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ashanth Education\Great Lakes Business Analytics\Capstone Project\Capstone Workings\Data Files\Ratios\"/>
    </mc:Choice>
  </mc:AlternateContent>
  <bookViews>
    <workbookView xWindow="0" yWindow="0" windowWidth="23040" windowHeight="8808" activeTab="1"/>
  </bookViews>
  <sheets>
    <sheet name="Sheet1" sheetId="1" r:id="rId1"/>
    <sheet name="Value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I476" i="1" l="1"/>
  <c r="CS476" i="1"/>
  <c r="CC476" i="1"/>
  <c r="BM476" i="1"/>
  <c r="AW476" i="1"/>
  <c r="AG476" i="1"/>
  <c r="Q476" i="1"/>
  <c r="K476" i="1"/>
  <c r="CV476" i="1"/>
  <c r="CF476" i="1"/>
  <c r="BP476" i="1"/>
  <c r="AZ476" i="1"/>
  <c r="AJ476" i="1"/>
  <c r="T476" i="1"/>
  <c r="O476" i="1"/>
  <c r="CU476" i="1"/>
  <c r="CE476" i="1"/>
  <c r="BO476" i="1"/>
  <c r="AY476" i="1"/>
  <c r="AI476" i="1"/>
  <c r="G476" i="1"/>
  <c r="CT476" i="1"/>
  <c r="CD476" i="1"/>
  <c r="BN476" i="1"/>
  <c r="AX476" i="1"/>
  <c r="AH476" i="1"/>
  <c r="R476" i="1"/>
  <c r="DI471" i="1"/>
  <c r="CN471" i="1"/>
  <c r="BD471" i="1"/>
  <c r="CE471" i="1"/>
  <c r="BV471" i="1"/>
  <c r="J471" i="1"/>
  <c r="CJ471" i="1"/>
  <c r="CS466" i="1"/>
  <c r="AV466" i="1"/>
  <c r="AN466" i="1"/>
  <c r="BO466" i="1"/>
  <c r="BZ466" i="1"/>
  <c r="N466" i="1"/>
  <c r="BH466" i="1"/>
  <c r="Y461" i="1"/>
  <c r="AI461" i="1"/>
  <c r="CM461" i="1"/>
  <c r="BV461" i="1"/>
  <c r="J461" i="1"/>
  <c r="U461" i="1"/>
  <c r="BG461" i="1"/>
  <c r="Y456" i="1"/>
  <c r="G456" i="1"/>
  <c r="CU456" i="1"/>
  <c r="CH456" i="1"/>
  <c r="V456" i="1"/>
  <c r="Q456" i="1"/>
  <c r="DI627" i="1"/>
  <c r="BU625" i="1"/>
  <c r="DD627" i="1"/>
  <c r="CK471" i="1"/>
  <c r="AF471" i="1"/>
  <c r="BC471" i="1"/>
  <c r="AI471" i="1"/>
  <c r="BB471" i="1"/>
  <c r="BQ471" i="1"/>
  <c r="AJ471" i="1"/>
  <c r="BU466" i="1"/>
  <c r="AA466" i="1"/>
  <c r="DG466" i="1"/>
  <c r="AQ466" i="1"/>
  <c r="BF466" i="1"/>
  <c r="BI466" i="1"/>
  <c r="AM466" i="1"/>
  <c r="CF461" i="1"/>
  <c r="AB461" i="1"/>
  <c r="AA461" i="1"/>
  <c r="BB461" i="1"/>
  <c r="CS461" i="1"/>
  <c r="CN461" i="1"/>
  <c r="DE456" i="1"/>
  <c r="CF456" i="1"/>
  <c r="AR456" i="1"/>
  <c r="CA456" i="1"/>
  <c r="BN456" i="1"/>
  <c r="CW456" i="1"/>
  <c r="BT456" i="1"/>
  <c r="AG627" i="1"/>
  <c r="CW624" i="1"/>
  <c r="AB627" i="1"/>
  <c r="CR624" i="1"/>
  <c r="AQ626" i="1"/>
  <c r="AS471" i="1"/>
  <c r="AA471" i="1"/>
  <c r="DC471" i="1"/>
  <c r="CT471" i="1"/>
  <c r="AH471" i="1"/>
  <c r="AG471" i="1"/>
  <c r="AE471" i="1"/>
  <c r="AC466" i="1"/>
  <c r="CV466" i="1"/>
  <c r="CM466" i="1"/>
  <c r="CX466" i="1"/>
  <c r="AL466" i="1"/>
  <c r="Y466" i="1"/>
  <c r="BU461" i="1"/>
  <c r="AJ461" i="1"/>
  <c r="S461" i="1"/>
  <c r="CT461" i="1"/>
  <c r="AH461" i="1"/>
  <c r="BQ461" i="1"/>
  <c r="AZ461" i="1"/>
  <c r="BU456" i="1"/>
  <c r="AB456" i="1"/>
  <c r="AM456" i="1"/>
  <c r="DF456" i="1"/>
  <c r="AT456" i="1"/>
  <c r="BI456" i="1"/>
  <c r="P456" i="1"/>
  <c r="CW471" i="1"/>
  <c r="BH471" i="1"/>
  <c r="P471" i="1"/>
  <c r="BG471" i="1"/>
  <c r="BJ471" i="1"/>
  <c r="CC471" i="1"/>
  <c r="AZ471" i="1"/>
  <c r="CG466" i="1"/>
  <c r="P466" i="1"/>
  <c r="DE476" i="1"/>
  <c r="CO476" i="1"/>
  <c r="BY476" i="1"/>
  <c r="BI476" i="1"/>
  <c r="AS476" i="1"/>
  <c r="AC476" i="1"/>
  <c r="M476" i="1"/>
  <c r="DH476" i="1"/>
  <c r="CR476" i="1"/>
  <c r="CB476" i="1"/>
  <c r="BL476" i="1"/>
  <c r="AV476" i="1"/>
  <c r="AF476" i="1"/>
  <c r="P476" i="1"/>
  <c r="DG476" i="1"/>
  <c r="CQ476" i="1"/>
  <c r="CA476" i="1"/>
  <c r="BK476" i="1"/>
  <c r="AU476" i="1"/>
  <c r="AE476" i="1"/>
  <c r="DF476" i="1"/>
  <c r="CP476" i="1"/>
  <c r="BZ476" i="1"/>
  <c r="BJ476" i="1"/>
  <c r="AT476" i="1"/>
  <c r="AD476" i="1"/>
  <c r="N476" i="1"/>
  <c r="CS471" i="1"/>
  <c r="AV471" i="1"/>
  <c r="BS471" i="1"/>
  <c r="AY471" i="1"/>
  <c r="BF471" i="1"/>
  <c r="BY471" i="1"/>
  <c r="AR471" i="1"/>
  <c r="BY466" i="1"/>
  <c r="AU466" i="1"/>
  <c r="S466" i="1"/>
  <c r="AY466" i="1"/>
  <c r="BJ466" i="1"/>
  <c r="BQ466" i="1"/>
  <c r="H466" i="1"/>
  <c r="CR461" i="1"/>
  <c r="AV461" i="1"/>
  <c r="AU461" i="1"/>
  <c r="BF461" i="1"/>
  <c r="CW461" i="1"/>
  <c r="CV461" i="1"/>
  <c r="DI456" i="1"/>
  <c r="CN456" i="1"/>
  <c r="BD456" i="1"/>
  <c r="CE456" i="1"/>
  <c r="BR456" i="1"/>
  <c r="F456" i="1"/>
  <c r="CB456" i="1"/>
  <c r="AW627" i="1"/>
  <c r="I625" i="1"/>
  <c r="AR627" i="1"/>
  <c r="BA471" i="1"/>
  <c r="AQ471" i="1"/>
  <c r="DG471" i="1"/>
  <c r="CX471" i="1"/>
  <c r="AL471" i="1"/>
  <c r="AO471" i="1"/>
  <c r="AU471" i="1"/>
  <c r="AK466" i="1"/>
  <c r="CZ466" i="1"/>
  <c r="CQ466" i="1"/>
  <c r="DB466" i="1"/>
  <c r="AP466" i="1"/>
  <c r="AG466" i="1"/>
  <c r="CG461" i="1"/>
  <c r="AR461" i="1"/>
  <c r="AM461" i="1"/>
  <c r="CX461" i="1"/>
  <c r="AL461" i="1"/>
  <c r="BY461" i="1"/>
  <c r="BH461" i="1"/>
  <c r="CC456" i="1"/>
  <c r="AN456" i="1"/>
  <c r="BK456" i="1"/>
  <c r="S456" i="1"/>
  <c r="AX456" i="1"/>
  <c r="BQ456" i="1"/>
  <c r="T456" i="1"/>
  <c r="BY626" i="1"/>
  <c r="AK624" i="1"/>
  <c r="BT626" i="1"/>
  <c r="AF624" i="1"/>
  <c r="W625" i="1"/>
  <c r="M471" i="1"/>
  <c r="CF471" i="1"/>
  <c r="CM471" i="1"/>
  <c r="CD471" i="1"/>
  <c r="R471" i="1"/>
  <c r="DD471" i="1"/>
  <c r="DA466" i="1"/>
  <c r="BP466" i="1"/>
  <c r="BD466" i="1"/>
  <c r="BW466" i="1"/>
  <c r="CH466" i="1"/>
  <c r="V466" i="1"/>
  <c r="CF466" i="1"/>
  <c r="AO461" i="1"/>
  <c r="BO461" i="1"/>
  <c r="CU461" i="1"/>
  <c r="CD461" i="1"/>
  <c r="R461" i="1"/>
  <c r="AK461" i="1"/>
  <c r="H461" i="1"/>
  <c r="AK456" i="1"/>
  <c r="AQ456" i="1"/>
  <c r="DC456" i="1"/>
  <c r="CP456" i="1"/>
  <c r="AD456" i="1"/>
  <c r="AC456" i="1"/>
  <c r="AE456" i="1"/>
  <c r="BU471" i="1"/>
  <c r="H471" i="1"/>
  <c r="W471" i="1"/>
  <c r="DF471" i="1"/>
  <c r="AT471" i="1"/>
  <c r="BE471" i="1"/>
  <c r="L471" i="1"/>
  <c r="BE466" i="1"/>
  <c r="DH466" i="1"/>
  <c r="CY466" i="1"/>
  <c r="G466" i="1"/>
  <c r="DA476" i="1"/>
  <c r="CK476" i="1"/>
  <c r="BU476" i="1"/>
  <c r="BE476" i="1"/>
  <c r="AO476" i="1"/>
  <c r="Y476" i="1"/>
  <c r="I476" i="1"/>
  <c r="DD476" i="1"/>
  <c r="CN476" i="1"/>
  <c r="BX476" i="1"/>
  <c r="BH476" i="1"/>
  <c r="AR476" i="1"/>
  <c r="AB476" i="1"/>
  <c r="L476" i="1"/>
  <c r="DC476" i="1"/>
  <c r="CM476" i="1"/>
  <c r="BW476" i="1"/>
  <c r="BG476" i="1"/>
  <c r="AQ476" i="1"/>
  <c r="AA476" i="1"/>
  <c r="DB476" i="1"/>
  <c r="CL476" i="1"/>
  <c r="BV476" i="1"/>
  <c r="BF476" i="1"/>
  <c r="AP476" i="1"/>
  <c r="Z476" i="1"/>
  <c r="J476" i="1"/>
  <c r="BM471" i="1"/>
  <c r="BK471" i="1"/>
  <c r="G471" i="1"/>
  <c r="DB471" i="1"/>
  <c r="AP471" i="1"/>
  <c r="AW471" i="1"/>
  <c r="BO471" i="1"/>
  <c r="AS466" i="1"/>
  <c r="DD466" i="1"/>
  <c r="CU466" i="1"/>
  <c r="DF466" i="1"/>
  <c r="AT466" i="1"/>
  <c r="AO466" i="1"/>
  <c r="DI461" i="1"/>
  <c r="BD461" i="1"/>
  <c r="BC461" i="1"/>
  <c r="DB461" i="1"/>
  <c r="AP461" i="1"/>
  <c r="CC461" i="1"/>
  <c r="BP461" i="1"/>
  <c r="CK456" i="1"/>
  <c r="AZ456" i="1"/>
  <c r="H456" i="1"/>
  <c r="AI456" i="1"/>
  <c r="BB456" i="1"/>
  <c r="BY456" i="1"/>
  <c r="AJ456" i="1"/>
  <c r="CO626" i="1"/>
  <c r="BA624" i="1"/>
  <c r="CJ626" i="1"/>
  <c r="Q471" i="1"/>
  <c r="CV471" i="1"/>
  <c r="CQ471" i="1"/>
  <c r="CH471" i="1"/>
  <c r="V471" i="1"/>
  <c r="I471" i="1"/>
  <c r="DE466" i="1"/>
  <c r="CJ466" i="1"/>
  <c r="BT466" i="1"/>
  <c r="CA466" i="1"/>
  <c r="CL466" i="1"/>
  <c r="Z466" i="1"/>
  <c r="CR466" i="1"/>
  <c r="AW461" i="1"/>
  <c r="CE461" i="1"/>
  <c r="CY461" i="1"/>
  <c r="CH461" i="1"/>
  <c r="V461" i="1"/>
  <c r="AS461" i="1"/>
  <c r="T461" i="1"/>
  <c r="AS456" i="1"/>
  <c r="BC456" i="1"/>
  <c r="DG456" i="1"/>
  <c r="CT456" i="1"/>
  <c r="AH456" i="1"/>
  <c r="AO456" i="1"/>
  <c r="AU456" i="1"/>
  <c r="M626" i="1"/>
  <c r="CC623" i="1"/>
  <c r="H626" i="1"/>
  <c r="BX623" i="1"/>
  <c r="DA471" i="1"/>
  <c r="BP471" i="1"/>
  <c r="AB471" i="1"/>
  <c r="BW471" i="1"/>
  <c r="BN471" i="1"/>
  <c r="CO471" i="1"/>
  <c r="BL471" i="1"/>
  <c r="CK466" i="1"/>
  <c r="AB466" i="1"/>
  <c r="L466" i="1"/>
  <c r="BG466" i="1"/>
  <c r="BR466" i="1"/>
  <c r="F466" i="1"/>
  <c r="AF466" i="1"/>
  <c r="I461" i="1"/>
  <c r="G461" i="1"/>
  <c r="BS461" i="1"/>
  <c r="BN461" i="1"/>
  <c r="DE461" i="1"/>
  <c r="DH461" i="1"/>
  <c r="AE461" i="1"/>
  <c r="DD456" i="1"/>
  <c r="CJ456" i="1"/>
  <c r="CM456" i="1"/>
  <c r="BZ456" i="1"/>
  <c r="N456" i="1"/>
  <c r="CZ456" i="1"/>
  <c r="CC627" i="1"/>
  <c r="AK471" i="1"/>
  <c r="O471" i="1"/>
  <c r="CY471" i="1"/>
  <c r="CP471" i="1"/>
  <c r="AD471" i="1"/>
  <c r="Y471" i="1"/>
  <c r="K471" i="1"/>
  <c r="Q466" i="1"/>
  <c r="CN466" i="1"/>
  <c r="CI466" i="1"/>
  <c r="CT466" i="1"/>
  <c r="CW476" i="1"/>
  <c r="AK476" i="1"/>
  <c r="CJ476" i="1"/>
  <c r="X476" i="1"/>
  <c r="BS476" i="1"/>
  <c r="CX476" i="1"/>
  <c r="AL476" i="1"/>
  <c r="DH471" i="1"/>
  <c r="U471" i="1"/>
  <c r="CE466" i="1"/>
  <c r="BE461" i="1"/>
  <c r="Z461" i="1"/>
  <c r="BO456" i="1"/>
  <c r="AW456" i="1"/>
  <c r="DE471" i="1"/>
  <c r="BR471" i="1"/>
  <c r="AJ466" i="1"/>
  <c r="J466" i="1"/>
  <c r="CI461" i="1"/>
  <c r="AQ461" i="1"/>
  <c r="CD456" i="1"/>
  <c r="BE625" i="1"/>
  <c r="CG471" i="1"/>
  <c r="AX471" i="1"/>
  <c r="O466" i="1"/>
  <c r="BA466" i="1"/>
  <c r="K461" i="1"/>
  <c r="DA456" i="1"/>
  <c r="BJ456" i="1"/>
  <c r="CZ471" i="1"/>
  <c r="N471" i="1"/>
  <c r="AZ466" i="1"/>
  <c r="CD466" i="1"/>
  <c r="R466" i="1"/>
  <c r="BX466" i="1"/>
  <c r="AG461" i="1"/>
  <c r="AY461" i="1"/>
  <c r="CQ461" i="1"/>
  <c r="BZ461" i="1"/>
  <c r="N461" i="1"/>
  <c r="AC461" i="1"/>
  <c r="BW461" i="1"/>
  <c r="AG456" i="1"/>
  <c r="AA456" i="1"/>
  <c r="CY456" i="1"/>
  <c r="CL456" i="1"/>
  <c r="Z456" i="1"/>
  <c r="U456" i="1"/>
  <c r="O456" i="1"/>
  <c r="CK625" i="1"/>
  <c r="AW623" i="1"/>
  <c r="CF625" i="1"/>
  <c r="AR623" i="1"/>
  <c r="BI626" i="1"/>
  <c r="P624" i="1"/>
  <c r="CI622" i="1"/>
  <c r="AU620" i="1"/>
  <c r="G618" i="1"/>
  <c r="AO627" i="1"/>
  <c r="DE624" i="1"/>
  <c r="AJ627" i="1"/>
  <c r="CZ624" i="1"/>
  <c r="BG626" i="1"/>
  <c r="BK622" i="1"/>
  <c r="W620" i="1"/>
  <c r="CM617" i="1"/>
  <c r="U627" i="1"/>
  <c r="CK624" i="1"/>
  <c r="P627" i="1"/>
  <c r="CF624" i="1"/>
  <c r="S626" i="1"/>
  <c r="AQ622" i="1"/>
  <c r="DG619" i="1"/>
  <c r="BS617" i="1"/>
  <c r="CO623" i="1"/>
  <c r="AU621" i="1"/>
  <c r="DF625" i="1"/>
  <c r="AH622" i="1"/>
  <c r="DA625" i="1"/>
  <c r="CN623" i="1"/>
  <c r="BS622" i="1"/>
  <c r="AE620" i="1"/>
  <c r="CU617" i="1"/>
  <c r="Y627" i="1"/>
  <c r="CO624" i="1"/>
  <c r="T627" i="1"/>
  <c r="CJ624" i="1"/>
  <c r="AA626" i="1"/>
  <c r="AU622" i="1"/>
  <c r="G620" i="1"/>
  <c r="BW617" i="1"/>
  <c r="DI626" i="1"/>
  <c r="BU624" i="1"/>
  <c r="DD626" i="1"/>
  <c r="BP624" i="1"/>
  <c r="CQ625" i="1"/>
  <c r="AA622" i="1"/>
  <c r="CQ619" i="1"/>
  <c r="BC617" i="1"/>
  <c r="BX627" i="1"/>
  <c r="K626" i="1"/>
  <c r="CU621" i="1"/>
  <c r="BG619" i="1"/>
  <c r="S617" i="1"/>
  <c r="BA626" i="1"/>
  <c r="M624" i="1"/>
  <c r="AV626" i="1"/>
  <c r="H624" i="1"/>
  <c r="CE624" i="1"/>
  <c r="BW621" i="1"/>
  <c r="AI619" i="1"/>
  <c r="CY616" i="1"/>
  <c r="AG626" i="1"/>
  <c r="CW623" i="1"/>
  <c r="AB626" i="1"/>
  <c r="CR623" i="1"/>
  <c r="AQ624" i="1"/>
  <c r="BC621" i="1"/>
  <c r="O619" i="1"/>
  <c r="CE616" i="1"/>
  <c r="CG624" i="1"/>
  <c r="CQ627" i="1"/>
  <c r="AM622" i="1"/>
  <c r="DC619" i="1"/>
  <c r="BO617" i="1"/>
  <c r="CW626" i="1"/>
  <c r="BI624" i="1"/>
  <c r="CG476" i="1"/>
  <c r="U476" i="1"/>
  <c r="BT476" i="1"/>
  <c r="H476" i="1"/>
  <c r="BC476" i="1"/>
  <c r="CH476" i="1"/>
  <c r="V476" i="1"/>
  <c r="CU471" i="1"/>
  <c r="DI466" i="1"/>
  <c r="CP466" i="1"/>
  <c r="L461" i="1"/>
  <c r="BA461" i="1"/>
  <c r="K456" i="1"/>
  <c r="BG456" i="1"/>
  <c r="BX471" i="1"/>
  <c r="F471" i="1"/>
  <c r="X466" i="1"/>
  <c r="AR466" i="1"/>
  <c r="BR461" i="1"/>
  <c r="M456" i="1"/>
  <c r="R456" i="1"/>
  <c r="CN627" i="1"/>
  <c r="X471" i="1"/>
  <c r="BI471" i="1"/>
  <c r="DC466" i="1"/>
  <c r="W466" i="1"/>
  <c r="AX461" i="1"/>
  <c r="BX456" i="1"/>
  <c r="CO456" i="1"/>
  <c r="BT471" i="1"/>
  <c r="CR471" i="1"/>
  <c r="AI466" i="1"/>
  <c r="BN466" i="1"/>
  <c r="CC466" i="1"/>
  <c r="T466" i="1"/>
  <c r="DD461" i="1"/>
  <c r="CJ461" i="1"/>
  <c r="BK461" i="1"/>
  <c r="BJ461" i="1"/>
  <c r="DA461" i="1"/>
  <c r="CZ461" i="1"/>
  <c r="O461" i="1"/>
  <c r="CV456" i="1"/>
  <c r="BP456" i="1"/>
  <c r="CI456" i="1"/>
  <c r="BV456" i="1"/>
  <c r="J456" i="1"/>
  <c r="CR456" i="1"/>
  <c r="BM627" i="1"/>
  <c r="Y625" i="1"/>
  <c r="BH627" i="1"/>
  <c r="T625" i="1"/>
  <c r="DC626" i="1"/>
  <c r="U624" i="1"/>
  <c r="AE627" i="1"/>
  <c r="W622" i="1"/>
  <c r="CM619" i="1"/>
  <c r="AY617" i="1"/>
  <c r="CG626" i="1"/>
  <c r="AS624" i="1"/>
  <c r="CB626" i="1"/>
  <c r="AN624" i="1"/>
  <c r="AM625" i="1"/>
  <c r="DC621" i="1"/>
  <c r="BO619" i="1"/>
  <c r="AA617" i="1"/>
  <c r="BM626" i="1"/>
  <c r="Y624" i="1"/>
  <c r="BH626" i="1"/>
  <c r="T624" i="1"/>
  <c r="DC624" i="1"/>
  <c r="CI621" i="1"/>
  <c r="AU619" i="1"/>
  <c r="G617" i="1"/>
  <c r="T626" i="1"/>
  <c r="G619" i="1"/>
  <c r="CL624" i="1"/>
  <c r="BZ621" i="1"/>
  <c r="BM623" i="1"/>
  <c r="BW626" i="1"/>
  <c r="G622" i="1"/>
  <c r="BW619" i="1"/>
  <c r="AI617" i="1"/>
  <c r="BQ626" i="1"/>
  <c r="AC624" i="1"/>
  <c r="BL626" i="1"/>
  <c r="X624" i="1"/>
  <c r="G625" i="1"/>
  <c r="CM621" i="1"/>
  <c r="AY619" i="1"/>
  <c r="K617" i="1"/>
  <c r="AW626" i="1"/>
  <c r="I624" i="1"/>
  <c r="AR626" i="1"/>
  <c r="DH623" i="1"/>
  <c r="BW624" i="1"/>
  <c r="BS621" i="1"/>
  <c r="AE619" i="1"/>
  <c r="CU616" i="1"/>
  <c r="CV625" i="1"/>
  <c r="DG623" i="1"/>
  <c r="AI621" i="1"/>
  <c r="CY618" i="1"/>
  <c r="BK616" i="1"/>
  <c r="CS625" i="1"/>
  <c r="BE623" i="1"/>
  <c r="CN625" i="1"/>
  <c r="AZ623" i="1"/>
  <c r="BK623" i="1"/>
  <c r="K621" i="1"/>
  <c r="CA618" i="1"/>
  <c r="AM616" i="1"/>
  <c r="BY625" i="1"/>
  <c r="DH627" i="1"/>
  <c r="BT625" i="1"/>
  <c r="CY627" i="1"/>
  <c r="AE623" i="1"/>
  <c r="CU620" i="1"/>
  <c r="BG618" i="1"/>
  <c r="AS627" i="1"/>
  <c r="L627" i="1"/>
  <c r="BC625" i="1"/>
  <c r="CE621" i="1"/>
  <c r="AQ619" i="1"/>
  <c r="DG616" i="1"/>
  <c r="AK626" i="1"/>
  <c r="DA623" i="1"/>
  <c r="BQ476" i="1"/>
  <c r="W476" i="1"/>
  <c r="BD476" i="1"/>
  <c r="CY476" i="1"/>
  <c r="AM476" i="1"/>
  <c r="BR476" i="1"/>
  <c r="F476" i="1"/>
  <c r="CL471" i="1"/>
  <c r="BA476" i="1"/>
  <c r="S476" i="1"/>
  <c r="I466" i="1"/>
  <c r="DC461" i="1"/>
  <c r="CX456" i="1"/>
  <c r="AN471" i="1"/>
  <c r="BK466" i="1"/>
  <c r="F461" i="1"/>
  <c r="I456" i="1"/>
  <c r="AM471" i="1"/>
  <c r="AE466" i="1"/>
  <c r="CO461" i="1"/>
  <c r="BH456" i="1"/>
  <c r="CW466" i="1"/>
  <c r="AX466" i="1"/>
  <c r="K466" i="1"/>
  <c r="CA461" i="1"/>
  <c r="AT461" i="1"/>
  <c r="BT461" i="1"/>
  <c r="BL456" i="1"/>
  <c r="AY456" i="1"/>
  <c r="CG456" i="1"/>
  <c r="DE626" i="1"/>
  <c r="CZ626" i="1"/>
  <c r="CI625" i="1"/>
  <c r="CU624" i="1"/>
  <c r="AA619" i="1"/>
  <c r="U626" i="1"/>
  <c r="P626" i="1"/>
  <c r="S624" i="1"/>
  <c r="DG618" i="1"/>
  <c r="DE625" i="1"/>
  <c r="CZ625" i="1"/>
  <c r="CI623" i="1"/>
  <c r="CM618" i="1"/>
  <c r="CJ623" i="1"/>
  <c r="BR623" i="1"/>
  <c r="X626" i="1"/>
  <c r="AY621" i="1"/>
  <c r="CA616" i="1"/>
  <c r="BU623" i="1"/>
  <c r="BP623" i="1"/>
  <c r="AA621" i="1"/>
  <c r="BC616" i="1"/>
  <c r="BA623" i="1"/>
  <c r="AV623" i="1"/>
  <c r="G621" i="1"/>
  <c r="DE627" i="1"/>
  <c r="K623" i="1"/>
  <c r="AM618" i="1"/>
  <c r="AG625" i="1"/>
  <c r="AB625" i="1"/>
  <c r="CQ622" i="1"/>
  <c r="O618" i="1"/>
  <c r="M625" i="1"/>
  <c r="H625" i="1"/>
  <c r="BW622" i="1"/>
  <c r="CY617" i="1"/>
  <c r="BP625" i="1"/>
  <c r="S621" i="1"/>
  <c r="AU616" i="1"/>
  <c r="AO623" i="1"/>
  <c r="BX625" i="1"/>
  <c r="DG627" i="1"/>
  <c r="AI623" i="1"/>
  <c r="CY620" i="1"/>
  <c r="BK618" i="1"/>
  <c r="CW627" i="1"/>
  <c r="BI625" i="1"/>
  <c r="CR627" i="1"/>
  <c r="BD625" i="1"/>
  <c r="BS627" i="1"/>
  <c r="O623" i="1"/>
  <c r="CE620" i="1"/>
  <c r="AQ618" i="1"/>
  <c r="CK626" i="1"/>
  <c r="AU625" i="1"/>
  <c r="BB627" i="1"/>
  <c r="F623" i="1"/>
  <c r="BV620" i="1"/>
  <c r="AH618" i="1"/>
  <c r="CI626" i="1"/>
  <c r="AK620" i="1"/>
  <c r="AG624" i="1"/>
  <c r="CQ621" i="1"/>
  <c r="Z626" i="1"/>
  <c r="AT622" i="1"/>
  <c r="AE616" i="1"/>
  <c r="DB620" i="1"/>
  <c r="BJ617" i="1"/>
  <c r="M622" i="1"/>
  <c r="CS624" i="1"/>
  <c r="CU618" i="1"/>
  <c r="AH623" i="1"/>
  <c r="BR620" i="1"/>
  <c r="AD618" i="1"/>
  <c r="BS626" i="1"/>
  <c r="AC620" i="1"/>
  <c r="CW625" i="1"/>
  <c r="BS623" i="1"/>
  <c r="F627" i="1"/>
  <c r="CL622" i="1"/>
  <c r="AX620" i="1"/>
  <c r="J618" i="1"/>
  <c r="CU625" i="1"/>
  <c r="CS619" i="1"/>
  <c r="BD627" i="1"/>
  <c r="AQ620" i="1"/>
  <c r="BB625" i="1"/>
  <c r="F622" i="1"/>
  <c r="BV619" i="1"/>
  <c r="AH617" i="1"/>
  <c r="I623" i="1"/>
  <c r="AS616" i="1"/>
  <c r="DA613" i="1"/>
  <c r="BM611" i="1"/>
  <c r="H621" i="1"/>
  <c r="AJ616" i="1"/>
  <c r="CZ627" i="1"/>
  <c r="AT625" i="1"/>
  <c r="CH619" i="1"/>
  <c r="BV616" i="1"/>
  <c r="DI619" i="1"/>
  <c r="AV625" i="1"/>
  <c r="BZ627" i="1"/>
  <c r="AD622" i="1"/>
  <c r="CT619" i="1"/>
  <c r="BF617" i="1"/>
  <c r="BW623" i="1"/>
  <c r="CG618" i="1"/>
  <c r="BT627" i="1"/>
  <c r="BG620" i="1"/>
  <c r="BJ625" i="1"/>
  <c r="J622" i="1"/>
  <c r="BZ619" i="1"/>
  <c r="AL617" i="1"/>
  <c r="Q623" i="1"/>
  <c r="AS618" i="1"/>
  <c r="BH624" i="1"/>
  <c r="AU617" i="1"/>
  <c r="DF623" i="1"/>
  <c r="AH621" i="1"/>
  <c r="CX618" i="1"/>
  <c r="BJ616" i="1"/>
  <c r="BM621" i="1"/>
  <c r="BM615" i="1"/>
  <c r="Y613" i="1"/>
  <c r="AH625" i="1"/>
  <c r="BL619" i="1"/>
  <c r="BH615" i="1"/>
  <c r="T613" i="1"/>
  <c r="M623" i="1"/>
  <c r="CY614" i="1"/>
  <c r="CT626" i="1"/>
  <c r="AP620" i="1"/>
  <c r="AD617" i="1"/>
  <c r="Y621" i="1"/>
  <c r="CJ627" i="1"/>
  <c r="CA617" i="1"/>
  <c r="CP622" i="1"/>
  <c r="AL620" i="1"/>
  <c r="DB617" i="1"/>
  <c r="AY625" i="1"/>
  <c r="BU619" i="1"/>
  <c r="CC624" i="1"/>
  <c r="AI622" i="1"/>
  <c r="AX626" i="1"/>
  <c r="BF622" i="1"/>
  <c r="R620" i="1"/>
  <c r="CH617" i="1"/>
  <c r="CA624" i="1"/>
  <c r="AG619" i="1"/>
  <c r="AJ626" i="1"/>
  <c r="W619" i="1"/>
  <c r="CT624" i="1"/>
  <c r="CD621" i="1"/>
  <c r="AP619" i="1"/>
  <c r="DF616" i="1"/>
  <c r="BA622" i="1"/>
  <c r="DI615" i="1"/>
  <c r="BU613" i="1"/>
  <c r="J627" i="1"/>
  <c r="AZ620" i="1"/>
  <c r="DD615" i="1"/>
  <c r="CQ617" i="1"/>
  <c r="AT621" i="1"/>
  <c r="CP617" i="1"/>
  <c r="AS622" i="1"/>
  <c r="BA625" i="1"/>
  <c r="K620" i="1"/>
  <c r="BJ623" i="1"/>
  <c r="CH620" i="1"/>
  <c r="AT618" i="1"/>
  <c r="AA627" i="1"/>
  <c r="BI620" i="1"/>
  <c r="BE626" i="1"/>
  <c r="CM624" i="1"/>
  <c r="AL627" i="1"/>
  <c r="DB622" i="1"/>
  <c r="BN620" i="1"/>
  <c r="Z618" i="1"/>
  <c r="BC626" i="1"/>
  <c r="U620" i="1"/>
  <c r="AS623" i="1"/>
  <c r="DC620" i="1"/>
  <c r="CH625" i="1"/>
  <c r="V622" i="1"/>
  <c r="CL619" i="1"/>
  <c r="AX617" i="1"/>
  <c r="AQ623" i="1"/>
  <c r="CG616" i="1"/>
  <c r="M614" i="1"/>
  <c r="CC611" i="1"/>
  <c r="AN621" i="1"/>
  <c r="BP616" i="1"/>
  <c r="H614" i="1"/>
  <c r="BX611" i="1"/>
  <c r="U617" i="1"/>
  <c r="DE615" i="1"/>
  <c r="BQ613" i="1"/>
  <c r="CX626" i="1"/>
  <c r="AR620" i="1"/>
  <c r="CZ615" i="1"/>
  <c r="BL613" i="1"/>
  <c r="M616" i="1"/>
  <c r="CC613" i="1"/>
  <c r="AP627" i="1"/>
  <c r="P612" i="1"/>
  <c r="AW617" i="1"/>
  <c r="BA613" i="1"/>
  <c r="AP623" i="1"/>
  <c r="P617" i="1"/>
  <c r="AV613" i="1"/>
  <c r="Y615" i="1"/>
  <c r="M612" i="1"/>
  <c r="X621" i="1"/>
  <c r="AZ616" i="1"/>
  <c r="DD613" i="1"/>
  <c r="BP611" i="1"/>
  <c r="CS616" i="1"/>
  <c r="CW615" i="1"/>
  <c r="BI613" i="1"/>
  <c r="BR626" i="1"/>
  <c r="AB620" i="1"/>
  <c r="CR615" i="1"/>
  <c r="BD613" i="1"/>
  <c r="BG625" i="1"/>
  <c r="BO615" i="1"/>
  <c r="BW613" i="1"/>
  <c r="U610" i="1"/>
  <c r="CK607" i="1"/>
  <c r="AW605" i="1"/>
  <c r="I603" i="1"/>
  <c r="BY600" i="1"/>
  <c r="AK598" i="1"/>
  <c r="CZ476" i="1"/>
  <c r="BB476" i="1"/>
  <c r="CB466" i="1"/>
  <c r="CL461" i="1"/>
  <c r="AL456" i="1"/>
  <c r="CA471" i="1"/>
  <c r="BV466" i="1"/>
  <c r="M461" i="1"/>
  <c r="CS627" i="1"/>
  <c r="S471" i="1"/>
  <c r="BB466" i="1"/>
  <c r="CB461" i="1"/>
  <c r="Q627" i="1"/>
  <c r="BL466" i="1"/>
  <c r="AH466" i="1"/>
  <c r="BM461" i="1"/>
  <c r="DG461" i="1"/>
  <c r="AD461" i="1"/>
  <c r="AN461" i="1"/>
  <c r="L456" i="1"/>
  <c r="DB456" i="1"/>
  <c r="BA456" i="1"/>
  <c r="AS626" i="1"/>
  <c r="AN626" i="1"/>
  <c r="BO624" i="1"/>
  <c r="AU623" i="1"/>
  <c r="BS618" i="1"/>
  <c r="BM625" i="1"/>
  <c r="BH625" i="1"/>
  <c r="S623" i="1"/>
  <c r="AU618" i="1"/>
  <c r="AS625" i="1"/>
  <c r="AN625" i="1"/>
  <c r="DC622" i="1"/>
  <c r="AA618" i="1"/>
  <c r="AA624" i="1"/>
  <c r="CT622" i="1"/>
  <c r="DH624" i="1"/>
  <c r="CQ620" i="1"/>
  <c r="CK627" i="1"/>
  <c r="CF627" i="1"/>
  <c r="AU627" i="1"/>
  <c r="BS620" i="1"/>
  <c r="BQ627" i="1"/>
  <c r="BL627" i="1"/>
  <c r="G627" i="1"/>
  <c r="AY620" i="1"/>
  <c r="AO625" i="1"/>
  <c r="BC622" i="1"/>
  <c r="CE617" i="1"/>
  <c r="BY624" i="1"/>
  <c r="BT624" i="1"/>
  <c r="AE622" i="1"/>
  <c r="BG617" i="1"/>
  <c r="BE624" i="1"/>
  <c r="AZ624" i="1"/>
  <c r="K622" i="1"/>
  <c r="AM617" i="1"/>
  <c r="AV624" i="1"/>
  <c r="BK620" i="1"/>
  <c r="BE627" i="1"/>
  <c r="AZ627" i="1"/>
  <c r="L625" i="1"/>
  <c r="CM626" i="1"/>
  <c r="CA622" i="1"/>
  <c r="AM620" i="1"/>
  <c r="DC617" i="1"/>
  <c r="AK627" i="1"/>
  <c r="DA624" i="1"/>
  <c r="AF627" i="1"/>
  <c r="CV624" i="1"/>
  <c r="AY626" i="1"/>
  <c r="BG622" i="1"/>
  <c r="S620" i="1"/>
  <c r="CI617" i="1"/>
  <c r="AW624" i="1"/>
  <c r="DG621" i="1"/>
  <c r="AH626" i="1"/>
  <c r="AX622" i="1"/>
  <c r="J620" i="1"/>
  <c r="BZ617" i="1"/>
  <c r="AU624" i="1"/>
  <c r="Q619" i="1"/>
  <c r="BP626" i="1"/>
  <c r="BC619" i="1"/>
  <c r="F625" i="1"/>
  <c r="BQ625" i="1"/>
  <c r="BZ625" i="1"/>
  <c r="CX619" i="1"/>
  <c r="CL616" i="1"/>
  <c r="BQ620" i="1"/>
  <c r="DH625" i="1"/>
  <c r="DF627" i="1"/>
  <c r="BJ622" i="1"/>
  <c r="F620" i="1"/>
  <c r="BV617" i="1"/>
  <c r="AE624" i="1"/>
  <c r="I619" i="1"/>
  <c r="BI623" i="1"/>
  <c r="O621" i="1"/>
  <c r="CP625" i="1"/>
  <c r="Z622" i="1"/>
  <c r="CP619" i="1"/>
  <c r="BB617" i="1"/>
  <c r="BG623" i="1"/>
  <c r="BY618" i="1"/>
  <c r="P625" i="1"/>
  <c r="DG617" i="1"/>
  <c r="AH624" i="1"/>
  <c r="AX621" i="1"/>
  <c r="J619" i="1"/>
  <c r="BZ616" i="1"/>
  <c r="CS621" i="1"/>
  <c r="CC615" i="1"/>
  <c r="AO613" i="1"/>
  <c r="CT625" i="1"/>
  <c r="CR619" i="1"/>
  <c r="BX615" i="1"/>
  <c r="BO626" i="1"/>
  <c r="V623" i="1"/>
  <c r="F619" i="1"/>
  <c r="W626" i="1"/>
  <c r="BI618" i="1"/>
  <c r="AI626" i="1"/>
  <c r="CX625" i="1"/>
  <c r="BV621" i="1"/>
  <c r="AH619" i="1"/>
  <c r="CX616" i="1"/>
  <c r="AK622" i="1"/>
  <c r="BM617" i="1"/>
  <c r="AF625" i="1"/>
  <c r="S618" i="1"/>
  <c r="AP624" i="1"/>
  <c r="BB621" i="1"/>
  <c r="N619" i="1"/>
  <c r="CD616" i="1"/>
  <c r="DA621" i="1"/>
  <c r="DA626" i="1"/>
  <c r="CA625" i="1"/>
  <c r="BJ627" i="1"/>
  <c r="J623" i="1"/>
  <c r="BZ620" i="1"/>
  <c r="AL618" i="1"/>
  <c r="CY626" i="1"/>
  <c r="AS620" i="1"/>
  <c r="DE614" i="1"/>
  <c r="BQ612" i="1"/>
  <c r="P623" i="1"/>
  <c r="AR618" i="1"/>
  <c r="CZ614" i="1"/>
  <c r="BL612" i="1"/>
  <c r="CC620" i="1"/>
  <c r="BL625" i="1"/>
  <c r="BF624" i="1"/>
  <c r="BR619" i="1"/>
  <c r="AP616" i="1"/>
  <c r="CC619" i="1"/>
  <c r="CN624" i="1"/>
  <c r="N627" i="1"/>
  <c r="N622" i="1"/>
  <c r="CD619" i="1"/>
  <c r="AP617" i="1"/>
  <c r="Y623" i="1"/>
  <c r="BA618" i="1"/>
  <c r="H627" i="1"/>
  <c r="CY619" i="1"/>
  <c r="AD625" i="1"/>
  <c r="CX621" i="1"/>
  <c r="BJ619" i="1"/>
  <c r="V617" i="1"/>
  <c r="CO622" i="1"/>
  <c r="M618" i="1"/>
  <c r="CZ623" i="1"/>
  <c r="CM616" i="1"/>
  <c r="BZ623" i="1"/>
  <c r="R621" i="1"/>
  <c r="CH618" i="1"/>
  <c r="AT616" i="1"/>
  <c r="AG621" i="1"/>
  <c r="AW615" i="1"/>
  <c r="I613" i="1"/>
  <c r="BZ624" i="1"/>
  <c r="AF619" i="1"/>
  <c r="AR615" i="1"/>
  <c r="BN626" i="1"/>
  <c r="Z620" i="1"/>
  <c r="DB616" i="1"/>
  <c r="CW620" i="1"/>
  <c r="X627" i="1"/>
  <c r="BG616" i="1"/>
  <c r="BZ622" i="1"/>
  <c r="V620" i="1"/>
  <c r="CL617" i="1"/>
  <c r="CQ624" i="1"/>
  <c r="AO619" i="1"/>
  <c r="Q624" i="1"/>
  <c r="CA621" i="1"/>
  <c r="R626" i="1"/>
  <c r="AP622" i="1"/>
  <c r="DF619" i="1"/>
  <c r="BR617" i="1"/>
  <c r="O624" i="1"/>
  <c r="DE618" i="1"/>
  <c r="CB625" i="1"/>
  <c r="BO618" i="1"/>
  <c r="BN624" i="1"/>
  <c r="BN621" i="1"/>
  <c r="Z619" i="1"/>
  <c r="CP616" i="1"/>
  <c r="U622" i="1"/>
  <c r="CS615" i="1"/>
  <c r="BE613" i="1"/>
  <c r="BB626" i="1"/>
  <c r="T620" i="1"/>
  <c r="CN615" i="1"/>
  <c r="AZ613" i="1"/>
  <c r="AA625" i="1"/>
  <c r="BG615" i="1"/>
  <c r="AS615" i="1"/>
  <c r="DI612" i="1"/>
  <c r="BJ624" i="1"/>
  <c r="X619" i="1"/>
  <c r="AN615" i="1"/>
  <c r="DD612" i="1"/>
  <c r="BE615" i="1"/>
  <c r="Q613" i="1"/>
  <c r="DF624" i="1"/>
  <c r="G624" i="1"/>
  <c r="CO615" i="1"/>
  <c r="CC612" i="1"/>
  <c r="CR621" i="1"/>
  <c r="CJ615" i="1"/>
  <c r="BX612" i="1"/>
  <c r="BA614" i="1"/>
  <c r="CH626" i="1"/>
  <c r="DH619" i="1"/>
  <c r="CF615" i="1"/>
  <c r="AR613" i="1"/>
  <c r="BS624" i="1"/>
  <c r="AQ615" i="1"/>
  <c r="AK615" i="1"/>
  <c r="DA612" i="1"/>
  <c r="AN476" i="1"/>
  <c r="AC471" i="1"/>
  <c r="AD466" i="1"/>
  <c r="AF461" i="1"/>
  <c r="AC626" i="1"/>
  <c r="CB471" i="1"/>
  <c r="Q461" i="1"/>
  <c r="DH456" i="1"/>
  <c r="AZ625" i="1"/>
  <c r="T471" i="1"/>
  <c r="BX461" i="1"/>
  <c r="AF456" i="1"/>
  <c r="CI471" i="1"/>
  <c r="BS466" i="1"/>
  <c r="AW466" i="1"/>
  <c r="BL461" i="1"/>
  <c r="DF461" i="1"/>
  <c r="CK461" i="1"/>
  <c r="CS456" i="1"/>
  <c r="X456" i="1"/>
  <c r="BF456" i="1"/>
  <c r="AV456" i="1"/>
  <c r="BQ624" i="1"/>
  <c r="BL624" i="1"/>
  <c r="BD626" i="1"/>
  <c r="BO621" i="1"/>
  <c r="CQ616" i="1"/>
  <c r="CK623" i="1"/>
  <c r="CF623" i="1"/>
  <c r="AQ621" i="1"/>
  <c r="BS616" i="1"/>
  <c r="BQ623" i="1"/>
  <c r="BL623" i="1"/>
  <c r="W621" i="1"/>
  <c r="AY616" i="1"/>
  <c r="BW616" i="1"/>
  <c r="N621" i="1"/>
  <c r="AI624" i="1"/>
  <c r="K619" i="1"/>
  <c r="DI625" i="1"/>
  <c r="DD625" i="1"/>
  <c r="CQ623" i="1"/>
  <c r="CQ618" i="1"/>
  <c r="CO625" i="1"/>
  <c r="CJ625" i="1"/>
  <c r="BC623" i="1"/>
  <c r="BW618" i="1"/>
  <c r="CB624" i="1"/>
  <c r="CA620" i="1"/>
  <c r="BU627" i="1"/>
  <c r="BP627" i="1"/>
  <c r="O627" i="1"/>
  <c r="BC620" i="1"/>
  <c r="BA627" i="1"/>
  <c r="AV627" i="1"/>
  <c r="CE626" i="1"/>
  <c r="AI620" i="1"/>
  <c r="DI624" i="1"/>
  <c r="CA623" i="1"/>
  <c r="CI618" i="1"/>
  <c r="CC625" i="1"/>
  <c r="CR626" i="1"/>
  <c r="BD624" i="1"/>
  <c r="BS625" i="1"/>
  <c r="O622" i="1"/>
  <c r="CE619" i="1"/>
  <c r="AQ617" i="1"/>
  <c r="CC626" i="1"/>
  <c r="AO624" i="1"/>
  <c r="BX626" i="1"/>
  <c r="AJ624" i="1"/>
  <c r="AE625" i="1"/>
  <c r="CY621" i="1"/>
  <c r="BK619" i="1"/>
  <c r="W617" i="1"/>
  <c r="CF626" i="1"/>
  <c r="BS619" i="1"/>
  <c r="N625" i="1"/>
  <c r="CP621" i="1"/>
  <c r="BB619" i="1"/>
  <c r="N617" i="1"/>
  <c r="BY622" i="1"/>
  <c r="DA617" i="1"/>
  <c r="AB624" i="1"/>
  <c r="O617" i="1"/>
  <c r="CP623" i="1"/>
  <c r="CI627" i="1"/>
  <c r="AL623" i="1"/>
  <c r="V619" i="1"/>
  <c r="AQ627" i="1"/>
  <c r="CO618" i="1"/>
  <c r="BC627" i="1"/>
  <c r="BF626" i="1"/>
  <c r="CL621" i="1"/>
  <c r="AX619" i="1"/>
  <c r="J617" i="1"/>
  <c r="BQ622" i="1"/>
  <c r="CS617" i="1"/>
  <c r="CR625" i="1"/>
  <c r="CE618" i="1"/>
  <c r="BV624" i="1"/>
  <c r="BR621" i="1"/>
  <c r="AD619" i="1"/>
  <c r="CT616" i="1"/>
  <c r="AC622" i="1"/>
  <c r="BI627" i="1"/>
  <c r="CU626" i="1"/>
  <c r="CP627" i="1"/>
  <c r="Z623" i="1"/>
  <c r="CP620" i="1"/>
  <c r="BB618" i="1"/>
  <c r="BG627" i="1"/>
  <c r="BY620" i="1"/>
  <c r="Q615" i="1"/>
  <c r="CG612" i="1"/>
  <c r="BF623" i="1"/>
  <c r="BX618" i="1"/>
  <c r="L615" i="1"/>
  <c r="AA620" i="1"/>
  <c r="DF621" i="1"/>
  <c r="R618" i="1"/>
  <c r="AG623" i="1"/>
  <c r="AC627" i="1"/>
  <c r="AE621" i="1"/>
  <c r="AX624" i="1"/>
  <c r="J621" i="1"/>
  <c r="BZ618" i="1"/>
  <c r="AL616" i="1"/>
  <c r="Q621" i="1"/>
  <c r="BY627" i="1"/>
  <c r="W627" i="1"/>
  <c r="CX627" i="1"/>
  <c r="AD623" i="1"/>
  <c r="CT620" i="1"/>
  <c r="BF618" i="1"/>
  <c r="BW627" i="1"/>
  <c r="CG620" i="1"/>
  <c r="BM624" i="1"/>
  <c r="S622" i="1"/>
  <c r="AP626" i="1"/>
  <c r="BB622" i="1"/>
  <c r="N620" i="1"/>
  <c r="CD617" i="1"/>
  <c r="BK624" i="1"/>
  <c r="BE617" i="1"/>
  <c r="AS614" i="1"/>
  <c r="DI611" i="1"/>
  <c r="CZ621" i="1"/>
  <c r="X617" i="1"/>
  <c r="AN614" i="1"/>
  <c r="DD611" i="1"/>
  <c r="AO618" i="1"/>
  <c r="W623" i="1"/>
  <c r="CD622" i="1"/>
  <c r="CD618" i="1"/>
  <c r="BO625" i="1"/>
  <c r="AC618" i="1"/>
  <c r="CY623" i="1"/>
  <c r="BR625" i="1"/>
  <c r="BF621" i="1"/>
  <c r="R619" i="1"/>
  <c r="CH616" i="1"/>
  <c r="DI621" i="1"/>
  <c r="AG617" i="1"/>
  <c r="BX624" i="1"/>
  <c r="BK617" i="1"/>
  <c r="J624" i="1"/>
  <c r="AL621" i="1"/>
  <c r="DB618" i="1"/>
  <c r="BN616" i="1"/>
  <c r="BU621" i="1"/>
  <c r="AO626" i="1"/>
  <c r="BG624" i="1"/>
  <c r="AD627" i="1"/>
  <c r="CX622" i="1"/>
  <c r="BJ620" i="1"/>
  <c r="V618" i="1"/>
  <c r="AM626" i="1"/>
  <c r="M620" i="1"/>
  <c r="CO614" i="1"/>
  <c r="BA612" i="1"/>
  <c r="CN622" i="1"/>
  <c r="L618" i="1"/>
  <c r="DD624" i="1"/>
  <c r="Z624" i="1"/>
  <c r="AL619" i="1"/>
  <c r="DC627" i="1"/>
  <c r="AW619" i="1"/>
  <c r="BT623" i="1"/>
  <c r="CL626" i="1"/>
  <c r="DB621" i="1"/>
  <c r="BN619" i="1"/>
  <c r="Z617" i="1"/>
  <c r="CW622" i="1"/>
  <c r="U618" i="1"/>
  <c r="AZ626" i="1"/>
  <c r="AM619" i="1"/>
  <c r="DB624" i="1"/>
  <c r="CH621" i="1"/>
  <c r="AT619" i="1"/>
  <c r="F617" i="1"/>
  <c r="BI622" i="1"/>
  <c r="CK617" i="1"/>
  <c r="AN623" i="1"/>
  <c r="AI616" i="1"/>
  <c r="AT623" i="1"/>
  <c r="DF620" i="1"/>
  <c r="BR618" i="1"/>
  <c r="AD616" i="1"/>
  <c r="DE620" i="1"/>
  <c r="AG615" i="1"/>
  <c r="CW612" i="1"/>
  <c r="N624" i="1"/>
  <c r="DD618" i="1"/>
  <c r="AB615" i="1"/>
  <c r="CR612" i="1"/>
  <c r="CW621" i="1"/>
  <c r="AM614" i="1"/>
  <c r="CK614" i="1"/>
  <c r="AW612" i="1"/>
  <c r="CF622" i="1"/>
  <c r="DH617" i="1"/>
  <c r="CF614" i="1"/>
  <c r="AR612" i="1"/>
  <c r="CW614" i="1"/>
  <c r="BI612" i="1"/>
  <c r="CJ614" i="1"/>
  <c r="DA618" i="1"/>
  <c r="M615" i="1"/>
  <c r="DE611" i="1"/>
  <c r="L620" i="1"/>
  <c r="H615" i="1"/>
  <c r="DI617" i="1"/>
  <c r="BM613" i="1"/>
  <c r="CL623" i="1"/>
  <c r="CN618" i="1"/>
  <c r="T615" i="1"/>
  <c r="CJ612" i="1"/>
  <c r="BQ621" i="1"/>
  <c r="W614" i="1"/>
  <c r="CC614" i="1"/>
  <c r="AO612" i="1"/>
  <c r="BP622" i="1"/>
  <c r="CR617" i="1"/>
  <c r="BX614" i="1"/>
  <c r="AJ612" i="1"/>
  <c r="BY619" i="1"/>
  <c r="L612" i="1"/>
  <c r="AO611" i="1"/>
  <c r="DE608" i="1"/>
  <c r="BQ606" i="1"/>
  <c r="AC604" i="1"/>
  <c r="CS601" i="1"/>
  <c r="BE599" i="1"/>
  <c r="CZ622" i="1"/>
  <c r="CI476" i="1"/>
  <c r="CS623" i="1"/>
  <c r="BK627" i="1"/>
  <c r="BZ471" i="1"/>
  <c r="CP461" i="1"/>
  <c r="AP456" i="1"/>
  <c r="AJ625" i="1"/>
  <c r="CA627" i="1"/>
  <c r="AM627" i="1"/>
  <c r="BF620" i="1"/>
  <c r="AR625" i="1"/>
  <c r="X625" i="1"/>
  <c r="O620" i="1"/>
  <c r="CU619" i="1"/>
  <c r="CA619" i="1"/>
  <c r="Q625" i="1"/>
  <c r="BG621" i="1"/>
  <c r="CG623" i="1"/>
  <c r="AM621" i="1"/>
  <c r="AE617" i="1"/>
  <c r="BF616" i="1"/>
  <c r="AT627" i="1"/>
  <c r="AX618" i="1"/>
  <c r="CD624" i="1"/>
  <c r="AW621" i="1"/>
  <c r="BB623" i="1"/>
  <c r="I621" i="1"/>
  <c r="BR622" i="1"/>
  <c r="BQ618" i="1"/>
  <c r="BD617" i="1"/>
  <c r="AT617" i="1"/>
  <c r="R623" i="1"/>
  <c r="DA619" i="1"/>
  <c r="BV622" i="1"/>
  <c r="BM619" i="1"/>
  <c r="CT621" i="1"/>
  <c r="U616" i="1"/>
  <c r="P616" i="1"/>
  <c r="AY618" i="1"/>
  <c r="I626" i="1"/>
  <c r="BJ618" i="1"/>
  <c r="DG625" i="1"/>
  <c r="AP618" i="1"/>
  <c r="BK621" i="1"/>
  <c r="BN617" i="1"/>
  <c r="CS611" i="1"/>
  <c r="BN622" i="1"/>
  <c r="G623" i="1"/>
  <c r="BR616" i="1"/>
  <c r="DC616" i="1"/>
  <c r="AX616" i="1"/>
  <c r="DB626" i="1"/>
  <c r="CE625" i="1"/>
  <c r="BH622" i="1"/>
  <c r="BI619" i="1"/>
  <c r="BL621" i="1"/>
  <c r="AK614" i="1"/>
  <c r="AO614" i="1"/>
  <c r="DA615" i="1"/>
  <c r="BL614" i="1"/>
  <c r="Q614" i="1"/>
  <c r="H619" i="1"/>
  <c r="CV612" i="1"/>
  <c r="AU614" i="1"/>
  <c r="BM609" i="1"/>
  <c r="CO604" i="1"/>
  <c r="M600" i="1"/>
  <c r="X618" i="1"/>
  <c r="DC613" i="1"/>
  <c r="AG610" i="1"/>
  <c r="CW607" i="1"/>
  <c r="BI605" i="1"/>
  <c r="U603" i="1"/>
  <c r="CN611" i="1"/>
  <c r="BQ616" i="1"/>
  <c r="AK613" i="1"/>
  <c r="H623" i="1"/>
  <c r="BH616" i="1"/>
  <c r="AF613" i="1"/>
  <c r="I615" i="1"/>
  <c r="CK611" i="1"/>
  <c r="CV620" i="1"/>
  <c r="X616" i="1"/>
  <c r="CN613" i="1"/>
  <c r="AZ611" i="1"/>
  <c r="AG616" i="1"/>
  <c r="CG615" i="1"/>
  <c r="AS613" i="1"/>
  <c r="F626" i="1"/>
  <c r="CZ619" i="1"/>
  <c r="CB615" i="1"/>
  <c r="AN613" i="1"/>
  <c r="AM624" i="1"/>
  <c r="AI615" i="1"/>
  <c r="AI613" i="1"/>
  <c r="DI609" i="1"/>
  <c r="BU607" i="1"/>
  <c r="AG605" i="1"/>
  <c r="CW602" i="1"/>
  <c r="BI600" i="1"/>
  <c r="U598" i="1"/>
  <c r="BP617" i="1"/>
  <c r="BO613" i="1"/>
  <c r="Q610" i="1"/>
  <c r="CV613" i="1"/>
  <c r="BM616" i="1"/>
  <c r="BU614" i="1"/>
  <c r="BI611" i="1"/>
  <c r="BD619" i="1"/>
  <c r="BP614" i="1"/>
  <c r="BI616" i="1"/>
  <c r="AG613" i="1"/>
  <c r="DD622" i="1"/>
  <c r="AB618" i="1"/>
  <c r="CR614" i="1"/>
  <c r="BD612" i="1"/>
  <c r="AW620" i="1"/>
  <c r="CC617" i="1"/>
  <c r="AW614" i="1"/>
  <c r="I612" i="1"/>
  <c r="DH621" i="1"/>
  <c r="AF617" i="1"/>
  <c r="AR614" i="1"/>
  <c r="DH611" i="1"/>
  <c r="BE618" i="1"/>
  <c r="CE623" i="1"/>
  <c r="I611" i="1"/>
  <c r="BY608" i="1"/>
  <c r="AK606" i="1"/>
  <c r="DA603" i="1"/>
  <c r="BM601" i="1"/>
  <c r="Y599" i="1"/>
  <c r="CF621" i="1"/>
  <c r="AI627" i="1"/>
  <c r="U611" i="1"/>
  <c r="CK608" i="1"/>
  <c r="AV612" i="1"/>
  <c r="AK618" i="1"/>
  <c r="CG613" i="1"/>
  <c r="DB623" i="1"/>
  <c r="AV617" i="1"/>
  <c r="CB613" i="1"/>
  <c r="AO615" i="1"/>
  <c r="AC612" i="1"/>
  <c r="BD621" i="1"/>
  <c r="CF616" i="1"/>
  <c r="P614" i="1"/>
  <c r="CF611" i="1"/>
  <c r="BA617" i="1"/>
  <c r="I616" i="1"/>
  <c r="BY613" i="1"/>
  <c r="Z627" i="1"/>
  <c r="BH620" i="1"/>
  <c r="DH615" i="1"/>
  <c r="BT613" i="1"/>
  <c r="CA626" i="1"/>
  <c r="CU615" i="1"/>
  <c r="G614" i="1"/>
  <c r="AK610" i="1"/>
  <c r="DA607" i="1"/>
  <c r="BM605" i="1"/>
  <c r="Y603" i="1"/>
  <c r="CO600" i="1"/>
  <c r="BA598" i="1"/>
  <c r="CJ618" i="1"/>
  <c r="CQ614" i="1"/>
  <c r="AW610" i="1"/>
  <c r="I608" i="1"/>
  <c r="BY605" i="1"/>
  <c r="AK603" i="1"/>
  <c r="DA600" i="1"/>
  <c r="BM598" i="1"/>
  <c r="AB619" i="1"/>
  <c r="AY613" i="1"/>
  <c r="M610" i="1"/>
  <c r="CC607" i="1"/>
  <c r="AO605" i="1"/>
  <c r="DE602" i="1"/>
  <c r="BQ600" i="1"/>
  <c r="AW606" i="1"/>
  <c r="CO601" i="1"/>
  <c r="CC598" i="1"/>
  <c r="AF616" i="1"/>
  <c r="DE610" i="1"/>
  <c r="CS607" i="1"/>
  <c r="BQ604" i="1"/>
  <c r="BE601" i="1"/>
  <c r="BI598" i="1"/>
  <c r="L619" i="1"/>
  <c r="CE613" i="1"/>
  <c r="Y610" i="1"/>
  <c r="CO607" i="1"/>
  <c r="BA605" i="1"/>
  <c r="M603" i="1"/>
  <c r="CC600" i="1"/>
  <c r="AO598" i="1"/>
  <c r="BV613" i="1"/>
  <c r="X610" i="1"/>
  <c r="CN607" i="1"/>
  <c r="AZ605" i="1"/>
  <c r="L603" i="1"/>
  <c r="CB600" i="1"/>
  <c r="AN598" i="1"/>
  <c r="CA615" i="1"/>
  <c r="CQ608" i="1"/>
  <c r="O604" i="1"/>
  <c r="AQ599" i="1"/>
  <c r="CP611" i="1"/>
  <c r="CX606" i="1"/>
  <c r="DI622" i="1"/>
  <c r="CM610" i="1"/>
  <c r="BB615" i="1"/>
  <c r="AH613" i="1"/>
  <c r="DH609" i="1"/>
  <c r="BT607" i="1"/>
  <c r="AF605" i="1"/>
  <c r="CV602" i="1"/>
  <c r="BH600" i="1"/>
  <c r="T598" i="1"/>
  <c r="DC614" i="1"/>
  <c r="BC608" i="1"/>
  <c r="CE603" i="1"/>
  <c r="BJ626" i="1"/>
  <c r="AH611" i="1"/>
  <c r="BJ606" i="1"/>
  <c r="BI621" i="1"/>
  <c r="BD622" i="1"/>
  <c r="BA611" i="1"/>
  <c r="L609" i="1"/>
  <c r="DE605" i="1"/>
  <c r="BY601" i="1"/>
  <c r="AW598" i="1"/>
  <c r="DB615" i="1"/>
  <c r="CO610" i="1"/>
  <c r="BM607" i="1"/>
  <c r="BA604" i="1"/>
  <c r="AO601" i="1"/>
  <c r="AS598" i="1"/>
  <c r="BD618" i="1"/>
  <c r="AQ613" i="1"/>
  <c r="I610" i="1"/>
  <c r="BY607" i="1"/>
  <c r="AK605" i="1"/>
  <c r="DA602" i="1"/>
  <c r="BM600" i="1"/>
  <c r="Y598" i="1"/>
  <c r="AP613" i="1"/>
  <c r="H610" i="1"/>
  <c r="BX607" i="1"/>
  <c r="AJ605" i="1"/>
  <c r="CZ602" i="1"/>
  <c r="BL600" i="1"/>
  <c r="X598" i="1"/>
  <c r="O615" i="1"/>
  <c r="BK608" i="1"/>
  <c r="CM603" i="1"/>
  <c r="Z471" i="1"/>
  <c r="CO466" i="1"/>
  <c r="BM466" i="1"/>
  <c r="BC466" i="1"/>
  <c r="BI461" i="1"/>
  <c r="BW456" i="1"/>
  <c r="DG620" i="1"/>
  <c r="CI620" i="1"/>
  <c r="BO620" i="1"/>
  <c r="AA623" i="1"/>
  <c r="DG622" i="1"/>
  <c r="CM622" i="1"/>
  <c r="I627" i="1"/>
  <c r="CS626" i="1"/>
  <c r="AN627" i="1"/>
  <c r="AF626" i="1"/>
  <c r="S619" i="1"/>
  <c r="L626" i="1"/>
  <c r="DC618" i="1"/>
  <c r="CX623" i="1"/>
  <c r="BE621" i="1"/>
  <c r="DF622" i="1"/>
  <c r="CM623" i="1"/>
  <c r="Z621" i="1"/>
  <c r="BY616" i="1"/>
  <c r="F621" i="1"/>
  <c r="U625" i="1"/>
  <c r="AD620" i="1"/>
  <c r="BI614" i="1"/>
  <c r="BD614" i="1"/>
  <c r="CK621" i="1"/>
  <c r="BB620" i="1"/>
  <c r="AK625" i="1"/>
  <c r="AH620" i="1"/>
  <c r="CV626" i="1"/>
  <c r="BF619" i="1"/>
  <c r="CK613" i="1"/>
  <c r="CF613" i="1"/>
  <c r="BJ621" i="1"/>
  <c r="BW620" i="1"/>
  <c r="CM627" i="1"/>
  <c r="BR627" i="1"/>
  <c r="K627" i="1"/>
  <c r="J626" i="1"/>
  <c r="DC623" i="1"/>
  <c r="BT621" i="1"/>
  <c r="BN618" i="1"/>
  <c r="AL625" i="1"/>
  <c r="CC621" i="1"/>
  <c r="CH623" i="1"/>
  <c r="AO621" i="1"/>
  <c r="CH622" i="1"/>
  <c r="CK619" i="1"/>
  <c r="CJ617" i="1"/>
  <c r="I617" i="1"/>
  <c r="CN616" i="1"/>
  <c r="DA611" i="1"/>
  <c r="AL626" i="1"/>
  <c r="CO612" i="1"/>
  <c r="X612" i="1"/>
  <c r="CG611" i="1"/>
  <c r="BX616" i="1"/>
  <c r="CB611" i="1"/>
  <c r="CK618" i="1"/>
  <c r="AS608" i="1"/>
  <c r="BU603" i="1"/>
  <c r="CW598" i="1"/>
  <c r="F616" i="1"/>
  <c r="BS612" i="1"/>
  <c r="BY609" i="1"/>
  <c r="AK607" i="1"/>
  <c r="DA604" i="1"/>
  <c r="BM602" i="1"/>
  <c r="BE622" i="1"/>
  <c r="BY615" i="1"/>
  <c r="BM612" i="1"/>
  <c r="AF621" i="1"/>
  <c r="BT615" i="1"/>
  <c r="BH612" i="1"/>
  <c r="U614" i="1"/>
  <c r="V626" i="1"/>
  <c r="CB619" i="1"/>
  <c r="BP615" i="1"/>
  <c r="AB613" i="1"/>
  <c r="AY623" i="1"/>
  <c r="K615" i="1"/>
  <c r="U615" i="1"/>
  <c r="CK612" i="1"/>
  <c r="BV623" i="1"/>
  <c r="CF618" i="1"/>
  <c r="P615" i="1"/>
  <c r="CF612" i="1"/>
  <c r="BA621" i="1"/>
  <c r="O614" i="1"/>
  <c r="O612" i="1"/>
  <c r="AW609" i="1"/>
  <c r="I607" i="1"/>
  <c r="BY604" i="1"/>
  <c r="AK602" i="1"/>
  <c r="DA599" i="1"/>
  <c r="N626" i="1"/>
  <c r="CD615" i="1"/>
  <c r="AM612" i="1"/>
  <c r="BI609" i="1"/>
  <c r="CB612" i="1"/>
  <c r="BE619" i="1"/>
  <c r="CW613" i="1"/>
  <c r="R625" i="1"/>
  <c r="CB617" i="1"/>
  <c r="CR613" i="1"/>
  <c r="BU615" i="1"/>
  <c r="AS612" i="1"/>
  <c r="CJ621" i="1"/>
  <c r="H617" i="1"/>
  <c r="AF614" i="1"/>
  <c r="CV611" i="1"/>
  <c r="I618" i="1"/>
  <c r="Y616" i="1"/>
  <c r="CO613" i="1"/>
  <c r="CL627" i="1"/>
  <c r="CN620" i="1"/>
  <c r="T616" i="1"/>
  <c r="CJ613" i="1"/>
  <c r="CU627" i="1"/>
  <c r="W616" i="1"/>
  <c r="S615" i="1"/>
  <c r="BA610" i="1"/>
  <c r="M608" i="1"/>
  <c r="CC605" i="1"/>
  <c r="AO603" i="1"/>
  <c r="DE600" i="1"/>
  <c r="BQ598" i="1"/>
  <c r="AR619" i="1"/>
  <c r="G616" i="1"/>
  <c r="BM610" i="1"/>
  <c r="Y608" i="1"/>
  <c r="AU626" i="1"/>
  <c r="Q616" i="1"/>
  <c r="CS612" i="1"/>
  <c r="T622" i="1"/>
  <c r="L616" i="1"/>
  <c r="CN612" i="1"/>
  <c r="BQ614" i="1"/>
  <c r="DB627" i="1"/>
  <c r="AJ620" i="1"/>
  <c r="CV615" i="1"/>
  <c r="BH613" i="1"/>
  <c r="CM625" i="1"/>
  <c r="BW615" i="1"/>
  <c r="BA615" i="1"/>
  <c r="M613" i="1"/>
  <c r="CP624" i="1"/>
  <c r="AN619" i="1"/>
  <c r="AV615" i="1"/>
  <c r="H613" i="1"/>
  <c r="BU622" i="1"/>
  <c r="CA614" i="1"/>
  <c r="CA612" i="1"/>
  <c r="CC609" i="1"/>
  <c r="AO607" i="1"/>
  <c r="DE604" i="1"/>
  <c r="BQ602" i="1"/>
  <c r="AC600" i="1"/>
  <c r="CS597" i="1"/>
  <c r="AV616" i="1"/>
  <c r="CY612" i="1"/>
  <c r="CO609" i="1"/>
  <c r="BA607" i="1"/>
  <c r="M605" i="1"/>
  <c r="CC602" i="1"/>
  <c r="AO600" i="1"/>
  <c r="DE597" i="1"/>
  <c r="CR616" i="1"/>
  <c r="AE612" i="1"/>
  <c r="BE609" i="1"/>
  <c r="Q607" i="1"/>
  <c r="CG604" i="1"/>
  <c r="AS602" i="1"/>
  <c r="DI599" i="1"/>
  <c r="AC605" i="1"/>
  <c r="M601" i="1"/>
  <c r="CO597" i="1"/>
  <c r="AO622" i="1"/>
  <c r="AC610" i="1"/>
  <c r="DE606" i="1"/>
  <c r="CS603" i="1"/>
  <c r="CG600" i="1"/>
  <c r="DA597" i="1"/>
  <c r="CB616" i="1"/>
  <c r="BC612" i="1"/>
  <c r="BQ609" i="1"/>
  <c r="AC607" i="1"/>
  <c r="CS604" i="1"/>
  <c r="BE602" i="1"/>
  <c r="Q600" i="1"/>
  <c r="BN627" i="1"/>
  <c r="BB612" i="1"/>
  <c r="BP609" i="1"/>
  <c r="AB607" i="1"/>
  <c r="CR604" i="1"/>
  <c r="BD602" i="1"/>
  <c r="P600" i="1"/>
  <c r="CF597" i="1"/>
  <c r="AM613" i="1"/>
  <c r="BW607" i="1"/>
  <c r="CY602" i="1"/>
  <c r="BX621" i="1"/>
  <c r="BB610" i="1"/>
  <c r="CD605" i="1"/>
  <c r="AG618" i="1"/>
  <c r="BS609" i="1"/>
  <c r="CD608" i="1"/>
  <c r="N612" i="1"/>
  <c r="AV609" i="1"/>
  <c r="H607" i="1"/>
  <c r="BX604" i="1"/>
  <c r="AJ602" i="1"/>
  <c r="CZ599" i="1"/>
  <c r="BL597" i="1"/>
  <c r="BO612" i="1"/>
  <c r="AI607" i="1"/>
  <c r="BK602" i="1"/>
  <c r="X620" i="1"/>
  <c r="N610" i="1"/>
  <c r="AP605" i="1"/>
  <c r="CK616" i="1"/>
  <c r="J615" i="1"/>
  <c r="CR610" i="1"/>
  <c r="BD608" i="1"/>
  <c r="CK604" i="1"/>
  <c r="CK600" i="1"/>
  <c r="DF626" i="1"/>
  <c r="DE619" i="1"/>
  <c r="DA609" i="1"/>
  <c r="CO606" i="1"/>
  <c r="CC603" i="1"/>
  <c r="BA600" i="1"/>
  <c r="CT627" i="1"/>
  <c r="V616" i="1"/>
  <c r="W612" i="1"/>
  <c r="BA609" i="1"/>
  <c r="M466" i="1"/>
  <c r="W461" i="1"/>
  <c r="P461" i="1"/>
  <c r="U466" i="1"/>
  <c r="BM456" i="1"/>
  <c r="DI623" i="1"/>
  <c r="DA627" i="1"/>
  <c r="CG627" i="1"/>
  <c r="Y626" i="1"/>
  <c r="BC618" i="1"/>
  <c r="AE618" i="1"/>
  <c r="K618" i="1"/>
  <c r="DH626" i="1"/>
  <c r="CN626" i="1"/>
  <c r="CY622" i="1"/>
  <c r="CV623" i="1"/>
  <c r="CI616" i="1"/>
  <c r="CB623" i="1"/>
  <c r="BO616" i="1"/>
  <c r="AD621" i="1"/>
  <c r="BU626" i="1"/>
  <c r="CM620" i="1"/>
  <c r="CO627" i="1"/>
  <c r="CP618" i="1"/>
  <c r="BD623" i="1"/>
  <c r="BV618" i="1"/>
  <c r="CE622" i="1"/>
  <c r="CT617" i="1"/>
  <c r="U612" i="1"/>
  <c r="CH627" i="1"/>
  <c r="BY623" i="1"/>
  <c r="N618" i="1"/>
  <c r="CU622" i="1"/>
  <c r="CX617" i="1"/>
  <c r="CI619" i="1"/>
  <c r="R617" i="1"/>
  <c r="BV627" i="1"/>
  <c r="BO627" i="1"/>
  <c r="DF617" i="1"/>
  <c r="R624" i="1"/>
  <c r="CO620" i="1"/>
  <c r="N623" i="1"/>
  <c r="BA620" i="1"/>
  <c r="AL622" i="1"/>
  <c r="Q617" i="1"/>
  <c r="CV616" i="1"/>
  <c r="DG624" i="1"/>
  <c r="AP621" i="1"/>
  <c r="DE616" i="1"/>
  <c r="V621" i="1"/>
  <c r="CG625" i="1"/>
  <c r="AT620" i="1"/>
  <c r="BY614" i="1"/>
  <c r="BT614" i="1"/>
  <c r="Y614" i="1"/>
  <c r="T614" i="1"/>
  <c r="AJ613" i="1"/>
  <c r="BP618" i="1"/>
  <c r="AR622" i="1"/>
  <c r="AC619" i="1"/>
  <c r="AD624" i="1"/>
  <c r="AF615" i="1"/>
  <c r="I622" i="1"/>
  <c r="AU612" i="1"/>
  <c r="Y607" i="1"/>
  <c r="BA602" i="1"/>
  <c r="AH627" i="1"/>
  <c r="CP614" i="1"/>
  <c r="BB611" i="1"/>
  <c r="M609" i="1"/>
  <c r="CC606" i="1"/>
  <c r="AO604" i="1"/>
  <c r="X614" i="1"/>
  <c r="CG617" i="1"/>
  <c r="DA614" i="1"/>
  <c r="BY611" i="1"/>
  <c r="CJ619" i="1"/>
  <c r="CV614" i="1"/>
  <c r="CW616" i="1"/>
  <c r="AW613" i="1"/>
  <c r="AF623" i="1"/>
  <c r="BH618" i="1"/>
  <c r="DH614" i="1"/>
  <c r="BT612" i="1"/>
  <c r="DI620" i="1"/>
  <c r="CW618" i="1"/>
  <c r="BM614" i="1"/>
  <c r="Y612" i="1"/>
  <c r="AJ622" i="1"/>
  <c r="BL617" i="1"/>
  <c r="BH614" i="1"/>
  <c r="T612" i="1"/>
  <c r="M619" i="1"/>
  <c r="BD611" i="1"/>
  <c r="Y611" i="1"/>
  <c r="CO608" i="1"/>
  <c r="BA606" i="1"/>
  <c r="M604" i="1"/>
  <c r="CC601" i="1"/>
  <c r="AO599" i="1"/>
  <c r="AN622" i="1"/>
  <c r="CZ611" i="1"/>
  <c r="AK611" i="1"/>
  <c r="DA608" i="1"/>
  <c r="BH611" i="1"/>
  <c r="AK616" i="1"/>
  <c r="U613" i="1"/>
  <c r="AZ622" i="1"/>
  <c r="AB616" i="1"/>
  <c r="P613" i="1"/>
  <c r="CG614" i="1"/>
  <c r="BU611" i="1"/>
  <c r="BP620" i="1"/>
  <c r="H616" i="1"/>
  <c r="BX613" i="1"/>
  <c r="DG626" i="1"/>
  <c r="DC615" i="1"/>
  <c r="BQ615" i="1"/>
  <c r="AC613" i="1"/>
  <c r="AX625" i="1"/>
  <c r="BT619" i="1"/>
  <c r="BL615" i="1"/>
  <c r="X613" i="1"/>
  <c r="AC623" i="1"/>
  <c r="DG614" i="1"/>
  <c r="DG612" i="1"/>
  <c r="CS609" i="1"/>
  <c r="BE607" i="1"/>
  <c r="Q605" i="1"/>
  <c r="CG602" i="1"/>
  <c r="AS600" i="1"/>
  <c r="DI597" i="1"/>
  <c r="DH616" i="1"/>
  <c r="AA613" i="1"/>
  <c r="DE609" i="1"/>
  <c r="BQ607" i="1"/>
  <c r="Q620" i="1"/>
  <c r="AC615" i="1"/>
  <c r="Q612" i="1"/>
  <c r="BX620" i="1"/>
  <c r="X615" i="1"/>
  <c r="Y619" i="1"/>
  <c r="CS613" i="1"/>
  <c r="AT624" i="1"/>
  <c r="P619" i="1"/>
  <c r="AJ615" i="1"/>
  <c r="CZ612" i="1"/>
  <c r="Y622" i="1"/>
  <c r="BC614" i="1"/>
  <c r="CS614" i="1"/>
  <c r="BE612" i="1"/>
  <c r="CV622" i="1"/>
  <c r="T618" i="1"/>
  <c r="CN614" i="1"/>
  <c r="AZ612" i="1"/>
  <c r="AG620" i="1"/>
  <c r="BG613" i="1"/>
  <c r="BG611" i="1"/>
  <c r="Q609" i="1"/>
  <c r="CG606" i="1"/>
  <c r="AS604" i="1"/>
  <c r="DI601" i="1"/>
  <c r="BU599" i="1"/>
  <c r="CD623" i="1"/>
  <c r="R615" i="1"/>
  <c r="CE611" i="1"/>
  <c r="AC609" i="1"/>
  <c r="CS606" i="1"/>
  <c r="BE604" i="1"/>
  <c r="Q602" i="1"/>
  <c r="CG599" i="1"/>
  <c r="BR624" i="1"/>
  <c r="CJ611" i="1"/>
  <c r="AG611" i="1"/>
  <c r="CW608" i="1"/>
  <c r="BI606" i="1"/>
  <c r="U604" i="1"/>
  <c r="CK601" i="1"/>
  <c r="AW599" i="1"/>
  <c r="I604" i="1"/>
  <c r="Y600" i="1"/>
  <c r="CJ622" i="1"/>
  <c r="CU613" i="1"/>
  <c r="AO609" i="1"/>
  <c r="AC606" i="1"/>
  <c r="Q603" i="1"/>
  <c r="CS599" i="1"/>
  <c r="AL624" i="1"/>
  <c r="AH615" i="1"/>
  <c r="AS611" i="1"/>
  <c r="DI608" i="1"/>
  <c r="BU606" i="1"/>
  <c r="AG604" i="1"/>
  <c r="CW601" i="1"/>
  <c r="BI599" i="1"/>
  <c r="AJ621" i="1"/>
  <c r="AR611" i="1"/>
  <c r="DH608" i="1"/>
  <c r="BT606" i="1"/>
  <c r="AF604" i="1"/>
  <c r="CV601" i="1"/>
  <c r="BH599" i="1"/>
  <c r="DC625" i="1"/>
  <c r="AA611" i="1"/>
  <c r="BC606" i="1"/>
  <c r="CE601" i="1"/>
  <c r="CZ616" i="1"/>
  <c r="AH609" i="1"/>
  <c r="BJ604" i="1"/>
  <c r="CU614" i="1"/>
  <c r="AY608" i="1"/>
  <c r="AN618" i="1"/>
  <c r="X611" i="1"/>
  <c r="CN608" i="1"/>
  <c r="AZ606" i="1"/>
  <c r="L604" i="1"/>
  <c r="CB601" i="1"/>
  <c r="AN599" i="1"/>
  <c r="U623" i="1"/>
  <c r="CQ610" i="1"/>
  <c r="O606" i="1"/>
  <c r="AQ601" i="1"/>
  <c r="CP615" i="1"/>
  <c r="CX608" i="1"/>
  <c r="V604" i="1"/>
  <c r="S614" i="1"/>
  <c r="CL613" i="1"/>
  <c r="AF610" i="1"/>
  <c r="CV607" i="1"/>
  <c r="BQ603" i="1"/>
  <c r="I600" i="1"/>
  <c r="X622" i="1"/>
  <c r="S613" i="1"/>
  <c r="Y609" i="1"/>
  <c r="M606" i="1"/>
  <c r="CO602" i="1"/>
  <c r="CC599" i="1"/>
  <c r="AB623" i="1"/>
  <c r="BT611" i="1"/>
  <c r="AC611" i="1"/>
  <c r="CS608" i="1"/>
  <c r="BE606" i="1"/>
  <c r="Q604" i="1"/>
  <c r="CG601" i="1"/>
  <c r="AS599" i="1"/>
  <c r="CZ618" i="1"/>
  <c r="AB611" i="1"/>
  <c r="CR608" i="1"/>
  <c r="BD606" i="1"/>
  <c r="P604" i="1"/>
  <c r="CF601" i="1"/>
  <c r="AR599" i="1"/>
  <c r="BO623" i="1"/>
  <c r="CY610" i="1"/>
  <c r="W606" i="1"/>
  <c r="BE456" i="1"/>
  <c r="W456" i="1"/>
  <c r="V627" i="1"/>
  <c r="CY625" i="1"/>
  <c r="Q626" i="1"/>
  <c r="O625" i="1"/>
  <c r="AQ616" i="1"/>
  <c r="AB622" i="1"/>
  <c r="CD626" i="1"/>
  <c r="CF620" i="1"/>
  <c r="M627" i="1"/>
  <c r="AC614" i="1"/>
  <c r="L624" i="1"/>
  <c r="AK612" i="1"/>
  <c r="AA615" i="1"/>
  <c r="AV621" i="1"/>
  <c r="DI605" i="1"/>
  <c r="CS610" i="1"/>
  <c r="DH612" i="1"/>
  <c r="AJ618" i="1"/>
  <c r="L622" i="1"/>
  <c r="BU618" i="1"/>
  <c r="P621" i="1"/>
  <c r="CC616" i="1"/>
  <c r="CS605" i="1"/>
  <c r="DD619" i="1"/>
  <c r="AK621" i="1"/>
  <c r="BD615" i="1"/>
  <c r="AV619" i="1"/>
  <c r="CI614" i="1"/>
  <c r="AZ618" i="1"/>
  <c r="CM613" i="1"/>
  <c r="BI604" i="1"/>
  <c r="AX615" i="1"/>
  <c r="CM615" i="1"/>
  <c r="AZ614" i="1"/>
  <c r="CZ617" i="1"/>
  <c r="Y617" i="1"/>
  <c r="DD616" i="1"/>
  <c r="U621" i="1"/>
  <c r="CK603" i="1"/>
  <c r="DA622" i="1"/>
  <c r="CW603" i="1"/>
  <c r="BQ617" i="1"/>
  <c r="BM603" i="1"/>
  <c r="BA599" i="1"/>
  <c r="BE605" i="1"/>
  <c r="AS619" i="1"/>
  <c r="BY603" i="1"/>
  <c r="CJ610" i="1"/>
  <c r="AJ601" i="1"/>
  <c r="AI605" i="1"/>
  <c r="AP603" i="1"/>
  <c r="BP610" i="1"/>
  <c r="P601" i="1"/>
  <c r="CY604" i="1"/>
  <c r="DF602" i="1"/>
  <c r="U607" i="1"/>
  <c r="BW611" i="1"/>
  <c r="DE598" i="1"/>
  <c r="AG608" i="1"/>
  <c r="BI603" i="1"/>
  <c r="CK598" i="1"/>
  <c r="BT610" i="1"/>
  <c r="CV605" i="1"/>
  <c r="T601" i="1"/>
  <c r="CC618" i="1"/>
  <c r="DG604" i="1"/>
  <c r="R627" i="1"/>
  <c r="AP611" i="1"/>
  <c r="BR606" i="1"/>
  <c r="CO621" i="1"/>
  <c r="BG610" i="1"/>
  <c r="N613" i="1"/>
  <c r="DF612" i="1"/>
  <c r="CR609" i="1"/>
  <c r="BD607" i="1"/>
  <c r="P605" i="1"/>
  <c r="CF602" i="1"/>
  <c r="AR600" i="1"/>
  <c r="DH597" i="1"/>
  <c r="AQ614" i="1"/>
  <c r="W608" i="1"/>
  <c r="AY603" i="1"/>
  <c r="V624" i="1"/>
  <c r="DF610" i="1"/>
  <c r="AD606" i="1"/>
  <c r="AO620" i="1"/>
  <c r="P620" i="1"/>
  <c r="AJ611" i="1"/>
  <c r="CZ608" i="1"/>
  <c r="BL606" i="1"/>
  <c r="X604" i="1"/>
  <c r="DI606" i="1"/>
  <c r="AG602" i="1"/>
  <c r="DI598" i="1"/>
  <c r="H618" i="1"/>
  <c r="AW611" i="1"/>
  <c r="U608" i="1"/>
  <c r="I605" i="1"/>
  <c r="DA601" i="1"/>
  <c r="CO598" i="1"/>
  <c r="AF620" i="1"/>
  <c r="AY615" i="1"/>
  <c r="BE610" i="1"/>
  <c r="Q608" i="1"/>
  <c r="CG605" i="1"/>
  <c r="AS603" i="1"/>
  <c r="DI600" i="1"/>
  <c r="BU598" i="1"/>
  <c r="AD614" i="1"/>
  <c r="BD610" i="1"/>
  <c r="P608" i="1"/>
  <c r="CF605" i="1"/>
  <c r="AR603" i="1"/>
  <c r="DH600" i="1"/>
  <c r="BT598" i="1"/>
  <c r="BI617" i="1"/>
  <c r="AY609" i="1"/>
  <c r="CA604" i="1"/>
  <c r="DC599" i="1"/>
  <c r="F613" i="1"/>
  <c r="BF607" i="1"/>
  <c r="AY627" i="1"/>
  <c r="AU611" i="1"/>
  <c r="J625" i="1"/>
  <c r="CT613" i="1"/>
  <c r="AJ610" i="1"/>
  <c r="CZ607" i="1"/>
  <c r="BL605" i="1"/>
  <c r="X603" i="1"/>
  <c r="CN600" i="1"/>
  <c r="AZ598" i="1"/>
  <c r="S616" i="1"/>
  <c r="K609" i="1"/>
  <c r="AM604" i="1"/>
  <c r="BO599" i="1"/>
  <c r="AH612" i="1"/>
  <c r="R607" i="1"/>
  <c r="BC624" i="1"/>
  <c r="G611" i="1"/>
  <c r="F612" i="1"/>
  <c r="AR609" i="1"/>
  <c r="DH606" i="1"/>
  <c r="BT604" i="1"/>
  <c r="AS605" i="1"/>
  <c r="AC601" i="1"/>
  <c r="Q598" i="1"/>
  <c r="O626" i="1"/>
  <c r="AS610" i="1"/>
  <c r="AG607" i="1"/>
  <c r="DI603" i="1"/>
  <c r="CW600" i="1"/>
  <c r="M598" i="1"/>
  <c r="AJ617" i="1"/>
  <c r="CI612" i="1"/>
  <c r="CG609" i="1"/>
  <c r="AS607" i="1"/>
  <c r="DI604" i="1"/>
  <c r="BU602" i="1"/>
  <c r="AG600" i="1"/>
  <c r="CW597" i="1"/>
  <c r="CH612" i="1"/>
  <c r="CF609" i="1"/>
  <c r="AR607" i="1"/>
  <c r="DH604" i="1"/>
  <c r="BT602" i="1"/>
  <c r="AF600" i="1"/>
  <c r="CV597" i="1"/>
  <c r="CY613" i="1"/>
  <c r="DC607" i="1"/>
  <c r="AA603" i="1"/>
  <c r="CR622" i="1"/>
  <c r="CH610" i="1"/>
  <c r="F606" i="1"/>
  <c r="BA619" i="1"/>
  <c r="CY609" i="1"/>
  <c r="CX609" i="1"/>
  <c r="AT612" i="1"/>
  <c r="BL609" i="1"/>
  <c r="X607" i="1"/>
  <c r="CN604" i="1"/>
  <c r="AZ602" i="1"/>
  <c r="L600" i="1"/>
  <c r="CB597" i="1"/>
  <c r="W613" i="1"/>
  <c r="BO607" i="1"/>
  <c r="CQ602" i="1"/>
  <c r="AR621" i="1"/>
  <c r="AT610" i="1"/>
  <c r="BV605" i="1"/>
  <c r="DE617" i="1"/>
  <c r="CL615" i="1"/>
  <c r="DH610" i="1"/>
  <c r="BT608" i="1"/>
  <c r="AF606" i="1"/>
  <c r="CV603" i="1"/>
  <c r="BH601" i="1"/>
  <c r="T599" i="1"/>
  <c r="BY621" i="1"/>
  <c r="BC610" i="1"/>
  <c r="CE605" i="1"/>
  <c r="DG600" i="1"/>
  <c r="N615" i="1"/>
  <c r="BJ608" i="1"/>
  <c r="CL603" i="1"/>
  <c r="CD613" i="1"/>
  <c r="AB610" i="1"/>
  <c r="CR607" i="1"/>
  <c r="CR602" i="1"/>
  <c r="AZ599" i="1"/>
  <c r="Q618" i="1"/>
  <c r="CM607" i="1"/>
  <c r="BO601" i="1"/>
  <c r="AL613" i="1"/>
  <c r="CT605" i="1"/>
  <c r="AL614" i="1"/>
  <c r="CJ609" i="1"/>
  <c r="BX606" i="1"/>
  <c r="AJ604" i="1"/>
  <c r="CZ601" i="1"/>
  <c r="BL599" i="1"/>
  <c r="BK626" i="1"/>
  <c r="AI611" i="1"/>
  <c r="BK606" i="1"/>
  <c r="CM601" i="1"/>
  <c r="AB617" i="1"/>
  <c r="AP609" i="1"/>
  <c r="BR604" i="1"/>
  <c r="G615" i="1"/>
  <c r="AE609" i="1"/>
  <c r="BV604" i="1"/>
  <c r="K598" i="1"/>
  <c r="BO604" i="1"/>
  <c r="J598" i="1"/>
  <c r="BN604" i="1"/>
  <c r="G598" i="1"/>
  <c r="BG604" i="1"/>
  <c r="F598" i="1"/>
  <c r="AV595" i="1"/>
  <c r="H593" i="1"/>
  <c r="BX590" i="1"/>
  <c r="AJ588" i="1"/>
  <c r="AY595" i="1"/>
  <c r="K593" i="1"/>
  <c r="CA590" i="1"/>
  <c r="AM588" i="1"/>
  <c r="BT620" i="1"/>
  <c r="V601" i="1"/>
  <c r="R614" i="1"/>
  <c r="R601" i="1"/>
  <c r="DF613" i="1"/>
  <c r="O601" i="1"/>
  <c r="CP613" i="1"/>
  <c r="N601" i="1"/>
  <c r="CB596" i="1"/>
  <c r="AN594" i="1"/>
  <c r="DD591" i="1"/>
  <c r="BP589" i="1"/>
  <c r="CE596" i="1"/>
  <c r="AQ594" i="1"/>
  <c r="DG591" i="1"/>
  <c r="BS589" i="1"/>
  <c r="AH614" i="1"/>
  <c r="BW600" i="1"/>
  <c r="AL611" i="1"/>
  <c r="BV600" i="1"/>
  <c r="AD611" i="1"/>
  <c r="BR600" i="1"/>
  <c r="V611" i="1"/>
  <c r="BO600" i="1"/>
  <c r="BH596" i="1"/>
  <c r="CB606" i="1"/>
  <c r="CJ600" i="1"/>
  <c r="BX597" i="1"/>
  <c r="CQ456" i="1"/>
  <c r="DD623" i="1"/>
  <c r="AW625" i="1"/>
  <c r="BK625" i="1"/>
  <c r="K624" i="1"/>
  <c r="R622" i="1"/>
  <c r="AH616" i="1"/>
  <c r="CL620" i="1"/>
  <c r="AI625" i="1"/>
  <c r="O616" i="1"/>
  <c r="CD620" i="1"/>
  <c r="BO622" i="1"/>
  <c r="CL618" i="1"/>
  <c r="AF612" i="1"/>
  <c r="AJ614" i="1"/>
  <c r="L614" i="1"/>
  <c r="AG601" i="1"/>
  <c r="BE608" i="1"/>
  <c r="BS614" i="1"/>
  <c r="DH613" i="1"/>
  <c r="AN617" i="1"/>
  <c r="BA616" i="1"/>
  <c r="AR616" i="1"/>
  <c r="AW616" i="1"/>
  <c r="BE603" i="1"/>
  <c r="Y618" i="1"/>
  <c r="BI615" i="1"/>
  <c r="AB612" i="1"/>
  <c r="AZ615" i="1"/>
  <c r="DI614" i="1"/>
  <c r="DD614" i="1"/>
  <c r="CM611" i="1"/>
  <c r="U602" i="1"/>
  <c r="G612" i="1"/>
  <c r="BE614" i="1"/>
  <c r="AC616" i="1"/>
  <c r="CB614" i="1"/>
  <c r="AG614" i="1"/>
  <c r="AB614" i="1"/>
  <c r="CW610" i="1"/>
  <c r="AW601" i="1"/>
  <c r="DI610" i="1"/>
  <c r="BI601" i="1"/>
  <c r="BY610" i="1"/>
  <c r="Y601" i="1"/>
  <c r="CN619" i="1"/>
  <c r="AC602" i="1"/>
  <c r="CK610" i="1"/>
  <c r="AK601" i="1"/>
  <c r="AV608" i="1"/>
  <c r="CZ598" i="1"/>
  <c r="BK600" i="1"/>
  <c r="BG612" i="1"/>
  <c r="AB608" i="1"/>
  <c r="CF598" i="1"/>
  <c r="W600" i="1"/>
  <c r="CI611" i="1"/>
  <c r="AW602" i="1"/>
  <c r="BA608" i="1"/>
  <c r="CR620" i="1"/>
  <c r="M607" i="1"/>
  <c r="AO602" i="1"/>
  <c r="AT626" i="1"/>
  <c r="AZ609" i="1"/>
  <c r="CB604" i="1"/>
  <c r="DD599" i="1"/>
  <c r="CE612" i="1"/>
  <c r="BS602" i="1"/>
  <c r="BD620" i="1"/>
  <c r="V610" i="1"/>
  <c r="AX605" i="1"/>
  <c r="M617" i="1"/>
  <c r="AM609" i="1"/>
  <c r="BJ607" i="1"/>
  <c r="CL611" i="1"/>
  <c r="AF609" i="1"/>
  <c r="CV606" i="1"/>
  <c r="BH604" i="1"/>
  <c r="T602" i="1"/>
  <c r="CJ599" i="1"/>
  <c r="AV597" i="1"/>
  <c r="DG611" i="1"/>
  <c r="DG606" i="1"/>
  <c r="AE602" i="1"/>
  <c r="DH618" i="1"/>
  <c r="CL609" i="1"/>
  <c r="J605" i="1"/>
  <c r="CY615" i="1"/>
  <c r="BZ614" i="1"/>
  <c r="CB610" i="1"/>
  <c r="AN608" i="1"/>
  <c r="DD605" i="1"/>
  <c r="BP603" i="1"/>
  <c r="CO605" i="1"/>
  <c r="AS601" i="1"/>
  <c r="AG598" i="1"/>
  <c r="BV615" i="1"/>
  <c r="BI610" i="1"/>
  <c r="AW607" i="1"/>
  <c r="AK604" i="1"/>
  <c r="I601" i="1"/>
  <c r="AC598" i="1"/>
  <c r="CV617" i="1"/>
  <c r="K613" i="1"/>
  <c r="CW609" i="1"/>
  <c r="BI607" i="1"/>
  <c r="U605" i="1"/>
  <c r="CK602" i="1"/>
  <c r="AW600" i="1"/>
  <c r="I598" i="1"/>
  <c r="J613" i="1"/>
  <c r="CV609" i="1"/>
  <c r="BH607" i="1"/>
  <c r="T605" i="1"/>
  <c r="CJ602" i="1"/>
  <c r="AV600" i="1"/>
  <c r="H598" i="1"/>
  <c r="BG614" i="1"/>
  <c r="AE608" i="1"/>
  <c r="BG603" i="1"/>
  <c r="CH624" i="1"/>
  <c r="J611" i="1"/>
  <c r="AL606" i="1"/>
  <c r="BU620" i="1"/>
  <c r="AA610" i="1"/>
  <c r="N611" i="1"/>
  <c r="BZ612" i="1"/>
  <c r="CB609" i="1"/>
  <c r="AN607" i="1"/>
  <c r="DD604" i="1"/>
  <c r="BP602" i="1"/>
  <c r="AB600" i="1"/>
  <c r="CR597" i="1"/>
  <c r="CI613" i="1"/>
  <c r="CU607" i="1"/>
  <c r="S603" i="1"/>
  <c r="BL622" i="1"/>
  <c r="BZ610" i="1"/>
  <c r="DB605" i="1"/>
  <c r="U619" i="1"/>
  <c r="CF617" i="1"/>
  <c r="T611" i="1"/>
  <c r="CJ608" i="1"/>
  <c r="AV606" i="1"/>
  <c r="H604" i="1"/>
  <c r="Y604" i="1"/>
  <c r="BE600" i="1"/>
  <c r="AX623" i="1"/>
  <c r="BK614" i="1"/>
  <c r="BU609" i="1"/>
  <c r="AS606" i="1"/>
  <c r="AG603" i="1"/>
  <c r="U600" i="1"/>
  <c r="BF625" i="1"/>
  <c r="BN615" i="1"/>
  <c r="BO611" i="1"/>
  <c r="U609" i="1"/>
  <c r="CK606" i="1"/>
  <c r="AW604" i="1"/>
  <c r="I602" i="1"/>
  <c r="BY599" i="1"/>
  <c r="F624" i="1"/>
  <c r="BN611" i="1"/>
  <c r="T609" i="1"/>
  <c r="CJ606" i="1"/>
  <c r="AV604" i="1"/>
  <c r="H602" i="1"/>
  <c r="BX599" i="1"/>
  <c r="AJ597" i="1"/>
  <c r="BK611" i="1"/>
  <c r="CI606" i="1"/>
  <c r="G602" i="1"/>
  <c r="P618" i="1"/>
  <c r="BN609" i="1"/>
  <c r="CP604" i="1"/>
  <c r="BC615" i="1"/>
  <c r="CE608" i="1"/>
  <c r="CB620" i="1"/>
  <c r="AN611" i="1"/>
  <c r="DD608" i="1"/>
  <c r="BP606" i="1"/>
  <c r="AB604" i="1"/>
  <c r="CR601" i="1"/>
  <c r="BD599" i="1"/>
  <c r="AQ625" i="1"/>
  <c r="S611" i="1"/>
  <c r="AU606" i="1"/>
  <c r="BW601" i="1"/>
  <c r="BT616" i="1"/>
  <c r="Z609" i="1"/>
  <c r="BB604" i="1"/>
  <c r="CE614" i="1"/>
  <c r="N614" i="1"/>
  <c r="AV610" i="1"/>
  <c r="H608" i="1"/>
  <c r="BX605" i="1"/>
  <c r="AJ603" i="1"/>
  <c r="CZ600" i="1"/>
  <c r="BL598" i="1"/>
  <c r="DA616" i="1"/>
  <c r="AI609" i="1"/>
  <c r="BK604" i="1"/>
  <c r="CM599" i="1"/>
  <c r="CD612" i="1"/>
  <c r="AP607" i="1"/>
  <c r="AE626" i="1"/>
  <c r="BJ612" i="1"/>
  <c r="BT609" i="1"/>
  <c r="AF607" i="1"/>
  <c r="CN601" i="1"/>
  <c r="CB598" i="1"/>
  <c r="BS613" i="1"/>
  <c r="AM606" i="1"/>
  <c r="O600" i="1"/>
  <c r="BR610" i="1"/>
  <c r="AT604" i="1"/>
  <c r="CP612" i="1"/>
  <c r="CV608" i="1"/>
  <c r="L606" i="1"/>
  <c r="CB603" i="1"/>
  <c r="AN601" i="1"/>
  <c r="DD598" i="1"/>
  <c r="Y620" i="1"/>
  <c r="O610" i="1"/>
  <c r="AQ605" i="1"/>
  <c r="BS600" i="1"/>
  <c r="AP614" i="1"/>
  <c r="V608" i="1"/>
  <c r="AX603" i="1"/>
  <c r="BW612" i="1"/>
  <c r="CA607" i="1"/>
  <c r="AY602" i="1"/>
  <c r="AA597" i="1"/>
  <c r="AX602" i="1"/>
  <c r="Z597" i="1"/>
  <c r="AT602" i="1"/>
  <c r="Y597" i="1"/>
  <c r="AQ602" i="1"/>
  <c r="X597" i="1"/>
  <c r="CN594" i="1"/>
  <c r="AZ592" i="1"/>
  <c r="L590" i="1"/>
  <c r="CB587" i="1"/>
  <c r="CQ594" i="1"/>
  <c r="BC592" i="1"/>
  <c r="O590" i="1"/>
  <c r="CM612" i="1"/>
  <c r="AX608" i="1"/>
  <c r="BN599" i="1"/>
  <c r="J608" i="1"/>
  <c r="BK599" i="1"/>
  <c r="DF607" i="1"/>
  <c r="BJ599" i="1"/>
  <c r="CX607" i="1"/>
  <c r="BF599" i="1"/>
  <c r="BS456" i="1"/>
  <c r="CV627" i="1"/>
  <c r="AC625" i="1"/>
  <c r="W618" i="1"/>
  <c r="AR624" i="1"/>
  <c r="AY622" i="1"/>
  <c r="BV626" i="1"/>
  <c r="AI618" i="1"/>
  <c r="V625" i="1"/>
  <c r="DE622" i="1"/>
  <c r="DE623" i="1"/>
  <c r="BU617" i="1"/>
  <c r="AM623" i="1"/>
  <c r="CO611" i="1"/>
  <c r="BT617" i="1"/>
  <c r="AK617" i="1"/>
  <c r="BL620" i="1"/>
  <c r="Q606" i="1"/>
  <c r="I614" i="1"/>
  <c r="CK615" i="1"/>
  <c r="AV614" i="1"/>
  <c r="DE613" i="1"/>
  <c r="CZ613" i="1"/>
  <c r="BQ610" i="1"/>
  <c r="Q601" i="1"/>
  <c r="CC610" i="1"/>
  <c r="AG612" i="1"/>
  <c r="DI613" i="1"/>
  <c r="L613" i="1"/>
  <c r="BU612" i="1"/>
  <c r="BP612" i="1"/>
  <c r="AG609" i="1"/>
  <c r="CK599" i="1"/>
  <c r="AS609" i="1"/>
  <c r="BF627" i="1"/>
  <c r="DE612" i="1"/>
  <c r="AN612" i="1"/>
  <c r="CW611" i="1"/>
  <c r="CR611" i="1"/>
  <c r="BI608" i="1"/>
  <c r="I599" i="1"/>
  <c r="BU608" i="1"/>
  <c r="U599" i="1"/>
  <c r="AK608" i="1"/>
  <c r="CG607" i="1"/>
  <c r="DC611" i="1"/>
  <c r="Q599" i="1"/>
  <c r="AW608" i="1"/>
  <c r="DA598" i="1"/>
  <c r="H606" i="1"/>
  <c r="CW619" i="1"/>
  <c r="Z614" i="1"/>
  <c r="AE607" i="1"/>
  <c r="CR605" i="1"/>
  <c r="AW618" i="1"/>
  <c r="BB613" i="1"/>
  <c r="BR612" i="1"/>
  <c r="AK599" i="1"/>
  <c r="Y605" i="1"/>
  <c r="DI616" i="1"/>
  <c r="CW605" i="1"/>
  <c r="U601" i="1"/>
  <c r="BJ614" i="1"/>
  <c r="AF608" i="1"/>
  <c r="BH603" i="1"/>
  <c r="CJ598" i="1"/>
  <c r="CE609" i="1"/>
  <c r="AY601" i="1"/>
  <c r="DF615" i="1"/>
  <c r="DF608" i="1"/>
  <c r="AD604" i="1"/>
  <c r="AI614" i="1"/>
  <c r="S608" i="1"/>
  <c r="N616" i="1"/>
  <c r="H611" i="1"/>
  <c r="BX608" i="1"/>
  <c r="AJ606" i="1"/>
  <c r="CZ603" i="1"/>
  <c r="BL601" i="1"/>
  <c r="X599" i="1"/>
  <c r="DE621" i="1"/>
  <c r="BK610" i="1"/>
  <c r="CM605" i="1"/>
  <c r="K601" i="1"/>
  <c r="AD615" i="1"/>
  <c r="BR608" i="1"/>
  <c r="CT603" i="1"/>
  <c r="BK613" i="1"/>
  <c r="BF613" i="1"/>
  <c r="P610" i="1"/>
  <c r="CF607" i="1"/>
  <c r="AR605" i="1"/>
  <c r="DH602" i="1"/>
  <c r="BU604" i="1"/>
  <c r="BU600" i="1"/>
  <c r="CL625" i="1"/>
  <c r="CE615" i="1"/>
  <c r="CK609" i="1"/>
  <c r="BY606" i="1"/>
  <c r="AW603" i="1"/>
  <c r="AK600" i="1"/>
  <c r="BZ626" i="1"/>
  <c r="CT615" i="1"/>
  <c r="CU611" i="1"/>
  <c r="AK609" i="1"/>
  <c r="DA606" i="1"/>
  <c r="BM604" i="1"/>
  <c r="Y602" i="1"/>
  <c r="CO599" i="1"/>
  <c r="Z625" i="1"/>
  <c r="CT611" i="1"/>
  <c r="AJ609" i="1"/>
  <c r="CZ606" i="1"/>
  <c r="BL604" i="1"/>
  <c r="X602" i="1"/>
  <c r="CN599" i="1"/>
  <c r="AZ597" i="1"/>
  <c r="S612" i="1"/>
  <c r="K607" i="1"/>
  <c r="AM602" i="1"/>
  <c r="AJ619" i="1"/>
  <c r="CT609" i="1"/>
  <c r="R605" i="1"/>
  <c r="K616" i="1"/>
  <c r="G609" i="1"/>
  <c r="L623" i="1"/>
  <c r="BF611" i="1"/>
  <c r="P609" i="1"/>
  <c r="CF606" i="1"/>
  <c r="AR604" i="1"/>
  <c r="DH601" i="1"/>
  <c r="BT599" i="1"/>
  <c r="CE627" i="1"/>
  <c r="AY611" i="1"/>
  <c r="CA606" i="1"/>
  <c r="DC601" i="1"/>
  <c r="CN617" i="1"/>
  <c r="BF609" i="1"/>
  <c r="CH604" i="1"/>
  <c r="AM615" i="1"/>
  <c r="AT614" i="1"/>
  <c r="BL610" i="1"/>
  <c r="X608" i="1"/>
  <c r="CN605" i="1"/>
  <c r="AZ603" i="1"/>
  <c r="DI602" i="1"/>
  <c r="BQ599" i="1"/>
  <c r="AV620" i="1"/>
  <c r="BK612" i="1"/>
  <c r="CG608" i="1"/>
  <c r="BU605" i="1"/>
  <c r="BI602" i="1"/>
  <c r="AG599" i="1"/>
  <c r="H622" i="1"/>
  <c r="CG621" i="1"/>
  <c r="DA610" i="1"/>
  <c r="BM608" i="1"/>
  <c r="Y606" i="1"/>
  <c r="CO603" i="1"/>
  <c r="BA601" i="1"/>
  <c r="M599" i="1"/>
  <c r="AP615" i="1"/>
  <c r="CZ610" i="1"/>
  <c r="BL608" i="1"/>
  <c r="X606" i="1"/>
  <c r="CN603" i="1"/>
  <c r="AZ601" i="1"/>
  <c r="L599" i="1"/>
  <c r="M621" i="1"/>
  <c r="AM610" i="1"/>
  <c r="BO605" i="1"/>
  <c r="CQ600" i="1"/>
  <c r="CL614" i="1"/>
  <c r="AT608" i="1"/>
  <c r="BV603" i="1"/>
  <c r="O613" i="1"/>
  <c r="BK607" i="1"/>
  <c r="CH614" i="1"/>
  <c r="CF610" i="1"/>
  <c r="AR608" i="1"/>
  <c r="DH605" i="1"/>
  <c r="BT603" i="1"/>
  <c r="AF601" i="1"/>
  <c r="CV598" i="1"/>
  <c r="BQ619" i="1"/>
  <c r="DC609" i="1"/>
  <c r="AA605" i="1"/>
  <c r="BC600" i="1"/>
  <c r="J614" i="1"/>
  <c r="F608" i="1"/>
  <c r="AH603" i="1"/>
  <c r="AQ612" i="1"/>
  <c r="CX612" i="1"/>
  <c r="CN609" i="1"/>
  <c r="AZ607" i="1"/>
  <c r="L605" i="1"/>
  <c r="CB602" i="1"/>
  <c r="AN600" i="1"/>
  <c r="DD597" i="1"/>
  <c r="AA614" i="1"/>
  <c r="O608" i="1"/>
  <c r="AQ603" i="1"/>
  <c r="BN623" i="1"/>
  <c r="CX610" i="1"/>
  <c r="V606" i="1"/>
  <c r="CV621" i="1"/>
  <c r="AV611" i="1"/>
  <c r="H609" i="1"/>
  <c r="AJ607" i="1"/>
  <c r="L601" i="1"/>
  <c r="CN597" i="1"/>
  <c r="K611" i="1"/>
  <c r="CQ604" i="1"/>
  <c r="AF622" i="1"/>
  <c r="R609" i="1"/>
  <c r="CX602" i="1"/>
  <c r="AF611" i="1"/>
  <c r="T608" i="1"/>
  <c r="BD605" i="1"/>
  <c r="P603" i="1"/>
  <c r="CF600" i="1"/>
  <c r="AR598" i="1"/>
  <c r="CQ615" i="1"/>
  <c r="CY608" i="1"/>
  <c r="W604" i="1"/>
  <c r="AY599" i="1"/>
  <c r="DF611" i="1"/>
  <c r="DF606" i="1"/>
  <c r="AK623" i="1"/>
  <c r="CU610" i="1"/>
  <c r="J616" i="1"/>
  <c r="CT600" i="1"/>
  <c r="AP612" i="1"/>
  <c r="CP600" i="1"/>
  <c r="Z612" i="1"/>
  <c r="CM600" i="1"/>
  <c r="J612" i="1"/>
  <c r="CL600" i="1"/>
  <c r="BP596" i="1"/>
  <c r="AB594" i="1"/>
  <c r="CR591" i="1"/>
  <c r="BD589" i="1"/>
  <c r="BS596" i="1"/>
  <c r="AE594" i="1"/>
  <c r="CU591" i="1"/>
  <c r="BG589" i="1"/>
  <c r="BK609" i="1"/>
  <c r="N605" i="1"/>
  <c r="AI598" i="1"/>
  <c r="G605" i="1"/>
  <c r="AH598" i="1"/>
  <c r="F605" i="1"/>
  <c r="AE598" i="1"/>
  <c r="DC604" i="1"/>
  <c r="AD598" i="1"/>
  <c r="BH595" i="1"/>
  <c r="T593" i="1"/>
  <c r="CJ590" i="1"/>
  <c r="AV588" i="1"/>
  <c r="BK595" i="1"/>
  <c r="W593" i="1"/>
  <c r="CM590" i="1"/>
  <c r="O609" i="1"/>
  <c r="AP604" i="1"/>
  <c r="CY597" i="1"/>
  <c r="AI604" i="1"/>
  <c r="CX597" i="1"/>
  <c r="AH604" i="1"/>
  <c r="CU597" i="1"/>
  <c r="AA604" i="1"/>
  <c r="CT597" i="1"/>
  <c r="AN595" i="1"/>
  <c r="BL602" i="1"/>
  <c r="AJ599" i="1"/>
  <c r="X461" i="1"/>
  <c r="CT618" i="1"/>
  <c r="CG622" i="1"/>
  <c r="F618" i="1"/>
  <c r="BM620" i="1"/>
  <c r="H612" i="1"/>
  <c r="CG598" i="1"/>
  <c r="CK622" i="1"/>
  <c r="CX624" i="1"/>
  <c r="CO619" i="1"/>
  <c r="T621" i="1"/>
  <c r="CS602" i="1"/>
  <c r="CX614" i="1"/>
  <c r="BB614" i="1"/>
  <c r="BX609" i="1"/>
  <c r="CC604" i="1"/>
  <c r="AN602" i="1"/>
  <c r="BR613" i="1"/>
  <c r="DC606" i="1"/>
  <c r="CB605" i="1"/>
  <c r="AC617" i="1"/>
  <c r="CT612" i="1"/>
  <c r="AL612" i="1"/>
  <c r="AV602" i="1"/>
  <c r="CQ612" i="1"/>
  <c r="BM599" i="1"/>
  <c r="CC608" i="1"/>
  <c r="AC599" i="1"/>
  <c r="AN606" i="1"/>
  <c r="AG622" i="1"/>
  <c r="AT615" i="1"/>
  <c r="CQ607" i="1"/>
  <c r="T606" i="1"/>
  <c r="CK620" i="1"/>
  <c r="BV614" i="1"/>
  <c r="Z613" i="1"/>
  <c r="BM606" i="1"/>
  <c r="Q611" i="1"/>
  <c r="BY598" i="1"/>
  <c r="DE607" i="1"/>
  <c r="BE598" i="1"/>
  <c r="BP605" i="1"/>
  <c r="AO616" i="1"/>
  <c r="AX612" i="1"/>
  <c r="AZ619" i="1"/>
  <c r="AV605" i="1"/>
  <c r="BK615" i="1"/>
  <c r="BZ611" i="1"/>
  <c r="CD611" i="1"/>
  <c r="P602" i="1"/>
  <c r="CY606" i="1"/>
  <c r="DF604" i="1"/>
  <c r="CZ604" i="1"/>
  <c r="K603" i="1"/>
  <c r="BH610" i="1"/>
  <c r="T600" i="1"/>
  <c r="DG602" i="1"/>
  <c r="BM618" i="1"/>
  <c r="V607" i="1"/>
  <c r="F607" i="1"/>
  <c r="AF591" i="1"/>
  <c r="AI591" i="1"/>
  <c r="AO597" i="1"/>
  <c r="AL597" i="1"/>
  <c r="CZ594" i="1"/>
  <c r="X590" i="1"/>
  <c r="DC594" i="1"/>
  <c r="AA590" i="1"/>
  <c r="AD602" i="1"/>
  <c r="AA602" i="1"/>
  <c r="Z602" i="1"/>
  <c r="V602" i="1"/>
  <c r="CF594" i="1"/>
  <c r="AV598" i="1"/>
  <c r="CI610" i="1"/>
  <c r="AE604" i="1"/>
  <c r="L621" i="1"/>
  <c r="CP608" i="1"/>
  <c r="CU623" i="1"/>
  <c r="P611" i="1"/>
  <c r="DH607" i="1"/>
  <c r="AN605" i="1"/>
  <c r="DD602" i="1"/>
  <c r="BP600" i="1"/>
  <c r="AB598" i="1"/>
  <c r="AE615" i="1"/>
  <c r="BS608" i="1"/>
  <c r="CU603" i="1"/>
  <c r="CD627" i="1"/>
  <c r="AX611" i="1"/>
  <c r="BZ606" i="1"/>
  <c r="Q622" i="1"/>
  <c r="I620" i="1"/>
  <c r="BF612" i="1"/>
  <c r="BB600" i="1"/>
  <c r="CD610" i="1"/>
  <c r="AY600" i="1"/>
  <c r="BV610" i="1"/>
  <c r="AX600" i="1"/>
  <c r="BN610" i="1"/>
  <c r="AT600" i="1"/>
  <c r="AZ596" i="1"/>
  <c r="L594" i="1"/>
  <c r="CB591" i="1"/>
  <c r="AN589" i="1"/>
  <c r="BC596" i="1"/>
  <c r="O594" i="1"/>
  <c r="CE591" i="1"/>
  <c r="AQ589" i="1"/>
  <c r="W609" i="1"/>
  <c r="BF604" i="1"/>
  <c r="DG597" i="1"/>
  <c r="AY604" i="1"/>
  <c r="DF597" i="1"/>
  <c r="AX604" i="1"/>
  <c r="DC597" i="1"/>
  <c r="AQ604" i="1"/>
  <c r="DB597" i="1"/>
  <c r="AR595" i="1"/>
  <c r="DH592" i="1"/>
  <c r="BT590" i="1"/>
  <c r="AF588" i="1"/>
  <c r="AU595" i="1"/>
  <c r="G593" i="1"/>
  <c r="BW590" i="1"/>
  <c r="BW608" i="1"/>
  <c r="CH603" i="1"/>
  <c r="BZ597" i="1"/>
  <c r="CA603" i="1"/>
  <c r="BY597" i="1"/>
  <c r="BZ603" i="1"/>
  <c r="BW597" i="1"/>
  <c r="BS603" i="1"/>
  <c r="BV597" i="1"/>
  <c r="X595" i="1"/>
  <c r="CF603" i="1"/>
  <c r="CV599" i="1"/>
  <c r="BE620" i="1"/>
  <c r="CA608" i="1"/>
  <c r="BC602" i="1"/>
  <c r="BF614" i="1"/>
  <c r="CH606" i="1"/>
  <c r="BF615" i="1"/>
  <c r="L610" i="1"/>
  <c r="DD606" i="1"/>
  <c r="BP604" i="1"/>
  <c r="AB602" i="1"/>
  <c r="CR599" i="1"/>
  <c r="BD597" i="1"/>
  <c r="AI612" i="1"/>
  <c r="S607" i="1"/>
  <c r="AU602" i="1"/>
  <c r="BP619" i="1"/>
  <c r="DB609" i="1"/>
  <c r="Z605" i="1"/>
  <c r="AA616" i="1"/>
  <c r="K610" i="1"/>
  <c r="CP605" i="1"/>
  <c r="BW598" i="1"/>
  <c r="CI605" i="1"/>
  <c r="BV598" i="1"/>
  <c r="CH605" i="1"/>
  <c r="BS598" i="1"/>
  <c r="CA605" i="1"/>
  <c r="BR598" i="1"/>
  <c r="CB595" i="1"/>
  <c r="AN593" i="1"/>
  <c r="DD590" i="1"/>
  <c r="BP588" i="1"/>
  <c r="CE595" i="1"/>
  <c r="AQ593" i="1"/>
  <c r="DG590" i="1"/>
  <c r="BS588" i="1"/>
  <c r="W607" i="1"/>
  <c r="DB601" i="1"/>
  <c r="BH621" i="1"/>
  <c r="CY601" i="1"/>
  <c r="AB621" i="1"/>
  <c r="CX601" i="1"/>
  <c r="CZ620" i="1"/>
  <c r="CT601" i="1"/>
  <c r="DH596" i="1"/>
  <c r="BT594" i="1"/>
  <c r="AF592" i="1"/>
  <c r="CV589" i="1"/>
  <c r="G597" i="1"/>
  <c r="BW594" i="1"/>
  <c r="AI592" i="1"/>
  <c r="CY589" i="1"/>
  <c r="AX627" i="1"/>
  <c r="BB601" i="1"/>
  <c r="CX615" i="1"/>
  <c r="AX601" i="1"/>
  <c r="CH615" i="1"/>
  <c r="AU601" i="1"/>
  <c r="BH605" i="1"/>
  <c r="BD600" i="1"/>
  <c r="S627" i="1"/>
  <c r="CU609" i="1"/>
  <c r="BW603" i="1"/>
  <c r="BH617" i="1"/>
  <c r="DB607" i="1"/>
  <c r="AC621" i="1"/>
  <c r="BX610" i="1"/>
  <c r="BL607" i="1"/>
  <c r="H605" i="1"/>
  <c r="BX602" i="1"/>
  <c r="AJ600" i="1"/>
  <c r="CZ597" i="1"/>
  <c r="K614" i="1"/>
  <c r="G608" i="1"/>
  <c r="AI603" i="1"/>
  <c r="T623" i="1"/>
  <c r="CP610" i="1"/>
  <c r="N606" i="1"/>
  <c r="CG619" i="1"/>
  <c r="AU613" i="1"/>
  <c r="F609" i="1"/>
  <c r="BZ599" i="1"/>
  <c r="AP608" i="1"/>
  <c r="BV599" i="1"/>
  <c r="AH608" i="1"/>
  <c r="BS599" i="1"/>
  <c r="Z608" i="1"/>
  <c r="BR599" i="1"/>
  <c r="T596" i="1"/>
  <c r="CJ593" i="1"/>
  <c r="AV591" i="1"/>
  <c r="H589" i="1"/>
  <c r="W596" i="1"/>
  <c r="CM593" i="1"/>
  <c r="AY591" i="1"/>
  <c r="K589" i="1"/>
  <c r="AQ608" i="1"/>
  <c r="AL603" i="1"/>
  <c r="BJ597" i="1"/>
  <c r="AE603" i="1"/>
  <c r="BI597" i="1"/>
  <c r="AD603" i="1"/>
  <c r="BG597" i="1"/>
  <c r="W603" i="1"/>
  <c r="BF597" i="1"/>
  <c r="L595" i="1"/>
  <c r="CB592" i="1"/>
  <c r="AN590" i="1"/>
  <c r="DD587" i="1"/>
  <c r="O595" i="1"/>
  <c r="CE592" i="1"/>
  <c r="AQ590" i="1"/>
  <c r="CY607" i="1"/>
  <c r="BV602" i="1"/>
  <c r="AI597" i="1"/>
  <c r="BR602" i="1"/>
  <c r="AH597" i="1"/>
  <c r="BO602" i="1"/>
  <c r="AG597" i="1"/>
  <c r="BN602" i="1"/>
  <c r="AF597" i="1"/>
  <c r="CV594" i="1"/>
  <c r="BH592" i="1"/>
  <c r="T590" i="1"/>
  <c r="CJ587" i="1"/>
  <c r="CY594" i="1"/>
  <c r="BK592" i="1"/>
  <c r="W590" i="1"/>
  <c r="AU607" i="1"/>
  <c r="S602" i="1"/>
  <c r="BB624" i="1"/>
  <c r="R602" i="1"/>
  <c r="CT623" i="1"/>
  <c r="N602" i="1"/>
  <c r="BR615" i="1"/>
  <c r="AV593" i="1"/>
  <c r="AJ590" i="1"/>
  <c r="BK596" i="1"/>
  <c r="AY593" i="1"/>
  <c r="AM590" i="1"/>
  <c r="CL610" i="1"/>
  <c r="AY598" i="1"/>
  <c r="BG602" i="1"/>
  <c r="CH609" i="1"/>
  <c r="AU598" i="1"/>
  <c r="BW604" i="1"/>
  <c r="N598" i="1"/>
  <c r="AZ595" i="1"/>
  <c r="L593" i="1"/>
  <c r="CB590" i="1"/>
  <c r="AN588" i="1"/>
  <c r="BC595" i="1"/>
  <c r="O593" i="1"/>
  <c r="CE590" i="1"/>
  <c r="F597" i="1"/>
  <c r="BV594" i="1"/>
  <c r="AH592" i="1"/>
  <c r="BQ596" i="1"/>
  <c r="AC594" i="1"/>
  <c r="CS591" i="1"/>
  <c r="BE589" i="1"/>
  <c r="Z588" i="1"/>
  <c r="BE585" i="1"/>
  <c r="Q583" i="1"/>
  <c r="CG580" i="1"/>
  <c r="V588" i="1"/>
  <c r="BD585" i="1"/>
  <c r="P583" i="1"/>
  <c r="CF580" i="1"/>
  <c r="CM588" i="1"/>
  <c r="BF595" i="1"/>
  <c r="R593" i="1"/>
  <c r="CH590" i="1"/>
  <c r="M595" i="1"/>
  <c r="CC592" i="1"/>
  <c r="AO590" i="1"/>
  <c r="DE587" i="1"/>
  <c r="AO586" i="1"/>
  <c r="DE583" i="1"/>
  <c r="BQ581" i="1"/>
  <c r="AC579" i="1"/>
  <c r="AN586" i="1"/>
  <c r="DD583" i="1"/>
  <c r="BP581" i="1"/>
  <c r="BO587" i="1"/>
  <c r="BK588" i="1"/>
  <c r="AL595" i="1"/>
  <c r="DB592" i="1"/>
  <c r="BN590" i="1"/>
  <c r="CW594" i="1"/>
  <c r="BI592" i="1"/>
  <c r="U590" i="1"/>
  <c r="CK587" i="1"/>
  <c r="U586" i="1"/>
  <c r="CK583" i="1"/>
  <c r="AW581" i="1"/>
  <c r="I579" i="1"/>
  <c r="T586" i="1"/>
  <c r="CL599" i="1"/>
  <c r="AR592" i="1"/>
  <c r="AF589" i="1"/>
  <c r="BW595" i="1"/>
  <c r="AU592" i="1"/>
  <c r="DG613" i="1"/>
  <c r="CL604" i="1"/>
  <c r="T619" i="1"/>
  <c r="CH599" i="1"/>
  <c r="CD604" i="1"/>
  <c r="AJ623" i="1"/>
  <c r="K602" i="1"/>
  <c r="L597" i="1"/>
  <c r="CB594" i="1"/>
  <c r="AN592" i="1"/>
  <c r="DD589" i="1"/>
  <c r="O597" i="1"/>
  <c r="CE594" i="1"/>
  <c r="AQ592" i="1"/>
  <c r="DG589" i="1"/>
  <c r="AH596" i="1"/>
  <c r="CX593" i="1"/>
  <c r="BJ591" i="1"/>
  <c r="CS595" i="1"/>
  <c r="BE593" i="1"/>
  <c r="Q591" i="1"/>
  <c r="CG588" i="1"/>
  <c r="Q587" i="1"/>
  <c r="CG584" i="1"/>
  <c r="AS582" i="1"/>
  <c r="DI579" i="1"/>
  <c r="P587" i="1"/>
  <c r="CF584" i="1"/>
  <c r="AR582" i="1"/>
  <c r="Z590" i="1"/>
  <c r="R597" i="1"/>
  <c r="CH594" i="1"/>
  <c r="AT592" i="1"/>
  <c r="CC596" i="1"/>
  <c r="AO594" i="1"/>
  <c r="DE591" i="1"/>
  <c r="BQ589" i="1"/>
  <c r="BV588" i="1"/>
  <c r="BQ585" i="1"/>
  <c r="AC583" i="1"/>
  <c r="CS580" i="1"/>
  <c r="BR588" i="1"/>
  <c r="BP585" i="1"/>
  <c r="AB583" i="1"/>
  <c r="CR580" i="1"/>
  <c r="CQ586" i="1"/>
  <c r="DB596" i="1"/>
  <c r="BN594" i="1"/>
  <c r="Z592" i="1"/>
  <c r="BI596" i="1"/>
  <c r="U594" i="1"/>
  <c r="CK591" i="1"/>
  <c r="AW589" i="1"/>
  <c r="CX587" i="1"/>
  <c r="AW585" i="1"/>
  <c r="I583" i="1"/>
  <c r="BY580" i="1"/>
  <c r="CR593" i="1"/>
  <c r="BP590" i="1"/>
  <c r="DG596" i="1"/>
  <c r="CU593" i="1"/>
  <c r="BS590" i="1"/>
  <c r="DH622" i="1"/>
  <c r="AT599" i="1"/>
  <c r="BK603" i="1"/>
  <c r="V615" i="1"/>
  <c r="AM599" i="1"/>
  <c r="CQ605" i="1"/>
  <c r="BZ598" i="1"/>
  <c r="CF595" i="1"/>
  <c r="AR593" i="1"/>
  <c r="DH590" i="1"/>
  <c r="BT588" i="1"/>
  <c r="CI595" i="1"/>
  <c r="AU593" i="1"/>
  <c r="G591" i="1"/>
  <c r="K588" i="1"/>
  <c r="DB594" i="1"/>
  <c r="BN592" i="1"/>
  <c r="CW596" i="1"/>
  <c r="BI594" i="1"/>
  <c r="U592" i="1"/>
  <c r="CK589" i="1"/>
  <c r="AT589" i="1"/>
  <c r="CK585" i="1"/>
  <c r="AW583" i="1"/>
  <c r="I581" i="1"/>
  <c r="AP589" i="1"/>
  <c r="CJ585" i="1"/>
  <c r="AV583" i="1"/>
  <c r="H581" i="1"/>
  <c r="W589" i="1"/>
  <c r="CL595" i="1"/>
  <c r="AX593" i="1"/>
  <c r="J591" i="1"/>
  <c r="AS595" i="1"/>
  <c r="DI592" i="1"/>
  <c r="BU590" i="1"/>
  <c r="AG588" i="1"/>
  <c r="BU586" i="1"/>
  <c r="AG584" i="1"/>
  <c r="CW581" i="1"/>
  <c r="BI579" i="1"/>
  <c r="BT586" i="1"/>
  <c r="AF584" i="1"/>
  <c r="CV581" i="1"/>
  <c r="AH588" i="1"/>
  <c r="DC588" i="1"/>
  <c r="BR595" i="1"/>
  <c r="AD593" i="1"/>
  <c r="CT590" i="1"/>
  <c r="Y595" i="1"/>
  <c r="CO592" i="1"/>
  <c r="BA590" i="1"/>
  <c r="M588" i="1"/>
  <c r="BA586" i="1"/>
  <c r="M584" i="1"/>
  <c r="CC581" i="1"/>
  <c r="BA597" i="1"/>
  <c r="L592" i="1"/>
  <c r="CN588" i="1"/>
  <c r="AA595" i="1"/>
  <c r="O592" i="1"/>
  <c r="S610" i="1"/>
  <c r="F603" i="1"/>
  <c r="DB612" i="1"/>
  <c r="CD598" i="1"/>
  <c r="DB602" i="1"/>
  <c r="F615" i="1"/>
  <c r="AH601" i="1"/>
  <c r="CJ596" i="1"/>
  <c r="AV594" i="1"/>
  <c r="H592" i="1"/>
  <c r="BX589" i="1"/>
  <c r="CM596" i="1"/>
  <c r="AY594" i="1"/>
  <c r="K592" i="1"/>
  <c r="AY589" i="1"/>
  <c r="DF595" i="1"/>
  <c r="BR593" i="1"/>
  <c r="AD591" i="1"/>
  <c r="BM595" i="1"/>
  <c r="Y593" i="1"/>
  <c r="CO590" i="1"/>
  <c r="BA588" i="1"/>
  <c r="CO586" i="1"/>
  <c r="BA584" i="1"/>
  <c r="M582" i="1"/>
  <c r="CC579" i="1"/>
  <c r="CN586" i="1"/>
  <c r="AZ584" i="1"/>
  <c r="L582" i="1"/>
  <c r="F589" i="1"/>
  <c r="CP596" i="1"/>
  <c r="BB594" i="1"/>
  <c r="N592" i="1"/>
  <c r="AW596" i="1"/>
  <c r="I594" i="1"/>
  <c r="BY591" i="1"/>
  <c r="AK589" i="1"/>
  <c r="BZ587" i="1"/>
  <c r="AK585" i="1"/>
  <c r="DA582" i="1"/>
  <c r="BM580" i="1"/>
  <c r="BY587" i="1"/>
  <c r="AJ585" i="1"/>
  <c r="CZ582" i="1"/>
  <c r="BL580" i="1"/>
  <c r="BK586" i="1"/>
  <c r="BV596" i="1"/>
  <c r="AH594" i="1"/>
  <c r="CB627" i="1"/>
  <c r="BB616" i="1"/>
  <c r="CX620" i="1"/>
  <c r="AO617" i="1"/>
  <c r="CG603" i="1"/>
  <c r="BQ611" i="1"/>
  <c r="AO608" i="1"/>
  <c r="X623" i="1"/>
  <c r="BP613" i="1"/>
  <c r="CB621" i="1"/>
  <c r="AG606" i="1"/>
  <c r="BQ608" i="1"/>
  <c r="BX603" i="1"/>
  <c r="BD603" i="1"/>
  <c r="BT618" i="1"/>
  <c r="DE599" i="1"/>
  <c r="BP597" i="1"/>
  <c r="CL607" i="1"/>
  <c r="V614" i="1"/>
  <c r="AN603" i="1"/>
  <c r="AQ609" i="1"/>
  <c r="AX607" i="1"/>
  <c r="BH609" i="1"/>
  <c r="BA603" i="1"/>
  <c r="I609" i="1"/>
  <c r="BT622" i="1"/>
  <c r="AO606" i="1"/>
  <c r="BL616" i="1"/>
  <c r="DD603" i="1"/>
  <c r="BS610" i="1"/>
  <c r="BZ608" i="1"/>
  <c r="Z615" i="1"/>
  <c r="CJ603" i="1"/>
  <c r="AE610" i="1"/>
  <c r="AL608" i="1"/>
  <c r="DD609" i="1"/>
  <c r="DE601" i="1"/>
  <c r="DI607" i="1"/>
  <c r="BX619" i="1"/>
  <c r="BQ605" i="1"/>
  <c r="DB613" i="1"/>
  <c r="AB603" i="1"/>
  <c r="S609" i="1"/>
  <c r="Z607" i="1"/>
  <c r="BN613" i="1"/>
  <c r="H603" i="1"/>
  <c r="CI608" i="1"/>
  <c r="CP606" i="1"/>
  <c r="AB609" i="1"/>
  <c r="CF599" i="1"/>
  <c r="W602" i="1"/>
  <c r="DF614" i="1"/>
  <c r="X600" i="1"/>
  <c r="AN616" i="1"/>
  <c r="AV607" i="1"/>
  <c r="CJ597" i="1"/>
  <c r="DD621" i="1"/>
  <c r="AE611" i="1"/>
  <c r="AE599" i="1"/>
  <c r="Z599" i="1"/>
  <c r="CV588" i="1"/>
  <c r="CY588" i="1"/>
  <c r="CD602" i="1"/>
  <c r="BW602" i="1"/>
  <c r="CF593" i="1"/>
  <c r="DH588" i="1"/>
  <c r="CI593" i="1"/>
  <c r="BW610" i="1"/>
  <c r="O599" i="1"/>
  <c r="N599" i="1"/>
  <c r="K599" i="1"/>
  <c r="J599" i="1"/>
  <c r="AN604" i="1"/>
  <c r="CS622" i="1"/>
  <c r="DG608" i="1"/>
  <c r="CI602" i="1"/>
  <c r="BZ615" i="1"/>
  <c r="J607" i="1"/>
  <c r="T617" i="1"/>
  <c r="AR610" i="1"/>
  <c r="P607" i="1"/>
  <c r="CF604" i="1"/>
  <c r="AR602" i="1"/>
  <c r="DH599" i="1"/>
  <c r="BT597" i="1"/>
  <c r="CU612" i="1"/>
  <c r="AY607" i="1"/>
  <c r="CA602" i="1"/>
  <c r="CJ620" i="1"/>
  <c r="AD610" i="1"/>
  <c r="BF605" i="1"/>
  <c r="AS617" i="1"/>
  <c r="AY610" i="1"/>
  <c r="AX606" i="1"/>
  <c r="DC598" i="1"/>
  <c r="AQ606" i="1"/>
  <c r="DB598" i="1"/>
  <c r="AP606" i="1"/>
  <c r="CY598" i="1"/>
  <c r="AI606" i="1"/>
  <c r="CX598" i="1"/>
  <c r="CR595" i="1"/>
  <c r="BD593" i="1"/>
  <c r="P591" i="1"/>
  <c r="CF588" i="1"/>
  <c r="CU595" i="1"/>
  <c r="BG593" i="1"/>
  <c r="S591" i="1"/>
  <c r="CI588" i="1"/>
  <c r="BS607" i="1"/>
  <c r="AP602" i="1"/>
  <c r="W597" i="1"/>
  <c r="AL602" i="1"/>
  <c r="V597" i="1"/>
  <c r="AI602" i="1"/>
  <c r="U597" i="1"/>
  <c r="AH602" i="1"/>
  <c r="T597" i="1"/>
  <c r="CJ594" i="1"/>
  <c r="AV592" i="1"/>
  <c r="H590" i="1"/>
  <c r="BX587" i="1"/>
  <c r="CM594" i="1"/>
  <c r="AY592" i="1"/>
  <c r="K590" i="1"/>
  <c r="O607" i="1"/>
  <c r="CQ601" i="1"/>
  <c r="AN620" i="1"/>
  <c r="CP601" i="1"/>
  <c r="H620" i="1"/>
  <c r="CL601" i="1"/>
  <c r="CF619" i="1"/>
  <c r="CI601" i="1"/>
  <c r="DD596" i="1"/>
  <c r="BP594" i="1"/>
  <c r="AF602" i="1"/>
  <c r="DH598" i="1"/>
  <c r="AU615" i="1"/>
  <c r="AA607" i="1"/>
  <c r="CA600" i="1"/>
  <c r="BJ611" i="1"/>
  <c r="AH605" i="1"/>
  <c r="AX613" i="1"/>
  <c r="AN609" i="1"/>
  <c r="AR606" i="1"/>
  <c r="DH603" i="1"/>
  <c r="BT601" i="1"/>
  <c r="AF599" i="1"/>
  <c r="BM622" i="1"/>
  <c r="CA610" i="1"/>
  <c r="DC605" i="1"/>
  <c r="AA601" i="1"/>
  <c r="BJ615" i="1"/>
  <c r="CH608" i="1"/>
  <c r="F604" i="1"/>
  <c r="CQ613" i="1"/>
  <c r="BG608" i="1"/>
  <c r="BB603" i="1"/>
  <c r="BO597" i="1"/>
  <c r="AU603" i="1"/>
  <c r="BN597" i="1"/>
  <c r="AT603" i="1"/>
  <c r="BM597" i="1"/>
  <c r="AM603" i="1"/>
  <c r="BK597" i="1"/>
  <c r="P595" i="1"/>
  <c r="CF592" i="1"/>
  <c r="AR590" i="1"/>
  <c r="DH587" i="1"/>
  <c r="S595" i="1"/>
  <c r="CI592" i="1"/>
  <c r="AU590" i="1"/>
  <c r="CS618" i="1"/>
  <c r="CX611" i="1"/>
  <c r="AQ600" i="1"/>
  <c r="AX610" i="1"/>
  <c r="AP600" i="1"/>
  <c r="AP610" i="1"/>
  <c r="AL600" i="1"/>
  <c r="AH610" i="1"/>
  <c r="AI600" i="1"/>
  <c r="AV596" i="1"/>
  <c r="H594" i="1"/>
  <c r="BX591" i="1"/>
  <c r="AJ589" i="1"/>
  <c r="AY596" i="1"/>
  <c r="K594" i="1"/>
  <c r="CA591" i="1"/>
  <c r="BO614" i="1"/>
  <c r="BR609" i="1"/>
  <c r="CT599" i="1"/>
  <c r="DB608" i="1"/>
  <c r="CQ599" i="1"/>
  <c r="CT608" i="1"/>
  <c r="CP599" i="1"/>
  <c r="T603" i="1"/>
  <c r="BP599" i="1"/>
  <c r="AK619" i="1"/>
  <c r="AU608" i="1"/>
  <c r="CU601" i="1"/>
  <c r="CX613" i="1"/>
  <c r="BB606" i="1"/>
  <c r="BR614" i="1"/>
  <c r="CZ609" i="1"/>
  <c r="CN606" i="1"/>
  <c r="AZ604" i="1"/>
  <c r="L602" i="1"/>
  <c r="CB599" i="1"/>
  <c r="AN597" i="1"/>
  <c r="CA611" i="1"/>
  <c r="CQ606" i="1"/>
  <c r="O602" i="1"/>
  <c r="AV618" i="1"/>
  <c r="BV609" i="1"/>
  <c r="CX604" i="1"/>
  <c r="BS615" i="1"/>
  <c r="CA609" i="1"/>
  <c r="AD605" i="1"/>
  <c r="AQ598" i="1"/>
  <c r="W605" i="1"/>
  <c r="AP598" i="1"/>
  <c r="V605" i="1"/>
  <c r="AM598" i="1"/>
  <c r="O605" i="1"/>
  <c r="AL598" i="1"/>
  <c r="BL595" i="1"/>
  <c r="X593" i="1"/>
  <c r="CN590" i="1"/>
  <c r="AZ588" i="1"/>
  <c r="BO595" i="1"/>
  <c r="AA593" i="1"/>
  <c r="CQ590" i="1"/>
  <c r="BC588" i="1"/>
  <c r="CM606" i="1"/>
  <c r="BK601" i="1"/>
  <c r="CJ616" i="1"/>
  <c r="BJ601" i="1"/>
  <c r="BD616" i="1"/>
  <c r="BF601" i="1"/>
  <c r="Z616" i="1"/>
  <c r="BC601" i="1"/>
  <c r="CR596" i="1"/>
  <c r="BD594" i="1"/>
  <c r="P592" i="1"/>
  <c r="CF589" i="1"/>
  <c r="CU596" i="1"/>
  <c r="BG594" i="1"/>
  <c r="S592" i="1"/>
  <c r="CI589" i="1"/>
  <c r="AF618" i="1"/>
  <c r="J601" i="1"/>
  <c r="BJ613" i="1"/>
  <c r="G601" i="1"/>
  <c r="AT613" i="1"/>
  <c r="F601" i="1"/>
  <c r="AD613" i="1"/>
  <c r="DF600" i="1"/>
  <c r="BX596" i="1"/>
  <c r="AJ594" i="1"/>
  <c r="CZ591" i="1"/>
  <c r="BL589" i="1"/>
  <c r="CA596" i="1"/>
  <c r="AM594" i="1"/>
  <c r="DC591" i="1"/>
  <c r="BO589" i="1"/>
  <c r="BZ613" i="1"/>
  <c r="BN600" i="1"/>
  <c r="F611" i="1"/>
  <c r="BJ600" i="1"/>
  <c r="DB610" i="1"/>
  <c r="BG600" i="1"/>
  <c r="AT601" i="1"/>
  <c r="BX592" i="1"/>
  <c r="AV589" i="1"/>
  <c r="CM595" i="1"/>
  <c r="CA592" i="1"/>
  <c r="BE616" i="1"/>
  <c r="AT605" i="1"/>
  <c r="AE597" i="1"/>
  <c r="S600" i="1"/>
  <c r="AL605" i="1"/>
  <c r="AC597" i="1"/>
  <c r="BB602" i="1"/>
  <c r="AB597" i="1"/>
  <c r="CR594" i="1"/>
  <c r="BD592" i="1"/>
  <c r="P590" i="1"/>
  <c r="CF587" i="1"/>
  <c r="CU594" i="1"/>
  <c r="BG592" i="1"/>
  <c r="S590" i="1"/>
  <c r="AX596" i="1"/>
  <c r="J594" i="1"/>
  <c r="BZ591" i="1"/>
  <c r="DI595" i="1"/>
  <c r="BU593" i="1"/>
  <c r="AG591" i="1"/>
  <c r="CW588" i="1"/>
  <c r="AG587" i="1"/>
  <c r="CW584" i="1"/>
  <c r="BI582" i="1"/>
  <c r="U580" i="1"/>
  <c r="AF587" i="1"/>
  <c r="CV584" i="1"/>
  <c r="BH582" i="1"/>
  <c r="T580" i="1"/>
  <c r="G588" i="1"/>
  <c r="CX594" i="1"/>
  <c r="BJ592" i="1"/>
  <c r="CS596" i="1"/>
  <c r="BE594" i="1"/>
  <c r="Q592" i="1"/>
  <c r="CG589" i="1"/>
  <c r="AD589" i="1"/>
  <c r="CG585" i="1"/>
  <c r="AS583" i="1"/>
  <c r="DI580" i="1"/>
  <c r="Z589" i="1"/>
  <c r="CF585" i="1"/>
  <c r="AR583" i="1"/>
  <c r="DH580" i="1"/>
  <c r="DG586" i="1"/>
  <c r="N597" i="1"/>
  <c r="CD594" i="1"/>
  <c r="AP592" i="1"/>
  <c r="BY596" i="1"/>
  <c r="AK594" i="1"/>
  <c r="DA591" i="1"/>
  <c r="BM589" i="1"/>
  <c r="BF588" i="1"/>
  <c r="BM585" i="1"/>
  <c r="Y583" i="1"/>
  <c r="CO580" i="1"/>
  <c r="BB588" i="1"/>
  <c r="BL585" i="1"/>
  <c r="AB596" i="1"/>
  <c r="BT591" i="1"/>
  <c r="BH588" i="1"/>
  <c r="CI594" i="1"/>
  <c r="BW591" i="1"/>
  <c r="AU609" i="1"/>
  <c r="CH601" i="1"/>
  <c r="BV608" i="1"/>
  <c r="R598" i="1"/>
  <c r="CA601" i="1"/>
  <c r="CT610" i="1"/>
  <c r="BF600" i="1"/>
  <c r="BD596" i="1"/>
  <c r="P594" i="1"/>
  <c r="CF591" i="1"/>
  <c r="AR589" i="1"/>
  <c r="BG596" i="1"/>
  <c r="S594" i="1"/>
  <c r="CI591" i="1"/>
  <c r="G589" i="1"/>
  <c r="BZ595" i="1"/>
  <c r="AL593" i="1"/>
  <c r="DB590" i="1"/>
  <c r="AG595" i="1"/>
  <c r="CW592" i="1"/>
  <c r="BI590" i="1"/>
  <c r="U588" i="1"/>
  <c r="BI586" i="1"/>
  <c r="U584" i="1"/>
  <c r="CK581" i="1"/>
  <c r="AW579" i="1"/>
  <c r="BH586" i="1"/>
  <c r="T584" i="1"/>
  <c r="CJ581" i="1"/>
  <c r="CT587" i="1"/>
  <c r="BJ596" i="1"/>
  <c r="V594" i="1"/>
  <c r="CL591" i="1"/>
  <c r="Q596" i="1"/>
  <c r="CG593" i="1"/>
  <c r="AS591" i="1"/>
  <c r="DI588" i="1"/>
  <c r="AS587" i="1"/>
  <c r="DI584" i="1"/>
  <c r="BU582" i="1"/>
  <c r="AG580" i="1"/>
  <c r="AR587" i="1"/>
  <c r="DH584" i="1"/>
  <c r="BT582" i="1"/>
  <c r="AF580" i="1"/>
  <c r="AE586" i="1"/>
  <c r="AP596" i="1"/>
  <c r="DF593" i="1"/>
  <c r="BR591" i="1"/>
  <c r="DA595" i="1"/>
  <c r="BM593" i="1"/>
  <c r="Y591" i="1"/>
  <c r="CO588" i="1"/>
  <c r="Y587" i="1"/>
  <c r="CO584" i="1"/>
  <c r="BA582" i="1"/>
  <c r="AU605" i="1"/>
  <c r="DD592" i="1"/>
  <c r="CR589" i="1"/>
  <c r="AE596" i="1"/>
  <c r="DG592" i="1"/>
  <c r="CU589" i="1"/>
  <c r="CP607" i="1"/>
  <c r="BU597" i="1"/>
  <c r="AM601" i="1"/>
  <c r="AT607" i="1"/>
  <c r="BR597" i="1"/>
  <c r="BC603" i="1"/>
  <c r="BQ597" i="1"/>
  <c r="T595" i="1"/>
  <c r="CJ592" i="1"/>
  <c r="AV590" i="1"/>
  <c r="H588" i="1"/>
  <c r="W595" i="1"/>
  <c r="CM592" i="1"/>
  <c r="AY590" i="1"/>
  <c r="CD596" i="1"/>
  <c r="AP594" i="1"/>
  <c r="DF591" i="1"/>
  <c r="AK596" i="1"/>
  <c r="DA593" i="1"/>
  <c r="BM591" i="1"/>
  <c r="Y589" i="1"/>
  <c r="BM587" i="1"/>
  <c r="Y585" i="1"/>
  <c r="CO582" i="1"/>
  <c r="BA580" i="1"/>
  <c r="BL587" i="1"/>
  <c r="X585" i="1"/>
  <c r="CN582" i="1"/>
  <c r="AZ580" i="1"/>
  <c r="AU588" i="1"/>
  <c r="Z595" i="1"/>
  <c r="CP592" i="1"/>
  <c r="BB590" i="1"/>
  <c r="CK594" i="1"/>
  <c r="AW592" i="1"/>
  <c r="I590" i="1"/>
  <c r="AX590" i="1"/>
  <c r="I586" i="1"/>
  <c r="BY583" i="1"/>
  <c r="AK581" i="1"/>
  <c r="AT590" i="1"/>
  <c r="H586" i="1"/>
  <c r="BX583" i="1"/>
  <c r="AJ581" i="1"/>
  <c r="AI587" i="1"/>
  <c r="S588" i="1"/>
  <c r="F595" i="1"/>
  <c r="BV592" i="1"/>
  <c r="DE596" i="1"/>
  <c r="BQ594" i="1"/>
  <c r="AC592" i="1"/>
  <c r="CS589" i="1"/>
  <c r="BZ589" i="1"/>
  <c r="CS585" i="1"/>
  <c r="BE583" i="1"/>
  <c r="Q581" i="1"/>
  <c r="H595" i="1"/>
  <c r="X591" i="1"/>
  <c r="L588" i="1"/>
  <c r="BC594" i="1"/>
  <c r="AA591" i="1"/>
  <c r="AA608" i="1"/>
  <c r="DC600" i="1"/>
  <c r="CY605" i="1"/>
  <c r="AX597" i="1"/>
  <c r="CX600" i="1"/>
  <c r="BF608" i="1"/>
  <c r="CA599" i="1"/>
  <c r="X596" i="1"/>
  <c r="CN593" i="1"/>
  <c r="AZ591" i="1"/>
  <c r="L589" i="1"/>
  <c r="AA596" i="1"/>
  <c r="CQ593" i="1"/>
  <c r="BC591" i="1"/>
  <c r="BW588" i="1"/>
  <c r="AT595" i="1"/>
  <c r="BH623" i="1"/>
  <c r="S625" i="1"/>
  <c r="DB619" i="1"/>
  <c r="CO616" i="1"/>
  <c r="CD625" i="1"/>
  <c r="BL611" i="1"/>
  <c r="DD620" i="1"/>
  <c r="CS620" i="1"/>
  <c r="CV618" i="1"/>
  <c r="CW617" i="1"/>
  <c r="BP621" i="1"/>
  <c r="AZ621" i="1"/>
  <c r="G610" i="1"/>
  <c r="BW609" i="1"/>
  <c r="M602" i="1"/>
  <c r="V612" i="1"/>
  <c r="AQ607" i="1"/>
  <c r="J603" i="1"/>
  <c r="AZ610" i="1"/>
  <c r="DD600" i="1"/>
  <c r="BS604" i="1"/>
  <c r="CQ626" i="1"/>
  <c r="T607" i="1"/>
  <c r="CW599" i="1"/>
  <c r="CK605" i="1"/>
  <c r="CY624" i="1"/>
  <c r="DE603" i="1"/>
  <c r="L611" i="1"/>
  <c r="BP601" i="1"/>
  <c r="CU605" i="1"/>
  <c r="DB603" i="1"/>
  <c r="CV610" i="1"/>
  <c r="AV601" i="1"/>
  <c r="BG605" i="1"/>
  <c r="BN603" i="1"/>
  <c r="BP607" i="1"/>
  <c r="CS598" i="1"/>
  <c r="CW604" i="1"/>
  <c r="AE614" i="1"/>
  <c r="AC603" i="1"/>
  <c r="AN610" i="1"/>
  <c r="CR600" i="1"/>
  <c r="AU604" i="1"/>
  <c r="K625" i="1"/>
  <c r="T610" i="1"/>
  <c r="BX600" i="1"/>
  <c r="G604" i="1"/>
  <c r="CC622" i="1"/>
  <c r="CR606" i="1"/>
  <c r="AR597" i="1"/>
  <c r="CB618" i="1"/>
  <c r="CN610" i="1"/>
  <c r="CI624" i="1"/>
  <c r="BV607" i="1"/>
  <c r="CV604" i="1"/>
  <c r="BC613" i="1"/>
  <c r="BJ610" i="1"/>
  <c r="AD607" i="1"/>
  <c r="N607" i="1"/>
  <c r="DH595" i="1"/>
  <c r="G596" i="1"/>
  <c r="DG607" i="1"/>
  <c r="AM597" i="1"/>
  <c r="AK597" i="1"/>
  <c r="BL592" i="1"/>
  <c r="CN587" i="1"/>
  <c r="BO592" i="1"/>
  <c r="BC607" i="1"/>
  <c r="CP626" i="1"/>
  <c r="AD626" i="1"/>
  <c r="BV625" i="1"/>
  <c r="P597" i="1"/>
  <c r="BX601" i="1"/>
  <c r="DG615" i="1"/>
  <c r="BG607" i="1"/>
  <c r="AI601" i="1"/>
  <c r="R612" i="1"/>
  <c r="BN605" i="1"/>
  <c r="F614" i="1"/>
  <c r="BD609" i="1"/>
  <c r="BH606" i="1"/>
  <c r="T604" i="1"/>
  <c r="CJ601" i="1"/>
  <c r="AV599" i="1"/>
  <c r="W624" i="1"/>
  <c r="DG610" i="1"/>
  <c r="AE606" i="1"/>
  <c r="BG601" i="1"/>
  <c r="R616" i="1"/>
  <c r="J609" i="1"/>
  <c r="AL604" i="1"/>
  <c r="AY614" i="1"/>
  <c r="CU608" i="1"/>
  <c r="J604" i="1"/>
  <c r="CK597" i="1"/>
  <c r="DG603" i="1"/>
  <c r="CI597" i="1"/>
  <c r="DF603" i="1"/>
  <c r="CH597" i="1"/>
  <c r="CY603" i="1"/>
  <c r="CG597" i="1"/>
  <c r="AF595" i="1"/>
  <c r="CV592" i="1"/>
  <c r="BH590" i="1"/>
  <c r="T588" i="1"/>
  <c r="AI595" i="1"/>
  <c r="CY592" i="1"/>
  <c r="BK590" i="1"/>
  <c r="W588" i="1"/>
  <c r="CT614" i="1"/>
  <c r="CH600" i="1"/>
  <c r="CH611" i="1"/>
  <c r="CE600" i="1"/>
  <c r="BR611" i="1"/>
  <c r="CD600" i="1"/>
  <c r="BC611" i="1"/>
  <c r="BZ600" i="1"/>
  <c r="BL596" i="1"/>
  <c r="X594" i="1"/>
  <c r="CN591" i="1"/>
  <c r="AZ589" i="1"/>
  <c r="BO596" i="1"/>
  <c r="AA594" i="1"/>
  <c r="CQ591" i="1"/>
  <c r="BY617" i="1"/>
  <c r="AT611" i="1"/>
  <c r="AH600" i="1"/>
  <c r="R610" i="1"/>
  <c r="AD600" i="1"/>
  <c r="J610" i="1"/>
  <c r="AA600" i="1"/>
  <c r="DF609" i="1"/>
  <c r="Z600" i="1"/>
  <c r="AR596" i="1"/>
  <c r="DH593" i="1"/>
  <c r="AR601" i="1"/>
  <c r="AF598" i="1"/>
  <c r="AY612" i="1"/>
  <c r="AY605" i="1"/>
  <c r="AA599" i="1"/>
  <c r="F610" i="1"/>
  <c r="BF603" i="1"/>
  <c r="DB611" i="1"/>
  <c r="BP608" i="1"/>
  <c r="CJ605" i="1"/>
  <c r="AV603" i="1"/>
  <c r="H601" i="1"/>
  <c r="BX598" i="1"/>
  <c r="CO617" i="1"/>
  <c r="BG609" i="1"/>
  <c r="CI604" i="1"/>
  <c r="G600" i="1"/>
  <c r="V613" i="1"/>
  <c r="BN607" i="1"/>
  <c r="CP602" i="1"/>
  <c r="BE611" i="1"/>
  <c r="CU606" i="1"/>
  <c r="BV601" i="1"/>
  <c r="DD617" i="1"/>
  <c r="BS601" i="1"/>
  <c r="BX617" i="1"/>
  <c r="BR601" i="1"/>
  <c r="AR617" i="1"/>
  <c r="BN601" i="1"/>
  <c r="CV596" i="1"/>
  <c r="BH594" i="1"/>
  <c r="T592" i="1"/>
  <c r="CJ589" i="1"/>
  <c r="CY596" i="1"/>
  <c r="BK594" i="1"/>
  <c r="W592" i="1"/>
  <c r="CM589" i="1"/>
  <c r="AQ610" i="1"/>
  <c r="AH606" i="1"/>
  <c r="CU598" i="1"/>
  <c r="AA606" i="1"/>
  <c r="CT598" i="1"/>
  <c r="Z606" i="1"/>
  <c r="CQ598" i="1"/>
  <c r="S606" i="1"/>
  <c r="CP598" i="1"/>
  <c r="CN595" i="1"/>
  <c r="AZ593" i="1"/>
  <c r="L591" i="1"/>
  <c r="CB588" i="1"/>
  <c r="CQ595" i="1"/>
  <c r="BC593" i="1"/>
  <c r="O591" i="1"/>
  <c r="CQ609" i="1"/>
  <c r="BJ605" i="1"/>
  <c r="BG598" i="1"/>
  <c r="BC605" i="1"/>
  <c r="BF598" i="1"/>
  <c r="BB605" i="1"/>
  <c r="BC598" i="1"/>
  <c r="DD601" i="1"/>
  <c r="CR598" i="1"/>
  <c r="CM614" i="1"/>
  <c r="BS606" i="1"/>
  <c r="AU600" i="1"/>
  <c r="Z611" i="1"/>
  <c r="BZ604" i="1"/>
  <c r="R613" i="1"/>
  <c r="X609" i="1"/>
  <c r="AB606" i="1"/>
  <c r="CR603" i="1"/>
  <c r="BD601" i="1"/>
  <c r="P599" i="1"/>
  <c r="AS621" i="1"/>
  <c r="AU610" i="1"/>
  <c r="BW605" i="1"/>
  <c r="CY600" i="1"/>
  <c r="DB614" i="1"/>
  <c r="BB608" i="1"/>
  <c r="CD603" i="1"/>
  <c r="AE613" i="1"/>
  <c r="K608" i="1"/>
  <c r="CT602" i="1"/>
  <c r="AT597" i="1"/>
  <c r="CM602" i="1"/>
  <c r="AS597" i="1"/>
  <c r="CL602" i="1"/>
  <c r="AQ597" i="1"/>
  <c r="CH602" i="1"/>
  <c r="AP597" i="1"/>
  <c r="DD594" i="1"/>
  <c r="BP592" i="1"/>
  <c r="AB590" i="1"/>
  <c r="CR587" i="1"/>
  <c r="DG594" i="1"/>
  <c r="BS592" i="1"/>
  <c r="AE590" i="1"/>
  <c r="W615" i="1"/>
  <c r="Z610" i="1"/>
  <c r="DF599" i="1"/>
  <c r="AD609" i="1"/>
  <c r="DB599" i="1"/>
  <c r="V609" i="1"/>
  <c r="CY599" i="1"/>
  <c r="N609" i="1"/>
  <c r="CX599" i="1"/>
  <c r="AF596" i="1"/>
  <c r="CV593" i="1"/>
  <c r="BH591" i="1"/>
  <c r="T589" i="1"/>
  <c r="AI596" i="1"/>
  <c r="CY593" i="1"/>
  <c r="BK591" i="1"/>
  <c r="AA612" i="1"/>
  <c r="R608" i="1"/>
  <c r="BC599" i="1"/>
  <c r="CH607" i="1"/>
  <c r="BB599" i="1"/>
  <c r="BZ607" i="1"/>
  <c r="AX599" i="1"/>
  <c r="BR607" i="1"/>
  <c r="AU599" i="1"/>
  <c r="L596" i="1"/>
  <c r="CB593" i="1"/>
  <c r="AN591" i="1"/>
  <c r="DD588" i="1"/>
  <c r="O596" i="1"/>
  <c r="CE593" i="1"/>
  <c r="AQ591" i="1"/>
  <c r="BO610" i="1"/>
  <c r="BN606" i="1"/>
  <c r="G599" i="1"/>
  <c r="BG606" i="1"/>
  <c r="F599" i="1"/>
  <c r="BF606" i="1"/>
  <c r="DG598" i="1"/>
  <c r="CN596" i="1"/>
  <c r="CJ591" i="1"/>
  <c r="BX588" i="1"/>
  <c r="K595" i="1"/>
  <c r="CM591" i="1"/>
  <c r="CI609" i="1"/>
  <c r="BJ602" i="1"/>
  <c r="CP609" i="1"/>
  <c r="AX598" i="1"/>
  <c r="BF602" i="1"/>
  <c r="BV612" i="1"/>
  <c r="CU600" i="1"/>
  <c r="BT596" i="1"/>
  <c r="AF594" i="1"/>
  <c r="CV591" i="1"/>
  <c r="BH589" i="1"/>
  <c r="BW596" i="1"/>
  <c r="AI594" i="1"/>
  <c r="CY591" i="1"/>
  <c r="AE589" i="1"/>
  <c r="CP595" i="1"/>
  <c r="BB593" i="1"/>
  <c r="N591" i="1"/>
  <c r="AW595" i="1"/>
  <c r="I593" i="1"/>
  <c r="BY590" i="1"/>
  <c r="AK588" i="1"/>
  <c r="BY586" i="1"/>
  <c r="AK584" i="1"/>
  <c r="DA581" i="1"/>
  <c r="BM579" i="1"/>
  <c r="BX586" i="1"/>
  <c r="AJ584" i="1"/>
  <c r="CZ581" i="1"/>
  <c r="AX588" i="1"/>
  <c r="BZ596" i="1"/>
  <c r="AL594" i="1"/>
  <c r="DB591" i="1"/>
  <c r="AG596" i="1"/>
  <c r="CW593" i="1"/>
  <c r="BI591" i="1"/>
  <c r="U589" i="1"/>
  <c r="BI587" i="1"/>
  <c r="U585" i="1"/>
  <c r="CK582" i="1"/>
  <c r="AW580" i="1"/>
  <c r="BH587" i="1"/>
  <c r="T585" i="1"/>
  <c r="CJ582" i="1"/>
  <c r="AV580" i="1"/>
  <c r="AU586" i="1"/>
  <c r="BF596" i="1"/>
  <c r="R594" i="1"/>
  <c r="CH591" i="1"/>
  <c r="M596" i="1"/>
  <c r="CC593" i="1"/>
  <c r="AO591" i="1"/>
  <c r="DE588" i="1"/>
  <c r="AO587" i="1"/>
  <c r="DE584" i="1"/>
  <c r="BQ582" i="1"/>
  <c r="AC580" i="1"/>
  <c r="AN587" i="1"/>
  <c r="DD584" i="1"/>
  <c r="T594" i="1"/>
  <c r="CV590" i="1"/>
  <c r="S597" i="1"/>
  <c r="G594" i="1"/>
  <c r="CY590" i="1"/>
  <c r="G607" i="1"/>
  <c r="CI599" i="1"/>
  <c r="CE604" i="1"/>
  <c r="CR618" i="1"/>
  <c r="CD599" i="1"/>
  <c r="AY606" i="1"/>
  <c r="DF598" i="1"/>
  <c r="CV595" i="1"/>
  <c r="BH593" i="1"/>
  <c r="T591" i="1"/>
  <c r="CJ588" i="1"/>
  <c r="CY595" i="1"/>
  <c r="BK593" i="1"/>
  <c r="W591" i="1"/>
  <c r="AE588" i="1"/>
  <c r="N595" i="1"/>
  <c r="CD592" i="1"/>
  <c r="I597" i="1"/>
  <c r="BY594" i="1"/>
  <c r="AK592" i="1"/>
  <c r="DA589" i="1"/>
  <c r="DF589" i="1"/>
  <c r="DA585" i="1"/>
  <c r="BM583" i="1"/>
  <c r="Y581" i="1"/>
  <c r="DB589" i="1"/>
  <c r="CZ585" i="1"/>
  <c r="BL583" i="1"/>
  <c r="X581" i="1"/>
  <c r="AU589" i="1"/>
  <c r="DB595" i="1"/>
  <c r="BN593" i="1"/>
  <c r="Z591" i="1"/>
  <c r="BI595" i="1"/>
  <c r="U593" i="1"/>
  <c r="CK590" i="1"/>
  <c r="AW588" i="1"/>
  <c r="CK586" i="1"/>
  <c r="AW584" i="1"/>
  <c r="I582" i="1"/>
  <c r="BY579" i="1"/>
  <c r="CJ586" i="1"/>
  <c r="AV584" i="1"/>
  <c r="H582" i="1"/>
  <c r="CT588" i="1"/>
  <c r="S589" i="1"/>
  <c r="CH595" i="1"/>
  <c r="AT593" i="1"/>
  <c r="F591" i="1"/>
  <c r="AO595" i="1"/>
  <c r="DE592" i="1"/>
  <c r="BQ590" i="1"/>
  <c r="AC588" i="1"/>
  <c r="BQ586" i="1"/>
  <c r="AC584" i="1"/>
  <c r="CS581" i="1"/>
  <c r="BB598" i="1"/>
  <c r="AB592" i="1"/>
  <c r="P589" i="1"/>
  <c r="AQ595" i="1"/>
  <c r="AE592" i="1"/>
  <c r="BS611" i="1"/>
  <c r="BR603" i="1"/>
  <c r="AL615" i="1"/>
  <c r="AP599" i="1"/>
  <c r="BJ603" i="1"/>
  <c r="BL618" i="1"/>
  <c r="BZ601" i="1"/>
  <c r="CZ596" i="1"/>
  <c r="BL594" i="1"/>
  <c r="X592" i="1"/>
  <c r="CN589" i="1"/>
  <c r="DC596" i="1"/>
  <c r="BO594" i="1"/>
  <c r="AA592" i="1"/>
  <c r="CQ589" i="1"/>
  <c r="R596" i="1"/>
  <c r="CH593" i="1"/>
  <c r="AT591" i="1"/>
  <c r="CC595" i="1"/>
  <c r="AO593" i="1"/>
  <c r="DE590" i="1"/>
  <c r="BQ588" i="1"/>
  <c r="DE586" i="1"/>
  <c r="BQ584" i="1"/>
  <c r="AC582" i="1"/>
  <c r="CS579" i="1"/>
  <c r="DD586" i="1"/>
  <c r="BP584" i="1"/>
  <c r="AB582" i="1"/>
  <c r="BR589" i="1"/>
  <c r="DF596" i="1"/>
  <c r="BR594" i="1"/>
  <c r="AD592" i="1"/>
  <c r="BM596" i="1"/>
  <c r="Y594" i="1"/>
  <c r="CO591" i="1"/>
  <c r="BA589" i="1"/>
  <c r="J588" i="1"/>
  <c r="BA585" i="1"/>
  <c r="M583" i="1"/>
  <c r="CC580" i="1"/>
  <c r="F588" i="1"/>
  <c r="AZ585" i="1"/>
  <c r="L583" i="1"/>
  <c r="CB580" i="1"/>
  <c r="CA586" i="1"/>
  <c r="CL596" i="1"/>
  <c r="AX594" i="1"/>
  <c r="J592" i="1"/>
  <c r="AS596" i="1"/>
  <c r="DI593" i="1"/>
  <c r="BU591" i="1"/>
  <c r="AG589" i="1"/>
  <c r="BU587" i="1"/>
  <c r="AG585" i="1"/>
  <c r="CW582" i="1"/>
  <c r="BI580" i="1"/>
  <c r="BL593" i="1"/>
  <c r="AZ590" i="1"/>
  <c r="CQ596" i="1"/>
  <c r="BO593" i="1"/>
  <c r="BC590" i="1"/>
  <c r="L617" i="1"/>
  <c r="CE598" i="1"/>
  <c r="DC602" i="1"/>
  <c r="CL612" i="1"/>
  <c r="CA598" i="1"/>
  <c r="AE605" i="1"/>
  <c r="AT598" i="1"/>
  <c r="BP595" i="1"/>
  <c r="AB593" i="1"/>
  <c r="CR590" i="1"/>
  <c r="BD588" i="1"/>
  <c r="BS595" i="1"/>
  <c r="AE593" i="1"/>
  <c r="CU590" i="1"/>
  <c r="CY587" i="1"/>
  <c r="CL594" i="1"/>
  <c r="AX592" i="1"/>
  <c r="CG596" i="1"/>
  <c r="AS594" i="1"/>
  <c r="DI591" i="1"/>
  <c r="BU589" i="1"/>
  <c r="CL588" i="1"/>
  <c r="BU585" i="1"/>
  <c r="AG583" i="1"/>
  <c r="CW580" i="1"/>
  <c r="CH588" i="1"/>
  <c r="BT585" i="1"/>
  <c r="AF583" i="1"/>
  <c r="CV580" i="1"/>
  <c r="DG588" i="1"/>
  <c r="BV595" i="1"/>
  <c r="AH593" i="1"/>
  <c r="CX590" i="1"/>
  <c r="AC595" i="1"/>
  <c r="CS592" i="1"/>
  <c r="BE590" i="1"/>
  <c r="Q588" i="1"/>
  <c r="BE586" i="1"/>
  <c r="Q584" i="1"/>
  <c r="CG581" i="1"/>
  <c r="AS579" i="1"/>
  <c r="BD586" i="1"/>
  <c r="P584" i="1"/>
  <c r="CF581" i="1"/>
  <c r="CL587" i="1"/>
  <c r="CE588" i="1"/>
  <c r="BB595" i="1"/>
  <c r="N593" i="1"/>
  <c r="AY624" i="1"/>
  <c r="BY612" i="1"/>
  <c r="BX622" i="1"/>
  <c r="N608" i="1"/>
  <c r="AE600" i="1"/>
  <c r="CU599" i="1"/>
  <c r="BY602" i="1"/>
  <c r="AB599" i="1"/>
  <c r="H599" i="1"/>
  <c r="AZ617" i="1"/>
  <c r="DD607" i="1"/>
  <c r="CJ607" i="1"/>
  <c r="BD604" i="1"/>
  <c r="BO609" i="1"/>
  <c r="CL605" i="1"/>
  <c r="BW593" i="1"/>
  <c r="AR591" i="1"/>
  <c r="BW606" i="1"/>
  <c r="H600" i="1"/>
  <c r="AL610" i="1"/>
  <c r="CZ605" i="1"/>
  <c r="DI618" i="1"/>
  <c r="CH613" i="1"/>
  <c r="AM607" i="1"/>
  <c r="AV622" i="1"/>
  <c r="H597" i="1"/>
  <c r="K597" i="1"/>
  <c r="DC610" i="1"/>
  <c r="V599" i="1"/>
  <c r="R599" i="1"/>
  <c r="CR588" i="1"/>
  <c r="AI610" i="1"/>
  <c r="CL598" i="1"/>
  <c r="CH598" i="1"/>
  <c r="BH597" i="1"/>
  <c r="AD608" i="1"/>
  <c r="X605" i="1"/>
  <c r="BW614" i="1"/>
  <c r="R611" i="1"/>
  <c r="BF610" i="1"/>
  <c r="BB609" i="1"/>
  <c r="AJ596" i="1"/>
  <c r="AM596" i="1"/>
  <c r="CM608" i="1"/>
  <c r="CD597" i="1"/>
  <c r="CA597" i="1"/>
  <c r="P588" i="1"/>
  <c r="AI608" i="1"/>
  <c r="BC597" i="1"/>
  <c r="P598" i="1"/>
  <c r="AX609" i="1"/>
  <c r="BT605" i="1"/>
  <c r="BU616" i="1"/>
  <c r="BN612" i="1"/>
  <c r="CN621" i="1"/>
  <c r="BN614" i="1"/>
  <c r="CF596" i="1"/>
  <c r="CI596" i="1"/>
  <c r="DG609" i="1"/>
  <c r="BN598" i="1"/>
  <c r="BJ598" i="1"/>
  <c r="BL588" i="1"/>
  <c r="BC609" i="1"/>
  <c r="Z598" i="1"/>
  <c r="V598" i="1"/>
  <c r="AR588" i="1"/>
  <c r="DC608" i="1"/>
  <c r="CP597" i="1"/>
  <c r="H591" i="1"/>
  <c r="CI607" i="1"/>
  <c r="R600" i="1"/>
  <c r="BX593" i="1"/>
  <c r="CA593" i="1"/>
  <c r="CT592" i="1"/>
  <c r="M590" i="1"/>
  <c r="AO581" i="1"/>
  <c r="AN581" i="1"/>
  <c r="AP591" i="1"/>
  <c r="BM588" i="1"/>
  <c r="CO579" i="1"/>
  <c r="BB589" i="1"/>
  <c r="V591" i="1"/>
  <c r="AS588" i="1"/>
  <c r="BU579" i="1"/>
  <c r="DH589" i="1"/>
  <c r="AL609" i="1"/>
  <c r="O598" i="1"/>
  <c r="CZ592" i="1"/>
  <c r="DC592" i="1"/>
  <c r="R592" i="1"/>
  <c r="AO589" i="1"/>
  <c r="BQ580" i="1"/>
  <c r="BP580" i="1"/>
  <c r="BR590" i="1"/>
  <c r="CO587" i="1"/>
  <c r="M579" i="1"/>
  <c r="AY587" i="1"/>
  <c r="Q597" i="1"/>
  <c r="AH590" i="1"/>
  <c r="BT595" i="1"/>
  <c r="BG591" i="1"/>
  <c r="BS597" i="1"/>
  <c r="AN596" i="1"/>
  <c r="AQ596" i="1"/>
  <c r="BJ595" i="1"/>
  <c r="CG592" i="1"/>
  <c r="DI583" i="1"/>
  <c r="DH583" i="1"/>
  <c r="F594" i="1"/>
  <c r="AC591" i="1"/>
  <c r="BE582" i="1"/>
  <c r="BD582" i="1"/>
  <c r="CP593" i="1"/>
  <c r="I591" i="1"/>
  <c r="AK582" i="1"/>
  <c r="DC595" i="1"/>
  <c r="AY597" i="1"/>
  <c r="CU602" i="1"/>
  <c r="AF590" i="1"/>
  <c r="AI590" i="1"/>
  <c r="CP591" i="1"/>
  <c r="CK593" i="1"/>
  <c r="I589" i="1"/>
  <c r="I585" i="1"/>
  <c r="AK580" i="1"/>
  <c r="H585" i="1"/>
  <c r="AJ580" i="1"/>
  <c r="J595" i="1"/>
  <c r="DI596" i="1"/>
  <c r="AG592" i="1"/>
  <c r="CP589" i="1"/>
  <c r="BI583" i="1"/>
  <c r="CL589" i="1"/>
  <c r="BH583" i="1"/>
  <c r="S587" i="1"/>
  <c r="CT594" i="1"/>
  <c r="AL591" i="1"/>
  <c r="BU595" i="1"/>
  <c r="AG593" i="1"/>
  <c r="CW590" i="1"/>
  <c r="BI588" i="1"/>
  <c r="CW586" i="1"/>
  <c r="BI584" i="1"/>
  <c r="U582" i="1"/>
  <c r="CK579" i="1"/>
  <c r="CV586" i="1"/>
  <c r="BH584" i="1"/>
  <c r="T582" i="1"/>
  <c r="AL589" i="1"/>
  <c r="CX596" i="1"/>
  <c r="BJ594" i="1"/>
  <c r="V592" i="1"/>
  <c r="BE596" i="1"/>
  <c r="Q594" i="1"/>
  <c r="CG591" i="1"/>
  <c r="AS589" i="1"/>
  <c r="CP587" i="1"/>
  <c r="AS585" i="1"/>
  <c r="CK580" i="1"/>
  <c r="CJ580" i="1"/>
  <c r="M580" i="1"/>
  <c r="CN584" i="1"/>
  <c r="CB581" i="1"/>
  <c r="CU588" i="1"/>
  <c r="CP594" i="1"/>
  <c r="CD591" i="1"/>
  <c r="U595" i="1"/>
  <c r="I592" i="1"/>
  <c r="DA588" i="1"/>
  <c r="AW586" i="1"/>
  <c r="DE581" i="1"/>
  <c r="AQ587" i="1"/>
  <c r="AA584" i="1"/>
  <c r="CQ581" i="1"/>
  <c r="BC579" i="1"/>
  <c r="BJ586" i="1"/>
  <c r="V584" i="1"/>
  <c r="BD579" i="1"/>
  <c r="CR576" i="1"/>
  <c r="BD574" i="1"/>
  <c r="P572" i="1"/>
  <c r="CF569" i="1"/>
  <c r="AR567" i="1"/>
  <c r="DH564" i="1"/>
  <c r="BT562" i="1"/>
  <c r="AT579" i="1"/>
  <c r="DD585" i="1"/>
  <c r="BG586" i="1"/>
  <c r="G584" i="1"/>
  <c r="BW581" i="1"/>
  <c r="AI579" i="1"/>
  <c r="AP586" i="1"/>
  <c r="DF583" i="1"/>
  <c r="P579" i="1"/>
  <c r="BX576" i="1"/>
  <c r="AJ574" i="1"/>
  <c r="CZ571" i="1"/>
  <c r="G626" i="1"/>
  <c r="AC608" i="1"/>
  <c r="U606" i="1"/>
  <c r="CD607" i="1"/>
  <c r="CY611" i="1"/>
  <c r="AM611" i="1"/>
  <c r="M611" i="1"/>
  <c r="S601" i="1"/>
  <c r="CI600" i="1"/>
  <c r="BU601" i="1"/>
  <c r="BD598" i="1"/>
  <c r="AJ598" i="1"/>
  <c r="CQ611" i="1"/>
  <c r="BH619" i="1"/>
  <c r="AH599" i="1"/>
  <c r="CE602" i="1"/>
  <c r="S596" i="1"/>
  <c r="BV606" i="1"/>
  <c r="G613" i="1"/>
  <c r="N604" i="1"/>
  <c r="BL603" i="1"/>
  <c r="CM609" i="1"/>
  <c r="CT607" i="1"/>
  <c r="J602" i="1"/>
  <c r="DG601" i="1"/>
  <c r="BX594" i="1"/>
  <c r="CA594" i="1"/>
  <c r="DB606" i="1"/>
  <c r="CL606" i="1"/>
  <c r="DD595" i="1"/>
  <c r="DG595" i="1"/>
  <c r="R606" i="1"/>
  <c r="J606" i="1"/>
  <c r="CJ595" i="1"/>
  <c r="W610" i="1"/>
  <c r="AW622" i="1"/>
  <c r="CN602" i="1"/>
  <c r="AM608" i="1"/>
  <c r="AT606" i="1"/>
  <c r="K600" i="1"/>
  <c r="F600" i="1"/>
  <c r="CZ593" i="1"/>
  <c r="DC593" i="1"/>
  <c r="CX603" i="1"/>
  <c r="CP603" i="1"/>
  <c r="AB595" i="1"/>
  <c r="AE595" i="1"/>
  <c r="V603" i="1"/>
  <c r="N603" i="1"/>
  <c r="AQ611" i="1"/>
  <c r="Z603" i="1"/>
  <c r="AF603" i="1"/>
  <c r="AA609" i="1"/>
  <c r="AH607" i="1"/>
  <c r="AE601" i="1"/>
  <c r="Z601" i="1"/>
  <c r="AR594" i="1"/>
  <c r="AU594" i="1"/>
  <c r="BZ605" i="1"/>
  <c r="BR605" i="1"/>
  <c r="BX595" i="1"/>
  <c r="CA595" i="1"/>
  <c r="DB604" i="1"/>
  <c r="CT604" i="1"/>
  <c r="BD595" i="1"/>
  <c r="BG595" i="1"/>
  <c r="Z604" i="1"/>
  <c r="R604" i="1"/>
  <c r="CZ587" i="1"/>
  <c r="V600" i="1"/>
  <c r="AL607" i="1"/>
  <c r="AJ591" i="1"/>
  <c r="AM591" i="1"/>
  <c r="BF590" i="1"/>
  <c r="CC587" i="1"/>
  <c r="DE578" i="1"/>
  <c r="CA589" i="1"/>
  <c r="BY595" i="1"/>
  <c r="DA586" i="1"/>
  <c r="CZ586" i="1"/>
  <c r="AM589" i="1"/>
  <c r="BE595" i="1"/>
  <c r="CG586" i="1"/>
  <c r="CF586" i="1"/>
  <c r="AU596" i="1"/>
  <c r="S598" i="1"/>
  <c r="K604" i="1"/>
  <c r="BL590" i="1"/>
  <c r="BO590" i="1"/>
  <c r="BA596" i="1"/>
  <c r="CH587" i="1"/>
  <c r="CE587" i="1"/>
  <c r="BO588" i="1"/>
  <c r="DA594" i="1"/>
  <c r="Y586" i="1"/>
  <c r="X586" i="1"/>
  <c r="AQ588" i="1"/>
  <c r="CG594" i="1"/>
  <c r="DI585" i="1"/>
  <c r="BD591" i="1"/>
  <c r="BO608" i="1"/>
  <c r="AL601" i="1"/>
  <c r="DD593" i="1"/>
  <c r="DG593" i="1"/>
  <c r="V593" i="1"/>
  <c r="AS590" i="1"/>
  <c r="BU581" i="1"/>
  <c r="BT581" i="1"/>
  <c r="BV591" i="1"/>
  <c r="CS588" i="1"/>
  <c r="Q580" i="1"/>
  <c r="P580" i="1"/>
  <c r="BB591" i="1"/>
  <c r="BY588" i="1"/>
  <c r="G603" i="1"/>
  <c r="CQ592" i="1"/>
  <c r="DB600" i="1"/>
  <c r="AU597" i="1"/>
  <c r="CV587" i="1"/>
  <c r="BN596" i="1"/>
  <c r="BV590" i="1"/>
  <c r="BQ592" i="1"/>
  <c r="CS587" i="1"/>
  <c r="CS583" i="1"/>
  <c r="Q579" i="1"/>
  <c r="CR583" i="1"/>
  <c r="BC587" i="1"/>
  <c r="CT593" i="1"/>
  <c r="CO595" i="1"/>
  <c r="M591" i="1"/>
  <c r="M587" i="1"/>
  <c r="AO582" i="1"/>
  <c r="L587" i="1"/>
  <c r="AN582" i="1"/>
  <c r="BK589" i="1"/>
  <c r="BZ593" i="1"/>
  <c r="CD590" i="1"/>
  <c r="I595" i="1"/>
  <c r="BY592" i="1"/>
  <c r="AK590" i="1"/>
  <c r="DA587" i="1"/>
  <c r="AK586" i="1"/>
  <c r="DA583" i="1"/>
  <c r="BM581" i="1"/>
  <c r="Y579" i="1"/>
  <c r="AJ586" i="1"/>
  <c r="CZ583" i="1"/>
  <c r="BL581" i="1"/>
  <c r="BK587" i="1"/>
  <c r="AL596" i="1"/>
  <c r="DB593" i="1"/>
  <c r="BN591" i="1"/>
  <c r="CW595" i="1"/>
  <c r="BI593" i="1"/>
  <c r="U591" i="1"/>
  <c r="CK588" i="1"/>
  <c r="U587" i="1"/>
  <c r="CK584" i="1"/>
  <c r="AL588" i="1"/>
  <c r="W587" i="1"/>
  <c r="AD590" i="1"/>
  <c r="L584" i="1"/>
  <c r="CN580" i="1"/>
  <c r="DC587" i="1"/>
  <c r="N594" i="1"/>
  <c r="CP590" i="1"/>
  <c r="AW594" i="1"/>
  <c r="AK591" i="1"/>
  <c r="I588" i="1"/>
  <c r="BY585" i="1"/>
  <c r="DI578" i="1"/>
  <c r="W586" i="1"/>
  <c r="BS583" i="1"/>
  <c r="AE581" i="1"/>
  <c r="F590" i="1"/>
  <c r="DB585" i="1"/>
  <c r="BN583" i="1"/>
  <c r="BT578" i="1"/>
  <c r="AF576" i="1"/>
  <c r="CV573" i="1"/>
  <c r="DF618" i="1"/>
  <c r="BN625" i="1"/>
  <c r="DA605" i="1"/>
  <c r="BU610" i="1"/>
  <c r="L608" i="1"/>
  <c r="CJ604" i="1"/>
  <c r="BQ601" i="1"/>
  <c r="CA613" i="1"/>
  <c r="DC612" i="1"/>
  <c r="AO610" i="1"/>
  <c r="BW599" i="1"/>
  <c r="AI599" i="1"/>
  <c r="CD609" i="1"/>
  <c r="BH602" i="1"/>
  <c r="AD599" i="1"/>
  <c r="BZ602" i="1"/>
  <c r="AU591" i="1"/>
  <c r="BO606" i="1"/>
  <c r="G606" i="1"/>
  <c r="AD612" i="1"/>
  <c r="X601" i="1"/>
  <c r="K605" i="1"/>
  <c r="R603" i="1"/>
  <c r="CB622" i="1"/>
  <c r="P622" i="1"/>
  <c r="AJ592" i="1"/>
  <c r="AM592" i="1"/>
  <c r="W599" i="1"/>
  <c r="S599" i="1"/>
  <c r="BP593" i="1"/>
  <c r="BS593" i="1"/>
  <c r="CM598" i="1"/>
  <c r="CI598" i="1"/>
  <c r="P606" i="1"/>
  <c r="DC603" i="1"/>
  <c r="DD610" i="1"/>
  <c r="AZ600" i="1"/>
  <c r="BO603" i="1"/>
  <c r="DA620" i="1"/>
  <c r="BJ609" i="1"/>
  <c r="AT609" i="1"/>
  <c r="BL591" i="1"/>
  <c r="BO591" i="1"/>
  <c r="CE597" i="1"/>
  <c r="CC597" i="1"/>
  <c r="CR592" i="1"/>
  <c r="CU592" i="1"/>
  <c r="BE597" i="1"/>
  <c r="BB597" i="1"/>
  <c r="S605" i="1"/>
  <c r="BV611" i="1"/>
  <c r="CV600" i="1"/>
  <c r="BC604" i="1"/>
  <c r="BW625" i="1"/>
  <c r="CD614" i="1"/>
  <c r="AX614" i="1"/>
  <c r="DH591" i="1"/>
  <c r="G592" i="1"/>
  <c r="BO598" i="1"/>
  <c r="BK598" i="1"/>
  <c r="AJ593" i="1"/>
  <c r="AM593" i="1"/>
  <c r="AA598" i="1"/>
  <c r="W598" i="1"/>
  <c r="P593" i="1"/>
  <c r="S593" i="1"/>
  <c r="CQ597" i="1"/>
  <c r="CM597" i="1"/>
  <c r="W594" i="1"/>
  <c r="AM605" i="1"/>
  <c r="AL599" i="1"/>
  <c r="CZ588" i="1"/>
  <c r="AY588" i="1"/>
  <c r="CO594" i="1"/>
  <c r="M586" i="1"/>
  <c r="L586" i="1"/>
  <c r="N596" i="1"/>
  <c r="AK593" i="1"/>
  <c r="BM584" i="1"/>
  <c r="BL584" i="1"/>
  <c r="CX595" i="1"/>
  <c r="Q593" i="1"/>
  <c r="AS584" i="1"/>
  <c r="CL608" i="1"/>
  <c r="AI593" i="1"/>
  <c r="CD601" i="1"/>
  <c r="CL597" i="1"/>
  <c r="X588" i="1"/>
  <c r="CT596" i="1"/>
  <c r="M594" i="1"/>
  <c r="AO585" i="1"/>
  <c r="AN585" i="1"/>
  <c r="AP595" i="1"/>
  <c r="BM592" i="1"/>
  <c r="CO583" i="1"/>
  <c r="CN583" i="1"/>
  <c r="V595" i="1"/>
  <c r="AS592" i="1"/>
  <c r="BU583" i="1"/>
  <c r="AB588" i="1"/>
  <c r="AP601" i="1"/>
  <c r="BZ609" i="1"/>
  <c r="BP591" i="1"/>
  <c r="BS591" i="1"/>
  <c r="CL590" i="1"/>
  <c r="DI587" i="1"/>
  <c r="AG579" i="1"/>
  <c r="BS587" i="1"/>
  <c r="DE595" i="1"/>
  <c r="AC587" i="1"/>
  <c r="AB587" i="1"/>
  <c r="O586" i="1"/>
  <c r="CK595" i="1"/>
  <c r="I587" i="1"/>
  <c r="CN592" i="1"/>
  <c r="CE589" i="1"/>
  <c r="CX605" i="1"/>
  <c r="DH594" i="1"/>
  <c r="G595" i="1"/>
  <c r="Z594" i="1"/>
  <c r="U596" i="1"/>
  <c r="AW591" i="1"/>
  <c r="AW587" i="1"/>
  <c r="BY582" i="1"/>
  <c r="AV587" i="1"/>
  <c r="BX582" i="1"/>
  <c r="AA588" i="1"/>
  <c r="BZ592" i="1"/>
  <c r="BU594" i="1"/>
  <c r="CW589" i="1"/>
  <c r="CW585" i="1"/>
  <c r="U581" i="1"/>
  <c r="CV585" i="1"/>
  <c r="T581" i="1"/>
  <c r="DG587" i="1"/>
  <c r="BF592" i="1"/>
  <c r="CO596" i="1"/>
  <c r="BA594" i="1"/>
  <c r="M592" i="1"/>
  <c r="CC589" i="1"/>
  <c r="N589" i="1"/>
  <c r="CC585" i="1"/>
  <c r="AO583" i="1"/>
  <c r="DE580" i="1"/>
  <c r="J589" i="1"/>
  <c r="CB585" i="1"/>
  <c r="AN583" i="1"/>
  <c r="DD580" i="1"/>
  <c r="O589" i="1"/>
  <c r="CD595" i="1"/>
  <c r="AP593" i="1"/>
  <c r="DF590" i="1"/>
  <c r="AK595" i="1"/>
  <c r="DA592" i="1"/>
  <c r="BM590" i="1"/>
  <c r="Y588" i="1"/>
  <c r="BM586" i="1"/>
  <c r="Y584" i="1"/>
  <c r="BH585" i="1"/>
  <c r="AQ586" i="1"/>
  <c r="X587" i="1"/>
  <c r="X583" i="1"/>
  <c r="L580" i="1"/>
  <c r="BB596" i="1"/>
  <c r="Z593" i="1"/>
  <c r="CK596" i="1"/>
  <c r="BY593" i="1"/>
  <c r="AW590" i="1"/>
  <c r="DB588" i="1"/>
  <c r="DA584" i="1"/>
  <c r="CZ584" i="1"/>
  <c r="AU585" i="1"/>
  <c r="G583" i="1"/>
  <c r="BW580" i="1"/>
  <c r="CI587" i="1"/>
  <c r="AP585" i="1"/>
  <c r="DF582" i="1"/>
  <c r="H578" i="1"/>
  <c r="BX575" i="1"/>
  <c r="AJ573" i="1"/>
  <c r="CZ570" i="1"/>
  <c r="BL568" i="1"/>
  <c r="X566" i="1"/>
  <c r="CN563" i="1"/>
  <c r="AZ561" i="1"/>
  <c r="AC581" i="1"/>
  <c r="AB581" i="1"/>
  <c r="AA585" i="1"/>
  <c r="CQ582" i="1"/>
  <c r="BC580" i="1"/>
  <c r="BJ587" i="1"/>
  <c r="V585" i="1"/>
  <c r="CL582" i="1"/>
  <c r="CR577" i="1"/>
  <c r="BD575" i="1"/>
  <c r="P573" i="1"/>
  <c r="CF570" i="1"/>
  <c r="CG610" i="1"/>
  <c r="CW606" i="1"/>
  <c r="I606" i="1"/>
  <c r="L607" i="1"/>
  <c r="BP598" i="1"/>
  <c r="DH620" i="1"/>
  <c r="CB608" i="1"/>
  <c r="BH608" i="1"/>
  <c r="AB605" i="1"/>
  <c r="CS600" i="1"/>
  <c r="O611" i="1"/>
  <c r="CE610" i="1"/>
  <c r="AZ608" i="1"/>
  <c r="CE607" i="1"/>
  <c r="BT593" i="1"/>
  <c r="P596" i="1"/>
  <c r="CD606" i="1"/>
  <c r="CZ595" i="1"/>
  <c r="BG599" i="1"/>
  <c r="CF608" i="1"/>
  <c r="CN598" i="1"/>
  <c r="AM600" i="1"/>
  <c r="K612" i="1"/>
  <c r="F602" i="1"/>
  <c r="DF601" i="1"/>
  <c r="CZ589" i="1"/>
  <c r="DC589" i="1"/>
  <c r="CT606" i="1"/>
  <c r="CE606" i="1"/>
  <c r="AB591" i="1"/>
  <c r="AE591" i="1"/>
  <c r="K606" i="1"/>
  <c r="DG605" i="1"/>
  <c r="BT600" i="1"/>
  <c r="CV619" i="1"/>
  <c r="CB607" i="1"/>
  <c r="L598" i="1"/>
  <c r="AP625" i="1"/>
  <c r="CI615" i="1"/>
  <c r="J600" i="1"/>
  <c r="DG599" i="1"/>
  <c r="X589" i="1"/>
  <c r="AA589" i="1"/>
  <c r="CQ603" i="1"/>
  <c r="CI603" i="1"/>
  <c r="BD590" i="1"/>
  <c r="BG590" i="1"/>
  <c r="O603" i="1"/>
  <c r="AB601" i="1"/>
  <c r="DB625" i="1"/>
  <c r="AJ608" i="1"/>
  <c r="BH598" i="1"/>
  <c r="CE599" i="1"/>
  <c r="W611" i="1"/>
  <c r="AD601" i="1"/>
  <c r="W601" i="1"/>
  <c r="BT589" i="1"/>
  <c r="BW589" i="1"/>
  <c r="BS605" i="1"/>
  <c r="BK605" i="1"/>
  <c r="CZ590" i="1"/>
  <c r="DC590" i="1"/>
  <c r="CU604" i="1"/>
  <c r="CM604" i="1"/>
  <c r="CF590" i="1"/>
  <c r="CI590" i="1"/>
  <c r="S604" i="1"/>
  <c r="AZ594" i="1"/>
  <c r="K591" i="1"/>
  <c r="AD597" i="1"/>
  <c r="H596" i="1"/>
  <c r="K596" i="1"/>
  <c r="AD595" i="1"/>
  <c r="BA592" i="1"/>
  <c r="CC583" i="1"/>
  <c r="CB583" i="1"/>
  <c r="CD593" i="1"/>
  <c r="DA590" i="1"/>
  <c r="Y582" i="1"/>
  <c r="X582" i="1"/>
  <c r="BJ593" i="1"/>
  <c r="CG590" i="1"/>
  <c r="DI581" i="1"/>
  <c r="AF593" i="1"/>
  <c r="G590" i="1"/>
  <c r="BN608" i="1"/>
  <c r="AJ595" i="1"/>
  <c r="AM595" i="1"/>
  <c r="BF594" i="1"/>
  <c r="CC591" i="1"/>
  <c r="DE582" i="1"/>
  <c r="DD582" i="1"/>
  <c r="DF592" i="1"/>
  <c r="Y590" i="1"/>
  <c r="BA581" i="1"/>
  <c r="AZ581" i="1"/>
  <c r="CL592" i="1"/>
  <c r="DI589" i="1"/>
  <c r="AG581" i="1"/>
  <c r="BS594" i="1"/>
  <c r="BB607" i="1"/>
  <c r="N600" i="1"/>
  <c r="AB589" i="1"/>
  <c r="CQ588" i="1"/>
  <c r="Q595" i="1"/>
  <c r="AS586" i="1"/>
  <c r="AR586" i="1"/>
  <c r="AT596" i="1"/>
  <c r="BQ593" i="1"/>
  <c r="CS584" i="1"/>
  <c r="CR584" i="1"/>
  <c r="Z596" i="1"/>
  <c r="AW593" i="1"/>
  <c r="BY584" i="1"/>
  <c r="CB589" i="1"/>
  <c r="DF605" i="1"/>
  <c r="AW597" i="1"/>
  <c r="BT592" i="1"/>
  <c r="BW592" i="1"/>
  <c r="F593" i="1"/>
  <c r="DE594" i="1"/>
  <c r="AC590" i="1"/>
  <c r="AC586" i="1"/>
  <c r="BE581" i="1"/>
  <c r="AB586" i="1"/>
  <c r="BD581" i="1"/>
  <c r="AD596" i="1"/>
  <c r="BF591" i="1"/>
  <c r="DE579" i="1"/>
  <c r="CX591" i="1"/>
  <c r="Q589" i="1"/>
  <c r="AS580" i="1"/>
  <c r="AR580" i="1"/>
  <c r="M597" i="1"/>
  <c r="R590" i="1"/>
  <c r="CA585" i="1"/>
  <c r="BN595" i="1"/>
  <c r="BY589" i="1"/>
  <c r="CM584" i="1"/>
  <c r="CH584" i="1"/>
  <c r="CB572" i="1"/>
  <c r="DD567" i="1"/>
  <c r="AB563" i="1"/>
  <c r="N590" i="1"/>
  <c r="BS584" i="1"/>
  <c r="CU579" i="1"/>
  <c r="BN584" i="1"/>
  <c r="AF577" i="1"/>
  <c r="BH572" i="1"/>
  <c r="DD568" i="1"/>
  <c r="BP566" i="1"/>
  <c r="AB564" i="1"/>
  <c r="CR561" i="1"/>
  <c r="BP587" i="1"/>
  <c r="K587" i="1"/>
  <c r="AY584" i="1"/>
  <c r="K582" i="1"/>
  <c r="CA579" i="1"/>
  <c r="CH586" i="1"/>
  <c r="AT584" i="1"/>
  <c r="CZ579" i="1"/>
  <c r="L577" i="1"/>
  <c r="CB574" i="1"/>
  <c r="AN572" i="1"/>
  <c r="DD569" i="1"/>
  <c r="BP567" i="1"/>
  <c r="AB565" i="1"/>
  <c r="CR562" i="1"/>
  <c r="CP579" i="1"/>
  <c r="CV583" i="1"/>
  <c r="CU585" i="1"/>
  <c r="BG583" i="1"/>
  <c r="S581" i="1"/>
  <c r="BN589" i="1"/>
  <c r="CP585" i="1"/>
  <c r="BB583" i="1"/>
  <c r="BH578" i="1"/>
  <c r="T576" i="1"/>
  <c r="CJ573" i="1"/>
  <c r="AV571" i="1"/>
  <c r="H569" i="1"/>
  <c r="BV589" i="1"/>
  <c r="CJ583" i="1"/>
  <c r="BX580" i="1"/>
  <c r="J597" i="1"/>
  <c r="CL593" i="1"/>
  <c r="BZ590" i="1"/>
  <c r="AG594" i="1"/>
  <c r="DI590" i="1"/>
  <c r="CW587" i="1"/>
  <c r="BI585" i="1"/>
  <c r="AJ587" i="1"/>
  <c r="DG585" i="1"/>
  <c r="BC583" i="1"/>
  <c r="O581" i="1"/>
  <c r="AX589" i="1"/>
  <c r="CL585" i="1"/>
  <c r="AX583" i="1"/>
  <c r="BD578" i="1"/>
  <c r="P576" i="1"/>
  <c r="CF573" i="1"/>
  <c r="AR571" i="1"/>
  <c r="DH568" i="1"/>
  <c r="BT566" i="1"/>
  <c r="AF564" i="1"/>
  <c r="CV561" i="1"/>
  <c r="DI582" i="1"/>
  <c r="DH582" i="1"/>
  <c r="BW585" i="1"/>
  <c r="AI583" i="1"/>
  <c r="CY580" i="1"/>
  <c r="BZ588" i="1"/>
  <c r="BR585" i="1"/>
  <c r="AD583" i="1"/>
  <c r="AJ578" i="1"/>
  <c r="CZ575" i="1"/>
  <c r="BL573" i="1"/>
  <c r="X571" i="1"/>
  <c r="CN568" i="1"/>
  <c r="AZ566" i="1"/>
  <c r="L564" i="1"/>
  <c r="CB561" i="1"/>
  <c r="DH586" i="1"/>
  <c r="CU586" i="1"/>
  <c r="AI584" i="1"/>
  <c r="CY581" i="1"/>
  <c r="BK579" i="1"/>
  <c r="BR586" i="1"/>
  <c r="AD584" i="1"/>
  <c r="BT579" i="1"/>
  <c r="CZ576" i="1"/>
  <c r="BL574" i="1"/>
  <c r="X572" i="1"/>
  <c r="CN569" i="1"/>
  <c r="AZ567" i="1"/>
  <c r="L565" i="1"/>
  <c r="CB562" i="1"/>
  <c r="AK583" i="1"/>
  <c r="AJ583" i="1"/>
  <c r="CE585" i="1"/>
  <c r="AQ583" i="1"/>
  <c r="DG580" i="1"/>
  <c r="DF588" i="1"/>
  <c r="BZ585" i="1"/>
  <c r="AL583" i="1"/>
  <c r="AR578" i="1"/>
  <c r="DH575" i="1"/>
  <c r="BP586" i="1"/>
  <c r="CV582" i="1"/>
  <c r="CD588" i="1"/>
  <c r="F596" i="1"/>
  <c r="CX592" i="1"/>
  <c r="AO596" i="1"/>
  <c r="AC593" i="1"/>
  <c r="Q590" i="1"/>
  <c r="BQ587" i="1"/>
  <c r="BE584" i="1"/>
  <c r="CF583" i="1"/>
  <c r="O585" i="1"/>
  <c r="CE582" i="1"/>
  <c r="AQ580" i="1"/>
  <c r="AX587" i="1"/>
  <c r="J585" i="1"/>
  <c r="BB582" i="1"/>
  <c r="CF577" i="1"/>
  <c r="AR575" i="1"/>
  <c r="DH572" i="1"/>
  <c r="BT570" i="1"/>
  <c r="AF568" i="1"/>
  <c r="CV565" i="1"/>
  <c r="BH563" i="1"/>
  <c r="AH582" i="1"/>
  <c r="I580" i="1"/>
  <c r="AP590" i="1"/>
  <c r="CY584" i="1"/>
  <c r="BK582" i="1"/>
  <c r="W580" i="1"/>
  <c r="AD587" i="1"/>
  <c r="CT584" i="1"/>
  <c r="CD581" i="1"/>
  <c r="BL577" i="1"/>
  <c r="X575" i="1"/>
  <c r="CN572" i="1"/>
  <c r="AZ570" i="1"/>
  <c r="L568" i="1"/>
  <c r="CB565" i="1"/>
  <c r="AN563" i="1"/>
  <c r="BJ581" i="1"/>
  <c r="H584" i="1"/>
  <c r="CY585" i="1"/>
  <c r="BK583" i="1"/>
  <c r="W581" i="1"/>
  <c r="CD589" i="1"/>
  <c r="CT585" i="1"/>
  <c r="BF583" i="1"/>
  <c r="BL578" i="1"/>
  <c r="X576" i="1"/>
  <c r="CN573" i="1"/>
  <c r="AZ571" i="1"/>
  <c r="L569" i="1"/>
  <c r="CB566" i="1"/>
  <c r="AN564" i="1"/>
  <c r="DD561" i="1"/>
  <c r="AO580" i="1"/>
  <c r="AN580" i="1"/>
  <c r="DG584" i="1"/>
  <c r="BS582" i="1"/>
  <c r="AE580" i="1"/>
  <c r="AL587" i="1"/>
  <c r="DB584" i="1"/>
  <c r="F582" i="1"/>
  <c r="AF585" i="1"/>
  <c r="CR581" i="1"/>
  <c r="AI589" i="1"/>
  <c r="DF594" i="1"/>
  <c r="CT591" i="1"/>
  <c r="BA595" i="1"/>
  <c r="Y592" i="1"/>
  <c r="M589" i="1"/>
  <c r="CC586" i="1"/>
  <c r="BM582" i="1"/>
  <c r="BN588" i="1"/>
  <c r="AQ584" i="1"/>
  <c r="DG581" i="1"/>
  <c r="BS579" i="1"/>
  <c r="BZ586" i="1"/>
  <c r="AL584" i="1"/>
  <c r="CJ579" i="1"/>
  <c r="DH576" i="1"/>
  <c r="BT574" i="1"/>
  <c r="AF572" i="1"/>
  <c r="CV569" i="1"/>
  <c r="BH567" i="1"/>
  <c r="T565" i="1"/>
  <c r="CJ562" i="1"/>
  <c r="BZ579" i="1"/>
  <c r="BL586" i="1"/>
  <c r="CE586" i="1"/>
  <c r="W584" i="1"/>
  <c r="CM581" i="1"/>
  <c r="AY579" i="1"/>
  <c r="BF586" i="1"/>
  <c r="R584" i="1"/>
  <c r="AV579" i="1"/>
  <c r="CN576" i="1"/>
  <c r="AZ574" i="1"/>
  <c r="L572" i="1"/>
  <c r="CB569" i="1"/>
  <c r="AN567" i="1"/>
  <c r="DD564" i="1"/>
  <c r="BP562" i="1"/>
  <c r="M581" i="1"/>
  <c r="L581" i="1"/>
  <c r="W585" i="1"/>
  <c r="CM582" i="1"/>
  <c r="AY580" i="1"/>
  <c r="BF587" i="1"/>
  <c r="R585" i="1"/>
  <c r="CH582" i="1"/>
  <c r="CN577" i="1"/>
  <c r="AZ575" i="1"/>
  <c r="L573" i="1"/>
  <c r="CB570" i="1"/>
  <c r="AN568" i="1"/>
  <c r="DD565" i="1"/>
  <c r="BP563" i="1"/>
  <c r="BN582" i="1"/>
  <c r="CR586" i="1"/>
  <c r="CM586" i="1"/>
  <c r="AE584" i="1"/>
  <c r="CU581" i="1"/>
  <c r="BG579" i="1"/>
  <c r="BN586" i="1"/>
  <c r="Z584" i="1"/>
  <c r="BL579" i="1"/>
  <c r="CV576" i="1"/>
  <c r="BH574" i="1"/>
  <c r="T572" i="1"/>
  <c r="CJ569" i="1"/>
  <c r="AV567" i="1"/>
  <c r="BA593" i="1"/>
  <c r="CB584" i="1"/>
  <c r="AC596" i="1"/>
  <c r="BE587" i="1"/>
  <c r="BD587" i="1"/>
  <c r="AI588" i="1"/>
  <c r="CC594" i="1"/>
  <c r="DE585" i="1"/>
  <c r="DH585" i="1"/>
  <c r="BB592" i="1"/>
  <c r="AK587" i="1"/>
  <c r="AY582" i="1"/>
  <c r="AH581" i="1"/>
  <c r="BH571" i="1"/>
  <c r="CJ566" i="1"/>
  <c r="H562" i="1"/>
  <c r="BP583" i="1"/>
  <c r="AY583" i="1"/>
  <c r="AH589" i="1"/>
  <c r="AT583" i="1"/>
  <c r="L576" i="1"/>
  <c r="AN571" i="1"/>
  <c r="AR568" i="1"/>
  <c r="DH565" i="1"/>
  <c r="BT563" i="1"/>
  <c r="CD582" i="1"/>
  <c r="AB585" i="1"/>
  <c r="AI586" i="1"/>
  <c r="CQ583" i="1"/>
  <c r="BC581" i="1"/>
  <c r="O579" i="1"/>
  <c r="V586" i="1"/>
  <c r="CL583" i="1"/>
  <c r="CR578" i="1"/>
  <c r="BD576" i="1"/>
  <c r="P574" i="1"/>
  <c r="CF571" i="1"/>
  <c r="AR569" i="1"/>
  <c r="DH566" i="1"/>
  <c r="BT564" i="1"/>
  <c r="AF562" i="1"/>
  <c r="BI581" i="1"/>
  <c r="BH581" i="1"/>
  <c r="AI585" i="1"/>
  <c r="CY582" i="1"/>
  <c r="BK580" i="1"/>
  <c r="BR587" i="1"/>
  <c r="AD585" i="1"/>
  <c r="CT582" i="1"/>
  <c r="CZ577" i="1"/>
  <c r="BL575" i="1"/>
  <c r="X573" i="1"/>
  <c r="CN570" i="1"/>
  <c r="AZ568" i="1"/>
  <c r="H587" i="1"/>
  <c r="H583" i="1"/>
  <c r="CX589" i="1"/>
  <c r="V596" i="1"/>
  <c r="J593" i="1"/>
  <c r="BU596" i="1"/>
  <c r="AS593" i="1"/>
  <c r="AG590" i="1"/>
  <c r="AP588" i="1"/>
  <c r="BU584" i="1"/>
  <c r="AN584" i="1"/>
  <c r="AE585" i="1"/>
  <c r="CU582" i="1"/>
  <c r="BG580" i="1"/>
  <c r="BN587" i="1"/>
  <c r="Z585" i="1"/>
  <c r="CP582" i="1"/>
  <c r="CV577" i="1"/>
  <c r="BH575" i="1"/>
  <c r="T573" i="1"/>
  <c r="CJ570" i="1"/>
  <c r="AV568" i="1"/>
  <c r="H566" i="1"/>
  <c r="BX563" i="1"/>
  <c r="AJ561" i="1"/>
  <c r="BU580" i="1"/>
  <c r="BT580" i="1"/>
  <c r="K585" i="1"/>
  <c r="CA582" i="1"/>
  <c r="AM580" i="1"/>
  <c r="AT587" i="1"/>
  <c r="F585" i="1"/>
  <c r="AL582" i="1"/>
  <c r="CB577" i="1"/>
  <c r="AN575" i="1"/>
  <c r="DD572" i="1"/>
  <c r="BP570" i="1"/>
  <c r="AB568" i="1"/>
  <c r="CR565" i="1"/>
  <c r="BD563" i="1"/>
  <c r="R582" i="1"/>
  <c r="BT584" i="1"/>
  <c r="K586" i="1"/>
  <c r="CA583" i="1"/>
  <c r="AM581" i="1"/>
  <c r="AL590" i="1"/>
  <c r="F586" i="1"/>
  <c r="BV583" i="1"/>
  <c r="CB578" i="1"/>
  <c r="AN576" i="1"/>
  <c r="DD573" i="1"/>
  <c r="BP571" i="1"/>
  <c r="AB569" i="1"/>
  <c r="CR566" i="1"/>
  <c r="BD564" i="1"/>
  <c r="P562" i="1"/>
  <c r="DA580" i="1"/>
  <c r="CZ580" i="1"/>
  <c r="S585" i="1"/>
  <c r="CI582" i="1"/>
  <c r="AU580" i="1"/>
  <c r="BB587" i="1"/>
  <c r="N585" i="1"/>
  <c r="BR582" i="1"/>
  <c r="CJ577" i="1"/>
  <c r="AV575" i="1"/>
  <c r="AV585" i="1"/>
  <c r="DH581" i="1"/>
  <c r="BC589" i="1"/>
  <c r="AH595" i="1"/>
  <c r="F592" i="1"/>
  <c r="BQ595" i="1"/>
  <c r="BE592" i="1"/>
  <c r="AC589" i="1"/>
  <c r="CS586" i="1"/>
  <c r="CG583" i="1"/>
  <c r="X580" i="1"/>
  <c r="BG584" i="1"/>
  <c r="S582" i="1"/>
  <c r="CI579" i="1"/>
  <c r="CP586" i="1"/>
  <c r="BB584" i="1"/>
  <c r="N580" i="1"/>
  <c r="T577" i="1"/>
  <c r="CJ574" i="1"/>
  <c r="AV572" i="1"/>
  <c r="H570" i="1"/>
  <c r="BX567" i="1"/>
  <c r="AJ565" i="1"/>
  <c r="CZ562" i="1"/>
  <c r="DF579" i="1"/>
  <c r="T587" i="1"/>
  <c r="CY586" i="1"/>
  <c r="AM584" i="1"/>
  <c r="DC581" i="1"/>
  <c r="BO579" i="1"/>
  <c r="BV586" i="1"/>
  <c r="AH584" i="1"/>
  <c r="CB579" i="1"/>
  <c r="DD576" i="1"/>
  <c r="BP574" i="1"/>
  <c r="AB572" i="1"/>
  <c r="CR569" i="1"/>
  <c r="BD567" i="1"/>
  <c r="P565" i="1"/>
  <c r="CF562" i="1"/>
  <c r="BY581" i="1"/>
  <c r="BX581" i="1"/>
  <c r="AM585" i="1"/>
  <c r="DC582" i="1"/>
  <c r="BO580" i="1"/>
  <c r="BV587" i="1"/>
  <c r="AH585" i="1"/>
  <c r="CX582" i="1"/>
  <c r="DD577" i="1"/>
  <c r="BP575" i="1"/>
  <c r="AB573" i="1"/>
  <c r="CR570" i="1"/>
  <c r="BD568" i="1"/>
  <c r="P566" i="1"/>
  <c r="CF563" i="1"/>
  <c r="AR561" i="1"/>
  <c r="AZ587" i="1"/>
  <c r="G587" i="1"/>
  <c r="AU584" i="1"/>
  <c r="G582" i="1"/>
  <c r="BW579" i="1"/>
  <c r="CD586" i="1"/>
  <c r="AP584" i="1"/>
  <c r="AO579" i="1"/>
  <c r="AB584" i="1"/>
  <c r="P581" i="1"/>
  <c r="O588" i="1"/>
  <c r="AD594" i="1"/>
  <c r="R591" i="1"/>
  <c r="BM594" i="1"/>
  <c r="BA591" i="1"/>
  <c r="AO588" i="1"/>
  <c r="CO585" i="1"/>
  <c r="BQ579" i="1"/>
  <c r="BO586" i="1"/>
  <c r="CI583" i="1"/>
  <c r="AU581" i="1"/>
  <c r="G579" i="1"/>
  <c r="N586" i="1"/>
  <c r="CD583" i="1"/>
  <c r="CJ578" i="1"/>
  <c r="AV576" i="1"/>
  <c r="H574" i="1"/>
  <c r="BX571" i="1"/>
  <c r="AJ569" i="1"/>
  <c r="CZ566" i="1"/>
  <c r="BL564" i="1"/>
  <c r="X562" i="1"/>
  <c r="CE578" i="1"/>
  <c r="X584" i="1"/>
  <c r="DC585" i="1"/>
  <c r="BO583" i="1"/>
  <c r="AA581" i="1"/>
  <c r="CT589" i="1"/>
  <c r="CX585" i="1"/>
  <c r="BJ583" i="1"/>
  <c r="BP578" i="1"/>
  <c r="AB576" i="1"/>
  <c r="CR573" i="1"/>
  <c r="BD571" i="1"/>
  <c r="P569" i="1"/>
  <c r="CF566" i="1"/>
  <c r="AR564" i="1"/>
  <c r="DH561" i="1"/>
  <c r="BF589" i="1"/>
  <c r="AE587" i="1"/>
  <c r="BO584" i="1"/>
  <c r="AA582" i="1"/>
  <c r="CQ579" i="1"/>
  <c r="CX586" i="1"/>
  <c r="BJ584" i="1"/>
  <c r="AT580" i="1"/>
  <c r="AB577" i="1"/>
  <c r="CR574" i="1"/>
  <c r="BD572" i="1"/>
  <c r="P570" i="1"/>
  <c r="CF567" i="1"/>
  <c r="AR565" i="1"/>
  <c r="DH562" i="1"/>
  <c r="Z580" i="1"/>
  <c r="BD584" i="1"/>
  <c r="G586" i="1"/>
  <c r="BW583" i="1"/>
  <c r="AI581" i="1"/>
  <c r="V590" i="1"/>
  <c r="DF585" i="1"/>
  <c r="BR583" i="1"/>
  <c r="BX578" i="1"/>
  <c r="AJ576" i="1"/>
  <c r="CZ573" i="1"/>
  <c r="BL571" i="1"/>
  <c r="X569" i="1"/>
  <c r="CN566" i="1"/>
  <c r="AZ564" i="1"/>
  <c r="CC588" i="1"/>
  <c r="J590" i="1"/>
  <c r="CS593" i="1"/>
  <c r="Q585" i="1"/>
  <c r="P585" i="1"/>
  <c r="R595" i="1"/>
  <c r="AO592" i="1"/>
  <c r="U583" i="1"/>
  <c r="AZ582" i="1"/>
  <c r="I596" i="1"/>
  <c r="I584" i="1"/>
  <c r="K580" i="1"/>
  <c r="AZ577" i="1"/>
  <c r="AN570" i="1"/>
  <c r="BP565" i="1"/>
  <c r="N581" i="1"/>
  <c r="AM587" i="1"/>
  <c r="AE582" i="1"/>
  <c r="DB586" i="1"/>
  <c r="BJ580" i="1"/>
  <c r="CV574" i="1"/>
  <c r="T570" i="1"/>
  <c r="CJ567" i="1"/>
  <c r="AV565" i="1"/>
  <c r="H563" i="1"/>
  <c r="CS582" i="1"/>
  <c r="CR582" i="1"/>
  <c r="BS585" i="1"/>
  <c r="AE583" i="1"/>
  <c r="CU580" i="1"/>
  <c r="BJ588" i="1"/>
  <c r="BN585" i="1"/>
  <c r="Z583" i="1"/>
  <c r="AF578" i="1"/>
  <c r="CV575" i="1"/>
  <c r="BH573" i="1"/>
  <c r="T571" i="1"/>
  <c r="CJ568" i="1"/>
  <c r="AV566" i="1"/>
  <c r="H564" i="1"/>
  <c r="BX561" i="1"/>
  <c r="U579" i="1"/>
  <c r="BG587" i="1"/>
  <c r="CA584" i="1"/>
  <c r="AM582" i="1"/>
  <c r="DC579" i="1"/>
  <c r="F587" i="1"/>
  <c r="BV584" i="1"/>
  <c r="CP580" i="1"/>
  <c r="AN577" i="1"/>
  <c r="DD574" i="1"/>
  <c r="BP572" i="1"/>
  <c r="AB570" i="1"/>
  <c r="CR567" i="1"/>
  <c r="CR585" i="1"/>
  <c r="AJ582" i="1"/>
  <c r="AU587" i="1"/>
  <c r="AX595" i="1"/>
  <c r="AL592" i="1"/>
  <c r="CG595" i="1"/>
  <c r="BU592" i="1"/>
  <c r="BI589" i="1"/>
  <c r="DI586" i="1"/>
  <c r="CW583" i="1"/>
  <c r="AR581" i="1"/>
  <c r="BW584" i="1"/>
  <c r="AI582" i="1"/>
  <c r="CY579" i="1"/>
  <c r="DF586" i="1"/>
  <c r="BR584" i="1"/>
  <c r="BZ580" i="1"/>
  <c r="AJ577" i="1"/>
  <c r="CZ574" i="1"/>
  <c r="BL572" i="1"/>
  <c r="X570" i="1"/>
  <c r="CN567" i="1"/>
  <c r="AZ565" i="1"/>
  <c r="L563" i="1"/>
  <c r="BF580" i="1"/>
  <c r="CM587" i="1"/>
  <c r="O587" i="1"/>
  <c r="BC584" i="1"/>
  <c r="O582" i="1"/>
  <c r="CE579" i="1"/>
  <c r="CL586" i="1"/>
  <c r="AX584" i="1"/>
  <c r="DH579" i="1"/>
  <c r="P577" i="1"/>
  <c r="CF574" i="1"/>
  <c r="AR572" i="1"/>
  <c r="DH569" i="1"/>
  <c r="BT567" i="1"/>
  <c r="AF565" i="1"/>
  <c r="CV562" i="1"/>
  <c r="AG582" i="1"/>
  <c r="AF582" i="1"/>
  <c r="BC585" i="1"/>
  <c r="O583" i="1"/>
  <c r="CE580" i="1"/>
  <c r="DB587" i="1"/>
  <c r="AX585" i="1"/>
  <c r="J583" i="1"/>
  <c r="P578" i="1"/>
  <c r="CF575" i="1"/>
  <c r="AR573" i="1"/>
  <c r="DH570" i="1"/>
  <c r="BT568" i="1"/>
  <c r="AF566" i="1"/>
  <c r="CV563" i="1"/>
  <c r="BH561" i="1"/>
  <c r="CX588" i="1"/>
  <c r="AA587" i="1"/>
  <c r="BK584" i="1"/>
  <c r="W582" i="1"/>
  <c r="CM579" i="1"/>
  <c r="CT586" i="1"/>
  <c r="BF584" i="1"/>
  <c r="AD580" i="1"/>
  <c r="X577" i="1"/>
  <c r="BE579" i="1"/>
  <c r="AR584" i="1"/>
  <c r="AF581" i="1"/>
  <c r="BG588" i="1"/>
  <c r="AT594" i="1"/>
  <c r="AH591" i="1"/>
  <c r="CS594" i="1"/>
  <c r="BQ591" i="1"/>
  <c r="BE588" i="1"/>
  <c r="Q586" i="1"/>
  <c r="Y580" i="1"/>
  <c r="CI586" i="1"/>
  <c r="CY583" i="1"/>
  <c r="BK581" i="1"/>
  <c r="W579" i="1"/>
  <c r="AD586" i="1"/>
  <c r="CT583" i="1"/>
  <c r="CZ578" i="1"/>
  <c r="BL576" i="1"/>
  <c r="X574" i="1"/>
  <c r="CN571" i="1"/>
  <c r="AZ569" i="1"/>
  <c r="L567" i="1"/>
  <c r="CB564" i="1"/>
  <c r="AN562" i="1"/>
  <c r="CU578" i="1"/>
  <c r="CJ584" i="1"/>
  <c r="S586" i="1"/>
  <c r="CE583" i="1"/>
  <c r="AQ581" i="1"/>
  <c r="DG578" i="1"/>
  <c r="J586" i="1"/>
  <c r="BZ583" i="1"/>
  <c r="CF578" i="1"/>
  <c r="AR576" i="1"/>
  <c r="DH573" i="1"/>
  <c r="BT571" i="1"/>
  <c r="AF569" i="1"/>
  <c r="CV566" i="1"/>
  <c r="BH564" i="1"/>
  <c r="T562" i="1"/>
  <c r="AK579" i="1"/>
  <c r="BW587" i="1"/>
  <c r="CE584" i="1"/>
  <c r="AQ582" i="1"/>
  <c r="DG579" i="1"/>
  <c r="J587" i="1"/>
  <c r="BZ584" i="1"/>
  <c r="DF580" i="1"/>
  <c r="AR577" i="1"/>
  <c r="DH574" i="1"/>
  <c r="BT572" i="1"/>
  <c r="AF570" i="1"/>
  <c r="CV567" i="1"/>
  <c r="BH565" i="1"/>
  <c r="T563" i="1"/>
  <c r="CL580" i="1"/>
  <c r="L585" i="1"/>
  <c r="AA586" i="1"/>
  <c r="CM583" i="1"/>
  <c r="AY581" i="1"/>
  <c r="K579" i="1"/>
  <c r="R586" i="1"/>
  <c r="CH583" i="1"/>
  <c r="BT587" i="1"/>
  <c r="BD583" i="1"/>
  <c r="AB580" i="1"/>
  <c r="BR596" i="1"/>
  <c r="BF593" i="1"/>
  <c r="DA596" i="1"/>
  <c r="CO593" i="1"/>
  <c r="CC590" i="1"/>
  <c r="BJ589" i="1"/>
  <c r="M585" i="1"/>
  <c r="P586" i="1"/>
  <c r="BK585" i="1"/>
  <c r="W583" i="1"/>
  <c r="CM580" i="1"/>
  <c r="AD588" i="1"/>
  <c r="BF585" i="1"/>
  <c r="R583" i="1"/>
  <c r="X578" i="1"/>
  <c r="CN575" i="1"/>
  <c r="AZ573" i="1"/>
  <c r="L571" i="1"/>
  <c r="CB568" i="1"/>
  <c r="AN566" i="1"/>
  <c r="DD563" i="1"/>
  <c r="BP561" i="1"/>
  <c r="CO581" i="1"/>
  <c r="CN581" i="1"/>
  <c r="AQ585" i="1"/>
  <c r="DG582" i="1"/>
  <c r="BS580" i="1"/>
  <c r="CA587" i="1"/>
  <c r="AL585" i="1"/>
  <c r="DB582" i="1"/>
  <c r="DH577" i="1"/>
  <c r="BT575" i="1"/>
  <c r="AF573" i="1"/>
  <c r="CV570" i="1"/>
  <c r="BH568" i="1"/>
  <c r="T566" i="1"/>
  <c r="CJ563" i="1"/>
  <c r="AV561" i="1"/>
  <c r="CN585" i="1"/>
  <c r="BC586" i="1"/>
  <c r="DG583" i="1"/>
  <c r="BS581" i="1"/>
  <c r="AE579" i="1"/>
  <c r="AL586" i="1"/>
  <c r="DB583" i="1"/>
  <c r="H579" i="1"/>
  <c r="BT576" i="1"/>
  <c r="AF574" i="1"/>
  <c r="CV571" i="1"/>
  <c r="BH569" i="1"/>
  <c r="T567" i="1"/>
  <c r="CJ564" i="1"/>
  <c r="AV562" i="1"/>
  <c r="Q582" i="1"/>
  <c r="P582" i="1"/>
  <c r="AY585" i="1"/>
  <c r="K583" i="1"/>
  <c r="CA580" i="1"/>
  <c r="CQ587" i="1"/>
  <c r="AT585" i="1"/>
  <c r="F583" i="1"/>
  <c r="L578" i="1"/>
  <c r="CB575" i="1"/>
  <c r="AN573" i="1"/>
  <c r="DD570" i="1"/>
  <c r="BP568" i="1"/>
  <c r="AB566" i="1"/>
  <c r="CR563" i="1"/>
  <c r="BD561" i="1"/>
  <c r="BW578" i="1"/>
  <c r="CC584" i="1"/>
  <c r="J596" i="1"/>
  <c r="BE591" i="1"/>
  <c r="CG582" i="1"/>
  <c r="CF582" i="1"/>
  <c r="CH592" i="1"/>
  <c r="DE589" i="1"/>
  <c r="T583" i="1"/>
  <c r="CD587" i="1"/>
  <c r="CK592" i="1"/>
  <c r="DD581" i="1"/>
  <c r="R587" i="1"/>
  <c r="L575" i="1"/>
  <c r="T569" i="1"/>
  <c r="AV564" i="1"/>
  <c r="BQ583" i="1"/>
  <c r="CM585" i="1"/>
  <c r="K581" i="1"/>
  <c r="CH585" i="1"/>
  <c r="AZ578" i="1"/>
  <c r="CB573" i="1"/>
  <c r="BL569" i="1"/>
  <c r="X567" i="1"/>
  <c r="CN564" i="1"/>
  <c r="AZ562" i="1"/>
  <c r="BE580" i="1"/>
  <c r="BD580" i="1"/>
  <c r="G585" i="1"/>
  <c r="BW582" i="1"/>
  <c r="AI580" i="1"/>
  <c r="AP587" i="1"/>
  <c r="DF584" i="1"/>
  <c r="V582" i="1"/>
  <c r="BX577" i="1"/>
  <c r="AJ575" i="1"/>
  <c r="CZ572" i="1"/>
  <c r="BL570" i="1"/>
  <c r="X568" i="1"/>
  <c r="CN565" i="1"/>
  <c r="AZ563" i="1"/>
  <c r="DF581" i="1"/>
  <c r="AF586" i="1"/>
  <c r="BS586" i="1"/>
  <c r="O584" i="1"/>
  <c r="CE581" i="1"/>
  <c r="AQ579" i="1"/>
  <c r="AX586" i="1"/>
  <c r="J584" i="1"/>
  <c r="AF579" i="1"/>
  <c r="CF576" i="1"/>
  <c r="AR574" i="1"/>
  <c r="DH571" i="1"/>
  <c r="BT569" i="1"/>
  <c r="DA579" i="1"/>
  <c r="BX584" i="1"/>
  <c r="AV581" i="1"/>
  <c r="CA588" i="1"/>
  <c r="BZ594" i="1"/>
  <c r="AX591" i="1"/>
  <c r="DI594" i="1"/>
  <c r="CW591" i="1"/>
  <c r="BU588" i="1"/>
  <c r="AG586" i="1"/>
  <c r="AS581" i="1"/>
  <c r="DC586" i="1"/>
  <c r="K584" i="1"/>
  <c r="CA581" i="1"/>
  <c r="AM579" i="1"/>
  <c r="AT586" i="1"/>
  <c r="F584" i="1"/>
  <c r="X579" i="1"/>
  <c r="CB576" i="1"/>
  <c r="AN574" i="1"/>
  <c r="DD571" i="1"/>
  <c r="BP569" i="1"/>
  <c r="AB567" i="1"/>
  <c r="CR564" i="1"/>
  <c r="BD562" i="1"/>
  <c r="N579" i="1"/>
  <c r="AR585" i="1"/>
  <c r="AM586" i="1"/>
  <c r="CU583" i="1"/>
  <c r="BG581" i="1"/>
  <c r="S579" i="1"/>
  <c r="Z586" i="1"/>
  <c r="CP583" i="1"/>
  <c r="CV578" i="1"/>
  <c r="BH576" i="1"/>
  <c r="T574" i="1"/>
  <c r="CJ571" i="1"/>
  <c r="AV569" i="1"/>
  <c r="H567" i="1"/>
  <c r="BX564" i="1"/>
  <c r="AJ562" i="1"/>
  <c r="CW579" i="1"/>
  <c r="CH589" i="1"/>
  <c r="CU584" i="1"/>
  <c r="BG582" i="1"/>
  <c r="S580" i="1"/>
  <c r="Z587" i="1"/>
  <c r="CP584" i="1"/>
  <c r="BN581" i="1"/>
  <c r="BH577" i="1"/>
  <c r="T575" i="1"/>
  <c r="CJ572" i="1"/>
  <c r="AV570" i="1"/>
  <c r="H568" i="1"/>
  <c r="BX565" i="1"/>
  <c r="AJ563" i="1"/>
  <c r="AT581" i="1"/>
  <c r="BX585" i="1"/>
  <c r="AY586" i="1"/>
  <c r="DC583" i="1"/>
  <c r="BO581" i="1"/>
  <c r="AA579" i="1"/>
  <c r="AH586" i="1"/>
  <c r="CX583" i="1"/>
  <c r="DD578" i="1"/>
  <c r="BP576" i="1"/>
  <c r="CU587" i="1"/>
  <c r="BT583" i="1"/>
  <c r="BH580" i="1"/>
  <c r="CH596" i="1"/>
  <c r="BV593" i="1"/>
  <c r="BJ590" i="1"/>
  <c r="DE593" i="1"/>
  <c r="CS590" i="1"/>
  <c r="CG587" i="1"/>
  <c r="AC585" i="1"/>
  <c r="CB586" i="1"/>
  <c r="CQ585" i="1"/>
  <c r="AM583" i="1"/>
  <c r="DC580" i="1"/>
  <c r="CP588" i="1"/>
  <c r="BV585" i="1"/>
  <c r="AH583" i="1"/>
  <c r="AN578" i="1"/>
  <c r="DD575" i="1"/>
  <c r="BP573" i="1"/>
  <c r="AB571" i="1"/>
  <c r="CR568" i="1"/>
  <c r="BD566" i="1"/>
  <c r="P564" i="1"/>
  <c r="CF561" i="1"/>
  <c r="AW582" i="1"/>
  <c r="AV582" i="1"/>
  <c r="BG585" i="1"/>
  <c r="S583" i="1"/>
  <c r="CI580" i="1"/>
  <c r="N588" i="1"/>
  <c r="BB585" i="1"/>
  <c r="N583" i="1"/>
  <c r="T578" i="1"/>
  <c r="CJ575" i="1"/>
  <c r="AV573" i="1"/>
  <c r="H571" i="1"/>
  <c r="BX568" i="1"/>
  <c r="AJ566" i="1"/>
  <c r="CZ563" i="1"/>
  <c r="BL561" i="1"/>
  <c r="AV586" i="1"/>
  <c r="BW586" i="1"/>
  <c r="S584" i="1"/>
  <c r="CI581" i="1"/>
  <c r="AU579" i="1"/>
  <c r="BB586" i="1"/>
  <c r="N584" i="1"/>
  <c r="AN579" i="1"/>
  <c r="CJ576" i="1"/>
  <c r="AV574" i="1"/>
  <c r="H572" i="1"/>
  <c r="BX569" i="1"/>
  <c r="AJ567" i="1"/>
  <c r="CZ564" i="1"/>
  <c r="BL562" i="1"/>
  <c r="CC582" i="1"/>
  <c r="CB582" i="1"/>
  <c r="BO585" i="1"/>
  <c r="AA583" i="1"/>
  <c r="CQ580" i="1"/>
  <c r="AT588" i="1"/>
  <c r="BJ585" i="1"/>
  <c r="V583" i="1"/>
  <c r="AZ586" i="1"/>
  <c r="BP582" i="1"/>
  <c r="R588" i="1"/>
  <c r="CT595" i="1"/>
  <c r="BR592" i="1"/>
  <c r="Y596" i="1"/>
  <c r="M593" i="1"/>
  <c r="CO589" i="1"/>
  <c r="BA587" i="1"/>
  <c r="AO584" i="1"/>
  <c r="BL582" i="1"/>
  <c r="DC584" i="1"/>
  <c r="BO582" i="1"/>
  <c r="AA580" i="1"/>
  <c r="AH587" i="1"/>
  <c r="CX584" i="1"/>
  <c r="CT581" i="1"/>
  <c r="BP577" i="1"/>
  <c r="AB575" i="1"/>
  <c r="CR572" i="1"/>
  <c r="BD570" i="1"/>
  <c r="P568" i="1"/>
  <c r="CF565" i="1"/>
  <c r="AR563" i="1"/>
  <c r="BZ581" i="1"/>
  <c r="BA579" i="1"/>
  <c r="DF587" i="1"/>
  <c r="CI584" i="1"/>
  <c r="AU582" i="1"/>
  <c r="G580" i="1"/>
  <c r="N587" i="1"/>
  <c r="CD584" i="1"/>
  <c r="R581" i="1"/>
  <c r="AV577" i="1"/>
  <c r="H575" i="1"/>
  <c r="BX572" i="1"/>
  <c r="AJ570" i="1"/>
  <c r="CZ567" i="1"/>
  <c r="BL565" i="1"/>
  <c r="X563" i="1"/>
  <c r="BA583" i="1"/>
  <c r="AZ583" i="1"/>
  <c r="CI585" i="1"/>
  <c r="AU583" i="1"/>
  <c r="G581" i="1"/>
  <c r="R589" i="1"/>
  <c r="CD585" i="1"/>
  <c r="AP583" i="1"/>
  <c r="AV578" i="1"/>
  <c r="H576" i="1"/>
  <c r="BX573" i="1"/>
  <c r="AJ571" i="1"/>
  <c r="CZ568" i="1"/>
  <c r="BL566" i="1"/>
  <c r="X564" i="1"/>
  <c r="CN561" i="1"/>
  <c r="CG579" i="1"/>
  <c r="V589" i="1"/>
  <c r="CQ584" i="1"/>
  <c r="BC582" i="1"/>
  <c r="O580" i="1"/>
  <c r="V587" i="1"/>
  <c r="CL584" i="1"/>
  <c r="AX581" i="1"/>
  <c r="BD577" i="1"/>
  <c r="P575" i="1"/>
  <c r="CF572" i="1"/>
  <c r="AR570" i="1"/>
  <c r="DH567" i="1"/>
  <c r="BT565" i="1"/>
  <c r="AF563" i="1"/>
  <c r="AD581" i="1"/>
  <c r="H565" i="1"/>
  <c r="BS578" i="1"/>
  <c r="AE576" i="1"/>
  <c r="CU573" i="1"/>
  <c r="BG571" i="1"/>
  <c r="S569" i="1"/>
  <c r="CH580" i="1"/>
  <c r="BT573" i="1"/>
  <c r="CV568" i="1"/>
  <c r="AN565" i="1"/>
  <c r="AB562" i="1"/>
  <c r="BC578" i="1"/>
  <c r="AQ575" i="1"/>
  <c r="AE572" i="1"/>
  <c r="DG568" i="1"/>
  <c r="DB578" i="1"/>
  <c r="BN576" i="1"/>
  <c r="Z574" i="1"/>
  <c r="CP571" i="1"/>
  <c r="BB569" i="1"/>
  <c r="N567" i="1"/>
  <c r="CD564" i="1"/>
  <c r="AP562" i="1"/>
  <c r="CO578" i="1"/>
  <c r="BA576" i="1"/>
  <c r="M574" i="1"/>
  <c r="CC571" i="1"/>
  <c r="AO569" i="1"/>
  <c r="DE566" i="1"/>
  <c r="BQ564" i="1"/>
  <c r="AC562" i="1"/>
  <c r="CF560" i="1"/>
  <c r="AR558" i="1"/>
  <c r="DH555" i="1"/>
  <c r="BT553" i="1"/>
  <c r="AF551" i="1"/>
  <c r="CV548" i="1"/>
  <c r="BH546" i="1"/>
  <c r="CY566" i="1"/>
  <c r="CI561" i="1"/>
  <c r="V559" i="1"/>
  <c r="CL556" i="1"/>
  <c r="CA577" i="1"/>
  <c r="AM575" i="1"/>
  <c r="DC572" i="1"/>
  <c r="BO570" i="1"/>
  <c r="AA568" i="1"/>
  <c r="CH578" i="1"/>
  <c r="AT576" i="1"/>
  <c r="F574" i="1"/>
  <c r="BV571" i="1"/>
  <c r="AH569" i="1"/>
  <c r="CX566" i="1"/>
  <c r="BJ564" i="1"/>
  <c r="V562" i="1"/>
  <c r="BU578" i="1"/>
  <c r="AG576" i="1"/>
  <c r="CW573" i="1"/>
  <c r="BI571" i="1"/>
  <c r="U569" i="1"/>
  <c r="CK566" i="1"/>
  <c r="AW564" i="1"/>
  <c r="DC566" i="1"/>
  <c r="BL560" i="1"/>
  <c r="X558" i="1"/>
  <c r="CN555" i="1"/>
  <c r="AZ553" i="1"/>
  <c r="L551" i="1"/>
  <c r="CB548" i="1"/>
  <c r="AN546" i="1"/>
  <c r="W566" i="1"/>
  <c r="AU561" i="1"/>
  <c r="DF558" i="1"/>
  <c r="CM577" i="1"/>
  <c r="AY575" i="1"/>
  <c r="K573" i="1"/>
  <c r="CA570" i="1"/>
  <c r="AM568" i="1"/>
  <c r="CT578" i="1"/>
  <c r="BF576" i="1"/>
  <c r="R574" i="1"/>
  <c r="CH571" i="1"/>
  <c r="AT569" i="1"/>
  <c r="F567" i="1"/>
  <c r="BV564" i="1"/>
  <c r="AH562" i="1"/>
  <c r="CG578" i="1"/>
  <c r="AS576" i="1"/>
  <c r="DI573" i="1"/>
  <c r="BU571" i="1"/>
  <c r="AG569" i="1"/>
  <c r="CW566" i="1"/>
  <c r="BI564" i="1"/>
  <c r="U562" i="1"/>
  <c r="BX560" i="1"/>
  <c r="AJ558" i="1"/>
  <c r="CZ555" i="1"/>
  <c r="BL553" i="1"/>
  <c r="X551" i="1"/>
  <c r="CN548" i="1"/>
  <c r="AZ546" i="1"/>
  <c r="BS566" i="1"/>
  <c r="BS561" i="1"/>
  <c r="N559" i="1"/>
  <c r="CY577" i="1"/>
  <c r="BK575" i="1"/>
  <c r="W573" i="1"/>
  <c r="CM570" i="1"/>
  <c r="AY568" i="1"/>
  <c r="DH578" i="1"/>
  <c r="BR576" i="1"/>
  <c r="AD574" i="1"/>
  <c r="CT571" i="1"/>
  <c r="BF569" i="1"/>
  <c r="R567" i="1"/>
  <c r="CH564" i="1"/>
  <c r="AT562" i="1"/>
  <c r="CS578" i="1"/>
  <c r="BE576" i="1"/>
  <c r="Q574" i="1"/>
  <c r="BD573" i="1"/>
  <c r="CF568" i="1"/>
  <c r="X565" i="1"/>
  <c r="CZ561" i="1"/>
  <c r="AM578" i="1"/>
  <c r="AA575" i="1"/>
  <c r="DC571" i="1"/>
  <c r="CQ568" i="1"/>
  <c r="CL578" i="1"/>
  <c r="AX576" i="1"/>
  <c r="J574" i="1"/>
  <c r="BZ571" i="1"/>
  <c r="AL569" i="1"/>
  <c r="DB566" i="1"/>
  <c r="BN564" i="1"/>
  <c r="Z562" i="1"/>
  <c r="BY578" i="1"/>
  <c r="AK576" i="1"/>
  <c r="DA573" i="1"/>
  <c r="BM571" i="1"/>
  <c r="Y569" i="1"/>
  <c r="CO566" i="1"/>
  <c r="BA564" i="1"/>
  <c r="O567" i="1"/>
  <c r="BP560" i="1"/>
  <c r="AB558" i="1"/>
  <c r="CR555" i="1"/>
  <c r="BD553" i="1"/>
  <c r="P551" i="1"/>
  <c r="CF548" i="1"/>
  <c r="AR546" i="1"/>
  <c r="AM566" i="1"/>
  <c r="BC561" i="1"/>
  <c r="F559" i="1"/>
  <c r="BV556" i="1"/>
  <c r="BK577" i="1"/>
  <c r="W575" i="1"/>
  <c r="CM572" i="1"/>
  <c r="AY570" i="1"/>
  <c r="K568" i="1"/>
  <c r="BR578" i="1"/>
  <c r="AD576" i="1"/>
  <c r="CT573" i="1"/>
  <c r="BF571" i="1"/>
  <c r="R569" i="1"/>
  <c r="CH566" i="1"/>
  <c r="AT564" i="1"/>
  <c r="F562" i="1"/>
  <c r="BE578" i="1"/>
  <c r="Q576" i="1"/>
  <c r="CG573" i="1"/>
  <c r="AS571" i="1"/>
  <c r="DI568" i="1"/>
  <c r="BU566" i="1"/>
  <c r="AG564" i="1"/>
  <c r="AQ566" i="1"/>
  <c r="AV560" i="1"/>
  <c r="H558" i="1"/>
  <c r="BX555" i="1"/>
  <c r="AJ553" i="1"/>
  <c r="CZ550" i="1"/>
  <c r="BL548" i="1"/>
  <c r="X546" i="1"/>
  <c r="BO565" i="1"/>
  <c r="Z561" i="1"/>
  <c r="CP558" i="1"/>
  <c r="BW577" i="1"/>
  <c r="AI575" i="1"/>
  <c r="CY572" i="1"/>
  <c r="BK570" i="1"/>
  <c r="W568" i="1"/>
  <c r="CD578" i="1"/>
  <c r="AP576" i="1"/>
  <c r="DF573" i="1"/>
  <c r="BR571" i="1"/>
  <c r="AD569" i="1"/>
  <c r="CT566" i="1"/>
  <c r="BF564" i="1"/>
  <c r="R562" i="1"/>
  <c r="BQ578" i="1"/>
  <c r="AC576" i="1"/>
  <c r="CS573" i="1"/>
  <c r="BE571" i="1"/>
  <c r="Q569" i="1"/>
  <c r="CG566" i="1"/>
  <c r="AS564" i="1"/>
  <c r="CM566" i="1"/>
  <c r="BH560" i="1"/>
  <c r="T558" i="1"/>
  <c r="CJ555" i="1"/>
  <c r="AV553" i="1"/>
  <c r="H551" i="1"/>
  <c r="BX548" i="1"/>
  <c r="AJ546" i="1"/>
  <c r="G566" i="1"/>
  <c r="AM561" i="1"/>
  <c r="DB558" i="1"/>
  <c r="CI577" i="1"/>
  <c r="AU575" i="1"/>
  <c r="G573" i="1"/>
  <c r="BW570" i="1"/>
  <c r="AI568" i="1"/>
  <c r="CP578" i="1"/>
  <c r="BB576" i="1"/>
  <c r="N574" i="1"/>
  <c r="CD571" i="1"/>
  <c r="AP569" i="1"/>
  <c r="DF566" i="1"/>
  <c r="BR564" i="1"/>
  <c r="AD562" i="1"/>
  <c r="CC578" i="1"/>
  <c r="AO576" i="1"/>
  <c r="AB578" i="1"/>
  <c r="CR571" i="1"/>
  <c r="AF567" i="1"/>
  <c r="T564" i="1"/>
  <c r="CP581" i="1"/>
  <c r="AI577" i="1"/>
  <c r="W574" i="1"/>
  <c r="K571" i="1"/>
  <c r="CM567" i="1"/>
  <c r="J578" i="1"/>
  <c r="BZ575" i="1"/>
  <c r="AL573" i="1"/>
  <c r="DB570" i="1"/>
  <c r="BN568" i="1"/>
  <c r="Z566" i="1"/>
  <c r="CP563" i="1"/>
  <c r="BB561" i="1"/>
  <c r="DA577" i="1"/>
  <c r="BM575" i="1"/>
  <c r="Y573" i="1"/>
  <c r="CO570" i="1"/>
  <c r="BA568" i="1"/>
  <c r="M566" i="1"/>
  <c r="CC563" i="1"/>
  <c r="S564" i="1"/>
  <c r="CR559" i="1"/>
  <c r="BD557" i="1"/>
  <c r="P555" i="1"/>
  <c r="CF552" i="1"/>
  <c r="AR550" i="1"/>
  <c r="DH547" i="1"/>
  <c r="BT545" i="1"/>
  <c r="AQ563" i="1"/>
  <c r="BV560" i="1"/>
  <c r="AH558" i="1"/>
  <c r="CX555" i="1"/>
  <c r="CM576" i="1"/>
  <c r="AY574" i="1"/>
  <c r="K572" i="1"/>
  <c r="CA569" i="1"/>
  <c r="AM567" i="1"/>
  <c r="CT577" i="1"/>
  <c r="BF575" i="1"/>
  <c r="R573" i="1"/>
  <c r="CH570" i="1"/>
  <c r="AT568" i="1"/>
  <c r="F566" i="1"/>
  <c r="BV563" i="1"/>
  <c r="BF582" i="1"/>
  <c r="CG577" i="1"/>
  <c r="AS575" i="1"/>
  <c r="DI572" i="1"/>
  <c r="BU570" i="1"/>
  <c r="AG568" i="1"/>
  <c r="CW565" i="1"/>
  <c r="BI563" i="1"/>
  <c r="AU563" i="1"/>
  <c r="BX559" i="1"/>
  <c r="AJ557" i="1"/>
  <c r="CZ554" i="1"/>
  <c r="BL552" i="1"/>
  <c r="X550" i="1"/>
  <c r="CN547" i="1"/>
  <c r="AZ545" i="1"/>
  <c r="BO566" i="1"/>
  <c r="BB560" i="1"/>
  <c r="N558" i="1"/>
  <c r="CY576" i="1"/>
  <c r="BK574" i="1"/>
  <c r="W572" i="1"/>
  <c r="CM569" i="1"/>
  <c r="AY567" i="1"/>
  <c r="DF577" i="1"/>
  <c r="BR575" i="1"/>
  <c r="AD573" i="1"/>
  <c r="CT570" i="1"/>
  <c r="BF568" i="1"/>
  <c r="R566" i="1"/>
  <c r="CH563" i="1"/>
  <c r="AT561" i="1"/>
  <c r="CS577" i="1"/>
  <c r="BE575" i="1"/>
  <c r="Q573" i="1"/>
  <c r="CG570" i="1"/>
  <c r="AS568" i="1"/>
  <c r="DI565" i="1"/>
  <c r="BU563" i="1"/>
  <c r="CQ563" i="1"/>
  <c r="CJ559" i="1"/>
  <c r="AV557" i="1"/>
  <c r="H555" i="1"/>
  <c r="BX552" i="1"/>
  <c r="AJ550" i="1"/>
  <c r="CZ547" i="1"/>
  <c r="BL545" i="1"/>
  <c r="G567" i="1"/>
  <c r="BN560" i="1"/>
  <c r="Z558" i="1"/>
  <c r="G577" i="1"/>
  <c r="BW574" i="1"/>
  <c r="AI572" i="1"/>
  <c r="CY569" i="1"/>
  <c r="BK567" i="1"/>
  <c r="N578" i="1"/>
  <c r="CD575" i="1"/>
  <c r="AP573" i="1"/>
  <c r="DF570" i="1"/>
  <c r="BR568" i="1"/>
  <c r="AD566" i="1"/>
  <c r="CT563" i="1"/>
  <c r="BF561" i="1"/>
  <c r="BT577" i="1"/>
  <c r="CB571" i="1"/>
  <c r="P567" i="1"/>
  <c r="DH563" i="1"/>
  <c r="BV580" i="1"/>
  <c r="S577" i="1"/>
  <c r="G574" i="1"/>
  <c r="CI570" i="1"/>
  <c r="BW567" i="1"/>
  <c r="CX577" i="1"/>
  <c r="BJ575" i="1"/>
  <c r="V573" i="1"/>
  <c r="CL570" i="1"/>
  <c r="AX568" i="1"/>
  <c r="J566" i="1"/>
  <c r="BZ563" i="1"/>
  <c r="BV582" i="1"/>
  <c r="CK577" i="1"/>
  <c r="AW575" i="1"/>
  <c r="I573" i="1"/>
  <c r="BY570" i="1"/>
  <c r="AK568" i="1"/>
  <c r="DA565" i="1"/>
  <c r="BM563" i="1"/>
  <c r="BK563" i="1"/>
  <c r="CB559" i="1"/>
  <c r="AN557" i="1"/>
  <c r="DD554" i="1"/>
  <c r="BP552" i="1"/>
  <c r="AB550" i="1"/>
  <c r="CR547" i="1"/>
  <c r="BD545" i="1"/>
  <c r="CE566" i="1"/>
  <c r="BF560" i="1"/>
  <c r="R558" i="1"/>
  <c r="AP580" i="1"/>
  <c r="BW576" i="1"/>
  <c r="AI574" i="1"/>
  <c r="CY571" i="1"/>
  <c r="BK569" i="1"/>
  <c r="AT582" i="1"/>
  <c r="CD577" i="1"/>
  <c r="AP575" i="1"/>
  <c r="DF572" i="1"/>
  <c r="BR570" i="1"/>
  <c r="AD568" i="1"/>
  <c r="CT565" i="1"/>
  <c r="BF563" i="1"/>
  <c r="CX581" i="1"/>
  <c r="BQ577" i="1"/>
  <c r="AC575" i="1"/>
  <c r="CS572" i="1"/>
  <c r="BE570" i="1"/>
  <c r="Q568" i="1"/>
  <c r="CG565" i="1"/>
  <c r="AS563" i="1"/>
  <c r="CM562" i="1"/>
  <c r="BH559" i="1"/>
  <c r="T557" i="1"/>
  <c r="CJ554" i="1"/>
  <c r="AV552" i="1"/>
  <c r="H550" i="1"/>
  <c r="BX547" i="1"/>
  <c r="AJ545" i="1"/>
  <c r="DG565" i="1"/>
  <c r="AL560" i="1"/>
  <c r="DB557" i="1"/>
  <c r="CI576" i="1"/>
  <c r="AU574" i="1"/>
  <c r="G572" i="1"/>
  <c r="BW569" i="1"/>
  <c r="AI567" i="1"/>
  <c r="CP577" i="1"/>
  <c r="BB575" i="1"/>
  <c r="N573" i="1"/>
  <c r="CD570" i="1"/>
  <c r="AP568" i="1"/>
  <c r="DF565" i="1"/>
  <c r="BR563" i="1"/>
  <c r="AP582" i="1"/>
  <c r="CC577" i="1"/>
  <c r="AO575" i="1"/>
  <c r="DE572" i="1"/>
  <c r="BQ570" i="1"/>
  <c r="AC568" i="1"/>
  <c r="CS565" i="1"/>
  <c r="BE563" i="1"/>
  <c r="AE563" i="1"/>
  <c r="BT559" i="1"/>
  <c r="AF557" i="1"/>
  <c r="CV554" i="1"/>
  <c r="BH552" i="1"/>
  <c r="T550" i="1"/>
  <c r="CJ547" i="1"/>
  <c r="AV545" i="1"/>
  <c r="AY566" i="1"/>
  <c r="AX560" i="1"/>
  <c r="J558" i="1"/>
  <c r="CU576" i="1"/>
  <c r="BG574" i="1"/>
  <c r="S572" i="1"/>
  <c r="CI569" i="1"/>
  <c r="AU567" i="1"/>
  <c r="DB577" i="1"/>
  <c r="BN575" i="1"/>
  <c r="Z573" i="1"/>
  <c r="CP570" i="1"/>
  <c r="BB568" i="1"/>
  <c r="N566" i="1"/>
  <c r="CD563" i="1"/>
  <c r="AP561" i="1"/>
  <c r="CO577" i="1"/>
  <c r="BA575" i="1"/>
  <c r="M573" i="1"/>
  <c r="CC570" i="1"/>
  <c r="AO568" i="1"/>
  <c r="DE565" i="1"/>
  <c r="BQ563" i="1"/>
  <c r="CA563" i="1"/>
  <c r="CF559" i="1"/>
  <c r="AR557" i="1"/>
  <c r="DH554" i="1"/>
  <c r="BT552" i="1"/>
  <c r="AF550" i="1"/>
  <c r="CV547" i="1"/>
  <c r="BH545" i="1"/>
  <c r="CU566" i="1"/>
  <c r="BJ560" i="1"/>
  <c r="BQ575" i="1"/>
  <c r="BA571" i="1"/>
  <c r="Y568" i="1"/>
  <c r="M565" i="1"/>
  <c r="BW566" i="1"/>
  <c r="BP559" i="1"/>
  <c r="BD556" i="1"/>
  <c r="AR553" i="1"/>
  <c r="P550" i="1"/>
  <c r="DH546" i="1"/>
  <c r="CU565" i="1"/>
  <c r="AT560" i="1"/>
  <c r="CL557" i="1"/>
  <c r="DB554" i="1"/>
  <c r="BN552" i="1"/>
  <c r="Z550" i="1"/>
  <c r="CP547" i="1"/>
  <c r="AE566" i="1"/>
  <c r="AS560" i="1"/>
  <c r="DI557" i="1"/>
  <c r="BU555" i="1"/>
  <c r="AG553" i="1"/>
  <c r="CW550" i="1"/>
  <c r="BI548" i="1"/>
  <c r="U546" i="1"/>
  <c r="DC560" i="1"/>
  <c r="BC551" i="1"/>
  <c r="DH543" i="1"/>
  <c r="BT541" i="1"/>
  <c r="AF539" i="1"/>
  <c r="CV536" i="1"/>
  <c r="BH534" i="1"/>
  <c r="T532" i="1"/>
  <c r="CJ529" i="1"/>
  <c r="AV527" i="1"/>
  <c r="H525" i="1"/>
  <c r="BX522" i="1"/>
  <c r="AJ520" i="1"/>
  <c r="CZ517" i="1"/>
  <c r="BL515" i="1"/>
  <c r="X513" i="1"/>
  <c r="BX562" i="1"/>
  <c r="G578" i="1"/>
  <c r="BW575" i="1"/>
  <c r="AI573" i="1"/>
  <c r="CY570" i="1"/>
  <c r="BK568" i="1"/>
  <c r="CR579" i="1"/>
  <c r="AZ572" i="1"/>
  <c r="CB567" i="1"/>
  <c r="BP564" i="1"/>
  <c r="AN561" i="1"/>
  <c r="CE577" i="1"/>
  <c r="BS574" i="1"/>
  <c r="AQ571" i="1"/>
  <c r="AE568" i="1"/>
  <c r="AP578" i="1"/>
  <c r="DF575" i="1"/>
  <c r="BR573" i="1"/>
  <c r="AD571" i="1"/>
  <c r="CT568" i="1"/>
  <c r="BF566" i="1"/>
  <c r="R564" i="1"/>
  <c r="CH561" i="1"/>
  <c r="AC578" i="1"/>
  <c r="CS575" i="1"/>
  <c r="BE573" i="1"/>
  <c r="Q571" i="1"/>
  <c r="CG568" i="1"/>
  <c r="AS566" i="1"/>
  <c r="DI563" i="1"/>
  <c r="AM565" i="1"/>
  <c r="T560" i="1"/>
  <c r="CJ557" i="1"/>
  <c r="AV555" i="1"/>
  <c r="H553" i="1"/>
  <c r="BX550" i="1"/>
  <c r="AJ548" i="1"/>
  <c r="CZ545" i="1"/>
  <c r="BK564" i="1"/>
  <c r="DB560" i="1"/>
  <c r="BN558" i="1"/>
  <c r="Z556" i="1"/>
  <c r="O577" i="1"/>
  <c r="CE574" i="1"/>
  <c r="AQ572" i="1"/>
  <c r="DG569" i="1"/>
  <c r="BS567" i="1"/>
  <c r="V578" i="1"/>
  <c r="CL575" i="1"/>
  <c r="AX573" i="1"/>
  <c r="J571" i="1"/>
  <c r="BZ568" i="1"/>
  <c r="AL566" i="1"/>
  <c r="DB563" i="1"/>
  <c r="BN561" i="1"/>
  <c r="I578" i="1"/>
  <c r="BY575" i="1"/>
  <c r="AK573" i="1"/>
  <c r="DA570" i="1"/>
  <c r="BM568" i="1"/>
  <c r="Y566" i="1"/>
  <c r="CO563" i="1"/>
  <c r="BO564" i="1"/>
  <c r="DD559" i="1"/>
  <c r="BP557" i="1"/>
  <c r="AB555" i="1"/>
  <c r="CR552" i="1"/>
  <c r="BD550" i="1"/>
  <c r="P548" i="1"/>
  <c r="CF545" i="1"/>
  <c r="CM563" i="1"/>
  <c r="CH560" i="1"/>
  <c r="AT558" i="1"/>
  <c r="AA577" i="1"/>
  <c r="CQ574" i="1"/>
  <c r="BC572" i="1"/>
  <c r="O570" i="1"/>
  <c r="CE567" i="1"/>
  <c r="AH578" i="1"/>
  <c r="CX575" i="1"/>
  <c r="BJ573" i="1"/>
  <c r="V571" i="1"/>
  <c r="CL568" i="1"/>
  <c r="AX566" i="1"/>
  <c r="J564" i="1"/>
  <c r="BZ561" i="1"/>
  <c r="U578" i="1"/>
  <c r="CK575" i="1"/>
  <c r="AW573" i="1"/>
  <c r="I571" i="1"/>
  <c r="BY568" i="1"/>
  <c r="AK566" i="1"/>
  <c r="DA563" i="1"/>
  <c r="G565" i="1"/>
  <c r="L560" i="1"/>
  <c r="CB557" i="1"/>
  <c r="AN555" i="1"/>
  <c r="DD552" i="1"/>
  <c r="BP550" i="1"/>
  <c r="AB548" i="1"/>
  <c r="CR545" i="1"/>
  <c r="AE564" i="1"/>
  <c r="CT560" i="1"/>
  <c r="BF558" i="1"/>
  <c r="AM577" i="1"/>
  <c r="DC574" i="1"/>
  <c r="BO572" i="1"/>
  <c r="AA570" i="1"/>
  <c r="CQ567" i="1"/>
  <c r="AT578" i="1"/>
  <c r="F576" i="1"/>
  <c r="BV573" i="1"/>
  <c r="AH571" i="1"/>
  <c r="CX568" i="1"/>
  <c r="BJ566" i="1"/>
  <c r="V564" i="1"/>
  <c r="CL561" i="1"/>
  <c r="AG578" i="1"/>
  <c r="CW575" i="1"/>
  <c r="CN578" i="1"/>
  <c r="AJ572" i="1"/>
  <c r="BL567" i="1"/>
  <c r="AJ564" i="1"/>
  <c r="AX582" i="1"/>
  <c r="BO577" i="1"/>
  <c r="AM574" i="1"/>
  <c r="AA571" i="1"/>
  <c r="O568" i="1"/>
  <c r="Z578" i="1"/>
  <c r="CP575" i="1"/>
  <c r="BB573" i="1"/>
  <c r="N571" i="1"/>
  <c r="CD568" i="1"/>
  <c r="AP566" i="1"/>
  <c r="DF563" i="1"/>
  <c r="BR561" i="1"/>
  <c r="M578" i="1"/>
  <c r="CC575" i="1"/>
  <c r="AO573" i="1"/>
  <c r="DE570" i="1"/>
  <c r="BQ568" i="1"/>
  <c r="AC566" i="1"/>
  <c r="CS563" i="1"/>
  <c r="CE564" i="1"/>
  <c r="DH559" i="1"/>
  <c r="BT557" i="1"/>
  <c r="AF555" i="1"/>
  <c r="CV552" i="1"/>
  <c r="BH550" i="1"/>
  <c r="T548" i="1"/>
  <c r="CJ545" i="1"/>
  <c r="DC563" i="1"/>
  <c r="CL560" i="1"/>
  <c r="AX558" i="1"/>
  <c r="J556" i="1"/>
  <c r="DC576" i="1"/>
  <c r="BO574" i="1"/>
  <c r="AA572" i="1"/>
  <c r="CQ569" i="1"/>
  <c r="BC567" i="1"/>
  <c r="F578" i="1"/>
  <c r="BV575" i="1"/>
  <c r="AH573" i="1"/>
  <c r="CX570" i="1"/>
  <c r="BJ568" i="1"/>
  <c r="V566" i="1"/>
  <c r="CL563" i="1"/>
  <c r="AX561" i="1"/>
  <c r="CW577" i="1"/>
  <c r="BI575" i="1"/>
  <c r="U573" i="1"/>
  <c r="CK570" i="1"/>
  <c r="AW568" i="1"/>
  <c r="I566" i="1"/>
  <c r="BY563" i="1"/>
  <c r="DG563" i="1"/>
  <c r="CN559" i="1"/>
  <c r="AZ557" i="1"/>
  <c r="L555" i="1"/>
  <c r="CB552" i="1"/>
  <c r="AN550" i="1"/>
  <c r="DD547" i="1"/>
  <c r="BP545" i="1"/>
  <c r="W567" i="1"/>
  <c r="BR560" i="1"/>
  <c r="AD558" i="1"/>
  <c r="K577" i="1"/>
  <c r="CA574" i="1"/>
  <c r="AM572" i="1"/>
  <c r="DC569" i="1"/>
  <c r="BO567" i="1"/>
  <c r="R578" i="1"/>
  <c r="CH575" i="1"/>
  <c r="AT573" i="1"/>
  <c r="F571" i="1"/>
  <c r="BV568" i="1"/>
  <c r="AH566" i="1"/>
  <c r="CX563" i="1"/>
  <c r="BJ561" i="1"/>
  <c r="DI577" i="1"/>
  <c r="BU575" i="1"/>
  <c r="AG573" i="1"/>
  <c r="CW570" i="1"/>
  <c r="BI568" i="1"/>
  <c r="U566" i="1"/>
  <c r="CK563" i="1"/>
  <c r="AY564" i="1"/>
  <c r="CZ559" i="1"/>
  <c r="BL557" i="1"/>
  <c r="X555" i="1"/>
  <c r="CN552" i="1"/>
  <c r="AZ550" i="1"/>
  <c r="L548" i="1"/>
  <c r="CB545" i="1"/>
  <c r="BW563" i="1"/>
  <c r="CD560" i="1"/>
  <c r="AP558" i="1"/>
  <c r="W577" i="1"/>
  <c r="CM574" i="1"/>
  <c r="AY572" i="1"/>
  <c r="K570" i="1"/>
  <c r="CA567" i="1"/>
  <c r="AD578" i="1"/>
  <c r="CT575" i="1"/>
  <c r="BF573" i="1"/>
  <c r="R571" i="1"/>
  <c r="CH568" i="1"/>
  <c r="AT566" i="1"/>
  <c r="F564" i="1"/>
  <c r="BV561" i="1"/>
  <c r="Q578" i="1"/>
  <c r="CG575" i="1"/>
  <c r="CR575" i="1"/>
  <c r="BX570" i="1"/>
  <c r="BH566" i="1"/>
  <c r="AV563" i="1"/>
  <c r="V579" i="1"/>
  <c r="BK576" i="1"/>
  <c r="AY573" i="1"/>
  <c r="W570" i="1"/>
  <c r="DB581" i="1"/>
  <c r="BB577" i="1"/>
  <c r="N575" i="1"/>
  <c r="CD572" i="1"/>
  <c r="AP570" i="1"/>
  <c r="DF567" i="1"/>
  <c r="BR565" i="1"/>
  <c r="AD563" i="1"/>
  <c r="CT580" i="1"/>
  <c r="AO577" i="1"/>
  <c r="DE574" i="1"/>
  <c r="BQ572" i="1"/>
  <c r="AC570" i="1"/>
  <c r="CS567" i="1"/>
  <c r="BE565" i="1"/>
  <c r="Q563" i="1"/>
  <c r="DC561" i="1"/>
  <c r="AF559" i="1"/>
  <c r="CV556" i="1"/>
  <c r="BH554" i="1"/>
  <c r="T552" i="1"/>
  <c r="CJ549" i="1"/>
  <c r="AV547" i="1"/>
  <c r="H545" i="1"/>
  <c r="DC564" i="1"/>
  <c r="J560" i="1"/>
  <c r="BZ557" i="1"/>
  <c r="BO578" i="1"/>
  <c r="AA576" i="1"/>
  <c r="CQ573" i="1"/>
  <c r="BC571" i="1"/>
  <c r="O569" i="1"/>
  <c r="BR580" i="1"/>
  <c r="AH577" i="1"/>
  <c r="CX574" i="1"/>
  <c r="BJ572" i="1"/>
  <c r="V570" i="1"/>
  <c r="CL567" i="1"/>
  <c r="AX565" i="1"/>
  <c r="J563" i="1"/>
  <c r="R580" i="1"/>
  <c r="U577" i="1"/>
  <c r="CK574" i="1"/>
  <c r="AW572" i="1"/>
  <c r="I570" i="1"/>
  <c r="BY567" i="1"/>
  <c r="AK565" i="1"/>
  <c r="DA562" i="1"/>
  <c r="BO561" i="1"/>
  <c r="L559" i="1"/>
  <c r="CB556" i="1"/>
  <c r="AN554" i="1"/>
  <c r="DD551" i="1"/>
  <c r="BP549" i="1"/>
  <c r="AB547" i="1"/>
  <c r="CR544" i="1"/>
  <c r="AA564" i="1"/>
  <c r="CT559" i="1"/>
  <c r="CM578" i="1"/>
  <c r="AM576" i="1"/>
  <c r="DC573" i="1"/>
  <c r="BO571" i="1"/>
  <c r="AA569" i="1"/>
  <c r="J581" i="1"/>
  <c r="AT577" i="1"/>
  <c r="F575" i="1"/>
  <c r="BV572" i="1"/>
  <c r="AH570" i="1"/>
  <c r="CX567" i="1"/>
  <c r="BJ565" i="1"/>
  <c r="V563" i="1"/>
  <c r="BN580" i="1"/>
  <c r="AG577" i="1"/>
  <c r="CW574" i="1"/>
  <c r="BI572" i="1"/>
  <c r="U570" i="1"/>
  <c r="CK567" i="1"/>
  <c r="AW565" i="1"/>
  <c r="I563" i="1"/>
  <c r="CM561" i="1"/>
  <c r="X559" i="1"/>
  <c r="CN556" i="1"/>
  <c r="AZ554" i="1"/>
  <c r="L552" i="1"/>
  <c r="CB549" i="1"/>
  <c r="AN547" i="1"/>
  <c r="DD544" i="1"/>
  <c r="BW564" i="1"/>
  <c r="DF559" i="1"/>
  <c r="F579" i="1"/>
  <c r="AY576" i="1"/>
  <c r="K574" i="1"/>
  <c r="CA571" i="1"/>
  <c r="AM569" i="1"/>
  <c r="BF581" i="1"/>
  <c r="BF577" i="1"/>
  <c r="R575" i="1"/>
  <c r="CH572" i="1"/>
  <c r="AT570" i="1"/>
  <c r="F568" i="1"/>
  <c r="BV565" i="1"/>
  <c r="AH563" i="1"/>
  <c r="F581" i="1"/>
  <c r="AF575" i="1"/>
  <c r="BH570" i="1"/>
  <c r="AR566" i="1"/>
  <c r="P563" i="1"/>
  <c r="CY578" i="1"/>
  <c r="AU576" i="1"/>
  <c r="S573" i="1"/>
  <c r="G570" i="1"/>
  <c r="AP581" i="1"/>
  <c r="AL577" i="1"/>
  <c r="DB574" i="1"/>
  <c r="BN572" i="1"/>
  <c r="Z570" i="1"/>
  <c r="CP567" i="1"/>
  <c r="BB565" i="1"/>
  <c r="N563" i="1"/>
  <c r="AH580" i="1"/>
  <c r="Y577" i="1"/>
  <c r="CO574" i="1"/>
  <c r="BA572" i="1"/>
  <c r="M570" i="1"/>
  <c r="CC567" i="1"/>
  <c r="AO565" i="1"/>
  <c r="DE562" i="1"/>
  <c r="BW561" i="1"/>
  <c r="P559" i="1"/>
  <c r="CF556" i="1"/>
  <c r="AR554" i="1"/>
  <c r="DH551" i="1"/>
  <c r="BT549" i="1"/>
  <c r="AF547" i="1"/>
  <c r="CV544" i="1"/>
  <c r="AQ564" i="1"/>
  <c r="CX559" i="1"/>
  <c r="BJ557" i="1"/>
  <c r="AY578" i="1"/>
  <c r="K576" i="1"/>
  <c r="CA573" i="1"/>
  <c r="AM571" i="1"/>
  <c r="DC568" i="1"/>
  <c r="H580" i="1"/>
  <c r="R577" i="1"/>
  <c r="CH574" i="1"/>
  <c r="AT572" i="1"/>
  <c r="F570" i="1"/>
  <c r="BV567" i="1"/>
  <c r="AH565" i="1"/>
  <c r="CX562" i="1"/>
  <c r="CL579" i="1"/>
  <c r="DI576" i="1"/>
  <c r="BU574" i="1"/>
  <c r="AG572" i="1"/>
  <c r="CW569" i="1"/>
  <c r="BI567" i="1"/>
  <c r="U565" i="1"/>
  <c r="CK562" i="1"/>
  <c r="AK561" i="1"/>
  <c r="CZ558" i="1"/>
  <c r="BL556" i="1"/>
  <c r="X554" i="1"/>
  <c r="CN551" i="1"/>
  <c r="AZ549" i="1"/>
  <c r="L547" i="1"/>
  <c r="CB544" i="1"/>
  <c r="BS563" i="1"/>
  <c r="CD559" i="1"/>
  <c r="BK578" i="1"/>
  <c r="W576" i="1"/>
  <c r="CM573" i="1"/>
  <c r="AY571" i="1"/>
  <c r="K569" i="1"/>
  <c r="BB580" i="1"/>
  <c r="AD577" i="1"/>
  <c r="CT574" i="1"/>
  <c r="BF572" i="1"/>
  <c r="R570" i="1"/>
  <c r="CH567" i="1"/>
  <c r="AT565" i="1"/>
  <c r="F563" i="1"/>
  <c r="F580" i="1"/>
  <c r="Q577" i="1"/>
  <c r="CG574" i="1"/>
  <c r="AS572" i="1"/>
  <c r="DI569" i="1"/>
  <c r="BU567" i="1"/>
  <c r="AG565" i="1"/>
  <c r="CW562" i="1"/>
  <c r="BG561" i="1"/>
  <c r="H559" i="1"/>
  <c r="BX556" i="1"/>
  <c r="AJ554" i="1"/>
  <c r="CZ551" i="1"/>
  <c r="BL549" i="1"/>
  <c r="X547" i="1"/>
  <c r="CN544" i="1"/>
  <c r="K564" i="1"/>
  <c r="CP559" i="1"/>
  <c r="CA578" i="1"/>
  <c r="AI576" i="1"/>
  <c r="CY573" i="1"/>
  <c r="BK571" i="1"/>
  <c r="W569" i="1"/>
  <c r="CX580" i="1"/>
  <c r="AP577" i="1"/>
  <c r="DF574" i="1"/>
  <c r="BR572" i="1"/>
  <c r="AD570" i="1"/>
  <c r="CT567" i="1"/>
  <c r="BF565" i="1"/>
  <c r="R563" i="1"/>
  <c r="AX580" i="1"/>
  <c r="AC577" i="1"/>
  <c r="CS574" i="1"/>
  <c r="BE572" i="1"/>
  <c r="Q570" i="1"/>
  <c r="CG567" i="1"/>
  <c r="AS565" i="1"/>
  <c r="DI562" i="1"/>
  <c r="CE561" i="1"/>
  <c r="T559" i="1"/>
  <c r="CJ556" i="1"/>
  <c r="AV554" i="1"/>
  <c r="H552" i="1"/>
  <c r="BX549" i="1"/>
  <c r="AJ547" i="1"/>
  <c r="CZ544" i="1"/>
  <c r="BG564" i="1"/>
  <c r="DB559" i="1"/>
  <c r="CO573" i="1"/>
  <c r="BM570" i="1"/>
  <c r="BA567" i="1"/>
  <c r="AO564" i="1"/>
  <c r="O563" i="1"/>
  <c r="CR558" i="1"/>
  <c r="CF555" i="1"/>
  <c r="BD552" i="1"/>
  <c r="AR549" i="1"/>
  <c r="AF546" i="1"/>
  <c r="AI566" i="1"/>
  <c r="BV559" i="1"/>
  <c r="F557" i="1"/>
  <c r="AP554" i="1"/>
  <c r="DF551" i="1"/>
  <c r="BR549" i="1"/>
  <c r="AD547" i="1"/>
  <c r="CU563" i="1"/>
  <c r="CK559" i="1"/>
  <c r="AW557" i="1"/>
  <c r="I555" i="1"/>
  <c r="BY552" i="1"/>
  <c r="AK550" i="1"/>
  <c r="DA547" i="1"/>
  <c r="BM545" i="1"/>
  <c r="BO558" i="1"/>
  <c r="O549" i="1"/>
  <c r="AV543" i="1"/>
  <c r="H541" i="1"/>
  <c r="BX538" i="1"/>
  <c r="AJ536" i="1"/>
  <c r="CZ533" i="1"/>
  <c r="BL531" i="1"/>
  <c r="X529" i="1"/>
  <c r="CN526" i="1"/>
  <c r="AZ524" i="1"/>
  <c r="L522" i="1"/>
  <c r="CB519" i="1"/>
  <c r="AN517" i="1"/>
  <c r="DD514" i="1"/>
  <c r="L562" i="1"/>
  <c r="AY577" i="1"/>
  <c r="K575" i="1"/>
  <c r="CA572" i="1"/>
  <c r="AM570" i="1"/>
  <c r="DC567" i="1"/>
  <c r="H577" i="1"/>
  <c r="AF571" i="1"/>
  <c r="DD566" i="1"/>
  <c r="CB563" i="1"/>
  <c r="J580" i="1"/>
  <c r="DG576" i="1"/>
  <c r="CE573" i="1"/>
  <c r="BS570" i="1"/>
  <c r="BG567" i="1"/>
  <c r="CH577" i="1"/>
  <c r="AT575" i="1"/>
  <c r="F573" i="1"/>
  <c r="BV570" i="1"/>
  <c r="AH568" i="1"/>
  <c r="CX565" i="1"/>
  <c r="BJ563" i="1"/>
  <c r="J582" i="1"/>
  <c r="BU577" i="1"/>
  <c r="AG575" i="1"/>
  <c r="CW572" i="1"/>
  <c r="BI570" i="1"/>
  <c r="U568" i="1"/>
  <c r="CK565" i="1"/>
  <c r="AW563" i="1"/>
  <c r="DC562" i="1"/>
  <c r="BL559" i="1"/>
  <c r="X557" i="1"/>
  <c r="CN554" i="1"/>
  <c r="AZ552" i="1"/>
  <c r="L550" i="1"/>
  <c r="CB547" i="1"/>
  <c r="AN545" i="1"/>
  <c r="S566" i="1"/>
  <c r="AP560" i="1"/>
  <c r="DF557" i="1"/>
  <c r="AL579" i="1"/>
  <c r="BG576" i="1"/>
  <c r="S574" i="1"/>
  <c r="CI571" i="1"/>
  <c r="AU569" i="1"/>
  <c r="CL581" i="1"/>
  <c r="BN577" i="1"/>
  <c r="Z575" i="1"/>
  <c r="CP572" i="1"/>
  <c r="BB570" i="1"/>
  <c r="N568" i="1"/>
  <c r="CD565" i="1"/>
  <c r="AP563" i="1"/>
  <c r="AL581" i="1"/>
  <c r="BA577" i="1"/>
  <c r="M575" i="1"/>
  <c r="CC572" i="1"/>
  <c r="AO570" i="1"/>
  <c r="DE567" i="1"/>
  <c r="BQ565" i="1"/>
  <c r="AC563" i="1"/>
  <c r="AA562" i="1"/>
  <c r="AR559" i="1"/>
  <c r="DH556" i="1"/>
  <c r="BT554" i="1"/>
  <c r="AF552" i="1"/>
  <c r="CV549" i="1"/>
  <c r="BH547" i="1"/>
  <c r="T545" i="1"/>
  <c r="AU565" i="1"/>
  <c r="V560" i="1"/>
  <c r="CX579" i="1"/>
  <c r="BS576" i="1"/>
  <c r="AE574" i="1"/>
  <c r="CU571" i="1"/>
  <c r="BG569" i="1"/>
  <c r="AD582" i="1"/>
  <c r="BZ577" i="1"/>
  <c r="AL575" i="1"/>
  <c r="DB572" i="1"/>
  <c r="BN570" i="1"/>
  <c r="Z568" i="1"/>
  <c r="CP565" i="1"/>
  <c r="BB563" i="1"/>
  <c r="CH581" i="1"/>
  <c r="BM577" i="1"/>
  <c r="Y575" i="1"/>
  <c r="CO572" i="1"/>
  <c r="BA570" i="1"/>
  <c r="M568" i="1"/>
  <c r="CC565" i="1"/>
  <c r="AO563" i="1"/>
  <c r="BW562" i="1"/>
  <c r="BD559" i="1"/>
  <c r="P557" i="1"/>
  <c r="CF554" i="1"/>
  <c r="AR552" i="1"/>
  <c r="DH549" i="1"/>
  <c r="BT547" i="1"/>
  <c r="AF545" i="1"/>
  <c r="CQ565" i="1"/>
  <c r="AH560" i="1"/>
  <c r="CX557" i="1"/>
  <c r="CE576" i="1"/>
  <c r="AQ574" i="1"/>
  <c r="DG571" i="1"/>
  <c r="BS569" i="1"/>
  <c r="BZ582" i="1"/>
  <c r="CL577" i="1"/>
  <c r="AX575" i="1"/>
  <c r="J573" i="1"/>
  <c r="BZ570" i="1"/>
  <c r="AL568" i="1"/>
  <c r="DB565" i="1"/>
  <c r="BN563" i="1"/>
  <c r="Z582" i="1"/>
  <c r="BY577" i="1"/>
  <c r="AK575" i="1"/>
  <c r="AZ576" i="1"/>
  <c r="P571" i="1"/>
  <c r="BX566" i="1"/>
  <c r="BL563" i="1"/>
  <c r="CH579" i="1"/>
  <c r="CA576" i="1"/>
  <c r="BO573" i="1"/>
  <c r="BC570" i="1"/>
  <c r="BJ582" i="1"/>
  <c r="BR577" i="1"/>
  <c r="AD575" i="1"/>
  <c r="CT572" i="1"/>
  <c r="BF570" i="1"/>
  <c r="R568" i="1"/>
  <c r="CH565" i="1"/>
  <c r="AT563" i="1"/>
  <c r="BB581" i="1"/>
  <c r="BE577" i="1"/>
  <c r="Q575" i="1"/>
  <c r="CG572" i="1"/>
  <c r="AS570" i="1"/>
  <c r="DI567" i="1"/>
  <c r="BU565" i="1"/>
  <c r="AG563" i="1"/>
  <c r="AQ562" i="1"/>
  <c r="AV559" i="1"/>
  <c r="H557" i="1"/>
  <c r="BX554" i="1"/>
  <c r="AJ552" i="1"/>
  <c r="CZ549" i="1"/>
  <c r="BL547" i="1"/>
  <c r="X545" i="1"/>
  <c r="BK565" i="1"/>
  <c r="Z560" i="1"/>
  <c r="CP557" i="1"/>
  <c r="CQ578" i="1"/>
  <c r="AQ576" i="1"/>
  <c r="DG573" i="1"/>
  <c r="BS571" i="1"/>
  <c r="AE569" i="1"/>
  <c r="Z581" i="1"/>
  <c r="AX577" i="1"/>
  <c r="J575" i="1"/>
  <c r="BZ572" i="1"/>
  <c r="AL570" i="1"/>
  <c r="DB567" i="1"/>
  <c r="BN565" i="1"/>
  <c r="Z563" i="1"/>
  <c r="CD580" i="1"/>
  <c r="AK577" i="1"/>
  <c r="DA574" i="1"/>
  <c r="BM572" i="1"/>
  <c r="Y570" i="1"/>
  <c r="CO567" i="1"/>
  <c r="BA565" i="1"/>
  <c r="M563" i="1"/>
  <c r="CU561" i="1"/>
  <c r="AB559" i="1"/>
  <c r="CR556" i="1"/>
  <c r="BD554" i="1"/>
  <c r="P552" i="1"/>
  <c r="CF549" i="1"/>
  <c r="AR547" i="1"/>
  <c r="DH544" i="1"/>
  <c r="CM564" i="1"/>
  <c r="F560" i="1"/>
  <c r="AD579" i="1"/>
  <c r="BC576" i="1"/>
  <c r="O574" i="1"/>
  <c r="CE571" i="1"/>
  <c r="AQ569" i="1"/>
  <c r="BV581" i="1"/>
  <c r="BJ577" i="1"/>
  <c r="V575" i="1"/>
  <c r="CL572" i="1"/>
  <c r="AX570" i="1"/>
  <c r="J568" i="1"/>
  <c r="BZ565" i="1"/>
  <c r="AL563" i="1"/>
  <c r="V581" i="1"/>
  <c r="AW577" i="1"/>
  <c r="I575" i="1"/>
  <c r="BY572" i="1"/>
  <c r="AK570" i="1"/>
  <c r="DA567" i="1"/>
  <c r="BM565" i="1"/>
  <c r="Y563" i="1"/>
  <c r="O562" i="1"/>
  <c r="AN559" i="1"/>
  <c r="DD556" i="1"/>
  <c r="BP554" i="1"/>
  <c r="AB552" i="1"/>
  <c r="CR549" i="1"/>
  <c r="BD547" i="1"/>
  <c r="P545" i="1"/>
  <c r="AE565" i="1"/>
  <c r="R560" i="1"/>
  <c r="BR579" i="1"/>
  <c r="BO576" i="1"/>
  <c r="AA574" i="1"/>
  <c r="CQ571" i="1"/>
  <c r="BC569" i="1"/>
  <c r="N582" i="1"/>
  <c r="BV577" i="1"/>
  <c r="AH575" i="1"/>
  <c r="CX572" i="1"/>
  <c r="BJ570" i="1"/>
  <c r="V568" i="1"/>
  <c r="CL565" i="1"/>
  <c r="AX563" i="1"/>
  <c r="BR581" i="1"/>
  <c r="BI577" i="1"/>
  <c r="U575" i="1"/>
  <c r="AB574" i="1"/>
  <c r="BD569" i="1"/>
  <c r="CJ565" i="1"/>
  <c r="BH562" i="1"/>
  <c r="BJ579" i="1"/>
  <c r="CM575" i="1"/>
  <c r="BK572" i="1"/>
  <c r="AY569" i="1"/>
  <c r="BH579" i="1"/>
  <c r="CT576" i="1"/>
  <c r="BF574" i="1"/>
  <c r="R572" i="1"/>
  <c r="CH569" i="1"/>
  <c r="AT567" i="1"/>
  <c r="F565" i="1"/>
  <c r="BV562" i="1"/>
  <c r="AH579" i="1"/>
  <c r="CG576" i="1"/>
  <c r="AS574" i="1"/>
  <c r="DI571" i="1"/>
  <c r="BU569" i="1"/>
  <c r="AG567" i="1"/>
  <c r="CW564" i="1"/>
  <c r="BI562" i="1"/>
  <c r="H561" i="1"/>
  <c r="BX558" i="1"/>
  <c r="AJ556" i="1"/>
  <c r="CZ553" i="1"/>
  <c r="BL551" i="1"/>
  <c r="X549" i="1"/>
  <c r="CN546" i="1"/>
  <c r="AZ544" i="1"/>
  <c r="BO562" i="1"/>
  <c r="BB559" i="1"/>
  <c r="N557" i="1"/>
  <c r="DG577" i="1"/>
  <c r="BS575" i="1"/>
  <c r="AE573" i="1"/>
  <c r="CU570" i="1"/>
  <c r="BG568" i="1"/>
  <c r="T579" i="1"/>
  <c r="BZ576" i="1"/>
  <c r="AL574" i="1"/>
  <c r="DB571" i="1"/>
  <c r="BN569" i="1"/>
  <c r="Z567" i="1"/>
  <c r="CP564" i="1"/>
  <c r="BB562" i="1"/>
  <c r="DA578" i="1"/>
  <c r="BM576" i="1"/>
  <c r="Y574" i="1"/>
  <c r="CO571" i="1"/>
  <c r="BA569" i="1"/>
  <c r="M567" i="1"/>
  <c r="CC564" i="1"/>
  <c r="AO562" i="1"/>
  <c r="CR560" i="1"/>
  <c r="BD558" i="1"/>
  <c r="P556" i="1"/>
  <c r="CF553" i="1"/>
  <c r="AR551" i="1"/>
  <c r="DH548" i="1"/>
  <c r="BT546" i="1"/>
  <c r="AF544" i="1"/>
  <c r="DG561" i="1"/>
  <c r="AH559" i="1"/>
  <c r="O578" i="1"/>
  <c r="CE575" i="1"/>
  <c r="AQ573" i="1"/>
  <c r="DG570" i="1"/>
  <c r="BS568" i="1"/>
  <c r="AR579" i="1"/>
  <c r="CL576" i="1"/>
  <c r="AX574" i="1"/>
  <c r="J572" i="1"/>
  <c r="BZ569" i="1"/>
  <c r="AL567" i="1"/>
  <c r="DB564" i="1"/>
  <c r="BN562" i="1"/>
  <c r="R579" i="1"/>
  <c r="BY576" i="1"/>
  <c r="AK574" i="1"/>
  <c r="DA571" i="1"/>
  <c r="BM569" i="1"/>
  <c r="Y567" i="1"/>
  <c r="CO564" i="1"/>
  <c r="BA562" i="1"/>
  <c r="DD560" i="1"/>
  <c r="BP558" i="1"/>
  <c r="AB556" i="1"/>
  <c r="CR553" i="1"/>
  <c r="BD551" i="1"/>
  <c r="P549" i="1"/>
  <c r="CF546" i="1"/>
  <c r="AR544" i="1"/>
  <c r="AI562" i="1"/>
  <c r="AT559" i="1"/>
  <c r="AA578" i="1"/>
  <c r="CQ575" i="1"/>
  <c r="BC573" i="1"/>
  <c r="O571" i="1"/>
  <c r="CE568" i="1"/>
  <c r="BP579" i="1"/>
  <c r="CX576" i="1"/>
  <c r="BJ574" i="1"/>
  <c r="V572" i="1"/>
  <c r="CL569" i="1"/>
  <c r="AX567" i="1"/>
  <c r="J565" i="1"/>
  <c r="BZ562" i="1"/>
  <c r="AP579" i="1"/>
  <c r="L574" i="1"/>
  <c r="AN569" i="1"/>
  <c r="BD565" i="1"/>
  <c r="AR562" i="1"/>
  <c r="DC578" i="1"/>
  <c r="BG575" i="1"/>
  <c r="AU572" i="1"/>
  <c r="AI569" i="1"/>
  <c r="AB579" i="1"/>
  <c r="CD576" i="1"/>
  <c r="AP574" i="1"/>
  <c r="DF571" i="1"/>
  <c r="BR569" i="1"/>
  <c r="AD567" i="1"/>
  <c r="CT564" i="1"/>
  <c r="BF562" i="1"/>
  <c r="DF578" i="1"/>
  <c r="BQ576" i="1"/>
  <c r="AC574" i="1"/>
  <c r="CS571" i="1"/>
  <c r="BE569" i="1"/>
  <c r="Q567" i="1"/>
  <c r="CG564" i="1"/>
  <c r="AS562" i="1"/>
  <c r="CV560" i="1"/>
  <c r="BH558" i="1"/>
  <c r="T556" i="1"/>
  <c r="CJ553" i="1"/>
  <c r="AV551" i="1"/>
  <c r="H549" i="1"/>
  <c r="BX546" i="1"/>
  <c r="AJ544" i="1"/>
  <c r="K562" i="1"/>
  <c r="AL559" i="1"/>
  <c r="DB556" i="1"/>
  <c r="CQ577" i="1"/>
  <c r="BC575" i="1"/>
  <c r="O573" i="1"/>
  <c r="CE570" i="1"/>
  <c r="AQ568" i="1"/>
  <c r="CX578" i="1"/>
  <c r="BJ576" i="1"/>
  <c r="V574" i="1"/>
  <c r="CL571" i="1"/>
  <c r="AX569" i="1"/>
  <c r="J567" i="1"/>
  <c r="BZ564" i="1"/>
  <c r="AL562" i="1"/>
  <c r="CK578" i="1"/>
  <c r="AW576" i="1"/>
  <c r="I574" i="1"/>
  <c r="BY571" i="1"/>
  <c r="AK569" i="1"/>
  <c r="DA566" i="1"/>
  <c r="BM564" i="1"/>
  <c r="Y562" i="1"/>
  <c r="CB560" i="1"/>
  <c r="AN558" i="1"/>
  <c r="DD555" i="1"/>
  <c r="BP553" i="1"/>
  <c r="AB551" i="1"/>
  <c r="CR548" i="1"/>
  <c r="BD546" i="1"/>
  <c r="CI566" i="1"/>
  <c r="CA561" i="1"/>
  <c r="R559" i="1"/>
  <c r="DC577" i="1"/>
  <c r="BO575" i="1"/>
  <c r="AA573" i="1"/>
  <c r="CQ570" i="1"/>
  <c r="BC568" i="1"/>
  <c r="L579" i="1"/>
  <c r="BV576" i="1"/>
  <c r="AH574" i="1"/>
  <c r="CX571" i="1"/>
  <c r="BJ569" i="1"/>
  <c r="V567" i="1"/>
  <c r="CL564" i="1"/>
  <c r="AX562" i="1"/>
  <c r="CW578" i="1"/>
  <c r="BI576" i="1"/>
  <c r="U574" i="1"/>
  <c r="CK571" i="1"/>
  <c r="AW569" i="1"/>
  <c r="I567" i="1"/>
  <c r="BY564" i="1"/>
  <c r="AK562" i="1"/>
  <c r="CN560" i="1"/>
  <c r="AZ558" i="1"/>
  <c r="L556" i="1"/>
  <c r="CB553" i="1"/>
  <c r="AN551" i="1"/>
  <c r="DD548" i="1"/>
  <c r="BP546" i="1"/>
  <c r="AA567" i="1"/>
  <c r="CY561" i="1"/>
  <c r="AD559" i="1"/>
  <c r="K578" i="1"/>
  <c r="CA575" i="1"/>
  <c r="AM573" i="1"/>
  <c r="DC570" i="1"/>
  <c r="BO568" i="1"/>
  <c r="AJ579" i="1"/>
  <c r="CH576" i="1"/>
  <c r="AT574" i="1"/>
  <c r="F572" i="1"/>
  <c r="BV569" i="1"/>
  <c r="AH567" i="1"/>
  <c r="CX564" i="1"/>
  <c r="BJ562" i="1"/>
  <c r="J579" i="1"/>
  <c r="BU576" i="1"/>
  <c r="AG574" i="1"/>
  <c r="CW571" i="1"/>
  <c r="BI569" i="1"/>
  <c r="U567" i="1"/>
  <c r="CK564" i="1"/>
  <c r="AW562" i="1"/>
  <c r="CZ560" i="1"/>
  <c r="BL558" i="1"/>
  <c r="X556" i="1"/>
  <c r="CN553" i="1"/>
  <c r="AZ551" i="1"/>
  <c r="L549" i="1"/>
  <c r="CB546" i="1"/>
  <c r="AN544" i="1"/>
  <c r="S562" i="1"/>
  <c r="AP559" i="1"/>
  <c r="DA572" i="1"/>
  <c r="CO569" i="1"/>
  <c r="CC566" i="1"/>
  <c r="BA563" i="1"/>
  <c r="AB561" i="1"/>
  <c r="P558" i="1"/>
  <c r="CR554" i="1"/>
  <c r="CF551" i="1"/>
  <c r="BT548" i="1"/>
  <c r="AR545" i="1"/>
  <c r="AM563" i="1"/>
  <c r="CX558" i="1"/>
  <c r="AD556" i="1"/>
  <c r="CH553" i="1"/>
  <c r="AT551" i="1"/>
  <c r="F549" i="1"/>
  <c r="BV546" i="1"/>
  <c r="CO561" i="1"/>
  <c r="Y559" i="1"/>
  <c r="CO556" i="1"/>
  <c r="BA554" i="1"/>
  <c r="M552" i="1"/>
  <c r="CC549" i="1"/>
  <c r="AO547" i="1"/>
  <c r="DE544" i="1"/>
  <c r="AA556" i="1"/>
  <c r="CE546" i="1"/>
  <c r="CN542" i="1"/>
  <c r="AZ540" i="1"/>
  <c r="L538" i="1"/>
  <c r="CB535" i="1"/>
  <c r="AN533" i="1"/>
  <c r="DD530" i="1"/>
  <c r="BP528" i="1"/>
  <c r="AB526" i="1"/>
  <c r="CR523" i="1"/>
  <c r="BD521" i="1"/>
  <c r="P519" i="1"/>
  <c r="CF516" i="1"/>
  <c r="AR514" i="1"/>
  <c r="BB579" i="1"/>
  <c r="CQ576" i="1"/>
  <c r="BC574" i="1"/>
  <c r="O572" i="1"/>
  <c r="CE569" i="1"/>
  <c r="AQ567" i="1"/>
  <c r="CN574" i="1"/>
  <c r="L570" i="1"/>
  <c r="L566" i="1"/>
  <c r="DD562" i="1"/>
  <c r="CI578" i="1"/>
  <c r="O576" i="1"/>
  <c r="DG572" i="1"/>
  <c r="CU569" i="1"/>
  <c r="V580" i="1"/>
  <c r="V577" i="1"/>
  <c r="CL574" i="1"/>
  <c r="AX572" i="1"/>
  <c r="J570" i="1"/>
  <c r="BZ567" i="1"/>
  <c r="AL565" i="1"/>
  <c r="DB562" i="1"/>
  <c r="CT579" i="1"/>
  <c r="I577" i="1"/>
  <c r="BY574" i="1"/>
  <c r="AK572" i="1"/>
  <c r="DA569" i="1"/>
  <c r="BM567" i="1"/>
  <c r="Y565" i="1"/>
  <c r="CO562" i="1"/>
  <c r="AQ561" i="1"/>
  <c r="DD558" i="1"/>
  <c r="BP556" i="1"/>
  <c r="AB554" i="1"/>
  <c r="CR551" i="1"/>
  <c r="BD549" i="1"/>
  <c r="P547" i="1"/>
  <c r="CF544" i="1"/>
  <c r="CI563" i="1"/>
  <c r="CH559" i="1"/>
  <c r="AT557" i="1"/>
  <c r="AI578" i="1"/>
  <c r="CY575" i="1"/>
  <c r="BK573" i="1"/>
  <c r="W571" i="1"/>
  <c r="CM568" i="1"/>
  <c r="CF579" i="1"/>
  <c r="DF576" i="1"/>
  <c r="BR574" i="1"/>
  <c r="AD572" i="1"/>
  <c r="CT569" i="1"/>
  <c r="BF567" i="1"/>
  <c r="R565" i="1"/>
  <c r="CH562" i="1"/>
  <c r="BF579" i="1"/>
  <c r="CS576" i="1"/>
  <c r="BE574" i="1"/>
  <c r="Q572" i="1"/>
  <c r="CG569" i="1"/>
  <c r="AS567" i="1"/>
  <c r="DI564" i="1"/>
  <c r="BU562" i="1"/>
  <c r="T561" i="1"/>
  <c r="CJ558" i="1"/>
  <c r="AV556" i="1"/>
  <c r="H554" i="1"/>
  <c r="BX551" i="1"/>
  <c r="AJ549" i="1"/>
  <c r="CZ546" i="1"/>
  <c r="BL544" i="1"/>
  <c r="G563" i="1"/>
  <c r="BN559" i="1"/>
  <c r="AU578" i="1"/>
  <c r="G576" i="1"/>
  <c r="BW573" i="1"/>
  <c r="AI571" i="1"/>
  <c r="CY568" i="1"/>
  <c r="DD579" i="1"/>
  <c r="N577" i="1"/>
  <c r="CD574" i="1"/>
  <c r="AP572" i="1"/>
  <c r="DF569" i="1"/>
  <c r="BR567" i="1"/>
  <c r="AD565" i="1"/>
  <c r="CT562" i="1"/>
  <c r="CD579" i="1"/>
  <c r="DE576" i="1"/>
  <c r="BQ574" i="1"/>
  <c r="AC572" i="1"/>
  <c r="CS569" i="1"/>
  <c r="BE567" i="1"/>
  <c r="Q565" i="1"/>
  <c r="CG562" i="1"/>
  <c r="AF561" i="1"/>
  <c r="CV558" i="1"/>
  <c r="BH556" i="1"/>
  <c r="T554" i="1"/>
  <c r="CJ551" i="1"/>
  <c r="AV549" i="1"/>
  <c r="H547" i="1"/>
  <c r="BX544" i="1"/>
  <c r="BC563" i="1"/>
  <c r="BZ559" i="1"/>
  <c r="BG578" i="1"/>
  <c r="S576" i="1"/>
  <c r="CI573" i="1"/>
  <c r="AU571" i="1"/>
  <c r="G569" i="1"/>
  <c r="AL580" i="1"/>
  <c r="Z577" i="1"/>
  <c r="CP574" i="1"/>
  <c r="BB572" i="1"/>
  <c r="N570" i="1"/>
  <c r="CD567" i="1"/>
  <c r="AP565" i="1"/>
  <c r="DF562" i="1"/>
  <c r="DB579" i="1"/>
  <c r="M577" i="1"/>
  <c r="CC574" i="1"/>
  <c r="BX574" i="1"/>
  <c r="CZ569" i="1"/>
  <c r="CZ565" i="1"/>
  <c r="CN562" i="1"/>
  <c r="DB580" i="1"/>
  <c r="DC575" i="1"/>
  <c r="CQ572" i="1"/>
  <c r="BO569" i="1"/>
  <c r="CN579" i="1"/>
  <c r="F577" i="1"/>
  <c r="BV574" i="1"/>
  <c r="AH572" i="1"/>
  <c r="CX569" i="1"/>
  <c r="BJ567" i="1"/>
  <c r="V565" i="1"/>
  <c r="CL562" i="1"/>
  <c r="BN579" i="1"/>
  <c r="CW576" i="1"/>
  <c r="BI574" i="1"/>
  <c r="U572" i="1"/>
  <c r="CK569" i="1"/>
  <c r="AW567" i="1"/>
  <c r="I565" i="1"/>
  <c r="BY562" i="1"/>
  <c r="X561" i="1"/>
  <c r="CN558" i="1"/>
  <c r="AZ556" i="1"/>
  <c r="L554" i="1"/>
  <c r="CB551" i="1"/>
  <c r="AN549" i="1"/>
  <c r="DD546" i="1"/>
  <c r="BP544" i="1"/>
  <c r="W563" i="1"/>
  <c r="BR559" i="1"/>
  <c r="AD557" i="1"/>
  <c r="S578" i="1"/>
  <c r="CI575" i="1"/>
  <c r="AU573" i="1"/>
  <c r="G571" i="1"/>
  <c r="BW568" i="1"/>
  <c r="AZ579" i="1"/>
  <c r="CP576" i="1"/>
  <c r="BB574" i="1"/>
  <c r="N572" i="1"/>
  <c r="CD569" i="1"/>
  <c r="AP567" i="1"/>
  <c r="DF564" i="1"/>
  <c r="BR562" i="1"/>
  <c r="Z579" i="1"/>
  <c r="CC576" i="1"/>
  <c r="AO574" i="1"/>
  <c r="DE571" i="1"/>
  <c r="BQ569" i="1"/>
  <c r="AC567" i="1"/>
  <c r="CS564" i="1"/>
  <c r="BE562" i="1"/>
  <c r="DH560" i="1"/>
  <c r="BT558" i="1"/>
  <c r="AF556" i="1"/>
  <c r="CV553" i="1"/>
  <c r="BH551" i="1"/>
  <c r="T549" i="1"/>
  <c r="CJ546" i="1"/>
  <c r="AV544" i="1"/>
  <c r="AY562" i="1"/>
  <c r="AX559" i="1"/>
  <c r="AE578" i="1"/>
  <c r="CU575" i="1"/>
  <c r="BG573" i="1"/>
  <c r="S571" i="1"/>
  <c r="CI568" i="1"/>
  <c r="BX579" i="1"/>
  <c r="DB576" i="1"/>
  <c r="BN574" i="1"/>
  <c r="Z572" i="1"/>
  <c r="CP569" i="1"/>
  <c r="BB567" i="1"/>
  <c r="N565" i="1"/>
  <c r="CD562" i="1"/>
  <c r="AX579" i="1"/>
  <c r="CO576" i="1"/>
  <c r="BA574" i="1"/>
  <c r="M572" i="1"/>
  <c r="CC569" i="1"/>
  <c r="AO567" i="1"/>
  <c r="DE564" i="1"/>
  <c r="BQ562" i="1"/>
  <c r="P561" i="1"/>
  <c r="CF558" i="1"/>
  <c r="AR556" i="1"/>
  <c r="DH553" i="1"/>
  <c r="BT551" i="1"/>
  <c r="AF549" i="1"/>
  <c r="CV546" i="1"/>
  <c r="BH544" i="1"/>
  <c r="CU562" i="1"/>
  <c r="BJ559" i="1"/>
  <c r="AQ578" i="1"/>
  <c r="DG575" i="1"/>
  <c r="BS573" i="1"/>
  <c r="AE571" i="1"/>
  <c r="CU568" i="1"/>
  <c r="CV579" i="1"/>
  <c r="J577" i="1"/>
  <c r="BZ574" i="1"/>
  <c r="AL572" i="1"/>
  <c r="DB569" i="1"/>
  <c r="BN567" i="1"/>
  <c r="Z565" i="1"/>
  <c r="CP562" i="1"/>
  <c r="BV579" i="1"/>
  <c r="DA576" i="1"/>
  <c r="BM574" i="1"/>
  <c r="H573" i="1"/>
  <c r="AJ568" i="1"/>
  <c r="CV564" i="1"/>
  <c r="CJ561" i="1"/>
  <c r="W578" i="1"/>
  <c r="CY574" i="1"/>
  <c r="CM571" i="1"/>
  <c r="CA568" i="1"/>
  <c r="BV578" i="1"/>
  <c r="AH576" i="1"/>
  <c r="CX573" i="1"/>
  <c r="BJ571" i="1"/>
  <c r="V569" i="1"/>
  <c r="CL566" i="1"/>
  <c r="AX564" i="1"/>
  <c r="J562" i="1"/>
  <c r="BI578" i="1"/>
  <c r="U576" i="1"/>
  <c r="CK573" i="1"/>
  <c r="AW571" i="1"/>
  <c r="I569" i="1"/>
  <c r="BY566" i="1"/>
  <c r="AK564" i="1"/>
  <c r="BG566" i="1"/>
  <c r="AZ560" i="1"/>
  <c r="L558" i="1"/>
  <c r="CB555" i="1"/>
  <c r="AN553" i="1"/>
  <c r="DD550" i="1"/>
  <c r="BP548" i="1"/>
  <c r="AB546" i="1"/>
  <c r="CE565" i="1"/>
  <c r="AD561" i="1"/>
  <c r="CT558" i="1"/>
  <c r="BF556" i="1"/>
  <c r="AU577" i="1"/>
  <c r="G575" i="1"/>
  <c r="BW572" i="1"/>
  <c r="AI570" i="1"/>
  <c r="CY567" i="1"/>
  <c r="BB578" i="1"/>
  <c r="N576" i="1"/>
  <c r="CD573" i="1"/>
  <c r="AP571" i="1"/>
  <c r="DF568" i="1"/>
  <c r="BR566" i="1"/>
  <c r="AD564" i="1"/>
  <c r="CT561" i="1"/>
  <c r="AO578" i="1"/>
  <c r="DE575" i="1"/>
  <c r="BQ573" i="1"/>
  <c r="AC571" i="1"/>
  <c r="CS568" i="1"/>
  <c r="BE566" i="1"/>
  <c r="Q564" i="1"/>
  <c r="CI565" i="1"/>
  <c r="AF560" i="1"/>
  <c r="CV557" i="1"/>
  <c r="BH555" i="1"/>
  <c r="T553" i="1"/>
  <c r="CJ550" i="1"/>
  <c r="AV548" i="1"/>
  <c r="H546" i="1"/>
  <c r="DG564" i="1"/>
  <c r="J561" i="1"/>
  <c r="BZ558" i="1"/>
  <c r="BG577" i="1"/>
  <c r="S575" i="1"/>
  <c r="CI572" i="1"/>
  <c r="AU570" i="1"/>
  <c r="G568" i="1"/>
  <c r="BN578" i="1"/>
  <c r="Z576" i="1"/>
  <c r="CP573" i="1"/>
  <c r="BB571" i="1"/>
  <c r="N569" i="1"/>
  <c r="CD566" i="1"/>
  <c r="AP564" i="1"/>
  <c r="DF561" i="1"/>
  <c r="BA578" i="1"/>
  <c r="M576" i="1"/>
  <c r="CC573" i="1"/>
  <c r="AO571" i="1"/>
  <c r="DE568" i="1"/>
  <c r="BQ566" i="1"/>
  <c r="AC564" i="1"/>
  <c r="AA566" i="1"/>
  <c r="AR560" i="1"/>
  <c r="DH557" i="1"/>
  <c r="BT555" i="1"/>
  <c r="AF553" i="1"/>
  <c r="CV550" i="1"/>
  <c r="BH548" i="1"/>
  <c r="T546" i="1"/>
  <c r="AY565" i="1"/>
  <c r="V561" i="1"/>
  <c r="CL558" i="1"/>
  <c r="BS577" i="1"/>
  <c r="AE575" i="1"/>
  <c r="CU572" i="1"/>
  <c r="BG570" i="1"/>
  <c r="S568" i="1"/>
  <c r="BZ578" i="1"/>
  <c r="AL576" i="1"/>
  <c r="DB573" i="1"/>
  <c r="BN571" i="1"/>
  <c r="Z569" i="1"/>
  <c r="CP566" i="1"/>
  <c r="BB564" i="1"/>
  <c r="N562" i="1"/>
  <c r="BM578" i="1"/>
  <c r="CV572" i="1"/>
  <c r="T568" i="1"/>
  <c r="CF564" i="1"/>
  <c r="BT561" i="1"/>
  <c r="CU577" i="1"/>
  <c r="CI574" i="1"/>
  <c r="BW571" i="1"/>
  <c r="AU568" i="1"/>
  <c r="BF578" i="1"/>
  <c r="R576" i="1"/>
  <c r="CH573" i="1"/>
  <c r="AT571" i="1"/>
  <c r="F569" i="1"/>
  <c r="BV566" i="1"/>
  <c r="AH564" i="1"/>
  <c r="CX561" i="1"/>
  <c r="AS578" i="1"/>
  <c r="DI575" i="1"/>
  <c r="BU573" i="1"/>
  <c r="AG571" i="1"/>
  <c r="CW568" i="1"/>
  <c r="BI566" i="1"/>
  <c r="U564" i="1"/>
  <c r="CY565" i="1"/>
  <c r="AJ560" i="1"/>
  <c r="CZ557" i="1"/>
  <c r="BL555" i="1"/>
  <c r="X553" i="1"/>
  <c r="CN550" i="1"/>
  <c r="AZ548" i="1"/>
  <c r="L546" i="1"/>
  <c r="S565" i="1"/>
  <c r="N561" i="1"/>
  <c r="CD558" i="1"/>
  <c r="AP556" i="1"/>
  <c r="AE577" i="1"/>
  <c r="CU574" i="1"/>
  <c r="BG572" i="1"/>
  <c r="S570" i="1"/>
  <c r="CI567" i="1"/>
  <c r="AL578" i="1"/>
  <c r="DB575" i="1"/>
  <c r="BN573" i="1"/>
  <c r="Z571" i="1"/>
  <c r="CP568" i="1"/>
  <c r="BB566" i="1"/>
  <c r="N564" i="1"/>
  <c r="CD561" i="1"/>
  <c r="Y578" i="1"/>
  <c r="CO575" i="1"/>
  <c r="BA573" i="1"/>
  <c r="M571" i="1"/>
  <c r="CC568" i="1"/>
  <c r="AO566" i="1"/>
  <c r="DE563" i="1"/>
  <c r="W565" i="1"/>
  <c r="P560" i="1"/>
  <c r="CF557" i="1"/>
  <c r="AR555" i="1"/>
  <c r="DH552" i="1"/>
  <c r="BT550" i="1"/>
  <c r="AF548" i="1"/>
  <c r="CV545" i="1"/>
  <c r="AU564" i="1"/>
  <c r="CX560" i="1"/>
  <c r="BJ558" i="1"/>
  <c r="AQ577" i="1"/>
  <c r="DG574" i="1"/>
  <c r="BS572" i="1"/>
  <c r="AE570" i="1"/>
  <c r="CU567" i="1"/>
  <c r="AX578" i="1"/>
  <c r="J576" i="1"/>
  <c r="BZ573" i="1"/>
  <c r="AL571" i="1"/>
  <c r="DB568" i="1"/>
  <c r="BN566" i="1"/>
  <c r="Z564" i="1"/>
  <c r="CP561" i="1"/>
  <c r="AK578" i="1"/>
  <c r="DA575" i="1"/>
  <c r="BM573" i="1"/>
  <c r="Y571" i="1"/>
  <c r="CO568" i="1"/>
  <c r="BA566" i="1"/>
  <c r="M564" i="1"/>
  <c r="BS565" i="1"/>
  <c r="AB560" i="1"/>
  <c r="CR557" i="1"/>
  <c r="BD555" i="1"/>
  <c r="P553" i="1"/>
  <c r="CF550" i="1"/>
  <c r="AR548" i="1"/>
  <c r="DH545" i="1"/>
  <c r="CQ564" i="1"/>
  <c r="F561" i="1"/>
  <c r="BV558" i="1"/>
  <c r="BC577" i="1"/>
  <c r="O575" i="1"/>
  <c r="CE572" i="1"/>
  <c r="AQ570" i="1"/>
  <c r="DG567" i="1"/>
  <c r="BJ578" i="1"/>
  <c r="V576" i="1"/>
  <c r="CL573" i="1"/>
  <c r="AX571" i="1"/>
  <c r="J569" i="1"/>
  <c r="BZ566" i="1"/>
  <c r="AL564" i="1"/>
  <c r="DB561" i="1"/>
  <c r="AW578" i="1"/>
  <c r="I576" i="1"/>
  <c r="BY573" i="1"/>
  <c r="AK571" i="1"/>
  <c r="DA568" i="1"/>
  <c r="BM566" i="1"/>
  <c r="Y564" i="1"/>
  <c r="K566" i="1"/>
  <c r="AN560" i="1"/>
  <c r="DD557" i="1"/>
  <c r="BP555" i="1"/>
  <c r="AB553" i="1"/>
  <c r="CR550" i="1"/>
  <c r="BD548" i="1"/>
  <c r="P546" i="1"/>
  <c r="AI565" i="1"/>
  <c r="R561" i="1"/>
  <c r="DE577" i="1"/>
  <c r="Y572" i="1"/>
  <c r="M569" i="1"/>
  <c r="CO565" i="1"/>
  <c r="CC562" i="1"/>
  <c r="BD560" i="1"/>
  <c r="AB557" i="1"/>
  <c r="P554" i="1"/>
  <c r="DH550" i="1"/>
  <c r="CF547" i="1"/>
  <c r="BT544" i="1"/>
  <c r="AH561" i="1"/>
  <c r="AL558" i="1"/>
  <c r="BJ555" i="1"/>
  <c r="V553" i="1"/>
  <c r="CL550" i="1"/>
  <c r="AX548" i="1"/>
  <c r="J546" i="1"/>
  <c r="DE560" i="1"/>
  <c r="BQ558" i="1"/>
  <c r="AC556" i="1"/>
  <c r="CS553" i="1"/>
  <c r="BE551" i="1"/>
  <c r="Q549" i="1"/>
  <c r="CG546" i="1"/>
  <c r="AS544" i="1"/>
  <c r="CQ553" i="1"/>
  <c r="G545" i="1"/>
  <c r="AB542" i="1"/>
  <c r="CR539" i="1"/>
  <c r="BD537" i="1"/>
  <c r="P535" i="1"/>
  <c r="CF532" i="1"/>
  <c r="AR530" i="1"/>
  <c r="DH527" i="1"/>
  <c r="BT525" i="1"/>
  <c r="AF523" i="1"/>
  <c r="CV520" i="1"/>
  <c r="BH518" i="1"/>
  <c r="T516" i="1"/>
  <c r="CJ513" i="1"/>
  <c r="BP512" i="1"/>
  <c r="AU558" i="1"/>
  <c r="CY548" i="1"/>
  <c r="AQ543" i="1"/>
  <c r="BN557" i="1"/>
  <c r="CH554" i="1"/>
  <c r="AT552" i="1"/>
  <c r="F550" i="1"/>
  <c r="BV547" i="1"/>
  <c r="BG565" i="1"/>
  <c r="Y560" i="1"/>
  <c r="CO557" i="1"/>
  <c r="BA555" i="1"/>
  <c r="M553" i="1"/>
  <c r="CC550" i="1"/>
  <c r="AO548" i="1"/>
  <c r="DE545" i="1"/>
  <c r="AA560" i="1"/>
  <c r="CE550" i="1"/>
  <c r="CN543" i="1"/>
  <c r="AZ541" i="1"/>
  <c r="L539" i="1"/>
  <c r="CB536" i="1"/>
  <c r="AN534" i="1"/>
  <c r="DD531" i="1"/>
  <c r="BP529" i="1"/>
  <c r="AB527" i="1"/>
  <c r="CR524" i="1"/>
  <c r="BD522" i="1"/>
  <c r="P520" i="1"/>
  <c r="CF517" i="1"/>
  <c r="AR515" i="1"/>
  <c r="DH512" i="1"/>
  <c r="G560" i="1"/>
  <c r="BK550" i="1"/>
  <c r="CI543" i="1"/>
  <c r="AL557" i="1"/>
  <c r="BN554" i="1"/>
  <c r="Z552" i="1"/>
  <c r="CP549" i="1"/>
  <c r="BB547" i="1"/>
  <c r="CI564" i="1"/>
  <c r="DI559" i="1"/>
  <c r="BU557" i="1"/>
  <c r="AG555" i="1"/>
  <c r="CW552" i="1"/>
  <c r="BI550" i="1"/>
  <c r="U548" i="1"/>
  <c r="CK545" i="1"/>
  <c r="BC559" i="1"/>
  <c r="DG549" i="1"/>
  <c r="BT543" i="1"/>
  <c r="AF541" i="1"/>
  <c r="CV538" i="1"/>
  <c r="BH536" i="1"/>
  <c r="T534" i="1"/>
  <c r="CJ531" i="1"/>
  <c r="AV529" i="1"/>
  <c r="H527" i="1"/>
  <c r="BX524" i="1"/>
  <c r="AJ522" i="1"/>
  <c r="CZ519" i="1"/>
  <c r="BL517" i="1"/>
  <c r="X515" i="1"/>
  <c r="CN512" i="1"/>
  <c r="AI559" i="1"/>
  <c r="CM549" i="1"/>
  <c r="BO543" i="1"/>
  <c r="AH556" i="1"/>
  <c r="CL553" i="1"/>
  <c r="AX551" i="1"/>
  <c r="J549" i="1"/>
  <c r="BZ546" i="1"/>
  <c r="CW561" i="1"/>
  <c r="AC559" i="1"/>
  <c r="CS556" i="1"/>
  <c r="BE554" i="1"/>
  <c r="Q552" i="1"/>
  <c r="CG549" i="1"/>
  <c r="AS547" i="1"/>
  <c r="DI544" i="1"/>
  <c r="AQ556" i="1"/>
  <c r="CU546" i="1"/>
  <c r="CR542" i="1"/>
  <c r="BD540" i="1"/>
  <c r="P538" i="1"/>
  <c r="CF535" i="1"/>
  <c r="AR533" i="1"/>
  <c r="CK572" i="1"/>
  <c r="BY569" i="1"/>
  <c r="AW566" i="1"/>
  <c r="AK563" i="1"/>
  <c r="L561" i="1"/>
  <c r="CN557" i="1"/>
  <c r="CB554" i="1"/>
  <c r="BP551" i="1"/>
  <c r="AN548" i="1"/>
  <c r="AB545" i="1"/>
  <c r="CE562" i="1"/>
  <c r="CH558" i="1"/>
  <c r="F556" i="1"/>
  <c r="BR553" i="1"/>
  <c r="AD551" i="1"/>
  <c r="CT548" i="1"/>
  <c r="BF546" i="1"/>
  <c r="BI561" i="1"/>
  <c r="I559" i="1"/>
  <c r="BY556" i="1"/>
  <c r="AK554" i="1"/>
  <c r="DA551" i="1"/>
  <c r="BM549" i="1"/>
  <c r="Y547" i="1"/>
  <c r="CO544" i="1"/>
  <c r="BS555" i="1"/>
  <c r="S546" i="1"/>
  <c r="BX542" i="1"/>
  <c r="AJ540" i="1"/>
  <c r="CZ537" i="1"/>
  <c r="BL535" i="1"/>
  <c r="X533" i="1"/>
  <c r="CN530" i="1"/>
  <c r="AZ528" i="1"/>
  <c r="L526" i="1"/>
  <c r="CB523" i="1"/>
  <c r="AN521" i="1"/>
  <c r="DD518" i="1"/>
  <c r="BP516" i="1"/>
  <c r="AB514" i="1"/>
  <c r="CR511" i="1"/>
  <c r="AY555" i="1"/>
  <c r="DC545" i="1"/>
  <c r="BS542" i="1"/>
  <c r="BN556" i="1"/>
  <c r="F554" i="1"/>
  <c r="BV551" i="1"/>
  <c r="AH549" i="1"/>
  <c r="CX546" i="1"/>
  <c r="BK562" i="1"/>
  <c r="BA559" i="1"/>
  <c r="M557" i="1"/>
  <c r="CC554" i="1"/>
  <c r="AO552" i="1"/>
  <c r="DE549" i="1"/>
  <c r="BQ547" i="1"/>
  <c r="AC545" i="1"/>
  <c r="AE557" i="1"/>
  <c r="CI547" i="1"/>
  <c r="L543" i="1"/>
  <c r="CB540" i="1"/>
  <c r="AN538" i="1"/>
  <c r="DD535" i="1"/>
  <c r="BP533" i="1"/>
  <c r="AB531" i="1"/>
  <c r="CR528" i="1"/>
  <c r="BD526" i="1"/>
  <c r="P524" i="1"/>
  <c r="CF521" i="1"/>
  <c r="AR519" i="1"/>
  <c r="DH516" i="1"/>
  <c r="BT514" i="1"/>
  <c r="AF512" i="1"/>
  <c r="K557" i="1"/>
  <c r="BO547" i="1"/>
  <c r="G543" i="1"/>
  <c r="AL556" i="1"/>
  <c r="CP553" i="1"/>
  <c r="BB551" i="1"/>
  <c r="N549" i="1"/>
  <c r="CD546" i="1"/>
  <c r="DE561" i="1"/>
  <c r="AG559" i="1"/>
  <c r="CW556" i="1"/>
  <c r="BI554" i="1"/>
  <c r="U552" i="1"/>
  <c r="CK549" i="1"/>
  <c r="AW547" i="1"/>
  <c r="I545" i="1"/>
  <c r="BG556" i="1"/>
  <c r="G547" i="1"/>
  <c r="CV542" i="1"/>
  <c r="BH540" i="1"/>
  <c r="T538" i="1"/>
  <c r="CJ535" i="1"/>
  <c r="AV533" i="1"/>
  <c r="H531" i="1"/>
  <c r="BX528" i="1"/>
  <c r="AJ526" i="1"/>
  <c r="CZ523" i="1"/>
  <c r="BL521" i="1"/>
  <c r="X519" i="1"/>
  <c r="CN516" i="1"/>
  <c r="AZ514" i="1"/>
  <c r="L512" i="1"/>
  <c r="AM556" i="1"/>
  <c r="CQ546" i="1"/>
  <c r="CQ542" i="1"/>
  <c r="AX555" i="1"/>
  <c r="J553" i="1"/>
  <c r="BZ550" i="1"/>
  <c r="AL548" i="1"/>
  <c r="DB545" i="1"/>
  <c r="CS560" i="1"/>
  <c r="BE558" i="1"/>
  <c r="Q556" i="1"/>
  <c r="CG553" i="1"/>
  <c r="AS551" i="1"/>
  <c r="DI548" i="1"/>
  <c r="BU546" i="1"/>
  <c r="AG544" i="1"/>
  <c r="AU553" i="1"/>
  <c r="CM544" i="1"/>
  <c r="P542" i="1"/>
  <c r="CF539" i="1"/>
  <c r="AR537" i="1"/>
  <c r="DH534" i="1"/>
  <c r="BU572" i="1"/>
  <c r="AS569" i="1"/>
  <c r="AG566" i="1"/>
  <c r="U563" i="1"/>
  <c r="CJ560" i="1"/>
  <c r="BX557" i="1"/>
  <c r="BL554" i="1"/>
  <c r="AJ551" i="1"/>
  <c r="X548" i="1"/>
  <c r="L545" i="1"/>
  <c r="CQ561" i="1"/>
  <c r="BR558" i="1"/>
  <c r="CP555" i="1"/>
  <c r="BB553" i="1"/>
  <c r="N551" i="1"/>
  <c r="CD548" i="1"/>
  <c r="AP546" i="1"/>
  <c r="AG561" i="1"/>
  <c r="CW558" i="1"/>
  <c r="BI556" i="1"/>
  <c r="U554" i="1"/>
  <c r="CK551" i="1"/>
  <c r="AW549" i="1"/>
  <c r="I547" i="1"/>
  <c r="BY544" i="1"/>
  <c r="G555" i="1"/>
  <c r="BS545" i="1"/>
  <c r="BH542" i="1"/>
  <c r="T540" i="1"/>
  <c r="CJ537" i="1"/>
  <c r="AV535" i="1"/>
  <c r="H533" i="1"/>
  <c r="BX530" i="1"/>
  <c r="AJ528" i="1"/>
  <c r="CZ525" i="1"/>
  <c r="BL523" i="1"/>
  <c r="X521" i="1"/>
  <c r="CN518" i="1"/>
  <c r="AZ516" i="1"/>
  <c r="L514" i="1"/>
  <c r="CB511" i="1"/>
  <c r="CQ554" i="1"/>
  <c r="BJ545" i="1"/>
  <c r="BC542" i="1"/>
  <c r="AT556" i="1"/>
  <c r="CT553" i="1"/>
  <c r="BF551" i="1"/>
  <c r="R549" i="1"/>
  <c r="CH546" i="1"/>
  <c r="I562" i="1"/>
  <c r="AK559" i="1"/>
  <c r="DA556" i="1"/>
  <c r="BM554" i="1"/>
  <c r="Y552" i="1"/>
  <c r="CO549" i="1"/>
  <c r="BA547" i="1"/>
  <c r="M545" i="1"/>
  <c r="BW556" i="1"/>
  <c r="W547" i="1"/>
  <c r="CZ542" i="1"/>
  <c r="BL540" i="1"/>
  <c r="X538" i="1"/>
  <c r="CN535" i="1"/>
  <c r="AZ533" i="1"/>
  <c r="L531" i="1"/>
  <c r="CB528" i="1"/>
  <c r="AN526" i="1"/>
  <c r="DD523" i="1"/>
  <c r="BP521" i="1"/>
  <c r="AB519" i="1"/>
  <c r="CR516" i="1"/>
  <c r="BD514" i="1"/>
  <c r="P512" i="1"/>
  <c r="BC556" i="1"/>
  <c r="DG546" i="1"/>
  <c r="CU542" i="1"/>
  <c r="R556" i="1"/>
  <c r="BZ553" i="1"/>
  <c r="AL551" i="1"/>
  <c r="DB548" i="1"/>
  <c r="BN546" i="1"/>
  <c r="BY561" i="1"/>
  <c r="Q559" i="1"/>
  <c r="CG556" i="1"/>
  <c r="AS554" i="1"/>
  <c r="DI551" i="1"/>
  <c r="BU549" i="1"/>
  <c r="AG547" i="1"/>
  <c r="CW544" i="1"/>
  <c r="CY555" i="1"/>
  <c r="AY546" i="1"/>
  <c r="CF542" i="1"/>
  <c r="AR540" i="1"/>
  <c r="DH537" i="1"/>
  <c r="BT535" i="1"/>
  <c r="AF533" i="1"/>
  <c r="CV530" i="1"/>
  <c r="BH528" i="1"/>
  <c r="T526" i="1"/>
  <c r="CJ523" i="1"/>
  <c r="AV521" i="1"/>
  <c r="H519" i="1"/>
  <c r="BX516" i="1"/>
  <c r="AJ514" i="1"/>
  <c r="CZ511" i="1"/>
  <c r="CE555" i="1"/>
  <c r="AE546" i="1"/>
  <c r="CA542" i="1"/>
  <c r="AH555" i="1"/>
  <c r="CX552" i="1"/>
  <c r="BJ550" i="1"/>
  <c r="V548" i="1"/>
  <c r="CL545" i="1"/>
  <c r="CC560" i="1"/>
  <c r="AO558" i="1"/>
  <c r="DE555" i="1"/>
  <c r="BQ553" i="1"/>
  <c r="AC551" i="1"/>
  <c r="CS548" i="1"/>
  <c r="BE546" i="1"/>
  <c r="Q544" i="1"/>
  <c r="CM552" i="1"/>
  <c r="BG544" i="1"/>
  <c r="DD541" i="1"/>
  <c r="BP539" i="1"/>
  <c r="AB537" i="1"/>
  <c r="AO572" i="1"/>
  <c r="AC569" i="1"/>
  <c r="Q566" i="1"/>
  <c r="CS562" i="1"/>
  <c r="BT560" i="1"/>
  <c r="BH557" i="1"/>
  <c r="AF554" i="1"/>
  <c r="T551" i="1"/>
  <c r="H548" i="1"/>
  <c r="CJ544" i="1"/>
  <c r="BK561" i="1"/>
  <c r="BB558" i="1"/>
  <c r="BZ555" i="1"/>
  <c r="AL553" i="1"/>
  <c r="DB550" i="1"/>
  <c r="BN548" i="1"/>
  <c r="Z546" i="1"/>
  <c r="Q561" i="1"/>
  <c r="CG558" i="1"/>
  <c r="AS556" i="1"/>
  <c r="DI553" i="1"/>
  <c r="BU551" i="1"/>
  <c r="AG549" i="1"/>
  <c r="CW546" i="1"/>
  <c r="BI544" i="1"/>
  <c r="AY554" i="1"/>
  <c r="AM545" i="1"/>
  <c r="AR542" i="1"/>
  <c r="DH539" i="1"/>
  <c r="BT537" i="1"/>
  <c r="AF535" i="1"/>
  <c r="CV532" i="1"/>
  <c r="BH530" i="1"/>
  <c r="T528" i="1"/>
  <c r="CJ525" i="1"/>
  <c r="AV523" i="1"/>
  <c r="H521" i="1"/>
  <c r="BX518" i="1"/>
  <c r="AJ516" i="1"/>
  <c r="CZ513" i="1"/>
  <c r="BL511" i="1"/>
  <c r="AE554" i="1"/>
  <c r="AD545" i="1"/>
  <c r="AM542" i="1"/>
  <c r="V556" i="1"/>
  <c r="CD553" i="1"/>
  <c r="AP551" i="1"/>
  <c r="DF548" i="1"/>
  <c r="BR546" i="1"/>
  <c r="CG561" i="1"/>
  <c r="U559" i="1"/>
  <c r="CK556" i="1"/>
  <c r="AW554" i="1"/>
  <c r="I552" i="1"/>
  <c r="BY549" i="1"/>
  <c r="AK547" i="1"/>
  <c r="DA544" i="1"/>
  <c r="K556" i="1"/>
  <c r="BO546" i="1"/>
  <c r="CJ542" i="1"/>
  <c r="AV540" i="1"/>
  <c r="H538" i="1"/>
  <c r="BX535" i="1"/>
  <c r="AJ533" i="1"/>
  <c r="CZ530" i="1"/>
  <c r="BL528" i="1"/>
  <c r="X526" i="1"/>
  <c r="CN523" i="1"/>
  <c r="AZ521" i="1"/>
  <c r="L519" i="1"/>
  <c r="CB516" i="1"/>
  <c r="AN514" i="1"/>
  <c r="DD511" i="1"/>
  <c r="CU555" i="1"/>
  <c r="AU546" i="1"/>
  <c r="CE542" i="1"/>
  <c r="DB555" i="1"/>
  <c r="BJ553" i="1"/>
  <c r="V551" i="1"/>
  <c r="CL548" i="1"/>
  <c r="AX546" i="1"/>
  <c r="AS561" i="1"/>
  <c r="DE558" i="1"/>
  <c r="BQ556" i="1"/>
  <c r="AC554" i="1"/>
  <c r="CS551" i="1"/>
  <c r="BE549" i="1"/>
  <c r="Q547" i="1"/>
  <c r="CG544" i="1"/>
  <c r="AM555" i="1"/>
  <c r="CQ545" i="1"/>
  <c r="BP542" i="1"/>
  <c r="AB540" i="1"/>
  <c r="CR537" i="1"/>
  <c r="BD535" i="1"/>
  <c r="P533" i="1"/>
  <c r="CF530" i="1"/>
  <c r="AR528" i="1"/>
  <c r="DH525" i="1"/>
  <c r="BT523" i="1"/>
  <c r="AF521" i="1"/>
  <c r="CV518" i="1"/>
  <c r="BH516" i="1"/>
  <c r="T514" i="1"/>
  <c r="CJ511" i="1"/>
  <c r="S555" i="1"/>
  <c r="BZ545" i="1"/>
  <c r="BK542" i="1"/>
  <c r="R555" i="1"/>
  <c r="CH552" i="1"/>
  <c r="AT550" i="1"/>
  <c r="F548" i="1"/>
  <c r="DG566" i="1"/>
  <c r="BM560" i="1"/>
  <c r="Y558" i="1"/>
  <c r="CO555" i="1"/>
  <c r="BA553" i="1"/>
  <c r="M551" i="1"/>
  <c r="CC548" i="1"/>
  <c r="AO546" i="1"/>
  <c r="M562" i="1"/>
  <c r="AA552" i="1"/>
  <c r="AB544" i="1"/>
  <c r="CN541" i="1"/>
  <c r="AZ539" i="1"/>
  <c r="L537" i="1"/>
  <c r="CB534" i="1"/>
  <c r="AN532" i="1"/>
  <c r="DD529" i="1"/>
  <c r="BP527" i="1"/>
  <c r="AB525" i="1"/>
  <c r="CR522" i="1"/>
  <c r="BD520" i="1"/>
  <c r="P518" i="1"/>
  <c r="CF515" i="1"/>
  <c r="AR513" i="1"/>
  <c r="CC561" i="1"/>
  <c r="AV534" i="1"/>
  <c r="CR530" i="1"/>
  <c r="CF527" i="1"/>
  <c r="BD524" i="1"/>
  <c r="AR521" i="1"/>
  <c r="AF518" i="1"/>
  <c r="DH514" i="1"/>
  <c r="CV511" i="1"/>
  <c r="AA553" i="1"/>
  <c r="CD544" i="1"/>
  <c r="BS541" i="1"/>
  <c r="S539" i="1"/>
  <c r="CI536" i="1"/>
  <c r="AU534" i="1"/>
  <c r="G532" i="1"/>
  <c r="BW529" i="1"/>
  <c r="AI527" i="1"/>
  <c r="CY524" i="1"/>
  <c r="BK522" i="1"/>
  <c r="W520" i="1"/>
  <c r="CM517" i="1"/>
  <c r="AY515" i="1"/>
  <c r="K513" i="1"/>
  <c r="AI560" i="1"/>
  <c r="CM550" i="1"/>
  <c r="CP543" i="1"/>
  <c r="BB541" i="1"/>
  <c r="N539" i="1"/>
  <c r="CD536" i="1"/>
  <c r="AP534" i="1"/>
  <c r="DF531" i="1"/>
  <c r="AE548" i="1"/>
  <c r="M536" i="1"/>
  <c r="BJ528" i="1"/>
  <c r="DH511" i="1"/>
  <c r="G556" i="1"/>
  <c r="BK546" i="1"/>
  <c r="CI542" i="1"/>
  <c r="CH556" i="1"/>
  <c r="V554" i="1"/>
  <c r="CL551" i="1"/>
  <c r="AX549" i="1"/>
  <c r="J547" i="1"/>
  <c r="S563" i="1"/>
  <c r="BQ559" i="1"/>
  <c r="AC557" i="1"/>
  <c r="CS554" i="1"/>
  <c r="BE552" i="1"/>
  <c r="Q550" i="1"/>
  <c r="CG547" i="1"/>
  <c r="AS545" i="1"/>
  <c r="CQ557" i="1"/>
  <c r="AQ548" i="1"/>
  <c r="AB543" i="1"/>
  <c r="CR540" i="1"/>
  <c r="BD538" i="1"/>
  <c r="P536" i="1"/>
  <c r="CF533" i="1"/>
  <c r="AR531" i="1"/>
  <c r="DH528" i="1"/>
  <c r="BT526" i="1"/>
  <c r="AF524" i="1"/>
  <c r="CV521" i="1"/>
  <c r="BH519" i="1"/>
  <c r="T517" i="1"/>
  <c r="CJ514" i="1"/>
  <c r="AV512" i="1"/>
  <c r="BW557" i="1"/>
  <c r="W548" i="1"/>
  <c r="W543" i="1"/>
  <c r="BJ556" i="1"/>
  <c r="DF553" i="1"/>
  <c r="BR551" i="1"/>
  <c r="AD549" i="1"/>
  <c r="CT546" i="1"/>
  <c r="AU562" i="1"/>
  <c r="AW559" i="1"/>
  <c r="I557" i="1"/>
  <c r="BY554" i="1"/>
  <c r="AK552" i="1"/>
  <c r="DA549" i="1"/>
  <c r="BM547" i="1"/>
  <c r="Y545" i="1"/>
  <c r="O557" i="1"/>
  <c r="BS547" i="1"/>
  <c r="H543" i="1"/>
  <c r="BX540" i="1"/>
  <c r="AJ538" i="1"/>
  <c r="CZ535" i="1"/>
  <c r="BL533" i="1"/>
  <c r="X531" i="1"/>
  <c r="CN528" i="1"/>
  <c r="AZ526" i="1"/>
  <c r="L524" i="1"/>
  <c r="CB521" i="1"/>
  <c r="AN519" i="1"/>
  <c r="DD516" i="1"/>
  <c r="BP514" i="1"/>
  <c r="AB512" i="1"/>
  <c r="CY556" i="1"/>
  <c r="AY547" i="1"/>
  <c r="DG542" i="1"/>
  <c r="BN555" i="1"/>
  <c r="Z553" i="1"/>
  <c r="CP550" i="1"/>
  <c r="BB548" i="1"/>
  <c r="N546" i="1"/>
  <c r="DI560" i="1"/>
  <c r="BU558" i="1"/>
  <c r="AG556" i="1"/>
  <c r="CW553" i="1"/>
  <c r="BI551" i="1"/>
  <c r="U549" i="1"/>
  <c r="CK546" i="1"/>
  <c r="AW544" i="1"/>
  <c r="DG553" i="1"/>
  <c r="O545" i="1"/>
  <c r="AF542" i="1"/>
  <c r="CV539" i="1"/>
  <c r="BH537" i="1"/>
  <c r="T535" i="1"/>
  <c r="AS577" i="1"/>
  <c r="I572" i="1"/>
  <c r="CK568" i="1"/>
  <c r="BY565" i="1"/>
  <c r="BM562" i="1"/>
  <c r="X560" i="1"/>
  <c r="L557" i="1"/>
  <c r="DD553" i="1"/>
  <c r="CB550" i="1"/>
  <c r="BP547" i="1"/>
  <c r="BD544" i="1"/>
  <c r="DF560" i="1"/>
  <c r="V558" i="1"/>
  <c r="AT555" i="1"/>
  <c r="F553" i="1"/>
  <c r="BV550" i="1"/>
  <c r="AH548" i="1"/>
  <c r="CX545" i="1"/>
  <c r="CO560" i="1"/>
  <c r="BA558" i="1"/>
  <c r="M556" i="1"/>
  <c r="CC553" i="1"/>
  <c r="AO551" i="1"/>
  <c r="DE548" i="1"/>
  <c r="BQ546" i="1"/>
  <c r="AC544" i="1"/>
  <c r="AE553" i="1"/>
  <c r="CE544" i="1"/>
  <c r="L542" i="1"/>
  <c r="CB539" i="1"/>
  <c r="AN537" i="1"/>
  <c r="DD534" i="1"/>
  <c r="BP532" i="1"/>
  <c r="AB530" i="1"/>
  <c r="CR527" i="1"/>
  <c r="BD525" i="1"/>
  <c r="P523" i="1"/>
  <c r="CF520" i="1"/>
  <c r="AR518" i="1"/>
  <c r="DH515" i="1"/>
  <c r="BT513" i="1"/>
  <c r="AF511" i="1"/>
  <c r="K553" i="1"/>
  <c r="BV544" i="1"/>
  <c r="G542" i="1"/>
  <c r="CL555" i="1"/>
  <c r="AX553" i="1"/>
  <c r="J551" i="1"/>
  <c r="BZ548" i="1"/>
  <c r="AL546" i="1"/>
  <c r="AC561" i="1"/>
  <c r="CS558" i="1"/>
  <c r="BE556" i="1"/>
  <c r="Q554" i="1"/>
  <c r="CG551" i="1"/>
  <c r="AS549" i="1"/>
  <c r="DI546" i="1"/>
  <c r="BU544" i="1"/>
  <c r="CU554" i="1"/>
  <c r="BK545" i="1"/>
  <c r="BD542" i="1"/>
  <c r="P540" i="1"/>
  <c r="CF537" i="1"/>
  <c r="AR535" i="1"/>
  <c r="DH532" i="1"/>
  <c r="BT530" i="1"/>
  <c r="AF528" i="1"/>
  <c r="CV525" i="1"/>
  <c r="BH523" i="1"/>
  <c r="T521" i="1"/>
  <c r="CJ518" i="1"/>
  <c r="AV516" i="1"/>
  <c r="H514" i="1"/>
  <c r="BX511" i="1"/>
  <c r="CA554" i="1"/>
  <c r="BB545" i="1"/>
  <c r="AY542" i="1"/>
  <c r="BR555" i="1"/>
  <c r="AD553" i="1"/>
  <c r="CT550" i="1"/>
  <c r="BF548" i="1"/>
  <c r="R546" i="1"/>
  <c r="I561" i="1"/>
  <c r="BY558" i="1"/>
  <c r="AK556" i="1"/>
  <c r="DA553" i="1"/>
  <c r="BM551" i="1"/>
  <c r="Y549" i="1"/>
  <c r="CO546" i="1"/>
  <c r="BA544" i="1"/>
  <c r="S554" i="1"/>
  <c r="W545" i="1"/>
  <c r="AJ542" i="1"/>
  <c r="CZ539" i="1"/>
  <c r="BL537" i="1"/>
  <c r="X535" i="1"/>
  <c r="CN532" i="1"/>
  <c r="AZ530" i="1"/>
  <c r="L528" i="1"/>
  <c r="CB525" i="1"/>
  <c r="AN523" i="1"/>
  <c r="DD520" i="1"/>
  <c r="BP518" i="1"/>
  <c r="AB516" i="1"/>
  <c r="CR513" i="1"/>
  <c r="BD511" i="1"/>
  <c r="DC553" i="1"/>
  <c r="N545" i="1"/>
  <c r="BV557" i="1"/>
  <c r="CP554" i="1"/>
  <c r="BB552" i="1"/>
  <c r="N550" i="1"/>
  <c r="CD547" i="1"/>
  <c r="CM565" i="1"/>
  <c r="AG560" i="1"/>
  <c r="CW557" i="1"/>
  <c r="BI555" i="1"/>
  <c r="U553" i="1"/>
  <c r="CK550" i="1"/>
  <c r="AW548" i="1"/>
  <c r="I546" i="1"/>
  <c r="BG560" i="1"/>
  <c r="G551" i="1"/>
  <c r="CV543" i="1"/>
  <c r="BH541" i="1"/>
  <c r="T539" i="1"/>
  <c r="CJ536" i="1"/>
  <c r="CK576" i="1"/>
  <c r="CG571" i="1"/>
  <c r="BU568" i="1"/>
  <c r="BI565" i="1"/>
  <c r="AG562" i="1"/>
  <c r="H560" i="1"/>
  <c r="CZ556" i="1"/>
  <c r="BX553" i="1"/>
  <c r="BL550" i="1"/>
  <c r="AZ547" i="1"/>
  <c r="K567" i="1"/>
  <c r="CP560" i="1"/>
  <c r="F558" i="1"/>
  <c r="AD555" i="1"/>
  <c r="CT552" i="1"/>
  <c r="BF550" i="1"/>
  <c r="R548" i="1"/>
  <c r="CH545" i="1"/>
  <c r="BY560" i="1"/>
  <c r="AK558" i="1"/>
  <c r="DA555" i="1"/>
  <c r="BM553" i="1"/>
  <c r="Y551" i="1"/>
  <c r="CO548" i="1"/>
  <c r="BA546" i="1"/>
  <c r="M544" i="1"/>
  <c r="BW552" i="1"/>
  <c r="AY544" i="1"/>
  <c r="CZ541" i="1"/>
  <c r="BL539" i="1"/>
  <c r="X537" i="1"/>
  <c r="CN534" i="1"/>
  <c r="AZ532" i="1"/>
  <c r="L530" i="1"/>
  <c r="CB527" i="1"/>
  <c r="AN525" i="1"/>
  <c r="DD522" i="1"/>
  <c r="BP520" i="1"/>
  <c r="AB518" i="1"/>
  <c r="CR515" i="1"/>
  <c r="BD513" i="1"/>
  <c r="K563" i="1"/>
  <c r="BC552" i="1"/>
  <c r="AP544" i="1"/>
  <c r="CU541" i="1"/>
  <c r="BV555" i="1"/>
  <c r="AH553" i="1"/>
  <c r="CX550" i="1"/>
  <c r="BJ548" i="1"/>
  <c r="V546" i="1"/>
  <c r="M561" i="1"/>
  <c r="CC558" i="1"/>
  <c r="AO556" i="1"/>
  <c r="DE553" i="1"/>
  <c r="BQ551" i="1"/>
  <c r="AC549" i="1"/>
  <c r="CS546" i="1"/>
  <c r="BE544" i="1"/>
  <c r="AI554" i="1"/>
  <c r="AE545" i="1"/>
  <c r="AN542" i="1"/>
  <c r="DD539" i="1"/>
  <c r="BP537" i="1"/>
  <c r="AB535" i="1"/>
  <c r="CR532" i="1"/>
  <c r="BD530" i="1"/>
  <c r="P528" i="1"/>
  <c r="CF525" i="1"/>
  <c r="AR523" i="1"/>
  <c r="DH520" i="1"/>
  <c r="BT518" i="1"/>
  <c r="AF516" i="1"/>
  <c r="CV513" i="1"/>
  <c r="BH511" i="1"/>
  <c r="O554" i="1"/>
  <c r="V545" i="1"/>
  <c r="AI542" i="1"/>
  <c r="BB555" i="1"/>
  <c r="N553" i="1"/>
  <c r="CD550" i="1"/>
  <c r="AP548" i="1"/>
  <c r="DF545" i="1"/>
  <c r="CW560" i="1"/>
  <c r="BI558" i="1"/>
  <c r="U556" i="1"/>
  <c r="CK553" i="1"/>
  <c r="AW551" i="1"/>
  <c r="I549" i="1"/>
  <c r="BY546" i="1"/>
  <c r="AK544" i="1"/>
  <c r="BK553" i="1"/>
  <c r="CU544" i="1"/>
  <c r="T542" i="1"/>
  <c r="CJ539" i="1"/>
  <c r="AV537" i="1"/>
  <c r="H535" i="1"/>
  <c r="BX532" i="1"/>
  <c r="AJ530" i="1"/>
  <c r="CZ527" i="1"/>
  <c r="BL525" i="1"/>
  <c r="X523" i="1"/>
  <c r="CN520" i="1"/>
  <c r="AZ518" i="1"/>
  <c r="L516" i="1"/>
  <c r="CB513" i="1"/>
  <c r="AN511" i="1"/>
  <c r="AQ553" i="1"/>
  <c r="CL544" i="1"/>
  <c r="BB557" i="1"/>
  <c r="BZ554" i="1"/>
  <c r="AL552" i="1"/>
  <c r="DB549" i="1"/>
  <c r="BN547" i="1"/>
  <c r="AA565" i="1"/>
  <c r="Q560" i="1"/>
  <c r="CG557" i="1"/>
  <c r="AS555" i="1"/>
  <c r="DI552" i="1"/>
  <c r="BU550" i="1"/>
  <c r="AG548" i="1"/>
  <c r="CW545" i="1"/>
  <c r="CY559" i="1"/>
  <c r="AY550" i="1"/>
  <c r="CF543" i="1"/>
  <c r="AR541" i="1"/>
  <c r="DH538" i="1"/>
  <c r="Y576" i="1"/>
  <c r="BQ571" i="1"/>
  <c r="BE568" i="1"/>
  <c r="AC565" i="1"/>
  <c r="AE567" i="1"/>
  <c r="CV559" i="1"/>
  <c r="BT556" i="1"/>
  <c r="BH553" i="1"/>
  <c r="AV550" i="1"/>
  <c r="T547" i="1"/>
  <c r="BC566" i="1"/>
  <c r="BZ560" i="1"/>
  <c r="CT557" i="1"/>
  <c r="N555" i="1"/>
  <c r="CD552" i="1"/>
  <c r="AP550" i="1"/>
  <c r="DF547" i="1"/>
  <c r="CQ566" i="1"/>
  <c r="BI560" i="1"/>
  <c r="U558" i="1"/>
  <c r="CK555" i="1"/>
  <c r="AW553" i="1"/>
  <c r="I551" i="1"/>
  <c r="BY548" i="1"/>
  <c r="AK546" i="1"/>
  <c r="CK561" i="1"/>
  <c r="K552" i="1"/>
  <c r="W544" i="1"/>
  <c r="CJ541" i="1"/>
  <c r="AV539" i="1"/>
  <c r="H537" i="1"/>
  <c r="BX534" i="1"/>
  <c r="AJ532" i="1"/>
  <c r="CZ529" i="1"/>
  <c r="BL527" i="1"/>
  <c r="X525" i="1"/>
  <c r="CN522" i="1"/>
  <c r="AZ520" i="1"/>
  <c r="L518" i="1"/>
  <c r="CB515" i="1"/>
  <c r="AN513" i="1"/>
  <c r="AW561" i="1"/>
  <c r="CU551" i="1"/>
  <c r="P544" i="1"/>
  <c r="CE541" i="1"/>
  <c r="BF555" i="1"/>
  <c r="R553" i="1"/>
  <c r="CH550" i="1"/>
  <c r="AT548" i="1"/>
  <c r="F546" i="1"/>
  <c r="DA560" i="1"/>
  <c r="BM558" i="1"/>
  <c r="Y556" i="1"/>
  <c r="CO553" i="1"/>
  <c r="BA551" i="1"/>
  <c r="M549" i="1"/>
  <c r="CC546" i="1"/>
  <c r="AO544" i="1"/>
  <c r="CA553" i="1"/>
  <c r="DC544" i="1"/>
  <c r="X542" i="1"/>
  <c r="CN539" i="1"/>
  <c r="AZ537" i="1"/>
  <c r="L535" i="1"/>
  <c r="CB532" i="1"/>
  <c r="AN530" i="1"/>
  <c r="DD527" i="1"/>
  <c r="BP525" i="1"/>
  <c r="AB523" i="1"/>
  <c r="CR520" i="1"/>
  <c r="BD518" i="1"/>
  <c r="P516" i="1"/>
  <c r="CF513" i="1"/>
  <c r="AR511" i="1"/>
  <c r="BG553" i="1"/>
  <c r="CT544" i="1"/>
  <c r="S542" i="1"/>
  <c r="AL555" i="1"/>
  <c r="DB552" i="1"/>
  <c r="BN550" i="1"/>
  <c r="Z548" i="1"/>
  <c r="CP545" i="1"/>
  <c r="CG560" i="1"/>
  <c r="AS558" i="1"/>
  <c r="DI555" i="1"/>
  <c r="BU553" i="1"/>
  <c r="AG551" i="1"/>
  <c r="CW548" i="1"/>
  <c r="BI546" i="1"/>
  <c r="U544" i="1"/>
  <c r="DC552" i="1"/>
  <c r="BO544" i="1"/>
  <c r="DH541" i="1"/>
  <c r="BT539" i="1"/>
  <c r="AF537" i="1"/>
  <c r="CV534" i="1"/>
  <c r="BH532" i="1"/>
  <c r="T530" i="1"/>
  <c r="CJ527" i="1"/>
  <c r="AV525" i="1"/>
  <c r="H523" i="1"/>
  <c r="BX520" i="1"/>
  <c r="AJ518" i="1"/>
  <c r="CZ515" i="1"/>
  <c r="BL513" i="1"/>
  <c r="X511" i="1"/>
  <c r="CI552" i="1"/>
  <c r="BF544" i="1"/>
  <c r="AH557" i="1"/>
  <c r="BJ554" i="1"/>
  <c r="V552" i="1"/>
  <c r="CL549" i="1"/>
  <c r="AX547" i="1"/>
  <c r="BS564" i="1"/>
  <c r="DE559" i="1"/>
  <c r="BQ557" i="1"/>
  <c r="AC555" i="1"/>
  <c r="CS552" i="1"/>
  <c r="BE550" i="1"/>
  <c r="Q548" i="1"/>
  <c r="CG545" i="1"/>
  <c r="AM559" i="1"/>
  <c r="CQ549" i="1"/>
  <c r="BP543" i="1"/>
  <c r="AB541" i="1"/>
  <c r="CR538" i="1"/>
  <c r="BD536" i="1"/>
  <c r="P534" i="1"/>
  <c r="CF531" i="1"/>
  <c r="AR529" i="1"/>
  <c r="DH526" i="1"/>
  <c r="BT524" i="1"/>
  <c r="AF522" i="1"/>
  <c r="CV519" i="1"/>
  <c r="BH517" i="1"/>
  <c r="T515" i="1"/>
  <c r="CJ512" i="1"/>
  <c r="S559" i="1"/>
  <c r="AB533" i="1"/>
  <c r="P530" i="1"/>
  <c r="CR526" i="1"/>
  <c r="CF523" i="1"/>
  <c r="BT520" i="1"/>
  <c r="AR517" i="1"/>
  <c r="AF514" i="1"/>
  <c r="T511" i="1"/>
  <c r="CQ550" i="1"/>
  <c r="CQ543" i="1"/>
  <c r="CY540" i="1"/>
  <c r="BK538" i="1"/>
  <c r="W536" i="1"/>
  <c r="CM533" i="1"/>
  <c r="AY531" i="1"/>
  <c r="K529" i="1"/>
  <c r="CA526" i="1"/>
  <c r="AM524" i="1"/>
  <c r="DC521" i="1"/>
  <c r="BO519" i="1"/>
  <c r="AA517" i="1"/>
  <c r="CQ514" i="1"/>
  <c r="BC512" i="1"/>
  <c r="CY557" i="1"/>
  <c r="AY548" i="1"/>
  <c r="AD543" i="1"/>
  <c r="CT540" i="1"/>
  <c r="BF538" i="1"/>
  <c r="R536" i="1"/>
  <c r="CH533" i="1"/>
  <c r="AT531" i="1"/>
  <c r="Y543" i="1"/>
  <c r="CC533" i="1"/>
  <c r="AP527" i="1"/>
  <c r="AV511" i="1"/>
  <c r="BW553" i="1"/>
  <c r="DB544" i="1"/>
  <c r="W542" i="1"/>
  <c r="DF555" i="1"/>
  <c r="BN553" i="1"/>
  <c r="Z551" i="1"/>
  <c r="CP548" i="1"/>
  <c r="BB546" i="1"/>
  <c r="BA561" i="1"/>
  <c r="DI558" i="1"/>
  <c r="BU556" i="1"/>
  <c r="AG554" i="1"/>
  <c r="CW551" i="1"/>
  <c r="BI549" i="1"/>
  <c r="U547" i="1"/>
  <c r="CK544" i="1"/>
  <c r="BC555" i="1"/>
  <c r="DG545" i="1"/>
  <c r="BT542" i="1"/>
  <c r="AF540" i="1"/>
  <c r="CV537" i="1"/>
  <c r="BH535" i="1"/>
  <c r="T533" i="1"/>
  <c r="CJ530" i="1"/>
  <c r="AV528" i="1"/>
  <c r="H526" i="1"/>
  <c r="BX523" i="1"/>
  <c r="AJ521" i="1"/>
  <c r="CZ518" i="1"/>
  <c r="BL516" i="1"/>
  <c r="X514" i="1"/>
  <c r="CN511" i="1"/>
  <c r="AI555" i="1"/>
  <c r="CM545" i="1"/>
  <c r="BO542" i="1"/>
  <c r="CH555" i="1"/>
  <c r="AT553" i="1"/>
  <c r="F551" i="1"/>
  <c r="BV548" i="1"/>
  <c r="AH546" i="1"/>
  <c r="Y561" i="1"/>
  <c r="CO558" i="1"/>
  <c r="BA556" i="1"/>
  <c r="M554" i="1"/>
  <c r="CC551" i="1"/>
  <c r="AO549" i="1"/>
  <c r="DE546" i="1"/>
  <c r="BQ544" i="1"/>
  <c r="CE554" i="1"/>
  <c r="BC545" i="1"/>
  <c r="AZ542" i="1"/>
  <c r="L540" i="1"/>
  <c r="CB537" i="1"/>
  <c r="AN535" i="1"/>
  <c r="DD532" i="1"/>
  <c r="BP530" i="1"/>
  <c r="AB528" i="1"/>
  <c r="CR525" i="1"/>
  <c r="BD523" i="1"/>
  <c r="P521" i="1"/>
  <c r="CF518" i="1"/>
  <c r="AR516" i="1"/>
  <c r="DH513" i="1"/>
  <c r="BT511" i="1"/>
  <c r="BK554" i="1"/>
  <c r="AT545" i="1"/>
  <c r="AU542" i="1"/>
  <c r="DF554" i="1"/>
  <c r="BR552" i="1"/>
  <c r="AD550" i="1"/>
  <c r="CT547" i="1"/>
  <c r="AU566" i="1"/>
  <c r="AW560" i="1"/>
  <c r="I558" i="1"/>
  <c r="BY555" i="1"/>
  <c r="AK553" i="1"/>
  <c r="DA550" i="1"/>
  <c r="BM548" i="1"/>
  <c r="Y546" i="1"/>
  <c r="O561" i="1"/>
  <c r="BS551" i="1"/>
  <c r="H544" i="1"/>
  <c r="BX541" i="1"/>
  <c r="AJ539" i="1"/>
  <c r="CZ536" i="1"/>
  <c r="BL534" i="1"/>
  <c r="DI574" i="1"/>
  <c r="U571" i="1"/>
  <c r="I568" i="1"/>
  <c r="DA564" i="1"/>
  <c r="BC565" i="1"/>
  <c r="AZ559" i="1"/>
  <c r="AN556" i="1"/>
  <c r="L553" i="1"/>
  <c r="DD549" i="1"/>
  <c r="CR546" i="1"/>
  <c r="CA564" i="1"/>
  <c r="AD560" i="1"/>
  <c r="BR557" i="1"/>
  <c r="CL554" i="1"/>
  <c r="AX552" i="1"/>
  <c r="J550" i="1"/>
  <c r="BZ547" i="1"/>
  <c r="BW565" i="1"/>
  <c r="AC560" i="1"/>
  <c r="CS557" i="1"/>
  <c r="BE555" i="1"/>
  <c r="Q553" i="1"/>
  <c r="CG550" i="1"/>
  <c r="AS548" i="1"/>
  <c r="DI545" i="1"/>
  <c r="AQ560" i="1"/>
  <c r="CU550" i="1"/>
  <c r="CR543" i="1"/>
  <c r="BD541" i="1"/>
  <c r="P539" i="1"/>
  <c r="CF536" i="1"/>
  <c r="AR534" i="1"/>
  <c r="DH531" i="1"/>
  <c r="BT529" i="1"/>
  <c r="AF527" i="1"/>
  <c r="CV524" i="1"/>
  <c r="BH522" i="1"/>
  <c r="T520" i="1"/>
  <c r="CJ517" i="1"/>
  <c r="AV515" i="1"/>
  <c r="H513" i="1"/>
  <c r="W560" i="1"/>
  <c r="CA550" i="1"/>
  <c r="CM543" i="1"/>
  <c r="AY541" i="1"/>
  <c r="Z555" i="1"/>
  <c r="CP552" i="1"/>
  <c r="BB550" i="1"/>
  <c r="N548" i="1"/>
  <c r="CD545" i="1"/>
  <c r="BU560" i="1"/>
  <c r="AG558" i="1"/>
  <c r="CW555" i="1"/>
  <c r="BI553" i="1"/>
  <c r="U551" i="1"/>
  <c r="CK548" i="1"/>
  <c r="AW546" i="1"/>
  <c r="AA563" i="1"/>
  <c r="BG552" i="1"/>
  <c r="AQ544" i="1"/>
  <c r="CV541" i="1"/>
  <c r="BH539" i="1"/>
  <c r="T537" i="1"/>
  <c r="CJ534" i="1"/>
  <c r="AV532" i="1"/>
  <c r="H530" i="1"/>
  <c r="BX527" i="1"/>
  <c r="AJ525" i="1"/>
  <c r="CZ522" i="1"/>
  <c r="BL520" i="1"/>
  <c r="X518" i="1"/>
  <c r="CN515" i="1"/>
  <c r="AZ513" i="1"/>
  <c r="BC562" i="1"/>
  <c r="AM552" i="1"/>
  <c r="AH544" i="1"/>
  <c r="CQ541" i="1"/>
  <c r="F555" i="1"/>
  <c r="BV552" i="1"/>
  <c r="AH550" i="1"/>
  <c r="CX547" i="1"/>
  <c r="BK566" i="1"/>
  <c r="BA560" i="1"/>
  <c r="M558" i="1"/>
  <c r="CC555" i="1"/>
  <c r="AO553" i="1"/>
  <c r="DE550" i="1"/>
  <c r="BQ548" i="1"/>
  <c r="AC546" i="1"/>
  <c r="AE561" i="1"/>
  <c r="CI551" i="1"/>
  <c r="L544" i="1"/>
  <c r="CB541" i="1"/>
  <c r="AN539" i="1"/>
  <c r="DD536" i="1"/>
  <c r="BP534" i="1"/>
  <c r="AB532" i="1"/>
  <c r="CR529" i="1"/>
  <c r="BD527" i="1"/>
  <c r="P525" i="1"/>
  <c r="CF522" i="1"/>
  <c r="AR520" i="1"/>
  <c r="DH517" i="1"/>
  <c r="BT515" i="1"/>
  <c r="AF513" i="1"/>
  <c r="K561" i="1"/>
  <c r="BO551" i="1"/>
  <c r="G544" i="1"/>
  <c r="CT556" i="1"/>
  <c r="AD554" i="1"/>
  <c r="CT551" i="1"/>
  <c r="BF549" i="1"/>
  <c r="R547" i="1"/>
  <c r="AY563" i="1"/>
  <c r="BY559" i="1"/>
  <c r="AK557" i="1"/>
  <c r="DA554" i="1"/>
  <c r="BM552" i="1"/>
  <c r="Y550" i="1"/>
  <c r="CO547" i="1"/>
  <c r="BA545" i="1"/>
  <c r="S558" i="1"/>
  <c r="BW548" i="1"/>
  <c r="AJ543" i="1"/>
  <c r="CZ540" i="1"/>
  <c r="BL538" i="1"/>
  <c r="X536" i="1"/>
  <c r="AW574" i="1"/>
  <c r="DI570" i="1"/>
  <c r="CW567" i="1"/>
  <c r="BU564" i="1"/>
  <c r="CU564" i="1"/>
  <c r="AJ559" i="1"/>
  <c r="H556" i="1"/>
  <c r="CZ552" i="1"/>
  <c r="CN549" i="1"/>
  <c r="BL546" i="1"/>
  <c r="O564" i="1"/>
  <c r="N560" i="1"/>
  <c r="AX557" i="1"/>
  <c r="BV554" i="1"/>
  <c r="AH552" i="1"/>
  <c r="CX549" i="1"/>
  <c r="BJ547" i="1"/>
  <c r="K565" i="1"/>
  <c r="M560" i="1"/>
  <c r="CC557" i="1"/>
  <c r="AO555" i="1"/>
  <c r="DE552" i="1"/>
  <c r="BQ550" i="1"/>
  <c r="AC548" i="1"/>
  <c r="CS545" i="1"/>
  <c r="CI559" i="1"/>
  <c r="AI550" i="1"/>
  <c r="CB543" i="1"/>
  <c r="AN541" i="1"/>
  <c r="DD538" i="1"/>
  <c r="BP536" i="1"/>
  <c r="AB534" i="1"/>
  <c r="CR531" i="1"/>
  <c r="BD529" i="1"/>
  <c r="P527" i="1"/>
  <c r="CF524" i="1"/>
  <c r="AR522" i="1"/>
  <c r="DH519" i="1"/>
  <c r="BT517" i="1"/>
  <c r="AF515" i="1"/>
  <c r="CV512" i="1"/>
  <c r="BO559" i="1"/>
  <c r="O550" i="1"/>
  <c r="BW543" i="1"/>
  <c r="AI541" i="1"/>
  <c r="J555" i="1"/>
  <c r="BZ552" i="1"/>
  <c r="AL550" i="1"/>
  <c r="DB547" i="1"/>
  <c r="CA566" i="1"/>
  <c r="BE560" i="1"/>
  <c r="Q558" i="1"/>
  <c r="CG555" i="1"/>
  <c r="AS553" i="1"/>
  <c r="DI550" i="1"/>
  <c r="BU548" i="1"/>
  <c r="AG546" i="1"/>
  <c r="BE561" i="1"/>
  <c r="CY551" i="1"/>
  <c r="R544" i="1"/>
  <c r="CF541" i="1"/>
  <c r="AR539" i="1"/>
  <c r="DH536" i="1"/>
  <c r="BT534" i="1"/>
  <c r="AF532" i="1"/>
  <c r="CV529" i="1"/>
  <c r="BH527" i="1"/>
  <c r="T525" i="1"/>
  <c r="CJ522" i="1"/>
  <c r="AV520" i="1"/>
  <c r="H518" i="1"/>
  <c r="BX515" i="1"/>
  <c r="AJ513" i="1"/>
  <c r="AA561" i="1"/>
  <c r="CE551" i="1"/>
  <c r="K544" i="1"/>
  <c r="CD557" i="1"/>
  <c r="CT554" i="1"/>
  <c r="BF552" i="1"/>
  <c r="R550" i="1"/>
  <c r="CH547" i="1"/>
  <c r="DC565" i="1"/>
  <c r="AK560" i="1"/>
  <c r="DA557" i="1"/>
  <c r="BM555" i="1"/>
  <c r="Y553" i="1"/>
  <c r="CO550" i="1"/>
  <c r="BA548" i="1"/>
  <c r="M546" i="1"/>
  <c r="BW560" i="1"/>
  <c r="W551" i="1"/>
  <c r="CZ543" i="1"/>
  <c r="BL541" i="1"/>
  <c r="X539" i="1"/>
  <c r="CN536" i="1"/>
  <c r="AZ534" i="1"/>
  <c r="L532" i="1"/>
  <c r="CB529" i="1"/>
  <c r="AN527" i="1"/>
  <c r="DD524" i="1"/>
  <c r="BP522" i="1"/>
  <c r="AB520" i="1"/>
  <c r="CR517" i="1"/>
  <c r="BD515" i="1"/>
  <c r="P513" i="1"/>
  <c r="BC560" i="1"/>
  <c r="DG550" i="1"/>
  <c r="CU543" i="1"/>
  <c r="BZ556" i="1"/>
  <c r="N554" i="1"/>
  <c r="CD551" i="1"/>
  <c r="AP549" i="1"/>
  <c r="DF546" i="1"/>
  <c r="CQ562" i="1"/>
  <c r="BI559" i="1"/>
  <c r="U557" i="1"/>
  <c r="CK554" i="1"/>
  <c r="AW552" i="1"/>
  <c r="I550" i="1"/>
  <c r="BY547" i="1"/>
  <c r="AK545" i="1"/>
  <c r="BK557" i="1"/>
  <c r="K548" i="1"/>
  <c r="T543" i="1"/>
  <c r="CJ540" i="1"/>
  <c r="AV538" i="1"/>
  <c r="DE573" i="1"/>
  <c r="CS570" i="1"/>
  <c r="BQ567" i="1"/>
  <c r="BE564" i="1"/>
  <c r="AI564" i="1"/>
  <c r="DH558" i="1"/>
  <c r="CV555" i="1"/>
  <c r="CJ552" i="1"/>
  <c r="BH549" i="1"/>
  <c r="AV546" i="1"/>
  <c r="BG563" i="1"/>
  <c r="CL559" i="1"/>
  <c r="Z557" i="1"/>
  <c r="BF554" i="1"/>
  <c r="R552" i="1"/>
  <c r="CH549" i="1"/>
  <c r="AT547" i="1"/>
  <c r="BC564" i="1"/>
  <c r="DA559" i="1"/>
  <c r="BM557" i="1"/>
  <c r="Y555" i="1"/>
  <c r="CO552" i="1"/>
  <c r="BA550" i="1"/>
  <c r="M548" i="1"/>
  <c r="CC545" i="1"/>
  <c r="W559" i="1"/>
  <c r="CA549" i="1"/>
  <c r="BL543" i="1"/>
  <c r="X541" i="1"/>
  <c r="CN538" i="1"/>
  <c r="AZ536" i="1"/>
  <c r="L534" i="1"/>
  <c r="CB531" i="1"/>
  <c r="AN529" i="1"/>
  <c r="DD526" i="1"/>
  <c r="BP524" i="1"/>
  <c r="AB522" i="1"/>
  <c r="CR519" i="1"/>
  <c r="BD517" i="1"/>
  <c r="P515" i="1"/>
  <c r="CF512" i="1"/>
  <c r="DG558" i="1"/>
  <c r="BG549" i="1"/>
  <c r="BG543" i="1"/>
  <c r="CH557" i="1"/>
  <c r="CX554" i="1"/>
  <c r="BJ552" i="1"/>
  <c r="V550" i="1"/>
  <c r="CL547" i="1"/>
  <c r="O566" i="1"/>
  <c r="AO560" i="1"/>
  <c r="DE557" i="1"/>
  <c r="BQ555" i="1"/>
  <c r="AC553" i="1"/>
  <c r="CS550" i="1"/>
  <c r="BE548" i="1"/>
  <c r="Q546" i="1"/>
  <c r="CM560" i="1"/>
  <c r="AM551" i="1"/>
  <c r="DD543" i="1"/>
  <c r="BP541" i="1"/>
  <c r="AB539" i="1"/>
  <c r="CR536" i="1"/>
  <c r="BD534" i="1"/>
  <c r="P532" i="1"/>
  <c r="CF529" i="1"/>
  <c r="AR527" i="1"/>
  <c r="DH524" i="1"/>
  <c r="BT522" i="1"/>
  <c r="AF520" i="1"/>
  <c r="CV517" i="1"/>
  <c r="BH515" i="1"/>
  <c r="T513" i="1"/>
  <c r="BS560" i="1"/>
  <c r="S551" i="1"/>
  <c r="CY543" i="1"/>
  <c r="BF557" i="1"/>
  <c r="CD554" i="1"/>
  <c r="AP552" i="1"/>
  <c r="DF549" i="1"/>
  <c r="BR547" i="1"/>
  <c r="AQ565" i="1"/>
  <c r="U560" i="1"/>
  <c r="CK557" i="1"/>
  <c r="AW555" i="1"/>
  <c r="I553" i="1"/>
  <c r="BY550" i="1"/>
  <c r="AK548" i="1"/>
  <c r="DA545" i="1"/>
  <c r="K560" i="1"/>
  <c r="BO550" i="1"/>
  <c r="CJ543" i="1"/>
  <c r="AV541" i="1"/>
  <c r="H539" i="1"/>
  <c r="BX536" i="1"/>
  <c r="AJ534" i="1"/>
  <c r="CZ531" i="1"/>
  <c r="BL529" i="1"/>
  <c r="X527" i="1"/>
  <c r="CN524" i="1"/>
  <c r="AZ522" i="1"/>
  <c r="L520" i="1"/>
  <c r="CB517" i="1"/>
  <c r="AN515" i="1"/>
  <c r="DD512" i="1"/>
  <c r="CU559" i="1"/>
  <c r="AU550" i="1"/>
  <c r="CE543" i="1"/>
  <c r="BB556" i="1"/>
  <c r="DB553" i="1"/>
  <c r="BN551" i="1"/>
  <c r="Z549" i="1"/>
  <c r="CP546" i="1"/>
  <c r="AE562" i="1"/>
  <c r="AS559" i="1"/>
  <c r="DI556" i="1"/>
  <c r="BU554" i="1"/>
  <c r="AG552" i="1"/>
  <c r="CW549" i="1"/>
  <c r="BI547" i="1"/>
  <c r="U545" i="1"/>
  <c r="DC556" i="1"/>
  <c r="BC547" i="1"/>
  <c r="DH542" i="1"/>
  <c r="BT540" i="1"/>
  <c r="AF538" i="1"/>
  <c r="CV535" i="1"/>
  <c r="BH533" i="1"/>
  <c r="T531" i="1"/>
  <c r="CJ528" i="1"/>
  <c r="AV526" i="1"/>
  <c r="H524" i="1"/>
  <c r="BX521" i="1"/>
  <c r="AJ519" i="1"/>
  <c r="CZ516" i="1"/>
  <c r="BL514" i="1"/>
  <c r="X512" i="1"/>
  <c r="CI556" i="1"/>
  <c r="BD532" i="1"/>
  <c r="AB529" i="1"/>
  <c r="P526" i="1"/>
  <c r="DH522" i="1"/>
  <c r="CF519" i="1"/>
  <c r="BT516" i="1"/>
  <c r="BH513" i="1"/>
  <c r="BK558" i="1"/>
  <c r="BC548" i="1"/>
  <c r="AE543" i="1"/>
  <c r="AM540" i="1"/>
  <c r="DC537" i="1"/>
  <c r="BO535" i="1"/>
  <c r="AA533" i="1"/>
  <c r="CQ530" i="1"/>
  <c r="BC528" i="1"/>
  <c r="O526" i="1"/>
  <c r="CE523" i="1"/>
  <c r="AQ521" i="1"/>
  <c r="DG518" i="1"/>
  <c r="BS516" i="1"/>
  <c r="AE514" i="1"/>
  <c r="CU511" i="1"/>
  <c r="BK555" i="1"/>
  <c r="K546" i="1"/>
  <c r="BV542" i="1"/>
  <c r="AH540" i="1"/>
  <c r="CX537" i="1"/>
  <c r="BJ535" i="1"/>
  <c r="V533" i="1"/>
  <c r="CL530" i="1"/>
  <c r="CO540" i="1"/>
  <c r="AO531" i="1"/>
  <c r="CI560" i="1"/>
  <c r="AI551" i="1"/>
  <c r="DC543" i="1"/>
  <c r="BO541" i="1"/>
  <c r="AP555" i="1"/>
  <c r="DF552" i="1"/>
  <c r="BR550" i="1"/>
  <c r="AD548" i="1"/>
  <c r="CT545" i="1"/>
  <c r="CK560" i="1"/>
  <c r="AW558" i="1"/>
  <c r="I556" i="1"/>
  <c r="BY553" i="1"/>
  <c r="AK551" i="1"/>
  <c r="DA548" i="1"/>
  <c r="BM546" i="1"/>
  <c r="Y544" i="1"/>
  <c r="O553" i="1"/>
  <c r="BW544" i="1"/>
  <c r="H542" i="1"/>
  <c r="BX539" i="1"/>
  <c r="AJ537" i="1"/>
  <c r="CZ534" i="1"/>
  <c r="BL532" i="1"/>
  <c r="X530" i="1"/>
  <c r="CN527" i="1"/>
  <c r="AZ525" i="1"/>
  <c r="L523" i="1"/>
  <c r="CB520" i="1"/>
  <c r="AN518" i="1"/>
  <c r="DD515" i="1"/>
  <c r="BP513" i="1"/>
  <c r="AB511" i="1"/>
  <c r="CY552" i="1"/>
  <c r="BN544" i="1"/>
  <c r="DG541" i="1"/>
  <c r="V555" i="1"/>
  <c r="CL552" i="1"/>
  <c r="AX550" i="1"/>
  <c r="J548" i="1"/>
  <c r="S567" i="1"/>
  <c r="BQ560" i="1"/>
  <c r="AC558" i="1"/>
  <c r="CS555" i="1"/>
  <c r="BE553" i="1"/>
  <c r="Q551" i="1"/>
  <c r="CG548" i="1"/>
  <c r="AS546" i="1"/>
  <c r="BS562" i="1"/>
  <c r="AQ552" i="1"/>
  <c r="AI544" i="1"/>
  <c r="CR541" i="1"/>
  <c r="BD539" i="1"/>
  <c r="P537" i="1"/>
  <c r="CF534" i="1"/>
  <c r="AR532" i="1"/>
  <c r="DH529" i="1"/>
  <c r="BT527" i="1"/>
  <c r="AF525" i="1"/>
  <c r="CV522" i="1"/>
  <c r="BH520" i="1"/>
  <c r="T518" i="1"/>
  <c r="CJ515" i="1"/>
  <c r="AV513" i="1"/>
  <c r="DI561" i="1"/>
  <c r="W552" i="1"/>
  <c r="AA544" i="1"/>
  <c r="J557" i="1"/>
  <c r="AT554" i="1"/>
  <c r="F552" i="1"/>
  <c r="BV549" i="1"/>
  <c r="AH547" i="1"/>
  <c r="G564" i="1"/>
  <c r="CO559" i="1"/>
  <c r="BA557" i="1"/>
  <c r="M555" i="1"/>
  <c r="CC552" i="1"/>
  <c r="AO550" i="1"/>
  <c r="DE547" i="1"/>
  <c r="BQ545" i="1"/>
  <c r="CE558" i="1"/>
  <c r="AE549" i="1"/>
  <c r="AZ543" i="1"/>
  <c r="L541" i="1"/>
  <c r="CB538" i="1"/>
  <c r="AN536" i="1"/>
  <c r="DD533" i="1"/>
  <c r="BI573" i="1"/>
  <c r="AW570" i="1"/>
  <c r="AK567" i="1"/>
  <c r="I564" i="1"/>
  <c r="BG562" i="1"/>
  <c r="CB558" i="1"/>
  <c r="AZ555" i="1"/>
  <c r="AN552" i="1"/>
  <c r="AB549" i="1"/>
  <c r="DD545" i="1"/>
  <c r="CA565" i="1"/>
  <c r="BF559" i="1"/>
  <c r="CP556" i="1"/>
  <c r="Z554" i="1"/>
  <c r="CP551" i="1"/>
  <c r="BB549" i="1"/>
  <c r="N547" i="1"/>
  <c r="AI563" i="1"/>
  <c r="BU559" i="1"/>
  <c r="AG557" i="1"/>
  <c r="CW554" i="1"/>
  <c r="BI552" i="1"/>
  <c r="U550" i="1"/>
  <c r="CK547" i="1"/>
  <c r="AW545" i="1"/>
  <c r="DG557" i="1"/>
  <c r="BG548" i="1"/>
  <c r="AF543" i="1"/>
  <c r="CV540" i="1"/>
  <c r="BH538" i="1"/>
  <c r="T536" i="1"/>
  <c r="CJ533" i="1"/>
  <c r="AV531" i="1"/>
  <c r="H529" i="1"/>
  <c r="BX526" i="1"/>
  <c r="AJ524" i="1"/>
  <c r="CZ521" i="1"/>
  <c r="BL519" i="1"/>
  <c r="X517" i="1"/>
  <c r="CN514" i="1"/>
  <c r="AZ512" i="1"/>
  <c r="CM557" i="1"/>
  <c r="AM548" i="1"/>
  <c r="AA543" i="1"/>
  <c r="AP557" i="1"/>
  <c r="BR554" i="1"/>
  <c r="AD552" i="1"/>
  <c r="CT549" i="1"/>
  <c r="BF547" i="1"/>
  <c r="CY564" i="1"/>
  <c r="I560" i="1"/>
  <c r="BY557" i="1"/>
  <c r="AK555" i="1"/>
  <c r="DA552" i="1"/>
  <c r="BM550" i="1"/>
  <c r="Y548" i="1"/>
  <c r="CO545" i="1"/>
  <c r="BS559" i="1"/>
  <c r="S550" i="1"/>
  <c r="BX543" i="1"/>
  <c r="AJ541" i="1"/>
  <c r="CZ538" i="1"/>
  <c r="BL536" i="1"/>
  <c r="X534" i="1"/>
  <c r="CN531" i="1"/>
  <c r="AZ529" i="1"/>
  <c r="L527" i="1"/>
  <c r="CB524" i="1"/>
  <c r="AN522" i="1"/>
  <c r="DD519" i="1"/>
  <c r="BP517" i="1"/>
  <c r="AB515" i="1"/>
  <c r="CR512" i="1"/>
  <c r="AY559" i="1"/>
  <c r="DC549" i="1"/>
  <c r="BS543" i="1"/>
  <c r="R557" i="1"/>
  <c r="AX554" i="1"/>
  <c r="J552" i="1"/>
  <c r="BZ549" i="1"/>
  <c r="AL547" i="1"/>
  <c r="W564" i="1"/>
  <c r="CS559" i="1"/>
  <c r="BE557" i="1"/>
  <c r="Q555" i="1"/>
  <c r="CG552" i="1"/>
  <c r="AS550" i="1"/>
  <c r="DI547" i="1"/>
  <c r="BU545" i="1"/>
  <c r="CU558" i="1"/>
  <c r="AU549" i="1"/>
  <c r="BD543" i="1"/>
  <c r="P541" i="1"/>
  <c r="CF538" i="1"/>
  <c r="AR536" i="1"/>
  <c r="DH533" i="1"/>
  <c r="BT531" i="1"/>
  <c r="AF529" i="1"/>
  <c r="CV526" i="1"/>
  <c r="BH524" i="1"/>
  <c r="T522" i="1"/>
  <c r="CJ519" i="1"/>
  <c r="AV517" i="1"/>
  <c r="H515" i="1"/>
  <c r="BX512" i="1"/>
  <c r="CA558" i="1"/>
  <c r="AA549" i="1"/>
  <c r="AY543" i="1"/>
  <c r="N556" i="1"/>
  <c r="BV553" i="1"/>
  <c r="AH551" i="1"/>
  <c r="CX548" i="1"/>
  <c r="BJ546" i="1"/>
  <c r="BQ561" i="1"/>
  <c r="M559" i="1"/>
  <c r="CC556" i="1"/>
  <c r="AO554" i="1"/>
  <c r="DE551" i="1"/>
  <c r="BQ549" i="1"/>
  <c r="AC547" i="1"/>
  <c r="CS544" i="1"/>
  <c r="CI555" i="1"/>
  <c r="AI546" i="1"/>
  <c r="CB542" i="1"/>
  <c r="AN540" i="1"/>
  <c r="DD537" i="1"/>
  <c r="BP535" i="1"/>
  <c r="AS573" i="1"/>
  <c r="AG570" i="1"/>
  <c r="DI566" i="1"/>
  <c r="CW563" i="1"/>
  <c r="G562" i="1"/>
  <c r="AV558" i="1"/>
  <c r="AJ555" i="1"/>
  <c r="X552" i="1"/>
  <c r="CZ548" i="1"/>
  <c r="CN545" i="1"/>
  <c r="O565" i="1"/>
  <c r="Z559" i="1"/>
  <c r="BR556" i="1"/>
  <c r="J554" i="1"/>
  <c r="BZ551" i="1"/>
  <c r="AL549" i="1"/>
  <c r="DB546" i="1"/>
  <c r="CA562" i="1"/>
  <c r="BE559" i="1"/>
  <c r="Q557" i="1"/>
  <c r="CG554" i="1"/>
  <c r="AS552" i="1"/>
  <c r="DI549" i="1"/>
  <c r="BU547" i="1"/>
  <c r="AG545" i="1"/>
  <c r="AU557" i="1"/>
  <c r="CY547" i="1"/>
  <c r="P543" i="1"/>
  <c r="CF540" i="1"/>
  <c r="AR538" i="1"/>
  <c r="DH535" i="1"/>
  <c r="BT533" i="1"/>
  <c r="AF531" i="1"/>
  <c r="CV528" i="1"/>
  <c r="BH526" i="1"/>
  <c r="T524" i="1"/>
  <c r="CJ521" i="1"/>
  <c r="AV519" i="1"/>
  <c r="H517" i="1"/>
  <c r="BX514" i="1"/>
  <c r="AJ512" i="1"/>
  <c r="AA557" i="1"/>
  <c r="CE547" i="1"/>
  <c r="K543" i="1"/>
  <c r="V557" i="1"/>
  <c r="BB554" i="1"/>
  <c r="N552" i="1"/>
  <c r="CD549" i="1"/>
  <c r="AP547" i="1"/>
  <c r="AM564" i="1"/>
  <c r="CW559" i="1"/>
  <c r="BI557" i="1"/>
  <c r="U555" i="1"/>
  <c r="CK552" i="1"/>
  <c r="AW550" i="1"/>
  <c r="I548" i="1"/>
  <c r="BY545" i="1"/>
  <c r="G559" i="1"/>
  <c r="BK549" i="1"/>
  <c r="BH543" i="1"/>
  <c r="T541" i="1"/>
  <c r="CJ538" i="1"/>
  <c r="AV536" i="1"/>
  <c r="H534" i="1"/>
  <c r="BX531" i="1"/>
  <c r="AJ529" i="1"/>
  <c r="CZ526" i="1"/>
  <c r="BL524" i="1"/>
  <c r="X522" i="1"/>
  <c r="CN519" i="1"/>
  <c r="AZ517" i="1"/>
  <c r="L515" i="1"/>
  <c r="CB512" i="1"/>
  <c r="CQ558" i="1"/>
  <c r="AQ549" i="1"/>
  <c r="BC543" i="1"/>
  <c r="CX556" i="1"/>
  <c r="AH554" i="1"/>
  <c r="CX551" i="1"/>
  <c r="BJ549" i="1"/>
  <c r="V547" i="1"/>
  <c r="BO563" i="1"/>
  <c r="CC559" i="1"/>
  <c r="AO557" i="1"/>
  <c r="DE554" i="1"/>
  <c r="BQ552" i="1"/>
  <c r="AC550" i="1"/>
  <c r="CS547" i="1"/>
  <c r="BE545" i="1"/>
  <c r="AI558" i="1"/>
  <c r="CM548" i="1"/>
  <c r="AN543" i="1"/>
  <c r="DD540" i="1"/>
  <c r="BP538" i="1"/>
  <c r="AB536" i="1"/>
  <c r="CR533" i="1"/>
  <c r="BD531" i="1"/>
  <c r="P529" i="1"/>
  <c r="CF526" i="1"/>
  <c r="AR524" i="1"/>
  <c r="DH521" i="1"/>
  <c r="BT519" i="1"/>
  <c r="AF517" i="1"/>
  <c r="CV514" i="1"/>
  <c r="BH512" i="1"/>
  <c r="O558" i="1"/>
  <c r="BS548" i="1"/>
  <c r="AI543" i="1"/>
  <c r="CT555" i="1"/>
  <c r="BF553" i="1"/>
  <c r="R551" i="1"/>
  <c r="CH548" i="1"/>
  <c r="AT546" i="1"/>
  <c r="AL561" i="1"/>
  <c r="DA558" i="1"/>
  <c r="BM556" i="1"/>
  <c r="Y554" i="1"/>
  <c r="CO551" i="1"/>
  <c r="BA549" i="1"/>
  <c r="M547" i="1"/>
  <c r="CC544" i="1"/>
  <c r="W555" i="1"/>
  <c r="CA545" i="1"/>
  <c r="BL542" i="1"/>
  <c r="X540" i="1"/>
  <c r="CN537" i="1"/>
  <c r="AC573" i="1"/>
  <c r="DE569" i="1"/>
  <c r="CS566" i="1"/>
  <c r="CG563" i="1"/>
  <c r="AY561" i="1"/>
  <c r="AF558" i="1"/>
  <c r="T555" i="1"/>
  <c r="CV551" i="1"/>
  <c r="CJ548" i="1"/>
  <c r="BX545" i="1"/>
  <c r="CY563" i="1"/>
  <c r="J559" i="1"/>
  <c r="AX556" i="1"/>
  <c r="CX553" i="1"/>
  <c r="BJ551" i="1"/>
  <c r="V549" i="1"/>
  <c r="CL546" i="1"/>
  <c r="Q562" i="1"/>
  <c r="AO559" i="1"/>
  <c r="DE556" i="1"/>
  <c r="BQ554" i="1"/>
  <c r="AC552" i="1"/>
  <c r="CS549" i="1"/>
  <c r="BE547" i="1"/>
  <c r="Q545" i="1"/>
  <c r="CM556" i="1"/>
  <c r="AM547" i="1"/>
  <c r="DD542" i="1"/>
  <c r="BP540" i="1"/>
  <c r="AB538" i="1"/>
  <c r="CR535" i="1"/>
  <c r="BD533" i="1"/>
  <c r="P531" i="1"/>
  <c r="CF528" i="1"/>
  <c r="AR526" i="1"/>
  <c r="DH523" i="1"/>
  <c r="BT521" i="1"/>
  <c r="AF519" i="1"/>
  <c r="CV516" i="1"/>
  <c r="BH514" i="1"/>
  <c r="T512" i="1"/>
  <c r="BS556" i="1"/>
  <c r="S547" i="1"/>
  <c r="CY542" i="1"/>
  <c r="DF556" i="1"/>
  <c r="AL554" i="1"/>
  <c r="DB551" i="1"/>
  <c r="BN549" i="1"/>
  <c r="Z547" i="1"/>
  <c r="CE563" i="1"/>
  <c r="CG559" i="1"/>
  <c r="AS557" i="1"/>
  <c r="DI554" i="1"/>
  <c r="BU552" i="1"/>
  <c r="AG550" i="1"/>
  <c r="CW547" i="1"/>
  <c r="BI545" i="1"/>
  <c r="AY558" i="1"/>
  <c r="DC548" i="1"/>
  <c r="AR543" i="1"/>
  <c r="DH540" i="1"/>
  <c r="BT538" i="1"/>
  <c r="AF536" i="1"/>
  <c r="CV533" i="1"/>
  <c r="BH531" i="1"/>
  <c r="T529" i="1"/>
  <c r="CJ526" i="1"/>
  <c r="AV524" i="1"/>
  <c r="H522" i="1"/>
  <c r="BX519" i="1"/>
  <c r="AJ517" i="1"/>
  <c r="CZ514" i="1"/>
  <c r="BL512" i="1"/>
  <c r="AE558" i="1"/>
  <c r="CI548" i="1"/>
  <c r="AM543" i="1"/>
  <c r="CD556" i="1"/>
  <c r="R554" i="1"/>
  <c r="CH551" i="1"/>
  <c r="AT549" i="1"/>
  <c r="F547" i="1"/>
  <c r="DG562" i="1"/>
  <c r="BM559" i="1"/>
  <c r="Y557" i="1"/>
  <c r="CO554" i="1"/>
  <c r="BA552" i="1"/>
  <c r="M550" i="1"/>
  <c r="CC547" i="1"/>
  <c r="AO545" i="1"/>
  <c r="CA557" i="1"/>
  <c r="AA548" i="1"/>
  <c r="X543" i="1"/>
  <c r="CN540" i="1"/>
  <c r="AZ538" i="1"/>
  <c r="L536" i="1"/>
  <c r="CB533" i="1"/>
  <c r="AN531" i="1"/>
  <c r="DD528" i="1"/>
  <c r="BP526" i="1"/>
  <c r="AB524" i="1"/>
  <c r="CR521" i="1"/>
  <c r="BD519" i="1"/>
  <c r="P517" i="1"/>
  <c r="CF514" i="1"/>
  <c r="AR512" i="1"/>
  <c r="BG557" i="1"/>
  <c r="G548" i="1"/>
  <c r="S543" i="1"/>
  <c r="CD555" i="1"/>
  <c r="AP553" i="1"/>
  <c r="DF550" i="1"/>
  <c r="BR548" i="1"/>
  <c r="AD546" i="1"/>
  <c r="U561" i="1"/>
  <c r="CK558" i="1"/>
  <c r="AW556" i="1"/>
  <c r="I554" i="1"/>
  <c r="BY551" i="1"/>
  <c r="AK549" i="1"/>
  <c r="DA546" i="1"/>
  <c r="BM544" i="1"/>
  <c r="BO554" i="1"/>
  <c r="AU545" i="1"/>
  <c r="AV542" i="1"/>
  <c r="H540" i="1"/>
  <c r="BX537" i="1"/>
  <c r="AJ535" i="1"/>
  <c r="CZ532" i="1"/>
  <c r="BL530" i="1"/>
  <c r="X528" i="1"/>
  <c r="CN525" i="1"/>
  <c r="AZ523" i="1"/>
  <c r="L521" i="1"/>
  <c r="CB518" i="1"/>
  <c r="AN516" i="1"/>
  <c r="DD513" i="1"/>
  <c r="BP511" i="1"/>
  <c r="BT536" i="1"/>
  <c r="BP531" i="1"/>
  <c r="BD528" i="1"/>
  <c r="AR525" i="1"/>
  <c r="P522" i="1"/>
  <c r="DH518" i="1"/>
  <c r="CV515" i="1"/>
  <c r="BT512" i="1"/>
  <c r="BO555" i="1"/>
  <c r="O546" i="1"/>
  <c r="BW542" i="1"/>
  <c r="CE539" i="1"/>
  <c r="AQ537" i="1"/>
  <c r="DG534" i="1"/>
  <c r="BS532" i="1"/>
  <c r="AE530" i="1"/>
  <c r="CU527" i="1"/>
  <c r="BG525" i="1"/>
  <c r="S523" i="1"/>
  <c r="CI520" i="1"/>
  <c r="AU518" i="1"/>
  <c r="G516" i="1"/>
  <c r="BW513" i="1"/>
  <c r="AI511" i="1"/>
  <c r="W553" i="1"/>
  <c r="CA544" i="1"/>
  <c r="J542" i="1"/>
  <c r="BZ539" i="1"/>
  <c r="AL537" i="1"/>
  <c r="DB534" i="1"/>
  <c r="BN532" i="1"/>
  <c r="CE557" i="1"/>
  <c r="BA538" i="1"/>
  <c r="CD529" i="1"/>
  <c r="V526" i="1"/>
  <c r="AX521" i="1"/>
  <c r="BZ516" i="1"/>
  <c r="DB511" i="1"/>
  <c r="V509" i="1"/>
  <c r="CL506" i="1"/>
  <c r="AX504" i="1"/>
  <c r="J502" i="1"/>
  <c r="DG539" i="1"/>
  <c r="BS537" i="1"/>
  <c r="AE535" i="1"/>
  <c r="CU532" i="1"/>
  <c r="BG530" i="1"/>
  <c r="S528" i="1"/>
  <c r="CI525" i="1"/>
  <c r="AU523" i="1"/>
  <c r="G521" i="1"/>
  <c r="BW518" i="1"/>
  <c r="AI516" i="1"/>
  <c r="CY513" i="1"/>
  <c r="BK511" i="1"/>
  <c r="AA554" i="1"/>
  <c r="AA545" i="1"/>
  <c r="AL542" i="1"/>
  <c r="DB539" i="1"/>
  <c r="BN537" i="1"/>
  <c r="Z535" i="1"/>
  <c r="CP532" i="1"/>
  <c r="CI562" i="1"/>
  <c r="BE539" i="1"/>
  <c r="AD530" i="1"/>
  <c r="BF525" i="1"/>
  <c r="CH520" i="1"/>
  <c r="F516" i="1"/>
  <c r="AH511" i="1"/>
  <c r="CP508" i="1"/>
  <c r="BB506" i="1"/>
  <c r="N504" i="1"/>
  <c r="CD501" i="1"/>
  <c r="S541" i="1"/>
  <c r="CI538" i="1"/>
  <c r="AU536" i="1"/>
  <c r="G534" i="1"/>
  <c r="BW531" i="1"/>
  <c r="AI529" i="1"/>
  <c r="CY526" i="1"/>
  <c r="BK524" i="1"/>
  <c r="W522" i="1"/>
  <c r="CM519" i="1"/>
  <c r="AY517" i="1"/>
  <c r="K515" i="1"/>
  <c r="CA512" i="1"/>
  <c r="CM558" i="1"/>
  <c r="AM549" i="1"/>
  <c r="BB543" i="1"/>
  <c r="N541" i="1"/>
  <c r="CD538" i="1"/>
  <c r="AP536" i="1"/>
  <c r="DF533" i="1"/>
  <c r="BR531" i="1"/>
  <c r="N544" i="1"/>
  <c r="BQ534" i="1"/>
  <c r="CL527" i="1"/>
  <c r="J523" i="1"/>
  <c r="AL518" i="1"/>
  <c r="BN513" i="1"/>
  <c r="DF509" i="1"/>
  <c r="BR507" i="1"/>
  <c r="AD505" i="1"/>
  <c r="CT502" i="1"/>
  <c r="BF500" i="1"/>
  <c r="DC540" i="1"/>
  <c r="BO538" i="1"/>
  <c r="AA536" i="1"/>
  <c r="CQ533" i="1"/>
  <c r="BC531" i="1"/>
  <c r="O529" i="1"/>
  <c r="CE526" i="1"/>
  <c r="AQ524" i="1"/>
  <c r="DG521" i="1"/>
  <c r="BS519" i="1"/>
  <c r="AE517" i="1"/>
  <c r="CU514" i="1"/>
  <c r="BG512" i="1"/>
  <c r="K558" i="1"/>
  <c r="BO548" i="1"/>
  <c r="AH543" i="1"/>
  <c r="CX540" i="1"/>
  <c r="BJ538" i="1"/>
  <c r="V536" i="1"/>
  <c r="CL533" i="1"/>
  <c r="AX531" i="1"/>
  <c r="AO543" i="1"/>
  <c r="AF534" i="1"/>
  <c r="CB530" i="1"/>
  <c r="AZ527" i="1"/>
  <c r="AN524" i="1"/>
  <c r="AB521" i="1"/>
  <c r="DD517" i="1"/>
  <c r="CR514" i="1"/>
  <c r="CF511" i="1"/>
  <c r="BS552" i="1"/>
  <c r="AX544" i="1"/>
  <c r="AU541" i="1"/>
  <c r="DG538" i="1"/>
  <c r="BS536" i="1"/>
  <c r="AE534" i="1"/>
  <c r="CU531" i="1"/>
  <c r="BG529" i="1"/>
  <c r="S527" i="1"/>
  <c r="CI524" i="1"/>
  <c r="AU522" i="1"/>
  <c r="G520" i="1"/>
  <c r="BW517" i="1"/>
  <c r="AI515" i="1"/>
  <c r="CY512" i="1"/>
  <c r="CA559" i="1"/>
  <c r="AA550" i="1"/>
  <c r="BZ543" i="1"/>
  <c r="AL541" i="1"/>
  <c r="DB538" i="1"/>
  <c r="BN536" i="1"/>
  <c r="Z534" i="1"/>
  <c r="CP531" i="1"/>
  <c r="CU545" i="1"/>
  <c r="BE535" i="1"/>
  <c r="AD528" i="1"/>
  <c r="BF523" i="1"/>
  <c r="CH518" i="1"/>
  <c r="F514" i="1"/>
  <c r="Z510" i="1"/>
  <c r="CP507" i="1"/>
  <c r="BB505" i="1"/>
  <c r="N503" i="1"/>
  <c r="G541" i="1"/>
  <c r="BW538" i="1"/>
  <c r="AI536" i="1"/>
  <c r="CY533" i="1"/>
  <c r="BK531" i="1"/>
  <c r="W529" i="1"/>
  <c r="CM526" i="1"/>
  <c r="AY524" i="1"/>
  <c r="K522" i="1"/>
  <c r="CA519" i="1"/>
  <c r="AM517" i="1"/>
  <c r="DC514" i="1"/>
  <c r="BO512" i="1"/>
  <c r="AQ558" i="1"/>
  <c r="CU548" i="1"/>
  <c r="AP543" i="1"/>
  <c r="DF540" i="1"/>
  <c r="BR538" i="1"/>
  <c r="AD536" i="1"/>
  <c r="CT533" i="1"/>
  <c r="BF531" i="1"/>
  <c r="BU543" i="1"/>
  <c r="U534" i="1"/>
  <c r="BN527" i="1"/>
  <c r="CP522" i="1"/>
  <c r="N518" i="1"/>
  <c r="AP513" i="1"/>
  <c r="CT509" i="1"/>
  <c r="BF507" i="1"/>
  <c r="R505" i="1"/>
  <c r="CH502" i="1"/>
  <c r="AT500" i="1"/>
  <c r="CM539" i="1"/>
  <c r="AY537" i="1"/>
  <c r="K535" i="1"/>
  <c r="CA532" i="1"/>
  <c r="AM530" i="1"/>
  <c r="DC527" i="1"/>
  <c r="BO525" i="1"/>
  <c r="AA523" i="1"/>
  <c r="CQ520" i="1"/>
  <c r="BC518" i="1"/>
  <c r="O516" i="1"/>
  <c r="CE513" i="1"/>
  <c r="AQ511" i="1"/>
  <c r="BC553" i="1"/>
  <c r="CQ544" i="1"/>
  <c r="R542" i="1"/>
  <c r="CH539" i="1"/>
  <c r="AT537" i="1"/>
  <c r="F535" i="1"/>
  <c r="BV532" i="1"/>
  <c r="CY558" i="1"/>
  <c r="CG538" i="1"/>
  <c r="CT529" i="1"/>
  <c r="R525" i="1"/>
  <c r="AT520" i="1"/>
  <c r="BV515" i="1"/>
  <c r="F511" i="1"/>
  <c r="BV508" i="1"/>
  <c r="AH506" i="1"/>
  <c r="CX503" i="1"/>
  <c r="BJ501" i="1"/>
  <c r="V499" i="1"/>
  <c r="BS539" i="1"/>
  <c r="AE537" i="1"/>
  <c r="CU534" i="1"/>
  <c r="BG532" i="1"/>
  <c r="S530" i="1"/>
  <c r="CI527" i="1"/>
  <c r="AU525" i="1"/>
  <c r="G523" i="1"/>
  <c r="BW520" i="1"/>
  <c r="AI518" i="1"/>
  <c r="CY515" i="1"/>
  <c r="BK513" i="1"/>
  <c r="W511" i="1"/>
  <c r="CE552" i="1"/>
  <c r="BC544" i="1"/>
  <c r="DB541" i="1"/>
  <c r="BN539" i="1"/>
  <c r="Z537" i="1"/>
  <c r="CP534" i="1"/>
  <c r="BB532" i="1"/>
  <c r="DC555" i="1"/>
  <c r="DI537" i="1"/>
  <c r="BF529" i="1"/>
  <c r="CJ532" i="1"/>
  <c r="BX529" i="1"/>
  <c r="BL526" i="1"/>
  <c r="AJ523" i="1"/>
  <c r="X520" i="1"/>
  <c r="L517" i="1"/>
  <c r="CN513" i="1"/>
  <c r="AM560" i="1"/>
  <c r="BW549" i="1"/>
  <c r="BK543" i="1"/>
  <c r="BS540" i="1"/>
  <c r="AE538" i="1"/>
  <c r="CU535" i="1"/>
  <c r="BG533" i="1"/>
  <c r="S531" i="1"/>
  <c r="CI528" i="1"/>
  <c r="AU526" i="1"/>
  <c r="G524" i="1"/>
  <c r="BW521" i="1"/>
  <c r="AI519" i="1"/>
  <c r="CY516" i="1"/>
  <c r="BK514" i="1"/>
  <c r="W512" i="1"/>
  <c r="CE556" i="1"/>
  <c r="AE547" i="1"/>
  <c r="DB542" i="1"/>
  <c r="BN540" i="1"/>
  <c r="Z538" i="1"/>
  <c r="CP535" i="1"/>
  <c r="BB533" i="1"/>
  <c r="N531" i="1"/>
  <c r="DI541" i="1"/>
  <c r="BI532" i="1"/>
  <c r="CH526" i="1"/>
  <c r="F522" i="1"/>
  <c r="AH517" i="1"/>
  <c r="BJ512" i="1"/>
  <c r="BB509" i="1"/>
  <c r="N507" i="1"/>
  <c r="CD504" i="1"/>
  <c r="AP502" i="1"/>
  <c r="AI540" i="1"/>
  <c r="CY537" i="1"/>
  <c r="BK535" i="1"/>
  <c r="W533" i="1"/>
  <c r="CM530" i="1"/>
  <c r="AY528" i="1"/>
  <c r="K526" i="1"/>
  <c r="CA523" i="1"/>
  <c r="AM521" i="1"/>
  <c r="DC518" i="1"/>
  <c r="BO516" i="1"/>
  <c r="AA514" i="1"/>
  <c r="CQ511" i="1"/>
  <c r="AU555" i="1"/>
  <c r="CY545" i="1"/>
  <c r="BR542" i="1"/>
  <c r="AD540" i="1"/>
  <c r="CT537" i="1"/>
  <c r="BF535" i="1"/>
  <c r="R533" i="1"/>
  <c r="CH530" i="1"/>
  <c r="BY540" i="1"/>
  <c r="Y531" i="1"/>
  <c r="N526" i="1"/>
  <c r="AP521" i="1"/>
  <c r="BR516" i="1"/>
  <c r="CT511" i="1"/>
  <c r="R509" i="1"/>
  <c r="CH506" i="1"/>
  <c r="AT504" i="1"/>
  <c r="F502" i="1"/>
  <c r="BG541" i="1"/>
  <c r="K539" i="1"/>
  <c r="CA536" i="1"/>
  <c r="AM534" i="1"/>
  <c r="DC531" i="1"/>
  <c r="BO529" i="1"/>
  <c r="AA527" i="1"/>
  <c r="CQ524" i="1"/>
  <c r="BC522" i="1"/>
  <c r="O520" i="1"/>
  <c r="CE517" i="1"/>
  <c r="AQ515" i="1"/>
  <c r="DG512" i="1"/>
  <c r="DG559" i="1"/>
  <c r="BG550" i="1"/>
  <c r="CH543" i="1"/>
  <c r="AT541" i="1"/>
  <c r="F539" i="1"/>
  <c r="BV536" i="1"/>
  <c r="AH534" i="1"/>
  <c r="CX531" i="1"/>
  <c r="K547" i="1"/>
  <c r="CK535" i="1"/>
  <c r="AT528" i="1"/>
  <c r="BV523" i="1"/>
  <c r="CX518" i="1"/>
  <c r="V514" i="1"/>
  <c r="AH510" i="1"/>
  <c r="CX507" i="1"/>
  <c r="BJ505" i="1"/>
  <c r="V503" i="1"/>
  <c r="CL500" i="1"/>
  <c r="AE541" i="1"/>
  <c r="CU538" i="1"/>
  <c r="BG536" i="1"/>
  <c r="S534" i="1"/>
  <c r="CI531" i="1"/>
  <c r="AU529" i="1"/>
  <c r="G527" i="1"/>
  <c r="BW524" i="1"/>
  <c r="AI522" i="1"/>
  <c r="CY519" i="1"/>
  <c r="BK517" i="1"/>
  <c r="W515" i="1"/>
  <c r="CM512" i="1"/>
  <c r="AE559" i="1"/>
  <c r="CI549" i="1"/>
  <c r="BN543" i="1"/>
  <c r="Z541" i="1"/>
  <c r="CP538" i="1"/>
  <c r="BB536" i="1"/>
  <c r="N534" i="1"/>
  <c r="CD531" i="1"/>
  <c r="BX533" i="1"/>
  <c r="AF530" i="1"/>
  <c r="T527" i="1"/>
  <c r="CV523" i="1"/>
  <c r="CJ520" i="1"/>
  <c r="BX517" i="1"/>
  <c r="AV514" i="1"/>
  <c r="AJ511" i="1"/>
  <c r="AY551" i="1"/>
  <c r="DG543" i="1"/>
  <c r="K541" i="1"/>
  <c r="CA538" i="1"/>
  <c r="AM536" i="1"/>
  <c r="DC533" i="1"/>
  <c r="BO531" i="1"/>
  <c r="AA529" i="1"/>
  <c r="CQ526" i="1"/>
  <c r="BC524" i="1"/>
  <c r="O522" i="1"/>
  <c r="CE519" i="1"/>
  <c r="AQ517" i="1"/>
  <c r="DG514" i="1"/>
  <c r="BS512" i="1"/>
  <c r="BG558" i="1"/>
  <c r="G549" i="1"/>
  <c r="AT543" i="1"/>
  <c r="F541" i="1"/>
  <c r="BV538" i="1"/>
  <c r="AH536" i="1"/>
  <c r="CX533" i="1"/>
  <c r="BJ531" i="1"/>
  <c r="CK543" i="1"/>
  <c r="AK534" i="1"/>
  <c r="BV527" i="1"/>
  <c r="CX522" i="1"/>
  <c r="V518" i="1"/>
  <c r="AX513" i="1"/>
  <c r="CX509" i="1"/>
  <c r="BJ507" i="1"/>
  <c r="V505" i="1"/>
  <c r="CL502" i="1"/>
  <c r="CE540" i="1"/>
  <c r="AQ538" i="1"/>
  <c r="DG535" i="1"/>
  <c r="BS533" i="1"/>
  <c r="AE531" i="1"/>
  <c r="CU528" i="1"/>
  <c r="BG526" i="1"/>
  <c r="S524" i="1"/>
  <c r="CI521" i="1"/>
  <c r="AU519" i="1"/>
  <c r="G517" i="1"/>
  <c r="BW514" i="1"/>
  <c r="AI512" i="1"/>
  <c r="W557" i="1"/>
  <c r="CA547" i="1"/>
  <c r="J543" i="1"/>
  <c r="BZ540" i="1"/>
  <c r="AL538" i="1"/>
  <c r="DB535" i="1"/>
  <c r="BN533" i="1"/>
  <c r="Z531" i="1"/>
  <c r="BA542" i="1"/>
  <c r="DE532" i="1"/>
  <c r="DF526" i="1"/>
  <c r="AD522" i="1"/>
  <c r="BF517" i="1"/>
  <c r="CH512" i="1"/>
  <c r="BN509" i="1"/>
  <c r="Z507" i="1"/>
  <c r="CP504" i="1"/>
  <c r="BB502" i="1"/>
  <c r="AE542" i="1"/>
  <c r="BG539" i="1"/>
  <c r="S537" i="1"/>
  <c r="CI534" i="1"/>
  <c r="AU532" i="1"/>
  <c r="G530" i="1"/>
  <c r="BW527" i="1"/>
  <c r="AI525" i="1"/>
  <c r="CY522" i="1"/>
  <c r="BK520" i="1"/>
  <c r="W518" i="1"/>
  <c r="CM515" i="1"/>
  <c r="AY513" i="1"/>
  <c r="AM562" i="1"/>
  <c r="AI552" i="1"/>
  <c r="AE544" i="1"/>
  <c r="CP541" i="1"/>
  <c r="BB539" i="1"/>
  <c r="N537" i="1"/>
  <c r="CD534" i="1"/>
  <c r="AP532" i="1"/>
  <c r="W554" i="1"/>
  <c r="BM537" i="1"/>
  <c r="AH529" i="1"/>
  <c r="BJ524" i="1"/>
  <c r="CL519" i="1"/>
  <c r="J515" i="1"/>
  <c r="CD510" i="1"/>
  <c r="AP508" i="1"/>
  <c r="DF505" i="1"/>
  <c r="BR503" i="1"/>
  <c r="AD501" i="1"/>
  <c r="CY541" i="1"/>
  <c r="AM539" i="1"/>
  <c r="DC536" i="1"/>
  <c r="BO534" i="1"/>
  <c r="AA532" i="1"/>
  <c r="CQ529" i="1"/>
  <c r="BC527" i="1"/>
  <c r="O525" i="1"/>
  <c r="CE522" i="1"/>
  <c r="AQ520" i="1"/>
  <c r="DG517" i="1"/>
  <c r="BS515" i="1"/>
  <c r="AE513" i="1"/>
  <c r="G561" i="1"/>
  <c r="BK551" i="1"/>
  <c r="F544" i="1"/>
  <c r="BV541" i="1"/>
  <c r="AH539" i="1"/>
  <c r="CX536" i="1"/>
  <c r="BJ534" i="1"/>
  <c r="V532" i="1"/>
  <c r="AA551" i="1"/>
  <c r="CO536" i="1"/>
  <c r="CX528" i="1"/>
  <c r="V524" i="1"/>
  <c r="AX519" i="1"/>
  <c r="BZ514" i="1"/>
  <c r="BJ510" i="1"/>
  <c r="V508" i="1"/>
  <c r="CL505" i="1"/>
  <c r="AX503" i="1"/>
  <c r="J501" i="1"/>
  <c r="DF499" i="1"/>
  <c r="Z497" i="1"/>
  <c r="CP494" i="1"/>
  <c r="BB492" i="1"/>
  <c r="BO553" i="1"/>
  <c r="R527" i="1"/>
  <c r="CX520" i="1"/>
  <c r="AT514" i="1"/>
  <c r="BV509" i="1"/>
  <c r="BJ506" i="1"/>
  <c r="AH503" i="1"/>
  <c r="V500" i="1"/>
  <c r="DB497" i="1"/>
  <c r="BZ494" i="1"/>
  <c r="BN491" i="1"/>
  <c r="CX488" i="1"/>
  <c r="CE545" i="1"/>
  <c r="BA535" i="1"/>
  <c r="AC528" i="1"/>
  <c r="BE523" i="1"/>
  <c r="CG518" i="1"/>
  <c r="DI513" i="1"/>
  <c r="Y510" i="1"/>
  <c r="CO507" i="1"/>
  <c r="BA505" i="1"/>
  <c r="M503" i="1"/>
  <c r="CC500" i="1"/>
  <c r="AO498" i="1"/>
  <c r="DE495" i="1"/>
  <c r="BQ493" i="1"/>
  <c r="DF524" i="1"/>
  <c r="AD520" i="1"/>
  <c r="BF515" i="1"/>
  <c r="DB510" i="1"/>
  <c r="BN508" i="1"/>
  <c r="Z506" i="1"/>
  <c r="CP503" i="1"/>
  <c r="K542" i="1"/>
  <c r="AU539" i="1"/>
  <c r="G537" i="1"/>
  <c r="BW534" i="1"/>
  <c r="AI532" i="1"/>
  <c r="CY529" i="1"/>
  <c r="BK527" i="1"/>
  <c r="W525" i="1"/>
  <c r="CM522" i="1"/>
  <c r="AY520" i="1"/>
  <c r="K518" i="1"/>
  <c r="CA515" i="1"/>
  <c r="AM513" i="1"/>
  <c r="AO561" i="1"/>
  <c r="CQ551" i="1"/>
  <c r="O544" i="1"/>
  <c r="CD541" i="1"/>
  <c r="AP539" i="1"/>
  <c r="DF536" i="1"/>
  <c r="BR534" i="1"/>
  <c r="AD532" i="1"/>
  <c r="AU552" i="1"/>
  <c r="Q537" i="1"/>
  <c r="J529" i="1"/>
  <c r="AL524" i="1"/>
  <c r="BN519" i="1"/>
  <c r="CP514" i="1"/>
  <c r="BR510" i="1"/>
  <c r="AD508" i="1"/>
  <c r="CT505" i="1"/>
  <c r="BF503" i="1"/>
  <c r="R501" i="1"/>
  <c r="BK540" i="1"/>
  <c r="W538" i="1"/>
  <c r="CM535" i="1"/>
  <c r="AY533" i="1"/>
  <c r="K531" i="1"/>
  <c r="CA528" i="1"/>
  <c r="AM526" i="1"/>
  <c r="DC523" i="1"/>
  <c r="BO521" i="1"/>
  <c r="AA519" i="1"/>
  <c r="CQ516" i="1"/>
  <c r="BC514" i="1"/>
  <c r="O512" i="1"/>
  <c r="AY556" i="1"/>
  <c r="DC546" i="1"/>
  <c r="CT542" i="1"/>
  <c r="BF540" i="1"/>
  <c r="R538" i="1"/>
  <c r="CH535" i="1"/>
  <c r="AT533" i="1"/>
  <c r="F531" i="1"/>
  <c r="CC541" i="1"/>
  <c r="AC532" i="1"/>
  <c r="BR526" i="1"/>
  <c r="CT521" i="1"/>
  <c r="R517" i="1"/>
  <c r="AT512" i="1"/>
  <c r="AT509" i="1"/>
  <c r="F507" i="1"/>
  <c r="BV504" i="1"/>
  <c r="AH502" i="1"/>
  <c r="CX499" i="1"/>
  <c r="AQ540" i="1"/>
  <c r="DG537" i="1"/>
  <c r="BS535" i="1"/>
  <c r="AE533" i="1"/>
  <c r="CU530" i="1"/>
  <c r="BG528" i="1"/>
  <c r="S526" i="1"/>
  <c r="CI523" i="1"/>
  <c r="AU521" i="1"/>
  <c r="G519" i="1"/>
  <c r="BW516" i="1"/>
  <c r="AI514" i="1"/>
  <c r="CY511" i="1"/>
  <c r="CA555" i="1"/>
  <c r="AA546" i="1"/>
  <c r="BZ542" i="1"/>
  <c r="AL540" i="1"/>
  <c r="DB537" i="1"/>
  <c r="BN535" i="1"/>
  <c r="Z533" i="1"/>
  <c r="CP530" i="1"/>
  <c r="DE540" i="1"/>
  <c r="L533" i="1"/>
  <c r="CN529" i="1"/>
  <c r="CB526" i="1"/>
  <c r="BP523" i="1"/>
  <c r="AN520" i="1"/>
  <c r="AB517" i="1"/>
  <c r="P514" i="1"/>
  <c r="CY560" i="1"/>
  <c r="AE550" i="1"/>
  <c r="CA543" i="1"/>
  <c r="CI540" i="1"/>
  <c r="AU538" i="1"/>
  <c r="G536" i="1"/>
  <c r="BW533" i="1"/>
  <c r="AI531" i="1"/>
  <c r="CY528" i="1"/>
  <c r="BK526" i="1"/>
  <c r="W524" i="1"/>
  <c r="CM521" i="1"/>
  <c r="AY519" i="1"/>
  <c r="K517" i="1"/>
  <c r="CA514" i="1"/>
  <c r="AM512" i="1"/>
  <c r="AM557" i="1"/>
  <c r="CQ547" i="1"/>
  <c r="N543" i="1"/>
  <c r="CD540" i="1"/>
  <c r="AP538" i="1"/>
  <c r="DF535" i="1"/>
  <c r="BR533" i="1"/>
  <c r="AD531" i="1"/>
  <c r="BQ542" i="1"/>
  <c r="Q533" i="1"/>
  <c r="J527" i="1"/>
  <c r="AL522" i="1"/>
  <c r="BN517" i="1"/>
  <c r="CP512" i="1"/>
  <c r="BR509" i="1"/>
  <c r="AD507" i="1"/>
  <c r="CT504" i="1"/>
  <c r="BF502" i="1"/>
  <c r="AY540" i="1"/>
  <c r="K538" i="1"/>
  <c r="CA535" i="1"/>
  <c r="AM533" i="1"/>
  <c r="DC530" i="1"/>
  <c r="BO528" i="1"/>
  <c r="AA526" i="1"/>
  <c r="CQ523" i="1"/>
  <c r="BC521" i="1"/>
  <c r="O519" i="1"/>
  <c r="CE516" i="1"/>
  <c r="AQ514" i="1"/>
  <c r="DG511" i="1"/>
  <c r="DG555" i="1"/>
  <c r="BG546" i="1"/>
  <c r="CH542" i="1"/>
  <c r="AT540" i="1"/>
  <c r="F538" i="1"/>
  <c r="BV535" i="1"/>
  <c r="AH533" i="1"/>
  <c r="CX530" i="1"/>
  <c r="AG541" i="1"/>
  <c r="CK531" i="1"/>
  <c r="AT526" i="1"/>
  <c r="BV521" i="1"/>
  <c r="CX516" i="1"/>
  <c r="V512" i="1"/>
  <c r="AH509" i="1"/>
  <c r="CX506" i="1"/>
  <c r="BJ504" i="1"/>
  <c r="V502" i="1"/>
  <c r="CA541" i="1"/>
  <c r="AA539" i="1"/>
  <c r="CQ536" i="1"/>
  <c r="BC534" i="1"/>
  <c r="O532" i="1"/>
  <c r="CE529" i="1"/>
  <c r="AQ527" i="1"/>
  <c r="DG524" i="1"/>
  <c r="BS522" i="1"/>
  <c r="AE520" i="1"/>
  <c r="CU517" i="1"/>
  <c r="BG515" i="1"/>
  <c r="S513" i="1"/>
  <c r="BO560" i="1"/>
  <c r="O551" i="1"/>
  <c r="CX543" i="1"/>
  <c r="BJ541" i="1"/>
  <c r="V539" i="1"/>
  <c r="CL536" i="1"/>
  <c r="AX534" i="1"/>
  <c r="J532" i="1"/>
  <c r="AY549" i="1"/>
  <c r="AS536" i="1"/>
  <c r="BZ528" i="1"/>
  <c r="DB523" i="1"/>
  <c r="Z519" i="1"/>
  <c r="BB514" i="1"/>
  <c r="AX510" i="1"/>
  <c r="J508" i="1"/>
  <c r="BZ505" i="1"/>
  <c r="AL503" i="1"/>
  <c r="DB500" i="1"/>
  <c r="BC541" i="1"/>
  <c r="G539" i="1"/>
  <c r="BW536" i="1"/>
  <c r="AI534" i="1"/>
  <c r="CY531" i="1"/>
  <c r="BK529" i="1"/>
  <c r="W527" i="1"/>
  <c r="CM524" i="1"/>
  <c r="AY522" i="1"/>
  <c r="K520" i="1"/>
  <c r="CA517" i="1"/>
  <c r="AM515" i="1"/>
  <c r="DC512" i="1"/>
  <c r="CQ559" i="1"/>
  <c r="AQ550" i="1"/>
  <c r="CD543" i="1"/>
  <c r="AP541" i="1"/>
  <c r="DF538" i="1"/>
  <c r="BR536" i="1"/>
  <c r="AD534" i="1"/>
  <c r="CT531" i="1"/>
  <c r="BC546" i="1"/>
  <c r="BU535" i="1"/>
  <c r="AL528" i="1"/>
  <c r="H532" i="1"/>
  <c r="CZ528" i="1"/>
  <c r="BX525" i="1"/>
  <c r="BL522" i="1"/>
  <c r="AZ519" i="1"/>
  <c r="X516" i="1"/>
  <c r="L513" i="1"/>
  <c r="AQ557" i="1"/>
  <c r="AI547" i="1"/>
  <c r="DC542" i="1"/>
  <c r="G540" i="1"/>
  <c r="BW537" i="1"/>
  <c r="AI535" i="1"/>
  <c r="CY532" i="1"/>
  <c r="BK530" i="1"/>
  <c r="W528" i="1"/>
  <c r="CM525" i="1"/>
  <c r="AY523" i="1"/>
  <c r="K521" i="1"/>
  <c r="CA518" i="1"/>
  <c r="AM516" i="1"/>
  <c r="DC513" i="1"/>
  <c r="BO511" i="1"/>
  <c r="AQ554" i="1"/>
  <c r="AI545" i="1"/>
  <c r="AP542" i="1"/>
  <c r="DF539" i="1"/>
  <c r="BR537" i="1"/>
  <c r="AD535" i="1"/>
  <c r="CT532" i="1"/>
  <c r="BF530" i="1"/>
  <c r="BU539" i="1"/>
  <c r="AL530" i="1"/>
  <c r="BN525" i="1"/>
  <c r="CP520" i="1"/>
  <c r="N516" i="1"/>
  <c r="AP511" i="1"/>
  <c r="CT508" i="1"/>
  <c r="BF506" i="1"/>
  <c r="R504" i="1"/>
  <c r="CH501" i="1"/>
  <c r="CA539" i="1"/>
  <c r="AM537" i="1"/>
  <c r="DC534" i="1"/>
  <c r="BO532" i="1"/>
  <c r="AA530" i="1"/>
  <c r="CQ527" i="1"/>
  <c r="BC525" i="1"/>
  <c r="O523" i="1"/>
  <c r="CE520" i="1"/>
  <c r="AQ518" i="1"/>
  <c r="DG515" i="1"/>
  <c r="BS513" i="1"/>
  <c r="AE511" i="1"/>
  <c r="G553" i="1"/>
  <c r="BS544" i="1"/>
  <c r="F542" i="1"/>
  <c r="BV539" i="1"/>
  <c r="AH537" i="1"/>
  <c r="CX534" i="1"/>
  <c r="BJ532" i="1"/>
  <c r="S557" i="1"/>
  <c r="AK538" i="1"/>
  <c r="BV529" i="1"/>
  <c r="CX524" i="1"/>
  <c r="V520" i="1"/>
  <c r="AX515" i="1"/>
  <c r="CX510" i="1"/>
  <c r="BJ508" i="1"/>
  <c r="V506" i="1"/>
  <c r="CL503" i="1"/>
  <c r="AX501" i="1"/>
  <c r="CQ540" i="1"/>
  <c r="BC538" i="1"/>
  <c r="O536" i="1"/>
  <c r="CE533" i="1"/>
  <c r="AQ531" i="1"/>
  <c r="DG528" i="1"/>
  <c r="BS526" i="1"/>
  <c r="AE524" i="1"/>
  <c r="CU521" i="1"/>
  <c r="BG519" i="1"/>
  <c r="S517" i="1"/>
  <c r="CI514" i="1"/>
  <c r="AU512" i="1"/>
  <c r="BS557" i="1"/>
  <c r="S548" i="1"/>
  <c r="V543" i="1"/>
  <c r="CL540" i="1"/>
  <c r="AX538" i="1"/>
  <c r="J536" i="1"/>
  <c r="BZ533" i="1"/>
  <c r="AL531" i="1"/>
  <c r="CW542" i="1"/>
  <c r="AW533" i="1"/>
  <c r="Z527" i="1"/>
  <c r="BB522" i="1"/>
  <c r="CD517" i="1"/>
  <c r="DF512" i="1"/>
  <c r="BZ509" i="1"/>
  <c r="AL507" i="1"/>
  <c r="DB504" i="1"/>
  <c r="BN502" i="1"/>
  <c r="Z500" i="1"/>
  <c r="BW540" i="1"/>
  <c r="AI538" i="1"/>
  <c r="CY535" i="1"/>
  <c r="BK533" i="1"/>
  <c r="W531" i="1"/>
  <c r="CM528" i="1"/>
  <c r="AY526" i="1"/>
  <c r="K524" i="1"/>
  <c r="CA521" i="1"/>
  <c r="AM519" i="1"/>
  <c r="DC516" i="1"/>
  <c r="BO514" i="1"/>
  <c r="AA512" i="1"/>
  <c r="CU556" i="1"/>
  <c r="AU547" i="1"/>
  <c r="DF542" i="1"/>
  <c r="BR540" i="1"/>
  <c r="AD538" i="1"/>
  <c r="CT535" i="1"/>
  <c r="BF533" i="1"/>
  <c r="R531" i="1"/>
  <c r="BT532" i="1"/>
  <c r="BH529" i="1"/>
  <c r="AF526" i="1"/>
  <c r="T523" i="1"/>
  <c r="H520" i="1"/>
  <c r="CJ516" i="1"/>
  <c r="BX513" i="1"/>
  <c r="CE559" i="1"/>
  <c r="K549" i="1"/>
  <c r="AU543" i="1"/>
  <c r="BC540" i="1"/>
  <c r="O538" i="1"/>
  <c r="CE535" i="1"/>
  <c r="AQ533" i="1"/>
  <c r="DG530" i="1"/>
  <c r="BS528" i="1"/>
  <c r="AE526" i="1"/>
  <c r="CU523" i="1"/>
  <c r="BG521" i="1"/>
  <c r="S519" i="1"/>
  <c r="CI516" i="1"/>
  <c r="AU514" i="1"/>
  <c r="G512" i="1"/>
  <c r="S556" i="1"/>
  <c r="BW546" i="1"/>
  <c r="CL542" i="1"/>
  <c r="AX540" i="1"/>
  <c r="J538" i="1"/>
  <c r="BZ535" i="1"/>
  <c r="AL533" i="1"/>
  <c r="DB530" i="1"/>
  <c r="AW541" i="1"/>
  <c r="DA531" i="1"/>
  <c r="BB526" i="1"/>
  <c r="CD521" i="1"/>
  <c r="DF516" i="1"/>
  <c r="AD512" i="1"/>
  <c r="AL509" i="1"/>
  <c r="DB506" i="1"/>
  <c r="BN504" i="1"/>
  <c r="Z502" i="1"/>
  <c r="S540" i="1"/>
  <c r="CI537" i="1"/>
  <c r="AU535" i="1"/>
  <c r="G533" i="1"/>
  <c r="BW530" i="1"/>
  <c r="AI528" i="1"/>
  <c r="CY525" i="1"/>
  <c r="BK523" i="1"/>
  <c r="W521" i="1"/>
  <c r="CM518" i="1"/>
  <c r="AY516" i="1"/>
  <c r="K514" i="1"/>
  <c r="CA511" i="1"/>
  <c r="CM554" i="1"/>
  <c r="BG545" i="1"/>
  <c r="BB542" i="1"/>
  <c r="N540" i="1"/>
  <c r="CD537" i="1"/>
  <c r="AP535" i="1"/>
  <c r="DF532" i="1"/>
  <c r="BR530" i="1"/>
  <c r="M540" i="1"/>
  <c r="BQ530" i="1"/>
  <c r="CL525" i="1"/>
  <c r="J521" i="1"/>
  <c r="AL516" i="1"/>
  <c r="BN511" i="1"/>
  <c r="DF508" i="1"/>
  <c r="BR506" i="1"/>
  <c r="AD504" i="1"/>
  <c r="CT501" i="1"/>
  <c r="AM541" i="1"/>
  <c r="CY538" i="1"/>
  <c r="BK536" i="1"/>
  <c r="W534" i="1"/>
  <c r="CM531" i="1"/>
  <c r="AY529" i="1"/>
  <c r="K527" i="1"/>
  <c r="CA524" i="1"/>
  <c r="AM522" i="1"/>
  <c r="DC519" i="1"/>
  <c r="BO517" i="1"/>
  <c r="AA515" i="1"/>
  <c r="CQ512" i="1"/>
  <c r="AU559" i="1"/>
  <c r="CY549" i="1"/>
  <c r="BR543" i="1"/>
  <c r="AD541" i="1"/>
  <c r="CT538" i="1"/>
  <c r="BF536" i="1"/>
  <c r="R534" i="1"/>
  <c r="CH531" i="1"/>
  <c r="Z545" i="1"/>
  <c r="Y535" i="1"/>
  <c r="N528" i="1"/>
  <c r="AP523" i="1"/>
  <c r="BR518" i="1"/>
  <c r="CT513" i="1"/>
  <c r="R510" i="1"/>
  <c r="CH507" i="1"/>
  <c r="AT505" i="1"/>
  <c r="F503" i="1"/>
  <c r="BV500" i="1"/>
  <c r="O541" i="1"/>
  <c r="CE538" i="1"/>
  <c r="AQ536" i="1"/>
  <c r="DG533" i="1"/>
  <c r="BS531" i="1"/>
  <c r="AE529" i="1"/>
  <c r="CU526" i="1"/>
  <c r="BG524" i="1"/>
  <c r="S522" i="1"/>
  <c r="CI519" i="1"/>
  <c r="AU517" i="1"/>
  <c r="G515" i="1"/>
  <c r="BW512" i="1"/>
  <c r="BW558" i="1"/>
  <c r="W549" i="1"/>
  <c r="AX543" i="1"/>
  <c r="J541" i="1"/>
  <c r="BZ538" i="1"/>
  <c r="AL536" i="1"/>
  <c r="DB533" i="1"/>
  <c r="BN531" i="1"/>
  <c r="DA543" i="1"/>
  <c r="BA534" i="1"/>
  <c r="CD527" i="1"/>
  <c r="DF522" i="1"/>
  <c r="AD518" i="1"/>
  <c r="BF513" i="1"/>
  <c r="DB509" i="1"/>
  <c r="BN507" i="1"/>
  <c r="Z505" i="1"/>
  <c r="CP502" i="1"/>
  <c r="BB500" i="1"/>
  <c r="DF498" i="1"/>
  <c r="BR496" i="1"/>
  <c r="AD494" i="1"/>
  <c r="CT491" i="1"/>
  <c r="AW537" i="1"/>
  <c r="BV525" i="1"/>
  <c r="R519" i="1"/>
  <c r="CX512" i="1"/>
  <c r="CX508" i="1"/>
  <c r="BV505" i="1"/>
  <c r="BJ502" i="1"/>
  <c r="AX499" i="1"/>
  <c r="J497" i="1"/>
  <c r="DB493" i="1"/>
  <c r="CP490" i="1"/>
  <c r="AL488" i="1"/>
  <c r="BM542" i="1"/>
  <c r="M533" i="1"/>
  <c r="I527" i="1"/>
  <c r="AK522" i="1"/>
  <c r="BM517" i="1"/>
  <c r="CO512" i="1"/>
  <c r="BQ509" i="1"/>
  <c r="AC507" i="1"/>
  <c r="CS504" i="1"/>
  <c r="BE502" i="1"/>
  <c r="Q500" i="1"/>
  <c r="CG497" i="1"/>
  <c r="AS495" i="1"/>
  <c r="DI492" i="1"/>
  <c r="CL523" i="1"/>
  <c r="J519" i="1"/>
  <c r="AL514" i="1"/>
  <c r="AP510" i="1"/>
  <c r="DF507" i="1"/>
  <c r="BR505" i="1"/>
  <c r="AD503" i="1"/>
  <c r="W541" i="1"/>
  <c r="CM538" i="1"/>
  <c r="AY536" i="1"/>
  <c r="K534" i="1"/>
  <c r="CA531" i="1"/>
  <c r="AM529" i="1"/>
  <c r="DC526" i="1"/>
  <c r="BO524" i="1"/>
  <c r="AA522" i="1"/>
  <c r="CQ519" i="1"/>
  <c r="BC517" i="1"/>
  <c r="O515" i="1"/>
  <c r="CE512" i="1"/>
  <c r="DC558" i="1"/>
  <c r="BC549" i="1"/>
  <c r="BF543" i="1"/>
  <c r="R541" i="1"/>
  <c r="CH538" i="1"/>
  <c r="AT536" i="1"/>
  <c r="F534" i="1"/>
  <c r="BV531" i="1"/>
  <c r="AL544" i="1"/>
  <c r="CG534" i="1"/>
  <c r="CT527" i="1"/>
  <c r="R523" i="1"/>
  <c r="AT518" i="1"/>
  <c r="BV513" i="1"/>
  <c r="F510" i="1"/>
  <c r="BV507" i="1"/>
  <c r="AH505" i="1"/>
  <c r="CX502" i="1"/>
  <c r="BJ500" i="1"/>
  <c r="DC539" i="1"/>
  <c r="BO537" i="1"/>
  <c r="AA535" i="1"/>
  <c r="CQ532" i="1"/>
  <c r="BC530" i="1"/>
  <c r="O528" i="1"/>
  <c r="CE525" i="1"/>
  <c r="AQ523" i="1"/>
  <c r="DG520" i="1"/>
  <c r="BS518" i="1"/>
  <c r="AE516" i="1"/>
  <c r="CU513" i="1"/>
  <c r="BG511" i="1"/>
  <c r="K554" i="1"/>
  <c r="S545" i="1"/>
  <c r="AH542" i="1"/>
  <c r="CX539" i="1"/>
  <c r="BJ537" i="1"/>
  <c r="V535" i="1"/>
  <c r="CL532" i="1"/>
  <c r="AI561" i="1"/>
  <c r="AO539" i="1"/>
  <c r="V530" i="1"/>
  <c r="AX525" i="1"/>
  <c r="BZ520" i="1"/>
  <c r="DB515" i="1"/>
  <c r="Z511" i="1"/>
  <c r="CL508" i="1"/>
  <c r="AX506" i="1"/>
  <c r="J504" i="1"/>
  <c r="BZ501" i="1"/>
  <c r="AL499" i="1"/>
  <c r="CI539" i="1"/>
  <c r="AU537" i="1"/>
  <c r="G535" i="1"/>
  <c r="BW532" i="1"/>
  <c r="AI530" i="1"/>
  <c r="CY527" i="1"/>
  <c r="BK525" i="1"/>
  <c r="W523" i="1"/>
  <c r="CM520" i="1"/>
  <c r="AY518" i="1"/>
  <c r="K516" i="1"/>
  <c r="CA513" i="1"/>
  <c r="AM511" i="1"/>
  <c r="AM553" i="1"/>
  <c r="CI544" i="1"/>
  <c r="N542" i="1"/>
  <c r="CD539" i="1"/>
  <c r="AP537" i="1"/>
  <c r="DF534" i="1"/>
  <c r="BR532" i="1"/>
  <c r="AM558" i="1"/>
  <c r="BQ538" i="1"/>
  <c r="X532" i="1"/>
  <c r="L529" i="1"/>
  <c r="DD525" i="1"/>
  <c r="CB522" i="1"/>
  <c r="BP519" i="1"/>
  <c r="BD516" i="1"/>
  <c r="AB513" i="1"/>
  <c r="DC557" i="1"/>
  <c r="CU547" i="1"/>
  <c r="O543" i="1"/>
  <c r="W540" i="1"/>
  <c r="CM537" i="1"/>
  <c r="AY535" i="1"/>
  <c r="K533" i="1"/>
  <c r="CA530" i="1"/>
  <c r="AM528" i="1"/>
  <c r="DC525" i="1"/>
  <c r="BO523" i="1"/>
  <c r="AA521" i="1"/>
  <c r="CQ518" i="1"/>
  <c r="BC516" i="1"/>
  <c r="O514" i="1"/>
  <c r="CE511" i="1"/>
  <c r="DC554" i="1"/>
  <c r="BO545" i="1"/>
  <c r="BF542" i="1"/>
  <c r="R540" i="1"/>
  <c r="CH537" i="1"/>
  <c r="AT535" i="1"/>
  <c r="F533" i="1"/>
  <c r="BV530" i="1"/>
  <c r="AC540" i="1"/>
  <c r="CG530" i="1"/>
  <c r="CT525" i="1"/>
  <c r="R521" i="1"/>
  <c r="AT516" i="1"/>
  <c r="BV511" i="1"/>
  <c r="F509" i="1"/>
  <c r="BV506" i="1"/>
  <c r="AH504" i="1"/>
  <c r="CX501" i="1"/>
  <c r="CQ539" i="1"/>
  <c r="BC537" i="1"/>
  <c r="O535" i="1"/>
  <c r="CE532" i="1"/>
  <c r="AQ530" i="1"/>
  <c r="DG527" i="1"/>
  <c r="BS525" i="1"/>
  <c r="AE523" i="1"/>
  <c r="CU520" i="1"/>
  <c r="BG518" i="1"/>
  <c r="S516" i="1"/>
  <c r="CI513" i="1"/>
  <c r="AU511" i="1"/>
  <c r="BS553" i="1"/>
  <c r="CY544" i="1"/>
  <c r="V542" i="1"/>
  <c r="CL539" i="1"/>
  <c r="AX537" i="1"/>
  <c r="J535" i="1"/>
  <c r="BZ532" i="1"/>
  <c r="BG559" i="1"/>
  <c r="CW538" i="1"/>
  <c r="DB529" i="1"/>
  <c r="Z525" i="1"/>
  <c r="BB520" i="1"/>
  <c r="CD515" i="1"/>
  <c r="J511" i="1"/>
  <c r="BZ508" i="1"/>
  <c r="AL506" i="1"/>
  <c r="DB503" i="1"/>
  <c r="BN501" i="1"/>
  <c r="DG540" i="1"/>
  <c r="BS538" i="1"/>
  <c r="AE536" i="1"/>
  <c r="CU533" i="1"/>
  <c r="BG531" i="1"/>
  <c r="S529" i="1"/>
  <c r="CI526" i="1"/>
  <c r="AU524" i="1"/>
  <c r="G522" i="1"/>
  <c r="BW519" i="1"/>
  <c r="AI517" i="1"/>
  <c r="CY514" i="1"/>
  <c r="BK512" i="1"/>
  <c r="AA558" i="1"/>
  <c r="CE548" i="1"/>
  <c r="AL543" i="1"/>
  <c r="DB540" i="1"/>
  <c r="BN538" i="1"/>
  <c r="Z536" i="1"/>
  <c r="CP533" i="1"/>
  <c r="BB531" i="1"/>
  <c r="BE543" i="1"/>
  <c r="DI533" i="1"/>
  <c r="BF527" i="1"/>
  <c r="CH522" i="1"/>
  <c r="F518" i="1"/>
  <c r="AH513" i="1"/>
  <c r="CP509" i="1"/>
  <c r="BB507" i="1"/>
  <c r="N505" i="1"/>
  <c r="CD502" i="1"/>
  <c r="AP500" i="1"/>
  <c r="CM540" i="1"/>
  <c r="AY538" i="1"/>
  <c r="K536" i="1"/>
  <c r="CA533" i="1"/>
  <c r="AM531" i="1"/>
  <c r="DC528" i="1"/>
  <c r="BO526" i="1"/>
  <c r="AA524" i="1"/>
  <c r="CQ521" i="1"/>
  <c r="BC519" i="1"/>
  <c r="O517" i="1"/>
  <c r="CE514" i="1"/>
  <c r="AQ512" i="1"/>
  <c r="BC557" i="1"/>
  <c r="DG547" i="1"/>
  <c r="R543" i="1"/>
  <c r="CH540" i="1"/>
  <c r="AT538" i="1"/>
  <c r="F536" i="1"/>
  <c r="BV533" i="1"/>
  <c r="AH531" i="1"/>
  <c r="CG542" i="1"/>
  <c r="AG533" i="1"/>
  <c r="AZ535" i="1"/>
  <c r="AJ531" i="1"/>
  <c r="H528" i="1"/>
  <c r="CZ524" i="1"/>
  <c r="CN521" i="1"/>
  <c r="BL518" i="1"/>
  <c r="AZ515" i="1"/>
  <c r="AN512" i="1"/>
  <c r="AU554" i="1"/>
  <c r="AL545" i="1"/>
  <c r="O542" i="1"/>
  <c r="AY539" i="1"/>
  <c r="K537" i="1"/>
  <c r="CA534" i="1"/>
  <c r="AM532" i="1"/>
  <c r="DC529" i="1"/>
  <c r="BO527" i="1"/>
  <c r="AA525" i="1"/>
  <c r="CQ522" i="1"/>
  <c r="BC520" i="1"/>
  <c r="O518" i="1"/>
  <c r="CE515" i="1"/>
  <c r="AQ513" i="1"/>
  <c r="BU561" i="1"/>
  <c r="DG551" i="1"/>
  <c r="T544" i="1"/>
  <c r="CH541" i="1"/>
  <c r="AT539" i="1"/>
  <c r="F537" i="1"/>
  <c r="BV534" i="1"/>
  <c r="AH532" i="1"/>
  <c r="DG552" i="1"/>
  <c r="AG537" i="1"/>
  <c r="R529" i="1"/>
  <c r="AT524" i="1"/>
  <c r="BV519" i="1"/>
  <c r="CX514" i="1"/>
  <c r="BV510" i="1"/>
  <c r="AH508" i="1"/>
  <c r="CX505" i="1"/>
  <c r="BJ503" i="1"/>
  <c r="BK541" i="1"/>
  <c r="O539" i="1"/>
  <c r="CE536" i="1"/>
  <c r="AQ534" i="1"/>
  <c r="DG531" i="1"/>
  <c r="BS529" i="1"/>
  <c r="AE527" i="1"/>
  <c r="CU524" i="1"/>
  <c r="BG522" i="1"/>
  <c r="S520" i="1"/>
  <c r="CI517" i="1"/>
  <c r="AU515" i="1"/>
  <c r="G513" i="1"/>
  <c r="S560" i="1"/>
  <c r="BW550" i="1"/>
  <c r="CL543" i="1"/>
  <c r="AX541" i="1"/>
  <c r="J539" i="1"/>
  <c r="BZ536" i="1"/>
  <c r="AL534" i="1"/>
  <c r="DB531" i="1"/>
  <c r="BW547" i="1"/>
  <c r="DA535" i="1"/>
  <c r="BB528" i="1"/>
  <c r="CD523" i="1"/>
  <c r="DF518" i="1"/>
  <c r="AD514" i="1"/>
  <c r="AL510" i="1"/>
  <c r="DB507" i="1"/>
  <c r="BN505" i="1"/>
  <c r="Z503" i="1"/>
  <c r="CP500" i="1"/>
  <c r="AE540" i="1"/>
  <c r="CU537" i="1"/>
  <c r="BG535" i="1"/>
  <c r="S533" i="1"/>
  <c r="CI530" i="1"/>
  <c r="AU528" i="1"/>
  <c r="G526" i="1"/>
  <c r="BW523" i="1"/>
  <c r="AI521" i="1"/>
  <c r="CY518" i="1"/>
  <c r="BK516" i="1"/>
  <c r="W514" i="1"/>
  <c r="CM511" i="1"/>
  <c r="AE555" i="1"/>
  <c r="CI545" i="1"/>
  <c r="BN542" i="1"/>
  <c r="Z540" i="1"/>
  <c r="CP537" i="1"/>
  <c r="BB535" i="1"/>
  <c r="N533" i="1"/>
  <c r="CD530" i="1"/>
  <c r="BI540" i="1"/>
  <c r="I531" i="1"/>
  <c r="F526" i="1"/>
  <c r="AH521" i="1"/>
  <c r="BJ516" i="1"/>
  <c r="CL511" i="1"/>
  <c r="N509" i="1"/>
  <c r="CD506" i="1"/>
  <c r="AP504" i="1"/>
  <c r="DF501" i="1"/>
  <c r="BR499" i="1"/>
  <c r="K540" i="1"/>
  <c r="CA537" i="1"/>
  <c r="AM535" i="1"/>
  <c r="DC532" i="1"/>
  <c r="BO530" i="1"/>
  <c r="AA528" i="1"/>
  <c r="CQ525" i="1"/>
  <c r="BC523" i="1"/>
  <c r="O521" i="1"/>
  <c r="CE518" i="1"/>
  <c r="AQ516" i="1"/>
  <c r="DG513" i="1"/>
  <c r="BS511" i="1"/>
  <c r="BG554" i="1"/>
  <c r="AQ545" i="1"/>
  <c r="AT542" i="1"/>
  <c r="F540" i="1"/>
  <c r="BV537" i="1"/>
  <c r="AH535" i="1"/>
  <c r="CX532" i="1"/>
  <c r="BJ530" i="1"/>
  <c r="CV531" i="1"/>
  <c r="BT528" i="1"/>
  <c r="BH525" i="1"/>
  <c r="AV522" i="1"/>
  <c r="T519" i="1"/>
  <c r="H516" i="1"/>
  <c r="CZ512" i="1"/>
  <c r="W556" i="1"/>
  <c r="CA546" i="1"/>
  <c r="CM542" i="1"/>
  <c r="CU539" i="1"/>
  <c r="BG537" i="1"/>
  <c r="S535" i="1"/>
  <c r="CI532" i="1"/>
  <c r="AU530" i="1"/>
  <c r="G528" i="1"/>
  <c r="BW525" i="1"/>
  <c r="AI523" i="1"/>
  <c r="CY520" i="1"/>
  <c r="BK518" i="1"/>
  <c r="W516" i="1"/>
  <c r="CM513" i="1"/>
  <c r="AY511" i="1"/>
  <c r="CI553" i="1"/>
  <c r="DG544" i="1"/>
  <c r="Z542" i="1"/>
  <c r="CP539" i="1"/>
  <c r="BB537" i="1"/>
  <c r="N535" i="1"/>
  <c r="CD532" i="1"/>
  <c r="O560" i="1"/>
  <c r="I539" i="1"/>
  <c r="F530" i="1"/>
  <c r="AH525" i="1"/>
  <c r="BJ520" i="1"/>
  <c r="CL515" i="1"/>
  <c r="N511" i="1"/>
  <c r="CD508" i="1"/>
  <c r="AP506" i="1"/>
  <c r="DF503" i="1"/>
  <c r="AQ542" i="1"/>
  <c r="BK539" i="1"/>
  <c r="W537" i="1"/>
  <c r="CM534" i="1"/>
  <c r="AY532" i="1"/>
  <c r="K530" i="1"/>
  <c r="CA527" i="1"/>
  <c r="AM525" i="1"/>
  <c r="DC522" i="1"/>
  <c r="BO520" i="1"/>
  <c r="AA518" i="1"/>
  <c r="CQ515" i="1"/>
  <c r="BC513" i="1"/>
  <c r="CY562" i="1"/>
  <c r="AY552" i="1"/>
  <c r="AM544" i="1"/>
  <c r="CT541" i="1"/>
  <c r="BF539" i="1"/>
  <c r="R537" i="1"/>
  <c r="CH534" i="1"/>
  <c r="AT532" i="1"/>
  <c r="CI554" i="1"/>
  <c r="CC537" i="1"/>
  <c r="AP529" i="1"/>
  <c r="BR524" i="1"/>
  <c r="CT519" i="1"/>
  <c r="R515" i="1"/>
  <c r="CH510" i="1"/>
  <c r="AT508" i="1"/>
  <c r="F506" i="1"/>
  <c r="BV503" i="1"/>
  <c r="AH501" i="1"/>
  <c r="CA540" i="1"/>
  <c r="AM538" i="1"/>
  <c r="DC535" i="1"/>
  <c r="BO533" i="1"/>
  <c r="AA531" i="1"/>
  <c r="CQ528" i="1"/>
  <c r="BC526" i="1"/>
  <c r="O524" i="1"/>
  <c r="CE521" i="1"/>
  <c r="AQ519" i="1"/>
  <c r="DG516" i="1"/>
  <c r="BS514" i="1"/>
  <c r="AE512" i="1"/>
  <c r="G557" i="1"/>
  <c r="BK547" i="1"/>
  <c r="F543" i="1"/>
  <c r="BV540" i="1"/>
  <c r="AH538" i="1"/>
  <c r="CX535" i="1"/>
  <c r="BJ533" i="1"/>
  <c r="V531" i="1"/>
  <c r="AK542" i="1"/>
  <c r="CO532" i="1"/>
  <c r="CX526" i="1"/>
  <c r="V522" i="1"/>
  <c r="AX517" i="1"/>
  <c r="BZ512" i="1"/>
  <c r="BJ509" i="1"/>
  <c r="V507" i="1"/>
  <c r="CL504" i="1"/>
  <c r="AX502" i="1"/>
  <c r="J500" i="1"/>
  <c r="BG540" i="1"/>
  <c r="S538" i="1"/>
  <c r="CI535" i="1"/>
  <c r="AU533" i="1"/>
  <c r="G531" i="1"/>
  <c r="BW528" i="1"/>
  <c r="AI526" i="1"/>
  <c r="CY523" i="1"/>
  <c r="BK521" i="1"/>
  <c r="W519" i="1"/>
  <c r="CM516" i="1"/>
  <c r="AY514" i="1"/>
  <c r="K512" i="1"/>
  <c r="AI556" i="1"/>
  <c r="CM546" i="1"/>
  <c r="CP542" i="1"/>
  <c r="BB540" i="1"/>
  <c r="N538" i="1"/>
  <c r="CD535" i="1"/>
  <c r="AP533" i="1"/>
  <c r="DF530" i="1"/>
  <c r="BM541" i="1"/>
  <c r="M532" i="1"/>
  <c r="BJ526" i="1"/>
  <c r="CL521" i="1"/>
  <c r="J517" i="1"/>
  <c r="AL512" i="1"/>
  <c r="AP509" i="1"/>
  <c r="DF506" i="1"/>
  <c r="BR504" i="1"/>
  <c r="AD502" i="1"/>
  <c r="CT499" i="1"/>
  <c r="AT498" i="1"/>
  <c r="F496" i="1"/>
  <c r="BV493" i="1"/>
  <c r="AH491" i="1"/>
  <c r="BY532" i="1"/>
  <c r="CT523" i="1"/>
  <c r="BV517" i="1"/>
  <c r="AX511" i="1"/>
  <c r="F508" i="1"/>
  <c r="CX504" i="1"/>
  <c r="CL501" i="1"/>
  <c r="BZ499" i="1"/>
  <c r="AL496" i="1"/>
  <c r="Z493" i="1"/>
  <c r="N490" i="1"/>
  <c r="CD487" i="1"/>
  <c r="Y540" i="1"/>
  <c r="CC530" i="1"/>
  <c r="CS525" i="1"/>
  <c r="Q521" i="1"/>
  <c r="AS516" i="1"/>
  <c r="BU511" i="1"/>
  <c r="DI508" i="1"/>
  <c r="BU506" i="1"/>
  <c r="AG504" i="1"/>
  <c r="CW501" i="1"/>
  <c r="BI499" i="1"/>
  <c r="U497" i="1"/>
  <c r="CK494" i="1"/>
  <c r="AW492" i="1"/>
  <c r="BR522" i="1"/>
  <c r="CT517" i="1"/>
  <c r="R513" i="1"/>
  <c r="CH509" i="1"/>
  <c r="AT507" i="1"/>
  <c r="F505" i="1"/>
  <c r="BV502" i="1"/>
  <c r="BO540" i="1"/>
  <c r="AA538" i="1"/>
  <c r="CQ535" i="1"/>
  <c r="BC533" i="1"/>
  <c r="O531" i="1"/>
  <c r="CE528" i="1"/>
  <c r="AQ526" i="1"/>
  <c r="DG523" i="1"/>
  <c r="BS521" i="1"/>
  <c r="AE519" i="1"/>
  <c r="CU516" i="1"/>
  <c r="BG514" i="1"/>
  <c r="S512" i="1"/>
  <c r="BO556" i="1"/>
  <c r="O547" i="1"/>
  <c r="CX542" i="1"/>
  <c r="BJ540" i="1"/>
  <c r="V538" i="1"/>
  <c r="CL535" i="1"/>
  <c r="AX533" i="1"/>
  <c r="J531" i="1"/>
  <c r="CS541" i="1"/>
  <c r="AS532" i="1"/>
  <c r="BZ526" i="1"/>
  <c r="DB521" i="1"/>
  <c r="Z517" i="1"/>
  <c r="BB512" i="1"/>
  <c r="AX509" i="1"/>
  <c r="J507" i="1"/>
  <c r="BZ504" i="1"/>
  <c r="AL502" i="1"/>
  <c r="DC541" i="1"/>
  <c r="AQ539" i="1"/>
  <c r="DG536" i="1"/>
  <c r="BS534" i="1"/>
  <c r="AE532" i="1"/>
  <c r="CU529" i="1"/>
  <c r="BG527" i="1"/>
  <c r="S525" i="1"/>
  <c r="CI522" i="1"/>
  <c r="AU520" i="1"/>
  <c r="G518" i="1"/>
  <c r="BW515" i="1"/>
  <c r="AI513" i="1"/>
  <c r="W561" i="1"/>
  <c r="CA551" i="1"/>
  <c r="J544" i="1"/>
  <c r="BZ541" i="1"/>
  <c r="AL539" i="1"/>
  <c r="DB536" i="1"/>
  <c r="BN534" i="1"/>
  <c r="Z532" i="1"/>
  <c r="CM551" i="1"/>
  <c r="DE536" i="1"/>
  <c r="DF528" i="1"/>
  <c r="AD524" i="1"/>
  <c r="BF519" i="1"/>
  <c r="CH514" i="1"/>
  <c r="BN510" i="1"/>
  <c r="Z508" i="1"/>
  <c r="CP505" i="1"/>
  <c r="BB503" i="1"/>
  <c r="N501" i="1"/>
  <c r="BW541" i="1"/>
  <c r="W539" i="1"/>
  <c r="CM536" i="1"/>
  <c r="AY534" i="1"/>
  <c r="K532" i="1"/>
  <c r="CA529" i="1"/>
  <c r="AM527" i="1"/>
  <c r="DC524" i="1"/>
  <c r="BO522" i="1"/>
  <c r="AA520" i="1"/>
  <c r="CQ517" i="1"/>
  <c r="BC515" i="1"/>
  <c r="O513" i="1"/>
  <c r="AY560" i="1"/>
  <c r="DC550" i="1"/>
  <c r="CT543" i="1"/>
  <c r="BF541" i="1"/>
  <c r="R539" i="1"/>
  <c r="CH536" i="1"/>
  <c r="AT534" i="1"/>
  <c r="F532" i="1"/>
  <c r="CQ548" i="1"/>
  <c r="H536" i="1"/>
  <c r="AZ531" i="1"/>
  <c r="AN528" i="1"/>
  <c r="L525" i="1"/>
  <c r="DD521" i="1"/>
  <c r="CR518" i="1"/>
  <c r="BP515" i="1"/>
  <c r="BD512" i="1"/>
  <c r="DG554" i="1"/>
  <c r="BR545" i="1"/>
  <c r="BG542" i="1"/>
  <c r="BO539" i="1"/>
  <c r="AA537" i="1"/>
  <c r="CQ534" i="1"/>
  <c r="BC532" i="1"/>
  <c r="O530" i="1"/>
  <c r="CE527" i="1"/>
  <c r="AQ525" i="1"/>
  <c r="DG522" i="1"/>
  <c r="BS520" i="1"/>
  <c r="AE518" i="1"/>
  <c r="CU515" i="1"/>
  <c r="BG513" i="1"/>
  <c r="S511" i="1"/>
  <c r="BO552" i="1"/>
  <c r="AU544" i="1"/>
  <c r="CX541" i="1"/>
  <c r="BJ539" i="1"/>
  <c r="V537" i="1"/>
  <c r="CL534" i="1"/>
  <c r="AX532" i="1"/>
  <c r="AQ555" i="1"/>
  <c r="CS537" i="1"/>
  <c r="AX529" i="1"/>
  <c r="BZ524" i="1"/>
  <c r="DB519" i="1"/>
  <c r="Z515" i="1"/>
  <c r="CL510" i="1"/>
  <c r="AX508" i="1"/>
  <c r="J506" i="1"/>
  <c r="BZ503" i="1"/>
  <c r="CI541" i="1"/>
  <c r="AE539" i="1"/>
  <c r="CU536" i="1"/>
  <c r="BG534" i="1"/>
  <c r="S532" i="1"/>
  <c r="CI529" i="1"/>
  <c r="AU527" i="1"/>
  <c r="G525" i="1"/>
  <c r="BW522" i="1"/>
  <c r="AI520" i="1"/>
  <c r="CY517" i="1"/>
  <c r="BK515" i="1"/>
  <c r="W513" i="1"/>
  <c r="CE560" i="1"/>
  <c r="AE551" i="1"/>
  <c r="DB543" i="1"/>
  <c r="BN541" i="1"/>
  <c r="Z539" i="1"/>
  <c r="CP536" i="1"/>
  <c r="BB534" i="1"/>
  <c r="N532" i="1"/>
  <c r="G550" i="1"/>
  <c r="BI536" i="1"/>
  <c r="CH528" i="1"/>
  <c r="F524" i="1"/>
  <c r="AH519" i="1"/>
  <c r="BJ514" i="1"/>
  <c r="BB510" i="1"/>
  <c r="N508" i="1"/>
  <c r="CD505" i="1"/>
  <c r="AP503" i="1"/>
  <c r="DF500" i="1"/>
  <c r="AU540" i="1"/>
  <c r="G538" i="1"/>
  <c r="BW535" i="1"/>
  <c r="AI533" i="1"/>
  <c r="CY530" i="1"/>
  <c r="BK528" i="1"/>
  <c r="W526" i="1"/>
  <c r="CM523" i="1"/>
  <c r="AY521" i="1"/>
  <c r="K519" i="1"/>
  <c r="CA516" i="1"/>
  <c r="AM514" i="1"/>
  <c r="DC511" i="1"/>
  <c r="CQ555" i="1"/>
  <c r="AQ546" i="1"/>
  <c r="CD542" i="1"/>
  <c r="AP540" i="1"/>
  <c r="DF537" i="1"/>
  <c r="BR535" i="1"/>
  <c r="AD533" i="1"/>
  <c r="CT530" i="1"/>
  <c r="Q541" i="1"/>
  <c r="BU531" i="1"/>
  <c r="AL526" i="1"/>
  <c r="BN521" i="1"/>
  <c r="CP516" i="1"/>
  <c r="N512" i="1"/>
  <c r="AD509" i="1"/>
  <c r="CT506" i="1"/>
  <c r="BF504" i="1"/>
  <c r="R502" i="1"/>
  <c r="CH499" i="1"/>
  <c r="AA540" i="1"/>
  <c r="CQ537" i="1"/>
  <c r="BC535" i="1"/>
  <c r="O533" i="1"/>
  <c r="CE530" i="1"/>
  <c r="AQ528" i="1"/>
  <c r="DG525" i="1"/>
  <c r="BS523" i="1"/>
  <c r="AE521" i="1"/>
  <c r="CU518" i="1"/>
  <c r="BG516" i="1"/>
  <c r="S514" i="1"/>
  <c r="CI511" i="1"/>
  <c r="O555" i="1"/>
  <c r="BW545" i="1"/>
  <c r="BJ542" i="1"/>
  <c r="V540" i="1"/>
  <c r="CL537" i="1"/>
  <c r="AX535" i="1"/>
  <c r="J533" i="1"/>
  <c r="BZ530" i="1"/>
  <c r="AS540" i="1"/>
  <c r="CW530" i="1"/>
  <c r="CN533" i="1"/>
  <c r="AV530" i="1"/>
  <c r="AJ527" i="1"/>
  <c r="X524" i="1"/>
  <c r="CZ520" i="1"/>
  <c r="CN517" i="1"/>
  <c r="CB514" i="1"/>
  <c r="AZ511" i="1"/>
  <c r="G552" i="1"/>
  <c r="V544" i="1"/>
  <c r="AA541" i="1"/>
  <c r="CQ538" i="1"/>
  <c r="BC536" i="1"/>
  <c r="O534" i="1"/>
  <c r="CE531" i="1"/>
  <c r="AQ529" i="1"/>
  <c r="DG526" i="1"/>
  <c r="BS524" i="1"/>
  <c r="AE522" i="1"/>
  <c r="CU519" i="1"/>
  <c r="BG517" i="1"/>
  <c r="S515" i="1"/>
  <c r="CI512" i="1"/>
  <c r="O559" i="1"/>
  <c r="BS549" i="1"/>
  <c r="BJ543" i="1"/>
  <c r="V541" i="1"/>
  <c r="CL538" i="1"/>
  <c r="AX536" i="1"/>
  <c r="J534" i="1"/>
  <c r="BZ531" i="1"/>
  <c r="BR544" i="1"/>
  <c r="CW534" i="1"/>
  <c r="DB527" i="1"/>
  <c r="Z523" i="1"/>
  <c r="BB518" i="1"/>
  <c r="CD513" i="1"/>
  <c r="J510" i="1"/>
  <c r="BZ507" i="1"/>
  <c r="AL505" i="1"/>
  <c r="DB502" i="1"/>
  <c r="CU540" i="1"/>
  <c r="BG538" i="1"/>
  <c r="S536" i="1"/>
  <c r="CI533" i="1"/>
  <c r="AU531" i="1"/>
  <c r="G529" i="1"/>
  <c r="BW526" i="1"/>
  <c r="AI524" i="1"/>
  <c r="CY521" i="1"/>
  <c r="BK519" i="1"/>
  <c r="W517" i="1"/>
  <c r="CM514" i="1"/>
  <c r="AY512" i="1"/>
  <c r="CI557" i="1"/>
  <c r="AI548" i="1"/>
  <c r="Z543" i="1"/>
  <c r="CP540" i="1"/>
  <c r="BB538" i="1"/>
  <c r="N536" i="1"/>
  <c r="CD533" i="1"/>
  <c r="AP531" i="1"/>
  <c r="I543" i="1"/>
  <c r="BM533" i="1"/>
  <c r="AH527" i="1"/>
  <c r="BJ522" i="1"/>
  <c r="CL517" i="1"/>
  <c r="J513" i="1"/>
  <c r="CD509" i="1"/>
  <c r="AP507" i="1"/>
  <c r="DF504" i="1"/>
  <c r="BR502" i="1"/>
  <c r="AD500" i="1"/>
  <c r="BW539" i="1"/>
  <c r="AI537" i="1"/>
  <c r="CY534" i="1"/>
  <c r="BK532" i="1"/>
  <c r="W530" i="1"/>
  <c r="CM527" i="1"/>
  <c r="AY525" i="1"/>
  <c r="K523" i="1"/>
  <c r="CA520" i="1"/>
  <c r="AM518" i="1"/>
  <c r="DC515" i="1"/>
  <c r="BO513" i="1"/>
  <c r="AA511" i="1"/>
  <c r="CU552" i="1"/>
  <c r="BK544" i="1"/>
  <c r="DF541" i="1"/>
  <c r="BR539" i="1"/>
  <c r="AD537" i="1"/>
  <c r="CT534" i="1"/>
  <c r="BF532" i="1"/>
  <c r="BK556" i="1"/>
  <c r="U538" i="1"/>
  <c r="BN529" i="1"/>
  <c r="CP524" i="1"/>
  <c r="N520" i="1"/>
  <c r="AP515" i="1"/>
  <c r="CT510" i="1"/>
  <c r="BF508" i="1"/>
  <c r="R506" i="1"/>
  <c r="CH503" i="1"/>
  <c r="AT501" i="1"/>
  <c r="AA542" i="1"/>
  <c r="BC539" i="1"/>
  <c r="O537" i="1"/>
  <c r="CE534" i="1"/>
  <c r="AQ532" i="1"/>
  <c r="DG529" i="1"/>
  <c r="BS527" i="1"/>
  <c r="AE525" i="1"/>
  <c r="CU522" i="1"/>
  <c r="BG520" i="1"/>
  <c r="S518" i="1"/>
  <c r="CI515" i="1"/>
  <c r="AU513" i="1"/>
  <c r="DA561" i="1"/>
  <c r="S552" i="1"/>
  <c r="Z544" i="1"/>
  <c r="CL541" i="1"/>
  <c r="AX539" i="1"/>
  <c r="J537" i="1"/>
  <c r="BZ534" i="1"/>
  <c r="AL532" i="1"/>
  <c r="CR534" i="1"/>
  <c r="DH530" i="1"/>
  <c r="CV527" i="1"/>
  <c r="CJ524" i="1"/>
  <c r="BH521" i="1"/>
  <c r="AV518" i="1"/>
  <c r="AJ515" i="1"/>
  <c r="H512" i="1"/>
  <c r="CM553" i="1"/>
  <c r="F545" i="1"/>
  <c r="CM541" i="1"/>
  <c r="AI539" i="1"/>
  <c r="CY536" i="1"/>
  <c r="BK534" i="1"/>
  <c r="W532" i="1"/>
  <c r="CM529" i="1"/>
  <c r="AY527" i="1"/>
  <c r="K525" i="1"/>
  <c r="CA522" i="1"/>
  <c r="AM520" i="1"/>
  <c r="DC517" i="1"/>
  <c r="BO515" i="1"/>
  <c r="AA513" i="1"/>
  <c r="CU560" i="1"/>
  <c r="AU551" i="1"/>
  <c r="DF543" i="1"/>
  <c r="BR541" i="1"/>
  <c r="AD539" i="1"/>
  <c r="CT536" i="1"/>
  <c r="BF534" i="1"/>
  <c r="R532" i="1"/>
  <c r="BS550" i="1"/>
  <c r="BY536" i="1"/>
  <c r="CP528" i="1"/>
  <c r="N524" i="1"/>
  <c r="AP519" i="1"/>
  <c r="BR514" i="1"/>
  <c r="BF510" i="1"/>
  <c r="R508" i="1"/>
  <c r="CH505" i="1"/>
  <c r="AT503" i="1"/>
  <c r="AQ541" i="1"/>
  <c r="DC538" i="1"/>
  <c r="BO536" i="1"/>
  <c r="AA534" i="1"/>
  <c r="CQ531" i="1"/>
  <c r="BC529" i="1"/>
  <c r="O527" i="1"/>
  <c r="CE524" i="1"/>
  <c r="AQ522" i="1"/>
  <c r="DG519" i="1"/>
  <c r="BS517" i="1"/>
  <c r="AE515" i="1"/>
  <c r="CU512" i="1"/>
  <c r="BK559" i="1"/>
  <c r="K550" i="1"/>
  <c r="BV543" i="1"/>
  <c r="AH541" i="1"/>
  <c r="CX538" i="1"/>
  <c r="BJ536" i="1"/>
  <c r="V534" i="1"/>
  <c r="CL531" i="1"/>
  <c r="BF545" i="1"/>
  <c r="AO535" i="1"/>
  <c r="V528" i="1"/>
  <c r="AX523" i="1"/>
  <c r="BZ518" i="1"/>
  <c r="DB513" i="1"/>
  <c r="V510" i="1"/>
  <c r="CL507" i="1"/>
  <c r="AX505" i="1"/>
  <c r="J503" i="1"/>
  <c r="BZ500" i="1"/>
  <c r="O540" i="1"/>
  <c r="CE537" i="1"/>
  <c r="AQ535" i="1"/>
  <c r="DG532" i="1"/>
  <c r="BS530" i="1"/>
  <c r="AE528" i="1"/>
  <c r="CU525" i="1"/>
  <c r="BG523" i="1"/>
  <c r="S521" i="1"/>
  <c r="CI518" i="1"/>
  <c r="AU516" i="1"/>
  <c r="G514" i="1"/>
  <c r="BW511" i="1"/>
  <c r="BW554" i="1"/>
  <c r="AY545" i="1"/>
  <c r="AX542" i="1"/>
  <c r="J540" i="1"/>
  <c r="BZ537" i="1"/>
  <c r="AL535" i="1"/>
  <c r="DB532" i="1"/>
  <c r="BN530" i="1"/>
  <c r="DA539" i="1"/>
  <c r="BB530" i="1"/>
  <c r="CD525" i="1"/>
  <c r="DF520" i="1"/>
  <c r="AD516" i="1"/>
  <c r="BF511" i="1"/>
  <c r="DB508" i="1"/>
  <c r="BN506" i="1"/>
  <c r="Z504" i="1"/>
  <c r="CP501" i="1"/>
  <c r="BB499" i="1"/>
  <c r="CY539" i="1"/>
  <c r="BK537" i="1"/>
  <c r="W535" i="1"/>
  <c r="CM532" i="1"/>
  <c r="AY530" i="1"/>
  <c r="K528" i="1"/>
  <c r="CA525" i="1"/>
  <c r="AM523" i="1"/>
  <c r="DC520" i="1"/>
  <c r="BO518" i="1"/>
  <c r="AA516" i="1"/>
  <c r="CQ513" i="1"/>
  <c r="BC511" i="1"/>
  <c r="CY553" i="1"/>
  <c r="K545" i="1"/>
  <c r="AD542" i="1"/>
  <c r="CT539" i="1"/>
  <c r="BF537" i="1"/>
  <c r="R535" i="1"/>
  <c r="CH532" i="1"/>
  <c r="CA560" i="1"/>
  <c r="Y539" i="1"/>
  <c r="N530" i="1"/>
  <c r="AP525" i="1"/>
  <c r="BR520" i="1"/>
  <c r="CT515" i="1"/>
  <c r="R511" i="1"/>
  <c r="CH508" i="1"/>
  <c r="AT506" i="1"/>
  <c r="F504" i="1"/>
  <c r="BV501" i="1"/>
  <c r="AH499" i="1"/>
  <c r="CL497" i="1"/>
  <c r="AX495" i="1"/>
  <c r="J493" i="1"/>
  <c r="BZ490" i="1"/>
  <c r="Z529" i="1"/>
  <c r="AT522" i="1"/>
  <c r="V516" i="1"/>
  <c r="AT510" i="1"/>
  <c r="AH507" i="1"/>
  <c r="V504" i="1"/>
  <c r="CX500" i="1"/>
  <c r="BZ498" i="1"/>
  <c r="BN495" i="1"/>
  <c r="AL492" i="1"/>
  <c r="BF489" i="1"/>
  <c r="AA555" i="1"/>
  <c r="CO537" i="1"/>
  <c r="AW529" i="1"/>
  <c r="BY524" i="1"/>
  <c r="DA519" i="1"/>
  <c r="Y515" i="1"/>
  <c r="CK510" i="1"/>
  <c r="AW508" i="1"/>
  <c r="I506" i="1"/>
  <c r="BY503" i="1"/>
  <c r="AK501" i="1"/>
  <c r="DA498" i="1"/>
  <c r="BM496" i="1"/>
  <c r="Y494" i="1"/>
  <c r="CO491" i="1"/>
  <c r="BA489" i="1"/>
  <c r="BC554" i="1"/>
  <c r="BU537" i="1"/>
  <c r="AL529" i="1"/>
  <c r="BN524" i="1"/>
  <c r="CP519" i="1"/>
  <c r="N515" i="1"/>
  <c r="CF510" i="1"/>
  <c r="AR508" i="1"/>
  <c r="CS524" i="1"/>
  <c r="BG508" i="1"/>
  <c r="BV498" i="1"/>
  <c r="AH496" i="1"/>
  <c r="CX493" i="1"/>
  <c r="BJ491" i="1"/>
  <c r="V489" i="1"/>
  <c r="CU549" i="1"/>
  <c r="BE536" i="1"/>
  <c r="CG528" i="1"/>
  <c r="DI523" i="1"/>
  <c r="AG519" i="1"/>
  <c r="BI514" i="1"/>
  <c r="BA510" i="1"/>
  <c r="M508" i="1"/>
  <c r="CC505" i="1"/>
  <c r="AO503" i="1"/>
  <c r="DE500" i="1"/>
  <c r="BQ498" i="1"/>
  <c r="AC496" i="1"/>
  <c r="CS493" i="1"/>
  <c r="BE491" i="1"/>
  <c r="Q489" i="1"/>
  <c r="S549" i="1"/>
  <c r="AK536" i="1"/>
  <c r="BV528" i="1"/>
  <c r="CX523" i="1"/>
  <c r="V519" i="1"/>
  <c r="AX514" i="1"/>
  <c r="AV510" i="1"/>
  <c r="H508" i="1"/>
  <c r="Y522" i="1"/>
  <c r="BH507" i="1"/>
  <c r="AD499" i="1"/>
  <c r="CP496" i="1"/>
  <c r="BB494" i="1"/>
  <c r="N492" i="1"/>
  <c r="CD489" i="1"/>
  <c r="CI558" i="1"/>
  <c r="CC538" i="1"/>
  <c r="CS529" i="1"/>
  <c r="Q525" i="1"/>
  <c r="AS520" i="1"/>
  <c r="BU515" i="1"/>
  <c r="DI510" i="1"/>
  <c r="BU508" i="1"/>
  <c r="AG506" i="1"/>
  <c r="CW503" i="1"/>
  <c r="BI501" i="1"/>
  <c r="U499" i="1"/>
  <c r="CK496" i="1"/>
  <c r="AW494" i="1"/>
  <c r="I492" i="1"/>
  <c r="BY489" i="1"/>
  <c r="G558" i="1"/>
  <c r="BI538" i="1"/>
  <c r="CH529" i="1"/>
  <c r="F525" i="1"/>
  <c r="AH520" i="1"/>
  <c r="BJ515" i="1"/>
  <c r="DD510" i="1"/>
  <c r="BP508" i="1"/>
  <c r="BU526" i="1"/>
  <c r="AU509" i="1"/>
  <c r="CL499" i="1"/>
  <c r="N497" i="1"/>
  <c r="CD494" i="1"/>
  <c r="AP492" i="1"/>
  <c r="DF489" i="1"/>
  <c r="BR487" i="1"/>
  <c r="CG539" i="1"/>
  <c r="AS530" i="1"/>
  <c r="BU525" i="1"/>
  <c r="CW520" i="1"/>
  <c r="U516" i="1"/>
  <c r="AW511" i="1"/>
  <c r="CW508" i="1"/>
  <c r="BI506" i="1"/>
  <c r="U504" i="1"/>
  <c r="CK501" i="1"/>
  <c r="AW499" i="1"/>
  <c r="I497" i="1"/>
  <c r="BY494" i="1"/>
  <c r="AK492" i="1"/>
  <c r="DA489" i="1"/>
  <c r="BM487" i="1"/>
  <c r="BM539" i="1"/>
  <c r="AH530" i="1"/>
  <c r="BJ525" i="1"/>
  <c r="CL520" i="1"/>
  <c r="J516" i="1"/>
  <c r="AL511" i="1"/>
  <c r="CR508" i="1"/>
  <c r="CC528" i="1"/>
  <c r="AY510" i="1"/>
  <c r="AC536" i="1"/>
  <c r="J525" i="1"/>
  <c r="CP518" i="1"/>
  <c r="BR512" i="1"/>
  <c r="BR508" i="1"/>
  <c r="BF505" i="1"/>
  <c r="AT502" i="1"/>
  <c r="BR501" i="1"/>
  <c r="CX496" i="1"/>
  <c r="CL493" i="1"/>
  <c r="BJ490" i="1"/>
  <c r="V488" i="1"/>
  <c r="DE541" i="1"/>
  <c r="BE532" i="1"/>
  <c r="CG526" i="1"/>
  <c r="DI521" i="1"/>
  <c r="AG517" i="1"/>
  <c r="BI512" i="1"/>
  <c r="BA509" i="1"/>
  <c r="M507" i="1"/>
  <c r="CC504" i="1"/>
  <c r="AO502" i="1"/>
  <c r="DE499" i="1"/>
  <c r="BQ497" i="1"/>
  <c r="AC495" i="1"/>
  <c r="CS492" i="1"/>
  <c r="BE490" i="1"/>
  <c r="Q488" i="1"/>
  <c r="CK541" i="1"/>
  <c r="AK532" i="1"/>
  <c r="BV526" i="1"/>
  <c r="CX521" i="1"/>
  <c r="V517" i="1"/>
  <c r="AX512" i="1"/>
  <c r="AV509" i="1"/>
  <c r="CO535" i="1"/>
  <c r="Y514" i="1"/>
  <c r="AH500" i="1"/>
  <c r="AL497" i="1"/>
  <c r="DB494" i="1"/>
  <c r="BN492" i="1"/>
  <c r="Z490" i="1"/>
  <c r="CP487" i="1"/>
  <c r="BU540" i="1"/>
  <c r="U531" i="1"/>
  <c r="M526" i="1"/>
  <c r="AO521" i="1"/>
  <c r="BQ516" i="1"/>
  <c r="CS511" i="1"/>
  <c r="Q509" i="1"/>
  <c r="CG506" i="1"/>
  <c r="AS504" i="1"/>
  <c r="DI501" i="1"/>
  <c r="BU499" i="1"/>
  <c r="AG497" i="1"/>
  <c r="CW494" i="1"/>
  <c r="BI492" i="1"/>
  <c r="U490" i="1"/>
  <c r="CK487" i="1"/>
  <c r="BA540" i="1"/>
  <c r="DE530" i="1"/>
  <c r="DF525" i="1"/>
  <c r="AD521" i="1"/>
  <c r="BF516" i="1"/>
  <c r="CH511" i="1"/>
  <c r="L509" i="1"/>
  <c r="BE530" i="1"/>
  <c r="BI511" i="1"/>
  <c r="CR504" i="1"/>
  <c r="CT497" i="1"/>
  <c r="BF495" i="1"/>
  <c r="R493" i="1"/>
  <c r="CH490" i="1"/>
  <c r="AT488" i="1"/>
  <c r="CS542" i="1"/>
  <c r="AS533" i="1"/>
  <c r="Y527" i="1"/>
  <c r="BA522" i="1"/>
  <c r="CC517" i="1"/>
  <c r="DE512" i="1"/>
  <c r="BY509" i="1"/>
  <c r="AK507" i="1"/>
  <c r="DA504" i="1"/>
  <c r="BM502" i="1"/>
  <c r="Y500" i="1"/>
  <c r="CO497" i="1"/>
  <c r="BA495" i="1"/>
  <c r="M493" i="1"/>
  <c r="CC490" i="1"/>
  <c r="AO488" i="1"/>
  <c r="BY542" i="1"/>
  <c r="Y533" i="1"/>
  <c r="N527" i="1"/>
  <c r="AP522" i="1"/>
  <c r="BR517" i="1"/>
  <c r="CT512" i="1"/>
  <c r="BT509" i="1"/>
  <c r="AS539" i="1"/>
  <c r="DE515" i="1"/>
  <c r="DD505" i="1"/>
  <c r="R498" i="1"/>
  <c r="CH495" i="1"/>
  <c r="AT493" i="1"/>
  <c r="F491" i="1"/>
  <c r="BV488" i="1"/>
  <c r="CW543" i="1"/>
  <c r="AW534" i="1"/>
  <c r="CC527" i="1"/>
  <c r="DE522" i="1"/>
  <c r="AC518" i="1"/>
  <c r="BE513" i="1"/>
  <c r="DA509" i="1"/>
  <c r="BM507" i="1"/>
  <c r="Y505" i="1"/>
  <c r="CO502" i="1"/>
  <c r="BA500" i="1"/>
  <c r="M498" i="1"/>
  <c r="CC495" i="1"/>
  <c r="AO493" i="1"/>
  <c r="DE490" i="1"/>
  <c r="BQ488" i="1"/>
  <c r="CC543" i="1"/>
  <c r="AC534" i="1"/>
  <c r="BR527" i="1"/>
  <c r="CT522" i="1"/>
  <c r="R518" i="1"/>
  <c r="AT513" i="1"/>
  <c r="CV509" i="1"/>
  <c r="BI543" i="1"/>
  <c r="I518" i="1"/>
  <c r="U542" i="1"/>
  <c r="AD526" i="1"/>
  <c r="F520" i="1"/>
  <c r="CL513" i="1"/>
  <c r="Z509" i="1"/>
  <c r="N506" i="1"/>
  <c r="DF502" i="1"/>
  <c r="CD499" i="1"/>
  <c r="BF497" i="1"/>
  <c r="AT494" i="1"/>
  <c r="R491" i="1"/>
  <c r="BR488" i="1"/>
  <c r="CG543" i="1"/>
  <c r="AG534" i="1"/>
  <c r="BU527" i="1"/>
  <c r="CW522" i="1"/>
  <c r="U518" i="1"/>
  <c r="AW513" i="1"/>
  <c r="CW509" i="1"/>
  <c r="BI507" i="1"/>
  <c r="U505" i="1"/>
  <c r="CK502" i="1"/>
  <c r="AW500" i="1"/>
  <c r="I498" i="1"/>
  <c r="BY495" i="1"/>
  <c r="AK493" i="1"/>
  <c r="DA490" i="1"/>
  <c r="BM488" i="1"/>
  <c r="BM543" i="1"/>
  <c r="M534" i="1"/>
  <c r="BJ527" i="1"/>
  <c r="CL522" i="1"/>
  <c r="J518" i="1"/>
  <c r="AL513" i="1"/>
  <c r="CR509" i="1"/>
  <c r="DA542" i="1"/>
  <c r="CG517" i="1"/>
  <c r="AV506" i="1"/>
  <c r="CH497" i="1"/>
  <c r="AT495" i="1"/>
  <c r="F493" i="1"/>
  <c r="BV490" i="1"/>
  <c r="AH488" i="1"/>
  <c r="AW542" i="1"/>
  <c r="DA532" i="1"/>
  <c r="DE526" i="1"/>
  <c r="AC522" i="1"/>
  <c r="BE517" i="1"/>
  <c r="CG512" i="1"/>
  <c r="BM509" i="1"/>
  <c r="Y507" i="1"/>
  <c r="CO504" i="1"/>
  <c r="BA502" i="1"/>
  <c r="M500" i="1"/>
  <c r="CC497" i="1"/>
  <c r="AO495" i="1"/>
  <c r="DE492" i="1"/>
  <c r="BQ490" i="1"/>
  <c r="AC488" i="1"/>
  <c r="AC542" i="1"/>
  <c r="CG532" i="1"/>
  <c r="CT526" i="1"/>
  <c r="R522" i="1"/>
  <c r="AT517" i="1"/>
  <c r="BV512" i="1"/>
  <c r="BH509" i="1"/>
  <c r="BQ537" i="1"/>
  <c r="M515" i="1"/>
  <c r="CF505" i="1"/>
  <c r="AL498" i="1"/>
  <c r="DB495" i="1"/>
  <c r="BN493" i="1"/>
  <c r="Z491" i="1"/>
  <c r="CP488" i="1"/>
  <c r="R545" i="1"/>
  <c r="U535" i="1"/>
  <c r="M528" i="1"/>
  <c r="AO523" i="1"/>
  <c r="BQ518" i="1"/>
  <c r="CS513" i="1"/>
  <c r="Q510" i="1"/>
  <c r="CG507" i="1"/>
  <c r="AS505" i="1"/>
  <c r="DI502" i="1"/>
  <c r="BU500" i="1"/>
  <c r="AG498" i="1"/>
  <c r="CW495" i="1"/>
  <c r="BI493" i="1"/>
  <c r="U491" i="1"/>
  <c r="CK488" i="1"/>
  <c r="CH544" i="1"/>
  <c r="DE534" i="1"/>
  <c r="DF527" i="1"/>
  <c r="AD523" i="1"/>
  <c r="BF518" i="1"/>
  <c r="CH513" i="1"/>
  <c r="L510" i="1"/>
  <c r="DC551" i="1"/>
  <c r="BI519" i="1"/>
  <c r="CR506" i="1"/>
  <c r="BN498" i="1"/>
  <c r="Z496" i="1"/>
  <c r="CP493" i="1"/>
  <c r="BB491" i="1"/>
  <c r="N489" i="1"/>
  <c r="CA548" i="1"/>
  <c r="Y536" i="1"/>
  <c r="BQ528" i="1"/>
  <c r="CS523" i="1"/>
  <c r="Q519" i="1"/>
  <c r="AS514" i="1"/>
  <c r="AS510" i="1"/>
  <c r="DI507" i="1"/>
  <c r="BU505" i="1"/>
  <c r="AG503" i="1"/>
  <c r="CW500" i="1"/>
  <c r="BI498" i="1"/>
  <c r="U496" i="1"/>
  <c r="CK493" i="1"/>
  <c r="AW491" i="1"/>
  <c r="I489" i="1"/>
  <c r="DC547" i="1"/>
  <c r="DI535" i="1"/>
  <c r="BF528" i="1"/>
  <c r="CH523" i="1"/>
  <c r="F519" i="1"/>
  <c r="AH514" i="1"/>
  <c r="AN510" i="1"/>
  <c r="CS533" i="1"/>
  <c r="BB524" i="1"/>
  <c r="DB517" i="1"/>
  <c r="CD511" i="1"/>
  <c r="AL508" i="1"/>
  <c r="J505" i="1"/>
  <c r="DB501" i="1"/>
  <c r="AX500" i="1"/>
  <c r="BB496" i="1"/>
  <c r="AP493" i="1"/>
  <c r="AD490" i="1"/>
  <c r="CT487" i="1"/>
  <c r="CK540" i="1"/>
  <c r="AK531" i="1"/>
  <c r="U526" i="1"/>
  <c r="AW521" i="1"/>
  <c r="BY516" i="1"/>
  <c r="DA511" i="1"/>
  <c r="U509" i="1"/>
  <c r="CK506" i="1"/>
  <c r="AW504" i="1"/>
  <c r="I502" i="1"/>
  <c r="BY499" i="1"/>
  <c r="AK497" i="1"/>
  <c r="DA494" i="1"/>
  <c r="BM492" i="1"/>
  <c r="Y490" i="1"/>
  <c r="CO487" i="1"/>
  <c r="BQ540" i="1"/>
  <c r="Q531" i="1"/>
  <c r="J526" i="1"/>
  <c r="AL521" i="1"/>
  <c r="BN516" i="1"/>
  <c r="CP511" i="1"/>
  <c r="P509" i="1"/>
  <c r="M531" i="1"/>
  <c r="CO511" i="1"/>
  <c r="BV499" i="1"/>
  <c r="F497" i="1"/>
  <c r="BV494" i="1"/>
  <c r="AH492" i="1"/>
  <c r="CX489" i="1"/>
  <c r="W562" i="1"/>
  <c r="BA539" i="1"/>
  <c r="AC530" i="1"/>
  <c r="BE525" i="1"/>
  <c r="CG520" i="1"/>
  <c r="DI515" i="1"/>
  <c r="AG511" i="1"/>
  <c r="CO508" i="1"/>
  <c r="BA506" i="1"/>
  <c r="M504" i="1"/>
  <c r="CC501" i="1"/>
  <c r="AO499" i="1"/>
  <c r="DE496" i="1"/>
  <c r="BQ494" i="1"/>
  <c r="AC492" i="1"/>
  <c r="CS489" i="1"/>
  <c r="DG560" i="1"/>
  <c r="AG539" i="1"/>
  <c r="R530" i="1"/>
  <c r="AT525" i="1"/>
  <c r="BV520" i="1"/>
  <c r="CX515" i="1"/>
  <c r="V511" i="1"/>
  <c r="CJ508" i="1"/>
  <c r="Q528" i="1"/>
  <c r="S510" i="1"/>
  <c r="AL501" i="1"/>
  <c r="BN497" i="1"/>
  <c r="Z495" i="1"/>
  <c r="CP492" i="1"/>
  <c r="BB490" i="1"/>
  <c r="N488" i="1"/>
  <c r="BY541" i="1"/>
  <c r="Y532" i="1"/>
  <c r="BQ526" i="1"/>
  <c r="CS521" i="1"/>
  <c r="Q517" i="1"/>
  <c r="AS512" i="1"/>
  <c r="AS509" i="1"/>
  <c r="DI506" i="1"/>
  <c r="BU504" i="1"/>
  <c r="AG502" i="1"/>
  <c r="CW499" i="1"/>
  <c r="BI497" i="1"/>
  <c r="U495" i="1"/>
  <c r="CK492" i="1"/>
  <c r="AW490" i="1"/>
  <c r="I488" i="1"/>
  <c r="BE541" i="1"/>
  <c r="DI531" i="1"/>
  <c r="BF526" i="1"/>
  <c r="CH521" i="1"/>
  <c r="F517" i="1"/>
  <c r="AH512" i="1"/>
  <c r="AN509" i="1"/>
  <c r="BU534" i="1"/>
  <c r="BQ513" i="1"/>
  <c r="AR505" i="1"/>
  <c r="CP497" i="1"/>
  <c r="BB495" i="1"/>
  <c r="N493" i="1"/>
  <c r="CD490" i="1"/>
  <c r="AP488" i="1"/>
  <c r="CC542" i="1"/>
  <c r="AC533" i="1"/>
  <c r="Q527" i="1"/>
  <c r="AS522" i="1"/>
  <c r="BU517" i="1"/>
  <c r="CW512" i="1"/>
  <c r="BU509" i="1"/>
  <c r="AG507" i="1"/>
  <c r="CW504" i="1"/>
  <c r="BI502" i="1"/>
  <c r="U500" i="1"/>
  <c r="CK497" i="1"/>
  <c r="AW495" i="1"/>
  <c r="I493" i="1"/>
  <c r="BY490" i="1"/>
  <c r="AK488" i="1"/>
  <c r="BI542" i="1"/>
  <c r="I533" i="1"/>
  <c r="F527" i="1"/>
  <c r="AH522" i="1"/>
  <c r="BJ517" i="1"/>
  <c r="CL512" i="1"/>
  <c r="BP509" i="1"/>
  <c r="CK538" i="1"/>
  <c r="BY515" i="1"/>
  <c r="CV505" i="1"/>
  <c r="T501" i="1"/>
  <c r="BX499" i="1"/>
  <c r="CZ494" i="1"/>
  <c r="X490" i="1"/>
  <c r="BF486" i="1"/>
  <c r="R484" i="1"/>
  <c r="I528" i="1"/>
  <c r="O510" i="1"/>
  <c r="AE504" i="1"/>
  <c r="BG499" i="1"/>
  <c r="CI494" i="1"/>
  <c r="AO526" i="1"/>
  <c r="BT502" i="1"/>
  <c r="AR499" i="1"/>
  <c r="T493" i="1"/>
  <c r="AD487" i="1"/>
  <c r="DF483" i="1"/>
  <c r="DA520" i="1"/>
  <c r="CE505" i="1"/>
  <c r="AA499" i="1"/>
  <c r="DG492" i="1"/>
  <c r="M527" i="1"/>
  <c r="BS509" i="1"/>
  <c r="DH503" i="1"/>
  <c r="AF499" i="1"/>
  <c r="BH494" i="1"/>
  <c r="CJ489" i="1"/>
  <c r="AJ486" i="1"/>
  <c r="CZ483" i="1"/>
  <c r="CQ503" i="1"/>
  <c r="DG487" i="1"/>
  <c r="P483" i="1"/>
  <c r="CF480" i="1"/>
  <c r="AR478" i="1"/>
  <c r="AV475" i="1"/>
  <c r="H473" i="1"/>
  <c r="BT469" i="1"/>
  <c r="AF467" i="1"/>
  <c r="CR463" i="1"/>
  <c r="AZ460" i="1"/>
  <c r="L458" i="1"/>
  <c r="CN454" i="1"/>
  <c r="AZ452" i="1"/>
  <c r="CU502" i="1"/>
  <c r="BI487" i="1"/>
  <c r="DG482" i="1"/>
  <c r="BS480" i="1"/>
  <c r="AE478" i="1"/>
  <c r="AI475" i="1"/>
  <c r="CY472" i="1"/>
  <c r="BW469" i="1"/>
  <c r="AI467" i="1"/>
  <c r="CU463" i="1"/>
  <c r="BC460" i="1"/>
  <c r="O458" i="1"/>
  <c r="CA454" i="1"/>
  <c r="AM452" i="1"/>
  <c r="AA502" i="1"/>
  <c r="AQ487" i="1"/>
  <c r="CX482" i="1"/>
  <c r="BJ480" i="1"/>
  <c r="V478" i="1"/>
  <c r="BR474" i="1"/>
  <c r="AD472" i="1"/>
  <c r="CP468" i="1"/>
  <c r="AX465" i="1"/>
  <c r="J463" i="1"/>
  <c r="CL459" i="1"/>
  <c r="BP499" i="1"/>
  <c r="CR494" i="1"/>
  <c r="P490" i="1"/>
  <c r="BB486" i="1"/>
  <c r="N484" i="1"/>
  <c r="CG527" i="1"/>
  <c r="DC509" i="1"/>
  <c r="W504" i="1"/>
  <c r="AY499" i="1"/>
  <c r="CA494" i="1"/>
  <c r="BY539" i="1"/>
  <c r="Q516" i="1"/>
  <c r="DH505" i="1"/>
  <c r="AF501" i="1"/>
  <c r="BH496" i="1"/>
  <c r="CJ491" i="1"/>
  <c r="AJ487" i="1"/>
  <c r="CZ484" i="1"/>
  <c r="BE520" i="1"/>
  <c r="CU492" i="1"/>
  <c r="G485" i="1"/>
  <c r="CF481" i="1"/>
  <c r="AR479" i="1"/>
  <c r="CN475" i="1"/>
  <c r="AZ473" i="1"/>
  <c r="H470" i="1"/>
  <c r="BX467" i="1"/>
  <c r="AF464" i="1"/>
  <c r="DH460" i="1"/>
  <c r="BT458" i="1"/>
  <c r="AB455" i="1"/>
  <c r="CR452" i="1"/>
  <c r="S506" i="1"/>
  <c r="S489" i="1"/>
  <c r="BQ483" i="1"/>
  <c r="G481" i="1"/>
  <c r="BW478" i="1"/>
  <c r="O475" i="1"/>
  <c r="CE472" i="1"/>
  <c r="AM469" i="1"/>
  <c r="CY465" i="1"/>
  <c r="BK463" i="1"/>
  <c r="S460" i="1"/>
  <c r="CI457" i="1"/>
  <c r="BG454" i="1"/>
  <c r="S452" i="1"/>
  <c r="CE500" i="1"/>
  <c r="DG486" i="1"/>
  <c r="CD482" i="1"/>
  <c r="AP480" i="1"/>
  <c r="DF477" i="1"/>
  <c r="AX474" i="1"/>
  <c r="J472" i="1"/>
  <c r="BV468" i="1"/>
  <c r="AT465" i="1"/>
  <c r="F463" i="1"/>
  <c r="BR459" i="1"/>
  <c r="P500" i="1"/>
  <c r="AR495" i="1"/>
  <c r="BT490" i="1"/>
  <c r="CD486" i="1"/>
  <c r="AP484" i="1"/>
  <c r="CO529" i="1"/>
  <c r="DG510" i="1"/>
  <c r="CA504" i="1"/>
  <c r="DC499" i="1"/>
  <c r="AA495" i="1"/>
  <c r="CO543" i="1"/>
  <c r="Y518" i="1"/>
  <c r="BH506" i="1"/>
  <c r="CJ501" i="1"/>
  <c r="H497" i="1"/>
  <c r="AJ492" i="1"/>
  <c r="BL487" i="1"/>
  <c r="X485" i="1"/>
  <c r="CK528" i="1"/>
  <c r="DC494" i="1"/>
  <c r="BK485" i="1"/>
  <c r="DH481" i="1"/>
  <c r="BT479" i="1"/>
  <c r="AF477" i="1"/>
  <c r="CB473" i="1"/>
  <c r="AJ470" i="1"/>
  <c r="CZ467" i="1"/>
  <c r="BX464" i="1"/>
  <c r="AJ462" i="1"/>
  <c r="CV458" i="1"/>
  <c r="BD455" i="1"/>
  <c r="P453" i="1"/>
  <c r="BK508" i="1"/>
  <c r="W490" i="1"/>
  <c r="Q484" i="1"/>
  <c r="AI481" i="1"/>
  <c r="CY478" i="1"/>
  <c r="DC475" i="1"/>
  <c r="BO473" i="1"/>
  <c r="W470" i="1"/>
  <c r="CM467" i="1"/>
  <c r="AU464" i="1"/>
  <c r="G462" i="1"/>
  <c r="CI458" i="1"/>
  <c r="AQ455" i="1"/>
  <c r="DG452" i="1"/>
  <c r="BK507" i="1"/>
  <c r="CQ489" i="1"/>
  <c r="DC483" i="1"/>
  <c r="Z481" i="1"/>
  <c r="CP478" i="1"/>
  <c r="CT475" i="1"/>
  <c r="BF473" i="1"/>
  <c r="AD470" i="1"/>
  <c r="CT467" i="1"/>
  <c r="BB464" i="1"/>
  <c r="N462" i="1"/>
  <c r="AB505" i="1"/>
  <c r="T499" i="1"/>
  <c r="AV494" i="1"/>
  <c r="BX489" i="1"/>
  <c r="AD486" i="1"/>
  <c r="CT483" i="1"/>
  <c r="DE525" i="1"/>
  <c r="K509" i="1"/>
  <c r="CE503" i="1"/>
  <c r="DG498" i="1"/>
  <c r="AE494" i="1"/>
  <c r="Q536" i="1"/>
  <c r="AO514" i="1"/>
  <c r="BL505" i="1"/>
  <c r="CN500" i="1"/>
  <c r="L496" i="1"/>
  <c r="AN491" i="1"/>
  <c r="L487" i="1"/>
  <c r="CB484" i="1"/>
  <c r="AS513" i="1"/>
  <c r="O491" i="1"/>
  <c r="BO484" i="1"/>
  <c r="BH481" i="1"/>
  <c r="T479" i="1"/>
  <c r="BP475" i="1"/>
  <c r="AB473" i="1"/>
  <c r="DD469" i="1"/>
  <c r="BP467" i="1"/>
  <c r="X464" i="1"/>
  <c r="CJ460" i="1"/>
  <c r="AV458" i="1"/>
  <c r="DH454" i="1"/>
  <c r="BT452" i="1"/>
  <c r="AQ504" i="1"/>
  <c r="AE488" i="1"/>
  <c r="W483" i="1"/>
  <c r="CM480" i="1"/>
  <c r="AY478" i="1"/>
  <c r="CU474" i="1"/>
  <c r="BG472" i="1"/>
  <c r="O469" i="1"/>
  <c r="CQ465" i="1"/>
  <c r="BC463" i="1"/>
  <c r="K460" i="1"/>
  <c r="CA457" i="1"/>
  <c r="AI454" i="1"/>
  <c r="CY451" i="1"/>
  <c r="DC498" i="1"/>
  <c r="BK486" i="1"/>
  <c r="BF482" i="1"/>
  <c r="R480" i="1"/>
  <c r="CH477" i="1"/>
  <c r="CL474" i="1"/>
  <c r="AX472" i="1"/>
  <c r="F469" i="1"/>
  <c r="BR465" i="1"/>
  <c r="AD463" i="1"/>
  <c r="CP459" i="1"/>
  <c r="BV459" i="1"/>
  <c r="BJ455" i="1"/>
  <c r="V453" i="1"/>
  <c r="AK511" i="1"/>
  <c r="CQ490" i="1"/>
  <c r="BA484" i="1"/>
  <c r="BA481" i="1"/>
  <c r="M479" i="1"/>
  <c r="BI475" i="1"/>
  <c r="U473" i="1"/>
  <c r="AJ505" i="1"/>
  <c r="CJ502" i="1"/>
  <c r="CN495" i="1"/>
  <c r="BP489" i="1"/>
  <c r="BB485" i="1"/>
  <c r="CC532" i="1"/>
  <c r="CY508" i="1"/>
  <c r="W502" i="1"/>
  <c r="BW495" i="1"/>
  <c r="AG540" i="1"/>
  <c r="AW516" i="1"/>
  <c r="L506" i="1"/>
  <c r="AN501" i="1"/>
  <c r="BP496" i="1"/>
  <c r="CR491" i="1"/>
  <c r="AN487" i="1"/>
  <c r="DD484" i="1"/>
  <c r="BY521" i="1"/>
  <c r="W493" i="1"/>
  <c r="O485" i="1"/>
  <c r="CJ481" i="1"/>
  <c r="AV479" i="1"/>
  <c r="H477" i="1"/>
  <c r="L474" i="1"/>
  <c r="BX470" i="1"/>
  <c r="AJ468" i="1"/>
  <c r="CV464" i="1"/>
  <c r="BH462" i="1"/>
  <c r="P459" i="1"/>
  <c r="CR455" i="1"/>
  <c r="BD453" i="1"/>
  <c r="CO517" i="1"/>
  <c r="AA492" i="1"/>
  <c r="CS484" i="1"/>
  <c r="BW481" i="1"/>
  <c r="AI479" i="1"/>
  <c r="CE475" i="1"/>
  <c r="AQ473" i="1"/>
  <c r="O470" i="1"/>
  <c r="CE467" i="1"/>
  <c r="AM464" i="1"/>
  <c r="CY460" i="1"/>
  <c r="BK458" i="1"/>
  <c r="S455" i="1"/>
  <c r="CI452" i="1"/>
  <c r="CI505" i="1"/>
  <c r="DC488" i="1"/>
  <c r="BG483" i="1"/>
  <c r="DF480" i="1"/>
  <c r="BR478" i="1"/>
  <c r="J475" i="1"/>
  <c r="BZ472" i="1"/>
  <c r="AH469" i="1"/>
  <c r="CT465" i="1"/>
  <c r="BF463" i="1"/>
  <c r="AD460" i="1"/>
  <c r="BD500" i="1"/>
  <c r="CF495" i="1"/>
  <c r="DH490" i="1"/>
  <c r="CX486" i="1"/>
  <c r="BJ484" i="1"/>
  <c r="Q532" i="1"/>
  <c r="AO512" i="1"/>
  <c r="K505" i="1"/>
  <c r="AM500" i="1"/>
  <c r="BO495" i="1"/>
  <c r="S553" i="1"/>
  <c r="BY519" i="1"/>
  <c r="CV506" i="1"/>
  <c r="T502" i="1"/>
  <c r="AV497" i="1"/>
  <c r="BX492" i="1"/>
  <c r="CZ487" i="1"/>
  <c r="AR485" i="1"/>
  <c r="DA538" i="1"/>
  <c r="AY496" i="1"/>
  <c r="CY485" i="1"/>
  <c r="X482" i="1"/>
  <c r="CN479" i="1"/>
  <c r="AZ477" i="1"/>
  <c r="CV473" i="1"/>
  <c r="BD470" i="1"/>
  <c r="P468" i="1"/>
  <c r="CB464" i="1"/>
  <c r="AN462" i="1"/>
  <c r="L459" i="1"/>
  <c r="BX455" i="1"/>
  <c r="AJ453" i="1"/>
  <c r="CW511" i="1"/>
  <c r="CY490" i="1"/>
  <c r="BE484" i="1"/>
  <c r="BC481" i="1"/>
  <c r="O479" i="1"/>
  <c r="BK475" i="1"/>
  <c r="W473" i="1"/>
  <c r="CI469" i="1"/>
  <c r="AU467" i="1"/>
  <c r="DG463" i="1"/>
  <c r="BO460" i="1"/>
  <c r="AA458" i="1"/>
  <c r="DC454" i="1"/>
  <c r="BO452" i="1"/>
  <c r="AI504" i="1"/>
  <c r="AA488" i="1"/>
  <c r="V483" i="1"/>
  <c r="CL480" i="1"/>
  <c r="AX478" i="1"/>
  <c r="CT474" i="1"/>
  <c r="BF472" i="1"/>
  <c r="N469" i="1"/>
  <c r="CP465" i="1"/>
  <c r="BB463" i="1"/>
  <c r="J460" i="1"/>
  <c r="DH500" i="1"/>
  <c r="AF496" i="1"/>
  <c r="BH491" i="1"/>
  <c r="V487" i="1"/>
  <c r="CL484" i="1"/>
  <c r="AG536" i="1"/>
  <c r="AW514" i="1"/>
  <c r="BO505" i="1"/>
  <c r="CQ500" i="1"/>
  <c r="O496" i="1"/>
  <c r="AQ491" i="1"/>
  <c r="CG521" i="1"/>
  <c r="AV507" i="1"/>
  <c r="BX502" i="1"/>
  <c r="CZ497" i="1"/>
  <c r="X493" i="1"/>
  <c r="AZ488" i="1"/>
  <c r="BT485" i="1"/>
  <c r="AF483" i="1"/>
  <c r="BG498" i="1"/>
  <c r="AY486" i="1"/>
  <c r="AZ482" i="1"/>
  <c r="L480" i="1"/>
  <c r="CB477" i="1"/>
  <c r="CF474" i="1"/>
  <c r="AR472" i="1"/>
  <c r="DD468" i="1"/>
  <c r="CB465" i="1"/>
  <c r="AN463" i="1"/>
  <c r="CZ459" i="1"/>
  <c r="BL457" i="1"/>
  <c r="T454" i="1"/>
  <c r="AI557" i="1"/>
  <c r="BK497" i="1"/>
  <c r="Y486" i="1"/>
  <c r="AM482" i="1"/>
  <c r="DC479" i="1"/>
  <c r="BO477" i="1"/>
  <c r="G474" i="1"/>
  <c r="BS470" i="1"/>
  <c r="AE468" i="1"/>
  <c r="CQ464" i="1"/>
  <c r="BC462" i="1"/>
  <c r="AA459" i="1"/>
  <c r="CM455" i="1"/>
  <c r="AY453" i="1"/>
  <c r="BI517" i="1"/>
  <c r="S492" i="1"/>
  <c r="CQ484" i="1"/>
  <c r="BV481" i="1"/>
  <c r="AH479" i="1"/>
  <c r="CD475" i="1"/>
  <c r="AP473" i="1"/>
  <c r="N470" i="1"/>
  <c r="CD467" i="1"/>
  <c r="AL464" i="1"/>
  <c r="CX460" i="1"/>
  <c r="BD504" i="1"/>
  <c r="CR498" i="1"/>
  <c r="P494" i="1"/>
  <c r="AR489" i="1"/>
  <c r="N486" i="1"/>
  <c r="CD483" i="1"/>
  <c r="CK524" i="1"/>
  <c r="BC508" i="1"/>
  <c r="AY503" i="1"/>
  <c r="CA498" i="1"/>
  <c r="DC493" i="1"/>
  <c r="CG533" i="1"/>
  <c r="U513" i="1"/>
  <c r="AF505" i="1"/>
  <c r="BH500" i="1"/>
  <c r="CJ495" i="1"/>
  <c r="H491" i="1"/>
  <c r="CZ486" i="1"/>
  <c r="BL484" i="1"/>
  <c r="CU509" i="1"/>
  <c r="BG490" i="1"/>
  <c r="AI484" i="1"/>
  <c r="AR481" i="1"/>
  <c r="DH478" i="1"/>
  <c r="AZ475" i="1"/>
  <c r="L473" i="1"/>
  <c r="CN469" i="1"/>
  <c r="AZ467" i="1"/>
  <c r="H464" i="1"/>
  <c r="BT460" i="1"/>
  <c r="AF458" i="1"/>
  <c r="CR454" i="1"/>
  <c r="BD452" i="1"/>
  <c r="W503" i="1"/>
  <c r="BW487" i="1"/>
  <c r="G483" i="1"/>
  <c r="BW480" i="1"/>
  <c r="AI478" i="1"/>
  <c r="AM475" i="1"/>
  <c r="DC472" i="1"/>
  <c r="BK469" i="1"/>
  <c r="W467" i="1"/>
  <c r="CY463" i="1"/>
  <c r="BG460" i="1"/>
  <c r="S458" i="1"/>
  <c r="CE454" i="1"/>
  <c r="AQ452" i="1"/>
  <c r="BG502" i="1"/>
  <c r="AY487" i="1"/>
  <c r="DB482" i="1"/>
  <c r="BN480" i="1"/>
  <c r="Z478" i="1"/>
  <c r="AD475" i="1"/>
  <c r="CT472" i="1"/>
  <c r="BB469" i="1"/>
  <c r="N467" i="1"/>
  <c r="BZ463" i="1"/>
  <c r="AH460" i="1"/>
  <c r="CX457" i="1"/>
  <c r="DF455" i="1"/>
  <c r="BR453" i="1"/>
  <c r="BI525" i="1"/>
  <c r="S494" i="1"/>
  <c r="AO485" i="1"/>
  <c r="CW481" i="1"/>
  <c r="BI479" i="1"/>
  <c r="U477" i="1"/>
  <c r="Y474" i="1"/>
  <c r="CK470" i="1"/>
  <c r="AW468" i="1"/>
  <c r="DI464" i="1"/>
  <c r="BU462" i="1"/>
  <c r="AS459" i="1"/>
  <c r="DH504" i="1"/>
  <c r="DD501" i="1"/>
  <c r="BH495" i="1"/>
  <c r="AJ489" i="1"/>
  <c r="V485" i="1"/>
  <c r="AW530" i="1"/>
  <c r="AM508" i="1"/>
  <c r="BO501" i="1"/>
  <c r="AQ495" i="1"/>
  <c r="CW537" i="1"/>
  <c r="AC515" i="1"/>
  <c r="CJ505" i="1"/>
  <c r="H501" i="1"/>
  <c r="AJ496" i="1"/>
  <c r="BL491" i="1"/>
  <c r="X487" i="1"/>
  <c r="CN484" i="1"/>
  <c r="DA516" i="1"/>
  <c r="DG491" i="1"/>
  <c r="CM484" i="1"/>
  <c r="BT481" i="1"/>
  <c r="AF479" i="1"/>
  <c r="CB475" i="1"/>
  <c r="AN473" i="1"/>
  <c r="CZ469" i="1"/>
  <c r="BL467" i="1"/>
  <c r="T464" i="1"/>
  <c r="CF460" i="1"/>
  <c r="AR458" i="1"/>
  <c r="P455" i="1"/>
  <c r="CF452" i="1"/>
  <c r="AE505" i="1"/>
  <c r="CA488" i="1"/>
  <c r="AS483" i="1"/>
  <c r="CY480" i="1"/>
  <c r="BK478" i="1"/>
  <c r="AC491" i="1"/>
  <c r="CS488" i="1"/>
  <c r="AP545" i="1"/>
  <c r="AG535" i="1"/>
  <c r="R528" i="1"/>
  <c r="AT523" i="1"/>
  <c r="BV518" i="1"/>
  <c r="CX513" i="1"/>
  <c r="T510" i="1"/>
  <c r="CA556" i="1"/>
  <c r="Q520" i="1"/>
  <c r="DH506" i="1"/>
  <c r="J498" i="1"/>
  <c r="BZ495" i="1"/>
  <c r="AL493" i="1"/>
  <c r="DB490" i="1"/>
  <c r="BN488" i="1"/>
  <c r="BQ543" i="1"/>
  <c r="Q534" i="1"/>
  <c r="BM527" i="1"/>
  <c r="CO522" i="1"/>
  <c r="M518" i="1"/>
  <c r="AO513" i="1"/>
  <c r="CS509" i="1"/>
  <c r="BE507" i="1"/>
  <c r="Q505" i="1"/>
  <c r="CG502" i="1"/>
  <c r="AS500" i="1"/>
  <c r="DI497" i="1"/>
  <c r="BU495" i="1"/>
  <c r="AG493" i="1"/>
  <c r="CW490" i="1"/>
  <c r="BI488" i="1"/>
  <c r="AW543" i="1"/>
  <c r="DA533" i="1"/>
  <c r="BB527" i="1"/>
  <c r="CD522" i="1"/>
  <c r="DF517" i="1"/>
  <c r="AD513" i="1"/>
  <c r="CN509" i="1"/>
  <c r="AO542" i="1"/>
  <c r="BA517" i="1"/>
  <c r="AN506" i="1"/>
  <c r="BR498" i="1"/>
  <c r="AD496" i="1"/>
  <c r="CT493" i="1"/>
  <c r="BF491" i="1"/>
  <c r="R489" i="1"/>
  <c r="AI549" i="1"/>
  <c r="AO536" i="1"/>
  <c r="BY528" i="1"/>
  <c r="DA523" i="1"/>
  <c r="Y519" i="1"/>
  <c r="BA514" i="1"/>
  <c r="AW510" i="1"/>
  <c r="I508" i="1"/>
  <c r="BY505" i="1"/>
  <c r="AK503" i="1"/>
  <c r="DA500" i="1"/>
  <c r="BM498" i="1"/>
  <c r="Y496" i="1"/>
  <c r="CO493" i="1"/>
  <c r="BA491" i="1"/>
  <c r="M489" i="1"/>
  <c r="BK548" i="1"/>
  <c r="U536" i="1"/>
  <c r="BN528" i="1"/>
  <c r="CP523" i="1"/>
  <c r="N519" i="1"/>
  <c r="AP514" i="1"/>
  <c r="AR510" i="1"/>
  <c r="DH507" i="1"/>
  <c r="CW521" i="1"/>
  <c r="AZ507" i="1"/>
  <c r="CT498" i="1"/>
  <c r="BF496" i="1"/>
  <c r="R494" i="1"/>
  <c r="CH491" i="1"/>
  <c r="AT489" i="1"/>
  <c r="AY553" i="1"/>
  <c r="AS537" i="1"/>
  <c r="Y529" i="1"/>
  <c r="BA524" i="1"/>
  <c r="CC519" i="1"/>
  <c r="DE514" i="1"/>
  <c r="BY510" i="1"/>
  <c r="AK508" i="1"/>
  <c r="DA505" i="1"/>
  <c r="BM503" i="1"/>
  <c r="Y501" i="1"/>
  <c r="CO498" i="1"/>
  <c r="BA496" i="1"/>
  <c r="M494" i="1"/>
  <c r="CC491" i="1"/>
  <c r="AO489" i="1"/>
  <c r="CA552" i="1"/>
  <c r="Y537" i="1"/>
  <c r="N529" i="1"/>
  <c r="AP524" i="1"/>
  <c r="BR519" i="1"/>
  <c r="CT514" i="1"/>
  <c r="BT510" i="1"/>
  <c r="AF508" i="1"/>
  <c r="DE523" i="1"/>
  <c r="K508" i="1"/>
  <c r="BE531" i="1"/>
  <c r="BN523" i="1"/>
  <c r="AP517" i="1"/>
  <c r="DF510" i="1"/>
  <c r="CT507" i="1"/>
  <c r="CH504" i="1"/>
  <c r="BF501" i="1"/>
  <c r="AT499" i="1"/>
  <c r="V496" i="1"/>
  <c r="CX492" i="1"/>
  <c r="DB489" i="1"/>
  <c r="BN487" i="1"/>
  <c r="BQ539" i="1"/>
  <c r="AK530" i="1"/>
  <c r="BM525" i="1"/>
  <c r="CO520" i="1"/>
  <c r="M516" i="1"/>
  <c r="AO511" i="1"/>
  <c r="CS508" i="1"/>
  <c r="BE506" i="1"/>
  <c r="Q504" i="1"/>
  <c r="CG501" i="1"/>
  <c r="AS499" i="1"/>
  <c r="DI496" i="1"/>
  <c r="BU494" i="1"/>
  <c r="AG492" i="1"/>
  <c r="CW489" i="1"/>
  <c r="CS561" i="1"/>
  <c r="AW539" i="1"/>
  <c r="Z530" i="1"/>
  <c r="BB525" i="1"/>
  <c r="CD520" i="1"/>
  <c r="DF515" i="1"/>
  <c r="AD511" i="1"/>
  <c r="CN508" i="1"/>
  <c r="AW528" i="1"/>
  <c r="AI510" i="1"/>
  <c r="N499" i="1"/>
  <c r="CD496" i="1"/>
  <c r="AP494" i="1"/>
  <c r="DF491" i="1"/>
  <c r="BR489" i="1"/>
  <c r="DG556" i="1"/>
  <c r="AG538" i="1"/>
  <c r="BU529" i="1"/>
  <c r="CW524" i="1"/>
  <c r="U520" i="1"/>
  <c r="AW515" i="1"/>
  <c r="CW510" i="1"/>
  <c r="BI508" i="1"/>
  <c r="U506" i="1"/>
  <c r="CK503" i="1"/>
  <c r="AW501" i="1"/>
  <c r="I499" i="1"/>
  <c r="BY496" i="1"/>
  <c r="AK494" i="1"/>
  <c r="DA491" i="1"/>
  <c r="BM489" i="1"/>
  <c r="AE556" i="1"/>
  <c r="M538" i="1"/>
  <c r="BJ529" i="1"/>
  <c r="CL524" i="1"/>
  <c r="J520" i="1"/>
  <c r="AL515" i="1"/>
  <c r="CR510" i="1"/>
  <c r="BD508" i="1"/>
  <c r="CG525" i="1"/>
  <c r="DC508" i="1"/>
  <c r="R500" i="1"/>
  <c r="AH497" i="1"/>
  <c r="CX494" i="1"/>
  <c r="BJ492" i="1"/>
  <c r="V490" i="1"/>
  <c r="CL487" i="1"/>
  <c r="BE540" i="1"/>
  <c r="DI530" i="1"/>
  <c r="DI525" i="1"/>
  <c r="AG521" i="1"/>
  <c r="BI516" i="1"/>
  <c r="CK511" i="1"/>
  <c r="M509" i="1"/>
  <c r="CC506" i="1"/>
  <c r="AO504" i="1"/>
  <c r="DE501" i="1"/>
  <c r="BQ499" i="1"/>
  <c r="AC497" i="1"/>
  <c r="CS494" i="1"/>
  <c r="BE492" i="1"/>
  <c r="Q490" i="1"/>
  <c r="CG487" i="1"/>
  <c r="AK540" i="1"/>
  <c r="CO530" i="1"/>
  <c r="CX525" i="1"/>
  <c r="V521" i="1"/>
  <c r="AX516" i="1"/>
  <c r="BZ511" i="1"/>
  <c r="H509" i="1"/>
  <c r="Y530" i="1"/>
  <c r="AC511" i="1"/>
  <c r="V501" i="1"/>
  <c r="BJ497" i="1"/>
  <c r="V495" i="1"/>
  <c r="CL492" i="1"/>
  <c r="AX490" i="1"/>
  <c r="J488" i="1"/>
  <c r="BI541" i="1"/>
  <c r="I532" i="1"/>
  <c r="BI526" i="1"/>
  <c r="CK521" i="1"/>
  <c r="I517" i="1"/>
  <c r="AK512" i="1"/>
  <c r="AO509" i="1"/>
  <c r="DE506" i="1"/>
  <c r="BQ504" i="1"/>
  <c r="AC502" i="1"/>
  <c r="CS499" i="1"/>
  <c r="BE497" i="1"/>
  <c r="Q495" i="1"/>
  <c r="CG492" i="1"/>
  <c r="AS490" i="1"/>
  <c r="DI487" i="1"/>
  <c r="AO541" i="1"/>
  <c r="CS531" i="1"/>
  <c r="AX526" i="1"/>
  <c r="BZ521" i="1"/>
  <c r="DB516" i="1"/>
  <c r="Z512" i="1"/>
  <c r="AJ509" i="1"/>
  <c r="I534" i="1"/>
  <c r="AK513" i="1"/>
  <c r="I535" i="1"/>
  <c r="CH524" i="1"/>
  <c r="BJ518" i="1"/>
  <c r="F512" i="1"/>
  <c r="BB508" i="1"/>
  <c r="AP505" i="1"/>
  <c r="N502" i="1"/>
  <c r="F501" i="1"/>
  <c r="CH496" i="1"/>
  <c r="BF493" i="1"/>
  <c r="AT490" i="1"/>
  <c r="F488" i="1"/>
  <c r="AS541" i="1"/>
  <c r="CW531" i="1"/>
  <c r="BA526" i="1"/>
  <c r="CC521" i="1"/>
  <c r="DE516" i="1"/>
  <c r="AC512" i="1"/>
  <c r="AK509" i="1"/>
  <c r="DA506" i="1"/>
  <c r="BM504" i="1"/>
  <c r="Y502" i="1"/>
  <c r="CO499" i="1"/>
  <c r="BA497" i="1"/>
  <c r="M495" i="1"/>
  <c r="CC492" i="1"/>
  <c r="AO490" i="1"/>
  <c r="DE487" i="1"/>
  <c r="Y541" i="1"/>
  <c r="CC531" i="1"/>
  <c r="AP526" i="1"/>
  <c r="BR521" i="1"/>
  <c r="CT516" i="1"/>
  <c r="R512" i="1"/>
  <c r="AF509" i="1"/>
  <c r="BA533" i="1"/>
  <c r="DI512" i="1"/>
  <c r="DB499" i="1"/>
  <c r="V497" i="1"/>
  <c r="CL494" i="1"/>
  <c r="AX492" i="1"/>
  <c r="J490" i="1"/>
  <c r="BZ487" i="1"/>
  <c r="I540" i="1"/>
  <c r="BM530" i="1"/>
  <c r="CK525" i="1"/>
  <c r="I521" i="1"/>
  <c r="AK516" i="1"/>
  <c r="BM511" i="1"/>
  <c r="DE508" i="1"/>
  <c r="BQ506" i="1"/>
  <c r="AC504" i="1"/>
  <c r="CS501" i="1"/>
  <c r="BE499" i="1"/>
  <c r="Q497" i="1"/>
  <c r="CG494" i="1"/>
  <c r="AS492" i="1"/>
  <c r="DI489" i="1"/>
  <c r="BU487" i="1"/>
  <c r="CS539" i="1"/>
  <c r="AX530" i="1"/>
  <c r="BZ525" i="1"/>
  <c r="DB520" i="1"/>
  <c r="Z516" i="1"/>
  <c r="BB511" i="1"/>
  <c r="CZ508" i="1"/>
  <c r="AK529" i="1"/>
  <c r="CE510" i="1"/>
  <c r="BL504" i="1"/>
  <c r="CD497" i="1"/>
  <c r="AP495" i="1"/>
  <c r="DF492" i="1"/>
  <c r="BR490" i="1"/>
  <c r="AD488" i="1"/>
  <c r="AG542" i="1"/>
  <c r="CK532" i="1"/>
  <c r="CW526" i="1"/>
  <c r="U522" i="1"/>
  <c r="AW517" i="1"/>
  <c r="BY512" i="1"/>
  <c r="BI509" i="1"/>
  <c r="U507" i="1"/>
  <c r="CK504" i="1"/>
  <c r="AW502" i="1"/>
  <c r="I500" i="1"/>
  <c r="BY497" i="1"/>
  <c r="AK495" i="1"/>
  <c r="DA492" i="1"/>
  <c r="BM490" i="1"/>
  <c r="Y488" i="1"/>
  <c r="M542" i="1"/>
  <c r="BQ532" i="1"/>
  <c r="CL526" i="1"/>
  <c r="J522" i="1"/>
  <c r="AL517" i="1"/>
  <c r="BN512" i="1"/>
  <c r="BD509" i="1"/>
  <c r="DI536" i="1"/>
  <c r="CK514" i="1"/>
  <c r="BX505" i="1"/>
  <c r="DF497" i="1"/>
  <c r="BR495" i="1"/>
  <c r="AD493" i="1"/>
  <c r="CT490" i="1"/>
  <c r="BF488" i="1"/>
  <c r="AK543" i="1"/>
  <c r="CO533" i="1"/>
  <c r="AW527" i="1"/>
  <c r="BY522" i="1"/>
  <c r="DA517" i="1"/>
  <c r="Y513" i="1"/>
  <c r="CK509" i="1"/>
  <c r="AW507" i="1"/>
  <c r="I505" i="1"/>
  <c r="BY502" i="1"/>
  <c r="AK500" i="1"/>
  <c r="DA497" i="1"/>
  <c r="BM495" i="1"/>
  <c r="Y493" i="1"/>
  <c r="CO490" i="1"/>
  <c r="BA488" i="1"/>
  <c r="Q543" i="1"/>
  <c r="BU533" i="1"/>
  <c r="AL527" i="1"/>
  <c r="BN522" i="1"/>
  <c r="CP517" i="1"/>
  <c r="N513" i="1"/>
  <c r="CF509" i="1"/>
  <c r="CL529" i="1"/>
  <c r="BZ522" i="1"/>
  <c r="BB516" i="1"/>
  <c r="BZ510" i="1"/>
  <c r="AX507" i="1"/>
  <c r="AL504" i="1"/>
  <c r="Z501" i="1"/>
  <c r="CP498" i="1"/>
  <c r="CD495" i="1"/>
  <c r="BR492" i="1"/>
  <c r="BV489" i="1"/>
  <c r="BO557" i="1"/>
  <c r="AW538" i="1"/>
  <c r="CC529" i="1"/>
  <c r="DE524" i="1"/>
  <c r="AC520" i="1"/>
  <c r="BE515" i="1"/>
  <c r="DA510" i="1"/>
  <c r="BM508" i="1"/>
  <c r="Y506" i="1"/>
  <c r="CO503" i="1"/>
  <c r="BA501" i="1"/>
  <c r="M499" i="1"/>
  <c r="CC496" i="1"/>
  <c r="AO494" i="1"/>
  <c r="DE491" i="1"/>
  <c r="BQ489" i="1"/>
  <c r="CQ556" i="1"/>
  <c r="AC538" i="1"/>
  <c r="BR529" i="1"/>
  <c r="CT524" i="1"/>
  <c r="R520" i="1"/>
  <c r="AT515" i="1"/>
  <c r="CV510" i="1"/>
  <c r="BH508" i="1"/>
  <c r="I526" i="1"/>
  <c r="O509" i="1"/>
  <c r="CL498" i="1"/>
  <c r="AX496" i="1"/>
  <c r="J494" i="1"/>
  <c r="BZ491" i="1"/>
  <c r="AL489" i="1"/>
  <c r="AE552" i="1"/>
  <c r="M537" i="1"/>
  <c r="I529" i="1"/>
  <c r="AK524" i="1"/>
  <c r="BM519" i="1"/>
  <c r="CO514" i="1"/>
  <c r="BQ510" i="1"/>
  <c r="AC508" i="1"/>
  <c r="CS505" i="1"/>
  <c r="BE503" i="1"/>
  <c r="Q501" i="1"/>
  <c r="CG498" i="1"/>
  <c r="AS496" i="1"/>
  <c r="DI493" i="1"/>
  <c r="BU491" i="1"/>
  <c r="AG489" i="1"/>
  <c r="BG551" i="1"/>
  <c r="CW536" i="1"/>
  <c r="DB528" i="1"/>
  <c r="Z524" i="1"/>
  <c r="BB519" i="1"/>
  <c r="CD514" i="1"/>
  <c r="BL510" i="1"/>
  <c r="X508" i="1"/>
  <c r="AS523" i="1"/>
  <c r="CN507" i="1"/>
  <c r="BJ499" i="1"/>
  <c r="DF496" i="1"/>
  <c r="BR494" i="1"/>
  <c r="AD492" i="1"/>
  <c r="CT489" i="1"/>
  <c r="S561" i="1"/>
  <c r="AK539" i="1"/>
  <c r="U530" i="1"/>
  <c r="AW525" i="1"/>
  <c r="BY520" i="1"/>
  <c r="DA515" i="1"/>
  <c r="Y511" i="1"/>
  <c r="CK508" i="1"/>
  <c r="AW506" i="1"/>
  <c r="I504" i="1"/>
  <c r="BY501" i="1"/>
  <c r="AK499" i="1"/>
  <c r="DA496" i="1"/>
  <c r="BM494" i="1"/>
  <c r="Y492" i="1"/>
  <c r="CO489" i="1"/>
  <c r="AU560" i="1"/>
  <c r="Q539" i="1"/>
  <c r="J530" i="1"/>
  <c r="AL525" i="1"/>
  <c r="BN520" i="1"/>
  <c r="CP515" i="1"/>
  <c r="P511" i="1"/>
  <c r="CF508" i="1"/>
  <c r="CO527" i="1"/>
  <c r="DG509" i="1"/>
  <c r="N500" i="1"/>
  <c r="AD497" i="1"/>
  <c r="CT494" i="1"/>
  <c r="BF492" i="1"/>
  <c r="R490" i="1"/>
  <c r="CH487" i="1"/>
  <c r="AO540" i="1"/>
  <c r="CS530" i="1"/>
  <c r="DA525" i="1"/>
  <c r="Y521" i="1"/>
  <c r="BA516" i="1"/>
  <c r="CC511" i="1"/>
  <c r="I509" i="1"/>
  <c r="BY506" i="1"/>
  <c r="AK504" i="1"/>
  <c r="DA501" i="1"/>
  <c r="BM499" i="1"/>
  <c r="Y497" i="1"/>
  <c r="CO494" i="1"/>
  <c r="BA492" i="1"/>
  <c r="M490" i="1"/>
  <c r="CC487" i="1"/>
  <c r="U540" i="1"/>
  <c r="BY530" i="1"/>
  <c r="CP525" i="1"/>
  <c r="N521" i="1"/>
  <c r="AP516" i="1"/>
  <c r="BR511" i="1"/>
  <c r="DH508" i="1"/>
  <c r="CW529" i="1"/>
  <c r="G511" i="1"/>
  <c r="CB504" i="1"/>
  <c r="DD503" i="1"/>
  <c r="BD498" i="1"/>
  <c r="CF493" i="1"/>
  <c r="DH488" i="1"/>
  <c r="CX485" i="1"/>
  <c r="BJ483" i="1"/>
  <c r="AK523" i="1"/>
  <c r="CM507" i="1"/>
  <c r="K503" i="1"/>
  <c r="AM498" i="1"/>
  <c r="BO493" i="1"/>
  <c r="AE509" i="1"/>
  <c r="P506" i="1"/>
  <c r="CV497" i="1"/>
  <c r="BX491" i="1"/>
  <c r="AP486" i="1"/>
  <c r="AD483" i="1"/>
  <c r="DI514" i="1"/>
  <c r="DC503" i="1"/>
  <c r="CE497" i="1"/>
  <c r="BG491" i="1"/>
  <c r="AO522" i="1"/>
  <c r="BL507" i="1"/>
  <c r="CN502" i="1"/>
  <c r="L498" i="1"/>
  <c r="AN493" i="1"/>
  <c r="BP488" i="1"/>
  <c r="CB485" i="1"/>
  <c r="AN483" i="1"/>
  <c r="O499" i="1"/>
  <c r="BO486" i="1"/>
  <c r="BH482" i="1"/>
  <c r="T480" i="1"/>
  <c r="CJ477" i="1"/>
  <c r="CN474" i="1"/>
  <c r="AZ472" i="1"/>
  <c r="H469" i="1"/>
  <c r="BT465" i="1"/>
  <c r="AF463" i="1"/>
  <c r="CR459" i="1"/>
  <c r="BD457" i="1"/>
  <c r="AB454" i="1"/>
  <c r="CR451" i="1"/>
  <c r="S498" i="1"/>
  <c r="AO486" i="1"/>
  <c r="AU482" i="1"/>
  <c r="G480" i="1"/>
  <c r="BW477" i="1"/>
  <c r="CA474" i="1"/>
  <c r="AM472" i="1"/>
  <c r="K469" i="1"/>
  <c r="BW465" i="1"/>
  <c r="AI463" i="1"/>
  <c r="CU459" i="1"/>
  <c r="BG457" i="1"/>
  <c r="O454" i="1"/>
  <c r="CY554" i="1"/>
  <c r="BC497" i="1"/>
  <c r="W486" i="1"/>
  <c r="AL482" i="1"/>
  <c r="DB479" i="1"/>
  <c r="BN477" i="1"/>
  <c r="F474" i="1"/>
  <c r="BR470" i="1"/>
  <c r="AD468" i="1"/>
  <c r="CP464" i="1"/>
  <c r="BB462" i="1"/>
  <c r="CV503" i="1"/>
  <c r="AV498" i="1"/>
  <c r="BX493" i="1"/>
  <c r="CZ488" i="1"/>
  <c r="CT485" i="1"/>
  <c r="BF483" i="1"/>
  <c r="DI522" i="1"/>
  <c r="CE507" i="1"/>
  <c r="DG502" i="1"/>
  <c r="AE498" i="1"/>
  <c r="BG493" i="1"/>
  <c r="AO530" i="1"/>
  <c r="AS511" i="1"/>
  <c r="CN504" i="1"/>
  <c r="L500" i="1"/>
  <c r="AN495" i="1"/>
  <c r="BP490" i="1"/>
  <c r="CB486" i="1"/>
  <c r="AN484" i="1"/>
  <c r="O507" i="1"/>
  <c r="BS489" i="1"/>
  <c r="CQ483" i="1"/>
  <c r="T481" i="1"/>
  <c r="CJ478" i="1"/>
  <c r="AB475" i="1"/>
  <c r="CR472" i="1"/>
  <c r="AZ469" i="1"/>
  <c r="L467" i="1"/>
  <c r="BX463" i="1"/>
  <c r="AV460" i="1"/>
  <c r="H458" i="1"/>
  <c r="BT454" i="1"/>
  <c r="AF452" i="1"/>
  <c r="AU501" i="1"/>
  <c r="U487" i="1"/>
  <c r="CM482" i="1"/>
  <c r="AY480" i="1"/>
  <c r="K478" i="1"/>
  <c r="BG474" i="1"/>
  <c r="S472" i="1"/>
  <c r="CE468" i="1"/>
  <c r="AM465" i="1"/>
  <c r="DC462" i="1"/>
  <c r="BK459" i="1"/>
  <c r="W457" i="1"/>
  <c r="CY453" i="1"/>
  <c r="AS535" i="1"/>
  <c r="DG495" i="1"/>
  <c r="CM485" i="1"/>
  <c r="R482" i="1"/>
  <c r="CH479" i="1"/>
  <c r="AT477" i="1"/>
  <c r="CP473" i="1"/>
  <c r="AX470" i="1"/>
  <c r="J468" i="1"/>
  <c r="CL464" i="1"/>
  <c r="AX462" i="1"/>
  <c r="BT504" i="1"/>
  <c r="CZ498" i="1"/>
  <c r="X494" i="1"/>
  <c r="AZ489" i="1"/>
  <c r="R486" i="1"/>
  <c r="CH483" i="1"/>
  <c r="M525" i="1"/>
  <c r="BS508" i="1"/>
  <c r="BG503" i="1"/>
  <c r="CI498" i="1"/>
  <c r="G494" i="1"/>
  <c r="AO534" i="1"/>
  <c r="BA513" i="1"/>
  <c r="AN505" i="1"/>
  <c r="BP500" i="1"/>
  <c r="CR495" i="1"/>
  <c r="P491" i="1"/>
  <c r="DD486" i="1"/>
  <c r="BP484" i="1"/>
  <c r="BC510" i="1"/>
  <c r="BW490" i="1"/>
  <c r="AQ484" i="1"/>
  <c r="AV481" i="1"/>
  <c r="H479" i="1"/>
  <c r="BD475" i="1"/>
  <c r="P473" i="1"/>
  <c r="CB469" i="1"/>
  <c r="AN467" i="1"/>
  <c r="L464" i="1"/>
  <c r="BX460" i="1"/>
  <c r="AJ458" i="1"/>
  <c r="CV454" i="1"/>
  <c r="BH452" i="1"/>
  <c r="BC503" i="1"/>
  <c r="CM487" i="1"/>
  <c r="K483" i="1"/>
  <c r="CA480" i="1"/>
  <c r="AM478" i="1"/>
  <c r="AQ475" i="1"/>
  <c r="DG472" i="1"/>
  <c r="BO469" i="1"/>
  <c r="AA467" i="1"/>
  <c r="CM463" i="1"/>
  <c r="BK460" i="1"/>
  <c r="W458" i="1"/>
  <c r="CI454" i="1"/>
  <c r="AU452" i="1"/>
  <c r="CM502" i="1"/>
  <c r="BG487" i="1"/>
  <c r="DF482" i="1"/>
  <c r="BR480" i="1"/>
  <c r="AD478" i="1"/>
  <c r="AH475" i="1"/>
  <c r="CX472" i="1"/>
  <c r="BV469" i="1"/>
  <c r="AH467" i="1"/>
  <c r="CT463" i="1"/>
  <c r="BB460" i="1"/>
  <c r="AJ503" i="1"/>
  <c r="DD497" i="1"/>
  <c r="AB493" i="1"/>
  <c r="BD488" i="1"/>
  <c r="BV485" i="1"/>
  <c r="AH483" i="1"/>
  <c r="AC521" i="1"/>
  <c r="AI507" i="1"/>
  <c r="BK502" i="1"/>
  <c r="CM497" i="1"/>
  <c r="K493" i="1"/>
  <c r="BM528" i="1"/>
  <c r="AQ510" i="1"/>
  <c r="AR504" i="1"/>
  <c r="BT499" i="1"/>
  <c r="CV494" i="1"/>
  <c r="T490" i="1"/>
  <c r="BD486" i="1"/>
  <c r="P484" i="1"/>
  <c r="AM505" i="1"/>
  <c r="CE488" i="1"/>
  <c r="AU483" i="1"/>
  <c r="CZ480" i="1"/>
  <c r="BL478" i="1"/>
  <c r="DH474" i="1"/>
  <c r="BT472" i="1"/>
  <c r="AR469" i="1"/>
  <c r="DD465" i="1"/>
  <c r="BP463" i="1"/>
  <c r="X460" i="1"/>
  <c r="CN457" i="1"/>
  <c r="AV454" i="1"/>
  <c r="H452" i="1"/>
  <c r="BS499" i="1"/>
  <c r="CC486" i="1"/>
  <c r="BO482" i="1"/>
  <c r="AA480" i="1"/>
  <c r="CQ477" i="1"/>
  <c r="AI474" i="1"/>
  <c r="CU470" i="1"/>
  <c r="BG468" i="1"/>
  <c r="AE465" i="1"/>
  <c r="CU462" i="1"/>
  <c r="BC459" i="1"/>
  <c r="O457" i="1"/>
  <c r="CA453" i="1"/>
  <c r="CO525" i="1"/>
  <c r="AA494" i="1"/>
  <c r="AQ485" i="1"/>
  <c r="CX481" i="1"/>
  <c r="BJ479" i="1"/>
  <c r="V477" i="1"/>
  <c r="Z474" i="1"/>
  <c r="CL470" i="1"/>
  <c r="AX468" i="1"/>
  <c r="F465" i="1"/>
  <c r="BV462" i="1"/>
  <c r="AD459" i="1"/>
  <c r="AX458" i="1"/>
  <c r="DB454" i="1"/>
  <c r="BN452" i="1"/>
  <c r="CM504" i="1"/>
  <c r="BC488" i="1"/>
  <c r="AG483" i="1"/>
  <c r="CS480" i="1"/>
  <c r="BE478" i="1"/>
  <c r="DA474" i="1"/>
  <c r="DD507" i="1"/>
  <c r="CN503" i="1"/>
  <c r="BL500" i="1"/>
  <c r="AN494" i="1"/>
  <c r="P488" i="1"/>
  <c r="BN484" i="1"/>
  <c r="BY525" i="1"/>
  <c r="CY506" i="1"/>
  <c r="AU500" i="1"/>
  <c r="W494" i="1"/>
  <c r="CK530" i="1"/>
  <c r="BY511" i="1"/>
  <c r="CV504" i="1"/>
  <c r="T500" i="1"/>
  <c r="AV495" i="1"/>
  <c r="BX490" i="1"/>
  <c r="CF486" i="1"/>
  <c r="AR484" i="1"/>
  <c r="AU507" i="1"/>
  <c r="CI489" i="1"/>
  <c r="CY483" i="1"/>
  <c r="X481" i="1"/>
  <c r="CN478" i="1"/>
  <c r="CR475" i="1"/>
  <c r="BD473" i="1"/>
  <c r="L470" i="1"/>
  <c r="CB467" i="1"/>
  <c r="AJ464" i="1"/>
  <c r="CV460" i="1"/>
  <c r="BH458" i="1"/>
  <c r="AF455" i="1"/>
  <c r="CV452" i="1"/>
  <c r="AY506" i="1"/>
  <c r="AI489" i="1"/>
  <c r="BY483" i="1"/>
  <c r="K481" i="1"/>
  <c r="CA478" i="1"/>
  <c r="S475" i="1"/>
  <c r="CI472" i="1"/>
  <c r="BG469" i="1"/>
  <c r="S467" i="1"/>
  <c r="CE463" i="1"/>
  <c r="AM460" i="1"/>
  <c r="DC457" i="1"/>
  <c r="BK454" i="1"/>
  <c r="W452" i="1"/>
  <c r="G501" i="1"/>
  <c r="K487" i="1"/>
  <c r="CH482" i="1"/>
  <c r="AT480" i="1"/>
  <c r="F478" i="1"/>
  <c r="BB474" i="1"/>
  <c r="N472" i="1"/>
  <c r="BZ468" i="1"/>
  <c r="AH465" i="1"/>
  <c r="CX462" i="1"/>
  <c r="CN505" i="1"/>
  <c r="AJ499" i="1"/>
  <c r="BL494" i="1"/>
  <c r="CN489" i="1"/>
  <c r="AL486" i="1"/>
  <c r="DB483" i="1"/>
  <c r="BM526" i="1"/>
  <c r="AQ509" i="1"/>
  <c r="CU503" i="1"/>
  <c r="S499" i="1"/>
  <c r="AU494" i="1"/>
  <c r="AK537" i="1"/>
  <c r="DA514" i="1"/>
  <c r="CB505" i="1"/>
  <c r="DD500" i="1"/>
  <c r="AB496" i="1"/>
  <c r="BD491" i="1"/>
  <c r="T487" i="1"/>
  <c r="CJ484" i="1"/>
  <c r="CG515" i="1"/>
  <c r="CA491" i="1"/>
  <c r="CE484" i="1"/>
  <c r="BP481" i="1"/>
  <c r="AB479" i="1"/>
  <c r="BX475" i="1"/>
  <c r="AJ473" i="1"/>
  <c r="CV469" i="1"/>
  <c r="BH467" i="1"/>
  <c r="P464" i="1"/>
  <c r="CR460" i="1"/>
  <c r="BD458" i="1"/>
  <c r="L455" i="1"/>
  <c r="CB452" i="1"/>
  <c r="DC504" i="1"/>
  <c r="BK488" i="1"/>
  <c r="AK483" i="1"/>
  <c r="CU480" i="1"/>
  <c r="BG478" i="1"/>
  <c r="DC474" i="1"/>
  <c r="BO472" i="1"/>
  <c r="W469" i="1"/>
  <c r="CI465" i="1"/>
  <c r="AU463" i="1"/>
  <c r="DG459" i="1"/>
  <c r="BS457" i="1"/>
  <c r="AQ454" i="1"/>
  <c r="DG451" i="1"/>
  <c r="BK499" i="1"/>
  <c r="CA486" i="1"/>
  <c r="BN482" i="1"/>
  <c r="Z480" i="1"/>
  <c r="CP477" i="1"/>
  <c r="AH474" i="1"/>
  <c r="CT470" i="1"/>
  <c r="BF468" i="1"/>
  <c r="AD465" i="1"/>
  <c r="CT462" i="1"/>
  <c r="BB459" i="1"/>
  <c r="CN499" i="1"/>
  <c r="L495" i="1"/>
  <c r="AN490" i="1"/>
  <c r="BN486" i="1"/>
  <c r="Z484" i="1"/>
  <c r="BU528" i="1"/>
  <c r="AU510" i="1"/>
  <c r="AU504" i="1"/>
  <c r="BW499" i="1"/>
  <c r="CY494" i="1"/>
  <c r="BA541" i="1"/>
  <c r="DI516" i="1"/>
  <c r="AB506" i="1"/>
  <c r="BD501" i="1"/>
  <c r="CF496" i="1"/>
  <c r="DH491" i="1"/>
  <c r="AV487" i="1"/>
  <c r="H485" i="1"/>
  <c r="I524" i="1"/>
  <c r="CI493" i="1"/>
  <c r="AE485" i="1"/>
  <c r="CR481" i="1"/>
  <c r="BD479" i="1"/>
  <c r="P477" i="1"/>
  <c r="T474" i="1"/>
  <c r="CF470" i="1"/>
  <c r="AR468" i="1"/>
  <c r="P465" i="1"/>
  <c r="CF462" i="1"/>
  <c r="AN459" i="1"/>
  <c r="CZ455" i="1"/>
  <c r="BL453" i="1"/>
  <c r="Y520" i="1"/>
  <c r="CM492" i="1"/>
  <c r="DI484" i="1"/>
  <c r="CE481" i="1"/>
  <c r="AQ479" i="1"/>
  <c r="CM475" i="1"/>
  <c r="AY473" i="1"/>
  <c r="G470" i="1"/>
  <c r="BW467" i="1"/>
  <c r="AE464" i="1"/>
  <c r="DG460" i="1"/>
  <c r="BS458" i="1"/>
  <c r="AA455" i="1"/>
  <c r="CQ452" i="1"/>
  <c r="AQ506" i="1"/>
  <c r="AE489" i="1"/>
  <c r="BW483" i="1"/>
  <c r="J481" i="1"/>
  <c r="BZ478" i="1"/>
  <c r="R475" i="1"/>
  <c r="CH472" i="1"/>
  <c r="BF469" i="1"/>
  <c r="R467" i="1"/>
  <c r="CD463" i="1"/>
  <c r="AL460" i="1"/>
  <c r="CR502" i="1"/>
  <c r="BX497" i="1"/>
  <c r="CZ492" i="1"/>
  <c r="X488" i="1"/>
  <c r="BF485" i="1"/>
  <c r="O556" i="1"/>
  <c r="I520" i="1"/>
  <c r="DG506" i="1"/>
  <c r="AE502" i="1"/>
  <c r="BG497" i="1"/>
  <c r="CI492" i="1"/>
  <c r="AS527" i="1"/>
  <c r="CI509" i="1"/>
  <c r="L504" i="1"/>
  <c r="AN499" i="1"/>
  <c r="BP494" i="1"/>
  <c r="CR489" i="1"/>
  <c r="AN486" i="1"/>
  <c r="DD483" i="1"/>
  <c r="S504" i="1"/>
  <c r="S488" i="1"/>
  <c r="T483" i="1"/>
  <c r="CJ480" i="1"/>
  <c r="AV478" i="1"/>
  <c r="CR474" i="1"/>
  <c r="BD472" i="1"/>
  <c r="AB469" i="1"/>
  <c r="CN465" i="1"/>
  <c r="AZ463" i="1"/>
  <c r="H460" i="1"/>
  <c r="BX457" i="1"/>
  <c r="AF454" i="1"/>
  <c r="CV451" i="1"/>
  <c r="AY498" i="1"/>
  <c r="AW486" i="1"/>
  <c r="AY482" i="1"/>
  <c r="K480" i="1"/>
  <c r="CA477" i="1"/>
  <c r="CE474" i="1"/>
  <c r="AQ472" i="1"/>
  <c r="DC468" i="1"/>
  <c r="CA465" i="1"/>
  <c r="AM463" i="1"/>
  <c r="CY459" i="1"/>
  <c r="BK457" i="1"/>
  <c r="S454" i="1"/>
  <c r="CI451" i="1"/>
  <c r="CI497" i="1"/>
  <c r="AE486" i="1"/>
  <c r="AP482" i="1"/>
  <c r="DF479" i="1"/>
  <c r="BR477" i="1"/>
  <c r="BV474" i="1"/>
  <c r="AH472" i="1"/>
  <c r="CT468" i="1"/>
  <c r="BB465" i="1"/>
  <c r="N463" i="1"/>
  <c r="BZ459" i="1"/>
  <c r="V459" i="1"/>
  <c r="AT455" i="1"/>
  <c r="F453" i="1"/>
  <c r="CQ508" i="1"/>
  <c r="AE490" i="1"/>
  <c r="U484" i="1"/>
  <c r="AK481" i="1"/>
  <c r="DA478" i="1"/>
  <c r="DE475" i="1"/>
  <c r="BQ473" i="1"/>
  <c r="Y470" i="1"/>
  <c r="CO467" i="1"/>
  <c r="AW464" i="1"/>
  <c r="I462" i="1"/>
  <c r="U541" i="1"/>
  <c r="AB503" i="1"/>
  <c r="AF500" i="1"/>
  <c r="H494" i="1"/>
  <c r="BJ487" i="1"/>
  <c r="AX484" i="1"/>
  <c r="BE524" i="1"/>
  <c r="AM506" i="1"/>
  <c r="O500" i="1"/>
  <c r="CU493" i="1"/>
  <c r="BA529" i="1"/>
  <c r="CM510" i="1"/>
  <c r="BP504" i="1"/>
  <c r="CR499" i="1"/>
  <c r="P495" i="1"/>
  <c r="AR490" i="1"/>
  <c r="BP486" i="1"/>
  <c r="AB484" i="1"/>
  <c r="AA506" i="1"/>
  <c r="W489" i="1"/>
  <c r="BS483" i="1"/>
  <c r="H481" i="1"/>
  <c r="BX478" i="1"/>
  <c r="P475" i="1"/>
  <c r="CF472" i="1"/>
  <c r="AN469" i="1"/>
  <c r="CZ465" i="1"/>
  <c r="BL463" i="1"/>
  <c r="T460" i="1"/>
  <c r="CJ457" i="1"/>
  <c r="BH454" i="1"/>
  <c r="T452" i="1"/>
  <c r="BG500" i="1"/>
  <c r="DA486" i="1"/>
  <c r="CA482" i="1"/>
  <c r="AM480" i="1"/>
  <c r="DC477" i="1"/>
  <c r="BU490" i="1"/>
  <c r="AG488" i="1"/>
  <c r="AS542" i="1"/>
  <c r="CW532" i="1"/>
  <c r="DB526" i="1"/>
  <c r="Z522" i="1"/>
  <c r="BB517" i="1"/>
  <c r="CD512" i="1"/>
  <c r="BL509" i="1"/>
  <c r="Y538" i="1"/>
  <c r="AS515" i="1"/>
  <c r="CT500" i="1"/>
  <c r="BB497" i="1"/>
  <c r="N495" i="1"/>
  <c r="CD492" i="1"/>
  <c r="AP490" i="1"/>
  <c r="DF487" i="1"/>
  <c r="AC541" i="1"/>
  <c r="CG531" i="1"/>
  <c r="AS526" i="1"/>
  <c r="BU521" i="1"/>
  <c r="CW516" i="1"/>
  <c r="U512" i="1"/>
  <c r="AG509" i="1"/>
  <c r="CW506" i="1"/>
  <c r="BI504" i="1"/>
  <c r="U502" i="1"/>
  <c r="CK499" i="1"/>
  <c r="AW497" i="1"/>
  <c r="I495" i="1"/>
  <c r="BY492" i="1"/>
  <c r="AK490" i="1"/>
  <c r="DA487" i="1"/>
  <c r="I541" i="1"/>
  <c r="BM531" i="1"/>
  <c r="AH526" i="1"/>
  <c r="BJ521" i="1"/>
  <c r="CL516" i="1"/>
  <c r="J512" i="1"/>
  <c r="AB509" i="1"/>
  <c r="CS532" i="1"/>
  <c r="CC512" i="1"/>
  <c r="T505" i="1"/>
  <c r="F498" i="1"/>
  <c r="BV495" i="1"/>
  <c r="AH493" i="1"/>
  <c r="CX490" i="1"/>
  <c r="BJ488" i="1"/>
  <c r="BA543" i="1"/>
  <c r="DE533" i="1"/>
  <c r="BE527" i="1"/>
  <c r="CG522" i="1"/>
  <c r="DI517" i="1"/>
  <c r="AG513" i="1"/>
  <c r="CO509" i="1"/>
  <c r="BA507" i="1"/>
  <c r="M505" i="1"/>
  <c r="CC502" i="1"/>
  <c r="AO500" i="1"/>
  <c r="DE497" i="1"/>
  <c r="BQ495" i="1"/>
  <c r="AC493" i="1"/>
  <c r="CS490" i="1"/>
  <c r="BE488" i="1"/>
  <c r="AG543" i="1"/>
  <c r="CK533" i="1"/>
  <c r="AT527" i="1"/>
  <c r="BV522" i="1"/>
  <c r="CX517" i="1"/>
  <c r="V513" i="1"/>
  <c r="CJ509" i="1"/>
  <c r="CG541" i="1"/>
  <c r="U517" i="1"/>
  <c r="AF506" i="1"/>
  <c r="AH498" i="1"/>
  <c r="CX495" i="1"/>
  <c r="BJ493" i="1"/>
  <c r="V491" i="1"/>
  <c r="CL488" i="1"/>
  <c r="CP544" i="1"/>
  <c r="DI534" i="1"/>
  <c r="DI527" i="1"/>
  <c r="AG523" i="1"/>
  <c r="BI518" i="1"/>
  <c r="CK513" i="1"/>
  <c r="M510" i="1"/>
  <c r="CC507" i="1"/>
  <c r="AO505" i="1"/>
  <c r="DE502" i="1"/>
  <c r="BQ500" i="1"/>
  <c r="AC498" i="1"/>
  <c r="CS495" i="1"/>
  <c r="BE493" i="1"/>
  <c r="Q491" i="1"/>
  <c r="CG488" i="1"/>
  <c r="BB544" i="1"/>
  <c r="CO534" i="1"/>
  <c r="CX527" i="1"/>
  <c r="V523" i="1"/>
  <c r="AX518" i="1"/>
  <c r="BZ513" i="1"/>
  <c r="H510" i="1"/>
  <c r="BO549" i="1"/>
  <c r="AC519" i="1"/>
  <c r="CJ506" i="1"/>
  <c r="BR528" i="1"/>
  <c r="N522" i="1"/>
  <c r="BN515" i="1"/>
  <c r="AD510" i="1"/>
  <c r="R507" i="1"/>
  <c r="CT503" i="1"/>
  <c r="CH500" i="1"/>
  <c r="BJ498" i="1"/>
  <c r="AH495" i="1"/>
  <c r="V492" i="1"/>
  <c r="AP489" i="1"/>
  <c r="CQ552" i="1"/>
  <c r="AC537" i="1"/>
  <c r="Q529" i="1"/>
  <c r="AS524" i="1"/>
  <c r="BU519" i="1"/>
  <c r="CW514" i="1"/>
  <c r="BU510" i="1"/>
  <c r="AG508" i="1"/>
  <c r="CW505" i="1"/>
  <c r="BI503" i="1"/>
  <c r="U501" i="1"/>
  <c r="CK498" i="1"/>
  <c r="AW496" i="1"/>
  <c r="I494" i="1"/>
  <c r="BY491" i="1"/>
  <c r="AK489" i="1"/>
  <c r="O552" i="1"/>
  <c r="I537" i="1"/>
  <c r="F529" i="1"/>
  <c r="AH524" i="1"/>
  <c r="BJ519" i="1"/>
  <c r="CL514" i="1"/>
  <c r="BP510" i="1"/>
  <c r="AB508" i="1"/>
  <c r="BY523" i="1"/>
  <c r="CY507" i="1"/>
  <c r="BF498" i="1"/>
  <c r="R496" i="1"/>
  <c r="CH493" i="1"/>
  <c r="AT491" i="1"/>
  <c r="F489" i="1"/>
  <c r="BG547" i="1"/>
  <c r="CW535" i="1"/>
  <c r="BA528" i="1"/>
  <c r="CC523" i="1"/>
  <c r="DE518" i="1"/>
  <c r="AC514" i="1"/>
  <c r="AK510" i="1"/>
  <c r="DA507" i="1"/>
  <c r="BM505" i="1"/>
  <c r="Y503" i="1"/>
  <c r="CO500" i="1"/>
  <c r="BA498" i="1"/>
  <c r="M496" i="1"/>
  <c r="CC493" i="1"/>
  <c r="AO491" i="1"/>
  <c r="DE488" i="1"/>
  <c r="CI546" i="1"/>
  <c r="CC535" i="1"/>
  <c r="AP528" i="1"/>
  <c r="BR523" i="1"/>
  <c r="CT518" i="1"/>
  <c r="R514" i="1"/>
  <c r="AF510" i="1"/>
  <c r="CV507" i="1"/>
  <c r="DI520" i="1"/>
  <c r="AB507" i="1"/>
  <c r="J499" i="1"/>
  <c r="BZ496" i="1"/>
  <c r="AL494" i="1"/>
  <c r="DB491" i="1"/>
  <c r="BN489" i="1"/>
  <c r="AU556" i="1"/>
  <c r="Q538" i="1"/>
  <c r="BM529" i="1"/>
  <c r="CO524" i="1"/>
  <c r="M520" i="1"/>
  <c r="AO515" i="1"/>
  <c r="CS510" i="1"/>
  <c r="BE508" i="1"/>
  <c r="Q506" i="1"/>
  <c r="CG503" i="1"/>
  <c r="AS501" i="1"/>
  <c r="DI498" i="1"/>
  <c r="BU496" i="1"/>
  <c r="AG494" i="1"/>
  <c r="CW491" i="1"/>
  <c r="BI489" i="1"/>
  <c r="BW555" i="1"/>
  <c r="DA537" i="1"/>
  <c r="BB529" i="1"/>
  <c r="CD524" i="1"/>
  <c r="DF519" i="1"/>
  <c r="AD515" i="1"/>
  <c r="CN510" i="1"/>
  <c r="AZ508" i="1"/>
  <c r="BA525" i="1"/>
  <c r="CM508" i="1"/>
  <c r="BF499" i="1"/>
  <c r="DB496" i="1"/>
  <c r="BN494" i="1"/>
  <c r="Z492" i="1"/>
  <c r="CP489" i="1"/>
  <c r="BK560" i="1"/>
  <c r="U539" i="1"/>
  <c r="M530" i="1"/>
  <c r="AO525" i="1"/>
  <c r="BQ520" i="1"/>
  <c r="CS515" i="1"/>
  <c r="Q511" i="1"/>
  <c r="CG508" i="1"/>
  <c r="AS506" i="1"/>
  <c r="DI503" i="1"/>
  <c r="BU501" i="1"/>
  <c r="AG499" i="1"/>
  <c r="CW496" i="1"/>
  <c r="BI494" i="1"/>
  <c r="U492" i="1"/>
  <c r="CK489" i="1"/>
  <c r="CM559" i="1"/>
  <c r="DE538" i="1"/>
  <c r="DF529" i="1"/>
  <c r="AD525" i="1"/>
  <c r="BF520" i="1"/>
  <c r="CH515" i="1"/>
  <c r="L511" i="1"/>
  <c r="CB508" i="1"/>
  <c r="BI527" i="1"/>
  <c r="CQ509" i="1"/>
  <c r="AT530" i="1"/>
  <c r="AH523" i="1"/>
  <c r="CH516" i="1"/>
  <c r="CP510" i="1"/>
  <c r="CD507" i="1"/>
  <c r="BB504" i="1"/>
  <c r="AP501" i="1"/>
  <c r="R499" i="1"/>
  <c r="CT495" i="1"/>
  <c r="CH492" i="1"/>
  <c r="CL489" i="1"/>
  <c r="DC559" i="1"/>
  <c r="DI538" i="1"/>
  <c r="DI529" i="1"/>
  <c r="AG525" i="1"/>
  <c r="BI520" i="1"/>
  <c r="CK515" i="1"/>
  <c r="M511" i="1"/>
  <c r="CC508" i="1"/>
  <c r="AO506" i="1"/>
  <c r="DE503" i="1"/>
  <c r="BQ501" i="1"/>
  <c r="AC499" i="1"/>
  <c r="CS496" i="1"/>
  <c r="BE494" i="1"/>
  <c r="Q492" i="1"/>
  <c r="CG489" i="1"/>
  <c r="AA559" i="1"/>
  <c r="CO538" i="1"/>
  <c r="CX529" i="1"/>
  <c r="V525" i="1"/>
  <c r="AX520" i="1"/>
  <c r="BZ515" i="1"/>
  <c r="H511" i="1"/>
  <c r="BX508" i="1"/>
  <c r="AC527" i="1"/>
  <c r="CA509" i="1"/>
  <c r="DB498" i="1"/>
  <c r="BN496" i="1"/>
  <c r="Z494" i="1"/>
  <c r="CP491" i="1"/>
  <c r="BB489" i="1"/>
  <c r="BS554" i="1"/>
  <c r="BY537" i="1"/>
  <c r="AO529" i="1"/>
  <c r="BQ524" i="1"/>
  <c r="CS519" i="1"/>
  <c r="Q515" i="1"/>
  <c r="CG510" i="1"/>
  <c r="AS508" i="1"/>
  <c r="DI505" i="1"/>
  <c r="BU503" i="1"/>
  <c r="AG501" i="1"/>
  <c r="CW498" i="1"/>
  <c r="BI496" i="1"/>
  <c r="U494" i="1"/>
  <c r="CK491" i="1"/>
  <c r="AW489" i="1"/>
  <c r="CU553" i="1"/>
  <c r="BE537" i="1"/>
  <c r="AD529" i="1"/>
  <c r="BF524" i="1"/>
  <c r="CH519" i="1"/>
  <c r="F515" i="1"/>
  <c r="CB510" i="1"/>
  <c r="AN508" i="1"/>
  <c r="BM524" i="1"/>
  <c r="AQ508" i="1"/>
  <c r="CP499" i="1"/>
  <c r="R497" i="1"/>
  <c r="CH494" i="1"/>
  <c r="AT492" i="1"/>
  <c r="F490" i="1"/>
  <c r="BV487" i="1"/>
  <c r="CW539" i="1"/>
  <c r="BA530" i="1"/>
  <c r="CC525" i="1"/>
  <c r="DE520" i="1"/>
  <c r="AC516" i="1"/>
  <c r="BE511" i="1"/>
  <c r="DA508" i="1"/>
  <c r="BM506" i="1"/>
  <c r="Y504" i="1"/>
  <c r="CO501" i="1"/>
  <c r="BA499" i="1"/>
  <c r="M497" i="1"/>
  <c r="CC494" i="1"/>
  <c r="AO492" i="1"/>
  <c r="DE489" i="1"/>
  <c r="BQ487" i="1"/>
  <c r="CC539" i="1"/>
  <c r="AP530" i="1"/>
  <c r="BR525" i="1"/>
  <c r="CT520" i="1"/>
  <c r="R516" i="1"/>
  <c r="AT511" i="1"/>
  <c r="CV508" i="1"/>
  <c r="DI528" i="1"/>
  <c r="BO510" i="1"/>
  <c r="BN500" i="1"/>
  <c r="AT497" i="1"/>
  <c r="F495" i="1"/>
  <c r="BV492" i="1"/>
  <c r="AH490" i="1"/>
  <c r="CX487" i="1"/>
  <c r="DA540" i="1"/>
  <c r="BA531" i="1"/>
  <c r="AC526" i="1"/>
  <c r="BE521" i="1"/>
  <c r="CG516" i="1"/>
  <c r="DI511" i="1"/>
  <c r="Y509" i="1"/>
  <c r="CO506" i="1"/>
  <c r="BA504" i="1"/>
  <c r="M502" i="1"/>
  <c r="CC499" i="1"/>
  <c r="AO497" i="1"/>
  <c r="DE494" i="1"/>
  <c r="BQ492" i="1"/>
  <c r="AC490" i="1"/>
  <c r="CS487" i="1"/>
  <c r="CG540" i="1"/>
  <c r="AG531" i="1"/>
  <c r="R526" i="1"/>
  <c r="AT521" i="1"/>
  <c r="BV516" i="1"/>
  <c r="CX511" i="1"/>
  <c r="T509" i="1"/>
  <c r="AX527" i="1"/>
  <c r="Z521" i="1"/>
  <c r="DF514" i="1"/>
  <c r="CL509" i="1"/>
  <c r="BZ506" i="1"/>
  <c r="BN503" i="1"/>
  <c r="AL500" i="1"/>
  <c r="N498" i="1"/>
  <c r="DF494" i="1"/>
  <c r="CD491" i="1"/>
  <c r="J489" i="1"/>
  <c r="O548" i="1"/>
  <c r="I536" i="1"/>
  <c r="BI528" i="1"/>
  <c r="CK523" i="1"/>
  <c r="I519" i="1"/>
  <c r="AK514" i="1"/>
  <c r="AO510" i="1"/>
  <c r="DE507" i="1"/>
  <c r="BQ505" i="1"/>
  <c r="AC503" i="1"/>
  <c r="CS500" i="1"/>
  <c r="BE498" i="1"/>
  <c r="Q496" i="1"/>
  <c r="CG493" i="1"/>
  <c r="AS491" i="1"/>
  <c r="DI488" i="1"/>
  <c r="AQ547" i="1"/>
  <c r="CS535" i="1"/>
  <c r="AX528" i="1"/>
  <c r="BZ523" i="1"/>
  <c r="DB518" i="1"/>
  <c r="Z514" i="1"/>
  <c r="AJ510" i="1"/>
  <c r="CZ507" i="1"/>
  <c r="AK521" i="1"/>
  <c r="AJ507" i="1"/>
  <c r="Z498" i="1"/>
  <c r="CP495" i="1"/>
  <c r="BB493" i="1"/>
  <c r="N491" i="1"/>
  <c r="CD488" i="1"/>
  <c r="AD544" i="1"/>
  <c r="CC534" i="1"/>
  <c r="CS527" i="1"/>
  <c r="Q523" i="1"/>
  <c r="AS518" i="1"/>
  <c r="BU513" i="1"/>
  <c r="DI509" i="1"/>
  <c r="BU507" i="1"/>
  <c r="AG505" i="1"/>
  <c r="CW502" i="1"/>
  <c r="BI500" i="1"/>
  <c r="U498" i="1"/>
  <c r="CK495" i="1"/>
  <c r="AW493" i="1"/>
  <c r="I491" i="1"/>
  <c r="BY488" i="1"/>
  <c r="DI543" i="1"/>
  <c r="BI534" i="1"/>
  <c r="CH527" i="1"/>
  <c r="F523" i="1"/>
  <c r="AH518" i="1"/>
  <c r="BJ513" i="1"/>
  <c r="DD509" i="1"/>
  <c r="AH545" i="1"/>
  <c r="BU518" i="1"/>
  <c r="BT506" i="1"/>
  <c r="CH498" i="1"/>
  <c r="AT496" i="1"/>
  <c r="F494" i="1"/>
  <c r="BV491" i="1"/>
  <c r="AH489" i="1"/>
  <c r="BW551" i="1"/>
  <c r="DA536" i="1"/>
  <c r="DE528" i="1"/>
  <c r="AC524" i="1"/>
  <c r="BE519" i="1"/>
  <c r="CG514" i="1"/>
  <c r="BM510" i="1"/>
  <c r="Y508" i="1"/>
  <c r="CO505" i="1"/>
  <c r="BA503" i="1"/>
  <c r="M501" i="1"/>
  <c r="CC498" i="1"/>
  <c r="AO496" i="1"/>
  <c r="DE493" i="1"/>
  <c r="BQ491" i="1"/>
  <c r="AC489" i="1"/>
  <c r="CY550" i="1"/>
  <c r="CG536" i="1"/>
  <c r="CT528" i="1"/>
  <c r="R524" i="1"/>
  <c r="AT519" i="1"/>
  <c r="BV514" i="1"/>
  <c r="BH510" i="1"/>
  <c r="T508" i="1"/>
  <c r="M523" i="1"/>
  <c r="CF507" i="1"/>
  <c r="F499" i="1"/>
  <c r="BV496" i="1"/>
  <c r="AH494" i="1"/>
  <c r="CX491" i="1"/>
  <c r="BJ489" i="1"/>
  <c r="CM555" i="1"/>
  <c r="DE537" i="1"/>
  <c r="BE529" i="1"/>
  <c r="CG524" i="1"/>
  <c r="DI519" i="1"/>
  <c r="AG515" i="1"/>
  <c r="CO510" i="1"/>
  <c r="BA508" i="1"/>
  <c r="M506" i="1"/>
  <c r="CC503" i="1"/>
  <c r="AO501" i="1"/>
  <c r="DE498" i="1"/>
  <c r="BQ496" i="1"/>
  <c r="AC494" i="1"/>
  <c r="CS491" i="1"/>
  <c r="BE489" i="1"/>
  <c r="K555" i="1"/>
  <c r="CK537" i="1"/>
  <c r="AT529" i="1"/>
  <c r="BV524" i="1"/>
  <c r="CX519" i="1"/>
  <c r="V515" i="1"/>
  <c r="CJ510" i="1"/>
  <c r="AV508" i="1"/>
  <c r="U525" i="1"/>
  <c r="BW508" i="1"/>
  <c r="BH503" i="1"/>
  <c r="AV502" i="1"/>
  <c r="AJ497" i="1"/>
  <c r="BL492" i="1"/>
  <c r="CN487" i="1"/>
  <c r="AL485" i="1"/>
  <c r="DF544" i="1"/>
  <c r="BM518" i="1"/>
  <c r="BS506" i="1"/>
  <c r="CU501" i="1"/>
  <c r="S497" i="1"/>
  <c r="AU492" i="1"/>
  <c r="BP505" i="1"/>
  <c r="T503" i="1"/>
  <c r="AV496" i="1"/>
  <c r="CV489" i="1"/>
  <c r="BR485" i="1"/>
  <c r="BA537" i="1"/>
  <c r="BG509" i="1"/>
  <c r="BC502" i="1"/>
  <c r="AE496" i="1"/>
  <c r="BU542" i="1"/>
  <c r="BQ517" i="1"/>
  <c r="AR506" i="1"/>
  <c r="BT501" i="1"/>
  <c r="CV496" i="1"/>
  <c r="T492" i="1"/>
  <c r="BD487" i="1"/>
  <c r="P485" i="1"/>
  <c r="AW526" i="1"/>
  <c r="AQ494" i="1"/>
  <c r="AU485" i="1"/>
  <c r="CZ481" i="1"/>
  <c r="BL479" i="1"/>
  <c r="X477" i="1"/>
  <c r="AB474" i="1"/>
  <c r="CN470" i="1"/>
  <c r="AZ468" i="1"/>
  <c r="H465" i="1"/>
  <c r="BX462" i="1"/>
  <c r="AF459" i="1"/>
  <c r="DH455" i="1"/>
  <c r="BT453" i="1"/>
  <c r="BM522" i="1"/>
  <c r="AU493" i="1"/>
  <c r="U485" i="1"/>
  <c r="CM481" i="1"/>
  <c r="AY479" i="1"/>
  <c r="K477" i="1"/>
  <c r="O474" i="1"/>
  <c r="CQ470" i="1"/>
  <c r="BC468" i="1"/>
  <c r="K465" i="1"/>
  <c r="CA462" i="1"/>
  <c r="AI459" i="1"/>
  <c r="CU455" i="1"/>
  <c r="BG453" i="1"/>
  <c r="CW519" i="1"/>
  <c r="CE492" i="1"/>
  <c r="DG484" i="1"/>
  <c r="CD481" i="1"/>
  <c r="AP479" i="1"/>
  <c r="CL475" i="1"/>
  <c r="AX473" i="1"/>
  <c r="F470" i="1"/>
  <c r="BV467" i="1"/>
  <c r="AD464" i="1"/>
  <c r="DF460" i="1"/>
  <c r="AF502" i="1"/>
  <c r="AB497" i="1"/>
  <c r="BD492" i="1"/>
  <c r="CF487" i="1"/>
  <c r="AH485" i="1"/>
  <c r="DE543" i="1"/>
  <c r="AG518" i="1"/>
  <c r="BK506" i="1"/>
  <c r="CM501" i="1"/>
  <c r="K497" i="1"/>
  <c r="AM492" i="1"/>
  <c r="BQ525" i="1"/>
  <c r="CU508" i="1"/>
  <c r="BT503" i="1"/>
  <c r="CV498" i="1"/>
  <c r="T494" i="1"/>
  <c r="AV489" i="1"/>
  <c r="P486" i="1"/>
  <c r="CF483" i="1"/>
  <c r="AQ502" i="1"/>
  <c r="AU487" i="1"/>
  <c r="CZ482" i="1"/>
  <c r="BL480" i="1"/>
  <c r="X478" i="1"/>
  <c r="BT474" i="1"/>
  <c r="AF472" i="1"/>
  <c r="CR468" i="1"/>
  <c r="AZ465" i="1"/>
  <c r="L463" i="1"/>
  <c r="CN459" i="1"/>
  <c r="AZ457" i="1"/>
  <c r="H454" i="1"/>
  <c r="CC540" i="1"/>
  <c r="BW496" i="1"/>
  <c r="DE485" i="1"/>
  <c r="AA482" i="1"/>
  <c r="CQ479" i="1"/>
  <c r="BC477" i="1"/>
  <c r="CY473" i="1"/>
  <c r="BG470" i="1"/>
  <c r="S468" i="1"/>
  <c r="CE464" i="1"/>
  <c r="AQ462" i="1"/>
  <c r="DC458" i="1"/>
  <c r="CA455" i="1"/>
  <c r="AM453" i="1"/>
  <c r="DE513" i="1"/>
  <c r="AE491" i="1"/>
  <c r="BS484" i="1"/>
  <c r="BJ481" i="1"/>
  <c r="V479" i="1"/>
  <c r="BR475" i="1"/>
  <c r="AD473" i="1"/>
  <c r="CP469" i="1"/>
  <c r="BB467" i="1"/>
  <c r="Z464" i="1"/>
  <c r="CL460" i="1"/>
  <c r="DH502" i="1"/>
  <c r="CF497" i="1"/>
  <c r="DH492" i="1"/>
  <c r="AF488" i="1"/>
  <c r="BJ485" i="1"/>
  <c r="BC558" i="1"/>
  <c r="AO520" i="1"/>
  <c r="K507" i="1"/>
  <c r="AM502" i="1"/>
  <c r="BO497" i="1"/>
  <c r="CQ492" i="1"/>
  <c r="BY527" i="1"/>
  <c r="CY509" i="1"/>
  <c r="T504" i="1"/>
  <c r="AV499" i="1"/>
  <c r="BX494" i="1"/>
  <c r="CZ489" i="1"/>
  <c r="AR486" i="1"/>
  <c r="DH483" i="1"/>
  <c r="AY504" i="1"/>
  <c r="AI488" i="1"/>
  <c r="Y483" i="1"/>
  <c r="CN480" i="1"/>
  <c r="AZ478" i="1"/>
  <c r="CV474" i="1"/>
  <c r="BH472" i="1"/>
  <c r="P469" i="1"/>
  <c r="CR465" i="1"/>
  <c r="BD463" i="1"/>
  <c r="L460" i="1"/>
  <c r="CB457" i="1"/>
  <c r="AJ454" i="1"/>
  <c r="CZ451" i="1"/>
  <c r="CE498" i="1"/>
  <c r="BE486" i="1"/>
  <c r="BC482" i="1"/>
  <c r="O480" i="1"/>
  <c r="CE477" i="1"/>
  <c r="CI474" i="1"/>
  <c r="AU472" i="1"/>
  <c r="DG468" i="1"/>
  <c r="BO465" i="1"/>
  <c r="AA463" i="1"/>
  <c r="DC459" i="1"/>
  <c r="BO457" i="1"/>
  <c r="W454" i="1"/>
  <c r="CM451" i="1"/>
  <c r="K498" i="1"/>
  <c r="AM486" i="1"/>
  <c r="AT482" i="1"/>
  <c r="F480" i="1"/>
  <c r="BV477" i="1"/>
  <c r="BZ474" i="1"/>
  <c r="AL472" i="1"/>
  <c r="J469" i="1"/>
  <c r="BV465" i="1"/>
  <c r="AH463" i="1"/>
  <c r="CT459" i="1"/>
  <c r="BX501" i="1"/>
  <c r="CJ496" i="1"/>
  <c r="H492" i="1"/>
  <c r="AX487" i="1"/>
  <c r="J485" i="1"/>
  <c r="AW540" i="1"/>
  <c r="BE516" i="1"/>
  <c r="O506" i="1"/>
  <c r="AQ501" i="1"/>
  <c r="BS496" i="1"/>
  <c r="CU491" i="1"/>
  <c r="CO523" i="1"/>
  <c r="DG507" i="1"/>
  <c r="X503" i="1"/>
  <c r="AZ498" i="1"/>
  <c r="CB493" i="1"/>
  <c r="DD488" i="1"/>
  <c r="CV485" i="1"/>
  <c r="BH483" i="1"/>
  <c r="BO500" i="1"/>
  <c r="DC486" i="1"/>
  <c r="CB482" i="1"/>
  <c r="AN480" i="1"/>
  <c r="DD477" i="1"/>
  <c r="AV474" i="1"/>
  <c r="H472" i="1"/>
  <c r="CJ468" i="1"/>
  <c r="AR465" i="1"/>
  <c r="DH462" i="1"/>
  <c r="BP459" i="1"/>
  <c r="AB457" i="1"/>
  <c r="CN453" i="1"/>
  <c r="BE528" i="1"/>
  <c r="CU494" i="1"/>
  <c r="BI485" i="1"/>
  <c r="DG481" i="1"/>
  <c r="BS479" i="1"/>
  <c r="AE477" i="1"/>
  <c r="CA473" i="1"/>
  <c r="AI470" i="1"/>
  <c r="CY467" i="1"/>
  <c r="BW464" i="1"/>
  <c r="AI462" i="1"/>
  <c r="CU458" i="1"/>
  <c r="BC455" i="1"/>
  <c r="O453" i="1"/>
  <c r="DG508" i="1"/>
  <c r="AI490" i="1"/>
  <c r="W484" i="1"/>
  <c r="AL481" i="1"/>
  <c r="DB478" i="1"/>
  <c r="DF475" i="1"/>
  <c r="BR473" i="1"/>
  <c r="Z470" i="1"/>
  <c r="CP467" i="1"/>
  <c r="AX464" i="1"/>
  <c r="J462" i="1"/>
  <c r="BV458" i="1"/>
  <c r="BV457" i="1"/>
  <c r="AP454" i="1"/>
  <c r="DF451" i="1"/>
  <c r="K500" i="1"/>
  <c r="CO486" i="1"/>
  <c r="BU482" i="1"/>
  <c r="AG480" i="1"/>
  <c r="CW477" i="1"/>
  <c r="AO474" i="1"/>
  <c r="BQ521" i="1"/>
  <c r="H502" i="1"/>
  <c r="L499" i="1"/>
  <c r="CR492" i="1"/>
  <c r="DB486" i="1"/>
  <c r="CP483" i="1"/>
  <c r="CG519" i="1"/>
  <c r="S505" i="1"/>
  <c r="CY498" i="1"/>
  <c r="CA492" i="1"/>
  <c r="CW525" i="1"/>
  <c r="G509" i="1"/>
  <c r="CB503" i="1"/>
  <c r="DD498" i="1"/>
  <c r="AB494" i="1"/>
  <c r="BD489" i="1"/>
  <c r="T486" i="1"/>
  <c r="CJ483" i="1"/>
  <c r="BW502" i="1"/>
  <c r="BC487" i="1"/>
  <c r="DD482" i="1"/>
  <c r="BP480" i="1"/>
  <c r="AB478" i="1"/>
  <c r="AF475" i="1"/>
  <c r="CV472" i="1"/>
  <c r="BD469" i="1"/>
  <c r="P467" i="1"/>
  <c r="CB463" i="1"/>
  <c r="AJ460" i="1"/>
  <c r="CZ457" i="1"/>
  <c r="BX454" i="1"/>
  <c r="AJ452" i="1"/>
  <c r="CA501" i="1"/>
  <c r="AC487" i="1"/>
  <c r="CQ482" i="1"/>
  <c r="BC480" i="1"/>
  <c r="O478" i="1"/>
  <c r="BK474" i="1"/>
  <c r="W472" i="1"/>
  <c r="CY468" i="1"/>
  <c r="BG465" i="1"/>
  <c r="S463" i="1"/>
  <c r="CE459" i="1"/>
  <c r="AQ457" i="1"/>
  <c r="DC453" i="1"/>
  <c r="CG537" i="1"/>
  <c r="AI496" i="1"/>
  <c r="CU485" i="1"/>
  <c r="V482" i="1"/>
  <c r="CL479" i="1"/>
  <c r="AX477" i="1"/>
  <c r="CT473" i="1"/>
  <c r="BB470" i="1"/>
  <c r="N468" i="1"/>
  <c r="BZ464" i="1"/>
  <c r="AL462" i="1"/>
  <c r="AZ503" i="1"/>
  <c r="P498" i="1"/>
  <c r="AR493" i="1"/>
  <c r="BT488" i="1"/>
  <c r="CD485" i="1"/>
  <c r="AP483" i="1"/>
  <c r="CO521" i="1"/>
  <c r="AY507" i="1"/>
  <c r="CA502" i="1"/>
  <c r="DC497" i="1"/>
  <c r="AA493" i="1"/>
  <c r="U529" i="1"/>
  <c r="BW510" i="1"/>
  <c r="BH504" i="1"/>
  <c r="CJ499" i="1"/>
  <c r="H495" i="1"/>
  <c r="AJ490" i="1"/>
  <c r="BL486" i="1"/>
  <c r="X484" i="1"/>
  <c r="CY505" i="1"/>
  <c r="G489" i="1"/>
  <c r="BK483" i="1"/>
  <c r="DH480" i="1"/>
  <c r="BT478" i="1"/>
  <c r="L475" i="1"/>
  <c r="CB472" i="1"/>
  <c r="AJ469" i="1"/>
  <c r="CV465" i="1"/>
  <c r="BH463" i="1"/>
  <c r="AF460" i="1"/>
  <c r="CV457" i="1"/>
  <c r="BD454" i="1"/>
  <c r="P452" i="1"/>
  <c r="AA500" i="1"/>
  <c r="CS486" i="1"/>
  <c r="BW482" i="1"/>
  <c r="AI480" i="1"/>
  <c r="CY477" i="1"/>
  <c r="AQ474" i="1"/>
  <c r="DC470" i="1"/>
  <c r="BO468" i="1"/>
  <c r="W465" i="1"/>
  <c r="CM462" i="1"/>
  <c r="AU459" i="1"/>
  <c r="G457" i="1"/>
  <c r="CI453" i="1"/>
  <c r="Y528" i="1"/>
  <c r="CM494" i="1"/>
  <c r="BG485" i="1"/>
  <c r="DF481" i="1"/>
  <c r="BR479" i="1"/>
  <c r="AD477" i="1"/>
  <c r="BZ473" i="1"/>
  <c r="AH470" i="1"/>
  <c r="CX467" i="1"/>
  <c r="BV464" i="1"/>
  <c r="AH462" i="1"/>
  <c r="X504" i="1"/>
  <c r="BT498" i="1"/>
  <c r="CV493" i="1"/>
  <c r="T489" i="1"/>
  <c r="DF485" i="1"/>
  <c r="BR483" i="1"/>
  <c r="CW523" i="1"/>
  <c r="G508" i="1"/>
  <c r="AA503" i="1"/>
  <c r="BC498" i="1"/>
  <c r="CE493" i="1"/>
  <c r="DE531" i="1"/>
  <c r="AG512" i="1"/>
  <c r="H505" i="1"/>
  <c r="AJ500" i="1"/>
  <c r="BL495" i="1"/>
  <c r="CN490" i="1"/>
  <c r="CN486" i="1"/>
  <c r="AZ484" i="1"/>
  <c r="O508" i="1"/>
  <c r="K490" i="1"/>
  <c r="K484" i="1"/>
  <c r="AF481" i="1"/>
  <c r="CV478" i="1"/>
  <c r="CZ475" i="1"/>
  <c r="BL473" i="1"/>
  <c r="T470" i="1"/>
  <c r="CJ467" i="1"/>
  <c r="BH464" i="1"/>
  <c r="T462" i="1"/>
  <c r="CF458" i="1"/>
  <c r="AN455" i="1"/>
  <c r="DD452" i="1"/>
  <c r="G507" i="1"/>
  <c r="BO489" i="1"/>
  <c r="CO483" i="1"/>
  <c r="S481" i="1"/>
  <c r="CI478" i="1"/>
  <c r="AA475" i="1"/>
  <c r="CQ472" i="1"/>
  <c r="AY469" i="1"/>
  <c r="K467" i="1"/>
  <c r="BW463" i="1"/>
  <c r="AU460" i="1"/>
  <c r="G458" i="1"/>
  <c r="BS454" i="1"/>
  <c r="AE452" i="1"/>
  <c r="BS501" i="1"/>
  <c r="AA487" i="1"/>
  <c r="CP482" i="1"/>
  <c r="BB480" i="1"/>
  <c r="N478" i="1"/>
  <c r="BJ474" i="1"/>
  <c r="V472" i="1"/>
  <c r="CX468" i="1"/>
  <c r="BF465" i="1"/>
  <c r="R463" i="1"/>
  <c r="CD459" i="1"/>
  <c r="AJ501" i="1"/>
  <c r="BD496" i="1"/>
  <c r="CF491" i="1"/>
  <c r="AH487" i="1"/>
  <c r="CX484" i="1"/>
  <c r="I538" i="1"/>
  <c r="AK515" i="1"/>
  <c r="CM505" i="1"/>
  <c r="K501" i="1"/>
  <c r="AM496" i="1"/>
  <c r="BO491" i="1"/>
  <c r="BU522" i="1"/>
  <c r="BT507" i="1"/>
  <c r="CV502" i="1"/>
  <c r="T498" i="1"/>
  <c r="AV493" i="1"/>
  <c r="BX488" i="1"/>
  <c r="CF485" i="1"/>
  <c r="AR483" i="1"/>
  <c r="AU499" i="1"/>
  <c r="BW486" i="1"/>
  <c r="BL482" i="1"/>
  <c r="X480" i="1"/>
  <c r="CN477" i="1"/>
  <c r="AF474" i="1"/>
  <c r="DH470" i="1"/>
  <c r="BT468" i="1"/>
  <c r="AB465" i="1"/>
  <c r="CR462" i="1"/>
  <c r="AZ459" i="1"/>
  <c r="L457" i="1"/>
  <c r="BX453" i="1"/>
  <c r="CG523" i="1"/>
  <c r="CA493" i="1"/>
  <c r="AC485" i="1"/>
  <c r="CQ481" i="1"/>
  <c r="BC479" i="1"/>
  <c r="O477" i="1"/>
  <c r="S474" i="1"/>
  <c r="CE470" i="1"/>
  <c r="AQ468" i="1"/>
  <c r="O465" i="1"/>
  <c r="CE462" i="1"/>
  <c r="AM459" i="1"/>
  <c r="CY455" i="1"/>
  <c r="BK453" i="1"/>
  <c r="M521" i="1"/>
  <c r="G493" i="1"/>
  <c r="K485" i="1"/>
  <c r="CH481" i="1"/>
  <c r="AT479" i="1"/>
  <c r="F477" i="1"/>
  <c r="J474" i="1"/>
  <c r="BV470" i="1"/>
  <c r="AH468" i="1"/>
  <c r="CT464" i="1"/>
  <c r="BF462" i="1"/>
  <c r="N459" i="1"/>
  <c r="AD458" i="1"/>
  <c r="CL454" i="1"/>
  <c r="AX452" i="1"/>
  <c r="BS503" i="1"/>
  <c r="CU487" i="1"/>
  <c r="M483" i="1"/>
  <c r="CC480" i="1"/>
  <c r="AO478" i="1"/>
  <c r="AS475" i="1"/>
  <c r="DI472" i="1"/>
  <c r="BQ469" i="1"/>
  <c r="AC467" i="1"/>
  <c r="CO463" i="1"/>
  <c r="BM460" i="1"/>
  <c r="CS516" i="1"/>
  <c r="CF501" i="1"/>
  <c r="CJ498" i="1"/>
  <c r="AF492" i="1"/>
  <c r="CL486" i="1"/>
  <c r="BZ483" i="1"/>
  <c r="AS517" i="1"/>
  <c r="CQ504" i="1"/>
  <c r="BS498" i="1"/>
  <c r="O492" i="1"/>
  <c r="CC524" i="1"/>
  <c r="AY508" i="1"/>
  <c r="AV503" i="1"/>
  <c r="BX498" i="1"/>
  <c r="CZ493" i="1"/>
  <c r="X489" i="1"/>
  <c r="DH485" i="1"/>
  <c r="BT483" i="1"/>
  <c r="BC501" i="1"/>
  <c r="W487" i="1"/>
  <c r="CN482" i="1"/>
  <c r="AZ480" i="1"/>
  <c r="L478" i="1"/>
  <c r="BH474" i="1"/>
  <c r="T472" i="1"/>
  <c r="CF468" i="1"/>
  <c r="AN465" i="1"/>
  <c r="DD462" i="1"/>
  <c r="BL459" i="1"/>
  <c r="X457" i="1"/>
  <c r="CZ453" i="1"/>
  <c r="BQ533" i="1"/>
  <c r="CI495" i="1"/>
  <c r="CG485" i="1"/>
  <c r="O482" i="1"/>
  <c r="CE479" i="1"/>
  <c r="AQ477" i="1"/>
  <c r="I490" i="1"/>
  <c r="BY487" i="1"/>
  <c r="DI539" i="1"/>
  <c r="BI530" i="1"/>
  <c r="CH525" i="1"/>
  <c r="F521" i="1"/>
  <c r="AH516" i="1"/>
  <c r="BJ511" i="1"/>
  <c r="DD508" i="1"/>
  <c r="BQ529" i="1"/>
  <c r="CU510" i="1"/>
  <c r="AP499" i="1"/>
  <c r="CT496" i="1"/>
  <c r="BF494" i="1"/>
  <c r="R492" i="1"/>
  <c r="CH489" i="1"/>
  <c r="AQ559" i="1"/>
  <c r="CS538" i="1"/>
  <c r="DA529" i="1"/>
  <c r="Y525" i="1"/>
  <c r="BA520" i="1"/>
  <c r="CC515" i="1"/>
  <c r="I511" i="1"/>
  <c r="BY508" i="1"/>
  <c r="AK506" i="1"/>
  <c r="DA503" i="1"/>
  <c r="BM501" i="1"/>
  <c r="Y499" i="1"/>
  <c r="CO496" i="1"/>
  <c r="BA494" i="1"/>
  <c r="M492" i="1"/>
  <c r="CC489" i="1"/>
  <c r="BS558" i="1"/>
  <c r="BY538" i="1"/>
  <c r="CP529" i="1"/>
  <c r="N525" i="1"/>
  <c r="AP520" i="1"/>
  <c r="BR515" i="1"/>
  <c r="DH510" i="1"/>
  <c r="BT508" i="1"/>
  <c r="DA526" i="1"/>
  <c r="BK509" i="1"/>
  <c r="CD500" i="1"/>
  <c r="AX497" i="1"/>
  <c r="J495" i="1"/>
  <c r="BZ492" i="1"/>
  <c r="AL490" i="1"/>
  <c r="DB487" i="1"/>
  <c r="M541" i="1"/>
  <c r="BQ531" i="1"/>
  <c r="AK526" i="1"/>
  <c r="BM521" i="1"/>
  <c r="CO516" i="1"/>
  <c r="M512" i="1"/>
  <c r="AC509" i="1"/>
  <c r="CS506" i="1"/>
  <c r="BE504" i="1"/>
  <c r="Q502" i="1"/>
  <c r="CG499" i="1"/>
  <c r="AS497" i="1"/>
  <c r="DI494" i="1"/>
  <c r="BU492" i="1"/>
  <c r="AG490" i="1"/>
  <c r="CW487" i="1"/>
  <c r="CW540" i="1"/>
  <c r="AW531" i="1"/>
  <c r="Z526" i="1"/>
  <c r="BB521" i="1"/>
  <c r="CD516" i="1"/>
  <c r="DF511" i="1"/>
  <c r="X509" i="1"/>
  <c r="AG532" i="1"/>
  <c r="AW512" i="1"/>
  <c r="L505" i="1"/>
  <c r="BZ497" i="1"/>
  <c r="AL495" i="1"/>
  <c r="DB492" i="1"/>
  <c r="BN490" i="1"/>
  <c r="Z488" i="1"/>
  <c r="Q542" i="1"/>
  <c r="BU532" i="1"/>
  <c r="CO526" i="1"/>
  <c r="M522" i="1"/>
  <c r="AO517" i="1"/>
  <c r="BQ512" i="1"/>
  <c r="BE509" i="1"/>
  <c r="Q507" i="1"/>
  <c r="CG504" i="1"/>
  <c r="AS502" i="1"/>
  <c r="DI499" i="1"/>
  <c r="BU497" i="1"/>
  <c r="AG495" i="1"/>
  <c r="CW492" i="1"/>
  <c r="BI490" i="1"/>
  <c r="U488" i="1"/>
  <c r="DA541" i="1"/>
  <c r="BA532" i="1"/>
  <c r="CD526" i="1"/>
  <c r="DF521" i="1"/>
  <c r="AD517" i="1"/>
  <c r="BF512" i="1"/>
  <c r="AZ509" i="1"/>
  <c r="AW536" i="1"/>
  <c r="BE514" i="1"/>
  <c r="CX544" i="1"/>
  <c r="CP526" i="1"/>
  <c r="AL520" i="1"/>
  <c r="N514" i="1"/>
  <c r="BF509" i="1"/>
  <c r="AD506" i="1"/>
  <c r="R503" i="1"/>
  <c r="F500" i="1"/>
  <c r="BV497" i="1"/>
  <c r="BJ494" i="1"/>
  <c r="AX491" i="1"/>
  <c r="CH488" i="1"/>
  <c r="BJ544" i="1"/>
  <c r="CS534" i="1"/>
  <c r="DA527" i="1"/>
  <c r="Y523" i="1"/>
  <c r="BA518" i="1"/>
  <c r="CC513" i="1"/>
  <c r="I510" i="1"/>
  <c r="BY507" i="1"/>
  <c r="AK505" i="1"/>
  <c r="DA502" i="1"/>
  <c r="BM500" i="1"/>
  <c r="Y498" i="1"/>
  <c r="CO495" i="1"/>
  <c r="BA493" i="1"/>
  <c r="M491" i="1"/>
  <c r="CC488" i="1"/>
  <c r="X544" i="1"/>
  <c r="BY534" i="1"/>
  <c r="CP527" i="1"/>
  <c r="N523" i="1"/>
  <c r="AP518" i="1"/>
  <c r="BR513" i="1"/>
  <c r="DH509" i="1"/>
  <c r="AA547" i="1"/>
  <c r="DA518" i="1"/>
  <c r="CB506" i="1"/>
  <c r="CX497" i="1"/>
  <c r="BJ495" i="1"/>
  <c r="V493" i="1"/>
  <c r="CL490" i="1"/>
  <c r="AX488" i="1"/>
  <c r="DI542" i="1"/>
  <c r="BI533" i="1"/>
  <c r="AG527" i="1"/>
  <c r="BI522" i="1"/>
  <c r="CK517" i="1"/>
  <c r="I513" i="1"/>
  <c r="CC509" i="1"/>
  <c r="AO507" i="1"/>
  <c r="DE504" i="1"/>
  <c r="BQ502" i="1"/>
  <c r="AC500" i="1"/>
  <c r="CS497" i="1"/>
  <c r="BE495" i="1"/>
  <c r="Q493" i="1"/>
  <c r="CG490" i="1"/>
  <c r="AS488" i="1"/>
  <c r="CO542" i="1"/>
  <c r="AO533" i="1"/>
  <c r="V527" i="1"/>
  <c r="AX522" i="1"/>
  <c r="BZ517" i="1"/>
  <c r="DB512" i="1"/>
  <c r="BX509" i="1"/>
  <c r="DE539" i="1"/>
  <c r="AG516" i="1"/>
  <c r="H506" i="1"/>
  <c r="BB498" i="1"/>
  <c r="N496" i="1"/>
  <c r="CD493" i="1"/>
  <c r="AP491" i="1"/>
  <c r="DF488" i="1"/>
  <c r="CY546" i="1"/>
  <c r="CG535" i="1"/>
  <c r="AS528" i="1"/>
  <c r="BU523" i="1"/>
  <c r="CW518" i="1"/>
  <c r="U514" i="1"/>
  <c r="AG510" i="1"/>
  <c r="CW507" i="1"/>
  <c r="BI505" i="1"/>
  <c r="U503" i="1"/>
  <c r="CK500" i="1"/>
  <c r="AW498" i="1"/>
  <c r="I496" i="1"/>
  <c r="BY493" i="1"/>
  <c r="AK491" i="1"/>
  <c r="DA488" i="1"/>
  <c r="W546" i="1"/>
  <c r="BM535" i="1"/>
  <c r="AH528" i="1"/>
  <c r="BJ523" i="1"/>
  <c r="CL518" i="1"/>
  <c r="J514" i="1"/>
  <c r="AB510" i="1"/>
  <c r="BM561" i="1"/>
  <c r="CC520" i="1"/>
  <c r="T507" i="1"/>
  <c r="CD498" i="1"/>
  <c r="AP496" i="1"/>
  <c r="DF493" i="1"/>
  <c r="BR491" i="1"/>
  <c r="AD489" i="1"/>
  <c r="K551" i="1"/>
  <c r="CK536" i="1"/>
  <c r="CW528" i="1"/>
  <c r="U524" i="1"/>
  <c r="AW519" i="1"/>
  <c r="BY514" i="1"/>
  <c r="BI510" i="1"/>
  <c r="U508" i="1"/>
  <c r="CK505" i="1"/>
  <c r="AW503" i="1"/>
  <c r="I501" i="1"/>
  <c r="BY498" i="1"/>
  <c r="AK496" i="1"/>
  <c r="DA493" i="1"/>
  <c r="BM491" i="1"/>
  <c r="Y489" i="1"/>
  <c r="AM550" i="1"/>
  <c r="BQ536" i="1"/>
  <c r="CL528" i="1"/>
  <c r="J524" i="1"/>
  <c r="AL519" i="1"/>
  <c r="BN514" i="1"/>
  <c r="BD510" i="1"/>
  <c r="P508" i="1"/>
  <c r="CK522" i="1"/>
  <c r="BX507" i="1"/>
  <c r="F528" i="1"/>
  <c r="BF521" i="1"/>
  <c r="AH515" i="1"/>
  <c r="N510" i="1"/>
  <c r="CP506" i="1"/>
  <c r="CD503" i="1"/>
  <c r="BR500" i="1"/>
  <c r="AD498" i="1"/>
  <c r="R495" i="1"/>
  <c r="F492" i="1"/>
  <c r="Z489" i="1"/>
  <c r="BC550" i="1"/>
  <c r="BU536" i="1"/>
  <c r="CO528" i="1"/>
  <c r="M524" i="1"/>
  <c r="AO519" i="1"/>
  <c r="BQ514" i="1"/>
  <c r="BE510" i="1"/>
  <c r="Q508" i="1"/>
  <c r="CG505" i="1"/>
  <c r="AS503" i="1"/>
  <c r="DI500" i="1"/>
  <c r="BU498" i="1"/>
  <c r="AG496" i="1"/>
  <c r="CW493" i="1"/>
  <c r="BI491" i="1"/>
  <c r="U489" i="1"/>
  <c r="CE549" i="1"/>
  <c r="BA536" i="1"/>
  <c r="CD528" i="1"/>
  <c r="DF523" i="1"/>
  <c r="AD519" i="1"/>
  <c r="BF514" i="1"/>
  <c r="AZ510" i="1"/>
  <c r="L508" i="1"/>
  <c r="BE522" i="1"/>
  <c r="BP507" i="1"/>
  <c r="AP498" i="1"/>
  <c r="DF495" i="1"/>
  <c r="BR493" i="1"/>
  <c r="AD491" i="1"/>
  <c r="CT488" i="1"/>
  <c r="AX545" i="1"/>
  <c r="AK535" i="1"/>
  <c r="U528" i="1"/>
  <c r="AW523" i="1"/>
  <c r="BY518" i="1"/>
  <c r="DA513" i="1"/>
  <c r="U510" i="1"/>
  <c r="CK507" i="1"/>
  <c r="AW505" i="1"/>
  <c r="I503" i="1"/>
  <c r="BY500" i="1"/>
  <c r="AK498" i="1"/>
  <c r="DA495" i="1"/>
  <c r="BM493" i="1"/>
  <c r="Y491" i="1"/>
  <c r="CO488" i="1"/>
  <c r="J545" i="1"/>
  <c r="Q535" i="1"/>
  <c r="J528" i="1"/>
  <c r="AL523" i="1"/>
  <c r="BN518" i="1"/>
  <c r="CP513" i="1"/>
  <c r="P510" i="1"/>
  <c r="AM554" i="1"/>
  <c r="CO519" i="1"/>
  <c r="CZ506" i="1"/>
  <c r="CX498" i="1"/>
  <c r="BJ496" i="1"/>
  <c r="V494" i="1"/>
  <c r="CL491" i="1"/>
  <c r="AX489" i="1"/>
  <c r="G554" i="1"/>
  <c r="BI537" i="1"/>
  <c r="AG529" i="1"/>
  <c r="BI524" i="1"/>
  <c r="CK519" i="1"/>
  <c r="I515" i="1"/>
  <c r="CC510" i="1"/>
  <c r="AO508" i="1"/>
  <c r="DE505" i="1"/>
  <c r="BQ503" i="1"/>
  <c r="AC501" i="1"/>
  <c r="CS498" i="1"/>
  <c r="BE496" i="1"/>
  <c r="Q494" i="1"/>
  <c r="CG491" i="1"/>
  <c r="AS489" i="1"/>
  <c r="AI553" i="1"/>
  <c r="AO537" i="1"/>
  <c r="V529" i="1"/>
  <c r="AX524" i="1"/>
  <c r="BZ519" i="1"/>
  <c r="DB514" i="1"/>
  <c r="BX510" i="1"/>
  <c r="AJ508" i="1"/>
  <c r="AG524" i="1"/>
  <c r="AA508" i="1"/>
  <c r="Z499" i="1"/>
  <c r="CL496" i="1"/>
  <c r="AX494" i="1"/>
  <c r="J492" i="1"/>
  <c r="BZ489" i="1"/>
  <c r="W558" i="1"/>
  <c r="BM538" i="1"/>
  <c r="CK529" i="1"/>
  <c r="I525" i="1"/>
  <c r="AK520" i="1"/>
  <c r="BM515" i="1"/>
  <c r="DE510" i="1"/>
  <c r="BQ508" i="1"/>
  <c r="AC506" i="1"/>
  <c r="CS503" i="1"/>
  <c r="BE501" i="1"/>
  <c r="Q499" i="1"/>
  <c r="CG496" i="1"/>
  <c r="AS494" i="1"/>
  <c r="DI491" i="1"/>
  <c r="BU489" i="1"/>
  <c r="AY557" i="1"/>
  <c r="AS538" i="1"/>
  <c r="BZ529" i="1"/>
  <c r="DB524" i="1"/>
  <c r="Z520" i="1"/>
  <c r="BB515" i="1"/>
  <c r="CZ510" i="1"/>
  <c r="CK539" i="1"/>
  <c r="DB525" i="1"/>
  <c r="CD519" i="1"/>
  <c r="Z513" i="1"/>
  <c r="J509" i="1"/>
  <c r="DB505" i="1"/>
  <c r="BZ502" i="1"/>
  <c r="BN499" i="1"/>
  <c r="AP497" i="1"/>
  <c r="N494" i="1"/>
  <c r="DF490" i="1"/>
  <c r="BB488" i="1"/>
  <c r="U543" i="1"/>
  <c r="BY533" i="1"/>
  <c r="AO527" i="1"/>
  <c r="BQ522" i="1"/>
  <c r="CS517" i="1"/>
  <c r="Q513" i="1"/>
  <c r="CG509" i="1"/>
  <c r="AS507" i="1"/>
  <c r="DI504" i="1"/>
  <c r="BU502" i="1"/>
  <c r="AG500" i="1"/>
  <c r="CW497" i="1"/>
  <c r="BI495" i="1"/>
  <c r="U493" i="1"/>
  <c r="CK490" i="1"/>
  <c r="AW488" i="1"/>
  <c r="DE542" i="1"/>
  <c r="BE533" i="1"/>
  <c r="AD527" i="1"/>
  <c r="BF522" i="1"/>
  <c r="CH517" i="1"/>
  <c r="F513" i="1"/>
  <c r="CB509" i="1"/>
  <c r="BM540" i="1"/>
  <c r="BM516" i="1"/>
  <c r="BB501" i="1"/>
  <c r="BR497" i="1"/>
  <c r="AD495" i="1"/>
  <c r="CT492" i="1"/>
  <c r="BF490" i="1"/>
  <c r="R488" i="1"/>
  <c r="CO541" i="1"/>
  <c r="AO532" i="1"/>
  <c r="BY526" i="1"/>
  <c r="DA521" i="1"/>
  <c r="Y517" i="1"/>
  <c r="BA512" i="1"/>
  <c r="AW509" i="1"/>
  <c r="I507" i="1"/>
  <c r="BY504" i="1"/>
  <c r="AK502" i="1"/>
  <c r="DA499" i="1"/>
  <c r="BM497" i="1"/>
  <c r="Y495" i="1"/>
  <c r="CO492" i="1"/>
  <c r="BA490" i="1"/>
  <c r="M488" i="1"/>
  <c r="BU541" i="1"/>
  <c r="U532" i="1"/>
  <c r="BN526" i="1"/>
  <c r="CP521" i="1"/>
  <c r="N517" i="1"/>
  <c r="AP512" i="1"/>
  <c r="AR509" i="1"/>
  <c r="AC535" i="1"/>
  <c r="CW513" i="1"/>
  <c r="AZ505" i="1"/>
  <c r="V498" i="1"/>
  <c r="CL495" i="1"/>
  <c r="AX493" i="1"/>
  <c r="J491" i="1"/>
  <c r="BZ488" i="1"/>
  <c r="I544" i="1"/>
  <c r="BM534" i="1"/>
  <c r="CK527" i="1"/>
  <c r="I523" i="1"/>
  <c r="AK518" i="1"/>
  <c r="BM513" i="1"/>
  <c r="DE509" i="1"/>
  <c r="BQ507" i="1"/>
  <c r="AC505" i="1"/>
  <c r="CS502" i="1"/>
  <c r="BE500" i="1"/>
  <c r="Q498" i="1"/>
  <c r="CG495" i="1"/>
  <c r="AS493" i="1"/>
  <c r="DI490" i="1"/>
  <c r="BU488" i="1"/>
  <c r="CS543" i="1"/>
  <c r="AS534" i="1"/>
  <c r="BZ527" i="1"/>
  <c r="DB522" i="1"/>
  <c r="Z518" i="1"/>
  <c r="BB513" i="1"/>
  <c r="CZ509" i="1"/>
  <c r="S544" i="1"/>
  <c r="AO518" i="1"/>
  <c r="BL506" i="1"/>
  <c r="AX498" i="1"/>
  <c r="J496" i="1"/>
  <c r="BZ493" i="1"/>
  <c r="AL491" i="1"/>
  <c r="DB488" i="1"/>
  <c r="AM546" i="1"/>
  <c r="BQ535" i="1"/>
  <c r="AK528" i="1"/>
  <c r="BM523" i="1"/>
  <c r="CO518" i="1"/>
  <c r="M514" i="1"/>
  <c r="AC510" i="1"/>
  <c r="CS507" i="1"/>
  <c r="BE505" i="1"/>
  <c r="Q503" i="1"/>
  <c r="CG500" i="1"/>
  <c r="AS498" i="1"/>
  <c r="DI495" i="1"/>
  <c r="BU493" i="1"/>
  <c r="AG491" i="1"/>
  <c r="CW488" i="1"/>
  <c r="BV545" i="1"/>
  <c r="AW535" i="1"/>
  <c r="Z528" i="1"/>
  <c r="BB523" i="1"/>
  <c r="CD518" i="1"/>
  <c r="DF513" i="1"/>
  <c r="X510" i="1"/>
  <c r="K559" i="1"/>
  <c r="AW520" i="1"/>
  <c r="L507" i="1"/>
  <c r="AN502" i="1"/>
  <c r="CR500" i="1"/>
  <c r="P496" i="1"/>
  <c r="AR491" i="1"/>
  <c r="N487" i="1"/>
  <c r="CD484" i="1"/>
  <c r="M535" i="1"/>
  <c r="CO513" i="1"/>
  <c r="AY505" i="1"/>
  <c r="CA500" i="1"/>
  <c r="DC495" i="1"/>
  <c r="BL508" i="1"/>
  <c r="P504" i="1"/>
  <c r="AB501" i="1"/>
  <c r="BT494" i="1"/>
  <c r="AV488" i="1"/>
  <c r="CT484" i="1"/>
  <c r="CS526" i="1"/>
  <c r="AA507" i="1"/>
  <c r="DG500" i="1"/>
  <c r="BC494" i="1"/>
  <c r="U533" i="1"/>
  <c r="CS512" i="1"/>
  <c r="X505" i="1"/>
  <c r="AZ500" i="1"/>
  <c r="CB495" i="1"/>
  <c r="DD490" i="1"/>
  <c r="CV486" i="1"/>
  <c r="BH484" i="1"/>
  <c r="AI509" i="1"/>
  <c r="AQ490" i="1"/>
  <c r="AA484" i="1"/>
  <c r="AN481" i="1"/>
  <c r="DD478" i="1"/>
  <c r="DH475" i="1"/>
  <c r="BT473" i="1"/>
  <c r="AB470" i="1"/>
  <c r="CR467" i="1"/>
  <c r="AZ464" i="1"/>
  <c r="L462" i="1"/>
  <c r="BX458" i="1"/>
  <c r="AV455" i="1"/>
  <c r="H453" i="1"/>
  <c r="BS507" i="1"/>
  <c r="CU489" i="1"/>
  <c r="DE483" i="1"/>
  <c r="AA481" i="1"/>
  <c r="CQ478" i="1"/>
  <c r="CU475" i="1"/>
  <c r="BG473" i="1"/>
  <c r="AE470" i="1"/>
  <c r="CU467" i="1"/>
  <c r="BC464" i="1"/>
  <c r="O462" i="1"/>
  <c r="CA458" i="1"/>
  <c r="AI455" i="1"/>
  <c r="CY452" i="1"/>
  <c r="DC506" i="1"/>
  <c r="BK489" i="1"/>
  <c r="CM483" i="1"/>
  <c r="R481" i="1"/>
  <c r="CH478" i="1"/>
  <c r="Z475" i="1"/>
  <c r="CP472" i="1"/>
  <c r="AX469" i="1"/>
  <c r="J467" i="1"/>
  <c r="BV463" i="1"/>
  <c r="AT460" i="1"/>
  <c r="CJ500" i="1"/>
  <c r="H496" i="1"/>
  <c r="AJ491" i="1"/>
  <c r="J487" i="1"/>
  <c r="BZ484" i="1"/>
  <c r="BE534" i="1"/>
  <c r="BI513" i="1"/>
  <c r="AQ505" i="1"/>
  <c r="BS500" i="1"/>
  <c r="CU495" i="1"/>
  <c r="S491" i="1"/>
  <c r="CS520" i="1"/>
  <c r="X507" i="1"/>
  <c r="AZ502" i="1"/>
  <c r="CB497" i="1"/>
  <c r="DD492" i="1"/>
  <c r="AB488" i="1"/>
  <c r="BH485" i="1"/>
  <c r="BW559" i="1"/>
  <c r="BS497" i="1"/>
  <c r="AA486" i="1"/>
  <c r="AN482" i="1"/>
  <c r="DD479" i="1"/>
  <c r="BP477" i="1"/>
  <c r="H474" i="1"/>
  <c r="BT470" i="1"/>
  <c r="AF468" i="1"/>
  <c r="CR464" i="1"/>
  <c r="BD462" i="1"/>
  <c r="AB459" i="1"/>
  <c r="CN455" i="1"/>
  <c r="AZ453" i="1"/>
  <c r="BU516" i="1"/>
  <c r="CY491" i="1"/>
  <c r="CK484" i="1"/>
  <c r="BS481" i="1"/>
  <c r="AE479" i="1"/>
  <c r="CA475" i="1"/>
  <c r="AM473" i="1"/>
  <c r="CY469" i="1"/>
  <c r="BK467" i="1"/>
  <c r="S464" i="1"/>
  <c r="CE460" i="1"/>
  <c r="AQ458" i="1"/>
  <c r="O455" i="1"/>
  <c r="CE452" i="1"/>
  <c r="BC505" i="1"/>
  <c r="CM488" i="1"/>
  <c r="AY483" i="1"/>
  <c r="DB480" i="1"/>
  <c r="BN478" i="1"/>
  <c r="F475" i="1"/>
  <c r="BV472" i="1"/>
  <c r="AD469" i="1"/>
  <c r="DF465" i="1"/>
  <c r="BR463" i="1"/>
  <c r="Z460" i="1"/>
  <c r="AR501" i="1"/>
  <c r="BL496" i="1"/>
  <c r="CN491" i="1"/>
  <c r="AL487" i="1"/>
  <c r="DB484" i="1"/>
  <c r="BU538" i="1"/>
  <c r="BQ515" i="1"/>
  <c r="CU505" i="1"/>
  <c r="S501" i="1"/>
  <c r="AU496" i="1"/>
  <c r="BW491" i="1"/>
  <c r="DA522" i="1"/>
  <c r="CB507" i="1"/>
  <c r="DD502" i="1"/>
  <c r="AB498" i="1"/>
  <c r="BD493" i="1"/>
  <c r="CF488" i="1"/>
  <c r="CJ485" i="1"/>
  <c r="AV483" i="1"/>
  <c r="CA499" i="1"/>
  <c r="CE486" i="1"/>
  <c r="BP482" i="1"/>
  <c r="AB480" i="1"/>
  <c r="CR477" i="1"/>
  <c r="AJ474" i="1"/>
  <c r="CV470" i="1"/>
  <c r="BH468" i="1"/>
  <c r="AF465" i="1"/>
  <c r="CV462" i="1"/>
  <c r="BD459" i="1"/>
  <c r="P457" i="1"/>
  <c r="CB453" i="1"/>
  <c r="DA524" i="1"/>
  <c r="DG493" i="1"/>
  <c r="AK485" i="1"/>
  <c r="CU481" i="1"/>
  <c r="BG479" i="1"/>
  <c r="S477" i="1"/>
  <c r="W474" i="1"/>
  <c r="CI470" i="1"/>
  <c r="AU468" i="1"/>
  <c r="DG464" i="1"/>
  <c r="BS462" i="1"/>
  <c r="AQ459" i="1"/>
  <c r="DC455" i="1"/>
  <c r="BO453" i="1"/>
  <c r="AG522" i="1"/>
  <c r="AM493" i="1"/>
  <c r="S485" i="1"/>
  <c r="CL481" i="1"/>
  <c r="AX479" i="1"/>
  <c r="J477" i="1"/>
  <c r="N474" i="1"/>
  <c r="CP470" i="1"/>
  <c r="BB468" i="1"/>
  <c r="J465" i="1"/>
  <c r="BZ462" i="1"/>
  <c r="AH459" i="1"/>
  <c r="AN500" i="1"/>
  <c r="BP495" i="1"/>
  <c r="CR490" i="1"/>
  <c r="CP486" i="1"/>
  <c r="BB484" i="1"/>
  <c r="DA530" i="1"/>
  <c r="CG511" i="1"/>
  <c r="CY504" i="1"/>
  <c r="W500" i="1"/>
  <c r="AY495" i="1"/>
  <c r="AU548" i="1"/>
  <c r="M519" i="1"/>
  <c r="CF506" i="1"/>
  <c r="DH501" i="1"/>
  <c r="AF497" i="1"/>
  <c r="BH492" i="1"/>
  <c r="CJ487" i="1"/>
  <c r="AJ485" i="1"/>
  <c r="Y534" i="1"/>
  <c r="CQ495" i="1"/>
  <c r="CI485" i="1"/>
  <c r="P482" i="1"/>
  <c r="CF479" i="1"/>
  <c r="AR477" i="1"/>
  <c r="CN473" i="1"/>
  <c r="BL470" i="1"/>
  <c r="X468" i="1"/>
  <c r="CJ464" i="1"/>
  <c r="AV462" i="1"/>
  <c r="DH458" i="1"/>
  <c r="BP455" i="1"/>
  <c r="AB453" i="1"/>
  <c r="AM510" i="1"/>
  <c r="BS490" i="1"/>
  <c r="AO484" i="1"/>
  <c r="AU481" i="1"/>
  <c r="G479" i="1"/>
  <c r="BC475" i="1"/>
  <c r="O473" i="1"/>
  <c r="CA469" i="1"/>
  <c r="AM467" i="1"/>
  <c r="K464" i="1"/>
  <c r="BW460" i="1"/>
  <c r="AI458" i="1"/>
  <c r="CU454" i="1"/>
  <c r="BG452" i="1"/>
  <c r="CA503" i="1"/>
  <c r="CY487" i="1"/>
  <c r="N483" i="1"/>
  <c r="CD480" i="1"/>
  <c r="AP478" i="1"/>
  <c r="AT475" i="1"/>
  <c r="F473" i="1"/>
  <c r="BR469" i="1"/>
  <c r="AD467" i="1"/>
  <c r="CP463" i="1"/>
  <c r="AX460" i="1"/>
  <c r="J458" i="1"/>
  <c r="F457" i="1"/>
  <c r="CH453" i="1"/>
  <c r="AG530" i="1"/>
  <c r="AM495" i="1"/>
  <c r="BU485" i="1"/>
  <c r="I482" i="1"/>
  <c r="BY479" i="1"/>
  <c r="AK477" i="1"/>
  <c r="CG473" i="1"/>
  <c r="AR507" i="1"/>
  <c r="CZ504" i="1"/>
  <c r="BP497" i="1"/>
  <c r="L491" i="1"/>
  <c r="Z486" i="1"/>
  <c r="CE553" i="1"/>
  <c r="BU512" i="1"/>
  <c r="BW503" i="1"/>
  <c r="AY497" i="1"/>
  <c r="AA491" i="1"/>
  <c r="U521" i="1"/>
  <c r="AF507" i="1"/>
  <c r="BH502" i="1"/>
  <c r="CJ497" i="1"/>
  <c r="H493" i="1"/>
  <c r="AJ488" i="1"/>
  <c r="BL485" i="1"/>
  <c r="X483" i="1"/>
  <c r="CY497" i="1"/>
  <c r="AI486" i="1"/>
  <c r="AR482" i="1"/>
  <c r="DH479" i="1"/>
  <c r="BT477" i="1"/>
  <c r="BX474" i="1"/>
  <c r="AJ472" i="1"/>
  <c r="CV468" i="1"/>
  <c r="BD465" i="1"/>
  <c r="P463" i="1"/>
  <c r="CB459" i="1"/>
  <c r="AN457" i="1"/>
  <c r="L454" i="1"/>
  <c r="M543" i="1"/>
  <c r="DC496" i="1"/>
  <c r="I486" i="1"/>
  <c r="AE482" i="1"/>
  <c r="CU479" i="1"/>
  <c r="BG477" i="1"/>
  <c r="DC473" i="1"/>
  <c r="CA470" i="1"/>
  <c r="AM468" i="1"/>
  <c r="CY464" i="1"/>
  <c r="BK462" i="1"/>
  <c r="S459" i="1"/>
  <c r="CE455" i="1"/>
  <c r="AQ453" i="1"/>
  <c r="U515" i="1"/>
  <c r="BK491" i="1"/>
  <c r="CA484" i="1"/>
  <c r="BN481" i="1"/>
  <c r="Z479" i="1"/>
  <c r="BV475" i="1"/>
  <c r="AH473" i="1"/>
  <c r="CT469" i="1"/>
  <c r="BF467" i="1"/>
  <c r="N464" i="1"/>
  <c r="CP460" i="1"/>
  <c r="CV501" i="1"/>
  <c r="CZ496" i="1"/>
  <c r="X492" i="1"/>
  <c r="BF487" i="1"/>
  <c r="R485" i="1"/>
  <c r="BQ541" i="1"/>
  <c r="M517" i="1"/>
  <c r="AE506" i="1"/>
  <c r="BG501" i="1"/>
  <c r="CI496" i="1"/>
  <c r="G492" i="1"/>
  <c r="AW524" i="1"/>
  <c r="AI508" i="1"/>
  <c r="AN503" i="1"/>
  <c r="BP498" i="1"/>
  <c r="CR493" i="1"/>
  <c r="P489" i="1"/>
  <c r="DD485" i="1"/>
  <c r="BP483" i="1"/>
  <c r="W501" i="1"/>
  <c r="O487" i="1"/>
  <c r="CJ482" i="1"/>
  <c r="AV480" i="1"/>
  <c r="H478" i="1"/>
  <c r="BD474" i="1"/>
  <c r="P472" i="1"/>
  <c r="CB468" i="1"/>
  <c r="AJ465" i="1"/>
  <c r="CZ462" i="1"/>
  <c r="BX459" i="1"/>
  <c r="AJ457" i="1"/>
  <c r="CV453" i="1"/>
  <c r="AC531" i="1"/>
  <c r="BC495" i="1"/>
  <c r="BY485" i="1"/>
  <c r="K482" i="1"/>
  <c r="CA479" i="1"/>
  <c r="AM477" i="1"/>
  <c r="CI473" i="1"/>
  <c r="AQ470" i="1"/>
  <c r="DG467" i="1"/>
  <c r="BO464" i="1"/>
  <c r="AA462" i="1"/>
  <c r="CM458" i="1"/>
  <c r="BK455" i="1"/>
  <c r="W453" i="1"/>
  <c r="W510" i="1"/>
  <c r="BO490" i="1"/>
  <c r="AM484" i="1"/>
  <c r="AT481" i="1"/>
  <c r="F479" i="1"/>
  <c r="BB475" i="1"/>
  <c r="N473" i="1"/>
  <c r="BZ469" i="1"/>
  <c r="AL467" i="1"/>
  <c r="J464" i="1"/>
  <c r="BV460" i="1"/>
  <c r="BL502" i="1"/>
  <c r="AZ497" i="1"/>
  <c r="CB492" i="1"/>
  <c r="DD487" i="1"/>
  <c r="AT485" i="1"/>
  <c r="DG548" i="1"/>
  <c r="U519" i="1"/>
  <c r="CI506" i="1"/>
  <c r="G502" i="1"/>
  <c r="AI497" i="1"/>
  <c r="BK492" i="1"/>
  <c r="BE526" i="1"/>
  <c r="AM509" i="1"/>
  <c r="CR503" i="1"/>
  <c r="P499" i="1"/>
  <c r="AR494" i="1"/>
  <c r="BT489" i="1"/>
  <c r="AB486" i="1"/>
  <c r="CR483" i="1"/>
  <c r="AE503" i="1"/>
  <c r="CA487" i="1"/>
  <c r="H483" i="1"/>
  <c r="BX480" i="1"/>
  <c r="AJ478" i="1"/>
  <c r="AN475" i="1"/>
  <c r="DD472" i="1"/>
  <c r="BL469" i="1"/>
  <c r="X467" i="1"/>
  <c r="CZ463" i="1"/>
  <c r="BH460" i="1"/>
  <c r="T458" i="1"/>
  <c r="CF454" i="1"/>
  <c r="AR452" i="1"/>
  <c r="AI502" i="1"/>
  <c r="AS487" i="1"/>
  <c r="CY482" i="1"/>
  <c r="BK480" i="1"/>
  <c r="W478" i="1"/>
  <c r="BS474" i="1"/>
  <c r="AE472" i="1"/>
  <c r="CQ468" i="1"/>
  <c r="AY465" i="1"/>
  <c r="K463" i="1"/>
  <c r="CM459" i="1"/>
  <c r="AY457" i="1"/>
  <c r="G454" i="1"/>
  <c r="BE542" i="1"/>
  <c r="CU496" i="1"/>
  <c r="G486" i="1"/>
  <c r="AD482" i="1"/>
  <c r="CT479" i="1"/>
  <c r="BF477" i="1"/>
  <c r="DB473" i="1"/>
  <c r="BZ470" i="1"/>
  <c r="AL468" i="1"/>
  <c r="CX464" i="1"/>
  <c r="BJ462" i="1"/>
  <c r="R459" i="1"/>
  <c r="H500" i="1"/>
  <c r="AJ495" i="1"/>
  <c r="BL490" i="1"/>
  <c r="BZ486" i="1"/>
  <c r="AL484" i="1"/>
  <c r="BI529" i="1"/>
  <c r="CQ510" i="1"/>
  <c r="BS504" i="1"/>
  <c r="CU499" i="1"/>
  <c r="S495" i="1"/>
  <c r="AC543" i="1"/>
  <c r="CW517" i="1"/>
  <c r="AZ506" i="1"/>
  <c r="CB501" i="1"/>
  <c r="DD496" i="1"/>
  <c r="AB492" i="1"/>
  <c r="BH487" i="1"/>
  <c r="T485" i="1"/>
  <c r="BQ527" i="1"/>
  <c r="BW494" i="1"/>
  <c r="BC485" i="1"/>
  <c r="DD481" i="1"/>
  <c r="BP479" i="1"/>
  <c r="AB477" i="1"/>
  <c r="BX473" i="1"/>
  <c r="AV470" i="1"/>
  <c r="H468" i="1"/>
  <c r="BT464" i="1"/>
  <c r="AF462" i="1"/>
  <c r="CR458" i="1"/>
  <c r="AZ455" i="1"/>
  <c r="L453" i="1"/>
  <c r="DC507" i="1"/>
  <c r="G490" i="1"/>
  <c r="I484" i="1"/>
  <c r="AE481" i="1"/>
  <c r="CU478" i="1"/>
  <c r="CY475" i="1"/>
  <c r="BK473" i="1"/>
  <c r="S470" i="1"/>
  <c r="CI467" i="1"/>
  <c r="BG464" i="1"/>
  <c r="S462" i="1"/>
  <c r="CE458" i="1"/>
  <c r="AM455" i="1"/>
  <c r="DC452" i="1"/>
  <c r="AE507" i="1"/>
  <c r="CA489" i="1"/>
  <c r="CU483" i="1"/>
  <c r="V481" i="1"/>
  <c r="CL478" i="1"/>
  <c r="CP475" i="1"/>
  <c r="BB473" i="1"/>
  <c r="J470" i="1"/>
  <c r="BZ467" i="1"/>
  <c r="AH464" i="1"/>
  <c r="CT460" i="1"/>
  <c r="BF458" i="1"/>
  <c r="BB457" i="1"/>
  <c r="Z454" i="1"/>
  <c r="CP451" i="1"/>
  <c r="CU498" i="1"/>
  <c r="BI486" i="1"/>
  <c r="BE482" i="1"/>
  <c r="Q480" i="1"/>
  <c r="CG477" i="1"/>
  <c r="CK474" i="1"/>
  <c r="AW472" i="1"/>
  <c r="DI468" i="1"/>
  <c r="BQ465" i="1"/>
  <c r="AC463" i="1"/>
  <c r="DE459" i="1"/>
  <c r="BD506" i="1"/>
  <c r="AN504" i="1"/>
  <c r="DH496" i="1"/>
  <c r="CJ490" i="1"/>
  <c r="J486" i="1"/>
  <c r="Y542" i="1"/>
  <c r="BA511" i="1"/>
  <c r="AQ503" i="1"/>
  <c r="CQ496" i="1"/>
  <c r="BG555" i="1"/>
  <c r="DE519" i="1"/>
  <c r="DD506" i="1"/>
  <c r="AB502" i="1"/>
  <c r="BD497" i="1"/>
  <c r="CF492" i="1"/>
  <c r="DH487" i="1"/>
  <c r="AV485" i="1"/>
  <c r="AK541" i="1"/>
  <c r="CE496" i="1"/>
  <c r="DG485" i="1"/>
  <c r="AB482" i="1"/>
  <c r="CR479" i="1"/>
  <c r="BD477" i="1"/>
  <c r="CZ473" i="1"/>
  <c r="BH470" i="1"/>
  <c r="T468" i="1"/>
  <c r="CF464" i="1"/>
  <c r="AR462" i="1"/>
  <c r="DD458" i="1"/>
  <c r="CB455" i="1"/>
  <c r="AN453" i="1"/>
  <c r="M513" i="1"/>
  <c r="K491" i="1"/>
  <c r="BM484" i="1"/>
  <c r="BG481" i="1"/>
  <c r="S479" i="1"/>
  <c r="BO475" i="1"/>
  <c r="DG474" i="1"/>
  <c r="BS472" i="1"/>
  <c r="AQ469" i="1"/>
  <c r="DC465" i="1"/>
  <c r="BO463" i="1"/>
  <c r="W460" i="1"/>
  <c r="CM457" i="1"/>
  <c r="AU454" i="1"/>
  <c r="G452" i="1"/>
  <c r="CQ499" i="1"/>
  <c r="CI486" i="1"/>
  <c r="BR482" i="1"/>
  <c r="AD480" i="1"/>
  <c r="CT477" i="1"/>
  <c r="AL474" i="1"/>
  <c r="CX470" i="1"/>
  <c r="BJ468" i="1"/>
  <c r="R465" i="1"/>
  <c r="CH462" i="1"/>
  <c r="CJ504" i="1"/>
  <c r="DH498" i="1"/>
  <c r="AF494" i="1"/>
  <c r="BH489" i="1"/>
  <c r="V486" i="1"/>
  <c r="CL483" i="1"/>
  <c r="AS525" i="1"/>
  <c r="CI508" i="1"/>
  <c r="BO503" i="1"/>
  <c r="CQ498" i="1"/>
  <c r="O494" i="1"/>
  <c r="DA534" i="1"/>
  <c r="CG513" i="1"/>
  <c r="AV505" i="1"/>
  <c r="BX500" i="1"/>
  <c r="CZ495" i="1"/>
  <c r="X491" i="1"/>
  <c r="DH486" i="1"/>
  <c r="BT484" i="1"/>
  <c r="K511" i="1"/>
  <c r="CM490" i="1"/>
  <c r="AY484" i="1"/>
  <c r="AZ481" i="1"/>
  <c r="L479" i="1"/>
  <c r="BH475" i="1"/>
  <c r="T473" i="1"/>
  <c r="CF469" i="1"/>
  <c r="AR467" i="1"/>
  <c r="DD463" i="1"/>
  <c r="CB460" i="1"/>
  <c r="AN458" i="1"/>
  <c r="CZ454" i="1"/>
  <c r="BL452" i="1"/>
  <c r="CI503" i="1"/>
  <c r="DC487" i="1"/>
  <c r="O483" i="1"/>
  <c r="CE480" i="1"/>
  <c r="AQ478" i="1"/>
  <c r="AU475" i="1"/>
  <c r="G473" i="1"/>
  <c r="BS469" i="1"/>
  <c r="AE467" i="1"/>
  <c r="CQ463" i="1"/>
  <c r="AY460" i="1"/>
  <c r="K458" i="1"/>
  <c r="CM454" i="1"/>
  <c r="AY452" i="1"/>
  <c r="O503" i="1"/>
  <c r="BS487" i="1"/>
  <c r="F483" i="1"/>
  <c r="BV480" i="1"/>
  <c r="AH478" i="1"/>
  <c r="AL475" i="1"/>
  <c r="DB472" i="1"/>
  <c r="BJ469" i="1"/>
  <c r="V467" i="1"/>
  <c r="CX463" i="1"/>
  <c r="BF460" i="1"/>
  <c r="X502" i="1"/>
  <c r="T497" i="1"/>
  <c r="AV492" i="1"/>
  <c r="BX487" i="1"/>
  <c r="AD485" i="1"/>
  <c r="AS543" i="1"/>
  <c r="DE517" i="1"/>
  <c r="BC506" i="1"/>
  <c r="CE501" i="1"/>
  <c r="DG496" i="1"/>
  <c r="AE492" i="1"/>
  <c r="AK525" i="1"/>
  <c r="CE508" i="1"/>
  <c r="BL503" i="1"/>
  <c r="CN498" i="1"/>
  <c r="L494" i="1"/>
  <c r="AN489" i="1"/>
  <c r="L486" i="1"/>
  <c r="CB483" i="1"/>
  <c r="K502" i="1"/>
  <c r="AM487" i="1"/>
  <c r="CV482" i="1"/>
  <c r="BH480" i="1"/>
  <c r="T478" i="1"/>
  <c r="BP474" i="1"/>
  <c r="AB472" i="1"/>
  <c r="CN468" i="1"/>
  <c r="BL465" i="1"/>
  <c r="X463" i="1"/>
  <c r="CJ459" i="1"/>
  <c r="AV457" i="1"/>
  <c r="DH453" i="1"/>
  <c r="AO538" i="1"/>
  <c r="AQ496" i="1"/>
  <c r="CW485" i="1"/>
  <c r="W482" i="1"/>
  <c r="CM479" i="1"/>
  <c r="AY477" i="1"/>
  <c r="CU473" i="1"/>
  <c r="BC470" i="1"/>
  <c r="O468" i="1"/>
  <c r="CA464" i="1"/>
  <c r="AM462" i="1"/>
  <c r="K459" i="1"/>
  <c r="BW455" i="1"/>
  <c r="AI453" i="1"/>
  <c r="CK512" i="1"/>
  <c r="G491" i="1"/>
  <c r="BK484" i="1"/>
  <c r="BF481" i="1"/>
  <c r="R479" i="1"/>
  <c r="BN475" i="1"/>
  <c r="Z473" i="1"/>
  <c r="DB469" i="1"/>
  <c r="BN467" i="1"/>
  <c r="V464" i="1"/>
  <c r="CH460" i="1"/>
  <c r="H504" i="1"/>
  <c r="BL498" i="1"/>
  <c r="CN493" i="1"/>
  <c r="L489" i="1"/>
  <c r="DB485" i="1"/>
  <c r="BN483" i="1"/>
  <c r="BQ523" i="1"/>
  <c r="CU507" i="1"/>
  <c r="S503" i="1"/>
  <c r="AU498" i="1"/>
  <c r="BW493" i="1"/>
  <c r="AS531" i="1"/>
  <c r="DE511" i="1"/>
  <c r="DD504" i="1"/>
  <c r="AB500" i="1"/>
  <c r="BD495" i="1"/>
  <c r="CF490" i="1"/>
  <c r="CJ486" i="1"/>
  <c r="AV484" i="1"/>
  <c r="CA507" i="1"/>
  <c r="CY489" i="1"/>
  <c r="DG483" i="1"/>
  <c r="AB481" i="1"/>
  <c r="CR478" i="1"/>
  <c r="CV475" i="1"/>
  <c r="BH473" i="1"/>
  <c r="AF470" i="1"/>
  <c r="CV467" i="1"/>
  <c r="BD464" i="1"/>
  <c r="P462" i="1"/>
  <c r="CB458" i="1"/>
  <c r="AJ455" i="1"/>
  <c r="CZ452" i="1"/>
  <c r="CE506" i="1"/>
  <c r="AY489" i="1"/>
  <c r="CG483" i="1"/>
  <c r="O481" i="1"/>
  <c r="CE478" i="1"/>
  <c r="W475" i="1"/>
  <c r="CM472" i="1"/>
  <c r="AU469" i="1"/>
  <c r="G467" i="1"/>
  <c r="CI463" i="1"/>
  <c r="AQ460" i="1"/>
  <c r="DG457" i="1"/>
  <c r="BO454" i="1"/>
  <c r="AA452" i="1"/>
  <c r="AM501" i="1"/>
  <c r="S487" i="1"/>
  <c r="CL482" i="1"/>
  <c r="AX480" i="1"/>
  <c r="J478" i="1"/>
  <c r="BF474" i="1"/>
  <c r="R472" i="1"/>
  <c r="CD468" i="1"/>
  <c r="AL465" i="1"/>
  <c r="DB462" i="1"/>
  <c r="BJ459" i="1"/>
  <c r="CT458" i="1"/>
  <c r="AD455" i="1"/>
  <c r="CT452" i="1"/>
  <c r="W507" i="1"/>
  <c r="BW489" i="1"/>
  <c r="CS483" i="1"/>
  <c r="U481" i="1"/>
  <c r="CK478" i="1"/>
  <c r="AC475" i="1"/>
  <c r="CS472" i="1"/>
  <c r="BA469" i="1"/>
  <c r="M467" i="1"/>
  <c r="X506" i="1"/>
  <c r="BP503" i="1"/>
  <c r="CB496" i="1"/>
  <c r="BD490" i="1"/>
  <c r="CH485" i="1"/>
  <c r="CO539" i="1"/>
  <c r="CA510" i="1"/>
  <c r="CI502" i="1"/>
  <c r="BK496" i="1"/>
  <c r="G546" i="1"/>
  <c r="CK518" i="1"/>
  <c r="BX506" i="1"/>
  <c r="CZ501" i="1"/>
  <c r="X497" i="1"/>
  <c r="AZ492" i="1"/>
  <c r="CB487" i="1"/>
  <c r="AF485" i="1"/>
  <c r="CO531" i="1"/>
  <c r="BK495" i="1"/>
  <c r="CA485" i="1"/>
  <c r="L482" i="1"/>
  <c r="CB479" i="1"/>
  <c r="AN477" i="1"/>
  <c r="CJ473" i="1"/>
  <c r="AR470" i="1"/>
  <c r="DH467" i="1"/>
  <c r="BP464" i="1"/>
  <c r="AB462" i="1"/>
  <c r="CN458" i="1"/>
  <c r="BL455" i="1"/>
  <c r="X453" i="1"/>
  <c r="CE509" i="1"/>
  <c r="BC490" i="1"/>
  <c r="AG484" i="1"/>
  <c r="AQ481" i="1"/>
  <c r="DG478" i="1"/>
  <c r="AY475" i="1"/>
  <c r="K473" i="1"/>
  <c r="CM469" i="1"/>
  <c r="AY467" i="1"/>
  <c r="G464" i="1"/>
  <c r="BS460" i="1"/>
  <c r="AE458" i="1"/>
  <c r="CQ454" i="1"/>
  <c r="BC452" i="1"/>
  <c r="AU503" i="1"/>
  <c r="CI487" i="1"/>
  <c r="J483" i="1"/>
  <c r="BZ480" i="1"/>
  <c r="AL478" i="1"/>
  <c r="AP475" i="1"/>
  <c r="DF472" i="1"/>
  <c r="BN469" i="1"/>
  <c r="Z467" i="1"/>
  <c r="CL463" i="1"/>
  <c r="BJ460" i="1"/>
  <c r="L501" i="1"/>
  <c r="AN496" i="1"/>
  <c r="BP491" i="1"/>
  <c r="Z487" i="1"/>
  <c r="CP484" i="1"/>
  <c r="CS536" i="1"/>
  <c r="CC514" i="1"/>
  <c r="BW505" i="1"/>
  <c r="CY500" i="1"/>
  <c r="W496" i="1"/>
  <c r="AY491" i="1"/>
  <c r="I522" i="1"/>
  <c r="BD507" i="1"/>
  <c r="CF502" i="1"/>
  <c r="DH497" i="1"/>
  <c r="AF493" i="1"/>
  <c r="BH488" i="1"/>
  <c r="BX485" i="1"/>
  <c r="AJ483" i="1"/>
  <c r="CM498" i="1"/>
  <c r="BG486" i="1"/>
  <c r="BD482" i="1"/>
  <c r="P480" i="1"/>
  <c r="CF477" i="1"/>
  <c r="CJ474" i="1"/>
  <c r="AV472" i="1"/>
  <c r="DH468" i="1"/>
  <c r="BP465" i="1"/>
  <c r="AB463" i="1"/>
  <c r="DD459" i="1"/>
  <c r="BP457" i="1"/>
  <c r="X454" i="1"/>
  <c r="CN451" i="1"/>
  <c r="CQ497" i="1"/>
  <c r="AG486" i="1"/>
  <c r="AQ482" i="1"/>
  <c r="DG479" i="1"/>
  <c r="BS477" i="1"/>
  <c r="BW474" i="1"/>
  <c r="AI472" i="1"/>
  <c r="CU468" i="1"/>
  <c r="BC465" i="1"/>
  <c r="O463" i="1"/>
  <c r="CA459" i="1"/>
  <c r="AM457" i="1"/>
  <c r="K454" i="1"/>
  <c r="BN545" i="1"/>
  <c r="W497" i="1"/>
  <c r="O486" i="1"/>
  <c r="AH482" i="1"/>
  <c r="CX479" i="1"/>
  <c r="BJ477" i="1"/>
  <c r="DF473" i="1"/>
  <c r="BN470" i="1"/>
  <c r="Z468" i="1"/>
  <c r="DB464" i="1"/>
  <c r="BN462" i="1"/>
  <c r="BH505" i="1"/>
  <c r="AB499" i="1"/>
  <c r="BD494" i="1"/>
  <c r="CF489" i="1"/>
  <c r="AH486" i="1"/>
  <c r="CX483" i="1"/>
  <c r="AG526" i="1"/>
  <c r="AA509" i="1"/>
  <c r="CM503" i="1"/>
  <c r="K499" i="1"/>
  <c r="AM494" i="1"/>
  <c r="CC536" i="1"/>
  <c r="BU514" i="1"/>
  <c r="BT505" i="1"/>
  <c r="CV500" i="1"/>
  <c r="T496" i="1"/>
  <c r="AV491" i="1"/>
  <c r="P487" i="1"/>
  <c r="CF484" i="1"/>
  <c r="BM514" i="1"/>
  <c r="AU491" i="1"/>
  <c r="BW484" i="1"/>
  <c r="BL481" i="1"/>
  <c r="X479" i="1"/>
  <c r="BT475" i="1"/>
  <c r="AF473" i="1"/>
  <c r="CR469" i="1"/>
  <c r="BD467" i="1"/>
  <c r="AB464" i="1"/>
  <c r="CN460" i="1"/>
  <c r="AZ458" i="1"/>
  <c r="H455" i="1"/>
  <c r="BX452" i="1"/>
  <c r="BW504" i="1"/>
  <c r="AU488" i="1"/>
  <c r="AC483" i="1"/>
  <c r="CQ480" i="1"/>
  <c r="BC478" i="1"/>
  <c r="CY474" i="1"/>
  <c r="BK472" i="1"/>
  <c r="S469" i="1"/>
  <c r="CE465" i="1"/>
  <c r="AQ463" i="1"/>
  <c r="O460" i="1"/>
  <c r="CE457" i="1"/>
  <c r="AM454" i="1"/>
  <c r="DC451" i="1"/>
  <c r="AE499" i="1"/>
  <c r="BS486" i="1"/>
  <c r="BJ482" i="1"/>
  <c r="V480" i="1"/>
  <c r="CL477" i="1"/>
  <c r="AD474" i="1"/>
  <c r="DF470" i="1"/>
  <c r="BR468" i="1"/>
  <c r="Z465" i="1"/>
  <c r="CP462" i="1"/>
  <c r="AX459" i="1"/>
  <c r="BT500" i="1"/>
  <c r="CV495" i="1"/>
  <c r="T491" i="1"/>
  <c r="DF486" i="1"/>
  <c r="BR484" i="1"/>
  <c r="AK533" i="1"/>
  <c r="DA512" i="1"/>
  <c r="AA505" i="1"/>
  <c r="BC500" i="1"/>
  <c r="CE495" i="1"/>
  <c r="CU557" i="1"/>
  <c r="AG520" i="1"/>
  <c r="H507" i="1"/>
  <c r="AJ502" i="1"/>
  <c r="BL497" i="1"/>
  <c r="CN492" i="1"/>
  <c r="L488" i="1"/>
  <c r="AZ485" i="1"/>
  <c r="BY543" i="1"/>
  <c r="G497" i="1"/>
  <c r="K486" i="1"/>
  <c r="AF482" i="1"/>
  <c r="CV479" i="1"/>
  <c r="BH477" i="1"/>
  <c r="DD473" i="1"/>
  <c r="CB470" i="1"/>
  <c r="AN468" i="1"/>
  <c r="CZ464" i="1"/>
  <c r="BL462" i="1"/>
  <c r="T459" i="1"/>
  <c r="CF455" i="1"/>
  <c r="AR453" i="1"/>
  <c r="AG514" i="1"/>
  <c r="AM491" i="1"/>
  <c r="BU484" i="1"/>
  <c r="BK481" i="1"/>
  <c r="W479" i="1"/>
  <c r="BS475" i="1"/>
  <c r="AE473" i="1"/>
  <c r="CQ469" i="1"/>
  <c r="BC467" i="1"/>
  <c r="AA464" i="1"/>
  <c r="CM460" i="1"/>
  <c r="AY458" i="1"/>
  <c r="G455" i="1"/>
  <c r="BW452" i="1"/>
  <c r="CU504" i="1"/>
  <c r="BG488" i="1"/>
  <c r="AI483" i="1"/>
  <c r="CT480" i="1"/>
  <c r="BF478" i="1"/>
  <c r="DB474" i="1"/>
  <c r="BN472" i="1"/>
  <c r="V469" i="1"/>
  <c r="CH465" i="1"/>
  <c r="AT463" i="1"/>
  <c r="DF459" i="1"/>
  <c r="BR457" i="1"/>
  <c r="BZ455" i="1"/>
  <c r="AL453" i="1"/>
  <c r="I516" i="1"/>
  <c r="CI491" i="1"/>
  <c r="CG484" i="1"/>
  <c r="BQ481" i="1"/>
  <c r="AC479" i="1"/>
  <c r="BY475" i="1"/>
  <c r="AK473" i="1"/>
  <c r="CW469" i="1"/>
  <c r="BI467" i="1"/>
  <c r="Q464" i="1"/>
  <c r="CS460" i="1"/>
  <c r="BE458" i="1"/>
  <c r="M455" i="1"/>
  <c r="CC452" i="1"/>
  <c r="BF450" i="1"/>
  <c r="R448" i="1"/>
  <c r="CH445" i="1"/>
  <c r="AT443" i="1"/>
  <c r="F441" i="1"/>
  <c r="CG465" i="1"/>
  <c r="CO459" i="1"/>
  <c r="AS455" i="1"/>
  <c r="AG452" i="1"/>
  <c r="V449" i="1"/>
  <c r="J446" i="1"/>
  <c r="DB442" i="1"/>
  <c r="CP439" i="1"/>
  <c r="BB437" i="1"/>
  <c r="N435" i="1"/>
  <c r="CD432" i="1"/>
  <c r="AP430" i="1"/>
  <c r="DF427" i="1"/>
  <c r="BR425" i="1"/>
  <c r="AD423" i="1"/>
  <c r="CT420" i="1"/>
  <c r="BF418" i="1"/>
  <c r="R416" i="1"/>
  <c r="BS451" i="1"/>
  <c r="AC449" i="1"/>
  <c r="CS446" i="1"/>
  <c r="BE444" i="1"/>
  <c r="Q442" i="1"/>
  <c r="CG439" i="1"/>
  <c r="AS437" i="1"/>
  <c r="DI434" i="1"/>
  <c r="BU432" i="1"/>
  <c r="AG430" i="1"/>
  <c r="CW427" i="1"/>
  <c r="BI425" i="1"/>
  <c r="U423" i="1"/>
  <c r="CK420" i="1"/>
  <c r="AW418" i="1"/>
  <c r="I416" i="1"/>
  <c r="AV451" i="1"/>
  <c r="H449" i="1"/>
  <c r="BX446" i="1"/>
  <c r="AJ444" i="1"/>
  <c r="CZ441" i="1"/>
  <c r="BL439" i="1"/>
  <c r="X437" i="1"/>
  <c r="CN434" i="1"/>
  <c r="AZ432" i="1"/>
  <c r="L430" i="1"/>
  <c r="CB427" i="1"/>
  <c r="AN425" i="1"/>
  <c r="AT458" i="1"/>
  <c r="CH454" i="1"/>
  <c r="AT452" i="1"/>
  <c r="AM503" i="1"/>
  <c r="CE487" i="1"/>
  <c r="I483" i="1"/>
  <c r="BY480" i="1"/>
  <c r="AK478" i="1"/>
  <c r="AO475" i="1"/>
  <c r="DE472" i="1"/>
  <c r="BM469" i="1"/>
  <c r="Y467" i="1"/>
  <c r="DA463" i="1"/>
  <c r="BI460" i="1"/>
  <c r="U458" i="1"/>
  <c r="CG454" i="1"/>
  <c r="AS452" i="1"/>
  <c r="V450" i="1"/>
  <c r="CL447" i="1"/>
  <c r="AX445" i="1"/>
  <c r="J443" i="1"/>
  <c r="BZ440" i="1"/>
  <c r="AL438" i="1"/>
  <c r="DB435" i="1"/>
  <c r="BN433" i="1"/>
  <c r="Z431" i="1"/>
  <c r="CP428" i="1"/>
  <c r="BB426" i="1"/>
  <c r="N424" i="1"/>
  <c r="CD421" i="1"/>
  <c r="AP419" i="1"/>
  <c r="DF416" i="1"/>
  <c r="BR414" i="1"/>
  <c r="M450" i="1"/>
  <c r="CC447" i="1"/>
  <c r="AO445" i="1"/>
  <c r="DE442" i="1"/>
  <c r="BQ440" i="1"/>
  <c r="AC438" i="1"/>
  <c r="CS435" i="1"/>
  <c r="BE433" i="1"/>
  <c r="Q431" i="1"/>
  <c r="CG428" i="1"/>
  <c r="AS426" i="1"/>
  <c r="DI423" i="1"/>
  <c r="BU421" i="1"/>
  <c r="AG419" i="1"/>
  <c r="CW416" i="1"/>
  <c r="BI414" i="1"/>
  <c r="CV449" i="1"/>
  <c r="BH447" i="1"/>
  <c r="T445" i="1"/>
  <c r="CJ442" i="1"/>
  <c r="AV440" i="1"/>
  <c r="H438" i="1"/>
  <c r="BX435" i="1"/>
  <c r="AJ433" i="1"/>
  <c r="CZ430" i="1"/>
  <c r="BL428" i="1"/>
  <c r="X426" i="1"/>
  <c r="CN423" i="1"/>
  <c r="AZ421" i="1"/>
  <c r="N457" i="1"/>
  <c r="BZ453" i="1"/>
  <c r="CW527" i="1"/>
  <c r="CE494" i="1"/>
  <c r="BE485" i="1"/>
  <c r="DE481" i="1"/>
  <c r="BQ479" i="1"/>
  <c r="AC477" i="1"/>
  <c r="BY473" i="1"/>
  <c r="AW470" i="1"/>
  <c r="I468" i="1"/>
  <c r="BU464" i="1"/>
  <c r="AG462" i="1"/>
  <c r="CS458" i="1"/>
  <c r="BA455" i="1"/>
  <c r="M453" i="1"/>
  <c r="CT450" i="1"/>
  <c r="BF448" i="1"/>
  <c r="R446" i="1"/>
  <c r="CH443" i="1"/>
  <c r="AT441" i="1"/>
  <c r="F439" i="1"/>
  <c r="BV436" i="1"/>
  <c r="AH434" i="1"/>
  <c r="CX431" i="1"/>
  <c r="BJ429" i="1"/>
  <c r="V427" i="1"/>
  <c r="CL424" i="1"/>
  <c r="AX422" i="1"/>
  <c r="J420" i="1"/>
  <c r="BZ417" i="1"/>
  <c r="AL415" i="1"/>
  <c r="CK450" i="1"/>
  <c r="AW448" i="1"/>
  <c r="I446" i="1"/>
  <c r="BY443" i="1"/>
  <c r="AK441" i="1"/>
  <c r="DA438" i="1"/>
  <c r="BM436" i="1"/>
  <c r="Y434" i="1"/>
  <c r="CO431" i="1"/>
  <c r="BA429" i="1"/>
  <c r="M427" i="1"/>
  <c r="CC424" i="1"/>
  <c r="AO422" i="1"/>
  <c r="DE419" i="1"/>
  <c r="BQ417" i="1"/>
  <c r="AC415" i="1"/>
  <c r="BP450" i="1"/>
  <c r="AB448" i="1"/>
  <c r="CR445" i="1"/>
  <c r="BD443" i="1"/>
  <c r="P441" i="1"/>
  <c r="CF438" i="1"/>
  <c r="AR436" i="1"/>
  <c r="DH433" i="1"/>
  <c r="BT431" i="1"/>
  <c r="AF429" i="1"/>
  <c r="CV426" i="1"/>
  <c r="BH424" i="1"/>
  <c r="T422" i="1"/>
  <c r="AP457" i="1"/>
  <c r="DB453" i="1"/>
  <c r="CW541" i="1"/>
  <c r="CM496" i="1"/>
  <c r="DI485" i="1"/>
  <c r="AC482" i="1"/>
  <c r="CS479" i="1"/>
  <c r="BE477" i="1"/>
  <c r="DA473" i="1"/>
  <c r="BI470" i="1"/>
  <c r="U468" i="1"/>
  <c r="CG464" i="1"/>
  <c r="AS462" i="1"/>
  <c r="DE458" i="1"/>
  <c r="CC455" i="1"/>
  <c r="AO453" i="1"/>
  <c r="R451" i="1"/>
  <c r="CH448" i="1"/>
  <c r="AT446" i="1"/>
  <c r="F444" i="1"/>
  <c r="BV441" i="1"/>
  <c r="AH439" i="1"/>
  <c r="CX436" i="1"/>
  <c r="BJ434" i="1"/>
  <c r="V432" i="1"/>
  <c r="CL429" i="1"/>
  <c r="AX427" i="1"/>
  <c r="J425" i="1"/>
  <c r="BZ422" i="1"/>
  <c r="AL420" i="1"/>
  <c r="DB417" i="1"/>
  <c r="BN415" i="1"/>
  <c r="I451" i="1"/>
  <c r="BY448" i="1"/>
  <c r="AK446" i="1"/>
  <c r="DA443" i="1"/>
  <c r="BM441" i="1"/>
  <c r="Y439" i="1"/>
  <c r="CO436" i="1"/>
  <c r="BA434" i="1"/>
  <c r="M432" i="1"/>
  <c r="CC429" i="1"/>
  <c r="AO427" i="1"/>
  <c r="DE424" i="1"/>
  <c r="BQ422" i="1"/>
  <c r="AC420" i="1"/>
  <c r="CS417" i="1"/>
  <c r="BE415" i="1"/>
  <c r="CR450" i="1"/>
  <c r="BD448" i="1"/>
  <c r="P446" i="1"/>
  <c r="CF443" i="1"/>
  <c r="AR441" i="1"/>
  <c r="DH438" i="1"/>
  <c r="BT436" i="1"/>
  <c r="AF434" i="1"/>
  <c r="CV431" i="1"/>
  <c r="BH429" i="1"/>
  <c r="T427" i="1"/>
  <c r="CJ424" i="1"/>
  <c r="AV422" i="1"/>
  <c r="AR422" i="1"/>
  <c r="CN418" i="1"/>
  <c r="AZ416" i="1"/>
  <c r="L414" i="1"/>
  <c r="BO449" i="1"/>
  <c r="AA447" i="1"/>
  <c r="CQ444" i="1"/>
  <c r="BC442" i="1"/>
  <c r="O440" i="1"/>
  <c r="CE437" i="1"/>
  <c r="AQ435" i="1"/>
  <c r="DG432" i="1"/>
  <c r="BS430" i="1"/>
  <c r="AE428" i="1"/>
  <c r="CU425" i="1"/>
  <c r="BG423" i="1"/>
  <c r="S421" i="1"/>
  <c r="CI418" i="1"/>
  <c r="AU416" i="1"/>
  <c r="G414" i="1"/>
  <c r="BJ411" i="1"/>
  <c r="V409" i="1"/>
  <c r="CL406" i="1"/>
  <c r="DE463" i="1"/>
  <c r="BU458" i="1"/>
  <c r="AO454" i="1"/>
  <c r="AT451" i="1"/>
  <c r="AH448" i="1"/>
  <c r="F445" i="1"/>
  <c r="CX441" i="1"/>
  <c r="N439" i="1"/>
  <c r="CD436" i="1"/>
  <c r="AP434" i="1"/>
  <c r="DF431" i="1"/>
  <c r="BR429" i="1"/>
  <c r="AD427" i="1"/>
  <c r="CT424" i="1"/>
  <c r="BF422" i="1"/>
  <c r="R420" i="1"/>
  <c r="CH417" i="1"/>
  <c r="AT415" i="1"/>
  <c r="CS450" i="1"/>
  <c r="BE448" i="1"/>
  <c r="Q446" i="1"/>
  <c r="CG443" i="1"/>
  <c r="AS441" i="1"/>
  <c r="DI438" i="1"/>
  <c r="BU436" i="1"/>
  <c r="AG434" i="1"/>
  <c r="CW431" i="1"/>
  <c r="BI429" i="1"/>
  <c r="U427" i="1"/>
  <c r="CK424" i="1"/>
  <c r="AW422" i="1"/>
  <c r="I420" i="1"/>
  <c r="BY417" i="1"/>
  <c r="AK415" i="1"/>
  <c r="BX450" i="1"/>
  <c r="AJ448" i="1"/>
  <c r="CZ445" i="1"/>
  <c r="BL443" i="1"/>
  <c r="X441" i="1"/>
  <c r="CN438" i="1"/>
  <c r="AZ436" i="1"/>
  <c r="L434" i="1"/>
  <c r="CB431" i="1"/>
  <c r="AN429" i="1"/>
  <c r="DD426" i="1"/>
  <c r="BP424" i="1"/>
  <c r="AX457" i="1"/>
  <c r="F454" i="1"/>
  <c r="BK552" i="1"/>
  <c r="AU497" i="1"/>
  <c r="U486" i="1"/>
  <c r="AK482" i="1"/>
  <c r="DA479" i="1"/>
  <c r="BM477" i="1"/>
  <c r="DI473" i="1"/>
  <c r="BQ470" i="1"/>
  <c r="AC468" i="1"/>
  <c r="DE464" i="1"/>
  <c r="BQ462" i="1"/>
  <c r="Y459" i="1"/>
  <c r="CK455" i="1"/>
  <c r="AW453" i="1"/>
  <c r="Z451" i="1"/>
  <c r="CP448" i="1"/>
  <c r="BB446" i="1"/>
  <c r="N444" i="1"/>
  <c r="CD441" i="1"/>
  <c r="AP439" i="1"/>
  <c r="DF436" i="1"/>
  <c r="BR434" i="1"/>
  <c r="AD432" i="1"/>
  <c r="CT429" i="1"/>
  <c r="BF427" i="1"/>
  <c r="R425" i="1"/>
  <c r="CH422" i="1"/>
  <c r="AT420" i="1"/>
  <c r="F418" i="1"/>
  <c r="BV415" i="1"/>
  <c r="Q451" i="1"/>
  <c r="CG448" i="1"/>
  <c r="AS446" i="1"/>
  <c r="DI443" i="1"/>
  <c r="BU441" i="1"/>
  <c r="AG439" i="1"/>
  <c r="CW436" i="1"/>
  <c r="BI434" i="1"/>
  <c r="U432" i="1"/>
  <c r="CK429" i="1"/>
  <c r="AW427" i="1"/>
  <c r="I425" i="1"/>
  <c r="BY422" i="1"/>
  <c r="AK420" i="1"/>
  <c r="DA417" i="1"/>
  <c r="BM415" i="1"/>
  <c r="CZ450" i="1"/>
  <c r="BL448" i="1"/>
  <c r="X446" i="1"/>
  <c r="CN443" i="1"/>
  <c r="AZ441" i="1"/>
  <c r="L439" i="1"/>
  <c r="CB436" i="1"/>
  <c r="AN434" i="1"/>
  <c r="DD431" i="1"/>
  <c r="BP429" i="1"/>
  <c r="AB427" i="1"/>
  <c r="CR424" i="1"/>
  <c r="BD422" i="1"/>
  <c r="AL458" i="1"/>
  <c r="CD454" i="1"/>
  <c r="AP452" i="1"/>
  <c r="G503" i="1"/>
  <c r="BO487" i="1"/>
  <c r="DI482" i="1"/>
  <c r="BU480" i="1"/>
  <c r="AG478" i="1"/>
  <c r="AK475" i="1"/>
  <c r="DA472" i="1"/>
  <c r="BY469" i="1"/>
  <c r="AK467" i="1"/>
  <c r="CW463" i="1"/>
  <c r="BE460" i="1"/>
  <c r="Q458" i="1"/>
  <c r="CC454" i="1"/>
  <c r="AO452" i="1"/>
  <c r="R450" i="1"/>
  <c r="CH447" i="1"/>
  <c r="AT445" i="1"/>
  <c r="F443" i="1"/>
  <c r="BV440" i="1"/>
  <c r="AH438" i="1"/>
  <c r="CX435" i="1"/>
  <c r="BJ433" i="1"/>
  <c r="V431" i="1"/>
  <c r="CL428" i="1"/>
  <c r="AX426" i="1"/>
  <c r="J424" i="1"/>
  <c r="BZ421" i="1"/>
  <c r="AL419" i="1"/>
  <c r="DB416" i="1"/>
  <c r="BN414" i="1"/>
  <c r="I450" i="1"/>
  <c r="BY447" i="1"/>
  <c r="AK445" i="1"/>
  <c r="DA442" i="1"/>
  <c r="BM440" i="1"/>
  <c r="Y438" i="1"/>
  <c r="CO435" i="1"/>
  <c r="BA433" i="1"/>
  <c r="M431" i="1"/>
  <c r="CC428" i="1"/>
  <c r="AO426" i="1"/>
  <c r="DE423" i="1"/>
  <c r="BQ421" i="1"/>
  <c r="AC419" i="1"/>
  <c r="CS416" i="1"/>
  <c r="BE414" i="1"/>
  <c r="CR449" i="1"/>
  <c r="BD447" i="1"/>
  <c r="P445" i="1"/>
  <c r="CF442" i="1"/>
  <c r="AR440" i="1"/>
  <c r="DH437" i="1"/>
  <c r="BT435" i="1"/>
  <c r="AF433" i="1"/>
  <c r="CV430" i="1"/>
  <c r="BH428" i="1"/>
  <c r="T426" i="1"/>
  <c r="CJ423" i="1"/>
  <c r="AV421" i="1"/>
  <c r="BN455" i="1"/>
  <c r="Z453" i="1"/>
  <c r="BE512" i="1"/>
  <c r="DG490" i="1"/>
  <c r="BI484" i="1"/>
  <c r="BE481" i="1"/>
  <c r="Q479" i="1"/>
  <c r="BM475" i="1"/>
  <c r="Y473" i="1"/>
  <c r="CK469" i="1"/>
  <c r="AW467" i="1"/>
  <c r="DI463" i="1"/>
  <c r="BQ460" i="1"/>
  <c r="AC458" i="1"/>
  <c r="DE454" i="1"/>
  <c r="BQ452" i="1"/>
  <c r="AT450" i="1"/>
  <c r="F448" i="1"/>
  <c r="BV445" i="1"/>
  <c r="AH443" i="1"/>
  <c r="CX440" i="1"/>
  <c r="BJ438" i="1"/>
  <c r="V436" i="1"/>
  <c r="CL433" i="1"/>
  <c r="AX431" i="1"/>
  <c r="J429" i="1"/>
  <c r="BZ426" i="1"/>
  <c r="AL424" i="1"/>
  <c r="DB421" i="1"/>
  <c r="BN419" i="1"/>
  <c r="Z417" i="1"/>
  <c r="CP414" i="1"/>
  <c r="AK450" i="1"/>
  <c r="DA447" i="1"/>
  <c r="BM445" i="1"/>
  <c r="Y443" i="1"/>
  <c r="CO440" i="1"/>
  <c r="BA438" i="1"/>
  <c r="M436" i="1"/>
  <c r="CC433" i="1"/>
  <c r="AO431" i="1"/>
  <c r="DE428" i="1"/>
  <c r="BQ426" i="1"/>
  <c r="AC424" i="1"/>
  <c r="CS421" i="1"/>
  <c r="BE419" i="1"/>
  <c r="Q417" i="1"/>
  <c r="CG414" i="1"/>
  <c r="P450" i="1"/>
  <c r="CF447" i="1"/>
  <c r="AR445" i="1"/>
  <c r="DH442" i="1"/>
  <c r="BT440" i="1"/>
  <c r="AF438" i="1"/>
  <c r="CV435" i="1"/>
  <c r="BH433" i="1"/>
  <c r="T431" i="1"/>
  <c r="CJ428" i="1"/>
  <c r="AV426" i="1"/>
  <c r="H424" i="1"/>
  <c r="BX421" i="1"/>
  <c r="AZ420" i="1"/>
  <c r="L418" i="1"/>
  <c r="CB415" i="1"/>
  <c r="AA451" i="1"/>
  <c r="CQ448" i="1"/>
  <c r="BC446" i="1"/>
  <c r="O444" i="1"/>
  <c r="CE441" i="1"/>
  <c r="AQ439" i="1"/>
  <c r="DG436" i="1"/>
  <c r="BS434" i="1"/>
  <c r="AE432" i="1"/>
  <c r="CU429" i="1"/>
  <c r="BG427" i="1"/>
  <c r="S425" i="1"/>
  <c r="CI422" i="1"/>
  <c r="AU420" i="1"/>
  <c r="G418" i="1"/>
  <c r="BW415" i="1"/>
  <c r="V413" i="1"/>
  <c r="CL410" i="1"/>
  <c r="AX408" i="1"/>
  <c r="J406" i="1"/>
  <c r="BZ403" i="1"/>
  <c r="DE467" i="1"/>
  <c r="AW460" i="1"/>
  <c r="CO455" i="1"/>
  <c r="BM452" i="1"/>
  <c r="BR449" i="1"/>
  <c r="BF446" i="1"/>
  <c r="AD443" i="1"/>
  <c r="R440" i="1"/>
  <c r="CH437" i="1"/>
  <c r="AT435" i="1"/>
  <c r="F433" i="1"/>
  <c r="BV430" i="1"/>
  <c r="AH428" i="1"/>
  <c r="CX425" i="1"/>
  <c r="BJ423" i="1"/>
  <c r="V421" i="1"/>
  <c r="CL418" i="1"/>
  <c r="AX416" i="1"/>
  <c r="J414" i="1"/>
  <c r="BI449" i="1"/>
  <c r="U447" i="1"/>
  <c r="CK444" i="1"/>
  <c r="AW442" i="1"/>
  <c r="I440" i="1"/>
  <c r="BY437" i="1"/>
  <c r="AK435" i="1"/>
  <c r="DA432" i="1"/>
  <c r="BM430" i="1"/>
  <c r="Y428" i="1"/>
  <c r="CO425" i="1"/>
  <c r="BA423" i="1"/>
  <c r="M421" i="1"/>
  <c r="CC418" i="1"/>
  <c r="AO416" i="1"/>
  <c r="DE413" i="1"/>
  <c r="AN449" i="1"/>
  <c r="DD446" i="1"/>
  <c r="BP444" i="1"/>
  <c r="AB442" i="1"/>
  <c r="CR439" i="1"/>
  <c r="BD437" i="1"/>
  <c r="P435" i="1"/>
  <c r="CF432" i="1"/>
  <c r="AR430" i="1"/>
  <c r="DH427" i="1"/>
  <c r="BT425" i="1"/>
  <c r="CH458" i="1"/>
  <c r="J455" i="1"/>
  <c r="BZ452" i="1"/>
  <c r="CA505" i="1"/>
  <c r="CY488" i="1"/>
  <c r="BE483" i="1"/>
  <c r="DE480" i="1"/>
  <c r="BQ478" i="1"/>
  <c r="I475" i="1"/>
  <c r="BY472" i="1"/>
  <c r="AG469" i="1"/>
  <c r="DI465" i="1"/>
  <c r="BU463" i="1"/>
  <c r="AC460" i="1"/>
  <c r="CS457" i="1"/>
  <c r="BA454" i="1"/>
  <c r="M452" i="1"/>
  <c r="AU474" i="1"/>
  <c r="G472" i="1"/>
  <c r="CI468" i="1"/>
  <c r="AQ465" i="1"/>
  <c r="DG462" i="1"/>
  <c r="BO459" i="1"/>
  <c r="AA457" i="1"/>
  <c r="CM453" i="1"/>
  <c r="AS529" i="1"/>
  <c r="O495" i="1"/>
  <c r="BO485" i="1"/>
  <c r="F482" i="1"/>
  <c r="BV479" i="1"/>
  <c r="AH477" i="1"/>
  <c r="CD473" i="1"/>
  <c r="AL470" i="1"/>
  <c r="DB467" i="1"/>
  <c r="BJ464" i="1"/>
  <c r="V462" i="1"/>
  <c r="L503" i="1"/>
  <c r="CN497" i="1"/>
  <c r="L493" i="1"/>
  <c r="AN488" i="1"/>
  <c r="BN485" i="1"/>
  <c r="CQ560" i="1"/>
  <c r="BU520" i="1"/>
  <c r="S507" i="1"/>
  <c r="AU502" i="1"/>
  <c r="BW497" i="1"/>
  <c r="CY492" i="1"/>
  <c r="DE527" i="1"/>
  <c r="K510" i="1"/>
  <c r="AB504" i="1"/>
  <c r="BD499" i="1"/>
  <c r="CF494" i="1"/>
  <c r="DH489" i="1"/>
  <c r="AV486" i="1"/>
  <c r="H484" i="1"/>
  <c r="CE504" i="1"/>
  <c r="AY488" i="1"/>
  <c r="AE483" i="1"/>
  <c r="CR480" i="1"/>
  <c r="BD478" i="1"/>
  <c r="CZ474" i="1"/>
  <c r="BL472" i="1"/>
  <c r="T469" i="1"/>
  <c r="CF465" i="1"/>
  <c r="AR463" i="1"/>
  <c r="P460" i="1"/>
  <c r="CF457" i="1"/>
  <c r="AN454" i="1"/>
  <c r="DD451" i="1"/>
  <c r="G499" i="1"/>
  <c r="BM486" i="1"/>
  <c r="BG482" i="1"/>
  <c r="S480" i="1"/>
  <c r="CI477" i="1"/>
  <c r="CM474" i="1"/>
  <c r="AY472" i="1"/>
  <c r="G469" i="1"/>
  <c r="BS465" i="1"/>
  <c r="AE463" i="1"/>
  <c r="CQ459" i="1"/>
  <c r="BC457" i="1"/>
  <c r="AA454" i="1"/>
  <c r="CQ451" i="1"/>
  <c r="AQ498" i="1"/>
  <c r="AU486" i="1"/>
  <c r="AX482" i="1"/>
  <c r="J480" i="1"/>
  <c r="BZ477" i="1"/>
  <c r="CD474" i="1"/>
  <c r="AP472" i="1"/>
  <c r="DB468" i="1"/>
  <c r="BZ465" i="1"/>
  <c r="AL463" i="1"/>
  <c r="CX459" i="1"/>
  <c r="CB500" i="1"/>
  <c r="DD495" i="1"/>
  <c r="AB491" i="1"/>
  <c r="F487" i="1"/>
  <c r="BV484" i="1"/>
  <c r="CW533" i="1"/>
  <c r="AC513" i="1"/>
  <c r="AI505" i="1"/>
  <c r="BK500" i="1"/>
  <c r="CM495" i="1"/>
  <c r="AE560" i="1"/>
  <c r="BM520" i="1"/>
  <c r="P507" i="1"/>
  <c r="AR502" i="1"/>
  <c r="BT497" i="1"/>
  <c r="CV492" i="1"/>
  <c r="T488" i="1"/>
  <c r="BD485" i="1"/>
  <c r="W550" i="1"/>
  <c r="AM497" i="1"/>
  <c r="S486" i="1"/>
  <c r="AJ482" i="1"/>
  <c r="CZ479" i="1"/>
  <c r="BL477" i="1"/>
  <c r="DH473" i="1"/>
  <c r="BP470" i="1"/>
  <c r="AB468" i="1"/>
  <c r="DD464" i="1"/>
  <c r="BP462" i="1"/>
  <c r="X459" i="1"/>
  <c r="CJ455" i="1"/>
  <c r="AV453" i="1"/>
  <c r="BA515" i="1"/>
  <c r="BS491" i="1"/>
  <c r="CC484" i="1"/>
  <c r="BO481" i="1"/>
  <c r="AA479" i="1"/>
  <c r="BW475" i="1"/>
  <c r="AI473" i="1"/>
  <c r="CU469" i="1"/>
  <c r="BG467" i="1"/>
  <c r="O464" i="1"/>
  <c r="CQ460" i="1"/>
  <c r="BC458" i="1"/>
  <c r="K455" i="1"/>
  <c r="CA452" i="1"/>
  <c r="W505" i="1"/>
  <c r="BW488" i="1"/>
  <c r="AQ483" i="1"/>
  <c r="CX480" i="1"/>
  <c r="BJ478" i="1"/>
  <c r="DF474" i="1"/>
  <c r="BR472" i="1"/>
  <c r="AP469" i="1"/>
  <c r="DB465" i="1"/>
  <c r="BN463" i="1"/>
  <c r="V460" i="1"/>
  <c r="BD502" i="1"/>
  <c r="AR497" i="1"/>
  <c r="BT492" i="1"/>
  <c r="CV487" i="1"/>
  <c r="AP485" i="1"/>
  <c r="BS546" i="1"/>
  <c r="CS518" i="1"/>
  <c r="CA506" i="1"/>
  <c r="DC501" i="1"/>
  <c r="AA497" i="1"/>
  <c r="BC492" i="1"/>
  <c r="Y526" i="1"/>
  <c r="W509" i="1"/>
  <c r="CJ503" i="1"/>
  <c r="H499" i="1"/>
  <c r="AJ494" i="1"/>
  <c r="BL489" i="1"/>
  <c r="X486" i="1"/>
  <c r="CN483" i="1"/>
  <c r="DC502" i="1"/>
  <c r="BK487" i="1"/>
  <c r="DH482" i="1"/>
  <c r="BT480" i="1"/>
  <c r="AF478" i="1"/>
  <c r="AJ475" i="1"/>
  <c r="CZ472" i="1"/>
  <c r="BX469" i="1"/>
  <c r="AJ467" i="1"/>
  <c r="CV463" i="1"/>
  <c r="BD460" i="1"/>
  <c r="P458" i="1"/>
  <c r="CB454" i="1"/>
  <c r="AN452" i="1"/>
  <c r="DG501" i="1"/>
  <c r="AK487" i="1"/>
  <c r="CU482" i="1"/>
  <c r="BG480" i="1"/>
  <c r="S478" i="1"/>
  <c r="BO474" i="1"/>
  <c r="AA472" i="1"/>
  <c r="CM468" i="1"/>
  <c r="BK465" i="1"/>
  <c r="W463" i="1"/>
  <c r="CI459" i="1"/>
  <c r="AU457" i="1"/>
  <c r="DG453" i="1"/>
  <c r="Q540" i="1"/>
  <c r="BO496" i="1"/>
  <c r="DC485" i="1"/>
  <c r="Z482" i="1"/>
  <c r="CP479" i="1"/>
  <c r="BB477" i="1"/>
  <c r="CX473" i="1"/>
  <c r="BF470" i="1"/>
  <c r="R468" i="1"/>
  <c r="CD464" i="1"/>
  <c r="AP462" i="1"/>
  <c r="DB458" i="1"/>
  <c r="F458" i="1"/>
  <c r="BV454" i="1"/>
  <c r="AH452" i="1"/>
  <c r="AY502" i="1"/>
  <c r="AW487" i="1"/>
  <c r="DA482" i="1"/>
  <c r="BM480" i="1"/>
  <c r="Y478" i="1"/>
  <c r="BU474" i="1"/>
  <c r="AG472" i="1"/>
  <c r="CS468" i="1"/>
  <c r="BA465" i="1"/>
  <c r="AV504" i="1"/>
  <c r="BP501" i="1"/>
  <c r="AB495" i="1"/>
  <c r="CB488" i="1"/>
  <c r="F485" i="1"/>
  <c r="AC529" i="1"/>
  <c r="BG507" i="1"/>
  <c r="AI501" i="1"/>
  <c r="K495" i="1"/>
  <c r="BI535" i="1"/>
  <c r="I514" i="1"/>
  <c r="BD505" i="1"/>
  <c r="CF500" i="1"/>
  <c r="DH495" i="1"/>
  <c r="AF491" i="1"/>
  <c r="H487" i="1"/>
  <c r="BX484" i="1"/>
  <c r="Y512" i="1"/>
  <c r="DC490" i="1"/>
  <c r="BG484" i="1"/>
  <c r="BD481" i="1"/>
  <c r="P479" i="1"/>
  <c r="BL475" i="1"/>
  <c r="X473" i="1"/>
  <c r="CJ469" i="1"/>
  <c r="AV467" i="1"/>
  <c r="DH463" i="1"/>
  <c r="BP460" i="1"/>
  <c r="AB458" i="1"/>
  <c r="DD454" i="1"/>
  <c r="BP452" i="1"/>
  <c r="K504" i="1"/>
  <c r="O488" i="1"/>
  <c r="S483" i="1"/>
  <c r="CI480" i="1"/>
  <c r="AU478" i="1"/>
  <c r="CQ474" i="1"/>
  <c r="BC472" i="1"/>
  <c r="AA469" i="1"/>
  <c r="CM465" i="1"/>
  <c r="AY463" i="1"/>
  <c r="G460" i="1"/>
  <c r="BW457" i="1"/>
  <c r="AE454" i="1"/>
  <c r="CU451" i="1"/>
  <c r="BW498" i="1"/>
  <c r="BC486" i="1"/>
  <c r="BB482" i="1"/>
  <c r="N480" i="1"/>
  <c r="CD477" i="1"/>
  <c r="CH474" i="1"/>
  <c r="AT472" i="1"/>
  <c r="DF468" i="1"/>
  <c r="BN465" i="1"/>
  <c r="Z463" i="1"/>
  <c r="DB459" i="1"/>
  <c r="CV499" i="1"/>
  <c r="T495" i="1"/>
  <c r="AV490" i="1"/>
  <c r="BR486" i="1"/>
  <c r="AD484" i="1"/>
  <c r="DA528" i="1"/>
  <c r="BK510" i="1"/>
  <c r="BC504" i="1"/>
  <c r="CE499" i="1"/>
  <c r="DG494" i="1"/>
  <c r="I542" i="1"/>
  <c r="AK517" i="1"/>
  <c r="AJ506" i="1"/>
  <c r="BL501" i="1"/>
  <c r="CN496" i="1"/>
  <c r="L492" i="1"/>
  <c r="AZ487" i="1"/>
  <c r="L485" i="1"/>
  <c r="AC525" i="1"/>
  <c r="K494" i="1"/>
  <c r="AM485" i="1"/>
  <c r="CV481" i="1"/>
  <c r="BH479" i="1"/>
  <c r="T477" i="1"/>
  <c r="X474" i="1"/>
  <c r="CJ470" i="1"/>
  <c r="AV468" i="1"/>
  <c r="DH464" i="1"/>
  <c r="BT462" i="1"/>
  <c r="AR459" i="1"/>
  <c r="DD455" i="1"/>
  <c r="BP453" i="1"/>
  <c r="AS521" i="1"/>
  <c r="O493" i="1"/>
  <c r="M485" i="1"/>
  <c r="CI481" i="1"/>
  <c r="AU479" i="1"/>
  <c r="G477" i="1"/>
  <c r="K474" i="1"/>
  <c r="BW470" i="1"/>
  <c r="AI468" i="1"/>
  <c r="CU464" i="1"/>
  <c r="BG462" i="1"/>
  <c r="O459" i="1"/>
  <c r="CQ455" i="1"/>
  <c r="BC453" i="1"/>
  <c r="CC518" i="1"/>
  <c r="AY492" i="1"/>
  <c r="CY484" i="1"/>
  <c r="BZ481" i="1"/>
  <c r="AL479" i="1"/>
  <c r="CH475" i="1"/>
  <c r="AT473" i="1"/>
  <c r="DF469" i="1"/>
  <c r="BR467" i="1"/>
  <c r="AP464" i="1"/>
  <c r="DB460" i="1"/>
  <c r="AR503" i="1"/>
  <c r="H498" i="1"/>
  <c r="AJ493" i="1"/>
  <c r="BL488" i="1"/>
  <c r="BZ485" i="1"/>
  <c r="AL483" i="1"/>
  <c r="BI521" i="1"/>
  <c r="AQ507" i="1"/>
  <c r="BS502" i="1"/>
  <c r="CU497" i="1"/>
  <c r="S493" i="1"/>
  <c r="CS528" i="1"/>
  <c r="BG510" i="1"/>
  <c r="AZ504" i="1"/>
  <c r="CB499" i="1"/>
  <c r="DD494" i="1"/>
  <c r="AB490" i="1"/>
  <c r="BH486" i="1"/>
  <c r="T484" i="1"/>
  <c r="BS505" i="1"/>
  <c r="CU488" i="1"/>
  <c r="BC483" i="1"/>
  <c r="DD480" i="1"/>
  <c r="BP478" i="1"/>
  <c r="H475" i="1"/>
  <c r="BX472" i="1"/>
  <c r="AF469" i="1"/>
  <c r="DH465" i="1"/>
  <c r="BT463" i="1"/>
  <c r="AB460" i="1"/>
  <c r="CR457" i="1"/>
  <c r="AZ454" i="1"/>
  <c r="L452" i="1"/>
  <c r="CY499" i="1"/>
  <c r="CK486" i="1"/>
  <c r="BS482" i="1"/>
  <c r="AE480" i="1"/>
  <c r="CU477" i="1"/>
  <c r="AM474" i="1"/>
  <c r="CY470" i="1"/>
  <c r="BK468" i="1"/>
  <c r="S465" i="1"/>
  <c r="CI462" i="1"/>
  <c r="BG459" i="1"/>
  <c r="S457" i="1"/>
  <c r="CE453" i="1"/>
  <c r="DI526" i="1"/>
  <c r="BG494" i="1"/>
  <c r="AY485" i="1"/>
  <c r="DB481" i="1"/>
  <c r="BN479" i="1"/>
  <c r="Z477" i="1"/>
  <c r="BV473" i="1"/>
  <c r="AT470" i="1"/>
  <c r="F468" i="1"/>
  <c r="BR464" i="1"/>
  <c r="AD462" i="1"/>
  <c r="CP458" i="1"/>
  <c r="AZ499" i="1"/>
  <c r="CB494" i="1"/>
  <c r="DD489" i="1"/>
  <c r="AT486" i="1"/>
  <c r="F484" i="1"/>
  <c r="U527" i="1"/>
  <c r="BW509" i="1"/>
  <c r="G504" i="1"/>
  <c r="AI499" i="1"/>
  <c r="BK494" i="1"/>
  <c r="BE538" i="1"/>
  <c r="BI515" i="1"/>
  <c r="CR505" i="1"/>
  <c r="P501" i="1"/>
  <c r="AR496" i="1"/>
  <c r="BT491" i="1"/>
  <c r="AB487" i="1"/>
  <c r="CR484" i="1"/>
  <c r="Q518" i="1"/>
  <c r="AI492" i="1"/>
  <c r="CU484" i="1"/>
  <c r="BX481" i="1"/>
  <c r="AJ479" i="1"/>
  <c r="CF475" i="1"/>
  <c r="AR473" i="1"/>
  <c r="P470" i="1"/>
  <c r="CF467" i="1"/>
  <c r="AN464" i="1"/>
  <c r="CZ460" i="1"/>
  <c r="BL458" i="1"/>
  <c r="T455" i="1"/>
  <c r="CJ452" i="1"/>
  <c r="BK505" i="1"/>
  <c r="CQ488" i="1"/>
  <c r="BA483" i="1"/>
  <c r="DC480" i="1"/>
  <c r="BO478" i="1"/>
  <c r="G475" i="1"/>
  <c r="BW472" i="1"/>
  <c r="AE469" i="1"/>
  <c r="DG465" i="1"/>
  <c r="BS463" i="1"/>
  <c r="AA460" i="1"/>
  <c r="CQ457" i="1"/>
  <c r="AY454" i="1"/>
  <c r="K452" i="1"/>
  <c r="S500" i="1"/>
  <c r="CQ486" i="1"/>
  <c r="BV482" i="1"/>
  <c r="AH480" i="1"/>
  <c r="CX477" i="1"/>
  <c r="AP474" i="1"/>
  <c r="DB470" i="1"/>
  <c r="BN468" i="1"/>
  <c r="V465" i="1"/>
  <c r="CL462" i="1"/>
  <c r="AT459" i="1"/>
  <c r="BR458" i="1"/>
  <c r="N455" i="1"/>
  <c r="CD452" i="1"/>
  <c r="DG505" i="1"/>
  <c r="K489" i="1"/>
  <c r="BM483" i="1"/>
  <c r="DI480" i="1"/>
  <c r="BU478" i="1"/>
  <c r="M475" i="1"/>
  <c r="CC472" i="1"/>
  <c r="AK469" i="1"/>
  <c r="CW465" i="1"/>
  <c r="BI463" i="1"/>
  <c r="AG460" i="1"/>
  <c r="CW457" i="1"/>
  <c r="BE454" i="1"/>
  <c r="Q452" i="1"/>
  <c r="CX449" i="1"/>
  <c r="BJ447" i="1"/>
  <c r="V445" i="1"/>
  <c r="CL442" i="1"/>
  <c r="AX440" i="1"/>
  <c r="AG464" i="1"/>
  <c r="CK458" i="1"/>
  <c r="BU454" i="1"/>
  <c r="BJ451" i="1"/>
  <c r="AX448" i="1"/>
  <c r="AL445" i="1"/>
  <c r="J442" i="1"/>
  <c r="AD439" i="1"/>
  <c r="CT436" i="1"/>
  <c r="BF434" i="1"/>
  <c r="R432" i="1"/>
  <c r="CH429" i="1"/>
  <c r="AT427" i="1"/>
  <c r="F425" i="1"/>
  <c r="BV422" i="1"/>
  <c r="AH420" i="1"/>
  <c r="CX417" i="1"/>
  <c r="BJ415" i="1"/>
  <c r="DI450" i="1"/>
  <c r="BU448" i="1"/>
  <c r="AG446" i="1"/>
  <c r="CW443" i="1"/>
  <c r="BI441" i="1"/>
  <c r="U439" i="1"/>
  <c r="CK436" i="1"/>
  <c r="AW434" i="1"/>
  <c r="I432" i="1"/>
  <c r="BY429" i="1"/>
  <c r="AK427" i="1"/>
  <c r="DA424" i="1"/>
  <c r="BM422" i="1"/>
  <c r="Y420" i="1"/>
  <c r="CO417" i="1"/>
  <c r="BA415" i="1"/>
  <c r="CN450" i="1"/>
  <c r="AZ448" i="1"/>
  <c r="L446" i="1"/>
  <c r="CB443" i="1"/>
  <c r="AN441" i="1"/>
  <c r="DD438" i="1"/>
  <c r="BP436" i="1"/>
  <c r="AB434" i="1"/>
  <c r="CR431" i="1"/>
  <c r="BD429" i="1"/>
  <c r="P427" i="1"/>
  <c r="CF424" i="1"/>
  <c r="BN457" i="1"/>
  <c r="V454" i="1"/>
  <c r="CL451" i="1"/>
  <c r="BO498" i="1"/>
  <c r="BA486" i="1"/>
  <c r="BA482" i="1"/>
  <c r="M480" i="1"/>
  <c r="CC477" i="1"/>
  <c r="CG474" i="1"/>
  <c r="AS472" i="1"/>
  <c r="DE468" i="1"/>
  <c r="CC465" i="1"/>
  <c r="AO463" i="1"/>
  <c r="DA459" i="1"/>
  <c r="BM457" i="1"/>
  <c r="U454" i="1"/>
  <c r="CK451" i="1"/>
  <c r="BN449" i="1"/>
  <c r="Z447" i="1"/>
  <c r="CP444" i="1"/>
  <c r="BB442" i="1"/>
  <c r="N440" i="1"/>
  <c r="CD437" i="1"/>
  <c r="AP435" i="1"/>
  <c r="DF432" i="1"/>
  <c r="BR430" i="1"/>
  <c r="AD428" i="1"/>
  <c r="CT425" i="1"/>
  <c r="BF423" i="1"/>
  <c r="R421" i="1"/>
  <c r="CH418" i="1"/>
  <c r="AT416" i="1"/>
  <c r="F414" i="1"/>
  <c r="BE449" i="1"/>
  <c r="Q447" i="1"/>
  <c r="CG444" i="1"/>
  <c r="AS442" i="1"/>
  <c r="DI439" i="1"/>
  <c r="BU437" i="1"/>
  <c r="AG435" i="1"/>
  <c r="CW432" i="1"/>
  <c r="BI430" i="1"/>
  <c r="U428" i="1"/>
  <c r="CK425" i="1"/>
  <c r="AW423" i="1"/>
  <c r="I421" i="1"/>
  <c r="BY418" i="1"/>
  <c r="AK416" i="1"/>
  <c r="CE451" i="1"/>
  <c r="AJ449" i="1"/>
  <c r="CZ446" i="1"/>
  <c r="BL444" i="1"/>
  <c r="X442" i="1"/>
  <c r="CN439" i="1"/>
  <c r="AZ437" i="1"/>
  <c r="L435" i="1"/>
  <c r="CB432" i="1"/>
  <c r="AN430" i="1"/>
  <c r="DD427" i="1"/>
  <c r="BP425" i="1"/>
  <c r="AB423" i="1"/>
  <c r="CR420" i="1"/>
  <c r="BB455" i="1"/>
  <c r="N453" i="1"/>
  <c r="G510" i="1"/>
  <c r="BK490" i="1"/>
  <c r="AK484" i="1"/>
  <c r="AS481" i="1"/>
  <c r="DI478" i="1"/>
  <c r="BA475" i="1"/>
  <c r="M473" i="1"/>
  <c r="CO469" i="1"/>
  <c r="BA467" i="1"/>
  <c r="I464" i="1"/>
  <c r="BU460" i="1"/>
  <c r="AG458" i="1"/>
  <c r="CS454" i="1"/>
  <c r="BE452" i="1"/>
  <c r="AH450" i="1"/>
  <c r="CX447" i="1"/>
  <c r="BJ445" i="1"/>
  <c r="V443" i="1"/>
  <c r="CL440" i="1"/>
  <c r="AX438" i="1"/>
  <c r="J436" i="1"/>
  <c r="BZ433" i="1"/>
  <c r="AL431" i="1"/>
  <c r="DB428" i="1"/>
  <c r="BN426" i="1"/>
  <c r="Z424" i="1"/>
  <c r="CP421" i="1"/>
  <c r="BB419" i="1"/>
  <c r="N417" i="1"/>
  <c r="CD414" i="1"/>
  <c r="Y450" i="1"/>
  <c r="CO447" i="1"/>
  <c r="BA445" i="1"/>
  <c r="M443" i="1"/>
  <c r="CC440" i="1"/>
  <c r="AO438" i="1"/>
  <c r="DE435" i="1"/>
  <c r="BQ433" i="1"/>
  <c r="AC431" i="1"/>
  <c r="CS428" i="1"/>
  <c r="BE426" i="1"/>
  <c r="Q424" i="1"/>
  <c r="CG421" i="1"/>
  <c r="AS419" i="1"/>
  <c r="DI416" i="1"/>
  <c r="BU414" i="1"/>
  <c r="DH449" i="1"/>
  <c r="BT447" i="1"/>
  <c r="AF445" i="1"/>
  <c r="CV442" i="1"/>
  <c r="BH440" i="1"/>
  <c r="T438" i="1"/>
  <c r="CJ435" i="1"/>
  <c r="AV433" i="1"/>
  <c r="H431" i="1"/>
  <c r="BX428" i="1"/>
  <c r="AJ426" i="1"/>
  <c r="CZ423" i="1"/>
  <c r="BL421" i="1"/>
  <c r="CD455" i="1"/>
  <c r="AP453" i="1"/>
  <c r="AC517" i="1"/>
  <c r="K492" i="1"/>
  <c r="CO484" i="1"/>
  <c r="BU481" i="1"/>
  <c r="AG479" i="1"/>
  <c r="CC475" i="1"/>
  <c r="AO473" i="1"/>
  <c r="DA469" i="1"/>
  <c r="BM467" i="1"/>
  <c r="U464" i="1"/>
  <c r="CG460" i="1"/>
  <c r="AS458" i="1"/>
  <c r="Q455" i="1"/>
  <c r="CG452" i="1"/>
  <c r="BJ450" i="1"/>
  <c r="V448" i="1"/>
  <c r="CL445" i="1"/>
  <c r="AX443" i="1"/>
  <c r="J441" i="1"/>
  <c r="BZ438" i="1"/>
  <c r="AL436" i="1"/>
  <c r="DB433" i="1"/>
  <c r="BN431" i="1"/>
  <c r="Z429" i="1"/>
  <c r="CP426" i="1"/>
  <c r="BB424" i="1"/>
  <c r="N422" i="1"/>
  <c r="CD419" i="1"/>
  <c r="AP417" i="1"/>
  <c r="DF414" i="1"/>
  <c r="BA450" i="1"/>
  <c r="M448" i="1"/>
  <c r="CC445" i="1"/>
  <c r="AO443" i="1"/>
  <c r="DE440" i="1"/>
  <c r="BQ438" i="1"/>
  <c r="AC436" i="1"/>
  <c r="CS433" i="1"/>
  <c r="BE431" i="1"/>
  <c r="Q429" i="1"/>
  <c r="CG426" i="1"/>
  <c r="AS424" i="1"/>
  <c r="DI421" i="1"/>
  <c r="BU419" i="1"/>
  <c r="AG417" i="1"/>
  <c r="CW414" i="1"/>
  <c r="AF450" i="1"/>
  <c r="CV447" i="1"/>
  <c r="BH445" i="1"/>
  <c r="T443" i="1"/>
  <c r="CJ440" i="1"/>
  <c r="AV438" i="1"/>
  <c r="H436" i="1"/>
  <c r="BX433" i="1"/>
  <c r="AJ431" i="1"/>
  <c r="CZ428" i="1"/>
  <c r="BL426" i="1"/>
  <c r="X424" i="1"/>
  <c r="CN421" i="1"/>
  <c r="BX420" i="1"/>
  <c r="AB418" i="1"/>
  <c r="CR415" i="1"/>
  <c r="AQ451" i="1"/>
  <c r="DG448" i="1"/>
  <c r="BS446" i="1"/>
  <c r="AE444" i="1"/>
  <c r="CU441" i="1"/>
  <c r="BG439" i="1"/>
  <c r="S437" i="1"/>
  <c r="CI434" i="1"/>
  <c r="AU432" i="1"/>
  <c r="G430" i="1"/>
  <c r="BW427" i="1"/>
  <c r="AI425" i="1"/>
  <c r="CY422" i="1"/>
  <c r="BK420" i="1"/>
  <c r="W418" i="1"/>
  <c r="CM415" i="1"/>
  <c r="AL413" i="1"/>
  <c r="DB410" i="1"/>
  <c r="BN408" i="1"/>
  <c r="DA470" i="1"/>
  <c r="CK462" i="1"/>
  <c r="CG457" i="1"/>
  <c r="BQ453" i="1"/>
  <c r="BV450" i="1"/>
  <c r="AT447" i="1"/>
  <c r="AH444" i="1"/>
  <c r="V441" i="1"/>
  <c r="BF438" i="1"/>
  <c r="R436" i="1"/>
  <c r="CH433" i="1"/>
  <c r="AT431" i="1"/>
  <c r="F429" i="1"/>
  <c r="BV426" i="1"/>
  <c r="AH424" i="1"/>
  <c r="CX421" i="1"/>
  <c r="BJ419" i="1"/>
  <c r="V417" i="1"/>
  <c r="CL414" i="1"/>
  <c r="AG450" i="1"/>
  <c r="CW447" i="1"/>
  <c r="BI445" i="1"/>
  <c r="U443" i="1"/>
  <c r="CK440" i="1"/>
  <c r="AW438" i="1"/>
  <c r="I436" i="1"/>
  <c r="BY433" i="1"/>
  <c r="AK431" i="1"/>
  <c r="DA428" i="1"/>
  <c r="BM426" i="1"/>
  <c r="Y424" i="1"/>
  <c r="CO421" i="1"/>
  <c r="BA419" i="1"/>
  <c r="M417" i="1"/>
  <c r="CC414" i="1"/>
  <c r="L450" i="1"/>
  <c r="CB447" i="1"/>
  <c r="AN445" i="1"/>
  <c r="DD442" i="1"/>
  <c r="BP440" i="1"/>
  <c r="AB438" i="1"/>
  <c r="CR435" i="1"/>
  <c r="BD433" i="1"/>
  <c r="P431" i="1"/>
  <c r="CF428" i="1"/>
  <c r="AR426" i="1"/>
  <c r="DH423" i="1"/>
  <c r="CL455" i="1"/>
  <c r="AX453" i="1"/>
  <c r="BQ519" i="1"/>
  <c r="BW492" i="1"/>
  <c r="DE484" i="1"/>
  <c r="CC481" i="1"/>
  <c r="AO479" i="1"/>
  <c r="CK475" i="1"/>
  <c r="AW473" i="1"/>
  <c r="DI469" i="1"/>
  <c r="BU467" i="1"/>
  <c r="AS464" i="1"/>
  <c r="DE460" i="1"/>
  <c r="BQ458" i="1"/>
  <c r="Y455" i="1"/>
  <c r="CO452" i="1"/>
  <c r="BR450" i="1"/>
  <c r="AD448" i="1"/>
  <c r="CT445" i="1"/>
  <c r="BF443" i="1"/>
  <c r="R441" i="1"/>
  <c r="CH438" i="1"/>
  <c r="AT436" i="1"/>
  <c r="F434" i="1"/>
  <c r="BV431" i="1"/>
  <c r="AH429" i="1"/>
  <c r="CX426" i="1"/>
  <c r="BJ424" i="1"/>
  <c r="V422" i="1"/>
  <c r="CL419" i="1"/>
  <c r="AX417" i="1"/>
  <c r="J415" i="1"/>
  <c r="BI450" i="1"/>
  <c r="U448" i="1"/>
  <c r="CK445" i="1"/>
  <c r="AW443" i="1"/>
  <c r="I441" i="1"/>
  <c r="BY438" i="1"/>
  <c r="AK436" i="1"/>
  <c r="DA433" i="1"/>
  <c r="BM431" i="1"/>
  <c r="Y429" i="1"/>
  <c r="CM473" i="1"/>
  <c r="BK470" i="1"/>
  <c r="W468" i="1"/>
  <c r="CI464" i="1"/>
  <c r="AU462" i="1"/>
  <c r="DG458" i="1"/>
  <c r="BO455" i="1"/>
  <c r="AA453" i="1"/>
  <c r="CI510" i="1"/>
  <c r="CE490" i="1"/>
  <c r="AU484" i="1"/>
  <c r="AX481" i="1"/>
  <c r="J479" i="1"/>
  <c r="BF475" i="1"/>
  <c r="R473" i="1"/>
  <c r="CD469" i="1"/>
  <c r="AP467" i="1"/>
  <c r="DB463" i="1"/>
  <c r="BZ460" i="1"/>
  <c r="BH501" i="1"/>
  <c r="BT496" i="1"/>
  <c r="CV491" i="1"/>
  <c r="AP487" i="1"/>
  <c r="DF484" i="1"/>
  <c r="AC539" i="1"/>
  <c r="CW515" i="1"/>
  <c r="DC505" i="1"/>
  <c r="AA501" i="1"/>
  <c r="BC496" i="1"/>
  <c r="CE491" i="1"/>
  <c r="AC523" i="1"/>
  <c r="CJ507" i="1"/>
  <c r="H503" i="1"/>
  <c r="AJ498" i="1"/>
  <c r="BL493" i="1"/>
  <c r="CN488" i="1"/>
  <c r="CN485" i="1"/>
  <c r="AZ483" i="1"/>
  <c r="DG499" i="1"/>
  <c r="CM486" i="1"/>
  <c r="BT482" i="1"/>
  <c r="AF480" i="1"/>
  <c r="CV477" i="1"/>
  <c r="AN474" i="1"/>
  <c r="CZ470" i="1"/>
  <c r="BL468" i="1"/>
  <c r="T465" i="1"/>
  <c r="CJ462" i="1"/>
  <c r="BH459" i="1"/>
  <c r="T457" i="1"/>
  <c r="CF453" i="1"/>
  <c r="Q526" i="1"/>
  <c r="AI494" i="1"/>
  <c r="AS485" i="1"/>
  <c r="CY481" i="1"/>
  <c r="BK479" i="1"/>
  <c r="W477" i="1"/>
  <c r="AA474" i="1"/>
  <c r="CM470" i="1"/>
  <c r="AY468" i="1"/>
  <c r="G465" i="1"/>
  <c r="BW462" i="1"/>
  <c r="AE459" i="1"/>
  <c r="DG455" i="1"/>
  <c r="BS453" i="1"/>
  <c r="BA523" i="1"/>
  <c r="BS493" i="1"/>
  <c r="AA485" i="1"/>
  <c r="CP481" i="1"/>
  <c r="BB479" i="1"/>
  <c r="N477" i="1"/>
  <c r="R474" i="1"/>
  <c r="CD470" i="1"/>
  <c r="AP468" i="1"/>
  <c r="N465" i="1"/>
  <c r="CD462" i="1"/>
  <c r="AL459" i="1"/>
  <c r="BH499" i="1"/>
  <c r="CJ494" i="1"/>
  <c r="H490" i="1"/>
  <c r="AX486" i="1"/>
  <c r="J484" i="1"/>
  <c r="BA527" i="1"/>
  <c r="CM509" i="1"/>
  <c r="O504" i="1"/>
  <c r="AQ499" i="1"/>
  <c r="BS494" i="1"/>
  <c r="M539" i="1"/>
  <c r="CO515" i="1"/>
  <c r="CZ505" i="1"/>
  <c r="X501" i="1"/>
  <c r="AZ496" i="1"/>
  <c r="CB491" i="1"/>
  <c r="AF487" i="1"/>
  <c r="CV484" i="1"/>
  <c r="AK519" i="1"/>
  <c r="BO492" i="1"/>
  <c r="DC484" i="1"/>
  <c r="CB481" i="1"/>
  <c r="AN479" i="1"/>
  <c r="CJ475" i="1"/>
  <c r="AV473" i="1"/>
  <c r="DH469" i="1"/>
  <c r="BT467" i="1"/>
  <c r="AR464" i="1"/>
  <c r="DD460" i="1"/>
  <c r="BP458" i="1"/>
  <c r="X455" i="1"/>
  <c r="CN452" i="1"/>
  <c r="CQ505" i="1"/>
  <c r="DG488" i="1"/>
  <c r="BI483" i="1"/>
  <c r="DG480" i="1"/>
  <c r="BS478" i="1"/>
  <c r="K475" i="1"/>
  <c r="CA472" i="1"/>
  <c r="AI469" i="1"/>
  <c r="CU465" i="1"/>
  <c r="BG463" i="1"/>
  <c r="AE460" i="1"/>
  <c r="CU457" i="1"/>
  <c r="BC454" i="1"/>
  <c r="O452" i="1"/>
  <c r="AY500" i="1"/>
  <c r="CY486" i="1"/>
  <c r="BZ482" i="1"/>
  <c r="AL480" i="1"/>
  <c r="DB477" i="1"/>
  <c r="AT474" i="1"/>
  <c r="F472" i="1"/>
  <c r="CH468" i="1"/>
  <c r="AP465" i="1"/>
  <c r="DF462" i="1"/>
  <c r="BN459" i="1"/>
  <c r="CZ500" i="1"/>
  <c r="X496" i="1"/>
  <c r="AZ491" i="1"/>
  <c r="R487" i="1"/>
  <c r="CH484" i="1"/>
  <c r="BY535" i="1"/>
  <c r="Q514" i="1"/>
  <c r="BG505" i="1"/>
  <c r="CI500" i="1"/>
  <c r="G496" i="1"/>
  <c r="AI491" i="1"/>
  <c r="BA521" i="1"/>
  <c r="AN507" i="1"/>
  <c r="BP502" i="1"/>
  <c r="CR497" i="1"/>
  <c r="P493" i="1"/>
  <c r="AR488" i="1"/>
  <c r="BP485" i="1"/>
  <c r="AB483" i="1"/>
  <c r="AA498" i="1"/>
  <c r="AQ486" i="1"/>
  <c r="AV482" i="1"/>
  <c r="H480" i="1"/>
  <c r="BX477" i="1"/>
  <c r="CB474" i="1"/>
  <c r="AN472" i="1"/>
  <c r="L469" i="1"/>
  <c r="BX465" i="1"/>
  <c r="AJ463" i="1"/>
  <c r="CV459" i="1"/>
  <c r="BH457" i="1"/>
  <c r="P454" i="1"/>
  <c r="CM547" i="1"/>
  <c r="AE497" i="1"/>
  <c r="Q486" i="1"/>
  <c r="AI482" i="1"/>
  <c r="CY479" i="1"/>
  <c r="BK477" i="1"/>
  <c r="DG473" i="1"/>
  <c r="BO470" i="1"/>
  <c r="AA468" i="1"/>
  <c r="DC464" i="1"/>
  <c r="BO462" i="1"/>
  <c r="W459" i="1"/>
  <c r="CI455" i="1"/>
  <c r="AU453" i="1"/>
  <c r="AO516" i="1"/>
  <c r="CQ491" i="1"/>
  <c r="CI484" i="1"/>
  <c r="BR481" i="1"/>
  <c r="AD479" i="1"/>
  <c r="BZ475" i="1"/>
  <c r="AL473" i="1"/>
  <c r="CX469" i="1"/>
  <c r="BJ467" i="1"/>
  <c r="R464" i="1"/>
  <c r="CD460" i="1"/>
  <c r="AP458" i="1"/>
  <c r="AL457" i="1"/>
  <c r="J454" i="1"/>
  <c r="BZ451" i="1"/>
  <c r="CA497" i="1"/>
  <c r="AC486" i="1"/>
  <c r="AO482" i="1"/>
  <c r="DE479" i="1"/>
  <c r="BQ477" i="1"/>
  <c r="I474" i="1"/>
  <c r="BU470" i="1"/>
  <c r="AG468" i="1"/>
  <c r="BY531" i="1"/>
  <c r="CZ502" i="1"/>
  <c r="DD499" i="1"/>
  <c r="AZ493" i="1"/>
  <c r="AT487" i="1"/>
  <c r="AH484" i="1"/>
  <c r="Q522" i="1"/>
  <c r="G506" i="1"/>
  <c r="CM499" i="1"/>
  <c r="AI493" i="1"/>
  <c r="AG528" i="1"/>
  <c r="AA510" i="1"/>
  <c r="AJ504" i="1"/>
  <c r="BL499" i="1"/>
  <c r="CN494" i="1"/>
  <c r="L490" i="1"/>
  <c r="AZ486" i="1"/>
  <c r="L484" i="1"/>
  <c r="G505" i="1"/>
  <c r="BO488" i="1"/>
  <c r="AM483" i="1"/>
  <c r="CV480" i="1"/>
  <c r="BH478" i="1"/>
  <c r="DD474" i="1"/>
  <c r="BP472" i="1"/>
  <c r="X469" i="1"/>
  <c r="CJ465" i="1"/>
  <c r="AV463" i="1"/>
  <c r="DH459" i="1"/>
  <c r="BT457" i="1"/>
  <c r="AR454" i="1"/>
  <c r="DH451" i="1"/>
  <c r="AM499" i="1"/>
  <c r="BU486" i="1"/>
  <c r="BK482" i="1"/>
  <c r="W480" i="1"/>
  <c r="CM477" i="1"/>
  <c r="AE474" i="1"/>
  <c r="DG470" i="1"/>
  <c r="BS468" i="1"/>
  <c r="AA465" i="1"/>
  <c r="CQ462" i="1"/>
  <c r="AY459" i="1"/>
  <c r="K457" i="1"/>
  <c r="BW453" i="1"/>
  <c r="BU524" i="1"/>
  <c r="CY493" i="1"/>
  <c r="AI485" i="1"/>
  <c r="CT481" i="1"/>
  <c r="BF479" i="1"/>
  <c r="R477" i="1"/>
  <c r="V474" i="1"/>
  <c r="CH470" i="1"/>
  <c r="AT468" i="1"/>
  <c r="DF464" i="1"/>
  <c r="BR462" i="1"/>
  <c r="AF504" i="1"/>
  <c r="CB498" i="1"/>
  <c r="DD493" i="1"/>
  <c r="AB489" i="1"/>
  <c r="F486" i="1"/>
  <c r="BV483" i="1"/>
  <c r="Y524" i="1"/>
  <c r="W508" i="1"/>
  <c r="AI503" i="1"/>
  <c r="BK498" i="1"/>
  <c r="CM493" i="1"/>
  <c r="BM532" i="1"/>
  <c r="BM512" i="1"/>
  <c r="P505" i="1"/>
  <c r="AR500" i="1"/>
  <c r="BT495" i="1"/>
  <c r="CV490" i="1"/>
  <c r="CR486" i="1"/>
  <c r="BD484" i="1"/>
  <c r="CA508" i="1"/>
  <c r="AA490" i="1"/>
  <c r="S484" i="1"/>
  <c r="AJ481" i="1"/>
  <c r="CZ478" i="1"/>
  <c r="DD475" i="1"/>
  <c r="BP473" i="1"/>
  <c r="X470" i="1"/>
  <c r="CN467" i="1"/>
  <c r="AV464" i="1"/>
  <c r="H462" i="1"/>
  <c r="CJ458" i="1"/>
  <c r="AR455" i="1"/>
  <c r="DH452" i="1"/>
  <c r="AM507" i="1"/>
  <c r="CE489" i="1"/>
  <c r="CW483" i="1"/>
  <c r="W481" i="1"/>
  <c r="CM478" i="1"/>
  <c r="CQ475" i="1"/>
  <c r="BC473" i="1"/>
  <c r="K470" i="1"/>
  <c r="CA467" i="1"/>
  <c r="AI464" i="1"/>
  <c r="CU460" i="1"/>
  <c r="BG458" i="1"/>
  <c r="AE455" i="1"/>
  <c r="CU452" i="1"/>
  <c r="BW506" i="1"/>
  <c r="AU489" i="1"/>
  <c r="CE483" i="1"/>
  <c r="N481" i="1"/>
  <c r="CD478" i="1"/>
  <c r="V475" i="1"/>
  <c r="CL472" i="1"/>
  <c r="AT469" i="1"/>
  <c r="F467" i="1"/>
  <c r="CH463" i="1"/>
  <c r="AP460" i="1"/>
  <c r="CN501" i="1"/>
  <c r="CR496" i="1"/>
  <c r="P492" i="1"/>
  <c r="BB487" i="1"/>
  <c r="N485" i="1"/>
  <c r="DI540" i="1"/>
  <c r="CK516" i="1"/>
  <c r="W506" i="1"/>
  <c r="AY501" i="1"/>
  <c r="CA496" i="1"/>
  <c r="DC491" i="1"/>
  <c r="Q524" i="1"/>
  <c r="S508" i="1"/>
  <c r="AF503" i="1"/>
  <c r="BH498" i="1"/>
  <c r="CJ493" i="1"/>
  <c r="H489" i="1"/>
  <c r="CZ485" i="1"/>
  <c r="BL483" i="1"/>
  <c r="CU500" i="1"/>
  <c r="G487" i="1"/>
  <c r="CF482" i="1"/>
  <c r="AR480" i="1"/>
  <c r="DH477" i="1"/>
  <c r="AZ474" i="1"/>
  <c r="L472" i="1"/>
  <c r="BX468" i="1"/>
  <c r="AV465" i="1"/>
  <c r="H463" i="1"/>
  <c r="BT459" i="1"/>
  <c r="AF457" i="1"/>
  <c r="CR453" i="1"/>
  <c r="BY529" i="1"/>
  <c r="W495" i="1"/>
  <c r="BQ485" i="1"/>
  <c r="G482" i="1"/>
  <c r="BW479" i="1"/>
  <c r="AI477" i="1"/>
  <c r="CE473" i="1"/>
  <c r="AM470" i="1"/>
  <c r="DC467" i="1"/>
  <c r="BK464" i="1"/>
  <c r="W462" i="1"/>
  <c r="CY458" i="1"/>
  <c r="BG455" i="1"/>
  <c r="S453" i="1"/>
  <c r="BO509" i="1"/>
  <c r="AY490" i="1"/>
  <c r="AE484" i="1"/>
  <c r="AP481" i="1"/>
  <c r="DF478" i="1"/>
  <c r="AX475" i="1"/>
  <c r="J473" i="1"/>
  <c r="CL469" i="1"/>
  <c r="AX467" i="1"/>
  <c r="F464" i="1"/>
  <c r="BR460" i="1"/>
  <c r="BX503" i="1"/>
  <c r="AF498" i="1"/>
  <c r="BH493" i="1"/>
  <c r="CJ488" i="1"/>
  <c r="CL485" i="1"/>
  <c r="AX483" i="1"/>
  <c r="AW522" i="1"/>
  <c r="BO507" i="1"/>
  <c r="CQ502" i="1"/>
  <c r="O498" i="1"/>
  <c r="AQ493" i="1"/>
  <c r="CG529" i="1"/>
  <c r="DC510" i="1"/>
  <c r="BX504" i="1"/>
  <c r="CZ499" i="1"/>
  <c r="X495" i="1"/>
  <c r="AZ490" i="1"/>
  <c r="BT486" i="1"/>
  <c r="AF484" i="1"/>
  <c r="BG506" i="1"/>
  <c r="AM489" i="1"/>
  <c r="CA483" i="1"/>
  <c r="L481" i="1"/>
  <c r="CB478" i="1"/>
  <c r="T475" i="1"/>
  <c r="CJ472" i="1"/>
  <c r="BH469" i="1"/>
  <c r="T467" i="1"/>
  <c r="CF463" i="1"/>
  <c r="AN460" i="1"/>
  <c r="DD457" i="1"/>
  <c r="BL454" i="1"/>
  <c r="X452" i="1"/>
  <c r="CM500" i="1"/>
  <c r="DI486" i="1"/>
  <c r="CE482" i="1"/>
  <c r="AQ480" i="1"/>
  <c r="DG477" i="1"/>
  <c r="AY474" i="1"/>
  <c r="K472" i="1"/>
  <c r="BW468" i="1"/>
  <c r="AU465" i="1"/>
  <c r="G463" i="1"/>
  <c r="BS459" i="1"/>
  <c r="AE457" i="1"/>
  <c r="CQ453" i="1"/>
  <c r="BU530" i="1"/>
  <c r="AU495" i="1"/>
  <c r="BW485" i="1"/>
  <c r="J482" i="1"/>
  <c r="BZ479" i="1"/>
  <c r="AL477" i="1"/>
  <c r="CH473" i="1"/>
  <c r="AP470" i="1"/>
  <c r="DF467" i="1"/>
  <c r="BN464" i="1"/>
  <c r="Z462" i="1"/>
  <c r="CL458" i="1"/>
  <c r="CP457" i="1"/>
  <c r="BF454" i="1"/>
  <c r="R452" i="1"/>
  <c r="AE501" i="1"/>
  <c r="Q487" i="1"/>
  <c r="CK482" i="1"/>
  <c r="AW480" i="1"/>
  <c r="I478" i="1"/>
  <c r="BE474" i="1"/>
  <c r="Q472" i="1"/>
  <c r="CC468" i="1"/>
  <c r="AK465" i="1"/>
  <c r="DA462" i="1"/>
  <c r="BY459" i="1"/>
  <c r="AK457" i="1"/>
  <c r="CW453" i="1"/>
  <c r="CJ451" i="1"/>
  <c r="AL449" i="1"/>
  <c r="DB446" i="1"/>
  <c r="BN444" i="1"/>
  <c r="Z442" i="1"/>
  <c r="BM472" i="1"/>
  <c r="M463" i="1"/>
  <c r="I458" i="1"/>
  <c r="CG453" i="1"/>
  <c r="CL450" i="1"/>
  <c r="BZ447" i="1"/>
  <c r="AX444" i="1"/>
  <c r="AL441" i="1"/>
  <c r="BV438" i="1"/>
  <c r="AH436" i="1"/>
  <c r="CX433" i="1"/>
  <c r="BJ431" i="1"/>
  <c r="V429" i="1"/>
  <c r="CL426" i="1"/>
  <c r="AX424" i="1"/>
  <c r="J422" i="1"/>
  <c r="BZ419" i="1"/>
  <c r="AL417" i="1"/>
  <c r="DB414" i="1"/>
  <c r="AW450" i="1"/>
  <c r="I448" i="1"/>
  <c r="BY445" i="1"/>
  <c r="AK443" i="1"/>
  <c r="DA440" i="1"/>
  <c r="BM438" i="1"/>
  <c r="Y436" i="1"/>
  <c r="CO433" i="1"/>
  <c r="BA431" i="1"/>
  <c r="M429" i="1"/>
  <c r="CC426" i="1"/>
  <c r="AO424" i="1"/>
  <c r="DE421" i="1"/>
  <c r="BQ419" i="1"/>
  <c r="AC417" i="1"/>
  <c r="CS414" i="1"/>
  <c r="AB450" i="1"/>
  <c r="CR447" i="1"/>
  <c r="BD445" i="1"/>
  <c r="P443" i="1"/>
  <c r="CF440" i="1"/>
  <c r="AR438" i="1"/>
  <c r="DH435" i="1"/>
  <c r="BT433" i="1"/>
  <c r="AF431" i="1"/>
  <c r="CV428" i="1"/>
  <c r="BH426" i="1"/>
  <c r="T424" i="1"/>
  <c r="DB455" i="1"/>
  <c r="BN453" i="1"/>
  <c r="AO524" i="1"/>
  <c r="CQ493" i="1"/>
  <c r="AG485" i="1"/>
  <c r="CS481" i="1"/>
  <c r="BE479" i="1"/>
  <c r="Q477" i="1"/>
  <c r="U474" i="1"/>
  <c r="CG470" i="1"/>
  <c r="AS468" i="1"/>
  <c r="Q465" i="1"/>
  <c r="CG462" i="1"/>
  <c r="AO459" i="1"/>
  <c r="DA455" i="1"/>
  <c r="BM453" i="1"/>
  <c r="AP451" i="1"/>
  <c r="DF448" i="1"/>
  <c r="BR446" i="1"/>
  <c r="AD444" i="1"/>
  <c r="CT441" i="1"/>
  <c r="BF439" i="1"/>
  <c r="R437" i="1"/>
  <c r="CH434" i="1"/>
  <c r="AT432" i="1"/>
  <c r="F430" i="1"/>
  <c r="BV427" i="1"/>
  <c r="AH425" i="1"/>
  <c r="CX422" i="1"/>
  <c r="BJ420" i="1"/>
  <c r="V418" i="1"/>
  <c r="CL415" i="1"/>
  <c r="AG451" i="1"/>
  <c r="CW448" i="1"/>
  <c r="BI446" i="1"/>
  <c r="U444" i="1"/>
  <c r="CK441" i="1"/>
  <c r="AW439" i="1"/>
  <c r="I437" i="1"/>
  <c r="BY434" i="1"/>
  <c r="AK432" i="1"/>
  <c r="DA429" i="1"/>
  <c r="BM427" i="1"/>
  <c r="Y425" i="1"/>
  <c r="CO422" i="1"/>
  <c r="BA420" i="1"/>
  <c r="M418" i="1"/>
  <c r="CC415" i="1"/>
  <c r="L451" i="1"/>
  <c r="CB448" i="1"/>
  <c r="AN446" i="1"/>
  <c r="DD443" i="1"/>
  <c r="BP441" i="1"/>
  <c r="AB439" i="1"/>
  <c r="CR436" i="1"/>
  <c r="BD434" i="1"/>
  <c r="P432" i="1"/>
  <c r="CF429" i="1"/>
  <c r="AR427" i="1"/>
  <c r="DH424" i="1"/>
  <c r="BT422" i="1"/>
  <c r="BJ458" i="1"/>
  <c r="CT454" i="1"/>
  <c r="BF452" i="1"/>
  <c r="AA504" i="1"/>
  <c r="W488" i="1"/>
  <c r="U483" i="1"/>
  <c r="CK480" i="1"/>
  <c r="AW478" i="1"/>
  <c r="CS474" i="1"/>
  <c r="BE472" i="1"/>
  <c r="AC469" i="1"/>
  <c r="CO465" i="1"/>
  <c r="BA463" i="1"/>
  <c r="I460" i="1"/>
  <c r="BY457" i="1"/>
  <c r="AG454" i="1"/>
  <c r="CW451" i="1"/>
  <c r="BZ449" i="1"/>
  <c r="AL447" i="1"/>
  <c r="DB444" i="1"/>
  <c r="BN442" i="1"/>
  <c r="Z440" i="1"/>
  <c r="CP437" i="1"/>
  <c r="BB435" i="1"/>
  <c r="N433" i="1"/>
  <c r="CD430" i="1"/>
  <c r="AP428" i="1"/>
  <c r="DF425" i="1"/>
  <c r="BR423" i="1"/>
  <c r="AD421" i="1"/>
  <c r="CT418" i="1"/>
  <c r="BF416" i="1"/>
  <c r="R414" i="1"/>
  <c r="BQ449" i="1"/>
  <c r="AC447" i="1"/>
  <c r="CS444" i="1"/>
  <c r="BE442" i="1"/>
  <c r="Q440" i="1"/>
  <c r="CG437" i="1"/>
  <c r="AS435" i="1"/>
  <c r="DI432" i="1"/>
  <c r="BU430" i="1"/>
  <c r="AG428" i="1"/>
  <c r="CW425" i="1"/>
  <c r="BI423" i="1"/>
  <c r="U421" i="1"/>
  <c r="CK418" i="1"/>
  <c r="AW416" i="1"/>
  <c r="I414" i="1"/>
  <c r="AV449" i="1"/>
  <c r="H447" i="1"/>
  <c r="BX444" i="1"/>
  <c r="AJ442" i="1"/>
  <c r="CZ439" i="1"/>
  <c r="BL437" i="1"/>
  <c r="X435" i="1"/>
  <c r="CN432" i="1"/>
  <c r="AZ430" i="1"/>
  <c r="L428" i="1"/>
  <c r="CB425" i="1"/>
  <c r="AN423" i="1"/>
  <c r="CX458" i="1"/>
  <c r="R455" i="1"/>
  <c r="CH452" i="1"/>
  <c r="AI506" i="1"/>
  <c r="AA489" i="1"/>
  <c r="BU483" i="1"/>
  <c r="I481" i="1"/>
  <c r="BY478" i="1"/>
  <c r="Q475" i="1"/>
  <c r="CG472" i="1"/>
  <c r="AO469" i="1"/>
  <c r="DA465" i="1"/>
  <c r="BM463" i="1"/>
  <c r="U460" i="1"/>
  <c r="CK457" i="1"/>
  <c r="BI454" i="1"/>
  <c r="U452" i="1"/>
  <c r="DB449" i="1"/>
  <c r="BN447" i="1"/>
  <c r="Z445" i="1"/>
  <c r="CP442" i="1"/>
  <c r="BB440" i="1"/>
  <c r="N438" i="1"/>
  <c r="CD435" i="1"/>
  <c r="AP433" i="1"/>
  <c r="DF430" i="1"/>
  <c r="BR428" i="1"/>
  <c r="AD426" i="1"/>
  <c r="CT423" i="1"/>
  <c r="BF421" i="1"/>
  <c r="R419" i="1"/>
  <c r="CH416" i="1"/>
  <c r="AT414" i="1"/>
  <c r="CS449" i="1"/>
  <c r="BE447" i="1"/>
  <c r="Q445" i="1"/>
  <c r="CG442" i="1"/>
  <c r="AS440" i="1"/>
  <c r="DI437" i="1"/>
  <c r="BU435" i="1"/>
  <c r="AG433" i="1"/>
  <c r="CW430" i="1"/>
  <c r="BI428" i="1"/>
  <c r="U426" i="1"/>
  <c r="CK423" i="1"/>
  <c r="AW421" i="1"/>
  <c r="I419" i="1"/>
  <c r="BY416" i="1"/>
  <c r="AK414" i="1"/>
  <c r="BX449" i="1"/>
  <c r="AJ447" i="1"/>
  <c r="CZ444" i="1"/>
  <c r="BL442" i="1"/>
  <c r="X440" i="1"/>
  <c r="CN437" i="1"/>
  <c r="AZ435" i="1"/>
  <c r="L433" i="1"/>
  <c r="CB430" i="1"/>
  <c r="AN428" i="1"/>
  <c r="DD425" i="1"/>
  <c r="BP423" i="1"/>
  <c r="AB421" i="1"/>
  <c r="DH419" i="1"/>
  <c r="BT417" i="1"/>
  <c r="AF415" i="1"/>
  <c r="CI450" i="1"/>
  <c r="AU448" i="1"/>
  <c r="G446" i="1"/>
  <c r="BW443" i="1"/>
  <c r="AI441" i="1"/>
  <c r="CY438" i="1"/>
  <c r="BK436" i="1"/>
  <c r="W434" i="1"/>
  <c r="CM431" i="1"/>
  <c r="AY429" i="1"/>
  <c r="K427" i="1"/>
  <c r="CA424" i="1"/>
  <c r="AM422" i="1"/>
  <c r="DC419" i="1"/>
  <c r="BO417" i="1"/>
  <c r="AA415" i="1"/>
  <c r="CD412" i="1"/>
  <c r="AP410" i="1"/>
  <c r="DF407" i="1"/>
  <c r="BM468" i="1"/>
  <c r="CC460" i="1"/>
  <c r="DE455" i="1"/>
  <c r="CS452" i="1"/>
  <c r="CH449" i="1"/>
  <c r="BV446" i="1"/>
  <c r="BJ443" i="1"/>
  <c r="AH440" i="1"/>
  <c r="CX437" i="1"/>
  <c r="BJ435" i="1"/>
  <c r="V433" i="1"/>
  <c r="CL430" i="1"/>
  <c r="AX428" i="1"/>
  <c r="J426" i="1"/>
  <c r="BZ423" i="1"/>
  <c r="AL421" i="1"/>
  <c r="DB418" i="1"/>
  <c r="BN416" i="1"/>
  <c r="Z414" i="1"/>
  <c r="BY449" i="1"/>
  <c r="AK447" i="1"/>
  <c r="DA444" i="1"/>
  <c r="BM442" i="1"/>
  <c r="Y440" i="1"/>
  <c r="CO437" i="1"/>
  <c r="BA435" i="1"/>
  <c r="M433" i="1"/>
  <c r="CC430" i="1"/>
  <c r="AO428" i="1"/>
  <c r="DE425" i="1"/>
  <c r="BQ423" i="1"/>
  <c r="AC421" i="1"/>
  <c r="CS418" i="1"/>
  <c r="BE416" i="1"/>
  <c r="Q414" i="1"/>
  <c r="BD449" i="1"/>
  <c r="P447" i="1"/>
  <c r="CF444" i="1"/>
  <c r="AR442" i="1"/>
  <c r="DH439" i="1"/>
  <c r="BT437" i="1"/>
  <c r="AF435" i="1"/>
  <c r="CV432" i="1"/>
  <c r="BH430" i="1"/>
  <c r="T428" i="1"/>
  <c r="CJ425" i="1"/>
  <c r="J459" i="1"/>
  <c r="Z455" i="1"/>
  <c r="CP452" i="1"/>
  <c r="CU506" i="1"/>
  <c r="BG489" i="1"/>
  <c r="CK483" i="1"/>
  <c r="Q481" i="1"/>
  <c r="CG478" i="1"/>
  <c r="Y475" i="1"/>
  <c r="CO472" i="1"/>
  <c r="AW469" i="1"/>
  <c r="I467" i="1"/>
  <c r="CK463" i="1"/>
  <c r="AS460" i="1"/>
  <c r="DI457" i="1"/>
  <c r="BQ454" i="1"/>
  <c r="AC452" i="1"/>
  <c r="F450" i="1"/>
  <c r="BV447" i="1"/>
  <c r="AH445" i="1"/>
  <c r="CX442" i="1"/>
  <c r="BJ440" i="1"/>
  <c r="V438" i="1"/>
  <c r="CL435" i="1"/>
  <c r="AX433" i="1"/>
  <c r="J431" i="1"/>
  <c r="BZ428" i="1"/>
  <c r="AL426" i="1"/>
  <c r="DB423" i="1"/>
  <c r="BN421" i="1"/>
  <c r="Z419" i="1"/>
  <c r="CP416" i="1"/>
  <c r="BB414" i="1"/>
  <c r="DA449" i="1"/>
  <c r="BM447" i="1"/>
  <c r="Y445" i="1"/>
  <c r="CO442" i="1"/>
  <c r="BA440" i="1"/>
  <c r="M438" i="1"/>
  <c r="CC435" i="1"/>
  <c r="AO433" i="1"/>
  <c r="DE430" i="1"/>
  <c r="BQ428" i="1"/>
  <c r="AC426" i="1"/>
  <c r="CS423" i="1"/>
  <c r="BE421" i="1"/>
  <c r="Q419" i="1"/>
  <c r="CG416" i="1"/>
  <c r="AS414" i="1"/>
  <c r="CF449" i="1"/>
  <c r="AR447" i="1"/>
  <c r="DH444" i="1"/>
  <c r="BT442" i="1"/>
  <c r="AF440" i="1"/>
  <c r="CV437" i="1"/>
  <c r="BH435" i="1"/>
  <c r="T433" i="1"/>
  <c r="CJ430" i="1"/>
  <c r="AV428" i="1"/>
  <c r="H426" i="1"/>
  <c r="BX423" i="1"/>
  <c r="AJ421" i="1"/>
  <c r="CX455" i="1"/>
  <c r="BJ453" i="1"/>
  <c r="U523" i="1"/>
  <c r="BK493" i="1"/>
  <c r="Y485" i="1"/>
  <c r="CO481" i="1"/>
  <c r="BA479" i="1"/>
  <c r="M477" i="1"/>
  <c r="Q474" i="1"/>
  <c r="CS470" i="1"/>
  <c r="BE468" i="1"/>
  <c r="M465" i="1"/>
  <c r="CC462" i="1"/>
  <c r="AK459" i="1"/>
  <c r="CW455" i="1"/>
  <c r="BI453" i="1"/>
  <c r="AL451" i="1"/>
  <c r="DB448" i="1"/>
  <c r="BN446" i="1"/>
  <c r="Z444" i="1"/>
  <c r="CP441" i="1"/>
  <c r="BB439" i="1"/>
  <c r="N437" i="1"/>
  <c r="CD434" i="1"/>
  <c r="AP432" i="1"/>
  <c r="DF429" i="1"/>
  <c r="BR427" i="1"/>
  <c r="AD425" i="1"/>
  <c r="CT422" i="1"/>
  <c r="BF420" i="1"/>
  <c r="R418" i="1"/>
  <c r="CH415" i="1"/>
  <c r="AC451" i="1"/>
  <c r="CS448" i="1"/>
  <c r="BE446" i="1"/>
  <c r="Q444" i="1"/>
  <c r="CG441" i="1"/>
  <c r="AS439" i="1"/>
  <c r="DI436" i="1"/>
  <c r="BU434" i="1"/>
  <c r="AG432" i="1"/>
  <c r="CW429" i="1"/>
  <c r="BI427" i="1"/>
  <c r="U425" i="1"/>
  <c r="CK422" i="1"/>
  <c r="AW420" i="1"/>
  <c r="I418" i="1"/>
  <c r="BY415" i="1"/>
  <c r="H451" i="1"/>
  <c r="BX448" i="1"/>
  <c r="AJ446" i="1"/>
  <c r="CZ443" i="1"/>
  <c r="BL441" i="1"/>
  <c r="X439" i="1"/>
  <c r="CN436" i="1"/>
  <c r="AZ434" i="1"/>
  <c r="L432" i="1"/>
  <c r="CB429" i="1"/>
  <c r="AN427" i="1"/>
  <c r="DD424" i="1"/>
  <c r="BP422" i="1"/>
  <c r="CT457" i="1"/>
  <c r="AT454" i="1"/>
  <c r="F452" i="1"/>
  <c r="AQ500" i="1"/>
  <c r="CW486" i="1"/>
  <c r="BY482" i="1"/>
  <c r="AK480" i="1"/>
  <c r="DA477" i="1"/>
  <c r="AS474" i="1"/>
  <c r="DE470" i="1"/>
  <c r="BQ468" i="1"/>
  <c r="Y465" i="1"/>
  <c r="CO462" i="1"/>
  <c r="AW459" i="1"/>
  <c r="I457" i="1"/>
  <c r="CK453" i="1"/>
  <c r="BO451" i="1"/>
  <c r="Z449" i="1"/>
  <c r="CP446" i="1"/>
  <c r="BB444" i="1"/>
  <c r="N442" i="1"/>
  <c r="CD439" i="1"/>
  <c r="AP437" i="1"/>
  <c r="DF434" i="1"/>
  <c r="BR432" i="1"/>
  <c r="AD430" i="1"/>
  <c r="CT427" i="1"/>
  <c r="BF425" i="1"/>
  <c r="R423" i="1"/>
  <c r="CH420" i="1"/>
  <c r="AT418" i="1"/>
  <c r="F416" i="1"/>
  <c r="BE451" i="1"/>
  <c r="Q449" i="1"/>
  <c r="CG446" i="1"/>
  <c r="AS444" i="1"/>
  <c r="DI441" i="1"/>
  <c r="BU439" i="1"/>
  <c r="AG437" i="1"/>
  <c r="CW434" i="1"/>
  <c r="BI432" i="1"/>
  <c r="U430" i="1"/>
  <c r="CK427" i="1"/>
  <c r="AW425" i="1"/>
  <c r="I423" i="1"/>
  <c r="BY420" i="1"/>
  <c r="AK418" i="1"/>
  <c r="DA415" i="1"/>
  <c r="AJ451" i="1"/>
  <c r="CZ448" i="1"/>
  <c r="BL446" i="1"/>
  <c r="X444" i="1"/>
  <c r="CN441" i="1"/>
  <c r="AZ439" i="1"/>
  <c r="L437" i="1"/>
  <c r="CB434" i="1"/>
  <c r="AN432" i="1"/>
  <c r="DD429" i="1"/>
  <c r="BP427" i="1"/>
  <c r="AB425" i="1"/>
  <c r="CR422" i="1"/>
  <c r="BD420" i="1"/>
  <c r="AF419" i="1"/>
  <c r="CV416" i="1"/>
  <c r="BH414" i="1"/>
  <c r="G450" i="1"/>
  <c r="BW447" i="1"/>
  <c r="AI445" i="1"/>
  <c r="CY442" i="1"/>
  <c r="BK440" i="1"/>
  <c r="W438" i="1"/>
  <c r="CM435" i="1"/>
  <c r="AY433" i="1"/>
  <c r="K431" i="1"/>
  <c r="CA428" i="1"/>
  <c r="AM426" i="1"/>
  <c r="DC423" i="1"/>
  <c r="BO421" i="1"/>
  <c r="AA419" i="1"/>
  <c r="CQ416" i="1"/>
  <c r="BC414" i="1"/>
  <c r="DF411" i="1"/>
  <c r="BR409" i="1"/>
  <c r="AD407" i="1"/>
  <c r="CT404" i="1"/>
  <c r="BF402" i="1"/>
  <c r="BY463" i="1"/>
  <c r="AO458" i="1"/>
  <c r="Y454" i="1"/>
  <c r="AD451" i="1"/>
  <c r="DF447" i="1"/>
  <c r="CT444" i="1"/>
  <c r="CH441" i="1"/>
  <c r="DB438" i="1"/>
  <c r="BN436" i="1"/>
  <c r="Z434" i="1"/>
  <c r="CP431" i="1"/>
  <c r="BB429" i="1"/>
  <c r="N427" i="1"/>
  <c r="CD424" i="1"/>
  <c r="AP422" i="1"/>
  <c r="DF419" i="1"/>
  <c r="BR417" i="1"/>
  <c r="AD415" i="1"/>
  <c r="CC450" i="1"/>
  <c r="AO448" i="1"/>
  <c r="DE445" i="1"/>
  <c r="BQ443" i="1"/>
  <c r="AC441" i="1"/>
  <c r="CS438" i="1"/>
  <c r="BE436" i="1"/>
  <c r="Q434" i="1"/>
  <c r="CG431" i="1"/>
  <c r="AS429" i="1"/>
  <c r="DI426" i="1"/>
  <c r="BU424" i="1"/>
  <c r="AG422" i="1"/>
  <c r="CW419" i="1"/>
  <c r="BI417" i="1"/>
  <c r="U415" i="1"/>
  <c r="BH450" i="1"/>
  <c r="T448" i="1"/>
  <c r="CJ445" i="1"/>
  <c r="AV443" i="1"/>
  <c r="H441" i="1"/>
  <c r="BX438" i="1"/>
  <c r="AJ436" i="1"/>
  <c r="CZ433" i="1"/>
  <c r="BL431" i="1"/>
  <c r="X429" i="1"/>
  <c r="CN426" i="1"/>
  <c r="AZ424" i="1"/>
  <c r="AH457" i="1"/>
  <c r="CT453" i="1"/>
  <c r="U537" i="1"/>
  <c r="AA496" i="1"/>
  <c r="CS485" i="1"/>
  <c r="U482" i="1"/>
  <c r="CK479" i="1"/>
  <c r="AW477" i="1"/>
  <c r="CS473" i="1"/>
  <c r="BA470" i="1"/>
  <c r="M468" i="1"/>
  <c r="CO464" i="1"/>
  <c r="BA462" i="1"/>
  <c r="I459" i="1"/>
  <c r="BU455" i="1"/>
  <c r="AG453" i="1"/>
  <c r="AA473" i="1"/>
  <c r="DC469" i="1"/>
  <c r="BO467" i="1"/>
  <c r="W464" i="1"/>
  <c r="CI460" i="1"/>
  <c r="AU458" i="1"/>
  <c r="DG454" i="1"/>
  <c r="BS452" i="1"/>
  <c r="BO504" i="1"/>
  <c r="AQ488" i="1"/>
  <c r="AA483" i="1"/>
  <c r="CP480" i="1"/>
  <c r="BB478" i="1"/>
  <c r="CX474" i="1"/>
  <c r="BJ472" i="1"/>
  <c r="R469" i="1"/>
  <c r="CD465" i="1"/>
  <c r="AP463" i="1"/>
  <c r="N460" i="1"/>
  <c r="X500" i="1"/>
  <c r="AZ495" i="1"/>
  <c r="CB490" i="1"/>
  <c r="CH486" i="1"/>
  <c r="AT484" i="1"/>
  <c r="Q530" i="1"/>
  <c r="U511" i="1"/>
  <c r="CI504" i="1"/>
  <c r="G500" i="1"/>
  <c r="AI495" i="1"/>
  <c r="BZ544" i="1"/>
  <c r="BE518" i="1"/>
  <c r="BP506" i="1"/>
  <c r="CR501" i="1"/>
  <c r="P497" i="1"/>
  <c r="AR492" i="1"/>
  <c r="BT487" i="1"/>
  <c r="AB485" i="1"/>
  <c r="DE529" i="1"/>
  <c r="AE495" i="1"/>
  <c r="BS485" i="1"/>
  <c r="H482" i="1"/>
  <c r="BX479" i="1"/>
  <c r="AJ477" i="1"/>
  <c r="CF473" i="1"/>
  <c r="AN470" i="1"/>
  <c r="DD467" i="1"/>
  <c r="BL464" i="1"/>
  <c r="X462" i="1"/>
  <c r="CZ458" i="1"/>
  <c r="BH455" i="1"/>
  <c r="T453" i="1"/>
  <c r="S509" i="1"/>
  <c r="AM490" i="1"/>
  <c r="Y484" i="1"/>
  <c r="AM481" i="1"/>
  <c r="DC478" i="1"/>
  <c r="DG475" i="1"/>
  <c r="BS473" i="1"/>
  <c r="AA470" i="1"/>
  <c r="CQ467" i="1"/>
  <c r="AY464" i="1"/>
  <c r="K462" i="1"/>
  <c r="BW458" i="1"/>
  <c r="AU455" i="1"/>
  <c r="G453" i="1"/>
  <c r="CQ507" i="1"/>
  <c r="DG489" i="1"/>
  <c r="G484" i="1"/>
  <c r="AD481" i="1"/>
  <c r="CT478" i="1"/>
  <c r="CX475" i="1"/>
  <c r="BJ473" i="1"/>
  <c r="R470" i="1"/>
  <c r="CH467" i="1"/>
  <c r="BF464" i="1"/>
  <c r="R462" i="1"/>
  <c r="CF503" i="1"/>
  <c r="AN498" i="1"/>
  <c r="BP493" i="1"/>
  <c r="CR488" i="1"/>
  <c r="CP485" i="1"/>
  <c r="BB483" i="1"/>
  <c r="CC522" i="1"/>
  <c r="BW507" i="1"/>
  <c r="CY502" i="1"/>
  <c r="W498" i="1"/>
  <c r="AY493" i="1"/>
  <c r="I530" i="1"/>
  <c r="O511" i="1"/>
  <c r="CF504" i="1"/>
  <c r="DH499" i="1"/>
  <c r="AF495" i="1"/>
  <c r="BH490" i="1"/>
  <c r="BX486" i="1"/>
  <c r="AJ484" i="1"/>
  <c r="CM506" i="1"/>
  <c r="BC489" i="1"/>
  <c r="CI483" i="1"/>
  <c r="P481" i="1"/>
  <c r="CF478" i="1"/>
  <c r="X475" i="1"/>
  <c r="CN472" i="1"/>
  <c r="AV469" i="1"/>
  <c r="H467" i="1"/>
  <c r="CJ463" i="1"/>
  <c r="AR460" i="1"/>
  <c r="DH457" i="1"/>
  <c r="BP454" i="1"/>
  <c r="AB452" i="1"/>
  <c r="O501" i="1"/>
  <c r="M487" i="1"/>
  <c r="CI482" i="1"/>
  <c r="AU480" i="1"/>
  <c r="G478" i="1"/>
  <c r="BC474" i="1"/>
  <c r="O472" i="1"/>
  <c r="CA468" i="1"/>
  <c r="AI465" i="1"/>
  <c r="CY462" i="1"/>
  <c r="BW459" i="1"/>
  <c r="AI457" i="1"/>
  <c r="CU453" i="1"/>
  <c r="DI532" i="1"/>
  <c r="CA495" i="1"/>
  <c r="CE485" i="1"/>
  <c r="N482" i="1"/>
  <c r="CD479" i="1"/>
  <c r="AP477" i="1"/>
  <c r="CL473" i="1"/>
  <c r="BJ470" i="1"/>
  <c r="V468" i="1"/>
  <c r="CH464" i="1"/>
  <c r="AT462" i="1"/>
  <c r="DF458" i="1"/>
  <c r="CF499" i="1"/>
  <c r="DH494" i="1"/>
  <c r="AF490" i="1"/>
  <c r="BJ486" i="1"/>
  <c r="V484" i="1"/>
  <c r="AO528" i="1"/>
  <c r="AE510" i="1"/>
  <c r="AM504" i="1"/>
  <c r="BO499" i="1"/>
  <c r="CQ494" i="1"/>
  <c r="CS540" i="1"/>
  <c r="CC516" i="1"/>
  <c r="T506" i="1"/>
  <c r="AV501" i="1"/>
  <c r="BX496" i="1"/>
  <c r="CZ491" i="1"/>
  <c r="AR487" i="1"/>
  <c r="DH484" i="1"/>
  <c r="CS522" i="1"/>
  <c r="BC493" i="1"/>
  <c r="W485" i="1"/>
  <c r="CN481" i="1"/>
  <c r="AZ479" i="1"/>
  <c r="L477" i="1"/>
  <c r="P474" i="1"/>
  <c r="CR470" i="1"/>
  <c r="BD468" i="1"/>
  <c r="L465" i="1"/>
  <c r="CB462" i="1"/>
  <c r="AJ459" i="1"/>
  <c r="CV455" i="1"/>
  <c r="BH453" i="1"/>
  <c r="DI518" i="1"/>
  <c r="BG492" i="1"/>
  <c r="DA484" i="1"/>
  <c r="CA481" i="1"/>
  <c r="AM479" i="1"/>
  <c r="CI475" i="1"/>
  <c r="AU473" i="1"/>
  <c r="DG469" i="1"/>
  <c r="BS467" i="1"/>
  <c r="AQ464" i="1"/>
  <c r="DC460" i="1"/>
  <c r="BO458" i="1"/>
  <c r="W455" i="1"/>
  <c r="CM452" i="1"/>
  <c r="K506" i="1"/>
  <c r="O489" i="1"/>
  <c r="BO483" i="1"/>
  <c r="F481" i="1"/>
  <c r="BV478" i="1"/>
  <c r="N475" i="1"/>
  <c r="CD472" i="1"/>
  <c r="AL469" i="1"/>
  <c r="CX465" i="1"/>
  <c r="BJ463" i="1"/>
  <c r="R460" i="1"/>
  <c r="CH457" i="1"/>
  <c r="CP455" i="1"/>
  <c r="BB453" i="1"/>
  <c r="CK520" i="1"/>
  <c r="DC492" i="1"/>
  <c r="I485" i="1"/>
  <c r="CG481" i="1"/>
  <c r="AS479" i="1"/>
  <c r="CO475" i="1"/>
  <c r="BA473" i="1"/>
  <c r="I470" i="1"/>
  <c r="BY467" i="1"/>
  <c r="Q512" i="1"/>
  <c r="AZ501" i="1"/>
  <c r="X498" i="1"/>
  <c r="DD491" i="1"/>
  <c r="BV486" i="1"/>
  <c r="AT483" i="1"/>
  <c r="Y516" i="1"/>
  <c r="BK504" i="1"/>
  <c r="G498" i="1"/>
  <c r="CM491" i="1"/>
  <c r="BI523" i="1"/>
  <c r="CR507" i="1"/>
  <c r="P503" i="1"/>
  <c r="AR498" i="1"/>
  <c r="BT493" i="1"/>
  <c r="CV488" i="1"/>
  <c r="CR485" i="1"/>
  <c r="BD483" i="1"/>
  <c r="AI500" i="1"/>
  <c r="CU486" i="1"/>
  <c r="BX482" i="1"/>
  <c r="AJ480" i="1"/>
  <c r="CZ477" i="1"/>
  <c r="AR474" i="1"/>
  <c r="DD470" i="1"/>
  <c r="BP468" i="1"/>
  <c r="X465" i="1"/>
  <c r="CN462" i="1"/>
  <c r="AV459" i="1"/>
  <c r="H457" i="1"/>
  <c r="CJ453" i="1"/>
  <c r="AK527" i="1"/>
  <c r="BO494" i="1"/>
  <c r="BA485" i="1"/>
  <c r="DC481" i="1"/>
  <c r="BO479" i="1"/>
  <c r="AA477" i="1"/>
  <c r="BW473" i="1"/>
  <c r="AU470" i="1"/>
  <c r="G468" i="1"/>
  <c r="BS464" i="1"/>
  <c r="AE462" i="1"/>
  <c r="CQ458" i="1"/>
  <c r="AY455" i="1"/>
  <c r="K453" i="1"/>
  <c r="AU508" i="1"/>
  <c r="S490" i="1"/>
  <c r="O484" i="1"/>
  <c r="AH481" i="1"/>
  <c r="CX478" i="1"/>
  <c r="DB475" i="1"/>
  <c r="BN473" i="1"/>
  <c r="V470" i="1"/>
  <c r="CL467" i="1"/>
  <c r="AT464" i="1"/>
  <c r="F462" i="1"/>
  <c r="CB502" i="1"/>
  <c r="BH497" i="1"/>
  <c r="CJ492" i="1"/>
  <c r="H488" i="1"/>
  <c r="AX485" i="1"/>
  <c r="AQ551" i="1"/>
  <c r="BA519" i="1"/>
  <c r="CQ506" i="1"/>
  <c r="O502" i="1"/>
  <c r="AQ497" i="1"/>
  <c r="BS492" i="1"/>
  <c r="CK526" i="1"/>
  <c r="BC509" i="1"/>
  <c r="CZ503" i="1"/>
  <c r="X499" i="1"/>
  <c r="AZ494" i="1"/>
  <c r="CB489" i="1"/>
  <c r="AF486" i="1"/>
  <c r="CV483" i="1"/>
  <c r="BK503" i="1"/>
  <c r="CQ487" i="1"/>
  <c r="L483" i="1"/>
  <c r="CB480" i="1"/>
  <c r="AN478" i="1"/>
  <c r="AR475" i="1"/>
  <c r="DH472" i="1"/>
  <c r="BL460" i="1"/>
  <c r="BO502" i="1"/>
  <c r="AA478" i="1"/>
  <c r="O467" i="1"/>
  <c r="BW454" i="1"/>
  <c r="CT482" i="1"/>
  <c r="Z472" i="1"/>
  <c r="CH459" i="1"/>
  <c r="CT486" i="1"/>
  <c r="DG504" i="1"/>
  <c r="AS519" i="1"/>
  <c r="BP492" i="1"/>
  <c r="S496" i="1"/>
  <c r="AV477" i="1"/>
  <c r="CN464" i="1"/>
  <c r="AF453" i="1"/>
  <c r="AY481" i="1"/>
  <c r="CE469" i="1"/>
  <c r="AM458" i="1"/>
  <c r="K488" i="1"/>
  <c r="CP474" i="1"/>
  <c r="AX463" i="1"/>
  <c r="AN492" i="1"/>
  <c r="BY517" i="1"/>
  <c r="W492" i="1"/>
  <c r="CF498" i="1"/>
  <c r="BX483" i="1"/>
  <c r="BD480" i="1"/>
  <c r="CZ468" i="1"/>
  <c r="AR457" i="1"/>
  <c r="CO485" i="1"/>
  <c r="CQ473" i="1"/>
  <c r="AY462" i="1"/>
  <c r="BQ511" i="1"/>
  <c r="N479" i="1"/>
  <c r="AT467" i="1"/>
  <c r="V457" i="1"/>
  <c r="DA485" i="1"/>
  <c r="CW473" i="1"/>
  <c r="AO462" i="1"/>
  <c r="N451" i="1"/>
  <c r="BR441" i="1"/>
  <c r="DI452" i="1"/>
  <c r="BN440" i="1"/>
  <c r="DB430" i="1"/>
  <c r="BB421" i="1"/>
  <c r="CO449" i="1"/>
  <c r="AO440" i="1"/>
  <c r="CS430" i="1"/>
  <c r="AS421" i="1"/>
  <c r="BT449" i="1"/>
  <c r="T440" i="1"/>
  <c r="BX430" i="1"/>
  <c r="AP455" i="1"/>
  <c r="M484" i="1"/>
  <c r="BM473" i="1"/>
  <c r="U462" i="1"/>
  <c r="CH450" i="1"/>
  <c r="AH441" i="1"/>
  <c r="CL431" i="1"/>
  <c r="AL422" i="1"/>
  <c r="BY450" i="1"/>
  <c r="Y441" i="1"/>
  <c r="CC431" i="1"/>
  <c r="AC422" i="1"/>
  <c r="BD450" i="1"/>
  <c r="DH440" i="1"/>
  <c r="BH431" i="1"/>
  <c r="H422" i="1"/>
  <c r="BC499" i="1"/>
  <c r="CO477" i="1"/>
  <c r="AC465" i="1"/>
  <c r="BY453" i="1"/>
  <c r="AP444" i="1"/>
  <c r="CT434" i="1"/>
  <c r="AT425" i="1"/>
  <c r="CX415" i="1"/>
  <c r="AG444" i="1"/>
  <c r="CK434" i="1"/>
  <c r="AK425" i="1"/>
  <c r="CO415" i="1"/>
  <c r="L444" i="1"/>
  <c r="BP434" i="1"/>
  <c r="P425" i="1"/>
  <c r="V452" i="1"/>
  <c r="BA480" i="1"/>
  <c r="CG468" i="1"/>
  <c r="Y457" i="1"/>
  <c r="DF446" i="1"/>
  <c r="BF437" i="1"/>
  <c r="F428" i="1"/>
  <c r="BJ418" i="1"/>
  <c r="CW446" i="1"/>
  <c r="AW437" i="1"/>
  <c r="DA427" i="1"/>
  <c r="BA418" i="1"/>
  <c r="CB446" i="1"/>
  <c r="AB437" i="1"/>
  <c r="CF427" i="1"/>
  <c r="AV419" i="1"/>
  <c r="CM447" i="1"/>
  <c r="AM438" i="1"/>
  <c r="CQ428" i="1"/>
  <c r="AQ419" i="1"/>
  <c r="CH409" i="1"/>
  <c r="AC455" i="1"/>
  <c r="BV442" i="1"/>
  <c r="BN432" i="1"/>
  <c r="N423" i="1"/>
  <c r="BA451" i="1"/>
  <c r="DE441" i="1"/>
  <c r="BE432" i="1"/>
  <c r="DI422" i="1"/>
  <c r="AF451" i="1"/>
  <c r="CJ441" i="1"/>
  <c r="AJ432" i="1"/>
  <c r="V458" i="1"/>
  <c r="AO487" i="1"/>
  <c r="BQ474" i="1"/>
  <c r="Y463" i="1"/>
  <c r="BU451" i="1"/>
  <c r="AL442" i="1"/>
  <c r="CP432" i="1"/>
  <c r="AP423" i="1"/>
  <c r="CT413" i="1"/>
  <c r="AC442" i="1"/>
  <c r="CG432" i="1"/>
  <c r="BU425" i="1"/>
  <c r="CW420" i="1"/>
  <c r="U416" i="1"/>
  <c r="T449" i="1"/>
  <c r="AV444" i="1"/>
  <c r="BX439" i="1"/>
  <c r="CZ434" i="1"/>
  <c r="X430" i="1"/>
  <c r="AZ425" i="1"/>
  <c r="AP459" i="1"/>
  <c r="DB452" i="1"/>
  <c r="DC489" i="1"/>
  <c r="AC481" i="1"/>
  <c r="CW475" i="1"/>
  <c r="AG470" i="1"/>
  <c r="BE464" i="1"/>
  <c r="CC458" i="1"/>
  <c r="DA452" i="1"/>
  <c r="AP448" i="1"/>
  <c r="BR443" i="1"/>
  <c r="CT438" i="1"/>
  <c r="R434" i="1"/>
  <c r="AT429" i="1"/>
  <c r="BV424" i="1"/>
  <c r="CX419" i="1"/>
  <c r="V415" i="1"/>
  <c r="AG448" i="1"/>
  <c r="BI443" i="1"/>
  <c r="CK438" i="1"/>
  <c r="I434" i="1"/>
  <c r="AK429" i="1"/>
  <c r="BM424" i="1"/>
  <c r="CO419" i="1"/>
  <c r="M415" i="1"/>
  <c r="L448" i="1"/>
  <c r="AN443" i="1"/>
  <c r="BP438" i="1"/>
  <c r="CR433" i="1"/>
  <c r="P429" i="1"/>
  <c r="AR424" i="1"/>
  <c r="Z457" i="1"/>
  <c r="AW532" i="1"/>
  <c r="CC485" i="1"/>
  <c r="CC479" i="1"/>
  <c r="CK473" i="1"/>
  <c r="DI467" i="1"/>
  <c r="AC462" i="1"/>
  <c r="BM455" i="1"/>
  <c r="DF450" i="1"/>
  <c r="AD446" i="1"/>
  <c r="BF441" i="1"/>
  <c r="CH436" i="1"/>
  <c r="F432" i="1"/>
  <c r="AH427" i="1"/>
  <c r="BJ422" i="1"/>
  <c r="CL417" i="1"/>
  <c r="CW450" i="1"/>
  <c r="U446" i="1"/>
  <c r="AW441" i="1"/>
  <c r="BY436" i="1"/>
  <c r="DA431" i="1"/>
  <c r="Y427" i="1"/>
  <c r="BA422" i="1"/>
  <c r="CC417" i="1"/>
  <c r="CB450" i="1"/>
  <c r="DD445" i="1"/>
  <c r="AB441" i="1"/>
  <c r="BD436" i="1"/>
  <c r="CF431" i="1"/>
  <c r="DH426" i="1"/>
  <c r="AF422" i="1"/>
  <c r="BX418" i="1"/>
  <c r="CZ413" i="1"/>
  <c r="K447" i="1"/>
  <c r="AM442" i="1"/>
  <c r="BO437" i="1"/>
  <c r="CQ432" i="1"/>
  <c r="O428" i="1"/>
  <c r="AQ423" i="1"/>
  <c r="BS418" i="1"/>
  <c r="CH413" i="1"/>
  <c r="F409" i="1"/>
  <c r="AH404" i="1"/>
  <c r="BE462" i="1"/>
  <c r="BA453" i="1"/>
  <c r="AD447" i="1"/>
  <c r="CT440" i="1"/>
  <c r="DF435" i="1"/>
  <c r="AD431" i="1"/>
  <c r="BF426" i="1"/>
  <c r="CH421" i="1"/>
  <c r="F417" i="1"/>
  <c r="Q450" i="1"/>
  <c r="AS445" i="1"/>
  <c r="BU440" i="1"/>
  <c r="CW435" i="1"/>
  <c r="U431" i="1"/>
  <c r="AW426" i="1"/>
  <c r="BY421" i="1"/>
  <c r="DA416" i="1"/>
  <c r="CZ449" i="1"/>
  <c r="X445" i="1"/>
  <c r="AZ440" i="1"/>
  <c r="CB435" i="1"/>
  <c r="DD430" i="1"/>
  <c r="AB426" i="1"/>
  <c r="BV455" i="1"/>
  <c r="CS514" i="1"/>
  <c r="BY484" i="1"/>
  <c r="Y479" i="1"/>
  <c r="AG473" i="1"/>
  <c r="BE467" i="1"/>
  <c r="CO460" i="1"/>
  <c r="I455" i="1"/>
  <c r="J451" i="1"/>
  <c r="BZ448" i="1"/>
  <c r="AL446" i="1"/>
  <c r="DB443" i="1"/>
  <c r="BN441" i="1"/>
  <c r="Z439" i="1"/>
  <c r="CP436" i="1"/>
  <c r="BB434" i="1"/>
  <c r="N432" i="1"/>
  <c r="CD429" i="1"/>
  <c r="AP427" i="1"/>
  <c r="DF424" i="1"/>
  <c r="BR422" i="1"/>
  <c r="AD420" i="1"/>
  <c r="CT417" i="1"/>
  <c r="BF415" i="1"/>
  <c r="DE450" i="1"/>
  <c r="BQ448" i="1"/>
  <c r="AC446" i="1"/>
  <c r="CS443" i="1"/>
  <c r="BE441" i="1"/>
  <c r="Q439" i="1"/>
  <c r="CG436" i="1"/>
  <c r="AS434" i="1"/>
  <c r="DI431" i="1"/>
  <c r="BU429" i="1"/>
  <c r="AG427" i="1"/>
  <c r="CW424" i="1"/>
  <c r="BI422" i="1"/>
  <c r="U420" i="1"/>
  <c r="CK417" i="1"/>
  <c r="AW415" i="1"/>
  <c r="CJ450" i="1"/>
  <c r="AV448" i="1"/>
  <c r="H446" i="1"/>
  <c r="BX443" i="1"/>
  <c r="AJ441" i="1"/>
  <c r="CZ438" i="1"/>
  <c r="BL436" i="1"/>
  <c r="X434" i="1"/>
  <c r="CN431" i="1"/>
  <c r="AZ429" i="1"/>
  <c r="L427" i="1"/>
  <c r="CB424" i="1"/>
  <c r="AN422" i="1"/>
  <c r="R458" i="1"/>
  <c r="BN454" i="1"/>
  <c r="Z452" i="1"/>
  <c r="CQ501" i="1"/>
  <c r="AG487" i="1"/>
  <c r="CS482" i="1"/>
  <c r="BE480" i="1"/>
  <c r="Q478" i="1"/>
  <c r="BM474" i="1"/>
  <c r="Y472" i="1"/>
  <c r="DA468" i="1"/>
  <c r="BI465" i="1"/>
  <c r="U463" i="1"/>
  <c r="CG459" i="1"/>
  <c r="AS457" i="1"/>
  <c r="DE453" i="1"/>
  <c r="BQ451" i="1"/>
  <c r="AT449" i="1"/>
  <c r="F447" i="1"/>
  <c r="BV444" i="1"/>
  <c r="AH442" i="1"/>
  <c r="CX439" i="1"/>
  <c r="BJ437" i="1"/>
  <c r="V435" i="1"/>
  <c r="CL432" i="1"/>
  <c r="AX430" i="1"/>
  <c r="J428" i="1"/>
  <c r="BZ425" i="1"/>
  <c r="AL423" i="1"/>
  <c r="DB420" i="1"/>
  <c r="BN418" i="1"/>
  <c r="Z416" i="1"/>
  <c r="CF451" i="1"/>
  <c r="AK449" i="1"/>
  <c r="DA446" i="1"/>
  <c r="BM444" i="1"/>
  <c r="Y442" i="1"/>
  <c r="CO439" i="1"/>
  <c r="BA437" i="1"/>
  <c r="M435" i="1"/>
  <c r="CC432" i="1"/>
  <c r="AO430" i="1"/>
  <c r="DE427" i="1"/>
  <c r="BQ425" i="1"/>
  <c r="AC423" i="1"/>
  <c r="CS420" i="1"/>
  <c r="BE418" i="1"/>
  <c r="Q416" i="1"/>
  <c r="BD451" i="1"/>
  <c r="P449" i="1"/>
  <c r="CF446" i="1"/>
  <c r="AR444" i="1"/>
  <c r="DH441" i="1"/>
  <c r="BT439" i="1"/>
  <c r="AF437" i="1"/>
  <c r="CV434" i="1"/>
  <c r="BH432" i="1"/>
  <c r="T430" i="1"/>
  <c r="CJ427" i="1"/>
  <c r="AV425" i="1"/>
  <c r="H423" i="1"/>
  <c r="BB458" i="1"/>
  <c r="CP454" i="1"/>
  <c r="BB452" i="1"/>
  <c r="CY503" i="1"/>
  <c r="G488" i="1"/>
  <c r="Q483" i="1"/>
  <c r="CG480" i="1"/>
  <c r="AS478" i="1"/>
  <c r="AW475" i="1"/>
  <c r="I473" i="1"/>
  <c r="BU469" i="1"/>
  <c r="AG467" i="1"/>
  <c r="CS463" i="1"/>
  <c r="BA460" i="1"/>
  <c r="M458" i="1"/>
  <c r="CO454" i="1"/>
  <c r="BA452" i="1"/>
  <c r="AD450" i="1"/>
  <c r="CT447" i="1"/>
  <c r="BF445" i="1"/>
  <c r="R443" i="1"/>
  <c r="CH440" i="1"/>
  <c r="AT438" i="1"/>
  <c r="F436" i="1"/>
  <c r="BV433" i="1"/>
  <c r="AH431" i="1"/>
  <c r="CX428" i="1"/>
  <c r="BJ426" i="1"/>
  <c r="V424" i="1"/>
  <c r="CL421" i="1"/>
  <c r="AX419" i="1"/>
  <c r="J417" i="1"/>
  <c r="BZ414" i="1"/>
  <c r="U450" i="1"/>
  <c r="CK447" i="1"/>
  <c r="AW445" i="1"/>
  <c r="I443" i="1"/>
  <c r="BY440" i="1"/>
  <c r="AK438" i="1"/>
  <c r="DA435" i="1"/>
  <c r="BM433" i="1"/>
  <c r="Y431" i="1"/>
  <c r="CO428" i="1"/>
  <c r="BA426" i="1"/>
  <c r="M424" i="1"/>
  <c r="CC421" i="1"/>
  <c r="AO419" i="1"/>
  <c r="DE416" i="1"/>
  <c r="BQ414" i="1"/>
  <c r="DD449" i="1"/>
  <c r="BP447" i="1"/>
  <c r="AB445" i="1"/>
  <c r="CR442" i="1"/>
  <c r="BD440" i="1"/>
  <c r="P438" i="1"/>
  <c r="CF435" i="1"/>
  <c r="AR433" i="1"/>
  <c r="DH430" i="1"/>
  <c r="BT428" i="1"/>
  <c r="AF426" i="1"/>
  <c r="CV423" i="1"/>
  <c r="BH421" i="1"/>
  <c r="AJ420" i="1"/>
  <c r="CZ417" i="1"/>
  <c r="BL415" i="1"/>
  <c r="K451" i="1"/>
  <c r="CA448" i="1"/>
  <c r="AM446" i="1"/>
  <c r="DC443" i="1"/>
  <c r="BO441" i="1"/>
  <c r="AA439" i="1"/>
  <c r="CQ436" i="1"/>
  <c r="BC434" i="1"/>
  <c r="O432" i="1"/>
  <c r="CE429" i="1"/>
  <c r="AQ427" i="1"/>
  <c r="DG424" i="1"/>
  <c r="BS422" i="1"/>
  <c r="AE420" i="1"/>
  <c r="CU417" i="1"/>
  <c r="BG415" i="1"/>
  <c r="F413" i="1"/>
  <c r="BV410" i="1"/>
  <c r="AH408" i="1"/>
  <c r="CX405" i="1"/>
  <c r="CG469" i="1"/>
  <c r="Y462" i="1"/>
  <c r="BA457" i="1"/>
  <c r="U453" i="1"/>
  <c r="Z450" i="1"/>
  <c r="N447" i="1"/>
  <c r="CP443" i="1"/>
  <c r="CD440" i="1"/>
  <c r="Z438" i="1"/>
  <c r="CP435" i="1"/>
  <c r="BB433" i="1"/>
  <c r="N431" i="1"/>
  <c r="CD428" i="1"/>
  <c r="AP426" i="1"/>
  <c r="DF423" i="1"/>
  <c r="BR421" i="1"/>
  <c r="AD419" i="1"/>
  <c r="CT416" i="1"/>
  <c r="BF414" i="1"/>
  <c r="DE449" i="1"/>
  <c r="BQ447" i="1"/>
  <c r="AC445" i="1"/>
  <c r="CS442" i="1"/>
  <c r="BE440" i="1"/>
  <c r="Q438" i="1"/>
  <c r="CG435" i="1"/>
  <c r="AS433" i="1"/>
  <c r="DI430" i="1"/>
  <c r="BU428" i="1"/>
  <c r="AG426" i="1"/>
  <c r="CW423" i="1"/>
  <c r="BI421" i="1"/>
  <c r="U419" i="1"/>
  <c r="CK416" i="1"/>
  <c r="AW414" i="1"/>
  <c r="CJ449" i="1"/>
  <c r="AV447" i="1"/>
  <c r="H445" i="1"/>
  <c r="BX442" i="1"/>
  <c r="AJ440" i="1"/>
  <c r="CZ437" i="1"/>
  <c r="BL435" i="1"/>
  <c r="X433" i="1"/>
  <c r="CN430" i="1"/>
  <c r="AZ428" i="1"/>
  <c r="L426" i="1"/>
  <c r="CB423" i="1"/>
  <c r="BF455" i="1"/>
  <c r="R453" i="1"/>
  <c r="BS510" i="1"/>
  <c r="CA490" i="1"/>
  <c r="AS484" i="1"/>
  <c r="AW481" i="1"/>
  <c r="I479" i="1"/>
  <c r="BE475" i="1"/>
  <c r="Q473" i="1"/>
  <c r="CC469" i="1"/>
  <c r="AO467" i="1"/>
  <c r="M464" i="1"/>
  <c r="BY460" i="1"/>
  <c r="AK458" i="1"/>
  <c r="CW454" i="1"/>
  <c r="BI452" i="1"/>
  <c r="AL450" i="1"/>
  <c r="DB447" i="1"/>
  <c r="BN445" i="1"/>
  <c r="Z443" i="1"/>
  <c r="CP440" i="1"/>
  <c r="BB438" i="1"/>
  <c r="N436" i="1"/>
  <c r="CD433" i="1"/>
  <c r="AP431" i="1"/>
  <c r="DF428" i="1"/>
  <c r="BR426" i="1"/>
  <c r="AD424" i="1"/>
  <c r="CT421" i="1"/>
  <c r="BF419" i="1"/>
  <c r="R417" i="1"/>
  <c r="CH414" i="1"/>
  <c r="AC450" i="1"/>
  <c r="CS447" i="1"/>
  <c r="BE445" i="1"/>
  <c r="Q443" i="1"/>
  <c r="CG440" i="1"/>
  <c r="AS438" i="1"/>
  <c r="DI435" i="1"/>
  <c r="BU433" i="1"/>
  <c r="AG431" i="1"/>
  <c r="CW428" i="1"/>
  <c r="BI426" i="1"/>
  <c r="U424" i="1"/>
  <c r="CK421" i="1"/>
  <c r="AW419" i="1"/>
  <c r="I417" i="1"/>
  <c r="BY414" i="1"/>
  <c r="H450" i="1"/>
  <c r="BX447" i="1"/>
  <c r="AJ445" i="1"/>
  <c r="CZ442" i="1"/>
  <c r="BL440" i="1"/>
  <c r="X438" i="1"/>
  <c r="CN435" i="1"/>
  <c r="AZ433" i="1"/>
  <c r="L431" i="1"/>
  <c r="CB428" i="1"/>
  <c r="AN426" i="1"/>
  <c r="DD423" i="1"/>
  <c r="BP421" i="1"/>
  <c r="AD457" i="1"/>
  <c r="CP453" i="1"/>
  <c r="CK534" i="1"/>
  <c r="CY495" i="1"/>
  <c r="CK485" i="1"/>
  <c r="Q482" i="1"/>
  <c r="CG479" i="1"/>
  <c r="AS477" i="1"/>
  <c r="CO473" i="1"/>
  <c r="BM470" i="1"/>
  <c r="Y468" i="1"/>
  <c r="CK464" i="1"/>
  <c r="AW462" i="1"/>
  <c r="DI458" i="1"/>
  <c r="BQ455" i="1"/>
  <c r="AC453" i="1"/>
  <c r="F451" i="1"/>
  <c r="BV448" i="1"/>
  <c r="AH446" i="1"/>
  <c r="CX443" i="1"/>
  <c r="BJ441" i="1"/>
  <c r="V439" i="1"/>
  <c r="CL436" i="1"/>
  <c r="AX434" i="1"/>
  <c r="J432" i="1"/>
  <c r="BZ429" i="1"/>
  <c r="AL427" i="1"/>
  <c r="DB424" i="1"/>
  <c r="BN422" i="1"/>
  <c r="Z420" i="1"/>
  <c r="CP417" i="1"/>
  <c r="BB415" i="1"/>
  <c r="DA450" i="1"/>
  <c r="BM448" i="1"/>
  <c r="Y446" i="1"/>
  <c r="CO443" i="1"/>
  <c r="BA441" i="1"/>
  <c r="M439" i="1"/>
  <c r="CC436" i="1"/>
  <c r="AO434" i="1"/>
  <c r="DE431" i="1"/>
  <c r="BQ429" i="1"/>
  <c r="AC427" i="1"/>
  <c r="CS424" i="1"/>
  <c r="BE422" i="1"/>
  <c r="Q420" i="1"/>
  <c r="CG417" i="1"/>
  <c r="AS415" i="1"/>
  <c r="CF450" i="1"/>
  <c r="AR448" i="1"/>
  <c r="DH445" i="1"/>
  <c r="BT443" i="1"/>
  <c r="AF441" i="1"/>
  <c r="CV438" i="1"/>
  <c r="BH436" i="1"/>
  <c r="T434" i="1"/>
  <c r="CJ431" i="1"/>
  <c r="AV429" i="1"/>
  <c r="H427" i="1"/>
  <c r="BX424" i="1"/>
  <c r="AJ422" i="1"/>
  <c r="BF457" i="1"/>
  <c r="N454" i="1"/>
  <c r="CD451" i="1"/>
  <c r="DG497" i="1"/>
  <c r="AK486" i="1"/>
  <c r="AS482" i="1"/>
  <c r="DI479" i="1"/>
  <c r="BU477" i="1"/>
  <c r="BY474" i="1"/>
  <c r="AK472" i="1"/>
  <c r="CW468" i="1"/>
  <c r="BE465" i="1"/>
  <c r="Q463" i="1"/>
  <c r="CC459" i="1"/>
  <c r="AO457" i="1"/>
  <c r="M454" i="1"/>
  <c r="CC451" i="1"/>
  <c r="BF449" i="1"/>
  <c r="R447" i="1"/>
  <c r="CH444" i="1"/>
  <c r="AT442" i="1"/>
  <c r="F440" i="1"/>
  <c r="BV437" i="1"/>
  <c r="AH435" i="1"/>
  <c r="CX432" i="1"/>
  <c r="BJ430" i="1"/>
  <c r="V428" i="1"/>
  <c r="CL425" i="1"/>
  <c r="AX423" i="1"/>
  <c r="J421" i="1"/>
  <c r="BZ418" i="1"/>
  <c r="AL416" i="1"/>
  <c r="DB413" i="1"/>
  <c r="AW449" i="1"/>
  <c r="I447" i="1"/>
  <c r="BY444" i="1"/>
  <c r="AK442" i="1"/>
  <c r="DA439" i="1"/>
  <c r="BM437" i="1"/>
  <c r="Y435" i="1"/>
  <c r="CO432" i="1"/>
  <c r="BA430" i="1"/>
  <c r="M428" i="1"/>
  <c r="CC425" i="1"/>
  <c r="AO423" i="1"/>
  <c r="DE420" i="1"/>
  <c r="BQ418" i="1"/>
  <c r="AC416" i="1"/>
  <c r="BR451" i="1"/>
  <c r="AB449" i="1"/>
  <c r="CR446" i="1"/>
  <c r="BD444" i="1"/>
  <c r="P442" i="1"/>
  <c r="CF439" i="1"/>
  <c r="AR437" i="1"/>
  <c r="DH434" i="1"/>
  <c r="BT432" i="1"/>
  <c r="AF430" i="1"/>
  <c r="CV427" i="1"/>
  <c r="BH425" i="1"/>
  <c r="T423" i="1"/>
  <c r="CJ420" i="1"/>
  <c r="BL419" i="1"/>
  <c r="X417" i="1"/>
  <c r="CN414" i="1"/>
  <c r="AM450" i="1"/>
  <c r="DC447" i="1"/>
  <c r="BO445" i="1"/>
  <c r="AA443" i="1"/>
  <c r="CQ440" i="1"/>
  <c r="BC438" i="1"/>
  <c r="O436" i="1"/>
  <c r="CE433" i="1"/>
  <c r="AQ431" i="1"/>
  <c r="DG428" i="1"/>
  <c r="BS426" i="1"/>
  <c r="AE424" i="1"/>
  <c r="CU421" i="1"/>
  <c r="BG419" i="1"/>
  <c r="S417" i="1"/>
  <c r="CI414" i="1"/>
  <c r="AH412" i="1"/>
  <c r="CX409" i="1"/>
  <c r="BJ407" i="1"/>
  <c r="V405" i="1"/>
  <c r="CL402" i="1"/>
  <c r="AX400" i="1"/>
  <c r="J398" i="1"/>
  <c r="BZ395" i="1"/>
  <c r="AL393" i="1"/>
  <c r="DB390" i="1"/>
  <c r="BN388" i="1"/>
  <c r="Z386" i="1"/>
  <c r="CP383" i="1"/>
  <c r="CP403" i="1"/>
  <c r="R400" i="1"/>
  <c r="F397" i="1"/>
  <c r="CH393" i="1"/>
  <c r="BV390" i="1"/>
  <c r="BJ387" i="1"/>
  <c r="AH384" i="1"/>
  <c r="BB381" i="1"/>
  <c r="N379" i="1"/>
  <c r="CD376" i="1"/>
  <c r="AP374" i="1"/>
  <c r="DF371" i="1"/>
  <c r="BR369" i="1"/>
  <c r="AD367" i="1"/>
  <c r="CT364" i="1"/>
  <c r="BF362" i="1"/>
  <c r="BQ413" i="1"/>
  <c r="AC411" i="1"/>
  <c r="CS408" i="1"/>
  <c r="BE406" i="1"/>
  <c r="Q404" i="1"/>
  <c r="CG401" i="1"/>
  <c r="AS399" i="1"/>
  <c r="DI396" i="1"/>
  <c r="BU394" i="1"/>
  <c r="AG392" i="1"/>
  <c r="CW389" i="1"/>
  <c r="BI387" i="1"/>
  <c r="U385" i="1"/>
  <c r="CK382" i="1"/>
  <c r="AW380" i="1"/>
  <c r="I378" i="1"/>
  <c r="BY375" i="1"/>
  <c r="AK373" i="1"/>
  <c r="DA370" i="1"/>
  <c r="BM368" i="1"/>
  <c r="Y366" i="1"/>
  <c r="CO363" i="1"/>
  <c r="BA361" i="1"/>
  <c r="AR419" i="1"/>
  <c r="DH416" i="1"/>
  <c r="BT414" i="1"/>
  <c r="S450" i="1"/>
  <c r="CI447" i="1"/>
  <c r="AU445" i="1"/>
  <c r="G443" i="1"/>
  <c r="BW440" i="1"/>
  <c r="AI438" i="1"/>
  <c r="CY435" i="1"/>
  <c r="BK433" i="1"/>
  <c r="W431" i="1"/>
  <c r="CM428" i="1"/>
  <c r="AY426" i="1"/>
  <c r="K424" i="1"/>
  <c r="CA421" i="1"/>
  <c r="AM419" i="1"/>
  <c r="DC416" i="1"/>
  <c r="BO414" i="1"/>
  <c r="N412" i="1"/>
  <c r="CD409" i="1"/>
  <c r="AP407" i="1"/>
  <c r="DF404" i="1"/>
  <c r="BR402" i="1"/>
  <c r="AD400" i="1"/>
  <c r="CT397" i="1"/>
  <c r="BF395" i="1"/>
  <c r="R393" i="1"/>
  <c r="CH390" i="1"/>
  <c r="AT388" i="1"/>
  <c r="F386" i="1"/>
  <c r="BV383" i="1"/>
  <c r="AH381" i="1"/>
  <c r="CX378" i="1"/>
  <c r="BJ376" i="1"/>
  <c r="V374" i="1"/>
  <c r="CL371" i="1"/>
  <c r="AX369" i="1"/>
  <c r="J367" i="1"/>
  <c r="BZ364" i="1"/>
  <c r="AL362" i="1"/>
  <c r="AW413" i="1"/>
  <c r="I411" i="1"/>
  <c r="BY408" i="1"/>
  <c r="AK406" i="1"/>
  <c r="DA403" i="1"/>
  <c r="BM401" i="1"/>
  <c r="Y399" i="1"/>
  <c r="CO396" i="1"/>
  <c r="BA394" i="1"/>
  <c r="M392" i="1"/>
  <c r="CC389" i="1"/>
  <c r="AO387" i="1"/>
  <c r="DE384" i="1"/>
  <c r="BQ382" i="1"/>
  <c r="AC380" i="1"/>
  <c r="CS377" i="1"/>
  <c r="BE375" i="1"/>
  <c r="Q373" i="1"/>
  <c r="CG370" i="1"/>
  <c r="AS368" i="1"/>
  <c r="DI365" i="1"/>
  <c r="BU363" i="1"/>
  <c r="AG361" i="1"/>
  <c r="BD419" i="1"/>
  <c r="P417" i="1"/>
  <c r="CF414" i="1"/>
  <c r="AE450" i="1"/>
  <c r="CU447" i="1"/>
  <c r="BG445" i="1"/>
  <c r="S443" i="1"/>
  <c r="CI440" i="1"/>
  <c r="AU438" i="1"/>
  <c r="G436" i="1"/>
  <c r="BW433" i="1"/>
  <c r="AI431" i="1"/>
  <c r="CY428" i="1"/>
  <c r="BK426" i="1"/>
  <c r="W424" i="1"/>
  <c r="CM421" i="1"/>
  <c r="AY419" i="1"/>
  <c r="K417" i="1"/>
  <c r="CA414" i="1"/>
  <c r="Z412" i="1"/>
  <c r="CP409" i="1"/>
  <c r="BB407" i="1"/>
  <c r="N405" i="1"/>
  <c r="CD402" i="1"/>
  <c r="AP400" i="1"/>
  <c r="DF397" i="1"/>
  <c r="BR395" i="1"/>
  <c r="AD393" i="1"/>
  <c r="CT390" i="1"/>
  <c r="BF388" i="1"/>
  <c r="R386" i="1"/>
  <c r="CH383" i="1"/>
  <c r="AT381" i="1"/>
  <c r="F379" i="1"/>
  <c r="BV376" i="1"/>
  <c r="AH374" i="1"/>
  <c r="CX371" i="1"/>
  <c r="BJ369" i="1"/>
  <c r="V367" i="1"/>
  <c r="CL364" i="1"/>
  <c r="AX362" i="1"/>
  <c r="BI413" i="1"/>
  <c r="U411" i="1"/>
  <c r="CK408" i="1"/>
  <c r="AW406" i="1"/>
  <c r="I404" i="1"/>
  <c r="BY401" i="1"/>
  <c r="AK399" i="1"/>
  <c r="DA396" i="1"/>
  <c r="BM394" i="1"/>
  <c r="Y392" i="1"/>
  <c r="CO389" i="1"/>
  <c r="BA387" i="1"/>
  <c r="M385" i="1"/>
  <c r="CC382" i="1"/>
  <c r="AO380" i="1"/>
  <c r="DE377" i="1"/>
  <c r="BQ375" i="1"/>
  <c r="AC373" i="1"/>
  <c r="CS370" i="1"/>
  <c r="BE368" i="1"/>
  <c r="Q366" i="1"/>
  <c r="CG363" i="1"/>
  <c r="BH422" i="1"/>
  <c r="CR418" i="1"/>
  <c r="BD416" i="1"/>
  <c r="P414" i="1"/>
  <c r="BS449" i="1"/>
  <c r="AE447" i="1"/>
  <c r="CU444" i="1"/>
  <c r="BG442" i="1"/>
  <c r="S440" i="1"/>
  <c r="CI437" i="1"/>
  <c r="AU435" i="1"/>
  <c r="G433" i="1"/>
  <c r="BW430" i="1"/>
  <c r="AI428" i="1"/>
  <c r="CY425" i="1"/>
  <c r="BK423" i="1"/>
  <c r="W421" i="1"/>
  <c r="CM418" i="1"/>
  <c r="AY416" i="1"/>
  <c r="K414" i="1"/>
  <c r="BN411" i="1"/>
  <c r="Z409" i="1"/>
  <c r="CP406" i="1"/>
  <c r="BB404" i="1"/>
  <c r="N402" i="1"/>
  <c r="CD399" i="1"/>
  <c r="AP397" i="1"/>
  <c r="DF394" i="1"/>
  <c r="BR392" i="1"/>
  <c r="AD390" i="1"/>
  <c r="CT387" i="1"/>
  <c r="BF385" i="1"/>
  <c r="R383" i="1"/>
  <c r="CH380" i="1"/>
  <c r="AT378" i="1"/>
  <c r="F376" i="1"/>
  <c r="BV373" i="1"/>
  <c r="AH371" i="1"/>
  <c r="CX368" i="1"/>
  <c r="BJ366" i="1"/>
  <c r="V364" i="1"/>
  <c r="CL361" i="1"/>
  <c r="CW412" i="1"/>
  <c r="BI410" i="1"/>
  <c r="U408" i="1"/>
  <c r="CK405" i="1"/>
  <c r="AW403" i="1"/>
  <c r="I401" i="1"/>
  <c r="BY398" i="1"/>
  <c r="AK396" i="1"/>
  <c r="DA393" i="1"/>
  <c r="BM391" i="1"/>
  <c r="Y389" i="1"/>
  <c r="CO386" i="1"/>
  <c r="BA384" i="1"/>
  <c r="M382" i="1"/>
  <c r="CC379" i="1"/>
  <c r="AO377" i="1"/>
  <c r="DE374" i="1"/>
  <c r="BQ372" i="1"/>
  <c r="AC370" i="1"/>
  <c r="CS367" i="1"/>
  <c r="BE365" i="1"/>
  <c r="Q363" i="1"/>
  <c r="CG360" i="1"/>
  <c r="CO360" i="1"/>
  <c r="DA357" i="1"/>
  <c r="BM355" i="1"/>
  <c r="Y353" i="1"/>
  <c r="CO350" i="1"/>
  <c r="BA348" i="1"/>
  <c r="M346" i="1"/>
  <c r="CC343" i="1"/>
  <c r="AO341" i="1"/>
  <c r="AR412" i="1"/>
  <c r="DH409" i="1"/>
  <c r="BT407" i="1"/>
  <c r="AF405" i="1"/>
  <c r="CV402" i="1"/>
  <c r="BH400" i="1"/>
  <c r="T398" i="1"/>
  <c r="CJ395" i="1"/>
  <c r="AV393" i="1"/>
  <c r="H391" i="1"/>
  <c r="BX388" i="1"/>
  <c r="AJ386" i="1"/>
  <c r="CZ383" i="1"/>
  <c r="BL381" i="1"/>
  <c r="X379" i="1"/>
  <c r="CN376" i="1"/>
  <c r="AP402" i="1"/>
  <c r="N399" i="1"/>
  <c r="DF395" i="1"/>
  <c r="CT392" i="1"/>
  <c r="BR389" i="1"/>
  <c r="BF386" i="1"/>
  <c r="AT383" i="1"/>
  <c r="CD380" i="1"/>
  <c r="AP378" i="1"/>
  <c r="DF375" i="1"/>
  <c r="BR373" i="1"/>
  <c r="AD371" i="1"/>
  <c r="CT368" i="1"/>
  <c r="BF366" i="1"/>
  <c r="R364" i="1"/>
  <c r="CH361" i="1"/>
  <c r="CS412" i="1"/>
  <c r="BE410" i="1"/>
  <c r="Q408" i="1"/>
  <c r="CG405" i="1"/>
  <c r="AS403" i="1"/>
  <c r="DI400" i="1"/>
  <c r="BU398" i="1"/>
  <c r="AG396" i="1"/>
  <c r="CW393" i="1"/>
  <c r="BI391" i="1"/>
  <c r="U389" i="1"/>
  <c r="CK386" i="1"/>
  <c r="AW384" i="1"/>
  <c r="I382" i="1"/>
  <c r="BY379" i="1"/>
  <c r="AK377" i="1"/>
  <c r="DA374" i="1"/>
  <c r="BM372" i="1"/>
  <c r="Y370" i="1"/>
  <c r="CO367" i="1"/>
  <c r="BA365" i="1"/>
  <c r="M363" i="1"/>
  <c r="BT421" i="1"/>
  <c r="BT418" i="1"/>
  <c r="AF416" i="1"/>
  <c r="CV413" i="1"/>
  <c r="AU449" i="1"/>
  <c r="G447" i="1"/>
  <c r="BW444" i="1"/>
  <c r="AI442" i="1"/>
  <c r="CY439" i="1"/>
  <c r="BK437" i="1"/>
  <c r="W435" i="1"/>
  <c r="CM432" i="1"/>
  <c r="AY430" i="1"/>
  <c r="K428" i="1"/>
  <c r="CA425" i="1"/>
  <c r="AM423" i="1"/>
  <c r="DC420" i="1"/>
  <c r="BO418" i="1"/>
  <c r="AA416" i="1"/>
  <c r="CD413" i="1"/>
  <c r="AP411" i="1"/>
  <c r="DF408" i="1"/>
  <c r="BR406" i="1"/>
  <c r="AD404" i="1"/>
  <c r="CT401" i="1"/>
  <c r="BF399" i="1"/>
  <c r="R397" i="1"/>
  <c r="CH394" i="1"/>
  <c r="AT392" i="1"/>
  <c r="F390" i="1"/>
  <c r="BV387" i="1"/>
  <c r="AH385" i="1"/>
  <c r="CX382" i="1"/>
  <c r="BJ380" i="1"/>
  <c r="BP469" i="1"/>
  <c r="X458" i="1"/>
  <c r="BA487" i="1"/>
  <c r="AE475" i="1"/>
  <c r="CA463" i="1"/>
  <c r="AI452" i="1"/>
  <c r="BF480" i="1"/>
  <c r="CL468" i="1"/>
  <c r="AV500" i="1"/>
  <c r="BF484" i="1"/>
  <c r="AE500" i="1"/>
  <c r="CN506" i="1"/>
  <c r="CR487" i="1"/>
  <c r="CQ485" i="1"/>
  <c r="CR473" i="1"/>
  <c r="AZ462" i="1"/>
  <c r="CY510" i="1"/>
  <c r="K479" i="1"/>
  <c r="AQ467" i="1"/>
  <c r="CY454" i="1"/>
  <c r="R483" i="1"/>
  <c r="BB472" i="1"/>
  <c r="F460" i="1"/>
  <c r="BP487" i="1"/>
  <c r="AU506" i="1"/>
  <c r="DI524" i="1"/>
  <c r="DH493" i="1"/>
  <c r="CI501" i="1"/>
  <c r="P478" i="1"/>
  <c r="BH465" i="1"/>
  <c r="DD453" i="1"/>
  <c r="S482" i="1"/>
  <c r="AY470" i="1"/>
  <c r="G459" i="1"/>
  <c r="CU490" i="1"/>
  <c r="BJ475" i="1"/>
  <c r="DF463" i="1"/>
  <c r="CX453" i="1"/>
  <c r="Y482" i="1"/>
  <c r="BE470" i="1"/>
  <c r="M459" i="1"/>
  <c r="CD448" i="1"/>
  <c r="U469" i="1"/>
  <c r="J450" i="1"/>
  <c r="J438" i="1"/>
  <c r="BN428" i="1"/>
  <c r="N419" i="1"/>
  <c r="BA447" i="1"/>
  <c r="DE437" i="1"/>
  <c r="BE428" i="1"/>
  <c r="DI418" i="1"/>
  <c r="AF447" i="1"/>
  <c r="CJ437" i="1"/>
  <c r="AJ428" i="1"/>
  <c r="DF452" i="1"/>
  <c r="AG481" i="1"/>
  <c r="U470" i="1"/>
  <c r="CG458" i="1"/>
  <c r="AT448" i="1"/>
  <c r="CX438" i="1"/>
  <c r="AX429" i="1"/>
  <c r="DB419" i="1"/>
  <c r="AK448" i="1"/>
  <c r="CO438" i="1"/>
  <c r="AO429" i="1"/>
  <c r="CS419" i="1"/>
  <c r="P448" i="1"/>
  <c r="BT438" i="1"/>
  <c r="T429" i="1"/>
  <c r="CD457" i="1"/>
  <c r="BY486" i="1"/>
  <c r="AG474" i="1"/>
  <c r="CS462" i="1"/>
  <c r="BB451" i="1"/>
  <c r="DF441" i="1"/>
  <c r="BF432" i="1"/>
  <c r="F423" i="1"/>
  <c r="AS451" i="1"/>
  <c r="CW441" i="1"/>
  <c r="AW432" i="1"/>
  <c r="DA422" i="1"/>
  <c r="X451" i="1"/>
  <c r="CB441" i="1"/>
  <c r="AB432" i="1"/>
  <c r="CF422" i="1"/>
  <c r="BK501" i="1"/>
  <c r="M478" i="1"/>
  <c r="AO465" i="1"/>
  <c r="DA453" i="1"/>
  <c r="BR444" i="1"/>
  <c r="R435" i="1"/>
  <c r="BV425" i="1"/>
  <c r="V416" i="1"/>
  <c r="BI444" i="1"/>
  <c r="I435" i="1"/>
  <c r="BM425" i="1"/>
  <c r="M416" i="1"/>
  <c r="AN444" i="1"/>
  <c r="CR434" i="1"/>
  <c r="AR425" i="1"/>
  <c r="H417" i="1"/>
  <c r="AY445" i="1"/>
  <c r="DC435" i="1"/>
  <c r="BC426" i="1"/>
  <c r="DG416" i="1"/>
  <c r="AT407" i="1"/>
  <c r="DE451" i="1"/>
  <c r="BZ439" i="1"/>
  <c r="Z430" i="1"/>
  <c r="CD420" i="1"/>
  <c r="M449" i="1"/>
  <c r="BQ439" i="1"/>
  <c r="Q430" i="1"/>
  <c r="BU420" i="1"/>
  <c r="CV448" i="1"/>
  <c r="AV439" i="1"/>
  <c r="CZ429" i="1"/>
  <c r="BR454" i="1"/>
  <c r="CW482" i="1"/>
  <c r="AC472" i="1"/>
  <c r="CK459" i="1"/>
  <c r="AX449" i="1"/>
  <c r="DB439" i="1"/>
  <c r="BB430" i="1"/>
  <c r="DF420" i="1"/>
  <c r="AO449" i="1"/>
  <c r="CS439" i="1"/>
  <c r="AS430" i="1"/>
  <c r="BA424" i="1"/>
  <c r="CC419" i="1"/>
  <c r="DE414" i="1"/>
  <c r="DD447" i="1"/>
  <c r="AB443" i="1"/>
  <c r="BD438" i="1"/>
  <c r="CF433" i="1"/>
  <c r="DH428" i="1"/>
  <c r="AF424" i="1"/>
  <c r="BJ457" i="1"/>
  <c r="CH451" i="1"/>
  <c r="AS486" i="1"/>
  <c r="I480" i="1"/>
  <c r="CC474" i="1"/>
  <c r="M469" i="1"/>
  <c r="AK463" i="1"/>
  <c r="BI457" i="1"/>
  <c r="CG451" i="1"/>
  <c r="V447" i="1"/>
  <c r="AX442" i="1"/>
  <c r="BZ437" i="1"/>
  <c r="DB432" i="1"/>
  <c r="Z428" i="1"/>
  <c r="BB423" i="1"/>
  <c r="CD418" i="1"/>
  <c r="DF413" i="1"/>
  <c r="M447" i="1"/>
  <c r="AO442" i="1"/>
  <c r="BQ437" i="1"/>
  <c r="CS432" i="1"/>
  <c r="Q428" i="1"/>
  <c r="AS423" i="1"/>
  <c r="BU418" i="1"/>
  <c r="BW451" i="1"/>
  <c r="CV446" i="1"/>
  <c r="T442" i="1"/>
  <c r="AV437" i="1"/>
  <c r="BX432" i="1"/>
  <c r="CZ427" i="1"/>
  <c r="X423" i="1"/>
  <c r="DF454" i="1"/>
  <c r="O505" i="1"/>
  <c r="AO483" i="1"/>
  <c r="BI478" i="1"/>
  <c r="BQ472" i="1"/>
  <c r="CK465" i="1"/>
  <c r="DI459" i="1"/>
  <c r="AS454" i="1"/>
  <c r="CL449" i="1"/>
  <c r="J445" i="1"/>
  <c r="AL440" i="1"/>
  <c r="BN435" i="1"/>
  <c r="CP430" i="1"/>
  <c r="N426" i="1"/>
  <c r="AP421" i="1"/>
  <c r="BR416" i="1"/>
  <c r="CC449" i="1"/>
  <c r="DE444" i="1"/>
  <c r="AC440" i="1"/>
  <c r="BE435" i="1"/>
  <c r="CG430" i="1"/>
  <c r="DI425" i="1"/>
  <c r="AG421" i="1"/>
  <c r="BI416" i="1"/>
  <c r="BH449" i="1"/>
  <c r="CJ444" i="1"/>
  <c r="H440" i="1"/>
  <c r="AJ435" i="1"/>
  <c r="BL430" i="1"/>
  <c r="CN425" i="1"/>
  <c r="L421" i="1"/>
  <c r="BD417" i="1"/>
  <c r="BS450" i="1"/>
  <c r="CU445" i="1"/>
  <c r="S441" i="1"/>
  <c r="AU436" i="1"/>
  <c r="BW431" i="1"/>
  <c r="CY426" i="1"/>
  <c r="W422" i="1"/>
  <c r="AY417" i="1"/>
  <c r="BN412" i="1"/>
  <c r="CP407" i="1"/>
  <c r="N403" i="1"/>
  <c r="AC459" i="1"/>
  <c r="CO451" i="1"/>
  <c r="BR445" i="1"/>
  <c r="BJ439" i="1"/>
  <c r="CL434" i="1"/>
  <c r="J430" i="1"/>
  <c r="AL425" i="1"/>
  <c r="BN420" i="1"/>
  <c r="CP415" i="1"/>
  <c r="DA448" i="1"/>
  <c r="Y444" i="1"/>
  <c r="BA439" i="1"/>
  <c r="CC434" i="1"/>
  <c r="DE429" i="1"/>
  <c r="AC425" i="1"/>
  <c r="BE420" i="1"/>
  <c r="CG415" i="1"/>
  <c r="CF448" i="1"/>
  <c r="DH443" i="1"/>
  <c r="AF439" i="1"/>
  <c r="BH434" i="1"/>
  <c r="CJ429" i="1"/>
  <c r="H425" i="1"/>
  <c r="BB454" i="1"/>
  <c r="DC500" i="1"/>
  <c r="CG482" i="1"/>
  <c r="DI477" i="1"/>
  <c r="M472" i="1"/>
  <c r="AW465" i="1"/>
  <c r="BU459" i="1"/>
  <c r="CS453" i="1"/>
  <c r="BB450" i="1"/>
  <c r="N448" i="1"/>
  <c r="CD445" i="1"/>
  <c r="AP443" i="1"/>
  <c r="DF440" i="1"/>
  <c r="BR438" i="1"/>
  <c r="AD436" i="1"/>
  <c r="CT433" i="1"/>
  <c r="BF431" i="1"/>
  <c r="R429" i="1"/>
  <c r="CH426" i="1"/>
  <c r="AT424" i="1"/>
  <c r="F422" i="1"/>
  <c r="BV419" i="1"/>
  <c r="AH417" i="1"/>
  <c r="CX414" i="1"/>
  <c r="AS450" i="1"/>
  <c r="DI447" i="1"/>
  <c r="BU445" i="1"/>
  <c r="AG443" i="1"/>
  <c r="CW440" i="1"/>
  <c r="BI438" i="1"/>
  <c r="U436" i="1"/>
  <c r="CK433" i="1"/>
  <c r="AW431" i="1"/>
  <c r="I429" i="1"/>
  <c r="BY426" i="1"/>
  <c r="AK424" i="1"/>
  <c r="DA421" i="1"/>
  <c r="BM419" i="1"/>
  <c r="Y417" i="1"/>
  <c r="CO414" i="1"/>
  <c r="X450" i="1"/>
  <c r="CN447" i="1"/>
  <c r="AZ445" i="1"/>
  <c r="L443" i="1"/>
  <c r="CB440" i="1"/>
  <c r="AN438" i="1"/>
  <c r="DD435" i="1"/>
  <c r="BP433" i="1"/>
  <c r="AB431" i="1"/>
  <c r="CR428" i="1"/>
  <c r="BD426" i="1"/>
  <c r="P424" i="1"/>
  <c r="CF421" i="1"/>
  <c r="AT457" i="1"/>
  <c r="DF453" i="1"/>
  <c r="AT544" i="1"/>
  <c r="O497" i="1"/>
  <c r="M486" i="1"/>
  <c r="AG482" i="1"/>
  <c r="CW479" i="1"/>
  <c r="BI477" i="1"/>
  <c r="DE473" i="1"/>
  <c r="CC470" i="1"/>
  <c r="AO468" i="1"/>
  <c r="DA464" i="1"/>
  <c r="BM462" i="1"/>
  <c r="U459" i="1"/>
  <c r="CG455" i="1"/>
  <c r="AS453" i="1"/>
  <c r="V451" i="1"/>
  <c r="CL448" i="1"/>
  <c r="AX446" i="1"/>
  <c r="J444" i="1"/>
  <c r="BZ441" i="1"/>
  <c r="AL439" i="1"/>
  <c r="DB436" i="1"/>
  <c r="BN434" i="1"/>
  <c r="Z432" i="1"/>
  <c r="CP429" i="1"/>
  <c r="BB427" i="1"/>
  <c r="N425" i="1"/>
  <c r="CD422" i="1"/>
  <c r="AP420" i="1"/>
  <c r="DF417" i="1"/>
  <c r="BR415" i="1"/>
  <c r="M451" i="1"/>
  <c r="CC448" i="1"/>
  <c r="AO446" i="1"/>
  <c r="DE443" i="1"/>
  <c r="BQ441" i="1"/>
  <c r="AC439" i="1"/>
  <c r="CS436" i="1"/>
  <c r="BE434" i="1"/>
  <c r="Q432" i="1"/>
  <c r="CG429" i="1"/>
  <c r="AS427" i="1"/>
  <c r="DI424" i="1"/>
  <c r="BU422" i="1"/>
  <c r="AG420" i="1"/>
  <c r="CW417" i="1"/>
  <c r="BI415" i="1"/>
  <c r="CV450" i="1"/>
  <c r="BH448" i="1"/>
  <c r="T446" i="1"/>
  <c r="CJ443" i="1"/>
  <c r="AV441" i="1"/>
  <c r="H439" i="1"/>
  <c r="BX436" i="1"/>
  <c r="AJ434" i="1"/>
  <c r="CZ431" i="1"/>
  <c r="BL429" i="1"/>
  <c r="X427" i="1"/>
  <c r="CN424" i="1"/>
  <c r="AZ422" i="1"/>
  <c r="BZ457" i="1"/>
  <c r="AD454" i="1"/>
  <c r="CT451" i="1"/>
  <c r="W499" i="1"/>
  <c r="BQ486" i="1"/>
  <c r="BI482" i="1"/>
  <c r="U480" i="1"/>
  <c r="CK477" i="1"/>
  <c r="CO474" i="1"/>
  <c r="BA472" i="1"/>
  <c r="I469" i="1"/>
  <c r="BU465" i="1"/>
  <c r="AG463" i="1"/>
  <c r="CS459" i="1"/>
  <c r="BE457" i="1"/>
  <c r="AC454" i="1"/>
  <c r="CS451" i="1"/>
  <c r="BV449" i="1"/>
  <c r="AH447" i="1"/>
  <c r="CX444" i="1"/>
  <c r="BJ442" i="1"/>
  <c r="V440" i="1"/>
  <c r="CL437" i="1"/>
  <c r="AX435" i="1"/>
  <c r="J433" i="1"/>
  <c r="BZ430" i="1"/>
  <c r="AL428" i="1"/>
  <c r="DB425" i="1"/>
  <c r="BN423" i="1"/>
  <c r="Z421" i="1"/>
  <c r="CP418" i="1"/>
  <c r="BB416" i="1"/>
  <c r="N414" i="1"/>
  <c r="BM449" i="1"/>
  <c r="Y447" i="1"/>
  <c r="CO444" i="1"/>
  <c r="BA442" i="1"/>
  <c r="M440" i="1"/>
  <c r="CC437" i="1"/>
  <c r="AO435" i="1"/>
  <c r="DE432" i="1"/>
  <c r="BQ430" i="1"/>
  <c r="AC428" i="1"/>
  <c r="CS425" i="1"/>
  <c r="BE423" i="1"/>
  <c r="Q421" i="1"/>
  <c r="CG418" i="1"/>
  <c r="AS416" i="1"/>
  <c r="DI413" i="1"/>
  <c r="AR449" i="1"/>
  <c r="DH446" i="1"/>
  <c r="BT444" i="1"/>
  <c r="AF442" i="1"/>
  <c r="CV439" i="1"/>
  <c r="BH437" i="1"/>
  <c r="T435" i="1"/>
  <c r="CJ432" i="1"/>
  <c r="AV430" i="1"/>
  <c r="H428" i="1"/>
  <c r="BX425" i="1"/>
  <c r="AJ423" i="1"/>
  <c r="CZ420" i="1"/>
  <c r="CB419" i="1"/>
  <c r="AN417" i="1"/>
  <c r="DD414" i="1"/>
  <c r="BC450" i="1"/>
  <c r="O448" i="1"/>
  <c r="CE445" i="1"/>
  <c r="AQ443" i="1"/>
  <c r="DG440" i="1"/>
  <c r="BS438" i="1"/>
  <c r="AE436" i="1"/>
  <c r="CU433" i="1"/>
  <c r="BG431" i="1"/>
  <c r="S429" i="1"/>
  <c r="CI426" i="1"/>
  <c r="AU424" i="1"/>
  <c r="G422" i="1"/>
  <c r="BW419" i="1"/>
  <c r="AI417" i="1"/>
  <c r="CY414" i="1"/>
  <c r="AX412" i="1"/>
  <c r="J410" i="1"/>
  <c r="BZ407" i="1"/>
  <c r="AL405" i="1"/>
  <c r="AS467" i="1"/>
  <c r="Q460" i="1"/>
  <c r="BI455" i="1"/>
  <c r="AW452" i="1"/>
  <c r="BB449" i="1"/>
  <c r="Z446" i="1"/>
  <c r="N443" i="1"/>
  <c r="DF439" i="1"/>
  <c r="BR437" i="1"/>
  <c r="AD435" i="1"/>
  <c r="CT432" i="1"/>
  <c r="BF430" i="1"/>
  <c r="R428" i="1"/>
  <c r="CH425" i="1"/>
  <c r="AT423" i="1"/>
  <c r="F421" i="1"/>
  <c r="BV418" i="1"/>
  <c r="AH416" i="1"/>
  <c r="CX413" i="1"/>
  <c r="AS449" i="1"/>
  <c r="DI446" i="1"/>
  <c r="BU444" i="1"/>
  <c r="AG442" i="1"/>
  <c r="CW439" i="1"/>
  <c r="BI437" i="1"/>
  <c r="U435" i="1"/>
  <c r="CK432" i="1"/>
  <c r="AW430" i="1"/>
  <c r="I428" i="1"/>
  <c r="BY425" i="1"/>
  <c r="AK423" i="1"/>
  <c r="DA420" i="1"/>
  <c r="BM418" i="1"/>
  <c r="Y416" i="1"/>
  <c r="BL451" i="1"/>
  <c r="X449" i="1"/>
  <c r="CN446" i="1"/>
  <c r="AZ444" i="1"/>
  <c r="L442" i="1"/>
  <c r="CB439" i="1"/>
  <c r="AN437" i="1"/>
  <c r="DD434" i="1"/>
  <c r="BP432" i="1"/>
  <c r="AB430" i="1"/>
  <c r="CR427" i="1"/>
  <c r="BD425" i="1"/>
  <c r="BN458" i="1"/>
  <c r="CX454" i="1"/>
  <c r="BJ452" i="1"/>
  <c r="BG504" i="1"/>
  <c r="AM488" i="1"/>
  <c r="Z483" i="1"/>
  <c r="CO480" i="1"/>
  <c r="BA478" i="1"/>
  <c r="CW474" i="1"/>
  <c r="BI472" i="1"/>
  <c r="Q469" i="1"/>
  <c r="CS465" i="1"/>
  <c r="BE463" i="1"/>
  <c r="M460" i="1"/>
  <c r="CC457" i="1"/>
  <c r="AK454" i="1"/>
  <c r="DA451" i="1"/>
  <c r="CD449" i="1"/>
  <c r="AP447" i="1"/>
  <c r="DF444" i="1"/>
  <c r="BR442" i="1"/>
  <c r="AD440" i="1"/>
  <c r="CT437" i="1"/>
  <c r="BF435" i="1"/>
  <c r="R433" i="1"/>
  <c r="CH430" i="1"/>
  <c r="AT428" i="1"/>
  <c r="F426" i="1"/>
  <c r="BV423" i="1"/>
  <c r="AH421" i="1"/>
  <c r="CX418" i="1"/>
  <c r="BJ416" i="1"/>
  <c r="V414" i="1"/>
  <c r="BU449" i="1"/>
  <c r="AG447" i="1"/>
  <c r="CW444" i="1"/>
  <c r="BI442" i="1"/>
  <c r="U440" i="1"/>
  <c r="CK437" i="1"/>
  <c r="AW435" i="1"/>
  <c r="I433" i="1"/>
  <c r="BY430" i="1"/>
  <c r="AK428" i="1"/>
  <c r="DA425" i="1"/>
  <c r="BM423" i="1"/>
  <c r="Y421" i="1"/>
  <c r="CO418" i="1"/>
  <c r="BA416" i="1"/>
  <c r="M414" i="1"/>
  <c r="AZ449" i="1"/>
  <c r="L447" i="1"/>
  <c r="CB444" i="1"/>
  <c r="AN442" i="1"/>
  <c r="DD439" i="1"/>
  <c r="BP437" i="1"/>
  <c r="AB435" i="1"/>
  <c r="CR432" i="1"/>
  <c r="BD430" i="1"/>
  <c r="P428" i="1"/>
  <c r="CF425" i="1"/>
  <c r="AR423" i="1"/>
  <c r="DH420" i="1"/>
  <c r="BR455" i="1"/>
  <c r="AD453" i="1"/>
  <c r="BY513" i="1"/>
  <c r="W491" i="1"/>
  <c r="BQ484" i="1"/>
  <c r="BI481" i="1"/>
  <c r="U479" i="1"/>
  <c r="BQ475" i="1"/>
  <c r="AC473" i="1"/>
  <c r="DE469" i="1"/>
  <c r="BQ467" i="1"/>
  <c r="Y464" i="1"/>
  <c r="CK460" i="1"/>
  <c r="AW458" i="1"/>
  <c r="DI454" i="1"/>
  <c r="BU452" i="1"/>
  <c r="AX450" i="1"/>
  <c r="J448" i="1"/>
  <c r="BZ445" i="1"/>
  <c r="AL443" i="1"/>
  <c r="DB440" i="1"/>
  <c r="BN438" i="1"/>
  <c r="Z436" i="1"/>
  <c r="CP433" i="1"/>
  <c r="BB431" i="1"/>
  <c r="N429" i="1"/>
  <c r="CD426" i="1"/>
  <c r="AP424" i="1"/>
  <c r="DF421" i="1"/>
  <c r="BR419" i="1"/>
  <c r="AD417" i="1"/>
  <c r="CT414" i="1"/>
  <c r="AO450" i="1"/>
  <c r="DE447" i="1"/>
  <c r="BQ445" i="1"/>
  <c r="AC443" i="1"/>
  <c r="CS440" i="1"/>
  <c r="BE438" i="1"/>
  <c r="Q436" i="1"/>
  <c r="CG433" i="1"/>
  <c r="AS431" i="1"/>
  <c r="DI428" i="1"/>
  <c r="BU426" i="1"/>
  <c r="AG424" i="1"/>
  <c r="CW421" i="1"/>
  <c r="BI419" i="1"/>
  <c r="U417" i="1"/>
  <c r="CK414" i="1"/>
  <c r="T450" i="1"/>
  <c r="CJ447" i="1"/>
  <c r="AV445" i="1"/>
  <c r="H443" i="1"/>
  <c r="BX440" i="1"/>
  <c r="AJ438" i="1"/>
  <c r="CZ435" i="1"/>
  <c r="BL433" i="1"/>
  <c r="X431" i="1"/>
  <c r="CN428" i="1"/>
  <c r="AZ426" i="1"/>
  <c r="L424" i="1"/>
  <c r="CB421" i="1"/>
  <c r="CT455" i="1"/>
  <c r="BF453" i="1"/>
  <c r="DE521" i="1"/>
  <c r="AE493" i="1"/>
  <c r="Q485" i="1"/>
  <c r="CK481" i="1"/>
  <c r="AW479" i="1"/>
  <c r="I477" i="1"/>
  <c r="M474" i="1"/>
  <c r="BY470" i="1"/>
  <c r="AK468" i="1"/>
  <c r="CW464" i="1"/>
  <c r="BI462" i="1"/>
  <c r="Q459" i="1"/>
  <c r="CS455" i="1"/>
  <c r="BE453" i="1"/>
  <c r="AH451" i="1"/>
  <c r="CX448" i="1"/>
  <c r="BJ446" i="1"/>
  <c r="V444" i="1"/>
  <c r="CL441" i="1"/>
  <c r="AX439" i="1"/>
  <c r="J437" i="1"/>
  <c r="BZ434" i="1"/>
  <c r="AL432" i="1"/>
  <c r="DB429" i="1"/>
  <c r="BN427" i="1"/>
  <c r="Z425" i="1"/>
  <c r="CP422" i="1"/>
  <c r="BB420" i="1"/>
  <c r="N418" i="1"/>
  <c r="CD415" i="1"/>
  <c r="Y451" i="1"/>
  <c r="CO448" i="1"/>
  <c r="BA446" i="1"/>
  <c r="M444" i="1"/>
  <c r="CC441" i="1"/>
  <c r="AO439" i="1"/>
  <c r="DE436" i="1"/>
  <c r="BQ434" i="1"/>
  <c r="AC432" i="1"/>
  <c r="CS429" i="1"/>
  <c r="BE427" i="1"/>
  <c r="Q425" i="1"/>
  <c r="CG422" i="1"/>
  <c r="AS420" i="1"/>
  <c r="DI417" i="1"/>
  <c r="BU415" i="1"/>
  <c r="DH450" i="1"/>
  <c r="BT448" i="1"/>
  <c r="AF446" i="1"/>
  <c r="CV443" i="1"/>
  <c r="BH441" i="1"/>
  <c r="T439" i="1"/>
  <c r="CJ436" i="1"/>
  <c r="AV434" i="1"/>
  <c r="H432" i="1"/>
  <c r="BX429" i="1"/>
  <c r="AJ427" i="1"/>
  <c r="CZ424" i="1"/>
  <c r="BL422" i="1"/>
  <c r="DD422" i="1"/>
  <c r="DD418" i="1"/>
  <c r="BP416" i="1"/>
  <c r="AB414" i="1"/>
  <c r="CE449" i="1"/>
  <c r="AQ447" i="1"/>
  <c r="DG444" i="1"/>
  <c r="BS442" i="1"/>
  <c r="AE440" i="1"/>
  <c r="CU437" i="1"/>
  <c r="BG435" i="1"/>
  <c r="S433" i="1"/>
  <c r="CI430" i="1"/>
  <c r="AU428" i="1"/>
  <c r="G426" i="1"/>
  <c r="BW423" i="1"/>
  <c r="AI421" i="1"/>
  <c r="CY418" i="1"/>
  <c r="BK416" i="1"/>
  <c r="W414" i="1"/>
  <c r="BZ411" i="1"/>
  <c r="AL409" i="1"/>
  <c r="DB406" i="1"/>
  <c r="BN404" i="1"/>
  <c r="Z402" i="1"/>
  <c r="CP399" i="1"/>
  <c r="BB397" i="1"/>
  <c r="N395" i="1"/>
  <c r="CD392" i="1"/>
  <c r="AP390" i="1"/>
  <c r="DF387" i="1"/>
  <c r="BR385" i="1"/>
  <c r="AD383" i="1"/>
  <c r="BV402" i="1"/>
  <c r="AT399" i="1"/>
  <c r="R396" i="1"/>
  <c r="F393" i="1"/>
  <c r="CX389" i="1"/>
  <c r="BV386" i="1"/>
  <c r="BJ383" i="1"/>
  <c r="CT380" i="1"/>
  <c r="BF378" i="1"/>
  <c r="R376" i="1"/>
  <c r="CH373" i="1"/>
  <c r="AT371" i="1"/>
  <c r="F369" i="1"/>
  <c r="BV366" i="1"/>
  <c r="AH364" i="1"/>
  <c r="CX361" i="1"/>
  <c r="DI412" i="1"/>
  <c r="BU410" i="1"/>
  <c r="AG408" i="1"/>
  <c r="CW405" i="1"/>
  <c r="BI403" i="1"/>
  <c r="U401" i="1"/>
  <c r="CK398" i="1"/>
  <c r="AW396" i="1"/>
  <c r="I394" i="1"/>
  <c r="BY391" i="1"/>
  <c r="AK389" i="1"/>
  <c r="DA386" i="1"/>
  <c r="BM384" i="1"/>
  <c r="Y382" i="1"/>
  <c r="CO379" i="1"/>
  <c r="BA377" i="1"/>
  <c r="M375" i="1"/>
  <c r="CC372" i="1"/>
  <c r="AO370" i="1"/>
  <c r="DE367" i="1"/>
  <c r="BQ365" i="1"/>
  <c r="AC363" i="1"/>
  <c r="AB422" i="1"/>
  <c r="CJ418" i="1"/>
  <c r="AV416" i="1"/>
  <c r="H414" i="1"/>
  <c r="BK449" i="1"/>
  <c r="W447" i="1"/>
  <c r="CM444" i="1"/>
  <c r="AY442" i="1"/>
  <c r="K440" i="1"/>
  <c r="CA437" i="1"/>
  <c r="AM435" i="1"/>
  <c r="DC432" i="1"/>
  <c r="BO430" i="1"/>
  <c r="AA428" i="1"/>
  <c r="CQ425" i="1"/>
  <c r="BC423" i="1"/>
  <c r="O421" i="1"/>
  <c r="CE418" i="1"/>
  <c r="AQ416" i="1"/>
  <c r="CY413" i="1"/>
  <c r="BF411" i="1"/>
  <c r="R409" i="1"/>
  <c r="CH406" i="1"/>
  <c r="AT404" i="1"/>
  <c r="F402" i="1"/>
  <c r="BV399" i="1"/>
  <c r="AH397" i="1"/>
  <c r="CX394" i="1"/>
  <c r="BJ392" i="1"/>
  <c r="V390" i="1"/>
  <c r="CL387" i="1"/>
  <c r="AX385" i="1"/>
  <c r="J383" i="1"/>
  <c r="BZ380" i="1"/>
  <c r="AL378" i="1"/>
  <c r="DB375" i="1"/>
  <c r="BN373" i="1"/>
  <c r="Z371" i="1"/>
  <c r="CP368" i="1"/>
  <c r="BB366" i="1"/>
  <c r="N364" i="1"/>
  <c r="CD361" i="1"/>
  <c r="CO412" i="1"/>
  <c r="BA410" i="1"/>
  <c r="M408" i="1"/>
  <c r="CC405" i="1"/>
  <c r="AO403" i="1"/>
  <c r="DE400" i="1"/>
  <c r="BQ398" i="1"/>
  <c r="AC396" i="1"/>
  <c r="CS393" i="1"/>
  <c r="BE391" i="1"/>
  <c r="Q389" i="1"/>
  <c r="CG386" i="1"/>
  <c r="AS384" i="1"/>
  <c r="DI381" i="1"/>
  <c r="BU379" i="1"/>
  <c r="AG377" i="1"/>
  <c r="CW374" i="1"/>
  <c r="BI372" i="1"/>
  <c r="U370" i="1"/>
  <c r="CK367" i="1"/>
  <c r="AW365" i="1"/>
  <c r="I363" i="1"/>
  <c r="BX422" i="1"/>
  <c r="CV418" i="1"/>
  <c r="BH416" i="1"/>
  <c r="T414" i="1"/>
  <c r="BW449" i="1"/>
  <c r="AI447" i="1"/>
  <c r="CY444" i="1"/>
  <c r="BK442" i="1"/>
  <c r="W440" i="1"/>
  <c r="CM437" i="1"/>
  <c r="AY435" i="1"/>
  <c r="K433" i="1"/>
  <c r="CA430" i="1"/>
  <c r="AM428" i="1"/>
  <c r="DC425" i="1"/>
  <c r="BO423" i="1"/>
  <c r="AA421" i="1"/>
  <c r="CQ418" i="1"/>
  <c r="BC416" i="1"/>
  <c r="O414" i="1"/>
  <c r="BR411" i="1"/>
  <c r="AD409" i="1"/>
  <c r="CT406" i="1"/>
  <c r="BF404" i="1"/>
  <c r="R402" i="1"/>
  <c r="CH399" i="1"/>
  <c r="AT397" i="1"/>
  <c r="F395" i="1"/>
  <c r="BV392" i="1"/>
  <c r="AH390" i="1"/>
  <c r="CX387" i="1"/>
  <c r="BJ385" i="1"/>
  <c r="V383" i="1"/>
  <c r="CL380" i="1"/>
  <c r="AX378" i="1"/>
  <c r="J376" i="1"/>
  <c r="BZ373" i="1"/>
  <c r="AL371" i="1"/>
  <c r="DB368" i="1"/>
  <c r="BN366" i="1"/>
  <c r="Z364" i="1"/>
  <c r="CP361" i="1"/>
  <c r="DA412" i="1"/>
  <c r="BM410" i="1"/>
  <c r="Y408" i="1"/>
  <c r="CO405" i="1"/>
  <c r="BA403" i="1"/>
  <c r="M401" i="1"/>
  <c r="CC398" i="1"/>
  <c r="AO396" i="1"/>
  <c r="DE393" i="1"/>
  <c r="BQ391" i="1"/>
  <c r="AC389" i="1"/>
  <c r="CS386" i="1"/>
  <c r="BE384" i="1"/>
  <c r="Q382" i="1"/>
  <c r="CG379" i="1"/>
  <c r="AS377" i="1"/>
  <c r="DI374" i="1"/>
  <c r="BU372" i="1"/>
  <c r="AG370" i="1"/>
  <c r="CW367" i="1"/>
  <c r="BI365" i="1"/>
  <c r="U363" i="1"/>
  <c r="CB420" i="1"/>
  <c r="AF418" i="1"/>
  <c r="CV415" i="1"/>
  <c r="AU451" i="1"/>
  <c r="G449" i="1"/>
  <c r="BW446" i="1"/>
  <c r="AI444" i="1"/>
  <c r="CY441" i="1"/>
  <c r="BK439" i="1"/>
  <c r="W437" i="1"/>
  <c r="CM434" i="1"/>
  <c r="AY432" i="1"/>
  <c r="K430" i="1"/>
  <c r="CA427" i="1"/>
  <c r="AM425" i="1"/>
  <c r="DC422" i="1"/>
  <c r="BO420" i="1"/>
  <c r="AA418" i="1"/>
  <c r="CQ415" i="1"/>
  <c r="AP413" i="1"/>
  <c r="DF410" i="1"/>
  <c r="BR408" i="1"/>
  <c r="AD406" i="1"/>
  <c r="CT403" i="1"/>
  <c r="BF401" i="1"/>
  <c r="R399" i="1"/>
  <c r="CH396" i="1"/>
  <c r="AT394" i="1"/>
  <c r="F392" i="1"/>
  <c r="BV389" i="1"/>
  <c r="AH387" i="1"/>
  <c r="CX384" i="1"/>
  <c r="BJ382" i="1"/>
  <c r="V380" i="1"/>
  <c r="CL377" i="1"/>
  <c r="AX375" i="1"/>
  <c r="J373" i="1"/>
  <c r="BZ370" i="1"/>
  <c r="AL368" i="1"/>
  <c r="DB365" i="1"/>
  <c r="BN363" i="1"/>
  <c r="Z361" i="1"/>
  <c r="AK412" i="1"/>
  <c r="DA409" i="1"/>
  <c r="BM407" i="1"/>
  <c r="Y405" i="1"/>
  <c r="CO402" i="1"/>
  <c r="BA400" i="1"/>
  <c r="M398" i="1"/>
  <c r="CC395" i="1"/>
  <c r="AO393" i="1"/>
  <c r="DE390" i="1"/>
  <c r="BQ388" i="1"/>
  <c r="AC386" i="1"/>
  <c r="CS383" i="1"/>
  <c r="BE381" i="1"/>
  <c r="Q379" i="1"/>
  <c r="CG376" i="1"/>
  <c r="AS374" i="1"/>
  <c r="DI371" i="1"/>
  <c r="BU369" i="1"/>
  <c r="AG367" i="1"/>
  <c r="CW364" i="1"/>
  <c r="BI362" i="1"/>
  <c r="U360" i="1"/>
  <c r="I360" i="1"/>
  <c r="AO357" i="1"/>
  <c r="DE354" i="1"/>
  <c r="BQ352" i="1"/>
  <c r="AC350" i="1"/>
  <c r="CS347" i="1"/>
  <c r="BE345" i="1"/>
  <c r="Q343" i="1"/>
  <c r="CG340" i="1"/>
  <c r="CJ411" i="1"/>
  <c r="AV409" i="1"/>
  <c r="H407" i="1"/>
  <c r="BX404" i="1"/>
  <c r="AJ402" i="1"/>
  <c r="CZ399" i="1"/>
  <c r="BL397" i="1"/>
  <c r="X395" i="1"/>
  <c r="CN392" i="1"/>
  <c r="AZ390" i="1"/>
  <c r="L388" i="1"/>
  <c r="CB385" i="1"/>
  <c r="AN383" i="1"/>
  <c r="DD380" i="1"/>
  <c r="BP378" i="1"/>
  <c r="AB376" i="1"/>
  <c r="BB401" i="1"/>
  <c r="AP398" i="1"/>
  <c r="AD395" i="1"/>
  <c r="DF391" i="1"/>
  <c r="CT388" i="1"/>
  <c r="CH385" i="1"/>
  <c r="BF382" i="1"/>
  <c r="R380" i="1"/>
  <c r="CH377" i="1"/>
  <c r="AT375" i="1"/>
  <c r="F373" i="1"/>
  <c r="BV370" i="1"/>
  <c r="AH368" i="1"/>
  <c r="CX365" i="1"/>
  <c r="BJ363" i="1"/>
  <c r="V361" i="1"/>
  <c r="AG412" i="1"/>
  <c r="CW409" i="1"/>
  <c r="BI407" i="1"/>
  <c r="U405" i="1"/>
  <c r="CK402" i="1"/>
  <c r="AW400" i="1"/>
  <c r="I398" i="1"/>
  <c r="BY395" i="1"/>
  <c r="AK393" i="1"/>
  <c r="DA390" i="1"/>
  <c r="BM388" i="1"/>
  <c r="Y386" i="1"/>
  <c r="CO383" i="1"/>
  <c r="BA381" i="1"/>
  <c r="M379" i="1"/>
  <c r="CC376" i="1"/>
  <c r="AO374" i="1"/>
  <c r="DE371" i="1"/>
  <c r="BQ369" i="1"/>
  <c r="AC367" i="1"/>
  <c r="CS364" i="1"/>
  <c r="BE362" i="1"/>
  <c r="AV420" i="1"/>
  <c r="H418" i="1"/>
  <c r="BX415" i="1"/>
  <c r="W451" i="1"/>
  <c r="CM448" i="1"/>
  <c r="AY446" i="1"/>
  <c r="K444" i="1"/>
  <c r="CA441" i="1"/>
  <c r="AM439" i="1"/>
  <c r="DC436" i="1"/>
  <c r="BO434" i="1"/>
  <c r="AA432" i="1"/>
  <c r="CQ429" i="1"/>
  <c r="BC427" i="1"/>
  <c r="O425" i="1"/>
  <c r="CE422" i="1"/>
  <c r="AQ420" i="1"/>
  <c r="DG417" i="1"/>
  <c r="BS415" i="1"/>
  <c r="R413" i="1"/>
  <c r="CH410" i="1"/>
  <c r="AT408" i="1"/>
  <c r="F406" i="1"/>
  <c r="BV403" i="1"/>
  <c r="AH401" i="1"/>
  <c r="CX398" i="1"/>
  <c r="BJ396" i="1"/>
  <c r="V394" i="1"/>
  <c r="CL391" i="1"/>
  <c r="AX389" i="1"/>
  <c r="J387" i="1"/>
  <c r="BZ384" i="1"/>
  <c r="AL382" i="1"/>
  <c r="AB467" i="1"/>
  <c r="CJ454" i="1"/>
  <c r="DC482" i="1"/>
  <c r="CU472" i="1"/>
  <c r="AI460" i="1"/>
  <c r="CY501" i="1"/>
  <c r="R478" i="1"/>
  <c r="BJ465" i="1"/>
  <c r="BX495" i="1"/>
  <c r="BI531" i="1"/>
  <c r="BG495" i="1"/>
  <c r="L502" i="1"/>
  <c r="AN485" i="1"/>
  <c r="T482" i="1"/>
  <c r="AZ470" i="1"/>
  <c r="H459" i="1"/>
  <c r="CI490" i="1"/>
  <c r="BG475" i="1"/>
  <c r="DC463" i="1"/>
  <c r="BK452" i="1"/>
  <c r="CH480" i="1"/>
  <c r="Z469" i="1"/>
  <c r="P502" i="1"/>
  <c r="Z485" i="1"/>
  <c r="BW501" i="1"/>
  <c r="BO508" i="1"/>
  <c r="AF489" i="1"/>
  <c r="AE487" i="1"/>
  <c r="BL474" i="1"/>
  <c r="T463" i="1"/>
  <c r="DE535" i="1"/>
  <c r="CI479" i="1"/>
  <c r="K468" i="1"/>
  <c r="BS455" i="1"/>
  <c r="BC484" i="1"/>
  <c r="V473" i="1"/>
  <c r="BN460" i="1"/>
  <c r="BI539" i="1"/>
  <c r="CO479" i="1"/>
  <c r="Q468" i="1"/>
  <c r="BY455" i="1"/>
  <c r="AP446" i="1"/>
  <c r="DI460" i="1"/>
  <c r="CL446" i="1"/>
  <c r="BZ435" i="1"/>
  <c r="Z426" i="1"/>
  <c r="CD416" i="1"/>
  <c r="M445" i="1"/>
  <c r="BQ435" i="1"/>
  <c r="Q426" i="1"/>
  <c r="BU416" i="1"/>
  <c r="CV444" i="1"/>
  <c r="AV435" i="1"/>
  <c r="CZ425" i="1"/>
  <c r="AE508" i="1"/>
  <c r="CW478" i="1"/>
  <c r="CK467" i="1"/>
  <c r="AO455" i="1"/>
  <c r="F446" i="1"/>
  <c r="BJ436" i="1"/>
  <c r="J427" i="1"/>
  <c r="BN417" i="1"/>
  <c r="DA445" i="1"/>
  <c r="BA436" i="1"/>
  <c r="DE426" i="1"/>
  <c r="BE417" i="1"/>
  <c r="CF445" i="1"/>
  <c r="AF436" i="1"/>
  <c r="CJ426" i="1"/>
  <c r="AH454" i="1"/>
  <c r="BM482" i="1"/>
  <c r="DI470" i="1"/>
  <c r="BA459" i="1"/>
  <c r="N449" i="1"/>
  <c r="BR439" i="1"/>
  <c r="R430" i="1"/>
  <c r="BV420" i="1"/>
  <c r="DI448" i="1"/>
  <c r="BI439" i="1"/>
  <c r="I430" i="1"/>
  <c r="BM420" i="1"/>
  <c r="CN448" i="1"/>
  <c r="AN439" i="1"/>
  <c r="CR429" i="1"/>
  <c r="N458" i="1"/>
  <c r="Y487" i="1"/>
  <c r="BI474" i="1"/>
  <c r="DE462" i="1"/>
  <c r="BM451" i="1"/>
  <c r="AD442" i="1"/>
  <c r="CH432" i="1"/>
  <c r="AH423" i="1"/>
  <c r="BX451" i="1"/>
  <c r="U442" i="1"/>
  <c r="BY432" i="1"/>
  <c r="Y423" i="1"/>
  <c r="AZ451" i="1"/>
  <c r="DD441" i="1"/>
  <c r="BD432" i="1"/>
  <c r="DH422" i="1"/>
  <c r="BX414" i="1"/>
  <c r="K443" i="1"/>
  <c r="BO433" i="1"/>
  <c r="O424" i="1"/>
  <c r="BS414" i="1"/>
  <c r="U465" i="1"/>
  <c r="F449" i="1"/>
  <c r="AL437" i="1"/>
  <c r="CP427" i="1"/>
  <c r="AP418" i="1"/>
  <c r="CC446" i="1"/>
  <c r="AC437" i="1"/>
  <c r="CG427" i="1"/>
  <c r="AG418" i="1"/>
  <c r="BH446" i="1"/>
  <c r="H437" i="1"/>
  <c r="BL427" i="1"/>
  <c r="AD452" i="1"/>
  <c r="BI480" i="1"/>
  <c r="CO468" i="1"/>
  <c r="AW457" i="1"/>
  <c r="J447" i="1"/>
  <c r="BN437" i="1"/>
  <c r="N428" i="1"/>
  <c r="BR418" i="1"/>
  <c r="DE446" i="1"/>
  <c r="BE437" i="1"/>
  <c r="DI427" i="1"/>
  <c r="AG423" i="1"/>
  <c r="BI418" i="1"/>
  <c r="BH451" i="1"/>
  <c r="CJ446" i="1"/>
  <c r="H442" i="1"/>
  <c r="AJ437" i="1"/>
  <c r="BL432" i="1"/>
  <c r="CN427" i="1"/>
  <c r="L423" i="1"/>
  <c r="AL455" i="1"/>
  <c r="CI507" i="1"/>
  <c r="DI483" i="1"/>
  <c r="CS478" i="1"/>
  <c r="BI473" i="1"/>
  <c r="CW467" i="1"/>
  <c r="Q462" i="1"/>
  <c r="AK455" i="1"/>
  <c r="CD450" i="1"/>
  <c r="DF445" i="1"/>
  <c r="AD441" i="1"/>
  <c r="BF436" i="1"/>
  <c r="CH431" i="1"/>
  <c r="F427" i="1"/>
  <c r="AH422" i="1"/>
  <c r="BJ417" i="1"/>
  <c r="BU450" i="1"/>
  <c r="CW445" i="1"/>
  <c r="U441" i="1"/>
  <c r="AW436" i="1"/>
  <c r="BY431" i="1"/>
  <c r="DA426" i="1"/>
  <c r="Y422" i="1"/>
  <c r="BA417" i="1"/>
  <c r="AZ450" i="1"/>
  <c r="CB445" i="1"/>
  <c r="DD440" i="1"/>
  <c r="AB436" i="1"/>
  <c r="BD431" i="1"/>
  <c r="CF426" i="1"/>
  <c r="DH421" i="1"/>
  <c r="CL453" i="1"/>
  <c r="BS495" i="1"/>
  <c r="M482" i="1"/>
  <c r="AO477" i="1"/>
  <c r="AS470" i="1"/>
  <c r="BQ464" i="1"/>
  <c r="CO458" i="1"/>
  <c r="Y453" i="1"/>
  <c r="BR448" i="1"/>
  <c r="CT443" i="1"/>
  <c r="R439" i="1"/>
  <c r="AT434" i="1"/>
  <c r="BV429" i="1"/>
  <c r="CX424" i="1"/>
  <c r="V420" i="1"/>
  <c r="AX415" i="1"/>
  <c r="BI448" i="1"/>
  <c r="CK443" i="1"/>
  <c r="I439" i="1"/>
  <c r="AK434" i="1"/>
  <c r="BM429" i="1"/>
  <c r="CO424" i="1"/>
  <c r="M420" i="1"/>
  <c r="AO415" i="1"/>
  <c r="AN448" i="1"/>
  <c r="BP443" i="1"/>
  <c r="CR438" i="1"/>
  <c r="P434" i="1"/>
  <c r="AR429" i="1"/>
  <c r="BT424" i="1"/>
  <c r="CJ421" i="1"/>
  <c r="AJ416" i="1"/>
  <c r="AY449" i="1"/>
  <c r="CA444" i="1"/>
  <c r="DC439" i="1"/>
  <c r="AA435" i="1"/>
  <c r="BC430" i="1"/>
  <c r="CE425" i="1"/>
  <c r="DG420" i="1"/>
  <c r="AE416" i="1"/>
  <c r="AT411" i="1"/>
  <c r="BV406" i="1"/>
  <c r="AO470" i="1"/>
  <c r="BQ457" i="1"/>
  <c r="AP450" i="1"/>
  <c r="R444" i="1"/>
  <c r="AP438" i="1"/>
  <c r="BR433" i="1"/>
  <c r="CT428" i="1"/>
  <c r="R424" i="1"/>
  <c r="AT419" i="1"/>
  <c r="BV414" i="1"/>
  <c r="CG447" i="1"/>
  <c r="DI442" i="1"/>
  <c r="AG438" i="1"/>
  <c r="BI433" i="1"/>
  <c r="CK428" i="1"/>
  <c r="I424" i="1"/>
  <c r="AK419" i="1"/>
  <c r="BM414" i="1"/>
  <c r="BL447" i="1"/>
  <c r="CN442" i="1"/>
  <c r="L438" i="1"/>
  <c r="AN433" i="1"/>
  <c r="BP428" i="1"/>
  <c r="CR423" i="1"/>
  <c r="AH453" i="1"/>
  <c r="BC491" i="1"/>
  <c r="BM481" i="1"/>
  <c r="BU475" i="1"/>
  <c r="CS469" i="1"/>
  <c r="AC464" i="1"/>
  <c r="BA458" i="1"/>
  <c r="BY452" i="1"/>
  <c r="CT449" i="1"/>
  <c r="BF447" i="1"/>
  <c r="R445" i="1"/>
  <c r="CH442" i="1"/>
  <c r="AT440" i="1"/>
  <c r="F438" i="1"/>
  <c r="BV435" i="1"/>
  <c r="AH433" i="1"/>
  <c r="CX430" i="1"/>
  <c r="BJ428" i="1"/>
  <c r="V426" i="1"/>
  <c r="CL423" i="1"/>
  <c r="AX421" i="1"/>
  <c r="J419" i="1"/>
  <c r="BZ416" i="1"/>
  <c r="AL414" i="1"/>
  <c r="CK449" i="1"/>
  <c r="AW447" i="1"/>
  <c r="I445" i="1"/>
  <c r="BY442" i="1"/>
  <c r="AK440" i="1"/>
  <c r="DA437" i="1"/>
  <c r="BM435" i="1"/>
  <c r="Y433" i="1"/>
  <c r="CO430" i="1"/>
  <c r="BA428" i="1"/>
  <c r="M426" i="1"/>
  <c r="CC423" i="1"/>
  <c r="AO421" i="1"/>
  <c r="DE418" i="1"/>
  <c r="BQ416" i="1"/>
  <c r="AC414" i="1"/>
  <c r="BP449" i="1"/>
  <c r="AB447" i="1"/>
  <c r="CR444" i="1"/>
  <c r="BD442" i="1"/>
  <c r="P440" i="1"/>
  <c r="CF437" i="1"/>
  <c r="AR435" i="1"/>
  <c r="DH432" i="1"/>
  <c r="BT430" i="1"/>
  <c r="AF428" i="1"/>
  <c r="CV425" i="1"/>
  <c r="BH423" i="1"/>
  <c r="T421" i="1"/>
  <c r="CH455" i="1"/>
  <c r="AT453" i="1"/>
  <c r="AW518" i="1"/>
  <c r="AQ492" i="1"/>
  <c r="CW484" i="1"/>
  <c r="BY481" i="1"/>
  <c r="AK479" i="1"/>
  <c r="CG475" i="1"/>
  <c r="AS473" i="1"/>
  <c r="Q470" i="1"/>
  <c r="CG467" i="1"/>
  <c r="AO464" i="1"/>
  <c r="DA460" i="1"/>
  <c r="BM458" i="1"/>
  <c r="U455" i="1"/>
  <c r="CK452" i="1"/>
  <c r="BN450" i="1"/>
  <c r="Z448" i="1"/>
  <c r="CP445" i="1"/>
  <c r="BB443" i="1"/>
  <c r="N441" i="1"/>
  <c r="CD438" i="1"/>
  <c r="AP436" i="1"/>
  <c r="DF433" i="1"/>
  <c r="BR431" i="1"/>
  <c r="AD429" i="1"/>
  <c r="CT426" i="1"/>
  <c r="BF424" i="1"/>
  <c r="R422" i="1"/>
  <c r="CH419" i="1"/>
  <c r="AT417" i="1"/>
  <c r="F415" i="1"/>
  <c r="BE450" i="1"/>
  <c r="Q448" i="1"/>
  <c r="CG445" i="1"/>
  <c r="AS443" i="1"/>
  <c r="DI440" i="1"/>
  <c r="BU438" i="1"/>
  <c r="AG436" i="1"/>
  <c r="CW433" i="1"/>
  <c r="BI431" i="1"/>
  <c r="U429" i="1"/>
  <c r="CK426" i="1"/>
  <c r="AW424" i="1"/>
  <c r="I422" i="1"/>
  <c r="BY419" i="1"/>
  <c r="AK417" i="1"/>
  <c r="DA414" i="1"/>
  <c r="AJ450" i="1"/>
  <c r="CZ447" i="1"/>
  <c r="BL445" i="1"/>
  <c r="X443" i="1"/>
  <c r="CN440" i="1"/>
  <c r="AZ438" i="1"/>
  <c r="L436" i="1"/>
  <c r="CB433" i="1"/>
  <c r="AN431" i="1"/>
  <c r="DD428" i="1"/>
  <c r="BP426" i="1"/>
  <c r="AB424" i="1"/>
  <c r="CR421" i="1"/>
  <c r="J457" i="1"/>
  <c r="BV453" i="1"/>
  <c r="CC526" i="1"/>
  <c r="AY494" i="1"/>
  <c r="AW485" i="1"/>
  <c r="DA481" i="1"/>
  <c r="BM479" i="1"/>
  <c r="Y477" i="1"/>
  <c r="AC474" i="1"/>
  <c r="CO470" i="1"/>
  <c r="BA468" i="1"/>
  <c r="I465" i="1"/>
  <c r="BY462" i="1"/>
  <c r="AG459" i="1"/>
  <c r="DI455" i="1"/>
  <c r="BU453" i="1"/>
  <c r="AX451" i="1"/>
  <c r="J449" i="1"/>
  <c r="BZ446" i="1"/>
  <c r="AL444" i="1"/>
  <c r="DB441" i="1"/>
  <c r="BN439" i="1"/>
  <c r="Z437" i="1"/>
  <c r="CP434" i="1"/>
  <c r="BB432" i="1"/>
  <c r="N430" i="1"/>
  <c r="CD427" i="1"/>
  <c r="AP425" i="1"/>
  <c r="DF422" i="1"/>
  <c r="BR420" i="1"/>
  <c r="AD418" i="1"/>
  <c r="CT415" i="1"/>
  <c r="AO451" i="1"/>
  <c r="DE448" i="1"/>
  <c r="BQ446" i="1"/>
  <c r="AC444" i="1"/>
  <c r="CS441" i="1"/>
  <c r="BE439" i="1"/>
  <c r="Q437" i="1"/>
  <c r="CG434" i="1"/>
  <c r="AS432" i="1"/>
  <c r="DI429" i="1"/>
  <c r="BU427" i="1"/>
  <c r="AG425" i="1"/>
  <c r="CW422" i="1"/>
  <c r="BI420" i="1"/>
  <c r="U418" i="1"/>
  <c r="CK415" i="1"/>
  <c r="T451" i="1"/>
  <c r="CJ448" i="1"/>
  <c r="AV446" i="1"/>
  <c r="H444" i="1"/>
  <c r="BX441" i="1"/>
  <c r="AJ439" i="1"/>
  <c r="CZ436" i="1"/>
  <c r="BL434" i="1"/>
  <c r="X432" i="1"/>
  <c r="CN429" i="1"/>
  <c r="AZ427" i="1"/>
  <c r="L425" i="1"/>
  <c r="CB422" i="1"/>
  <c r="BL423" i="1"/>
  <c r="P419" i="1"/>
  <c r="CF416" i="1"/>
  <c r="AR414" i="1"/>
  <c r="CU449" i="1"/>
  <c r="BG447" i="1"/>
  <c r="S445" i="1"/>
  <c r="CI442" i="1"/>
  <c r="AU440" i="1"/>
  <c r="G438" i="1"/>
  <c r="BW435" i="1"/>
  <c r="AI433" i="1"/>
  <c r="CY430" i="1"/>
  <c r="BK428" i="1"/>
  <c r="W426" i="1"/>
  <c r="CM423" i="1"/>
  <c r="AY421" i="1"/>
  <c r="K419" i="1"/>
  <c r="CA416" i="1"/>
  <c r="AM414" i="1"/>
  <c r="CP411" i="1"/>
  <c r="BB409" i="1"/>
  <c r="N407" i="1"/>
  <c r="CD404" i="1"/>
  <c r="BM464" i="1"/>
  <c r="DA458" i="1"/>
  <c r="CK454" i="1"/>
  <c r="BY451" i="1"/>
  <c r="BN448" i="1"/>
  <c r="BB445" i="1"/>
  <c r="AP442" i="1"/>
  <c r="AT439" i="1"/>
  <c r="F437" i="1"/>
  <c r="BV434" i="1"/>
  <c r="AH432" i="1"/>
  <c r="CX429" i="1"/>
  <c r="BJ427" i="1"/>
  <c r="V425" i="1"/>
  <c r="CL422" i="1"/>
  <c r="AX420" i="1"/>
  <c r="J418" i="1"/>
  <c r="BZ415" i="1"/>
  <c r="U451" i="1"/>
  <c r="CK448" i="1"/>
  <c r="AW446" i="1"/>
  <c r="I444" i="1"/>
  <c r="BY441" i="1"/>
  <c r="AK439" i="1"/>
  <c r="DA436" i="1"/>
  <c r="BM434" i="1"/>
  <c r="Y432" i="1"/>
  <c r="CO429" i="1"/>
  <c r="BA427" i="1"/>
  <c r="M425" i="1"/>
  <c r="CC422" i="1"/>
  <c r="AO420" i="1"/>
  <c r="DE417" i="1"/>
  <c r="BQ415" i="1"/>
  <c r="DD450" i="1"/>
  <c r="BP448" i="1"/>
  <c r="AB446" i="1"/>
  <c r="CR443" i="1"/>
  <c r="BD441" i="1"/>
  <c r="P439" i="1"/>
  <c r="CF436" i="1"/>
  <c r="AR434" i="1"/>
  <c r="DH431" i="1"/>
  <c r="BT429" i="1"/>
  <c r="AF427" i="1"/>
  <c r="CV424" i="1"/>
  <c r="CL457" i="1"/>
  <c r="AL454" i="1"/>
  <c r="DB451" i="1"/>
  <c r="CI499" i="1"/>
  <c r="CG486" i="1"/>
  <c r="BQ482" i="1"/>
  <c r="AC480" i="1"/>
  <c r="CS477" i="1"/>
  <c r="AK474" i="1"/>
  <c r="CW470" i="1"/>
  <c r="BI468" i="1"/>
  <c r="AG465" i="1"/>
  <c r="CW462" i="1"/>
  <c r="BE459" i="1"/>
  <c r="Q457" i="1"/>
  <c r="CC453" i="1"/>
  <c r="BF451" i="1"/>
  <c r="R449" i="1"/>
  <c r="CH446" i="1"/>
  <c r="AT444" i="1"/>
  <c r="F442" i="1"/>
  <c r="BV439" i="1"/>
  <c r="AH437" i="1"/>
  <c r="CX434" i="1"/>
  <c r="BJ432" i="1"/>
  <c r="V430" i="1"/>
  <c r="CL427" i="1"/>
  <c r="AX425" i="1"/>
  <c r="J423" i="1"/>
  <c r="BZ420" i="1"/>
  <c r="AL418" i="1"/>
  <c r="DB415" i="1"/>
  <c r="AW451" i="1"/>
  <c r="I449" i="1"/>
  <c r="BY446" i="1"/>
  <c r="AK444" i="1"/>
  <c r="DA441" i="1"/>
  <c r="BM439" i="1"/>
  <c r="Y437" i="1"/>
  <c r="CO434" i="1"/>
  <c r="BA432" i="1"/>
  <c r="M430" i="1"/>
  <c r="CC427" i="1"/>
  <c r="AO425" i="1"/>
  <c r="DE422" i="1"/>
  <c r="BQ420" i="1"/>
  <c r="AC418" i="1"/>
  <c r="CS415" i="1"/>
  <c r="AB451" i="1"/>
  <c r="CR448" i="1"/>
  <c r="BD446" i="1"/>
  <c r="P444" i="1"/>
  <c r="CF441" i="1"/>
  <c r="AR439" i="1"/>
  <c r="DH436" i="1"/>
  <c r="BT434" i="1"/>
  <c r="AF432" i="1"/>
  <c r="CV429" i="1"/>
  <c r="BH427" i="1"/>
  <c r="T425" i="1"/>
  <c r="CJ422" i="1"/>
  <c r="CD458" i="1"/>
  <c r="F455" i="1"/>
  <c r="BV452" i="1"/>
  <c r="AU505" i="1"/>
  <c r="CI488" i="1"/>
  <c r="AW483" i="1"/>
  <c r="DA480" i="1"/>
  <c r="BM478" i="1"/>
  <c r="DI474" i="1"/>
  <c r="BU472" i="1"/>
  <c r="AS469" i="1"/>
  <c r="DE465" i="1"/>
  <c r="BQ463" i="1"/>
  <c r="Y460" i="1"/>
  <c r="CO457" i="1"/>
  <c r="AW454" i="1"/>
  <c r="I452" i="1"/>
  <c r="CP449" i="1"/>
  <c r="BB447" i="1"/>
  <c r="N445" i="1"/>
  <c r="CD442" i="1"/>
  <c r="AP440" i="1"/>
  <c r="DF437" i="1"/>
  <c r="BR435" i="1"/>
  <c r="AD433" i="1"/>
  <c r="CT430" i="1"/>
  <c r="BF428" i="1"/>
  <c r="R426" i="1"/>
  <c r="CH423" i="1"/>
  <c r="AT421" i="1"/>
  <c r="F419" i="1"/>
  <c r="BV416" i="1"/>
  <c r="AH414" i="1"/>
  <c r="CG449" i="1"/>
  <c r="AS447" i="1"/>
  <c r="DI444" i="1"/>
  <c r="BU442" i="1"/>
  <c r="AG440" i="1"/>
  <c r="CW437" i="1"/>
  <c r="BI435" i="1"/>
  <c r="U433" i="1"/>
  <c r="CK430" i="1"/>
  <c r="AW428" i="1"/>
  <c r="I426" i="1"/>
  <c r="BY423" i="1"/>
  <c r="AK421" i="1"/>
  <c r="DA418" i="1"/>
  <c r="BM416" i="1"/>
  <c r="Y414" i="1"/>
  <c r="BL449" i="1"/>
  <c r="X447" i="1"/>
  <c r="CN444" i="1"/>
  <c r="AZ442" i="1"/>
  <c r="L440" i="1"/>
  <c r="CB437" i="1"/>
  <c r="AN435" i="1"/>
  <c r="DD432" i="1"/>
  <c r="BP430" i="1"/>
  <c r="AB428" i="1"/>
  <c r="CR425" i="1"/>
  <c r="BD423" i="1"/>
  <c r="Z459" i="1"/>
  <c r="AH455" i="1"/>
  <c r="CX452" i="1"/>
  <c r="BC507" i="1"/>
  <c r="CM489" i="1"/>
  <c r="DA483" i="1"/>
  <c r="Y481" i="1"/>
  <c r="CO478" i="1"/>
  <c r="CS475" i="1"/>
  <c r="BE473" i="1"/>
  <c r="M470" i="1"/>
  <c r="CC467" i="1"/>
  <c r="AK464" i="1"/>
  <c r="CW460" i="1"/>
  <c r="BI458" i="1"/>
  <c r="AG455" i="1"/>
  <c r="CW452" i="1"/>
  <c r="BZ450" i="1"/>
  <c r="AL448" i="1"/>
  <c r="DB445" i="1"/>
  <c r="BN443" i="1"/>
  <c r="Z441" i="1"/>
  <c r="CP438" i="1"/>
  <c r="BB436" i="1"/>
  <c r="N434" i="1"/>
  <c r="CD431" i="1"/>
  <c r="AP429" i="1"/>
  <c r="DF426" i="1"/>
  <c r="BR424" i="1"/>
  <c r="AD422" i="1"/>
  <c r="CT419" i="1"/>
  <c r="BF417" i="1"/>
  <c r="R415" i="1"/>
  <c r="BQ450" i="1"/>
  <c r="AC448" i="1"/>
  <c r="CS445" i="1"/>
  <c r="BE443" i="1"/>
  <c r="Q441" i="1"/>
  <c r="CG438" i="1"/>
  <c r="AS436" i="1"/>
  <c r="DI433" i="1"/>
  <c r="BU431" i="1"/>
  <c r="AG429" i="1"/>
  <c r="CW426" i="1"/>
  <c r="BI424" i="1"/>
  <c r="U422" i="1"/>
  <c r="CK419" i="1"/>
  <c r="AW417" i="1"/>
  <c r="I415" i="1"/>
  <c r="AV450" i="1"/>
  <c r="H448" i="1"/>
  <c r="BX445" i="1"/>
  <c r="AJ443" i="1"/>
  <c r="CZ440" i="1"/>
  <c r="BL438" i="1"/>
  <c r="X436" i="1"/>
  <c r="CN433" i="1"/>
  <c r="AZ431" i="1"/>
  <c r="L429" i="1"/>
  <c r="CB426" i="1"/>
  <c r="AN424" i="1"/>
  <c r="DD421" i="1"/>
  <c r="CV420" i="1"/>
  <c r="AR418" i="1"/>
  <c r="DH415" i="1"/>
  <c r="BG451" i="1"/>
  <c r="S449" i="1"/>
  <c r="CI446" i="1"/>
  <c r="AU444" i="1"/>
  <c r="G442" i="1"/>
  <c r="BW439" i="1"/>
  <c r="AI437" i="1"/>
  <c r="CY434" i="1"/>
  <c r="BK432" i="1"/>
  <c r="W430" i="1"/>
  <c r="CM427" i="1"/>
  <c r="AY425" i="1"/>
  <c r="K423" i="1"/>
  <c r="CA420" i="1"/>
  <c r="AM418" i="1"/>
  <c r="DC415" i="1"/>
  <c r="BB413" i="1"/>
  <c r="N411" i="1"/>
  <c r="CD408" i="1"/>
  <c r="AP406" i="1"/>
  <c r="DF403" i="1"/>
  <c r="BR401" i="1"/>
  <c r="AD399" i="1"/>
  <c r="CT396" i="1"/>
  <c r="BF394" i="1"/>
  <c r="R392" i="1"/>
  <c r="CH389" i="1"/>
  <c r="AT387" i="1"/>
  <c r="F385" i="1"/>
  <c r="BV382" i="1"/>
  <c r="CH401" i="1"/>
  <c r="BF398" i="1"/>
  <c r="AT395" i="1"/>
  <c r="AH392" i="1"/>
  <c r="F389" i="1"/>
  <c r="CX385" i="1"/>
  <c r="CL382" i="1"/>
  <c r="AH380" i="1"/>
  <c r="CX377" i="1"/>
  <c r="BJ375" i="1"/>
  <c r="V373" i="1"/>
  <c r="CL370" i="1"/>
  <c r="AX368" i="1"/>
  <c r="J366" i="1"/>
  <c r="BZ363" i="1"/>
  <c r="AL361" i="1"/>
  <c r="AW412" i="1"/>
  <c r="I410" i="1"/>
  <c r="BY407" i="1"/>
  <c r="AK405" i="1"/>
  <c r="DA402" i="1"/>
  <c r="BM400" i="1"/>
  <c r="Y398" i="1"/>
  <c r="CO395" i="1"/>
  <c r="BA393" i="1"/>
  <c r="M391" i="1"/>
  <c r="CC388" i="1"/>
  <c r="AO386" i="1"/>
  <c r="DE383" i="1"/>
  <c r="BQ381" i="1"/>
  <c r="AC379" i="1"/>
  <c r="CS376" i="1"/>
  <c r="BE374" i="1"/>
  <c r="Q372" i="1"/>
  <c r="CG369" i="1"/>
  <c r="AS367" i="1"/>
  <c r="DI364" i="1"/>
  <c r="BU362" i="1"/>
  <c r="BP420" i="1"/>
  <c r="X418" i="1"/>
  <c r="CN415" i="1"/>
  <c r="AM451" i="1"/>
  <c r="DC448" i="1"/>
  <c r="BO446" i="1"/>
  <c r="AA444" i="1"/>
  <c r="CN463" i="1"/>
  <c r="CY457" i="1"/>
  <c r="CZ490" i="1"/>
  <c r="BM536" i="1"/>
  <c r="AW484" i="1"/>
  <c r="AT478" i="1"/>
  <c r="CY496" i="1"/>
  <c r="X472" i="1"/>
  <c r="CM464" i="1"/>
  <c r="Z458" i="1"/>
  <c r="AK453" i="1"/>
  <c r="AL433" i="1"/>
  <c r="AC433" i="1"/>
  <c r="H433" i="1"/>
  <c r="BI464" i="1"/>
  <c r="BZ424" i="1"/>
  <c r="BQ424" i="1"/>
  <c r="AV424" i="1"/>
  <c r="M457" i="1"/>
  <c r="AH418" i="1"/>
  <c r="Y418" i="1"/>
  <c r="BJ454" i="1"/>
  <c r="AP449" i="1"/>
  <c r="AG449" i="1"/>
  <c r="L449" i="1"/>
  <c r="W450" i="1"/>
  <c r="R412" i="1"/>
  <c r="BB425" i="1"/>
  <c r="AS425" i="1"/>
  <c r="X425" i="1"/>
  <c r="DI453" i="1"/>
  <c r="AD416" i="1"/>
  <c r="M422" i="1"/>
  <c r="CR440" i="1"/>
  <c r="CV421" i="1"/>
  <c r="BY477" i="1"/>
  <c r="Q454" i="1"/>
  <c r="AL435" i="1"/>
  <c r="AP416" i="1"/>
  <c r="AC435" i="1"/>
  <c r="AG416" i="1"/>
  <c r="H435" i="1"/>
  <c r="BR452" i="1"/>
  <c r="Y469" i="1"/>
  <c r="AX447" i="1"/>
  <c r="BB428" i="1"/>
  <c r="AO447" i="1"/>
  <c r="AS428" i="1"/>
  <c r="T447" i="1"/>
  <c r="X428" i="1"/>
  <c r="AE448" i="1"/>
  <c r="AI429" i="1"/>
  <c r="Z410" i="1"/>
  <c r="CT448" i="1"/>
  <c r="BZ427" i="1"/>
  <c r="BM446" i="1"/>
  <c r="BQ427" i="1"/>
  <c r="AR446" i="1"/>
  <c r="AV427" i="1"/>
  <c r="AS480" i="1"/>
  <c r="AG457" i="1"/>
  <c r="BJ444" i="1"/>
  <c r="J435" i="1"/>
  <c r="BN425" i="1"/>
  <c r="N416" i="1"/>
  <c r="BA444" i="1"/>
  <c r="DE434" i="1"/>
  <c r="BE425" i="1"/>
  <c r="DI415" i="1"/>
  <c r="AF444" i="1"/>
  <c r="CJ434" i="1"/>
  <c r="AJ425" i="1"/>
  <c r="CL452" i="1"/>
  <c r="M481" i="1"/>
  <c r="BI469" i="1"/>
  <c r="DE457" i="1"/>
  <c r="BR447" i="1"/>
  <c r="R438" i="1"/>
  <c r="BV428" i="1"/>
  <c r="V419" i="1"/>
  <c r="BI447" i="1"/>
  <c r="I438" i="1"/>
  <c r="BM428" i="1"/>
  <c r="M419" i="1"/>
  <c r="AN447" i="1"/>
  <c r="CR437" i="1"/>
  <c r="AR428" i="1"/>
  <c r="AX455" i="1"/>
  <c r="AC484" i="1"/>
  <c r="BU473" i="1"/>
  <c r="M462" i="1"/>
  <c r="CP450" i="1"/>
  <c r="AP441" i="1"/>
  <c r="CT431" i="1"/>
  <c r="AT422" i="1"/>
  <c r="CG450" i="1"/>
  <c r="AG441" i="1"/>
  <c r="CK431" i="1"/>
  <c r="AK422" i="1"/>
  <c r="BL450" i="1"/>
  <c r="L441" i="1"/>
  <c r="BP431" i="1"/>
  <c r="P422" i="1"/>
  <c r="CB451" i="1"/>
  <c r="W442" i="1"/>
  <c r="CA432" i="1"/>
  <c r="AA423" i="1"/>
  <c r="BR413" i="1"/>
  <c r="R404" i="1"/>
  <c r="DB450" i="1"/>
  <c r="CL438" i="1"/>
  <c r="AL429" i="1"/>
  <c r="CP419" i="1"/>
  <c r="Y448" i="1"/>
  <c r="CC438" i="1"/>
  <c r="AC429" i="1"/>
  <c r="CG419" i="1"/>
  <c r="DH447" i="1"/>
  <c r="BH438" i="1"/>
  <c r="H429" i="1"/>
  <c r="CD453" i="1"/>
  <c r="DI481" i="1"/>
  <c r="AK470" i="1"/>
  <c r="CW458" i="1"/>
  <c r="BJ448" i="1"/>
  <c r="J439" i="1"/>
  <c r="BN429" i="1"/>
  <c r="N420" i="1"/>
  <c r="BA448" i="1"/>
  <c r="DE438" i="1"/>
  <c r="BE429" i="1"/>
  <c r="DI419" i="1"/>
  <c r="AF448" i="1"/>
  <c r="CJ438" i="1"/>
  <c r="AJ429" i="1"/>
  <c r="DB457" i="1"/>
  <c r="DE486" i="1"/>
  <c r="AW474" i="1"/>
  <c r="DI462" i="1"/>
  <c r="BT451" i="1"/>
  <c r="R442" i="1"/>
  <c r="BV432" i="1"/>
  <c r="V423" i="1"/>
  <c r="BI451" i="1"/>
  <c r="I442" i="1"/>
  <c r="BM432" i="1"/>
  <c r="M423" i="1"/>
  <c r="AN451" i="1"/>
  <c r="CR441" i="1"/>
  <c r="AR432" i="1"/>
  <c r="CV422" i="1"/>
  <c r="CE502" i="1"/>
  <c r="AC478" i="1"/>
  <c r="Q467" i="1"/>
  <c r="BY454" i="1"/>
  <c r="AP445" i="1"/>
  <c r="CT435" i="1"/>
  <c r="AT426" i="1"/>
  <c r="CX416" i="1"/>
  <c r="AG445" i="1"/>
  <c r="CK435" i="1"/>
  <c r="AK426" i="1"/>
  <c r="CO416" i="1"/>
  <c r="L445" i="1"/>
  <c r="BP435" i="1"/>
  <c r="P426" i="1"/>
  <c r="CJ417" i="1"/>
  <c r="W446" i="1"/>
  <c r="CA436" i="1"/>
  <c r="AA427" i="1"/>
  <c r="CE417" i="1"/>
  <c r="R408" i="1"/>
  <c r="BV398" i="1"/>
  <c r="V389" i="1"/>
  <c r="CT400" i="1"/>
  <c r="AH388" i="1"/>
  <c r="AL377" i="1"/>
  <c r="CP367" i="1"/>
  <c r="CO411" i="1"/>
  <c r="AO402" i="1"/>
  <c r="CS392" i="1"/>
  <c r="AS383" i="1"/>
  <c r="CW373" i="1"/>
  <c r="AW364" i="1"/>
  <c r="AB415" i="1"/>
  <c r="BS443" i="1"/>
  <c r="CU438" i="1"/>
  <c r="S434" i="1"/>
  <c r="AU429" i="1"/>
  <c r="BW424" i="1"/>
  <c r="CY419" i="1"/>
  <c r="W415" i="1"/>
  <c r="AL410" i="1"/>
  <c r="BN405" i="1"/>
  <c r="CP400" i="1"/>
  <c r="N396" i="1"/>
  <c r="AP391" i="1"/>
  <c r="BR386" i="1"/>
  <c r="CT381" i="1"/>
  <c r="R377" i="1"/>
  <c r="AT372" i="1"/>
  <c r="BV367" i="1"/>
  <c r="CX362" i="1"/>
  <c r="BU411" i="1"/>
  <c r="CW406" i="1"/>
  <c r="U402" i="1"/>
  <c r="AW397" i="1"/>
  <c r="BY392" i="1"/>
  <c r="DA387" i="1"/>
  <c r="Y383" i="1"/>
  <c r="BA378" i="1"/>
  <c r="CC373" i="1"/>
  <c r="DE368" i="1"/>
  <c r="AC364" i="1"/>
  <c r="L420" i="1"/>
  <c r="AN415" i="1"/>
  <c r="BC448" i="1"/>
  <c r="CE443" i="1"/>
  <c r="DG438" i="1"/>
  <c r="AE434" i="1"/>
  <c r="BG429" i="1"/>
  <c r="CI424" i="1"/>
  <c r="G420" i="1"/>
  <c r="AI415" i="1"/>
  <c r="AX410" i="1"/>
  <c r="BZ405" i="1"/>
  <c r="DB400" i="1"/>
  <c r="Z396" i="1"/>
  <c r="BB391" i="1"/>
  <c r="CD386" i="1"/>
  <c r="DF381" i="1"/>
  <c r="AD377" i="1"/>
  <c r="BF372" i="1"/>
  <c r="CH367" i="1"/>
  <c r="F363" i="1"/>
  <c r="CG411" i="1"/>
  <c r="DI406" i="1"/>
  <c r="AG402" i="1"/>
  <c r="BI397" i="1"/>
  <c r="CK392" i="1"/>
  <c r="I388" i="1"/>
  <c r="AK383" i="1"/>
  <c r="BM378" i="1"/>
  <c r="CO373" i="1"/>
  <c r="M369" i="1"/>
  <c r="AO364" i="1"/>
  <c r="AZ419" i="1"/>
  <c r="CB414" i="1"/>
  <c r="CQ447" i="1"/>
  <c r="O443" i="1"/>
  <c r="AQ438" i="1"/>
  <c r="BS433" i="1"/>
  <c r="CU428" i="1"/>
  <c r="S424" i="1"/>
  <c r="AU419" i="1"/>
  <c r="BW414" i="1"/>
  <c r="CL409" i="1"/>
  <c r="J405" i="1"/>
  <c r="AL400" i="1"/>
  <c r="BN395" i="1"/>
  <c r="CP390" i="1"/>
  <c r="N386" i="1"/>
  <c r="AP381" i="1"/>
  <c r="BR376" i="1"/>
  <c r="CT371" i="1"/>
  <c r="R367" i="1"/>
  <c r="AT362" i="1"/>
  <c r="Q411" i="1"/>
  <c r="AS406" i="1"/>
  <c r="BU401" i="1"/>
  <c r="CW396" i="1"/>
  <c r="U392" i="1"/>
  <c r="AW387" i="1"/>
  <c r="BY382" i="1"/>
  <c r="DA377" i="1"/>
  <c r="Y373" i="1"/>
  <c r="BA368" i="1"/>
  <c r="CC363" i="1"/>
  <c r="DE358" i="1"/>
  <c r="U356" i="1"/>
  <c r="AW351" i="1"/>
  <c r="BY346" i="1"/>
  <c r="DA341" i="1"/>
  <c r="BP410" i="1"/>
  <c r="CR405" i="1"/>
  <c r="P401" i="1"/>
  <c r="AR396" i="1"/>
  <c r="BT391" i="1"/>
  <c r="CV386" i="1"/>
  <c r="T382" i="1"/>
  <c r="AV377" i="1"/>
  <c r="DF399" i="1"/>
  <c r="BR393" i="1"/>
  <c r="AD387" i="1"/>
  <c r="AL381" i="1"/>
  <c r="BN376" i="1"/>
  <c r="CP371" i="1"/>
  <c r="N367" i="1"/>
  <c r="AP362" i="1"/>
  <c r="M411" i="1"/>
  <c r="AO406" i="1"/>
  <c r="BQ401" i="1"/>
  <c r="CS396" i="1"/>
  <c r="Q392" i="1"/>
  <c r="AS387" i="1"/>
  <c r="BU382" i="1"/>
  <c r="CW377" i="1"/>
  <c r="U373" i="1"/>
  <c r="AW368" i="1"/>
  <c r="BY363" i="1"/>
  <c r="AB419" i="1"/>
  <c r="BD414" i="1"/>
  <c r="BS447" i="1"/>
  <c r="CU442" i="1"/>
  <c r="S438" i="1"/>
  <c r="AU433" i="1"/>
  <c r="BW428" i="1"/>
  <c r="CY423" i="1"/>
  <c r="W419" i="1"/>
  <c r="AY414" i="1"/>
  <c r="BN409" i="1"/>
  <c r="CP404" i="1"/>
  <c r="N400" i="1"/>
  <c r="AP395" i="1"/>
  <c r="BR390" i="1"/>
  <c r="CT385" i="1"/>
  <c r="R381" i="1"/>
  <c r="V378" i="1"/>
  <c r="CL375" i="1"/>
  <c r="AX373" i="1"/>
  <c r="J371" i="1"/>
  <c r="BZ368" i="1"/>
  <c r="AL366" i="1"/>
  <c r="DB363" i="1"/>
  <c r="BN361" i="1"/>
  <c r="BY412" i="1"/>
  <c r="AK410" i="1"/>
  <c r="DA407" i="1"/>
  <c r="BM405" i="1"/>
  <c r="Y403" i="1"/>
  <c r="CO400" i="1"/>
  <c r="BA398" i="1"/>
  <c r="M396" i="1"/>
  <c r="CC393" i="1"/>
  <c r="AO391" i="1"/>
  <c r="DE388" i="1"/>
  <c r="BQ386" i="1"/>
  <c r="AC384" i="1"/>
  <c r="CS381" i="1"/>
  <c r="BE379" i="1"/>
  <c r="Q377" i="1"/>
  <c r="CG374" i="1"/>
  <c r="AS372" i="1"/>
  <c r="DI369" i="1"/>
  <c r="BU367" i="1"/>
  <c r="AG365" i="1"/>
  <c r="CW362" i="1"/>
  <c r="L422" i="1"/>
  <c r="CF418" i="1"/>
  <c r="AR416" i="1"/>
  <c r="DH413" i="1"/>
  <c r="BG449" i="1"/>
  <c r="S447" i="1"/>
  <c r="CI444" i="1"/>
  <c r="AU442" i="1"/>
  <c r="G440" i="1"/>
  <c r="BW437" i="1"/>
  <c r="AI435" i="1"/>
  <c r="CY432" i="1"/>
  <c r="BK430" i="1"/>
  <c r="W428" i="1"/>
  <c r="CM425" i="1"/>
  <c r="AY423" i="1"/>
  <c r="K421" i="1"/>
  <c r="CA418" i="1"/>
  <c r="AM416" i="1"/>
  <c r="CQ413" i="1"/>
  <c r="BB411" i="1"/>
  <c r="N409" i="1"/>
  <c r="CD406" i="1"/>
  <c r="AP404" i="1"/>
  <c r="DF401" i="1"/>
  <c r="BR399" i="1"/>
  <c r="AD397" i="1"/>
  <c r="CT394" i="1"/>
  <c r="BF392" i="1"/>
  <c r="R390" i="1"/>
  <c r="CH387" i="1"/>
  <c r="AT385" i="1"/>
  <c r="F383" i="1"/>
  <c r="BV380" i="1"/>
  <c r="AH378" i="1"/>
  <c r="CX375" i="1"/>
  <c r="BJ373" i="1"/>
  <c r="V371" i="1"/>
  <c r="CL368" i="1"/>
  <c r="AX366" i="1"/>
  <c r="J364" i="1"/>
  <c r="BZ361" i="1"/>
  <c r="CK412" i="1"/>
  <c r="AW410" i="1"/>
  <c r="I408" i="1"/>
  <c r="BY405" i="1"/>
  <c r="AK403" i="1"/>
  <c r="DA400" i="1"/>
  <c r="BM398" i="1"/>
  <c r="Y396" i="1"/>
  <c r="CO393" i="1"/>
  <c r="BA391" i="1"/>
  <c r="M389" i="1"/>
  <c r="CC386" i="1"/>
  <c r="AO384" i="1"/>
  <c r="DE381" i="1"/>
  <c r="BQ379" i="1"/>
  <c r="AC377" i="1"/>
  <c r="CS374" i="1"/>
  <c r="BE372" i="1"/>
  <c r="Q370" i="1"/>
  <c r="CG367" i="1"/>
  <c r="AS365" i="1"/>
  <c r="DI362" i="1"/>
  <c r="BH420" i="1"/>
  <c r="P418" i="1"/>
  <c r="CF415" i="1"/>
  <c r="AE451" i="1"/>
  <c r="CU448" i="1"/>
  <c r="BG446" i="1"/>
  <c r="S444" i="1"/>
  <c r="CI441" i="1"/>
  <c r="AU439" i="1"/>
  <c r="G437" i="1"/>
  <c r="BW434" i="1"/>
  <c r="AI432" i="1"/>
  <c r="CY429" i="1"/>
  <c r="BK427" i="1"/>
  <c r="W425" i="1"/>
  <c r="CM422" i="1"/>
  <c r="AY420" i="1"/>
  <c r="K418" i="1"/>
  <c r="CA415" i="1"/>
  <c r="Z413" i="1"/>
  <c r="CP410" i="1"/>
  <c r="BB408" i="1"/>
  <c r="N406" i="1"/>
  <c r="CD403" i="1"/>
  <c r="AP401" i="1"/>
  <c r="DF398" i="1"/>
  <c r="BR396" i="1"/>
  <c r="AD394" i="1"/>
  <c r="CT391" i="1"/>
  <c r="BF389" i="1"/>
  <c r="R387" i="1"/>
  <c r="CH384" i="1"/>
  <c r="AT382" i="1"/>
  <c r="F380" i="1"/>
  <c r="BV377" i="1"/>
  <c r="AH375" i="1"/>
  <c r="CX372" i="1"/>
  <c r="BJ370" i="1"/>
  <c r="V368" i="1"/>
  <c r="CL365" i="1"/>
  <c r="AX363" i="1"/>
  <c r="J361" i="1"/>
  <c r="U412" i="1"/>
  <c r="CK409" i="1"/>
  <c r="AW407" i="1"/>
  <c r="I405" i="1"/>
  <c r="BY402" i="1"/>
  <c r="AK400" i="1"/>
  <c r="DA397" i="1"/>
  <c r="BM395" i="1"/>
  <c r="Y393" i="1"/>
  <c r="CO390" i="1"/>
  <c r="BA388" i="1"/>
  <c r="M386" i="1"/>
  <c r="CC383" i="1"/>
  <c r="AO381" i="1"/>
  <c r="DE378" i="1"/>
  <c r="BQ376" i="1"/>
  <c r="AC374" i="1"/>
  <c r="CS371" i="1"/>
  <c r="BE369" i="1"/>
  <c r="Q367" i="1"/>
  <c r="CG364" i="1"/>
  <c r="AS362" i="1"/>
  <c r="DI359" i="1"/>
  <c r="CO359" i="1"/>
  <c r="Y357" i="1"/>
  <c r="CO354" i="1"/>
  <c r="BA352" i="1"/>
  <c r="M350" i="1"/>
  <c r="CC347" i="1"/>
  <c r="AO345" i="1"/>
  <c r="DE342" i="1"/>
  <c r="BQ340" i="1"/>
  <c r="BT411" i="1"/>
  <c r="AF409" i="1"/>
  <c r="CV406" i="1"/>
  <c r="BH404" i="1"/>
  <c r="T402" i="1"/>
  <c r="CJ399" i="1"/>
  <c r="AV397" i="1"/>
  <c r="H395" i="1"/>
  <c r="BX392" i="1"/>
  <c r="AJ390" i="1"/>
  <c r="CZ387" i="1"/>
  <c r="BL385" i="1"/>
  <c r="AD403" i="1"/>
  <c r="BZ399" i="1"/>
  <c r="BN396" i="1"/>
  <c r="BB393" i="1"/>
  <c r="Z390" i="1"/>
  <c r="N387" i="1"/>
  <c r="DF383" i="1"/>
  <c r="V381" i="1"/>
  <c r="CL378" i="1"/>
  <c r="AX376" i="1"/>
  <c r="J374" i="1"/>
  <c r="BZ371" i="1"/>
  <c r="AL369" i="1"/>
  <c r="DB366" i="1"/>
  <c r="BN364" i="1"/>
  <c r="Z362" i="1"/>
  <c r="AK413" i="1"/>
  <c r="DA410" i="1"/>
  <c r="BM408" i="1"/>
  <c r="Y406" i="1"/>
  <c r="CO403" i="1"/>
  <c r="BA401" i="1"/>
  <c r="M399" i="1"/>
  <c r="CC396" i="1"/>
  <c r="AO394" i="1"/>
  <c r="DE391" i="1"/>
  <c r="BQ389" i="1"/>
  <c r="AC387" i="1"/>
  <c r="CS384" i="1"/>
  <c r="BE382" i="1"/>
  <c r="Q380" i="1"/>
  <c r="CG377" i="1"/>
  <c r="AS375" i="1"/>
  <c r="DI372" i="1"/>
  <c r="BU370" i="1"/>
  <c r="AG368" i="1"/>
  <c r="CW365" i="1"/>
  <c r="BI363" i="1"/>
  <c r="AV423" i="1"/>
  <c r="L419" i="1"/>
  <c r="CB416" i="1"/>
  <c r="AN414" i="1"/>
  <c r="CQ449" i="1"/>
  <c r="BC447" i="1"/>
  <c r="O445" i="1"/>
  <c r="CE442" i="1"/>
  <c r="AQ440" i="1"/>
  <c r="DG437" i="1"/>
  <c r="BS435" i="1"/>
  <c r="AE433" i="1"/>
  <c r="CU430" i="1"/>
  <c r="BG428" i="1"/>
  <c r="S426" i="1"/>
  <c r="CI423" i="1"/>
  <c r="AU421" i="1"/>
  <c r="G419" i="1"/>
  <c r="BW416" i="1"/>
  <c r="AI414" i="1"/>
  <c r="CL411" i="1"/>
  <c r="AX409" i="1"/>
  <c r="J407" i="1"/>
  <c r="BZ404" i="1"/>
  <c r="AL402" i="1"/>
  <c r="DB399" i="1"/>
  <c r="BN397" i="1"/>
  <c r="Z395" i="1"/>
  <c r="CP392" i="1"/>
  <c r="BB390" i="1"/>
  <c r="N388" i="1"/>
  <c r="CD385" i="1"/>
  <c r="AP383" i="1"/>
  <c r="DF380" i="1"/>
  <c r="BR378" i="1"/>
  <c r="AD376" i="1"/>
  <c r="CT373" i="1"/>
  <c r="BF371" i="1"/>
  <c r="R369" i="1"/>
  <c r="CH366" i="1"/>
  <c r="AT364" i="1"/>
  <c r="F362" i="1"/>
  <c r="Q413" i="1"/>
  <c r="CG410" i="1"/>
  <c r="AS408" i="1"/>
  <c r="DI405" i="1"/>
  <c r="BU403" i="1"/>
  <c r="AG401" i="1"/>
  <c r="CW398" i="1"/>
  <c r="BI396" i="1"/>
  <c r="U394" i="1"/>
  <c r="CK391" i="1"/>
  <c r="AW389" i="1"/>
  <c r="I387" i="1"/>
  <c r="BY384" i="1"/>
  <c r="AK382" i="1"/>
  <c r="DA379" i="1"/>
  <c r="BM377" i="1"/>
  <c r="Y375" i="1"/>
  <c r="CO372" i="1"/>
  <c r="BA370" i="1"/>
  <c r="M368" i="1"/>
  <c r="CC365" i="1"/>
  <c r="AO363" i="1"/>
  <c r="DE360" i="1"/>
  <c r="X419" i="1"/>
  <c r="CN416" i="1"/>
  <c r="AZ414" i="1"/>
  <c r="DC449" i="1"/>
  <c r="BO447" i="1"/>
  <c r="AA445" i="1"/>
  <c r="CQ442" i="1"/>
  <c r="BC440" i="1"/>
  <c r="O438" i="1"/>
  <c r="CE435" i="1"/>
  <c r="AQ433" i="1"/>
  <c r="DG430" i="1"/>
  <c r="BS428" i="1"/>
  <c r="AE426" i="1"/>
  <c r="CU423" i="1"/>
  <c r="BG421" i="1"/>
  <c r="S419" i="1"/>
  <c r="CI416" i="1"/>
  <c r="AU414" i="1"/>
  <c r="CX411" i="1"/>
  <c r="BJ409" i="1"/>
  <c r="V407" i="1"/>
  <c r="CL404" i="1"/>
  <c r="AX402" i="1"/>
  <c r="J400" i="1"/>
  <c r="BZ397" i="1"/>
  <c r="AL395" i="1"/>
  <c r="DB392" i="1"/>
  <c r="BN390" i="1"/>
  <c r="Z388" i="1"/>
  <c r="CP385" i="1"/>
  <c r="BB383" i="1"/>
  <c r="N381" i="1"/>
  <c r="CD378" i="1"/>
  <c r="AP376" i="1"/>
  <c r="DF373" i="1"/>
  <c r="BR371" i="1"/>
  <c r="AD369" i="1"/>
  <c r="CT366" i="1"/>
  <c r="BF364" i="1"/>
  <c r="R362" i="1"/>
  <c r="AC413" i="1"/>
  <c r="CS410" i="1"/>
  <c r="BE408" i="1"/>
  <c r="Q406" i="1"/>
  <c r="CG403" i="1"/>
  <c r="AS401" i="1"/>
  <c r="DI398" i="1"/>
  <c r="BU396" i="1"/>
  <c r="AG394" i="1"/>
  <c r="CW391" i="1"/>
  <c r="BI389" i="1"/>
  <c r="U387" i="1"/>
  <c r="CK384" i="1"/>
  <c r="AW382" i="1"/>
  <c r="I380" i="1"/>
  <c r="BY377" i="1"/>
  <c r="AK375" i="1"/>
  <c r="DA372" i="1"/>
  <c r="BM370" i="1"/>
  <c r="Y368" i="1"/>
  <c r="CO365" i="1"/>
  <c r="BA363" i="1"/>
  <c r="AN421" i="1"/>
  <c r="BL418" i="1"/>
  <c r="X416" i="1"/>
  <c r="CN413" i="1"/>
  <c r="AM449" i="1"/>
  <c r="DC446" i="1"/>
  <c r="BO444" i="1"/>
  <c r="AA442" i="1"/>
  <c r="CQ439" i="1"/>
  <c r="BC437" i="1"/>
  <c r="O435" i="1"/>
  <c r="CE432" i="1"/>
  <c r="AQ430" i="1"/>
  <c r="DG427" i="1"/>
  <c r="BS425" i="1"/>
  <c r="AE423" i="1"/>
  <c r="CU420" i="1"/>
  <c r="BG418" i="1"/>
  <c r="S416" i="1"/>
  <c r="BV413" i="1"/>
  <c r="AH411" i="1"/>
  <c r="CX408" i="1"/>
  <c r="BJ406" i="1"/>
  <c r="V404" i="1"/>
  <c r="CL401" i="1"/>
  <c r="AX399" i="1"/>
  <c r="J397" i="1"/>
  <c r="BZ394" i="1"/>
  <c r="AL392" i="1"/>
  <c r="DB389" i="1"/>
  <c r="BN387" i="1"/>
  <c r="Z385" i="1"/>
  <c r="CP382" i="1"/>
  <c r="BB380" i="1"/>
  <c r="N378" i="1"/>
  <c r="CD375" i="1"/>
  <c r="AP373" i="1"/>
  <c r="DF370" i="1"/>
  <c r="BR368" i="1"/>
  <c r="AD366" i="1"/>
  <c r="CT363" i="1"/>
  <c r="BF361" i="1"/>
  <c r="BQ412" i="1"/>
  <c r="AC410" i="1"/>
  <c r="CS407" i="1"/>
  <c r="BE405" i="1"/>
  <c r="Q403" i="1"/>
  <c r="CG400" i="1"/>
  <c r="AS398" i="1"/>
  <c r="DI395" i="1"/>
  <c r="BU393" i="1"/>
  <c r="AG391" i="1"/>
  <c r="CW388" i="1"/>
  <c r="BI386" i="1"/>
  <c r="U384" i="1"/>
  <c r="CK381" i="1"/>
  <c r="AW379" i="1"/>
  <c r="I377" i="1"/>
  <c r="BY374" i="1"/>
  <c r="AK372" i="1"/>
  <c r="DA369" i="1"/>
  <c r="BM367" i="1"/>
  <c r="Y365" i="1"/>
  <c r="CO362" i="1"/>
  <c r="BA360" i="1"/>
  <c r="AW360" i="1"/>
  <c r="BU357" i="1"/>
  <c r="AG355" i="1"/>
  <c r="CW352" i="1"/>
  <c r="BI350" i="1"/>
  <c r="U348" i="1"/>
  <c r="CK345" i="1"/>
  <c r="AW343" i="1"/>
  <c r="I341" i="1"/>
  <c r="L412" i="1"/>
  <c r="CB409" i="1"/>
  <c r="AN407" i="1"/>
  <c r="DD404" i="1"/>
  <c r="BP402" i="1"/>
  <c r="AB400" i="1"/>
  <c r="CR397" i="1"/>
  <c r="BD395" i="1"/>
  <c r="P393" i="1"/>
  <c r="CF390" i="1"/>
  <c r="AR388" i="1"/>
  <c r="DH385" i="1"/>
  <c r="DB402" i="1"/>
  <c r="BJ399" i="1"/>
  <c r="AX396" i="1"/>
  <c r="V393" i="1"/>
  <c r="J390" i="1"/>
  <c r="DB386" i="1"/>
  <c r="BZ383" i="1"/>
  <c r="F381" i="1"/>
  <c r="BV378" i="1"/>
  <c r="AH376" i="1"/>
  <c r="CX373" i="1"/>
  <c r="BJ371" i="1"/>
  <c r="V369" i="1"/>
  <c r="CL366" i="1"/>
  <c r="AX364" i="1"/>
  <c r="J362" i="1"/>
  <c r="U413" i="1"/>
  <c r="CK410" i="1"/>
  <c r="AW408" i="1"/>
  <c r="I406" i="1"/>
  <c r="BY403" i="1"/>
  <c r="AK401" i="1"/>
  <c r="DA398" i="1"/>
  <c r="BM396" i="1"/>
  <c r="Y394" i="1"/>
  <c r="CO391" i="1"/>
  <c r="BA389" i="1"/>
  <c r="M387" i="1"/>
  <c r="CC384" i="1"/>
  <c r="AO382" i="1"/>
  <c r="DE379" i="1"/>
  <c r="BQ377" i="1"/>
  <c r="AC375" i="1"/>
  <c r="CS372" i="1"/>
  <c r="BE370" i="1"/>
  <c r="Q368" i="1"/>
  <c r="CG365" i="1"/>
  <c r="AS363" i="1"/>
  <c r="CN422" i="1"/>
  <c r="CZ418" i="1"/>
  <c r="BL416" i="1"/>
  <c r="X414" i="1"/>
  <c r="CA449" i="1"/>
  <c r="AM447" i="1"/>
  <c r="DC444" i="1"/>
  <c r="BO442" i="1"/>
  <c r="AA440" i="1"/>
  <c r="CQ437" i="1"/>
  <c r="BC435" i="1"/>
  <c r="O433" i="1"/>
  <c r="CE430" i="1"/>
  <c r="AQ428" i="1"/>
  <c r="DG425" i="1"/>
  <c r="BS423" i="1"/>
  <c r="AE421" i="1"/>
  <c r="CU418" i="1"/>
  <c r="BG416" i="1"/>
  <c r="S414" i="1"/>
  <c r="BV411" i="1"/>
  <c r="AH409" i="1"/>
  <c r="CX406" i="1"/>
  <c r="BJ404" i="1"/>
  <c r="V402" i="1"/>
  <c r="CL399" i="1"/>
  <c r="AX397" i="1"/>
  <c r="J395" i="1"/>
  <c r="BZ392" i="1"/>
  <c r="AL390" i="1"/>
  <c r="DB387" i="1"/>
  <c r="BN385" i="1"/>
  <c r="Z383" i="1"/>
  <c r="CP380" i="1"/>
  <c r="BB378" i="1"/>
  <c r="N376" i="1"/>
  <c r="CD373" i="1"/>
  <c r="AP371" i="1"/>
  <c r="DF368" i="1"/>
  <c r="BR366" i="1"/>
  <c r="AD364" i="1"/>
  <c r="CT361" i="1"/>
  <c r="DE412" i="1"/>
  <c r="BQ410" i="1"/>
  <c r="AC408" i="1"/>
  <c r="CS405" i="1"/>
  <c r="BE403" i="1"/>
  <c r="Q401" i="1"/>
  <c r="CG398" i="1"/>
  <c r="AS396" i="1"/>
  <c r="DI393" i="1"/>
  <c r="BU391" i="1"/>
  <c r="AG389" i="1"/>
  <c r="CW386" i="1"/>
  <c r="BI384" i="1"/>
  <c r="U382" i="1"/>
  <c r="CK379" i="1"/>
  <c r="AW377" i="1"/>
  <c r="I375" i="1"/>
  <c r="BY372" i="1"/>
  <c r="AK370" i="1"/>
  <c r="DA367" i="1"/>
  <c r="BM365" i="1"/>
  <c r="Y363" i="1"/>
  <c r="AF423" i="1"/>
  <c r="H419" i="1"/>
  <c r="BX416" i="1"/>
  <c r="AJ414" i="1"/>
  <c r="CM449" i="1"/>
  <c r="AY447" i="1"/>
  <c r="K445" i="1"/>
  <c r="CA442" i="1"/>
  <c r="AM440" i="1"/>
  <c r="DC437" i="1"/>
  <c r="BO435" i="1"/>
  <c r="AA433" i="1"/>
  <c r="CQ430" i="1"/>
  <c r="BC428" i="1"/>
  <c r="O426" i="1"/>
  <c r="CE423" i="1"/>
  <c r="AQ421" i="1"/>
  <c r="DG418" i="1"/>
  <c r="BS416" i="1"/>
  <c r="AE414" i="1"/>
  <c r="CH411" i="1"/>
  <c r="AT409" i="1"/>
  <c r="F407" i="1"/>
  <c r="BV404" i="1"/>
  <c r="AH402" i="1"/>
  <c r="CX399" i="1"/>
  <c r="BJ397" i="1"/>
  <c r="V395" i="1"/>
  <c r="CL392" i="1"/>
  <c r="AX390" i="1"/>
  <c r="J388" i="1"/>
  <c r="BZ385" i="1"/>
  <c r="AL383" i="1"/>
  <c r="DB380" i="1"/>
  <c r="BN378" i="1"/>
  <c r="Z376" i="1"/>
  <c r="CP373" i="1"/>
  <c r="BB371" i="1"/>
  <c r="N369" i="1"/>
  <c r="CD366" i="1"/>
  <c r="AP364" i="1"/>
  <c r="DF361" i="1"/>
  <c r="M413" i="1"/>
  <c r="CC410" i="1"/>
  <c r="AO408" i="1"/>
  <c r="DE405" i="1"/>
  <c r="BQ403" i="1"/>
  <c r="AC401" i="1"/>
  <c r="CS398" i="1"/>
  <c r="BE396" i="1"/>
  <c r="Q394" i="1"/>
  <c r="CG391" i="1"/>
  <c r="AS389" i="1"/>
  <c r="DI386" i="1"/>
  <c r="BU384" i="1"/>
  <c r="AG382" i="1"/>
  <c r="CW379" i="1"/>
  <c r="BI377" i="1"/>
  <c r="U375" i="1"/>
  <c r="CK372" i="1"/>
  <c r="AW370" i="1"/>
  <c r="I368" i="1"/>
  <c r="BY365" i="1"/>
  <c r="AK363" i="1"/>
  <c r="DD420" i="1"/>
  <c r="AV418" i="1"/>
  <c r="H416" i="1"/>
  <c r="BK451" i="1"/>
  <c r="W449" i="1"/>
  <c r="CM446" i="1"/>
  <c r="AY444" i="1"/>
  <c r="K442" i="1"/>
  <c r="CA439" i="1"/>
  <c r="AM437" i="1"/>
  <c r="DC434" i="1"/>
  <c r="BO432" i="1"/>
  <c r="AA430" i="1"/>
  <c r="CQ427" i="1"/>
  <c r="BC425" i="1"/>
  <c r="O423" i="1"/>
  <c r="CE420" i="1"/>
  <c r="AQ418" i="1"/>
  <c r="DG415" i="1"/>
  <c r="BF413" i="1"/>
  <c r="R411" i="1"/>
  <c r="CH408" i="1"/>
  <c r="AT406" i="1"/>
  <c r="F404" i="1"/>
  <c r="BV401" i="1"/>
  <c r="AH399" i="1"/>
  <c r="CX396" i="1"/>
  <c r="BJ394" i="1"/>
  <c r="V392" i="1"/>
  <c r="CL389" i="1"/>
  <c r="AX387" i="1"/>
  <c r="J385" i="1"/>
  <c r="BZ382" i="1"/>
  <c r="AL380" i="1"/>
  <c r="DB377" i="1"/>
  <c r="BN375" i="1"/>
  <c r="Z373" i="1"/>
  <c r="CP370" i="1"/>
  <c r="BB368" i="1"/>
  <c r="N366" i="1"/>
  <c r="CD363" i="1"/>
  <c r="AP361" i="1"/>
  <c r="BA412" i="1"/>
  <c r="M410" i="1"/>
  <c r="CC407" i="1"/>
  <c r="AO405" i="1"/>
  <c r="DE402" i="1"/>
  <c r="BQ400" i="1"/>
  <c r="AC398" i="1"/>
  <c r="CS395" i="1"/>
  <c r="BE393" i="1"/>
  <c r="Q391" i="1"/>
  <c r="CG388" i="1"/>
  <c r="AS386" i="1"/>
  <c r="DI383" i="1"/>
  <c r="BU381" i="1"/>
  <c r="AG379" i="1"/>
  <c r="CW376" i="1"/>
  <c r="BI374" i="1"/>
  <c r="U372" i="1"/>
  <c r="CK369" i="1"/>
  <c r="AW367" i="1"/>
  <c r="I365" i="1"/>
  <c r="BY362" i="1"/>
  <c r="AK360" i="1"/>
  <c r="AV452" i="1"/>
  <c r="AI487" i="1"/>
  <c r="I512" i="1"/>
  <c r="CJ479" i="1"/>
  <c r="S473" i="1"/>
  <c r="CL465" i="1"/>
  <c r="BD503" i="1"/>
  <c r="CF459" i="1"/>
  <c r="AE453" i="1"/>
  <c r="BG496" i="1"/>
  <c r="DF443" i="1"/>
  <c r="CP423" i="1"/>
  <c r="CG423" i="1"/>
  <c r="BF459" i="1"/>
  <c r="DE452" i="1"/>
  <c r="Z415" i="1"/>
  <c r="Q415" i="1"/>
  <c r="CX451" i="1"/>
  <c r="CD446" i="1"/>
  <c r="BU446" i="1"/>
  <c r="AZ446" i="1"/>
  <c r="CO482" i="1"/>
  <c r="CT439" i="1"/>
  <c r="CK439" i="1"/>
  <c r="BP439" i="1"/>
  <c r="CA440" i="1"/>
  <c r="BI459" i="1"/>
  <c r="DF415" i="1"/>
  <c r="CW415" i="1"/>
  <c r="S502" i="1"/>
  <c r="BZ444" i="1"/>
  <c r="BQ444" i="1"/>
  <c r="AO417" i="1"/>
  <c r="P436" i="1"/>
  <c r="R454" i="1"/>
  <c r="AO472" i="1"/>
  <c r="BJ449" i="1"/>
  <c r="BN430" i="1"/>
  <c r="BA449" i="1"/>
  <c r="BE430" i="1"/>
  <c r="AF449" i="1"/>
  <c r="AJ430" i="1"/>
  <c r="BS488" i="1"/>
  <c r="AW463" i="1"/>
  <c r="BZ442" i="1"/>
  <c r="CD423" i="1"/>
  <c r="BQ442" i="1"/>
  <c r="BU423" i="1"/>
  <c r="AV442" i="1"/>
  <c r="AZ423" i="1"/>
  <c r="BG443" i="1"/>
  <c r="BK424" i="1"/>
  <c r="BB405" i="1"/>
  <c r="BF442" i="1"/>
  <c r="DB422" i="1"/>
  <c r="CO441" i="1"/>
  <c r="CS422" i="1"/>
  <c r="BT441" i="1"/>
  <c r="DF457" i="1"/>
  <c r="BA474" i="1"/>
  <c r="CA451" i="1"/>
  <c r="V442" i="1"/>
  <c r="BZ432" i="1"/>
  <c r="Z423" i="1"/>
  <c r="BN451" i="1"/>
  <c r="M442" i="1"/>
  <c r="BQ432" i="1"/>
  <c r="Q423" i="1"/>
  <c r="AR451" i="1"/>
  <c r="CV441" i="1"/>
  <c r="AV432" i="1"/>
  <c r="CZ422" i="1"/>
  <c r="BO506" i="1"/>
  <c r="CC478" i="1"/>
  <c r="U467" i="1"/>
  <c r="BM454" i="1"/>
  <c r="AD445" i="1"/>
  <c r="CH435" i="1"/>
  <c r="AH426" i="1"/>
  <c r="CL416" i="1"/>
  <c r="U445" i="1"/>
  <c r="BY435" i="1"/>
  <c r="Y426" i="1"/>
  <c r="CC416" i="1"/>
  <c r="DD444" i="1"/>
  <c r="BD435" i="1"/>
  <c r="DH425" i="1"/>
  <c r="J453" i="1"/>
  <c r="AO481" i="1"/>
  <c r="AC470" i="1"/>
  <c r="BY458" i="1"/>
  <c r="BB448" i="1"/>
  <c r="DF438" i="1"/>
  <c r="BF429" i="1"/>
  <c r="F420" i="1"/>
  <c r="AS448" i="1"/>
  <c r="CW438" i="1"/>
  <c r="AW429" i="1"/>
  <c r="DA419" i="1"/>
  <c r="X448" i="1"/>
  <c r="CB438" i="1"/>
  <c r="AB429" i="1"/>
  <c r="X421" i="1"/>
  <c r="AI449" i="1"/>
  <c r="CM439" i="1"/>
  <c r="AM430" i="1"/>
  <c r="CQ420" i="1"/>
  <c r="AD411" i="1"/>
  <c r="AS463" i="1"/>
  <c r="CP447" i="1"/>
  <c r="AX436" i="1"/>
  <c r="DB426" i="1"/>
  <c r="BB417" i="1"/>
  <c r="CO445" i="1"/>
  <c r="AO436" i="1"/>
  <c r="CS426" i="1"/>
  <c r="AS417" i="1"/>
  <c r="BT445" i="1"/>
  <c r="T436" i="1"/>
  <c r="BX426" i="1"/>
  <c r="M529" i="1"/>
  <c r="BU479" i="1"/>
  <c r="DA467" i="1"/>
  <c r="BE455" i="1"/>
  <c r="V446" i="1"/>
  <c r="BZ436" i="1"/>
  <c r="Z427" i="1"/>
  <c r="CD417" i="1"/>
  <c r="M446" i="1"/>
  <c r="BQ436" i="1"/>
  <c r="Q427" i="1"/>
  <c r="BU417" i="1"/>
  <c r="CV445" i="1"/>
  <c r="AV436" i="1"/>
  <c r="CZ426" i="1"/>
  <c r="AX454" i="1"/>
  <c r="CC482" i="1"/>
  <c r="I472" i="1"/>
  <c r="BQ459" i="1"/>
  <c r="AD449" i="1"/>
  <c r="CH439" i="1"/>
  <c r="AH430" i="1"/>
  <c r="CL420" i="1"/>
  <c r="U449" i="1"/>
  <c r="BY439" i="1"/>
  <c r="Y430" i="1"/>
  <c r="CC420" i="1"/>
  <c r="DD448" i="1"/>
  <c r="BD439" i="1"/>
  <c r="DH429" i="1"/>
  <c r="AH458" i="1"/>
  <c r="BE487" i="1"/>
  <c r="AG475" i="1"/>
  <c r="CC463" i="1"/>
  <c r="AK452" i="1"/>
  <c r="DF442" i="1"/>
  <c r="BF433" i="1"/>
  <c r="F424" i="1"/>
  <c r="BJ414" i="1"/>
  <c r="CW442" i="1"/>
  <c r="AW433" i="1"/>
  <c r="DA423" i="1"/>
  <c r="BA414" i="1"/>
  <c r="CB442" i="1"/>
  <c r="AB433" i="1"/>
  <c r="CF423" i="1"/>
  <c r="AV415" i="1"/>
  <c r="CM443" i="1"/>
  <c r="AM434" i="1"/>
  <c r="CQ424" i="1"/>
  <c r="AQ415" i="1"/>
  <c r="CH405" i="1"/>
  <c r="AH396" i="1"/>
  <c r="CL386" i="1"/>
  <c r="CH397" i="1"/>
  <c r="V385" i="1"/>
  <c r="DB374" i="1"/>
  <c r="BB365" i="1"/>
  <c r="BA409" i="1"/>
  <c r="DE399" i="1"/>
  <c r="BE390" i="1"/>
  <c r="DI380" i="1"/>
  <c r="BI371" i="1"/>
  <c r="I362" i="1"/>
  <c r="CE450" i="1"/>
  <c r="CQ441" i="1"/>
  <c r="O437" i="1"/>
  <c r="AQ432" i="1"/>
  <c r="BS427" i="1"/>
  <c r="CU422" i="1"/>
  <c r="S418" i="1"/>
  <c r="AH413" i="1"/>
  <c r="BJ408" i="1"/>
  <c r="CL403" i="1"/>
  <c r="J399" i="1"/>
  <c r="AL394" i="1"/>
  <c r="BN389" i="1"/>
  <c r="CP384" i="1"/>
  <c r="N380" i="1"/>
  <c r="AP375" i="1"/>
  <c r="BR370" i="1"/>
  <c r="CT365" i="1"/>
  <c r="R361" i="1"/>
  <c r="CS409" i="1"/>
  <c r="Q405" i="1"/>
  <c r="AS400" i="1"/>
  <c r="BU395" i="1"/>
  <c r="CW390" i="1"/>
  <c r="U386" i="1"/>
  <c r="AW381" i="1"/>
  <c r="BY376" i="1"/>
  <c r="DA371" i="1"/>
  <c r="Y367" i="1"/>
  <c r="BA362" i="1"/>
  <c r="AJ418" i="1"/>
  <c r="AY451" i="1"/>
  <c r="CA446" i="1"/>
  <c r="DC441" i="1"/>
  <c r="AA437" i="1"/>
  <c r="BC432" i="1"/>
  <c r="CE427" i="1"/>
  <c r="DG422" i="1"/>
  <c r="AE418" i="1"/>
  <c r="AT413" i="1"/>
  <c r="BV408" i="1"/>
  <c r="CX403" i="1"/>
  <c r="V399" i="1"/>
  <c r="AX394" i="1"/>
  <c r="BZ389" i="1"/>
  <c r="DB384" i="1"/>
  <c r="Z380" i="1"/>
  <c r="BB375" i="1"/>
  <c r="CD370" i="1"/>
  <c r="DF365" i="1"/>
  <c r="AD361" i="1"/>
  <c r="DE409" i="1"/>
  <c r="AC405" i="1"/>
  <c r="BE400" i="1"/>
  <c r="CG395" i="1"/>
  <c r="DI390" i="1"/>
  <c r="AG386" i="1"/>
  <c r="BI381" i="1"/>
  <c r="CK376" i="1"/>
  <c r="I372" i="1"/>
  <c r="AK367" i="1"/>
  <c r="BM362" i="1"/>
  <c r="BX417" i="1"/>
  <c r="CM450" i="1"/>
  <c r="K446" i="1"/>
  <c r="AM441" i="1"/>
  <c r="BO436" i="1"/>
  <c r="CQ431" i="1"/>
  <c r="O427" i="1"/>
  <c r="AQ422" i="1"/>
  <c r="BS417" i="1"/>
  <c r="CH412" i="1"/>
  <c r="F408" i="1"/>
  <c r="AH403" i="1"/>
  <c r="BJ398" i="1"/>
  <c r="CL393" i="1"/>
  <c r="J389" i="1"/>
  <c r="AL384" i="1"/>
  <c r="BN379" i="1"/>
  <c r="CP374" i="1"/>
  <c r="N370" i="1"/>
  <c r="AP365" i="1"/>
  <c r="BR360" i="1"/>
  <c r="AO409" i="1"/>
  <c r="BQ404" i="1"/>
  <c r="CS399" i="1"/>
  <c r="Q395" i="1"/>
  <c r="AS390" i="1"/>
  <c r="BU385" i="1"/>
  <c r="CW380" i="1"/>
  <c r="U376" i="1"/>
  <c r="AW371" i="1"/>
  <c r="BY366" i="1"/>
  <c r="DA361" i="1"/>
  <c r="AC359" i="1"/>
  <c r="AS354" i="1"/>
  <c r="BU349" i="1"/>
  <c r="CW344" i="1"/>
  <c r="BL413" i="1"/>
  <c r="CN408" i="1"/>
  <c r="L404" i="1"/>
  <c r="AN399" i="1"/>
  <c r="BP394" i="1"/>
  <c r="CR389" i="1"/>
  <c r="P385" i="1"/>
  <c r="AR380" i="1"/>
  <c r="BR405" i="1"/>
  <c r="BR397" i="1"/>
  <c r="AD391" i="1"/>
  <c r="CT384" i="1"/>
  <c r="BJ379" i="1"/>
  <c r="CL374" i="1"/>
  <c r="J370" i="1"/>
  <c r="AL365" i="1"/>
  <c r="BN360" i="1"/>
  <c r="AK409" i="1"/>
  <c r="BM404" i="1"/>
  <c r="CO399" i="1"/>
  <c r="M395" i="1"/>
  <c r="AO390" i="1"/>
  <c r="BQ385" i="1"/>
  <c r="CS380" i="1"/>
  <c r="Q376" i="1"/>
  <c r="AS371" i="1"/>
  <c r="BU366" i="1"/>
  <c r="CW361" i="1"/>
  <c r="AZ417" i="1"/>
  <c r="BO450" i="1"/>
  <c r="CQ445" i="1"/>
  <c r="O441" i="1"/>
  <c r="AQ436" i="1"/>
  <c r="BS431" i="1"/>
  <c r="CU426" i="1"/>
  <c r="S422" i="1"/>
  <c r="AU417" i="1"/>
  <c r="BJ412" i="1"/>
  <c r="CL407" i="1"/>
  <c r="J403" i="1"/>
  <c r="AL398" i="1"/>
  <c r="BN393" i="1"/>
  <c r="CP388" i="1"/>
  <c r="N384" i="1"/>
  <c r="DB379" i="1"/>
  <c r="BN377" i="1"/>
  <c r="Z375" i="1"/>
  <c r="CP372" i="1"/>
  <c r="BB370" i="1"/>
  <c r="N368" i="1"/>
  <c r="CD365" i="1"/>
  <c r="AP363" i="1"/>
  <c r="DF360" i="1"/>
  <c r="M412" i="1"/>
  <c r="CC409" i="1"/>
  <c r="AO407" i="1"/>
  <c r="DE404" i="1"/>
  <c r="BQ402" i="1"/>
  <c r="AC400" i="1"/>
  <c r="CS397" i="1"/>
  <c r="BE395" i="1"/>
  <c r="Q393" i="1"/>
  <c r="CG390" i="1"/>
  <c r="AS388" i="1"/>
  <c r="DI385" i="1"/>
  <c r="BU383" i="1"/>
  <c r="AG381" i="1"/>
  <c r="CW378" i="1"/>
  <c r="BI376" i="1"/>
  <c r="U374" i="1"/>
  <c r="CK371" i="1"/>
  <c r="AW369" i="1"/>
  <c r="I367" i="1"/>
  <c r="BY364" i="1"/>
  <c r="AK362" i="1"/>
  <c r="BL420" i="1"/>
  <c r="T418" i="1"/>
  <c r="CJ415" i="1"/>
  <c r="AI451" i="1"/>
  <c r="CY448" i="1"/>
  <c r="BK446" i="1"/>
  <c r="W444" i="1"/>
  <c r="CM441" i="1"/>
  <c r="AY439" i="1"/>
  <c r="K437" i="1"/>
  <c r="CA434" i="1"/>
  <c r="AM432" i="1"/>
  <c r="DC429" i="1"/>
  <c r="BO427" i="1"/>
  <c r="AA425" i="1"/>
  <c r="CQ422" i="1"/>
  <c r="BC420" i="1"/>
  <c r="O418" i="1"/>
  <c r="CE415" i="1"/>
  <c r="AD413" i="1"/>
  <c r="CT410" i="1"/>
  <c r="BF408" i="1"/>
  <c r="R406" i="1"/>
  <c r="CH403" i="1"/>
  <c r="AT401" i="1"/>
  <c r="F399" i="1"/>
  <c r="BV396" i="1"/>
  <c r="AH394" i="1"/>
  <c r="CX391" i="1"/>
  <c r="BJ389" i="1"/>
  <c r="V387" i="1"/>
  <c r="CL384" i="1"/>
  <c r="AX382" i="1"/>
  <c r="J380" i="1"/>
  <c r="BZ377" i="1"/>
  <c r="AL375" i="1"/>
  <c r="DB372" i="1"/>
  <c r="BN370" i="1"/>
  <c r="Z368" i="1"/>
  <c r="CP365" i="1"/>
  <c r="BB363" i="1"/>
  <c r="N361" i="1"/>
  <c r="Y412" i="1"/>
  <c r="CO409" i="1"/>
  <c r="BA407" i="1"/>
  <c r="M405" i="1"/>
  <c r="CC402" i="1"/>
  <c r="AO400" i="1"/>
  <c r="DE397" i="1"/>
  <c r="BQ395" i="1"/>
  <c r="AC393" i="1"/>
  <c r="CS390" i="1"/>
  <c r="BE388" i="1"/>
  <c r="Q386" i="1"/>
  <c r="CG383" i="1"/>
  <c r="AS381" i="1"/>
  <c r="DI378" i="1"/>
  <c r="BU376" i="1"/>
  <c r="AG374" i="1"/>
  <c r="CW371" i="1"/>
  <c r="BI369" i="1"/>
  <c r="U367" i="1"/>
  <c r="CK364" i="1"/>
  <c r="AW362" i="1"/>
  <c r="CV419" i="1"/>
  <c r="BH417" i="1"/>
  <c r="T415" i="1"/>
  <c r="BW450" i="1"/>
  <c r="AI448" i="1"/>
  <c r="CY445" i="1"/>
  <c r="BK443" i="1"/>
  <c r="W441" i="1"/>
  <c r="CM438" i="1"/>
  <c r="AY436" i="1"/>
  <c r="K434" i="1"/>
  <c r="CA431" i="1"/>
  <c r="AM429" i="1"/>
  <c r="DC426" i="1"/>
  <c r="BO424" i="1"/>
  <c r="AA422" i="1"/>
  <c r="CQ419" i="1"/>
  <c r="BC417" i="1"/>
  <c r="O415" i="1"/>
  <c r="BR412" i="1"/>
  <c r="AD410" i="1"/>
  <c r="CT407" i="1"/>
  <c r="BF405" i="1"/>
  <c r="R403" i="1"/>
  <c r="CH400" i="1"/>
  <c r="AT398" i="1"/>
  <c r="F396" i="1"/>
  <c r="BV393" i="1"/>
  <c r="AH391" i="1"/>
  <c r="CX388" i="1"/>
  <c r="BJ386" i="1"/>
  <c r="V384" i="1"/>
  <c r="CL381" i="1"/>
  <c r="AX379" i="1"/>
  <c r="J377" i="1"/>
  <c r="BZ374" i="1"/>
  <c r="AL372" i="1"/>
  <c r="DB369" i="1"/>
  <c r="BN367" i="1"/>
  <c r="Z365" i="1"/>
  <c r="CP362" i="1"/>
  <c r="BB360" i="1"/>
  <c r="BM411" i="1"/>
  <c r="Y409" i="1"/>
  <c r="CO406" i="1"/>
  <c r="BA404" i="1"/>
  <c r="M402" i="1"/>
  <c r="CC399" i="1"/>
  <c r="AO397" i="1"/>
  <c r="DE394" i="1"/>
  <c r="BQ392" i="1"/>
  <c r="AC390" i="1"/>
  <c r="CS387" i="1"/>
  <c r="BE385" i="1"/>
  <c r="Q383" i="1"/>
  <c r="CG380" i="1"/>
  <c r="AS378" i="1"/>
  <c r="DI375" i="1"/>
  <c r="BU373" i="1"/>
  <c r="AG371" i="1"/>
  <c r="CW368" i="1"/>
  <c r="BI366" i="1"/>
  <c r="U364" i="1"/>
  <c r="CK361" i="1"/>
  <c r="AW359" i="1"/>
  <c r="I359" i="1"/>
  <c r="BQ356" i="1"/>
  <c r="AC354" i="1"/>
  <c r="CS351" i="1"/>
  <c r="BE349" i="1"/>
  <c r="Q347" i="1"/>
  <c r="CG344" i="1"/>
  <c r="AS342" i="1"/>
  <c r="AV413" i="1"/>
  <c r="H411" i="1"/>
  <c r="BX408" i="1"/>
  <c r="AJ406" i="1"/>
  <c r="CZ403" i="1"/>
  <c r="BL401" i="1"/>
  <c r="X399" i="1"/>
  <c r="CN396" i="1"/>
  <c r="AZ394" i="1"/>
  <c r="L392" i="1"/>
  <c r="CB389" i="1"/>
  <c r="AN387" i="1"/>
  <c r="DD384" i="1"/>
  <c r="J402" i="1"/>
  <c r="DB398" i="1"/>
  <c r="CP395" i="1"/>
  <c r="BN392" i="1"/>
  <c r="BB389" i="1"/>
  <c r="AP386" i="1"/>
  <c r="N383" i="1"/>
  <c r="BN380" i="1"/>
  <c r="Z378" i="1"/>
  <c r="CP375" i="1"/>
  <c r="BB373" i="1"/>
  <c r="N371" i="1"/>
  <c r="CD368" i="1"/>
  <c r="AP366" i="1"/>
  <c r="DF363" i="1"/>
  <c r="BR361" i="1"/>
  <c r="CC412" i="1"/>
  <c r="AO410" i="1"/>
  <c r="DE407" i="1"/>
  <c r="BQ405" i="1"/>
  <c r="AC403" i="1"/>
  <c r="CS400" i="1"/>
  <c r="BE398" i="1"/>
  <c r="Q396" i="1"/>
  <c r="CG393" i="1"/>
  <c r="AS391" i="1"/>
  <c r="DI388" i="1"/>
  <c r="BU386" i="1"/>
  <c r="AG384" i="1"/>
  <c r="CW381" i="1"/>
  <c r="BI379" i="1"/>
  <c r="U377" i="1"/>
  <c r="CK374" i="1"/>
  <c r="AW372" i="1"/>
  <c r="I370" i="1"/>
  <c r="BY367" i="1"/>
  <c r="AK365" i="1"/>
  <c r="DA362" i="1"/>
  <c r="P421" i="1"/>
  <c r="BD418" i="1"/>
  <c r="P416" i="1"/>
  <c r="BV451" i="1"/>
  <c r="AE449" i="1"/>
  <c r="CU446" i="1"/>
  <c r="BG444" i="1"/>
  <c r="S442" i="1"/>
  <c r="CI439" i="1"/>
  <c r="AU437" i="1"/>
  <c r="G435" i="1"/>
  <c r="BW432" i="1"/>
  <c r="AI430" i="1"/>
  <c r="CY427" i="1"/>
  <c r="BK425" i="1"/>
  <c r="W423" i="1"/>
  <c r="CM420" i="1"/>
  <c r="AY418" i="1"/>
  <c r="K416" i="1"/>
  <c r="BN413" i="1"/>
  <c r="Z411" i="1"/>
  <c r="CP408" i="1"/>
  <c r="BB406" i="1"/>
  <c r="N404" i="1"/>
  <c r="CD401" i="1"/>
  <c r="AP399" i="1"/>
  <c r="DF396" i="1"/>
  <c r="BR394" i="1"/>
  <c r="AD392" i="1"/>
  <c r="CT389" i="1"/>
  <c r="BF387" i="1"/>
  <c r="R385" i="1"/>
  <c r="CH382" i="1"/>
  <c r="AT380" i="1"/>
  <c r="F378" i="1"/>
  <c r="BV375" i="1"/>
  <c r="AH373" i="1"/>
  <c r="CX370" i="1"/>
  <c r="BJ368" i="1"/>
  <c r="V366" i="1"/>
  <c r="CL363" i="1"/>
  <c r="AX361" i="1"/>
  <c r="BI412" i="1"/>
  <c r="U410" i="1"/>
  <c r="CK407" i="1"/>
  <c r="AW405" i="1"/>
  <c r="I403" i="1"/>
  <c r="BY400" i="1"/>
  <c r="AK398" i="1"/>
  <c r="DA395" i="1"/>
  <c r="BM393" i="1"/>
  <c r="Y391" i="1"/>
  <c r="CO388" i="1"/>
  <c r="BA386" i="1"/>
  <c r="M384" i="1"/>
  <c r="CC381" i="1"/>
  <c r="AO379" i="1"/>
  <c r="DE376" i="1"/>
  <c r="BQ374" i="1"/>
  <c r="AC372" i="1"/>
  <c r="CS369" i="1"/>
  <c r="BE367" i="1"/>
  <c r="Q365" i="1"/>
  <c r="CG362" i="1"/>
  <c r="BD421" i="1"/>
  <c r="BP418" i="1"/>
  <c r="AB416" i="1"/>
  <c r="CR413" i="1"/>
  <c r="AQ449" i="1"/>
  <c r="DG446" i="1"/>
  <c r="BS444" i="1"/>
  <c r="AE442" i="1"/>
  <c r="CU439" i="1"/>
  <c r="BG437" i="1"/>
  <c r="S435" i="1"/>
  <c r="CI432" i="1"/>
  <c r="AU430" i="1"/>
  <c r="G428" i="1"/>
  <c r="BW425" i="1"/>
  <c r="AI423" i="1"/>
  <c r="CY420" i="1"/>
  <c r="BK418" i="1"/>
  <c r="W416" i="1"/>
  <c r="BZ413" i="1"/>
  <c r="AL411" i="1"/>
  <c r="DB408" i="1"/>
  <c r="BN406" i="1"/>
  <c r="Z404" i="1"/>
  <c r="CP401" i="1"/>
  <c r="BB399" i="1"/>
  <c r="N397" i="1"/>
  <c r="CD394" i="1"/>
  <c r="AP392" i="1"/>
  <c r="DF389" i="1"/>
  <c r="BR387" i="1"/>
  <c r="AD385" i="1"/>
  <c r="CT382" i="1"/>
  <c r="BF380" i="1"/>
  <c r="R378" i="1"/>
  <c r="CH375" i="1"/>
  <c r="AT373" i="1"/>
  <c r="F371" i="1"/>
  <c r="BV368" i="1"/>
  <c r="AH366" i="1"/>
  <c r="CX363" i="1"/>
  <c r="BJ361" i="1"/>
  <c r="BU412" i="1"/>
  <c r="AG410" i="1"/>
  <c r="CW407" i="1"/>
  <c r="BI405" i="1"/>
  <c r="U403" i="1"/>
  <c r="CK400" i="1"/>
  <c r="AW398" i="1"/>
  <c r="I396" i="1"/>
  <c r="BY393" i="1"/>
  <c r="AK391" i="1"/>
  <c r="DA388" i="1"/>
  <c r="BM386" i="1"/>
  <c r="Y384" i="1"/>
  <c r="CO381" i="1"/>
  <c r="BA379" i="1"/>
  <c r="M377" i="1"/>
  <c r="CC374" i="1"/>
  <c r="AO372" i="1"/>
  <c r="DE369" i="1"/>
  <c r="BQ367" i="1"/>
  <c r="AC365" i="1"/>
  <c r="CS362" i="1"/>
  <c r="AN420" i="1"/>
  <c r="DD417" i="1"/>
  <c r="BP415" i="1"/>
  <c r="O451" i="1"/>
  <c r="CE448" i="1"/>
  <c r="AQ446" i="1"/>
  <c r="DG443" i="1"/>
  <c r="BS441" i="1"/>
  <c r="AE439" i="1"/>
  <c r="CU436" i="1"/>
  <c r="BG434" i="1"/>
  <c r="S432" i="1"/>
  <c r="CI429" i="1"/>
  <c r="AU427" i="1"/>
  <c r="G425" i="1"/>
  <c r="BW422" i="1"/>
  <c r="AI420" i="1"/>
  <c r="CY417" i="1"/>
  <c r="BK415" i="1"/>
  <c r="J413" i="1"/>
  <c r="BZ410" i="1"/>
  <c r="AL408" i="1"/>
  <c r="DB405" i="1"/>
  <c r="BN403" i="1"/>
  <c r="Z401" i="1"/>
  <c r="CP398" i="1"/>
  <c r="BB396" i="1"/>
  <c r="N394" i="1"/>
  <c r="CD391" i="1"/>
  <c r="AP389" i="1"/>
  <c r="DF386" i="1"/>
  <c r="BR384" i="1"/>
  <c r="AD382" i="1"/>
  <c r="CT379" i="1"/>
  <c r="BF377" i="1"/>
  <c r="R375" i="1"/>
  <c r="CH372" i="1"/>
  <c r="AT370" i="1"/>
  <c r="F368" i="1"/>
  <c r="BV365" i="1"/>
  <c r="AH363" i="1"/>
  <c r="CX360" i="1"/>
  <c r="DI411" i="1"/>
  <c r="BU409" i="1"/>
  <c r="AG407" i="1"/>
  <c r="CW404" i="1"/>
  <c r="BI402" i="1"/>
  <c r="U400" i="1"/>
  <c r="CK397" i="1"/>
  <c r="AW395" i="1"/>
  <c r="I393" i="1"/>
  <c r="BY390" i="1"/>
  <c r="AK388" i="1"/>
  <c r="DA385" i="1"/>
  <c r="BM383" i="1"/>
  <c r="Y381" i="1"/>
  <c r="CO378" i="1"/>
  <c r="BA376" i="1"/>
  <c r="M374" i="1"/>
  <c r="CC371" i="1"/>
  <c r="AO369" i="1"/>
  <c r="DE366" i="1"/>
  <c r="BQ364" i="1"/>
  <c r="AC362" i="1"/>
  <c r="CS359" i="1"/>
  <c r="BU359" i="1"/>
  <c r="I357" i="1"/>
  <c r="BY354" i="1"/>
  <c r="AK352" i="1"/>
  <c r="DA349" i="1"/>
  <c r="BM347" i="1"/>
  <c r="Y345" i="1"/>
  <c r="CO342" i="1"/>
  <c r="CU413" i="1"/>
  <c r="BD411" i="1"/>
  <c r="P409" i="1"/>
  <c r="CF406" i="1"/>
  <c r="AR404" i="1"/>
  <c r="DH401" i="1"/>
  <c r="BT399" i="1"/>
  <c r="AF397" i="1"/>
  <c r="CV394" i="1"/>
  <c r="BH392" i="1"/>
  <c r="T390" i="1"/>
  <c r="CJ387" i="1"/>
  <c r="AV385" i="1"/>
  <c r="CX401" i="1"/>
  <c r="CL398" i="1"/>
  <c r="BJ395" i="1"/>
  <c r="AX392" i="1"/>
  <c r="AL389" i="1"/>
  <c r="J386" i="1"/>
  <c r="DB382" i="1"/>
  <c r="AX380" i="1"/>
  <c r="J378" i="1"/>
  <c r="BZ375" i="1"/>
  <c r="AL373" i="1"/>
  <c r="DB370" i="1"/>
  <c r="BN368" i="1"/>
  <c r="Z366" i="1"/>
  <c r="CP363" i="1"/>
  <c r="BB361" i="1"/>
  <c r="BM412" i="1"/>
  <c r="Y410" i="1"/>
  <c r="CO407" i="1"/>
  <c r="BA405" i="1"/>
  <c r="M403" i="1"/>
  <c r="CC400" i="1"/>
  <c r="AO398" i="1"/>
  <c r="DE395" i="1"/>
  <c r="BQ393" i="1"/>
  <c r="AC391" i="1"/>
  <c r="CS388" i="1"/>
  <c r="BE386" i="1"/>
  <c r="Q384" i="1"/>
  <c r="CG381" i="1"/>
  <c r="AS379" i="1"/>
  <c r="DI376" i="1"/>
  <c r="BU374" i="1"/>
  <c r="AG372" i="1"/>
  <c r="CW369" i="1"/>
  <c r="BI367" i="1"/>
  <c r="U365" i="1"/>
  <c r="CK362" i="1"/>
  <c r="CN420" i="1"/>
  <c r="AN418" i="1"/>
  <c r="DD415" i="1"/>
  <c r="BC451" i="1"/>
  <c r="O449" i="1"/>
  <c r="CE446" i="1"/>
  <c r="AQ444" i="1"/>
  <c r="DG441" i="1"/>
  <c r="BS439" i="1"/>
  <c r="AE437" i="1"/>
  <c r="CU434" i="1"/>
  <c r="BG432" i="1"/>
  <c r="S430" i="1"/>
  <c r="CI427" i="1"/>
  <c r="AU425" i="1"/>
  <c r="G423" i="1"/>
  <c r="BW420" i="1"/>
  <c r="AI418" i="1"/>
  <c r="CY415" i="1"/>
  <c r="AX413" i="1"/>
  <c r="J411" i="1"/>
  <c r="BZ408" i="1"/>
  <c r="AL406" i="1"/>
  <c r="DB403" i="1"/>
  <c r="BN401" i="1"/>
  <c r="Z399" i="1"/>
  <c r="CP396" i="1"/>
  <c r="BB394" i="1"/>
  <c r="N392" i="1"/>
  <c r="CD389" i="1"/>
  <c r="AP387" i="1"/>
  <c r="DF384" i="1"/>
  <c r="BR382" i="1"/>
  <c r="AD380" i="1"/>
  <c r="CT377" i="1"/>
  <c r="BF375" i="1"/>
  <c r="R373" i="1"/>
  <c r="CH370" i="1"/>
  <c r="AT368" i="1"/>
  <c r="F366" i="1"/>
  <c r="BV363" i="1"/>
  <c r="AH361" i="1"/>
  <c r="AS412" i="1"/>
  <c r="DI409" i="1"/>
  <c r="BU407" i="1"/>
  <c r="AG405" i="1"/>
  <c r="CW402" i="1"/>
  <c r="BI400" i="1"/>
  <c r="U398" i="1"/>
  <c r="CK395" i="1"/>
  <c r="AW393" i="1"/>
  <c r="I391" i="1"/>
  <c r="BY388" i="1"/>
  <c r="AK386" i="1"/>
  <c r="DA383" i="1"/>
  <c r="BM381" i="1"/>
  <c r="Y379" i="1"/>
  <c r="CO376" i="1"/>
  <c r="BA374" i="1"/>
  <c r="M372" i="1"/>
  <c r="CC369" i="1"/>
  <c r="AO367" i="1"/>
  <c r="DE364" i="1"/>
  <c r="BQ362" i="1"/>
  <c r="H421" i="1"/>
  <c r="AZ418" i="1"/>
  <c r="L416" i="1"/>
  <c r="BP451" i="1"/>
  <c r="AA449" i="1"/>
  <c r="CQ446" i="1"/>
  <c r="BC444" i="1"/>
  <c r="O442" i="1"/>
  <c r="CE439" i="1"/>
  <c r="AQ437" i="1"/>
  <c r="DG434" i="1"/>
  <c r="BS432" i="1"/>
  <c r="AE430" i="1"/>
  <c r="CU427" i="1"/>
  <c r="BG425" i="1"/>
  <c r="S423" i="1"/>
  <c r="CI420" i="1"/>
  <c r="AU418" i="1"/>
  <c r="G416" i="1"/>
  <c r="BJ413" i="1"/>
  <c r="V411" i="1"/>
  <c r="CL408" i="1"/>
  <c r="AX406" i="1"/>
  <c r="J404" i="1"/>
  <c r="BZ401" i="1"/>
  <c r="AL399" i="1"/>
  <c r="DB396" i="1"/>
  <c r="BN394" i="1"/>
  <c r="Z392" i="1"/>
  <c r="CP389" i="1"/>
  <c r="BB387" i="1"/>
  <c r="N385" i="1"/>
  <c r="CD382" i="1"/>
  <c r="AP380" i="1"/>
  <c r="DF377" i="1"/>
  <c r="BR375" i="1"/>
  <c r="AD373" i="1"/>
  <c r="CT370" i="1"/>
  <c r="BF368" i="1"/>
  <c r="R366" i="1"/>
  <c r="CH363" i="1"/>
  <c r="AT361" i="1"/>
  <c r="BE412" i="1"/>
  <c r="Q410" i="1"/>
  <c r="CG407" i="1"/>
  <c r="AS405" i="1"/>
  <c r="DI402" i="1"/>
  <c r="BU400" i="1"/>
  <c r="AG398" i="1"/>
  <c r="CW395" i="1"/>
  <c r="BI393" i="1"/>
  <c r="U391" i="1"/>
  <c r="CK388" i="1"/>
  <c r="AW386" i="1"/>
  <c r="I384" i="1"/>
  <c r="BY381" i="1"/>
  <c r="AK379" i="1"/>
  <c r="DA376" i="1"/>
  <c r="BM374" i="1"/>
  <c r="Y372" i="1"/>
  <c r="CO369" i="1"/>
  <c r="BA367" i="1"/>
  <c r="M365" i="1"/>
  <c r="CC362" i="1"/>
  <c r="X420" i="1"/>
  <c r="CN417" i="1"/>
  <c r="AZ415" i="1"/>
  <c r="DC450" i="1"/>
  <c r="BO448" i="1"/>
  <c r="AA446" i="1"/>
  <c r="CQ443" i="1"/>
  <c r="BC441" i="1"/>
  <c r="O439" i="1"/>
  <c r="CE436" i="1"/>
  <c r="AQ434" i="1"/>
  <c r="DG431" i="1"/>
  <c r="BS429" i="1"/>
  <c r="AE427" i="1"/>
  <c r="CU424" i="1"/>
  <c r="BG422" i="1"/>
  <c r="S420" i="1"/>
  <c r="CI417" i="1"/>
  <c r="AU415" i="1"/>
  <c r="CX412" i="1"/>
  <c r="BJ410" i="1"/>
  <c r="V408" i="1"/>
  <c r="CL405" i="1"/>
  <c r="AX403" i="1"/>
  <c r="J401" i="1"/>
  <c r="BZ398" i="1"/>
  <c r="AL396" i="1"/>
  <c r="DB393" i="1"/>
  <c r="BN391" i="1"/>
  <c r="Z389" i="1"/>
  <c r="CP386" i="1"/>
  <c r="BB384" i="1"/>
  <c r="N382" i="1"/>
  <c r="CD379" i="1"/>
  <c r="AP377" i="1"/>
  <c r="DF374" i="1"/>
  <c r="BR372" i="1"/>
  <c r="AD370" i="1"/>
  <c r="CT367" i="1"/>
  <c r="BF365" i="1"/>
  <c r="R363" i="1"/>
  <c r="CH360" i="1"/>
  <c r="CS411" i="1"/>
  <c r="BE409" i="1"/>
  <c r="Q407" i="1"/>
  <c r="CG404" i="1"/>
  <c r="AS402" i="1"/>
  <c r="DI399" i="1"/>
  <c r="BU397" i="1"/>
  <c r="AG395" i="1"/>
  <c r="CW392" i="1"/>
  <c r="BI390" i="1"/>
  <c r="U388" i="1"/>
  <c r="CK385" i="1"/>
  <c r="AW383" i="1"/>
  <c r="I381" i="1"/>
  <c r="BY378" i="1"/>
  <c r="AK376" i="1"/>
  <c r="DA373" i="1"/>
  <c r="BM371" i="1"/>
  <c r="Y369" i="1"/>
  <c r="CO366" i="1"/>
  <c r="BA364" i="1"/>
  <c r="M362" i="1"/>
  <c r="CC359" i="1"/>
  <c r="BA359" i="1"/>
  <c r="CW356" i="1"/>
  <c r="BI354" i="1"/>
  <c r="U352" i="1"/>
  <c r="CK349" i="1"/>
  <c r="AW347" i="1"/>
  <c r="I345" i="1"/>
  <c r="BY342" i="1"/>
  <c r="CB413" i="1"/>
  <c r="AN411" i="1"/>
  <c r="DD408" i="1"/>
  <c r="BP406" i="1"/>
  <c r="AB404" i="1"/>
  <c r="CR401" i="1"/>
  <c r="BD399" i="1"/>
  <c r="P397" i="1"/>
  <c r="CF394" i="1"/>
  <c r="AR392" i="1"/>
  <c r="DH389" i="1"/>
  <c r="BT387" i="1"/>
  <c r="AF385" i="1"/>
  <c r="CV382" i="1"/>
  <c r="BH380" i="1"/>
  <c r="T378" i="1"/>
  <c r="CJ375" i="1"/>
  <c r="AV373" i="1"/>
  <c r="H371" i="1"/>
  <c r="BX368" i="1"/>
  <c r="AJ366" i="1"/>
  <c r="CZ363" i="1"/>
  <c r="BL361" i="1"/>
  <c r="H383" i="1"/>
  <c r="AJ378" i="1"/>
  <c r="AJ374" i="1"/>
  <c r="X371" i="1"/>
  <c r="CZ367" i="1"/>
  <c r="CN364" i="1"/>
  <c r="CB361" i="1"/>
  <c r="CV358" i="1"/>
  <c r="BH356" i="1"/>
  <c r="T354" i="1"/>
  <c r="CJ351" i="1"/>
  <c r="AV349" i="1"/>
  <c r="H347" i="1"/>
  <c r="BX344" i="1"/>
  <c r="AJ342" i="1"/>
  <c r="CZ339" i="1"/>
  <c r="AQ413" i="1"/>
  <c r="DG410" i="1"/>
  <c r="BS408" i="1"/>
  <c r="AE406" i="1"/>
  <c r="CU403" i="1"/>
  <c r="BG401" i="1"/>
  <c r="S399" i="1"/>
  <c r="CI396" i="1"/>
  <c r="AU394" i="1"/>
  <c r="G392" i="1"/>
  <c r="BW389" i="1"/>
  <c r="AI387" i="1"/>
  <c r="CY384" i="1"/>
  <c r="BK382" i="1"/>
  <c r="W380" i="1"/>
  <c r="CM377" i="1"/>
  <c r="AY375" i="1"/>
  <c r="K373" i="1"/>
  <c r="CA370" i="1"/>
  <c r="AM368" i="1"/>
  <c r="DC365" i="1"/>
  <c r="BO363" i="1"/>
  <c r="AA361" i="1"/>
  <c r="DE359" i="1"/>
  <c r="AK357" i="1"/>
  <c r="DA354" i="1"/>
  <c r="BM352" i="1"/>
  <c r="Y350" i="1"/>
  <c r="CO347" i="1"/>
  <c r="BA345" i="1"/>
  <c r="M343" i="1"/>
  <c r="CC340" i="1"/>
  <c r="CF411" i="1"/>
  <c r="AR409" i="1"/>
  <c r="DH406" i="1"/>
  <c r="BT404" i="1"/>
  <c r="AF402" i="1"/>
  <c r="CV399" i="1"/>
  <c r="BH397" i="1"/>
  <c r="T395" i="1"/>
  <c r="CJ392" i="1"/>
  <c r="AV390" i="1"/>
  <c r="H388" i="1"/>
  <c r="BX385" i="1"/>
  <c r="AJ383" i="1"/>
  <c r="CZ380" i="1"/>
  <c r="BL378" i="1"/>
  <c r="X376" i="1"/>
  <c r="CN373" i="1"/>
  <c r="AZ371" i="1"/>
  <c r="L369" i="1"/>
  <c r="CB366" i="1"/>
  <c r="AN364" i="1"/>
  <c r="DD361" i="1"/>
  <c r="BP359" i="1"/>
  <c r="AB357" i="1"/>
  <c r="CR354" i="1"/>
  <c r="BD352" i="1"/>
  <c r="P350" i="1"/>
  <c r="CF347" i="1"/>
  <c r="AR345" i="1"/>
  <c r="DH342" i="1"/>
  <c r="BT340" i="1"/>
  <c r="AF338" i="1"/>
  <c r="CA411" i="1"/>
  <c r="AM409" i="1"/>
  <c r="DC406" i="1"/>
  <c r="BO404" i="1"/>
  <c r="AA402" i="1"/>
  <c r="CQ399" i="1"/>
  <c r="BC397" i="1"/>
  <c r="O395" i="1"/>
  <c r="CE392" i="1"/>
  <c r="AQ390" i="1"/>
  <c r="DG387" i="1"/>
  <c r="BS385" i="1"/>
  <c r="AE383" i="1"/>
  <c r="CU380" i="1"/>
  <c r="BG378" i="1"/>
  <c r="S376" i="1"/>
  <c r="CI373" i="1"/>
  <c r="AU371" i="1"/>
  <c r="G369" i="1"/>
  <c r="BW366" i="1"/>
  <c r="AI364" i="1"/>
  <c r="CY361" i="1"/>
  <c r="BK359" i="1"/>
  <c r="W357" i="1"/>
  <c r="CM354" i="1"/>
  <c r="BQ358" i="1"/>
  <c r="AC356" i="1"/>
  <c r="CS353" i="1"/>
  <c r="BE351" i="1"/>
  <c r="Q349" i="1"/>
  <c r="CG346" i="1"/>
  <c r="AS344" i="1"/>
  <c r="DI341" i="1"/>
  <c r="H413" i="1"/>
  <c r="BX410" i="1"/>
  <c r="AJ408" i="1"/>
  <c r="CZ405" i="1"/>
  <c r="BL403" i="1"/>
  <c r="X401" i="1"/>
  <c r="CN398" i="1"/>
  <c r="AZ396" i="1"/>
  <c r="L394" i="1"/>
  <c r="CB391" i="1"/>
  <c r="AN389" i="1"/>
  <c r="DD386" i="1"/>
  <c r="BP384" i="1"/>
  <c r="AB382" i="1"/>
  <c r="CR379" i="1"/>
  <c r="BD377" i="1"/>
  <c r="P375" i="1"/>
  <c r="CF372" i="1"/>
  <c r="AR370" i="1"/>
  <c r="DH367" i="1"/>
  <c r="BT365" i="1"/>
  <c r="AF363" i="1"/>
  <c r="CV360" i="1"/>
  <c r="BH358" i="1"/>
  <c r="T356" i="1"/>
  <c r="CJ353" i="1"/>
  <c r="AV351" i="1"/>
  <c r="H349" i="1"/>
  <c r="BX346" i="1"/>
  <c r="AJ344" i="1"/>
  <c r="CZ341" i="1"/>
  <c r="BL339" i="1"/>
  <c r="DG412" i="1"/>
  <c r="BS410" i="1"/>
  <c r="AE408" i="1"/>
  <c r="CU405" i="1"/>
  <c r="BG403" i="1"/>
  <c r="S401" i="1"/>
  <c r="CI398" i="1"/>
  <c r="AU396" i="1"/>
  <c r="G394" i="1"/>
  <c r="BW391" i="1"/>
  <c r="AI389" i="1"/>
  <c r="CY386" i="1"/>
  <c r="BK384" i="1"/>
  <c r="W382" i="1"/>
  <c r="CM379" i="1"/>
  <c r="AY377" i="1"/>
  <c r="K375" i="1"/>
  <c r="CA372" i="1"/>
  <c r="AM370" i="1"/>
  <c r="DC367" i="1"/>
  <c r="BO365" i="1"/>
  <c r="AA363" i="1"/>
  <c r="CQ360" i="1"/>
  <c r="BC358" i="1"/>
  <c r="AW358" i="1"/>
  <c r="I356" i="1"/>
  <c r="BY353" i="1"/>
  <c r="AK351" i="1"/>
  <c r="DA348" i="1"/>
  <c r="BM346" i="1"/>
  <c r="Y344" i="1"/>
  <c r="CO341" i="1"/>
  <c r="CR412" i="1"/>
  <c r="BD410" i="1"/>
  <c r="P408" i="1"/>
  <c r="CF405" i="1"/>
  <c r="AR403" i="1"/>
  <c r="DH400" i="1"/>
  <c r="BT398" i="1"/>
  <c r="AF396" i="1"/>
  <c r="CV393" i="1"/>
  <c r="BH391" i="1"/>
  <c r="T389" i="1"/>
  <c r="CJ386" i="1"/>
  <c r="AV384" i="1"/>
  <c r="H382" i="1"/>
  <c r="BX379" i="1"/>
  <c r="AJ377" i="1"/>
  <c r="CZ374" i="1"/>
  <c r="BL372" i="1"/>
  <c r="X370" i="1"/>
  <c r="CN367" i="1"/>
  <c r="AZ365" i="1"/>
  <c r="L363" i="1"/>
  <c r="CB360" i="1"/>
  <c r="AN358" i="1"/>
  <c r="DD355" i="1"/>
  <c r="BP353" i="1"/>
  <c r="AB351" i="1"/>
  <c r="CR348" i="1"/>
  <c r="BD346" i="1"/>
  <c r="P344" i="1"/>
  <c r="CF341" i="1"/>
  <c r="AR339" i="1"/>
  <c r="CM412" i="1"/>
  <c r="AY410" i="1"/>
  <c r="K408" i="1"/>
  <c r="CA405" i="1"/>
  <c r="AM403" i="1"/>
  <c r="DC400" i="1"/>
  <c r="BO398" i="1"/>
  <c r="AA396" i="1"/>
  <c r="CQ393" i="1"/>
  <c r="BC391" i="1"/>
  <c r="O389" i="1"/>
  <c r="CE386" i="1"/>
  <c r="AQ384" i="1"/>
  <c r="DG381" i="1"/>
  <c r="BS379" i="1"/>
  <c r="AE377" i="1"/>
  <c r="CU374" i="1"/>
  <c r="BG372" i="1"/>
  <c r="S370" i="1"/>
  <c r="CI367" i="1"/>
  <c r="AU365" i="1"/>
  <c r="G363" i="1"/>
  <c r="BW360" i="1"/>
  <c r="AI358" i="1"/>
  <c r="CY355" i="1"/>
  <c r="BG357" i="1"/>
  <c r="BO353" i="1"/>
  <c r="AA351" i="1"/>
  <c r="CQ348" i="1"/>
  <c r="BC346" i="1"/>
  <c r="BF358" i="1"/>
  <c r="F349" i="1"/>
  <c r="K342" i="1"/>
  <c r="AT338" i="1"/>
  <c r="DB335" i="1"/>
  <c r="BN333" i="1"/>
  <c r="Z331" i="1"/>
  <c r="CP328" i="1"/>
  <c r="BB326" i="1"/>
  <c r="N324" i="1"/>
  <c r="CD321" i="1"/>
  <c r="AP319" i="1"/>
  <c r="DF316" i="1"/>
  <c r="BP382" i="1"/>
  <c r="CR377" i="1"/>
  <c r="T374" i="1"/>
  <c r="CV370" i="1"/>
  <c r="CJ367" i="1"/>
  <c r="BX364" i="1"/>
  <c r="AV361" i="1"/>
  <c r="CF358" i="1"/>
  <c r="AR356" i="1"/>
  <c r="DH353" i="1"/>
  <c r="BT351" i="1"/>
  <c r="AF349" i="1"/>
  <c r="CV346" i="1"/>
  <c r="BH344" i="1"/>
  <c r="T342" i="1"/>
  <c r="CJ339" i="1"/>
  <c r="AA413" i="1"/>
  <c r="CQ410" i="1"/>
  <c r="BC408" i="1"/>
  <c r="O406" i="1"/>
  <c r="CE403" i="1"/>
  <c r="AQ401" i="1"/>
  <c r="DG398" i="1"/>
  <c r="BS396" i="1"/>
  <c r="AE394" i="1"/>
  <c r="CU391" i="1"/>
  <c r="BG389" i="1"/>
  <c r="S387" i="1"/>
  <c r="CI384" i="1"/>
  <c r="AU382" i="1"/>
  <c r="G380" i="1"/>
  <c r="BW377" i="1"/>
  <c r="AI375" i="1"/>
  <c r="CY372" i="1"/>
  <c r="BK370" i="1"/>
  <c r="W368" i="1"/>
  <c r="CM365" i="1"/>
  <c r="AY363" i="1"/>
  <c r="K361" i="1"/>
  <c r="CK359" i="1"/>
  <c r="U357" i="1"/>
  <c r="CK354" i="1"/>
  <c r="AW352" i="1"/>
  <c r="I350" i="1"/>
  <c r="BY347" i="1"/>
  <c r="AK345" i="1"/>
  <c r="DA342" i="1"/>
  <c r="BM340" i="1"/>
  <c r="BP411" i="1"/>
  <c r="AB409" i="1"/>
  <c r="CR406" i="1"/>
  <c r="BD404" i="1"/>
  <c r="P402" i="1"/>
  <c r="CF399" i="1"/>
  <c r="AR397" i="1"/>
  <c r="DH394" i="1"/>
  <c r="BT392" i="1"/>
  <c r="AF390" i="1"/>
  <c r="CV387" i="1"/>
  <c r="BH385" i="1"/>
  <c r="T383" i="1"/>
  <c r="CJ380" i="1"/>
  <c r="AV378" i="1"/>
  <c r="H376" i="1"/>
  <c r="BX373" i="1"/>
  <c r="AJ371" i="1"/>
  <c r="CZ368" i="1"/>
  <c r="BL366" i="1"/>
  <c r="X364" i="1"/>
  <c r="CN361" i="1"/>
  <c r="AZ359" i="1"/>
  <c r="L357" i="1"/>
  <c r="CB354" i="1"/>
  <c r="AN352" i="1"/>
  <c r="DD349" i="1"/>
  <c r="BP347" i="1"/>
  <c r="AB345" i="1"/>
  <c r="CR342" i="1"/>
  <c r="BD340" i="1"/>
  <c r="P338" i="1"/>
  <c r="BK411" i="1"/>
  <c r="W409" i="1"/>
  <c r="CM406" i="1"/>
  <c r="AY404" i="1"/>
  <c r="K402" i="1"/>
  <c r="CA399" i="1"/>
  <c r="AM397" i="1"/>
  <c r="DC394" i="1"/>
  <c r="BO392" i="1"/>
  <c r="AA390" i="1"/>
  <c r="CQ387" i="1"/>
  <c r="BC385" i="1"/>
  <c r="O383" i="1"/>
  <c r="CE380" i="1"/>
  <c r="AQ378" i="1"/>
  <c r="DG375" i="1"/>
  <c r="BS373" i="1"/>
  <c r="AE371" i="1"/>
  <c r="CU368" i="1"/>
  <c r="BG366" i="1"/>
  <c r="S364" i="1"/>
  <c r="CI361" i="1"/>
  <c r="AU359" i="1"/>
  <c r="G357" i="1"/>
  <c r="BW354" i="1"/>
  <c r="BA358" i="1"/>
  <c r="M356" i="1"/>
  <c r="CC353" i="1"/>
  <c r="AO351" i="1"/>
  <c r="DE348" i="1"/>
  <c r="BQ346" i="1"/>
  <c r="AC344" i="1"/>
  <c r="CS341" i="1"/>
  <c r="CV412" i="1"/>
  <c r="BH410" i="1"/>
  <c r="T408" i="1"/>
  <c r="CJ405" i="1"/>
  <c r="AV403" i="1"/>
  <c r="H401" i="1"/>
  <c r="BX398" i="1"/>
  <c r="AJ396" i="1"/>
  <c r="CZ393" i="1"/>
  <c r="BL391" i="1"/>
  <c r="X389" i="1"/>
  <c r="CN386" i="1"/>
  <c r="AZ384" i="1"/>
  <c r="L382" i="1"/>
  <c r="CB379" i="1"/>
  <c r="AN377" i="1"/>
  <c r="DD374" i="1"/>
  <c r="BP372" i="1"/>
  <c r="AB370" i="1"/>
  <c r="CR367" i="1"/>
  <c r="BD365" i="1"/>
  <c r="P363" i="1"/>
  <c r="CF360" i="1"/>
  <c r="AR358" i="1"/>
  <c r="DH355" i="1"/>
  <c r="BT353" i="1"/>
  <c r="AF351" i="1"/>
  <c r="CV348" i="1"/>
  <c r="BH346" i="1"/>
  <c r="T344" i="1"/>
  <c r="CJ341" i="1"/>
  <c r="AV339" i="1"/>
  <c r="CQ412" i="1"/>
  <c r="BC410" i="1"/>
  <c r="O408" i="1"/>
  <c r="CE405" i="1"/>
  <c r="AQ403" i="1"/>
  <c r="DG400" i="1"/>
  <c r="BS398" i="1"/>
  <c r="AE396" i="1"/>
  <c r="CU393" i="1"/>
  <c r="BG391" i="1"/>
  <c r="S389" i="1"/>
  <c r="CI386" i="1"/>
  <c r="AU384" i="1"/>
  <c r="G382" i="1"/>
  <c r="BW379" i="1"/>
  <c r="AI377" i="1"/>
  <c r="CY374" i="1"/>
  <c r="BK372" i="1"/>
  <c r="W370" i="1"/>
  <c r="CM367" i="1"/>
  <c r="AY365" i="1"/>
  <c r="K363" i="1"/>
  <c r="CA360" i="1"/>
  <c r="AM358" i="1"/>
  <c r="AG358" i="1"/>
  <c r="CW355" i="1"/>
  <c r="BI353" i="1"/>
  <c r="U351" i="1"/>
  <c r="CK348" i="1"/>
  <c r="AW346" i="1"/>
  <c r="I344" i="1"/>
  <c r="BY341" i="1"/>
  <c r="CB412" i="1"/>
  <c r="AN410" i="1"/>
  <c r="DD407" i="1"/>
  <c r="BP405" i="1"/>
  <c r="AB403" i="1"/>
  <c r="CR400" i="1"/>
  <c r="BD398" i="1"/>
  <c r="P396" i="1"/>
  <c r="CF393" i="1"/>
  <c r="AR391" i="1"/>
  <c r="DH388" i="1"/>
  <c r="BT386" i="1"/>
  <c r="AF384" i="1"/>
  <c r="CV381" i="1"/>
  <c r="BH379" i="1"/>
  <c r="T377" i="1"/>
  <c r="CJ374" i="1"/>
  <c r="AV372" i="1"/>
  <c r="H370" i="1"/>
  <c r="BX367" i="1"/>
  <c r="AJ365" i="1"/>
  <c r="CZ362" i="1"/>
  <c r="BL360" i="1"/>
  <c r="X358" i="1"/>
  <c r="CN355" i="1"/>
  <c r="AZ353" i="1"/>
  <c r="L351" i="1"/>
  <c r="CB348" i="1"/>
  <c r="AN346" i="1"/>
  <c r="DD343" i="1"/>
  <c r="BP341" i="1"/>
  <c r="AB339" i="1"/>
  <c r="BW412" i="1"/>
  <c r="AI410" i="1"/>
  <c r="CY407" i="1"/>
  <c r="BK405" i="1"/>
  <c r="W403" i="1"/>
  <c r="CM400" i="1"/>
  <c r="AY398" i="1"/>
  <c r="K396" i="1"/>
  <c r="CA393" i="1"/>
  <c r="AM391" i="1"/>
  <c r="DC388" i="1"/>
  <c r="BO386" i="1"/>
  <c r="AA384" i="1"/>
  <c r="CQ381" i="1"/>
  <c r="BC379" i="1"/>
  <c r="O377" i="1"/>
  <c r="CE374" i="1"/>
  <c r="AQ372" i="1"/>
  <c r="DG369" i="1"/>
  <c r="BS367" i="1"/>
  <c r="AE365" i="1"/>
  <c r="CU362" i="1"/>
  <c r="BG360" i="1"/>
  <c r="S358" i="1"/>
  <c r="CI355" i="1"/>
  <c r="AA357" i="1"/>
  <c r="AY353" i="1"/>
  <c r="K351" i="1"/>
  <c r="CA348" i="1"/>
  <c r="AM346" i="1"/>
  <c r="CX357" i="1"/>
  <c r="AX348" i="1"/>
  <c r="CI341" i="1"/>
  <c r="Y338" i="1"/>
  <c r="CL335" i="1"/>
  <c r="AX333" i="1"/>
  <c r="J331" i="1"/>
  <c r="BZ328" i="1"/>
  <c r="AL326" i="1"/>
  <c r="DB323" i="1"/>
  <c r="BN321" i="1"/>
  <c r="Z319" i="1"/>
  <c r="CP316" i="1"/>
  <c r="BB314" i="1"/>
  <c r="N312" i="1"/>
  <c r="CD309" i="1"/>
  <c r="AP307" i="1"/>
  <c r="DF304" i="1"/>
  <c r="AF381" i="1"/>
  <c r="BH376" i="1"/>
  <c r="P373" i="1"/>
  <c r="DH369" i="1"/>
  <c r="CF366" i="1"/>
  <c r="BT363" i="1"/>
  <c r="BH360" i="1"/>
  <c r="DH357" i="1"/>
  <c r="BT355" i="1"/>
  <c r="AF353" i="1"/>
  <c r="CV350" i="1"/>
  <c r="BH348" i="1"/>
  <c r="T346" i="1"/>
  <c r="CJ343" i="1"/>
  <c r="AV341" i="1"/>
  <c r="H339" i="1"/>
  <c r="BC412" i="1"/>
  <c r="O410" i="1"/>
  <c r="CE407" i="1"/>
  <c r="AQ405" i="1"/>
  <c r="DG402" i="1"/>
  <c r="BS400" i="1"/>
  <c r="AE398" i="1"/>
  <c r="CU395" i="1"/>
  <c r="BG393" i="1"/>
  <c r="S391" i="1"/>
  <c r="CI388" i="1"/>
  <c r="AU386" i="1"/>
  <c r="G384" i="1"/>
  <c r="BW381" i="1"/>
  <c r="AI379" i="1"/>
  <c r="CY376" i="1"/>
  <c r="BK374" i="1"/>
  <c r="W372" i="1"/>
  <c r="CM369" i="1"/>
  <c r="AY367" i="1"/>
  <c r="K365" i="1"/>
  <c r="CA362" i="1"/>
  <c r="AM360" i="1"/>
  <c r="CK358" i="1"/>
  <c r="AW356" i="1"/>
  <c r="I354" i="1"/>
  <c r="BY351" i="1"/>
  <c r="AK349" i="1"/>
  <c r="DA346" i="1"/>
  <c r="BM344" i="1"/>
  <c r="Y342" i="1"/>
  <c r="AB413" i="1"/>
  <c r="CR410" i="1"/>
  <c r="BD408" i="1"/>
  <c r="P406" i="1"/>
  <c r="CF403" i="1"/>
  <c r="AR401" i="1"/>
  <c r="DH398" i="1"/>
  <c r="BT396" i="1"/>
  <c r="AF394" i="1"/>
  <c r="CV391" i="1"/>
  <c r="BH389" i="1"/>
  <c r="T387" i="1"/>
  <c r="CJ384" i="1"/>
  <c r="AV382" i="1"/>
  <c r="H380" i="1"/>
  <c r="BX377" i="1"/>
  <c r="AJ375" i="1"/>
  <c r="CZ372" i="1"/>
  <c r="BL370" i="1"/>
  <c r="X368" i="1"/>
  <c r="CN365" i="1"/>
  <c r="AZ363" i="1"/>
  <c r="L361" i="1"/>
  <c r="CB358" i="1"/>
  <c r="AN356" i="1"/>
  <c r="DD353" i="1"/>
  <c r="BP351" i="1"/>
  <c r="AB349" i="1"/>
  <c r="CR346" i="1"/>
  <c r="BD344" i="1"/>
  <c r="P342" i="1"/>
  <c r="CF339" i="1"/>
  <c r="W413" i="1"/>
  <c r="CM410" i="1"/>
  <c r="AY408" i="1"/>
  <c r="K406" i="1"/>
  <c r="CA403" i="1"/>
  <c r="AM401" i="1"/>
  <c r="DC398" i="1"/>
  <c r="BO396" i="1"/>
  <c r="AA394" i="1"/>
  <c r="CQ391" i="1"/>
  <c r="BC389" i="1"/>
  <c r="O387" i="1"/>
  <c r="CE384" i="1"/>
  <c r="AQ382" i="1"/>
  <c r="DG379" i="1"/>
  <c r="BS377" i="1"/>
  <c r="AE375" i="1"/>
  <c r="CU372" i="1"/>
  <c r="BG370" i="1"/>
  <c r="S368" i="1"/>
  <c r="CI365" i="1"/>
  <c r="AU363" i="1"/>
  <c r="G361" i="1"/>
  <c r="BW358" i="1"/>
  <c r="AI356" i="1"/>
  <c r="BI360" i="1"/>
  <c r="CC357" i="1"/>
  <c r="AO355" i="1"/>
  <c r="DE352" i="1"/>
  <c r="BQ350" i="1"/>
  <c r="AC348" i="1"/>
  <c r="CS345" i="1"/>
  <c r="BE343" i="1"/>
  <c r="Q341" i="1"/>
  <c r="T412" i="1"/>
  <c r="CJ409" i="1"/>
  <c r="AV407" i="1"/>
  <c r="H405" i="1"/>
  <c r="BX402" i="1"/>
  <c r="AJ400" i="1"/>
  <c r="CZ397" i="1"/>
  <c r="BL395" i="1"/>
  <c r="X393" i="1"/>
  <c r="CN390" i="1"/>
  <c r="AZ388" i="1"/>
  <c r="L386" i="1"/>
  <c r="CB383" i="1"/>
  <c r="AN381" i="1"/>
  <c r="DD378" i="1"/>
  <c r="BP376" i="1"/>
  <c r="AB374" i="1"/>
  <c r="CR371" i="1"/>
  <c r="BD369" i="1"/>
  <c r="P367" i="1"/>
  <c r="CF364" i="1"/>
  <c r="AR362" i="1"/>
  <c r="DH359" i="1"/>
  <c r="BT357" i="1"/>
  <c r="AF355" i="1"/>
  <c r="CV352" i="1"/>
  <c r="BH350" i="1"/>
  <c r="T348" i="1"/>
  <c r="CJ345" i="1"/>
  <c r="AV343" i="1"/>
  <c r="H341" i="1"/>
  <c r="BX338" i="1"/>
  <c r="O412" i="1"/>
  <c r="CE409" i="1"/>
  <c r="AQ407" i="1"/>
  <c r="DG404" i="1"/>
  <c r="BS402" i="1"/>
  <c r="AE400" i="1"/>
  <c r="CU397" i="1"/>
  <c r="BG395" i="1"/>
  <c r="S393" i="1"/>
  <c r="CI390" i="1"/>
  <c r="AU388" i="1"/>
  <c r="G386" i="1"/>
  <c r="BW383" i="1"/>
  <c r="AI381" i="1"/>
  <c r="CY378" i="1"/>
  <c r="BK376" i="1"/>
  <c r="W374" i="1"/>
  <c r="CM371" i="1"/>
  <c r="AY369" i="1"/>
  <c r="K367" i="1"/>
  <c r="CA364" i="1"/>
  <c r="AM362" i="1"/>
  <c r="DC359" i="1"/>
  <c r="AG360" i="1"/>
  <c r="BI357" i="1"/>
  <c r="U355" i="1"/>
  <c r="CK352" i="1"/>
  <c r="AW350" i="1"/>
  <c r="I348" i="1"/>
  <c r="BY345" i="1"/>
  <c r="AK343" i="1"/>
  <c r="DA340" i="1"/>
  <c r="DD411" i="1"/>
  <c r="BP409" i="1"/>
  <c r="AB407" i="1"/>
  <c r="CR404" i="1"/>
  <c r="BD402" i="1"/>
  <c r="P400" i="1"/>
  <c r="CF397" i="1"/>
  <c r="AR395" i="1"/>
  <c r="DH392" i="1"/>
  <c r="BT390" i="1"/>
  <c r="AF388" i="1"/>
  <c r="CV385" i="1"/>
  <c r="BH383" i="1"/>
  <c r="T381" i="1"/>
  <c r="CJ378" i="1"/>
  <c r="AV376" i="1"/>
  <c r="H374" i="1"/>
  <c r="BX371" i="1"/>
  <c r="AJ369" i="1"/>
  <c r="CZ366" i="1"/>
  <c r="BL364" i="1"/>
  <c r="X362" i="1"/>
  <c r="CN359" i="1"/>
  <c r="AZ357" i="1"/>
  <c r="L355" i="1"/>
  <c r="CB352" i="1"/>
  <c r="AN350" i="1"/>
  <c r="DD347" i="1"/>
  <c r="BP345" i="1"/>
  <c r="AB343" i="1"/>
  <c r="CR340" i="1"/>
  <c r="BD338" i="1"/>
  <c r="CY411" i="1"/>
  <c r="BK409" i="1"/>
  <c r="W407" i="1"/>
  <c r="CM404" i="1"/>
  <c r="AY402" i="1"/>
  <c r="K400" i="1"/>
  <c r="CA397" i="1"/>
  <c r="AM395" i="1"/>
  <c r="DC392" i="1"/>
  <c r="BO390" i="1"/>
  <c r="AA388" i="1"/>
  <c r="CQ385" i="1"/>
  <c r="BC383" i="1"/>
  <c r="O381" i="1"/>
  <c r="CE378" i="1"/>
  <c r="AQ376" i="1"/>
  <c r="DG373" i="1"/>
  <c r="BS371" i="1"/>
  <c r="AE369" i="1"/>
  <c r="CU366" i="1"/>
  <c r="BG364" i="1"/>
  <c r="S362" i="1"/>
  <c r="CI359" i="1"/>
  <c r="AU357" i="1"/>
  <c r="G355" i="1"/>
  <c r="CE355" i="1"/>
  <c r="CA352" i="1"/>
  <c r="AM350" i="1"/>
  <c r="DC347" i="1"/>
  <c r="BO345" i="1"/>
  <c r="DB354" i="1"/>
  <c r="BB345" i="1"/>
  <c r="AQ340" i="1"/>
  <c r="AX337" i="1"/>
  <c r="J335" i="1"/>
  <c r="BZ332" i="1"/>
  <c r="AL330" i="1"/>
  <c r="DB327" i="1"/>
  <c r="BN325" i="1"/>
  <c r="Z323" i="1"/>
  <c r="CP320" i="1"/>
  <c r="BB318" i="1"/>
  <c r="N316" i="1"/>
  <c r="CD313" i="1"/>
  <c r="AP311" i="1"/>
  <c r="DF308" i="1"/>
  <c r="BR306" i="1"/>
  <c r="BT379" i="1"/>
  <c r="AN375" i="1"/>
  <c r="L372" i="1"/>
  <c r="DD368" i="1"/>
  <c r="CR365" i="1"/>
  <c r="BP362" i="1"/>
  <c r="BT359" i="1"/>
  <c r="AF357" i="1"/>
  <c r="CV354" i="1"/>
  <c r="BH352" i="1"/>
  <c r="T350" i="1"/>
  <c r="CJ347" i="1"/>
  <c r="AV345" i="1"/>
  <c r="H343" i="1"/>
  <c r="BX340" i="1"/>
  <c r="AJ338" i="1"/>
  <c r="CE411" i="1"/>
  <c r="AQ409" i="1"/>
  <c r="DG406" i="1"/>
  <c r="BS404" i="1"/>
  <c r="AE402" i="1"/>
  <c r="CU399" i="1"/>
  <c r="BG397" i="1"/>
  <c r="S395" i="1"/>
  <c r="CI392" i="1"/>
  <c r="AU390" i="1"/>
  <c r="G388" i="1"/>
  <c r="BW385" i="1"/>
  <c r="AI383" i="1"/>
  <c r="CY380" i="1"/>
  <c r="BK378" i="1"/>
  <c r="W376" i="1"/>
  <c r="CM373" i="1"/>
  <c r="AY371" i="1"/>
  <c r="K369" i="1"/>
  <c r="CA366" i="1"/>
  <c r="AM364" i="1"/>
  <c r="DC361" i="1"/>
  <c r="DI360" i="1"/>
  <c r="I358" i="1"/>
  <c r="BY355" i="1"/>
  <c r="AK353" i="1"/>
  <c r="DA350" i="1"/>
  <c r="BM348" i="1"/>
  <c r="Y346" i="1"/>
  <c r="CO343" i="1"/>
  <c r="BA341" i="1"/>
  <c r="BD412" i="1"/>
  <c r="P410" i="1"/>
  <c r="CF407" i="1"/>
  <c r="AR405" i="1"/>
  <c r="DH402" i="1"/>
  <c r="BT400" i="1"/>
  <c r="AF398" i="1"/>
  <c r="CV395" i="1"/>
  <c r="BH393" i="1"/>
  <c r="T391" i="1"/>
  <c r="CJ388" i="1"/>
  <c r="AV386" i="1"/>
  <c r="H384" i="1"/>
  <c r="BX381" i="1"/>
  <c r="AJ379" i="1"/>
  <c r="CZ376" i="1"/>
  <c r="BL374" i="1"/>
  <c r="X372" i="1"/>
  <c r="CN369" i="1"/>
  <c r="AZ367" i="1"/>
  <c r="L365" i="1"/>
  <c r="CB362" i="1"/>
  <c r="AN360" i="1"/>
  <c r="DD357" i="1"/>
  <c r="BP355" i="1"/>
  <c r="AB353" i="1"/>
  <c r="CR350" i="1"/>
  <c r="BD348" i="1"/>
  <c r="P346" i="1"/>
  <c r="CF343" i="1"/>
  <c r="AR341" i="1"/>
  <c r="DH338" i="1"/>
  <c r="AY412" i="1"/>
  <c r="K410" i="1"/>
  <c r="CA407" i="1"/>
  <c r="AM405" i="1"/>
  <c r="DC402" i="1"/>
  <c r="BO400" i="1"/>
  <c r="AA398" i="1"/>
  <c r="CQ395" i="1"/>
  <c r="BC393" i="1"/>
  <c r="O391" i="1"/>
  <c r="CE388" i="1"/>
  <c r="AQ386" i="1"/>
  <c r="DG383" i="1"/>
  <c r="BS381" i="1"/>
  <c r="AE379" i="1"/>
  <c r="CU376" i="1"/>
  <c r="BG374" i="1"/>
  <c r="S372" i="1"/>
  <c r="CI369" i="1"/>
  <c r="AU367" i="1"/>
  <c r="G365" i="1"/>
  <c r="BW362" i="1"/>
  <c r="AI360" i="1"/>
  <c r="CY357" i="1"/>
  <c r="BK355" i="1"/>
  <c r="BI359" i="1"/>
  <c r="DE356" i="1"/>
  <c r="BQ354" i="1"/>
  <c r="AC352" i="1"/>
  <c r="CS349" i="1"/>
  <c r="BE347" i="1"/>
  <c r="Q345" i="1"/>
  <c r="CG342" i="1"/>
  <c r="CJ413" i="1"/>
  <c r="AV411" i="1"/>
  <c r="H409" i="1"/>
  <c r="BX406" i="1"/>
  <c r="AJ404" i="1"/>
  <c r="CZ401" i="1"/>
  <c r="BL399" i="1"/>
  <c r="X397" i="1"/>
  <c r="CN394" i="1"/>
  <c r="AZ392" i="1"/>
  <c r="L390" i="1"/>
  <c r="CB387" i="1"/>
  <c r="AN385" i="1"/>
  <c r="DD382" i="1"/>
  <c r="BP380" i="1"/>
  <c r="AB378" i="1"/>
  <c r="CR375" i="1"/>
  <c r="BD373" i="1"/>
  <c r="P371" i="1"/>
  <c r="CF368" i="1"/>
  <c r="AR366" i="1"/>
  <c r="DH363" i="1"/>
  <c r="BT361" i="1"/>
  <c r="AF359" i="1"/>
  <c r="CV356" i="1"/>
  <c r="BH354" i="1"/>
  <c r="T352" i="1"/>
  <c r="CJ349" i="1"/>
  <c r="AV347" i="1"/>
  <c r="H345" i="1"/>
  <c r="BX342" i="1"/>
  <c r="AJ340" i="1"/>
  <c r="CE413" i="1"/>
  <c r="AQ411" i="1"/>
  <c r="DG408" i="1"/>
  <c r="BS406" i="1"/>
  <c r="AE404" i="1"/>
  <c r="CU401" i="1"/>
  <c r="BG399" i="1"/>
  <c r="S397" i="1"/>
  <c r="CI394" i="1"/>
  <c r="AU392" i="1"/>
  <c r="G390" i="1"/>
  <c r="BW387" i="1"/>
  <c r="AI385" i="1"/>
  <c r="CY382" i="1"/>
  <c r="BK380" i="1"/>
  <c r="W378" i="1"/>
  <c r="CM375" i="1"/>
  <c r="AY373" i="1"/>
  <c r="K371" i="1"/>
  <c r="CA368" i="1"/>
  <c r="AM366" i="1"/>
  <c r="DC363" i="1"/>
  <c r="BO361" i="1"/>
  <c r="AA359" i="1"/>
  <c r="AK359" i="1"/>
  <c r="CK356" i="1"/>
  <c r="AW354" i="1"/>
  <c r="I352" i="1"/>
  <c r="BY349" i="1"/>
  <c r="AK347" i="1"/>
  <c r="DA344" i="1"/>
  <c r="BM342" i="1"/>
  <c r="BP413" i="1"/>
  <c r="AB411" i="1"/>
  <c r="CR408" i="1"/>
  <c r="BD406" i="1"/>
  <c r="P404" i="1"/>
  <c r="CF401" i="1"/>
  <c r="AR399" i="1"/>
  <c r="DH396" i="1"/>
  <c r="BT394" i="1"/>
  <c r="AF392" i="1"/>
  <c r="CV389" i="1"/>
  <c r="BH387" i="1"/>
  <c r="T385" i="1"/>
  <c r="CJ382" i="1"/>
  <c r="AV380" i="1"/>
  <c r="H378" i="1"/>
  <c r="BX375" i="1"/>
  <c r="AJ373" i="1"/>
  <c r="CZ370" i="1"/>
  <c r="BL368" i="1"/>
  <c r="X366" i="1"/>
  <c r="CN363" i="1"/>
  <c r="AZ361" i="1"/>
  <c r="L359" i="1"/>
  <c r="CB356" i="1"/>
  <c r="AN354" i="1"/>
  <c r="DD351" i="1"/>
  <c r="BP349" i="1"/>
  <c r="AB347" i="1"/>
  <c r="CR344" i="1"/>
  <c r="BD342" i="1"/>
  <c r="P340" i="1"/>
  <c r="BK413" i="1"/>
  <c r="W411" i="1"/>
  <c r="CM408" i="1"/>
  <c r="AY406" i="1"/>
  <c r="K404" i="1"/>
  <c r="CA401" i="1"/>
  <c r="AM399" i="1"/>
  <c r="DC396" i="1"/>
  <c r="BO394" i="1"/>
  <c r="AA392" i="1"/>
  <c r="CQ389" i="1"/>
  <c r="BC387" i="1"/>
  <c r="O385" i="1"/>
  <c r="CE382" i="1"/>
  <c r="AQ380" i="1"/>
  <c r="DG377" i="1"/>
  <c r="BS375" i="1"/>
  <c r="AE373" i="1"/>
  <c r="CU370" i="1"/>
  <c r="BG368" i="1"/>
  <c r="S366" i="1"/>
  <c r="CI363" i="1"/>
  <c r="AU361" i="1"/>
  <c r="G359" i="1"/>
  <c r="BW356" i="1"/>
  <c r="CE359" i="1"/>
  <c r="AM354" i="1"/>
  <c r="DC351" i="1"/>
  <c r="BO349" i="1"/>
  <c r="AA347" i="1"/>
  <c r="CQ344" i="1"/>
  <c r="DF351" i="1"/>
  <c r="BK343" i="1"/>
  <c r="AS339" i="1"/>
  <c r="BZ336" i="1"/>
  <c r="AL334" i="1"/>
  <c r="DB331" i="1"/>
  <c r="BN329" i="1"/>
  <c r="Z327" i="1"/>
  <c r="CP324" i="1"/>
  <c r="BB322" i="1"/>
  <c r="N320" i="1"/>
  <c r="CD317" i="1"/>
  <c r="AP315" i="1"/>
  <c r="DF312" i="1"/>
  <c r="BR310" i="1"/>
  <c r="AD308" i="1"/>
  <c r="CT305" i="1"/>
  <c r="BF303" i="1"/>
  <c r="R301" i="1"/>
  <c r="CH298" i="1"/>
  <c r="AT296" i="1"/>
  <c r="F294" i="1"/>
  <c r="BO480" i="1"/>
  <c r="BN474" i="1"/>
  <c r="CI550" i="1"/>
  <c r="L468" i="1"/>
  <c r="CA460" i="1"/>
  <c r="L497" i="1"/>
  <c r="H486" i="1"/>
  <c r="K496" i="1"/>
  <c r="BB481" i="1"/>
  <c r="BA477" i="1"/>
  <c r="U457" i="1"/>
  <c r="AP414" i="1"/>
  <c r="AG414" i="1"/>
  <c r="O490" i="1"/>
  <c r="BV443" i="1"/>
  <c r="BM443" i="1"/>
  <c r="AR443" i="1"/>
  <c r="Y480" i="1"/>
  <c r="AD437" i="1"/>
  <c r="U437" i="1"/>
  <c r="DD436" i="1"/>
  <c r="U472" i="1"/>
  <c r="AT430" i="1"/>
  <c r="AK430" i="1"/>
  <c r="P430" i="1"/>
  <c r="AA431" i="1"/>
  <c r="CX445" i="1"/>
  <c r="AO444" i="1"/>
  <c r="T444" i="1"/>
  <c r="U478" i="1"/>
  <c r="Z435" i="1"/>
  <c r="Q435" i="1"/>
  <c r="AN450" i="1"/>
  <c r="AR431" i="1"/>
  <c r="AI498" i="1"/>
  <c r="BY465" i="1"/>
  <c r="CL444" i="1"/>
  <c r="CP425" i="1"/>
  <c r="CC444" i="1"/>
  <c r="CG425" i="1"/>
  <c r="BH444" i="1"/>
  <c r="BL425" i="1"/>
  <c r="CW480" i="1"/>
  <c r="BU457" i="1"/>
  <c r="DB437" i="1"/>
  <c r="DF418" i="1"/>
  <c r="CS437" i="1"/>
  <c r="CW418" i="1"/>
  <c r="BX437" i="1"/>
  <c r="CR419" i="1"/>
  <c r="CI438" i="1"/>
  <c r="CM419" i="1"/>
  <c r="CS464" i="1"/>
  <c r="V437" i="1"/>
  <c r="Z418" i="1"/>
  <c r="M437" i="1"/>
  <c r="Q418" i="1"/>
  <c r="CV436" i="1"/>
  <c r="N452" i="1"/>
  <c r="BY468" i="1"/>
  <c r="AH449" i="1"/>
  <c r="CL439" i="1"/>
  <c r="AL430" i="1"/>
  <c r="CP420" i="1"/>
  <c r="Y449" i="1"/>
  <c r="CC439" i="1"/>
  <c r="AC430" i="1"/>
  <c r="CG420" i="1"/>
  <c r="DH448" i="1"/>
  <c r="BH439" i="1"/>
  <c r="H430" i="1"/>
  <c r="F459" i="1"/>
  <c r="AQ489" i="1"/>
  <c r="U475" i="1"/>
  <c r="CG463" i="1"/>
  <c r="Y452" i="1"/>
  <c r="CT442" i="1"/>
  <c r="AT433" i="1"/>
  <c r="CX423" i="1"/>
  <c r="AX414" i="1"/>
  <c r="CK442" i="1"/>
  <c r="AK433" i="1"/>
  <c r="CO423" i="1"/>
  <c r="AO414" i="1"/>
  <c r="BP442" i="1"/>
  <c r="P433" i="1"/>
  <c r="BT423" i="1"/>
  <c r="AY509" i="1"/>
  <c r="DE478" i="1"/>
  <c r="CS467" i="1"/>
  <c r="AW455" i="1"/>
  <c r="N446" i="1"/>
  <c r="BR436" i="1"/>
  <c r="R427" i="1"/>
  <c r="BV417" i="1"/>
  <c r="DI445" i="1"/>
  <c r="BI436" i="1"/>
  <c r="I427" i="1"/>
  <c r="BM417" i="1"/>
  <c r="CN445" i="1"/>
  <c r="AN436" i="1"/>
  <c r="CR426" i="1"/>
  <c r="BH418" i="1"/>
  <c r="CY446" i="1"/>
  <c r="AY437" i="1"/>
  <c r="DC427" i="1"/>
  <c r="BC418" i="1"/>
  <c r="CT408" i="1"/>
  <c r="Y458" i="1"/>
  <c r="CD444" i="1"/>
  <c r="J434" i="1"/>
  <c r="BN424" i="1"/>
  <c r="N415" i="1"/>
  <c r="BA443" i="1"/>
  <c r="DE433" i="1"/>
  <c r="BE424" i="1"/>
  <c r="DI414" i="1"/>
  <c r="AF443" i="1"/>
  <c r="CJ433" i="1"/>
  <c r="AJ424" i="1"/>
  <c r="G495" i="1"/>
  <c r="AG477" i="1"/>
  <c r="BY464" i="1"/>
  <c r="Q453" i="1"/>
  <c r="CL443" i="1"/>
  <c r="AL434" i="1"/>
  <c r="CP424" i="1"/>
  <c r="AP415" i="1"/>
  <c r="CC443" i="1"/>
  <c r="AC434" i="1"/>
  <c r="CG424" i="1"/>
  <c r="AG415" i="1"/>
  <c r="BH443" i="1"/>
  <c r="H434" i="1"/>
  <c r="BL424" i="1"/>
  <c r="J452" i="1"/>
  <c r="AO480" i="1"/>
  <c r="CK468" i="1"/>
  <c r="AC457" i="1"/>
  <c r="CT446" i="1"/>
  <c r="AT437" i="1"/>
  <c r="CX427" i="1"/>
  <c r="AX418" i="1"/>
  <c r="CK446" i="1"/>
  <c r="AK437" i="1"/>
  <c r="CO427" i="1"/>
  <c r="AO418" i="1"/>
  <c r="BP446" i="1"/>
  <c r="P437" i="1"/>
  <c r="BT427" i="1"/>
  <c r="BZ454" i="1"/>
  <c r="DE482" i="1"/>
  <c r="CW472" i="1"/>
  <c r="AK460" i="1"/>
  <c r="N450" i="1"/>
  <c r="BR440" i="1"/>
  <c r="R431" i="1"/>
  <c r="BV421" i="1"/>
  <c r="DI449" i="1"/>
  <c r="BI440" i="1"/>
  <c r="I431" i="1"/>
  <c r="BM421" i="1"/>
  <c r="CN449" i="1"/>
  <c r="AN440" i="1"/>
  <c r="CR430" i="1"/>
  <c r="AR421" i="1"/>
  <c r="CY450" i="1"/>
  <c r="AY441" i="1"/>
  <c r="DC431" i="1"/>
  <c r="BC422" i="1"/>
  <c r="CT412" i="1"/>
  <c r="AT403" i="1"/>
  <c r="CX393" i="1"/>
  <c r="AX384" i="1"/>
  <c r="BV394" i="1"/>
  <c r="J382" i="1"/>
  <c r="BN372" i="1"/>
  <c r="N363" i="1"/>
  <c r="M407" i="1"/>
  <c r="BQ397" i="1"/>
  <c r="Q388" i="1"/>
  <c r="BU378" i="1"/>
  <c r="U369" i="1"/>
  <c r="DD419" i="1"/>
  <c r="AQ448" i="1"/>
  <c r="AE441" i="1"/>
  <c r="BG436" i="1"/>
  <c r="CI431" i="1"/>
  <c r="G427" i="1"/>
  <c r="AI422" i="1"/>
  <c r="BK417" i="1"/>
  <c r="BZ412" i="1"/>
  <c r="DB407" i="1"/>
  <c r="Z403" i="1"/>
  <c r="BB398" i="1"/>
  <c r="CD393" i="1"/>
  <c r="DF388" i="1"/>
  <c r="AD384" i="1"/>
  <c r="BF379" i="1"/>
  <c r="CH374" i="1"/>
  <c r="F370" i="1"/>
  <c r="AH365" i="1"/>
  <c r="BJ360" i="1"/>
  <c r="AG409" i="1"/>
  <c r="BI404" i="1"/>
  <c r="CK399" i="1"/>
  <c r="I395" i="1"/>
  <c r="AK390" i="1"/>
  <c r="BM385" i="1"/>
  <c r="CO380" i="1"/>
  <c r="M376" i="1"/>
  <c r="AO371" i="1"/>
  <c r="BQ366" i="1"/>
  <c r="CS361" i="1"/>
  <c r="CB417" i="1"/>
  <c r="CQ450" i="1"/>
  <c r="O446" i="1"/>
  <c r="AQ441" i="1"/>
  <c r="BS436" i="1"/>
  <c r="CU431" i="1"/>
  <c r="S427" i="1"/>
  <c r="AU422" i="1"/>
  <c r="BW417" i="1"/>
  <c r="CL412" i="1"/>
  <c r="J408" i="1"/>
  <c r="AL403" i="1"/>
  <c r="BN398" i="1"/>
  <c r="CP393" i="1"/>
  <c r="N389" i="1"/>
  <c r="AP384" i="1"/>
  <c r="BR379" i="1"/>
  <c r="CT374" i="1"/>
  <c r="R370" i="1"/>
  <c r="AT365" i="1"/>
  <c r="BV360" i="1"/>
  <c r="AS409" i="1"/>
  <c r="BU404" i="1"/>
  <c r="CW399" i="1"/>
  <c r="U395" i="1"/>
  <c r="AW390" i="1"/>
  <c r="BY385" i="1"/>
  <c r="DA380" i="1"/>
  <c r="Y376" i="1"/>
  <c r="BA371" i="1"/>
  <c r="CC366" i="1"/>
  <c r="DE361" i="1"/>
  <c r="L417" i="1"/>
  <c r="AA450" i="1"/>
  <c r="BC445" i="1"/>
  <c r="CE440" i="1"/>
  <c r="DG435" i="1"/>
  <c r="AE431" i="1"/>
  <c r="BG426" i="1"/>
  <c r="CI421" i="1"/>
  <c r="G417" i="1"/>
  <c r="V412" i="1"/>
  <c r="AX407" i="1"/>
  <c r="BZ402" i="1"/>
  <c r="DB397" i="1"/>
  <c r="Z393" i="1"/>
  <c r="BB388" i="1"/>
  <c r="CD383" i="1"/>
  <c r="DF378" i="1"/>
  <c r="AD374" i="1"/>
  <c r="BF369" i="1"/>
  <c r="CH364" i="1"/>
  <c r="BE413" i="1"/>
  <c r="CG408" i="1"/>
  <c r="DI403" i="1"/>
  <c r="AG399" i="1"/>
  <c r="BI394" i="1"/>
  <c r="CK389" i="1"/>
  <c r="I385" i="1"/>
  <c r="AK380" i="1"/>
  <c r="BM375" i="1"/>
  <c r="CO370" i="1"/>
  <c r="M366" i="1"/>
  <c r="AO361" i="1"/>
  <c r="BI358" i="1"/>
  <c r="CK353" i="1"/>
  <c r="I349" i="1"/>
  <c r="AK344" i="1"/>
  <c r="DD412" i="1"/>
  <c r="AB408" i="1"/>
  <c r="BD403" i="1"/>
  <c r="CF398" i="1"/>
  <c r="DH393" i="1"/>
  <c r="AF389" i="1"/>
  <c r="BH384" i="1"/>
  <c r="CJ379" i="1"/>
  <c r="BJ403" i="1"/>
  <c r="CD396" i="1"/>
  <c r="BF390" i="1"/>
  <c r="R384" i="1"/>
  <c r="DB378" i="1"/>
  <c r="Z374" i="1"/>
  <c r="BB369" i="1"/>
  <c r="CD364" i="1"/>
  <c r="BA413" i="1"/>
  <c r="CC408" i="1"/>
  <c r="DE403" i="1"/>
  <c r="AC399" i="1"/>
  <c r="BE394" i="1"/>
  <c r="CG389" i="1"/>
  <c r="DI384" i="1"/>
  <c r="AG380" i="1"/>
  <c r="BI375" i="1"/>
  <c r="CK370" i="1"/>
  <c r="I366" i="1"/>
  <c r="AK361" i="1"/>
  <c r="CR416" i="1"/>
  <c r="DG449" i="1"/>
  <c r="AE445" i="1"/>
  <c r="BG440" i="1"/>
  <c r="CI435" i="1"/>
  <c r="G431" i="1"/>
  <c r="AI426" i="1"/>
  <c r="BK421" i="1"/>
  <c r="CM416" i="1"/>
  <c r="DB411" i="1"/>
  <c r="Z407" i="1"/>
  <c r="BB402" i="1"/>
  <c r="CD397" i="1"/>
  <c r="DF392" i="1"/>
  <c r="AD388" i="1"/>
  <c r="BF383" i="1"/>
  <c r="AP379" i="1"/>
  <c r="DF376" i="1"/>
  <c r="BR374" i="1"/>
  <c r="AD372" i="1"/>
  <c r="CT369" i="1"/>
  <c r="BF367" i="1"/>
  <c r="R365" i="1"/>
  <c r="CH362" i="1"/>
  <c r="CW413" i="1"/>
  <c r="BE411" i="1"/>
  <c r="Q409" i="1"/>
  <c r="CG406" i="1"/>
  <c r="AS404" i="1"/>
  <c r="DI401" i="1"/>
  <c r="BU399" i="1"/>
  <c r="AG397" i="1"/>
  <c r="CW394" i="1"/>
  <c r="BI392" i="1"/>
  <c r="U390" i="1"/>
  <c r="CK387" i="1"/>
  <c r="AW385" i="1"/>
  <c r="I383" i="1"/>
  <c r="BY380" i="1"/>
  <c r="AK378" i="1"/>
  <c r="DA375" i="1"/>
  <c r="BM373" i="1"/>
  <c r="Y371" i="1"/>
  <c r="CO368" i="1"/>
  <c r="BA366" i="1"/>
  <c r="M364" i="1"/>
  <c r="CC361" i="1"/>
  <c r="CZ419" i="1"/>
  <c r="BL417" i="1"/>
  <c r="X415" i="1"/>
  <c r="CA450" i="1"/>
  <c r="AM448" i="1"/>
  <c r="DC445" i="1"/>
  <c r="BO443" i="1"/>
  <c r="AA441" i="1"/>
  <c r="CQ438" i="1"/>
  <c r="BC436" i="1"/>
  <c r="O434" i="1"/>
  <c r="CE431" i="1"/>
  <c r="AQ429" i="1"/>
  <c r="DG426" i="1"/>
  <c r="BS424" i="1"/>
  <c r="AE422" i="1"/>
  <c r="CU419" i="1"/>
  <c r="BG417" i="1"/>
  <c r="S415" i="1"/>
  <c r="BV412" i="1"/>
  <c r="AH410" i="1"/>
  <c r="CX407" i="1"/>
  <c r="BJ405" i="1"/>
  <c r="V403" i="1"/>
  <c r="CL400" i="1"/>
  <c r="AX398" i="1"/>
  <c r="J396" i="1"/>
  <c r="BZ393" i="1"/>
  <c r="AL391" i="1"/>
  <c r="DB388" i="1"/>
  <c r="BN386" i="1"/>
  <c r="Z384" i="1"/>
  <c r="CP381" i="1"/>
  <c r="BB379" i="1"/>
  <c r="N377" i="1"/>
  <c r="CD374" i="1"/>
  <c r="AP372" i="1"/>
  <c r="DF369" i="1"/>
  <c r="BR367" i="1"/>
  <c r="AD365" i="1"/>
  <c r="CT362" i="1"/>
  <c r="BF360" i="1"/>
  <c r="BQ411" i="1"/>
  <c r="AC409" i="1"/>
  <c r="CS406" i="1"/>
  <c r="BE404" i="1"/>
  <c r="Q402" i="1"/>
  <c r="CG399" i="1"/>
  <c r="AS397" i="1"/>
  <c r="DI394" i="1"/>
  <c r="BU392" i="1"/>
  <c r="AG390" i="1"/>
  <c r="CW387" i="1"/>
  <c r="BI385" i="1"/>
  <c r="U383" i="1"/>
  <c r="CK380" i="1"/>
  <c r="AW378" i="1"/>
  <c r="I376" i="1"/>
  <c r="BY373" i="1"/>
  <c r="AK371" i="1"/>
  <c r="DA368" i="1"/>
  <c r="BM366" i="1"/>
  <c r="Y364" i="1"/>
  <c r="CO361" i="1"/>
  <c r="AJ419" i="1"/>
  <c r="CZ416" i="1"/>
  <c r="BL414" i="1"/>
  <c r="K450" i="1"/>
  <c r="CA447" i="1"/>
  <c r="AM445" i="1"/>
  <c r="DC442" i="1"/>
  <c r="BO440" i="1"/>
  <c r="AA438" i="1"/>
  <c r="CQ435" i="1"/>
  <c r="BC433" i="1"/>
  <c r="O431" i="1"/>
  <c r="CE428" i="1"/>
  <c r="AQ426" i="1"/>
  <c r="DG423" i="1"/>
  <c r="BS421" i="1"/>
  <c r="AE419" i="1"/>
  <c r="CU416" i="1"/>
  <c r="BG414" i="1"/>
  <c r="F412" i="1"/>
  <c r="BV409" i="1"/>
  <c r="AH407" i="1"/>
  <c r="CX404" i="1"/>
  <c r="BJ402" i="1"/>
  <c r="V400" i="1"/>
  <c r="CL397" i="1"/>
  <c r="AX395" i="1"/>
  <c r="J393" i="1"/>
  <c r="BZ390" i="1"/>
  <c r="AL388" i="1"/>
  <c r="DB385" i="1"/>
  <c r="BN383" i="1"/>
  <c r="Z381" i="1"/>
  <c r="CP378" i="1"/>
  <c r="BB376" i="1"/>
  <c r="N374" i="1"/>
  <c r="CD371" i="1"/>
  <c r="AP369" i="1"/>
  <c r="DF366" i="1"/>
  <c r="BR364" i="1"/>
  <c r="AD362" i="1"/>
  <c r="AO413" i="1"/>
  <c r="DE410" i="1"/>
  <c r="BQ408" i="1"/>
  <c r="AC406" i="1"/>
  <c r="CS403" i="1"/>
  <c r="BE401" i="1"/>
  <c r="Q399" i="1"/>
  <c r="CG396" i="1"/>
  <c r="AS394" i="1"/>
  <c r="DI391" i="1"/>
  <c r="BU389" i="1"/>
  <c r="AG387" i="1"/>
  <c r="CW384" i="1"/>
  <c r="BI382" i="1"/>
  <c r="U380" i="1"/>
  <c r="CK377" i="1"/>
  <c r="AW375" i="1"/>
  <c r="I373" i="1"/>
  <c r="BY370" i="1"/>
  <c r="AK368" i="1"/>
  <c r="DA365" i="1"/>
  <c r="BM363" i="1"/>
  <c r="Y361" i="1"/>
  <c r="CO358" i="1"/>
  <c r="AS358" i="1"/>
  <c r="DI355" i="1"/>
  <c r="BU353" i="1"/>
  <c r="AG351" i="1"/>
  <c r="CW348" i="1"/>
  <c r="BI346" i="1"/>
  <c r="U344" i="1"/>
  <c r="CK341" i="1"/>
  <c r="CN412" i="1"/>
  <c r="AZ410" i="1"/>
  <c r="L408" i="1"/>
  <c r="CB405" i="1"/>
  <c r="AN403" i="1"/>
  <c r="DD400" i="1"/>
  <c r="BP398" i="1"/>
  <c r="AB396" i="1"/>
  <c r="CR393" i="1"/>
  <c r="BD391" i="1"/>
  <c r="P389" i="1"/>
  <c r="CF386" i="1"/>
  <c r="AR384" i="1"/>
  <c r="AL401" i="1"/>
  <c r="Z398" i="1"/>
  <c r="DB394" i="1"/>
  <c r="CP391" i="1"/>
  <c r="CD388" i="1"/>
  <c r="BB385" i="1"/>
  <c r="AP382" i="1"/>
  <c r="DF379" i="1"/>
  <c r="BR377" i="1"/>
  <c r="AD375" i="1"/>
  <c r="CT372" i="1"/>
  <c r="BF370" i="1"/>
  <c r="R368" i="1"/>
  <c r="CH365" i="1"/>
  <c r="AT363" i="1"/>
  <c r="F361" i="1"/>
  <c r="Q412" i="1"/>
  <c r="CG409" i="1"/>
  <c r="AS407" i="1"/>
  <c r="DI404" i="1"/>
  <c r="BU402" i="1"/>
  <c r="AG400" i="1"/>
  <c r="CW397" i="1"/>
  <c r="BI395" i="1"/>
  <c r="U393" i="1"/>
  <c r="CK390" i="1"/>
  <c r="AW388" i="1"/>
  <c r="I386" i="1"/>
  <c r="BY383" i="1"/>
  <c r="AK381" i="1"/>
  <c r="DA378" i="1"/>
  <c r="BM376" i="1"/>
  <c r="Y374" i="1"/>
  <c r="CO371" i="1"/>
  <c r="BA369" i="1"/>
  <c r="M367" i="1"/>
  <c r="CC364" i="1"/>
  <c r="AO362" i="1"/>
  <c r="AF420" i="1"/>
  <c r="CV417" i="1"/>
  <c r="BH415" i="1"/>
  <c r="G451" i="1"/>
  <c r="BW448" i="1"/>
  <c r="AI446" i="1"/>
  <c r="CY443" i="1"/>
  <c r="BK441" i="1"/>
  <c r="W439" i="1"/>
  <c r="CM436" i="1"/>
  <c r="AY434" i="1"/>
  <c r="K432" i="1"/>
  <c r="CA429" i="1"/>
  <c r="AM427" i="1"/>
  <c r="DC424" i="1"/>
  <c r="BO422" i="1"/>
  <c r="AA420" i="1"/>
  <c r="CQ417" i="1"/>
  <c r="BC415" i="1"/>
  <c r="DF412" i="1"/>
  <c r="BR410" i="1"/>
  <c r="AD408" i="1"/>
  <c r="CT405" i="1"/>
  <c r="BF403" i="1"/>
  <c r="R401" i="1"/>
  <c r="CH398" i="1"/>
  <c r="AT396" i="1"/>
  <c r="F394" i="1"/>
  <c r="BV391" i="1"/>
  <c r="AH389" i="1"/>
  <c r="CX386" i="1"/>
  <c r="BJ384" i="1"/>
  <c r="V382" i="1"/>
  <c r="CL379" i="1"/>
  <c r="AX377" i="1"/>
  <c r="J375" i="1"/>
  <c r="BZ372" i="1"/>
  <c r="AL370" i="1"/>
  <c r="DB367" i="1"/>
  <c r="BN365" i="1"/>
  <c r="Z363" i="1"/>
  <c r="CP360" i="1"/>
  <c r="DA411" i="1"/>
  <c r="BM409" i="1"/>
  <c r="Y407" i="1"/>
  <c r="CO404" i="1"/>
  <c r="BA402" i="1"/>
  <c r="M400" i="1"/>
  <c r="CC397" i="1"/>
  <c r="AO395" i="1"/>
  <c r="DE392" i="1"/>
  <c r="BQ390" i="1"/>
  <c r="AC388" i="1"/>
  <c r="CS385" i="1"/>
  <c r="BE383" i="1"/>
  <c r="Q381" i="1"/>
  <c r="CG378" i="1"/>
  <c r="AS376" i="1"/>
  <c r="DI373" i="1"/>
  <c r="BU371" i="1"/>
  <c r="AG369" i="1"/>
  <c r="CW366" i="1"/>
  <c r="BI364" i="1"/>
  <c r="U362" i="1"/>
  <c r="AR420" i="1"/>
  <c r="DH417" i="1"/>
  <c r="BT415" i="1"/>
  <c r="S451" i="1"/>
  <c r="CI448" i="1"/>
  <c r="AU446" i="1"/>
  <c r="G444" i="1"/>
  <c r="BW441" i="1"/>
  <c r="AI439" i="1"/>
  <c r="CY436" i="1"/>
  <c r="BK434" i="1"/>
  <c r="W432" i="1"/>
  <c r="CM429" i="1"/>
  <c r="AY427" i="1"/>
  <c r="K425" i="1"/>
  <c r="CA422" i="1"/>
  <c r="AM420" i="1"/>
  <c r="DC417" i="1"/>
  <c r="BO415" i="1"/>
  <c r="N413" i="1"/>
  <c r="CD410" i="1"/>
  <c r="AP408" i="1"/>
  <c r="DF405" i="1"/>
  <c r="BR403" i="1"/>
  <c r="AD401" i="1"/>
  <c r="CT398" i="1"/>
  <c r="BF396" i="1"/>
  <c r="R394" i="1"/>
  <c r="CH391" i="1"/>
  <c r="AT389" i="1"/>
  <c r="F387" i="1"/>
  <c r="BV384" i="1"/>
  <c r="AH382" i="1"/>
  <c r="CX379" i="1"/>
  <c r="BJ377" i="1"/>
  <c r="V375" i="1"/>
  <c r="CL372" i="1"/>
  <c r="AX370" i="1"/>
  <c r="J368" i="1"/>
  <c r="BZ365" i="1"/>
  <c r="AL363" i="1"/>
  <c r="DB360" i="1"/>
  <c r="I412" i="1"/>
  <c r="BY409" i="1"/>
  <c r="AK407" i="1"/>
  <c r="DA404" i="1"/>
  <c r="BM402" i="1"/>
  <c r="Y400" i="1"/>
  <c r="CO397" i="1"/>
  <c r="BA395" i="1"/>
  <c r="M393" i="1"/>
  <c r="CC390" i="1"/>
  <c r="AO388" i="1"/>
  <c r="DE385" i="1"/>
  <c r="BQ383" i="1"/>
  <c r="AC381" i="1"/>
  <c r="CS378" i="1"/>
  <c r="BE376" i="1"/>
  <c r="Q374" i="1"/>
  <c r="CG371" i="1"/>
  <c r="AS369" i="1"/>
  <c r="DI366" i="1"/>
  <c r="BU364" i="1"/>
  <c r="AG362" i="1"/>
  <c r="CF419" i="1"/>
  <c r="AR417" i="1"/>
  <c r="DH414" i="1"/>
  <c r="BG450" i="1"/>
  <c r="S448" i="1"/>
  <c r="CI445" i="1"/>
  <c r="AU443" i="1"/>
  <c r="G441" i="1"/>
  <c r="BW438" i="1"/>
  <c r="AI436" i="1"/>
  <c r="CY433" i="1"/>
  <c r="BK431" i="1"/>
  <c r="W429" i="1"/>
  <c r="CM426" i="1"/>
  <c r="AY424" i="1"/>
  <c r="K422" i="1"/>
  <c r="CA419" i="1"/>
  <c r="AM417" i="1"/>
  <c r="DC414" i="1"/>
  <c r="BB412" i="1"/>
  <c r="N410" i="1"/>
  <c r="CD407" i="1"/>
  <c r="AP405" i="1"/>
  <c r="DF402" i="1"/>
  <c r="BR400" i="1"/>
  <c r="AD398" i="1"/>
  <c r="CT395" i="1"/>
  <c r="BF393" i="1"/>
  <c r="R391" i="1"/>
  <c r="CH388" i="1"/>
  <c r="AT386" i="1"/>
  <c r="F384" i="1"/>
  <c r="BV381" i="1"/>
  <c r="AH379" i="1"/>
  <c r="CX376" i="1"/>
  <c r="BJ374" i="1"/>
  <c r="V372" i="1"/>
  <c r="CL369" i="1"/>
  <c r="AX367" i="1"/>
  <c r="J365" i="1"/>
  <c r="BZ362" i="1"/>
  <c r="CK413" i="1"/>
  <c r="AW411" i="1"/>
  <c r="I409" i="1"/>
  <c r="BY406" i="1"/>
  <c r="AK404" i="1"/>
  <c r="DA401" i="1"/>
  <c r="BM399" i="1"/>
  <c r="Y397" i="1"/>
  <c r="CO394" i="1"/>
  <c r="BA392" i="1"/>
  <c r="M390" i="1"/>
  <c r="CC387" i="1"/>
  <c r="AO385" i="1"/>
  <c r="DE382" i="1"/>
  <c r="BQ380" i="1"/>
  <c r="AC378" i="1"/>
  <c r="CS375" i="1"/>
  <c r="BE373" i="1"/>
  <c r="Q371" i="1"/>
  <c r="CG368" i="1"/>
  <c r="AS366" i="1"/>
  <c r="DI363" i="1"/>
  <c r="BU361" i="1"/>
  <c r="AG359" i="1"/>
  <c r="CS358" i="1"/>
  <c r="BA356" i="1"/>
  <c r="M354" i="1"/>
  <c r="CC351" i="1"/>
  <c r="AO349" i="1"/>
  <c r="DE346" i="1"/>
  <c r="BQ344" i="1"/>
  <c r="AC342" i="1"/>
  <c r="AF413" i="1"/>
  <c r="CV410" i="1"/>
  <c r="BH408" i="1"/>
  <c r="T406" i="1"/>
  <c r="CJ403" i="1"/>
  <c r="AV401" i="1"/>
  <c r="H399" i="1"/>
  <c r="BX396" i="1"/>
  <c r="AJ394" i="1"/>
  <c r="CZ391" i="1"/>
  <c r="BL389" i="1"/>
  <c r="X387" i="1"/>
  <c r="CN384" i="1"/>
  <c r="V401" i="1"/>
  <c r="CX397" i="1"/>
  <c r="CL394" i="1"/>
  <c r="BZ391" i="1"/>
  <c r="AX388" i="1"/>
  <c r="AL385" i="1"/>
  <c r="Z382" i="1"/>
  <c r="CP379" i="1"/>
  <c r="BB377" i="1"/>
  <c r="N375" i="1"/>
  <c r="CD372" i="1"/>
  <c r="AP370" i="1"/>
  <c r="DF367" i="1"/>
  <c r="BR365" i="1"/>
  <c r="AD363" i="1"/>
  <c r="CT360" i="1"/>
  <c r="DE411" i="1"/>
  <c r="BQ409" i="1"/>
  <c r="AC407" i="1"/>
  <c r="CS404" i="1"/>
  <c r="BE402" i="1"/>
  <c r="Q400" i="1"/>
  <c r="CG397" i="1"/>
  <c r="AS395" i="1"/>
  <c r="DI392" i="1"/>
  <c r="BU390" i="1"/>
  <c r="AG388" i="1"/>
  <c r="CW385" i="1"/>
  <c r="BI383" i="1"/>
  <c r="U381" i="1"/>
  <c r="CK378" i="1"/>
  <c r="AW376" i="1"/>
  <c r="I374" i="1"/>
  <c r="BY371" i="1"/>
  <c r="AK369" i="1"/>
  <c r="DA366" i="1"/>
  <c r="BM364" i="1"/>
  <c r="Y362" i="1"/>
  <c r="P420" i="1"/>
  <c r="CF417" i="1"/>
  <c r="AR415" i="1"/>
  <c r="CU450" i="1"/>
  <c r="BG448" i="1"/>
  <c r="S446" i="1"/>
  <c r="CI443" i="1"/>
  <c r="AU441" i="1"/>
  <c r="G439" i="1"/>
  <c r="BW436" i="1"/>
  <c r="AI434" i="1"/>
  <c r="CY431" i="1"/>
  <c r="BK429" i="1"/>
  <c r="W427" i="1"/>
  <c r="CM424" i="1"/>
  <c r="AY422" i="1"/>
  <c r="K420" i="1"/>
  <c r="CA417" i="1"/>
  <c r="AM415" i="1"/>
  <c r="CP412" i="1"/>
  <c r="BB410" i="1"/>
  <c r="N408" i="1"/>
  <c r="CD405" i="1"/>
  <c r="AP403" i="1"/>
  <c r="DF400" i="1"/>
  <c r="BR398" i="1"/>
  <c r="AD396" i="1"/>
  <c r="CT393" i="1"/>
  <c r="BF391" i="1"/>
  <c r="R389" i="1"/>
  <c r="CH386" i="1"/>
  <c r="AT384" i="1"/>
  <c r="F382" i="1"/>
  <c r="BV379" i="1"/>
  <c r="AH377" i="1"/>
  <c r="CX374" i="1"/>
  <c r="BJ372" i="1"/>
  <c r="V370" i="1"/>
  <c r="CL367" i="1"/>
  <c r="AX365" i="1"/>
  <c r="J363" i="1"/>
  <c r="BZ360" i="1"/>
  <c r="CK411" i="1"/>
  <c r="AW409" i="1"/>
  <c r="I407" i="1"/>
  <c r="BY404" i="1"/>
  <c r="AK402" i="1"/>
  <c r="DA399" i="1"/>
  <c r="BM397" i="1"/>
  <c r="Y395" i="1"/>
  <c r="CO392" i="1"/>
  <c r="BA390" i="1"/>
  <c r="M388" i="1"/>
  <c r="CC385" i="1"/>
  <c r="AO383" i="1"/>
  <c r="DE380" i="1"/>
  <c r="BQ378" i="1"/>
  <c r="AC376" i="1"/>
  <c r="CS373" i="1"/>
  <c r="BE371" i="1"/>
  <c r="Q369" i="1"/>
  <c r="CG366" i="1"/>
  <c r="AS364" i="1"/>
  <c r="DI361" i="1"/>
  <c r="AB420" i="1"/>
  <c r="CR417" i="1"/>
  <c r="BD415" i="1"/>
  <c r="DG450" i="1"/>
  <c r="BS448" i="1"/>
  <c r="AE446" i="1"/>
  <c r="CU443" i="1"/>
  <c r="BG441" i="1"/>
  <c r="S439" i="1"/>
  <c r="CI436" i="1"/>
  <c r="AU434" i="1"/>
  <c r="G432" i="1"/>
  <c r="BW429" i="1"/>
  <c r="AI427" i="1"/>
  <c r="CY424" i="1"/>
  <c r="BK422" i="1"/>
  <c r="W420" i="1"/>
  <c r="CM417" i="1"/>
  <c r="AY415" i="1"/>
  <c r="DB412" i="1"/>
  <c r="BN410" i="1"/>
  <c r="Z408" i="1"/>
  <c r="CP405" i="1"/>
  <c r="BB403" i="1"/>
  <c r="N401" i="1"/>
  <c r="CD398" i="1"/>
  <c r="AP396" i="1"/>
  <c r="DF393" i="1"/>
  <c r="BR391" i="1"/>
  <c r="AD389" i="1"/>
  <c r="CT386" i="1"/>
  <c r="BF384" i="1"/>
  <c r="R382" i="1"/>
  <c r="CH379" i="1"/>
  <c r="AT377" i="1"/>
  <c r="F375" i="1"/>
  <c r="BV372" i="1"/>
  <c r="AH370" i="1"/>
  <c r="CX367" i="1"/>
  <c r="BJ365" i="1"/>
  <c r="V363" i="1"/>
  <c r="CL360" i="1"/>
  <c r="CW411" i="1"/>
  <c r="BI409" i="1"/>
  <c r="U407" i="1"/>
  <c r="CK404" i="1"/>
  <c r="AW402" i="1"/>
  <c r="I400" i="1"/>
  <c r="BY397" i="1"/>
  <c r="AK395" i="1"/>
  <c r="DA392" i="1"/>
  <c r="BM390" i="1"/>
  <c r="Y388" i="1"/>
  <c r="CO385" i="1"/>
  <c r="BA383" i="1"/>
  <c r="M381" i="1"/>
  <c r="CC378" i="1"/>
  <c r="AO376" i="1"/>
  <c r="DE373" i="1"/>
  <c r="BQ371" i="1"/>
  <c r="AC369" i="1"/>
  <c r="CS366" i="1"/>
  <c r="BE364" i="1"/>
  <c r="Q362" i="1"/>
  <c r="BP419" i="1"/>
  <c r="AB417" i="1"/>
  <c r="CR414" i="1"/>
  <c r="AQ450" i="1"/>
  <c r="DG447" i="1"/>
  <c r="BS445" i="1"/>
  <c r="AE443" i="1"/>
  <c r="CU440" i="1"/>
  <c r="BG438" i="1"/>
  <c r="S436" i="1"/>
  <c r="CI433" i="1"/>
  <c r="AU431" i="1"/>
  <c r="G429" i="1"/>
  <c r="BW426" i="1"/>
  <c r="AI424" i="1"/>
  <c r="CY421" i="1"/>
  <c r="BK419" i="1"/>
  <c r="W417" i="1"/>
  <c r="CM414" i="1"/>
  <c r="AL412" i="1"/>
  <c r="DB409" i="1"/>
  <c r="BN407" i="1"/>
  <c r="Z405" i="1"/>
  <c r="CP402" i="1"/>
  <c r="BB400" i="1"/>
  <c r="N398" i="1"/>
  <c r="CD395" i="1"/>
  <c r="AP393" i="1"/>
  <c r="DF390" i="1"/>
  <c r="BR388" i="1"/>
  <c r="AD386" i="1"/>
  <c r="CT383" i="1"/>
  <c r="BF381" i="1"/>
  <c r="R379" i="1"/>
  <c r="CH376" i="1"/>
  <c r="AT374" i="1"/>
  <c r="F372" i="1"/>
  <c r="BV369" i="1"/>
  <c r="AH367" i="1"/>
  <c r="CX364" i="1"/>
  <c r="BJ362" i="1"/>
  <c r="BU413" i="1"/>
  <c r="AG411" i="1"/>
  <c r="CW408" i="1"/>
  <c r="BI406" i="1"/>
  <c r="U404" i="1"/>
  <c r="CK401" i="1"/>
  <c r="AW399" i="1"/>
  <c r="I397" i="1"/>
  <c r="BY394" i="1"/>
  <c r="AK392" i="1"/>
  <c r="DA389" i="1"/>
  <c r="BM387" i="1"/>
  <c r="Y385" i="1"/>
  <c r="CO382" i="1"/>
  <c r="BA380" i="1"/>
  <c r="M378" i="1"/>
  <c r="CC375" i="1"/>
  <c r="AO373" i="1"/>
  <c r="DE370" i="1"/>
  <c r="BQ368" i="1"/>
  <c r="AC366" i="1"/>
  <c r="CS363" i="1"/>
  <c r="BE361" i="1"/>
  <c r="Q359" i="1"/>
  <c r="BY358" i="1"/>
  <c r="AK356" i="1"/>
  <c r="DA353" i="1"/>
  <c r="BM351" i="1"/>
  <c r="Y349" i="1"/>
  <c r="CO346" i="1"/>
  <c r="BA344" i="1"/>
  <c r="M342" i="1"/>
  <c r="P413" i="1"/>
  <c r="CF410" i="1"/>
  <c r="AR408" i="1"/>
  <c r="DH405" i="1"/>
  <c r="BT403" i="1"/>
  <c r="AF401" i="1"/>
  <c r="CV398" i="1"/>
  <c r="BH396" i="1"/>
  <c r="T394" i="1"/>
  <c r="CJ391" i="1"/>
  <c r="AV389" i="1"/>
  <c r="H387" i="1"/>
  <c r="BX384" i="1"/>
  <c r="AJ382" i="1"/>
  <c r="CZ379" i="1"/>
  <c r="BL377" i="1"/>
  <c r="X375" i="1"/>
  <c r="CN372" i="1"/>
  <c r="AZ370" i="1"/>
  <c r="L368" i="1"/>
  <c r="CB365" i="1"/>
  <c r="AN363" i="1"/>
  <c r="DD360" i="1"/>
  <c r="CR381" i="1"/>
  <c r="P377" i="1"/>
  <c r="BL373" i="1"/>
  <c r="AJ370" i="1"/>
  <c r="X367" i="1"/>
  <c r="L364" i="1"/>
  <c r="CN360" i="1"/>
  <c r="AJ358" i="1"/>
  <c r="CZ355" i="1"/>
  <c r="BL353" i="1"/>
  <c r="X351" i="1"/>
  <c r="CN348" i="1"/>
  <c r="AZ346" i="1"/>
  <c r="L344" i="1"/>
  <c r="CB341" i="1"/>
  <c r="AN339" i="1"/>
  <c r="CI412" i="1"/>
  <c r="AU410" i="1"/>
  <c r="G408" i="1"/>
  <c r="BW405" i="1"/>
  <c r="AI403" i="1"/>
  <c r="CY400" i="1"/>
  <c r="BK398" i="1"/>
  <c r="W396" i="1"/>
  <c r="CM393" i="1"/>
  <c r="AY391" i="1"/>
  <c r="K389" i="1"/>
  <c r="CA386" i="1"/>
  <c r="AM384" i="1"/>
  <c r="DC381" i="1"/>
  <c r="BO379" i="1"/>
  <c r="AA377" i="1"/>
  <c r="CQ374" i="1"/>
  <c r="BC372" i="1"/>
  <c r="O370" i="1"/>
  <c r="CE367" i="1"/>
  <c r="AQ365" i="1"/>
  <c r="DG362" i="1"/>
  <c r="BS360" i="1"/>
  <c r="Y359" i="1"/>
  <c r="CC356" i="1"/>
  <c r="AO354" i="1"/>
  <c r="DE351" i="1"/>
  <c r="BQ349" i="1"/>
  <c r="AC347" i="1"/>
  <c r="CS344" i="1"/>
  <c r="BE342" i="1"/>
  <c r="BH413" i="1"/>
  <c r="T411" i="1"/>
  <c r="CJ408" i="1"/>
  <c r="AV406" i="1"/>
  <c r="H404" i="1"/>
  <c r="BX401" i="1"/>
  <c r="AJ399" i="1"/>
  <c r="CZ396" i="1"/>
  <c r="BL394" i="1"/>
  <c r="X392" i="1"/>
  <c r="CN389" i="1"/>
  <c r="AZ387" i="1"/>
  <c r="L385" i="1"/>
  <c r="CB382" i="1"/>
  <c r="AN380" i="1"/>
  <c r="DD377" i="1"/>
  <c r="BP375" i="1"/>
  <c r="AB373" i="1"/>
  <c r="CR370" i="1"/>
  <c r="BD368" i="1"/>
  <c r="P366" i="1"/>
  <c r="CF363" i="1"/>
  <c r="AR361" i="1"/>
  <c r="DH358" i="1"/>
  <c r="BT356" i="1"/>
  <c r="AF354" i="1"/>
  <c r="CV351" i="1"/>
  <c r="BH349" i="1"/>
  <c r="T347" i="1"/>
  <c r="CJ344" i="1"/>
  <c r="AV342" i="1"/>
  <c r="H340" i="1"/>
  <c r="BC413" i="1"/>
  <c r="O411" i="1"/>
  <c r="CE408" i="1"/>
  <c r="AQ406" i="1"/>
  <c r="DG403" i="1"/>
  <c r="BS401" i="1"/>
  <c r="AE399" i="1"/>
  <c r="CU396" i="1"/>
  <c r="BG394" i="1"/>
  <c r="S392" i="1"/>
  <c r="CI389" i="1"/>
  <c r="AU387" i="1"/>
  <c r="G385" i="1"/>
  <c r="BW382" i="1"/>
  <c r="AI380" i="1"/>
  <c r="CY377" i="1"/>
  <c r="BK375" i="1"/>
  <c r="W373" i="1"/>
  <c r="CM370" i="1"/>
  <c r="AY368" i="1"/>
  <c r="K366" i="1"/>
  <c r="CA363" i="1"/>
  <c r="AM361" i="1"/>
  <c r="DC358" i="1"/>
  <c r="BO356" i="1"/>
  <c r="DA360" i="1"/>
  <c r="DI357" i="1"/>
  <c r="BU355" i="1"/>
  <c r="AG353" i="1"/>
  <c r="CW350" i="1"/>
  <c r="BI348" i="1"/>
  <c r="U346" i="1"/>
  <c r="CK343" i="1"/>
  <c r="AW341" i="1"/>
  <c r="AZ412" i="1"/>
  <c r="L410" i="1"/>
  <c r="CB407" i="1"/>
  <c r="AN405" i="1"/>
  <c r="DD402" i="1"/>
  <c r="BP400" i="1"/>
  <c r="AB398" i="1"/>
  <c r="CR395" i="1"/>
  <c r="BD393" i="1"/>
  <c r="P391" i="1"/>
  <c r="CF388" i="1"/>
  <c r="AR386" i="1"/>
  <c r="DH383" i="1"/>
  <c r="BT381" i="1"/>
  <c r="AF379" i="1"/>
  <c r="CV376" i="1"/>
  <c r="BH374" i="1"/>
  <c r="T372" i="1"/>
  <c r="CJ369" i="1"/>
  <c r="AV367" i="1"/>
  <c r="H365" i="1"/>
  <c r="BX362" i="1"/>
  <c r="AJ360" i="1"/>
  <c r="CZ357" i="1"/>
  <c r="BL355" i="1"/>
  <c r="X353" i="1"/>
  <c r="CN350" i="1"/>
  <c r="AZ348" i="1"/>
  <c r="L346" i="1"/>
  <c r="CB343" i="1"/>
  <c r="AN341" i="1"/>
  <c r="DD338" i="1"/>
  <c r="AU412" i="1"/>
  <c r="G410" i="1"/>
  <c r="BW407" i="1"/>
  <c r="AI405" i="1"/>
  <c r="CY402" i="1"/>
  <c r="BK400" i="1"/>
  <c r="W398" i="1"/>
  <c r="CM395" i="1"/>
  <c r="AY393" i="1"/>
  <c r="K391" i="1"/>
  <c r="CA388" i="1"/>
  <c r="AM386" i="1"/>
  <c r="DC383" i="1"/>
  <c r="BO381" i="1"/>
  <c r="AA379" i="1"/>
  <c r="CQ376" i="1"/>
  <c r="BC374" i="1"/>
  <c r="O372" i="1"/>
  <c r="CE369" i="1"/>
  <c r="AQ367" i="1"/>
  <c r="DG364" i="1"/>
  <c r="BS362" i="1"/>
  <c r="AE360" i="1"/>
  <c r="BY360" i="1"/>
  <c r="CO357" i="1"/>
  <c r="BA355" i="1"/>
  <c r="M353" i="1"/>
  <c r="CC350" i="1"/>
  <c r="AO348" i="1"/>
  <c r="DE345" i="1"/>
  <c r="BQ343" i="1"/>
  <c r="AC341" i="1"/>
  <c r="AF412" i="1"/>
  <c r="CV409" i="1"/>
  <c r="BH407" i="1"/>
  <c r="T405" i="1"/>
  <c r="CJ402" i="1"/>
  <c r="AV400" i="1"/>
  <c r="H398" i="1"/>
  <c r="BX395" i="1"/>
  <c r="AJ393" i="1"/>
  <c r="CZ390" i="1"/>
  <c r="BL388" i="1"/>
  <c r="X386" i="1"/>
  <c r="CN383" i="1"/>
  <c r="AZ381" i="1"/>
  <c r="L379" i="1"/>
  <c r="CB376" i="1"/>
  <c r="AN374" i="1"/>
  <c r="DD371" i="1"/>
  <c r="BP369" i="1"/>
  <c r="AB367" i="1"/>
  <c r="CR364" i="1"/>
  <c r="BD362" i="1"/>
  <c r="P360" i="1"/>
  <c r="CF357" i="1"/>
  <c r="AR355" i="1"/>
  <c r="DH352" i="1"/>
  <c r="BT350" i="1"/>
  <c r="AF348" i="1"/>
  <c r="CV345" i="1"/>
  <c r="BH343" i="1"/>
  <c r="T341" i="1"/>
  <c r="CJ338" i="1"/>
  <c r="AA412" i="1"/>
  <c r="CQ409" i="1"/>
  <c r="BC407" i="1"/>
  <c r="O405" i="1"/>
  <c r="CE402" i="1"/>
  <c r="AQ400" i="1"/>
  <c r="DG397" i="1"/>
  <c r="BS395" i="1"/>
  <c r="AE393" i="1"/>
  <c r="CU390" i="1"/>
  <c r="BG388" i="1"/>
  <c r="S386" i="1"/>
  <c r="CI383" i="1"/>
  <c r="AU381" i="1"/>
  <c r="G379" i="1"/>
  <c r="BW376" i="1"/>
  <c r="AI374" i="1"/>
  <c r="CY371" i="1"/>
  <c r="BK369" i="1"/>
  <c r="W367" i="1"/>
  <c r="CM364" i="1"/>
  <c r="AY362" i="1"/>
  <c r="K360" i="1"/>
  <c r="CA357" i="1"/>
  <c r="AM355" i="1"/>
  <c r="AM356" i="1"/>
  <c r="DG352" i="1"/>
  <c r="BS350" i="1"/>
  <c r="AE348" i="1"/>
  <c r="CU345" i="1"/>
  <c r="R356" i="1"/>
  <c r="BV346" i="1"/>
  <c r="CU340" i="1"/>
  <c r="CD337" i="1"/>
  <c r="AP335" i="1"/>
  <c r="DF332" i="1"/>
  <c r="BR330" i="1"/>
  <c r="AD328" i="1"/>
  <c r="CT325" i="1"/>
  <c r="BF323" i="1"/>
  <c r="R321" i="1"/>
  <c r="CH318" i="1"/>
  <c r="AT316" i="1"/>
  <c r="AV381" i="1"/>
  <c r="BX376" i="1"/>
  <c r="AF373" i="1"/>
  <c r="T370" i="1"/>
  <c r="H367" i="1"/>
  <c r="CJ363" i="1"/>
  <c r="BX360" i="1"/>
  <c r="T358" i="1"/>
  <c r="CJ355" i="1"/>
  <c r="AV353" i="1"/>
  <c r="H351" i="1"/>
  <c r="BX348" i="1"/>
  <c r="AJ346" i="1"/>
  <c r="CZ343" i="1"/>
  <c r="BL341" i="1"/>
  <c r="X339" i="1"/>
  <c r="BS412" i="1"/>
  <c r="AE410" i="1"/>
  <c r="CU407" i="1"/>
  <c r="BG405" i="1"/>
  <c r="S403" i="1"/>
  <c r="CI400" i="1"/>
  <c r="AU398" i="1"/>
  <c r="G396" i="1"/>
  <c r="BW393" i="1"/>
  <c r="AI391" i="1"/>
  <c r="CY388" i="1"/>
  <c r="BK386" i="1"/>
  <c r="W384" i="1"/>
  <c r="CM381" i="1"/>
  <c r="AY379" i="1"/>
  <c r="K377" i="1"/>
  <c r="CA374" i="1"/>
  <c r="AM372" i="1"/>
  <c r="DC369" i="1"/>
  <c r="BO367" i="1"/>
  <c r="AA365" i="1"/>
  <c r="CQ362" i="1"/>
  <c r="BC360" i="1"/>
  <c r="DI358" i="1"/>
  <c r="BM356" i="1"/>
  <c r="Y354" i="1"/>
  <c r="CO351" i="1"/>
  <c r="BA349" i="1"/>
  <c r="M347" i="1"/>
  <c r="CC344" i="1"/>
  <c r="AO342" i="1"/>
  <c r="AR413" i="1"/>
  <c r="DH410" i="1"/>
  <c r="BT408" i="1"/>
  <c r="AF406" i="1"/>
  <c r="CV403" i="1"/>
  <c r="BH401" i="1"/>
  <c r="T399" i="1"/>
  <c r="CJ396" i="1"/>
  <c r="AV394" i="1"/>
  <c r="H392" i="1"/>
  <c r="BX389" i="1"/>
  <c r="AJ387" i="1"/>
  <c r="CZ384" i="1"/>
  <c r="BL382" i="1"/>
  <c r="X380" i="1"/>
  <c r="CN377" i="1"/>
  <c r="AZ375" i="1"/>
  <c r="L373" i="1"/>
  <c r="CB370" i="1"/>
  <c r="AN368" i="1"/>
  <c r="DD365" i="1"/>
  <c r="BP363" i="1"/>
  <c r="AB361" i="1"/>
  <c r="CR358" i="1"/>
  <c r="BD356" i="1"/>
  <c r="P354" i="1"/>
  <c r="CF351" i="1"/>
  <c r="AR349" i="1"/>
  <c r="DH346" i="1"/>
  <c r="BT344" i="1"/>
  <c r="AF342" i="1"/>
  <c r="CV339" i="1"/>
  <c r="AM413" i="1"/>
  <c r="DC410" i="1"/>
  <c r="BO408" i="1"/>
  <c r="AA406" i="1"/>
  <c r="CQ403" i="1"/>
  <c r="BC401" i="1"/>
  <c r="O399" i="1"/>
  <c r="CE396" i="1"/>
  <c r="AQ394" i="1"/>
  <c r="DG391" i="1"/>
  <c r="BS389" i="1"/>
  <c r="AE387" i="1"/>
  <c r="CU384" i="1"/>
  <c r="BG382" i="1"/>
  <c r="S380" i="1"/>
  <c r="CI377" i="1"/>
  <c r="AU375" i="1"/>
  <c r="G373" i="1"/>
  <c r="BW370" i="1"/>
  <c r="AI368" i="1"/>
  <c r="CY365" i="1"/>
  <c r="BK363" i="1"/>
  <c r="W361" i="1"/>
  <c r="CM358" i="1"/>
  <c r="AY356" i="1"/>
  <c r="CC360" i="1"/>
  <c r="CS357" i="1"/>
  <c r="BE355" i="1"/>
  <c r="Q353" i="1"/>
  <c r="CG350" i="1"/>
  <c r="AS348" i="1"/>
  <c r="DI345" i="1"/>
  <c r="BU343" i="1"/>
  <c r="AG341" i="1"/>
  <c r="AJ412" i="1"/>
  <c r="CZ409" i="1"/>
  <c r="BL407" i="1"/>
  <c r="X405" i="1"/>
  <c r="CN402" i="1"/>
  <c r="AZ400" i="1"/>
  <c r="L398" i="1"/>
  <c r="CB395" i="1"/>
  <c r="AN393" i="1"/>
  <c r="DD390" i="1"/>
  <c r="BP388" i="1"/>
  <c r="AB386" i="1"/>
  <c r="CR383" i="1"/>
  <c r="BD381" i="1"/>
  <c r="P379" i="1"/>
  <c r="CF376" i="1"/>
  <c r="AR374" i="1"/>
  <c r="DH371" i="1"/>
  <c r="BT369" i="1"/>
  <c r="AF367" i="1"/>
  <c r="CV364" i="1"/>
  <c r="BH362" i="1"/>
  <c r="T360" i="1"/>
  <c r="CJ357" i="1"/>
  <c r="AV355" i="1"/>
  <c r="H353" i="1"/>
  <c r="BX350" i="1"/>
  <c r="AJ348" i="1"/>
  <c r="CZ345" i="1"/>
  <c r="BL343" i="1"/>
  <c r="X341" i="1"/>
  <c r="CN338" i="1"/>
  <c r="AE412" i="1"/>
  <c r="CU409" i="1"/>
  <c r="BG407" i="1"/>
  <c r="S405" i="1"/>
  <c r="CI402" i="1"/>
  <c r="AU400" i="1"/>
  <c r="G398" i="1"/>
  <c r="BW395" i="1"/>
  <c r="AI393" i="1"/>
  <c r="CY390" i="1"/>
  <c r="BK388" i="1"/>
  <c r="W386" i="1"/>
  <c r="CM383" i="1"/>
  <c r="AY381" i="1"/>
  <c r="K379" i="1"/>
  <c r="CA376" i="1"/>
  <c r="AM374" i="1"/>
  <c r="DC371" i="1"/>
  <c r="BO369" i="1"/>
  <c r="AA367" i="1"/>
  <c r="CQ364" i="1"/>
  <c r="BC362" i="1"/>
  <c r="O360" i="1"/>
  <c r="BE360" i="1"/>
  <c r="BY357" i="1"/>
  <c r="AK355" i="1"/>
  <c r="DA352" i="1"/>
  <c r="BM350" i="1"/>
  <c r="Y348" i="1"/>
  <c r="CO345" i="1"/>
  <c r="BA343" i="1"/>
  <c r="M341" i="1"/>
  <c r="P412" i="1"/>
  <c r="CF409" i="1"/>
  <c r="AR407" i="1"/>
  <c r="DH404" i="1"/>
  <c r="BT402" i="1"/>
  <c r="AF400" i="1"/>
  <c r="CV397" i="1"/>
  <c r="BH395" i="1"/>
  <c r="T393" i="1"/>
  <c r="CJ390" i="1"/>
  <c r="AV388" i="1"/>
  <c r="H386" i="1"/>
  <c r="BX383" i="1"/>
  <c r="AJ381" i="1"/>
  <c r="CZ378" i="1"/>
  <c r="BL376" i="1"/>
  <c r="X374" i="1"/>
  <c r="CN371" i="1"/>
  <c r="AZ369" i="1"/>
  <c r="L367" i="1"/>
  <c r="CB364" i="1"/>
  <c r="AN362" i="1"/>
  <c r="DD359" i="1"/>
  <c r="BP357" i="1"/>
  <c r="AB355" i="1"/>
  <c r="CR352" i="1"/>
  <c r="BD350" i="1"/>
  <c r="P348" i="1"/>
  <c r="CF345" i="1"/>
  <c r="AR343" i="1"/>
  <c r="DH340" i="1"/>
  <c r="BT338" i="1"/>
  <c r="K412" i="1"/>
  <c r="CA409" i="1"/>
  <c r="AM407" i="1"/>
  <c r="DC404" i="1"/>
  <c r="BO402" i="1"/>
  <c r="AA400" i="1"/>
  <c r="CQ397" i="1"/>
  <c r="BC395" i="1"/>
  <c r="O393" i="1"/>
  <c r="CE390" i="1"/>
  <c r="AQ388" i="1"/>
  <c r="DG385" i="1"/>
  <c r="BS383" i="1"/>
  <c r="AE381" i="1"/>
  <c r="CU378" i="1"/>
  <c r="BG376" i="1"/>
  <c r="S374" i="1"/>
  <c r="CI371" i="1"/>
  <c r="AU369" i="1"/>
  <c r="G367" i="1"/>
  <c r="BW364" i="1"/>
  <c r="AI362" i="1"/>
  <c r="CY359" i="1"/>
  <c r="BK357" i="1"/>
  <c r="W355" i="1"/>
  <c r="G356" i="1"/>
  <c r="CQ352" i="1"/>
  <c r="BC350" i="1"/>
  <c r="O348" i="1"/>
  <c r="CE345" i="1"/>
  <c r="BJ355" i="1"/>
  <c r="J346" i="1"/>
  <c r="BO340" i="1"/>
  <c r="BN337" i="1"/>
  <c r="Z335" i="1"/>
  <c r="CP332" i="1"/>
  <c r="BB330" i="1"/>
  <c r="N328" i="1"/>
  <c r="CD325" i="1"/>
  <c r="AP323" i="1"/>
  <c r="DF320" i="1"/>
  <c r="BR318" i="1"/>
  <c r="AD316" i="1"/>
  <c r="CT313" i="1"/>
  <c r="BF311" i="1"/>
  <c r="R309" i="1"/>
  <c r="CH306" i="1"/>
  <c r="AT304" i="1"/>
  <c r="L380" i="1"/>
  <c r="BD375" i="1"/>
  <c r="AR372" i="1"/>
  <c r="P369" i="1"/>
  <c r="DH365" i="1"/>
  <c r="CV362" i="1"/>
  <c r="CJ359" i="1"/>
  <c r="AV357" i="1"/>
  <c r="H355" i="1"/>
  <c r="BX352" i="1"/>
  <c r="AJ350" i="1"/>
  <c r="CZ347" i="1"/>
  <c r="BL345" i="1"/>
  <c r="X343" i="1"/>
  <c r="CN340" i="1"/>
  <c r="AZ338" i="1"/>
  <c r="CU411" i="1"/>
  <c r="BG409" i="1"/>
  <c r="S407" i="1"/>
  <c r="CI404" i="1"/>
  <c r="AU402" i="1"/>
  <c r="G400" i="1"/>
  <c r="BW397" i="1"/>
  <c r="AI395" i="1"/>
  <c r="CY392" i="1"/>
  <c r="BK390" i="1"/>
  <c r="W388" i="1"/>
  <c r="CM385" i="1"/>
  <c r="AY383" i="1"/>
  <c r="K381" i="1"/>
  <c r="CA378" i="1"/>
  <c r="AM376" i="1"/>
  <c r="DC373" i="1"/>
  <c r="BO371" i="1"/>
  <c r="AA369" i="1"/>
  <c r="CQ366" i="1"/>
  <c r="BC364" i="1"/>
  <c r="O362" i="1"/>
  <c r="AS361" i="1"/>
  <c r="Y358" i="1"/>
  <c r="CO355" i="1"/>
  <c r="BA353" i="1"/>
  <c r="M351" i="1"/>
  <c r="CC348" i="1"/>
  <c r="AO346" i="1"/>
  <c r="DE343" i="1"/>
  <c r="BQ341" i="1"/>
  <c r="BT412" i="1"/>
  <c r="AF410" i="1"/>
  <c r="CV407" i="1"/>
  <c r="BH405" i="1"/>
  <c r="T403" i="1"/>
  <c r="CJ400" i="1"/>
  <c r="AV398" i="1"/>
  <c r="H396" i="1"/>
  <c r="BX393" i="1"/>
  <c r="AJ391" i="1"/>
  <c r="CZ388" i="1"/>
  <c r="BL386" i="1"/>
  <c r="X384" i="1"/>
  <c r="CN381" i="1"/>
  <c r="AZ379" i="1"/>
  <c r="L377" i="1"/>
  <c r="CB374" i="1"/>
  <c r="AN372" i="1"/>
  <c r="DD369" i="1"/>
  <c r="BP367" i="1"/>
  <c r="AB365" i="1"/>
  <c r="CR362" i="1"/>
  <c r="BD360" i="1"/>
  <c r="P358" i="1"/>
  <c r="CF355" i="1"/>
  <c r="AR353" i="1"/>
  <c r="DH350" i="1"/>
  <c r="BT348" i="1"/>
  <c r="AF346" i="1"/>
  <c r="CV343" i="1"/>
  <c r="BH341" i="1"/>
  <c r="T339" i="1"/>
  <c r="BO412" i="1"/>
  <c r="AA410" i="1"/>
  <c r="CQ407" i="1"/>
  <c r="BC405" i="1"/>
  <c r="O403" i="1"/>
  <c r="CE400" i="1"/>
  <c r="AQ398" i="1"/>
  <c r="DG395" i="1"/>
  <c r="BS393" i="1"/>
  <c r="AE391" i="1"/>
  <c r="CU388" i="1"/>
  <c r="BG386" i="1"/>
  <c r="S384" i="1"/>
  <c r="CI381" i="1"/>
  <c r="AU379" i="1"/>
  <c r="G377" i="1"/>
  <c r="BW374" i="1"/>
  <c r="AI372" i="1"/>
  <c r="CY369" i="1"/>
  <c r="BK367" i="1"/>
  <c r="W365" i="1"/>
  <c r="CM362" i="1"/>
  <c r="AY360" i="1"/>
  <c r="K358" i="1"/>
  <c r="CA355" i="1"/>
  <c r="CG359" i="1"/>
  <c r="Q357" i="1"/>
  <c r="CG354" i="1"/>
  <c r="AS352" i="1"/>
  <c r="DI349" i="1"/>
  <c r="BU347" i="1"/>
  <c r="AG345" i="1"/>
  <c r="CW342" i="1"/>
  <c r="BI340" i="1"/>
  <c r="BL411" i="1"/>
  <c r="X409" i="1"/>
  <c r="CN406" i="1"/>
  <c r="AZ404" i="1"/>
  <c r="L402" i="1"/>
  <c r="CB399" i="1"/>
  <c r="AN397" i="1"/>
  <c r="DD394" i="1"/>
  <c r="BP392" i="1"/>
  <c r="AB390" i="1"/>
  <c r="CR387" i="1"/>
  <c r="BD385" i="1"/>
  <c r="P383" i="1"/>
  <c r="CF380" i="1"/>
  <c r="AR378" i="1"/>
  <c r="DH375" i="1"/>
  <c r="BT373" i="1"/>
  <c r="AF371" i="1"/>
  <c r="CV368" i="1"/>
  <c r="BH366" i="1"/>
  <c r="T364" i="1"/>
  <c r="CJ361" i="1"/>
  <c r="AV359" i="1"/>
  <c r="H357" i="1"/>
  <c r="BX354" i="1"/>
  <c r="AJ352" i="1"/>
  <c r="CZ349" i="1"/>
  <c r="BL347" i="1"/>
  <c r="X345" i="1"/>
  <c r="CN342" i="1"/>
  <c r="AZ340" i="1"/>
  <c r="DA413" i="1"/>
  <c r="BG411" i="1"/>
  <c r="S409" i="1"/>
  <c r="CI406" i="1"/>
  <c r="AU404" i="1"/>
  <c r="G402" i="1"/>
  <c r="BW399" i="1"/>
  <c r="AI397" i="1"/>
  <c r="CY394" i="1"/>
  <c r="BK392" i="1"/>
  <c r="W390" i="1"/>
  <c r="CM387" i="1"/>
  <c r="AY385" i="1"/>
  <c r="K383" i="1"/>
  <c r="CA380" i="1"/>
  <c r="AM378" i="1"/>
  <c r="DC375" i="1"/>
  <c r="BO373" i="1"/>
  <c r="AA371" i="1"/>
  <c r="CQ368" i="1"/>
  <c r="BC366" i="1"/>
  <c r="O364" i="1"/>
  <c r="CE361" i="1"/>
  <c r="AQ359" i="1"/>
  <c r="BE359" i="1"/>
  <c r="DA356" i="1"/>
  <c r="BM354" i="1"/>
  <c r="Y352" i="1"/>
  <c r="CO349" i="1"/>
  <c r="BA347" i="1"/>
  <c r="M345" i="1"/>
  <c r="CC342" i="1"/>
  <c r="CF413" i="1"/>
  <c r="AR411" i="1"/>
  <c r="DH408" i="1"/>
  <c r="BT406" i="1"/>
  <c r="AF404" i="1"/>
  <c r="CV401" i="1"/>
  <c r="BH399" i="1"/>
  <c r="T397" i="1"/>
  <c r="CJ394" i="1"/>
  <c r="AV392" i="1"/>
  <c r="H390" i="1"/>
  <c r="BX387" i="1"/>
  <c r="AJ385" i="1"/>
  <c r="CZ382" i="1"/>
  <c r="BL380" i="1"/>
  <c r="X378" i="1"/>
  <c r="CN375" i="1"/>
  <c r="AZ373" i="1"/>
  <c r="L371" i="1"/>
  <c r="CB368" i="1"/>
  <c r="AN366" i="1"/>
  <c r="DD363" i="1"/>
  <c r="BP361" i="1"/>
  <c r="AB359" i="1"/>
  <c r="CR356" i="1"/>
  <c r="BD354" i="1"/>
  <c r="P352" i="1"/>
  <c r="CF349" i="1"/>
  <c r="AR347" i="1"/>
  <c r="DH344" i="1"/>
  <c r="BT342" i="1"/>
  <c r="AF340" i="1"/>
  <c r="CA413" i="1"/>
  <c r="AM411" i="1"/>
  <c r="DC408" i="1"/>
  <c r="BO406" i="1"/>
  <c r="AA404" i="1"/>
  <c r="CQ401" i="1"/>
  <c r="BC399" i="1"/>
  <c r="O397" i="1"/>
  <c r="CE394" i="1"/>
  <c r="AQ392" i="1"/>
  <c r="DG389" i="1"/>
  <c r="BS387" i="1"/>
  <c r="AE385" i="1"/>
  <c r="CU382" i="1"/>
  <c r="BG380" i="1"/>
  <c r="S378" i="1"/>
  <c r="CI375" i="1"/>
  <c r="AU373" i="1"/>
  <c r="G371" i="1"/>
  <c r="BW368" i="1"/>
  <c r="AI366" i="1"/>
  <c r="CY363" i="1"/>
  <c r="BK361" i="1"/>
  <c r="W359" i="1"/>
  <c r="CM356" i="1"/>
  <c r="AY354" i="1"/>
  <c r="BK354" i="1"/>
  <c r="O352" i="1"/>
  <c r="CE349" i="1"/>
  <c r="AQ347" i="1"/>
  <c r="DG344" i="1"/>
  <c r="BN352" i="1"/>
  <c r="CQ343" i="1"/>
  <c r="BN339" i="1"/>
  <c r="CP336" i="1"/>
  <c r="BB334" i="1"/>
  <c r="N332" i="1"/>
  <c r="CD329" i="1"/>
  <c r="AP327" i="1"/>
  <c r="DF324" i="1"/>
  <c r="BR322" i="1"/>
  <c r="AD320" i="1"/>
  <c r="CT317" i="1"/>
  <c r="BF315" i="1"/>
  <c r="R313" i="1"/>
  <c r="CH310" i="1"/>
  <c r="AT308" i="1"/>
  <c r="X383" i="1"/>
  <c r="AZ378" i="1"/>
  <c r="AZ374" i="1"/>
  <c r="AN371" i="1"/>
  <c r="AB368" i="1"/>
  <c r="DD364" i="1"/>
  <c r="CR361" i="1"/>
  <c r="H359" i="1"/>
  <c r="BX356" i="1"/>
  <c r="AJ354" i="1"/>
  <c r="CZ351" i="1"/>
  <c r="BL349" i="1"/>
  <c r="X347" i="1"/>
  <c r="CN344" i="1"/>
  <c r="AZ342" i="1"/>
  <c r="L340" i="1"/>
  <c r="BG413" i="1"/>
  <c r="S411" i="1"/>
  <c r="CI408" i="1"/>
  <c r="AU406" i="1"/>
  <c r="G404" i="1"/>
  <c r="BW401" i="1"/>
  <c r="AI399" i="1"/>
  <c r="CY396" i="1"/>
  <c r="BK394" i="1"/>
  <c r="W392" i="1"/>
  <c r="CM389" i="1"/>
  <c r="AY387" i="1"/>
  <c r="K385" i="1"/>
  <c r="CA382" i="1"/>
  <c r="AM380" i="1"/>
  <c r="DC377" i="1"/>
  <c r="BO375" i="1"/>
  <c r="AA373" i="1"/>
  <c r="CQ370" i="1"/>
  <c r="BC368" i="1"/>
  <c r="O366" i="1"/>
  <c r="CE363" i="1"/>
  <c r="AQ361" i="1"/>
  <c r="Y360" i="1"/>
  <c r="BA357" i="1"/>
  <c r="M355" i="1"/>
  <c r="CC352" i="1"/>
  <c r="AO350" i="1"/>
  <c r="DE347" i="1"/>
  <c r="BQ345" i="1"/>
  <c r="AC343" i="1"/>
  <c r="CS340" i="1"/>
  <c r="CV411" i="1"/>
  <c r="BH409" i="1"/>
  <c r="T407" i="1"/>
  <c r="CJ404" i="1"/>
  <c r="AV402" i="1"/>
  <c r="H400" i="1"/>
  <c r="BX397" i="1"/>
  <c r="AJ395" i="1"/>
  <c r="CZ392" i="1"/>
  <c r="BL390" i="1"/>
  <c r="X388" i="1"/>
  <c r="CN385" i="1"/>
  <c r="AZ383" i="1"/>
  <c r="L381" i="1"/>
  <c r="CB378" i="1"/>
  <c r="AN376" i="1"/>
  <c r="DD373" i="1"/>
  <c r="BP371" i="1"/>
  <c r="AB369" i="1"/>
  <c r="CR366" i="1"/>
  <c r="BD364" i="1"/>
  <c r="P362" i="1"/>
  <c r="CF359" i="1"/>
  <c r="AR357" i="1"/>
  <c r="DH354" i="1"/>
  <c r="BT352" i="1"/>
  <c r="AF350" i="1"/>
  <c r="CV347" i="1"/>
  <c r="BH345" i="1"/>
  <c r="T343" i="1"/>
  <c r="CJ340" i="1"/>
  <c r="AV338" i="1"/>
  <c r="CQ411" i="1"/>
  <c r="BC409" i="1"/>
  <c r="O407" i="1"/>
  <c r="CE404" i="1"/>
  <c r="AQ402" i="1"/>
  <c r="DG399" i="1"/>
  <c r="BS397" i="1"/>
  <c r="AE395" i="1"/>
  <c r="CU392" i="1"/>
  <c r="BG390" i="1"/>
  <c r="S388" i="1"/>
  <c r="CI385" i="1"/>
  <c r="AU383" i="1"/>
  <c r="G381" i="1"/>
  <c r="BW378" i="1"/>
  <c r="AI376" i="1"/>
  <c r="CY373" i="1"/>
  <c r="BK371" i="1"/>
  <c r="W369" i="1"/>
  <c r="CM366" i="1"/>
  <c r="AY364" i="1"/>
  <c r="K362" i="1"/>
  <c r="CA359" i="1"/>
  <c r="AM357" i="1"/>
  <c r="DC354" i="1"/>
  <c r="CG358" i="1"/>
  <c r="AS356" i="1"/>
  <c r="DI353" i="1"/>
  <c r="BU351" i="1"/>
  <c r="AG349" i="1"/>
  <c r="CW346" i="1"/>
  <c r="BI344" i="1"/>
  <c r="U342" i="1"/>
  <c r="X413" i="1"/>
  <c r="CN410" i="1"/>
  <c r="AZ408" i="1"/>
  <c r="L406" i="1"/>
  <c r="CB403" i="1"/>
  <c r="AN401" i="1"/>
  <c r="DD398" i="1"/>
  <c r="BP396" i="1"/>
  <c r="AB394" i="1"/>
  <c r="CR391" i="1"/>
  <c r="BD389" i="1"/>
  <c r="P387" i="1"/>
  <c r="CF384" i="1"/>
  <c r="AR382" i="1"/>
  <c r="DH379" i="1"/>
  <c r="BT377" i="1"/>
  <c r="AF375" i="1"/>
  <c r="CV372" i="1"/>
  <c r="BH370" i="1"/>
  <c r="T368" i="1"/>
  <c r="CJ365" i="1"/>
  <c r="AV363" i="1"/>
  <c r="H361" i="1"/>
  <c r="BX358" i="1"/>
  <c r="AJ356" i="1"/>
  <c r="CZ353" i="1"/>
  <c r="BL351" i="1"/>
  <c r="X349" i="1"/>
  <c r="CN346" i="1"/>
  <c r="AZ344" i="1"/>
  <c r="L342" i="1"/>
  <c r="CB339" i="1"/>
  <c r="S413" i="1"/>
  <c r="CI410" i="1"/>
  <c r="AU408" i="1"/>
  <c r="G406" i="1"/>
  <c r="BW403" i="1"/>
  <c r="AI401" i="1"/>
  <c r="CY398" i="1"/>
  <c r="BK396" i="1"/>
  <c r="W394" i="1"/>
  <c r="CM391" i="1"/>
  <c r="AY389" i="1"/>
  <c r="K387" i="1"/>
  <c r="CA384" i="1"/>
  <c r="AM382" i="1"/>
  <c r="DC379" i="1"/>
  <c r="BO377" i="1"/>
  <c r="AA375" i="1"/>
  <c r="CQ372" i="1"/>
  <c r="BC370" i="1"/>
  <c r="O368" i="1"/>
  <c r="CE365" i="1"/>
  <c r="AQ363" i="1"/>
  <c r="DG360" i="1"/>
  <c r="BS358" i="1"/>
  <c r="BM358" i="1"/>
  <c r="Y356" i="1"/>
  <c r="CO353" i="1"/>
  <c r="BA351" i="1"/>
  <c r="M349" i="1"/>
  <c r="CC346" i="1"/>
  <c r="AO344" i="1"/>
  <c r="DE341" i="1"/>
  <c r="DH412" i="1"/>
  <c r="BT410" i="1"/>
  <c r="AF408" i="1"/>
  <c r="CV405" i="1"/>
  <c r="BH403" i="1"/>
  <c r="T401" i="1"/>
  <c r="CJ398" i="1"/>
  <c r="AV396" i="1"/>
  <c r="H394" i="1"/>
  <c r="BX391" i="1"/>
  <c r="AJ389" i="1"/>
  <c r="CZ386" i="1"/>
  <c r="BL384" i="1"/>
  <c r="X382" i="1"/>
  <c r="CN379" i="1"/>
  <c r="AZ377" i="1"/>
  <c r="L375" i="1"/>
  <c r="CB372" i="1"/>
  <c r="AN370" i="1"/>
  <c r="DD367" i="1"/>
  <c r="BP365" i="1"/>
  <c r="AB363" i="1"/>
  <c r="CR360" i="1"/>
  <c r="BD358" i="1"/>
  <c r="P356" i="1"/>
  <c r="CF353" i="1"/>
  <c r="AR351" i="1"/>
  <c r="DH348" i="1"/>
  <c r="BT346" i="1"/>
  <c r="AF344" i="1"/>
  <c r="CV341" i="1"/>
  <c r="BH339" i="1"/>
  <c r="DC412" i="1"/>
  <c r="BO410" i="1"/>
  <c r="AA408" i="1"/>
  <c r="CQ405" i="1"/>
  <c r="BC403" i="1"/>
  <c r="O401" i="1"/>
  <c r="CE398" i="1"/>
  <c r="AQ396" i="1"/>
  <c r="DG393" i="1"/>
  <c r="BS391" i="1"/>
  <c r="AE389" i="1"/>
  <c r="CU386" i="1"/>
  <c r="BG384" i="1"/>
  <c r="S382" i="1"/>
  <c r="CI379" i="1"/>
  <c r="AU377" i="1"/>
  <c r="G375" i="1"/>
  <c r="BW372" i="1"/>
  <c r="AI370" i="1"/>
  <c r="CY367" i="1"/>
  <c r="BK365" i="1"/>
  <c r="W363" i="1"/>
  <c r="CM360" i="1"/>
  <c r="AY358" i="1"/>
  <c r="K356" i="1"/>
  <c r="CM357" i="1"/>
  <c r="CE353" i="1"/>
  <c r="AQ351" i="1"/>
  <c r="DG348" i="1"/>
  <c r="BS346" i="1"/>
  <c r="N359" i="1"/>
  <c r="BR349" i="1"/>
  <c r="AQ342" i="1"/>
  <c r="BO338" i="1"/>
  <c r="N336" i="1"/>
  <c r="CD333" i="1"/>
  <c r="AP331" i="1"/>
  <c r="DF328" i="1"/>
  <c r="BR326" i="1"/>
  <c r="AD324" i="1"/>
  <c r="CT321" i="1"/>
  <c r="BF319" i="1"/>
  <c r="R317" i="1"/>
  <c r="CH314" i="1"/>
  <c r="AT312" i="1"/>
  <c r="F310" i="1"/>
  <c r="BV307" i="1"/>
  <c r="AH305" i="1"/>
  <c r="CX302" i="1"/>
  <c r="BJ300" i="1"/>
  <c r="V298" i="1"/>
  <c r="CL295" i="1"/>
  <c r="AX293" i="1"/>
  <c r="BC469" i="1"/>
  <c r="V463" i="1"/>
  <c r="AN497" i="1"/>
  <c r="BT455" i="1"/>
  <c r="DG503" i="1"/>
  <c r="CK542" i="1"/>
  <c r="CR482" i="1"/>
  <c r="AU477" i="1"/>
  <c r="CH469" i="1"/>
  <c r="CC464" i="1"/>
  <c r="BZ443" i="1"/>
  <c r="CC442" i="1"/>
  <c r="BH442" i="1"/>
  <c r="DA475" i="1"/>
  <c r="V434" i="1"/>
  <c r="M434" i="1"/>
  <c r="CV433" i="1"/>
  <c r="BU468" i="1"/>
  <c r="CH427" i="1"/>
  <c r="BY427" i="1"/>
  <c r="BD427" i="1"/>
  <c r="BM459" i="1"/>
  <c r="CX420" i="1"/>
  <c r="CO420" i="1"/>
  <c r="BT420" i="1"/>
  <c r="CE421" i="1"/>
  <c r="DB434" i="1"/>
  <c r="CS434" i="1"/>
  <c r="BX434" i="1"/>
  <c r="BM465" i="1"/>
  <c r="CD425" i="1"/>
  <c r="CO426" i="1"/>
  <c r="BP445" i="1"/>
  <c r="BT426" i="1"/>
  <c r="AW482" i="1"/>
  <c r="CW459" i="1"/>
  <c r="J440" i="1"/>
  <c r="N421" i="1"/>
  <c r="DE439" i="1"/>
  <c r="DI420" i="1"/>
  <c r="CJ439" i="1"/>
  <c r="BZ458" i="1"/>
  <c r="DE474" i="1"/>
  <c r="DI451" i="1"/>
  <c r="Z433" i="1"/>
  <c r="AD414" i="1"/>
  <c r="Q433" i="1"/>
  <c r="U414" i="1"/>
  <c r="CZ432" i="1"/>
  <c r="P415" i="1"/>
  <c r="G434" i="1"/>
  <c r="K415" i="1"/>
  <c r="DA454" i="1"/>
  <c r="AX432" i="1"/>
  <c r="AK451" i="1"/>
  <c r="AO432" i="1"/>
  <c r="P451" i="1"/>
  <c r="T432" i="1"/>
  <c r="I487" i="1"/>
  <c r="I463" i="1"/>
  <c r="CX446" i="1"/>
  <c r="AX437" i="1"/>
  <c r="DB427" i="1"/>
  <c r="BB418" i="1"/>
  <c r="CO446" i="1"/>
  <c r="AO437" i="1"/>
  <c r="CS427" i="1"/>
  <c r="AS418" i="1"/>
  <c r="BT446" i="1"/>
  <c r="T437" i="1"/>
  <c r="BX427" i="1"/>
  <c r="V455" i="1"/>
  <c r="CC483" i="1"/>
  <c r="CK472" i="1"/>
  <c r="AO460" i="1"/>
  <c r="DF449" i="1"/>
  <c r="BF440" i="1"/>
  <c r="F431" i="1"/>
  <c r="BJ421" i="1"/>
  <c r="CW449" i="1"/>
  <c r="AW440" i="1"/>
  <c r="DA430" i="1"/>
  <c r="BA421" i="1"/>
  <c r="CB449" i="1"/>
  <c r="AB440" i="1"/>
  <c r="CF430" i="1"/>
  <c r="AF421" i="1"/>
  <c r="AU490" i="1"/>
  <c r="DI475" i="1"/>
  <c r="BA464" i="1"/>
  <c r="I453" i="1"/>
  <c r="CD443" i="1"/>
  <c r="AD434" i="1"/>
  <c r="CH424" i="1"/>
  <c r="AH415" i="1"/>
  <c r="BU443" i="1"/>
  <c r="U434" i="1"/>
  <c r="BY424" i="1"/>
  <c r="Y415" i="1"/>
  <c r="AZ443" i="1"/>
  <c r="DD433" i="1"/>
  <c r="BD424" i="1"/>
  <c r="T416" i="1"/>
  <c r="BK444" i="1"/>
  <c r="K435" i="1"/>
  <c r="BO425" i="1"/>
  <c r="O416" i="1"/>
  <c r="BF406" i="1"/>
  <c r="I454" i="1"/>
  <c r="BB441" i="1"/>
  <c r="BZ431" i="1"/>
  <c r="Z422" i="1"/>
  <c r="BM450" i="1"/>
  <c r="M441" i="1"/>
  <c r="BQ431" i="1"/>
  <c r="Q422" i="1"/>
  <c r="AR450" i="1"/>
  <c r="CV440" i="1"/>
  <c r="AV431" i="1"/>
  <c r="R457" i="1"/>
  <c r="BM485" i="1"/>
  <c r="CC473" i="1"/>
  <c r="AK462" i="1"/>
  <c r="CX450" i="1"/>
  <c r="AX441" i="1"/>
  <c r="DB431" i="1"/>
  <c r="BB422" i="1"/>
  <c r="CO450" i="1"/>
  <c r="AO441" i="1"/>
  <c r="CS431" i="1"/>
  <c r="AS422" i="1"/>
  <c r="BT450" i="1"/>
  <c r="T441" i="1"/>
  <c r="BX431" i="1"/>
  <c r="X422" i="1"/>
  <c r="BW500" i="1"/>
  <c r="DE477" i="1"/>
  <c r="AS465" i="1"/>
  <c r="CO453" i="1"/>
  <c r="BF444" i="1"/>
  <c r="F435" i="1"/>
  <c r="BJ425" i="1"/>
  <c r="J416" i="1"/>
  <c r="AW444" i="1"/>
  <c r="DA434" i="1"/>
  <c r="BA425" i="1"/>
  <c r="DE415" i="1"/>
  <c r="AB444" i="1"/>
  <c r="CF434" i="1"/>
  <c r="AF425" i="1"/>
  <c r="AL452" i="1"/>
  <c r="BQ480" i="1"/>
  <c r="BE469" i="1"/>
  <c r="DA457" i="1"/>
  <c r="CD447" i="1"/>
  <c r="AD438" i="1"/>
  <c r="CH428" i="1"/>
  <c r="AH419" i="1"/>
  <c r="BU447" i="1"/>
  <c r="U438" i="1"/>
  <c r="BY428" i="1"/>
  <c r="Y419" i="1"/>
  <c r="AZ447" i="1"/>
  <c r="DD437" i="1"/>
  <c r="BD428" i="1"/>
  <c r="T420" i="1"/>
  <c r="BK448" i="1"/>
  <c r="K439" i="1"/>
  <c r="BO429" i="1"/>
  <c r="O420" i="1"/>
  <c r="BF410" i="1"/>
  <c r="F401" i="1"/>
  <c r="BJ391" i="1"/>
  <c r="Z406" i="1"/>
  <c r="AT391" i="1"/>
  <c r="BZ379" i="1"/>
  <c r="Z370" i="1"/>
  <c r="CD360" i="1"/>
  <c r="CC404" i="1"/>
  <c r="AC395" i="1"/>
  <c r="CG385" i="1"/>
  <c r="AG376" i="1"/>
  <c r="CK366" i="1"/>
  <c r="BP417" i="1"/>
  <c r="DG445" i="1"/>
  <c r="BC439" i="1"/>
  <c r="CE434" i="1"/>
  <c r="DG429" i="1"/>
  <c r="AE425" i="1"/>
  <c r="BG420" i="1"/>
  <c r="CI415" i="1"/>
  <c r="CX410" i="1"/>
  <c r="V406" i="1"/>
  <c r="AX401" i="1"/>
  <c r="BZ396" i="1"/>
  <c r="DB391" i="1"/>
  <c r="Z387" i="1"/>
  <c r="BB382" i="1"/>
  <c r="CD377" i="1"/>
  <c r="DF372" i="1"/>
  <c r="AD368" i="1"/>
  <c r="BF363" i="1"/>
  <c r="AC412" i="1"/>
  <c r="BE407" i="1"/>
  <c r="CG402" i="1"/>
  <c r="DI397" i="1"/>
  <c r="AG393" i="1"/>
  <c r="BI388" i="1"/>
  <c r="CK383" i="1"/>
  <c r="I379" i="1"/>
  <c r="AK374" i="1"/>
  <c r="BM369" i="1"/>
  <c r="CO364" i="1"/>
  <c r="CF420" i="1"/>
  <c r="CZ415" i="1"/>
  <c r="K449" i="1"/>
  <c r="AM444" i="1"/>
  <c r="BO439" i="1"/>
  <c r="CQ434" i="1"/>
  <c r="O430" i="1"/>
  <c r="AQ425" i="1"/>
  <c r="BS420" i="1"/>
  <c r="CU415" i="1"/>
  <c r="F411" i="1"/>
  <c r="AH406" i="1"/>
  <c r="BJ401" i="1"/>
  <c r="CL396" i="1"/>
  <c r="J392" i="1"/>
  <c r="AL387" i="1"/>
  <c r="BN382" i="1"/>
  <c r="CP377" i="1"/>
  <c r="N373" i="1"/>
  <c r="AP368" i="1"/>
  <c r="BR363" i="1"/>
  <c r="AO412" i="1"/>
  <c r="BQ407" i="1"/>
  <c r="CS402" i="1"/>
  <c r="Q398" i="1"/>
  <c r="AS393" i="1"/>
  <c r="BU388" i="1"/>
  <c r="CW383" i="1"/>
  <c r="U379" i="1"/>
  <c r="AW374" i="1"/>
  <c r="BY369" i="1"/>
  <c r="DA364" i="1"/>
  <c r="H420" i="1"/>
  <c r="AJ415" i="1"/>
  <c r="AY448" i="1"/>
  <c r="CA443" i="1"/>
  <c r="DC438" i="1"/>
  <c r="AA434" i="1"/>
  <c r="BC429" i="1"/>
  <c r="CE424" i="1"/>
  <c r="DG419" i="1"/>
  <c r="AE415" i="1"/>
  <c r="AT410" i="1"/>
  <c r="BV405" i="1"/>
  <c r="CX400" i="1"/>
  <c r="V396" i="1"/>
  <c r="AX391" i="1"/>
  <c r="BZ386" i="1"/>
  <c r="DB381" i="1"/>
  <c r="Z377" i="1"/>
  <c r="BB372" i="1"/>
  <c r="CD367" i="1"/>
  <c r="DF362" i="1"/>
  <c r="CC411" i="1"/>
  <c r="DE406" i="1"/>
  <c r="AC402" i="1"/>
  <c r="BE397" i="1"/>
  <c r="CG392" i="1"/>
  <c r="DI387" i="1"/>
  <c r="AG383" i="1"/>
  <c r="BI378" i="1"/>
  <c r="CK373" i="1"/>
  <c r="I369" i="1"/>
  <c r="AK364" i="1"/>
  <c r="BM359" i="1"/>
  <c r="CG356" i="1"/>
  <c r="DI351" i="1"/>
  <c r="AG347" i="1"/>
  <c r="BI342" i="1"/>
  <c r="X411" i="1"/>
  <c r="AZ406" i="1"/>
  <c r="CB401" i="1"/>
  <c r="DD396" i="1"/>
  <c r="AB392" i="1"/>
  <c r="BD387" i="1"/>
  <c r="CF382" i="1"/>
  <c r="DH377" i="1"/>
  <c r="CD400" i="1"/>
  <c r="AP394" i="1"/>
  <c r="R388" i="1"/>
  <c r="CX381" i="1"/>
  <c r="V377" i="1"/>
  <c r="AX372" i="1"/>
  <c r="BZ367" i="1"/>
  <c r="DB362" i="1"/>
  <c r="BY411" i="1"/>
  <c r="DA406" i="1"/>
  <c r="Y402" i="1"/>
  <c r="BA397" i="1"/>
  <c r="CC392" i="1"/>
  <c r="DE387" i="1"/>
  <c r="AC383" i="1"/>
  <c r="BE378" i="1"/>
  <c r="CG373" i="1"/>
  <c r="DI368" i="1"/>
  <c r="AG364" i="1"/>
  <c r="CN419" i="1"/>
  <c r="L415" i="1"/>
  <c r="AA448" i="1"/>
  <c r="BC443" i="1"/>
  <c r="CE438" i="1"/>
  <c r="DG433" i="1"/>
  <c r="AE429" i="1"/>
  <c r="BG424" i="1"/>
  <c r="CI419" i="1"/>
  <c r="G415" i="1"/>
  <c r="V410" i="1"/>
  <c r="AX405" i="1"/>
  <c r="BZ400" i="1"/>
  <c r="DB395" i="1"/>
  <c r="Z391" i="1"/>
  <c r="BB386" i="1"/>
  <c r="CD381" i="1"/>
  <c r="CH378" i="1"/>
  <c r="AT376" i="1"/>
  <c r="F374" i="1"/>
  <c r="BV371" i="1"/>
  <c r="AH369" i="1"/>
  <c r="CX366" i="1"/>
  <c r="BJ364" i="1"/>
  <c r="V362" i="1"/>
  <c r="AG413" i="1"/>
  <c r="CW410" i="1"/>
  <c r="BI408" i="1"/>
  <c r="U406" i="1"/>
  <c r="CK403" i="1"/>
  <c r="AW401" i="1"/>
  <c r="I399" i="1"/>
  <c r="BY396" i="1"/>
  <c r="AK394" i="1"/>
  <c r="DA391" i="1"/>
  <c r="BM389" i="1"/>
  <c r="Y387" i="1"/>
  <c r="CO384" i="1"/>
  <c r="BA382" i="1"/>
  <c r="M380" i="1"/>
  <c r="CC377" i="1"/>
  <c r="AO375" i="1"/>
  <c r="DE372" i="1"/>
  <c r="BQ370" i="1"/>
  <c r="AC368" i="1"/>
  <c r="CS365" i="1"/>
  <c r="BE363" i="1"/>
  <c r="Q361" i="1"/>
  <c r="AN419" i="1"/>
  <c r="DD416" i="1"/>
  <c r="BP414" i="1"/>
  <c r="O450" i="1"/>
  <c r="CE447" i="1"/>
  <c r="AQ445" i="1"/>
  <c r="DG442" i="1"/>
  <c r="BS440" i="1"/>
  <c r="AE438" i="1"/>
  <c r="CU435" i="1"/>
  <c r="BG433" i="1"/>
  <c r="S431" i="1"/>
  <c r="CI428" i="1"/>
  <c r="AU426" i="1"/>
  <c r="G424" i="1"/>
  <c r="BW421" i="1"/>
  <c r="AI419" i="1"/>
  <c r="CY416" i="1"/>
  <c r="BK414" i="1"/>
  <c r="J412" i="1"/>
  <c r="BZ409" i="1"/>
  <c r="AL407" i="1"/>
  <c r="DB404" i="1"/>
  <c r="BN402" i="1"/>
  <c r="Z400" i="1"/>
  <c r="CP397" i="1"/>
  <c r="BB395" i="1"/>
  <c r="N393" i="1"/>
  <c r="CD390" i="1"/>
  <c r="AP388" i="1"/>
  <c r="DF385" i="1"/>
  <c r="BR383" i="1"/>
  <c r="AD381" i="1"/>
  <c r="CT378" i="1"/>
  <c r="BF376" i="1"/>
  <c r="R374" i="1"/>
  <c r="CH371" i="1"/>
  <c r="AT369" i="1"/>
  <c r="F367" i="1"/>
  <c r="BV364" i="1"/>
  <c r="AH362" i="1"/>
  <c r="AS413" i="1"/>
  <c r="DI410" i="1"/>
  <c r="BU408" i="1"/>
  <c r="AG406" i="1"/>
  <c r="CW403" i="1"/>
  <c r="BI401" i="1"/>
  <c r="U399" i="1"/>
  <c r="CK396" i="1"/>
  <c r="AW394" i="1"/>
  <c r="I392" i="1"/>
  <c r="BY389" i="1"/>
  <c r="AK387" i="1"/>
  <c r="DA384" i="1"/>
  <c r="BM382" i="1"/>
  <c r="Y380" i="1"/>
  <c r="CO377" i="1"/>
  <c r="BA375" i="1"/>
  <c r="M373" i="1"/>
  <c r="CC370" i="1"/>
  <c r="AO368" i="1"/>
  <c r="DE365" i="1"/>
  <c r="BQ363" i="1"/>
  <c r="CZ421" i="1"/>
  <c r="CB418" i="1"/>
  <c r="AN416" i="1"/>
  <c r="DD413" i="1"/>
  <c r="BC449" i="1"/>
  <c r="O447" i="1"/>
  <c r="CE444" i="1"/>
  <c r="AQ442" i="1"/>
  <c r="DG439" i="1"/>
  <c r="BS437" i="1"/>
  <c r="AE435" i="1"/>
  <c r="CU432" i="1"/>
  <c r="BG430" i="1"/>
  <c r="S428" i="1"/>
  <c r="CI425" i="1"/>
  <c r="AU423" i="1"/>
  <c r="G421" i="1"/>
  <c r="BW418" i="1"/>
  <c r="AI416" i="1"/>
  <c r="CL413" i="1"/>
  <c r="AX411" i="1"/>
  <c r="J409" i="1"/>
  <c r="BZ406" i="1"/>
  <c r="AL404" i="1"/>
  <c r="DB401" i="1"/>
  <c r="BN399" i="1"/>
  <c r="Z397" i="1"/>
  <c r="CP394" i="1"/>
  <c r="BB392" i="1"/>
  <c r="N390" i="1"/>
  <c r="CD387" i="1"/>
  <c r="AP385" i="1"/>
  <c r="DF382" i="1"/>
  <c r="BR380" i="1"/>
  <c r="AD378" i="1"/>
  <c r="CT375" i="1"/>
  <c r="BF373" i="1"/>
  <c r="R371" i="1"/>
  <c r="CH368" i="1"/>
  <c r="AT366" i="1"/>
  <c r="F364" i="1"/>
  <c r="BV361" i="1"/>
  <c r="CG412" i="1"/>
  <c r="AS410" i="1"/>
  <c r="DI407" i="1"/>
  <c r="BU405" i="1"/>
  <c r="AG403" i="1"/>
  <c r="CW400" i="1"/>
  <c r="BI398" i="1"/>
  <c r="U396" i="1"/>
  <c r="CK393" i="1"/>
  <c r="AW391" i="1"/>
  <c r="I389" i="1"/>
  <c r="BY386" i="1"/>
  <c r="AK384" i="1"/>
  <c r="DA381" i="1"/>
  <c r="BM379" i="1"/>
  <c r="Y377" i="1"/>
  <c r="CO374" i="1"/>
  <c r="BA372" i="1"/>
  <c r="M370" i="1"/>
  <c r="CC367" i="1"/>
  <c r="AO365" i="1"/>
  <c r="DE362" i="1"/>
  <c r="BQ360" i="1"/>
  <c r="BU360" i="1"/>
  <c r="CK357" i="1"/>
  <c r="AW355" i="1"/>
  <c r="I353" i="1"/>
  <c r="BY350" i="1"/>
  <c r="AK348" i="1"/>
  <c r="DA345" i="1"/>
  <c r="BM343" i="1"/>
  <c r="Y341" i="1"/>
  <c r="AB412" i="1"/>
  <c r="CR409" i="1"/>
  <c r="BD407" i="1"/>
  <c r="P405" i="1"/>
  <c r="CF402" i="1"/>
  <c r="AR400" i="1"/>
  <c r="DH397" i="1"/>
  <c r="BT395" i="1"/>
  <c r="AF393" i="1"/>
  <c r="CV390" i="1"/>
  <c r="BH388" i="1"/>
  <c r="T386" i="1"/>
  <c r="F405" i="1"/>
  <c r="BN400" i="1"/>
  <c r="AL397" i="1"/>
  <c r="Z394" i="1"/>
  <c r="N391" i="1"/>
  <c r="CP387" i="1"/>
  <c r="CD384" i="1"/>
  <c r="CH381" i="1"/>
  <c r="AT379" i="1"/>
  <c r="F377" i="1"/>
  <c r="BV374" i="1"/>
  <c r="AH372" i="1"/>
  <c r="CX369" i="1"/>
  <c r="BJ367" i="1"/>
  <c r="V365" i="1"/>
  <c r="CL362" i="1"/>
  <c r="DG413" i="1"/>
  <c r="BI411" i="1"/>
  <c r="U409" i="1"/>
  <c r="CK406" i="1"/>
  <c r="AW404" i="1"/>
  <c r="I402" i="1"/>
  <c r="BY399" i="1"/>
  <c r="AK397" i="1"/>
  <c r="DA394" i="1"/>
  <c r="BM392" i="1"/>
  <c r="Y390" i="1"/>
  <c r="CO387" i="1"/>
  <c r="BA385" i="1"/>
  <c r="M383" i="1"/>
  <c r="CC380" i="1"/>
  <c r="AO378" i="1"/>
  <c r="DE375" i="1"/>
  <c r="BQ373" i="1"/>
  <c r="AC371" i="1"/>
  <c r="CS368" i="1"/>
  <c r="BE366" i="1"/>
  <c r="Q364" i="1"/>
  <c r="CG361" i="1"/>
  <c r="BX419" i="1"/>
  <c r="AJ417" i="1"/>
  <c r="CZ414" i="1"/>
  <c r="AY450" i="1"/>
  <c r="K448" i="1"/>
  <c r="CA445" i="1"/>
  <c r="AM443" i="1"/>
  <c r="DC440" i="1"/>
  <c r="BO438" i="1"/>
  <c r="AA436" i="1"/>
  <c r="CQ433" i="1"/>
  <c r="BC431" i="1"/>
  <c r="O429" i="1"/>
  <c r="CE426" i="1"/>
  <c r="AQ424" i="1"/>
  <c r="DG421" i="1"/>
  <c r="BS419" i="1"/>
  <c r="AE417" i="1"/>
  <c r="CU414" i="1"/>
  <c r="AT412" i="1"/>
  <c r="F410" i="1"/>
  <c r="BV407" i="1"/>
  <c r="AH405" i="1"/>
  <c r="CX402" i="1"/>
  <c r="BJ400" i="1"/>
  <c r="V398" i="1"/>
  <c r="CL395" i="1"/>
  <c r="AX393" i="1"/>
  <c r="J391" i="1"/>
  <c r="BZ388" i="1"/>
  <c r="AL386" i="1"/>
  <c r="DB383" i="1"/>
  <c r="BN381" i="1"/>
  <c r="Z379" i="1"/>
  <c r="CP376" i="1"/>
  <c r="BB374" i="1"/>
  <c r="N372" i="1"/>
  <c r="CD369" i="1"/>
  <c r="AP367" i="1"/>
  <c r="DF364" i="1"/>
  <c r="BR362" i="1"/>
  <c r="CC413" i="1"/>
  <c r="AO411" i="1"/>
  <c r="DE408" i="1"/>
  <c r="BQ406" i="1"/>
  <c r="AC404" i="1"/>
  <c r="CS401" i="1"/>
  <c r="BE399" i="1"/>
  <c r="Q397" i="1"/>
  <c r="CG394" i="1"/>
  <c r="AS392" i="1"/>
  <c r="DI389" i="1"/>
  <c r="BU387" i="1"/>
  <c r="AG385" i="1"/>
  <c r="CW382" i="1"/>
  <c r="BI380" i="1"/>
  <c r="U378" i="1"/>
  <c r="CK375" i="1"/>
  <c r="AW373" i="1"/>
  <c r="I371" i="1"/>
  <c r="BY368" i="1"/>
  <c r="AK366" i="1"/>
  <c r="DA363" i="1"/>
  <c r="BM361" i="1"/>
  <c r="CJ419" i="1"/>
  <c r="AV417" i="1"/>
  <c r="H415" i="1"/>
  <c r="BK450" i="1"/>
  <c r="W448" i="1"/>
  <c r="CM445" i="1"/>
  <c r="AY443" i="1"/>
  <c r="K441" i="1"/>
  <c r="CA438" i="1"/>
  <c r="AM436" i="1"/>
  <c r="DC433" i="1"/>
  <c r="BO431" i="1"/>
  <c r="AA429" i="1"/>
  <c r="CQ426" i="1"/>
  <c r="BC424" i="1"/>
  <c r="O422" i="1"/>
  <c r="CE419" i="1"/>
  <c r="AQ417" i="1"/>
  <c r="DG414" i="1"/>
  <c r="BF412" i="1"/>
  <c r="R410" i="1"/>
  <c r="CH407" i="1"/>
  <c r="AT405" i="1"/>
  <c r="F403" i="1"/>
  <c r="BV400" i="1"/>
  <c r="AH398" i="1"/>
  <c r="CX395" i="1"/>
  <c r="BJ393" i="1"/>
  <c r="V391" i="1"/>
  <c r="CL388" i="1"/>
  <c r="AX386" i="1"/>
  <c r="J384" i="1"/>
  <c r="BZ381" i="1"/>
  <c r="AL379" i="1"/>
  <c r="DB376" i="1"/>
  <c r="BN374" i="1"/>
  <c r="Z372" i="1"/>
  <c r="CP369" i="1"/>
  <c r="BB367" i="1"/>
  <c r="N365" i="1"/>
  <c r="CD362" i="1"/>
  <c r="CP413" i="1"/>
  <c r="BA411" i="1"/>
  <c r="M409" i="1"/>
  <c r="CC406" i="1"/>
  <c r="AO404" i="1"/>
  <c r="DE401" i="1"/>
  <c r="BQ399" i="1"/>
  <c r="AC397" i="1"/>
  <c r="CS394" i="1"/>
  <c r="BE392" i="1"/>
  <c r="Q390" i="1"/>
  <c r="CG387" i="1"/>
  <c r="AS385" i="1"/>
  <c r="DI382" i="1"/>
  <c r="BU380" i="1"/>
  <c r="AG378" i="1"/>
  <c r="CW375" i="1"/>
  <c r="BI373" i="1"/>
  <c r="U371" i="1"/>
  <c r="CK368" i="1"/>
  <c r="AW366" i="1"/>
  <c r="I364" i="1"/>
  <c r="BY361" i="1"/>
  <c r="T419" i="1"/>
  <c r="CJ416" i="1"/>
  <c r="AV414" i="1"/>
  <c r="CY449" i="1"/>
  <c r="BK447" i="1"/>
  <c r="W445" i="1"/>
  <c r="CM442" i="1"/>
  <c r="AY440" i="1"/>
  <c r="K438" i="1"/>
  <c r="CA435" i="1"/>
  <c r="AM433" i="1"/>
  <c r="DC430" i="1"/>
  <c r="BO428" i="1"/>
  <c r="AA426" i="1"/>
  <c r="CQ423" i="1"/>
  <c r="BC421" i="1"/>
  <c r="O419" i="1"/>
  <c r="CE416" i="1"/>
  <c r="AQ414" i="1"/>
  <c r="CT411" i="1"/>
  <c r="BF409" i="1"/>
  <c r="R407" i="1"/>
  <c r="CH404" i="1"/>
  <c r="AT402" i="1"/>
  <c r="F400" i="1"/>
  <c r="BV397" i="1"/>
  <c r="AH395" i="1"/>
  <c r="CX392" i="1"/>
  <c r="BJ390" i="1"/>
  <c r="V388" i="1"/>
  <c r="CL385" i="1"/>
  <c r="AX383" i="1"/>
  <c r="J381" i="1"/>
  <c r="BZ378" i="1"/>
  <c r="AL376" i="1"/>
  <c r="DB373" i="1"/>
  <c r="BN371" i="1"/>
  <c r="Z369" i="1"/>
  <c r="CP366" i="1"/>
  <c r="BB364" i="1"/>
  <c r="N362" i="1"/>
  <c r="Y413" i="1"/>
  <c r="CO410" i="1"/>
  <c r="BA408" i="1"/>
  <c r="M406" i="1"/>
  <c r="CC403" i="1"/>
  <c r="AO401" i="1"/>
  <c r="DE398" i="1"/>
  <c r="BQ396" i="1"/>
  <c r="AC394" i="1"/>
  <c r="CS391" i="1"/>
  <c r="BE389" i="1"/>
  <c r="Q387" i="1"/>
  <c r="CG384" i="1"/>
  <c r="AS382" i="1"/>
  <c r="DI379" i="1"/>
  <c r="BU377" i="1"/>
  <c r="AG375" i="1"/>
  <c r="CW372" i="1"/>
  <c r="BI370" i="1"/>
  <c r="U368" i="1"/>
  <c r="CK365" i="1"/>
  <c r="AW363" i="1"/>
  <c r="I361" i="1"/>
  <c r="BI361" i="1"/>
  <c r="AC358" i="1"/>
  <c r="CS355" i="1"/>
  <c r="BE353" i="1"/>
  <c r="Q351" i="1"/>
  <c r="CG348" i="1"/>
  <c r="AS346" i="1"/>
  <c r="DI343" i="1"/>
  <c r="BU341" i="1"/>
  <c r="BX412" i="1"/>
  <c r="AJ410" i="1"/>
  <c r="CZ407" i="1"/>
  <c r="BL405" i="1"/>
  <c r="X403" i="1"/>
  <c r="CN400" i="1"/>
  <c r="AZ398" i="1"/>
  <c r="L396" i="1"/>
  <c r="CB393" i="1"/>
  <c r="AN391" i="1"/>
  <c r="DD388" i="1"/>
  <c r="BP386" i="1"/>
  <c r="AX404" i="1"/>
  <c r="AH400" i="1"/>
  <c r="V397" i="1"/>
  <c r="J394" i="1"/>
  <c r="CL390" i="1"/>
  <c r="BZ387" i="1"/>
  <c r="BN384" i="1"/>
  <c r="BR381" i="1"/>
  <c r="AD379" i="1"/>
  <c r="CT376" i="1"/>
  <c r="BF374" i="1"/>
  <c r="R372" i="1"/>
  <c r="CH369" i="1"/>
  <c r="AT367" i="1"/>
  <c r="F365" i="1"/>
  <c r="BV362" i="1"/>
  <c r="CG413" i="1"/>
  <c r="AS411" i="1"/>
  <c r="DI408" i="1"/>
  <c r="BU406" i="1"/>
  <c r="AG404" i="1"/>
  <c r="CW401" i="1"/>
  <c r="BI399" i="1"/>
  <c r="U397" i="1"/>
  <c r="CK394" i="1"/>
  <c r="AW392" i="1"/>
  <c r="I390" i="1"/>
  <c r="BY387" i="1"/>
  <c r="AK385" i="1"/>
  <c r="DA382" i="1"/>
  <c r="BM380" i="1"/>
  <c r="Y378" i="1"/>
  <c r="CO375" i="1"/>
  <c r="BA373" i="1"/>
  <c r="M371" i="1"/>
  <c r="CC368" i="1"/>
  <c r="AO366" i="1"/>
  <c r="DE363" i="1"/>
  <c r="BQ361" i="1"/>
  <c r="BH419" i="1"/>
  <c r="T417" i="1"/>
  <c r="CJ414" i="1"/>
  <c r="AI450" i="1"/>
  <c r="CY447" i="1"/>
  <c r="BK445" i="1"/>
  <c r="W443" i="1"/>
  <c r="CM440" i="1"/>
  <c r="AY438" i="1"/>
  <c r="K436" i="1"/>
  <c r="CA433" i="1"/>
  <c r="AM431" i="1"/>
  <c r="DC428" i="1"/>
  <c r="BO426" i="1"/>
  <c r="AA424" i="1"/>
  <c r="CQ421" i="1"/>
  <c r="BC419" i="1"/>
  <c r="O417" i="1"/>
  <c r="CE414" i="1"/>
  <c r="AD412" i="1"/>
  <c r="CT409" i="1"/>
  <c r="BF407" i="1"/>
  <c r="R405" i="1"/>
  <c r="CH402" i="1"/>
  <c r="AT400" i="1"/>
  <c r="F398" i="1"/>
  <c r="BV395" i="1"/>
  <c r="AH393" i="1"/>
  <c r="CX390" i="1"/>
  <c r="BJ388" i="1"/>
  <c r="V386" i="1"/>
  <c r="CL383" i="1"/>
  <c r="AX381" i="1"/>
  <c r="J379" i="1"/>
  <c r="BZ376" i="1"/>
  <c r="AL374" i="1"/>
  <c r="DB371" i="1"/>
  <c r="BN369" i="1"/>
  <c r="Z367" i="1"/>
  <c r="CP364" i="1"/>
  <c r="BB362" i="1"/>
  <c r="BM413" i="1"/>
  <c r="Y411" i="1"/>
  <c r="CO408" i="1"/>
  <c r="BA406" i="1"/>
  <c r="M404" i="1"/>
  <c r="CC401" i="1"/>
  <c r="AO399" i="1"/>
  <c r="DE396" i="1"/>
  <c r="BQ394" i="1"/>
  <c r="AC392" i="1"/>
  <c r="CS389" i="1"/>
  <c r="BE387" i="1"/>
  <c r="Q385" i="1"/>
  <c r="CG382" i="1"/>
  <c r="AS380" i="1"/>
  <c r="DI377" i="1"/>
  <c r="BU375" i="1"/>
  <c r="AG373" i="1"/>
  <c r="CW370" i="1"/>
  <c r="BI368" i="1"/>
  <c r="U366" i="1"/>
  <c r="CK363" i="1"/>
  <c r="AW361" i="1"/>
  <c r="BT419" i="1"/>
  <c r="AF417" i="1"/>
  <c r="CV414" i="1"/>
  <c r="AU450" i="1"/>
  <c r="G448" i="1"/>
  <c r="BW445" i="1"/>
  <c r="AI443" i="1"/>
  <c r="CY440" i="1"/>
  <c r="BK438" i="1"/>
  <c r="W436" i="1"/>
  <c r="CM433" i="1"/>
  <c r="AY431" i="1"/>
  <c r="K429" i="1"/>
  <c r="CA426" i="1"/>
  <c r="AM424" i="1"/>
  <c r="DC421" i="1"/>
  <c r="BO419" i="1"/>
  <c r="AA417" i="1"/>
  <c r="CQ414" i="1"/>
  <c r="AP412" i="1"/>
  <c r="DF409" i="1"/>
  <c r="BR407" i="1"/>
  <c r="AD405" i="1"/>
  <c r="CT402" i="1"/>
  <c r="BF400" i="1"/>
  <c r="R398" i="1"/>
  <c r="CH395" i="1"/>
  <c r="AT393" i="1"/>
  <c r="F391" i="1"/>
  <c r="BV388" i="1"/>
  <c r="AH386" i="1"/>
  <c r="CX383" i="1"/>
  <c r="BJ381" i="1"/>
  <c r="V379" i="1"/>
  <c r="CL376" i="1"/>
  <c r="AX374" i="1"/>
  <c r="J372" i="1"/>
  <c r="BZ369" i="1"/>
  <c r="AL367" i="1"/>
  <c r="DB364" i="1"/>
  <c r="BN362" i="1"/>
  <c r="BY413" i="1"/>
  <c r="AK411" i="1"/>
  <c r="DA408" i="1"/>
  <c r="BM406" i="1"/>
  <c r="Y404" i="1"/>
  <c r="CO401" i="1"/>
  <c r="BA399" i="1"/>
  <c r="M397" i="1"/>
  <c r="CC394" i="1"/>
  <c r="AO392" i="1"/>
  <c r="DE389" i="1"/>
  <c r="BQ387" i="1"/>
  <c r="AC385" i="1"/>
  <c r="CS382" i="1"/>
  <c r="BE380" i="1"/>
  <c r="Q378" i="1"/>
  <c r="CG375" i="1"/>
  <c r="AS373" i="1"/>
  <c r="DI370" i="1"/>
  <c r="BU368" i="1"/>
  <c r="AG366" i="1"/>
  <c r="CW363" i="1"/>
  <c r="P423" i="1"/>
  <c r="DH418" i="1"/>
  <c r="BT416" i="1"/>
  <c r="AF414" i="1"/>
  <c r="CI449" i="1"/>
  <c r="AU447" i="1"/>
  <c r="G445" i="1"/>
  <c r="BW442" i="1"/>
  <c r="AI440" i="1"/>
  <c r="CY437" i="1"/>
  <c r="BK435" i="1"/>
  <c r="W433" i="1"/>
  <c r="CM430" i="1"/>
  <c r="AY428" i="1"/>
  <c r="K426" i="1"/>
  <c r="CA423" i="1"/>
  <c r="AM421" i="1"/>
  <c r="DC418" i="1"/>
  <c r="BO416" i="1"/>
  <c r="AA414" i="1"/>
  <c r="CD411" i="1"/>
  <c r="AP409" i="1"/>
  <c r="DF406" i="1"/>
  <c r="BR404" i="1"/>
  <c r="AD402" i="1"/>
  <c r="CT399" i="1"/>
  <c r="BF397" i="1"/>
  <c r="R395" i="1"/>
  <c r="CH392" i="1"/>
  <c r="AT390" i="1"/>
  <c r="F388" i="1"/>
  <c r="BV385" i="1"/>
  <c r="AH383" i="1"/>
  <c r="CX380" i="1"/>
  <c r="BJ378" i="1"/>
  <c r="V376" i="1"/>
  <c r="CL373" i="1"/>
  <c r="AX371" i="1"/>
  <c r="J369" i="1"/>
  <c r="BZ366" i="1"/>
  <c r="AL364" i="1"/>
  <c r="DB361" i="1"/>
  <c r="I413" i="1"/>
  <c r="BY410" i="1"/>
  <c r="AK408" i="1"/>
  <c r="DA405" i="1"/>
  <c r="BM403" i="1"/>
  <c r="Y401" i="1"/>
  <c r="CO398" i="1"/>
  <c r="BA396" i="1"/>
  <c r="M394" i="1"/>
  <c r="CC391" i="1"/>
  <c r="AO389" i="1"/>
  <c r="DE386" i="1"/>
  <c r="BQ384" i="1"/>
  <c r="AC382" i="1"/>
  <c r="CS379" i="1"/>
  <c r="AS370" i="1"/>
  <c r="CW360" i="1"/>
  <c r="BE357" i="1"/>
  <c r="CG352" i="1"/>
  <c r="DI347" i="1"/>
  <c r="AG343" i="1"/>
  <c r="CZ411" i="1"/>
  <c r="X407" i="1"/>
  <c r="AZ402" i="1"/>
  <c r="CB397" i="1"/>
  <c r="DD392" i="1"/>
  <c r="AB388" i="1"/>
  <c r="BD383" i="1"/>
  <c r="CF378" i="1"/>
  <c r="DH373" i="1"/>
  <c r="AF369" i="1"/>
  <c r="BH364" i="1"/>
  <c r="AB384" i="1"/>
  <c r="H375" i="1"/>
  <c r="CN368" i="1"/>
  <c r="AZ362" i="1"/>
  <c r="P357" i="1"/>
  <c r="AR352" i="1"/>
  <c r="BT347" i="1"/>
  <c r="CV342" i="1"/>
  <c r="T338" i="1"/>
  <c r="AA409" i="1"/>
  <c r="BC404" i="1"/>
  <c r="CE399" i="1"/>
  <c r="DG394" i="1"/>
  <c r="AE390" i="1"/>
  <c r="BG385" i="1"/>
  <c r="CI380" i="1"/>
  <c r="G376" i="1"/>
  <c r="AI371" i="1"/>
  <c r="BK366" i="1"/>
  <c r="CM361" i="1"/>
  <c r="CW357" i="1"/>
  <c r="U353" i="1"/>
  <c r="AW348" i="1"/>
  <c r="BY343" i="1"/>
  <c r="AN412" i="1"/>
  <c r="BP407" i="1"/>
  <c r="CR402" i="1"/>
  <c r="P398" i="1"/>
  <c r="AR393" i="1"/>
  <c r="BT388" i="1"/>
  <c r="CV383" i="1"/>
  <c r="T379" i="1"/>
  <c r="AV374" i="1"/>
  <c r="BX369" i="1"/>
  <c r="CZ364" i="1"/>
  <c r="X360" i="1"/>
  <c r="AZ355" i="1"/>
  <c r="CB350" i="1"/>
  <c r="DD345" i="1"/>
  <c r="AB341" i="1"/>
  <c r="AI412" i="1"/>
  <c r="BK407" i="1"/>
  <c r="CM402" i="1"/>
  <c r="K398" i="1"/>
  <c r="AM393" i="1"/>
  <c r="BO388" i="1"/>
  <c r="CQ383" i="1"/>
  <c r="O379" i="1"/>
  <c r="AQ374" i="1"/>
  <c r="BS369" i="1"/>
  <c r="CU364" i="1"/>
  <c r="S360" i="1"/>
  <c r="AU355" i="1"/>
  <c r="CO356" i="1"/>
  <c r="M352" i="1"/>
  <c r="AO347" i="1"/>
  <c r="BQ342" i="1"/>
  <c r="AF411" i="1"/>
  <c r="BH406" i="1"/>
  <c r="CJ401" i="1"/>
  <c r="H397" i="1"/>
  <c r="AJ392" i="1"/>
  <c r="BL387" i="1"/>
  <c r="CN382" i="1"/>
  <c r="L378" i="1"/>
  <c r="AN373" i="1"/>
  <c r="BP368" i="1"/>
  <c r="CR363" i="1"/>
  <c r="P359" i="1"/>
  <c r="AR354" i="1"/>
  <c r="BT349" i="1"/>
  <c r="CV344" i="1"/>
  <c r="T340" i="1"/>
  <c r="AA411" i="1"/>
  <c r="BC406" i="1"/>
  <c r="CE401" i="1"/>
  <c r="DG396" i="1"/>
  <c r="AE392" i="1"/>
  <c r="BG387" i="1"/>
  <c r="CI382" i="1"/>
  <c r="G378" i="1"/>
  <c r="AI373" i="1"/>
  <c r="BK368" i="1"/>
  <c r="CM363" i="1"/>
  <c r="K359" i="1"/>
  <c r="BU356" i="1"/>
  <c r="CW351" i="1"/>
  <c r="U347" i="1"/>
  <c r="AW342" i="1"/>
  <c r="L411" i="1"/>
  <c r="AN406" i="1"/>
  <c r="BP401" i="1"/>
  <c r="CR396" i="1"/>
  <c r="P392" i="1"/>
  <c r="AR387" i="1"/>
  <c r="BT382" i="1"/>
  <c r="CV377" i="1"/>
  <c r="T373" i="1"/>
  <c r="AV368" i="1"/>
  <c r="BX363" i="1"/>
  <c r="CZ358" i="1"/>
  <c r="X354" i="1"/>
  <c r="AZ349" i="1"/>
  <c r="CB344" i="1"/>
  <c r="DD339" i="1"/>
  <c r="G411" i="1"/>
  <c r="AI406" i="1"/>
  <c r="BK401" i="1"/>
  <c r="CM396" i="1"/>
  <c r="K392" i="1"/>
  <c r="AM387" i="1"/>
  <c r="BO382" i="1"/>
  <c r="CQ377" i="1"/>
  <c r="O373" i="1"/>
  <c r="AQ368" i="1"/>
  <c r="BS363" i="1"/>
  <c r="CU358" i="1"/>
  <c r="S359" i="1"/>
  <c r="CM351" i="1"/>
  <c r="K347" i="1"/>
  <c r="AT351" i="1"/>
  <c r="W339" i="1"/>
  <c r="V334" i="1"/>
  <c r="AX329" i="1"/>
  <c r="BZ324" i="1"/>
  <c r="DB319" i="1"/>
  <c r="CJ383" i="1"/>
  <c r="CV374" i="1"/>
  <c r="BH368" i="1"/>
  <c r="AJ362" i="1"/>
  <c r="DD356" i="1"/>
  <c r="AB352" i="1"/>
  <c r="BD347" i="1"/>
  <c r="CF342" i="1"/>
  <c r="CM413" i="1"/>
  <c r="K409" i="1"/>
  <c r="AM404" i="1"/>
  <c r="BO399" i="1"/>
  <c r="CQ394" i="1"/>
  <c r="O390" i="1"/>
  <c r="AQ385" i="1"/>
  <c r="BS380" i="1"/>
  <c r="CU375" i="1"/>
  <c r="S371" i="1"/>
  <c r="AU366" i="1"/>
  <c r="BW361" i="1"/>
  <c r="CG357" i="1"/>
  <c r="DI352" i="1"/>
  <c r="AG348" i="1"/>
  <c r="BI343" i="1"/>
  <c r="X412" i="1"/>
  <c r="AZ407" i="1"/>
  <c r="CB402" i="1"/>
  <c r="DD397" i="1"/>
  <c r="AB393" i="1"/>
  <c r="BD388" i="1"/>
  <c r="CF383" i="1"/>
  <c r="DH378" i="1"/>
  <c r="AF374" i="1"/>
  <c r="BH369" i="1"/>
  <c r="CJ364" i="1"/>
  <c r="H360" i="1"/>
  <c r="AJ355" i="1"/>
  <c r="BL350" i="1"/>
  <c r="CN345" i="1"/>
  <c r="L341" i="1"/>
  <c r="S412" i="1"/>
  <c r="AU407" i="1"/>
  <c r="BW402" i="1"/>
  <c r="CY397" i="1"/>
  <c r="W393" i="1"/>
  <c r="AY388" i="1"/>
  <c r="CA383" i="1"/>
  <c r="DC378" i="1"/>
  <c r="AA374" i="1"/>
  <c r="BC369" i="1"/>
  <c r="CE364" i="1"/>
  <c r="DG359" i="1"/>
  <c r="AE355" i="1"/>
  <c r="BY356" i="1"/>
  <c r="DA351" i="1"/>
  <c r="Y347" i="1"/>
  <c r="BA342" i="1"/>
  <c r="P411" i="1"/>
  <c r="AR406" i="1"/>
  <c r="BT401" i="1"/>
  <c r="CV396" i="1"/>
  <c r="T392" i="1"/>
  <c r="AV387" i="1"/>
  <c r="BX382" i="1"/>
  <c r="CZ377" i="1"/>
  <c r="X373" i="1"/>
  <c r="AZ368" i="1"/>
  <c r="CB363" i="1"/>
  <c r="DD358" i="1"/>
  <c r="AB354" i="1"/>
  <c r="BD349" i="1"/>
  <c r="CF344" i="1"/>
  <c r="DH339" i="1"/>
  <c r="K411" i="1"/>
  <c r="AM406" i="1"/>
  <c r="BO401" i="1"/>
  <c r="CQ396" i="1"/>
  <c r="O392" i="1"/>
  <c r="AQ387" i="1"/>
  <c r="BS382" i="1"/>
  <c r="CU377" i="1"/>
  <c r="S373" i="1"/>
  <c r="AU368" i="1"/>
  <c r="BW363" i="1"/>
  <c r="CY358" i="1"/>
  <c r="BE356" i="1"/>
  <c r="CG351" i="1"/>
  <c r="DI346" i="1"/>
  <c r="AG342" i="1"/>
  <c r="CZ410" i="1"/>
  <c r="X406" i="1"/>
  <c r="AZ401" i="1"/>
  <c r="CB396" i="1"/>
  <c r="DD391" i="1"/>
  <c r="AB387" i="1"/>
  <c r="BD382" i="1"/>
  <c r="CF377" i="1"/>
  <c r="DH372" i="1"/>
  <c r="AF368" i="1"/>
  <c r="BH363" i="1"/>
  <c r="CJ358" i="1"/>
  <c r="H354" i="1"/>
  <c r="AJ349" i="1"/>
  <c r="BL344" i="1"/>
  <c r="CN339" i="1"/>
  <c r="CU410" i="1"/>
  <c r="S406" i="1"/>
  <c r="AU401" i="1"/>
  <c r="BW396" i="1"/>
  <c r="CY391" i="1"/>
  <c r="W387" i="1"/>
  <c r="AY382" i="1"/>
  <c r="CA377" i="1"/>
  <c r="DC372" i="1"/>
  <c r="AA368" i="1"/>
  <c r="BC363" i="1"/>
  <c r="CE358" i="1"/>
  <c r="BK358" i="1"/>
  <c r="BW351" i="1"/>
  <c r="CY346" i="1"/>
  <c r="CL350" i="1"/>
  <c r="DF338" i="1"/>
  <c r="F334" i="1"/>
  <c r="AH329" i="1"/>
  <c r="BJ324" i="1"/>
  <c r="CL319" i="1"/>
  <c r="J315" i="1"/>
  <c r="AL310" i="1"/>
  <c r="BN305" i="1"/>
  <c r="CB377" i="1"/>
  <c r="CF370" i="1"/>
  <c r="AR364" i="1"/>
  <c r="BP358" i="1"/>
  <c r="CR353" i="1"/>
  <c r="P349" i="1"/>
  <c r="AR344" i="1"/>
  <c r="BT339" i="1"/>
  <c r="CA410" i="1"/>
  <c r="DC405" i="1"/>
  <c r="AA401" i="1"/>
  <c r="BC396" i="1"/>
  <c r="CE391" i="1"/>
  <c r="DG386" i="1"/>
  <c r="AE382" i="1"/>
  <c r="BG377" i="1"/>
  <c r="CI372" i="1"/>
  <c r="G368" i="1"/>
  <c r="AI363" i="1"/>
  <c r="BQ359" i="1"/>
  <c r="BU354" i="1"/>
  <c r="CW349" i="1"/>
  <c r="U345" i="1"/>
  <c r="CO413" i="1"/>
  <c r="L409" i="1"/>
  <c r="AN404" i="1"/>
  <c r="BP399" i="1"/>
  <c r="CR394" i="1"/>
  <c r="P390" i="1"/>
  <c r="AR385" i="1"/>
  <c r="BT380" i="1"/>
  <c r="CV375" i="1"/>
  <c r="T371" i="1"/>
  <c r="AV366" i="1"/>
  <c r="BX361" i="1"/>
  <c r="CZ356" i="1"/>
  <c r="X352" i="1"/>
  <c r="AZ347" i="1"/>
  <c r="CB342" i="1"/>
  <c r="CI413" i="1"/>
  <c r="G409" i="1"/>
  <c r="AI404" i="1"/>
  <c r="BK399" i="1"/>
  <c r="CM394" i="1"/>
  <c r="K390" i="1"/>
  <c r="AM385" i="1"/>
  <c r="BO380" i="1"/>
  <c r="CQ375" i="1"/>
  <c r="O371" i="1"/>
  <c r="AQ366" i="1"/>
  <c r="BS361" i="1"/>
  <c r="CU356" i="1"/>
  <c r="AK358" i="1"/>
  <c r="BM353" i="1"/>
  <c r="CO348" i="1"/>
  <c r="M344" i="1"/>
  <c r="CF412" i="1"/>
  <c r="DH407" i="1"/>
  <c r="AF403" i="1"/>
  <c r="BH398" i="1"/>
  <c r="CJ393" i="1"/>
  <c r="H389" i="1"/>
  <c r="AJ384" i="1"/>
  <c r="BL379" i="1"/>
  <c r="CN374" i="1"/>
  <c r="L370" i="1"/>
  <c r="AN365" i="1"/>
  <c r="BP360" i="1"/>
  <c r="CR355" i="1"/>
  <c r="P351" i="1"/>
  <c r="AR346" i="1"/>
  <c r="BT341" i="1"/>
  <c r="CA412" i="1"/>
  <c r="DC407" i="1"/>
  <c r="AA403" i="1"/>
  <c r="BC398" i="1"/>
  <c r="CE393" i="1"/>
  <c r="DG388" i="1"/>
  <c r="AE384" i="1"/>
  <c r="BG379" i="1"/>
  <c r="CI374" i="1"/>
  <c r="G370" i="1"/>
  <c r="AI365" i="1"/>
  <c r="BK360" i="1"/>
  <c r="Q358" i="1"/>
  <c r="AS353" i="1"/>
  <c r="BU348" i="1"/>
  <c r="CW343" i="1"/>
  <c r="BL412" i="1"/>
  <c r="CN407" i="1"/>
  <c r="L403" i="1"/>
  <c r="AN398" i="1"/>
  <c r="BP393" i="1"/>
  <c r="CR388" i="1"/>
  <c r="P384" i="1"/>
  <c r="AR379" i="1"/>
  <c r="BT374" i="1"/>
  <c r="CV369" i="1"/>
  <c r="T365" i="1"/>
  <c r="AV360" i="1"/>
  <c r="BX355" i="1"/>
  <c r="CZ350" i="1"/>
  <c r="X346" i="1"/>
  <c r="AZ341" i="1"/>
  <c r="BG412" i="1"/>
  <c r="CI407" i="1"/>
  <c r="G403" i="1"/>
  <c r="AI398" i="1"/>
  <c r="BK393" i="1"/>
  <c r="CM388" i="1"/>
  <c r="K384" i="1"/>
  <c r="AM379" i="1"/>
  <c r="BO374" i="1"/>
  <c r="CQ369" i="1"/>
  <c r="O365" i="1"/>
  <c r="AQ360" i="1"/>
  <c r="BS355" i="1"/>
  <c r="AI353" i="1"/>
  <c r="BK348" i="1"/>
  <c r="AL357" i="1"/>
  <c r="BC341" i="1"/>
  <c r="BV335" i="1"/>
  <c r="CX330" i="1"/>
  <c r="V326" i="1"/>
  <c r="AX321" i="1"/>
  <c r="BZ316" i="1"/>
  <c r="DB311" i="1"/>
  <c r="Z307" i="1"/>
  <c r="L376" i="1"/>
  <c r="CB369" i="1"/>
  <c r="BD363" i="1"/>
  <c r="CR357" i="1"/>
  <c r="P353" i="1"/>
  <c r="AR348" i="1"/>
  <c r="BT343" i="1"/>
  <c r="CV338" i="1"/>
  <c r="DC409" i="1"/>
  <c r="AA405" i="1"/>
  <c r="BC400" i="1"/>
  <c r="CE395" i="1"/>
  <c r="DG390" i="1"/>
  <c r="AE386" i="1"/>
  <c r="BG381" i="1"/>
  <c r="CI376" i="1"/>
  <c r="G372" i="1"/>
  <c r="AI367" i="1"/>
  <c r="BK362" i="1"/>
  <c r="BU358" i="1"/>
  <c r="CW353" i="1"/>
  <c r="U349" i="1"/>
  <c r="AW344" i="1"/>
  <c r="L413" i="1"/>
  <c r="AN408" i="1"/>
  <c r="BP403" i="1"/>
  <c r="CR398" i="1"/>
  <c r="P394" i="1"/>
  <c r="AR389" i="1"/>
  <c r="BT384" i="1"/>
  <c r="CV379" i="1"/>
  <c r="T375" i="1"/>
  <c r="AV370" i="1"/>
  <c r="BX365" i="1"/>
  <c r="CZ360" i="1"/>
  <c r="X356" i="1"/>
  <c r="AZ351" i="1"/>
  <c r="CB346" i="1"/>
  <c r="DD341" i="1"/>
  <c r="G413" i="1"/>
  <c r="AI408" i="1"/>
  <c r="BK403" i="1"/>
  <c r="CM398" i="1"/>
  <c r="K394" i="1"/>
  <c r="AM389" i="1"/>
  <c r="BO384" i="1"/>
  <c r="CQ379" i="1"/>
  <c r="O375" i="1"/>
  <c r="AQ370" i="1"/>
  <c r="BS365" i="1"/>
  <c r="CU360" i="1"/>
  <c r="S356" i="1"/>
  <c r="BM357" i="1"/>
  <c r="CO352" i="1"/>
  <c r="M348" i="1"/>
  <c r="AO343" i="1"/>
  <c r="DH411" i="1"/>
  <c r="AF407" i="1"/>
  <c r="BH402" i="1"/>
  <c r="CJ397" i="1"/>
  <c r="H393" i="1"/>
  <c r="AJ388" i="1"/>
  <c r="BL383" i="1"/>
  <c r="CN378" i="1"/>
  <c r="L374" i="1"/>
  <c r="AN369" i="1"/>
  <c r="BP364" i="1"/>
  <c r="CR359" i="1"/>
  <c r="P355" i="1"/>
  <c r="AR350" i="1"/>
  <c r="BT345" i="1"/>
  <c r="CV340" i="1"/>
  <c r="DC411" i="1"/>
  <c r="AA407" i="1"/>
  <c r="BC402" i="1"/>
  <c r="CE397" i="1"/>
  <c r="DG392" i="1"/>
  <c r="AE388" i="1"/>
  <c r="BG383" i="1"/>
  <c r="CI378" i="1"/>
  <c r="G374" i="1"/>
  <c r="AI369" i="1"/>
  <c r="BK364" i="1"/>
  <c r="CM359" i="1"/>
  <c r="AS357" i="1"/>
  <c r="BU352" i="1"/>
  <c r="CW347" i="1"/>
  <c r="U343" i="1"/>
  <c r="CN411" i="1"/>
  <c r="L407" i="1"/>
  <c r="AN402" i="1"/>
  <c r="BP397" i="1"/>
  <c r="CR392" i="1"/>
  <c r="P388" i="1"/>
  <c r="AR383" i="1"/>
  <c r="BT378" i="1"/>
  <c r="CV373" i="1"/>
  <c r="T369" i="1"/>
  <c r="AV364" i="1"/>
  <c r="BX359" i="1"/>
  <c r="CZ354" i="1"/>
  <c r="X350" i="1"/>
  <c r="AZ345" i="1"/>
  <c r="CB340" i="1"/>
  <c r="CI411" i="1"/>
  <c r="G407" i="1"/>
  <c r="AI402" i="1"/>
  <c r="BK397" i="1"/>
  <c r="CM392" i="1"/>
  <c r="K388" i="1"/>
  <c r="AM383" i="1"/>
  <c r="BO378" i="1"/>
  <c r="CQ373" i="1"/>
  <c r="O369" i="1"/>
  <c r="AQ364" i="1"/>
  <c r="BS359" i="1"/>
  <c r="CU354" i="1"/>
  <c r="BK352" i="1"/>
  <c r="CM347" i="1"/>
  <c r="AP354" i="1"/>
  <c r="V340" i="1"/>
  <c r="CX334" i="1"/>
  <c r="V330" i="1"/>
  <c r="AX325" i="1"/>
  <c r="BZ320" i="1"/>
  <c r="DB315" i="1"/>
  <c r="Z311" i="1"/>
  <c r="BB306" i="1"/>
  <c r="CD301" i="1"/>
  <c r="DF296" i="1"/>
  <c r="AD292" i="1"/>
  <c r="CT289" i="1"/>
  <c r="BF287" i="1"/>
  <c r="R285" i="1"/>
  <c r="CH282" i="1"/>
  <c r="AT280" i="1"/>
  <c r="F278" i="1"/>
  <c r="BV275" i="1"/>
  <c r="AH273" i="1"/>
  <c r="N308" i="1"/>
  <c r="J303" i="1"/>
  <c r="CL299" i="1"/>
  <c r="BZ296" i="1"/>
  <c r="BN293" i="1"/>
  <c r="AL290" i="1"/>
  <c r="Z287" i="1"/>
  <c r="N284" i="1"/>
  <c r="CP280" i="1"/>
  <c r="CD277" i="1"/>
  <c r="BR274" i="1"/>
  <c r="CL271" i="1"/>
  <c r="CD357" i="1"/>
  <c r="AD348" i="1"/>
  <c r="BZ341" i="1"/>
  <c r="R338" i="1"/>
  <c r="CG335" i="1"/>
  <c r="AS333" i="1"/>
  <c r="DI330" i="1"/>
  <c r="BU328" i="1"/>
  <c r="AG326" i="1"/>
  <c r="CW323" i="1"/>
  <c r="BI321" i="1"/>
  <c r="U319" i="1"/>
  <c r="CK316" i="1"/>
  <c r="AW314" i="1"/>
  <c r="I312" i="1"/>
  <c r="BY309" i="1"/>
  <c r="AK307" i="1"/>
  <c r="DA304" i="1"/>
  <c r="BM302" i="1"/>
  <c r="Y300" i="1"/>
  <c r="CO297" i="1"/>
  <c r="BA295" i="1"/>
  <c r="F351" i="1"/>
  <c r="K343" i="1"/>
  <c r="J339" i="1"/>
  <c r="AZ336" i="1"/>
  <c r="L334" i="1"/>
  <c r="CB331" i="1"/>
  <c r="AN329" i="1"/>
  <c r="DD326" i="1"/>
  <c r="BP324" i="1"/>
  <c r="AB322" i="1"/>
  <c r="CR319" i="1"/>
  <c r="BD317" i="1"/>
  <c r="P315" i="1"/>
  <c r="CF312" i="1"/>
  <c r="AR310" i="1"/>
  <c r="DH307" i="1"/>
  <c r="BT305" i="1"/>
  <c r="AF303" i="1"/>
  <c r="CV300" i="1"/>
  <c r="BH298" i="1"/>
  <c r="T296" i="1"/>
  <c r="CJ293" i="1"/>
  <c r="AV291" i="1"/>
  <c r="AP353" i="1"/>
  <c r="AD344" i="1"/>
  <c r="CP339" i="1"/>
  <c r="G337" i="1"/>
  <c r="BW334" i="1"/>
  <c r="AI332" i="1"/>
  <c r="CY329" i="1"/>
  <c r="BK327" i="1"/>
  <c r="AU321" i="1"/>
  <c r="CY311" i="1"/>
  <c r="AY302" i="1"/>
  <c r="Y294" i="1"/>
  <c r="CW289" i="1"/>
  <c r="CF286" i="1"/>
  <c r="BO283" i="1"/>
  <c r="AW280" i="1"/>
  <c r="AF277" i="1"/>
  <c r="O274" i="1"/>
  <c r="DA270" i="1"/>
  <c r="AQ268" i="1"/>
  <c r="DG265" i="1"/>
  <c r="BS263" i="1"/>
  <c r="AE261" i="1"/>
  <c r="CU258" i="1"/>
  <c r="BG256" i="1"/>
  <c r="S254" i="1"/>
  <c r="CI251" i="1"/>
  <c r="AU249" i="1"/>
  <c r="G247" i="1"/>
  <c r="BW244" i="1"/>
  <c r="AI242" i="1"/>
  <c r="CY239" i="1"/>
  <c r="BK237" i="1"/>
  <c r="W235" i="1"/>
  <c r="CM232" i="1"/>
  <c r="AY230" i="1"/>
  <c r="K228" i="1"/>
  <c r="CA225" i="1"/>
  <c r="AM223" i="1"/>
  <c r="DC220" i="1"/>
  <c r="AE322" i="1"/>
  <c r="CI312" i="1"/>
  <c r="AI303" i="1"/>
  <c r="BS294" i="1"/>
  <c r="X290" i="1"/>
  <c r="G287" i="1"/>
  <c r="K355" i="1"/>
  <c r="AQ352" i="1"/>
  <c r="DG349" i="1"/>
  <c r="BS347" i="1"/>
  <c r="AE345" i="1"/>
  <c r="BR353" i="1"/>
  <c r="AQ344" i="1"/>
  <c r="CY339" i="1"/>
  <c r="N337" i="1"/>
  <c r="CD334" i="1"/>
  <c r="AP332" i="1"/>
  <c r="DF329" i="1"/>
  <c r="BR327" i="1"/>
  <c r="AD325" i="1"/>
  <c r="CT322" i="1"/>
  <c r="BF320" i="1"/>
  <c r="R318" i="1"/>
  <c r="CH315" i="1"/>
  <c r="AT313" i="1"/>
  <c r="F311" i="1"/>
  <c r="BV308" i="1"/>
  <c r="AH306" i="1"/>
  <c r="CX303" i="1"/>
  <c r="BJ301" i="1"/>
  <c r="V299" i="1"/>
  <c r="CL296" i="1"/>
  <c r="AX294" i="1"/>
  <c r="J292" i="1"/>
  <c r="BZ289" i="1"/>
  <c r="AL287" i="1"/>
  <c r="DB284" i="1"/>
  <c r="BN282" i="1"/>
  <c r="Z280" i="1"/>
  <c r="CP277" i="1"/>
  <c r="BB275" i="1"/>
  <c r="N273" i="1"/>
  <c r="CD270" i="1"/>
  <c r="AX353" i="1"/>
  <c r="AH344" i="1"/>
  <c r="CS339" i="1"/>
  <c r="I337" i="1"/>
  <c r="BY334" i="1"/>
  <c r="AK332" i="1"/>
  <c r="DA329" i="1"/>
  <c r="BM327" i="1"/>
  <c r="Y325" i="1"/>
  <c r="CO322" i="1"/>
  <c r="BA320" i="1"/>
  <c r="M318" i="1"/>
  <c r="CC315" i="1"/>
  <c r="AO313" i="1"/>
  <c r="DE310" i="1"/>
  <c r="BQ308" i="1"/>
  <c r="AC306" i="1"/>
  <c r="CS303" i="1"/>
  <c r="BE301" i="1"/>
  <c r="Q299" i="1"/>
  <c r="CG296" i="1"/>
  <c r="Z356" i="1"/>
  <c r="CD346" i="1"/>
  <c r="CY340" i="1"/>
  <c r="CF337" i="1"/>
  <c r="AR335" i="1"/>
  <c r="DH332" i="1"/>
  <c r="BT330" i="1"/>
  <c r="AF328" i="1"/>
  <c r="CV325" i="1"/>
  <c r="BH323" i="1"/>
  <c r="T321" i="1"/>
  <c r="CJ318" i="1"/>
  <c r="AV316" i="1"/>
  <c r="H314" i="1"/>
  <c r="BX311" i="1"/>
  <c r="AJ309" i="1"/>
  <c r="CZ306" i="1"/>
  <c r="BL304" i="1"/>
  <c r="X302" i="1"/>
  <c r="CN299" i="1"/>
  <c r="AZ297" i="1"/>
  <c r="L295" i="1"/>
  <c r="CB292" i="1"/>
  <c r="BJ358" i="1"/>
  <c r="J349" i="1"/>
  <c r="N342" i="1"/>
  <c r="AU338" i="1"/>
  <c r="DC335" i="1"/>
  <c r="BO333" i="1"/>
  <c r="AA331" i="1"/>
  <c r="CQ328" i="1"/>
  <c r="BC326" i="1"/>
  <c r="O317" i="1"/>
  <c r="BS307" i="1"/>
  <c r="S298" i="1"/>
  <c r="I292" i="1"/>
  <c r="BC288" i="1"/>
  <c r="AK285" i="1"/>
  <c r="T282" i="1"/>
  <c r="DG278" i="1"/>
  <c r="CO275" i="1"/>
  <c r="BX272" i="1"/>
  <c r="BW269" i="1"/>
  <c r="AI267" i="1"/>
  <c r="CY264" i="1"/>
  <c r="BK262" i="1"/>
  <c r="W260" i="1"/>
  <c r="CM257" i="1"/>
  <c r="AY255" i="1"/>
  <c r="K253" i="1"/>
  <c r="CA250" i="1"/>
  <c r="AM248" i="1"/>
  <c r="DC245" i="1"/>
  <c r="BO243" i="1"/>
  <c r="AA241" i="1"/>
  <c r="CQ238" i="1"/>
  <c r="BC236" i="1"/>
  <c r="O234" i="1"/>
  <c r="CE231" i="1"/>
  <c r="AQ229" i="1"/>
  <c r="DG226" i="1"/>
  <c r="BS224" i="1"/>
  <c r="AE222" i="1"/>
  <c r="CU219" i="1"/>
  <c r="DC317" i="1"/>
  <c r="BC308" i="1"/>
  <c r="DG298" i="1"/>
  <c r="BC292" i="1"/>
  <c r="CI356" i="1"/>
  <c r="AA353" i="1"/>
  <c r="CQ350" i="1"/>
  <c r="BC348" i="1"/>
  <c r="O346" i="1"/>
  <c r="F357" i="1"/>
  <c r="BJ347" i="1"/>
  <c r="AM341" i="1"/>
  <c r="DB337" i="1"/>
  <c r="BN335" i="1"/>
  <c r="Z333" i="1"/>
  <c r="CP330" i="1"/>
  <c r="BB328" i="1"/>
  <c r="N326" i="1"/>
  <c r="CD323" i="1"/>
  <c r="AP321" i="1"/>
  <c r="DF318" i="1"/>
  <c r="BR316" i="1"/>
  <c r="AD314" i="1"/>
  <c r="CT311" i="1"/>
  <c r="BF309" i="1"/>
  <c r="R307" i="1"/>
  <c r="CH304" i="1"/>
  <c r="AT302" i="1"/>
  <c r="F300" i="1"/>
  <c r="BV297" i="1"/>
  <c r="AH295" i="1"/>
  <c r="CX292" i="1"/>
  <c r="BJ290" i="1"/>
  <c r="V288" i="1"/>
  <c r="CL285" i="1"/>
  <c r="AX283" i="1"/>
  <c r="J281" i="1"/>
  <c r="BZ278" i="1"/>
  <c r="AL276" i="1"/>
  <c r="DB273" i="1"/>
  <c r="BN271" i="1"/>
  <c r="CP356" i="1"/>
  <c r="AP347" i="1"/>
  <c r="AD341" i="1"/>
  <c r="CW337" i="1"/>
  <c r="BI335" i="1"/>
  <c r="U333" i="1"/>
  <c r="CK330" i="1"/>
  <c r="AW328" i="1"/>
  <c r="I326" i="1"/>
  <c r="BY323" i="1"/>
  <c r="AK321" i="1"/>
  <c r="DA318" i="1"/>
  <c r="BM316" i="1"/>
  <c r="Y314" i="1"/>
  <c r="CO311" i="1"/>
  <c r="BA309" i="1"/>
  <c r="M307" i="1"/>
  <c r="CC304" i="1"/>
  <c r="AO302" i="1"/>
  <c r="DE299" i="1"/>
  <c r="BQ297" i="1"/>
  <c r="BR359" i="1"/>
  <c r="R350" i="1"/>
  <c r="BS342" i="1"/>
  <c r="CH338" i="1"/>
  <c r="AB336" i="1"/>
  <c r="CR333" i="1"/>
  <c r="BD331" i="1"/>
  <c r="P329" i="1"/>
  <c r="CF326" i="1"/>
  <c r="AR324" i="1"/>
  <c r="DH321" i="1"/>
  <c r="BT319" i="1"/>
  <c r="AF317" i="1"/>
  <c r="CV314" i="1"/>
  <c r="BH312" i="1"/>
  <c r="T310" i="1"/>
  <c r="CJ307" i="1"/>
  <c r="AV305" i="1"/>
  <c r="H303" i="1"/>
  <c r="BX300" i="1"/>
  <c r="AJ298" i="1"/>
  <c r="CZ295" i="1"/>
  <c r="BL293" i="1"/>
  <c r="X291" i="1"/>
  <c r="BB352" i="1"/>
  <c r="CL343" i="1"/>
  <c r="BJ339" i="1"/>
  <c r="CM336" i="1"/>
  <c r="AY334" i="1"/>
  <c r="K332" i="1"/>
  <c r="CA329" i="1"/>
  <c r="AM327" i="1"/>
  <c r="BG320" i="1"/>
  <c r="G311" i="1"/>
  <c r="BK301" i="1"/>
  <c r="CG293" i="1"/>
  <c r="BQ289" i="1"/>
  <c r="AZ286" i="1"/>
  <c r="AI283" i="1"/>
  <c r="Q280" i="1"/>
  <c r="DD276" i="1"/>
  <c r="CM273" i="1"/>
  <c r="BU270" i="1"/>
  <c r="S268" i="1"/>
  <c r="CI265" i="1"/>
  <c r="AU263" i="1"/>
  <c r="G261" i="1"/>
  <c r="BW258" i="1"/>
  <c r="AI256" i="1"/>
  <c r="CY253" i="1"/>
  <c r="BK251" i="1"/>
  <c r="W249" i="1"/>
  <c r="CM246" i="1"/>
  <c r="AY244" i="1"/>
  <c r="K242" i="1"/>
  <c r="CA239" i="1"/>
  <c r="AM237" i="1"/>
  <c r="DC234" i="1"/>
  <c r="BO232" i="1"/>
  <c r="AA230" i="1"/>
  <c r="CQ227" i="1"/>
  <c r="BC225" i="1"/>
  <c r="O223" i="1"/>
  <c r="CE220" i="1"/>
  <c r="AQ321" i="1"/>
  <c r="CU311" i="1"/>
  <c r="AU302" i="1"/>
  <c r="W294" i="1"/>
  <c r="CV289" i="1"/>
  <c r="CE286" i="1"/>
  <c r="AU356" i="1"/>
  <c r="G353" i="1"/>
  <c r="BW350" i="1"/>
  <c r="AI348" i="1"/>
  <c r="CY345" i="1"/>
  <c r="AH356" i="1"/>
  <c r="CL346" i="1"/>
  <c r="DC340" i="1"/>
  <c r="CH337" i="1"/>
  <c r="AT335" i="1"/>
  <c r="F333" i="1"/>
  <c r="BV330" i="1"/>
  <c r="AH328" i="1"/>
  <c r="CX325" i="1"/>
  <c r="BJ323" i="1"/>
  <c r="V321" i="1"/>
  <c r="CL318" i="1"/>
  <c r="AX316" i="1"/>
  <c r="J314" i="1"/>
  <c r="BZ311" i="1"/>
  <c r="AL309" i="1"/>
  <c r="DB306" i="1"/>
  <c r="BN304" i="1"/>
  <c r="Z302" i="1"/>
  <c r="CP299" i="1"/>
  <c r="BB297" i="1"/>
  <c r="N295" i="1"/>
  <c r="CD292" i="1"/>
  <c r="AP290" i="1"/>
  <c r="DF287" i="1"/>
  <c r="BR285" i="1"/>
  <c r="AD283" i="1"/>
  <c r="CT280" i="1"/>
  <c r="BF278" i="1"/>
  <c r="R276" i="1"/>
  <c r="CH273" i="1"/>
  <c r="AT271" i="1"/>
  <c r="N356" i="1"/>
  <c r="BR346" i="1"/>
  <c r="CT340" i="1"/>
  <c r="CC337" i="1"/>
  <c r="AO335" i="1"/>
  <c r="DE332" i="1"/>
  <c r="BQ330" i="1"/>
  <c r="AC328" i="1"/>
  <c r="CS325" i="1"/>
  <c r="BE323" i="1"/>
  <c r="Q321" i="1"/>
  <c r="CG318" i="1"/>
  <c r="AS316" i="1"/>
  <c r="DI313" i="1"/>
  <c r="BU311" i="1"/>
  <c r="AG309" i="1"/>
  <c r="CW306" i="1"/>
  <c r="BI304" i="1"/>
  <c r="U302" i="1"/>
  <c r="CK299" i="1"/>
  <c r="AW297" i="1"/>
  <c r="CT358" i="1"/>
  <c r="AT349" i="1"/>
  <c r="AE342" i="1"/>
  <c r="BG338" i="1"/>
  <c r="H336" i="1"/>
  <c r="BX333" i="1"/>
  <c r="AJ331" i="1"/>
  <c r="CZ328" i="1"/>
  <c r="BL326" i="1"/>
  <c r="X324" i="1"/>
  <c r="CN321" i="1"/>
  <c r="AZ319" i="1"/>
  <c r="L317" i="1"/>
  <c r="CB314" i="1"/>
  <c r="AN312" i="1"/>
  <c r="DD309" i="1"/>
  <c r="BP307" i="1"/>
  <c r="AB305" i="1"/>
  <c r="CR302" i="1"/>
  <c r="BD300" i="1"/>
  <c r="P298" i="1"/>
  <c r="CF295" i="1"/>
  <c r="AR293" i="1"/>
  <c r="DH290" i="1"/>
  <c r="CD351" i="1"/>
  <c r="AX343" i="1"/>
  <c r="AI339" i="1"/>
  <c r="BS336" i="1"/>
  <c r="AE334" i="1"/>
  <c r="CU331" i="1"/>
  <c r="BG329" i="1"/>
  <c r="S327" i="1"/>
  <c r="CI319" i="1"/>
  <c r="AI310" i="1"/>
  <c r="CM300" i="1"/>
  <c r="AS293" i="1"/>
  <c r="AQ289" i="1"/>
  <c r="Y286" i="1"/>
  <c r="H283" i="1"/>
  <c r="CU279" i="1"/>
  <c r="CC276" i="1"/>
  <c r="BL273" i="1"/>
  <c r="AU270" i="1"/>
  <c r="DC267" i="1"/>
  <c r="BO265" i="1"/>
  <c r="AA263" i="1"/>
  <c r="CQ260" i="1"/>
  <c r="BC258" i="1"/>
  <c r="O256" i="1"/>
  <c r="CE253" i="1"/>
  <c r="AQ251" i="1"/>
  <c r="DG248" i="1"/>
  <c r="BS246" i="1"/>
  <c r="AE244" i="1"/>
  <c r="CU241" i="1"/>
  <c r="BG239" i="1"/>
  <c r="S237" i="1"/>
  <c r="CI234" i="1"/>
  <c r="AU232" i="1"/>
  <c r="G230" i="1"/>
  <c r="BW227" i="1"/>
  <c r="AI225" i="1"/>
  <c r="CY222" i="1"/>
  <c r="BK220" i="1"/>
  <c r="BS320" i="1"/>
  <c r="S311" i="1"/>
  <c r="BW301" i="1"/>
  <c r="CM293" i="1"/>
  <c r="BU289" i="1"/>
  <c r="BD286" i="1"/>
  <c r="AV284" i="1"/>
  <c r="AE281" i="1"/>
  <c r="M278" i="1"/>
  <c r="CZ274" i="1"/>
  <c r="CI271" i="1"/>
  <c r="DF268" i="1"/>
  <c r="BR266" i="1"/>
  <c r="AD264" i="1"/>
  <c r="CT261" i="1"/>
  <c r="BF259" i="1"/>
  <c r="R257" i="1"/>
  <c r="CH254" i="1"/>
  <c r="AT252" i="1"/>
  <c r="F250" i="1"/>
  <c r="BV247" i="1"/>
  <c r="AH245" i="1"/>
  <c r="CX242" i="1"/>
  <c r="BJ240" i="1"/>
  <c r="V238" i="1"/>
  <c r="CL235" i="1"/>
  <c r="AX233" i="1"/>
  <c r="J231" i="1"/>
  <c r="BZ228" i="1"/>
  <c r="AL226" i="1"/>
  <c r="DB223" i="1"/>
  <c r="BN221" i="1"/>
  <c r="BR314" i="1"/>
  <c r="CD305" i="1"/>
  <c r="F302" i="1"/>
  <c r="CX298" i="1"/>
  <c r="BV295" i="1"/>
  <c r="BJ292" i="1"/>
  <c r="AX289" i="1"/>
  <c r="V286" i="1"/>
  <c r="J283" i="1"/>
  <c r="DB279" i="1"/>
  <c r="BZ276" i="1"/>
  <c r="BN273" i="1"/>
  <c r="J271" i="1"/>
  <c r="CH354" i="1"/>
  <c r="AH345" i="1"/>
  <c r="AK340" i="1"/>
  <c r="AS337" i="1"/>
  <c r="DI334" i="1"/>
  <c r="BU332" i="1"/>
  <c r="AG330" i="1"/>
  <c r="CW327" i="1"/>
  <c r="BI325" i="1"/>
  <c r="U323" i="1"/>
  <c r="CK320" i="1"/>
  <c r="AW318" i="1"/>
  <c r="I316" i="1"/>
  <c r="BY313" i="1"/>
  <c r="AK311" i="1"/>
  <c r="DA308" i="1"/>
  <c r="BM306" i="1"/>
  <c r="Y304" i="1"/>
  <c r="CO301" i="1"/>
  <c r="BA299" i="1"/>
  <c r="M297" i="1"/>
  <c r="BJ357" i="1"/>
  <c r="J348" i="1"/>
  <c r="BO341" i="1"/>
  <c r="L338" i="1"/>
  <c r="CB335" i="1"/>
  <c r="AN333" i="1"/>
  <c r="DD330" i="1"/>
  <c r="BP328" i="1"/>
  <c r="AB326" i="1"/>
  <c r="CR323" i="1"/>
  <c r="BD321" i="1"/>
  <c r="P319" i="1"/>
  <c r="CF316" i="1"/>
  <c r="AR314" i="1"/>
  <c r="DH311" i="1"/>
  <c r="BT309" i="1"/>
  <c r="AF307" i="1"/>
  <c r="CV304" i="1"/>
  <c r="BH302" i="1"/>
  <c r="T300" i="1"/>
  <c r="CJ297" i="1"/>
  <c r="AV295" i="1"/>
  <c r="H293" i="1"/>
  <c r="CT359" i="1"/>
  <c r="AT350" i="1"/>
  <c r="CH342" i="1"/>
  <c r="CQ338" i="1"/>
  <c r="AI336" i="1"/>
  <c r="CY333" i="1"/>
  <c r="BK331" i="1"/>
  <c r="W329" i="1"/>
  <c r="CM326" i="1"/>
  <c r="AY318" i="1"/>
  <c r="DC308" i="1"/>
  <c r="BC299" i="1"/>
  <c r="CC292" i="1"/>
  <c r="CY288" i="1"/>
  <c r="CG285" i="1"/>
  <c r="BP282" i="1"/>
  <c r="AY279" i="1"/>
  <c r="AG276" i="1"/>
  <c r="P273" i="1"/>
  <c r="DG269" i="1"/>
  <c r="BS267" i="1"/>
  <c r="AE265" i="1"/>
  <c r="CU262" i="1"/>
  <c r="BG260" i="1"/>
  <c r="S258" i="1"/>
  <c r="CI255" i="1"/>
  <c r="AU253" i="1"/>
  <c r="G251" i="1"/>
  <c r="BW248" i="1"/>
  <c r="AI246" i="1"/>
  <c r="CY243" i="1"/>
  <c r="BK241" i="1"/>
  <c r="W239" i="1"/>
  <c r="CM236" i="1"/>
  <c r="AY234" i="1"/>
  <c r="K232" i="1"/>
  <c r="CA229" i="1"/>
  <c r="AM227" i="1"/>
  <c r="DC224" i="1"/>
  <c r="BO222" i="1"/>
  <c r="AA220" i="1"/>
  <c r="AI319" i="1"/>
  <c r="CM309" i="1"/>
  <c r="AM300" i="1"/>
  <c r="S293" i="1"/>
  <c r="Y289" i="1"/>
  <c r="AU358" i="1"/>
  <c r="DG353" i="1"/>
  <c r="BS351" i="1"/>
  <c r="AE349" i="1"/>
  <c r="CU346" i="1"/>
  <c r="R360" i="1"/>
  <c r="BV350" i="1"/>
  <c r="CU342" i="1"/>
  <c r="DA338" i="1"/>
  <c r="AP336" i="1"/>
  <c r="DF333" i="1"/>
  <c r="BR331" i="1"/>
  <c r="AD329" i="1"/>
  <c r="CT326" i="1"/>
  <c r="BF324" i="1"/>
  <c r="R322" i="1"/>
  <c r="CH319" i="1"/>
  <c r="AT317" i="1"/>
  <c r="F315" i="1"/>
  <c r="BV312" i="1"/>
  <c r="AH310" i="1"/>
  <c r="CX307" i="1"/>
  <c r="BJ305" i="1"/>
  <c r="V303" i="1"/>
  <c r="CL300" i="1"/>
  <c r="AX298" i="1"/>
  <c r="J296" i="1"/>
  <c r="BZ293" i="1"/>
  <c r="AL291" i="1"/>
  <c r="DB288" i="1"/>
  <c r="BN286" i="1"/>
  <c r="Z284" i="1"/>
  <c r="CP281" i="1"/>
  <c r="BB279" i="1"/>
  <c r="N277" i="1"/>
  <c r="CD274" i="1"/>
  <c r="AP272" i="1"/>
  <c r="DB359" i="1"/>
  <c r="BB350" i="1"/>
  <c r="CL342" i="1"/>
  <c r="CT338" i="1"/>
  <c r="AK336" i="1"/>
  <c r="DA333" i="1"/>
  <c r="BM331" i="1"/>
  <c r="Y329" i="1"/>
  <c r="CO326" i="1"/>
  <c r="BA324" i="1"/>
  <c r="M322" i="1"/>
  <c r="CC319" i="1"/>
  <c r="AO317" i="1"/>
  <c r="DE314" i="1"/>
  <c r="BQ312" i="1"/>
  <c r="AC310" i="1"/>
  <c r="CS307" i="1"/>
  <c r="BE305" i="1"/>
  <c r="Q303" i="1"/>
  <c r="CG300" i="1"/>
  <c r="AS298" i="1"/>
  <c r="DI295" i="1"/>
  <c r="AD353" i="1"/>
  <c r="W344" i="1"/>
  <c r="CL339" i="1"/>
  <c r="DH336" i="1"/>
  <c r="BT334" i="1"/>
  <c r="AF332" i="1"/>
  <c r="CV329" i="1"/>
  <c r="BH327" i="1"/>
  <c r="T325" i="1"/>
  <c r="CJ322" i="1"/>
  <c r="AV320" i="1"/>
  <c r="H318" i="1"/>
  <c r="BX315" i="1"/>
  <c r="AJ313" i="1"/>
  <c r="CZ310" i="1"/>
  <c r="BL308" i="1"/>
  <c r="X306" i="1"/>
  <c r="CN303" i="1"/>
  <c r="AZ301" i="1"/>
  <c r="L299" i="1"/>
  <c r="CB296" i="1"/>
  <c r="AN294" i="1"/>
  <c r="DD291" i="1"/>
  <c r="BN355" i="1"/>
  <c r="N346" i="1"/>
  <c r="BR340" i="1"/>
  <c r="BO337" i="1"/>
  <c r="AA335" i="1"/>
  <c r="CQ332" i="1"/>
  <c r="BC330" i="1"/>
  <c r="O328" i="1"/>
  <c r="BS323" i="1"/>
  <c r="S314" i="1"/>
  <c r="BW304" i="1"/>
  <c r="AK295" i="1"/>
  <c r="BU290" i="1"/>
  <c r="BD287" i="1"/>
  <c r="AM284" i="1"/>
  <c r="U281" i="1"/>
  <c r="DH277" i="1"/>
  <c r="CQ274" i="1"/>
  <c r="BY271" i="1"/>
  <c r="CY268" i="1"/>
  <c r="BK266" i="1"/>
  <c r="W264" i="1"/>
  <c r="CM261" i="1"/>
  <c r="AY259" i="1"/>
  <c r="K257" i="1"/>
  <c r="CA254" i="1"/>
  <c r="AM252" i="1"/>
  <c r="DC249" i="1"/>
  <c r="BO247" i="1"/>
  <c r="AA245" i="1"/>
  <c r="CQ242" i="1"/>
  <c r="BC240" i="1"/>
  <c r="O238" i="1"/>
  <c r="CE235" i="1"/>
  <c r="AQ233" i="1"/>
  <c r="DG230" i="1"/>
  <c r="BS228" i="1"/>
  <c r="AE226" i="1"/>
  <c r="CU223" i="1"/>
  <c r="BG221" i="1"/>
  <c r="BC324" i="1"/>
  <c r="DG314" i="1"/>
  <c r="BG305" i="1"/>
  <c r="G296" i="1"/>
  <c r="DG290" i="1"/>
  <c r="AI355" i="1"/>
  <c r="BC352" i="1"/>
  <c r="O350" i="1"/>
  <c r="CE347" i="1"/>
  <c r="AQ345" i="1"/>
  <c r="J354" i="1"/>
  <c r="BO344" i="1"/>
  <c r="K340" i="1"/>
  <c r="Z337" i="1"/>
  <c r="CP334" i="1"/>
  <c r="BB332" i="1"/>
  <c r="N330" i="1"/>
  <c r="CD327" i="1"/>
  <c r="AP325" i="1"/>
  <c r="DF322" i="1"/>
  <c r="BR320" i="1"/>
  <c r="AD318" i="1"/>
  <c r="CT315" i="1"/>
  <c r="BF313" i="1"/>
  <c r="R311" i="1"/>
  <c r="CH308" i="1"/>
  <c r="AT306" i="1"/>
  <c r="F304" i="1"/>
  <c r="BV301" i="1"/>
  <c r="AH299" i="1"/>
  <c r="CX296" i="1"/>
  <c r="BJ294" i="1"/>
  <c r="V292" i="1"/>
  <c r="CL289" i="1"/>
  <c r="AX287" i="1"/>
  <c r="J285" i="1"/>
  <c r="BZ282" i="1"/>
  <c r="AL280" i="1"/>
  <c r="DB277" i="1"/>
  <c r="BN275" i="1"/>
  <c r="Z273" i="1"/>
  <c r="CP270" i="1"/>
  <c r="CT353" i="1"/>
  <c r="BF344" i="1"/>
  <c r="DI339" i="1"/>
  <c r="U337" i="1"/>
  <c r="CK334" i="1"/>
  <c r="AW332" i="1"/>
  <c r="I330" i="1"/>
  <c r="BY327" i="1"/>
  <c r="AK325" i="1"/>
  <c r="DA322" i="1"/>
  <c r="BM320" i="1"/>
  <c r="Y318" i="1"/>
  <c r="CO315" i="1"/>
  <c r="BA313" i="1"/>
  <c r="M311" i="1"/>
  <c r="CC308" i="1"/>
  <c r="AO306" i="1"/>
  <c r="DE303" i="1"/>
  <c r="BQ301" i="1"/>
  <c r="AC299" i="1"/>
  <c r="CS296" i="1"/>
  <c r="BV356" i="1"/>
  <c r="V347" i="1"/>
  <c r="S341" i="1"/>
  <c r="CR337" i="1"/>
  <c r="BD335" i="1"/>
  <c r="P333" i="1"/>
  <c r="CF330" i="1"/>
  <c r="AR328" i="1"/>
  <c r="DH325" i="1"/>
  <c r="BT323" i="1"/>
  <c r="AF321" i="1"/>
  <c r="CV318" i="1"/>
  <c r="BH316" i="1"/>
  <c r="T314" i="1"/>
  <c r="CJ311" i="1"/>
  <c r="AV309" i="1"/>
  <c r="H307" i="1"/>
  <c r="BX304" i="1"/>
  <c r="AJ302" i="1"/>
  <c r="CZ299" i="1"/>
  <c r="BL297" i="1"/>
  <c r="X295" i="1"/>
  <c r="CN292" i="1"/>
  <c r="DF358" i="1"/>
  <c r="BF349" i="1"/>
  <c r="AL342" i="1"/>
  <c r="BK338" i="1"/>
  <c r="K336" i="1"/>
  <c r="CA333" i="1"/>
  <c r="AM331" i="1"/>
  <c r="DC328" i="1"/>
  <c r="BO326" i="1"/>
  <c r="BK317" i="1"/>
  <c r="K308" i="1"/>
  <c r="BO298" i="1"/>
  <c r="AG292" i="1"/>
  <c r="BS288" i="1"/>
  <c r="BA285" i="1"/>
  <c r="AJ282" i="1"/>
  <c r="S279" i="1"/>
  <c r="DE275" i="1"/>
  <c r="CN272" i="1"/>
  <c r="CI269" i="1"/>
  <c r="AU267" i="1"/>
  <c r="G265" i="1"/>
  <c r="BW262" i="1"/>
  <c r="AI260" i="1"/>
  <c r="CY257" i="1"/>
  <c r="BK255" i="1"/>
  <c r="W253" i="1"/>
  <c r="CM250" i="1"/>
  <c r="AY248" i="1"/>
  <c r="K246" i="1"/>
  <c r="CA243" i="1"/>
  <c r="AM241" i="1"/>
  <c r="DC238" i="1"/>
  <c r="BO236" i="1"/>
  <c r="AA234" i="1"/>
  <c r="CQ231" i="1"/>
  <c r="BC229" i="1"/>
  <c r="O227" i="1"/>
  <c r="CE224" i="1"/>
  <c r="AQ222" i="1"/>
  <c r="DG219" i="1"/>
  <c r="AU318" i="1"/>
  <c r="CY308" i="1"/>
  <c r="AY299" i="1"/>
  <c r="CA292" i="1"/>
  <c r="CW288" i="1"/>
  <c r="CF285" i="1"/>
  <c r="CY354" i="1"/>
  <c r="AI352" i="1"/>
  <c r="CY349" i="1"/>
  <c r="BK347" i="1"/>
  <c r="W345" i="1"/>
  <c r="AL353" i="1"/>
  <c r="AA344" i="1"/>
  <c r="CO339" i="1"/>
  <c r="F337" i="1"/>
  <c r="BV334" i="1"/>
  <c r="AH332" i="1"/>
  <c r="CX329" i="1"/>
  <c r="BJ327" i="1"/>
  <c r="V325" i="1"/>
  <c r="CL322" i="1"/>
  <c r="AX320" i="1"/>
  <c r="J318" i="1"/>
  <c r="BZ315" i="1"/>
  <c r="AL313" i="1"/>
  <c r="DB310" i="1"/>
  <c r="BN308" i="1"/>
  <c r="Z306" i="1"/>
  <c r="CP303" i="1"/>
  <c r="BB301" i="1"/>
  <c r="N299" i="1"/>
  <c r="CD296" i="1"/>
  <c r="AP294" i="1"/>
  <c r="DF291" i="1"/>
  <c r="BR289" i="1"/>
  <c r="AD287" i="1"/>
  <c r="CT284" i="1"/>
  <c r="BF282" i="1"/>
  <c r="R280" i="1"/>
  <c r="CH277" i="1"/>
  <c r="AT275" i="1"/>
  <c r="F273" i="1"/>
  <c r="BV270" i="1"/>
  <c r="R353" i="1"/>
  <c r="R344" i="1"/>
  <c r="CH339" i="1"/>
  <c r="DE336" i="1"/>
  <c r="BQ334" i="1"/>
  <c r="AC332" i="1"/>
  <c r="CS329" i="1"/>
  <c r="BE327" i="1"/>
  <c r="Q325" i="1"/>
  <c r="CG322" i="1"/>
  <c r="AS320" i="1"/>
  <c r="DI317" i="1"/>
  <c r="BU315" i="1"/>
  <c r="AG313" i="1"/>
  <c r="CW310" i="1"/>
  <c r="BI308" i="1"/>
  <c r="U306" i="1"/>
  <c r="CK303" i="1"/>
  <c r="AW301" i="1"/>
  <c r="I299" i="1"/>
  <c r="BY296" i="1"/>
  <c r="CX355" i="1"/>
  <c r="AX346" i="1"/>
  <c r="CI340" i="1"/>
  <c r="BX337" i="1"/>
  <c r="AJ335" i="1"/>
  <c r="CZ332" i="1"/>
  <c r="BL330" i="1"/>
  <c r="X328" i="1"/>
  <c r="CN325" i="1"/>
  <c r="AZ323" i="1"/>
  <c r="L321" i="1"/>
  <c r="CB318" i="1"/>
  <c r="AN316" i="1"/>
  <c r="DD313" i="1"/>
  <c r="BP311" i="1"/>
  <c r="AB309" i="1"/>
  <c r="CR306" i="1"/>
  <c r="BD304" i="1"/>
  <c r="P302" i="1"/>
  <c r="CF299" i="1"/>
  <c r="AR297" i="1"/>
  <c r="DH294" i="1"/>
  <c r="BT292" i="1"/>
  <c r="AD358" i="1"/>
  <c r="CH348" i="1"/>
  <c r="DB341" i="1"/>
  <c r="AK338" i="1"/>
  <c r="CU335" i="1"/>
  <c r="BG333" i="1"/>
  <c r="S331" i="1"/>
  <c r="CI328" i="1"/>
  <c r="AI326" i="1"/>
  <c r="CM316" i="1"/>
  <c r="AM307" i="1"/>
  <c r="CQ297" i="1"/>
  <c r="CW291" i="1"/>
  <c r="AR288" i="1"/>
  <c r="AA285" i="1"/>
  <c r="I282" i="1"/>
  <c r="CV278" i="1"/>
  <c r="CE275" i="1"/>
  <c r="BM272" i="1"/>
  <c r="BO269" i="1"/>
  <c r="AA267" i="1"/>
  <c r="CQ264" i="1"/>
  <c r="BC262" i="1"/>
  <c r="O260" i="1"/>
  <c r="CE257" i="1"/>
  <c r="AQ255" i="1"/>
  <c r="DG252" i="1"/>
  <c r="BS250" i="1"/>
  <c r="AE248" i="1"/>
  <c r="CU245" i="1"/>
  <c r="BG243" i="1"/>
  <c r="S241" i="1"/>
  <c r="CI238" i="1"/>
  <c r="AU236" i="1"/>
  <c r="G234" i="1"/>
  <c r="BW231" i="1"/>
  <c r="AI229" i="1"/>
  <c r="CY226" i="1"/>
  <c r="BK224" i="1"/>
  <c r="W222" i="1"/>
  <c r="CM219" i="1"/>
  <c r="BW317" i="1"/>
  <c r="W308" i="1"/>
  <c r="CA298" i="1"/>
  <c r="AM292" i="1"/>
  <c r="BW288" i="1"/>
  <c r="BL288" i="1"/>
  <c r="AW283" i="1"/>
  <c r="AF280" i="1"/>
  <c r="O277" i="1"/>
  <c r="DA273" i="1"/>
  <c r="CJ270" i="1"/>
  <c r="AD268" i="1"/>
  <c r="CT265" i="1"/>
  <c r="BF263" i="1"/>
  <c r="R261" i="1"/>
  <c r="CH258" i="1"/>
  <c r="AT256" i="1"/>
  <c r="F254" i="1"/>
  <c r="BV251" i="1"/>
  <c r="AH249" i="1"/>
  <c r="CX246" i="1"/>
  <c r="BJ244" i="1"/>
  <c r="V242" i="1"/>
  <c r="CL239" i="1"/>
  <c r="AX237" i="1"/>
  <c r="J235" i="1"/>
  <c r="BZ232" i="1"/>
  <c r="AL230" i="1"/>
  <c r="DB227" i="1"/>
  <c r="BN225" i="1"/>
  <c r="Z223" i="1"/>
  <c r="CP220" i="1"/>
  <c r="BV311" i="1"/>
  <c r="AD304" i="1"/>
  <c r="DF300" i="1"/>
  <c r="CT297" i="1"/>
  <c r="CH294" i="1"/>
  <c r="BF291" i="1"/>
  <c r="AT288" i="1"/>
  <c r="AH285" i="1"/>
  <c r="F282" i="1"/>
  <c r="CX278" i="1"/>
  <c r="CL275" i="1"/>
  <c r="BZ272" i="1"/>
  <c r="AL270" i="1"/>
  <c r="CL351" i="1"/>
  <c r="BB343" i="1"/>
  <c r="AL339" i="1"/>
  <c r="BU336" i="1"/>
  <c r="AG334" i="1"/>
  <c r="CW331" i="1"/>
  <c r="BI329" i="1"/>
  <c r="U327" i="1"/>
  <c r="CK324" i="1"/>
  <c r="AW322" i="1"/>
  <c r="I320" i="1"/>
  <c r="BY317" i="1"/>
  <c r="AK315" i="1"/>
  <c r="DA312" i="1"/>
  <c r="BM310" i="1"/>
  <c r="Y308" i="1"/>
  <c r="CO305" i="1"/>
  <c r="BA303" i="1"/>
  <c r="M301" i="1"/>
  <c r="CC298" i="1"/>
  <c r="AO296" i="1"/>
  <c r="BN354" i="1"/>
  <c r="N345" i="1"/>
  <c r="AD340" i="1"/>
  <c r="AN337" i="1"/>
  <c r="DD334" i="1"/>
  <c r="BP332" i="1"/>
  <c r="AB330" i="1"/>
  <c r="CR327" i="1"/>
  <c r="BD325" i="1"/>
  <c r="P323" i="1"/>
  <c r="CF320" i="1"/>
  <c r="AR318" i="1"/>
  <c r="DH315" i="1"/>
  <c r="BT313" i="1"/>
  <c r="AF311" i="1"/>
  <c r="CV308" i="1"/>
  <c r="BH306" i="1"/>
  <c r="T304" i="1"/>
  <c r="CJ301" i="1"/>
  <c r="AV299" i="1"/>
  <c r="H297" i="1"/>
  <c r="BX294" i="1"/>
  <c r="AJ292" i="1"/>
  <c r="CX356" i="1"/>
  <c r="AX347" i="1"/>
  <c r="AH341" i="1"/>
  <c r="CY337" i="1"/>
  <c r="BK335" i="1"/>
  <c r="W333" i="1"/>
  <c r="CM330" i="1"/>
  <c r="AY328" i="1"/>
  <c r="DC324" i="1"/>
  <c r="BC315" i="1"/>
  <c r="DG305" i="1"/>
  <c r="BG296" i="1"/>
  <c r="AC291" i="1"/>
  <c r="CZ287" i="1"/>
  <c r="CI284" i="1"/>
  <c r="BQ281" i="1"/>
  <c r="AZ278" i="1"/>
  <c r="AI275" i="1"/>
  <c r="Q272" i="1"/>
  <c r="AE269" i="1"/>
  <c r="CU266" i="1"/>
  <c r="BG264" i="1"/>
  <c r="S262" i="1"/>
  <c r="CI259" i="1"/>
  <c r="AU257" i="1"/>
  <c r="G255" i="1"/>
  <c r="BW252" i="1"/>
  <c r="AI250" i="1"/>
  <c r="CY247" i="1"/>
  <c r="BK245" i="1"/>
  <c r="W243" i="1"/>
  <c r="CM240" i="1"/>
  <c r="AY238" i="1"/>
  <c r="K236" i="1"/>
  <c r="CA233" i="1"/>
  <c r="AM231" i="1"/>
  <c r="DC228" i="1"/>
  <c r="BO226" i="1"/>
  <c r="AA224" i="1"/>
  <c r="CQ221" i="1"/>
  <c r="CM325" i="1"/>
  <c r="AM316" i="1"/>
  <c r="CQ306" i="1"/>
  <c r="AQ297" i="1"/>
  <c r="BW291" i="1"/>
  <c r="AA288" i="1"/>
  <c r="CQ356" i="1"/>
  <c r="AE353" i="1"/>
  <c r="CU350" i="1"/>
  <c r="BG348" i="1"/>
  <c r="S346" i="1"/>
  <c r="V357" i="1"/>
  <c r="BZ347" i="1"/>
  <c r="AU341" i="1"/>
  <c r="DF337" i="1"/>
  <c r="BR335" i="1"/>
  <c r="AD333" i="1"/>
  <c r="CT330" i="1"/>
  <c r="BF328" i="1"/>
  <c r="R326" i="1"/>
  <c r="CH323" i="1"/>
  <c r="AT321" i="1"/>
  <c r="F319" i="1"/>
  <c r="BV316" i="1"/>
  <c r="AH314" i="1"/>
  <c r="CX311" i="1"/>
  <c r="BJ309" i="1"/>
  <c r="V307" i="1"/>
  <c r="CL304" i="1"/>
  <c r="AX302" i="1"/>
  <c r="J300" i="1"/>
  <c r="BZ297" i="1"/>
  <c r="AL295" i="1"/>
  <c r="DB292" i="1"/>
  <c r="BN290" i="1"/>
  <c r="Z288" i="1"/>
  <c r="CP285" i="1"/>
  <c r="BB283" i="1"/>
  <c r="N281" i="1"/>
  <c r="CD278" i="1"/>
  <c r="AP276" i="1"/>
  <c r="DF273" i="1"/>
  <c r="BR271" i="1"/>
  <c r="DF356" i="1"/>
  <c r="BF347" i="1"/>
  <c r="AL341" i="1"/>
  <c r="DA337" i="1"/>
  <c r="BM335" i="1"/>
  <c r="Y333" i="1"/>
  <c r="CO330" i="1"/>
  <c r="BA328" i="1"/>
  <c r="M326" i="1"/>
  <c r="CC323" i="1"/>
  <c r="AO321" i="1"/>
  <c r="DE318" i="1"/>
  <c r="BQ316" i="1"/>
  <c r="AC314" i="1"/>
  <c r="CS311" i="1"/>
  <c r="BE309" i="1"/>
  <c r="Q307" i="1"/>
  <c r="CG304" i="1"/>
  <c r="AS302" i="1"/>
  <c r="DI299" i="1"/>
  <c r="BU297" i="1"/>
  <c r="CH359" i="1"/>
  <c r="AH350" i="1"/>
  <c r="CA342" i="1"/>
  <c r="CM338" i="1"/>
  <c r="AF336" i="1"/>
  <c r="CV333" i="1"/>
  <c r="BH331" i="1"/>
  <c r="T329" i="1"/>
  <c r="CJ326" i="1"/>
  <c r="AV324" i="1"/>
  <c r="H322" i="1"/>
  <c r="BX319" i="1"/>
  <c r="AJ317" i="1"/>
  <c r="CZ314" i="1"/>
  <c r="BL312" i="1"/>
  <c r="X310" i="1"/>
  <c r="CN307" i="1"/>
  <c r="AZ305" i="1"/>
  <c r="L303" i="1"/>
  <c r="CB300" i="1"/>
  <c r="AN298" i="1"/>
  <c r="DD295" i="1"/>
  <c r="BP293" i="1"/>
  <c r="AB291" i="1"/>
  <c r="BR352" i="1"/>
  <c r="CT343" i="1"/>
  <c r="BO339" i="1"/>
  <c r="CQ336" i="1"/>
  <c r="BC334" i="1"/>
  <c r="O332" i="1"/>
  <c r="CE329" i="1"/>
  <c r="AQ327" i="1"/>
  <c r="BW320" i="1"/>
  <c r="W311" i="1"/>
  <c r="CA301" i="1"/>
  <c r="CO293" i="1"/>
  <c r="BW289" i="1"/>
  <c r="BE286" i="1"/>
  <c r="AN283" i="1"/>
  <c r="W280" i="1"/>
  <c r="DI276" i="1"/>
  <c r="CR273" i="1"/>
  <c r="CA270" i="1"/>
  <c r="W268" i="1"/>
  <c r="CM265" i="1"/>
  <c r="AY263" i="1"/>
  <c r="K261" i="1"/>
  <c r="CA258" i="1"/>
  <c r="AM256" i="1"/>
  <c r="DC253" i="1"/>
  <c r="BO251" i="1"/>
  <c r="AA249" i="1"/>
  <c r="CQ246" i="1"/>
  <c r="BC244" i="1"/>
  <c r="O242" i="1"/>
  <c r="CE239" i="1"/>
  <c r="AQ237" i="1"/>
  <c r="DG234" i="1"/>
  <c r="BS232" i="1"/>
  <c r="AE230" i="1"/>
  <c r="CU227" i="1"/>
  <c r="BG225" i="1"/>
  <c r="S223" i="1"/>
  <c r="CI220" i="1"/>
  <c r="BG321" i="1"/>
  <c r="G312" i="1"/>
  <c r="BK302" i="1"/>
  <c r="AE294" i="1"/>
  <c r="CQ358" i="1"/>
  <c r="O354" i="1"/>
  <c r="CE351" i="1"/>
  <c r="AQ349" i="1"/>
  <c r="DG346" i="1"/>
  <c r="BS344" i="1"/>
  <c r="N351" i="1"/>
  <c r="O343" i="1"/>
  <c r="M339" i="1"/>
  <c r="BB336" i="1"/>
  <c r="N334" i="1"/>
  <c r="CD331" i="1"/>
  <c r="AP329" i="1"/>
  <c r="DF326" i="1"/>
  <c r="BR324" i="1"/>
  <c r="AD322" i="1"/>
  <c r="CT319" i="1"/>
  <c r="BF317" i="1"/>
  <c r="R315" i="1"/>
  <c r="CH312" i="1"/>
  <c r="AT310" i="1"/>
  <c r="F308" i="1"/>
  <c r="BV305" i="1"/>
  <c r="AH303" i="1"/>
  <c r="CX300" i="1"/>
  <c r="BJ298" i="1"/>
  <c r="V296" i="1"/>
  <c r="CL293" i="1"/>
  <c r="AX291" i="1"/>
  <c r="J289" i="1"/>
  <c r="BZ286" i="1"/>
  <c r="AL284" i="1"/>
  <c r="DB281" i="1"/>
  <c r="BN279" i="1"/>
  <c r="Z277" i="1"/>
  <c r="CP274" i="1"/>
  <c r="BB272" i="1"/>
  <c r="AT360" i="1"/>
  <c r="CX350" i="1"/>
  <c r="F343" i="1"/>
  <c r="F339" i="1"/>
  <c r="AW336" i="1"/>
  <c r="I334" i="1"/>
  <c r="BY331" i="1"/>
  <c r="AK329" i="1"/>
  <c r="DA326" i="1"/>
  <c r="BM324" i="1"/>
  <c r="Y322" i="1"/>
  <c r="CO319" i="1"/>
  <c r="BA317" i="1"/>
  <c r="M315" i="1"/>
  <c r="CC312" i="1"/>
  <c r="AO310" i="1"/>
  <c r="DE307" i="1"/>
  <c r="BQ305" i="1"/>
  <c r="AC303" i="1"/>
  <c r="CS300" i="1"/>
  <c r="BE298" i="1"/>
  <c r="Q296" i="1"/>
  <c r="BZ353" i="1"/>
  <c r="AU344" i="1"/>
  <c r="DB339" i="1"/>
  <c r="P337" i="1"/>
  <c r="CF334" i="1"/>
  <c r="AR332" i="1"/>
  <c r="DH329" i="1"/>
  <c r="BT327" i="1"/>
  <c r="AF325" i="1"/>
  <c r="CV322" i="1"/>
  <c r="BH320" i="1"/>
  <c r="T318" i="1"/>
  <c r="CJ315" i="1"/>
  <c r="AV313" i="1"/>
  <c r="H311" i="1"/>
  <c r="BX308" i="1"/>
  <c r="AJ306" i="1"/>
  <c r="CZ303" i="1"/>
  <c r="BL301" i="1"/>
  <c r="X299" i="1"/>
  <c r="CN296" i="1"/>
  <c r="AZ294" i="1"/>
  <c r="L292" i="1"/>
  <c r="F356" i="1"/>
  <c r="BJ346" i="1"/>
  <c r="CP340" i="1"/>
  <c r="CA337" i="1"/>
  <c r="AM335" i="1"/>
  <c r="DC332" i="1"/>
  <c r="BO330" i="1"/>
  <c r="AA328" i="1"/>
  <c r="K324" i="1"/>
  <c r="BO314" i="1"/>
  <c r="O305" i="1"/>
  <c r="BS295" i="1"/>
  <c r="CK290" i="1"/>
  <c r="BT287" i="1"/>
  <c r="BC284" i="1"/>
  <c r="AK281" i="1"/>
  <c r="T278" i="1"/>
  <c r="DG274" i="1"/>
  <c r="CO271" i="1"/>
  <c r="G269" i="1"/>
  <c r="BW266" i="1"/>
  <c r="AI264" i="1"/>
  <c r="CY261" i="1"/>
  <c r="BK259" i="1"/>
  <c r="W257" i="1"/>
  <c r="CM254" i="1"/>
  <c r="AY252" i="1"/>
  <c r="K250" i="1"/>
  <c r="CA247" i="1"/>
  <c r="AM245" i="1"/>
  <c r="DC242" i="1"/>
  <c r="BO240" i="1"/>
  <c r="AA238" i="1"/>
  <c r="CQ235" i="1"/>
  <c r="BC233" i="1"/>
  <c r="O231" i="1"/>
  <c r="CE228" i="1"/>
  <c r="AQ226" i="1"/>
  <c r="DG223" i="1"/>
  <c r="BS221" i="1"/>
  <c r="CY324" i="1"/>
  <c r="AY315" i="1"/>
  <c r="DC305" i="1"/>
  <c r="BC296" i="1"/>
  <c r="AA291" i="1"/>
  <c r="CY287" i="1"/>
  <c r="W358" i="1"/>
  <c r="CY353" i="1"/>
  <c r="BK351" i="1"/>
  <c r="W349" i="1"/>
  <c r="CM346" i="1"/>
  <c r="CP359" i="1"/>
  <c r="AP350" i="1"/>
  <c r="CE342" i="1"/>
  <c r="CP338" i="1"/>
  <c r="AH336" i="1"/>
  <c r="CX333" i="1"/>
  <c r="BJ331" i="1"/>
  <c r="V329" i="1"/>
  <c r="CL326" i="1"/>
  <c r="AX324" i="1"/>
  <c r="J322" i="1"/>
  <c r="BZ319" i="1"/>
  <c r="AL317" i="1"/>
  <c r="DB314" i="1"/>
  <c r="BN312" i="1"/>
  <c r="Z310" i="1"/>
  <c r="CP307" i="1"/>
  <c r="BB305" i="1"/>
  <c r="N303" i="1"/>
  <c r="CD300" i="1"/>
  <c r="AP298" i="1"/>
  <c r="DF295" i="1"/>
  <c r="BR293" i="1"/>
  <c r="AD291" i="1"/>
  <c r="CT288" i="1"/>
  <c r="BF286" i="1"/>
  <c r="R284" i="1"/>
  <c r="CH281" i="1"/>
  <c r="AX313" i="1"/>
  <c r="R305" i="1"/>
  <c r="BN301" i="1"/>
  <c r="BB298" i="1"/>
  <c r="AP295" i="1"/>
  <c r="N292" i="1"/>
  <c r="DF288" i="1"/>
  <c r="CT285" i="1"/>
  <c r="BR282" i="1"/>
  <c r="BF279" i="1"/>
  <c r="AT276" i="1"/>
  <c r="R273" i="1"/>
  <c r="CH270" i="1"/>
  <c r="BN353" i="1"/>
  <c r="AP344" i="1"/>
  <c r="CX339" i="1"/>
  <c r="M337" i="1"/>
  <c r="CC334" i="1"/>
  <c r="AO332" i="1"/>
  <c r="DE329" i="1"/>
  <c r="BQ327" i="1"/>
  <c r="AC325" i="1"/>
  <c r="CS322" i="1"/>
  <c r="BE320" i="1"/>
  <c r="Q318" i="1"/>
  <c r="CG315" i="1"/>
  <c r="AS313" i="1"/>
  <c r="DI310" i="1"/>
  <c r="BU308" i="1"/>
  <c r="AG306" i="1"/>
  <c r="CW303" i="1"/>
  <c r="BI301" i="1"/>
  <c r="U299" i="1"/>
  <c r="CK296" i="1"/>
  <c r="AP356" i="1"/>
  <c r="CT346" i="1"/>
  <c r="DG340" i="1"/>
  <c r="CJ337" i="1"/>
  <c r="AV335" i="1"/>
  <c r="H333" i="1"/>
  <c r="BX330" i="1"/>
  <c r="AJ328" i="1"/>
  <c r="CZ325" i="1"/>
  <c r="BL323" i="1"/>
  <c r="X321" i="1"/>
  <c r="CN318" i="1"/>
  <c r="AZ316" i="1"/>
  <c r="L314" i="1"/>
  <c r="CB311" i="1"/>
  <c r="AN309" i="1"/>
  <c r="DD306" i="1"/>
  <c r="BP304" i="1"/>
  <c r="AB302" i="1"/>
  <c r="CR299" i="1"/>
  <c r="BD297" i="1"/>
  <c r="P295" i="1"/>
  <c r="CF292" i="1"/>
  <c r="BZ358" i="1"/>
  <c r="Z349" i="1"/>
  <c r="V342" i="1"/>
  <c r="BA338" i="1"/>
  <c r="DG335" i="1"/>
  <c r="BS333" i="1"/>
  <c r="AE331" i="1"/>
  <c r="CU328" i="1"/>
  <c r="BG326" i="1"/>
  <c r="AE317" i="1"/>
  <c r="CI307" i="1"/>
  <c r="AI298" i="1"/>
  <c r="Q292" i="1"/>
  <c r="BH288" i="1"/>
  <c r="AQ285" i="1"/>
  <c r="Y282" i="1"/>
  <c r="H279" i="1"/>
  <c r="CU275" i="1"/>
  <c r="CC272" i="1"/>
  <c r="CA269" i="1"/>
  <c r="AM267" i="1"/>
  <c r="DC264" i="1"/>
  <c r="BO262" i="1"/>
  <c r="AA260" i="1"/>
  <c r="CQ257" i="1"/>
  <c r="BC255" i="1"/>
  <c r="O253" i="1"/>
  <c r="CE250" i="1"/>
  <c r="AQ248" i="1"/>
  <c r="DG245" i="1"/>
  <c r="BS243" i="1"/>
  <c r="AE241" i="1"/>
  <c r="CU238" i="1"/>
  <c r="BG236" i="1"/>
  <c r="S234" i="1"/>
  <c r="CI231" i="1"/>
  <c r="AU229" i="1"/>
  <c r="BE377" i="1"/>
  <c r="DI367" i="1"/>
  <c r="M361" i="1"/>
  <c r="CC355" i="1"/>
  <c r="DE350" i="1"/>
  <c r="AC346" i="1"/>
  <c r="BE341" i="1"/>
  <c r="T410" i="1"/>
  <c r="AV405" i="1"/>
  <c r="BX400" i="1"/>
  <c r="CZ395" i="1"/>
  <c r="X391" i="1"/>
  <c r="AZ386" i="1"/>
  <c r="CB381" i="1"/>
  <c r="DD376" i="1"/>
  <c r="AB372" i="1"/>
  <c r="BD367" i="1"/>
  <c r="CF362" i="1"/>
  <c r="BX380" i="1"/>
  <c r="BX372" i="1"/>
  <c r="AZ366" i="1"/>
  <c r="L360" i="1"/>
  <c r="AN355" i="1"/>
  <c r="BP350" i="1"/>
  <c r="CR345" i="1"/>
  <c r="P341" i="1"/>
  <c r="W412" i="1"/>
  <c r="AY407" i="1"/>
  <c r="CA402" i="1"/>
  <c r="DC397" i="1"/>
  <c r="AA393" i="1"/>
  <c r="BC388" i="1"/>
  <c r="CE383" i="1"/>
  <c r="DG378" i="1"/>
  <c r="AE374" i="1"/>
  <c r="BG369" i="1"/>
  <c r="CI364" i="1"/>
  <c r="G360" i="1"/>
  <c r="Q356" i="1"/>
  <c r="AS351" i="1"/>
  <c r="BU346" i="1"/>
  <c r="CW341" i="1"/>
  <c r="BL410" i="1"/>
  <c r="CN405" i="1"/>
  <c r="L401" i="1"/>
  <c r="AN396" i="1"/>
  <c r="BP391" i="1"/>
  <c r="CR386" i="1"/>
  <c r="P382" i="1"/>
  <c r="AR377" i="1"/>
  <c r="BT372" i="1"/>
  <c r="CV367" i="1"/>
  <c r="T363" i="1"/>
  <c r="AV358" i="1"/>
  <c r="BX353" i="1"/>
  <c r="CZ348" i="1"/>
  <c r="X344" i="1"/>
  <c r="AZ339" i="1"/>
  <c r="BG410" i="1"/>
  <c r="CI405" i="1"/>
  <c r="G401" i="1"/>
  <c r="AI396" i="1"/>
  <c r="BK391" i="1"/>
  <c r="CM386" i="1"/>
  <c r="K382" i="1"/>
  <c r="AM377" i="1"/>
  <c r="BO372" i="1"/>
  <c r="CQ367" i="1"/>
  <c r="O363" i="1"/>
  <c r="AQ358" i="1"/>
  <c r="Q360" i="1"/>
  <c r="I355" i="1"/>
  <c r="AK350" i="1"/>
  <c r="BM345" i="1"/>
  <c r="CO340" i="1"/>
  <c r="BD409" i="1"/>
  <c r="CF404" i="1"/>
  <c r="DH399" i="1"/>
  <c r="AF395" i="1"/>
  <c r="BH390" i="1"/>
  <c r="CJ385" i="1"/>
  <c r="H381" i="1"/>
  <c r="AJ376" i="1"/>
  <c r="BL371" i="1"/>
  <c r="CN366" i="1"/>
  <c r="L362" i="1"/>
  <c r="AN357" i="1"/>
  <c r="BP352" i="1"/>
  <c r="CR347" i="1"/>
  <c r="P343" i="1"/>
  <c r="AR338" i="1"/>
  <c r="AY409" i="1"/>
  <c r="CA404" i="1"/>
  <c r="DC399" i="1"/>
  <c r="AA395" i="1"/>
  <c r="BC390" i="1"/>
  <c r="CE385" i="1"/>
  <c r="DG380" i="1"/>
  <c r="AE376" i="1"/>
  <c r="BG371" i="1"/>
  <c r="CI366" i="1"/>
  <c r="G362" i="1"/>
  <c r="CW359" i="1"/>
  <c r="CS354" i="1"/>
  <c r="Q350" i="1"/>
  <c r="AS345" i="1"/>
  <c r="BU340" i="1"/>
  <c r="AJ409" i="1"/>
  <c r="BL404" i="1"/>
  <c r="CN399" i="1"/>
  <c r="L395" i="1"/>
  <c r="AN390" i="1"/>
  <c r="BP385" i="1"/>
  <c r="CR380" i="1"/>
  <c r="P376" i="1"/>
  <c r="AR371" i="1"/>
  <c r="BT366" i="1"/>
  <c r="CV361" i="1"/>
  <c r="T357" i="1"/>
  <c r="AV352" i="1"/>
  <c r="BX347" i="1"/>
  <c r="CZ342" i="1"/>
  <c r="X338" i="1"/>
  <c r="AE409" i="1"/>
  <c r="BG404" i="1"/>
  <c r="CI399" i="1"/>
  <c r="G395" i="1"/>
  <c r="AI390" i="1"/>
  <c r="BK385" i="1"/>
  <c r="CM380" i="1"/>
  <c r="K376" i="1"/>
  <c r="AM371" i="1"/>
  <c r="BO366" i="1"/>
  <c r="CQ361" i="1"/>
  <c r="O357" i="1"/>
  <c r="S355" i="1"/>
  <c r="G350" i="1"/>
  <c r="AI345" i="1"/>
  <c r="AY344" i="1"/>
  <c r="R337" i="1"/>
  <c r="AT332" i="1"/>
  <c r="BV327" i="1"/>
  <c r="CX322" i="1"/>
  <c r="V318" i="1"/>
  <c r="AB380" i="1"/>
  <c r="BH372" i="1"/>
  <c r="T366" i="1"/>
  <c r="CZ359" i="1"/>
  <c r="X355" i="1"/>
  <c r="AZ350" i="1"/>
  <c r="CB345" i="1"/>
  <c r="DD340" i="1"/>
  <c r="G412" i="1"/>
  <c r="AI407" i="1"/>
  <c r="BK402" i="1"/>
  <c r="CM397" i="1"/>
  <c r="K393" i="1"/>
  <c r="AM388" i="1"/>
  <c r="BO383" i="1"/>
  <c r="CQ378" i="1"/>
  <c r="O374" i="1"/>
  <c r="AQ369" i="1"/>
  <c r="BS364" i="1"/>
  <c r="CU359" i="1"/>
  <c r="DE355" i="1"/>
  <c r="AC351" i="1"/>
  <c r="BE346" i="1"/>
  <c r="CG341" i="1"/>
  <c r="AV410" i="1"/>
  <c r="BX405" i="1"/>
  <c r="CZ400" i="1"/>
  <c r="X396" i="1"/>
  <c r="AZ391" i="1"/>
  <c r="CB386" i="1"/>
  <c r="DD381" i="1"/>
  <c r="AB377" i="1"/>
  <c r="BD372" i="1"/>
  <c r="CF367" i="1"/>
  <c r="DH362" i="1"/>
  <c r="AF358" i="1"/>
  <c r="BH353" i="1"/>
  <c r="CJ348" i="1"/>
  <c r="H344" i="1"/>
  <c r="AJ339" i="1"/>
  <c r="AQ410" i="1"/>
  <c r="BS405" i="1"/>
  <c r="CU400" i="1"/>
  <c r="S396" i="1"/>
  <c r="AU391" i="1"/>
  <c r="BW386" i="1"/>
  <c r="CY381" i="1"/>
  <c r="W377" i="1"/>
  <c r="AY372" i="1"/>
  <c r="CA367" i="1"/>
  <c r="DC362" i="1"/>
  <c r="AA358" i="1"/>
  <c r="DA359" i="1"/>
  <c r="CW354" i="1"/>
  <c r="U350" i="1"/>
  <c r="AW345" i="1"/>
  <c r="BY340" i="1"/>
  <c r="AN409" i="1"/>
  <c r="BP404" i="1"/>
  <c r="CR399" i="1"/>
  <c r="P395" i="1"/>
  <c r="AR390" i="1"/>
  <c r="BT385" i="1"/>
  <c r="CV380" i="1"/>
  <c r="T376" i="1"/>
  <c r="AV371" i="1"/>
  <c r="BX366" i="1"/>
  <c r="CZ361" i="1"/>
  <c r="X357" i="1"/>
  <c r="AZ352" i="1"/>
  <c r="CB347" i="1"/>
  <c r="DD342" i="1"/>
  <c r="AB338" i="1"/>
  <c r="AI409" i="1"/>
  <c r="BK404" i="1"/>
  <c r="CM399" i="1"/>
  <c r="K395" i="1"/>
  <c r="AM390" i="1"/>
  <c r="BO385" i="1"/>
  <c r="CQ380" i="1"/>
  <c r="O376" i="1"/>
  <c r="AQ371" i="1"/>
  <c r="BS366" i="1"/>
  <c r="CU361" i="1"/>
  <c r="BY359" i="1"/>
  <c r="CC354" i="1"/>
  <c r="DE349" i="1"/>
  <c r="AC345" i="1"/>
  <c r="DC413" i="1"/>
  <c r="T409" i="1"/>
  <c r="AV404" i="1"/>
  <c r="BX399" i="1"/>
  <c r="CZ394" i="1"/>
  <c r="X390" i="1"/>
  <c r="AZ385" i="1"/>
  <c r="CB380" i="1"/>
  <c r="DD375" i="1"/>
  <c r="AB371" i="1"/>
  <c r="BD366" i="1"/>
  <c r="CF361" i="1"/>
  <c r="DH356" i="1"/>
  <c r="AF352" i="1"/>
  <c r="BH347" i="1"/>
  <c r="CJ342" i="1"/>
  <c r="CS413" i="1"/>
  <c r="O409" i="1"/>
  <c r="AQ404" i="1"/>
  <c r="BS399" i="1"/>
  <c r="CU394" i="1"/>
  <c r="S390" i="1"/>
  <c r="AU385" i="1"/>
  <c r="BW380" i="1"/>
  <c r="CY375" i="1"/>
  <c r="W371" i="1"/>
  <c r="AY366" i="1"/>
  <c r="CA361" i="1"/>
  <c r="DC356" i="1"/>
  <c r="CQ354" i="1"/>
  <c r="CU349" i="1"/>
  <c r="S345" i="1"/>
  <c r="S344" i="1"/>
  <c r="DF336" i="1"/>
  <c r="AD332" i="1"/>
  <c r="BF327" i="1"/>
  <c r="CH322" i="1"/>
  <c r="F318" i="1"/>
  <c r="AH313" i="1"/>
  <c r="BJ308" i="1"/>
  <c r="BT383" i="1"/>
  <c r="CF374" i="1"/>
  <c r="AR368" i="1"/>
  <c r="DH361" i="1"/>
  <c r="CN356" i="1"/>
  <c r="L352" i="1"/>
  <c r="AN347" i="1"/>
  <c r="BP342" i="1"/>
  <c r="BW413" i="1"/>
  <c r="CY408" i="1"/>
  <c r="W404" i="1"/>
  <c r="AY399" i="1"/>
  <c r="CA394" i="1"/>
  <c r="DC389" i="1"/>
  <c r="AA385" i="1"/>
  <c r="BC380" i="1"/>
  <c r="CE375" i="1"/>
  <c r="DG370" i="1"/>
  <c r="AE366" i="1"/>
  <c r="BG361" i="1"/>
  <c r="BQ357" i="1"/>
  <c r="CS352" i="1"/>
  <c r="Q348" i="1"/>
  <c r="AS343" i="1"/>
  <c r="H412" i="1"/>
  <c r="AJ407" i="1"/>
  <c r="BL402" i="1"/>
  <c r="CN397" i="1"/>
  <c r="L393" i="1"/>
  <c r="AN388" i="1"/>
  <c r="BP383" i="1"/>
  <c r="CR378" i="1"/>
  <c r="P374" i="1"/>
  <c r="AR369" i="1"/>
  <c r="BT364" i="1"/>
  <c r="CV359" i="1"/>
  <c r="T355" i="1"/>
  <c r="AV350" i="1"/>
  <c r="BX345" i="1"/>
  <c r="CZ340" i="1"/>
  <c r="DG411" i="1"/>
  <c r="AE407" i="1"/>
  <c r="BG402" i="1"/>
  <c r="CI397" i="1"/>
  <c r="G393" i="1"/>
  <c r="AI388" i="1"/>
  <c r="BK383" i="1"/>
  <c r="CM378" i="1"/>
  <c r="K374" i="1"/>
  <c r="AM369" i="1"/>
  <c r="BO364" i="1"/>
  <c r="CQ359" i="1"/>
  <c r="O355" i="1"/>
  <c r="BI356" i="1"/>
  <c r="CK351" i="1"/>
  <c r="I347" i="1"/>
  <c r="AK342" i="1"/>
  <c r="DD410" i="1"/>
  <c r="AB406" i="1"/>
  <c r="BD401" i="1"/>
  <c r="CF396" i="1"/>
  <c r="DH391" i="1"/>
  <c r="AF387" i="1"/>
  <c r="BH382" i="1"/>
  <c r="CJ377" i="1"/>
  <c r="H373" i="1"/>
  <c r="AJ368" i="1"/>
  <c r="BL363" i="1"/>
  <c r="CN358" i="1"/>
  <c r="L354" i="1"/>
  <c r="AN349" i="1"/>
  <c r="BP344" i="1"/>
  <c r="CR339" i="1"/>
  <c r="CY410" i="1"/>
  <c r="W406" i="1"/>
  <c r="AY401" i="1"/>
  <c r="CA396" i="1"/>
  <c r="DC391" i="1"/>
  <c r="AA387" i="1"/>
  <c r="BC382" i="1"/>
  <c r="CE377" i="1"/>
  <c r="DG372" i="1"/>
  <c r="AE368" i="1"/>
  <c r="BG363" i="1"/>
  <c r="CI358" i="1"/>
  <c r="AO356" i="1"/>
  <c r="BQ351" i="1"/>
  <c r="CS346" i="1"/>
  <c r="Q342" i="1"/>
  <c r="CJ410" i="1"/>
  <c r="H406" i="1"/>
  <c r="AJ401" i="1"/>
  <c r="BL396" i="1"/>
  <c r="CN391" i="1"/>
  <c r="L387" i="1"/>
  <c r="AN382" i="1"/>
  <c r="BP377" i="1"/>
  <c r="CR372" i="1"/>
  <c r="P368" i="1"/>
  <c r="AR363" i="1"/>
  <c r="BT358" i="1"/>
  <c r="CV353" i="1"/>
  <c r="T349" i="1"/>
  <c r="AV344" i="1"/>
  <c r="BX339" i="1"/>
  <c r="CE410" i="1"/>
  <c r="DG405" i="1"/>
  <c r="AE401" i="1"/>
  <c r="BG396" i="1"/>
  <c r="CI391" i="1"/>
  <c r="G387" i="1"/>
  <c r="AI382" i="1"/>
  <c r="BK377" i="1"/>
  <c r="CM372" i="1"/>
  <c r="K368" i="1"/>
  <c r="AM363" i="1"/>
  <c r="BO358" i="1"/>
  <c r="O358" i="1"/>
  <c r="BG351" i="1"/>
  <c r="CI346" i="1"/>
  <c r="Z350" i="1"/>
  <c r="CK338" i="1"/>
  <c r="CT333" i="1"/>
  <c r="R329" i="1"/>
  <c r="AT324" i="1"/>
  <c r="BV319" i="1"/>
  <c r="CX314" i="1"/>
  <c r="V310" i="1"/>
  <c r="DH381" i="1"/>
  <c r="CB373" i="1"/>
  <c r="AN367" i="1"/>
  <c r="P361" i="1"/>
  <c r="L356" i="1"/>
  <c r="AN351" i="1"/>
  <c r="BP346" i="1"/>
  <c r="CR341" i="1"/>
  <c r="CY412" i="1"/>
  <c r="W408" i="1"/>
  <c r="AY403" i="1"/>
  <c r="CA398" i="1"/>
  <c r="DC393" i="1"/>
  <c r="AA389" i="1"/>
  <c r="BC384" i="1"/>
  <c r="CE379" i="1"/>
  <c r="DG374" i="1"/>
  <c r="AE370" i="1"/>
  <c r="BG365" i="1"/>
  <c r="CI360" i="1"/>
  <c r="CS356" i="1"/>
  <c r="Q352" i="1"/>
  <c r="AS347" i="1"/>
  <c r="BU342" i="1"/>
  <c r="AJ411" i="1"/>
  <c r="BL406" i="1"/>
  <c r="CN401" i="1"/>
  <c r="L397" i="1"/>
  <c r="AN392" i="1"/>
  <c r="BP387" i="1"/>
  <c r="CR382" i="1"/>
  <c r="P378" i="1"/>
  <c r="AR373" i="1"/>
  <c r="BT368" i="1"/>
  <c r="CV363" i="1"/>
  <c r="T359" i="1"/>
  <c r="AV354" i="1"/>
  <c r="BX349" i="1"/>
  <c r="CZ344" i="1"/>
  <c r="X340" i="1"/>
  <c r="AE411" i="1"/>
  <c r="BG406" i="1"/>
  <c r="CI401" i="1"/>
  <c r="G397" i="1"/>
  <c r="AI392" i="1"/>
  <c r="BK387" i="1"/>
  <c r="CM382" i="1"/>
  <c r="K378" i="1"/>
  <c r="AM373" i="1"/>
  <c r="BO368" i="1"/>
  <c r="CQ363" i="1"/>
  <c r="O359" i="1"/>
  <c r="AC361" i="1"/>
  <c r="CK355" i="1"/>
  <c r="I351" i="1"/>
  <c r="AK346" i="1"/>
  <c r="BM341" i="1"/>
  <c r="AB410" i="1"/>
  <c r="BD405" i="1"/>
  <c r="CF400" i="1"/>
  <c r="DH395" i="1"/>
  <c r="AF391" i="1"/>
  <c r="BH386" i="1"/>
  <c r="CJ381" i="1"/>
  <c r="H377" i="1"/>
  <c r="AJ372" i="1"/>
  <c r="BL367" i="1"/>
  <c r="CN362" i="1"/>
  <c r="L358" i="1"/>
  <c r="AN353" i="1"/>
  <c r="BP348" i="1"/>
  <c r="CR343" i="1"/>
  <c r="P339" i="1"/>
  <c r="W410" i="1"/>
  <c r="AY405" i="1"/>
  <c r="CA400" i="1"/>
  <c r="DC395" i="1"/>
  <c r="AA391" i="1"/>
  <c r="BC386" i="1"/>
  <c r="CE381" i="1"/>
  <c r="DG376" i="1"/>
  <c r="AE372" i="1"/>
  <c r="BG367" i="1"/>
  <c r="CI362" i="1"/>
  <c r="CS360" i="1"/>
  <c r="BQ355" i="1"/>
  <c r="CS350" i="1"/>
  <c r="Q346" i="1"/>
  <c r="AS341" i="1"/>
  <c r="H410" i="1"/>
  <c r="AJ405" i="1"/>
  <c r="BL400" i="1"/>
  <c r="CN395" i="1"/>
  <c r="L391" i="1"/>
  <c r="AN386" i="1"/>
  <c r="BP381" i="1"/>
  <c r="CR376" i="1"/>
  <c r="P372" i="1"/>
  <c r="AR367" i="1"/>
  <c r="BT362" i="1"/>
  <c r="CV357" i="1"/>
  <c r="T353" i="1"/>
  <c r="AV348" i="1"/>
  <c r="BX343" i="1"/>
  <c r="CZ338" i="1"/>
  <c r="DG409" i="1"/>
  <c r="AE405" i="1"/>
  <c r="BG400" i="1"/>
  <c r="CI395" i="1"/>
  <c r="G391" i="1"/>
  <c r="AI386" i="1"/>
  <c r="BK381" i="1"/>
  <c r="CM376" i="1"/>
  <c r="K372" i="1"/>
  <c r="AM367" i="1"/>
  <c r="BO362" i="1"/>
  <c r="CQ357" i="1"/>
  <c r="BS356" i="1"/>
  <c r="CI350" i="1"/>
  <c r="G346" i="1"/>
  <c r="AD347" i="1"/>
  <c r="CT337" i="1"/>
  <c r="R333" i="1"/>
  <c r="AT328" i="1"/>
  <c r="BV323" i="1"/>
  <c r="CX318" i="1"/>
  <c r="V314" i="1"/>
  <c r="AX309" i="1"/>
  <c r="BZ304" i="1"/>
  <c r="DB299" i="1"/>
  <c r="Z295" i="1"/>
  <c r="BV291" i="1"/>
  <c r="AH289" i="1"/>
  <c r="CX286" i="1"/>
  <c r="BJ284" i="1"/>
  <c r="V282" i="1"/>
  <c r="CL279" i="1"/>
  <c r="AX277" i="1"/>
  <c r="J275" i="1"/>
  <c r="Z315" i="1"/>
  <c r="F306" i="1"/>
  <c r="V302" i="1"/>
  <c r="J299" i="1"/>
  <c r="DB295" i="1"/>
  <c r="BZ292" i="1"/>
  <c r="BN289" i="1"/>
  <c r="BB286" i="1"/>
  <c r="Z283" i="1"/>
  <c r="N280" i="1"/>
  <c r="DF276" i="1"/>
  <c r="CD273" i="1"/>
  <c r="Z271" i="1"/>
  <c r="AP355" i="1"/>
  <c r="CT345" i="1"/>
  <c r="BF340" i="1"/>
  <c r="BI337" i="1"/>
  <c r="U335" i="1"/>
  <c r="CK332" i="1"/>
  <c r="AW330" i="1"/>
  <c r="I328" i="1"/>
  <c r="BY325" i="1"/>
  <c r="AK323" i="1"/>
  <c r="DA320" i="1"/>
  <c r="BM318" i="1"/>
  <c r="Y316" i="1"/>
  <c r="CO313" i="1"/>
  <c r="BA311" i="1"/>
  <c r="M309" i="1"/>
  <c r="CC306" i="1"/>
  <c r="AO304" i="1"/>
  <c r="DE301" i="1"/>
  <c r="BQ299" i="1"/>
  <c r="AC297" i="1"/>
  <c r="R358" i="1"/>
  <c r="BV348" i="1"/>
  <c r="CU341" i="1"/>
  <c r="AG338" i="1"/>
  <c r="CR335" i="1"/>
  <c r="BD333" i="1"/>
  <c r="P331" i="1"/>
  <c r="CF328" i="1"/>
  <c r="AR326" i="1"/>
  <c r="DH323" i="1"/>
  <c r="BT321" i="1"/>
  <c r="AF319" i="1"/>
  <c r="CV316" i="1"/>
  <c r="BH314" i="1"/>
  <c r="T312" i="1"/>
  <c r="CJ309" i="1"/>
  <c r="AV307" i="1"/>
  <c r="H305" i="1"/>
  <c r="BX302" i="1"/>
  <c r="AJ300" i="1"/>
  <c r="CZ297" i="1"/>
  <c r="BL295" i="1"/>
  <c r="X293" i="1"/>
  <c r="CN290" i="1"/>
  <c r="DF350" i="1"/>
  <c r="J343" i="1"/>
  <c r="I339" i="1"/>
  <c r="AY336" i="1"/>
  <c r="K334" i="1"/>
  <c r="CA331" i="1"/>
  <c r="AM329" i="1"/>
  <c r="DC326" i="1"/>
  <c r="G319" i="1"/>
  <c r="BK309" i="1"/>
  <c r="K300" i="1"/>
  <c r="DI292" i="1"/>
  <c r="P289" i="1"/>
  <c r="DC285" i="1"/>
  <c r="CK282" i="1"/>
  <c r="BT279" i="1"/>
  <c r="BC276" i="1"/>
  <c r="AK273" i="1"/>
  <c r="T270" i="1"/>
  <c r="CI267" i="1"/>
  <c r="AU265" i="1"/>
  <c r="G263" i="1"/>
  <c r="BW260" i="1"/>
  <c r="AI258" i="1"/>
  <c r="CY255" i="1"/>
  <c r="BK253" i="1"/>
  <c r="W251" i="1"/>
  <c r="CM248" i="1"/>
  <c r="AY246" i="1"/>
  <c r="K244" i="1"/>
  <c r="CA241" i="1"/>
  <c r="AM239" i="1"/>
  <c r="DC236" i="1"/>
  <c r="BO234" i="1"/>
  <c r="AA232" i="1"/>
  <c r="CQ229" i="1"/>
  <c r="BC227" i="1"/>
  <c r="O225" i="1"/>
  <c r="CE222" i="1"/>
  <c r="AQ220" i="1"/>
  <c r="CU319" i="1"/>
  <c r="AU310" i="1"/>
  <c r="CY300" i="1"/>
  <c r="AY293" i="1"/>
  <c r="AU289" i="1"/>
  <c r="DG358" i="1"/>
  <c r="S354" i="1"/>
  <c r="CI351" i="1"/>
  <c r="AU349" i="1"/>
  <c r="G347" i="1"/>
  <c r="BW344" i="1"/>
  <c r="AD351" i="1"/>
  <c r="W343" i="1"/>
  <c r="R339" i="1"/>
  <c r="BF336" i="1"/>
  <c r="R334" i="1"/>
  <c r="CH331" i="1"/>
  <c r="AT329" i="1"/>
  <c r="F327" i="1"/>
  <c r="BV324" i="1"/>
  <c r="AH322" i="1"/>
  <c r="CX319" i="1"/>
  <c r="BJ317" i="1"/>
  <c r="V315" i="1"/>
  <c r="CL312" i="1"/>
  <c r="AX310" i="1"/>
  <c r="J308" i="1"/>
  <c r="BZ305" i="1"/>
  <c r="AL303" i="1"/>
  <c r="DB300" i="1"/>
  <c r="BN298" i="1"/>
  <c r="Z296" i="1"/>
  <c r="CP293" i="1"/>
  <c r="BB291" i="1"/>
  <c r="N289" i="1"/>
  <c r="CD286" i="1"/>
  <c r="AP284" i="1"/>
  <c r="DF281" i="1"/>
  <c r="BR279" i="1"/>
  <c r="AD277" i="1"/>
  <c r="CT274" i="1"/>
  <c r="BF272" i="1"/>
  <c r="R270" i="1"/>
  <c r="J351" i="1"/>
  <c r="N343" i="1"/>
  <c r="K339" i="1"/>
  <c r="BA336" i="1"/>
  <c r="M334" i="1"/>
  <c r="CC331" i="1"/>
  <c r="AO329" i="1"/>
  <c r="DE326" i="1"/>
  <c r="BQ324" i="1"/>
  <c r="AC322" i="1"/>
  <c r="CS319" i="1"/>
  <c r="BE317" i="1"/>
  <c r="Q315" i="1"/>
  <c r="CG312" i="1"/>
  <c r="AS310" i="1"/>
  <c r="DI307" i="1"/>
  <c r="BU305" i="1"/>
  <c r="AG303" i="1"/>
  <c r="CW300" i="1"/>
  <c r="BI298" i="1"/>
  <c r="U296" i="1"/>
  <c r="CP353" i="1"/>
  <c r="BC344" i="1"/>
  <c r="DG339" i="1"/>
  <c r="T337" i="1"/>
  <c r="CJ334" i="1"/>
  <c r="AV332" i="1"/>
  <c r="H330" i="1"/>
  <c r="BX327" i="1"/>
  <c r="AJ325" i="1"/>
  <c r="CZ322" i="1"/>
  <c r="BL320" i="1"/>
  <c r="X318" i="1"/>
  <c r="CN315" i="1"/>
  <c r="AZ313" i="1"/>
  <c r="L311" i="1"/>
  <c r="CB308" i="1"/>
  <c r="AN306" i="1"/>
  <c r="DD303" i="1"/>
  <c r="BP301" i="1"/>
  <c r="AB299" i="1"/>
  <c r="CR296" i="1"/>
  <c r="BD294" i="1"/>
  <c r="P292" i="1"/>
  <c r="V356" i="1"/>
  <c r="BZ346" i="1"/>
  <c r="CX340" i="1"/>
  <c r="CE337" i="1"/>
  <c r="AQ335" i="1"/>
  <c r="DG332" i="1"/>
  <c r="BS330" i="1"/>
  <c r="AE328" i="1"/>
  <c r="AA324" i="1"/>
  <c r="CE314" i="1"/>
  <c r="AE305" i="1"/>
  <c r="CI295" i="1"/>
  <c r="CS290" i="1"/>
  <c r="BY287" i="1"/>
  <c r="BH284" i="1"/>
  <c r="AQ281" i="1"/>
  <c r="Y278" i="1"/>
  <c r="H275" i="1"/>
  <c r="CU271" i="1"/>
  <c r="K269" i="1"/>
  <c r="CA266" i="1"/>
  <c r="AM264" i="1"/>
  <c r="DC261" i="1"/>
  <c r="BO259" i="1"/>
  <c r="AA257" i="1"/>
  <c r="CQ254" i="1"/>
  <c r="BC252" i="1"/>
  <c r="O250" i="1"/>
  <c r="CE247" i="1"/>
  <c r="AQ245" i="1"/>
  <c r="DG242" i="1"/>
  <c r="BS240" i="1"/>
  <c r="AE238" i="1"/>
  <c r="CU235" i="1"/>
  <c r="BG233" i="1"/>
  <c r="S231" i="1"/>
  <c r="CI228" i="1"/>
  <c r="AU226" i="1"/>
  <c r="G224" i="1"/>
  <c r="BW221" i="1"/>
  <c r="K325" i="1"/>
  <c r="BO315" i="1"/>
  <c r="O306" i="1"/>
  <c r="BS296" i="1"/>
  <c r="AI291" i="1"/>
  <c r="BO355" i="1"/>
  <c r="BS352" i="1"/>
  <c r="AE350" i="1"/>
  <c r="CU347" i="1"/>
  <c r="BG345" i="1"/>
  <c r="BV354" i="1"/>
  <c r="V345" i="1"/>
  <c r="AG340" i="1"/>
  <c r="AP337" i="1"/>
  <c r="DF334" i="1"/>
  <c r="BR332" i="1"/>
  <c r="AD330" i="1"/>
  <c r="CT327" i="1"/>
  <c r="BF325" i="1"/>
  <c r="R323" i="1"/>
  <c r="CH320" i="1"/>
  <c r="AT318" i="1"/>
  <c r="F316" i="1"/>
  <c r="BV313" i="1"/>
  <c r="AH311" i="1"/>
  <c r="CX308" i="1"/>
  <c r="BJ306" i="1"/>
  <c r="V304" i="1"/>
  <c r="CL301" i="1"/>
  <c r="AX299" i="1"/>
  <c r="J297" i="1"/>
  <c r="BZ294" i="1"/>
  <c r="AL292" i="1"/>
  <c r="DB289" i="1"/>
  <c r="BN287" i="1"/>
  <c r="Z285" i="1"/>
  <c r="CP282" i="1"/>
  <c r="BB280" i="1"/>
  <c r="N278" i="1"/>
  <c r="CD275" i="1"/>
  <c r="AP273" i="1"/>
  <c r="DF270" i="1"/>
  <c r="BB354" i="1"/>
  <c r="DF344" i="1"/>
  <c r="Z340" i="1"/>
  <c r="AK337" i="1"/>
  <c r="DA334" i="1"/>
  <c r="BM332" i="1"/>
  <c r="Y330" i="1"/>
  <c r="CO327" i="1"/>
  <c r="BA325" i="1"/>
  <c r="M323" i="1"/>
  <c r="CC320" i="1"/>
  <c r="AO318" i="1"/>
  <c r="DE315" i="1"/>
  <c r="BQ313" i="1"/>
  <c r="AC311" i="1"/>
  <c r="CS308" i="1"/>
  <c r="BE306" i="1"/>
  <c r="Q304" i="1"/>
  <c r="CG301" i="1"/>
  <c r="AS299" i="1"/>
  <c r="DI296" i="1"/>
  <c r="AD357" i="1"/>
  <c r="CH347" i="1"/>
  <c r="AY341" i="1"/>
  <c r="DH337" i="1"/>
  <c r="BT335" i="1"/>
  <c r="AF333" i="1"/>
  <c r="CV330" i="1"/>
  <c r="BH328" i="1"/>
  <c r="T326" i="1"/>
  <c r="CJ323" i="1"/>
  <c r="AV321" i="1"/>
  <c r="H319" i="1"/>
  <c r="BX316" i="1"/>
  <c r="AJ314" i="1"/>
  <c r="CZ311" i="1"/>
  <c r="BL309" i="1"/>
  <c r="X307" i="1"/>
  <c r="CN304" i="1"/>
  <c r="AZ302" i="1"/>
  <c r="L300" i="1"/>
  <c r="CB297" i="1"/>
  <c r="AN295" i="1"/>
  <c r="DD292" i="1"/>
  <c r="BN359" i="1"/>
  <c r="N350" i="1"/>
  <c r="BR342" i="1"/>
  <c r="CG338" i="1"/>
  <c r="AA336" i="1"/>
  <c r="CQ333" i="1"/>
  <c r="BC331" i="1"/>
  <c r="O329" i="1"/>
  <c r="CE326" i="1"/>
  <c r="S318" i="1"/>
  <c r="BW308" i="1"/>
  <c r="W299" i="1"/>
  <c r="BM292" i="1"/>
  <c r="CN288" i="1"/>
  <c r="BW285" i="1"/>
  <c r="BE282" i="1"/>
  <c r="AN279" i="1"/>
  <c r="W276" i="1"/>
  <c r="DI272" i="1"/>
  <c r="CY269" i="1"/>
  <c r="BK267" i="1"/>
  <c r="W265" i="1"/>
  <c r="CM262" i="1"/>
  <c r="AY260" i="1"/>
  <c r="K258" i="1"/>
  <c r="CA255" i="1"/>
  <c r="AM253" i="1"/>
  <c r="DC250" i="1"/>
  <c r="BO248" i="1"/>
  <c r="AA246" i="1"/>
  <c r="CQ243" i="1"/>
  <c r="BC241" i="1"/>
  <c r="O239" i="1"/>
  <c r="CE236" i="1"/>
  <c r="AQ234" i="1"/>
  <c r="DG231" i="1"/>
  <c r="BS229" i="1"/>
  <c r="AE227" i="1"/>
  <c r="CU224" i="1"/>
  <c r="BG222" i="1"/>
  <c r="S220" i="1"/>
  <c r="DG318" i="1"/>
  <c r="BG309" i="1"/>
  <c r="G300" i="1"/>
  <c r="DG292" i="1"/>
  <c r="O289" i="1"/>
  <c r="DA285" i="1"/>
  <c r="AA355" i="1"/>
  <c r="AY352" i="1"/>
  <c r="K350" i="1"/>
  <c r="CA347" i="1"/>
  <c r="AM345" i="1"/>
  <c r="CX353" i="1"/>
  <c r="BG344" i="1"/>
  <c r="F340" i="1"/>
  <c r="V337" i="1"/>
  <c r="CL334" i="1"/>
  <c r="AX332" i="1"/>
  <c r="J330" i="1"/>
  <c r="BZ327" i="1"/>
  <c r="AL325" i="1"/>
  <c r="DB322" i="1"/>
  <c r="BN320" i="1"/>
  <c r="Z318" i="1"/>
  <c r="CP315" i="1"/>
  <c r="BB313" i="1"/>
  <c r="N311" i="1"/>
  <c r="CD308" i="1"/>
  <c r="AP306" i="1"/>
  <c r="DF303" i="1"/>
  <c r="BR301" i="1"/>
  <c r="AD299" i="1"/>
  <c r="CT296" i="1"/>
  <c r="BF294" i="1"/>
  <c r="R292" i="1"/>
  <c r="CH289" i="1"/>
  <c r="AT287" i="1"/>
  <c r="F285" i="1"/>
  <c r="BV282" i="1"/>
  <c r="AH280" i="1"/>
  <c r="CX277" i="1"/>
  <c r="BJ275" i="1"/>
  <c r="V273" i="1"/>
  <c r="CL270" i="1"/>
  <c r="CD353" i="1"/>
  <c r="AX344" i="1"/>
  <c r="DC339" i="1"/>
  <c r="Q337" i="1"/>
  <c r="CG334" i="1"/>
  <c r="AS332" i="1"/>
  <c r="DI329" i="1"/>
  <c r="BU327" i="1"/>
  <c r="AG325" i="1"/>
  <c r="CW322" i="1"/>
  <c r="BI320" i="1"/>
  <c r="U318" i="1"/>
  <c r="CK315" i="1"/>
  <c r="AW313" i="1"/>
  <c r="I311" i="1"/>
  <c r="BY308" i="1"/>
  <c r="AK306" i="1"/>
  <c r="DA303" i="1"/>
  <c r="BM301" i="1"/>
  <c r="Y299" i="1"/>
  <c r="CO296" i="1"/>
  <c r="BF356" i="1"/>
  <c r="F347" i="1"/>
  <c r="K341" i="1"/>
  <c r="CN337" i="1"/>
  <c r="AZ335" i="1"/>
  <c r="L333" i="1"/>
  <c r="CB330" i="1"/>
  <c r="AN328" i="1"/>
  <c r="DD325" i="1"/>
  <c r="BP323" i="1"/>
  <c r="AB321" i="1"/>
  <c r="CR318" i="1"/>
  <c r="BD316" i="1"/>
  <c r="P314" i="1"/>
  <c r="CF311" i="1"/>
  <c r="AR309" i="1"/>
  <c r="DH306" i="1"/>
  <c r="BT304" i="1"/>
  <c r="AF302" i="1"/>
  <c r="CV299" i="1"/>
  <c r="BH297" i="1"/>
  <c r="T295" i="1"/>
  <c r="CJ292" i="1"/>
  <c r="CP358" i="1"/>
  <c r="AP349" i="1"/>
  <c r="AD342" i="1"/>
  <c r="BF338" i="1"/>
  <c r="G336" i="1"/>
  <c r="BW333" i="1"/>
  <c r="AI331" i="1"/>
  <c r="CY328" i="1"/>
  <c r="BK326" i="1"/>
  <c r="AU317" i="1"/>
  <c r="CY307" i="1"/>
  <c r="AY298" i="1"/>
  <c r="Y292" i="1"/>
  <c r="BM288" i="1"/>
  <c r="AV285" i="1"/>
  <c r="AE282" i="1"/>
  <c r="M279" i="1"/>
  <c r="CZ275" i="1"/>
  <c r="CI272" i="1"/>
  <c r="CE269" i="1"/>
  <c r="AQ267" i="1"/>
  <c r="DG264" i="1"/>
  <c r="BS262" i="1"/>
  <c r="AE260" i="1"/>
  <c r="CU257" i="1"/>
  <c r="BG255" i="1"/>
  <c r="S253" i="1"/>
  <c r="CI250" i="1"/>
  <c r="AU248" i="1"/>
  <c r="G246" i="1"/>
  <c r="BW243" i="1"/>
  <c r="AI241" i="1"/>
  <c r="CY238" i="1"/>
  <c r="BK236" i="1"/>
  <c r="W234" i="1"/>
  <c r="CM231" i="1"/>
  <c r="AY229" i="1"/>
  <c r="K227" i="1"/>
  <c r="CA224" i="1"/>
  <c r="AM222" i="1"/>
  <c r="DC219" i="1"/>
  <c r="AE318" i="1"/>
  <c r="CI308" i="1"/>
  <c r="AI299" i="1"/>
  <c r="BS292" i="1"/>
  <c r="CR288" i="1"/>
  <c r="AO289" i="1"/>
  <c r="BS283" i="1"/>
  <c r="BA280" i="1"/>
  <c r="AJ277" i="1"/>
  <c r="S274" i="1"/>
  <c r="DE270" i="1"/>
  <c r="AT268" i="1"/>
  <c r="F266" i="1"/>
  <c r="BV263" i="1"/>
  <c r="AH261" i="1"/>
  <c r="CX258" i="1"/>
  <c r="BJ256" i="1"/>
  <c r="V254" i="1"/>
  <c r="CL251" i="1"/>
  <c r="AX249" i="1"/>
  <c r="J247" i="1"/>
  <c r="BZ244" i="1"/>
  <c r="AL242" i="1"/>
  <c r="DB239" i="1"/>
  <c r="BN237" i="1"/>
  <c r="Z235" i="1"/>
  <c r="CP232" i="1"/>
  <c r="BB230" i="1"/>
  <c r="N228" i="1"/>
  <c r="CD225" i="1"/>
  <c r="AP223" i="1"/>
  <c r="DF220" i="1"/>
  <c r="AD312" i="1"/>
  <c r="BJ304" i="1"/>
  <c r="AH301" i="1"/>
  <c r="F298" i="1"/>
  <c r="CX294" i="1"/>
  <c r="CL291" i="1"/>
  <c r="BJ288" i="1"/>
  <c r="AX285" i="1"/>
  <c r="AL282" i="1"/>
  <c r="J279" i="1"/>
  <c r="DB275" i="1"/>
  <c r="CP272" i="1"/>
  <c r="BB270" i="1"/>
  <c r="AT352" i="1"/>
  <c r="CH343" i="1"/>
  <c r="BG339" i="1"/>
  <c r="CK336" i="1"/>
  <c r="AW334" i="1"/>
  <c r="I332" i="1"/>
  <c r="BY329" i="1"/>
  <c r="AK327" i="1"/>
  <c r="DA324" i="1"/>
  <c r="BM322" i="1"/>
  <c r="Y320" i="1"/>
  <c r="CO317" i="1"/>
  <c r="BA315" i="1"/>
  <c r="M313" i="1"/>
  <c r="CC310" i="1"/>
  <c r="AO308" i="1"/>
  <c r="DE305" i="1"/>
  <c r="BQ303" i="1"/>
  <c r="AC301" i="1"/>
  <c r="CS298" i="1"/>
  <c r="BE296" i="1"/>
  <c r="V355" i="1"/>
  <c r="BZ345" i="1"/>
  <c r="AY340" i="1"/>
  <c r="BD337" i="1"/>
  <c r="P335" i="1"/>
  <c r="CF332" i="1"/>
  <c r="AR330" i="1"/>
  <c r="DH327" i="1"/>
  <c r="BT325" i="1"/>
  <c r="AF323" i="1"/>
  <c r="CV320" i="1"/>
  <c r="BH318" i="1"/>
  <c r="T316" i="1"/>
  <c r="CJ313" i="1"/>
  <c r="AV311" i="1"/>
  <c r="H309" i="1"/>
  <c r="BX306" i="1"/>
  <c r="AJ304" i="1"/>
  <c r="CZ301" i="1"/>
  <c r="BL299" i="1"/>
  <c r="X297" i="1"/>
  <c r="CN294" i="1"/>
  <c r="AZ292" i="1"/>
  <c r="BF357" i="1"/>
  <c r="F348" i="1"/>
  <c r="BN341" i="1"/>
  <c r="K338" i="1"/>
  <c r="CA335" i="1"/>
  <c r="AM333" i="1"/>
  <c r="DC330" i="1"/>
  <c r="BO328" i="1"/>
  <c r="BK325" i="1"/>
  <c r="K316" i="1"/>
  <c r="BO306" i="1"/>
  <c r="O297" i="1"/>
  <c r="BI291" i="1"/>
  <c r="Q288" i="1"/>
  <c r="DD284" i="1"/>
  <c r="CM281" i="1"/>
  <c r="BU278" i="1"/>
  <c r="BD275" i="1"/>
  <c r="AM272" i="1"/>
  <c r="AU269" i="1"/>
  <c r="G267" i="1"/>
  <c r="BW264" i="1"/>
  <c r="AI262" i="1"/>
  <c r="CY259" i="1"/>
  <c r="BK257" i="1"/>
  <c r="W255" i="1"/>
  <c r="CM252" i="1"/>
  <c r="AY250" i="1"/>
  <c r="K248" i="1"/>
  <c r="CA245" i="1"/>
  <c r="AM243" i="1"/>
  <c r="DC240" i="1"/>
  <c r="BO238" i="1"/>
  <c r="AA236" i="1"/>
  <c r="CQ233" i="1"/>
  <c r="BC231" i="1"/>
  <c r="O229" i="1"/>
  <c r="CE226" i="1"/>
  <c r="AQ224" i="1"/>
  <c r="DG221" i="1"/>
  <c r="AU326" i="1"/>
  <c r="CY316" i="1"/>
  <c r="AY307" i="1"/>
  <c r="DC297" i="1"/>
  <c r="DC291" i="1"/>
  <c r="AV288" i="1"/>
  <c r="S357" i="1"/>
  <c r="AU353" i="1"/>
  <c r="G351" i="1"/>
  <c r="BW348" i="1"/>
  <c r="AI346" i="1"/>
  <c r="CH357" i="1"/>
  <c r="AH348" i="1"/>
  <c r="CA341" i="1"/>
  <c r="S338" i="1"/>
  <c r="CH335" i="1"/>
  <c r="AT333" i="1"/>
  <c r="F331" i="1"/>
  <c r="BV328" i="1"/>
  <c r="AH326" i="1"/>
  <c r="CX323" i="1"/>
  <c r="BJ321" i="1"/>
  <c r="V319" i="1"/>
  <c r="CL316" i="1"/>
  <c r="AX314" i="1"/>
  <c r="J312" i="1"/>
  <c r="BZ309" i="1"/>
  <c r="AL307" i="1"/>
  <c r="DB304" i="1"/>
  <c r="BN302" i="1"/>
  <c r="Z300" i="1"/>
  <c r="CP297" i="1"/>
  <c r="BB295" i="1"/>
  <c r="N293" i="1"/>
  <c r="CD290" i="1"/>
  <c r="AP288" i="1"/>
  <c r="DF285" i="1"/>
  <c r="BR283" i="1"/>
  <c r="AD281" i="1"/>
  <c r="CT278" i="1"/>
  <c r="BF276" i="1"/>
  <c r="R274" i="1"/>
  <c r="CH271" i="1"/>
  <c r="BN357" i="1"/>
  <c r="N348" i="1"/>
  <c r="BR341" i="1"/>
  <c r="M338" i="1"/>
  <c r="CC335" i="1"/>
  <c r="AO333" i="1"/>
  <c r="DE330" i="1"/>
  <c r="BQ328" i="1"/>
  <c r="AC326" i="1"/>
  <c r="CS323" i="1"/>
  <c r="BE321" i="1"/>
  <c r="Q319" i="1"/>
  <c r="CG316" i="1"/>
  <c r="AS314" i="1"/>
  <c r="DI311" i="1"/>
  <c r="BU309" i="1"/>
  <c r="AG307" i="1"/>
  <c r="CW304" i="1"/>
  <c r="BI302" i="1"/>
  <c r="U300" i="1"/>
  <c r="CK297" i="1"/>
  <c r="AP360" i="1"/>
  <c r="CT350" i="1"/>
  <c r="DG342" i="1"/>
  <c r="DI338" i="1"/>
  <c r="AV336" i="1"/>
  <c r="H334" i="1"/>
  <c r="BX331" i="1"/>
  <c r="AJ329" i="1"/>
  <c r="CZ326" i="1"/>
  <c r="BL324" i="1"/>
  <c r="X322" i="1"/>
  <c r="CN319" i="1"/>
  <c r="AZ317" i="1"/>
  <c r="L315" i="1"/>
  <c r="CB312" i="1"/>
  <c r="AN310" i="1"/>
  <c r="DD307" i="1"/>
  <c r="BP305" i="1"/>
  <c r="AB303" i="1"/>
  <c r="CR300" i="1"/>
  <c r="BD298" i="1"/>
  <c r="P296" i="1"/>
  <c r="CF293" i="1"/>
  <c r="AR291" i="1"/>
  <c r="Z353" i="1"/>
  <c r="V344" i="1"/>
  <c r="CK339" i="1"/>
  <c r="DG336" i="1"/>
  <c r="BS334" i="1"/>
  <c r="AE332" i="1"/>
  <c r="CU329" i="1"/>
  <c r="BG327" i="1"/>
  <c r="AE321" i="1"/>
  <c r="CI311" i="1"/>
  <c r="AI302" i="1"/>
  <c r="Q294" i="1"/>
  <c r="CR289" i="1"/>
  <c r="CA286" i="1"/>
  <c r="BI283" i="1"/>
  <c r="AR280" i="1"/>
  <c r="AA277" i="1"/>
  <c r="I274" i="1"/>
  <c r="CV270" i="1"/>
  <c r="AM268" i="1"/>
  <c r="DC265" i="1"/>
  <c r="BO263" i="1"/>
  <c r="AA261" i="1"/>
  <c r="CQ258" i="1"/>
  <c r="BC256" i="1"/>
  <c r="O254" i="1"/>
  <c r="CE251" i="1"/>
  <c r="AQ249" i="1"/>
  <c r="DG246" i="1"/>
  <c r="BS244" i="1"/>
  <c r="AE242" i="1"/>
  <c r="CU239" i="1"/>
  <c r="BG237" i="1"/>
  <c r="S235" i="1"/>
  <c r="CI232" i="1"/>
  <c r="AU230" i="1"/>
  <c r="G228" i="1"/>
  <c r="BW225" i="1"/>
  <c r="AI223" i="1"/>
  <c r="CY220" i="1"/>
  <c r="O322" i="1"/>
  <c r="BS312" i="1"/>
  <c r="S303" i="1"/>
  <c r="BK294" i="1"/>
  <c r="AY359" i="1"/>
  <c r="AE354" i="1"/>
  <c r="CU351" i="1"/>
  <c r="BG349" i="1"/>
  <c r="S347" i="1"/>
  <c r="CI344" i="1"/>
  <c r="BZ351" i="1"/>
  <c r="AU343" i="1"/>
  <c r="AH339" i="1"/>
  <c r="BR336" i="1"/>
  <c r="AD334" i="1"/>
  <c r="CT331" i="1"/>
  <c r="BF329" i="1"/>
  <c r="R327" i="1"/>
  <c r="CH324" i="1"/>
  <c r="AT322" i="1"/>
  <c r="F320" i="1"/>
  <c r="BV317" i="1"/>
  <c r="AH315" i="1"/>
  <c r="CX312" i="1"/>
  <c r="BJ310" i="1"/>
  <c r="V308" i="1"/>
  <c r="CL305" i="1"/>
  <c r="AX303" i="1"/>
  <c r="J301" i="1"/>
  <c r="BZ298" i="1"/>
  <c r="AL296" i="1"/>
  <c r="DB293" i="1"/>
  <c r="BN291" i="1"/>
  <c r="Z289" i="1"/>
  <c r="CP286" i="1"/>
  <c r="BB284" i="1"/>
  <c r="N282" i="1"/>
  <c r="CD279" i="1"/>
  <c r="AP277" i="1"/>
  <c r="DF274" i="1"/>
  <c r="BR272" i="1"/>
  <c r="AD270" i="1"/>
  <c r="BF351" i="1"/>
  <c r="AL343" i="1"/>
  <c r="AA339" i="1"/>
  <c r="BM336" i="1"/>
  <c r="Y334" i="1"/>
  <c r="CO331" i="1"/>
  <c r="BA329" i="1"/>
  <c r="M327" i="1"/>
  <c r="CC324" i="1"/>
  <c r="AO322" i="1"/>
  <c r="DE319" i="1"/>
  <c r="BQ317" i="1"/>
  <c r="AC315" i="1"/>
  <c r="CS312" i="1"/>
  <c r="BE310" i="1"/>
  <c r="Q308" i="1"/>
  <c r="CG305" i="1"/>
  <c r="AS303" i="1"/>
  <c r="DI300" i="1"/>
  <c r="BU298" i="1"/>
  <c r="AG296" i="1"/>
  <c r="AH354" i="1"/>
  <c r="CL344" i="1"/>
  <c r="S340" i="1"/>
  <c r="AF337" i="1"/>
  <c r="CV334" i="1"/>
  <c r="BH332" i="1"/>
  <c r="T330" i="1"/>
  <c r="CJ327" i="1"/>
  <c r="AV325" i="1"/>
  <c r="H323" i="1"/>
  <c r="BX320" i="1"/>
  <c r="AJ318" i="1"/>
  <c r="CZ315" i="1"/>
  <c r="BL313" i="1"/>
  <c r="X311" i="1"/>
  <c r="CN308" i="1"/>
  <c r="AZ306" i="1"/>
  <c r="L304" i="1"/>
  <c r="CB301" i="1"/>
  <c r="AN299" i="1"/>
  <c r="DD296" i="1"/>
  <c r="BP294" i="1"/>
  <c r="AB292" i="1"/>
  <c r="BR356" i="1"/>
  <c r="R347" i="1"/>
  <c r="R341" i="1"/>
  <c r="CQ337" i="1"/>
  <c r="BC335" i="1"/>
  <c r="O333" i="1"/>
  <c r="CE330" i="1"/>
  <c r="AQ328" i="1"/>
  <c r="BW324" i="1"/>
  <c r="W315" i="1"/>
  <c r="CA305" i="1"/>
  <c r="AA296" i="1"/>
  <c r="M291" i="1"/>
  <c r="CO287" i="1"/>
  <c r="BX284" i="1"/>
  <c r="BG281" i="1"/>
  <c r="AO278" i="1"/>
  <c r="X275" i="1"/>
  <c r="G272" i="1"/>
  <c r="W269" i="1"/>
  <c r="CM266" i="1"/>
  <c r="AY264" i="1"/>
  <c r="K262" i="1"/>
  <c r="CA259" i="1"/>
  <c r="AM257" i="1"/>
  <c r="DC254" i="1"/>
  <c r="BO252" i="1"/>
  <c r="AA250" i="1"/>
  <c r="CQ247" i="1"/>
  <c r="BC245" i="1"/>
  <c r="O243" i="1"/>
  <c r="CE240" i="1"/>
  <c r="AQ238" i="1"/>
  <c r="DG235" i="1"/>
  <c r="BS233" i="1"/>
  <c r="AE231" i="1"/>
  <c r="CU228" i="1"/>
  <c r="BG226" i="1"/>
  <c r="S224" i="1"/>
  <c r="CI221" i="1"/>
  <c r="BG325" i="1"/>
  <c r="G316" i="1"/>
  <c r="BK306" i="1"/>
  <c r="K297" i="1"/>
  <c r="BG291" i="1"/>
  <c r="P288" i="1"/>
  <c r="CA358" i="1"/>
  <c r="K354" i="1"/>
  <c r="CA351" i="1"/>
  <c r="AM349" i="1"/>
  <c r="DC346" i="1"/>
  <c r="AX360" i="1"/>
  <c r="DB350" i="1"/>
  <c r="G343" i="1"/>
  <c r="G339" i="1"/>
  <c r="AX336" i="1"/>
  <c r="J334" i="1"/>
  <c r="BZ331" i="1"/>
  <c r="AL329" i="1"/>
  <c r="DB326" i="1"/>
  <c r="BN324" i="1"/>
  <c r="Z322" i="1"/>
  <c r="CP319" i="1"/>
  <c r="BB317" i="1"/>
  <c r="N315" i="1"/>
  <c r="CD312" i="1"/>
  <c r="AP310" i="1"/>
  <c r="DF307" i="1"/>
  <c r="BR305" i="1"/>
  <c r="AD303" i="1"/>
  <c r="CT300" i="1"/>
  <c r="BF298" i="1"/>
  <c r="R296" i="1"/>
  <c r="CH293" i="1"/>
  <c r="AT291" i="1"/>
  <c r="F289" i="1"/>
  <c r="BV286" i="1"/>
  <c r="AH284" i="1"/>
  <c r="CX281" i="1"/>
  <c r="BJ279" i="1"/>
  <c r="V277" i="1"/>
  <c r="CL274" i="1"/>
  <c r="AX272" i="1"/>
  <c r="AD360" i="1"/>
  <c r="CH350" i="1"/>
  <c r="DB342" i="1"/>
  <c r="DE338" i="1"/>
  <c r="AS336" i="1"/>
  <c r="DI333" i="1"/>
  <c r="BU331" i="1"/>
  <c r="AG329" i="1"/>
  <c r="CW326" i="1"/>
  <c r="BI324" i="1"/>
  <c r="U322" i="1"/>
  <c r="CK319" i="1"/>
  <c r="AW317" i="1"/>
  <c r="I315" i="1"/>
  <c r="BY312" i="1"/>
  <c r="AK310" i="1"/>
  <c r="DA307" i="1"/>
  <c r="BM305" i="1"/>
  <c r="Y303" i="1"/>
  <c r="CO300" i="1"/>
  <c r="BA298" i="1"/>
  <c r="M296" i="1"/>
  <c r="BJ353" i="1"/>
  <c r="AM344" i="1"/>
  <c r="CW339" i="1"/>
  <c r="L337" i="1"/>
  <c r="CB334" i="1"/>
  <c r="AN332" i="1"/>
  <c r="DD329" i="1"/>
  <c r="BP327" i="1"/>
  <c r="AB325" i="1"/>
  <c r="CR322" i="1"/>
  <c r="BD320" i="1"/>
  <c r="P318" i="1"/>
  <c r="CF315" i="1"/>
  <c r="AR313" i="1"/>
  <c r="DH310" i="1"/>
  <c r="BT308" i="1"/>
  <c r="AF306" i="1"/>
  <c r="CV303" i="1"/>
  <c r="BH301" i="1"/>
  <c r="T299" i="1"/>
  <c r="CJ296" i="1"/>
  <c r="AV294" i="1"/>
  <c r="H292" i="1"/>
  <c r="CT355" i="1"/>
  <c r="AT346" i="1"/>
  <c r="CH340" i="1"/>
  <c r="BW337" i="1"/>
  <c r="AI335" i="1"/>
  <c r="CY332" i="1"/>
  <c r="BK330" i="1"/>
  <c r="W328" i="1"/>
  <c r="CY323" i="1"/>
  <c r="AY314" i="1"/>
  <c r="DC304" i="1"/>
  <c r="BC295" i="1"/>
  <c r="CF290" i="1"/>
  <c r="BO287" i="1"/>
  <c r="AW284" i="1"/>
  <c r="AF281" i="1"/>
  <c r="O278" i="1"/>
  <c r="DA274" i="1"/>
  <c r="CJ271" i="1"/>
  <c r="DG268" i="1"/>
  <c r="BS266" i="1"/>
  <c r="AE264" i="1"/>
  <c r="CU261" i="1"/>
  <c r="BG259" i="1"/>
  <c r="S257" i="1"/>
  <c r="CI254" i="1"/>
  <c r="AU252" i="1"/>
  <c r="G250" i="1"/>
  <c r="BW247" i="1"/>
  <c r="AI245" i="1"/>
  <c r="CY242" i="1"/>
  <c r="BK240" i="1"/>
  <c r="W238" i="1"/>
  <c r="CM235" i="1"/>
  <c r="AY233" i="1"/>
  <c r="K231" i="1"/>
  <c r="CA228" i="1"/>
  <c r="AM226" i="1"/>
  <c r="DC223" i="1"/>
  <c r="BO221" i="1"/>
  <c r="CI324" i="1"/>
  <c r="AI315" i="1"/>
  <c r="CM305" i="1"/>
  <c r="AM296" i="1"/>
  <c r="S291" i="1"/>
  <c r="CS287" i="1"/>
  <c r="DG285" i="1"/>
  <c r="BT282" i="1"/>
  <c r="BC279" i="1"/>
  <c r="AK276" i="1"/>
  <c r="T273" i="1"/>
  <c r="F270" i="1"/>
  <c r="BV267" i="1"/>
  <c r="AH265" i="1"/>
  <c r="CX262" i="1"/>
  <c r="BJ260" i="1"/>
  <c r="V258" i="1"/>
  <c r="CL255" i="1"/>
  <c r="AX253" i="1"/>
  <c r="J251" i="1"/>
  <c r="BZ248" i="1"/>
  <c r="AL246" i="1"/>
  <c r="DB243" i="1"/>
  <c r="BN241" i="1"/>
  <c r="Z239" i="1"/>
  <c r="CP236" i="1"/>
  <c r="BB234" i="1"/>
  <c r="N232" i="1"/>
  <c r="CD229" i="1"/>
  <c r="AP227" i="1"/>
  <c r="DF224" i="1"/>
  <c r="BR222" i="1"/>
  <c r="AD220" i="1"/>
  <c r="AH309" i="1"/>
  <c r="AP303" i="1"/>
  <c r="AD300" i="1"/>
  <c r="R297" i="1"/>
  <c r="CT293" i="1"/>
  <c r="CH290" i="1"/>
  <c r="BV287" i="1"/>
  <c r="AT284" i="1"/>
  <c r="AH281" i="1"/>
  <c r="V278" i="1"/>
  <c r="CX274" i="1"/>
  <c r="N272" i="1"/>
  <c r="CX358" i="1"/>
  <c r="AX349" i="1"/>
  <c r="AH342" i="1"/>
  <c r="BI338" i="1"/>
  <c r="I336" i="1"/>
  <c r="BY333" i="1"/>
  <c r="AK331" i="1"/>
  <c r="DA328" i="1"/>
  <c r="BM326" i="1"/>
  <c r="Y324" i="1"/>
  <c r="CO321" i="1"/>
  <c r="BA319" i="1"/>
  <c r="M317" i="1"/>
  <c r="CC314" i="1"/>
  <c r="AO312" i="1"/>
  <c r="DE309" i="1"/>
  <c r="BQ307" i="1"/>
  <c r="AC305" i="1"/>
  <c r="CS302" i="1"/>
  <c r="BE300" i="1"/>
  <c r="Q298" i="1"/>
  <c r="CG295" i="1"/>
  <c r="Z352" i="1"/>
  <c r="BW343" i="1"/>
  <c r="BA339" i="1"/>
  <c r="CF336" i="1"/>
  <c r="AR334" i="1"/>
  <c r="DH331" i="1"/>
  <c r="BT329" i="1"/>
  <c r="AF327" i="1"/>
  <c r="CV324" i="1"/>
  <c r="BH322" i="1"/>
  <c r="T320" i="1"/>
  <c r="CJ317" i="1"/>
  <c r="AV315" i="1"/>
  <c r="H313" i="1"/>
  <c r="BX310" i="1"/>
  <c r="AJ308" i="1"/>
  <c r="CZ305" i="1"/>
  <c r="BL303" i="1"/>
  <c r="X301" i="1"/>
  <c r="CN298" i="1"/>
  <c r="AZ296" i="1"/>
  <c r="L294" i="1"/>
  <c r="CB291" i="1"/>
  <c r="BJ354" i="1"/>
  <c r="J345" i="1"/>
  <c r="AC340" i="1"/>
  <c r="AM337" i="1"/>
  <c r="DC334" i="1"/>
  <c r="BO332" i="1"/>
  <c r="AA330" i="1"/>
  <c r="CQ327" i="1"/>
  <c r="BO322" i="1"/>
  <c r="O313" i="1"/>
  <c r="BS303" i="1"/>
  <c r="CK294" i="1"/>
  <c r="AJ290" i="1"/>
  <c r="S287" i="1"/>
  <c r="DE283" i="1"/>
  <c r="CN280" i="1"/>
  <c r="BW277" i="1"/>
  <c r="BE274" i="1"/>
  <c r="AN271" i="1"/>
  <c r="BW268" i="1"/>
  <c r="AI266" i="1"/>
  <c r="CY263" i="1"/>
  <c r="BK261" i="1"/>
  <c r="W259" i="1"/>
  <c r="CM256" i="1"/>
  <c r="AY254" i="1"/>
  <c r="K252" i="1"/>
  <c r="CA249" i="1"/>
  <c r="AM247" i="1"/>
  <c r="DC244" i="1"/>
  <c r="BO242" i="1"/>
  <c r="AA240" i="1"/>
  <c r="CQ237" i="1"/>
  <c r="BC235" i="1"/>
  <c r="O233" i="1"/>
  <c r="CE230" i="1"/>
  <c r="AQ228" i="1"/>
  <c r="DG225" i="1"/>
  <c r="BS223" i="1"/>
  <c r="AE221" i="1"/>
  <c r="AY323" i="1"/>
  <c r="DC313" i="1"/>
  <c r="BC304" i="1"/>
  <c r="AA295" i="1"/>
  <c r="BO290" i="1"/>
  <c r="AW287" i="1"/>
  <c r="BW355" i="1"/>
  <c r="BW352" i="1"/>
  <c r="AI350" i="1"/>
  <c r="CY347" i="1"/>
  <c r="BK345" i="1"/>
  <c r="CL354" i="1"/>
  <c r="AL345" i="1"/>
  <c r="AL340" i="1"/>
  <c r="AT337" i="1"/>
  <c r="F335" i="1"/>
  <c r="BV332" i="1"/>
  <c r="AH330" i="1"/>
  <c r="CX327" i="1"/>
  <c r="BJ325" i="1"/>
  <c r="V323" i="1"/>
  <c r="CL320" i="1"/>
  <c r="AX318" i="1"/>
  <c r="J316" i="1"/>
  <c r="BZ313" i="1"/>
  <c r="AL311" i="1"/>
  <c r="DB308" i="1"/>
  <c r="BN306" i="1"/>
  <c r="Z304" i="1"/>
  <c r="CP301" i="1"/>
  <c r="BB299" i="1"/>
  <c r="N297" i="1"/>
  <c r="CD294" i="1"/>
  <c r="AP292" i="1"/>
  <c r="DF289" i="1"/>
  <c r="BR287" i="1"/>
  <c r="AD285" i="1"/>
  <c r="CT282" i="1"/>
  <c r="BF280" i="1"/>
  <c r="R278" i="1"/>
  <c r="CH275" i="1"/>
  <c r="AT273" i="1"/>
  <c r="F271" i="1"/>
  <c r="BR354" i="1"/>
  <c r="R345" i="1"/>
  <c r="AE340" i="1"/>
  <c r="AO337" i="1"/>
  <c r="DE334" i="1"/>
  <c r="BQ332" i="1"/>
  <c r="AC330" i="1"/>
  <c r="CS327" i="1"/>
  <c r="BE325" i="1"/>
  <c r="Q323" i="1"/>
  <c r="CG320" i="1"/>
  <c r="AS318" i="1"/>
  <c r="DI315" i="1"/>
  <c r="BU313" i="1"/>
  <c r="AG311" i="1"/>
  <c r="CW308" i="1"/>
  <c r="BI306" i="1"/>
  <c r="U304" i="1"/>
  <c r="CK301" i="1"/>
  <c r="AW299" i="1"/>
  <c r="I297" i="1"/>
  <c r="AT357" i="1"/>
  <c r="CX347" i="1"/>
  <c r="BG341" i="1"/>
  <c r="H338" i="1"/>
  <c r="BX335" i="1"/>
  <c r="AJ333" i="1"/>
  <c r="CZ330" i="1"/>
  <c r="BL328" i="1"/>
  <c r="X326" i="1"/>
  <c r="CN323" i="1"/>
  <c r="AZ321" i="1"/>
  <c r="L319" i="1"/>
  <c r="CB316" i="1"/>
  <c r="AN314" i="1"/>
  <c r="DD311" i="1"/>
  <c r="BP309" i="1"/>
  <c r="AB307" i="1"/>
  <c r="CR304" i="1"/>
  <c r="BD302" i="1"/>
  <c r="P300" i="1"/>
  <c r="CF297" i="1"/>
  <c r="AR295" i="1"/>
  <c r="DH292" i="1"/>
  <c r="CD359" i="1"/>
  <c r="AD350" i="1"/>
  <c r="BZ342" i="1"/>
  <c r="CL338" i="1"/>
  <c r="AE336" i="1"/>
  <c r="CU333" i="1"/>
  <c r="BG331" i="1"/>
  <c r="S329" i="1"/>
  <c r="CI326" i="1"/>
  <c r="AI318" i="1"/>
  <c r="CM308" i="1"/>
  <c r="AM299" i="1"/>
  <c r="BU292" i="1"/>
  <c r="CS288" i="1"/>
  <c r="CB285" i="1"/>
  <c r="BK282" i="1"/>
  <c r="AS279" i="1"/>
  <c r="AB276" i="1"/>
  <c r="K273" i="1"/>
  <c r="DC269" i="1"/>
  <c r="BO267" i="1"/>
  <c r="AA265" i="1"/>
  <c r="CQ262" i="1"/>
  <c r="BC260" i="1"/>
  <c r="O258" i="1"/>
  <c r="CE255" i="1"/>
  <c r="AQ253" i="1"/>
  <c r="DG250" i="1"/>
  <c r="BS248" i="1"/>
  <c r="AE246" i="1"/>
  <c r="CU243" i="1"/>
  <c r="BG241" i="1"/>
  <c r="S239" i="1"/>
  <c r="CI236" i="1"/>
  <c r="AU234" i="1"/>
  <c r="G232" i="1"/>
  <c r="BW229" i="1"/>
  <c r="AI227" i="1"/>
  <c r="CY224" i="1"/>
  <c r="BK222" i="1"/>
  <c r="W220" i="1"/>
  <c r="S319" i="1"/>
  <c r="BW309" i="1"/>
  <c r="W300" i="1"/>
  <c r="K293" i="1"/>
  <c r="AQ357" i="1"/>
  <c r="BG353" i="1"/>
  <c r="S351" i="1"/>
  <c r="CI348" i="1"/>
  <c r="AU346" i="1"/>
  <c r="Z358" i="1"/>
  <c r="CD348" i="1"/>
  <c r="CY341" i="1"/>
  <c r="AI338" i="1"/>
  <c r="CT335" i="1"/>
  <c r="BF333" i="1"/>
  <c r="R331" i="1"/>
  <c r="CH328" i="1"/>
  <c r="AT326" i="1"/>
  <c r="F324" i="1"/>
  <c r="BV321" i="1"/>
  <c r="AH319" i="1"/>
  <c r="CX316" i="1"/>
  <c r="BJ314" i="1"/>
  <c r="V312" i="1"/>
  <c r="CL309" i="1"/>
  <c r="AX307" i="1"/>
  <c r="J305" i="1"/>
  <c r="BZ302" i="1"/>
  <c r="AL300" i="1"/>
  <c r="DB297" i="1"/>
  <c r="BN295" i="1"/>
  <c r="Z293" i="1"/>
  <c r="CP290" i="1"/>
  <c r="BB288" i="1"/>
  <c r="N286" i="1"/>
  <c r="CD283" i="1"/>
  <c r="AP281" i="1"/>
  <c r="DF278" i="1"/>
  <c r="BR276" i="1"/>
  <c r="AD274" i="1"/>
  <c r="CT271" i="1"/>
  <c r="F358" i="1"/>
  <c r="BJ348" i="1"/>
  <c r="CP341" i="1"/>
  <c r="AC338" i="1"/>
  <c r="CO335" i="1"/>
  <c r="BA333" i="1"/>
  <c r="M331" i="1"/>
  <c r="CC328" i="1"/>
  <c r="AO326" i="1"/>
  <c r="DE323" i="1"/>
  <c r="BQ321" i="1"/>
  <c r="AC319" i="1"/>
  <c r="CS316" i="1"/>
  <c r="BE314" i="1"/>
  <c r="Q312" i="1"/>
  <c r="CG309" i="1"/>
  <c r="AS307" i="1"/>
  <c r="DI304" i="1"/>
  <c r="BU302" i="1"/>
  <c r="AG300" i="1"/>
  <c r="CW297" i="1"/>
  <c r="BI295" i="1"/>
  <c r="AL351" i="1"/>
  <c r="AA343" i="1"/>
  <c r="U339" i="1"/>
  <c r="BH336" i="1"/>
  <c r="T334" i="1"/>
  <c r="CJ331" i="1"/>
  <c r="AV329" i="1"/>
  <c r="H327" i="1"/>
  <c r="BX324" i="1"/>
  <c r="AJ322" i="1"/>
  <c r="CZ319" i="1"/>
  <c r="BL317" i="1"/>
  <c r="X315" i="1"/>
  <c r="CN312" i="1"/>
  <c r="AZ310" i="1"/>
  <c r="L308" i="1"/>
  <c r="CB305" i="1"/>
  <c r="AN303" i="1"/>
  <c r="DD300" i="1"/>
  <c r="BP298" i="1"/>
  <c r="AB296" i="1"/>
  <c r="CR293" i="1"/>
  <c r="BD291" i="1"/>
  <c r="BV353" i="1"/>
  <c r="AT344" i="1"/>
  <c r="DA339" i="1"/>
  <c r="O337" i="1"/>
  <c r="CE334" i="1"/>
  <c r="AQ332" i="1"/>
  <c r="DG329" i="1"/>
  <c r="BS327" i="1"/>
  <c r="CA321" i="1"/>
  <c r="AA312" i="1"/>
  <c r="CE302" i="1"/>
  <c r="AO294" i="1"/>
  <c r="DH289" i="1"/>
  <c r="CQ286" i="1"/>
  <c r="BY283" i="1"/>
  <c r="BH280" i="1"/>
  <c r="AQ277" i="1"/>
  <c r="Y274" i="1"/>
  <c r="H271" i="1"/>
  <c r="AY268" i="1"/>
  <c r="K266" i="1"/>
  <c r="CA263" i="1"/>
  <c r="AM261" i="1"/>
  <c r="DC258" i="1"/>
  <c r="BO256" i="1"/>
  <c r="AA254" i="1"/>
  <c r="CQ251" i="1"/>
  <c r="BC249" i="1"/>
  <c r="O247" i="1"/>
  <c r="CE244" i="1"/>
  <c r="AQ242" i="1"/>
  <c r="DG239" i="1"/>
  <c r="BS237" i="1"/>
  <c r="AE235" i="1"/>
  <c r="CU232" i="1"/>
  <c r="BG230" i="1"/>
  <c r="S228" i="1"/>
  <c r="CI225" i="1"/>
  <c r="AU223" i="1"/>
  <c r="G221" i="1"/>
  <c r="BK322" i="1"/>
  <c r="K313" i="1"/>
  <c r="BO303" i="1"/>
  <c r="CI294" i="1"/>
  <c r="AI290" i="1"/>
  <c r="Q287" i="1"/>
  <c r="DG356" i="1"/>
  <c r="AM353" i="1"/>
  <c r="DC350" i="1"/>
  <c r="BO348" i="1"/>
  <c r="AA346" i="1"/>
  <c r="BB357" i="1"/>
  <c r="DF347" i="1"/>
  <c r="BK341" i="1"/>
  <c r="J338" i="1"/>
  <c r="BZ335" i="1"/>
  <c r="AL333" i="1"/>
  <c r="DB330" i="1"/>
  <c r="BN328" i="1"/>
  <c r="Z326" i="1"/>
  <c r="CP323" i="1"/>
  <c r="BB321" i="1"/>
  <c r="N319" i="1"/>
  <c r="CD316" i="1"/>
  <c r="AP314" i="1"/>
  <c r="DF311" i="1"/>
  <c r="BR309" i="1"/>
  <c r="AD307" i="1"/>
  <c r="CT304" i="1"/>
  <c r="BF302" i="1"/>
  <c r="R300" i="1"/>
  <c r="CH297" i="1"/>
  <c r="AT295" i="1"/>
  <c r="F293" i="1"/>
  <c r="BV290" i="1"/>
  <c r="AH288" i="1"/>
  <c r="CX285" i="1"/>
  <c r="BJ283" i="1"/>
  <c r="V281" i="1"/>
  <c r="J311" i="1"/>
  <c r="DB303" i="1"/>
  <c r="CP300" i="1"/>
  <c r="CD297" i="1"/>
  <c r="BB294" i="1"/>
  <c r="AP291" i="1"/>
  <c r="AD288" i="1"/>
  <c r="DF284" i="1"/>
  <c r="CT281" i="1"/>
  <c r="CH278" i="1"/>
  <c r="BF275" i="1"/>
  <c r="BJ272" i="1"/>
  <c r="V270" i="1"/>
  <c r="Z351" i="1"/>
  <c r="V343" i="1"/>
  <c r="Q339" i="1"/>
  <c r="BE336" i="1"/>
  <c r="Q334" i="1"/>
  <c r="CG331" i="1"/>
  <c r="AS329" i="1"/>
  <c r="DI326" i="1"/>
  <c r="BU324" i="1"/>
  <c r="AG322" i="1"/>
  <c r="CW319" i="1"/>
  <c r="BI317" i="1"/>
  <c r="U315" i="1"/>
  <c r="CK312" i="1"/>
  <c r="AW310" i="1"/>
  <c r="I308" i="1"/>
  <c r="BY305" i="1"/>
  <c r="AK303" i="1"/>
  <c r="DA300" i="1"/>
  <c r="BM298" i="1"/>
  <c r="Y296" i="1"/>
  <c r="DF353" i="1"/>
  <c r="BK344" i="1"/>
  <c r="I340" i="1"/>
  <c r="X337" i="1"/>
  <c r="CN334" i="1"/>
  <c r="AZ332" i="1"/>
  <c r="L330" i="1"/>
  <c r="CB327" i="1"/>
  <c r="AN325" i="1"/>
  <c r="DD322" i="1"/>
  <c r="BP320" i="1"/>
  <c r="AB318" i="1"/>
  <c r="CR315" i="1"/>
  <c r="BD313" i="1"/>
  <c r="P311" i="1"/>
  <c r="CF308" i="1"/>
  <c r="AR306" i="1"/>
  <c r="DH303" i="1"/>
  <c r="BT301" i="1"/>
  <c r="AF299" i="1"/>
  <c r="CV296" i="1"/>
  <c r="BH294" i="1"/>
  <c r="T292" i="1"/>
  <c r="AL356" i="1"/>
  <c r="CP346" i="1"/>
  <c r="DF340" i="1"/>
  <c r="CI337" i="1"/>
  <c r="AU335" i="1"/>
  <c r="G333" i="1"/>
  <c r="BW330" i="1"/>
  <c r="AI328" i="1"/>
  <c r="AQ324" i="1"/>
  <c r="CU314" i="1"/>
  <c r="AU305" i="1"/>
  <c r="CY295" i="1"/>
  <c r="DA290" i="1"/>
  <c r="CE287" i="1"/>
  <c r="BM284" i="1"/>
  <c r="AV281" i="1"/>
  <c r="AE278" i="1"/>
  <c r="M275" i="1"/>
  <c r="CZ271" i="1"/>
  <c r="O269" i="1"/>
  <c r="CE266" i="1"/>
  <c r="AQ264" i="1"/>
  <c r="DG261" i="1"/>
  <c r="BS259" i="1"/>
  <c r="AE257" i="1"/>
  <c r="CU254" i="1"/>
  <c r="BG252" i="1"/>
  <c r="S250" i="1"/>
  <c r="CI247" i="1"/>
  <c r="AU245" i="1"/>
  <c r="G243" i="1"/>
  <c r="BW240" i="1"/>
  <c r="AI238" i="1"/>
  <c r="CY235" i="1"/>
  <c r="BK233" i="1"/>
  <c r="W231" i="1"/>
  <c r="CM228" i="1"/>
  <c r="Q375" i="1"/>
  <c r="BU365" i="1"/>
  <c r="AC360" i="1"/>
  <c r="Q355" i="1"/>
  <c r="AS350" i="1"/>
  <c r="BU345" i="1"/>
  <c r="CW340" i="1"/>
  <c r="BL409" i="1"/>
  <c r="CN404" i="1"/>
  <c r="L400" i="1"/>
  <c r="AN395" i="1"/>
  <c r="BP390" i="1"/>
  <c r="CR385" i="1"/>
  <c r="P381" i="1"/>
  <c r="AR376" i="1"/>
  <c r="BT371" i="1"/>
  <c r="CV366" i="1"/>
  <c r="T362" i="1"/>
  <c r="BD379" i="1"/>
  <c r="CZ371" i="1"/>
  <c r="BL365" i="1"/>
  <c r="BD359" i="1"/>
  <c r="CF354" i="1"/>
  <c r="DH349" i="1"/>
  <c r="AF345" i="1"/>
  <c r="BH340" i="1"/>
  <c r="BO411" i="1"/>
  <c r="CQ406" i="1"/>
  <c r="O402" i="1"/>
  <c r="AQ397" i="1"/>
  <c r="BS392" i="1"/>
  <c r="CU387" i="1"/>
  <c r="S383" i="1"/>
  <c r="AU378" i="1"/>
  <c r="BW373" i="1"/>
  <c r="CY368" i="1"/>
  <c r="W364" i="1"/>
  <c r="CK360" i="1"/>
  <c r="BI355" i="1"/>
  <c r="CK350" i="1"/>
  <c r="I346" i="1"/>
  <c r="AK341" i="1"/>
  <c r="DD409" i="1"/>
  <c r="AB405" i="1"/>
  <c r="BD400" i="1"/>
  <c r="CF395" i="1"/>
  <c r="DH390" i="1"/>
  <c r="AF386" i="1"/>
  <c r="BH381" i="1"/>
  <c r="CJ376" i="1"/>
  <c r="H372" i="1"/>
  <c r="AJ367" i="1"/>
  <c r="BL362" i="1"/>
  <c r="CN357" i="1"/>
  <c r="L353" i="1"/>
  <c r="AN348" i="1"/>
  <c r="BP343" i="1"/>
  <c r="CR338" i="1"/>
  <c r="CY409" i="1"/>
  <c r="W405" i="1"/>
  <c r="AY400" i="1"/>
  <c r="CA395" i="1"/>
  <c r="DC390" i="1"/>
  <c r="AA386" i="1"/>
  <c r="BC381" i="1"/>
  <c r="CE376" i="1"/>
  <c r="DG371" i="1"/>
  <c r="AE367" i="1"/>
  <c r="BG362" i="1"/>
  <c r="CI357" i="1"/>
  <c r="AO359" i="1"/>
  <c r="BA354" i="1"/>
  <c r="CC349" i="1"/>
  <c r="DE344" i="1"/>
  <c r="BT413" i="1"/>
  <c r="CV408" i="1"/>
  <c r="T404" i="1"/>
  <c r="AV399" i="1"/>
  <c r="BX394" i="1"/>
  <c r="CZ389" i="1"/>
  <c r="X385" i="1"/>
  <c r="AZ380" i="1"/>
  <c r="CB375" i="1"/>
  <c r="DD370" i="1"/>
  <c r="AB366" i="1"/>
  <c r="BD361" i="1"/>
  <c r="CF356" i="1"/>
  <c r="DH351" i="1"/>
  <c r="AF347" i="1"/>
  <c r="BH342" i="1"/>
  <c r="BO413" i="1"/>
  <c r="CQ408" i="1"/>
  <c r="O404" i="1"/>
  <c r="AQ399" i="1"/>
  <c r="BS394" i="1"/>
  <c r="CU389" i="1"/>
  <c r="S385" i="1"/>
  <c r="AU380" i="1"/>
  <c r="BW375" i="1"/>
  <c r="CY370" i="1"/>
  <c r="W366" i="1"/>
  <c r="AY361" i="1"/>
  <c r="M359" i="1"/>
  <c r="AG354" i="1"/>
  <c r="BI349" i="1"/>
  <c r="CK344" i="1"/>
  <c r="AZ413" i="1"/>
  <c r="CB408" i="1"/>
  <c r="DD403" i="1"/>
  <c r="AB399" i="1"/>
  <c r="BD394" i="1"/>
  <c r="CF389" i="1"/>
  <c r="DH384" i="1"/>
  <c r="AF380" i="1"/>
  <c r="BH375" i="1"/>
  <c r="CJ370" i="1"/>
  <c r="H366" i="1"/>
  <c r="AJ361" i="1"/>
  <c r="BL356" i="1"/>
  <c r="CN351" i="1"/>
  <c r="L347" i="1"/>
  <c r="AN342" i="1"/>
  <c r="AU413" i="1"/>
  <c r="BW408" i="1"/>
  <c r="CY403" i="1"/>
  <c r="W399" i="1"/>
  <c r="AY394" i="1"/>
  <c r="CA389" i="1"/>
  <c r="DC384" i="1"/>
  <c r="AA380" i="1"/>
  <c r="BC375" i="1"/>
  <c r="CE370" i="1"/>
  <c r="DG365" i="1"/>
  <c r="AE361" i="1"/>
  <c r="BG356" i="1"/>
  <c r="W354" i="1"/>
  <c r="AY349" i="1"/>
  <c r="CA344" i="1"/>
  <c r="AE343" i="1"/>
  <c r="BJ336" i="1"/>
  <c r="CL331" i="1"/>
  <c r="J327" i="1"/>
  <c r="AL322" i="1"/>
  <c r="BN317" i="1"/>
  <c r="H379" i="1"/>
  <c r="CJ371" i="1"/>
  <c r="AV365" i="1"/>
  <c r="AN359" i="1"/>
  <c r="BP354" i="1"/>
  <c r="CR349" i="1"/>
  <c r="P345" i="1"/>
  <c r="AR340" i="1"/>
  <c r="AY411" i="1"/>
  <c r="CA406" i="1"/>
  <c r="DC401" i="1"/>
  <c r="AA397" i="1"/>
  <c r="BC392" i="1"/>
  <c r="CE387" i="1"/>
  <c r="DG382" i="1"/>
  <c r="AE378" i="1"/>
  <c r="BG373" i="1"/>
  <c r="CI368" i="1"/>
  <c r="G364" i="1"/>
  <c r="BM360" i="1"/>
  <c r="AS355" i="1"/>
  <c r="BU350" i="1"/>
  <c r="CW345" i="1"/>
  <c r="U341" i="1"/>
  <c r="CN409" i="1"/>
  <c r="L405" i="1"/>
  <c r="AN400" i="1"/>
  <c r="BP395" i="1"/>
  <c r="CR390" i="1"/>
  <c r="P386" i="1"/>
  <c r="AR381" i="1"/>
  <c r="BT376" i="1"/>
  <c r="CV371" i="1"/>
  <c r="T367" i="1"/>
  <c r="AV362" i="1"/>
  <c r="BX357" i="1"/>
  <c r="CZ352" i="1"/>
  <c r="X348" i="1"/>
  <c r="AZ343" i="1"/>
  <c r="CB338" i="1"/>
  <c r="CI409" i="1"/>
  <c r="G405" i="1"/>
  <c r="AI400" i="1"/>
  <c r="BK395" i="1"/>
  <c r="CM390" i="1"/>
  <c r="K386" i="1"/>
  <c r="AM381" i="1"/>
  <c r="BO376" i="1"/>
  <c r="CQ371" i="1"/>
  <c r="O367" i="1"/>
  <c r="AQ362" i="1"/>
  <c r="BS357" i="1"/>
  <c r="U359" i="1"/>
  <c r="AK354" i="1"/>
  <c r="BM349" i="1"/>
  <c r="CO344" i="1"/>
  <c r="BD413" i="1"/>
  <c r="CF408" i="1"/>
  <c r="DH403" i="1"/>
  <c r="AF399" i="1"/>
  <c r="BH394" i="1"/>
  <c r="CJ389" i="1"/>
  <c r="H385" i="1"/>
  <c r="AJ380" i="1"/>
  <c r="BL375" i="1"/>
  <c r="CN370" i="1"/>
  <c r="L366" i="1"/>
  <c r="AN361" i="1"/>
  <c r="BP356" i="1"/>
  <c r="CR351" i="1"/>
  <c r="P347" i="1"/>
  <c r="AR342" i="1"/>
  <c r="AY413" i="1"/>
  <c r="CA408" i="1"/>
  <c r="DC403" i="1"/>
  <c r="AA399" i="1"/>
  <c r="BC394" i="1"/>
  <c r="CE389" i="1"/>
  <c r="DG384" i="1"/>
  <c r="AE380" i="1"/>
  <c r="BG375" i="1"/>
  <c r="CI370" i="1"/>
  <c r="G366" i="1"/>
  <c r="AI361" i="1"/>
  <c r="CW358" i="1"/>
  <c r="Q354" i="1"/>
  <c r="AS349" i="1"/>
  <c r="BU344" i="1"/>
  <c r="AJ413" i="1"/>
  <c r="BL408" i="1"/>
  <c r="CN403" i="1"/>
  <c r="L399" i="1"/>
  <c r="AN394" i="1"/>
  <c r="BP389" i="1"/>
  <c r="CR384" i="1"/>
  <c r="P380" i="1"/>
  <c r="AR375" i="1"/>
  <c r="BT370" i="1"/>
  <c r="CV365" i="1"/>
  <c r="T361" i="1"/>
  <c r="AV356" i="1"/>
  <c r="BX351" i="1"/>
  <c r="CZ346" i="1"/>
  <c r="X342" i="1"/>
  <c r="AE413" i="1"/>
  <c r="BG408" i="1"/>
  <c r="CI403" i="1"/>
  <c r="G399" i="1"/>
  <c r="AI394" i="1"/>
  <c r="BK389" i="1"/>
  <c r="CM384" i="1"/>
  <c r="K380" i="1"/>
  <c r="AM375" i="1"/>
  <c r="BO370" i="1"/>
  <c r="CQ365" i="1"/>
  <c r="O361" i="1"/>
  <c r="AQ356" i="1"/>
  <c r="G354" i="1"/>
  <c r="AI349" i="1"/>
  <c r="AH360" i="1"/>
  <c r="DC342" i="1"/>
  <c r="AT336" i="1"/>
  <c r="BV331" i="1"/>
  <c r="CX326" i="1"/>
  <c r="V322" i="1"/>
  <c r="AX317" i="1"/>
  <c r="BZ312" i="1"/>
  <c r="DB307" i="1"/>
  <c r="AZ382" i="1"/>
  <c r="CR373" i="1"/>
  <c r="BT367" i="1"/>
  <c r="AF361" i="1"/>
  <c r="AB356" i="1"/>
  <c r="BD351" i="1"/>
  <c r="CF346" i="1"/>
  <c r="DH341" i="1"/>
  <c r="K413" i="1"/>
  <c r="AM408" i="1"/>
  <c r="BO403" i="1"/>
  <c r="CQ398" i="1"/>
  <c r="O394" i="1"/>
  <c r="AQ389" i="1"/>
  <c r="BS384" i="1"/>
  <c r="CU379" i="1"/>
  <c r="S375" i="1"/>
  <c r="AU370" i="1"/>
  <c r="BW365" i="1"/>
  <c r="CY360" i="1"/>
  <c r="DI356" i="1"/>
  <c r="AG352" i="1"/>
  <c r="BI347" i="1"/>
  <c r="CK342" i="1"/>
  <c r="AZ411" i="1"/>
  <c r="CB406" i="1"/>
  <c r="DD401" i="1"/>
  <c r="AB397" i="1"/>
  <c r="BD392" i="1"/>
  <c r="CF387" i="1"/>
  <c r="DH382" i="1"/>
  <c r="AF378" i="1"/>
  <c r="BH373" i="1"/>
  <c r="CJ368" i="1"/>
  <c r="H364" i="1"/>
  <c r="AJ359" i="1"/>
  <c r="BL354" i="1"/>
  <c r="CN349" i="1"/>
  <c r="L345" i="1"/>
  <c r="AN340" i="1"/>
  <c r="AU411" i="1"/>
  <c r="BW406" i="1"/>
  <c r="CY401" i="1"/>
  <c r="W397" i="1"/>
  <c r="AY392" i="1"/>
  <c r="CA387" i="1"/>
  <c r="DC382" i="1"/>
  <c r="AA378" i="1"/>
  <c r="BC373" i="1"/>
  <c r="CE368" i="1"/>
  <c r="DG363" i="1"/>
  <c r="AE359" i="1"/>
  <c r="BG354" i="1"/>
  <c r="DA355" i="1"/>
  <c r="Y351" i="1"/>
  <c r="BA346" i="1"/>
  <c r="CC341" i="1"/>
  <c r="AR410" i="1"/>
  <c r="BT405" i="1"/>
  <c r="CV400" i="1"/>
  <c r="T396" i="1"/>
  <c r="AV391" i="1"/>
  <c r="BX386" i="1"/>
  <c r="CZ381" i="1"/>
  <c r="X377" i="1"/>
  <c r="AZ372" i="1"/>
  <c r="CB367" i="1"/>
  <c r="DD362" i="1"/>
  <c r="AB358" i="1"/>
  <c r="BD353" i="1"/>
  <c r="CF348" i="1"/>
  <c r="DH343" i="1"/>
  <c r="AF339" i="1"/>
  <c r="AM410" i="1"/>
  <c r="BO405" i="1"/>
  <c r="CQ400" i="1"/>
  <c r="O396" i="1"/>
  <c r="AQ391" i="1"/>
  <c r="BS386" i="1"/>
  <c r="CU381" i="1"/>
  <c r="S377" i="1"/>
  <c r="AU372" i="1"/>
  <c r="BW367" i="1"/>
  <c r="CY362" i="1"/>
  <c r="U361" i="1"/>
  <c r="CG355" i="1"/>
  <c r="DI350" i="1"/>
  <c r="AG346" i="1"/>
  <c r="BI341" i="1"/>
  <c r="X410" i="1"/>
  <c r="AZ405" i="1"/>
  <c r="CB400" i="1"/>
  <c r="DD395" i="1"/>
  <c r="AB391" i="1"/>
  <c r="BD386" i="1"/>
  <c r="CF381" i="1"/>
  <c r="DH376" i="1"/>
  <c r="AF372" i="1"/>
  <c r="BH367" i="1"/>
  <c r="CJ362" i="1"/>
  <c r="H358" i="1"/>
  <c r="AJ353" i="1"/>
  <c r="BL348" i="1"/>
  <c r="CN343" i="1"/>
  <c r="L339" i="1"/>
  <c r="S410" i="1"/>
  <c r="AU405" i="1"/>
  <c r="BW400" i="1"/>
  <c r="CY395" i="1"/>
  <c r="W391" i="1"/>
  <c r="AY386" i="1"/>
  <c r="CA381" i="1"/>
  <c r="DC376" i="1"/>
  <c r="AA372" i="1"/>
  <c r="BC367" i="1"/>
  <c r="CE362" i="1"/>
  <c r="DG357" i="1"/>
  <c r="CY356" i="1"/>
  <c r="CY350" i="1"/>
  <c r="W346" i="1"/>
  <c r="CP347" i="1"/>
  <c r="F338" i="1"/>
  <c r="AH333" i="1"/>
  <c r="BJ328" i="1"/>
  <c r="CL323" i="1"/>
  <c r="J319" i="1"/>
  <c r="AL314" i="1"/>
  <c r="BN309" i="1"/>
  <c r="CN380" i="1"/>
  <c r="DD372" i="1"/>
  <c r="BP366" i="1"/>
  <c r="AB360" i="1"/>
  <c r="BD355" i="1"/>
  <c r="CF350" i="1"/>
  <c r="DH345" i="1"/>
  <c r="AF341" i="1"/>
  <c r="AM412" i="1"/>
  <c r="BO407" i="1"/>
  <c r="CQ402" i="1"/>
  <c r="O398" i="1"/>
  <c r="AQ393" i="1"/>
  <c r="BS388" i="1"/>
  <c r="CU383" i="1"/>
  <c r="S379" i="1"/>
  <c r="AU374" i="1"/>
  <c r="BW369" i="1"/>
  <c r="CY364" i="1"/>
  <c r="W360" i="1"/>
  <c r="AG356" i="1"/>
  <c r="BI351" i="1"/>
  <c r="CK346" i="1"/>
  <c r="I342" i="1"/>
  <c r="CB410" i="1"/>
  <c r="DD405" i="1"/>
  <c r="AB401" i="1"/>
  <c r="BD396" i="1"/>
  <c r="CF391" i="1"/>
  <c r="DH386" i="1"/>
  <c r="AF382" i="1"/>
  <c r="BH377" i="1"/>
  <c r="CJ372" i="1"/>
  <c r="H368" i="1"/>
  <c r="AJ363" i="1"/>
  <c r="BL358" i="1"/>
  <c r="CN353" i="1"/>
  <c r="L349" i="1"/>
  <c r="AN344" i="1"/>
  <c r="BP339" i="1"/>
  <c r="BW410" i="1"/>
  <c r="CY405" i="1"/>
  <c r="W401" i="1"/>
  <c r="AY396" i="1"/>
  <c r="CA391" i="1"/>
  <c r="DC386" i="1"/>
  <c r="AA382" i="1"/>
  <c r="BC377" i="1"/>
  <c r="CE372" i="1"/>
  <c r="DG367" i="1"/>
  <c r="AE363" i="1"/>
  <c r="BG358" i="1"/>
  <c r="AO360" i="1"/>
  <c r="Y355" i="1"/>
  <c r="BA350" i="1"/>
  <c r="CC345" i="1"/>
  <c r="DE340" i="1"/>
  <c r="BT409" i="1"/>
  <c r="CV404" i="1"/>
  <c r="T400" i="1"/>
  <c r="AV395" i="1"/>
  <c r="BX390" i="1"/>
  <c r="CZ385" i="1"/>
  <c r="X381" i="1"/>
  <c r="AZ376" i="1"/>
  <c r="CB371" i="1"/>
  <c r="DD366" i="1"/>
  <c r="AB362" i="1"/>
  <c r="BD357" i="1"/>
  <c r="CF352" i="1"/>
  <c r="DH347" i="1"/>
  <c r="AF343" i="1"/>
  <c r="BH338" i="1"/>
  <c r="BO409" i="1"/>
  <c r="CQ404" i="1"/>
  <c r="O400" i="1"/>
  <c r="AQ395" i="1"/>
  <c r="BS390" i="1"/>
  <c r="CU385" i="1"/>
  <c r="S381" i="1"/>
  <c r="AU376" i="1"/>
  <c r="BW371" i="1"/>
  <c r="CY366" i="1"/>
  <c r="W362" i="1"/>
  <c r="M360" i="1"/>
  <c r="DI354" i="1"/>
  <c r="AG350" i="1"/>
  <c r="BI345" i="1"/>
  <c r="CK340" i="1"/>
  <c r="AZ409" i="1"/>
  <c r="CB404" i="1"/>
  <c r="DD399" i="1"/>
  <c r="AB395" i="1"/>
  <c r="BD390" i="1"/>
  <c r="CF385" i="1"/>
  <c r="DH380" i="1"/>
  <c r="AF376" i="1"/>
  <c r="BH371" i="1"/>
  <c r="CJ366" i="1"/>
  <c r="H362" i="1"/>
  <c r="AJ357" i="1"/>
  <c r="BL352" i="1"/>
  <c r="CN347" i="1"/>
  <c r="L343" i="1"/>
  <c r="AN338" i="1"/>
  <c r="AU409" i="1"/>
  <c r="BW404" i="1"/>
  <c r="CY399" i="1"/>
  <c r="W395" i="1"/>
  <c r="AY390" i="1"/>
  <c r="CA385" i="1"/>
  <c r="DC380" i="1"/>
  <c r="AA376" i="1"/>
  <c r="BC371" i="1"/>
  <c r="CE366" i="1"/>
  <c r="DG361" i="1"/>
  <c r="AE357" i="1"/>
  <c r="AY355" i="1"/>
  <c r="W350" i="1"/>
  <c r="AY345" i="1"/>
  <c r="CT344" i="1"/>
  <c r="AH337" i="1"/>
  <c r="BJ332" i="1"/>
  <c r="CL327" i="1"/>
  <c r="J323" i="1"/>
  <c r="AL318" i="1"/>
  <c r="BN313" i="1"/>
  <c r="CP308" i="1"/>
  <c r="N304" i="1"/>
  <c r="AP299" i="1"/>
  <c r="BR294" i="1"/>
  <c r="J291" i="1"/>
  <c r="BZ288" i="1"/>
  <c r="AL286" i="1"/>
  <c r="DB283" i="1"/>
  <c r="BN281" i="1"/>
  <c r="Z279" i="1"/>
  <c r="CP276" i="1"/>
  <c r="BB274" i="1"/>
  <c r="CP312" i="1"/>
  <c r="CP304" i="1"/>
  <c r="AX301" i="1"/>
  <c r="AL298" i="1"/>
  <c r="J295" i="1"/>
  <c r="DB291" i="1"/>
  <c r="CP288" i="1"/>
  <c r="BN285" i="1"/>
  <c r="BB282" i="1"/>
  <c r="AP279" i="1"/>
  <c r="N276" i="1"/>
  <c r="DF272" i="1"/>
  <c r="BR270" i="1"/>
  <c r="DF352" i="1"/>
  <c r="J344" i="1"/>
  <c r="CC339" i="1"/>
  <c r="DA336" i="1"/>
  <c r="BM334" i="1"/>
  <c r="Y332" i="1"/>
  <c r="CO329" i="1"/>
  <c r="BA327" i="1"/>
  <c r="M325" i="1"/>
  <c r="CC322" i="1"/>
  <c r="AO320" i="1"/>
  <c r="DE317" i="1"/>
  <c r="BQ315" i="1"/>
  <c r="AC313" i="1"/>
  <c r="CS310" i="1"/>
  <c r="BE308" i="1"/>
  <c r="Q306" i="1"/>
  <c r="CG303" i="1"/>
  <c r="AS301" i="1"/>
  <c r="DI298" i="1"/>
  <c r="BU296" i="1"/>
  <c r="CH355" i="1"/>
  <c r="AH346" i="1"/>
  <c r="CA340" i="1"/>
  <c r="BT337" i="1"/>
  <c r="AF335" i="1"/>
  <c r="CV332" i="1"/>
  <c r="BH330" i="1"/>
  <c r="T328" i="1"/>
  <c r="CJ325" i="1"/>
  <c r="AV323" i="1"/>
  <c r="H321" i="1"/>
  <c r="BX318" i="1"/>
  <c r="AJ316" i="1"/>
  <c r="CZ313" i="1"/>
  <c r="BL311" i="1"/>
  <c r="X309" i="1"/>
  <c r="CN306" i="1"/>
  <c r="AZ304" i="1"/>
  <c r="L302" i="1"/>
  <c r="CB299" i="1"/>
  <c r="AN297" i="1"/>
  <c r="DD294" i="1"/>
  <c r="BP292" i="1"/>
  <c r="N358" i="1"/>
  <c r="BR348" i="1"/>
  <c r="CT341" i="1"/>
  <c r="AE338" i="1"/>
  <c r="CQ335" i="1"/>
  <c r="BC333" i="1"/>
  <c r="O331" i="1"/>
  <c r="CE328" i="1"/>
  <c r="S326" i="1"/>
  <c r="BW316" i="1"/>
  <c r="W307" i="1"/>
  <c r="CA297" i="1"/>
  <c r="CO291" i="1"/>
  <c r="AM288" i="1"/>
  <c r="U285" i="1"/>
  <c r="DH281" i="1"/>
  <c r="CQ278" i="1"/>
  <c r="BY275" i="1"/>
  <c r="BH272" i="1"/>
  <c r="BK269" i="1"/>
  <c r="W267" i="1"/>
  <c r="CM264" i="1"/>
  <c r="AY262" i="1"/>
  <c r="K260" i="1"/>
  <c r="CA257" i="1"/>
  <c r="AM255" i="1"/>
  <c r="DC252" i="1"/>
  <c r="BO250" i="1"/>
  <c r="AA248" i="1"/>
  <c r="CQ245" i="1"/>
  <c r="BC243" i="1"/>
  <c r="O241" i="1"/>
  <c r="CE238" i="1"/>
  <c r="AQ236" i="1"/>
  <c r="DG233" i="1"/>
  <c r="BS231" i="1"/>
  <c r="AE229" i="1"/>
  <c r="CU226" i="1"/>
  <c r="BG224" i="1"/>
  <c r="S222" i="1"/>
  <c r="CI219" i="1"/>
  <c r="BG317" i="1"/>
  <c r="G308" i="1"/>
  <c r="BK298" i="1"/>
  <c r="AE292" i="1"/>
  <c r="BQ288" i="1"/>
  <c r="AY357" i="1"/>
  <c r="BK353" i="1"/>
  <c r="W351" i="1"/>
  <c r="CM348" i="1"/>
  <c r="AY346" i="1"/>
  <c r="AP358" i="1"/>
  <c r="CT348" i="1"/>
  <c r="DG341" i="1"/>
  <c r="AO338" i="1"/>
  <c r="CX335" i="1"/>
  <c r="BJ333" i="1"/>
  <c r="V331" i="1"/>
  <c r="CL328" i="1"/>
  <c r="AX326" i="1"/>
  <c r="J324" i="1"/>
  <c r="BZ321" i="1"/>
  <c r="AL319" i="1"/>
  <c r="DB316" i="1"/>
  <c r="BN314" i="1"/>
  <c r="Z312" i="1"/>
  <c r="CP309" i="1"/>
  <c r="BB307" i="1"/>
  <c r="N305" i="1"/>
  <c r="CD302" i="1"/>
  <c r="AP300" i="1"/>
  <c r="DF297" i="1"/>
  <c r="BR295" i="1"/>
  <c r="AD293" i="1"/>
  <c r="CT290" i="1"/>
  <c r="BF288" i="1"/>
  <c r="R286" i="1"/>
  <c r="CH283" i="1"/>
  <c r="AT281" i="1"/>
  <c r="F279" i="1"/>
  <c r="BV276" i="1"/>
  <c r="AH274" i="1"/>
  <c r="CX271" i="1"/>
  <c r="V358" i="1"/>
  <c r="BZ348" i="1"/>
  <c r="CX341" i="1"/>
  <c r="AH338" i="1"/>
  <c r="CS335" i="1"/>
  <c r="BE333" i="1"/>
  <c r="Q331" i="1"/>
  <c r="CG328" i="1"/>
  <c r="AS326" i="1"/>
  <c r="DI323" i="1"/>
  <c r="BU321" i="1"/>
  <c r="AG319" i="1"/>
  <c r="CW316" i="1"/>
  <c r="BI314" i="1"/>
  <c r="U312" i="1"/>
  <c r="CK309" i="1"/>
  <c r="AW307" i="1"/>
  <c r="I305" i="1"/>
  <c r="BY302" i="1"/>
  <c r="AK300" i="1"/>
  <c r="DA297" i="1"/>
  <c r="BM295" i="1"/>
  <c r="BB351" i="1"/>
  <c r="AI343" i="1"/>
  <c r="Z339" i="1"/>
  <c r="BL336" i="1"/>
  <c r="X334" i="1"/>
  <c r="CN331" i="1"/>
  <c r="AZ329" i="1"/>
  <c r="L327" i="1"/>
  <c r="CB324" i="1"/>
  <c r="AN322" i="1"/>
  <c r="DD319" i="1"/>
  <c r="BP317" i="1"/>
  <c r="AB315" i="1"/>
  <c r="CR312" i="1"/>
  <c r="BD310" i="1"/>
  <c r="P308" i="1"/>
  <c r="CF305" i="1"/>
  <c r="AR303" i="1"/>
  <c r="DH300" i="1"/>
  <c r="BT298" i="1"/>
  <c r="AF296" i="1"/>
  <c r="CV293" i="1"/>
  <c r="BH291" i="1"/>
  <c r="CL353" i="1"/>
  <c r="BB344" i="1"/>
  <c r="DF339" i="1"/>
  <c r="S337" i="1"/>
  <c r="CI334" i="1"/>
  <c r="AU332" i="1"/>
  <c r="G330" i="1"/>
  <c r="BW327" i="1"/>
  <c r="CQ321" i="1"/>
  <c r="AQ312" i="1"/>
  <c r="CU302" i="1"/>
  <c r="AW294" i="1"/>
  <c r="I290" i="1"/>
  <c r="CV286" i="1"/>
  <c r="CE283" i="1"/>
  <c r="BM280" i="1"/>
  <c r="AV277" i="1"/>
  <c r="AE274" i="1"/>
  <c r="M271" i="1"/>
  <c r="BC268" i="1"/>
  <c r="O266" i="1"/>
  <c r="CE263" i="1"/>
  <c r="AQ261" i="1"/>
  <c r="DG258" i="1"/>
  <c r="BS256" i="1"/>
  <c r="AE254" i="1"/>
  <c r="CU251" i="1"/>
  <c r="BG249" i="1"/>
  <c r="S247" i="1"/>
  <c r="CI244" i="1"/>
  <c r="AU242" i="1"/>
  <c r="G240" i="1"/>
  <c r="BW237" i="1"/>
  <c r="AI235" i="1"/>
  <c r="CY232" i="1"/>
  <c r="BK230" i="1"/>
  <c r="W228" i="1"/>
  <c r="CM225" i="1"/>
  <c r="AY223" i="1"/>
  <c r="K221" i="1"/>
  <c r="CA322" i="1"/>
  <c r="AA313" i="1"/>
  <c r="CE303" i="1"/>
  <c r="CQ294" i="1"/>
  <c r="AN290" i="1"/>
  <c r="AU354" i="1"/>
  <c r="G352" i="1"/>
  <c r="BW349" i="1"/>
  <c r="AI347" i="1"/>
  <c r="CY344" i="1"/>
  <c r="AH352" i="1"/>
  <c r="CA343" i="1"/>
  <c r="BC339" i="1"/>
  <c r="CH336" i="1"/>
  <c r="AT334" i="1"/>
  <c r="F332" i="1"/>
  <c r="BV329" i="1"/>
  <c r="AH327" i="1"/>
  <c r="CX324" i="1"/>
  <c r="BJ322" i="1"/>
  <c r="V320" i="1"/>
  <c r="CL317" i="1"/>
  <c r="AX315" i="1"/>
  <c r="J313" i="1"/>
  <c r="BZ310" i="1"/>
  <c r="AL308" i="1"/>
  <c r="DB305" i="1"/>
  <c r="BN303" i="1"/>
  <c r="Z301" i="1"/>
  <c r="CP298" i="1"/>
  <c r="BB296" i="1"/>
  <c r="N294" i="1"/>
  <c r="CD291" i="1"/>
  <c r="AP289" i="1"/>
  <c r="DF286" i="1"/>
  <c r="BR284" i="1"/>
  <c r="AD282" i="1"/>
  <c r="CT279" i="1"/>
  <c r="BF277" i="1"/>
  <c r="R275" i="1"/>
  <c r="CH272" i="1"/>
  <c r="AT270" i="1"/>
  <c r="N352" i="1"/>
  <c r="BR343" i="1"/>
  <c r="AW339" i="1"/>
  <c r="CC336" i="1"/>
  <c r="AO334" i="1"/>
  <c r="DE331" i="1"/>
  <c r="BQ329" i="1"/>
  <c r="AC327" i="1"/>
  <c r="CS324" i="1"/>
  <c r="BE322" i="1"/>
  <c r="Q320" i="1"/>
  <c r="CG317" i="1"/>
  <c r="AS315" i="1"/>
  <c r="DI312" i="1"/>
  <c r="BU310" i="1"/>
  <c r="AG308" i="1"/>
  <c r="CW305" i="1"/>
  <c r="BI303" i="1"/>
  <c r="U301" i="1"/>
  <c r="CK298" i="1"/>
  <c r="AW296" i="1"/>
  <c r="CT354" i="1"/>
  <c r="AT345" i="1"/>
  <c r="AO340" i="1"/>
  <c r="AV337" i="1"/>
  <c r="H335" i="1"/>
  <c r="BX332" i="1"/>
  <c r="AJ330" i="1"/>
  <c r="CZ327" i="1"/>
  <c r="BL325" i="1"/>
  <c r="X323" i="1"/>
  <c r="CN320" i="1"/>
  <c r="AZ318" i="1"/>
  <c r="L316" i="1"/>
  <c r="CB313" i="1"/>
  <c r="AN311" i="1"/>
  <c r="DD308" i="1"/>
  <c r="BP306" i="1"/>
  <c r="AB304" i="1"/>
  <c r="CR301" i="1"/>
  <c r="BD299" i="1"/>
  <c r="P297" i="1"/>
  <c r="CF294" i="1"/>
  <c r="AR292" i="1"/>
  <c r="Z357" i="1"/>
  <c r="CD347" i="1"/>
  <c r="AX341" i="1"/>
  <c r="DG337" i="1"/>
  <c r="BS335" i="1"/>
  <c r="AE333" i="1"/>
  <c r="CU330" i="1"/>
  <c r="BG328" i="1"/>
  <c r="AE325" i="1"/>
  <c r="CI315" i="1"/>
  <c r="AI306" i="1"/>
  <c r="CM296" i="1"/>
  <c r="AS291" i="1"/>
  <c r="G288" i="1"/>
  <c r="CS284" i="1"/>
  <c r="CB281" i="1"/>
  <c r="BK278" i="1"/>
  <c r="AS275" i="1"/>
  <c r="AB272" i="1"/>
  <c r="AM269" i="1"/>
  <c r="DC266" i="1"/>
  <c r="BO264" i="1"/>
  <c r="AA262" i="1"/>
  <c r="CQ259" i="1"/>
  <c r="BC257" i="1"/>
  <c r="O255" i="1"/>
  <c r="CE252" i="1"/>
  <c r="AQ250" i="1"/>
  <c r="DG247" i="1"/>
  <c r="BS245" i="1"/>
  <c r="AE243" i="1"/>
  <c r="CU240" i="1"/>
  <c r="BG238" i="1"/>
  <c r="S236" i="1"/>
  <c r="CI233" i="1"/>
  <c r="AU231" i="1"/>
  <c r="G229" i="1"/>
  <c r="BW226" i="1"/>
  <c r="AI224" i="1"/>
  <c r="CY221" i="1"/>
  <c r="O326" i="1"/>
  <c r="BS316" i="1"/>
  <c r="S307" i="1"/>
  <c r="BW297" i="1"/>
  <c r="CM291" i="1"/>
  <c r="AK288" i="1"/>
  <c r="AI359" i="1"/>
  <c r="AA354" i="1"/>
  <c r="CQ351" i="1"/>
  <c r="BC349" i="1"/>
  <c r="O347" i="1"/>
  <c r="CE344" i="1"/>
  <c r="BJ351" i="1"/>
  <c r="AM343" i="1"/>
  <c r="AC339" i="1"/>
  <c r="BN336" i="1"/>
  <c r="Z334" i="1"/>
  <c r="CP331" i="1"/>
  <c r="BB329" i="1"/>
  <c r="N327" i="1"/>
  <c r="CD324" i="1"/>
  <c r="AP322" i="1"/>
  <c r="DF319" i="1"/>
  <c r="BR317" i="1"/>
  <c r="AD315" i="1"/>
  <c r="CT312" i="1"/>
  <c r="BF310" i="1"/>
  <c r="R308" i="1"/>
  <c r="CH305" i="1"/>
  <c r="AT303" i="1"/>
  <c r="F301" i="1"/>
  <c r="BV298" i="1"/>
  <c r="AH296" i="1"/>
  <c r="CX293" i="1"/>
  <c r="BJ291" i="1"/>
  <c r="V289" i="1"/>
  <c r="CL286" i="1"/>
  <c r="AX284" i="1"/>
  <c r="J282" i="1"/>
  <c r="BZ279" i="1"/>
  <c r="AL277" i="1"/>
  <c r="DB274" i="1"/>
  <c r="BN272" i="1"/>
  <c r="Z270" i="1"/>
  <c r="AP351" i="1"/>
  <c r="AD343" i="1"/>
  <c r="V339" i="1"/>
  <c r="BI336" i="1"/>
  <c r="U334" i="1"/>
  <c r="CK331" i="1"/>
  <c r="AW329" i="1"/>
  <c r="I327" i="1"/>
  <c r="BY324" i="1"/>
  <c r="AK322" i="1"/>
  <c r="DA319" i="1"/>
  <c r="BM317" i="1"/>
  <c r="Y315" i="1"/>
  <c r="CO312" i="1"/>
  <c r="BA310" i="1"/>
  <c r="M308" i="1"/>
  <c r="CC305" i="1"/>
  <c r="AO303" i="1"/>
  <c r="DE300" i="1"/>
  <c r="BQ298" i="1"/>
  <c r="AC296" i="1"/>
  <c r="R354" i="1"/>
  <c r="BV344" i="1"/>
  <c r="N340" i="1"/>
  <c r="AB337" i="1"/>
  <c r="CR334" i="1"/>
  <c r="BD332" i="1"/>
  <c r="P330" i="1"/>
  <c r="CF327" i="1"/>
  <c r="AR325" i="1"/>
  <c r="DH322" i="1"/>
  <c r="BT320" i="1"/>
  <c r="AF318" i="1"/>
  <c r="CV315" i="1"/>
  <c r="BH313" i="1"/>
  <c r="T311" i="1"/>
  <c r="CJ308" i="1"/>
  <c r="AV306" i="1"/>
  <c r="H304" i="1"/>
  <c r="BX301" i="1"/>
  <c r="AJ299" i="1"/>
  <c r="CZ296" i="1"/>
  <c r="BL294" i="1"/>
  <c r="X292" i="1"/>
  <c r="BB356" i="1"/>
  <c r="DF346" i="1"/>
  <c r="J341" i="1"/>
  <c r="CM337" i="1"/>
  <c r="AY335" i="1"/>
  <c r="K333" i="1"/>
  <c r="CA330" i="1"/>
  <c r="AM328" i="1"/>
  <c r="BG324" i="1"/>
  <c r="G315" i="1"/>
  <c r="BK305" i="1"/>
  <c r="K296" i="1"/>
  <c r="DI290" i="1"/>
  <c r="CJ287" i="1"/>
  <c r="BS284" i="1"/>
  <c r="BA281" i="1"/>
  <c r="AJ278" i="1"/>
  <c r="S275" i="1"/>
  <c r="DE271" i="1"/>
  <c r="S269" i="1"/>
  <c r="CI266" i="1"/>
  <c r="AU264" i="1"/>
  <c r="G262" i="1"/>
  <c r="BW259" i="1"/>
  <c r="AI257" i="1"/>
  <c r="CG372" i="1"/>
  <c r="AG363" i="1"/>
  <c r="M358" i="1"/>
  <c r="AO353" i="1"/>
  <c r="BQ348" i="1"/>
  <c r="CS343" i="1"/>
  <c r="BH412" i="1"/>
  <c r="CJ407" i="1"/>
  <c r="H403" i="1"/>
  <c r="AJ398" i="1"/>
  <c r="BL393" i="1"/>
  <c r="CN388" i="1"/>
  <c r="L384" i="1"/>
  <c r="AN379" i="1"/>
  <c r="BP374" i="1"/>
  <c r="CR369" i="1"/>
  <c r="P365" i="1"/>
  <c r="AR360" i="1"/>
  <c r="CZ375" i="1"/>
  <c r="BL369" i="1"/>
  <c r="X363" i="1"/>
  <c r="CB357" i="1"/>
  <c r="DD352" i="1"/>
  <c r="AB348" i="1"/>
  <c r="BD343" i="1"/>
  <c r="CF338" i="1"/>
  <c r="CM409" i="1"/>
  <c r="K405" i="1"/>
  <c r="AM400" i="1"/>
  <c r="BO395" i="1"/>
  <c r="CQ390" i="1"/>
  <c r="O386" i="1"/>
  <c r="AQ381" i="1"/>
  <c r="BS376" i="1"/>
  <c r="CU371" i="1"/>
  <c r="S367" i="1"/>
  <c r="AU362" i="1"/>
  <c r="BE358" i="1"/>
  <c r="CG353" i="1"/>
  <c r="DI348" i="1"/>
  <c r="AG344" i="1"/>
  <c r="CZ412" i="1"/>
  <c r="X408" i="1"/>
  <c r="AZ403" i="1"/>
  <c r="CB398" i="1"/>
  <c r="DD393" i="1"/>
  <c r="AB389" i="1"/>
  <c r="BD384" i="1"/>
  <c r="CF379" i="1"/>
  <c r="DH374" i="1"/>
  <c r="AF370" i="1"/>
  <c r="BH365" i="1"/>
  <c r="CJ360" i="1"/>
  <c r="H356" i="1"/>
  <c r="AJ351" i="1"/>
  <c r="BL346" i="1"/>
  <c r="CN341" i="1"/>
  <c r="CU412" i="1"/>
  <c r="S408" i="1"/>
  <c r="AU403" i="1"/>
  <c r="BW398" i="1"/>
  <c r="CY393" i="1"/>
  <c r="W389" i="1"/>
  <c r="AY384" i="1"/>
  <c r="CA379" i="1"/>
  <c r="DC374" i="1"/>
  <c r="AA370" i="1"/>
  <c r="BC365" i="1"/>
  <c r="CE360" i="1"/>
  <c r="DG355" i="1"/>
  <c r="AW357" i="1"/>
  <c r="BY352" i="1"/>
  <c r="DA347" i="1"/>
  <c r="Y343" i="1"/>
  <c r="CR411" i="1"/>
  <c r="P407" i="1"/>
  <c r="AR402" i="1"/>
  <c r="BT397" i="1"/>
  <c r="CV392" i="1"/>
  <c r="T388" i="1"/>
  <c r="AV383" i="1"/>
  <c r="BX378" i="1"/>
  <c r="CZ373" i="1"/>
  <c r="X369" i="1"/>
  <c r="AZ364" i="1"/>
  <c r="CB359" i="1"/>
  <c r="DD354" i="1"/>
  <c r="AB350" i="1"/>
  <c r="BD345" i="1"/>
  <c r="CF340" i="1"/>
  <c r="CM411" i="1"/>
  <c r="K407" i="1"/>
  <c r="AM402" i="1"/>
  <c r="BO397" i="1"/>
  <c r="CQ392" i="1"/>
  <c r="O388" i="1"/>
  <c r="AQ383" i="1"/>
  <c r="BS378" i="1"/>
  <c r="CU373" i="1"/>
  <c r="S369" i="1"/>
  <c r="AU364" i="1"/>
  <c r="BW359" i="1"/>
  <c r="AC357" i="1"/>
  <c r="BE352" i="1"/>
  <c r="CG347" i="1"/>
  <c r="DI342" i="1"/>
  <c r="BX411" i="1"/>
  <c r="CZ406" i="1"/>
  <c r="X402" i="1"/>
  <c r="AZ397" i="1"/>
  <c r="CB392" i="1"/>
  <c r="DD387" i="1"/>
  <c r="AB383" i="1"/>
  <c r="BD378" i="1"/>
  <c r="CF373" i="1"/>
  <c r="DH368" i="1"/>
  <c r="AF364" i="1"/>
  <c r="BH359" i="1"/>
  <c r="CJ354" i="1"/>
  <c r="H350" i="1"/>
  <c r="AJ345" i="1"/>
  <c r="BL340" i="1"/>
  <c r="BS411" i="1"/>
  <c r="CU406" i="1"/>
  <c r="S402" i="1"/>
  <c r="AU397" i="1"/>
  <c r="BW392" i="1"/>
  <c r="CY387" i="1"/>
  <c r="W383" i="1"/>
  <c r="AY378" i="1"/>
  <c r="CA373" i="1"/>
  <c r="DC368" i="1"/>
  <c r="AA364" i="1"/>
  <c r="BC359" i="1"/>
  <c r="CE354" i="1"/>
  <c r="AU352" i="1"/>
  <c r="BW347" i="1"/>
  <c r="CH353" i="1"/>
  <c r="DE339" i="1"/>
  <c r="CH334" i="1"/>
  <c r="F330" i="1"/>
  <c r="AH325" i="1"/>
  <c r="BJ320" i="1"/>
  <c r="CL315" i="1"/>
  <c r="BT375" i="1"/>
  <c r="AV369" i="1"/>
  <c r="H363" i="1"/>
  <c r="BL357" i="1"/>
  <c r="CN352" i="1"/>
  <c r="L348" i="1"/>
  <c r="AN343" i="1"/>
  <c r="BP338" i="1"/>
  <c r="BW409" i="1"/>
  <c r="CY404" i="1"/>
  <c r="W400" i="1"/>
  <c r="AY395" i="1"/>
  <c r="CA390" i="1"/>
  <c r="DC385" i="1"/>
  <c r="AA381" i="1"/>
  <c r="BC376" i="1"/>
  <c r="CE371" i="1"/>
  <c r="DG366" i="1"/>
  <c r="AE362" i="1"/>
  <c r="AO358" i="1"/>
  <c r="BQ353" i="1"/>
  <c r="CS348" i="1"/>
  <c r="Q344" i="1"/>
  <c r="CJ412" i="1"/>
  <c r="H408" i="1"/>
  <c r="AJ403" i="1"/>
  <c r="BL398" i="1"/>
  <c r="CN393" i="1"/>
  <c r="L389" i="1"/>
  <c r="AN384" i="1"/>
  <c r="BP379" i="1"/>
  <c r="CR374" i="1"/>
  <c r="P370" i="1"/>
  <c r="AR365" i="1"/>
  <c r="BT360" i="1"/>
  <c r="CV355" i="1"/>
  <c r="T351" i="1"/>
  <c r="AV346" i="1"/>
  <c r="BX341" i="1"/>
  <c r="CE412" i="1"/>
  <c r="DG407" i="1"/>
  <c r="AE403" i="1"/>
  <c r="BG398" i="1"/>
  <c r="CI393" i="1"/>
  <c r="G389" i="1"/>
  <c r="AI384" i="1"/>
  <c r="BK379" i="1"/>
  <c r="CM374" i="1"/>
  <c r="K370" i="1"/>
  <c r="AM365" i="1"/>
  <c r="BO360" i="1"/>
  <c r="CQ355" i="1"/>
  <c r="AG357" i="1"/>
  <c r="BI352" i="1"/>
  <c r="CK347" i="1"/>
  <c r="I343" i="1"/>
  <c r="CB411" i="1"/>
  <c r="DD406" i="1"/>
  <c r="AB402" i="1"/>
  <c r="BD397" i="1"/>
  <c r="CF392" i="1"/>
  <c r="DH387" i="1"/>
  <c r="AF383" i="1"/>
  <c r="BH378" i="1"/>
  <c r="CJ373" i="1"/>
  <c r="H369" i="1"/>
  <c r="AJ364" i="1"/>
  <c r="BL359" i="1"/>
  <c r="CN354" i="1"/>
  <c r="L350" i="1"/>
  <c r="AN345" i="1"/>
  <c r="BP340" i="1"/>
  <c r="BW411" i="1"/>
  <c r="CY406" i="1"/>
  <c r="W402" i="1"/>
  <c r="AY397" i="1"/>
  <c r="CA392" i="1"/>
  <c r="DC387" i="1"/>
  <c r="AA383" i="1"/>
  <c r="BC378" i="1"/>
  <c r="CE373" i="1"/>
  <c r="DG368" i="1"/>
  <c r="AE364" i="1"/>
  <c r="BG359" i="1"/>
  <c r="M357" i="1"/>
  <c r="AO352" i="1"/>
  <c r="BQ347" i="1"/>
  <c r="CS342" i="1"/>
  <c r="BH411" i="1"/>
  <c r="CJ406" i="1"/>
  <c r="H402" i="1"/>
  <c r="AJ397" i="1"/>
  <c r="BL392" i="1"/>
  <c r="CN387" i="1"/>
  <c r="L383" i="1"/>
  <c r="AN378" i="1"/>
  <c r="BP373" i="1"/>
  <c r="CR368" i="1"/>
  <c r="P364" i="1"/>
  <c r="AR359" i="1"/>
  <c r="BT354" i="1"/>
  <c r="CV349" i="1"/>
  <c r="T345" i="1"/>
  <c r="AV340" i="1"/>
  <c r="BC411" i="1"/>
  <c r="CE406" i="1"/>
  <c r="DG401" i="1"/>
  <c r="AE397" i="1"/>
  <c r="BG392" i="1"/>
  <c r="CI387" i="1"/>
  <c r="G383" i="1"/>
  <c r="AI378" i="1"/>
  <c r="BK373" i="1"/>
  <c r="CM368" i="1"/>
  <c r="K364" i="1"/>
  <c r="AM359" i="1"/>
  <c r="BO354" i="1"/>
  <c r="AE352" i="1"/>
  <c r="BG347" i="1"/>
  <c r="V353" i="1"/>
  <c r="CI339" i="1"/>
  <c r="BR334" i="1"/>
  <c r="CT329" i="1"/>
  <c r="R325" i="1"/>
  <c r="AT320" i="1"/>
  <c r="BV315" i="1"/>
  <c r="CX310" i="1"/>
  <c r="V306" i="1"/>
  <c r="CV378" i="1"/>
  <c r="BD371" i="1"/>
  <c r="AF365" i="1"/>
  <c r="X359" i="1"/>
  <c r="AZ354" i="1"/>
  <c r="CB349" i="1"/>
  <c r="DD344" i="1"/>
  <c r="AB340" i="1"/>
  <c r="AI411" i="1"/>
  <c r="BK406" i="1"/>
  <c r="CM401" i="1"/>
  <c r="K397" i="1"/>
  <c r="AM392" i="1"/>
  <c r="BO387" i="1"/>
  <c r="CQ382" i="1"/>
  <c r="O378" i="1"/>
  <c r="AQ373" i="1"/>
  <c r="BS368" i="1"/>
  <c r="CU363" i="1"/>
  <c r="AS360" i="1"/>
  <c r="AC355" i="1"/>
  <c r="BE350" i="1"/>
  <c r="CG345" i="1"/>
  <c r="DI340" i="1"/>
  <c r="BX409" i="1"/>
  <c r="CZ404" i="1"/>
  <c r="X400" i="1"/>
  <c r="AZ395" i="1"/>
  <c r="CB390" i="1"/>
  <c r="DD385" i="1"/>
  <c r="AB381" i="1"/>
  <c r="BD376" i="1"/>
  <c r="CF371" i="1"/>
  <c r="DH366" i="1"/>
  <c r="AF362" i="1"/>
  <c r="BH357" i="1"/>
  <c r="CJ352" i="1"/>
  <c r="H348" i="1"/>
  <c r="AJ343" i="1"/>
  <c r="BL338" i="1"/>
  <c r="BS409" i="1"/>
  <c r="CU404" i="1"/>
  <c r="S400" i="1"/>
  <c r="AU395" i="1"/>
  <c r="BW390" i="1"/>
  <c r="CY385" i="1"/>
  <c r="W381" i="1"/>
  <c r="AY376" i="1"/>
  <c r="CA371" i="1"/>
  <c r="DC366" i="1"/>
  <c r="AA362" i="1"/>
  <c r="BC357" i="1"/>
  <c r="DA358" i="1"/>
  <c r="U354" i="1"/>
  <c r="AW349" i="1"/>
  <c r="BY344" i="1"/>
  <c r="AN413" i="1"/>
  <c r="BP408" i="1"/>
  <c r="CR403" i="1"/>
  <c r="P399" i="1"/>
  <c r="AR394" i="1"/>
  <c r="BT389" i="1"/>
  <c r="CV384" i="1"/>
  <c r="T380" i="1"/>
  <c r="AV375" i="1"/>
  <c r="BX370" i="1"/>
  <c r="CZ365" i="1"/>
  <c r="X361" i="1"/>
  <c r="AZ356" i="1"/>
  <c r="CB351" i="1"/>
  <c r="DD346" i="1"/>
  <c r="AB342" i="1"/>
  <c r="AI413" i="1"/>
  <c r="BK408" i="1"/>
  <c r="CM403" i="1"/>
  <c r="K399" i="1"/>
  <c r="AM394" i="1"/>
  <c r="BO389" i="1"/>
  <c r="CQ384" i="1"/>
  <c r="O380" i="1"/>
  <c r="AQ375" i="1"/>
  <c r="BS370" i="1"/>
  <c r="CU365" i="1"/>
  <c r="S361" i="1"/>
  <c r="CC358" i="1"/>
  <c r="DE353" i="1"/>
  <c r="AC349" i="1"/>
  <c r="BE344" i="1"/>
  <c r="T413" i="1"/>
  <c r="AV408" i="1"/>
  <c r="BX403" i="1"/>
  <c r="CZ398" i="1"/>
  <c r="X394" i="1"/>
  <c r="AZ389" i="1"/>
  <c r="CB384" i="1"/>
  <c r="DD379" i="1"/>
  <c r="AB375" i="1"/>
  <c r="BD370" i="1"/>
  <c r="CF365" i="1"/>
  <c r="DH360" i="1"/>
  <c r="AF356" i="1"/>
  <c r="BH351" i="1"/>
  <c r="CJ346" i="1"/>
  <c r="H342" i="1"/>
  <c r="O413" i="1"/>
  <c r="AQ408" i="1"/>
  <c r="BS403" i="1"/>
  <c r="CU398" i="1"/>
  <c r="S394" i="1"/>
  <c r="AU389" i="1"/>
  <c r="BW384" i="1"/>
  <c r="CY379" i="1"/>
  <c r="W375" i="1"/>
  <c r="AY370" i="1"/>
  <c r="CA365" i="1"/>
  <c r="DC360" i="1"/>
  <c r="AA356" i="1"/>
  <c r="CU353" i="1"/>
  <c r="S349" i="1"/>
  <c r="BZ359" i="1"/>
  <c r="BW342" i="1"/>
  <c r="AD336" i="1"/>
  <c r="BF331" i="1"/>
  <c r="CH326" i="1"/>
  <c r="F322" i="1"/>
  <c r="AH317" i="1"/>
  <c r="BJ312" i="1"/>
  <c r="CL307" i="1"/>
  <c r="AF377" i="1"/>
  <c r="BP370" i="1"/>
  <c r="AB364" i="1"/>
  <c r="AZ358" i="1"/>
  <c r="CB353" i="1"/>
  <c r="DD348" i="1"/>
  <c r="AB344" i="1"/>
  <c r="BD339" i="1"/>
  <c r="BK410" i="1"/>
  <c r="CM405" i="1"/>
  <c r="K401" i="1"/>
  <c r="AM396" i="1"/>
  <c r="BO391" i="1"/>
  <c r="CQ386" i="1"/>
  <c r="O382" i="1"/>
  <c r="AQ377" i="1"/>
  <c r="BS372" i="1"/>
  <c r="CU367" i="1"/>
  <c r="S363" i="1"/>
  <c r="AS359" i="1"/>
  <c r="BE354" i="1"/>
  <c r="CG349" i="1"/>
  <c r="DI344" i="1"/>
  <c r="BX413" i="1"/>
  <c r="CZ408" i="1"/>
  <c r="X404" i="1"/>
  <c r="AZ399" i="1"/>
  <c r="CB394" i="1"/>
  <c r="DD389" i="1"/>
  <c r="AB385" i="1"/>
  <c r="BD380" i="1"/>
  <c r="CF375" i="1"/>
  <c r="DH370" i="1"/>
  <c r="AF366" i="1"/>
  <c r="BH361" i="1"/>
  <c r="CJ356" i="1"/>
  <c r="H352" i="1"/>
  <c r="AJ347" i="1"/>
  <c r="BL342" i="1"/>
  <c r="BS413" i="1"/>
  <c r="CU408" i="1"/>
  <c r="S404" i="1"/>
  <c r="AU399" i="1"/>
  <c r="BW394" i="1"/>
  <c r="CY389" i="1"/>
  <c r="W385" i="1"/>
  <c r="AY380" i="1"/>
  <c r="CA375" i="1"/>
  <c r="DC370" i="1"/>
  <c r="AA366" i="1"/>
  <c r="BC361" i="1"/>
  <c r="CE356" i="1"/>
  <c r="U358" i="1"/>
  <c r="AW353" i="1"/>
  <c r="BY348" i="1"/>
  <c r="DA343" i="1"/>
  <c r="BP412" i="1"/>
  <c r="CR407" i="1"/>
  <c r="P403" i="1"/>
  <c r="AR398" i="1"/>
  <c r="BT393" i="1"/>
  <c r="CV388" i="1"/>
  <c r="T384" i="1"/>
  <c r="AV379" i="1"/>
  <c r="BX374" i="1"/>
  <c r="CZ369" i="1"/>
  <c r="X365" i="1"/>
  <c r="AZ360" i="1"/>
  <c r="CB355" i="1"/>
  <c r="DD350" i="1"/>
  <c r="AB346" i="1"/>
  <c r="BD341" i="1"/>
  <c r="BK412" i="1"/>
  <c r="CM407" i="1"/>
  <c r="K403" i="1"/>
  <c r="AM398" i="1"/>
  <c r="BO393" i="1"/>
  <c r="CQ388" i="1"/>
  <c r="O384" i="1"/>
  <c r="AQ379" i="1"/>
  <c r="BS374" i="1"/>
  <c r="CU369" i="1"/>
  <c r="S365" i="1"/>
  <c r="AU360" i="1"/>
  <c r="DE357" i="1"/>
  <c r="AC353" i="1"/>
  <c r="BE348" i="1"/>
  <c r="CG343" i="1"/>
  <c r="AV412" i="1"/>
  <c r="BX407" i="1"/>
  <c r="CZ402" i="1"/>
  <c r="X398" i="1"/>
  <c r="AZ393" i="1"/>
  <c r="CB388" i="1"/>
  <c r="DD383" i="1"/>
  <c r="AB379" i="1"/>
  <c r="BD374" i="1"/>
  <c r="CF369" i="1"/>
  <c r="DH364" i="1"/>
  <c r="AF360" i="1"/>
  <c r="BH355" i="1"/>
  <c r="CJ350" i="1"/>
  <c r="H346" i="1"/>
  <c r="AJ341" i="1"/>
  <c r="AQ412" i="1"/>
  <c r="BS407" i="1"/>
  <c r="CU402" i="1"/>
  <c r="S398" i="1"/>
  <c r="AU393" i="1"/>
  <c r="BW388" i="1"/>
  <c r="CY383" i="1"/>
  <c r="W379" i="1"/>
  <c r="AY374" i="1"/>
  <c r="CA369" i="1"/>
  <c r="DC364" i="1"/>
  <c r="AA360" i="1"/>
  <c r="BC355" i="1"/>
  <c r="S353" i="1"/>
  <c r="AU348" i="1"/>
  <c r="CD356" i="1"/>
  <c r="W341" i="1"/>
  <c r="BF335" i="1"/>
  <c r="CH330" i="1"/>
  <c r="F326" i="1"/>
  <c r="AH321" i="1"/>
  <c r="BJ316" i="1"/>
  <c r="CL311" i="1"/>
  <c r="J307" i="1"/>
  <c r="AL302" i="1"/>
  <c r="BN297" i="1"/>
  <c r="CP292" i="1"/>
  <c r="BB290" i="1"/>
  <c r="N288" i="1"/>
  <c r="CD285" i="1"/>
  <c r="AP283" i="1"/>
  <c r="DF280" i="1"/>
  <c r="BR278" i="1"/>
  <c r="AD276" i="1"/>
  <c r="CT273" i="1"/>
  <c r="BB310" i="1"/>
  <c r="CL303" i="1"/>
  <c r="BZ300" i="1"/>
  <c r="AX297" i="1"/>
  <c r="AL294" i="1"/>
  <c r="Z291" i="1"/>
  <c r="DB287" i="1"/>
  <c r="CP284" i="1"/>
  <c r="CD281" i="1"/>
  <c r="BB278" i="1"/>
  <c r="AP275" i="1"/>
  <c r="AT272" i="1"/>
  <c r="N360" i="1"/>
  <c r="BR350" i="1"/>
  <c r="CT342" i="1"/>
  <c r="CY338" i="1"/>
  <c r="AO336" i="1"/>
  <c r="DE333" i="1"/>
  <c r="BQ331" i="1"/>
  <c r="AC329" i="1"/>
  <c r="CS326" i="1"/>
  <c r="BE324" i="1"/>
  <c r="Q322" i="1"/>
  <c r="CG319" i="1"/>
  <c r="AS317" i="1"/>
  <c r="DI314" i="1"/>
  <c r="BU312" i="1"/>
  <c r="AG310" i="1"/>
  <c r="CW307" i="1"/>
  <c r="BI305" i="1"/>
  <c r="U303" i="1"/>
  <c r="CK300" i="1"/>
  <c r="AW298" i="1"/>
  <c r="I296" i="1"/>
  <c r="AT353" i="1"/>
  <c r="AE344" i="1"/>
  <c r="CQ339" i="1"/>
  <c r="H337" i="1"/>
  <c r="BX334" i="1"/>
  <c r="AJ332" i="1"/>
  <c r="CZ329" i="1"/>
  <c r="BL327" i="1"/>
  <c r="X325" i="1"/>
  <c r="CN322" i="1"/>
  <c r="AZ320" i="1"/>
  <c r="L318" i="1"/>
  <c r="CB315" i="1"/>
  <c r="AN313" i="1"/>
  <c r="DD310" i="1"/>
  <c r="BP308" i="1"/>
  <c r="AB306" i="1"/>
  <c r="CR303" i="1"/>
  <c r="BD301" i="1"/>
  <c r="P299" i="1"/>
  <c r="CF296" i="1"/>
  <c r="AR294" i="1"/>
  <c r="DH291" i="1"/>
  <c r="CD355" i="1"/>
  <c r="AD346" i="1"/>
  <c r="BZ340" i="1"/>
  <c r="BS337" i="1"/>
  <c r="AE335" i="1"/>
  <c r="CU332" i="1"/>
  <c r="BG330" i="1"/>
  <c r="S328" i="1"/>
  <c r="CI323" i="1"/>
  <c r="AI314" i="1"/>
  <c r="CM304" i="1"/>
  <c r="AS295" i="1"/>
  <c r="CA290" i="1"/>
  <c r="BI287" i="1"/>
  <c r="AR284" i="1"/>
  <c r="AA281" i="1"/>
  <c r="I278" i="1"/>
  <c r="CV274" i="1"/>
  <c r="CE271" i="1"/>
  <c r="DC268" i="1"/>
  <c r="BO266" i="1"/>
  <c r="AA264" i="1"/>
  <c r="CQ261" i="1"/>
  <c r="BC259" i="1"/>
  <c r="O257" i="1"/>
  <c r="CE254" i="1"/>
  <c r="AQ252" i="1"/>
  <c r="DG249" i="1"/>
  <c r="BS247" i="1"/>
  <c r="AE245" i="1"/>
  <c r="CU242" i="1"/>
  <c r="BG240" i="1"/>
  <c r="S238" i="1"/>
  <c r="CI235" i="1"/>
  <c r="AU233" i="1"/>
  <c r="G231" i="1"/>
  <c r="BW228" i="1"/>
  <c r="AI226" i="1"/>
  <c r="CY223" i="1"/>
  <c r="BK221" i="1"/>
  <c r="BS324" i="1"/>
  <c r="S315" i="1"/>
  <c r="BW305" i="1"/>
  <c r="W296" i="1"/>
  <c r="K291" i="1"/>
  <c r="CN287" i="1"/>
  <c r="AE356" i="1"/>
  <c r="DC352" i="1"/>
  <c r="BO350" i="1"/>
  <c r="AA348" i="1"/>
  <c r="CQ345" i="1"/>
  <c r="DF355" i="1"/>
  <c r="BF346" i="1"/>
  <c r="CM340" i="1"/>
  <c r="BZ337" i="1"/>
  <c r="AL335" i="1"/>
  <c r="DB332" i="1"/>
  <c r="BN330" i="1"/>
  <c r="Z328" i="1"/>
  <c r="CP325" i="1"/>
  <c r="BB323" i="1"/>
  <c r="N321" i="1"/>
  <c r="CD318" i="1"/>
  <c r="AP316" i="1"/>
  <c r="DF313" i="1"/>
  <c r="BR311" i="1"/>
  <c r="AD309" i="1"/>
  <c r="CT306" i="1"/>
  <c r="BF304" i="1"/>
  <c r="R302" i="1"/>
  <c r="CH299" i="1"/>
  <c r="AT297" i="1"/>
  <c r="F295" i="1"/>
  <c r="BV292" i="1"/>
  <c r="AH290" i="1"/>
  <c r="CX287" i="1"/>
  <c r="BJ285" i="1"/>
  <c r="V283" i="1"/>
  <c r="CL280" i="1"/>
  <c r="AX278" i="1"/>
  <c r="J276" i="1"/>
  <c r="BZ273" i="1"/>
  <c r="AL271" i="1"/>
  <c r="CL355" i="1"/>
  <c r="AL346" i="1"/>
  <c r="CD340" i="1"/>
  <c r="BU337" i="1"/>
  <c r="AG335" i="1"/>
  <c r="CW332" i="1"/>
  <c r="BI330" i="1"/>
  <c r="U328" i="1"/>
  <c r="CK325" i="1"/>
  <c r="AW323" i="1"/>
  <c r="I321" i="1"/>
  <c r="BY318" i="1"/>
  <c r="AK316" i="1"/>
  <c r="DA313" i="1"/>
  <c r="BM311" i="1"/>
  <c r="Y309" i="1"/>
  <c r="CO306" i="1"/>
  <c r="BA304" i="1"/>
  <c r="M302" i="1"/>
  <c r="CC299" i="1"/>
  <c r="AO297" i="1"/>
  <c r="BN358" i="1"/>
  <c r="N349" i="1"/>
  <c r="O342" i="1"/>
  <c r="AW338" i="1"/>
  <c r="DD335" i="1"/>
  <c r="BP333" i="1"/>
  <c r="AB331" i="1"/>
  <c r="CR328" i="1"/>
  <c r="BD326" i="1"/>
  <c r="P324" i="1"/>
  <c r="CF321" i="1"/>
  <c r="AR319" i="1"/>
  <c r="DH316" i="1"/>
  <c r="BT314" i="1"/>
  <c r="AF312" i="1"/>
  <c r="CV309" i="1"/>
  <c r="BH307" i="1"/>
  <c r="T305" i="1"/>
  <c r="CJ302" i="1"/>
  <c r="AV300" i="1"/>
  <c r="H298" i="1"/>
  <c r="BX295" i="1"/>
  <c r="AJ293" i="1"/>
  <c r="CZ290" i="1"/>
  <c r="AX351" i="1"/>
  <c r="AH343" i="1"/>
  <c r="Y339" i="1"/>
  <c r="BK336" i="1"/>
  <c r="W334" i="1"/>
  <c r="CM331" i="1"/>
  <c r="AY329" i="1"/>
  <c r="K327" i="1"/>
  <c r="BC319" i="1"/>
  <c r="DG309" i="1"/>
  <c r="BG300" i="1"/>
  <c r="AC293" i="1"/>
  <c r="AF289" i="1"/>
  <c r="O286" i="1"/>
  <c r="DA282" i="1"/>
  <c r="CJ279" i="1"/>
  <c r="BS276" i="1"/>
  <c r="BA273" i="1"/>
  <c r="AJ270" i="1"/>
  <c r="CU267" i="1"/>
  <c r="BG265" i="1"/>
  <c r="S263" i="1"/>
  <c r="CI260" i="1"/>
  <c r="AU258" i="1"/>
  <c r="G256" i="1"/>
  <c r="BW253" i="1"/>
  <c r="AI251" i="1"/>
  <c r="CY248" i="1"/>
  <c r="BK246" i="1"/>
  <c r="W244" i="1"/>
  <c r="CM241" i="1"/>
  <c r="AY239" i="1"/>
  <c r="K237" i="1"/>
  <c r="CA234" i="1"/>
  <c r="AM232" i="1"/>
  <c r="DC229" i="1"/>
  <c r="BO227" i="1"/>
  <c r="AA225" i="1"/>
  <c r="CQ222" i="1"/>
  <c r="BC220" i="1"/>
  <c r="AM320" i="1"/>
  <c r="CQ310" i="1"/>
  <c r="AQ301" i="1"/>
  <c r="BW293" i="1"/>
  <c r="DC357" i="1"/>
  <c r="CM353" i="1"/>
  <c r="AY351" i="1"/>
  <c r="K349" i="1"/>
  <c r="CA346" i="1"/>
  <c r="AT359" i="1"/>
  <c r="CX349" i="1"/>
  <c r="BG342" i="1"/>
  <c r="BZ338" i="1"/>
  <c r="V336" i="1"/>
  <c r="CL333" i="1"/>
  <c r="AX331" i="1"/>
  <c r="J329" i="1"/>
  <c r="BZ326" i="1"/>
  <c r="AL324" i="1"/>
  <c r="DB321" i="1"/>
  <c r="BN319" i="1"/>
  <c r="Z317" i="1"/>
  <c r="CP314" i="1"/>
  <c r="BB312" i="1"/>
  <c r="N310" i="1"/>
  <c r="CD307" i="1"/>
  <c r="AP305" i="1"/>
  <c r="DF302" i="1"/>
  <c r="BR300" i="1"/>
  <c r="R291" i="1"/>
  <c r="BV281" i="1"/>
  <c r="V272" i="1"/>
  <c r="BS338" i="1"/>
  <c r="DI328" i="1"/>
  <c r="BI319" i="1"/>
  <c r="I310" i="1"/>
  <c r="BM300" i="1"/>
  <c r="CM343" i="1"/>
  <c r="L332" i="1"/>
  <c r="BP322" i="1"/>
  <c r="P313" i="1"/>
  <c r="BT303" i="1"/>
  <c r="T294" i="1"/>
  <c r="AM340" i="1"/>
  <c r="AI330" i="1"/>
  <c r="CY303" i="1"/>
  <c r="L284" i="1"/>
  <c r="AY271" i="1"/>
  <c r="BS261" i="1"/>
  <c r="S252" i="1"/>
  <c r="BW242" i="1"/>
  <c r="W233" i="1"/>
  <c r="CA223" i="1"/>
  <c r="CI304" i="1"/>
  <c r="BO357" i="1"/>
  <c r="BG346" i="1"/>
  <c r="AY338" i="1"/>
  <c r="CT328" i="1"/>
  <c r="AT319" i="1"/>
  <c r="CX309" i="1"/>
  <c r="AX300" i="1"/>
  <c r="DB290" i="1"/>
  <c r="BB281" i="1"/>
  <c r="DF271" i="1"/>
  <c r="AS338" i="1"/>
  <c r="CO328" i="1"/>
  <c r="AO319" i="1"/>
  <c r="CS309" i="1"/>
  <c r="AS300" i="1"/>
  <c r="AY343" i="1"/>
  <c r="CV331" i="1"/>
  <c r="AV322" i="1"/>
  <c r="CZ312" i="1"/>
  <c r="AZ303" i="1"/>
  <c r="DD293" i="1"/>
  <c r="M340" i="1"/>
  <c r="O330" i="1"/>
  <c r="W303" i="1"/>
  <c r="CO283" i="1"/>
  <c r="X271" i="1"/>
  <c r="AY261" i="1"/>
  <c r="AM254" i="1"/>
  <c r="BO249" i="1"/>
  <c r="CQ244" i="1"/>
  <c r="O240" i="1"/>
  <c r="AQ235" i="1"/>
  <c r="BS230" i="1"/>
  <c r="CU225" i="1"/>
  <c r="S221" i="1"/>
  <c r="BG313" i="1"/>
  <c r="DG294" i="1"/>
  <c r="AG287" i="1"/>
  <c r="H282" i="1"/>
  <c r="CC275" i="1"/>
  <c r="BN269" i="1"/>
  <c r="CP264" i="1"/>
  <c r="N260" i="1"/>
  <c r="AP255" i="1"/>
  <c r="BR250" i="1"/>
  <c r="CT245" i="1"/>
  <c r="R241" i="1"/>
  <c r="AT236" i="1"/>
  <c r="BV231" i="1"/>
  <c r="CX226" i="1"/>
  <c r="V222" i="1"/>
  <c r="BF307" i="1"/>
  <c r="BV299" i="1"/>
  <c r="AH293" i="1"/>
  <c r="J287" i="1"/>
  <c r="BZ280" i="1"/>
  <c r="AL274" i="1"/>
  <c r="R357" i="1"/>
  <c r="AT341" i="1"/>
  <c r="BQ335" i="1"/>
  <c r="CS330" i="1"/>
  <c r="Q326" i="1"/>
  <c r="AS321" i="1"/>
  <c r="BU316" i="1"/>
  <c r="CW311" i="1"/>
  <c r="U307" i="1"/>
  <c r="AW302" i="1"/>
  <c r="BY297" i="1"/>
  <c r="AX350" i="1"/>
  <c r="CS338" i="1"/>
  <c r="CZ333" i="1"/>
  <c r="X329" i="1"/>
  <c r="AZ324" i="1"/>
  <c r="CB319" i="1"/>
  <c r="DD314" i="1"/>
  <c r="AB310" i="1"/>
  <c r="BD305" i="1"/>
  <c r="CF300" i="1"/>
  <c r="DH295" i="1"/>
  <c r="AF291" i="1"/>
  <c r="DB343" i="1"/>
  <c r="CU336" i="1"/>
  <c r="S332" i="1"/>
  <c r="AU327" i="1"/>
  <c r="AM311" i="1"/>
  <c r="CW293" i="1"/>
  <c r="BK286" i="1"/>
  <c r="AB280" i="1"/>
  <c r="CW273" i="1"/>
  <c r="AA268" i="1"/>
  <c r="BC263" i="1"/>
  <c r="CE258" i="1"/>
  <c r="DG253" i="1"/>
  <c r="AE249" i="1"/>
  <c r="BG244" i="1"/>
  <c r="CI239" i="1"/>
  <c r="G235" i="1"/>
  <c r="AI230" i="1"/>
  <c r="BK225" i="1"/>
  <c r="CM220" i="1"/>
  <c r="W312" i="1"/>
  <c r="AM294" i="1"/>
  <c r="CO286" i="1"/>
  <c r="AA352" i="1"/>
  <c r="BC347" i="1"/>
  <c r="F353" i="1"/>
  <c r="CD339" i="1"/>
  <c r="BN334" i="1"/>
  <c r="CP329" i="1"/>
  <c r="N325" i="1"/>
  <c r="AP320" i="1"/>
  <c r="BR315" i="1"/>
  <c r="CT310" i="1"/>
  <c r="R306" i="1"/>
  <c r="AT301" i="1"/>
  <c r="BV296" i="1"/>
  <c r="CX291" i="1"/>
  <c r="V287" i="1"/>
  <c r="AX282" i="1"/>
  <c r="BZ277" i="1"/>
  <c r="DB272" i="1"/>
  <c r="CP352" i="1"/>
  <c r="BW339" i="1"/>
  <c r="BI334" i="1"/>
  <c r="CK329" i="1"/>
  <c r="I325" i="1"/>
  <c r="AK320" i="1"/>
  <c r="BM315" i="1"/>
  <c r="CO310" i="1"/>
  <c r="M306" i="1"/>
  <c r="AO301" i="1"/>
  <c r="BQ296" i="1"/>
  <c r="R346" i="1"/>
  <c r="BP337" i="1"/>
  <c r="CR332" i="1"/>
  <c r="P328" i="1"/>
  <c r="AR323" i="1"/>
  <c r="BT318" i="1"/>
  <c r="CV313" i="1"/>
  <c r="T309" i="1"/>
  <c r="AV304" i="1"/>
  <c r="BX299" i="1"/>
  <c r="CZ294" i="1"/>
  <c r="DB357" i="1"/>
  <c r="CL341" i="1"/>
  <c r="CM335" i="1"/>
  <c r="K331" i="1"/>
  <c r="DG325" i="1"/>
  <c r="G307" i="1"/>
  <c r="CG291" i="1"/>
  <c r="P285" i="1"/>
  <c r="CK278" i="1"/>
  <c r="BC272" i="1"/>
  <c r="S267" i="1"/>
  <c r="AU262" i="1"/>
  <c r="BW257" i="1"/>
  <c r="CY252" i="1"/>
  <c r="W248" i="1"/>
  <c r="AY243" i="1"/>
  <c r="CA238" i="1"/>
  <c r="DC233" i="1"/>
  <c r="AA229" i="1"/>
  <c r="BC224" i="1"/>
  <c r="CE219" i="1"/>
  <c r="CU307" i="1"/>
  <c r="W292" i="1"/>
  <c r="K353" i="1"/>
  <c r="AM348" i="1"/>
  <c r="AX356" i="1"/>
  <c r="G341" i="1"/>
  <c r="AX335" i="1"/>
  <c r="BZ330" i="1"/>
  <c r="DB325" i="1"/>
  <c r="Z321" i="1"/>
  <c r="BB316" i="1"/>
  <c r="CD311" i="1"/>
  <c r="DF306" i="1"/>
  <c r="AD302" i="1"/>
  <c r="BF297" i="1"/>
  <c r="CH292" i="1"/>
  <c r="F288" i="1"/>
  <c r="AH283" i="1"/>
  <c r="BJ278" i="1"/>
  <c r="CL273" i="1"/>
  <c r="AD356" i="1"/>
  <c r="DB340" i="1"/>
  <c r="AS335" i="1"/>
  <c r="BU330" i="1"/>
  <c r="CW325" i="1"/>
  <c r="U321" i="1"/>
  <c r="AW316" i="1"/>
  <c r="BY311" i="1"/>
  <c r="DA306" i="1"/>
  <c r="Y302" i="1"/>
  <c r="BA297" i="1"/>
  <c r="BJ349" i="1"/>
  <c r="BM338" i="1"/>
  <c r="CB333" i="1"/>
  <c r="DD328" i="1"/>
  <c r="AB324" i="1"/>
  <c r="BD319" i="1"/>
  <c r="CF314" i="1"/>
  <c r="DH309" i="1"/>
  <c r="AF305" i="1"/>
  <c r="BH300" i="1"/>
  <c r="CJ295" i="1"/>
  <c r="H291" i="1"/>
  <c r="BF343" i="1"/>
  <c r="BW336" i="1"/>
  <c r="CY331" i="1"/>
  <c r="W327" i="1"/>
  <c r="AY310" i="1"/>
  <c r="BA293" i="1"/>
  <c r="AE286" i="1"/>
  <c r="CZ279" i="1"/>
  <c r="BQ273" i="1"/>
  <c r="DG267" i="1"/>
  <c r="AE263" i="1"/>
  <c r="BG258" i="1"/>
  <c r="CI253" i="1"/>
  <c r="G249" i="1"/>
  <c r="AI244" i="1"/>
  <c r="BK239" i="1"/>
  <c r="CM234" i="1"/>
  <c r="K230" i="1"/>
  <c r="AM225" i="1"/>
  <c r="BO220" i="1"/>
  <c r="AI311" i="1"/>
  <c r="CU293" i="1"/>
  <c r="BI286" i="1"/>
  <c r="CU352" i="1"/>
  <c r="S348" i="1"/>
  <c r="BZ355" i="1"/>
  <c r="BW340" i="1"/>
  <c r="AD335" i="1"/>
  <c r="BF330" i="1"/>
  <c r="CH325" i="1"/>
  <c r="F321" i="1"/>
  <c r="AH316" i="1"/>
  <c r="BJ311" i="1"/>
  <c r="CL306" i="1"/>
  <c r="J302" i="1"/>
  <c r="AL297" i="1"/>
  <c r="BN292" i="1"/>
  <c r="CP287" i="1"/>
  <c r="N283" i="1"/>
  <c r="AP278" i="1"/>
  <c r="BR273" i="1"/>
  <c r="BF355" i="1"/>
  <c r="BN340" i="1"/>
  <c r="Y335" i="1"/>
  <c r="BA330" i="1"/>
  <c r="CC325" i="1"/>
  <c r="DE320" i="1"/>
  <c r="AC316" i="1"/>
  <c r="BE311" i="1"/>
  <c r="CG306" i="1"/>
  <c r="DI301" i="1"/>
  <c r="AG297" i="1"/>
  <c r="CL348" i="1"/>
  <c r="AL338" i="1"/>
  <c r="BH333" i="1"/>
  <c r="CJ328" i="1"/>
  <c r="H324" i="1"/>
  <c r="AJ319" i="1"/>
  <c r="BL314" i="1"/>
  <c r="CN309" i="1"/>
  <c r="L305" i="1"/>
  <c r="AN300" i="1"/>
  <c r="BP295" i="1"/>
  <c r="CR290" i="1"/>
  <c r="R343" i="1"/>
  <c r="BC336" i="1"/>
  <c r="CE331" i="1"/>
  <c r="DG326" i="1"/>
  <c r="CA309" i="1"/>
  <c r="M293" i="1"/>
  <c r="DH285" i="1"/>
  <c r="BY279" i="1"/>
  <c r="AQ273" i="1"/>
  <c r="CM267" i="1"/>
  <c r="K263" i="1"/>
  <c r="AM258" i="1"/>
  <c r="BO253" i="1"/>
  <c r="CQ248" i="1"/>
  <c r="O244" i="1"/>
  <c r="AQ239" i="1"/>
  <c r="BS234" i="1"/>
  <c r="CU229" i="1"/>
  <c r="S225" i="1"/>
  <c r="AU220" i="1"/>
  <c r="BK310" i="1"/>
  <c r="BG293" i="1"/>
  <c r="AI286" i="1"/>
  <c r="I281" i="1"/>
  <c r="CE274" i="1"/>
  <c r="CP268" i="1"/>
  <c r="N264" i="1"/>
  <c r="AP259" i="1"/>
  <c r="BR254" i="1"/>
  <c r="CT249" i="1"/>
  <c r="R245" i="1"/>
  <c r="AT240" i="1"/>
  <c r="BV235" i="1"/>
  <c r="CX230" i="1"/>
  <c r="V226" i="1"/>
  <c r="AX221" i="1"/>
  <c r="AX305" i="1"/>
  <c r="BR298" i="1"/>
  <c r="AT292" i="1"/>
  <c r="F286" i="1"/>
  <c r="BV279" i="1"/>
  <c r="AX273" i="1"/>
  <c r="V354" i="1"/>
  <c r="O340" i="1"/>
  <c r="CS334" i="1"/>
  <c r="Q330" i="1"/>
  <c r="AS325" i="1"/>
  <c r="BU320" i="1"/>
  <c r="CW315" i="1"/>
  <c r="U311" i="1"/>
  <c r="AW306" i="1"/>
  <c r="BY301" i="1"/>
  <c r="DA296" i="1"/>
  <c r="BB347" i="1"/>
  <c r="CZ337" i="1"/>
  <c r="X333" i="1"/>
  <c r="AZ328" i="1"/>
  <c r="CB323" i="1"/>
  <c r="DD318" i="1"/>
  <c r="AB314" i="1"/>
  <c r="BD309" i="1"/>
  <c r="CF304" i="1"/>
  <c r="DH299" i="1"/>
  <c r="AF295" i="1"/>
  <c r="AH359" i="1"/>
  <c r="BB342" i="1"/>
  <c r="S336" i="1"/>
  <c r="AU331" i="1"/>
  <c r="BW326" i="1"/>
  <c r="AQ308" i="1"/>
  <c r="AW292" i="1"/>
  <c r="BL285" i="1"/>
  <c r="AC279" i="1"/>
  <c r="CY272" i="1"/>
  <c r="BC267" i="1"/>
  <c r="CE262" i="1"/>
  <c r="DG257" i="1"/>
  <c r="AE253" i="1"/>
  <c r="BG248" i="1"/>
  <c r="CI243" i="1"/>
  <c r="G239" i="1"/>
  <c r="AI234" i="1"/>
  <c r="BK229" i="1"/>
  <c r="CM224" i="1"/>
  <c r="K220" i="1"/>
  <c r="AA309" i="1"/>
  <c r="CQ292" i="1"/>
  <c r="G358" i="1"/>
  <c r="BC351" i="1"/>
  <c r="CE346" i="1"/>
  <c r="J350" i="1"/>
  <c r="CE338" i="1"/>
  <c r="CP333" i="1"/>
  <c r="N329" i="1"/>
  <c r="AP324" i="1"/>
  <c r="BR319" i="1"/>
  <c r="CT314" i="1"/>
  <c r="R310" i="1"/>
  <c r="AT305" i="1"/>
  <c r="BV300" i="1"/>
  <c r="CX295" i="1"/>
  <c r="V291" i="1"/>
  <c r="AX286" i="1"/>
  <c r="BZ281" i="1"/>
  <c r="DB276" i="1"/>
  <c r="Z272" i="1"/>
  <c r="CT349" i="1"/>
  <c r="BY338" i="1"/>
  <c r="CK333" i="1"/>
  <c r="I329" i="1"/>
  <c r="AK324" i="1"/>
  <c r="BM319" i="1"/>
  <c r="CO314" i="1"/>
  <c r="M310" i="1"/>
  <c r="AO305" i="1"/>
  <c r="BQ300" i="1"/>
  <c r="CS295" i="1"/>
  <c r="CU343" i="1"/>
  <c r="CR336" i="1"/>
  <c r="P332" i="1"/>
  <c r="AR327" i="1"/>
  <c r="BT322" i="1"/>
  <c r="CV317" i="1"/>
  <c r="T313" i="1"/>
  <c r="AV308" i="1"/>
  <c r="BX303" i="1"/>
  <c r="CZ298" i="1"/>
  <c r="X294" i="1"/>
  <c r="DF354" i="1"/>
  <c r="AS340" i="1"/>
  <c r="K335" i="1"/>
  <c r="AM330" i="1"/>
  <c r="G323" i="1"/>
  <c r="K304" i="1"/>
  <c r="AZ290" i="1"/>
  <c r="Q284" i="1"/>
  <c r="CM277" i="1"/>
  <c r="BD271" i="1"/>
  <c r="AU266" i="1"/>
  <c r="BW261" i="1"/>
  <c r="CY256" i="1"/>
  <c r="W252" i="1"/>
  <c r="AY247" i="1"/>
  <c r="CA242" i="1"/>
  <c r="DC237" i="1"/>
  <c r="AA233" i="1"/>
  <c r="BC228" i="1"/>
  <c r="CE223" i="1"/>
  <c r="CU323" i="1"/>
  <c r="CY304" i="1"/>
  <c r="CE290" i="1"/>
  <c r="AM352" i="1"/>
  <c r="BO347" i="1"/>
  <c r="BB353" i="1"/>
  <c r="CT339" i="1"/>
  <c r="BZ334" i="1"/>
  <c r="DB329" i="1"/>
  <c r="Z325" i="1"/>
  <c r="BB320" i="1"/>
  <c r="CD315" i="1"/>
  <c r="DF310" i="1"/>
  <c r="AD306" i="1"/>
  <c r="BF301" i="1"/>
  <c r="CH296" i="1"/>
  <c r="F292" i="1"/>
  <c r="AH287" i="1"/>
  <c r="BJ282" i="1"/>
  <c r="CL277" i="1"/>
  <c r="J273" i="1"/>
  <c r="AH353" i="1"/>
  <c r="CM339" i="1"/>
  <c r="BU334" i="1"/>
  <c r="CW329" i="1"/>
  <c r="U325" i="1"/>
  <c r="AW320" i="1"/>
  <c r="BY315" i="1"/>
  <c r="DA310" i="1"/>
  <c r="Y306" i="1"/>
  <c r="BA301" i="1"/>
  <c r="CC296" i="1"/>
  <c r="BN346" i="1"/>
  <c r="CB337" i="1"/>
  <c r="DD332" i="1"/>
  <c r="AB328" i="1"/>
  <c r="BD323" i="1"/>
  <c r="CF318" i="1"/>
  <c r="DH313" i="1"/>
  <c r="AF309" i="1"/>
  <c r="BH304" i="1"/>
  <c r="CJ299" i="1"/>
  <c r="H295" i="1"/>
  <c r="AT358" i="1"/>
  <c r="F342" i="1"/>
  <c r="CY335" i="1"/>
  <c r="W331" i="1"/>
  <c r="AY326" i="1"/>
  <c r="BC307" i="1"/>
  <c r="DE291" i="1"/>
  <c r="AF285" i="1"/>
  <c r="DA278" i="1"/>
  <c r="BS272" i="1"/>
  <c r="AE267" i="1"/>
  <c r="BG262" i="1"/>
  <c r="CI257" i="1"/>
  <c r="G253" i="1"/>
  <c r="AI248" i="1"/>
  <c r="BK243" i="1"/>
  <c r="CM238" i="1"/>
  <c r="K234" i="1"/>
  <c r="AM229" i="1"/>
  <c r="BO224" i="1"/>
  <c r="CQ219" i="1"/>
  <c r="AM308" i="1"/>
  <c r="AU292" i="1"/>
  <c r="BK285" i="1"/>
  <c r="S352" i="1"/>
  <c r="AU347" i="1"/>
  <c r="CD352" i="1"/>
  <c r="BS339" i="1"/>
  <c r="BF334" i="1"/>
  <c r="CH329" i="1"/>
  <c r="F325" i="1"/>
  <c r="AH320" i="1"/>
  <c r="BJ315" i="1"/>
  <c r="CL310" i="1"/>
  <c r="J306" i="1"/>
  <c r="AL301" i="1"/>
  <c r="BN296" i="1"/>
  <c r="CP291" i="1"/>
  <c r="N287" i="1"/>
  <c r="AP282" i="1"/>
  <c r="AL306" i="1"/>
  <c r="Z299" i="1"/>
  <c r="DF292" i="1"/>
  <c r="BR286" i="1"/>
  <c r="AD280" i="1"/>
  <c r="F274" i="1"/>
  <c r="DB355" i="1"/>
  <c r="CL340" i="1"/>
  <c r="AK335" i="1"/>
  <c r="BM330" i="1"/>
  <c r="CO325" i="1"/>
  <c r="M321" i="1"/>
  <c r="AO316" i="1"/>
  <c r="BQ311" i="1"/>
  <c r="CS306" i="1"/>
  <c r="Q302" i="1"/>
  <c r="AS297" i="1"/>
  <c r="AD349" i="1"/>
  <c r="BB338" i="1"/>
  <c r="BT333" i="1"/>
  <c r="CV328" i="1"/>
  <c r="T324" i="1"/>
  <c r="AV319" i="1"/>
  <c r="BX314" i="1"/>
  <c r="CZ309" i="1"/>
  <c r="X305" i="1"/>
  <c r="AZ300" i="1"/>
  <c r="CB295" i="1"/>
  <c r="DD290" i="1"/>
  <c r="AP343" i="1"/>
  <c r="BO336" i="1"/>
  <c r="CQ331" i="1"/>
  <c r="O327" i="1"/>
  <c r="S310" i="1"/>
  <c r="AK293" i="1"/>
  <c r="T286" i="1"/>
  <c r="CO279" i="1"/>
  <c r="BG273" i="1"/>
  <c r="CY267" i="1"/>
  <c r="W263" i="1"/>
  <c r="AY258" i="1"/>
  <c r="CA253" i="1"/>
  <c r="DC248" i="1"/>
  <c r="AA244" i="1"/>
  <c r="BC239" i="1"/>
  <c r="CE234" i="1"/>
  <c r="DG229" i="1"/>
  <c r="AY226" i="1"/>
  <c r="K224" i="1"/>
  <c r="CA221" i="1"/>
  <c r="AA325" i="1"/>
  <c r="CE315" i="1"/>
  <c r="AE306" i="1"/>
  <c r="CI296" i="1"/>
  <c r="AQ291" i="1"/>
  <c r="DI287" i="1"/>
  <c r="BK356" i="1"/>
  <c r="O353" i="1"/>
  <c r="CE350" i="1"/>
  <c r="AQ348" i="1"/>
  <c r="DG345" i="1"/>
  <c r="BN356" i="1"/>
  <c r="N347" i="1"/>
  <c r="O341" i="1"/>
  <c r="CP337" i="1"/>
  <c r="BB335" i="1"/>
  <c r="N333" i="1"/>
  <c r="CD330" i="1"/>
  <c r="AP328" i="1"/>
  <c r="DF325" i="1"/>
  <c r="BR323" i="1"/>
  <c r="AD321" i="1"/>
  <c r="CT318" i="1"/>
  <c r="BF316" i="1"/>
  <c r="R314" i="1"/>
  <c r="CH311" i="1"/>
  <c r="AT309" i="1"/>
  <c r="F307" i="1"/>
  <c r="BV304" i="1"/>
  <c r="AH302" i="1"/>
  <c r="CX299" i="1"/>
  <c r="BJ297" i="1"/>
  <c r="V295" i="1"/>
  <c r="CL292" i="1"/>
  <c r="AX290" i="1"/>
  <c r="J288" i="1"/>
  <c r="BZ285" i="1"/>
  <c r="AL283" i="1"/>
  <c r="DB280" i="1"/>
  <c r="BN278" i="1"/>
  <c r="Z276" i="1"/>
  <c r="CP273" i="1"/>
  <c r="BB271" i="1"/>
  <c r="AT356" i="1"/>
  <c r="CX346" i="1"/>
  <c r="F341" i="1"/>
  <c r="CK337" i="1"/>
  <c r="AW335" i="1"/>
  <c r="I333" i="1"/>
  <c r="BY330" i="1"/>
  <c r="AK328" i="1"/>
  <c r="DA325" i="1"/>
  <c r="BM323" i="1"/>
  <c r="Y321" i="1"/>
  <c r="CO318" i="1"/>
  <c r="BA316" i="1"/>
  <c r="M314" i="1"/>
  <c r="CC311" i="1"/>
  <c r="AO309" i="1"/>
  <c r="DE306" i="1"/>
  <c r="BQ304" i="1"/>
  <c r="AC302" i="1"/>
  <c r="CS299" i="1"/>
  <c r="BE297" i="1"/>
  <c r="V359" i="1"/>
  <c r="BZ349" i="1"/>
  <c r="AU342" i="1"/>
  <c r="BR338" i="1"/>
  <c r="P336" i="1"/>
  <c r="CF333" i="1"/>
  <c r="AR331" i="1"/>
  <c r="DH328" i="1"/>
  <c r="BT326" i="1"/>
  <c r="AF324" i="1"/>
  <c r="CV321" i="1"/>
  <c r="BH319" i="1"/>
  <c r="T317" i="1"/>
  <c r="CJ314" i="1"/>
  <c r="AV312" i="1"/>
  <c r="H310" i="1"/>
  <c r="BX307" i="1"/>
  <c r="AJ305" i="1"/>
  <c r="CZ302" i="1"/>
  <c r="BL300" i="1"/>
  <c r="X298" i="1"/>
  <c r="CN295" i="1"/>
  <c r="AZ293" i="1"/>
  <c r="L291" i="1"/>
  <c r="F352" i="1"/>
  <c r="BN343" i="1"/>
  <c r="AT339" i="1"/>
  <c r="CA336" i="1"/>
  <c r="AM334" i="1"/>
  <c r="DC331" i="1"/>
  <c r="BO329" i="1"/>
  <c r="AA327" i="1"/>
  <c r="K320" i="1"/>
  <c r="BO310" i="1"/>
  <c r="O301" i="1"/>
  <c r="BI293" i="1"/>
  <c r="BA289" i="1"/>
  <c r="AJ286" i="1"/>
  <c r="S283" i="1"/>
  <c r="DE279" i="1"/>
  <c r="CN276" i="1"/>
  <c r="BW273" i="1"/>
  <c r="BE270" i="1"/>
  <c r="G268" i="1"/>
  <c r="BW265" i="1"/>
  <c r="AI263" i="1"/>
  <c r="CY260" i="1"/>
  <c r="BK258" i="1"/>
  <c r="W256" i="1"/>
  <c r="CM253" i="1"/>
  <c r="AY251" i="1"/>
  <c r="K249" i="1"/>
  <c r="CA246" i="1"/>
  <c r="AM244" i="1"/>
  <c r="DC241" i="1"/>
  <c r="BO239" i="1"/>
  <c r="AA237" i="1"/>
  <c r="CQ234" i="1"/>
  <c r="BC232" i="1"/>
  <c r="O230" i="1"/>
  <c r="CE227" i="1"/>
  <c r="AQ225" i="1"/>
  <c r="DG222" i="1"/>
  <c r="BS220" i="1"/>
  <c r="CY320" i="1"/>
  <c r="AY311" i="1"/>
  <c r="DC301" i="1"/>
  <c r="DC293" i="1"/>
  <c r="AE358" i="1"/>
  <c r="DC353" i="1"/>
  <c r="BO351" i="1"/>
  <c r="AA349" i="1"/>
  <c r="CQ346" i="1"/>
  <c r="DF359" i="1"/>
  <c r="BF350" i="1"/>
  <c r="CM342" i="1"/>
  <c r="CU338" i="1"/>
  <c r="AL336" i="1"/>
  <c r="DB333" i="1"/>
  <c r="BN331" i="1"/>
  <c r="Z329" i="1"/>
  <c r="CP326" i="1"/>
  <c r="BB324" i="1"/>
  <c r="N322" i="1"/>
  <c r="CD319" i="1"/>
  <c r="AP317" i="1"/>
  <c r="DF314" i="1"/>
  <c r="BR312" i="1"/>
  <c r="AD310" i="1"/>
  <c r="CT307" i="1"/>
  <c r="BF305" i="1"/>
  <c r="R303" i="1"/>
  <c r="CH300" i="1"/>
  <c r="AT298" i="1"/>
  <c r="F296" i="1"/>
  <c r="BV293" i="1"/>
  <c r="AH291" i="1"/>
  <c r="CX288" i="1"/>
  <c r="BJ286" i="1"/>
  <c r="V284" i="1"/>
  <c r="CL281" i="1"/>
  <c r="AX279" i="1"/>
  <c r="J277" i="1"/>
  <c r="BZ274" i="1"/>
  <c r="AL272" i="1"/>
  <c r="CL359" i="1"/>
  <c r="AL350" i="1"/>
  <c r="CD342" i="1"/>
  <c r="CO338" i="1"/>
  <c r="AG336" i="1"/>
  <c r="CW333" i="1"/>
  <c r="BI331" i="1"/>
  <c r="U329" i="1"/>
  <c r="CK326" i="1"/>
  <c r="AW324" i="1"/>
  <c r="I322" i="1"/>
  <c r="BY319" i="1"/>
  <c r="AK317" i="1"/>
  <c r="DA314" i="1"/>
  <c r="BM312" i="1"/>
  <c r="Y310" i="1"/>
  <c r="CO307" i="1"/>
  <c r="BA305" i="1"/>
  <c r="M303" i="1"/>
  <c r="CC300" i="1"/>
  <c r="AO298" i="1"/>
  <c r="DE295" i="1"/>
  <c r="N353" i="1"/>
  <c r="O344" i="1"/>
  <c r="CG339" i="1"/>
  <c r="DD336" i="1"/>
  <c r="BP334" i="1"/>
  <c r="AB332" i="1"/>
  <c r="CR329" i="1"/>
  <c r="BD327" i="1"/>
  <c r="P325" i="1"/>
  <c r="CF322" i="1"/>
  <c r="AR320" i="1"/>
  <c r="DH317" i="1"/>
  <c r="BT315" i="1"/>
  <c r="AF313" i="1"/>
  <c r="CV310" i="1"/>
  <c r="BH308" i="1"/>
  <c r="T306" i="1"/>
  <c r="CJ303" i="1"/>
  <c r="AV301" i="1"/>
  <c r="H299" i="1"/>
  <c r="BX296" i="1"/>
  <c r="AJ294" i="1"/>
  <c r="CZ291" i="1"/>
  <c r="AX355" i="1"/>
  <c r="DB345" i="1"/>
  <c r="BJ340" i="1"/>
  <c r="BK337" i="1"/>
  <c r="W335" i="1"/>
  <c r="CM332" i="1"/>
  <c r="AY330" i="1"/>
  <c r="K328" i="1"/>
  <c r="BC323" i="1"/>
  <c r="DG313" i="1"/>
  <c r="BG304" i="1"/>
  <c r="AC295" i="1"/>
  <c r="BP290" i="1"/>
  <c r="AY287" i="1"/>
  <c r="AG284" i="1"/>
  <c r="P281" i="1"/>
  <c r="DC277" i="1"/>
  <c r="CK274" i="1"/>
  <c r="BT271" i="1"/>
  <c r="CU268" i="1"/>
  <c r="BG266" i="1"/>
  <c r="S264" i="1"/>
  <c r="CI261" i="1"/>
  <c r="AU259" i="1"/>
  <c r="G257" i="1"/>
  <c r="BW254" i="1"/>
  <c r="AI252" i="1"/>
  <c r="CY249" i="1"/>
  <c r="BK247" i="1"/>
  <c r="W245" i="1"/>
  <c r="CM242" i="1"/>
  <c r="AY240" i="1"/>
  <c r="K238" i="1"/>
  <c r="CA235" i="1"/>
  <c r="AM233" i="1"/>
  <c r="DC230" i="1"/>
  <c r="BO228" i="1"/>
  <c r="AA226" i="1"/>
  <c r="CQ223" i="1"/>
  <c r="BC221" i="1"/>
  <c r="AM324" i="1"/>
  <c r="CQ314" i="1"/>
  <c r="AQ305" i="1"/>
  <c r="CU295" i="1"/>
  <c r="CY290" i="1"/>
  <c r="CC287" i="1"/>
  <c r="CU357" i="1"/>
  <c r="CI353" i="1"/>
  <c r="AU351" i="1"/>
  <c r="G349" i="1"/>
  <c r="BW346" i="1"/>
  <c r="AD359" i="1"/>
  <c r="CH349" i="1"/>
  <c r="AY342" i="1"/>
  <c r="BU338" i="1"/>
  <c r="R336" i="1"/>
  <c r="CH333" i="1"/>
  <c r="AT331" i="1"/>
  <c r="F329" i="1"/>
  <c r="BV326" i="1"/>
  <c r="AH324" i="1"/>
  <c r="CX321" i="1"/>
  <c r="BJ319" i="1"/>
  <c r="V317" i="1"/>
  <c r="CL314" i="1"/>
  <c r="AX312" i="1"/>
  <c r="J310" i="1"/>
  <c r="BZ307" i="1"/>
  <c r="AL305" i="1"/>
  <c r="DB302" i="1"/>
  <c r="BN300" i="1"/>
  <c r="Z298" i="1"/>
  <c r="CP295" i="1"/>
  <c r="BB293" i="1"/>
  <c r="N291" i="1"/>
  <c r="CD288" i="1"/>
  <c r="AP286" i="1"/>
  <c r="DF283" i="1"/>
  <c r="BR281" i="1"/>
  <c r="AD279" i="1"/>
  <c r="CT276" i="1"/>
  <c r="BF274" i="1"/>
  <c r="R272" i="1"/>
  <c r="J359" i="1"/>
  <c r="BN349" i="1"/>
  <c r="AP342" i="1"/>
  <c r="BN338" i="1"/>
  <c r="M336" i="1"/>
  <c r="CC333" i="1"/>
  <c r="AO331" i="1"/>
  <c r="DE328" i="1"/>
  <c r="BQ326" i="1"/>
  <c r="AC324" i="1"/>
  <c r="CS321" i="1"/>
  <c r="BE319" i="1"/>
  <c r="Q317" i="1"/>
  <c r="CG314" i="1"/>
  <c r="AS312" i="1"/>
  <c r="DI309" i="1"/>
  <c r="BU307" i="1"/>
  <c r="AG305" i="1"/>
  <c r="CW302" i="1"/>
  <c r="BI300" i="1"/>
  <c r="U298" i="1"/>
  <c r="CK295" i="1"/>
  <c r="AP352" i="1"/>
  <c r="CE343" i="1"/>
  <c r="BF339" i="1"/>
  <c r="CJ336" i="1"/>
  <c r="AV334" i="1"/>
  <c r="H332" i="1"/>
  <c r="BX329" i="1"/>
  <c r="AJ327" i="1"/>
  <c r="CZ324" i="1"/>
  <c r="BL322" i="1"/>
  <c r="X320" i="1"/>
  <c r="CN317" i="1"/>
  <c r="AZ315" i="1"/>
  <c r="L313" i="1"/>
  <c r="CB310" i="1"/>
  <c r="AN308" i="1"/>
  <c r="DD305" i="1"/>
  <c r="BP303" i="1"/>
  <c r="AB301" i="1"/>
  <c r="CR298" i="1"/>
  <c r="BD296" i="1"/>
  <c r="P294" i="1"/>
  <c r="CF291" i="1"/>
  <c r="BZ354" i="1"/>
  <c r="Z345" i="1"/>
  <c r="AH340" i="1"/>
  <c r="AQ337" i="1"/>
  <c r="DG334" i="1"/>
  <c r="BS332" i="1"/>
  <c r="AE330" i="1"/>
  <c r="CU327" i="1"/>
  <c r="CE322" i="1"/>
  <c r="AE313" i="1"/>
  <c r="CI303" i="1"/>
  <c r="CS294" i="1"/>
  <c r="AO290" i="1"/>
  <c r="X287" i="1"/>
  <c r="G284" i="1"/>
  <c r="CS280" i="1"/>
  <c r="CB277" i="1"/>
  <c r="BK274" i="1"/>
  <c r="AS271" i="1"/>
  <c r="CA268" i="1"/>
  <c r="AM266" i="1"/>
  <c r="DC263" i="1"/>
  <c r="BO261" i="1"/>
  <c r="AA259" i="1"/>
  <c r="CQ256" i="1"/>
  <c r="BC254" i="1"/>
  <c r="O252" i="1"/>
  <c r="CE249" i="1"/>
  <c r="AQ247" i="1"/>
  <c r="DG244" i="1"/>
  <c r="BS242" i="1"/>
  <c r="AE240" i="1"/>
  <c r="CU237" i="1"/>
  <c r="BG235" i="1"/>
  <c r="S233" i="1"/>
  <c r="CI230" i="1"/>
  <c r="AU228" i="1"/>
  <c r="G226" i="1"/>
  <c r="BW223" i="1"/>
  <c r="AI221" i="1"/>
  <c r="BO323" i="1"/>
  <c r="O314" i="1"/>
  <c r="BS304" i="1"/>
  <c r="AI295" i="1"/>
  <c r="BT290" i="1"/>
  <c r="BC287" i="1"/>
  <c r="AZ285" i="1"/>
  <c r="AC282" i="1"/>
  <c r="L279" i="1"/>
  <c r="CY275" i="1"/>
  <c r="CG272" i="1"/>
  <c r="CD269" i="1"/>
  <c r="AP267" i="1"/>
  <c r="DF264" i="1"/>
  <c r="BV274" i="1"/>
  <c r="BV342" i="1"/>
  <c r="BE331" i="1"/>
  <c r="DI321" i="1"/>
  <c r="BI312" i="1"/>
  <c r="I303" i="1"/>
  <c r="DB352" i="1"/>
  <c r="BL334" i="1"/>
  <c r="L325" i="1"/>
  <c r="BP315" i="1"/>
  <c r="P306" i="1"/>
  <c r="BT296" i="1"/>
  <c r="CL345" i="1"/>
  <c r="CI332" i="1"/>
  <c r="CQ313" i="1"/>
  <c r="AS287" i="1"/>
  <c r="CF274" i="1"/>
  <c r="O264" i="1"/>
  <c r="BS254" i="1"/>
  <c r="S245" i="1"/>
  <c r="BW235" i="1"/>
  <c r="W226" i="1"/>
  <c r="CA314" i="1"/>
  <c r="BX287" i="1"/>
  <c r="P276" i="1"/>
  <c r="R265" i="1"/>
  <c r="CL259" i="1"/>
  <c r="J255" i="1"/>
  <c r="AL250" i="1"/>
  <c r="BN245" i="1"/>
  <c r="CP240" i="1"/>
  <c r="N236" i="1"/>
  <c r="AP231" i="1"/>
  <c r="BR226" i="1"/>
  <c r="CT221" i="1"/>
  <c r="S320" i="1"/>
  <c r="BW310" i="1"/>
  <c r="W301" i="1"/>
  <c r="BM293" i="1"/>
  <c r="BD289" i="1"/>
  <c r="AM286" i="1"/>
  <c r="U283" i="1"/>
  <c r="DH279" i="1"/>
  <c r="CQ276" i="1"/>
  <c r="BY273" i="1"/>
  <c r="BH270" i="1"/>
  <c r="I268" i="1"/>
  <c r="BY265" i="1"/>
  <c r="AK263" i="1"/>
  <c r="DA260" i="1"/>
  <c r="AD298" i="1"/>
  <c r="CH288" i="1"/>
  <c r="AH279" i="1"/>
  <c r="Z359" i="1"/>
  <c r="Q336" i="1"/>
  <c r="BU326" i="1"/>
  <c r="U317" i="1"/>
  <c r="BY307" i="1"/>
  <c r="Y298" i="1"/>
  <c r="BK339" i="1"/>
  <c r="CB329" i="1"/>
  <c r="AB320" i="1"/>
  <c r="CF310" i="1"/>
  <c r="AF301" i="1"/>
  <c r="CJ291" i="1"/>
  <c r="AU337" i="1"/>
  <c r="CY327" i="1"/>
  <c r="DA294" i="1"/>
  <c r="CY280" i="1"/>
  <c r="CE268" i="1"/>
  <c r="AE259" i="1"/>
  <c r="CI249" i="1"/>
  <c r="AI240" i="1"/>
  <c r="CM230" i="1"/>
  <c r="AM221" i="1"/>
  <c r="AQ295" i="1"/>
  <c r="BS353" i="1"/>
  <c r="BV358" i="1"/>
  <c r="DF335" i="1"/>
  <c r="BF326" i="1"/>
  <c r="F317" i="1"/>
  <c r="BJ307" i="1"/>
  <c r="J298" i="1"/>
  <c r="BN288" i="1"/>
  <c r="N279" i="1"/>
  <c r="BB358" i="1"/>
  <c r="DA335" i="1"/>
  <c r="BA326" i="1"/>
  <c r="DE316" i="1"/>
  <c r="BE307" i="1"/>
  <c r="DI297" i="1"/>
  <c r="AK339" i="1"/>
  <c r="BH329" i="1"/>
  <c r="H320" i="1"/>
  <c r="BL310" i="1"/>
  <c r="L301" i="1"/>
  <c r="BP291" i="1"/>
  <c r="AA337" i="1"/>
  <c r="CE327" i="1"/>
  <c r="BM294" i="1"/>
  <c r="BX280" i="1"/>
  <c r="BK268" i="1"/>
  <c r="K259" i="1"/>
  <c r="BK252" i="1"/>
  <c r="CM247" i="1"/>
  <c r="K243" i="1"/>
  <c r="AM238" i="1"/>
  <c r="BO233" i="1"/>
  <c r="CQ228" i="1"/>
  <c r="O224" i="1"/>
  <c r="AQ325" i="1"/>
  <c r="AU306" i="1"/>
  <c r="AY291" i="1"/>
  <c r="AS286" i="1"/>
  <c r="BX279" i="1"/>
  <c r="AO273" i="1"/>
  <c r="CL267" i="1"/>
  <c r="J263" i="1"/>
  <c r="AL258" i="1"/>
  <c r="BN253" i="1"/>
  <c r="CP248" i="1"/>
  <c r="N244" i="1"/>
  <c r="AP239" i="1"/>
  <c r="BR234" i="1"/>
  <c r="CT229" i="1"/>
  <c r="R225" i="1"/>
  <c r="AT220" i="1"/>
  <c r="BV303" i="1"/>
  <c r="AH297" i="1"/>
  <c r="CX290" i="1"/>
  <c r="BZ284" i="1"/>
  <c r="AL278" i="1"/>
  <c r="AD272" i="1"/>
  <c r="F350" i="1"/>
  <c r="CD338" i="1"/>
  <c r="CO333" i="1"/>
  <c r="M329" i="1"/>
  <c r="AO324" i="1"/>
  <c r="BQ319" i="1"/>
  <c r="CS314" i="1"/>
  <c r="Q310" i="1"/>
  <c r="AS305" i="1"/>
  <c r="BU300" i="1"/>
  <c r="CW295" i="1"/>
  <c r="DC343" i="1"/>
  <c r="CV336" i="1"/>
  <c r="T332" i="1"/>
  <c r="AV327" i="1"/>
  <c r="BX322" i="1"/>
  <c r="CZ317" i="1"/>
  <c r="X313" i="1"/>
  <c r="AZ308" i="1"/>
  <c r="CB303" i="1"/>
  <c r="DD298" i="1"/>
  <c r="AB294" i="1"/>
  <c r="R355" i="1"/>
  <c r="AX340" i="1"/>
  <c r="O335" i="1"/>
  <c r="AQ330" i="1"/>
  <c r="W323" i="1"/>
  <c r="AA304" i="1"/>
  <c r="BE290" i="1"/>
  <c r="W284" i="1"/>
  <c r="CR277" i="1"/>
  <c r="BI271" i="1"/>
  <c r="AY266" i="1"/>
  <c r="CA261" i="1"/>
  <c r="DC256" i="1"/>
  <c r="AA252" i="1"/>
  <c r="BC247" i="1"/>
  <c r="CE242" i="1"/>
  <c r="DG237" i="1"/>
  <c r="AE233" i="1"/>
  <c r="BG228" i="1"/>
  <c r="CI223" i="1"/>
  <c r="G324" i="1"/>
  <c r="K305" i="1"/>
  <c r="CJ290" i="1"/>
  <c r="DC355" i="1"/>
  <c r="AY350" i="1"/>
  <c r="CA345" i="1"/>
  <c r="CX345" i="1"/>
  <c r="BJ337" i="1"/>
  <c r="CL332" i="1"/>
  <c r="J328" i="1"/>
  <c r="AL323" i="1"/>
  <c r="BN318" i="1"/>
  <c r="CP313" i="1"/>
  <c r="N309" i="1"/>
  <c r="AP304" i="1"/>
  <c r="BR299" i="1"/>
  <c r="CT294" i="1"/>
  <c r="R290" i="1"/>
  <c r="AT285" i="1"/>
  <c r="BV280" i="1"/>
  <c r="CX275" i="1"/>
  <c r="V271" i="1"/>
  <c r="CD345" i="1"/>
  <c r="BE337" i="1"/>
  <c r="CG332" i="1"/>
  <c r="DI327" i="1"/>
  <c r="AG323" i="1"/>
  <c r="BI318" i="1"/>
  <c r="CK313" i="1"/>
  <c r="I309" i="1"/>
  <c r="AK304" i="1"/>
  <c r="BM299" i="1"/>
  <c r="DF357" i="1"/>
  <c r="CM341" i="1"/>
  <c r="CN335" i="1"/>
  <c r="L331" i="1"/>
  <c r="AN326" i="1"/>
  <c r="BP321" i="1"/>
  <c r="CR316" i="1"/>
  <c r="P312" i="1"/>
  <c r="AR307" i="1"/>
  <c r="BT302" i="1"/>
  <c r="CV297" i="1"/>
  <c r="T293" i="1"/>
  <c r="CP350" i="1"/>
  <c r="DG338" i="1"/>
  <c r="G334" i="1"/>
  <c r="AI329" i="1"/>
  <c r="CU318" i="1"/>
  <c r="CY299" i="1"/>
  <c r="K289" i="1"/>
  <c r="CF282" i="1"/>
  <c r="AW276" i="1"/>
  <c r="O270" i="1"/>
  <c r="AQ265" i="1"/>
  <c r="BS260" i="1"/>
  <c r="CU255" i="1"/>
  <c r="S251" i="1"/>
  <c r="AU246" i="1"/>
  <c r="BW241" i="1"/>
  <c r="CY236" i="1"/>
  <c r="W232" i="1"/>
  <c r="AY227" i="1"/>
  <c r="CA222" i="1"/>
  <c r="CE319" i="1"/>
  <c r="CI300" i="1"/>
  <c r="BW357" i="1"/>
  <c r="AI351" i="1"/>
  <c r="BK346" i="1"/>
  <c r="AL349" i="1"/>
  <c r="BE338" i="1"/>
  <c r="BV333" i="1"/>
  <c r="CX328" i="1"/>
  <c r="V324" i="1"/>
  <c r="AX319" i="1"/>
  <c r="BZ314" i="1"/>
  <c r="DB309" i="1"/>
  <c r="Z305" i="1"/>
  <c r="BB300" i="1"/>
  <c r="CD295" i="1"/>
  <c r="DF290" i="1"/>
  <c r="AD286" i="1"/>
  <c r="BF281" i="1"/>
  <c r="CH276" i="1"/>
  <c r="F272" i="1"/>
  <c r="R349" i="1"/>
  <c r="AX338" i="1"/>
  <c r="BQ333" i="1"/>
  <c r="CS328" i="1"/>
  <c r="Q324" i="1"/>
  <c r="AS319" i="1"/>
  <c r="BU314" i="1"/>
  <c r="CW309" i="1"/>
  <c r="U305" i="1"/>
  <c r="AW300" i="1"/>
  <c r="BY295" i="1"/>
  <c r="BG343" i="1"/>
  <c r="BX336" i="1"/>
  <c r="CZ331" i="1"/>
  <c r="X327" i="1"/>
  <c r="AZ322" i="1"/>
  <c r="CB317" i="1"/>
  <c r="DD312" i="1"/>
  <c r="AB308" i="1"/>
  <c r="BD303" i="1"/>
  <c r="CF298" i="1"/>
  <c r="DH293" i="1"/>
  <c r="AD354" i="1"/>
  <c r="R340" i="1"/>
  <c r="CU334" i="1"/>
  <c r="S330" i="1"/>
  <c r="AI322" i="1"/>
  <c r="AM303" i="1"/>
  <c r="Y290" i="1"/>
  <c r="CU283" i="1"/>
  <c r="BL277" i="1"/>
  <c r="AC271" i="1"/>
  <c r="AA266" i="1"/>
  <c r="BC261" i="1"/>
  <c r="CE256" i="1"/>
  <c r="DG251" i="1"/>
  <c r="AE247" i="1"/>
  <c r="BG242" i="1"/>
  <c r="CI237" i="1"/>
  <c r="G233" i="1"/>
  <c r="AI228" i="1"/>
  <c r="BK223" i="1"/>
  <c r="S323" i="1"/>
  <c r="W304" i="1"/>
  <c r="BD290" i="1"/>
  <c r="AI357" i="1"/>
  <c r="O351" i="1"/>
  <c r="AQ346" i="1"/>
  <c r="BN348" i="1"/>
  <c r="AD338" i="1"/>
  <c r="BB333" i="1"/>
  <c r="CD328" i="1"/>
  <c r="DF323" i="1"/>
  <c r="AD319" i="1"/>
  <c r="BF314" i="1"/>
  <c r="CH309" i="1"/>
  <c r="F305" i="1"/>
  <c r="AH300" i="1"/>
  <c r="BJ295" i="1"/>
  <c r="CL290" i="1"/>
  <c r="J286" i="1"/>
  <c r="AL281" i="1"/>
  <c r="BN276" i="1"/>
  <c r="CP271" i="1"/>
  <c r="AT348" i="1"/>
  <c r="W338" i="1"/>
  <c r="AW333" i="1"/>
  <c r="BY328" i="1"/>
  <c r="DA323" i="1"/>
  <c r="Y319" i="1"/>
  <c r="BA314" i="1"/>
  <c r="CC309" i="1"/>
  <c r="DE304" i="1"/>
  <c r="AC300" i="1"/>
  <c r="BE295" i="1"/>
  <c r="S343" i="1"/>
  <c r="BD336" i="1"/>
  <c r="CF331" i="1"/>
  <c r="DH326" i="1"/>
  <c r="AF322" i="1"/>
  <c r="BH317" i="1"/>
  <c r="CJ312" i="1"/>
  <c r="H308" i="1"/>
  <c r="AJ303" i="1"/>
  <c r="BL298" i="1"/>
  <c r="CN293" i="1"/>
  <c r="BF353" i="1"/>
  <c r="CU339" i="1"/>
  <c r="CA334" i="1"/>
  <c r="DC329" i="1"/>
  <c r="BK321" i="1"/>
  <c r="BO302" i="1"/>
  <c r="DC289" i="1"/>
  <c r="BT283" i="1"/>
  <c r="AK277" i="1"/>
  <c r="DG270" i="1"/>
  <c r="G266" i="1"/>
  <c r="AI261" i="1"/>
  <c r="BK256" i="1"/>
  <c r="CM251" i="1"/>
  <c r="K247" i="1"/>
  <c r="AM242" i="1"/>
  <c r="BO237" i="1"/>
  <c r="CQ232" i="1"/>
  <c r="O228" i="1"/>
  <c r="AQ223" i="1"/>
  <c r="AU322" i="1"/>
  <c r="AY303" i="1"/>
  <c r="AC290" i="1"/>
  <c r="DH284" i="1"/>
  <c r="BY278" i="1"/>
  <c r="AQ272" i="1"/>
  <c r="J267" i="1"/>
  <c r="AL262" i="1"/>
  <c r="BN257" i="1"/>
  <c r="CP252" i="1"/>
  <c r="N248" i="1"/>
  <c r="AP243" i="1"/>
  <c r="BR238" i="1"/>
  <c r="CT233" i="1"/>
  <c r="R229" i="1"/>
  <c r="AT224" i="1"/>
  <c r="BC325" i="1"/>
  <c r="BR302" i="1"/>
  <c r="AD296" i="1"/>
  <c r="F290" i="1"/>
  <c r="BV283" i="1"/>
  <c r="AH277" i="1"/>
  <c r="BF271" i="1"/>
  <c r="J347" i="1"/>
  <c r="CO337" i="1"/>
  <c r="M333" i="1"/>
  <c r="AO328" i="1"/>
  <c r="BQ323" i="1"/>
  <c r="CS318" i="1"/>
  <c r="Q314" i="1"/>
  <c r="AS309" i="1"/>
  <c r="BU304" i="1"/>
  <c r="CW299" i="1"/>
  <c r="AL359" i="1"/>
  <c r="BC342" i="1"/>
  <c r="T336" i="1"/>
  <c r="AV331" i="1"/>
  <c r="BX326" i="1"/>
  <c r="CZ321" i="1"/>
  <c r="X317" i="1"/>
  <c r="AZ312" i="1"/>
  <c r="CB307" i="1"/>
  <c r="DD302" i="1"/>
  <c r="AB298" i="1"/>
  <c r="BD293" i="1"/>
  <c r="V352" i="1"/>
  <c r="AY339" i="1"/>
  <c r="AQ334" i="1"/>
  <c r="BS329" i="1"/>
  <c r="AA320" i="1"/>
  <c r="AE301" i="1"/>
  <c r="BG289" i="1"/>
  <c r="X283" i="1"/>
  <c r="CS276" i="1"/>
  <c r="BK270" i="1"/>
  <c r="CA265" i="1"/>
  <c r="DC260" i="1"/>
  <c r="AA256" i="1"/>
  <c r="BC251" i="1"/>
  <c r="CE246" i="1"/>
  <c r="DG241" i="1"/>
  <c r="AE237" i="1"/>
  <c r="BG232" i="1"/>
  <c r="CI227" i="1"/>
  <c r="G223" i="1"/>
  <c r="K321" i="1"/>
  <c r="O302" i="1"/>
  <c r="CK289" i="1"/>
  <c r="BC354" i="1"/>
  <c r="CA349" i="1"/>
  <c r="DC344" i="1"/>
  <c r="CI343" i="1"/>
  <c r="CL336" i="1"/>
  <c r="J332" i="1"/>
  <c r="AL327" i="1"/>
  <c r="BN322" i="1"/>
  <c r="CP317" i="1"/>
  <c r="N313" i="1"/>
  <c r="AP308" i="1"/>
  <c r="BR303" i="1"/>
  <c r="CT298" i="1"/>
  <c r="R294" i="1"/>
  <c r="AT289" i="1"/>
  <c r="BV284" i="1"/>
  <c r="CX279" i="1"/>
  <c r="V275" i="1"/>
  <c r="AX270" i="1"/>
  <c r="BZ343" i="1"/>
  <c r="CG336" i="1"/>
  <c r="DI331" i="1"/>
  <c r="AG327" i="1"/>
  <c r="BI322" i="1"/>
  <c r="CK317" i="1"/>
  <c r="I313" i="1"/>
  <c r="AK308" i="1"/>
  <c r="BM303" i="1"/>
  <c r="CO298" i="1"/>
  <c r="F355" i="1"/>
  <c r="AT340" i="1"/>
  <c r="L335" i="1"/>
  <c r="AN330" i="1"/>
  <c r="BP325" i="1"/>
  <c r="CR320" i="1"/>
  <c r="P316" i="1"/>
  <c r="AR311" i="1"/>
  <c r="BT306" i="1"/>
  <c r="CV301" i="1"/>
  <c r="T297" i="1"/>
  <c r="AV292" i="1"/>
  <c r="CT347" i="1"/>
  <c r="G338" i="1"/>
  <c r="AI333" i="1"/>
  <c r="BK328" i="1"/>
  <c r="CY315" i="1"/>
  <c r="DC296" i="1"/>
  <c r="L288" i="1"/>
  <c r="CG281" i="1"/>
  <c r="AY275" i="1"/>
  <c r="AQ269" i="1"/>
  <c r="BS264" i="1"/>
  <c r="CU259" i="1"/>
  <c r="S255" i="1"/>
  <c r="AU250" i="1"/>
  <c r="BW245" i="1"/>
  <c r="CY240" i="1"/>
  <c r="W236" i="1"/>
  <c r="AY231" i="1"/>
  <c r="CA226" i="1"/>
  <c r="DC221" i="1"/>
  <c r="CI316" i="1"/>
  <c r="CM297" i="1"/>
  <c r="W356" i="1"/>
  <c r="BK350" i="1"/>
  <c r="CM345" i="1"/>
  <c r="AP346" i="1"/>
  <c r="BV337" i="1"/>
  <c r="CX332" i="1"/>
  <c r="V328" i="1"/>
  <c r="AX323" i="1"/>
  <c r="BZ318" i="1"/>
  <c r="DB313" i="1"/>
  <c r="Z309" i="1"/>
  <c r="BB304" i="1"/>
  <c r="CD299" i="1"/>
  <c r="DF294" i="1"/>
  <c r="AD290" i="1"/>
  <c r="BF285" i="1"/>
  <c r="CH280" i="1"/>
  <c r="F276" i="1"/>
  <c r="AH271" i="1"/>
  <c r="V346" i="1"/>
  <c r="BQ337" i="1"/>
  <c r="CS332" i="1"/>
  <c r="Q328" i="1"/>
  <c r="AS323" i="1"/>
  <c r="BU318" i="1"/>
  <c r="CW313" i="1"/>
  <c r="U309" i="1"/>
  <c r="AW304" i="1"/>
  <c r="BY299" i="1"/>
  <c r="AX358" i="1"/>
  <c r="G342" i="1"/>
  <c r="CZ335" i="1"/>
  <c r="X331" i="1"/>
  <c r="AZ326" i="1"/>
  <c r="CB321" i="1"/>
  <c r="DD316" i="1"/>
  <c r="AB312" i="1"/>
  <c r="BD307" i="1"/>
  <c r="CF302" i="1"/>
  <c r="DH297" i="1"/>
  <c r="AF293" i="1"/>
  <c r="AH351" i="1"/>
  <c r="S339" i="1"/>
  <c r="S334" i="1"/>
  <c r="AU329" i="1"/>
  <c r="AM319" i="1"/>
  <c r="AQ300" i="1"/>
  <c r="AA289" i="1"/>
  <c r="CV282" i="1"/>
  <c r="BM276" i="1"/>
  <c r="AE270" i="1"/>
  <c r="BC265" i="1"/>
  <c r="CE260" i="1"/>
  <c r="DG255" i="1"/>
  <c r="AE251" i="1"/>
  <c r="BG246" i="1"/>
  <c r="CI241" i="1"/>
  <c r="G237" i="1"/>
  <c r="AI232" i="1"/>
  <c r="BK227" i="1"/>
  <c r="CM222" i="1"/>
  <c r="W320" i="1"/>
  <c r="AA301" i="1"/>
  <c r="BE289" i="1"/>
  <c r="CM355" i="1"/>
  <c r="AQ350" i="1"/>
  <c r="BS345" i="1"/>
  <c r="BR345" i="1"/>
  <c r="BB337" i="1"/>
  <c r="CD332" i="1"/>
  <c r="DF327" i="1"/>
  <c r="AD323" i="1"/>
  <c r="BF318" i="1"/>
  <c r="CH313" i="1"/>
  <c r="F309" i="1"/>
  <c r="AH304" i="1"/>
  <c r="BJ299" i="1"/>
  <c r="CL294" i="1"/>
  <c r="J290" i="1"/>
  <c r="AL285" i="1"/>
  <c r="BN280" i="1"/>
  <c r="Z303" i="1"/>
  <c r="CP296" i="1"/>
  <c r="BR290" i="1"/>
  <c r="AD284" i="1"/>
  <c r="CT277" i="1"/>
  <c r="DB271" i="1"/>
  <c r="CP348" i="1"/>
  <c r="AM338" i="1"/>
  <c r="BI333" i="1"/>
  <c r="CK328" i="1"/>
  <c r="I324" i="1"/>
  <c r="AK319" i="1"/>
  <c r="BM314" i="1"/>
  <c r="CO309" i="1"/>
  <c r="M305" i="1"/>
  <c r="AO300" i="1"/>
  <c r="BQ295" i="1"/>
  <c r="AQ343" i="1"/>
  <c r="BP336" i="1"/>
  <c r="CR331" i="1"/>
  <c r="P327" i="1"/>
  <c r="AR322" i="1"/>
  <c r="BT317" i="1"/>
  <c r="CV312" i="1"/>
  <c r="T308" i="1"/>
  <c r="AV303" i="1"/>
  <c r="BX298" i="1"/>
  <c r="CZ293" i="1"/>
  <c r="DB353" i="1"/>
  <c r="G340" i="1"/>
  <c r="CM334" i="1"/>
  <c r="K330" i="1"/>
  <c r="DG321" i="1"/>
  <c r="G303" i="1"/>
  <c r="O290" i="1"/>
  <c r="CJ283" i="1"/>
  <c r="BA277" i="1"/>
  <c r="S271" i="1"/>
  <c r="S266" i="1"/>
  <c r="AU261" i="1"/>
  <c r="BW256" i="1"/>
  <c r="CY251" i="1"/>
  <c r="W247" i="1"/>
  <c r="AY242" i="1"/>
  <c r="CA237" i="1"/>
  <c r="DC232" i="1"/>
  <c r="AA228" i="1"/>
  <c r="CQ225" i="1"/>
  <c r="BC223" i="1"/>
  <c r="O221" i="1"/>
  <c r="CQ322" i="1"/>
  <c r="AQ313" i="1"/>
  <c r="CU303" i="1"/>
  <c r="CY294" i="1"/>
  <c r="AS290" i="1"/>
  <c r="AB287" i="1"/>
  <c r="AQ355" i="1"/>
  <c r="BG352" i="1"/>
  <c r="S350" i="1"/>
  <c r="CI347" i="1"/>
  <c r="AU345" i="1"/>
  <c r="Z354" i="1"/>
  <c r="CD344" i="1"/>
  <c r="Q340" i="1"/>
  <c r="AD337" i="1"/>
  <c r="CT334" i="1"/>
  <c r="BF332" i="1"/>
  <c r="R330" i="1"/>
  <c r="CH327" i="1"/>
  <c r="AT325" i="1"/>
  <c r="F323" i="1"/>
  <c r="BV320" i="1"/>
  <c r="AH318" i="1"/>
  <c r="CX315" i="1"/>
  <c r="BJ313" i="1"/>
  <c r="V311" i="1"/>
  <c r="CL308" i="1"/>
  <c r="AX306" i="1"/>
  <c r="J304" i="1"/>
  <c r="BZ301" i="1"/>
  <c r="AL299" i="1"/>
  <c r="DB296" i="1"/>
  <c r="BN294" i="1"/>
  <c r="Z292" i="1"/>
  <c r="CP289" i="1"/>
  <c r="BB287" i="1"/>
  <c r="N285" i="1"/>
  <c r="CD282" i="1"/>
  <c r="AP280" i="1"/>
  <c r="DF277" i="1"/>
  <c r="BR275" i="1"/>
  <c r="AD273" i="1"/>
  <c r="CT270" i="1"/>
  <c r="F354" i="1"/>
  <c r="BN344" i="1"/>
  <c r="J340" i="1"/>
  <c r="Y337" i="1"/>
  <c r="CO334" i="1"/>
  <c r="BA332" i="1"/>
  <c r="M330" i="1"/>
  <c r="CC327" i="1"/>
  <c r="AO325" i="1"/>
  <c r="DE322" i="1"/>
  <c r="BQ320" i="1"/>
  <c r="AC318" i="1"/>
  <c r="CS315" i="1"/>
  <c r="BE313" i="1"/>
  <c r="Q311" i="1"/>
  <c r="CG308" i="1"/>
  <c r="AS306" i="1"/>
  <c r="DI303" i="1"/>
  <c r="BU301" i="1"/>
  <c r="AG299" i="1"/>
  <c r="CW296" i="1"/>
  <c r="CL356" i="1"/>
  <c r="AL347" i="1"/>
  <c r="AA341" i="1"/>
  <c r="CV337" i="1"/>
  <c r="BH335" i="1"/>
  <c r="T333" i="1"/>
  <c r="CJ330" i="1"/>
  <c r="AV328" i="1"/>
  <c r="H326" i="1"/>
  <c r="BX323" i="1"/>
  <c r="AJ321" i="1"/>
  <c r="CZ318" i="1"/>
  <c r="BL316" i="1"/>
  <c r="X314" i="1"/>
  <c r="CN311" i="1"/>
  <c r="AZ309" i="1"/>
  <c r="L307" i="1"/>
  <c r="CB304" i="1"/>
  <c r="AN302" i="1"/>
  <c r="DD299" i="1"/>
  <c r="BP297" i="1"/>
  <c r="AB295" i="1"/>
  <c r="CR292" i="1"/>
  <c r="R359" i="1"/>
  <c r="BV349" i="1"/>
  <c r="AT342" i="1"/>
  <c r="BQ338" i="1"/>
  <c r="O336" i="1"/>
  <c r="CE333" i="1"/>
  <c r="AQ331" i="1"/>
  <c r="DG328" i="1"/>
  <c r="BS326" i="1"/>
  <c r="CA317" i="1"/>
  <c r="AA308" i="1"/>
  <c r="CE298" i="1"/>
  <c r="AO292" i="1"/>
  <c r="BX288" i="1"/>
  <c r="BG285" i="1"/>
  <c r="AO282" i="1"/>
  <c r="X279" i="1"/>
  <c r="G276" i="1"/>
  <c r="CS272" i="1"/>
  <c r="CM269" i="1"/>
  <c r="AY267" i="1"/>
  <c r="K265" i="1"/>
  <c r="CA262" i="1"/>
  <c r="AM260" i="1"/>
  <c r="DC257" i="1"/>
  <c r="BO255" i="1"/>
  <c r="AA253" i="1"/>
  <c r="CQ250" i="1"/>
  <c r="BC248" i="1"/>
  <c r="O246" i="1"/>
  <c r="CE243" i="1"/>
  <c r="AQ241" i="1"/>
  <c r="DG238" i="1"/>
  <c r="BS236" i="1"/>
  <c r="AE234" i="1"/>
  <c r="CU231" i="1"/>
  <c r="BG229" i="1"/>
  <c r="S227" i="1"/>
  <c r="CI224" i="1"/>
  <c r="AU222" i="1"/>
  <c r="G220" i="1"/>
  <c r="BK318" i="1"/>
  <c r="K309" i="1"/>
  <c r="BO299" i="1"/>
  <c r="CI292" i="1"/>
  <c r="K357" i="1"/>
  <c r="AQ353" i="1"/>
  <c r="DG350" i="1"/>
  <c r="BS348" i="1"/>
  <c r="AE346" i="1"/>
  <c r="BR357" i="1"/>
  <c r="R348" i="1"/>
  <c r="BS341" i="1"/>
  <c r="N338" i="1"/>
  <c r="CD335" i="1"/>
  <c r="AP333" i="1"/>
  <c r="DF330" i="1"/>
  <c r="BR328" i="1"/>
  <c r="AD326" i="1"/>
  <c r="CT323" i="1"/>
  <c r="BF321" i="1"/>
  <c r="R319" i="1"/>
  <c r="CH316" i="1"/>
  <c r="AT314" i="1"/>
  <c r="F312" i="1"/>
  <c r="BV309" i="1"/>
  <c r="AH307" i="1"/>
  <c r="CX304" i="1"/>
  <c r="BJ302" i="1"/>
  <c r="V300" i="1"/>
  <c r="CL297" i="1"/>
  <c r="AX295" i="1"/>
  <c r="J293" i="1"/>
  <c r="BZ290" i="1"/>
  <c r="AL288" i="1"/>
  <c r="DB285" i="1"/>
  <c r="BN283" i="1"/>
  <c r="Z281" i="1"/>
  <c r="CP278" i="1"/>
  <c r="BB276" i="1"/>
  <c r="N274" i="1"/>
  <c r="CD271" i="1"/>
  <c r="AX357" i="1"/>
  <c r="DB347" i="1"/>
  <c r="BJ341" i="1"/>
  <c r="I338" i="1"/>
  <c r="BY335" i="1"/>
  <c r="AK333" i="1"/>
  <c r="DA330" i="1"/>
  <c r="BM328" i="1"/>
  <c r="Y326" i="1"/>
  <c r="CO323" i="1"/>
  <c r="BA321" i="1"/>
  <c r="M319" i="1"/>
  <c r="CC316" i="1"/>
  <c r="AO314" i="1"/>
  <c r="DE311" i="1"/>
  <c r="BQ309" i="1"/>
  <c r="AC307" i="1"/>
  <c r="CS304" i="1"/>
  <c r="BE302" i="1"/>
  <c r="Q300" i="1"/>
  <c r="CG297" i="1"/>
  <c r="Z360" i="1"/>
  <c r="CD350" i="1"/>
  <c r="CY342" i="1"/>
  <c r="DC338" i="1"/>
  <c r="AR336" i="1"/>
  <c r="DH333" i="1"/>
  <c r="BT331" i="1"/>
  <c r="AF329" i="1"/>
  <c r="CV326" i="1"/>
  <c r="BH324" i="1"/>
  <c r="T322" i="1"/>
  <c r="CJ319" i="1"/>
  <c r="AV317" i="1"/>
  <c r="H315" i="1"/>
  <c r="BX312" i="1"/>
  <c r="AJ310" i="1"/>
  <c r="CZ307" i="1"/>
  <c r="BL305" i="1"/>
  <c r="X303" i="1"/>
  <c r="CN300" i="1"/>
  <c r="AZ298" i="1"/>
  <c r="L296" i="1"/>
  <c r="CB293" i="1"/>
  <c r="AN291" i="1"/>
  <c r="J353" i="1"/>
  <c r="N344" i="1"/>
  <c r="CE339" i="1"/>
  <c r="DC336" i="1"/>
  <c r="BO334" i="1"/>
  <c r="AA332" i="1"/>
  <c r="CQ329" i="1"/>
  <c r="BC327" i="1"/>
  <c r="O321" i="1"/>
  <c r="BS311" i="1"/>
  <c r="S302" i="1"/>
  <c r="I294" i="1"/>
  <c r="CM289" i="1"/>
  <c r="BU286" i="1"/>
  <c r="BD283" i="1"/>
  <c r="AM280" i="1"/>
  <c r="U277" i="1"/>
  <c r="DH273" i="1"/>
  <c r="CQ270" i="1"/>
  <c r="AI268" i="1"/>
  <c r="CY265" i="1"/>
  <c r="BK263" i="1"/>
  <c r="W261" i="1"/>
  <c r="CM258" i="1"/>
  <c r="AY256" i="1"/>
  <c r="K254" i="1"/>
  <c r="CA251" i="1"/>
  <c r="AM249" i="1"/>
  <c r="DC246" i="1"/>
  <c r="BO244" i="1"/>
  <c r="AA242" i="1"/>
  <c r="CQ239" i="1"/>
  <c r="BC237" i="1"/>
  <c r="O235" i="1"/>
  <c r="CE232" i="1"/>
  <c r="AQ230" i="1"/>
  <c r="DG227" i="1"/>
  <c r="BS225" i="1"/>
  <c r="AE223" i="1"/>
  <c r="CU220" i="1"/>
  <c r="DC321" i="1"/>
  <c r="BC312" i="1"/>
  <c r="DG302" i="1"/>
  <c r="BC294" i="1"/>
  <c r="M290" i="1"/>
  <c r="CZ286" i="1"/>
  <c r="CA356" i="1"/>
  <c r="W353" i="1"/>
  <c r="CM350" i="1"/>
  <c r="AY348" i="1"/>
  <c r="K346" i="1"/>
  <c r="CT356" i="1"/>
  <c r="AT347" i="1"/>
  <c r="AE341" i="1"/>
  <c r="CX337" i="1"/>
  <c r="BJ335" i="1"/>
  <c r="V333" i="1"/>
  <c r="CL330" i="1"/>
  <c r="AX328" i="1"/>
  <c r="J326" i="1"/>
  <c r="BZ323" i="1"/>
  <c r="AL321" i="1"/>
  <c r="DB318" i="1"/>
  <c r="BN316" i="1"/>
  <c r="Z314" i="1"/>
  <c r="CP311" i="1"/>
  <c r="BB309" i="1"/>
  <c r="N307" i="1"/>
  <c r="CD304" i="1"/>
  <c r="AP302" i="1"/>
  <c r="DF299" i="1"/>
  <c r="BR297" i="1"/>
  <c r="AD295" i="1"/>
  <c r="CT292" i="1"/>
  <c r="BF290" i="1"/>
  <c r="R288" i="1"/>
  <c r="CH285" i="1"/>
  <c r="AT283" i="1"/>
  <c r="F281" i="1"/>
  <c r="BV278" i="1"/>
  <c r="AH276" i="1"/>
  <c r="CX273" i="1"/>
  <c r="BJ271" i="1"/>
  <c r="BZ356" i="1"/>
  <c r="Z347" i="1"/>
  <c r="V341" i="1"/>
  <c r="CS337" i="1"/>
  <c r="BE335" i="1"/>
  <c r="Q333" i="1"/>
  <c r="CG330" i="1"/>
  <c r="AS328" i="1"/>
  <c r="DI325" i="1"/>
  <c r="BU323" i="1"/>
  <c r="AG321" i="1"/>
  <c r="CW318" i="1"/>
  <c r="BI316" i="1"/>
  <c r="U314" i="1"/>
  <c r="CK311" i="1"/>
  <c r="AW309" i="1"/>
  <c r="I307" i="1"/>
  <c r="BY304" i="1"/>
  <c r="AK302" i="1"/>
  <c r="DA299" i="1"/>
  <c r="BM297" i="1"/>
  <c r="BB359" i="1"/>
  <c r="DF349" i="1"/>
  <c r="BK342" i="1"/>
  <c r="CC338" i="1"/>
  <c r="X336" i="1"/>
  <c r="CN333" i="1"/>
  <c r="AZ331" i="1"/>
  <c r="L329" i="1"/>
  <c r="CB326" i="1"/>
  <c r="AN324" i="1"/>
  <c r="DD321" i="1"/>
  <c r="BP319" i="1"/>
  <c r="AB317" i="1"/>
  <c r="CR314" i="1"/>
  <c r="BD312" i="1"/>
  <c r="P310" i="1"/>
  <c r="CF307" i="1"/>
  <c r="AR305" i="1"/>
  <c r="DH302" i="1"/>
  <c r="BT300" i="1"/>
  <c r="AF298" i="1"/>
  <c r="CV295" i="1"/>
  <c r="BH293" i="1"/>
  <c r="T291" i="1"/>
  <c r="AL352" i="1"/>
  <c r="CD343" i="1"/>
  <c r="BE339" i="1"/>
  <c r="CI336" i="1"/>
  <c r="AU334" i="1"/>
  <c r="G332" i="1"/>
  <c r="BW329" i="1"/>
  <c r="AI327" i="1"/>
  <c r="AQ320" i="1"/>
  <c r="CU310" i="1"/>
  <c r="AU301" i="1"/>
  <c r="BY293" i="1"/>
  <c r="BL289" i="1"/>
  <c r="AU286" i="1"/>
  <c r="AC283" i="1"/>
  <c r="L280" i="1"/>
  <c r="CY276" i="1"/>
  <c r="CG273" i="1"/>
  <c r="BP270" i="1"/>
  <c r="O268" i="1"/>
  <c r="CE265" i="1"/>
  <c r="AQ263" i="1"/>
  <c r="DG260" i="1"/>
  <c r="BS258" i="1"/>
  <c r="AE256" i="1"/>
  <c r="CU253" i="1"/>
  <c r="BG251" i="1"/>
  <c r="S249" i="1"/>
  <c r="CI246" i="1"/>
  <c r="AU244" i="1"/>
  <c r="G242" i="1"/>
  <c r="BW239" i="1"/>
  <c r="AI237" i="1"/>
  <c r="CY234" i="1"/>
  <c r="BK232" i="1"/>
  <c r="W230" i="1"/>
  <c r="CM227" i="1"/>
  <c r="AY225" i="1"/>
  <c r="K223" i="1"/>
  <c r="CA220" i="1"/>
  <c r="AA321" i="1"/>
  <c r="CE311" i="1"/>
  <c r="AE302" i="1"/>
  <c r="O294" i="1"/>
  <c r="CQ289" i="1"/>
  <c r="BY286" i="1"/>
  <c r="BQ284" i="1"/>
  <c r="AZ281" i="1"/>
  <c r="AI278" i="1"/>
  <c r="Q275" i="1"/>
  <c r="DD271" i="1"/>
  <c r="R269" i="1"/>
  <c r="CH266" i="1"/>
  <c r="AT264" i="1"/>
  <c r="AH272" i="1"/>
  <c r="CI338" i="1"/>
  <c r="Q329" i="1"/>
  <c r="BU319" i="1"/>
  <c r="U310" i="1"/>
  <c r="BY300" i="1"/>
  <c r="G344" i="1"/>
  <c r="X332" i="1"/>
  <c r="CB322" i="1"/>
  <c r="AB313" i="1"/>
  <c r="CF303" i="1"/>
  <c r="AF294" i="1"/>
  <c r="BC340" i="1"/>
  <c r="AU330" i="1"/>
  <c r="AQ304" i="1"/>
  <c r="AB284" i="1"/>
  <c r="BO271" i="1"/>
  <c r="CE261" i="1"/>
  <c r="AE252" i="1"/>
  <c r="CI242" i="1"/>
  <c r="AI233" i="1"/>
  <c r="CM223" i="1"/>
  <c r="AA305" i="1"/>
  <c r="CA285" i="1"/>
  <c r="DC272" i="1"/>
  <c r="AP263" i="1"/>
  <c r="BR258" i="1"/>
  <c r="CT253" i="1"/>
  <c r="R249" i="1"/>
  <c r="AT244" i="1"/>
  <c r="BV239" i="1"/>
  <c r="CX234" i="1"/>
  <c r="V230" i="1"/>
  <c r="AX225" i="1"/>
  <c r="BZ220" i="1"/>
  <c r="CI317" i="1"/>
  <c r="AI308" i="1"/>
  <c r="CM298" i="1"/>
  <c r="AS292" i="1"/>
  <c r="CA288" i="1"/>
  <c r="BI285" i="1"/>
  <c r="AR282" i="1"/>
  <c r="AA279" i="1"/>
  <c r="I276" i="1"/>
  <c r="CV272" i="1"/>
  <c r="CO269" i="1"/>
  <c r="BA267" i="1"/>
  <c r="M265" i="1"/>
  <c r="CC262" i="1"/>
  <c r="AO260" i="1"/>
  <c r="CT295" i="1"/>
  <c r="AT286" i="1"/>
  <c r="CX276" i="1"/>
  <c r="CD349" i="1"/>
  <c r="CG333" i="1"/>
  <c r="AG324" i="1"/>
  <c r="CK314" i="1"/>
  <c r="AK305" i="1"/>
  <c r="CO295" i="1"/>
  <c r="CN336" i="1"/>
  <c r="AN327" i="1"/>
  <c r="CR317" i="1"/>
  <c r="AR308" i="1"/>
  <c r="CV298" i="1"/>
  <c r="CP354" i="1"/>
  <c r="G335" i="1"/>
  <c r="CU322" i="1"/>
  <c r="AU290" i="1"/>
  <c r="CG277" i="1"/>
  <c r="AQ266" i="1"/>
  <c r="CU256" i="1"/>
  <c r="AU247" i="1"/>
  <c r="CY237" i="1"/>
  <c r="AY228" i="1"/>
  <c r="CE323" i="1"/>
  <c r="BY290" i="1"/>
  <c r="AE351" i="1"/>
  <c r="V349" i="1"/>
  <c r="BR333" i="1"/>
  <c r="R324" i="1"/>
  <c r="BV314" i="1"/>
  <c r="V305" i="1"/>
  <c r="BZ295" i="1"/>
  <c r="Z286" i="1"/>
  <c r="CD276" i="1"/>
  <c r="DF348" i="1"/>
  <c r="BM333" i="1"/>
  <c r="M324" i="1"/>
  <c r="BQ314" i="1"/>
  <c r="Q305" i="1"/>
  <c r="BU295" i="1"/>
  <c r="BT336" i="1"/>
  <c r="T327" i="1"/>
  <c r="BX317" i="1"/>
  <c r="X308" i="1"/>
  <c r="CB298" i="1"/>
  <c r="N354" i="1"/>
  <c r="CQ334" i="1"/>
  <c r="S322" i="1"/>
  <c r="T290" i="1"/>
  <c r="BG277" i="1"/>
  <c r="W266" i="1"/>
  <c r="CA256" i="1"/>
  <c r="DC251" i="1"/>
  <c r="AA247" i="1"/>
  <c r="BC242" i="1"/>
  <c r="CE237" i="1"/>
  <c r="DG232" i="1"/>
  <c r="AE228" i="1"/>
  <c r="BG223" i="1"/>
  <c r="DG322" i="1"/>
  <c r="G304" i="1"/>
  <c r="AY290" i="1"/>
  <c r="Y285" i="1"/>
  <c r="CU278" i="1"/>
  <c r="BL272" i="1"/>
  <c r="Z267" i="1"/>
  <c r="BB262" i="1"/>
  <c r="CD257" i="1"/>
  <c r="DF252" i="1"/>
  <c r="AD248" i="1"/>
  <c r="BF243" i="1"/>
  <c r="CH238" i="1"/>
  <c r="F234" i="1"/>
  <c r="AH229" i="1"/>
  <c r="BJ224" i="1"/>
  <c r="K326" i="1"/>
  <c r="CH302" i="1"/>
  <c r="BJ296" i="1"/>
  <c r="V290" i="1"/>
  <c r="CL283" i="1"/>
  <c r="BN277" i="1"/>
  <c r="BV271" i="1"/>
  <c r="BV347" i="1"/>
  <c r="DE337" i="1"/>
  <c r="AC333" i="1"/>
  <c r="BE328" i="1"/>
  <c r="CG323" i="1"/>
  <c r="DI318" i="1"/>
  <c r="AG314" i="1"/>
  <c r="BI309" i="1"/>
  <c r="CK304" i="1"/>
  <c r="I300" i="1"/>
  <c r="CX359" i="1"/>
  <c r="CI342" i="1"/>
  <c r="AJ336" i="1"/>
  <c r="BL331" i="1"/>
  <c r="CN326" i="1"/>
  <c r="L322" i="1"/>
  <c r="AN317" i="1"/>
  <c r="BP312" i="1"/>
  <c r="CR307" i="1"/>
  <c r="P303" i="1"/>
  <c r="AR298" i="1"/>
  <c r="BT293" i="1"/>
  <c r="CH352" i="1"/>
  <c r="BU339" i="1"/>
  <c r="BG334" i="1"/>
  <c r="CI329" i="1"/>
  <c r="CM320" i="1"/>
  <c r="CQ301" i="1"/>
  <c r="CB289" i="1"/>
  <c r="AS283" i="1"/>
  <c r="K277" i="1"/>
  <c r="CF270" i="1"/>
  <c r="CQ265" i="1"/>
  <c r="O261" i="1"/>
  <c r="AQ256" i="1"/>
  <c r="BS251" i="1"/>
  <c r="CU246" i="1"/>
  <c r="S242" i="1"/>
  <c r="AU237" i="1"/>
  <c r="BW232" i="1"/>
  <c r="CY227" i="1"/>
  <c r="W223" i="1"/>
  <c r="BW321" i="1"/>
  <c r="CA302" i="1"/>
  <c r="DG289" i="1"/>
  <c r="CI354" i="1"/>
  <c r="CQ349" i="1"/>
  <c r="O345" i="1"/>
  <c r="K344" i="1"/>
  <c r="DB336" i="1"/>
  <c r="Z332" i="1"/>
  <c r="BB327" i="1"/>
  <c r="CD322" i="1"/>
  <c r="DF317" i="1"/>
  <c r="AD313" i="1"/>
  <c r="BF308" i="1"/>
  <c r="CH303" i="1"/>
  <c r="F299" i="1"/>
  <c r="AH294" i="1"/>
  <c r="BJ289" i="1"/>
  <c r="CL284" i="1"/>
  <c r="J280" i="1"/>
  <c r="AL275" i="1"/>
  <c r="BN270" i="1"/>
  <c r="DF343" i="1"/>
  <c r="CW336" i="1"/>
  <c r="U332" i="1"/>
  <c r="AW327" i="1"/>
  <c r="BY322" i="1"/>
  <c r="DA317" i="1"/>
  <c r="Y313" i="1"/>
  <c r="BA308" i="1"/>
  <c r="CC303" i="1"/>
  <c r="DE298" i="1"/>
  <c r="BR355" i="1"/>
  <c r="BS340" i="1"/>
  <c r="AB335" i="1"/>
  <c r="BD330" i="1"/>
  <c r="CF325" i="1"/>
  <c r="DH320" i="1"/>
  <c r="AF316" i="1"/>
  <c r="BH311" i="1"/>
  <c r="CJ306" i="1"/>
  <c r="H302" i="1"/>
  <c r="AJ297" i="1"/>
  <c r="BL292" i="1"/>
  <c r="BB348" i="1"/>
  <c r="Z338" i="1"/>
  <c r="AY333" i="1"/>
  <c r="CA328" i="1"/>
  <c r="BG316" i="1"/>
  <c r="BK297" i="1"/>
  <c r="AG288" i="1"/>
  <c r="DC281" i="1"/>
  <c r="BT275" i="1"/>
  <c r="BG269" i="1"/>
  <c r="CI264" i="1"/>
  <c r="G260" i="1"/>
  <c r="AI255" i="1"/>
  <c r="BK250" i="1"/>
  <c r="CM245" i="1"/>
  <c r="K241" i="1"/>
  <c r="AM236" i="1"/>
  <c r="BO231" i="1"/>
  <c r="CQ226" i="1"/>
  <c r="O222" i="1"/>
  <c r="AQ317" i="1"/>
  <c r="AU298" i="1"/>
  <c r="BC356" i="1"/>
  <c r="CA350" i="1"/>
  <c r="DC345" i="1"/>
  <c r="DB346" i="1"/>
  <c r="CL337" i="1"/>
  <c r="J333" i="1"/>
  <c r="AL328" i="1"/>
  <c r="BN323" i="1"/>
  <c r="CP318" i="1"/>
  <c r="N314" i="1"/>
  <c r="AP309" i="1"/>
  <c r="BR304" i="1"/>
  <c r="CT299" i="1"/>
  <c r="R295" i="1"/>
  <c r="AT290" i="1"/>
  <c r="BV285" i="1"/>
  <c r="CX280" i="1"/>
  <c r="V276" i="1"/>
  <c r="AX271" i="1"/>
  <c r="CH346" i="1"/>
  <c r="CG337" i="1"/>
  <c r="DI332" i="1"/>
  <c r="AG328" i="1"/>
  <c r="BI323" i="1"/>
  <c r="CK318" i="1"/>
  <c r="I314" i="1"/>
  <c r="AK309" i="1"/>
  <c r="BM304" i="1"/>
  <c r="CO299" i="1"/>
  <c r="F359" i="1"/>
  <c r="AM342" i="1"/>
  <c r="L336" i="1"/>
  <c r="AN331" i="1"/>
  <c r="BP326" i="1"/>
  <c r="CR321" i="1"/>
  <c r="P317" i="1"/>
  <c r="AR312" i="1"/>
  <c r="BT307" i="1"/>
  <c r="CV302" i="1"/>
  <c r="T298" i="1"/>
  <c r="AV293" i="1"/>
  <c r="CT351" i="1"/>
  <c r="AO339" i="1"/>
  <c r="AI334" i="1"/>
  <c r="BK329" i="1"/>
  <c r="CY319" i="1"/>
  <c r="DC300" i="1"/>
  <c r="AV289" i="1"/>
  <c r="M283" i="1"/>
  <c r="CI276" i="1"/>
  <c r="AZ270" i="1"/>
  <c r="BS265" i="1"/>
  <c r="CU260" i="1"/>
  <c r="S256" i="1"/>
  <c r="AU251" i="1"/>
  <c r="BW246" i="1"/>
  <c r="CY241" i="1"/>
  <c r="W237" i="1"/>
  <c r="AY232" i="1"/>
  <c r="CA227" i="1"/>
  <c r="DC222" i="1"/>
  <c r="CI320" i="1"/>
  <c r="CM301" i="1"/>
  <c r="CA289" i="1"/>
  <c r="O356" i="1"/>
  <c r="BG350" i="1"/>
  <c r="CI345" i="1"/>
  <c r="Z346" i="1"/>
  <c r="BR337" i="1"/>
  <c r="CT332" i="1"/>
  <c r="R328" i="1"/>
  <c r="AT323" i="1"/>
  <c r="BV318" i="1"/>
  <c r="CX313" i="1"/>
  <c r="V309" i="1"/>
  <c r="AX304" i="1"/>
  <c r="BZ299" i="1"/>
  <c r="DB294" i="1"/>
  <c r="Z290" i="1"/>
  <c r="BB285" i="1"/>
  <c r="CD280" i="1"/>
  <c r="DF275" i="1"/>
  <c r="AD271" i="1"/>
  <c r="F346" i="1"/>
  <c r="BM337" i="1"/>
  <c r="CO332" i="1"/>
  <c r="M328" i="1"/>
  <c r="AO323" i="1"/>
  <c r="BQ318" i="1"/>
  <c r="CS313" i="1"/>
  <c r="Q309" i="1"/>
  <c r="AS304" i="1"/>
  <c r="BU299" i="1"/>
  <c r="AH358" i="1"/>
  <c r="DC341" i="1"/>
  <c r="CV335" i="1"/>
  <c r="T331" i="1"/>
  <c r="AV326" i="1"/>
  <c r="BX321" i="1"/>
  <c r="CZ316" i="1"/>
  <c r="X312" i="1"/>
  <c r="AZ307" i="1"/>
  <c r="CB302" i="1"/>
  <c r="DD297" i="1"/>
  <c r="AB293" i="1"/>
  <c r="R351" i="1"/>
  <c r="N339" i="1"/>
  <c r="O334" i="1"/>
  <c r="AQ329" i="1"/>
  <c r="W319" i="1"/>
  <c r="AA300" i="1"/>
  <c r="U289" i="1"/>
  <c r="CQ282" i="1"/>
  <c r="BH276" i="1"/>
  <c r="Y270" i="1"/>
  <c r="AY265" i="1"/>
  <c r="CA260" i="1"/>
  <c r="DC255" i="1"/>
  <c r="AA251" i="1"/>
  <c r="BC246" i="1"/>
  <c r="CE241" i="1"/>
  <c r="DG236" i="1"/>
  <c r="AE232" i="1"/>
  <c r="BG227" i="1"/>
  <c r="CI222" i="1"/>
  <c r="G320" i="1"/>
  <c r="K301" i="1"/>
  <c r="AZ289" i="1"/>
  <c r="AA284" i="1"/>
  <c r="CV277" i="1"/>
  <c r="BM271" i="1"/>
  <c r="BB266" i="1"/>
  <c r="CD261" i="1"/>
  <c r="DF256" i="1"/>
  <c r="AD252" i="1"/>
  <c r="BF247" i="1"/>
  <c r="CH242" i="1"/>
  <c r="F238" i="1"/>
  <c r="AH233" i="1"/>
  <c r="BJ228" i="1"/>
  <c r="CL223" i="1"/>
  <c r="F314" i="1"/>
  <c r="CT301" i="1"/>
  <c r="BF295" i="1"/>
  <c r="R289" i="1"/>
  <c r="CX282" i="1"/>
  <c r="BJ276" i="1"/>
  <c r="CX270" i="1"/>
  <c r="BZ344" i="1"/>
  <c r="AC337" i="1"/>
  <c r="BE332" i="1"/>
  <c r="CG327" i="1"/>
  <c r="DI322" i="1"/>
  <c r="AG318" i="1"/>
  <c r="BI313" i="1"/>
  <c r="CK308" i="1"/>
  <c r="I304" i="1"/>
  <c r="AK299" i="1"/>
  <c r="DB356" i="1"/>
  <c r="AI341" i="1"/>
  <c r="BL335" i="1"/>
  <c r="CN330" i="1"/>
  <c r="L326" i="1"/>
  <c r="AN321" i="1"/>
  <c r="BP316" i="1"/>
  <c r="CR311" i="1"/>
  <c r="P307" i="1"/>
  <c r="AR302" i="1"/>
  <c r="BT297" i="1"/>
  <c r="CV292" i="1"/>
  <c r="CL349" i="1"/>
  <c r="BV338" i="1"/>
  <c r="CI333" i="1"/>
  <c r="G329" i="1"/>
  <c r="CQ317" i="1"/>
  <c r="CU298" i="1"/>
  <c r="CC288" i="1"/>
  <c r="AU282" i="1"/>
  <c r="L276" i="1"/>
  <c r="CQ269" i="1"/>
  <c r="O265" i="1"/>
  <c r="AQ260" i="1"/>
  <c r="BS255" i="1"/>
  <c r="CU250" i="1"/>
  <c r="S246" i="1"/>
  <c r="AU241" i="1"/>
  <c r="BW236" i="1"/>
  <c r="CY231" i="1"/>
  <c r="W227" i="1"/>
  <c r="AY222" i="1"/>
  <c r="CA318" i="1"/>
  <c r="CE299" i="1"/>
  <c r="DH288" i="1"/>
  <c r="CQ353" i="1"/>
  <c r="O349" i="1"/>
  <c r="BJ359" i="1"/>
  <c r="BO342" i="1"/>
  <c r="Z336" i="1"/>
  <c r="BB331" i="1"/>
  <c r="CD326" i="1"/>
  <c r="DF321" i="1"/>
  <c r="AD317" i="1"/>
  <c r="BF312" i="1"/>
  <c r="CH307" i="1"/>
  <c r="F303" i="1"/>
  <c r="AH298" i="1"/>
  <c r="BJ293" i="1"/>
  <c r="CL288" i="1"/>
  <c r="J284" i="1"/>
  <c r="AL279" i="1"/>
  <c r="BN274" i="1"/>
  <c r="AP359" i="1"/>
  <c r="BF342" i="1"/>
  <c r="U336" i="1"/>
  <c r="AW331" i="1"/>
  <c r="BY326" i="1"/>
  <c r="DA321" i="1"/>
  <c r="Y317" i="1"/>
  <c r="BA312" i="1"/>
  <c r="CC307" i="1"/>
  <c r="DE302" i="1"/>
  <c r="AC298" i="1"/>
  <c r="BV352" i="1"/>
  <c r="BQ339" i="1"/>
  <c r="BD334" i="1"/>
  <c r="CF329" i="1"/>
  <c r="DH324" i="1"/>
  <c r="AF320" i="1"/>
  <c r="BH315" i="1"/>
  <c r="CJ310" i="1"/>
  <c r="H306" i="1"/>
  <c r="AJ301" i="1"/>
  <c r="BL296" i="1"/>
  <c r="CN291" i="1"/>
  <c r="BF345" i="1"/>
  <c r="AY337" i="1"/>
  <c r="CA332" i="1"/>
  <c r="DC327" i="1"/>
  <c r="BK313" i="1"/>
  <c r="DI294" i="1"/>
  <c r="AI287" i="1"/>
  <c r="DD280" i="1"/>
  <c r="BU274" i="1"/>
  <c r="CI268" i="1"/>
  <c r="G264" i="1"/>
  <c r="AI259" i="1"/>
  <c r="BK254" i="1"/>
  <c r="CM249" i="1"/>
  <c r="K245" i="1"/>
  <c r="AM240" i="1"/>
  <c r="BO235" i="1"/>
  <c r="CQ230" i="1"/>
  <c r="O226" i="1"/>
  <c r="AQ221" i="1"/>
  <c r="AU314" i="1"/>
  <c r="AY295" i="1"/>
  <c r="DG354" i="1"/>
  <c r="DC349" i="1"/>
  <c r="AA345" i="1"/>
  <c r="AI344" i="1"/>
  <c r="J337" i="1"/>
  <c r="AL332" i="1"/>
  <c r="BN327" i="1"/>
  <c r="CP322" i="1"/>
  <c r="N318" i="1"/>
  <c r="AP313" i="1"/>
  <c r="BR308" i="1"/>
  <c r="CT303" i="1"/>
  <c r="R299" i="1"/>
  <c r="AT294" i="1"/>
  <c r="BV289" i="1"/>
  <c r="CX284" i="1"/>
  <c r="V280" i="1"/>
  <c r="AX275" i="1"/>
  <c r="BZ270" i="1"/>
  <c r="Z344" i="1"/>
  <c r="DI336" i="1"/>
  <c r="AG332" i="1"/>
  <c r="BI327" i="1"/>
  <c r="CK322" i="1"/>
  <c r="I318" i="1"/>
  <c r="AK313" i="1"/>
  <c r="BM308" i="1"/>
  <c r="CO303" i="1"/>
  <c r="M299" i="1"/>
  <c r="J356" i="1"/>
  <c r="CQ340" i="1"/>
  <c r="AN335" i="1"/>
  <c r="BP330" i="1"/>
  <c r="CR325" i="1"/>
  <c r="P321" i="1"/>
  <c r="AR316" i="1"/>
  <c r="BT311" i="1"/>
  <c r="CV306" i="1"/>
  <c r="T302" i="1"/>
  <c r="AV297" i="1"/>
  <c r="BX292" i="1"/>
  <c r="CX348" i="1"/>
  <c r="AP338" i="1"/>
  <c r="BK333" i="1"/>
  <c r="CM328" i="1"/>
  <c r="DC316" i="1"/>
  <c r="DG297" i="1"/>
  <c r="AW288" i="1"/>
  <c r="O282" i="1"/>
  <c r="CJ275" i="1"/>
  <c r="BS269" i="1"/>
  <c r="CU264" i="1"/>
  <c r="S260" i="1"/>
  <c r="AU255" i="1"/>
  <c r="BW250" i="1"/>
  <c r="CY245" i="1"/>
  <c r="W241" i="1"/>
  <c r="AY236" i="1"/>
  <c r="CA231" i="1"/>
  <c r="DC226" i="1"/>
  <c r="AA222" i="1"/>
  <c r="CM317" i="1"/>
  <c r="CQ298" i="1"/>
  <c r="CB288" i="1"/>
  <c r="BS354" i="1"/>
  <c r="CI349" i="1"/>
  <c r="G345" i="1"/>
  <c r="CY343" i="1"/>
  <c r="CT336" i="1"/>
  <c r="R332" i="1"/>
  <c r="AT327" i="1"/>
  <c r="BV322" i="1"/>
  <c r="CX317" i="1"/>
  <c r="V313" i="1"/>
  <c r="AX308" i="1"/>
  <c r="BZ303" i="1"/>
  <c r="DB298" i="1"/>
  <c r="Z294" i="1"/>
  <c r="BB289" i="1"/>
  <c r="CD284" i="1"/>
  <c r="DF279" i="1"/>
  <c r="BB302" i="1"/>
  <c r="N296" i="1"/>
  <c r="CD289" i="1"/>
  <c r="BF283" i="1"/>
  <c r="R277" i="1"/>
  <c r="AP271" i="1"/>
  <c r="BB346" i="1"/>
  <c r="BY337" i="1"/>
  <c r="DA332" i="1"/>
  <c r="Y328" i="1"/>
  <c r="BA323" i="1"/>
  <c r="CC318" i="1"/>
  <c r="DE313" i="1"/>
  <c r="AC309" i="1"/>
  <c r="BE304" i="1"/>
  <c r="CG299" i="1"/>
  <c r="CD358" i="1"/>
  <c r="W342" i="1"/>
  <c r="DH335" i="1"/>
  <c r="AF331" i="1"/>
  <c r="BH326" i="1"/>
  <c r="CJ321" i="1"/>
  <c r="H317" i="1"/>
  <c r="AJ312" i="1"/>
  <c r="BL307" i="1"/>
  <c r="CN302" i="1"/>
  <c r="L298" i="1"/>
  <c r="AN293" i="1"/>
  <c r="BN351" i="1"/>
  <c r="AD339" i="1"/>
  <c r="AA334" i="1"/>
  <c r="BC329" i="1"/>
  <c r="BS319" i="1"/>
  <c r="BW300" i="1"/>
  <c r="AK289" i="1"/>
  <c r="DG282" i="1"/>
  <c r="BX276" i="1"/>
  <c r="AO270" i="1"/>
  <c r="BK265" i="1"/>
  <c r="CM260" i="1"/>
  <c r="K256" i="1"/>
  <c r="AM251" i="1"/>
  <c r="BO246" i="1"/>
  <c r="CQ241" i="1"/>
  <c r="O237" i="1"/>
  <c r="AQ232" i="1"/>
  <c r="BS227" i="1"/>
  <c r="AE225" i="1"/>
  <c r="CU222" i="1"/>
  <c r="BG220" i="1"/>
  <c r="BC320" i="1"/>
  <c r="DG310" i="1"/>
  <c r="BG301" i="1"/>
  <c r="CE293" i="1"/>
  <c r="BP289" i="1"/>
  <c r="BO359" i="1"/>
  <c r="AI354" i="1"/>
  <c r="CY351" i="1"/>
  <c r="BK349" i="1"/>
  <c r="W347" i="1"/>
  <c r="CM344" i="1"/>
  <c r="CP351" i="1"/>
  <c r="BC343" i="1"/>
  <c r="AM339" i="1"/>
  <c r="BV336" i="1"/>
  <c r="AH334" i="1"/>
  <c r="CX331" i="1"/>
  <c r="BJ329" i="1"/>
  <c r="V327" i="1"/>
  <c r="CL324" i="1"/>
  <c r="AX322" i="1"/>
  <c r="J320" i="1"/>
  <c r="BZ317" i="1"/>
  <c r="AL315" i="1"/>
  <c r="DB312" i="1"/>
  <c r="BN310" i="1"/>
  <c r="Z308" i="1"/>
  <c r="CP305" i="1"/>
  <c r="BB303" i="1"/>
  <c r="N301" i="1"/>
  <c r="CD298" i="1"/>
  <c r="AP296" i="1"/>
  <c r="DF293" i="1"/>
  <c r="BR291" i="1"/>
  <c r="AD289" i="1"/>
  <c r="CT286" i="1"/>
  <c r="BF284" i="1"/>
  <c r="R282" i="1"/>
  <c r="CH279" i="1"/>
  <c r="AT277" i="1"/>
  <c r="F275" i="1"/>
  <c r="BV272" i="1"/>
  <c r="AH270" i="1"/>
  <c r="BV351" i="1"/>
  <c r="AT343" i="1"/>
  <c r="AG339" i="1"/>
  <c r="BQ336" i="1"/>
  <c r="AC334" i="1"/>
  <c r="CS331" i="1"/>
  <c r="BE329" i="1"/>
  <c r="Q327" i="1"/>
  <c r="CG324" i="1"/>
  <c r="AS322" i="1"/>
  <c r="DI319" i="1"/>
  <c r="BU317" i="1"/>
  <c r="AG315" i="1"/>
  <c r="CW312" i="1"/>
  <c r="BI310" i="1"/>
  <c r="U308" i="1"/>
  <c r="CK305" i="1"/>
  <c r="AW303" i="1"/>
  <c r="I301" i="1"/>
  <c r="BY298" i="1"/>
  <c r="AK296" i="1"/>
  <c r="AX354" i="1"/>
  <c r="DB344" i="1"/>
  <c r="Y340" i="1"/>
  <c r="AJ337" i="1"/>
  <c r="CZ334" i="1"/>
  <c r="BL332" i="1"/>
  <c r="X330" i="1"/>
  <c r="CN327" i="1"/>
  <c r="AZ325" i="1"/>
  <c r="L323" i="1"/>
  <c r="CB320" i="1"/>
  <c r="AN318" i="1"/>
  <c r="DD315" i="1"/>
  <c r="BP313" i="1"/>
  <c r="AB311" i="1"/>
  <c r="CR308" i="1"/>
  <c r="BD306" i="1"/>
  <c r="P304" i="1"/>
  <c r="CF301" i="1"/>
  <c r="AR299" i="1"/>
  <c r="DH296" i="1"/>
  <c r="BT294" i="1"/>
  <c r="AF292" i="1"/>
  <c r="CH356" i="1"/>
  <c r="AH347" i="1"/>
  <c r="Z341" i="1"/>
  <c r="CU337" i="1"/>
  <c r="BG335" i="1"/>
  <c r="S333" i="1"/>
  <c r="CI330" i="1"/>
  <c r="AU328" i="1"/>
  <c r="CM324" i="1"/>
  <c r="AM315" i="1"/>
  <c r="CQ305" i="1"/>
  <c r="AQ296" i="1"/>
  <c r="U291" i="1"/>
  <c r="CU287" i="1"/>
  <c r="CC284" i="1"/>
  <c r="BL281" i="1"/>
  <c r="AU278" i="1"/>
  <c r="AC275" i="1"/>
  <c r="L272" i="1"/>
  <c r="AA269" i="1"/>
  <c r="CQ266" i="1"/>
  <c r="BC264" i="1"/>
  <c r="O262" i="1"/>
  <c r="CE259" i="1"/>
  <c r="AQ257" i="1"/>
  <c r="DG254" i="1"/>
  <c r="BS252" i="1"/>
  <c r="AE250" i="1"/>
  <c r="CU247" i="1"/>
  <c r="BG245" i="1"/>
  <c r="S243" i="1"/>
  <c r="CI240" i="1"/>
  <c r="AU238" i="1"/>
  <c r="G236" i="1"/>
  <c r="BW233" i="1"/>
  <c r="AI231" i="1"/>
  <c r="CY228" i="1"/>
  <c r="BK226" i="1"/>
  <c r="W224" i="1"/>
  <c r="CM221" i="1"/>
  <c r="BW325" i="1"/>
  <c r="W316" i="1"/>
  <c r="CA306" i="1"/>
  <c r="AA297" i="1"/>
  <c r="BO291" i="1"/>
  <c r="CU355" i="1"/>
  <c r="CI352" i="1"/>
  <c r="AU350" i="1"/>
  <c r="G348" i="1"/>
  <c r="BW345" i="1"/>
  <c r="AD355" i="1"/>
  <c r="CH345" i="1"/>
  <c r="BB340" i="1"/>
  <c r="BF337" i="1"/>
  <c r="R335" i="1"/>
  <c r="CH332" i="1"/>
  <c r="AT330" i="1"/>
  <c r="F328" i="1"/>
  <c r="BV325" i="1"/>
  <c r="AH323" i="1"/>
  <c r="CX320" i="1"/>
  <c r="BJ318" i="1"/>
  <c r="V316" i="1"/>
  <c r="CL313" i="1"/>
  <c r="AX311" i="1"/>
  <c r="J309" i="1"/>
  <c r="BZ306" i="1"/>
  <c r="AL304" i="1"/>
  <c r="DB301" i="1"/>
  <c r="BN299" i="1"/>
  <c r="Z297" i="1"/>
  <c r="CP294" i="1"/>
  <c r="BB292" i="1"/>
  <c r="N290" i="1"/>
  <c r="CD287" i="1"/>
  <c r="AP285" i="1"/>
  <c r="DF282" i="1"/>
  <c r="BR280" i="1"/>
  <c r="AD278" i="1"/>
  <c r="CT275" i="1"/>
  <c r="BF273" i="1"/>
  <c r="R271" i="1"/>
  <c r="J355" i="1"/>
  <c r="BN345" i="1"/>
  <c r="AU340" i="1"/>
  <c r="BA337" i="1"/>
  <c r="M335" i="1"/>
  <c r="CC332" i="1"/>
  <c r="AO330" i="1"/>
  <c r="DE327" i="1"/>
  <c r="BQ325" i="1"/>
  <c r="AC323" i="1"/>
  <c r="CS320" i="1"/>
  <c r="BE318" i="1"/>
  <c r="Q316" i="1"/>
  <c r="CG313" i="1"/>
  <c r="AS311" i="1"/>
  <c r="DI308" i="1"/>
  <c r="BU306" i="1"/>
  <c r="AG304" i="1"/>
  <c r="CW301" i="1"/>
  <c r="BI299" i="1"/>
  <c r="U297" i="1"/>
  <c r="CP357" i="1"/>
  <c r="AP348" i="1"/>
  <c r="CE341" i="1"/>
  <c r="V338" i="1"/>
  <c r="CJ335" i="1"/>
  <c r="AV333" i="1"/>
  <c r="H331" i="1"/>
  <c r="BX328" i="1"/>
  <c r="AJ326" i="1"/>
  <c r="CZ323" i="1"/>
  <c r="BL321" i="1"/>
  <c r="X319" i="1"/>
  <c r="CN316" i="1"/>
  <c r="AZ314" i="1"/>
  <c r="L312" i="1"/>
  <c r="CB309" i="1"/>
  <c r="AN307" i="1"/>
  <c r="DD304" i="1"/>
  <c r="BP302" i="1"/>
  <c r="AB300" i="1"/>
  <c r="CR297" i="1"/>
  <c r="BD295" i="1"/>
  <c r="P293" i="1"/>
  <c r="V360" i="1"/>
  <c r="BZ350" i="1"/>
  <c r="CX342" i="1"/>
  <c r="DB338" i="1"/>
  <c r="AQ336" i="1"/>
  <c r="DG333" i="1"/>
  <c r="BS331" i="1"/>
  <c r="AE329" i="1"/>
  <c r="CU326" i="1"/>
  <c r="CE318" i="1"/>
  <c r="AE309" i="1"/>
  <c r="CI299" i="1"/>
  <c r="CS292" i="1"/>
  <c r="DI288" i="1"/>
  <c r="CR285" i="1"/>
  <c r="CA282" i="1"/>
  <c r="BI279" i="1"/>
  <c r="AR276" i="1"/>
  <c r="AA273" i="1"/>
  <c r="K270" i="1"/>
  <c r="CA267" i="1"/>
  <c r="AM265" i="1"/>
  <c r="DC262" i="1"/>
  <c r="BO260" i="1"/>
  <c r="AA258" i="1"/>
  <c r="CQ255" i="1"/>
  <c r="BC253" i="1"/>
  <c r="O251" i="1"/>
  <c r="CE248" i="1"/>
  <c r="AQ246" i="1"/>
  <c r="DG243" i="1"/>
  <c r="BS241" i="1"/>
  <c r="AE239" i="1"/>
  <c r="CU236" i="1"/>
  <c r="BG234" i="1"/>
  <c r="S232" i="1"/>
  <c r="CI229" i="1"/>
  <c r="AU227" i="1"/>
  <c r="G225" i="1"/>
  <c r="BW222" i="1"/>
  <c r="AI220" i="1"/>
  <c r="BO319" i="1"/>
  <c r="O310" i="1"/>
  <c r="BS300" i="1"/>
  <c r="AI293" i="1"/>
  <c r="AJ289" i="1"/>
  <c r="S286" i="1"/>
  <c r="BG355" i="1"/>
  <c r="BO352" i="1"/>
  <c r="AA350" i="1"/>
  <c r="CQ347" i="1"/>
  <c r="BC345" i="1"/>
  <c r="BF354" i="1"/>
  <c r="F345" i="1"/>
  <c r="AA340" i="1"/>
  <c r="AL337" i="1"/>
  <c r="DB334" i="1"/>
  <c r="BN332" i="1"/>
  <c r="Z330" i="1"/>
  <c r="CP327" i="1"/>
  <c r="BB325" i="1"/>
  <c r="N323" i="1"/>
  <c r="CD320" i="1"/>
  <c r="AP318" i="1"/>
  <c r="DF315" i="1"/>
  <c r="BR313" i="1"/>
  <c r="AD311" i="1"/>
  <c r="CT308" i="1"/>
  <c r="BF306" i="1"/>
  <c r="R304" i="1"/>
  <c r="CH301" i="1"/>
  <c r="AT299" i="1"/>
  <c r="F297" i="1"/>
  <c r="BV294" i="1"/>
  <c r="AH292" i="1"/>
  <c r="CX289" i="1"/>
  <c r="BJ287" i="1"/>
  <c r="V285" i="1"/>
  <c r="CL282" i="1"/>
  <c r="AX280" i="1"/>
  <c r="J278" i="1"/>
  <c r="BZ275" i="1"/>
  <c r="AL273" i="1"/>
  <c r="DB270" i="1"/>
  <c r="AL354" i="1"/>
  <c r="CP344" i="1"/>
  <c r="U340" i="1"/>
  <c r="AG337" i="1"/>
  <c r="CW334" i="1"/>
  <c r="BI332" i="1"/>
  <c r="U330" i="1"/>
  <c r="CK327" i="1"/>
  <c r="AW325" i="1"/>
  <c r="I323" i="1"/>
  <c r="BY320" i="1"/>
  <c r="AK318" i="1"/>
  <c r="DA315" i="1"/>
  <c r="BM313" i="1"/>
  <c r="Y311" i="1"/>
  <c r="CO308" i="1"/>
  <c r="BA306" i="1"/>
  <c r="M304" i="1"/>
  <c r="CC301" i="1"/>
  <c r="AO299" i="1"/>
  <c r="DE296" i="1"/>
  <c r="N357" i="1"/>
  <c r="BR347" i="1"/>
  <c r="AQ341" i="1"/>
  <c r="DD337" i="1"/>
  <c r="BP335" i="1"/>
  <c r="AB333" i="1"/>
  <c r="CR330" i="1"/>
  <c r="BD328" i="1"/>
  <c r="P326" i="1"/>
  <c r="CF323" i="1"/>
  <c r="AR321" i="1"/>
  <c r="DH318" i="1"/>
  <c r="BT316" i="1"/>
  <c r="AF314" i="1"/>
  <c r="CV311" i="1"/>
  <c r="BH309" i="1"/>
  <c r="T307" i="1"/>
  <c r="CJ304" i="1"/>
  <c r="AV302" i="1"/>
  <c r="H300" i="1"/>
  <c r="BX297" i="1"/>
  <c r="AJ295" i="1"/>
  <c r="CZ292" i="1"/>
  <c r="AX359" i="1"/>
  <c r="DB349" i="1"/>
  <c r="BJ342" i="1"/>
  <c r="CA338" i="1"/>
  <c r="W336" i="1"/>
  <c r="CM333" i="1"/>
  <c r="AY331" i="1"/>
  <c r="K329" i="1"/>
  <c r="CA326" i="1"/>
  <c r="DG317" i="1"/>
  <c r="BG308" i="1"/>
  <c r="G299" i="1"/>
  <c r="BE292" i="1"/>
  <c r="CI288" i="1"/>
  <c r="BQ285" i="1"/>
  <c r="AZ282" i="1"/>
  <c r="AI279" i="1"/>
  <c r="Q276" i="1"/>
  <c r="DD272" i="1"/>
  <c r="CU269" i="1"/>
  <c r="BG267" i="1"/>
  <c r="S265" i="1"/>
  <c r="CI262" i="1"/>
  <c r="AU260" i="1"/>
  <c r="G258" i="1"/>
  <c r="BW255" i="1"/>
  <c r="AI253" i="1"/>
  <c r="CY250" i="1"/>
  <c r="BK248" i="1"/>
  <c r="W246" i="1"/>
  <c r="CM243" i="1"/>
  <c r="AY241" i="1"/>
  <c r="K239" i="1"/>
  <c r="CA236" i="1"/>
  <c r="AM234" i="1"/>
  <c r="DC231" i="1"/>
  <c r="BO229" i="1"/>
  <c r="AA227" i="1"/>
  <c r="CQ224" i="1"/>
  <c r="BC222" i="1"/>
  <c r="O220" i="1"/>
  <c r="CQ318" i="1"/>
  <c r="AQ309" i="1"/>
  <c r="CU299" i="1"/>
  <c r="CY292" i="1"/>
  <c r="I289" i="1"/>
  <c r="S290" i="1"/>
  <c r="CN283" i="1"/>
  <c r="BW280" i="1"/>
  <c r="BE277" i="1"/>
  <c r="AN274" i="1"/>
  <c r="W271" i="1"/>
  <c r="BJ268" i="1"/>
  <c r="V266" i="1"/>
  <c r="AT279" i="1"/>
  <c r="BV359" i="1"/>
  <c r="AC336" i="1"/>
  <c r="CG326" i="1"/>
  <c r="AG317" i="1"/>
  <c r="CK307" i="1"/>
  <c r="AK298" i="1"/>
  <c r="CA339" i="1"/>
  <c r="CN329" i="1"/>
  <c r="AN320" i="1"/>
  <c r="CR310" i="1"/>
  <c r="AR301" i="1"/>
  <c r="CV291" i="1"/>
  <c r="BG337" i="1"/>
  <c r="G328" i="1"/>
  <c r="U295" i="1"/>
  <c r="K281" i="1"/>
  <c r="CQ268" i="1"/>
  <c r="AQ259" i="1"/>
  <c r="CU249" i="1"/>
  <c r="AU240" i="1"/>
  <c r="CY230" i="1"/>
  <c r="AY221" i="1"/>
  <c r="CE295" i="1"/>
  <c r="AY282" i="1"/>
  <c r="CT269" i="1"/>
  <c r="V262" i="1"/>
  <c r="AX257" i="1"/>
  <c r="BZ252" i="1"/>
  <c r="DB247" i="1"/>
  <c r="Z243" i="1"/>
  <c r="BB238" i="1"/>
  <c r="CD233" i="1"/>
  <c r="DF228" i="1"/>
  <c r="AD224" i="1"/>
  <c r="CU324" i="1"/>
  <c r="AU315" i="1"/>
  <c r="CY305" i="1"/>
  <c r="AY296" i="1"/>
  <c r="Y291" i="1"/>
  <c r="CW287" i="1"/>
  <c r="CF284" i="1"/>
  <c r="BO281" i="1"/>
  <c r="AW278" i="1"/>
  <c r="AF275" i="1"/>
  <c r="O272" i="1"/>
  <c r="AC269" i="1"/>
  <c r="CS266" i="1"/>
  <c r="BE264" i="1"/>
  <c r="Q262" i="1"/>
  <c r="CG259" i="1"/>
  <c r="BF293" i="1"/>
  <c r="F284" i="1"/>
  <c r="BJ274" i="1"/>
  <c r="AX342" i="1"/>
  <c r="AS331" i="1"/>
  <c r="CW321" i="1"/>
  <c r="AW312" i="1"/>
  <c r="DA302" i="1"/>
  <c r="BF352" i="1"/>
  <c r="AZ334" i="1"/>
  <c r="DD324" i="1"/>
  <c r="BD315" i="1"/>
  <c r="DH305" i="1"/>
  <c r="BH296" i="1"/>
  <c r="AP345" i="1"/>
  <c r="BW332" i="1"/>
  <c r="AU313" i="1"/>
  <c r="AC287" i="1"/>
  <c r="BP274" i="1"/>
  <c r="DG263" i="1"/>
  <c r="BG254" i="1"/>
  <c r="G245" i="1"/>
  <c r="BK235" i="1"/>
  <c r="K226" i="1"/>
  <c r="AE314" i="1"/>
  <c r="BH287" i="1"/>
  <c r="CU348" i="1"/>
  <c r="S342" i="1"/>
  <c r="AD331" i="1"/>
  <c r="CH321" i="1"/>
  <c r="AH312" i="1"/>
  <c r="CL302" i="1"/>
  <c r="AL293" i="1"/>
  <c r="CP283" i="1"/>
  <c r="AP274" i="1"/>
  <c r="J342" i="1"/>
  <c r="Y331" i="1"/>
  <c r="CC321" i="1"/>
  <c r="AC312" i="1"/>
  <c r="CG302" i="1"/>
  <c r="CH351" i="1"/>
  <c r="AF334" i="1"/>
  <c r="CJ324" i="1"/>
  <c r="AJ315" i="1"/>
  <c r="CN305" i="1"/>
  <c r="AN296" i="1"/>
  <c r="BR344" i="1"/>
  <c r="BC332" i="1"/>
  <c r="BW312" i="1"/>
  <c r="DG286" i="1"/>
  <c r="AO274" i="1"/>
  <c r="CM263" i="1"/>
  <c r="CY254" i="1"/>
  <c r="W250" i="1"/>
  <c r="AY245" i="1"/>
  <c r="CA240" i="1"/>
  <c r="DC235" i="1"/>
  <c r="AA231" i="1"/>
  <c r="BC226" i="1"/>
  <c r="CE221" i="1"/>
  <c r="CU315" i="1"/>
  <c r="CY296" i="1"/>
  <c r="K288" i="1"/>
  <c r="CO282" i="1"/>
  <c r="BG276" i="1"/>
  <c r="X270" i="1"/>
  <c r="AX265" i="1"/>
  <c r="BZ260" i="1"/>
  <c r="DB255" i="1"/>
  <c r="Z251" i="1"/>
  <c r="BB246" i="1"/>
  <c r="CD241" i="1"/>
  <c r="DF236" i="1"/>
  <c r="AD232" i="1"/>
  <c r="BF227" i="1"/>
  <c r="CH222" i="1"/>
  <c r="CT309" i="1"/>
  <c r="AT300" i="1"/>
  <c r="V294" i="1"/>
  <c r="CL287" i="1"/>
  <c r="AX281" i="1"/>
  <c r="Z275" i="1"/>
  <c r="BF359" i="1"/>
  <c r="BN342" i="1"/>
  <c r="Y336" i="1"/>
  <c r="BA331" i="1"/>
  <c r="CC326" i="1"/>
  <c r="DE321" i="1"/>
  <c r="AC317" i="1"/>
  <c r="BE312" i="1"/>
  <c r="CG307" i="1"/>
  <c r="DI302" i="1"/>
  <c r="AG298" i="1"/>
  <c r="CL352" i="1"/>
  <c r="BV339" i="1"/>
  <c r="BH334" i="1"/>
  <c r="CJ329" i="1"/>
  <c r="H325" i="1"/>
  <c r="AJ320" i="1"/>
  <c r="BL315" i="1"/>
  <c r="CN310" i="1"/>
  <c r="L306" i="1"/>
  <c r="AN301" i="1"/>
  <c r="BP296" i="1"/>
  <c r="CR291" i="1"/>
  <c r="BV345" i="1"/>
  <c r="BC337" i="1"/>
  <c r="CE332" i="1"/>
  <c r="DG327" i="1"/>
  <c r="CA313" i="1"/>
  <c r="M295" i="1"/>
  <c r="AN287" i="1"/>
  <c r="DI280" i="1"/>
  <c r="CA274" i="1"/>
  <c r="CM268" i="1"/>
  <c r="K264" i="1"/>
  <c r="AM259" i="1"/>
  <c r="BO254" i="1"/>
  <c r="CQ249" i="1"/>
  <c r="O245" i="1"/>
  <c r="AQ240" i="1"/>
  <c r="BS235" i="1"/>
  <c r="CU230" i="1"/>
  <c r="S226" i="1"/>
  <c r="AU221" i="1"/>
  <c r="BK314" i="1"/>
  <c r="BO295" i="1"/>
  <c r="BS287" i="1"/>
  <c r="CM352" i="1"/>
  <c r="K348" i="1"/>
  <c r="AT355" i="1"/>
  <c r="BG340" i="1"/>
  <c r="V335" i="1"/>
  <c r="AX330" i="1"/>
  <c r="BZ325" i="1"/>
  <c r="DB320" i="1"/>
  <c r="Z316" i="1"/>
  <c r="BB311" i="1"/>
  <c r="CD306" i="1"/>
  <c r="DF301" i="1"/>
  <c r="AD297" i="1"/>
  <c r="BF292" i="1"/>
  <c r="CH287" i="1"/>
  <c r="F283" i="1"/>
  <c r="AH278" i="1"/>
  <c r="BJ273" i="1"/>
  <c r="Z355" i="1"/>
  <c r="BA340" i="1"/>
  <c r="Q335" i="1"/>
  <c r="AS330" i="1"/>
  <c r="BU325" i="1"/>
  <c r="CW320" i="1"/>
  <c r="U316" i="1"/>
  <c r="AW311" i="1"/>
  <c r="BY306" i="1"/>
  <c r="DA301" i="1"/>
  <c r="Y297" i="1"/>
  <c r="BF348" i="1"/>
  <c r="AA338" i="1"/>
  <c r="AZ333" i="1"/>
  <c r="CB328" i="1"/>
  <c r="DD323" i="1"/>
  <c r="AB319" i="1"/>
  <c r="BD314" i="1"/>
  <c r="CF309" i="1"/>
  <c r="DH304" i="1"/>
  <c r="AF300" i="1"/>
  <c r="BH295" i="1"/>
  <c r="AL360" i="1"/>
  <c r="DF342" i="1"/>
  <c r="AU336" i="1"/>
  <c r="BW331" i="1"/>
  <c r="CY326" i="1"/>
  <c r="AU309" i="1"/>
  <c r="DA292" i="1"/>
  <c r="CW285" i="1"/>
  <c r="BO279" i="1"/>
  <c r="AF273" i="1"/>
  <c r="CE267" i="1"/>
  <c r="DG262" i="1"/>
  <c r="AE258" i="1"/>
  <c r="BG253" i="1"/>
  <c r="CI248" i="1"/>
  <c r="G244" i="1"/>
  <c r="AI239" i="1"/>
  <c r="BK234" i="1"/>
  <c r="CM229" i="1"/>
  <c r="K225" i="1"/>
  <c r="AM220" i="1"/>
  <c r="AE310" i="1"/>
  <c r="AQ293" i="1"/>
  <c r="BW353" i="1"/>
  <c r="CY348" i="1"/>
  <c r="CL358" i="1"/>
  <c r="AA342" i="1"/>
  <c r="F336" i="1"/>
  <c r="AH331" i="1"/>
  <c r="BJ326" i="1"/>
  <c r="CL321" i="1"/>
  <c r="J317" i="1"/>
  <c r="AL312" i="1"/>
  <c r="BN307" i="1"/>
  <c r="CP302" i="1"/>
  <c r="N298" i="1"/>
  <c r="AP293" i="1"/>
  <c r="BR288" i="1"/>
  <c r="CT283" i="1"/>
  <c r="R279" i="1"/>
  <c r="AT274" i="1"/>
  <c r="BR358" i="1"/>
  <c r="R342" i="1"/>
  <c r="DE335" i="1"/>
  <c r="AC331" i="1"/>
  <c r="BE326" i="1"/>
  <c r="CG321" i="1"/>
  <c r="DI316" i="1"/>
  <c r="AG312" i="1"/>
  <c r="BI307" i="1"/>
  <c r="CK302" i="1"/>
  <c r="I298" i="1"/>
  <c r="CX351" i="1"/>
  <c r="AP339" i="1"/>
  <c r="AJ334" i="1"/>
  <c r="BL329" i="1"/>
  <c r="CN324" i="1"/>
  <c r="L320" i="1"/>
  <c r="AN315" i="1"/>
  <c r="BP310" i="1"/>
  <c r="CR305" i="1"/>
  <c r="P301" i="1"/>
  <c r="AR296" i="1"/>
  <c r="BT291" i="1"/>
  <c r="CH344" i="1"/>
  <c r="AE337" i="1"/>
  <c r="BG332" i="1"/>
  <c r="CI327" i="1"/>
  <c r="CM312" i="1"/>
  <c r="BU294" i="1"/>
  <c r="H287" i="1"/>
  <c r="CC280" i="1"/>
  <c r="AU274" i="1"/>
  <c r="BO268" i="1"/>
  <c r="CQ263" i="1"/>
  <c r="O259" i="1"/>
  <c r="AQ254" i="1"/>
  <c r="BS249" i="1"/>
  <c r="CU244" i="1"/>
  <c r="S240" i="1"/>
  <c r="AU235" i="1"/>
  <c r="BW230" i="1"/>
  <c r="CY225" i="1"/>
  <c r="W221" i="1"/>
  <c r="BW313" i="1"/>
  <c r="K295" i="1"/>
  <c r="AM287" i="1"/>
  <c r="BC353" i="1"/>
  <c r="CE348" i="1"/>
  <c r="J358" i="1"/>
  <c r="CQ341" i="1"/>
  <c r="CP335" i="1"/>
  <c r="N331" i="1"/>
  <c r="AP326" i="1"/>
  <c r="BR321" i="1"/>
  <c r="CT316" i="1"/>
  <c r="R312" i="1"/>
  <c r="AT307" i="1"/>
  <c r="BV302" i="1"/>
  <c r="CX297" i="1"/>
  <c r="V293" i="1"/>
  <c r="AX288" i="1"/>
  <c r="BZ283" i="1"/>
  <c r="DB278" i="1"/>
  <c r="Z274" i="1"/>
  <c r="CT357" i="1"/>
  <c r="CH341" i="1"/>
  <c r="CK335" i="1"/>
  <c r="I331" i="1"/>
  <c r="AK326" i="1"/>
  <c r="BM321" i="1"/>
  <c r="CO316" i="1"/>
  <c r="M312" i="1"/>
  <c r="AO307" i="1"/>
  <c r="BQ302" i="1"/>
  <c r="CS297" i="1"/>
  <c r="V351" i="1"/>
  <c r="O339" i="1"/>
  <c r="P334" i="1"/>
  <c r="AR329" i="1"/>
  <c r="BT324" i="1"/>
  <c r="CV319" i="1"/>
  <c r="T315" i="1"/>
  <c r="AV310" i="1"/>
  <c r="BX305" i="1"/>
  <c r="CZ300" i="1"/>
  <c r="X296" i="1"/>
  <c r="AZ291" i="1"/>
  <c r="AL344" i="1"/>
  <c r="K337" i="1"/>
  <c r="AM332" i="1"/>
  <c r="BO327" i="1"/>
  <c r="K312" i="1"/>
  <c r="AG294" i="1"/>
  <c r="CK286" i="1"/>
  <c r="BC280" i="1"/>
  <c r="T274" i="1"/>
  <c r="AU268" i="1"/>
  <c r="BW263" i="1"/>
  <c r="CY258" i="1"/>
  <c r="W254" i="1"/>
  <c r="AY249" i="1"/>
  <c r="CA244" i="1"/>
  <c r="DC239" i="1"/>
  <c r="AA235" i="1"/>
  <c r="BC230" i="1"/>
  <c r="CE225" i="1"/>
  <c r="DG220" i="1"/>
  <c r="CY312" i="1"/>
  <c r="CA294" i="1"/>
  <c r="L287" i="1"/>
  <c r="CQ281" i="1"/>
  <c r="BH275" i="1"/>
  <c r="AX269" i="1"/>
  <c r="BZ264" i="1"/>
  <c r="DB259" i="1"/>
  <c r="Z255" i="1"/>
  <c r="BB250" i="1"/>
  <c r="CD245" i="1"/>
  <c r="DF240" i="1"/>
  <c r="AD236" i="1"/>
  <c r="BF231" i="1"/>
  <c r="CH226" i="1"/>
  <c r="F222" i="1"/>
  <c r="CX306" i="1"/>
  <c r="BF299" i="1"/>
  <c r="R293" i="1"/>
  <c r="CH286" i="1"/>
  <c r="BJ280" i="1"/>
  <c r="V274" i="1"/>
  <c r="BJ356" i="1"/>
  <c r="N341" i="1"/>
  <c r="BA335" i="1"/>
  <c r="CC330" i="1"/>
  <c r="DE325" i="1"/>
  <c r="AC321" i="1"/>
  <c r="BE316" i="1"/>
  <c r="CG311" i="1"/>
  <c r="DI306" i="1"/>
  <c r="AG302" i="1"/>
  <c r="BI297" i="1"/>
  <c r="CP349" i="1"/>
  <c r="BW338" i="1"/>
  <c r="CJ333" i="1"/>
  <c r="H329" i="1"/>
  <c r="AJ324" i="1"/>
  <c r="BL319" i="1"/>
  <c r="CN314" i="1"/>
  <c r="L310" i="1"/>
  <c r="AN305" i="1"/>
  <c r="BP300" i="1"/>
  <c r="CR295" i="1"/>
  <c r="P291" i="1"/>
  <c r="BV343" i="1"/>
  <c r="CE336" i="1"/>
  <c r="DG331" i="1"/>
  <c r="AE327" i="1"/>
  <c r="CE310" i="1"/>
  <c r="BQ293" i="1"/>
  <c r="AO286" i="1"/>
  <c r="G280" i="1"/>
  <c r="CB273" i="1"/>
  <c r="K268" i="1"/>
  <c r="AM263" i="1"/>
  <c r="BO258" i="1"/>
  <c r="CQ253" i="1"/>
  <c r="O249" i="1"/>
  <c r="AQ244" i="1"/>
  <c r="BS239" i="1"/>
  <c r="CU234" i="1"/>
  <c r="S230" i="1"/>
  <c r="AU225" i="1"/>
  <c r="BW220" i="1"/>
  <c r="BO311" i="1"/>
  <c r="G294" i="1"/>
  <c r="BT286" i="1"/>
  <c r="K352" i="1"/>
  <c r="AM347" i="1"/>
  <c r="AX352" i="1"/>
  <c r="BI339" i="1"/>
  <c r="AX334" i="1"/>
  <c r="BZ329" i="1"/>
  <c r="DB324" i="1"/>
  <c r="Z320" i="1"/>
  <c r="BB315" i="1"/>
  <c r="CD310" i="1"/>
  <c r="DF305" i="1"/>
  <c r="AD301" i="1"/>
  <c r="BF296" i="1"/>
  <c r="CH291" i="1"/>
  <c r="F287" i="1"/>
  <c r="AH282" i="1"/>
  <c r="BJ277" i="1"/>
  <c r="CL272" i="1"/>
  <c r="AD352" i="1"/>
  <c r="BB339" i="1"/>
  <c r="AS334" i="1"/>
  <c r="BU329" i="1"/>
  <c r="CW324" i="1"/>
  <c r="U320" i="1"/>
  <c r="AW315" i="1"/>
  <c r="BY310" i="1"/>
  <c r="DA305" i="1"/>
  <c r="Y301" i="1"/>
  <c r="BA296" i="1"/>
  <c r="BJ345" i="1"/>
  <c r="AZ337" i="1"/>
  <c r="CB332" i="1"/>
  <c r="DD327" i="1"/>
  <c r="AB323" i="1"/>
  <c r="BD318" i="1"/>
  <c r="CF313" i="1"/>
  <c r="DH308" i="1"/>
  <c r="AF304" i="1"/>
  <c r="BH299" i="1"/>
  <c r="CJ294" i="1"/>
  <c r="AP357" i="1"/>
  <c r="BF341" i="1"/>
  <c r="BW335" i="1"/>
  <c r="CY330" i="1"/>
  <c r="AU325" i="1"/>
  <c r="AY306" i="1"/>
  <c r="BA291" i="1"/>
  <c r="CY284" i="1"/>
  <c r="BP278" i="1"/>
  <c r="AG272" i="1"/>
  <c r="DG266" i="1"/>
  <c r="AE262" i="1"/>
  <c r="BG257" i="1"/>
  <c r="CI252" i="1"/>
  <c r="G248" i="1"/>
  <c r="AI243" i="1"/>
  <c r="BK238" i="1"/>
  <c r="CM233" i="1"/>
  <c r="K229" i="1"/>
  <c r="AM224" i="1"/>
  <c r="AE326" i="1"/>
  <c r="AI307" i="1"/>
  <c r="CU291" i="1"/>
  <c r="CY352" i="1"/>
  <c r="W348" i="1"/>
  <c r="CP355" i="1"/>
  <c r="CE340" i="1"/>
  <c r="AH335" i="1"/>
  <c r="BJ330" i="1"/>
  <c r="CL325" i="1"/>
  <c r="J321" i="1"/>
  <c r="AL316" i="1"/>
  <c r="BN311" i="1"/>
  <c r="CP306" i="1"/>
  <c r="N302" i="1"/>
  <c r="AP297" i="1"/>
  <c r="BR292" i="1"/>
  <c r="CT287" i="1"/>
  <c r="R283" i="1"/>
  <c r="AT278" i="1"/>
  <c r="BV273" i="1"/>
  <c r="BV355" i="1"/>
  <c r="BV340" i="1"/>
  <c r="AC335" i="1"/>
  <c r="BE330" i="1"/>
  <c r="CG325" i="1"/>
  <c r="DI320" i="1"/>
  <c r="AG316" i="1"/>
  <c r="BI311" i="1"/>
  <c r="CK306" i="1"/>
  <c r="I302" i="1"/>
  <c r="AK297" i="1"/>
  <c r="DB348" i="1"/>
  <c r="AQ338" i="1"/>
  <c r="BL333" i="1"/>
  <c r="CN328" i="1"/>
  <c r="L324" i="1"/>
  <c r="AN319" i="1"/>
  <c r="BP314" i="1"/>
  <c r="CR309" i="1"/>
  <c r="P305" i="1"/>
  <c r="AR300" i="1"/>
  <c r="BT295" i="1"/>
  <c r="CV290" i="1"/>
  <c r="Z343" i="1"/>
  <c r="BG336" i="1"/>
  <c r="CI331" i="1"/>
  <c r="G327" i="1"/>
  <c r="CQ309" i="1"/>
  <c r="U293" i="1"/>
  <c r="I286" i="1"/>
  <c r="CE279" i="1"/>
  <c r="AV273" i="1"/>
  <c r="CQ267" i="1"/>
  <c r="O263" i="1"/>
  <c r="AQ258" i="1"/>
  <c r="BS253" i="1"/>
  <c r="CU248" i="1"/>
  <c r="S244" i="1"/>
  <c r="AU239" i="1"/>
  <c r="BW234" i="1"/>
  <c r="CY229" i="1"/>
  <c r="W225" i="1"/>
  <c r="AY220" i="1"/>
  <c r="CA310" i="1"/>
  <c r="BO293" i="1"/>
  <c r="AN286" i="1"/>
  <c r="CE352" i="1"/>
  <c r="DG347" i="1"/>
  <c r="N355" i="1"/>
  <c r="AW340" i="1"/>
  <c r="N335" i="1"/>
  <c r="AP330" i="1"/>
  <c r="BR325" i="1"/>
  <c r="CT320" i="1"/>
  <c r="R316" i="1"/>
  <c r="AT311" i="1"/>
  <c r="BV306" i="1"/>
  <c r="CX301" i="1"/>
  <c r="V297" i="1"/>
  <c r="AX292" i="1"/>
  <c r="BZ287" i="1"/>
  <c r="DB282" i="1"/>
  <c r="BZ308" i="1"/>
  <c r="N300" i="1"/>
  <c r="CD293" i="1"/>
  <c r="AP287" i="1"/>
  <c r="R281" i="1"/>
  <c r="CH274" i="1"/>
  <c r="AL358" i="1"/>
  <c r="DF341" i="1"/>
  <c r="CW335" i="1"/>
  <c r="U331" i="1"/>
  <c r="AW326" i="1"/>
  <c r="BY321" i="1"/>
  <c r="DA316" i="1"/>
  <c r="Y312" i="1"/>
  <c r="BA307" i="1"/>
  <c r="CC302" i="1"/>
  <c r="DE297" i="1"/>
  <c r="BR351" i="1"/>
  <c r="AE339" i="1"/>
  <c r="AB334" i="1"/>
  <c r="BD329" i="1"/>
  <c r="CF324" i="1"/>
  <c r="DH319" i="1"/>
  <c r="AF315" i="1"/>
  <c r="BH310" i="1"/>
  <c r="CJ305" i="1"/>
  <c r="H301" i="1"/>
  <c r="AJ296" i="1"/>
  <c r="BL291" i="1"/>
  <c r="BJ344" i="1"/>
  <c r="W337" i="1"/>
  <c r="AY332" i="1"/>
  <c r="CA327" i="1"/>
  <c r="BG312" i="1"/>
  <c r="BE294" i="1"/>
  <c r="DA286" i="1"/>
  <c r="BS280" i="1"/>
  <c r="AJ274" i="1"/>
  <c r="BG268" i="1"/>
  <c r="CI263" i="1"/>
  <c r="G259" i="1"/>
  <c r="AI254" i="1"/>
  <c r="BK249" i="1"/>
  <c r="CM244" i="1"/>
  <c r="K240" i="1"/>
  <c r="AM235" i="1"/>
  <c r="BO230" i="1"/>
  <c r="G227" i="1"/>
  <c r="BW224" i="1"/>
  <c r="AI222" i="1"/>
  <c r="CY219" i="1"/>
  <c r="O318" i="1"/>
  <c r="BS308" i="1"/>
  <c r="S299" i="1"/>
  <c r="BK292" i="1"/>
  <c r="CM288" i="1"/>
  <c r="CE357" i="1"/>
  <c r="CA353" i="1"/>
  <c r="AM351" i="1"/>
  <c r="DC348" i="1"/>
  <c r="BO346" i="1"/>
  <c r="DB358" i="1"/>
  <c r="BB349" i="1"/>
  <c r="AI342" i="1"/>
  <c r="BJ338" i="1"/>
  <c r="J336" i="1"/>
  <c r="BZ333" i="1"/>
  <c r="AL331" i="1"/>
  <c r="DB328" i="1"/>
  <c r="BN326" i="1"/>
  <c r="Z324" i="1"/>
  <c r="CP321" i="1"/>
  <c r="BB319" i="1"/>
  <c r="N317" i="1"/>
  <c r="CD314" i="1"/>
  <c r="AP312" i="1"/>
  <c r="DF309" i="1"/>
  <c r="BR307" i="1"/>
  <c r="AD305" i="1"/>
  <c r="CT302" i="1"/>
  <c r="BF300" i="1"/>
  <c r="R298" i="1"/>
  <c r="CH295" i="1"/>
  <c r="AT293" i="1"/>
  <c r="F291" i="1"/>
  <c r="BV288" i="1"/>
  <c r="AH286" i="1"/>
  <c r="CX283" i="1"/>
  <c r="BJ281" i="1"/>
  <c r="V279" i="1"/>
  <c r="CL276" i="1"/>
  <c r="AX274" i="1"/>
  <c r="J272" i="1"/>
  <c r="CH358" i="1"/>
  <c r="AH349" i="1"/>
  <c r="Z342" i="1"/>
  <c r="BC338" i="1"/>
  <c r="DI335" i="1"/>
  <c r="BU333" i="1"/>
  <c r="AG331" i="1"/>
  <c r="CW328" i="1"/>
  <c r="BI326" i="1"/>
  <c r="U324" i="1"/>
  <c r="CK321" i="1"/>
  <c r="AW319" i="1"/>
  <c r="I317" i="1"/>
  <c r="BY314" i="1"/>
  <c r="AK312" i="1"/>
  <c r="DA309" i="1"/>
  <c r="BM307" i="1"/>
  <c r="Y305" i="1"/>
  <c r="CO302" i="1"/>
  <c r="BA300" i="1"/>
  <c r="M298" i="1"/>
  <c r="CC295" i="1"/>
  <c r="J352" i="1"/>
  <c r="BO343" i="1"/>
  <c r="AU339" i="1"/>
  <c r="CB336" i="1"/>
  <c r="AN334" i="1"/>
  <c r="DD331" i="1"/>
  <c r="BP329" i="1"/>
  <c r="AB327" i="1"/>
  <c r="CR324" i="1"/>
  <c r="BD322" i="1"/>
  <c r="P320" i="1"/>
  <c r="CF317" i="1"/>
  <c r="AR315" i="1"/>
  <c r="DH312" i="1"/>
  <c r="BT310" i="1"/>
  <c r="AF308" i="1"/>
  <c r="CV305" i="1"/>
  <c r="BH303" i="1"/>
  <c r="T301" i="1"/>
  <c r="CJ298" i="1"/>
  <c r="AV296" i="1"/>
  <c r="H294" i="1"/>
  <c r="BX291" i="1"/>
  <c r="AT354" i="1"/>
  <c r="CX344" i="1"/>
  <c r="W340" i="1"/>
  <c r="AI337" i="1"/>
  <c r="CY334" i="1"/>
  <c r="BK332" i="1"/>
  <c r="W330" i="1"/>
  <c r="CM327" i="1"/>
  <c r="AY322" i="1"/>
  <c r="DC312" i="1"/>
  <c r="BC303" i="1"/>
  <c r="CC294" i="1"/>
  <c r="AE290" i="1"/>
  <c r="M287" i="1"/>
  <c r="CZ283" i="1"/>
  <c r="CI280" i="1"/>
  <c r="BQ277" i="1"/>
  <c r="AZ274" i="1"/>
  <c r="AI271" i="1"/>
  <c r="BS268" i="1"/>
  <c r="AE266" i="1"/>
  <c r="CU263" i="1"/>
  <c r="BG261" i="1"/>
  <c r="S259" i="1"/>
  <c r="CI256" i="1"/>
  <c r="AU254" i="1"/>
  <c r="G252" i="1"/>
  <c r="BW249" i="1"/>
  <c r="AI247" i="1"/>
  <c r="CY244" i="1"/>
  <c r="BK242" i="1"/>
  <c r="W240" i="1"/>
  <c r="CM237" i="1"/>
  <c r="AY235" i="1"/>
  <c r="K233" i="1"/>
  <c r="CA230" i="1"/>
  <c r="AM228" i="1"/>
  <c r="DC225" i="1"/>
  <c r="BO223" i="1"/>
  <c r="AA221" i="1"/>
  <c r="AI323" i="1"/>
  <c r="CM313" i="1"/>
  <c r="AM304" i="1"/>
  <c r="S295" i="1"/>
  <c r="BI290" i="1"/>
  <c r="CA354" i="1"/>
  <c r="W352" i="1"/>
  <c r="CM349" i="1"/>
  <c r="AY347" i="1"/>
  <c r="K345" i="1"/>
  <c r="CT352" i="1"/>
  <c r="DG343" i="1"/>
  <c r="BY339" i="1"/>
  <c r="CX336" i="1"/>
  <c r="BJ334" i="1"/>
  <c r="V332" i="1"/>
  <c r="CL329" i="1"/>
  <c r="AX327" i="1"/>
  <c r="J325" i="1"/>
  <c r="BZ322" i="1"/>
  <c r="AL320" i="1"/>
  <c r="DB317" i="1"/>
  <c r="BN315" i="1"/>
  <c r="Z313" i="1"/>
  <c r="CP310" i="1"/>
  <c r="BB308" i="1"/>
  <c r="N306" i="1"/>
  <c r="CD303" i="1"/>
  <c r="AP301" i="1"/>
  <c r="DF298" i="1"/>
  <c r="BR296" i="1"/>
  <c r="AD294" i="1"/>
  <c r="CT291" i="1"/>
  <c r="BF289" i="1"/>
  <c r="R287" i="1"/>
  <c r="CH284" i="1"/>
  <c r="AT282" i="1"/>
  <c r="F280" i="1"/>
  <c r="BV277" i="1"/>
  <c r="AH275" i="1"/>
  <c r="CX272" i="1"/>
  <c r="BJ270" i="1"/>
  <c r="BZ352" i="1"/>
  <c r="CX343" i="1"/>
  <c r="BR339" i="1"/>
  <c r="CS336" i="1"/>
  <c r="BE334" i="1"/>
  <c r="Q332" i="1"/>
  <c r="CG329" i="1"/>
  <c r="AS327" i="1"/>
  <c r="DI324" i="1"/>
  <c r="BU322" i="1"/>
  <c r="AG320" i="1"/>
  <c r="CW317" i="1"/>
  <c r="BI315" i="1"/>
  <c r="U313" i="1"/>
  <c r="CK310" i="1"/>
  <c r="AW308" i="1"/>
  <c r="I306" i="1"/>
  <c r="BY303" i="1"/>
  <c r="AK301" i="1"/>
  <c r="DA298" i="1"/>
  <c r="BM296" i="1"/>
  <c r="BB355" i="1"/>
  <c r="DF345" i="1"/>
  <c r="BK340" i="1"/>
  <c r="BL337" i="1"/>
  <c r="X335" i="1"/>
  <c r="CN332" i="1"/>
  <c r="AZ330" i="1"/>
  <c r="L328" i="1"/>
  <c r="CB325" i="1"/>
  <c r="AN323" i="1"/>
  <c r="DD320" i="1"/>
  <c r="BP318" i="1"/>
  <c r="AB316" i="1"/>
  <c r="CR313" i="1"/>
  <c r="BD311" i="1"/>
  <c r="P309" i="1"/>
  <c r="CF306" i="1"/>
  <c r="AR304" i="1"/>
  <c r="DH301" i="1"/>
  <c r="BT299" i="1"/>
  <c r="AF297" i="1"/>
  <c r="CV294" i="1"/>
  <c r="BH292" i="1"/>
  <c r="CL357" i="1"/>
  <c r="AL348" i="1"/>
  <c r="CD341" i="1"/>
  <c r="U338" i="1"/>
  <c r="CI335" i="1"/>
  <c r="AU333" i="1"/>
  <c r="G331" i="1"/>
  <c r="BW328" i="1"/>
  <c r="CQ325" i="1"/>
  <c r="AQ316" i="1"/>
  <c r="CU306" i="1"/>
  <c r="AU297" i="1"/>
  <c r="BY291" i="1"/>
  <c r="AB288" i="1"/>
  <c r="K285" i="1"/>
  <c r="CW281" i="1"/>
  <c r="CF278" i="1"/>
  <c r="BO275" i="1"/>
  <c r="AW272" i="1"/>
  <c r="BC269" i="1"/>
  <c r="O267" i="1"/>
  <c r="CE264" i="1"/>
  <c r="AQ262" i="1"/>
  <c r="DG259" i="1"/>
  <c r="BS257" i="1"/>
  <c r="AE255" i="1"/>
  <c r="CU252" i="1"/>
  <c r="BG250" i="1"/>
  <c r="S248" i="1"/>
  <c r="CI245" i="1"/>
  <c r="AU243" i="1"/>
  <c r="G241" i="1"/>
  <c r="BW238" i="1"/>
  <c r="AI236" i="1"/>
  <c r="CY233" i="1"/>
  <c r="BK231" i="1"/>
  <c r="W229" i="1"/>
  <c r="CM226" i="1"/>
  <c r="AY224" i="1"/>
  <c r="K222" i="1"/>
  <c r="CA219" i="1"/>
  <c r="AA317" i="1"/>
  <c r="CE307" i="1"/>
  <c r="AE298" i="1"/>
  <c r="O292" i="1"/>
  <c r="BG288" i="1"/>
  <c r="AO285" i="1"/>
  <c r="AQ354" i="1"/>
  <c r="DG351" i="1"/>
  <c r="BS349" i="1"/>
  <c r="AE347" i="1"/>
  <c r="CU344" i="1"/>
  <c r="R352" i="1"/>
  <c r="BS343" i="1"/>
  <c r="AX339" i="1"/>
  <c r="CD336" i="1"/>
  <c r="AP334" i="1"/>
  <c r="DF331" i="1"/>
  <c r="BR329" i="1"/>
  <c r="AD327" i="1"/>
  <c r="CT324" i="1"/>
  <c r="BF322" i="1"/>
  <c r="R320" i="1"/>
  <c r="CH317" i="1"/>
  <c r="AT315" i="1"/>
  <c r="F313" i="1"/>
  <c r="BV310" i="1"/>
  <c r="AH308" i="1"/>
  <c r="CX305" i="1"/>
  <c r="BJ303" i="1"/>
  <c r="V301" i="1"/>
  <c r="CL298" i="1"/>
  <c r="AX296" i="1"/>
  <c r="J294" i="1"/>
  <c r="BZ291" i="1"/>
  <c r="AL289" i="1"/>
  <c r="DB286" i="1"/>
  <c r="BN284" i="1"/>
  <c r="Z282" i="1"/>
  <c r="CP279" i="1"/>
  <c r="BB277" i="1"/>
  <c r="N275" i="1"/>
  <c r="CD272" i="1"/>
  <c r="AP270" i="1"/>
  <c r="DB351" i="1"/>
  <c r="BJ343" i="1"/>
  <c r="AQ339" i="1"/>
  <c r="BY336" i="1"/>
  <c r="AK334" i="1"/>
  <c r="DA331" i="1"/>
  <c r="BM329" i="1"/>
  <c r="Y327" i="1"/>
  <c r="CO324" i="1"/>
  <c r="BA322" i="1"/>
  <c r="M320" i="1"/>
  <c r="CC317" i="1"/>
  <c r="AO315" i="1"/>
  <c r="DE312" i="1"/>
  <c r="BQ310" i="1"/>
  <c r="AC308" i="1"/>
  <c r="CS305" i="1"/>
  <c r="BE303" i="1"/>
  <c r="Q301" i="1"/>
  <c r="CG298" i="1"/>
  <c r="AS296" i="1"/>
  <c r="CD354" i="1"/>
  <c r="AD345" i="1"/>
  <c r="AI340" i="1"/>
  <c r="AR337" i="1"/>
  <c r="DH334" i="1"/>
  <c r="BT332" i="1"/>
  <c r="AF330" i="1"/>
  <c r="CV327" i="1"/>
  <c r="BH325" i="1"/>
  <c r="T323" i="1"/>
  <c r="CJ320" i="1"/>
  <c r="AV318" i="1"/>
  <c r="H316" i="1"/>
  <c r="BX313" i="1"/>
  <c r="AJ311" i="1"/>
  <c r="CZ308" i="1"/>
  <c r="BL306" i="1"/>
  <c r="X304" i="1"/>
  <c r="CN301" i="1"/>
  <c r="AZ299" i="1"/>
  <c r="L297" i="1"/>
  <c r="CB294" i="1"/>
  <c r="AN292" i="1"/>
  <c r="J357" i="1"/>
  <c r="BN347" i="1"/>
  <c r="AP341" i="1"/>
  <c r="DC337" i="1"/>
  <c r="BO335" i="1"/>
  <c r="AA333" i="1"/>
  <c r="CQ330" i="1"/>
  <c r="BC328" i="1"/>
  <c r="O325" i="1"/>
  <c r="BS315" i="1"/>
  <c r="S306" i="1"/>
  <c r="BW296" i="1"/>
  <c r="AK291" i="1"/>
  <c r="DE287" i="1"/>
  <c r="CN284" i="1"/>
  <c r="BW281" i="1"/>
  <c r="BE278" i="1"/>
  <c r="AN275" i="1"/>
  <c r="W272" i="1"/>
  <c r="AI269" i="1"/>
  <c r="CY266" i="1"/>
  <c r="BK264" i="1"/>
  <c r="W262" i="1"/>
  <c r="CM259" i="1"/>
  <c r="AY257" i="1"/>
  <c r="K255" i="1"/>
  <c r="CA252" i="1"/>
  <c r="AM250" i="1"/>
  <c r="DC247" i="1"/>
  <c r="BO245" i="1"/>
  <c r="AA243" i="1"/>
  <c r="CQ240" i="1"/>
  <c r="BC238" i="1"/>
  <c r="O236" i="1"/>
  <c r="CE233" i="1"/>
  <c r="AQ231" i="1"/>
  <c r="DG228" i="1"/>
  <c r="BS226" i="1"/>
  <c r="AE224" i="1"/>
  <c r="CU221" i="1"/>
  <c r="DC325" i="1"/>
  <c r="BC316" i="1"/>
  <c r="DG306" i="1"/>
  <c r="BG297" i="1"/>
  <c r="CE291" i="1"/>
  <c r="AF288" i="1"/>
  <c r="DE286" i="1"/>
  <c r="G283" i="1"/>
  <c r="CS279" i="1"/>
  <c r="CB276" i="1"/>
  <c r="BK273" i="1"/>
  <c r="AS270" i="1"/>
  <c r="DB267" i="1"/>
  <c r="BN265" i="1"/>
  <c r="F277" i="1"/>
  <c r="V350" i="1"/>
  <c r="CS333" i="1"/>
  <c r="AS324" i="1"/>
  <c r="CW314" i="1"/>
  <c r="AW305" i="1"/>
  <c r="DA295" i="1"/>
  <c r="CZ336" i="1"/>
  <c r="AZ327" i="1"/>
  <c r="DD317" i="1"/>
  <c r="BD308" i="1"/>
  <c r="DH298" i="1"/>
  <c r="AH355" i="1"/>
  <c r="S335" i="1"/>
  <c r="AM323" i="1"/>
  <c r="BK290" i="1"/>
  <c r="CW277" i="1"/>
  <c r="BC266" i="1"/>
  <c r="DG256" i="1"/>
  <c r="BG247" i="1"/>
  <c r="G238" i="1"/>
  <c r="BK228" i="1"/>
  <c r="W324" i="1"/>
  <c r="CQ290" i="1"/>
  <c r="AG279" i="1"/>
  <c r="BF267" i="1"/>
  <c r="DF260" i="1"/>
  <c r="AD256" i="1"/>
  <c r="BF251" i="1"/>
  <c r="CH246" i="1"/>
  <c r="F242" i="1"/>
  <c r="AH237" i="1"/>
  <c r="BJ232" i="1"/>
  <c r="CL227" i="1"/>
  <c r="J223" i="1"/>
  <c r="BG322" i="1"/>
  <c r="G313" i="1"/>
  <c r="BK303" i="1"/>
  <c r="CG294" i="1"/>
  <c r="AG290" i="1"/>
  <c r="P287" i="1"/>
  <c r="DC283" i="1"/>
  <c r="CK280" i="1"/>
  <c r="BT277" i="1"/>
  <c r="BC274" i="1"/>
  <c r="AK271" i="1"/>
  <c r="BU268" i="1"/>
  <c r="AG266" i="1"/>
  <c r="CW263" i="1"/>
  <c r="BI261" i="1"/>
  <c r="U259" i="1"/>
  <c r="CK256" i="1"/>
  <c r="AW254" i="1"/>
  <c r="I252" i="1"/>
  <c r="BY249" i="1"/>
  <c r="AK247" i="1"/>
  <c r="DA244" i="1"/>
  <c r="BM242" i="1"/>
  <c r="Y240" i="1"/>
  <c r="CO237" i="1"/>
  <c r="BA235" i="1"/>
  <c r="M233" i="1"/>
  <c r="CC230" i="1"/>
  <c r="AO228" i="1"/>
  <c r="DE225" i="1"/>
  <c r="BQ223" i="1"/>
  <c r="AC221" i="1"/>
  <c r="BC322" i="1"/>
  <c r="DG312" i="1"/>
  <c r="BG303" i="1"/>
  <c r="CE294" i="1"/>
  <c r="AF290" i="1"/>
  <c r="O287" i="1"/>
  <c r="DA283" i="1"/>
  <c r="CJ280" i="1"/>
  <c r="BS277" i="1"/>
  <c r="BA274" i="1"/>
  <c r="AJ271" i="1"/>
  <c r="BT268" i="1"/>
  <c r="AF266" i="1"/>
  <c r="CV263" i="1"/>
  <c r="BH261" i="1"/>
  <c r="T259" i="1"/>
  <c r="CJ256" i="1"/>
  <c r="AV254" i="1"/>
  <c r="H252" i="1"/>
  <c r="BX249" i="1"/>
  <c r="AJ247" i="1"/>
  <c r="CZ244" i="1"/>
  <c r="BL242" i="1"/>
  <c r="X240" i="1"/>
  <c r="CN237" i="1"/>
  <c r="AZ235" i="1"/>
  <c r="L233" i="1"/>
  <c r="CB230" i="1"/>
  <c r="AN228" i="1"/>
  <c r="DD225" i="1"/>
  <c r="BP223" i="1"/>
  <c r="AB221" i="1"/>
  <c r="CG218" i="1"/>
  <c r="AS216" i="1"/>
  <c r="DI213" i="1"/>
  <c r="BU211" i="1"/>
  <c r="AG209" i="1"/>
  <c r="CW206" i="1"/>
  <c r="BI204" i="1"/>
  <c r="U202" i="1"/>
  <c r="CK199" i="1"/>
  <c r="AW197" i="1"/>
  <c r="I195" i="1"/>
  <c r="BY192" i="1"/>
  <c r="AK190" i="1"/>
  <c r="DA187" i="1"/>
  <c r="BM185" i="1"/>
  <c r="Y183" i="1"/>
  <c r="CO180" i="1"/>
  <c r="BA178" i="1"/>
  <c r="M176" i="1"/>
  <c r="CC173" i="1"/>
  <c r="AO171" i="1"/>
  <c r="DE168" i="1"/>
  <c r="BQ166" i="1"/>
  <c r="AC164" i="1"/>
  <c r="CS161" i="1"/>
  <c r="BE159" i="1"/>
  <c r="Q157" i="1"/>
  <c r="CG154" i="1"/>
  <c r="AS152" i="1"/>
  <c r="DI149" i="1"/>
  <c r="BU147" i="1"/>
  <c r="AG145" i="1"/>
  <c r="CB218" i="1"/>
  <c r="AN216" i="1"/>
  <c r="DD213" i="1"/>
  <c r="BP211" i="1"/>
  <c r="AB209" i="1"/>
  <c r="DA289" i="1"/>
  <c r="CI283" i="1"/>
  <c r="BQ280" i="1"/>
  <c r="AZ277" i="1"/>
  <c r="AI274" i="1"/>
  <c r="Q271" i="1"/>
  <c r="BF268" i="1"/>
  <c r="R266" i="1"/>
  <c r="CH263" i="1"/>
  <c r="AT261" i="1"/>
  <c r="F259" i="1"/>
  <c r="BV256" i="1"/>
  <c r="AH254" i="1"/>
  <c r="CX251" i="1"/>
  <c r="BJ249" i="1"/>
  <c r="V247" i="1"/>
  <c r="CL244" i="1"/>
  <c r="AX242" i="1"/>
  <c r="J240" i="1"/>
  <c r="BZ237" i="1"/>
  <c r="AL235" i="1"/>
  <c r="DB232" i="1"/>
  <c r="BN230" i="1"/>
  <c r="Z228" i="1"/>
  <c r="CP225" i="1"/>
  <c r="BB223" i="1"/>
  <c r="N221" i="1"/>
  <c r="CI321" i="1"/>
  <c r="AI312" i="1"/>
  <c r="CM302" i="1"/>
  <c r="AS294" i="1"/>
  <c r="G290" i="1"/>
  <c r="CS286" i="1"/>
  <c r="CB283" i="1"/>
  <c r="BK280" i="1"/>
  <c r="AS277" i="1"/>
  <c r="AB274" i="1"/>
  <c r="K271" i="1"/>
  <c r="BA268" i="1"/>
  <c r="M266" i="1"/>
  <c r="CC263" i="1"/>
  <c r="AO261" i="1"/>
  <c r="DE258" i="1"/>
  <c r="BQ256" i="1"/>
  <c r="AC254" i="1"/>
  <c r="CS251" i="1"/>
  <c r="BE249" i="1"/>
  <c r="Q247" i="1"/>
  <c r="CG244" i="1"/>
  <c r="AS242" i="1"/>
  <c r="DI239" i="1"/>
  <c r="BU237" i="1"/>
  <c r="AG235" i="1"/>
  <c r="CW232" i="1"/>
  <c r="BI230" i="1"/>
  <c r="U228" i="1"/>
  <c r="CK225" i="1"/>
  <c r="AW223" i="1"/>
  <c r="I221" i="1"/>
  <c r="CE321" i="1"/>
  <c r="AE312" i="1"/>
  <c r="CI302" i="1"/>
  <c r="AQ294" i="1"/>
  <c r="DI289" i="1"/>
  <c r="CR286" i="1"/>
  <c r="CA283" i="1"/>
  <c r="BI280" i="1"/>
  <c r="AR277" i="1"/>
  <c r="AA274" i="1"/>
  <c r="I271" i="1"/>
  <c r="AZ268" i="1"/>
  <c r="L266" i="1"/>
  <c r="CB263" i="1"/>
  <c r="AN261" i="1"/>
  <c r="DD258" i="1"/>
  <c r="BP256" i="1"/>
  <c r="AB254" i="1"/>
  <c r="CR251" i="1"/>
  <c r="BD249" i="1"/>
  <c r="P247" i="1"/>
  <c r="CF244" i="1"/>
  <c r="AR242" i="1"/>
  <c r="DH239" i="1"/>
  <c r="BT237" i="1"/>
  <c r="AF235" i="1"/>
  <c r="CV232" i="1"/>
  <c r="BH230" i="1"/>
  <c r="T228" i="1"/>
  <c r="CJ225" i="1"/>
  <c r="AV223" i="1"/>
  <c r="H221" i="1"/>
  <c r="BM218" i="1"/>
  <c r="Y216" i="1"/>
  <c r="CO213" i="1"/>
  <c r="BA211" i="1"/>
  <c r="M209" i="1"/>
  <c r="CC206" i="1"/>
  <c r="AO204" i="1"/>
  <c r="DE201" i="1"/>
  <c r="BQ199" i="1"/>
  <c r="AC197" i="1"/>
  <c r="CS194" i="1"/>
  <c r="BE192" i="1"/>
  <c r="Q190" i="1"/>
  <c r="CG187" i="1"/>
  <c r="AS185" i="1"/>
  <c r="DI182" i="1"/>
  <c r="BU180" i="1"/>
  <c r="AG178" i="1"/>
  <c r="CW175" i="1"/>
  <c r="BI173" i="1"/>
  <c r="U171" i="1"/>
  <c r="CK168" i="1"/>
  <c r="AW166" i="1"/>
  <c r="I164" i="1"/>
  <c r="BY161" i="1"/>
  <c r="AK159" i="1"/>
  <c r="DA156" i="1"/>
  <c r="BM154" i="1"/>
  <c r="Y152" i="1"/>
  <c r="CO149" i="1"/>
  <c r="BA147" i="1"/>
  <c r="M145" i="1"/>
  <c r="BH218" i="1"/>
  <c r="T216" i="1"/>
  <c r="CJ213" i="1"/>
  <c r="AV211" i="1"/>
  <c r="H209" i="1"/>
  <c r="U288" i="1"/>
  <c r="AM283" i="1"/>
  <c r="U280" i="1"/>
  <c r="DH276" i="1"/>
  <c r="CQ273" i="1"/>
  <c r="BY270" i="1"/>
  <c r="V268" i="1"/>
  <c r="CL265" i="1"/>
  <c r="AX263" i="1"/>
  <c r="J261" i="1"/>
  <c r="BZ258" i="1"/>
  <c r="AL256" i="1"/>
  <c r="DB253" i="1"/>
  <c r="BN251" i="1"/>
  <c r="Z249" i="1"/>
  <c r="CP246" i="1"/>
  <c r="BB244" i="1"/>
  <c r="N242" i="1"/>
  <c r="CD239" i="1"/>
  <c r="AP237" i="1"/>
  <c r="DF234" i="1"/>
  <c r="BR232" i="1"/>
  <c r="AD230" i="1"/>
  <c r="CT227" i="1"/>
  <c r="BF225" i="1"/>
  <c r="R223" i="1"/>
  <c r="CH220" i="1"/>
  <c r="AY320" i="1"/>
  <c r="DC310" i="1"/>
  <c r="BC301" i="1"/>
  <c r="CC293" i="1"/>
  <c r="BO289" i="1"/>
  <c r="AW286" i="1"/>
  <c r="AF283" i="1"/>
  <c r="O280" i="1"/>
  <c r="DA276" i="1"/>
  <c r="CJ273" i="1"/>
  <c r="BS270" i="1"/>
  <c r="Q268" i="1"/>
  <c r="CG265" i="1"/>
  <c r="AS263" i="1"/>
  <c r="DI260" i="1"/>
  <c r="BU258" i="1"/>
  <c r="AG256" i="1"/>
  <c r="CW253" i="1"/>
  <c r="BI251" i="1"/>
  <c r="U249" i="1"/>
  <c r="CK246" i="1"/>
  <c r="AW244" i="1"/>
  <c r="I242" i="1"/>
  <c r="BY239" i="1"/>
  <c r="AK237" i="1"/>
  <c r="DA234" i="1"/>
  <c r="BM232" i="1"/>
  <c r="Y230" i="1"/>
  <c r="CO227" i="1"/>
  <c r="BA225" i="1"/>
  <c r="M223" i="1"/>
  <c r="CC220" i="1"/>
  <c r="AU320" i="1"/>
  <c r="CY310" i="1"/>
  <c r="AY301" i="1"/>
  <c r="CA293" i="1"/>
  <c r="BM289" i="1"/>
  <c r="AV286" i="1"/>
  <c r="AE283" i="1"/>
  <c r="M280" i="1"/>
  <c r="CZ276" i="1"/>
  <c r="CI273" i="1"/>
  <c r="BQ270" i="1"/>
  <c r="P268" i="1"/>
  <c r="CF265" i="1"/>
  <c r="AR263" i="1"/>
  <c r="DH260" i="1"/>
  <c r="BT258" i="1"/>
  <c r="AF256" i="1"/>
  <c r="CV253" i="1"/>
  <c r="BH251" i="1"/>
  <c r="T249" i="1"/>
  <c r="CJ246" i="1"/>
  <c r="AV244" i="1"/>
  <c r="H242" i="1"/>
  <c r="BX239" i="1"/>
  <c r="AJ237" i="1"/>
  <c r="CZ234" i="1"/>
  <c r="BL232" i="1"/>
  <c r="X230" i="1"/>
  <c r="CN227" i="1"/>
  <c r="AZ225" i="1"/>
  <c r="L223" i="1"/>
  <c r="CB220" i="1"/>
  <c r="AC218" i="1"/>
  <c r="CS215" i="1"/>
  <c r="BE213" i="1"/>
  <c r="Q211" i="1"/>
  <c r="CG208" i="1"/>
  <c r="AS206" i="1"/>
  <c r="DI203" i="1"/>
  <c r="BU201" i="1"/>
  <c r="AG199" i="1"/>
  <c r="CW196" i="1"/>
  <c r="BI194" i="1"/>
  <c r="U192" i="1"/>
  <c r="CK189" i="1"/>
  <c r="AW187" i="1"/>
  <c r="I185" i="1"/>
  <c r="BY182" i="1"/>
  <c r="AK180" i="1"/>
  <c r="DA177" i="1"/>
  <c r="BM175" i="1"/>
  <c r="Y173" i="1"/>
  <c r="CO170" i="1"/>
  <c r="BA168" i="1"/>
  <c r="M166" i="1"/>
  <c r="CC163" i="1"/>
  <c r="AO161" i="1"/>
  <c r="DE158" i="1"/>
  <c r="BQ156" i="1"/>
  <c r="AC154" i="1"/>
  <c r="CS151" i="1"/>
  <c r="BE149" i="1"/>
  <c r="Q147" i="1"/>
  <c r="CG144" i="1"/>
  <c r="X218" i="1"/>
  <c r="CN215" i="1"/>
  <c r="AZ213" i="1"/>
  <c r="L211" i="1"/>
  <c r="CB208" i="1"/>
  <c r="W287" i="1"/>
  <c r="L283" i="1"/>
  <c r="CY279" i="1"/>
  <c r="CG276" i="1"/>
  <c r="BP273" i="1"/>
  <c r="AY270" i="1"/>
  <c r="DF267" i="1"/>
  <c r="BR265" i="1"/>
  <c r="AD263" i="1"/>
  <c r="CT260" i="1"/>
  <c r="BF258" i="1"/>
  <c r="R256" i="1"/>
  <c r="CH253" i="1"/>
  <c r="AT251" i="1"/>
  <c r="F249" i="1"/>
  <c r="BV246" i="1"/>
  <c r="AH244" i="1"/>
  <c r="CX241" i="1"/>
  <c r="BJ239" i="1"/>
  <c r="V237" i="1"/>
  <c r="CL234" i="1"/>
  <c r="AX232" i="1"/>
  <c r="J230" i="1"/>
  <c r="BZ227" i="1"/>
  <c r="AL225" i="1"/>
  <c r="DB222" i="1"/>
  <c r="BN220" i="1"/>
  <c r="CA319" i="1"/>
  <c r="AA310" i="1"/>
  <c r="CE300" i="1"/>
  <c r="AO293" i="1"/>
  <c r="AN289" i="1"/>
  <c r="W286" i="1"/>
  <c r="DI282" i="1"/>
  <c r="CR279" i="1"/>
  <c r="CA276" i="1"/>
  <c r="BI273" i="1"/>
  <c r="AR270" i="1"/>
  <c r="DA267" i="1"/>
  <c r="BM265" i="1"/>
  <c r="Y263" i="1"/>
  <c r="CO260" i="1"/>
  <c r="BA258" i="1"/>
  <c r="M256" i="1"/>
  <c r="CC253" i="1"/>
  <c r="AO251" i="1"/>
  <c r="DE248" i="1"/>
  <c r="BQ246" i="1"/>
  <c r="AC244" i="1"/>
  <c r="CS241" i="1"/>
  <c r="BE239" i="1"/>
  <c r="Q237" i="1"/>
  <c r="CG234" i="1"/>
  <c r="AS232" i="1"/>
  <c r="DI229" i="1"/>
  <c r="BU227" i="1"/>
  <c r="AG225" i="1"/>
  <c r="CW222" i="1"/>
  <c r="BI220" i="1"/>
  <c r="BW319" i="1"/>
  <c r="W310" i="1"/>
  <c r="CA300" i="1"/>
  <c r="AM293" i="1"/>
  <c r="AM289" i="1"/>
  <c r="U286" i="1"/>
  <c r="DH282" i="1"/>
  <c r="CQ279" i="1"/>
  <c r="BY276" i="1"/>
  <c r="BH273" i="1"/>
  <c r="AQ270" i="1"/>
  <c r="CZ267" i="1"/>
  <c r="BL265" i="1"/>
  <c r="X263" i="1"/>
  <c r="CN260" i="1"/>
  <c r="AZ258" i="1"/>
  <c r="L256" i="1"/>
  <c r="CB253" i="1"/>
  <c r="AN251" i="1"/>
  <c r="DD248" i="1"/>
  <c r="BP246" i="1"/>
  <c r="AB244" i="1"/>
  <c r="CR241" i="1"/>
  <c r="BD239" i="1"/>
  <c r="P237" i="1"/>
  <c r="CF234" i="1"/>
  <c r="AR232" i="1"/>
  <c r="DH229" i="1"/>
  <c r="BT227" i="1"/>
  <c r="AF225" i="1"/>
  <c r="CV222" i="1"/>
  <c r="BH220" i="1"/>
  <c r="I218" i="1"/>
  <c r="BY215" i="1"/>
  <c r="AK213" i="1"/>
  <c r="DA210" i="1"/>
  <c r="BM208" i="1"/>
  <c r="Y206" i="1"/>
  <c r="CO203" i="1"/>
  <c r="BA201" i="1"/>
  <c r="M199" i="1"/>
  <c r="CC196" i="1"/>
  <c r="AO194" i="1"/>
  <c r="DE191" i="1"/>
  <c r="BQ189" i="1"/>
  <c r="AC187" i="1"/>
  <c r="CS184" i="1"/>
  <c r="BE182" i="1"/>
  <c r="Q180" i="1"/>
  <c r="CG177" i="1"/>
  <c r="AS175" i="1"/>
  <c r="DI172" i="1"/>
  <c r="BZ271" i="1"/>
  <c r="DI337" i="1"/>
  <c r="BI328" i="1"/>
  <c r="I319" i="1"/>
  <c r="BM309" i="1"/>
  <c r="M300" i="1"/>
  <c r="CQ342" i="1"/>
  <c r="BP331" i="1"/>
  <c r="P322" i="1"/>
  <c r="BT312" i="1"/>
  <c r="T303" i="1"/>
  <c r="BX293" i="1"/>
  <c r="BZ339" i="1"/>
  <c r="CM329" i="1"/>
  <c r="DG301" i="1"/>
  <c r="AY283" i="1"/>
  <c r="CK270" i="1"/>
  <c r="S261" i="1"/>
  <c r="BW251" i="1"/>
  <c r="W242" i="1"/>
  <c r="CA232" i="1"/>
  <c r="AA223" i="1"/>
  <c r="CQ302" i="1"/>
  <c r="CM284" i="1"/>
  <c r="U272" i="1"/>
  <c r="Z263" i="1"/>
  <c r="BB258" i="1"/>
  <c r="CD253" i="1"/>
  <c r="DF248" i="1"/>
  <c r="AD244" i="1"/>
  <c r="BF239" i="1"/>
  <c r="CH234" i="1"/>
  <c r="F230" i="1"/>
  <c r="AH225" i="1"/>
  <c r="BJ220" i="1"/>
  <c r="W317" i="1"/>
  <c r="CA307" i="1"/>
  <c r="AA298" i="1"/>
  <c r="M292" i="1"/>
  <c r="BE288" i="1"/>
  <c r="AN285" i="1"/>
  <c r="W282" i="1"/>
  <c r="DI278" i="1"/>
  <c r="CR275" i="1"/>
  <c r="CA272" i="1"/>
  <c r="BY269" i="1"/>
  <c r="AK267" i="1"/>
  <c r="DA264" i="1"/>
  <c r="BM262" i="1"/>
  <c r="Y260" i="1"/>
  <c r="CO257" i="1"/>
  <c r="BA255" i="1"/>
  <c r="M253" i="1"/>
  <c r="CC250" i="1"/>
  <c r="AO248" i="1"/>
  <c r="DE245" i="1"/>
  <c r="BQ243" i="1"/>
  <c r="AC241" i="1"/>
  <c r="CS238" i="1"/>
  <c r="BE236" i="1"/>
  <c r="Q234" i="1"/>
  <c r="CG231" i="1"/>
  <c r="AS229" i="1"/>
  <c r="DI226" i="1"/>
  <c r="BU224" i="1"/>
  <c r="AG222" i="1"/>
  <c r="CW219" i="1"/>
  <c r="S317" i="1"/>
  <c r="BW307" i="1"/>
  <c r="W298" i="1"/>
  <c r="K292" i="1"/>
  <c r="BD288" i="1"/>
  <c r="AM285" i="1"/>
  <c r="U282" i="1"/>
  <c r="DH278" i="1"/>
  <c r="CQ275" i="1"/>
  <c r="BY272" i="1"/>
  <c r="BX269" i="1"/>
  <c r="AJ267" i="1"/>
  <c r="CZ264" i="1"/>
  <c r="BL262" i="1"/>
  <c r="X260" i="1"/>
  <c r="CN257" i="1"/>
  <c r="AZ255" i="1"/>
  <c r="L253" i="1"/>
  <c r="CB250" i="1"/>
  <c r="AN248" i="1"/>
  <c r="DD245" i="1"/>
  <c r="BP243" i="1"/>
  <c r="AB241" i="1"/>
  <c r="CR238" i="1"/>
  <c r="BD236" i="1"/>
  <c r="P234" i="1"/>
  <c r="CF231" i="1"/>
  <c r="AR229" i="1"/>
  <c r="DH226" i="1"/>
  <c r="BT224" i="1"/>
  <c r="AF222" i="1"/>
  <c r="CP219" i="1"/>
  <c r="AW217" i="1"/>
  <c r="I215" i="1"/>
  <c r="BY212" i="1"/>
  <c r="AK210" i="1"/>
  <c r="DA207" i="1"/>
  <c r="BM205" i="1"/>
  <c r="Y203" i="1"/>
  <c r="CO200" i="1"/>
  <c r="BA198" i="1"/>
  <c r="M196" i="1"/>
  <c r="CC193" i="1"/>
  <c r="AO191" i="1"/>
  <c r="DE188" i="1"/>
  <c r="BQ186" i="1"/>
  <c r="AC184" i="1"/>
  <c r="CS181" i="1"/>
  <c r="BE179" i="1"/>
  <c r="Q177" i="1"/>
  <c r="CG174" i="1"/>
  <c r="AS172" i="1"/>
  <c r="DI169" i="1"/>
  <c r="BU167" i="1"/>
  <c r="AG165" i="1"/>
  <c r="CW162" i="1"/>
  <c r="BI160" i="1"/>
  <c r="U158" i="1"/>
  <c r="CK155" i="1"/>
  <c r="AW153" i="1"/>
  <c r="I151" i="1"/>
  <c r="BY148" i="1"/>
  <c r="AK146" i="1"/>
  <c r="CJ219" i="1"/>
  <c r="AR217" i="1"/>
  <c r="DH214" i="1"/>
  <c r="BT212" i="1"/>
  <c r="AF210" i="1"/>
  <c r="CV207" i="1"/>
  <c r="T285" i="1"/>
  <c r="DG281" i="1"/>
  <c r="CO278" i="1"/>
  <c r="BX275" i="1"/>
  <c r="BG272" i="1"/>
  <c r="BJ269" i="1"/>
  <c r="V267" i="1"/>
  <c r="CL264" i="1"/>
  <c r="AX262" i="1"/>
  <c r="J260" i="1"/>
  <c r="BZ257" i="1"/>
  <c r="AL255" i="1"/>
  <c r="DB252" i="1"/>
  <c r="BN250" i="1"/>
  <c r="Z248" i="1"/>
  <c r="CP245" i="1"/>
  <c r="BB243" i="1"/>
  <c r="N241" i="1"/>
  <c r="CD238" i="1"/>
  <c r="AP236" i="1"/>
  <c r="DF233" i="1"/>
  <c r="BR231" i="1"/>
  <c r="AD229" i="1"/>
  <c r="CT226" i="1"/>
  <c r="BF224" i="1"/>
  <c r="R222" i="1"/>
  <c r="CY325" i="1"/>
  <c r="AY316" i="1"/>
  <c r="DC306" i="1"/>
  <c r="BC297" i="1"/>
  <c r="CC291" i="1"/>
  <c r="AE288" i="1"/>
  <c r="M285" i="1"/>
  <c r="CZ281" i="1"/>
  <c r="CI278" i="1"/>
  <c r="BQ275" i="1"/>
  <c r="AZ272" i="1"/>
  <c r="BE269" i="1"/>
  <c r="Q267" i="1"/>
  <c r="CG264" i="1"/>
  <c r="AS262" i="1"/>
  <c r="DI259" i="1"/>
  <c r="BU257" i="1"/>
  <c r="AG255" i="1"/>
  <c r="CW252" i="1"/>
  <c r="BI250" i="1"/>
  <c r="U248" i="1"/>
  <c r="CK245" i="1"/>
  <c r="AW243" i="1"/>
  <c r="I241" i="1"/>
  <c r="BY238" i="1"/>
  <c r="AK236" i="1"/>
  <c r="DA233" i="1"/>
  <c r="BM231" i="1"/>
  <c r="Y229" i="1"/>
  <c r="CO226" i="1"/>
  <c r="BA224" i="1"/>
  <c r="M222" i="1"/>
  <c r="CU325" i="1"/>
  <c r="AU316" i="1"/>
  <c r="CY306" i="1"/>
  <c r="AY297" i="1"/>
  <c r="CA291" i="1"/>
  <c r="AC288" i="1"/>
  <c r="L285" i="1"/>
  <c r="CY281" i="1"/>
  <c r="CG278" i="1"/>
  <c r="BP275" i="1"/>
  <c r="AY272" i="1"/>
  <c r="BD269" i="1"/>
  <c r="P267" i="1"/>
  <c r="CF264" i="1"/>
  <c r="AR262" i="1"/>
  <c r="DH259" i="1"/>
  <c r="BT257" i="1"/>
  <c r="AF255" i="1"/>
  <c r="CV252" i="1"/>
  <c r="BH250" i="1"/>
  <c r="T248" i="1"/>
  <c r="CJ245" i="1"/>
  <c r="AV243" i="1"/>
  <c r="H241" i="1"/>
  <c r="BX238" i="1"/>
  <c r="AJ236" i="1"/>
  <c r="CZ233" i="1"/>
  <c r="BL231" i="1"/>
  <c r="X229" i="1"/>
  <c r="CN226" i="1"/>
  <c r="AZ224" i="1"/>
  <c r="L222" i="1"/>
  <c r="BQ219" i="1"/>
  <c r="AC217" i="1"/>
  <c r="CS214" i="1"/>
  <c r="BE212" i="1"/>
  <c r="Q210" i="1"/>
  <c r="CG207" i="1"/>
  <c r="AS205" i="1"/>
  <c r="DI202" i="1"/>
  <c r="BU200" i="1"/>
  <c r="AG198" i="1"/>
  <c r="CW195" i="1"/>
  <c r="BI193" i="1"/>
  <c r="U191" i="1"/>
  <c r="CK188" i="1"/>
  <c r="AW186" i="1"/>
  <c r="I184" i="1"/>
  <c r="BY181" i="1"/>
  <c r="AK179" i="1"/>
  <c r="DA176" i="1"/>
  <c r="BM174" i="1"/>
  <c r="Y172" i="1"/>
  <c r="CO169" i="1"/>
  <c r="BA167" i="1"/>
  <c r="M165" i="1"/>
  <c r="CC162" i="1"/>
  <c r="AO160" i="1"/>
  <c r="DE157" i="1"/>
  <c r="BQ155" i="1"/>
  <c r="AC153" i="1"/>
  <c r="CS150" i="1"/>
  <c r="BE148" i="1"/>
  <c r="Q146" i="1"/>
  <c r="BL219" i="1"/>
  <c r="X217" i="1"/>
  <c r="CN214" i="1"/>
  <c r="AZ212" i="1"/>
  <c r="L210" i="1"/>
  <c r="CB207" i="1"/>
  <c r="CB284" i="1"/>
  <c r="BK281" i="1"/>
  <c r="AS278" i="1"/>
  <c r="AB275" i="1"/>
  <c r="K272" i="1"/>
  <c r="Z269" i="1"/>
  <c r="CP266" i="1"/>
  <c r="BB264" i="1"/>
  <c r="N262" i="1"/>
  <c r="CD259" i="1"/>
  <c r="AP257" i="1"/>
  <c r="DF254" i="1"/>
  <c r="BR252" i="1"/>
  <c r="AD250" i="1"/>
  <c r="CT247" i="1"/>
  <c r="BF245" i="1"/>
  <c r="R243" i="1"/>
  <c r="CH240" i="1"/>
  <c r="AT238" i="1"/>
  <c r="F236" i="1"/>
  <c r="BV233" i="1"/>
  <c r="AH231" i="1"/>
  <c r="CX228" i="1"/>
  <c r="BJ226" i="1"/>
  <c r="V224" i="1"/>
  <c r="CL221" i="1"/>
  <c r="BO324" i="1"/>
  <c r="O315" i="1"/>
  <c r="BS305" i="1"/>
  <c r="S296" i="1"/>
  <c r="I291" i="1"/>
  <c r="CM287" i="1"/>
  <c r="BU284" i="1"/>
  <c r="BD281" i="1"/>
  <c r="AM278" i="1"/>
  <c r="U275" i="1"/>
  <c r="DH271" i="1"/>
  <c r="U269" i="1"/>
  <c r="CK266" i="1"/>
  <c r="AW264" i="1"/>
  <c r="I262" i="1"/>
  <c r="BY259" i="1"/>
  <c r="AK257" i="1"/>
  <c r="DA254" i="1"/>
  <c r="BM252" i="1"/>
  <c r="Y250" i="1"/>
  <c r="CO247" i="1"/>
  <c r="BA245" i="1"/>
  <c r="M243" i="1"/>
  <c r="CC240" i="1"/>
  <c r="AO238" i="1"/>
  <c r="DE235" i="1"/>
  <c r="BQ233" i="1"/>
  <c r="AC231" i="1"/>
  <c r="CS228" i="1"/>
  <c r="BE226" i="1"/>
  <c r="Q224" i="1"/>
  <c r="CG221" i="1"/>
  <c r="BK324" i="1"/>
  <c r="K315" i="1"/>
  <c r="BO305" i="1"/>
  <c r="O296" i="1"/>
  <c r="G291" i="1"/>
  <c r="CK287" i="1"/>
  <c r="BT284" i="1"/>
  <c r="BC281" i="1"/>
  <c r="AK278" i="1"/>
  <c r="T275" i="1"/>
  <c r="DG271" i="1"/>
  <c r="T269" i="1"/>
  <c r="CJ266" i="1"/>
  <c r="AV264" i="1"/>
  <c r="H262" i="1"/>
  <c r="BX259" i="1"/>
  <c r="AJ257" i="1"/>
  <c r="CZ254" i="1"/>
  <c r="BL252" i="1"/>
  <c r="X250" i="1"/>
  <c r="CN247" i="1"/>
  <c r="AZ245" i="1"/>
  <c r="L243" i="1"/>
  <c r="CB240" i="1"/>
  <c r="AN238" i="1"/>
  <c r="DD235" i="1"/>
  <c r="BP233" i="1"/>
  <c r="AB231" i="1"/>
  <c r="CR228" i="1"/>
  <c r="BD226" i="1"/>
  <c r="P224" i="1"/>
  <c r="CF221" i="1"/>
  <c r="AG219" i="1"/>
  <c r="CW216" i="1"/>
  <c r="BI214" i="1"/>
  <c r="U212" i="1"/>
  <c r="CK209" i="1"/>
  <c r="AW207" i="1"/>
  <c r="I205" i="1"/>
  <c r="BY202" i="1"/>
  <c r="AK200" i="1"/>
  <c r="DA197" i="1"/>
  <c r="BM195" i="1"/>
  <c r="Y193" i="1"/>
  <c r="CO190" i="1"/>
  <c r="BA188" i="1"/>
  <c r="M186" i="1"/>
  <c r="CC183" i="1"/>
  <c r="AO181" i="1"/>
  <c r="DE178" i="1"/>
  <c r="BQ176" i="1"/>
  <c r="AC174" i="1"/>
  <c r="CS171" i="1"/>
  <c r="BE169" i="1"/>
  <c r="Q167" i="1"/>
  <c r="CG164" i="1"/>
  <c r="AS162" i="1"/>
  <c r="DI159" i="1"/>
  <c r="BU157" i="1"/>
  <c r="AG155" i="1"/>
  <c r="CW152" i="1"/>
  <c r="BI150" i="1"/>
  <c r="U148" i="1"/>
  <c r="CK145" i="1"/>
  <c r="AB219" i="1"/>
  <c r="CR216" i="1"/>
  <c r="BD214" i="1"/>
  <c r="P212" i="1"/>
  <c r="CF209" i="1"/>
  <c r="AR207" i="1"/>
  <c r="BA284" i="1"/>
  <c r="AJ281" i="1"/>
  <c r="S278" i="1"/>
  <c r="DE274" i="1"/>
  <c r="CN271" i="1"/>
  <c r="F269" i="1"/>
  <c r="BV266" i="1"/>
  <c r="AH264" i="1"/>
  <c r="CX261" i="1"/>
  <c r="BJ259" i="1"/>
  <c r="V257" i="1"/>
  <c r="CL254" i="1"/>
  <c r="AX252" i="1"/>
  <c r="J250" i="1"/>
  <c r="BZ247" i="1"/>
  <c r="AL245" i="1"/>
  <c r="DB242" i="1"/>
  <c r="BN240" i="1"/>
  <c r="Z238" i="1"/>
  <c r="CP235" i="1"/>
  <c r="BB233" i="1"/>
  <c r="N231" i="1"/>
  <c r="CD228" i="1"/>
  <c r="AP226" i="1"/>
  <c r="DF223" i="1"/>
  <c r="BR221" i="1"/>
  <c r="CQ323" i="1"/>
  <c r="AQ314" i="1"/>
  <c r="CU304" i="1"/>
  <c r="AW295" i="1"/>
  <c r="CC290" i="1"/>
  <c r="BL287" i="1"/>
  <c r="AU284" i="1"/>
  <c r="AC281" i="1"/>
  <c r="L278" i="1"/>
  <c r="CY274" i="1"/>
  <c r="CG271" i="1"/>
  <c r="DE268" i="1"/>
  <c r="BQ266" i="1"/>
  <c r="AC264" i="1"/>
  <c r="CS261" i="1"/>
  <c r="BE259" i="1"/>
  <c r="Q257" i="1"/>
  <c r="CG254" i="1"/>
  <c r="AS252" i="1"/>
  <c r="DI249" i="1"/>
  <c r="BU247" i="1"/>
  <c r="AG245" i="1"/>
  <c r="CW242" i="1"/>
  <c r="BI240" i="1"/>
  <c r="U238" i="1"/>
  <c r="CK235" i="1"/>
  <c r="AW233" i="1"/>
  <c r="I231" i="1"/>
  <c r="BY228" i="1"/>
  <c r="AK226" i="1"/>
  <c r="DA223" i="1"/>
  <c r="BM221" i="1"/>
  <c r="CM323" i="1"/>
  <c r="AM314" i="1"/>
  <c r="CQ304" i="1"/>
  <c r="AU295" i="1"/>
  <c r="CB290" i="1"/>
  <c r="BK287" i="1"/>
  <c r="AS284" i="1"/>
  <c r="AB281" i="1"/>
  <c r="K278" i="1"/>
  <c r="CW274" i="1"/>
  <c r="CF271" i="1"/>
  <c r="DD268" i="1"/>
  <c r="BP266" i="1"/>
  <c r="AB264" i="1"/>
  <c r="CR261" i="1"/>
  <c r="BD259" i="1"/>
  <c r="P257" i="1"/>
  <c r="CF254" i="1"/>
  <c r="AR252" i="1"/>
  <c r="DH249" i="1"/>
  <c r="BT247" i="1"/>
  <c r="AF245" i="1"/>
  <c r="CV242" i="1"/>
  <c r="BH240" i="1"/>
  <c r="T238" i="1"/>
  <c r="CJ235" i="1"/>
  <c r="AV233" i="1"/>
  <c r="H231" i="1"/>
  <c r="BX228" i="1"/>
  <c r="AJ226" i="1"/>
  <c r="CZ223" i="1"/>
  <c r="BL221" i="1"/>
  <c r="M219" i="1"/>
  <c r="CC216" i="1"/>
  <c r="AO214" i="1"/>
  <c r="DE211" i="1"/>
  <c r="BQ209" i="1"/>
  <c r="AC207" i="1"/>
  <c r="CS204" i="1"/>
  <c r="BE202" i="1"/>
  <c r="Q200" i="1"/>
  <c r="CG197" i="1"/>
  <c r="AS195" i="1"/>
  <c r="DI192" i="1"/>
  <c r="BU190" i="1"/>
  <c r="AG188" i="1"/>
  <c r="CW185" i="1"/>
  <c r="BI183" i="1"/>
  <c r="U181" i="1"/>
  <c r="CK178" i="1"/>
  <c r="AW176" i="1"/>
  <c r="I174" i="1"/>
  <c r="BY171" i="1"/>
  <c r="AK169" i="1"/>
  <c r="DA166" i="1"/>
  <c r="BM164" i="1"/>
  <c r="BB273" i="1"/>
  <c r="AP340" i="1"/>
  <c r="AK330" i="1"/>
  <c r="CO320" i="1"/>
  <c r="AO311" i="1"/>
  <c r="CS301" i="1"/>
  <c r="Z348" i="1"/>
  <c r="AR333" i="1"/>
  <c r="CV323" i="1"/>
  <c r="AV314" i="1"/>
  <c r="CZ304" i="1"/>
  <c r="AZ295" i="1"/>
  <c r="CP342" i="1"/>
  <c r="BO331" i="1"/>
  <c r="O309" i="1"/>
  <c r="CM285" i="1"/>
  <c r="U273" i="1"/>
  <c r="CY262" i="1"/>
  <c r="AY253" i="1"/>
  <c r="DC243" i="1"/>
  <c r="BC234" i="1"/>
  <c r="DG224" i="1"/>
  <c r="DC309" i="1"/>
  <c r="M286" i="1"/>
  <c r="BI274" i="1"/>
  <c r="DB263" i="1"/>
  <c r="Z259" i="1"/>
  <c r="BB254" i="1"/>
  <c r="CD249" i="1"/>
  <c r="DF244" i="1"/>
  <c r="AD240" i="1"/>
  <c r="BF235" i="1"/>
  <c r="CH230" i="1"/>
  <c r="F226" i="1"/>
  <c r="AH221" i="1"/>
  <c r="DC318" i="1"/>
  <c r="BC309" i="1"/>
  <c r="DG299" i="1"/>
  <c r="DE292" i="1"/>
  <c r="M289" i="1"/>
  <c r="CZ285" i="1"/>
  <c r="CI282" i="1"/>
  <c r="BQ279" i="1"/>
  <c r="AZ276" i="1"/>
  <c r="AI273" i="1"/>
  <c r="Q270" i="1"/>
  <c r="CG267" i="1"/>
  <c r="AS265" i="1"/>
  <c r="DI262" i="1"/>
  <c r="BU260" i="1"/>
  <c r="AG258" i="1"/>
  <c r="CW255" i="1"/>
  <c r="BI253" i="1"/>
  <c r="U251" i="1"/>
  <c r="CK248" i="1"/>
  <c r="AW246" i="1"/>
  <c r="I244" i="1"/>
  <c r="BY241" i="1"/>
  <c r="AK239" i="1"/>
  <c r="DA236" i="1"/>
  <c r="BM234" i="1"/>
  <c r="Y232" i="1"/>
  <c r="CO229" i="1"/>
  <c r="BA227" i="1"/>
  <c r="M225" i="1"/>
  <c r="CC222" i="1"/>
  <c r="AO220" i="1"/>
  <c r="CY318" i="1"/>
  <c r="AY309" i="1"/>
  <c r="DC299" i="1"/>
  <c r="DC292" i="1"/>
  <c r="L289" i="1"/>
  <c r="CY285" i="1"/>
  <c r="CG282" i="1"/>
  <c r="BP279" i="1"/>
  <c r="AY276" i="1"/>
  <c r="AG273" i="1"/>
  <c r="P270" i="1"/>
  <c r="CF267" i="1"/>
  <c r="AR265" i="1"/>
  <c r="DH262" i="1"/>
  <c r="BT260" i="1"/>
  <c r="AF258" i="1"/>
  <c r="CV255" i="1"/>
  <c r="BH253" i="1"/>
  <c r="T251" i="1"/>
  <c r="CJ248" i="1"/>
  <c r="AV246" i="1"/>
  <c r="H244" i="1"/>
  <c r="BX241" i="1"/>
  <c r="AJ239" i="1"/>
  <c r="CZ236" i="1"/>
  <c r="BL234" i="1"/>
  <c r="X232" i="1"/>
  <c r="CN229" i="1"/>
  <c r="AZ227" i="1"/>
  <c r="L225" i="1"/>
  <c r="CB222" i="1"/>
  <c r="AN220" i="1"/>
  <c r="CS217" i="1"/>
  <c r="BE215" i="1"/>
  <c r="Q213" i="1"/>
  <c r="CG210" i="1"/>
  <c r="AS208" i="1"/>
  <c r="DI205" i="1"/>
  <c r="BU203" i="1"/>
  <c r="AG201" i="1"/>
  <c r="CW198" i="1"/>
  <c r="BI196" i="1"/>
  <c r="U194" i="1"/>
  <c r="CK191" i="1"/>
  <c r="AW189" i="1"/>
  <c r="I187" i="1"/>
  <c r="BY184" i="1"/>
  <c r="AK182" i="1"/>
  <c r="DA179" i="1"/>
  <c r="BM177" i="1"/>
  <c r="Y175" i="1"/>
  <c r="CO172" i="1"/>
  <c r="BA170" i="1"/>
  <c r="M168" i="1"/>
  <c r="CC165" i="1"/>
  <c r="AO163" i="1"/>
  <c r="DE160" i="1"/>
  <c r="BQ158" i="1"/>
  <c r="AC156" i="1"/>
  <c r="CS153" i="1"/>
  <c r="BE151" i="1"/>
  <c r="Q149" i="1"/>
  <c r="CG146" i="1"/>
  <c r="AS144" i="1"/>
  <c r="CN217" i="1"/>
  <c r="AZ215" i="1"/>
  <c r="L213" i="1"/>
  <c r="CB210" i="1"/>
  <c r="AN208" i="1"/>
  <c r="CV285" i="1"/>
  <c r="BO282" i="1"/>
  <c r="AW279" i="1"/>
  <c r="AF276" i="1"/>
  <c r="O273" i="1"/>
  <c r="DF269" i="1"/>
  <c r="BR267" i="1"/>
  <c r="AD265" i="1"/>
  <c r="CT262" i="1"/>
  <c r="BF260" i="1"/>
  <c r="R258" i="1"/>
  <c r="CH255" i="1"/>
  <c r="AT253" i="1"/>
  <c r="F251" i="1"/>
  <c r="BV248" i="1"/>
  <c r="AH246" i="1"/>
  <c r="CX243" i="1"/>
  <c r="BJ241" i="1"/>
  <c r="V239" i="1"/>
  <c r="CL236" i="1"/>
  <c r="AX234" i="1"/>
  <c r="J232" i="1"/>
  <c r="BZ229" i="1"/>
  <c r="AL227" i="1"/>
  <c r="DB224" i="1"/>
  <c r="BN222" i="1"/>
  <c r="Z220" i="1"/>
  <c r="AA318" i="1"/>
  <c r="CE308" i="1"/>
  <c r="AE299" i="1"/>
  <c r="BQ292" i="1"/>
  <c r="CQ288" i="1"/>
  <c r="BY285" i="1"/>
  <c r="BH282" i="1"/>
  <c r="AQ279" i="1"/>
  <c r="Y276" i="1"/>
  <c r="H273" i="1"/>
  <c r="DA269" i="1"/>
  <c r="BM267" i="1"/>
  <c r="Y265" i="1"/>
  <c r="CO262" i="1"/>
  <c r="BA260" i="1"/>
  <c r="M258" i="1"/>
  <c r="CC255" i="1"/>
  <c r="AO253" i="1"/>
  <c r="DE250" i="1"/>
  <c r="BQ248" i="1"/>
  <c r="AC246" i="1"/>
  <c r="CS243" i="1"/>
  <c r="BE241" i="1"/>
  <c r="Q239" i="1"/>
  <c r="CG236" i="1"/>
  <c r="AS234" i="1"/>
  <c r="DI231" i="1"/>
  <c r="BU229" i="1"/>
  <c r="AG227" i="1"/>
  <c r="CW224" i="1"/>
  <c r="BI222" i="1"/>
  <c r="U220" i="1"/>
  <c r="W318" i="1"/>
  <c r="CA308" i="1"/>
  <c r="AA299" i="1"/>
  <c r="BO292" i="1"/>
  <c r="CO288" i="1"/>
  <c r="BX285" i="1"/>
  <c r="BG282" i="1"/>
  <c r="AO279" i="1"/>
  <c r="X276" i="1"/>
  <c r="G273" i="1"/>
  <c r="CZ269" i="1"/>
  <c r="BL267" i="1"/>
  <c r="X265" i="1"/>
  <c r="CN262" i="1"/>
  <c r="AZ260" i="1"/>
  <c r="L258" i="1"/>
  <c r="CB255" i="1"/>
  <c r="AN253" i="1"/>
  <c r="DD250" i="1"/>
  <c r="BP248" i="1"/>
  <c r="AB246" i="1"/>
  <c r="CR243" i="1"/>
  <c r="BD241" i="1"/>
  <c r="P239" i="1"/>
  <c r="CF236" i="1"/>
  <c r="AR234" i="1"/>
  <c r="DH231" i="1"/>
  <c r="BT229" i="1"/>
  <c r="AF227" i="1"/>
  <c r="CV224" i="1"/>
  <c r="BH222" i="1"/>
  <c r="T220" i="1"/>
  <c r="BY217" i="1"/>
  <c r="AK215" i="1"/>
  <c r="DA212" i="1"/>
  <c r="BM210" i="1"/>
  <c r="Y208" i="1"/>
  <c r="CO205" i="1"/>
  <c r="BA203" i="1"/>
  <c r="M201" i="1"/>
  <c r="CC198" i="1"/>
  <c r="AO196" i="1"/>
  <c r="DE193" i="1"/>
  <c r="BQ191" i="1"/>
  <c r="AC189" i="1"/>
  <c r="CS186" i="1"/>
  <c r="BE184" i="1"/>
  <c r="Q182" i="1"/>
  <c r="CG179" i="1"/>
  <c r="AS177" i="1"/>
  <c r="DI174" i="1"/>
  <c r="BU172" i="1"/>
  <c r="AG170" i="1"/>
  <c r="CW167" i="1"/>
  <c r="BI165" i="1"/>
  <c r="U163" i="1"/>
  <c r="CK160" i="1"/>
  <c r="AW158" i="1"/>
  <c r="I156" i="1"/>
  <c r="BY153" i="1"/>
  <c r="AK151" i="1"/>
  <c r="DA148" i="1"/>
  <c r="BM146" i="1"/>
  <c r="Y144" i="1"/>
  <c r="BT217" i="1"/>
  <c r="AF215" i="1"/>
  <c r="CV212" i="1"/>
  <c r="BH210" i="1"/>
  <c r="T208" i="1"/>
  <c r="AJ285" i="1"/>
  <c r="S282" i="1"/>
  <c r="DE278" i="1"/>
  <c r="CN275" i="1"/>
  <c r="BW272" i="1"/>
  <c r="BV269" i="1"/>
  <c r="AH267" i="1"/>
  <c r="CX264" i="1"/>
  <c r="BJ262" i="1"/>
  <c r="V260" i="1"/>
  <c r="CL257" i="1"/>
  <c r="AX255" i="1"/>
  <c r="J253" i="1"/>
  <c r="BZ250" i="1"/>
  <c r="AL248" i="1"/>
  <c r="DB245" i="1"/>
  <c r="BN243" i="1"/>
  <c r="Z241" i="1"/>
  <c r="CP238" i="1"/>
  <c r="BB236" i="1"/>
  <c r="N234" i="1"/>
  <c r="CD231" i="1"/>
  <c r="AP229" i="1"/>
  <c r="DF226" i="1"/>
  <c r="BR224" i="1"/>
  <c r="AD222" i="1"/>
  <c r="AQ326" i="1"/>
  <c r="CU316" i="1"/>
  <c r="AU307" i="1"/>
  <c r="CY297" i="1"/>
  <c r="DA291" i="1"/>
  <c r="AU288" i="1"/>
  <c r="AC285" i="1"/>
  <c r="L282" i="1"/>
  <c r="CY278" i="1"/>
  <c r="CG275" i="1"/>
  <c r="BP272" i="1"/>
  <c r="BQ269" i="1"/>
  <c r="AC267" i="1"/>
  <c r="CS264" i="1"/>
  <c r="BE262" i="1"/>
  <c r="Q260" i="1"/>
  <c r="CG257" i="1"/>
  <c r="AS255" i="1"/>
  <c r="DI252" i="1"/>
  <c r="BU250" i="1"/>
  <c r="AG248" i="1"/>
  <c r="CW245" i="1"/>
  <c r="BI243" i="1"/>
  <c r="U241" i="1"/>
  <c r="CK238" i="1"/>
  <c r="AW236" i="1"/>
  <c r="I234" i="1"/>
  <c r="BY231" i="1"/>
  <c r="AK229" i="1"/>
  <c r="DA226" i="1"/>
  <c r="BM224" i="1"/>
  <c r="Y222" i="1"/>
  <c r="AM326" i="1"/>
  <c r="CQ316" i="1"/>
  <c r="AQ307" i="1"/>
  <c r="CU297" i="1"/>
  <c r="CY291" i="1"/>
  <c r="AS288" i="1"/>
  <c r="AB285" i="1"/>
  <c r="K282" i="1"/>
  <c r="CW278" i="1"/>
  <c r="CF275" i="1"/>
  <c r="BO272" i="1"/>
  <c r="BP269" i="1"/>
  <c r="AB267" i="1"/>
  <c r="CR264" i="1"/>
  <c r="BD262" i="1"/>
  <c r="P260" i="1"/>
  <c r="CF257" i="1"/>
  <c r="AR255" i="1"/>
  <c r="DH252" i="1"/>
  <c r="BT250" i="1"/>
  <c r="AF248" i="1"/>
  <c r="CV245" i="1"/>
  <c r="BH243" i="1"/>
  <c r="T241" i="1"/>
  <c r="CJ238" i="1"/>
  <c r="AV236" i="1"/>
  <c r="H234" i="1"/>
  <c r="BX231" i="1"/>
  <c r="AJ229" i="1"/>
  <c r="CZ226" i="1"/>
  <c r="BL224" i="1"/>
  <c r="X222" i="1"/>
  <c r="CF219" i="1"/>
  <c r="AO217" i="1"/>
  <c r="DE214" i="1"/>
  <c r="BQ212" i="1"/>
  <c r="AC210" i="1"/>
  <c r="CS207" i="1"/>
  <c r="BE205" i="1"/>
  <c r="Q203" i="1"/>
  <c r="CG200" i="1"/>
  <c r="AS198" i="1"/>
  <c r="DI195" i="1"/>
  <c r="BU193" i="1"/>
  <c r="AG191" i="1"/>
  <c r="CW188" i="1"/>
  <c r="BI186" i="1"/>
  <c r="U184" i="1"/>
  <c r="CK181" i="1"/>
  <c r="AW179" i="1"/>
  <c r="I177" i="1"/>
  <c r="BY174" i="1"/>
  <c r="AK172" i="1"/>
  <c r="DA169" i="1"/>
  <c r="BM167" i="1"/>
  <c r="Y165" i="1"/>
  <c r="CO162" i="1"/>
  <c r="BA160" i="1"/>
  <c r="M158" i="1"/>
  <c r="CC155" i="1"/>
  <c r="AO153" i="1"/>
  <c r="DE150" i="1"/>
  <c r="BQ148" i="1"/>
  <c r="AC146" i="1"/>
  <c r="BY219" i="1"/>
  <c r="AJ217" i="1"/>
  <c r="CZ214" i="1"/>
  <c r="BL212" i="1"/>
  <c r="X210" i="1"/>
  <c r="CN207" i="1"/>
  <c r="I285" i="1"/>
  <c r="CV281" i="1"/>
  <c r="CE278" i="1"/>
  <c r="BM275" i="1"/>
  <c r="AV272" i="1"/>
  <c r="BB269" i="1"/>
  <c r="N267" i="1"/>
  <c r="CD264" i="1"/>
  <c r="AP262" i="1"/>
  <c r="DF259" i="1"/>
  <c r="BR257" i="1"/>
  <c r="AD255" i="1"/>
  <c r="CT252" i="1"/>
  <c r="BF250" i="1"/>
  <c r="R248" i="1"/>
  <c r="CH245" i="1"/>
  <c r="AT243" i="1"/>
  <c r="F241" i="1"/>
  <c r="BV238" i="1"/>
  <c r="AH236" i="1"/>
  <c r="CX233" i="1"/>
  <c r="BJ231" i="1"/>
  <c r="V229" i="1"/>
  <c r="CL226" i="1"/>
  <c r="AX224" i="1"/>
  <c r="J222" i="1"/>
  <c r="BS325" i="1"/>
  <c r="S316" i="1"/>
  <c r="BW306" i="1"/>
  <c r="W297" i="1"/>
  <c r="BM291" i="1"/>
  <c r="T288" i="1"/>
  <c r="DG284" i="1"/>
  <c r="CO281" i="1"/>
  <c r="BX278" i="1"/>
  <c r="BG275" i="1"/>
  <c r="AO272" i="1"/>
  <c r="AW269" i="1"/>
  <c r="I267" i="1"/>
  <c r="BY264" i="1"/>
  <c r="AK262" i="1"/>
  <c r="DA259" i="1"/>
  <c r="BM257" i="1"/>
  <c r="Y255" i="1"/>
  <c r="CO252" i="1"/>
  <c r="BA250" i="1"/>
  <c r="M248" i="1"/>
  <c r="CC245" i="1"/>
  <c r="AO243" i="1"/>
  <c r="DE240" i="1"/>
  <c r="BQ238" i="1"/>
  <c r="AC236" i="1"/>
  <c r="CS233" i="1"/>
  <c r="BE231" i="1"/>
  <c r="Q229" i="1"/>
  <c r="CG226" i="1"/>
  <c r="AS224" i="1"/>
  <c r="DI221" i="1"/>
  <c r="BO325" i="1"/>
  <c r="O316" i="1"/>
  <c r="BS306" i="1"/>
  <c r="S297" i="1"/>
  <c r="BK291" i="1"/>
  <c r="S288" i="1"/>
  <c r="DE284" i="1"/>
  <c r="CN281" i="1"/>
  <c r="BW278" i="1"/>
  <c r="BE275" i="1"/>
  <c r="AN272" i="1"/>
  <c r="AV269" i="1"/>
  <c r="H267" i="1"/>
  <c r="BX264" i="1"/>
  <c r="AJ262" i="1"/>
  <c r="CZ259" i="1"/>
  <c r="BL257" i="1"/>
  <c r="X255" i="1"/>
  <c r="CN252" i="1"/>
  <c r="AZ250" i="1"/>
  <c r="L248" i="1"/>
  <c r="CB245" i="1"/>
  <c r="AN243" i="1"/>
  <c r="DD240" i="1"/>
  <c r="BP238" i="1"/>
  <c r="AB236" i="1"/>
  <c r="CR233" i="1"/>
  <c r="BD231" i="1"/>
  <c r="P229" i="1"/>
  <c r="CF226" i="1"/>
  <c r="AR224" i="1"/>
  <c r="DH221" i="1"/>
  <c r="BI219" i="1"/>
  <c r="U217" i="1"/>
  <c r="CK214" i="1"/>
  <c r="AW212" i="1"/>
  <c r="I210" i="1"/>
  <c r="BY207" i="1"/>
  <c r="AK205" i="1"/>
  <c r="DA202" i="1"/>
  <c r="BM200" i="1"/>
  <c r="Y198" i="1"/>
  <c r="CO195" i="1"/>
  <c r="BA193" i="1"/>
  <c r="M191" i="1"/>
  <c r="CC188" i="1"/>
  <c r="AO186" i="1"/>
  <c r="DE183" i="1"/>
  <c r="BQ181" i="1"/>
  <c r="AC179" i="1"/>
  <c r="CS176" i="1"/>
  <c r="BE174" i="1"/>
  <c r="Q172" i="1"/>
  <c r="CG169" i="1"/>
  <c r="AS167" i="1"/>
  <c r="DI164" i="1"/>
  <c r="BR277" i="1"/>
  <c r="BJ352" i="1"/>
  <c r="BA334" i="1"/>
  <c r="DE324" i="1"/>
  <c r="BE315" i="1"/>
  <c r="DI305" i="1"/>
  <c r="BI296" i="1"/>
  <c r="BH337" i="1"/>
  <c r="H328" i="1"/>
  <c r="BL318" i="1"/>
  <c r="L309" i="1"/>
  <c r="BP299" i="1"/>
  <c r="BV357" i="1"/>
  <c r="CE335" i="1"/>
  <c r="CA325" i="1"/>
  <c r="BQ291" i="1"/>
  <c r="CA278" i="1"/>
  <c r="K267" i="1"/>
  <c r="BO257" i="1"/>
  <c r="O248" i="1"/>
  <c r="BS238" i="1"/>
  <c r="S229" i="1"/>
  <c r="BW219" i="1"/>
  <c r="G292" i="1"/>
  <c r="K280" i="1"/>
  <c r="N268" i="1"/>
  <c r="AX261" i="1"/>
  <c r="BZ256" i="1"/>
  <c r="DB251" i="1"/>
  <c r="Z247" i="1"/>
  <c r="BB242" i="1"/>
  <c r="CD237" i="1"/>
  <c r="DF232" i="1"/>
  <c r="AD228" i="1"/>
  <c r="BF223" i="1"/>
  <c r="O323" i="1"/>
  <c r="BS313" i="1"/>
  <c r="S304" i="1"/>
  <c r="I295" i="1"/>
  <c r="BC290" i="1"/>
  <c r="AK287" i="1"/>
  <c r="T284" i="1"/>
  <c r="DG280" i="1"/>
  <c r="CO277" i="1"/>
  <c r="BX274" i="1"/>
  <c r="BG271" i="1"/>
  <c r="CK268" i="1"/>
  <c r="AW266" i="1"/>
  <c r="I264" i="1"/>
  <c r="BY261" i="1"/>
  <c r="AK259" i="1"/>
  <c r="DA256" i="1"/>
  <c r="BM254" i="1"/>
  <c r="Y252" i="1"/>
  <c r="CO249" i="1"/>
  <c r="BA247" i="1"/>
  <c r="M245" i="1"/>
  <c r="CC242" i="1"/>
  <c r="AO240" i="1"/>
  <c r="DE237" i="1"/>
  <c r="BQ235" i="1"/>
  <c r="AC233" i="1"/>
  <c r="CS230" i="1"/>
  <c r="BE228" i="1"/>
  <c r="Q226" i="1"/>
  <c r="CG223" i="1"/>
  <c r="AS221" i="1"/>
  <c r="K323" i="1"/>
  <c r="BO313" i="1"/>
  <c r="O304" i="1"/>
  <c r="G295" i="1"/>
  <c r="BA290" i="1"/>
  <c r="AJ287" i="1"/>
  <c r="S284" i="1"/>
  <c r="DE280" i="1"/>
  <c r="CN277" i="1"/>
  <c r="BW274" i="1"/>
  <c r="BE271" i="1"/>
  <c r="CJ268" i="1"/>
  <c r="AV266" i="1"/>
  <c r="H264" i="1"/>
  <c r="BX261" i="1"/>
  <c r="AJ259" i="1"/>
  <c r="CZ256" i="1"/>
  <c r="BL254" i="1"/>
  <c r="X252" i="1"/>
  <c r="CN249" i="1"/>
  <c r="AZ247" i="1"/>
  <c r="L245" i="1"/>
  <c r="CB242" i="1"/>
  <c r="AN240" i="1"/>
  <c r="DD237" i="1"/>
  <c r="BP235" i="1"/>
  <c r="AB233" i="1"/>
  <c r="CR230" i="1"/>
  <c r="BD228" i="1"/>
  <c r="P226" i="1"/>
  <c r="CF223" i="1"/>
  <c r="AR221" i="1"/>
  <c r="CW218" i="1"/>
  <c r="BI216" i="1"/>
  <c r="U214" i="1"/>
  <c r="CK211" i="1"/>
  <c r="AW209" i="1"/>
  <c r="I207" i="1"/>
  <c r="BY204" i="1"/>
  <c r="AK202" i="1"/>
  <c r="DA199" i="1"/>
  <c r="BM197" i="1"/>
  <c r="Y195" i="1"/>
  <c r="CO192" i="1"/>
  <c r="BA190" i="1"/>
  <c r="M188" i="1"/>
  <c r="CC185" i="1"/>
  <c r="AO183" i="1"/>
  <c r="DE180" i="1"/>
  <c r="BQ178" i="1"/>
  <c r="AC176" i="1"/>
  <c r="CS173" i="1"/>
  <c r="BE171" i="1"/>
  <c r="Q169" i="1"/>
  <c r="CG166" i="1"/>
  <c r="AS164" i="1"/>
  <c r="DI161" i="1"/>
  <c r="BU159" i="1"/>
  <c r="AG157" i="1"/>
  <c r="CW154" i="1"/>
  <c r="BI152" i="1"/>
  <c r="U150" i="1"/>
  <c r="CK147" i="1"/>
  <c r="AW145" i="1"/>
  <c r="CR218" i="1"/>
  <c r="BD216" i="1"/>
  <c r="P214" i="1"/>
  <c r="CF211" i="1"/>
  <c r="AR209" i="1"/>
  <c r="DH206" i="1"/>
  <c r="DD283" i="1"/>
  <c r="CM280" i="1"/>
  <c r="BU277" i="1"/>
  <c r="BD274" i="1"/>
  <c r="AM271" i="1"/>
  <c r="BV268" i="1"/>
  <c r="AH266" i="1"/>
  <c r="CX263" i="1"/>
  <c r="BJ261" i="1"/>
  <c r="V259" i="1"/>
  <c r="CL256" i="1"/>
  <c r="AX254" i="1"/>
  <c r="J252" i="1"/>
  <c r="BZ249" i="1"/>
  <c r="AL247" i="1"/>
  <c r="DB244" i="1"/>
  <c r="BN242" i="1"/>
  <c r="Z240" i="1"/>
  <c r="CP237" i="1"/>
  <c r="BB235" i="1"/>
  <c r="N233" i="1"/>
  <c r="CD230" i="1"/>
  <c r="AP228" i="1"/>
  <c r="DF225" i="1"/>
  <c r="BR223" i="1"/>
  <c r="AD221" i="1"/>
  <c r="AQ322" i="1"/>
  <c r="CU312" i="1"/>
  <c r="AU303" i="1"/>
  <c r="BY294" i="1"/>
  <c r="AB290" i="1"/>
  <c r="K287" i="1"/>
  <c r="CW283" i="1"/>
  <c r="CF280" i="1"/>
  <c r="BO277" i="1"/>
  <c r="AW274" i="1"/>
  <c r="AF271" i="1"/>
  <c r="BQ268" i="1"/>
  <c r="AC266" i="1"/>
  <c r="CS263" i="1"/>
  <c r="BE261" i="1"/>
  <c r="Q259" i="1"/>
  <c r="CG256" i="1"/>
  <c r="AS254" i="1"/>
  <c r="DI251" i="1"/>
  <c r="BU249" i="1"/>
  <c r="AG247" i="1"/>
  <c r="CW244" i="1"/>
  <c r="BI242" i="1"/>
  <c r="U240" i="1"/>
  <c r="CK237" i="1"/>
  <c r="AW235" i="1"/>
  <c r="I233" i="1"/>
  <c r="BY230" i="1"/>
  <c r="AK228" i="1"/>
  <c r="DA225" i="1"/>
  <c r="BM223" i="1"/>
  <c r="Y221" i="1"/>
  <c r="AM322" i="1"/>
  <c r="CQ312" i="1"/>
  <c r="AQ303" i="1"/>
  <c r="BW294" i="1"/>
  <c r="AA290" i="1"/>
  <c r="I287" i="1"/>
  <c r="CV283" i="1"/>
  <c r="CE280" i="1"/>
  <c r="BM277" i="1"/>
  <c r="AV274" i="1"/>
  <c r="AE271" i="1"/>
  <c r="BP268" i="1"/>
  <c r="AB266" i="1"/>
  <c r="CR263" i="1"/>
  <c r="BD261" i="1"/>
  <c r="P259" i="1"/>
  <c r="CF256" i="1"/>
  <c r="AR254" i="1"/>
  <c r="DH251" i="1"/>
  <c r="BT249" i="1"/>
  <c r="AF247" i="1"/>
  <c r="CV244" i="1"/>
  <c r="BH242" i="1"/>
  <c r="T240" i="1"/>
  <c r="CJ237" i="1"/>
  <c r="AV235" i="1"/>
  <c r="H233" i="1"/>
  <c r="BX230" i="1"/>
  <c r="AJ228" i="1"/>
  <c r="CZ225" i="1"/>
  <c r="BL223" i="1"/>
  <c r="X221" i="1"/>
  <c r="CC218" i="1"/>
  <c r="AO216" i="1"/>
  <c r="DE213" i="1"/>
  <c r="BQ211" i="1"/>
  <c r="AC209" i="1"/>
  <c r="CS206" i="1"/>
  <c r="BE204" i="1"/>
  <c r="Q202" i="1"/>
  <c r="CG199" i="1"/>
  <c r="AS197" i="1"/>
  <c r="DI194" i="1"/>
  <c r="BU192" i="1"/>
  <c r="AG190" i="1"/>
  <c r="CW187" i="1"/>
  <c r="BI185" i="1"/>
  <c r="U183" i="1"/>
  <c r="CK180" i="1"/>
  <c r="AW178" i="1"/>
  <c r="I176" i="1"/>
  <c r="BY173" i="1"/>
  <c r="AK171" i="1"/>
  <c r="DA168" i="1"/>
  <c r="BM166" i="1"/>
  <c r="Y164" i="1"/>
  <c r="CO161" i="1"/>
  <c r="BA159" i="1"/>
  <c r="M157" i="1"/>
  <c r="CC154" i="1"/>
  <c r="AO152" i="1"/>
  <c r="DE149" i="1"/>
  <c r="BQ147" i="1"/>
  <c r="AC145" i="1"/>
  <c r="BX218" i="1"/>
  <c r="AJ216" i="1"/>
  <c r="CZ213" i="1"/>
  <c r="BL211" i="1"/>
  <c r="X209" i="1"/>
  <c r="DC288" i="1"/>
  <c r="BH283" i="1"/>
  <c r="AQ280" i="1"/>
  <c r="Y277" i="1"/>
  <c r="H274" i="1"/>
  <c r="CU270" i="1"/>
  <c r="AL268" i="1"/>
  <c r="DB265" i="1"/>
  <c r="BN263" i="1"/>
  <c r="Z261" i="1"/>
  <c r="CP258" i="1"/>
  <c r="BB256" i="1"/>
  <c r="N254" i="1"/>
  <c r="CD251" i="1"/>
  <c r="AP249" i="1"/>
  <c r="DF246" i="1"/>
  <c r="BR244" i="1"/>
  <c r="AD242" i="1"/>
  <c r="CT239" i="1"/>
  <c r="BF237" i="1"/>
  <c r="R235" i="1"/>
  <c r="CH232" i="1"/>
  <c r="AT230" i="1"/>
  <c r="F228" i="1"/>
  <c r="BV225" i="1"/>
  <c r="AH223" i="1"/>
  <c r="CX220" i="1"/>
  <c r="G321" i="1"/>
  <c r="BK311" i="1"/>
  <c r="K302" i="1"/>
  <c r="DI293" i="1"/>
  <c r="CJ289" i="1"/>
  <c r="BS286" i="1"/>
  <c r="BA283" i="1"/>
  <c r="AJ280" i="1"/>
  <c r="S277" i="1"/>
  <c r="DE273" i="1"/>
  <c r="CN270" i="1"/>
  <c r="AG268" i="1"/>
  <c r="CW265" i="1"/>
  <c r="BI263" i="1"/>
  <c r="U261" i="1"/>
  <c r="CK258" i="1"/>
  <c r="AW256" i="1"/>
  <c r="I254" i="1"/>
  <c r="BY251" i="1"/>
  <c r="AK249" i="1"/>
  <c r="DA246" i="1"/>
  <c r="BM244" i="1"/>
  <c r="Y242" i="1"/>
  <c r="CO239" i="1"/>
  <c r="BA237" i="1"/>
  <c r="M235" i="1"/>
  <c r="CC232" i="1"/>
  <c r="AO230" i="1"/>
  <c r="DE227" i="1"/>
  <c r="BQ225" i="1"/>
  <c r="AC223" i="1"/>
  <c r="CS220" i="1"/>
  <c r="DG320" i="1"/>
  <c r="BG311" i="1"/>
  <c r="G302" i="1"/>
  <c r="DG293" i="1"/>
  <c r="CI289" i="1"/>
  <c r="BQ286" i="1"/>
  <c r="AZ283" i="1"/>
  <c r="AI280" i="1"/>
  <c r="Q277" i="1"/>
  <c r="DD273" i="1"/>
  <c r="CM270" i="1"/>
  <c r="AF268" i="1"/>
  <c r="CV265" i="1"/>
  <c r="BH263" i="1"/>
  <c r="T261" i="1"/>
  <c r="CJ258" i="1"/>
  <c r="AV256" i="1"/>
  <c r="H254" i="1"/>
  <c r="BX251" i="1"/>
  <c r="AJ249" i="1"/>
  <c r="CZ246" i="1"/>
  <c r="BL244" i="1"/>
  <c r="X242" i="1"/>
  <c r="CN239" i="1"/>
  <c r="AZ237" i="1"/>
  <c r="L235" i="1"/>
  <c r="CB232" i="1"/>
  <c r="AN230" i="1"/>
  <c r="DD227" i="1"/>
  <c r="BP225" i="1"/>
  <c r="AB223" i="1"/>
  <c r="CR220" i="1"/>
  <c r="AS218" i="1"/>
  <c r="DI215" i="1"/>
  <c r="BU213" i="1"/>
  <c r="AG211" i="1"/>
  <c r="CW208" i="1"/>
  <c r="BI206" i="1"/>
  <c r="U204" i="1"/>
  <c r="CK201" i="1"/>
  <c r="AW199" i="1"/>
  <c r="I197" i="1"/>
  <c r="BY194" i="1"/>
  <c r="AK192" i="1"/>
  <c r="DA189" i="1"/>
  <c r="BM187" i="1"/>
  <c r="Y185" i="1"/>
  <c r="CO182" i="1"/>
  <c r="BA180" i="1"/>
  <c r="M178" i="1"/>
  <c r="CC175" i="1"/>
  <c r="AO173" i="1"/>
  <c r="DE170" i="1"/>
  <c r="BQ168" i="1"/>
  <c r="AC166" i="1"/>
  <c r="CS163" i="1"/>
  <c r="BE161" i="1"/>
  <c r="Q159" i="1"/>
  <c r="CG156" i="1"/>
  <c r="AS154" i="1"/>
  <c r="DI151" i="1"/>
  <c r="BU149" i="1"/>
  <c r="AG147" i="1"/>
  <c r="CW144" i="1"/>
  <c r="AN218" i="1"/>
  <c r="DD215" i="1"/>
  <c r="BP213" i="1"/>
  <c r="AB211" i="1"/>
  <c r="CR208" i="1"/>
  <c r="DD287" i="1"/>
  <c r="AG283" i="1"/>
  <c r="P280" i="1"/>
  <c r="DC276" i="1"/>
  <c r="CK273" i="1"/>
  <c r="BT270" i="1"/>
  <c r="R268" i="1"/>
  <c r="CH265" i="1"/>
  <c r="AT263" i="1"/>
  <c r="F261" i="1"/>
  <c r="BV258" i="1"/>
  <c r="AH256" i="1"/>
  <c r="CX253" i="1"/>
  <c r="BJ251" i="1"/>
  <c r="V249" i="1"/>
  <c r="CL246" i="1"/>
  <c r="AX244" i="1"/>
  <c r="J242" i="1"/>
  <c r="BZ239" i="1"/>
  <c r="AL237" i="1"/>
  <c r="DB234" i="1"/>
  <c r="BN232" i="1"/>
  <c r="Z230" i="1"/>
  <c r="CP227" i="1"/>
  <c r="BB225" i="1"/>
  <c r="N223" i="1"/>
  <c r="CD220" i="1"/>
  <c r="AI320" i="1"/>
  <c r="CM310" i="1"/>
  <c r="AM301" i="1"/>
  <c r="BU293" i="1"/>
  <c r="BI289" i="1"/>
  <c r="AR286" i="1"/>
  <c r="AA283" i="1"/>
  <c r="I280" i="1"/>
  <c r="CV276" i="1"/>
  <c r="CE273" i="1"/>
  <c r="BM270" i="1"/>
  <c r="M268" i="1"/>
  <c r="CC265" i="1"/>
  <c r="AO263" i="1"/>
  <c r="DE260" i="1"/>
  <c r="BQ258" i="1"/>
  <c r="AC256" i="1"/>
  <c r="CS253" i="1"/>
  <c r="BE251" i="1"/>
  <c r="Q249" i="1"/>
  <c r="CG246" i="1"/>
  <c r="AS244" i="1"/>
  <c r="DI241" i="1"/>
  <c r="BU239" i="1"/>
  <c r="AG237" i="1"/>
  <c r="CW234" i="1"/>
  <c r="BI232" i="1"/>
  <c r="U230" i="1"/>
  <c r="CK227" i="1"/>
  <c r="AW225" i="1"/>
  <c r="I223" i="1"/>
  <c r="BY220" i="1"/>
  <c r="AE320" i="1"/>
  <c r="CI310" i="1"/>
  <c r="AI301" i="1"/>
  <c r="BS293" i="1"/>
  <c r="BH289" i="1"/>
  <c r="AQ286" i="1"/>
  <c r="Y283" i="1"/>
  <c r="H280" i="1"/>
  <c r="CU276" i="1"/>
  <c r="CC273" i="1"/>
  <c r="BL270" i="1"/>
  <c r="L268" i="1"/>
  <c r="CB265" i="1"/>
  <c r="AN263" i="1"/>
  <c r="DD260" i="1"/>
  <c r="BP258" i="1"/>
  <c r="AB256" i="1"/>
  <c r="CR253" i="1"/>
  <c r="BD251" i="1"/>
  <c r="P249" i="1"/>
  <c r="CF246" i="1"/>
  <c r="AR244" i="1"/>
  <c r="DH241" i="1"/>
  <c r="BT239" i="1"/>
  <c r="AF237" i="1"/>
  <c r="CV234" i="1"/>
  <c r="BH232" i="1"/>
  <c r="T230" i="1"/>
  <c r="CJ227" i="1"/>
  <c r="AV225" i="1"/>
  <c r="H223" i="1"/>
  <c r="BX220" i="1"/>
  <c r="Y218" i="1"/>
  <c r="CO215" i="1"/>
  <c r="BA213" i="1"/>
  <c r="M211" i="1"/>
  <c r="CC208" i="1"/>
  <c r="AO206" i="1"/>
  <c r="DE203" i="1"/>
  <c r="BQ201" i="1"/>
  <c r="AC199" i="1"/>
  <c r="CS196" i="1"/>
  <c r="BE194" i="1"/>
  <c r="Q192" i="1"/>
  <c r="CG189" i="1"/>
  <c r="AS187" i="1"/>
  <c r="DI184" i="1"/>
  <c r="BU182" i="1"/>
  <c r="AG180" i="1"/>
  <c r="CW177" i="1"/>
  <c r="BI175" i="1"/>
  <c r="U173" i="1"/>
  <c r="CK170" i="1"/>
  <c r="AW168" i="1"/>
  <c r="I166" i="1"/>
  <c r="BY163" i="1"/>
  <c r="AK161" i="1"/>
  <c r="DA158" i="1"/>
  <c r="BM156" i="1"/>
  <c r="Y154" i="1"/>
  <c r="CO151" i="1"/>
  <c r="I170" i="1"/>
  <c r="AO162" i="1"/>
  <c r="AC159" i="1"/>
  <c r="Q156" i="1"/>
  <c r="CS152" i="1"/>
  <c r="CW149" i="1"/>
  <c r="BI147" i="1"/>
  <c r="U145" i="1"/>
  <c r="BP218" i="1"/>
  <c r="AB216" i="1"/>
  <c r="CR213" i="1"/>
  <c r="BD211" i="1"/>
  <c r="P209" i="1"/>
  <c r="DD206" i="1"/>
  <c r="BH204" i="1"/>
  <c r="T202" i="1"/>
  <c r="CJ199" i="1"/>
  <c r="AV197" i="1"/>
  <c r="H195" i="1"/>
  <c r="BX192" i="1"/>
  <c r="AJ190" i="1"/>
  <c r="CZ187" i="1"/>
  <c r="BL185" i="1"/>
  <c r="X183" i="1"/>
  <c r="CN180" i="1"/>
  <c r="AZ178" i="1"/>
  <c r="L176" i="1"/>
  <c r="CB173" i="1"/>
  <c r="AN171" i="1"/>
  <c r="DD168" i="1"/>
  <c r="BP166" i="1"/>
  <c r="AB164" i="1"/>
  <c r="CR161" i="1"/>
  <c r="BD159" i="1"/>
  <c r="P157" i="1"/>
  <c r="CF154" i="1"/>
  <c r="AR152" i="1"/>
  <c r="DH149" i="1"/>
  <c r="BT147" i="1"/>
  <c r="AF145" i="1"/>
  <c r="CA218" i="1"/>
  <c r="AM216" i="1"/>
  <c r="DC213" i="1"/>
  <c r="BO211" i="1"/>
  <c r="AA209" i="1"/>
  <c r="CQ206" i="1"/>
  <c r="BC204" i="1"/>
  <c r="O202" i="1"/>
  <c r="CE199" i="1"/>
  <c r="AQ197" i="1"/>
  <c r="DG194" i="1"/>
  <c r="BS192" i="1"/>
  <c r="AE190" i="1"/>
  <c r="CU187" i="1"/>
  <c r="BG185" i="1"/>
  <c r="S183" i="1"/>
  <c r="CI180" i="1"/>
  <c r="AU178" i="1"/>
  <c r="G176" i="1"/>
  <c r="BW173" i="1"/>
  <c r="AI171" i="1"/>
  <c r="CY168" i="1"/>
  <c r="BK166" i="1"/>
  <c r="W164" i="1"/>
  <c r="CM161" i="1"/>
  <c r="AY159" i="1"/>
  <c r="K157" i="1"/>
  <c r="CA154" i="1"/>
  <c r="AM152" i="1"/>
  <c r="DC149" i="1"/>
  <c r="BO147" i="1"/>
  <c r="AA145" i="1"/>
  <c r="BN218" i="1"/>
  <c r="Z216" i="1"/>
  <c r="CP213" i="1"/>
  <c r="BB211" i="1"/>
  <c r="N209" i="1"/>
  <c r="CD206" i="1"/>
  <c r="AP204" i="1"/>
  <c r="DF201" i="1"/>
  <c r="BR199" i="1"/>
  <c r="AD197" i="1"/>
  <c r="CT194" i="1"/>
  <c r="BF192" i="1"/>
  <c r="R190" i="1"/>
  <c r="CH187" i="1"/>
  <c r="AT185" i="1"/>
  <c r="F183" i="1"/>
  <c r="BV180" i="1"/>
  <c r="AH178" i="1"/>
  <c r="CX175" i="1"/>
  <c r="BJ173" i="1"/>
  <c r="V171" i="1"/>
  <c r="CL168" i="1"/>
  <c r="AX166" i="1"/>
  <c r="J164" i="1"/>
  <c r="BZ161" i="1"/>
  <c r="AL159" i="1"/>
  <c r="DB156" i="1"/>
  <c r="BN154" i="1"/>
  <c r="Z152" i="1"/>
  <c r="CP149" i="1"/>
  <c r="BB147" i="1"/>
  <c r="N145" i="1"/>
  <c r="CI142" i="1"/>
  <c r="AU140" i="1"/>
  <c r="G138" i="1"/>
  <c r="BW135" i="1"/>
  <c r="AI133" i="1"/>
  <c r="CY130" i="1"/>
  <c r="BK128" i="1"/>
  <c r="W126" i="1"/>
  <c r="CM123" i="1"/>
  <c r="AY121" i="1"/>
  <c r="K119" i="1"/>
  <c r="CA116" i="1"/>
  <c r="AM114" i="1"/>
  <c r="DC111" i="1"/>
  <c r="BO109" i="1"/>
  <c r="AA107" i="1"/>
  <c r="CQ104" i="1"/>
  <c r="BC102" i="1"/>
  <c r="O100" i="1"/>
  <c r="CE97" i="1"/>
  <c r="AQ95" i="1"/>
  <c r="DG92" i="1"/>
  <c r="BS90" i="1"/>
  <c r="AE88" i="1"/>
  <c r="CU85" i="1"/>
  <c r="BG83" i="1"/>
  <c r="S81" i="1"/>
  <c r="CI78" i="1"/>
  <c r="AU76" i="1"/>
  <c r="G74" i="1"/>
  <c r="BW71" i="1"/>
  <c r="AI69" i="1"/>
  <c r="CY66" i="1"/>
  <c r="BK64" i="1"/>
  <c r="W62" i="1"/>
  <c r="CM59" i="1"/>
  <c r="AY57" i="1"/>
  <c r="CB206" i="1"/>
  <c r="AN204" i="1"/>
  <c r="DD201" i="1"/>
  <c r="BP199" i="1"/>
  <c r="AB197" i="1"/>
  <c r="CR194" i="1"/>
  <c r="BD192" i="1"/>
  <c r="P190" i="1"/>
  <c r="CF187" i="1"/>
  <c r="AR185" i="1"/>
  <c r="DH182" i="1"/>
  <c r="BT180" i="1"/>
  <c r="AF178" i="1"/>
  <c r="CV175" i="1"/>
  <c r="BH173" i="1"/>
  <c r="T171" i="1"/>
  <c r="CJ168" i="1"/>
  <c r="AV166" i="1"/>
  <c r="H164" i="1"/>
  <c r="BX161" i="1"/>
  <c r="AJ159" i="1"/>
  <c r="CZ156" i="1"/>
  <c r="BL154" i="1"/>
  <c r="X152" i="1"/>
  <c r="CN149" i="1"/>
  <c r="AZ147" i="1"/>
  <c r="L145" i="1"/>
  <c r="BG218" i="1"/>
  <c r="S216" i="1"/>
  <c r="CI213" i="1"/>
  <c r="AU211" i="1"/>
  <c r="G209" i="1"/>
  <c r="BW206" i="1"/>
  <c r="AI204" i="1"/>
  <c r="CY201" i="1"/>
  <c r="BK199" i="1"/>
  <c r="W197" i="1"/>
  <c r="CM194" i="1"/>
  <c r="AY192" i="1"/>
  <c r="K190" i="1"/>
  <c r="CA187" i="1"/>
  <c r="AM185" i="1"/>
  <c r="DC182" i="1"/>
  <c r="BO180" i="1"/>
  <c r="AA178" i="1"/>
  <c r="CQ175" i="1"/>
  <c r="BC173" i="1"/>
  <c r="O171" i="1"/>
  <c r="CE168" i="1"/>
  <c r="AQ166" i="1"/>
  <c r="DG163" i="1"/>
  <c r="BS161" i="1"/>
  <c r="AE159" i="1"/>
  <c r="CU156" i="1"/>
  <c r="BG154" i="1"/>
  <c r="S152" i="1"/>
  <c r="CI149" i="1"/>
  <c r="AU147" i="1"/>
  <c r="G145" i="1"/>
  <c r="AT218" i="1"/>
  <c r="F216" i="1"/>
  <c r="BV213" i="1"/>
  <c r="AH211" i="1"/>
  <c r="CX208" i="1"/>
  <c r="BJ206" i="1"/>
  <c r="V204" i="1"/>
  <c r="CL201" i="1"/>
  <c r="AX199" i="1"/>
  <c r="J197" i="1"/>
  <c r="BZ194" i="1"/>
  <c r="AL192" i="1"/>
  <c r="DB189" i="1"/>
  <c r="BN187" i="1"/>
  <c r="Z185" i="1"/>
  <c r="CP182" i="1"/>
  <c r="BB180" i="1"/>
  <c r="N178" i="1"/>
  <c r="CD175" i="1"/>
  <c r="AP173" i="1"/>
  <c r="DF170" i="1"/>
  <c r="BR168" i="1"/>
  <c r="AD166" i="1"/>
  <c r="CT163" i="1"/>
  <c r="BF161" i="1"/>
  <c r="R159" i="1"/>
  <c r="CH156" i="1"/>
  <c r="AT154" i="1"/>
  <c r="F152" i="1"/>
  <c r="BV149" i="1"/>
  <c r="AH147" i="1"/>
  <c r="CX144" i="1"/>
  <c r="BO142" i="1"/>
  <c r="AA140" i="1"/>
  <c r="CQ137" i="1"/>
  <c r="BC135" i="1"/>
  <c r="O133" i="1"/>
  <c r="CE130" i="1"/>
  <c r="AQ128" i="1"/>
  <c r="DG125" i="1"/>
  <c r="BS123" i="1"/>
  <c r="AE121" i="1"/>
  <c r="CU118" i="1"/>
  <c r="BG116" i="1"/>
  <c r="S114" i="1"/>
  <c r="CI111" i="1"/>
  <c r="AU109" i="1"/>
  <c r="G107" i="1"/>
  <c r="BW104" i="1"/>
  <c r="AI102" i="1"/>
  <c r="CY99" i="1"/>
  <c r="BK97" i="1"/>
  <c r="W95" i="1"/>
  <c r="CM92" i="1"/>
  <c r="AY90" i="1"/>
  <c r="K88" i="1"/>
  <c r="CV204" i="1"/>
  <c r="BH202" i="1"/>
  <c r="T200" i="1"/>
  <c r="CJ197" i="1"/>
  <c r="AV195" i="1"/>
  <c r="H193" i="1"/>
  <c r="BX190" i="1"/>
  <c r="AJ188" i="1"/>
  <c r="CZ185" i="1"/>
  <c r="BL183" i="1"/>
  <c r="X181" i="1"/>
  <c r="CN178" i="1"/>
  <c r="AZ176" i="1"/>
  <c r="L174" i="1"/>
  <c r="CB171" i="1"/>
  <c r="AN169" i="1"/>
  <c r="DD166" i="1"/>
  <c r="BP164" i="1"/>
  <c r="AB162" i="1"/>
  <c r="CR159" i="1"/>
  <c r="BD157" i="1"/>
  <c r="P155" i="1"/>
  <c r="CF152" i="1"/>
  <c r="AR150" i="1"/>
  <c r="DH147" i="1"/>
  <c r="BT145" i="1"/>
  <c r="K219" i="1"/>
  <c r="CA216" i="1"/>
  <c r="DH204" i="1"/>
  <c r="BT202" i="1"/>
  <c r="AF200" i="1"/>
  <c r="CV197" i="1"/>
  <c r="BH195" i="1"/>
  <c r="T193" i="1"/>
  <c r="CJ190" i="1"/>
  <c r="AV188" i="1"/>
  <c r="H186" i="1"/>
  <c r="BX183" i="1"/>
  <c r="AJ181" i="1"/>
  <c r="CZ178" i="1"/>
  <c r="BL176" i="1"/>
  <c r="X174" i="1"/>
  <c r="CN171" i="1"/>
  <c r="AZ169" i="1"/>
  <c r="L167" i="1"/>
  <c r="CB164" i="1"/>
  <c r="AN162" i="1"/>
  <c r="DD159" i="1"/>
  <c r="BP157" i="1"/>
  <c r="AB155" i="1"/>
  <c r="CR152" i="1"/>
  <c r="BD150" i="1"/>
  <c r="P148" i="1"/>
  <c r="CF145" i="1"/>
  <c r="W219" i="1"/>
  <c r="CM216" i="1"/>
  <c r="AY214" i="1"/>
  <c r="K212" i="1"/>
  <c r="CA209" i="1"/>
  <c r="AM207" i="1"/>
  <c r="DC204" i="1"/>
  <c r="BO202" i="1"/>
  <c r="AA200" i="1"/>
  <c r="CQ197" i="1"/>
  <c r="BC195" i="1"/>
  <c r="O193" i="1"/>
  <c r="CE190" i="1"/>
  <c r="AQ188" i="1"/>
  <c r="DG185" i="1"/>
  <c r="BS183" i="1"/>
  <c r="AE181" i="1"/>
  <c r="CU178" i="1"/>
  <c r="BG176" i="1"/>
  <c r="S174" i="1"/>
  <c r="CI171" i="1"/>
  <c r="AU169" i="1"/>
  <c r="G167" i="1"/>
  <c r="BW164" i="1"/>
  <c r="AI162" i="1"/>
  <c r="CY159" i="1"/>
  <c r="BK157" i="1"/>
  <c r="W155" i="1"/>
  <c r="CM152" i="1"/>
  <c r="AY150" i="1"/>
  <c r="K148" i="1"/>
  <c r="CA145" i="1"/>
  <c r="J219" i="1"/>
  <c r="BZ216" i="1"/>
  <c r="AL214" i="1"/>
  <c r="DB211" i="1"/>
  <c r="BN209" i="1"/>
  <c r="Z207" i="1"/>
  <c r="CP204" i="1"/>
  <c r="BB202" i="1"/>
  <c r="N200" i="1"/>
  <c r="CD197" i="1"/>
  <c r="AP195" i="1"/>
  <c r="DF192" i="1"/>
  <c r="BR190" i="1"/>
  <c r="AD188" i="1"/>
  <c r="CT185" i="1"/>
  <c r="BF183" i="1"/>
  <c r="R181" i="1"/>
  <c r="CH178" i="1"/>
  <c r="AT176" i="1"/>
  <c r="F174" i="1"/>
  <c r="BV171" i="1"/>
  <c r="AH169" i="1"/>
  <c r="CX166" i="1"/>
  <c r="BJ164" i="1"/>
  <c r="V162" i="1"/>
  <c r="CL159" i="1"/>
  <c r="AX157" i="1"/>
  <c r="J155" i="1"/>
  <c r="BZ152" i="1"/>
  <c r="AL150" i="1"/>
  <c r="DB147" i="1"/>
  <c r="BN145" i="1"/>
  <c r="AE143" i="1"/>
  <c r="CU140" i="1"/>
  <c r="BG138" i="1"/>
  <c r="S136" i="1"/>
  <c r="CI133" i="1"/>
  <c r="AU131" i="1"/>
  <c r="G129" i="1"/>
  <c r="BW126" i="1"/>
  <c r="AI124" i="1"/>
  <c r="CY121" i="1"/>
  <c r="BK119" i="1"/>
  <c r="W117" i="1"/>
  <c r="CM114" i="1"/>
  <c r="AY112" i="1"/>
  <c r="K110" i="1"/>
  <c r="CA107" i="1"/>
  <c r="AM105" i="1"/>
  <c r="DC102" i="1"/>
  <c r="BO100" i="1"/>
  <c r="AA98" i="1"/>
  <c r="CQ95" i="1"/>
  <c r="BC93" i="1"/>
  <c r="O91" i="1"/>
  <c r="CE88" i="1"/>
  <c r="AQ86" i="1"/>
  <c r="S213" i="1"/>
  <c r="BW203" i="1"/>
  <c r="W194" i="1"/>
  <c r="CA184" i="1"/>
  <c r="AA175" i="1"/>
  <c r="CE165" i="1"/>
  <c r="AE156" i="1"/>
  <c r="CI146" i="1"/>
  <c r="F213" i="1"/>
  <c r="BJ203" i="1"/>
  <c r="J194" i="1"/>
  <c r="BN184" i="1"/>
  <c r="N175" i="1"/>
  <c r="BR165" i="1"/>
  <c r="R156" i="1"/>
  <c r="BV146" i="1"/>
  <c r="AA137" i="1"/>
  <c r="CE127" i="1"/>
  <c r="AE118" i="1"/>
  <c r="CI108" i="1"/>
  <c r="AI99" i="1"/>
  <c r="CM89" i="1"/>
  <c r="AI84" i="1"/>
  <c r="O81" i="1"/>
  <c r="DC77" i="1"/>
  <c r="CM74" i="1"/>
  <c r="BS71" i="1"/>
  <c r="BC68" i="1"/>
  <c r="AM65" i="1"/>
  <c r="S62" i="1"/>
  <c r="DG58" i="1"/>
  <c r="CQ55" i="1"/>
  <c r="AM53" i="1"/>
  <c r="DC50" i="1"/>
  <c r="BO48" i="1"/>
  <c r="AA46" i="1"/>
  <c r="CQ43" i="1"/>
  <c r="BC41" i="1"/>
  <c r="O39" i="1"/>
  <c r="CE36" i="1"/>
  <c r="AQ34" i="1"/>
  <c r="DG31" i="1"/>
  <c r="BS29" i="1"/>
  <c r="AE27" i="1"/>
  <c r="CU24" i="1"/>
  <c r="BG22" i="1"/>
  <c r="S20" i="1"/>
  <c r="CI17" i="1"/>
  <c r="AU15" i="1"/>
  <c r="G13" i="1"/>
  <c r="BW10" i="1"/>
  <c r="AI8" i="1"/>
  <c r="CY5" i="1"/>
  <c r="BK3" i="1"/>
  <c r="N142" i="1"/>
  <c r="CD139" i="1"/>
  <c r="AP137" i="1"/>
  <c r="DF134" i="1"/>
  <c r="BR132" i="1"/>
  <c r="AD130" i="1"/>
  <c r="CT127" i="1"/>
  <c r="BF125" i="1"/>
  <c r="R123" i="1"/>
  <c r="CH120" i="1"/>
  <c r="AT118" i="1"/>
  <c r="F116" i="1"/>
  <c r="BV113" i="1"/>
  <c r="AH111" i="1"/>
  <c r="CX108" i="1"/>
  <c r="BJ106" i="1"/>
  <c r="V104" i="1"/>
  <c r="CL101" i="1"/>
  <c r="BM258" i="1"/>
  <c r="Y256" i="1"/>
  <c r="CO253" i="1"/>
  <c r="BA251" i="1"/>
  <c r="M249" i="1"/>
  <c r="CC246" i="1"/>
  <c r="AO244" i="1"/>
  <c r="DE241" i="1"/>
  <c r="BQ239" i="1"/>
  <c r="AC237" i="1"/>
  <c r="CS234" i="1"/>
  <c r="BE232" i="1"/>
  <c r="Q230" i="1"/>
  <c r="CG227" i="1"/>
  <c r="AS225" i="1"/>
  <c r="DI222" i="1"/>
  <c r="BU220" i="1"/>
  <c r="O320" i="1"/>
  <c r="BS310" i="1"/>
  <c r="S301" i="1"/>
  <c r="BK293" i="1"/>
  <c r="BC289" i="1"/>
  <c r="AK286" i="1"/>
  <c r="T283" i="1"/>
  <c r="DG279" i="1"/>
  <c r="CO276" i="1"/>
  <c r="BX273" i="1"/>
  <c r="BG270" i="1"/>
  <c r="H268" i="1"/>
  <c r="BX265" i="1"/>
  <c r="AJ263" i="1"/>
  <c r="CZ260" i="1"/>
  <c r="BL258" i="1"/>
  <c r="X256" i="1"/>
  <c r="CN253" i="1"/>
  <c r="AZ251" i="1"/>
  <c r="L249" i="1"/>
  <c r="CB246" i="1"/>
  <c r="AN244" i="1"/>
  <c r="DD241" i="1"/>
  <c r="BP239" i="1"/>
  <c r="AB237" i="1"/>
  <c r="CR234" i="1"/>
  <c r="BD232" i="1"/>
  <c r="P230" i="1"/>
  <c r="CF227" i="1"/>
  <c r="AR225" i="1"/>
  <c r="DH222" i="1"/>
  <c r="BT220" i="1"/>
  <c r="U218" i="1"/>
  <c r="CK215" i="1"/>
  <c r="AW213" i="1"/>
  <c r="I211" i="1"/>
  <c r="BY208" i="1"/>
  <c r="AK206" i="1"/>
  <c r="DA203" i="1"/>
  <c r="BM201" i="1"/>
  <c r="Y199" i="1"/>
  <c r="CO196" i="1"/>
  <c r="BA194" i="1"/>
  <c r="M192" i="1"/>
  <c r="CC189" i="1"/>
  <c r="AO187" i="1"/>
  <c r="DE184" i="1"/>
  <c r="BQ182" i="1"/>
  <c r="AC180" i="1"/>
  <c r="CS177" i="1"/>
  <c r="BE175" i="1"/>
  <c r="Q173" i="1"/>
  <c r="CG170" i="1"/>
  <c r="AS168" i="1"/>
  <c r="DI165" i="1"/>
  <c r="BU163" i="1"/>
  <c r="AG161" i="1"/>
  <c r="CW158" i="1"/>
  <c r="BI156" i="1"/>
  <c r="U154" i="1"/>
  <c r="CK151" i="1"/>
  <c r="AW149" i="1"/>
  <c r="I147" i="1"/>
  <c r="BY144" i="1"/>
  <c r="P218" i="1"/>
  <c r="CF215" i="1"/>
  <c r="AR213" i="1"/>
  <c r="DH210" i="1"/>
  <c r="BT208" i="1"/>
  <c r="CJ286" i="1"/>
  <c r="DE282" i="1"/>
  <c r="CN279" i="1"/>
  <c r="BW276" i="1"/>
  <c r="BE273" i="1"/>
  <c r="AN270" i="1"/>
  <c r="CX267" i="1"/>
  <c r="BJ265" i="1"/>
  <c r="V263" i="1"/>
  <c r="CL260" i="1"/>
  <c r="AX258" i="1"/>
  <c r="J256" i="1"/>
  <c r="BZ253" i="1"/>
  <c r="AL251" i="1"/>
  <c r="DB248" i="1"/>
  <c r="BN246" i="1"/>
  <c r="Z244" i="1"/>
  <c r="CP241" i="1"/>
  <c r="BB239" i="1"/>
  <c r="N237" i="1"/>
  <c r="CD234" i="1"/>
  <c r="AP232" i="1"/>
  <c r="DF229" i="1"/>
  <c r="BR227" i="1"/>
  <c r="AD225" i="1"/>
  <c r="CT222" i="1"/>
  <c r="BF220" i="1"/>
  <c r="AU319" i="1"/>
  <c r="CY309" i="1"/>
  <c r="AY300" i="1"/>
  <c r="Y293" i="1"/>
  <c r="AC289" i="1"/>
  <c r="L286" i="1"/>
  <c r="CY282" i="1"/>
  <c r="CG279" i="1"/>
  <c r="BP276" i="1"/>
  <c r="AY273" i="1"/>
  <c r="AG270" i="1"/>
  <c r="CS267" i="1"/>
  <c r="BE265" i="1"/>
  <c r="Q263" i="1"/>
  <c r="CG260" i="1"/>
  <c r="AS258" i="1"/>
  <c r="DI255" i="1"/>
  <c r="BU253" i="1"/>
  <c r="AG251" i="1"/>
  <c r="CW248" i="1"/>
  <c r="BI246" i="1"/>
  <c r="U244" i="1"/>
  <c r="CK241" i="1"/>
  <c r="AW239" i="1"/>
  <c r="I237" i="1"/>
  <c r="BY234" i="1"/>
  <c r="AK232" i="1"/>
  <c r="DA229" i="1"/>
  <c r="BM227" i="1"/>
  <c r="Y225" i="1"/>
  <c r="CO222" i="1"/>
  <c r="BA220" i="1"/>
  <c r="AQ319" i="1"/>
  <c r="CU309" i="1"/>
  <c r="AU300" i="1"/>
  <c r="W293" i="1"/>
  <c r="AB289" i="1"/>
  <c r="K286" i="1"/>
  <c r="CW282" i="1"/>
  <c r="CF279" i="1"/>
  <c r="BO276" i="1"/>
  <c r="AW273" i="1"/>
  <c r="AF270" i="1"/>
  <c r="CR267" i="1"/>
  <c r="BD265" i="1"/>
  <c r="P263" i="1"/>
  <c r="CF260" i="1"/>
  <c r="AR258" i="1"/>
  <c r="DH255" i="1"/>
  <c r="BT253" i="1"/>
  <c r="AF251" i="1"/>
  <c r="CV248" i="1"/>
  <c r="BH246" i="1"/>
  <c r="T244" i="1"/>
  <c r="CJ241" i="1"/>
  <c r="AV239" i="1"/>
  <c r="H237" i="1"/>
  <c r="BX234" i="1"/>
  <c r="AJ232" i="1"/>
  <c r="CZ229" i="1"/>
  <c r="BL227" i="1"/>
  <c r="X225" i="1"/>
  <c r="CN222" i="1"/>
  <c r="AZ220" i="1"/>
  <c r="DE217" i="1"/>
  <c r="BQ215" i="1"/>
  <c r="AC213" i="1"/>
  <c r="CS210" i="1"/>
  <c r="BE208" i="1"/>
  <c r="Q206" i="1"/>
  <c r="CG203" i="1"/>
  <c r="AS201" i="1"/>
  <c r="DI198" i="1"/>
  <c r="BU196" i="1"/>
  <c r="AG194" i="1"/>
  <c r="CW191" i="1"/>
  <c r="BI189" i="1"/>
  <c r="U187" i="1"/>
  <c r="CK184" i="1"/>
  <c r="AW182" i="1"/>
  <c r="I180" i="1"/>
  <c r="BY177" i="1"/>
  <c r="AK175" i="1"/>
  <c r="DA172" i="1"/>
  <c r="BM170" i="1"/>
  <c r="Y168" i="1"/>
  <c r="CO165" i="1"/>
  <c r="BA163" i="1"/>
  <c r="M161" i="1"/>
  <c r="CC158" i="1"/>
  <c r="AO156" i="1"/>
  <c r="DE153" i="1"/>
  <c r="BQ151" i="1"/>
  <c r="AC149" i="1"/>
  <c r="CS146" i="1"/>
  <c r="BE144" i="1"/>
  <c r="CZ217" i="1"/>
  <c r="BL215" i="1"/>
  <c r="X213" i="1"/>
  <c r="CN210" i="1"/>
  <c r="AZ208" i="1"/>
  <c r="CQ285" i="1"/>
  <c r="BI282" i="1"/>
  <c r="AR279" i="1"/>
  <c r="AA276" i="1"/>
  <c r="I273" i="1"/>
  <c r="DB269" i="1"/>
  <c r="BN267" i="1"/>
  <c r="Z265" i="1"/>
  <c r="CP262" i="1"/>
  <c r="BB260" i="1"/>
  <c r="N258" i="1"/>
  <c r="CD255" i="1"/>
  <c r="AP253" i="1"/>
  <c r="DF250" i="1"/>
  <c r="BR248" i="1"/>
  <c r="AD246" i="1"/>
  <c r="CT243" i="1"/>
  <c r="BF241" i="1"/>
  <c r="R239" i="1"/>
  <c r="CH236" i="1"/>
  <c r="AT234" i="1"/>
  <c r="F232" i="1"/>
  <c r="BV229" i="1"/>
  <c r="AH227" i="1"/>
  <c r="CX224" i="1"/>
  <c r="BJ222" i="1"/>
  <c r="V220" i="1"/>
  <c r="K318" i="1"/>
  <c r="BO308" i="1"/>
  <c r="O299" i="1"/>
  <c r="BI292" i="1"/>
  <c r="CK288" i="1"/>
  <c r="BT285" i="1"/>
  <c r="BC282" i="1"/>
  <c r="AK279" i="1"/>
  <c r="T276" i="1"/>
  <c r="DG272" i="1"/>
  <c r="CW269" i="1"/>
  <c r="BI267" i="1"/>
  <c r="U265" i="1"/>
  <c r="CK262" i="1"/>
  <c r="AW260" i="1"/>
  <c r="I258" i="1"/>
  <c r="BY255" i="1"/>
  <c r="AK253" i="1"/>
  <c r="DA250" i="1"/>
  <c r="BM248" i="1"/>
  <c r="Y246" i="1"/>
  <c r="CO243" i="1"/>
  <c r="BA241" i="1"/>
  <c r="M239" i="1"/>
  <c r="CC236" i="1"/>
  <c r="AO234" i="1"/>
  <c r="DE231" i="1"/>
  <c r="BQ229" i="1"/>
  <c r="AC227" i="1"/>
  <c r="CS224" i="1"/>
  <c r="BE222" i="1"/>
  <c r="Q220" i="1"/>
  <c r="G318" i="1"/>
  <c r="BK308" i="1"/>
  <c r="K299" i="1"/>
  <c r="BG292" i="1"/>
  <c r="CJ288" i="1"/>
  <c r="BS285" i="1"/>
  <c r="BA282" i="1"/>
  <c r="AJ279" i="1"/>
  <c r="S276" i="1"/>
  <c r="DE272" i="1"/>
  <c r="CV269" i="1"/>
  <c r="BH267" i="1"/>
  <c r="T265" i="1"/>
  <c r="CJ262" i="1"/>
  <c r="AV260" i="1"/>
  <c r="H258" i="1"/>
  <c r="BX255" i="1"/>
  <c r="AJ253" i="1"/>
  <c r="CZ250" i="1"/>
  <c r="BL248" i="1"/>
  <c r="X246" i="1"/>
  <c r="CN243" i="1"/>
  <c r="AZ241" i="1"/>
  <c r="L239" i="1"/>
  <c r="CB236" i="1"/>
  <c r="AN234" i="1"/>
  <c r="DD231" i="1"/>
  <c r="BP229" i="1"/>
  <c r="AB227" i="1"/>
  <c r="CR224" i="1"/>
  <c r="BD222" i="1"/>
  <c r="P220" i="1"/>
  <c r="BU217" i="1"/>
  <c r="AG215" i="1"/>
  <c r="CW212" i="1"/>
  <c r="BI210" i="1"/>
  <c r="U208" i="1"/>
  <c r="CK205" i="1"/>
  <c r="AW203" i="1"/>
  <c r="I201" i="1"/>
  <c r="BY198" i="1"/>
  <c r="AK196" i="1"/>
  <c r="DA193" i="1"/>
  <c r="BM191" i="1"/>
  <c r="Y189" i="1"/>
  <c r="CO186" i="1"/>
  <c r="BA184" i="1"/>
  <c r="M182" i="1"/>
  <c r="CC179" i="1"/>
  <c r="AO177" i="1"/>
  <c r="DE174" i="1"/>
  <c r="BQ172" i="1"/>
  <c r="AC170" i="1"/>
  <c r="CS167" i="1"/>
  <c r="BE165" i="1"/>
  <c r="Q163" i="1"/>
  <c r="CG160" i="1"/>
  <c r="AS158" i="1"/>
  <c r="DI155" i="1"/>
  <c r="BU153" i="1"/>
  <c r="AG151" i="1"/>
  <c r="CW148" i="1"/>
  <c r="BI146" i="1"/>
  <c r="U144" i="1"/>
  <c r="BP217" i="1"/>
  <c r="AB215" i="1"/>
  <c r="CR212" i="1"/>
  <c r="BD210" i="1"/>
  <c r="P208" i="1"/>
  <c r="BE285" i="1"/>
  <c r="AI282" i="1"/>
  <c r="Q279" i="1"/>
  <c r="DD275" i="1"/>
  <c r="CM272" i="1"/>
  <c r="CH269" i="1"/>
  <c r="AT267" i="1"/>
  <c r="F265" i="1"/>
  <c r="BV262" i="1"/>
  <c r="AH260" i="1"/>
  <c r="CX257" i="1"/>
  <c r="BJ255" i="1"/>
  <c r="V253" i="1"/>
  <c r="CL250" i="1"/>
  <c r="AX248" i="1"/>
  <c r="J246" i="1"/>
  <c r="BZ243" i="1"/>
  <c r="AL241" i="1"/>
  <c r="DB238" i="1"/>
  <c r="BN236" i="1"/>
  <c r="Z234" i="1"/>
  <c r="CP231" i="1"/>
  <c r="BB229" i="1"/>
  <c r="N227" i="1"/>
  <c r="CD224" i="1"/>
  <c r="AP222" i="1"/>
  <c r="DF219" i="1"/>
  <c r="AM317" i="1"/>
  <c r="CQ307" i="1"/>
  <c r="AQ298" i="1"/>
  <c r="U292" i="1"/>
  <c r="BK288" i="1"/>
  <c r="AS285" i="1"/>
  <c r="AB282" i="1"/>
  <c r="K279" i="1"/>
  <c r="CW275" i="1"/>
  <c r="CF272" i="1"/>
  <c r="CC269" i="1"/>
  <c r="AO267" i="1"/>
  <c r="DE264" i="1"/>
  <c r="BQ262" i="1"/>
  <c r="AC260" i="1"/>
  <c r="CS257" i="1"/>
  <c r="BE255" i="1"/>
  <c r="Q253" i="1"/>
  <c r="CG250" i="1"/>
  <c r="AS248" i="1"/>
  <c r="DI245" i="1"/>
  <c r="BU243" i="1"/>
  <c r="AG241" i="1"/>
  <c r="CW238" i="1"/>
  <c r="BI236" i="1"/>
  <c r="U234" i="1"/>
  <c r="CK231" i="1"/>
  <c r="AW229" i="1"/>
  <c r="I227" i="1"/>
  <c r="BY224" i="1"/>
  <c r="AK222" i="1"/>
  <c r="DA219" i="1"/>
  <c r="AI317" i="1"/>
  <c r="CM307" i="1"/>
  <c r="AM298" i="1"/>
  <c r="S292" i="1"/>
  <c r="BI288" i="1"/>
  <c r="AR285" i="1"/>
  <c r="AA282" i="1"/>
  <c r="I279" i="1"/>
  <c r="CV275" i="1"/>
  <c r="CE272" i="1"/>
  <c r="CB269" i="1"/>
  <c r="AN267" i="1"/>
  <c r="DD264" i="1"/>
  <c r="BP262" i="1"/>
  <c r="AB260" i="1"/>
  <c r="CR257" i="1"/>
  <c r="BD255" i="1"/>
  <c r="P253" i="1"/>
  <c r="CF250" i="1"/>
  <c r="AR248" i="1"/>
  <c r="DH245" i="1"/>
  <c r="BT243" i="1"/>
  <c r="AF241" i="1"/>
  <c r="CV238" i="1"/>
  <c r="BH236" i="1"/>
  <c r="T234" i="1"/>
  <c r="CJ231" i="1"/>
  <c r="AV229" i="1"/>
  <c r="H227" i="1"/>
  <c r="BX224" i="1"/>
  <c r="AJ222" i="1"/>
  <c r="CZ219" i="1"/>
  <c r="BA217" i="1"/>
  <c r="M215" i="1"/>
  <c r="CC212" i="1"/>
  <c r="AO210" i="1"/>
  <c r="DE207" i="1"/>
  <c r="BQ205" i="1"/>
  <c r="AC203" i="1"/>
  <c r="CS200" i="1"/>
  <c r="BE198" i="1"/>
  <c r="Q196" i="1"/>
  <c r="CG193" i="1"/>
  <c r="AS191" i="1"/>
  <c r="DI188" i="1"/>
  <c r="BU186" i="1"/>
  <c r="AG184" i="1"/>
  <c r="CW181" i="1"/>
  <c r="BI179" i="1"/>
  <c r="U177" i="1"/>
  <c r="CK174" i="1"/>
  <c r="CL278" i="1"/>
  <c r="AH357" i="1"/>
  <c r="BU335" i="1"/>
  <c r="U326" i="1"/>
  <c r="BY316" i="1"/>
  <c r="Y307" i="1"/>
  <c r="CC297" i="1"/>
  <c r="CX338" i="1"/>
  <c r="AB329" i="1"/>
  <c r="CF319" i="1"/>
  <c r="AF310" i="1"/>
  <c r="CJ300" i="1"/>
  <c r="AJ291" i="1"/>
  <c r="CY336" i="1"/>
  <c r="AY327" i="1"/>
  <c r="DE293" i="1"/>
  <c r="AG280" i="1"/>
  <c r="AE268" i="1"/>
  <c r="CI258" i="1"/>
  <c r="AI249" i="1"/>
  <c r="CM239" i="1"/>
  <c r="AM230" i="1"/>
  <c r="CQ220" i="1"/>
  <c r="AU294" i="1"/>
  <c r="BU281" i="1"/>
  <c r="AH269" i="1"/>
  <c r="F262" i="1"/>
  <c r="AH257" i="1"/>
  <c r="BJ252" i="1"/>
  <c r="CL247" i="1"/>
  <c r="J243" i="1"/>
  <c r="AL238" i="1"/>
  <c r="BN233" i="1"/>
  <c r="CP228" i="1"/>
  <c r="N224" i="1"/>
  <c r="AI324" i="1"/>
  <c r="CM314" i="1"/>
  <c r="AM305" i="1"/>
  <c r="CQ295" i="1"/>
  <c r="CW290" i="1"/>
  <c r="CB287" i="1"/>
  <c r="BK284" i="1"/>
  <c r="AS281" i="1"/>
  <c r="AB278" i="1"/>
  <c r="K275" i="1"/>
  <c r="CW271" i="1"/>
  <c r="M269" i="1"/>
  <c r="CC266" i="1"/>
  <c r="AO264" i="1"/>
  <c r="DE261" i="1"/>
  <c r="BQ259" i="1"/>
  <c r="AC257" i="1"/>
  <c r="CS254" i="1"/>
  <c r="BE252" i="1"/>
  <c r="Q250" i="1"/>
  <c r="CG247" i="1"/>
  <c r="AS245" i="1"/>
  <c r="DI242" i="1"/>
  <c r="BU240" i="1"/>
  <c r="AG238" i="1"/>
  <c r="CW235" i="1"/>
  <c r="BI233" i="1"/>
  <c r="U231" i="1"/>
  <c r="CK228" i="1"/>
  <c r="AW226" i="1"/>
  <c r="I224" i="1"/>
  <c r="BY221" i="1"/>
  <c r="AE324" i="1"/>
  <c r="CI314" i="1"/>
  <c r="AI305" i="1"/>
  <c r="CM295" i="1"/>
  <c r="CU290" i="1"/>
  <c r="CA287" i="1"/>
  <c r="BI284" i="1"/>
  <c r="AR281" i="1"/>
  <c r="AA278" i="1"/>
  <c r="I275" i="1"/>
  <c r="CV271" i="1"/>
  <c r="L269" i="1"/>
  <c r="CB266" i="1"/>
  <c r="AN264" i="1"/>
  <c r="DD261" i="1"/>
  <c r="BP259" i="1"/>
  <c r="AB257" i="1"/>
  <c r="CR254" i="1"/>
  <c r="BD252" i="1"/>
  <c r="P250" i="1"/>
  <c r="CF247" i="1"/>
  <c r="AR245" i="1"/>
  <c r="DH242" i="1"/>
  <c r="BT240" i="1"/>
  <c r="AF238" i="1"/>
  <c r="CV235" i="1"/>
  <c r="BH233" i="1"/>
  <c r="T231" i="1"/>
  <c r="CJ228" i="1"/>
  <c r="AV226" i="1"/>
  <c r="H224" i="1"/>
  <c r="BX221" i="1"/>
  <c r="Y219" i="1"/>
  <c r="CO216" i="1"/>
  <c r="BA214" i="1"/>
  <c r="M212" i="1"/>
  <c r="CC209" i="1"/>
  <c r="AO207" i="1"/>
  <c r="DE204" i="1"/>
  <c r="BQ202" i="1"/>
  <c r="AC200" i="1"/>
  <c r="CS197" i="1"/>
  <c r="BE195" i="1"/>
  <c r="Q193" i="1"/>
  <c r="CG190" i="1"/>
  <c r="AS188" i="1"/>
  <c r="DI185" i="1"/>
  <c r="BU183" i="1"/>
  <c r="AG181" i="1"/>
  <c r="CW178" i="1"/>
  <c r="BI176" i="1"/>
  <c r="U174" i="1"/>
  <c r="CK171" i="1"/>
  <c r="AW169" i="1"/>
  <c r="I167" i="1"/>
  <c r="BY164" i="1"/>
  <c r="AK162" i="1"/>
  <c r="DA159" i="1"/>
  <c r="BM157" i="1"/>
  <c r="Y155" i="1"/>
  <c r="CO152" i="1"/>
  <c r="BA150" i="1"/>
  <c r="M148" i="1"/>
  <c r="CC145" i="1"/>
  <c r="T219" i="1"/>
  <c r="CJ216" i="1"/>
  <c r="AV214" i="1"/>
  <c r="H212" i="1"/>
  <c r="BX209" i="1"/>
  <c r="AJ207" i="1"/>
  <c r="AQ284" i="1"/>
  <c r="Y281" i="1"/>
  <c r="H278" i="1"/>
  <c r="CU274" i="1"/>
  <c r="CC271" i="1"/>
  <c r="DB268" i="1"/>
  <c r="BN266" i="1"/>
  <c r="Z264" i="1"/>
  <c r="CP261" i="1"/>
  <c r="BB259" i="1"/>
  <c r="N257" i="1"/>
  <c r="CD254" i="1"/>
  <c r="AP252" i="1"/>
  <c r="DF249" i="1"/>
  <c r="BR247" i="1"/>
  <c r="AD245" i="1"/>
  <c r="CT242" i="1"/>
  <c r="BF240" i="1"/>
  <c r="R238" i="1"/>
  <c r="CH235" i="1"/>
  <c r="AT233" i="1"/>
  <c r="F231" i="1"/>
  <c r="BV228" i="1"/>
  <c r="AH226" i="1"/>
  <c r="CX223" i="1"/>
  <c r="BJ221" i="1"/>
  <c r="BK323" i="1"/>
  <c r="K314" i="1"/>
  <c r="BO304" i="1"/>
  <c r="AG295" i="1"/>
  <c r="BS290" i="1"/>
  <c r="BA287" i="1"/>
  <c r="AJ284" i="1"/>
  <c r="S281" i="1"/>
  <c r="DE277" i="1"/>
  <c r="CN274" i="1"/>
  <c r="BW271" i="1"/>
  <c r="CW268" i="1"/>
  <c r="BI266" i="1"/>
  <c r="U264" i="1"/>
  <c r="CK261" i="1"/>
  <c r="AW259" i="1"/>
  <c r="I257" i="1"/>
  <c r="BY254" i="1"/>
  <c r="AK252" i="1"/>
  <c r="DA249" i="1"/>
  <c r="BM247" i="1"/>
  <c r="Y245" i="1"/>
  <c r="CO242" i="1"/>
  <c r="BA240" i="1"/>
  <c r="M238" i="1"/>
  <c r="CC235" i="1"/>
  <c r="AO233" i="1"/>
  <c r="DE230" i="1"/>
  <c r="BQ228" i="1"/>
  <c r="AC226" i="1"/>
  <c r="CS223" i="1"/>
  <c r="BE221" i="1"/>
  <c r="BG323" i="1"/>
  <c r="G314" i="1"/>
  <c r="BK304" i="1"/>
  <c r="AE295" i="1"/>
  <c r="BQ290" i="1"/>
  <c r="AZ287" i="1"/>
  <c r="AI284" i="1"/>
  <c r="Q281" i="1"/>
  <c r="DD277" i="1"/>
  <c r="CM274" i="1"/>
  <c r="BU271" i="1"/>
  <c r="CV268" i="1"/>
  <c r="BH266" i="1"/>
  <c r="T264" i="1"/>
  <c r="CJ261" i="1"/>
  <c r="AV259" i="1"/>
  <c r="H257" i="1"/>
  <c r="BX254" i="1"/>
  <c r="AJ252" i="1"/>
  <c r="CZ249" i="1"/>
  <c r="BL247" i="1"/>
  <c r="X245" i="1"/>
  <c r="CN242" i="1"/>
  <c r="AZ240" i="1"/>
  <c r="L238" i="1"/>
  <c r="CB235" i="1"/>
  <c r="AN233" i="1"/>
  <c r="DD230" i="1"/>
  <c r="BP228" i="1"/>
  <c r="AB226" i="1"/>
  <c r="CR223" i="1"/>
  <c r="BD221" i="1"/>
  <c r="DI218" i="1"/>
  <c r="BU216" i="1"/>
  <c r="AG214" i="1"/>
  <c r="CW211" i="1"/>
  <c r="BI209" i="1"/>
  <c r="U207" i="1"/>
  <c r="CK204" i="1"/>
  <c r="AW202" i="1"/>
  <c r="I200" i="1"/>
  <c r="BY197" i="1"/>
  <c r="AK195" i="1"/>
  <c r="DA192" i="1"/>
  <c r="BM190" i="1"/>
  <c r="Y188" i="1"/>
  <c r="CO185" i="1"/>
  <c r="BA183" i="1"/>
  <c r="M181" i="1"/>
  <c r="CC178" i="1"/>
  <c r="AO176" i="1"/>
  <c r="DE173" i="1"/>
  <c r="BQ171" i="1"/>
  <c r="AC169" i="1"/>
  <c r="CS166" i="1"/>
  <c r="BE164" i="1"/>
  <c r="Q162" i="1"/>
  <c r="CG159" i="1"/>
  <c r="AS157" i="1"/>
  <c r="DI154" i="1"/>
  <c r="BU152" i="1"/>
  <c r="AG150" i="1"/>
  <c r="CW147" i="1"/>
  <c r="BI145" i="1"/>
  <c r="DD218" i="1"/>
  <c r="BP216" i="1"/>
  <c r="AB214" i="1"/>
  <c r="CR211" i="1"/>
  <c r="BD209" i="1"/>
  <c r="P207" i="1"/>
  <c r="CY283" i="1"/>
  <c r="CG280" i="1"/>
  <c r="BP277" i="1"/>
  <c r="AY274" i="1"/>
  <c r="AG271" i="1"/>
  <c r="BR268" i="1"/>
  <c r="AD266" i="1"/>
  <c r="CT263" i="1"/>
  <c r="BF261" i="1"/>
  <c r="R259" i="1"/>
  <c r="CH256" i="1"/>
  <c r="AT254" i="1"/>
  <c r="F252" i="1"/>
  <c r="BV249" i="1"/>
  <c r="AH247" i="1"/>
  <c r="CX244" i="1"/>
  <c r="BJ242" i="1"/>
  <c r="V240" i="1"/>
  <c r="CL237" i="1"/>
  <c r="AX235" i="1"/>
  <c r="J233" i="1"/>
  <c r="BZ230" i="1"/>
  <c r="AL228" i="1"/>
  <c r="DB225" i="1"/>
  <c r="BN223" i="1"/>
  <c r="Z221" i="1"/>
  <c r="AA322" i="1"/>
  <c r="CE312" i="1"/>
  <c r="AE303" i="1"/>
  <c r="BQ294" i="1"/>
  <c r="W290" i="1"/>
  <c r="DI286" i="1"/>
  <c r="CR283" i="1"/>
  <c r="CA280" i="1"/>
  <c r="BI277" i="1"/>
  <c r="AR274" i="1"/>
  <c r="AA271" i="1"/>
  <c r="BM268" i="1"/>
  <c r="Y266" i="1"/>
  <c r="CO263" i="1"/>
  <c r="BA261" i="1"/>
  <c r="M259" i="1"/>
  <c r="CC256" i="1"/>
  <c r="AO254" i="1"/>
  <c r="DE251" i="1"/>
  <c r="BQ249" i="1"/>
  <c r="AC247" i="1"/>
  <c r="CS244" i="1"/>
  <c r="BE242" i="1"/>
  <c r="Q240" i="1"/>
  <c r="CG237" i="1"/>
  <c r="AS235" i="1"/>
  <c r="DI232" i="1"/>
  <c r="BU230" i="1"/>
  <c r="AG228" i="1"/>
  <c r="CW225" i="1"/>
  <c r="BI223" i="1"/>
  <c r="U221" i="1"/>
  <c r="W322" i="1"/>
  <c r="CA312" i="1"/>
  <c r="AA303" i="1"/>
  <c r="BO294" i="1"/>
  <c r="U290" i="1"/>
  <c r="DH286" i="1"/>
  <c r="CQ283" i="1"/>
  <c r="BY280" i="1"/>
  <c r="BH277" i="1"/>
  <c r="AQ274" i="1"/>
  <c r="Y271" i="1"/>
  <c r="BL268" i="1"/>
  <c r="X266" i="1"/>
  <c r="CN263" i="1"/>
  <c r="AZ261" i="1"/>
  <c r="L259" i="1"/>
  <c r="CB256" i="1"/>
  <c r="AN254" i="1"/>
  <c r="DD251" i="1"/>
  <c r="BP249" i="1"/>
  <c r="AB247" i="1"/>
  <c r="CR244" i="1"/>
  <c r="BD242" i="1"/>
  <c r="P240" i="1"/>
  <c r="CF237" i="1"/>
  <c r="AR235" i="1"/>
  <c r="DH232" i="1"/>
  <c r="BT230" i="1"/>
  <c r="AF228" i="1"/>
  <c r="CV225" i="1"/>
  <c r="BH223" i="1"/>
  <c r="T221" i="1"/>
  <c r="BY218" i="1"/>
  <c r="AK216" i="1"/>
  <c r="DA213" i="1"/>
  <c r="BM211" i="1"/>
  <c r="Y209" i="1"/>
  <c r="CO206" i="1"/>
  <c r="BA204" i="1"/>
  <c r="M202" i="1"/>
  <c r="CC199" i="1"/>
  <c r="AO197" i="1"/>
  <c r="DE194" i="1"/>
  <c r="BQ192" i="1"/>
  <c r="AC190" i="1"/>
  <c r="CS187" i="1"/>
  <c r="BE185" i="1"/>
  <c r="Q183" i="1"/>
  <c r="CG180" i="1"/>
  <c r="AS178" i="1"/>
  <c r="DI175" i="1"/>
  <c r="BU173" i="1"/>
  <c r="AG171" i="1"/>
  <c r="CW168" i="1"/>
  <c r="BI166" i="1"/>
  <c r="U164" i="1"/>
  <c r="CK161" i="1"/>
  <c r="AW159" i="1"/>
  <c r="I157" i="1"/>
  <c r="BY154" i="1"/>
  <c r="AK152" i="1"/>
  <c r="DA149" i="1"/>
  <c r="BM147" i="1"/>
  <c r="Y145" i="1"/>
  <c r="BT218" i="1"/>
  <c r="AF216" i="1"/>
  <c r="CV213" i="1"/>
  <c r="BH211" i="1"/>
  <c r="T209" i="1"/>
  <c r="BK289" i="1"/>
  <c r="BX283" i="1"/>
  <c r="BG280" i="1"/>
  <c r="AO277" i="1"/>
  <c r="X274" i="1"/>
  <c r="G271" i="1"/>
  <c r="AX268" i="1"/>
  <c r="J266" i="1"/>
  <c r="BZ263" i="1"/>
  <c r="AL261" i="1"/>
  <c r="DB258" i="1"/>
  <c r="BN256" i="1"/>
  <c r="Z254" i="1"/>
  <c r="CP251" i="1"/>
  <c r="BB249" i="1"/>
  <c r="N247" i="1"/>
  <c r="CD244" i="1"/>
  <c r="AP242" i="1"/>
  <c r="DF239" i="1"/>
  <c r="BR237" i="1"/>
  <c r="AD235" i="1"/>
  <c r="CT232" i="1"/>
  <c r="BF230" i="1"/>
  <c r="R228" i="1"/>
  <c r="CH225" i="1"/>
  <c r="AT223" i="1"/>
  <c r="F221" i="1"/>
  <c r="BC321" i="1"/>
  <c r="DG311" i="1"/>
  <c r="BG302" i="1"/>
  <c r="AC294" i="1"/>
  <c r="CZ289" i="1"/>
  <c r="CI286" i="1"/>
  <c r="BQ283" i="1"/>
  <c r="AZ280" i="1"/>
  <c r="AI277" i="1"/>
  <c r="Q274" i="1"/>
  <c r="DD270" i="1"/>
  <c r="AS268" i="1"/>
  <c r="DI265" i="1"/>
  <c r="BU263" i="1"/>
  <c r="AG261" i="1"/>
  <c r="CW258" i="1"/>
  <c r="BI256" i="1"/>
  <c r="U254" i="1"/>
  <c r="CK251" i="1"/>
  <c r="AW249" i="1"/>
  <c r="I247" i="1"/>
  <c r="BY244" i="1"/>
  <c r="AK242" i="1"/>
  <c r="DA239" i="1"/>
  <c r="BM237" i="1"/>
  <c r="Y235" i="1"/>
  <c r="CO232" i="1"/>
  <c r="BA230" i="1"/>
  <c r="M228" i="1"/>
  <c r="CC225" i="1"/>
  <c r="AO223" i="1"/>
  <c r="DE220" i="1"/>
  <c r="AY321" i="1"/>
  <c r="DC311" i="1"/>
  <c r="BC302" i="1"/>
  <c r="AA294" i="1"/>
  <c r="CY289" i="1"/>
  <c r="CG286" i="1"/>
  <c r="BP283" i="1"/>
  <c r="AY280" i="1"/>
  <c r="AG277" i="1"/>
  <c r="P274" i="1"/>
  <c r="DC270" i="1"/>
  <c r="AR268" i="1"/>
  <c r="DH265" i="1"/>
  <c r="BT263" i="1"/>
  <c r="AF261" i="1"/>
  <c r="CV258" i="1"/>
  <c r="BH256" i="1"/>
  <c r="T254" i="1"/>
  <c r="CJ251" i="1"/>
  <c r="AV249" i="1"/>
  <c r="H247" i="1"/>
  <c r="BX244" i="1"/>
  <c r="AJ242" i="1"/>
  <c r="CZ239" i="1"/>
  <c r="BL237" i="1"/>
  <c r="X235" i="1"/>
  <c r="CN232" i="1"/>
  <c r="AZ230" i="1"/>
  <c r="L228" i="1"/>
  <c r="CB225" i="1"/>
  <c r="AN223" i="1"/>
  <c r="DD220" i="1"/>
  <c r="BE218" i="1"/>
  <c r="Q216" i="1"/>
  <c r="CG213" i="1"/>
  <c r="AS211" i="1"/>
  <c r="DI208" i="1"/>
  <c r="BU206" i="1"/>
  <c r="AG204" i="1"/>
  <c r="CW201" i="1"/>
  <c r="BI199" i="1"/>
  <c r="U197" i="1"/>
  <c r="CK194" i="1"/>
  <c r="AW192" i="1"/>
  <c r="I190" i="1"/>
  <c r="BY187" i="1"/>
  <c r="AK185" i="1"/>
  <c r="DA182" i="1"/>
  <c r="BM180" i="1"/>
  <c r="Y178" i="1"/>
  <c r="CO175" i="1"/>
  <c r="BA173" i="1"/>
  <c r="M171" i="1"/>
  <c r="CC168" i="1"/>
  <c r="AO166" i="1"/>
  <c r="DE163" i="1"/>
  <c r="N271" i="1"/>
  <c r="AW337" i="1"/>
  <c r="DA327" i="1"/>
  <c r="BA318" i="1"/>
  <c r="DE308" i="1"/>
  <c r="BE299" i="1"/>
  <c r="BW341" i="1"/>
  <c r="DH330" i="1"/>
  <c r="BH321" i="1"/>
  <c r="H312" i="1"/>
  <c r="BL302" i="1"/>
  <c r="L293" i="1"/>
  <c r="CW338" i="1"/>
  <c r="AA329" i="1"/>
  <c r="BS299" i="1"/>
  <c r="BU282" i="1"/>
  <c r="G270" i="1"/>
  <c r="BK260" i="1"/>
  <c r="K251" i="1"/>
  <c r="BO241" i="1"/>
  <c r="O232" i="1"/>
  <c r="BS222" i="1"/>
  <c r="BC300" i="1"/>
  <c r="DI283" i="1"/>
  <c r="AR271" i="1"/>
  <c r="CH262" i="1"/>
  <c r="F258" i="1"/>
  <c r="AH253" i="1"/>
  <c r="BJ248" i="1"/>
  <c r="CL243" i="1"/>
  <c r="J239" i="1"/>
  <c r="AL234" i="1"/>
  <c r="BN229" i="1"/>
  <c r="CP224" i="1"/>
  <c r="N220" i="1"/>
  <c r="BO316" i="1"/>
  <c r="O307" i="1"/>
  <c r="BS297" i="1"/>
  <c r="CK291" i="1"/>
  <c r="AJ288" i="1"/>
  <c r="S285" i="1"/>
  <c r="DE281" i="1"/>
  <c r="CN278" i="1"/>
  <c r="BW275" i="1"/>
  <c r="BE272" i="1"/>
  <c r="BI269" i="1"/>
  <c r="U267" i="1"/>
  <c r="CK264" i="1"/>
  <c r="AW262" i="1"/>
  <c r="I260" i="1"/>
  <c r="BY257" i="1"/>
  <c r="AK255" i="1"/>
  <c r="DA252" i="1"/>
  <c r="BM250" i="1"/>
  <c r="Y248" i="1"/>
  <c r="CO245" i="1"/>
  <c r="BA243" i="1"/>
  <c r="M241" i="1"/>
  <c r="CC238" i="1"/>
  <c r="AO236" i="1"/>
  <c r="DE233" i="1"/>
  <c r="BQ231" i="1"/>
  <c r="AC229" i="1"/>
  <c r="CS226" i="1"/>
  <c r="BE224" i="1"/>
  <c r="Q222" i="1"/>
  <c r="G326" i="1"/>
  <c r="BK316" i="1"/>
  <c r="K307" i="1"/>
  <c r="BO297" i="1"/>
  <c r="CI291" i="1"/>
  <c r="AI288" i="1"/>
  <c r="Q285" i="1"/>
  <c r="DD281" i="1"/>
  <c r="CM278" i="1"/>
  <c r="BU275" i="1"/>
  <c r="BD272" i="1"/>
  <c r="BH269" i="1"/>
  <c r="T267" i="1"/>
  <c r="CJ264" i="1"/>
  <c r="AV262" i="1"/>
  <c r="H260" i="1"/>
  <c r="BX257" i="1"/>
  <c r="AJ255" i="1"/>
  <c r="CZ252" i="1"/>
  <c r="BL250" i="1"/>
  <c r="X248" i="1"/>
  <c r="CN245" i="1"/>
  <c r="AZ243" i="1"/>
  <c r="L241" i="1"/>
  <c r="CB238" i="1"/>
  <c r="AN236" i="1"/>
  <c r="DD233" i="1"/>
  <c r="BP231" i="1"/>
  <c r="AB229" i="1"/>
  <c r="CR226" i="1"/>
  <c r="BD224" i="1"/>
  <c r="P222" i="1"/>
  <c r="BU219" i="1"/>
  <c r="AG217" i="1"/>
  <c r="CW214" i="1"/>
  <c r="BI212" i="1"/>
  <c r="U210" i="1"/>
  <c r="CK207" i="1"/>
  <c r="AW205" i="1"/>
  <c r="I203" i="1"/>
  <c r="BY200" i="1"/>
  <c r="AK198" i="1"/>
  <c r="DA195" i="1"/>
  <c r="BM193" i="1"/>
  <c r="Y191" i="1"/>
  <c r="CO188" i="1"/>
  <c r="BA186" i="1"/>
  <c r="M184" i="1"/>
  <c r="CC181" i="1"/>
  <c r="AO179" i="1"/>
  <c r="DE176" i="1"/>
  <c r="BQ174" i="1"/>
  <c r="AC172" i="1"/>
  <c r="CS169" i="1"/>
  <c r="BE167" i="1"/>
  <c r="Q165" i="1"/>
  <c r="CG162" i="1"/>
  <c r="AS160" i="1"/>
  <c r="DI157" i="1"/>
  <c r="BU155" i="1"/>
  <c r="AG153" i="1"/>
  <c r="CW150" i="1"/>
  <c r="BI148" i="1"/>
  <c r="U146" i="1"/>
  <c r="BP219" i="1"/>
  <c r="AB217" i="1"/>
  <c r="CR214" i="1"/>
  <c r="BD212" i="1"/>
  <c r="P210" i="1"/>
  <c r="CF207" i="1"/>
  <c r="DC284" i="1"/>
  <c r="CK281" i="1"/>
  <c r="BT278" i="1"/>
  <c r="BC275" i="1"/>
  <c r="AK272" i="1"/>
  <c r="AT269" i="1"/>
  <c r="F267" i="1"/>
  <c r="BV264" i="1"/>
  <c r="AH262" i="1"/>
  <c r="CX259" i="1"/>
  <c r="BJ257" i="1"/>
  <c r="V255" i="1"/>
  <c r="CL252" i="1"/>
  <c r="AX250" i="1"/>
  <c r="J248" i="1"/>
  <c r="BZ245" i="1"/>
  <c r="AL243" i="1"/>
  <c r="DB240" i="1"/>
  <c r="BN238" i="1"/>
  <c r="Z236" i="1"/>
  <c r="CP233" i="1"/>
  <c r="BB231" i="1"/>
  <c r="N229" i="1"/>
  <c r="CD226" i="1"/>
  <c r="AP224" i="1"/>
  <c r="DF221" i="1"/>
  <c r="AM325" i="1"/>
  <c r="CQ315" i="1"/>
  <c r="AQ306" i="1"/>
  <c r="CU296" i="1"/>
  <c r="AW291" i="1"/>
  <c r="I288" i="1"/>
  <c r="CV284" i="1"/>
  <c r="CE281" i="1"/>
  <c r="BM278" i="1"/>
  <c r="AV275" i="1"/>
  <c r="AE272" i="1"/>
  <c r="AO269" i="1"/>
  <c r="DE266" i="1"/>
  <c r="BQ264" i="1"/>
  <c r="AC262" i="1"/>
  <c r="CS259" i="1"/>
  <c r="BE257" i="1"/>
  <c r="Q255" i="1"/>
  <c r="CG252" i="1"/>
  <c r="AS250" i="1"/>
  <c r="DI247" i="1"/>
  <c r="BU245" i="1"/>
  <c r="AG243" i="1"/>
  <c r="CW240" i="1"/>
  <c r="BI238" i="1"/>
  <c r="U236" i="1"/>
  <c r="CK233" i="1"/>
  <c r="AW231" i="1"/>
  <c r="I229" i="1"/>
  <c r="BY226" i="1"/>
  <c r="AK224" i="1"/>
  <c r="DA221" i="1"/>
  <c r="AI325" i="1"/>
  <c r="CM315" i="1"/>
  <c r="AM306" i="1"/>
  <c r="CQ296" i="1"/>
  <c r="AU291" i="1"/>
  <c r="H288" i="1"/>
  <c r="CU284" i="1"/>
  <c r="CC281" i="1"/>
  <c r="BL278" i="1"/>
  <c r="AU275" i="1"/>
  <c r="AC272" i="1"/>
  <c r="AN269" i="1"/>
  <c r="DD266" i="1"/>
  <c r="BP264" i="1"/>
  <c r="AB262" i="1"/>
  <c r="CR259" i="1"/>
  <c r="BD257" i="1"/>
  <c r="P255" i="1"/>
  <c r="CF252" i="1"/>
  <c r="AR250" i="1"/>
  <c r="DH247" i="1"/>
  <c r="BT245" i="1"/>
  <c r="AF243" i="1"/>
  <c r="CV240" i="1"/>
  <c r="BH238" i="1"/>
  <c r="T236" i="1"/>
  <c r="CJ233" i="1"/>
  <c r="AV231" i="1"/>
  <c r="H229" i="1"/>
  <c r="BX226" i="1"/>
  <c r="AJ224" i="1"/>
  <c r="CZ221" i="1"/>
  <c r="BA219" i="1"/>
  <c r="M217" i="1"/>
  <c r="CC214" i="1"/>
  <c r="AO212" i="1"/>
  <c r="DE209" i="1"/>
  <c r="BQ207" i="1"/>
  <c r="AC205" i="1"/>
  <c r="CS202" i="1"/>
  <c r="BE200" i="1"/>
  <c r="Q198" i="1"/>
  <c r="CG195" i="1"/>
  <c r="AS193" i="1"/>
  <c r="DI190" i="1"/>
  <c r="BU188" i="1"/>
  <c r="AG186" i="1"/>
  <c r="CW183" i="1"/>
  <c r="BI181" i="1"/>
  <c r="U179" i="1"/>
  <c r="CK176" i="1"/>
  <c r="AW174" i="1"/>
  <c r="I172" i="1"/>
  <c r="BY169" i="1"/>
  <c r="AK167" i="1"/>
  <c r="DA164" i="1"/>
  <c r="BM162" i="1"/>
  <c r="Y160" i="1"/>
  <c r="CO157" i="1"/>
  <c r="BA155" i="1"/>
  <c r="M153" i="1"/>
  <c r="CC150" i="1"/>
  <c r="AO148" i="1"/>
  <c r="DE145" i="1"/>
  <c r="AV219" i="1"/>
  <c r="H217" i="1"/>
  <c r="BX214" i="1"/>
  <c r="AJ212" i="1"/>
  <c r="CZ209" i="1"/>
  <c r="BL207" i="1"/>
  <c r="BG284" i="1"/>
  <c r="AO281" i="1"/>
  <c r="X278" i="1"/>
  <c r="G275" i="1"/>
  <c r="CS271" i="1"/>
  <c r="J269" i="1"/>
  <c r="BZ266" i="1"/>
  <c r="AL264" i="1"/>
  <c r="DB261" i="1"/>
  <c r="BN259" i="1"/>
  <c r="Z257" i="1"/>
  <c r="CP254" i="1"/>
  <c r="BB252" i="1"/>
  <c r="N250" i="1"/>
  <c r="CD247" i="1"/>
  <c r="AP245" i="1"/>
  <c r="DF242" i="1"/>
  <c r="BR240" i="1"/>
  <c r="AD238" i="1"/>
  <c r="CT235" i="1"/>
  <c r="BF233" i="1"/>
  <c r="R231" i="1"/>
  <c r="CH228" i="1"/>
  <c r="AT226" i="1"/>
  <c r="F224" i="1"/>
  <c r="BV221" i="1"/>
  <c r="DG323" i="1"/>
  <c r="BG314" i="1"/>
  <c r="G305" i="1"/>
  <c r="BK295" i="1"/>
  <c r="CI290" i="1"/>
  <c r="BQ287" i="1"/>
  <c r="AZ284" i="1"/>
  <c r="AI281" i="1"/>
  <c r="Q278" i="1"/>
  <c r="DD274" i="1"/>
  <c r="CM271" i="1"/>
  <c r="DI268" i="1"/>
  <c r="BU266" i="1"/>
  <c r="AG264" i="1"/>
  <c r="CW261" i="1"/>
  <c r="BI259" i="1"/>
  <c r="U257" i="1"/>
  <c r="CK254" i="1"/>
  <c r="AW252" i="1"/>
  <c r="I250" i="1"/>
  <c r="BY247" i="1"/>
  <c r="AK245" i="1"/>
  <c r="DA242" i="1"/>
  <c r="BM240" i="1"/>
  <c r="Y238" i="1"/>
  <c r="CO235" i="1"/>
  <c r="BA233" i="1"/>
  <c r="M231" i="1"/>
  <c r="CC228" i="1"/>
  <c r="AO226" i="1"/>
  <c r="DE223" i="1"/>
  <c r="BQ221" i="1"/>
  <c r="DC323" i="1"/>
  <c r="BC314" i="1"/>
  <c r="DG304" i="1"/>
  <c r="BG295" i="1"/>
  <c r="CG290" i="1"/>
  <c r="BP287" i="1"/>
  <c r="AY284" i="1"/>
  <c r="AG281" i="1"/>
  <c r="P278" i="1"/>
  <c r="DC274" i="1"/>
  <c r="CK271" i="1"/>
  <c r="DH268" i="1"/>
  <c r="BT266" i="1"/>
  <c r="AF264" i="1"/>
  <c r="CV261" i="1"/>
  <c r="BH259" i="1"/>
  <c r="T257" i="1"/>
  <c r="CJ254" i="1"/>
  <c r="AV252" i="1"/>
  <c r="H250" i="1"/>
  <c r="BX247" i="1"/>
  <c r="AJ245" i="1"/>
  <c r="CZ242" i="1"/>
  <c r="BL240" i="1"/>
  <c r="X238" i="1"/>
  <c r="CN235" i="1"/>
  <c r="AZ233" i="1"/>
  <c r="L231" i="1"/>
  <c r="CB228" i="1"/>
  <c r="AN226" i="1"/>
  <c r="DD223" i="1"/>
  <c r="BP221" i="1"/>
  <c r="Q219" i="1"/>
  <c r="CG216" i="1"/>
  <c r="AS214" i="1"/>
  <c r="DI211" i="1"/>
  <c r="BU209" i="1"/>
  <c r="AG207" i="1"/>
  <c r="CW204" i="1"/>
  <c r="BI202" i="1"/>
  <c r="U200" i="1"/>
  <c r="CK197" i="1"/>
  <c r="AW195" i="1"/>
  <c r="I193" i="1"/>
  <c r="BY190" i="1"/>
  <c r="AK188" i="1"/>
  <c r="DA185" i="1"/>
  <c r="BM183" i="1"/>
  <c r="Y181" i="1"/>
  <c r="CO178" i="1"/>
  <c r="BA176" i="1"/>
  <c r="M174" i="1"/>
  <c r="CC171" i="1"/>
  <c r="AO169" i="1"/>
  <c r="DE166" i="1"/>
  <c r="BQ164" i="1"/>
  <c r="AC162" i="1"/>
  <c r="CS159" i="1"/>
  <c r="BE157" i="1"/>
  <c r="Q155" i="1"/>
  <c r="CG152" i="1"/>
  <c r="AS150" i="1"/>
  <c r="DI147" i="1"/>
  <c r="BU145" i="1"/>
  <c r="L219" i="1"/>
  <c r="CB216" i="1"/>
  <c r="AN214" i="1"/>
  <c r="DD211" i="1"/>
  <c r="BP209" i="1"/>
  <c r="AB207" i="1"/>
  <c r="AF284" i="1"/>
  <c r="O281" i="1"/>
  <c r="DA277" i="1"/>
  <c r="CJ274" i="1"/>
  <c r="BS271" i="1"/>
  <c r="CT268" i="1"/>
  <c r="BF266" i="1"/>
  <c r="R264" i="1"/>
  <c r="CH261" i="1"/>
  <c r="AT259" i="1"/>
  <c r="F257" i="1"/>
  <c r="BV254" i="1"/>
  <c r="AH252" i="1"/>
  <c r="CX249" i="1"/>
  <c r="BJ247" i="1"/>
  <c r="V245" i="1"/>
  <c r="CL242" i="1"/>
  <c r="AX240" i="1"/>
  <c r="J238" i="1"/>
  <c r="BZ235" i="1"/>
  <c r="AL233" i="1"/>
  <c r="DB230" i="1"/>
  <c r="BN228" i="1"/>
  <c r="Z226" i="1"/>
  <c r="CP223" i="1"/>
  <c r="BB221" i="1"/>
  <c r="AE323" i="1"/>
  <c r="CI313" i="1"/>
  <c r="AI304" i="1"/>
  <c r="Q295" i="1"/>
  <c r="BH290" i="1"/>
  <c r="AQ287" i="1"/>
  <c r="Y284" i="1"/>
  <c r="H281" i="1"/>
  <c r="CU277" i="1"/>
  <c r="CC274" i="1"/>
  <c r="BL271" i="1"/>
  <c r="CO268" i="1"/>
  <c r="BA266" i="1"/>
  <c r="M264" i="1"/>
  <c r="CC261" i="1"/>
  <c r="AO259" i="1"/>
  <c r="DE256" i="1"/>
  <c r="BQ254" i="1"/>
  <c r="AC252" i="1"/>
  <c r="CS249" i="1"/>
  <c r="BE247" i="1"/>
  <c r="Q245" i="1"/>
  <c r="CG242" i="1"/>
  <c r="AS240" i="1"/>
  <c r="DI237" i="1"/>
  <c r="BU235" i="1"/>
  <c r="AG233" i="1"/>
  <c r="CW230" i="1"/>
  <c r="BI228" i="1"/>
  <c r="U226" i="1"/>
  <c r="CK223" i="1"/>
  <c r="AW221" i="1"/>
  <c r="AA323" i="1"/>
  <c r="CE313" i="1"/>
  <c r="AE304" i="1"/>
  <c r="O295" i="1"/>
  <c r="BG290" i="1"/>
  <c r="AO287" i="1"/>
  <c r="X284" i="1"/>
  <c r="G281" i="1"/>
  <c r="CS277" i="1"/>
  <c r="CB274" i="1"/>
  <c r="BK271" i="1"/>
  <c r="CN268" i="1"/>
  <c r="AZ266" i="1"/>
  <c r="L264" i="1"/>
  <c r="CB261" i="1"/>
  <c r="AN259" i="1"/>
  <c r="DD256" i="1"/>
  <c r="BP254" i="1"/>
  <c r="AB252" i="1"/>
  <c r="CR249" i="1"/>
  <c r="BD247" i="1"/>
  <c r="P245" i="1"/>
  <c r="CF242" i="1"/>
  <c r="AR240" i="1"/>
  <c r="DH237" i="1"/>
  <c r="BT235" i="1"/>
  <c r="AF233" i="1"/>
  <c r="CV230" i="1"/>
  <c r="BH228" i="1"/>
  <c r="T226" i="1"/>
  <c r="CJ223" i="1"/>
  <c r="AV221" i="1"/>
  <c r="DA218" i="1"/>
  <c r="BM216" i="1"/>
  <c r="Y214" i="1"/>
  <c r="CO211" i="1"/>
  <c r="BA209" i="1"/>
  <c r="M207" i="1"/>
  <c r="CC204" i="1"/>
  <c r="AO202" i="1"/>
  <c r="DE199" i="1"/>
  <c r="BQ197" i="1"/>
  <c r="AC195" i="1"/>
  <c r="CS192" i="1"/>
  <c r="BE190" i="1"/>
  <c r="Q188" i="1"/>
  <c r="CG185" i="1"/>
  <c r="AS183" i="1"/>
  <c r="DI180" i="1"/>
  <c r="BU178" i="1"/>
  <c r="AG176" i="1"/>
  <c r="CW173" i="1"/>
  <c r="BI171" i="1"/>
  <c r="U169" i="1"/>
  <c r="CK166" i="1"/>
  <c r="AW164" i="1"/>
  <c r="AD275" i="1"/>
  <c r="CP343" i="1"/>
  <c r="M332" i="1"/>
  <c r="BQ322" i="1"/>
  <c r="Q313" i="1"/>
  <c r="BU303" i="1"/>
  <c r="AL355" i="1"/>
  <c r="T335" i="1"/>
  <c r="BX325" i="1"/>
  <c r="X316" i="1"/>
  <c r="CB306" i="1"/>
  <c r="AB297" i="1"/>
  <c r="V348" i="1"/>
  <c r="AQ333" i="1"/>
  <c r="AA316" i="1"/>
  <c r="W288" i="1"/>
  <c r="BI275" i="1"/>
  <c r="CA264" i="1"/>
  <c r="AA255" i="1"/>
  <c r="CE245" i="1"/>
  <c r="AE236" i="1"/>
  <c r="CI226" i="1"/>
  <c r="K317" i="1"/>
  <c r="BA288" i="1"/>
  <c r="CW276" i="1"/>
  <c r="CD265" i="1"/>
  <c r="AD260" i="1"/>
  <c r="BF255" i="1"/>
  <c r="CH250" i="1"/>
  <c r="F246" i="1"/>
  <c r="AH241" i="1"/>
  <c r="BJ236" i="1"/>
  <c r="CL231" i="1"/>
  <c r="J227" i="1"/>
  <c r="AL222" i="1"/>
  <c r="CE320" i="1"/>
  <c r="AE311" i="1"/>
  <c r="CI301" i="1"/>
  <c r="CS293" i="1"/>
  <c r="BY289" i="1"/>
  <c r="BH286" i="1"/>
  <c r="AQ283" i="1"/>
  <c r="Y280" i="1"/>
  <c r="H277" i="1"/>
  <c r="CU273" i="1"/>
  <c r="CC270" i="1"/>
  <c r="Y268" i="1"/>
  <c r="CO265" i="1"/>
  <c r="BA263" i="1"/>
  <c r="M261" i="1"/>
  <c r="CC258" i="1"/>
  <c r="AO256" i="1"/>
  <c r="DE253" i="1"/>
  <c r="BQ251" i="1"/>
  <c r="AC249" i="1"/>
  <c r="CS246" i="1"/>
  <c r="BE244" i="1"/>
  <c r="Q242" i="1"/>
  <c r="CG239" i="1"/>
  <c r="AS237" i="1"/>
  <c r="DI234" i="1"/>
  <c r="BU232" i="1"/>
  <c r="AG230" i="1"/>
  <c r="CW227" i="1"/>
  <c r="BI225" i="1"/>
  <c r="U223" i="1"/>
  <c r="CK220" i="1"/>
  <c r="CA320" i="1"/>
  <c r="AA311" i="1"/>
  <c r="CE301" i="1"/>
  <c r="CQ293" i="1"/>
  <c r="BX289" i="1"/>
  <c r="BG286" i="1"/>
  <c r="AO283" i="1"/>
  <c r="X280" i="1"/>
  <c r="G277" i="1"/>
  <c r="CS273" i="1"/>
  <c r="CB270" i="1"/>
  <c r="X268" i="1"/>
  <c r="CN265" i="1"/>
  <c r="AZ263" i="1"/>
  <c r="L261" i="1"/>
  <c r="CB258" i="1"/>
  <c r="AN256" i="1"/>
  <c r="DD253" i="1"/>
  <c r="BP251" i="1"/>
  <c r="AB249" i="1"/>
  <c r="CR246" i="1"/>
  <c r="BD244" i="1"/>
  <c r="P242" i="1"/>
  <c r="CF239" i="1"/>
  <c r="AR237" i="1"/>
  <c r="DH234" i="1"/>
  <c r="BT232" i="1"/>
  <c r="AF230" i="1"/>
  <c r="CV227" i="1"/>
  <c r="BH225" i="1"/>
  <c r="T223" i="1"/>
  <c r="CJ220" i="1"/>
  <c r="AK218" i="1"/>
  <c r="DA215" i="1"/>
  <c r="BM213" i="1"/>
  <c r="Y211" i="1"/>
  <c r="CO208" i="1"/>
  <c r="BA206" i="1"/>
  <c r="M204" i="1"/>
  <c r="CC201" i="1"/>
  <c r="AO199" i="1"/>
  <c r="DE196" i="1"/>
  <c r="BQ194" i="1"/>
  <c r="AC192" i="1"/>
  <c r="CS189" i="1"/>
  <c r="BE187" i="1"/>
  <c r="Q185" i="1"/>
  <c r="CG182" i="1"/>
  <c r="AS180" i="1"/>
  <c r="DI177" i="1"/>
  <c r="BU175" i="1"/>
  <c r="AG173" i="1"/>
  <c r="CW170" i="1"/>
  <c r="BI168" i="1"/>
  <c r="U166" i="1"/>
  <c r="CK163" i="1"/>
  <c r="AW161" i="1"/>
  <c r="I159" i="1"/>
  <c r="BY156" i="1"/>
  <c r="AK154" i="1"/>
  <c r="DA151" i="1"/>
  <c r="BM149" i="1"/>
  <c r="Y147" i="1"/>
  <c r="CO144" i="1"/>
  <c r="AF218" i="1"/>
  <c r="CV215" i="1"/>
  <c r="BH213" i="1"/>
  <c r="T211" i="1"/>
  <c r="CJ208" i="1"/>
  <c r="BM287" i="1"/>
  <c r="W283" i="1"/>
  <c r="DI279" i="1"/>
  <c r="CR276" i="1"/>
  <c r="CA273" i="1"/>
  <c r="BI270" i="1"/>
  <c r="J268" i="1"/>
  <c r="BZ265" i="1"/>
  <c r="AL263" i="1"/>
  <c r="DB260" i="1"/>
  <c r="BN258" i="1"/>
  <c r="Z256" i="1"/>
  <c r="CP253" i="1"/>
  <c r="BB251" i="1"/>
  <c r="N249" i="1"/>
  <c r="CD246" i="1"/>
  <c r="AP244" i="1"/>
  <c r="DF241" i="1"/>
  <c r="BR239" i="1"/>
  <c r="AD237" i="1"/>
  <c r="CT234" i="1"/>
  <c r="BF232" i="1"/>
  <c r="R230" i="1"/>
  <c r="CH227" i="1"/>
  <c r="AT225" i="1"/>
  <c r="F223" i="1"/>
  <c r="BV220" i="1"/>
  <c r="DG319" i="1"/>
  <c r="BG310" i="1"/>
  <c r="G301" i="1"/>
  <c r="BE293" i="1"/>
  <c r="AY289" i="1"/>
  <c r="AG286" i="1"/>
  <c r="P283" i="1"/>
  <c r="DC279" i="1"/>
  <c r="CK276" i="1"/>
  <c r="BT273" i="1"/>
  <c r="BC270" i="1"/>
  <c r="DI267" i="1"/>
  <c r="BU265" i="1"/>
  <c r="AG263" i="1"/>
  <c r="CW260" i="1"/>
  <c r="BI258" i="1"/>
  <c r="U256" i="1"/>
  <c r="CK253" i="1"/>
  <c r="AW251" i="1"/>
  <c r="I249" i="1"/>
  <c r="BY246" i="1"/>
  <c r="AK244" i="1"/>
  <c r="DA241" i="1"/>
  <c r="BM239" i="1"/>
  <c r="Y237" i="1"/>
  <c r="CO234" i="1"/>
  <c r="BA232" i="1"/>
  <c r="M230" i="1"/>
  <c r="CC227" i="1"/>
  <c r="AO225" i="1"/>
  <c r="DE222" i="1"/>
  <c r="BQ220" i="1"/>
  <c r="DC319" i="1"/>
  <c r="BC310" i="1"/>
  <c r="DG300" i="1"/>
  <c r="BC293" i="1"/>
  <c r="AW289" i="1"/>
  <c r="AF286" i="1"/>
  <c r="O283" i="1"/>
  <c r="DA279" i="1"/>
  <c r="CJ276" i="1"/>
  <c r="BS273" i="1"/>
  <c r="BA270" i="1"/>
  <c r="DH267" i="1"/>
  <c r="BT265" i="1"/>
  <c r="AF263" i="1"/>
  <c r="CV260" i="1"/>
  <c r="BH258" i="1"/>
  <c r="T256" i="1"/>
  <c r="CJ253" i="1"/>
  <c r="AV251" i="1"/>
  <c r="H249" i="1"/>
  <c r="BX246" i="1"/>
  <c r="AJ244" i="1"/>
  <c r="CZ241" i="1"/>
  <c r="BL239" i="1"/>
  <c r="X237" i="1"/>
  <c r="CN234" i="1"/>
  <c r="AZ232" i="1"/>
  <c r="L230" i="1"/>
  <c r="CB227" i="1"/>
  <c r="AN225" i="1"/>
  <c r="DD222" i="1"/>
  <c r="BP220" i="1"/>
  <c r="Q218" i="1"/>
  <c r="CG215" i="1"/>
  <c r="AS213" i="1"/>
  <c r="DI210" i="1"/>
  <c r="BU208" i="1"/>
  <c r="AG206" i="1"/>
  <c r="CW203" i="1"/>
  <c r="BI201" i="1"/>
  <c r="U199" i="1"/>
  <c r="CK196" i="1"/>
  <c r="AW194" i="1"/>
  <c r="I192" i="1"/>
  <c r="BY189" i="1"/>
  <c r="AK187" i="1"/>
  <c r="DA184" i="1"/>
  <c r="BM182" i="1"/>
  <c r="Y180" i="1"/>
  <c r="CO177" i="1"/>
  <c r="BA175" i="1"/>
  <c r="M173" i="1"/>
  <c r="CC170" i="1"/>
  <c r="AO168" i="1"/>
  <c r="DE165" i="1"/>
  <c r="BQ163" i="1"/>
  <c r="AC161" i="1"/>
  <c r="CS158" i="1"/>
  <c r="BE156" i="1"/>
  <c r="Q154" i="1"/>
  <c r="CG151" i="1"/>
  <c r="AS149" i="1"/>
  <c r="DI146" i="1"/>
  <c r="BU144" i="1"/>
  <c r="L218" i="1"/>
  <c r="CB215" i="1"/>
  <c r="AN213" i="1"/>
  <c r="DD210" i="1"/>
  <c r="BP208" i="1"/>
  <c r="X286" i="1"/>
  <c r="CE282" i="1"/>
  <c r="BM279" i="1"/>
  <c r="AV276" i="1"/>
  <c r="AE273" i="1"/>
  <c r="N270" i="1"/>
  <c r="CD267" i="1"/>
  <c r="AP265" i="1"/>
  <c r="DF262" i="1"/>
  <c r="BR260" i="1"/>
  <c r="AD258" i="1"/>
  <c r="CT255" i="1"/>
  <c r="BF253" i="1"/>
  <c r="R251" i="1"/>
  <c r="CH248" i="1"/>
  <c r="AT246" i="1"/>
  <c r="F244" i="1"/>
  <c r="BV241" i="1"/>
  <c r="AH239" i="1"/>
  <c r="CX236" i="1"/>
  <c r="BJ234" i="1"/>
  <c r="V232" i="1"/>
  <c r="CL229" i="1"/>
  <c r="AX227" i="1"/>
  <c r="J225" i="1"/>
  <c r="BZ222" i="1"/>
  <c r="AL220" i="1"/>
  <c r="BW318" i="1"/>
  <c r="W309" i="1"/>
  <c r="CA299" i="1"/>
  <c r="CO292" i="1"/>
  <c r="DG288" i="1"/>
  <c r="CO285" i="1"/>
  <c r="BX282" i="1"/>
  <c r="BG279" i="1"/>
  <c r="AO276" i="1"/>
  <c r="X273" i="1"/>
  <c r="I270" i="1"/>
  <c r="BY267" i="1"/>
  <c r="AK265" i="1"/>
  <c r="DA262" i="1"/>
  <c r="BM260" i="1"/>
  <c r="Y258" i="1"/>
  <c r="CO255" i="1"/>
  <c r="BA253" i="1"/>
  <c r="M251" i="1"/>
  <c r="CC248" i="1"/>
  <c r="AO246" i="1"/>
  <c r="DE243" i="1"/>
  <c r="BQ241" i="1"/>
  <c r="AC239" i="1"/>
  <c r="CS236" i="1"/>
  <c r="BE234" i="1"/>
  <c r="Q232" i="1"/>
  <c r="CG229" i="1"/>
  <c r="AS227" i="1"/>
  <c r="DI224" i="1"/>
  <c r="BU222" i="1"/>
  <c r="AG220" i="1"/>
  <c r="BS318" i="1"/>
  <c r="S309" i="1"/>
  <c r="BW299" i="1"/>
  <c r="CM292" i="1"/>
  <c r="DE288" i="1"/>
  <c r="CN285" i="1"/>
  <c r="BW282" i="1"/>
  <c r="BE279" i="1"/>
  <c r="AN276" i="1"/>
  <c r="W273" i="1"/>
  <c r="H270" i="1"/>
  <c r="BX267" i="1"/>
  <c r="AJ265" i="1"/>
  <c r="CZ262" i="1"/>
  <c r="BL260" i="1"/>
  <c r="X258" i="1"/>
  <c r="CN255" i="1"/>
  <c r="AZ253" i="1"/>
  <c r="L251" i="1"/>
  <c r="CB248" i="1"/>
  <c r="AN246" i="1"/>
  <c r="DD243" i="1"/>
  <c r="BP241" i="1"/>
  <c r="AB239" i="1"/>
  <c r="CR236" i="1"/>
  <c r="BD234" i="1"/>
  <c r="P232" i="1"/>
  <c r="CF229" i="1"/>
  <c r="AR227" i="1"/>
  <c r="DH224" i="1"/>
  <c r="BT222" i="1"/>
  <c r="AF220" i="1"/>
  <c r="CK217" i="1"/>
  <c r="AW215" i="1"/>
  <c r="I213" i="1"/>
  <c r="BY210" i="1"/>
  <c r="AK208" i="1"/>
  <c r="DA205" i="1"/>
  <c r="BM203" i="1"/>
  <c r="Y201" i="1"/>
  <c r="CO198" i="1"/>
  <c r="BA196" i="1"/>
  <c r="M194" i="1"/>
  <c r="CC191" i="1"/>
  <c r="AO189" i="1"/>
  <c r="DE186" i="1"/>
  <c r="BQ184" i="1"/>
  <c r="AC182" i="1"/>
  <c r="CS179" i="1"/>
  <c r="BE177" i="1"/>
  <c r="Q175" i="1"/>
  <c r="CG172" i="1"/>
  <c r="AS170" i="1"/>
  <c r="DI167" i="1"/>
  <c r="BU165" i="1"/>
  <c r="AG163" i="1"/>
  <c r="CW160" i="1"/>
  <c r="BI158" i="1"/>
  <c r="U156" i="1"/>
  <c r="CK153" i="1"/>
  <c r="AW151" i="1"/>
  <c r="I149" i="1"/>
  <c r="BY146" i="1"/>
  <c r="AK144" i="1"/>
  <c r="CF217" i="1"/>
  <c r="AR215" i="1"/>
  <c r="DH212" i="1"/>
  <c r="BT210" i="1"/>
  <c r="AF208" i="1"/>
  <c r="CK285" i="1"/>
  <c r="BD282" i="1"/>
  <c r="AM279" i="1"/>
  <c r="U276" i="1"/>
  <c r="DH272" i="1"/>
  <c r="CX269" i="1"/>
  <c r="BJ267" i="1"/>
  <c r="V265" i="1"/>
  <c r="CL262" i="1"/>
  <c r="AX260" i="1"/>
  <c r="J258" i="1"/>
  <c r="BZ255" i="1"/>
  <c r="AL253" i="1"/>
  <c r="DB250" i="1"/>
  <c r="BN248" i="1"/>
  <c r="Z246" i="1"/>
  <c r="CP243" i="1"/>
  <c r="BB241" i="1"/>
  <c r="N239" i="1"/>
  <c r="CD236" i="1"/>
  <c r="AP234" i="1"/>
  <c r="DF231" i="1"/>
  <c r="BR229" i="1"/>
  <c r="AD227" i="1"/>
  <c r="CT224" i="1"/>
  <c r="BF222" i="1"/>
  <c r="R220" i="1"/>
  <c r="CY317" i="1"/>
  <c r="AY308" i="1"/>
  <c r="DC298" i="1"/>
  <c r="BA292" i="1"/>
  <c r="CF288" i="1"/>
  <c r="BO285" i="1"/>
  <c r="AW282" i="1"/>
  <c r="AF279" i="1"/>
  <c r="O276" i="1"/>
  <c r="DA272" i="1"/>
  <c r="CS269" i="1"/>
  <c r="BE267" i="1"/>
  <c r="Q265" i="1"/>
  <c r="CG262" i="1"/>
  <c r="AS260" i="1"/>
  <c r="DI257" i="1"/>
  <c r="BU255" i="1"/>
  <c r="AG253" i="1"/>
  <c r="CW250" i="1"/>
  <c r="BI248" i="1"/>
  <c r="U246" i="1"/>
  <c r="CK243" i="1"/>
  <c r="AW241" i="1"/>
  <c r="I239" i="1"/>
  <c r="BY236" i="1"/>
  <c r="AK234" i="1"/>
  <c r="DA231" i="1"/>
  <c r="BM229" i="1"/>
  <c r="Y227" i="1"/>
  <c r="CO224" i="1"/>
  <c r="BA222" i="1"/>
  <c r="M220" i="1"/>
  <c r="CU317" i="1"/>
  <c r="AU308" i="1"/>
  <c r="CY298" i="1"/>
  <c r="AY292" i="1"/>
  <c r="CE288" i="1"/>
  <c r="BM285" i="1"/>
  <c r="AV282" i="1"/>
  <c r="AE279" i="1"/>
  <c r="M276" i="1"/>
  <c r="CZ272" i="1"/>
  <c r="CR269" i="1"/>
  <c r="BD267" i="1"/>
  <c r="P265" i="1"/>
  <c r="CF262" i="1"/>
  <c r="AR260" i="1"/>
  <c r="DH257" i="1"/>
  <c r="BT255" i="1"/>
  <c r="AF253" i="1"/>
  <c r="CV250" i="1"/>
  <c r="BH248" i="1"/>
  <c r="T246" i="1"/>
  <c r="CJ243" i="1"/>
  <c r="AV241" i="1"/>
  <c r="H239" i="1"/>
  <c r="BX236" i="1"/>
  <c r="AJ234" i="1"/>
  <c r="CZ231" i="1"/>
  <c r="BL229" i="1"/>
  <c r="X227" i="1"/>
  <c r="CN224" i="1"/>
  <c r="AZ222" i="1"/>
  <c r="L220" i="1"/>
  <c r="BQ217" i="1"/>
  <c r="AC215" i="1"/>
  <c r="CS212" i="1"/>
  <c r="BE210" i="1"/>
  <c r="Q208" i="1"/>
  <c r="CG205" i="1"/>
  <c r="AS203" i="1"/>
  <c r="DI200" i="1"/>
  <c r="BU198" i="1"/>
  <c r="AG196" i="1"/>
  <c r="CW193" i="1"/>
  <c r="BI191" i="1"/>
  <c r="U189" i="1"/>
  <c r="CK186" i="1"/>
  <c r="AW184" i="1"/>
  <c r="I182" i="1"/>
  <c r="BY179" i="1"/>
  <c r="AK177" i="1"/>
  <c r="DA174" i="1"/>
  <c r="BM172" i="1"/>
  <c r="Y170" i="1"/>
  <c r="CO167" i="1"/>
  <c r="BA165" i="1"/>
  <c r="M163" i="1"/>
  <c r="CC160" i="1"/>
  <c r="AO158" i="1"/>
  <c r="DE155" i="1"/>
  <c r="BQ153" i="1"/>
  <c r="AC151" i="1"/>
  <c r="BY167" i="1"/>
  <c r="BQ161" i="1"/>
  <c r="BE158" i="1"/>
  <c r="AC155" i="1"/>
  <c r="Q152" i="1"/>
  <c r="AK149" i="1"/>
  <c r="DA146" i="1"/>
  <c r="BM144" i="1"/>
  <c r="DH217" i="1"/>
  <c r="BT215" i="1"/>
  <c r="AF213" i="1"/>
  <c r="CV210" i="1"/>
  <c r="BH208" i="1"/>
  <c r="AJ206" i="1"/>
  <c r="CZ203" i="1"/>
  <c r="BL201" i="1"/>
  <c r="X199" i="1"/>
  <c r="CN196" i="1"/>
  <c r="AZ194" i="1"/>
  <c r="L192" i="1"/>
  <c r="CB189" i="1"/>
  <c r="AN187" i="1"/>
  <c r="DD184" i="1"/>
  <c r="BP182" i="1"/>
  <c r="AB180" i="1"/>
  <c r="CR177" i="1"/>
  <c r="BD175" i="1"/>
  <c r="P173" i="1"/>
  <c r="CF170" i="1"/>
  <c r="AR168" i="1"/>
  <c r="DH165" i="1"/>
  <c r="BT163" i="1"/>
  <c r="AF161" i="1"/>
  <c r="CV158" i="1"/>
  <c r="BH156" i="1"/>
  <c r="T154" i="1"/>
  <c r="CJ151" i="1"/>
  <c r="AV149" i="1"/>
  <c r="H147" i="1"/>
  <c r="BX144" i="1"/>
  <c r="O218" i="1"/>
  <c r="CE215" i="1"/>
  <c r="AQ213" i="1"/>
  <c r="DG210" i="1"/>
  <c r="BS208" i="1"/>
  <c r="AE206" i="1"/>
  <c r="CU203" i="1"/>
  <c r="BG201" i="1"/>
  <c r="S199" i="1"/>
  <c r="CI196" i="1"/>
  <c r="AU194" i="1"/>
  <c r="G192" i="1"/>
  <c r="BW189" i="1"/>
  <c r="AI187" i="1"/>
  <c r="CY184" i="1"/>
  <c r="BK182" i="1"/>
  <c r="W180" i="1"/>
  <c r="CM177" i="1"/>
  <c r="AY175" i="1"/>
  <c r="K173" i="1"/>
  <c r="CA170" i="1"/>
  <c r="AM168" i="1"/>
  <c r="DC165" i="1"/>
  <c r="BO163" i="1"/>
  <c r="AA161" i="1"/>
  <c r="CQ158" i="1"/>
  <c r="BC156" i="1"/>
  <c r="O154" i="1"/>
  <c r="CE151" i="1"/>
  <c r="AQ149" i="1"/>
  <c r="DG146" i="1"/>
  <c r="BS144" i="1"/>
  <c r="DF217" i="1"/>
  <c r="BR215" i="1"/>
  <c r="AD213" i="1"/>
  <c r="CT210" i="1"/>
  <c r="BF208" i="1"/>
  <c r="R206" i="1"/>
  <c r="CH203" i="1"/>
  <c r="AT201" i="1"/>
  <c r="F199" i="1"/>
  <c r="BV196" i="1"/>
  <c r="AH194" i="1"/>
  <c r="CX191" i="1"/>
  <c r="BJ189" i="1"/>
  <c r="V187" i="1"/>
  <c r="CL184" i="1"/>
  <c r="AX182" i="1"/>
  <c r="J180" i="1"/>
  <c r="BZ177" i="1"/>
  <c r="AL175" i="1"/>
  <c r="DB172" i="1"/>
  <c r="BN170" i="1"/>
  <c r="Z168" i="1"/>
  <c r="CP165" i="1"/>
  <c r="BB163" i="1"/>
  <c r="N161" i="1"/>
  <c r="CD158" i="1"/>
  <c r="AP156" i="1"/>
  <c r="DF153" i="1"/>
  <c r="BR151" i="1"/>
  <c r="AD149" i="1"/>
  <c r="CT146" i="1"/>
  <c r="BF144" i="1"/>
  <c r="W142" i="1"/>
  <c r="CM139" i="1"/>
  <c r="AY137" i="1"/>
  <c r="K135" i="1"/>
  <c r="CA132" i="1"/>
  <c r="AM130" i="1"/>
  <c r="DC127" i="1"/>
  <c r="BO125" i="1"/>
  <c r="AA123" i="1"/>
  <c r="CQ120" i="1"/>
  <c r="BC118" i="1"/>
  <c r="O116" i="1"/>
  <c r="CE113" i="1"/>
  <c r="AQ111" i="1"/>
  <c r="DG108" i="1"/>
  <c r="BS106" i="1"/>
  <c r="AE104" i="1"/>
  <c r="CU101" i="1"/>
  <c r="BG99" i="1"/>
  <c r="S97" i="1"/>
  <c r="CI94" i="1"/>
  <c r="AU92" i="1"/>
  <c r="G90" i="1"/>
  <c r="BW87" i="1"/>
  <c r="AI85" i="1"/>
  <c r="CY82" i="1"/>
  <c r="BK80" i="1"/>
  <c r="W78" i="1"/>
  <c r="CM75" i="1"/>
  <c r="AY73" i="1"/>
  <c r="K71" i="1"/>
  <c r="CA68" i="1"/>
  <c r="AM66" i="1"/>
  <c r="DC63" i="1"/>
  <c r="BO61" i="1"/>
  <c r="AA59" i="1"/>
  <c r="CQ56" i="1"/>
  <c r="P206" i="1"/>
  <c r="CF203" i="1"/>
  <c r="AR201" i="1"/>
  <c r="DH198" i="1"/>
  <c r="BT196" i="1"/>
  <c r="AF194" i="1"/>
  <c r="CV191" i="1"/>
  <c r="BH189" i="1"/>
  <c r="T187" i="1"/>
  <c r="CJ184" i="1"/>
  <c r="AV182" i="1"/>
  <c r="H180" i="1"/>
  <c r="BX177" i="1"/>
  <c r="AJ175" i="1"/>
  <c r="CZ172" i="1"/>
  <c r="BL170" i="1"/>
  <c r="X168" i="1"/>
  <c r="CN165" i="1"/>
  <c r="AZ163" i="1"/>
  <c r="L161" i="1"/>
  <c r="CB158" i="1"/>
  <c r="AN156" i="1"/>
  <c r="DD153" i="1"/>
  <c r="BP151" i="1"/>
  <c r="AB149" i="1"/>
  <c r="CR146" i="1"/>
  <c r="BD144" i="1"/>
  <c r="CY217" i="1"/>
  <c r="BK215" i="1"/>
  <c r="W213" i="1"/>
  <c r="CM210" i="1"/>
  <c r="AY208" i="1"/>
  <c r="K206" i="1"/>
  <c r="CA203" i="1"/>
  <c r="AM201" i="1"/>
  <c r="DC198" i="1"/>
  <c r="BO196" i="1"/>
  <c r="AA194" i="1"/>
  <c r="CQ191" i="1"/>
  <c r="BC189" i="1"/>
  <c r="O187" i="1"/>
  <c r="CE184" i="1"/>
  <c r="AQ182" i="1"/>
  <c r="DG179" i="1"/>
  <c r="BS177" i="1"/>
  <c r="AE175" i="1"/>
  <c r="CU172" i="1"/>
  <c r="BG170" i="1"/>
  <c r="S168" i="1"/>
  <c r="CI165" i="1"/>
  <c r="AU163" i="1"/>
  <c r="G161" i="1"/>
  <c r="BW158" i="1"/>
  <c r="AI156" i="1"/>
  <c r="CY153" i="1"/>
  <c r="BK151" i="1"/>
  <c r="W149" i="1"/>
  <c r="CM146" i="1"/>
  <c r="AY144" i="1"/>
  <c r="CL217" i="1"/>
  <c r="AX215" i="1"/>
  <c r="J213" i="1"/>
  <c r="BZ210" i="1"/>
  <c r="AL208" i="1"/>
  <c r="DB205" i="1"/>
  <c r="BN203" i="1"/>
  <c r="Z201" i="1"/>
  <c r="CP198" i="1"/>
  <c r="BB196" i="1"/>
  <c r="N194" i="1"/>
  <c r="CD191" i="1"/>
  <c r="AP189" i="1"/>
  <c r="DF186" i="1"/>
  <c r="BR184" i="1"/>
  <c r="AD182" i="1"/>
  <c r="CT179" i="1"/>
  <c r="BF177" i="1"/>
  <c r="R175" i="1"/>
  <c r="CH172" i="1"/>
  <c r="AT170" i="1"/>
  <c r="F168" i="1"/>
  <c r="BV165" i="1"/>
  <c r="AH163" i="1"/>
  <c r="CX160" i="1"/>
  <c r="BJ158" i="1"/>
  <c r="V156" i="1"/>
  <c r="CL153" i="1"/>
  <c r="AX151" i="1"/>
  <c r="J149" i="1"/>
  <c r="BZ146" i="1"/>
  <c r="AL144" i="1"/>
  <c r="DG141" i="1"/>
  <c r="BS139" i="1"/>
  <c r="AE137" i="1"/>
  <c r="CU134" i="1"/>
  <c r="BG132" i="1"/>
  <c r="S130" i="1"/>
  <c r="CI127" i="1"/>
  <c r="AU125" i="1"/>
  <c r="G123" i="1"/>
  <c r="BW120" i="1"/>
  <c r="AI118" i="1"/>
  <c r="CY115" i="1"/>
  <c r="BK113" i="1"/>
  <c r="W111" i="1"/>
  <c r="CM108" i="1"/>
  <c r="AY106" i="1"/>
  <c r="K104" i="1"/>
  <c r="CA101" i="1"/>
  <c r="AM99" i="1"/>
  <c r="DC96" i="1"/>
  <c r="BO94" i="1"/>
  <c r="AA92" i="1"/>
  <c r="CQ89" i="1"/>
  <c r="BX206" i="1"/>
  <c r="AJ204" i="1"/>
  <c r="CZ201" i="1"/>
  <c r="BL199" i="1"/>
  <c r="X197" i="1"/>
  <c r="CN194" i="1"/>
  <c r="AZ192" i="1"/>
  <c r="L190" i="1"/>
  <c r="CB187" i="1"/>
  <c r="AN185" i="1"/>
  <c r="DD182" i="1"/>
  <c r="BP180" i="1"/>
  <c r="AB178" i="1"/>
  <c r="CR175" i="1"/>
  <c r="BD173" i="1"/>
  <c r="P171" i="1"/>
  <c r="CF168" i="1"/>
  <c r="AR166" i="1"/>
  <c r="DH163" i="1"/>
  <c r="BT161" i="1"/>
  <c r="AF159" i="1"/>
  <c r="CV156" i="1"/>
  <c r="BH154" i="1"/>
  <c r="T152" i="1"/>
  <c r="CJ149" i="1"/>
  <c r="AV147" i="1"/>
  <c r="H145" i="1"/>
  <c r="BC218" i="1"/>
  <c r="CJ206" i="1"/>
  <c r="AV204" i="1"/>
  <c r="H202" i="1"/>
  <c r="BX199" i="1"/>
  <c r="AJ197" i="1"/>
  <c r="CZ194" i="1"/>
  <c r="BL192" i="1"/>
  <c r="X190" i="1"/>
  <c r="CN187" i="1"/>
  <c r="AZ185" i="1"/>
  <c r="L183" i="1"/>
  <c r="CB180" i="1"/>
  <c r="AN178" i="1"/>
  <c r="DD175" i="1"/>
  <c r="BP173" i="1"/>
  <c r="AB171" i="1"/>
  <c r="CR168" i="1"/>
  <c r="BD166" i="1"/>
  <c r="P164" i="1"/>
  <c r="CF161" i="1"/>
  <c r="AR159" i="1"/>
  <c r="DH156" i="1"/>
  <c r="BT154" i="1"/>
  <c r="AF152" i="1"/>
  <c r="CV149" i="1"/>
  <c r="BH147" i="1"/>
  <c r="T145" i="1"/>
  <c r="BO218" i="1"/>
  <c r="AA216" i="1"/>
  <c r="CQ213" i="1"/>
  <c r="BC211" i="1"/>
  <c r="O209" i="1"/>
  <c r="CE206" i="1"/>
  <c r="AQ204" i="1"/>
  <c r="DG201" i="1"/>
  <c r="BS199" i="1"/>
  <c r="AE197" i="1"/>
  <c r="CU194" i="1"/>
  <c r="BG192" i="1"/>
  <c r="S190" i="1"/>
  <c r="CI187" i="1"/>
  <c r="AU185" i="1"/>
  <c r="G183" i="1"/>
  <c r="BW180" i="1"/>
  <c r="AI178" i="1"/>
  <c r="CY175" i="1"/>
  <c r="BK173" i="1"/>
  <c r="W171" i="1"/>
  <c r="CM168" i="1"/>
  <c r="AY166" i="1"/>
  <c r="K164" i="1"/>
  <c r="CA161" i="1"/>
  <c r="AM159" i="1"/>
  <c r="DC156" i="1"/>
  <c r="BO154" i="1"/>
  <c r="AA152" i="1"/>
  <c r="CQ149" i="1"/>
  <c r="BC147" i="1"/>
  <c r="O145" i="1"/>
  <c r="BB218" i="1"/>
  <c r="N216" i="1"/>
  <c r="CD213" i="1"/>
  <c r="AP211" i="1"/>
  <c r="DF208" i="1"/>
  <c r="BR206" i="1"/>
  <c r="AD204" i="1"/>
  <c r="CT201" i="1"/>
  <c r="BF199" i="1"/>
  <c r="R197" i="1"/>
  <c r="CH194" i="1"/>
  <c r="AT192" i="1"/>
  <c r="F190" i="1"/>
  <c r="BV187" i="1"/>
  <c r="AH185" i="1"/>
  <c r="CX182" i="1"/>
  <c r="BJ180" i="1"/>
  <c r="V178" i="1"/>
  <c r="CL175" i="1"/>
  <c r="AX173" i="1"/>
  <c r="J171" i="1"/>
  <c r="BZ168" i="1"/>
  <c r="AL166" i="1"/>
  <c r="DB163" i="1"/>
  <c r="BN161" i="1"/>
  <c r="Z159" i="1"/>
  <c r="CP156" i="1"/>
  <c r="BB154" i="1"/>
  <c r="N152" i="1"/>
  <c r="CD149" i="1"/>
  <c r="AP147" i="1"/>
  <c r="DF144" i="1"/>
  <c r="BW142" i="1"/>
  <c r="AI140" i="1"/>
  <c r="CY137" i="1"/>
  <c r="BK135" i="1"/>
  <c r="W133" i="1"/>
  <c r="CM130" i="1"/>
  <c r="AY128" i="1"/>
  <c r="K126" i="1"/>
  <c r="CA123" i="1"/>
  <c r="AM121" i="1"/>
  <c r="DC118" i="1"/>
  <c r="BO116" i="1"/>
  <c r="AA114" i="1"/>
  <c r="CQ111" i="1"/>
  <c r="BC109" i="1"/>
  <c r="O107" i="1"/>
  <c r="CE104" i="1"/>
  <c r="AQ102" i="1"/>
  <c r="DG99" i="1"/>
  <c r="BS97" i="1"/>
  <c r="AE95" i="1"/>
  <c r="CU92" i="1"/>
  <c r="BG90" i="1"/>
  <c r="S88" i="1"/>
  <c r="CI85" i="1"/>
  <c r="CI210" i="1"/>
  <c r="AI201" i="1"/>
  <c r="CM191" i="1"/>
  <c r="AM182" i="1"/>
  <c r="CQ172" i="1"/>
  <c r="AQ163" i="1"/>
  <c r="CU153" i="1"/>
  <c r="AU144" i="1"/>
  <c r="BV210" i="1"/>
  <c r="V201" i="1"/>
  <c r="BZ191" i="1"/>
  <c r="Z182" i="1"/>
  <c r="CD172" i="1"/>
  <c r="AD163" i="1"/>
  <c r="CH153" i="1"/>
  <c r="AH144" i="1"/>
  <c r="CQ134" i="1"/>
  <c r="AQ125" i="1"/>
  <c r="CU115" i="1"/>
  <c r="AU106" i="1"/>
  <c r="CY96" i="1"/>
  <c r="BO87" i="1"/>
  <c r="BC83" i="1"/>
  <c r="AM80" i="1"/>
  <c r="W77" i="1"/>
  <c r="DG73" i="1"/>
  <c r="CQ70" i="1"/>
  <c r="CA67" i="1"/>
  <c r="BG64" i="1"/>
  <c r="AQ61" i="1"/>
  <c r="AA58" i="1"/>
  <c r="O55" i="1"/>
  <c r="CE52" i="1"/>
  <c r="AQ50" i="1"/>
  <c r="DG47" i="1"/>
  <c r="BS45" i="1"/>
  <c r="AE43" i="1"/>
  <c r="CU40" i="1"/>
  <c r="BG38" i="1"/>
  <c r="S36" i="1"/>
  <c r="CI33" i="1"/>
  <c r="AU31" i="1"/>
  <c r="G29" i="1"/>
  <c r="BW26" i="1"/>
  <c r="AI24" i="1"/>
  <c r="CY21" i="1"/>
  <c r="BK19" i="1"/>
  <c r="W17" i="1"/>
  <c r="CM14" i="1"/>
  <c r="AY12" i="1"/>
  <c r="K10" i="1"/>
  <c r="CA7" i="1"/>
  <c r="AM5" i="1"/>
  <c r="CT143" i="1"/>
  <c r="BF141" i="1"/>
  <c r="R139" i="1"/>
  <c r="CH136" i="1"/>
  <c r="AT134" i="1"/>
  <c r="F132" i="1"/>
  <c r="BV129" i="1"/>
  <c r="AH127" i="1"/>
  <c r="CX124" i="1"/>
  <c r="BJ122" i="1"/>
  <c r="V120" i="1"/>
  <c r="CL117" i="1"/>
  <c r="AX115" i="1"/>
  <c r="J113" i="1"/>
  <c r="BZ110" i="1"/>
  <c r="AL108" i="1"/>
  <c r="DB105" i="1"/>
  <c r="BN103" i="1"/>
  <c r="Z101" i="1"/>
  <c r="DE257" i="1"/>
  <c r="BQ255" i="1"/>
  <c r="AC253" i="1"/>
  <c r="CS250" i="1"/>
  <c r="BE248" i="1"/>
  <c r="Q246" i="1"/>
  <c r="CG243" i="1"/>
  <c r="AS241" i="1"/>
  <c r="DI238" i="1"/>
  <c r="BU236" i="1"/>
  <c r="AG234" i="1"/>
  <c r="CW231" i="1"/>
  <c r="BI229" i="1"/>
  <c r="U227" i="1"/>
  <c r="CK224" i="1"/>
  <c r="AW222" i="1"/>
  <c r="I220" i="1"/>
  <c r="CE317" i="1"/>
  <c r="AE308" i="1"/>
  <c r="CI298" i="1"/>
  <c r="AQ292" i="1"/>
  <c r="BY288" i="1"/>
  <c r="BH285" i="1"/>
  <c r="AQ282" i="1"/>
  <c r="Y279" i="1"/>
  <c r="H276" i="1"/>
  <c r="CU272" i="1"/>
  <c r="CN269" i="1"/>
  <c r="AZ267" i="1"/>
  <c r="L265" i="1"/>
  <c r="CB262" i="1"/>
  <c r="AN260" i="1"/>
  <c r="DD257" i="1"/>
  <c r="BP255" i="1"/>
  <c r="AB253" i="1"/>
  <c r="CR250" i="1"/>
  <c r="BD248" i="1"/>
  <c r="P246" i="1"/>
  <c r="CF243" i="1"/>
  <c r="AR241" i="1"/>
  <c r="DH238" i="1"/>
  <c r="BT236" i="1"/>
  <c r="AF234" i="1"/>
  <c r="CV231" i="1"/>
  <c r="BH229" i="1"/>
  <c r="T227" i="1"/>
  <c r="CJ224" i="1"/>
  <c r="AV222" i="1"/>
  <c r="H220" i="1"/>
  <c r="BM217" i="1"/>
  <c r="Y215" i="1"/>
  <c r="CO212" i="1"/>
  <c r="BA210" i="1"/>
  <c r="M208" i="1"/>
  <c r="CC205" i="1"/>
  <c r="AO203" i="1"/>
  <c r="DE200" i="1"/>
  <c r="BQ198" i="1"/>
  <c r="AC196" i="1"/>
  <c r="CS193" i="1"/>
  <c r="BE191" i="1"/>
  <c r="Q189" i="1"/>
  <c r="CG186" i="1"/>
  <c r="AS184" i="1"/>
  <c r="DI181" i="1"/>
  <c r="BU179" i="1"/>
  <c r="AG177" i="1"/>
  <c r="CW174" i="1"/>
  <c r="BI172" i="1"/>
  <c r="U170" i="1"/>
  <c r="CK167" i="1"/>
  <c r="AW165" i="1"/>
  <c r="I163" i="1"/>
  <c r="BY160" i="1"/>
  <c r="AK158" i="1"/>
  <c r="DA155" i="1"/>
  <c r="BM153" i="1"/>
  <c r="Y151" i="1"/>
  <c r="CO148" i="1"/>
  <c r="BA146" i="1"/>
  <c r="M144" i="1"/>
  <c r="BH217" i="1"/>
  <c r="T215" i="1"/>
  <c r="CJ212" i="1"/>
  <c r="AV210" i="1"/>
  <c r="H208" i="1"/>
  <c r="AU285" i="1"/>
  <c r="X282" i="1"/>
  <c r="G279" i="1"/>
  <c r="CS275" i="1"/>
  <c r="CB272" i="1"/>
  <c r="BZ269" i="1"/>
  <c r="AL267" i="1"/>
  <c r="DB264" i="1"/>
  <c r="BN262" i="1"/>
  <c r="Z260" i="1"/>
  <c r="CP257" i="1"/>
  <c r="BB255" i="1"/>
  <c r="N253" i="1"/>
  <c r="CD250" i="1"/>
  <c r="AP248" i="1"/>
  <c r="DF245" i="1"/>
  <c r="BR243" i="1"/>
  <c r="AD241" i="1"/>
  <c r="CT238" i="1"/>
  <c r="BF236" i="1"/>
  <c r="R234" i="1"/>
  <c r="CH231" i="1"/>
  <c r="AT229" i="1"/>
  <c r="F227" i="1"/>
  <c r="BV224" i="1"/>
  <c r="AH222" i="1"/>
  <c r="CX219" i="1"/>
  <c r="G317" i="1"/>
  <c r="BK307" i="1"/>
  <c r="K298" i="1"/>
  <c r="DI291" i="1"/>
  <c r="AZ288" i="1"/>
  <c r="AI285" i="1"/>
  <c r="Q282" i="1"/>
  <c r="DD278" i="1"/>
  <c r="CM275" i="1"/>
  <c r="BU272" i="1"/>
  <c r="BU269" i="1"/>
  <c r="AG267" i="1"/>
  <c r="CW264" i="1"/>
  <c r="BI262" i="1"/>
  <c r="U260" i="1"/>
  <c r="CK257" i="1"/>
  <c r="AW255" i="1"/>
  <c r="I253" i="1"/>
  <c r="BY250" i="1"/>
  <c r="AK248" i="1"/>
  <c r="DA245" i="1"/>
  <c r="BM243" i="1"/>
  <c r="Y241" i="1"/>
  <c r="CO238" i="1"/>
  <c r="BA236" i="1"/>
  <c r="M234" i="1"/>
  <c r="CC231" i="1"/>
  <c r="AO229" i="1"/>
  <c r="DE226" i="1"/>
  <c r="BQ224" i="1"/>
  <c r="AC222" i="1"/>
  <c r="CS219" i="1"/>
  <c r="DG316" i="1"/>
  <c r="BG307" i="1"/>
  <c r="G298" i="1"/>
  <c r="DG291" i="1"/>
  <c r="AY288" i="1"/>
  <c r="AG285" i="1"/>
  <c r="P282" i="1"/>
  <c r="DC278" i="1"/>
  <c r="CK275" i="1"/>
  <c r="BT272" i="1"/>
  <c r="BT269" i="1"/>
  <c r="AF267" i="1"/>
  <c r="CV264" i="1"/>
  <c r="BH262" i="1"/>
  <c r="T260" i="1"/>
  <c r="CJ257" i="1"/>
  <c r="AV255" i="1"/>
  <c r="H253" i="1"/>
  <c r="BX250" i="1"/>
  <c r="AJ248" i="1"/>
  <c r="CZ245" i="1"/>
  <c r="BL243" i="1"/>
  <c r="X241" i="1"/>
  <c r="CN238" i="1"/>
  <c r="AZ236" i="1"/>
  <c r="L234" i="1"/>
  <c r="CB231" i="1"/>
  <c r="AN229" i="1"/>
  <c r="DD226" i="1"/>
  <c r="BP224" i="1"/>
  <c r="AB222" i="1"/>
  <c r="CK219" i="1"/>
  <c r="AS217" i="1"/>
  <c r="DI214" i="1"/>
  <c r="BU212" i="1"/>
  <c r="AG210" i="1"/>
  <c r="CW207" i="1"/>
  <c r="BI205" i="1"/>
  <c r="U203" i="1"/>
  <c r="CK200" i="1"/>
  <c r="AW198" i="1"/>
  <c r="I196" i="1"/>
  <c r="BY193" i="1"/>
  <c r="AK191" i="1"/>
  <c r="DA188" i="1"/>
  <c r="BM186" i="1"/>
  <c r="Y184" i="1"/>
  <c r="CO181" i="1"/>
  <c r="BA179" i="1"/>
  <c r="M177" i="1"/>
  <c r="CC174" i="1"/>
  <c r="AO172" i="1"/>
  <c r="DE169" i="1"/>
  <c r="BQ167" i="1"/>
  <c r="AC165" i="1"/>
  <c r="CS162" i="1"/>
  <c r="BE160" i="1"/>
  <c r="Q158" i="1"/>
  <c r="CG155" i="1"/>
  <c r="AS153" i="1"/>
  <c r="DI150" i="1"/>
  <c r="BU148" i="1"/>
  <c r="AG146" i="1"/>
  <c r="CD219" i="1"/>
  <c r="AN217" i="1"/>
  <c r="DD214" i="1"/>
  <c r="BP212" i="1"/>
  <c r="AB210" i="1"/>
  <c r="CR207" i="1"/>
  <c r="CW284" i="1"/>
  <c r="CF281" i="1"/>
  <c r="BO278" i="1"/>
  <c r="AW275" i="1"/>
  <c r="AF272" i="1"/>
  <c r="AP269" i="1"/>
  <c r="DF266" i="1"/>
  <c r="BR264" i="1"/>
  <c r="AD262" i="1"/>
  <c r="CT259" i="1"/>
  <c r="BF257" i="1"/>
  <c r="R255" i="1"/>
  <c r="CH252" i="1"/>
  <c r="AT250" i="1"/>
  <c r="F248" i="1"/>
  <c r="BV245" i="1"/>
  <c r="AH243" i="1"/>
  <c r="CX240" i="1"/>
  <c r="BJ238" i="1"/>
  <c r="V236" i="1"/>
  <c r="CL233" i="1"/>
  <c r="AX231" i="1"/>
  <c r="J229" i="1"/>
  <c r="BZ226" i="1"/>
  <c r="AL224" i="1"/>
  <c r="DB221" i="1"/>
  <c r="W325" i="1"/>
  <c r="CA315" i="1"/>
  <c r="AA306" i="1"/>
  <c r="CE296" i="1"/>
  <c r="AO291" i="1"/>
  <c r="DH287" i="1"/>
  <c r="CQ284" i="1"/>
  <c r="BY281" i="1"/>
  <c r="BH278" i="1"/>
  <c r="AQ275" i="1"/>
  <c r="Y272" i="1"/>
  <c r="AK269" i="1"/>
  <c r="DA266" i="1"/>
  <c r="BM264" i="1"/>
  <c r="Y262" i="1"/>
  <c r="CO259" i="1"/>
  <c r="BA257" i="1"/>
  <c r="M255" i="1"/>
  <c r="CC252" i="1"/>
  <c r="AO250" i="1"/>
  <c r="DE247" i="1"/>
  <c r="BQ245" i="1"/>
  <c r="AC243" i="1"/>
  <c r="CS240" i="1"/>
  <c r="BE238" i="1"/>
  <c r="Q236" i="1"/>
  <c r="CG233" i="1"/>
  <c r="AS231" i="1"/>
  <c r="DI228" i="1"/>
  <c r="BU226" i="1"/>
  <c r="AG224" i="1"/>
  <c r="CW221" i="1"/>
  <c r="S325" i="1"/>
  <c r="BW315" i="1"/>
  <c r="W306" i="1"/>
  <c r="CA296" i="1"/>
  <c r="AM291" i="1"/>
  <c r="DG287" i="1"/>
  <c r="CO284" i="1"/>
  <c r="BX281" i="1"/>
  <c r="BG278" i="1"/>
  <c r="AO275" i="1"/>
  <c r="X272" i="1"/>
  <c r="AJ269" i="1"/>
  <c r="CZ266" i="1"/>
  <c r="BL264" i="1"/>
  <c r="X262" i="1"/>
  <c r="CN259" i="1"/>
  <c r="AZ257" i="1"/>
  <c r="L255" i="1"/>
  <c r="CB252" i="1"/>
  <c r="AN250" i="1"/>
  <c r="DD247" i="1"/>
  <c r="BP245" i="1"/>
  <c r="AB243" i="1"/>
  <c r="CR240" i="1"/>
  <c r="BD238" i="1"/>
  <c r="P236" i="1"/>
  <c r="CF233" i="1"/>
  <c r="AR231" i="1"/>
  <c r="DH228" i="1"/>
  <c r="BT226" i="1"/>
  <c r="AF224" i="1"/>
  <c r="CV221" i="1"/>
  <c r="AW219" i="1"/>
  <c r="I217" i="1"/>
  <c r="BY214" i="1"/>
  <c r="AK212" i="1"/>
  <c r="DA209" i="1"/>
  <c r="BM207" i="1"/>
  <c r="Y205" i="1"/>
  <c r="CO202" i="1"/>
  <c r="BA200" i="1"/>
  <c r="M198" i="1"/>
  <c r="CC195" i="1"/>
  <c r="AO193" i="1"/>
  <c r="DE190" i="1"/>
  <c r="BQ188" i="1"/>
  <c r="AC186" i="1"/>
  <c r="CS183" i="1"/>
  <c r="BE181" i="1"/>
  <c r="Q179" i="1"/>
  <c r="CG176" i="1"/>
  <c r="AS174" i="1"/>
  <c r="DI171" i="1"/>
  <c r="BU169" i="1"/>
  <c r="AG167" i="1"/>
  <c r="CW164" i="1"/>
  <c r="BI162" i="1"/>
  <c r="U160" i="1"/>
  <c r="CK157" i="1"/>
  <c r="AW155" i="1"/>
  <c r="I153" i="1"/>
  <c r="BY150" i="1"/>
  <c r="AK148" i="1"/>
  <c r="DA145" i="1"/>
  <c r="AR219" i="1"/>
  <c r="DH216" i="1"/>
  <c r="BT214" i="1"/>
  <c r="AF212" i="1"/>
  <c r="CV209" i="1"/>
  <c r="BH207" i="1"/>
  <c r="BW284" i="1"/>
  <c r="BE281" i="1"/>
  <c r="AN278" i="1"/>
  <c r="W275" i="1"/>
  <c r="DI271" i="1"/>
  <c r="V269" i="1"/>
  <c r="CL266" i="1"/>
  <c r="AX264" i="1"/>
  <c r="J262" i="1"/>
  <c r="BZ259" i="1"/>
  <c r="AL257" i="1"/>
  <c r="DB254" i="1"/>
  <c r="BN252" i="1"/>
  <c r="Z250" i="1"/>
  <c r="CP247" i="1"/>
  <c r="BB245" i="1"/>
  <c r="N243" i="1"/>
  <c r="CD240" i="1"/>
  <c r="AP238" i="1"/>
  <c r="DF235" i="1"/>
  <c r="BR233" i="1"/>
  <c r="AD231" i="1"/>
  <c r="CT228" i="1"/>
  <c r="BF226" i="1"/>
  <c r="R224" i="1"/>
  <c r="CH221" i="1"/>
  <c r="AY324" i="1"/>
  <c r="DC314" i="1"/>
  <c r="BC305" i="1"/>
  <c r="DG295" i="1"/>
  <c r="DE290" i="1"/>
  <c r="CG287" i="1"/>
  <c r="BP284" i="1"/>
  <c r="AY281" i="1"/>
  <c r="AG278" i="1"/>
  <c r="P275" i="1"/>
  <c r="DC271" i="1"/>
  <c r="Q269" i="1"/>
  <c r="CG266" i="1"/>
  <c r="AS264" i="1"/>
  <c r="DI261" i="1"/>
  <c r="BU259" i="1"/>
  <c r="AG257" i="1"/>
  <c r="CW254" i="1"/>
  <c r="BI252" i="1"/>
  <c r="U250" i="1"/>
  <c r="CK247" i="1"/>
  <c r="AW245" i="1"/>
  <c r="I243" i="1"/>
  <c r="BY240" i="1"/>
  <c r="AK238" i="1"/>
  <c r="DA235" i="1"/>
  <c r="BM233" i="1"/>
  <c r="Y231" i="1"/>
  <c r="CO228" i="1"/>
  <c r="BA226" i="1"/>
  <c r="M224" i="1"/>
  <c r="CC221" i="1"/>
  <c r="AU324" i="1"/>
  <c r="CY314" i="1"/>
  <c r="AY305" i="1"/>
  <c r="DC295" i="1"/>
  <c r="DC290" i="1"/>
  <c r="CF287" i="1"/>
  <c r="BO284" i="1"/>
  <c r="AW281" i="1"/>
  <c r="AF278" i="1"/>
  <c r="O275" i="1"/>
  <c r="DA271" i="1"/>
  <c r="P269" i="1"/>
  <c r="CF266" i="1"/>
  <c r="AR264" i="1"/>
  <c r="DH261" i="1"/>
  <c r="BT259" i="1"/>
  <c r="AF257" i="1"/>
  <c r="CV254" i="1"/>
  <c r="BH252" i="1"/>
  <c r="T250" i="1"/>
  <c r="CJ247" i="1"/>
  <c r="AV245" i="1"/>
  <c r="H243" i="1"/>
  <c r="BX240" i="1"/>
  <c r="AJ238" i="1"/>
  <c r="CZ235" i="1"/>
  <c r="BL233" i="1"/>
  <c r="X231" i="1"/>
  <c r="CN228" i="1"/>
  <c r="AZ226" i="1"/>
  <c r="L224" i="1"/>
  <c r="CB221" i="1"/>
  <c r="AC219" i="1"/>
  <c r="CS216" i="1"/>
  <c r="BE214" i="1"/>
  <c r="Q212" i="1"/>
  <c r="CG209" i="1"/>
  <c r="AS207" i="1"/>
  <c r="DI204" i="1"/>
  <c r="BU202" i="1"/>
  <c r="AG200" i="1"/>
  <c r="CW197" i="1"/>
  <c r="BI195" i="1"/>
  <c r="U193" i="1"/>
  <c r="CK190" i="1"/>
  <c r="AW188" i="1"/>
  <c r="I186" i="1"/>
  <c r="BY183" i="1"/>
  <c r="AK181" i="1"/>
  <c r="DA178" i="1"/>
  <c r="BM176" i="1"/>
  <c r="Y174" i="1"/>
  <c r="AX276" i="1"/>
  <c r="CL347" i="1"/>
  <c r="AG333" i="1"/>
  <c r="CK323" i="1"/>
  <c r="AK314" i="1"/>
  <c r="CO304" i="1"/>
  <c r="J360" i="1"/>
  <c r="AN336" i="1"/>
  <c r="CR326" i="1"/>
  <c r="AR317" i="1"/>
  <c r="CV307" i="1"/>
  <c r="AV298" i="1"/>
  <c r="CX352" i="1"/>
  <c r="BK334" i="1"/>
  <c r="DC320" i="1"/>
  <c r="CG289" i="1"/>
  <c r="P277" i="1"/>
  <c r="CU265" i="1"/>
  <c r="AU256" i="1"/>
  <c r="CY246" i="1"/>
  <c r="AY237" i="1"/>
  <c r="DC227" i="1"/>
  <c r="CM321" i="1"/>
  <c r="H290" i="1"/>
  <c r="BD278" i="1"/>
  <c r="CX266" i="1"/>
  <c r="CP260" i="1"/>
  <c r="N256" i="1"/>
  <c r="AP251" i="1"/>
  <c r="BR246" i="1"/>
  <c r="CT241" i="1"/>
  <c r="R237" i="1"/>
  <c r="AT232" i="1"/>
  <c r="BV227" i="1"/>
  <c r="CX222" i="1"/>
  <c r="CY321" i="1"/>
  <c r="AY312" i="1"/>
  <c r="DC302" i="1"/>
  <c r="BA294" i="1"/>
  <c r="L290" i="1"/>
  <c r="CY286" i="1"/>
  <c r="CG283" i="1"/>
  <c r="BP280" i="1"/>
  <c r="AY277" i="1"/>
  <c r="AG274" i="1"/>
  <c r="P271" i="1"/>
  <c r="BE268" i="1"/>
  <c r="Q266" i="1"/>
  <c r="CG263" i="1"/>
  <c r="AS261" i="1"/>
  <c r="DI258" i="1"/>
  <c r="BU256" i="1"/>
  <c r="AG254" i="1"/>
  <c r="CW251" i="1"/>
  <c r="BI249" i="1"/>
  <c r="U247" i="1"/>
  <c r="CK244" i="1"/>
  <c r="AW242" i="1"/>
  <c r="I240" i="1"/>
  <c r="BY237" i="1"/>
  <c r="AK235" i="1"/>
  <c r="DA232" i="1"/>
  <c r="BM230" i="1"/>
  <c r="Y228" i="1"/>
  <c r="CO225" i="1"/>
  <c r="BA223" i="1"/>
  <c r="M221" i="1"/>
  <c r="CU321" i="1"/>
  <c r="AU312" i="1"/>
  <c r="CY302" i="1"/>
  <c r="AY294" i="1"/>
  <c r="K290" i="1"/>
  <c r="CW286" i="1"/>
  <c r="CF283" i="1"/>
  <c r="BO280" i="1"/>
  <c r="AW277" i="1"/>
  <c r="AF274" i="1"/>
  <c r="O271" i="1"/>
  <c r="BD268" i="1"/>
  <c r="P266" i="1"/>
  <c r="CF263" i="1"/>
  <c r="AR261" i="1"/>
  <c r="DH258" i="1"/>
  <c r="BT256" i="1"/>
  <c r="AF254" i="1"/>
  <c r="CV251" i="1"/>
  <c r="BH249" i="1"/>
  <c r="T247" i="1"/>
  <c r="CJ244" i="1"/>
  <c r="AV242" i="1"/>
  <c r="H240" i="1"/>
  <c r="BX237" i="1"/>
  <c r="AJ235" i="1"/>
  <c r="CZ232" i="1"/>
  <c r="BL230" i="1"/>
  <c r="X228" i="1"/>
  <c r="CN225" i="1"/>
  <c r="AZ223" i="1"/>
  <c r="L221" i="1"/>
  <c r="BQ218" i="1"/>
  <c r="AC216" i="1"/>
  <c r="CS213" i="1"/>
  <c r="BE211" i="1"/>
  <c r="Q209" i="1"/>
  <c r="CG206" i="1"/>
  <c r="AS204" i="1"/>
  <c r="DI201" i="1"/>
  <c r="BU199" i="1"/>
  <c r="AG197" i="1"/>
  <c r="CW194" i="1"/>
  <c r="BI192" i="1"/>
  <c r="U190" i="1"/>
  <c r="CK187" i="1"/>
  <c r="AW185" i="1"/>
  <c r="I183" i="1"/>
  <c r="BY180" i="1"/>
  <c r="AK178" i="1"/>
  <c r="DA175" i="1"/>
  <c r="BM173" i="1"/>
  <c r="Y171" i="1"/>
  <c r="CO168" i="1"/>
  <c r="BA166" i="1"/>
  <c r="M164" i="1"/>
  <c r="CC161" i="1"/>
  <c r="AO159" i="1"/>
  <c r="DE156" i="1"/>
  <c r="BQ154" i="1"/>
  <c r="AC152" i="1"/>
  <c r="CS149" i="1"/>
  <c r="BE147" i="1"/>
  <c r="Q145" i="1"/>
  <c r="BL218" i="1"/>
  <c r="X216" i="1"/>
  <c r="CN213" i="1"/>
  <c r="AZ211" i="1"/>
  <c r="L209" i="1"/>
  <c r="T289" i="1"/>
  <c r="BM283" i="1"/>
  <c r="AV280" i="1"/>
  <c r="AE277" i="1"/>
  <c r="M274" i="1"/>
  <c r="CZ270" i="1"/>
  <c r="AP268" i="1"/>
  <c r="DF265" i="1"/>
  <c r="BR263" i="1"/>
  <c r="AD261" i="1"/>
  <c r="CT258" i="1"/>
  <c r="BF256" i="1"/>
  <c r="R254" i="1"/>
  <c r="CH251" i="1"/>
  <c r="AT249" i="1"/>
  <c r="F247" i="1"/>
  <c r="BV244" i="1"/>
  <c r="AH242" i="1"/>
  <c r="CX239" i="1"/>
  <c r="BJ237" i="1"/>
  <c r="V235" i="1"/>
  <c r="CL232" i="1"/>
  <c r="AX230" i="1"/>
  <c r="J228" i="1"/>
  <c r="BZ225" i="1"/>
  <c r="AL223" i="1"/>
  <c r="DB220" i="1"/>
  <c r="W321" i="1"/>
  <c r="CA311" i="1"/>
  <c r="AA302" i="1"/>
  <c r="M294" i="1"/>
  <c r="CO289" i="1"/>
  <c r="BX286" i="1"/>
  <c r="BG283" i="1"/>
  <c r="AO280" i="1"/>
  <c r="X277" i="1"/>
  <c r="G274" i="1"/>
  <c r="CS270" i="1"/>
  <c r="AK268" i="1"/>
  <c r="DA265" i="1"/>
  <c r="BM263" i="1"/>
  <c r="Y261" i="1"/>
  <c r="CO258" i="1"/>
  <c r="BA256" i="1"/>
  <c r="M254" i="1"/>
  <c r="CC251" i="1"/>
  <c r="AO249" i="1"/>
  <c r="DE246" i="1"/>
  <c r="BQ244" i="1"/>
  <c r="AC242" i="1"/>
  <c r="CS239" i="1"/>
  <c r="BE237" i="1"/>
  <c r="Q235" i="1"/>
  <c r="CG232" i="1"/>
  <c r="AS230" i="1"/>
  <c r="DI227" i="1"/>
  <c r="BU225" i="1"/>
  <c r="AG223" i="1"/>
  <c r="CW220" i="1"/>
  <c r="S321" i="1"/>
  <c r="BW311" i="1"/>
  <c r="W302" i="1"/>
  <c r="K294" i="1"/>
  <c r="CN289" i="1"/>
  <c r="BW286" i="1"/>
  <c r="BE283" i="1"/>
  <c r="AN280" i="1"/>
  <c r="W277" i="1"/>
  <c r="DI273" i="1"/>
  <c r="CR270" i="1"/>
  <c r="AJ268" i="1"/>
  <c r="CZ265" i="1"/>
  <c r="BL263" i="1"/>
  <c r="X261" i="1"/>
  <c r="CN258" i="1"/>
  <c r="AZ256" i="1"/>
  <c r="L254" i="1"/>
  <c r="CB251" i="1"/>
  <c r="AN249" i="1"/>
  <c r="DD246" i="1"/>
  <c r="BP244" i="1"/>
  <c r="AB242" i="1"/>
  <c r="CR239" i="1"/>
  <c r="BD237" i="1"/>
  <c r="P235" i="1"/>
  <c r="CF232" i="1"/>
  <c r="AR230" i="1"/>
  <c r="DH227" i="1"/>
  <c r="BT225" i="1"/>
  <c r="AF223" i="1"/>
  <c r="CV220" i="1"/>
  <c r="AW218" i="1"/>
  <c r="I216" i="1"/>
  <c r="BY213" i="1"/>
  <c r="AK211" i="1"/>
  <c r="DA208" i="1"/>
  <c r="BM206" i="1"/>
  <c r="Y204" i="1"/>
  <c r="CO201" i="1"/>
  <c r="BA199" i="1"/>
  <c r="M197" i="1"/>
  <c r="CC194" i="1"/>
  <c r="AO192" i="1"/>
  <c r="DE189" i="1"/>
  <c r="BQ187" i="1"/>
  <c r="AC185" i="1"/>
  <c r="CS182" i="1"/>
  <c r="BE180" i="1"/>
  <c r="Q178" i="1"/>
  <c r="CG175" i="1"/>
  <c r="AS173" i="1"/>
  <c r="DI170" i="1"/>
  <c r="BU168" i="1"/>
  <c r="AG166" i="1"/>
  <c r="CW163" i="1"/>
  <c r="BI161" i="1"/>
  <c r="U159" i="1"/>
  <c r="CK156" i="1"/>
  <c r="AW154" i="1"/>
  <c r="I152" i="1"/>
  <c r="BY149" i="1"/>
  <c r="AK147" i="1"/>
  <c r="DA144" i="1"/>
  <c r="AR218" i="1"/>
  <c r="DH215" i="1"/>
  <c r="BT213" i="1"/>
  <c r="AF211" i="1"/>
  <c r="CV208" i="1"/>
  <c r="AR287" i="1"/>
  <c r="Q283" i="1"/>
  <c r="DD279" i="1"/>
  <c r="CM276" i="1"/>
  <c r="BU273" i="1"/>
  <c r="BD270" i="1"/>
  <c r="F268" i="1"/>
  <c r="BV265" i="1"/>
  <c r="AH263" i="1"/>
  <c r="CX260" i="1"/>
  <c r="BJ258" i="1"/>
  <c r="V256" i="1"/>
  <c r="CL253" i="1"/>
  <c r="AX251" i="1"/>
  <c r="J249" i="1"/>
  <c r="BZ246" i="1"/>
  <c r="AL244" i="1"/>
  <c r="DB241" i="1"/>
  <c r="BN239" i="1"/>
  <c r="Z237" i="1"/>
  <c r="CP234" i="1"/>
  <c r="BB232" i="1"/>
  <c r="N230" i="1"/>
  <c r="CD227" i="1"/>
  <c r="AP225" i="1"/>
  <c r="DF222" i="1"/>
  <c r="BR220" i="1"/>
  <c r="CQ319" i="1"/>
  <c r="AQ310" i="1"/>
  <c r="CU300" i="1"/>
  <c r="AW293" i="1"/>
  <c r="AS289" i="1"/>
  <c r="AB286" i="1"/>
  <c r="K283" i="1"/>
  <c r="CW279" i="1"/>
  <c r="CF276" i="1"/>
  <c r="BO273" i="1"/>
  <c r="AW270" i="1"/>
  <c r="DE267" i="1"/>
  <c r="BQ265" i="1"/>
  <c r="AC263" i="1"/>
  <c r="CS260" i="1"/>
  <c r="BE258" i="1"/>
  <c r="Q256" i="1"/>
  <c r="CG253" i="1"/>
  <c r="AS251" i="1"/>
  <c r="DI248" i="1"/>
  <c r="BU246" i="1"/>
  <c r="AG244" i="1"/>
  <c r="CW241" i="1"/>
  <c r="BI239" i="1"/>
  <c r="U237" i="1"/>
  <c r="CK234" i="1"/>
  <c r="AW232" i="1"/>
  <c r="I230" i="1"/>
  <c r="BY227" i="1"/>
  <c r="AK225" i="1"/>
  <c r="DA222" i="1"/>
  <c r="BM220" i="1"/>
  <c r="CM319" i="1"/>
  <c r="AM310" i="1"/>
  <c r="CQ300" i="1"/>
  <c r="AU293" i="1"/>
  <c r="AR289" i="1"/>
  <c r="AA286" i="1"/>
  <c r="I283" i="1"/>
  <c r="CV279" i="1"/>
  <c r="CE276" i="1"/>
  <c r="BM273" i="1"/>
  <c r="AV270" i="1"/>
  <c r="DD267" i="1"/>
  <c r="BP265" i="1"/>
  <c r="AB263" i="1"/>
  <c r="CR260" i="1"/>
  <c r="BD258" i="1"/>
  <c r="P256" i="1"/>
  <c r="CF253" i="1"/>
  <c r="AR251" i="1"/>
  <c r="DH248" i="1"/>
  <c r="BT246" i="1"/>
  <c r="AF244" i="1"/>
  <c r="CV241" i="1"/>
  <c r="BH239" i="1"/>
  <c r="T237" i="1"/>
  <c r="CJ234" i="1"/>
  <c r="AV232" i="1"/>
  <c r="H230" i="1"/>
  <c r="BX227" i="1"/>
  <c r="AJ225" i="1"/>
  <c r="CZ222" i="1"/>
  <c r="BL220" i="1"/>
  <c r="M218" i="1"/>
  <c r="CC215" i="1"/>
  <c r="AO213" i="1"/>
  <c r="DE210" i="1"/>
  <c r="BQ208" i="1"/>
  <c r="AC206" i="1"/>
  <c r="CS203" i="1"/>
  <c r="BE201" i="1"/>
  <c r="Q199" i="1"/>
  <c r="CG196" i="1"/>
  <c r="AS194" i="1"/>
  <c r="DI191" i="1"/>
  <c r="BU189" i="1"/>
  <c r="AG187" i="1"/>
  <c r="CW184" i="1"/>
  <c r="BI182" i="1"/>
  <c r="U180" i="1"/>
  <c r="CK177" i="1"/>
  <c r="AW175" i="1"/>
  <c r="I173" i="1"/>
  <c r="BY170" i="1"/>
  <c r="AK168" i="1"/>
  <c r="DA165" i="1"/>
  <c r="BM163" i="1"/>
  <c r="Y161" i="1"/>
  <c r="CO158" i="1"/>
  <c r="BA156" i="1"/>
  <c r="M154" i="1"/>
  <c r="CC151" i="1"/>
  <c r="AO149" i="1"/>
  <c r="DE146" i="1"/>
  <c r="BQ144" i="1"/>
  <c r="H218" i="1"/>
  <c r="BX215" i="1"/>
  <c r="AJ213" i="1"/>
  <c r="CZ210" i="1"/>
  <c r="BL208" i="1"/>
  <c r="AY286" i="1"/>
  <c r="CU282" i="1"/>
  <c r="CC279" i="1"/>
  <c r="BL276" i="1"/>
  <c r="AU273" i="1"/>
  <c r="AC270" i="1"/>
  <c r="CP267" i="1"/>
  <c r="BB265" i="1"/>
  <c r="N263" i="1"/>
  <c r="CD260" i="1"/>
  <c r="AP258" i="1"/>
  <c r="DF255" i="1"/>
  <c r="BR253" i="1"/>
  <c r="AD251" i="1"/>
  <c r="CT248" i="1"/>
  <c r="BF246" i="1"/>
  <c r="R244" i="1"/>
  <c r="CH241" i="1"/>
  <c r="AT239" i="1"/>
  <c r="F237" i="1"/>
  <c r="BV234" i="1"/>
  <c r="AH232" i="1"/>
  <c r="CX229" i="1"/>
  <c r="BJ227" i="1"/>
  <c r="V225" i="1"/>
  <c r="CL222" i="1"/>
  <c r="AX220" i="1"/>
  <c r="O319" i="1"/>
  <c r="BS309" i="1"/>
  <c r="S300" i="1"/>
  <c r="I293" i="1"/>
  <c r="S289" i="1"/>
  <c r="DE285" i="1"/>
  <c r="CN282" i="1"/>
  <c r="BW279" i="1"/>
  <c r="BE276" i="1"/>
  <c r="AN273" i="1"/>
  <c r="W270" i="1"/>
  <c r="CK267" i="1"/>
  <c r="AW265" i="1"/>
  <c r="I263" i="1"/>
  <c r="BY260" i="1"/>
  <c r="AK258" i="1"/>
  <c r="DA255" i="1"/>
  <c r="BM253" i="1"/>
  <c r="Y251" i="1"/>
  <c r="CO248" i="1"/>
  <c r="BA246" i="1"/>
  <c r="M244" i="1"/>
  <c r="CC241" i="1"/>
  <c r="AO239" i="1"/>
  <c r="DE236" i="1"/>
  <c r="BQ234" i="1"/>
  <c r="AC232" i="1"/>
  <c r="CS229" i="1"/>
  <c r="BE227" i="1"/>
  <c r="Q225" i="1"/>
  <c r="CG222" i="1"/>
  <c r="AS220" i="1"/>
  <c r="K319" i="1"/>
  <c r="BO309" i="1"/>
  <c r="O300" i="1"/>
  <c r="G293" i="1"/>
  <c r="Q289" i="1"/>
  <c r="DD285" i="1"/>
  <c r="CM282" i="1"/>
  <c r="BU279" i="1"/>
  <c r="BD276" i="1"/>
  <c r="AM273" i="1"/>
  <c r="U270" i="1"/>
  <c r="CJ267" i="1"/>
  <c r="AV265" i="1"/>
  <c r="H263" i="1"/>
  <c r="BX260" i="1"/>
  <c r="AJ258" i="1"/>
  <c r="CZ255" i="1"/>
  <c r="BL253" i="1"/>
  <c r="X251" i="1"/>
  <c r="CN248" i="1"/>
  <c r="AZ246" i="1"/>
  <c r="L244" i="1"/>
  <c r="CB241" i="1"/>
  <c r="AN239" i="1"/>
  <c r="DD236" i="1"/>
  <c r="BP234" i="1"/>
  <c r="AB232" i="1"/>
  <c r="CR229" i="1"/>
  <c r="BD227" i="1"/>
  <c r="P225" i="1"/>
  <c r="CF222" i="1"/>
  <c r="AR220" i="1"/>
  <c r="CW217" i="1"/>
  <c r="BI215" i="1"/>
  <c r="U213" i="1"/>
  <c r="CK210" i="1"/>
  <c r="AW208" i="1"/>
  <c r="I206" i="1"/>
  <c r="BY203" i="1"/>
  <c r="AK201" i="1"/>
  <c r="DA198" i="1"/>
  <c r="BM196" i="1"/>
  <c r="Y194" i="1"/>
  <c r="CO191" i="1"/>
  <c r="BA189" i="1"/>
  <c r="M187" i="1"/>
  <c r="CC184" i="1"/>
  <c r="AO182" i="1"/>
  <c r="DE179" i="1"/>
  <c r="BQ177" i="1"/>
  <c r="AC175" i="1"/>
  <c r="CS172" i="1"/>
  <c r="BE170" i="1"/>
  <c r="Q168" i="1"/>
  <c r="CG165" i="1"/>
  <c r="Z278" i="1"/>
  <c r="CX354" i="1"/>
  <c r="I335" i="1"/>
  <c r="BM325" i="1"/>
  <c r="M316" i="1"/>
  <c r="BQ306" i="1"/>
  <c r="Q297" i="1"/>
  <c r="Q338" i="1"/>
  <c r="BT328" i="1"/>
  <c r="T319" i="1"/>
  <c r="BX309" i="1"/>
  <c r="X300" i="1"/>
  <c r="F360" i="1"/>
  <c r="AM336" i="1"/>
  <c r="CQ326" i="1"/>
  <c r="CK292" i="1"/>
  <c r="BD279" i="1"/>
  <c r="BW267" i="1"/>
  <c r="W258" i="1"/>
  <c r="CA248" i="1"/>
  <c r="AA239" i="1"/>
  <c r="CE229" i="1"/>
  <c r="AE220" i="1"/>
  <c r="AA293" i="1"/>
  <c r="CR280" i="1"/>
  <c r="BZ268" i="1"/>
  <c r="BN261" i="1"/>
  <c r="CP256" i="1"/>
  <c r="N252" i="1"/>
  <c r="AP247" i="1"/>
  <c r="BR242" i="1"/>
  <c r="CT237" i="1"/>
  <c r="R233" i="1"/>
  <c r="AT228" i="1"/>
  <c r="BV223" i="1"/>
  <c r="CA323" i="1"/>
  <c r="AA314" i="1"/>
  <c r="CE304" i="1"/>
  <c r="AO295" i="1"/>
  <c r="BX290" i="1"/>
  <c r="BG287" i="1"/>
  <c r="AO284" i="1"/>
  <c r="X281" i="1"/>
  <c r="G278" i="1"/>
  <c r="CS274" i="1"/>
  <c r="CB271" i="1"/>
  <c r="DA268" i="1"/>
  <c r="BM266" i="1"/>
  <c r="Y264" i="1"/>
  <c r="CO261" i="1"/>
  <c r="BA259" i="1"/>
  <c r="M257" i="1"/>
  <c r="CC254" i="1"/>
  <c r="AO252" i="1"/>
  <c r="DE249" i="1"/>
  <c r="BQ247" i="1"/>
  <c r="AC245" i="1"/>
  <c r="CS242" i="1"/>
  <c r="BE240" i="1"/>
  <c r="Q238" i="1"/>
  <c r="CG235" i="1"/>
  <c r="AS233" i="1"/>
  <c r="DI230" i="1"/>
  <c r="BU228" i="1"/>
  <c r="AG226" i="1"/>
  <c r="CW223" i="1"/>
  <c r="BI221" i="1"/>
  <c r="BW323" i="1"/>
  <c r="W314" i="1"/>
  <c r="CA304" i="1"/>
  <c r="AM295" i="1"/>
  <c r="BW290" i="1"/>
  <c r="BE287" i="1"/>
  <c r="AN284" i="1"/>
  <c r="W281" i="1"/>
  <c r="DI277" i="1"/>
  <c r="CR274" i="1"/>
  <c r="CA271" i="1"/>
  <c r="CZ268" i="1"/>
  <c r="BL266" i="1"/>
  <c r="X264" i="1"/>
  <c r="CN261" i="1"/>
  <c r="AZ259" i="1"/>
  <c r="L257" i="1"/>
  <c r="CB254" i="1"/>
  <c r="AN252" i="1"/>
  <c r="DD249" i="1"/>
  <c r="BP247" i="1"/>
  <c r="AB245" i="1"/>
  <c r="CR242" i="1"/>
  <c r="BD240" i="1"/>
  <c r="P238" i="1"/>
  <c r="CF235" i="1"/>
  <c r="AR233" i="1"/>
  <c r="DH230" i="1"/>
  <c r="BT228" i="1"/>
  <c r="AF226" i="1"/>
  <c r="CV223" i="1"/>
  <c r="BH221" i="1"/>
  <c r="I219" i="1"/>
  <c r="BY216" i="1"/>
  <c r="AK214" i="1"/>
  <c r="DA211" i="1"/>
  <c r="BM209" i="1"/>
  <c r="Y207" i="1"/>
  <c r="CO204" i="1"/>
  <c r="BA202" i="1"/>
  <c r="M200" i="1"/>
  <c r="CC197" i="1"/>
  <c r="AO195" i="1"/>
  <c r="DE192" i="1"/>
  <c r="BQ190" i="1"/>
  <c r="AC188" i="1"/>
  <c r="CS185" i="1"/>
  <c r="BE183" i="1"/>
  <c r="Q181" i="1"/>
  <c r="CG178" i="1"/>
  <c r="AS176" i="1"/>
  <c r="DI173" i="1"/>
  <c r="BU171" i="1"/>
  <c r="AG169" i="1"/>
  <c r="CW166" i="1"/>
  <c r="BI164" i="1"/>
  <c r="U162" i="1"/>
  <c r="CK159" i="1"/>
  <c r="AW157" i="1"/>
  <c r="I155" i="1"/>
  <c r="BY152" i="1"/>
  <c r="AK150" i="1"/>
  <c r="DA147" i="1"/>
  <c r="BM145" i="1"/>
  <c r="DH218" i="1"/>
  <c r="BT216" i="1"/>
  <c r="AF214" i="1"/>
  <c r="CV211" i="1"/>
  <c r="BH209" i="1"/>
  <c r="T207" i="1"/>
  <c r="U284" i="1"/>
  <c r="DH280" i="1"/>
  <c r="CQ277" i="1"/>
  <c r="BY274" i="1"/>
  <c r="BH271" i="1"/>
  <c r="CL268" i="1"/>
  <c r="AX266" i="1"/>
  <c r="J264" i="1"/>
  <c r="BZ261" i="1"/>
  <c r="AL259" i="1"/>
  <c r="DB256" i="1"/>
  <c r="BN254" i="1"/>
  <c r="Z252" i="1"/>
  <c r="CP249" i="1"/>
  <c r="BB247" i="1"/>
  <c r="N245" i="1"/>
  <c r="CD242" i="1"/>
  <c r="AP240" i="1"/>
  <c r="DF237" i="1"/>
  <c r="BR235" i="1"/>
  <c r="AD233" i="1"/>
  <c r="CT230" i="1"/>
  <c r="BF228" i="1"/>
  <c r="R226" i="1"/>
  <c r="CH223" i="1"/>
  <c r="AT221" i="1"/>
  <c r="DC322" i="1"/>
  <c r="BC313" i="1"/>
  <c r="DG303" i="1"/>
  <c r="DE294" i="1"/>
  <c r="AW290" i="1"/>
  <c r="AF287" i="1"/>
  <c r="O284" i="1"/>
  <c r="DA280" i="1"/>
  <c r="CJ277" i="1"/>
  <c r="BS274" i="1"/>
  <c r="BA271" i="1"/>
  <c r="CG268" i="1"/>
  <c r="AS266" i="1"/>
  <c r="DI263" i="1"/>
  <c r="BU261" i="1"/>
  <c r="AG259" i="1"/>
  <c r="CW256" i="1"/>
  <c r="BI254" i="1"/>
  <c r="U252" i="1"/>
  <c r="CK249" i="1"/>
  <c r="AW247" i="1"/>
  <c r="I245" i="1"/>
  <c r="BY242" i="1"/>
  <c r="AK240" i="1"/>
  <c r="DA237" i="1"/>
  <c r="BM235" i="1"/>
  <c r="Y233" i="1"/>
  <c r="CO230" i="1"/>
  <c r="BA228" i="1"/>
  <c r="M226" i="1"/>
  <c r="CC223" i="1"/>
  <c r="AO221" i="1"/>
  <c r="CY322" i="1"/>
  <c r="AY313" i="1"/>
  <c r="DC303" i="1"/>
  <c r="DC294" i="1"/>
  <c r="AV290" i="1"/>
  <c r="AE287" i="1"/>
  <c r="M284" i="1"/>
  <c r="CZ280" i="1"/>
  <c r="CI277" i="1"/>
  <c r="BQ274" i="1"/>
  <c r="AZ271" i="1"/>
  <c r="CF268" i="1"/>
  <c r="AR266" i="1"/>
  <c r="DH263" i="1"/>
  <c r="BT261" i="1"/>
  <c r="AF259" i="1"/>
  <c r="CV256" i="1"/>
  <c r="BH254" i="1"/>
  <c r="T252" i="1"/>
  <c r="CJ249" i="1"/>
  <c r="AV247" i="1"/>
  <c r="H245" i="1"/>
  <c r="BX242" i="1"/>
  <c r="AJ240" i="1"/>
  <c r="CZ237" i="1"/>
  <c r="BL235" i="1"/>
  <c r="X233" i="1"/>
  <c r="CN230" i="1"/>
  <c r="AZ228" i="1"/>
  <c r="L226" i="1"/>
  <c r="CB223" i="1"/>
  <c r="AN221" i="1"/>
  <c r="CS218" i="1"/>
  <c r="BE216" i="1"/>
  <c r="Q214" i="1"/>
  <c r="CG211" i="1"/>
  <c r="AS209" i="1"/>
  <c r="DI206" i="1"/>
  <c r="BU204" i="1"/>
  <c r="AG202" i="1"/>
  <c r="CW199" i="1"/>
  <c r="BI197" i="1"/>
  <c r="U195" i="1"/>
  <c r="CK192" i="1"/>
  <c r="AW190" i="1"/>
  <c r="I188" i="1"/>
  <c r="BY185" i="1"/>
  <c r="AK183" i="1"/>
  <c r="DA180" i="1"/>
  <c r="BM178" i="1"/>
  <c r="Y176" i="1"/>
  <c r="CO173" i="1"/>
  <c r="BA171" i="1"/>
  <c r="M169" i="1"/>
  <c r="CC166" i="1"/>
  <c r="AO164" i="1"/>
  <c r="DE161" i="1"/>
  <c r="BQ159" i="1"/>
  <c r="AC157" i="1"/>
  <c r="CS154" i="1"/>
  <c r="BE152" i="1"/>
  <c r="Q150" i="1"/>
  <c r="CG147" i="1"/>
  <c r="AS145" i="1"/>
  <c r="CN218" i="1"/>
  <c r="AZ216" i="1"/>
  <c r="L214" i="1"/>
  <c r="CB211" i="1"/>
  <c r="AN209" i="1"/>
  <c r="CF289" i="1"/>
  <c r="CC283" i="1"/>
  <c r="BL280" i="1"/>
  <c r="AU277" i="1"/>
  <c r="AC274" i="1"/>
  <c r="L271" i="1"/>
  <c r="BB268" i="1"/>
  <c r="N266" i="1"/>
  <c r="CD263" i="1"/>
  <c r="AP261" i="1"/>
  <c r="DF258" i="1"/>
  <c r="BR256" i="1"/>
  <c r="AD254" i="1"/>
  <c r="CT251" i="1"/>
  <c r="BF249" i="1"/>
  <c r="R247" i="1"/>
  <c r="CH244" i="1"/>
  <c r="AT242" i="1"/>
  <c r="F240" i="1"/>
  <c r="BV237" i="1"/>
  <c r="AH235" i="1"/>
  <c r="CX232" i="1"/>
  <c r="BJ230" i="1"/>
  <c r="V228" i="1"/>
  <c r="CL225" i="1"/>
  <c r="AX223" i="1"/>
  <c r="J221" i="1"/>
  <c r="BS321" i="1"/>
  <c r="S312" i="1"/>
  <c r="BW302" i="1"/>
  <c r="AK294" i="1"/>
  <c r="DE289" i="1"/>
  <c r="CN286" i="1"/>
  <c r="BW283" i="1"/>
  <c r="BE280" i="1"/>
  <c r="AN277" i="1"/>
  <c r="W274" i="1"/>
  <c r="DI270" i="1"/>
  <c r="AW268" i="1"/>
  <c r="I266" i="1"/>
  <c r="BY263" i="1"/>
  <c r="AK261" i="1"/>
  <c r="DA258" i="1"/>
  <c r="BM256" i="1"/>
  <c r="Y254" i="1"/>
  <c r="CO251" i="1"/>
  <c r="BA249" i="1"/>
  <c r="M247" i="1"/>
  <c r="CC244" i="1"/>
  <c r="AO242" i="1"/>
  <c r="DE239" i="1"/>
  <c r="BQ237" i="1"/>
  <c r="AC235" i="1"/>
  <c r="CS232" i="1"/>
  <c r="BE230" i="1"/>
  <c r="Q228" i="1"/>
  <c r="CG225" i="1"/>
  <c r="AS223" i="1"/>
  <c r="DI220" i="1"/>
  <c r="BO321" i="1"/>
  <c r="O312" i="1"/>
  <c r="BS302" i="1"/>
  <c r="AI294" i="1"/>
  <c r="DD289" i="1"/>
  <c r="CM286" i="1"/>
  <c r="BU283" i="1"/>
  <c r="BD280" i="1"/>
  <c r="AM277" i="1"/>
  <c r="U274" i="1"/>
  <c r="DH270" i="1"/>
  <c r="AV268" i="1"/>
  <c r="H266" i="1"/>
  <c r="BX263" i="1"/>
  <c r="AJ261" i="1"/>
  <c r="CZ258" i="1"/>
  <c r="BL256" i="1"/>
  <c r="X254" i="1"/>
  <c r="CN251" i="1"/>
  <c r="AZ249" i="1"/>
  <c r="L247" i="1"/>
  <c r="CB244" i="1"/>
  <c r="AN242" i="1"/>
  <c r="DD239" i="1"/>
  <c r="BP237" i="1"/>
  <c r="AB235" i="1"/>
  <c r="CR232" i="1"/>
  <c r="BD230" i="1"/>
  <c r="P228" i="1"/>
  <c r="CF225" i="1"/>
  <c r="AR223" i="1"/>
  <c r="DH220" i="1"/>
  <c r="BI218" i="1"/>
  <c r="U216" i="1"/>
  <c r="CK213" i="1"/>
  <c r="AW211" i="1"/>
  <c r="I209" i="1"/>
  <c r="BY206" i="1"/>
  <c r="AK204" i="1"/>
  <c r="DA201" i="1"/>
  <c r="BM199" i="1"/>
  <c r="Y197" i="1"/>
  <c r="CO194" i="1"/>
  <c r="BA192" i="1"/>
  <c r="M190" i="1"/>
  <c r="CC187" i="1"/>
  <c r="AO185" i="1"/>
  <c r="DE182" i="1"/>
  <c r="BQ180" i="1"/>
  <c r="AC178" i="1"/>
  <c r="CS175" i="1"/>
  <c r="BE173" i="1"/>
  <c r="Q171" i="1"/>
  <c r="CG168" i="1"/>
  <c r="AS166" i="1"/>
  <c r="DI163" i="1"/>
  <c r="BU161" i="1"/>
  <c r="AG159" i="1"/>
  <c r="CW156" i="1"/>
  <c r="BI154" i="1"/>
  <c r="U152" i="1"/>
  <c r="CK149" i="1"/>
  <c r="AW147" i="1"/>
  <c r="I145" i="1"/>
  <c r="BD218" i="1"/>
  <c r="P216" i="1"/>
  <c r="CF213" i="1"/>
  <c r="AR211" i="1"/>
  <c r="DH208" i="1"/>
  <c r="CG288" i="1"/>
  <c r="BC283" i="1"/>
  <c r="AK280" i="1"/>
  <c r="T277" i="1"/>
  <c r="DG273" i="1"/>
  <c r="CO270" i="1"/>
  <c r="AH268" i="1"/>
  <c r="CX265" i="1"/>
  <c r="BJ263" i="1"/>
  <c r="V261" i="1"/>
  <c r="CL258" i="1"/>
  <c r="AX256" i="1"/>
  <c r="J254" i="1"/>
  <c r="BZ251" i="1"/>
  <c r="AL249" i="1"/>
  <c r="DB246" i="1"/>
  <c r="BN244" i="1"/>
  <c r="Z242" i="1"/>
  <c r="CP239" i="1"/>
  <c r="BB237" i="1"/>
  <c r="N235" i="1"/>
  <c r="CD232" i="1"/>
  <c r="AP230" i="1"/>
  <c r="DF227" i="1"/>
  <c r="BR225" i="1"/>
  <c r="AD223" i="1"/>
  <c r="CT220" i="1"/>
  <c r="CU320" i="1"/>
  <c r="AU311" i="1"/>
  <c r="CY301" i="1"/>
  <c r="DA293" i="1"/>
  <c r="CE289" i="1"/>
  <c r="BM286" i="1"/>
  <c r="AV283" i="1"/>
  <c r="AE280" i="1"/>
  <c r="M277" i="1"/>
  <c r="CZ273" i="1"/>
  <c r="CI270" i="1"/>
  <c r="AC268" i="1"/>
  <c r="CS265" i="1"/>
  <c r="BE263" i="1"/>
  <c r="Q261" i="1"/>
  <c r="CG258" i="1"/>
  <c r="AS256" i="1"/>
  <c r="DI253" i="1"/>
  <c r="BU251" i="1"/>
  <c r="AG249" i="1"/>
  <c r="CW246" i="1"/>
  <c r="BI244" i="1"/>
  <c r="U242" i="1"/>
  <c r="CK239" i="1"/>
  <c r="AW237" i="1"/>
  <c r="I235" i="1"/>
  <c r="BY232" i="1"/>
  <c r="AK230" i="1"/>
  <c r="DA227" i="1"/>
  <c r="BM225" i="1"/>
  <c r="Y223" i="1"/>
  <c r="CO220" i="1"/>
  <c r="CQ320" i="1"/>
  <c r="AQ311" i="1"/>
  <c r="CU301" i="1"/>
  <c r="CY293" i="1"/>
  <c r="CC289" i="1"/>
  <c r="BL286" i="1"/>
  <c r="AU283" i="1"/>
  <c r="AC280" i="1"/>
  <c r="L277" i="1"/>
  <c r="CY273" i="1"/>
  <c r="CG270" i="1"/>
  <c r="AB268" i="1"/>
  <c r="CR265" i="1"/>
  <c r="BD263" i="1"/>
  <c r="P261" i="1"/>
  <c r="CF258" i="1"/>
  <c r="AR256" i="1"/>
  <c r="DH253" i="1"/>
  <c r="BT251" i="1"/>
  <c r="AF249" i="1"/>
  <c r="CV246" i="1"/>
  <c r="BH244" i="1"/>
  <c r="T242" i="1"/>
  <c r="CJ239" i="1"/>
  <c r="AV237" i="1"/>
  <c r="H235" i="1"/>
  <c r="BX232" i="1"/>
  <c r="AJ230" i="1"/>
  <c r="CZ227" i="1"/>
  <c r="BL225" i="1"/>
  <c r="X223" i="1"/>
  <c r="CN220" i="1"/>
  <c r="AO218" i="1"/>
  <c r="DE215" i="1"/>
  <c r="BQ213" i="1"/>
  <c r="AC211" i="1"/>
  <c r="CS208" i="1"/>
  <c r="BE206" i="1"/>
  <c r="Q204" i="1"/>
  <c r="CG201" i="1"/>
  <c r="AS199" i="1"/>
  <c r="DI196" i="1"/>
  <c r="BU194" i="1"/>
  <c r="AG192" i="1"/>
  <c r="CW189" i="1"/>
  <c r="BI187" i="1"/>
  <c r="U185" i="1"/>
  <c r="CK182" i="1"/>
  <c r="AW180" i="1"/>
  <c r="I178" i="1"/>
  <c r="BY175" i="1"/>
  <c r="AK173" i="1"/>
  <c r="DA170" i="1"/>
  <c r="BM168" i="1"/>
  <c r="Y166" i="1"/>
  <c r="CO163" i="1"/>
  <c r="CT272" i="1"/>
  <c r="BM339" i="1"/>
  <c r="CC329" i="1"/>
  <c r="AC320" i="1"/>
  <c r="CG310" i="1"/>
  <c r="AG301" i="1"/>
  <c r="CP345" i="1"/>
  <c r="CJ332" i="1"/>
  <c r="AJ323" i="1"/>
  <c r="CN313" i="1"/>
  <c r="AN304" i="1"/>
  <c r="CR294" i="1"/>
  <c r="BV341" i="1"/>
  <c r="DG330" i="1"/>
  <c r="CE306" i="1"/>
  <c r="DI284" i="1"/>
  <c r="AR272" i="1"/>
  <c r="AM262" i="1"/>
  <c r="CQ252" i="1"/>
  <c r="AQ243" i="1"/>
  <c r="CU233" i="1"/>
  <c r="AU224" i="1"/>
  <c r="BO307" i="1"/>
  <c r="CI287" i="1"/>
  <c r="CF273" i="1"/>
  <c r="CL263" i="1"/>
  <c r="J259" i="1"/>
  <c r="AL254" i="1"/>
  <c r="BN249" i="1"/>
  <c r="CP244" i="1"/>
  <c r="N240" i="1"/>
  <c r="AP235" i="1"/>
  <c r="BR230" i="1"/>
  <c r="CT225" i="1"/>
  <c r="R221" i="1"/>
  <c r="AQ318" i="1"/>
  <c r="CU308" i="1"/>
  <c r="AU299" i="1"/>
  <c r="BY292" i="1"/>
  <c r="CV288" i="1"/>
  <c r="CE285" i="1"/>
  <c r="BM282" i="1"/>
  <c r="AV279" i="1"/>
  <c r="AE276" i="1"/>
  <c r="M273" i="1"/>
  <c r="DE269" i="1"/>
  <c r="BQ267" i="1"/>
  <c r="AC265" i="1"/>
  <c r="CS262" i="1"/>
  <c r="BE260" i="1"/>
  <c r="Q258" i="1"/>
  <c r="CG255" i="1"/>
  <c r="AS253" i="1"/>
  <c r="DI250" i="1"/>
  <c r="BU248" i="1"/>
  <c r="AG246" i="1"/>
  <c r="CW243" i="1"/>
  <c r="BI241" i="1"/>
  <c r="U239" i="1"/>
  <c r="CK236" i="1"/>
  <c r="AW234" i="1"/>
  <c r="I232" i="1"/>
  <c r="BY229" i="1"/>
  <c r="AK227" i="1"/>
  <c r="DA224" i="1"/>
  <c r="BM222" i="1"/>
  <c r="Y220" i="1"/>
  <c r="AM318" i="1"/>
  <c r="CQ308" i="1"/>
  <c r="AQ299" i="1"/>
  <c r="BW292" i="1"/>
  <c r="CU288" i="1"/>
  <c r="CC285" i="1"/>
  <c r="BL282" i="1"/>
  <c r="AU279" i="1"/>
  <c r="AC276" i="1"/>
  <c r="L273" i="1"/>
  <c r="DD269" i="1"/>
  <c r="BP267" i="1"/>
  <c r="AB265" i="1"/>
  <c r="CR262" i="1"/>
  <c r="BD260" i="1"/>
  <c r="P258" i="1"/>
  <c r="CF255" i="1"/>
  <c r="AR253" i="1"/>
  <c r="DH250" i="1"/>
  <c r="BT248" i="1"/>
  <c r="AF246" i="1"/>
  <c r="CV243" i="1"/>
  <c r="BH241" i="1"/>
  <c r="T239" i="1"/>
  <c r="CJ236" i="1"/>
  <c r="AV234" i="1"/>
  <c r="H232" i="1"/>
  <c r="BX229" i="1"/>
  <c r="AJ227" i="1"/>
  <c r="CZ224" i="1"/>
  <c r="BL222" i="1"/>
  <c r="X220" i="1"/>
  <c r="CC217" i="1"/>
  <c r="AO215" i="1"/>
  <c r="DE212" i="1"/>
  <c r="BQ210" i="1"/>
  <c r="AC208" i="1"/>
  <c r="CS205" i="1"/>
  <c r="BE203" i="1"/>
  <c r="Q201" i="1"/>
  <c r="CG198" i="1"/>
  <c r="AS196" i="1"/>
  <c r="DI193" i="1"/>
  <c r="BU191" i="1"/>
  <c r="AG189" i="1"/>
  <c r="CW186" i="1"/>
  <c r="BI184" i="1"/>
  <c r="U182" i="1"/>
  <c r="CK179" i="1"/>
  <c r="AW177" i="1"/>
  <c r="I175" i="1"/>
  <c r="BY172" i="1"/>
  <c r="AK170" i="1"/>
  <c r="DA167" i="1"/>
  <c r="BM165" i="1"/>
  <c r="Y163" i="1"/>
  <c r="CO160" i="1"/>
  <c r="BA158" i="1"/>
  <c r="M156" i="1"/>
  <c r="CC153" i="1"/>
  <c r="AO151" i="1"/>
  <c r="DE148" i="1"/>
  <c r="BQ146" i="1"/>
  <c r="AC144" i="1"/>
  <c r="BX217" i="1"/>
  <c r="AJ215" i="1"/>
  <c r="CZ212" i="1"/>
  <c r="BL210" i="1"/>
  <c r="X208" i="1"/>
  <c r="BU285" i="1"/>
  <c r="AS282" i="1"/>
  <c r="AB279" i="1"/>
  <c r="K276" i="1"/>
  <c r="CW272" i="1"/>
  <c r="CP269" i="1"/>
  <c r="BB267" i="1"/>
  <c r="N265" i="1"/>
  <c r="CD262" i="1"/>
  <c r="AP260" i="1"/>
  <c r="DF257" i="1"/>
  <c r="BR255" i="1"/>
  <c r="AD253" i="1"/>
  <c r="CT250" i="1"/>
  <c r="BF248" i="1"/>
  <c r="R246" i="1"/>
  <c r="CH243" i="1"/>
  <c r="AT241" i="1"/>
  <c r="F239" i="1"/>
  <c r="BV236" i="1"/>
  <c r="AH234" i="1"/>
  <c r="CX231" i="1"/>
  <c r="BJ229" i="1"/>
  <c r="V227" i="1"/>
  <c r="CL224" i="1"/>
  <c r="AX222" i="1"/>
  <c r="J220" i="1"/>
  <c r="BS317" i="1"/>
  <c r="S308" i="1"/>
  <c r="BW298" i="1"/>
  <c r="AK292" i="1"/>
  <c r="BU288" i="1"/>
  <c r="BD285" i="1"/>
  <c r="AM282" i="1"/>
  <c r="U279" i="1"/>
  <c r="DH275" i="1"/>
  <c r="CQ272" i="1"/>
  <c r="CK269" i="1"/>
  <c r="AW267" i="1"/>
  <c r="I265" i="1"/>
  <c r="BY262" i="1"/>
  <c r="AK260" i="1"/>
  <c r="DA257" i="1"/>
  <c r="BM255" i="1"/>
  <c r="Y253" i="1"/>
  <c r="CO250" i="1"/>
  <c r="BA248" i="1"/>
  <c r="M246" i="1"/>
  <c r="CC243" i="1"/>
  <c r="AO241" i="1"/>
  <c r="DE238" i="1"/>
  <c r="BQ236" i="1"/>
  <c r="AC234" i="1"/>
  <c r="CS231" i="1"/>
  <c r="BE229" i="1"/>
  <c r="Q227" i="1"/>
  <c r="CG224" i="1"/>
  <c r="AS222" i="1"/>
  <c r="DI219" i="1"/>
  <c r="BO317" i="1"/>
  <c r="O308" i="1"/>
  <c r="BS298" i="1"/>
  <c r="AI292" i="1"/>
  <c r="BT288" i="1"/>
  <c r="BC285" i="1"/>
  <c r="AK282" i="1"/>
  <c r="T279" i="1"/>
  <c r="DG275" i="1"/>
  <c r="CO272" i="1"/>
  <c r="CJ269" i="1"/>
  <c r="AV267" i="1"/>
  <c r="H265" i="1"/>
  <c r="BX262" i="1"/>
  <c r="AJ260" i="1"/>
  <c r="CZ257" i="1"/>
  <c r="BL255" i="1"/>
  <c r="X253" i="1"/>
  <c r="CN250" i="1"/>
  <c r="AZ248" i="1"/>
  <c r="L246" i="1"/>
  <c r="CB243" i="1"/>
  <c r="AN241" i="1"/>
  <c r="DD238" i="1"/>
  <c r="BP236" i="1"/>
  <c r="AB234" i="1"/>
  <c r="CR231" i="1"/>
  <c r="BD229" i="1"/>
  <c r="P227" i="1"/>
  <c r="CF224" i="1"/>
  <c r="AR222" i="1"/>
  <c r="DH219" i="1"/>
  <c r="BI217" i="1"/>
  <c r="U215" i="1"/>
  <c r="CK212" i="1"/>
  <c r="AW210" i="1"/>
  <c r="I208" i="1"/>
  <c r="BY205" i="1"/>
  <c r="AK203" i="1"/>
  <c r="DA200" i="1"/>
  <c r="BM198" i="1"/>
  <c r="Y196" i="1"/>
  <c r="CO193" i="1"/>
  <c r="BA191" i="1"/>
  <c r="M189" i="1"/>
  <c r="CC186" i="1"/>
  <c r="AO184" i="1"/>
  <c r="DE181" i="1"/>
  <c r="BQ179" i="1"/>
  <c r="AC177" i="1"/>
  <c r="CS174" i="1"/>
  <c r="BE172" i="1"/>
  <c r="Q170" i="1"/>
  <c r="CG167" i="1"/>
  <c r="AS165" i="1"/>
  <c r="DI162" i="1"/>
  <c r="BU160" i="1"/>
  <c r="AG158" i="1"/>
  <c r="CW155" i="1"/>
  <c r="BI153" i="1"/>
  <c r="U151" i="1"/>
  <c r="CK148" i="1"/>
  <c r="AW146" i="1"/>
  <c r="I144" i="1"/>
  <c r="BD217" i="1"/>
  <c r="P215" i="1"/>
  <c r="CF212" i="1"/>
  <c r="AR210" i="1"/>
  <c r="DH207" i="1"/>
  <c r="O285" i="1"/>
  <c r="DA281" i="1"/>
  <c r="CJ278" i="1"/>
  <c r="BS275" i="1"/>
  <c r="BA272" i="1"/>
  <c r="BF269" i="1"/>
  <c r="R267" i="1"/>
  <c r="CH264" i="1"/>
  <c r="AT262" i="1"/>
  <c r="F260" i="1"/>
  <c r="BV257" i="1"/>
  <c r="AH255" i="1"/>
  <c r="CX252" i="1"/>
  <c r="BJ250" i="1"/>
  <c r="V248" i="1"/>
  <c r="CL245" i="1"/>
  <c r="AX243" i="1"/>
  <c r="J241" i="1"/>
  <c r="BZ238" i="1"/>
  <c r="AL236" i="1"/>
  <c r="DB233" i="1"/>
  <c r="BN231" i="1"/>
  <c r="Z229" i="1"/>
  <c r="CP226" i="1"/>
  <c r="BB224" i="1"/>
  <c r="N222" i="1"/>
  <c r="CI325" i="1"/>
  <c r="AI316" i="1"/>
  <c r="CM306" i="1"/>
  <c r="AM297" i="1"/>
  <c r="BU291" i="1"/>
  <c r="Y288" i="1"/>
  <c r="H285" i="1"/>
  <c r="CU281" i="1"/>
  <c r="CC278" i="1"/>
  <c r="BL275" i="1"/>
  <c r="AU272" i="1"/>
  <c r="BA269" i="1"/>
  <c r="M267" i="1"/>
  <c r="CC264" i="1"/>
  <c r="AO262" i="1"/>
  <c r="DE259" i="1"/>
  <c r="BQ257" i="1"/>
  <c r="AC255" i="1"/>
  <c r="CS252" i="1"/>
  <c r="BE250" i="1"/>
  <c r="Q248" i="1"/>
  <c r="CG245" i="1"/>
  <c r="AS243" i="1"/>
  <c r="DI240" i="1"/>
  <c r="BU238" i="1"/>
  <c r="AG236" i="1"/>
  <c r="CW233" i="1"/>
  <c r="BI231" i="1"/>
  <c r="U229" i="1"/>
  <c r="CK226" i="1"/>
  <c r="AW224" i="1"/>
  <c r="I222" i="1"/>
  <c r="CE325" i="1"/>
  <c r="AE316" i="1"/>
  <c r="CI306" i="1"/>
  <c r="AI297" i="1"/>
  <c r="BS291" i="1"/>
  <c r="X288" i="1"/>
  <c r="G285" i="1"/>
  <c r="CS281" i="1"/>
  <c r="CB278" i="1"/>
  <c r="BK275" i="1"/>
  <c r="AS272" i="1"/>
  <c r="AZ269" i="1"/>
  <c r="L267" i="1"/>
  <c r="CB264" i="1"/>
  <c r="AN262" i="1"/>
  <c r="DD259" i="1"/>
  <c r="BP257" i="1"/>
  <c r="AB255" i="1"/>
  <c r="CR252" i="1"/>
  <c r="BD250" i="1"/>
  <c r="P248" i="1"/>
  <c r="CF245" i="1"/>
  <c r="AR243" i="1"/>
  <c r="DH240" i="1"/>
  <c r="BT238" i="1"/>
  <c r="AF236" i="1"/>
  <c r="CV233" i="1"/>
  <c r="BH231" i="1"/>
  <c r="T229" i="1"/>
  <c r="CJ226" i="1"/>
  <c r="AV224" i="1"/>
  <c r="H222" i="1"/>
  <c r="BM219" i="1"/>
  <c r="Y217" i="1"/>
  <c r="CO214" i="1"/>
  <c r="BA212" i="1"/>
  <c r="M210" i="1"/>
  <c r="CC207" i="1"/>
  <c r="AO205" i="1"/>
  <c r="DE202" i="1"/>
  <c r="BQ200" i="1"/>
  <c r="AC198" i="1"/>
  <c r="CS195" i="1"/>
  <c r="BE193" i="1"/>
  <c r="Q191" i="1"/>
  <c r="CG188" i="1"/>
  <c r="AS186" i="1"/>
  <c r="DI183" i="1"/>
  <c r="BU181" i="1"/>
  <c r="AG179" i="1"/>
  <c r="CW176" i="1"/>
  <c r="BI174" i="1"/>
  <c r="U172" i="1"/>
  <c r="CK169" i="1"/>
  <c r="AW167" i="1"/>
  <c r="I165" i="1"/>
  <c r="BY162" i="1"/>
  <c r="AK160" i="1"/>
  <c r="DA157" i="1"/>
  <c r="BM155" i="1"/>
  <c r="Y153" i="1"/>
  <c r="CO150" i="1"/>
  <c r="BA148" i="1"/>
  <c r="M146" i="1"/>
  <c r="BH219" i="1"/>
  <c r="T217" i="1"/>
  <c r="CJ214" i="1"/>
  <c r="AV212" i="1"/>
  <c r="H210" i="1"/>
  <c r="BX207" i="1"/>
  <c r="CR284" i="1"/>
  <c r="CA281" i="1"/>
  <c r="BI278" i="1"/>
  <c r="AR275" i="1"/>
  <c r="AA272" i="1"/>
  <c r="AL269" i="1"/>
  <c r="DB266" i="1"/>
  <c r="BN264" i="1"/>
  <c r="Z262" i="1"/>
  <c r="CP259" i="1"/>
  <c r="BB257" i="1"/>
  <c r="N255" i="1"/>
  <c r="CD252" i="1"/>
  <c r="AP250" i="1"/>
  <c r="DF247" i="1"/>
  <c r="BR245" i="1"/>
  <c r="AD243" i="1"/>
  <c r="CT240" i="1"/>
  <c r="BF238" i="1"/>
  <c r="R236" i="1"/>
  <c r="CH233" i="1"/>
  <c r="AT231" i="1"/>
  <c r="F229" i="1"/>
  <c r="BV226" i="1"/>
  <c r="AH224" i="1"/>
  <c r="CX221" i="1"/>
  <c r="G325" i="1"/>
  <c r="BK315" i="1"/>
  <c r="K306" i="1"/>
  <c r="BO296" i="1"/>
  <c r="AG291" i="1"/>
  <c r="DC287" i="1"/>
  <c r="CK284" i="1"/>
  <c r="BT281" i="1"/>
  <c r="BC278" i="1"/>
  <c r="AK275" i="1"/>
  <c r="T272" i="1"/>
  <c r="AG269" i="1"/>
  <c r="CW266" i="1"/>
  <c r="BI264" i="1"/>
  <c r="U262" i="1"/>
  <c r="CK259" i="1"/>
  <c r="AW257" i="1"/>
  <c r="I255" i="1"/>
  <c r="BY252" i="1"/>
  <c r="AK250" i="1"/>
  <c r="DA247" i="1"/>
  <c r="BM245" i="1"/>
  <c r="Y243" i="1"/>
  <c r="CO240" i="1"/>
  <c r="BA238" i="1"/>
  <c r="M236" i="1"/>
  <c r="CC233" i="1"/>
  <c r="AO231" i="1"/>
  <c r="DE228" i="1"/>
  <c r="BQ226" i="1"/>
  <c r="AC224" i="1"/>
  <c r="CS221" i="1"/>
  <c r="DG324" i="1"/>
  <c r="BG315" i="1"/>
  <c r="G306" i="1"/>
  <c r="BK296" i="1"/>
  <c r="AE291" i="1"/>
  <c r="DA287" i="1"/>
  <c r="CJ284" i="1"/>
  <c r="BS281" i="1"/>
  <c r="BA278" i="1"/>
  <c r="AJ275" i="1"/>
  <c r="S272" i="1"/>
  <c r="AF269" i="1"/>
  <c r="CV266" i="1"/>
  <c r="BH264" i="1"/>
  <c r="T262" i="1"/>
  <c r="CJ259" i="1"/>
  <c r="AV257" i="1"/>
  <c r="H255" i="1"/>
  <c r="BX252" i="1"/>
  <c r="AJ250" i="1"/>
  <c r="CZ247" i="1"/>
  <c r="BL245" i="1"/>
  <c r="X243" i="1"/>
  <c r="CN240" i="1"/>
  <c r="AZ238" i="1"/>
  <c r="L236" i="1"/>
  <c r="CB233" i="1"/>
  <c r="AN231" i="1"/>
  <c r="DD228" i="1"/>
  <c r="BP226" i="1"/>
  <c r="AB224" i="1"/>
  <c r="CR221" i="1"/>
  <c r="AS219" i="1"/>
  <c r="DI216" i="1"/>
  <c r="BU214" i="1"/>
  <c r="AG212" i="1"/>
  <c r="CW209" i="1"/>
  <c r="BI207" i="1"/>
  <c r="U205" i="1"/>
  <c r="CK202" i="1"/>
  <c r="AW200" i="1"/>
  <c r="I198" i="1"/>
  <c r="BY195" i="1"/>
  <c r="AK193" i="1"/>
  <c r="DA190" i="1"/>
  <c r="BM188" i="1"/>
  <c r="Y186" i="1"/>
  <c r="CO183" i="1"/>
  <c r="BA181" i="1"/>
  <c r="M179" i="1"/>
  <c r="CC176" i="1"/>
  <c r="AO174" i="1"/>
  <c r="DE171" i="1"/>
  <c r="BQ169" i="1"/>
  <c r="AC167" i="1"/>
  <c r="CS164" i="1"/>
  <c r="BE162" i="1"/>
  <c r="Q160" i="1"/>
  <c r="CG157" i="1"/>
  <c r="AS155" i="1"/>
  <c r="DI152" i="1"/>
  <c r="BU150" i="1"/>
  <c r="AK165" i="1"/>
  <c r="CS160" i="1"/>
  <c r="BQ157" i="1"/>
  <c r="BE154" i="1"/>
  <c r="AS151" i="1"/>
  <c r="CC148" i="1"/>
  <c r="AO146" i="1"/>
  <c r="CO219" i="1"/>
  <c r="AV217" i="1"/>
  <c r="H215" i="1"/>
  <c r="BX212" i="1"/>
  <c r="AJ210" i="1"/>
  <c r="CZ207" i="1"/>
  <c r="CB205" i="1"/>
  <c r="AN203" i="1"/>
  <c r="DD200" i="1"/>
  <c r="BP198" i="1"/>
  <c r="AB196" i="1"/>
  <c r="CR193" i="1"/>
  <c r="BD191" i="1"/>
  <c r="P189" i="1"/>
  <c r="CF186" i="1"/>
  <c r="AR184" i="1"/>
  <c r="DH181" i="1"/>
  <c r="BT179" i="1"/>
  <c r="AF177" i="1"/>
  <c r="CV174" i="1"/>
  <c r="BH172" i="1"/>
  <c r="T170" i="1"/>
  <c r="CJ167" i="1"/>
  <c r="AV165" i="1"/>
  <c r="H163" i="1"/>
  <c r="BX160" i="1"/>
  <c r="AJ158" i="1"/>
  <c r="CZ155" i="1"/>
  <c r="BL153" i="1"/>
  <c r="X151" i="1"/>
  <c r="CN148" i="1"/>
  <c r="AZ146" i="1"/>
  <c r="L144" i="1"/>
  <c r="BG217" i="1"/>
  <c r="S215" i="1"/>
  <c r="CI212" i="1"/>
  <c r="AU210" i="1"/>
  <c r="G208" i="1"/>
  <c r="BW205" i="1"/>
  <c r="AI203" i="1"/>
  <c r="CY200" i="1"/>
  <c r="BK198" i="1"/>
  <c r="W196" i="1"/>
  <c r="CM193" i="1"/>
  <c r="AY191" i="1"/>
  <c r="K189" i="1"/>
  <c r="CA186" i="1"/>
  <c r="AM184" i="1"/>
  <c r="DC181" i="1"/>
  <c r="BO179" i="1"/>
  <c r="AA177" i="1"/>
  <c r="CQ174" i="1"/>
  <c r="BC172" i="1"/>
  <c r="O170" i="1"/>
  <c r="CE167" i="1"/>
  <c r="AQ165" i="1"/>
  <c r="DG162" i="1"/>
  <c r="BS160" i="1"/>
  <c r="AE158" i="1"/>
  <c r="CU155" i="1"/>
  <c r="BG153" i="1"/>
  <c r="S151" i="1"/>
  <c r="CI148" i="1"/>
  <c r="AS257" i="1"/>
  <c r="DI254" i="1"/>
  <c r="BU252" i="1"/>
  <c r="AG250" i="1"/>
  <c r="CW247" i="1"/>
  <c r="BI245" i="1"/>
  <c r="U243" i="1"/>
  <c r="CK240" i="1"/>
  <c r="AW238" i="1"/>
  <c r="I236" i="1"/>
  <c r="BY233" i="1"/>
  <c r="AK231" i="1"/>
  <c r="DA228" i="1"/>
  <c r="BM226" i="1"/>
  <c r="Y224" i="1"/>
  <c r="CO221" i="1"/>
  <c r="CQ324" i="1"/>
  <c r="AQ315" i="1"/>
  <c r="CU305" i="1"/>
  <c r="AU296" i="1"/>
  <c r="W291" i="1"/>
  <c r="CV287" i="1"/>
  <c r="CE284" i="1"/>
  <c r="BM281" i="1"/>
  <c r="AV278" i="1"/>
  <c r="AE275" i="1"/>
  <c r="M272" i="1"/>
  <c r="AB269" i="1"/>
  <c r="CR266" i="1"/>
  <c r="BD264" i="1"/>
  <c r="P262" i="1"/>
  <c r="CF259" i="1"/>
  <c r="AR257" i="1"/>
  <c r="DH254" i="1"/>
  <c r="BT252" i="1"/>
  <c r="AF250" i="1"/>
  <c r="CV247" i="1"/>
  <c r="BH245" i="1"/>
  <c r="T243" i="1"/>
  <c r="CJ240" i="1"/>
  <c r="AV238" i="1"/>
  <c r="H236" i="1"/>
  <c r="BX233" i="1"/>
  <c r="AJ231" i="1"/>
  <c r="CZ228" i="1"/>
  <c r="BL226" i="1"/>
  <c r="X224" i="1"/>
  <c r="CN221" i="1"/>
  <c r="AO219" i="1"/>
  <c r="DE216" i="1"/>
  <c r="BQ214" i="1"/>
  <c r="AC212" i="1"/>
  <c r="CS209" i="1"/>
  <c r="BE207" i="1"/>
  <c r="Q205" i="1"/>
  <c r="CG202" i="1"/>
  <c r="AS200" i="1"/>
  <c r="DI197" i="1"/>
  <c r="BU195" i="1"/>
  <c r="AG193" i="1"/>
  <c r="CW190" i="1"/>
  <c r="BI188" i="1"/>
  <c r="U186" i="1"/>
  <c r="CK183" i="1"/>
  <c r="AW181" i="1"/>
  <c r="I179" i="1"/>
  <c r="BY176" i="1"/>
  <c r="AK174" i="1"/>
  <c r="DA171" i="1"/>
  <c r="BM169" i="1"/>
  <c r="Y167" i="1"/>
  <c r="CO164" i="1"/>
  <c r="BA162" i="1"/>
  <c r="M160" i="1"/>
  <c r="CC157" i="1"/>
  <c r="AO155" i="1"/>
  <c r="DE152" i="1"/>
  <c r="BQ150" i="1"/>
  <c r="AC148" i="1"/>
  <c r="CS145" i="1"/>
  <c r="AJ219" i="1"/>
  <c r="CZ216" i="1"/>
  <c r="BL214" i="1"/>
  <c r="X212" i="1"/>
  <c r="CN209" i="1"/>
  <c r="AZ207" i="1"/>
  <c r="BL284" i="1"/>
  <c r="AU281" i="1"/>
  <c r="AC278" i="1"/>
  <c r="L275" i="1"/>
  <c r="CY271" i="1"/>
  <c r="N269" i="1"/>
  <c r="CD266" i="1"/>
  <c r="AP264" i="1"/>
  <c r="DF261" i="1"/>
  <c r="BR259" i="1"/>
  <c r="AD257" i="1"/>
  <c r="CT254" i="1"/>
  <c r="BF252" i="1"/>
  <c r="R250" i="1"/>
  <c r="CH247" i="1"/>
  <c r="AT245" i="1"/>
  <c r="F243" i="1"/>
  <c r="BV240" i="1"/>
  <c r="AH238" i="1"/>
  <c r="CX235" i="1"/>
  <c r="BJ233" i="1"/>
  <c r="V231" i="1"/>
  <c r="CL228" i="1"/>
  <c r="AX226" i="1"/>
  <c r="J224" i="1"/>
  <c r="BZ221" i="1"/>
  <c r="S324" i="1"/>
  <c r="BW314" i="1"/>
  <c r="W305" i="1"/>
  <c r="CA295" i="1"/>
  <c r="CO290" i="1"/>
  <c r="BW287" i="1"/>
  <c r="BE284" i="1"/>
  <c r="AN281" i="1"/>
  <c r="W278" i="1"/>
  <c r="DI274" i="1"/>
  <c r="CR271" i="1"/>
  <c r="I269" i="1"/>
  <c r="BY266" i="1"/>
  <c r="AK264" i="1"/>
  <c r="DA261" i="1"/>
  <c r="BM259" i="1"/>
  <c r="Y257" i="1"/>
  <c r="CO254" i="1"/>
  <c r="BA252" i="1"/>
  <c r="M250" i="1"/>
  <c r="CC247" i="1"/>
  <c r="AO245" i="1"/>
  <c r="DE242" i="1"/>
  <c r="BQ240" i="1"/>
  <c r="AC238" i="1"/>
  <c r="CS235" i="1"/>
  <c r="BE233" i="1"/>
  <c r="Q231" i="1"/>
  <c r="CG228" i="1"/>
  <c r="AS226" i="1"/>
  <c r="DI223" i="1"/>
  <c r="BU221" i="1"/>
  <c r="O324" i="1"/>
  <c r="BS314" i="1"/>
  <c r="S305" i="1"/>
  <c r="BW295" i="1"/>
  <c r="CM290" i="1"/>
  <c r="BU287" i="1"/>
  <c r="BD284" i="1"/>
  <c r="AM281" i="1"/>
  <c r="U278" i="1"/>
  <c r="DH274" i="1"/>
  <c r="CQ271" i="1"/>
  <c r="H269" i="1"/>
  <c r="BX266" i="1"/>
  <c r="AJ264" i="1"/>
  <c r="CZ261" i="1"/>
  <c r="BL259" i="1"/>
  <c r="X257" i="1"/>
  <c r="CN254" i="1"/>
  <c r="AZ252" i="1"/>
  <c r="L250" i="1"/>
  <c r="CB247" i="1"/>
  <c r="AN245" i="1"/>
  <c r="DD242" i="1"/>
  <c r="BP240" i="1"/>
  <c r="AB238" i="1"/>
  <c r="CR235" i="1"/>
  <c r="BD233" i="1"/>
  <c r="P231" i="1"/>
  <c r="CF228" i="1"/>
  <c r="AR226" i="1"/>
  <c r="DH223" i="1"/>
  <c r="BT221" i="1"/>
  <c r="U219" i="1"/>
  <c r="CK216" i="1"/>
  <c r="AW214" i="1"/>
  <c r="I212" i="1"/>
  <c r="BY209" i="1"/>
  <c r="AK207" i="1"/>
  <c r="DA204" i="1"/>
  <c r="BM202" i="1"/>
  <c r="Y200" i="1"/>
  <c r="CO197" i="1"/>
  <c r="BA195" i="1"/>
  <c r="M193" i="1"/>
  <c r="CC190" i="1"/>
  <c r="AO188" i="1"/>
  <c r="DE185" i="1"/>
  <c r="BQ183" i="1"/>
  <c r="AC181" i="1"/>
  <c r="CS178" i="1"/>
  <c r="BE176" i="1"/>
  <c r="Q174" i="1"/>
  <c r="CG171" i="1"/>
  <c r="AS169" i="1"/>
  <c r="DI166" i="1"/>
  <c r="BU164" i="1"/>
  <c r="AG162" i="1"/>
  <c r="CW159" i="1"/>
  <c r="BI157" i="1"/>
  <c r="U155" i="1"/>
  <c r="CK152" i="1"/>
  <c r="AW150" i="1"/>
  <c r="I148" i="1"/>
  <c r="BY145" i="1"/>
  <c r="P219" i="1"/>
  <c r="CF216" i="1"/>
  <c r="AR214" i="1"/>
  <c r="DH211" i="1"/>
  <c r="BT209" i="1"/>
  <c r="AF207" i="1"/>
  <c r="P284" i="1"/>
  <c r="DC280" i="1"/>
  <c r="CK277" i="1"/>
  <c r="BT274" i="1"/>
  <c r="BC271" i="1"/>
  <c r="CH268" i="1"/>
  <c r="AT266" i="1"/>
  <c r="F264" i="1"/>
  <c r="BV261" i="1"/>
  <c r="AH259" i="1"/>
  <c r="CX256" i="1"/>
  <c r="BJ254" i="1"/>
  <c r="V252" i="1"/>
  <c r="CL249" i="1"/>
  <c r="AX247" i="1"/>
  <c r="J245" i="1"/>
  <c r="BZ242" i="1"/>
  <c r="AL240" i="1"/>
  <c r="DB237" i="1"/>
  <c r="BN235" i="1"/>
  <c r="Z233" i="1"/>
  <c r="CP230" i="1"/>
  <c r="BB228" i="1"/>
  <c r="N226" i="1"/>
  <c r="CD223" i="1"/>
  <c r="AP221" i="1"/>
  <c r="CM322" i="1"/>
  <c r="AM313" i="1"/>
  <c r="CQ303" i="1"/>
  <c r="CW294" i="1"/>
  <c r="AR290" i="1"/>
  <c r="AA287" i="1"/>
  <c r="I284" i="1"/>
  <c r="CV280" i="1"/>
  <c r="CE277" i="1"/>
  <c r="BM274" i="1"/>
  <c r="AV271" i="1"/>
  <c r="CC268" i="1"/>
  <c r="AO266" i="1"/>
  <c r="DE263" i="1"/>
  <c r="BQ261" i="1"/>
  <c r="AC259" i="1"/>
  <c r="CS256" i="1"/>
  <c r="BE254" i="1"/>
  <c r="Q252" i="1"/>
  <c r="CG249" i="1"/>
  <c r="AS247" i="1"/>
  <c r="DI244" i="1"/>
  <c r="BU242" i="1"/>
  <c r="AG240" i="1"/>
  <c r="CW237" i="1"/>
  <c r="BI235" i="1"/>
  <c r="U233" i="1"/>
  <c r="CK230" i="1"/>
  <c r="AW228" i="1"/>
  <c r="I226" i="1"/>
  <c r="BY223" i="1"/>
  <c r="AK221" i="1"/>
  <c r="CI322" i="1"/>
  <c r="AI313" i="1"/>
  <c r="CM303" i="1"/>
  <c r="CU294" i="1"/>
  <c r="AQ290" i="1"/>
  <c r="Y287" i="1"/>
  <c r="H284" i="1"/>
  <c r="CU280" i="1"/>
  <c r="CC277" i="1"/>
  <c r="BL274" i="1"/>
  <c r="AU271" i="1"/>
  <c r="CB268" i="1"/>
  <c r="AN266" i="1"/>
  <c r="DD263" i="1"/>
  <c r="BP261" i="1"/>
  <c r="AB259" i="1"/>
  <c r="CR256" i="1"/>
  <c r="BD254" i="1"/>
  <c r="P252" i="1"/>
  <c r="CF249" i="1"/>
  <c r="AR247" i="1"/>
  <c r="DH244" i="1"/>
  <c r="BT242" i="1"/>
  <c r="AF240" i="1"/>
  <c r="CV237" i="1"/>
  <c r="BH235" i="1"/>
  <c r="T233" i="1"/>
  <c r="CJ230" i="1"/>
  <c r="AV228" i="1"/>
  <c r="H226" i="1"/>
  <c r="BX223" i="1"/>
  <c r="AJ221" i="1"/>
  <c r="CO218" i="1"/>
  <c r="BA216" i="1"/>
  <c r="M214" i="1"/>
  <c r="CC211" i="1"/>
  <c r="AO209" i="1"/>
  <c r="DE206" i="1"/>
  <c r="BQ204" i="1"/>
  <c r="AC202" i="1"/>
  <c r="CS199" i="1"/>
  <c r="BE197" i="1"/>
  <c r="Q195" i="1"/>
  <c r="CG192" i="1"/>
  <c r="AS190" i="1"/>
  <c r="DI187" i="1"/>
  <c r="BU185" i="1"/>
  <c r="AG183" i="1"/>
  <c r="CW180" i="1"/>
  <c r="BI178" i="1"/>
  <c r="U176" i="1"/>
  <c r="CK173" i="1"/>
  <c r="AW171" i="1"/>
  <c r="I169" i="1"/>
  <c r="BY166" i="1"/>
  <c r="AK164" i="1"/>
  <c r="DA161" i="1"/>
  <c r="BM159" i="1"/>
  <c r="Y157" i="1"/>
  <c r="CO154" i="1"/>
  <c r="BA152" i="1"/>
  <c r="M150" i="1"/>
  <c r="CC147" i="1"/>
  <c r="AO145" i="1"/>
  <c r="CJ218" i="1"/>
  <c r="AV216" i="1"/>
  <c r="H214" i="1"/>
  <c r="BX211" i="1"/>
  <c r="AJ209" i="1"/>
  <c r="CZ206" i="1"/>
  <c r="CS283" i="1"/>
  <c r="CB280" i="1"/>
  <c r="BK277" i="1"/>
  <c r="AS274" i="1"/>
  <c r="AB271" i="1"/>
  <c r="BN268" i="1"/>
  <c r="Z266" i="1"/>
  <c r="CP263" i="1"/>
  <c r="BB261" i="1"/>
  <c r="N259" i="1"/>
  <c r="CD256" i="1"/>
  <c r="AP254" i="1"/>
  <c r="DF251" i="1"/>
  <c r="BR249" i="1"/>
  <c r="AD247" i="1"/>
  <c r="CT244" i="1"/>
  <c r="BF242" i="1"/>
  <c r="R240" i="1"/>
  <c r="CH237" i="1"/>
  <c r="AT235" i="1"/>
  <c r="F233" i="1"/>
  <c r="BV230" i="1"/>
  <c r="AH228" i="1"/>
  <c r="CX225" i="1"/>
  <c r="BJ223" i="1"/>
  <c r="V221" i="1"/>
  <c r="K322" i="1"/>
  <c r="BO312" i="1"/>
  <c r="O303" i="1"/>
  <c r="BI294" i="1"/>
  <c r="Q290" i="1"/>
  <c r="DD286" i="1"/>
  <c r="CM283" i="1"/>
  <c r="BU280" i="1"/>
  <c r="BD277" i="1"/>
  <c r="AM274" i="1"/>
  <c r="U271" i="1"/>
  <c r="BI268" i="1"/>
  <c r="U266" i="1"/>
  <c r="CK263" i="1"/>
  <c r="AW261" i="1"/>
  <c r="I259" i="1"/>
  <c r="BY256" i="1"/>
  <c r="AK254" i="1"/>
  <c r="DA251" i="1"/>
  <c r="BM249" i="1"/>
  <c r="Y247" i="1"/>
  <c r="CO244" i="1"/>
  <c r="BA242" i="1"/>
  <c r="M240" i="1"/>
  <c r="CC237" i="1"/>
  <c r="AO235" i="1"/>
  <c r="DE232" i="1"/>
  <c r="BQ230" i="1"/>
  <c r="AC228" i="1"/>
  <c r="CS225" i="1"/>
  <c r="BE223" i="1"/>
  <c r="Q221" i="1"/>
  <c r="G322" i="1"/>
  <c r="BK312" i="1"/>
  <c r="K303" i="1"/>
  <c r="BG294" i="1"/>
  <c r="P290" i="1"/>
  <c r="DC286" i="1"/>
  <c r="CK283" i="1"/>
  <c r="BT280" i="1"/>
  <c r="BC277" i="1"/>
  <c r="AK274" i="1"/>
  <c r="T271" i="1"/>
  <c r="BH268" i="1"/>
  <c r="T266" i="1"/>
  <c r="CJ263" i="1"/>
  <c r="AV261" i="1"/>
  <c r="H259" i="1"/>
  <c r="BX256" i="1"/>
  <c r="AJ254" i="1"/>
  <c r="CZ251" i="1"/>
  <c r="BL249" i="1"/>
  <c r="X247" i="1"/>
  <c r="CN244" i="1"/>
  <c r="AZ242" i="1"/>
  <c r="L240" i="1"/>
  <c r="CB237" i="1"/>
  <c r="AN235" i="1"/>
  <c r="DD232" i="1"/>
  <c r="BP230" i="1"/>
  <c r="AB228" i="1"/>
  <c r="CR225" i="1"/>
  <c r="BD223" i="1"/>
  <c r="P221" i="1"/>
  <c r="BU218" i="1"/>
  <c r="AG216" i="1"/>
  <c r="CW213" i="1"/>
  <c r="BI211" i="1"/>
  <c r="U209" i="1"/>
  <c r="CK206" i="1"/>
  <c r="AW204" i="1"/>
  <c r="I202" i="1"/>
  <c r="BY199" i="1"/>
  <c r="AK197" i="1"/>
  <c r="DA194" i="1"/>
  <c r="BM192" i="1"/>
  <c r="Y190" i="1"/>
  <c r="CO187" i="1"/>
  <c r="BA185" i="1"/>
  <c r="M183" i="1"/>
  <c r="CC180" i="1"/>
  <c r="AO178" i="1"/>
  <c r="DE175" i="1"/>
  <c r="BQ173" i="1"/>
  <c r="J274" i="1"/>
  <c r="BB341" i="1"/>
  <c r="CW330" i="1"/>
  <c r="AW321" i="1"/>
  <c r="DA311" i="1"/>
  <c r="BA302" i="1"/>
  <c r="BN350" i="1"/>
  <c r="DD333" i="1"/>
  <c r="BD324" i="1"/>
  <c r="DH314" i="1"/>
  <c r="BH305" i="1"/>
  <c r="H296" i="1"/>
  <c r="F344" i="1"/>
  <c r="W332" i="1"/>
  <c r="BC311" i="1"/>
  <c r="BP286" i="1"/>
  <c r="DC273" i="1"/>
  <c r="BG263" i="1"/>
  <c r="G254" i="1"/>
  <c r="BK244" i="1"/>
  <c r="K235" i="1"/>
  <c r="BO225" i="1"/>
  <c r="AM312" i="1"/>
  <c r="CU286" i="1"/>
  <c r="AM275" i="1"/>
  <c r="BJ264" i="1"/>
  <c r="BV259" i="1"/>
  <c r="CX254" i="1"/>
  <c r="V250" i="1"/>
  <c r="AX245" i="1"/>
  <c r="BZ240" i="1"/>
  <c r="DB235" i="1"/>
  <c r="Z231" i="1"/>
  <c r="BB226" i="1"/>
  <c r="CD221" i="1"/>
  <c r="BK319" i="1"/>
  <c r="K310" i="1"/>
  <c r="BO300" i="1"/>
  <c r="AG293" i="1"/>
  <c r="AI289" i="1"/>
  <c r="Q286" i="1"/>
  <c r="DD282" i="1"/>
  <c r="CM279" i="1"/>
  <c r="BU276" i="1"/>
  <c r="BD273" i="1"/>
  <c r="AM270" i="1"/>
  <c r="CW267" i="1"/>
  <c r="BI265" i="1"/>
  <c r="U263" i="1"/>
  <c r="CK260" i="1"/>
  <c r="AK251" i="1"/>
  <c r="CO241" i="1"/>
  <c r="AO232" i="1"/>
  <c r="CS222" i="1"/>
  <c r="BK300" i="1"/>
  <c r="DC282" i="1"/>
  <c r="AK270" i="1"/>
  <c r="CJ260" i="1"/>
  <c r="AJ251" i="1"/>
  <c r="CN241" i="1"/>
  <c r="AN232" i="1"/>
  <c r="CR222" i="1"/>
  <c r="AG213" i="1"/>
  <c r="CK203" i="1"/>
  <c r="AK194" i="1"/>
  <c r="CO184" i="1"/>
  <c r="AO175" i="1"/>
  <c r="CS165" i="1"/>
  <c r="AS156" i="1"/>
  <c r="CW146" i="1"/>
  <c r="AB213" i="1"/>
  <c r="CJ282" i="1"/>
  <c r="S270" i="1"/>
  <c r="BV260" i="1"/>
  <c r="V251" i="1"/>
  <c r="BZ241" i="1"/>
  <c r="Z232" i="1"/>
  <c r="CD222" i="1"/>
  <c r="CQ299" i="1"/>
  <c r="CC282" i="1"/>
  <c r="M270" i="1"/>
  <c r="BQ260" i="1"/>
  <c r="Q251" i="1"/>
  <c r="BU241" i="1"/>
  <c r="U232" i="1"/>
  <c r="BY222" i="1"/>
  <c r="CM299" i="1"/>
  <c r="CB282" i="1"/>
  <c r="L270" i="1"/>
  <c r="BP260" i="1"/>
  <c r="P251" i="1"/>
  <c r="BT241" i="1"/>
  <c r="T232" i="1"/>
  <c r="BX222" i="1"/>
  <c r="M213" i="1"/>
  <c r="BQ203" i="1"/>
  <c r="Q194" i="1"/>
  <c r="BU184" i="1"/>
  <c r="U175" i="1"/>
  <c r="BY165" i="1"/>
  <c r="Y156" i="1"/>
  <c r="CC146" i="1"/>
  <c r="H213" i="1"/>
  <c r="AN282" i="1"/>
  <c r="CL269" i="1"/>
  <c r="AL260" i="1"/>
  <c r="CP250" i="1"/>
  <c r="AP241" i="1"/>
  <c r="CT231" i="1"/>
  <c r="AT222" i="1"/>
  <c r="BG298" i="1"/>
  <c r="AG282" i="1"/>
  <c r="CG269" i="1"/>
  <c r="AG260" i="1"/>
  <c r="CK250" i="1"/>
  <c r="AK241" i="1"/>
  <c r="CO231" i="1"/>
  <c r="AO222" i="1"/>
  <c r="BC298" i="1"/>
  <c r="AF282" i="1"/>
  <c r="CF269" i="1"/>
  <c r="AF260" i="1"/>
  <c r="CJ250" i="1"/>
  <c r="AJ241" i="1"/>
  <c r="CN231" i="1"/>
  <c r="AN222" i="1"/>
  <c r="CG212" i="1"/>
  <c r="AG203" i="1"/>
  <c r="CK193" i="1"/>
  <c r="AK184" i="1"/>
  <c r="CO174" i="1"/>
  <c r="AO165" i="1"/>
  <c r="CS155" i="1"/>
  <c r="AS146" i="1"/>
  <c r="CB212" i="1"/>
  <c r="M282" i="1"/>
  <c r="BR269" i="1"/>
  <c r="R260" i="1"/>
  <c r="BV250" i="1"/>
  <c r="V241" i="1"/>
  <c r="BZ231" i="1"/>
  <c r="Z222" i="1"/>
  <c r="CI297" i="1"/>
  <c r="G282" i="1"/>
  <c r="BM269" i="1"/>
  <c r="M260" i="1"/>
  <c r="BQ250" i="1"/>
  <c r="Q241" i="1"/>
  <c r="BU231" i="1"/>
  <c r="U222" i="1"/>
  <c r="CE297" i="1"/>
  <c r="DI281" i="1"/>
  <c r="BL269" i="1"/>
  <c r="L260" i="1"/>
  <c r="BP250" i="1"/>
  <c r="P241" i="1"/>
  <c r="BT231" i="1"/>
  <c r="T222" i="1"/>
  <c r="BM212" i="1"/>
  <c r="M203" i="1"/>
  <c r="BQ193" i="1"/>
  <c r="Q184" i="1"/>
  <c r="BU174" i="1"/>
  <c r="U165" i="1"/>
  <c r="Y323" i="1"/>
  <c r="CF335" i="1"/>
  <c r="CN297" i="1"/>
  <c r="DD288" i="1"/>
  <c r="AM246" i="1"/>
  <c r="AE289" i="1"/>
  <c r="BV255" i="1"/>
  <c r="BZ236" i="1"/>
  <c r="AM321" i="1"/>
  <c r="CU289" i="1"/>
  <c r="AC277" i="1"/>
  <c r="DE265" i="1"/>
  <c r="BE256" i="1"/>
  <c r="DI246" i="1"/>
  <c r="BI237" i="1"/>
  <c r="I228" i="1"/>
  <c r="AI321" i="1"/>
  <c r="CS289" i="1"/>
  <c r="AB277" i="1"/>
  <c r="DD265" i="1"/>
  <c r="BD256" i="1"/>
  <c r="DH246" i="1"/>
  <c r="BH237" i="1"/>
  <c r="H228" i="1"/>
  <c r="BA218" i="1"/>
  <c r="DE208" i="1"/>
  <c r="BE199" i="1"/>
  <c r="DI189" i="1"/>
  <c r="BI180" i="1"/>
  <c r="I171" i="1"/>
  <c r="BM161" i="1"/>
  <c r="M152" i="1"/>
  <c r="AV218" i="1"/>
  <c r="CZ208" i="1"/>
  <c r="I277" i="1"/>
  <c r="CP265" i="1"/>
  <c r="AP256" i="1"/>
  <c r="CT246" i="1"/>
  <c r="AT237" i="1"/>
  <c r="CX227" i="1"/>
  <c r="BO320" i="1"/>
  <c r="BT289" i="1"/>
  <c r="DG276" i="1"/>
  <c r="CK265" i="1"/>
  <c r="AK256" i="1"/>
  <c r="CO246" i="1"/>
  <c r="AO237" i="1"/>
  <c r="CS227" i="1"/>
  <c r="BK320" i="1"/>
  <c r="BS289" i="1"/>
  <c r="DE276" i="1"/>
  <c r="CJ265" i="1"/>
  <c r="AJ256" i="1"/>
  <c r="CN246" i="1"/>
  <c r="AN237" i="1"/>
  <c r="CR227" i="1"/>
  <c r="AG218" i="1"/>
  <c r="CK208" i="1"/>
  <c r="AK199" i="1"/>
  <c r="CO189" i="1"/>
  <c r="AO180" i="1"/>
  <c r="CS170" i="1"/>
  <c r="AS161" i="1"/>
  <c r="CW151" i="1"/>
  <c r="AB218" i="1"/>
  <c r="CF208" i="1"/>
  <c r="BQ276" i="1"/>
  <c r="BF265" i="1"/>
  <c r="F256" i="1"/>
  <c r="BJ246" i="1"/>
  <c r="J237" i="1"/>
  <c r="BN227" i="1"/>
  <c r="AE319" i="1"/>
  <c r="X289" i="1"/>
  <c r="BK276" i="1"/>
  <c r="BA265" i="1"/>
  <c r="DE255" i="1"/>
  <c r="BE246" i="1"/>
  <c r="DI236" i="1"/>
  <c r="BI227" i="1"/>
  <c r="AA319" i="1"/>
  <c r="W289" i="1"/>
  <c r="BI276" i="1"/>
  <c r="AZ265" i="1"/>
  <c r="DD255" i="1"/>
  <c r="BD246" i="1"/>
  <c r="DH236" i="1"/>
  <c r="BH227" i="1"/>
  <c r="DA217" i="1"/>
  <c r="BA208" i="1"/>
  <c r="DE198" i="1"/>
  <c r="BE189" i="1"/>
  <c r="DI179" i="1"/>
  <c r="BI170" i="1"/>
  <c r="I161" i="1"/>
  <c r="BM151" i="1"/>
  <c r="CV217" i="1"/>
  <c r="AV208" i="1"/>
  <c r="AQ276" i="1"/>
  <c r="AL265" i="1"/>
  <c r="CP255" i="1"/>
  <c r="AP246" i="1"/>
  <c r="CT236" i="1"/>
  <c r="AT227" i="1"/>
  <c r="BG318" i="1"/>
  <c r="DA288" i="1"/>
  <c r="AJ276" i="1"/>
  <c r="AG265" i="1"/>
  <c r="CK255" i="1"/>
  <c r="AK246" i="1"/>
  <c r="CO236" i="1"/>
  <c r="AO227" i="1"/>
  <c r="BC318" i="1"/>
  <c r="CZ288" i="1"/>
  <c r="AI276" i="1"/>
  <c r="AF265" i="1"/>
  <c r="CJ255" i="1"/>
  <c r="AJ246" i="1"/>
  <c r="CN236" i="1"/>
  <c r="AN227" i="1"/>
  <c r="CG217" i="1"/>
  <c r="AG208" i="1"/>
  <c r="CK198" i="1"/>
  <c r="AK189" i="1"/>
  <c r="CO179" i="1"/>
  <c r="AO170" i="1"/>
  <c r="BF270" i="1"/>
  <c r="AS308" i="1"/>
  <c r="CZ320" i="1"/>
  <c r="O338" i="1"/>
  <c r="AY269" i="1"/>
  <c r="BG231" i="1"/>
  <c r="BO270" i="1"/>
  <c r="AT248" i="1"/>
  <c r="AX229" i="1"/>
  <c r="BG306" i="1"/>
  <c r="DA284" i="1"/>
  <c r="AJ272" i="1"/>
  <c r="AG262" i="1"/>
  <c r="CK252" i="1"/>
  <c r="AK243" i="1"/>
  <c r="CO233" i="1"/>
  <c r="AO224" i="1"/>
  <c r="BC306" i="1"/>
  <c r="CZ284" i="1"/>
  <c r="AI272" i="1"/>
  <c r="AF262" i="1"/>
  <c r="CJ252" i="1"/>
  <c r="AJ243" i="1"/>
  <c r="CN233" i="1"/>
  <c r="AN224" i="1"/>
  <c r="CG214" i="1"/>
  <c r="AG205" i="1"/>
  <c r="CK195" i="1"/>
  <c r="AK186" i="1"/>
  <c r="CO176" i="1"/>
  <c r="AO167" i="1"/>
  <c r="CS157" i="1"/>
  <c r="AS148" i="1"/>
  <c r="CB214" i="1"/>
  <c r="CG284" i="1"/>
  <c r="P272" i="1"/>
  <c r="R262" i="1"/>
  <c r="BV252" i="1"/>
  <c r="V243" i="1"/>
  <c r="BZ233" i="1"/>
  <c r="Z224" i="1"/>
  <c r="CI305" i="1"/>
  <c r="CA284" i="1"/>
  <c r="I272" i="1"/>
  <c r="M262" i="1"/>
  <c r="BQ252" i="1"/>
  <c r="Q243" i="1"/>
  <c r="BU233" i="1"/>
  <c r="U224" i="1"/>
  <c r="CE305" i="1"/>
  <c r="BY284" i="1"/>
  <c r="H272" i="1"/>
  <c r="L262" i="1"/>
  <c r="BP252" i="1"/>
  <c r="P243" i="1"/>
  <c r="BT233" i="1"/>
  <c r="T224" i="1"/>
  <c r="BM214" i="1"/>
  <c r="M205" i="1"/>
  <c r="BQ195" i="1"/>
  <c r="Q186" i="1"/>
  <c r="BU176" i="1"/>
  <c r="U167" i="1"/>
  <c r="BY157" i="1"/>
  <c r="Y148" i="1"/>
  <c r="BH214" i="1"/>
  <c r="AK284" i="1"/>
  <c r="BX271" i="1"/>
  <c r="CL261" i="1"/>
  <c r="AL252" i="1"/>
  <c r="CP242" i="1"/>
  <c r="AP233" i="1"/>
  <c r="CT223" i="1"/>
  <c r="AY304" i="1"/>
  <c r="AE284" i="1"/>
  <c r="BQ271" i="1"/>
  <c r="CG261" i="1"/>
  <c r="AG252" i="1"/>
  <c r="CK242" i="1"/>
  <c r="AK233" i="1"/>
  <c r="CO223" i="1"/>
  <c r="AU304" i="1"/>
  <c r="AC284" i="1"/>
  <c r="BP271" i="1"/>
  <c r="CF261" i="1"/>
  <c r="AF252" i="1"/>
  <c r="CJ242" i="1"/>
  <c r="AJ233" i="1"/>
  <c r="CN223" i="1"/>
  <c r="AC214" i="1"/>
  <c r="CG204" i="1"/>
  <c r="AG195" i="1"/>
  <c r="CK185" i="1"/>
  <c r="AK176" i="1"/>
  <c r="CO166" i="1"/>
  <c r="AO157" i="1"/>
  <c r="CS147" i="1"/>
  <c r="X214" i="1"/>
  <c r="K284" i="1"/>
  <c r="AW271" i="1"/>
  <c r="BR261" i="1"/>
  <c r="R252" i="1"/>
  <c r="BV242" i="1"/>
  <c r="V233" i="1"/>
  <c r="BZ223" i="1"/>
  <c r="CA303" i="1"/>
  <c r="DH283" i="1"/>
  <c r="AQ271" i="1"/>
  <c r="BM261" i="1"/>
  <c r="M252" i="1"/>
  <c r="BQ242" i="1"/>
  <c r="Q233" i="1"/>
  <c r="BU223" i="1"/>
  <c r="BW303" i="1"/>
  <c r="DG283" i="1"/>
  <c r="AO271" i="1"/>
  <c r="BL261" i="1"/>
  <c r="L252" i="1"/>
  <c r="BP242" i="1"/>
  <c r="P233" i="1"/>
  <c r="BT223" i="1"/>
  <c r="I214" i="1"/>
  <c r="BM204" i="1"/>
  <c r="M195" i="1"/>
  <c r="BQ185" i="1"/>
  <c r="Q176" i="1"/>
  <c r="BU166" i="1"/>
  <c r="U157" i="1"/>
  <c r="AS163" i="1"/>
  <c r="BE150" i="1"/>
  <c r="CN216" i="1"/>
  <c r="AN207" i="1"/>
  <c r="DH197" i="1"/>
  <c r="BH188" i="1"/>
  <c r="H179" i="1"/>
  <c r="BL169" i="1"/>
  <c r="L160" i="1"/>
  <c r="BP150" i="1"/>
  <c r="CY216" i="1"/>
  <c r="AY207" i="1"/>
  <c r="DC197" i="1"/>
  <c r="BC188" i="1"/>
  <c r="DG178" i="1"/>
  <c r="BG169" i="1"/>
  <c r="G160" i="1"/>
  <c r="BK150" i="1"/>
  <c r="CL219" i="1"/>
  <c r="F215" i="1"/>
  <c r="AH210" i="1"/>
  <c r="BJ205" i="1"/>
  <c r="CL200" i="1"/>
  <c r="J196" i="1"/>
  <c r="AL191" i="1"/>
  <c r="BN186" i="1"/>
  <c r="CP181" i="1"/>
  <c r="N177" i="1"/>
  <c r="AP172" i="1"/>
  <c r="BR167" i="1"/>
  <c r="CT162" i="1"/>
  <c r="R158" i="1"/>
  <c r="AT153" i="1"/>
  <c r="BV148" i="1"/>
  <c r="DC143" i="1"/>
  <c r="AA139" i="1"/>
  <c r="BC134" i="1"/>
  <c r="CE129" i="1"/>
  <c r="DG124" i="1"/>
  <c r="AE120" i="1"/>
  <c r="BG115" i="1"/>
  <c r="CI110" i="1"/>
  <c r="G106" i="1"/>
  <c r="AI101" i="1"/>
  <c r="BK96" i="1"/>
  <c r="CM91" i="1"/>
  <c r="K87" i="1"/>
  <c r="AM82" i="1"/>
  <c r="BO77" i="1"/>
  <c r="CQ72" i="1"/>
  <c r="O68" i="1"/>
  <c r="AQ63" i="1"/>
  <c r="BS58" i="1"/>
  <c r="BH205" i="1"/>
  <c r="CJ200" i="1"/>
  <c r="H196" i="1"/>
  <c r="AJ191" i="1"/>
  <c r="BL186" i="1"/>
  <c r="CN181" i="1"/>
  <c r="L177" i="1"/>
  <c r="AN172" i="1"/>
  <c r="BP167" i="1"/>
  <c r="CR162" i="1"/>
  <c r="P158" i="1"/>
  <c r="AR153" i="1"/>
  <c r="BT148" i="1"/>
  <c r="CC219" i="1"/>
  <c r="DC214" i="1"/>
  <c r="AA210" i="1"/>
  <c r="BC205" i="1"/>
  <c r="CE200" i="1"/>
  <c r="DG195" i="1"/>
  <c r="AE191" i="1"/>
  <c r="BG186" i="1"/>
  <c r="CI181" i="1"/>
  <c r="G177" i="1"/>
  <c r="AI172" i="1"/>
  <c r="BK167" i="1"/>
  <c r="CM162" i="1"/>
  <c r="K158" i="1"/>
  <c r="AM153" i="1"/>
  <c r="BO148" i="1"/>
  <c r="BN219" i="1"/>
  <c r="CP214" i="1"/>
  <c r="N210" i="1"/>
  <c r="AP205" i="1"/>
  <c r="BR200" i="1"/>
  <c r="CT195" i="1"/>
  <c r="R191" i="1"/>
  <c r="AT186" i="1"/>
  <c r="BV181" i="1"/>
  <c r="CX176" i="1"/>
  <c r="V172" i="1"/>
  <c r="AX167" i="1"/>
  <c r="BZ162" i="1"/>
  <c r="DB157" i="1"/>
  <c r="Z153" i="1"/>
  <c r="BB148" i="1"/>
  <c r="CI143" i="1"/>
  <c r="G139" i="1"/>
  <c r="AI134" i="1"/>
  <c r="BK129" i="1"/>
  <c r="CM124" i="1"/>
  <c r="K120" i="1"/>
  <c r="AM115" i="1"/>
  <c r="BO110" i="1"/>
  <c r="CQ105" i="1"/>
  <c r="O101" i="1"/>
  <c r="AQ96" i="1"/>
  <c r="BS91" i="1"/>
  <c r="L206" i="1"/>
  <c r="AN201" i="1"/>
  <c r="BP196" i="1"/>
  <c r="CR191" i="1"/>
  <c r="P187" i="1"/>
  <c r="AR182" i="1"/>
  <c r="BT177" i="1"/>
  <c r="CV172" i="1"/>
  <c r="T168" i="1"/>
  <c r="AV163" i="1"/>
  <c r="BX158" i="1"/>
  <c r="CZ153" i="1"/>
  <c r="X149" i="1"/>
  <c r="AZ144" i="1"/>
  <c r="X206" i="1"/>
  <c r="AZ201" i="1"/>
  <c r="CB196" i="1"/>
  <c r="DD191" i="1"/>
  <c r="AB187" i="1"/>
  <c r="BD182" i="1"/>
  <c r="CF177" i="1"/>
  <c r="DH172" i="1"/>
  <c r="AF168" i="1"/>
  <c r="BH163" i="1"/>
  <c r="CJ158" i="1"/>
  <c r="H154" i="1"/>
  <c r="AJ149" i="1"/>
  <c r="BL144" i="1"/>
  <c r="BS215" i="1"/>
  <c r="CU210" i="1"/>
  <c r="S206" i="1"/>
  <c r="AU201" i="1"/>
  <c r="BW196" i="1"/>
  <c r="CY191" i="1"/>
  <c r="W187" i="1"/>
  <c r="AY182" i="1"/>
  <c r="CA177" i="1"/>
  <c r="DC172" i="1"/>
  <c r="AA168" i="1"/>
  <c r="BC163" i="1"/>
  <c r="CE158" i="1"/>
  <c r="DG153" i="1"/>
  <c r="AE149" i="1"/>
  <c r="BG144" i="1"/>
  <c r="BF215" i="1"/>
  <c r="CH210" i="1"/>
  <c r="F206" i="1"/>
  <c r="AH201" i="1"/>
  <c r="BJ196" i="1"/>
  <c r="CL191" i="1"/>
  <c r="J187" i="1"/>
  <c r="AL182" i="1"/>
  <c r="BN177" i="1"/>
  <c r="CP172" i="1"/>
  <c r="N168" i="1"/>
  <c r="AP163" i="1"/>
  <c r="BR158" i="1"/>
  <c r="CT153" i="1"/>
  <c r="R149" i="1"/>
  <c r="AT144" i="1"/>
  <c r="CA139" i="1"/>
  <c r="DC134" i="1"/>
  <c r="AA130" i="1"/>
  <c r="BC125" i="1"/>
  <c r="CE120" i="1"/>
  <c r="DG115" i="1"/>
  <c r="AE111" i="1"/>
  <c r="BG106" i="1"/>
  <c r="CI101" i="1"/>
  <c r="G97" i="1"/>
  <c r="AI92" i="1"/>
  <c r="BK87" i="1"/>
  <c r="AU208" i="1"/>
  <c r="AY189" i="1"/>
  <c r="BC170" i="1"/>
  <c r="BG151" i="1"/>
  <c r="AH208" i="1"/>
  <c r="AL189" i="1"/>
  <c r="AP170" i="1"/>
  <c r="AT151" i="1"/>
  <c r="BC132" i="1"/>
  <c r="BG113" i="1"/>
  <c r="BK94" i="1"/>
  <c r="CA82" i="1"/>
  <c r="AQ76" i="1"/>
  <c r="K70" i="1"/>
  <c r="CE63" i="1"/>
  <c r="AU57" i="1"/>
  <c r="S52" i="1"/>
  <c r="AU47" i="1"/>
  <c r="BW42" i="1"/>
  <c r="CY37" i="1"/>
  <c r="W33" i="1"/>
  <c r="AY28" i="1"/>
  <c r="CA23" i="1"/>
  <c r="DC18" i="1"/>
  <c r="AA14" i="1"/>
  <c r="BC9" i="1"/>
  <c r="CE4" i="1"/>
  <c r="CX140" i="1"/>
  <c r="V136" i="1"/>
  <c r="AX131" i="1"/>
  <c r="BZ126" i="1"/>
  <c r="DB121" i="1"/>
  <c r="Z117" i="1"/>
  <c r="BB112" i="1"/>
  <c r="CD107" i="1"/>
  <c r="DF102" i="1"/>
  <c r="AX99" i="1"/>
  <c r="J97" i="1"/>
  <c r="BZ94" i="1"/>
  <c r="AL92" i="1"/>
  <c r="DB89" i="1"/>
  <c r="BN87" i="1"/>
  <c r="Z85" i="1"/>
  <c r="CP82" i="1"/>
  <c r="BB80" i="1"/>
  <c r="N78" i="1"/>
  <c r="CD75" i="1"/>
  <c r="AP73" i="1"/>
  <c r="DF70" i="1"/>
  <c r="BR68" i="1"/>
  <c r="AD66" i="1"/>
  <c r="CT63" i="1"/>
  <c r="BF61" i="1"/>
  <c r="R59" i="1"/>
  <c r="CH56" i="1"/>
  <c r="AT54" i="1"/>
  <c r="F52" i="1"/>
  <c r="BV49" i="1"/>
  <c r="AH47" i="1"/>
  <c r="CX44" i="1"/>
  <c r="BJ42" i="1"/>
  <c r="V40" i="1"/>
  <c r="CL37" i="1"/>
  <c r="AX35" i="1"/>
  <c r="J33" i="1"/>
  <c r="BZ30" i="1"/>
  <c r="AL28" i="1"/>
  <c r="DB25" i="1"/>
  <c r="BN23" i="1"/>
  <c r="Z21" i="1"/>
  <c r="CP18" i="1"/>
  <c r="BB16" i="1"/>
  <c r="N14" i="1"/>
  <c r="CD11" i="1"/>
  <c r="AP9" i="1"/>
  <c r="DF6" i="1"/>
  <c r="BR4" i="1"/>
  <c r="M167" i="1"/>
  <c r="BA161" i="1"/>
  <c r="Y158" i="1"/>
  <c r="M155" i="1"/>
  <c r="DE151" i="1"/>
  <c r="U149" i="1"/>
  <c r="CK146" i="1"/>
  <c r="AW144" i="1"/>
  <c r="CR217" i="1"/>
  <c r="BD215" i="1"/>
  <c r="P213" i="1"/>
  <c r="CF210" i="1"/>
  <c r="AR208" i="1"/>
  <c r="T206" i="1"/>
  <c r="CJ203" i="1"/>
  <c r="AV201" i="1"/>
  <c r="H199" i="1"/>
  <c r="BX196" i="1"/>
  <c r="AJ194" i="1"/>
  <c r="CZ191" i="1"/>
  <c r="BL189" i="1"/>
  <c r="X187" i="1"/>
  <c r="CN184" i="1"/>
  <c r="AZ182" i="1"/>
  <c r="L180" i="1"/>
  <c r="CB177" i="1"/>
  <c r="AN175" i="1"/>
  <c r="DD172" i="1"/>
  <c r="BP170" i="1"/>
  <c r="AB168" i="1"/>
  <c r="CR165" i="1"/>
  <c r="BD163" i="1"/>
  <c r="P161" i="1"/>
  <c r="CF158" i="1"/>
  <c r="AR156" i="1"/>
  <c r="DH153" i="1"/>
  <c r="BT151" i="1"/>
  <c r="AF149" i="1"/>
  <c r="CV146" i="1"/>
  <c r="BH144" i="1"/>
  <c r="DC217" i="1"/>
  <c r="BO215" i="1"/>
  <c r="AA213" i="1"/>
  <c r="CQ210" i="1"/>
  <c r="BC208" i="1"/>
  <c r="O206" i="1"/>
  <c r="CE203" i="1"/>
  <c r="AQ201" i="1"/>
  <c r="DG198" i="1"/>
  <c r="BS196" i="1"/>
  <c r="AE194" i="1"/>
  <c r="CU191" i="1"/>
  <c r="BG189" i="1"/>
  <c r="S187" i="1"/>
  <c r="CI184" i="1"/>
  <c r="AU182" i="1"/>
  <c r="G180" i="1"/>
  <c r="BW177" i="1"/>
  <c r="AI175" i="1"/>
  <c r="CY172" i="1"/>
  <c r="BK170" i="1"/>
  <c r="W168" i="1"/>
  <c r="CM165" i="1"/>
  <c r="AY163" i="1"/>
  <c r="K161" i="1"/>
  <c r="CA158" i="1"/>
  <c r="AM156" i="1"/>
  <c r="DC153" i="1"/>
  <c r="BO151" i="1"/>
  <c r="AA149" i="1"/>
  <c r="CQ146" i="1"/>
  <c r="BC144" i="1"/>
  <c r="CP217" i="1"/>
  <c r="BB215" i="1"/>
  <c r="N213" i="1"/>
  <c r="CD210" i="1"/>
  <c r="AP208" i="1"/>
  <c r="DF205" i="1"/>
  <c r="BR203" i="1"/>
  <c r="AD201" i="1"/>
  <c r="CT198" i="1"/>
  <c r="BF196" i="1"/>
  <c r="R194" i="1"/>
  <c r="CH191" i="1"/>
  <c r="AT189" i="1"/>
  <c r="F187" i="1"/>
  <c r="BV184" i="1"/>
  <c r="AH182" i="1"/>
  <c r="CX179" i="1"/>
  <c r="BJ177" i="1"/>
  <c r="V175" i="1"/>
  <c r="CL172" i="1"/>
  <c r="AX170" i="1"/>
  <c r="J168" i="1"/>
  <c r="BZ165" i="1"/>
  <c r="AL163" i="1"/>
  <c r="DB160" i="1"/>
  <c r="BN158" i="1"/>
  <c r="Z156" i="1"/>
  <c r="CP153" i="1"/>
  <c r="BB151" i="1"/>
  <c r="N149" i="1"/>
  <c r="CD146" i="1"/>
  <c r="AP144" i="1"/>
  <c r="G142" i="1"/>
  <c r="BW139" i="1"/>
  <c r="AI137" i="1"/>
  <c r="CY134" i="1"/>
  <c r="BK132" i="1"/>
  <c r="W130" i="1"/>
  <c r="CM127" i="1"/>
  <c r="AY125" i="1"/>
  <c r="K123" i="1"/>
  <c r="CA120" i="1"/>
  <c r="AM118" i="1"/>
  <c r="DC115" i="1"/>
  <c r="BO113" i="1"/>
  <c r="AA111" i="1"/>
  <c r="CQ108" i="1"/>
  <c r="BC106" i="1"/>
  <c r="O104" i="1"/>
  <c r="CE101" i="1"/>
  <c r="AQ99" i="1"/>
  <c r="DG96" i="1"/>
  <c r="BS94" i="1"/>
  <c r="AE92" i="1"/>
  <c r="CU89" i="1"/>
  <c r="BG87" i="1"/>
  <c r="S85" i="1"/>
  <c r="CI82" i="1"/>
  <c r="AU80" i="1"/>
  <c r="G78" i="1"/>
  <c r="BW75" i="1"/>
  <c r="AI73" i="1"/>
  <c r="CY70" i="1"/>
  <c r="BK68" i="1"/>
  <c r="W66" i="1"/>
  <c r="CM63" i="1"/>
  <c r="AY61" i="1"/>
  <c r="K59" i="1"/>
  <c r="CA56" i="1"/>
  <c r="DD205" i="1"/>
  <c r="BP203" i="1"/>
  <c r="AB201" i="1"/>
  <c r="CR198" i="1"/>
  <c r="BD196" i="1"/>
  <c r="P194" i="1"/>
  <c r="CF191" i="1"/>
  <c r="AR189" i="1"/>
  <c r="DH186" i="1"/>
  <c r="BT184" i="1"/>
  <c r="AF182" i="1"/>
  <c r="CV179" i="1"/>
  <c r="BH177" i="1"/>
  <c r="T175" i="1"/>
  <c r="CJ172" i="1"/>
  <c r="AV170" i="1"/>
  <c r="H168" i="1"/>
  <c r="BX165" i="1"/>
  <c r="AJ163" i="1"/>
  <c r="CZ160" i="1"/>
  <c r="BL158" i="1"/>
  <c r="X156" i="1"/>
  <c r="CN153" i="1"/>
  <c r="AZ151" i="1"/>
  <c r="L149" i="1"/>
  <c r="CB146" i="1"/>
  <c r="AN144" i="1"/>
  <c r="CI217" i="1"/>
  <c r="AU215" i="1"/>
  <c r="G213" i="1"/>
  <c r="BW210" i="1"/>
  <c r="AI208" i="1"/>
  <c r="CY205" i="1"/>
  <c r="BK203" i="1"/>
  <c r="W201" i="1"/>
  <c r="CM198" i="1"/>
  <c r="AY196" i="1"/>
  <c r="K194" i="1"/>
  <c r="CA191" i="1"/>
  <c r="AM189" i="1"/>
  <c r="DC186" i="1"/>
  <c r="BO184" i="1"/>
  <c r="AA182" i="1"/>
  <c r="CQ179" i="1"/>
  <c r="BC177" i="1"/>
  <c r="O175" i="1"/>
  <c r="CE172" i="1"/>
  <c r="AQ170" i="1"/>
  <c r="DG167" i="1"/>
  <c r="BS165" i="1"/>
  <c r="AE163" i="1"/>
  <c r="CU160" i="1"/>
  <c r="BG158" i="1"/>
  <c r="S156" i="1"/>
  <c r="CI153" i="1"/>
  <c r="AU151" i="1"/>
  <c r="G149" i="1"/>
  <c r="BW146" i="1"/>
  <c r="AI144" i="1"/>
  <c r="BV217" i="1"/>
  <c r="AH215" i="1"/>
  <c r="CX212" i="1"/>
  <c r="BJ210" i="1"/>
  <c r="V208" i="1"/>
  <c r="CL205" i="1"/>
  <c r="AX203" i="1"/>
  <c r="J201" i="1"/>
  <c r="BZ198" i="1"/>
  <c r="AL196" i="1"/>
  <c r="DB193" i="1"/>
  <c r="BN191" i="1"/>
  <c r="Z189" i="1"/>
  <c r="CP186" i="1"/>
  <c r="BB184" i="1"/>
  <c r="N182" i="1"/>
  <c r="CD179" i="1"/>
  <c r="AP177" i="1"/>
  <c r="DF174" i="1"/>
  <c r="BR172" i="1"/>
  <c r="AD170" i="1"/>
  <c r="CT167" i="1"/>
  <c r="BF165" i="1"/>
  <c r="R163" i="1"/>
  <c r="CH160" i="1"/>
  <c r="AT158" i="1"/>
  <c r="F156" i="1"/>
  <c r="BV153" i="1"/>
  <c r="AH151" i="1"/>
  <c r="CX148" i="1"/>
  <c r="BJ146" i="1"/>
  <c r="V144" i="1"/>
  <c r="CQ141" i="1"/>
  <c r="BC139" i="1"/>
  <c r="O137" i="1"/>
  <c r="CE134" i="1"/>
  <c r="AQ132" i="1"/>
  <c r="DG129" i="1"/>
  <c r="BS127" i="1"/>
  <c r="AE125" i="1"/>
  <c r="CU122" i="1"/>
  <c r="BG120" i="1"/>
  <c r="S118" i="1"/>
  <c r="CI115" i="1"/>
  <c r="AU113" i="1"/>
  <c r="G111" i="1"/>
  <c r="BW108" i="1"/>
  <c r="AI106" i="1"/>
  <c r="CY103" i="1"/>
  <c r="BK101" i="1"/>
  <c r="W99" i="1"/>
  <c r="CM96" i="1"/>
  <c r="AY94" i="1"/>
  <c r="K92" i="1"/>
  <c r="CA89" i="1"/>
  <c r="BH206" i="1"/>
  <c r="T204" i="1"/>
  <c r="CJ201" i="1"/>
  <c r="AV199" i="1"/>
  <c r="H197" i="1"/>
  <c r="BX194" i="1"/>
  <c r="AJ192" i="1"/>
  <c r="CZ189" i="1"/>
  <c r="BL187" i="1"/>
  <c r="X185" i="1"/>
  <c r="CN182" i="1"/>
  <c r="AZ180" i="1"/>
  <c r="L178" i="1"/>
  <c r="CB175" i="1"/>
  <c r="AN173" i="1"/>
  <c r="DD170" i="1"/>
  <c r="BP168" i="1"/>
  <c r="AB166" i="1"/>
  <c r="CR163" i="1"/>
  <c r="BD161" i="1"/>
  <c r="P159" i="1"/>
  <c r="CF156" i="1"/>
  <c r="AR154" i="1"/>
  <c r="DH151" i="1"/>
  <c r="BT149" i="1"/>
  <c r="AF147" i="1"/>
  <c r="CV144" i="1"/>
  <c r="AM218" i="1"/>
  <c r="BT206" i="1"/>
  <c r="AF204" i="1"/>
  <c r="CV201" i="1"/>
  <c r="BH199" i="1"/>
  <c r="T197" i="1"/>
  <c r="CJ194" i="1"/>
  <c r="AV192" i="1"/>
  <c r="H190" i="1"/>
  <c r="BX187" i="1"/>
  <c r="AJ185" i="1"/>
  <c r="CZ182" i="1"/>
  <c r="BL180" i="1"/>
  <c r="X178" i="1"/>
  <c r="CN175" i="1"/>
  <c r="AZ173" i="1"/>
  <c r="L171" i="1"/>
  <c r="CB168" i="1"/>
  <c r="AN166" i="1"/>
  <c r="DD163" i="1"/>
  <c r="BP161" i="1"/>
  <c r="AB159" i="1"/>
  <c r="CR156" i="1"/>
  <c r="BD154" i="1"/>
  <c r="P152" i="1"/>
  <c r="CF149" i="1"/>
  <c r="AR147" i="1"/>
  <c r="DH144" i="1"/>
  <c r="AY218" i="1"/>
  <c r="K216" i="1"/>
  <c r="CA213" i="1"/>
  <c r="AM211" i="1"/>
  <c r="DC208" i="1"/>
  <c r="BO206" i="1"/>
  <c r="AA204" i="1"/>
  <c r="CQ201" i="1"/>
  <c r="BC199" i="1"/>
  <c r="O197" i="1"/>
  <c r="CE194" i="1"/>
  <c r="AQ192" i="1"/>
  <c r="DG189" i="1"/>
  <c r="BS187" i="1"/>
  <c r="AE185" i="1"/>
  <c r="CU182" i="1"/>
  <c r="BG180" i="1"/>
  <c r="S178" i="1"/>
  <c r="CI175" i="1"/>
  <c r="AU173" i="1"/>
  <c r="G171" i="1"/>
  <c r="BW168" i="1"/>
  <c r="AI166" i="1"/>
  <c r="CY163" i="1"/>
  <c r="BK161" i="1"/>
  <c r="W159" i="1"/>
  <c r="CM156" i="1"/>
  <c r="AY154" i="1"/>
  <c r="K152" i="1"/>
  <c r="CA149" i="1"/>
  <c r="AM147" i="1"/>
  <c r="DC144" i="1"/>
  <c r="AL218" i="1"/>
  <c r="DB215" i="1"/>
  <c r="BN213" i="1"/>
  <c r="Z211" i="1"/>
  <c r="CP208" i="1"/>
  <c r="BB206" i="1"/>
  <c r="N204" i="1"/>
  <c r="CD201" i="1"/>
  <c r="AP199" i="1"/>
  <c r="DF196" i="1"/>
  <c r="BR194" i="1"/>
  <c r="AD192" i="1"/>
  <c r="CT189" i="1"/>
  <c r="BF187" i="1"/>
  <c r="R185" i="1"/>
  <c r="CH182" i="1"/>
  <c r="AT180" i="1"/>
  <c r="F178" i="1"/>
  <c r="BV175" i="1"/>
  <c r="AH173" i="1"/>
  <c r="CX170" i="1"/>
  <c r="BJ168" i="1"/>
  <c r="V166" i="1"/>
  <c r="CL163" i="1"/>
  <c r="AX161" i="1"/>
  <c r="J159" i="1"/>
  <c r="BZ156" i="1"/>
  <c r="AL154" i="1"/>
  <c r="DB151" i="1"/>
  <c r="BN149" i="1"/>
  <c r="Z147" i="1"/>
  <c r="CP144" i="1"/>
  <c r="BG142" i="1"/>
  <c r="S140" i="1"/>
  <c r="CI137" i="1"/>
  <c r="AU135" i="1"/>
  <c r="G133" i="1"/>
  <c r="BW130" i="1"/>
  <c r="AI128" i="1"/>
  <c r="CY125" i="1"/>
  <c r="BK123" i="1"/>
  <c r="W121" i="1"/>
  <c r="CM118" i="1"/>
  <c r="AY116" i="1"/>
  <c r="K114" i="1"/>
  <c r="CA111" i="1"/>
  <c r="AM109" i="1"/>
  <c r="DC106" i="1"/>
  <c r="BO104" i="1"/>
  <c r="AA102" i="1"/>
  <c r="CQ99" i="1"/>
  <c r="BC97" i="1"/>
  <c r="O95" i="1"/>
  <c r="CE92" i="1"/>
  <c r="AQ90" i="1"/>
  <c r="DG87" i="1"/>
  <c r="BS85" i="1"/>
  <c r="W210" i="1"/>
  <c r="CA200" i="1"/>
  <c r="AA191" i="1"/>
  <c r="CE181" i="1"/>
  <c r="AE172" i="1"/>
  <c r="CI162" i="1"/>
  <c r="AI153" i="1"/>
  <c r="BJ219" i="1"/>
  <c r="J210" i="1"/>
  <c r="BN200" i="1"/>
  <c r="N191" i="1"/>
  <c r="BR181" i="1"/>
  <c r="R172" i="1"/>
  <c r="BV162" i="1"/>
  <c r="V153" i="1"/>
  <c r="CE143" i="1"/>
  <c r="AE134" i="1"/>
  <c r="CI124" i="1"/>
  <c r="AI115" i="1"/>
  <c r="CM105" i="1"/>
  <c r="AM96" i="1"/>
  <c r="AI87" i="1"/>
  <c r="AI83" i="1"/>
  <c r="S80" i="1"/>
  <c r="DC76" i="1"/>
  <c r="CM73" i="1"/>
  <c r="BW70" i="1"/>
  <c r="BC67" i="1"/>
  <c r="AM64" i="1"/>
  <c r="W61" i="1"/>
  <c r="DG57" i="1"/>
  <c r="DC54" i="1"/>
  <c r="BO52" i="1"/>
  <c r="AA50" i="1"/>
  <c r="CQ47" i="1"/>
  <c r="BC45" i="1"/>
  <c r="O43" i="1"/>
  <c r="CE40" i="1"/>
  <c r="AQ38" i="1"/>
  <c r="DG35" i="1"/>
  <c r="BS33" i="1"/>
  <c r="AE31" i="1"/>
  <c r="CU28" i="1"/>
  <c r="BG26" i="1"/>
  <c r="S24" i="1"/>
  <c r="CI21" i="1"/>
  <c r="AU19" i="1"/>
  <c r="G17" i="1"/>
  <c r="BW14" i="1"/>
  <c r="AI12" i="1"/>
  <c r="CY9" i="1"/>
  <c r="BK7" i="1"/>
  <c r="W5" i="1"/>
  <c r="CD143" i="1"/>
  <c r="AP141" i="1"/>
  <c r="DF138" i="1"/>
  <c r="BR136" i="1"/>
  <c r="AD134" i="1"/>
  <c r="CT131" i="1"/>
  <c r="BF129" i="1"/>
  <c r="R127" i="1"/>
  <c r="CH124" i="1"/>
  <c r="AT122" i="1"/>
  <c r="F120" i="1"/>
  <c r="BV117" i="1"/>
  <c r="AH115" i="1"/>
  <c r="CX112" i="1"/>
  <c r="BJ110" i="1"/>
  <c r="V108" i="1"/>
  <c r="CL105" i="1"/>
  <c r="AX103" i="1"/>
  <c r="J101" i="1"/>
  <c r="BZ98" i="1"/>
  <c r="AL96" i="1"/>
  <c r="DB93" i="1"/>
  <c r="BN91" i="1"/>
  <c r="Z89" i="1"/>
  <c r="CP86" i="1"/>
  <c r="BB84" i="1"/>
  <c r="N82" i="1"/>
  <c r="CD79" i="1"/>
  <c r="AP77" i="1"/>
  <c r="DF74" i="1"/>
  <c r="BR72" i="1"/>
  <c r="AD70" i="1"/>
  <c r="CT67" i="1"/>
  <c r="BF65" i="1"/>
  <c r="R63" i="1"/>
  <c r="CH60" i="1"/>
  <c r="AT58" i="1"/>
  <c r="F56" i="1"/>
  <c r="BV53" i="1"/>
  <c r="AH51" i="1"/>
  <c r="CX48" i="1"/>
  <c r="BJ46" i="1"/>
  <c r="V44" i="1"/>
  <c r="CL41" i="1"/>
  <c r="AX39" i="1"/>
  <c r="J37" i="1"/>
  <c r="BZ34" i="1"/>
  <c r="AL32" i="1"/>
  <c r="DB29" i="1"/>
  <c r="BN27" i="1"/>
  <c r="Z25" i="1"/>
  <c r="CP22" i="1"/>
  <c r="BB20" i="1"/>
  <c r="N18" i="1"/>
  <c r="CD15" i="1"/>
  <c r="AP13" i="1"/>
  <c r="DF10" i="1"/>
  <c r="BR8" i="1"/>
  <c r="AD6" i="1"/>
  <c r="CT3" i="1"/>
  <c r="Q164" i="1"/>
  <c r="AW160" i="1"/>
  <c r="AK157" i="1"/>
  <c r="I154" i="1"/>
  <c r="DA150" i="1"/>
  <c r="AW148" i="1"/>
  <c r="I146" i="1"/>
  <c r="BD219" i="1"/>
  <c r="P217" i="1"/>
  <c r="CF214" i="1"/>
  <c r="AR212" i="1"/>
  <c r="DH209" i="1"/>
  <c r="BT207" i="1"/>
  <c r="AV205" i="1"/>
  <c r="H203" i="1"/>
  <c r="BX200" i="1"/>
  <c r="AJ198" i="1"/>
  <c r="CZ195" i="1"/>
  <c r="BL193" i="1"/>
  <c r="X191" i="1"/>
  <c r="CN188" i="1"/>
  <c r="AZ186" i="1"/>
  <c r="L184" i="1"/>
  <c r="CB181" i="1"/>
  <c r="AN179" i="1"/>
  <c r="DD176" i="1"/>
  <c r="BP174" i="1"/>
  <c r="AB172" i="1"/>
  <c r="CR169" i="1"/>
  <c r="BD167" i="1"/>
  <c r="P165" i="1"/>
  <c r="CF162" i="1"/>
  <c r="AR160" i="1"/>
  <c r="DH157" i="1"/>
  <c r="BT155" i="1"/>
  <c r="AF153" i="1"/>
  <c r="CV150" i="1"/>
  <c r="BH148" i="1"/>
  <c r="T146" i="1"/>
  <c r="BO219" i="1"/>
  <c r="AA217" i="1"/>
  <c r="CQ214" i="1"/>
  <c r="BC212" i="1"/>
  <c r="O210" i="1"/>
  <c r="CE207" i="1"/>
  <c r="AQ205" i="1"/>
  <c r="DG202" i="1"/>
  <c r="BS200" i="1"/>
  <c r="AE198" i="1"/>
  <c r="CU195" i="1"/>
  <c r="BG193" i="1"/>
  <c r="S191" i="1"/>
  <c r="CI188" i="1"/>
  <c r="AU186" i="1"/>
  <c r="G184" i="1"/>
  <c r="BW181" i="1"/>
  <c r="AI179" i="1"/>
  <c r="CY176" i="1"/>
  <c r="BK174" i="1"/>
  <c r="W172" i="1"/>
  <c r="CM169" i="1"/>
  <c r="AY167" i="1"/>
  <c r="K165" i="1"/>
  <c r="CA162" i="1"/>
  <c r="AM160" i="1"/>
  <c r="DC157" i="1"/>
  <c r="BO155" i="1"/>
  <c r="AA153" i="1"/>
  <c r="CQ150" i="1"/>
  <c r="BC148" i="1"/>
  <c r="O146" i="1"/>
  <c r="BB219" i="1"/>
  <c r="N217" i="1"/>
  <c r="CD214" i="1"/>
  <c r="AP212" i="1"/>
  <c r="DF209" i="1"/>
  <c r="BR207" i="1"/>
  <c r="AD205" i="1"/>
  <c r="CT202" i="1"/>
  <c r="BF200" i="1"/>
  <c r="R198" i="1"/>
  <c r="CH195" i="1"/>
  <c r="AT193" i="1"/>
  <c r="F191" i="1"/>
  <c r="BV188" i="1"/>
  <c r="AH186" i="1"/>
  <c r="CX183" i="1"/>
  <c r="BJ181" i="1"/>
  <c r="V179" i="1"/>
  <c r="CL176" i="1"/>
  <c r="AX174" i="1"/>
  <c r="J172" i="1"/>
  <c r="BZ169" i="1"/>
  <c r="AL167" i="1"/>
  <c r="DB164" i="1"/>
  <c r="BN162" i="1"/>
  <c r="Z160" i="1"/>
  <c r="CP157" i="1"/>
  <c r="BB155" i="1"/>
  <c r="N153" i="1"/>
  <c r="CD150" i="1"/>
  <c r="AP148" i="1"/>
  <c r="DF145" i="1"/>
  <c r="BW143" i="1"/>
  <c r="AI141" i="1"/>
  <c r="CY138" i="1"/>
  <c r="BK136" i="1"/>
  <c r="W134" i="1"/>
  <c r="CM131" i="1"/>
  <c r="AY129" i="1"/>
  <c r="K127" i="1"/>
  <c r="CA124" i="1"/>
  <c r="AM122" i="1"/>
  <c r="DC119" i="1"/>
  <c r="BO117" i="1"/>
  <c r="AA115" i="1"/>
  <c r="CQ112" i="1"/>
  <c r="BC110" i="1"/>
  <c r="O108" i="1"/>
  <c r="CE105" i="1"/>
  <c r="AQ103" i="1"/>
  <c r="DG100" i="1"/>
  <c r="BS98" i="1"/>
  <c r="AE96" i="1"/>
  <c r="CU93" i="1"/>
  <c r="BG91" i="1"/>
  <c r="S89" i="1"/>
  <c r="CI86" i="1"/>
  <c r="AU84" i="1"/>
  <c r="G82" i="1"/>
  <c r="BW79" i="1"/>
  <c r="AI77" i="1"/>
  <c r="CY74" i="1"/>
  <c r="BK72" i="1"/>
  <c r="W70" i="1"/>
  <c r="CM67" i="1"/>
  <c r="AY65" i="1"/>
  <c r="K63" i="1"/>
  <c r="CA60" i="1"/>
  <c r="AM58" i="1"/>
  <c r="DC55" i="1"/>
  <c r="AB205" i="1"/>
  <c r="CR202" i="1"/>
  <c r="BD200" i="1"/>
  <c r="P198" i="1"/>
  <c r="CF195" i="1"/>
  <c r="AR193" i="1"/>
  <c r="DH190" i="1"/>
  <c r="BT188" i="1"/>
  <c r="AF186" i="1"/>
  <c r="CV183" i="1"/>
  <c r="BH181" i="1"/>
  <c r="T179" i="1"/>
  <c r="CJ176" i="1"/>
  <c r="AV174" i="1"/>
  <c r="H172" i="1"/>
  <c r="BX169" i="1"/>
  <c r="AJ167" i="1"/>
  <c r="CZ164" i="1"/>
  <c r="BL162" i="1"/>
  <c r="X160" i="1"/>
  <c r="CN157" i="1"/>
  <c r="AZ155" i="1"/>
  <c r="L153" i="1"/>
  <c r="CB150" i="1"/>
  <c r="AN148" i="1"/>
  <c r="DD145" i="1"/>
  <c r="AU219" i="1"/>
  <c r="G217" i="1"/>
  <c r="BW214" i="1"/>
  <c r="AI212" i="1"/>
  <c r="CY209" i="1"/>
  <c r="BK207" i="1"/>
  <c r="W205" i="1"/>
  <c r="CM202" i="1"/>
  <c r="AY200" i="1"/>
  <c r="K198" i="1"/>
  <c r="CA195" i="1"/>
  <c r="AM193" i="1"/>
  <c r="DC190" i="1"/>
  <c r="BO188" i="1"/>
  <c r="AA186" i="1"/>
  <c r="CQ183" i="1"/>
  <c r="BC181" i="1"/>
  <c r="O179" i="1"/>
  <c r="CE176" i="1"/>
  <c r="AQ174" i="1"/>
  <c r="DG171" i="1"/>
  <c r="BS169" i="1"/>
  <c r="AE167" i="1"/>
  <c r="CU164" i="1"/>
  <c r="BG162" i="1"/>
  <c r="S160" i="1"/>
  <c r="CI157" i="1"/>
  <c r="AU155" i="1"/>
  <c r="G153" i="1"/>
  <c r="BW150" i="1"/>
  <c r="AI148" i="1"/>
  <c r="CY145" i="1"/>
  <c r="AH219" i="1"/>
  <c r="CX216" i="1"/>
  <c r="BJ214" i="1"/>
  <c r="V212" i="1"/>
  <c r="CL209" i="1"/>
  <c r="AX207" i="1"/>
  <c r="J205" i="1"/>
  <c r="BZ202" i="1"/>
  <c r="AL200" i="1"/>
  <c r="DB197" i="1"/>
  <c r="BN195" i="1"/>
  <c r="Z193" i="1"/>
  <c r="CP190" i="1"/>
  <c r="BB188" i="1"/>
  <c r="N186" i="1"/>
  <c r="CD183" i="1"/>
  <c r="AP181" i="1"/>
  <c r="DF178" i="1"/>
  <c r="BR176" i="1"/>
  <c r="AD174" i="1"/>
  <c r="CT171" i="1"/>
  <c r="BF169" i="1"/>
  <c r="R167" i="1"/>
  <c r="CH164" i="1"/>
  <c r="AT162" i="1"/>
  <c r="F160" i="1"/>
  <c r="BV157" i="1"/>
  <c r="AH155" i="1"/>
  <c r="CX152" i="1"/>
  <c r="BJ150" i="1"/>
  <c r="V148" i="1"/>
  <c r="CL145" i="1"/>
  <c r="BC143" i="1"/>
  <c r="O141" i="1"/>
  <c r="CE138" i="1"/>
  <c r="AQ136" i="1"/>
  <c r="DG133" i="1"/>
  <c r="BS131" i="1"/>
  <c r="AE129" i="1"/>
  <c r="CU126" i="1"/>
  <c r="BG124" i="1"/>
  <c r="S122" i="1"/>
  <c r="CI119" i="1"/>
  <c r="AU117" i="1"/>
  <c r="G115" i="1"/>
  <c r="BW112" i="1"/>
  <c r="AI110" i="1"/>
  <c r="CY107" i="1"/>
  <c r="BK105" i="1"/>
  <c r="W103" i="1"/>
  <c r="CM100" i="1"/>
  <c r="AY98" i="1"/>
  <c r="K96" i="1"/>
  <c r="CA93" i="1"/>
  <c r="AM91" i="1"/>
  <c r="DC88" i="1"/>
  <c r="CJ205" i="1"/>
  <c r="AV203" i="1"/>
  <c r="H201" i="1"/>
  <c r="BX198" i="1"/>
  <c r="AJ196" i="1"/>
  <c r="CZ193" i="1"/>
  <c r="BL191" i="1"/>
  <c r="X189" i="1"/>
  <c r="CN186" i="1"/>
  <c r="AZ184" i="1"/>
  <c r="L182" i="1"/>
  <c r="CB179" i="1"/>
  <c r="AN177" i="1"/>
  <c r="DD174" i="1"/>
  <c r="BP172" i="1"/>
  <c r="AB170" i="1"/>
  <c r="CR167" i="1"/>
  <c r="BD165" i="1"/>
  <c r="P163" i="1"/>
  <c r="CF160" i="1"/>
  <c r="AR158" i="1"/>
  <c r="DH155" i="1"/>
  <c r="BT153" i="1"/>
  <c r="AF151" i="1"/>
  <c r="CV148" i="1"/>
  <c r="BH146" i="1"/>
  <c r="T144" i="1"/>
  <c r="BO217" i="1"/>
  <c r="CV205" i="1"/>
  <c r="BH203" i="1"/>
  <c r="T201" i="1"/>
  <c r="CJ198" i="1"/>
  <c r="AV196" i="1"/>
  <c r="H194" i="1"/>
  <c r="BX191" i="1"/>
  <c r="AJ189" i="1"/>
  <c r="CZ186" i="1"/>
  <c r="BL184" i="1"/>
  <c r="X182" i="1"/>
  <c r="CN179" i="1"/>
  <c r="AZ177" i="1"/>
  <c r="L175" i="1"/>
  <c r="CB172" i="1"/>
  <c r="AN170" i="1"/>
  <c r="DD167" i="1"/>
  <c r="BP165" i="1"/>
  <c r="AB163" i="1"/>
  <c r="CR160" i="1"/>
  <c r="BD158" i="1"/>
  <c r="P156" i="1"/>
  <c r="CF153" i="1"/>
  <c r="AR151" i="1"/>
  <c r="DH148" i="1"/>
  <c r="BT146" i="1"/>
  <c r="AF144" i="1"/>
  <c r="CA217" i="1"/>
  <c r="AM215" i="1"/>
  <c r="DC212" i="1"/>
  <c r="BO210" i="1"/>
  <c r="AA208" i="1"/>
  <c r="CQ205" i="1"/>
  <c r="BC203" i="1"/>
  <c r="O201" i="1"/>
  <c r="CE198" i="1"/>
  <c r="AQ196" i="1"/>
  <c r="DG193" i="1"/>
  <c r="BS191" i="1"/>
  <c r="AE189" i="1"/>
  <c r="CU186" i="1"/>
  <c r="BG184" i="1"/>
  <c r="S182" i="1"/>
  <c r="CI179" i="1"/>
  <c r="AU177" i="1"/>
  <c r="G175" i="1"/>
  <c r="BW172" i="1"/>
  <c r="AI170" i="1"/>
  <c r="CY167" i="1"/>
  <c r="BK165" i="1"/>
  <c r="W163" i="1"/>
  <c r="CM160" i="1"/>
  <c r="AY158" i="1"/>
  <c r="K156" i="1"/>
  <c r="CA153" i="1"/>
  <c r="AM151" i="1"/>
  <c r="DC148" i="1"/>
  <c r="BO146" i="1"/>
  <c r="AA144" i="1"/>
  <c r="BN217" i="1"/>
  <c r="Z215" i="1"/>
  <c r="CP212" i="1"/>
  <c r="BB210" i="1"/>
  <c r="N208" i="1"/>
  <c r="CD205" i="1"/>
  <c r="AP203" i="1"/>
  <c r="DF200" i="1"/>
  <c r="BR198" i="1"/>
  <c r="AD196" i="1"/>
  <c r="CT193" i="1"/>
  <c r="BF191" i="1"/>
  <c r="R189" i="1"/>
  <c r="CH186" i="1"/>
  <c r="AT184" i="1"/>
  <c r="F182" i="1"/>
  <c r="BV179" i="1"/>
  <c r="AH177" i="1"/>
  <c r="CX174" i="1"/>
  <c r="BJ172" i="1"/>
  <c r="V170" i="1"/>
  <c r="CL167" i="1"/>
  <c r="AX165" i="1"/>
  <c r="J163" i="1"/>
  <c r="BZ160" i="1"/>
  <c r="AL158" i="1"/>
  <c r="DB155" i="1"/>
  <c r="BN153" i="1"/>
  <c r="Z151" i="1"/>
  <c r="CP148" i="1"/>
  <c r="BB146" i="1"/>
  <c r="N144" i="1"/>
  <c r="CI141" i="1"/>
  <c r="AU139" i="1"/>
  <c r="G137" i="1"/>
  <c r="BW134" i="1"/>
  <c r="AI132" i="1"/>
  <c r="CY129" i="1"/>
  <c r="BK127" i="1"/>
  <c r="W125" i="1"/>
  <c r="CM122" i="1"/>
  <c r="AY120" i="1"/>
  <c r="K118" i="1"/>
  <c r="CA115" i="1"/>
  <c r="AM113" i="1"/>
  <c r="DC110" i="1"/>
  <c r="BO108" i="1"/>
  <c r="AA106" i="1"/>
  <c r="CQ103" i="1"/>
  <c r="BC101" i="1"/>
  <c r="O99" i="1"/>
  <c r="CE96" i="1"/>
  <c r="AQ94" i="1"/>
  <c r="DG91" i="1"/>
  <c r="BS89" i="1"/>
  <c r="AE87" i="1"/>
  <c r="CU84" i="1"/>
  <c r="AA207" i="1"/>
  <c r="CE197" i="1"/>
  <c r="AE188" i="1"/>
  <c r="CI178" i="1"/>
  <c r="AI169" i="1"/>
  <c r="CM159" i="1"/>
  <c r="AM150" i="1"/>
  <c r="BN216" i="1"/>
  <c r="N207" i="1"/>
  <c r="BR197" i="1"/>
  <c r="R188" i="1"/>
  <c r="BV178" i="1"/>
  <c r="V169" i="1"/>
  <c r="BZ159" i="1"/>
  <c r="Z150" i="1"/>
  <c r="CI140" i="1"/>
  <c r="AI131" i="1"/>
  <c r="CM121" i="1"/>
  <c r="AM112" i="1"/>
  <c r="CQ102" i="1"/>
  <c r="AQ93" i="1"/>
  <c r="CM85" i="1"/>
  <c r="AI82" i="1"/>
  <c r="S79" i="1"/>
  <c r="DG75" i="1"/>
  <c r="CM72" i="1"/>
  <c r="BW69" i="1"/>
  <c r="BG66" i="1"/>
  <c r="AM63" i="1"/>
  <c r="W60" i="1"/>
  <c r="G57" i="1"/>
  <c r="AA54" i="1"/>
  <c r="CQ51" i="1"/>
  <c r="BC49" i="1"/>
  <c r="O47" i="1"/>
  <c r="CE44" i="1"/>
  <c r="AQ42" i="1"/>
  <c r="DG39" i="1"/>
  <c r="BS37" i="1"/>
  <c r="AE35" i="1"/>
  <c r="CU32" i="1"/>
  <c r="BG30" i="1"/>
  <c r="S28" i="1"/>
  <c r="CI25" i="1"/>
  <c r="AU23" i="1"/>
  <c r="G21" i="1"/>
  <c r="BW18" i="1"/>
  <c r="AI16" i="1"/>
  <c r="CY13" i="1"/>
  <c r="BK11" i="1"/>
  <c r="W9" i="1"/>
  <c r="CM6" i="1"/>
  <c r="AY4" i="1"/>
  <c r="DF142" i="1"/>
  <c r="BR140" i="1"/>
  <c r="AD138" i="1"/>
  <c r="CT135" i="1"/>
  <c r="BF133" i="1"/>
  <c r="R131" i="1"/>
  <c r="CH128" i="1"/>
  <c r="AT126" i="1"/>
  <c r="F124" i="1"/>
  <c r="BV121" i="1"/>
  <c r="AH119" i="1"/>
  <c r="CX116" i="1"/>
  <c r="BJ114" i="1"/>
  <c r="V112" i="1"/>
  <c r="CL109" i="1"/>
  <c r="AX107" i="1"/>
  <c r="J105" i="1"/>
  <c r="BZ102" i="1"/>
  <c r="AL100" i="1"/>
  <c r="DB97" i="1"/>
  <c r="BN95" i="1"/>
  <c r="Z93" i="1"/>
  <c r="CP90" i="1"/>
  <c r="BB88" i="1"/>
  <c r="N86" i="1"/>
  <c r="CD83" i="1"/>
  <c r="AP81" i="1"/>
  <c r="DF78" i="1"/>
  <c r="BR76" i="1"/>
  <c r="AD74" i="1"/>
  <c r="CT71" i="1"/>
  <c r="BF69" i="1"/>
  <c r="R67" i="1"/>
  <c r="CH64" i="1"/>
  <c r="AT62" i="1"/>
  <c r="F60" i="1"/>
  <c r="BV57" i="1"/>
  <c r="AH55" i="1"/>
  <c r="CX52" i="1"/>
  <c r="BJ50" i="1"/>
  <c r="V48" i="1"/>
  <c r="CL45" i="1"/>
  <c r="AX43" i="1"/>
  <c r="J41" i="1"/>
  <c r="BZ38" i="1"/>
  <c r="AL36" i="1"/>
  <c r="DB33" i="1"/>
  <c r="BN31" i="1"/>
  <c r="Z29" i="1"/>
  <c r="CP26" i="1"/>
  <c r="BB24" i="1"/>
  <c r="N22" i="1"/>
  <c r="CD19" i="1"/>
  <c r="AP17" i="1"/>
  <c r="DF14" i="1"/>
  <c r="BR12" i="1"/>
  <c r="AD10" i="1"/>
  <c r="CT7" i="1"/>
  <c r="BF5" i="1"/>
  <c r="BU170" i="1"/>
  <c r="BU162" i="1"/>
  <c r="AS159" i="1"/>
  <c r="AG156" i="1"/>
  <c r="U153" i="1"/>
  <c r="I150" i="1"/>
  <c r="BY147" i="1"/>
  <c r="AK145" i="1"/>
  <c r="CF218" i="1"/>
  <c r="AR216" i="1"/>
  <c r="DH213" i="1"/>
  <c r="BT211" i="1"/>
  <c r="AF209" i="1"/>
  <c r="CV206" i="1"/>
  <c r="BX204" i="1"/>
  <c r="AJ202" i="1"/>
  <c r="CZ199" i="1"/>
  <c r="BL197" i="1"/>
  <c r="X195" i="1"/>
  <c r="CN192" i="1"/>
  <c r="AZ190" i="1"/>
  <c r="L188" i="1"/>
  <c r="CB185" i="1"/>
  <c r="AN183" i="1"/>
  <c r="DD180" i="1"/>
  <c r="BP178" i="1"/>
  <c r="AB176" i="1"/>
  <c r="CR173" i="1"/>
  <c r="BD171" i="1"/>
  <c r="P169" i="1"/>
  <c r="CF166" i="1"/>
  <c r="AR164" i="1"/>
  <c r="DH161" i="1"/>
  <c r="BT159" i="1"/>
  <c r="AF157" i="1"/>
  <c r="CV154" i="1"/>
  <c r="BH152" i="1"/>
  <c r="T150" i="1"/>
  <c r="CJ147" i="1"/>
  <c r="AV145" i="1"/>
  <c r="CQ218" i="1"/>
  <c r="BC216" i="1"/>
  <c r="O214" i="1"/>
  <c r="CE211" i="1"/>
  <c r="AQ209" i="1"/>
  <c r="DG206" i="1"/>
  <c r="BS204" i="1"/>
  <c r="AE202" i="1"/>
  <c r="CU199" i="1"/>
  <c r="BG197" i="1"/>
  <c r="S195" i="1"/>
  <c r="CI192" i="1"/>
  <c r="AU190" i="1"/>
  <c r="G188" i="1"/>
  <c r="BW185" i="1"/>
  <c r="AI183" i="1"/>
  <c r="CY180" i="1"/>
  <c r="BK178" i="1"/>
  <c r="W176" i="1"/>
  <c r="CM173" i="1"/>
  <c r="AY171" i="1"/>
  <c r="K169" i="1"/>
  <c r="CA166" i="1"/>
  <c r="AM164" i="1"/>
  <c r="DC161" i="1"/>
  <c r="BO159" i="1"/>
  <c r="AA157" i="1"/>
  <c r="CQ154" i="1"/>
  <c r="BC152" i="1"/>
  <c r="O150" i="1"/>
  <c r="CE147" i="1"/>
  <c r="AQ145" i="1"/>
  <c r="CD218" i="1"/>
  <c r="AP216" i="1"/>
  <c r="DF213" i="1"/>
  <c r="BR211" i="1"/>
  <c r="AD209" i="1"/>
  <c r="CT206" i="1"/>
  <c r="BF204" i="1"/>
  <c r="R202" i="1"/>
  <c r="CH199" i="1"/>
  <c r="AT197" i="1"/>
  <c r="F195" i="1"/>
  <c r="BV192" i="1"/>
  <c r="AH190" i="1"/>
  <c r="CX187" i="1"/>
  <c r="BJ185" i="1"/>
  <c r="V183" i="1"/>
  <c r="CL180" i="1"/>
  <c r="AX178" i="1"/>
  <c r="J176" i="1"/>
  <c r="BZ173" i="1"/>
  <c r="AL171" i="1"/>
  <c r="DB168" i="1"/>
  <c r="BN166" i="1"/>
  <c r="Z164" i="1"/>
  <c r="CP161" i="1"/>
  <c r="BB159" i="1"/>
  <c r="N157" i="1"/>
  <c r="CD154" i="1"/>
  <c r="AP152" i="1"/>
  <c r="DF149" i="1"/>
  <c r="BR147" i="1"/>
  <c r="AD145" i="1"/>
  <c r="CY142" i="1"/>
  <c r="BK140" i="1"/>
  <c r="W138" i="1"/>
  <c r="CM135" i="1"/>
  <c r="AY133" i="1"/>
  <c r="K131" i="1"/>
  <c r="CA128" i="1"/>
  <c r="AM126" i="1"/>
  <c r="DC123" i="1"/>
  <c r="BO121" i="1"/>
  <c r="AA119" i="1"/>
  <c r="CQ116" i="1"/>
  <c r="BC114" i="1"/>
  <c r="O112" i="1"/>
  <c r="CE109" i="1"/>
  <c r="AQ107" i="1"/>
  <c r="DG104" i="1"/>
  <c r="BS102" i="1"/>
  <c r="AE100" i="1"/>
  <c r="CU97" i="1"/>
  <c r="BG95" i="1"/>
  <c r="S93" i="1"/>
  <c r="CI90" i="1"/>
  <c r="AU88" i="1"/>
  <c r="G86" i="1"/>
  <c r="BW83" i="1"/>
  <c r="AI81" i="1"/>
  <c r="CY78" i="1"/>
  <c r="BK76" i="1"/>
  <c r="W74" i="1"/>
  <c r="CM71" i="1"/>
  <c r="AY69" i="1"/>
  <c r="K67" i="1"/>
  <c r="CA64" i="1"/>
  <c r="AM62" i="1"/>
  <c r="DC59" i="1"/>
  <c r="BO57" i="1"/>
  <c r="CR206" i="1"/>
  <c r="BD204" i="1"/>
  <c r="P202" i="1"/>
  <c r="CF199" i="1"/>
  <c r="AR197" i="1"/>
  <c r="DH194" i="1"/>
  <c r="BT192" i="1"/>
  <c r="AF190" i="1"/>
  <c r="CV187" i="1"/>
  <c r="BH185" i="1"/>
  <c r="T183" i="1"/>
  <c r="CJ180" i="1"/>
  <c r="AV178" i="1"/>
  <c r="H176" i="1"/>
  <c r="BX173" i="1"/>
  <c r="AJ171" i="1"/>
  <c r="CZ168" i="1"/>
  <c r="BL166" i="1"/>
  <c r="X164" i="1"/>
  <c r="CN161" i="1"/>
  <c r="AZ159" i="1"/>
  <c r="L157" i="1"/>
  <c r="CB154" i="1"/>
  <c r="AN152" i="1"/>
  <c r="DD149" i="1"/>
  <c r="BP147" i="1"/>
  <c r="AB145" i="1"/>
  <c r="BW218" i="1"/>
  <c r="AI216" i="1"/>
  <c r="CY213" i="1"/>
  <c r="BK211" i="1"/>
  <c r="W209" i="1"/>
  <c r="CM206" i="1"/>
  <c r="AY204" i="1"/>
  <c r="K202" i="1"/>
  <c r="CA199" i="1"/>
  <c r="AM197" i="1"/>
  <c r="DC194" i="1"/>
  <c r="BO192" i="1"/>
  <c r="AA190" i="1"/>
  <c r="CQ187" i="1"/>
  <c r="BC185" i="1"/>
  <c r="O183" i="1"/>
  <c r="CE180" i="1"/>
  <c r="AQ178" i="1"/>
  <c r="DG175" i="1"/>
  <c r="BS173" i="1"/>
  <c r="AE171" i="1"/>
  <c r="CU168" i="1"/>
  <c r="BG166" i="1"/>
  <c r="S164" i="1"/>
  <c r="CI161" i="1"/>
  <c r="AU159" i="1"/>
  <c r="G157" i="1"/>
  <c r="BW154" i="1"/>
  <c r="AI152" i="1"/>
  <c r="CY149" i="1"/>
  <c r="BK147" i="1"/>
  <c r="W145" i="1"/>
  <c r="BJ218" i="1"/>
  <c r="V216" i="1"/>
  <c r="CL213" i="1"/>
  <c r="AX211" i="1"/>
  <c r="J209" i="1"/>
  <c r="BZ206" i="1"/>
  <c r="AL204" i="1"/>
  <c r="DB201" i="1"/>
  <c r="BN199" i="1"/>
  <c r="Z197" i="1"/>
  <c r="CP194" i="1"/>
  <c r="BB192" i="1"/>
  <c r="N190" i="1"/>
  <c r="CD187" i="1"/>
  <c r="AP185" i="1"/>
  <c r="DF182" i="1"/>
  <c r="BR180" i="1"/>
  <c r="AD178" i="1"/>
  <c r="CT175" i="1"/>
  <c r="BF173" i="1"/>
  <c r="R171" i="1"/>
  <c r="CH168" i="1"/>
  <c r="AT166" i="1"/>
  <c r="F164" i="1"/>
  <c r="BV161" i="1"/>
  <c r="AH159" i="1"/>
  <c r="CX156" i="1"/>
  <c r="BJ154" i="1"/>
  <c r="V152" i="1"/>
  <c r="CL149" i="1"/>
  <c r="AX147" i="1"/>
  <c r="J145" i="1"/>
  <c r="CE142" i="1"/>
  <c r="AQ140" i="1"/>
  <c r="DG137" i="1"/>
  <c r="BS135" i="1"/>
  <c r="AE133" i="1"/>
  <c r="CU130" i="1"/>
  <c r="BG128" i="1"/>
  <c r="S126" i="1"/>
  <c r="CI123" i="1"/>
  <c r="AU121" i="1"/>
  <c r="G119" i="1"/>
  <c r="BW116" i="1"/>
  <c r="AI114" i="1"/>
  <c r="CY111" i="1"/>
  <c r="BK109" i="1"/>
  <c r="W107" i="1"/>
  <c r="CM104" i="1"/>
  <c r="AY102" i="1"/>
  <c r="K100" i="1"/>
  <c r="CA97" i="1"/>
  <c r="AM95" i="1"/>
  <c r="DC92" i="1"/>
  <c r="BO90" i="1"/>
  <c r="AA88" i="1"/>
  <c r="H205" i="1"/>
  <c r="BX202" i="1"/>
  <c r="AJ200" i="1"/>
  <c r="CZ197" i="1"/>
  <c r="BL195" i="1"/>
  <c r="X193" i="1"/>
  <c r="CN190" i="1"/>
  <c r="AZ188" i="1"/>
  <c r="L186" i="1"/>
  <c r="CB183" i="1"/>
  <c r="AN181" i="1"/>
  <c r="DD178" i="1"/>
  <c r="BP176" i="1"/>
  <c r="AB174" i="1"/>
  <c r="CR171" i="1"/>
  <c r="BD169" i="1"/>
  <c r="P167" i="1"/>
  <c r="CF164" i="1"/>
  <c r="AR162" i="1"/>
  <c r="DH159" i="1"/>
  <c r="BT157" i="1"/>
  <c r="AF155" i="1"/>
  <c r="CV152" i="1"/>
  <c r="BH150" i="1"/>
  <c r="T148" i="1"/>
  <c r="CJ145" i="1"/>
  <c r="AA219" i="1"/>
  <c r="CQ216" i="1"/>
  <c r="T205" i="1"/>
  <c r="CJ202" i="1"/>
  <c r="AV200" i="1"/>
  <c r="H198" i="1"/>
  <c r="BX195" i="1"/>
  <c r="AJ193" i="1"/>
  <c r="CZ190" i="1"/>
  <c r="BL188" i="1"/>
  <c r="X186" i="1"/>
  <c r="CN183" i="1"/>
  <c r="AZ181" i="1"/>
  <c r="L179" i="1"/>
  <c r="CB176" i="1"/>
  <c r="AN174" i="1"/>
  <c r="DD171" i="1"/>
  <c r="BP169" i="1"/>
  <c r="AB167" i="1"/>
  <c r="CR164" i="1"/>
  <c r="BD162" i="1"/>
  <c r="P160" i="1"/>
  <c r="CF157" i="1"/>
  <c r="AR155" i="1"/>
  <c r="DH152" i="1"/>
  <c r="BT150" i="1"/>
  <c r="AF148" i="1"/>
  <c r="CV145" i="1"/>
  <c r="AM219" i="1"/>
  <c r="DC216" i="1"/>
  <c r="BO214" i="1"/>
  <c r="AA212" i="1"/>
  <c r="CQ209" i="1"/>
  <c r="BC207" i="1"/>
  <c r="O205" i="1"/>
  <c r="CE202" i="1"/>
  <c r="AQ200" i="1"/>
  <c r="DG197" i="1"/>
  <c r="BS195" i="1"/>
  <c r="AE193" i="1"/>
  <c r="CU190" i="1"/>
  <c r="BG188" i="1"/>
  <c r="S186" i="1"/>
  <c r="CI183" i="1"/>
  <c r="AU181" i="1"/>
  <c r="G179" i="1"/>
  <c r="BW176" i="1"/>
  <c r="AI174" i="1"/>
  <c r="CY171" i="1"/>
  <c r="BK169" i="1"/>
  <c r="W167" i="1"/>
  <c r="CM164" i="1"/>
  <c r="AY162" i="1"/>
  <c r="K160" i="1"/>
  <c r="CA157" i="1"/>
  <c r="AM155" i="1"/>
  <c r="DC152" i="1"/>
  <c r="BO150" i="1"/>
  <c r="AA148" i="1"/>
  <c r="CQ145" i="1"/>
  <c r="Z219" i="1"/>
  <c r="CP216" i="1"/>
  <c r="BB214" i="1"/>
  <c r="N212" i="1"/>
  <c r="CD209" i="1"/>
  <c r="AP207" i="1"/>
  <c r="DF204" i="1"/>
  <c r="BR202" i="1"/>
  <c r="AD200" i="1"/>
  <c r="CT197" i="1"/>
  <c r="BF195" i="1"/>
  <c r="R193" i="1"/>
  <c r="CH190" i="1"/>
  <c r="AT188" i="1"/>
  <c r="F186" i="1"/>
  <c r="BV183" i="1"/>
  <c r="AH181" i="1"/>
  <c r="CX178" i="1"/>
  <c r="BJ176" i="1"/>
  <c r="V174" i="1"/>
  <c r="CL171" i="1"/>
  <c r="AX169" i="1"/>
  <c r="J167" i="1"/>
  <c r="BZ164" i="1"/>
  <c r="AL162" i="1"/>
  <c r="DB159" i="1"/>
  <c r="BN157" i="1"/>
  <c r="Z155" i="1"/>
  <c r="CP152" i="1"/>
  <c r="BB150" i="1"/>
  <c r="N148" i="1"/>
  <c r="CD145" i="1"/>
  <c r="AU143" i="1"/>
  <c r="G141" i="1"/>
  <c r="BW138" i="1"/>
  <c r="AI136" i="1"/>
  <c r="CY133" i="1"/>
  <c r="BK131" i="1"/>
  <c r="W129" i="1"/>
  <c r="CM126" i="1"/>
  <c r="AY124" i="1"/>
  <c r="K122" i="1"/>
  <c r="CA119" i="1"/>
  <c r="AM117" i="1"/>
  <c r="DC114" i="1"/>
  <c r="BO112" i="1"/>
  <c r="AA110" i="1"/>
  <c r="CQ107" i="1"/>
  <c r="BC105" i="1"/>
  <c r="O103" i="1"/>
  <c r="CE100" i="1"/>
  <c r="AQ98" i="1"/>
  <c r="DG95" i="1"/>
  <c r="BS93" i="1"/>
  <c r="AE91" i="1"/>
  <c r="AW258" i="1"/>
  <c r="DA248" i="1"/>
  <c r="BA239" i="1"/>
  <c r="DE229" i="1"/>
  <c r="BE220" i="1"/>
  <c r="AE293" i="1"/>
  <c r="CK279" i="1"/>
  <c r="CV267" i="1"/>
  <c r="AV258" i="1"/>
  <c r="CZ248" i="1"/>
  <c r="AZ239" i="1"/>
  <c r="DD229" i="1"/>
  <c r="BD220" i="1"/>
  <c r="CW210" i="1"/>
  <c r="AW201" i="1"/>
  <c r="DA191" i="1"/>
  <c r="BA182" i="1"/>
  <c r="DE172" i="1"/>
  <c r="BE163" i="1"/>
  <c r="DI153" i="1"/>
  <c r="BI144" i="1"/>
  <c r="CR210" i="1"/>
  <c r="BS279" i="1"/>
  <c r="CH267" i="1"/>
  <c r="AH258" i="1"/>
  <c r="CL248" i="1"/>
  <c r="AL239" i="1"/>
  <c r="CP229" i="1"/>
  <c r="AP220" i="1"/>
  <c r="CW292" i="1"/>
  <c r="BL279" i="1"/>
  <c r="CC267" i="1"/>
  <c r="AC258" i="1"/>
  <c r="CG248" i="1"/>
  <c r="AG239" i="1"/>
  <c r="CK229" i="1"/>
  <c r="AK220" i="1"/>
  <c r="CU292" i="1"/>
  <c r="BK279" i="1"/>
  <c r="CB267" i="1"/>
  <c r="AB258" i="1"/>
  <c r="CF248" i="1"/>
  <c r="AF239" i="1"/>
  <c r="CJ229" i="1"/>
  <c r="AJ220" i="1"/>
  <c r="CC210" i="1"/>
  <c r="AC201" i="1"/>
  <c r="CG191" i="1"/>
  <c r="AG182" i="1"/>
  <c r="CK172" i="1"/>
  <c r="AK163" i="1"/>
  <c r="CO153" i="1"/>
  <c r="AO144" i="1"/>
  <c r="BX210" i="1"/>
  <c r="W279" i="1"/>
  <c r="AX267" i="1"/>
  <c r="DB257" i="1"/>
  <c r="BB248" i="1"/>
  <c r="DF238" i="1"/>
  <c r="BF229" i="1"/>
  <c r="F220" i="1"/>
  <c r="AC292" i="1"/>
  <c r="P279" i="1"/>
  <c r="AS267" i="1"/>
  <c r="CW257" i="1"/>
  <c r="AW248" i="1"/>
  <c r="DA238" i="1"/>
  <c r="BA229" i="1"/>
  <c r="DE219" i="1"/>
  <c r="AA292" i="1"/>
  <c r="O279" i="1"/>
  <c r="AR267" i="1"/>
  <c r="CV257" i="1"/>
  <c r="AV248" i="1"/>
  <c r="CZ238" i="1"/>
  <c r="AZ229" i="1"/>
  <c r="DD219" i="1"/>
  <c r="AS210" i="1"/>
  <c r="CW200" i="1"/>
  <c r="AW191" i="1"/>
  <c r="DA181" i="1"/>
  <c r="BA172" i="1"/>
  <c r="DE162" i="1"/>
  <c r="BE153" i="1"/>
  <c r="CV219" i="1"/>
  <c r="AN210" i="1"/>
  <c r="CZ278" i="1"/>
  <c r="AD267" i="1"/>
  <c r="CH257" i="1"/>
  <c r="AH248" i="1"/>
  <c r="CL238" i="1"/>
  <c r="AL229" i="1"/>
  <c r="AA326" i="1"/>
  <c r="CS291" i="1"/>
  <c r="CS278" i="1"/>
  <c r="Y267" i="1"/>
  <c r="CC257" i="1"/>
  <c r="AC248" i="1"/>
  <c r="CG238" i="1"/>
  <c r="AG229" i="1"/>
  <c r="W326" i="1"/>
  <c r="CQ291" i="1"/>
  <c r="CR278" i="1"/>
  <c r="X267" i="1"/>
  <c r="CB257" i="1"/>
  <c r="AB248" i="1"/>
  <c r="CF238" i="1"/>
  <c r="AF229" i="1"/>
  <c r="BZ219" i="1"/>
  <c r="Y210" i="1"/>
  <c r="CC200" i="1"/>
  <c r="AC191" i="1"/>
  <c r="CG181" i="1"/>
  <c r="AG172" i="1"/>
  <c r="CP275" i="1"/>
  <c r="CC313" i="1"/>
  <c r="AF326" i="1"/>
  <c r="BJ350" i="1"/>
  <c r="AM276" i="1"/>
  <c r="CQ236" i="1"/>
  <c r="CA277" i="1"/>
  <c r="CX250" i="1"/>
  <c r="DB231" i="1"/>
  <c r="CQ311" i="1"/>
  <c r="CC286" i="1"/>
  <c r="L274" i="1"/>
  <c r="BQ263" i="1"/>
  <c r="Q254" i="1"/>
  <c r="BU244" i="1"/>
  <c r="U235" i="1"/>
  <c r="BY225" i="1"/>
  <c r="CM311" i="1"/>
  <c r="CB286" i="1"/>
  <c r="K274" i="1"/>
  <c r="BP263" i="1"/>
  <c r="P254" i="1"/>
  <c r="BT244" i="1"/>
  <c r="T235" i="1"/>
  <c r="BX225" i="1"/>
  <c r="M216" i="1"/>
  <c r="BQ206" i="1"/>
  <c r="Q197" i="1"/>
  <c r="BU187" i="1"/>
  <c r="U178" i="1"/>
  <c r="BY168" i="1"/>
  <c r="Y159" i="1"/>
  <c r="CC149" i="1"/>
  <c r="H216" i="1"/>
  <c r="AQ288" i="1"/>
  <c r="CV273" i="1"/>
  <c r="BB263" i="1"/>
  <c r="DF253" i="1"/>
  <c r="BF244" i="1"/>
  <c r="F235" i="1"/>
  <c r="BJ225" i="1"/>
  <c r="O311" i="1"/>
  <c r="BC286" i="1"/>
  <c r="CO273" i="1"/>
  <c r="AW263" i="1"/>
  <c r="DA253" i="1"/>
  <c r="BA244" i="1"/>
  <c r="DE234" i="1"/>
  <c r="BE225" i="1"/>
  <c r="K311" i="1"/>
  <c r="BA286" i="1"/>
  <c r="CN273" i="1"/>
  <c r="AV263" i="1"/>
  <c r="CZ253" i="1"/>
  <c r="AZ244" i="1"/>
  <c r="DD234" i="1"/>
  <c r="BD225" i="1"/>
  <c r="CW215" i="1"/>
  <c r="AW206" i="1"/>
  <c r="DA196" i="1"/>
  <c r="BA187" i="1"/>
  <c r="DE177" i="1"/>
  <c r="BE168" i="1"/>
  <c r="DI158" i="1"/>
  <c r="BI149" i="1"/>
  <c r="CR215" i="1"/>
  <c r="BO286" i="1"/>
  <c r="AZ273" i="1"/>
  <c r="R263" i="1"/>
  <c r="BV253" i="1"/>
  <c r="V244" i="1"/>
  <c r="BZ234" i="1"/>
  <c r="Z225" i="1"/>
  <c r="CI309" i="1"/>
  <c r="G286" i="1"/>
  <c r="AS273" i="1"/>
  <c r="M263" i="1"/>
  <c r="BQ253" i="1"/>
  <c r="Q244" i="1"/>
  <c r="BU234" i="1"/>
  <c r="U225" i="1"/>
  <c r="CE309" i="1"/>
  <c r="DI285" i="1"/>
  <c r="AR273" i="1"/>
  <c r="L263" i="1"/>
  <c r="BP253" i="1"/>
  <c r="P244" i="1"/>
  <c r="BT234" i="1"/>
  <c r="T225" i="1"/>
  <c r="BM215" i="1"/>
  <c r="M206" i="1"/>
  <c r="BQ196" i="1"/>
  <c r="Q187" i="1"/>
  <c r="BU177" i="1"/>
  <c r="U168" i="1"/>
  <c r="BY158" i="1"/>
  <c r="Y149" i="1"/>
  <c r="BH215" i="1"/>
  <c r="H286" i="1"/>
  <c r="Y273" i="1"/>
  <c r="DB262" i="1"/>
  <c r="BB253" i="1"/>
  <c r="DF243" i="1"/>
  <c r="BF234" i="1"/>
  <c r="F225" i="1"/>
  <c r="G309" i="1"/>
  <c r="CJ285" i="1"/>
  <c r="S273" i="1"/>
  <c r="CW262" i="1"/>
  <c r="AW253" i="1"/>
  <c r="DA243" i="1"/>
  <c r="BA234" i="1"/>
  <c r="DE224" i="1"/>
  <c r="DG308" i="1"/>
  <c r="CI285" i="1"/>
  <c r="Q273" i="1"/>
  <c r="CV262" i="1"/>
  <c r="AV253" i="1"/>
  <c r="CZ243" i="1"/>
  <c r="AZ234" i="1"/>
  <c r="DD224" i="1"/>
  <c r="AS215" i="1"/>
  <c r="CW205" i="1"/>
  <c r="AW196" i="1"/>
  <c r="DA186" i="1"/>
  <c r="BA177" i="1"/>
  <c r="DE167" i="1"/>
  <c r="CO336" i="1"/>
  <c r="CW298" i="1"/>
  <c r="AZ311" i="1"/>
  <c r="BS328" i="1"/>
  <c r="DC259" i="1"/>
  <c r="G222" i="1"/>
  <c r="BR262" i="1"/>
  <c r="BV243" i="1"/>
  <c r="BZ224" i="1"/>
  <c r="G297" i="1"/>
  <c r="CJ281" i="1"/>
  <c r="AS269" i="1"/>
  <c r="CW259" i="1"/>
  <c r="AW250" i="1"/>
  <c r="DA240" i="1"/>
  <c r="BA231" i="1"/>
  <c r="DE221" i="1"/>
  <c r="DG296" i="1"/>
  <c r="CI281" i="1"/>
  <c r="AR269" i="1"/>
  <c r="CV259" i="1"/>
  <c r="AV250" i="1"/>
  <c r="CZ240" i="1"/>
  <c r="AZ231" i="1"/>
  <c r="DD221" i="1"/>
  <c r="AS212" i="1"/>
  <c r="CW202" i="1"/>
  <c r="AW193" i="1"/>
  <c r="DA183" i="1"/>
  <c r="BA174" i="1"/>
  <c r="DE164" i="1"/>
  <c r="BE155" i="1"/>
  <c r="DI145" i="1"/>
  <c r="AN212" i="1"/>
  <c r="BP281" i="1"/>
  <c r="AD269" i="1"/>
  <c r="CH259" i="1"/>
  <c r="AH250" i="1"/>
  <c r="CL240" i="1"/>
  <c r="AL231" i="1"/>
  <c r="CP221" i="1"/>
  <c r="AI296" i="1"/>
  <c r="BI281" i="1"/>
  <c r="Y269" i="1"/>
  <c r="CC259" i="1"/>
  <c r="AC250" i="1"/>
  <c r="CG240" i="1"/>
  <c r="AG231" i="1"/>
  <c r="CK221" i="1"/>
  <c r="AE296" i="1"/>
  <c r="BH281" i="1"/>
  <c r="X269" i="1"/>
  <c r="CB259" i="1"/>
  <c r="AB250" i="1"/>
  <c r="CF240" i="1"/>
  <c r="AF231" i="1"/>
  <c r="CJ221" i="1"/>
  <c r="Y212" i="1"/>
  <c r="CC202" i="1"/>
  <c r="AC193" i="1"/>
  <c r="CG183" i="1"/>
  <c r="AG174" i="1"/>
  <c r="CK164" i="1"/>
  <c r="AK155" i="1"/>
  <c r="CO145" i="1"/>
  <c r="T212" i="1"/>
  <c r="T281" i="1"/>
  <c r="CX268" i="1"/>
  <c r="AX259" i="1"/>
  <c r="DB249" i="1"/>
  <c r="BB240" i="1"/>
  <c r="DF230" i="1"/>
  <c r="BF221" i="1"/>
  <c r="Y295" i="1"/>
  <c r="M281" i="1"/>
  <c r="CS268" i="1"/>
  <c r="AS259" i="1"/>
  <c r="CW249" i="1"/>
  <c r="AW240" i="1"/>
  <c r="DA230" i="1"/>
  <c r="BA221" i="1"/>
  <c r="W295" i="1"/>
  <c r="L281" i="1"/>
  <c r="CR268" i="1"/>
  <c r="AR259" i="1"/>
  <c r="CV249" i="1"/>
  <c r="AV240" i="1"/>
  <c r="CZ230" i="1"/>
  <c r="AZ221" i="1"/>
  <c r="CS211" i="1"/>
  <c r="AS202" i="1"/>
  <c r="CW192" i="1"/>
  <c r="AW183" i="1"/>
  <c r="DA173" i="1"/>
  <c r="BA164" i="1"/>
  <c r="DE154" i="1"/>
  <c r="BE145" i="1"/>
  <c r="CN211" i="1"/>
  <c r="CW280" i="1"/>
  <c r="CD268" i="1"/>
  <c r="AD259" i="1"/>
  <c r="CH249" i="1"/>
  <c r="AH240" i="1"/>
  <c r="CL230" i="1"/>
  <c r="AL221" i="1"/>
  <c r="CO294" i="1"/>
  <c r="CQ280" i="1"/>
  <c r="BY268" i="1"/>
  <c r="Y259" i="1"/>
  <c r="CC249" i="1"/>
  <c r="AC240" i="1"/>
  <c r="CG230" i="1"/>
  <c r="AG221" i="1"/>
  <c r="CM294" i="1"/>
  <c r="CO280" i="1"/>
  <c r="BX268" i="1"/>
  <c r="X259" i="1"/>
  <c r="CB249" i="1"/>
  <c r="AB240" i="1"/>
  <c r="CF230" i="1"/>
  <c r="AF221" i="1"/>
  <c r="BY211" i="1"/>
  <c r="Y202" i="1"/>
  <c r="CC192" i="1"/>
  <c r="AC183" i="1"/>
  <c r="CG173" i="1"/>
  <c r="AG164" i="1"/>
  <c r="CK154" i="1"/>
  <c r="DE159" i="1"/>
  <c r="Q148" i="1"/>
  <c r="AZ214" i="1"/>
  <c r="P205" i="1"/>
  <c r="BT195" i="1"/>
  <c r="T186" i="1"/>
  <c r="BX176" i="1"/>
  <c r="X167" i="1"/>
  <c r="CB157" i="1"/>
  <c r="AB148" i="1"/>
  <c r="BK214" i="1"/>
  <c r="K205" i="1"/>
  <c r="BO195" i="1"/>
  <c r="O186" i="1"/>
  <c r="BS176" i="1"/>
  <c r="S167" i="1"/>
  <c r="BW157" i="1"/>
  <c r="W148" i="1"/>
  <c r="V219" i="1"/>
  <c r="AX214" i="1"/>
  <c r="BZ209" i="1"/>
  <c r="DB204" i="1"/>
  <c r="Z200" i="1"/>
  <c r="BB195" i="1"/>
  <c r="CD190" i="1"/>
  <c r="DF185" i="1"/>
  <c r="AD181" i="1"/>
  <c r="BF176" i="1"/>
  <c r="CH171" i="1"/>
  <c r="F167" i="1"/>
  <c r="AH162" i="1"/>
  <c r="BJ157" i="1"/>
  <c r="CL152" i="1"/>
  <c r="J148" i="1"/>
  <c r="AQ143" i="1"/>
  <c r="BS138" i="1"/>
  <c r="CU133" i="1"/>
  <c r="S129" i="1"/>
  <c r="AU124" i="1"/>
  <c r="BW119" i="1"/>
  <c r="CY114" i="1"/>
  <c r="W110" i="1"/>
  <c r="AY105" i="1"/>
  <c r="CA100" i="1"/>
  <c r="DC95" i="1"/>
  <c r="AA91" i="1"/>
  <c r="BC86" i="1"/>
  <c r="CE81" i="1"/>
  <c r="DG76" i="1"/>
  <c r="AE72" i="1"/>
  <c r="BG67" i="1"/>
  <c r="CI62" i="1"/>
  <c r="G58" i="1"/>
  <c r="CZ204" i="1"/>
  <c r="X200" i="1"/>
  <c r="AZ195" i="1"/>
  <c r="CB190" i="1"/>
  <c r="DD185" i="1"/>
  <c r="AB181" i="1"/>
  <c r="BD176" i="1"/>
  <c r="CF171" i="1"/>
  <c r="DH166" i="1"/>
  <c r="AF162" i="1"/>
  <c r="BH157" i="1"/>
  <c r="CJ152" i="1"/>
  <c r="H148" i="1"/>
  <c r="O219" i="1"/>
  <c r="AQ214" i="1"/>
  <c r="BS209" i="1"/>
  <c r="CU204" i="1"/>
  <c r="S200" i="1"/>
  <c r="AU195" i="1"/>
  <c r="BW190" i="1"/>
  <c r="CY185" i="1"/>
  <c r="W181" i="1"/>
  <c r="AY176" i="1"/>
  <c r="CA171" i="1"/>
  <c r="DC166" i="1"/>
  <c r="AA162" i="1"/>
  <c r="BC157" i="1"/>
  <c r="CE152" i="1"/>
  <c r="DG147" i="1"/>
  <c r="DF218" i="1"/>
  <c r="AD214" i="1"/>
  <c r="BF209" i="1"/>
  <c r="CH204" i="1"/>
  <c r="F200" i="1"/>
  <c r="AH195" i="1"/>
  <c r="BJ190" i="1"/>
  <c r="CL185" i="1"/>
  <c r="J181" i="1"/>
  <c r="AL176" i="1"/>
  <c r="BN171" i="1"/>
  <c r="CP166" i="1"/>
  <c r="N162" i="1"/>
  <c r="AP157" i="1"/>
  <c r="BR152" i="1"/>
  <c r="CT147" i="1"/>
  <c r="W143" i="1"/>
  <c r="AY138" i="1"/>
  <c r="CA133" i="1"/>
  <c r="DC128" i="1"/>
  <c r="AA124" i="1"/>
  <c r="BC119" i="1"/>
  <c r="CE114" i="1"/>
  <c r="DG109" i="1"/>
  <c r="AE105" i="1"/>
  <c r="BG100" i="1"/>
  <c r="CI95" i="1"/>
  <c r="G91" i="1"/>
  <c r="BD205" i="1"/>
  <c r="CF200" i="1"/>
  <c r="DH195" i="1"/>
  <c r="AF191" i="1"/>
  <c r="BH186" i="1"/>
  <c r="CJ181" i="1"/>
  <c r="H177" i="1"/>
  <c r="AJ172" i="1"/>
  <c r="BL167" i="1"/>
  <c r="CN162" i="1"/>
  <c r="L158" i="1"/>
  <c r="AN153" i="1"/>
  <c r="BP148" i="1"/>
  <c r="BX219" i="1"/>
  <c r="BP205" i="1"/>
  <c r="CR200" i="1"/>
  <c r="P196" i="1"/>
  <c r="AR191" i="1"/>
  <c r="BT186" i="1"/>
  <c r="CV181" i="1"/>
  <c r="T177" i="1"/>
  <c r="AV172" i="1"/>
  <c r="BX167" i="1"/>
  <c r="CZ162" i="1"/>
  <c r="X158" i="1"/>
  <c r="AZ153" i="1"/>
  <c r="CB148" i="1"/>
  <c r="CN219" i="1"/>
  <c r="G215" i="1"/>
  <c r="AI210" i="1"/>
  <c r="BK205" i="1"/>
  <c r="CM200" i="1"/>
  <c r="K196" i="1"/>
  <c r="AM191" i="1"/>
  <c r="BO186" i="1"/>
  <c r="CQ181" i="1"/>
  <c r="O177" i="1"/>
  <c r="AQ172" i="1"/>
  <c r="BS167" i="1"/>
  <c r="CU162" i="1"/>
  <c r="S158" i="1"/>
  <c r="AU153" i="1"/>
  <c r="BW148" i="1"/>
  <c r="BV219" i="1"/>
  <c r="CX214" i="1"/>
  <c r="V210" i="1"/>
  <c r="AX205" i="1"/>
  <c r="BZ200" i="1"/>
  <c r="DB195" i="1"/>
  <c r="Z191" i="1"/>
  <c r="BB186" i="1"/>
  <c r="CD181" i="1"/>
  <c r="DF176" i="1"/>
  <c r="AD172" i="1"/>
  <c r="BF167" i="1"/>
  <c r="CH162" i="1"/>
  <c r="F158" i="1"/>
  <c r="AH153" i="1"/>
  <c r="BJ148" i="1"/>
  <c r="CQ143" i="1"/>
  <c r="O139" i="1"/>
  <c r="AQ134" i="1"/>
  <c r="BS129" i="1"/>
  <c r="CU124" i="1"/>
  <c r="S120" i="1"/>
  <c r="AU115" i="1"/>
  <c r="BW110" i="1"/>
  <c r="CY105" i="1"/>
  <c r="W101" i="1"/>
  <c r="AY96" i="1"/>
  <c r="CA91" i="1"/>
  <c r="DC86" i="1"/>
  <c r="G206" i="1"/>
  <c r="K187" i="1"/>
  <c r="O168" i="1"/>
  <c r="S149" i="1"/>
  <c r="CX205" i="1"/>
  <c r="DB186" i="1"/>
  <c r="DF167" i="1"/>
  <c r="F149" i="1"/>
  <c r="O130" i="1"/>
  <c r="S111" i="1"/>
  <c r="W92" i="1"/>
  <c r="CY81" i="1"/>
  <c r="BO75" i="1"/>
  <c r="AE69" i="1"/>
  <c r="DC62" i="1"/>
  <c r="BS56" i="1"/>
  <c r="BK51" i="1"/>
  <c r="CM46" i="1"/>
  <c r="K42" i="1"/>
  <c r="AM37" i="1"/>
  <c r="BO32" i="1"/>
  <c r="CQ27" i="1"/>
  <c r="O23" i="1"/>
  <c r="AQ18" i="1"/>
  <c r="BS13" i="1"/>
  <c r="CU8" i="1"/>
  <c r="S4" i="1"/>
  <c r="AL140" i="1"/>
  <c r="BN135" i="1"/>
  <c r="CP130" i="1"/>
  <c r="N126" i="1"/>
  <c r="AP121" i="1"/>
  <c r="BR116" i="1"/>
  <c r="CT111" i="1"/>
  <c r="R107" i="1"/>
  <c r="AT102" i="1"/>
  <c r="CP98" i="1"/>
  <c r="BB96" i="1"/>
  <c r="N94" i="1"/>
  <c r="CD91" i="1"/>
  <c r="AP89" i="1"/>
  <c r="DF86" i="1"/>
  <c r="BR84" i="1"/>
  <c r="AD82" i="1"/>
  <c r="CT79" i="1"/>
  <c r="BF77" i="1"/>
  <c r="R75" i="1"/>
  <c r="CH72" i="1"/>
  <c r="AT70" i="1"/>
  <c r="F68" i="1"/>
  <c r="BV65" i="1"/>
  <c r="AH63" i="1"/>
  <c r="CX60" i="1"/>
  <c r="BJ58" i="1"/>
  <c r="V56" i="1"/>
  <c r="CL53" i="1"/>
  <c r="AX51" i="1"/>
  <c r="J49" i="1"/>
  <c r="BZ46" i="1"/>
  <c r="AL44" i="1"/>
  <c r="DB41" i="1"/>
  <c r="BN39" i="1"/>
  <c r="Z37" i="1"/>
  <c r="CP34" i="1"/>
  <c r="BB32" i="1"/>
  <c r="N30" i="1"/>
  <c r="CD27" i="1"/>
  <c r="AP25" i="1"/>
  <c r="DF22" i="1"/>
  <c r="BR20" i="1"/>
  <c r="AD18" i="1"/>
  <c r="CT15" i="1"/>
  <c r="BF13" i="1"/>
  <c r="R11" i="1"/>
  <c r="CH8" i="1"/>
  <c r="AT6" i="1"/>
  <c r="F4" i="1"/>
  <c r="CC164" i="1"/>
  <c r="BM160" i="1"/>
  <c r="BA157" i="1"/>
  <c r="AO154" i="1"/>
  <c r="M151" i="1"/>
  <c r="BM148" i="1"/>
  <c r="Y146" i="1"/>
  <c r="BT219" i="1"/>
  <c r="AF217" i="1"/>
  <c r="CV214" i="1"/>
  <c r="BH212" i="1"/>
  <c r="T210" i="1"/>
  <c r="CJ207" i="1"/>
  <c r="BL205" i="1"/>
  <c r="X203" i="1"/>
  <c r="CN200" i="1"/>
  <c r="AZ198" i="1"/>
  <c r="L196" i="1"/>
  <c r="CB193" i="1"/>
  <c r="AN191" i="1"/>
  <c r="DD188" i="1"/>
  <c r="BP186" i="1"/>
  <c r="AB184" i="1"/>
  <c r="CR181" i="1"/>
  <c r="BD179" i="1"/>
  <c r="P177" i="1"/>
  <c r="CF174" i="1"/>
  <c r="AR172" i="1"/>
  <c r="DH169" i="1"/>
  <c r="BT167" i="1"/>
  <c r="AF165" i="1"/>
  <c r="CV162" i="1"/>
  <c r="BH160" i="1"/>
  <c r="T158" i="1"/>
  <c r="CJ155" i="1"/>
  <c r="AV153" i="1"/>
  <c r="H151" i="1"/>
  <c r="BX148" i="1"/>
  <c r="AJ146" i="1"/>
  <c r="CH219" i="1"/>
  <c r="AQ217" i="1"/>
  <c r="DG214" i="1"/>
  <c r="BS212" i="1"/>
  <c r="AE210" i="1"/>
  <c r="CU207" i="1"/>
  <c r="BG205" i="1"/>
  <c r="S203" i="1"/>
  <c r="CI200" i="1"/>
  <c r="AU198" i="1"/>
  <c r="G196" i="1"/>
  <c r="BW193" i="1"/>
  <c r="AI191" i="1"/>
  <c r="CY188" i="1"/>
  <c r="BK186" i="1"/>
  <c r="W184" i="1"/>
  <c r="CM181" i="1"/>
  <c r="AY179" i="1"/>
  <c r="K177" i="1"/>
  <c r="CA174" i="1"/>
  <c r="AM172" i="1"/>
  <c r="DC169" i="1"/>
  <c r="BO167" i="1"/>
  <c r="AA165" i="1"/>
  <c r="CQ162" i="1"/>
  <c r="BC160" i="1"/>
  <c r="O158" i="1"/>
  <c r="CE155" i="1"/>
  <c r="AQ153" i="1"/>
  <c r="DG150" i="1"/>
  <c r="BS148" i="1"/>
  <c r="AE146" i="1"/>
  <c r="BR219" i="1"/>
  <c r="AD217" i="1"/>
  <c r="CT214" i="1"/>
  <c r="BF212" i="1"/>
  <c r="R210" i="1"/>
  <c r="CH207" i="1"/>
  <c r="AT205" i="1"/>
  <c r="F203" i="1"/>
  <c r="BV200" i="1"/>
  <c r="AH198" i="1"/>
  <c r="CX195" i="1"/>
  <c r="BJ193" i="1"/>
  <c r="V191" i="1"/>
  <c r="CL188" i="1"/>
  <c r="AX186" i="1"/>
  <c r="J184" i="1"/>
  <c r="BZ181" i="1"/>
  <c r="AL179" i="1"/>
  <c r="DB176" i="1"/>
  <c r="BN174" i="1"/>
  <c r="Z172" i="1"/>
  <c r="CP169" i="1"/>
  <c r="BB167" i="1"/>
  <c r="N165" i="1"/>
  <c r="CD162" i="1"/>
  <c r="AP160" i="1"/>
  <c r="DF157" i="1"/>
  <c r="BR155" i="1"/>
  <c r="AD153" i="1"/>
  <c r="CT150" i="1"/>
  <c r="BF148" i="1"/>
  <c r="R146" i="1"/>
  <c r="CM143" i="1"/>
  <c r="AY141" i="1"/>
  <c r="K139" i="1"/>
  <c r="CA136" i="1"/>
  <c r="AM134" i="1"/>
  <c r="DC131" i="1"/>
  <c r="BO129" i="1"/>
  <c r="AA127" i="1"/>
  <c r="CQ124" i="1"/>
  <c r="BC122" i="1"/>
  <c r="O120" i="1"/>
  <c r="CE117" i="1"/>
  <c r="AQ115" i="1"/>
  <c r="DG112" i="1"/>
  <c r="BS110" i="1"/>
  <c r="AE108" i="1"/>
  <c r="CU105" i="1"/>
  <c r="BG103" i="1"/>
  <c r="S101" i="1"/>
  <c r="CI98" i="1"/>
  <c r="AU96" i="1"/>
  <c r="G94" i="1"/>
  <c r="BW91" i="1"/>
  <c r="AI89" i="1"/>
  <c r="CY86" i="1"/>
  <c r="BK84" i="1"/>
  <c r="W82" i="1"/>
  <c r="CM79" i="1"/>
  <c r="AY77" i="1"/>
  <c r="K75" i="1"/>
  <c r="CA72" i="1"/>
  <c r="AM70" i="1"/>
  <c r="DC67" i="1"/>
  <c r="BO65" i="1"/>
  <c r="AA63" i="1"/>
  <c r="CQ60" i="1"/>
  <c r="BC58" i="1"/>
  <c r="O56" i="1"/>
  <c r="AR205" i="1"/>
  <c r="DH202" i="1"/>
  <c r="BT200" i="1"/>
  <c r="AF198" i="1"/>
  <c r="CV195" i="1"/>
  <c r="BH193" i="1"/>
  <c r="T191" i="1"/>
  <c r="CJ188" i="1"/>
  <c r="AV186" i="1"/>
  <c r="H184" i="1"/>
  <c r="BX181" i="1"/>
  <c r="AJ179" i="1"/>
  <c r="CZ176" i="1"/>
  <c r="BL174" i="1"/>
  <c r="X172" i="1"/>
  <c r="CN169" i="1"/>
  <c r="AZ167" i="1"/>
  <c r="L165" i="1"/>
  <c r="CB162" i="1"/>
  <c r="AN160" i="1"/>
  <c r="DD157" i="1"/>
  <c r="BP155" i="1"/>
  <c r="AB153" i="1"/>
  <c r="CR150" i="1"/>
  <c r="BD148" i="1"/>
  <c r="P146" i="1"/>
  <c r="BK219" i="1"/>
  <c r="W217" i="1"/>
  <c r="CM214" i="1"/>
  <c r="AY212" i="1"/>
  <c r="K210" i="1"/>
  <c r="CA207" i="1"/>
  <c r="AM205" i="1"/>
  <c r="DC202" i="1"/>
  <c r="BO200" i="1"/>
  <c r="AA198" i="1"/>
  <c r="CQ195" i="1"/>
  <c r="BC193" i="1"/>
  <c r="O191" i="1"/>
  <c r="CE188" i="1"/>
  <c r="AQ186" i="1"/>
  <c r="DG183" i="1"/>
  <c r="BS181" i="1"/>
  <c r="AE179" i="1"/>
  <c r="CU176" i="1"/>
  <c r="BG174" i="1"/>
  <c r="S172" i="1"/>
  <c r="CI169" i="1"/>
  <c r="AU167" i="1"/>
  <c r="G165" i="1"/>
  <c r="BW162" i="1"/>
  <c r="AI160" i="1"/>
  <c r="CY157" i="1"/>
  <c r="BK155" i="1"/>
  <c r="W153" i="1"/>
  <c r="CM150" i="1"/>
  <c r="AY148" i="1"/>
  <c r="K146" i="1"/>
  <c r="AX219" i="1"/>
  <c r="J217" i="1"/>
  <c r="BZ214" i="1"/>
  <c r="AL212" i="1"/>
  <c r="DB209" i="1"/>
  <c r="BN207" i="1"/>
  <c r="Z205" i="1"/>
  <c r="CP202" i="1"/>
  <c r="BB200" i="1"/>
  <c r="N198" i="1"/>
  <c r="CD195" i="1"/>
  <c r="AP193" i="1"/>
  <c r="DF190" i="1"/>
  <c r="BR188" i="1"/>
  <c r="AD186" i="1"/>
  <c r="CT183" i="1"/>
  <c r="BF181" i="1"/>
  <c r="R179" i="1"/>
  <c r="CH176" i="1"/>
  <c r="AT174" i="1"/>
  <c r="F172" i="1"/>
  <c r="BV169" i="1"/>
  <c r="AH167" i="1"/>
  <c r="CX164" i="1"/>
  <c r="BJ162" i="1"/>
  <c r="V160" i="1"/>
  <c r="CL157" i="1"/>
  <c r="AX155" i="1"/>
  <c r="J153" i="1"/>
  <c r="BZ150" i="1"/>
  <c r="AL148" i="1"/>
  <c r="DB145" i="1"/>
  <c r="BS143" i="1"/>
  <c r="AE141" i="1"/>
  <c r="CU138" i="1"/>
  <c r="BG136" i="1"/>
  <c r="S134" i="1"/>
  <c r="CI131" i="1"/>
  <c r="AU129" i="1"/>
  <c r="G127" i="1"/>
  <c r="BW124" i="1"/>
  <c r="AI122" i="1"/>
  <c r="CY119" i="1"/>
  <c r="BK117" i="1"/>
  <c r="W115" i="1"/>
  <c r="CM112" i="1"/>
  <c r="AY110" i="1"/>
  <c r="K108" i="1"/>
  <c r="CA105" i="1"/>
  <c r="AM103" i="1"/>
  <c r="DC100" i="1"/>
  <c r="BO98" i="1"/>
  <c r="AA96" i="1"/>
  <c r="CQ93" i="1"/>
  <c r="BC91" i="1"/>
  <c r="O89" i="1"/>
  <c r="CZ205" i="1"/>
  <c r="BL203" i="1"/>
  <c r="X201" i="1"/>
  <c r="CN198" i="1"/>
  <c r="AZ196" i="1"/>
  <c r="L194" i="1"/>
  <c r="CB191" i="1"/>
  <c r="AN189" i="1"/>
  <c r="DD186" i="1"/>
  <c r="BP184" i="1"/>
  <c r="AB182" i="1"/>
  <c r="CR179" i="1"/>
  <c r="BD177" i="1"/>
  <c r="P175" i="1"/>
  <c r="CF172" i="1"/>
  <c r="AR170" i="1"/>
  <c r="DH167" i="1"/>
  <c r="BT165" i="1"/>
  <c r="AF163" i="1"/>
  <c r="CV160" i="1"/>
  <c r="BH158" i="1"/>
  <c r="T156" i="1"/>
  <c r="CJ153" i="1"/>
  <c r="AV151" i="1"/>
  <c r="H149" i="1"/>
  <c r="BX146" i="1"/>
  <c r="AJ144" i="1"/>
  <c r="CE217" i="1"/>
  <c r="H206" i="1"/>
  <c r="BX203" i="1"/>
  <c r="AJ201" i="1"/>
  <c r="CZ198" i="1"/>
  <c r="BL196" i="1"/>
  <c r="X194" i="1"/>
  <c r="CN191" i="1"/>
  <c r="AZ189" i="1"/>
  <c r="L187" i="1"/>
  <c r="CB184" i="1"/>
  <c r="AN182" i="1"/>
  <c r="DD179" i="1"/>
  <c r="BP177" i="1"/>
  <c r="AB175" i="1"/>
  <c r="CR172" i="1"/>
  <c r="BD170" i="1"/>
  <c r="P168" i="1"/>
  <c r="CF165" i="1"/>
  <c r="AR163" i="1"/>
  <c r="DH160" i="1"/>
  <c r="BT158" i="1"/>
  <c r="AF156" i="1"/>
  <c r="CV153" i="1"/>
  <c r="BH151" i="1"/>
  <c r="T149" i="1"/>
  <c r="CJ146" i="1"/>
  <c r="AV144" i="1"/>
  <c r="CQ217" i="1"/>
  <c r="BC215" i="1"/>
  <c r="O213" i="1"/>
  <c r="CE210" i="1"/>
  <c r="AQ208" i="1"/>
  <c r="DG205" i="1"/>
  <c r="BS203" i="1"/>
  <c r="AE201" i="1"/>
  <c r="CU198" i="1"/>
  <c r="BG196" i="1"/>
  <c r="S194" i="1"/>
  <c r="CI191" i="1"/>
  <c r="AU189" i="1"/>
  <c r="G187" i="1"/>
  <c r="BW184" i="1"/>
  <c r="AI182" i="1"/>
  <c r="CY179" i="1"/>
  <c r="BK177" i="1"/>
  <c r="W175" i="1"/>
  <c r="CM172" i="1"/>
  <c r="AY170" i="1"/>
  <c r="K168" i="1"/>
  <c r="CA165" i="1"/>
  <c r="AM163" i="1"/>
  <c r="DC160" i="1"/>
  <c r="BO158" i="1"/>
  <c r="AA156" i="1"/>
  <c r="CQ153" i="1"/>
  <c r="BC151" i="1"/>
  <c r="O149" i="1"/>
  <c r="CE146" i="1"/>
  <c r="AQ144" i="1"/>
  <c r="CD217" i="1"/>
  <c r="AP215" i="1"/>
  <c r="DF212" i="1"/>
  <c r="BR210" i="1"/>
  <c r="AD208" i="1"/>
  <c r="CT205" i="1"/>
  <c r="BF203" i="1"/>
  <c r="R201" i="1"/>
  <c r="CH198" i="1"/>
  <c r="AT196" i="1"/>
  <c r="F194" i="1"/>
  <c r="BV191" i="1"/>
  <c r="AH189" i="1"/>
  <c r="CX186" i="1"/>
  <c r="BJ184" i="1"/>
  <c r="V182" i="1"/>
  <c r="CL179" i="1"/>
  <c r="AX177" i="1"/>
  <c r="J175" i="1"/>
  <c r="BZ172" i="1"/>
  <c r="AL170" i="1"/>
  <c r="DB167" i="1"/>
  <c r="BN165" i="1"/>
  <c r="Z163" i="1"/>
  <c r="CP160" i="1"/>
  <c r="BB158" i="1"/>
  <c r="N156" i="1"/>
  <c r="CD153" i="1"/>
  <c r="AP151" i="1"/>
  <c r="DF148" i="1"/>
  <c r="BR146" i="1"/>
  <c r="AD144" i="1"/>
  <c r="CY141" i="1"/>
  <c r="BK139" i="1"/>
  <c r="W137" i="1"/>
  <c r="CM134" i="1"/>
  <c r="AY132" i="1"/>
  <c r="K130" i="1"/>
  <c r="CA127" i="1"/>
  <c r="AM125" i="1"/>
  <c r="DC122" i="1"/>
  <c r="BO120" i="1"/>
  <c r="AA118" i="1"/>
  <c r="CQ115" i="1"/>
  <c r="BC113" i="1"/>
  <c r="O111" i="1"/>
  <c r="CE108" i="1"/>
  <c r="AQ106" i="1"/>
  <c r="DG103" i="1"/>
  <c r="BS101" i="1"/>
  <c r="AE99" i="1"/>
  <c r="CU96" i="1"/>
  <c r="BG94" i="1"/>
  <c r="S92" i="1"/>
  <c r="CI89" i="1"/>
  <c r="AU87" i="1"/>
  <c r="G85" i="1"/>
  <c r="CM207" i="1"/>
  <c r="AM198" i="1"/>
  <c r="CQ188" i="1"/>
  <c r="AQ179" i="1"/>
  <c r="CU169" i="1"/>
  <c r="AU160" i="1"/>
  <c r="CY150" i="1"/>
  <c r="V217" i="1"/>
  <c r="BZ207" i="1"/>
  <c r="Z198" i="1"/>
  <c r="CD188" i="1"/>
  <c r="AD179" i="1"/>
  <c r="CH169" i="1"/>
  <c r="AH160" i="1"/>
  <c r="CL150" i="1"/>
  <c r="AQ141" i="1"/>
  <c r="CU131" i="1"/>
  <c r="AU122" i="1"/>
  <c r="CY112" i="1"/>
  <c r="AY103" i="1"/>
  <c r="DC93" i="1"/>
  <c r="O86" i="1"/>
  <c r="BG82" i="1"/>
  <c r="AM79" i="1"/>
  <c r="W76" i="1"/>
  <c r="G73" i="1"/>
  <c r="CQ69" i="1"/>
  <c r="CA66" i="1"/>
  <c r="BK63" i="1"/>
  <c r="AQ60" i="1"/>
  <c r="AA57" i="1"/>
  <c r="AQ54" i="1"/>
  <c r="DG51" i="1"/>
  <c r="BS49" i="1"/>
  <c r="AE47" i="1"/>
  <c r="CU44" i="1"/>
  <c r="BG42" i="1"/>
  <c r="S40" i="1"/>
  <c r="CI37" i="1"/>
  <c r="AU35" i="1"/>
  <c r="G33" i="1"/>
  <c r="BW30" i="1"/>
  <c r="AI28" i="1"/>
  <c r="CY25" i="1"/>
  <c r="BK23" i="1"/>
  <c r="W21" i="1"/>
  <c r="CM18" i="1"/>
  <c r="AY16" i="1"/>
  <c r="K14" i="1"/>
  <c r="CA11" i="1"/>
  <c r="AM9" i="1"/>
  <c r="DC6" i="1"/>
  <c r="BO4" i="1"/>
  <c r="R143" i="1"/>
  <c r="CH140" i="1"/>
  <c r="AT138" i="1"/>
  <c r="F136" i="1"/>
  <c r="BV133" i="1"/>
  <c r="AH131" i="1"/>
  <c r="CX128" i="1"/>
  <c r="BJ126" i="1"/>
  <c r="V124" i="1"/>
  <c r="CL121" i="1"/>
  <c r="AX119" i="1"/>
  <c r="J117" i="1"/>
  <c r="BZ114" i="1"/>
  <c r="AL112" i="1"/>
  <c r="DB109" i="1"/>
  <c r="BN107" i="1"/>
  <c r="Z105" i="1"/>
  <c r="CP102" i="1"/>
  <c r="BB100" i="1"/>
  <c r="N98" i="1"/>
  <c r="CD95" i="1"/>
  <c r="AP93" i="1"/>
  <c r="DF90" i="1"/>
  <c r="BR88" i="1"/>
  <c r="AD86" i="1"/>
  <c r="CT83" i="1"/>
  <c r="BF81" i="1"/>
  <c r="R79" i="1"/>
  <c r="CH76" i="1"/>
  <c r="AT74" i="1"/>
  <c r="F72" i="1"/>
  <c r="BV69" i="1"/>
  <c r="AH67" i="1"/>
  <c r="CX64" i="1"/>
  <c r="BJ62" i="1"/>
  <c r="V60" i="1"/>
  <c r="CL57" i="1"/>
  <c r="AX55" i="1"/>
  <c r="J53" i="1"/>
  <c r="BZ50" i="1"/>
  <c r="AL48" i="1"/>
  <c r="DB45" i="1"/>
  <c r="BN43" i="1"/>
  <c r="Z41" i="1"/>
  <c r="CP38" i="1"/>
  <c r="BB36" i="1"/>
  <c r="N34" i="1"/>
  <c r="CD31" i="1"/>
  <c r="AP29" i="1"/>
  <c r="DF26" i="1"/>
  <c r="BR24" i="1"/>
  <c r="AD22" i="1"/>
  <c r="CT19" i="1"/>
  <c r="BF17" i="1"/>
  <c r="R15" i="1"/>
  <c r="CH12" i="1"/>
  <c r="AT10" i="1"/>
  <c r="F8" i="1"/>
  <c r="BV5" i="1"/>
  <c r="AC171" i="1"/>
  <c r="CK162" i="1"/>
  <c r="BY159" i="1"/>
  <c r="AW156" i="1"/>
  <c r="AK153" i="1"/>
  <c r="Y150" i="1"/>
  <c r="CO147" i="1"/>
  <c r="BA145" i="1"/>
  <c r="CV218" i="1"/>
  <c r="BH216" i="1"/>
  <c r="T214" i="1"/>
  <c r="CJ211" i="1"/>
  <c r="AV209" i="1"/>
  <c r="H207" i="1"/>
  <c r="CN204" i="1"/>
  <c r="AZ202" i="1"/>
  <c r="L200" i="1"/>
  <c r="CB197" i="1"/>
  <c r="AN195" i="1"/>
  <c r="DD192" i="1"/>
  <c r="BP190" i="1"/>
  <c r="AB188" i="1"/>
  <c r="CR185" i="1"/>
  <c r="BD183" i="1"/>
  <c r="P181" i="1"/>
  <c r="CF178" i="1"/>
  <c r="AR176" i="1"/>
  <c r="DH173" i="1"/>
  <c r="BT171" i="1"/>
  <c r="AF169" i="1"/>
  <c r="CV166" i="1"/>
  <c r="BH164" i="1"/>
  <c r="T162" i="1"/>
  <c r="CJ159" i="1"/>
  <c r="AV157" i="1"/>
  <c r="H155" i="1"/>
  <c r="BX152" i="1"/>
  <c r="AJ150" i="1"/>
  <c r="CZ147" i="1"/>
  <c r="BL145" i="1"/>
  <c r="DG218" i="1"/>
  <c r="BS216" i="1"/>
  <c r="AE214" i="1"/>
  <c r="CU211" i="1"/>
  <c r="BG209" i="1"/>
  <c r="S207" i="1"/>
  <c r="CI204" i="1"/>
  <c r="AU202" i="1"/>
  <c r="G200" i="1"/>
  <c r="BW197" i="1"/>
  <c r="AI195" i="1"/>
  <c r="CY192" i="1"/>
  <c r="BK190" i="1"/>
  <c r="W188" i="1"/>
  <c r="CM185" i="1"/>
  <c r="AY183" i="1"/>
  <c r="K181" i="1"/>
  <c r="CA178" i="1"/>
  <c r="AM176" i="1"/>
  <c r="DC173" i="1"/>
  <c r="BO171" i="1"/>
  <c r="AA169" i="1"/>
  <c r="CQ166" i="1"/>
  <c r="BC164" i="1"/>
  <c r="O162" i="1"/>
  <c r="CE159" i="1"/>
  <c r="AQ157" i="1"/>
  <c r="DG154" i="1"/>
  <c r="BS152" i="1"/>
  <c r="AE150" i="1"/>
  <c r="CU147" i="1"/>
  <c r="BG145" i="1"/>
  <c r="CT218" i="1"/>
  <c r="BF216" i="1"/>
  <c r="R214" i="1"/>
  <c r="CH211" i="1"/>
  <c r="AT209" i="1"/>
  <c r="F207" i="1"/>
  <c r="BV204" i="1"/>
  <c r="AH202" i="1"/>
  <c r="CX199" i="1"/>
  <c r="BJ197" i="1"/>
  <c r="V195" i="1"/>
  <c r="CL192" i="1"/>
  <c r="AX190" i="1"/>
  <c r="J188" i="1"/>
  <c r="BZ185" i="1"/>
  <c r="AL183" i="1"/>
  <c r="DB180" i="1"/>
  <c r="BN178" i="1"/>
  <c r="Z176" i="1"/>
  <c r="CP173" i="1"/>
  <c r="BB171" i="1"/>
  <c r="N169" i="1"/>
  <c r="CD166" i="1"/>
  <c r="AP164" i="1"/>
  <c r="DF161" i="1"/>
  <c r="BR159" i="1"/>
  <c r="AD157" i="1"/>
  <c r="CT154" i="1"/>
  <c r="BF152" i="1"/>
  <c r="R150" i="1"/>
  <c r="CH147" i="1"/>
  <c r="AT145" i="1"/>
  <c r="K143" i="1"/>
  <c r="CA140" i="1"/>
  <c r="AM138" i="1"/>
  <c r="DC135" i="1"/>
  <c r="BO133" i="1"/>
  <c r="AA131" i="1"/>
  <c r="CQ128" i="1"/>
  <c r="BC126" i="1"/>
  <c r="O124" i="1"/>
  <c r="CE121" i="1"/>
  <c r="AQ119" i="1"/>
  <c r="DG116" i="1"/>
  <c r="BS114" i="1"/>
  <c r="AE112" i="1"/>
  <c r="CU109" i="1"/>
  <c r="BG107" i="1"/>
  <c r="S105" i="1"/>
  <c r="CI102" i="1"/>
  <c r="AU100" i="1"/>
  <c r="G98" i="1"/>
  <c r="BW95" i="1"/>
  <c r="AI93" i="1"/>
  <c r="CY90" i="1"/>
  <c r="BK88" i="1"/>
  <c r="W86" i="1"/>
  <c r="CM83" i="1"/>
  <c r="AY81" i="1"/>
  <c r="K79" i="1"/>
  <c r="CA76" i="1"/>
  <c r="AM74" i="1"/>
  <c r="DC71" i="1"/>
  <c r="BO69" i="1"/>
  <c r="AA67" i="1"/>
  <c r="CQ64" i="1"/>
  <c r="BC62" i="1"/>
  <c r="O60" i="1"/>
  <c r="CE57" i="1"/>
  <c r="AQ55" i="1"/>
  <c r="BT204" i="1"/>
  <c r="AF202" i="1"/>
  <c r="CV199" i="1"/>
  <c r="BH197" i="1"/>
  <c r="T195" i="1"/>
  <c r="CJ192" i="1"/>
  <c r="AV190" i="1"/>
  <c r="H188" i="1"/>
  <c r="BX185" i="1"/>
  <c r="AJ183" i="1"/>
  <c r="CZ180" i="1"/>
  <c r="BL178" i="1"/>
  <c r="X176" i="1"/>
  <c r="CN173" i="1"/>
  <c r="AZ171" i="1"/>
  <c r="L169" i="1"/>
  <c r="CB166" i="1"/>
  <c r="AN164" i="1"/>
  <c r="DD161" i="1"/>
  <c r="BP159" i="1"/>
  <c r="AB157" i="1"/>
  <c r="CR154" i="1"/>
  <c r="BD152" i="1"/>
  <c r="P150" i="1"/>
  <c r="CF147" i="1"/>
  <c r="AR145" i="1"/>
  <c r="CM218" i="1"/>
  <c r="AY216" i="1"/>
  <c r="K214" i="1"/>
  <c r="CA211" i="1"/>
  <c r="AM209" i="1"/>
  <c r="DC206" i="1"/>
  <c r="BO204" i="1"/>
  <c r="AA202" i="1"/>
  <c r="CQ199" i="1"/>
  <c r="BC197" i="1"/>
  <c r="O195" i="1"/>
  <c r="CE192" i="1"/>
  <c r="AQ190" i="1"/>
  <c r="DG187" i="1"/>
  <c r="BS185" i="1"/>
  <c r="AE183" i="1"/>
  <c r="CU180" i="1"/>
  <c r="BG178" i="1"/>
  <c r="S176" i="1"/>
  <c r="CI173" i="1"/>
  <c r="AU171" i="1"/>
  <c r="G169" i="1"/>
  <c r="BW166" i="1"/>
  <c r="AI164" i="1"/>
  <c r="CY161" i="1"/>
  <c r="BK159" i="1"/>
  <c r="W157" i="1"/>
  <c r="CM154" i="1"/>
  <c r="AY152" i="1"/>
  <c r="K150" i="1"/>
  <c r="CA147" i="1"/>
  <c r="AM145" i="1"/>
  <c r="BZ218" i="1"/>
  <c r="AL216" i="1"/>
  <c r="DB213" i="1"/>
  <c r="BN211" i="1"/>
  <c r="Z209" i="1"/>
  <c r="CP206" i="1"/>
  <c r="BB204" i="1"/>
  <c r="N202" i="1"/>
  <c r="CD199" i="1"/>
  <c r="AP197" i="1"/>
  <c r="DF194" i="1"/>
  <c r="BR192" i="1"/>
  <c r="AD190" i="1"/>
  <c r="CT187" i="1"/>
  <c r="BF185" i="1"/>
  <c r="R183" i="1"/>
  <c r="CH180" i="1"/>
  <c r="AT178" i="1"/>
  <c r="F176" i="1"/>
  <c r="BV173" i="1"/>
  <c r="AH171" i="1"/>
  <c r="CX168" i="1"/>
  <c r="BJ166" i="1"/>
  <c r="V164" i="1"/>
  <c r="CL161" i="1"/>
  <c r="AX159" i="1"/>
  <c r="J157" i="1"/>
  <c r="BZ154" i="1"/>
  <c r="AL152" i="1"/>
  <c r="DB149" i="1"/>
  <c r="BN147" i="1"/>
  <c r="Z145" i="1"/>
  <c r="CU142" i="1"/>
  <c r="BG140" i="1"/>
  <c r="S138" i="1"/>
  <c r="CI135" i="1"/>
  <c r="AU133" i="1"/>
  <c r="G131" i="1"/>
  <c r="BW128" i="1"/>
  <c r="AI126" i="1"/>
  <c r="CY123" i="1"/>
  <c r="BK121" i="1"/>
  <c r="W119" i="1"/>
  <c r="CM116" i="1"/>
  <c r="AY114" i="1"/>
  <c r="K112" i="1"/>
  <c r="CA109" i="1"/>
  <c r="AM107" i="1"/>
  <c r="DC104" i="1"/>
  <c r="BO102" i="1"/>
  <c r="AA100" i="1"/>
  <c r="CQ97" i="1"/>
  <c r="BC95" i="1"/>
  <c r="O93" i="1"/>
  <c r="CE90" i="1"/>
  <c r="AQ88" i="1"/>
  <c r="X205" i="1"/>
  <c r="CN202" i="1"/>
  <c r="AZ200" i="1"/>
  <c r="L198" i="1"/>
  <c r="CB195" i="1"/>
  <c r="AN193" i="1"/>
  <c r="DD190" i="1"/>
  <c r="BP188" i="1"/>
  <c r="AB186" i="1"/>
  <c r="CR183" i="1"/>
  <c r="BD181" i="1"/>
  <c r="P179" i="1"/>
  <c r="CF176" i="1"/>
  <c r="AR174" i="1"/>
  <c r="DH171" i="1"/>
  <c r="BT169" i="1"/>
  <c r="AF167" i="1"/>
  <c r="CV164" i="1"/>
  <c r="BH162" i="1"/>
  <c r="T160" i="1"/>
  <c r="CJ157" i="1"/>
  <c r="AV155" i="1"/>
  <c r="H153" i="1"/>
  <c r="BX150" i="1"/>
  <c r="AJ148" i="1"/>
  <c r="CZ145" i="1"/>
  <c r="AQ219" i="1"/>
  <c r="DG216" i="1"/>
  <c r="AJ205" i="1"/>
  <c r="CZ202" i="1"/>
  <c r="BL200" i="1"/>
  <c r="X198" i="1"/>
  <c r="CN195" i="1"/>
  <c r="AZ193" i="1"/>
  <c r="L191" i="1"/>
  <c r="CB188" i="1"/>
  <c r="AN186" i="1"/>
  <c r="DD183" i="1"/>
  <c r="BP181" i="1"/>
  <c r="AB179" i="1"/>
  <c r="CR176" i="1"/>
  <c r="BD174" i="1"/>
  <c r="P172" i="1"/>
  <c r="CF169" i="1"/>
  <c r="AR167" i="1"/>
  <c r="DH164" i="1"/>
  <c r="BT162" i="1"/>
  <c r="AF160" i="1"/>
  <c r="CV157" i="1"/>
  <c r="BH155" i="1"/>
  <c r="T153" i="1"/>
  <c r="CJ150" i="1"/>
  <c r="AV148" i="1"/>
  <c r="H146" i="1"/>
  <c r="BC219" i="1"/>
  <c r="O217" i="1"/>
  <c r="CE214" i="1"/>
  <c r="AQ212" i="1"/>
  <c r="DG209" i="1"/>
  <c r="BS207" i="1"/>
  <c r="AE205" i="1"/>
  <c r="CU202" i="1"/>
  <c r="BG200" i="1"/>
  <c r="S198" i="1"/>
  <c r="CI195" i="1"/>
  <c r="AU193" i="1"/>
  <c r="G191" i="1"/>
  <c r="BW188" i="1"/>
  <c r="AI186" i="1"/>
  <c r="CY183" i="1"/>
  <c r="BK181" i="1"/>
  <c r="W179" i="1"/>
  <c r="CM176" i="1"/>
  <c r="AY174" i="1"/>
  <c r="K172" i="1"/>
  <c r="CA169" i="1"/>
  <c r="AM167" i="1"/>
  <c r="DC164" i="1"/>
  <c r="BO162" i="1"/>
  <c r="AA160" i="1"/>
  <c r="CQ157" i="1"/>
  <c r="BC155" i="1"/>
  <c r="O153" i="1"/>
  <c r="CE150" i="1"/>
  <c r="AQ148" i="1"/>
  <c r="DG145" i="1"/>
  <c r="AP219" i="1"/>
  <c r="DF216" i="1"/>
  <c r="BR214" i="1"/>
  <c r="AD212" i="1"/>
  <c r="CT209" i="1"/>
  <c r="BF207" i="1"/>
  <c r="R205" i="1"/>
  <c r="CH202" i="1"/>
  <c r="AT200" i="1"/>
  <c r="F198" i="1"/>
  <c r="BV195" i="1"/>
  <c r="AH193" i="1"/>
  <c r="CX190" i="1"/>
  <c r="BJ188" i="1"/>
  <c r="V186" i="1"/>
  <c r="CL183" i="1"/>
  <c r="AX181" i="1"/>
  <c r="J179" i="1"/>
  <c r="BZ176" i="1"/>
  <c r="AL174" i="1"/>
  <c r="DB171" i="1"/>
  <c r="BN169" i="1"/>
  <c r="Z167" i="1"/>
  <c r="CP164" i="1"/>
  <c r="BB162" i="1"/>
  <c r="N160" i="1"/>
  <c r="CD157" i="1"/>
  <c r="AP155" i="1"/>
  <c r="DF152" i="1"/>
  <c r="BR150" i="1"/>
  <c r="AD148" i="1"/>
  <c r="CT145" i="1"/>
  <c r="BK143" i="1"/>
  <c r="W141" i="1"/>
  <c r="CM138" i="1"/>
  <c r="AY136" i="1"/>
  <c r="K134" i="1"/>
  <c r="CA131" i="1"/>
  <c r="AM129" i="1"/>
  <c r="DC126" i="1"/>
  <c r="BO124" i="1"/>
  <c r="AA122" i="1"/>
  <c r="CQ119" i="1"/>
  <c r="BC117" i="1"/>
  <c r="O115" i="1"/>
  <c r="CE112" i="1"/>
  <c r="AQ110" i="1"/>
  <c r="DG107" i="1"/>
  <c r="BS105" i="1"/>
  <c r="AE103" i="1"/>
  <c r="CU100" i="1"/>
  <c r="BG98" i="1"/>
  <c r="S96" i="1"/>
  <c r="CI93" i="1"/>
  <c r="AU91" i="1"/>
  <c r="G89" i="1"/>
  <c r="BW86" i="1"/>
  <c r="AM214" i="1"/>
  <c r="CQ204" i="1"/>
  <c r="AQ195" i="1"/>
  <c r="CU185" i="1"/>
  <c r="AU176" i="1"/>
  <c r="CY166" i="1"/>
  <c r="AY157" i="1"/>
  <c r="DC147" i="1"/>
  <c r="Z214" i="1"/>
  <c r="CD204" i="1"/>
  <c r="AD195" i="1"/>
  <c r="CH185" i="1"/>
  <c r="AH176" i="1"/>
  <c r="CL166" i="1"/>
  <c r="AL157" i="1"/>
  <c r="CP147" i="1"/>
  <c r="AU138" i="1"/>
  <c r="CY128" i="1"/>
  <c r="AY119" i="1"/>
  <c r="DC109" i="1"/>
  <c r="BC100" i="1"/>
  <c r="DG90" i="1"/>
  <c r="BW84" i="1"/>
  <c r="BG81" i="1"/>
  <c r="AQ78" i="1"/>
  <c r="W75" i="1"/>
  <c r="G72" i="1"/>
  <c r="CU68" i="1"/>
  <c r="CA65" i="1"/>
  <c r="BK62" i="1"/>
  <c r="AU59" i="1"/>
  <c r="AA56" i="1"/>
  <c r="BS53" i="1"/>
  <c r="AE51" i="1"/>
  <c r="CU48" i="1"/>
  <c r="BG46" i="1"/>
  <c r="S44" i="1"/>
  <c r="CI41" i="1"/>
  <c r="AU39" i="1"/>
  <c r="G37" i="1"/>
  <c r="BW34" i="1"/>
  <c r="AI32" i="1"/>
  <c r="CY29" i="1"/>
  <c r="BK27" i="1"/>
  <c r="W25" i="1"/>
  <c r="CM22" i="1"/>
  <c r="AY20" i="1"/>
  <c r="K18" i="1"/>
  <c r="CA15" i="1"/>
  <c r="AM13" i="1"/>
  <c r="DC10" i="1"/>
  <c r="BO8" i="1"/>
  <c r="AA6" i="1"/>
  <c r="CQ3" i="1"/>
  <c r="AT142" i="1"/>
  <c r="F140" i="1"/>
  <c r="BV137" i="1"/>
  <c r="AH135" i="1"/>
  <c r="CX132" i="1"/>
  <c r="BJ130" i="1"/>
  <c r="V128" i="1"/>
  <c r="CL125" i="1"/>
  <c r="AX123" i="1"/>
  <c r="J121" i="1"/>
  <c r="BZ118" i="1"/>
  <c r="AL116" i="1"/>
  <c r="DB113" i="1"/>
  <c r="BN111" i="1"/>
  <c r="Z109" i="1"/>
  <c r="CP106" i="1"/>
  <c r="BB104" i="1"/>
  <c r="N102" i="1"/>
  <c r="CD99" i="1"/>
  <c r="AP97" i="1"/>
  <c r="DF94" i="1"/>
  <c r="BR92" i="1"/>
  <c r="AD90" i="1"/>
  <c r="CT87" i="1"/>
  <c r="BF85" i="1"/>
  <c r="R83" i="1"/>
  <c r="CH80" i="1"/>
  <c r="AT78" i="1"/>
  <c r="F76" i="1"/>
  <c r="BV73" i="1"/>
  <c r="AH71" i="1"/>
  <c r="CX68" i="1"/>
  <c r="BJ66" i="1"/>
  <c r="V64" i="1"/>
  <c r="CL61" i="1"/>
  <c r="AX59" i="1"/>
  <c r="J57" i="1"/>
  <c r="BZ54" i="1"/>
  <c r="AL52" i="1"/>
  <c r="DB49" i="1"/>
  <c r="BN47" i="1"/>
  <c r="Z45" i="1"/>
  <c r="CP42" i="1"/>
  <c r="BB40" i="1"/>
  <c r="N38" i="1"/>
  <c r="CD35" i="1"/>
  <c r="AP33" i="1"/>
  <c r="DF30" i="1"/>
  <c r="BR28" i="1"/>
  <c r="AD26" i="1"/>
  <c r="CT23" i="1"/>
  <c r="BF21" i="1"/>
  <c r="R19" i="1"/>
  <c r="CH16" i="1"/>
  <c r="AT14" i="1"/>
  <c r="F12" i="1"/>
  <c r="BV9" i="1"/>
  <c r="AH7" i="1"/>
  <c r="CX4" i="1"/>
  <c r="AG168" i="1"/>
  <c r="CG161" i="1"/>
  <c r="BU158" i="1"/>
  <c r="BI155" i="1"/>
  <c r="AG152" i="1"/>
  <c r="BA149" i="1"/>
  <c r="M147" i="1"/>
  <c r="CC144" i="1"/>
  <c r="T218" i="1"/>
  <c r="CJ215" i="1"/>
  <c r="AV213" i="1"/>
  <c r="H211" i="1"/>
  <c r="BX208" i="1"/>
  <c r="AZ206" i="1"/>
  <c r="L204" i="1"/>
  <c r="CB201" i="1"/>
  <c r="AN199" i="1"/>
  <c r="DD196" i="1"/>
  <c r="BP194" i="1"/>
  <c r="AB192" i="1"/>
  <c r="CR189" i="1"/>
  <c r="BD187" i="1"/>
  <c r="P185" i="1"/>
  <c r="CF182" i="1"/>
  <c r="AR180" i="1"/>
  <c r="DH177" i="1"/>
  <c r="BT175" i="1"/>
  <c r="AF173" i="1"/>
  <c r="CV170" i="1"/>
  <c r="BH168" i="1"/>
  <c r="T166" i="1"/>
  <c r="CJ163" i="1"/>
  <c r="AV161" i="1"/>
  <c r="H159" i="1"/>
  <c r="BX156" i="1"/>
  <c r="AJ154" i="1"/>
  <c r="CZ151" i="1"/>
  <c r="BL149" i="1"/>
  <c r="X147" i="1"/>
  <c r="CN144" i="1"/>
  <c r="AE218" i="1"/>
  <c r="CU215" i="1"/>
  <c r="BG213" i="1"/>
  <c r="S211" i="1"/>
  <c r="CI208" i="1"/>
  <c r="AU206" i="1"/>
  <c r="G204" i="1"/>
  <c r="BW201" i="1"/>
  <c r="AI199" i="1"/>
  <c r="CY196" i="1"/>
  <c r="BK194" i="1"/>
  <c r="W192" i="1"/>
  <c r="CM189" i="1"/>
  <c r="AY187" i="1"/>
  <c r="K185" i="1"/>
  <c r="CA182" i="1"/>
  <c r="AM180" i="1"/>
  <c r="DC177" i="1"/>
  <c r="BO175" i="1"/>
  <c r="AA173" i="1"/>
  <c r="CQ170" i="1"/>
  <c r="BC168" i="1"/>
  <c r="O166" i="1"/>
  <c r="CE163" i="1"/>
  <c r="AQ161" i="1"/>
  <c r="DG158" i="1"/>
  <c r="BS156" i="1"/>
  <c r="AE154" i="1"/>
  <c r="CU151" i="1"/>
  <c r="BG149" i="1"/>
  <c r="S147" i="1"/>
  <c r="CI144" i="1"/>
  <c r="R218" i="1"/>
  <c r="CH215" i="1"/>
  <c r="AT213" i="1"/>
  <c r="F211" i="1"/>
  <c r="BV208" i="1"/>
  <c r="AH206" i="1"/>
  <c r="CX203" i="1"/>
  <c r="BJ201" i="1"/>
  <c r="V199" i="1"/>
  <c r="CL196" i="1"/>
  <c r="AX194" i="1"/>
  <c r="J192" i="1"/>
  <c r="BZ189" i="1"/>
  <c r="AL187" i="1"/>
  <c r="DB184" i="1"/>
  <c r="BN182" i="1"/>
  <c r="Z180" i="1"/>
  <c r="CP177" i="1"/>
  <c r="BB175" i="1"/>
  <c r="N173" i="1"/>
  <c r="CD170" i="1"/>
  <c r="AP168" i="1"/>
  <c r="DF165" i="1"/>
  <c r="BR163" i="1"/>
  <c r="AD161" i="1"/>
  <c r="CT158" i="1"/>
  <c r="BF156" i="1"/>
  <c r="R154" i="1"/>
  <c r="CH151" i="1"/>
  <c r="AT149" i="1"/>
  <c r="F147" i="1"/>
  <c r="BV144" i="1"/>
  <c r="AM142" i="1"/>
  <c r="DC139" i="1"/>
  <c r="BO137" i="1"/>
  <c r="AA135" i="1"/>
  <c r="CQ132" i="1"/>
  <c r="BC130" i="1"/>
  <c r="O128" i="1"/>
  <c r="CE125" i="1"/>
  <c r="AQ123" i="1"/>
  <c r="DG120" i="1"/>
  <c r="BS118" i="1"/>
  <c r="AE116" i="1"/>
  <c r="CU113" i="1"/>
  <c r="BG111" i="1"/>
  <c r="S109" i="1"/>
  <c r="CI106" i="1"/>
  <c r="AU104" i="1"/>
  <c r="G102" i="1"/>
  <c r="BW99" i="1"/>
  <c r="AI97" i="1"/>
  <c r="CY94" i="1"/>
  <c r="BK92" i="1"/>
  <c r="W90" i="1"/>
  <c r="CM87" i="1"/>
  <c r="AY85" i="1"/>
  <c r="K83" i="1"/>
  <c r="CA80" i="1"/>
  <c r="AM78" i="1"/>
  <c r="DC75" i="1"/>
  <c r="BO73" i="1"/>
  <c r="AA71" i="1"/>
  <c r="CQ68" i="1"/>
  <c r="BC66" i="1"/>
  <c r="O64" i="1"/>
  <c r="CE61" i="1"/>
  <c r="AQ59" i="1"/>
  <c r="DG56" i="1"/>
  <c r="AF206" i="1"/>
  <c r="CV203" i="1"/>
  <c r="BH201" i="1"/>
  <c r="T199" i="1"/>
  <c r="CJ196" i="1"/>
  <c r="AV194" i="1"/>
  <c r="H192" i="1"/>
  <c r="BX189" i="1"/>
  <c r="AJ187" i="1"/>
  <c r="CZ184" i="1"/>
  <c r="BL182" i="1"/>
  <c r="X180" i="1"/>
  <c r="CN177" i="1"/>
  <c r="AZ175" i="1"/>
  <c r="L173" i="1"/>
  <c r="CB170" i="1"/>
  <c r="AN168" i="1"/>
  <c r="DD165" i="1"/>
  <c r="BP163" i="1"/>
  <c r="AB161" i="1"/>
  <c r="CR158" i="1"/>
  <c r="BD156" i="1"/>
  <c r="P154" i="1"/>
  <c r="CF151" i="1"/>
  <c r="AR149" i="1"/>
  <c r="DH146" i="1"/>
  <c r="BT144" i="1"/>
  <c r="K218" i="1"/>
  <c r="CA215" i="1"/>
  <c r="AM213" i="1"/>
  <c r="DC210" i="1"/>
  <c r="BO208" i="1"/>
  <c r="AA206" i="1"/>
  <c r="CQ203" i="1"/>
  <c r="BC201" i="1"/>
  <c r="O199" i="1"/>
  <c r="CE196" i="1"/>
  <c r="AQ194" i="1"/>
  <c r="DG191" i="1"/>
  <c r="BS189" i="1"/>
  <c r="AE187" i="1"/>
  <c r="CU184" i="1"/>
  <c r="BG182" i="1"/>
  <c r="S180" i="1"/>
  <c r="CI177" i="1"/>
  <c r="AU175" i="1"/>
  <c r="G173" i="1"/>
  <c r="BW170" i="1"/>
  <c r="AI168" i="1"/>
  <c r="CY165" i="1"/>
  <c r="BK163" i="1"/>
  <c r="W161" i="1"/>
  <c r="CM158" i="1"/>
  <c r="AY156" i="1"/>
  <c r="K154" i="1"/>
  <c r="CA151" i="1"/>
  <c r="AM149" i="1"/>
  <c r="DC146" i="1"/>
  <c r="BO144" i="1"/>
  <c r="DB217" i="1"/>
  <c r="BN215" i="1"/>
  <c r="Z213" i="1"/>
  <c r="CP210" i="1"/>
  <c r="BB208" i="1"/>
  <c r="N206" i="1"/>
  <c r="CD203" i="1"/>
  <c r="AP201" i="1"/>
  <c r="DF198" i="1"/>
  <c r="BR196" i="1"/>
  <c r="AD194" i="1"/>
  <c r="CT191" i="1"/>
  <c r="BF189" i="1"/>
  <c r="R187" i="1"/>
  <c r="CH184" i="1"/>
  <c r="AT182" i="1"/>
  <c r="F180" i="1"/>
  <c r="BV177" i="1"/>
  <c r="AH175" i="1"/>
  <c r="CX172" i="1"/>
  <c r="BJ170" i="1"/>
  <c r="V168" i="1"/>
  <c r="CL165" i="1"/>
  <c r="AX163" i="1"/>
  <c r="J161" i="1"/>
  <c r="BZ158" i="1"/>
  <c r="AL156" i="1"/>
  <c r="DB153" i="1"/>
  <c r="BN151" i="1"/>
  <c r="Z149" i="1"/>
  <c r="CP146" i="1"/>
  <c r="BB144" i="1"/>
  <c r="S142" i="1"/>
  <c r="CI139" i="1"/>
  <c r="AU137" i="1"/>
  <c r="G135" i="1"/>
  <c r="BW132" i="1"/>
  <c r="AI130" i="1"/>
  <c r="CY127" i="1"/>
  <c r="BK125" i="1"/>
  <c r="W123" i="1"/>
  <c r="CM120" i="1"/>
  <c r="AY118" i="1"/>
  <c r="K116" i="1"/>
  <c r="CA113" i="1"/>
  <c r="AM111" i="1"/>
  <c r="DC108" i="1"/>
  <c r="BO106" i="1"/>
  <c r="AA104" i="1"/>
  <c r="CQ101" i="1"/>
  <c r="BC99" i="1"/>
  <c r="O97" i="1"/>
  <c r="CE94" i="1"/>
  <c r="AQ92" i="1"/>
  <c r="DG89" i="1"/>
  <c r="CN206" i="1"/>
  <c r="AZ204" i="1"/>
  <c r="L202" i="1"/>
  <c r="CB199" i="1"/>
  <c r="AN197" i="1"/>
  <c r="DD194" i="1"/>
  <c r="BP192" i="1"/>
  <c r="AB190" i="1"/>
  <c r="CR187" i="1"/>
  <c r="BD185" i="1"/>
  <c r="P183" i="1"/>
  <c r="CF180" i="1"/>
  <c r="AR178" i="1"/>
  <c r="DH175" i="1"/>
  <c r="BT173" i="1"/>
  <c r="AF171" i="1"/>
  <c r="CV168" i="1"/>
  <c r="BH166" i="1"/>
  <c r="T164" i="1"/>
  <c r="CJ161" i="1"/>
  <c r="AV159" i="1"/>
  <c r="H157" i="1"/>
  <c r="BX154" i="1"/>
  <c r="AJ152" i="1"/>
  <c r="CZ149" i="1"/>
  <c r="BL147" i="1"/>
  <c r="X145" i="1"/>
  <c r="BS218" i="1"/>
  <c r="AE216" i="1"/>
  <c r="BL204" i="1"/>
  <c r="X202" i="1"/>
  <c r="CN199" i="1"/>
  <c r="AZ197" i="1"/>
  <c r="L195" i="1"/>
  <c r="CB192" i="1"/>
  <c r="AN190" i="1"/>
  <c r="DD187" i="1"/>
  <c r="BP185" i="1"/>
  <c r="AB183" i="1"/>
  <c r="CR180" i="1"/>
  <c r="BD178" i="1"/>
  <c r="P176" i="1"/>
  <c r="CF173" i="1"/>
  <c r="AR171" i="1"/>
  <c r="DH168" i="1"/>
  <c r="BT166" i="1"/>
  <c r="AF164" i="1"/>
  <c r="CV161" i="1"/>
  <c r="BH159" i="1"/>
  <c r="T157" i="1"/>
  <c r="CJ154" i="1"/>
  <c r="AV152" i="1"/>
  <c r="H150" i="1"/>
  <c r="BX147" i="1"/>
  <c r="AJ145" i="1"/>
  <c r="CE218" i="1"/>
  <c r="AQ216" i="1"/>
  <c r="DG213" i="1"/>
  <c r="BS211" i="1"/>
  <c r="AE209" i="1"/>
  <c r="CU206" i="1"/>
  <c r="BG204" i="1"/>
  <c r="S202" i="1"/>
  <c r="CI199" i="1"/>
  <c r="AU197" i="1"/>
  <c r="G195" i="1"/>
  <c r="BW192" i="1"/>
  <c r="AI190" i="1"/>
  <c r="CY187" i="1"/>
  <c r="BK185" i="1"/>
  <c r="W183" i="1"/>
  <c r="CM180" i="1"/>
  <c r="AY178" i="1"/>
  <c r="K176" i="1"/>
  <c r="CA173" i="1"/>
  <c r="AM171" i="1"/>
  <c r="DC168" i="1"/>
  <c r="BO166" i="1"/>
  <c r="AA164" i="1"/>
  <c r="CQ161" i="1"/>
  <c r="BC159" i="1"/>
  <c r="O157" i="1"/>
  <c r="CE154" i="1"/>
  <c r="AQ152" i="1"/>
  <c r="DG149" i="1"/>
  <c r="BS147" i="1"/>
  <c r="AE145" i="1"/>
  <c r="BR218" i="1"/>
  <c r="AD216" i="1"/>
  <c r="CT213" i="1"/>
  <c r="BF211" i="1"/>
  <c r="R209" i="1"/>
  <c r="CH206" i="1"/>
  <c r="AT204" i="1"/>
  <c r="F202" i="1"/>
  <c r="BV199" i="1"/>
  <c r="AH197" i="1"/>
  <c r="CX194" i="1"/>
  <c r="BJ192" i="1"/>
  <c r="V190" i="1"/>
  <c r="CL187" i="1"/>
  <c r="AX185" i="1"/>
  <c r="J183" i="1"/>
  <c r="BZ180" i="1"/>
  <c r="AL178" i="1"/>
  <c r="DB175" i="1"/>
  <c r="BN173" i="1"/>
  <c r="Z171" i="1"/>
  <c r="CP168" i="1"/>
  <c r="BB166" i="1"/>
  <c r="N164" i="1"/>
  <c r="CD161" i="1"/>
  <c r="AP159" i="1"/>
  <c r="DF156" i="1"/>
  <c r="BR154" i="1"/>
  <c r="AD152" i="1"/>
  <c r="CT149" i="1"/>
  <c r="BF147" i="1"/>
  <c r="R145" i="1"/>
  <c r="CM142" i="1"/>
  <c r="AY140" i="1"/>
  <c r="K138" i="1"/>
  <c r="CA135" i="1"/>
  <c r="AM133" i="1"/>
  <c r="DC130" i="1"/>
  <c r="BO128" i="1"/>
  <c r="AA126" i="1"/>
  <c r="CQ123" i="1"/>
  <c r="BC121" i="1"/>
  <c r="O119" i="1"/>
  <c r="CE116" i="1"/>
  <c r="AQ114" i="1"/>
  <c r="DG111" i="1"/>
  <c r="BS109" i="1"/>
  <c r="AE107" i="1"/>
  <c r="CU104" i="1"/>
  <c r="BG102" i="1"/>
  <c r="S100" i="1"/>
  <c r="CI97" i="1"/>
  <c r="AU95" i="1"/>
  <c r="G93" i="1"/>
  <c r="BW90" i="1"/>
  <c r="I256" i="1"/>
  <c r="BM246" i="1"/>
  <c r="M237" i="1"/>
  <c r="BQ227" i="1"/>
  <c r="BG319" i="1"/>
  <c r="AG289" i="1"/>
  <c r="BT276" i="1"/>
  <c r="BH265" i="1"/>
  <c r="H256" i="1"/>
  <c r="BL246" i="1"/>
  <c r="L237" i="1"/>
  <c r="BP227" i="1"/>
  <c r="DI217" i="1"/>
  <c r="BI208" i="1"/>
  <c r="I199" i="1"/>
  <c r="BM189" i="1"/>
  <c r="M180" i="1"/>
  <c r="BQ170" i="1"/>
  <c r="Q161" i="1"/>
  <c r="BU151" i="1"/>
  <c r="DD217" i="1"/>
  <c r="BD208" i="1"/>
  <c r="BA276" i="1"/>
  <c r="AT265" i="1"/>
  <c r="CX255" i="1"/>
  <c r="AX246" i="1"/>
  <c r="DB236" i="1"/>
  <c r="BB227" i="1"/>
  <c r="CM318" i="1"/>
  <c r="H289" i="1"/>
  <c r="AU276" i="1"/>
  <c r="AO265" i="1"/>
  <c r="CS255" i="1"/>
  <c r="AS246" i="1"/>
  <c r="CW236" i="1"/>
  <c r="AW227" i="1"/>
  <c r="CI318" i="1"/>
  <c r="G289" i="1"/>
  <c r="AS276" i="1"/>
  <c r="AN265" i="1"/>
  <c r="CR255" i="1"/>
  <c r="AR246" i="1"/>
  <c r="CV236" i="1"/>
  <c r="AV227" i="1"/>
  <c r="CO217" i="1"/>
  <c r="AO208" i="1"/>
  <c r="CS198" i="1"/>
  <c r="AS189" i="1"/>
  <c r="CW179" i="1"/>
  <c r="AW170" i="1"/>
  <c r="DA160" i="1"/>
  <c r="BA151" i="1"/>
  <c r="CJ217" i="1"/>
  <c r="AJ208" i="1"/>
  <c r="DI275" i="1"/>
  <c r="J265" i="1"/>
  <c r="BN255" i="1"/>
  <c r="N246" i="1"/>
  <c r="BR236" i="1"/>
  <c r="R227" i="1"/>
  <c r="BC317" i="1"/>
  <c r="BP288" i="1"/>
  <c r="DC275" i="1"/>
  <c r="DI264" i="1"/>
  <c r="BI255" i="1"/>
  <c r="I246" i="1"/>
  <c r="BM236" i="1"/>
  <c r="M227" i="1"/>
  <c r="AY317" i="1"/>
  <c r="BO288" i="1"/>
  <c r="DA275" i="1"/>
  <c r="DH264" i="1"/>
  <c r="BH255" i="1"/>
  <c r="H246" i="1"/>
  <c r="BL236" i="1"/>
  <c r="L227" i="1"/>
  <c r="BE217" i="1"/>
  <c r="DI207" i="1"/>
  <c r="BI198" i="1"/>
  <c r="I189" i="1"/>
  <c r="BM179" i="1"/>
  <c r="M170" i="1"/>
  <c r="BQ160" i="1"/>
  <c r="Q151" i="1"/>
  <c r="AZ217" i="1"/>
  <c r="DD207" i="1"/>
  <c r="CI275" i="1"/>
  <c r="CT264" i="1"/>
  <c r="AT255" i="1"/>
  <c r="CX245" i="1"/>
  <c r="AX236" i="1"/>
  <c r="DB226" i="1"/>
  <c r="CE316" i="1"/>
  <c r="AO288" i="1"/>
  <c r="CB275" i="1"/>
  <c r="CO264" i="1"/>
  <c r="AO255" i="1"/>
  <c r="CS245" i="1"/>
  <c r="AS236" i="1"/>
  <c r="CW226" i="1"/>
  <c r="CA316" i="1"/>
  <c r="AN288" i="1"/>
  <c r="CA275" i="1"/>
  <c r="CN264" i="1"/>
  <c r="AN255" i="1"/>
  <c r="CR245" i="1"/>
  <c r="AR236" i="1"/>
  <c r="CV226" i="1"/>
  <c r="AK217" i="1"/>
  <c r="CO207" i="1"/>
  <c r="AO198" i="1"/>
  <c r="CS188" i="1"/>
  <c r="AS179" i="1"/>
  <c r="CW169" i="1"/>
  <c r="AX345" i="1"/>
  <c r="AC304" i="1"/>
  <c r="CJ316" i="1"/>
  <c r="DC333" i="1"/>
  <c r="AI265" i="1"/>
  <c r="AQ227" i="1"/>
  <c r="AL266" i="1"/>
  <c r="V246" i="1"/>
  <c r="Z227" i="1"/>
  <c r="AQ302" i="1"/>
  <c r="BL283" i="1"/>
  <c r="CY270" i="1"/>
  <c r="AC261" i="1"/>
  <c r="CG251" i="1"/>
  <c r="AG242" i="1"/>
  <c r="CK232" i="1"/>
  <c r="AK223" i="1"/>
  <c r="AM302" i="1"/>
  <c r="BK283" i="1"/>
  <c r="CW270" i="1"/>
  <c r="AB261" i="1"/>
  <c r="CF251" i="1"/>
  <c r="AF242" i="1"/>
  <c r="CJ232" i="1"/>
  <c r="AJ223" i="1"/>
  <c r="CC213" i="1"/>
  <c r="AC204" i="1"/>
  <c r="CG194" i="1"/>
  <c r="AG185" i="1"/>
  <c r="CK175" i="1"/>
  <c r="AK166" i="1"/>
  <c r="CO156" i="1"/>
  <c r="AO147" i="1"/>
  <c r="BX213" i="1"/>
  <c r="AR283" i="1"/>
  <c r="CE270" i="1"/>
  <c r="N261" i="1"/>
  <c r="BR251" i="1"/>
  <c r="R242" i="1"/>
  <c r="BV232" i="1"/>
  <c r="V223" i="1"/>
  <c r="BS301" i="1"/>
  <c r="AK283" i="1"/>
  <c r="BX270" i="1"/>
  <c r="I261" i="1"/>
  <c r="BM251" i="1"/>
  <c r="M242" i="1"/>
  <c r="BQ232" i="1"/>
  <c r="Q223" i="1"/>
  <c r="BO301" i="1"/>
  <c r="AJ283" i="1"/>
  <c r="BW270" i="1"/>
  <c r="H261" i="1"/>
  <c r="BL251" i="1"/>
  <c r="L242" i="1"/>
  <c r="BP232" i="1"/>
  <c r="P223" i="1"/>
  <c r="BI213" i="1"/>
  <c r="I204" i="1"/>
  <c r="BM194" i="1"/>
  <c r="M185" i="1"/>
  <c r="BQ175" i="1"/>
  <c r="Q166" i="1"/>
  <c r="BU156" i="1"/>
  <c r="U147" i="1"/>
  <c r="BD213" i="1"/>
  <c r="CZ282" i="1"/>
  <c r="AI270" i="1"/>
  <c r="CH260" i="1"/>
  <c r="AH251" i="1"/>
  <c r="CL241" i="1"/>
  <c r="AL232" i="1"/>
  <c r="CP222" i="1"/>
  <c r="AI300" i="1"/>
  <c r="CS282" i="1"/>
  <c r="AB270" i="1"/>
  <c r="CC260" i="1"/>
  <c r="AC251" i="1"/>
  <c r="CG241" i="1"/>
  <c r="AG232" i="1"/>
  <c r="CK222" i="1"/>
  <c r="AE300" i="1"/>
  <c r="CR282" i="1"/>
  <c r="AA270" i="1"/>
  <c r="CB260" i="1"/>
  <c r="AB251" i="1"/>
  <c r="CF241" i="1"/>
  <c r="AF232" i="1"/>
  <c r="CJ222" i="1"/>
  <c r="Y213" i="1"/>
  <c r="CC203" i="1"/>
  <c r="AC194" i="1"/>
  <c r="CG184" i="1"/>
  <c r="AG175" i="1"/>
  <c r="CK165" i="1"/>
  <c r="AK156" i="1"/>
  <c r="CO146" i="1"/>
  <c r="T213" i="1"/>
  <c r="BY282" i="1"/>
  <c r="J270" i="1"/>
  <c r="BN260" i="1"/>
  <c r="N251" i="1"/>
  <c r="BR241" i="1"/>
  <c r="R232" i="1"/>
  <c r="BV222" i="1"/>
  <c r="BK299" i="1"/>
  <c r="BS282" i="1"/>
  <c r="DI269" i="1"/>
  <c r="BI260" i="1"/>
  <c r="I251" i="1"/>
  <c r="BM241" i="1"/>
  <c r="M232" i="1"/>
  <c r="BQ222" i="1"/>
  <c r="BG299" i="1"/>
  <c r="BQ282" i="1"/>
  <c r="DH269" i="1"/>
  <c r="BH260" i="1"/>
  <c r="H251" i="1"/>
  <c r="BL241" i="1"/>
  <c r="L232" i="1"/>
  <c r="BP222" i="1"/>
  <c r="DI212" i="1"/>
  <c r="BI203" i="1"/>
  <c r="I194" i="1"/>
  <c r="BM184" i="1"/>
  <c r="M175" i="1"/>
  <c r="BQ165" i="1"/>
  <c r="AO327" i="1"/>
  <c r="BE340" i="1"/>
  <c r="DD301" i="1"/>
  <c r="AE297" i="1"/>
  <c r="BC250" i="1"/>
  <c r="O298" i="1"/>
  <c r="CT257" i="1"/>
  <c r="CX238" i="1"/>
  <c r="DB219" i="1"/>
  <c r="BE291" i="1"/>
  <c r="BS278" i="1"/>
  <c r="DI266" i="1"/>
  <c r="BI257" i="1"/>
  <c r="I248" i="1"/>
  <c r="BM238" i="1"/>
  <c r="M229" i="1"/>
  <c r="AY325" i="1"/>
  <c r="BC291" i="1"/>
  <c r="BQ278" i="1"/>
  <c r="DH266" i="1"/>
  <c r="BH257" i="1"/>
  <c r="H248" i="1"/>
  <c r="BL238" i="1"/>
  <c r="L229" i="1"/>
  <c r="BE219" i="1"/>
  <c r="DI209" i="1"/>
  <c r="BI200" i="1"/>
  <c r="I191" i="1"/>
  <c r="BM181" i="1"/>
  <c r="M172" i="1"/>
  <c r="BQ162" i="1"/>
  <c r="Q153" i="1"/>
  <c r="AZ219" i="1"/>
  <c r="DD209" i="1"/>
  <c r="AY278" i="1"/>
  <c r="CT266" i="1"/>
  <c r="AT257" i="1"/>
  <c r="CX247" i="1"/>
  <c r="AX238" i="1"/>
  <c r="DB228" i="1"/>
  <c r="CE324" i="1"/>
  <c r="Q291" i="1"/>
  <c r="AR278" i="1"/>
  <c r="CO266" i="1"/>
  <c r="AO257" i="1"/>
  <c r="CS247" i="1"/>
  <c r="AS238" i="1"/>
  <c r="CW228" i="1"/>
  <c r="CA324" i="1"/>
  <c r="O291" i="1"/>
  <c r="AQ278" i="1"/>
  <c r="CN266" i="1"/>
  <c r="AN257" i="1"/>
  <c r="CR247" i="1"/>
  <c r="AR238" i="1"/>
  <c r="CV228" i="1"/>
  <c r="AK219" i="1"/>
  <c r="CO209" i="1"/>
  <c r="AO200" i="1"/>
  <c r="CS190" i="1"/>
  <c r="AS181" i="1"/>
  <c r="CW171" i="1"/>
  <c r="AW162" i="1"/>
  <c r="DA152" i="1"/>
  <c r="AF219" i="1"/>
  <c r="CJ209" i="1"/>
  <c r="DG277" i="1"/>
  <c r="BJ266" i="1"/>
  <c r="J257" i="1"/>
  <c r="BN247" i="1"/>
  <c r="N238" i="1"/>
  <c r="BR228" i="1"/>
  <c r="AU323" i="1"/>
  <c r="BM290" i="1"/>
  <c r="CZ277" i="1"/>
  <c r="BE266" i="1"/>
  <c r="DI256" i="1"/>
  <c r="BI247" i="1"/>
  <c r="I238" i="1"/>
  <c r="BM228" i="1"/>
  <c r="AQ323" i="1"/>
  <c r="BL290" i="1"/>
  <c r="CY277" i="1"/>
  <c r="BD266" i="1"/>
  <c r="DH256" i="1"/>
  <c r="BH247" i="1"/>
  <c r="H238" i="1"/>
  <c r="BL228" i="1"/>
  <c r="DE218" i="1"/>
  <c r="BE209" i="1"/>
  <c r="DI199" i="1"/>
  <c r="BI190" i="1"/>
  <c r="I181" i="1"/>
  <c r="BM171" i="1"/>
  <c r="M162" i="1"/>
  <c r="BQ152" i="1"/>
  <c r="CZ218" i="1"/>
  <c r="AZ209" i="1"/>
  <c r="CF277" i="1"/>
  <c r="AP266" i="1"/>
  <c r="CT256" i="1"/>
  <c r="AT247" i="1"/>
  <c r="CX237" i="1"/>
  <c r="AX228" i="1"/>
  <c r="BW322" i="1"/>
  <c r="AM290" i="1"/>
  <c r="BY277" i="1"/>
  <c r="AK266" i="1"/>
  <c r="CO256" i="1"/>
  <c r="AO247" i="1"/>
  <c r="CS237" i="1"/>
  <c r="AS228" i="1"/>
  <c r="BS322" i="1"/>
  <c r="AK290" i="1"/>
  <c r="BX277" i="1"/>
  <c r="AJ266" i="1"/>
  <c r="CN256" i="1"/>
  <c r="AN247" i="1"/>
  <c r="CR237" i="1"/>
  <c r="AR228" i="1"/>
  <c r="CK218" i="1"/>
  <c r="AK209" i="1"/>
  <c r="CO199" i="1"/>
  <c r="AO190" i="1"/>
  <c r="CS180" i="1"/>
  <c r="AS171" i="1"/>
  <c r="CW161" i="1"/>
  <c r="AW152" i="1"/>
  <c r="CS156" i="1"/>
  <c r="CG145" i="1"/>
  <c r="L212" i="1"/>
  <c r="CF202" i="1"/>
  <c r="AF193" i="1"/>
  <c r="CJ183" i="1"/>
  <c r="AJ174" i="1"/>
  <c r="CN164" i="1"/>
  <c r="AN155" i="1"/>
  <c r="CR145" i="1"/>
  <c r="W212" i="1"/>
  <c r="CA202" i="1"/>
  <c r="AA193" i="1"/>
  <c r="CE183" i="1"/>
  <c r="AE174" i="1"/>
  <c r="CI164" i="1"/>
  <c r="AI155" i="1"/>
  <c r="AU146" i="1"/>
  <c r="AT217" i="1"/>
  <c r="BV212" i="1"/>
  <c r="CX207" i="1"/>
  <c r="V203" i="1"/>
  <c r="AX198" i="1"/>
  <c r="BZ193" i="1"/>
  <c r="DB188" i="1"/>
  <c r="Z184" i="1"/>
  <c r="BB179" i="1"/>
  <c r="CD174" i="1"/>
  <c r="DF169" i="1"/>
  <c r="AD165" i="1"/>
  <c r="BF160" i="1"/>
  <c r="CH155" i="1"/>
  <c r="F151" i="1"/>
  <c r="AH146" i="1"/>
  <c r="BO141" i="1"/>
  <c r="CQ136" i="1"/>
  <c r="O132" i="1"/>
  <c r="AQ127" i="1"/>
  <c r="BS122" i="1"/>
  <c r="CU117" i="1"/>
  <c r="S113" i="1"/>
  <c r="AU108" i="1"/>
  <c r="BW103" i="1"/>
  <c r="CY98" i="1"/>
  <c r="W94" i="1"/>
  <c r="AY89" i="1"/>
  <c r="CA84" i="1"/>
  <c r="DC79" i="1"/>
  <c r="AA75" i="1"/>
  <c r="BC70" i="1"/>
  <c r="CE65" i="1"/>
  <c r="DG60" i="1"/>
  <c r="AE56" i="1"/>
  <c r="T203" i="1"/>
  <c r="AV198" i="1"/>
  <c r="BX193" i="1"/>
  <c r="CZ188" i="1"/>
  <c r="X184" i="1"/>
  <c r="AZ179" i="1"/>
  <c r="CB174" i="1"/>
  <c r="DD169" i="1"/>
  <c r="AB165" i="1"/>
  <c r="BD160" i="1"/>
  <c r="CF155" i="1"/>
  <c r="DH150" i="1"/>
  <c r="AF146" i="1"/>
  <c r="AM217" i="1"/>
  <c r="BO212" i="1"/>
  <c r="CQ207" i="1"/>
  <c r="O203" i="1"/>
  <c r="AQ198" i="1"/>
  <c r="BS193" i="1"/>
  <c r="CU188" i="1"/>
  <c r="S184" i="1"/>
  <c r="AU179" i="1"/>
  <c r="BW174" i="1"/>
  <c r="CY169" i="1"/>
  <c r="W165" i="1"/>
  <c r="AY160" i="1"/>
  <c r="CA155" i="1"/>
  <c r="DC150" i="1"/>
  <c r="AA146" i="1"/>
  <c r="Z217" i="1"/>
  <c r="BB212" i="1"/>
  <c r="CD207" i="1"/>
  <c r="DF202" i="1"/>
  <c r="AD198" i="1"/>
  <c r="BF193" i="1"/>
  <c r="CH188" i="1"/>
  <c r="F184" i="1"/>
  <c r="AH179" i="1"/>
  <c r="BJ174" i="1"/>
  <c r="CL169" i="1"/>
  <c r="J165" i="1"/>
  <c r="AL160" i="1"/>
  <c r="BN155" i="1"/>
  <c r="CP150" i="1"/>
  <c r="N146" i="1"/>
  <c r="AU141" i="1"/>
  <c r="BW136" i="1"/>
  <c r="CY131" i="1"/>
  <c r="W127" i="1"/>
  <c r="AY122" i="1"/>
  <c r="CA117" i="1"/>
  <c r="DC112" i="1"/>
  <c r="AA108" i="1"/>
  <c r="BC103" i="1"/>
  <c r="CE98" i="1"/>
  <c r="DG93" i="1"/>
  <c r="AE89" i="1"/>
  <c r="CB203" i="1"/>
  <c r="DD198" i="1"/>
  <c r="AB194" i="1"/>
  <c r="BD189" i="1"/>
  <c r="CF184" i="1"/>
  <c r="DH179" i="1"/>
  <c r="AF175" i="1"/>
  <c r="BH170" i="1"/>
  <c r="CJ165" i="1"/>
  <c r="H161" i="1"/>
  <c r="AJ156" i="1"/>
  <c r="BL151" i="1"/>
  <c r="CN146" i="1"/>
  <c r="CU217" i="1"/>
  <c r="CN203" i="1"/>
  <c r="L199" i="1"/>
  <c r="AN194" i="1"/>
  <c r="BP189" i="1"/>
  <c r="CR184" i="1"/>
  <c r="P180" i="1"/>
  <c r="AR175" i="1"/>
  <c r="BT170" i="1"/>
  <c r="CV165" i="1"/>
  <c r="T161" i="1"/>
  <c r="AV156" i="1"/>
  <c r="BX151" i="1"/>
  <c r="CZ146" i="1"/>
  <c r="DG217" i="1"/>
  <c r="AE213" i="1"/>
  <c r="BG208" i="1"/>
  <c r="CI203" i="1"/>
  <c r="G199" i="1"/>
  <c r="AI194" i="1"/>
  <c r="BK189" i="1"/>
  <c r="CM184" i="1"/>
  <c r="K180" i="1"/>
  <c r="AM175" i="1"/>
  <c r="BO170" i="1"/>
  <c r="CQ165" i="1"/>
  <c r="O161" i="1"/>
  <c r="AQ156" i="1"/>
  <c r="BS151" i="1"/>
  <c r="CU146" i="1"/>
  <c r="CT217" i="1"/>
  <c r="R213" i="1"/>
  <c r="AT208" i="1"/>
  <c r="BV203" i="1"/>
  <c r="CX198" i="1"/>
  <c r="V194" i="1"/>
  <c r="AX189" i="1"/>
  <c r="BZ184" i="1"/>
  <c r="DB179" i="1"/>
  <c r="Z175" i="1"/>
  <c r="BB170" i="1"/>
  <c r="CD165" i="1"/>
  <c r="DF160" i="1"/>
  <c r="AD156" i="1"/>
  <c r="BF151" i="1"/>
  <c r="CH146" i="1"/>
  <c r="K142" i="1"/>
  <c r="AM137" i="1"/>
  <c r="BO132" i="1"/>
  <c r="CQ127" i="1"/>
  <c r="O123" i="1"/>
  <c r="AQ118" i="1"/>
  <c r="BS113" i="1"/>
  <c r="CU108" i="1"/>
  <c r="S104" i="1"/>
  <c r="AU99" i="1"/>
  <c r="BW94" i="1"/>
  <c r="CY89" i="1"/>
  <c r="W85" i="1"/>
  <c r="CY198" i="1"/>
  <c r="DC179" i="1"/>
  <c r="DG160" i="1"/>
  <c r="CH217" i="1"/>
  <c r="CL198" i="1"/>
  <c r="CP179" i="1"/>
  <c r="CT160" i="1"/>
  <c r="DC141" i="1"/>
  <c r="DG122" i="1"/>
  <c r="G104" i="1"/>
  <c r="AU86" i="1"/>
  <c r="BK79" i="1"/>
  <c r="AA73" i="1"/>
  <c r="CU66" i="1"/>
  <c r="BO60" i="1"/>
  <c r="BG54" i="1"/>
  <c r="CI49" i="1"/>
  <c r="G45" i="1"/>
  <c r="AI40" i="1"/>
  <c r="BK35" i="1"/>
  <c r="CM30" i="1"/>
  <c r="K26" i="1"/>
  <c r="AM21" i="1"/>
  <c r="BO16" i="1"/>
  <c r="CQ11" i="1"/>
  <c r="O7" i="1"/>
  <c r="AH143" i="1"/>
  <c r="BJ138" i="1"/>
  <c r="CL133" i="1"/>
  <c r="J129" i="1"/>
  <c r="AL124" i="1"/>
  <c r="BN119" i="1"/>
  <c r="CP114" i="1"/>
  <c r="N110" i="1"/>
  <c r="AP105" i="1"/>
  <c r="BR100" i="1"/>
  <c r="AD98" i="1"/>
  <c r="CT95" i="1"/>
  <c r="BF93" i="1"/>
  <c r="R91" i="1"/>
  <c r="CH88" i="1"/>
  <c r="AT86" i="1"/>
  <c r="F84" i="1"/>
  <c r="BV81" i="1"/>
  <c r="AH79" i="1"/>
  <c r="CX76" i="1"/>
  <c r="BJ74" i="1"/>
  <c r="V72" i="1"/>
  <c r="CL69" i="1"/>
  <c r="AX67" i="1"/>
  <c r="J65" i="1"/>
  <c r="BZ62" i="1"/>
  <c r="AL60" i="1"/>
  <c r="DB57" i="1"/>
  <c r="BN55" i="1"/>
  <c r="Z53" i="1"/>
  <c r="CP50" i="1"/>
  <c r="BB48" i="1"/>
  <c r="N46" i="1"/>
  <c r="CD43" i="1"/>
  <c r="AP41" i="1"/>
  <c r="DF38" i="1"/>
  <c r="BR36" i="1"/>
  <c r="AD34" i="1"/>
  <c r="CT31" i="1"/>
  <c r="BF29" i="1"/>
  <c r="R27" i="1"/>
  <c r="CH24" i="1"/>
  <c r="AT22" i="1"/>
  <c r="F20" i="1"/>
  <c r="BV17" i="1"/>
  <c r="AH15" i="1"/>
  <c r="CX12" i="1"/>
  <c r="BJ10" i="1"/>
  <c r="V8" i="1"/>
  <c r="CL5" i="1"/>
  <c r="CO171" i="1"/>
  <c r="DA162" i="1"/>
  <c r="CO159" i="1"/>
  <c r="CC156" i="1"/>
  <c r="BA153" i="1"/>
  <c r="AO150" i="1"/>
  <c r="DE147" i="1"/>
  <c r="BQ145" i="1"/>
  <c r="H219" i="1"/>
  <c r="BX216" i="1"/>
  <c r="AJ214" i="1"/>
  <c r="CZ211" i="1"/>
  <c r="BL209" i="1"/>
  <c r="X207" i="1"/>
  <c r="DD204" i="1"/>
  <c r="BP202" i="1"/>
  <c r="AB200" i="1"/>
  <c r="CR197" i="1"/>
  <c r="BD195" i="1"/>
  <c r="P193" i="1"/>
  <c r="CF190" i="1"/>
  <c r="AR188" i="1"/>
  <c r="DH185" i="1"/>
  <c r="BT183" i="1"/>
  <c r="AF181" i="1"/>
  <c r="CV178" i="1"/>
  <c r="BH176" i="1"/>
  <c r="T174" i="1"/>
  <c r="CJ171" i="1"/>
  <c r="AV169" i="1"/>
  <c r="H167" i="1"/>
  <c r="BX164" i="1"/>
  <c r="AJ162" i="1"/>
  <c r="CZ159" i="1"/>
  <c r="BL157" i="1"/>
  <c r="X155" i="1"/>
  <c r="CN152" i="1"/>
  <c r="AZ150" i="1"/>
  <c r="L148" i="1"/>
  <c r="CB145" i="1"/>
  <c r="S219" i="1"/>
  <c r="CI216" i="1"/>
  <c r="AU214" i="1"/>
  <c r="G212" i="1"/>
  <c r="BW209" i="1"/>
  <c r="AI207" i="1"/>
  <c r="CY204" i="1"/>
  <c r="BK202" i="1"/>
  <c r="W200" i="1"/>
  <c r="CM197" i="1"/>
  <c r="AY195" i="1"/>
  <c r="K193" i="1"/>
  <c r="CA190" i="1"/>
  <c r="AM188" i="1"/>
  <c r="DC185" i="1"/>
  <c r="BO183" i="1"/>
  <c r="AA181" i="1"/>
  <c r="CQ178" i="1"/>
  <c r="BC176" i="1"/>
  <c r="O174" i="1"/>
  <c r="CE171" i="1"/>
  <c r="AQ169" i="1"/>
  <c r="DG166" i="1"/>
  <c r="BS164" i="1"/>
  <c r="AE162" i="1"/>
  <c r="CU159" i="1"/>
  <c r="BG157" i="1"/>
  <c r="S155" i="1"/>
  <c r="CI152" i="1"/>
  <c r="AU150" i="1"/>
  <c r="G148" i="1"/>
  <c r="BW145" i="1"/>
  <c r="F219" i="1"/>
  <c r="BV216" i="1"/>
  <c r="AH214" i="1"/>
  <c r="CX211" i="1"/>
  <c r="BJ209" i="1"/>
  <c r="V207" i="1"/>
  <c r="CL204" i="1"/>
  <c r="AX202" i="1"/>
  <c r="J200" i="1"/>
  <c r="BZ197" i="1"/>
  <c r="AL195" i="1"/>
  <c r="DB192" i="1"/>
  <c r="BN190" i="1"/>
  <c r="Z188" i="1"/>
  <c r="CP185" i="1"/>
  <c r="BB183" i="1"/>
  <c r="N181" i="1"/>
  <c r="CD178" i="1"/>
  <c r="AP176" i="1"/>
  <c r="DF173" i="1"/>
  <c r="BR171" i="1"/>
  <c r="AD169" i="1"/>
  <c r="CT166" i="1"/>
  <c r="BF164" i="1"/>
  <c r="R162" i="1"/>
  <c r="CH159" i="1"/>
  <c r="AT157" i="1"/>
  <c r="F155" i="1"/>
  <c r="BV152" i="1"/>
  <c r="AH150" i="1"/>
  <c r="CX147" i="1"/>
  <c r="BJ145" i="1"/>
  <c r="AA143" i="1"/>
  <c r="CQ140" i="1"/>
  <c r="BC138" i="1"/>
  <c r="O136" i="1"/>
  <c r="CE133" i="1"/>
  <c r="AQ131" i="1"/>
  <c r="DG128" i="1"/>
  <c r="BS126" i="1"/>
  <c r="AE124" i="1"/>
  <c r="CU121" i="1"/>
  <c r="BG119" i="1"/>
  <c r="S117" i="1"/>
  <c r="CI114" i="1"/>
  <c r="AU112" i="1"/>
  <c r="G110" i="1"/>
  <c r="BW107" i="1"/>
  <c r="AI105" i="1"/>
  <c r="CY102" i="1"/>
  <c r="BK100" i="1"/>
  <c r="W98" i="1"/>
  <c r="CM95" i="1"/>
  <c r="AY93" i="1"/>
  <c r="K91" i="1"/>
  <c r="CA88" i="1"/>
  <c r="AM86" i="1"/>
  <c r="DC83" i="1"/>
  <c r="BO81" i="1"/>
  <c r="AA79" i="1"/>
  <c r="CQ76" i="1"/>
  <c r="BC74" i="1"/>
  <c r="O72" i="1"/>
  <c r="CE69" i="1"/>
  <c r="AQ67" i="1"/>
  <c r="DG64" i="1"/>
  <c r="BS62" i="1"/>
  <c r="AE60" i="1"/>
  <c r="CU57" i="1"/>
  <c r="BG55" i="1"/>
  <c r="CJ204" i="1"/>
  <c r="AV202" i="1"/>
  <c r="H200" i="1"/>
  <c r="BX197" i="1"/>
  <c r="AJ195" i="1"/>
  <c r="CZ192" i="1"/>
  <c r="BL190" i="1"/>
  <c r="X188" i="1"/>
  <c r="CN185" i="1"/>
  <c r="AZ183" i="1"/>
  <c r="L181" i="1"/>
  <c r="CB178" i="1"/>
  <c r="AN176" i="1"/>
  <c r="DD173" i="1"/>
  <c r="BP171" i="1"/>
  <c r="AB169" i="1"/>
  <c r="CR166" i="1"/>
  <c r="BD164" i="1"/>
  <c r="P162" i="1"/>
  <c r="CF159" i="1"/>
  <c r="AR157" i="1"/>
  <c r="DH154" i="1"/>
  <c r="BT152" i="1"/>
  <c r="AF150" i="1"/>
  <c r="CV147" i="1"/>
  <c r="BH145" i="1"/>
  <c r="DC218" i="1"/>
  <c r="BO216" i="1"/>
  <c r="AA214" i="1"/>
  <c r="CQ211" i="1"/>
  <c r="BC209" i="1"/>
  <c r="O207" i="1"/>
  <c r="CE204" i="1"/>
  <c r="AQ202" i="1"/>
  <c r="DG199" i="1"/>
  <c r="BS197" i="1"/>
  <c r="AE195" i="1"/>
  <c r="CU192" i="1"/>
  <c r="BG190" i="1"/>
  <c r="S188" i="1"/>
  <c r="CI185" i="1"/>
  <c r="AU183" i="1"/>
  <c r="G181" i="1"/>
  <c r="BW178" i="1"/>
  <c r="AI176" i="1"/>
  <c r="CY173" i="1"/>
  <c r="BK171" i="1"/>
  <c r="W169" i="1"/>
  <c r="CM166" i="1"/>
  <c r="AY164" i="1"/>
  <c r="K162" i="1"/>
  <c r="CA159" i="1"/>
  <c r="AM157" i="1"/>
  <c r="DC154" i="1"/>
  <c r="BO152" i="1"/>
  <c r="AA150" i="1"/>
  <c r="CQ147" i="1"/>
  <c r="BC145" i="1"/>
  <c r="CP218" i="1"/>
  <c r="BB216" i="1"/>
  <c r="N214" i="1"/>
  <c r="CD211" i="1"/>
  <c r="AP209" i="1"/>
  <c r="DF206" i="1"/>
  <c r="BR204" i="1"/>
  <c r="AD202" i="1"/>
  <c r="CT199" i="1"/>
  <c r="BF197" i="1"/>
  <c r="R195" i="1"/>
  <c r="CH192" i="1"/>
  <c r="AT190" i="1"/>
  <c r="F188" i="1"/>
  <c r="BV185" i="1"/>
  <c r="AH183" i="1"/>
  <c r="CX180" i="1"/>
  <c r="BJ178" i="1"/>
  <c r="V176" i="1"/>
  <c r="CL173" i="1"/>
  <c r="AX171" i="1"/>
  <c r="J169" i="1"/>
  <c r="BZ166" i="1"/>
  <c r="AL164" i="1"/>
  <c r="DB161" i="1"/>
  <c r="BN159" i="1"/>
  <c r="Z157" i="1"/>
  <c r="CP154" i="1"/>
  <c r="BB152" i="1"/>
  <c r="N150" i="1"/>
  <c r="CD147" i="1"/>
  <c r="AP145" i="1"/>
  <c r="G143" i="1"/>
  <c r="BW140" i="1"/>
  <c r="AI138" i="1"/>
  <c r="CY135" i="1"/>
  <c r="BK133" i="1"/>
  <c r="W131" i="1"/>
  <c r="CM128" i="1"/>
  <c r="AY126" i="1"/>
  <c r="K124" i="1"/>
  <c r="CA121" i="1"/>
  <c r="AM119" i="1"/>
  <c r="DC116" i="1"/>
  <c r="BO114" i="1"/>
  <c r="AA112" i="1"/>
  <c r="CQ109" i="1"/>
  <c r="BC107" i="1"/>
  <c r="O105" i="1"/>
  <c r="CE102" i="1"/>
  <c r="AQ100" i="1"/>
  <c r="DG97" i="1"/>
  <c r="BS95" i="1"/>
  <c r="AE93" i="1"/>
  <c r="CU90" i="1"/>
  <c r="BG88" i="1"/>
  <c r="AN205" i="1"/>
  <c r="DD202" i="1"/>
  <c r="BP200" i="1"/>
  <c r="AB198" i="1"/>
  <c r="CR195" i="1"/>
  <c r="BD193" i="1"/>
  <c r="P191" i="1"/>
  <c r="CF188" i="1"/>
  <c r="AR186" i="1"/>
  <c r="DH183" i="1"/>
  <c r="BT181" i="1"/>
  <c r="AF179" i="1"/>
  <c r="CV176" i="1"/>
  <c r="BH174" i="1"/>
  <c r="T172" i="1"/>
  <c r="CJ169" i="1"/>
  <c r="AV167" i="1"/>
  <c r="H165" i="1"/>
  <c r="BX162" i="1"/>
  <c r="AJ160" i="1"/>
  <c r="CZ157" i="1"/>
  <c r="BL155" i="1"/>
  <c r="X153" i="1"/>
  <c r="CN150" i="1"/>
  <c r="AZ148" i="1"/>
  <c r="L146" i="1"/>
  <c r="BG219" i="1"/>
  <c r="S217" i="1"/>
  <c r="AZ205" i="1"/>
  <c r="L203" i="1"/>
  <c r="CB200" i="1"/>
  <c r="AN198" i="1"/>
  <c r="DD195" i="1"/>
  <c r="BP193" i="1"/>
  <c r="AB191" i="1"/>
  <c r="CR188" i="1"/>
  <c r="BD186" i="1"/>
  <c r="P184" i="1"/>
  <c r="CF181" i="1"/>
  <c r="AR179" i="1"/>
  <c r="DH176" i="1"/>
  <c r="BT174" i="1"/>
  <c r="AF172" i="1"/>
  <c r="CV169" i="1"/>
  <c r="BH167" i="1"/>
  <c r="T165" i="1"/>
  <c r="CJ162" i="1"/>
  <c r="AV160" i="1"/>
  <c r="H158" i="1"/>
  <c r="BX155" i="1"/>
  <c r="AJ153" i="1"/>
  <c r="CZ150" i="1"/>
  <c r="BL148" i="1"/>
  <c r="X146" i="1"/>
  <c r="BS219" i="1"/>
  <c r="AE217" i="1"/>
  <c r="CU214" i="1"/>
  <c r="BG212" i="1"/>
  <c r="S210" i="1"/>
  <c r="CI207" i="1"/>
  <c r="AU205" i="1"/>
  <c r="G203" i="1"/>
  <c r="BW200" i="1"/>
  <c r="AI198" i="1"/>
  <c r="CY195" i="1"/>
  <c r="BK193" i="1"/>
  <c r="W191" i="1"/>
  <c r="CM188" i="1"/>
  <c r="AY186" i="1"/>
  <c r="K184" i="1"/>
  <c r="CA181" i="1"/>
  <c r="AM179" i="1"/>
  <c r="DC176" i="1"/>
  <c r="BO174" i="1"/>
  <c r="AA172" i="1"/>
  <c r="CQ169" i="1"/>
  <c r="BC167" i="1"/>
  <c r="O165" i="1"/>
  <c r="CE162" i="1"/>
  <c r="AQ160" i="1"/>
  <c r="DG157" i="1"/>
  <c r="BS155" i="1"/>
  <c r="AE153" i="1"/>
  <c r="CU150" i="1"/>
  <c r="BG148" i="1"/>
  <c r="S146" i="1"/>
  <c r="BF219" i="1"/>
  <c r="R217" i="1"/>
  <c r="CH214" i="1"/>
  <c r="AT212" i="1"/>
  <c r="F210" i="1"/>
  <c r="BV207" i="1"/>
  <c r="AH205" i="1"/>
  <c r="CX202" i="1"/>
  <c r="BJ200" i="1"/>
  <c r="V198" i="1"/>
  <c r="CL195" i="1"/>
  <c r="AX193" i="1"/>
  <c r="J191" i="1"/>
  <c r="BZ188" i="1"/>
  <c r="AL186" i="1"/>
  <c r="DB183" i="1"/>
  <c r="BN181" i="1"/>
  <c r="Z179" i="1"/>
  <c r="CP176" i="1"/>
  <c r="BB174" i="1"/>
  <c r="N172" i="1"/>
  <c r="CD169" i="1"/>
  <c r="AP167" i="1"/>
  <c r="DF164" i="1"/>
  <c r="BR162" i="1"/>
  <c r="AD160" i="1"/>
  <c r="CT157" i="1"/>
  <c r="BF155" i="1"/>
  <c r="R153" i="1"/>
  <c r="CH150" i="1"/>
  <c r="AT148" i="1"/>
  <c r="F146" i="1"/>
  <c r="CA143" i="1"/>
  <c r="AM141" i="1"/>
  <c r="DC138" i="1"/>
  <c r="BO136" i="1"/>
  <c r="AA134" i="1"/>
  <c r="CQ131" i="1"/>
  <c r="BC129" i="1"/>
  <c r="O127" i="1"/>
  <c r="CE124" i="1"/>
  <c r="AQ122" i="1"/>
  <c r="DG119" i="1"/>
  <c r="BS117" i="1"/>
  <c r="AE115" i="1"/>
  <c r="CU112" i="1"/>
  <c r="BG110" i="1"/>
  <c r="S108" i="1"/>
  <c r="CI105" i="1"/>
  <c r="AU103" i="1"/>
  <c r="G101" i="1"/>
  <c r="BW98" i="1"/>
  <c r="AI96" i="1"/>
  <c r="CY93" i="1"/>
  <c r="BK91" i="1"/>
  <c r="W89" i="1"/>
  <c r="CM86" i="1"/>
  <c r="CY214" i="1"/>
  <c r="AY205" i="1"/>
  <c r="DC195" i="1"/>
  <c r="BC186" i="1"/>
  <c r="DG176" i="1"/>
  <c r="BG167" i="1"/>
  <c r="G158" i="1"/>
  <c r="BK148" i="1"/>
  <c r="CL214" i="1"/>
  <c r="AL205" i="1"/>
  <c r="CP195" i="1"/>
  <c r="AP186" i="1"/>
  <c r="CT176" i="1"/>
  <c r="AT167" i="1"/>
  <c r="CX157" i="1"/>
  <c r="AX148" i="1"/>
  <c r="DG138" i="1"/>
  <c r="BG129" i="1"/>
  <c r="G120" i="1"/>
  <c r="BK110" i="1"/>
  <c r="K101" i="1"/>
  <c r="BO91" i="1"/>
  <c r="CY84" i="1"/>
  <c r="CA81" i="1"/>
  <c r="BK78" i="1"/>
  <c r="AU75" i="1"/>
  <c r="AA72" i="1"/>
  <c r="K69" i="1"/>
  <c r="CY65" i="1"/>
  <c r="CE62" i="1"/>
  <c r="BO59" i="1"/>
  <c r="AY56" i="1"/>
  <c r="CI53" i="1"/>
  <c r="AU51" i="1"/>
  <c r="G49" i="1"/>
  <c r="BW46" i="1"/>
  <c r="AI44" i="1"/>
  <c r="CY41" i="1"/>
  <c r="BK39" i="1"/>
  <c r="W37" i="1"/>
  <c r="CM34" i="1"/>
  <c r="AY32" i="1"/>
  <c r="K30" i="1"/>
  <c r="CA27" i="1"/>
  <c r="AM25" i="1"/>
  <c r="DC22" i="1"/>
  <c r="BO20" i="1"/>
  <c r="AA18" i="1"/>
  <c r="CQ15" i="1"/>
  <c r="BC13" i="1"/>
  <c r="O11" i="1"/>
  <c r="CE8" i="1"/>
  <c r="AQ6" i="1"/>
  <c r="DG3" i="1"/>
  <c r="BJ142" i="1"/>
  <c r="V140" i="1"/>
  <c r="CL137" i="1"/>
  <c r="AX135" i="1"/>
  <c r="J133" i="1"/>
  <c r="BZ130" i="1"/>
  <c r="AL128" i="1"/>
  <c r="DB125" i="1"/>
  <c r="BN123" i="1"/>
  <c r="Z121" i="1"/>
  <c r="CP118" i="1"/>
  <c r="BB116" i="1"/>
  <c r="N114" i="1"/>
  <c r="CD111" i="1"/>
  <c r="AP109" i="1"/>
  <c r="DF106" i="1"/>
  <c r="BR104" i="1"/>
  <c r="AD102" i="1"/>
  <c r="CT99" i="1"/>
  <c r="BF97" i="1"/>
  <c r="R95" i="1"/>
  <c r="CH92" i="1"/>
  <c r="AT90" i="1"/>
  <c r="F88" i="1"/>
  <c r="BV85" i="1"/>
  <c r="AH83" i="1"/>
  <c r="CX80" i="1"/>
  <c r="BJ78" i="1"/>
  <c r="V76" i="1"/>
  <c r="CL73" i="1"/>
  <c r="AX71" i="1"/>
  <c r="J69" i="1"/>
  <c r="BZ66" i="1"/>
  <c r="AL64" i="1"/>
  <c r="DB61" i="1"/>
  <c r="BN59" i="1"/>
  <c r="Z57" i="1"/>
  <c r="CP54" i="1"/>
  <c r="BB52" i="1"/>
  <c r="N50" i="1"/>
  <c r="CD47" i="1"/>
  <c r="AP45" i="1"/>
  <c r="DF42" i="1"/>
  <c r="BR40" i="1"/>
  <c r="AD38" i="1"/>
  <c r="CT35" i="1"/>
  <c r="BF33" i="1"/>
  <c r="R31" i="1"/>
  <c r="CH28" i="1"/>
  <c r="AT26" i="1"/>
  <c r="F24" i="1"/>
  <c r="BV21" i="1"/>
  <c r="AH19" i="1"/>
  <c r="CX16" i="1"/>
  <c r="BJ14" i="1"/>
  <c r="V12" i="1"/>
  <c r="CL9" i="1"/>
  <c r="AX7" i="1"/>
  <c r="J5" i="1"/>
  <c r="CS168" i="1"/>
  <c r="I162" i="1"/>
  <c r="CK158" i="1"/>
  <c r="BY155" i="1"/>
  <c r="BM152" i="1"/>
  <c r="BQ149" i="1"/>
  <c r="AC147" i="1"/>
  <c r="CS144" i="1"/>
  <c r="AJ218" i="1"/>
  <c r="CZ215" i="1"/>
  <c r="BL213" i="1"/>
  <c r="X211" i="1"/>
  <c r="CN208" i="1"/>
  <c r="BP206" i="1"/>
  <c r="AB204" i="1"/>
  <c r="CR201" i="1"/>
  <c r="BD199" i="1"/>
  <c r="P197" i="1"/>
  <c r="CF194" i="1"/>
  <c r="AR192" i="1"/>
  <c r="DH189" i="1"/>
  <c r="BT187" i="1"/>
  <c r="AF185" i="1"/>
  <c r="CV182" i="1"/>
  <c r="BH180" i="1"/>
  <c r="T178" i="1"/>
  <c r="CJ175" i="1"/>
  <c r="AV173" i="1"/>
  <c r="H171" i="1"/>
  <c r="BX168" i="1"/>
  <c r="AJ166" i="1"/>
  <c r="CZ163" i="1"/>
  <c r="BL161" i="1"/>
  <c r="X159" i="1"/>
  <c r="CN156" i="1"/>
  <c r="AZ154" i="1"/>
  <c r="L152" i="1"/>
  <c r="CB149" i="1"/>
  <c r="AN147" i="1"/>
  <c r="DD144" i="1"/>
  <c r="AU218" i="1"/>
  <c r="G216" i="1"/>
  <c r="BW213" i="1"/>
  <c r="AI211" i="1"/>
  <c r="CY208" i="1"/>
  <c r="BK206" i="1"/>
  <c r="W204" i="1"/>
  <c r="CM201" i="1"/>
  <c r="AY199" i="1"/>
  <c r="K197" i="1"/>
  <c r="CA194" i="1"/>
  <c r="AM192" i="1"/>
  <c r="DC189" i="1"/>
  <c r="BO187" i="1"/>
  <c r="AA185" i="1"/>
  <c r="CQ182" i="1"/>
  <c r="BC180" i="1"/>
  <c r="O178" i="1"/>
  <c r="CE175" i="1"/>
  <c r="AQ173" i="1"/>
  <c r="DG170" i="1"/>
  <c r="BS168" i="1"/>
  <c r="AE166" i="1"/>
  <c r="CU163" i="1"/>
  <c r="BG161" i="1"/>
  <c r="S159" i="1"/>
  <c r="CI156" i="1"/>
  <c r="AU154" i="1"/>
  <c r="G152" i="1"/>
  <c r="BW149" i="1"/>
  <c r="AI147" i="1"/>
  <c r="CY144" i="1"/>
  <c r="AH218" i="1"/>
  <c r="CX215" i="1"/>
  <c r="BJ213" i="1"/>
  <c r="V211" i="1"/>
  <c r="CL208" i="1"/>
  <c r="AX206" i="1"/>
  <c r="J204" i="1"/>
  <c r="BZ201" i="1"/>
  <c r="AL199" i="1"/>
  <c r="DB196" i="1"/>
  <c r="BN194" i="1"/>
  <c r="Z192" i="1"/>
  <c r="CP189" i="1"/>
  <c r="BB187" i="1"/>
  <c r="N185" i="1"/>
  <c r="CD182" i="1"/>
  <c r="AP180" i="1"/>
  <c r="DF177" i="1"/>
  <c r="BR175" i="1"/>
  <c r="AD173" i="1"/>
  <c r="CT170" i="1"/>
  <c r="BF168" i="1"/>
  <c r="R166" i="1"/>
  <c r="CH163" i="1"/>
  <c r="AT161" i="1"/>
  <c r="F159" i="1"/>
  <c r="BV156" i="1"/>
  <c r="AH154" i="1"/>
  <c r="CX151" i="1"/>
  <c r="BJ149" i="1"/>
  <c r="V147" i="1"/>
  <c r="CL144" i="1"/>
  <c r="BC142" i="1"/>
  <c r="O140" i="1"/>
  <c r="CE137" i="1"/>
  <c r="AQ135" i="1"/>
  <c r="DG132" i="1"/>
  <c r="BS130" i="1"/>
  <c r="AE128" i="1"/>
  <c r="CU125" i="1"/>
  <c r="BG123" i="1"/>
  <c r="S121" i="1"/>
  <c r="CI118" i="1"/>
  <c r="AU116" i="1"/>
  <c r="G114" i="1"/>
  <c r="BW111" i="1"/>
  <c r="AI109" i="1"/>
  <c r="CY106" i="1"/>
  <c r="BK104" i="1"/>
  <c r="W102" i="1"/>
  <c r="CM99" i="1"/>
  <c r="AY97" i="1"/>
  <c r="K95" i="1"/>
  <c r="CA92" i="1"/>
  <c r="AM90" i="1"/>
  <c r="DC87" i="1"/>
  <c r="BO85" i="1"/>
  <c r="AA83" i="1"/>
  <c r="CQ80" i="1"/>
  <c r="BC78" i="1"/>
  <c r="O76" i="1"/>
  <c r="CE73" i="1"/>
  <c r="AQ71" i="1"/>
  <c r="DG68" i="1"/>
  <c r="BS66" i="1"/>
  <c r="AE64" i="1"/>
  <c r="CU61" i="1"/>
  <c r="BG59" i="1"/>
  <c r="S57" i="1"/>
  <c r="AV206" i="1"/>
  <c r="H204" i="1"/>
  <c r="BX201" i="1"/>
  <c r="AJ199" i="1"/>
  <c r="CZ196" i="1"/>
  <c r="BL194" i="1"/>
  <c r="X192" i="1"/>
  <c r="CN189" i="1"/>
  <c r="AZ187" i="1"/>
  <c r="L185" i="1"/>
  <c r="CB182" i="1"/>
  <c r="AN180" i="1"/>
  <c r="DD177" i="1"/>
  <c r="BP175" i="1"/>
  <c r="AB173" i="1"/>
  <c r="CR170" i="1"/>
  <c r="BD168" i="1"/>
  <c r="P166" i="1"/>
  <c r="CF163" i="1"/>
  <c r="AR161" i="1"/>
  <c r="DH158" i="1"/>
  <c r="BT156" i="1"/>
  <c r="AF154" i="1"/>
  <c r="CV151" i="1"/>
  <c r="BH149" i="1"/>
  <c r="T147" i="1"/>
  <c r="CJ144" i="1"/>
  <c r="AA218" i="1"/>
  <c r="CQ215" i="1"/>
  <c r="BC213" i="1"/>
  <c r="O211" i="1"/>
  <c r="CE208" i="1"/>
  <c r="AQ206" i="1"/>
  <c r="DG203" i="1"/>
  <c r="BS201" i="1"/>
  <c r="AE199" i="1"/>
  <c r="CU196" i="1"/>
  <c r="BG194" i="1"/>
  <c r="S192" i="1"/>
  <c r="CI189" i="1"/>
  <c r="AU187" i="1"/>
  <c r="G185" i="1"/>
  <c r="BW182" i="1"/>
  <c r="AI180" i="1"/>
  <c r="CY177" i="1"/>
  <c r="BK175" i="1"/>
  <c r="W173" i="1"/>
  <c r="CM170" i="1"/>
  <c r="AY168" i="1"/>
  <c r="K166" i="1"/>
  <c r="CA163" i="1"/>
  <c r="AM161" i="1"/>
  <c r="DC158" i="1"/>
  <c r="BO156" i="1"/>
  <c r="AA154" i="1"/>
  <c r="CQ151" i="1"/>
  <c r="BC149" i="1"/>
  <c r="O147" i="1"/>
  <c r="CE144" i="1"/>
  <c r="N218" i="1"/>
  <c r="CD215" i="1"/>
  <c r="AP213" i="1"/>
  <c r="DF210" i="1"/>
  <c r="BR208" i="1"/>
  <c r="AD206" i="1"/>
  <c r="CT203" i="1"/>
  <c r="BF201" i="1"/>
  <c r="R199" i="1"/>
  <c r="CH196" i="1"/>
  <c r="AT194" i="1"/>
  <c r="F192" i="1"/>
  <c r="BV189" i="1"/>
  <c r="AH187" i="1"/>
  <c r="CX184" i="1"/>
  <c r="BJ182" i="1"/>
  <c r="V180" i="1"/>
  <c r="CL177" i="1"/>
  <c r="AX175" i="1"/>
  <c r="J173" i="1"/>
  <c r="BZ170" i="1"/>
  <c r="AL168" i="1"/>
  <c r="DB165" i="1"/>
  <c r="BN163" i="1"/>
  <c r="Z161" i="1"/>
  <c r="CP158" i="1"/>
  <c r="BB156" i="1"/>
  <c r="N154" i="1"/>
  <c r="CD151" i="1"/>
  <c r="AP149" i="1"/>
  <c r="DF146" i="1"/>
  <c r="BR144" i="1"/>
  <c r="AI142" i="1"/>
  <c r="CY139" i="1"/>
  <c r="BK137" i="1"/>
  <c r="W135" i="1"/>
  <c r="CM132" i="1"/>
  <c r="AY130" i="1"/>
  <c r="K128" i="1"/>
  <c r="CA125" i="1"/>
  <c r="AM123" i="1"/>
  <c r="DC120" i="1"/>
  <c r="BO118" i="1"/>
  <c r="AA116" i="1"/>
  <c r="CQ113" i="1"/>
  <c r="BC111" i="1"/>
  <c r="O109" i="1"/>
  <c r="CE106" i="1"/>
  <c r="AQ104" i="1"/>
  <c r="DG101" i="1"/>
  <c r="BS99" i="1"/>
  <c r="AE97" i="1"/>
  <c r="CU94" i="1"/>
  <c r="BG92" i="1"/>
  <c r="S90" i="1"/>
  <c r="CI87" i="1"/>
  <c r="BP204" i="1"/>
  <c r="AB202" i="1"/>
  <c r="CR199" i="1"/>
  <c r="BD197" i="1"/>
  <c r="P195" i="1"/>
  <c r="CF192" i="1"/>
  <c r="AR190" i="1"/>
  <c r="DH187" i="1"/>
  <c r="BT185" i="1"/>
  <c r="AF183" i="1"/>
  <c r="CV180" i="1"/>
  <c r="BH178" i="1"/>
  <c r="T176" i="1"/>
  <c r="CJ173" i="1"/>
  <c r="AV171" i="1"/>
  <c r="H169" i="1"/>
  <c r="BX166" i="1"/>
  <c r="AJ164" i="1"/>
  <c r="CZ161" i="1"/>
  <c r="BL159" i="1"/>
  <c r="X157" i="1"/>
  <c r="CN154" i="1"/>
  <c r="AZ152" i="1"/>
  <c r="L150" i="1"/>
  <c r="CB147" i="1"/>
  <c r="AN145" i="1"/>
  <c r="CI218" i="1"/>
  <c r="AU216" i="1"/>
  <c r="CB204" i="1"/>
  <c r="AN202" i="1"/>
  <c r="DD199" i="1"/>
  <c r="BP197" i="1"/>
  <c r="AB195" i="1"/>
  <c r="CR192" i="1"/>
  <c r="BD190" i="1"/>
  <c r="P188" i="1"/>
  <c r="CF185" i="1"/>
  <c r="AR183" i="1"/>
  <c r="DH180" i="1"/>
  <c r="BT178" i="1"/>
  <c r="AF176" i="1"/>
  <c r="CV173" i="1"/>
  <c r="BH171" i="1"/>
  <c r="T169" i="1"/>
  <c r="CJ166" i="1"/>
  <c r="AV164" i="1"/>
  <c r="H162" i="1"/>
  <c r="BX159" i="1"/>
  <c r="AJ157" i="1"/>
  <c r="CZ154" i="1"/>
  <c r="BL152" i="1"/>
  <c r="X150" i="1"/>
  <c r="CN147" i="1"/>
  <c r="AZ145" i="1"/>
  <c r="CU218" i="1"/>
  <c r="BG216" i="1"/>
  <c r="S214" i="1"/>
  <c r="CI211" i="1"/>
  <c r="AU209" i="1"/>
  <c r="G207" i="1"/>
  <c r="BW204" i="1"/>
  <c r="AI202" i="1"/>
  <c r="CY199" i="1"/>
  <c r="BK197" i="1"/>
  <c r="W195" i="1"/>
  <c r="CM192" i="1"/>
  <c r="AY190" i="1"/>
  <c r="K188" i="1"/>
  <c r="CA185" i="1"/>
  <c r="AM183" i="1"/>
  <c r="DC180" i="1"/>
  <c r="BO178" i="1"/>
  <c r="AA176" i="1"/>
  <c r="CQ173" i="1"/>
  <c r="BC171" i="1"/>
  <c r="O169" i="1"/>
  <c r="CE166" i="1"/>
  <c r="AQ164" i="1"/>
  <c r="DG161" i="1"/>
  <c r="BS159" i="1"/>
  <c r="AE157" i="1"/>
  <c r="CU154" i="1"/>
  <c r="BG152" i="1"/>
  <c r="S150" i="1"/>
  <c r="CI147" i="1"/>
  <c r="AU145" i="1"/>
  <c r="CH218" i="1"/>
  <c r="AT216" i="1"/>
  <c r="F214" i="1"/>
  <c r="BV211" i="1"/>
  <c r="AH209" i="1"/>
  <c r="CX206" i="1"/>
  <c r="BJ204" i="1"/>
  <c r="V202" i="1"/>
  <c r="CL199" i="1"/>
  <c r="AX197" i="1"/>
  <c r="J195" i="1"/>
  <c r="BZ192" i="1"/>
  <c r="AL190" i="1"/>
  <c r="DB187" i="1"/>
  <c r="BN185" i="1"/>
  <c r="Z183" i="1"/>
  <c r="CP180" i="1"/>
  <c r="BB178" i="1"/>
  <c r="N176" i="1"/>
  <c r="CD173" i="1"/>
  <c r="AP171" i="1"/>
  <c r="DF168" i="1"/>
  <c r="BR166" i="1"/>
  <c r="AD164" i="1"/>
  <c r="CT161" i="1"/>
  <c r="BF159" i="1"/>
  <c r="R157" i="1"/>
  <c r="CH154" i="1"/>
  <c r="AT152" i="1"/>
  <c r="F150" i="1"/>
  <c r="BV147" i="1"/>
  <c r="AH145" i="1"/>
  <c r="DC142" i="1"/>
  <c r="BO140" i="1"/>
  <c r="AA138" i="1"/>
  <c r="CQ135" i="1"/>
  <c r="BC133" i="1"/>
  <c r="O131" i="1"/>
  <c r="CE128" i="1"/>
  <c r="AQ126" i="1"/>
  <c r="DG123" i="1"/>
  <c r="BS121" i="1"/>
  <c r="AE119" i="1"/>
  <c r="CU116" i="1"/>
  <c r="BG114" i="1"/>
  <c r="S112" i="1"/>
  <c r="CI109" i="1"/>
  <c r="AU107" i="1"/>
  <c r="G105" i="1"/>
  <c r="BW102" i="1"/>
  <c r="AI100" i="1"/>
  <c r="CY97" i="1"/>
  <c r="BK95" i="1"/>
  <c r="W93" i="1"/>
  <c r="CM90" i="1"/>
  <c r="AY88" i="1"/>
  <c r="K86" i="1"/>
  <c r="DC211" i="1"/>
  <c r="BC202" i="1"/>
  <c r="DG192" i="1"/>
  <c r="BG183" i="1"/>
  <c r="G174" i="1"/>
  <c r="BK164" i="1"/>
  <c r="K155" i="1"/>
  <c r="BO145" i="1"/>
  <c r="CP211" i="1"/>
  <c r="AP202" i="1"/>
  <c r="CT192" i="1"/>
  <c r="AT183" i="1"/>
  <c r="CX173" i="1"/>
  <c r="AX164" i="1"/>
  <c r="DB154" i="1"/>
  <c r="BB145" i="1"/>
  <c r="G136" i="1"/>
  <c r="BK126" i="1"/>
  <c r="K117" i="1"/>
  <c r="BO107" i="1"/>
  <c r="O98" i="1"/>
  <c r="BS88" i="1"/>
  <c r="CU83" i="1"/>
  <c r="CE80" i="1"/>
  <c r="BK77" i="1"/>
  <c r="AU74" i="1"/>
  <c r="AE71" i="1"/>
  <c r="K68" i="1"/>
  <c r="CY64" i="1"/>
  <c r="CI61" i="1"/>
  <c r="BO58" i="1"/>
  <c r="AY55" i="1"/>
  <c r="G53" i="1"/>
  <c r="BW50" i="1"/>
  <c r="AI48" i="1"/>
  <c r="CY45" i="1"/>
  <c r="BK43" i="1"/>
  <c r="W41" i="1"/>
  <c r="CM38" i="1"/>
  <c r="AY36" i="1"/>
  <c r="K34" i="1"/>
  <c r="CA31" i="1"/>
  <c r="AM29" i="1"/>
  <c r="DC26" i="1"/>
  <c r="BO24" i="1"/>
  <c r="AA22" i="1"/>
  <c r="CQ19" i="1"/>
  <c r="BC17" i="1"/>
  <c r="O15" i="1"/>
  <c r="CE12" i="1"/>
  <c r="AQ10" i="1"/>
  <c r="DG7" i="1"/>
  <c r="BS5" i="1"/>
  <c r="AE3" i="1"/>
  <c r="CL141" i="1"/>
  <c r="AX139" i="1"/>
  <c r="J137" i="1"/>
  <c r="BZ134" i="1"/>
  <c r="AL132" i="1"/>
  <c r="DB129" i="1"/>
  <c r="BN127" i="1"/>
  <c r="Z125" i="1"/>
  <c r="CP122" i="1"/>
  <c r="BB120" i="1"/>
  <c r="N118" i="1"/>
  <c r="CD115" i="1"/>
  <c r="AP113" i="1"/>
  <c r="DF110" i="1"/>
  <c r="BR108" i="1"/>
  <c r="AD106" i="1"/>
  <c r="CT103" i="1"/>
  <c r="BF101" i="1"/>
  <c r="R99" i="1"/>
  <c r="CH96" i="1"/>
  <c r="AT94" i="1"/>
  <c r="F92" i="1"/>
  <c r="BV89" i="1"/>
  <c r="AH87" i="1"/>
  <c r="CX84" i="1"/>
  <c r="BJ82" i="1"/>
  <c r="V80" i="1"/>
  <c r="CL77" i="1"/>
  <c r="AX75" i="1"/>
  <c r="J73" i="1"/>
  <c r="BZ70" i="1"/>
  <c r="AL68" i="1"/>
  <c r="DB65" i="1"/>
  <c r="BN63" i="1"/>
  <c r="Z61" i="1"/>
  <c r="CP58" i="1"/>
  <c r="BB56" i="1"/>
  <c r="N54" i="1"/>
  <c r="CD51" i="1"/>
  <c r="AP49" i="1"/>
  <c r="DF46" i="1"/>
  <c r="BR44" i="1"/>
  <c r="AD42" i="1"/>
  <c r="CT39" i="1"/>
  <c r="BF37" i="1"/>
  <c r="R35" i="1"/>
  <c r="CH32" i="1"/>
  <c r="AT30" i="1"/>
  <c r="F28" i="1"/>
  <c r="BV25" i="1"/>
  <c r="AH23" i="1"/>
  <c r="CX20" i="1"/>
  <c r="BJ18" i="1"/>
  <c r="V16" i="1"/>
  <c r="CL13" i="1"/>
  <c r="AX11" i="1"/>
  <c r="J9" i="1"/>
  <c r="BZ6" i="1"/>
  <c r="AL4" i="1"/>
  <c r="CW165" i="1"/>
  <c r="DI160" i="1"/>
  <c r="CW157" i="1"/>
  <c r="BU154" i="1"/>
  <c r="BI151" i="1"/>
  <c r="CS148" i="1"/>
  <c r="BE146" i="1"/>
  <c r="Q144" i="1"/>
  <c r="BL217" i="1"/>
  <c r="X215" i="1"/>
  <c r="CN212" i="1"/>
  <c r="AZ210" i="1"/>
  <c r="L208" i="1"/>
  <c r="CR205" i="1"/>
  <c r="BD203" i="1"/>
  <c r="P201" i="1"/>
  <c r="CF198" i="1"/>
  <c r="AR196" i="1"/>
  <c r="DH193" i="1"/>
  <c r="BT191" i="1"/>
  <c r="AF189" i="1"/>
  <c r="CV186" i="1"/>
  <c r="BH184" i="1"/>
  <c r="T182" i="1"/>
  <c r="CJ179" i="1"/>
  <c r="AV177" i="1"/>
  <c r="H175" i="1"/>
  <c r="BX172" i="1"/>
  <c r="AJ170" i="1"/>
  <c r="CZ167" i="1"/>
  <c r="BL165" i="1"/>
  <c r="X163" i="1"/>
  <c r="CN160" i="1"/>
  <c r="AZ158" i="1"/>
  <c r="L156" i="1"/>
  <c r="CB153" i="1"/>
  <c r="AN151" i="1"/>
  <c r="DD148" i="1"/>
  <c r="BP146" i="1"/>
  <c r="AB144" i="1"/>
  <c r="BW217" i="1"/>
  <c r="AI215" i="1"/>
  <c r="CY212" i="1"/>
  <c r="BK210" i="1"/>
  <c r="W208" i="1"/>
  <c r="CM205" i="1"/>
  <c r="AY203" i="1"/>
  <c r="K201" i="1"/>
  <c r="CA198" i="1"/>
  <c r="AM196" i="1"/>
  <c r="DC193" i="1"/>
  <c r="BO191" i="1"/>
  <c r="AA189" i="1"/>
  <c r="CQ186" i="1"/>
  <c r="BC184" i="1"/>
  <c r="O182" i="1"/>
  <c r="CE179" i="1"/>
  <c r="AQ177" i="1"/>
  <c r="DG174" i="1"/>
  <c r="BS172" i="1"/>
  <c r="AE170" i="1"/>
  <c r="CU167" i="1"/>
  <c r="BG165" i="1"/>
  <c r="S163" i="1"/>
  <c r="CI160" i="1"/>
  <c r="AU158" i="1"/>
  <c r="G156" i="1"/>
  <c r="BW153" i="1"/>
  <c r="AI151" i="1"/>
  <c r="CY148" i="1"/>
  <c r="BK146" i="1"/>
  <c r="W144" i="1"/>
  <c r="BJ217" i="1"/>
  <c r="V215" i="1"/>
  <c r="CL212" i="1"/>
  <c r="AX210" i="1"/>
  <c r="J208" i="1"/>
  <c r="BZ205" i="1"/>
  <c r="AL203" i="1"/>
  <c r="DB200" i="1"/>
  <c r="BN198" i="1"/>
  <c r="Z196" i="1"/>
  <c r="CP193" i="1"/>
  <c r="BB191" i="1"/>
  <c r="N189" i="1"/>
  <c r="CD186" i="1"/>
  <c r="AP184" i="1"/>
  <c r="DF181" i="1"/>
  <c r="BR179" i="1"/>
  <c r="AD177" i="1"/>
  <c r="CT174" i="1"/>
  <c r="BF172" i="1"/>
  <c r="R170" i="1"/>
  <c r="CH167" i="1"/>
  <c r="AT165" i="1"/>
  <c r="F163" i="1"/>
  <c r="BV160" i="1"/>
  <c r="AH158" i="1"/>
  <c r="CX155" i="1"/>
  <c r="BJ153" i="1"/>
  <c r="V151" i="1"/>
  <c r="CL148" i="1"/>
  <c r="AX146" i="1"/>
  <c r="J144" i="1"/>
  <c r="CE141" i="1"/>
  <c r="AQ139" i="1"/>
  <c r="DG136" i="1"/>
  <c r="BS134" i="1"/>
  <c r="AE132" i="1"/>
  <c r="CU129" i="1"/>
  <c r="BG127" i="1"/>
  <c r="S125" i="1"/>
  <c r="CI122" i="1"/>
  <c r="AU120" i="1"/>
  <c r="G118" i="1"/>
  <c r="BW115" i="1"/>
  <c r="AI113" i="1"/>
  <c r="CY110" i="1"/>
  <c r="BK108" i="1"/>
  <c r="W106" i="1"/>
  <c r="CM103" i="1"/>
  <c r="AY101" i="1"/>
  <c r="K99" i="1"/>
  <c r="CA96" i="1"/>
  <c r="AM94" i="1"/>
  <c r="DC91" i="1"/>
  <c r="BO89" i="1"/>
  <c r="AA87" i="1"/>
  <c r="CQ84" i="1"/>
  <c r="BC82" i="1"/>
  <c r="O80" i="1"/>
  <c r="CE77" i="1"/>
  <c r="AQ75" i="1"/>
  <c r="DG72" i="1"/>
  <c r="BS70" i="1"/>
  <c r="AE68" i="1"/>
  <c r="CU65" i="1"/>
  <c r="BG63" i="1"/>
  <c r="S61" i="1"/>
  <c r="CI58" i="1"/>
  <c r="AU56" i="1"/>
  <c r="BX205" i="1"/>
  <c r="AJ203" i="1"/>
  <c r="CZ200" i="1"/>
  <c r="BL198" i="1"/>
  <c r="X196" i="1"/>
  <c r="CN193" i="1"/>
  <c r="AZ191" i="1"/>
  <c r="L189" i="1"/>
  <c r="CB186" i="1"/>
  <c r="AN184" i="1"/>
  <c r="DD181" i="1"/>
  <c r="BP179" i="1"/>
  <c r="AB177" i="1"/>
  <c r="CR174" i="1"/>
  <c r="BD172" i="1"/>
  <c r="P170" i="1"/>
  <c r="CF167" i="1"/>
  <c r="AR165" i="1"/>
  <c r="DH162" i="1"/>
  <c r="BT160" i="1"/>
  <c r="AF158" i="1"/>
  <c r="CV155" i="1"/>
  <c r="BH153" i="1"/>
  <c r="T151" i="1"/>
  <c r="CJ148" i="1"/>
  <c r="AV146" i="1"/>
  <c r="H144" i="1"/>
  <c r="BC217" i="1"/>
  <c r="O215" i="1"/>
  <c r="CE212" i="1"/>
  <c r="AQ210" i="1"/>
  <c r="DG207" i="1"/>
  <c r="BS205" i="1"/>
  <c r="AE203" i="1"/>
  <c r="CU200" i="1"/>
  <c r="BG198" i="1"/>
  <c r="S196" i="1"/>
  <c r="CI193" i="1"/>
  <c r="AU191" i="1"/>
  <c r="G189" i="1"/>
  <c r="BW186" i="1"/>
  <c r="AI184" i="1"/>
  <c r="CY181" i="1"/>
  <c r="BK179" i="1"/>
  <c r="W177" i="1"/>
  <c r="CM174" i="1"/>
  <c r="AY172" i="1"/>
  <c r="K170" i="1"/>
  <c r="CA167" i="1"/>
  <c r="AM165" i="1"/>
  <c r="DC162" i="1"/>
  <c r="BO160" i="1"/>
  <c r="AA158" i="1"/>
  <c r="CQ155" i="1"/>
  <c r="BC153" i="1"/>
  <c r="O151" i="1"/>
  <c r="CE148" i="1"/>
  <c r="AQ146" i="1"/>
  <c r="CG219" i="1"/>
  <c r="AP217" i="1"/>
  <c r="DF214" i="1"/>
  <c r="BR212" i="1"/>
  <c r="AD210" i="1"/>
  <c r="CT207" i="1"/>
  <c r="BF205" i="1"/>
  <c r="R203" i="1"/>
  <c r="CH200" i="1"/>
  <c r="AT198" i="1"/>
  <c r="F196" i="1"/>
  <c r="BV193" i="1"/>
  <c r="AH191" i="1"/>
  <c r="CX188" i="1"/>
  <c r="BJ186" i="1"/>
  <c r="V184" i="1"/>
  <c r="CL181" i="1"/>
  <c r="AX179" i="1"/>
  <c r="J177" i="1"/>
  <c r="BZ174" i="1"/>
  <c r="AL172" i="1"/>
  <c r="DB169" i="1"/>
  <c r="BN167" i="1"/>
  <c r="Z165" i="1"/>
  <c r="CP162" i="1"/>
  <c r="BB160" i="1"/>
  <c r="N158" i="1"/>
  <c r="CD155" i="1"/>
  <c r="AP153" i="1"/>
  <c r="DF150" i="1"/>
  <c r="BR148" i="1"/>
  <c r="AD146" i="1"/>
  <c r="CY143" i="1"/>
  <c r="BK141" i="1"/>
  <c r="W139" i="1"/>
  <c r="CM136" i="1"/>
  <c r="AY134" i="1"/>
  <c r="K132" i="1"/>
  <c r="CA129" i="1"/>
  <c r="AM127" i="1"/>
  <c r="DC124" i="1"/>
  <c r="BO122" i="1"/>
  <c r="AA120" i="1"/>
  <c r="CQ117" i="1"/>
  <c r="BC115" i="1"/>
  <c r="O113" i="1"/>
  <c r="CE110" i="1"/>
  <c r="AQ108" i="1"/>
  <c r="DG105" i="1"/>
  <c r="BS103" i="1"/>
  <c r="AE101" i="1"/>
  <c r="CU98" i="1"/>
  <c r="BG96" i="1"/>
  <c r="S94" i="1"/>
  <c r="CI91" i="1"/>
  <c r="AU89" i="1"/>
  <c r="AB206" i="1"/>
  <c r="CR203" i="1"/>
  <c r="BD201" i="1"/>
  <c r="P199" i="1"/>
  <c r="CF196" i="1"/>
  <c r="AR194" i="1"/>
  <c r="DH191" i="1"/>
  <c r="BT189" i="1"/>
  <c r="AF187" i="1"/>
  <c r="CV184" i="1"/>
  <c r="BH182" i="1"/>
  <c r="T180" i="1"/>
  <c r="CJ177" i="1"/>
  <c r="AV175" i="1"/>
  <c r="H173" i="1"/>
  <c r="BX170" i="1"/>
  <c r="AJ168" i="1"/>
  <c r="CZ165" i="1"/>
  <c r="BL163" i="1"/>
  <c r="X161" i="1"/>
  <c r="CN158" i="1"/>
  <c r="AZ156" i="1"/>
  <c r="L154" i="1"/>
  <c r="CB151" i="1"/>
  <c r="AN149" i="1"/>
  <c r="DD146" i="1"/>
  <c r="BP144" i="1"/>
  <c r="G218" i="1"/>
  <c r="AN206" i="1"/>
  <c r="DD203" i="1"/>
  <c r="BP201" i="1"/>
  <c r="AB199" i="1"/>
  <c r="CR196" i="1"/>
  <c r="BD194" i="1"/>
  <c r="P192" i="1"/>
  <c r="CF189" i="1"/>
  <c r="AR187" i="1"/>
  <c r="DH184" i="1"/>
  <c r="BT182" i="1"/>
  <c r="AF180" i="1"/>
  <c r="CV177" i="1"/>
  <c r="BH175" i="1"/>
  <c r="T173" i="1"/>
  <c r="CJ170" i="1"/>
  <c r="AV168" i="1"/>
  <c r="H166" i="1"/>
  <c r="BX163" i="1"/>
  <c r="AJ161" i="1"/>
  <c r="CZ158" i="1"/>
  <c r="BL156" i="1"/>
  <c r="X154" i="1"/>
  <c r="CN151" i="1"/>
  <c r="AZ149" i="1"/>
  <c r="L147" i="1"/>
  <c r="CB144" i="1"/>
  <c r="S218" i="1"/>
  <c r="CI215" i="1"/>
  <c r="AU213" i="1"/>
  <c r="G211" i="1"/>
  <c r="BW208" i="1"/>
  <c r="AI206" i="1"/>
  <c r="CY203" i="1"/>
  <c r="BK201" i="1"/>
  <c r="W199" i="1"/>
  <c r="CM196" i="1"/>
  <c r="AY194" i="1"/>
  <c r="K192" i="1"/>
  <c r="CA189" i="1"/>
  <c r="AM187" i="1"/>
  <c r="DC184" i="1"/>
  <c r="BO182" i="1"/>
  <c r="AA180" i="1"/>
  <c r="CQ177" i="1"/>
  <c r="BC175" i="1"/>
  <c r="O173" i="1"/>
  <c r="CE170" i="1"/>
  <c r="AQ168" i="1"/>
  <c r="DG165" i="1"/>
  <c r="BS163" i="1"/>
  <c r="AE161" i="1"/>
  <c r="CU158" i="1"/>
  <c r="BG156" i="1"/>
  <c r="S154" i="1"/>
  <c r="CI151" i="1"/>
  <c r="AU149" i="1"/>
  <c r="G147" i="1"/>
  <c r="BW144" i="1"/>
  <c r="F218" i="1"/>
  <c r="BV215" i="1"/>
  <c r="AH213" i="1"/>
  <c r="CX210" i="1"/>
  <c r="BJ208" i="1"/>
  <c r="V206" i="1"/>
  <c r="CL203" i="1"/>
  <c r="AX201" i="1"/>
  <c r="J199" i="1"/>
  <c r="BZ196" i="1"/>
  <c r="AL194" i="1"/>
  <c r="DB191" i="1"/>
  <c r="BN189" i="1"/>
  <c r="Z187" i="1"/>
  <c r="CP184" i="1"/>
  <c r="BB182" i="1"/>
  <c r="N180" i="1"/>
  <c r="CD177" i="1"/>
  <c r="AP175" i="1"/>
  <c r="DF172" i="1"/>
  <c r="BR170" i="1"/>
  <c r="AD168" i="1"/>
  <c r="CT165" i="1"/>
  <c r="BF163" i="1"/>
  <c r="R161" i="1"/>
  <c r="CH158" i="1"/>
  <c r="AT156" i="1"/>
  <c r="F154" i="1"/>
  <c r="BV151" i="1"/>
  <c r="AH149" i="1"/>
  <c r="CX146" i="1"/>
  <c r="BJ144" i="1"/>
  <c r="AA142" i="1"/>
  <c r="CQ139" i="1"/>
  <c r="BC137" i="1"/>
  <c r="O135" i="1"/>
  <c r="CE132" i="1"/>
  <c r="AQ130" i="1"/>
  <c r="DG127" i="1"/>
  <c r="BS125" i="1"/>
  <c r="AE123" i="1"/>
  <c r="CU120" i="1"/>
  <c r="BG118" i="1"/>
  <c r="S116" i="1"/>
  <c r="CI113" i="1"/>
  <c r="AU111" i="1"/>
  <c r="G109" i="1"/>
  <c r="BW106" i="1"/>
  <c r="AI104" i="1"/>
  <c r="CY101" i="1"/>
  <c r="BK99" i="1"/>
  <c r="W97" i="1"/>
  <c r="CM94" i="1"/>
  <c r="AY92" i="1"/>
  <c r="K90" i="1"/>
  <c r="BY253" i="1"/>
  <c r="Y244" i="1"/>
  <c r="CC234" i="1"/>
  <c r="AC225" i="1"/>
  <c r="G310" i="1"/>
  <c r="P286" i="1"/>
  <c r="BC273" i="1"/>
  <c r="T263" i="1"/>
  <c r="BX253" i="1"/>
  <c r="X244" i="1"/>
  <c r="CB234" i="1"/>
  <c r="AB225" i="1"/>
  <c r="BU215" i="1"/>
  <c r="U206" i="1"/>
  <c r="BY196" i="1"/>
  <c r="Y187" i="1"/>
  <c r="CC177" i="1"/>
  <c r="AC168" i="1"/>
  <c r="CG158" i="1"/>
  <c r="AG149" i="1"/>
  <c r="BP215" i="1"/>
  <c r="AC286" i="1"/>
  <c r="AJ273" i="1"/>
  <c r="F263" i="1"/>
  <c r="BJ253" i="1"/>
  <c r="J244" i="1"/>
  <c r="BN234" i="1"/>
  <c r="N225" i="1"/>
  <c r="AM309" i="1"/>
  <c r="CU285" i="1"/>
  <c r="AC273" i="1"/>
  <c r="DE262" i="1"/>
  <c r="BE253" i="1"/>
  <c r="DI243" i="1"/>
  <c r="BI234" i="1"/>
  <c r="I225" i="1"/>
  <c r="AI309" i="1"/>
  <c r="CS285" i="1"/>
  <c r="AB273" i="1"/>
  <c r="DD262" i="1"/>
  <c r="BD253" i="1"/>
  <c r="DH243" i="1"/>
  <c r="BH234" i="1"/>
  <c r="H225" i="1"/>
  <c r="BA215" i="1"/>
  <c r="DE205" i="1"/>
  <c r="BE196" i="1"/>
  <c r="DI186" i="1"/>
  <c r="BI177" i="1"/>
  <c r="I168" i="1"/>
  <c r="BM158" i="1"/>
  <c r="M149" i="1"/>
  <c r="AV215" i="1"/>
  <c r="BP285" i="1"/>
  <c r="CR272" i="1"/>
  <c r="BZ262" i="1"/>
  <c r="Z253" i="1"/>
  <c r="CD243" i="1"/>
  <c r="AD234" i="1"/>
  <c r="CH224" i="1"/>
  <c r="DG307" i="1"/>
  <c r="AY285" i="1"/>
  <c r="CK272" i="1"/>
  <c r="BU262" i="1"/>
  <c r="U253" i="1"/>
  <c r="BY243" i="1"/>
  <c r="Y234" i="1"/>
  <c r="CC224" i="1"/>
  <c r="DC307" i="1"/>
  <c r="AW285" i="1"/>
  <c r="CJ272" i="1"/>
  <c r="BT262" i="1"/>
  <c r="T253" i="1"/>
  <c r="BX243" i="1"/>
  <c r="X234" i="1"/>
  <c r="CB224" i="1"/>
  <c r="Q215" i="1"/>
  <c r="BU205" i="1"/>
  <c r="U196" i="1"/>
  <c r="BY186" i="1"/>
  <c r="Y177" i="1"/>
  <c r="CC167" i="1"/>
  <c r="AC158" i="1"/>
  <c r="CG148" i="1"/>
  <c r="L215" i="1"/>
  <c r="AE285" i="1"/>
  <c r="BQ272" i="1"/>
  <c r="BF262" i="1"/>
  <c r="F253" i="1"/>
  <c r="BJ243" i="1"/>
  <c r="J234" i="1"/>
  <c r="BN224" i="1"/>
  <c r="AE307" i="1"/>
  <c r="X285" i="1"/>
  <c r="BK272" i="1"/>
  <c r="BA262" i="1"/>
  <c r="DE252" i="1"/>
  <c r="BE243" i="1"/>
  <c r="DI233" i="1"/>
  <c r="BI224" i="1"/>
  <c r="AA307" i="1"/>
  <c r="W285" i="1"/>
  <c r="BI272" i="1"/>
  <c r="AZ262" i="1"/>
  <c r="DD252" i="1"/>
  <c r="BD243" i="1"/>
  <c r="DH233" i="1"/>
  <c r="BH224" i="1"/>
  <c r="DA214" i="1"/>
  <c r="BA205" i="1"/>
  <c r="DE195" i="1"/>
  <c r="BE186" i="1"/>
  <c r="DI176" i="1"/>
  <c r="BI167" i="1"/>
  <c r="BY332" i="1"/>
  <c r="BZ357" i="1"/>
  <c r="AJ307" i="1"/>
  <c r="BO318" i="1"/>
  <c r="CM255" i="1"/>
  <c r="AY319" i="1"/>
  <c r="AT260" i="1"/>
  <c r="AX241" i="1"/>
  <c r="BB222" i="1"/>
  <c r="U294" i="1"/>
  <c r="AU280" i="1"/>
  <c r="AO268" i="1"/>
  <c r="CS258" i="1"/>
  <c r="AS249" i="1"/>
  <c r="CW239" i="1"/>
  <c r="AW230" i="1"/>
  <c r="DA220" i="1"/>
  <c r="S294" i="1"/>
  <c r="AS280" i="1"/>
  <c r="AN268" i="1"/>
  <c r="CR258" i="1"/>
  <c r="AR249" i="1"/>
  <c r="CV239" i="1"/>
  <c r="AV230" i="1"/>
  <c r="CZ220" i="1"/>
  <c r="AO211" i="1"/>
  <c r="CS201" i="1"/>
  <c r="AS192" i="1"/>
  <c r="CW182" i="1"/>
  <c r="AW173" i="1"/>
  <c r="DA163" i="1"/>
  <c r="BA154" i="1"/>
  <c r="DE144" i="1"/>
  <c r="AJ211" i="1"/>
  <c r="AA280" i="1"/>
  <c r="Z268" i="1"/>
  <c r="CD258" i="1"/>
  <c r="AD249" i="1"/>
  <c r="CH239" i="1"/>
  <c r="AH230" i="1"/>
  <c r="CL220" i="1"/>
  <c r="CK293" i="1"/>
  <c r="T280" i="1"/>
  <c r="U268" i="1"/>
  <c r="BY258" i="1"/>
  <c r="Y249" i="1"/>
  <c r="CC239" i="1"/>
  <c r="AC230" i="1"/>
  <c r="CG220" i="1"/>
  <c r="CI293" i="1"/>
  <c r="S280" i="1"/>
  <c r="T268" i="1"/>
  <c r="BX258" i="1"/>
  <c r="X249" i="1"/>
  <c r="CB239" i="1"/>
  <c r="AB230" i="1"/>
  <c r="CF220" i="1"/>
  <c r="U211" i="1"/>
  <c r="BY201" i="1"/>
  <c r="Y192" i="1"/>
  <c r="CC182" i="1"/>
  <c r="AC173" i="1"/>
  <c r="CG163" i="1"/>
  <c r="AG154" i="1"/>
  <c r="CK144" i="1"/>
  <c r="P211" i="1"/>
  <c r="CI279" i="1"/>
  <c r="CT267" i="1"/>
  <c r="AT258" i="1"/>
  <c r="CX248" i="1"/>
  <c r="AX239" i="1"/>
  <c r="DB229" i="1"/>
  <c r="BB220" i="1"/>
  <c r="Q293" i="1"/>
  <c r="CB279" i="1"/>
  <c r="CO267" i="1"/>
  <c r="AO258" i="1"/>
  <c r="CS248" i="1"/>
  <c r="AS239" i="1"/>
  <c r="CW229" i="1"/>
  <c r="AW220" i="1"/>
  <c r="O293" i="1"/>
  <c r="CA279" i="1"/>
  <c r="CN267" i="1"/>
  <c r="AN258" i="1"/>
  <c r="CR248" i="1"/>
  <c r="AR239" i="1"/>
  <c r="CV229" i="1"/>
  <c r="AV220" i="1"/>
  <c r="CO210" i="1"/>
  <c r="AO201" i="1"/>
  <c r="CS191" i="1"/>
  <c r="AS182" i="1"/>
  <c r="CW172" i="1"/>
  <c r="AW163" i="1"/>
  <c r="DA153" i="1"/>
  <c r="BA144" i="1"/>
  <c r="CJ210" i="1"/>
  <c r="BH279" i="1"/>
  <c r="BZ267" i="1"/>
  <c r="Z258" i="1"/>
  <c r="CD248" i="1"/>
  <c r="AD239" i="1"/>
  <c r="CH229" i="1"/>
  <c r="AH220" i="1"/>
  <c r="CG292" i="1"/>
  <c r="BA279" i="1"/>
  <c r="BU267" i="1"/>
  <c r="U258" i="1"/>
  <c r="BY248" i="1"/>
  <c r="Y239" i="1"/>
  <c r="CC229" i="1"/>
  <c r="AC220" i="1"/>
  <c r="CE292" i="1"/>
  <c r="AZ279" i="1"/>
  <c r="BT267" i="1"/>
  <c r="T258" i="1"/>
  <c r="BX248" i="1"/>
  <c r="X239" i="1"/>
  <c r="CB229" i="1"/>
  <c r="AB220" i="1"/>
  <c r="BU210" i="1"/>
  <c r="U201" i="1"/>
  <c r="BY191" i="1"/>
  <c r="Y182" i="1"/>
  <c r="CC172" i="1"/>
  <c r="AC163" i="1"/>
  <c r="CS317" i="1"/>
  <c r="AV330" i="1"/>
  <c r="BD292" i="1"/>
  <c r="CR281" i="1"/>
  <c r="DG240" i="1"/>
  <c r="AB283" i="1"/>
  <c r="R253" i="1"/>
  <c r="V234" i="1"/>
  <c r="DG315" i="1"/>
  <c r="O288" i="1"/>
  <c r="BA275" i="1"/>
  <c r="BU264" i="1"/>
  <c r="U255" i="1"/>
  <c r="BY245" i="1"/>
  <c r="Y236" i="1"/>
  <c r="CC226" i="1"/>
  <c r="DC315" i="1"/>
  <c r="M288" i="1"/>
  <c r="AZ275" i="1"/>
  <c r="BT264" i="1"/>
  <c r="T255" i="1"/>
  <c r="BX245" i="1"/>
  <c r="X236" i="1"/>
  <c r="CB226" i="1"/>
  <c r="Q217" i="1"/>
  <c r="BU207" i="1"/>
  <c r="U198" i="1"/>
  <c r="BY188" i="1"/>
  <c r="Y179" i="1"/>
  <c r="CC169" i="1"/>
  <c r="AC160" i="1"/>
  <c r="CG150" i="1"/>
  <c r="L217" i="1"/>
  <c r="BP207" i="1"/>
  <c r="AG275" i="1"/>
  <c r="BF264" i="1"/>
  <c r="F255" i="1"/>
  <c r="BJ245" i="1"/>
  <c r="J236" i="1"/>
  <c r="BN226" i="1"/>
  <c r="AE315" i="1"/>
  <c r="CR287" i="1"/>
  <c r="AA275" i="1"/>
  <c r="BA264" i="1"/>
  <c r="DE254" i="1"/>
  <c r="BE245" i="1"/>
  <c r="DI235" i="1"/>
  <c r="BI226" i="1"/>
  <c r="AA315" i="1"/>
  <c r="CQ287" i="1"/>
  <c r="Y275" i="1"/>
  <c r="AZ264" i="1"/>
  <c r="DD254" i="1"/>
  <c r="BD245" i="1"/>
  <c r="DH235" i="1"/>
  <c r="BH226" i="1"/>
  <c r="DA216" i="1"/>
  <c r="BA207" i="1"/>
  <c r="DE197" i="1"/>
  <c r="BE188" i="1"/>
  <c r="DI178" i="1"/>
  <c r="BI169" i="1"/>
  <c r="I160" i="1"/>
  <c r="BM150" i="1"/>
  <c r="CV216" i="1"/>
  <c r="AV207" i="1"/>
  <c r="CO274" i="1"/>
  <c r="V264" i="1"/>
  <c r="BZ254" i="1"/>
  <c r="Z245" i="1"/>
  <c r="CD235" i="1"/>
  <c r="AD226" i="1"/>
  <c r="CY313" i="1"/>
  <c r="AV287" i="1"/>
  <c r="CI274" i="1"/>
  <c r="Q264" i="1"/>
  <c r="BU254" i="1"/>
  <c r="U245" i="1"/>
  <c r="BY235" i="1"/>
  <c r="Y226" i="1"/>
  <c r="CU313" i="1"/>
  <c r="AU287" i="1"/>
  <c r="CG274" i="1"/>
  <c r="P264" i="1"/>
  <c r="BT254" i="1"/>
  <c r="T245" i="1"/>
  <c r="BX235" i="1"/>
  <c r="X226" i="1"/>
  <c r="BQ216" i="1"/>
  <c r="Q207" i="1"/>
  <c r="BU197" i="1"/>
  <c r="U188" i="1"/>
  <c r="BY178" i="1"/>
  <c r="Y169" i="1"/>
  <c r="CC159" i="1"/>
  <c r="AC150" i="1"/>
  <c r="BL216" i="1"/>
  <c r="L207" i="1"/>
  <c r="BO274" i="1"/>
  <c r="DF263" i="1"/>
  <c r="BF254" i="1"/>
  <c r="F245" i="1"/>
  <c r="BJ235" i="1"/>
  <c r="J226" i="1"/>
  <c r="W313" i="1"/>
  <c r="U287" i="1"/>
  <c r="BH274" i="1"/>
  <c r="DA263" i="1"/>
  <c r="BA254" i="1"/>
  <c r="DE244" i="1"/>
  <c r="BE235" i="1"/>
  <c r="DI225" i="1"/>
  <c r="S313" i="1"/>
  <c r="T287" i="1"/>
  <c r="BG274" i="1"/>
  <c r="CZ263" i="1"/>
  <c r="AZ254" i="1"/>
  <c r="DD244" i="1"/>
  <c r="BD235" i="1"/>
  <c r="DH225" i="1"/>
  <c r="AW216" i="1"/>
  <c r="DA206" i="1"/>
  <c r="BA197" i="1"/>
  <c r="DE187" i="1"/>
  <c r="BE178" i="1"/>
  <c r="DI168" i="1"/>
  <c r="BI159" i="1"/>
  <c r="AW172" i="1"/>
  <c r="CG153" i="1"/>
  <c r="X219" i="1"/>
  <c r="CB209" i="1"/>
  <c r="AR200" i="1"/>
  <c r="CV190" i="1"/>
  <c r="AV181" i="1"/>
  <c r="CZ171" i="1"/>
  <c r="AZ162" i="1"/>
  <c r="DD152" i="1"/>
  <c r="AI219" i="1"/>
  <c r="CM209" i="1"/>
  <c r="AM200" i="1"/>
  <c r="CQ190" i="1"/>
  <c r="AQ181" i="1"/>
  <c r="CU171" i="1"/>
  <c r="AU162" i="1"/>
  <c r="CY152" i="1"/>
  <c r="CM145" i="1"/>
  <c r="CL216" i="1"/>
  <c r="J212" i="1"/>
  <c r="AL207" i="1"/>
  <c r="BN202" i="1"/>
  <c r="CP197" i="1"/>
  <c r="N193" i="1"/>
  <c r="AP188" i="1"/>
  <c r="BR183" i="1"/>
  <c r="CT178" i="1"/>
  <c r="R174" i="1"/>
  <c r="AT169" i="1"/>
  <c r="BV164" i="1"/>
  <c r="CX159" i="1"/>
  <c r="V155" i="1"/>
  <c r="AX150" i="1"/>
  <c r="BZ145" i="1"/>
  <c r="DG140" i="1"/>
  <c r="AE136" i="1"/>
  <c r="BG131" i="1"/>
  <c r="CI126" i="1"/>
  <c r="G122" i="1"/>
  <c r="AI117" i="1"/>
  <c r="BK112" i="1"/>
  <c r="CM107" i="1"/>
  <c r="K103" i="1"/>
  <c r="AM98" i="1"/>
  <c r="BO93" i="1"/>
  <c r="CQ88" i="1"/>
  <c r="O84" i="1"/>
  <c r="AQ79" i="1"/>
  <c r="BS74" i="1"/>
  <c r="CU69" i="1"/>
  <c r="S65" i="1"/>
  <c r="AU60" i="1"/>
  <c r="BW55" i="1"/>
  <c r="BL202" i="1"/>
  <c r="CN197" i="1"/>
  <c r="L193" i="1"/>
  <c r="AN188" i="1"/>
  <c r="BP183" i="1"/>
  <c r="CR178" i="1"/>
  <c r="P174" i="1"/>
  <c r="AR169" i="1"/>
  <c r="BT164" i="1"/>
  <c r="CV159" i="1"/>
  <c r="T155" i="1"/>
  <c r="AV150" i="1"/>
  <c r="BX145" i="1"/>
  <c r="CE216" i="1"/>
  <c r="DG211" i="1"/>
  <c r="AE207" i="1"/>
  <c r="BG202" i="1"/>
  <c r="CI197" i="1"/>
  <c r="G193" i="1"/>
  <c r="AI188" i="1"/>
  <c r="BK183" i="1"/>
  <c r="CM178" i="1"/>
  <c r="K174" i="1"/>
  <c r="AM169" i="1"/>
  <c r="BO164" i="1"/>
  <c r="CQ159" i="1"/>
  <c r="O155" i="1"/>
  <c r="AQ150" i="1"/>
  <c r="BS145" i="1"/>
  <c r="BR216" i="1"/>
  <c r="CT211" i="1"/>
  <c r="R207" i="1"/>
  <c r="AT202" i="1"/>
  <c r="BV197" i="1"/>
  <c r="CX192" i="1"/>
  <c r="V188" i="1"/>
  <c r="AX183" i="1"/>
  <c r="BZ178" i="1"/>
  <c r="DB173" i="1"/>
  <c r="Z169" i="1"/>
  <c r="BB164" i="1"/>
  <c r="CD159" i="1"/>
  <c r="DF154" i="1"/>
  <c r="AD150" i="1"/>
  <c r="BF145" i="1"/>
  <c r="CM140" i="1"/>
  <c r="K136" i="1"/>
  <c r="AM131" i="1"/>
  <c r="BO126" i="1"/>
  <c r="CQ121" i="1"/>
  <c r="O117" i="1"/>
  <c r="AQ112" i="1"/>
  <c r="BS107" i="1"/>
  <c r="CU102" i="1"/>
  <c r="S98" i="1"/>
  <c r="AU93" i="1"/>
  <c r="BW88" i="1"/>
  <c r="P203" i="1"/>
  <c r="AR198" i="1"/>
  <c r="BT193" i="1"/>
  <c r="CV188" i="1"/>
  <c r="T184" i="1"/>
  <c r="AV179" i="1"/>
  <c r="BX174" i="1"/>
  <c r="CZ169" i="1"/>
  <c r="X165" i="1"/>
  <c r="AZ160" i="1"/>
  <c r="CB155" i="1"/>
  <c r="DD150" i="1"/>
  <c r="AB146" i="1"/>
  <c r="AI217" i="1"/>
  <c r="AB203" i="1"/>
  <c r="BD198" i="1"/>
  <c r="CF193" i="1"/>
  <c r="DH188" i="1"/>
  <c r="AF184" i="1"/>
  <c r="BH179" i="1"/>
  <c r="CJ174" i="1"/>
  <c r="H170" i="1"/>
  <c r="AJ165" i="1"/>
  <c r="BL160" i="1"/>
  <c r="CN155" i="1"/>
  <c r="L151" i="1"/>
  <c r="AN146" i="1"/>
  <c r="AU217" i="1"/>
  <c r="BW212" i="1"/>
  <c r="CY207" i="1"/>
  <c r="W203" i="1"/>
  <c r="AY198" i="1"/>
  <c r="CA193" i="1"/>
  <c r="DC188" i="1"/>
  <c r="AA184" i="1"/>
  <c r="BC179" i="1"/>
  <c r="CE174" i="1"/>
  <c r="DG169" i="1"/>
  <c r="AE165" i="1"/>
  <c r="BG160" i="1"/>
  <c r="CI155" i="1"/>
  <c r="G151" i="1"/>
  <c r="AI146" i="1"/>
  <c r="AH217" i="1"/>
  <c r="BJ212" i="1"/>
  <c r="CL207" i="1"/>
  <c r="J203" i="1"/>
  <c r="AL198" i="1"/>
  <c r="BN193" i="1"/>
  <c r="CP188" i="1"/>
  <c r="N184" i="1"/>
  <c r="AP179" i="1"/>
  <c r="BR174" i="1"/>
  <c r="CT169" i="1"/>
  <c r="R165" i="1"/>
  <c r="AT160" i="1"/>
  <c r="BV155" i="1"/>
  <c r="CX150" i="1"/>
  <c r="V146" i="1"/>
  <c r="BC141" i="1"/>
  <c r="CE136" i="1"/>
  <c r="DG131" i="1"/>
  <c r="AE127" i="1"/>
  <c r="BG122" i="1"/>
  <c r="CI117" i="1"/>
  <c r="G113" i="1"/>
  <c r="AI108" i="1"/>
  <c r="BK103" i="1"/>
  <c r="CM98" i="1"/>
  <c r="K94" i="1"/>
  <c r="AM89" i="1"/>
  <c r="BG215" i="1"/>
  <c r="BK196" i="1"/>
  <c r="BO177" i="1"/>
  <c r="BS158" i="1"/>
  <c r="AT215" i="1"/>
  <c r="AX196" i="1"/>
  <c r="BB177" i="1"/>
  <c r="BF158" i="1"/>
  <c r="BO139" i="1"/>
  <c r="BS120" i="1"/>
  <c r="BW101" i="1"/>
  <c r="AA85" i="1"/>
  <c r="CE78" i="1"/>
  <c r="AY72" i="1"/>
  <c r="O66" i="1"/>
  <c r="CI59" i="1"/>
  <c r="CY53" i="1"/>
  <c r="W49" i="1"/>
  <c r="AY44" i="1"/>
  <c r="CA39" i="1"/>
  <c r="DC34" i="1"/>
  <c r="AA30" i="1"/>
  <c r="BC25" i="1"/>
  <c r="CE20" i="1"/>
  <c r="DG15" i="1"/>
  <c r="AE11" i="1"/>
  <c r="BG6" i="1"/>
  <c r="BZ142" i="1"/>
  <c r="DB137" i="1"/>
  <c r="Z133" i="1"/>
  <c r="BB128" i="1"/>
  <c r="CD123" i="1"/>
  <c r="DF118" i="1"/>
  <c r="AD114" i="1"/>
  <c r="BF109" i="1"/>
  <c r="CH104" i="1"/>
  <c r="F100" i="1"/>
  <c r="BV97" i="1"/>
  <c r="AH95" i="1"/>
  <c r="CX92" i="1"/>
  <c r="BJ90" i="1"/>
  <c r="V88" i="1"/>
  <c r="CL85" i="1"/>
  <c r="AX83" i="1"/>
  <c r="J81" i="1"/>
  <c r="BZ78" i="1"/>
  <c r="AL76" i="1"/>
  <c r="DB73" i="1"/>
  <c r="BN71" i="1"/>
  <c r="Z69" i="1"/>
  <c r="CP66" i="1"/>
  <c r="BB64" i="1"/>
  <c r="N62" i="1"/>
  <c r="CD59" i="1"/>
  <c r="AP57" i="1"/>
  <c r="DF54" i="1"/>
  <c r="BR52" i="1"/>
  <c r="AD50" i="1"/>
  <c r="CT47" i="1"/>
  <c r="BF45" i="1"/>
  <c r="R43" i="1"/>
  <c r="CH40" i="1"/>
  <c r="AT38" i="1"/>
  <c r="F36" i="1"/>
  <c r="BV33" i="1"/>
  <c r="AH31" i="1"/>
  <c r="CX28" i="1"/>
  <c r="BJ26" i="1"/>
  <c r="V24" i="1"/>
  <c r="CL21" i="1"/>
  <c r="AX19" i="1"/>
  <c r="J17" i="1"/>
  <c r="BZ14" i="1"/>
  <c r="AL12" i="1"/>
  <c r="DB9" i="1"/>
  <c r="BN7" i="1"/>
  <c r="Z5" i="1"/>
  <c r="BA169" i="1"/>
  <c r="Y162" i="1"/>
  <c r="M159" i="1"/>
  <c r="CO155" i="1"/>
  <c r="CC152" i="1"/>
  <c r="CG149" i="1"/>
  <c r="AS147" i="1"/>
  <c r="DI144" i="1"/>
  <c r="AZ218" i="1"/>
  <c r="L216" i="1"/>
  <c r="CB213" i="1"/>
  <c r="AN211" i="1"/>
  <c r="DD208" i="1"/>
  <c r="CF206" i="1"/>
  <c r="AR204" i="1"/>
  <c r="DH201" i="1"/>
  <c r="BT199" i="1"/>
  <c r="AF197" i="1"/>
  <c r="CV194" i="1"/>
  <c r="BH192" i="1"/>
  <c r="T190" i="1"/>
  <c r="CJ187" i="1"/>
  <c r="AV185" i="1"/>
  <c r="H183" i="1"/>
  <c r="BX180" i="1"/>
  <c r="AJ178" i="1"/>
  <c r="CZ175" i="1"/>
  <c r="BL173" i="1"/>
  <c r="X171" i="1"/>
  <c r="CN168" i="1"/>
  <c r="AZ166" i="1"/>
  <c r="L164" i="1"/>
  <c r="CB161" i="1"/>
  <c r="AN159" i="1"/>
  <c r="DD156" i="1"/>
  <c r="BP154" i="1"/>
  <c r="AB152" i="1"/>
  <c r="CR149" i="1"/>
  <c r="BD147" i="1"/>
  <c r="P145" i="1"/>
  <c r="BK218" i="1"/>
  <c r="W216" i="1"/>
  <c r="CM213" i="1"/>
  <c r="AY211" i="1"/>
  <c r="K209" i="1"/>
  <c r="CA206" i="1"/>
  <c r="AM204" i="1"/>
  <c r="DC201" i="1"/>
  <c r="BO199" i="1"/>
  <c r="AA197" i="1"/>
  <c r="CQ194" i="1"/>
  <c r="BC192" i="1"/>
  <c r="O190" i="1"/>
  <c r="CE187" i="1"/>
  <c r="AQ185" i="1"/>
  <c r="DG182" i="1"/>
  <c r="BS180" i="1"/>
  <c r="AE178" i="1"/>
  <c r="CU175" i="1"/>
  <c r="BG173" i="1"/>
  <c r="S171" i="1"/>
  <c r="CI168" i="1"/>
  <c r="AU166" i="1"/>
  <c r="G164" i="1"/>
  <c r="BW161" i="1"/>
  <c r="AI159" i="1"/>
  <c r="CY156" i="1"/>
  <c r="BK154" i="1"/>
  <c r="W152" i="1"/>
  <c r="CM149" i="1"/>
  <c r="AY147" i="1"/>
  <c r="K145" i="1"/>
  <c r="AX218" i="1"/>
  <c r="J216" i="1"/>
  <c r="BZ213" i="1"/>
  <c r="AL211" i="1"/>
  <c r="DB208" i="1"/>
  <c r="BN206" i="1"/>
  <c r="Z204" i="1"/>
  <c r="CP201" i="1"/>
  <c r="BB199" i="1"/>
  <c r="N197" i="1"/>
  <c r="CD194" i="1"/>
  <c r="AP192" i="1"/>
  <c r="DF189" i="1"/>
  <c r="BR187" i="1"/>
  <c r="AD185" i="1"/>
  <c r="CT182" i="1"/>
  <c r="BF180" i="1"/>
  <c r="R178" i="1"/>
  <c r="CH175" i="1"/>
  <c r="AT173" i="1"/>
  <c r="F171" i="1"/>
  <c r="BV168" i="1"/>
  <c r="AH166" i="1"/>
  <c r="CX163" i="1"/>
  <c r="BJ161" i="1"/>
  <c r="V159" i="1"/>
  <c r="CL156" i="1"/>
  <c r="AX154" i="1"/>
  <c r="J152" i="1"/>
  <c r="BZ149" i="1"/>
  <c r="AL147" i="1"/>
  <c r="DB144" i="1"/>
  <c r="BS142" i="1"/>
  <c r="AE140" i="1"/>
  <c r="CU137" i="1"/>
  <c r="BG135" i="1"/>
  <c r="S133" i="1"/>
  <c r="CI130" i="1"/>
  <c r="AU128" i="1"/>
  <c r="G126" i="1"/>
  <c r="BW123" i="1"/>
  <c r="AI121" i="1"/>
  <c r="CY118" i="1"/>
  <c r="BK116" i="1"/>
  <c r="W114" i="1"/>
  <c r="CM111" i="1"/>
  <c r="AY109" i="1"/>
  <c r="K107" i="1"/>
  <c r="CA104" i="1"/>
  <c r="AM102" i="1"/>
  <c r="DC99" i="1"/>
  <c r="BO97" i="1"/>
  <c r="AA95" i="1"/>
  <c r="CQ92" i="1"/>
  <c r="BC90" i="1"/>
  <c r="O88" i="1"/>
  <c r="CE85" i="1"/>
  <c r="AQ83" i="1"/>
  <c r="DG80" i="1"/>
  <c r="BS78" i="1"/>
  <c r="AE76" i="1"/>
  <c r="CU73" i="1"/>
  <c r="BG71" i="1"/>
  <c r="S69" i="1"/>
  <c r="CI66" i="1"/>
  <c r="AU64" i="1"/>
  <c r="G62" i="1"/>
  <c r="BW59" i="1"/>
  <c r="AI57" i="1"/>
  <c r="BL206" i="1"/>
  <c r="X204" i="1"/>
  <c r="CN201" i="1"/>
  <c r="AZ199" i="1"/>
  <c r="L197" i="1"/>
  <c r="CB194" i="1"/>
  <c r="AN192" i="1"/>
  <c r="DD189" i="1"/>
  <c r="BP187" i="1"/>
  <c r="AB185" i="1"/>
  <c r="CR182" i="1"/>
  <c r="BD180" i="1"/>
  <c r="P178" i="1"/>
  <c r="CF175" i="1"/>
  <c r="AR173" i="1"/>
  <c r="DH170" i="1"/>
  <c r="BT168" i="1"/>
  <c r="AF166" i="1"/>
  <c r="CV163" i="1"/>
  <c r="BH161" i="1"/>
  <c r="T159" i="1"/>
  <c r="CJ156" i="1"/>
  <c r="AV154" i="1"/>
  <c r="H152" i="1"/>
  <c r="BX149" i="1"/>
  <c r="AJ147" i="1"/>
  <c r="CZ144" i="1"/>
  <c r="AQ218" i="1"/>
  <c r="DG215" i="1"/>
  <c r="BS213" i="1"/>
  <c r="AE211" i="1"/>
  <c r="CU208" i="1"/>
  <c r="BG206" i="1"/>
  <c r="S204" i="1"/>
  <c r="CI201" i="1"/>
  <c r="AU199" i="1"/>
  <c r="G197" i="1"/>
  <c r="BW194" i="1"/>
  <c r="AI192" i="1"/>
  <c r="CY189" i="1"/>
  <c r="BK187" i="1"/>
  <c r="W185" i="1"/>
  <c r="CM182" i="1"/>
  <c r="AY180" i="1"/>
  <c r="K178" i="1"/>
  <c r="CA175" i="1"/>
  <c r="AM173" i="1"/>
  <c r="DC170" i="1"/>
  <c r="BO168" i="1"/>
  <c r="AA166" i="1"/>
  <c r="CQ163" i="1"/>
  <c r="BC161" i="1"/>
  <c r="O159" i="1"/>
  <c r="CE156" i="1"/>
  <c r="AQ154" i="1"/>
  <c r="DG151" i="1"/>
  <c r="BS149" i="1"/>
  <c r="AE147" i="1"/>
  <c r="CU144" i="1"/>
  <c r="AD218" i="1"/>
  <c r="CT215" i="1"/>
  <c r="BF213" i="1"/>
  <c r="R211" i="1"/>
  <c r="CH208" i="1"/>
  <c r="AT206" i="1"/>
  <c r="F204" i="1"/>
  <c r="BV201" i="1"/>
  <c r="AH199" i="1"/>
  <c r="CX196" i="1"/>
  <c r="BJ194" i="1"/>
  <c r="V192" i="1"/>
  <c r="CL189" i="1"/>
  <c r="AX187" i="1"/>
  <c r="J185" i="1"/>
  <c r="BZ182" i="1"/>
  <c r="AL180" i="1"/>
  <c r="DB177" i="1"/>
  <c r="BN175" i="1"/>
  <c r="Z173" i="1"/>
  <c r="CP170" i="1"/>
  <c r="BB168" i="1"/>
  <c r="N166" i="1"/>
  <c r="CD163" i="1"/>
  <c r="AP161" i="1"/>
  <c r="DF158" i="1"/>
  <c r="BR156" i="1"/>
  <c r="AD154" i="1"/>
  <c r="CT151" i="1"/>
  <c r="BF149" i="1"/>
  <c r="R147" i="1"/>
  <c r="CH144" i="1"/>
  <c r="AY142" i="1"/>
  <c r="K140" i="1"/>
  <c r="CA137" i="1"/>
  <c r="AM135" i="1"/>
  <c r="DC132" i="1"/>
  <c r="BO130" i="1"/>
  <c r="AA128" i="1"/>
  <c r="CQ125" i="1"/>
  <c r="BC123" i="1"/>
  <c r="O121" i="1"/>
  <c r="CE118" i="1"/>
  <c r="AQ116" i="1"/>
  <c r="DG113" i="1"/>
  <c r="BS111" i="1"/>
  <c r="AE109" i="1"/>
  <c r="CU106" i="1"/>
  <c r="BG104" i="1"/>
  <c r="S102" i="1"/>
  <c r="CI99" i="1"/>
  <c r="AU97" i="1"/>
  <c r="G95" i="1"/>
  <c r="BW92" i="1"/>
  <c r="AI90" i="1"/>
  <c r="CY87" i="1"/>
  <c r="CF204" i="1"/>
  <c r="AR202" i="1"/>
  <c r="DH199" i="1"/>
  <c r="BT197" i="1"/>
  <c r="AF195" i="1"/>
  <c r="CV192" i="1"/>
  <c r="BH190" i="1"/>
  <c r="T188" i="1"/>
  <c r="CJ185" i="1"/>
  <c r="AV183" i="1"/>
  <c r="H181" i="1"/>
  <c r="BX178" i="1"/>
  <c r="AJ176" i="1"/>
  <c r="CZ173" i="1"/>
  <c r="BL171" i="1"/>
  <c r="X169" i="1"/>
  <c r="CN166" i="1"/>
  <c r="AZ164" i="1"/>
  <c r="L162" i="1"/>
  <c r="CB159" i="1"/>
  <c r="AN157" i="1"/>
  <c r="DD154" i="1"/>
  <c r="BP152" i="1"/>
  <c r="AB150" i="1"/>
  <c r="CR147" i="1"/>
  <c r="BD145" i="1"/>
  <c r="CY218" i="1"/>
  <c r="BK216" i="1"/>
  <c r="CR204" i="1"/>
  <c r="BD202" i="1"/>
  <c r="P200" i="1"/>
  <c r="CF197" i="1"/>
  <c r="AR195" i="1"/>
  <c r="DH192" i="1"/>
  <c r="BT190" i="1"/>
  <c r="AF188" i="1"/>
  <c r="CV185" i="1"/>
  <c r="BH183" i="1"/>
  <c r="T181" i="1"/>
  <c r="CJ178" i="1"/>
  <c r="AV176" i="1"/>
  <c r="H174" i="1"/>
  <c r="BX171" i="1"/>
  <c r="AJ169" i="1"/>
  <c r="CZ166" i="1"/>
  <c r="BL164" i="1"/>
  <c r="X162" i="1"/>
  <c r="CN159" i="1"/>
  <c r="AZ157" i="1"/>
  <c r="L155" i="1"/>
  <c r="CB152" i="1"/>
  <c r="AN150" i="1"/>
  <c r="DD147" i="1"/>
  <c r="BP145" i="1"/>
  <c r="G219" i="1"/>
  <c r="BW216" i="1"/>
  <c r="AI214" i="1"/>
  <c r="CY211" i="1"/>
  <c r="BK209" i="1"/>
  <c r="W207" i="1"/>
  <c r="CM204" i="1"/>
  <c r="AY202" i="1"/>
  <c r="K200" i="1"/>
  <c r="CA197" i="1"/>
  <c r="AM195" i="1"/>
  <c r="DC192" i="1"/>
  <c r="BO190" i="1"/>
  <c r="AA188" i="1"/>
  <c r="CQ185" i="1"/>
  <c r="BC183" i="1"/>
  <c r="O181" i="1"/>
  <c r="CE178" i="1"/>
  <c r="AQ176" i="1"/>
  <c r="DG173" i="1"/>
  <c r="BS171" i="1"/>
  <c r="AE169" i="1"/>
  <c r="CU166" i="1"/>
  <c r="BG164" i="1"/>
  <c r="S162" i="1"/>
  <c r="CI159" i="1"/>
  <c r="AU157" i="1"/>
  <c r="G155" i="1"/>
  <c r="BW152" i="1"/>
  <c r="AI150" i="1"/>
  <c r="CY147" i="1"/>
  <c r="BK145" i="1"/>
  <c r="CX218" i="1"/>
  <c r="BJ216" i="1"/>
  <c r="V214" i="1"/>
  <c r="CL211" i="1"/>
  <c r="AX209" i="1"/>
  <c r="J207" i="1"/>
  <c r="BZ204" i="1"/>
  <c r="AL202" i="1"/>
  <c r="DB199" i="1"/>
  <c r="BN197" i="1"/>
  <c r="Z195" i="1"/>
  <c r="CP192" i="1"/>
  <c r="BB190" i="1"/>
  <c r="N188" i="1"/>
  <c r="CD185" i="1"/>
  <c r="AP183" i="1"/>
  <c r="DF180" i="1"/>
  <c r="BR178" i="1"/>
  <c r="AD176" i="1"/>
  <c r="CT173" i="1"/>
  <c r="BF171" i="1"/>
  <c r="R169" i="1"/>
  <c r="CH166" i="1"/>
  <c r="AT164" i="1"/>
  <c r="F162" i="1"/>
  <c r="BV159" i="1"/>
  <c r="AH157" i="1"/>
  <c r="CX154" i="1"/>
  <c r="BJ152" i="1"/>
  <c r="V150" i="1"/>
  <c r="CL147" i="1"/>
  <c r="AX145" i="1"/>
  <c r="O143" i="1"/>
  <c r="CE140" i="1"/>
  <c r="AQ138" i="1"/>
  <c r="DG135" i="1"/>
  <c r="BS133" i="1"/>
  <c r="AE131" i="1"/>
  <c r="CU128" i="1"/>
  <c r="BG126" i="1"/>
  <c r="S124" i="1"/>
  <c r="CI121" i="1"/>
  <c r="AU119" i="1"/>
  <c r="G117" i="1"/>
  <c r="BW114" i="1"/>
  <c r="AI112" i="1"/>
  <c r="CY109" i="1"/>
  <c r="BK107" i="1"/>
  <c r="W105" i="1"/>
  <c r="CM102" i="1"/>
  <c r="AY100" i="1"/>
  <c r="K98" i="1"/>
  <c r="CA95" i="1"/>
  <c r="AM93" i="1"/>
  <c r="DC90" i="1"/>
  <c r="BO88" i="1"/>
  <c r="AA86" i="1"/>
  <c r="BK212" i="1"/>
  <c r="K203" i="1"/>
  <c r="BO193" i="1"/>
  <c r="O184" i="1"/>
  <c r="BS174" i="1"/>
  <c r="S165" i="1"/>
  <c r="BW155" i="1"/>
  <c r="W146" i="1"/>
  <c r="AX212" i="1"/>
  <c r="DB202" i="1"/>
  <c r="BB193" i="1"/>
  <c r="DF183" i="1"/>
  <c r="BF174" i="1"/>
  <c r="F165" i="1"/>
  <c r="BJ155" i="1"/>
  <c r="J146" i="1"/>
  <c r="BS136" i="1"/>
  <c r="S127" i="1"/>
  <c r="BW117" i="1"/>
  <c r="W108" i="1"/>
  <c r="CA98" i="1"/>
  <c r="AA89" i="1"/>
  <c r="K84" i="1"/>
  <c r="CY80" i="1"/>
  <c r="CI77" i="1"/>
  <c r="BO74" i="1"/>
  <c r="AY71" i="1"/>
  <c r="AI68" i="1"/>
  <c r="O65" i="1"/>
  <c r="DC61" i="1"/>
  <c r="CM58" i="1"/>
  <c r="BS55" i="1"/>
  <c r="W53" i="1"/>
  <c r="CM50" i="1"/>
  <c r="AY48" i="1"/>
  <c r="K46" i="1"/>
  <c r="CA43" i="1"/>
  <c r="AM41" i="1"/>
  <c r="DC38" i="1"/>
  <c r="BO36" i="1"/>
  <c r="AA34" i="1"/>
  <c r="CQ31" i="1"/>
  <c r="BC29" i="1"/>
  <c r="O27" i="1"/>
  <c r="CE24" i="1"/>
  <c r="AQ22" i="1"/>
  <c r="DG19" i="1"/>
  <c r="BS17" i="1"/>
  <c r="AE15" i="1"/>
  <c r="CU12" i="1"/>
  <c r="BG10" i="1"/>
  <c r="S8" i="1"/>
  <c r="CI5" i="1"/>
  <c r="AU3" i="1"/>
  <c r="DB141" i="1"/>
  <c r="BN139" i="1"/>
  <c r="Z137" i="1"/>
  <c r="CP134" i="1"/>
  <c r="BB132" i="1"/>
  <c r="N130" i="1"/>
  <c r="CD127" i="1"/>
  <c r="AP125" i="1"/>
  <c r="DF122" i="1"/>
  <c r="BR120" i="1"/>
  <c r="AD118" i="1"/>
  <c r="CT115" i="1"/>
  <c r="BF113" i="1"/>
  <c r="R111" i="1"/>
  <c r="CH108" i="1"/>
  <c r="AT106" i="1"/>
  <c r="F104" i="1"/>
  <c r="BV101" i="1"/>
  <c r="AH99" i="1"/>
  <c r="CX96" i="1"/>
  <c r="BJ94" i="1"/>
  <c r="V92" i="1"/>
  <c r="CL89" i="1"/>
  <c r="AX87" i="1"/>
  <c r="J85" i="1"/>
  <c r="BZ82" i="1"/>
  <c r="AL80" i="1"/>
  <c r="DB77" i="1"/>
  <c r="BN75" i="1"/>
  <c r="Z73" i="1"/>
  <c r="CP70" i="1"/>
  <c r="BB68" i="1"/>
  <c r="N66" i="1"/>
  <c r="CD63" i="1"/>
  <c r="AP61" i="1"/>
  <c r="DF58" i="1"/>
  <c r="BR56" i="1"/>
  <c r="AD54" i="1"/>
  <c r="CT51" i="1"/>
  <c r="BF49" i="1"/>
  <c r="R47" i="1"/>
  <c r="CH44" i="1"/>
  <c r="AT42" i="1"/>
  <c r="F40" i="1"/>
  <c r="BV37" i="1"/>
  <c r="AH35" i="1"/>
  <c r="CX32" i="1"/>
  <c r="BJ30" i="1"/>
  <c r="V28" i="1"/>
  <c r="CL25" i="1"/>
  <c r="AX23" i="1"/>
  <c r="J21" i="1"/>
  <c r="BZ18" i="1"/>
  <c r="AL16" i="1"/>
  <c r="DB13" i="1"/>
  <c r="BN11" i="1"/>
  <c r="Z9" i="1"/>
  <c r="CP6" i="1"/>
  <c r="BB4" i="1"/>
  <c r="BE166" i="1"/>
  <c r="U161" i="1"/>
  <c r="I158" i="1"/>
  <c r="DA154" i="1"/>
  <c r="BY151" i="1"/>
  <c r="DI148" i="1"/>
  <c r="BU146" i="1"/>
  <c r="AG144" i="1"/>
  <c r="CB217" i="1"/>
  <c r="AN215" i="1"/>
  <c r="DD212" i="1"/>
  <c r="BP210" i="1"/>
  <c r="AB208" i="1"/>
  <c r="DH205" i="1"/>
  <c r="BT203" i="1"/>
  <c r="AF201" i="1"/>
  <c r="CV198" i="1"/>
  <c r="BH196" i="1"/>
  <c r="T194" i="1"/>
  <c r="CJ191" i="1"/>
  <c r="AV189" i="1"/>
  <c r="H187" i="1"/>
  <c r="BX184" i="1"/>
  <c r="AJ182" i="1"/>
  <c r="CZ179" i="1"/>
  <c r="BL177" i="1"/>
  <c r="X175" i="1"/>
  <c r="CN172" i="1"/>
  <c r="AZ170" i="1"/>
  <c r="L168" i="1"/>
  <c r="CB165" i="1"/>
  <c r="AN163" i="1"/>
  <c r="DD160" i="1"/>
  <c r="BP158" i="1"/>
  <c r="AB156" i="1"/>
  <c r="CR153" i="1"/>
  <c r="BD151" i="1"/>
  <c r="P149" i="1"/>
  <c r="CF146" i="1"/>
  <c r="AR144" i="1"/>
  <c r="CM217" i="1"/>
  <c r="AY215" i="1"/>
  <c r="K213" i="1"/>
  <c r="CA210" i="1"/>
  <c r="AM208" i="1"/>
  <c r="DC205" i="1"/>
  <c r="BO203" i="1"/>
  <c r="AA201" i="1"/>
  <c r="CQ198" i="1"/>
  <c r="BC196" i="1"/>
  <c r="O194" i="1"/>
  <c r="CE191" i="1"/>
  <c r="AQ189" i="1"/>
  <c r="DG186" i="1"/>
  <c r="BS184" i="1"/>
  <c r="AE182" i="1"/>
  <c r="CU179" i="1"/>
  <c r="BG177" i="1"/>
  <c r="S175" i="1"/>
  <c r="CI172" i="1"/>
  <c r="AU170" i="1"/>
  <c r="G168" i="1"/>
  <c r="BW165" i="1"/>
  <c r="AI163" i="1"/>
  <c r="CY160" i="1"/>
  <c r="BK158" i="1"/>
  <c r="W156" i="1"/>
  <c r="CM153" i="1"/>
  <c r="AY151" i="1"/>
  <c r="K149" i="1"/>
  <c r="CA146" i="1"/>
  <c r="AM144" i="1"/>
  <c r="BZ217" i="1"/>
  <c r="AL215" i="1"/>
  <c r="DB212" i="1"/>
  <c r="BN210" i="1"/>
  <c r="Z208" i="1"/>
  <c r="CP205" i="1"/>
  <c r="BB203" i="1"/>
  <c r="N201" i="1"/>
  <c r="CD198" i="1"/>
  <c r="AP196" i="1"/>
  <c r="DF193" i="1"/>
  <c r="BR191" i="1"/>
  <c r="AD189" i="1"/>
  <c r="CT186" i="1"/>
  <c r="BF184" i="1"/>
  <c r="R182" i="1"/>
  <c r="CH179" i="1"/>
  <c r="AT177" i="1"/>
  <c r="F175" i="1"/>
  <c r="BV172" i="1"/>
  <c r="AH170" i="1"/>
  <c r="CX167" i="1"/>
  <c r="BJ165" i="1"/>
  <c r="V163" i="1"/>
  <c r="CL160" i="1"/>
  <c r="AX158" i="1"/>
  <c r="J156" i="1"/>
  <c r="BZ153" i="1"/>
  <c r="AL151" i="1"/>
  <c r="DB148" i="1"/>
  <c r="BN146" i="1"/>
  <c r="Z144" i="1"/>
  <c r="CU141" i="1"/>
  <c r="BG139" i="1"/>
  <c r="S137" i="1"/>
  <c r="CI134" i="1"/>
  <c r="AU132" i="1"/>
  <c r="G130" i="1"/>
  <c r="BW127" i="1"/>
  <c r="AI125" i="1"/>
  <c r="CY122" i="1"/>
  <c r="BK120" i="1"/>
  <c r="W118" i="1"/>
  <c r="CM115" i="1"/>
  <c r="AY113" i="1"/>
  <c r="K111" i="1"/>
  <c r="CA108" i="1"/>
  <c r="AM106" i="1"/>
  <c r="DC103" i="1"/>
  <c r="BO101" i="1"/>
  <c r="AA99" i="1"/>
  <c r="CQ96" i="1"/>
  <c r="BC94" i="1"/>
  <c r="O92" i="1"/>
  <c r="CE89" i="1"/>
  <c r="AQ87" i="1"/>
  <c r="DG84" i="1"/>
  <c r="BS82" i="1"/>
  <c r="AE80" i="1"/>
  <c r="CU77" i="1"/>
  <c r="BG75" i="1"/>
  <c r="S73" i="1"/>
  <c r="CI70" i="1"/>
  <c r="AU68" i="1"/>
  <c r="G66" i="1"/>
  <c r="BW63" i="1"/>
  <c r="AI61" i="1"/>
  <c r="CY58" i="1"/>
  <c r="BK56" i="1"/>
  <c r="CN205" i="1"/>
  <c r="AZ203" i="1"/>
  <c r="L201" i="1"/>
  <c r="CB198" i="1"/>
  <c r="AN196" i="1"/>
  <c r="DD193" i="1"/>
  <c r="BP191" i="1"/>
  <c r="AB189" i="1"/>
  <c r="CR186" i="1"/>
  <c r="BD184" i="1"/>
  <c r="P182" i="1"/>
  <c r="CF179" i="1"/>
  <c r="AR177" i="1"/>
  <c r="DH174" i="1"/>
  <c r="BT172" i="1"/>
  <c r="AF170" i="1"/>
  <c r="CV167" i="1"/>
  <c r="BH165" i="1"/>
  <c r="T163" i="1"/>
  <c r="CJ160" i="1"/>
  <c r="AV158" i="1"/>
  <c r="H156" i="1"/>
  <c r="BX153" i="1"/>
  <c r="AJ151" i="1"/>
  <c r="CZ148" i="1"/>
  <c r="BL146" i="1"/>
  <c r="X144" i="1"/>
  <c r="BS217" i="1"/>
  <c r="AE215" i="1"/>
  <c r="CU212" i="1"/>
  <c r="BG210" i="1"/>
  <c r="S208" i="1"/>
  <c r="CI205" i="1"/>
  <c r="AU203" i="1"/>
  <c r="G201" i="1"/>
  <c r="BW198" i="1"/>
  <c r="AI196" i="1"/>
  <c r="CY193" i="1"/>
  <c r="BK191" i="1"/>
  <c r="W189" i="1"/>
  <c r="CM186" i="1"/>
  <c r="AY184" i="1"/>
  <c r="K182" i="1"/>
  <c r="CA179" i="1"/>
  <c r="AM177" i="1"/>
  <c r="DC174" i="1"/>
  <c r="BO172" i="1"/>
  <c r="AA170" i="1"/>
  <c r="CQ167" i="1"/>
  <c r="BC165" i="1"/>
  <c r="O163" i="1"/>
  <c r="CE160" i="1"/>
  <c r="AQ158" i="1"/>
  <c r="DG155" i="1"/>
  <c r="BS153" i="1"/>
  <c r="AE151" i="1"/>
  <c r="CU148" i="1"/>
  <c r="BG146" i="1"/>
  <c r="S144" i="1"/>
  <c r="BF217" i="1"/>
  <c r="R215" i="1"/>
  <c r="CH212" i="1"/>
  <c r="AT210" i="1"/>
  <c r="F208" i="1"/>
  <c r="BV205" i="1"/>
  <c r="AH203" i="1"/>
  <c r="CX200" i="1"/>
  <c r="BJ198" i="1"/>
  <c r="V196" i="1"/>
  <c r="CL193" i="1"/>
  <c r="AX191" i="1"/>
  <c r="J189" i="1"/>
  <c r="BZ186" i="1"/>
  <c r="AL184" i="1"/>
  <c r="DB181" i="1"/>
  <c r="BN179" i="1"/>
  <c r="Z177" i="1"/>
  <c r="CP174" i="1"/>
  <c r="BB172" i="1"/>
  <c r="N170" i="1"/>
  <c r="CD167" i="1"/>
  <c r="AP165" i="1"/>
  <c r="DF162" i="1"/>
  <c r="BR160" i="1"/>
  <c r="AD158" i="1"/>
  <c r="CT155" i="1"/>
  <c r="BF153" i="1"/>
  <c r="R151" i="1"/>
  <c r="CH148" i="1"/>
  <c r="AT146" i="1"/>
  <c r="F144" i="1"/>
  <c r="CA141" i="1"/>
  <c r="AM139" i="1"/>
  <c r="DC136" i="1"/>
  <c r="BO134" i="1"/>
  <c r="AA132" i="1"/>
  <c r="CQ129" i="1"/>
  <c r="BC127" i="1"/>
  <c r="O125" i="1"/>
  <c r="CE122" i="1"/>
  <c r="AQ120" i="1"/>
  <c r="DG117" i="1"/>
  <c r="BS115" i="1"/>
  <c r="AE113" i="1"/>
  <c r="CU110" i="1"/>
  <c r="BG108" i="1"/>
  <c r="S106" i="1"/>
  <c r="CI103" i="1"/>
  <c r="AU101" i="1"/>
  <c r="G99" i="1"/>
  <c r="BW96" i="1"/>
  <c r="AI94" i="1"/>
  <c r="CY91" i="1"/>
  <c r="BK89" i="1"/>
  <c r="AR206" i="1"/>
  <c r="DH203" i="1"/>
  <c r="BT201" i="1"/>
  <c r="AF199" i="1"/>
  <c r="CV196" i="1"/>
  <c r="BH194" i="1"/>
  <c r="T192" i="1"/>
  <c r="CJ189" i="1"/>
  <c r="AV187" i="1"/>
  <c r="H185" i="1"/>
  <c r="BX182" i="1"/>
  <c r="AJ180" i="1"/>
  <c r="CZ177" i="1"/>
  <c r="BL175" i="1"/>
  <c r="X173" i="1"/>
  <c r="CN170" i="1"/>
  <c r="AZ168" i="1"/>
  <c r="L166" i="1"/>
  <c r="CB163" i="1"/>
  <c r="AN161" i="1"/>
  <c r="DD158" i="1"/>
  <c r="BP156" i="1"/>
  <c r="AB154" i="1"/>
  <c r="CR151" i="1"/>
  <c r="BD149" i="1"/>
  <c r="P147" i="1"/>
  <c r="CF144" i="1"/>
  <c r="W218" i="1"/>
  <c r="BD206" i="1"/>
  <c r="P204" i="1"/>
  <c r="CF201" i="1"/>
  <c r="AR199" i="1"/>
  <c r="DH196" i="1"/>
  <c r="BT194" i="1"/>
  <c r="AF192" i="1"/>
  <c r="CV189" i="1"/>
  <c r="BH187" i="1"/>
  <c r="T185" i="1"/>
  <c r="CJ182" i="1"/>
  <c r="AV180" i="1"/>
  <c r="H178" i="1"/>
  <c r="BX175" i="1"/>
  <c r="AJ173" i="1"/>
  <c r="CZ170" i="1"/>
  <c r="BL168" i="1"/>
  <c r="X166" i="1"/>
  <c r="CN163" i="1"/>
  <c r="AZ161" i="1"/>
  <c r="L159" i="1"/>
  <c r="CB156" i="1"/>
  <c r="AN154" i="1"/>
  <c r="DD151" i="1"/>
  <c r="BP149" i="1"/>
  <c r="AB147" i="1"/>
  <c r="CR144" i="1"/>
  <c r="AI218" i="1"/>
  <c r="CY215" i="1"/>
  <c r="BK213" i="1"/>
  <c r="W211" i="1"/>
  <c r="CM208" i="1"/>
  <c r="AY206" i="1"/>
  <c r="K204" i="1"/>
  <c r="CA201" i="1"/>
  <c r="AM199" i="1"/>
  <c r="DC196" i="1"/>
  <c r="BO194" i="1"/>
  <c r="AA192" i="1"/>
  <c r="CQ189" i="1"/>
  <c r="BC187" i="1"/>
  <c r="O185" i="1"/>
  <c r="CE182" i="1"/>
  <c r="AQ180" i="1"/>
  <c r="DG177" i="1"/>
  <c r="BS175" i="1"/>
  <c r="AE173" i="1"/>
  <c r="CU170" i="1"/>
  <c r="BG168" i="1"/>
  <c r="S166" i="1"/>
  <c r="CI163" i="1"/>
  <c r="AU161" i="1"/>
  <c r="G159" i="1"/>
  <c r="BW156" i="1"/>
  <c r="AI154" i="1"/>
  <c r="CY151" i="1"/>
  <c r="BK149" i="1"/>
  <c r="W147" i="1"/>
  <c r="CM144" i="1"/>
  <c r="V218" i="1"/>
  <c r="CL215" i="1"/>
  <c r="AX213" i="1"/>
  <c r="J211" i="1"/>
  <c r="BZ208" i="1"/>
  <c r="AL206" i="1"/>
  <c r="DB203" i="1"/>
  <c r="BN201" i="1"/>
  <c r="Z199" i="1"/>
  <c r="CP196" i="1"/>
  <c r="BB194" i="1"/>
  <c r="N192" i="1"/>
  <c r="CD189" i="1"/>
  <c r="AP187" i="1"/>
  <c r="DF184" i="1"/>
  <c r="BR182" i="1"/>
  <c r="AD180" i="1"/>
  <c r="CT177" i="1"/>
  <c r="BF175" i="1"/>
  <c r="R173" i="1"/>
  <c r="CH170" i="1"/>
  <c r="AT168" i="1"/>
  <c r="F166" i="1"/>
  <c r="BV163" i="1"/>
  <c r="AH161" i="1"/>
  <c r="CX158" i="1"/>
  <c r="BJ156" i="1"/>
  <c r="V154" i="1"/>
  <c r="CL151" i="1"/>
  <c r="AX149" i="1"/>
  <c r="J147" i="1"/>
  <c r="BZ144" i="1"/>
  <c r="AQ142" i="1"/>
  <c r="DG139" i="1"/>
  <c r="BS137" i="1"/>
  <c r="AE135" i="1"/>
  <c r="CU132" i="1"/>
  <c r="BG130" i="1"/>
  <c r="S128" i="1"/>
  <c r="CI125" i="1"/>
  <c r="AU123" i="1"/>
  <c r="G121" i="1"/>
  <c r="BW118" i="1"/>
  <c r="AI116" i="1"/>
  <c r="CY113" i="1"/>
  <c r="BK111" i="1"/>
  <c r="W109" i="1"/>
  <c r="CM106" i="1"/>
  <c r="AY104" i="1"/>
  <c r="K102" i="1"/>
  <c r="CA99" i="1"/>
  <c r="AM97" i="1"/>
  <c r="DC94" i="1"/>
  <c r="BO92" i="1"/>
  <c r="AA90" i="1"/>
  <c r="CQ87" i="1"/>
  <c r="BC85" i="1"/>
  <c r="BO209" i="1"/>
  <c r="O200" i="1"/>
  <c r="BS190" i="1"/>
  <c r="S181" i="1"/>
  <c r="BW171" i="1"/>
  <c r="W162" i="1"/>
  <c r="CA152" i="1"/>
  <c r="DB218" i="1"/>
  <c r="BB209" i="1"/>
  <c r="DF199" i="1"/>
  <c r="BF190" i="1"/>
  <c r="F181" i="1"/>
  <c r="BJ171" i="1"/>
  <c r="J162" i="1"/>
  <c r="BN152" i="1"/>
  <c r="S143" i="1"/>
  <c r="BW133" i="1"/>
  <c r="W124" i="1"/>
  <c r="CA114" i="1"/>
  <c r="AA105" i="1"/>
  <c r="CE95" i="1"/>
  <c r="DG86" i="1"/>
  <c r="O83" i="1"/>
  <c r="CY79" i="1"/>
  <c r="CI76" i="1"/>
  <c r="BS73" i="1"/>
  <c r="AY70" i="1"/>
  <c r="AI67" i="1"/>
  <c r="S64" i="1"/>
  <c r="DC60" i="1"/>
  <c r="CM57" i="1"/>
  <c r="CM54" i="1"/>
  <c r="AY52" i="1"/>
  <c r="K50" i="1"/>
  <c r="CA47" i="1"/>
  <c r="AM45" i="1"/>
  <c r="DC42" i="1"/>
  <c r="BO40" i="1"/>
  <c r="AA38" i="1"/>
  <c r="CQ35" i="1"/>
  <c r="BC33" i="1"/>
  <c r="O31" i="1"/>
  <c r="CE28" i="1"/>
  <c r="AQ26" i="1"/>
  <c r="DG23" i="1"/>
  <c r="BS21" i="1"/>
  <c r="AE19" i="1"/>
  <c r="CU16" i="1"/>
  <c r="BG14" i="1"/>
  <c r="S12" i="1"/>
  <c r="CI9" i="1"/>
  <c r="AU7" i="1"/>
  <c r="G5" i="1"/>
  <c r="BN143" i="1"/>
  <c r="Z141" i="1"/>
  <c r="CP138" i="1"/>
  <c r="BB136" i="1"/>
  <c r="N134" i="1"/>
  <c r="CD131" i="1"/>
  <c r="AP129" i="1"/>
  <c r="DF126" i="1"/>
  <c r="BR124" i="1"/>
  <c r="AD122" i="1"/>
  <c r="CT119" i="1"/>
  <c r="BF117" i="1"/>
  <c r="R115" i="1"/>
  <c r="CH112" i="1"/>
  <c r="AT110" i="1"/>
  <c r="F108" i="1"/>
  <c r="BV105" i="1"/>
  <c r="AH103" i="1"/>
  <c r="CX100" i="1"/>
  <c r="BJ98" i="1"/>
  <c r="V96" i="1"/>
  <c r="CL93" i="1"/>
  <c r="AX91" i="1"/>
  <c r="J89" i="1"/>
  <c r="BZ86" i="1"/>
  <c r="AL84" i="1"/>
  <c r="DB81" i="1"/>
  <c r="BN79" i="1"/>
  <c r="Z77" i="1"/>
  <c r="CP74" i="1"/>
  <c r="BB72" i="1"/>
  <c r="N70" i="1"/>
  <c r="CD67" i="1"/>
  <c r="AP65" i="1"/>
  <c r="DF62" i="1"/>
  <c r="BR60" i="1"/>
  <c r="AD58" i="1"/>
  <c r="CT55" i="1"/>
  <c r="BF53" i="1"/>
  <c r="R51" i="1"/>
  <c r="CH48" i="1"/>
  <c r="AT46" i="1"/>
  <c r="F44" i="1"/>
  <c r="BV41" i="1"/>
  <c r="AH39" i="1"/>
  <c r="CX36" i="1"/>
  <c r="BJ34" i="1"/>
  <c r="V32" i="1"/>
  <c r="CL29" i="1"/>
  <c r="AX27" i="1"/>
  <c r="J25" i="1"/>
  <c r="BZ22" i="1"/>
  <c r="AL20" i="1"/>
  <c r="DB17" i="1"/>
  <c r="BN15" i="1"/>
  <c r="Z13" i="1"/>
  <c r="CP10" i="1"/>
  <c r="BB8" i="1"/>
  <c r="N6" i="1"/>
  <c r="CD3" i="1"/>
  <c r="BI163" i="1"/>
  <c r="AG160" i="1"/>
  <c r="DI156" i="1"/>
  <c r="CW153" i="1"/>
  <c r="CK150" i="1"/>
  <c r="AG148" i="1"/>
  <c r="CW145" i="1"/>
  <c r="AN219" i="1"/>
  <c r="DD216" i="1"/>
  <c r="BP214" i="1"/>
  <c r="AB212" i="1"/>
  <c r="CR209" i="1"/>
  <c r="BD207" i="1"/>
  <c r="AF205" i="1"/>
  <c r="CV202" i="1"/>
  <c r="BH200" i="1"/>
  <c r="T198" i="1"/>
  <c r="CJ195" i="1"/>
  <c r="AV193" i="1"/>
  <c r="H191" i="1"/>
  <c r="BX188" i="1"/>
  <c r="AJ186" i="1"/>
  <c r="CZ183" i="1"/>
  <c r="BL181" i="1"/>
  <c r="X179" i="1"/>
  <c r="CN176" i="1"/>
  <c r="AZ174" i="1"/>
  <c r="L172" i="1"/>
  <c r="CB169" i="1"/>
  <c r="AN167" i="1"/>
  <c r="DD164" i="1"/>
  <c r="BP162" i="1"/>
  <c r="AB160" i="1"/>
  <c r="CR157" i="1"/>
  <c r="BD155" i="1"/>
  <c r="P153" i="1"/>
  <c r="CF150" i="1"/>
  <c r="AR148" i="1"/>
  <c r="DH145" i="1"/>
  <c r="AY219" i="1"/>
  <c r="K217" i="1"/>
  <c r="CA214" i="1"/>
  <c r="AM212" i="1"/>
  <c r="DC209" i="1"/>
  <c r="BO207" i="1"/>
  <c r="AA205" i="1"/>
  <c r="CQ202" i="1"/>
  <c r="BC200" i="1"/>
  <c r="O198" i="1"/>
  <c r="CE195" i="1"/>
  <c r="AQ193" i="1"/>
  <c r="DG190" i="1"/>
  <c r="BS188" i="1"/>
  <c r="AE186" i="1"/>
  <c r="CU183" i="1"/>
  <c r="BG181" i="1"/>
  <c r="S179" i="1"/>
  <c r="CI176" i="1"/>
  <c r="AU174" i="1"/>
  <c r="G172" i="1"/>
  <c r="BW169" i="1"/>
  <c r="AI167" i="1"/>
  <c r="CY164" i="1"/>
  <c r="BK162" i="1"/>
  <c r="W160" i="1"/>
  <c r="CM157" i="1"/>
  <c r="AY155" i="1"/>
  <c r="K153" i="1"/>
  <c r="CA150" i="1"/>
  <c r="AM148" i="1"/>
  <c r="DC145" i="1"/>
  <c r="AL219" i="1"/>
  <c r="DB216" i="1"/>
  <c r="BN214" i="1"/>
  <c r="Z212" i="1"/>
  <c r="CP209" i="1"/>
  <c r="BB207" i="1"/>
  <c r="N205" i="1"/>
  <c r="CD202" i="1"/>
  <c r="AP200" i="1"/>
  <c r="DF197" i="1"/>
  <c r="BR195" i="1"/>
  <c r="AD193" i="1"/>
  <c r="CT190" i="1"/>
  <c r="BF188" i="1"/>
  <c r="R186" i="1"/>
  <c r="CH183" i="1"/>
  <c r="AT181" i="1"/>
  <c r="F179" i="1"/>
  <c r="BV176" i="1"/>
  <c r="AH174" i="1"/>
  <c r="CX171" i="1"/>
  <c r="BJ169" i="1"/>
  <c r="V167" i="1"/>
  <c r="CL164" i="1"/>
  <c r="AX162" i="1"/>
  <c r="J160" i="1"/>
  <c r="BZ157" i="1"/>
  <c r="AL155" i="1"/>
  <c r="DB152" i="1"/>
  <c r="BN150" i="1"/>
  <c r="Z148" i="1"/>
  <c r="CP145" i="1"/>
  <c r="BG143" i="1"/>
  <c r="S141" i="1"/>
  <c r="CI138" i="1"/>
  <c r="AU136" i="1"/>
  <c r="G134" i="1"/>
  <c r="BW131" i="1"/>
  <c r="AI129" i="1"/>
  <c r="CY126" i="1"/>
  <c r="BK124" i="1"/>
  <c r="W122" i="1"/>
  <c r="CM119" i="1"/>
  <c r="AY117" i="1"/>
  <c r="K115" i="1"/>
  <c r="CA112" i="1"/>
  <c r="AM110" i="1"/>
  <c r="DC107" i="1"/>
  <c r="BO105" i="1"/>
  <c r="AA103" i="1"/>
  <c r="CQ100" i="1"/>
  <c r="BC98" i="1"/>
  <c r="O96" i="1"/>
  <c r="CE93" i="1"/>
  <c r="AQ91" i="1"/>
  <c r="DG88" i="1"/>
  <c r="BS86" i="1"/>
  <c r="AE84" i="1"/>
  <c r="CU81" i="1"/>
  <c r="BG79" i="1"/>
  <c r="S77" i="1"/>
  <c r="CI74" i="1"/>
  <c r="AU72" i="1"/>
  <c r="G70" i="1"/>
  <c r="BW67" i="1"/>
  <c r="AI65" i="1"/>
  <c r="CY62" i="1"/>
  <c r="BK60" i="1"/>
  <c r="W58" i="1"/>
  <c r="CM55" i="1"/>
  <c r="L205" i="1"/>
  <c r="CB202" i="1"/>
  <c r="AN200" i="1"/>
  <c r="DD197" i="1"/>
  <c r="BP195" i="1"/>
  <c r="AB193" i="1"/>
  <c r="CR190" i="1"/>
  <c r="BD188" i="1"/>
  <c r="P186" i="1"/>
  <c r="CF183" i="1"/>
  <c r="AR181" i="1"/>
  <c r="DH178" i="1"/>
  <c r="BT176" i="1"/>
  <c r="AF174" i="1"/>
  <c r="CV171" i="1"/>
  <c r="BH169" i="1"/>
  <c r="T167" i="1"/>
  <c r="CJ164" i="1"/>
  <c r="AV162" i="1"/>
  <c r="H160" i="1"/>
  <c r="BX157" i="1"/>
  <c r="AJ155" i="1"/>
  <c r="CZ152" i="1"/>
  <c r="BL150" i="1"/>
  <c r="X148" i="1"/>
  <c r="CN145" i="1"/>
  <c r="AE219" i="1"/>
  <c r="CU216" i="1"/>
  <c r="BG214" i="1"/>
  <c r="S212" i="1"/>
  <c r="CI209" i="1"/>
  <c r="AU207" i="1"/>
  <c r="G205" i="1"/>
  <c r="BW202" i="1"/>
  <c r="AI200" i="1"/>
  <c r="CY197" i="1"/>
  <c r="BK195" i="1"/>
  <c r="W193" i="1"/>
  <c r="CM190" i="1"/>
  <c r="AY188" i="1"/>
  <c r="K186" i="1"/>
  <c r="CA183" i="1"/>
  <c r="AM181" i="1"/>
  <c r="DC178" i="1"/>
  <c r="BO176" i="1"/>
  <c r="AA174" i="1"/>
  <c r="CQ171" i="1"/>
  <c r="BC169" i="1"/>
  <c r="O167" i="1"/>
  <c r="CE164" i="1"/>
  <c r="AQ162" i="1"/>
  <c r="DG159" i="1"/>
  <c r="BS157" i="1"/>
  <c r="AE155" i="1"/>
  <c r="CU152" i="1"/>
  <c r="BG150" i="1"/>
  <c r="S148" i="1"/>
  <c r="CI145" i="1"/>
  <c r="R219" i="1"/>
  <c r="CH216" i="1"/>
  <c r="AT214" i="1"/>
  <c r="F212" i="1"/>
  <c r="BV209" i="1"/>
  <c r="AH207" i="1"/>
  <c r="CX204" i="1"/>
  <c r="BJ202" i="1"/>
  <c r="V200" i="1"/>
  <c r="CL197" i="1"/>
  <c r="AX195" i="1"/>
  <c r="J193" i="1"/>
  <c r="BZ190" i="1"/>
  <c r="AL188" i="1"/>
  <c r="DB185" i="1"/>
  <c r="BN183" i="1"/>
  <c r="Z181" i="1"/>
  <c r="CP178" i="1"/>
  <c r="BB176" i="1"/>
  <c r="N174" i="1"/>
  <c r="CD171" i="1"/>
  <c r="AP169" i="1"/>
  <c r="DF166" i="1"/>
  <c r="BR164" i="1"/>
  <c r="AD162" i="1"/>
  <c r="CT159" i="1"/>
  <c r="BF157" i="1"/>
  <c r="R155" i="1"/>
  <c r="CH152" i="1"/>
  <c r="AT150" i="1"/>
  <c r="F148" i="1"/>
  <c r="BV145" i="1"/>
  <c r="AM143" i="1"/>
  <c r="DC140" i="1"/>
  <c r="BO138" i="1"/>
  <c r="AA136" i="1"/>
  <c r="CQ133" i="1"/>
  <c r="BC131" i="1"/>
  <c r="O129" i="1"/>
  <c r="CE126" i="1"/>
  <c r="AQ124" i="1"/>
  <c r="DG121" i="1"/>
  <c r="BS119" i="1"/>
  <c r="AE117" i="1"/>
  <c r="CU114" i="1"/>
  <c r="BG112" i="1"/>
  <c r="S110" i="1"/>
  <c r="CI107" i="1"/>
  <c r="AU105" i="1"/>
  <c r="G103" i="1"/>
  <c r="BW100" i="1"/>
  <c r="AI98" i="1"/>
  <c r="CY95" i="1"/>
  <c r="BK93" i="1"/>
  <c r="W91" i="1"/>
  <c r="CM88" i="1"/>
  <c r="BT205" i="1"/>
  <c r="AF203" i="1"/>
  <c r="CV200" i="1"/>
  <c r="BH198" i="1"/>
  <c r="T196" i="1"/>
  <c r="CJ193" i="1"/>
  <c r="AV191" i="1"/>
  <c r="H189" i="1"/>
  <c r="BX186" i="1"/>
  <c r="AJ184" i="1"/>
  <c r="CZ181" i="1"/>
  <c r="BL179" i="1"/>
  <c r="X177" i="1"/>
  <c r="CN174" i="1"/>
  <c r="AZ172" i="1"/>
  <c r="L170" i="1"/>
  <c r="CB167" i="1"/>
  <c r="AN165" i="1"/>
  <c r="DD162" i="1"/>
  <c r="BP160" i="1"/>
  <c r="AB158" i="1"/>
  <c r="CR155" i="1"/>
  <c r="BD153" i="1"/>
  <c r="P151" i="1"/>
  <c r="CF148" i="1"/>
  <c r="AR146" i="1"/>
  <c r="CT219" i="1"/>
  <c r="AY217" i="1"/>
  <c r="CF205" i="1"/>
  <c r="AR203" i="1"/>
  <c r="DH200" i="1"/>
  <c r="BT198" i="1"/>
  <c r="AF196" i="1"/>
  <c r="CV193" i="1"/>
  <c r="BH191" i="1"/>
  <c r="T189" i="1"/>
  <c r="CJ186" i="1"/>
  <c r="AV184" i="1"/>
  <c r="H182" i="1"/>
  <c r="BX179" i="1"/>
  <c r="AJ177" i="1"/>
  <c r="CZ174" i="1"/>
  <c r="BL172" i="1"/>
  <c r="X170" i="1"/>
  <c r="CN167" i="1"/>
  <c r="AZ165" i="1"/>
  <c r="L163" i="1"/>
  <c r="CB160" i="1"/>
  <c r="AN158" i="1"/>
  <c r="DD155" i="1"/>
  <c r="BP153" i="1"/>
  <c r="AB151" i="1"/>
  <c r="CR148" i="1"/>
  <c r="BD146" i="1"/>
  <c r="P144" i="1"/>
  <c r="BK217" i="1"/>
  <c r="W215" i="1"/>
  <c r="CM212" i="1"/>
  <c r="AY210" i="1"/>
  <c r="K208" i="1"/>
  <c r="CA205" i="1"/>
  <c r="AM203" i="1"/>
  <c r="DC200" i="1"/>
  <c r="BO198" i="1"/>
  <c r="AA196" i="1"/>
  <c r="CQ193" i="1"/>
  <c r="BC191" i="1"/>
  <c r="O189" i="1"/>
  <c r="CE186" i="1"/>
  <c r="AQ184" i="1"/>
  <c r="DG181" i="1"/>
  <c r="BS179" i="1"/>
  <c r="AE177" i="1"/>
  <c r="CU174" i="1"/>
  <c r="BG172" i="1"/>
  <c r="S170" i="1"/>
  <c r="CI167" i="1"/>
  <c r="AU165" i="1"/>
  <c r="G163" i="1"/>
  <c r="BW160" i="1"/>
  <c r="AI158" i="1"/>
  <c r="CY155" i="1"/>
  <c r="BK153" i="1"/>
  <c r="W151" i="1"/>
  <c r="CM148" i="1"/>
  <c r="AY146" i="1"/>
  <c r="CR219" i="1"/>
  <c r="AX217" i="1"/>
  <c r="J215" i="1"/>
  <c r="BZ212" i="1"/>
  <c r="AL210" i="1"/>
  <c r="DB207" i="1"/>
  <c r="BN205" i="1"/>
  <c r="Z203" i="1"/>
  <c r="CP200" i="1"/>
  <c r="BB198" i="1"/>
  <c r="N196" i="1"/>
  <c r="CD193" i="1"/>
  <c r="AP191" i="1"/>
  <c r="DF188" i="1"/>
  <c r="BR186" i="1"/>
  <c r="AD184" i="1"/>
  <c r="CT181" i="1"/>
  <c r="BF179" i="1"/>
  <c r="R177" i="1"/>
  <c r="CH174" i="1"/>
  <c r="AT172" i="1"/>
  <c r="F170" i="1"/>
  <c r="BV167" i="1"/>
  <c r="AH165" i="1"/>
  <c r="CX162" i="1"/>
  <c r="BJ160" i="1"/>
  <c r="V158" i="1"/>
  <c r="CL155" i="1"/>
  <c r="AX153" i="1"/>
  <c r="J151" i="1"/>
  <c r="BZ148" i="1"/>
  <c r="AL146" i="1"/>
  <c r="DG143" i="1"/>
  <c r="BS141" i="1"/>
  <c r="AE139" i="1"/>
  <c r="CU136" i="1"/>
  <c r="BG134" i="1"/>
  <c r="S132" i="1"/>
  <c r="CI129" i="1"/>
  <c r="AU127" i="1"/>
  <c r="G125" i="1"/>
  <c r="BW122" i="1"/>
  <c r="AI120" i="1"/>
  <c r="CY117" i="1"/>
  <c r="BK115" i="1"/>
  <c r="W113" i="1"/>
  <c r="CM110" i="1"/>
  <c r="AY108" i="1"/>
  <c r="K106" i="1"/>
  <c r="CA103" i="1"/>
  <c r="AM101" i="1"/>
  <c r="DC98" i="1"/>
  <c r="BO96" i="1"/>
  <c r="AA94" i="1"/>
  <c r="CQ91" i="1"/>
  <c r="BC89" i="1"/>
  <c r="O87" i="1"/>
  <c r="O216" i="1"/>
  <c r="BS206" i="1"/>
  <c r="S197" i="1"/>
  <c r="BW187" i="1"/>
  <c r="W178" i="1"/>
  <c r="CA168" i="1"/>
  <c r="AA159" i="1"/>
  <c r="CE149" i="1"/>
  <c r="DF215" i="1"/>
  <c r="BF206" i="1"/>
  <c r="F197" i="1"/>
  <c r="BJ187" i="1"/>
  <c r="J178" i="1"/>
  <c r="BN168" i="1"/>
  <c r="N159" i="1"/>
  <c r="BR149" i="1"/>
  <c r="W140" i="1"/>
  <c r="CA130" i="1"/>
  <c r="AA121" i="1"/>
  <c r="CE111" i="1"/>
  <c r="AE102" i="1"/>
  <c r="CI92" i="1"/>
  <c r="BG85" i="1"/>
  <c r="O82" i="1"/>
  <c r="DC78" i="1"/>
  <c r="CI75" i="1"/>
  <c r="BS72" i="1"/>
  <c r="BC69" i="1"/>
  <c r="AI66" i="1"/>
  <c r="S63" i="1"/>
  <c r="DG59" i="1"/>
  <c r="CM56" i="1"/>
  <c r="K54" i="1"/>
  <c r="CA51" i="1"/>
  <c r="AM49" i="1"/>
  <c r="DC46" i="1"/>
  <c r="BO44" i="1"/>
  <c r="AA42" i="1"/>
  <c r="CQ39" i="1"/>
  <c r="BC37" i="1"/>
  <c r="O35" i="1"/>
  <c r="CE32" i="1"/>
  <c r="AQ30" i="1"/>
  <c r="DG27" i="1"/>
  <c r="BS25" i="1"/>
  <c r="AE23" i="1"/>
  <c r="CU20" i="1"/>
  <c r="BG18" i="1"/>
  <c r="S16" i="1"/>
  <c r="CI13" i="1"/>
  <c r="AU11" i="1"/>
  <c r="G9" i="1"/>
  <c r="BW6" i="1"/>
  <c r="AI4" i="1"/>
  <c r="CP142" i="1"/>
  <c r="BB140" i="1"/>
  <c r="N138" i="1"/>
  <c r="CD135" i="1"/>
  <c r="AP133" i="1"/>
  <c r="DF130" i="1"/>
  <c r="BR128" i="1"/>
  <c r="AD126" i="1"/>
  <c r="CT123" i="1"/>
  <c r="BF121" i="1"/>
  <c r="R119" i="1"/>
  <c r="CH116" i="1"/>
  <c r="AT114" i="1"/>
  <c r="F112" i="1"/>
  <c r="BV109" i="1"/>
  <c r="AH107" i="1"/>
  <c r="CX104" i="1"/>
  <c r="BJ102" i="1"/>
  <c r="V100" i="1"/>
  <c r="CL97" i="1"/>
  <c r="AX95" i="1"/>
  <c r="J93" i="1"/>
  <c r="BZ90" i="1"/>
  <c r="AL88" i="1"/>
  <c r="DB85" i="1"/>
  <c r="BN83" i="1"/>
  <c r="Z81" i="1"/>
  <c r="CP78" i="1"/>
  <c r="BB76" i="1"/>
  <c r="N74" i="1"/>
  <c r="CD71" i="1"/>
  <c r="AP69" i="1"/>
  <c r="DF66" i="1"/>
  <c r="BR64" i="1"/>
  <c r="AD62" i="1"/>
  <c r="CT59" i="1"/>
  <c r="BF57" i="1"/>
  <c r="R55" i="1"/>
  <c r="CH52" i="1"/>
  <c r="AT50" i="1"/>
  <c r="F48" i="1"/>
  <c r="BV45" i="1"/>
  <c r="AH43" i="1"/>
  <c r="CX40" i="1"/>
  <c r="BJ38" i="1"/>
  <c r="V36" i="1"/>
  <c r="CL33" i="1"/>
  <c r="AX31" i="1"/>
  <c r="J29" i="1"/>
  <c r="BZ26" i="1"/>
  <c r="AL24" i="1"/>
  <c r="DB21" i="1"/>
  <c r="BN19" i="1"/>
  <c r="Z17" i="1"/>
  <c r="CP14" i="1"/>
  <c r="BB12" i="1"/>
  <c r="N10" i="1"/>
  <c r="CD7" i="1"/>
  <c r="AP5" i="1"/>
  <c r="AX3" i="1"/>
  <c r="Q142" i="1"/>
  <c r="CG139" i="1"/>
  <c r="AS137" i="1"/>
  <c r="DI134" i="1"/>
  <c r="BU132" i="1"/>
  <c r="AG130" i="1"/>
  <c r="CW127" i="1"/>
  <c r="BI125" i="1"/>
  <c r="U123" i="1"/>
  <c r="CK120" i="1"/>
  <c r="AW118" i="1"/>
  <c r="I116" i="1"/>
  <c r="BY113" i="1"/>
  <c r="AK111" i="1"/>
  <c r="DA108" i="1"/>
  <c r="BM106" i="1"/>
  <c r="Y104" i="1"/>
  <c r="CO101" i="1"/>
  <c r="BA99" i="1"/>
  <c r="M97" i="1"/>
  <c r="CC94" i="1"/>
  <c r="AO92" i="1"/>
  <c r="DE89" i="1"/>
  <c r="BQ87" i="1"/>
  <c r="AC85" i="1"/>
  <c r="CS82" i="1"/>
  <c r="BE80" i="1"/>
  <c r="Q78" i="1"/>
  <c r="CG75" i="1"/>
  <c r="AS73" i="1"/>
  <c r="DI70" i="1"/>
  <c r="BU68" i="1"/>
  <c r="AG66" i="1"/>
  <c r="CW63" i="1"/>
  <c r="BI61" i="1"/>
  <c r="U59" i="1"/>
  <c r="CK56" i="1"/>
  <c r="AW54" i="1"/>
  <c r="I52" i="1"/>
  <c r="BY49" i="1"/>
  <c r="AK47" i="1"/>
  <c r="DA44" i="1"/>
  <c r="BM42" i="1"/>
  <c r="Y40" i="1"/>
  <c r="CO37" i="1"/>
  <c r="BA35" i="1"/>
  <c r="M33" i="1"/>
  <c r="CC30" i="1"/>
  <c r="AO28" i="1"/>
  <c r="DE25" i="1"/>
  <c r="BQ23" i="1"/>
  <c r="AC21" i="1"/>
  <c r="CS18" i="1"/>
  <c r="BE16" i="1"/>
  <c r="Q14" i="1"/>
  <c r="CG11" i="1"/>
  <c r="AS9" i="1"/>
  <c r="DI6" i="1"/>
  <c r="BU4" i="1"/>
  <c r="AJ143" i="1"/>
  <c r="CZ140" i="1"/>
  <c r="BL138" i="1"/>
  <c r="X136" i="1"/>
  <c r="CN133" i="1"/>
  <c r="AZ131" i="1"/>
  <c r="L129" i="1"/>
  <c r="CB126" i="1"/>
  <c r="AN124" i="1"/>
  <c r="DD121" i="1"/>
  <c r="BP119" i="1"/>
  <c r="AB117" i="1"/>
  <c r="CR114" i="1"/>
  <c r="BD112" i="1"/>
  <c r="P110" i="1"/>
  <c r="AU212" i="1"/>
  <c r="CY202" i="1"/>
  <c r="AY193" i="1"/>
  <c r="DC183" i="1"/>
  <c r="BC174" i="1"/>
  <c r="DG164" i="1"/>
  <c r="BG155" i="1"/>
  <c r="G146" i="1"/>
  <c r="AH212" i="1"/>
  <c r="CL202" i="1"/>
  <c r="AL193" i="1"/>
  <c r="CP183" i="1"/>
  <c r="AP174" i="1"/>
  <c r="CT164" i="1"/>
  <c r="AT155" i="1"/>
  <c r="CX145" i="1"/>
  <c r="BC136" i="1"/>
  <c r="DG126" i="1"/>
  <c r="BG117" i="1"/>
  <c r="G108" i="1"/>
  <c r="BK98" i="1"/>
  <c r="K89" i="1"/>
  <c r="G84" i="1"/>
  <c r="CU80" i="1"/>
  <c r="CA77" i="1"/>
  <c r="BK74" i="1"/>
  <c r="AU71" i="1"/>
  <c r="AA68" i="1"/>
  <c r="K65" i="1"/>
  <c r="CY61" i="1"/>
  <c r="CE58" i="1"/>
  <c r="BO55" i="1"/>
  <c r="S53" i="1"/>
  <c r="CI50" i="1"/>
  <c r="AU48" i="1"/>
  <c r="G46" i="1"/>
  <c r="BW43" i="1"/>
  <c r="AI41" i="1"/>
  <c r="CY38" i="1"/>
  <c r="BK36" i="1"/>
  <c r="W34" i="1"/>
  <c r="CM31" i="1"/>
  <c r="AY29" i="1"/>
  <c r="K27" i="1"/>
  <c r="CA24" i="1"/>
  <c r="AM22" i="1"/>
  <c r="DC19" i="1"/>
  <c r="BO17" i="1"/>
  <c r="AA15" i="1"/>
  <c r="CQ12" i="1"/>
  <c r="BC10" i="1"/>
  <c r="O8" i="1"/>
  <c r="CE5" i="1"/>
  <c r="AQ3" i="1"/>
  <c r="CX141" i="1"/>
  <c r="BJ139" i="1"/>
  <c r="V137" i="1"/>
  <c r="CL134" i="1"/>
  <c r="AX132" i="1"/>
  <c r="J130" i="1"/>
  <c r="BZ127" i="1"/>
  <c r="AL125" i="1"/>
  <c r="DB122" i="1"/>
  <c r="BN120" i="1"/>
  <c r="Z118" i="1"/>
  <c r="CP115" i="1"/>
  <c r="BB113" i="1"/>
  <c r="N111" i="1"/>
  <c r="CD108" i="1"/>
  <c r="AP106" i="1"/>
  <c r="DF103" i="1"/>
  <c r="BR101" i="1"/>
  <c r="AD99" i="1"/>
  <c r="CT96" i="1"/>
  <c r="BF94" i="1"/>
  <c r="R92" i="1"/>
  <c r="CH89" i="1"/>
  <c r="AT87" i="1"/>
  <c r="F85" i="1"/>
  <c r="BV82" i="1"/>
  <c r="AH80" i="1"/>
  <c r="CX77" i="1"/>
  <c r="BJ75" i="1"/>
  <c r="V73" i="1"/>
  <c r="CL70" i="1"/>
  <c r="AX68" i="1"/>
  <c r="J66" i="1"/>
  <c r="BZ63" i="1"/>
  <c r="AL61" i="1"/>
  <c r="DB58" i="1"/>
  <c r="BN56" i="1"/>
  <c r="Z54" i="1"/>
  <c r="CP51" i="1"/>
  <c r="BB49" i="1"/>
  <c r="N47" i="1"/>
  <c r="CD44" i="1"/>
  <c r="AP42" i="1"/>
  <c r="DF39" i="1"/>
  <c r="BR37" i="1"/>
  <c r="AD35" i="1"/>
  <c r="CT32" i="1"/>
  <c r="BF30" i="1"/>
  <c r="R28" i="1"/>
  <c r="CH25" i="1"/>
  <c r="AT23" i="1"/>
  <c r="F21" i="1"/>
  <c r="BV18" i="1"/>
  <c r="AH16" i="1"/>
  <c r="CX13" i="1"/>
  <c r="BJ11" i="1"/>
  <c r="V9" i="1"/>
  <c r="CL6" i="1"/>
  <c r="AX4" i="1"/>
  <c r="Q143" i="1"/>
  <c r="CG140" i="1"/>
  <c r="AS138" i="1"/>
  <c r="DI135" i="1"/>
  <c r="BU133" i="1"/>
  <c r="AG131" i="1"/>
  <c r="CW128" i="1"/>
  <c r="BI126" i="1"/>
  <c r="U124" i="1"/>
  <c r="CK121" i="1"/>
  <c r="AW119" i="1"/>
  <c r="I117" i="1"/>
  <c r="BY114" i="1"/>
  <c r="AK112" i="1"/>
  <c r="DA109" i="1"/>
  <c r="BW211" i="1"/>
  <c r="W202" i="1"/>
  <c r="CA192" i="1"/>
  <c r="AA183" i="1"/>
  <c r="CE173" i="1"/>
  <c r="AE164" i="1"/>
  <c r="CI154" i="1"/>
  <c r="AI145" i="1"/>
  <c r="BJ211" i="1"/>
  <c r="J202" i="1"/>
  <c r="BN192" i="1"/>
  <c r="N183" i="1"/>
  <c r="BR173" i="1"/>
  <c r="R164" i="1"/>
  <c r="BV154" i="1"/>
  <c r="V145" i="1"/>
  <c r="CE135" i="1"/>
  <c r="AE126" i="1"/>
  <c r="CI116" i="1"/>
  <c r="AI107" i="1"/>
  <c r="CM97" i="1"/>
  <c r="AM88" i="1"/>
  <c r="CI83" i="1"/>
  <c r="BS80" i="1"/>
  <c r="BC77" i="1"/>
  <c r="AI74" i="1"/>
  <c r="S71" i="1"/>
  <c r="DG67" i="1"/>
  <c r="CM64" i="1"/>
  <c r="BW61" i="1"/>
  <c r="BG58" i="1"/>
  <c r="AM55" i="1"/>
  <c r="DC52" i="1"/>
  <c r="BO50" i="1"/>
  <c r="AA48" i="1"/>
  <c r="CQ45" i="1"/>
  <c r="BC43" i="1"/>
  <c r="O41" i="1"/>
  <c r="CE38" i="1"/>
  <c r="AQ36" i="1"/>
  <c r="DG33" i="1"/>
  <c r="BS31" i="1"/>
  <c r="AE29" i="1"/>
  <c r="CU26" i="1"/>
  <c r="BG24" i="1"/>
  <c r="S22" i="1"/>
  <c r="CI19" i="1"/>
  <c r="AU17" i="1"/>
  <c r="G15" i="1"/>
  <c r="BW12" i="1"/>
  <c r="AI10" i="1"/>
  <c r="CY7" i="1"/>
  <c r="BK5" i="1"/>
  <c r="W3" i="1"/>
  <c r="CD141" i="1"/>
  <c r="AP139" i="1"/>
  <c r="DF136" i="1"/>
  <c r="BR134" i="1"/>
  <c r="AD132" i="1"/>
  <c r="CT129" i="1"/>
  <c r="BF127" i="1"/>
  <c r="R125" i="1"/>
  <c r="CH122" i="1"/>
  <c r="AT120" i="1"/>
  <c r="F118" i="1"/>
  <c r="BV115" i="1"/>
  <c r="AH113" i="1"/>
  <c r="CX110" i="1"/>
  <c r="BJ108" i="1"/>
  <c r="V106" i="1"/>
  <c r="CL103" i="1"/>
  <c r="AX101" i="1"/>
  <c r="J99" i="1"/>
  <c r="BZ96" i="1"/>
  <c r="AL94" i="1"/>
  <c r="DB91" i="1"/>
  <c r="BN89" i="1"/>
  <c r="Z87" i="1"/>
  <c r="CP84" i="1"/>
  <c r="BB82" i="1"/>
  <c r="N80" i="1"/>
  <c r="CD77" i="1"/>
  <c r="AP75" i="1"/>
  <c r="DF72" i="1"/>
  <c r="BR70" i="1"/>
  <c r="AD68" i="1"/>
  <c r="CT65" i="1"/>
  <c r="BF63" i="1"/>
  <c r="R61" i="1"/>
  <c r="CH58" i="1"/>
  <c r="AT56" i="1"/>
  <c r="F54" i="1"/>
  <c r="BV51" i="1"/>
  <c r="AH49" i="1"/>
  <c r="CX46" i="1"/>
  <c r="BJ44" i="1"/>
  <c r="V42" i="1"/>
  <c r="CL39" i="1"/>
  <c r="AX37" i="1"/>
  <c r="J35" i="1"/>
  <c r="BZ32" i="1"/>
  <c r="AL30" i="1"/>
  <c r="DB27" i="1"/>
  <c r="BN25" i="1"/>
  <c r="Z23" i="1"/>
  <c r="CP20" i="1"/>
  <c r="BB18" i="1"/>
  <c r="N16" i="1"/>
  <c r="CD13" i="1"/>
  <c r="AP11" i="1"/>
  <c r="DF8" i="1"/>
  <c r="BR6" i="1"/>
  <c r="AD4" i="1"/>
  <c r="DA142" i="1"/>
  <c r="BM140" i="1"/>
  <c r="Y138" i="1"/>
  <c r="CO135" i="1"/>
  <c r="BA133" i="1"/>
  <c r="M131" i="1"/>
  <c r="CC128" i="1"/>
  <c r="AO126" i="1"/>
  <c r="DE123" i="1"/>
  <c r="BQ121" i="1"/>
  <c r="AC119" i="1"/>
  <c r="CS116" i="1"/>
  <c r="BE114" i="1"/>
  <c r="Q112" i="1"/>
  <c r="CG109" i="1"/>
  <c r="AS107" i="1"/>
  <c r="DI104" i="1"/>
  <c r="BU102" i="1"/>
  <c r="AG100" i="1"/>
  <c r="CW97" i="1"/>
  <c r="BI95" i="1"/>
  <c r="U93" i="1"/>
  <c r="CK90" i="1"/>
  <c r="AW88" i="1"/>
  <c r="I86" i="1"/>
  <c r="BY83" i="1"/>
  <c r="AK81" i="1"/>
  <c r="DA78" i="1"/>
  <c r="BM76" i="1"/>
  <c r="Y74" i="1"/>
  <c r="CO71" i="1"/>
  <c r="BA69" i="1"/>
  <c r="M67" i="1"/>
  <c r="CC64" i="1"/>
  <c r="AO62" i="1"/>
  <c r="DE59" i="1"/>
  <c r="BQ57" i="1"/>
  <c r="AC55" i="1"/>
  <c r="CS52" i="1"/>
  <c r="BE50" i="1"/>
  <c r="Q48" i="1"/>
  <c r="CG45" i="1"/>
  <c r="AS43" i="1"/>
  <c r="DI40" i="1"/>
  <c r="BU38" i="1"/>
  <c r="AG36" i="1"/>
  <c r="CW33" i="1"/>
  <c r="BI31" i="1"/>
  <c r="U29" i="1"/>
  <c r="CK26" i="1"/>
  <c r="AW24" i="1"/>
  <c r="I22" i="1"/>
  <c r="BY19" i="1"/>
  <c r="AK17" i="1"/>
  <c r="DA14" i="1"/>
  <c r="BM12" i="1"/>
  <c r="Y10" i="1"/>
  <c r="CO7" i="1"/>
  <c r="BA5" i="1"/>
  <c r="M3" i="1"/>
  <c r="CF141" i="1"/>
  <c r="AR139" i="1"/>
  <c r="DH136" i="1"/>
  <c r="BT134" i="1"/>
  <c r="AF132" i="1"/>
  <c r="CV129" i="1"/>
  <c r="BH127" i="1"/>
  <c r="T125" i="1"/>
  <c r="CJ122" i="1"/>
  <c r="AV120" i="1"/>
  <c r="H118" i="1"/>
  <c r="BX115" i="1"/>
  <c r="AJ113" i="1"/>
  <c r="CZ110" i="1"/>
  <c r="K215" i="1"/>
  <c r="BO205" i="1"/>
  <c r="O196" i="1"/>
  <c r="BS186" i="1"/>
  <c r="S177" i="1"/>
  <c r="BW167" i="1"/>
  <c r="W158" i="1"/>
  <c r="CA148" i="1"/>
  <c r="DB214" i="1"/>
  <c r="BB205" i="1"/>
  <c r="DF195" i="1"/>
  <c r="BF186" i="1"/>
  <c r="F177" i="1"/>
  <c r="BJ167" i="1"/>
  <c r="J158" i="1"/>
  <c r="BN148" i="1"/>
  <c r="S139" i="1"/>
  <c r="BW129" i="1"/>
  <c r="W120" i="1"/>
  <c r="CA110" i="1"/>
  <c r="AA101" i="1"/>
  <c r="CE91" i="1"/>
  <c r="DC84" i="1"/>
  <c r="CI81" i="1"/>
  <c r="BO78" i="1"/>
  <c r="AY75" i="1"/>
  <c r="AI72" i="1"/>
  <c r="O69" i="1"/>
  <c r="DC65" i="1"/>
  <c r="CM62" i="1"/>
  <c r="BS59" i="1"/>
  <c r="BC56" i="1"/>
  <c r="CM53" i="1"/>
  <c r="AY51" i="1"/>
  <c r="K49" i="1"/>
  <c r="CA46" i="1"/>
  <c r="AM44" i="1"/>
  <c r="DC41" i="1"/>
  <c r="BO39" i="1"/>
  <c r="AA37" i="1"/>
  <c r="CQ34" i="1"/>
  <c r="BC32" i="1"/>
  <c r="O30" i="1"/>
  <c r="CE27" i="1"/>
  <c r="AQ25" i="1"/>
  <c r="DG22" i="1"/>
  <c r="BS20" i="1"/>
  <c r="AE18" i="1"/>
  <c r="CU15" i="1"/>
  <c r="BG13" i="1"/>
  <c r="S11" i="1"/>
  <c r="CI8" i="1"/>
  <c r="AU6" i="1"/>
  <c r="G4" i="1"/>
  <c r="BN142" i="1"/>
  <c r="Z140" i="1"/>
  <c r="CP137" i="1"/>
  <c r="BB135" i="1"/>
  <c r="N133" i="1"/>
  <c r="CD130" i="1"/>
  <c r="AP128" i="1"/>
  <c r="DF125" i="1"/>
  <c r="BR123" i="1"/>
  <c r="AD121" i="1"/>
  <c r="CT118" i="1"/>
  <c r="BF116" i="1"/>
  <c r="R114" i="1"/>
  <c r="CH111" i="1"/>
  <c r="AT109" i="1"/>
  <c r="F107" i="1"/>
  <c r="BV104" i="1"/>
  <c r="AH102" i="1"/>
  <c r="CX99" i="1"/>
  <c r="BJ97" i="1"/>
  <c r="V95" i="1"/>
  <c r="CL92" i="1"/>
  <c r="AX90" i="1"/>
  <c r="J88" i="1"/>
  <c r="BZ85" i="1"/>
  <c r="AL83" i="1"/>
  <c r="DB80" i="1"/>
  <c r="BN78" i="1"/>
  <c r="Z76" i="1"/>
  <c r="CP73" i="1"/>
  <c r="BB71" i="1"/>
  <c r="N69" i="1"/>
  <c r="CD66" i="1"/>
  <c r="AP64" i="1"/>
  <c r="DF61" i="1"/>
  <c r="BR59" i="1"/>
  <c r="AD57" i="1"/>
  <c r="CT54" i="1"/>
  <c r="BF52" i="1"/>
  <c r="R50" i="1"/>
  <c r="CH47" i="1"/>
  <c r="AT45" i="1"/>
  <c r="F43" i="1"/>
  <c r="BV40" i="1"/>
  <c r="AH38" i="1"/>
  <c r="CX35" i="1"/>
  <c r="BJ33" i="1"/>
  <c r="V31" i="1"/>
  <c r="CL28" i="1"/>
  <c r="AX26" i="1"/>
  <c r="J24" i="1"/>
  <c r="BZ21" i="1"/>
  <c r="AL19" i="1"/>
  <c r="DB16" i="1"/>
  <c r="BN14" i="1"/>
  <c r="Z12" i="1"/>
  <c r="CP9" i="1"/>
  <c r="BB7" i="1"/>
  <c r="N5" i="1"/>
  <c r="CK143" i="1"/>
  <c r="AW141" i="1"/>
  <c r="I139" i="1"/>
  <c r="BY136" i="1"/>
  <c r="AK134" i="1"/>
  <c r="DA131" i="1"/>
  <c r="BM129" i="1"/>
  <c r="Y127" i="1"/>
  <c r="CO124" i="1"/>
  <c r="CG143" i="1"/>
  <c r="AS141" i="1"/>
  <c r="DI138" i="1"/>
  <c r="BU136" i="1"/>
  <c r="AG134" i="1"/>
  <c r="CW131" i="1"/>
  <c r="BI129" i="1"/>
  <c r="U127" i="1"/>
  <c r="CK124" i="1"/>
  <c r="AW122" i="1"/>
  <c r="I120" i="1"/>
  <c r="BY117" i="1"/>
  <c r="AK115" i="1"/>
  <c r="DA112" i="1"/>
  <c r="BM110" i="1"/>
  <c r="Y108" i="1"/>
  <c r="CO105" i="1"/>
  <c r="BA103" i="1"/>
  <c r="M101" i="1"/>
  <c r="CC98" i="1"/>
  <c r="AO96" i="1"/>
  <c r="DE93" i="1"/>
  <c r="BQ91" i="1"/>
  <c r="AC89" i="1"/>
  <c r="CS86" i="1"/>
  <c r="BE84" i="1"/>
  <c r="Q82" i="1"/>
  <c r="CG79" i="1"/>
  <c r="AS77" i="1"/>
  <c r="DI74" i="1"/>
  <c r="BU72" i="1"/>
  <c r="AG70" i="1"/>
  <c r="CW67" i="1"/>
  <c r="BI65" i="1"/>
  <c r="U63" i="1"/>
  <c r="CK60" i="1"/>
  <c r="AW58" i="1"/>
  <c r="I56" i="1"/>
  <c r="BY53" i="1"/>
  <c r="AK51" i="1"/>
  <c r="DA48" i="1"/>
  <c r="BM46" i="1"/>
  <c r="Y44" i="1"/>
  <c r="CO41" i="1"/>
  <c r="BA39" i="1"/>
  <c r="M37" i="1"/>
  <c r="CC34" i="1"/>
  <c r="AO32" i="1"/>
  <c r="DE29" i="1"/>
  <c r="BQ27" i="1"/>
  <c r="AC25" i="1"/>
  <c r="CS22" i="1"/>
  <c r="BE20" i="1"/>
  <c r="Q18" i="1"/>
  <c r="CG15" i="1"/>
  <c r="AS13" i="1"/>
  <c r="DI10" i="1"/>
  <c r="BU8" i="1"/>
  <c r="AG6" i="1"/>
  <c r="CW3" i="1"/>
  <c r="BL142" i="1"/>
  <c r="X140" i="1"/>
  <c r="CN137" i="1"/>
  <c r="AZ135" i="1"/>
  <c r="L133" i="1"/>
  <c r="CB130" i="1"/>
  <c r="AN128" i="1"/>
  <c r="DD125" i="1"/>
  <c r="BP123" i="1"/>
  <c r="AB121" i="1"/>
  <c r="CR118" i="1"/>
  <c r="BD116" i="1"/>
  <c r="P114" i="1"/>
  <c r="CF111" i="1"/>
  <c r="AR109" i="1"/>
  <c r="AY209" i="1"/>
  <c r="DC199" i="1"/>
  <c r="BC190" i="1"/>
  <c r="DG180" i="1"/>
  <c r="BG171" i="1"/>
  <c r="G162" i="1"/>
  <c r="BK152" i="1"/>
  <c r="CL218" i="1"/>
  <c r="AL209" i="1"/>
  <c r="CP199" i="1"/>
  <c r="AP190" i="1"/>
  <c r="CT180" i="1"/>
  <c r="AT171" i="1"/>
  <c r="CX161" i="1"/>
  <c r="AX152" i="1"/>
  <c r="DG142" i="1"/>
  <c r="BG133" i="1"/>
  <c r="G124" i="1"/>
  <c r="BK114" i="1"/>
  <c r="K105" i="1"/>
  <c r="BO95" i="1"/>
  <c r="CU86" i="1"/>
  <c r="G83" i="1"/>
  <c r="CU79" i="1"/>
  <c r="CE76" i="1"/>
  <c r="BK73" i="1"/>
  <c r="AU70" i="1"/>
  <c r="AE67" i="1"/>
  <c r="K64" i="1"/>
  <c r="CY60" i="1"/>
  <c r="CI57" i="1"/>
  <c r="CI54" i="1"/>
  <c r="AU52" i="1"/>
  <c r="G50" i="1"/>
  <c r="BW47" i="1"/>
  <c r="AI45" i="1"/>
  <c r="CY42" i="1"/>
  <c r="BK40" i="1"/>
  <c r="W38" i="1"/>
  <c r="CM35" i="1"/>
  <c r="AY33" i="1"/>
  <c r="K31" i="1"/>
  <c r="CA28" i="1"/>
  <c r="AM26" i="1"/>
  <c r="DC23" i="1"/>
  <c r="BO21" i="1"/>
  <c r="AA19" i="1"/>
  <c r="CQ16" i="1"/>
  <c r="BC14" i="1"/>
  <c r="O12" i="1"/>
  <c r="CE9" i="1"/>
  <c r="AQ7" i="1"/>
  <c r="DG4" i="1"/>
  <c r="BJ143" i="1"/>
  <c r="V141" i="1"/>
  <c r="CL138" i="1"/>
  <c r="AX136" i="1"/>
  <c r="J134" i="1"/>
  <c r="BZ131" i="1"/>
  <c r="AL129" i="1"/>
  <c r="DB126" i="1"/>
  <c r="BN124" i="1"/>
  <c r="Z122" i="1"/>
  <c r="CP119" i="1"/>
  <c r="BB117" i="1"/>
  <c r="N115" i="1"/>
  <c r="CD112" i="1"/>
  <c r="AP110" i="1"/>
  <c r="DF107" i="1"/>
  <c r="BR105" i="1"/>
  <c r="AD103" i="1"/>
  <c r="CT100" i="1"/>
  <c r="BF98" i="1"/>
  <c r="R96" i="1"/>
  <c r="CH93" i="1"/>
  <c r="AT91" i="1"/>
  <c r="F89" i="1"/>
  <c r="BV86" i="1"/>
  <c r="AH84" i="1"/>
  <c r="CX81" i="1"/>
  <c r="BJ79" i="1"/>
  <c r="V77" i="1"/>
  <c r="CL74" i="1"/>
  <c r="AX72" i="1"/>
  <c r="J70" i="1"/>
  <c r="BZ67" i="1"/>
  <c r="AL65" i="1"/>
  <c r="DB62" i="1"/>
  <c r="BN60" i="1"/>
  <c r="Z58" i="1"/>
  <c r="CP55" i="1"/>
  <c r="BB53" i="1"/>
  <c r="N51" i="1"/>
  <c r="CD48" i="1"/>
  <c r="AP46" i="1"/>
  <c r="DF43" i="1"/>
  <c r="BR41" i="1"/>
  <c r="AD39" i="1"/>
  <c r="CT36" i="1"/>
  <c r="BF34" i="1"/>
  <c r="R32" i="1"/>
  <c r="CH29" i="1"/>
  <c r="AT27" i="1"/>
  <c r="F25" i="1"/>
  <c r="BV22" i="1"/>
  <c r="AH20" i="1"/>
  <c r="CX17" i="1"/>
  <c r="BJ15" i="1"/>
  <c r="V13" i="1"/>
  <c r="CL10" i="1"/>
  <c r="AX8" i="1"/>
  <c r="J6" i="1"/>
  <c r="BZ3" i="1"/>
  <c r="AS142" i="1"/>
  <c r="DI139" i="1"/>
  <c r="BU137" i="1"/>
  <c r="AG135" i="1"/>
  <c r="CW132" i="1"/>
  <c r="BI130" i="1"/>
  <c r="U128" i="1"/>
  <c r="CK125" i="1"/>
  <c r="AW123" i="1"/>
  <c r="I121" i="1"/>
  <c r="BY118" i="1"/>
  <c r="AK116" i="1"/>
  <c r="DA113" i="1"/>
  <c r="BM111" i="1"/>
  <c r="Y109" i="1"/>
  <c r="CA208" i="1"/>
  <c r="AA199" i="1"/>
  <c r="CE189" i="1"/>
  <c r="AE180" i="1"/>
  <c r="CI170" i="1"/>
  <c r="AI161" i="1"/>
  <c r="CM151" i="1"/>
  <c r="J218" i="1"/>
  <c r="BN208" i="1"/>
  <c r="N199" i="1"/>
  <c r="BR189" i="1"/>
  <c r="R180" i="1"/>
  <c r="BV170" i="1"/>
  <c r="V161" i="1"/>
  <c r="BZ151" i="1"/>
  <c r="AE142" i="1"/>
  <c r="CI132" i="1"/>
  <c r="AI123" i="1"/>
  <c r="CM113" i="1"/>
  <c r="AM104" i="1"/>
  <c r="CQ94" i="1"/>
  <c r="BK86" i="1"/>
  <c r="CM82" i="1"/>
  <c r="BS79" i="1"/>
  <c r="BC76" i="1"/>
  <c r="AM73" i="1"/>
  <c r="S70" i="1"/>
  <c r="DG66" i="1"/>
  <c r="CQ63" i="1"/>
  <c r="BW60" i="1"/>
  <c r="BG57" i="1"/>
  <c r="BO54" i="1"/>
  <c r="AA52" i="1"/>
  <c r="CQ49" i="1"/>
  <c r="BC47" i="1"/>
  <c r="O45" i="1"/>
  <c r="CE42" i="1"/>
  <c r="AQ40" i="1"/>
  <c r="DG37" i="1"/>
  <c r="BS35" i="1"/>
  <c r="AE33" i="1"/>
  <c r="CU30" i="1"/>
  <c r="BG28" i="1"/>
  <c r="S26" i="1"/>
  <c r="CI23" i="1"/>
  <c r="AU21" i="1"/>
  <c r="G19" i="1"/>
  <c r="BW16" i="1"/>
  <c r="AI14" i="1"/>
  <c r="CY11" i="1"/>
  <c r="BK9" i="1"/>
  <c r="W7" i="1"/>
  <c r="CM4" i="1"/>
  <c r="AP143" i="1"/>
  <c r="DF140" i="1"/>
  <c r="BR138" i="1"/>
  <c r="AD136" i="1"/>
  <c r="CT133" i="1"/>
  <c r="BF131" i="1"/>
  <c r="R129" i="1"/>
  <c r="CH126" i="1"/>
  <c r="AT124" i="1"/>
  <c r="F122" i="1"/>
  <c r="BV119" i="1"/>
  <c r="AH117" i="1"/>
  <c r="CX114" i="1"/>
  <c r="BJ112" i="1"/>
  <c r="V110" i="1"/>
  <c r="CL107" i="1"/>
  <c r="AX105" i="1"/>
  <c r="J103" i="1"/>
  <c r="BZ100" i="1"/>
  <c r="AL98" i="1"/>
  <c r="DB95" i="1"/>
  <c r="BN93" i="1"/>
  <c r="Z91" i="1"/>
  <c r="CP88" i="1"/>
  <c r="BB86" i="1"/>
  <c r="N84" i="1"/>
  <c r="CD81" i="1"/>
  <c r="AP79" i="1"/>
  <c r="DF76" i="1"/>
  <c r="BR74" i="1"/>
  <c r="AD72" i="1"/>
  <c r="CT69" i="1"/>
  <c r="BF67" i="1"/>
  <c r="R65" i="1"/>
  <c r="CH62" i="1"/>
  <c r="AT60" i="1"/>
  <c r="F58" i="1"/>
  <c r="BV55" i="1"/>
  <c r="AH53" i="1"/>
  <c r="CX50" i="1"/>
  <c r="BJ48" i="1"/>
  <c r="V46" i="1"/>
  <c r="CL43" i="1"/>
  <c r="AX41" i="1"/>
  <c r="J39" i="1"/>
  <c r="BZ36" i="1"/>
  <c r="AL34" i="1"/>
  <c r="DB31" i="1"/>
  <c r="BN29" i="1"/>
  <c r="Z27" i="1"/>
  <c r="CP24" i="1"/>
  <c r="BB22" i="1"/>
  <c r="N20" i="1"/>
  <c r="CD17" i="1"/>
  <c r="AP15" i="1"/>
  <c r="DF12" i="1"/>
  <c r="BR10" i="1"/>
  <c r="AD8" i="1"/>
  <c r="CT5" i="1"/>
  <c r="BF3" i="1"/>
  <c r="Y142" i="1"/>
  <c r="CO139" i="1"/>
  <c r="BA137" i="1"/>
  <c r="M135" i="1"/>
  <c r="CC132" i="1"/>
  <c r="AO130" i="1"/>
  <c r="DE127" i="1"/>
  <c r="BQ125" i="1"/>
  <c r="AC123" i="1"/>
  <c r="CS120" i="1"/>
  <c r="BE118" i="1"/>
  <c r="Q116" i="1"/>
  <c r="CG113" i="1"/>
  <c r="AS111" i="1"/>
  <c r="DI108" i="1"/>
  <c r="BU106" i="1"/>
  <c r="AG104" i="1"/>
  <c r="CW101" i="1"/>
  <c r="BI99" i="1"/>
  <c r="U97" i="1"/>
  <c r="CK94" i="1"/>
  <c r="AW92" i="1"/>
  <c r="I90" i="1"/>
  <c r="BY87" i="1"/>
  <c r="AK85" i="1"/>
  <c r="DA82" i="1"/>
  <c r="BM80" i="1"/>
  <c r="Y78" i="1"/>
  <c r="CO75" i="1"/>
  <c r="BA73" i="1"/>
  <c r="M71" i="1"/>
  <c r="CC68" i="1"/>
  <c r="AO66" i="1"/>
  <c r="DE63" i="1"/>
  <c r="BQ61" i="1"/>
  <c r="AC59" i="1"/>
  <c r="CS56" i="1"/>
  <c r="BE54" i="1"/>
  <c r="Q52" i="1"/>
  <c r="CG49" i="1"/>
  <c r="AS47" i="1"/>
  <c r="DI44" i="1"/>
  <c r="BU42" i="1"/>
  <c r="AG40" i="1"/>
  <c r="CW37" i="1"/>
  <c r="BI35" i="1"/>
  <c r="U33" i="1"/>
  <c r="CK30" i="1"/>
  <c r="AW28" i="1"/>
  <c r="I26" i="1"/>
  <c r="BY23" i="1"/>
  <c r="AK21" i="1"/>
  <c r="DA18" i="1"/>
  <c r="BM16" i="1"/>
  <c r="Y14" i="1"/>
  <c r="CO11" i="1"/>
  <c r="BA9" i="1"/>
  <c r="M7" i="1"/>
  <c r="CC4" i="1"/>
  <c r="AR143" i="1"/>
  <c r="DH140" i="1"/>
  <c r="BT138" i="1"/>
  <c r="AF136" i="1"/>
  <c r="CV133" i="1"/>
  <c r="BH131" i="1"/>
  <c r="T129" i="1"/>
  <c r="CJ126" i="1"/>
  <c r="AV124" i="1"/>
  <c r="H122" i="1"/>
  <c r="BX119" i="1"/>
  <c r="AJ117" i="1"/>
  <c r="CZ114" i="1"/>
  <c r="BL112" i="1"/>
  <c r="X110" i="1"/>
  <c r="O212" i="1"/>
  <c r="BS202" i="1"/>
  <c r="S193" i="1"/>
  <c r="BW183" i="1"/>
  <c r="W174" i="1"/>
  <c r="CA164" i="1"/>
  <c r="AA155" i="1"/>
  <c r="CE145" i="1"/>
  <c r="DF211" i="1"/>
  <c r="BF202" i="1"/>
  <c r="F193" i="1"/>
  <c r="BJ183" i="1"/>
  <c r="J174" i="1"/>
  <c r="BN164" i="1"/>
  <c r="N155" i="1"/>
  <c r="BR145" i="1"/>
  <c r="W136" i="1"/>
  <c r="CA126" i="1"/>
  <c r="AA117" i="1"/>
  <c r="CE107" i="1"/>
  <c r="AE98" i="1"/>
  <c r="CI88" i="1"/>
  <c r="CY83" i="1"/>
  <c r="CI80" i="1"/>
  <c r="BS77" i="1"/>
  <c r="AY74" i="1"/>
  <c r="AI71" i="1"/>
  <c r="S68" i="1"/>
  <c r="DC64" i="1"/>
  <c r="CM61" i="1"/>
  <c r="BW58" i="1"/>
  <c r="BC55" i="1"/>
  <c r="K53" i="1"/>
  <c r="CA50" i="1"/>
  <c r="AM48" i="1"/>
  <c r="DC45" i="1"/>
  <c r="BO43" i="1"/>
  <c r="AA41" i="1"/>
  <c r="CQ38" i="1"/>
  <c r="BC36" i="1"/>
  <c r="O34" i="1"/>
  <c r="CE31" i="1"/>
  <c r="AQ29" i="1"/>
  <c r="DG26" i="1"/>
  <c r="BS24" i="1"/>
  <c r="AE22" i="1"/>
  <c r="CU19" i="1"/>
  <c r="BG17" i="1"/>
  <c r="S15" i="1"/>
  <c r="CI12" i="1"/>
  <c r="AU10" i="1"/>
  <c r="G8" i="1"/>
  <c r="BW5" i="1"/>
  <c r="AI3" i="1"/>
  <c r="CP141" i="1"/>
  <c r="BB139" i="1"/>
  <c r="N137" i="1"/>
  <c r="CD134" i="1"/>
  <c r="AP132" i="1"/>
  <c r="DF129" i="1"/>
  <c r="BR127" i="1"/>
  <c r="AD125" i="1"/>
  <c r="CT122" i="1"/>
  <c r="BF120" i="1"/>
  <c r="R118" i="1"/>
  <c r="CH115" i="1"/>
  <c r="AT113" i="1"/>
  <c r="F111" i="1"/>
  <c r="BV108" i="1"/>
  <c r="AH106" i="1"/>
  <c r="CX103" i="1"/>
  <c r="BJ101" i="1"/>
  <c r="V99" i="1"/>
  <c r="CL96" i="1"/>
  <c r="AX94" i="1"/>
  <c r="J92" i="1"/>
  <c r="BZ89" i="1"/>
  <c r="AL87" i="1"/>
  <c r="DB84" i="1"/>
  <c r="BN82" i="1"/>
  <c r="Z80" i="1"/>
  <c r="CP77" i="1"/>
  <c r="BB75" i="1"/>
  <c r="N73" i="1"/>
  <c r="CD70" i="1"/>
  <c r="AP68" i="1"/>
  <c r="DF65" i="1"/>
  <c r="BR63" i="1"/>
  <c r="AD61" i="1"/>
  <c r="CT58" i="1"/>
  <c r="BF56" i="1"/>
  <c r="R54" i="1"/>
  <c r="CH51" i="1"/>
  <c r="AT49" i="1"/>
  <c r="F47" i="1"/>
  <c r="BV44" i="1"/>
  <c r="AH42" i="1"/>
  <c r="CX39" i="1"/>
  <c r="BJ37" i="1"/>
  <c r="V35" i="1"/>
  <c r="CL32" i="1"/>
  <c r="AX30" i="1"/>
  <c r="J28" i="1"/>
  <c r="BZ25" i="1"/>
  <c r="AL23" i="1"/>
  <c r="DB20" i="1"/>
  <c r="BN18" i="1"/>
  <c r="Z16" i="1"/>
  <c r="CP13" i="1"/>
  <c r="BB11" i="1"/>
  <c r="N9" i="1"/>
  <c r="CD6" i="1"/>
  <c r="AP4" i="1"/>
  <c r="I143" i="1"/>
  <c r="BY140" i="1"/>
  <c r="AK138" i="1"/>
  <c r="DA135" i="1"/>
  <c r="BM133" i="1"/>
  <c r="Y131" i="1"/>
  <c r="CO128" i="1"/>
  <c r="BA126" i="1"/>
  <c r="M124" i="1"/>
  <c r="CC121" i="1"/>
  <c r="AO119" i="1"/>
  <c r="DE116" i="1"/>
  <c r="BQ114" i="1"/>
  <c r="AC112" i="1"/>
  <c r="CS109" i="1"/>
  <c r="BE107" i="1"/>
  <c r="Q105" i="1"/>
  <c r="CG102" i="1"/>
  <c r="DI142" i="1"/>
  <c r="BU140" i="1"/>
  <c r="AG138" i="1"/>
  <c r="CW135" i="1"/>
  <c r="BI133" i="1"/>
  <c r="U131" i="1"/>
  <c r="CK128" i="1"/>
  <c r="AW126" i="1"/>
  <c r="I124" i="1"/>
  <c r="BY121" i="1"/>
  <c r="AK119" i="1"/>
  <c r="DA116" i="1"/>
  <c r="BM114" i="1"/>
  <c r="Y112" i="1"/>
  <c r="CO109" i="1"/>
  <c r="BA107" i="1"/>
  <c r="M105" i="1"/>
  <c r="CC102" i="1"/>
  <c r="AO100" i="1"/>
  <c r="DE97" i="1"/>
  <c r="BQ95" i="1"/>
  <c r="AC93" i="1"/>
  <c r="CS90" i="1"/>
  <c r="BE88" i="1"/>
  <c r="Q86" i="1"/>
  <c r="CG83" i="1"/>
  <c r="AS81" i="1"/>
  <c r="DI78" i="1"/>
  <c r="BU76" i="1"/>
  <c r="AG74" i="1"/>
  <c r="CW71" i="1"/>
  <c r="BI69" i="1"/>
  <c r="U67" i="1"/>
  <c r="CK64" i="1"/>
  <c r="AW62" i="1"/>
  <c r="I60" i="1"/>
  <c r="BY57" i="1"/>
  <c r="AK55" i="1"/>
  <c r="DA52" i="1"/>
  <c r="BM50" i="1"/>
  <c r="Y48" i="1"/>
  <c r="CO45" i="1"/>
  <c r="BA43" i="1"/>
  <c r="M41" i="1"/>
  <c r="CC38" i="1"/>
  <c r="AO36" i="1"/>
  <c r="DE33" i="1"/>
  <c r="BQ31" i="1"/>
  <c r="AC29" i="1"/>
  <c r="CS26" i="1"/>
  <c r="BE24" i="1"/>
  <c r="Q22" i="1"/>
  <c r="CG19" i="1"/>
  <c r="AS17" i="1"/>
  <c r="DI14" i="1"/>
  <c r="BU12" i="1"/>
  <c r="AG10" i="1"/>
  <c r="CW7" i="1"/>
  <c r="BI5" i="1"/>
  <c r="U3" i="1"/>
  <c r="CN141" i="1"/>
  <c r="AZ139" i="1"/>
  <c r="L137" i="1"/>
  <c r="CB134" i="1"/>
  <c r="AN132" i="1"/>
  <c r="DD129" i="1"/>
  <c r="BP127" i="1"/>
  <c r="AB125" i="1"/>
  <c r="CR122" i="1"/>
  <c r="BD120" i="1"/>
  <c r="P118" i="1"/>
  <c r="CF115" i="1"/>
  <c r="AR113" i="1"/>
  <c r="DH110" i="1"/>
  <c r="DC215" i="1"/>
  <c r="BC206" i="1"/>
  <c r="DG196" i="1"/>
  <c r="BG187" i="1"/>
  <c r="G178" i="1"/>
  <c r="BK168" i="1"/>
  <c r="K159" i="1"/>
  <c r="BO149" i="1"/>
  <c r="CP215" i="1"/>
  <c r="AP206" i="1"/>
  <c r="CT196" i="1"/>
  <c r="AT187" i="1"/>
  <c r="CX177" i="1"/>
  <c r="AX168" i="1"/>
  <c r="DB158" i="1"/>
  <c r="BB149" i="1"/>
  <c r="G140" i="1"/>
  <c r="BK130" i="1"/>
  <c r="K121" i="1"/>
  <c r="BO111" i="1"/>
  <c r="O102" i="1"/>
  <c r="BS92" i="1"/>
  <c r="AU85" i="1"/>
  <c r="K82" i="1"/>
  <c r="CU78" i="1"/>
  <c r="CE75" i="1"/>
  <c r="BO72" i="1"/>
  <c r="AU69" i="1"/>
  <c r="AE66" i="1"/>
  <c r="O63" i="1"/>
  <c r="CY59" i="1"/>
  <c r="CI56" i="1"/>
  <c r="G54" i="1"/>
  <c r="BW51" i="1"/>
  <c r="AI49" i="1"/>
  <c r="CY46" i="1"/>
  <c r="BK44" i="1"/>
  <c r="W42" i="1"/>
  <c r="CM39" i="1"/>
  <c r="AY37" i="1"/>
  <c r="K35" i="1"/>
  <c r="CA32" i="1"/>
  <c r="AM30" i="1"/>
  <c r="DC27" i="1"/>
  <c r="BO25" i="1"/>
  <c r="AA23" i="1"/>
  <c r="CQ20" i="1"/>
  <c r="BC18" i="1"/>
  <c r="O16" i="1"/>
  <c r="CE13" i="1"/>
  <c r="AQ11" i="1"/>
  <c r="DG8" i="1"/>
  <c r="BS6" i="1"/>
  <c r="AE4" i="1"/>
  <c r="CL142" i="1"/>
  <c r="AX140" i="1"/>
  <c r="J138" i="1"/>
  <c r="BZ135" i="1"/>
  <c r="AL133" i="1"/>
  <c r="DB130" i="1"/>
  <c r="BN128" i="1"/>
  <c r="Z126" i="1"/>
  <c r="CP123" i="1"/>
  <c r="BB121" i="1"/>
  <c r="N119" i="1"/>
  <c r="CD116" i="1"/>
  <c r="AP114" i="1"/>
  <c r="DF111" i="1"/>
  <c r="BR109" i="1"/>
  <c r="AD107" i="1"/>
  <c r="CT104" i="1"/>
  <c r="BF102" i="1"/>
  <c r="R100" i="1"/>
  <c r="CH97" i="1"/>
  <c r="AT95" i="1"/>
  <c r="F93" i="1"/>
  <c r="BV90" i="1"/>
  <c r="AH88" i="1"/>
  <c r="CX85" i="1"/>
  <c r="BJ83" i="1"/>
  <c r="V81" i="1"/>
  <c r="CL78" i="1"/>
  <c r="AX76" i="1"/>
  <c r="J74" i="1"/>
  <c r="BZ71" i="1"/>
  <c r="AL69" i="1"/>
  <c r="DB66" i="1"/>
  <c r="BN64" i="1"/>
  <c r="Z62" i="1"/>
  <c r="CP59" i="1"/>
  <c r="BB57" i="1"/>
  <c r="N55" i="1"/>
  <c r="CD52" i="1"/>
  <c r="AP50" i="1"/>
  <c r="DF47" i="1"/>
  <c r="BR45" i="1"/>
  <c r="AD43" i="1"/>
  <c r="CT40" i="1"/>
  <c r="BF38" i="1"/>
  <c r="R36" i="1"/>
  <c r="CH33" i="1"/>
  <c r="AT31" i="1"/>
  <c r="F29" i="1"/>
  <c r="BV26" i="1"/>
  <c r="AH24" i="1"/>
  <c r="CX21" i="1"/>
  <c r="BJ19" i="1"/>
  <c r="V17" i="1"/>
  <c r="CL14" i="1"/>
  <c r="AX12" i="1"/>
  <c r="J10" i="1"/>
  <c r="BZ7" i="1"/>
  <c r="AL5" i="1"/>
  <c r="DI143" i="1"/>
  <c r="BU141" i="1"/>
  <c r="AG139" i="1"/>
  <c r="CW136" i="1"/>
  <c r="BI134" i="1"/>
  <c r="U132" i="1"/>
  <c r="CK129" i="1"/>
  <c r="AW127" i="1"/>
  <c r="I125" i="1"/>
  <c r="BY122" i="1"/>
  <c r="AK120" i="1"/>
  <c r="DA117" i="1"/>
  <c r="BM115" i="1"/>
  <c r="Y113" i="1"/>
  <c r="CO110" i="1"/>
  <c r="AA215" i="1"/>
  <c r="CE205" i="1"/>
  <c r="AE196" i="1"/>
  <c r="CI186" i="1"/>
  <c r="AI177" i="1"/>
  <c r="CM167" i="1"/>
  <c r="AM158" i="1"/>
  <c r="CQ148" i="1"/>
  <c r="N215" i="1"/>
  <c r="BR205" i="1"/>
  <c r="R196" i="1"/>
  <c r="BV186" i="1"/>
  <c r="V177" i="1"/>
  <c r="BZ167" i="1"/>
  <c r="Z158" i="1"/>
  <c r="CD148" i="1"/>
  <c r="AI139" i="1"/>
  <c r="CM129" i="1"/>
  <c r="AM120" i="1"/>
  <c r="CQ110" i="1"/>
  <c r="AQ101" i="1"/>
  <c r="CU91" i="1"/>
  <c r="K85" i="1"/>
  <c r="CM81" i="1"/>
  <c r="BW78" i="1"/>
  <c r="BC75" i="1"/>
  <c r="AM72" i="1"/>
  <c r="W69" i="1"/>
  <c r="DG65" i="1"/>
  <c r="CQ62" i="1"/>
  <c r="CA59" i="1"/>
  <c r="BG56" i="1"/>
  <c r="CQ53" i="1"/>
  <c r="BC51" i="1"/>
  <c r="O49" i="1"/>
  <c r="CE46" i="1"/>
  <c r="AQ44" i="1"/>
  <c r="DG41" i="1"/>
  <c r="BS39" i="1"/>
  <c r="AE37" i="1"/>
  <c r="CU34" i="1"/>
  <c r="BG32" i="1"/>
  <c r="S30" i="1"/>
  <c r="CI27" i="1"/>
  <c r="AU25" i="1"/>
  <c r="G23" i="1"/>
  <c r="BW20" i="1"/>
  <c r="AI18" i="1"/>
  <c r="CY15" i="1"/>
  <c r="BK13" i="1"/>
  <c r="W11" i="1"/>
  <c r="CM8" i="1"/>
  <c r="AY6" i="1"/>
  <c r="K4" i="1"/>
  <c r="BR142" i="1"/>
  <c r="AD140" i="1"/>
  <c r="CT137" i="1"/>
  <c r="BF135" i="1"/>
  <c r="R133" i="1"/>
  <c r="CH130" i="1"/>
  <c r="AT128" i="1"/>
  <c r="F126" i="1"/>
  <c r="BV123" i="1"/>
  <c r="AH121" i="1"/>
  <c r="CX118" i="1"/>
  <c r="BJ116" i="1"/>
  <c r="V114" i="1"/>
  <c r="CL111" i="1"/>
  <c r="AX109" i="1"/>
  <c r="J107" i="1"/>
  <c r="BZ104" i="1"/>
  <c r="AL102" i="1"/>
  <c r="DB99" i="1"/>
  <c r="BN97" i="1"/>
  <c r="Z95" i="1"/>
  <c r="CP92" i="1"/>
  <c r="BB90" i="1"/>
  <c r="N88" i="1"/>
  <c r="CD85" i="1"/>
  <c r="AP83" i="1"/>
  <c r="DF80" i="1"/>
  <c r="BR78" i="1"/>
  <c r="AD76" i="1"/>
  <c r="CT73" i="1"/>
  <c r="BF71" i="1"/>
  <c r="R69" i="1"/>
  <c r="CH66" i="1"/>
  <c r="AT64" i="1"/>
  <c r="F62" i="1"/>
  <c r="BV59" i="1"/>
  <c r="AH57" i="1"/>
  <c r="CX54" i="1"/>
  <c r="BJ52" i="1"/>
  <c r="V50" i="1"/>
  <c r="CL47" i="1"/>
  <c r="AX45" i="1"/>
  <c r="J43" i="1"/>
  <c r="BZ40" i="1"/>
  <c r="AL38" i="1"/>
  <c r="DB35" i="1"/>
  <c r="BN33" i="1"/>
  <c r="Z31" i="1"/>
  <c r="CP28" i="1"/>
  <c r="BB26" i="1"/>
  <c r="N24" i="1"/>
  <c r="CD21" i="1"/>
  <c r="AP19" i="1"/>
  <c r="DF16" i="1"/>
  <c r="BR14" i="1"/>
  <c r="AD12" i="1"/>
  <c r="CT9" i="1"/>
  <c r="BF7" i="1"/>
  <c r="R5" i="1"/>
  <c r="CO143" i="1"/>
  <c r="BA141" i="1"/>
  <c r="M139" i="1"/>
  <c r="CC136" i="1"/>
  <c r="AO134" i="1"/>
  <c r="DE131" i="1"/>
  <c r="BQ129" i="1"/>
  <c r="AC127" i="1"/>
  <c r="CS124" i="1"/>
  <c r="BE122" i="1"/>
  <c r="Q120" i="1"/>
  <c r="CG117" i="1"/>
  <c r="AS115" i="1"/>
  <c r="DI112" i="1"/>
  <c r="BU110" i="1"/>
  <c r="AG108" i="1"/>
  <c r="CW105" i="1"/>
  <c r="BI103" i="1"/>
  <c r="U101" i="1"/>
  <c r="CK98" i="1"/>
  <c r="AW96" i="1"/>
  <c r="I94" i="1"/>
  <c r="BY91" i="1"/>
  <c r="AK89" i="1"/>
  <c r="DA86" i="1"/>
  <c r="BM84" i="1"/>
  <c r="Y82" i="1"/>
  <c r="CO79" i="1"/>
  <c r="BA77" i="1"/>
  <c r="M75" i="1"/>
  <c r="CC72" i="1"/>
  <c r="AO70" i="1"/>
  <c r="DE67" i="1"/>
  <c r="BQ65" i="1"/>
  <c r="AC63" i="1"/>
  <c r="CS60" i="1"/>
  <c r="BE58" i="1"/>
  <c r="Q56" i="1"/>
  <c r="CG53" i="1"/>
  <c r="AS51" i="1"/>
  <c r="DI48" i="1"/>
  <c r="BU46" i="1"/>
  <c r="AG44" i="1"/>
  <c r="CW41" i="1"/>
  <c r="BI39" i="1"/>
  <c r="U37" i="1"/>
  <c r="CK34" i="1"/>
  <c r="AW32" i="1"/>
  <c r="I30" i="1"/>
  <c r="BY27" i="1"/>
  <c r="AK25" i="1"/>
  <c r="DA22" i="1"/>
  <c r="BM20" i="1"/>
  <c r="Y18" i="1"/>
  <c r="CO15" i="1"/>
  <c r="BA13" i="1"/>
  <c r="M11" i="1"/>
  <c r="CC8" i="1"/>
  <c r="AO6" i="1"/>
  <c r="DE3" i="1"/>
  <c r="BT142" i="1"/>
  <c r="AF140" i="1"/>
  <c r="CV137" i="1"/>
  <c r="BH135" i="1"/>
  <c r="T133" i="1"/>
  <c r="CJ130" i="1"/>
  <c r="AV128" i="1"/>
  <c r="H126" i="1"/>
  <c r="BX123" i="1"/>
  <c r="AJ121" i="1"/>
  <c r="CZ118" i="1"/>
  <c r="BL116" i="1"/>
  <c r="X114" i="1"/>
  <c r="CN111" i="1"/>
  <c r="AZ109" i="1"/>
  <c r="S209" i="1"/>
  <c r="BW199" i="1"/>
  <c r="W190" i="1"/>
  <c r="CA180" i="1"/>
  <c r="AA171" i="1"/>
  <c r="CE161" i="1"/>
  <c r="AE152" i="1"/>
  <c r="BF218" i="1"/>
  <c r="F209" i="1"/>
  <c r="BJ199" i="1"/>
  <c r="J190" i="1"/>
  <c r="BN180" i="1"/>
  <c r="N171" i="1"/>
  <c r="BR161" i="1"/>
  <c r="R152" i="1"/>
  <c r="CA142" i="1"/>
  <c r="AA133" i="1"/>
  <c r="CE123" i="1"/>
  <c r="AE114" i="1"/>
  <c r="CI104" i="1"/>
  <c r="AI95" i="1"/>
  <c r="CE86" i="1"/>
  <c r="DC82" i="1"/>
  <c r="CI79" i="1"/>
  <c r="BS76" i="1"/>
  <c r="BC73" i="1"/>
  <c r="AI70" i="1"/>
  <c r="S67" i="1"/>
  <c r="DG63" i="1"/>
  <c r="CM60" i="1"/>
  <c r="BW57" i="1"/>
  <c r="CA54" i="1"/>
  <c r="AM52" i="1"/>
  <c r="DC49" i="1"/>
  <c r="BO47" i="1"/>
  <c r="AA45" i="1"/>
  <c r="CQ42" i="1"/>
  <c r="BC40" i="1"/>
  <c r="O38" i="1"/>
  <c r="CE35" i="1"/>
  <c r="AQ33" i="1"/>
  <c r="DG30" i="1"/>
  <c r="BS28" i="1"/>
  <c r="AE26" i="1"/>
  <c r="CU23" i="1"/>
  <c r="BG21" i="1"/>
  <c r="S19" i="1"/>
  <c r="CI16" i="1"/>
  <c r="AU14" i="1"/>
  <c r="G12" i="1"/>
  <c r="BW9" i="1"/>
  <c r="AI7" i="1"/>
  <c r="CY4" i="1"/>
  <c r="BB143" i="1"/>
  <c r="N141" i="1"/>
  <c r="CD138" i="1"/>
  <c r="AP136" i="1"/>
  <c r="DF133" i="1"/>
  <c r="BR131" i="1"/>
  <c r="AD129" i="1"/>
  <c r="CT126" i="1"/>
  <c r="BF124" i="1"/>
  <c r="R122" i="1"/>
  <c r="CH119" i="1"/>
  <c r="AT117" i="1"/>
  <c r="F115" i="1"/>
  <c r="BV112" i="1"/>
  <c r="AH110" i="1"/>
  <c r="CX107" i="1"/>
  <c r="BJ105" i="1"/>
  <c r="V103" i="1"/>
  <c r="CL100" i="1"/>
  <c r="AX98" i="1"/>
  <c r="J96" i="1"/>
  <c r="BZ93" i="1"/>
  <c r="AL91" i="1"/>
  <c r="DB88" i="1"/>
  <c r="BN86" i="1"/>
  <c r="Z84" i="1"/>
  <c r="CP81" i="1"/>
  <c r="BB79" i="1"/>
  <c r="N77" i="1"/>
  <c r="CD74" i="1"/>
  <c r="AP72" i="1"/>
  <c r="DF69" i="1"/>
  <c r="BR67" i="1"/>
  <c r="AD65" i="1"/>
  <c r="CT62" i="1"/>
  <c r="BF60" i="1"/>
  <c r="R58" i="1"/>
  <c r="CH55" i="1"/>
  <c r="AT53" i="1"/>
  <c r="F51" i="1"/>
  <c r="BV48" i="1"/>
  <c r="AH46" i="1"/>
  <c r="CX43" i="1"/>
  <c r="BJ41" i="1"/>
  <c r="V39" i="1"/>
  <c r="CL36" i="1"/>
  <c r="AX34" i="1"/>
  <c r="J32" i="1"/>
  <c r="BZ29" i="1"/>
  <c r="AL27" i="1"/>
  <c r="DB24" i="1"/>
  <c r="BN22" i="1"/>
  <c r="Z20" i="1"/>
  <c r="CP17" i="1"/>
  <c r="BB15" i="1"/>
  <c r="N13" i="1"/>
  <c r="CD10" i="1"/>
  <c r="AP8" i="1"/>
  <c r="DF5" i="1"/>
  <c r="BR3" i="1"/>
  <c r="AK142" i="1"/>
  <c r="DA139" i="1"/>
  <c r="BM137" i="1"/>
  <c r="Y135" i="1"/>
  <c r="CO132" i="1"/>
  <c r="BA130" i="1"/>
  <c r="G3" i="1"/>
  <c r="BY141" i="1"/>
  <c r="AK139" i="1"/>
  <c r="DA136" i="1"/>
  <c r="BM134" i="1"/>
  <c r="Y132" i="1"/>
  <c r="CO129" i="1"/>
  <c r="BA127" i="1"/>
  <c r="M125" i="1"/>
  <c r="CC122" i="1"/>
  <c r="AO120" i="1"/>
  <c r="DE117" i="1"/>
  <c r="BQ115" i="1"/>
  <c r="AC113" i="1"/>
  <c r="CS110" i="1"/>
  <c r="BE108" i="1"/>
  <c r="Q106" i="1"/>
  <c r="CG103" i="1"/>
  <c r="AS101" i="1"/>
  <c r="DI98" i="1"/>
  <c r="BU96" i="1"/>
  <c r="AG94" i="1"/>
  <c r="CW91" i="1"/>
  <c r="BI89" i="1"/>
  <c r="U87" i="1"/>
  <c r="CK84" i="1"/>
  <c r="AW82" i="1"/>
  <c r="I80" i="1"/>
  <c r="BY77" i="1"/>
  <c r="AK75" i="1"/>
  <c r="DA72" i="1"/>
  <c r="BM70" i="1"/>
  <c r="Y68" i="1"/>
  <c r="CO65" i="1"/>
  <c r="BA63" i="1"/>
  <c r="M61" i="1"/>
  <c r="CC58" i="1"/>
  <c r="AO56" i="1"/>
  <c r="DE53" i="1"/>
  <c r="BQ51" i="1"/>
  <c r="AC49" i="1"/>
  <c r="CS46" i="1"/>
  <c r="BE44" i="1"/>
  <c r="Q42" i="1"/>
  <c r="CG39" i="1"/>
  <c r="AS37" i="1"/>
  <c r="DI34" i="1"/>
  <c r="BU32" i="1"/>
  <c r="AG30" i="1"/>
  <c r="CW27" i="1"/>
  <c r="BI25" i="1"/>
  <c r="U23" i="1"/>
  <c r="CK20" i="1"/>
  <c r="AW18" i="1"/>
  <c r="I16" i="1"/>
  <c r="BY13" i="1"/>
  <c r="AK11" i="1"/>
  <c r="DA8" i="1"/>
  <c r="BM6" i="1"/>
  <c r="Y4" i="1"/>
  <c r="CR142" i="1"/>
  <c r="BD140" i="1"/>
  <c r="P138" i="1"/>
  <c r="CF135" i="1"/>
  <c r="AR133" i="1"/>
  <c r="DH130" i="1"/>
  <c r="BT128" i="1"/>
  <c r="AF126" i="1"/>
  <c r="CV123" i="1"/>
  <c r="BH121" i="1"/>
  <c r="T119" i="1"/>
  <c r="CJ116" i="1"/>
  <c r="AV114" i="1"/>
  <c r="H112" i="1"/>
  <c r="BX109" i="1"/>
  <c r="BS210" i="1"/>
  <c r="S201" i="1"/>
  <c r="BW191" i="1"/>
  <c r="W182" i="1"/>
  <c r="CA172" i="1"/>
  <c r="AA163" i="1"/>
  <c r="CE153" i="1"/>
  <c r="AE144" i="1"/>
  <c r="BF210" i="1"/>
  <c r="F201" i="1"/>
  <c r="BJ191" i="1"/>
  <c r="J182" i="1"/>
  <c r="BN172" i="1"/>
  <c r="N163" i="1"/>
  <c r="BR153" i="1"/>
  <c r="R144" i="1"/>
  <c r="CA134" i="1"/>
  <c r="AA125" i="1"/>
  <c r="CE115" i="1"/>
  <c r="AE106" i="1"/>
  <c r="CI96" i="1"/>
  <c r="BC87" i="1"/>
  <c r="AY83" i="1"/>
  <c r="AI80" i="1"/>
  <c r="O77" i="1"/>
  <c r="DC73" i="1"/>
  <c r="CM70" i="1"/>
  <c r="BS67" i="1"/>
  <c r="BC64" i="1"/>
  <c r="AM61" i="1"/>
  <c r="S58" i="1"/>
  <c r="K55" i="1"/>
  <c r="CA52" i="1"/>
  <c r="AM50" i="1"/>
  <c r="DC47" i="1"/>
  <c r="BO45" i="1"/>
  <c r="AA43" i="1"/>
  <c r="CQ40" i="1"/>
  <c r="BC38" i="1"/>
  <c r="O36" i="1"/>
  <c r="CE33" i="1"/>
  <c r="AQ31" i="1"/>
  <c r="DG28" i="1"/>
  <c r="BS26" i="1"/>
  <c r="AE24" i="1"/>
  <c r="CU21" i="1"/>
  <c r="BG19" i="1"/>
  <c r="S17" i="1"/>
  <c r="CI14" i="1"/>
  <c r="AU12" i="1"/>
  <c r="G10" i="1"/>
  <c r="BW7" i="1"/>
  <c r="AI5" i="1"/>
  <c r="CP143" i="1"/>
  <c r="BB141" i="1"/>
  <c r="N139" i="1"/>
  <c r="CD136" i="1"/>
  <c r="AP134" i="1"/>
  <c r="DF131" i="1"/>
  <c r="BR129" i="1"/>
  <c r="AD127" i="1"/>
  <c r="CT124" i="1"/>
  <c r="BF122" i="1"/>
  <c r="R120" i="1"/>
  <c r="CH117" i="1"/>
  <c r="AT115" i="1"/>
  <c r="F113" i="1"/>
  <c r="BV110" i="1"/>
  <c r="AH108" i="1"/>
  <c r="CX105" i="1"/>
  <c r="BJ103" i="1"/>
  <c r="V101" i="1"/>
  <c r="CL98" i="1"/>
  <c r="AX96" i="1"/>
  <c r="J94" i="1"/>
  <c r="BZ91" i="1"/>
  <c r="AL89" i="1"/>
  <c r="DB86" i="1"/>
  <c r="BN84" i="1"/>
  <c r="Z82" i="1"/>
  <c r="CP79" i="1"/>
  <c r="BB77" i="1"/>
  <c r="N75" i="1"/>
  <c r="CD72" i="1"/>
  <c r="AP70" i="1"/>
  <c r="DF67" i="1"/>
  <c r="BR65" i="1"/>
  <c r="AD63" i="1"/>
  <c r="CT60" i="1"/>
  <c r="BF58" i="1"/>
  <c r="R56" i="1"/>
  <c r="CH53" i="1"/>
  <c r="AT51" i="1"/>
  <c r="F49" i="1"/>
  <c r="BV46" i="1"/>
  <c r="AH44" i="1"/>
  <c r="CX41" i="1"/>
  <c r="BJ39" i="1"/>
  <c r="V37" i="1"/>
  <c r="CL34" i="1"/>
  <c r="AX32" i="1"/>
  <c r="J30" i="1"/>
  <c r="BZ27" i="1"/>
  <c r="AL25" i="1"/>
  <c r="DB22" i="1"/>
  <c r="BN20" i="1"/>
  <c r="Z18" i="1"/>
  <c r="CP15" i="1"/>
  <c r="BB13" i="1"/>
  <c r="N11" i="1"/>
  <c r="CD8" i="1"/>
  <c r="AP6" i="1"/>
  <c r="DF3" i="1"/>
  <c r="BY142" i="1"/>
  <c r="AK140" i="1"/>
  <c r="DA137" i="1"/>
  <c r="BM135" i="1"/>
  <c r="Y133" i="1"/>
  <c r="CO130" i="1"/>
  <c r="BA128" i="1"/>
  <c r="M126" i="1"/>
  <c r="CC123" i="1"/>
  <c r="AO121" i="1"/>
  <c r="DE118" i="1"/>
  <c r="BQ116" i="1"/>
  <c r="AC114" i="1"/>
  <c r="CS111" i="1"/>
  <c r="BE109" i="1"/>
  <c r="CU209" i="1"/>
  <c r="AU200" i="1"/>
  <c r="CY190" i="1"/>
  <c r="AY181" i="1"/>
  <c r="DC171" i="1"/>
  <c r="BC162" i="1"/>
  <c r="DG152" i="1"/>
  <c r="AD219" i="1"/>
  <c r="CH209" i="1"/>
  <c r="AH200" i="1"/>
  <c r="CL190" i="1"/>
  <c r="AL181" i="1"/>
  <c r="CP171" i="1"/>
  <c r="AP162" i="1"/>
  <c r="CT152" i="1"/>
  <c r="AY143" i="1"/>
  <c r="DC133" i="1"/>
  <c r="BC124" i="1"/>
  <c r="DG114" i="1"/>
  <c r="BG105" i="1"/>
  <c r="G96" i="1"/>
  <c r="S87" i="1"/>
  <c r="W83" i="1"/>
  <c r="G80" i="1"/>
  <c r="CU76" i="1"/>
  <c r="CA73" i="1"/>
  <c r="BK70" i="1"/>
  <c r="AU67" i="1"/>
  <c r="AA64" i="1"/>
  <c r="K61" i="1"/>
  <c r="CY57" i="1"/>
  <c r="CU54" i="1"/>
  <c r="BG52" i="1"/>
  <c r="S50" i="1"/>
  <c r="CI47" i="1"/>
  <c r="AU45" i="1"/>
  <c r="G43" i="1"/>
  <c r="BW40" i="1"/>
  <c r="AI38" i="1"/>
  <c r="CY35" i="1"/>
  <c r="BK33" i="1"/>
  <c r="W31" i="1"/>
  <c r="CM28" i="1"/>
  <c r="AY26" i="1"/>
  <c r="K24" i="1"/>
  <c r="CA21" i="1"/>
  <c r="AM19" i="1"/>
  <c r="DC16" i="1"/>
  <c r="BO14" i="1"/>
  <c r="AA12" i="1"/>
  <c r="CQ9" i="1"/>
  <c r="BC7" i="1"/>
  <c r="O5" i="1"/>
  <c r="BV143" i="1"/>
  <c r="AH141" i="1"/>
  <c r="CX138" i="1"/>
  <c r="BJ136" i="1"/>
  <c r="V134" i="1"/>
  <c r="CL131" i="1"/>
  <c r="AX129" i="1"/>
  <c r="J127" i="1"/>
  <c r="BZ124" i="1"/>
  <c r="AL122" i="1"/>
  <c r="DB119" i="1"/>
  <c r="BN117" i="1"/>
  <c r="Z115" i="1"/>
  <c r="CP112" i="1"/>
  <c r="BB110" i="1"/>
  <c r="N108" i="1"/>
  <c r="CD105" i="1"/>
  <c r="AP103" i="1"/>
  <c r="DF100" i="1"/>
  <c r="BR98" i="1"/>
  <c r="AD96" i="1"/>
  <c r="CT93" i="1"/>
  <c r="BF91" i="1"/>
  <c r="R89" i="1"/>
  <c r="CH86" i="1"/>
  <c r="AT84" i="1"/>
  <c r="F82" i="1"/>
  <c r="BV79" i="1"/>
  <c r="AH77" i="1"/>
  <c r="CX74" i="1"/>
  <c r="BJ72" i="1"/>
  <c r="V70" i="1"/>
  <c r="CL67" i="1"/>
  <c r="AX65" i="1"/>
  <c r="J63" i="1"/>
  <c r="BZ60" i="1"/>
  <c r="AL58" i="1"/>
  <c r="DB55" i="1"/>
  <c r="BN53" i="1"/>
  <c r="Z51" i="1"/>
  <c r="CP48" i="1"/>
  <c r="BB46" i="1"/>
  <c r="N44" i="1"/>
  <c r="CD41" i="1"/>
  <c r="AP39" i="1"/>
  <c r="DF36" i="1"/>
  <c r="BR34" i="1"/>
  <c r="AD32" i="1"/>
  <c r="CT29" i="1"/>
  <c r="BF27" i="1"/>
  <c r="R25" i="1"/>
  <c r="CH22" i="1"/>
  <c r="AT20" i="1"/>
  <c r="F18" i="1"/>
  <c r="BV15" i="1"/>
  <c r="AH13" i="1"/>
  <c r="CX10" i="1"/>
  <c r="BJ8" i="1"/>
  <c r="V6" i="1"/>
  <c r="CL3" i="1"/>
  <c r="BE142" i="1"/>
  <c r="Q140" i="1"/>
  <c r="CG137" i="1"/>
  <c r="AS135" i="1"/>
  <c r="DI132" i="1"/>
  <c r="BU130" i="1"/>
  <c r="AG128" i="1"/>
  <c r="CW125" i="1"/>
  <c r="BI123" i="1"/>
  <c r="U121" i="1"/>
  <c r="CK118" i="1"/>
  <c r="AW116" i="1"/>
  <c r="I114" i="1"/>
  <c r="BY111" i="1"/>
  <c r="AK109" i="1"/>
  <c r="DA106" i="1"/>
  <c r="BM104" i="1"/>
  <c r="Y102" i="1"/>
  <c r="CO99" i="1"/>
  <c r="BA97" i="1"/>
  <c r="M95" i="1"/>
  <c r="CC92" i="1"/>
  <c r="AO90" i="1"/>
  <c r="DE87" i="1"/>
  <c r="BQ85" i="1"/>
  <c r="AC83" i="1"/>
  <c r="CS80" i="1"/>
  <c r="BE78" i="1"/>
  <c r="Q76" i="1"/>
  <c r="CG73" i="1"/>
  <c r="AS71" i="1"/>
  <c r="DI68" i="1"/>
  <c r="BU66" i="1"/>
  <c r="AG64" i="1"/>
  <c r="CW61" i="1"/>
  <c r="BI59" i="1"/>
  <c r="U57" i="1"/>
  <c r="CK54" i="1"/>
  <c r="AW52" i="1"/>
  <c r="I50" i="1"/>
  <c r="BY47" i="1"/>
  <c r="AK45" i="1"/>
  <c r="DA42" i="1"/>
  <c r="BM40" i="1"/>
  <c r="Y38" i="1"/>
  <c r="CO35" i="1"/>
  <c r="BA33" i="1"/>
  <c r="M31" i="1"/>
  <c r="CC28" i="1"/>
  <c r="AO26" i="1"/>
  <c r="DE23" i="1"/>
  <c r="BQ21" i="1"/>
  <c r="AC19" i="1"/>
  <c r="CS16" i="1"/>
  <c r="BE14" i="1"/>
  <c r="Q12" i="1"/>
  <c r="CG9" i="1"/>
  <c r="AS7" i="1"/>
  <c r="DI4" i="1"/>
  <c r="BX143" i="1"/>
  <c r="AJ141" i="1"/>
  <c r="CZ138" i="1"/>
  <c r="BL136" i="1"/>
  <c r="X134" i="1"/>
  <c r="CN131" i="1"/>
  <c r="AZ129" i="1"/>
  <c r="L127" i="1"/>
  <c r="CB124" i="1"/>
  <c r="AN122" i="1"/>
  <c r="DD119" i="1"/>
  <c r="BP117" i="1"/>
  <c r="AB115" i="1"/>
  <c r="CR112" i="1"/>
  <c r="BD110" i="1"/>
  <c r="AI213" i="1"/>
  <c r="CM203" i="1"/>
  <c r="AM194" i="1"/>
  <c r="CQ184" i="1"/>
  <c r="AQ175" i="1"/>
  <c r="CU165" i="1"/>
  <c r="AU156" i="1"/>
  <c r="CY146" i="1"/>
  <c r="V213" i="1"/>
  <c r="BZ203" i="1"/>
  <c r="Z194" i="1"/>
  <c r="CD184" i="1"/>
  <c r="AD175" i="1"/>
  <c r="CH165" i="1"/>
  <c r="AH156" i="1"/>
  <c r="CL146" i="1"/>
  <c r="AQ137" i="1"/>
  <c r="CU127" i="1"/>
  <c r="AU118" i="1"/>
  <c r="CY108" i="1"/>
  <c r="AY99" i="1"/>
  <c r="DC89" i="1"/>
  <c r="AM84" i="1"/>
  <c r="W81" i="1"/>
  <c r="DG77" i="1"/>
  <c r="CQ74" i="1"/>
  <c r="CA71" i="1"/>
  <c r="BG68" i="1"/>
  <c r="AQ65" i="1"/>
  <c r="AA62" i="1"/>
  <c r="G59" i="1"/>
  <c r="CU55" i="1"/>
  <c r="AQ53" i="1"/>
  <c r="DG50" i="1"/>
  <c r="BS48" i="1"/>
  <c r="AE46" i="1"/>
  <c r="CU43" i="1"/>
  <c r="BG41" i="1"/>
  <c r="S39" i="1"/>
  <c r="CI36" i="1"/>
  <c r="AU34" i="1"/>
  <c r="G32" i="1"/>
  <c r="BW29" i="1"/>
  <c r="AI27" i="1"/>
  <c r="CY24" i="1"/>
  <c r="BK22" i="1"/>
  <c r="W20" i="1"/>
  <c r="CM17" i="1"/>
  <c r="AY15" i="1"/>
  <c r="K13" i="1"/>
  <c r="CA10" i="1"/>
  <c r="AM8" i="1"/>
  <c r="DC5" i="1"/>
  <c r="BO3" i="1"/>
  <c r="R142" i="1"/>
  <c r="CH139" i="1"/>
  <c r="AT137" i="1"/>
  <c r="F135" i="1"/>
  <c r="BV132" i="1"/>
  <c r="AH130" i="1"/>
  <c r="CX127" i="1"/>
  <c r="BJ125" i="1"/>
  <c r="V123" i="1"/>
  <c r="CL120" i="1"/>
  <c r="AX118" i="1"/>
  <c r="J116" i="1"/>
  <c r="BZ113" i="1"/>
  <c r="AL111" i="1"/>
  <c r="DB108" i="1"/>
  <c r="BN106" i="1"/>
  <c r="Z104" i="1"/>
  <c r="CP101" i="1"/>
  <c r="BB99" i="1"/>
  <c r="N97" i="1"/>
  <c r="CD94" i="1"/>
  <c r="AP92" i="1"/>
  <c r="DF89" i="1"/>
  <c r="BR87" i="1"/>
  <c r="AD85" i="1"/>
  <c r="CT82" i="1"/>
  <c r="BF80" i="1"/>
  <c r="R78" i="1"/>
  <c r="CH75" i="1"/>
  <c r="AT73" i="1"/>
  <c r="F71" i="1"/>
  <c r="BV68" i="1"/>
  <c r="AH66" i="1"/>
  <c r="CX63" i="1"/>
  <c r="BJ61" i="1"/>
  <c r="V59" i="1"/>
  <c r="CL56" i="1"/>
  <c r="AX54" i="1"/>
  <c r="J52" i="1"/>
  <c r="BZ49" i="1"/>
  <c r="AL47" i="1"/>
  <c r="DB44" i="1"/>
  <c r="BN42" i="1"/>
  <c r="Z40" i="1"/>
  <c r="CP37" i="1"/>
  <c r="BB35" i="1"/>
  <c r="N33" i="1"/>
  <c r="CD30" i="1"/>
  <c r="AP28" i="1"/>
  <c r="DF25" i="1"/>
  <c r="BR23" i="1"/>
  <c r="AD21" i="1"/>
  <c r="CT18" i="1"/>
  <c r="BF16" i="1"/>
  <c r="R14" i="1"/>
  <c r="CH11" i="1"/>
  <c r="AT9" i="1"/>
  <c r="F7" i="1"/>
  <c r="BV4" i="1"/>
  <c r="AO143" i="1"/>
  <c r="DE140" i="1"/>
  <c r="BQ138" i="1"/>
  <c r="AC136" i="1"/>
  <c r="CS133" i="1"/>
  <c r="BE131" i="1"/>
  <c r="Q129" i="1"/>
  <c r="CG126" i="1"/>
  <c r="AS124" i="1"/>
  <c r="DI121" i="1"/>
  <c r="BU119" i="1"/>
  <c r="AG117" i="1"/>
  <c r="CW114" i="1"/>
  <c r="BI112" i="1"/>
  <c r="U110" i="1"/>
  <c r="CK107" i="1"/>
  <c r="AW105" i="1"/>
  <c r="I103" i="1"/>
  <c r="BY100" i="1"/>
  <c r="AK98" i="1"/>
  <c r="DA95" i="1"/>
  <c r="BM93" i="1"/>
  <c r="Y91" i="1"/>
  <c r="CO88" i="1"/>
  <c r="BA86" i="1"/>
  <c r="AO123" i="1"/>
  <c r="BQ118" i="1"/>
  <c r="CS113" i="1"/>
  <c r="Q109" i="1"/>
  <c r="AS104" i="1"/>
  <c r="AS100" i="1"/>
  <c r="AG97" i="1"/>
  <c r="DI93" i="1"/>
  <c r="CW90" i="1"/>
  <c r="CK87" i="1"/>
  <c r="CO84" i="1"/>
  <c r="BA82" i="1"/>
  <c r="M80" i="1"/>
  <c r="CC77" i="1"/>
  <c r="AO75" i="1"/>
  <c r="DE72" i="1"/>
  <c r="BQ70" i="1"/>
  <c r="AC68" i="1"/>
  <c r="DI107" i="1"/>
  <c r="BI98" i="1"/>
  <c r="I89" i="1"/>
  <c r="BM79" i="1"/>
  <c r="M70" i="1"/>
  <c r="AO63" i="1"/>
  <c r="BQ58" i="1"/>
  <c r="CS53" i="1"/>
  <c r="Q49" i="1"/>
  <c r="AS44" i="1"/>
  <c r="BU39" i="1"/>
  <c r="CW34" i="1"/>
  <c r="U30" i="1"/>
  <c r="AW25" i="1"/>
  <c r="BY20" i="1"/>
  <c r="DA15" i="1"/>
  <c r="Y11" i="1"/>
  <c r="BA6" i="1"/>
  <c r="CF142" i="1"/>
  <c r="DH137" i="1"/>
  <c r="AF133" i="1"/>
  <c r="BH128" i="1"/>
  <c r="CJ123" i="1"/>
  <c r="H119" i="1"/>
  <c r="AJ114" i="1"/>
  <c r="BL109" i="1"/>
  <c r="CJ106" i="1"/>
  <c r="AV104" i="1"/>
  <c r="H102" i="1"/>
  <c r="BX99" i="1"/>
  <c r="AJ97" i="1"/>
  <c r="CZ94" i="1"/>
  <c r="BL92" i="1"/>
  <c r="X90" i="1"/>
  <c r="CN87" i="1"/>
  <c r="AZ85" i="1"/>
  <c r="L83" i="1"/>
  <c r="CB80" i="1"/>
  <c r="AN78" i="1"/>
  <c r="DD75" i="1"/>
  <c r="BP73" i="1"/>
  <c r="AB71" i="1"/>
  <c r="CR68" i="1"/>
  <c r="BD66" i="1"/>
  <c r="P64" i="1"/>
  <c r="CF61" i="1"/>
  <c r="AR59" i="1"/>
  <c r="DH56" i="1"/>
  <c r="BT54" i="1"/>
  <c r="AF52" i="1"/>
  <c r="CV49" i="1"/>
  <c r="BH47" i="1"/>
  <c r="T45" i="1"/>
  <c r="CJ42" i="1"/>
  <c r="AV40" i="1"/>
  <c r="H38" i="1"/>
  <c r="BX35" i="1"/>
  <c r="AJ33" i="1"/>
  <c r="CZ30" i="1"/>
  <c r="BL28" i="1"/>
  <c r="X26" i="1"/>
  <c r="CN23" i="1"/>
  <c r="AZ21" i="1"/>
  <c r="L19" i="1"/>
  <c r="CB16" i="1"/>
  <c r="AN14" i="1"/>
  <c r="DD11" i="1"/>
  <c r="BP9" i="1"/>
  <c r="AB7" i="1"/>
  <c r="CR4" i="1"/>
  <c r="CG76" i="1"/>
  <c r="CK57" i="1"/>
  <c r="AG43" i="1"/>
  <c r="CG28" i="1"/>
  <c r="AC14" i="1"/>
  <c r="H141" i="1"/>
  <c r="AB126" i="1"/>
  <c r="AV111" i="1"/>
  <c r="BH102" i="1"/>
  <c r="P95" i="1"/>
  <c r="BL87" i="1"/>
  <c r="CF80" i="1"/>
  <c r="CV72" i="1"/>
  <c r="CZ65" i="1"/>
  <c r="AR58" i="1"/>
  <c r="P51" i="1"/>
  <c r="AV43" i="1"/>
  <c r="CB35" i="1"/>
  <c r="AJ28" i="1"/>
  <c r="CV20" i="1"/>
  <c r="H13" i="1"/>
  <c r="H5" i="1"/>
  <c r="DA101" i="1"/>
  <c r="BA92" i="1"/>
  <c r="DE82" i="1"/>
  <c r="BE73" i="1"/>
  <c r="I65" i="1"/>
  <c r="AK60" i="1"/>
  <c r="BM55" i="1"/>
  <c r="CO50" i="1"/>
  <c r="M46" i="1"/>
  <c r="AO41" i="1"/>
  <c r="BQ36" i="1"/>
  <c r="CS31" i="1"/>
  <c r="Q27" i="1"/>
  <c r="AS22" i="1"/>
  <c r="BU17" i="1"/>
  <c r="CW12" i="1"/>
  <c r="U8" i="1"/>
  <c r="AW3" i="1"/>
  <c r="CB139" i="1"/>
  <c r="DD134" i="1"/>
  <c r="AB130" i="1"/>
  <c r="BD125" i="1"/>
  <c r="CF120" i="1"/>
  <c r="DH115" i="1"/>
  <c r="AF111" i="1"/>
  <c r="BT107" i="1"/>
  <c r="AF105" i="1"/>
  <c r="CV102" i="1"/>
  <c r="BH100" i="1"/>
  <c r="T98" i="1"/>
  <c r="CJ95" i="1"/>
  <c r="AV93" i="1"/>
  <c r="H91" i="1"/>
  <c r="BX88" i="1"/>
  <c r="AJ86" i="1"/>
  <c r="CZ83" i="1"/>
  <c r="BL81" i="1"/>
  <c r="X79" i="1"/>
  <c r="CN76" i="1"/>
  <c r="AZ74" i="1"/>
  <c r="L72" i="1"/>
  <c r="CB69" i="1"/>
  <c r="AN67" i="1"/>
  <c r="DD64" i="1"/>
  <c r="BP62" i="1"/>
  <c r="AB60" i="1"/>
  <c r="CR57" i="1"/>
  <c r="BD55" i="1"/>
  <c r="P53" i="1"/>
  <c r="CF50" i="1"/>
  <c r="AR48" i="1"/>
  <c r="DH45" i="1"/>
  <c r="BT43" i="1"/>
  <c r="AF41" i="1"/>
  <c r="CV38" i="1"/>
  <c r="BH36" i="1"/>
  <c r="T34" i="1"/>
  <c r="CJ31" i="1"/>
  <c r="AV29" i="1"/>
  <c r="H27" i="1"/>
  <c r="BX24" i="1"/>
  <c r="AJ22" i="1"/>
  <c r="CZ19" i="1"/>
  <c r="BL17" i="1"/>
  <c r="X15" i="1"/>
  <c r="CN12" i="1"/>
  <c r="AZ10" i="1"/>
  <c r="L8" i="1"/>
  <c r="CB5" i="1"/>
  <c r="AN3" i="1"/>
  <c r="Q63" i="1"/>
  <c r="BE49" i="1"/>
  <c r="DE34" i="1"/>
  <c r="BU21" i="1"/>
  <c r="CC7" i="1"/>
  <c r="CN134" i="1"/>
  <c r="AJ120" i="1"/>
  <c r="BL107" i="1"/>
  <c r="AZ100" i="1"/>
  <c r="CJ93" i="1"/>
  <c r="BH86" i="1"/>
  <c r="P79" i="1"/>
  <c r="BP72" i="1"/>
  <c r="CJ65" i="1"/>
  <c r="P59" i="1"/>
  <c r="T52" i="1"/>
  <c r="X45" i="1"/>
  <c r="BH38" i="1"/>
  <c r="CR31" i="1"/>
  <c r="BP24" i="1"/>
  <c r="BT17" i="1"/>
  <c r="CN10" i="1"/>
  <c r="CB3" i="1"/>
  <c r="DI99" i="1"/>
  <c r="BI90" i="1"/>
  <c r="I81" i="1"/>
  <c r="BM71" i="1"/>
  <c r="M64" i="1"/>
  <c r="AO59" i="1"/>
  <c r="BQ54" i="1"/>
  <c r="CS49" i="1"/>
  <c r="Q45" i="1"/>
  <c r="AS40" i="1"/>
  <c r="BU35" i="1"/>
  <c r="CW30" i="1"/>
  <c r="U26" i="1"/>
  <c r="AW21" i="1"/>
  <c r="BY16" i="1"/>
  <c r="DA11" i="1"/>
  <c r="Y7" i="1"/>
  <c r="BD143" i="1"/>
  <c r="CF138" i="1"/>
  <c r="DH133" i="1"/>
  <c r="AF129" i="1"/>
  <c r="BH124" i="1"/>
  <c r="CJ119" i="1"/>
  <c r="H115" i="1"/>
  <c r="AJ110" i="1"/>
  <c r="T107" i="1"/>
  <c r="CJ104" i="1"/>
  <c r="AV102" i="1"/>
  <c r="H100" i="1"/>
  <c r="BX97" i="1"/>
  <c r="AJ95" i="1"/>
  <c r="CZ92" i="1"/>
  <c r="BL90" i="1"/>
  <c r="X88" i="1"/>
  <c r="CN85" i="1"/>
  <c r="AZ83" i="1"/>
  <c r="L81" i="1"/>
  <c r="CB78" i="1"/>
  <c r="AN76" i="1"/>
  <c r="DD73" i="1"/>
  <c r="BP71" i="1"/>
  <c r="AB69" i="1"/>
  <c r="CR66" i="1"/>
  <c r="BD64" i="1"/>
  <c r="P62" i="1"/>
  <c r="CF59" i="1"/>
  <c r="AR57" i="1"/>
  <c r="DH54" i="1"/>
  <c r="BT52" i="1"/>
  <c r="AF50" i="1"/>
  <c r="CV47" i="1"/>
  <c r="BH45" i="1"/>
  <c r="T43" i="1"/>
  <c r="CJ40" i="1"/>
  <c r="AV38" i="1"/>
  <c r="H36" i="1"/>
  <c r="BX33" i="1"/>
  <c r="AJ31" i="1"/>
  <c r="CZ28" i="1"/>
  <c r="BL26" i="1"/>
  <c r="X24" i="1"/>
  <c r="CN21" i="1"/>
  <c r="AZ19" i="1"/>
  <c r="L17" i="1"/>
  <c r="CB14" i="1"/>
  <c r="AN12" i="1"/>
  <c r="DD9" i="1"/>
  <c r="BP7" i="1"/>
  <c r="AB5" i="1"/>
  <c r="U108" i="1"/>
  <c r="BE97" i="1"/>
  <c r="BU85" i="1"/>
  <c r="AC54" i="1"/>
  <c r="Y25" i="1"/>
  <c r="AF131" i="1"/>
  <c r="DH107" i="1"/>
  <c r="AZ92" i="1"/>
  <c r="CV76" i="1"/>
  <c r="L62" i="1"/>
  <c r="AR46" i="1"/>
  <c r="BH30" i="1"/>
  <c r="AV15" i="1"/>
  <c r="BX38" i="1"/>
  <c r="DH19" i="1"/>
  <c r="CR27" i="1"/>
  <c r="L6" i="1"/>
  <c r="CS121" i="1"/>
  <c r="Q117" i="1"/>
  <c r="AS112" i="1"/>
  <c r="BU107" i="1"/>
  <c r="CW102" i="1"/>
  <c r="AO99" i="1"/>
  <c r="AC96" i="1"/>
  <c r="Q93" i="1"/>
  <c r="CS89" i="1"/>
  <c r="CG86" i="1"/>
  <c r="M84" i="1"/>
  <c r="CC81" i="1"/>
  <c r="AO79" i="1"/>
  <c r="DE76" i="1"/>
  <c r="BQ74" i="1"/>
  <c r="AC72" i="1"/>
  <c r="CS69" i="1"/>
  <c r="BE67" i="1"/>
  <c r="I105" i="1"/>
  <c r="BM95" i="1"/>
  <c r="M86" i="1"/>
  <c r="BQ76" i="1"/>
  <c r="Q67" i="1"/>
  <c r="CS61" i="1"/>
  <c r="Q57" i="1"/>
  <c r="AS52" i="1"/>
  <c r="BU47" i="1"/>
  <c r="CW42" i="1"/>
  <c r="U38" i="1"/>
  <c r="AW33" i="1"/>
  <c r="BY28" i="1"/>
  <c r="DA23" i="1"/>
  <c r="Y19" i="1"/>
  <c r="BA14" i="1"/>
  <c r="CC9" i="1"/>
  <c r="DE4" i="1"/>
  <c r="AF141" i="1"/>
  <c r="BH136" i="1"/>
  <c r="CJ131" i="1"/>
  <c r="H127" i="1"/>
  <c r="AJ122" i="1"/>
  <c r="BL117" i="1"/>
  <c r="CN112" i="1"/>
  <c r="AV108" i="1"/>
  <c r="H106" i="1"/>
  <c r="BX103" i="1"/>
  <c r="AJ101" i="1"/>
  <c r="CZ98" i="1"/>
  <c r="BL96" i="1"/>
  <c r="X94" i="1"/>
  <c r="CN91" i="1"/>
  <c r="AZ89" i="1"/>
  <c r="L87" i="1"/>
  <c r="CB84" i="1"/>
  <c r="AN82" i="1"/>
  <c r="DD79" i="1"/>
  <c r="BP77" i="1"/>
  <c r="AB75" i="1"/>
  <c r="CR72" i="1"/>
  <c r="BD70" i="1"/>
  <c r="P68" i="1"/>
  <c r="CF65" i="1"/>
  <c r="AR63" i="1"/>
  <c r="DH60" i="1"/>
  <c r="BT58" i="1"/>
  <c r="AF56" i="1"/>
  <c r="CV53" i="1"/>
  <c r="BH51" i="1"/>
  <c r="T49" i="1"/>
  <c r="CJ46" i="1"/>
  <c r="AV44" i="1"/>
  <c r="H42" i="1"/>
  <c r="BX39" i="1"/>
  <c r="AJ37" i="1"/>
  <c r="CZ34" i="1"/>
  <c r="BL32" i="1"/>
  <c r="X30" i="1"/>
  <c r="CN27" i="1"/>
  <c r="AZ25" i="1"/>
  <c r="L23" i="1"/>
  <c r="CB20" i="1"/>
  <c r="AN18" i="1"/>
  <c r="DD15" i="1"/>
  <c r="BP13" i="1"/>
  <c r="AB11" i="1"/>
  <c r="CR8" i="1"/>
  <c r="BD6" i="1"/>
  <c r="P4" i="1"/>
  <c r="CS67" i="1"/>
  <c r="I53" i="1"/>
  <c r="CO38" i="1"/>
  <c r="BQ24" i="1"/>
  <c r="AS10" i="1"/>
  <c r="AJ136" i="1"/>
  <c r="CJ121" i="1"/>
  <c r="CB107" i="1"/>
  <c r="AJ100" i="1"/>
  <c r="CF92" i="1"/>
  <c r="X85" i="1"/>
  <c r="AB78" i="1"/>
  <c r="DD70" i="1"/>
  <c r="AF63" i="1"/>
  <c r="T56" i="1"/>
  <c r="CF48" i="1"/>
  <c r="X41" i="1"/>
  <c r="AN33" i="1"/>
  <c r="L26" i="1"/>
  <c r="BH18" i="1"/>
  <c r="BX10" i="1"/>
  <c r="BA108" i="1"/>
  <c r="DE98" i="1"/>
  <c r="BE89" i="1"/>
  <c r="DI79" i="1"/>
  <c r="BI70" i="1"/>
  <c r="BM63" i="1"/>
  <c r="CO58" i="1"/>
  <c r="M54" i="1"/>
  <c r="AO49" i="1"/>
  <c r="BQ44" i="1"/>
  <c r="CS39" i="1"/>
  <c r="Q35" i="1"/>
  <c r="AS30" i="1"/>
  <c r="BU25" i="1"/>
  <c r="CW20" i="1"/>
  <c r="U16" i="1"/>
  <c r="AW11" i="1"/>
  <c r="BY6" i="1"/>
  <c r="DD142" i="1"/>
  <c r="AB138" i="1"/>
  <c r="BD133" i="1"/>
  <c r="CF128" i="1"/>
  <c r="DH123" i="1"/>
  <c r="AF119" i="1"/>
  <c r="BH114" i="1"/>
  <c r="CJ109" i="1"/>
  <c r="CV106" i="1"/>
  <c r="BH104" i="1"/>
  <c r="T102" i="1"/>
  <c r="CJ99" i="1"/>
  <c r="AV97" i="1"/>
  <c r="H95" i="1"/>
  <c r="BX92" i="1"/>
  <c r="AJ90" i="1"/>
  <c r="CZ87" i="1"/>
  <c r="BL85" i="1"/>
  <c r="X83" i="1"/>
  <c r="CN80" i="1"/>
  <c r="AZ78" i="1"/>
  <c r="L76" i="1"/>
  <c r="CB73" i="1"/>
  <c r="AN71" i="1"/>
  <c r="DD68" i="1"/>
  <c r="BP66" i="1"/>
  <c r="AB64" i="1"/>
  <c r="CR61" i="1"/>
  <c r="BD59" i="1"/>
  <c r="P57" i="1"/>
  <c r="CF54" i="1"/>
  <c r="AR52" i="1"/>
  <c r="DH49" i="1"/>
  <c r="BT47" i="1"/>
  <c r="AF45" i="1"/>
  <c r="CV42" i="1"/>
  <c r="BH40" i="1"/>
  <c r="T38" i="1"/>
  <c r="CJ35" i="1"/>
  <c r="AV33" i="1"/>
  <c r="H31" i="1"/>
  <c r="BX28" i="1"/>
  <c r="AJ26" i="1"/>
  <c r="CZ23" i="1"/>
  <c r="BL21" i="1"/>
  <c r="X19" i="1"/>
  <c r="CN16" i="1"/>
  <c r="AZ14" i="1"/>
  <c r="L12" i="1"/>
  <c r="CB9" i="1"/>
  <c r="AN7" i="1"/>
  <c r="DD4" i="1"/>
  <c r="DA77" i="1"/>
  <c r="AS58" i="1"/>
  <c r="CG44" i="1"/>
  <c r="BI30" i="1"/>
  <c r="BE17" i="1"/>
  <c r="AG3" i="1"/>
  <c r="L130" i="1"/>
  <c r="AF115" i="1"/>
  <c r="AN105" i="1"/>
  <c r="AR98" i="1"/>
  <c r="AV91" i="1"/>
  <c r="AJ84" i="1"/>
  <c r="X77" i="1"/>
  <c r="AR70" i="1"/>
  <c r="CR63" i="1"/>
  <c r="CF56" i="1"/>
  <c r="CZ49" i="1"/>
  <c r="P43" i="1"/>
  <c r="BP36" i="1"/>
  <c r="CJ29" i="1"/>
  <c r="AR22" i="1"/>
  <c r="AF15" i="1"/>
  <c r="CF8" i="1"/>
  <c r="BI106" i="1"/>
  <c r="I97" i="1"/>
  <c r="BM87" i="1"/>
  <c r="M78" i="1"/>
  <c r="BQ68" i="1"/>
  <c r="BQ62" i="1"/>
  <c r="CS57" i="1"/>
  <c r="Q53" i="1"/>
  <c r="AS48" i="1"/>
  <c r="BU43" i="1"/>
  <c r="CW38" i="1"/>
  <c r="U34" i="1"/>
  <c r="AW29" i="1"/>
  <c r="BY24" i="1"/>
  <c r="DA19" i="1"/>
  <c r="Y15" i="1"/>
  <c r="BA10" i="1"/>
  <c r="CC5" i="1"/>
  <c r="DH141" i="1"/>
  <c r="AF137" i="1"/>
  <c r="BH132" i="1"/>
  <c r="CJ127" i="1"/>
  <c r="H123" i="1"/>
  <c r="AJ118" i="1"/>
  <c r="BL113" i="1"/>
  <c r="CN108" i="1"/>
  <c r="AV106" i="1"/>
  <c r="H104" i="1"/>
  <c r="BX101" i="1"/>
  <c r="AJ99" i="1"/>
  <c r="CZ96" i="1"/>
  <c r="BL94" i="1"/>
  <c r="X92" i="1"/>
  <c r="CN89" i="1"/>
  <c r="AZ87" i="1"/>
  <c r="L85" i="1"/>
  <c r="CB82" i="1"/>
  <c r="AN80" i="1"/>
  <c r="DD77" i="1"/>
  <c r="BP75" i="1"/>
  <c r="AB73" i="1"/>
  <c r="CR70" i="1"/>
  <c r="BD68" i="1"/>
  <c r="P66" i="1"/>
  <c r="CF63" i="1"/>
  <c r="AR61" i="1"/>
  <c r="DH58" i="1"/>
  <c r="BT56" i="1"/>
  <c r="AF54" i="1"/>
  <c r="CV51" i="1"/>
  <c r="BH49" i="1"/>
  <c r="T47" i="1"/>
  <c r="CJ44" i="1"/>
  <c r="AV42" i="1"/>
  <c r="H40" i="1"/>
  <c r="BX37" i="1"/>
  <c r="AJ35" i="1"/>
  <c r="CZ32" i="1"/>
  <c r="BL30" i="1"/>
  <c r="X28" i="1"/>
  <c r="CN25" i="1"/>
  <c r="AZ23" i="1"/>
  <c r="L21" i="1"/>
  <c r="CB18" i="1"/>
  <c r="AN16" i="1"/>
  <c r="DD13" i="1"/>
  <c r="BP11" i="1"/>
  <c r="AB9" i="1"/>
  <c r="CR6" i="1"/>
  <c r="BD4" i="1"/>
  <c r="DI103" i="1"/>
  <c r="BI94" i="1"/>
  <c r="I85" i="1"/>
  <c r="CW64" i="1"/>
  <c r="CK49" i="1"/>
  <c r="BM35" i="1"/>
  <c r="I21" i="1"/>
  <c r="CO6" i="1"/>
  <c r="BT133" i="1"/>
  <c r="CB119" i="1"/>
  <c r="AV107" i="1"/>
  <c r="BP100" i="1"/>
  <c r="BT93" i="1"/>
  <c r="BX86" i="1"/>
  <c r="CR79" i="1"/>
  <c r="CF72" i="1"/>
  <c r="X65" i="1"/>
  <c r="AB58" i="1"/>
  <c r="DD50" i="1"/>
  <c r="T44" i="1"/>
  <c r="BT21" i="1"/>
  <c r="P3" i="1"/>
  <c r="AN9" i="1"/>
  <c r="CG122" i="1"/>
  <c r="DI117" i="1"/>
  <c r="AG113" i="1"/>
  <c r="BI108" i="1"/>
  <c r="CK103" i="1"/>
  <c r="DA99" i="1"/>
  <c r="CO96" i="1"/>
  <c r="CC93" i="1"/>
  <c r="BA90" i="1"/>
  <c r="AO87" i="1"/>
  <c r="BI84" i="1"/>
  <c r="U82" i="1"/>
  <c r="CK79" i="1"/>
  <c r="AW77" i="1"/>
  <c r="I75" i="1"/>
  <c r="BY72" i="1"/>
  <c r="AK70" i="1"/>
  <c r="DA67" i="1"/>
  <c r="CO106" i="1"/>
  <c r="AO97" i="1"/>
  <c r="CS87" i="1"/>
  <c r="AS78" i="1"/>
  <c r="CW68" i="1"/>
  <c r="CG62" i="1"/>
  <c r="DI57" i="1"/>
  <c r="AG53" i="1"/>
  <c r="BI48" i="1"/>
  <c r="CK43" i="1"/>
  <c r="I39" i="1"/>
  <c r="AK34" i="1"/>
  <c r="BM29" i="1"/>
  <c r="CO24" i="1"/>
  <c r="M20" i="1"/>
  <c r="AO15" i="1"/>
  <c r="BQ10" i="1"/>
  <c r="CS5" i="1"/>
  <c r="T142" i="1"/>
  <c r="AV137" i="1"/>
  <c r="BX132" i="1"/>
  <c r="CZ127" i="1"/>
  <c r="X123" i="1"/>
  <c r="AZ118" i="1"/>
  <c r="CB113" i="1"/>
  <c r="DD108" i="1"/>
  <c r="BD106" i="1"/>
  <c r="P104" i="1"/>
  <c r="CF101" i="1"/>
  <c r="AR99" i="1"/>
  <c r="DH96" i="1"/>
  <c r="BT94" i="1"/>
  <c r="AF92" i="1"/>
  <c r="CV89" i="1"/>
  <c r="BH87" i="1"/>
  <c r="T85" i="1"/>
  <c r="CJ82" i="1"/>
  <c r="AV80" i="1"/>
  <c r="H78" i="1"/>
  <c r="BX75" i="1"/>
  <c r="AJ73" i="1"/>
  <c r="CZ70" i="1"/>
  <c r="BL68" i="1"/>
  <c r="X66" i="1"/>
  <c r="CN63" i="1"/>
  <c r="AZ61" i="1"/>
  <c r="L59" i="1"/>
  <c r="CB56" i="1"/>
  <c r="AN54" i="1"/>
  <c r="DD51" i="1"/>
  <c r="BP49" i="1"/>
  <c r="AB47" i="1"/>
  <c r="CR44" i="1"/>
  <c r="BD42" i="1"/>
  <c r="P40" i="1"/>
  <c r="CF37" i="1"/>
  <c r="AR35" i="1"/>
  <c r="DH32" i="1"/>
  <c r="BT30" i="1"/>
  <c r="AF28" i="1"/>
  <c r="CV25" i="1"/>
  <c r="BH23" i="1"/>
  <c r="T21" i="1"/>
  <c r="CJ18" i="1"/>
  <c r="AV16" i="1"/>
  <c r="H14" i="1"/>
  <c r="BX11" i="1"/>
  <c r="AJ9" i="1"/>
  <c r="CZ6" i="1"/>
  <c r="BL4" i="1"/>
  <c r="Y73" i="1"/>
  <c r="CC55" i="1"/>
  <c r="BE41" i="1"/>
  <c r="AG27" i="1"/>
  <c r="CG12" i="1"/>
  <c r="AF139" i="1"/>
  <c r="AZ124" i="1"/>
  <c r="AN109" i="1"/>
  <c r="BT101" i="1"/>
  <c r="CZ93" i="1"/>
  <c r="CN86" i="1"/>
  <c r="CB79" i="1"/>
  <c r="AJ72" i="1"/>
  <c r="CV64" i="1"/>
  <c r="BD57" i="1"/>
  <c r="AB50" i="1"/>
  <c r="BH42" i="1"/>
  <c r="BX34" i="1"/>
  <c r="BL27" i="1"/>
  <c r="CR19" i="1"/>
  <c r="T12" i="1"/>
  <c r="T4" i="1"/>
  <c r="CG100" i="1"/>
  <c r="AG91" i="1"/>
  <c r="CK81" i="1"/>
  <c r="AK72" i="1"/>
  <c r="BA64" i="1"/>
  <c r="CC59" i="1"/>
  <c r="DE54" i="1"/>
  <c r="AC50" i="1"/>
  <c r="BE45" i="1"/>
  <c r="CG40" i="1"/>
  <c r="DI35" i="1"/>
  <c r="AG31" i="1"/>
  <c r="BI26" i="1"/>
  <c r="CK21" i="1"/>
  <c r="I17" i="1"/>
  <c r="AK12" i="1"/>
  <c r="BM7" i="1"/>
  <c r="CR143" i="1"/>
  <c r="P139" i="1"/>
  <c r="AR134" i="1"/>
  <c r="BT129" i="1"/>
  <c r="CV124" i="1"/>
  <c r="T120" i="1"/>
  <c r="AV115" i="1"/>
  <c r="BX110" i="1"/>
  <c r="AN107" i="1"/>
  <c r="DD104" i="1"/>
  <c r="BP102" i="1"/>
  <c r="AB100" i="1"/>
  <c r="CR97" i="1"/>
  <c r="BD95" i="1"/>
  <c r="P93" i="1"/>
  <c r="CF90" i="1"/>
  <c r="AR88" i="1"/>
  <c r="DH85" i="1"/>
  <c r="BT83" i="1"/>
  <c r="AF81" i="1"/>
  <c r="CV78" i="1"/>
  <c r="BH76" i="1"/>
  <c r="T74" i="1"/>
  <c r="CJ71" i="1"/>
  <c r="AV69" i="1"/>
  <c r="H67" i="1"/>
  <c r="BX64" i="1"/>
  <c r="AJ62" i="1"/>
  <c r="CZ59" i="1"/>
  <c r="BL57" i="1"/>
  <c r="X55" i="1"/>
  <c r="CN52" i="1"/>
  <c r="AZ50" i="1"/>
  <c r="L48" i="1"/>
  <c r="CB45" i="1"/>
  <c r="AN43" i="1"/>
  <c r="DD40" i="1"/>
  <c r="BP38" i="1"/>
  <c r="AB36" i="1"/>
  <c r="CR33" i="1"/>
  <c r="BD31" i="1"/>
  <c r="P29" i="1"/>
  <c r="CF26" i="1"/>
  <c r="AR24" i="1"/>
  <c r="DH21" i="1"/>
  <c r="BT19" i="1"/>
  <c r="AF17" i="1"/>
  <c r="CV14" i="1"/>
  <c r="BH12" i="1"/>
  <c r="T10" i="1"/>
  <c r="CJ7" i="1"/>
  <c r="AV5" i="1"/>
  <c r="H3" i="1"/>
  <c r="AO61" i="1"/>
  <c r="DI47" i="1"/>
  <c r="CK33" i="1"/>
  <c r="BM19" i="1"/>
  <c r="BU5" i="1"/>
  <c r="H133" i="1"/>
  <c r="BH118" i="1"/>
  <c r="BX106" i="1"/>
  <c r="BL99" i="1"/>
  <c r="BP92" i="1"/>
  <c r="CJ85" i="1"/>
  <c r="AR78" i="1"/>
  <c r="CB71" i="1"/>
  <c r="H65" i="1"/>
  <c r="L58" i="1"/>
  <c r="AF51" i="1"/>
  <c r="AZ44" i="1"/>
  <c r="CJ37" i="1"/>
  <c r="P31" i="1"/>
  <c r="CB23" i="1"/>
  <c r="BP16" i="1"/>
  <c r="CZ9" i="1"/>
  <c r="AK108" i="1"/>
  <c r="CO98" i="1"/>
  <c r="AO89" i="1"/>
  <c r="CS79" i="1"/>
  <c r="AS70" i="1"/>
  <c r="BE63" i="1"/>
  <c r="CG58" i="1"/>
  <c r="DI53" i="1"/>
  <c r="AG49" i="1"/>
  <c r="BI44" i="1"/>
  <c r="CK39" i="1"/>
  <c r="I35" i="1"/>
  <c r="AK30" i="1"/>
  <c r="BM25" i="1"/>
  <c r="CO20" i="1"/>
  <c r="M16" i="1"/>
  <c r="AO11" i="1"/>
  <c r="BQ6" i="1"/>
  <c r="CV142" i="1"/>
  <c r="T138" i="1"/>
  <c r="AV133" i="1"/>
  <c r="BX128" i="1"/>
  <c r="CZ123" i="1"/>
  <c r="X119" i="1"/>
  <c r="AZ114" i="1"/>
  <c r="CB109" i="1"/>
  <c r="CR106" i="1"/>
  <c r="BD104" i="1"/>
  <c r="P102" i="1"/>
  <c r="CF99" i="1"/>
  <c r="AR97" i="1"/>
  <c r="DH94" i="1"/>
  <c r="BT92" i="1"/>
  <c r="AF90" i="1"/>
  <c r="CV87" i="1"/>
  <c r="BH85" i="1"/>
  <c r="T83" i="1"/>
  <c r="CJ80" i="1"/>
  <c r="AV78" i="1"/>
  <c r="H76" i="1"/>
  <c r="BX73" i="1"/>
  <c r="AJ71" i="1"/>
  <c r="CZ68" i="1"/>
  <c r="BL66" i="1"/>
  <c r="X64" i="1"/>
  <c r="CN61" i="1"/>
  <c r="AZ59" i="1"/>
  <c r="L57" i="1"/>
  <c r="CB54" i="1"/>
  <c r="AN52" i="1"/>
  <c r="DD49" i="1"/>
  <c r="BP47" i="1"/>
  <c r="AB45" i="1"/>
  <c r="CR42" i="1"/>
  <c r="BD40" i="1"/>
  <c r="P38" i="1"/>
  <c r="CF35" i="1"/>
  <c r="AR33" i="1"/>
  <c r="DH30" i="1"/>
  <c r="BT28" i="1"/>
  <c r="AF26" i="1"/>
  <c r="CV23" i="1"/>
  <c r="BH21" i="1"/>
  <c r="T19" i="1"/>
  <c r="CJ16" i="1"/>
  <c r="AV14" i="1"/>
  <c r="H12" i="1"/>
  <c r="BX9" i="1"/>
  <c r="AJ7" i="1"/>
  <c r="CZ4" i="1"/>
  <c r="CK105" i="1"/>
  <c r="AK96" i="1"/>
  <c r="CO86" i="1"/>
  <c r="I69" i="1"/>
  <c r="BA52" i="1"/>
  <c r="AC38" i="1"/>
  <c r="AW23" i="1"/>
  <c r="CW8" i="1"/>
  <c r="DH135" i="1"/>
  <c r="AR122" i="1"/>
  <c r="H109" i="1"/>
  <c r="CJ101" i="1"/>
  <c r="DD94" i="1"/>
  <c r="T88" i="1"/>
  <c r="AN81" i="1"/>
  <c r="CZ73" i="1"/>
  <c r="BH66" i="1"/>
  <c r="AF59" i="1"/>
  <c r="AJ52" i="1"/>
  <c r="BD45" i="1"/>
  <c r="AB38" i="1"/>
  <c r="CJ17" i="1"/>
  <c r="DA123" i="1"/>
  <c r="CW118" i="1"/>
  <c r="U114" i="1"/>
  <c r="AW109" i="1"/>
  <c r="BY104" i="1"/>
  <c r="BI100" i="1"/>
  <c r="AW97" i="1"/>
  <c r="AK94" i="1"/>
  <c r="I91" i="1"/>
  <c r="DA87" i="1"/>
  <c r="DE84" i="1"/>
  <c r="BQ82" i="1"/>
  <c r="AC80" i="1"/>
  <c r="CS77" i="1"/>
  <c r="BE75" i="1"/>
  <c r="Q73" i="1"/>
  <c r="CG70" i="1"/>
  <c r="AS68" i="1"/>
  <c r="BQ108" i="1"/>
  <c r="Q99" i="1"/>
  <c r="BU89" i="1"/>
  <c r="U80" i="1"/>
  <c r="BY70" i="1"/>
  <c r="BU63" i="1"/>
  <c r="CW58" i="1"/>
  <c r="U54" i="1"/>
  <c r="AW49" i="1"/>
  <c r="BY44" i="1"/>
  <c r="DA39" i="1"/>
  <c r="Y35" i="1"/>
  <c r="BA30" i="1"/>
  <c r="CC25" i="1"/>
  <c r="DE20" i="1"/>
  <c r="AC16" i="1"/>
  <c r="BE11" i="1"/>
  <c r="CG6" i="1"/>
  <c r="H143" i="1"/>
  <c r="AJ138" i="1"/>
  <c r="BL133" i="1"/>
  <c r="CN128" i="1"/>
  <c r="L124" i="1"/>
  <c r="AN119" i="1"/>
  <c r="BP114" i="1"/>
  <c r="CR109" i="1"/>
  <c r="CZ106" i="1"/>
  <c r="BL104" i="1"/>
  <c r="X102" i="1"/>
  <c r="CN99" i="1"/>
  <c r="AZ97" i="1"/>
  <c r="L95" i="1"/>
  <c r="CB92" i="1"/>
  <c r="AN90" i="1"/>
  <c r="DD87" i="1"/>
  <c r="BP85" i="1"/>
  <c r="AB83" i="1"/>
  <c r="CR80" i="1"/>
  <c r="BD78" i="1"/>
  <c r="P76" i="1"/>
  <c r="CF73" i="1"/>
  <c r="AR71" i="1"/>
  <c r="DH68" i="1"/>
  <c r="BT66" i="1"/>
  <c r="AF64" i="1"/>
  <c r="CV61" i="1"/>
  <c r="BH59" i="1"/>
  <c r="T57" i="1"/>
  <c r="CJ54" i="1"/>
  <c r="AV52" i="1"/>
  <c r="H50" i="1"/>
  <c r="BX47" i="1"/>
  <c r="AJ45" i="1"/>
  <c r="CZ42" i="1"/>
  <c r="BL40" i="1"/>
  <c r="X38" i="1"/>
  <c r="CN35" i="1"/>
  <c r="AZ33" i="1"/>
  <c r="L31" i="1"/>
  <c r="CB28" i="1"/>
  <c r="AN26" i="1"/>
  <c r="DD23" i="1"/>
  <c r="BP21" i="1"/>
  <c r="AB19" i="1"/>
  <c r="CR16" i="1"/>
  <c r="BD14" i="1"/>
  <c r="P12" i="1"/>
  <c r="CF9" i="1"/>
  <c r="AR7" i="1"/>
  <c r="DH4" i="1"/>
  <c r="BI78" i="1"/>
  <c r="BY58" i="1"/>
  <c r="U44" i="1"/>
  <c r="DA29" i="1"/>
  <c r="Q15" i="1"/>
  <c r="CZ141" i="1"/>
  <c r="P127" i="1"/>
  <c r="BP112" i="1"/>
  <c r="DD102" i="1"/>
  <c r="BL95" i="1"/>
  <c r="DH87" i="1"/>
  <c r="H81" i="1"/>
  <c r="BD73" i="1"/>
  <c r="AR66" i="1"/>
  <c r="CN58" i="1"/>
  <c r="BL51" i="1"/>
  <c r="CR43" i="1"/>
  <c r="T36" i="1"/>
  <c r="CF28" i="1"/>
  <c r="AN21" i="1"/>
  <c r="BD13" i="1"/>
  <c r="BD5" i="1"/>
  <c r="BI102" i="1"/>
  <c r="I93" i="1"/>
  <c r="BM83" i="1"/>
  <c r="M74" i="1"/>
  <c r="AO65" i="1"/>
  <c r="BQ60" i="1"/>
  <c r="CS55" i="1"/>
  <c r="Q51" i="1"/>
  <c r="AS46" i="1"/>
  <c r="BU41" i="1"/>
  <c r="CW36" i="1"/>
  <c r="U32" i="1"/>
  <c r="AW27" i="1"/>
  <c r="BY22" i="1"/>
  <c r="DA17" i="1"/>
  <c r="Y13" i="1"/>
  <c r="BA8" i="1"/>
  <c r="CC3" i="1"/>
  <c r="DH139" i="1"/>
  <c r="AF135" i="1"/>
  <c r="BH130" i="1"/>
  <c r="CJ125" i="1"/>
  <c r="H121" i="1"/>
  <c r="AJ116" i="1"/>
  <c r="BL111" i="1"/>
  <c r="CJ107" i="1"/>
  <c r="AV105" i="1"/>
  <c r="H103" i="1"/>
  <c r="BX100" i="1"/>
  <c r="AJ98" i="1"/>
  <c r="CZ95" i="1"/>
  <c r="BL93" i="1"/>
  <c r="X91" i="1"/>
  <c r="CN88" i="1"/>
  <c r="AZ86" i="1"/>
  <c r="L84" i="1"/>
  <c r="CB81" i="1"/>
  <c r="AN79" i="1"/>
  <c r="DD76" i="1"/>
  <c r="BP74" i="1"/>
  <c r="AB72" i="1"/>
  <c r="CR69" i="1"/>
  <c r="BD67" i="1"/>
  <c r="P65" i="1"/>
  <c r="CF62" i="1"/>
  <c r="AR60" i="1"/>
  <c r="DH57" i="1"/>
  <c r="BT55" i="1"/>
  <c r="AF53" i="1"/>
  <c r="CV50" i="1"/>
  <c r="BH48" i="1"/>
  <c r="T46" i="1"/>
  <c r="CJ43" i="1"/>
  <c r="AV41" i="1"/>
  <c r="H39" i="1"/>
  <c r="BX36" i="1"/>
  <c r="AJ34" i="1"/>
  <c r="CZ31" i="1"/>
  <c r="BL29" i="1"/>
  <c r="X27" i="1"/>
  <c r="CN24" i="1"/>
  <c r="AZ22" i="1"/>
  <c r="L20" i="1"/>
  <c r="CB17" i="1"/>
  <c r="AN15" i="1"/>
  <c r="DD12" i="1"/>
  <c r="BP10" i="1"/>
  <c r="AB8" i="1"/>
  <c r="CR5" i="1"/>
  <c r="BD3" i="1"/>
  <c r="DI63" i="1"/>
  <c r="AS50" i="1"/>
  <c r="CS35" i="1"/>
  <c r="AC22" i="1"/>
  <c r="BQ8" i="1"/>
  <c r="CB135" i="1"/>
  <c r="X121" i="1"/>
  <c r="CR107" i="1"/>
  <c r="CV100" i="1"/>
  <c r="AB94" i="1"/>
  <c r="DD86" i="1"/>
  <c r="BL79" i="1"/>
  <c r="H73" i="1"/>
  <c r="AB66" i="1"/>
  <c r="AV59" i="1"/>
  <c r="BP52" i="1"/>
  <c r="BT45" i="1"/>
  <c r="DD38" i="1"/>
  <c r="AJ32" i="1"/>
  <c r="H25" i="1"/>
  <c r="L18" i="1"/>
  <c r="AF11" i="1"/>
  <c r="AZ4" i="1"/>
  <c r="BQ100" i="1"/>
  <c r="Q91" i="1"/>
  <c r="BU81" i="1"/>
  <c r="U72" i="1"/>
  <c r="AS64" i="1"/>
  <c r="BU59" i="1"/>
  <c r="CW54" i="1"/>
  <c r="U50" i="1"/>
  <c r="AW45" i="1"/>
  <c r="BY40" i="1"/>
  <c r="DA35" i="1"/>
  <c r="Y31" i="1"/>
  <c r="BA26" i="1"/>
  <c r="CC21" i="1"/>
  <c r="DE16" i="1"/>
  <c r="AC12" i="1"/>
  <c r="BE7" i="1"/>
  <c r="CJ143" i="1"/>
  <c r="H139" i="1"/>
  <c r="AJ134" i="1"/>
  <c r="BL129" i="1"/>
  <c r="CN124" i="1"/>
  <c r="L120" i="1"/>
  <c r="AN115" i="1"/>
  <c r="BP110" i="1"/>
  <c r="AJ107" i="1"/>
  <c r="CZ104" i="1"/>
  <c r="BL102" i="1"/>
  <c r="X100" i="1"/>
  <c r="CN97" i="1"/>
  <c r="AZ95" i="1"/>
  <c r="L93" i="1"/>
  <c r="CB90" i="1"/>
  <c r="AN88" i="1"/>
  <c r="DD85" i="1"/>
  <c r="BP83" i="1"/>
  <c r="AB81" i="1"/>
  <c r="CR78" i="1"/>
  <c r="BD76" i="1"/>
  <c r="P74" i="1"/>
  <c r="CF71" i="1"/>
  <c r="AR69" i="1"/>
  <c r="DH66" i="1"/>
  <c r="BT64" i="1"/>
  <c r="AF62" i="1"/>
  <c r="CV59" i="1"/>
  <c r="BH57" i="1"/>
  <c r="T55" i="1"/>
  <c r="CJ52" i="1"/>
  <c r="AV50" i="1"/>
  <c r="H48" i="1"/>
  <c r="BX45" i="1"/>
  <c r="AJ43" i="1"/>
  <c r="CZ40" i="1"/>
  <c r="BL38" i="1"/>
  <c r="X36" i="1"/>
  <c r="CN33" i="1"/>
  <c r="AZ31" i="1"/>
  <c r="L29" i="1"/>
  <c r="CB26" i="1"/>
  <c r="AN24" i="1"/>
  <c r="DD21" i="1"/>
  <c r="BP19" i="1"/>
  <c r="AB17" i="1"/>
  <c r="CR14" i="1"/>
  <c r="BD12" i="1"/>
  <c r="P10" i="1"/>
  <c r="CF7" i="1"/>
  <c r="AR5" i="1"/>
  <c r="S3" i="1"/>
  <c r="M98" i="1"/>
  <c r="BQ88" i="1"/>
  <c r="DE74" i="1"/>
  <c r="Q55" i="1"/>
  <c r="AK40" i="1"/>
  <c r="M26" i="1"/>
  <c r="CS11" i="1"/>
  <c r="DD138" i="1"/>
  <c r="H125" i="1"/>
  <c r="CB111" i="1"/>
  <c r="P103" i="1"/>
  <c r="AJ96" i="1"/>
  <c r="AN89" i="1"/>
  <c r="CN82" i="1"/>
  <c r="BL75" i="1"/>
  <c r="T68" i="1"/>
  <c r="BP60" i="1"/>
  <c r="BT53" i="1"/>
  <c r="BX46" i="1"/>
  <c r="BL39" i="1"/>
  <c r="CF32" i="1"/>
  <c r="CJ25" i="1"/>
  <c r="P19" i="1"/>
  <c r="AJ12" i="1"/>
  <c r="BT5" i="1"/>
  <c r="CK65" i="1"/>
  <c r="U36" i="1"/>
  <c r="DE10" i="1"/>
  <c r="CB127" i="1"/>
  <c r="BX102" i="1"/>
  <c r="BX90" i="1"/>
  <c r="BH78" i="1"/>
  <c r="DH63" i="1"/>
  <c r="BT49" i="1"/>
  <c r="AN37" i="1"/>
  <c r="AN25" i="1"/>
  <c r="CJ13" i="1"/>
  <c r="AZ40" i="1"/>
  <c r="P23" i="1"/>
  <c r="CF4" i="1"/>
  <c r="CU88" i="1"/>
  <c r="BG86" i="1"/>
  <c r="CE213" i="1"/>
  <c r="AE204" i="1"/>
  <c r="CI194" i="1"/>
  <c r="AI185" i="1"/>
  <c r="CM175" i="1"/>
  <c r="AM166" i="1"/>
  <c r="CQ156" i="1"/>
  <c r="AQ147" i="1"/>
  <c r="BR213" i="1"/>
  <c r="R204" i="1"/>
  <c r="BV194" i="1"/>
  <c r="V185" i="1"/>
  <c r="BZ175" i="1"/>
  <c r="Z166" i="1"/>
  <c r="CD156" i="1"/>
  <c r="AD147" i="1"/>
  <c r="CM137" i="1"/>
  <c r="AM128" i="1"/>
  <c r="CQ118" i="1"/>
  <c r="AQ109" i="1"/>
  <c r="CU99" i="1"/>
  <c r="AU90" i="1"/>
  <c r="BC84" i="1"/>
  <c r="AM81" i="1"/>
  <c r="S78" i="1"/>
  <c r="DG74" i="1"/>
  <c r="CQ71" i="1"/>
  <c r="BW68" i="1"/>
  <c r="BG65" i="1"/>
  <c r="AQ62" i="1"/>
  <c r="W59" i="1"/>
  <c r="G56" i="1"/>
  <c r="BC53" i="1"/>
  <c r="O51" i="1"/>
  <c r="CE48" i="1"/>
  <c r="AQ46" i="1"/>
  <c r="DG43" i="1"/>
  <c r="BS41" i="1"/>
  <c r="AE39" i="1"/>
  <c r="CU36" i="1"/>
  <c r="BG34" i="1"/>
  <c r="S32" i="1"/>
  <c r="CI29" i="1"/>
  <c r="AU27" i="1"/>
  <c r="G25" i="1"/>
  <c r="BW22" i="1"/>
  <c r="AI20" i="1"/>
  <c r="CY17" i="1"/>
  <c r="BK15" i="1"/>
  <c r="W13" i="1"/>
  <c r="CM10" i="1"/>
  <c r="AY8" i="1"/>
  <c r="K6" i="1"/>
  <c r="CA3" i="1"/>
  <c r="AD142" i="1"/>
  <c r="CT139" i="1"/>
  <c r="BF137" i="1"/>
  <c r="R135" i="1"/>
  <c r="CH132" i="1"/>
  <c r="AT130" i="1"/>
  <c r="F128" i="1"/>
  <c r="BV125" i="1"/>
  <c r="AH123" i="1"/>
  <c r="CX120" i="1"/>
  <c r="BJ118" i="1"/>
  <c r="V116" i="1"/>
  <c r="CL113" i="1"/>
  <c r="AX111" i="1"/>
  <c r="J109" i="1"/>
  <c r="BZ106" i="1"/>
  <c r="AL104" i="1"/>
  <c r="DB101" i="1"/>
  <c r="BN99" i="1"/>
  <c r="Z97" i="1"/>
  <c r="CP94" i="1"/>
  <c r="BB92" i="1"/>
  <c r="N90" i="1"/>
  <c r="CD87" i="1"/>
  <c r="AP85" i="1"/>
  <c r="DF82" i="1"/>
  <c r="BR80" i="1"/>
  <c r="AD78" i="1"/>
  <c r="CT75" i="1"/>
  <c r="BF73" i="1"/>
  <c r="R71" i="1"/>
  <c r="CH68" i="1"/>
  <c r="AT66" i="1"/>
  <c r="F64" i="1"/>
  <c r="BV61" i="1"/>
  <c r="AH59" i="1"/>
  <c r="CX56" i="1"/>
  <c r="BJ54" i="1"/>
  <c r="V52" i="1"/>
  <c r="CL49" i="1"/>
  <c r="AX47" i="1"/>
  <c r="J45" i="1"/>
  <c r="BZ42" i="1"/>
  <c r="AL40" i="1"/>
  <c r="DB37" i="1"/>
  <c r="BN35" i="1"/>
  <c r="Z33" i="1"/>
  <c r="CP30" i="1"/>
  <c r="BB28" i="1"/>
  <c r="N26" i="1"/>
  <c r="CD23" i="1"/>
  <c r="AP21" i="1"/>
  <c r="DF18" i="1"/>
  <c r="BR16" i="1"/>
  <c r="AD14" i="1"/>
  <c r="CT11" i="1"/>
  <c r="BF9" i="1"/>
  <c r="R7" i="1"/>
  <c r="CH4" i="1"/>
  <c r="CW143" i="1"/>
  <c r="BI141" i="1"/>
  <c r="U139" i="1"/>
  <c r="CK136" i="1"/>
  <c r="AW134" i="1"/>
  <c r="I132" i="1"/>
  <c r="BY129" i="1"/>
  <c r="AK127" i="1"/>
  <c r="DA124" i="1"/>
  <c r="BM122" i="1"/>
  <c r="Y120" i="1"/>
  <c r="CO117" i="1"/>
  <c r="BA115" i="1"/>
  <c r="M113" i="1"/>
  <c r="CC110" i="1"/>
  <c r="AO108" i="1"/>
  <c r="DE105" i="1"/>
  <c r="BQ103" i="1"/>
  <c r="AC101" i="1"/>
  <c r="CS98" i="1"/>
  <c r="BE96" i="1"/>
  <c r="Q94" i="1"/>
  <c r="CG91" i="1"/>
  <c r="AS89" i="1"/>
  <c r="DI86" i="1"/>
  <c r="BU84" i="1"/>
  <c r="AG82" i="1"/>
  <c r="CW79" i="1"/>
  <c r="BI77" i="1"/>
  <c r="U75" i="1"/>
  <c r="CK72" i="1"/>
  <c r="AW70" i="1"/>
  <c r="I68" i="1"/>
  <c r="BY65" i="1"/>
  <c r="AK63" i="1"/>
  <c r="DA60" i="1"/>
  <c r="BM58" i="1"/>
  <c r="Y56" i="1"/>
  <c r="CO53" i="1"/>
  <c r="BA51" i="1"/>
  <c r="M49" i="1"/>
  <c r="CC46" i="1"/>
  <c r="AO44" i="1"/>
  <c r="DE41" i="1"/>
  <c r="BQ39" i="1"/>
  <c r="AC37" i="1"/>
  <c r="CS34" i="1"/>
  <c r="BE32" i="1"/>
  <c r="Q30" i="1"/>
  <c r="CG27" i="1"/>
  <c r="AS25" i="1"/>
  <c r="DI22" i="1"/>
  <c r="BU20" i="1"/>
  <c r="AG18" i="1"/>
  <c r="CW15" i="1"/>
  <c r="BI13" i="1"/>
  <c r="U11" i="1"/>
  <c r="CK8" i="1"/>
  <c r="AW6" i="1"/>
  <c r="I4" i="1"/>
  <c r="CB142" i="1"/>
  <c r="AN140" i="1"/>
  <c r="DD137" i="1"/>
  <c r="BP135" i="1"/>
  <c r="AB133" i="1"/>
  <c r="CR130" i="1"/>
  <c r="BD128" i="1"/>
  <c r="P126" i="1"/>
  <c r="CF123" i="1"/>
  <c r="AR121" i="1"/>
  <c r="DH118" i="1"/>
  <c r="BT116" i="1"/>
  <c r="AF114" i="1"/>
  <c r="CV111" i="1"/>
  <c r="BH109" i="1"/>
  <c r="G210" i="1"/>
  <c r="BK200" i="1"/>
  <c r="K191" i="1"/>
  <c r="BO181" i="1"/>
  <c r="O172" i="1"/>
  <c r="BS162" i="1"/>
  <c r="S153" i="1"/>
  <c r="AT219" i="1"/>
  <c r="CX209" i="1"/>
  <c r="AX200" i="1"/>
  <c r="DB190" i="1"/>
  <c r="BB181" i="1"/>
  <c r="DF171" i="1"/>
  <c r="BF162" i="1"/>
  <c r="F153" i="1"/>
  <c r="BO143" i="1"/>
  <c r="O134" i="1"/>
  <c r="BS124" i="1"/>
  <c r="S115" i="1"/>
  <c r="BW105" i="1"/>
  <c r="W96" i="1"/>
  <c r="W87" i="1"/>
  <c r="AE83" i="1"/>
  <c r="K80" i="1"/>
  <c r="CY76" i="1"/>
  <c r="CI73" i="1"/>
  <c r="BO70" i="1"/>
  <c r="AY67" i="1"/>
  <c r="AI64" i="1"/>
  <c r="O61" i="1"/>
  <c r="DC57" i="1"/>
  <c r="CY54" i="1"/>
  <c r="BK52" i="1"/>
  <c r="W50" i="1"/>
  <c r="CM47" i="1"/>
  <c r="AY45" i="1"/>
  <c r="K43" i="1"/>
  <c r="CA40" i="1"/>
  <c r="AM38" i="1"/>
  <c r="DC35" i="1"/>
  <c r="BO33" i="1"/>
  <c r="AA31" i="1"/>
  <c r="CQ28" i="1"/>
  <c r="BC26" i="1"/>
  <c r="O24" i="1"/>
  <c r="CE21" i="1"/>
  <c r="AQ19" i="1"/>
  <c r="DG16" i="1"/>
  <c r="BS14" i="1"/>
  <c r="AE12" i="1"/>
  <c r="CU9" i="1"/>
  <c r="BG7" i="1"/>
  <c r="S5" i="1"/>
  <c r="BZ143" i="1"/>
  <c r="AL141" i="1"/>
  <c r="DB138" i="1"/>
  <c r="BN136" i="1"/>
  <c r="Z134" i="1"/>
  <c r="CP131" i="1"/>
  <c r="BB129" i="1"/>
  <c r="N127" i="1"/>
  <c r="CD124" i="1"/>
  <c r="AP122" i="1"/>
  <c r="DF119" i="1"/>
  <c r="BR117" i="1"/>
  <c r="AD115" i="1"/>
  <c r="CT112" i="1"/>
  <c r="BF110" i="1"/>
  <c r="R108" i="1"/>
  <c r="CH105" i="1"/>
  <c r="AT103" i="1"/>
  <c r="F101" i="1"/>
  <c r="BV98" i="1"/>
  <c r="AH96" i="1"/>
  <c r="CX93" i="1"/>
  <c r="BJ91" i="1"/>
  <c r="V89" i="1"/>
  <c r="CL86" i="1"/>
  <c r="AX84" i="1"/>
  <c r="J82" i="1"/>
  <c r="BZ79" i="1"/>
  <c r="AL77" i="1"/>
  <c r="DB74" i="1"/>
  <c r="BN72" i="1"/>
  <c r="Z70" i="1"/>
  <c r="CP67" i="1"/>
  <c r="BB65" i="1"/>
  <c r="N63" i="1"/>
  <c r="CD60" i="1"/>
  <c r="AP58" i="1"/>
  <c r="DF55" i="1"/>
  <c r="BR53" i="1"/>
  <c r="AD51" i="1"/>
  <c r="CT48" i="1"/>
  <c r="BF46" i="1"/>
  <c r="R44" i="1"/>
  <c r="CH41" i="1"/>
  <c r="AT39" i="1"/>
  <c r="F37" i="1"/>
  <c r="BV34" i="1"/>
  <c r="AH32" i="1"/>
  <c r="CX29" i="1"/>
  <c r="BJ27" i="1"/>
  <c r="V25" i="1"/>
  <c r="CL22" i="1"/>
  <c r="AX20" i="1"/>
  <c r="J18" i="1"/>
  <c r="BZ15" i="1"/>
  <c r="AL13" i="1"/>
  <c r="DB10" i="1"/>
  <c r="BN8" i="1"/>
  <c r="Z6" i="1"/>
  <c r="CP3" i="1"/>
  <c r="BI142" i="1"/>
  <c r="U140" i="1"/>
  <c r="CK137" i="1"/>
  <c r="AW135" i="1"/>
  <c r="I133" i="1"/>
  <c r="BY130" i="1"/>
  <c r="AK128" i="1"/>
  <c r="DA125" i="1"/>
  <c r="BM123" i="1"/>
  <c r="Y121" i="1"/>
  <c r="CO118" i="1"/>
  <c r="BA116" i="1"/>
  <c r="M114" i="1"/>
  <c r="CC111" i="1"/>
  <c r="AO109" i="1"/>
  <c r="AI209" i="1"/>
  <c r="CM199" i="1"/>
  <c r="AM190" i="1"/>
  <c r="CQ180" i="1"/>
  <c r="AQ171" i="1"/>
  <c r="CU161" i="1"/>
  <c r="AU152" i="1"/>
  <c r="BV218" i="1"/>
  <c r="V209" i="1"/>
  <c r="BZ199" i="1"/>
  <c r="Z190" i="1"/>
  <c r="CD180" i="1"/>
  <c r="AD171" i="1"/>
  <c r="CH161" i="1"/>
  <c r="AH152" i="1"/>
  <c r="CQ142" i="1"/>
  <c r="AQ133" i="1"/>
  <c r="CU123" i="1"/>
  <c r="AU114" i="1"/>
  <c r="CY104" i="1"/>
  <c r="AY95" i="1"/>
  <c r="CQ86" i="1"/>
  <c r="DG82" i="1"/>
  <c r="CQ79" i="1"/>
  <c r="BW76" i="1"/>
  <c r="BG73" i="1"/>
  <c r="AQ70" i="1"/>
  <c r="W67" i="1"/>
  <c r="G64" i="1"/>
  <c r="CU60" i="1"/>
  <c r="CA57" i="1"/>
  <c r="CE54" i="1"/>
  <c r="AQ52" i="1"/>
  <c r="DG49" i="1"/>
  <c r="BS47" i="1"/>
  <c r="AE45" i="1"/>
  <c r="CU42" i="1"/>
  <c r="BG40" i="1"/>
  <c r="S38" i="1"/>
  <c r="CI35" i="1"/>
  <c r="AU33" i="1"/>
  <c r="G31" i="1"/>
  <c r="BW28" i="1"/>
  <c r="AI26" i="1"/>
  <c r="CY23" i="1"/>
  <c r="BK21" i="1"/>
  <c r="W19" i="1"/>
  <c r="CM16" i="1"/>
  <c r="AY14" i="1"/>
  <c r="K12" i="1"/>
  <c r="CA9" i="1"/>
  <c r="AM7" i="1"/>
  <c r="DC4" i="1"/>
  <c r="BF143" i="1"/>
  <c r="R141" i="1"/>
  <c r="CH138" i="1"/>
  <c r="AT136" i="1"/>
  <c r="F134" i="1"/>
  <c r="BV131" i="1"/>
  <c r="AH129" i="1"/>
  <c r="CX126" i="1"/>
  <c r="BJ124" i="1"/>
  <c r="V122" i="1"/>
  <c r="CL119" i="1"/>
  <c r="AX117" i="1"/>
  <c r="J115" i="1"/>
  <c r="BZ112" i="1"/>
  <c r="AL110" i="1"/>
  <c r="DB107" i="1"/>
  <c r="BN105" i="1"/>
  <c r="Z103" i="1"/>
  <c r="CP100" i="1"/>
  <c r="BB98" i="1"/>
  <c r="N96" i="1"/>
  <c r="CD93" i="1"/>
  <c r="AP91" i="1"/>
  <c r="DF88" i="1"/>
  <c r="BR86" i="1"/>
  <c r="AD84" i="1"/>
  <c r="CT81" i="1"/>
  <c r="BF79" i="1"/>
  <c r="R77" i="1"/>
  <c r="CH74" i="1"/>
  <c r="AT72" i="1"/>
  <c r="F70" i="1"/>
  <c r="BV67" i="1"/>
  <c r="AH65" i="1"/>
  <c r="CX62" i="1"/>
  <c r="BJ60" i="1"/>
  <c r="V58" i="1"/>
  <c r="CL55" i="1"/>
  <c r="AX53" i="1"/>
  <c r="J51" i="1"/>
  <c r="BZ48" i="1"/>
  <c r="AL46" i="1"/>
  <c r="DB43" i="1"/>
  <c r="BN41" i="1"/>
  <c r="Z39" i="1"/>
  <c r="CP36" i="1"/>
  <c r="BB34" i="1"/>
  <c r="N32" i="1"/>
  <c r="CD29" i="1"/>
  <c r="AP27" i="1"/>
  <c r="DF24" i="1"/>
  <c r="BR22" i="1"/>
  <c r="AD20" i="1"/>
  <c r="CT17" i="1"/>
  <c r="BF15" i="1"/>
  <c r="R13" i="1"/>
  <c r="CH10" i="1"/>
  <c r="AT8" i="1"/>
  <c r="F6" i="1"/>
  <c r="BV3" i="1"/>
  <c r="AO142" i="1"/>
  <c r="DE139" i="1"/>
  <c r="BQ137" i="1"/>
  <c r="AC135" i="1"/>
  <c r="CS132" i="1"/>
  <c r="BE130" i="1"/>
  <c r="Q128" i="1"/>
  <c r="CG125" i="1"/>
  <c r="AS123" i="1"/>
  <c r="DI120" i="1"/>
  <c r="BU118" i="1"/>
  <c r="AG116" i="1"/>
  <c r="CW113" i="1"/>
  <c r="BI111" i="1"/>
  <c r="U109" i="1"/>
  <c r="CK106" i="1"/>
  <c r="AW104" i="1"/>
  <c r="I102" i="1"/>
  <c r="BY99" i="1"/>
  <c r="AK97" i="1"/>
  <c r="DA94" i="1"/>
  <c r="BM92" i="1"/>
  <c r="Y90" i="1"/>
  <c r="CO87" i="1"/>
  <c r="BA85" i="1"/>
  <c r="M83" i="1"/>
  <c r="CC80" i="1"/>
  <c r="AO78" i="1"/>
  <c r="DE75" i="1"/>
  <c r="BQ73" i="1"/>
  <c r="AC71" i="1"/>
  <c r="CS68" i="1"/>
  <c r="BE66" i="1"/>
  <c r="Q64" i="1"/>
  <c r="CG61" i="1"/>
  <c r="AS59" i="1"/>
  <c r="DI56" i="1"/>
  <c r="BU54" i="1"/>
  <c r="AG52" i="1"/>
  <c r="CW49" i="1"/>
  <c r="BI47" i="1"/>
  <c r="U45" i="1"/>
  <c r="CK42" i="1"/>
  <c r="AW40" i="1"/>
  <c r="I38" i="1"/>
  <c r="BY35" i="1"/>
  <c r="AK33" i="1"/>
  <c r="DA30" i="1"/>
  <c r="BM28" i="1"/>
  <c r="Y26" i="1"/>
  <c r="CO23" i="1"/>
  <c r="BA21" i="1"/>
  <c r="M19" i="1"/>
  <c r="CC16" i="1"/>
  <c r="AO14" i="1"/>
  <c r="DE11" i="1"/>
  <c r="BQ9" i="1"/>
  <c r="AC7" i="1"/>
  <c r="CS4" i="1"/>
  <c r="BH143" i="1"/>
  <c r="T141" i="1"/>
  <c r="CJ138" i="1"/>
  <c r="AV136" i="1"/>
  <c r="H134" i="1"/>
  <c r="BX131" i="1"/>
  <c r="AJ129" i="1"/>
  <c r="CZ126" i="1"/>
  <c r="BL124" i="1"/>
  <c r="X122" i="1"/>
  <c r="CN119" i="1"/>
  <c r="AZ117" i="1"/>
  <c r="L115" i="1"/>
  <c r="CB112" i="1"/>
  <c r="AN110" i="1"/>
  <c r="CA212" i="1"/>
  <c r="AA203" i="1"/>
  <c r="CE193" i="1"/>
  <c r="AE184" i="1"/>
  <c r="CI174" i="1"/>
  <c r="AI165" i="1"/>
  <c r="CM155" i="1"/>
  <c r="AM146" i="1"/>
  <c r="BN212" i="1"/>
  <c r="N203" i="1"/>
  <c r="BR193" i="1"/>
  <c r="R184" i="1"/>
  <c r="BV174" i="1"/>
  <c r="V165" i="1"/>
  <c r="BZ155" i="1"/>
  <c r="Z146" i="1"/>
  <c r="CI136" i="1"/>
  <c r="AI127" i="1"/>
  <c r="CM117" i="1"/>
  <c r="AM108" i="1"/>
  <c r="CQ98" i="1"/>
  <c r="AQ89" i="1"/>
  <c r="S84" i="1"/>
  <c r="DC80" i="1"/>
  <c r="CM77" i="1"/>
  <c r="BW74" i="1"/>
  <c r="BC71" i="1"/>
  <c r="AM68" i="1"/>
  <c r="W65" i="1"/>
  <c r="DG61" i="1"/>
  <c r="CQ58" i="1"/>
  <c r="CA55" i="1"/>
  <c r="AA53" i="1"/>
  <c r="CQ50" i="1"/>
  <c r="BC48" i="1"/>
  <c r="O46" i="1"/>
  <c r="CE43" i="1"/>
  <c r="AQ41" i="1"/>
  <c r="DG38" i="1"/>
  <c r="BS36" i="1"/>
  <c r="AE34" i="1"/>
  <c r="CU31" i="1"/>
  <c r="BG29" i="1"/>
  <c r="S27" i="1"/>
  <c r="CI24" i="1"/>
  <c r="AU22" i="1"/>
  <c r="G20" i="1"/>
  <c r="BW17" i="1"/>
  <c r="AI15" i="1"/>
  <c r="CY12" i="1"/>
  <c r="BK10" i="1"/>
  <c r="W8" i="1"/>
  <c r="CM5" i="1"/>
  <c r="AY3" i="1"/>
  <c r="DF141" i="1"/>
  <c r="BR139" i="1"/>
  <c r="AD137" i="1"/>
  <c r="CT134" i="1"/>
  <c r="BF132" i="1"/>
  <c r="R130" i="1"/>
  <c r="CH127" i="1"/>
  <c r="AT125" i="1"/>
  <c r="F123" i="1"/>
  <c r="BV120" i="1"/>
  <c r="AH118" i="1"/>
  <c r="CX115" i="1"/>
  <c r="BJ113" i="1"/>
  <c r="V111" i="1"/>
  <c r="CL108" i="1"/>
  <c r="AX106" i="1"/>
  <c r="J104" i="1"/>
  <c r="BZ101" i="1"/>
  <c r="AL99" i="1"/>
  <c r="DB96" i="1"/>
  <c r="BN94" i="1"/>
  <c r="Z92" i="1"/>
  <c r="CP89" i="1"/>
  <c r="BB87" i="1"/>
  <c r="N85" i="1"/>
  <c r="CD82" i="1"/>
  <c r="AP80" i="1"/>
  <c r="DF77" i="1"/>
  <c r="BR75" i="1"/>
  <c r="AD73" i="1"/>
  <c r="CT70" i="1"/>
  <c r="BF68" i="1"/>
  <c r="R66" i="1"/>
  <c r="CH63" i="1"/>
  <c r="AT61" i="1"/>
  <c r="F59" i="1"/>
  <c r="BV56" i="1"/>
  <c r="AH54" i="1"/>
  <c r="CX51" i="1"/>
  <c r="BJ49" i="1"/>
  <c r="V47" i="1"/>
  <c r="CL44" i="1"/>
  <c r="AX42" i="1"/>
  <c r="J40" i="1"/>
  <c r="BZ37" i="1"/>
  <c r="AL35" i="1"/>
  <c r="DB32" i="1"/>
  <c r="BN30" i="1"/>
  <c r="Z28" i="1"/>
  <c r="CP25" i="1"/>
  <c r="BB23" i="1"/>
  <c r="N21" i="1"/>
  <c r="CD18" i="1"/>
  <c r="AP16" i="1"/>
  <c r="DF13" i="1"/>
  <c r="BR11" i="1"/>
  <c r="AD9" i="1"/>
  <c r="CT6" i="1"/>
  <c r="BF4" i="1"/>
  <c r="Y143" i="1"/>
  <c r="CO140" i="1"/>
  <c r="BA138" i="1"/>
  <c r="M136" i="1"/>
  <c r="CC133" i="1"/>
  <c r="AO131" i="1"/>
  <c r="DE128" i="1"/>
  <c r="BQ126" i="1"/>
  <c r="AC124" i="1"/>
  <c r="U143" i="1"/>
  <c r="CK140" i="1"/>
  <c r="AW138" i="1"/>
  <c r="I136" i="1"/>
  <c r="BY133" i="1"/>
  <c r="AK131" i="1"/>
  <c r="DA128" i="1"/>
  <c r="BM126" i="1"/>
  <c r="Y124" i="1"/>
  <c r="CO121" i="1"/>
  <c r="BA119" i="1"/>
  <c r="M117" i="1"/>
  <c r="CC114" i="1"/>
  <c r="AO112" i="1"/>
  <c r="DE109" i="1"/>
  <c r="BQ107" i="1"/>
  <c r="AC105" i="1"/>
  <c r="CS102" i="1"/>
  <c r="BE100" i="1"/>
  <c r="Q98" i="1"/>
  <c r="CG95" i="1"/>
  <c r="AS93" i="1"/>
  <c r="DI90" i="1"/>
  <c r="BU88" i="1"/>
  <c r="AG86" i="1"/>
  <c r="CW83" i="1"/>
  <c r="BI81" i="1"/>
  <c r="U79" i="1"/>
  <c r="CK76" i="1"/>
  <c r="AW74" i="1"/>
  <c r="I72" i="1"/>
  <c r="BY69" i="1"/>
  <c r="AK67" i="1"/>
  <c r="DA64" i="1"/>
  <c r="BM62" i="1"/>
  <c r="Y60" i="1"/>
  <c r="CO57" i="1"/>
  <c r="BA55" i="1"/>
  <c r="M53" i="1"/>
  <c r="CC50" i="1"/>
  <c r="AO48" i="1"/>
  <c r="DE45" i="1"/>
  <c r="BQ43" i="1"/>
  <c r="AC41" i="1"/>
  <c r="CS38" i="1"/>
  <c r="BE36" i="1"/>
  <c r="Q34" i="1"/>
  <c r="CG31" i="1"/>
  <c r="AS29" i="1"/>
  <c r="DI26" i="1"/>
  <c r="BU24" i="1"/>
  <c r="AG22" i="1"/>
  <c r="CW19" i="1"/>
  <c r="BI17" i="1"/>
  <c r="U15" i="1"/>
  <c r="CK12" i="1"/>
  <c r="AW10" i="1"/>
  <c r="I8" i="1"/>
  <c r="BY5" i="1"/>
  <c r="AK3" i="1"/>
  <c r="DD141" i="1"/>
  <c r="BP139" i="1"/>
  <c r="AB137" i="1"/>
  <c r="CR134" i="1"/>
  <c r="BD132" i="1"/>
  <c r="P130" i="1"/>
  <c r="CF127" i="1"/>
  <c r="AR125" i="1"/>
  <c r="DH122" i="1"/>
  <c r="BT120" i="1"/>
  <c r="AF118" i="1"/>
  <c r="CV115" i="1"/>
  <c r="BH113" i="1"/>
  <c r="T111" i="1"/>
  <c r="CJ108" i="1"/>
  <c r="K207" i="1"/>
  <c r="BO197" i="1"/>
  <c r="O188" i="1"/>
  <c r="BS178" i="1"/>
  <c r="S169" i="1"/>
  <c r="BW159" i="1"/>
  <c r="W150" i="1"/>
  <c r="AX216" i="1"/>
  <c r="DB206" i="1"/>
  <c r="BB197" i="1"/>
  <c r="DF187" i="1"/>
  <c r="BF178" i="1"/>
  <c r="F169" i="1"/>
  <c r="BJ159" i="1"/>
  <c r="J150" i="1"/>
  <c r="BS140" i="1"/>
  <c r="S131" i="1"/>
  <c r="BW121" i="1"/>
  <c r="W112" i="1"/>
  <c r="CA102" i="1"/>
  <c r="AA93" i="1"/>
  <c r="CA85" i="1"/>
  <c r="AE82" i="1"/>
  <c r="O79" i="1"/>
  <c r="CY75" i="1"/>
  <c r="CI72" i="1"/>
  <c r="BS69" i="1"/>
  <c r="AY66" i="1"/>
  <c r="AI63" i="1"/>
  <c r="S60" i="1"/>
  <c r="DC56" i="1"/>
  <c r="W54" i="1"/>
  <c r="CM51" i="1"/>
  <c r="AY49" i="1"/>
  <c r="K47" i="1"/>
  <c r="CA44" i="1"/>
  <c r="AM42" i="1"/>
  <c r="DC39" i="1"/>
  <c r="BO37" i="1"/>
  <c r="AA35" i="1"/>
  <c r="CQ32" i="1"/>
  <c r="BC30" i="1"/>
  <c r="O28" i="1"/>
  <c r="CE25" i="1"/>
  <c r="AQ23" i="1"/>
  <c r="DG20" i="1"/>
  <c r="BS18" i="1"/>
  <c r="AE16" i="1"/>
  <c r="CU13" i="1"/>
  <c r="BG11" i="1"/>
  <c r="S9" i="1"/>
  <c r="CI6" i="1"/>
  <c r="AU4" i="1"/>
  <c r="DB142" i="1"/>
  <c r="BN140" i="1"/>
  <c r="Z138" i="1"/>
  <c r="CP135" i="1"/>
  <c r="BB133" i="1"/>
  <c r="N131" i="1"/>
  <c r="CD128" i="1"/>
  <c r="AP126" i="1"/>
  <c r="DF123" i="1"/>
  <c r="BR121" i="1"/>
  <c r="AD119" i="1"/>
  <c r="CT116" i="1"/>
  <c r="BF114" i="1"/>
  <c r="R112" i="1"/>
  <c r="CH109" i="1"/>
  <c r="AT107" i="1"/>
  <c r="F105" i="1"/>
  <c r="BV102" i="1"/>
  <c r="AH100" i="1"/>
  <c r="CX97" i="1"/>
  <c r="BJ95" i="1"/>
  <c r="V93" i="1"/>
  <c r="CL90" i="1"/>
  <c r="AX88" i="1"/>
  <c r="J86" i="1"/>
  <c r="BZ83" i="1"/>
  <c r="AL81" i="1"/>
  <c r="DB78" i="1"/>
  <c r="BN76" i="1"/>
  <c r="Z74" i="1"/>
  <c r="CP71" i="1"/>
  <c r="BB69" i="1"/>
  <c r="N67" i="1"/>
  <c r="CD64" i="1"/>
  <c r="AP62" i="1"/>
  <c r="DF59" i="1"/>
  <c r="BR57" i="1"/>
  <c r="AD55" i="1"/>
  <c r="CT52" i="1"/>
  <c r="BF50" i="1"/>
  <c r="R48" i="1"/>
  <c r="CH45" i="1"/>
  <c r="AT43" i="1"/>
  <c r="F41" i="1"/>
  <c r="BV38" i="1"/>
  <c r="AH36" i="1"/>
  <c r="CX33" i="1"/>
  <c r="BJ31" i="1"/>
  <c r="V29" i="1"/>
  <c r="CL26" i="1"/>
  <c r="AX24" i="1"/>
  <c r="J22" i="1"/>
  <c r="BZ19" i="1"/>
  <c r="AL17" i="1"/>
  <c r="DB14" i="1"/>
  <c r="BN12" i="1"/>
  <c r="Z10" i="1"/>
  <c r="CP7" i="1"/>
  <c r="BB5" i="1"/>
  <c r="N3" i="1"/>
  <c r="CK141" i="1"/>
  <c r="AW139" i="1"/>
  <c r="I137" i="1"/>
  <c r="BY134" i="1"/>
  <c r="AK132" i="1"/>
  <c r="DA129" i="1"/>
  <c r="BM127" i="1"/>
  <c r="Y125" i="1"/>
  <c r="CO122" i="1"/>
  <c r="BA120" i="1"/>
  <c r="M118" i="1"/>
  <c r="CC115" i="1"/>
  <c r="AO113" i="1"/>
  <c r="DE110" i="1"/>
  <c r="CM215" i="1"/>
  <c r="AM206" i="1"/>
  <c r="CQ196" i="1"/>
  <c r="AQ187" i="1"/>
  <c r="CU177" i="1"/>
  <c r="AU168" i="1"/>
  <c r="CY158" i="1"/>
  <c r="AY149" i="1"/>
  <c r="BZ215" i="1"/>
  <c r="Z206" i="1"/>
  <c r="CD196" i="1"/>
  <c r="AD187" i="1"/>
  <c r="CH177" i="1"/>
  <c r="AH168" i="1"/>
  <c r="CL158" i="1"/>
  <c r="AL149" i="1"/>
  <c r="CU139" i="1"/>
  <c r="AU130" i="1"/>
  <c r="CY120" i="1"/>
  <c r="AY111" i="1"/>
  <c r="DC101" i="1"/>
  <c r="BC92" i="1"/>
  <c r="AQ85" i="1"/>
  <c r="DG81" i="1"/>
  <c r="CQ78" i="1"/>
  <c r="CA75" i="1"/>
  <c r="BG72" i="1"/>
  <c r="AQ69" i="1"/>
  <c r="AA66" i="1"/>
  <c r="G63" i="1"/>
  <c r="CU59" i="1"/>
  <c r="CE56" i="1"/>
  <c r="DG53" i="1"/>
  <c r="BS51" i="1"/>
  <c r="AE49" i="1"/>
  <c r="CU46" i="1"/>
  <c r="BG44" i="1"/>
  <c r="S42" i="1"/>
  <c r="CI39" i="1"/>
  <c r="AU37" i="1"/>
  <c r="G35" i="1"/>
  <c r="BW32" i="1"/>
  <c r="AI30" i="1"/>
  <c r="CY27" i="1"/>
  <c r="BK25" i="1"/>
  <c r="W23" i="1"/>
  <c r="CM20" i="1"/>
  <c r="AY18" i="1"/>
  <c r="K16" i="1"/>
  <c r="CA13" i="1"/>
  <c r="AM11" i="1"/>
  <c r="DC8" i="1"/>
  <c r="BO6" i="1"/>
  <c r="AA4" i="1"/>
  <c r="CH142" i="1"/>
  <c r="AT140" i="1"/>
  <c r="F138" i="1"/>
  <c r="BV135" i="1"/>
  <c r="AH133" i="1"/>
  <c r="CX130" i="1"/>
  <c r="BJ128" i="1"/>
  <c r="V126" i="1"/>
  <c r="CL123" i="1"/>
  <c r="AX121" i="1"/>
  <c r="J119" i="1"/>
  <c r="BZ116" i="1"/>
  <c r="AL114" i="1"/>
  <c r="DB111" i="1"/>
  <c r="BN109" i="1"/>
  <c r="Z107" i="1"/>
  <c r="CP104" i="1"/>
  <c r="BB102" i="1"/>
  <c r="N100" i="1"/>
  <c r="CD97" i="1"/>
  <c r="AP95" i="1"/>
  <c r="DF92" i="1"/>
  <c r="BR90" i="1"/>
  <c r="AD88" i="1"/>
  <c r="CT85" i="1"/>
  <c r="BF83" i="1"/>
  <c r="R81" i="1"/>
  <c r="CH78" i="1"/>
  <c r="AT76" i="1"/>
  <c r="F74" i="1"/>
  <c r="BV71" i="1"/>
  <c r="AH69" i="1"/>
  <c r="CX66" i="1"/>
  <c r="BJ64" i="1"/>
  <c r="V62" i="1"/>
  <c r="CL59" i="1"/>
  <c r="AX57" i="1"/>
  <c r="J55" i="1"/>
  <c r="BZ52" i="1"/>
  <c r="AL50" i="1"/>
  <c r="DB47" i="1"/>
  <c r="BN45" i="1"/>
  <c r="Z43" i="1"/>
  <c r="CP40" i="1"/>
  <c r="BB38" i="1"/>
  <c r="N36" i="1"/>
  <c r="CD33" i="1"/>
  <c r="AP31" i="1"/>
  <c r="DF28" i="1"/>
  <c r="BR26" i="1"/>
  <c r="AD24" i="1"/>
  <c r="CT21" i="1"/>
  <c r="BF19" i="1"/>
  <c r="R17" i="1"/>
  <c r="CH14" i="1"/>
  <c r="AT12" i="1"/>
  <c r="F10" i="1"/>
  <c r="BV7" i="1"/>
  <c r="AH5" i="1"/>
  <c r="DE143" i="1"/>
  <c r="BQ141" i="1"/>
  <c r="AC139" i="1"/>
  <c r="CS136" i="1"/>
  <c r="BE134" i="1"/>
  <c r="Q132" i="1"/>
  <c r="CG129" i="1"/>
  <c r="AS127" i="1"/>
  <c r="DI124" i="1"/>
  <c r="BU122" i="1"/>
  <c r="AG120" i="1"/>
  <c r="CW117" i="1"/>
  <c r="BI115" i="1"/>
  <c r="U113" i="1"/>
  <c r="CK110" i="1"/>
  <c r="AW108" i="1"/>
  <c r="I106" i="1"/>
  <c r="BY103" i="1"/>
  <c r="AK101" i="1"/>
  <c r="DA98" i="1"/>
  <c r="BM96" i="1"/>
  <c r="Y94" i="1"/>
  <c r="CO91" i="1"/>
  <c r="BA89" i="1"/>
  <c r="M87" i="1"/>
  <c r="CC84" i="1"/>
  <c r="AO82" i="1"/>
  <c r="DE79" i="1"/>
  <c r="BQ77" i="1"/>
  <c r="AC75" i="1"/>
  <c r="CS72" i="1"/>
  <c r="BE70" i="1"/>
  <c r="Q68" i="1"/>
  <c r="CG65" i="1"/>
  <c r="AS63" i="1"/>
  <c r="DI60" i="1"/>
  <c r="BU58" i="1"/>
  <c r="AG56" i="1"/>
  <c r="CW53" i="1"/>
  <c r="BI51" i="1"/>
  <c r="U49" i="1"/>
  <c r="CK46" i="1"/>
  <c r="AW44" i="1"/>
  <c r="I42" i="1"/>
  <c r="BY39" i="1"/>
  <c r="AK37" i="1"/>
  <c r="DA34" i="1"/>
  <c r="BM32" i="1"/>
  <c r="Y30" i="1"/>
  <c r="CO27" i="1"/>
  <c r="BA25" i="1"/>
  <c r="M23" i="1"/>
  <c r="CC20" i="1"/>
  <c r="AO18" i="1"/>
  <c r="DE15" i="1"/>
  <c r="BQ13" i="1"/>
  <c r="AC11" i="1"/>
  <c r="CS8" i="1"/>
  <c r="BE6" i="1"/>
  <c r="Q4" i="1"/>
  <c r="CJ142" i="1"/>
  <c r="AV140" i="1"/>
  <c r="H138" i="1"/>
  <c r="BX135" i="1"/>
  <c r="AJ133" i="1"/>
  <c r="CZ130" i="1"/>
  <c r="BL128" i="1"/>
  <c r="X126" i="1"/>
  <c r="CN123" i="1"/>
  <c r="AZ121" i="1"/>
  <c r="L119" i="1"/>
  <c r="CB116" i="1"/>
  <c r="AN114" i="1"/>
  <c r="DD111" i="1"/>
  <c r="BP109" i="1"/>
  <c r="CE209" i="1"/>
  <c r="AE200" i="1"/>
  <c r="CI190" i="1"/>
  <c r="AI181" i="1"/>
  <c r="CM171" i="1"/>
  <c r="AM162" i="1"/>
  <c r="CQ152" i="1"/>
  <c r="N219" i="1"/>
  <c r="BR209" i="1"/>
  <c r="R200" i="1"/>
  <c r="BV190" i="1"/>
  <c r="V181" i="1"/>
  <c r="BZ171" i="1"/>
  <c r="Z162" i="1"/>
  <c r="CD152" i="1"/>
  <c r="AI143" i="1"/>
  <c r="CM133" i="1"/>
  <c r="AM124" i="1"/>
  <c r="CQ114" i="1"/>
  <c r="AQ105" i="1"/>
  <c r="CU95" i="1"/>
  <c r="G87" i="1"/>
  <c r="S83" i="1"/>
  <c r="DG79" i="1"/>
  <c r="CM76" i="1"/>
  <c r="BW73" i="1"/>
  <c r="BG70" i="1"/>
  <c r="AM67" i="1"/>
  <c r="W64" i="1"/>
  <c r="G61" i="1"/>
  <c r="CQ57" i="1"/>
  <c r="CQ54" i="1"/>
  <c r="BC52" i="1"/>
  <c r="O50" i="1"/>
  <c r="CE47" i="1"/>
  <c r="AQ45" i="1"/>
  <c r="DG42" i="1"/>
  <c r="BS40" i="1"/>
  <c r="AE38" i="1"/>
  <c r="CU35" i="1"/>
  <c r="BG33" i="1"/>
  <c r="S31" i="1"/>
  <c r="CI28" i="1"/>
  <c r="AU26" i="1"/>
  <c r="G24" i="1"/>
  <c r="BW21" i="1"/>
  <c r="AI19" i="1"/>
  <c r="CY16" i="1"/>
  <c r="BK14" i="1"/>
  <c r="W12" i="1"/>
  <c r="CM9" i="1"/>
  <c r="AY7" i="1"/>
  <c r="K5" i="1"/>
  <c r="BR143" i="1"/>
  <c r="AD141" i="1"/>
  <c r="CT138" i="1"/>
  <c r="BF136" i="1"/>
  <c r="R134" i="1"/>
  <c r="CH131" i="1"/>
  <c r="AT129" i="1"/>
  <c r="F127" i="1"/>
  <c r="BV124" i="1"/>
  <c r="AH122" i="1"/>
  <c r="CX119" i="1"/>
  <c r="BJ117" i="1"/>
  <c r="V115" i="1"/>
  <c r="CL112" i="1"/>
  <c r="AX110" i="1"/>
  <c r="J108" i="1"/>
  <c r="BZ105" i="1"/>
  <c r="AL103" i="1"/>
  <c r="DB100" i="1"/>
  <c r="BN98" i="1"/>
  <c r="Z96" i="1"/>
  <c r="CP93" i="1"/>
  <c r="BB91" i="1"/>
  <c r="N89" i="1"/>
  <c r="CD86" i="1"/>
  <c r="AP84" i="1"/>
  <c r="DF81" i="1"/>
  <c r="BR79" i="1"/>
  <c r="AD77" i="1"/>
  <c r="CT74" i="1"/>
  <c r="BF72" i="1"/>
  <c r="R70" i="1"/>
  <c r="CH67" i="1"/>
  <c r="AT65" i="1"/>
  <c r="F63" i="1"/>
  <c r="BV60" i="1"/>
  <c r="AH58" i="1"/>
  <c r="CX55" i="1"/>
  <c r="BJ53" i="1"/>
  <c r="V51" i="1"/>
  <c r="CL48" i="1"/>
  <c r="AX46" i="1"/>
  <c r="J44" i="1"/>
  <c r="BZ41" i="1"/>
  <c r="AL39" i="1"/>
  <c r="DB36" i="1"/>
  <c r="BN34" i="1"/>
  <c r="Z32" i="1"/>
  <c r="CP29" i="1"/>
  <c r="BB27" i="1"/>
  <c r="N25" i="1"/>
  <c r="CD22" i="1"/>
  <c r="AP20" i="1"/>
  <c r="DF17" i="1"/>
  <c r="BR15" i="1"/>
  <c r="AD13" i="1"/>
  <c r="CT10" i="1"/>
  <c r="BF8" i="1"/>
  <c r="R6" i="1"/>
  <c r="CH3" i="1"/>
  <c r="BA142" i="1"/>
  <c r="M140" i="1"/>
  <c r="CC137" i="1"/>
  <c r="AO135" i="1"/>
  <c r="DE132" i="1"/>
  <c r="BQ130" i="1"/>
  <c r="AC128" i="1"/>
  <c r="CS125" i="1"/>
  <c r="BE123" i="1"/>
  <c r="Q121" i="1"/>
  <c r="CG118" i="1"/>
  <c r="AS116" i="1"/>
  <c r="DI113" i="1"/>
  <c r="BU111" i="1"/>
  <c r="AG109" i="1"/>
  <c r="CW106" i="1"/>
  <c r="BI104" i="1"/>
  <c r="U102" i="1"/>
  <c r="AW142" i="1"/>
  <c r="I140" i="1"/>
  <c r="BY137" i="1"/>
  <c r="AK135" i="1"/>
  <c r="DA132" i="1"/>
  <c r="BM130" i="1"/>
  <c r="Y128" i="1"/>
  <c r="CO125" i="1"/>
  <c r="BA123" i="1"/>
  <c r="M121" i="1"/>
  <c r="CC118" i="1"/>
  <c r="AO116" i="1"/>
  <c r="DE113" i="1"/>
  <c r="BQ111" i="1"/>
  <c r="AC109" i="1"/>
  <c r="CS106" i="1"/>
  <c r="BE104" i="1"/>
  <c r="Q102" i="1"/>
  <c r="CG99" i="1"/>
  <c r="AS97" i="1"/>
  <c r="DI94" i="1"/>
  <c r="BU92" i="1"/>
  <c r="AG90" i="1"/>
  <c r="CW87" i="1"/>
  <c r="BI85" i="1"/>
  <c r="U83" i="1"/>
  <c r="CK80" i="1"/>
  <c r="AW78" i="1"/>
  <c r="I76" i="1"/>
  <c r="BY73" i="1"/>
  <c r="AK71" i="1"/>
  <c r="DA68" i="1"/>
  <c r="BM66" i="1"/>
  <c r="Y64" i="1"/>
  <c r="CO61" i="1"/>
  <c r="BA59" i="1"/>
  <c r="M57" i="1"/>
  <c r="CC54" i="1"/>
  <c r="AO52" i="1"/>
  <c r="DE49" i="1"/>
  <c r="BQ47" i="1"/>
  <c r="AC45" i="1"/>
  <c r="CS42" i="1"/>
  <c r="BE40" i="1"/>
  <c r="Q38" i="1"/>
  <c r="CG35" i="1"/>
  <c r="AS33" i="1"/>
  <c r="DI30" i="1"/>
  <c r="BU28" i="1"/>
  <c r="AG26" i="1"/>
  <c r="CW23" i="1"/>
  <c r="BI21" i="1"/>
  <c r="U19" i="1"/>
  <c r="CK16" i="1"/>
  <c r="AW14" i="1"/>
  <c r="I12" i="1"/>
  <c r="BY9" i="1"/>
  <c r="AK7" i="1"/>
  <c r="DA4" i="1"/>
  <c r="BP143" i="1"/>
  <c r="AB141" i="1"/>
  <c r="CR138" i="1"/>
  <c r="BD136" i="1"/>
  <c r="P134" i="1"/>
  <c r="CF131" i="1"/>
  <c r="AR129" i="1"/>
  <c r="DH126" i="1"/>
  <c r="BT124" i="1"/>
  <c r="AF122" i="1"/>
  <c r="CV119" i="1"/>
  <c r="BH117" i="1"/>
  <c r="T115" i="1"/>
  <c r="CJ112" i="1"/>
  <c r="AV110" i="1"/>
  <c r="BO213" i="1"/>
  <c r="O204" i="1"/>
  <c r="BS194" i="1"/>
  <c r="S185" i="1"/>
  <c r="BW175" i="1"/>
  <c r="W166" i="1"/>
  <c r="CA156" i="1"/>
  <c r="AA147" i="1"/>
  <c r="BB213" i="1"/>
  <c r="DF203" i="1"/>
  <c r="BF194" i="1"/>
  <c r="F185" i="1"/>
  <c r="BJ175" i="1"/>
  <c r="J166" i="1"/>
  <c r="BN156" i="1"/>
  <c r="N147" i="1"/>
  <c r="BW137" i="1"/>
  <c r="W128" i="1"/>
  <c r="CA118" i="1"/>
  <c r="AA109" i="1"/>
  <c r="CE99" i="1"/>
  <c r="AE90" i="1"/>
  <c r="AY84" i="1"/>
  <c r="AE81" i="1"/>
  <c r="O78" i="1"/>
  <c r="DC74" i="1"/>
  <c r="CI71" i="1"/>
  <c r="BS68" i="1"/>
  <c r="BC65" i="1"/>
  <c r="AI62" i="1"/>
  <c r="S59" i="1"/>
  <c r="DG55" i="1"/>
  <c r="AY53" i="1"/>
  <c r="K51" i="1"/>
  <c r="CA48" i="1"/>
  <c r="AM46" i="1"/>
  <c r="DC43" i="1"/>
  <c r="BO41" i="1"/>
  <c r="AA39" i="1"/>
  <c r="CQ36" i="1"/>
  <c r="BC34" i="1"/>
  <c r="O32" i="1"/>
  <c r="CE29" i="1"/>
  <c r="AQ27" i="1"/>
  <c r="DG24" i="1"/>
  <c r="BS22" i="1"/>
  <c r="AE20" i="1"/>
  <c r="CU17" i="1"/>
  <c r="BG15" i="1"/>
  <c r="S13" i="1"/>
  <c r="CI10" i="1"/>
  <c r="AU8" i="1"/>
  <c r="G6" i="1"/>
  <c r="BW3" i="1"/>
  <c r="Z142" i="1"/>
  <c r="CP139" i="1"/>
  <c r="BB137" i="1"/>
  <c r="N135" i="1"/>
  <c r="CD132" i="1"/>
  <c r="AP130" i="1"/>
  <c r="DF127" i="1"/>
  <c r="BR125" i="1"/>
  <c r="AD123" i="1"/>
  <c r="CT120" i="1"/>
  <c r="BF118" i="1"/>
  <c r="R116" i="1"/>
  <c r="CH113" i="1"/>
  <c r="AT111" i="1"/>
  <c r="F109" i="1"/>
  <c r="BV106" i="1"/>
  <c r="AH104" i="1"/>
  <c r="CX101" i="1"/>
  <c r="BJ99" i="1"/>
  <c r="V97" i="1"/>
  <c r="CL94" i="1"/>
  <c r="AX92" i="1"/>
  <c r="J90" i="1"/>
  <c r="BZ87" i="1"/>
  <c r="AL85" i="1"/>
  <c r="DB82" i="1"/>
  <c r="BN80" i="1"/>
  <c r="Z78" i="1"/>
  <c r="CP75" i="1"/>
  <c r="BB73" i="1"/>
  <c r="N71" i="1"/>
  <c r="CD68" i="1"/>
  <c r="AP66" i="1"/>
  <c r="DF63" i="1"/>
  <c r="BR61" i="1"/>
  <c r="AD59" i="1"/>
  <c r="CT56" i="1"/>
  <c r="BF54" i="1"/>
  <c r="R52" i="1"/>
  <c r="CH49" i="1"/>
  <c r="AT47" i="1"/>
  <c r="F45" i="1"/>
  <c r="BV42" i="1"/>
  <c r="AH40" i="1"/>
  <c r="CX37" i="1"/>
  <c r="BJ35" i="1"/>
  <c r="V33" i="1"/>
  <c r="CL30" i="1"/>
  <c r="AX28" i="1"/>
  <c r="J26" i="1"/>
  <c r="BZ23" i="1"/>
  <c r="AL21" i="1"/>
  <c r="DB18" i="1"/>
  <c r="BN16" i="1"/>
  <c r="Z14" i="1"/>
  <c r="CP11" i="1"/>
  <c r="BB9" i="1"/>
  <c r="N7" i="1"/>
  <c r="CD4" i="1"/>
  <c r="AW143" i="1"/>
  <c r="I141" i="1"/>
  <c r="BY138" i="1"/>
  <c r="AK136" i="1"/>
  <c r="DA133" i="1"/>
  <c r="BM131" i="1"/>
  <c r="Y129" i="1"/>
  <c r="CO126" i="1"/>
  <c r="BA124" i="1"/>
  <c r="M122" i="1"/>
  <c r="CC119" i="1"/>
  <c r="AO117" i="1"/>
  <c r="DE114" i="1"/>
  <c r="BQ112" i="1"/>
  <c r="AC110" i="1"/>
  <c r="CQ212" i="1"/>
  <c r="AQ203" i="1"/>
  <c r="CU193" i="1"/>
  <c r="AU184" i="1"/>
  <c r="CY174" i="1"/>
  <c r="AY165" i="1"/>
  <c r="DC155" i="1"/>
  <c r="BC146" i="1"/>
  <c r="CD212" i="1"/>
  <c r="AD203" i="1"/>
  <c r="CH193" i="1"/>
  <c r="AH184" i="1"/>
  <c r="CL174" i="1"/>
  <c r="AL165" i="1"/>
  <c r="CP155" i="1"/>
  <c r="AP146" i="1"/>
  <c r="CY136" i="1"/>
  <c r="AY127" i="1"/>
  <c r="DC117" i="1"/>
  <c r="BC108" i="1"/>
  <c r="DG98" i="1"/>
  <c r="BG89" i="1"/>
  <c r="W84" i="1"/>
  <c r="G81" i="1"/>
  <c r="CQ77" i="1"/>
  <c r="CA74" i="1"/>
  <c r="BK71" i="1"/>
  <c r="AQ68" i="1"/>
  <c r="AA65" i="1"/>
  <c r="K62" i="1"/>
  <c r="CU58" i="1"/>
  <c r="CE55" i="1"/>
  <c r="AE53" i="1"/>
  <c r="CU50" i="1"/>
  <c r="BG48" i="1"/>
  <c r="S46" i="1"/>
  <c r="CI43" i="1"/>
  <c r="AU41" i="1"/>
  <c r="G39" i="1"/>
  <c r="BW36" i="1"/>
  <c r="AI34" i="1"/>
  <c r="CY31" i="1"/>
  <c r="BK29" i="1"/>
  <c r="W27" i="1"/>
  <c r="CM24" i="1"/>
  <c r="AY22" i="1"/>
  <c r="K20" i="1"/>
  <c r="CA17" i="1"/>
  <c r="AM15" i="1"/>
  <c r="DC12" i="1"/>
  <c r="BO10" i="1"/>
  <c r="AA8" i="1"/>
  <c r="CQ5" i="1"/>
  <c r="BC3" i="1"/>
  <c r="F142" i="1"/>
  <c r="BV139" i="1"/>
  <c r="AH137" i="1"/>
  <c r="CX134" i="1"/>
  <c r="BJ132" i="1"/>
  <c r="V130" i="1"/>
  <c r="CL127" i="1"/>
  <c r="AX125" i="1"/>
  <c r="J123" i="1"/>
  <c r="BZ120" i="1"/>
  <c r="AL118" i="1"/>
  <c r="DB115" i="1"/>
  <c r="BN113" i="1"/>
  <c r="Z111" i="1"/>
  <c r="CP108" i="1"/>
  <c r="BB106" i="1"/>
  <c r="N104" i="1"/>
  <c r="CD101" i="1"/>
  <c r="AP99" i="1"/>
  <c r="DF96" i="1"/>
  <c r="BR94" i="1"/>
  <c r="AD92" i="1"/>
  <c r="CT89" i="1"/>
  <c r="BF87" i="1"/>
  <c r="R85" i="1"/>
  <c r="CH82" i="1"/>
  <c r="AT80" i="1"/>
  <c r="F78" i="1"/>
  <c r="BV75" i="1"/>
  <c r="AH73" i="1"/>
  <c r="CX70" i="1"/>
  <c r="BJ68" i="1"/>
  <c r="V66" i="1"/>
  <c r="CL63" i="1"/>
  <c r="AX61" i="1"/>
  <c r="J59" i="1"/>
  <c r="BZ56" i="1"/>
  <c r="AL54" i="1"/>
  <c r="DB51" i="1"/>
  <c r="BN49" i="1"/>
  <c r="Z47" i="1"/>
  <c r="CP44" i="1"/>
  <c r="BB42" i="1"/>
  <c r="N40" i="1"/>
  <c r="CD37" i="1"/>
  <c r="AP35" i="1"/>
  <c r="DF32" i="1"/>
  <c r="BR30" i="1"/>
  <c r="AD28" i="1"/>
  <c r="CT25" i="1"/>
  <c r="BF23" i="1"/>
  <c r="R21" i="1"/>
  <c r="CH18" i="1"/>
  <c r="AT16" i="1"/>
  <c r="F14" i="1"/>
  <c r="BV11" i="1"/>
  <c r="AH9" i="1"/>
  <c r="CX6" i="1"/>
  <c r="BJ4" i="1"/>
  <c r="AC143" i="1"/>
  <c r="CS140" i="1"/>
  <c r="BE138" i="1"/>
  <c r="Q136" i="1"/>
  <c r="CG133" i="1"/>
  <c r="AS131" i="1"/>
  <c r="DI128" i="1"/>
  <c r="BU126" i="1"/>
  <c r="AG124" i="1"/>
  <c r="CW121" i="1"/>
  <c r="BI119" i="1"/>
  <c r="U117" i="1"/>
  <c r="CK114" i="1"/>
  <c r="AW112" i="1"/>
  <c r="I110" i="1"/>
  <c r="BY107" i="1"/>
  <c r="AK105" i="1"/>
  <c r="DA102" i="1"/>
  <c r="BM100" i="1"/>
  <c r="Y98" i="1"/>
  <c r="CO95" i="1"/>
  <c r="BA93" i="1"/>
  <c r="M91" i="1"/>
  <c r="CC88" i="1"/>
  <c r="AO86" i="1"/>
  <c r="DE83" i="1"/>
  <c r="BQ81" i="1"/>
  <c r="AC79" i="1"/>
  <c r="CS76" i="1"/>
  <c r="BE74" i="1"/>
  <c r="Q72" i="1"/>
  <c r="CG69" i="1"/>
  <c r="AS67" i="1"/>
  <c r="DI64" i="1"/>
  <c r="BU62" i="1"/>
  <c r="AG60" i="1"/>
  <c r="CW57" i="1"/>
  <c r="BI55" i="1"/>
  <c r="U53" i="1"/>
  <c r="CK50" i="1"/>
  <c r="AW48" i="1"/>
  <c r="I46" i="1"/>
  <c r="BY43" i="1"/>
  <c r="AK41" i="1"/>
  <c r="DA38" i="1"/>
  <c r="BM36" i="1"/>
  <c r="Y34" i="1"/>
  <c r="CO31" i="1"/>
  <c r="BA29" i="1"/>
  <c r="M27" i="1"/>
  <c r="CC24" i="1"/>
  <c r="AO22" i="1"/>
  <c r="DE19" i="1"/>
  <c r="BQ17" i="1"/>
  <c r="AC15" i="1"/>
  <c r="CS12" i="1"/>
  <c r="BE10" i="1"/>
  <c r="Q8" i="1"/>
  <c r="CG5" i="1"/>
  <c r="AS3" i="1"/>
  <c r="H142" i="1"/>
  <c r="BX139" i="1"/>
  <c r="AJ137" i="1"/>
  <c r="CZ134" i="1"/>
  <c r="BL132" i="1"/>
  <c r="X130" i="1"/>
  <c r="CN127" i="1"/>
  <c r="AZ125" i="1"/>
  <c r="L123" i="1"/>
  <c r="CB120" i="1"/>
  <c r="AN118" i="1"/>
  <c r="DD115" i="1"/>
  <c r="BP113" i="1"/>
  <c r="AB111" i="1"/>
  <c r="CR108" i="1"/>
  <c r="CI206" i="1"/>
  <c r="AI197" i="1"/>
  <c r="CM187" i="1"/>
  <c r="AM178" i="1"/>
  <c r="CQ168" i="1"/>
  <c r="AQ159" i="1"/>
  <c r="CU149" i="1"/>
  <c r="R216" i="1"/>
  <c r="BV206" i="1"/>
  <c r="V197" i="1"/>
  <c r="BZ187" i="1"/>
  <c r="Z178" i="1"/>
  <c r="CD168" i="1"/>
  <c r="AD159" i="1"/>
  <c r="CH149" i="1"/>
  <c r="AM140" i="1"/>
  <c r="CQ130" i="1"/>
  <c r="AQ121" i="1"/>
  <c r="CU111" i="1"/>
  <c r="AU102" i="1"/>
  <c r="CY92" i="1"/>
  <c r="BK85" i="1"/>
  <c r="S82" i="1"/>
  <c r="DG78" i="1"/>
  <c r="CQ75" i="1"/>
  <c r="BW72" i="1"/>
  <c r="BG69" i="1"/>
  <c r="AQ66" i="1"/>
  <c r="W63" i="1"/>
  <c r="G60" i="1"/>
  <c r="CU56" i="1"/>
  <c r="O54" i="1"/>
  <c r="CE51" i="1"/>
  <c r="AQ49" i="1"/>
  <c r="DG46" i="1"/>
  <c r="BS44" i="1"/>
  <c r="AE42" i="1"/>
  <c r="CU39" i="1"/>
  <c r="BG37" i="1"/>
  <c r="S35" i="1"/>
  <c r="CI32" i="1"/>
  <c r="AU30" i="1"/>
  <c r="G28" i="1"/>
  <c r="BW25" i="1"/>
  <c r="AI23" i="1"/>
  <c r="CY20" i="1"/>
  <c r="BK18" i="1"/>
  <c r="W16" i="1"/>
  <c r="CM13" i="1"/>
  <c r="AY11" i="1"/>
  <c r="K9" i="1"/>
  <c r="CA6" i="1"/>
  <c r="AM4" i="1"/>
  <c r="CT142" i="1"/>
  <c r="BF140" i="1"/>
  <c r="R138" i="1"/>
  <c r="CH135" i="1"/>
  <c r="AT133" i="1"/>
  <c r="F131" i="1"/>
  <c r="BV128" i="1"/>
  <c r="AH126" i="1"/>
  <c r="CX123" i="1"/>
  <c r="BJ121" i="1"/>
  <c r="V119" i="1"/>
  <c r="CL116" i="1"/>
  <c r="AX114" i="1"/>
  <c r="J112" i="1"/>
  <c r="BZ109" i="1"/>
  <c r="AL107" i="1"/>
  <c r="DB104" i="1"/>
  <c r="BN102" i="1"/>
  <c r="Z100" i="1"/>
  <c r="CP97" i="1"/>
  <c r="BB95" i="1"/>
  <c r="N93" i="1"/>
  <c r="CD90" i="1"/>
  <c r="AP88" i="1"/>
  <c r="DF85" i="1"/>
  <c r="BR83" i="1"/>
  <c r="AD81" i="1"/>
  <c r="CT78" i="1"/>
  <c r="BF76" i="1"/>
  <c r="R74" i="1"/>
  <c r="CH71" i="1"/>
  <c r="AT69" i="1"/>
  <c r="F67" i="1"/>
  <c r="BV64" i="1"/>
  <c r="AH62" i="1"/>
  <c r="CX59" i="1"/>
  <c r="BJ57" i="1"/>
  <c r="V55" i="1"/>
  <c r="CL52" i="1"/>
  <c r="AX50" i="1"/>
  <c r="J48" i="1"/>
  <c r="BZ45" i="1"/>
  <c r="AL43" i="1"/>
  <c r="DB40" i="1"/>
  <c r="BN38" i="1"/>
  <c r="Z36" i="1"/>
  <c r="CP33" i="1"/>
  <c r="BB31" i="1"/>
  <c r="N29" i="1"/>
  <c r="CD26" i="1"/>
  <c r="AP24" i="1"/>
  <c r="DF21" i="1"/>
  <c r="BR19" i="1"/>
  <c r="AD17" i="1"/>
  <c r="CT14" i="1"/>
  <c r="BF12" i="1"/>
  <c r="R10" i="1"/>
  <c r="CH7" i="1"/>
  <c r="AT5" i="1"/>
  <c r="F3" i="1"/>
  <c r="CC141" i="1"/>
  <c r="AO139" i="1"/>
  <c r="DE136" i="1"/>
  <c r="BQ134" i="1"/>
  <c r="AC132" i="1"/>
  <c r="CS129" i="1"/>
  <c r="BA143" i="1"/>
  <c r="M141" i="1"/>
  <c r="CC138" i="1"/>
  <c r="AO136" i="1"/>
  <c r="DE133" i="1"/>
  <c r="BQ131" i="1"/>
  <c r="AC129" i="1"/>
  <c r="CS126" i="1"/>
  <c r="BE124" i="1"/>
  <c r="Q122" i="1"/>
  <c r="CG119" i="1"/>
  <c r="AS117" i="1"/>
  <c r="DI114" i="1"/>
  <c r="BU112" i="1"/>
  <c r="AG110" i="1"/>
  <c r="CW107" i="1"/>
  <c r="BI105" i="1"/>
  <c r="U103" i="1"/>
  <c r="CK100" i="1"/>
  <c r="AW98" i="1"/>
  <c r="I96" i="1"/>
  <c r="BY93" i="1"/>
  <c r="AK91" i="1"/>
  <c r="DA88" i="1"/>
  <c r="BM86" i="1"/>
  <c r="Y84" i="1"/>
  <c r="CO81" i="1"/>
  <c r="BA79" i="1"/>
  <c r="M77" i="1"/>
  <c r="CC74" i="1"/>
  <c r="AO72" i="1"/>
  <c r="DE69" i="1"/>
  <c r="BQ67" i="1"/>
  <c r="AC65" i="1"/>
  <c r="CS62" i="1"/>
  <c r="BE60" i="1"/>
  <c r="Q58" i="1"/>
  <c r="CG55" i="1"/>
  <c r="AS53" i="1"/>
  <c r="DI50" i="1"/>
  <c r="BU48" i="1"/>
  <c r="AG46" i="1"/>
  <c r="CW43" i="1"/>
  <c r="BI41" i="1"/>
  <c r="U39" i="1"/>
  <c r="CK36" i="1"/>
  <c r="AW34" i="1"/>
  <c r="I32" i="1"/>
  <c r="BY29" i="1"/>
  <c r="AK27" i="1"/>
  <c r="DA24" i="1"/>
  <c r="BM22" i="1"/>
  <c r="Y20" i="1"/>
  <c r="CO17" i="1"/>
  <c r="BA15" i="1"/>
  <c r="M13" i="1"/>
  <c r="CC10" i="1"/>
  <c r="AO8" i="1"/>
  <c r="DE5" i="1"/>
  <c r="BQ3" i="1"/>
  <c r="AF142" i="1"/>
  <c r="CV139" i="1"/>
  <c r="BH137" i="1"/>
  <c r="T135" i="1"/>
  <c r="CJ132" i="1"/>
  <c r="AV130" i="1"/>
  <c r="H128" i="1"/>
  <c r="BX125" i="1"/>
  <c r="AJ123" i="1"/>
  <c r="CZ120" i="1"/>
  <c r="BL118" i="1"/>
  <c r="X116" i="1"/>
  <c r="CN113" i="1"/>
  <c r="AZ111" i="1"/>
  <c r="L109" i="1"/>
  <c r="AE208" i="1"/>
  <c r="CI198" i="1"/>
  <c r="AI189" i="1"/>
  <c r="CM179" i="1"/>
  <c r="AM170" i="1"/>
  <c r="CQ160" i="1"/>
  <c r="AQ151" i="1"/>
  <c r="BR217" i="1"/>
  <c r="R208" i="1"/>
  <c r="BV198" i="1"/>
  <c r="V189" i="1"/>
  <c r="BZ179" i="1"/>
  <c r="Z170" i="1"/>
  <c r="CD160" i="1"/>
  <c r="AD151" i="1"/>
  <c r="CM141" i="1"/>
  <c r="AM132" i="1"/>
  <c r="CQ122" i="1"/>
  <c r="AQ113" i="1"/>
  <c r="CU103" i="1"/>
  <c r="AU94" i="1"/>
  <c r="AI86" i="1"/>
  <c r="BW82" i="1"/>
  <c r="BC79" i="1"/>
  <c r="AM76" i="1"/>
  <c r="W73" i="1"/>
  <c r="DG69" i="1"/>
  <c r="CQ66" i="1"/>
  <c r="CA63" i="1"/>
  <c r="BG60" i="1"/>
  <c r="AQ57" i="1"/>
  <c r="BC54" i="1"/>
  <c r="O52" i="1"/>
  <c r="CE49" i="1"/>
  <c r="AQ47" i="1"/>
  <c r="DG44" i="1"/>
  <c r="BS42" i="1"/>
  <c r="AE40" i="1"/>
  <c r="CU37" i="1"/>
  <c r="BG35" i="1"/>
  <c r="S33" i="1"/>
  <c r="CI30" i="1"/>
  <c r="AU28" i="1"/>
  <c r="G26" i="1"/>
  <c r="BW23" i="1"/>
  <c r="AI21" i="1"/>
  <c r="CY18" i="1"/>
  <c r="BK16" i="1"/>
  <c r="W14" i="1"/>
  <c r="CM11" i="1"/>
  <c r="AY9" i="1"/>
  <c r="K7" i="1"/>
  <c r="CA4" i="1"/>
  <c r="AD143" i="1"/>
  <c r="CT140" i="1"/>
  <c r="BF138" i="1"/>
  <c r="R136" i="1"/>
  <c r="CH133" i="1"/>
  <c r="AT131" i="1"/>
  <c r="F129" i="1"/>
  <c r="BV126" i="1"/>
  <c r="AH124" i="1"/>
  <c r="CX121" i="1"/>
  <c r="BJ119" i="1"/>
  <c r="V117" i="1"/>
  <c r="CL114" i="1"/>
  <c r="AX112" i="1"/>
  <c r="J110" i="1"/>
  <c r="BZ107" i="1"/>
  <c r="AL105" i="1"/>
  <c r="DB102" i="1"/>
  <c r="BN100" i="1"/>
  <c r="Z98" i="1"/>
  <c r="CP95" i="1"/>
  <c r="BB93" i="1"/>
  <c r="N91" i="1"/>
  <c r="CD88" i="1"/>
  <c r="AP86" i="1"/>
  <c r="DF83" i="1"/>
  <c r="BR81" i="1"/>
  <c r="AD79" i="1"/>
  <c r="CT76" i="1"/>
  <c r="BF74" i="1"/>
  <c r="R72" i="1"/>
  <c r="CH69" i="1"/>
  <c r="AT67" i="1"/>
  <c r="F65" i="1"/>
  <c r="BV62" i="1"/>
  <c r="AH60" i="1"/>
  <c r="CX57" i="1"/>
  <c r="BJ55" i="1"/>
  <c r="V53" i="1"/>
  <c r="CL50" i="1"/>
  <c r="AX48" i="1"/>
  <c r="J46" i="1"/>
  <c r="BZ43" i="1"/>
  <c r="AL41" i="1"/>
  <c r="DB38" i="1"/>
  <c r="BN36" i="1"/>
  <c r="Z34" i="1"/>
  <c r="CP31" i="1"/>
  <c r="BB29" i="1"/>
  <c r="N27" i="1"/>
  <c r="CD24" i="1"/>
  <c r="AP22" i="1"/>
  <c r="DF19" i="1"/>
  <c r="BR17" i="1"/>
  <c r="AD15" i="1"/>
  <c r="CT12" i="1"/>
  <c r="BF10" i="1"/>
  <c r="R8" i="1"/>
  <c r="CH5" i="1"/>
  <c r="AT3" i="1"/>
  <c r="M142" i="1"/>
  <c r="CC139" i="1"/>
  <c r="AO137" i="1"/>
  <c r="DE134" i="1"/>
  <c r="BQ132" i="1"/>
  <c r="AC130" i="1"/>
  <c r="CS127" i="1"/>
  <c r="BE125" i="1"/>
  <c r="Q123" i="1"/>
  <c r="CG120" i="1"/>
  <c r="AS118" i="1"/>
  <c r="DI115" i="1"/>
  <c r="BU113" i="1"/>
  <c r="AG111" i="1"/>
  <c r="CW108" i="1"/>
  <c r="BG207" i="1"/>
  <c r="G198" i="1"/>
  <c r="BK188" i="1"/>
  <c r="K179" i="1"/>
  <c r="BO169" i="1"/>
  <c r="O160" i="1"/>
  <c r="BS150" i="1"/>
  <c r="CT216" i="1"/>
  <c r="AT207" i="1"/>
  <c r="CX197" i="1"/>
  <c r="AX188" i="1"/>
  <c r="DB178" i="1"/>
  <c r="BB169" i="1"/>
  <c r="DF159" i="1"/>
  <c r="BF150" i="1"/>
  <c r="K141" i="1"/>
  <c r="BO131" i="1"/>
  <c r="O122" i="1"/>
  <c r="BS112" i="1"/>
  <c r="S103" i="1"/>
  <c r="BW93" i="1"/>
  <c r="DC85" i="1"/>
  <c r="AU82" i="1"/>
  <c r="AE79" i="1"/>
  <c r="K76" i="1"/>
  <c r="CY72" i="1"/>
  <c r="CI69" i="1"/>
  <c r="BO66" i="1"/>
  <c r="AY63" i="1"/>
  <c r="AI60" i="1"/>
  <c r="O57" i="1"/>
  <c r="AI54" i="1"/>
  <c r="CY51" i="1"/>
  <c r="BK49" i="1"/>
  <c r="W47" i="1"/>
  <c r="CM44" i="1"/>
  <c r="AY42" i="1"/>
  <c r="K40" i="1"/>
  <c r="CA37" i="1"/>
  <c r="AM35" i="1"/>
  <c r="DC32" i="1"/>
  <c r="BO30" i="1"/>
  <c r="AA28" i="1"/>
  <c r="CQ25" i="1"/>
  <c r="BC23" i="1"/>
  <c r="O21" i="1"/>
  <c r="CE18" i="1"/>
  <c r="AQ16" i="1"/>
  <c r="DG13" i="1"/>
  <c r="BS11" i="1"/>
  <c r="AE9" i="1"/>
  <c r="CU6" i="1"/>
  <c r="BG4" i="1"/>
  <c r="J143" i="1"/>
  <c r="BZ140" i="1"/>
  <c r="AL138" i="1"/>
  <c r="DB135" i="1"/>
  <c r="BN133" i="1"/>
  <c r="Z131" i="1"/>
  <c r="CP128" i="1"/>
  <c r="BB126" i="1"/>
  <c r="N124" i="1"/>
  <c r="CD121" i="1"/>
  <c r="AP119" i="1"/>
  <c r="DF116" i="1"/>
  <c r="BR114" i="1"/>
  <c r="AD112" i="1"/>
  <c r="CT109" i="1"/>
  <c r="BF107" i="1"/>
  <c r="R105" i="1"/>
  <c r="CH102" i="1"/>
  <c r="AT100" i="1"/>
  <c r="F98" i="1"/>
  <c r="BV95" i="1"/>
  <c r="AH93" i="1"/>
  <c r="CX90" i="1"/>
  <c r="BJ88" i="1"/>
  <c r="V86" i="1"/>
  <c r="CL83" i="1"/>
  <c r="AX81" i="1"/>
  <c r="J79" i="1"/>
  <c r="BZ76" i="1"/>
  <c r="AL74" i="1"/>
  <c r="DB71" i="1"/>
  <c r="BN69" i="1"/>
  <c r="Z67" i="1"/>
  <c r="CP64" i="1"/>
  <c r="BB62" i="1"/>
  <c r="N60" i="1"/>
  <c r="CD57" i="1"/>
  <c r="AP55" i="1"/>
  <c r="DF52" i="1"/>
  <c r="BR50" i="1"/>
  <c r="AD48" i="1"/>
  <c r="CT45" i="1"/>
  <c r="BF43" i="1"/>
  <c r="R41" i="1"/>
  <c r="CH38" i="1"/>
  <c r="AT36" i="1"/>
  <c r="F34" i="1"/>
  <c r="BV31" i="1"/>
  <c r="AH29" i="1"/>
  <c r="CX26" i="1"/>
  <c r="BJ24" i="1"/>
  <c r="V22" i="1"/>
  <c r="CL19" i="1"/>
  <c r="AX17" i="1"/>
  <c r="J15" i="1"/>
  <c r="BZ12" i="1"/>
  <c r="AL10" i="1"/>
  <c r="DB7" i="1"/>
  <c r="BN5" i="1"/>
  <c r="Z3" i="1"/>
  <c r="CW141" i="1"/>
  <c r="BI139" i="1"/>
  <c r="U137" i="1"/>
  <c r="CK134" i="1"/>
  <c r="AW132" i="1"/>
  <c r="I130" i="1"/>
  <c r="BY127" i="1"/>
  <c r="AK125" i="1"/>
  <c r="DA122" i="1"/>
  <c r="BM120" i="1"/>
  <c r="Y118" i="1"/>
  <c r="CO115" i="1"/>
  <c r="BA113" i="1"/>
  <c r="M111" i="1"/>
  <c r="CC108" i="1"/>
  <c r="AO106" i="1"/>
  <c r="DE103" i="1"/>
  <c r="BQ101" i="1"/>
  <c r="AC99" i="1"/>
  <c r="CS96" i="1"/>
  <c r="BE94" i="1"/>
  <c r="Q92" i="1"/>
  <c r="CG89" i="1"/>
  <c r="AS87" i="1"/>
  <c r="DI84" i="1"/>
  <c r="BU82" i="1"/>
  <c r="AG80" i="1"/>
  <c r="CW77" i="1"/>
  <c r="BI75" i="1"/>
  <c r="U73" i="1"/>
  <c r="CK70" i="1"/>
  <c r="AW68" i="1"/>
  <c r="I66" i="1"/>
  <c r="BY63" i="1"/>
  <c r="AK61" i="1"/>
  <c r="DA58" i="1"/>
  <c r="BM56" i="1"/>
  <c r="Y54" i="1"/>
  <c r="CO51" i="1"/>
  <c r="BA49" i="1"/>
  <c r="M47" i="1"/>
  <c r="CC44" i="1"/>
  <c r="AO42" i="1"/>
  <c r="DE39" i="1"/>
  <c r="BQ37" i="1"/>
  <c r="AC35" i="1"/>
  <c r="CS32" i="1"/>
  <c r="BE30" i="1"/>
  <c r="Q28" i="1"/>
  <c r="CG25" i="1"/>
  <c r="AS23" i="1"/>
  <c r="DI20" i="1"/>
  <c r="BU18" i="1"/>
  <c r="AG16" i="1"/>
  <c r="CW13" i="1"/>
  <c r="BI11" i="1"/>
  <c r="U9" i="1"/>
  <c r="CK6" i="1"/>
  <c r="AW4" i="1"/>
  <c r="L143" i="1"/>
  <c r="CB140" i="1"/>
  <c r="AN138" i="1"/>
  <c r="DD135" i="1"/>
  <c r="BP133" i="1"/>
  <c r="AB131" i="1"/>
  <c r="CR128" i="1"/>
  <c r="BD126" i="1"/>
  <c r="P124" i="1"/>
  <c r="CF121" i="1"/>
  <c r="AR119" i="1"/>
  <c r="DH116" i="1"/>
  <c r="BT114" i="1"/>
  <c r="AF112" i="1"/>
  <c r="CV109" i="1"/>
  <c r="CY210" i="1"/>
  <c r="AY201" i="1"/>
  <c r="DC191" i="1"/>
  <c r="BC182" i="1"/>
  <c r="DG172" i="1"/>
  <c r="BG163" i="1"/>
  <c r="G154" i="1"/>
  <c r="BK144" i="1"/>
  <c r="CL210" i="1"/>
  <c r="AL201" i="1"/>
  <c r="CP191" i="1"/>
  <c r="AP182" i="1"/>
  <c r="CT172" i="1"/>
  <c r="AT163" i="1"/>
  <c r="CX153" i="1"/>
  <c r="AX144" i="1"/>
  <c r="DG134" i="1"/>
  <c r="BG125" i="1"/>
  <c r="G116" i="1"/>
  <c r="BK106" i="1"/>
  <c r="K97" i="1"/>
  <c r="BS87" i="1"/>
  <c r="BK83" i="1"/>
  <c r="AQ80" i="1"/>
  <c r="AA77" i="1"/>
  <c r="K74" i="1"/>
  <c r="CU70" i="1"/>
  <c r="CE67" i="1"/>
  <c r="BO64" i="1"/>
  <c r="AU61" i="1"/>
  <c r="AE58" i="1"/>
  <c r="S55" i="1"/>
  <c r="CI52" i="1"/>
  <c r="AU50" i="1"/>
  <c r="G48" i="1"/>
  <c r="BW45" i="1"/>
  <c r="AI43" i="1"/>
  <c r="CY40" i="1"/>
  <c r="BK38" i="1"/>
  <c r="W36" i="1"/>
  <c r="CM33" i="1"/>
  <c r="AY31" i="1"/>
  <c r="K29" i="1"/>
  <c r="CA26" i="1"/>
  <c r="AM24" i="1"/>
  <c r="DC21" i="1"/>
  <c r="BO19" i="1"/>
  <c r="AA17" i="1"/>
  <c r="CQ14" i="1"/>
  <c r="BC12" i="1"/>
  <c r="O10" i="1"/>
  <c r="CE7" i="1"/>
  <c r="AQ5" i="1"/>
  <c r="CX143" i="1"/>
  <c r="BJ141" i="1"/>
  <c r="V139" i="1"/>
  <c r="CL136" i="1"/>
  <c r="AX134" i="1"/>
  <c r="J132" i="1"/>
  <c r="BZ129" i="1"/>
  <c r="AL127" i="1"/>
  <c r="DB124" i="1"/>
  <c r="BN122" i="1"/>
  <c r="Z120" i="1"/>
  <c r="CP117" i="1"/>
  <c r="BB115" i="1"/>
  <c r="N113" i="1"/>
  <c r="CD110" i="1"/>
  <c r="AP108" i="1"/>
  <c r="DF105" i="1"/>
  <c r="BR103" i="1"/>
  <c r="AD101" i="1"/>
  <c r="CT98" i="1"/>
  <c r="BF96" i="1"/>
  <c r="R94" i="1"/>
  <c r="CH91" i="1"/>
  <c r="AT89" i="1"/>
  <c r="F87" i="1"/>
  <c r="BV84" i="1"/>
  <c r="AH82" i="1"/>
  <c r="CX79" i="1"/>
  <c r="BJ77" i="1"/>
  <c r="V75" i="1"/>
  <c r="CL72" i="1"/>
  <c r="AX70" i="1"/>
  <c r="J68" i="1"/>
  <c r="BZ65" i="1"/>
  <c r="AL63" i="1"/>
  <c r="DB60" i="1"/>
  <c r="BN58" i="1"/>
  <c r="Z56" i="1"/>
  <c r="CP53" i="1"/>
  <c r="BB51" i="1"/>
  <c r="N49" i="1"/>
  <c r="CD46" i="1"/>
  <c r="AP44" i="1"/>
  <c r="DF41" i="1"/>
  <c r="BR39" i="1"/>
  <c r="AD37" i="1"/>
  <c r="CT34" i="1"/>
  <c r="BF32" i="1"/>
  <c r="R30" i="1"/>
  <c r="CH27" i="1"/>
  <c r="AT25" i="1"/>
  <c r="F23" i="1"/>
  <c r="BV20" i="1"/>
  <c r="AH18" i="1"/>
  <c r="CX15" i="1"/>
  <c r="BJ13" i="1"/>
  <c r="V11" i="1"/>
  <c r="CL8" i="1"/>
  <c r="AX6" i="1"/>
  <c r="J4" i="1"/>
  <c r="CG142" i="1"/>
  <c r="AS140" i="1"/>
  <c r="DI137" i="1"/>
  <c r="BU135" i="1"/>
  <c r="AG133" i="1"/>
  <c r="CW130" i="1"/>
  <c r="BI128" i="1"/>
  <c r="U126" i="1"/>
  <c r="CK123" i="1"/>
  <c r="AW121" i="1"/>
  <c r="I119" i="1"/>
  <c r="BY116" i="1"/>
  <c r="AK114" i="1"/>
  <c r="DA111" i="1"/>
  <c r="BM109" i="1"/>
  <c r="Y107" i="1"/>
  <c r="CO104" i="1"/>
  <c r="BA102" i="1"/>
  <c r="M100" i="1"/>
  <c r="CC97" i="1"/>
  <c r="AO95" i="1"/>
  <c r="DE92" i="1"/>
  <c r="BQ90" i="1"/>
  <c r="AC88" i="1"/>
  <c r="CS85" i="1"/>
  <c r="U122" i="1"/>
  <c r="AW117" i="1"/>
  <c r="BY112" i="1"/>
  <c r="DA107" i="1"/>
  <c r="Y103" i="1"/>
  <c r="BU99" i="1"/>
  <c r="AS96" i="1"/>
  <c r="AG93" i="1"/>
  <c r="U90" i="1"/>
  <c r="CW86" i="1"/>
  <c r="AC84" i="1"/>
  <c r="CS81" i="1"/>
  <c r="BE79" i="1"/>
  <c r="Q77" i="1"/>
  <c r="CG74" i="1"/>
  <c r="AS72" i="1"/>
  <c r="DI69" i="1"/>
  <c r="BU67" i="1"/>
  <c r="BU105" i="1"/>
  <c r="U96" i="1"/>
  <c r="BY86" i="1"/>
  <c r="Y77" i="1"/>
  <c r="CC67" i="1"/>
  <c r="U62" i="1"/>
  <c r="AW57" i="1"/>
  <c r="BY52" i="1"/>
  <c r="DA47" i="1"/>
  <c r="Y43" i="1"/>
  <c r="BA38" i="1"/>
  <c r="CC33" i="1"/>
  <c r="DE28" i="1"/>
  <c r="AC24" i="1"/>
  <c r="BE19" i="1"/>
  <c r="CG14" i="1"/>
  <c r="DI9" i="1"/>
  <c r="AG5" i="1"/>
  <c r="BL141" i="1"/>
  <c r="CN136" i="1"/>
  <c r="L132" i="1"/>
  <c r="AN127" i="1"/>
  <c r="BP122" i="1"/>
  <c r="CR117" i="1"/>
  <c r="P113" i="1"/>
  <c r="BL108" i="1"/>
  <c r="X106" i="1"/>
  <c r="CN103" i="1"/>
  <c r="AZ101" i="1"/>
  <c r="L99" i="1"/>
  <c r="CB96" i="1"/>
  <c r="AN94" i="1"/>
  <c r="DD91" i="1"/>
  <c r="BP89" i="1"/>
  <c r="AB87" i="1"/>
  <c r="CR84" i="1"/>
  <c r="BD82" i="1"/>
  <c r="P80" i="1"/>
  <c r="CF77" i="1"/>
  <c r="AR75" i="1"/>
  <c r="DH72" i="1"/>
  <c r="BT70" i="1"/>
  <c r="AF68" i="1"/>
  <c r="CV65" i="1"/>
  <c r="BH63" i="1"/>
  <c r="T61" i="1"/>
  <c r="CJ58" i="1"/>
  <c r="AV56" i="1"/>
  <c r="H54" i="1"/>
  <c r="BX51" i="1"/>
  <c r="AJ49" i="1"/>
  <c r="CZ46" i="1"/>
  <c r="BL44" i="1"/>
  <c r="X42" i="1"/>
  <c r="CN39" i="1"/>
  <c r="AZ37" i="1"/>
  <c r="L35" i="1"/>
  <c r="CB32" i="1"/>
  <c r="AN30" i="1"/>
  <c r="DD27" i="1"/>
  <c r="BP25" i="1"/>
  <c r="AB23" i="1"/>
  <c r="CR20" i="1"/>
  <c r="BD18" i="1"/>
  <c r="P16" i="1"/>
  <c r="CF13" i="1"/>
  <c r="AR11" i="1"/>
  <c r="DH8" i="1"/>
  <c r="BT6" i="1"/>
  <c r="AF4" i="1"/>
  <c r="BU69" i="1"/>
  <c r="DA53" i="1"/>
  <c r="AW39" i="1"/>
  <c r="BE25" i="1"/>
  <c r="AG11" i="1"/>
  <c r="BD137" i="1"/>
  <c r="BX122" i="1"/>
  <c r="T108" i="1"/>
  <c r="CF100" i="1"/>
  <c r="H93" i="1"/>
  <c r="BD85" i="1"/>
  <c r="CN78" i="1"/>
  <c r="AV71" i="1"/>
  <c r="CB63" i="1"/>
  <c r="BP56" i="1"/>
  <c r="X49" i="1"/>
  <c r="BT41" i="1"/>
  <c r="CJ33" i="1"/>
  <c r="BH26" i="1"/>
  <c r="DD18" i="1"/>
  <c r="P11" i="1"/>
  <c r="AV3" i="1"/>
  <c r="BM99" i="1"/>
  <c r="M90" i="1"/>
  <c r="BQ80" i="1"/>
  <c r="Q71" i="1"/>
  <c r="CS63" i="1"/>
  <c r="Q59" i="1"/>
  <c r="AS54" i="1"/>
  <c r="BU49" i="1"/>
  <c r="CW44" i="1"/>
  <c r="U40" i="1"/>
  <c r="AW35" i="1"/>
  <c r="BY30" i="1"/>
  <c r="DA25" i="1"/>
  <c r="Y21" i="1"/>
  <c r="BA16" i="1"/>
  <c r="CC11" i="1"/>
  <c r="DE6" i="1"/>
  <c r="AF143" i="1"/>
  <c r="BH138" i="1"/>
  <c r="CJ133" i="1"/>
  <c r="H129" i="1"/>
  <c r="AJ124" i="1"/>
  <c r="BL119" i="1"/>
  <c r="CN114" i="1"/>
  <c r="L110" i="1"/>
  <c r="H107" i="1"/>
  <c r="BX104" i="1"/>
  <c r="AJ102" i="1"/>
  <c r="CZ99" i="1"/>
  <c r="BL97" i="1"/>
  <c r="X95" i="1"/>
  <c r="CN92" i="1"/>
  <c r="AZ90" i="1"/>
  <c r="L88" i="1"/>
  <c r="CB85" i="1"/>
  <c r="AN83" i="1"/>
  <c r="DD80" i="1"/>
  <c r="BP78" i="1"/>
  <c r="AB76" i="1"/>
  <c r="CR73" i="1"/>
  <c r="BD71" i="1"/>
  <c r="P69" i="1"/>
  <c r="CF66" i="1"/>
  <c r="AR64" i="1"/>
  <c r="DH61" i="1"/>
  <c r="BT59" i="1"/>
  <c r="AF57" i="1"/>
  <c r="CV54" i="1"/>
  <c r="BH52" i="1"/>
  <c r="T50" i="1"/>
  <c r="CJ47" i="1"/>
  <c r="AV45" i="1"/>
  <c r="H43" i="1"/>
  <c r="BX40" i="1"/>
  <c r="AJ38" i="1"/>
  <c r="CZ35" i="1"/>
  <c r="BL33" i="1"/>
  <c r="X31" i="1"/>
  <c r="CN28" i="1"/>
  <c r="AZ26" i="1"/>
  <c r="L24" i="1"/>
  <c r="CB21" i="1"/>
  <c r="AN19" i="1"/>
  <c r="DD16" i="1"/>
  <c r="BP14" i="1"/>
  <c r="AB12" i="1"/>
  <c r="CR9" i="1"/>
  <c r="BD7" i="1"/>
  <c r="P5" i="1"/>
  <c r="BE81" i="1"/>
  <c r="DE58" i="1"/>
  <c r="BU45" i="1"/>
  <c r="AW31" i="1"/>
  <c r="CK17" i="1"/>
  <c r="CS3" i="1"/>
  <c r="BX130" i="1"/>
  <c r="T116" i="1"/>
  <c r="CJ105" i="1"/>
  <c r="CN98" i="1"/>
  <c r="CR91" i="1"/>
  <c r="CV84" i="1"/>
  <c r="BD77" i="1"/>
  <c r="CN70" i="1"/>
  <c r="T64" i="1"/>
  <c r="X57" i="1"/>
  <c r="AR50" i="1"/>
  <c r="BL43" i="1"/>
  <c r="H37" i="1"/>
  <c r="AB30" i="1"/>
  <c r="CN22" i="1"/>
  <c r="CB15" i="1"/>
  <c r="X9" i="1"/>
  <c r="Q107" i="1"/>
  <c r="BU97" i="1"/>
  <c r="U88" i="1"/>
  <c r="BY78" i="1"/>
  <c r="Y69" i="1"/>
  <c r="CW62" i="1"/>
  <c r="U58" i="1"/>
  <c r="AW53" i="1"/>
  <c r="BY48" i="1"/>
  <c r="DA43" i="1"/>
  <c r="Y39" i="1"/>
  <c r="BA34" i="1"/>
  <c r="CC29" i="1"/>
  <c r="DE24" i="1"/>
  <c r="AC20" i="1"/>
  <c r="BE15" i="1"/>
  <c r="CG10" i="1"/>
  <c r="DI5" i="1"/>
  <c r="AJ142" i="1"/>
  <c r="BL137" i="1"/>
  <c r="CN132" i="1"/>
  <c r="L128" i="1"/>
  <c r="AN123" i="1"/>
  <c r="BP118" i="1"/>
  <c r="CR113" i="1"/>
  <c r="P109" i="1"/>
  <c r="BL106" i="1"/>
  <c r="X104" i="1"/>
  <c r="CN101" i="1"/>
  <c r="AZ99" i="1"/>
  <c r="L97" i="1"/>
  <c r="CB94" i="1"/>
  <c r="AN92" i="1"/>
  <c r="DD89" i="1"/>
  <c r="BP87" i="1"/>
  <c r="AB85" i="1"/>
  <c r="CR82" i="1"/>
  <c r="BD80" i="1"/>
  <c r="P78" i="1"/>
  <c r="CF75" i="1"/>
  <c r="AR73" i="1"/>
  <c r="DH70" i="1"/>
  <c r="BT68" i="1"/>
  <c r="AF66" i="1"/>
  <c r="CV63" i="1"/>
  <c r="BH61" i="1"/>
  <c r="T59" i="1"/>
  <c r="CJ56" i="1"/>
  <c r="AV54" i="1"/>
  <c r="H52" i="1"/>
  <c r="BX49" i="1"/>
  <c r="AJ47" i="1"/>
  <c r="CZ44" i="1"/>
  <c r="BL42" i="1"/>
  <c r="X40" i="1"/>
  <c r="CN37" i="1"/>
  <c r="AZ35" i="1"/>
  <c r="L33" i="1"/>
  <c r="CB30" i="1"/>
  <c r="AN28" i="1"/>
  <c r="DD25" i="1"/>
  <c r="BP23" i="1"/>
  <c r="AB21" i="1"/>
  <c r="CR18" i="1"/>
  <c r="BD16" i="1"/>
  <c r="P14" i="1"/>
  <c r="CF11" i="1"/>
  <c r="AR9" i="1"/>
  <c r="DH6" i="1"/>
  <c r="BT4" i="1"/>
  <c r="BQ104" i="1"/>
  <c r="CG92" i="1"/>
  <c r="AG83" i="1"/>
  <c r="Q47" i="1"/>
  <c r="CO14" i="1"/>
  <c r="T124" i="1"/>
  <c r="AJ104" i="1"/>
  <c r="CV88" i="1"/>
  <c r="X73" i="1"/>
  <c r="BX58" i="1"/>
  <c r="BX42" i="1"/>
  <c r="DD26" i="1"/>
  <c r="CR11" i="1"/>
  <c r="BT33" i="1"/>
  <c r="AN13" i="1"/>
  <c r="BL19" i="1"/>
  <c r="BE127" i="1"/>
  <c r="BY120" i="1"/>
  <c r="DA115" i="1"/>
  <c r="Y111" i="1"/>
  <c r="BA106" i="1"/>
  <c r="CC101" i="1"/>
  <c r="BQ98" i="1"/>
  <c r="BE95" i="1"/>
  <c r="AC92" i="1"/>
  <c r="Q89" i="1"/>
  <c r="DI85" i="1"/>
  <c r="BE83" i="1"/>
  <c r="Q81" i="1"/>
  <c r="CG78" i="1"/>
  <c r="AS76" i="1"/>
  <c r="DI73" i="1"/>
  <c r="BU71" i="1"/>
  <c r="AG69" i="1"/>
  <c r="CW66" i="1"/>
  <c r="BY102" i="1"/>
  <c r="Y93" i="1"/>
  <c r="CC83" i="1"/>
  <c r="AC74" i="1"/>
  <c r="AW65" i="1"/>
  <c r="BY60" i="1"/>
  <c r="DA55" i="1"/>
  <c r="Y51" i="1"/>
  <c r="BA46" i="1"/>
  <c r="CC41" i="1"/>
  <c r="DE36" i="1"/>
  <c r="AC32" i="1"/>
  <c r="BE27" i="1"/>
  <c r="CG22" i="1"/>
  <c r="DI17" i="1"/>
  <c r="AG13" i="1"/>
  <c r="BI8" i="1"/>
  <c r="CK3" i="1"/>
  <c r="L140" i="1"/>
  <c r="AN135" i="1"/>
  <c r="BP130" i="1"/>
  <c r="CR125" i="1"/>
  <c r="P121" i="1"/>
  <c r="AR116" i="1"/>
  <c r="BT111" i="1"/>
  <c r="CN107" i="1"/>
  <c r="AZ105" i="1"/>
  <c r="L103" i="1"/>
  <c r="CB100" i="1"/>
  <c r="AN98" i="1"/>
  <c r="DD95" i="1"/>
  <c r="BP93" i="1"/>
  <c r="AB91" i="1"/>
  <c r="CR88" i="1"/>
  <c r="BD86" i="1"/>
  <c r="P84" i="1"/>
  <c r="CF81" i="1"/>
  <c r="AR79" i="1"/>
  <c r="DH76" i="1"/>
  <c r="BT74" i="1"/>
  <c r="AF72" i="1"/>
  <c r="CV69" i="1"/>
  <c r="BH67" i="1"/>
  <c r="T65" i="1"/>
  <c r="CJ62" i="1"/>
  <c r="AV60" i="1"/>
  <c r="H58" i="1"/>
  <c r="BX55" i="1"/>
  <c r="AJ53" i="1"/>
  <c r="CZ50" i="1"/>
  <c r="BL48" i="1"/>
  <c r="X46" i="1"/>
  <c r="CN43" i="1"/>
  <c r="AZ41" i="1"/>
  <c r="L39" i="1"/>
  <c r="CB36" i="1"/>
  <c r="AN34" i="1"/>
  <c r="DD31" i="1"/>
  <c r="BP29" i="1"/>
  <c r="AB27" i="1"/>
  <c r="CR24" i="1"/>
  <c r="BD22" i="1"/>
  <c r="P20" i="1"/>
  <c r="CF17" i="1"/>
  <c r="AR15" i="1"/>
  <c r="DH12" i="1"/>
  <c r="BT10" i="1"/>
  <c r="AF8" i="1"/>
  <c r="CV5" i="1"/>
  <c r="BH3" i="1"/>
  <c r="AW63" i="1"/>
  <c r="Y49" i="1"/>
  <c r="AG35" i="1"/>
  <c r="CG20" i="1"/>
  <c r="AC6" i="1"/>
  <c r="AZ132" i="1"/>
  <c r="AB118" i="1"/>
  <c r="L106" i="1"/>
  <c r="BH98" i="1"/>
  <c r="CN90" i="1"/>
  <c r="BL83" i="1"/>
  <c r="T76" i="1"/>
  <c r="CV68" i="1"/>
  <c r="BD61" i="1"/>
  <c r="AR54" i="1"/>
  <c r="CN46" i="1"/>
  <c r="AF39" i="1"/>
  <c r="BL31" i="1"/>
  <c r="AJ24" i="1"/>
  <c r="AZ16" i="1"/>
  <c r="AZ8" i="1"/>
  <c r="M106" i="1"/>
  <c r="BQ96" i="1"/>
  <c r="Q87" i="1"/>
  <c r="BU77" i="1"/>
  <c r="U68" i="1"/>
  <c r="AS62" i="1"/>
  <c r="BU57" i="1"/>
  <c r="CW52" i="1"/>
  <c r="U48" i="1"/>
  <c r="AW43" i="1"/>
  <c r="BY38" i="1"/>
  <c r="DA33" i="1"/>
  <c r="Y29" i="1"/>
  <c r="BA24" i="1"/>
  <c r="CC19" i="1"/>
  <c r="DE14" i="1"/>
  <c r="AC10" i="1"/>
  <c r="BE5" i="1"/>
  <c r="CJ141" i="1"/>
  <c r="H137" i="1"/>
  <c r="AJ132" i="1"/>
  <c r="BL127" i="1"/>
  <c r="CN122" i="1"/>
  <c r="L118" i="1"/>
  <c r="AN113" i="1"/>
  <c r="BX108" i="1"/>
  <c r="AJ106" i="1"/>
  <c r="CZ103" i="1"/>
  <c r="BL101" i="1"/>
  <c r="X99" i="1"/>
  <c r="CN96" i="1"/>
  <c r="AZ94" i="1"/>
  <c r="L92" i="1"/>
  <c r="CB89" i="1"/>
  <c r="AN87" i="1"/>
  <c r="DD84" i="1"/>
  <c r="BP82" i="1"/>
  <c r="AB80" i="1"/>
  <c r="CR77" i="1"/>
  <c r="BD75" i="1"/>
  <c r="P73" i="1"/>
  <c r="CF70" i="1"/>
  <c r="AR68" i="1"/>
  <c r="DH65" i="1"/>
  <c r="BT63" i="1"/>
  <c r="AF61" i="1"/>
  <c r="CV58" i="1"/>
  <c r="BH56" i="1"/>
  <c r="T54" i="1"/>
  <c r="CJ51" i="1"/>
  <c r="AV49" i="1"/>
  <c r="H47" i="1"/>
  <c r="BX44" i="1"/>
  <c r="AJ42" i="1"/>
  <c r="CZ39" i="1"/>
  <c r="BL37" i="1"/>
  <c r="X35" i="1"/>
  <c r="CN32" i="1"/>
  <c r="AZ30" i="1"/>
  <c r="L28" i="1"/>
  <c r="CB25" i="1"/>
  <c r="AN23" i="1"/>
  <c r="DD20" i="1"/>
  <c r="BP18" i="1"/>
  <c r="AB16" i="1"/>
  <c r="CR13" i="1"/>
  <c r="BD11" i="1"/>
  <c r="P9" i="1"/>
  <c r="CF6" i="1"/>
  <c r="AR4" i="1"/>
  <c r="DI71" i="1"/>
  <c r="AW55" i="1"/>
  <c r="CK41" i="1"/>
  <c r="BM27" i="1"/>
  <c r="AO13" i="1"/>
  <c r="CF140" i="1"/>
  <c r="BH126" i="1"/>
  <c r="DH111" i="1"/>
  <c r="CB103" i="1"/>
  <c r="AZ96" i="1"/>
  <c r="BT89" i="1"/>
  <c r="L82" i="1"/>
  <c r="AV75" i="1"/>
  <c r="CF68" i="1"/>
  <c r="AB62" i="1"/>
  <c r="AF55" i="1"/>
  <c r="DH47" i="1"/>
  <c r="BD41" i="1"/>
  <c r="DD34" i="1"/>
  <c r="CB27" i="1"/>
  <c r="BP20" i="1"/>
  <c r="BT13" i="1"/>
  <c r="P7" i="1"/>
  <c r="U104" i="1"/>
  <c r="BY94" i="1"/>
  <c r="Y85" i="1"/>
  <c r="CC75" i="1"/>
  <c r="AC66" i="1"/>
  <c r="AW61" i="1"/>
  <c r="BY56" i="1"/>
  <c r="DA51" i="1"/>
  <c r="Y47" i="1"/>
  <c r="BA42" i="1"/>
  <c r="CC37" i="1"/>
  <c r="DE32" i="1"/>
  <c r="AC28" i="1"/>
  <c r="BE23" i="1"/>
  <c r="CG18" i="1"/>
  <c r="DI13" i="1"/>
  <c r="AG9" i="1"/>
  <c r="BI4" i="1"/>
  <c r="CN140" i="1"/>
  <c r="L136" i="1"/>
  <c r="AN131" i="1"/>
  <c r="BP126" i="1"/>
  <c r="CR121" i="1"/>
  <c r="P117" i="1"/>
  <c r="AR112" i="1"/>
  <c r="X108" i="1"/>
  <c r="CN105" i="1"/>
  <c r="AZ103" i="1"/>
  <c r="L101" i="1"/>
  <c r="CB98" i="1"/>
  <c r="AN96" i="1"/>
  <c r="DD93" i="1"/>
  <c r="BP91" i="1"/>
  <c r="AB89" i="1"/>
  <c r="CR86" i="1"/>
  <c r="BD84" i="1"/>
  <c r="P82" i="1"/>
  <c r="CF79" i="1"/>
  <c r="AR77" i="1"/>
  <c r="DH74" i="1"/>
  <c r="BT72" i="1"/>
  <c r="AF70" i="1"/>
  <c r="CV67" i="1"/>
  <c r="BH65" i="1"/>
  <c r="T63" i="1"/>
  <c r="CJ60" i="1"/>
  <c r="AV58" i="1"/>
  <c r="H56" i="1"/>
  <c r="BX53" i="1"/>
  <c r="AJ51" i="1"/>
  <c r="CZ48" i="1"/>
  <c r="BL46" i="1"/>
  <c r="X44" i="1"/>
  <c r="CN41" i="1"/>
  <c r="AZ39" i="1"/>
  <c r="L37" i="1"/>
  <c r="CB34" i="1"/>
  <c r="AN32" i="1"/>
  <c r="DD29" i="1"/>
  <c r="BP27" i="1"/>
  <c r="AB25" i="1"/>
  <c r="CR22" i="1"/>
  <c r="BD20" i="1"/>
  <c r="P18" i="1"/>
  <c r="CF15" i="1"/>
  <c r="AR13" i="1"/>
  <c r="DH10" i="1"/>
  <c r="BT8" i="1"/>
  <c r="AF6" i="1"/>
  <c r="CV3" i="1"/>
  <c r="BU101" i="1"/>
  <c r="U92" i="1"/>
  <c r="BY82" i="1"/>
  <c r="CG60" i="1"/>
  <c r="AC46" i="1"/>
  <c r="CC31" i="1"/>
  <c r="CW16" i="1"/>
  <c r="DH143" i="1"/>
  <c r="AR130" i="1"/>
  <c r="CF116" i="1"/>
  <c r="BD105" i="1"/>
  <c r="BX98" i="1"/>
  <c r="DH91" i="1"/>
  <c r="H85" i="1"/>
  <c r="L78" i="1"/>
  <c r="BX70" i="1"/>
  <c r="BL63" i="1"/>
  <c r="AZ56" i="1"/>
  <c r="AN49" i="1"/>
  <c r="AR42" i="1"/>
  <c r="DD14" i="1"/>
  <c r="BD29" i="1"/>
  <c r="AJ4" i="1"/>
  <c r="BM121" i="1"/>
  <c r="CO116" i="1"/>
  <c r="M112" i="1"/>
  <c r="AO107" i="1"/>
  <c r="BQ102" i="1"/>
  <c r="Y99" i="1"/>
  <c r="M96" i="1"/>
  <c r="CO92" i="1"/>
  <c r="CC89" i="1"/>
  <c r="BQ86" i="1"/>
  <c r="DA83" i="1"/>
  <c r="BM81" i="1"/>
  <c r="Y79" i="1"/>
  <c r="CO76" i="1"/>
  <c r="BA74" i="1"/>
  <c r="M72" i="1"/>
  <c r="CC69" i="1"/>
  <c r="AO67" i="1"/>
  <c r="BA104" i="1"/>
  <c r="DE94" i="1"/>
  <c r="BE85" i="1"/>
  <c r="DI75" i="1"/>
  <c r="BI66" i="1"/>
  <c r="BM61" i="1"/>
  <c r="CO56" i="1"/>
  <c r="M52" i="1"/>
  <c r="AO47" i="1"/>
  <c r="BQ42" i="1"/>
  <c r="CS37" i="1"/>
  <c r="Q33" i="1"/>
  <c r="AS28" i="1"/>
  <c r="BU23" i="1"/>
  <c r="CW18" i="1"/>
  <c r="U14" i="1"/>
  <c r="AW9" i="1"/>
  <c r="BY4" i="1"/>
  <c r="DD140" i="1"/>
  <c r="AB136" i="1"/>
  <c r="BD131" i="1"/>
  <c r="CF126" i="1"/>
  <c r="DH121" i="1"/>
  <c r="AF117" i="1"/>
  <c r="BH112" i="1"/>
  <c r="AF108" i="1"/>
  <c r="CV105" i="1"/>
  <c r="BH103" i="1"/>
  <c r="T101" i="1"/>
  <c r="CJ98" i="1"/>
  <c r="AV96" i="1"/>
  <c r="H94" i="1"/>
  <c r="BX91" i="1"/>
  <c r="AJ89" i="1"/>
  <c r="CZ86" i="1"/>
  <c r="BL84" i="1"/>
  <c r="X82" i="1"/>
  <c r="CN79" i="1"/>
  <c r="AZ77" i="1"/>
  <c r="L75" i="1"/>
  <c r="CB72" i="1"/>
  <c r="AN70" i="1"/>
  <c r="DD67" i="1"/>
  <c r="BP65" i="1"/>
  <c r="AB63" i="1"/>
  <c r="CR60" i="1"/>
  <c r="BD58" i="1"/>
  <c r="P56" i="1"/>
  <c r="CF53" i="1"/>
  <c r="AR51" i="1"/>
  <c r="DH48" i="1"/>
  <c r="BT46" i="1"/>
  <c r="AF44" i="1"/>
  <c r="CV41" i="1"/>
  <c r="BH39" i="1"/>
  <c r="T37" i="1"/>
  <c r="CJ34" i="1"/>
  <c r="AV32" i="1"/>
  <c r="H30" i="1"/>
  <c r="BX27" i="1"/>
  <c r="AJ25" i="1"/>
  <c r="CZ22" i="1"/>
  <c r="BL20" i="1"/>
  <c r="X18" i="1"/>
  <c r="CN15" i="1"/>
  <c r="AZ13" i="1"/>
  <c r="L11" i="1"/>
  <c r="CB8" i="1"/>
  <c r="AN6" i="1"/>
  <c r="DD3" i="1"/>
  <c r="M66" i="1"/>
  <c r="U52" i="1"/>
  <c r="DA37" i="1"/>
  <c r="CC23" i="1"/>
  <c r="Y9" i="1"/>
  <c r="AV135" i="1"/>
  <c r="CV120" i="1"/>
  <c r="AF107" i="1"/>
  <c r="CR99" i="1"/>
  <c r="AJ92" i="1"/>
  <c r="CF84" i="1"/>
  <c r="BT77" i="1"/>
  <c r="BH70" i="1"/>
  <c r="CN62" i="1"/>
  <c r="CB55" i="1"/>
  <c r="AJ48" i="1"/>
  <c r="CF40" i="1"/>
  <c r="CV32" i="1"/>
  <c r="BT25" i="1"/>
  <c r="CZ17" i="1"/>
  <c r="L10" i="1"/>
  <c r="CS107" i="1"/>
  <c r="AS98" i="1"/>
  <c r="CW88" i="1"/>
  <c r="AW79" i="1"/>
  <c r="DA69" i="1"/>
  <c r="AG63" i="1"/>
  <c r="BI58" i="1"/>
  <c r="CK53" i="1"/>
  <c r="I49" i="1"/>
  <c r="AK44" i="1"/>
  <c r="BM39" i="1"/>
  <c r="CO34" i="1"/>
  <c r="M30" i="1"/>
  <c r="AO25" i="1"/>
  <c r="BQ20" i="1"/>
  <c r="CS15" i="1"/>
  <c r="Q11" i="1"/>
  <c r="AS6" i="1"/>
  <c r="BX142" i="1"/>
  <c r="CZ137" i="1"/>
  <c r="X133" i="1"/>
  <c r="AZ128" i="1"/>
  <c r="CB123" i="1"/>
  <c r="DD118" i="1"/>
  <c r="AB114" i="1"/>
  <c r="BD109" i="1"/>
  <c r="CF106" i="1"/>
  <c r="AR104" i="1"/>
  <c r="DH101" i="1"/>
  <c r="BT99" i="1"/>
  <c r="AF97" i="1"/>
  <c r="CV94" i="1"/>
  <c r="BH92" i="1"/>
  <c r="T90" i="1"/>
  <c r="CJ87" i="1"/>
  <c r="AV85" i="1"/>
  <c r="H83" i="1"/>
  <c r="BX80" i="1"/>
  <c r="AJ78" i="1"/>
  <c r="CZ75" i="1"/>
  <c r="BL73" i="1"/>
  <c r="X71" i="1"/>
  <c r="CN68" i="1"/>
  <c r="AZ66" i="1"/>
  <c r="L64" i="1"/>
  <c r="CB61" i="1"/>
  <c r="AN59" i="1"/>
  <c r="DD56" i="1"/>
  <c r="BP54" i="1"/>
  <c r="AB52" i="1"/>
  <c r="CR49" i="1"/>
  <c r="BD47" i="1"/>
  <c r="P45" i="1"/>
  <c r="CF42" i="1"/>
  <c r="AR40" i="1"/>
  <c r="DH37" i="1"/>
  <c r="BT35" i="1"/>
  <c r="AF33" i="1"/>
  <c r="CV30" i="1"/>
  <c r="BH28" i="1"/>
  <c r="T26" i="1"/>
  <c r="CJ23" i="1"/>
  <c r="AV21" i="1"/>
  <c r="H19" i="1"/>
  <c r="BX16" i="1"/>
  <c r="AJ14" i="1"/>
  <c r="CZ11" i="1"/>
  <c r="BL9" i="1"/>
  <c r="X7" i="1"/>
  <c r="CN4" i="1"/>
  <c r="U76" i="1"/>
  <c r="BE57" i="1"/>
  <c r="CS43" i="1"/>
  <c r="BU29" i="1"/>
  <c r="AK16" i="1"/>
  <c r="AV143" i="1"/>
  <c r="CV128" i="1"/>
  <c r="AR114" i="1"/>
  <c r="CV104" i="1"/>
  <c r="CJ97" i="1"/>
  <c r="DD90" i="1"/>
  <c r="CR83" i="1"/>
  <c r="CF76" i="1"/>
  <c r="L70" i="1"/>
  <c r="AV63" i="1"/>
  <c r="AJ56" i="1"/>
  <c r="BD49" i="1"/>
  <c r="CN42" i="1"/>
  <c r="AJ36" i="1"/>
  <c r="X29" i="1"/>
  <c r="CZ21" i="1"/>
  <c r="CN14" i="1"/>
  <c r="AJ8" i="1"/>
  <c r="DA105" i="1"/>
  <c r="BA96" i="1"/>
  <c r="DE86" i="1"/>
  <c r="BE77" i="1"/>
  <c r="DI67" i="1"/>
  <c r="AK62" i="1"/>
  <c r="BM57" i="1"/>
  <c r="CO52" i="1"/>
  <c r="M48" i="1"/>
  <c r="AO43" i="1"/>
  <c r="BQ38" i="1"/>
  <c r="CS33" i="1"/>
  <c r="Q29" i="1"/>
  <c r="AS24" i="1"/>
  <c r="BU19" i="1"/>
  <c r="CW14" i="1"/>
  <c r="U10" i="1"/>
  <c r="AW5" i="1"/>
  <c r="CB141" i="1"/>
  <c r="DD136" i="1"/>
  <c r="AB132" i="1"/>
  <c r="BD127" i="1"/>
  <c r="CF122" i="1"/>
  <c r="DH117" i="1"/>
  <c r="AF113" i="1"/>
  <c r="BT108" i="1"/>
  <c r="AF106" i="1"/>
  <c r="CV103" i="1"/>
  <c r="BH101" i="1"/>
  <c r="T99" i="1"/>
  <c r="CJ96" i="1"/>
  <c r="AV94" i="1"/>
  <c r="H92" i="1"/>
  <c r="BX89" i="1"/>
  <c r="AJ87" i="1"/>
  <c r="CZ84" i="1"/>
  <c r="BL82" i="1"/>
  <c r="X80" i="1"/>
  <c r="CN77" i="1"/>
  <c r="AZ75" i="1"/>
  <c r="L73" i="1"/>
  <c r="CB70" i="1"/>
  <c r="AN68" i="1"/>
  <c r="DD65" i="1"/>
  <c r="BP63" i="1"/>
  <c r="AB61" i="1"/>
  <c r="CR58" i="1"/>
  <c r="BD56" i="1"/>
  <c r="P54" i="1"/>
  <c r="CF51" i="1"/>
  <c r="AR49" i="1"/>
  <c r="DH46" i="1"/>
  <c r="BT44" i="1"/>
  <c r="AF42" i="1"/>
  <c r="CV39" i="1"/>
  <c r="BH37" i="1"/>
  <c r="T35" i="1"/>
  <c r="CJ32" i="1"/>
  <c r="AV30" i="1"/>
  <c r="H28" i="1"/>
  <c r="BX25" i="1"/>
  <c r="AJ23" i="1"/>
  <c r="CZ20" i="1"/>
  <c r="BL18" i="1"/>
  <c r="X16" i="1"/>
  <c r="CN13" i="1"/>
  <c r="AZ11" i="1"/>
  <c r="L9" i="1"/>
  <c r="CB6" i="1"/>
  <c r="AN4" i="1"/>
  <c r="AW103" i="1"/>
  <c r="DA93" i="1"/>
  <c r="BA84" i="1"/>
  <c r="CC63" i="1"/>
  <c r="BQ48" i="1"/>
  <c r="BY34" i="1"/>
  <c r="U20" i="1"/>
  <c r="DA5" i="1"/>
  <c r="CF132" i="1"/>
  <c r="CN118" i="1"/>
  <c r="CN106" i="1"/>
  <c r="T100" i="1"/>
  <c r="X93" i="1"/>
  <c r="L86" i="1"/>
  <c r="AV79" i="1"/>
  <c r="DH71" i="1"/>
  <c r="CF64" i="1"/>
  <c r="CJ57" i="1"/>
  <c r="BH50" i="1"/>
  <c r="CB43" i="1"/>
  <c r="AZ36" i="1"/>
  <c r="CF12" i="1"/>
  <c r="BA122" i="1"/>
  <c r="CC117" i="1"/>
  <c r="DE112" i="1"/>
  <c r="AC108" i="1"/>
  <c r="BE103" i="1"/>
  <c r="CK99" i="1"/>
  <c r="BY96" i="1"/>
  <c r="AW93" i="1"/>
  <c r="AK90" i="1"/>
  <c r="Y87" i="1"/>
  <c r="AS84" i="1"/>
  <c r="DI81" i="1"/>
  <c r="BU79" i="1"/>
  <c r="AG77" i="1"/>
  <c r="CW74" i="1"/>
  <c r="BI72" i="1"/>
  <c r="U70" i="1"/>
  <c r="CK67" i="1"/>
  <c r="AC106" i="1"/>
  <c r="CG96" i="1"/>
  <c r="AG87" i="1"/>
  <c r="CK77" i="1"/>
  <c r="AK68" i="1"/>
  <c r="BA62" i="1"/>
  <c r="CC57" i="1"/>
  <c r="DE52" i="1"/>
  <c r="AC48" i="1"/>
  <c r="BE43" i="1"/>
  <c r="CG38" i="1"/>
  <c r="DI33" i="1"/>
  <c r="AG29" i="1"/>
  <c r="BI24" i="1"/>
  <c r="CK19" i="1"/>
  <c r="I15" i="1"/>
  <c r="AK10" i="1"/>
  <c r="BM5" i="1"/>
  <c r="CR141" i="1"/>
  <c r="P137" i="1"/>
  <c r="AR132" i="1"/>
  <c r="BT127" i="1"/>
  <c r="CV122" i="1"/>
  <c r="T118" i="1"/>
  <c r="AV113" i="1"/>
  <c r="CB108" i="1"/>
  <c r="AN106" i="1"/>
  <c r="DD103" i="1"/>
  <c r="BP101" i="1"/>
  <c r="AB99" i="1"/>
  <c r="CR96" i="1"/>
  <c r="BD94" i="1"/>
  <c r="P92" i="1"/>
  <c r="CF89" i="1"/>
  <c r="AR87" i="1"/>
  <c r="DH84" i="1"/>
  <c r="BT82" i="1"/>
  <c r="AF80" i="1"/>
  <c r="CV77" i="1"/>
  <c r="BH75" i="1"/>
  <c r="T73" i="1"/>
  <c r="CJ70" i="1"/>
  <c r="AV68" i="1"/>
  <c r="H66" i="1"/>
  <c r="BX63" i="1"/>
  <c r="AJ61" i="1"/>
  <c r="CZ58" i="1"/>
  <c r="BL56" i="1"/>
  <c r="X54" i="1"/>
  <c r="CN51" i="1"/>
  <c r="AZ49" i="1"/>
  <c r="L47" i="1"/>
  <c r="CB44" i="1"/>
  <c r="AN42" i="1"/>
  <c r="DD39" i="1"/>
  <c r="BP37" i="1"/>
  <c r="AB35" i="1"/>
  <c r="CR32" i="1"/>
  <c r="BD30" i="1"/>
  <c r="P28" i="1"/>
  <c r="CF25" i="1"/>
  <c r="AR23" i="1"/>
  <c r="DH20" i="1"/>
  <c r="BT18" i="1"/>
  <c r="AF16" i="1"/>
  <c r="CV13" i="1"/>
  <c r="BH11" i="1"/>
  <c r="T9" i="1"/>
  <c r="CJ6" i="1"/>
  <c r="AV4" i="1"/>
  <c r="AW71" i="1"/>
  <c r="CO54" i="1"/>
  <c r="BQ40" i="1"/>
  <c r="AS26" i="1"/>
  <c r="U12" i="1"/>
  <c r="AR138" i="1"/>
  <c r="BL123" i="1"/>
  <c r="BP108" i="1"/>
  <c r="X101" i="1"/>
  <c r="BD93" i="1"/>
  <c r="AR86" i="1"/>
  <c r="AF79" i="1"/>
  <c r="CR71" i="1"/>
  <c r="AZ64" i="1"/>
  <c r="H57" i="1"/>
  <c r="CJ49" i="1"/>
  <c r="L42" i="1"/>
  <c r="AB34" i="1"/>
  <c r="P27" i="1"/>
  <c r="AV19" i="1"/>
  <c r="CB11" i="1"/>
  <c r="CR3" i="1"/>
  <c r="U100" i="1"/>
  <c r="BY90" i="1"/>
  <c r="Y81" i="1"/>
  <c r="CC71" i="1"/>
  <c r="U64" i="1"/>
  <c r="AW59" i="1"/>
  <c r="BY54" i="1"/>
  <c r="DA49" i="1"/>
  <c r="Y45" i="1"/>
  <c r="BA40" i="1"/>
  <c r="CC35" i="1"/>
  <c r="DE30" i="1"/>
  <c r="AC26" i="1"/>
  <c r="BE21" i="1"/>
  <c r="CG16" i="1"/>
  <c r="DI11" i="1"/>
  <c r="AG7" i="1"/>
  <c r="BL143" i="1"/>
  <c r="CN138" i="1"/>
  <c r="L134" i="1"/>
  <c r="AN129" i="1"/>
  <c r="BP124" i="1"/>
  <c r="CR119" i="1"/>
  <c r="P115" i="1"/>
  <c r="AR110" i="1"/>
  <c r="X107" i="1"/>
  <c r="CN104" i="1"/>
  <c r="AZ102" i="1"/>
  <c r="L100" i="1"/>
  <c r="CB97" i="1"/>
  <c r="AN95" i="1"/>
  <c r="DD92" i="1"/>
  <c r="BP90" i="1"/>
  <c r="AB88" i="1"/>
  <c r="CR85" i="1"/>
  <c r="BD83" i="1"/>
  <c r="P81" i="1"/>
  <c r="CF78" i="1"/>
  <c r="AR76" i="1"/>
  <c r="DH73" i="1"/>
  <c r="BT71" i="1"/>
  <c r="AF69" i="1"/>
  <c r="CV66" i="1"/>
  <c r="BH64" i="1"/>
  <c r="T62" i="1"/>
  <c r="CJ59" i="1"/>
  <c r="AV57" i="1"/>
  <c r="H55" i="1"/>
  <c r="BX52" i="1"/>
  <c r="AJ50" i="1"/>
  <c r="CZ47" i="1"/>
  <c r="BL45" i="1"/>
  <c r="X43" i="1"/>
  <c r="CN40" i="1"/>
  <c r="AZ38" i="1"/>
  <c r="L36" i="1"/>
  <c r="CB33" i="1"/>
  <c r="AN31" i="1"/>
  <c r="DD28" i="1"/>
  <c r="BP26" i="1"/>
  <c r="AB24" i="1"/>
  <c r="CR21" i="1"/>
  <c r="BD19" i="1"/>
  <c r="P17" i="1"/>
  <c r="CF14" i="1"/>
  <c r="AR12" i="1"/>
  <c r="DH9" i="1"/>
  <c r="BT7" i="1"/>
  <c r="AF5" i="1"/>
  <c r="BM107" i="1"/>
  <c r="U60" i="1"/>
  <c r="CO46" i="1"/>
  <c r="BQ32" i="1"/>
  <c r="BY18" i="1"/>
  <c r="CG4" i="1"/>
  <c r="T132" i="1"/>
  <c r="H117" i="1"/>
  <c r="AB106" i="1"/>
  <c r="P99" i="1"/>
  <c r="T92" i="1"/>
  <c r="AN85" i="1"/>
  <c r="CZ77" i="1"/>
  <c r="AF71" i="1"/>
  <c r="BP64" i="1"/>
  <c r="BT57" i="1"/>
  <c r="BX50" i="1"/>
  <c r="DH43" i="1"/>
  <c r="BD37" i="1"/>
  <c r="BX30" i="1"/>
  <c r="AF23" i="1"/>
  <c r="DH15" i="1"/>
  <c r="BD9" i="1"/>
  <c r="CC107" i="1"/>
  <c r="AC98" i="1"/>
  <c r="CG88" i="1"/>
  <c r="AG79" i="1"/>
  <c r="CK69" i="1"/>
  <c r="Y63" i="1"/>
  <c r="BA58" i="1"/>
  <c r="CC53" i="1"/>
  <c r="DE48" i="1"/>
  <c r="AC44" i="1"/>
  <c r="BE39" i="1"/>
  <c r="CG34" i="1"/>
  <c r="DI29" i="1"/>
  <c r="AG25" i="1"/>
  <c r="BI20" i="1"/>
  <c r="CK15" i="1"/>
  <c r="I11" i="1"/>
  <c r="AK6" i="1"/>
  <c r="BP142" i="1"/>
  <c r="CR137" i="1"/>
  <c r="P133" i="1"/>
  <c r="AR128" i="1"/>
  <c r="BT123" i="1"/>
  <c r="CV118" i="1"/>
  <c r="T114" i="1"/>
  <c r="AV109" i="1"/>
  <c r="CB106" i="1"/>
  <c r="AN104" i="1"/>
  <c r="DD101" i="1"/>
  <c r="BP99" i="1"/>
  <c r="AB97" i="1"/>
  <c r="CR94" i="1"/>
  <c r="BD92" i="1"/>
  <c r="P90" i="1"/>
  <c r="CF87" i="1"/>
  <c r="AR85" i="1"/>
  <c r="DH82" i="1"/>
  <c r="BT80" i="1"/>
  <c r="AF78" i="1"/>
  <c r="CV75" i="1"/>
  <c r="BH73" i="1"/>
  <c r="T71" i="1"/>
  <c r="CJ68" i="1"/>
  <c r="AV66" i="1"/>
  <c r="H64" i="1"/>
  <c r="BX61" i="1"/>
  <c r="AJ59" i="1"/>
  <c r="CZ56" i="1"/>
  <c r="BL54" i="1"/>
  <c r="X52" i="1"/>
  <c r="CN49" i="1"/>
  <c r="AZ47" i="1"/>
  <c r="L45" i="1"/>
  <c r="CB42" i="1"/>
  <c r="AN40" i="1"/>
  <c r="DD37" i="1"/>
  <c r="BP35" i="1"/>
  <c r="AB33" i="1"/>
  <c r="CR30" i="1"/>
  <c r="BD28" i="1"/>
  <c r="P26" i="1"/>
  <c r="CF23" i="1"/>
  <c r="AR21" i="1"/>
  <c r="DH18" i="1"/>
  <c r="BT16" i="1"/>
  <c r="AF14" i="1"/>
  <c r="CV11" i="1"/>
  <c r="BH9" i="1"/>
  <c r="T7" i="1"/>
  <c r="CJ4" i="1"/>
  <c r="Y105" i="1"/>
  <c r="CC95" i="1"/>
  <c r="AC86" i="1"/>
  <c r="AG67" i="1"/>
  <c r="BM51" i="1"/>
  <c r="I37" i="1"/>
  <c r="CO22" i="1"/>
  <c r="DI7" i="1"/>
  <c r="P135" i="1"/>
  <c r="BD121" i="1"/>
  <c r="AZ108" i="1"/>
  <c r="BD101" i="1"/>
  <c r="BX94" i="1"/>
  <c r="CB87" i="1"/>
  <c r="BP80" i="1"/>
  <c r="BT73" i="1"/>
  <c r="L66" i="1"/>
  <c r="DD58" i="1"/>
  <c r="CR51" i="1"/>
  <c r="H45" i="1"/>
  <c r="CZ37" i="1"/>
  <c r="CN30" i="1"/>
  <c r="DH23" i="1"/>
  <c r="AN17" i="1"/>
  <c r="BH10" i="1"/>
  <c r="DH3" i="1"/>
  <c r="M58" i="1"/>
  <c r="I29" i="1"/>
  <c r="U4" i="1"/>
  <c r="BP120" i="1"/>
  <c r="AF99" i="1"/>
  <c r="P87" i="1"/>
  <c r="DD74" i="1"/>
  <c r="T60" i="1"/>
  <c r="T48" i="1"/>
  <c r="BL35" i="1"/>
  <c r="L22" i="1"/>
  <c r="AB10" i="1"/>
  <c r="CV36" i="1"/>
  <c r="AB18" i="1"/>
  <c r="X33" i="1"/>
  <c r="AI88" i="1"/>
  <c r="CY85" i="1"/>
  <c r="AQ211" i="1"/>
  <c r="CU201" i="1"/>
  <c r="AU192" i="1"/>
  <c r="CY182" i="1"/>
  <c r="AY173" i="1"/>
  <c r="DC163" i="1"/>
  <c r="BC154" i="1"/>
  <c r="DG144" i="1"/>
  <c r="AD211" i="1"/>
  <c r="CH201" i="1"/>
  <c r="AH192" i="1"/>
  <c r="CL182" i="1"/>
  <c r="AL173" i="1"/>
  <c r="CP163" i="1"/>
  <c r="AP154" i="1"/>
  <c r="CT144" i="1"/>
  <c r="AY135" i="1"/>
  <c r="DC125" i="1"/>
  <c r="BC116" i="1"/>
  <c r="DG106" i="1"/>
  <c r="BG97" i="1"/>
  <c r="G88" i="1"/>
  <c r="CA83" i="1"/>
  <c r="BG80" i="1"/>
  <c r="AQ77" i="1"/>
  <c r="AA74" i="1"/>
  <c r="G71" i="1"/>
  <c r="CU67" i="1"/>
  <c r="CE64" i="1"/>
  <c r="BK61" i="1"/>
  <c r="AU58" i="1"/>
  <c r="AE55" i="1"/>
  <c r="CU52" i="1"/>
  <c r="BG50" i="1"/>
  <c r="S48" i="1"/>
  <c r="CI45" i="1"/>
  <c r="AU43" i="1"/>
  <c r="G41" i="1"/>
  <c r="BW38" i="1"/>
  <c r="AI36" i="1"/>
  <c r="CY33" i="1"/>
  <c r="BK31" i="1"/>
  <c r="W29" i="1"/>
  <c r="CM26" i="1"/>
  <c r="AY24" i="1"/>
  <c r="K22" i="1"/>
  <c r="CA19" i="1"/>
  <c r="AM17" i="1"/>
  <c r="DC14" i="1"/>
  <c r="BO12" i="1"/>
  <c r="AA10" i="1"/>
  <c r="CQ7" i="1"/>
  <c r="BC5" i="1"/>
  <c r="G144" i="1"/>
  <c r="BV141" i="1"/>
  <c r="AH139" i="1"/>
  <c r="CX136" i="1"/>
  <c r="BJ134" i="1"/>
  <c r="V132" i="1"/>
  <c r="CL129" i="1"/>
  <c r="AX127" i="1"/>
  <c r="J125" i="1"/>
  <c r="BZ122" i="1"/>
  <c r="AL120" i="1"/>
  <c r="DB117" i="1"/>
  <c r="BN115" i="1"/>
  <c r="Z113" i="1"/>
  <c r="CP110" i="1"/>
  <c r="BB108" i="1"/>
  <c r="N106" i="1"/>
  <c r="CD103" i="1"/>
  <c r="AP101" i="1"/>
  <c r="DF98" i="1"/>
  <c r="BR96" i="1"/>
  <c r="AD94" i="1"/>
  <c r="CT91" i="1"/>
  <c r="BF89" i="1"/>
  <c r="R87" i="1"/>
  <c r="CH84" i="1"/>
  <c r="AT82" i="1"/>
  <c r="F80" i="1"/>
  <c r="BV77" i="1"/>
  <c r="AH75" i="1"/>
  <c r="CX72" i="1"/>
  <c r="BJ70" i="1"/>
  <c r="V68" i="1"/>
  <c r="CL65" i="1"/>
  <c r="AX63" i="1"/>
  <c r="J61" i="1"/>
  <c r="BZ58" i="1"/>
  <c r="AL56" i="1"/>
  <c r="DB53" i="1"/>
  <c r="BN51" i="1"/>
  <c r="Z49" i="1"/>
  <c r="CP46" i="1"/>
  <c r="BB44" i="1"/>
  <c r="N42" i="1"/>
  <c r="CD39" i="1"/>
  <c r="AP37" i="1"/>
  <c r="DF34" i="1"/>
  <c r="BR32" i="1"/>
  <c r="AD30" i="1"/>
  <c r="CT27" i="1"/>
  <c r="BF25" i="1"/>
  <c r="R23" i="1"/>
  <c r="CH20" i="1"/>
  <c r="AT18" i="1"/>
  <c r="F16" i="1"/>
  <c r="BV13" i="1"/>
  <c r="AH11" i="1"/>
  <c r="CX8" i="1"/>
  <c r="BJ6" i="1"/>
  <c r="V4" i="1"/>
  <c r="AK143" i="1"/>
  <c r="DA140" i="1"/>
  <c r="BM138" i="1"/>
  <c r="Y136" i="1"/>
  <c r="CO133" i="1"/>
  <c r="BA131" i="1"/>
  <c r="M129" i="1"/>
  <c r="CC126" i="1"/>
  <c r="AO124" i="1"/>
  <c r="DE121" i="1"/>
  <c r="BQ119" i="1"/>
  <c r="AC117" i="1"/>
  <c r="CS114" i="1"/>
  <c r="BE112" i="1"/>
  <c r="Q110" i="1"/>
  <c r="CG107" i="1"/>
  <c r="AS105" i="1"/>
  <c r="DI102" i="1"/>
  <c r="BU100" i="1"/>
  <c r="AG98" i="1"/>
  <c r="CW95" i="1"/>
  <c r="BI93" i="1"/>
  <c r="U91" i="1"/>
  <c r="CK88" i="1"/>
  <c r="AW86" i="1"/>
  <c r="I84" i="1"/>
  <c r="BY81" i="1"/>
  <c r="AK79" i="1"/>
  <c r="DA76" i="1"/>
  <c r="BM74" i="1"/>
  <c r="Y72" i="1"/>
  <c r="CO69" i="1"/>
  <c r="BA67" i="1"/>
  <c r="M65" i="1"/>
  <c r="CC62" i="1"/>
  <c r="AO60" i="1"/>
  <c r="DE57" i="1"/>
  <c r="BQ55" i="1"/>
  <c r="AC53" i="1"/>
  <c r="CS50" i="1"/>
  <c r="BE48" i="1"/>
  <c r="Q46" i="1"/>
  <c r="CG43" i="1"/>
  <c r="AS41" i="1"/>
  <c r="DI38" i="1"/>
  <c r="BU36" i="1"/>
  <c r="AG34" i="1"/>
  <c r="CW31" i="1"/>
  <c r="BI29" i="1"/>
  <c r="U27" i="1"/>
  <c r="CK24" i="1"/>
  <c r="AW22" i="1"/>
  <c r="I20" i="1"/>
  <c r="BY17" i="1"/>
  <c r="AK15" i="1"/>
  <c r="DA12" i="1"/>
  <c r="BM10" i="1"/>
  <c r="Y8" i="1"/>
  <c r="CO5" i="1"/>
  <c r="BA3" i="1"/>
  <c r="P142" i="1"/>
  <c r="CF139" i="1"/>
  <c r="AR137" i="1"/>
  <c r="DH134" i="1"/>
  <c r="BT132" i="1"/>
  <c r="AF130" i="1"/>
  <c r="CV127" i="1"/>
  <c r="BH125" i="1"/>
  <c r="T123" i="1"/>
  <c r="CJ120" i="1"/>
  <c r="AV118" i="1"/>
  <c r="H116" i="1"/>
  <c r="BX113" i="1"/>
  <c r="AJ111" i="1"/>
  <c r="CZ108" i="1"/>
  <c r="BW207" i="1"/>
  <c r="W198" i="1"/>
  <c r="CA188" i="1"/>
  <c r="AA179" i="1"/>
  <c r="CE169" i="1"/>
  <c r="AE160" i="1"/>
  <c r="CI150" i="1"/>
  <c r="F217" i="1"/>
  <c r="BJ207" i="1"/>
  <c r="J198" i="1"/>
  <c r="BN188" i="1"/>
  <c r="N179" i="1"/>
  <c r="BR169" i="1"/>
  <c r="R160" i="1"/>
  <c r="BV150" i="1"/>
  <c r="AA141" i="1"/>
  <c r="CE131" i="1"/>
  <c r="AE122" i="1"/>
  <c r="CI112" i="1"/>
  <c r="AI103" i="1"/>
  <c r="CM93" i="1"/>
  <c r="DG85" i="1"/>
  <c r="AY82" i="1"/>
  <c r="AI79" i="1"/>
  <c r="S76" i="1"/>
  <c r="DC72" i="1"/>
  <c r="CM69" i="1"/>
  <c r="BW66" i="1"/>
  <c r="BC63" i="1"/>
  <c r="AM60" i="1"/>
  <c r="W57" i="1"/>
  <c r="AM54" i="1"/>
  <c r="DC51" i="1"/>
  <c r="BO49" i="1"/>
  <c r="AA47" i="1"/>
  <c r="CQ44" i="1"/>
  <c r="BC42" i="1"/>
  <c r="O40" i="1"/>
  <c r="CE37" i="1"/>
  <c r="AQ35" i="1"/>
  <c r="DG32" i="1"/>
  <c r="BS30" i="1"/>
  <c r="AE28" i="1"/>
  <c r="CU25" i="1"/>
  <c r="BG23" i="1"/>
  <c r="S21" i="1"/>
  <c r="CI18" i="1"/>
  <c r="AU16" i="1"/>
  <c r="G14" i="1"/>
  <c r="BW11" i="1"/>
  <c r="AI9" i="1"/>
  <c r="CY6" i="1"/>
  <c r="BK4" i="1"/>
  <c r="N143" i="1"/>
  <c r="CD140" i="1"/>
  <c r="AP138" i="1"/>
  <c r="DF135" i="1"/>
  <c r="BR133" i="1"/>
  <c r="AD131" i="1"/>
  <c r="CT128" i="1"/>
  <c r="BF126" i="1"/>
  <c r="R124" i="1"/>
  <c r="CH121" i="1"/>
  <c r="AT119" i="1"/>
  <c r="F117" i="1"/>
  <c r="BV114" i="1"/>
  <c r="AH112" i="1"/>
  <c r="CX109" i="1"/>
  <c r="BJ107" i="1"/>
  <c r="V105" i="1"/>
  <c r="CL102" i="1"/>
  <c r="AX100" i="1"/>
  <c r="J98" i="1"/>
  <c r="BZ95" i="1"/>
  <c r="AL93" i="1"/>
  <c r="DB90" i="1"/>
  <c r="BN88" i="1"/>
  <c r="Z86" i="1"/>
  <c r="CP83" i="1"/>
  <c r="BB81" i="1"/>
  <c r="N79" i="1"/>
  <c r="CD76" i="1"/>
  <c r="AP74" i="1"/>
  <c r="DF71" i="1"/>
  <c r="BR69" i="1"/>
  <c r="AD67" i="1"/>
  <c r="CT64" i="1"/>
  <c r="BF62" i="1"/>
  <c r="R60" i="1"/>
  <c r="CH57" i="1"/>
  <c r="AT55" i="1"/>
  <c r="F53" i="1"/>
  <c r="BV50" i="1"/>
  <c r="AH48" i="1"/>
  <c r="CX45" i="1"/>
  <c r="BJ43" i="1"/>
  <c r="V41" i="1"/>
  <c r="CL38" i="1"/>
  <c r="AX36" i="1"/>
  <c r="J34" i="1"/>
  <c r="BZ31" i="1"/>
  <c r="AL29" i="1"/>
  <c r="DB26" i="1"/>
  <c r="BN24" i="1"/>
  <c r="Z22" i="1"/>
  <c r="CP19" i="1"/>
  <c r="BB17" i="1"/>
  <c r="N15" i="1"/>
  <c r="CD12" i="1"/>
  <c r="AP10" i="1"/>
  <c r="DF7" i="1"/>
  <c r="BR5" i="1"/>
  <c r="AD3" i="1"/>
  <c r="DA141" i="1"/>
  <c r="BM139" i="1"/>
  <c r="Y137" i="1"/>
  <c r="CO134" i="1"/>
  <c r="BA132" i="1"/>
  <c r="M130" i="1"/>
  <c r="CC127" i="1"/>
  <c r="AO125" i="1"/>
  <c r="DE122" i="1"/>
  <c r="BQ120" i="1"/>
  <c r="AC118" i="1"/>
  <c r="CS115" i="1"/>
  <c r="BE113" i="1"/>
  <c r="Q111" i="1"/>
  <c r="CG108" i="1"/>
  <c r="CY206" i="1"/>
  <c r="AY197" i="1"/>
  <c r="DC187" i="1"/>
  <c r="BC178" i="1"/>
  <c r="DG168" i="1"/>
  <c r="BG159" i="1"/>
  <c r="G150" i="1"/>
  <c r="AH216" i="1"/>
  <c r="CL206" i="1"/>
  <c r="AL197" i="1"/>
  <c r="CP187" i="1"/>
  <c r="AP178" i="1"/>
  <c r="CT168" i="1"/>
  <c r="AT159" i="1"/>
  <c r="CX149" i="1"/>
  <c r="BC140" i="1"/>
  <c r="DG130" i="1"/>
  <c r="BG121" i="1"/>
  <c r="G112" i="1"/>
  <c r="BK102" i="1"/>
  <c r="K93" i="1"/>
  <c r="BW85" i="1"/>
  <c r="AA82" i="1"/>
  <c r="G79" i="1"/>
  <c r="CU75" i="1"/>
  <c r="CE72" i="1"/>
  <c r="BK69" i="1"/>
  <c r="AU66" i="1"/>
  <c r="AE63" i="1"/>
  <c r="K60" i="1"/>
  <c r="CY56" i="1"/>
  <c r="S54" i="1"/>
  <c r="CI51" i="1"/>
  <c r="AU49" i="1"/>
  <c r="G47" i="1"/>
  <c r="BW44" i="1"/>
  <c r="AI42" i="1"/>
  <c r="CY39" i="1"/>
  <c r="BK37" i="1"/>
  <c r="W35" i="1"/>
  <c r="CM32" i="1"/>
  <c r="AY30" i="1"/>
  <c r="K28" i="1"/>
  <c r="CA25" i="1"/>
  <c r="AM23" i="1"/>
  <c r="DC20" i="1"/>
  <c r="BO18" i="1"/>
  <c r="AA16" i="1"/>
  <c r="CQ13" i="1"/>
  <c r="BC11" i="1"/>
  <c r="O9" i="1"/>
  <c r="CE6" i="1"/>
  <c r="AQ4" i="1"/>
  <c r="CX142" i="1"/>
  <c r="BJ140" i="1"/>
  <c r="V138" i="1"/>
  <c r="CL135" i="1"/>
  <c r="AX133" i="1"/>
  <c r="J131" i="1"/>
  <c r="BZ128" i="1"/>
  <c r="AL126" i="1"/>
  <c r="DB123" i="1"/>
  <c r="BN121" i="1"/>
  <c r="Z119" i="1"/>
  <c r="CP116" i="1"/>
  <c r="BB114" i="1"/>
  <c r="N112" i="1"/>
  <c r="CD109" i="1"/>
  <c r="AP107" i="1"/>
  <c r="DF104" i="1"/>
  <c r="BR102" i="1"/>
  <c r="AD100" i="1"/>
  <c r="CT97" i="1"/>
  <c r="BF95" i="1"/>
  <c r="R93" i="1"/>
  <c r="CH90" i="1"/>
  <c r="AT88" i="1"/>
  <c r="F86" i="1"/>
  <c r="BV83" i="1"/>
  <c r="AH81" i="1"/>
  <c r="CX78" i="1"/>
  <c r="BJ76" i="1"/>
  <c r="V74" i="1"/>
  <c r="CL71" i="1"/>
  <c r="AX69" i="1"/>
  <c r="J67" i="1"/>
  <c r="BZ64" i="1"/>
  <c r="AL62" i="1"/>
  <c r="DB59" i="1"/>
  <c r="BN57" i="1"/>
  <c r="Z55" i="1"/>
  <c r="CP52" i="1"/>
  <c r="BB50" i="1"/>
  <c r="N48" i="1"/>
  <c r="CD45" i="1"/>
  <c r="AP43" i="1"/>
  <c r="DF40" i="1"/>
  <c r="BR38" i="1"/>
  <c r="AD36" i="1"/>
  <c r="CT33" i="1"/>
  <c r="BF31" i="1"/>
  <c r="R29" i="1"/>
  <c r="CH26" i="1"/>
  <c r="AT24" i="1"/>
  <c r="F22" i="1"/>
  <c r="BV19" i="1"/>
  <c r="AH17" i="1"/>
  <c r="CX14" i="1"/>
  <c r="BJ12" i="1"/>
  <c r="V10" i="1"/>
  <c r="CL7" i="1"/>
  <c r="AX5" i="1"/>
  <c r="J3" i="1"/>
  <c r="CG141" i="1"/>
  <c r="AS139" i="1"/>
  <c r="DI136" i="1"/>
  <c r="BU134" i="1"/>
  <c r="AG132" i="1"/>
  <c r="CW129" i="1"/>
  <c r="BI127" i="1"/>
  <c r="U125" i="1"/>
  <c r="CK122" i="1"/>
  <c r="AW120" i="1"/>
  <c r="I118" i="1"/>
  <c r="BY115" i="1"/>
  <c r="AK113" i="1"/>
  <c r="DA110" i="1"/>
  <c r="BM108" i="1"/>
  <c r="Y106" i="1"/>
  <c r="CO103" i="1"/>
  <c r="BA101" i="1"/>
  <c r="M99" i="1"/>
  <c r="CC96" i="1"/>
  <c r="AO94" i="1"/>
  <c r="DE91" i="1"/>
  <c r="BQ89" i="1"/>
  <c r="AC87" i="1"/>
  <c r="CS84" i="1"/>
  <c r="BE82" i="1"/>
  <c r="Q80" i="1"/>
  <c r="CG77" i="1"/>
  <c r="AS75" i="1"/>
  <c r="DI72" i="1"/>
  <c r="BU70" i="1"/>
  <c r="AG68" i="1"/>
  <c r="CW65" i="1"/>
  <c r="BI63" i="1"/>
  <c r="U61" i="1"/>
  <c r="CK58" i="1"/>
  <c r="AW56" i="1"/>
  <c r="I54" i="1"/>
  <c r="BY51" i="1"/>
  <c r="AK49" i="1"/>
  <c r="DA46" i="1"/>
  <c r="BM44" i="1"/>
  <c r="Y42" i="1"/>
  <c r="CO39" i="1"/>
  <c r="BA37" i="1"/>
  <c r="M35" i="1"/>
  <c r="CC32" i="1"/>
  <c r="AO30" i="1"/>
  <c r="DE27" i="1"/>
  <c r="BQ25" i="1"/>
  <c r="AC23" i="1"/>
  <c r="CS20" i="1"/>
  <c r="BE18" i="1"/>
  <c r="Q16" i="1"/>
  <c r="CG13" i="1"/>
  <c r="AS11" i="1"/>
  <c r="DI8" i="1"/>
  <c r="BU6" i="1"/>
  <c r="AG4" i="1"/>
  <c r="CZ142" i="1"/>
  <c r="BL140" i="1"/>
  <c r="X138" i="1"/>
  <c r="CN135" i="1"/>
  <c r="AZ133" i="1"/>
  <c r="L131" i="1"/>
  <c r="CB128" i="1"/>
  <c r="AN126" i="1"/>
  <c r="DD123" i="1"/>
  <c r="BP121" i="1"/>
  <c r="AB119" i="1"/>
  <c r="CR116" i="1"/>
  <c r="BD114" i="1"/>
  <c r="P112" i="1"/>
  <c r="CF109" i="1"/>
  <c r="AM210" i="1"/>
  <c r="CQ200" i="1"/>
  <c r="AQ191" i="1"/>
  <c r="CU181" i="1"/>
  <c r="AU172" i="1"/>
  <c r="CY162" i="1"/>
  <c r="AY153" i="1"/>
  <c r="CB219" i="1"/>
  <c r="Z210" i="1"/>
  <c r="CD200" i="1"/>
  <c r="AD191" i="1"/>
  <c r="CH181" i="1"/>
  <c r="AH172" i="1"/>
  <c r="CL162" i="1"/>
  <c r="AL153" i="1"/>
  <c r="CU143" i="1"/>
  <c r="AU134" i="1"/>
  <c r="CY124" i="1"/>
  <c r="AY115" i="1"/>
  <c r="DC105" i="1"/>
  <c r="BC96" i="1"/>
  <c r="AM87" i="1"/>
  <c r="AM83" i="1"/>
  <c r="W80" i="1"/>
  <c r="G77" i="1"/>
  <c r="CQ73" i="1"/>
  <c r="CA70" i="1"/>
  <c r="BK67" i="1"/>
  <c r="AQ64" i="1"/>
  <c r="AA61" i="1"/>
  <c r="K58" i="1"/>
  <c r="DG54" i="1"/>
  <c r="BS52" i="1"/>
  <c r="AE50" i="1"/>
  <c r="CU47" i="1"/>
  <c r="BG45" i="1"/>
  <c r="S43" i="1"/>
  <c r="CI40" i="1"/>
  <c r="AU38" i="1"/>
  <c r="G36" i="1"/>
  <c r="BW33" i="1"/>
  <c r="AI31" i="1"/>
  <c r="CY28" i="1"/>
  <c r="BK26" i="1"/>
  <c r="W24" i="1"/>
  <c r="CM21" i="1"/>
  <c r="AY19" i="1"/>
  <c r="K17" i="1"/>
  <c r="CA14" i="1"/>
  <c r="AM12" i="1"/>
  <c r="DC9" i="1"/>
  <c r="BO7" i="1"/>
  <c r="AA5" i="1"/>
  <c r="CH143" i="1"/>
  <c r="AT141" i="1"/>
  <c r="F139" i="1"/>
  <c r="BV136" i="1"/>
  <c r="AH134" i="1"/>
  <c r="CX131" i="1"/>
  <c r="BJ129" i="1"/>
  <c r="V127" i="1"/>
  <c r="CL124" i="1"/>
  <c r="AX122" i="1"/>
  <c r="J120" i="1"/>
  <c r="BZ117" i="1"/>
  <c r="AL115" i="1"/>
  <c r="DB112" i="1"/>
  <c r="BN110" i="1"/>
  <c r="Z108" i="1"/>
  <c r="CP105" i="1"/>
  <c r="BB103" i="1"/>
  <c r="N101" i="1"/>
  <c r="CD98" i="1"/>
  <c r="AP96" i="1"/>
  <c r="DF93" i="1"/>
  <c r="BR91" i="1"/>
  <c r="AD89" i="1"/>
  <c r="CT86" i="1"/>
  <c r="BF84" i="1"/>
  <c r="R82" i="1"/>
  <c r="CH79" i="1"/>
  <c r="AT77" i="1"/>
  <c r="F75" i="1"/>
  <c r="BV72" i="1"/>
  <c r="AH70" i="1"/>
  <c r="CX67" i="1"/>
  <c r="BJ65" i="1"/>
  <c r="V63" i="1"/>
  <c r="CL60" i="1"/>
  <c r="AX58" i="1"/>
  <c r="J56" i="1"/>
  <c r="BZ53" i="1"/>
  <c r="AL51" i="1"/>
  <c r="DB48" i="1"/>
  <c r="BN46" i="1"/>
  <c r="Z44" i="1"/>
  <c r="CP41" i="1"/>
  <c r="BB39" i="1"/>
  <c r="N37" i="1"/>
  <c r="CD34" i="1"/>
  <c r="AP32" i="1"/>
  <c r="DF29" i="1"/>
  <c r="BR27" i="1"/>
  <c r="AD25" i="1"/>
  <c r="CT22" i="1"/>
  <c r="BF20" i="1"/>
  <c r="R18" i="1"/>
  <c r="CH15" i="1"/>
  <c r="AT13" i="1"/>
  <c r="F11" i="1"/>
  <c r="BV8" i="1"/>
  <c r="AH6" i="1"/>
  <c r="CX3" i="1"/>
  <c r="BQ142" i="1"/>
  <c r="AC140" i="1"/>
  <c r="CS137" i="1"/>
  <c r="BE135" i="1"/>
  <c r="Q133" i="1"/>
  <c r="CG130" i="1"/>
  <c r="AS128" i="1"/>
  <c r="DI125" i="1"/>
  <c r="BU123" i="1"/>
  <c r="BM142" i="1"/>
  <c r="Y140" i="1"/>
  <c r="CO137" i="1"/>
  <c r="BA135" i="1"/>
  <c r="M133" i="1"/>
  <c r="CC130" i="1"/>
  <c r="AO128" i="1"/>
  <c r="DE125" i="1"/>
  <c r="BQ123" i="1"/>
  <c r="AC121" i="1"/>
  <c r="CS118" i="1"/>
  <c r="BE116" i="1"/>
  <c r="Q114" i="1"/>
  <c r="CG111" i="1"/>
  <c r="AS109" i="1"/>
  <c r="DI106" i="1"/>
  <c r="BU104" i="1"/>
  <c r="AG102" i="1"/>
  <c r="CW99" i="1"/>
  <c r="BI97" i="1"/>
  <c r="U95" i="1"/>
  <c r="CK92" i="1"/>
  <c r="AW90" i="1"/>
  <c r="I88" i="1"/>
  <c r="BY85" i="1"/>
  <c r="AK83" i="1"/>
  <c r="DA80" i="1"/>
  <c r="BM78" i="1"/>
  <c r="Y76" i="1"/>
  <c r="CO73" i="1"/>
  <c r="BA71" i="1"/>
  <c r="M69" i="1"/>
  <c r="CC66" i="1"/>
  <c r="AO64" i="1"/>
  <c r="DE61" i="1"/>
  <c r="BQ59" i="1"/>
  <c r="AC57" i="1"/>
  <c r="CS54" i="1"/>
  <c r="BE52" i="1"/>
  <c r="Q50" i="1"/>
  <c r="CG47" i="1"/>
  <c r="AS45" i="1"/>
  <c r="DI42" i="1"/>
  <c r="BU40" i="1"/>
  <c r="AG38" i="1"/>
  <c r="CW35" i="1"/>
  <c r="BI33" i="1"/>
  <c r="U31" i="1"/>
  <c r="CK28" i="1"/>
  <c r="AW26" i="1"/>
  <c r="I24" i="1"/>
  <c r="BY21" i="1"/>
  <c r="AK19" i="1"/>
  <c r="DA16" i="1"/>
  <c r="BM14" i="1"/>
  <c r="Y12" i="1"/>
  <c r="CO9" i="1"/>
  <c r="BA7" i="1"/>
  <c r="M5" i="1"/>
  <c r="CF143" i="1"/>
  <c r="AR141" i="1"/>
  <c r="DH138" i="1"/>
  <c r="BT136" i="1"/>
  <c r="AF134" i="1"/>
  <c r="CV131" i="1"/>
  <c r="BH129" i="1"/>
  <c r="T127" i="1"/>
  <c r="CJ124" i="1"/>
  <c r="AV122" i="1"/>
  <c r="H120" i="1"/>
  <c r="BX117" i="1"/>
  <c r="AJ115" i="1"/>
  <c r="CZ112" i="1"/>
  <c r="BL110" i="1"/>
  <c r="W214" i="1"/>
  <c r="CA204" i="1"/>
  <c r="AA195" i="1"/>
  <c r="CE185" i="1"/>
  <c r="AE176" i="1"/>
  <c r="CI166" i="1"/>
  <c r="AI157" i="1"/>
  <c r="CM147" i="1"/>
  <c r="J214" i="1"/>
  <c r="BN204" i="1"/>
  <c r="N195" i="1"/>
  <c r="BR185" i="1"/>
  <c r="R176" i="1"/>
  <c r="BV166" i="1"/>
  <c r="V157" i="1"/>
  <c r="BZ147" i="1"/>
  <c r="AE138" i="1"/>
  <c r="CI128" i="1"/>
  <c r="AI119" i="1"/>
  <c r="CM109" i="1"/>
  <c r="AM100" i="1"/>
  <c r="CQ90" i="1"/>
  <c r="BS84" i="1"/>
  <c r="BC81" i="1"/>
  <c r="AI78" i="1"/>
  <c r="S75" i="1"/>
  <c r="DG71" i="1"/>
  <c r="CM68" i="1"/>
  <c r="BW65" i="1"/>
  <c r="BG62" i="1"/>
  <c r="AM59" i="1"/>
  <c r="W56" i="1"/>
  <c r="BO53" i="1"/>
  <c r="AA51" i="1"/>
  <c r="CQ48" i="1"/>
  <c r="BC46" i="1"/>
  <c r="O44" i="1"/>
  <c r="CE41" i="1"/>
  <c r="AQ39" i="1"/>
  <c r="DG36" i="1"/>
  <c r="BS34" i="1"/>
  <c r="AE32" i="1"/>
  <c r="CU29" i="1"/>
  <c r="BG27" i="1"/>
  <c r="S25" i="1"/>
  <c r="CI22" i="1"/>
  <c r="AU20" i="1"/>
  <c r="G18" i="1"/>
  <c r="BW15" i="1"/>
  <c r="AI13" i="1"/>
  <c r="CY10" i="1"/>
  <c r="BK8" i="1"/>
  <c r="W6" i="1"/>
  <c r="CM3" i="1"/>
  <c r="AP142" i="1"/>
  <c r="DF139" i="1"/>
  <c r="BR137" i="1"/>
  <c r="AD135" i="1"/>
  <c r="CT132" i="1"/>
  <c r="BF130" i="1"/>
  <c r="R128" i="1"/>
  <c r="CH125" i="1"/>
  <c r="AT123" i="1"/>
  <c r="F121" i="1"/>
  <c r="BV118" i="1"/>
  <c r="AH116" i="1"/>
  <c r="CX113" i="1"/>
  <c r="BJ111" i="1"/>
  <c r="V109" i="1"/>
  <c r="CL106" i="1"/>
  <c r="AX104" i="1"/>
  <c r="J102" i="1"/>
  <c r="BZ99" i="1"/>
  <c r="AL97" i="1"/>
  <c r="DB94" i="1"/>
  <c r="BN92" i="1"/>
  <c r="Z90" i="1"/>
  <c r="CP87" i="1"/>
  <c r="BB85" i="1"/>
  <c r="N83" i="1"/>
  <c r="CD80" i="1"/>
  <c r="AP78" i="1"/>
  <c r="DF75" i="1"/>
  <c r="BR73" i="1"/>
  <c r="AD71" i="1"/>
  <c r="CT68" i="1"/>
  <c r="BF66" i="1"/>
  <c r="R64" i="1"/>
  <c r="CH61" i="1"/>
  <c r="AT59" i="1"/>
  <c r="F57" i="1"/>
  <c r="BV54" i="1"/>
  <c r="AH52" i="1"/>
  <c r="CX49" i="1"/>
  <c r="BJ47" i="1"/>
  <c r="V45" i="1"/>
  <c r="CL42" i="1"/>
  <c r="AX40" i="1"/>
  <c r="J38" i="1"/>
  <c r="BZ35" i="1"/>
  <c r="AL33" i="1"/>
  <c r="DB30" i="1"/>
  <c r="BN28" i="1"/>
  <c r="Z26" i="1"/>
  <c r="CP23" i="1"/>
  <c r="BB21" i="1"/>
  <c r="N19" i="1"/>
  <c r="CD16" i="1"/>
  <c r="AP14" i="1"/>
  <c r="DF11" i="1"/>
  <c r="BR9" i="1"/>
  <c r="AD7" i="1"/>
  <c r="CT4" i="1"/>
  <c r="BM143" i="1"/>
  <c r="Y141" i="1"/>
  <c r="CO138" i="1"/>
  <c r="BA136" i="1"/>
  <c r="M134" i="1"/>
  <c r="CC131" i="1"/>
  <c r="AO129" i="1"/>
  <c r="DE126" i="1"/>
  <c r="BQ124" i="1"/>
  <c r="AC122" i="1"/>
  <c r="CS119" i="1"/>
  <c r="BE117" i="1"/>
  <c r="Q115" i="1"/>
  <c r="CG112" i="1"/>
  <c r="AS110" i="1"/>
  <c r="AY213" i="1"/>
  <c r="DC203" i="1"/>
  <c r="BC194" i="1"/>
  <c r="DG184" i="1"/>
  <c r="BG175" i="1"/>
  <c r="G166" i="1"/>
  <c r="BK156" i="1"/>
  <c r="K147" i="1"/>
  <c r="AL213" i="1"/>
  <c r="CP203" i="1"/>
  <c r="AP194" i="1"/>
  <c r="CT184" i="1"/>
  <c r="AT175" i="1"/>
  <c r="CX165" i="1"/>
  <c r="AX156" i="1"/>
  <c r="DB146" i="1"/>
  <c r="BG137" i="1"/>
  <c r="G128" i="1"/>
  <c r="BK118" i="1"/>
  <c r="K109" i="1"/>
  <c r="BO99" i="1"/>
  <c r="O90" i="1"/>
  <c r="AQ84" i="1"/>
  <c r="AA81" i="1"/>
  <c r="K78" i="1"/>
  <c r="CU74" i="1"/>
  <c r="CE71" i="1"/>
  <c r="BO68" i="1"/>
  <c r="AU65" i="1"/>
  <c r="AE62" i="1"/>
  <c r="O59" i="1"/>
  <c r="CY55" i="1"/>
  <c r="AU53" i="1"/>
  <c r="G51" i="1"/>
  <c r="BW48" i="1"/>
  <c r="AI46" i="1"/>
  <c r="CY43" i="1"/>
  <c r="BK41" i="1"/>
  <c r="W39" i="1"/>
  <c r="CM36" i="1"/>
  <c r="AY34" i="1"/>
  <c r="K32" i="1"/>
  <c r="CA29" i="1"/>
  <c r="AM27" i="1"/>
  <c r="DC24" i="1"/>
  <c r="BO22" i="1"/>
  <c r="AA20" i="1"/>
  <c r="CQ17" i="1"/>
  <c r="BC15" i="1"/>
  <c r="O13" i="1"/>
  <c r="CE10" i="1"/>
  <c r="AQ8" i="1"/>
  <c r="DG5" i="1"/>
  <c r="BS3" i="1"/>
  <c r="V142" i="1"/>
  <c r="CL139" i="1"/>
  <c r="AX137" i="1"/>
  <c r="J135" i="1"/>
  <c r="BZ132" i="1"/>
  <c r="AL130" i="1"/>
  <c r="DB127" i="1"/>
  <c r="BN125" i="1"/>
  <c r="Z123" i="1"/>
  <c r="CP120" i="1"/>
  <c r="BB118" i="1"/>
  <c r="N116" i="1"/>
  <c r="CD113" i="1"/>
  <c r="AP111" i="1"/>
  <c r="DF108" i="1"/>
  <c r="BR106" i="1"/>
  <c r="AD104" i="1"/>
  <c r="CT101" i="1"/>
  <c r="BF99" i="1"/>
  <c r="R97" i="1"/>
  <c r="CH94" i="1"/>
  <c r="AT92" i="1"/>
  <c r="F90" i="1"/>
  <c r="BV87" i="1"/>
  <c r="AH85" i="1"/>
  <c r="CX82" i="1"/>
  <c r="BJ80" i="1"/>
  <c r="V78" i="1"/>
  <c r="CL75" i="1"/>
  <c r="AX73" i="1"/>
  <c r="J71" i="1"/>
  <c r="BZ68" i="1"/>
  <c r="AL66" i="1"/>
  <c r="DB63" i="1"/>
  <c r="BN61" i="1"/>
  <c r="Z59" i="1"/>
  <c r="CP56" i="1"/>
  <c r="BB54" i="1"/>
  <c r="N52" i="1"/>
  <c r="CD49" i="1"/>
  <c r="AP47" i="1"/>
  <c r="DF44" i="1"/>
  <c r="BR42" i="1"/>
  <c r="AD40" i="1"/>
  <c r="CT37" i="1"/>
  <c r="BF35" i="1"/>
  <c r="R33" i="1"/>
  <c r="CH30" i="1"/>
  <c r="AT28" i="1"/>
  <c r="F26" i="1"/>
  <c r="BV23" i="1"/>
  <c r="AH21" i="1"/>
  <c r="CX18" i="1"/>
  <c r="BJ16" i="1"/>
  <c r="V14" i="1"/>
  <c r="CL11" i="1"/>
  <c r="AX9" i="1"/>
  <c r="J7" i="1"/>
  <c r="BZ4" i="1"/>
  <c r="AS143" i="1"/>
  <c r="DI140" i="1"/>
  <c r="BU138" i="1"/>
  <c r="AG136" i="1"/>
  <c r="CW133" i="1"/>
  <c r="BI131" i="1"/>
  <c r="U129" i="1"/>
  <c r="CK126" i="1"/>
  <c r="AW124" i="1"/>
  <c r="I122" i="1"/>
  <c r="BY119" i="1"/>
  <c r="AK117" i="1"/>
  <c r="DA114" i="1"/>
  <c r="BM112" i="1"/>
  <c r="Y110" i="1"/>
  <c r="CO107" i="1"/>
  <c r="BA105" i="1"/>
  <c r="M103" i="1"/>
  <c r="CC100" i="1"/>
  <c r="AO98" i="1"/>
  <c r="DE95" i="1"/>
  <c r="BQ93" i="1"/>
  <c r="AC91" i="1"/>
  <c r="CS88" i="1"/>
  <c r="BE86" i="1"/>
  <c r="Q84" i="1"/>
  <c r="CG81" i="1"/>
  <c r="AS79" i="1"/>
  <c r="DI76" i="1"/>
  <c r="BU74" i="1"/>
  <c r="AG72" i="1"/>
  <c r="CW69" i="1"/>
  <c r="BI67" i="1"/>
  <c r="U65" i="1"/>
  <c r="CK62" i="1"/>
  <c r="AW60" i="1"/>
  <c r="I58" i="1"/>
  <c r="BY55" i="1"/>
  <c r="AK53" i="1"/>
  <c r="DA50" i="1"/>
  <c r="BM48" i="1"/>
  <c r="Y46" i="1"/>
  <c r="CO43" i="1"/>
  <c r="BA41" i="1"/>
  <c r="M39" i="1"/>
  <c r="CC36" i="1"/>
  <c r="AO34" i="1"/>
  <c r="DE31" i="1"/>
  <c r="BQ29" i="1"/>
  <c r="AC27" i="1"/>
  <c r="CS24" i="1"/>
  <c r="BE22" i="1"/>
  <c r="Q20" i="1"/>
  <c r="CG17" i="1"/>
  <c r="AS15" i="1"/>
  <c r="DI12" i="1"/>
  <c r="BU10" i="1"/>
  <c r="AG8" i="1"/>
  <c r="CW5" i="1"/>
  <c r="BI3" i="1"/>
  <c r="X142" i="1"/>
  <c r="CN139" i="1"/>
  <c r="AZ137" i="1"/>
  <c r="L135" i="1"/>
  <c r="CB132" i="1"/>
  <c r="AN130" i="1"/>
  <c r="DD127" i="1"/>
  <c r="BP125" i="1"/>
  <c r="AB123" i="1"/>
  <c r="CR120" i="1"/>
  <c r="BD118" i="1"/>
  <c r="P116" i="1"/>
  <c r="CF113" i="1"/>
  <c r="AR111" i="1"/>
  <c r="DH108" i="1"/>
  <c r="AQ207" i="1"/>
  <c r="CU197" i="1"/>
  <c r="AU188" i="1"/>
  <c r="CY178" i="1"/>
  <c r="AY169" i="1"/>
  <c r="DC159" i="1"/>
  <c r="BC150" i="1"/>
  <c r="CD216" i="1"/>
  <c r="AD207" i="1"/>
  <c r="CH197" i="1"/>
  <c r="AH188" i="1"/>
  <c r="CL178" i="1"/>
  <c r="AL169" i="1"/>
  <c r="CP159" i="1"/>
  <c r="AP150" i="1"/>
  <c r="CY140" i="1"/>
  <c r="AY131" i="1"/>
  <c r="DC121" i="1"/>
  <c r="BC112" i="1"/>
  <c r="DG102" i="1"/>
  <c r="BG93" i="1"/>
  <c r="CQ85" i="1"/>
  <c r="AQ82" i="1"/>
  <c r="W79" i="1"/>
  <c r="G76" i="1"/>
  <c r="CU72" i="1"/>
  <c r="CA69" i="1"/>
  <c r="BK66" i="1"/>
  <c r="AU63" i="1"/>
  <c r="AA60" i="1"/>
  <c r="K57" i="1"/>
  <c r="AE54" i="1"/>
  <c r="CU51" i="1"/>
  <c r="BG49" i="1"/>
  <c r="S47" i="1"/>
  <c r="CI44" i="1"/>
  <c r="AU42" i="1"/>
  <c r="G40" i="1"/>
  <c r="BW37" i="1"/>
  <c r="AI35" i="1"/>
  <c r="CY32" i="1"/>
  <c r="BK30" i="1"/>
  <c r="W28" i="1"/>
  <c r="CM25" i="1"/>
  <c r="AY23" i="1"/>
  <c r="K21" i="1"/>
  <c r="CA18" i="1"/>
  <c r="AM16" i="1"/>
  <c r="DC13" i="1"/>
  <c r="BO11" i="1"/>
  <c r="AA9" i="1"/>
  <c r="CQ6" i="1"/>
  <c r="BC4" i="1"/>
  <c r="F143" i="1"/>
  <c r="BV140" i="1"/>
  <c r="AH138" i="1"/>
  <c r="CX135" i="1"/>
  <c r="BJ133" i="1"/>
  <c r="V131" i="1"/>
  <c r="CL128" i="1"/>
  <c r="AX126" i="1"/>
  <c r="J124" i="1"/>
  <c r="BZ121" i="1"/>
  <c r="AL119" i="1"/>
  <c r="DB116" i="1"/>
  <c r="BN114" i="1"/>
  <c r="Z112" i="1"/>
  <c r="CP109" i="1"/>
  <c r="BB107" i="1"/>
  <c r="N105" i="1"/>
  <c r="CD102" i="1"/>
  <c r="AP100" i="1"/>
  <c r="DF97" i="1"/>
  <c r="BR95" i="1"/>
  <c r="AD93" i="1"/>
  <c r="CT90" i="1"/>
  <c r="BF88" i="1"/>
  <c r="R86" i="1"/>
  <c r="CH83" i="1"/>
  <c r="AT81" i="1"/>
  <c r="F79" i="1"/>
  <c r="BV76" i="1"/>
  <c r="AH74" i="1"/>
  <c r="CX71" i="1"/>
  <c r="BJ69" i="1"/>
  <c r="V67" i="1"/>
  <c r="CL64" i="1"/>
  <c r="AX62" i="1"/>
  <c r="J60" i="1"/>
  <c r="BZ57" i="1"/>
  <c r="AL55" i="1"/>
  <c r="DB52" i="1"/>
  <c r="BN50" i="1"/>
  <c r="Z48" i="1"/>
  <c r="CP45" i="1"/>
  <c r="BB43" i="1"/>
  <c r="N41" i="1"/>
  <c r="CD38" i="1"/>
  <c r="AP36" i="1"/>
  <c r="DF33" i="1"/>
  <c r="BR31" i="1"/>
  <c r="AD29" i="1"/>
  <c r="CT26" i="1"/>
  <c r="BF24" i="1"/>
  <c r="R22" i="1"/>
  <c r="CH19" i="1"/>
  <c r="AT17" i="1"/>
  <c r="F15" i="1"/>
  <c r="BV12" i="1"/>
  <c r="AH10" i="1"/>
  <c r="CX7" i="1"/>
  <c r="BJ5" i="1"/>
  <c r="V3" i="1"/>
  <c r="CS141" i="1"/>
  <c r="BE139" i="1"/>
  <c r="Q137" i="1"/>
  <c r="CG134" i="1"/>
  <c r="AS132" i="1"/>
  <c r="DI129" i="1"/>
  <c r="BU127" i="1"/>
  <c r="AG125" i="1"/>
  <c r="CW122" i="1"/>
  <c r="BI120" i="1"/>
  <c r="U118" i="1"/>
  <c r="CK115" i="1"/>
  <c r="AW113" i="1"/>
  <c r="I111" i="1"/>
  <c r="BY108" i="1"/>
  <c r="AK106" i="1"/>
  <c r="DA103" i="1"/>
  <c r="R3" i="1"/>
  <c r="CO141" i="1"/>
  <c r="BA139" i="1"/>
  <c r="M137" i="1"/>
  <c r="CC134" i="1"/>
  <c r="AO132" i="1"/>
  <c r="DE129" i="1"/>
  <c r="BQ127" i="1"/>
  <c r="AC125" i="1"/>
  <c r="CS122" i="1"/>
  <c r="BE120" i="1"/>
  <c r="Q118" i="1"/>
  <c r="CG115" i="1"/>
  <c r="AS113" i="1"/>
  <c r="DI110" i="1"/>
  <c r="BU108" i="1"/>
  <c r="AG106" i="1"/>
  <c r="CW103" i="1"/>
  <c r="BI101" i="1"/>
  <c r="U99" i="1"/>
  <c r="CK96" i="1"/>
  <c r="AW94" i="1"/>
  <c r="I92" i="1"/>
  <c r="BY89" i="1"/>
  <c r="AK87" i="1"/>
  <c r="DA84" i="1"/>
  <c r="BM82" i="1"/>
  <c r="Y80" i="1"/>
  <c r="CO77" i="1"/>
  <c r="BA75" i="1"/>
  <c r="M73" i="1"/>
  <c r="CC70" i="1"/>
  <c r="AO68" i="1"/>
  <c r="DE65" i="1"/>
  <c r="BQ63" i="1"/>
  <c r="AC61" i="1"/>
  <c r="CS58" i="1"/>
  <c r="BE56" i="1"/>
  <c r="Q54" i="1"/>
  <c r="CG51" i="1"/>
  <c r="AS49" i="1"/>
  <c r="DI46" i="1"/>
  <c r="BU44" i="1"/>
  <c r="AG42" i="1"/>
  <c r="CW39" i="1"/>
  <c r="BI37" i="1"/>
  <c r="U35" i="1"/>
  <c r="CK32" i="1"/>
  <c r="AW30" i="1"/>
  <c r="I28" i="1"/>
  <c r="BY25" i="1"/>
  <c r="AK23" i="1"/>
  <c r="DA20" i="1"/>
  <c r="BM18" i="1"/>
  <c r="Y16" i="1"/>
  <c r="CO13" i="1"/>
  <c r="BA11" i="1"/>
  <c r="M9" i="1"/>
  <c r="CC6" i="1"/>
  <c r="AO4" i="1"/>
  <c r="DH142" i="1"/>
  <c r="BT140" i="1"/>
  <c r="AF138" i="1"/>
  <c r="CV135" i="1"/>
  <c r="BH133" i="1"/>
  <c r="T131" i="1"/>
  <c r="CJ128" i="1"/>
  <c r="AV126" i="1"/>
  <c r="H124" i="1"/>
  <c r="BX121" i="1"/>
  <c r="AJ119" i="1"/>
  <c r="CZ116" i="1"/>
  <c r="BL114" i="1"/>
  <c r="X112" i="1"/>
  <c r="CN109" i="1"/>
  <c r="AA211" i="1"/>
  <c r="CE201" i="1"/>
  <c r="AE192" i="1"/>
  <c r="CI182" i="1"/>
  <c r="AI173" i="1"/>
  <c r="CM163" i="1"/>
  <c r="AM154" i="1"/>
  <c r="CQ144" i="1"/>
  <c r="N211" i="1"/>
  <c r="BR201" i="1"/>
  <c r="R192" i="1"/>
  <c r="BV182" i="1"/>
  <c r="V173" i="1"/>
  <c r="BZ163" i="1"/>
  <c r="Z154" i="1"/>
  <c r="CD144" i="1"/>
  <c r="AI135" i="1"/>
  <c r="CM125" i="1"/>
  <c r="AM116" i="1"/>
  <c r="CQ106" i="1"/>
  <c r="AQ97" i="1"/>
  <c r="CU87" i="1"/>
  <c r="BS83" i="1"/>
  <c r="BC80" i="1"/>
  <c r="AM77" i="1"/>
  <c r="S74" i="1"/>
  <c r="DG70" i="1"/>
  <c r="CQ67" i="1"/>
  <c r="BW64" i="1"/>
  <c r="BG61" i="1"/>
  <c r="AQ58" i="1"/>
  <c r="AA55" i="1"/>
  <c r="CQ52" i="1"/>
  <c r="BC50" i="1"/>
  <c r="O48" i="1"/>
  <c r="CE45" i="1"/>
  <c r="AQ43" i="1"/>
  <c r="DG40" i="1"/>
  <c r="BS38" i="1"/>
  <c r="AE36" i="1"/>
  <c r="CU33" i="1"/>
  <c r="BG31" i="1"/>
  <c r="S29" i="1"/>
  <c r="CI26" i="1"/>
  <c r="AU24" i="1"/>
  <c r="G22" i="1"/>
  <c r="BW19" i="1"/>
  <c r="AI17" i="1"/>
  <c r="CY14" i="1"/>
  <c r="BK12" i="1"/>
  <c r="W10" i="1"/>
  <c r="CM7" i="1"/>
  <c r="AY5" i="1"/>
  <c r="DF143" i="1"/>
  <c r="BR141" i="1"/>
  <c r="AD139" i="1"/>
  <c r="CT136" i="1"/>
  <c r="BF134" i="1"/>
  <c r="R132" i="1"/>
  <c r="CH129" i="1"/>
  <c r="AT127" i="1"/>
  <c r="F125" i="1"/>
  <c r="BV122" i="1"/>
  <c r="AH120" i="1"/>
  <c r="CX117" i="1"/>
  <c r="BJ115" i="1"/>
  <c r="V113" i="1"/>
  <c r="CL110" i="1"/>
  <c r="AX108" i="1"/>
  <c r="J106" i="1"/>
  <c r="BZ103" i="1"/>
  <c r="AL101" i="1"/>
  <c r="DB98" i="1"/>
  <c r="BN96" i="1"/>
  <c r="Z94" i="1"/>
  <c r="CP91" i="1"/>
  <c r="BB89" i="1"/>
  <c r="N87" i="1"/>
  <c r="CD84" i="1"/>
  <c r="AP82" i="1"/>
  <c r="DF79" i="1"/>
  <c r="BR77" i="1"/>
  <c r="AD75" i="1"/>
  <c r="CT72" i="1"/>
  <c r="BF70" i="1"/>
  <c r="R68" i="1"/>
  <c r="CH65" i="1"/>
  <c r="AT63" i="1"/>
  <c r="F61" i="1"/>
  <c r="BV58" i="1"/>
  <c r="AH56" i="1"/>
  <c r="CX53" i="1"/>
  <c r="BJ51" i="1"/>
  <c r="V49" i="1"/>
  <c r="CL46" i="1"/>
  <c r="AX44" i="1"/>
  <c r="J42" i="1"/>
  <c r="BZ39" i="1"/>
  <c r="AL37" i="1"/>
  <c r="DB34" i="1"/>
  <c r="BN32" i="1"/>
  <c r="Z30" i="1"/>
  <c r="CP27" i="1"/>
  <c r="BB25" i="1"/>
  <c r="N23" i="1"/>
  <c r="CD20" i="1"/>
  <c r="AP18" i="1"/>
  <c r="DF15" i="1"/>
  <c r="BR13" i="1"/>
  <c r="AD11" i="1"/>
  <c r="CT8" i="1"/>
  <c r="BF6" i="1"/>
  <c r="R4" i="1"/>
  <c r="CO142" i="1"/>
  <c r="BA140" i="1"/>
  <c r="M138" i="1"/>
  <c r="CC135" i="1"/>
  <c r="AO133" i="1"/>
  <c r="DE130" i="1"/>
  <c r="BQ128" i="1"/>
  <c r="AC126" i="1"/>
  <c r="CS123" i="1"/>
  <c r="BE121" i="1"/>
  <c r="Q119" i="1"/>
  <c r="CG116" i="1"/>
  <c r="AS114" i="1"/>
  <c r="DI111" i="1"/>
  <c r="BU109" i="1"/>
  <c r="BC210" i="1"/>
  <c r="DG200" i="1"/>
  <c r="BG191" i="1"/>
  <c r="G182" i="1"/>
  <c r="BK172" i="1"/>
  <c r="K163" i="1"/>
  <c r="BO153" i="1"/>
  <c r="O144" i="1"/>
  <c r="AP210" i="1"/>
  <c r="CT200" i="1"/>
  <c r="AT191" i="1"/>
  <c r="CX181" i="1"/>
  <c r="AX172" i="1"/>
  <c r="DB162" i="1"/>
  <c r="BB153" i="1"/>
  <c r="K144" i="1"/>
  <c r="BK134" i="1"/>
  <c r="K125" i="1"/>
  <c r="BO115" i="1"/>
  <c r="O106" i="1"/>
  <c r="BS96" i="1"/>
  <c r="AY87" i="1"/>
  <c r="AU83" i="1"/>
  <c r="AA80" i="1"/>
  <c r="K77" i="1"/>
  <c r="CY73" i="1"/>
  <c r="CE70" i="1"/>
  <c r="BO67" i="1"/>
  <c r="AY64" i="1"/>
  <c r="AE61" i="1"/>
  <c r="O58" i="1"/>
  <c r="G55" i="1"/>
  <c r="BW52" i="1"/>
  <c r="AI50" i="1"/>
  <c r="CY47" i="1"/>
  <c r="BK45" i="1"/>
  <c r="W43" i="1"/>
  <c r="CM40" i="1"/>
  <c r="AY38" i="1"/>
  <c r="K36" i="1"/>
  <c r="CA33" i="1"/>
  <c r="AM31" i="1"/>
  <c r="DC28" i="1"/>
  <c r="BO26" i="1"/>
  <c r="AA24" i="1"/>
  <c r="CQ21" i="1"/>
  <c r="BC19" i="1"/>
  <c r="O17" i="1"/>
  <c r="CE14" i="1"/>
  <c r="AQ12" i="1"/>
  <c r="DG9" i="1"/>
  <c r="BS7" i="1"/>
  <c r="AE5" i="1"/>
  <c r="CL143" i="1"/>
  <c r="AX141" i="1"/>
  <c r="J139" i="1"/>
  <c r="BZ136" i="1"/>
  <c r="AL134" i="1"/>
  <c r="DB131" i="1"/>
  <c r="BN129" i="1"/>
  <c r="Z127" i="1"/>
  <c r="CP124" i="1"/>
  <c r="BB122" i="1"/>
  <c r="N120" i="1"/>
  <c r="CD117" i="1"/>
  <c r="AP115" i="1"/>
  <c r="DF112" i="1"/>
  <c r="BR110" i="1"/>
  <c r="AD108" i="1"/>
  <c r="CT105" i="1"/>
  <c r="BF103" i="1"/>
  <c r="R101" i="1"/>
  <c r="CH98" i="1"/>
  <c r="AT96" i="1"/>
  <c r="F94" i="1"/>
  <c r="BV91" i="1"/>
  <c r="AH89" i="1"/>
  <c r="CX86" i="1"/>
  <c r="BJ84" i="1"/>
  <c r="V82" i="1"/>
  <c r="CL79" i="1"/>
  <c r="AX77" i="1"/>
  <c r="J75" i="1"/>
  <c r="BZ72" i="1"/>
  <c r="AL70" i="1"/>
  <c r="DB67" i="1"/>
  <c r="BN65" i="1"/>
  <c r="Z63" i="1"/>
  <c r="CP60" i="1"/>
  <c r="BB58" i="1"/>
  <c r="N56" i="1"/>
  <c r="CD53" i="1"/>
  <c r="AP51" i="1"/>
  <c r="DF48" i="1"/>
  <c r="BR46" i="1"/>
  <c r="AD44" i="1"/>
  <c r="CT41" i="1"/>
  <c r="BF39" i="1"/>
  <c r="R37" i="1"/>
  <c r="CH34" i="1"/>
  <c r="AT32" i="1"/>
  <c r="F30" i="1"/>
  <c r="BV27" i="1"/>
  <c r="AH25" i="1"/>
  <c r="CX22" i="1"/>
  <c r="BJ20" i="1"/>
  <c r="V18" i="1"/>
  <c r="CL15" i="1"/>
  <c r="AX13" i="1"/>
  <c r="J11" i="1"/>
  <c r="BZ8" i="1"/>
  <c r="AL6" i="1"/>
  <c r="DB3" i="1"/>
  <c r="BU142" i="1"/>
  <c r="AG140" i="1"/>
  <c r="CW137" i="1"/>
  <c r="BI135" i="1"/>
  <c r="U133" i="1"/>
  <c r="CK130" i="1"/>
  <c r="AW128" i="1"/>
  <c r="I126" i="1"/>
  <c r="BY123" i="1"/>
  <c r="AK121" i="1"/>
  <c r="DA118" i="1"/>
  <c r="BM116" i="1"/>
  <c r="Y114" i="1"/>
  <c r="CO111" i="1"/>
  <c r="BA109" i="1"/>
  <c r="M107" i="1"/>
  <c r="CC104" i="1"/>
  <c r="AO102" i="1"/>
  <c r="DE99" i="1"/>
  <c r="BQ97" i="1"/>
  <c r="AC95" i="1"/>
  <c r="CS92" i="1"/>
  <c r="BE90" i="1"/>
  <c r="Q88" i="1"/>
  <c r="CG85" i="1"/>
  <c r="AS83" i="1"/>
  <c r="DI80" i="1"/>
  <c r="BU78" i="1"/>
  <c r="AG76" i="1"/>
  <c r="CW73" i="1"/>
  <c r="BI71" i="1"/>
  <c r="U69" i="1"/>
  <c r="CK66" i="1"/>
  <c r="AW64" i="1"/>
  <c r="I62" i="1"/>
  <c r="BY59" i="1"/>
  <c r="AK57" i="1"/>
  <c r="DA54" i="1"/>
  <c r="BM52" i="1"/>
  <c r="Y50" i="1"/>
  <c r="CO47" i="1"/>
  <c r="BA45" i="1"/>
  <c r="M43" i="1"/>
  <c r="CC40" i="1"/>
  <c r="AO38" i="1"/>
  <c r="DE35" i="1"/>
  <c r="BQ33" i="1"/>
  <c r="AC31" i="1"/>
  <c r="CS28" i="1"/>
  <c r="BE26" i="1"/>
  <c r="Q24" i="1"/>
  <c r="CG21" i="1"/>
  <c r="AS19" i="1"/>
  <c r="DI16" i="1"/>
  <c r="BU14" i="1"/>
  <c r="AG12" i="1"/>
  <c r="CW9" i="1"/>
  <c r="BI7" i="1"/>
  <c r="U5" i="1"/>
  <c r="CN143" i="1"/>
  <c r="AZ141" i="1"/>
  <c r="L139" i="1"/>
  <c r="CB136" i="1"/>
  <c r="AN134" i="1"/>
  <c r="DD131" i="1"/>
  <c r="BP129" i="1"/>
  <c r="AB127" i="1"/>
  <c r="CR124" i="1"/>
  <c r="BD122" i="1"/>
  <c r="P120" i="1"/>
  <c r="CF117" i="1"/>
  <c r="AR115" i="1"/>
  <c r="DH112" i="1"/>
  <c r="BT110" i="1"/>
  <c r="CU213" i="1"/>
  <c r="AU204" i="1"/>
  <c r="CY194" i="1"/>
  <c r="AY185" i="1"/>
  <c r="DC175" i="1"/>
  <c r="BC166" i="1"/>
  <c r="DG156" i="1"/>
  <c r="BG147" i="1"/>
  <c r="CH213" i="1"/>
  <c r="AH204" i="1"/>
  <c r="CL194" i="1"/>
  <c r="AL185" i="1"/>
  <c r="CP175" i="1"/>
  <c r="AP166" i="1"/>
  <c r="CT156" i="1"/>
  <c r="AT147" i="1"/>
  <c r="DC137" i="1"/>
  <c r="BC128" i="1"/>
  <c r="DG118" i="1"/>
  <c r="BG109" i="1"/>
  <c r="G100" i="1"/>
  <c r="BK90" i="1"/>
  <c r="BG84" i="1"/>
  <c r="AQ81" i="1"/>
  <c r="AA78" i="1"/>
  <c r="G75" i="1"/>
  <c r="CU71" i="1"/>
  <c r="CE68" i="1"/>
  <c r="BK65" i="1"/>
  <c r="AU62" i="1"/>
  <c r="AE59" i="1"/>
  <c r="K56" i="1"/>
  <c r="BG53" i="1"/>
  <c r="S51" i="1"/>
  <c r="CI48" i="1"/>
  <c r="AU46" i="1"/>
  <c r="G44" i="1"/>
  <c r="BW41" i="1"/>
  <c r="AI39" i="1"/>
  <c r="CY36" i="1"/>
  <c r="BK34" i="1"/>
  <c r="W32" i="1"/>
  <c r="CM29" i="1"/>
  <c r="AY27" i="1"/>
  <c r="K25" i="1"/>
  <c r="CA22" i="1"/>
  <c r="AM20" i="1"/>
  <c r="DC17" i="1"/>
  <c r="BO15" i="1"/>
  <c r="AA13" i="1"/>
  <c r="CQ10" i="1"/>
  <c r="BC8" i="1"/>
  <c r="O6" i="1"/>
  <c r="CE3" i="1"/>
  <c r="AH142" i="1"/>
  <c r="CX139" i="1"/>
  <c r="BJ137" i="1"/>
  <c r="V135" i="1"/>
  <c r="CL132" i="1"/>
  <c r="AX130" i="1"/>
  <c r="J128" i="1"/>
  <c r="BZ125" i="1"/>
  <c r="AL123" i="1"/>
  <c r="DB120" i="1"/>
  <c r="BN118" i="1"/>
  <c r="Z116" i="1"/>
  <c r="CP113" i="1"/>
  <c r="BB111" i="1"/>
  <c r="N109" i="1"/>
  <c r="CD106" i="1"/>
  <c r="AP104" i="1"/>
  <c r="DF101" i="1"/>
  <c r="BR99" i="1"/>
  <c r="AD97" i="1"/>
  <c r="CT94" i="1"/>
  <c r="BF92" i="1"/>
  <c r="R90" i="1"/>
  <c r="CH87" i="1"/>
  <c r="AT85" i="1"/>
  <c r="F83" i="1"/>
  <c r="BV80" i="1"/>
  <c r="AH78" i="1"/>
  <c r="CX75" i="1"/>
  <c r="BJ73" i="1"/>
  <c r="V71" i="1"/>
  <c r="CL68" i="1"/>
  <c r="AX66" i="1"/>
  <c r="J64" i="1"/>
  <c r="BZ61" i="1"/>
  <c r="AL59" i="1"/>
  <c r="DB56" i="1"/>
  <c r="BN54" i="1"/>
  <c r="Z52" i="1"/>
  <c r="CP49" i="1"/>
  <c r="BB47" i="1"/>
  <c r="N45" i="1"/>
  <c r="CD42" i="1"/>
  <c r="AP40" i="1"/>
  <c r="DF37" i="1"/>
  <c r="BR35" i="1"/>
  <c r="AD33" i="1"/>
  <c r="CT30" i="1"/>
  <c r="BF28" i="1"/>
  <c r="R26" i="1"/>
  <c r="CH23" i="1"/>
  <c r="AT21" i="1"/>
  <c r="F19" i="1"/>
  <c r="BV16" i="1"/>
  <c r="AH14" i="1"/>
  <c r="CX11" i="1"/>
  <c r="BJ9" i="1"/>
  <c r="V7" i="1"/>
  <c r="CL4" i="1"/>
  <c r="BE143" i="1"/>
  <c r="Q141" i="1"/>
  <c r="CG138" i="1"/>
  <c r="AS136" i="1"/>
  <c r="DI133" i="1"/>
  <c r="BU131" i="1"/>
  <c r="AG129" i="1"/>
  <c r="CS142" i="1"/>
  <c r="BE140" i="1"/>
  <c r="Q138" i="1"/>
  <c r="CG135" i="1"/>
  <c r="AS133" i="1"/>
  <c r="DI130" i="1"/>
  <c r="BU128" i="1"/>
  <c r="AG126" i="1"/>
  <c r="CW123" i="1"/>
  <c r="BI121" i="1"/>
  <c r="U119" i="1"/>
  <c r="CK116" i="1"/>
  <c r="AW114" i="1"/>
  <c r="I112" i="1"/>
  <c r="BY109" i="1"/>
  <c r="AK107" i="1"/>
  <c r="DA104" i="1"/>
  <c r="BM102" i="1"/>
  <c r="Y100" i="1"/>
  <c r="CO97" i="1"/>
  <c r="BA95" i="1"/>
  <c r="M93" i="1"/>
  <c r="CC90" i="1"/>
  <c r="AO88" i="1"/>
  <c r="DE85" i="1"/>
  <c r="BQ83" i="1"/>
  <c r="AC81" i="1"/>
  <c r="CS78" i="1"/>
  <c r="BE76" i="1"/>
  <c r="Q74" i="1"/>
  <c r="CG71" i="1"/>
  <c r="AS69" i="1"/>
  <c r="DI66" i="1"/>
  <c r="BU64" i="1"/>
  <c r="AG62" i="1"/>
  <c r="CW59" i="1"/>
  <c r="BI57" i="1"/>
  <c r="U55" i="1"/>
  <c r="CK52" i="1"/>
  <c r="AW50" i="1"/>
  <c r="I48" i="1"/>
  <c r="BY45" i="1"/>
  <c r="AK43" i="1"/>
  <c r="DA40" i="1"/>
  <c r="BM38" i="1"/>
  <c r="Y36" i="1"/>
  <c r="CO33" i="1"/>
  <c r="BA31" i="1"/>
  <c r="M29" i="1"/>
  <c r="CC26" i="1"/>
  <c r="AO24" i="1"/>
  <c r="DE21" i="1"/>
  <c r="BQ19" i="1"/>
  <c r="AC17" i="1"/>
  <c r="CS14" i="1"/>
  <c r="BE12" i="1"/>
  <c r="Q10" i="1"/>
  <c r="CG7" i="1"/>
  <c r="AS5" i="1"/>
  <c r="K3" i="1"/>
  <c r="BX141" i="1"/>
  <c r="AJ139" i="1"/>
  <c r="CZ136" i="1"/>
  <c r="BL134" i="1"/>
  <c r="X132" i="1"/>
  <c r="CN129" i="1"/>
  <c r="AZ127" i="1"/>
  <c r="L125" i="1"/>
  <c r="CB122" i="1"/>
  <c r="AN120" i="1"/>
  <c r="DD117" i="1"/>
  <c r="BP115" i="1"/>
  <c r="AB113" i="1"/>
  <c r="CR110" i="1"/>
  <c r="AQ215" i="1"/>
  <c r="CU205" i="1"/>
  <c r="AU196" i="1"/>
  <c r="CY186" i="1"/>
  <c r="AY177" i="1"/>
  <c r="DC167" i="1"/>
  <c r="BC158" i="1"/>
  <c r="DG148" i="1"/>
  <c r="AD215" i="1"/>
  <c r="CH205" i="1"/>
  <c r="AH196" i="1"/>
  <c r="CL186" i="1"/>
  <c r="AL177" i="1"/>
  <c r="CP167" i="1"/>
  <c r="AP158" i="1"/>
  <c r="CT148" i="1"/>
  <c r="AY139" i="1"/>
  <c r="DC129" i="1"/>
  <c r="BC120" i="1"/>
  <c r="DG110" i="1"/>
  <c r="BG101" i="1"/>
  <c r="G92" i="1"/>
  <c r="O85" i="1"/>
  <c r="CQ81" i="1"/>
  <c r="CA78" i="1"/>
  <c r="BK75" i="1"/>
  <c r="AQ72" i="1"/>
  <c r="AA69" i="1"/>
  <c r="K66" i="1"/>
  <c r="CU62" i="1"/>
  <c r="CE59" i="1"/>
  <c r="BO56" i="1"/>
  <c r="CU53" i="1"/>
  <c r="BG51" i="1"/>
  <c r="S49" i="1"/>
  <c r="CI46" i="1"/>
  <c r="AU44" i="1"/>
  <c r="G42" i="1"/>
  <c r="BW39" i="1"/>
  <c r="AI37" i="1"/>
  <c r="CY34" i="1"/>
  <c r="BK32" i="1"/>
  <c r="W30" i="1"/>
  <c r="CM27" i="1"/>
  <c r="AY25" i="1"/>
  <c r="K23" i="1"/>
  <c r="CA20" i="1"/>
  <c r="AM18" i="1"/>
  <c r="DC15" i="1"/>
  <c r="BO13" i="1"/>
  <c r="AA11" i="1"/>
  <c r="CQ8" i="1"/>
  <c r="BC6" i="1"/>
  <c r="O4" i="1"/>
  <c r="BV142" i="1"/>
  <c r="AH140" i="1"/>
  <c r="CX137" i="1"/>
  <c r="BJ135" i="1"/>
  <c r="V133" i="1"/>
  <c r="CL130" i="1"/>
  <c r="AX128" i="1"/>
  <c r="J126" i="1"/>
  <c r="BZ123" i="1"/>
  <c r="AL121" i="1"/>
  <c r="DB118" i="1"/>
  <c r="BN116" i="1"/>
  <c r="Z114" i="1"/>
  <c r="CP111" i="1"/>
  <c r="BB109" i="1"/>
  <c r="N107" i="1"/>
  <c r="CD104" i="1"/>
  <c r="AP102" i="1"/>
  <c r="DF99" i="1"/>
  <c r="BR97" i="1"/>
  <c r="AD95" i="1"/>
  <c r="CT92" i="1"/>
  <c r="BF90" i="1"/>
  <c r="R88" i="1"/>
  <c r="CH85" i="1"/>
  <c r="AT83" i="1"/>
  <c r="F81" i="1"/>
  <c r="BV78" i="1"/>
  <c r="AH76" i="1"/>
  <c r="CX73" i="1"/>
  <c r="BJ71" i="1"/>
  <c r="V69" i="1"/>
  <c r="CL66" i="1"/>
  <c r="AX64" i="1"/>
  <c r="J62" i="1"/>
  <c r="BZ59" i="1"/>
  <c r="AL57" i="1"/>
  <c r="DB54" i="1"/>
  <c r="BN52" i="1"/>
  <c r="Z50" i="1"/>
  <c r="CP47" i="1"/>
  <c r="BB45" i="1"/>
  <c r="N43" i="1"/>
  <c r="CD40" i="1"/>
  <c r="AP38" i="1"/>
  <c r="DF35" i="1"/>
  <c r="BR33" i="1"/>
  <c r="AD31" i="1"/>
  <c r="CT28" i="1"/>
  <c r="BF26" i="1"/>
  <c r="R24" i="1"/>
  <c r="CH21" i="1"/>
  <c r="AT19" i="1"/>
  <c r="F17" i="1"/>
  <c r="BV14" i="1"/>
  <c r="AH12" i="1"/>
  <c r="CX9" i="1"/>
  <c r="BJ7" i="1"/>
  <c r="V5" i="1"/>
  <c r="CS143" i="1"/>
  <c r="BE141" i="1"/>
  <c r="Q139" i="1"/>
  <c r="CG136" i="1"/>
  <c r="AS134" i="1"/>
  <c r="DI131" i="1"/>
  <c r="BU129" i="1"/>
  <c r="AG127" i="1"/>
  <c r="CW124" i="1"/>
  <c r="BI122" i="1"/>
  <c r="U120" i="1"/>
  <c r="CK117" i="1"/>
  <c r="AW115" i="1"/>
  <c r="I113" i="1"/>
  <c r="BY110" i="1"/>
  <c r="BS214" i="1"/>
  <c r="S205" i="1"/>
  <c r="BW195" i="1"/>
  <c r="W186" i="1"/>
  <c r="CA176" i="1"/>
  <c r="AA167" i="1"/>
  <c r="CE157" i="1"/>
  <c r="AE148" i="1"/>
  <c r="BF214" i="1"/>
  <c r="F205" i="1"/>
  <c r="BJ195" i="1"/>
  <c r="J186" i="1"/>
  <c r="BN176" i="1"/>
  <c r="N167" i="1"/>
  <c r="BR157" i="1"/>
  <c r="R148" i="1"/>
  <c r="CA138" i="1"/>
  <c r="AA129" i="1"/>
  <c r="CE119" i="1"/>
  <c r="AE110" i="1"/>
  <c r="CI100" i="1"/>
  <c r="AI91" i="1"/>
  <c r="CI84" i="1"/>
  <c r="BS81" i="1"/>
  <c r="AY78" i="1"/>
  <c r="AI75" i="1"/>
  <c r="S72" i="1"/>
  <c r="DC68" i="1"/>
  <c r="CM65" i="1"/>
  <c r="BW62" i="1"/>
  <c r="BC59" i="1"/>
  <c r="AM56" i="1"/>
  <c r="CA53" i="1"/>
  <c r="AM51" i="1"/>
  <c r="DC48" i="1"/>
  <c r="BO46" i="1"/>
  <c r="AA44" i="1"/>
  <c r="CQ41" i="1"/>
  <c r="BC39" i="1"/>
  <c r="O37" i="1"/>
  <c r="CE34" i="1"/>
  <c r="AQ32" i="1"/>
  <c r="DG29" i="1"/>
  <c r="BS27" i="1"/>
  <c r="AE25" i="1"/>
  <c r="CU22" i="1"/>
  <c r="BG20" i="1"/>
  <c r="S18" i="1"/>
  <c r="CI15" i="1"/>
  <c r="AU13" i="1"/>
  <c r="G11" i="1"/>
  <c r="BW8" i="1"/>
  <c r="AI6" i="1"/>
  <c r="CY3" i="1"/>
  <c r="BB142" i="1"/>
  <c r="N140" i="1"/>
  <c r="CD137" i="1"/>
  <c r="AP135" i="1"/>
  <c r="DF132" i="1"/>
  <c r="BR130" i="1"/>
  <c r="AD128" i="1"/>
  <c r="CT125" i="1"/>
  <c r="BF123" i="1"/>
  <c r="R121" i="1"/>
  <c r="CH118" i="1"/>
  <c r="AT116" i="1"/>
  <c r="F114" i="1"/>
  <c r="BV111" i="1"/>
  <c r="AH109" i="1"/>
  <c r="CX106" i="1"/>
  <c r="BJ104" i="1"/>
  <c r="V102" i="1"/>
  <c r="CL99" i="1"/>
  <c r="AX97" i="1"/>
  <c r="J95" i="1"/>
  <c r="BZ92" i="1"/>
  <c r="AL90" i="1"/>
  <c r="DB87" i="1"/>
  <c r="BN85" i="1"/>
  <c r="Z83" i="1"/>
  <c r="CP80" i="1"/>
  <c r="BB78" i="1"/>
  <c r="N76" i="1"/>
  <c r="CD73" i="1"/>
  <c r="AP71" i="1"/>
  <c r="DF68" i="1"/>
  <c r="BR66" i="1"/>
  <c r="AD64" i="1"/>
  <c r="CT61" i="1"/>
  <c r="BF59" i="1"/>
  <c r="R57" i="1"/>
  <c r="CH54" i="1"/>
  <c r="AT52" i="1"/>
  <c r="F50" i="1"/>
  <c r="BV47" i="1"/>
  <c r="AH45" i="1"/>
  <c r="CX42" i="1"/>
  <c r="BJ40" i="1"/>
  <c r="V38" i="1"/>
  <c r="CL35" i="1"/>
  <c r="AX33" i="1"/>
  <c r="J31" i="1"/>
  <c r="BZ28" i="1"/>
  <c r="AL26" i="1"/>
  <c r="DB23" i="1"/>
  <c r="BN21" i="1"/>
  <c r="Z19" i="1"/>
  <c r="CP16" i="1"/>
  <c r="BB14" i="1"/>
  <c r="N12" i="1"/>
  <c r="CD9" i="1"/>
  <c r="AP7" i="1"/>
  <c r="DF4" i="1"/>
  <c r="BY143" i="1"/>
  <c r="AK141" i="1"/>
  <c r="DA138" i="1"/>
  <c r="BM136" i="1"/>
  <c r="Y134" i="1"/>
  <c r="CO131" i="1"/>
  <c r="BA129" i="1"/>
  <c r="M127" i="1"/>
  <c r="CC124" i="1"/>
  <c r="AO122" i="1"/>
  <c r="DE119" i="1"/>
  <c r="BQ117" i="1"/>
  <c r="AC115" i="1"/>
  <c r="CS112" i="1"/>
  <c r="BE110" i="1"/>
  <c r="Q108" i="1"/>
  <c r="CG105" i="1"/>
  <c r="AS103" i="1"/>
  <c r="DI100" i="1"/>
  <c r="BU98" i="1"/>
  <c r="AG96" i="1"/>
  <c r="CW93" i="1"/>
  <c r="BI91" i="1"/>
  <c r="U89" i="1"/>
  <c r="CK86" i="1"/>
  <c r="AW84" i="1"/>
  <c r="I82" i="1"/>
  <c r="BY79" i="1"/>
  <c r="AK77" i="1"/>
  <c r="DA74" i="1"/>
  <c r="BM72" i="1"/>
  <c r="Y70" i="1"/>
  <c r="CO67" i="1"/>
  <c r="BA65" i="1"/>
  <c r="M63" i="1"/>
  <c r="CC60" i="1"/>
  <c r="AO58" i="1"/>
  <c r="DE55" i="1"/>
  <c r="BQ53" i="1"/>
  <c r="AC51" i="1"/>
  <c r="CS48" i="1"/>
  <c r="BE46" i="1"/>
  <c r="Q44" i="1"/>
  <c r="CG41" i="1"/>
  <c r="AS39" i="1"/>
  <c r="DI36" i="1"/>
  <c r="BU34" i="1"/>
  <c r="AG32" i="1"/>
  <c r="CW29" i="1"/>
  <c r="BI27" i="1"/>
  <c r="U25" i="1"/>
  <c r="CK22" i="1"/>
  <c r="AW20" i="1"/>
  <c r="I18" i="1"/>
  <c r="BY15" i="1"/>
  <c r="AK13" i="1"/>
  <c r="DA10" i="1"/>
  <c r="BM8" i="1"/>
  <c r="Y6" i="1"/>
  <c r="CO3" i="1"/>
  <c r="BD142" i="1"/>
  <c r="P140" i="1"/>
  <c r="CF137" i="1"/>
  <c r="AR135" i="1"/>
  <c r="DH132" i="1"/>
  <c r="BT130" i="1"/>
  <c r="AF128" i="1"/>
  <c r="CV125" i="1"/>
  <c r="BH123" i="1"/>
  <c r="T121" i="1"/>
  <c r="CJ118" i="1"/>
  <c r="AV116" i="1"/>
  <c r="H114" i="1"/>
  <c r="BX111" i="1"/>
  <c r="AJ109" i="1"/>
  <c r="BK208" i="1"/>
  <c r="K199" i="1"/>
  <c r="BO189" i="1"/>
  <c r="O180" i="1"/>
  <c r="BS170" i="1"/>
  <c r="S161" i="1"/>
  <c r="BW151" i="1"/>
  <c r="CX217" i="1"/>
  <c r="AX208" i="1"/>
  <c r="DB198" i="1"/>
  <c r="BB189" i="1"/>
  <c r="DF179" i="1"/>
  <c r="BF170" i="1"/>
  <c r="F161" i="1"/>
  <c r="BJ151" i="1"/>
  <c r="O142" i="1"/>
  <c r="BS132" i="1"/>
  <c r="S123" i="1"/>
  <c r="BW113" i="1"/>
  <c r="W104" i="1"/>
  <c r="CA94" i="1"/>
  <c r="AY86" i="1"/>
  <c r="CE82" i="1"/>
  <c r="BO79" i="1"/>
  <c r="AY76" i="1"/>
  <c r="AE73" i="1"/>
  <c r="O70" i="1"/>
  <c r="DC66" i="1"/>
  <c r="CI63" i="1"/>
  <c r="BS60" i="1"/>
  <c r="BC57" i="1"/>
  <c r="BK54" i="1"/>
  <c r="W52" i="1"/>
  <c r="CM49" i="1"/>
  <c r="AY47" i="1"/>
  <c r="K45" i="1"/>
  <c r="CA42" i="1"/>
  <c r="AM40" i="1"/>
  <c r="DC37" i="1"/>
  <c r="BO35" i="1"/>
  <c r="AA33" i="1"/>
  <c r="CQ30" i="1"/>
  <c r="BC28" i="1"/>
  <c r="O26" i="1"/>
  <c r="CE23" i="1"/>
  <c r="AQ21" i="1"/>
  <c r="DG18" i="1"/>
  <c r="BS16" i="1"/>
  <c r="AE14" i="1"/>
  <c r="CU11" i="1"/>
  <c r="BG9" i="1"/>
  <c r="S7" i="1"/>
  <c r="CI4" i="1"/>
  <c r="AL143" i="1"/>
  <c r="DB140" i="1"/>
  <c r="BN138" i="1"/>
  <c r="Z136" i="1"/>
  <c r="CP133" i="1"/>
  <c r="BB131" i="1"/>
  <c r="N129" i="1"/>
  <c r="CD126" i="1"/>
  <c r="AP124" i="1"/>
  <c r="DF121" i="1"/>
  <c r="BR119" i="1"/>
  <c r="AD117" i="1"/>
  <c r="CT114" i="1"/>
  <c r="BF112" i="1"/>
  <c r="R110" i="1"/>
  <c r="CH107" i="1"/>
  <c r="AT105" i="1"/>
  <c r="F103" i="1"/>
  <c r="BV100" i="1"/>
  <c r="AH98" i="1"/>
  <c r="CX95" i="1"/>
  <c r="BJ93" i="1"/>
  <c r="V91" i="1"/>
  <c r="CL88" i="1"/>
  <c r="AX86" i="1"/>
  <c r="J84" i="1"/>
  <c r="BZ81" i="1"/>
  <c r="AL79" i="1"/>
  <c r="DB76" i="1"/>
  <c r="BN74" i="1"/>
  <c r="Z72" i="1"/>
  <c r="CP69" i="1"/>
  <c r="BB67" i="1"/>
  <c r="N65" i="1"/>
  <c r="CD62" i="1"/>
  <c r="AP60" i="1"/>
  <c r="DF57" i="1"/>
  <c r="BR55" i="1"/>
  <c r="AD53" i="1"/>
  <c r="CT50" i="1"/>
  <c r="BF48" i="1"/>
  <c r="R46" i="1"/>
  <c r="CH43" i="1"/>
  <c r="AT41" i="1"/>
  <c r="F39" i="1"/>
  <c r="BV36" i="1"/>
  <c r="AH34" i="1"/>
  <c r="CX31" i="1"/>
  <c r="BJ29" i="1"/>
  <c r="V27" i="1"/>
  <c r="CL24" i="1"/>
  <c r="AX22" i="1"/>
  <c r="J20" i="1"/>
  <c r="BZ17" i="1"/>
  <c r="AL15" i="1"/>
  <c r="DB12" i="1"/>
  <c r="BN10" i="1"/>
  <c r="Z8" i="1"/>
  <c r="CP5" i="1"/>
  <c r="BB3" i="1"/>
  <c r="U142" i="1"/>
  <c r="CK139" i="1"/>
  <c r="AW137" i="1"/>
  <c r="I135" i="1"/>
  <c r="BY132" i="1"/>
  <c r="AK130" i="1"/>
  <c r="DA127" i="1"/>
  <c r="BM125" i="1"/>
  <c r="Y123" i="1"/>
  <c r="CO120" i="1"/>
  <c r="BA118" i="1"/>
  <c r="M116" i="1"/>
  <c r="CC113" i="1"/>
  <c r="AO111" i="1"/>
  <c r="DE108" i="1"/>
  <c r="BQ106" i="1"/>
  <c r="AC104" i="1"/>
  <c r="CS101" i="1"/>
  <c r="BE99" i="1"/>
  <c r="Q97" i="1"/>
  <c r="CG94" i="1"/>
  <c r="AS92" i="1"/>
  <c r="DI89" i="1"/>
  <c r="BU87" i="1"/>
  <c r="M128" i="1"/>
  <c r="DE120" i="1"/>
  <c r="AC116" i="1"/>
  <c r="BE111" i="1"/>
  <c r="CG106" i="1"/>
  <c r="DI101" i="1"/>
  <c r="CG98" i="1"/>
  <c r="BU95" i="1"/>
  <c r="BI92" i="1"/>
  <c r="AG89" i="1"/>
  <c r="U86" i="1"/>
  <c r="BU83" i="1"/>
  <c r="AG81" i="1"/>
  <c r="CW78" i="1"/>
  <c r="BI76" i="1"/>
  <c r="U74" i="1"/>
  <c r="CK71" i="1"/>
  <c r="AW69" i="1"/>
  <c r="I67" i="1"/>
  <c r="AG103" i="1"/>
  <c r="CK93" i="1"/>
  <c r="AK84" i="1"/>
  <c r="CO74" i="1"/>
  <c r="CC65" i="1"/>
  <c r="DE60" i="1"/>
  <c r="AC56" i="1"/>
  <c r="BE51" i="1"/>
  <c r="CG46" i="1"/>
  <c r="DI41" i="1"/>
  <c r="AG37" i="1"/>
  <c r="BI32" i="1"/>
  <c r="CK27" i="1"/>
  <c r="I23" i="1"/>
  <c r="AK18" i="1"/>
  <c r="BM13" i="1"/>
  <c r="CO8" i="1"/>
  <c r="M4" i="1"/>
  <c r="AR140" i="1"/>
  <c r="BT135" i="1"/>
  <c r="CV130" i="1"/>
  <c r="T126" i="1"/>
  <c r="AV121" i="1"/>
  <c r="BX116" i="1"/>
  <c r="CZ111" i="1"/>
  <c r="DD107" i="1"/>
  <c r="BP105" i="1"/>
  <c r="AB103" i="1"/>
  <c r="CR100" i="1"/>
  <c r="BD98" i="1"/>
  <c r="P96" i="1"/>
  <c r="CF93" i="1"/>
  <c r="AR91" i="1"/>
  <c r="DH88" i="1"/>
  <c r="BT86" i="1"/>
  <c r="AF84" i="1"/>
  <c r="CV81" i="1"/>
  <c r="BH79" i="1"/>
  <c r="T77" i="1"/>
  <c r="CJ74" i="1"/>
  <c r="AV72" i="1"/>
  <c r="H70" i="1"/>
  <c r="BX67" i="1"/>
  <c r="AJ65" i="1"/>
  <c r="CZ62" i="1"/>
  <c r="BL60" i="1"/>
  <c r="X58" i="1"/>
  <c r="CN55" i="1"/>
  <c r="AZ53" i="1"/>
  <c r="L51" i="1"/>
  <c r="CB48" i="1"/>
  <c r="AN46" i="1"/>
  <c r="DD43" i="1"/>
  <c r="BP41" i="1"/>
  <c r="AB39" i="1"/>
  <c r="CR36" i="1"/>
  <c r="BD34" i="1"/>
  <c r="P32" i="1"/>
  <c r="CF29" i="1"/>
  <c r="AR27" i="1"/>
  <c r="DH24" i="1"/>
  <c r="BT22" i="1"/>
  <c r="AF20" i="1"/>
  <c r="CV17" i="1"/>
  <c r="BH15" i="1"/>
  <c r="T13" i="1"/>
  <c r="CJ10" i="1"/>
  <c r="AV8" i="1"/>
  <c r="H6" i="1"/>
  <c r="BX3" i="1"/>
  <c r="AK64" i="1"/>
  <c r="M50" i="1"/>
  <c r="BA36" i="1"/>
  <c r="AO21" i="1"/>
  <c r="AW7" i="1"/>
  <c r="AN133" i="1"/>
  <c r="P119" i="1"/>
  <c r="BH106" i="1"/>
  <c r="DD98" i="1"/>
  <c r="AF91" i="1"/>
  <c r="DH83" i="1"/>
  <c r="BP76" i="1"/>
  <c r="AN69" i="1"/>
  <c r="CZ61" i="1"/>
  <c r="BX54" i="1"/>
  <c r="AV47" i="1"/>
  <c r="CB39" i="1"/>
  <c r="DH31" i="1"/>
  <c r="CF24" i="1"/>
  <c r="CV16" i="1"/>
  <c r="H9" i="1"/>
  <c r="BY106" i="1"/>
  <c r="Y97" i="1"/>
  <c r="CC87" i="1"/>
  <c r="AC78" i="1"/>
  <c r="CG68" i="1"/>
  <c r="BY62" i="1"/>
  <c r="DA57" i="1"/>
  <c r="Y53" i="1"/>
  <c r="BA48" i="1"/>
  <c r="CC43" i="1"/>
  <c r="DE38" i="1"/>
  <c r="AC34" i="1"/>
  <c r="BE29" i="1"/>
  <c r="CG24" i="1"/>
  <c r="DI19" i="1"/>
  <c r="AG15" i="1"/>
  <c r="BI10" i="1"/>
  <c r="CK5" i="1"/>
  <c r="L142" i="1"/>
  <c r="AN137" i="1"/>
  <c r="BP132" i="1"/>
  <c r="CR127" i="1"/>
  <c r="P123" i="1"/>
  <c r="AR118" i="1"/>
  <c r="BT113" i="1"/>
  <c r="CV108" i="1"/>
  <c r="AZ106" i="1"/>
  <c r="L104" i="1"/>
  <c r="CB101" i="1"/>
  <c r="AN99" i="1"/>
  <c r="DD96" i="1"/>
  <c r="BP94" i="1"/>
  <c r="AB92" i="1"/>
  <c r="CR89" i="1"/>
  <c r="BD87" i="1"/>
  <c r="P85" i="1"/>
  <c r="CF82" i="1"/>
  <c r="AR80" i="1"/>
  <c r="DH77" i="1"/>
  <c r="BT75" i="1"/>
  <c r="AF73" i="1"/>
  <c r="CV70" i="1"/>
  <c r="BH68" i="1"/>
  <c r="T66" i="1"/>
  <c r="CJ63" i="1"/>
  <c r="AV61" i="1"/>
  <c r="H59" i="1"/>
  <c r="BX56" i="1"/>
  <c r="AJ54" i="1"/>
  <c r="CZ51" i="1"/>
  <c r="BL49" i="1"/>
  <c r="X47" i="1"/>
  <c r="CN44" i="1"/>
  <c r="AZ42" i="1"/>
  <c r="L40" i="1"/>
  <c r="CB37" i="1"/>
  <c r="AN35" i="1"/>
  <c r="DD32" i="1"/>
  <c r="BP30" i="1"/>
  <c r="AB28" i="1"/>
  <c r="CR25" i="1"/>
  <c r="BD23" i="1"/>
  <c r="P21" i="1"/>
  <c r="CF18" i="1"/>
  <c r="AR16" i="1"/>
  <c r="DH13" i="1"/>
  <c r="BT11" i="1"/>
  <c r="AF9" i="1"/>
  <c r="CV6" i="1"/>
  <c r="BH4" i="1"/>
  <c r="CK73" i="1"/>
  <c r="AK56" i="1"/>
  <c r="BY42" i="1"/>
  <c r="BA28" i="1"/>
  <c r="BI14" i="1"/>
  <c r="BT141" i="1"/>
  <c r="AV127" i="1"/>
  <c r="CV112" i="1"/>
  <c r="DH103" i="1"/>
  <c r="CV96" i="1"/>
  <c r="L90" i="1"/>
  <c r="AR82" i="1"/>
  <c r="CR75" i="1"/>
  <c r="X69" i="1"/>
  <c r="BH62" i="1"/>
  <c r="BL55" i="1"/>
  <c r="BP48" i="1"/>
  <c r="CZ41" i="1"/>
  <c r="AV35" i="1"/>
  <c r="AZ28" i="1"/>
  <c r="H21" i="1"/>
  <c r="CZ13" i="1"/>
  <c r="BL7" i="1"/>
  <c r="CG104" i="1"/>
  <c r="AG95" i="1"/>
  <c r="CK85" i="1"/>
  <c r="AK76" i="1"/>
  <c r="CO66" i="1"/>
  <c r="CC61" i="1"/>
  <c r="DE56" i="1"/>
  <c r="AC52" i="1"/>
  <c r="BE47" i="1"/>
  <c r="CG42" i="1"/>
  <c r="DI37" i="1"/>
  <c r="AG33" i="1"/>
  <c r="BI28" i="1"/>
  <c r="CK23" i="1"/>
  <c r="I19" i="1"/>
  <c r="AK14" i="1"/>
  <c r="BM9" i="1"/>
  <c r="CO4" i="1"/>
  <c r="P141" i="1"/>
  <c r="AR136" i="1"/>
  <c r="BT131" i="1"/>
  <c r="CV126" i="1"/>
  <c r="T122" i="1"/>
  <c r="AV117" i="1"/>
  <c r="BX112" i="1"/>
  <c r="AN108" i="1"/>
  <c r="DD105" i="1"/>
  <c r="BP103" i="1"/>
  <c r="AB101" i="1"/>
  <c r="CR98" i="1"/>
  <c r="BD96" i="1"/>
  <c r="P94" i="1"/>
  <c r="CF91" i="1"/>
  <c r="AR89" i="1"/>
  <c r="DH86" i="1"/>
  <c r="BT84" i="1"/>
  <c r="AF82" i="1"/>
  <c r="CV79" i="1"/>
  <c r="BH77" i="1"/>
  <c r="T75" i="1"/>
  <c r="CJ72" i="1"/>
  <c r="AV70" i="1"/>
  <c r="H68" i="1"/>
  <c r="BX65" i="1"/>
  <c r="AJ63" i="1"/>
  <c r="CZ60" i="1"/>
  <c r="BL58" i="1"/>
  <c r="X56" i="1"/>
  <c r="CN53" i="1"/>
  <c r="AZ51" i="1"/>
  <c r="L49" i="1"/>
  <c r="CB46" i="1"/>
  <c r="AN44" i="1"/>
  <c r="DD41" i="1"/>
  <c r="BP39" i="1"/>
  <c r="AB37" i="1"/>
  <c r="CR34" i="1"/>
  <c r="BD32" i="1"/>
  <c r="P30" i="1"/>
  <c r="CF27" i="1"/>
  <c r="AR25" i="1"/>
  <c r="DH22" i="1"/>
  <c r="BT20" i="1"/>
  <c r="AF18" i="1"/>
  <c r="CV15" i="1"/>
  <c r="BH13" i="1"/>
  <c r="T11" i="1"/>
  <c r="CJ8" i="1"/>
  <c r="AV6" i="1"/>
  <c r="H4" i="1"/>
  <c r="AC102" i="1"/>
  <c r="AS90" i="1"/>
  <c r="BQ72" i="1"/>
  <c r="CC39" i="1"/>
  <c r="Q7" i="1"/>
  <c r="BT117" i="1"/>
  <c r="H101" i="1"/>
  <c r="BT85" i="1"/>
  <c r="BD69" i="1"/>
  <c r="DD54" i="1"/>
  <c r="P39" i="1"/>
  <c r="BL23" i="1"/>
  <c r="BP8" i="1"/>
  <c r="CZ29" i="1"/>
  <c r="T8" i="1"/>
  <c r="AJ16" i="1"/>
  <c r="Q125" i="1"/>
  <c r="BE119" i="1"/>
  <c r="CG114" i="1"/>
  <c r="DI109" i="1"/>
  <c r="AG105" i="1"/>
  <c r="DE100" i="1"/>
  <c r="CS97" i="1"/>
  <c r="BQ94" i="1"/>
  <c r="BE91" i="1"/>
  <c r="AS88" i="1"/>
  <c r="AG85" i="1"/>
  <c r="CW82" i="1"/>
  <c r="BI80" i="1"/>
  <c r="U78" i="1"/>
  <c r="CK75" i="1"/>
  <c r="AW73" i="1"/>
  <c r="I71" i="1"/>
  <c r="BY68" i="1"/>
  <c r="AK66" i="1"/>
  <c r="AK100" i="1"/>
  <c r="CO90" i="1"/>
  <c r="AO81" i="1"/>
  <c r="CS71" i="1"/>
  <c r="AC64" i="1"/>
  <c r="BE59" i="1"/>
  <c r="CG54" i="1"/>
  <c r="DI49" i="1"/>
  <c r="AG45" i="1"/>
  <c r="BI40" i="1"/>
  <c r="CK35" i="1"/>
  <c r="I31" i="1"/>
  <c r="AK26" i="1"/>
  <c r="BM21" i="1"/>
  <c r="CO16" i="1"/>
  <c r="M12" i="1"/>
  <c r="AO7" i="1"/>
  <c r="BT143" i="1"/>
  <c r="CV138" i="1"/>
  <c r="T134" i="1"/>
  <c r="AV129" i="1"/>
  <c r="BX124" i="1"/>
  <c r="CZ119" i="1"/>
  <c r="X115" i="1"/>
  <c r="AZ110" i="1"/>
  <c r="AB107" i="1"/>
  <c r="CR104" i="1"/>
  <c r="BD102" i="1"/>
  <c r="P100" i="1"/>
  <c r="CF97" i="1"/>
  <c r="AR95" i="1"/>
  <c r="DH92" i="1"/>
  <c r="BT90" i="1"/>
  <c r="AF88" i="1"/>
  <c r="CV85" i="1"/>
  <c r="BH83" i="1"/>
  <c r="T81" i="1"/>
  <c r="CJ78" i="1"/>
  <c r="AV76" i="1"/>
  <c r="H74" i="1"/>
  <c r="BX71" i="1"/>
  <c r="AJ69" i="1"/>
  <c r="CZ66" i="1"/>
  <c r="BL64" i="1"/>
  <c r="X62" i="1"/>
  <c r="CN59" i="1"/>
  <c r="AZ57" i="1"/>
  <c r="L55" i="1"/>
  <c r="CB52" i="1"/>
  <c r="AN50" i="1"/>
  <c r="DD47" i="1"/>
  <c r="BP45" i="1"/>
  <c r="AB43" i="1"/>
  <c r="CR40" i="1"/>
  <c r="BD38" i="1"/>
  <c r="P36" i="1"/>
  <c r="CF33" i="1"/>
  <c r="AR31" i="1"/>
  <c r="DH28" i="1"/>
  <c r="BT26" i="1"/>
  <c r="AF24" i="1"/>
  <c r="CV21" i="1"/>
  <c r="BH19" i="1"/>
  <c r="T17" i="1"/>
  <c r="CJ14" i="1"/>
  <c r="AV12" i="1"/>
  <c r="H10" i="1"/>
  <c r="BX7" i="1"/>
  <c r="AJ5" i="1"/>
  <c r="DE106" i="1"/>
  <c r="BA60" i="1"/>
  <c r="DA45" i="1"/>
  <c r="DI31" i="1"/>
  <c r="Y17" i="1"/>
  <c r="CB143" i="1"/>
  <c r="X129" i="1"/>
  <c r="BX114" i="1"/>
  <c r="T104" i="1"/>
  <c r="BP96" i="1"/>
  <c r="H89" i="1"/>
  <c r="CZ81" i="1"/>
  <c r="BX74" i="1"/>
  <c r="AF67" i="1"/>
  <c r="DH59" i="1"/>
  <c r="AZ52" i="1"/>
  <c r="CV44" i="1"/>
  <c r="X37" i="1"/>
  <c r="BT29" i="1"/>
  <c r="BH22" i="1"/>
  <c r="BH14" i="1"/>
  <c r="BH6" i="1"/>
  <c r="CC103" i="1"/>
  <c r="AC94" i="1"/>
  <c r="CG84" i="1"/>
  <c r="AG75" i="1"/>
  <c r="DA65" i="1"/>
  <c r="Y61" i="1"/>
  <c r="BA56" i="1"/>
  <c r="CC51" i="1"/>
  <c r="DE46" i="1"/>
  <c r="AC42" i="1"/>
  <c r="BE37" i="1"/>
  <c r="CG32" i="1"/>
  <c r="DI27" i="1"/>
  <c r="AG23" i="1"/>
  <c r="BI18" i="1"/>
  <c r="CK13" i="1"/>
  <c r="I9" i="1"/>
  <c r="AK4" i="1"/>
  <c r="BP140" i="1"/>
  <c r="CR135" i="1"/>
  <c r="P131" i="1"/>
  <c r="AR126" i="1"/>
  <c r="BT121" i="1"/>
  <c r="CV116" i="1"/>
  <c r="T112" i="1"/>
  <c r="L108" i="1"/>
  <c r="CB105" i="1"/>
  <c r="AN103" i="1"/>
  <c r="DD100" i="1"/>
  <c r="BP98" i="1"/>
  <c r="AB96" i="1"/>
  <c r="CR93" i="1"/>
  <c r="BD91" i="1"/>
  <c r="P89" i="1"/>
  <c r="CF86" i="1"/>
  <c r="AR84" i="1"/>
  <c r="DH81" i="1"/>
  <c r="BT79" i="1"/>
  <c r="AF77" i="1"/>
  <c r="CV74" i="1"/>
  <c r="BH72" i="1"/>
  <c r="T70" i="1"/>
  <c r="CJ67" i="1"/>
  <c r="AV65" i="1"/>
  <c r="H63" i="1"/>
  <c r="BX60" i="1"/>
  <c r="AJ58" i="1"/>
  <c r="CZ55" i="1"/>
  <c r="BL53" i="1"/>
  <c r="X51" i="1"/>
  <c r="CN48" i="1"/>
  <c r="AZ46" i="1"/>
  <c r="L44" i="1"/>
  <c r="CB41" i="1"/>
  <c r="AN39" i="1"/>
  <c r="DD36" i="1"/>
  <c r="BP34" i="1"/>
  <c r="AB32" i="1"/>
  <c r="CR29" i="1"/>
  <c r="BD27" i="1"/>
  <c r="P25" i="1"/>
  <c r="CF22" i="1"/>
  <c r="AR20" i="1"/>
  <c r="DH17" i="1"/>
  <c r="BT15" i="1"/>
  <c r="AF13" i="1"/>
  <c r="CV10" i="1"/>
  <c r="BH8" i="1"/>
  <c r="T6" i="1"/>
  <c r="CJ3" i="1"/>
  <c r="BE65" i="1"/>
  <c r="CS51" i="1"/>
  <c r="BU37" i="1"/>
  <c r="DI23" i="1"/>
  <c r="M10" i="1"/>
  <c r="X137" i="1"/>
  <c r="DD122" i="1"/>
  <c r="CF108" i="1"/>
  <c r="CZ101" i="1"/>
  <c r="CN94" i="1"/>
  <c r="CR87" i="1"/>
  <c r="AZ80" i="1"/>
  <c r="CJ73" i="1"/>
  <c r="DD66" i="1"/>
  <c r="AJ60" i="1"/>
  <c r="AN53" i="1"/>
  <c r="BH46" i="1"/>
  <c r="CR39" i="1"/>
  <c r="H33" i="1"/>
  <c r="CZ25" i="1"/>
  <c r="CN18" i="1"/>
  <c r="DH11" i="1"/>
  <c r="AN5" i="1"/>
  <c r="CK101" i="1"/>
  <c r="AK92" i="1"/>
  <c r="CO82" i="1"/>
  <c r="AO73" i="1"/>
  <c r="DE64" i="1"/>
  <c r="AC60" i="1"/>
  <c r="BE55" i="1"/>
  <c r="CG50" i="1"/>
  <c r="DI45" i="1"/>
  <c r="AG41" i="1"/>
  <c r="BI36" i="1"/>
  <c r="CK31" i="1"/>
  <c r="I27" i="1"/>
  <c r="AK22" i="1"/>
  <c r="BM17" i="1"/>
  <c r="CO12" i="1"/>
  <c r="M8" i="1"/>
  <c r="AO3" i="1"/>
  <c r="BT139" i="1"/>
  <c r="CV134" i="1"/>
  <c r="T130" i="1"/>
  <c r="AV125" i="1"/>
  <c r="BX120" i="1"/>
  <c r="CZ115" i="1"/>
  <c r="X111" i="1"/>
  <c r="BP107" i="1"/>
  <c r="AB105" i="1"/>
  <c r="CR102" i="1"/>
  <c r="BD100" i="1"/>
  <c r="P98" i="1"/>
  <c r="CF95" i="1"/>
  <c r="AR93" i="1"/>
  <c r="DH90" i="1"/>
  <c r="BT88" i="1"/>
  <c r="AF86" i="1"/>
  <c r="CV83" i="1"/>
  <c r="BH81" i="1"/>
  <c r="T79" i="1"/>
  <c r="CJ76" i="1"/>
  <c r="AV74" i="1"/>
  <c r="H72" i="1"/>
  <c r="BX69" i="1"/>
  <c r="AJ67" i="1"/>
  <c r="CZ64" i="1"/>
  <c r="BL62" i="1"/>
  <c r="X60" i="1"/>
  <c r="CN57" i="1"/>
  <c r="AZ55" i="1"/>
  <c r="L53" i="1"/>
  <c r="CB50" i="1"/>
  <c r="AN48" i="1"/>
  <c r="DD45" i="1"/>
  <c r="BP43" i="1"/>
  <c r="AB41" i="1"/>
  <c r="CR38" i="1"/>
  <c r="BD36" i="1"/>
  <c r="P34" i="1"/>
  <c r="CF31" i="1"/>
  <c r="AR29" i="1"/>
  <c r="DH26" i="1"/>
  <c r="BT24" i="1"/>
  <c r="AF22" i="1"/>
  <c r="CV19" i="1"/>
  <c r="BH17" i="1"/>
  <c r="T15" i="1"/>
  <c r="CJ12" i="1"/>
  <c r="AV10" i="1"/>
  <c r="H8" i="1"/>
  <c r="BX5" i="1"/>
  <c r="AJ3" i="1"/>
  <c r="AG99" i="1"/>
  <c r="CK89" i="1"/>
  <c r="Q79" i="1"/>
  <c r="Y57" i="1"/>
  <c r="M42" i="1"/>
  <c r="U28" i="1"/>
  <c r="DA13" i="1"/>
  <c r="AZ140" i="1"/>
  <c r="CN126" i="1"/>
  <c r="X113" i="1"/>
  <c r="CR103" i="1"/>
  <c r="X97" i="1"/>
  <c r="AB90" i="1"/>
  <c r="AV83" i="1"/>
  <c r="AZ76" i="1"/>
  <c r="H69" i="1"/>
  <c r="BT61" i="1"/>
  <c r="BH54" i="1"/>
  <c r="CB47" i="1"/>
  <c r="AF35" i="1"/>
  <c r="AV11" i="1"/>
  <c r="BX22" i="1"/>
  <c r="CW126" i="1"/>
  <c r="AS120" i="1"/>
  <c r="BU115" i="1"/>
  <c r="CW110" i="1"/>
  <c r="U106" i="1"/>
  <c r="BM101" i="1"/>
  <c r="BA98" i="1"/>
  <c r="Y95" i="1"/>
  <c r="M92" i="1"/>
  <c r="DE88" i="1"/>
  <c r="CC85" i="1"/>
  <c r="AO83" i="1"/>
  <c r="DE80" i="1"/>
  <c r="BQ78" i="1"/>
  <c r="AC76" i="1"/>
  <c r="CS73" i="1"/>
  <c r="BE71" i="1"/>
  <c r="Q69" i="1"/>
  <c r="CG66" i="1"/>
  <c r="M102" i="1"/>
  <c r="BQ92" i="1"/>
  <c r="Q83" i="1"/>
  <c r="BU73" i="1"/>
  <c r="Q65" i="1"/>
  <c r="AS60" i="1"/>
  <c r="BU55" i="1"/>
  <c r="CW50" i="1"/>
  <c r="U46" i="1"/>
  <c r="AW41" i="1"/>
  <c r="BY36" i="1"/>
  <c r="DA31" i="1"/>
  <c r="Y27" i="1"/>
  <c r="BA22" i="1"/>
  <c r="CC17" i="1"/>
  <c r="DE12" i="1"/>
  <c r="AC8" i="1"/>
  <c r="BE3" i="1"/>
  <c r="CJ139" i="1"/>
  <c r="H135" i="1"/>
  <c r="AJ130" i="1"/>
  <c r="BL125" i="1"/>
  <c r="CN120" i="1"/>
  <c r="L116" i="1"/>
  <c r="AN111" i="1"/>
  <c r="BX107" i="1"/>
  <c r="AJ105" i="1"/>
  <c r="CZ102" i="1"/>
  <c r="BL100" i="1"/>
  <c r="X98" i="1"/>
  <c r="CN95" i="1"/>
  <c r="AZ93" i="1"/>
  <c r="L91" i="1"/>
  <c r="CB88" i="1"/>
  <c r="AN86" i="1"/>
  <c r="DD83" i="1"/>
  <c r="BP81" i="1"/>
  <c r="AB79" i="1"/>
  <c r="CR76" i="1"/>
  <c r="BD74" i="1"/>
  <c r="P72" i="1"/>
  <c r="CF69" i="1"/>
  <c r="AR67" i="1"/>
  <c r="DH64" i="1"/>
  <c r="BT62" i="1"/>
  <c r="AF60" i="1"/>
  <c r="CV57" i="1"/>
  <c r="BH55" i="1"/>
  <c r="T53" i="1"/>
  <c r="CJ50" i="1"/>
  <c r="AV48" i="1"/>
  <c r="H46" i="1"/>
  <c r="BX43" i="1"/>
  <c r="AJ41" i="1"/>
  <c r="CZ38" i="1"/>
  <c r="BL36" i="1"/>
  <c r="X34" i="1"/>
  <c r="CN31" i="1"/>
  <c r="AZ29" i="1"/>
  <c r="L27" i="1"/>
  <c r="CB24" i="1"/>
  <c r="AN22" i="1"/>
  <c r="DD19" i="1"/>
  <c r="BP17" i="1"/>
  <c r="AB15" i="1"/>
  <c r="CR12" i="1"/>
  <c r="BD10" i="1"/>
  <c r="P8" i="1"/>
  <c r="CF5" i="1"/>
  <c r="AR3" i="1"/>
  <c r="BI62" i="1"/>
  <c r="AK48" i="1"/>
  <c r="AS34" i="1"/>
  <c r="CS19" i="1"/>
  <c r="AO5" i="1"/>
  <c r="CR131" i="1"/>
  <c r="AN117" i="1"/>
  <c r="BT105" i="1"/>
  <c r="L98" i="1"/>
  <c r="AR90" i="1"/>
  <c r="DD82" i="1"/>
  <c r="CB75" i="1"/>
  <c r="AZ68" i="1"/>
  <c r="H61" i="1"/>
  <c r="CJ53" i="1"/>
  <c r="AB46" i="1"/>
  <c r="CN38" i="1"/>
  <c r="DD30" i="1"/>
  <c r="CR23" i="1"/>
  <c r="T16" i="1"/>
  <c r="CR7" i="1"/>
  <c r="BE105" i="1"/>
  <c r="DI95" i="1"/>
  <c r="BI86" i="1"/>
  <c r="I77" i="1"/>
  <c r="BM67" i="1"/>
  <c r="M62" i="1"/>
  <c r="AO57" i="1"/>
  <c r="BQ52" i="1"/>
  <c r="CS47" i="1"/>
  <c r="Q43" i="1"/>
  <c r="AS38" i="1"/>
  <c r="BU33" i="1"/>
  <c r="CW28" i="1"/>
  <c r="U24" i="1"/>
  <c r="AW19" i="1"/>
  <c r="BY14" i="1"/>
  <c r="DA9" i="1"/>
  <c r="Y5" i="1"/>
  <c r="BD141" i="1"/>
  <c r="CF136" i="1"/>
  <c r="DH131" i="1"/>
  <c r="AF127" i="1"/>
  <c r="BH122" i="1"/>
  <c r="CJ117" i="1"/>
  <c r="H113" i="1"/>
  <c r="BH108" i="1"/>
  <c r="T106" i="1"/>
  <c r="CJ103" i="1"/>
  <c r="AV101" i="1"/>
  <c r="H99" i="1"/>
  <c r="BX96" i="1"/>
  <c r="AJ94" i="1"/>
  <c r="CZ91" i="1"/>
  <c r="BL89" i="1"/>
  <c r="X87" i="1"/>
  <c r="CN84" i="1"/>
  <c r="AZ82" i="1"/>
  <c r="L80" i="1"/>
  <c r="CB77" i="1"/>
  <c r="AN75" i="1"/>
  <c r="DD72" i="1"/>
  <c r="BP70" i="1"/>
  <c r="AB68" i="1"/>
  <c r="CR65" i="1"/>
  <c r="BD63" i="1"/>
  <c r="P61" i="1"/>
  <c r="CF58" i="1"/>
  <c r="AR56" i="1"/>
  <c r="DH53" i="1"/>
  <c r="BT51" i="1"/>
  <c r="AF49" i="1"/>
  <c r="CV46" i="1"/>
  <c r="BH44" i="1"/>
  <c r="T42" i="1"/>
  <c r="CJ39" i="1"/>
  <c r="AV37" i="1"/>
  <c r="H35" i="1"/>
  <c r="BX32" i="1"/>
  <c r="AJ30" i="1"/>
  <c r="CZ27" i="1"/>
  <c r="BL25" i="1"/>
  <c r="X23" i="1"/>
  <c r="CN20" i="1"/>
  <c r="AZ18" i="1"/>
  <c r="L16" i="1"/>
  <c r="CB13" i="1"/>
  <c r="AN11" i="1"/>
  <c r="DD8" i="1"/>
  <c r="BP6" i="1"/>
  <c r="AB4" i="1"/>
  <c r="AC70" i="1"/>
  <c r="BI54" i="1"/>
  <c r="CW40" i="1"/>
  <c r="BY26" i="1"/>
  <c r="BA12" i="1"/>
  <c r="BL139" i="1"/>
  <c r="BT125" i="1"/>
  <c r="P111" i="1"/>
  <c r="AF103" i="1"/>
  <c r="T96" i="1"/>
  <c r="X89" i="1"/>
  <c r="BT81" i="1"/>
  <c r="CN74" i="1"/>
  <c r="AJ68" i="1"/>
  <c r="CJ61" i="1"/>
  <c r="CN54" i="1"/>
  <c r="BL47" i="1"/>
  <c r="H41" i="1"/>
  <c r="BH34" i="1"/>
  <c r="AF27" i="1"/>
  <c r="T20" i="1"/>
  <c r="X13" i="1"/>
  <c r="BX6" i="1"/>
  <c r="BM103" i="1"/>
  <c r="M94" i="1"/>
  <c r="BQ84" i="1"/>
  <c r="Q75" i="1"/>
  <c r="CS65" i="1"/>
  <c r="Q61" i="1"/>
  <c r="AS56" i="1"/>
  <c r="BU51" i="1"/>
  <c r="CW46" i="1"/>
  <c r="U42" i="1"/>
  <c r="AW37" i="1"/>
  <c r="BY32" i="1"/>
  <c r="DA27" i="1"/>
  <c r="Y23" i="1"/>
  <c r="BA18" i="1"/>
  <c r="CC13" i="1"/>
  <c r="DE8" i="1"/>
  <c r="AC4" i="1"/>
  <c r="BH140" i="1"/>
  <c r="CJ135" i="1"/>
  <c r="H131" i="1"/>
  <c r="AJ126" i="1"/>
  <c r="BL121" i="1"/>
  <c r="CN116" i="1"/>
  <c r="L112" i="1"/>
  <c r="H108" i="1"/>
  <c r="BX105" i="1"/>
  <c r="AJ103" i="1"/>
  <c r="CZ100" i="1"/>
  <c r="BL98" i="1"/>
  <c r="X96" i="1"/>
  <c r="CN93" i="1"/>
  <c r="AZ91" i="1"/>
  <c r="L89" i="1"/>
  <c r="CB86" i="1"/>
  <c r="AN84" i="1"/>
  <c r="DD81" i="1"/>
  <c r="BP79" i="1"/>
  <c r="AB77" i="1"/>
  <c r="CR74" i="1"/>
  <c r="BD72" i="1"/>
  <c r="P70" i="1"/>
  <c r="CF67" i="1"/>
  <c r="AR65" i="1"/>
  <c r="DH62" i="1"/>
  <c r="BT60" i="1"/>
  <c r="AF58" i="1"/>
  <c r="CV55" i="1"/>
  <c r="BH53" i="1"/>
  <c r="T51" i="1"/>
  <c r="CJ48" i="1"/>
  <c r="AV46" i="1"/>
  <c r="H44" i="1"/>
  <c r="BX41" i="1"/>
  <c r="AJ39" i="1"/>
  <c r="CZ36" i="1"/>
  <c r="BL34" i="1"/>
  <c r="X32" i="1"/>
  <c r="CN29" i="1"/>
  <c r="AZ27" i="1"/>
  <c r="L25" i="1"/>
  <c r="CB22" i="1"/>
  <c r="AN20" i="1"/>
  <c r="DD17" i="1"/>
  <c r="BP15" i="1"/>
  <c r="AB13" i="1"/>
  <c r="CR10" i="1"/>
  <c r="BD8" i="1"/>
  <c r="P6" i="1"/>
  <c r="CF3" i="1"/>
  <c r="I101" i="1"/>
  <c r="BM91" i="1"/>
  <c r="M82" i="1"/>
  <c r="CS59" i="1"/>
  <c r="AO45" i="1"/>
  <c r="Q31" i="1"/>
  <c r="BQ16" i="1"/>
  <c r="P143" i="1"/>
  <c r="BD129" i="1"/>
  <c r="CR115" i="1"/>
  <c r="X105" i="1"/>
  <c r="AB98" i="1"/>
  <c r="BL91" i="1"/>
  <c r="BP84" i="1"/>
  <c r="CJ77" i="1"/>
  <c r="AB70" i="1"/>
  <c r="P63" i="1"/>
  <c r="CR55" i="1"/>
  <c r="CV48" i="1"/>
  <c r="CJ41" i="1"/>
  <c r="AF31" i="1"/>
  <c r="CB7" i="1"/>
  <c r="AG121" i="1"/>
  <c r="BI116" i="1"/>
  <c r="CK111" i="1"/>
  <c r="I107" i="1"/>
  <c r="AK102" i="1"/>
  <c r="I99" i="1"/>
  <c r="CK95" i="1"/>
  <c r="BY92" i="1"/>
  <c r="BM89" i="1"/>
  <c r="AK86" i="1"/>
  <c r="CK83" i="1"/>
  <c r="AW81" i="1"/>
  <c r="I79" i="1"/>
  <c r="BY76" i="1"/>
  <c r="AK74" i="1"/>
  <c r="DA71" i="1"/>
  <c r="BM69" i="1"/>
  <c r="Y67" i="1"/>
  <c r="CS103" i="1"/>
  <c r="AS94" i="1"/>
  <c r="CW84" i="1"/>
  <c r="AW75" i="1"/>
  <c r="DI65" i="1"/>
  <c r="AG61" i="1"/>
  <c r="BI56" i="1"/>
  <c r="CK51" i="1"/>
  <c r="I47" i="1"/>
  <c r="AK42" i="1"/>
  <c r="BM37" i="1"/>
  <c r="CO32" i="1"/>
  <c r="M28" i="1"/>
  <c r="AO23" i="1"/>
  <c r="BQ18" i="1"/>
  <c r="CS13" i="1"/>
  <c r="Q9" i="1"/>
  <c r="AS4" i="1"/>
  <c r="BX140" i="1"/>
  <c r="CZ135" i="1"/>
  <c r="X131" i="1"/>
  <c r="AZ126" i="1"/>
  <c r="CB121" i="1"/>
  <c r="DD116" i="1"/>
  <c r="AB112" i="1"/>
  <c r="P108" i="1"/>
  <c r="CF105" i="1"/>
  <c r="AR103" i="1"/>
  <c r="DH100" i="1"/>
  <c r="BT98" i="1"/>
  <c r="AF96" i="1"/>
  <c r="CV93" i="1"/>
  <c r="BH91" i="1"/>
  <c r="T89" i="1"/>
  <c r="CJ86" i="1"/>
  <c r="AV84" i="1"/>
  <c r="H82" i="1"/>
  <c r="BX79" i="1"/>
  <c r="AJ77" i="1"/>
  <c r="CZ74" i="1"/>
  <c r="BL72" i="1"/>
  <c r="X70" i="1"/>
  <c r="CN67" i="1"/>
  <c r="AZ65" i="1"/>
  <c r="L63" i="1"/>
  <c r="CB60" i="1"/>
  <c r="AN58" i="1"/>
  <c r="DD55" i="1"/>
  <c r="BP53" i="1"/>
  <c r="AB51" i="1"/>
  <c r="CR48" i="1"/>
  <c r="BD46" i="1"/>
  <c r="P44" i="1"/>
  <c r="CF41" i="1"/>
  <c r="AR39" i="1"/>
  <c r="DH36" i="1"/>
  <c r="BT34" i="1"/>
  <c r="AF32" i="1"/>
  <c r="CV29" i="1"/>
  <c r="BH27" i="1"/>
  <c r="T25" i="1"/>
  <c r="CJ22" i="1"/>
  <c r="AV20" i="1"/>
  <c r="H18" i="1"/>
  <c r="BX15" i="1"/>
  <c r="AJ13" i="1"/>
  <c r="CZ10" i="1"/>
  <c r="BL8" i="1"/>
  <c r="X6" i="1"/>
  <c r="CN3" i="1"/>
  <c r="Y65" i="1"/>
  <c r="DE50" i="1"/>
  <c r="AO37" i="1"/>
  <c r="BI22" i="1"/>
  <c r="AK8" i="1"/>
  <c r="AB134" i="1"/>
  <c r="DH119" i="1"/>
  <c r="DD106" i="1"/>
  <c r="AV99" i="1"/>
  <c r="CB91" i="1"/>
  <c r="AZ84" i="1"/>
  <c r="H77" i="1"/>
  <c r="CZ69" i="1"/>
  <c r="AR62" i="1"/>
  <c r="P55" i="1"/>
  <c r="CR47" i="1"/>
  <c r="AJ40" i="1"/>
  <c r="AZ32" i="1"/>
  <c r="X25" i="1"/>
  <c r="BD17" i="1"/>
  <c r="BT9" i="1"/>
  <c r="AG107" i="1"/>
  <c r="CK97" i="1"/>
  <c r="AK88" i="1"/>
  <c r="CO78" i="1"/>
  <c r="AO69" i="1"/>
  <c r="DE62" i="1"/>
  <c r="AC58" i="1"/>
  <c r="BE53" i="1"/>
  <c r="CG48" i="1"/>
  <c r="DI43" i="1"/>
  <c r="AG39" i="1"/>
  <c r="BI34" i="1"/>
  <c r="CK29" i="1"/>
  <c r="I25" i="1"/>
  <c r="AK20" i="1"/>
  <c r="BM15" i="1"/>
  <c r="CO10" i="1"/>
  <c r="M6" i="1"/>
  <c r="AR142" i="1"/>
  <c r="BT137" i="1"/>
  <c r="CV132" i="1"/>
  <c r="T128" i="1"/>
  <c r="AV123" i="1"/>
  <c r="BX118" i="1"/>
  <c r="CZ113" i="1"/>
  <c r="X109" i="1"/>
  <c r="BP106" i="1"/>
  <c r="AB104" i="1"/>
  <c r="CR101" i="1"/>
  <c r="BD99" i="1"/>
  <c r="P97" i="1"/>
  <c r="CF94" i="1"/>
  <c r="AR92" i="1"/>
  <c r="DH89" i="1"/>
  <c r="BT87" i="1"/>
  <c r="AF85" i="1"/>
  <c r="CV82" i="1"/>
  <c r="BH80" i="1"/>
  <c r="T78" i="1"/>
  <c r="CJ75" i="1"/>
  <c r="AV73" i="1"/>
  <c r="H71" i="1"/>
  <c r="BX68" i="1"/>
  <c r="AJ66" i="1"/>
  <c r="CZ63" i="1"/>
  <c r="BL61" i="1"/>
  <c r="X59" i="1"/>
  <c r="CN56" i="1"/>
  <c r="AZ54" i="1"/>
  <c r="L52" i="1"/>
  <c r="CB49" i="1"/>
  <c r="AN47" i="1"/>
  <c r="DD44" i="1"/>
  <c r="BP42" i="1"/>
  <c r="AB40" i="1"/>
  <c r="CR37" i="1"/>
  <c r="BD35" i="1"/>
  <c r="P33" i="1"/>
  <c r="CF30" i="1"/>
  <c r="AR28" i="1"/>
  <c r="DH25" i="1"/>
  <c r="BT23" i="1"/>
  <c r="AF21" i="1"/>
  <c r="CV18" i="1"/>
  <c r="BH16" i="1"/>
  <c r="T14" i="1"/>
  <c r="CJ11" i="1"/>
  <c r="AV9" i="1"/>
  <c r="H7" i="1"/>
  <c r="BX4" i="1"/>
  <c r="AS74" i="1"/>
  <c r="BQ56" i="1"/>
  <c r="DE42" i="1"/>
  <c r="AO29" i="1"/>
  <c r="AW15" i="1"/>
  <c r="BH142" i="1"/>
  <c r="AJ128" i="1"/>
  <c r="CJ113" i="1"/>
  <c r="AZ104" i="1"/>
  <c r="AN97" i="1"/>
  <c r="BH90" i="1"/>
  <c r="AF83" i="1"/>
  <c r="AJ76" i="1"/>
  <c r="BT69" i="1"/>
  <c r="DD62" i="1"/>
  <c r="DH55" i="1"/>
  <c r="H49" i="1"/>
  <c r="AB42" i="1"/>
  <c r="CR35" i="1"/>
  <c r="CV28" i="1"/>
  <c r="BD21" i="1"/>
  <c r="AR14" i="1"/>
  <c r="DH7" i="1"/>
  <c r="AO105" i="1"/>
  <c r="CS95" i="1"/>
  <c r="AS86" i="1"/>
  <c r="CW76" i="1"/>
  <c r="AW67" i="1"/>
  <c r="DI61" i="1"/>
  <c r="AG57" i="1"/>
  <c r="BI52" i="1"/>
  <c r="CK47" i="1"/>
  <c r="I43" i="1"/>
  <c r="AK38" i="1"/>
  <c r="BM33" i="1"/>
  <c r="CO28" i="1"/>
  <c r="M24" i="1"/>
  <c r="AO19" i="1"/>
  <c r="BQ14" i="1"/>
  <c r="CS9" i="1"/>
  <c r="Q5" i="1"/>
  <c r="AV141" i="1"/>
  <c r="BX136" i="1"/>
  <c r="CZ131" i="1"/>
  <c r="X127" i="1"/>
  <c r="AZ122" i="1"/>
  <c r="CB117" i="1"/>
  <c r="DD112" i="1"/>
  <c r="BD108" i="1"/>
  <c r="P106" i="1"/>
  <c r="CF103" i="1"/>
  <c r="AR101" i="1"/>
  <c r="DH98" i="1"/>
  <c r="BT96" i="1"/>
  <c r="AF94" i="1"/>
  <c r="CV91" i="1"/>
  <c r="BH89" i="1"/>
  <c r="T87" i="1"/>
  <c r="CJ84" i="1"/>
  <c r="AV82" i="1"/>
  <c r="H80" i="1"/>
  <c r="BX77" i="1"/>
  <c r="AJ75" i="1"/>
  <c r="CZ72" i="1"/>
  <c r="BL70" i="1"/>
  <c r="X68" i="1"/>
  <c r="CN65" i="1"/>
  <c r="AZ63" i="1"/>
  <c r="L61" i="1"/>
  <c r="CB58" i="1"/>
  <c r="AN56" i="1"/>
  <c r="DD53" i="1"/>
  <c r="BP51" i="1"/>
  <c r="AB49" i="1"/>
  <c r="CR46" i="1"/>
  <c r="BD44" i="1"/>
  <c r="P42" i="1"/>
  <c r="CF39" i="1"/>
  <c r="AR37" i="1"/>
  <c r="DH34" i="1"/>
  <c r="BT32" i="1"/>
  <c r="AF30" i="1"/>
  <c r="CV27" i="1"/>
  <c r="BH25" i="1"/>
  <c r="T23" i="1"/>
  <c r="CJ20" i="1"/>
  <c r="AV18" i="1"/>
  <c r="H16" i="1"/>
  <c r="BX13" i="1"/>
  <c r="AJ11" i="1"/>
  <c r="CZ8" i="1"/>
  <c r="BL6" i="1"/>
  <c r="X4" i="1"/>
  <c r="CO102" i="1"/>
  <c r="AO93" i="1"/>
  <c r="CS83" i="1"/>
  <c r="CO62" i="1"/>
  <c r="CC47" i="1"/>
  <c r="Y33" i="1"/>
  <c r="AG19" i="1"/>
  <c r="I5" i="1"/>
  <c r="BL131" i="1"/>
  <c r="CZ117" i="1"/>
  <c r="AR106" i="1"/>
  <c r="CB99" i="1"/>
  <c r="CV92" i="1"/>
  <c r="CZ85" i="1"/>
  <c r="DD78" i="1"/>
  <c r="BL71" i="1"/>
  <c r="AJ64" i="1"/>
  <c r="AN57" i="1"/>
  <c r="L50" i="1"/>
  <c r="AF43" i="1"/>
  <c r="DH35" i="1"/>
  <c r="H29" i="1"/>
  <c r="AB22" i="1"/>
  <c r="CR15" i="1"/>
  <c r="CV8" i="1"/>
  <c r="Q95" i="1"/>
  <c r="BY50" i="1"/>
  <c r="DA21" i="1"/>
  <c r="L138" i="1"/>
  <c r="L114" i="1"/>
  <c r="BD97" i="1"/>
  <c r="CB83" i="1"/>
  <c r="P71" i="1"/>
  <c r="CV56" i="1"/>
  <c r="BP44" i="1"/>
  <c r="T32" i="1"/>
  <c r="AJ20" i="1"/>
  <c r="CN6" i="1"/>
  <c r="CB31" i="1"/>
  <c r="CF16" i="1"/>
  <c r="AB26" i="1"/>
  <c r="CA87" i="1"/>
  <c r="AM85" i="1"/>
  <c r="DG208" i="1"/>
  <c r="BG199" i="1"/>
  <c r="G190" i="1"/>
  <c r="BK180" i="1"/>
  <c r="K171" i="1"/>
  <c r="BO161" i="1"/>
  <c r="O152" i="1"/>
  <c r="AP218" i="1"/>
  <c r="CT208" i="1"/>
  <c r="AT199" i="1"/>
  <c r="CX189" i="1"/>
  <c r="AX180" i="1"/>
  <c r="DB170" i="1"/>
  <c r="BB161" i="1"/>
  <c r="DF151" i="1"/>
  <c r="BK142" i="1"/>
  <c r="K133" i="1"/>
  <c r="BO123" i="1"/>
  <c r="O114" i="1"/>
  <c r="BS104" i="1"/>
  <c r="S95" i="1"/>
  <c r="CA86" i="1"/>
  <c r="CU82" i="1"/>
  <c r="CE79" i="1"/>
  <c r="BO76" i="1"/>
  <c r="AU73" i="1"/>
  <c r="AE70" i="1"/>
  <c r="O67" i="1"/>
  <c r="CY63" i="1"/>
  <c r="CI60" i="1"/>
  <c r="BS57" i="1"/>
  <c r="BW54" i="1"/>
  <c r="AI52" i="1"/>
  <c r="CY49" i="1"/>
  <c r="BK47" i="1"/>
  <c r="W45" i="1"/>
  <c r="CM42" i="1"/>
  <c r="AY40" i="1"/>
  <c r="K38" i="1"/>
  <c r="CA35" i="1"/>
  <c r="AM33" i="1"/>
  <c r="DC30" i="1"/>
  <c r="BO28" i="1"/>
  <c r="AA26" i="1"/>
  <c r="CQ23" i="1"/>
  <c r="BC21" i="1"/>
  <c r="O19" i="1"/>
  <c r="CE16" i="1"/>
  <c r="AQ14" i="1"/>
  <c r="DG11" i="1"/>
  <c r="BS9" i="1"/>
  <c r="AE7" i="1"/>
  <c r="CU4" i="1"/>
  <c r="AX143" i="1"/>
  <c r="J141" i="1"/>
  <c r="BZ138" i="1"/>
  <c r="AL136" i="1"/>
  <c r="DB133" i="1"/>
  <c r="BN131" i="1"/>
  <c r="Z129" i="1"/>
  <c r="CP126" i="1"/>
  <c r="BB124" i="1"/>
  <c r="N122" i="1"/>
  <c r="CD119" i="1"/>
  <c r="AP117" i="1"/>
  <c r="DF114" i="1"/>
  <c r="BR112" i="1"/>
  <c r="AD110" i="1"/>
  <c r="CT107" i="1"/>
  <c r="BF105" i="1"/>
  <c r="R103" i="1"/>
  <c r="CH100" i="1"/>
  <c r="AT98" i="1"/>
  <c r="F96" i="1"/>
  <c r="BV93" i="1"/>
  <c r="AH91" i="1"/>
  <c r="CX88" i="1"/>
  <c r="BJ86" i="1"/>
  <c r="V84" i="1"/>
  <c r="CL81" i="1"/>
  <c r="AX79" i="1"/>
  <c r="J77" i="1"/>
  <c r="BZ74" i="1"/>
  <c r="AL72" i="1"/>
  <c r="DB69" i="1"/>
  <c r="BN67" i="1"/>
  <c r="Z65" i="1"/>
  <c r="CP62" i="1"/>
  <c r="BB60" i="1"/>
  <c r="N58" i="1"/>
  <c r="CD55" i="1"/>
  <c r="AP53" i="1"/>
  <c r="DF50" i="1"/>
  <c r="BR48" i="1"/>
  <c r="AD46" i="1"/>
  <c r="CT43" i="1"/>
  <c r="BF41" i="1"/>
  <c r="R39" i="1"/>
  <c r="CH36" i="1"/>
  <c r="AT34" i="1"/>
  <c r="F32" i="1"/>
  <c r="BV29" i="1"/>
  <c r="AH27" i="1"/>
  <c r="CX24" i="1"/>
  <c r="BJ22" i="1"/>
  <c r="V20" i="1"/>
  <c r="CL17" i="1"/>
  <c r="AX15" i="1"/>
  <c r="J13" i="1"/>
  <c r="BZ10" i="1"/>
  <c r="AL8" i="1"/>
  <c r="DB5" i="1"/>
  <c r="BN3" i="1"/>
  <c r="CC142" i="1"/>
  <c r="AO140" i="1"/>
  <c r="DE137" i="1"/>
  <c r="BQ135" i="1"/>
  <c r="AC133" i="1"/>
  <c r="CS130" i="1"/>
  <c r="BE128" i="1"/>
  <c r="Q126" i="1"/>
  <c r="CG123" i="1"/>
  <c r="AS121" i="1"/>
  <c r="DI118" i="1"/>
  <c r="BU116" i="1"/>
  <c r="AG114" i="1"/>
  <c r="CW111" i="1"/>
  <c r="BI109" i="1"/>
  <c r="U107" i="1"/>
  <c r="CK104" i="1"/>
  <c r="AW102" i="1"/>
  <c r="I100" i="1"/>
  <c r="BY97" i="1"/>
  <c r="AK95" i="1"/>
  <c r="DA92" i="1"/>
  <c r="BM90" i="1"/>
  <c r="Y88" i="1"/>
  <c r="CO85" i="1"/>
  <c r="BA83" i="1"/>
  <c r="M81" i="1"/>
  <c r="CC78" i="1"/>
  <c r="AO76" i="1"/>
  <c r="DE73" i="1"/>
  <c r="BQ71" i="1"/>
  <c r="AC69" i="1"/>
  <c r="CS66" i="1"/>
  <c r="BE64" i="1"/>
  <c r="Q62" i="1"/>
  <c r="CG59" i="1"/>
  <c r="AS57" i="1"/>
  <c r="DI54" i="1"/>
  <c r="BU52" i="1"/>
  <c r="AG50" i="1"/>
  <c r="CW47" i="1"/>
  <c r="BI45" i="1"/>
  <c r="U43" i="1"/>
  <c r="CK40" i="1"/>
  <c r="AW38" i="1"/>
  <c r="I36" i="1"/>
  <c r="BY33" i="1"/>
  <c r="AK31" i="1"/>
  <c r="DA28" i="1"/>
  <c r="BM26" i="1"/>
  <c r="Y24" i="1"/>
  <c r="CO21" i="1"/>
  <c r="BA19" i="1"/>
  <c r="M17" i="1"/>
  <c r="CC14" i="1"/>
  <c r="AO12" i="1"/>
  <c r="DE9" i="1"/>
  <c r="BQ7" i="1"/>
  <c r="AC5" i="1"/>
  <c r="CV143" i="1"/>
  <c r="BH141" i="1"/>
  <c r="T139" i="1"/>
  <c r="CJ136" i="1"/>
  <c r="AV134" i="1"/>
  <c r="H132" i="1"/>
  <c r="BX129" i="1"/>
  <c r="AJ127" i="1"/>
  <c r="CZ124" i="1"/>
  <c r="BL122" i="1"/>
  <c r="X120" i="1"/>
  <c r="CN117" i="1"/>
  <c r="AZ115" i="1"/>
  <c r="L113" i="1"/>
  <c r="CB110" i="1"/>
  <c r="CI214" i="1"/>
  <c r="AI205" i="1"/>
  <c r="CM195" i="1"/>
  <c r="AM186" i="1"/>
  <c r="CQ176" i="1"/>
  <c r="AQ167" i="1"/>
  <c r="CU157" i="1"/>
  <c r="AU148" i="1"/>
  <c r="BV214" i="1"/>
  <c r="V205" i="1"/>
  <c r="BZ195" i="1"/>
  <c r="Z186" i="1"/>
  <c r="CD176" i="1"/>
  <c r="AD167" i="1"/>
  <c r="CH157" i="1"/>
  <c r="AH148" i="1"/>
  <c r="CQ138" i="1"/>
  <c r="AQ129" i="1"/>
  <c r="CU119" i="1"/>
  <c r="AU110" i="1"/>
  <c r="CY100" i="1"/>
  <c r="AY91" i="1"/>
  <c r="CM84" i="1"/>
  <c r="BW81" i="1"/>
  <c r="BG78" i="1"/>
  <c r="AM75" i="1"/>
  <c r="W72" i="1"/>
  <c r="G69" i="1"/>
  <c r="CQ65" i="1"/>
  <c r="CA62" i="1"/>
  <c r="BK59" i="1"/>
  <c r="AQ56" i="1"/>
  <c r="CE53" i="1"/>
  <c r="AQ51" i="1"/>
  <c r="DG48" i="1"/>
  <c r="BS46" i="1"/>
  <c r="AE44" i="1"/>
  <c r="CU41" i="1"/>
  <c r="BG39" i="1"/>
  <c r="S37" i="1"/>
  <c r="CI34" i="1"/>
  <c r="AU32" i="1"/>
  <c r="G30" i="1"/>
  <c r="BW27" i="1"/>
  <c r="AI25" i="1"/>
  <c r="CY22" i="1"/>
  <c r="BK20" i="1"/>
  <c r="W18" i="1"/>
  <c r="CM15" i="1"/>
  <c r="AY13" i="1"/>
  <c r="K11" i="1"/>
  <c r="CA8" i="1"/>
  <c r="AM6" i="1"/>
  <c r="DC3" i="1"/>
  <c r="BF142" i="1"/>
  <c r="R140" i="1"/>
  <c r="CH137" i="1"/>
  <c r="AT135" i="1"/>
  <c r="F133" i="1"/>
  <c r="BV130" i="1"/>
  <c r="AH128" i="1"/>
  <c r="CX125" i="1"/>
  <c r="BJ123" i="1"/>
  <c r="V121" i="1"/>
  <c r="CL118" i="1"/>
  <c r="AX116" i="1"/>
  <c r="J114" i="1"/>
  <c r="BZ111" i="1"/>
  <c r="AL109" i="1"/>
  <c r="DB106" i="1"/>
  <c r="BN104" i="1"/>
  <c r="Z102" i="1"/>
  <c r="CP99" i="1"/>
  <c r="BB97" i="1"/>
  <c r="N95" i="1"/>
  <c r="CD92" i="1"/>
  <c r="AP90" i="1"/>
  <c r="DF87" i="1"/>
  <c r="BR85" i="1"/>
  <c r="AD83" i="1"/>
  <c r="CT80" i="1"/>
  <c r="BF78" i="1"/>
  <c r="R76" i="1"/>
  <c r="CH73" i="1"/>
  <c r="AT71" i="1"/>
  <c r="F69" i="1"/>
  <c r="BV66" i="1"/>
  <c r="AH64" i="1"/>
  <c r="CX61" i="1"/>
  <c r="BJ59" i="1"/>
  <c r="V57" i="1"/>
  <c r="CL54" i="1"/>
  <c r="AX52" i="1"/>
  <c r="J50" i="1"/>
  <c r="BZ47" i="1"/>
  <c r="AL45" i="1"/>
  <c r="DB42" i="1"/>
  <c r="BN40" i="1"/>
  <c r="Z38" i="1"/>
  <c r="CP35" i="1"/>
  <c r="BB33" i="1"/>
  <c r="N31" i="1"/>
  <c r="CD28" i="1"/>
  <c r="AP26" i="1"/>
  <c r="DF23" i="1"/>
  <c r="BR21" i="1"/>
  <c r="AD19" i="1"/>
  <c r="CT16" i="1"/>
  <c r="BF14" i="1"/>
  <c r="R12" i="1"/>
  <c r="CH9" i="1"/>
  <c r="AT7" i="1"/>
  <c r="F5" i="1"/>
  <c r="CC143" i="1"/>
  <c r="AO141" i="1"/>
  <c r="DE138" i="1"/>
  <c r="BQ136" i="1"/>
  <c r="AC134" i="1"/>
  <c r="CS131" i="1"/>
  <c r="BE129" i="1"/>
  <c r="Q127" i="1"/>
  <c r="CG124" i="1"/>
  <c r="AS122" i="1"/>
  <c r="DI119" i="1"/>
  <c r="BU117" i="1"/>
  <c r="AG115" i="1"/>
  <c r="CW112" i="1"/>
  <c r="BI110" i="1"/>
  <c r="G214" i="1"/>
  <c r="BK204" i="1"/>
  <c r="K195" i="1"/>
  <c r="BO185" i="1"/>
  <c r="O176" i="1"/>
  <c r="BS166" i="1"/>
  <c r="S157" i="1"/>
  <c r="BW147" i="1"/>
  <c r="CX213" i="1"/>
  <c r="AX204" i="1"/>
  <c r="DB194" i="1"/>
  <c r="BB185" i="1"/>
  <c r="DF175" i="1"/>
  <c r="BF166" i="1"/>
  <c r="F157" i="1"/>
  <c r="BJ147" i="1"/>
  <c r="O138" i="1"/>
  <c r="BS128" i="1"/>
  <c r="S119" i="1"/>
  <c r="BW109" i="1"/>
  <c r="W100" i="1"/>
  <c r="CA90" i="1"/>
  <c r="BO84" i="1"/>
  <c r="AU81" i="1"/>
  <c r="AE78" i="1"/>
  <c r="O75" i="1"/>
  <c r="CY71" i="1"/>
  <c r="CI68" i="1"/>
  <c r="BS65" i="1"/>
  <c r="AY62" i="1"/>
  <c r="AI59" i="1"/>
  <c r="S56" i="1"/>
  <c r="BK53" i="1"/>
  <c r="W51" i="1"/>
  <c r="CM48" i="1"/>
  <c r="AY46" i="1"/>
  <c r="K44" i="1"/>
  <c r="CA41" i="1"/>
  <c r="AM39" i="1"/>
  <c r="DC36" i="1"/>
  <c r="BO34" i="1"/>
  <c r="AA32" i="1"/>
  <c r="CQ29" i="1"/>
  <c r="BC27" i="1"/>
  <c r="O25" i="1"/>
  <c r="CE22" i="1"/>
  <c r="AQ20" i="1"/>
  <c r="DG17" i="1"/>
  <c r="BS15" i="1"/>
  <c r="AE13" i="1"/>
  <c r="CU10" i="1"/>
  <c r="BG8" i="1"/>
  <c r="S6" i="1"/>
  <c r="CI3" i="1"/>
  <c r="AL142" i="1"/>
  <c r="DB139" i="1"/>
  <c r="BN137" i="1"/>
  <c r="Z135" i="1"/>
  <c r="CP132" i="1"/>
  <c r="BB130" i="1"/>
  <c r="N128" i="1"/>
  <c r="CD125" i="1"/>
  <c r="AP123" i="1"/>
  <c r="DF120" i="1"/>
  <c r="BR118" i="1"/>
  <c r="AD116" i="1"/>
  <c r="CT113" i="1"/>
  <c r="BF111" i="1"/>
  <c r="R109" i="1"/>
  <c r="CH106" i="1"/>
  <c r="AT104" i="1"/>
  <c r="F102" i="1"/>
  <c r="BV99" i="1"/>
  <c r="AH97" i="1"/>
  <c r="CX94" i="1"/>
  <c r="BJ92" i="1"/>
  <c r="V90" i="1"/>
  <c r="CL87" i="1"/>
  <c r="AX85" i="1"/>
  <c r="J83" i="1"/>
  <c r="BZ80" i="1"/>
  <c r="AL78" i="1"/>
  <c r="DB75" i="1"/>
  <c r="BN73" i="1"/>
  <c r="Z71" i="1"/>
  <c r="CP68" i="1"/>
  <c r="BB66" i="1"/>
  <c r="N64" i="1"/>
  <c r="CD61" i="1"/>
  <c r="AP59" i="1"/>
  <c r="DF56" i="1"/>
  <c r="BR54" i="1"/>
  <c r="AD52" i="1"/>
  <c r="CT49" i="1"/>
  <c r="BF47" i="1"/>
  <c r="R45" i="1"/>
  <c r="CH42" i="1"/>
  <c r="AT40" i="1"/>
  <c r="F38" i="1"/>
  <c r="BV35" i="1"/>
  <c r="AH33" i="1"/>
  <c r="CX30" i="1"/>
  <c r="BJ28" i="1"/>
  <c r="V26" i="1"/>
  <c r="CL23" i="1"/>
  <c r="AX21" i="1"/>
  <c r="J19" i="1"/>
  <c r="BZ16" i="1"/>
  <c r="AL14" i="1"/>
  <c r="DB11" i="1"/>
  <c r="BN9" i="1"/>
  <c r="Z7" i="1"/>
  <c r="CP4" i="1"/>
  <c r="BI143" i="1"/>
  <c r="U141" i="1"/>
  <c r="CK138" i="1"/>
  <c r="AW136" i="1"/>
  <c r="I134" i="1"/>
  <c r="BY131" i="1"/>
  <c r="AK129" i="1"/>
  <c r="DA126" i="1"/>
  <c r="BM124" i="1"/>
  <c r="Y122" i="1"/>
  <c r="CO119" i="1"/>
  <c r="BA117" i="1"/>
  <c r="M115" i="1"/>
  <c r="CC112" i="1"/>
  <c r="AO110" i="1"/>
  <c r="DE107" i="1"/>
  <c r="BQ105" i="1"/>
  <c r="AC103" i="1"/>
  <c r="CS100" i="1"/>
  <c r="BE98" i="1"/>
  <c r="Q96" i="1"/>
  <c r="CG93" i="1"/>
  <c r="AS91" i="1"/>
  <c r="DI88" i="1"/>
  <c r="BU86" i="1"/>
  <c r="AG84" i="1"/>
  <c r="CW81" i="1"/>
  <c r="BI79" i="1"/>
  <c r="U77" i="1"/>
  <c r="CK74" i="1"/>
  <c r="AW72" i="1"/>
  <c r="I70" i="1"/>
  <c r="BY67" i="1"/>
  <c r="AK65" i="1"/>
  <c r="DA62" i="1"/>
  <c r="BM60" i="1"/>
  <c r="Y58" i="1"/>
  <c r="CO55" i="1"/>
  <c r="BA53" i="1"/>
  <c r="M51" i="1"/>
  <c r="CC48" i="1"/>
  <c r="AO46" i="1"/>
  <c r="DE43" i="1"/>
  <c r="BQ41" i="1"/>
  <c r="AC39" i="1"/>
  <c r="CS36" i="1"/>
  <c r="BE34" i="1"/>
  <c r="Q32" i="1"/>
  <c r="CG29" i="1"/>
  <c r="AS27" i="1"/>
  <c r="DI24" i="1"/>
  <c r="BU22" i="1"/>
  <c r="AG20" i="1"/>
  <c r="CW17" i="1"/>
  <c r="BI15" i="1"/>
  <c r="U13" i="1"/>
  <c r="CK10" i="1"/>
  <c r="AW8" i="1"/>
  <c r="I6" i="1"/>
  <c r="BY3" i="1"/>
  <c r="AN142" i="1"/>
  <c r="DD139" i="1"/>
  <c r="BP137" i="1"/>
  <c r="AB135" i="1"/>
  <c r="CR132" i="1"/>
  <c r="BD130" i="1"/>
  <c r="P128" i="1"/>
  <c r="CF125" i="1"/>
  <c r="AR123" i="1"/>
  <c r="DH120" i="1"/>
  <c r="BT118" i="1"/>
  <c r="AF116" i="1"/>
  <c r="CV113" i="1"/>
  <c r="BH111" i="1"/>
  <c r="T109" i="1"/>
  <c r="DC207" i="1"/>
  <c r="BC198" i="1"/>
  <c r="DG188" i="1"/>
  <c r="BG179" i="1"/>
  <c r="G170" i="1"/>
  <c r="BK160" i="1"/>
  <c r="K151" i="1"/>
  <c r="AL217" i="1"/>
  <c r="CP207" i="1"/>
  <c r="AP198" i="1"/>
  <c r="CT188" i="1"/>
  <c r="AT179" i="1"/>
  <c r="CX169" i="1"/>
  <c r="AX160" i="1"/>
  <c r="DB150" i="1"/>
  <c r="BG141" i="1"/>
  <c r="G132" i="1"/>
  <c r="BK122" i="1"/>
  <c r="K113" i="1"/>
  <c r="BO103" i="1"/>
  <c r="O94" i="1"/>
  <c r="S86" i="1"/>
  <c r="BK82" i="1"/>
  <c r="AU79" i="1"/>
  <c r="AA76" i="1"/>
  <c r="K73" i="1"/>
  <c r="CY69" i="1"/>
  <c r="CE66" i="1"/>
  <c r="BO63" i="1"/>
  <c r="AY60" i="1"/>
  <c r="AE57" i="1"/>
  <c r="AU54" i="1"/>
  <c r="G52" i="1"/>
  <c r="BW49" i="1"/>
  <c r="AI47" i="1"/>
  <c r="CY44" i="1"/>
  <c r="BK42" i="1"/>
  <c r="W40" i="1"/>
  <c r="CM37" i="1"/>
  <c r="AY35" i="1"/>
  <c r="K33" i="1"/>
  <c r="CA30" i="1"/>
  <c r="AM28" i="1"/>
  <c r="DC25" i="1"/>
  <c r="BO23" i="1"/>
  <c r="AA21" i="1"/>
  <c r="CQ18" i="1"/>
  <c r="BC16" i="1"/>
  <c r="O14" i="1"/>
  <c r="CE11" i="1"/>
  <c r="AQ9" i="1"/>
  <c r="DG6" i="1"/>
  <c r="BS4" i="1"/>
  <c r="V143" i="1"/>
  <c r="CL140" i="1"/>
  <c r="AX138" i="1"/>
  <c r="J136" i="1"/>
  <c r="BZ133" i="1"/>
  <c r="AL131" i="1"/>
  <c r="DB128" i="1"/>
  <c r="BN126" i="1"/>
  <c r="Z124" i="1"/>
  <c r="CP121" i="1"/>
  <c r="BB119" i="1"/>
  <c r="N117" i="1"/>
  <c r="CD114" i="1"/>
  <c r="AP112" i="1"/>
  <c r="DF109" i="1"/>
  <c r="BR107" i="1"/>
  <c r="AD105" i="1"/>
  <c r="CT102" i="1"/>
  <c r="BF100" i="1"/>
  <c r="R98" i="1"/>
  <c r="CH95" i="1"/>
  <c r="AT93" i="1"/>
  <c r="F91" i="1"/>
  <c r="BV88" i="1"/>
  <c r="AH86" i="1"/>
  <c r="CX83" i="1"/>
  <c r="BJ81" i="1"/>
  <c r="V79" i="1"/>
  <c r="CL76" i="1"/>
  <c r="AX74" i="1"/>
  <c r="J72" i="1"/>
  <c r="BZ69" i="1"/>
  <c r="AL67" i="1"/>
  <c r="DB64" i="1"/>
  <c r="BN62" i="1"/>
  <c r="Z60" i="1"/>
  <c r="CP57" i="1"/>
  <c r="BB55" i="1"/>
  <c r="N53" i="1"/>
  <c r="CD50" i="1"/>
  <c r="AP48" i="1"/>
  <c r="DF45" i="1"/>
  <c r="BR43" i="1"/>
  <c r="AD41" i="1"/>
  <c r="CT38" i="1"/>
  <c r="BF36" i="1"/>
  <c r="R34" i="1"/>
  <c r="CH31" i="1"/>
  <c r="AT29" i="1"/>
  <c r="F27" i="1"/>
  <c r="BV24" i="1"/>
  <c r="AH22" i="1"/>
  <c r="CX19" i="1"/>
  <c r="BJ17" i="1"/>
  <c r="V15" i="1"/>
  <c r="CL12" i="1"/>
  <c r="AX10" i="1"/>
  <c r="J8" i="1"/>
  <c r="BZ5" i="1"/>
  <c r="AL3" i="1"/>
  <c r="DI141" i="1"/>
  <c r="BU139" i="1"/>
  <c r="AG137" i="1"/>
  <c r="CW134" i="1"/>
  <c r="BI132" i="1"/>
  <c r="U130" i="1"/>
  <c r="CK127" i="1"/>
  <c r="AW125" i="1"/>
  <c r="AH3" i="1"/>
  <c r="DE141" i="1"/>
  <c r="BQ139" i="1"/>
  <c r="AC137" i="1"/>
  <c r="CS134" i="1"/>
  <c r="BE132" i="1"/>
  <c r="Q130" i="1"/>
  <c r="CG127" i="1"/>
  <c r="AS125" i="1"/>
  <c r="DI122" i="1"/>
  <c r="BU120" i="1"/>
  <c r="AG118" i="1"/>
  <c r="CW115" i="1"/>
  <c r="BI113" i="1"/>
  <c r="U111" i="1"/>
  <c r="CK108" i="1"/>
  <c r="AW106" i="1"/>
  <c r="I104" i="1"/>
  <c r="BY101" i="1"/>
  <c r="AK99" i="1"/>
  <c r="DA96" i="1"/>
  <c r="BM94" i="1"/>
  <c r="Y92" i="1"/>
  <c r="CO89" i="1"/>
  <c r="BA87" i="1"/>
  <c r="M85" i="1"/>
  <c r="CC82" i="1"/>
  <c r="AO80" i="1"/>
  <c r="DE77" i="1"/>
  <c r="BQ75" i="1"/>
  <c r="AC73" i="1"/>
  <c r="CS70" i="1"/>
  <c r="BE68" i="1"/>
  <c r="Q66" i="1"/>
  <c r="CG63" i="1"/>
  <c r="AS61" i="1"/>
  <c r="DI58" i="1"/>
  <c r="BU56" i="1"/>
  <c r="AG54" i="1"/>
  <c r="CW51" i="1"/>
  <c r="BI49" i="1"/>
  <c r="U47" i="1"/>
  <c r="CK44" i="1"/>
  <c r="AW42" i="1"/>
  <c r="I40" i="1"/>
  <c r="BY37" i="1"/>
  <c r="AK35" i="1"/>
  <c r="DA32" i="1"/>
  <c r="BM30" i="1"/>
  <c r="Y28" i="1"/>
  <c r="CO25" i="1"/>
  <c r="BA23" i="1"/>
  <c r="M21" i="1"/>
  <c r="CC18" i="1"/>
  <c r="AO16" i="1"/>
  <c r="DE13" i="1"/>
  <c r="BQ11" i="1"/>
  <c r="AC9" i="1"/>
  <c r="CS6" i="1"/>
  <c r="BE4" i="1"/>
  <c r="T143" i="1"/>
  <c r="CJ140" i="1"/>
  <c r="AV138" i="1"/>
  <c r="H136" i="1"/>
  <c r="BX133" i="1"/>
  <c r="AJ131" i="1"/>
  <c r="CZ128" i="1"/>
  <c r="BL126" i="1"/>
  <c r="X124" i="1"/>
  <c r="CN121" i="1"/>
  <c r="AZ119" i="1"/>
  <c r="L117" i="1"/>
  <c r="CB114" i="1"/>
  <c r="AN112" i="1"/>
  <c r="DD109" i="1"/>
  <c r="CM211" i="1"/>
  <c r="AM202" i="1"/>
  <c r="CQ192" i="1"/>
  <c r="AQ183" i="1"/>
  <c r="CU173" i="1"/>
  <c r="AU164" i="1"/>
  <c r="CY154" i="1"/>
  <c r="AY145" i="1"/>
  <c r="BZ211" i="1"/>
  <c r="Z202" i="1"/>
  <c r="CD192" i="1"/>
  <c r="AD183" i="1"/>
  <c r="CH173" i="1"/>
  <c r="AH164" i="1"/>
  <c r="CL154" i="1"/>
  <c r="AL145" i="1"/>
  <c r="CU135" i="1"/>
  <c r="AU126" i="1"/>
  <c r="CY116" i="1"/>
  <c r="AY107" i="1"/>
  <c r="DC97" i="1"/>
  <c r="BC88" i="1"/>
  <c r="CQ83" i="1"/>
  <c r="BW80" i="1"/>
  <c r="BG77" i="1"/>
  <c r="AQ74" i="1"/>
  <c r="W71" i="1"/>
  <c r="G68" i="1"/>
  <c r="CU64" i="1"/>
  <c r="CA61" i="1"/>
  <c r="BK58" i="1"/>
  <c r="AU55" i="1"/>
  <c r="DG52" i="1"/>
  <c r="BS50" i="1"/>
  <c r="AE48" i="1"/>
  <c r="CU45" i="1"/>
  <c r="BG43" i="1"/>
  <c r="S41" i="1"/>
  <c r="CI38" i="1"/>
  <c r="AU36" i="1"/>
  <c r="G34" i="1"/>
  <c r="BW31" i="1"/>
  <c r="AI29" i="1"/>
  <c r="CY26" i="1"/>
  <c r="BK24" i="1"/>
  <c r="W22" i="1"/>
  <c r="CM19" i="1"/>
  <c r="AY17" i="1"/>
  <c r="K15" i="1"/>
  <c r="CA12" i="1"/>
  <c r="AM10" i="1"/>
  <c r="DC7" i="1"/>
  <c r="BO5" i="1"/>
  <c r="AA3" i="1"/>
  <c r="CH141" i="1"/>
  <c r="AT139" i="1"/>
  <c r="F137" i="1"/>
  <c r="BV134" i="1"/>
  <c r="AH132" i="1"/>
  <c r="CX129" i="1"/>
  <c r="BJ127" i="1"/>
  <c r="V125" i="1"/>
  <c r="CL122" i="1"/>
  <c r="AX120" i="1"/>
  <c r="J118" i="1"/>
  <c r="BZ115" i="1"/>
  <c r="AL113" i="1"/>
  <c r="DB110" i="1"/>
  <c r="BN108" i="1"/>
  <c r="Z106" i="1"/>
  <c r="CP103" i="1"/>
  <c r="BB101" i="1"/>
  <c r="N99" i="1"/>
  <c r="CD96" i="1"/>
  <c r="AP94" i="1"/>
  <c r="DF91" i="1"/>
  <c r="BR89" i="1"/>
  <c r="AD87" i="1"/>
  <c r="CT84" i="1"/>
  <c r="BF82" i="1"/>
  <c r="R80" i="1"/>
  <c r="CH77" i="1"/>
  <c r="AT75" i="1"/>
  <c r="F73" i="1"/>
  <c r="BV70" i="1"/>
  <c r="AH68" i="1"/>
  <c r="CX65" i="1"/>
  <c r="BJ63" i="1"/>
  <c r="V61" i="1"/>
  <c r="CL58" i="1"/>
  <c r="AX56" i="1"/>
  <c r="J54" i="1"/>
  <c r="BZ51" i="1"/>
  <c r="AL49" i="1"/>
  <c r="DB46" i="1"/>
  <c r="BN44" i="1"/>
  <c r="Z42" i="1"/>
  <c r="CP39" i="1"/>
  <c r="BB37" i="1"/>
  <c r="N35" i="1"/>
  <c r="CD32" i="1"/>
  <c r="AP30" i="1"/>
  <c r="DF27" i="1"/>
  <c r="BR25" i="1"/>
  <c r="AD23" i="1"/>
  <c r="CT20" i="1"/>
  <c r="BF18" i="1"/>
  <c r="R16" i="1"/>
  <c r="CH13" i="1"/>
  <c r="AT11" i="1"/>
  <c r="F9" i="1"/>
  <c r="BV6" i="1"/>
  <c r="AH4" i="1"/>
  <c r="DE142" i="1"/>
  <c r="BQ140" i="1"/>
  <c r="AC138" i="1"/>
  <c r="CS135" i="1"/>
  <c r="BE133" i="1"/>
  <c r="Q131" i="1"/>
  <c r="CG128" i="1"/>
  <c r="AS126" i="1"/>
  <c r="DI123" i="1"/>
  <c r="BU121" i="1"/>
  <c r="AG119" i="1"/>
  <c r="CW116" i="1"/>
  <c r="BI114" i="1"/>
  <c r="U112" i="1"/>
  <c r="CK109" i="1"/>
  <c r="K211" i="1"/>
  <c r="BO201" i="1"/>
  <c r="O192" i="1"/>
  <c r="BS182" i="1"/>
  <c r="S173" i="1"/>
  <c r="BW163" i="1"/>
  <c r="W154" i="1"/>
  <c r="CA144" i="1"/>
  <c r="DB210" i="1"/>
  <c r="BB201" i="1"/>
  <c r="DF191" i="1"/>
  <c r="BF182" i="1"/>
  <c r="F173" i="1"/>
  <c r="BJ163" i="1"/>
  <c r="J154" i="1"/>
  <c r="BN144" i="1"/>
  <c r="S135" i="1"/>
  <c r="BW125" i="1"/>
  <c r="W116" i="1"/>
  <c r="CA106" i="1"/>
  <c r="AA97" i="1"/>
  <c r="CE87" i="1"/>
  <c r="BO83" i="1"/>
  <c r="AY80" i="1"/>
  <c r="AE77" i="1"/>
  <c r="O74" i="1"/>
  <c r="DC70" i="1"/>
  <c r="CI67" i="1"/>
  <c r="BS64" i="1"/>
  <c r="BC61" i="1"/>
  <c r="AI58" i="1"/>
  <c r="W55" i="1"/>
  <c r="CM52" i="1"/>
  <c r="AY50" i="1"/>
  <c r="K48" i="1"/>
  <c r="CA45" i="1"/>
  <c r="AM43" i="1"/>
  <c r="DC40" i="1"/>
  <c r="BO38" i="1"/>
  <c r="AA36" i="1"/>
  <c r="CQ33" i="1"/>
  <c r="BC31" i="1"/>
  <c r="O29" i="1"/>
  <c r="CE26" i="1"/>
  <c r="AQ24" i="1"/>
  <c r="DG21" i="1"/>
  <c r="BS19" i="1"/>
  <c r="AE17" i="1"/>
  <c r="CU14" i="1"/>
  <c r="BG12" i="1"/>
  <c r="S10" i="1"/>
  <c r="CI7" i="1"/>
  <c r="AU5" i="1"/>
  <c r="DB143" i="1"/>
  <c r="BN141" i="1"/>
  <c r="Z139" i="1"/>
  <c r="CP136" i="1"/>
  <c r="BB134" i="1"/>
  <c r="N132" i="1"/>
  <c r="CD129" i="1"/>
  <c r="AP127" i="1"/>
  <c r="DF124" i="1"/>
  <c r="BR122" i="1"/>
  <c r="AD120" i="1"/>
  <c r="CT117" i="1"/>
  <c r="BF115" i="1"/>
  <c r="R113" i="1"/>
  <c r="CH110" i="1"/>
  <c r="AT108" i="1"/>
  <c r="F106" i="1"/>
  <c r="BV103" i="1"/>
  <c r="AH101" i="1"/>
  <c r="CX98" i="1"/>
  <c r="BJ96" i="1"/>
  <c r="V94" i="1"/>
  <c r="CL91" i="1"/>
  <c r="AX89" i="1"/>
  <c r="J87" i="1"/>
  <c r="BZ84" i="1"/>
  <c r="AL82" i="1"/>
  <c r="DB79" i="1"/>
  <c r="BN77" i="1"/>
  <c r="Z75" i="1"/>
  <c r="CP72" i="1"/>
  <c r="BB70" i="1"/>
  <c r="N68" i="1"/>
  <c r="CD65" i="1"/>
  <c r="AP63" i="1"/>
  <c r="DF60" i="1"/>
  <c r="BR58" i="1"/>
  <c r="AD56" i="1"/>
  <c r="CT53" i="1"/>
  <c r="BF51" i="1"/>
  <c r="R49" i="1"/>
  <c r="CH46" i="1"/>
  <c r="AT44" i="1"/>
  <c r="F42" i="1"/>
  <c r="BV39" i="1"/>
  <c r="AH37" i="1"/>
  <c r="CX34" i="1"/>
  <c r="BJ32" i="1"/>
  <c r="V30" i="1"/>
  <c r="CL27" i="1"/>
  <c r="AX25" i="1"/>
  <c r="J23" i="1"/>
  <c r="BZ20" i="1"/>
  <c r="AL18" i="1"/>
  <c r="DB15" i="1"/>
  <c r="BN13" i="1"/>
  <c r="Z11" i="1"/>
  <c r="CP8" i="1"/>
  <c r="BB6" i="1"/>
  <c r="N4" i="1"/>
  <c r="CK142" i="1"/>
  <c r="AW140" i="1"/>
  <c r="I138" i="1"/>
  <c r="BY135" i="1"/>
  <c r="AK133" i="1"/>
  <c r="DA130" i="1"/>
  <c r="BM128" i="1"/>
  <c r="Y126" i="1"/>
  <c r="CO123" i="1"/>
  <c r="BA121" i="1"/>
  <c r="M119" i="1"/>
  <c r="CC116" i="1"/>
  <c r="AO114" i="1"/>
  <c r="DE111" i="1"/>
  <c r="BQ109" i="1"/>
  <c r="AC107" i="1"/>
  <c r="CS104" i="1"/>
  <c r="BE102" i="1"/>
  <c r="Q100" i="1"/>
  <c r="CG97" i="1"/>
  <c r="AS95" i="1"/>
  <c r="DI92" i="1"/>
  <c r="BU90" i="1"/>
  <c r="AG88" i="1"/>
  <c r="CW85" i="1"/>
  <c r="BI83" i="1"/>
  <c r="U81" i="1"/>
  <c r="CK78" i="1"/>
  <c r="AW76" i="1"/>
  <c r="I74" i="1"/>
  <c r="BY71" i="1"/>
  <c r="AK69" i="1"/>
  <c r="DA66" i="1"/>
  <c r="BM64" i="1"/>
  <c r="Y62" i="1"/>
  <c r="CO59" i="1"/>
  <c r="BA57" i="1"/>
  <c r="M55" i="1"/>
  <c r="CC52" i="1"/>
  <c r="AO50" i="1"/>
  <c r="DE47" i="1"/>
  <c r="BQ45" i="1"/>
  <c r="AC43" i="1"/>
  <c r="CS40" i="1"/>
  <c r="BE38" i="1"/>
  <c r="Q36" i="1"/>
  <c r="CG33" i="1"/>
  <c r="AS31" i="1"/>
  <c r="DI28" i="1"/>
  <c r="BU26" i="1"/>
  <c r="AG24" i="1"/>
  <c r="CW21" i="1"/>
  <c r="BI19" i="1"/>
  <c r="U17" i="1"/>
  <c r="CK14" i="1"/>
  <c r="AW12" i="1"/>
  <c r="I10" i="1"/>
  <c r="BY7" i="1"/>
  <c r="AK5" i="1"/>
  <c r="DD143" i="1"/>
  <c r="BP141" i="1"/>
  <c r="AB139" i="1"/>
  <c r="CR136" i="1"/>
  <c r="BD134" i="1"/>
  <c r="P132" i="1"/>
  <c r="CF129" i="1"/>
  <c r="AR127" i="1"/>
  <c r="DH124" i="1"/>
  <c r="BT122" i="1"/>
  <c r="AF120" i="1"/>
  <c r="CV117" i="1"/>
  <c r="BH115" i="1"/>
  <c r="T113" i="1"/>
  <c r="CJ110" i="1"/>
  <c r="BC214" i="1"/>
  <c r="DG204" i="1"/>
  <c r="BG195" i="1"/>
  <c r="G186" i="1"/>
  <c r="BK176" i="1"/>
  <c r="K167" i="1"/>
  <c r="BO157" i="1"/>
  <c r="O148" i="1"/>
  <c r="AP214" i="1"/>
  <c r="CT204" i="1"/>
  <c r="AT195" i="1"/>
  <c r="CX185" i="1"/>
  <c r="AX176" i="1"/>
  <c r="DB166" i="1"/>
  <c r="BB157" i="1"/>
  <c r="DF147" i="1"/>
  <c r="BK138" i="1"/>
  <c r="K129" i="1"/>
  <c r="BO119" i="1"/>
  <c r="O110" i="1"/>
  <c r="BS100" i="1"/>
  <c r="S91" i="1"/>
  <c r="CE84" i="1"/>
  <c r="BK81" i="1"/>
  <c r="AU78" i="1"/>
  <c r="AE75" i="1"/>
  <c r="K72" i="1"/>
  <c r="CY68" i="1"/>
  <c r="CI65" i="1"/>
  <c r="BO62" i="1"/>
  <c r="AY59" i="1"/>
  <c r="AI56" i="1"/>
  <c r="BW53" i="1"/>
  <c r="AI51" i="1"/>
  <c r="CY48" i="1"/>
  <c r="BK46" i="1"/>
  <c r="W44" i="1"/>
  <c r="CM41" i="1"/>
  <c r="AY39" i="1"/>
  <c r="K37" i="1"/>
  <c r="CA34" i="1"/>
  <c r="AM32" i="1"/>
  <c r="DC29" i="1"/>
  <c r="BO27" i="1"/>
  <c r="AA25" i="1"/>
  <c r="CQ22" i="1"/>
  <c r="BC20" i="1"/>
  <c r="O18" i="1"/>
  <c r="CE15" i="1"/>
  <c r="AQ13" i="1"/>
  <c r="DG10" i="1"/>
  <c r="BS8" i="1"/>
  <c r="AE6" i="1"/>
  <c r="CU3" i="1"/>
  <c r="AX142" i="1"/>
  <c r="J140" i="1"/>
  <c r="BZ137" i="1"/>
  <c r="AL135" i="1"/>
  <c r="DB132" i="1"/>
  <c r="BN130" i="1"/>
  <c r="Z128" i="1"/>
  <c r="CP125" i="1"/>
  <c r="BB123" i="1"/>
  <c r="N121" i="1"/>
  <c r="CD118" i="1"/>
  <c r="AP116" i="1"/>
  <c r="DF113" i="1"/>
  <c r="BR111" i="1"/>
  <c r="AD109" i="1"/>
  <c r="CT106" i="1"/>
  <c r="BF104" i="1"/>
  <c r="R102" i="1"/>
  <c r="CH99" i="1"/>
  <c r="AT97" i="1"/>
  <c r="F95" i="1"/>
  <c r="BV92" i="1"/>
  <c r="AH90" i="1"/>
  <c r="CX87" i="1"/>
  <c r="BJ85" i="1"/>
  <c r="V83" i="1"/>
  <c r="CL80" i="1"/>
  <c r="AX78" i="1"/>
  <c r="J76" i="1"/>
  <c r="BZ73" i="1"/>
  <c r="AL71" i="1"/>
  <c r="DB68" i="1"/>
  <c r="BN66" i="1"/>
  <c r="Z64" i="1"/>
  <c r="CP61" i="1"/>
  <c r="BB59" i="1"/>
  <c r="N57" i="1"/>
  <c r="CD54" i="1"/>
  <c r="AP52" i="1"/>
  <c r="DF49" i="1"/>
  <c r="BR47" i="1"/>
  <c r="AD45" i="1"/>
  <c r="CT42" i="1"/>
  <c r="BF40" i="1"/>
  <c r="R38" i="1"/>
  <c r="CH35" i="1"/>
  <c r="AT33" i="1"/>
  <c r="F31" i="1"/>
  <c r="BV28" i="1"/>
  <c r="AH26" i="1"/>
  <c r="CX23" i="1"/>
  <c r="BJ21" i="1"/>
  <c r="V19" i="1"/>
  <c r="CL16" i="1"/>
  <c r="AX14" i="1"/>
  <c r="J12" i="1"/>
  <c r="BZ9" i="1"/>
  <c r="AL7" i="1"/>
  <c r="DB4" i="1"/>
  <c r="BU143" i="1"/>
  <c r="AG141" i="1"/>
  <c r="CW138" i="1"/>
  <c r="BI136" i="1"/>
  <c r="U134" i="1"/>
  <c r="CK131" i="1"/>
  <c r="AW129" i="1"/>
  <c r="I127" i="1"/>
  <c r="BY124" i="1"/>
  <c r="AK122" i="1"/>
  <c r="DA119" i="1"/>
  <c r="BM117" i="1"/>
  <c r="Y115" i="1"/>
  <c r="CO112" i="1"/>
  <c r="BA110" i="1"/>
  <c r="M108" i="1"/>
  <c r="CC105" i="1"/>
  <c r="AO103" i="1"/>
  <c r="BQ143" i="1"/>
  <c r="AC141" i="1"/>
  <c r="CS138" i="1"/>
  <c r="BE136" i="1"/>
  <c r="Q134" i="1"/>
  <c r="CG131" i="1"/>
  <c r="AS129" i="1"/>
  <c r="DI126" i="1"/>
  <c r="BU124" i="1"/>
  <c r="AG122" i="1"/>
  <c r="CW119" i="1"/>
  <c r="BI117" i="1"/>
  <c r="U115" i="1"/>
  <c r="CK112" i="1"/>
  <c r="AW110" i="1"/>
  <c r="I108" i="1"/>
  <c r="BY105" i="1"/>
  <c r="AK103" i="1"/>
  <c r="DA100" i="1"/>
  <c r="BM98" i="1"/>
  <c r="Y96" i="1"/>
  <c r="CO93" i="1"/>
  <c r="BA91" i="1"/>
  <c r="M89" i="1"/>
  <c r="CC86" i="1"/>
  <c r="AO84" i="1"/>
  <c r="DE81" i="1"/>
  <c r="BQ79" i="1"/>
  <c r="AC77" i="1"/>
  <c r="CS74" i="1"/>
  <c r="BE72" i="1"/>
  <c r="Q70" i="1"/>
  <c r="CG67" i="1"/>
  <c r="AS65" i="1"/>
  <c r="DI62" i="1"/>
  <c r="BU60" i="1"/>
  <c r="AG58" i="1"/>
  <c r="CW55" i="1"/>
  <c r="BI53" i="1"/>
  <c r="U51" i="1"/>
  <c r="CK48" i="1"/>
  <c r="AW46" i="1"/>
  <c r="I44" i="1"/>
  <c r="BY41" i="1"/>
  <c r="AK39" i="1"/>
  <c r="DA36" i="1"/>
  <c r="BM34" i="1"/>
  <c r="Y32" i="1"/>
  <c r="CO29" i="1"/>
  <c r="BA27" i="1"/>
  <c r="M25" i="1"/>
  <c r="CC22" i="1"/>
  <c r="AO20" i="1"/>
  <c r="DE17" i="1"/>
  <c r="BQ15" i="1"/>
  <c r="AC13" i="1"/>
  <c r="CS10" i="1"/>
  <c r="BE8" i="1"/>
  <c r="Q6" i="1"/>
  <c r="CG3" i="1"/>
  <c r="AV142" i="1"/>
  <c r="H140" i="1"/>
  <c r="BX137" i="1"/>
  <c r="AJ135" i="1"/>
  <c r="CZ132" i="1"/>
  <c r="BL130" i="1"/>
  <c r="X128" i="1"/>
  <c r="CN125" i="1"/>
  <c r="AZ123" i="1"/>
  <c r="L121" i="1"/>
  <c r="CB118" i="1"/>
  <c r="AN116" i="1"/>
  <c r="DD113" i="1"/>
  <c r="BP111" i="1"/>
  <c r="AB109" i="1"/>
  <c r="CQ208" i="1"/>
  <c r="AQ199" i="1"/>
  <c r="CU189" i="1"/>
  <c r="AU180" i="1"/>
  <c r="CY170" i="1"/>
  <c r="AY161" i="1"/>
  <c r="DC151" i="1"/>
  <c r="Z218" i="1"/>
  <c r="CD208" i="1"/>
  <c r="AD199" i="1"/>
  <c r="CH189" i="1"/>
  <c r="AH180" i="1"/>
  <c r="CL170" i="1"/>
  <c r="AL161" i="1"/>
  <c r="CP151" i="1"/>
  <c r="AU142" i="1"/>
  <c r="CY132" i="1"/>
  <c r="AY123" i="1"/>
  <c r="DC113" i="1"/>
  <c r="BC104" i="1"/>
  <c r="DG94" i="1"/>
  <c r="BO86" i="1"/>
  <c r="CQ82" i="1"/>
  <c r="CA79" i="1"/>
  <c r="BG76" i="1"/>
  <c r="AQ73" i="1"/>
  <c r="AA70" i="1"/>
  <c r="G67" i="1"/>
  <c r="CU63" i="1"/>
  <c r="CE60" i="1"/>
  <c r="BK57" i="1"/>
  <c r="BS54" i="1"/>
  <c r="AE52" i="1"/>
  <c r="CU49" i="1"/>
  <c r="BG47" i="1"/>
  <c r="S45" i="1"/>
  <c r="CI42" i="1"/>
  <c r="AU40" i="1"/>
  <c r="G38" i="1"/>
  <c r="BW35" i="1"/>
  <c r="AI33" i="1"/>
  <c r="CY30" i="1"/>
  <c r="BK28" i="1"/>
  <c r="W26" i="1"/>
  <c r="CM23" i="1"/>
  <c r="AY21" i="1"/>
  <c r="K19" i="1"/>
  <c r="CA16" i="1"/>
  <c r="AM14" i="1"/>
  <c r="DC11" i="1"/>
  <c r="BO9" i="1"/>
  <c r="AA7" i="1"/>
  <c r="CQ4" i="1"/>
  <c r="AT143" i="1"/>
  <c r="F141" i="1"/>
  <c r="BV138" i="1"/>
  <c r="AH136" i="1"/>
  <c r="CX133" i="1"/>
  <c r="BJ131" i="1"/>
  <c r="V129" i="1"/>
  <c r="CL126" i="1"/>
  <c r="AX124" i="1"/>
  <c r="J122" i="1"/>
  <c r="BZ119" i="1"/>
  <c r="AL117" i="1"/>
  <c r="DB114" i="1"/>
  <c r="BN112" i="1"/>
  <c r="Z110" i="1"/>
  <c r="CP107" i="1"/>
  <c r="BB105" i="1"/>
  <c r="N103" i="1"/>
  <c r="CD100" i="1"/>
  <c r="AP98" i="1"/>
  <c r="DF95" i="1"/>
  <c r="BR93" i="1"/>
  <c r="AD91" i="1"/>
  <c r="CT88" i="1"/>
  <c r="BF86" i="1"/>
  <c r="R84" i="1"/>
  <c r="CH81" i="1"/>
  <c r="AT79" i="1"/>
  <c r="F77" i="1"/>
  <c r="BV74" i="1"/>
  <c r="AH72" i="1"/>
  <c r="CX69" i="1"/>
  <c r="BJ67" i="1"/>
  <c r="V65" i="1"/>
  <c r="CL62" i="1"/>
  <c r="AX60" i="1"/>
  <c r="J58" i="1"/>
  <c r="BZ55" i="1"/>
  <c r="AL53" i="1"/>
  <c r="DB50" i="1"/>
  <c r="BN48" i="1"/>
  <c r="Z46" i="1"/>
  <c r="CP43" i="1"/>
  <c r="BB41" i="1"/>
  <c r="N39" i="1"/>
  <c r="CD36" i="1"/>
  <c r="AP34" i="1"/>
  <c r="DF31" i="1"/>
  <c r="BR29" i="1"/>
  <c r="AD27" i="1"/>
  <c r="CT24" i="1"/>
  <c r="BF22" i="1"/>
  <c r="R20" i="1"/>
  <c r="CH17" i="1"/>
  <c r="AT15" i="1"/>
  <c r="F13" i="1"/>
  <c r="BV10" i="1"/>
  <c r="AH8" i="1"/>
  <c r="CX5" i="1"/>
  <c r="BJ3" i="1"/>
  <c r="AC142" i="1"/>
  <c r="CS139" i="1"/>
  <c r="BE137" i="1"/>
  <c r="Q135" i="1"/>
  <c r="CG132" i="1"/>
  <c r="AS130" i="1"/>
  <c r="DI127" i="1"/>
  <c r="BU125" i="1"/>
  <c r="AG123" i="1"/>
  <c r="CW120" i="1"/>
  <c r="BI118" i="1"/>
  <c r="U116" i="1"/>
  <c r="CK113" i="1"/>
  <c r="AW111" i="1"/>
  <c r="I109" i="1"/>
  <c r="O208" i="1"/>
  <c r="BS198" i="1"/>
  <c r="S189" i="1"/>
  <c r="BW179" i="1"/>
  <c r="W170" i="1"/>
  <c r="CA160" i="1"/>
  <c r="AA151" i="1"/>
  <c r="BB217" i="1"/>
  <c r="DF207" i="1"/>
  <c r="BF198" i="1"/>
  <c r="F189" i="1"/>
  <c r="BJ179" i="1"/>
  <c r="J170" i="1"/>
  <c r="BN160" i="1"/>
  <c r="N151" i="1"/>
  <c r="BW141" i="1"/>
  <c r="W132" i="1"/>
  <c r="CA122" i="1"/>
  <c r="AA113" i="1"/>
  <c r="CE103" i="1"/>
  <c r="AE94" i="1"/>
  <c r="AE86" i="1"/>
  <c r="BO82" i="1"/>
  <c r="AY79" i="1"/>
  <c r="AI76" i="1"/>
  <c r="O73" i="1"/>
  <c r="DC69" i="1"/>
  <c r="CM66" i="1"/>
  <c r="BS63" i="1"/>
  <c r="BC60" i="1"/>
  <c r="AM57" i="1"/>
  <c r="AY54" i="1"/>
  <c r="K52" i="1"/>
  <c r="CA49" i="1"/>
  <c r="AM47" i="1"/>
  <c r="DC44" i="1"/>
  <c r="BO42" i="1"/>
  <c r="AA40" i="1"/>
  <c r="CQ37" i="1"/>
  <c r="BC35" i="1"/>
  <c r="O33" i="1"/>
  <c r="CE30" i="1"/>
  <c r="AQ28" i="1"/>
  <c r="DG25" i="1"/>
  <c r="BS23" i="1"/>
  <c r="AE21" i="1"/>
  <c r="CU18" i="1"/>
  <c r="BG16" i="1"/>
  <c r="S14" i="1"/>
  <c r="CI11" i="1"/>
  <c r="AU9" i="1"/>
  <c r="G7" i="1"/>
  <c r="BW4" i="1"/>
  <c r="Z143" i="1"/>
  <c r="CP140" i="1"/>
  <c r="BB138" i="1"/>
  <c r="N136" i="1"/>
  <c r="CD133" i="1"/>
  <c r="AP131" i="1"/>
  <c r="DF128" i="1"/>
  <c r="BR126" i="1"/>
  <c r="AD124" i="1"/>
  <c r="CT121" i="1"/>
  <c r="BF119" i="1"/>
  <c r="R117" i="1"/>
  <c r="CH114" i="1"/>
  <c r="AT112" i="1"/>
  <c r="F110" i="1"/>
  <c r="BV107" i="1"/>
  <c r="AH105" i="1"/>
  <c r="CX102" i="1"/>
  <c r="BJ100" i="1"/>
  <c r="V98" i="1"/>
  <c r="CL95" i="1"/>
  <c r="AX93" i="1"/>
  <c r="J91" i="1"/>
  <c r="BZ88" i="1"/>
  <c r="AL86" i="1"/>
  <c r="DB83" i="1"/>
  <c r="BN81" i="1"/>
  <c r="Z79" i="1"/>
  <c r="CP76" i="1"/>
  <c r="BB74" i="1"/>
  <c r="N72" i="1"/>
  <c r="CD69" i="1"/>
  <c r="AP67" i="1"/>
  <c r="DF64" i="1"/>
  <c r="BR62" i="1"/>
  <c r="AD60" i="1"/>
  <c r="CT57" i="1"/>
  <c r="BF55" i="1"/>
  <c r="R53" i="1"/>
  <c r="CH50" i="1"/>
  <c r="AT48" i="1"/>
  <c r="F46" i="1"/>
  <c r="BV43" i="1"/>
  <c r="AH41" i="1"/>
  <c r="CX38" i="1"/>
  <c r="BJ36" i="1"/>
  <c r="V34" i="1"/>
  <c r="CL31" i="1"/>
  <c r="AX29" i="1"/>
  <c r="J27" i="1"/>
  <c r="BZ24" i="1"/>
  <c r="AL22" i="1"/>
  <c r="DB19" i="1"/>
  <c r="BN17" i="1"/>
  <c r="Z15" i="1"/>
  <c r="CP12" i="1"/>
  <c r="BB10" i="1"/>
  <c r="N8" i="1"/>
  <c r="CD5" i="1"/>
  <c r="AP3" i="1"/>
  <c r="I142" i="1"/>
  <c r="BY139" i="1"/>
  <c r="AK137" i="1"/>
  <c r="DA134" i="1"/>
  <c r="BM132" i="1"/>
  <c r="Y130" i="1"/>
  <c r="CO127" i="1"/>
  <c r="BA125" i="1"/>
  <c r="M123" i="1"/>
  <c r="CC120" i="1"/>
  <c r="AO118" i="1"/>
  <c r="DE115" i="1"/>
  <c r="BQ113" i="1"/>
  <c r="AC111" i="1"/>
  <c r="CS108" i="1"/>
  <c r="BE106" i="1"/>
  <c r="Q104" i="1"/>
  <c r="CG101" i="1"/>
  <c r="AS99" i="1"/>
  <c r="DI96" i="1"/>
  <c r="BU94" i="1"/>
  <c r="AG92" i="1"/>
  <c r="CW89" i="1"/>
  <c r="BI87" i="1"/>
  <c r="U85" i="1"/>
  <c r="CK82" i="1"/>
  <c r="AW80" i="1"/>
  <c r="I78" i="1"/>
  <c r="BY75" i="1"/>
  <c r="AK73" i="1"/>
  <c r="DA70" i="1"/>
  <c r="BM68" i="1"/>
  <c r="Y66" i="1"/>
  <c r="CO63" i="1"/>
  <c r="BA61" i="1"/>
  <c r="M59" i="1"/>
  <c r="CC56" i="1"/>
  <c r="AO54" i="1"/>
  <c r="DE51" i="1"/>
  <c r="BQ49" i="1"/>
  <c r="AC47" i="1"/>
  <c r="CS44" i="1"/>
  <c r="BE42" i="1"/>
  <c r="Q40" i="1"/>
  <c r="CG37" i="1"/>
  <c r="AS35" i="1"/>
  <c r="DI32" i="1"/>
  <c r="BU30" i="1"/>
  <c r="AG28" i="1"/>
  <c r="CW25" i="1"/>
  <c r="BI23" i="1"/>
  <c r="U21" i="1"/>
  <c r="CK18" i="1"/>
  <c r="AW16" i="1"/>
  <c r="I14" i="1"/>
  <c r="BY11" i="1"/>
  <c r="AK9" i="1"/>
  <c r="DA6" i="1"/>
  <c r="BM4" i="1"/>
  <c r="AB143" i="1"/>
  <c r="CR140" i="1"/>
  <c r="BD138" i="1"/>
  <c r="P136" i="1"/>
  <c r="CF133" i="1"/>
  <c r="AR131" i="1"/>
  <c r="DH128" i="1"/>
  <c r="BT126" i="1"/>
  <c r="AF124" i="1"/>
  <c r="CV121" i="1"/>
  <c r="BH119" i="1"/>
  <c r="T117" i="1"/>
  <c r="CJ114" i="1"/>
  <c r="AV112" i="1"/>
  <c r="H110" i="1"/>
  <c r="BG211" i="1"/>
  <c r="G202" i="1"/>
  <c r="BK192" i="1"/>
  <c r="K183" i="1"/>
  <c r="BO173" i="1"/>
  <c r="O164" i="1"/>
  <c r="BS154" i="1"/>
  <c r="S145" i="1"/>
  <c r="AT211" i="1"/>
  <c r="CX201" i="1"/>
  <c r="AX192" i="1"/>
  <c r="DB182" i="1"/>
  <c r="BB173" i="1"/>
  <c r="DF163" i="1"/>
  <c r="BF154" i="1"/>
  <c r="F145" i="1"/>
  <c r="BO135" i="1"/>
  <c r="O126" i="1"/>
  <c r="BS116" i="1"/>
  <c r="S107" i="1"/>
  <c r="BW97" i="1"/>
  <c r="W88" i="1"/>
  <c r="CE83" i="1"/>
  <c r="BO80" i="1"/>
  <c r="AU77" i="1"/>
  <c r="AE74" i="1"/>
  <c r="O71" i="1"/>
  <c r="CY67" i="1"/>
  <c r="CI64" i="1"/>
  <c r="BS61" i="1"/>
  <c r="AY58" i="1"/>
  <c r="AI55" i="1"/>
  <c r="CY52" i="1"/>
  <c r="BK50" i="1"/>
  <c r="W48" i="1"/>
  <c r="CM45" i="1"/>
  <c r="AY43" i="1"/>
  <c r="K41" i="1"/>
  <c r="CA38" i="1"/>
  <c r="AM36" i="1"/>
  <c r="DC33" i="1"/>
  <c r="BO31" i="1"/>
  <c r="AA29" i="1"/>
  <c r="CQ26" i="1"/>
  <c r="BC24" i="1"/>
  <c r="O22" i="1"/>
  <c r="CE19" i="1"/>
  <c r="AQ17" i="1"/>
  <c r="DG14" i="1"/>
  <c r="BS12" i="1"/>
  <c r="AE10" i="1"/>
  <c r="CU7" i="1"/>
  <c r="BG5" i="1"/>
  <c r="O3" i="1"/>
  <c r="BZ141" i="1"/>
  <c r="AL139" i="1"/>
  <c r="DB136" i="1"/>
  <c r="BN134" i="1"/>
  <c r="Z132" i="1"/>
  <c r="CP129" i="1"/>
  <c r="BB127" i="1"/>
  <c r="N125" i="1"/>
  <c r="CD122" i="1"/>
  <c r="AP120" i="1"/>
  <c r="DF117" i="1"/>
  <c r="BR115" i="1"/>
  <c r="AD113" i="1"/>
  <c r="CT110" i="1"/>
  <c r="BF108" i="1"/>
  <c r="R106" i="1"/>
  <c r="CH103" i="1"/>
  <c r="AT101" i="1"/>
  <c r="F99" i="1"/>
  <c r="BV96" i="1"/>
  <c r="AH94" i="1"/>
  <c r="CX91" i="1"/>
  <c r="BJ89" i="1"/>
  <c r="V87" i="1"/>
  <c r="CL84" i="1"/>
  <c r="AX82" i="1"/>
  <c r="J80" i="1"/>
  <c r="BZ77" i="1"/>
  <c r="AL75" i="1"/>
  <c r="DB72" i="1"/>
  <c r="BN70" i="1"/>
  <c r="Z68" i="1"/>
  <c r="CP65" i="1"/>
  <c r="BB63" i="1"/>
  <c r="N61" i="1"/>
  <c r="CD58" i="1"/>
  <c r="AP56" i="1"/>
  <c r="DF53" i="1"/>
  <c r="BR51" i="1"/>
  <c r="AD49" i="1"/>
  <c r="CT46" i="1"/>
  <c r="BF44" i="1"/>
  <c r="R42" i="1"/>
  <c r="CH39" i="1"/>
  <c r="AT37" i="1"/>
  <c r="F35" i="1"/>
  <c r="BV32" i="1"/>
  <c r="AH30" i="1"/>
  <c r="CX27" i="1"/>
  <c r="BJ25" i="1"/>
  <c r="V23" i="1"/>
  <c r="CL20" i="1"/>
  <c r="AX18" i="1"/>
  <c r="J16" i="1"/>
  <c r="BZ13" i="1"/>
  <c r="AL11" i="1"/>
  <c r="DB8" i="1"/>
  <c r="BN6" i="1"/>
  <c r="Z4" i="1"/>
  <c r="CW142" i="1"/>
  <c r="BI140" i="1"/>
  <c r="U138" i="1"/>
  <c r="CK135" i="1"/>
  <c r="AW133" i="1"/>
  <c r="I131" i="1"/>
  <c r="BY128" i="1"/>
  <c r="AG142" i="1"/>
  <c r="CW139" i="1"/>
  <c r="BI137" i="1"/>
  <c r="U135" i="1"/>
  <c r="CK132" i="1"/>
  <c r="AW130" i="1"/>
  <c r="I128" i="1"/>
  <c r="BY125" i="1"/>
  <c r="AK123" i="1"/>
  <c r="DA120" i="1"/>
  <c r="BM118" i="1"/>
  <c r="Y116" i="1"/>
  <c r="CO113" i="1"/>
  <c r="BA111" i="1"/>
  <c r="M109" i="1"/>
  <c r="CC106" i="1"/>
  <c r="AO104" i="1"/>
  <c r="DE101" i="1"/>
  <c r="BQ99" i="1"/>
  <c r="AC97" i="1"/>
  <c r="CS94" i="1"/>
  <c r="BE92" i="1"/>
  <c r="Q90" i="1"/>
  <c r="CG87" i="1"/>
  <c r="AS85" i="1"/>
  <c r="DI82" i="1"/>
  <c r="BU80" i="1"/>
  <c r="AG78" i="1"/>
  <c r="CW75" i="1"/>
  <c r="BI73" i="1"/>
  <c r="U71" i="1"/>
  <c r="CK68" i="1"/>
  <c r="AW66" i="1"/>
  <c r="I64" i="1"/>
  <c r="BY61" i="1"/>
  <c r="AK59" i="1"/>
  <c r="DA56" i="1"/>
  <c r="BM54" i="1"/>
  <c r="Y52" i="1"/>
  <c r="CO49" i="1"/>
  <c r="BA47" i="1"/>
  <c r="M45" i="1"/>
  <c r="CC42" i="1"/>
  <c r="AO40" i="1"/>
  <c r="DE37" i="1"/>
  <c r="BQ35" i="1"/>
  <c r="AC33" i="1"/>
  <c r="CS30" i="1"/>
  <c r="BE28" i="1"/>
  <c r="Q26" i="1"/>
  <c r="CG23" i="1"/>
  <c r="AS21" i="1"/>
  <c r="DI18" i="1"/>
  <c r="BU16" i="1"/>
  <c r="AG14" i="1"/>
  <c r="CW11" i="1"/>
  <c r="BI9" i="1"/>
  <c r="U7" i="1"/>
  <c r="CK4" i="1"/>
  <c r="AZ143" i="1"/>
  <c r="L141" i="1"/>
  <c r="CB138" i="1"/>
  <c r="AN136" i="1"/>
  <c r="DD133" i="1"/>
  <c r="BP131" i="1"/>
  <c r="AB129" i="1"/>
  <c r="CR126" i="1"/>
  <c r="BD124" i="1"/>
  <c r="P122" i="1"/>
  <c r="CF119" i="1"/>
  <c r="AR117" i="1"/>
  <c r="DH114" i="1"/>
  <c r="BT112" i="1"/>
  <c r="AF110" i="1"/>
  <c r="DG212" i="1"/>
  <c r="BG203" i="1"/>
  <c r="G194" i="1"/>
  <c r="BK184" i="1"/>
  <c r="K175" i="1"/>
  <c r="BO165" i="1"/>
  <c r="O156" i="1"/>
  <c r="BS146" i="1"/>
  <c r="CT212" i="1"/>
  <c r="AT203" i="1"/>
  <c r="CX193" i="1"/>
  <c r="AX184" i="1"/>
  <c r="DB174" i="1"/>
  <c r="BB165" i="1"/>
  <c r="DF155" i="1"/>
  <c r="BF146" i="1"/>
  <c r="K137" i="1"/>
  <c r="BO127" i="1"/>
  <c r="O118" i="1"/>
  <c r="BS108" i="1"/>
  <c r="S99" i="1"/>
  <c r="BW89" i="1"/>
  <c r="AA84" i="1"/>
  <c r="K81" i="1"/>
  <c r="CY77" i="1"/>
  <c r="CE74" i="1"/>
  <c r="BO71" i="1"/>
  <c r="AY68" i="1"/>
  <c r="AE65" i="1"/>
  <c r="O62" i="1"/>
  <c r="DC58" i="1"/>
  <c r="CI55" i="1"/>
  <c r="AI53" i="1"/>
  <c r="CY50" i="1"/>
  <c r="BK48" i="1"/>
  <c r="W46" i="1"/>
  <c r="CM43" i="1"/>
  <c r="AY41" i="1"/>
  <c r="K39" i="1"/>
  <c r="CA36" i="1"/>
  <c r="AM34" i="1"/>
  <c r="DC31" i="1"/>
  <c r="BO29" i="1"/>
  <c r="AA27" i="1"/>
  <c r="CQ24" i="1"/>
  <c r="BC22" i="1"/>
  <c r="O20" i="1"/>
  <c r="CE17" i="1"/>
  <c r="AQ15" i="1"/>
  <c r="DG12" i="1"/>
  <c r="BS10" i="1"/>
  <c r="AE8" i="1"/>
  <c r="CU5" i="1"/>
  <c r="BG3" i="1"/>
  <c r="J142" i="1"/>
  <c r="BZ139" i="1"/>
  <c r="AL137" i="1"/>
  <c r="DB134" i="1"/>
  <c r="BN132" i="1"/>
  <c r="Z130" i="1"/>
  <c r="CP127" i="1"/>
  <c r="BB125" i="1"/>
  <c r="N123" i="1"/>
  <c r="CD120" i="1"/>
  <c r="AP118" i="1"/>
  <c r="DF115" i="1"/>
  <c r="BR113" i="1"/>
  <c r="AD111" i="1"/>
  <c r="CT108" i="1"/>
  <c r="BF106" i="1"/>
  <c r="R104" i="1"/>
  <c r="CH101" i="1"/>
  <c r="AT99" i="1"/>
  <c r="F97" i="1"/>
  <c r="BV94" i="1"/>
  <c r="AH92" i="1"/>
  <c r="CX89" i="1"/>
  <c r="BJ87" i="1"/>
  <c r="V85" i="1"/>
  <c r="CL82" i="1"/>
  <c r="AX80" i="1"/>
  <c r="J78" i="1"/>
  <c r="BZ75" i="1"/>
  <c r="AL73" i="1"/>
  <c r="DB70" i="1"/>
  <c r="BN68" i="1"/>
  <c r="Z66" i="1"/>
  <c r="CP63" i="1"/>
  <c r="BB61" i="1"/>
  <c r="N59" i="1"/>
  <c r="CD56" i="1"/>
  <c r="AP54" i="1"/>
  <c r="DF51" i="1"/>
  <c r="BR49" i="1"/>
  <c r="AD47" i="1"/>
  <c r="CT44" i="1"/>
  <c r="BF42" i="1"/>
  <c r="R40" i="1"/>
  <c r="CH37" i="1"/>
  <c r="AT35" i="1"/>
  <c r="F33" i="1"/>
  <c r="BV30" i="1"/>
  <c r="AH28" i="1"/>
  <c r="CX25" i="1"/>
  <c r="BJ23" i="1"/>
  <c r="V21" i="1"/>
  <c r="CL18" i="1"/>
  <c r="AX16" i="1"/>
  <c r="J14" i="1"/>
  <c r="BZ11" i="1"/>
  <c r="AL9" i="1"/>
  <c r="DB6" i="1"/>
  <c r="BN4" i="1"/>
  <c r="AG143" i="1"/>
  <c r="CW140" i="1"/>
  <c r="BI138" i="1"/>
  <c r="U136" i="1"/>
  <c r="CK133" i="1"/>
  <c r="AW131" i="1"/>
  <c r="I129" i="1"/>
  <c r="BY126" i="1"/>
  <c r="AK124" i="1"/>
  <c r="DA121" i="1"/>
  <c r="BM119" i="1"/>
  <c r="Y117" i="1"/>
  <c r="CO114" i="1"/>
  <c r="BA112" i="1"/>
  <c r="M110" i="1"/>
  <c r="AE212" i="1"/>
  <c r="CI202" i="1"/>
  <c r="AI193" i="1"/>
  <c r="CM183" i="1"/>
  <c r="AM174" i="1"/>
  <c r="CQ164" i="1"/>
  <c r="AQ155" i="1"/>
  <c r="CU145" i="1"/>
  <c r="R212" i="1"/>
  <c r="BV202" i="1"/>
  <c r="V193" i="1"/>
  <c r="BZ183" i="1"/>
  <c r="Z174" i="1"/>
  <c r="CD164" i="1"/>
  <c r="AD155" i="1"/>
  <c r="CH145" i="1"/>
  <c r="AM136" i="1"/>
  <c r="CQ126" i="1"/>
  <c r="AQ117" i="1"/>
  <c r="CU107" i="1"/>
  <c r="AU98" i="1"/>
  <c r="CY88" i="1"/>
  <c r="DG83" i="1"/>
  <c r="CM80" i="1"/>
  <c r="BW77" i="1"/>
  <c r="BG74" i="1"/>
  <c r="AM71" i="1"/>
  <c r="W68" i="1"/>
  <c r="G65" i="1"/>
  <c r="CQ61" i="1"/>
  <c r="CA58" i="1"/>
  <c r="BK55" i="1"/>
  <c r="O53" i="1"/>
  <c r="CE50" i="1"/>
  <c r="AQ48" i="1"/>
  <c r="DG45" i="1"/>
  <c r="BS43" i="1"/>
  <c r="AE41" i="1"/>
  <c r="CU38" i="1"/>
  <c r="BG36" i="1"/>
  <c r="S34" i="1"/>
  <c r="CI31" i="1"/>
  <c r="AU29" i="1"/>
  <c r="G27" i="1"/>
  <c r="BW24" i="1"/>
  <c r="AI22" i="1"/>
  <c r="CY19" i="1"/>
  <c r="BK17" i="1"/>
  <c r="W15" i="1"/>
  <c r="CM12" i="1"/>
  <c r="AY10" i="1"/>
  <c r="K8" i="1"/>
  <c r="CA5" i="1"/>
  <c r="AM3" i="1"/>
  <c r="CT141" i="1"/>
  <c r="BF139" i="1"/>
  <c r="R137" i="1"/>
  <c r="CH134" i="1"/>
  <c r="AT132" i="1"/>
  <c r="F130" i="1"/>
  <c r="BV127" i="1"/>
  <c r="AH125" i="1"/>
  <c r="CX122" i="1"/>
  <c r="BJ120" i="1"/>
  <c r="V118" i="1"/>
  <c r="CL115" i="1"/>
  <c r="AX113" i="1"/>
  <c r="J111" i="1"/>
  <c r="BZ108" i="1"/>
  <c r="AL106" i="1"/>
  <c r="DB103" i="1"/>
  <c r="BN101" i="1"/>
  <c r="Z99" i="1"/>
  <c r="CP96" i="1"/>
  <c r="BB94" i="1"/>
  <c r="N92" i="1"/>
  <c r="CD89" i="1"/>
  <c r="AP87" i="1"/>
  <c r="DF84" i="1"/>
  <c r="BR82" i="1"/>
  <c r="AD80" i="1"/>
  <c r="CT77" i="1"/>
  <c r="BF75" i="1"/>
  <c r="R73" i="1"/>
  <c r="CH70" i="1"/>
  <c r="AT68" i="1"/>
  <c r="F66" i="1"/>
  <c r="BV63" i="1"/>
  <c r="AH61" i="1"/>
  <c r="CX58" i="1"/>
  <c r="BJ56" i="1"/>
  <c r="V54" i="1"/>
  <c r="CL51" i="1"/>
  <c r="AX49" i="1"/>
  <c r="J47" i="1"/>
  <c r="BZ44" i="1"/>
  <c r="AL42" i="1"/>
  <c r="DB39" i="1"/>
  <c r="BN37" i="1"/>
  <c r="Z35" i="1"/>
  <c r="CP32" i="1"/>
  <c r="BB30" i="1"/>
  <c r="N28" i="1"/>
  <c r="CD25" i="1"/>
  <c r="AP23" i="1"/>
  <c r="DF20" i="1"/>
  <c r="BR18" i="1"/>
  <c r="AD16" i="1"/>
  <c r="CT13" i="1"/>
  <c r="BF11" i="1"/>
  <c r="R9" i="1"/>
  <c r="CH6" i="1"/>
  <c r="AT4" i="1"/>
  <c r="M143" i="1"/>
  <c r="CC140" i="1"/>
  <c r="AO138" i="1"/>
  <c r="DE135" i="1"/>
  <c r="BQ133" i="1"/>
  <c r="AC131" i="1"/>
  <c r="CS128" i="1"/>
  <c r="BE126" i="1"/>
  <c r="Q124" i="1"/>
  <c r="CG121" i="1"/>
  <c r="AS119" i="1"/>
  <c r="DI116" i="1"/>
  <c r="BU114" i="1"/>
  <c r="AG112" i="1"/>
  <c r="CW109" i="1"/>
  <c r="BI107" i="1"/>
  <c r="U105" i="1"/>
  <c r="CK102" i="1"/>
  <c r="AW100" i="1"/>
  <c r="I98" i="1"/>
  <c r="BY95" i="1"/>
  <c r="AK93" i="1"/>
  <c r="DA90" i="1"/>
  <c r="BM88" i="1"/>
  <c r="Y86" i="1"/>
  <c r="CO83" i="1"/>
  <c r="BA81" i="1"/>
  <c r="M79" i="1"/>
  <c r="CC76" i="1"/>
  <c r="AO74" i="1"/>
  <c r="DE71" i="1"/>
  <c r="BQ69" i="1"/>
  <c r="AC67" i="1"/>
  <c r="CS64" i="1"/>
  <c r="BE62" i="1"/>
  <c r="Q60" i="1"/>
  <c r="CG57" i="1"/>
  <c r="AS55" i="1"/>
  <c r="DI52" i="1"/>
  <c r="BU50" i="1"/>
  <c r="AG48" i="1"/>
  <c r="CW45" i="1"/>
  <c r="BI43" i="1"/>
  <c r="U41" i="1"/>
  <c r="CK38" i="1"/>
  <c r="AW36" i="1"/>
  <c r="I34" i="1"/>
  <c r="BY31" i="1"/>
  <c r="AK29" i="1"/>
  <c r="DA26" i="1"/>
  <c r="BM24" i="1"/>
  <c r="Y22" i="1"/>
  <c r="CO19" i="1"/>
  <c r="BA17" i="1"/>
  <c r="M15" i="1"/>
  <c r="CC12" i="1"/>
  <c r="AO10" i="1"/>
  <c r="DE7" i="1"/>
  <c r="BQ5" i="1"/>
  <c r="AC3" i="1"/>
  <c r="CV141" i="1"/>
  <c r="BH139" i="1"/>
  <c r="T137" i="1"/>
  <c r="CJ134" i="1"/>
  <c r="AV132" i="1"/>
  <c r="H130" i="1"/>
  <c r="BX127" i="1"/>
  <c r="AJ125" i="1"/>
  <c r="CZ122" i="1"/>
  <c r="BL120" i="1"/>
  <c r="X118" i="1"/>
  <c r="CN115" i="1"/>
  <c r="AZ113" i="1"/>
  <c r="L111" i="1"/>
  <c r="BW215" i="1"/>
  <c r="W206" i="1"/>
  <c r="CA196" i="1"/>
  <c r="AA187" i="1"/>
  <c r="CE177" i="1"/>
  <c r="AE168" i="1"/>
  <c r="CI158" i="1"/>
  <c r="AI149" i="1"/>
  <c r="BJ215" i="1"/>
  <c r="J206" i="1"/>
  <c r="BN196" i="1"/>
  <c r="N187" i="1"/>
  <c r="BR177" i="1"/>
  <c r="R168" i="1"/>
  <c r="BV158" i="1"/>
  <c r="V149" i="1"/>
  <c r="CE139" i="1"/>
  <c r="AE130" i="1"/>
  <c r="CI120" i="1"/>
  <c r="AI111" i="1"/>
  <c r="CM101" i="1"/>
  <c r="AM92" i="1"/>
  <c r="AE85" i="1"/>
  <c r="DC81" i="1"/>
  <c r="CM78" i="1"/>
  <c r="BS75" i="1"/>
  <c r="BC72" i="1"/>
  <c r="AM69" i="1"/>
  <c r="S66" i="1"/>
  <c r="DG62" i="1"/>
  <c r="CQ59" i="1"/>
  <c r="BW56" i="1"/>
  <c r="DC53" i="1"/>
  <c r="BO51" i="1"/>
  <c r="AA49" i="1"/>
  <c r="CQ46" i="1"/>
  <c r="BC44" i="1"/>
  <c r="O42" i="1"/>
  <c r="CE39" i="1"/>
  <c r="AQ37" i="1"/>
  <c r="DG34" i="1"/>
  <c r="BS32" i="1"/>
  <c r="AE30" i="1"/>
  <c r="CU27" i="1"/>
  <c r="BG25" i="1"/>
  <c r="S23" i="1"/>
  <c r="CI20" i="1"/>
  <c r="AU18" i="1"/>
  <c r="G16" i="1"/>
  <c r="BW13" i="1"/>
  <c r="AI11" i="1"/>
  <c r="CY8" i="1"/>
  <c r="BK6" i="1"/>
  <c r="W4" i="1"/>
  <c r="CD142" i="1"/>
  <c r="AP140" i="1"/>
  <c r="DF137" i="1"/>
  <c r="BR135" i="1"/>
  <c r="AD133" i="1"/>
  <c r="CT130" i="1"/>
  <c r="BF128" i="1"/>
  <c r="R126" i="1"/>
  <c r="CH123" i="1"/>
  <c r="AT121" i="1"/>
  <c r="F119" i="1"/>
  <c r="BV116" i="1"/>
  <c r="AH114" i="1"/>
  <c r="CX111" i="1"/>
  <c r="BJ109" i="1"/>
  <c r="V107" i="1"/>
  <c r="CL104" i="1"/>
  <c r="AX102" i="1"/>
  <c r="J100" i="1"/>
  <c r="BZ97" i="1"/>
  <c r="AL95" i="1"/>
  <c r="DB92" i="1"/>
  <c r="BN90" i="1"/>
  <c r="Z88" i="1"/>
  <c r="CP85" i="1"/>
  <c r="BB83" i="1"/>
  <c r="N81" i="1"/>
  <c r="CD78" i="1"/>
  <c r="AP76" i="1"/>
  <c r="DF73" i="1"/>
  <c r="BR71" i="1"/>
  <c r="AD69" i="1"/>
  <c r="CT66" i="1"/>
  <c r="BF64" i="1"/>
  <c r="R62" i="1"/>
  <c r="CH59" i="1"/>
  <c r="AT57" i="1"/>
  <c r="F55" i="1"/>
  <c r="BV52" i="1"/>
  <c r="AH50" i="1"/>
  <c r="CX47" i="1"/>
  <c r="BJ45" i="1"/>
  <c r="V43" i="1"/>
  <c r="CL40" i="1"/>
  <c r="AX38" i="1"/>
  <c r="J36" i="1"/>
  <c r="BZ33" i="1"/>
  <c r="AL31" i="1"/>
  <c r="DB28" i="1"/>
  <c r="BN26" i="1"/>
  <c r="Z24" i="1"/>
  <c r="CP21" i="1"/>
  <c r="BB19" i="1"/>
  <c r="N17" i="1"/>
  <c r="CD14" i="1"/>
  <c r="AP12" i="1"/>
  <c r="DF9" i="1"/>
  <c r="BR7" i="1"/>
  <c r="AD5" i="1"/>
  <c r="DA143" i="1"/>
  <c r="BM141" i="1"/>
  <c r="Y139" i="1"/>
  <c r="CO136" i="1"/>
  <c r="BA134" i="1"/>
  <c r="M132" i="1"/>
  <c r="CC129" i="1"/>
  <c r="AO127" i="1"/>
  <c r="DE124" i="1"/>
  <c r="BQ122" i="1"/>
  <c r="AC120" i="1"/>
  <c r="CS117" i="1"/>
  <c r="BE115" i="1"/>
  <c r="Q113" i="1"/>
  <c r="CG110" i="1"/>
  <c r="AS108" i="1"/>
  <c r="DI105" i="1"/>
  <c r="BU103" i="1"/>
  <c r="AG101" i="1"/>
  <c r="CW98" i="1"/>
  <c r="BI96" i="1"/>
  <c r="U94" i="1"/>
  <c r="CK91" i="1"/>
  <c r="AW89" i="1"/>
  <c r="I87" i="1"/>
  <c r="CC125" i="1"/>
  <c r="CK119" i="1"/>
  <c r="I115" i="1"/>
  <c r="AK110" i="1"/>
  <c r="BM105" i="1"/>
  <c r="Q101" i="1"/>
  <c r="DI97" i="1"/>
  <c r="CW94" i="1"/>
  <c r="BU91" i="1"/>
  <c r="BI88" i="1"/>
  <c r="AW85" i="1"/>
  <c r="I83" i="1"/>
  <c r="BY80" i="1"/>
  <c r="AK78" i="1"/>
  <c r="DA75" i="1"/>
  <c r="BM73" i="1"/>
  <c r="Y71" i="1"/>
  <c r="CO68" i="1"/>
  <c r="BA66" i="1"/>
  <c r="CW100" i="1"/>
  <c r="AW91" i="1"/>
  <c r="DA81" i="1"/>
  <c r="BA72" i="1"/>
  <c r="BI64" i="1"/>
  <c r="CK59" i="1"/>
  <c r="I55" i="1"/>
  <c r="AK50" i="1"/>
  <c r="BM45" i="1"/>
  <c r="CO40" i="1"/>
  <c r="M36" i="1"/>
  <c r="AO31" i="1"/>
  <c r="BQ26" i="1"/>
  <c r="CS21" i="1"/>
  <c r="Q17" i="1"/>
  <c r="AS12" i="1"/>
  <c r="BU7" i="1"/>
  <c r="CZ143" i="1"/>
  <c r="X139" i="1"/>
  <c r="AZ134" i="1"/>
  <c r="CB129" i="1"/>
  <c r="DD124" i="1"/>
  <c r="AB120" i="1"/>
  <c r="BD115" i="1"/>
  <c r="CF110" i="1"/>
  <c r="AR107" i="1"/>
  <c r="DH104" i="1"/>
  <c r="BT102" i="1"/>
  <c r="AF100" i="1"/>
  <c r="CV97" i="1"/>
  <c r="BH95" i="1"/>
  <c r="T93" i="1"/>
  <c r="CJ90" i="1"/>
  <c r="AV88" i="1"/>
  <c r="H86" i="1"/>
  <c r="BX83" i="1"/>
  <c r="AJ81" i="1"/>
  <c r="CZ78" i="1"/>
  <c r="BL76" i="1"/>
  <c r="X74" i="1"/>
  <c r="CN71" i="1"/>
  <c r="AZ69" i="1"/>
  <c r="L67" i="1"/>
  <c r="CB64" i="1"/>
  <c r="AN62" i="1"/>
  <c r="DD59" i="1"/>
  <c r="BP57" i="1"/>
  <c r="AB55" i="1"/>
  <c r="CR52" i="1"/>
  <c r="BD50" i="1"/>
  <c r="P48" i="1"/>
  <c r="CF45" i="1"/>
  <c r="AR43" i="1"/>
  <c r="DH40" i="1"/>
  <c r="BT38" i="1"/>
  <c r="AF36" i="1"/>
  <c r="CV33" i="1"/>
  <c r="BH31" i="1"/>
  <c r="T29" i="1"/>
  <c r="CJ26" i="1"/>
  <c r="AV24" i="1"/>
  <c r="H22" i="1"/>
  <c r="BX19" i="1"/>
  <c r="AJ17" i="1"/>
  <c r="CZ14" i="1"/>
  <c r="BL12" i="1"/>
  <c r="X10" i="1"/>
  <c r="CN7" i="1"/>
  <c r="AZ5" i="1"/>
  <c r="L3" i="1"/>
  <c r="I61" i="1"/>
  <c r="BI46" i="1"/>
  <c r="CW32" i="1"/>
  <c r="AS18" i="1"/>
  <c r="BM3" i="1"/>
  <c r="CJ129" i="1"/>
  <c r="BL115" i="1"/>
  <c r="BP104" i="1"/>
  <c r="H97" i="1"/>
  <c r="BD89" i="1"/>
  <c r="BH82" i="1"/>
  <c r="P75" i="1"/>
  <c r="CB67" i="1"/>
  <c r="AZ60" i="1"/>
  <c r="H53" i="1"/>
  <c r="AN45" i="1"/>
  <c r="BT37" i="1"/>
  <c r="L30" i="1"/>
  <c r="DD22" i="1"/>
  <c r="P15" i="1"/>
  <c r="DD6" i="1"/>
  <c r="AK104" i="1"/>
  <c r="CO94" i="1"/>
  <c r="AO85" i="1"/>
  <c r="CS75" i="1"/>
  <c r="AS66" i="1"/>
  <c r="BE61" i="1"/>
  <c r="CG56" i="1"/>
  <c r="DI51" i="1"/>
  <c r="AG47" i="1"/>
  <c r="BI42" i="1"/>
  <c r="CK37" i="1"/>
  <c r="I33" i="1"/>
  <c r="AK28" i="1"/>
  <c r="BM23" i="1"/>
  <c r="CO18" i="1"/>
  <c r="M14" i="1"/>
  <c r="AO9" i="1"/>
  <c r="BQ4" i="1"/>
  <c r="CV140" i="1"/>
  <c r="T136" i="1"/>
  <c r="AV131" i="1"/>
  <c r="BX126" i="1"/>
  <c r="CZ121" i="1"/>
  <c r="X117" i="1"/>
  <c r="AZ112" i="1"/>
  <c r="AB108" i="1"/>
  <c r="CR105" i="1"/>
  <c r="BD103" i="1"/>
  <c r="P101" i="1"/>
  <c r="CF98" i="1"/>
  <c r="AR96" i="1"/>
  <c r="DH93" i="1"/>
  <c r="BT91" i="1"/>
  <c r="AF89" i="1"/>
  <c r="CV86" i="1"/>
  <c r="BH84" i="1"/>
  <c r="T82" i="1"/>
  <c r="CJ79" i="1"/>
  <c r="AV77" i="1"/>
  <c r="H75" i="1"/>
  <c r="BX72" i="1"/>
  <c r="AJ70" i="1"/>
  <c r="CZ67" i="1"/>
  <c r="BL65" i="1"/>
  <c r="X63" i="1"/>
  <c r="CN60" i="1"/>
  <c r="AZ58" i="1"/>
  <c r="L56" i="1"/>
  <c r="CB53" i="1"/>
  <c r="AN51" i="1"/>
  <c r="DD48" i="1"/>
  <c r="BP46" i="1"/>
  <c r="AB44" i="1"/>
  <c r="CR41" i="1"/>
  <c r="BD39" i="1"/>
  <c r="P37" i="1"/>
  <c r="CF34" i="1"/>
  <c r="AR32" i="1"/>
  <c r="DH29" i="1"/>
  <c r="BT27" i="1"/>
  <c r="AF25" i="1"/>
  <c r="CV22" i="1"/>
  <c r="BH20" i="1"/>
  <c r="T18" i="1"/>
  <c r="CJ15" i="1"/>
  <c r="AV13" i="1"/>
  <c r="H11" i="1"/>
  <c r="BX8" i="1"/>
  <c r="AJ6" i="1"/>
  <c r="CZ3" i="1"/>
  <c r="BY66" i="1"/>
  <c r="CG52" i="1"/>
  <c r="BI38" i="1"/>
  <c r="CW24" i="1"/>
  <c r="BY10" i="1"/>
  <c r="CJ137" i="1"/>
  <c r="CR123" i="1"/>
  <c r="BT109" i="1"/>
  <c r="AR102" i="1"/>
  <c r="AF95" i="1"/>
  <c r="AJ88" i="1"/>
  <c r="CV80" i="1"/>
  <c r="AB74" i="1"/>
  <c r="AV67" i="1"/>
  <c r="CV60" i="1"/>
  <c r="CZ53" i="1"/>
  <c r="DD46" i="1"/>
  <c r="T40" i="1"/>
  <c r="BD33" i="1"/>
  <c r="AR26" i="1"/>
  <c r="AF19" i="1"/>
  <c r="AZ12" i="1"/>
  <c r="CJ5" i="1"/>
  <c r="AS102" i="1"/>
  <c r="CW92" i="1"/>
  <c r="AW83" i="1"/>
  <c r="DA73" i="1"/>
  <c r="AG65" i="1"/>
  <c r="BI60" i="1"/>
  <c r="CK55" i="1"/>
  <c r="I51" i="1"/>
  <c r="AK46" i="1"/>
  <c r="BM41" i="1"/>
  <c r="CO36" i="1"/>
  <c r="M32" i="1"/>
  <c r="AO27" i="1"/>
  <c r="BQ22" i="1"/>
  <c r="CS17" i="1"/>
  <c r="Q13" i="1"/>
  <c r="AS8" i="1"/>
  <c r="BU3" i="1"/>
  <c r="CZ139" i="1"/>
  <c r="X135" i="1"/>
  <c r="AZ130" i="1"/>
  <c r="CB125" i="1"/>
  <c r="DD120" i="1"/>
  <c r="AB116" i="1"/>
  <c r="BD111" i="1"/>
  <c r="CF107" i="1"/>
  <c r="AR105" i="1"/>
  <c r="DH102" i="1"/>
  <c r="BT100" i="1"/>
  <c r="AF98" i="1"/>
  <c r="CV95" i="1"/>
  <c r="BH93" i="1"/>
  <c r="T91" i="1"/>
  <c r="CJ88" i="1"/>
  <c r="AV86" i="1"/>
  <c r="H84" i="1"/>
  <c r="BX81" i="1"/>
  <c r="AJ79" i="1"/>
  <c r="CZ76" i="1"/>
  <c r="BL74" i="1"/>
  <c r="X72" i="1"/>
  <c r="CN69" i="1"/>
  <c r="AZ67" i="1"/>
  <c r="L65" i="1"/>
  <c r="CB62" i="1"/>
  <c r="AN60" i="1"/>
  <c r="DD57" i="1"/>
  <c r="BP55" i="1"/>
  <c r="AB53" i="1"/>
  <c r="CR50" i="1"/>
  <c r="BD48" i="1"/>
  <c r="P46" i="1"/>
  <c r="CF43" i="1"/>
  <c r="AR41" i="1"/>
  <c r="DH38" i="1"/>
  <c r="BT36" i="1"/>
  <c r="AF34" i="1"/>
  <c r="CV31" i="1"/>
  <c r="BH29" i="1"/>
  <c r="T27" i="1"/>
  <c r="CJ24" i="1"/>
  <c r="AV22" i="1"/>
  <c r="H20" i="1"/>
  <c r="BX17" i="1"/>
  <c r="AJ15" i="1"/>
  <c r="CZ12" i="1"/>
  <c r="BL10" i="1"/>
  <c r="X8" i="1"/>
  <c r="CN5" i="1"/>
  <c r="AZ3" i="1"/>
  <c r="CS99" i="1"/>
  <c r="DI87" i="1"/>
  <c r="DA61" i="1"/>
  <c r="AK32" i="1"/>
  <c r="AN141" i="1"/>
  <c r="CN110" i="1"/>
  <c r="CR95" i="1"/>
  <c r="AJ80" i="1"/>
  <c r="BT65" i="1"/>
  <c r="AV51" i="1"/>
  <c r="L34" i="1"/>
  <c r="BX18" i="1"/>
  <c r="X5" i="1"/>
  <c r="CV24" i="1"/>
  <c r="CN34" i="1"/>
  <c r="DD10" i="1"/>
  <c r="I123" i="1"/>
  <c r="AK118" i="1"/>
  <c r="BM113" i="1"/>
  <c r="CO108" i="1"/>
  <c r="M104" i="1"/>
  <c r="AC100" i="1"/>
  <c r="DE96" i="1"/>
  <c r="CS93" i="1"/>
  <c r="CG90" i="1"/>
  <c r="BE87" i="1"/>
  <c r="BY84" i="1"/>
  <c r="AK82" i="1"/>
  <c r="DA79" i="1"/>
  <c r="BM77" i="1"/>
  <c r="Y75" i="1"/>
  <c r="CO72" i="1"/>
  <c r="BA70" i="1"/>
  <c r="M68" i="1"/>
  <c r="AW107" i="1"/>
  <c r="DA97" i="1"/>
  <c r="BA88" i="1"/>
  <c r="DE78" i="1"/>
  <c r="BE69" i="1"/>
  <c r="I63" i="1"/>
  <c r="AK58" i="1"/>
  <c r="BM53" i="1"/>
  <c r="CO48" i="1"/>
  <c r="M44" i="1"/>
  <c r="AO39" i="1"/>
  <c r="BQ34" i="1"/>
  <c r="CS29" i="1"/>
  <c r="Q25" i="1"/>
  <c r="AS20" i="1"/>
  <c r="BU15" i="1"/>
  <c r="CW10" i="1"/>
  <c r="U6" i="1"/>
  <c r="AZ142" i="1"/>
  <c r="CB137" i="1"/>
  <c r="DD132" i="1"/>
  <c r="AB128" i="1"/>
  <c r="BD123" i="1"/>
  <c r="CF118" i="1"/>
  <c r="DH113" i="1"/>
  <c r="AF109" i="1"/>
  <c r="BT106" i="1"/>
  <c r="AF104" i="1"/>
  <c r="CV101" i="1"/>
  <c r="BH99" i="1"/>
  <c r="T97" i="1"/>
  <c r="CJ94" i="1"/>
  <c r="AV92" i="1"/>
  <c r="H90" i="1"/>
  <c r="BX87" i="1"/>
  <c r="AJ85" i="1"/>
  <c r="CZ82" i="1"/>
  <c r="BL80" i="1"/>
  <c r="X78" i="1"/>
  <c r="CN75" i="1"/>
  <c r="AZ73" i="1"/>
  <c r="L71" i="1"/>
  <c r="CB68" i="1"/>
  <c r="AN66" i="1"/>
  <c r="DD63" i="1"/>
  <c r="BP61" i="1"/>
  <c r="AB59" i="1"/>
  <c r="CR56" i="1"/>
  <c r="BD54" i="1"/>
  <c r="P52" i="1"/>
  <c r="CF49" i="1"/>
  <c r="AR47" i="1"/>
  <c r="DH44" i="1"/>
  <c r="BT42" i="1"/>
  <c r="AF40" i="1"/>
  <c r="CV37" i="1"/>
  <c r="BH35" i="1"/>
  <c r="T33" i="1"/>
  <c r="CJ30" i="1"/>
  <c r="AV28" i="1"/>
  <c r="H26" i="1"/>
  <c r="BX23" i="1"/>
  <c r="AJ21" i="1"/>
  <c r="CZ18" i="1"/>
  <c r="BL16" i="1"/>
  <c r="X14" i="1"/>
  <c r="CN11" i="1"/>
  <c r="AZ9" i="1"/>
  <c r="L7" i="1"/>
  <c r="CB4" i="1"/>
  <c r="BM75" i="1"/>
  <c r="CW56" i="1"/>
  <c r="AS42" i="1"/>
  <c r="CS27" i="1"/>
  <c r="BU13" i="1"/>
  <c r="T140" i="1"/>
  <c r="AN125" i="1"/>
  <c r="BH110" i="1"/>
  <c r="L102" i="1"/>
  <c r="BH94" i="1"/>
  <c r="AF87" i="1"/>
  <c r="T80" i="1"/>
  <c r="AZ72" i="1"/>
  <c r="AN65" i="1"/>
  <c r="CZ57" i="1"/>
  <c r="CN50" i="1"/>
  <c r="DD42" i="1"/>
  <c r="P35" i="1"/>
  <c r="DH27" i="1"/>
  <c r="AZ20" i="1"/>
  <c r="BP12" i="1"/>
  <c r="BP4" i="1"/>
  <c r="AO101" i="1"/>
  <c r="CS91" i="1"/>
  <c r="AS82" i="1"/>
  <c r="CW72" i="1"/>
  <c r="CG64" i="1"/>
  <c r="DI59" i="1"/>
  <c r="AG55" i="1"/>
  <c r="BI50" i="1"/>
  <c r="CK45" i="1"/>
  <c r="I41" i="1"/>
  <c r="AK36" i="1"/>
  <c r="BM31" i="1"/>
  <c r="CO26" i="1"/>
  <c r="M22" i="1"/>
  <c r="AO17" i="1"/>
  <c r="BQ12" i="1"/>
  <c r="CS7" i="1"/>
  <c r="Q3" i="1"/>
  <c r="AV139" i="1"/>
  <c r="BX134" i="1"/>
  <c r="CZ129" i="1"/>
  <c r="X125" i="1"/>
  <c r="AZ120" i="1"/>
  <c r="CB115" i="1"/>
  <c r="DD110" i="1"/>
  <c r="BD107" i="1"/>
  <c r="P105" i="1"/>
  <c r="CF102" i="1"/>
  <c r="AR100" i="1"/>
  <c r="DH97" i="1"/>
  <c r="BT95" i="1"/>
  <c r="AF93" i="1"/>
  <c r="CV90" i="1"/>
  <c r="BH88" i="1"/>
  <c r="T86" i="1"/>
  <c r="CJ83" i="1"/>
  <c r="AV81" i="1"/>
  <c r="H79" i="1"/>
  <c r="BX76" i="1"/>
  <c r="AJ74" i="1"/>
  <c r="CZ71" i="1"/>
  <c r="BL69" i="1"/>
  <c r="X67" i="1"/>
  <c r="CN64" i="1"/>
  <c r="AZ62" i="1"/>
  <c r="L60" i="1"/>
  <c r="CB57" i="1"/>
  <c r="AN55" i="1"/>
  <c r="DD52" i="1"/>
  <c r="BP50" i="1"/>
  <c r="AB48" i="1"/>
  <c r="CR45" i="1"/>
  <c r="BD43" i="1"/>
  <c r="P41" i="1"/>
  <c r="CF38" i="1"/>
  <c r="AR36" i="1"/>
  <c r="DH33" i="1"/>
  <c r="BT31" i="1"/>
  <c r="AF29" i="1"/>
  <c r="CV26" i="1"/>
  <c r="BH24" i="1"/>
  <c r="T22" i="1"/>
  <c r="CJ19" i="1"/>
  <c r="AV17" i="1"/>
  <c r="H15" i="1"/>
  <c r="BX12" i="1"/>
  <c r="AJ10" i="1"/>
  <c r="CZ7" i="1"/>
  <c r="BL5" i="1"/>
  <c r="X3" i="1"/>
  <c r="AC62" i="1"/>
  <c r="CW48" i="1"/>
  <c r="M34" i="1"/>
  <c r="BA20" i="1"/>
  <c r="BI6" i="1"/>
  <c r="CZ133" i="1"/>
  <c r="AV119" i="1"/>
  <c r="P107" i="1"/>
  <c r="DH99" i="1"/>
  <c r="AN93" i="1"/>
  <c r="AB86" i="1"/>
  <c r="BX78" i="1"/>
  <c r="T72" i="1"/>
  <c r="BD65" i="1"/>
  <c r="BH58" i="1"/>
  <c r="CB51" i="1"/>
  <c r="CF44" i="1"/>
  <c r="L38" i="1"/>
  <c r="AV31" i="1"/>
  <c r="T24" i="1"/>
  <c r="X17" i="1"/>
  <c r="AR10" i="1"/>
  <c r="AF3" i="1"/>
  <c r="AW99" i="1"/>
  <c r="DA89" i="1"/>
  <c r="BA80" i="1"/>
  <c r="DE70" i="1"/>
  <c r="CK63" i="1"/>
  <c r="I59" i="1"/>
  <c r="AK54" i="1"/>
  <c r="BM49" i="1"/>
  <c r="CO44" i="1"/>
  <c r="M40" i="1"/>
  <c r="AO35" i="1"/>
  <c r="BQ30" i="1"/>
  <c r="CS25" i="1"/>
  <c r="Q21" i="1"/>
  <c r="AS16" i="1"/>
  <c r="BU11" i="1"/>
  <c r="CW6" i="1"/>
  <c r="X143" i="1"/>
  <c r="AZ138" i="1"/>
  <c r="CB133" i="1"/>
  <c r="DD128" i="1"/>
  <c r="AB124" i="1"/>
  <c r="BD119" i="1"/>
  <c r="CF114" i="1"/>
  <c r="DH109" i="1"/>
  <c r="DH106" i="1"/>
  <c r="BT104" i="1"/>
  <c r="AF102" i="1"/>
  <c r="CV99" i="1"/>
  <c r="BH97" i="1"/>
  <c r="T95" i="1"/>
  <c r="CJ92" i="1"/>
  <c r="AV90" i="1"/>
  <c r="H88" i="1"/>
  <c r="BX85" i="1"/>
  <c r="AJ83" i="1"/>
  <c r="CZ80" i="1"/>
  <c r="BL78" i="1"/>
  <c r="X76" i="1"/>
  <c r="CN73" i="1"/>
  <c r="AZ71" i="1"/>
  <c r="L69" i="1"/>
  <c r="CB66" i="1"/>
  <c r="AN64" i="1"/>
  <c r="DD61" i="1"/>
  <c r="BP59" i="1"/>
  <c r="AB57" i="1"/>
  <c r="CR54" i="1"/>
  <c r="BD52" i="1"/>
  <c r="P50" i="1"/>
  <c r="CF47" i="1"/>
  <c r="AR45" i="1"/>
  <c r="DH42" i="1"/>
  <c r="BT40" i="1"/>
  <c r="AF38" i="1"/>
  <c r="CV35" i="1"/>
  <c r="BH33" i="1"/>
  <c r="T31" i="1"/>
  <c r="CJ28" i="1"/>
  <c r="AV26" i="1"/>
  <c r="H24" i="1"/>
  <c r="BX21" i="1"/>
  <c r="AJ19" i="1"/>
  <c r="CZ16" i="1"/>
  <c r="BL14" i="1"/>
  <c r="X12" i="1"/>
  <c r="CN9" i="1"/>
  <c r="AZ7" i="1"/>
  <c r="L5" i="1"/>
  <c r="AS106" i="1"/>
  <c r="CW96" i="1"/>
  <c r="AW87" i="1"/>
  <c r="CO70" i="1"/>
  <c r="AO53" i="1"/>
  <c r="Q39" i="1"/>
  <c r="AK24" i="1"/>
  <c r="CK9" i="1"/>
  <c r="CV136" i="1"/>
  <c r="AF123" i="1"/>
  <c r="CZ109" i="1"/>
  <c r="AB102" i="1"/>
  <c r="AV95" i="1"/>
  <c r="AZ88" i="1"/>
  <c r="CJ81" i="1"/>
  <c r="AR74" i="1"/>
  <c r="P67" i="1"/>
  <c r="CB59" i="1"/>
  <c r="CF52" i="1"/>
  <c r="CZ45" i="1"/>
  <c r="BX26" i="1"/>
  <c r="AR6" i="1"/>
  <c r="BX14" i="1"/>
  <c r="BI124" i="1"/>
  <c r="Y119" i="1"/>
  <c r="BA114" i="1"/>
  <c r="CC109" i="1"/>
  <c r="DE104" i="1"/>
  <c r="CO100" i="1"/>
  <c r="BM97" i="1"/>
  <c r="BA94" i="1"/>
  <c r="AO91" i="1"/>
  <c r="M88" i="1"/>
  <c r="Q85" i="1"/>
  <c r="CG82" i="1"/>
  <c r="AS80" i="1"/>
  <c r="DI77" i="1"/>
  <c r="BU75" i="1"/>
  <c r="AG73" i="1"/>
  <c r="CW70" i="1"/>
  <c r="BI68" i="1"/>
  <c r="U66" i="1"/>
  <c r="CC99" i="1"/>
  <c r="AC90" i="1"/>
  <c r="CG80" i="1"/>
  <c r="AG71" i="1"/>
  <c r="DA63" i="1"/>
  <c r="Y59" i="1"/>
  <c r="BA54" i="1"/>
  <c r="CC49" i="1"/>
  <c r="DE44" i="1"/>
  <c r="AC40" i="1"/>
  <c r="BE35" i="1"/>
  <c r="CG30" i="1"/>
  <c r="DI25" i="1"/>
  <c r="AG21" i="1"/>
  <c r="BI16" i="1"/>
  <c r="CK11" i="1"/>
  <c r="I7" i="1"/>
  <c r="AN143" i="1"/>
  <c r="BP138" i="1"/>
  <c r="CR133" i="1"/>
  <c r="P129" i="1"/>
  <c r="AR124" i="1"/>
  <c r="BT119" i="1"/>
  <c r="CV114" i="1"/>
  <c r="T110" i="1"/>
  <c r="L107" i="1"/>
  <c r="CB104" i="1"/>
  <c r="AN102" i="1"/>
  <c r="DD99" i="1"/>
  <c r="BP97" i="1"/>
  <c r="AB95" i="1"/>
  <c r="CR92" i="1"/>
  <c r="BD90" i="1"/>
  <c r="P88" i="1"/>
  <c r="CF85" i="1"/>
  <c r="AR83" i="1"/>
  <c r="DH80" i="1"/>
  <c r="BT78" i="1"/>
  <c r="AF76" i="1"/>
  <c r="CV73" i="1"/>
  <c r="BH71" i="1"/>
  <c r="T69" i="1"/>
  <c r="CJ66" i="1"/>
  <c r="AV64" i="1"/>
  <c r="H62" i="1"/>
  <c r="BX59" i="1"/>
  <c r="AJ57" i="1"/>
  <c r="CZ54" i="1"/>
  <c r="BL52" i="1"/>
  <c r="X50" i="1"/>
  <c r="CN47" i="1"/>
  <c r="AZ45" i="1"/>
  <c r="L43" i="1"/>
  <c r="CB40" i="1"/>
  <c r="AN38" i="1"/>
  <c r="DD35" i="1"/>
  <c r="BP33" i="1"/>
  <c r="AB31" i="1"/>
  <c r="CR28" i="1"/>
  <c r="BD26" i="1"/>
  <c r="P24" i="1"/>
  <c r="CF21" i="1"/>
  <c r="AR19" i="1"/>
  <c r="DH16" i="1"/>
  <c r="BT14" i="1"/>
  <c r="AF12" i="1"/>
  <c r="CV9" i="1"/>
  <c r="BH7" i="1"/>
  <c r="T5" i="1"/>
  <c r="CW80" i="1"/>
  <c r="BM59" i="1"/>
  <c r="I45" i="1"/>
  <c r="CO30" i="1"/>
  <c r="DI15" i="1"/>
  <c r="CN142" i="1"/>
  <c r="DH127" i="1"/>
  <c r="BD113" i="1"/>
  <c r="BL103" i="1"/>
  <c r="DH95" i="1"/>
  <c r="BP88" i="1"/>
  <c r="BD81" i="1"/>
  <c r="L74" i="1"/>
  <c r="CN66" i="1"/>
  <c r="BL59" i="1"/>
  <c r="DH51" i="1"/>
  <c r="AJ44" i="1"/>
  <c r="CF36" i="1"/>
  <c r="AN29" i="1"/>
  <c r="CJ21" i="1"/>
  <c r="L14" i="1"/>
  <c r="CZ5" i="1"/>
  <c r="Q103" i="1"/>
  <c r="BU93" i="1"/>
  <c r="U84" i="1"/>
  <c r="BY74" i="1"/>
  <c r="BU65" i="1"/>
  <c r="CW60" i="1"/>
  <c r="U56" i="1"/>
  <c r="AW51" i="1"/>
  <c r="BY46" i="1"/>
  <c r="DA41" i="1"/>
  <c r="Y37" i="1"/>
  <c r="BA32" i="1"/>
  <c r="CC27" i="1"/>
  <c r="DE22" i="1"/>
  <c r="AC18" i="1"/>
  <c r="BE13" i="1"/>
  <c r="CG8" i="1"/>
  <c r="DI3" i="1"/>
  <c r="AJ140" i="1"/>
  <c r="BL135" i="1"/>
  <c r="CN130" i="1"/>
  <c r="L126" i="1"/>
  <c r="AN121" i="1"/>
  <c r="BP116" i="1"/>
  <c r="CR111" i="1"/>
  <c r="CZ107" i="1"/>
  <c r="BL105" i="1"/>
  <c r="X103" i="1"/>
  <c r="CN100" i="1"/>
  <c r="AZ98" i="1"/>
  <c r="L96" i="1"/>
  <c r="CB93" i="1"/>
  <c r="AN91" i="1"/>
  <c r="DD88" i="1"/>
  <c r="BP86" i="1"/>
  <c r="AB84" i="1"/>
  <c r="CR81" i="1"/>
  <c r="BD79" i="1"/>
  <c r="P77" i="1"/>
  <c r="CF74" i="1"/>
  <c r="AR72" i="1"/>
  <c r="DH69" i="1"/>
  <c r="BT67" i="1"/>
  <c r="AF65" i="1"/>
  <c r="CV62" i="1"/>
  <c r="BH60" i="1"/>
  <c r="T58" i="1"/>
  <c r="CJ55" i="1"/>
  <c r="AV53" i="1"/>
  <c r="H51" i="1"/>
  <c r="BX48" i="1"/>
  <c r="AJ46" i="1"/>
  <c r="CZ43" i="1"/>
  <c r="BL41" i="1"/>
  <c r="X39" i="1"/>
  <c r="CN36" i="1"/>
  <c r="AZ34" i="1"/>
  <c r="L32" i="1"/>
  <c r="CB29" i="1"/>
  <c r="AN27" i="1"/>
  <c r="DD24" i="1"/>
  <c r="BP22" i="1"/>
  <c r="AB20" i="1"/>
  <c r="CR17" i="1"/>
  <c r="BD15" i="1"/>
  <c r="P13" i="1"/>
  <c r="CF10" i="1"/>
  <c r="AR8" i="1"/>
  <c r="DH5" i="1"/>
  <c r="BT3" i="1"/>
  <c r="BQ64" i="1"/>
  <c r="AG51" i="1"/>
  <c r="CG36" i="1"/>
  <c r="Q23" i="1"/>
  <c r="BE9" i="1"/>
  <c r="BP136" i="1"/>
  <c r="L122" i="1"/>
  <c r="AJ108" i="1"/>
  <c r="AN101" i="1"/>
  <c r="AR94" i="1"/>
  <c r="AV87" i="1"/>
  <c r="DH79" i="1"/>
  <c r="AN73" i="1"/>
  <c r="BX66" i="1"/>
  <c r="CR59" i="1"/>
  <c r="CV52" i="1"/>
  <c r="L46" i="1"/>
  <c r="AV39" i="1"/>
  <c r="BP32" i="1"/>
  <c r="BD25" i="1"/>
  <c r="AR18" i="1"/>
  <c r="BL11" i="1"/>
  <c r="CV4" i="1"/>
  <c r="Y101" i="1"/>
  <c r="CC91" i="1"/>
  <c r="AC82" i="1"/>
  <c r="CG72" i="1"/>
  <c r="BY64" i="1"/>
  <c r="DA59" i="1"/>
  <c r="Y55" i="1"/>
  <c r="BA50" i="1"/>
  <c r="CC45" i="1"/>
  <c r="DE40" i="1"/>
  <c r="AC36" i="1"/>
  <c r="BE31" i="1"/>
  <c r="CG26" i="1"/>
  <c r="DI21" i="1"/>
  <c r="AG17" i="1"/>
  <c r="BI12" i="1"/>
  <c r="CK7" i="1"/>
  <c r="I3" i="1"/>
  <c r="AN139" i="1"/>
  <c r="BP134" i="1"/>
  <c r="CR129" i="1"/>
  <c r="P125" i="1"/>
  <c r="AR120" i="1"/>
  <c r="BT115" i="1"/>
  <c r="CV110" i="1"/>
  <c r="AZ107" i="1"/>
  <c r="L105" i="1"/>
  <c r="CB102" i="1"/>
  <c r="AN100" i="1"/>
  <c r="DD97" i="1"/>
  <c r="BP95" i="1"/>
  <c r="AB93" i="1"/>
  <c r="CR90" i="1"/>
  <c r="BD88" i="1"/>
  <c r="P86" i="1"/>
  <c r="CF83" i="1"/>
  <c r="AR81" i="1"/>
  <c r="DH78" i="1"/>
  <c r="BT76" i="1"/>
  <c r="AF74" i="1"/>
  <c r="CV71" i="1"/>
  <c r="BH69" i="1"/>
  <c r="T67" i="1"/>
  <c r="CJ64" i="1"/>
  <c r="AV62" i="1"/>
  <c r="H60" i="1"/>
  <c r="BX57" i="1"/>
  <c r="AJ55" i="1"/>
  <c r="CZ52" i="1"/>
  <c r="BL50" i="1"/>
  <c r="X48" i="1"/>
  <c r="CN45" i="1"/>
  <c r="AZ43" i="1"/>
  <c r="L41" i="1"/>
  <c r="CB38" i="1"/>
  <c r="AN36" i="1"/>
  <c r="DD33" i="1"/>
  <c r="BP31" i="1"/>
  <c r="AB29" i="1"/>
  <c r="CR26" i="1"/>
  <c r="BD24" i="1"/>
  <c r="P22" i="1"/>
  <c r="CF19" i="1"/>
  <c r="AR17" i="1"/>
  <c r="DH14" i="1"/>
  <c r="BT12" i="1"/>
  <c r="AF10" i="1"/>
  <c r="CV7" i="1"/>
  <c r="BH5" i="1"/>
  <c r="T3" i="1"/>
  <c r="BY98" i="1"/>
  <c r="Y89" i="1"/>
  <c r="AO77" i="1"/>
  <c r="DI55" i="1"/>
  <c r="Y41" i="1"/>
  <c r="DE26" i="1"/>
  <c r="I13" i="1"/>
  <c r="CR139" i="1"/>
  <c r="CZ125" i="1"/>
  <c r="AJ112" i="1"/>
  <c r="AV103" i="1"/>
  <c r="CF96" i="1"/>
  <c r="CJ89" i="1"/>
  <c r="P83" i="1"/>
  <c r="DH75" i="1"/>
  <c r="BP68" i="1"/>
  <c r="X61" i="1"/>
  <c r="L54" i="1"/>
  <c r="AF47" i="1"/>
  <c r="DH39" i="1"/>
  <c r="AZ24" i="1"/>
  <c r="AK126" i="1"/>
  <c r="M120" i="1"/>
  <c r="AO115" i="1"/>
  <c r="BQ110" i="1"/>
  <c r="CS105" i="1"/>
  <c r="AW101" i="1"/>
  <c r="U98" i="1"/>
  <c r="I95" i="1"/>
  <c r="DA91" i="1"/>
  <c r="BY88" i="1"/>
  <c r="BM85" i="1"/>
  <c r="Y83" i="1"/>
  <c r="CO80" i="1"/>
  <c r="BA78" i="1"/>
  <c r="M76" i="1"/>
  <c r="CC73" i="1"/>
  <c r="AO71" i="1"/>
  <c r="DE68" i="1"/>
  <c r="BQ66" i="1"/>
  <c r="BE101" i="1"/>
  <c r="DI91" i="1"/>
  <c r="BI82" i="1"/>
  <c r="I73" i="1"/>
  <c r="CO64" i="1"/>
  <c r="M60" i="1"/>
  <c r="AO55" i="1"/>
  <c r="BQ50" i="1"/>
  <c r="CS45" i="1"/>
  <c r="Q41" i="1"/>
  <c r="AS36" i="1"/>
  <c r="BU31" i="1"/>
  <c r="CW26" i="1"/>
  <c r="U22" i="1"/>
  <c r="AW17" i="1"/>
  <c r="BY12" i="1"/>
  <c r="DA7" i="1"/>
  <c r="Y3" i="1"/>
  <c r="BD139" i="1"/>
  <c r="CF134" i="1"/>
  <c r="DH129" i="1"/>
  <c r="AF125" i="1"/>
  <c r="BH120" i="1"/>
  <c r="CJ115" i="1"/>
  <c r="H111" i="1"/>
  <c r="BH107" i="1"/>
  <c r="T105" i="1"/>
  <c r="CJ102" i="1"/>
  <c r="AV100" i="1"/>
  <c r="H98" i="1"/>
  <c r="BX95" i="1"/>
  <c r="AJ93" i="1"/>
  <c r="CZ90" i="1"/>
  <c r="BL88" i="1"/>
  <c r="X86" i="1"/>
  <c r="CN83" i="1"/>
  <c r="AZ81" i="1"/>
  <c r="L79" i="1"/>
  <c r="CB76" i="1"/>
  <c r="AN74" i="1"/>
  <c r="DD71" i="1"/>
  <c r="BP69" i="1"/>
  <c r="AB67" i="1"/>
  <c r="CR64" i="1"/>
  <c r="BD62" i="1"/>
  <c r="P60" i="1"/>
  <c r="CF57" i="1"/>
  <c r="AR55" i="1"/>
  <c r="DH52" i="1"/>
  <c r="BT50" i="1"/>
  <c r="AF48" i="1"/>
  <c r="CV45" i="1"/>
  <c r="BH43" i="1"/>
  <c r="T41" i="1"/>
  <c r="CJ38" i="1"/>
  <c r="AV36" i="1"/>
  <c r="H34" i="1"/>
  <c r="BX31" i="1"/>
  <c r="AJ29" i="1"/>
  <c r="CZ26" i="1"/>
  <c r="BL24" i="1"/>
  <c r="X22" i="1"/>
  <c r="CN19" i="1"/>
  <c r="AZ17" i="1"/>
  <c r="L15" i="1"/>
  <c r="CB12" i="1"/>
  <c r="AN10" i="1"/>
  <c r="DD7" i="1"/>
  <c r="BP5" i="1"/>
  <c r="AB3" i="1"/>
  <c r="BU61" i="1"/>
  <c r="AW47" i="1"/>
  <c r="BE33" i="1"/>
  <c r="DE18" i="1"/>
  <c r="BA4" i="1"/>
  <c r="DD130" i="1"/>
  <c r="AZ116" i="1"/>
  <c r="H105" i="1"/>
  <c r="BT97" i="1"/>
  <c r="CZ89" i="1"/>
  <c r="BX82" i="1"/>
  <c r="AF75" i="1"/>
  <c r="DH67" i="1"/>
  <c r="CF60" i="1"/>
  <c r="BD53" i="1"/>
  <c r="CJ45" i="1"/>
  <c r="AR38" i="1"/>
  <c r="AR30" i="1"/>
  <c r="AV23" i="1"/>
  <c r="BL15" i="1"/>
  <c r="AF7" i="1"/>
  <c r="CW104" i="1"/>
  <c r="AW95" i="1"/>
  <c r="DA85" i="1"/>
  <c r="BA76" i="1"/>
  <c r="DE66" i="1"/>
  <c r="CK61" i="1"/>
  <c r="I57" i="1"/>
  <c r="AK52" i="1"/>
  <c r="BM47" i="1"/>
  <c r="CO42" i="1"/>
  <c r="M38" i="1"/>
  <c r="AO33" i="1"/>
  <c r="BQ28" i="1"/>
  <c r="CS23" i="1"/>
  <c r="Q19" i="1"/>
  <c r="AS14" i="1"/>
  <c r="BU9" i="1"/>
  <c r="CW4" i="1"/>
  <c r="X141" i="1"/>
  <c r="AZ136" i="1"/>
  <c r="CB131" i="1"/>
  <c r="DD126" i="1"/>
  <c r="AB122" i="1"/>
  <c r="BD117" i="1"/>
  <c r="CF112" i="1"/>
  <c r="AR108" i="1"/>
  <c r="DH105" i="1"/>
  <c r="BT103" i="1"/>
  <c r="AF101" i="1"/>
  <c r="CV98" i="1"/>
  <c r="BH96" i="1"/>
  <c r="T94" i="1"/>
  <c r="CJ91" i="1"/>
  <c r="AV89" i="1"/>
  <c r="H87" i="1"/>
  <c r="BX84" i="1"/>
  <c r="AJ82" i="1"/>
  <c r="CZ79" i="1"/>
  <c r="BL77" i="1"/>
  <c r="X75" i="1"/>
  <c r="CN72" i="1"/>
  <c r="AZ70" i="1"/>
  <c r="L68" i="1"/>
  <c r="CB65" i="1"/>
  <c r="AN63" i="1"/>
  <c r="DD60" i="1"/>
  <c r="BP58" i="1"/>
  <c r="AB56" i="1"/>
  <c r="CR53" i="1"/>
  <c r="BD51" i="1"/>
  <c r="P49" i="1"/>
  <c r="CF46" i="1"/>
  <c r="AR44" i="1"/>
  <c r="DH41" i="1"/>
  <c r="BT39" i="1"/>
  <c r="AF37" i="1"/>
  <c r="CV34" i="1"/>
  <c r="BH32" i="1"/>
  <c r="T30" i="1"/>
  <c r="CJ27" i="1"/>
  <c r="AV25" i="1"/>
  <c r="H23" i="1"/>
  <c r="BX20" i="1"/>
  <c r="AJ18" i="1"/>
  <c r="CZ15" i="1"/>
  <c r="BL13" i="1"/>
  <c r="X11" i="1"/>
  <c r="CN8" i="1"/>
  <c r="AZ6" i="1"/>
  <c r="L4" i="1"/>
  <c r="BA68" i="1"/>
  <c r="BU53" i="1"/>
  <c r="DI39" i="1"/>
  <c r="CK25" i="1"/>
  <c r="BM11" i="1"/>
  <c r="BX138" i="1"/>
  <c r="CF124" i="1"/>
  <c r="AB110" i="1"/>
  <c r="CN102" i="1"/>
  <c r="CB95" i="1"/>
  <c r="CF88" i="1"/>
  <c r="X81" i="1"/>
  <c r="BH74" i="1"/>
  <c r="CR67" i="1"/>
  <c r="AN61" i="1"/>
  <c r="AB54" i="1"/>
  <c r="P47" i="1"/>
  <c r="BP40" i="1"/>
  <c r="CZ33" i="1"/>
  <c r="CN26" i="1"/>
  <c r="CB19" i="1"/>
  <c r="CV12" i="1"/>
  <c r="AB6" i="1"/>
  <c r="DE102" i="1"/>
  <c r="BE93" i="1"/>
  <c r="DI83" i="1"/>
  <c r="BI74" i="1"/>
  <c r="BM65" i="1"/>
  <c r="CO60" i="1"/>
  <c r="M56" i="1"/>
  <c r="AO51" i="1"/>
  <c r="BQ46" i="1"/>
  <c r="CS41" i="1"/>
  <c r="Q37" i="1"/>
  <c r="AS32" i="1"/>
  <c r="BU27" i="1"/>
  <c r="CW22" i="1"/>
  <c r="U18" i="1"/>
  <c r="AW13" i="1"/>
  <c r="BY8" i="1"/>
  <c r="DA3" i="1"/>
  <c r="AB140" i="1"/>
  <c r="BD135" i="1"/>
  <c r="CF130" i="1"/>
  <c r="DH125" i="1"/>
  <c r="AF121" i="1"/>
  <c r="BH116" i="1"/>
  <c r="CJ111" i="1"/>
  <c r="CV107" i="1"/>
  <c r="BH105" i="1"/>
  <c r="T103" i="1"/>
  <c r="CJ100" i="1"/>
  <c r="AV98" i="1"/>
  <c r="H96" i="1"/>
  <c r="BX93" i="1"/>
  <c r="AJ91" i="1"/>
  <c r="CZ88" i="1"/>
  <c r="BL86" i="1"/>
  <c r="X84" i="1"/>
  <c r="CN81" i="1"/>
  <c r="AZ79" i="1"/>
  <c r="L77" i="1"/>
  <c r="CB74" i="1"/>
  <c r="AN72" i="1"/>
  <c r="DD69" i="1"/>
  <c r="BP67" i="1"/>
  <c r="AB65" i="1"/>
  <c r="CR62" i="1"/>
  <c r="BD60" i="1"/>
  <c r="P58" i="1"/>
  <c r="CF55" i="1"/>
  <c r="AR53" i="1"/>
  <c r="DH50" i="1"/>
  <c r="BT48" i="1"/>
  <c r="AF46" i="1"/>
  <c r="CV43" i="1"/>
  <c r="BH41" i="1"/>
  <c r="T39" i="1"/>
  <c r="CJ36" i="1"/>
  <c r="AV34" i="1"/>
  <c r="H32" i="1"/>
  <c r="BX29" i="1"/>
  <c r="AJ27" i="1"/>
  <c r="CZ24" i="1"/>
  <c r="BL22" i="1"/>
  <c r="X20" i="1"/>
  <c r="CN17" i="1"/>
  <c r="AZ15" i="1"/>
  <c r="L13" i="1"/>
  <c r="CB10" i="1"/>
  <c r="AN8" i="1"/>
  <c r="DD5" i="1"/>
  <c r="BP3" i="1"/>
  <c r="BA100" i="1"/>
  <c r="DE90" i="1"/>
  <c r="AK80" i="1"/>
  <c r="AG59" i="1"/>
  <c r="BA44" i="1"/>
  <c r="AC30" i="1"/>
  <c r="CC15" i="1"/>
  <c r="AB142" i="1"/>
  <c r="BP128" i="1"/>
  <c r="DD114" i="1"/>
  <c r="CF104" i="1"/>
  <c r="CZ97" i="1"/>
  <c r="P91" i="1"/>
  <c r="T84" i="1"/>
  <c r="AN77" i="1"/>
  <c r="CJ69" i="1"/>
  <c r="BX62" i="1"/>
  <c r="AV55" i="1"/>
  <c r="AZ48" i="1"/>
  <c r="AN41" i="1"/>
  <c r="AR34" i="1"/>
  <c r="AV27" i="1"/>
  <c r="CF20" i="1"/>
  <c r="AB14" i="1"/>
  <c r="AV7" i="1"/>
  <c r="CC79" i="1"/>
  <c r="BM43" i="1"/>
  <c r="M18" i="1"/>
  <c r="BH134" i="1"/>
  <c r="CZ105" i="1"/>
  <c r="L94" i="1"/>
  <c r="AB82" i="1"/>
  <c r="BL67" i="1"/>
  <c r="X53" i="1"/>
  <c r="CV40" i="1"/>
  <c r="BP28" i="1"/>
  <c r="H17" i="1"/>
  <c r="BL3" i="1"/>
  <c r="T28" i="1"/>
  <c r="CJ9" i="1"/>
  <c r="X21" i="1"/>
</calcChain>
</file>

<file path=xl/sharedStrings.xml><?xml version="1.0" encoding="utf-8"?>
<sst xmlns="http://schemas.openxmlformats.org/spreadsheetml/2006/main" count="46126" uniqueCount="138">
  <si>
    <t>Indiabulls Housing Finance Ltd</t>
  </si>
  <si>
    <t>IHFL IN Equity</t>
  </si>
  <si>
    <t>03/31/2014</t>
  </si>
  <si>
    <t>Yearly</t>
  </si>
  <si>
    <t>Q1</t>
  </si>
  <si>
    <t>Q2</t>
  </si>
  <si>
    <t>Q3</t>
  </si>
  <si>
    <t>Q4</t>
  </si>
  <si>
    <t>03/31/2015</t>
  </si>
  <si>
    <t>03/31/2016</t>
  </si>
  <si>
    <t>03/31/2017</t>
  </si>
  <si>
    <t>03/31/2018</t>
  </si>
  <si>
    <t>Indian Oil Corporation Ltd</t>
  </si>
  <si>
    <t>IOCL IN Equity</t>
  </si>
  <si>
    <t>IndusInd Bank Ltd</t>
  </si>
  <si>
    <t>IIB IN Equity</t>
  </si>
  <si>
    <t>Infosys Ltd</t>
  </si>
  <si>
    <t>INFO IN Equity</t>
  </si>
  <si>
    <t>InterGlobe Aviation Ltd</t>
  </si>
  <si>
    <t>INDIGO IN Equity</t>
  </si>
  <si>
    <t>JSW Steel Ltd</t>
  </si>
  <si>
    <t>JSTL IN Equity</t>
  </si>
  <si>
    <t>Kotak Mahindra Bank Ltd</t>
  </si>
  <si>
    <t>KMB IN Equity</t>
  </si>
  <si>
    <t>L&amp;T Finance Holdings Ltd</t>
  </si>
  <si>
    <t>LTFH IN Equity</t>
  </si>
  <si>
    <t>LIC Housing Finance Ltd</t>
  </si>
  <si>
    <t>LICHF IN Equity</t>
  </si>
  <si>
    <t>Larsen &amp; Toubro Ltd</t>
  </si>
  <si>
    <t>LT IN Equity</t>
  </si>
  <si>
    <t>Lupin Ltd</t>
  </si>
  <si>
    <t>LPC IN Equity</t>
  </si>
  <si>
    <t>MRF Ltd</t>
  </si>
  <si>
    <t>MRF IN Equity</t>
  </si>
  <si>
    <t>Mahindra &amp; Mahindra Ltd</t>
  </si>
  <si>
    <t>MM IN Equity</t>
  </si>
  <si>
    <t>Marico Ltd</t>
  </si>
  <si>
    <t>MRCO IN Equity</t>
  </si>
  <si>
    <t>Maruti Suzuki India Ltd</t>
  </si>
  <si>
    <t>MSIL IN Equity</t>
  </si>
  <si>
    <t>Motherson Sumi Systems Ltd</t>
  </si>
  <si>
    <t>MSS IN Equity</t>
  </si>
  <si>
    <t>NHPC Ltd</t>
  </si>
  <si>
    <t>NHPC IN Equity</t>
  </si>
  <si>
    <t>NMDC Ltd</t>
  </si>
  <si>
    <t>NMDC IN Equity</t>
  </si>
  <si>
    <t>NTPC Ltd</t>
  </si>
  <si>
    <t>NTPC IN Equity</t>
  </si>
  <si>
    <t>Oil &amp; Natural Gas Corporation Ltd</t>
  </si>
  <si>
    <t>ONGC IN Equity</t>
  </si>
  <si>
    <t>Oil India Ltd</t>
  </si>
  <si>
    <t>OINL IN Equity</t>
  </si>
  <si>
    <t>Oracle Financial Services Software Ltd</t>
  </si>
  <si>
    <t>OFSS IN Equity</t>
  </si>
  <si>
    <t>Petronet LNG Ltd</t>
  </si>
  <si>
    <t>PLNG IN Equity</t>
  </si>
  <si>
    <t>Pidilite Industries Ltd</t>
  </si>
  <si>
    <t>PIDI IN Equity</t>
  </si>
  <si>
    <t>Piramal Enterprises Ltd</t>
  </si>
  <si>
    <t>PIEL IN Equity</t>
  </si>
  <si>
    <t>Sr.No</t>
  </si>
  <si>
    <t>Company</t>
  </si>
  <si>
    <t>Ticker</t>
  </si>
  <si>
    <t>Year</t>
  </si>
  <si>
    <t>Quarters</t>
  </si>
  <si>
    <t>Return on Common Equity</t>
  </si>
  <si>
    <t>Return on Assets</t>
  </si>
  <si>
    <t>Return on Capital</t>
  </si>
  <si>
    <t>Return on Invested Capital</t>
  </si>
  <si>
    <t>EBITDA Margin</t>
  </si>
  <si>
    <t>Operating Margin</t>
  </si>
  <si>
    <t>Incremental Operating Margin</t>
  </si>
  <si>
    <t>Pretax Margin</t>
  </si>
  <si>
    <t>Income before XO Margin</t>
  </si>
  <si>
    <t>Net Income Margin</t>
  </si>
  <si>
    <t>Net Income to Common Margin</t>
  </si>
  <si>
    <t>Effective Tax Rate</t>
  </si>
  <si>
    <t>Dvd Payout Ratio</t>
  </si>
  <si>
    <t>Sustainable Growth Rate</t>
  </si>
  <si>
    <t>Revenue</t>
  </si>
  <si>
    <t>EBITDA</t>
  </si>
  <si>
    <t>Operating Income</t>
  </si>
  <si>
    <t>Net Income to Common</t>
  </si>
  <si>
    <t>EPS Diluted</t>
  </si>
  <si>
    <t>Dividend per Share</t>
  </si>
  <si>
    <t>Accounts Receivable</t>
  </si>
  <si>
    <t>Inventory</t>
  </si>
  <si>
    <t>Fixed Assets</t>
  </si>
  <si>
    <t>Total Assets</t>
  </si>
  <si>
    <t>Modified Working Capital</t>
  </si>
  <si>
    <t>Working Capital</t>
  </si>
  <si>
    <t>Accounts Payable</t>
  </si>
  <si>
    <t>Short-Term Debt</t>
  </si>
  <si>
    <t>Total Debt</t>
  </si>
  <si>
    <t>Total Equity</t>
  </si>
  <si>
    <t>Capital</t>
  </si>
  <si>
    <t>Book Value per Share</t>
  </si>
  <si>
    <t>Cash From Operations</t>
  </si>
  <si>
    <t>Short and Long Term Debt</t>
  </si>
  <si>
    <t xml:space="preserve">  Short-Term Debt</t>
  </si>
  <si>
    <t xml:space="preserve">  Long Term Debt</t>
  </si>
  <si>
    <t>Total Debt/T12M EBITDA</t>
  </si>
  <si>
    <t>Net Debt/EBITDA</t>
  </si>
  <si>
    <t>Total Debt/EBIT</t>
  </si>
  <si>
    <t>Net Debt/EBIT</t>
  </si>
  <si>
    <t>EBITDA to Interest Expense</t>
  </si>
  <si>
    <t>Common Equity/Total Assets</t>
  </si>
  <si>
    <t>Long-Term Debt/Equity</t>
  </si>
  <si>
    <t>Long-Term Debt/Capital</t>
  </si>
  <si>
    <t>Long-Term Debt/Total Assets</t>
  </si>
  <si>
    <t>Total Debt/Equity</t>
  </si>
  <si>
    <t>Total Debt/Capital</t>
  </si>
  <si>
    <t>Total Debt/Total Assets</t>
  </si>
  <si>
    <t>Net Debt/Equity</t>
  </si>
  <si>
    <t>Net Debt/Capital</t>
  </si>
  <si>
    <t>EBITDA-CapEx</t>
  </si>
  <si>
    <t>EBIT</t>
  </si>
  <si>
    <t>Cash Ratio</t>
  </si>
  <si>
    <t>Current Ratio</t>
  </si>
  <si>
    <t>Quick Ratio</t>
  </si>
  <si>
    <t>Altman's Z-Score</t>
  </si>
  <si>
    <t>Accounts Receivable Turnover</t>
  </si>
  <si>
    <t xml:space="preserve">  Days Sales Outstanding</t>
  </si>
  <si>
    <t>Inventory Turnover</t>
  </si>
  <si>
    <t xml:space="preserve">  Days Inventory Outstanding</t>
  </si>
  <si>
    <t>Accounts Payable Turnover</t>
  </si>
  <si>
    <t xml:space="preserve">  Accounts Payable Turnover Days</t>
  </si>
  <si>
    <t>Cash Conversion Cycle</t>
  </si>
  <si>
    <t>Inventory to Cash Days</t>
  </si>
  <si>
    <t>Total Inventory</t>
  </si>
  <si>
    <t xml:space="preserve">  Inventory Raw Materials</t>
  </si>
  <si>
    <t xml:space="preserve">  Inventory In Progress</t>
  </si>
  <si>
    <t xml:space="preserve">  Inventory Finished Goods</t>
  </si>
  <si>
    <t xml:space="preserve">  Other Inventory</t>
  </si>
  <si>
    <t>—</t>
  </si>
  <si>
    <t>1 Year Growth</t>
  </si>
  <si>
    <t>5 Year Growth</t>
  </si>
  <si>
    <t>Sequential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</si>
</sst>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" fontId="2" fillId="2" borderId="1">
      <alignment horizontal="right"/>
    </xf>
    <xf numFmtId="164" fontId="2" fillId="2" borderId="1">
      <alignment horizontal="right"/>
    </xf>
    <xf numFmtId="4" fontId="3" fillId="2" borderId="1">
      <alignment horizontal="right"/>
    </xf>
    <xf numFmtId="164" fontId="3" fillId="2" borderId="1">
      <alignment horizontal="right"/>
    </xf>
  </cellStyleXfs>
  <cellXfs count="8">
    <xf numFmtId="0" fontId="0" fillId="0" borderId="0" xfId="0"/>
    <xf numFmtId="4" fontId="2" fillId="2" borderId="1" xfId="1">
      <alignment horizontal="right"/>
    </xf>
    <xf numFmtId="164" fontId="2" fillId="2" borderId="1" xfId="2">
      <alignment horizontal="right"/>
    </xf>
    <xf numFmtId="4" fontId="2" fillId="2" borderId="1" xfId="3" applyFont="1">
      <alignment horizontal="right"/>
    </xf>
    <xf numFmtId="164" fontId="2" fillId="2" borderId="1" xfId="4" applyFont="1">
      <alignment horizontal="right"/>
    </xf>
    <xf numFmtId="0" fontId="1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5">
    <cellStyle name="fa_data_bold_1_grouped" xfId="4"/>
    <cellStyle name="fa_data_bold_2_grouped" xfId="3"/>
    <cellStyle name="fa_data_standard_1_grouped" xfId="2"/>
    <cellStyle name="fa_data_standard_2_grouped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I627"/>
  <sheetViews>
    <sheetView topLeftCell="A550" workbookViewId="0">
      <selection activeCell="A528" sqref="A1:XFD1048576"/>
    </sheetView>
  </sheetViews>
  <sheetFormatPr defaultRowHeight="14.4" x14ac:dyDescent="0.3"/>
  <sheetData>
    <row r="2" spans="1:113" x14ac:dyDescent="0.3">
      <c r="A2" s="5" t="s">
        <v>60</v>
      </c>
      <c r="B2" s="5" t="s">
        <v>61</v>
      </c>
      <c r="C2" s="5" t="s">
        <v>62</v>
      </c>
      <c r="D2" s="5" t="s">
        <v>63</v>
      </c>
      <c r="E2" s="5" t="s">
        <v>64</v>
      </c>
      <c r="F2" t="s">
        <v>65</v>
      </c>
      <c r="G2" t="s">
        <v>66</v>
      </c>
      <c r="H2" t="s">
        <v>67</v>
      </c>
      <c r="I2" t="s">
        <v>68</v>
      </c>
      <c r="J2" t="s">
        <v>69</v>
      </c>
      <c r="K2" t="s">
        <v>70</v>
      </c>
      <c r="L2" t="s">
        <v>71</v>
      </c>
      <c r="M2" t="s">
        <v>72</v>
      </c>
      <c r="N2" t="s">
        <v>73</v>
      </c>
      <c r="O2" t="s">
        <v>74</v>
      </c>
      <c r="P2" t="s">
        <v>75</v>
      </c>
      <c r="Q2" t="s">
        <v>76</v>
      </c>
      <c r="R2" t="s">
        <v>77</v>
      </c>
      <c r="S2" t="s">
        <v>78</v>
      </c>
      <c r="T2" t="s">
        <v>79</v>
      </c>
      <c r="U2" t="s">
        <v>80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t="s">
        <v>87</v>
      </c>
      <c r="AC2" t="s">
        <v>88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 t="s">
        <v>94</v>
      </c>
      <c r="AJ2" t="s">
        <v>95</v>
      </c>
      <c r="AK2" t="s">
        <v>96</v>
      </c>
      <c r="AL2" t="s">
        <v>97</v>
      </c>
      <c r="AM2" t="s">
        <v>79</v>
      </c>
      <c r="AN2" t="s">
        <v>80</v>
      </c>
      <c r="AO2" t="s">
        <v>81</v>
      </c>
      <c r="AP2" t="s">
        <v>82</v>
      </c>
      <c r="AQ2" t="s">
        <v>83</v>
      </c>
      <c r="AR2" t="s">
        <v>84</v>
      </c>
      <c r="AS2" t="s">
        <v>85</v>
      </c>
      <c r="AT2" t="s">
        <v>86</v>
      </c>
      <c r="AU2" t="s">
        <v>87</v>
      </c>
      <c r="AV2" t="s">
        <v>88</v>
      </c>
      <c r="AW2" t="s">
        <v>89</v>
      </c>
      <c r="AX2" t="s">
        <v>90</v>
      </c>
      <c r="AY2" t="s">
        <v>91</v>
      </c>
      <c r="AZ2" t="s">
        <v>92</v>
      </c>
      <c r="BA2" t="s">
        <v>93</v>
      </c>
      <c r="BB2" t="s">
        <v>94</v>
      </c>
      <c r="BC2" t="s">
        <v>95</v>
      </c>
      <c r="BD2" t="s">
        <v>96</v>
      </c>
      <c r="BE2" t="s">
        <v>97</v>
      </c>
      <c r="BF2" t="s">
        <v>79</v>
      </c>
      <c r="BG2" t="s">
        <v>80</v>
      </c>
      <c r="BH2" t="s">
        <v>81</v>
      </c>
      <c r="BI2" t="s">
        <v>82</v>
      </c>
      <c r="BJ2" t="s">
        <v>83</v>
      </c>
      <c r="BK2" t="s">
        <v>84</v>
      </c>
      <c r="BL2" t="s">
        <v>85</v>
      </c>
      <c r="BM2" t="s">
        <v>86</v>
      </c>
      <c r="BN2" t="s">
        <v>87</v>
      </c>
      <c r="BO2" t="s">
        <v>88</v>
      </c>
      <c r="BP2" t="s">
        <v>89</v>
      </c>
      <c r="BQ2" t="s">
        <v>90</v>
      </c>
      <c r="BR2" t="s">
        <v>91</v>
      </c>
      <c r="BS2" t="s">
        <v>92</v>
      </c>
      <c r="BT2" t="s">
        <v>93</v>
      </c>
      <c r="BU2" t="s">
        <v>94</v>
      </c>
      <c r="BV2" t="s">
        <v>95</v>
      </c>
      <c r="BW2" t="s">
        <v>96</v>
      </c>
      <c r="BX2" t="s">
        <v>97</v>
      </c>
      <c r="BY2" t="s">
        <v>98</v>
      </c>
      <c r="BZ2" t="s">
        <v>99</v>
      </c>
      <c r="CA2" t="s">
        <v>100</v>
      </c>
      <c r="CB2" t="s">
        <v>101</v>
      </c>
      <c r="CC2" t="s">
        <v>102</v>
      </c>
      <c r="CD2" t="s">
        <v>103</v>
      </c>
      <c r="CE2" t="s">
        <v>104</v>
      </c>
      <c r="CF2" t="s">
        <v>105</v>
      </c>
      <c r="CG2" t="s">
        <v>106</v>
      </c>
      <c r="CH2" t="s">
        <v>107</v>
      </c>
      <c r="CI2" t="s">
        <v>108</v>
      </c>
      <c r="CJ2" t="s">
        <v>109</v>
      </c>
      <c r="CK2" t="s">
        <v>110</v>
      </c>
      <c r="CL2" t="s">
        <v>111</v>
      </c>
      <c r="CM2" t="s">
        <v>112</v>
      </c>
      <c r="CN2" t="s">
        <v>113</v>
      </c>
      <c r="CO2" t="s">
        <v>114</v>
      </c>
      <c r="CP2" t="s">
        <v>80</v>
      </c>
      <c r="CQ2" t="s">
        <v>115</v>
      </c>
      <c r="CR2" t="s">
        <v>116</v>
      </c>
      <c r="CS2" t="s">
        <v>117</v>
      </c>
      <c r="CT2" t="s">
        <v>118</v>
      </c>
      <c r="CU2" t="s">
        <v>119</v>
      </c>
      <c r="CV2" t="s">
        <v>120</v>
      </c>
      <c r="CW2" t="s">
        <v>121</v>
      </c>
      <c r="CX2" t="s">
        <v>122</v>
      </c>
      <c r="CY2" t="s">
        <v>123</v>
      </c>
      <c r="CZ2" t="s">
        <v>124</v>
      </c>
      <c r="DA2" t="s">
        <v>125</v>
      </c>
      <c r="DB2" t="s">
        <v>126</v>
      </c>
      <c r="DC2" t="s">
        <v>127</v>
      </c>
      <c r="DD2" t="s">
        <v>128</v>
      </c>
      <c r="DE2" t="s">
        <v>129</v>
      </c>
      <c r="DF2" t="s">
        <v>130</v>
      </c>
      <c r="DG2" t="s">
        <v>131</v>
      </c>
      <c r="DH2" t="s">
        <v>132</v>
      </c>
      <c r="DI2" t="s">
        <v>133</v>
      </c>
    </row>
    <row r="3" spans="1:113" x14ac:dyDescent="0.3">
      <c r="A3" s="6">
        <v>51</v>
      </c>
      <c r="B3" s="6" t="s">
        <v>0</v>
      </c>
      <c r="C3" s="6" t="s">
        <v>1</v>
      </c>
      <c r="D3" s="6" t="s">
        <v>2</v>
      </c>
      <c r="E3" t="s">
        <v>3</v>
      </c>
      <c r="F3" t="e">
        <f ca="1">_xll.BDH($C$3,"RETURN_COM_EQY","FY 2014","FY 2014","Currency=INR","Period=FY","BEST_FPERIOD_OVERRIDE=FY","FILING_STATUS=OR","EQY_CONSOLIDATED=Y","FA_ADJUSTED=GAAP","Sort=A","Dates=H","DateFormat=P","Fill=—","Direction=H","UseDPDF=Y")</f>
        <v>#NAME?</v>
      </c>
      <c r="G3" t="e">
        <f ca="1">_xll.BDH($C$3,"RETURN_ON_ASSET","FY 2014","FY 2014","Currency=INR","Period=FY","BEST_FPERIOD_OVERRIDE=FY","FILING_STATUS=OR","EQY_CONSOLIDATED=Y","FA_ADJUSTED=GAAP","Sort=A","Dates=H","DateFormat=P","Fill=—","Direction=H","UseDPDF=Y")</f>
        <v>#NAME?</v>
      </c>
      <c r="H3" t="e">
        <f ca="1">_xll.BDH($C$3,"RETURN_ON_CAP","FY 2014","FY 2014","Currency=INR","Period=FY","BEST_FPERIOD_OVERRIDE=FY","FILING_STATUS=OR","EQY_CONSOLIDATED=Y","FA_ADJUSTED=GAAP","Sort=A","Dates=H","DateFormat=P","Fill=—","Direction=H","UseDPDF=Y")</f>
        <v>#NAME?</v>
      </c>
      <c r="I3" t="e">
        <f ca="1">_xll.BDH($C$3,"RETURN_ON_INV_CAPITAL","FY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" t="e">
        <f ca="1">_xll.BDH($C$3,"EBITDA_TO_REVENUE","FY 2014","FY 2014","Currency=INR","Period=FY","BEST_FPERIOD_OVERRIDE=FY","FILING_STATUS=OR","EQY_CONSOLIDATED=Y","FA_ADJUSTED=GAAP","Sort=A","Dates=H","DateFormat=P","Fill=—","Direction=H","UseDPDF=Y")</f>
        <v>#NAME?</v>
      </c>
      <c r="K3" t="e">
        <f ca="1">_xll.BDH($C$3,"OPER_MARGIN","FY 2014","FY 2014","Currency=INR","Period=FY","BEST_FPERIOD_OVERRIDE=FY","FILING_STATUS=OR","EQY_CONSOLIDATED=Y","FA_ADJUSTED=GAAP","Sort=A","Dates=H","DateFormat=P","Fill=—","Direction=H","UseDPDF=Y")</f>
        <v>#NAME?</v>
      </c>
      <c r="L3" t="e">
        <f ca="1">_xll.BDH($C$3,"INCREMENTAL_OPERATING_MARGIN","FY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" t="e">
        <f ca="1">_xll.BDH($C$3,"PRETAX_INC_TO_NET_SALES","FY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" t="e">
        <f ca="1">_xll.BDH($C$3,"INC_BEF_XO_ITEMS_TO_NET_SALES","FY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" t="e">
        <f ca="1">_xll.BDH($C$3,"PROF_MARGIN","FY 2014","FY 2014","Currency=INR","Period=FY","BEST_FPERIOD_OVERRIDE=FY","FILING_STATUS=OR","EQY_CONSOLIDATED=Y","FA_ADJUSTED=GAAP","Sort=A","Dates=H","DateFormat=P","Fill=—","Direction=H","UseDPDF=Y")</f>
        <v>#NAME?</v>
      </c>
      <c r="P3" t="e">
        <f ca="1">_xll.BDH($C$3,"NET_INCOME_TO_COMMON_MARGIN","FY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" t="e">
        <f ca="1">_xll.BDH($C$3,"EFF_TAX_RATE","FY 2014","FY 2014","Currency=INR","Period=FY","BEST_FPERIOD_OVERRIDE=FY","FILING_STATUS=OR","EQY_CONSOLIDATED=Y","FA_ADJUSTED=GAAP","Sort=A","Dates=H","DateFormat=P","Fill=—","Direction=H","UseDPDF=Y")</f>
        <v>#NAME?</v>
      </c>
      <c r="R3" t="e">
        <f ca="1">_xll.BDH($C$3,"DVD_PAYOUT_RATIO","FY 2014","FY 2014","Currency=INR","Period=FY","BEST_FPERIOD_OVERRIDE=FY","FILING_STATUS=OR","EQY_CONSOLIDATED=Y","FA_ADJUSTED=GAAP","Sort=A","Dates=H","DateFormat=P","Fill=—","Direction=H","UseDPDF=Y")</f>
        <v>#NAME?</v>
      </c>
      <c r="S3" t="e">
        <f ca="1">_xll.BDH($C$3,"SUSTAIN_GROWTH_RT","FY 2014","FY 2014","Currency=INR","Period=FY","BEST_FPERIOD_OVERRIDE=FY","FILING_STATUS=OR","EQY_CONSOLIDATED=Y","FA_ADJUSTED=GAAP","Sort=A","Dates=H","DateFormat=P","Fill=—","Direction=H","UseDPDF=Y")</f>
        <v>#NAME?</v>
      </c>
      <c r="T3" s="1" t="e">
        <f ca="1">_xll.BDH($C$3,"SALES_GROWTH","FY 2014","FY 2014","Currency=INR","Period=FY","BEST_FPERIOD_OVERRIDE=FY","FILING_STATUS=OR","EQY_CONSOLIDATED=Y","FA_ADJUSTED=GAAP","Sort=A","Dates=H","DateFormat=P","Fill=—","Direction=H","UseDPDF=Y")</f>
        <v>#NAME?</v>
      </c>
      <c r="U3" s="1" t="e">
        <f ca="1">_xll.BDH($C$3,"EBITDA_GROWTH","FY 2014","FY 2014","Currency=INR","Period=FY","BEST_FPERIOD_OVERRIDE=FY","FILING_STATUS=OR","EQY_CONSOLIDATED=Y","FA_ADJUSTED=GAAP","Sort=A","Dates=H","DateFormat=P","Fill=—","Direction=H","UseDPDF=Y")</f>
        <v>#NAME?</v>
      </c>
      <c r="V3" s="1" t="e">
        <f ca="1">_xll.BDH($C$3,"OPER_INC_GROWTH","FY 2014","FY 2014","Currency=INR","Period=FY","BEST_FPERIOD_OVERRIDE=FY","FILING_STATUS=OR","EQY_CONSOLIDATED=Y","FA_ADJUSTED=GAAP","Sort=A","Dates=H","DateFormat=P","Fill=—","Direction=H","UseDPDF=Y")</f>
        <v>#NAME?</v>
      </c>
      <c r="W3" s="1" t="e">
        <f ca="1">_xll.BDH($C$3,"EARN_FOR_COM_GROWTH","FY 2014","FY 2014","Currency=INR","Period=FY","BEST_FPERIOD_OVERRIDE=FY","FILING_STATUS=OR","EQY_CONSOLIDATED=Y","FA_ADJUSTED=GAAP","Sort=A","Dates=H","DateFormat=P","Fill=—","Direction=H","UseDPDF=Y")</f>
        <v>#NAME?</v>
      </c>
      <c r="X3" s="1" t="e">
        <f ca="1">_xll.BDH($C$3,"DILUTED_EPS_AFT_XO_ITEMS_GROWTH","FY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" s="1" t="e">
        <f ca="1">_xll.BDH($C$3,"DIVIDEND_PER_SHARE_1_YEAR_GROWTH","FY 2014","FY 2014","Currency=INR","Period=FY","BEST_FPERIOD_OVERRIDE=FY","FILING_STATUS=OR","EQY_CONSOLIDATED=Y","Sort=A","Dates=H","DateFormat=P","Fill=—","Direction=H","UseDPDF=Y")</f>
        <v>#NAME?</v>
      </c>
      <c r="Z3" s="1" t="e">
        <f ca="1">_xll.BDH($C$3,"ACCOUNTS_RECEIVABLE_GROWTH","FY 2014","FY 2014","Currency=INR","Period=FY","BEST_FPERIOD_OVERRIDE=FY","FILING_STATUS=OR","EQY_CONSOLIDATED=Y","Sort=A","Dates=H","DateFormat=P","Fill=—","Direction=H","UseDPDF=Y")</f>
        <v>#NAME?</v>
      </c>
      <c r="AA3" s="1" t="e">
        <f ca="1">_xll.BDH($C$3,"INVENTORY_GROWTH","FY 2014","FY 2014","Currency=INR","Period=FY","BEST_FPERIOD_OVERRIDE=FY","FILING_STATUS=OR","EQY_CONSOLIDATED=Y","Sort=A","Dates=H","DateFormat=P","Fill=—","Direction=H","UseDPDF=Y")</f>
        <v>#NAME?</v>
      </c>
      <c r="AB3" s="1" t="e">
        <f ca="1">_xll.BDH($C$3,"NET_FIXED_ASSETS_1_YEAR_GROWTH","FY 2014","FY 2014","Currency=INR","Period=FY","BEST_FPERIOD_OVERRIDE=FY","FILING_STATUS=OR","EQY_CONSOLIDATED=Y","Sort=A","Dates=H","DateFormat=P","Fill=—","Direction=H","UseDPDF=Y")</f>
        <v>#NAME?</v>
      </c>
      <c r="AC3" s="1" t="e">
        <f ca="1">_xll.BDH($C$3,"ASSET_GROWTH","FY 2014","FY 2014","Currency=INR","Period=FY","BEST_FPERIOD_OVERRIDE=FY","FILING_STATUS=OR","EQY_CONSOLIDATED=Y","Sort=A","Dates=H","DateFormat=P","Fill=—","Direction=H","UseDPDF=Y")</f>
        <v>#NAME?</v>
      </c>
      <c r="AD3" s="1" t="e">
        <f ca="1">_xll.BDH($C$3,"MODIFIED_WORK_CAP_GROWTH","FY 2014","FY 2014","Currency=INR","Period=FY","BEST_FPERIOD_OVERRIDE=FY","FILING_STATUS=OR","EQY_CONSOLIDATED=Y","Sort=A","Dates=H","DateFormat=P","Fill=—","Direction=H","UseDPDF=Y")</f>
        <v>#NAME?</v>
      </c>
      <c r="AE3" s="1" t="e">
        <f ca="1">_xll.BDH($C$3,"WORK_CAP_GROWTH","FY 2014","FY 2014","Currency=INR","Period=FY","BEST_FPERIOD_OVERRIDE=FY","FILING_STATUS=OR","EQY_CONSOLIDATED=Y","Sort=A","Dates=H","DateFormat=P","Fill=—","Direction=H","UseDPDF=Y")</f>
        <v>#NAME?</v>
      </c>
      <c r="AF3" s="1" t="e">
        <f ca="1">_xll.BDH($C$3,"ACCOUNTS_PAYABLE_GROWTH_1YR","FY 2014","FY 2014","Currency=INR","Period=FY","BEST_FPERIOD_OVERRIDE=FY","FILING_STATUS=OR","EQY_CONSOLIDATED=Y","Sort=A","Dates=H","DateFormat=P","Fill=—","Direction=H","UseDPDF=Y")</f>
        <v>#NAME?</v>
      </c>
      <c r="AG3" s="1" t="e">
        <f ca="1">_xll.BDH($C$3,"SHORT_TERM_DEBT_1_YEAR_GROWTH","FY 2014","FY 2014","Currency=INR","Period=FY","BEST_FPERIOD_OVERRIDE=FY","FILING_STATUS=OR","EQY_CONSOLIDATED=Y","Sort=A","Dates=H","DateFormat=P","Fill=—","Direction=H","UseDPDF=Y")</f>
        <v>#NAME?</v>
      </c>
      <c r="AH3" s="1" t="e">
        <f ca="1">_xll.BDH($C$3,"TOTAL_DEBT_1_YEAR_GROWTH","FY 2014","FY 2014","Currency=INR","Period=FY","BEST_FPERIOD_OVERRIDE=FY","FILING_STATUS=OR","EQY_CONSOLIDATED=Y","Sort=A","Dates=H","DateFormat=P","Fill=—","Direction=H","UseDPDF=Y")</f>
        <v>#NAME?</v>
      </c>
      <c r="AI3" s="1" t="e">
        <f ca="1">_xll.BDH($C$3,"TOTAL_EQUITY_1_YEAR_GROWTH","FY 2014","FY 2014","Currency=INR","Period=FY","BEST_FPERIOD_OVERRIDE=FY","FILING_STATUS=OR","EQY_CONSOLIDATED=Y","Sort=A","Dates=H","DateFormat=P","Fill=—","Direction=H","UseDPDF=Y")</f>
        <v>#NAME?</v>
      </c>
      <c r="AJ3" s="1" t="e">
        <f ca="1">_xll.BDH($C$3,"GROWTH_IN_CAP","FY 2014","FY 2014","Currency=INR","Period=FY","BEST_FPERIOD_OVERRIDE=FY","FILING_STATUS=OR","EQY_CONSOLIDATED=Y","Sort=A","Dates=H","DateFormat=P","Fill=—","Direction=H","UseDPDF=Y")</f>
        <v>#NAME?</v>
      </c>
      <c r="AK3" s="1" t="e">
        <f ca="1">_xll.BDH($C$3,"BVPS_GROWTH","FY 2014","FY 2014","Currency=INR","Period=FY","BEST_FPERIOD_OVERRIDE=FY","FILING_STATUS=OR","EQY_CONSOLIDATED=Y","Sort=A","Dates=H","DateFormat=P","Fill=—","Direction=H","UseDPDF=Y")</f>
        <v>#NAME?</v>
      </c>
      <c r="AL3" s="1" t="e">
        <f ca="1">_xll.BDH($C$3,"CASH_FLOW_GROWTH","FY 2014","FY 2014","Currency=INR","Period=FY","BEST_FPERIOD_OVERRIDE=FY","FILING_STATUS=OR","EQY_CONSOLIDATED=Y","Sort=A","Dates=H","DateFormat=P","Fill=—","Direction=H","UseDPDF=Y")</f>
        <v>#NAME?</v>
      </c>
      <c r="AM3" s="1" t="e">
        <f ca="1">_xll.BDH($C$3,"GEO_GROW_NET_SALES","FY 2014","FY 2014","Currency=INR","Period=FY","BEST_FPERIOD_OVERRIDE=FY","FILING_STATUS=OR","EQY_CONSOLIDATED=Y","FA_ADJUSTED=GAAP","Sort=A","Dates=H","DateFormat=P","Fill=—","Direction=H","UseDPDF=Y")</f>
        <v>#NAME?</v>
      </c>
      <c r="AN3" s="1" t="e">
        <f ca="1">_xll.BDH($C$3,"GEO_GROW_EBITDA","FY 2014","FY 2014","Currency=INR","Period=FY","BEST_FPERIOD_OVERRIDE=FY","FILING_STATUS=OR","EQY_CONSOLIDATED=Y","FA_ADJUSTED=GAAP","Sort=A","Dates=H","DateFormat=P","Fill=—","Direction=H","UseDPDF=Y")</f>
        <v>#NAME?</v>
      </c>
      <c r="AO3" s="1" t="e">
        <f ca="1">_xll.BDH($C$3,"GEO_GROW_OPER_INC","FY 2014","FY 2014","Currency=INR","Period=FY","BEST_FPERIOD_OVERRIDE=FY","FILING_STATUS=OR","EQY_CONSOLIDATED=Y","FA_ADJUSTED=GAAP","Sort=A","Dates=H","DateFormat=P","Fill=—","Direction=H","UseDPDF=Y")</f>
        <v>#NAME?</v>
      </c>
      <c r="AP3" s="1" t="e">
        <f ca="1">_xll.BDH($C$3,"NET_INCOME_TO_COMMON_5_YR_GROWTH","FY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" s="1" t="e">
        <f ca="1">_xll.BDH($C$3,"5Y_GEO_GROWTH_DILUTED_EPS","FY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" s="1" t="e">
        <f ca="1">_xll.BDH($C$3,"GEO_GROW_DVD_PER_SH","FY 2014","FY 2014","Currency=INR","Period=FY","BEST_FPERIOD_OVERRIDE=FY","FILING_STATUS=OR","EQY_CONSOLIDATED=Y","Sort=A","Dates=H","DateFormat=P","Fill=—","Direction=H","UseDPDF=Y")</f>
        <v>#NAME?</v>
      </c>
      <c r="AS3" s="1" t="e">
        <f ca="1">_xll.BDH($C$3,"ACCOUNTS_RECEIVABLE_5_YR_GROWTH","FY 2014","FY 2014","Currency=INR","Period=FY","BEST_FPERIOD_OVERRIDE=FY","FILING_STATUS=OR","EQY_CONSOLIDATED=Y","Sort=A","Dates=H","DateFormat=P","Fill=—","Direction=H","UseDPDF=Y")</f>
        <v>#NAME?</v>
      </c>
      <c r="AT3" s="1" t="e">
        <f ca="1">_xll.BDH($C$3,"INVENTORY_5_YEAR_GROWTH","FY 2014","FY 2014","Currency=INR","Period=FY","BEST_FPERIOD_OVERRIDE=FY","FILING_STATUS=OR","EQY_CONSOLIDATED=Y","Sort=A","Dates=H","DateFormat=P","Fill=—","Direction=H","UseDPDF=Y")</f>
        <v>#NAME?</v>
      </c>
      <c r="AU3" s="1" t="e">
        <f ca="1">_xll.BDH($C$3,"NET_FIXED_ASSETS_5_YEAR_GROWTH","FY 2014","FY 2014","Currency=INR","Period=FY","BEST_FPERIOD_OVERRIDE=FY","FILING_STATUS=OR","EQY_CONSOLIDATED=Y","Sort=A","Dates=H","DateFormat=P","Fill=—","Direction=H","UseDPDF=Y")</f>
        <v>#NAME?</v>
      </c>
      <c r="AV3" s="1" t="e">
        <f ca="1">_xll.BDH($C$3,"GEO_GROW_TOT_ASSET","FY 2014","FY 2014","Currency=INR","Period=FY","BEST_FPERIOD_OVERRIDE=FY","FILING_STATUS=OR","EQY_CONSOLIDATED=Y","Sort=A","Dates=H","DateFormat=P","Fill=—","Direction=H","UseDPDF=Y")</f>
        <v>#NAME?</v>
      </c>
      <c r="AW3" s="1" t="e">
        <f ca="1">_xll.BDH($C$3,"MODIFIED_WORKING_CPTL_5YR_GRWTH","FY 2014","FY 2014","Currency=INR","Period=FY","BEST_FPERIOD_OVERRIDE=FY","FILING_STATUS=OR","EQY_CONSOLIDATED=Y","Sort=A","Dates=H","DateFormat=P","Fill=—","Direction=H","UseDPDF=Y")</f>
        <v>#NAME?</v>
      </c>
      <c r="AX3" s="1" t="e">
        <f ca="1">_xll.BDH($C$3,"WORKING_CAPITAL_5_YEAR_GROWTH","FY 2014","FY 2014","Currency=INR","Period=FY","BEST_FPERIOD_OVERRIDE=FY","FILING_STATUS=OR","EQY_CONSOLIDATED=Y","Sort=A","Dates=H","DateFormat=P","Fill=—","Direction=H","UseDPDF=Y")</f>
        <v>#NAME?</v>
      </c>
      <c r="AY3" s="1" t="e">
        <f ca="1">_xll.BDH($C$3,"ACCOUNTS_PAYABLE_5_YEAR_GROWTH","FY 2014","FY 2014","Currency=INR","Period=FY","BEST_FPERIOD_OVERRIDE=FY","FILING_STATUS=OR","EQY_CONSOLIDATED=Y","Sort=A","Dates=H","DateFormat=P","Fill=—","Direction=H","UseDPDF=Y")</f>
        <v>#NAME?</v>
      </c>
      <c r="AZ3" s="1" t="e">
        <f ca="1">_xll.BDH($C$3,"SHORT_TERM_DEBT_5_YEAR_GROWTH","FY 2014","FY 2014","Currency=INR","Period=FY","BEST_FPERIOD_OVERRIDE=FY","FILING_STATUS=OR","EQY_CONSOLIDATED=Y","Sort=A","Dates=H","DateFormat=P","Fill=—","Direction=H","UseDPDF=Y")</f>
        <v>#NAME?</v>
      </c>
      <c r="BA3" s="1" t="e">
        <f ca="1">_xll.BDH($C$3,"TOTAL_DEBT_5_YEAR_GROWTH","FY 2014","FY 2014","Currency=INR","Period=FY","BEST_FPERIOD_OVERRIDE=FY","FILING_STATUS=OR","EQY_CONSOLIDATED=Y","Sort=A","Dates=H","DateFormat=P","Fill=—","Direction=H","UseDPDF=Y")</f>
        <v>#NAME?</v>
      </c>
      <c r="BB3" s="1" t="e">
        <f ca="1">_xll.BDH($C$3,"GEO_GROW_TOT_SHRHLDR_EQY","FY 2014","FY 2014","Currency=INR","Period=FY","BEST_FPERIOD_OVERRIDE=FY","FILING_STATUS=OR","EQY_CONSOLIDATED=Y","Sort=A","Dates=H","DateFormat=P","Fill=—","Direction=H","UseDPDF=Y")</f>
        <v>#NAME?</v>
      </c>
      <c r="BC3" s="1" t="e">
        <f ca="1">_xll.BDH($C$3,"TOTAL_CAPITAL_5_YEAR_GROWTH","FY 2014","FY 2014","Currency=INR","Period=FY","BEST_FPERIOD_OVERRIDE=FY","FILING_STATUS=OR","EQY_CONSOLIDATED=Y","Sort=A","Dates=H","DateFormat=P","Fill=—","Direction=H","UseDPDF=Y")</f>
        <v>#NAME?</v>
      </c>
      <c r="BD3" s="1" t="e">
        <f ca="1">_xll.BDH($C$3,"GEO_GROW_BOOK_VAL","FY 2014","FY 2014","Currency=INR","Period=FY","BEST_FPERIOD_OVERRIDE=FY","FILING_STATUS=OR","EQY_CONSOLIDATED=Y","Sort=A","Dates=H","DateFormat=P","Fill=—","Direction=H","UseDPDF=Y")</f>
        <v>#NAME?</v>
      </c>
      <c r="BE3" s="1" t="e">
        <f ca="1">_xll.BDH($C$3,"GEO_GROW_CASH_OPER_ACT","FY 2014","FY 2014","Currency=INR","Period=FY","BEST_FPERIOD_OVERRIDE=FY","FILING_STATUS=OR","EQY_CONSOLIDATED=Y","Sort=A","Dates=H","DateFormat=P","Fill=—","Direction=H","UseDPDF=Y")</f>
        <v>#NAME?</v>
      </c>
      <c r="BF3" s="1" t="e">
        <f ca="1">_xll.BDH($C$3,"REVENUE_SEQUENTIAL_GROWTH","FY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" s="1" t="e">
        <f ca="1">_xll.BDH($C$3,"EBITDA_SEQUENTIAL_GROWTH","FY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" s="1" t="e">
        <f ca="1">_xll.BDH($C$3,"OPERATING_INCOME_SEQ_GROWTH","FY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" s="1" t="e">
        <f ca="1">_xll.BDH($C$3,"NET_INCOME_TO_COMMON_SEQ_GROWTH","FY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" s="1" t="e">
        <f ca="1">_xll.BDH($C$3,"EPS_DILUTED_SEQUENTIAL_GROWTH","FY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" s="1" t="e">
        <f ca="1">_xll.BDH($C$3,"DPS_SEQUENTIAL_GROWTH","FY 2014","FY 2014","Currency=INR","Period=FY","BEST_FPERIOD_OVERRIDE=FY","FILING_STATUS=OR","EQY_CONSOLIDATED=Y","Sort=A","Dates=H","DateFormat=P","Fill=—","Direction=H","UseDPDF=Y")</f>
        <v>#NAME?</v>
      </c>
      <c r="BL3" s="1" t="e">
        <f ca="1">_xll.BDH($C$3,"ACCOUNTS_RECEIVABLE_SEQ_GROWTH","FY 2014","FY 2014","Currency=INR","Period=FY","BEST_FPERIOD_OVERRIDE=FY","FILING_STATUS=OR","EQY_CONSOLIDATED=Y","Sort=A","Dates=H","DateFormat=P","Fill=—","Direction=H","UseDPDF=Y")</f>
        <v>#NAME?</v>
      </c>
      <c r="BM3" s="1" t="e">
        <f ca="1">_xll.BDH($C$3,"INVENTORY_SEQUENTIAL_GROWTH","FY 2014","FY 2014","Currency=INR","Period=FY","BEST_FPERIOD_OVERRIDE=FY","FILING_STATUS=OR","EQY_CONSOLIDATED=Y","Sort=A","Dates=H","DateFormat=P","Fill=—","Direction=H","UseDPDF=Y")</f>
        <v>#NAME?</v>
      </c>
      <c r="BN3" s="1" t="e">
        <f ca="1">_xll.BDH($C$3,"FIXED_ASSETS_SEQUENTIAL_GROWTH","FY 2014","FY 2014","Currency=INR","Period=FY","BEST_FPERIOD_OVERRIDE=FY","FILING_STATUS=OR","EQY_CONSOLIDATED=Y","Sort=A","Dates=H","DateFormat=P","Fill=—","Direction=H","UseDPDF=Y")</f>
        <v>#NAME?</v>
      </c>
      <c r="BO3" s="1" t="e">
        <f ca="1">_xll.BDH($C$3,"TOTAL_ASSETS_SEQUENTIAL_GROWTH","FY 2014","FY 2014","Currency=INR","Period=FY","BEST_FPERIOD_OVERRIDE=FY","FILING_STATUS=OR","EQY_CONSOLIDATED=Y","Sort=A","Dates=H","DateFormat=P","Fill=—","Direction=H","UseDPDF=Y")</f>
        <v>#NAME?</v>
      </c>
      <c r="BP3" s="1" t="e">
        <f ca="1">_xll.BDH($C$3,"MODIFIED_WORKING_CPTL_SEQ_GRWTH","FY 2014","FY 2014","Currency=INR","Period=FY","BEST_FPERIOD_OVERRIDE=FY","FILING_STATUS=OR","EQY_CONSOLIDATED=Y","Sort=A","Dates=H","DateFormat=P","Fill=—","Direction=H","UseDPDF=Y")</f>
        <v>#NAME?</v>
      </c>
      <c r="BQ3" s="1" t="e">
        <f ca="1">_xll.BDH($C$3,"WORKING_CAPITAL_SEQ_GROWTH","FY 2014","FY 2014","Currency=INR","Period=FY","BEST_FPERIOD_OVERRIDE=FY","FILING_STATUS=OR","EQY_CONSOLIDATED=Y","Sort=A","Dates=H","DateFormat=P","Fill=—","Direction=H","UseDPDF=Y")</f>
        <v>#NAME?</v>
      </c>
      <c r="BR3" s="1" t="e">
        <f ca="1">_xll.BDH($C$3,"ACCOUNTS_PAYABLE_SEQ_GROWTH","FY 2014","FY 2014","Currency=INR","Period=FY","BEST_FPERIOD_OVERRIDE=FY","FILING_STATUS=OR","EQY_CONSOLIDATED=Y","Sort=A","Dates=H","DateFormat=P","Fill=—","Direction=H","UseDPDF=Y")</f>
        <v>#NAME?</v>
      </c>
      <c r="BS3" s="1" t="e">
        <f ca="1">_xll.BDH($C$3,"ST_DEBT_SEQUENTIAL_GROWTH","FY 2014","FY 2014","Currency=INR","Period=FY","BEST_FPERIOD_OVERRIDE=FY","FILING_STATUS=OR","EQY_CONSOLIDATED=Y","Sort=A","Dates=H","DateFormat=P","Fill=—","Direction=H","UseDPDF=Y")</f>
        <v>#NAME?</v>
      </c>
      <c r="BT3" s="1" t="e">
        <f ca="1">_xll.BDH($C$3,"TOTAL_DEBT_SEQUENTIAL_GROWTH","FY 2014","FY 2014","Currency=INR","Period=FY","BEST_FPERIOD_OVERRIDE=FY","FILING_STATUS=OR","EQY_CONSOLIDATED=Y","Sort=A","Dates=H","DateFormat=P","Fill=—","Direction=H","UseDPDF=Y")</f>
        <v>#NAME?</v>
      </c>
      <c r="BU3" s="1" t="e">
        <f ca="1">_xll.BDH($C$3,"TOTAL_EQUITY_SEQUENTIAL_GROWTH","FY 2014","FY 2014","Currency=INR","Period=FY","BEST_FPERIOD_OVERRIDE=FY","FILING_STATUS=OR","EQY_CONSOLIDATED=Y","Sort=A","Dates=H","DateFormat=P","Fill=—","Direction=H","UseDPDF=Y")</f>
        <v>#NAME?</v>
      </c>
      <c r="BV3" s="1" t="e">
        <f ca="1">_xll.BDH($C$3,"TOTAL_CAPITAL_SEQUENTIAL_GROWTH","FY 2014","FY 2014","Currency=INR","Period=FY","BEST_FPERIOD_OVERRIDE=FY","FILING_STATUS=OR","EQY_CONSOLIDATED=Y","Sort=A","Dates=H","DateFormat=P","Fill=—","Direction=H","UseDPDF=Y")</f>
        <v>#NAME?</v>
      </c>
      <c r="BW3" s="1" t="e">
        <f ca="1">_xll.BDH($C$3,"BPS_SEQUENTIAL_GROWTH","FY 2014","FY 2014","Currency=INR","Period=FY","BEST_FPERIOD_OVERRIDE=FY","FILING_STATUS=OR","EQY_CONSOLIDATED=Y","Sort=A","Dates=H","DateFormat=P","Fill=—","Direction=H","UseDPDF=Y")</f>
        <v>#NAME?</v>
      </c>
      <c r="BX3" s="1" t="e">
        <f ca="1">_xll.BDH($C$3,"CFO_SEQUENTIAL_GROWTH","FY 2014","FY 2014","Currency=INR","Period=FY","BEST_FPERIOD_OVERRIDE=FY","FILING_STATUS=OR","EQY_CONSOLIDATED=Y","Sort=A","Dates=H","DateFormat=P","Fill=—","Direction=H","UseDPDF=Y")</f>
        <v>#NAME?</v>
      </c>
      <c r="BY3" s="2" t="e">
        <f ca="1">_xll.BDH($C$3,"SHORT_AND_LONG_TERM_DEBT","FY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" s="2" t="e">
        <f ca="1">_xll.BDH($C$3,"BS_ST_BORROW","FY 2014","FY 2014","Currency=INR","Period=FY","BEST_FPERIOD_OVERRIDE=FY","FILING_STATUS=OR","EQY_CONSOLIDATED=Y","SCALING_FORMAT=MLN","Sort=A","Dates=H","DateFormat=P","Fill=—","Direction=H","UseDPDF=Y")</f>
        <v>#NAME?</v>
      </c>
      <c r="CA3" s="2" t="e">
        <f ca="1">_xll.BDH($C$3,"BS_LT_BORROW","FY 2014","FY 2014","Currency=INR","Period=FY","BEST_FPERIOD_OVERRIDE=FY","FILING_STATUS=OR","EQY_CONSOLIDATED=Y","SCALING_FORMAT=MLN","Sort=A","Dates=H","DateFormat=P","Fill=—","Direction=H","UseDPDF=Y")</f>
        <v>#NAME?</v>
      </c>
      <c r="CB3" s="1" t="e">
        <f ca="1">_xll.BDH($C$3,"TOT_DEBT_TO_EBITDA","FY 2014","FY 2014","Currency=INR","Period=FY","BEST_FPERIOD_OVERRIDE=FY","FILING_STATUS=OR","EQY_CONSOLIDATED=Y","FA_ADJUSTED=GAAP","Sort=A","Dates=H","DateFormat=P","Fill=—","Direction=H","UseDPDF=Y")</f>
        <v>#NAME?</v>
      </c>
      <c r="CC3" s="1" t="e">
        <f ca="1">_xll.BDH($C$3,"NET_DEBT_TO_EBITDA","FY 2014","FY 2014","Currency=INR","Period=FY","BEST_FPERIOD_OVERRIDE=FY","FILING_STATUS=OR","EQY_CONSOLIDATED=Y","FA_ADJUSTED=GAAP","Sort=A","Dates=H","DateFormat=P","Fill=—","Direction=H","UseDPDF=Y")</f>
        <v>#NAME?</v>
      </c>
      <c r="CD3" s="1" t="e">
        <f ca="1">_xll.BDH($C$3,"TOTAL_DEBT_TO_EBIT","FY 2014","FY 2014","Currency=INR","Period=FY","BEST_FPERIOD_OVERRIDE=FY","FILING_STATUS=OR","EQY_CONSOLIDATED=Y","FA_ADJUSTED=GAAP","Sort=A","Dates=H","DateFormat=P","Fill=—","Direction=H","UseDPDF=Y")</f>
        <v>#NAME?</v>
      </c>
      <c r="CE3" s="1" t="e">
        <f ca="1">_xll.BDH($C$3,"NET_DEBT_TO_EBIT","FY 2014","FY 2014","Currency=INR","Period=FY","BEST_FPERIOD_OVERRIDE=FY","FILING_STATUS=OR","EQY_CONSOLIDATED=Y","FA_ADJUSTED=GAAP","Sort=A","Dates=H","DateFormat=P","Fill=—","Direction=H","UseDPDF=Y")</f>
        <v>#NAME?</v>
      </c>
      <c r="CF3" s="1" t="e">
        <f ca="1">_xll.BDH($C$3,"EBITDA_TO_INTEREST_EXPN","FY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" s="1" t="e">
        <f ca="1">_xll.BDH($C$3,"COM_EQY_TO_TOT_ASSET","FY 2014","FY 2014","Currency=INR","Period=FY","BEST_FPERIOD_OVERRIDE=FY","FILING_STATUS=OR","EQY_CONSOLIDATED=Y","Sort=A","Dates=H","DateFormat=P","Fill=—","Direction=H","UseDPDF=Y")</f>
        <v>#NAME?</v>
      </c>
      <c r="CH3" s="1" t="e">
        <f ca="1">_xll.BDH($C$3,"LT_DEBT_TO_TOT_EQY","FY 2014","FY 2014","Currency=INR","Period=FY","BEST_FPERIOD_OVERRIDE=FY","FILING_STATUS=OR","EQY_CONSOLIDATED=Y","Sort=A","Dates=H","DateFormat=P","Fill=—","Direction=H","UseDPDF=Y")</f>
        <v>#NAME?</v>
      </c>
      <c r="CI3" s="1" t="e">
        <f ca="1">_xll.BDH($C$3,"LT_DEBT_TO_TOT_CAP","FY 2014","FY 2014","Currency=INR","Period=FY","BEST_FPERIOD_OVERRIDE=FY","FILING_STATUS=OR","EQY_CONSOLIDATED=Y","Sort=A","Dates=H","DateFormat=P","Fill=—","Direction=H","UseDPDF=Y")</f>
        <v>#NAME?</v>
      </c>
      <c r="CJ3" s="1" t="e">
        <f ca="1">_xll.BDH($C$3,"LT_DEBT_TO_TOT_ASSET","FY 2014","FY 2014","Currency=INR","Period=FY","BEST_FPERIOD_OVERRIDE=FY","FILING_STATUS=OR","EQY_CONSOLIDATED=Y","Sort=A","Dates=H","DateFormat=P","Fill=—","Direction=H","UseDPDF=Y")</f>
        <v>#NAME?</v>
      </c>
      <c r="CK3" s="1" t="e">
        <f ca="1">_xll.BDH($C$3,"TOT_DEBT_TO_TOT_EQY","FY 2014","FY 2014","Currency=INR","Period=FY","BEST_FPERIOD_OVERRIDE=FY","FILING_STATUS=OR","EQY_CONSOLIDATED=Y","Sort=A","Dates=H","DateFormat=P","Fill=—","Direction=H","UseDPDF=Y")</f>
        <v>#NAME?</v>
      </c>
      <c r="CL3" s="1" t="e">
        <f ca="1">_xll.BDH($C$3,"TOT_DEBT_TO_TOT_CAP","FY 2014","FY 2014","Currency=INR","Period=FY","BEST_FPERIOD_OVERRIDE=FY","FILING_STATUS=OR","EQY_CONSOLIDATED=Y","Sort=A","Dates=H","DateFormat=P","Fill=—","Direction=H","UseDPDF=Y")</f>
        <v>#NAME?</v>
      </c>
      <c r="CM3" s="1" t="e">
        <f ca="1">_xll.BDH($C$3,"TOT_DEBT_TO_TOT_ASSET","FY 2014","FY 2014","Currency=INR","Period=FY","BEST_FPERIOD_OVERRIDE=FY","FILING_STATUS=OR","EQY_CONSOLIDATED=Y","Sort=A","Dates=H","DateFormat=P","Fill=—","Direction=H","UseDPDF=Y")</f>
        <v>#NAME?</v>
      </c>
      <c r="CN3" s="1" t="e">
        <f ca="1">_xll.BDH($C$3,"NET_DEBT_TO_SHRHLDR_EQTY","FY 2014","FY 2014","Currency=INR","Period=FY","BEST_FPERIOD_OVERRIDE=FY","FILING_STATUS=OR","EQY_CONSOLIDATED=Y","Sort=A","Dates=H","DateFormat=P","Fill=—","Direction=H","UseDPDF=Y")</f>
        <v>#NAME?</v>
      </c>
      <c r="CO3" s="1" t="e">
        <f ca="1">_xll.BDH($C$3,"NET_DEBT_%_CAPITAL","FY 2014","FY 2014","Currency=INR","Period=FY","BEST_FPERIOD_OVERRIDE=FY","FILING_STATUS=OR","EQY_CONSOLIDATED=Y","Sort=A","Dates=H","DateFormat=P","Fill=—","Direction=H","UseDPDF=Y")</f>
        <v>#NAME?</v>
      </c>
      <c r="CP3" s="2" t="e">
        <f ca="1">_xll.BDH($C$3,"EBITDA","FY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" s="2" t="e">
        <f ca="1">_xll.BDH($C$3,"EBITDA_AFTER_CAPEX","FY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" s="2" t="e">
        <f ca="1">_xll.BDH($C$3,"IS_OPER_INC","FY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" s="1" t="e">
        <f ca="1">_xll.BDH($C$3,"CASH_RATIO","FY 2014","FY 2014","Currency=INR","Period=FY","BEST_FPERIOD_OVERRIDE=FY","FILING_STATUS=OR","EQY_CONSOLIDATED=Y","Sort=A","Dates=H","DateFormat=P","Fill=—","Direction=H","UseDPDF=Y")</f>
        <v>#NAME?</v>
      </c>
      <c r="CT3" s="1" t="e">
        <f ca="1">_xll.BDH($C$3,"CUR_RATIO","FY 2014","FY 2014","Currency=INR","Period=FY","BEST_FPERIOD_OVERRIDE=FY","FILING_STATUS=OR","EQY_CONSOLIDATED=Y","Sort=A","Dates=H","DateFormat=P","Fill=—","Direction=H","UseDPDF=Y")</f>
        <v>#NAME?</v>
      </c>
      <c r="CU3" s="1" t="e">
        <f ca="1">_xll.BDH($C$3,"QUICK_RATIO","FY 2014","FY 2014","Currency=INR","Period=FY","BEST_FPERIOD_OVERRIDE=FY","FILING_STATUS=OR","EQY_CONSOLIDATED=Y","Sort=A","Dates=H","DateFormat=P","Fill=—","Direction=H","UseDPDF=Y")</f>
        <v>#NAME?</v>
      </c>
      <c r="CV3" s="1" t="e">
        <f ca="1">_xll.BDH($C$3,"ALTMAN_Z_SCORE","FY 2014","FY 2014","Currency=INR","Period=FY","BEST_FPERIOD_OVERRIDE=FY","FILING_STATUS=OR","EQY_CONSOLIDATED=Y","Sort=A","Dates=H","DateFormat=P","Fill=—","Direction=H","UseDPDF=Y")</f>
        <v>#NAME?</v>
      </c>
      <c r="CW3" s="3" t="e">
        <f ca="1">_xll.BDH($C$3,"ACCT_RCV_TURN","FY 2014","FY 2014","Currency=INR","Period=FY","BEST_FPERIOD_OVERRIDE=FY","FILING_STATUS=OR","EQY_CONSOLIDATED=Y","FA_ADJUSTED=GAAP","Sort=A","Dates=H","DateFormat=P","Fill=—","Direction=H","UseDPDF=Y")</f>
        <v>#NAME?</v>
      </c>
      <c r="CX3" s="1" t="e">
        <f ca="1">_xll.BDH($C$3,"ACCT_RCV_DAYS","FY 2014","FY 2014","Currency=INR","Period=FY","BEST_FPERIOD_OVERRIDE=FY","FILING_STATUS=OR","EQY_CONSOLIDATED=Y","FA_ADJUSTED=GAAP","Sort=A","Dates=H","DateFormat=P","Fill=—","Direction=H","UseDPDF=Y")</f>
        <v>#NAME?</v>
      </c>
      <c r="CY3" s="3" t="e">
        <f ca="1">_xll.BDH($C$3,"INVENT_TURN","FY 2014","FY 2014","Currency=INR","Period=FY","BEST_FPERIOD_OVERRIDE=FY","FILING_STATUS=OR","EQY_CONSOLIDATED=Y","FA_ADJUSTED=GAAP","Sort=A","Dates=H","DateFormat=P","Fill=—","Direction=H","UseDPDF=Y")</f>
        <v>#NAME?</v>
      </c>
      <c r="CZ3" s="1" t="e">
        <f ca="1">_xll.BDH($C$3,"INVENT_DAYS","FY 2014","FY 2014","Currency=INR","Period=FY","BEST_FPERIOD_OVERRIDE=FY","FILING_STATUS=OR","EQY_CONSOLIDATED=Y","FA_ADJUSTED=GAAP","Sort=A","Dates=H","DateFormat=P","Fill=—","Direction=H","UseDPDF=Y")</f>
        <v>#NAME?</v>
      </c>
      <c r="DA3" s="3" t="e">
        <f ca="1">_xll.BDH($C$3,"ACCOUNTS_PAYABLE_TURNOVER","FY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" s="1" t="e">
        <f ca="1">_xll.BDH($C$3,"ACCOUNTS_PAYABLE_TURNOVER_DAYS","FY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" s="3" t="e">
        <f ca="1">_xll.BDH($C$3,"CASH_CONVERSION_CYCLE","FY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" s="3" t="e">
        <f ca="1">_xll.BDH($C$3,"INV_TO_CASH_DAYS","FY 2014","FY 2014","Currency=INR","Period=FY","BEST_FPERIOD_OVERRIDE=FY","FILING_STATUS=OR","EQY_CONSOLIDATED=Y","FA_ADJUSTED=GAAP","Sort=A","Dates=H","DateFormat=P","Fill=—","Direction=H","UseDPDF=Y")</f>
        <v>#NAME?</v>
      </c>
      <c r="DE3" s="4" t="e">
        <f ca="1">_xll.BDH($C$3,"BS_INVENTORIES","FY 2014","FY 2014","Currency=INR","Period=FY","BEST_FPERIOD_OVERRIDE=FY","FILING_STATUS=OR","EQY_CONSOLIDATED=Y","SCALING_FORMAT=MLN","Sort=A","Dates=H","DateFormat=P","Fill=—","Direction=H","UseDPDF=Y")</f>
        <v>#NAME?</v>
      </c>
      <c r="DF3" s="2" t="e">
        <f ca="1">_xll.BDH($C$3,"INVTRY_RAW_MATERIALS","FY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" s="2" t="e">
        <f ca="1">_xll.BDH($C$3,"INVTRY_IN_PROGRESS","FY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" s="2" t="e">
        <f ca="1">_xll.BDH($C$3,"INVTRY_FINISHED_GOODS","FY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" s="2" t="e">
        <f ca="1">_xll.BDH($C$3,"BS_OTHER_INV","FY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" spans="1:113" x14ac:dyDescent="0.3">
      <c r="A4" s="6"/>
      <c r="B4" s="6"/>
      <c r="C4" s="6"/>
      <c r="D4" s="6"/>
      <c r="E4" t="s">
        <v>4</v>
      </c>
      <c r="F4" t="e">
        <f ca="1">_xll.BDH($C$3,"RETURN_COM_EQY","FQ1 2014","FQ1 2014","Currency=INR","Period=FQ","BEST_FPERIOD_OVERRIDE=FQ","FILING_STATUS=OR","EQY_CONSOLIDATED=Y","FA_ADJUSTED=GAAP","Sort=A","Dates=H","DateFormat=P","Fill=—","Direction=H","UseDPDF=Y")</f>
        <v>#NAME?</v>
      </c>
      <c r="G4" t="e">
        <f ca="1">_xll.BDH($C$3,"RETURN_ON_ASSET","FQ1 2014","FQ1 2014","Currency=INR","Period=FQ","BEST_FPERIOD_OVERRIDE=FQ","FILING_STATUS=OR","EQY_CONSOLIDATED=Y","FA_ADJUSTED=GAAP","Sort=A","Dates=H","DateFormat=P","Fill=—","Direction=H","UseDPDF=Y")</f>
        <v>#NAME?</v>
      </c>
      <c r="H4" t="e">
        <f ca="1">_xll.BDH($C$3,"RETURN_ON_CAP","FQ1 2014","FQ1 2014","Currency=INR","Period=FQ","BEST_FPERIOD_OVERRIDE=FQ","FILING_STATUS=OR","EQY_CONSOLIDATED=Y","FA_ADJUSTED=GAAP","Sort=A","Dates=H","DateFormat=P","Fill=—","Direction=H","UseDPDF=Y")</f>
        <v>#NAME?</v>
      </c>
      <c r="I4" t="e">
        <f ca="1">_xll.BDH($C$3,"RETURN_ON_INV_CAPITAL","FQ1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" t="e">
        <f ca="1">_xll.BDH($C$3,"EBITDA_TO_REVENUE","FQ1 2014","FQ1 2014","Currency=INR","Period=FQ","BEST_FPERIOD_OVERRIDE=FQ","FILING_STATUS=OR","EQY_CONSOLIDATED=Y","FA_ADJUSTED=GAAP","Sort=A","Dates=H","DateFormat=P","Fill=—","Direction=H","UseDPDF=Y")</f>
        <v>#NAME?</v>
      </c>
      <c r="K4" t="e">
        <f ca="1">_xll.BDH($C$3,"OPER_MARGIN","FQ1 2014","FQ1 2014","Currency=INR","Period=FQ","BEST_FPERIOD_OVERRIDE=FQ","FILING_STATUS=OR","EQY_CONSOLIDATED=Y","FA_ADJUSTED=GAAP","Sort=A","Dates=H","DateFormat=P","Fill=—","Direction=H","UseDPDF=Y")</f>
        <v>#NAME?</v>
      </c>
      <c r="L4" t="e">
        <f ca="1">_xll.BDH($C$3,"INCREMENTAL_OPERATING_MARGIN","FQ1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" t="e">
        <f ca="1">_xll.BDH($C$3,"PRETAX_INC_TO_NET_SALES","FQ1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" t="e">
        <f ca="1">_xll.BDH($C$3,"INC_BEF_XO_ITEMS_TO_NET_SALES","FQ1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" t="e">
        <f ca="1">_xll.BDH($C$3,"PROF_MARGIN","FQ1 2014","FQ1 2014","Currency=INR","Period=FQ","BEST_FPERIOD_OVERRIDE=FQ","FILING_STATUS=OR","EQY_CONSOLIDATED=Y","FA_ADJUSTED=GAAP","Sort=A","Dates=H","DateFormat=P","Fill=—","Direction=H","UseDPDF=Y")</f>
        <v>#NAME?</v>
      </c>
      <c r="P4" t="e">
        <f ca="1">_xll.BDH($C$3,"NET_INCOME_TO_COMMON_MARGIN","FQ1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" t="e">
        <f ca="1">_xll.BDH($C$3,"EFF_TAX_RATE","FQ1 2014","FQ1 2014","Currency=INR","Period=FQ","BEST_FPERIOD_OVERRIDE=FQ","FILING_STATUS=OR","EQY_CONSOLIDATED=Y","FA_ADJUSTED=GAAP","Sort=A","Dates=H","DateFormat=P","Fill=—","Direction=H","UseDPDF=Y")</f>
        <v>#NAME?</v>
      </c>
      <c r="R4" t="e">
        <f ca="1">_xll.BDH($C$3,"DVD_PAYOUT_RATIO","FQ1 2014","FQ1 2014","Currency=INR","Period=FQ","BEST_FPERIOD_OVERRIDE=FQ","FILING_STATUS=OR","EQY_CONSOLIDATED=Y","FA_ADJUSTED=GAAP","Sort=A","Dates=H","DateFormat=P","Fill=—","Direction=H","UseDPDF=Y")</f>
        <v>#NAME?</v>
      </c>
      <c r="S4" t="e">
        <f ca="1">_xll.BDH($C$3,"SUSTAIN_GROWTH_RT","FQ1 2014","FQ1 2014","Currency=INR","Period=FQ","BEST_FPERIOD_OVERRIDE=FQ","FILING_STATUS=OR","EQY_CONSOLIDATED=Y","FA_ADJUSTED=GAAP","Sort=A","Dates=H","DateFormat=P","Fill=—","Direction=H","UseDPDF=Y")</f>
        <v>#NAME?</v>
      </c>
      <c r="T4" s="1" t="e">
        <f ca="1">_xll.BDH($C$3,"SALES_GROWTH","FQ1 2014","FQ1 2014","Currency=INR","Period=FQ","BEST_FPERIOD_OVERRIDE=FQ","FILING_STATUS=OR","EQY_CONSOLIDATED=Y","FA_ADJUSTED=GAAP","Sort=A","Dates=H","DateFormat=P","Fill=—","Direction=H","UseDPDF=Y")</f>
        <v>#NAME?</v>
      </c>
      <c r="U4" s="1" t="e">
        <f ca="1">_xll.BDH($C$3,"EBITDA_GROWTH","FQ1 2014","FQ1 2014","Currency=INR","Period=FQ","BEST_FPERIOD_OVERRIDE=FQ","FILING_STATUS=OR","EQY_CONSOLIDATED=Y","FA_ADJUSTED=GAAP","Sort=A","Dates=H","DateFormat=P","Fill=—","Direction=H","UseDPDF=Y")</f>
        <v>#NAME?</v>
      </c>
      <c r="V4" s="1" t="e">
        <f ca="1">_xll.BDH($C$3,"OPER_INC_GROWTH","FQ1 2014","FQ1 2014","Currency=INR","Period=FQ","BEST_FPERIOD_OVERRIDE=FQ","FILING_STATUS=OR","EQY_CONSOLIDATED=Y","FA_ADJUSTED=GAAP","Sort=A","Dates=H","DateFormat=P","Fill=—","Direction=H","UseDPDF=Y")</f>
        <v>#NAME?</v>
      </c>
      <c r="W4" s="1" t="e">
        <f ca="1">_xll.BDH($C$3,"EARN_FOR_COM_GROWTH","FQ1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" s="1" t="e">
        <f ca="1">_xll.BDH($C$3,"DILUTED_EPS_AFT_XO_ITEMS_GROWTH","FQ1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" s="1" t="e">
        <f ca="1">_xll.BDH($C$3,"DIVIDEND_PER_SHARE_1_YEAR_GROWTH","FQ1 2014","FQ1 2014","Currency=INR","Period=FQ","BEST_FPERIOD_OVERRIDE=FQ","FILING_STATUS=OR","EQY_CONSOLIDATED=Y","Sort=A","Dates=H","DateFormat=P","Fill=—","Direction=H","UseDPDF=Y")</f>
        <v>#NAME?</v>
      </c>
      <c r="Z4" s="1" t="e">
        <f ca="1">_xll.BDH($C$3,"ACCOUNTS_RECEIVABLE_GROWTH","FQ1 2014","FQ1 2014","Currency=INR","Period=FQ","BEST_FPERIOD_OVERRIDE=FQ","FILING_STATUS=OR","EQY_CONSOLIDATED=Y","Sort=A","Dates=H","DateFormat=P","Fill=—","Direction=H","UseDPDF=Y")</f>
        <v>#NAME?</v>
      </c>
      <c r="AA4" s="1" t="e">
        <f ca="1">_xll.BDH($C$3,"INVENTORY_GROWTH","FQ1 2014","FQ1 2014","Currency=INR","Period=FQ","BEST_FPERIOD_OVERRIDE=FQ","FILING_STATUS=OR","EQY_CONSOLIDATED=Y","Sort=A","Dates=H","DateFormat=P","Fill=—","Direction=H","UseDPDF=Y")</f>
        <v>#NAME?</v>
      </c>
      <c r="AB4" s="1" t="e">
        <f ca="1">_xll.BDH($C$3,"NET_FIXED_ASSETS_1_YEAR_GROWTH","FQ1 2014","FQ1 2014","Currency=INR","Period=FQ","BEST_FPERIOD_OVERRIDE=FQ","FILING_STATUS=OR","EQY_CONSOLIDATED=Y","Sort=A","Dates=H","DateFormat=P","Fill=—","Direction=H","UseDPDF=Y")</f>
        <v>#NAME?</v>
      </c>
      <c r="AC4" s="1" t="e">
        <f ca="1">_xll.BDH($C$3,"ASSET_GROWTH","FQ1 2014","FQ1 2014","Currency=INR","Period=FQ","BEST_FPERIOD_OVERRIDE=FQ","FILING_STATUS=OR","EQY_CONSOLIDATED=Y","Sort=A","Dates=H","DateFormat=P","Fill=—","Direction=H","UseDPDF=Y")</f>
        <v>#NAME?</v>
      </c>
      <c r="AD4" s="1" t="e">
        <f ca="1">_xll.BDH($C$3,"MODIFIED_WORK_CAP_GROWTH","FQ1 2014","FQ1 2014","Currency=INR","Period=FQ","BEST_FPERIOD_OVERRIDE=FQ","FILING_STATUS=OR","EQY_CONSOLIDATED=Y","Sort=A","Dates=H","DateFormat=P","Fill=—","Direction=H","UseDPDF=Y")</f>
        <v>#NAME?</v>
      </c>
      <c r="AE4" s="1" t="e">
        <f ca="1">_xll.BDH($C$3,"WORK_CAP_GROWTH","FQ1 2014","FQ1 2014","Currency=INR","Period=FQ","BEST_FPERIOD_OVERRIDE=FQ","FILING_STATUS=OR","EQY_CONSOLIDATED=Y","Sort=A","Dates=H","DateFormat=P","Fill=—","Direction=H","UseDPDF=Y")</f>
        <v>#NAME?</v>
      </c>
      <c r="AF4" s="1" t="e">
        <f ca="1">_xll.BDH($C$3,"ACCOUNTS_PAYABLE_GROWTH_1YR","FQ1 2014","FQ1 2014","Currency=INR","Period=FQ","BEST_FPERIOD_OVERRIDE=FQ","FILING_STATUS=OR","EQY_CONSOLIDATED=Y","Sort=A","Dates=H","DateFormat=P","Fill=—","Direction=H","UseDPDF=Y")</f>
        <v>#NAME?</v>
      </c>
      <c r="AG4" s="1" t="e">
        <f ca="1">_xll.BDH($C$3,"SHORT_TERM_DEBT_1_YEAR_GROWTH","FQ1 2014","FQ1 2014","Currency=INR","Period=FQ","BEST_FPERIOD_OVERRIDE=FQ","FILING_STATUS=OR","EQY_CONSOLIDATED=Y","Sort=A","Dates=H","DateFormat=P","Fill=—","Direction=H","UseDPDF=Y")</f>
        <v>#NAME?</v>
      </c>
      <c r="AH4" s="1" t="e">
        <f ca="1">_xll.BDH($C$3,"TOTAL_DEBT_1_YEAR_GROWTH","FQ1 2014","FQ1 2014","Currency=INR","Period=FQ","BEST_FPERIOD_OVERRIDE=FQ","FILING_STATUS=OR","EQY_CONSOLIDATED=Y","Sort=A","Dates=H","DateFormat=P","Fill=—","Direction=H","UseDPDF=Y")</f>
        <v>#NAME?</v>
      </c>
      <c r="AI4" s="1" t="e">
        <f ca="1">_xll.BDH($C$3,"TOTAL_EQUITY_1_YEAR_GROWTH","FQ1 2014","FQ1 2014","Currency=INR","Period=FQ","BEST_FPERIOD_OVERRIDE=FQ","FILING_STATUS=OR","EQY_CONSOLIDATED=Y","Sort=A","Dates=H","DateFormat=P","Fill=—","Direction=H","UseDPDF=Y")</f>
        <v>#NAME?</v>
      </c>
      <c r="AJ4" s="1" t="e">
        <f ca="1">_xll.BDH($C$3,"GROWTH_IN_CAP","FQ1 2014","FQ1 2014","Currency=INR","Period=FQ","BEST_FPERIOD_OVERRIDE=FQ","FILING_STATUS=OR","EQY_CONSOLIDATED=Y","Sort=A","Dates=H","DateFormat=P","Fill=—","Direction=H","UseDPDF=Y")</f>
        <v>#NAME?</v>
      </c>
      <c r="AK4" s="1" t="e">
        <f ca="1">_xll.BDH($C$3,"BVPS_GROWTH","FQ1 2014","FQ1 2014","Currency=INR","Period=FQ","BEST_FPERIOD_OVERRIDE=FQ","FILING_STATUS=OR","EQY_CONSOLIDATED=Y","Sort=A","Dates=H","DateFormat=P","Fill=—","Direction=H","UseDPDF=Y")</f>
        <v>#NAME?</v>
      </c>
      <c r="AL4" s="1" t="e">
        <f ca="1">_xll.BDH($C$3,"CASH_FLOW_GROWTH","FQ1 2014","FQ1 2014","Currency=INR","Period=FQ","BEST_FPERIOD_OVERRIDE=FQ","FILING_STATUS=OR","EQY_CONSOLIDATED=Y","Sort=A","Dates=H","DateFormat=P","Fill=—","Direction=H","UseDPDF=Y")</f>
        <v>#NAME?</v>
      </c>
      <c r="AM4" s="1" t="e">
        <f ca="1">_xll.BDH($C$3,"GEO_GROW_NET_SALES","FQ1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" s="1" t="e">
        <f ca="1">_xll.BDH($C$3,"GEO_GROW_EBITDA","FQ1 2014","FQ1 2014","Currency=INR","Period=FQ","BEST_FPERIOD_OVERRIDE=FQ","FILING_STATUS=OR","EQY_CONSOLIDATED=Y","FA_ADJUSTED=GAAP","Sort=A","Dates=H","DateFormat=P","Fill=—","Direction=H","UseDPDF=Y")</f>
        <v>#NAME?</v>
      </c>
      <c r="AO4" s="1" t="e">
        <f ca="1">_xll.BDH($C$3,"GEO_GROW_OPER_INC","FQ1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" s="1" t="e">
        <f ca="1">_xll.BDH($C$3,"NET_INCOME_TO_COMMON_5_YR_GROWTH","FQ1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" s="1" t="e">
        <f ca="1">_xll.BDH($C$3,"5Y_GEO_GROWTH_DILUTED_EPS","FQ1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" s="1" t="e">
        <f ca="1">_xll.BDH($C$3,"GEO_GROW_DVD_PER_SH","FQ1 2014","FQ1 2014","Currency=INR","Period=FQ","BEST_FPERIOD_OVERRIDE=FQ","FILING_STATUS=OR","EQY_CONSOLIDATED=Y","Sort=A","Dates=H","DateFormat=P","Fill=—","Direction=H","UseDPDF=Y")</f>
        <v>#NAME?</v>
      </c>
      <c r="AS4" s="1" t="e">
        <f ca="1">_xll.BDH($C$3,"ACCOUNTS_RECEIVABLE_5_YR_GROWTH","FQ1 2014","FQ1 2014","Currency=INR","Period=FQ","BEST_FPERIOD_OVERRIDE=FQ","FILING_STATUS=OR","EQY_CONSOLIDATED=Y","Sort=A","Dates=H","DateFormat=P","Fill=—","Direction=H","UseDPDF=Y")</f>
        <v>#NAME?</v>
      </c>
      <c r="AT4" s="1" t="e">
        <f ca="1">_xll.BDH($C$3,"INVENTORY_5_YEAR_GROWTH","FQ1 2014","FQ1 2014","Currency=INR","Period=FQ","BEST_FPERIOD_OVERRIDE=FQ","FILING_STATUS=OR","EQY_CONSOLIDATED=Y","Sort=A","Dates=H","DateFormat=P","Fill=—","Direction=H","UseDPDF=Y")</f>
        <v>#NAME?</v>
      </c>
      <c r="AU4" s="1" t="e">
        <f ca="1">_xll.BDH($C$3,"NET_FIXED_ASSETS_5_YEAR_GROWTH","FQ1 2014","FQ1 2014","Currency=INR","Period=FQ","BEST_FPERIOD_OVERRIDE=FQ","FILING_STATUS=OR","EQY_CONSOLIDATED=Y","Sort=A","Dates=H","DateFormat=P","Fill=—","Direction=H","UseDPDF=Y")</f>
        <v>#NAME?</v>
      </c>
      <c r="AV4" s="1" t="e">
        <f ca="1">_xll.BDH($C$3,"GEO_GROW_TOT_ASSET","FQ1 2014","FQ1 2014","Currency=INR","Period=FQ","BEST_FPERIOD_OVERRIDE=FQ","FILING_STATUS=OR","EQY_CONSOLIDATED=Y","Sort=A","Dates=H","DateFormat=P","Fill=—","Direction=H","UseDPDF=Y")</f>
        <v>#NAME?</v>
      </c>
      <c r="AW4" s="1" t="e">
        <f ca="1">_xll.BDH($C$3,"MODIFIED_WORKING_CPTL_5YR_GRWTH","FQ1 2014","FQ1 2014","Currency=INR","Period=FQ","BEST_FPERIOD_OVERRIDE=FQ","FILING_STATUS=OR","EQY_CONSOLIDATED=Y","Sort=A","Dates=H","DateFormat=P","Fill=—","Direction=H","UseDPDF=Y")</f>
        <v>#NAME?</v>
      </c>
      <c r="AX4" s="1" t="e">
        <f ca="1">_xll.BDH($C$3,"WORKING_CAPITAL_5_YEAR_GROWTH","FQ1 2014","FQ1 2014","Currency=INR","Period=FQ","BEST_FPERIOD_OVERRIDE=FQ","FILING_STATUS=OR","EQY_CONSOLIDATED=Y","Sort=A","Dates=H","DateFormat=P","Fill=—","Direction=H","UseDPDF=Y")</f>
        <v>#NAME?</v>
      </c>
      <c r="AY4" s="1" t="e">
        <f ca="1">_xll.BDH($C$3,"ACCOUNTS_PAYABLE_5_YEAR_GROWTH","FQ1 2014","FQ1 2014","Currency=INR","Period=FQ","BEST_FPERIOD_OVERRIDE=FQ","FILING_STATUS=OR","EQY_CONSOLIDATED=Y","Sort=A","Dates=H","DateFormat=P","Fill=—","Direction=H","UseDPDF=Y")</f>
        <v>#NAME?</v>
      </c>
      <c r="AZ4" s="1" t="e">
        <f ca="1">_xll.BDH($C$3,"SHORT_TERM_DEBT_5_YEAR_GROWTH","FQ1 2014","FQ1 2014","Currency=INR","Period=FQ","BEST_FPERIOD_OVERRIDE=FQ","FILING_STATUS=OR","EQY_CONSOLIDATED=Y","Sort=A","Dates=H","DateFormat=P","Fill=—","Direction=H","UseDPDF=Y")</f>
        <v>#NAME?</v>
      </c>
      <c r="BA4" s="1" t="e">
        <f ca="1">_xll.BDH($C$3,"TOTAL_DEBT_5_YEAR_GROWTH","FQ1 2014","FQ1 2014","Currency=INR","Period=FQ","BEST_FPERIOD_OVERRIDE=FQ","FILING_STATUS=OR","EQY_CONSOLIDATED=Y","Sort=A","Dates=H","DateFormat=P","Fill=—","Direction=H","UseDPDF=Y")</f>
        <v>#NAME?</v>
      </c>
      <c r="BB4" s="1" t="e">
        <f ca="1">_xll.BDH($C$3,"GEO_GROW_TOT_SHRHLDR_EQY","FQ1 2014","FQ1 2014","Currency=INR","Period=FQ","BEST_FPERIOD_OVERRIDE=FQ","FILING_STATUS=OR","EQY_CONSOLIDATED=Y","Sort=A","Dates=H","DateFormat=P","Fill=—","Direction=H","UseDPDF=Y")</f>
        <v>#NAME?</v>
      </c>
      <c r="BC4" s="1" t="e">
        <f ca="1">_xll.BDH($C$3,"TOTAL_CAPITAL_5_YEAR_GROWTH","FQ1 2014","FQ1 2014","Currency=INR","Period=FQ","BEST_FPERIOD_OVERRIDE=FQ","FILING_STATUS=OR","EQY_CONSOLIDATED=Y","Sort=A","Dates=H","DateFormat=P","Fill=—","Direction=H","UseDPDF=Y")</f>
        <v>#NAME?</v>
      </c>
      <c r="BD4" s="1" t="e">
        <f ca="1">_xll.BDH($C$3,"GEO_GROW_BOOK_VAL","FQ1 2014","FQ1 2014","Currency=INR","Period=FQ","BEST_FPERIOD_OVERRIDE=FQ","FILING_STATUS=OR","EQY_CONSOLIDATED=Y","Sort=A","Dates=H","DateFormat=P","Fill=—","Direction=H","UseDPDF=Y")</f>
        <v>#NAME?</v>
      </c>
      <c r="BE4" s="1" t="e">
        <f ca="1">_xll.BDH($C$3,"GEO_GROW_CASH_OPER_ACT","FQ1 2014","FQ1 2014","Currency=INR","Period=FQ","BEST_FPERIOD_OVERRIDE=FQ","FILING_STATUS=OR","EQY_CONSOLIDATED=Y","Sort=A","Dates=H","DateFormat=P","Fill=—","Direction=H","UseDPDF=Y")</f>
        <v>#NAME?</v>
      </c>
      <c r="BF4" s="1" t="e">
        <f ca="1">_xll.BDH($C$3,"REVENUE_SEQUENTIAL_GROWTH","FQ1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" s="1" t="e">
        <f ca="1">_xll.BDH($C$3,"EBITDA_SEQUENTIAL_GROWTH","FQ1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" s="1" t="e">
        <f ca="1">_xll.BDH($C$3,"OPERATING_INCOME_SEQ_GROWTH","FQ1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" s="1" t="e">
        <f ca="1">_xll.BDH($C$3,"NET_INCOME_TO_COMMON_SEQ_GROWTH","FQ1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" s="1" t="e">
        <f ca="1">_xll.BDH($C$3,"EPS_DILUTED_SEQUENTIAL_GROWTH","FQ1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" s="1" t="e">
        <f ca="1">_xll.BDH($C$3,"DPS_SEQUENTIAL_GROWTH","FQ1 2014","FQ1 2014","Currency=INR","Period=FQ","BEST_FPERIOD_OVERRIDE=FQ","FILING_STATUS=OR","EQY_CONSOLIDATED=Y","Sort=A","Dates=H","DateFormat=P","Fill=—","Direction=H","UseDPDF=Y")</f>
        <v>#NAME?</v>
      </c>
      <c r="BL4" s="1" t="e">
        <f ca="1">_xll.BDH($C$3,"ACCOUNTS_RECEIVABLE_SEQ_GROWTH","FQ1 2014","FQ1 2014","Currency=INR","Period=FQ","BEST_FPERIOD_OVERRIDE=FQ","FILING_STATUS=OR","EQY_CONSOLIDATED=Y","Sort=A","Dates=H","DateFormat=P","Fill=—","Direction=H","UseDPDF=Y")</f>
        <v>#NAME?</v>
      </c>
      <c r="BM4" s="1" t="e">
        <f ca="1">_xll.BDH($C$3,"INVENTORY_SEQUENTIAL_GROWTH","FQ1 2014","FQ1 2014","Currency=INR","Period=FQ","BEST_FPERIOD_OVERRIDE=FQ","FILING_STATUS=OR","EQY_CONSOLIDATED=Y","Sort=A","Dates=H","DateFormat=P","Fill=—","Direction=H","UseDPDF=Y")</f>
        <v>#NAME?</v>
      </c>
      <c r="BN4" s="1" t="e">
        <f ca="1">_xll.BDH($C$3,"FIXED_ASSETS_SEQUENTIAL_GROWTH","FQ1 2014","FQ1 2014","Currency=INR","Period=FQ","BEST_FPERIOD_OVERRIDE=FQ","FILING_STATUS=OR","EQY_CONSOLIDATED=Y","Sort=A","Dates=H","DateFormat=P","Fill=—","Direction=H","UseDPDF=Y")</f>
        <v>#NAME?</v>
      </c>
      <c r="BO4" s="1" t="e">
        <f ca="1">_xll.BDH($C$3,"TOTAL_ASSETS_SEQUENTIAL_GROWTH","FQ1 2014","FQ1 2014","Currency=INR","Period=FQ","BEST_FPERIOD_OVERRIDE=FQ","FILING_STATUS=OR","EQY_CONSOLIDATED=Y","Sort=A","Dates=H","DateFormat=P","Fill=—","Direction=H","UseDPDF=Y")</f>
        <v>#NAME?</v>
      </c>
      <c r="BP4" s="1" t="e">
        <f ca="1">_xll.BDH($C$3,"MODIFIED_WORKING_CPTL_SEQ_GRWTH","FQ1 2014","FQ1 2014","Currency=INR","Period=FQ","BEST_FPERIOD_OVERRIDE=FQ","FILING_STATUS=OR","EQY_CONSOLIDATED=Y","Sort=A","Dates=H","DateFormat=P","Fill=—","Direction=H","UseDPDF=Y")</f>
        <v>#NAME?</v>
      </c>
      <c r="BQ4" s="1" t="e">
        <f ca="1">_xll.BDH($C$3,"WORKING_CAPITAL_SEQ_GROWTH","FQ1 2014","FQ1 2014","Currency=INR","Period=FQ","BEST_FPERIOD_OVERRIDE=FQ","FILING_STATUS=OR","EQY_CONSOLIDATED=Y","Sort=A","Dates=H","DateFormat=P","Fill=—","Direction=H","UseDPDF=Y")</f>
        <v>#NAME?</v>
      </c>
      <c r="BR4" s="1" t="e">
        <f ca="1">_xll.BDH($C$3,"ACCOUNTS_PAYABLE_SEQ_GROWTH","FQ1 2014","FQ1 2014","Currency=INR","Period=FQ","BEST_FPERIOD_OVERRIDE=FQ","FILING_STATUS=OR","EQY_CONSOLIDATED=Y","Sort=A","Dates=H","DateFormat=P","Fill=—","Direction=H","UseDPDF=Y")</f>
        <v>#NAME?</v>
      </c>
      <c r="BS4" s="1" t="e">
        <f ca="1">_xll.BDH($C$3,"ST_DEBT_SEQUENTIAL_GROWTH","FQ1 2014","FQ1 2014","Currency=INR","Period=FQ","BEST_FPERIOD_OVERRIDE=FQ","FILING_STATUS=OR","EQY_CONSOLIDATED=Y","Sort=A","Dates=H","DateFormat=P","Fill=—","Direction=H","UseDPDF=Y")</f>
        <v>#NAME?</v>
      </c>
      <c r="BT4" s="1" t="e">
        <f ca="1">_xll.BDH($C$3,"TOTAL_DEBT_SEQUENTIAL_GROWTH","FQ1 2014","FQ1 2014","Currency=INR","Period=FQ","BEST_FPERIOD_OVERRIDE=FQ","FILING_STATUS=OR","EQY_CONSOLIDATED=Y","Sort=A","Dates=H","DateFormat=P","Fill=—","Direction=H","UseDPDF=Y")</f>
        <v>#NAME?</v>
      </c>
      <c r="BU4" s="1" t="e">
        <f ca="1">_xll.BDH($C$3,"TOTAL_EQUITY_SEQUENTIAL_GROWTH","FQ1 2014","FQ1 2014","Currency=INR","Period=FQ","BEST_FPERIOD_OVERRIDE=FQ","FILING_STATUS=OR","EQY_CONSOLIDATED=Y","Sort=A","Dates=H","DateFormat=P","Fill=—","Direction=H","UseDPDF=Y")</f>
        <v>#NAME?</v>
      </c>
      <c r="BV4" s="1" t="e">
        <f ca="1">_xll.BDH($C$3,"TOTAL_CAPITAL_SEQUENTIAL_GROWTH","FQ1 2014","FQ1 2014","Currency=INR","Period=FQ","BEST_FPERIOD_OVERRIDE=FQ","FILING_STATUS=OR","EQY_CONSOLIDATED=Y","Sort=A","Dates=H","DateFormat=P","Fill=—","Direction=H","UseDPDF=Y")</f>
        <v>#NAME?</v>
      </c>
      <c r="BW4" s="1" t="e">
        <f ca="1">_xll.BDH($C$3,"BPS_SEQUENTIAL_GROWTH","FQ1 2014","FQ1 2014","Currency=INR","Period=FQ","BEST_FPERIOD_OVERRIDE=FQ","FILING_STATUS=OR","EQY_CONSOLIDATED=Y","Sort=A","Dates=H","DateFormat=P","Fill=—","Direction=H","UseDPDF=Y")</f>
        <v>#NAME?</v>
      </c>
      <c r="BX4" s="1" t="e">
        <f ca="1">_xll.BDH($C$3,"CFO_SEQUENTIAL_GROWTH","FQ1 2014","FQ1 2014","Currency=INR","Period=FQ","BEST_FPERIOD_OVERRIDE=FQ","FILING_STATUS=OR","EQY_CONSOLIDATED=Y","Sort=A","Dates=H","DateFormat=P","Fill=—","Direction=H","UseDPDF=Y")</f>
        <v>#NAME?</v>
      </c>
      <c r="BY4" s="2" t="e">
        <f ca="1">_xll.BDH($C$3,"SHORT_AND_LONG_TERM_DEBT","FQ1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" s="2" t="e">
        <f ca="1">_xll.BDH($C$3,"BS_ST_BORROW","FQ1 2014","FQ1 2014","Currency=INR","Period=FQ","BEST_FPERIOD_OVERRIDE=FQ","FILING_STATUS=OR","EQY_CONSOLIDATED=Y","SCALING_FORMAT=MLN","Sort=A","Dates=H","DateFormat=P","Fill=—","Direction=H","UseDPDF=Y")</f>
        <v>#NAME?</v>
      </c>
      <c r="CA4" s="2" t="e">
        <f ca="1">_xll.BDH($C$3,"BS_LT_BORROW","FQ1 2014","FQ1 2014","Currency=INR","Period=FQ","BEST_FPERIOD_OVERRIDE=FQ","FILING_STATUS=OR","EQY_CONSOLIDATED=Y","SCALING_FORMAT=MLN","Sort=A","Dates=H","DateFormat=P","Fill=—","Direction=H","UseDPDF=Y")</f>
        <v>#NAME?</v>
      </c>
      <c r="CB4" s="1" t="e">
        <f ca="1">_xll.BDH($C$3,"TOT_DEBT_TO_EBITDA","FQ1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" s="1" t="e">
        <f ca="1">_xll.BDH($C$3,"NET_DEBT_TO_EBITDA","FQ1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" s="1" t="e">
        <f ca="1">_xll.BDH($C$3,"TOTAL_DEBT_TO_EBIT","FQ1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" s="1" t="e">
        <f ca="1">_xll.BDH($C$3,"NET_DEBT_TO_EBIT","FQ1 2014","FQ1 2014","Currency=INR","Period=FQ","BEST_FPERIOD_OVERRIDE=FQ","FILING_STATUS=OR","EQY_CONSOLIDATED=Y","FA_ADJUSTED=GAAP","Sort=A","Dates=H","DateFormat=P","Fill=—","Direction=H","UseDPDF=Y")</f>
        <v>#NAME?</v>
      </c>
      <c r="CF4" s="1" t="e">
        <f ca="1">_xll.BDH($C$3,"EBITDA_TO_INTEREST_EXPN","FQ1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" s="1" t="e">
        <f ca="1">_xll.BDH($C$3,"COM_EQY_TO_TOT_ASSET","FQ1 2014","FQ1 2014","Currency=INR","Period=FQ","BEST_FPERIOD_OVERRIDE=FQ","FILING_STATUS=OR","EQY_CONSOLIDATED=Y","Sort=A","Dates=H","DateFormat=P","Fill=—","Direction=H","UseDPDF=Y")</f>
        <v>#NAME?</v>
      </c>
      <c r="CH4" s="1" t="e">
        <f ca="1">_xll.BDH($C$3,"LT_DEBT_TO_TOT_EQY","FQ1 2014","FQ1 2014","Currency=INR","Period=FQ","BEST_FPERIOD_OVERRIDE=FQ","FILING_STATUS=OR","EQY_CONSOLIDATED=Y","Sort=A","Dates=H","DateFormat=P","Fill=—","Direction=H","UseDPDF=Y")</f>
        <v>#NAME?</v>
      </c>
      <c r="CI4" s="1" t="e">
        <f ca="1">_xll.BDH($C$3,"LT_DEBT_TO_TOT_CAP","FQ1 2014","FQ1 2014","Currency=INR","Period=FQ","BEST_FPERIOD_OVERRIDE=FQ","FILING_STATUS=OR","EQY_CONSOLIDATED=Y","Sort=A","Dates=H","DateFormat=P","Fill=—","Direction=H","UseDPDF=Y")</f>
        <v>#NAME?</v>
      </c>
      <c r="CJ4" s="1" t="e">
        <f ca="1">_xll.BDH($C$3,"LT_DEBT_TO_TOT_ASSET","FQ1 2014","FQ1 2014","Currency=INR","Period=FQ","BEST_FPERIOD_OVERRIDE=FQ","FILING_STATUS=OR","EQY_CONSOLIDATED=Y","Sort=A","Dates=H","DateFormat=P","Fill=—","Direction=H","UseDPDF=Y")</f>
        <v>#NAME?</v>
      </c>
      <c r="CK4" s="1" t="e">
        <f ca="1">_xll.BDH($C$3,"TOT_DEBT_TO_TOT_EQY","FQ1 2014","FQ1 2014","Currency=INR","Period=FQ","BEST_FPERIOD_OVERRIDE=FQ","FILING_STATUS=OR","EQY_CONSOLIDATED=Y","Sort=A","Dates=H","DateFormat=P","Fill=—","Direction=H","UseDPDF=Y")</f>
        <v>#NAME?</v>
      </c>
      <c r="CL4" s="1" t="e">
        <f ca="1">_xll.BDH($C$3,"TOT_DEBT_TO_TOT_CAP","FQ1 2014","FQ1 2014","Currency=INR","Period=FQ","BEST_FPERIOD_OVERRIDE=FQ","FILING_STATUS=OR","EQY_CONSOLIDATED=Y","Sort=A","Dates=H","DateFormat=P","Fill=—","Direction=H","UseDPDF=Y")</f>
        <v>#NAME?</v>
      </c>
      <c r="CM4" s="1" t="e">
        <f ca="1">_xll.BDH($C$3,"TOT_DEBT_TO_TOT_ASSET","FQ1 2014","FQ1 2014","Currency=INR","Period=FQ","BEST_FPERIOD_OVERRIDE=FQ","FILING_STATUS=OR","EQY_CONSOLIDATED=Y","Sort=A","Dates=H","DateFormat=P","Fill=—","Direction=H","UseDPDF=Y")</f>
        <v>#NAME?</v>
      </c>
      <c r="CN4" s="1" t="e">
        <f ca="1">_xll.BDH($C$3,"NET_DEBT_TO_SHRHLDR_EQTY","FQ1 2014","FQ1 2014","Currency=INR","Period=FQ","BEST_FPERIOD_OVERRIDE=FQ","FILING_STATUS=OR","EQY_CONSOLIDATED=Y","Sort=A","Dates=H","DateFormat=P","Fill=—","Direction=H","UseDPDF=Y")</f>
        <v>#NAME?</v>
      </c>
      <c r="CO4" s="1" t="e">
        <f ca="1">_xll.BDH($C$3,"NET_DEBT_%_CAPITAL","FQ1 2014","FQ1 2014","Currency=INR","Period=FQ","BEST_FPERIOD_OVERRIDE=FQ","FILING_STATUS=OR","EQY_CONSOLIDATED=Y","Sort=A","Dates=H","DateFormat=P","Fill=—","Direction=H","UseDPDF=Y")</f>
        <v>#NAME?</v>
      </c>
      <c r="CP4" s="2" t="e">
        <f ca="1">_xll.BDH($C$3,"EBITDA","FQ1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" s="2" t="e">
        <f ca="1">_xll.BDH($C$3,"EBITDA_AFTER_CAPEX","FQ1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" s="2" t="e">
        <f ca="1">_xll.BDH($C$3,"IS_OPER_INC","FQ1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" s="1" t="e">
        <f ca="1">_xll.BDH($C$3,"CASH_RATIO","FQ1 2014","FQ1 2014","Currency=INR","Period=FQ","BEST_FPERIOD_OVERRIDE=FQ","FILING_STATUS=OR","EQY_CONSOLIDATED=Y","Sort=A","Dates=H","DateFormat=P","Fill=—","Direction=H","UseDPDF=Y")</f>
        <v>#NAME?</v>
      </c>
      <c r="CT4" s="1" t="e">
        <f ca="1">_xll.BDH($C$3,"CUR_RATIO","FQ1 2014","FQ1 2014","Currency=INR","Period=FQ","BEST_FPERIOD_OVERRIDE=FQ","FILING_STATUS=OR","EQY_CONSOLIDATED=Y","Sort=A","Dates=H","DateFormat=P","Fill=—","Direction=H","UseDPDF=Y")</f>
        <v>#NAME?</v>
      </c>
      <c r="CU4" s="1" t="e">
        <f ca="1">_xll.BDH($C$3,"QUICK_RATIO","FQ1 2014","FQ1 2014","Currency=INR","Period=FQ","BEST_FPERIOD_OVERRIDE=FQ","FILING_STATUS=OR","EQY_CONSOLIDATED=Y","Sort=A","Dates=H","DateFormat=P","Fill=—","Direction=H","UseDPDF=Y")</f>
        <v>#NAME?</v>
      </c>
      <c r="CV4" s="1" t="e">
        <f ca="1">_xll.BDH($C$3,"ALTMAN_Z_SCORE","FQ1 2014","FQ1 2014","Currency=INR","Period=FQ","BEST_FPERIOD_OVERRIDE=FQ","FILING_STATUS=OR","EQY_CONSOLIDATED=Y","Sort=A","Dates=H","DateFormat=P","Fill=—","Direction=H","UseDPDF=Y")</f>
        <v>#NAME?</v>
      </c>
      <c r="CW4" s="3" t="e">
        <f ca="1">_xll.BDH($C$3,"ACCT_RCV_TURN","FQ1 2014","FQ1 2014","Currency=INR","Period=FQ","BEST_FPERIOD_OVERRIDE=FQ","FILING_STATUS=OR","EQY_CONSOLIDATED=Y","FA_ADJUSTED=GAAP","Sort=A","Dates=H","DateFormat=P","Fill=—","Direction=H","UseDPDF=Y")</f>
        <v>#NAME?</v>
      </c>
      <c r="CX4" s="1" t="e">
        <f ca="1">_xll.BDH($C$3,"ACCT_RCV_DAYS","FQ1 2014","FQ1 2014","Currency=INR","Period=FQ","BEST_FPERIOD_OVERRIDE=FQ","FILING_STATUS=OR","EQY_CONSOLIDATED=Y","FA_ADJUSTED=GAAP","Sort=A","Dates=H","DateFormat=P","Fill=—","Direction=H","UseDPDF=Y")</f>
        <v>#NAME?</v>
      </c>
      <c r="CY4" s="3" t="e">
        <f ca="1">_xll.BDH($C$3,"INVENT_TURN","FQ1 2014","FQ1 2014","Currency=INR","Period=FQ","BEST_FPERIOD_OVERRIDE=FQ","FILING_STATUS=OR","EQY_CONSOLIDATED=Y","FA_ADJUSTED=GAAP","Sort=A","Dates=H","DateFormat=P","Fill=—","Direction=H","UseDPDF=Y")</f>
        <v>#NAME?</v>
      </c>
      <c r="CZ4" s="1" t="e">
        <f ca="1">_xll.BDH($C$3,"INVENT_DAYS","FQ1 2014","FQ1 2014","Currency=INR","Period=FQ","BEST_FPERIOD_OVERRIDE=FQ","FILING_STATUS=OR","EQY_CONSOLIDATED=Y","FA_ADJUSTED=GAAP","Sort=A","Dates=H","DateFormat=P","Fill=—","Direction=H","UseDPDF=Y")</f>
        <v>#NAME?</v>
      </c>
      <c r="DA4" s="3" t="e">
        <f ca="1">_xll.BDH($C$3,"ACCOUNTS_PAYABLE_TURNOVER","FQ1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" s="1" t="e">
        <f ca="1">_xll.BDH($C$3,"ACCOUNTS_PAYABLE_TURNOVER_DAYS","FQ1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" s="3" t="e">
        <f ca="1">_xll.BDH($C$3,"CASH_CONVERSION_CYCLE","FQ1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" s="3" t="e">
        <f ca="1">_xll.BDH($C$3,"INV_TO_CASH_DAYS","FQ1 2014","FQ1 2014","Currency=INR","Period=FQ","BEST_FPERIOD_OVERRIDE=FQ","FILING_STATUS=OR","EQY_CONSOLIDATED=Y","FA_ADJUSTED=GAAP","Sort=A","Dates=H","DateFormat=P","Fill=—","Direction=H","UseDPDF=Y")</f>
        <v>#NAME?</v>
      </c>
      <c r="DE4" s="4" t="e">
        <f ca="1">_xll.BDH($C$3,"BS_INVENTORIES","FQ1 2014","FQ1 2014","Currency=INR","Period=FQ","BEST_FPERIOD_OVERRIDE=FQ","FILING_STATUS=OR","EQY_CONSOLIDATED=Y","SCALING_FORMAT=MLN","Sort=A","Dates=H","DateFormat=P","Fill=—","Direction=H","UseDPDF=Y")</f>
        <v>#NAME?</v>
      </c>
      <c r="DF4" s="2" t="e">
        <f ca="1">_xll.BDH($C$3,"INVTRY_RAW_MATERIALS","FQ1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" s="2" t="e">
        <f ca="1">_xll.BDH($C$3,"INVTRY_IN_PROGRESS","FQ1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" s="2" t="e">
        <f ca="1">_xll.BDH($C$3,"INVTRY_FINISHED_GOODS","FQ1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" s="2" t="e">
        <f ca="1">_xll.BDH($C$3,"BS_OTHER_INV","FQ1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" spans="1:113" x14ac:dyDescent="0.3">
      <c r="A5" s="6"/>
      <c r="B5" s="6"/>
      <c r="C5" s="6"/>
      <c r="D5" s="6"/>
      <c r="E5" t="s">
        <v>5</v>
      </c>
      <c r="F5" t="e">
        <f ca="1">_xll.BDH($C$3,"RETURN_COM_EQY","FQ2 2014","FQ2 2014","Currency=INR","Period=FQ","BEST_FPERIOD_OVERRIDE=FQ","FILING_STATUS=OR","EQY_CONSOLIDATED=Y","FA_ADJUSTED=GAAP","Sort=A","Dates=H","DateFormat=P","Fill=—","Direction=H","UseDPDF=Y")</f>
        <v>#NAME?</v>
      </c>
      <c r="G5" t="e">
        <f ca="1">_xll.BDH($C$3,"RETURN_ON_ASSET","FQ2 2014","FQ2 2014","Currency=INR","Period=FQ","BEST_FPERIOD_OVERRIDE=FQ","FILING_STATUS=OR","EQY_CONSOLIDATED=Y","FA_ADJUSTED=GAAP","Sort=A","Dates=H","DateFormat=P","Fill=—","Direction=H","UseDPDF=Y")</f>
        <v>#NAME?</v>
      </c>
      <c r="H5" t="e">
        <f ca="1">_xll.BDH($C$3,"RETURN_ON_CAP","FQ2 2014","FQ2 2014","Currency=INR","Period=FQ","BEST_FPERIOD_OVERRIDE=FQ","FILING_STATUS=OR","EQY_CONSOLIDATED=Y","FA_ADJUSTED=GAAP","Sort=A","Dates=H","DateFormat=P","Fill=—","Direction=H","UseDPDF=Y")</f>
        <v>#NAME?</v>
      </c>
      <c r="I5" t="e">
        <f ca="1">_xll.BDH($C$3,"RETURN_ON_INV_CAPITAL","FQ2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" t="e">
        <f ca="1">_xll.BDH($C$3,"EBITDA_TO_REVENUE","FQ2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" t="e">
        <f ca="1">_xll.BDH($C$3,"OPER_MARGIN","FQ2 2014","FQ2 2014","Currency=INR","Period=FQ","BEST_FPERIOD_OVERRIDE=FQ","FILING_STATUS=OR","EQY_CONSOLIDATED=Y","FA_ADJUSTED=GAAP","Sort=A","Dates=H","DateFormat=P","Fill=—","Direction=H","UseDPDF=Y")</f>
        <v>#NAME?</v>
      </c>
      <c r="L5" t="e">
        <f ca="1">_xll.BDH($C$3,"INCREMENTAL_OPERATING_MARGIN","FQ2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" t="e">
        <f ca="1">_xll.BDH($C$3,"PRETAX_INC_TO_NET_SALES","FQ2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" t="e">
        <f ca="1">_xll.BDH($C$3,"INC_BEF_XO_ITEMS_TO_NET_SALES","FQ2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" t="e">
        <f ca="1">_xll.BDH($C$3,"PROF_MARGIN","FQ2 2014","FQ2 2014","Currency=INR","Period=FQ","BEST_FPERIOD_OVERRIDE=FQ","FILING_STATUS=OR","EQY_CONSOLIDATED=Y","FA_ADJUSTED=GAAP","Sort=A","Dates=H","DateFormat=P","Fill=—","Direction=H","UseDPDF=Y")</f>
        <v>#NAME?</v>
      </c>
      <c r="P5" t="e">
        <f ca="1">_xll.BDH($C$3,"NET_INCOME_TO_COMMON_MARGIN","FQ2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" t="e">
        <f ca="1">_xll.BDH($C$3,"EFF_TAX_RATE","FQ2 2014","FQ2 2014","Currency=INR","Period=FQ","BEST_FPERIOD_OVERRIDE=FQ","FILING_STATUS=OR","EQY_CONSOLIDATED=Y","FA_ADJUSTED=GAAP","Sort=A","Dates=H","DateFormat=P","Fill=—","Direction=H","UseDPDF=Y")</f>
        <v>#NAME?</v>
      </c>
      <c r="R5" t="e">
        <f ca="1">_xll.BDH($C$3,"DVD_PAYOUT_RATIO","FQ2 2014","FQ2 2014","Currency=INR","Period=FQ","BEST_FPERIOD_OVERRIDE=FQ","FILING_STATUS=OR","EQY_CONSOLIDATED=Y","FA_ADJUSTED=GAAP","Sort=A","Dates=H","DateFormat=P","Fill=—","Direction=H","UseDPDF=Y")</f>
        <v>#NAME?</v>
      </c>
      <c r="S5" t="e">
        <f ca="1">_xll.BDH($C$3,"SUSTAIN_GROWTH_RT","FQ2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" s="1" t="e">
        <f ca="1">_xll.BDH($C$3,"SALES_GROWTH","FQ2 2014","FQ2 2014","Currency=INR","Period=FQ","BEST_FPERIOD_OVERRIDE=FQ","FILING_STATUS=OR","EQY_CONSOLIDATED=Y","FA_ADJUSTED=GAAP","Sort=A","Dates=H","DateFormat=P","Fill=—","Direction=H","UseDPDF=Y")</f>
        <v>#NAME?</v>
      </c>
      <c r="U5" s="1" t="e">
        <f ca="1">_xll.BDH($C$3,"EBITDA_GROWTH","FQ2 2014","FQ2 2014","Currency=INR","Period=FQ","BEST_FPERIOD_OVERRIDE=FQ","FILING_STATUS=OR","EQY_CONSOLIDATED=Y","FA_ADJUSTED=GAAP","Sort=A","Dates=H","DateFormat=P","Fill=—","Direction=H","UseDPDF=Y")</f>
        <v>#NAME?</v>
      </c>
      <c r="V5" s="1" t="e">
        <f ca="1">_xll.BDH($C$3,"OPER_INC_GROWTH","FQ2 2014","FQ2 2014","Currency=INR","Period=FQ","BEST_FPERIOD_OVERRIDE=FQ","FILING_STATUS=OR","EQY_CONSOLIDATED=Y","FA_ADJUSTED=GAAP","Sort=A","Dates=H","DateFormat=P","Fill=—","Direction=H","UseDPDF=Y")</f>
        <v>#NAME?</v>
      </c>
      <c r="W5" s="1" t="e">
        <f ca="1">_xll.BDH($C$3,"EARN_FOR_COM_GROWTH","FQ2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" s="1" t="e">
        <f ca="1">_xll.BDH($C$3,"DILUTED_EPS_AFT_XO_ITEMS_GROWTH","FQ2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" s="1" t="e">
        <f ca="1">_xll.BDH($C$3,"DIVIDEND_PER_SHARE_1_YEAR_GROWTH","FQ2 2014","FQ2 2014","Currency=INR","Period=FQ","BEST_FPERIOD_OVERRIDE=FQ","FILING_STATUS=OR","EQY_CONSOLIDATED=Y","Sort=A","Dates=H","DateFormat=P","Fill=—","Direction=H","UseDPDF=Y")</f>
        <v>#NAME?</v>
      </c>
      <c r="Z5" s="1" t="e">
        <f ca="1">_xll.BDH($C$3,"ACCOUNTS_RECEIVABLE_GROWTH","FQ2 2014","FQ2 2014","Currency=INR","Period=FQ","BEST_FPERIOD_OVERRIDE=FQ","FILING_STATUS=OR","EQY_CONSOLIDATED=Y","Sort=A","Dates=H","DateFormat=P","Fill=—","Direction=H","UseDPDF=Y")</f>
        <v>#NAME?</v>
      </c>
      <c r="AA5" s="1" t="e">
        <f ca="1">_xll.BDH($C$3,"INVENTORY_GROWTH","FQ2 2014","FQ2 2014","Currency=INR","Period=FQ","BEST_FPERIOD_OVERRIDE=FQ","FILING_STATUS=OR","EQY_CONSOLIDATED=Y","Sort=A","Dates=H","DateFormat=P","Fill=—","Direction=H","UseDPDF=Y")</f>
        <v>#NAME?</v>
      </c>
      <c r="AB5" s="1" t="e">
        <f ca="1">_xll.BDH($C$3,"NET_FIXED_ASSETS_1_YEAR_GROWTH","FQ2 2014","FQ2 2014","Currency=INR","Period=FQ","BEST_FPERIOD_OVERRIDE=FQ","FILING_STATUS=OR","EQY_CONSOLIDATED=Y","Sort=A","Dates=H","DateFormat=P","Fill=—","Direction=H","UseDPDF=Y")</f>
        <v>#NAME?</v>
      </c>
      <c r="AC5" s="1" t="e">
        <f ca="1">_xll.BDH($C$3,"ASSET_GROWTH","FQ2 2014","FQ2 2014","Currency=INR","Period=FQ","BEST_FPERIOD_OVERRIDE=FQ","FILING_STATUS=OR","EQY_CONSOLIDATED=Y","Sort=A","Dates=H","DateFormat=P","Fill=—","Direction=H","UseDPDF=Y")</f>
        <v>#NAME?</v>
      </c>
      <c r="AD5" s="1" t="e">
        <f ca="1">_xll.BDH($C$3,"MODIFIED_WORK_CAP_GROWTH","FQ2 2014","FQ2 2014","Currency=INR","Period=FQ","BEST_FPERIOD_OVERRIDE=FQ","FILING_STATUS=OR","EQY_CONSOLIDATED=Y","Sort=A","Dates=H","DateFormat=P","Fill=—","Direction=H","UseDPDF=Y")</f>
        <v>#NAME?</v>
      </c>
      <c r="AE5" s="1" t="e">
        <f ca="1">_xll.BDH($C$3,"WORK_CAP_GROWTH","FQ2 2014","FQ2 2014","Currency=INR","Period=FQ","BEST_FPERIOD_OVERRIDE=FQ","FILING_STATUS=OR","EQY_CONSOLIDATED=Y","Sort=A","Dates=H","DateFormat=P","Fill=—","Direction=H","UseDPDF=Y")</f>
        <v>#NAME?</v>
      </c>
      <c r="AF5" s="1" t="e">
        <f ca="1">_xll.BDH($C$3,"ACCOUNTS_PAYABLE_GROWTH_1YR","FQ2 2014","FQ2 2014","Currency=INR","Period=FQ","BEST_FPERIOD_OVERRIDE=FQ","FILING_STATUS=OR","EQY_CONSOLIDATED=Y","Sort=A","Dates=H","DateFormat=P","Fill=—","Direction=H","UseDPDF=Y")</f>
        <v>#NAME?</v>
      </c>
      <c r="AG5" s="1" t="e">
        <f ca="1">_xll.BDH($C$3,"SHORT_TERM_DEBT_1_YEAR_GROWTH","FQ2 2014","FQ2 2014","Currency=INR","Period=FQ","BEST_FPERIOD_OVERRIDE=FQ","FILING_STATUS=OR","EQY_CONSOLIDATED=Y","Sort=A","Dates=H","DateFormat=P","Fill=—","Direction=H","UseDPDF=Y")</f>
        <v>#NAME?</v>
      </c>
      <c r="AH5" s="1" t="e">
        <f ca="1">_xll.BDH($C$3,"TOTAL_DEBT_1_YEAR_GROWTH","FQ2 2014","FQ2 2014","Currency=INR","Period=FQ","BEST_FPERIOD_OVERRIDE=FQ","FILING_STATUS=OR","EQY_CONSOLIDATED=Y","Sort=A","Dates=H","DateFormat=P","Fill=—","Direction=H","UseDPDF=Y")</f>
        <v>#NAME?</v>
      </c>
      <c r="AI5" s="1" t="e">
        <f ca="1">_xll.BDH($C$3,"TOTAL_EQUITY_1_YEAR_GROWTH","FQ2 2014","FQ2 2014","Currency=INR","Period=FQ","BEST_FPERIOD_OVERRIDE=FQ","FILING_STATUS=OR","EQY_CONSOLIDATED=Y","Sort=A","Dates=H","DateFormat=P","Fill=—","Direction=H","UseDPDF=Y")</f>
        <v>#NAME?</v>
      </c>
      <c r="AJ5" s="1" t="e">
        <f ca="1">_xll.BDH($C$3,"GROWTH_IN_CAP","FQ2 2014","FQ2 2014","Currency=INR","Period=FQ","BEST_FPERIOD_OVERRIDE=FQ","FILING_STATUS=OR","EQY_CONSOLIDATED=Y","Sort=A","Dates=H","DateFormat=P","Fill=—","Direction=H","UseDPDF=Y")</f>
        <v>#NAME?</v>
      </c>
      <c r="AK5" s="1" t="e">
        <f ca="1">_xll.BDH($C$3,"BVPS_GROWTH","FQ2 2014","FQ2 2014","Currency=INR","Period=FQ","BEST_FPERIOD_OVERRIDE=FQ","FILING_STATUS=OR","EQY_CONSOLIDATED=Y","Sort=A","Dates=H","DateFormat=P","Fill=—","Direction=H","UseDPDF=Y")</f>
        <v>#NAME?</v>
      </c>
      <c r="AL5" s="1" t="e">
        <f ca="1">_xll.BDH($C$3,"CASH_FLOW_GROWTH","FQ2 2014","FQ2 2014","Currency=INR","Period=FQ","BEST_FPERIOD_OVERRIDE=FQ","FILING_STATUS=OR","EQY_CONSOLIDATED=Y","Sort=A","Dates=H","DateFormat=P","Fill=—","Direction=H","UseDPDF=Y")</f>
        <v>#NAME?</v>
      </c>
      <c r="AM5" s="1" t="e">
        <f ca="1">_xll.BDH($C$3,"GEO_GROW_NET_SALES","FQ2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" s="1" t="e">
        <f ca="1">_xll.BDH($C$3,"GEO_GROW_EBITDA","FQ2 2014","FQ2 2014","Currency=INR","Period=FQ","BEST_FPERIOD_OVERRIDE=FQ","FILING_STATUS=OR","EQY_CONSOLIDATED=Y","FA_ADJUSTED=GAAP","Sort=A","Dates=H","DateFormat=P","Fill=—","Direction=H","UseDPDF=Y")</f>
        <v>#NAME?</v>
      </c>
      <c r="AO5" s="1" t="e">
        <f ca="1">_xll.BDH($C$3,"GEO_GROW_OPER_INC","FQ2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" s="1" t="e">
        <f ca="1">_xll.BDH($C$3,"NET_INCOME_TO_COMMON_5_YR_GROWTH","FQ2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" s="1" t="e">
        <f ca="1">_xll.BDH($C$3,"5Y_GEO_GROWTH_DILUTED_EPS","FQ2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" s="1" t="e">
        <f ca="1">_xll.BDH($C$3,"GEO_GROW_DVD_PER_SH","FQ2 2014","FQ2 2014","Currency=INR","Period=FQ","BEST_FPERIOD_OVERRIDE=FQ","FILING_STATUS=OR","EQY_CONSOLIDATED=Y","Sort=A","Dates=H","DateFormat=P","Fill=—","Direction=H","UseDPDF=Y")</f>
        <v>#NAME?</v>
      </c>
      <c r="AS5" s="1" t="e">
        <f ca="1">_xll.BDH($C$3,"ACCOUNTS_RECEIVABLE_5_YR_GROWTH","FQ2 2014","FQ2 2014","Currency=INR","Period=FQ","BEST_FPERIOD_OVERRIDE=FQ","FILING_STATUS=OR","EQY_CONSOLIDATED=Y","Sort=A","Dates=H","DateFormat=P","Fill=—","Direction=H","UseDPDF=Y")</f>
        <v>#NAME?</v>
      </c>
      <c r="AT5" s="1" t="e">
        <f ca="1">_xll.BDH($C$3,"INVENTORY_5_YEAR_GROWTH","FQ2 2014","FQ2 2014","Currency=INR","Period=FQ","BEST_FPERIOD_OVERRIDE=FQ","FILING_STATUS=OR","EQY_CONSOLIDATED=Y","Sort=A","Dates=H","DateFormat=P","Fill=—","Direction=H","UseDPDF=Y")</f>
        <v>#NAME?</v>
      </c>
      <c r="AU5" s="1" t="e">
        <f ca="1">_xll.BDH($C$3,"NET_FIXED_ASSETS_5_YEAR_GROWTH","FQ2 2014","FQ2 2014","Currency=INR","Period=FQ","BEST_FPERIOD_OVERRIDE=FQ","FILING_STATUS=OR","EQY_CONSOLIDATED=Y","Sort=A","Dates=H","DateFormat=P","Fill=—","Direction=H","UseDPDF=Y")</f>
        <v>#NAME?</v>
      </c>
      <c r="AV5" s="1" t="e">
        <f ca="1">_xll.BDH($C$3,"GEO_GROW_TOT_ASSET","FQ2 2014","FQ2 2014","Currency=INR","Period=FQ","BEST_FPERIOD_OVERRIDE=FQ","FILING_STATUS=OR","EQY_CONSOLIDATED=Y","Sort=A","Dates=H","DateFormat=P","Fill=—","Direction=H","UseDPDF=Y")</f>
        <v>#NAME?</v>
      </c>
      <c r="AW5" s="1" t="e">
        <f ca="1">_xll.BDH($C$3,"MODIFIED_WORKING_CPTL_5YR_GRWTH","FQ2 2014","FQ2 2014","Currency=INR","Period=FQ","BEST_FPERIOD_OVERRIDE=FQ","FILING_STATUS=OR","EQY_CONSOLIDATED=Y","Sort=A","Dates=H","DateFormat=P","Fill=—","Direction=H","UseDPDF=Y")</f>
        <v>#NAME?</v>
      </c>
      <c r="AX5" s="1" t="e">
        <f ca="1">_xll.BDH($C$3,"WORKING_CAPITAL_5_YEAR_GROWTH","FQ2 2014","FQ2 2014","Currency=INR","Period=FQ","BEST_FPERIOD_OVERRIDE=FQ","FILING_STATUS=OR","EQY_CONSOLIDATED=Y","Sort=A","Dates=H","DateFormat=P","Fill=—","Direction=H","UseDPDF=Y")</f>
        <v>#NAME?</v>
      </c>
      <c r="AY5" s="1" t="e">
        <f ca="1">_xll.BDH($C$3,"ACCOUNTS_PAYABLE_5_YEAR_GROWTH","FQ2 2014","FQ2 2014","Currency=INR","Period=FQ","BEST_FPERIOD_OVERRIDE=FQ","FILING_STATUS=OR","EQY_CONSOLIDATED=Y","Sort=A","Dates=H","DateFormat=P","Fill=—","Direction=H","UseDPDF=Y")</f>
        <v>#NAME?</v>
      </c>
      <c r="AZ5" s="1" t="e">
        <f ca="1">_xll.BDH($C$3,"SHORT_TERM_DEBT_5_YEAR_GROWTH","FQ2 2014","FQ2 2014","Currency=INR","Period=FQ","BEST_FPERIOD_OVERRIDE=FQ","FILING_STATUS=OR","EQY_CONSOLIDATED=Y","Sort=A","Dates=H","DateFormat=P","Fill=—","Direction=H","UseDPDF=Y")</f>
        <v>#NAME?</v>
      </c>
      <c r="BA5" s="1" t="e">
        <f ca="1">_xll.BDH($C$3,"TOTAL_DEBT_5_YEAR_GROWTH","FQ2 2014","FQ2 2014","Currency=INR","Period=FQ","BEST_FPERIOD_OVERRIDE=FQ","FILING_STATUS=OR","EQY_CONSOLIDATED=Y","Sort=A","Dates=H","DateFormat=P","Fill=—","Direction=H","UseDPDF=Y")</f>
        <v>#NAME?</v>
      </c>
      <c r="BB5" s="1" t="e">
        <f ca="1">_xll.BDH($C$3,"GEO_GROW_TOT_SHRHLDR_EQY","FQ2 2014","FQ2 2014","Currency=INR","Period=FQ","BEST_FPERIOD_OVERRIDE=FQ","FILING_STATUS=OR","EQY_CONSOLIDATED=Y","Sort=A","Dates=H","DateFormat=P","Fill=—","Direction=H","UseDPDF=Y")</f>
        <v>#NAME?</v>
      </c>
      <c r="BC5" s="1" t="e">
        <f ca="1">_xll.BDH($C$3,"TOTAL_CAPITAL_5_YEAR_GROWTH","FQ2 2014","FQ2 2014","Currency=INR","Period=FQ","BEST_FPERIOD_OVERRIDE=FQ","FILING_STATUS=OR","EQY_CONSOLIDATED=Y","Sort=A","Dates=H","DateFormat=P","Fill=—","Direction=H","UseDPDF=Y")</f>
        <v>#NAME?</v>
      </c>
      <c r="BD5" s="1" t="e">
        <f ca="1">_xll.BDH($C$3,"GEO_GROW_BOOK_VAL","FQ2 2014","FQ2 2014","Currency=INR","Period=FQ","BEST_FPERIOD_OVERRIDE=FQ","FILING_STATUS=OR","EQY_CONSOLIDATED=Y","Sort=A","Dates=H","DateFormat=P","Fill=—","Direction=H","UseDPDF=Y")</f>
        <v>#NAME?</v>
      </c>
      <c r="BE5" s="1" t="e">
        <f ca="1">_xll.BDH($C$3,"GEO_GROW_CASH_OPER_ACT","FQ2 2014","FQ2 2014","Currency=INR","Period=FQ","BEST_FPERIOD_OVERRIDE=FQ","FILING_STATUS=OR","EQY_CONSOLIDATED=Y","Sort=A","Dates=H","DateFormat=P","Fill=—","Direction=H","UseDPDF=Y")</f>
        <v>#NAME?</v>
      </c>
      <c r="BF5" s="1" t="e">
        <f ca="1">_xll.BDH($C$3,"REVENUE_SEQUENTIAL_GROWTH","FQ2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" s="1" t="e">
        <f ca="1">_xll.BDH($C$3,"EBITDA_SEQUENTIAL_GROWTH","FQ2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" s="1" t="e">
        <f ca="1">_xll.BDH($C$3,"OPERATING_INCOME_SEQ_GROWTH","FQ2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" s="1" t="e">
        <f ca="1">_xll.BDH($C$3,"NET_INCOME_TO_COMMON_SEQ_GROWTH","FQ2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" s="1" t="e">
        <f ca="1">_xll.BDH($C$3,"EPS_DILUTED_SEQUENTIAL_GROWTH","FQ2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" s="1" t="e">
        <f ca="1">_xll.BDH($C$3,"DPS_SEQUENTIAL_GROWTH","FQ2 2014","FQ2 2014","Currency=INR","Period=FQ","BEST_FPERIOD_OVERRIDE=FQ","FILING_STATUS=OR","EQY_CONSOLIDATED=Y","Sort=A","Dates=H","DateFormat=P","Fill=—","Direction=H","UseDPDF=Y")</f>
        <v>#NAME?</v>
      </c>
      <c r="BL5" s="1" t="e">
        <f ca="1">_xll.BDH($C$3,"ACCOUNTS_RECEIVABLE_SEQ_GROWTH","FQ2 2014","FQ2 2014","Currency=INR","Period=FQ","BEST_FPERIOD_OVERRIDE=FQ","FILING_STATUS=OR","EQY_CONSOLIDATED=Y","Sort=A","Dates=H","DateFormat=P","Fill=—","Direction=H","UseDPDF=Y")</f>
        <v>#NAME?</v>
      </c>
      <c r="BM5" s="1" t="e">
        <f ca="1">_xll.BDH($C$3,"INVENTORY_SEQUENTIAL_GROWTH","FQ2 2014","FQ2 2014","Currency=INR","Period=FQ","BEST_FPERIOD_OVERRIDE=FQ","FILING_STATUS=OR","EQY_CONSOLIDATED=Y","Sort=A","Dates=H","DateFormat=P","Fill=—","Direction=H","UseDPDF=Y")</f>
        <v>#NAME?</v>
      </c>
      <c r="BN5" s="1" t="e">
        <f ca="1">_xll.BDH($C$3,"FIXED_ASSETS_SEQUENTIAL_GROWTH","FQ2 2014","FQ2 2014","Currency=INR","Period=FQ","BEST_FPERIOD_OVERRIDE=FQ","FILING_STATUS=OR","EQY_CONSOLIDATED=Y","Sort=A","Dates=H","DateFormat=P","Fill=—","Direction=H","UseDPDF=Y")</f>
        <v>#NAME?</v>
      </c>
      <c r="BO5" s="1" t="e">
        <f ca="1">_xll.BDH($C$3,"TOTAL_ASSETS_SEQUENTIAL_GROWTH","FQ2 2014","FQ2 2014","Currency=INR","Period=FQ","BEST_FPERIOD_OVERRIDE=FQ","FILING_STATUS=OR","EQY_CONSOLIDATED=Y","Sort=A","Dates=H","DateFormat=P","Fill=—","Direction=H","UseDPDF=Y")</f>
        <v>#NAME?</v>
      </c>
      <c r="BP5" s="1" t="e">
        <f ca="1">_xll.BDH($C$3,"MODIFIED_WORKING_CPTL_SEQ_GRWTH","FQ2 2014","FQ2 2014","Currency=INR","Period=FQ","BEST_FPERIOD_OVERRIDE=FQ","FILING_STATUS=OR","EQY_CONSOLIDATED=Y","Sort=A","Dates=H","DateFormat=P","Fill=—","Direction=H","UseDPDF=Y")</f>
        <v>#NAME?</v>
      </c>
      <c r="BQ5" s="1" t="e">
        <f ca="1">_xll.BDH($C$3,"WORKING_CAPITAL_SEQ_GROWTH","FQ2 2014","FQ2 2014","Currency=INR","Period=FQ","BEST_FPERIOD_OVERRIDE=FQ","FILING_STATUS=OR","EQY_CONSOLIDATED=Y","Sort=A","Dates=H","DateFormat=P","Fill=—","Direction=H","UseDPDF=Y")</f>
        <v>#NAME?</v>
      </c>
      <c r="BR5" s="1" t="e">
        <f ca="1">_xll.BDH($C$3,"ACCOUNTS_PAYABLE_SEQ_GROWTH","FQ2 2014","FQ2 2014","Currency=INR","Period=FQ","BEST_FPERIOD_OVERRIDE=FQ","FILING_STATUS=OR","EQY_CONSOLIDATED=Y","Sort=A","Dates=H","DateFormat=P","Fill=—","Direction=H","UseDPDF=Y")</f>
        <v>#NAME?</v>
      </c>
      <c r="BS5" s="1" t="e">
        <f ca="1">_xll.BDH($C$3,"ST_DEBT_SEQUENTIAL_GROWTH","FQ2 2014","FQ2 2014","Currency=INR","Period=FQ","BEST_FPERIOD_OVERRIDE=FQ","FILING_STATUS=OR","EQY_CONSOLIDATED=Y","Sort=A","Dates=H","DateFormat=P","Fill=—","Direction=H","UseDPDF=Y")</f>
        <v>#NAME?</v>
      </c>
      <c r="BT5" s="1" t="e">
        <f ca="1">_xll.BDH($C$3,"TOTAL_DEBT_SEQUENTIAL_GROWTH","FQ2 2014","FQ2 2014","Currency=INR","Period=FQ","BEST_FPERIOD_OVERRIDE=FQ","FILING_STATUS=OR","EQY_CONSOLIDATED=Y","Sort=A","Dates=H","DateFormat=P","Fill=—","Direction=H","UseDPDF=Y")</f>
        <v>#NAME?</v>
      </c>
      <c r="BU5" s="1" t="e">
        <f ca="1">_xll.BDH($C$3,"TOTAL_EQUITY_SEQUENTIAL_GROWTH","FQ2 2014","FQ2 2014","Currency=INR","Period=FQ","BEST_FPERIOD_OVERRIDE=FQ","FILING_STATUS=OR","EQY_CONSOLIDATED=Y","Sort=A","Dates=H","DateFormat=P","Fill=—","Direction=H","UseDPDF=Y")</f>
        <v>#NAME?</v>
      </c>
      <c r="BV5" s="1" t="e">
        <f ca="1">_xll.BDH($C$3,"TOTAL_CAPITAL_SEQUENTIAL_GROWTH","FQ2 2014","FQ2 2014","Currency=INR","Period=FQ","BEST_FPERIOD_OVERRIDE=FQ","FILING_STATUS=OR","EQY_CONSOLIDATED=Y","Sort=A","Dates=H","DateFormat=P","Fill=—","Direction=H","UseDPDF=Y")</f>
        <v>#NAME?</v>
      </c>
      <c r="BW5" s="1" t="e">
        <f ca="1">_xll.BDH($C$3,"BPS_SEQUENTIAL_GROWTH","FQ2 2014","FQ2 2014","Currency=INR","Period=FQ","BEST_FPERIOD_OVERRIDE=FQ","FILING_STATUS=OR","EQY_CONSOLIDATED=Y","Sort=A","Dates=H","DateFormat=P","Fill=—","Direction=H","UseDPDF=Y")</f>
        <v>#NAME?</v>
      </c>
      <c r="BX5" s="1" t="e">
        <f ca="1">_xll.BDH($C$3,"CFO_SEQUENTIAL_GROWTH","FQ2 2014","FQ2 2014","Currency=INR","Period=FQ","BEST_FPERIOD_OVERRIDE=FQ","FILING_STATUS=OR","EQY_CONSOLIDATED=Y","Sort=A","Dates=H","DateFormat=P","Fill=—","Direction=H","UseDPDF=Y")</f>
        <v>#NAME?</v>
      </c>
      <c r="BY5" s="2" t="e">
        <f ca="1">_xll.BDH($C$3,"SHORT_AND_LONG_TERM_DEBT","FQ2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" s="2" t="e">
        <f ca="1">_xll.BDH($C$3,"BS_ST_BORROW","FQ2 2014","FQ2 2014","Currency=INR","Period=FQ","BEST_FPERIOD_OVERRIDE=FQ","FILING_STATUS=OR","EQY_CONSOLIDATED=Y","SCALING_FORMAT=MLN","Sort=A","Dates=H","DateFormat=P","Fill=—","Direction=H","UseDPDF=Y")</f>
        <v>#NAME?</v>
      </c>
      <c r="CA5" s="2" t="e">
        <f ca="1">_xll.BDH($C$3,"BS_LT_BORROW","FQ2 2014","FQ2 2014","Currency=INR","Period=FQ","BEST_FPERIOD_OVERRIDE=FQ","FILING_STATUS=OR","EQY_CONSOLIDATED=Y","SCALING_FORMAT=MLN","Sort=A","Dates=H","DateFormat=P","Fill=—","Direction=H","UseDPDF=Y")</f>
        <v>#NAME?</v>
      </c>
      <c r="CB5" s="1" t="e">
        <f ca="1">_xll.BDH($C$3,"TOT_DEBT_TO_EBITDA","FQ2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" s="1" t="e">
        <f ca="1">_xll.BDH($C$3,"NET_DEBT_TO_EBITDA","FQ2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" s="1" t="e">
        <f ca="1">_xll.BDH($C$3,"TOTAL_DEBT_TO_EBIT","FQ2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" s="1" t="e">
        <f ca="1">_xll.BDH($C$3,"NET_DEBT_TO_EBIT","FQ2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" s="1" t="e">
        <f ca="1">_xll.BDH($C$3,"EBITDA_TO_INTEREST_EXPN","FQ2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" s="1" t="e">
        <f ca="1">_xll.BDH($C$3,"COM_EQY_TO_TOT_ASSET","FQ2 2014","FQ2 2014","Currency=INR","Period=FQ","BEST_FPERIOD_OVERRIDE=FQ","FILING_STATUS=OR","EQY_CONSOLIDATED=Y","Sort=A","Dates=H","DateFormat=P","Fill=—","Direction=H","UseDPDF=Y")</f>
        <v>#NAME?</v>
      </c>
      <c r="CH5" s="1" t="e">
        <f ca="1">_xll.BDH($C$3,"LT_DEBT_TO_TOT_EQY","FQ2 2014","FQ2 2014","Currency=INR","Period=FQ","BEST_FPERIOD_OVERRIDE=FQ","FILING_STATUS=OR","EQY_CONSOLIDATED=Y","Sort=A","Dates=H","DateFormat=P","Fill=—","Direction=H","UseDPDF=Y")</f>
        <v>#NAME?</v>
      </c>
      <c r="CI5" s="1" t="e">
        <f ca="1">_xll.BDH($C$3,"LT_DEBT_TO_TOT_CAP","FQ2 2014","FQ2 2014","Currency=INR","Period=FQ","BEST_FPERIOD_OVERRIDE=FQ","FILING_STATUS=OR","EQY_CONSOLIDATED=Y","Sort=A","Dates=H","DateFormat=P","Fill=—","Direction=H","UseDPDF=Y")</f>
        <v>#NAME?</v>
      </c>
      <c r="CJ5" s="1" t="e">
        <f ca="1">_xll.BDH($C$3,"LT_DEBT_TO_TOT_ASSET","FQ2 2014","FQ2 2014","Currency=INR","Period=FQ","BEST_FPERIOD_OVERRIDE=FQ","FILING_STATUS=OR","EQY_CONSOLIDATED=Y","Sort=A","Dates=H","DateFormat=P","Fill=—","Direction=H","UseDPDF=Y")</f>
        <v>#NAME?</v>
      </c>
      <c r="CK5" s="1" t="e">
        <f ca="1">_xll.BDH($C$3,"TOT_DEBT_TO_TOT_EQY","FQ2 2014","FQ2 2014","Currency=INR","Period=FQ","BEST_FPERIOD_OVERRIDE=FQ","FILING_STATUS=OR","EQY_CONSOLIDATED=Y","Sort=A","Dates=H","DateFormat=P","Fill=—","Direction=H","UseDPDF=Y")</f>
        <v>#NAME?</v>
      </c>
      <c r="CL5" s="1" t="e">
        <f ca="1">_xll.BDH($C$3,"TOT_DEBT_TO_TOT_CAP","FQ2 2014","FQ2 2014","Currency=INR","Period=FQ","BEST_FPERIOD_OVERRIDE=FQ","FILING_STATUS=OR","EQY_CONSOLIDATED=Y","Sort=A","Dates=H","DateFormat=P","Fill=—","Direction=H","UseDPDF=Y")</f>
        <v>#NAME?</v>
      </c>
      <c r="CM5" s="1" t="e">
        <f ca="1">_xll.BDH($C$3,"TOT_DEBT_TO_TOT_ASSET","FQ2 2014","FQ2 2014","Currency=INR","Period=FQ","BEST_FPERIOD_OVERRIDE=FQ","FILING_STATUS=OR","EQY_CONSOLIDATED=Y","Sort=A","Dates=H","DateFormat=P","Fill=—","Direction=H","UseDPDF=Y")</f>
        <v>#NAME?</v>
      </c>
      <c r="CN5" s="1" t="e">
        <f ca="1">_xll.BDH($C$3,"NET_DEBT_TO_SHRHLDR_EQTY","FQ2 2014","FQ2 2014","Currency=INR","Period=FQ","BEST_FPERIOD_OVERRIDE=FQ","FILING_STATUS=OR","EQY_CONSOLIDATED=Y","Sort=A","Dates=H","DateFormat=P","Fill=—","Direction=H","UseDPDF=Y")</f>
        <v>#NAME?</v>
      </c>
      <c r="CO5" s="1" t="e">
        <f ca="1">_xll.BDH($C$3,"NET_DEBT_%_CAPITAL","FQ2 2014","FQ2 2014","Currency=INR","Period=FQ","BEST_FPERIOD_OVERRIDE=FQ","FILING_STATUS=OR","EQY_CONSOLIDATED=Y","Sort=A","Dates=H","DateFormat=P","Fill=—","Direction=H","UseDPDF=Y")</f>
        <v>#NAME?</v>
      </c>
      <c r="CP5" s="2" t="e">
        <f ca="1">_xll.BDH($C$3,"EBITDA","FQ2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" s="2" t="e">
        <f ca="1">_xll.BDH($C$3,"EBITDA_AFTER_CAPEX","FQ2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" s="2" t="e">
        <f ca="1">_xll.BDH($C$3,"IS_OPER_INC","FQ2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" s="1" t="e">
        <f ca="1">_xll.BDH($C$3,"CASH_RATIO","FQ2 2014","FQ2 2014","Currency=INR","Period=FQ","BEST_FPERIOD_OVERRIDE=FQ","FILING_STATUS=OR","EQY_CONSOLIDATED=Y","Sort=A","Dates=H","DateFormat=P","Fill=—","Direction=H","UseDPDF=Y")</f>
        <v>#NAME?</v>
      </c>
      <c r="CT5" s="1" t="e">
        <f ca="1">_xll.BDH($C$3,"CUR_RATIO","FQ2 2014","FQ2 2014","Currency=INR","Period=FQ","BEST_FPERIOD_OVERRIDE=FQ","FILING_STATUS=OR","EQY_CONSOLIDATED=Y","Sort=A","Dates=H","DateFormat=P","Fill=—","Direction=H","UseDPDF=Y")</f>
        <v>#NAME?</v>
      </c>
      <c r="CU5" s="1" t="e">
        <f ca="1">_xll.BDH($C$3,"QUICK_RATIO","FQ2 2014","FQ2 2014","Currency=INR","Period=FQ","BEST_FPERIOD_OVERRIDE=FQ","FILING_STATUS=OR","EQY_CONSOLIDATED=Y","Sort=A","Dates=H","DateFormat=P","Fill=—","Direction=H","UseDPDF=Y")</f>
        <v>#NAME?</v>
      </c>
      <c r="CV5" s="1" t="e">
        <f ca="1">_xll.BDH($C$3,"ALTMAN_Z_SCORE","FQ2 2014","FQ2 2014","Currency=INR","Period=FQ","BEST_FPERIOD_OVERRIDE=FQ","FILING_STATUS=OR","EQY_CONSOLIDATED=Y","Sort=A","Dates=H","DateFormat=P","Fill=—","Direction=H","UseDPDF=Y")</f>
        <v>#NAME?</v>
      </c>
      <c r="CW5" s="3" t="e">
        <f ca="1">_xll.BDH($C$3,"ACCT_RCV_TURN","FQ2 2014","FQ2 2014","Currency=INR","Period=FQ","BEST_FPERIOD_OVERRIDE=FQ","FILING_STATUS=OR","EQY_CONSOLIDATED=Y","FA_ADJUSTED=GAAP","Sort=A","Dates=H","DateFormat=P","Fill=—","Direction=H","UseDPDF=Y")</f>
        <v>#NAME?</v>
      </c>
      <c r="CX5" s="1" t="e">
        <f ca="1">_xll.BDH($C$3,"ACCT_RCV_DAYS","FQ2 2014","FQ2 2014","Currency=INR","Period=FQ","BEST_FPERIOD_OVERRIDE=FQ","FILING_STATUS=OR","EQY_CONSOLIDATED=Y","FA_ADJUSTED=GAAP","Sort=A","Dates=H","DateFormat=P","Fill=—","Direction=H","UseDPDF=Y")</f>
        <v>#NAME?</v>
      </c>
      <c r="CY5" s="3" t="e">
        <f ca="1">_xll.BDH($C$3,"INVENT_TURN","FQ2 2014","FQ2 2014","Currency=INR","Period=FQ","BEST_FPERIOD_OVERRIDE=FQ","FILING_STATUS=OR","EQY_CONSOLIDATED=Y","FA_ADJUSTED=GAAP","Sort=A","Dates=H","DateFormat=P","Fill=—","Direction=H","UseDPDF=Y")</f>
        <v>#NAME?</v>
      </c>
      <c r="CZ5" s="1" t="e">
        <f ca="1">_xll.BDH($C$3,"INVENT_DAYS","FQ2 2014","FQ2 2014","Currency=INR","Period=FQ","BEST_FPERIOD_OVERRIDE=FQ","FILING_STATUS=OR","EQY_CONSOLIDATED=Y","FA_ADJUSTED=GAAP","Sort=A","Dates=H","DateFormat=P","Fill=—","Direction=H","UseDPDF=Y")</f>
        <v>#NAME?</v>
      </c>
      <c r="DA5" s="3" t="e">
        <f ca="1">_xll.BDH($C$3,"ACCOUNTS_PAYABLE_TURNOVER","FQ2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" s="1" t="e">
        <f ca="1">_xll.BDH($C$3,"ACCOUNTS_PAYABLE_TURNOVER_DAYS","FQ2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" s="3" t="e">
        <f ca="1">_xll.BDH($C$3,"CASH_CONVERSION_CYCLE","FQ2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" s="3" t="e">
        <f ca="1">_xll.BDH($C$3,"INV_TO_CASH_DAYS","FQ2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" s="4" t="e">
        <f ca="1">_xll.BDH($C$3,"BS_INVENTORIES","FQ2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" s="2" t="e">
        <f ca="1">_xll.BDH($C$3,"INVTRY_RAW_MATERIALS","FQ2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" s="2" t="e">
        <f ca="1">_xll.BDH($C$3,"INVTRY_IN_PROGRESS","FQ2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" s="2" t="e">
        <f ca="1">_xll.BDH($C$3,"INVTRY_FINISHED_GOODS","FQ2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" s="2" t="e">
        <f ca="1">_xll.BDH($C$3,"BS_OTHER_INV","FQ2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6" spans="1:113" x14ac:dyDescent="0.3">
      <c r="A6" s="6"/>
      <c r="B6" s="6"/>
      <c r="C6" s="6"/>
      <c r="D6" s="6"/>
      <c r="E6" t="s">
        <v>6</v>
      </c>
      <c r="F6" t="e">
        <f ca="1">_xll.BDH($C$3,"RETURN_COM_EQY","FQ3 2014","FQ3 2014","Currency=INR","Period=FQ","BEST_FPERIOD_OVERRIDE=FQ","FILING_STATUS=OR","EQY_CONSOLIDATED=Y","FA_ADJUSTED=GAAP","Sort=A","Dates=H","DateFormat=P","Fill=—","Direction=H","UseDPDF=Y")</f>
        <v>#NAME?</v>
      </c>
      <c r="G6" t="e">
        <f ca="1">_xll.BDH($C$3,"RETURN_ON_ASSET","FQ3 2014","FQ3 2014","Currency=INR","Period=FQ","BEST_FPERIOD_OVERRIDE=FQ","FILING_STATUS=OR","EQY_CONSOLIDATED=Y","FA_ADJUSTED=GAAP","Sort=A","Dates=H","DateFormat=P","Fill=—","Direction=H","UseDPDF=Y")</f>
        <v>#NAME?</v>
      </c>
      <c r="H6" t="e">
        <f ca="1">_xll.BDH($C$3,"RETURN_ON_CAP","FQ3 2014","FQ3 2014","Currency=INR","Period=FQ","BEST_FPERIOD_OVERRIDE=FQ","FILING_STATUS=OR","EQY_CONSOLIDATED=Y","FA_ADJUSTED=GAAP","Sort=A","Dates=H","DateFormat=P","Fill=—","Direction=H","UseDPDF=Y")</f>
        <v>#NAME?</v>
      </c>
      <c r="I6" t="e">
        <f ca="1">_xll.BDH($C$3,"RETURN_ON_INV_CAPITAL","FQ3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6" t="e">
        <f ca="1">_xll.BDH($C$3,"EBITDA_TO_REVENUE","FQ3 2014","FQ3 2014","Currency=INR","Period=FQ","BEST_FPERIOD_OVERRIDE=FQ","FILING_STATUS=OR","EQY_CONSOLIDATED=Y","FA_ADJUSTED=GAAP","Sort=A","Dates=H","DateFormat=P","Fill=—","Direction=H","UseDPDF=Y")</f>
        <v>#NAME?</v>
      </c>
      <c r="K6" t="e">
        <f ca="1">_xll.BDH($C$3,"OPER_MARGIN","FQ3 2014","FQ3 2014","Currency=INR","Period=FQ","BEST_FPERIOD_OVERRIDE=FQ","FILING_STATUS=OR","EQY_CONSOLIDATED=Y","FA_ADJUSTED=GAAP","Sort=A","Dates=H","DateFormat=P","Fill=—","Direction=H","UseDPDF=Y")</f>
        <v>#NAME?</v>
      </c>
      <c r="L6" t="e">
        <f ca="1">_xll.BDH($C$3,"INCREMENTAL_OPERATING_MARGIN","FQ3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6" t="e">
        <f ca="1">_xll.BDH($C$3,"PRETAX_INC_TO_NET_SALES","FQ3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6" t="e">
        <f ca="1">_xll.BDH($C$3,"INC_BEF_XO_ITEMS_TO_NET_SALES","FQ3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6" t="e">
        <f ca="1">_xll.BDH($C$3,"PROF_MARGIN","FQ3 2014","FQ3 2014","Currency=INR","Period=FQ","BEST_FPERIOD_OVERRIDE=FQ","FILING_STATUS=OR","EQY_CONSOLIDATED=Y","FA_ADJUSTED=GAAP","Sort=A","Dates=H","DateFormat=P","Fill=—","Direction=H","UseDPDF=Y")</f>
        <v>#NAME?</v>
      </c>
      <c r="P6" t="e">
        <f ca="1">_xll.BDH($C$3,"NET_INCOME_TO_COMMON_MARGIN","FQ3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6" t="e">
        <f ca="1">_xll.BDH($C$3,"EFF_TAX_RATE","FQ3 2014","FQ3 2014","Currency=INR","Period=FQ","BEST_FPERIOD_OVERRIDE=FQ","FILING_STATUS=OR","EQY_CONSOLIDATED=Y","FA_ADJUSTED=GAAP","Sort=A","Dates=H","DateFormat=P","Fill=—","Direction=H","UseDPDF=Y")</f>
        <v>#NAME?</v>
      </c>
      <c r="R6" t="e">
        <f ca="1">_xll.BDH($C$3,"DVD_PAYOUT_RATIO","FQ3 2014","FQ3 2014","Currency=INR","Period=FQ","BEST_FPERIOD_OVERRIDE=FQ","FILING_STATUS=OR","EQY_CONSOLIDATED=Y","FA_ADJUSTED=GAAP","Sort=A","Dates=H","DateFormat=P","Fill=—","Direction=H","UseDPDF=Y")</f>
        <v>#NAME?</v>
      </c>
      <c r="S6" t="e">
        <f ca="1">_xll.BDH($C$3,"SUSTAIN_GROWTH_RT","FQ3 2014","FQ3 2014","Currency=INR","Period=FQ","BEST_FPERIOD_OVERRIDE=FQ","FILING_STATUS=OR","EQY_CONSOLIDATED=Y","FA_ADJUSTED=GAAP","Sort=A","Dates=H","DateFormat=P","Fill=—","Direction=H","UseDPDF=Y")</f>
        <v>#NAME?</v>
      </c>
      <c r="T6" s="1" t="e">
        <f ca="1">_xll.BDH($C$3,"SALES_GROWTH","FQ3 2014","FQ3 2014","Currency=INR","Period=FQ","BEST_FPERIOD_OVERRIDE=FQ","FILING_STATUS=OR","EQY_CONSOLIDATED=Y","FA_ADJUSTED=GAAP","Sort=A","Dates=H","DateFormat=P","Fill=—","Direction=H","UseDPDF=Y")</f>
        <v>#NAME?</v>
      </c>
      <c r="U6" s="1" t="e">
        <f ca="1">_xll.BDH($C$3,"EBITDA_GROWTH","FQ3 2014","FQ3 2014","Currency=INR","Period=FQ","BEST_FPERIOD_OVERRIDE=FQ","FILING_STATUS=OR","EQY_CONSOLIDATED=Y","FA_ADJUSTED=GAAP","Sort=A","Dates=H","DateFormat=P","Fill=—","Direction=H","UseDPDF=Y")</f>
        <v>#NAME?</v>
      </c>
      <c r="V6" s="1" t="e">
        <f ca="1">_xll.BDH($C$3,"OPER_INC_GROWTH","FQ3 2014","FQ3 2014","Currency=INR","Period=FQ","BEST_FPERIOD_OVERRIDE=FQ","FILING_STATUS=OR","EQY_CONSOLIDATED=Y","FA_ADJUSTED=GAAP","Sort=A","Dates=H","DateFormat=P","Fill=—","Direction=H","UseDPDF=Y")</f>
        <v>#NAME?</v>
      </c>
      <c r="W6" s="1" t="e">
        <f ca="1">_xll.BDH($C$3,"EARN_FOR_COM_GROWTH","FQ3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6" s="1" t="e">
        <f ca="1">_xll.BDH($C$3,"DILUTED_EPS_AFT_XO_ITEMS_GROWTH","FQ3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6" s="1" t="e">
        <f ca="1">_xll.BDH($C$3,"DIVIDEND_PER_SHARE_1_YEAR_GROWTH","FQ3 2014","FQ3 2014","Currency=INR","Period=FQ","BEST_FPERIOD_OVERRIDE=FQ","FILING_STATUS=OR","EQY_CONSOLIDATED=Y","Sort=A","Dates=H","DateFormat=P","Fill=—","Direction=H","UseDPDF=Y")</f>
        <v>#NAME?</v>
      </c>
      <c r="Z6" s="1" t="e">
        <f ca="1">_xll.BDH($C$3,"ACCOUNTS_RECEIVABLE_GROWTH","FQ3 2014","FQ3 2014","Currency=INR","Period=FQ","BEST_FPERIOD_OVERRIDE=FQ","FILING_STATUS=OR","EQY_CONSOLIDATED=Y","Sort=A","Dates=H","DateFormat=P","Fill=—","Direction=H","UseDPDF=Y")</f>
        <v>#NAME?</v>
      </c>
      <c r="AA6" s="1" t="e">
        <f ca="1">_xll.BDH($C$3,"INVENTORY_GROWTH","FQ3 2014","FQ3 2014","Currency=INR","Period=FQ","BEST_FPERIOD_OVERRIDE=FQ","FILING_STATUS=OR","EQY_CONSOLIDATED=Y","Sort=A","Dates=H","DateFormat=P","Fill=—","Direction=H","UseDPDF=Y")</f>
        <v>#NAME?</v>
      </c>
      <c r="AB6" s="1" t="e">
        <f ca="1">_xll.BDH($C$3,"NET_FIXED_ASSETS_1_YEAR_GROWTH","FQ3 2014","FQ3 2014","Currency=INR","Period=FQ","BEST_FPERIOD_OVERRIDE=FQ","FILING_STATUS=OR","EQY_CONSOLIDATED=Y","Sort=A","Dates=H","DateFormat=P","Fill=—","Direction=H","UseDPDF=Y")</f>
        <v>#NAME?</v>
      </c>
      <c r="AC6" s="1" t="e">
        <f ca="1">_xll.BDH($C$3,"ASSET_GROWTH","FQ3 2014","FQ3 2014","Currency=INR","Period=FQ","BEST_FPERIOD_OVERRIDE=FQ","FILING_STATUS=OR","EQY_CONSOLIDATED=Y","Sort=A","Dates=H","DateFormat=P","Fill=—","Direction=H","UseDPDF=Y")</f>
        <v>#NAME?</v>
      </c>
      <c r="AD6" s="1" t="e">
        <f ca="1">_xll.BDH($C$3,"MODIFIED_WORK_CAP_GROWTH","FQ3 2014","FQ3 2014","Currency=INR","Period=FQ","BEST_FPERIOD_OVERRIDE=FQ","FILING_STATUS=OR","EQY_CONSOLIDATED=Y","Sort=A","Dates=H","DateFormat=P","Fill=—","Direction=H","UseDPDF=Y")</f>
        <v>#NAME?</v>
      </c>
      <c r="AE6" s="1" t="e">
        <f ca="1">_xll.BDH($C$3,"WORK_CAP_GROWTH","FQ3 2014","FQ3 2014","Currency=INR","Period=FQ","BEST_FPERIOD_OVERRIDE=FQ","FILING_STATUS=OR","EQY_CONSOLIDATED=Y","Sort=A","Dates=H","DateFormat=P","Fill=—","Direction=H","UseDPDF=Y")</f>
        <v>#NAME?</v>
      </c>
      <c r="AF6" s="1" t="e">
        <f ca="1">_xll.BDH($C$3,"ACCOUNTS_PAYABLE_GROWTH_1YR","FQ3 2014","FQ3 2014","Currency=INR","Period=FQ","BEST_FPERIOD_OVERRIDE=FQ","FILING_STATUS=OR","EQY_CONSOLIDATED=Y","Sort=A","Dates=H","DateFormat=P","Fill=—","Direction=H","UseDPDF=Y")</f>
        <v>#NAME?</v>
      </c>
      <c r="AG6" s="1" t="e">
        <f ca="1">_xll.BDH($C$3,"SHORT_TERM_DEBT_1_YEAR_GROWTH","FQ3 2014","FQ3 2014","Currency=INR","Period=FQ","BEST_FPERIOD_OVERRIDE=FQ","FILING_STATUS=OR","EQY_CONSOLIDATED=Y","Sort=A","Dates=H","DateFormat=P","Fill=—","Direction=H","UseDPDF=Y")</f>
        <v>#NAME?</v>
      </c>
      <c r="AH6" s="1" t="e">
        <f ca="1">_xll.BDH($C$3,"TOTAL_DEBT_1_YEAR_GROWTH","FQ3 2014","FQ3 2014","Currency=INR","Period=FQ","BEST_FPERIOD_OVERRIDE=FQ","FILING_STATUS=OR","EQY_CONSOLIDATED=Y","Sort=A","Dates=H","DateFormat=P","Fill=—","Direction=H","UseDPDF=Y")</f>
        <v>#NAME?</v>
      </c>
      <c r="AI6" s="1" t="e">
        <f ca="1">_xll.BDH($C$3,"TOTAL_EQUITY_1_YEAR_GROWTH","FQ3 2014","FQ3 2014","Currency=INR","Period=FQ","BEST_FPERIOD_OVERRIDE=FQ","FILING_STATUS=OR","EQY_CONSOLIDATED=Y","Sort=A","Dates=H","DateFormat=P","Fill=—","Direction=H","UseDPDF=Y")</f>
        <v>#NAME?</v>
      </c>
      <c r="AJ6" s="1" t="e">
        <f ca="1">_xll.BDH($C$3,"GROWTH_IN_CAP","FQ3 2014","FQ3 2014","Currency=INR","Period=FQ","BEST_FPERIOD_OVERRIDE=FQ","FILING_STATUS=OR","EQY_CONSOLIDATED=Y","Sort=A","Dates=H","DateFormat=P","Fill=—","Direction=H","UseDPDF=Y")</f>
        <v>#NAME?</v>
      </c>
      <c r="AK6" s="1" t="e">
        <f ca="1">_xll.BDH($C$3,"BVPS_GROWTH","FQ3 2014","FQ3 2014","Currency=INR","Period=FQ","BEST_FPERIOD_OVERRIDE=FQ","FILING_STATUS=OR","EQY_CONSOLIDATED=Y","Sort=A","Dates=H","DateFormat=P","Fill=—","Direction=H","UseDPDF=Y")</f>
        <v>#NAME?</v>
      </c>
      <c r="AL6" s="1" t="e">
        <f ca="1">_xll.BDH($C$3,"CASH_FLOW_GROWTH","FQ3 2014","FQ3 2014","Currency=INR","Period=FQ","BEST_FPERIOD_OVERRIDE=FQ","FILING_STATUS=OR","EQY_CONSOLIDATED=Y","Sort=A","Dates=H","DateFormat=P","Fill=—","Direction=H","UseDPDF=Y")</f>
        <v>#NAME?</v>
      </c>
      <c r="AM6" s="1" t="e">
        <f ca="1">_xll.BDH($C$3,"GEO_GROW_NET_SALES","FQ3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6" s="1" t="e">
        <f ca="1">_xll.BDH($C$3,"GEO_GROW_EBITDA","FQ3 2014","FQ3 2014","Currency=INR","Period=FQ","BEST_FPERIOD_OVERRIDE=FQ","FILING_STATUS=OR","EQY_CONSOLIDATED=Y","FA_ADJUSTED=GAAP","Sort=A","Dates=H","DateFormat=P","Fill=—","Direction=H","UseDPDF=Y")</f>
        <v>#NAME?</v>
      </c>
      <c r="AO6" s="1" t="e">
        <f ca="1">_xll.BDH($C$3,"GEO_GROW_OPER_INC","FQ3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6" s="1" t="e">
        <f ca="1">_xll.BDH($C$3,"NET_INCOME_TO_COMMON_5_YR_GROWTH","FQ3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6" s="1" t="e">
        <f ca="1">_xll.BDH($C$3,"5Y_GEO_GROWTH_DILUTED_EPS","FQ3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6" s="1" t="e">
        <f ca="1">_xll.BDH($C$3,"GEO_GROW_DVD_PER_SH","FQ3 2014","FQ3 2014","Currency=INR","Period=FQ","BEST_FPERIOD_OVERRIDE=FQ","FILING_STATUS=OR","EQY_CONSOLIDATED=Y","Sort=A","Dates=H","DateFormat=P","Fill=—","Direction=H","UseDPDF=Y")</f>
        <v>#NAME?</v>
      </c>
      <c r="AS6" s="1" t="e">
        <f ca="1">_xll.BDH($C$3,"ACCOUNTS_RECEIVABLE_5_YR_GROWTH","FQ3 2014","FQ3 2014","Currency=INR","Period=FQ","BEST_FPERIOD_OVERRIDE=FQ","FILING_STATUS=OR","EQY_CONSOLIDATED=Y","Sort=A","Dates=H","DateFormat=P","Fill=—","Direction=H","UseDPDF=Y")</f>
        <v>#NAME?</v>
      </c>
      <c r="AT6" s="1" t="e">
        <f ca="1">_xll.BDH($C$3,"INVENTORY_5_YEAR_GROWTH","FQ3 2014","FQ3 2014","Currency=INR","Period=FQ","BEST_FPERIOD_OVERRIDE=FQ","FILING_STATUS=OR","EQY_CONSOLIDATED=Y","Sort=A","Dates=H","DateFormat=P","Fill=—","Direction=H","UseDPDF=Y")</f>
        <v>#NAME?</v>
      </c>
      <c r="AU6" s="1" t="e">
        <f ca="1">_xll.BDH($C$3,"NET_FIXED_ASSETS_5_YEAR_GROWTH","FQ3 2014","FQ3 2014","Currency=INR","Period=FQ","BEST_FPERIOD_OVERRIDE=FQ","FILING_STATUS=OR","EQY_CONSOLIDATED=Y","Sort=A","Dates=H","DateFormat=P","Fill=—","Direction=H","UseDPDF=Y")</f>
        <v>#NAME?</v>
      </c>
      <c r="AV6" s="1" t="e">
        <f ca="1">_xll.BDH($C$3,"GEO_GROW_TOT_ASSET","FQ3 2014","FQ3 2014","Currency=INR","Period=FQ","BEST_FPERIOD_OVERRIDE=FQ","FILING_STATUS=OR","EQY_CONSOLIDATED=Y","Sort=A","Dates=H","DateFormat=P","Fill=—","Direction=H","UseDPDF=Y")</f>
        <v>#NAME?</v>
      </c>
      <c r="AW6" s="1" t="e">
        <f ca="1">_xll.BDH($C$3,"MODIFIED_WORKING_CPTL_5YR_GRWTH","FQ3 2014","FQ3 2014","Currency=INR","Period=FQ","BEST_FPERIOD_OVERRIDE=FQ","FILING_STATUS=OR","EQY_CONSOLIDATED=Y","Sort=A","Dates=H","DateFormat=P","Fill=—","Direction=H","UseDPDF=Y")</f>
        <v>#NAME?</v>
      </c>
      <c r="AX6" s="1" t="e">
        <f ca="1">_xll.BDH($C$3,"WORKING_CAPITAL_5_YEAR_GROWTH","FQ3 2014","FQ3 2014","Currency=INR","Period=FQ","BEST_FPERIOD_OVERRIDE=FQ","FILING_STATUS=OR","EQY_CONSOLIDATED=Y","Sort=A","Dates=H","DateFormat=P","Fill=—","Direction=H","UseDPDF=Y")</f>
        <v>#NAME?</v>
      </c>
      <c r="AY6" s="1" t="e">
        <f ca="1">_xll.BDH($C$3,"ACCOUNTS_PAYABLE_5_YEAR_GROWTH","FQ3 2014","FQ3 2014","Currency=INR","Period=FQ","BEST_FPERIOD_OVERRIDE=FQ","FILING_STATUS=OR","EQY_CONSOLIDATED=Y","Sort=A","Dates=H","DateFormat=P","Fill=—","Direction=H","UseDPDF=Y")</f>
        <v>#NAME?</v>
      </c>
      <c r="AZ6" s="1" t="e">
        <f ca="1">_xll.BDH($C$3,"SHORT_TERM_DEBT_5_YEAR_GROWTH","FQ3 2014","FQ3 2014","Currency=INR","Period=FQ","BEST_FPERIOD_OVERRIDE=FQ","FILING_STATUS=OR","EQY_CONSOLIDATED=Y","Sort=A","Dates=H","DateFormat=P","Fill=—","Direction=H","UseDPDF=Y")</f>
        <v>#NAME?</v>
      </c>
      <c r="BA6" s="1" t="e">
        <f ca="1">_xll.BDH($C$3,"TOTAL_DEBT_5_YEAR_GROWTH","FQ3 2014","FQ3 2014","Currency=INR","Period=FQ","BEST_FPERIOD_OVERRIDE=FQ","FILING_STATUS=OR","EQY_CONSOLIDATED=Y","Sort=A","Dates=H","DateFormat=P","Fill=—","Direction=H","UseDPDF=Y")</f>
        <v>#NAME?</v>
      </c>
      <c r="BB6" s="1" t="e">
        <f ca="1">_xll.BDH($C$3,"GEO_GROW_TOT_SHRHLDR_EQY","FQ3 2014","FQ3 2014","Currency=INR","Period=FQ","BEST_FPERIOD_OVERRIDE=FQ","FILING_STATUS=OR","EQY_CONSOLIDATED=Y","Sort=A","Dates=H","DateFormat=P","Fill=—","Direction=H","UseDPDF=Y")</f>
        <v>#NAME?</v>
      </c>
      <c r="BC6" s="1" t="e">
        <f ca="1">_xll.BDH($C$3,"TOTAL_CAPITAL_5_YEAR_GROWTH","FQ3 2014","FQ3 2014","Currency=INR","Period=FQ","BEST_FPERIOD_OVERRIDE=FQ","FILING_STATUS=OR","EQY_CONSOLIDATED=Y","Sort=A","Dates=H","DateFormat=P","Fill=—","Direction=H","UseDPDF=Y")</f>
        <v>#NAME?</v>
      </c>
      <c r="BD6" s="1" t="e">
        <f ca="1">_xll.BDH($C$3,"GEO_GROW_BOOK_VAL","FQ3 2014","FQ3 2014","Currency=INR","Period=FQ","BEST_FPERIOD_OVERRIDE=FQ","FILING_STATUS=OR","EQY_CONSOLIDATED=Y","Sort=A","Dates=H","DateFormat=P","Fill=—","Direction=H","UseDPDF=Y")</f>
        <v>#NAME?</v>
      </c>
      <c r="BE6" s="1" t="e">
        <f ca="1">_xll.BDH($C$3,"GEO_GROW_CASH_OPER_ACT","FQ3 2014","FQ3 2014","Currency=INR","Period=FQ","BEST_FPERIOD_OVERRIDE=FQ","FILING_STATUS=OR","EQY_CONSOLIDATED=Y","Sort=A","Dates=H","DateFormat=P","Fill=—","Direction=H","UseDPDF=Y")</f>
        <v>#NAME?</v>
      </c>
      <c r="BF6" s="1" t="e">
        <f ca="1">_xll.BDH($C$3,"REVENUE_SEQUENTIAL_GROWTH","FQ3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6" s="1" t="e">
        <f ca="1">_xll.BDH($C$3,"EBITDA_SEQUENTIAL_GROWTH","FQ3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6" s="1" t="e">
        <f ca="1">_xll.BDH($C$3,"OPERATING_INCOME_SEQ_GROWTH","FQ3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6" s="1" t="e">
        <f ca="1">_xll.BDH($C$3,"NET_INCOME_TO_COMMON_SEQ_GROWTH","FQ3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6" s="1" t="e">
        <f ca="1">_xll.BDH($C$3,"EPS_DILUTED_SEQUENTIAL_GROWTH","FQ3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6" s="1" t="e">
        <f ca="1">_xll.BDH($C$3,"DPS_SEQUENTIAL_GROWTH","FQ3 2014","FQ3 2014","Currency=INR","Period=FQ","BEST_FPERIOD_OVERRIDE=FQ","FILING_STATUS=OR","EQY_CONSOLIDATED=Y","Sort=A","Dates=H","DateFormat=P","Fill=—","Direction=H","UseDPDF=Y")</f>
        <v>#NAME?</v>
      </c>
      <c r="BL6" s="1" t="e">
        <f ca="1">_xll.BDH($C$3,"ACCOUNTS_RECEIVABLE_SEQ_GROWTH","FQ3 2014","FQ3 2014","Currency=INR","Period=FQ","BEST_FPERIOD_OVERRIDE=FQ","FILING_STATUS=OR","EQY_CONSOLIDATED=Y","Sort=A","Dates=H","DateFormat=P","Fill=—","Direction=H","UseDPDF=Y")</f>
        <v>#NAME?</v>
      </c>
      <c r="BM6" s="1" t="e">
        <f ca="1">_xll.BDH($C$3,"INVENTORY_SEQUENTIAL_GROWTH","FQ3 2014","FQ3 2014","Currency=INR","Period=FQ","BEST_FPERIOD_OVERRIDE=FQ","FILING_STATUS=OR","EQY_CONSOLIDATED=Y","Sort=A","Dates=H","DateFormat=P","Fill=—","Direction=H","UseDPDF=Y")</f>
        <v>#NAME?</v>
      </c>
      <c r="BN6" s="1" t="e">
        <f ca="1">_xll.BDH($C$3,"FIXED_ASSETS_SEQUENTIAL_GROWTH","FQ3 2014","FQ3 2014","Currency=INR","Period=FQ","BEST_FPERIOD_OVERRIDE=FQ","FILING_STATUS=OR","EQY_CONSOLIDATED=Y","Sort=A","Dates=H","DateFormat=P","Fill=—","Direction=H","UseDPDF=Y")</f>
        <v>#NAME?</v>
      </c>
      <c r="BO6" s="1" t="e">
        <f ca="1">_xll.BDH($C$3,"TOTAL_ASSETS_SEQUENTIAL_GROWTH","FQ3 2014","FQ3 2014","Currency=INR","Period=FQ","BEST_FPERIOD_OVERRIDE=FQ","FILING_STATUS=OR","EQY_CONSOLIDATED=Y","Sort=A","Dates=H","DateFormat=P","Fill=—","Direction=H","UseDPDF=Y")</f>
        <v>#NAME?</v>
      </c>
      <c r="BP6" s="1" t="e">
        <f ca="1">_xll.BDH($C$3,"MODIFIED_WORKING_CPTL_SEQ_GRWTH","FQ3 2014","FQ3 2014","Currency=INR","Period=FQ","BEST_FPERIOD_OVERRIDE=FQ","FILING_STATUS=OR","EQY_CONSOLIDATED=Y","Sort=A","Dates=H","DateFormat=P","Fill=—","Direction=H","UseDPDF=Y")</f>
        <v>#NAME?</v>
      </c>
      <c r="BQ6" s="1" t="e">
        <f ca="1">_xll.BDH($C$3,"WORKING_CAPITAL_SEQ_GROWTH","FQ3 2014","FQ3 2014","Currency=INR","Period=FQ","BEST_FPERIOD_OVERRIDE=FQ","FILING_STATUS=OR","EQY_CONSOLIDATED=Y","Sort=A","Dates=H","DateFormat=P","Fill=—","Direction=H","UseDPDF=Y")</f>
        <v>#NAME?</v>
      </c>
      <c r="BR6" s="1" t="e">
        <f ca="1">_xll.BDH($C$3,"ACCOUNTS_PAYABLE_SEQ_GROWTH","FQ3 2014","FQ3 2014","Currency=INR","Period=FQ","BEST_FPERIOD_OVERRIDE=FQ","FILING_STATUS=OR","EQY_CONSOLIDATED=Y","Sort=A","Dates=H","DateFormat=P","Fill=—","Direction=H","UseDPDF=Y")</f>
        <v>#NAME?</v>
      </c>
      <c r="BS6" s="1" t="e">
        <f ca="1">_xll.BDH($C$3,"ST_DEBT_SEQUENTIAL_GROWTH","FQ3 2014","FQ3 2014","Currency=INR","Period=FQ","BEST_FPERIOD_OVERRIDE=FQ","FILING_STATUS=OR","EQY_CONSOLIDATED=Y","Sort=A","Dates=H","DateFormat=P","Fill=—","Direction=H","UseDPDF=Y")</f>
        <v>#NAME?</v>
      </c>
      <c r="BT6" s="1" t="e">
        <f ca="1">_xll.BDH($C$3,"TOTAL_DEBT_SEQUENTIAL_GROWTH","FQ3 2014","FQ3 2014","Currency=INR","Period=FQ","BEST_FPERIOD_OVERRIDE=FQ","FILING_STATUS=OR","EQY_CONSOLIDATED=Y","Sort=A","Dates=H","DateFormat=P","Fill=—","Direction=H","UseDPDF=Y")</f>
        <v>#NAME?</v>
      </c>
      <c r="BU6" s="1" t="e">
        <f ca="1">_xll.BDH($C$3,"TOTAL_EQUITY_SEQUENTIAL_GROWTH","FQ3 2014","FQ3 2014","Currency=INR","Period=FQ","BEST_FPERIOD_OVERRIDE=FQ","FILING_STATUS=OR","EQY_CONSOLIDATED=Y","Sort=A","Dates=H","DateFormat=P","Fill=—","Direction=H","UseDPDF=Y")</f>
        <v>#NAME?</v>
      </c>
      <c r="BV6" s="1" t="e">
        <f ca="1">_xll.BDH($C$3,"TOTAL_CAPITAL_SEQUENTIAL_GROWTH","FQ3 2014","FQ3 2014","Currency=INR","Period=FQ","BEST_FPERIOD_OVERRIDE=FQ","FILING_STATUS=OR","EQY_CONSOLIDATED=Y","Sort=A","Dates=H","DateFormat=P","Fill=—","Direction=H","UseDPDF=Y")</f>
        <v>#NAME?</v>
      </c>
      <c r="BW6" s="1" t="e">
        <f ca="1">_xll.BDH($C$3,"BPS_SEQUENTIAL_GROWTH","FQ3 2014","FQ3 2014","Currency=INR","Period=FQ","BEST_FPERIOD_OVERRIDE=FQ","FILING_STATUS=OR","EQY_CONSOLIDATED=Y","Sort=A","Dates=H","DateFormat=P","Fill=—","Direction=H","UseDPDF=Y")</f>
        <v>#NAME?</v>
      </c>
      <c r="BX6" s="1" t="e">
        <f ca="1">_xll.BDH($C$3,"CFO_SEQUENTIAL_GROWTH","FQ3 2014","FQ3 2014","Currency=INR","Period=FQ","BEST_FPERIOD_OVERRIDE=FQ","FILING_STATUS=OR","EQY_CONSOLIDATED=Y","Sort=A","Dates=H","DateFormat=P","Fill=—","Direction=H","UseDPDF=Y")</f>
        <v>#NAME?</v>
      </c>
      <c r="BY6" s="2" t="e">
        <f ca="1">_xll.BDH($C$3,"SHORT_AND_LONG_TERM_DEBT","FQ3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6" s="2" t="e">
        <f ca="1">_xll.BDH($C$3,"BS_ST_BORROW","FQ3 2014","FQ3 2014","Currency=INR","Period=FQ","BEST_FPERIOD_OVERRIDE=FQ","FILING_STATUS=OR","EQY_CONSOLIDATED=Y","SCALING_FORMAT=MLN","Sort=A","Dates=H","DateFormat=P","Fill=—","Direction=H","UseDPDF=Y")</f>
        <v>#NAME?</v>
      </c>
      <c r="CA6" s="2" t="e">
        <f ca="1">_xll.BDH($C$3,"BS_LT_BORROW","FQ3 2014","FQ3 2014","Currency=INR","Period=FQ","BEST_FPERIOD_OVERRIDE=FQ","FILING_STATUS=OR","EQY_CONSOLIDATED=Y","SCALING_FORMAT=MLN","Sort=A","Dates=H","DateFormat=P","Fill=—","Direction=H","UseDPDF=Y")</f>
        <v>#NAME?</v>
      </c>
      <c r="CB6" s="1" t="e">
        <f ca="1">_xll.BDH($C$3,"TOT_DEBT_TO_EBITDA","FQ3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6" s="1" t="e">
        <f ca="1">_xll.BDH($C$3,"NET_DEBT_TO_EBITDA","FQ3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6" s="1" t="e">
        <f ca="1">_xll.BDH($C$3,"TOTAL_DEBT_TO_EBIT","FQ3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6" s="1" t="e">
        <f ca="1">_xll.BDH($C$3,"NET_DEBT_TO_EBIT","FQ3 2014","FQ3 2014","Currency=INR","Period=FQ","BEST_FPERIOD_OVERRIDE=FQ","FILING_STATUS=OR","EQY_CONSOLIDATED=Y","FA_ADJUSTED=GAAP","Sort=A","Dates=H","DateFormat=P","Fill=—","Direction=H","UseDPDF=Y")</f>
        <v>#NAME?</v>
      </c>
      <c r="CF6" s="1" t="e">
        <f ca="1">_xll.BDH($C$3,"EBITDA_TO_INTEREST_EXPN","FQ3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6" s="1" t="e">
        <f ca="1">_xll.BDH($C$3,"COM_EQY_TO_TOT_ASSET","FQ3 2014","FQ3 2014","Currency=INR","Period=FQ","BEST_FPERIOD_OVERRIDE=FQ","FILING_STATUS=OR","EQY_CONSOLIDATED=Y","Sort=A","Dates=H","DateFormat=P","Fill=—","Direction=H","UseDPDF=Y")</f>
        <v>#NAME?</v>
      </c>
      <c r="CH6" s="1" t="e">
        <f ca="1">_xll.BDH($C$3,"LT_DEBT_TO_TOT_EQY","FQ3 2014","FQ3 2014","Currency=INR","Period=FQ","BEST_FPERIOD_OVERRIDE=FQ","FILING_STATUS=OR","EQY_CONSOLIDATED=Y","Sort=A","Dates=H","DateFormat=P","Fill=—","Direction=H","UseDPDF=Y")</f>
        <v>#NAME?</v>
      </c>
      <c r="CI6" s="1" t="e">
        <f ca="1">_xll.BDH($C$3,"LT_DEBT_TO_TOT_CAP","FQ3 2014","FQ3 2014","Currency=INR","Period=FQ","BEST_FPERIOD_OVERRIDE=FQ","FILING_STATUS=OR","EQY_CONSOLIDATED=Y","Sort=A","Dates=H","DateFormat=P","Fill=—","Direction=H","UseDPDF=Y")</f>
        <v>#NAME?</v>
      </c>
      <c r="CJ6" s="1" t="e">
        <f ca="1">_xll.BDH($C$3,"LT_DEBT_TO_TOT_ASSET","FQ3 2014","FQ3 2014","Currency=INR","Period=FQ","BEST_FPERIOD_OVERRIDE=FQ","FILING_STATUS=OR","EQY_CONSOLIDATED=Y","Sort=A","Dates=H","DateFormat=P","Fill=—","Direction=H","UseDPDF=Y")</f>
        <v>#NAME?</v>
      </c>
      <c r="CK6" s="1" t="e">
        <f ca="1">_xll.BDH($C$3,"TOT_DEBT_TO_TOT_EQY","FQ3 2014","FQ3 2014","Currency=INR","Period=FQ","BEST_FPERIOD_OVERRIDE=FQ","FILING_STATUS=OR","EQY_CONSOLIDATED=Y","Sort=A","Dates=H","DateFormat=P","Fill=—","Direction=H","UseDPDF=Y")</f>
        <v>#NAME?</v>
      </c>
      <c r="CL6" s="1" t="e">
        <f ca="1">_xll.BDH($C$3,"TOT_DEBT_TO_TOT_CAP","FQ3 2014","FQ3 2014","Currency=INR","Period=FQ","BEST_FPERIOD_OVERRIDE=FQ","FILING_STATUS=OR","EQY_CONSOLIDATED=Y","Sort=A","Dates=H","DateFormat=P","Fill=—","Direction=H","UseDPDF=Y")</f>
        <v>#NAME?</v>
      </c>
      <c r="CM6" s="1" t="e">
        <f ca="1">_xll.BDH($C$3,"TOT_DEBT_TO_TOT_ASSET","FQ3 2014","FQ3 2014","Currency=INR","Period=FQ","BEST_FPERIOD_OVERRIDE=FQ","FILING_STATUS=OR","EQY_CONSOLIDATED=Y","Sort=A","Dates=H","DateFormat=P","Fill=—","Direction=H","UseDPDF=Y")</f>
        <v>#NAME?</v>
      </c>
      <c r="CN6" s="1" t="e">
        <f ca="1">_xll.BDH($C$3,"NET_DEBT_TO_SHRHLDR_EQTY","FQ3 2014","FQ3 2014","Currency=INR","Period=FQ","BEST_FPERIOD_OVERRIDE=FQ","FILING_STATUS=OR","EQY_CONSOLIDATED=Y","Sort=A","Dates=H","DateFormat=P","Fill=—","Direction=H","UseDPDF=Y")</f>
        <v>#NAME?</v>
      </c>
      <c r="CO6" s="1" t="e">
        <f ca="1">_xll.BDH($C$3,"NET_DEBT_%_CAPITAL","FQ3 2014","FQ3 2014","Currency=INR","Period=FQ","BEST_FPERIOD_OVERRIDE=FQ","FILING_STATUS=OR","EQY_CONSOLIDATED=Y","Sort=A","Dates=H","DateFormat=P","Fill=—","Direction=H","UseDPDF=Y")</f>
        <v>#NAME?</v>
      </c>
      <c r="CP6" s="2" t="e">
        <f ca="1">_xll.BDH($C$3,"EBITDA","FQ3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6" s="2" t="e">
        <f ca="1">_xll.BDH($C$3,"EBITDA_AFTER_CAPEX","FQ3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6" s="2" t="e">
        <f ca="1">_xll.BDH($C$3,"IS_OPER_INC","FQ3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6" s="1" t="e">
        <f ca="1">_xll.BDH($C$3,"CASH_RATIO","FQ3 2014","FQ3 2014","Currency=INR","Period=FQ","BEST_FPERIOD_OVERRIDE=FQ","FILING_STATUS=OR","EQY_CONSOLIDATED=Y","Sort=A","Dates=H","DateFormat=P","Fill=—","Direction=H","UseDPDF=Y")</f>
        <v>#NAME?</v>
      </c>
      <c r="CT6" s="1" t="e">
        <f ca="1">_xll.BDH($C$3,"CUR_RATIO","FQ3 2014","FQ3 2014","Currency=INR","Period=FQ","BEST_FPERIOD_OVERRIDE=FQ","FILING_STATUS=OR","EQY_CONSOLIDATED=Y","Sort=A","Dates=H","DateFormat=P","Fill=—","Direction=H","UseDPDF=Y")</f>
        <v>#NAME?</v>
      </c>
      <c r="CU6" s="1" t="e">
        <f ca="1">_xll.BDH($C$3,"QUICK_RATIO","FQ3 2014","FQ3 2014","Currency=INR","Period=FQ","BEST_FPERIOD_OVERRIDE=FQ","FILING_STATUS=OR","EQY_CONSOLIDATED=Y","Sort=A","Dates=H","DateFormat=P","Fill=—","Direction=H","UseDPDF=Y")</f>
        <v>#NAME?</v>
      </c>
      <c r="CV6" s="1" t="e">
        <f ca="1">_xll.BDH($C$3,"ALTMAN_Z_SCORE","FQ3 2014","FQ3 2014","Currency=INR","Period=FQ","BEST_FPERIOD_OVERRIDE=FQ","FILING_STATUS=OR","EQY_CONSOLIDATED=Y","Sort=A","Dates=H","DateFormat=P","Fill=—","Direction=H","UseDPDF=Y")</f>
        <v>#NAME?</v>
      </c>
      <c r="CW6" s="3" t="e">
        <f ca="1">_xll.BDH($C$3,"ACCT_RCV_TURN","FQ3 2014","FQ3 2014","Currency=INR","Period=FQ","BEST_FPERIOD_OVERRIDE=FQ","FILING_STATUS=OR","EQY_CONSOLIDATED=Y","FA_ADJUSTED=GAAP","Sort=A","Dates=H","DateFormat=P","Fill=—","Direction=H","UseDPDF=Y")</f>
        <v>#NAME?</v>
      </c>
      <c r="CX6" s="1" t="e">
        <f ca="1">_xll.BDH($C$3,"ACCT_RCV_DAYS","FQ3 2014","FQ3 2014","Currency=INR","Period=FQ","BEST_FPERIOD_OVERRIDE=FQ","FILING_STATUS=OR","EQY_CONSOLIDATED=Y","FA_ADJUSTED=GAAP","Sort=A","Dates=H","DateFormat=P","Fill=—","Direction=H","UseDPDF=Y")</f>
        <v>#NAME?</v>
      </c>
      <c r="CY6" s="3" t="e">
        <f ca="1">_xll.BDH($C$3,"INVENT_TURN","FQ3 2014","FQ3 2014","Currency=INR","Period=FQ","BEST_FPERIOD_OVERRIDE=FQ","FILING_STATUS=OR","EQY_CONSOLIDATED=Y","FA_ADJUSTED=GAAP","Sort=A","Dates=H","DateFormat=P","Fill=—","Direction=H","UseDPDF=Y")</f>
        <v>#NAME?</v>
      </c>
      <c r="CZ6" s="1" t="e">
        <f ca="1">_xll.BDH($C$3,"INVENT_DAYS","FQ3 2014","FQ3 2014","Currency=INR","Period=FQ","BEST_FPERIOD_OVERRIDE=FQ","FILING_STATUS=OR","EQY_CONSOLIDATED=Y","FA_ADJUSTED=GAAP","Sort=A","Dates=H","DateFormat=P","Fill=—","Direction=H","UseDPDF=Y")</f>
        <v>#NAME?</v>
      </c>
      <c r="DA6" s="3" t="e">
        <f ca="1">_xll.BDH($C$3,"ACCOUNTS_PAYABLE_TURNOVER","FQ3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6" s="1" t="e">
        <f ca="1">_xll.BDH($C$3,"ACCOUNTS_PAYABLE_TURNOVER_DAYS","FQ3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6" s="3" t="e">
        <f ca="1">_xll.BDH($C$3,"CASH_CONVERSION_CYCLE","FQ3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6" s="3" t="e">
        <f ca="1">_xll.BDH($C$3,"INV_TO_CASH_DAYS","FQ3 2014","FQ3 2014","Currency=INR","Period=FQ","BEST_FPERIOD_OVERRIDE=FQ","FILING_STATUS=OR","EQY_CONSOLIDATED=Y","FA_ADJUSTED=GAAP","Sort=A","Dates=H","DateFormat=P","Fill=—","Direction=H","UseDPDF=Y")</f>
        <v>#NAME?</v>
      </c>
      <c r="DE6" s="4" t="e">
        <f ca="1">_xll.BDH($C$3,"BS_INVENTORIES","FQ3 2014","FQ3 2014","Currency=INR","Period=FQ","BEST_FPERIOD_OVERRIDE=FQ","FILING_STATUS=OR","EQY_CONSOLIDATED=Y","SCALING_FORMAT=MLN","Sort=A","Dates=H","DateFormat=P","Fill=—","Direction=H","UseDPDF=Y")</f>
        <v>#NAME?</v>
      </c>
      <c r="DF6" s="2" t="e">
        <f ca="1">_xll.BDH($C$3,"INVTRY_RAW_MATERIALS","FQ3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6" s="2" t="e">
        <f ca="1">_xll.BDH($C$3,"INVTRY_IN_PROGRESS","FQ3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6" s="2" t="e">
        <f ca="1">_xll.BDH($C$3,"INVTRY_FINISHED_GOODS","FQ3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6" s="2" t="e">
        <f ca="1">_xll.BDH($C$3,"BS_OTHER_INV","FQ3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7" spans="1:113" x14ac:dyDescent="0.3">
      <c r="A7" s="6"/>
      <c r="B7" s="6"/>
      <c r="C7" s="6"/>
      <c r="D7" s="6"/>
      <c r="E7" t="s">
        <v>7</v>
      </c>
      <c r="F7" t="e">
        <f ca="1">_xll.BDH($C$3,"RETURN_COM_EQY","FQ4 2014","FQ4 2014","Currency=INR","Period=FQ","BEST_FPERIOD_OVERRIDE=FQ","FILING_STATUS=OR","EQY_CONSOLIDATED=Y","FA_ADJUSTED=GAAP","Sort=A","Dates=H","DateFormat=P","Fill=—","Direction=H","UseDPDF=Y")</f>
        <v>#NAME?</v>
      </c>
      <c r="G7" t="e">
        <f ca="1">_xll.BDH($C$3,"RETURN_ON_ASSET","FQ4 2014","FQ4 2014","Currency=INR","Period=FQ","BEST_FPERIOD_OVERRIDE=FQ","FILING_STATUS=OR","EQY_CONSOLIDATED=Y","FA_ADJUSTED=GAAP","Sort=A","Dates=H","DateFormat=P","Fill=—","Direction=H","UseDPDF=Y")</f>
        <v>#NAME?</v>
      </c>
      <c r="H7" t="e">
        <f ca="1">_xll.BDH($C$3,"RETURN_ON_CAP","FQ4 2014","FQ4 2014","Currency=INR","Period=FQ","BEST_FPERIOD_OVERRIDE=FQ","FILING_STATUS=OR","EQY_CONSOLIDATED=Y","FA_ADJUSTED=GAAP","Sort=A","Dates=H","DateFormat=P","Fill=—","Direction=H","UseDPDF=Y")</f>
        <v>#NAME?</v>
      </c>
      <c r="I7" t="e">
        <f ca="1">_xll.BDH($C$3,"RETURN_ON_INV_CAPITAL","FQ4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7" t="e">
        <f ca="1">_xll.BDH($C$3,"EBITDA_TO_REVENUE","FQ4 2014","FQ4 2014","Currency=INR","Period=FQ","BEST_FPERIOD_OVERRIDE=FQ","FILING_STATUS=OR","EQY_CONSOLIDATED=Y","FA_ADJUSTED=GAAP","Sort=A","Dates=H","DateFormat=P","Fill=—","Direction=H","UseDPDF=Y")</f>
        <v>#NAME?</v>
      </c>
      <c r="K7" t="e">
        <f ca="1">_xll.BDH($C$3,"OPER_MARGIN","FQ4 2014","FQ4 2014","Currency=INR","Period=FQ","BEST_FPERIOD_OVERRIDE=FQ","FILING_STATUS=OR","EQY_CONSOLIDATED=Y","FA_ADJUSTED=GAAP","Sort=A","Dates=H","DateFormat=P","Fill=—","Direction=H","UseDPDF=Y")</f>
        <v>#NAME?</v>
      </c>
      <c r="L7" t="e">
        <f ca="1">_xll.BDH($C$3,"INCREMENTAL_OPERATING_MARGIN","FQ4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7" t="e">
        <f ca="1">_xll.BDH($C$3,"PRETAX_INC_TO_NET_SALES","FQ4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7" t="e">
        <f ca="1">_xll.BDH($C$3,"INC_BEF_XO_ITEMS_TO_NET_SALES","FQ4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7" t="e">
        <f ca="1">_xll.BDH($C$3,"PROF_MARGIN","FQ4 2014","FQ4 2014","Currency=INR","Period=FQ","BEST_FPERIOD_OVERRIDE=FQ","FILING_STATUS=OR","EQY_CONSOLIDATED=Y","FA_ADJUSTED=GAAP","Sort=A","Dates=H","DateFormat=P","Fill=—","Direction=H","UseDPDF=Y")</f>
        <v>#NAME?</v>
      </c>
      <c r="P7" t="e">
        <f ca="1">_xll.BDH($C$3,"NET_INCOME_TO_COMMON_MARGIN","FQ4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7" t="e">
        <f ca="1">_xll.BDH($C$3,"EFF_TAX_RATE","FQ4 2014","FQ4 2014","Currency=INR","Period=FQ","BEST_FPERIOD_OVERRIDE=FQ","FILING_STATUS=OR","EQY_CONSOLIDATED=Y","FA_ADJUSTED=GAAP","Sort=A","Dates=H","DateFormat=P","Fill=—","Direction=H","UseDPDF=Y")</f>
        <v>#NAME?</v>
      </c>
      <c r="R7" t="e">
        <f ca="1">_xll.BDH($C$3,"DVD_PAYOUT_RATIO","FQ4 2014","FQ4 2014","Currency=INR","Period=FQ","BEST_FPERIOD_OVERRIDE=FQ","FILING_STATUS=OR","EQY_CONSOLIDATED=Y","FA_ADJUSTED=GAAP","Sort=A","Dates=H","DateFormat=P","Fill=—","Direction=H","UseDPDF=Y")</f>
        <v>#NAME?</v>
      </c>
      <c r="S7" t="e">
        <f ca="1">_xll.BDH($C$3,"SUSTAIN_GROWTH_RT","FQ4 2014","FQ4 2014","Currency=INR","Period=FQ","BEST_FPERIOD_OVERRIDE=FQ","FILING_STATUS=OR","EQY_CONSOLIDATED=Y","FA_ADJUSTED=GAAP","Sort=A","Dates=H","DateFormat=P","Fill=—","Direction=H","UseDPDF=Y")</f>
        <v>#NAME?</v>
      </c>
      <c r="T7" s="1" t="e">
        <f ca="1">_xll.BDH($C$3,"SALES_GROWTH","FQ4 2014","FQ4 2014","Currency=INR","Period=FQ","BEST_FPERIOD_OVERRIDE=FQ","FILING_STATUS=OR","EQY_CONSOLIDATED=Y","FA_ADJUSTED=GAAP","Sort=A","Dates=H","DateFormat=P","Fill=—","Direction=H","UseDPDF=Y")</f>
        <v>#NAME?</v>
      </c>
      <c r="U7" s="1" t="e">
        <f ca="1">_xll.BDH($C$3,"EBITDA_GROWTH","FQ4 2014","FQ4 2014","Currency=INR","Period=FQ","BEST_FPERIOD_OVERRIDE=FQ","FILING_STATUS=OR","EQY_CONSOLIDATED=Y","FA_ADJUSTED=GAAP","Sort=A","Dates=H","DateFormat=P","Fill=—","Direction=H","UseDPDF=Y")</f>
        <v>#NAME?</v>
      </c>
      <c r="V7" s="1" t="e">
        <f ca="1">_xll.BDH($C$3,"OPER_INC_GROWTH","FQ4 2014","FQ4 2014","Currency=INR","Period=FQ","BEST_FPERIOD_OVERRIDE=FQ","FILING_STATUS=OR","EQY_CONSOLIDATED=Y","FA_ADJUSTED=GAAP","Sort=A","Dates=H","DateFormat=P","Fill=—","Direction=H","UseDPDF=Y")</f>
        <v>#NAME?</v>
      </c>
      <c r="W7" s="1" t="e">
        <f ca="1">_xll.BDH($C$3,"EARN_FOR_COM_GROWTH","FQ4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7" s="1" t="e">
        <f ca="1">_xll.BDH($C$3,"DILUTED_EPS_AFT_XO_ITEMS_GROWTH","FQ4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7" s="1" t="e">
        <f ca="1">_xll.BDH($C$3,"DIVIDEND_PER_SHARE_1_YEAR_GROWTH","FQ4 2014","FQ4 2014","Currency=INR","Period=FQ","BEST_FPERIOD_OVERRIDE=FQ","FILING_STATUS=OR","EQY_CONSOLIDATED=Y","Sort=A","Dates=H","DateFormat=P","Fill=—","Direction=H","UseDPDF=Y")</f>
        <v>#NAME?</v>
      </c>
      <c r="Z7" s="1" t="e">
        <f ca="1">_xll.BDH($C$3,"ACCOUNTS_RECEIVABLE_GROWTH","FQ4 2014","FQ4 2014","Currency=INR","Period=FQ","BEST_FPERIOD_OVERRIDE=FQ","FILING_STATUS=OR","EQY_CONSOLIDATED=Y","Sort=A","Dates=H","DateFormat=P","Fill=—","Direction=H","UseDPDF=Y")</f>
        <v>#NAME?</v>
      </c>
      <c r="AA7" s="1" t="e">
        <f ca="1">_xll.BDH($C$3,"INVENTORY_GROWTH","FQ4 2014","FQ4 2014","Currency=INR","Period=FQ","BEST_FPERIOD_OVERRIDE=FQ","FILING_STATUS=OR","EQY_CONSOLIDATED=Y","Sort=A","Dates=H","DateFormat=P","Fill=—","Direction=H","UseDPDF=Y")</f>
        <v>#NAME?</v>
      </c>
      <c r="AB7" s="1" t="e">
        <f ca="1">_xll.BDH($C$3,"NET_FIXED_ASSETS_1_YEAR_GROWTH","FQ4 2014","FQ4 2014","Currency=INR","Period=FQ","BEST_FPERIOD_OVERRIDE=FQ","FILING_STATUS=OR","EQY_CONSOLIDATED=Y","Sort=A","Dates=H","DateFormat=P","Fill=—","Direction=H","UseDPDF=Y")</f>
        <v>#NAME?</v>
      </c>
      <c r="AC7" s="1" t="e">
        <f ca="1">_xll.BDH($C$3,"ASSET_GROWTH","FQ4 2014","FQ4 2014","Currency=INR","Period=FQ","BEST_FPERIOD_OVERRIDE=FQ","FILING_STATUS=OR","EQY_CONSOLIDATED=Y","Sort=A","Dates=H","DateFormat=P","Fill=—","Direction=H","UseDPDF=Y")</f>
        <v>#NAME?</v>
      </c>
      <c r="AD7" s="1" t="e">
        <f ca="1">_xll.BDH($C$3,"MODIFIED_WORK_CAP_GROWTH","FQ4 2014","FQ4 2014","Currency=INR","Period=FQ","BEST_FPERIOD_OVERRIDE=FQ","FILING_STATUS=OR","EQY_CONSOLIDATED=Y","Sort=A","Dates=H","DateFormat=P","Fill=—","Direction=H","UseDPDF=Y")</f>
        <v>#NAME?</v>
      </c>
      <c r="AE7" s="1" t="e">
        <f ca="1">_xll.BDH($C$3,"WORK_CAP_GROWTH","FQ4 2014","FQ4 2014","Currency=INR","Period=FQ","BEST_FPERIOD_OVERRIDE=FQ","FILING_STATUS=OR","EQY_CONSOLIDATED=Y","Sort=A","Dates=H","DateFormat=P","Fill=—","Direction=H","UseDPDF=Y")</f>
        <v>#NAME?</v>
      </c>
      <c r="AF7" s="1" t="e">
        <f ca="1">_xll.BDH($C$3,"ACCOUNTS_PAYABLE_GROWTH_1YR","FQ4 2014","FQ4 2014","Currency=INR","Period=FQ","BEST_FPERIOD_OVERRIDE=FQ","FILING_STATUS=OR","EQY_CONSOLIDATED=Y","Sort=A","Dates=H","DateFormat=P","Fill=—","Direction=H","UseDPDF=Y")</f>
        <v>#NAME?</v>
      </c>
      <c r="AG7" s="1" t="e">
        <f ca="1">_xll.BDH($C$3,"SHORT_TERM_DEBT_1_YEAR_GROWTH","FQ4 2014","FQ4 2014","Currency=INR","Period=FQ","BEST_FPERIOD_OVERRIDE=FQ","FILING_STATUS=OR","EQY_CONSOLIDATED=Y","Sort=A","Dates=H","DateFormat=P","Fill=—","Direction=H","UseDPDF=Y")</f>
        <v>#NAME?</v>
      </c>
      <c r="AH7" s="1" t="e">
        <f ca="1">_xll.BDH($C$3,"TOTAL_DEBT_1_YEAR_GROWTH","FQ4 2014","FQ4 2014","Currency=INR","Period=FQ","BEST_FPERIOD_OVERRIDE=FQ","FILING_STATUS=OR","EQY_CONSOLIDATED=Y","Sort=A","Dates=H","DateFormat=P","Fill=—","Direction=H","UseDPDF=Y")</f>
        <v>#NAME?</v>
      </c>
      <c r="AI7" s="1" t="e">
        <f ca="1">_xll.BDH($C$3,"TOTAL_EQUITY_1_YEAR_GROWTH","FQ4 2014","FQ4 2014","Currency=INR","Period=FQ","BEST_FPERIOD_OVERRIDE=FQ","FILING_STATUS=OR","EQY_CONSOLIDATED=Y","Sort=A","Dates=H","DateFormat=P","Fill=—","Direction=H","UseDPDF=Y")</f>
        <v>#NAME?</v>
      </c>
      <c r="AJ7" s="1" t="e">
        <f ca="1">_xll.BDH($C$3,"GROWTH_IN_CAP","FQ4 2014","FQ4 2014","Currency=INR","Period=FQ","BEST_FPERIOD_OVERRIDE=FQ","FILING_STATUS=OR","EQY_CONSOLIDATED=Y","Sort=A","Dates=H","DateFormat=P","Fill=—","Direction=H","UseDPDF=Y")</f>
        <v>#NAME?</v>
      </c>
      <c r="AK7" s="1" t="e">
        <f ca="1">_xll.BDH($C$3,"BVPS_GROWTH","FQ4 2014","FQ4 2014","Currency=INR","Period=FQ","BEST_FPERIOD_OVERRIDE=FQ","FILING_STATUS=OR","EQY_CONSOLIDATED=Y","Sort=A","Dates=H","DateFormat=P","Fill=—","Direction=H","UseDPDF=Y")</f>
        <v>#NAME?</v>
      </c>
      <c r="AL7" s="1" t="e">
        <f ca="1">_xll.BDH($C$3,"CASH_FLOW_GROWTH","FQ4 2014","FQ4 2014","Currency=INR","Period=FQ","BEST_FPERIOD_OVERRIDE=FQ","FILING_STATUS=OR","EQY_CONSOLIDATED=Y","Sort=A","Dates=H","DateFormat=P","Fill=—","Direction=H","UseDPDF=Y")</f>
        <v>#NAME?</v>
      </c>
      <c r="AM7" s="1" t="e">
        <f ca="1">_xll.BDH($C$3,"GEO_GROW_NET_SALES","FQ4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7" s="1" t="e">
        <f ca="1">_xll.BDH($C$3,"GEO_GROW_EBITDA","FQ4 2014","FQ4 2014","Currency=INR","Period=FQ","BEST_FPERIOD_OVERRIDE=FQ","FILING_STATUS=OR","EQY_CONSOLIDATED=Y","FA_ADJUSTED=GAAP","Sort=A","Dates=H","DateFormat=P","Fill=—","Direction=H","UseDPDF=Y")</f>
        <v>#NAME?</v>
      </c>
      <c r="AO7" s="1" t="e">
        <f ca="1">_xll.BDH($C$3,"GEO_GROW_OPER_INC","FQ4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7" s="1" t="e">
        <f ca="1">_xll.BDH($C$3,"NET_INCOME_TO_COMMON_5_YR_GROWTH","FQ4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7" s="1" t="e">
        <f ca="1">_xll.BDH($C$3,"5Y_GEO_GROWTH_DILUTED_EPS","FQ4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7" s="1" t="e">
        <f ca="1">_xll.BDH($C$3,"GEO_GROW_DVD_PER_SH","FQ4 2014","FQ4 2014","Currency=INR","Period=FQ","BEST_FPERIOD_OVERRIDE=FQ","FILING_STATUS=OR","EQY_CONSOLIDATED=Y","Sort=A","Dates=H","DateFormat=P","Fill=—","Direction=H","UseDPDF=Y")</f>
        <v>#NAME?</v>
      </c>
      <c r="AS7" s="1" t="e">
        <f ca="1">_xll.BDH($C$3,"ACCOUNTS_RECEIVABLE_5_YR_GROWTH","FQ4 2014","FQ4 2014","Currency=INR","Period=FQ","BEST_FPERIOD_OVERRIDE=FQ","FILING_STATUS=OR","EQY_CONSOLIDATED=Y","Sort=A","Dates=H","DateFormat=P","Fill=—","Direction=H","UseDPDF=Y")</f>
        <v>#NAME?</v>
      </c>
      <c r="AT7" s="1" t="e">
        <f ca="1">_xll.BDH($C$3,"INVENTORY_5_YEAR_GROWTH","FQ4 2014","FQ4 2014","Currency=INR","Period=FQ","BEST_FPERIOD_OVERRIDE=FQ","FILING_STATUS=OR","EQY_CONSOLIDATED=Y","Sort=A","Dates=H","DateFormat=P","Fill=—","Direction=H","UseDPDF=Y")</f>
        <v>#NAME?</v>
      </c>
      <c r="AU7" s="1" t="e">
        <f ca="1">_xll.BDH($C$3,"NET_FIXED_ASSETS_5_YEAR_GROWTH","FQ4 2014","FQ4 2014","Currency=INR","Period=FQ","BEST_FPERIOD_OVERRIDE=FQ","FILING_STATUS=OR","EQY_CONSOLIDATED=Y","Sort=A","Dates=H","DateFormat=P","Fill=—","Direction=H","UseDPDF=Y")</f>
        <v>#NAME?</v>
      </c>
      <c r="AV7" s="1" t="e">
        <f ca="1">_xll.BDH($C$3,"GEO_GROW_TOT_ASSET","FQ4 2014","FQ4 2014","Currency=INR","Period=FQ","BEST_FPERIOD_OVERRIDE=FQ","FILING_STATUS=OR","EQY_CONSOLIDATED=Y","Sort=A","Dates=H","DateFormat=P","Fill=—","Direction=H","UseDPDF=Y")</f>
        <v>#NAME?</v>
      </c>
      <c r="AW7" s="1" t="e">
        <f ca="1">_xll.BDH($C$3,"MODIFIED_WORKING_CPTL_5YR_GRWTH","FQ4 2014","FQ4 2014","Currency=INR","Period=FQ","BEST_FPERIOD_OVERRIDE=FQ","FILING_STATUS=OR","EQY_CONSOLIDATED=Y","Sort=A","Dates=H","DateFormat=P","Fill=—","Direction=H","UseDPDF=Y")</f>
        <v>#NAME?</v>
      </c>
      <c r="AX7" s="1" t="e">
        <f ca="1">_xll.BDH($C$3,"WORKING_CAPITAL_5_YEAR_GROWTH","FQ4 2014","FQ4 2014","Currency=INR","Period=FQ","BEST_FPERIOD_OVERRIDE=FQ","FILING_STATUS=OR","EQY_CONSOLIDATED=Y","Sort=A","Dates=H","DateFormat=P","Fill=—","Direction=H","UseDPDF=Y")</f>
        <v>#NAME?</v>
      </c>
      <c r="AY7" s="1" t="e">
        <f ca="1">_xll.BDH($C$3,"ACCOUNTS_PAYABLE_5_YEAR_GROWTH","FQ4 2014","FQ4 2014","Currency=INR","Period=FQ","BEST_FPERIOD_OVERRIDE=FQ","FILING_STATUS=OR","EQY_CONSOLIDATED=Y","Sort=A","Dates=H","DateFormat=P","Fill=—","Direction=H","UseDPDF=Y")</f>
        <v>#NAME?</v>
      </c>
      <c r="AZ7" s="1" t="e">
        <f ca="1">_xll.BDH($C$3,"SHORT_TERM_DEBT_5_YEAR_GROWTH","FQ4 2014","FQ4 2014","Currency=INR","Period=FQ","BEST_FPERIOD_OVERRIDE=FQ","FILING_STATUS=OR","EQY_CONSOLIDATED=Y","Sort=A","Dates=H","DateFormat=P","Fill=—","Direction=H","UseDPDF=Y")</f>
        <v>#NAME?</v>
      </c>
      <c r="BA7" s="1" t="e">
        <f ca="1">_xll.BDH($C$3,"TOTAL_DEBT_5_YEAR_GROWTH","FQ4 2014","FQ4 2014","Currency=INR","Period=FQ","BEST_FPERIOD_OVERRIDE=FQ","FILING_STATUS=OR","EQY_CONSOLIDATED=Y","Sort=A","Dates=H","DateFormat=P","Fill=—","Direction=H","UseDPDF=Y")</f>
        <v>#NAME?</v>
      </c>
      <c r="BB7" s="1" t="e">
        <f ca="1">_xll.BDH($C$3,"GEO_GROW_TOT_SHRHLDR_EQY","FQ4 2014","FQ4 2014","Currency=INR","Period=FQ","BEST_FPERIOD_OVERRIDE=FQ","FILING_STATUS=OR","EQY_CONSOLIDATED=Y","Sort=A","Dates=H","DateFormat=P","Fill=—","Direction=H","UseDPDF=Y")</f>
        <v>#NAME?</v>
      </c>
      <c r="BC7" s="1" t="e">
        <f ca="1">_xll.BDH($C$3,"TOTAL_CAPITAL_5_YEAR_GROWTH","FQ4 2014","FQ4 2014","Currency=INR","Period=FQ","BEST_FPERIOD_OVERRIDE=FQ","FILING_STATUS=OR","EQY_CONSOLIDATED=Y","Sort=A","Dates=H","DateFormat=P","Fill=—","Direction=H","UseDPDF=Y")</f>
        <v>#NAME?</v>
      </c>
      <c r="BD7" s="1" t="e">
        <f ca="1">_xll.BDH($C$3,"GEO_GROW_BOOK_VAL","FQ4 2014","FQ4 2014","Currency=INR","Period=FQ","BEST_FPERIOD_OVERRIDE=FQ","FILING_STATUS=OR","EQY_CONSOLIDATED=Y","Sort=A","Dates=H","DateFormat=P","Fill=—","Direction=H","UseDPDF=Y")</f>
        <v>#NAME?</v>
      </c>
      <c r="BE7" s="1" t="e">
        <f ca="1">_xll.BDH($C$3,"GEO_GROW_CASH_OPER_ACT","FQ4 2014","FQ4 2014","Currency=INR","Period=FQ","BEST_FPERIOD_OVERRIDE=FQ","FILING_STATUS=OR","EQY_CONSOLIDATED=Y","Sort=A","Dates=H","DateFormat=P","Fill=—","Direction=H","UseDPDF=Y")</f>
        <v>#NAME?</v>
      </c>
      <c r="BF7" s="1" t="e">
        <f ca="1">_xll.BDH($C$3,"REVENUE_SEQUENTIAL_GROWTH","FQ4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7" s="1" t="e">
        <f ca="1">_xll.BDH($C$3,"EBITDA_SEQUENTIAL_GROWTH","FQ4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7" s="1" t="e">
        <f ca="1">_xll.BDH($C$3,"OPERATING_INCOME_SEQ_GROWTH","FQ4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7" s="1" t="e">
        <f ca="1">_xll.BDH($C$3,"NET_INCOME_TO_COMMON_SEQ_GROWTH","FQ4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7" s="1" t="e">
        <f ca="1">_xll.BDH($C$3,"EPS_DILUTED_SEQUENTIAL_GROWTH","FQ4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7" s="1" t="e">
        <f ca="1">_xll.BDH($C$3,"DPS_SEQUENTIAL_GROWTH","FQ4 2014","FQ4 2014","Currency=INR","Period=FQ","BEST_FPERIOD_OVERRIDE=FQ","FILING_STATUS=OR","EQY_CONSOLIDATED=Y","Sort=A","Dates=H","DateFormat=P","Fill=—","Direction=H","UseDPDF=Y")</f>
        <v>#NAME?</v>
      </c>
      <c r="BL7" s="1" t="e">
        <f ca="1">_xll.BDH($C$3,"ACCOUNTS_RECEIVABLE_SEQ_GROWTH","FQ4 2014","FQ4 2014","Currency=INR","Period=FQ","BEST_FPERIOD_OVERRIDE=FQ","FILING_STATUS=OR","EQY_CONSOLIDATED=Y","Sort=A","Dates=H","DateFormat=P","Fill=—","Direction=H","UseDPDF=Y")</f>
        <v>#NAME?</v>
      </c>
      <c r="BM7" s="1" t="e">
        <f ca="1">_xll.BDH($C$3,"INVENTORY_SEQUENTIAL_GROWTH","FQ4 2014","FQ4 2014","Currency=INR","Period=FQ","BEST_FPERIOD_OVERRIDE=FQ","FILING_STATUS=OR","EQY_CONSOLIDATED=Y","Sort=A","Dates=H","DateFormat=P","Fill=—","Direction=H","UseDPDF=Y")</f>
        <v>#NAME?</v>
      </c>
      <c r="BN7" s="1" t="e">
        <f ca="1">_xll.BDH($C$3,"FIXED_ASSETS_SEQUENTIAL_GROWTH","FQ4 2014","FQ4 2014","Currency=INR","Period=FQ","BEST_FPERIOD_OVERRIDE=FQ","FILING_STATUS=OR","EQY_CONSOLIDATED=Y","Sort=A","Dates=H","DateFormat=P","Fill=—","Direction=H","UseDPDF=Y")</f>
        <v>#NAME?</v>
      </c>
      <c r="BO7" s="1" t="e">
        <f ca="1">_xll.BDH($C$3,"TOTAL_ASSETS_SEQUENTIAL_GROWTH","FQ4 2014","FQ4 2014","Currency=INR","Period=FQ","BEST_FPERIOD_OVERRIDE=FQ","FILING_STATUS=OR","EQY_CONSOLIDATED=Y","Sort=A","Dates=H","DateFormat=P","Fill=—","Direction=H","UseDPDF=Y")</f>
        <v>#NAME?</v>
      </c>
      <c r="BP7" s="1" t="e">
        <f ca="1">_xll.BDH($C$3,"MODIFIED_WORKING_CPTL_SEQ_GRWTH","FQ4 2014","FQ4 2014","Currency=INR","Period=FQ","BEST_FPERIOD_OVERRIDE=FQ","FILING_STATUS=OR","EQY_CONSOLIDATED=Y","Sort=A","Dates=H","DateFormat=P","Fill=—","Direction=H","UseDPDF=Y")</f>
        <v>#NAME?</v>
      </c>
      <c r="BQ7" s="1" t="e">
        <f ca="1">_xll.BDH($C$3,"WORKING_CAPITAL_SEQ_GROWTH","FQ4 2014","FQ4 2014","Currency=INR","Period=FQ","BEST_FPERIOD_OVERRIDE=FQ","FILING_STATUS=OR","EQY_CONSOLIDATED=Y","Sort=A","Dates=H","DateFormat=P","Fill=—","Direction=H","UseDPDF=Y")</f>
        <v>#NAME?</v>
      </c>
      <c r="BR7" s="1" t="e">
        <f ca="1">_xll.BDH($C$3,"ACCOUNTS_PAYABLE_SEQ_GROWTH","FQ4 2014","FQ4 2014","Currency=INR","Period=FQ","BEST_FPERIOD_OVERRIDE=FQ","FILING_STATUS=OR","EQY_CONSOLIDATED=Y","Sort=A","Dates=H","DateFormat=P","Fill=—","Direction=H","UseDPDF=Y")</f>
        <v>#NAME?</v>
      </c>
      <c r="BS7" s="1" t="e">
        <f ca="1">_xll.BDH($C$3,"ST_DEBT_SEQUENTIAL_GROWTH","FQ4 2014","FQ4 2014","Currency=INR","Period=FQ","BEST_FPERIOD_OVERRIDE=FQ","FILING_STATUS=OR","EQY_CONSOLIDATED=Y","Sort=A","Dates=H","DateFormat=P","Fill=—","Direction=H","UseDPDF=Y")</f>
        <v>#NAME?</v>
      </c>
      <c r="BT7" s="1" t="e">
        <f ca="1">_xll.BDH($C$3,"TOTAL_DEBT_SEQUENTIAL_GROWTH","FQ4 2014","FQ4 2014","Currency=INR","Period=FQ","BEST_FPERIOD_OVERRIDE=FQ","FILING_STATUS=OR","EQY_CONSOLIDATED=Y","Sort=A","Dates=H","DateFormat=P","Fill=—","Direction=H","UseDPDF=Y")</f>
        <v>#NAME?</v>
      </c>
      <c r="BU7" s="1" t="e">
        <f ca="1">_xll.BDH($C$3,"TOTAL_EQUITY_SEQUENTIAL_GROWTH","FQ4 2014","FQ4 2014","Currency=INR","Period=FQ","BEST_FPERIOD_OVERRIDE=FQ","FILING_STATUS=OR","EQY_CONSOLIDATED=Y","Sort=A","Dates=H","DateFormat=P","Fill=—","Direction=H","UseDPDF=Y")</f>
        <v>#NAME?</v>
      </c>
      <c r="BV7" s="1" t="e">
        <f ca="1">_xll.BDH($C$3,"TOTAL_CAPITAL_SEQUENTIAL_GROWTH","FQ4 2014","FQ4 2014","Currency=INR","Period=FQ","BEST_FPERIOD_OVERRIDE=FQ","FILING_STATUS=OR","EQY_CONSOLIDATED=Y","Sort=A","Dates=H","DateFormat=P","Fill=—","Direction=H","UseDPDF=Y")</f>
        <v>#NAME?</v>
      </c>
      <c r="BW7" s="1" t="e">
        <f ca="1">_xll.BDH($C$3,"BPS_SEQUENTIAL_GROWTH","FQ4 2014","FQ4 2014","Currency=INR","Period=FQ","BEST_FPERIOD_OVERRIDE=FQ","FILING_STATUS=OR","EQY_CONSOLIDATED=Y","Sort=A","Dates=H","DateFormat=P","Fill=—","Direction=H","UseDPDF=Y")</f>
        <v>#NAME?</v>
      </c>
      <c r="BX7" s="1" t="e">
        <f ca="1">_xll.BDH($C$3,"CFO_SEQUENTIAL_GROWTH","FQ4 2014","FQ4 2014","Currency=INR","Period=FQ","BEST_FPERIOD_OVERRIDE=FQ","FILING_STATUS=OR","EQY_CONSOLIDATED=Y","Sort=A","Dates=H","DateFormat=P","Fill=—","Direction=H","UseDPDF=Y")</f>
        <v>#NAME?</v>
      </c>
      <c r="BY7" s="2" t="e">
        <f ca="1">_xll.BDH($C$3,"SHORT_AND_LONG_TERM_DEBT","FQ4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7" s="2" t="e">
        <f ca="1">_xll.BDH($C$3,"BS_ST_BORROW","FQ4 2014","FQ4 2014","Currency=INR","Period=FQ","BEST_FPERIOD_OVERRIDE=FQ","FILING_STATUS=OR","EQY_CONSOLIDATED=Y","SCALING_FORMAT=MLN","Sort=A","Dates=H","DateFormat=P","Fill=—","Direction=H","UseDPDF=Y")</f>
        <v>#NAME?</v>
      </c>
      <c r="CA7" s="2" t="e">
        <f ca="1">_xll.BDH($C$3,"BS_LT_BORROW","FQ4 2014","FQ4 2014","Currency=INR","Period=FQ","BEST_FPERIOD_OVERRIDE=FQ","FILING_STATUS=OR","EQY_CONSOLIDATED=Y","SCALING_FORMAT=MLN","Sort=A","Dates=H","DateFormat=P","Fill=—","Direction=H","UseDPDF=Y")</f>
        <v>#NAME?</v>
      </c>
      <c r="CB7" s="1" t="e">
        <f ca="1">_xll.BDH($C$3,"TOT_DEBT_TO_EBITDA","FQ4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7" s="1" t="e">
        <f ca="1">_xll.BDH($C$3,"NET_DEBT_TO_EBITDA","FQ4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7" s="1" t="e">
        <f ca="1">_xll.BDH($C$3,"TOTAL_DEBT_TO_EBIT","FQ4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7" s="1" t="e">
        <f ca="1">_xll.BDH($C$3,"NET_DEBT_TO_EBIT","FQ4 2014","FQ4 2014","Currency=INR","Period=FQ","BEST_FPERIOD_OVERRIDE=FQ","FILING_STATUS=OR","EQY_CONSOLIDATED=Y","FA_ADJUSTED=GAAP","Sort=A","Dates=H","DateFormat=P","Fill=—","Direction=H","UseDPDF=Y")</f>
        <v>#NAME?</v>
      </c>
      <c r="CF7" s="1" t="e">
        <f ca="1">_xll.BDH($C$3,"EBITDA_TO_INTEREST_EXPN","FQ4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7" s="1" t="e">
        <f ca="1">_xll.BDH($C$3,"COM_EQY_TO_TOT_ASSET","FQ4 2014","FQ4 2014","Currency=INR","Period=FQ","BEST_FPERIOD_OVERRIDE=FQ","FILING_STATUS=OR","EQY_CONSOLIDATED=Y","Sort=A","Dates=H","DateFormat=P","Fill=—","Direction=H","UseDPDF=Y")</f>
        <v>#NAME?</v>
      </c>
      <c r="CH7" s="1" t="e">
        <f ca="1">_xll.BDH($C$3,"LT_DEBT_TO_TOT_EQY","FQ4 2014","FQ4 2014","Currency=INR","Period=FQ","BEST_FPERIOD_OVERRIDE=FQ","FILING_STATUS=OR","EQY_CONSOLIDATED=Y","Sort=A","Dates=H","DateFormat=P","Fill=—","Direction=H","UseDPDF=Y")</f>
        <v>#NAME?</v>
      </c>
      <c r="CI7" s="1" t="e">
        <f ca="1">_xll.BDH($C$3,"LT_DEBT_TO_TOT_CAP","FQ4 2014","FQ4 2014","Currency=INR","Period=FQ","BEST_FPERIOD_OVERRIDE=FQ","FILING_STATUS=OR","EQY_CONSOLIDATED=Y","Sort=A","Dates=H","DateFormat=P","Fill=—","Direction=H","UseDPDF=Y")</f>
        <v>#NAME?</v>
      </c>
      <c r="CJ7" s="1" t="e">
        <f ca="1">_xll.BDH($C$3,"LT_DEBT_TO_TOT_ASSET","FQ4 2014","FQ4 2014","Currency=INR","Period=FQ","BEST_FPERIOD_OVERRIDE=FQ","FILING_STATUS=OR","EQY_CONSOLIDATED=Y","Sort=A","Dates=H","DateFormat=P","Fill=—","Direction=H","UseDPDF=Y")</f>
        <v>#NAME?</v>
      </c>
      <c r="CK7" s="1" t="e">
        <f ca="1">_xll.BDH($C$3,"TOT_DEBT_TO_TOT_EQY","FQ4 2014","FQ4 2014","Currency=INR","Period=FQ","BEST_FPERIOD_OVERRIDE=FQ","FILING_STATUS=OR","EQY_CONSOLIDATED=Y","Sort=A","Dates=H","DateFormat=P","Fill=—","Direction=H","UseDPDF=Y")</f>
        <v>#NAME?</v>
      </c>
      <c r="CL7" s="1" t="e">
        <f ca="1">_xll.BDH($C$3,"TOT_DEBT_TO_TOT_CAP","FQ4 2014","FQ4 2014","Currency=INR","Period=FQ","BEST_FPERIOD_OVERRIDE=FQ","FILING_STATUS=OR","EQY_CONSOLIDATED=Y","Sort=A","Dates=H","DateFormat=P","Fill=—","Direction=H","UseDPDF=Y")</f>
        <v>#NAME?</v>
      </c>
      <c r="CM7" s="1" t="e">
        <f ca="1">_xll.BDH($C$3,"TOT_DEBT_TO_TOT_ASSET","FQ4 2014","FQ4 2014","Currency=INR","Period=FQ","BEST_FPERIOD_OVERRIDE=FQ","FILING_STATUS=OR","EQY_CONSOLIDATED=Y","Sort=A","Dates=H","DateFormat=P","Fill=—","Direction=H","UseDPDF=Y")</f>
        <v>#NAME?</v>
      </c>
      <c r="CN7" s="1" t="e">
        <f ca="1">_xll.BDH($C$3,"NET_DEBT_TO_SHRHLDR_EQTY","FQ4 2014","FQ4 2014","Currency=INR","Period=FQ","BEST_FPERIOD_OVERRIDE=FQ","FILING_STATUS=OR","EQY_CONSOLIDATED=Y","Sort=A","Dates=H","DateFormat=P","Fill=—","Direction=H","UseDPDF=Y")</f>
        <v>#NAME?</v>
      </c>
      <c r="CO7" s="1" t="e">
        <f ca="1">_xll.BDH($C$3,"NET_DEBT_%_CAPITAL","FQ4 2014","FQ4 2014","Currency=INR","Period=FQ","BEST_FPERIOD_OVERRIDE=FQ","FILING_STATUS=OR","EQY_CONSOLIDATED=Y","Sort=A","Dates=H","DateFormat=P","Fill=—","Direction=H","UseDPDF=Y")</f>
        <v>#NAME?</v>
      </c>
      <c r="CP7" s="2" t="e">
        <f ca="1">_xll.BDH($C$3,"EBITDA","FQ4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7" s="2" t="e">
        <f ca="1">_xll.BDH($C$3,"EBITDA_AFTER_CAPEX","FQ4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7" s="2" t="e">
        <f ca="1">_xll.BDH($C$3,"IS_OPER_INC","FQ4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7" s="1" t="e">
        <f ca="1">_xll.BDH($C$3,"CASH_RATIO","FQ4 2014","FQ4 2014","Currency=INR","Period=FQ","BEST_FPERIOD_OVERRIDE=FQ","FILING_STATUS=OR","EQY_CONSOLIDATED=Y","Sort=A","Dates=H","DateFormat=P","Fill=—","Direction=H","UseDPDF=Y")</f>
        <v>#NAME?</v>
      </c>
      <c r="CT7" s="1" t="e">
        <f ca="1">_xll.BDH($C$3,"CUR_RATIO","FQ4 2014","FQ4 2014","Currency=INR","Period=FQ","BEST_FPERIOD_OVERRIDE=FQ","FILING_STATUS=OR","EQY_CONSOLIDATED=Y","Sort=A","Dates=H","DateFormat=P","Fill=—","Direction=H","UseDPDF=Y")</f>
        <v>#NAME?</v>
      </c>
      <c r="CU7" s="1" t="e">
        <f ca="1">_xll.BDH($C$3,"QUICK_RATIO","FQ4 2014","FQ4 2014","Currency=INR","Period=FQ","BEST_FPERIOD_OVERRIDE=FQ","FILING_STATUS=OR","EQY_CONSOLIDATED=Y","Sort=A","Dates=H","DateFormat=P","Fill=—","Direction=H","UseDPDF=Y")</f>
        <v>#NAME?</v>
      </c>
      <c r="CV7" s="1" t="e">
        <f ca="1">_xll.BDH($C$3,"ALTMAN_Z_SCORE","FQ4 2014","FQ4 2014","Currency=INR","Period=FQ","BEST_FPERIOD_OVERRIDE=FQ","FILING_STATUS=OR","EQY_CONSOLIDATED=Y","Sort=A","Dates=H","DateFormat=P","Fill=—","Direction=H","UseDPDF=Y")</f>
        <v>#NAME?</v>
      </c>
      <c r="CW7" s="3" t="e">
        <f ca="1">_xll.BDH($C$3,"ACCT_RCV_TURN","FQ4 2014","FQ4 2014","Currency=INR","Period=FQ","BEST_FPERIOD_OVERRIDE=FQ","FILING_STATUS=OR","EQY_CONSOLIDATED=Y","FA_ADJUSTED=GAAP","Sort=A","Dates=H","DateFormat=P","Fill=—","Direction=H","UseDPDF=Y")</f>
        <v>#NAME?</v>
      </c>
      <c r="CX7" s="1" t="e">
        <f ca="1">_xll.BDH($C$3,"ACCT_RCV_DAYS","FQ4 2014","FQ4 2014","Currency=INR","Period=FQ","BEST_FPERIOD_OVERRIDE=FQ","FILING_STATUS=OR","EQY_CONSOLIDATED=Y","FA_ADJUSTED=GAAP","Sort=A","Dates=H","DateFormat=P","Fill=—","Direction=H","UseDPDF=Y")</f>
        <v>#NAME?</v>
      </c>
      <c r="CY7" s="3" t="e">
        <f ca="1">_xll.BDH($C$3,"INVENT_TURN","FQ4 2014","FQ4 2014","Currency=INR","Period=FQ","BEST_FPERIOD_OVERRIDE=FQ","FILING_STATUS=OR","EQY_CONSOLIDATED=Y","FA_ADJUSTED=GAAP","Sort=A","Dates=H","DateFormat=P","Fill=—","Direction=H","UseDPDF=Y")</f>
        <v>#NAME?</v>
      </c>
      <c r="CZ7" s="1" t="e">
        <f ca="1">_xll.BDH($C$3,"INVENT_DAYS","FQ4 2014","FQ4 2014","Currency=INR","Period=FQ","BEST_FPERIOD_OVERRIDE=FQ","FILING_STATUS=OR","EQY_CONSOLIDATED=Y","FA_ADJUSTED=GAAP","Sort=A","Dates=H","DateFormat=P","Fill=—","Direction=H","UseDPDF=Y")</f>
        <v>#NAME?</v>
      </c>
      <c r="DA7" s="3" t="e">
        <f ca="1">_xll.BDH($C$3,"ACCOUNTS_PAYABLE_TURNOVER","FQ4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7" s="1" t="e">
        <f ca="1">_xll.BDH($C$3,"ACCOUNTS_PAYABLE_TURNOVER_DAYS","FQ4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7" s="3" t="e">
        <f ca="1">_xll.BDH($C$3,"CASH_CONVERSION_CYCLE","FQ4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7" s="3" t="e">
        <f ca="1">_xll.BDH($C$3,"INV_TO_CASH_DAYS","FQ4 2014","FQ4 2014","Currency=INR","Period=FQ","BEST_FPERIOD_OVERRIDE=FQ","FILING_STATUS=OR","EQY_CONSOLIDATED=Y","FA_ADJUSTED=GAAP","Sort=A","Dates=H","DateFormat=P","Fill=—","Direction=H","UseDPDF=Y")</f>
        <v>#NAME?</v>
      </c>
      <c r="DE7" s="4" t="e">
        <f ca="1">_xll.BDH($C$3,"BS_INVENTORIES","FQ4 2014","FQ4 2014","Currency=INR","Period=FQ","BEST_FPERIOD_OVERRIDE=FQ","FILING_STATUS=OR","EQY_CONSOLIDATED=Y","SCALING_FORMAT=MLN","Sort=A","Dates=H","DateFormat=P","Fill=—","Direction=H","UseDPDF=Y")</f>
        <v>#NAME?</v>
      </c>
      <c r="DF7" s="2" t="e">
        <f ca="1">_xll.BDH($C$3,"INVTRY_RAW_MATERIALS","FQ4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7" s="2" t="e">
        <f ca="1">_xll.BDH($C$3,"INVTRY_IN_PROGRESS","FQ4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7" s="2" t="e">
        <f ca="1">_xll.BDH($C$3,"INVTRY_FINISHED_GOODS","FQ4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7" s="2" t="e">
        <f ca="1">_xll.BDH($C$3,"BS_OTHER_INV","FQ4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8" spans="1:113" x14ac:dyDescent="0.3">
      <c r="A8" s="6"/>
      <c r="B8" s="6"/>
      <c r="C8" s="6"/>
      <c r="D8" s="6" t="s">
        <v>8</v>
      </c>
      <c r="E8" t="s">
        <v>3</v>
      </c>
      <c r="F8" t="e">
        <f ca="1">_xll.BDH($C$3,"RETURN_COM_EQY","FY 2015","FY 2015","Currency=INR","Period=FY","BEST_FPERIOD_OVERRIDE=FY","FILING_STATUS=OR","EQY_CONSOLIDATED=Y","FA_ADJUSTED=GAAP","Sort=A","Dates=H","DateFormat=P","Fill=—","Direction=H","UseDPDF=Y")</f>
        <v>#NAME?</v>
      </c>
      <c r="G8" t="e">
        <f ca="1">_xll.BDH($C$3,"RETURN_ON_ASSET","FY 2015","FY 2015","Currency=INR","Period=FY","BEST_FPERIOD_OVERRIDE=FY","FILING_STATUS=OR","EQY_CONSOLIDATED=Y","FA_ADJUSTED=GAAP","Sort=A","Dates=H","DateFormat=P","Fill=—","Direction=H","UseDPDF=Y")</f>
        <v>#NAME?</v>
      </c>
      <c r="H8" t="e">
        <f ca="1">_xll.BDH($C$3,"RETURN_ON_CAP","FY 2015","FY 2015","Currency=INR","Period=FY","BEST_FPERIOD_OVERRIDE=FY","FILING_STATUS=OR","EQY_CONSOLIDATED=Y","FA_ADJUSTED=GAAP","Sort=A","Dates=H","DateFormat=P","Fill=—","Direction=H","UseDPDF=Y")</f>
        <v>#NAME?</v>
      </c>
      <c r="I8" t="e">
        <f ca="1">_xll.BDH($C$3,"RETURN_ON_INV_CAPITAL","FY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8" t="e">
        <f ca="1">_xll.BDH($C$3,"EBITDA_TO_REVENUE","FY 2015","FY 2015","Currency=INR","Period=FY","BEST_FPERIOD_OVERRIDE=FY","FILING_STATUS=OR","EQY_CONSOLIDATED=Y","FA_ADJUSTED=GAAP","Sort=A","Dates=H","DateFormat=P","Fill=—","Direction=H","UseDPDF=Y")</f>
        <v>#NAME?</v>
      </c>
      <c r="K8" t="e">
        <f ca="1">_xll.BDH($C$3,"OPER_MARGIN","FY 2015","FY 2015","Currency=INR","Period=FY","BEST_FPERIOD_OVERRIDE=FY","FILING_STATUS=OR","EQY_CONSOLIDATED=Y","FA_ADJUSTED=GAAP","Sort=A","Dates=H","DateFormat=P","Fill=—","Direction=H","UseDPDF=Y")</f>
        <v>#NAME?</v>
      </c>
      <c r="L8" t="e">
        <f ca="1">_xll.BDH($C$3,"INCREMENTAL_OPERATING_MARGIN","FY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8" t="e">
        <f ca="1">_xll.BDH($C$3,"PRETAX_INC_TO_NET_SALES","FY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8" t="e">
        <f ca="1">_xll.BDH($C$3,"INC_BEF_XO_ITEMS_TO_NET_SALES","FY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8" t="e">
        <f ca="1">_xll.BDH($C$3,"PROF_MARGIN","FY 2015","FY 2015","Currency=INR","Period=FY","BEST_FPERIOD_OVERRIDE=FY","FILING_STATUS=OR","EQY_CONSOLIDATED=Y","FA_ADJUSTED=GAAP","Sort=A","Dates=H","DateFormat=P","Fill=—","Direction=H","UseDPDF=Y")</f>
        <v>#NAME?</v>
      </c>
      <c r="P8" t="e">
        <f ca="1">_xll.BDH($C$3,"NET_INCOME_TO_COMMON_MARGIN","FY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8" t="e">
        <f ca="1">_xll.BDH($C$3,"EFF_TAX_RATE","FY 2015","FY 2015","Currency=INR","Period=FY","BEST_FPERIOD_OVERRIDE=FY","FILING_STATUS=OR","EQY_CONSOLIDATED=Y","FA_ADJUSTED=GAAP","Sort=A","Dates=H","DateFormat=P","Fill=—","Direction=H","UseDPDF=Y")</f>
        <v>#NAME?</v>
      </c>
      <c r="R8" t="e">
        <f ca="1">_xll.BDH($C$3,"DVD_PAYOUT_RATIO","FY 2015","FY 2015","Currency=INR","Period=FY","BEST_FPERIOD_OVERRIDE=FY","FILING_STATUS=OR","EQY_CONSOLIDATED=Y","FA_ADJUSTED=GAAP","Sort=A","Dates=H","DateFormat=P","Fill=—","Direction=H","UseDPDF=Y")</f>
        <v>#NAME?</v>
      </c>
      <c r="S8" t="e">
        <f ca="1">_xll.BDH($C$3,"SUSTAIN_GROWTH_RT","FY 2015","FY 2015","Currency=INR","Period=FY","BEST_FPERIOD_OVERRIDE=FY","FILING_STATUS=OR","EQY_CONSOLIDATED=Y","FA_ADJUSTED=GAAP","Sort=A","Dates=H","DateFormat=P","Fill=—","Direction=H","UseDPDF=Y")</f>
        <v>#NAME?</v>
      </c>
      <c r="T8" s="1" t="e">
        <f ca="1">_xll.BDH($C$3,"SALES_GROWTH","FY 2015","FY 2015","Currency=INR","Period=FY","BEST_FPERIOD_OVERRIDE=FY","FILING_STATUS=OR","EQY_CONSOLIDATED=Y","FA_ADJUSTED=GAAP","Sort=A","Dates=H","DateFormat=P","Fill=—","Direction=H","UseDPDF=Y")</f>
        <v>#NAME?</v>
      </c>
      <c r="U8" s="1" t="e">
        <f ca="1">_xll.BDH($C$3,"EBITDA_GROWTH","FY 2015","FY 2015","Currency=INR","Period=FY","BEST_FPERIOD_OVERRIDE=FY","FILING_STATUS=OR","EQY_CONSOLIDATED=Y","FA_ADJUSTED=GAAP","Sort=A","Dates=H","DateFormat=P","Fill=—","Direction=H","UseDPDF=Y")</f>
        <v>#NAME?</v>
      </c>
      <c r="V8" s="1" t="e">
        <f ca="1">_xll.BDH($C$3,"OPER_INC_GROWTH","FY 2015","FY 2015","Currency=INR","Period=FY","BEST_FPERIOD_OVERRIDE=FY","FILING_STATUS=OR","EQY_CONSOLIDATED=Y","FA_ADJUSTED=GAAP","Sort=A","Dates=H","DateFormat=P","Fill=—","Direction=H","UseDPDF=Y")</f>
        <v>#NAME?</v>
      </c>
      <c r="W8" s="1" t="e">
        <f ca="1">_xll.BDH($C$3,"EARN_FOR_COM_GROWTH","FY 2015","FY 2015","Currency=INR","Period=FY","BEST_FPERIOD_OVERRIDE=FY","FILING_STATUS=OR","EQY_CONSOLIDATED=Y","FA_ADJUSTED=GAAP","Sort=A","Dates=H","DateFormat=P","Fill=—","Direction=H","UseDPDF=Y")</f>
        <v>#NAME?</v>
      </c>
      <c r="X8" s="1" t="e">
        <f ca="1">_xll.BDH($C$3,"DILUTED_EPS_AFT_XO_ITEMS_GROWTH","FY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8" s="1" t="e">
        <f ca="1">_xll.BDH($C$3,"DIVIDEND_PER_SHARE_1_YEAR_GROWTH","FY 2015","FY 2015","Currency=INR","Period=FY","BEST_FPERIOD_OVERRIDE=FY","FILING_STATUS=OR","EQY_CONSOLIDATED=Y","Sort=A","Dates=H","DateFormat=P","Fill=—","Direction=H","UseDPDF=Y")</f>
        <v>#NAME?</v>
      </c>
      <c r="Z8" s="1" t="e">
        <f ca="1">_xll.BDH($C$3,"ACCOUNTS_RECEIVABLE_GROWTH","FY 2015","FY 2015","Currency=INR","Period=FY","BEST_FPERIOD_OVERRIDE=FY","FILING_STATUS=OR","EQY_CONSOLIDATED=Y","Sort=A","Dates=H","DateFormat=P","Fill=—","Direction=H","UseDPDF=Y")</f>
        <v>#NAME?</v>
      </c>
      <c r="AA8" s="1" t="e">
        <f ca="1">_xll.BDH($C$3,"INVENTORY_GROWTH","FY 2015","FY 2015","Currency=INR","Period=FY","BEST_FPERIOD_OVERRIDE=FY","FILING_STATUS=OR","EQY_CONSOLIDATED=Y","Sort=A","Dates=H","DateFormat=P","Fill=—","Direction=H","UseDPDF=Y")</f>
        <v>#NAME?</v>
      </c>
      <c r="AB8" s="1" t="e">
        <f ca="1">_xll.BDH($C$3,"NET_FIXED_ASSETS_1_YEAR_GROWTH","FY 2015","FY 2015","Currency=INR","Period=FY","BEST_FPERIOD_OVERRIDE=FY","FILING_STATUS=OR","EQY_CONSOLIDATED=Y","Sort=A","Dates=H","DateFormat=P","Fill=—","Direction=H","UseDPDF=Y")</f>
        <v>#NAME?</v>
      </c>
      <c r="AC8" s="1" t="e">
        <f ca="1">_xll.BDH($C$3,"ASSET_GROWTH","FY 2015","FY 2015","Currency=INR","Period=FY","BEST_FPERIOD_OVERRIDE=FY","FILING_STATUS=OR","EQY_CONSOLIDATED=Y","Sort=A","Dates=H","DateFormat=P","Fill=—","Direction=H","UseDPDF=Y")</f>
        <v>#NAME?</v>
      </c>
      <c r="AD8" s="1" t="e">
        <f ca="1">_xll.BDH($C$3,"MODIFIED_WORK_CAP_GROWTH","FY 2015","FY 2015","Currency=INR","Period=FY","BEST_FPERIOD_OVERRIDE=FY","FILING_STATUS=OR","EQY_CONSOLIDATED=Y","Sort=A","Dates=H","DateFormat=P","Fill=—","Direction=H","UseDPDF=Y")</f>
        <v>#NAME?</v>
      </c>
      <c r="AE8" s="1" t="e">
        <f ca="1">_xll.BDH($C$3,"WORK_CAP_GROWTH","FY 2015","FY 2015","Currency=INR","Period=FY","BEST_FPERIOD_OVERRIDE=FY","FILING_STATUS=OR","EQY_CONSOLIDATED=Y","Sort=A","Dates=H","DateFormat=P","Fill=—","Direction=H","UseDPDF=Y")</f>
        <v>#NAME?</v>
      </c>
      <c r="AF8" s="1" t="e">
        <f ca="1">_xll.BDH($C$3,"ACCOUNTS_PAYABLE_GROWTH_1YR","FY 2015","FY 2015","Currency=INR","Period=FY","BEST_FPERIOD_OVERRIDE=FY","FILING_STATUS=OR","EQY_CONSOLIDATED=Y","Sort=A","Dates=H","DateFormat=P","Fill=—","Direction=H","UseDPDF=Y")</f>
        <v>#NAME?</v>
      </c>
      <c r="AG8" s="1" t="e">
        <f ca="1">_xll.BDH($C$3,"SHORT_TERM_DEBT_1_YEAR_GROWTH","FY 2015","FY 2015","Currency=INR","Period=FY","BEST_FPERIOD_OVERRIDE=FY","FILING_STATUS=OR","EQY_CONSOLIDATED=Y","Sort=A","Dates=H","DateFormat=P","Fill=—","Direction=H","UseDPDF=Y")</f>
        <v>#NAME?</v>
      </c>
      <c r="AH8" s="1" t="e">
        <f ca="1">_xll.BDH($C$3,"TOTAL_DEBT_1_YEAR_GROWTH","FY 2015","FY 2015","Currency=INR","Period=FY","BEST_FPERIOD_OVERRIDE=FY","FILING_STATUS=OR","EQY_CONSOLIDATED=Y","Sort=A","Dates=H","DateFormat=P","Fill=—","Direction=H","UseDPDF=Y")</f>
        <v>#NAME?</v>
      </c>
      <c r="AI8" s="1" t="e">
        <f ca="1">_xll.BDH($C$3,"TOTAL_EQUITY_1_YEAR_GROWTH","FY 2015","FY 2015","Currency=INR","Period=FY","BEST_FPERIOD_OVERRIDE=FY","FILING_STATUS=OR","EQY_CONSOLIDATED=Y","Sort=A","Dates=H","DateFormat=P","Fill=—","Direction=H","UseDPDF=Y")</f>
        <v>#NAME?</v>
      </c>
      <c r="AJ8" s="1" t="e">
        <f ca="1">_xll.BDH($C$3,"GROWTH_IN_CAP","FY 2015","FY 2015","Currency=INR","Period=FY","BEST_FPERIOD_OVERRIDE=FY","FILING_STATUS=OR","EQY_CONSOLIDATED=Y","Sort=A","Dates=H","DateFormat=P","Fill=—","Direction=H","UseDPDF=Y")</f>
        <v>#NAME?</v>
      </c>
      <c r="AK8" s="1" t="e">
        <f ca="1">_xll.BDH($C$3,"BVPS_GROWTH","FY 2015","FY 2015","Currency=INR","Period=FY","BEST_FPERIOD_OVERRIDE=FY","FILING_STATUS=OR","EQY_CONSOLIDATED=Y","Sort=A","Dates=H","DateFormat=P","Fill=—","Direction=H","UseDPDF=Y")</f>
        <v>#NAME?</v>
      </c>
      <c r="AL8" s="1" t="e">
        <f ca="1">_xll.BDH($C$3,"CASH_FLOW_GROWTH","FY 2015","FY 2015","Currency=INR","Period=FY","BEST_FPERIOD_OVERRIDE=FY","FILING_STATUS=OR","EQY_CONSOLIDATED=Y","Sort=A","Dates=H","DateFormat=P","Fill=—","Direction=H","UseDPDF=Y")</f>
        <v>#NAME?</v>
      </c>
      <c r="AM8" s="1" t="e">
        <f ca="1">_xll.BDH($C$3,"GEO_GROW_NET_SALES","FY 2015","FY 2015","Currency=INR","Period=FY","BEST_FPERIOD_OVERRIDE=FY","FILING_STATUS=OR","EQY_CONSOLIDATED=Y","FA_ADJUSTED=GAAP","Sort=A","Dates=H","DateFormat=P","Fill=—","Direction=H","UseDPDF=Y")</f>
        <v>#NAME?</v>
      </c>
      <c r="AN8" s="1" t="e">
        <f ca="1">_xll.BDH($C$3,"GEO_GROW_EBITDA","FY 2015","FY 2015","Currency=INR","Period=FY","BEST_FPERIOD_OVERRIDE=FY","FILING_STATUS=OR","EQY_CONSOLIDATED=Y","FA_ADJUSTED=GAAP","Sort=A","Dates=H","DateFormat=P","Fill=—","Direction=H","UseDPDF=Y")</f>
        <v>#NAME?</v>
      </c>
      <c r="AO8" s="1" t="e">
        <f ca="1">_xll.BDH($C$3,"GEO_GROW_OPER_INC","FY 2015","FY 2015","Currency=INR","Period=FY","BEST_FPERIOD_OVERRIDE=FY","FILING_STATUS=OR","EQY_CONSOLIDATED=Y","FA_ADJUSTED=GAAP","Sort=A","Dates=H","DateFormat=P","Fill=—","Direction=H","UseDPDF=Y")</f>
        <v>#NAME?</v>
      </c>
      <c r="AP8" s="1" t="e">
        <f ca="1">_xll.BDH($C$3,"NET_INCOME_TO_COMMON_5_YR_GROWTH","FY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8" s="1" t="e">
        <f ca="1">_xll.BDH($C$3,"5Y_GEO_GROWTH_DILUTED_EPS","FY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8" s="1" t="e">
        <f ca="1">_xll.BDH($C$3,"GEO_GROW_DVD_PER_SH","FY 2015","FY 2015","Currency=INR","Period=FY","BEST_FPERIOD_OVERRIDE=FY","FILING_STATUS=OR","EQY_CONSOLIDATED=Y","Sort=A","Dates=H","DateFormat=P","Fill=—","Direction=H","UseDPDF=Y")</f>
        <v>#NAME?</v>
      </c>
      <c r="AS8" s="1" t="e">
        <f ca="1">_xll.BDH($C$3,"ACCOUNTS_RECEIVABLE_5_YR_GROWTH","FY 2015","FY 2015","Currency=INR","Period=FY","BEST_FPERIOD_OVERRIDE=FY","FILING_STATUS=OR","EQY_CONSOLIDATED=Y","Sort=A","Dates=H","DateFormat=P","Fill=—","Direction=H","UseDPDF=Y")</f>
        <v>#NAME?</v>
      </c>
      <c r="AT8" s="1" t="e">
        <f ca="1">_xll.BDH($C$3,"INVENTORY_5_YEAR_GROWTH","FY 2015","FY 2015","Currency=INR","Period=FY","BEST_FPERIOD_OVERRIDE=FY","FILING_STATUS=OR","EQY_CONSOLIDATED=Y","Sort=A","Dates=H","DateFormat=P","Fill=—","Direction=H","UseDPDF=Y")</f>
        <v>#NAME?</v>
      </c>
      <c r="AU8" s="1" t="e">
        <f ca="1">_xll.BDH($C$3,"NET_FIXED_ASSETS_5_YEAR_GROWTH","FY 2015","FY 2015","Currency=INR","Period=FY","BEST_FPERIOD_OVERRIDE=FY","FILING_STATUS=OR","EQY_CONSOLIDATED=Y","Sort=A","Dates=H","DateFormat=P","Fill=—","Direction=H","UseDPDF=Y")</f>
        <v>#NAME?</v>
      </c>
      <c r="AV8" s="1" t="e">
        <f ca="1">_xll.BDH($C$3,"GEO_GROW_TOT_ASSET","FY 2015","FY 2015","Currency=INR","Period=FY","BEST_FPERIOD_OVERRIDE=FY","FILING_STATUS=OR","EQY_CONSOLIDATED=Y","Sort=A","Dates=H","DateFormat=P","Fill=—","Direction=H","UseDPDF=Y")</f>
        <v>#NAME?</v>
      </c>
      <c r="AW8" s="1" t="e">
        <f ca="1">_xll.BDH($C$3,"MODIFIED_WORKING_CPTL_5YR_GRWTH","FY 2015","FY 2015","Currency=INR","Period=FY","BEST_FPERIOD_OVERRIDE=FY","FILING_STATUS=OR","EQY_CONSOLIDATED=Y","Sort=A","Dates=H","DateFormat=P","Fill=—","Direction=H","UseDPDF=Y")</f>
        <v>#NAME?</v>
      </c>
      <c r="AX8" s="1" t="e">
        <f ca="1">_xll.BDH($C$3,"WORKING_CAPITAL_5_YEAR_GROWTH","FY 2015","FY 2015","Currency=INR","Period=FY","BEST_FPERIOD_OVERRIDE=FY","FILING_STATUS=OR","EQY_CONSOLIDATED=Y","Sort=A","Dates=H","DateFormat=P","Fill=—","Direction=H","UseDPDF=Y")</f>
        <v>#NAME?</v>
      </c>
      <c r="AY8" s="1" t="e">
        <f ca="1">_xll.BDH($C$3,"ACCOUNTS_PAYABLE_5_YEAR_GROWTH","FY 2015","FY 2015","Currency=INR","Period=FY","BEST_FPERIOD_OVERRIDE=FY","FILING_STATUS=OR","EQY_CONSOLIDATED=Y","Sort=A","Dates=H","DateFormat=P","Fill=—","Direction=H","UseDPDF=Y")</f>
        <v>#NAME?</v>
      </c>
      <c r="AZ8" s="1" t="e">
        <f ca="1">_xll.BDH($C$3,"SHORT_TERM_DEBT_5_YEAR_GROWTH","FY 2015","FY 2015","Currency=INR","Period=FY","BEST_FPERIOD_OVERRIDE=FY","FILING_STATUS=OR","EQY_CONSOLIDATED=Y","Sort=A","Dates=H","DateFormat=P","Fill=—","Direction=H","UseDPDF=Y")</f>
        <v>#NAME?</v>
      </c>
      <c r="BA8" s="1" t="e">
        <f ca="1">_xll.BDH($C$3,"TOTAL_DEBT_5_YEAR_GROWTH","FY 2015","FY 2015","Currency=INR","Period=FY","BEST_FPERIOD_OVERRIDE=FY","FILING_STATUS=OR","EQY_CONSOLIDATED=Y","Sort=A","Dates=H","DateFormat=P","Fill=—","Direction=H","UseDPDF=Y")</f>
        <v>#NAME?</v>
      </c>
      <c r="BB8" s="1" t="e">
        <f ca="1">_xll.BDH($C$3,"GEO_GROW_TOT_SHRHLDR_EQY","FY 2015","FY 2015","Currency=INR","Period=FY","BEST_FPERIOD_OVERRIDE=FY","FILING_STATUS=OR","EQY_CONSOLIDATED=Y","Sort=A","Dates=H","DateFormat=P","Fill=—","Direction=H","UseDPDF=Y")</f>
        <v>#NAME?</v>
      </c>
      <c r="BC8" s="1" t="e">
        <f ca="1">_xll.BDH($C$3,"TOTAL_CAPITAL_5_YEAR_GROWTH","FY 2015","FY 2015","Currency=INR","Period=FY","BEST_FPERIOD_OVERRIDE=FY","FILING_STATUS=OR","EQY_CONSOLIDATED=Y","Sort=A","Dates=H","DateFormat=P","Fill=—","Direction=H","UseDPDF=Y")</f>
        <v>#NAME?</v>
      </c>
      <c r="BD8" s="1" t="e">
        <f ca="1">_xll.BDH($C$3,"GEO_GROW_BOOK_VAL","FY 2015","FY 2015","Currency=INR","Period=FY","BEST_FPERIOD_OVERRIDE=FY","FILING_STATUS=OR","EQY_CONSOLIDATED=Y","Sort=A","Dates=H","DateFormat=P","Fill=—","Direction=H","UseDPDF=Y")</f>
        <v>#NAME?</v>
      </c>
      <c r="BE8" s="1" t="e">
        <f ca="1">_xll.BDH($C$3,"GEO_GROW_CASH_OPER_ACT","FY 2015","FY 2015","Currency=INR","Period=FY","BEST_FPERIOD_OVERRIDE=FY","FILING_STATUS=OR","EQY_CONSOLIDATED=Y","Sort=A","Dates=H","DateFormat=P","Fill=—","Direction=H","UseDPDF=Y")</f>
        <v>#NAME?</v>
      </c>
      <c r="BF8" s="1" t="e">
        <f ca="1">_xll.BDH($C$3,"REVENUE_SEQUENTIAL_GROWTH","FY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8" s="1" t="e">
        <f ca="1">_xll.BDH($C$3,"EBITDA_SEQUENTIAL_GROWTH","FY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8" s="1" t="e">
        <f ca="1">_xll.BDH($C$3,"OPERATING_INCOME_SEQ_GROWTH","FY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8" s="1" t="e">
        <f ca="1">_xll.BDH($C$3,"NET_INCOME_TO_COMMON_SEQ_GROWTH","FY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8" s="1" t="e">
        <f ca="1">_xll.BDH($C$3,"EPS_DILUTED_SEQUENTIAL_GROWTH","FY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8" s="1" t="e">
        <f ca="1">_xll.BDH($C$3,"DPS_SEQUENTIAL_GROWTH","FY 2015","FY 2015","Currency=INR","Period=FY","BEST_FPERIOD_OVERRIDE=FY","FILING_STATUS=OR","EQY_CONSOLIDATED=Y","Sort=A","Dates=H","DateFormat=P","Fill=—","Direction=H","UseDPDF=Y")</f>
        <v>#NAME?</v>
      </c>
      <c r="BL8" s="1" t="e">
        <f ca="1">_xll.BDH($C$3,"ACCOUNTS_RECEIVABLE_SEQ_GROWTH","FY 2015","FY 2015","Currency=INR","Period=FY","BEST_FPERIOD_OVERRIDE=FY","FILING_STATUS=OR","EQY_CONSOLIDATED=Y","Sort=A","Dates=H","DateFormat=P","Fill=—","Direction=H","UseDPDF=Y")</f>
        <v>#NAME?</v>
      </c>
      <c r="BM8" s="1" t="e">
        <f ca="1">_xll.BDH($C$3,"INVENTORY_SEQUENTIAL_GROWTH","FY 2015","FY 2015","Currency=INR","Period=FY","BEST_FPERIOD_OVERRIDE=FY","FILING_STATUS=OR","EQY_CONSOLIDATED=Y","Sort=A","Dates=H","DateFormat=P","Fill=—","Direction=H","UseDPDF=Y")</f>
        <v>#NAME?</v>
      </c>
      <c r="BN8" s="1" t="e">
        <f ca="1">_xll.BDH($C$3,"FIXED_ASSETS_SEQUENTIAL_GROWTH","FY 2015","FY 2015","Currency=INR","Period=FY","BEST_FPERIOD_OVERRIDE=FY","FILING_STATUS=OR","EQY_CONSOLIDATED=Y","Sort=A","Dates=H","DateFormat=P","Fill=—","Direction=H","UseDPDF=Y")</f>
        <v>#NAME?</v>
      </c>
      <c r="BO8" s="1" t="e">
        <f ca="1">_xll.BDH($C$3,"TOTAL_ASSETS_SEQUENTIAL_GROWTH","FY 2015","FY 2015","Currency=INR","Period=FY","BEST_FPERIOD_OVERRIDE=FY","FILING_STATUS=OR","EQY_CONSOLIDATED=Y","Sort=A","Dates=H","DateFormat=P","Fill=—","Direction=H","UseDPDF=Y")</f>
        <v>#NAME?</v>
      </c>
      <c r="BP8" s="1" t="e">
        <f ca="1">_xll.BDH($C$3,"MODIFIED_WORKING_CPTL_SEQ_GRWTH","FY 2015","FY 2015","Currency=INR","Period=FY","BEST_FPERIOD_OVERRIDE=FY","FILING_STATUS=OR","EQY_CONSOLIDATED=Y","Sort=A","Dates=H","DateFormat=P","Fill=—","Direction=H","UseDPDF=Y")</f>
        <v>#NAME?</v>
      </c>
      <c r="BQ8" s="1" t="e">
        <f ca="1">_xll.BDH($C$3,"WORKING_CAPITAL_SEQ_GROWTH","FY 2015","FY 2015","Currency=INR","Period=FY","BEST_FPERIOD_OVERRIDE=FY","FILING_STATUS=OR","EQY_CONSOLIDATED=Y","Sort=A","Dates=H","DateFormat=P","Fill=—","Direction=H","UseDPDF=Y")</f>
        <v>#NAME?</v>
      </c>
      <c r="BR8" s="1" t="e">
        <f ca="1">_xll.BDH($C$3,"ACCOUNTS_PAYABLE_SEQ_GROWTH","FY 2015","FY 2015","Currency=INR","Period=FY","BEST_FPERIOD_OVERRIDE=FY","FILING_STATUS=OR","EQY_CONSOLIDATED=Y","Sort=A","Dates=H","DateFormat=P","Fill=—","Direction=H","UseDPDF=Y")</f>
        <v>#NAME?</v>
      </c>
      <c r="BS8" s="1" t="e">
        <f ca="1">_xll.BDH($C$3,"ST_DEBT_SEQUENTIAL_GROWTH","FY 2015","FY 2015","Currency=INR","Period=FY","BEST_FPERIOD_OVERRIDE=FY","FILING_STATUS=OR","EQY_CONSOLIDATED=Y","Sort=A","Dates=H","DateFormat=P","Fill=—","Direction=H","UseDPDF=Y")</f>
        <v>#NAME?</v>
      </c>
      <c r="BT8" s="1" t="e">
        <f ca="1">_xll.BDH($C$3,"TOTAL_DEBT_SEQUENTIAL_GROWTH","FY 2015","FY 2015","Currency=INR","Period=FY","BEST_FPERIOD_OVERRIDE=FY","FILING_STATUS=OR","EQY_CONSOLIDATED=Y","Sort=A","Dates=H","DateFormat=P","Fill=—","Direction=H","UseDPDF=Y")</f>
        <v>#NAME?</v>
      </c>
      <c r="BU8" s="1" t="e">
        <f ca="1">_xll.BDH($C$3,"TOTAL_EQUITY_SEQUENTIAL_GROWTH","FY 2015","FY 2015","Currency=INR","Period=FY","BEST_FPERIOD_OVERRIDE=FY","FILING_STATUS=OR","EQY_CONSOLIDATED=Y","Sort=A","Dates=H","DateFormat=P","Fill=—","Direction=H","UseDPDF=Y")</f>
        <v>#NAME?</v>
      </c>
      <c r="BV8" s="1" t="e">
        <f ca="1">_xll.BDH($C$3,"TOTAL_CAPITAL_SEQUENTIAL_GROWTH","FY 2015","FY 2015","Currency=INR","Period=FY","BEST_FPERIOD_OVERRIDE=FY","FILING_STATUS=OR","EQY_CONSOLIDATED=Y","Sort=A","Dates=H","DateFormat=P","Fill=—","Direction=H","UseDPDF=Y")</f>
        <v>#NAME?</v>
      </c>
      <c r="BW8" s="1" t="e">
        <f ca="1">_xll.BDH($C$3,"BPS_SEQUENTIAL_GROWTH","FY 2015","FY 2015","Currency=INR","Period=FY","BEST_FPERIOD_OVERRIDE=FY","FILING_STATUS=OR","EQY_CONSOLIDATED=Y","Sort=A","Dates=H","DateFormat=P","Fill=—","Direction=H","UseDPDF=Y")</f>
        <v>#NAME?</v>
      </c>
      <c r="BX8" s="1" t="e">
        <f ca="1">_xll.BDH($C$3,"CFO_SEQUENTIAL_GROWTH","FY 2015","FY 2015","Currency=INR","Period=FY","BEST_FPERIOD_OVERRIDE=FY","FILING_STATUS=OR","EQY_CONSOLIDATED=Y","Sort=A","Dates=H","DateFormat=P","Fill=—","Direction=H","UseDPDF=Y")</f>
        <v>#NAME?</v>
      </c>
      <c r="BY8" s="2" t="e">
        <f ca="1">_xll.BDH($C$3,"SHORT_AND_LONG_TERM_DEBT","FY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8" s="2" t="e">
        <f ca="1">_xll.BDH($C$3,"BS_ST_BORROW","FY 2015","FY 2015","Currency=INR","Period=FY","BEST_FPERIOD_OVERRIDE=FY","FILING_STATUS=OR","EQY_CONSOLIDATED=Y","SCALING_FORMAT=MLN","Sort=A","Dates=H","DateFormat=P","Fill=—","Direction=H","UseDPDF=Y")</f>
        <v>#NAME?</v>
      </c>
      <c r="CA8" s="2" t="e">
        <f ca="1">_xll.BDH($C$3,"BS_LT_BORROW","FY 2015","FY 2015","Currency=INR","Period=FY","BEST_FPERIOD_OVERRIDE=FY","FILING_STATUS=OR","EQY_CONSOLIDATED=Y","SCALING_FORMAT=MLN","Sort=A","Dates=H","DateFormat=P","Fill=—","Direction=H","UseDPDF=Y")</f>
        <v>#NAME?</v>
      </c>
      <c r="CB8" s="1" t="e">
        <f ca="1">_xll.BDH($C$3,"TOT_DEBT_TO_EBITDA","FY 2015","FY 2015","Currency=INR","Period=FY","BEST_FPERIOD_OVERRIDE=FY","FILING_STATUS=OR","EQY_CONSOLIDATED=Y","FA_ADJUSTED=GAAP","Sort=A","Dates=H","DateFormat=P","Fill=—","Direction=H","UseDPDF=Y")</f>
        <v>#NAME?</v>
      </c>
      <c r="CC8" s="1" t="e">
        <f ca="1">_xll.BDH($C$3,"NET_DEBT_TO_EBITDA","FY 2015","FY 2015","Currency=INR","Period=FY","BEST_FPERIOD_OVERRIDE=FY","FILING_STATUS=OR","EQY_CONSOLIDATED=Y","FA_ADJUSTED=GAAP","Sort=A","Dates=H","DateFormat=P","Fill=—","Direction=H","UseDPDF=Y")</f>
        <v>#NAME?</v>
      </c>
      <c r="CD8" s="1" t="e">
        <f ca="1">_xll.BDH($C$3,"TOTAL_DEBT_TO_EBIT","FY 2015","FY 2015","Currency=INR","Period=FY","BEST_FPERIOD_OVERRIDE=FY","FILING_STATUS=OR","EQY_CONSOLIDATED=Y","FA_ADJUSTED=GAAP","Sort=A","Dates=H","DateFormat=P","Fill=—","Direction=H","UseDPDF=Y")</f>
        <v>#NAME?</v>
      </c>
      <c r="CE8" s="1" t="e">
        <f ca="1">_xll.BDH($C$3,"NET_DEBT_TO_EBIT","FY 2015","FY 2015","Currency=INR","Period=FY","BEST_FPERIOD_OVERRIDE=FY","FILING_STATUS=OR","EQY_CONSOLIDATED=Y","FA_ADJUSTED=GAAP","Sort=A","Dates=H","DateFormat=P","Fill=—","Direction=H","UseDPDF=Y")</f>
        <v>#NAME?</v>
      </c>
      <c r="CF8" s="1" t="e">
        <f ca="1">_xll.BDH($C$3,"EBITDA_TO_INTEREST_EXPN","FY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8" s="1" t="e">
        <f ca="1">_xll.BDH($C$3,"COM_EQY_TO_TOT_ASSET","FY 2015","FY 2015","Currency=INR","Period=FY","BEST_FPERIOD_OVERRIDE=FY","FILING_STATUS=OR","EQY_CONSOLIDATED=Y","Sort=A","Dates=H","DateFormat=P","Fill=—","Direction=H","UseDPDF=Y")</f>
        <v>#NAME?</v>
      </c>
      <c r="CH8" s="1" t="e">
        <f ca="1">_xll.BDH($C$3,"LT_DEBT_TO_TOT_EQY","FY 2015","FY 2015","Currency=INR","Period=FY","BEST_FPERIOD_OVERRIDE=FY","FILING_STATUS=OR","EQY_CONSOLIDATED=Y","Sort=A","Dates=H","DateFormat=P","Fill=—","Direction=H","UseDPDF=Y")</f>
        <v>#NAME?</v>
      </c>
      <c r="CI8" s="1" t="e">
        <f ca="1">_xll.BDH($C$3,"LT_DEBT_TO_TOT_CAP","FY 2015","FY 2015","Currency=INR","Period=FY","BEST_FPERIOD_OVERRIDE=FY","FILING_STATUS=OR","EQY_CONSOLIDATED=Y","Sort=A","Dates=H","DateFormat=P","Fill=—","Direction=H","UseDPDF=Y")</f>
        <v>#NAME?</v>
      </c>
      <c r="CJ8" s="1" t="e">
        <f ca="1">_xll.BDH($C$3,"LT_DEBT_TO_TOT_ASSET","FY 2015","FY 2015","Currency=INR","Period=FY","BEST_FPERIOD_OVERRIDE=FY","FILING_STATUS=OR","EQY_CONSOLIDATED=Y","Sort=A","Dates=H","DateFormat=P","Fill=—","Direction=H","UseDPDF=Y")</f>
        <v>#NAME?</v>
      </c>
      <c r="CK8" s="1" t="e">
        <f ca="1">_xll.BDH($C$3,"TOT_DEBT_TO_TOT_EQY","FY 2015","FY 2015","Currency=INR","Period=FY","BEST_FPERIOD_OVERRIDE=FY","FILING_STATUS=OR","EQY_CONSOLIDATED=Y","Sort=A","Dates=H","DateFormat=P","Fill=—","Direction=H","UseDPDF=Y")</f>
        <v>#NAME?</v>
      </c>
      <c r="CL8" s="1" t="e">
        <f ca="1">_xll.BDH($C$3,"TOT_DEBT_TO_TOT_CAP","FY 2015","FY 2015","Currency=INR","Period=FY","BEST_FPERIOD_OVERRIDE=FY","FILING_STATUS=OR","EQY_CONSOLIDATED=Y","Sort=A","Dates=H","DateFormat=P","Fill=—","Direction=H","UseDPDF=Y")</f>
        <v>#NAME?</v>
      </c>
      <c r="CM8" s="1" t="e">
        <f ca="1">_xll.BDH($C$3,"TOT_DEBT_TO_TOT_ASSET","FY 2015","FY 2015","Currency=INR","Period=FY","BEST_FPERIOD_OVERRIDE=FY","FILING_STATUS=OR","EQY_CONSOLIDATED=Y","Sort=A","Dates=H","DateFormat=P","Fill=—","Direction=H","UseDPDF=Y")</f>
        <v>#NAME?</v>
      </c>
      <c r="CN8" s="1" t="e">
        <f ca="1">_xll.BDH($C$3,"NET_DEBT_TO_SHRHLDR_EQTY","FY 2015","FY 2015","Currency=INR","Period=FY","BEST_FPERIOD_OVERRIDE=FY","FILING_STATUS=OR","EQY_CONSOLIDATED=Y","Sort=A","Dates=H","DateFormat=P","Fill=—","Direction=H","UseDPDF=Y")</f>
        <v>#NAME?</v>
      </c>
      <c r="CO8" s="1" t="e">
        <f ca="1">_xll.BDH($C$3,"NET_DEBT_%_CAPITAL","FY 2015","FY 2015","Currency=INR","Period=FY","BEST_FPERIOD_OVERRIDE=FY","FILING_STATUS=OR","EQY_CONSOLIDATED=Y","Sort=A","Dates=H","DateFormat=P","Fill=—","Direction=H","UseDPDF=Y")</f>
        <v>#NAME?</v>
      </c>
      <c r="CP8" s="2" t="e">
        <f ca="1">_xll.BDH($C$3,"EBITDA","FY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8" s="2" t="e">
        <f ca="1">_xll.BDH($C$3,"EBITDA_AFTER_CAPEX","FY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8" s="2" t="e">
        <f ca="1">_xll.BDH($C$3,"IS_OPER_INC","FY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8" s="1" t="e">
        <f ca="1">_xll.BDH($C$3,"CASH_RATIO","FY 2015","FY 2015","Currency=INR","Period=FY","BEST_FPERIOD_OVERRIDE=FY","FILING_STATUS=OR","EQY_CONSOLIDATED=Y","Sort=A","Dates=H","DateFormat=P","Fill=—","Direction=H","UseDPDF=Y")</f>
        <v>#NAME?</v>
      </c>
      <c r="CT8" s="1" t="e">
        <f ca="1">_xll.BDH($C$3,"CUR_RATIO","FY 2015","FY 2015","Currency=INR","Period=FY","BEST_FPERIOD_OVERRIDE=FY","FILING_STATUS=OR","EQY_CONSOLIDATED=Y","Sort=A","Dates=H","DateFormat=P","Fill=—","Direction=H","UseDPDF=Y")</f>
        <v>#NAME?</v>
      </c>
      <c r="CU8" s="1" t="e">
        <f ca="1">_xll.BDH($C$3,"QUICK_RATIO","FY 2015","FY 2015","Currency=INR","Period=FY","BEST_FPERIOD_OVERRIDE=FY","FILING_STATUS=OR","EQY_CONSOLIDATED=Y","Sort=A","Dates=H","DateFormat=P","Fill=—","Direction=H","UseDPDF=Y")</f>
        <v>#NAME?</v>
      </c>
      <c r="CV8" s="1" t="e">
        <f ca="1">_xll.BDH($C$3,"ALTMAN_Z_SCORE","FY 2015","FY 2015","Currency=INR","Period=FY","BEST_FPERIOD_OVERRIDE=FY","FILING_STATUS=OR","EQY_CONSOLIDATED=Y","Sort=A","Dates=H","DateFormat=P","Fill=—","Direction=H","UseDPDF=Y")</f>
        <v>#NAME?</v>
      </c>
      <c r="CW8" s="3" t="e">
        <f ca="1">_xll.BDH($C$3,"ACCT_RCV_TURN","FY 2015","FY 2015","Currency=INR","Period=FY","BEST_FPERIOD_OVERRIDE=FY","FILING_STATUS=OR","EQY_CONSOLIDATED=Y","FA_ADJUSTED=GAAP","Sort=A","Dates=H","DateFormat=P","Fill=—","Direction=H","UseDPDF=Y")</f>
        <v>#NAME?</v>
      </c>
      <c r="CX8" s="1" t="e">
        <f ca="1">_xll.BDH($C$3,"ACCT_RCV_DAYS","FY 2015","FY 2015","Currency=INR","Period=FY","BEST_FPERIOD_OVERRIDE=FY","FILING_STATUS=OR","EQY_CONSOLIDATED=Y","FA_ADJUSTED=GAAP","Sort=A","Dates=H","DateFormat=P","Fill=—","Direction=H","UseDPDF=Y")</f>
        <v>#NAME?</v>
      </c>
      <c r="CY8" s="3" t="e">
        <f ca="1">_xll.BDH($C$3,"INVENT_TURN","FY 2015","FY 2015","Currency=INR","Period=FY","BEST_FPERIOD_OVERRIDE=FY","FILING_STATUS=OR","EQY_CONSOLIDATED=Y","FA_ADJUSTED=GAAP","Sort=A","Dates=H","DateFormat=P","Fill=—","Direction=H","UseDPDF=Y")</f>
        <v>#NAME?</v>
      </c>
      <c r="CZ8" s="1" t="e">
        <f ca="1">_xll.BDH($C$3,"INVENT_DAYS","FY 2015","FY 2015","Currency=INR","Period=FY","BEST_FPERIOD_OVERRIDE=FY","FILING_STATUS=OR","EQY_CONSOLIDATED=Y","FA_ADJUSTED=GAAP","Sort=A","Dates=H","DateFormat=P","Fill=—","Direction=H","UseDPDF=Y")</f>
        <v>#NAME?</v>
      </c>
      <c r="DA8" s="3" t="e">
        <f ca="1">_xll.BDH($C$3,"ACCOUNTS_PAYABLE_TURNOVER","FY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8" s="1" t="e">
        <f ca="1">_xll.BDH($C$3,"ACCOUNTS_PAYABLE_TURNOVER_DAYS","FY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8" s="3" t="e">
        <f ca="1">_xll.BDH($C$3,"CASH_CONVERSION_CYCLE","FY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8" s="3" t="e">
        <f ca="1">_xll.BDH($C$3,"INV_TO_CASH_DAYS","FY 2015","FY 2015","Currency=INR","Period=FY","BEST_FPERIOD_OVERRIDE=FY","FILING_STATUS=OR","EQY_CONSOLIDATED=Y","FA_ADJUSTED=GAAP","Sort=A","Dates=H","DateFormat=P","Fill=—","Direction=H","UseDPDF=Y")</f>
        <v>#NAME?</v>
      </c>
      <c r="DE8" s="4" t="e">
        <f ca="1">_xll.BDH($C$3,"BS_INVENTORIES","FY 2015","FY 2015","Currency=INR","Period=FY","BEST_FPERIOD_OVERRIDE=FY","FILING_STATUS=OR","EQY_CONSOLIDATED=Y","SCALING_FORMAT=MLN","Sort=A","Dates=H","DateFormat=P","Fill=—","Direction=H","UseDPDF=Y")</f>
        <v>#NAME?</v>
      </c>
      <c r="DF8" s="2" t="e">
        <f ca="1">_xll.BDH($C$3,"INVTRY_RAW_MATERIALS","FY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8" s="2" t="e">
        <f ca="1">_xll.BDH($C$3,"INVTRY_IN_PROGRESS","FY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8" s="2" t="e">
        <f ca="1">_xll.BDH($C$3,"INVTRY_FINISHED_GOODS","FY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8" s="2" t="e">
        <f ca="1">_xll.BDH($C$3,"BS_OTHER_INV","FY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9" spans="1:113" x14ac:dyDescent="0.3">
      <c r="A9" s="6"/>
      <c r="B9" s="6"/>
      <c r="C9" s="6"/>
      <c r="D9" s="6"/>
      <c r="E9" t="s">
        <v>4</v>
      </c>
      <c r="F9" t="e">
        <f ca="1">_xll.BDH($C$3,"RETURN_COM_EQY","FQ1 2015","FQ1 2015","Currency=INR","Period=FQ","BEST_FPERIOD_OVERRIDE=FQ","FILING_STATUS=OR","EQY_CONSOLIDATED=Y","FA_ADJUSTED=GAAP","Sort=A","Dates=H","DateFormat=P","Fill=—","Direction=H","UseDPDF=Y")</f>
        <v>#NAME?</v>
      </c>
      <c r="G9" t="e">
        <f ca="1">_xll.BDH($C$3,"RETURN_ON_ASSET","FQ1 2015","FQ1 2015","Currency=INR","Period=FQ","BEST_FPERIOD_OVERRIDE=FQ","FILING_STATUS=OR","EQY_CONSOLIDATED=Y","FA_ADJUSTED=GAAP","Sort=A","Dates=H","DateFormat=P","Fill=—","Direction=H","UseDPDF=Y")</f>
        <v>#NAME?</v>
      </c>
      <c r="H9" t="e">
        <f ca="1">_xll.BDH($C$3,"RETURN_ON_CAP","FQ1 2015","FQ1 2015","Currency=INR","Period=FQ","BEST_FPERIOD_OVERRIDE=FQ","FILING_STATUS=OR","EQY_CONSOLIDATED=Y","FA_ADJUSTED=GAAP","Sort=A","Dates=H","DateFormat=P","Fill=—","Direction=H","UseDPDF=Y")</f>
        <v>#NAME?</v>
      </c>
      <c r="I9" t="e">
        <f ca="1">_xll.BDH($C$3,"RETURN_ON_INV_CAPITAL","FQ1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9" t="e">
        <f ca="1">_xll.BDH($C$3,"EBITDA_TO_REVENUE","FQ1 2015","FQ1 2015","Currency=INR","Period=FQ","BEST_FPERIOD_OVERRIDE=FQ","FILING_STATUS=OR","EQY_CONSOLIDATED=Y","FA_ADJUSTED=GAAP","Sort=A","Dates=H","DateFormat=P","Fill=—","Direction=H","UseDPDF=Y")</f>
        <v>#NAME?</v>
      </c>
      <c r="K9" t="e">
        <f ca="1">_xll.BDH($C$3,"OPER_MARGIN","FQ1 2015","FQ1 2015","Currency=INR","Period=FQ","BEST_FPERIOD_OVERRIDE=FQ","FILING_STATUS=OR","EQY_CONSOLIDATED=Y","FA_ADJUSTED=GAAP","Sort=A","Dates=H","DateFormat=P","Fill=—","Direction=H","UseDPDF=Y")</f>
        <v>#NAME?</v>
      </c>
      <c r="L9" t="e">
        <f ca="1">_xll.BDH($C$3,"INCREMENTAL_OPERATING_MARGIN","FQ1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9" t="e">
        <f ca="1">_xll.BDH($C$3,"PRETAX_INC_TO_NET_SALES","FQ1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9" t="e">
        <f ca="1">_xll.BDH($C$3,"INC_BEF_XO_ITEMS_TO_NET_SALES","FQ1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9" t="e">
        <f ca="1">_xll.BDH($C$3,"PROF_MARGIN","FQ1 2015","FQ1 2015","Currency=INR","Period=FQ","BEST_FPERIOD_OVERRIDE=FQ","FILING_STATUS=OR","EQY_CONSOLIDATED=Y","FA_ADJUSTED=GAAP","Sort=A","Dates=H","DateFormat=P","Fill=—","Direction=H","UseDPDF=Y")</f>
        <v>#NAME?</v>
      </c>
      <c r="P9" t="e">
        <f ca="1">_xll.BDH($C$3,"NET_INCOME_TO_COMMON_MARGIN","FQ1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9" t="e">
        <f ca="1">_xll.BDH($C$3,"EFF_TAX_RATE","FQ1 2015","FQ1 2015","Currency=INR","Period=FQ","BEST_FPERIOD_OVERRIDE=FQ","FILING_STATUS=OR","EQY_CONSOLIDATED=Y","FA_ADJUSTED=GAAP","Sort=A","Dates=H","DateFormat=P","Fill=—","Direction=H","UseDPDF=Y")</f>
        <v>#NAME?</v>
      </c>
      <c r="R9" t="e">
        <f ca="1">_xll.BDH($C$3,"DVD_PAYOUT_RATIO","FQ1 2015","FQ1 2015","Currency=INR","Period=FQ","BEST_FPERIOD_OVERRIDE=FQ","FILING_STATUS=OR","EQY_CONSOLIDATED=Y","FA_ADJUSTED=GAAP","Sort=A","Dates=H","DateFormat=P","Fill=—","Direction=H","UseDPDF=Y")</f>
        <v>#NAME?</v>
      </c>
      <c r="S9" t="e">
        <f ca="1">_xll.BDH($C$3,"SUSTAIN_GROWTH_RT","FQ1 2015","FQ1 2015","Currency=INR","Period=FQ","BEST_FPERIOD_OVERRIDE=FQ","FILING_STATUS=OR","EQY_CONSOLIDATED=Y","FA_ADJUSTED=GAAP","Sort=A","Dates=H","DateFormat=P","Fill=—","Direction=H","UseDPDF=Y")</f>
        <v>#NAME?</v>
      </c>
      <c r="T9" s="1" t="e">
        <f ca="1">_xll.BDH($C$3,"SALES_GROWTH","FQ1 2015","FQ1 2015","Currency=INR","Period=FQ","BEST_FPERIOD_OVERRIDE=FQ","FILING_STATUS=OR","EQY_CONSOLIDATED=Y","FA_ADJUSTED=GAAP","Sort=A","Dates=H","DateFormat=P","Fill=—","Direction=H","UseDPDF=Y")</f>
        <v>#NAME?</v>
      </c>
      <c r="U9" s="1" t="e">
        <f ca="1">_xll.BDH($C$3,"EBITDA_GROWTH","FQ1 2015","FQ1 2015","Currency=INR","Period=FQ","BEST_FPERIOD_OVERRIDE=FQ","FILING_STATUS=OR","EQY_CONSOLIDATED=Y","FA_ADJUSTED=GAAP","Sort=A","Dates=H","DateFormat=P","Fill=—","Direction=H","UseDPDF=Y")</f>
        <v>#NAME?</v>
      </c>
      <c r="V9" s="1" t="e">
        <f ca="1">_xll.BDH($C$3,"OPER_INC_GROWTH","FQ1 2015","FQ1 2015","Currency=INR","Period=FQ","BEST_FPERIOD_OVERRIDE=FQ","FILING_STATUS=OR","EQY_CONSOLIDATED=Y","FA_ADJUSTED=GAAP","Sort=A","Dates=H","DateFormat=P","Fill=—","Direction=H","UseDPDF=Y")</f>
        <v>#NAME?</v>
      </c>
      <c r="W9" s="1" t="e">
        <f ca="1">_xll.BDH($C$3,"EARN_FOR_COM_GROWTH","FQ1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9" s="1" t="e">
        <f ca="1">_xll.BDH($C$3,"DILUTED_EPS_AFT_XO_ITEMS_GROWTH","FQ1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9" s="1" t="e">
        <f ca="1">_xll.BDH($C$3,"DIVIDEND_PER_SHARE_1_YEAR_GROWTH","FQ1 2015","FQ1 2015","Currency=INR","Period=FQ","BEST_FPERIOD_OVERRIDE=FQ","FILING_STATUS=OR","EQY_CONSOLIDATED=Y","Sort=A","Dates=H","DateFormat=P","Fill=—","Direction=H","UseDPDF=Y")</f>
        <v>#NAME?</v>
      </c>
      <c r="Z9" s="1" t="e">
        <f ca="1">_xll.BDH($C$3,"ACCOUNTS_RECEIVABLE_GROWTH","FQ1 2015","FQ1 2015","Currency=INR","Period=FQ","BEST_FPERIOD_OVERRIDE=FQ","FILING_STATUS=OR","EQY_CONSOLIDATED=Y","Sort=A","Dates=H","DateFormat=P","Fill=—","Direction=H","UseDPDF=Y")</f>
        <v>#NAME?</v>
      </c>
      <c r="AA9" s="1" t="e">
        <f ca="1">_xll.BDH($C$3,"INVENTORY_GROWTH","FQ1 2015","FQ1 2015","Currency=INR","Period=FQ","BEST_FPERIOD_OVERRIDE=FQ","FILING_STATUS=OR","EQY_CONSOLIDATED=Y","Sort=A","Dates=H","DateFormat=P","Fill=—","Direction=H","UseDPDF=Y")</f>
        <v>#NAME?</v>
      </c>
      <c r="AB9" s="1" t="e">
        <f ca="1">_xll.BDH($C$3,"NET_FIXED_ASSETS_1_YEAR_GROWTH","FQ1 2015","FQ1 2015","Currency=INR","Period=FQ","BEST_FPERIOD_OVERRIDE=FQ","FILING_STATUS=OR","EQY_CONSOLIDATED=Y","Sort=A","Dates=H","DateFormat=P","Fill=—","Direction=H","UseDPDF=Y")</f>
        <v>#NAME?</v>
      </c>
      <c r="AC9" s="1" t="e">
        <f ca="1">_xll.BDH($C$3,"ASSET_GROWTH","FQ1 2015","FQ1 2015","Currency=INR","Period=FQ","BEST_FPERIOD_OVERRIDE=FQ","FILING_STATUS=OR","EQY_CONSOLIDATED=Y","Sort=A","Dates=H","DateFormat=P","Fill=—","Direction=H","UseDPDF=Y")</f>
        <v>#NAME?</v>
      </c>
      <c r="AD9" s="1" t="e">
        <f ca="1">_xll.BDH($C$3,"MODIFIED_WORK_CAP_GROWTH","FQ1 2015","FQ1 2015","Currency=INR","Period=FQ","BEST_FPERIOD_OVERRIDE=FQ","FILING_STATUS=OR","EQY_CONSOLIDATED=Y","Sort=A","Dates=H","DateFormat=P","Fill=—","Direction=H","UseDPDF=Y")</f>
        <v>#NAME?</v>
      </c>
      <c r="AE9" s="1" t="e">
        <f ca="1">_xll.BDH($C$3,"WORK_CAP_GROWTH","FQ1 2015","FQ1 2015","Currency=INR","Period=FQ","BEST_FPERIOD_OVERRIDE=FQ","FILING_STATUS=OR","EQY_CONSOLIDATED=Y","Sort=A","Dates=H","DateFormat=P","Fill=—","Direction=H","UseDPDF=Y")</f>
        <v>#NAME?</v>
      </c>
      <c r="AF9" s="1" t="e">
        <f ca="1">_xll.BDH($C$3,"ACCOUNTS_PAYABLE_GROWTH_1YR","FQ1 2015","FQ1 2015","Currency=INR","Period=FQ","BEST_FPERIOD_OVERRIDE=FQ","FILING_STATUS=OR","EQY_CONSOLIDATED=Y","Sort=A","Dates=H","DateFormat=P","Fill=—","Direction=H","UseDPDF=Y")</f>
        <v>#NAME?</v>
      </c>
      <c r="AG9" s="1" t="e">
        <f ca="1">_xll.BDH($C$3,"SHORT_TERM_DEBT_1_YEAR_GROWTH","FQ1 2015","FQ1 2015","Currency=INR","Period=FQ","BEST_FPERIOD_OVERRIDE=FQ","FILING_STATUS=OR","EQY_CONSOLIDATED=Y","Sort=A","Dates=H","DateFormat=P","Fill=—","Direction=H","UseDPDF=Y")</f>
        <v>#NAME?</v>
      </c>
      <c r="AH9" s="1" t="e">
        <f ca="1">_xll.BDH($C$3,"TOTAL_DEBT_1_YEAR_GROWTH","FQ1 2015","FQ1 2015","Currency=INR","Period=FQ","BEST_FPERIOD_OVERRIDE=FQ","FILING_STATUS=OR","EQY_CONSOLIDATED=Y","Sort=A","Dates=H","DateFormat=P","Fill=—","Direction=H","UseDPDF=Y")</f>
        <v>#NAME?</v>
      </c>
      <c r="AI9" s="1" t="e">
        <f ca="1">_xll.BDH($C$3,"TOTAL_EQUITY_1_YEAR_GROWTH","FQ1 2015","FQ1 2015","Currency=INR","Period=FQ","BEST_FPERIOD_OVERRIDE=FQ","FILING_STATUS=OR","EQY_CONSOLIDATED=Y","Sort=A","Dates=H","DateFormat=P","Fill=—","Direction=H","UseDPDF=Y")</f>
        <v>#NAME?</v>
      </c>
      <c r="AJ9" s="1" t="e">
        <f ca="1">_xll.BDH($C$3,"GROWTH_IN_CAP","FQ1 2015","FQ1 2015","Currency=INR","Period=FQ","BEST_FPERIOD_OVERRIDE=FQ","FILING_STATUS=OR","EQY_CONSOLIDATED=Y","Sort=A","Dates=H","DateFormat=P","Fill=—","Direction=H","UseDPDF=Y")</f>
        <v>#NAME?</v>
      </c>
      <c r="AK9" s="1" t="e">
        <f ca="1">_xll.BDH($C$3,"BVPS_GROWTH","FQ1 2015","FQ1 2015","Currency=INR","Period=FQ","BEST_FPERIOD_OVERRIDE=FQ","FILING_STATUS=OR","EQY_CONSOLIDATED=Y","Sort=A","Dates=H","DateFormat=P","Fill=—","Direction=H","UseDPDF=Y")</f>
        <v>#NAME?</v>
      </c>
      <c r="AL9" s="1" t="e">
        <f ca="1">_xll.BDH($C$3,"CASH_FLOW_GROWTH","FQ1 2015","FQ1 2015","Currency=INR","Period=FQ","BEST_FPERIOD_OVERRIDE=FQ","FILING_STATUS=OR","EQY_CONSOLIDATED=Y","Sort=A","Dates=H","DateFormat=P","Fill=—","Direction=H","UseDPDF=Y")</f>
        <v>#NAME?</v>
      </c>
      <c r="AM9" s="1" t="e">
        <f ca="1">_xll.BDH($C$3,"GEO_GROW_NET_SALES","FQ1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9" s="1" t="e">
        <f ca="1">_xll.BDH($C$3,"GEO_GROW_EBITDA","FQ1 2015","FQ1 2015","Currency=INR","Period=FQ","BEST_FPERIOD_OVERRIDE=FQ","FILING_STATUS=OR","EQY_CONSOLIDATED=Y","FA_ADJUSTED=GAAP","Sort=A","Dates=H","DateFormat=P","Fill=—","Direction=H","UseDPDF=Y")</f>
        <v>#NAME?</v>
      </c>
      <c r="AO9" s="1" t="e">
        <f ca="1">_xll.BDH($C$3,"GEO_GROW_OPER_INC","FQ1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9" s="1" t="e">
        <f ca="1">_xll.BDH($C$3,"NET_INCOME_TO_COMMON_5_YR_GROWTH","FQ1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9" s="1" t="e">
        <f ca="1">_xll.BDH($C$3,"5Y_GEO_GROWTH_DILUTED_EPS","FQ1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9" s="1" t="e">
        <f ca="1">_xll.BDH($C$3,"GEO_GROW_DVD_PER_SH","FQ1 2015","FQ1 2015","Currency=INR","Period=FQ","BEST_FPERIOD_OVERRIDE=FQ","FILING_STATUS=OR","EQY_CONSOLIDATED=Y","Sort=A","Dates=H","DateFormat=P","Fill=—","Direction=H","UseDPDF=Y")</f>
        <v>#NAME?</v>
      </c>
      <c r="AS9" s="1" t="e">
        <f ca="1">_xll.BDH($C$3,"ACCOUNTS_RECEIVABLE_5_YR_GROWTH","FQ1 2015","FQ1 2015","Currency=INR","Period=FQ","BEST_FPERIOD_OVERRIDE=FQ","FILING_STATUS=OR","EQY_CONSOLIDATED=Y","Sort=A","Dates=H","DateFormat=P","Fill=—","Direction=H","UseDPDF=Y")</f>
        <v>#NAME?</v>
      </c>
      <c r="AT9" s="1" t="e">
        <f ca="1">_xll.BDH($C$3,"INVENTORY_5_YEAR_GROWTH","FQ1 2015","FQ1 2015","Currency=INR","Period=FQ","BEST_FPERIOD_OVERRIDE=FQ","FILING_STATUS=OR","EQY_CONSOLIDATED=Y","Sort=A","Dates=H","DateFormat=P","Fill=—","Direction=H","UseDPDF=Y")</f>
        <v>#NAME?</v>
      </c>
      <c r="AU9" s="1" t="e">
        <f ca="1">_xll.BDH($C$3,"NET_FIXED_ASSETS_5_YEAR_GROWTH","FQ1 2015","FQ1 2015","Currency=INR","Period=FQ","BEST_FPERIOD_OVERRIDE=FQ","FILING_STATUS=OR","EQY_CONSOLIDATED=Y","Sort=A","Dates=H","DateFormat=P","Fill=—","Direction=H","UseDPDF=Y")</f>
        <v>#NAME?</v>
      </c>
      <c r="AV9" s="1" t="e">
        <f ca="1">_xll.BDH($C$3,"GEO_GROW_TOT_ASSET","FQ1 2015","FQ1 2015","Currency=INR","Period=FQ","BEST_FPERIOD_OVERRIDE=FQ","FILING_STATUS=OR","EQY_CONSOLIDATED=Y","Sort=A","Dates=H","DateFormat=P","Fill=—","Direction=H","UseDPDF=Y")</f>
        <v>#NAME?</v>
      </c>
      <c r="AW9" s="1" t="e">
        <f ca="1">_xll.BDH($C$3,"MODIFIED_WORKING_CPTL_5YR_GRWTH","FQ1 2015","FQ1 2015","Currency=INR","Period=FQ","BEST_FPERIOD_OVERRIDE=FQ","FILING_STATUS=OR","EQY_CONSOLIDATED=Y","Sort=A","Dates=H","DateFormat=P","Fill=—","Direction=H","UseDPDF=Y")</f>
        <v>#NAME?</v>
      </c>
      <c r="AX9" s="1" t="e">
        <f ca="1">_xll.BDH($C$3,"WORKING_CAPITAL_5_YEAR_GROWTH","FQ1 2015","FQ1 2015","Currency=INR","Period=FQ","BEST_FPERIOD_OVERRIDE=FQ","FILING_STATUS=OR","EQY_CONSOLIDATED=Y","Sort=A","Dates=H","DateFormat=P","Fill=—","Direction=H","UseDPDF=Y")</f>
        <v>#NAME?</v>
      </c>
      <c r="AY9" s="1" t="e">
        <f ca="1">_xll.BDH($C$3,"ACCOUNTS_PAYABLE_5_YEAR_GROWTH","FQ1 2015","FQ1 2015","Currency=INR","Period=FQ","BEST_FPERIOD_OVERRIDE=FQ","FILING_STATUS=OR","EQY_CONSOLIDATED=Y","Sort=A","Dates=H","DateFormat=P","Fill=—","Direction=H","UseDPDF=Y")</f>
        <v>#NAME?</v>
      </c>
      <c r="AZ9" s="1" t="e">
        <f ca="1">_xll.BDH($C$3,"SHORT_TERM_DEBT_5_YEAR_GROWTH","FQ1 2015","FQ1 2015","Currency=INR","Period=FQ","BEST_FPERIOD_OVERRIDE=FQ","FILING_STATUS=OR","EQY_CONSOLIDATED=Y","Sort=A","Dates=H","DateFormat=P","Fill=—","Direction=H","UseDPDF=Y")</f>
        <v>#NAME?</v>
      </c>
      <c r="BA9" s="1" t="e">
        <f ca="1">_xll.BDH($C$3,"TOTAL_DEBT_5_YEAR_GROWTH","FQ1 2015","FQ1 2015","Currency=INR","Period=FQ","BEST_FPERIOD_OVERRIDE=FQ","FILING_STATUS=OR","EQY_CONSOLIDATED=Y","Sort=A","Dates=H","DateFormat=P","Fill=—","Direction=H","UseDPDF=Y")</f>
        <v>#NAME?</v>
      </c>
      <c r="BB9" s="1" t="e">
        <f ca="1">_xll.BDH($C$3,"GEO_GROW_TOT_SHRHLDR_EQY","FQ1 2015","FQ1 2015","Currency=INR","Period=FQ","BEST_FPERIOD_OVERRIDE=FQ","FILING_STATUS=OR","EQY_CONSOLIDATED=Y","Sort=A","Dates=H","DateFormat=P","Fill=—","Direction=H","UseDPDF=Y")</f>
        <v>#NAME?</v>
      </c>
      <c r="BC9" s="1" t="e">
        <f ca="1">_xll.BDH($C$3,"TOTAL_CAPITAL_5_YEAR_GROWTH","FQ1 2015","FQ1 2015","Currency=INR","Period=FQ","BEST_FPERIOD_OVERRIDE=FQ","FILING_STATUS=OR","EQY_CONSOLIDATED=Y","Sort=A","Dates=H","DateFormat=P","Fill=—","Direction=H","UseDPDF=Y")</f>
        <v>#NAME?</v>
      </c>
      <c r="BD9" s="1" t="e">
        <f ca="1">_xll.BDH($C$3,"GEO_GROW_BOOK_VAL","FQ1 2015","FQ1 2015","Currency=INR","Period=FQ","BEST_FPERIOD_OVERRIDE=FQ","FILING_STATUS=OR","EQY_CONSOLIDATED=Y","Sort=A","Dates=H","DateFormat=P","Fill=—","Direction=H","UseDPDF=Y")</f>
        <v>#NAME?</v>
      </c>
      <c r="BE9" s="1" t="e">
        <f ca="1">_xll.BDH($C$3,"GEO_GROW_CASH_OPER_ACT","FQ1 2015","FQ1 2015","Currency=INR","Period=FQ","BEST_FPERIOD_OVERRIDE=FQ","FILING_STATUS=OR","EQY_CONSOLIDATED=Y","Sort=A","Dates=H","DateFormat=P","Fill=—","Direction=H","UseDPDF=Y")</f>
        <v>#NAME?</v>
      </c>
      <c r="BF9" s="1" t="e">
        <f ca="1">_xll.BDH($C$3,"REVENUE_SEQUENTIAL_GROWTH","FQ1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9" s="1" t="e">
        <f ca="1">_xll.BDH($C$3,"EBITDA_SEQUENTIAL_GROWTH","FQ1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9" s="1" t="e">
        <f ca="1">_xll.BDH($C$3,"OPERATING_INCOME_SEQ_GROWTH","FQ1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9" s="1" t="e">
        <f ca="1">_xll.BDH($C$3,"NET_INCOME_TO_COMMON_SEQ_GROWTH","FQ1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9" s="1" t="e">
        <f ca="1">_xll.BDH($C$3,"EPS_DILUTED_SEQUENTIAL_GROWTH","FQ1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9" s="1" t="e">
        <f ca="1">_xll.BDH($C$3,"DPS_SEQUENTIAL_GROWTH","FQ1 2015","FQ1 2015","Currency=INR","Period=FQ","BEST_FPERIOD_OVERRIDE=FQ","FILING_STATUS=OR","EQY_CONSOLIDATED=Y","Sort=A","Dates=H","DateFormat=P","Fill=—","Direction=H","UseDPDF=Y")</f>
        <v>#NAME?</v>
      </c>
      <c r="BL9" s="1" t="e">
        <f ca="1">_xll.BDH($C$3,"ACCOUNTS_RECEIVABLE_SEQ_GROWTH","FQ1 2015","FQ1 2015","Currency=INR","Period=FQ","BEST_FPERIOD_OVERRIDE=FQ","FILING_STATUS=OR","EQY_CONSOLIDATED=Y","Sort=A","Dates=H","DateFormat=P","Fill=—","Direction=H","UseDPDF=Y")</f>
        <v>#NAME?</v>
      </c>
      <c r="BM9" s="1" t="e">
        <f ca="1">_xll.BDH($C$3,"INVENTORY_SEQUENTIAL_GROWTH","FQ1 2015","FQ1 2015","Currency=INR","Period=FQ","BEST_FPERIOD_OVERRIDE=FQ","FILING_STATUS=OR","EQY_CONSOLIDATED=Y","Sort=A","Dates=H","DateFormat=P","Fill=—","Direction=H","UseDPDF=Y")</f>
        <v>#NAME?</v>
      </c>
      <c r="BN9" s="1" t="e">
        <f ca="1">_xll.BDH($C$3,"FIXED_ASSETS_SEQUENTIAL_GROWTH","FQ1 2015","FQ1 2015","Currency=INR","Period=FQ","BEST_FPERIOD_OVERRIDE=FQ","FILING_STATUS=OR","EQY_CONSOLIDATED=Y","Sort=A","Dates=H","DateFormat=P","Fill=—","Direction=H","UseDPDF=Y")</f>
        <v>#NAME?</v>
      </c>
      <c r="BO9" s="1" t="e">
        <f ca="1">_xll.BDH($C$3,"TOTAL_ASSETS_SEQUENTIAL_GROWTH","FQ1 2015","FQ1 2015","Currency=INR","Period=FQ","BEST_FPERIOD_OVERRIDE=FQ","FILING_STATUS=OR","EQY_CONSOLIDATED=Y","Sort=A","Dates=H","DateFormat=P","Fill=—","Direction=H","UseDPDF=Y")</f>
        <v>#NAME?</v>
      </c>
      <c r="BP9" s="1" t="e">
        <f ca="1">_xll.BDH($C$3,"MODIFIED_WORKING_CPTL_SEQ_GRWTH","FQ1 2015","FQ1 2015","Currency=INR","Period=FQ","BEST_FPERIOD_OVERRIDE=FQ","FILING_STATUS=OR","EQY_CONSOLIDATED=Y","Sort=A","Dates=H","DateFormat=P","Fill=—","Direction=H","UseDPDF=Y")</f>
        <v>#NAME?</v>
      </c>
      <c r="BQ9" s="1" t="e">
        <f ca="1">_xll.BDH($C$3,"WORKING_CAPITAL_SEQ_GROWTH","FQ1 2015","FQ1 2015","Currency=INR","Period=FQ","BEST_FPERIOD_OVERRIDE=FQ","FILING_STATUS=OR","EQY_CONSOLIDATED=Y","Sort=A","Dates=H","DateFormat=P","Fill=—","Direction=H","UseDPDF=Y")</f>
        <v>#NAME?</v>
      </c>
      <c r="BR9" s="1" t="e">
        <f ca="1">_xll.BDH($C$3,"ACCOUNTS_PAYABLE_SEQ_GROWTH","FQ1 2015","FQ1 2015","Currency=INR","Period=FQ","BEST_FPERIOD_OVERRIDE=FQ","FILING_STATUS=OR","EQY_CONSOLIDATED=Y","Sort=A","Dates=H","DateFormat=P","Fill=—","Direction=H","UseDPDF=Y")</f>
        <v>#NAME?</v>
      </c>
      <c r="BS9" s="1" t="e">
        <f ca="1">_xll.BDH($C$3,"ST_DEBT_SEQUENTIAL_GROWTH","FQ1 2015","FQ1 2015","Currency=INR","Period=FQ","BEST_FPERIOD_OVERRIDE=FQ","FILING_STATUS=OR","EQY_CONSOLIDATED=Y","Sort=A","Dates=H","DateFormat=P","Fill=—","Direction=H","UseDPDF=Y")</f>
        <v>#NAME?</v>
      </c>
      <c r="BT9" s="1" t="e">
        <f ca="1">_xll.BDH($C$3,"TOTAL_DEBT_SEQUENTIAL_GROWTH","FQ1 2015","FQ1 2015","Currency=INR","Period=FQ","BEST_FPERIOD_OVERRIDE=FQ","FILING_STATUS=OR","EQY_CONSOLIDATED=Y","Sort=A","Dates=H","DateFormat=P","Fill=—","Direction=H","UseDPDF=Y")</f>
        <v>#NAME?</v>
      </c>
      <c r="BU9" s="1" t="e">
        <f ca="1">_xll.BDH($C$3,"TOTAL_EQUITY_SEQUENTIAL_GROWTH","FQ1 2015","FQ1 2015","Currency=INR","Period=FQ","BEST_FPERIOD_OVERRIDE=FQ","FILING_STATUS=OR","EQY_CONSOLIDATED=Y","Sort=A","Dates=H","DateFormat=P","Fill=—","Direction=H","UseDPDF=Y")</f>
        <v>#NAME?</v>
      </c>
      <c r="BV9" s="1" t="e">
        <f ca="1">_xll.BDH($C$3,"TOTAL_CAPITAL_SEQUENTIAL_GROWTH","FQ1 2015","FQ1 2015","Currency=INR","Period=FQ","BEST_FPERIOD_OVERRIDE=FQ","FILING_STATUS=OR","EQY_CONSOLIDATED=Y","Sort=A","Dates=H","DateFormat=P","Fill=—","Direction=H","UseDPDF=Y")</f>
        <v>#NAME?</v>
      </c>
      <c r="BW9" s="1" t="e">
        <f ca="1">_xll.BDH($C$3,"BPS_SEQUENTIAL_GROWTH","FQ1 2015","FQ1 2015","Currency=INR","Period=FQ","BEST_FPERIOD_OVERRIDE=FQ","FILING_STATUS=OR","EQY_CONSOLIDATED=Y","Sort=A","Dates=H","DateFormat=P","Fill=—","Direction=H","UseDPDF=Y")</f>
        <v>#NAME?</v>
      </c>
      <c r="BX9" s="1" t="e">
        <f ca="1">_xll.BDH($C$3,"CFO_SEQUENTIAL_GROWTH","FQ1 2015","FQ1 2015","Currency=INR","Period=FQ","BEST_FPERIOD_OVERRIDE=FQ","FILING_STATUS=OR","EQY_CONSOLIDATED=Y","Sort=A","Dates=H","DateFormat=P","Fill=—","Direction=H","UseDPDF=Y")</f>
        <v>#NAME?</v>
      </c>
      <c r="BY9" s="2" t="e">
        <f ca="1">_xll.BDH($C$3,"SHORT_AND_LONG_TERM_DEBT","FQ1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9" s="2" t="e">
        <f ca="1">_xll.BDH($C$3,"BS_ST_BORROW","FQ1 2015","FQ1 2015","Currency=INR","Period=FQ","BEST_FPERIOD_OVERRIDE=FQ","FILING_STATUS=OR","EQY_CONSOLIDATED=Y","SCALING_FORMAT=MLN","Sort=A","Dates=H","DateFormat=P","Fill=—","Direction=H","UseDPDF=Y")</f>
        <v>#NAME?</v>
      </c>
      <c r="CA9" s="2" t="e">
        <f ca="1">_xll.BDH($C$3,"BS_LT_BORROW","FQ1 2015","FQ1 2015","Currency=INR","Period=FQ","BEST_FPERIOD_OVERRIDE=FQ","FILING_STATUS=OR","EQY_CONSOLIDATED=Y","SCALING_FORMAT=MLN","Sort=A","Dates=H","DateFormat=P","Fill=—","Direction=H","UseDPDF=Y")</f>
        <v>#NAME?</v>
      </c>
      <c r="CB9" s="1" t="e">
        <f ca="1">_xll.BDH($C$3,"TOT_DEBT_TO_EBITDA","FQ1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9" s="1" t="e">
        <f ca="1">_xll.BDH($C$3,"NET_DEBT_TO_EBITDA","FQ1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9" s="1" t="e">
        <f ca="1">_xll.BDH($C$3,"TOTAL_DEBT_TO_EBIT","FQ1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9" s="1" t="e">
        <f ca="1">_xll.BDH($C$3,"NET_DEBT_TO_EBIT","FQ1 2015","FQ1 2015","Currency=INR","Period=FQ","BEST_FPERIOD_OVERRIDE=FQ","FILING_STATUS=OR","EQY_CONSOLIDATED=Y","FA_ADJUSTED=GAAP","Sort=A","Dates=H","DateFormat=P","Fill=—","Direction=H","UseDPDF=Y")</f>
        <v>#NAME?</v>
      </c>
      <c r="CF9" s="1" t="e">
        <f ca="1">_xll.BDH($C$3,"EBITDA_TO_INTEREST_EXPN","FQ1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9" s="1" t="e">
        <f ca="1">_xll.BDH($C$3,"COM_EQY_TO_TOT_ASSET","FQ1 2015","FQ1 2015","Currency=INR","Period=FQ","BEST_FPERIOD_OVERRIDE=FQ","FILING_STATUS=OR","EQY_CONSOLIDATED=Y","Sort=A","Dates=H","DateFormat=P","Fill=—","Direction=H","UseDPDF=Y")</f>
        <v>#NAME?</v>
      </c>
      <c r="CH9" s="1" t="e">
        <f ca="1">_xll.BDH($C$3,"LT_DEBT_TO_TOT_EQY","FQ1 2015","FQ1 2015","Currency=INR","Period=FQ","BEST_FPERIOD_OVERRIDE=FQ","FILING_STATUS=OR","EQY_CONSOLIDATED=Y","Sort=A","Dates=H","DateFormat=P","Fill=—","Direction=H","UseDPDF=Y")</f>
        <v>#NAME?</v>
      </c>
      <c r="CI9" s="1" t="e">
        <f ca="1">_xll.BDH($C$3,"LT_DEBT_TO_TOT_CAP","FQ1 2015","FQ1 2015","Currency=INR","Period=FQ","BEST_FPERIOD_OVERRIDE=FQ","FILING_STATUS=OR","EQY_CONSOLIDATED=Y","Sort=A","Dates=H","DateFormat=P","Fill=—","Direction=H","UseDPDF=Y")</f>
        <v>#NAME?</v>
      </c>
      <c r="CJ9" s="1" t="e">
        <f ca="1">_xll.BDH($C$3,"LT_DEBT_TO_TOT_ASSET","FQ1 2015","FQ1 2015","Currency=INR","Period=FQ","BEST_FPERIOD_OVERRIDE=FQ","FILING_STATUS=OR","EQY_CONSOLIDATED=Y","Sort=A","Dates=H","DateFormat=P","Fill=—","Direction=H","UseDPDF=Y")</f>
        <v>#NAME?</v>
      </c>
      <c r="CK9" s="1" t="e">
        <f ca="1">_xll.BDH($C$3,"TOT_DEBT_TO_TOT_EQY","FQ1 2015","FQ1 2015","Currency=INR","Period=FQ","BEST_FPERIOD_OVERRIDE=FQ","FILING_STATUS=OR","EQY_CONSOLIDATED=Y","Sort=A","Dates=H","DateFormat=P","Fill=—","Direction=H","UseDPDF=Y")</f>
        <v>#NAME?</v>
      </c>
      <c r="CL9" s="1" t="e">
        <f ca="1">_xll.BDH($C$3,"TOT_DEBT_TO_TOT_CAP","FQ1 2015","FQ1 2015","Currency=INR","Period=FQ","BEST_FPERIOD_OVERRIDE=FQ","FILING_STATUS=OR","EQY_CONSOLIDATED=Y","Sort=A","Dates=H","DateFormat=P","Fill=—","Direction=H","UseDPDF=Y")</f>
        <v>#NAME?</v>
      </c>
      <c r="CM9" s="1" t="e">
        <f ca="1">_xll.BDH($C$3,"TOT_DEBT_TO_TOT_ASSET","FQ1 2015","FQ1 2015","Currency=INR","Period=FQ","BEST_FPERIOD_OVERRIDE=FQ","FILING_STATUS=OR","EQY_CONSOLIDATED=Y","Sort=A","Dates=H","DateFormat=P","Fill=—","Direction=H","UseDPDF=Y")</f>
        <v>#NAME?</v>
      </c>
      <c r="CN9" s="1" t="e">
        <f ca="1">_xll.BDH($C$3,"NET_DEBT_TO_SHRHLDR_EQTY","FQ1 2015","FQ1 2015","Currency=INR","Period=FQ","BEST_FPERIOD_OVERRIDE=FQ","FILING_STATUS=OR","EQY_CONSOLIDATED=Y","Sort=A","Dates=H","DateFormat=P","Fill=—","Direction=H","UseDPDF=Y")</f>
        <v>#NAME?</v>
      </c>
      <c r="CO9" s="1" t="e">
        <f ca="1">_xll.BDH($C$3,"NET_DEBT_%_CAPITAL","FQ1 2015","FQ1 2015","Currency=INR","Period=FQ","BEST_FPERIOD_OVERRIDE=FQ","FILING_STATUS=OR","EQY_CONSOLIDATED=Y","Sort=A","Dates=H","DateFormat=P","Fill=—","Direction=H","UseDPDF=Y")</f>
        <v>#NAME?</v>
      </c>
      <c r="CP9" s="2" t="e">
        <f ca="1">_xll.BDH($C$3,"EBITDA","FQ1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9" s="2" t="e">
        <f ca="1">_xll.BDH($C$3,"EBITDA_AFTER_CAPEX","FQ1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9" s="2" t="e">
        <f ca="1">_xll.BDH($C$3,"IS_OPER_INC","FQ1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9" s="1" t="e">
        <f ca="1">_xll.BDH($C$3,"CASH_RATIO","FQ1 2015","FQ1 2015","Currency=INR","Period=FQ","BEST_FPERIOD_OVERRIDE=FQ","FILING_STATUS=OR","EQY_CONSOLIDATED=Y","Sort=A","Dates=H","DateFormat=P","Fill=—","Direction=H","UseDPDF=Y")</f>
        <v>#NAME?</v>
      </c>
      <c r="CT9" s="1" t="e">
        <f ca="1">_xll.BDH($C$3,"CUR_RATIO","FQ1 2015","FQ1 2015","Currency=INR","Period=FQ","BEST_FPERIOD_OVERRIDE=FQ","FILING_STATUS=OR","EQY_CONSOLIDATED=Y","Sort=A","Dates=H","DateFormat=P","Fill=—","Direction=H","UseDPDF=Y")</f>
        <v>#NAME?</v>
      </c>
      <c r="CU9" s="1" t="e">
        <f ca="1">_xll.BDH($C$3,"QUICK_RATIO","FQ1 2015","FQ1 2015","Currency=INR","Period=FQ","BEST_FPERIOD_OVERRIDE=FQ","FILING_STATUS=OR","EQY_CONSOLIDATED=Y","Sort=A","Dates=H","DateFormat=P","Fill=—","Direction=H","UseDPDF=Y")</f>
        <v>#NAME?</v>
      </c>
      <c r="CV9" s="1" t="e">
        <f ca="1">_xll.BDH($C$3,"ALTMAN_Z_SCORE","FQ1 2015","FQ1 2015","Currency=INR","Period=FQ","BEST_FPERIOD_OVERRIDE=FQ","FILING_STATUS=OR","EQY_CONSOLIDATED=Y","Sort=A","Dates=H","DateFormat=P","Fill=—","Direction=H","UseDPDF=Y")</f>
        <v>#NAME?</v>
      </c>
      <c r="CW9" s="3" t="e">
        <f ca="1">_xll.BDH($C$3,"ACCT_RCV_TURN","FQ1 2015","FQ1 2015","Currency=INR","Period=FQ","BEST_FPERIOD_OVERRIDE=FQ","FILING_STATUS=OR","EQY_CONSOLIDATED=Y","FA_ADJUSTED=GAAP","Sort=A","Dates=H","DateFormat=P","Fill=—","Direction=H","UseDPDF=Y")</f>
        <v>#NAME?</v>
      </c>
      <c r="CX9" s="1" t="e">
        <f ca="1">_xll.BDH($C$3,"ACCT_RCV_DAYS","FQ1 2015","FQ1 2015","Currency=INR","Period=FQ","BEST_FPERIOD_OVERRIDE=FQ","FILING_STATUS=OR","EQY_CONSOLIDATED=Y","FA_ADJUSTED=GAAP","Sort=A","Dates=H","DateFormat=P","Fill=—","Direction=H","UseDPDF=Y")</f>
        <v>#NAME?</v>
      </c>
      <c r="CY9" s="3" t="e">
        <f ca="1">_xll.BDH($C$3,"INVENT_TURN","FQ1 2015","FQ1 2015","Currency=INR","Period=FQ","BEST_FPERIOD_OVERRIDE=FQ","FILING_STATUS=OR","EQY_CONSOLIDATED=Y","FA_ADJUSTED=GAAP","Sort=A","Dates=H","DateFormat=P","Fill=—","Direction=H","UseDPDF=Y")</f>
        <v>#NAME?</v>
      </c>
      <c r="CZ9" s="1" t="e">
        <f ca="1">_xll.BDH($C$3,"INVENT_DAYS","FQ1 2015","FQ1 2015","Currency=INR","Period=FQ","BEST_FPERIOD_OVERRIDE=FQ","FILING_STATUS=OR","EQY_CONSOLIDATED=Y","FA_ADJUSTED=GAAP","Sort=A","Dates=H","DateFormat=P","Fill=—","Direction=H","UseDPDF=Y")</f>
        <v>#NAME?</v>
      </c>
      <c r="DA9" s="3" t="e">
        <f ca="1">_xll.BDH($C$3,"ACCOUNTS_PAYABLE_TURNOVER","FQ1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9" s="1" t="e">
        <f ca="1">_xll.BDH($C$3,"ACCOUNTS_PAYABLE_TURNOVER_DAYS","FQ1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9" s="3" t="e">
        <f ca="1">_xll.BDH($C$3,"CASH_CONVERSION_CYCLE","FQ1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9" s="3" t="e">
        <f ca="1">_xll.BDH($C$3,"INV_TO_CASH_DAYS","FQ1 2015","FQ1 2015","Currency=INR","Period=FQ","BEST_FPERIOD_OVERRIDE=FQ","FILING_STATUS=OR","EQY_CONSOLIDATED=Y","FA_ADJUSTED=GAAP","Sort=A","Dates=H","DateFormat=P","Fill=—","Direction=H","UseDPDF=Y")</f>
        <v>#NAME?</v>
      </c>
      <c r="DE9" s="4" t="e">
        <f ca="1">_xll.BDH($C$3,"BS_INVENTORIES","FQ1 2015","FQ1 2015","Currency=INR","Period=FQ","BEST_FPERIOD_OVERRIDE=FQ","FILING_STATUS=OR","EQY_CONSOLIDATED=Y","SCALING_FORMAT=MLN","Sort=A","Dates=H","DateFormat=P","Fill=—","Direction=H","UseDPDF=Y")</f>
        <v>#NAME?</v>
      </c>
      <c r="DF9" s="2" t="e">
        <f ca="1">_xll.BDH($C$3,"INVTRY_RAW_MATERIALS","FQ1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9" s="2" t="e">
        <f ca="1">_xll.BDH($C$3,"INVTRY_IN_PROGRESS","FQ1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9" s="2" t="e">
        <f ca="1">_xll.BDH($C$3,"INVTRY_FINISHED_GOODS","FQ1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9" s="2" t="e">
        <f ca="1">_xll.BDH($C$3,"BS_OTHER_INV","FQ1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0" spans="1:113" x14ac:dyDescent="0.3">
      <c r="A10" s="6"/>
      <c r="B10" s="6"/>
      <c r="C10" s="6"/>
      <c r="D10" s="6"/>
      <c r="E10" t="s">
        <v>5</v>
      </c>
      <c r="F10" t="e">
        <f ca="1">_xll.BDH($C$3,"RETURN_COM_EQY","FQ2 2015","FQ2 2015","Currency=INR","Period=FQ","BEST_FPERIOD_OVERRIDE=FQ","FILING_STATUS=OR","EQY_CONSOLIDATED=Y","FA_ADJUSTED=GAAP","Sort=A","Dates=H","DateFormat=P","Fill=—","Direction=H","UseDPDF=Y")</f>
        <v>#NAME?</v>
      </c>
      <c r="G10" t="e">
        <f ca="1">_xll.BDH($C$3,"RETURN_ON_ASSET","FQ2 2015","FQ2 2015","Currency=INR","Period=FQ","BEST_FPERIOD_OVERRIDE=FQ","FILING_STATUS=OR","EQY_CONSOLIDATED=Y","FA_ADJUSTED=GAAP","Sort=A","Dates=H","DateFormat=P","Fill=—","Direction=H","UseDPDF=Y")</f>
        <v>#NAME?</v>
      </c>
      <c r="H10" t="e">
        <f ca="1">_xll.BDH($C$3,"RETURN_ON_CAP","FQ2 2015","FQ2 2015","Currency=INR","Period=FQ","BEST_FPERIOD_OVERRIDE=FQ","FILING_STATUS=OR","EQY_CONSOLIDATED=Y","FA_ADJUSTED=GAAP","Sort=A","Dates=H","DateFormat=P","Fill=—","Direction=H","UseDPDF=Y")</f>
        <v>#NAME?</v>
      </c>
      <c r="I10" t="e">
        <f ca="1">_xll.BDH($C$3,"RETURN_ON_INV_CAPITAL","FQ2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0" t="e">
        <f ca="1">_xll.BDH($C$3,"EBITDA_TO_REVENUE","FQ2 2015","FQ2 2015","Currency=INR","Period=FQ","BEST_FPERIOD_OVERRIDE=FQ","FILING_STATUS=OR","EQY_CONSOLIDATED=Y","FA_ADJUSTED=GAAP","Sort=A","Dates=H","DateFormat=P","Fill=—","Direction=H","UseDPDF=Y")</f>
        <v>#NAME?</v>
      </c>
      <c r="K10" t="e">
        <f ca="1">_xll.BDH($C$3,"OPER_MARGIN","FQ2 2015","FQ2 2015","Currency=INR","Period=FQ","BEST_FPERIOD_OVERRIDE=FQ","FILING_STATUS=OR","EQY_CONSOLIDATED=Y","FA_ADJUSTED=GAAP","Sort=A","Dates=H","DateFormat=P","Fill=—","Direction=H","UseDPDF=Y")</f>
        <v>#NAME?</v>
      </c>
      <c r="L10" t="e">
        <f ca="1">_xll.BDH($C$3,"INCREMENTAL_OPERATING_MARGIN","FQ2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0" t="e">
        <f ca="1">_xll.BDH($C$3,"PRETAX_INC_TO_NET_SALES","FQ2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0" t="e">
        <f ca="1">_xll.BDH($C$3,"INC_BEF_XO_ITEMS_TO_NET_SALES","FQ2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0" t="e">
        <f ca="1">_xll.BDH($C$3,"PROF_MARGIN","FQ2 2015","FQ2 2015","Currency=INR","Period=FQ","BEST_FPERIOD_OVERRIDE=FQ","FILING_STATUS=OR","EQY_CONSOLIDATED=Y","FA_ADJUSTED=GAAP","Sort=A","Dates=H","DateFormat=P","Fill=—","Direction=H","UseDPDF=Y")</f>
        <v>#NAME?</v>
      </c>
      <c r="P10" t="e">
        <f ca="1">_xll.BDH($C$3,"NET_INCOME_TO_COMMON_MARGIN","FQ2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0" t="e">
        <f ca="1">_xll.BDH($C$3,"EFF_TAX_RATE","FQ2 2015","FQ2 2015","Currency=INR","Period=FQ","BEST_FPERIOD_OVERRIDE=FQ","FILING_STATUS=OR","EQY_CONSOLIDATED=Y","FA_ADJUSTED=GAAP","Sort=A","Dates=H","DateFormat=P","Fill=—","Direction=H","UseDPDF=Y")</f>
        <v>#NAME?</v>
      </c>
      <c r="R10" t="e">
        <f ca="1">_xll.BDH($C$3,"DVD_PAYOUT_RATIO","FQ2 2015","FQ2 2015","Currency=INR","Period=FQ","BEST_FPERIOD_OVERRIDE=FQ","FILING_STATUS=OR","EQY_CONSOLIDATED=Y","FA_ADJUSTED=GAAP","Sort=A","Dates=H","DateFormat=P","Fill=—","Direction=H","UseDPDF=Y")</f>
        <v>#NAME?</v>
      </c>
      <c r="S10" t="e">
        <f ca="1">_xll.BDH($C$3,"SUSTAIN_GROWTH_RT","FQ2 2015","FQ2 2015","Currency=INR","Period=FQ","BEST_FPERIOD_OVERRIDE=FQ","FILING_STATUS=OR","EQY_CONSOLIDATED=Y","FA_ADJUSTED=GAAP","Sort=A","Dates=H","DateFormat=P","Fill=—","Direction=H","UseDPDF=Y")</f>
        <v>#NAME?</v>
      </c>
      <c r="T10" s="1" t="e">
        <f ca="1">_xll.BDH($C$3,"SALES_GROWTH","FQ2 2015","FQ2 2015","Currency=INR","Period=FQ","BEST_FPERIOD_OVERRIDE=FQ","FILING_STATUS=OR","EQY_CONSOLIDATED=Y","FA_ADJUSTED=GAAP","Sort=A","Dates=H","DateFormat=P","Fill=—","Direction=H","UseDPDF=Y")</f>
        <v>#NAME?</v>
      </c>
      <c r="U10" s="1" t="e">
        <f ca="1">_xll.BDH($C$3,"EBITDA_GROWTH","FQ2 2015","FQ2 2015","Currency=INR","Period=FQ","BEST_FPERIOD_OVERRIDE=FQ","FILING_STATUS=OR","EQY_CONSOLIDATED=Y","FA_ADJUSTED=GAAP","Sort=A","Dates=H","DateFormat=P","Fill=—","Direction=H","UseDPDF=Y")</f>
        <v>#NAME?</v>
      </c>
      <c r="V10" s="1" t="e">
        <f ca="1">_xll.BDH($C$3,"OPER_INC_GROWTH","FQ2 2015","FQ2 2015","Currency=INR","Period=FQ","BEST_FPERIOD_OVERRIDE=FQ","FILING_STATUS=OR","EQY_CONSOLIDATED=Y","FA_ADJUSTED=GAAP","Sort=A","Dates=H","DateFormat=P","Fill=—","Direction=H","UseDPDF=Y")</f>
        <v>#NAME?</v>
      </c>
      <c r="W10" s="1" t="e">
        <f ca="1">_xll.BDH($C$3,"EARN_FOR_COM_GROWTH","FQ2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0" s="1" t="e">
        <f ca="1">_xll.BDH($C$3,"DILUTED_EPS_AFT_XO_ITEMS_GROWTH","FQ2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0" s="1" t="e">
        <f ca="1">_xll.BDH($C$3,"DIVIDEND_PER_SHARE_1_YEAR_GROWTH","FQ2 2015","FQ2 2015","Currency=INR","Period=FQ","BEST_FPERIOD_OVERRIDE=FQ","FILING_STATUS=OR","EQY_CONSOLIDATED=Y","Sort=A","Dates=H","DateFormat=P","Fill=—","Direction=H","UseDPDF=Y")</f>
        <v>#NAME?</v>
      </c>
      <c r="Z10" s="1" t="e">
        <f ca="1">_xll.BDH($C$3,"ACCOUNTS_RECEIVABLE_GROWTH","FQ2 2015","FQ2 2015","Currency=INR","Period=FQ","BEST_FPERIOD_OVERRIDE=FQ","FILING_STATUS=OR","EQY_CONSOLIDATED=Y","Sort=A","Dates=H","DateFormat=P","Fill=—","Direction=H","UseDPDF=Y")</f>
        <v>#NAME?</v>
      </c>
      <c r="AA10" s="1" t="e">
        <f ca="1">_xll.BDH($C$3,"INVENTORY_GROWTH","FQ2 2015","FQ2 2015","Currency=INR","Period=FQ","BEST_FPERIOD_OVERRIDE=FQ","FILING_STATUS=OR","EQY_CONSOLIDATED=Y","Sort=A","Dates=H","DateFormat=P","Fill=—","Direction=H","UseDPDF=Y")</f>
        <v>#NAME?</v>
      </c>
      <c r="AB10" s="1" t="e">
        <f ca="1">_xll.BDH($C$3,"NET_FIXED_ASSETS_1_YEAR_GROWTH","FQ2 2015","FQ2 2015","Currency=INR","Period=FQ","BEST_FPERIOD_OVERRIDE=FQ","FILING_STATUS=OR","EQY_CONSOLIDATED=Y","Sort=A","Dates=H","DateFormat=P","Fill=—","Direction=H","UseDPDF=Y")</f>
        <v>#NAME?</v>
      </c>
      <c r="AC10" s="1" t="e">
        <f ca="1">_xll.BDH($C$3,"ASSET_GROWTH","FQ2 2015","FQ2 2015","Currency=INR","Period=FQ","BEST_FPERIOD_OVERRIDE=FQ","FILING_STATUS=OR","EQY_CONSOLIDATED=Y","Sort=A","Dates=H","DateFormat=P","Fill=—","Direction=H","UseDPDF=Y")</f>
        <v>#NAME?</v>
      </c>
      <c r="AD10" s="1" t="e">
        <f ca="1">_xll.BDH($C$3,"MODIFIED_WORK_CAP_GROWTH","FQ2 2015","FQ2 2015","Currency=INR","Period=FQ","BEST_FPERIOD_OVERRIDE=FQ","FILING_STATUS=OR","EQY_CONSOLIDATED=Y","Sort=A","Dates=H","DateFormat=P","Fill=—","Direction=H","UseDPDF=Y")</f>
        <v>#NAME?</v>
      </c>
      <c r="AE10" s="1" t="e">
        <f ca="1">_xll.BDH($C$3,"WORK_CAP_GROWTH","FQ2 2015","FQ2 2015","Currency=INR","Period=FQ","BEST_FPERIOD_OVERRIDE=FQ","FILING_STATUS=OR","EQY_CONSOLIDATED=Y","Sort=A","Dates=H","DateFormat=P","Fill=—","Direction=H","UseDPDF=Y")</f>
        <v>#NAME?</v>
      </c>
      <c r="AF10" s="1" t="e">
        <f ca="1">_xll.BDH($C$3,"ACCOUNTS_PAYABLE_GROWTH_1YR","FQ2 2015","FQ2 2015","Currency=INR","Period=FQ","BEST_FPERIOD_OVERRIDE=FQ","FILING_STATUS=OR","EQY_CONSOLIDATED=Y","Sort=A","Dates=H","DateFormat=P","Fill=—","Direction=H","UseDPDF=Y")</f>
        <v>#NAME?</v>
      </c>
      <c r="AG10" s="1" t="e">
        <f ca="1">_xll.BDH($C$3,"SHORT_TERM_DEBT_1_YEAR_GROWTH","FQ2 2015","FQ2 2015","Currency=INR","Period=FQ","BEST_FPERIOD_OVERRIDE=FQ","FILING_STATUS=OR","EQY_CONSOLIDATED=Y","Sort=A","Dates=H","DateFormat=P","Fill=—","Direction=H","UseDPDF=Y")</f>
        <v>#NAME?</v>
      </c>
      <c r="AH10" s="1" t="e">
        <f ca="1">_xll.BDH($C$3,"TOTAL_DEBT_1_YEAR_GROWTH","FQ2 2015","FQ2 2015","Currency=INR","Period=FQ","BEST_FPERIOD_OVERRIDE=FQ","FILING_STATUS=OR","EQY_CONSOLIDATED=Y","Sort=A","Dates=H","DateFormat=P","Fill=—","Direction=H","UseDPDF=Y")</f>
        <v>#NAME?</v>
      </c>
      <c r="AI10" s="1" t="e">
        <f ca="1">_xll.BDH($C$3,"TOTAL_EQUITY_1_YEAR_GROWTH","FQ2 2015","FQ2 2015","Currency=INR","Period=FQ","BEST_FPERIOD_OVERRIDE=FQ","FILING_STATUS=OR","EQY_CONSOLIDATED=Y","Sort=A","Dates=H","DateFormat=P","Fill=—","Direction=H","UseDPDF=Y")</f>
        <v>#NAME?</v>
      </c>
      <c r="AJ10" s="1" t="e">
        <f ca="1">_xll.BDH($C$3,"GROWTH_IN_CAP","FQ2 2015","FQ2 2015","Currency=INR","Period=FQ","BEST_FPERIOD_OVERRIDE=FQ","FILING_STATUS=OR","EQY_CONSOLIDATED=Y","Sort=A","Dates=H","DateFormat=P","Fill=—","Direction=H","UseDPDF=Y")</f>
        <v>#NAME?</v>
      </c>
      <c r="AK10" s="1" t="e">
        <f ca="1">_xll.BDH($C$3,"BVPS_GROWTH","FQ2 2015","FQ2 2015","Currency=INR","Period=FQ","BEST_FPERIOD_OVERRIDE=FQ","FILING_STATUS=OR","EQY_CONSOLIDATED=Y","Sort=A","Dates=H","DateFormat=P","Fill=—","Direction=H","UseDPDF=Y")</f>
        <v>#NAME?</v>
      </c>
      <c r="AL10" s="1" t="e">
        <f ca="1">_xll.BDH($C$3,"CASH_FLOW_GROWTH","FQ2 2015","FQ2 2015","Currency=INR","Period=FQ","BEST_FPERIOD_OVERRIDE=FQ","FILING_STATUS=OR","EQY_CONSOLIDATED=Y","Sort=A","Dates=H","DateFormat=P","Fill=—","Direction=H","UseDPDF=Y")</f>
        <v>#NAME?</v>
      </c>
      <c r="AM10" s="1" t="e">
        <f ca="1">_xll.BDH($C$3,"GEO_GROW_NET_SALES","FQ2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0" s="1" t="e">
        <f ca="1">_xll.BDH($C$3,"GEO_GROW_EBITDA","FQ2 2015","FQ2 2015","Currency=INR","Period=FQ","BEST_FPERIOD_OVERRIDE=FQ","FILING_STATUS=OR","EQY_CONSOLIDATED=Y","FA_ADJUSTED=GAAP","Sort=A","Dates=H","DateFormat=P","Fill=—","Direction=H","UseDPDF=Y")</f>
        <v>#NAME?</v>
      </c>
      <c r="AO10" s="1" t="e">
        <f ca="1">_xll.BDH($C$3,"GEO_GROW_OPER_INC","FQ2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0" s="1" t="e">
        <f ca="1">_xll.BDH($C$3,"NET_INCOME_TO_COMMON_5_YR_GROWTH","FQ2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0" s="1" t="e">
        <f ca="1">_xll.BDH($C$3,"5Y_GEO_GROWTH_DILUTED_EPS","FQ2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0" s="1" t="e">
        <f ca="1">_xll.BDH($C$3,"GEO_GROW_DVD_PER_SH","FQ2 2015","FQ2 2015","Currency=INR","Period=FQ","BEST_FPERIOD_OVERRIDE=FQ","FILING_STATUS=OR","EQY_CONSOLIDATED=Y","Sort=A","Dates=H","DateFormat=P","Fill=—","Direction=H","UseDPDF=Y")</f>
        <v>#NAME?</v>
      </c>
      <c r="AS10" s="1" t="e">
        <f ca="1">_xll.BDH($C$3,"ACCOUNTS_RECEIVABLE_5_YR_GROWTH","FQ2 2015","FQ2 2015","Currency=INR","Period=FQ","BEST_FPERIOD_OVERRIDE=FQ","FILING_STATUS=OR","EQY_CONSOLIDATED=Y","Sort=A","Dates=H","DateFormat=P","Fill=—","Direction=H","UseDPDF=Y")</f>
        <v>#NAME?</v>
      </c>
      <c r="AT10" s="1" t="e">
        <f ca="1">_xll.BDH($C$3,"INVENTORY_5_YEAR_GROWTH","FQ2 2015","FQ2 2015","Currency=INR","Period=FQ","BEST_FPERIOD_OVERRIDE=FQ","FILING_STATUS=OR","EQY_CONSOLIDATED=Y","Sort=A","Dates=H","DateFormat=P","Fill=—","Direction=H","UseDPDF=Y")</f>
        <v>#NAME?</v>
      </c>
      <c r="AU10" s="1" t="e">
        <f ca="1">_xll.BDH($C$3,"NET_FIXED_ASSETS_5_YEAR_GROWTH","FQ2 2015","FQ2 2015","Currency=INR","Period=FQ","BEST_FPERIOD_OVERRIDE=FQ","FILING_STATUS=OR","EQY_CONSOLIDATED=Y","Sort=A","Dates=H","DateFormat=P","Fill=—","Direction=H","UseDPDF=Y")</f>
        <v>#NAME?</v>
      </c>
      <c r="AV10" s="1" t="e">
        <f ca="1">_xll.BDH($C$3,"GEO_GROW_TOT_ASSET","FQ2 2015","FQ2 2015","Currency=INR","Period=FQ","BEST_FPERIOD_OVERRIDE=FQ","FILING_STATUS=OR","EQY_CONSOLIDATED=Y","Sort=A","Dates=H","DateFormat=P","Fill=—","Direction=H","UseDPDF=Y")</f>
        <v>#NAME?</v>
      </c>
      <c r="AW10" s="1" t="e">
        <f ca="1">_xll.BDH($C$3,"MODIFIED_WORKING_CPTL_5YR_GRWTH","FQ2 2015","FQ2 2015","Currency=INR","Period=FQ","BEST_FPERIOD_OVERRIDE=FQ","FILING_STATUS=OR","EQY_CONSOLIDATED=Y","Sort=A","Dates=H","DateFormat=P","Fill=—","Direction=H","UseDPDF=Y")</f>
        <v>#NAME?</v>
      </c>
      <c r="AX10" s="1" t="e">
        <f ca="1">_xll.BDH($C$3,"WORKING_CAPITAL_5_YEAR_GROWTH","FQ2 2015","FQ2 2015","Currency=INR","Period=FQ","BEST_FPERIOD_OVERRIDE=FQ","FILING_STATUS=OR","EQY_CONSOLIDATED=Y","Sort=A","Dates=H","DateFormat=P","Fill=—","Direction=H","UseDPDF=Y")</f>
        <v>#NAME?</v>
      </c>
      <c r="AY10" s="1" t="e">
        <f ca="1">_xll.BDH($C$3,"ACCOUNTS_PAYABLE_5_YEAR_GROWTH","FQ2 2015","FQ2 2015","Currency=INR","Period=FQ","BEST_FPERIOD_OVERRIDE=FQ","FILING_STATUS=OR","EQY_CONSOLIDATED=Y","Sort=A","Dates=H","DateFormat=P","Fill=—","Direction=H","UseDPDF=Y")</f>
        <v>#NAME?</v>
      </c>
      <c r="AZ10" s="1" t="e">
        <f ca="1">_xll.BDH($C$3,"SHORT_TERM_DEBT_5_YEAR_GROWTH","FQ2 2015","FQ2 2015","Currency=INR","Period=FQ","BEST_FPERIOD_OVERRIDE=FQ","FILING_STATUS=OR","EQY_CONSOLIDATED=Y","Sort=A","Dates=H","DateFormat=P","Fill=—","Direction=H","UseDPDF=Y")</f>
        <v>#NAME?</v>
      </c>
      <c r="BA10" s="1" t="e">
        <f ca="1">_xll.BDH($C$3,"TOTAL_DEBT_5_YEAR_GROWTH","FQ2 2015","FQ2 2015","Currency=INR","Period=FQ","BEST_FPERIOD_OVERRIDE=FQ","FILING_STATUS=OR","EQY_CONSOLIDATED=Y","Sort=A","Dates=H","DateFormat=P","Fill=—","Direction=H","UseDPDF=Y")</f>
        <v>#NAME?</v>
      </c>
      <c r="BB10" s="1" t="e">
        <f ca="1">_xll.BDH($C$3,"GEO_GROW_TOT_SHRHLDR_EQY","FQ2 2015","FQ2 2015","Currency=INR","Period=FQ","BEST_FPERIOD_OVERRIDE=FQ","FILING_STATUS=OR","EQY_CONSOLIDATED=Y","Sort=A","Dates=H","DateFormat=P","Fill=—","Direction=H","UseDPDF=Y")</f>
        <v>#NAME?</v>
      </c>
      <c r="BC10" s="1" t="e">
        <f ca="1">_xll.BDH($C$3,"TOTAL_CAPITAL_5_YEAR_GROWTH","FQ2 2015","FQ2 2015","Currency=INR","Period=FQ","BEST_FPERIOD_OVERRIDE=FQ","FILING_STATUS=OR","EQY_CONSOLIDATED=Y","Sort=A","Dates=H","DateFormat=P","Fill=—","Direction=H","UseDPDF=Y")</f>
        <v>#NAME?</v>
      </c>
      <c r="BD10" s="1" t="e">
        <f ca="1">_xll.BDH($C$3,"GEO_GROW_BOOK_VAL","FQ2 2015","FQ2 2015","Currency=INR","Period=FQ","BEST_FPERIOD_OVERRIDE=FQ","FILING_STATUS=OR","EQY_CONSOLIDATED=Y","Sort=A","Dates=H","DateFormat=P","Fill=—","Direction=H","UseDPDF=Y")</f>
        <v>#NAME?</v>
      </c>
      <c r="BE10" s="1" t="e">
        <f ca="1">_xll.BDH($C$3,"GEO_GROW_CASH_OPER_ACT","FQ2 2015","FQ2 2015","Currency=INR","Period=FQ","BEST_FPERIOD_OVERRIDE=FQ","FILING_STATUS=OR","EQY_CONSOLIDATED=Y","Sort=A","Dates=H","DateFormat=P","Fill=—","Direction=H","UseDPDF=Y")</f>
        <v>#NAME?</v>
      </c>
      <c r="BF10" s="1" t="e">
        <f ca="1">_xll.BDH($C$3,"REVENUE_SEQUENTIAL_GROWTH","FQ2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0" s="1" t="e">
        <f ca="1">_xll.BDH($C$3,"EBITDA_SEQUENTIAL_GROWTH","FQ2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0" s="1" t="e">
        <f ca="1">_xll.BDH($C$3,"OPERATING_INCOME_SEQ_GROWTH","FQ2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0" s="1" t="e">
        <f ca="1">_xll.BDH($C$3,"NET_INCOME_TO_COMMON_SEQ_GROWTH","FQ2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0" s="1" t="e">
        <f ca="1">_xll.BDH($C$3,"EPS_DILUTED_SEQUENTIAL_GROWTH","FQ2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0" s="1" t="e">
        <f ca="1">_xll.BDH($C$3,"DPS_SEQUENTIAL_GROWTH","FQ2 2015","FQ2 2015","Currency=INR","Period=FQ","BEST_FPERIOD_OVERRIDE=FQ","FILING_STATUS=OR","EQY_CONSOLIDATED=Y","Sort=A","Dates=H","DateFormat=P","Fill=—","Direction=H","UseDPDF=Y")</f>
        <v>#NAME?</v>
      </c>
      <c r="BL10" s="1" t="e">
        <f ca="1">_xll.BDH($C$3,"ACCOUNTS_RECEIVABLE_SEQ_GROWTH","FQ2 2015","FQ2 2015","Currency=INR","Period=FQ","BEST_FPERIOD_OVERRIDE=FQ","FILING_STATUS=OR","EQY_CONSOLIDATED=Y","Sort=A","Dates=H","DateFormat=P","Fill=—","Direction=H","UseDPDF=Y")</f>
        <v>#NAME?</v>
      </c>
      <c r="BM10" s="1" t="e">
        <f ca="1">_xll.BDH($C$3,"INVENTORY_SEQUENTIAL_GROWTH","FQ2 2015","FQ2 2015","Currency=INR","Period=FQ","BEST_FPERIOD_OVERRIDE=FQ","FILING_STATUS=OR","EQY_CONSOLIDATED=Y","Sort=A","Dates=H","DateFormat=P","Fill=—","Direction=H","UseDPDF=Y")</f>
        <v>#NAME?</v>
      </c>
      <c r="BN10" s="1" t="e">
        <f ca="1">_xll.BDH($C$3,"FIXED_ASSETS_SEQUENTIAL_GROWTH","FQ2 2015","FQ2 2015","Currency=INR","Period=FQ","BEST_FPERIOD_OVERRIDE=FQ","FILING_STATUS=OR","EQY_CONSOLIDATED=Y","Sort=A","Dates=H","DateFormat=P","Fill=—","Direction=H","UseDPDF=Y")</f>
        <v>#NAME?</v>
      </c>
      <c r="BO10" s="1" t="e">
        <f ca="1">_xll.BDH($C$3,"TOTAL_ASSETS_SEQUENTIAL_GROWTH","FQ2 2015","FQ2 2015","Currency=INR","Period=FQ","BEST_FPERIOD_OVERRIDE=FQ","FILING_STATUS=OR","EQY_CONSOLIDATED=Y","Sort=A","Dates=H","DateFormat=P","Fill=—","Direction=H","UseDPDF=Y")</f>
        <v>#NAME?</v>
      </c>
      <c r="BP10" s="1" t="e">
        <f ca="1">_xll.BDH($C$3,"MODIFIED_WORKING_CPTL_SEQ_GRWTH","FQ2 2015","FQ2 2015","Currency=INR","Period=FQ","BEST_FPERIOD_OVERRIDE=FQ","FILING_STATUS=OR","EQY_CONSOLIDATED=Y","Sort=A","Dates=H","DateFormat=P","Fill=—","Direction=H","UseDPDF=Y")</f>
        <v>#NAME?</v>
      </c>
      <c r="BQ10" s="1" t="e">
        <f ca="1">_xll.BDH($C$3,"WORKING_CAPITAL_SEQ_GROWTH","FQ2 2015","FQ2 2015","Currency=INR","Period=FQ","BEST_FPERIOD_OVERRIDE=FQ","FILING_STATUS=OR","EQY_CONSOLIDATED=Y","Sort=A","Dates=H","DateFormat=P","Fill=—","Direction=H","UseDPDF=Y")</f>
        <v>#NAME?</v>
      </c>
      <c r="BR10" s="1" t="e">
        <f ca="1">_xll.BDH($C$3,"ACCOUNTS_PAYABLE_SEQ_GROWTH","FQ2 2015","FQ2 2015","Currency=INR","Period=FQ","BEST_FPERIOD_OVERRIDE=FQ","FILING_STATUS=OR","EQY_CONSOLIDATED=Y","Sort=A","Dates=H","DateFormat=P","Fill=—","Direction=H","UseDPDF=Y")</f>
        <v>#NAME?</v>
      </c>
      <c r="BS10" s="1" t="e">
        <f ca="1">_xll.BDH($C$3,"ST_DEBT_SEQUENTIAL_GROWTH","FQ2 2015","FQ2 2015","Currency=INR","Period=FQ","BEST_FPERIOD_OVERRIDE=FQ","FILING_STATUS=OR","EQY_CONSOLIDATED=Y","Sort=A","Dates=H","DateFormat=P","Fill=—","Direction=H","UseDPDF=Y")</f>
        <v>#NAME?</v>
      </c>
      <c r="BT10" s="1" t="e">
        <f ca="1">_xll.BDH($C$3,"TOTAL_DEBT_SEQUENTIAL_GROWTH","FQ2 2015","FQ2 2015","Currency=INR","Period=FQ","BEST_FPERIOD_OVERRIDE=FQ","FILING_STATUS=OR","EQY_CONSOLIDATED=Y","Sort=A","Dates=H","DateFormat=P","Fill=—","Direction=H","UseDPDF=Y")</f>
        <v>#NAME?</v>
      </c>
      <c r="BU10" s="1" t="e">
        <f ca="1">_xll.BDH($C$3,"TOTAL_EQUITY_SEQUENTIAL_GROWTH","FQ2 2015","FQ2 2015","Currency=INR","Period=FQ","BEST_FPERIOD_OVERRIDE=FQ","FILING_STATUS=OR","EQY_CONSOLIDATED=Y","Sort=A","Dates=H","DateFormat=P","Fill=—","Direction=H","UseDPDF=Y")</f>
        <v>#NAME?</v>
      </c>
      <c r="BV10" s="1" t="e">
        <f ca="1">_xll.BDH($C$3,"TOTAL_CAPITAL_SEQUENTIAL_GROWTH","FQ2 2015","FQ2 2015","Currency=INR","Period=FQ","BEST_FPERIOD_OVERRIDE=FQ","FILING_STATUS=OR","EQY_CONSOLIDATED=Y","Sort=A","Dates=H","DateFormat=P","Fill=—","Direction=H","UseDPDF=Y")</f>
        <v>#NAME?</v>
      </c>
      <c r="BW10" s="1" t="e">
        <f ca="1">_xll.BDH($C$3,"BPS_SEQUENTIAL_GROWTH","FQ2 2015","FQ2 2015","Currency=INR","Period=FQ","BEST_FPERIOD_OVERRIDE=FQ","FILING_STATUS=OR","EQY_CONSOLIDATED=Y","Sort=A","Dates=H","DateFormat=P","Fill=—","Direction=H","UseDPDF=Y")</f>
        <v>#NAME?</v>
      </c>
      <c r="BX10" s="1" t="e">
        <f ca="1">_xll.BDH($C$3,"CFO_SEQUENTIAL_GROWTH","FQ2 2015","FQ2 2015","Currency=INR","Period=FQ","BEST_FPERIOD_OVERRIDE=FQ","FILING_STATUS=OR","EQY_CONSOLIDATED=Y","Sort=A","Dates=H","DateFormat=P","Fill=—","Direction=H","UseDPDF=Y")</f>
        <v>#NAME?</v>
      </c>
      <c r="BY10" s="2" t="e">
        <f ca="1">_xll.BDH($C$3,"SHORT_AND_LONG_TERM_DEBT","FQ2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0" s="2" t="e">
        <f ca="1">_xll.BDH($C$3,"BS_ST_BORROW","FQ2 2015","FQ2 2015","Currency=INR","Period=FQ","BEST_FPERIOD_OVERRIDE=FQ","FILING_STATUS=OR","EQY_CONSOLIDATED=Y","SCALING_FORMAT=MLN","Sort=A","Dates=H","DateFormat=P","Fill=—","Direction=H","UseDPDF=Y")</f>
        <v>#NAME?</v>
      </c>
      <c r="CA10" s="2" t="e">
        <f ca="1">_xll.BDH($C$3,"BS_LT_BORROW","FQ2 2015","FQ2 2015","Currency=INR","Period=FQ","BEST_FPERIOD_OVERRIDE=FQ","FILING_STATUS=OR","EQY_CONSOLIDATED=Y","SCALING_FORMAT=MLN","Sort=A","Dates=H","DateFormat=P","Fill=—","Direction=H","UseDPDF=Y")</f>
        <v>#NAME?</v>
      </c>
      <c r="CB10" s="1" t="e">
        <f ca="1">_xll.BDH($C$3,"TOT_DEBT_TO_EBITDA","FQ2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0" s="1" t="e">
        <f ca="1">_xll.BDH($C$3,"NET_DEBT_TO_EBITDA","FQ2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0" s="1" t="e">
        <f ca="1">_xll.BDH($C$3,"TOTAL_DEBT_TO_EBIT","FQ2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0" s="1" t="e">
        <f ca="1">_xll.BDH($C$3,"NET_DEBT_TO_EBIT","FQ2 2015","FQ2 2015","Currency=INR","Period=FQ","BEST_FPERIOD_OVERRIDE=FQ","FILING_STATUS=OR","EQY_CONSOLIDATED=Y","FA_ADJUSTED=GAAP","Sort=A","Dates=H","DateFormat=P","Fill=—","Direction=H","UseDPDF=Y")</f>
        <v>#NAME?</v>
      </c>
      <c r="CF10" s="1" t="e">
        <f ca="1">_xll.BDH($C$3,"EBITDA_TO_INTEREST_EXPN","FQ2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0" s="1" t="e">
        <f ca="1">_xll.BDH($C$3,"COM_EQY_TO_TOT_ASSET","FQ2 2015","FQ2 2015","Currency=INR","Period=FQ","BEST_FPERIOD_OVERRIDE=FQ","FILING_STATUS=OR","EQY_CONSOLIDATED=Y","Sort=A","Dates=H","DateFormat=P","Fill=—","Direction=H","UseDPDF=Y")</f>
        <v>#NAME?</v>
      </c>
      <c r="CH10" s="1" t="e">
        <f ca="1">_xll.BDH($C$3,"LT_DEBT_TO_TOT_EQY","FQ2 2015","FQ2 2015","Currency=INR","Period=FQ","BEST_FPERIOD_OVERRIDE=FQ","FILING_STATUS=OR","EQY_CONSOLIDATED=Y","Sort=A","Dates=H","DateFormat=P","Fill=—","Direction=H","UseDPDF=Y")</f>
        <v>#NAME?</v>
      </c>
      <c r="CI10" s="1" t="e">
        <f ca="1">_xll.BDH($C$3,"LT_DEBT_TO_TOT_CAP","FQ2 2015","FQ2 2015","Currency=INR","Period=FQ","BEST_FPERIOD_OVERRIDE=FQ","FILING_STATUS=OR","EQY_CONSOLIDATED=Y","Sort=A","Dates=H","DateFormat=P","Fill=—","Direction=H","UseDPDF=Y")</f>
        <v>#NAME?</v>
      </c>
      <c r="CJ10" s="1" t="e">
        <f ca="1">_xll.BDH($C$3,"LT_DEBT_TO_TOT_ASSET","FQ2 2015","FQ2 2015","Currency=INR","Period=FQ","BEST_FPERIOD_OVERRIDE=FQ","FILING_STATUS=OR","EQY_CONSOLIDATED=Y","Sort=A","Dates=H","DateFormat=P","Fill=—","Direction=H","UseDPDF=Y")</f>
        <v>#NAME?</v>
      </c>
      <c r="CK10" s="1" t="e">
        <f ca="1">_xll.BDH($C$3,"TOT_DEBT_TO_TOT_EQY","FQ2 2015","FQ2 2015","Currency=INR","Period=FQ","BEST_FPERIOD_OVERRIDE=FQ","FILING_STATUS=OR","EQY_CONSOLIDATED=Y","Sort=A","Dates=H","DateFormat=P","Fill=—","Direction=H","UseDPDF=Y")</f>
        <v>#NAME?</v>
      </c>
      <c r="CL10" s="1" t="e">
        <f ca="1">_xll.BDH($C$3,"TOT_DEBT_TO_TOT_CAP","FQ2 2015","FQ2 2015","Currency=INR","Period=FQ","BEST_FPERIOD_OVERRIDE=FQ","FILING_STATUS=OR","EQY_CONSOLIDATED=Y","Sort=A","Dates=H","DateFormat=P","Fill=—","Direction=H","UseDPDF=Y")</f>
        <v>#NAME?</v>
      </c>
      <c r="CM10" s="1" t="e">
        <f ca="1">_xll.BDH($C$3,"TOT_DEBT_TO_TOT_ASSET","FQ2 2015","FQ2 2015","Currency=INR","Period=FQ","BEST_FPERIOD_OVERRIDE=FQ","FILING_STATUS=OR","EQY_CONSOLIDATED=Y","Sort=A","Dates=H","DateFormat=P","Fill=—","Direction=H","UseDPDF=Y")</f>
        <v>#NAME?</v>
      </c>
      <c r="CN10" s="1" t="e">
        <f ca="1">_xll.BDH($C$3,"NET_DEBT_TO_SHRHLDR_EQTY","FQ2 2015","FQ2 2015","Currency=INR","Period=FQ","BEST_FPERIOD_OVERRIDE=FQ","FILING_STATUS=OR","EQY_CONSOLIDATED=Y","Sort=A","Dates=H","DateFormat=P","Fill=—","Direction=H","UseDPDF=Y")</f>
        <v>#NAME?</v>
      </c>
      <c r="CO10" s="1" t="e">
        <f ca="1">_xll.BDH($C$3,"NET_DEBT_%_CAPITAL","FQ2 2015","FQ2 2015","Currency=INR","Period=FQ","BEST_FPERIOD_OVERRIDE=FQ","FILING_STATUS=OR","EQY_CONSOLIDATED=Y","Sort=A","Dates=H","DateFormat=P","Fill=—","Direction=H","UseDPDF=Y")</f>
        <v>#NAME?</v>
      </c>
      <c r="CP10" s="2" t="e">
        <f ca="1">_xll.BDH($C$3,"EBITDA","FQ2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0" s="2" t="e">
        <f ca="1">_xll.BDH($C$3,"EBITDA_AFTER_CAPEX","FQ2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0" s="2" t="e">
        <f ca="1">_xll.BDH($C$3,"IS_OPER_INC","FQ2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0" s="1" t="e">
        <f ca="1">_xll.BDH($C$3,"CASH_RATIO","FQ2 2015","FQ2 2015","Currency=INR","Period=FQ","BEST_FPERIOD_OVERRIDE=FQ","FILING_STATUS=OR","EQY_CONSOLIDATED=Y","Sort=A","Dates=H","DateFormat=P","Fill=—","Direction=H","UseDPDF=Y")</f>
        <v>#NAME?</v>
      </c>
      <c r="CT10" s="1" t="e">
        <f ca="1">_xll.BDH($C$3,"CUR_RATIO","FQ2 2015","FQ2 2015","Currency=INR","Period=FQ","BEST_FPERIOD_OVERRIDE=FQ","FILING_STATUS=OR","EQY_CONSOLIDATED=Y","Sort=A","Dates=H","DateFormat=P","Fill=—","Direction=H","UseDPDF=Y")</f>
        <v>#NAME?</v>
      </c>
      <c r="CU10" s="1" t="e">
        <f ca="1">_xll.BDH($C$3,"QUICK_RATIO","FQ2 2015","FQ2 2015","Currency=INR","Period=FQ","BEST_FPERIOD_OVERRIDE=FQ","FILING_STATUS=OR","EQY_CONSOLIDATED=Y","Sort=A","Dates=H","DateFormat=P","Fill=—","Direction=H","UseDPDF=Y")</f>
        <v>#NAME?</v>
      </c>
      <c r="CV10" s="1" t="e">
        <f ca="1">_xll.BDH($C$3,"ALTMAN_Z_SCORE","FQ2 2015","FQ2 2015","Currency=INR","Period=FQ","BEST_FPERIOD_OVERRIDE=FQ","FILING_STATUS=OR","EQY_CONSOLIDATED=Y","Sort=A","Dates=H","DateFormat=P","Fill=—","Direction=H","UseDPDF=Y")</f>
        <v>#NAME?</v>
      </c>
      <c r="CW10" s="3" t="e">
        <f ca="1">_xll.BDH($C$3,"ACCT_RCV_TURN","FQ2 2015","FQ2 2015","Currency=INR","Period=FQ","BEST_FPERIOD_OVERRIDE=FQ","FILING_STATUS=OR","EQY_CONSOLIDATED=Y","FA_ADJUSTED=GAAP","Sort=A","Dates=H","DateFormat=P","Fill=—","Direction=H","UseDPDF=Y")</f>
        <v>#NAME?</v>
      </c>
      <c r="CX10" s="1" t="e">
        <f ca="1">_xll.BDH($C$3,"ACCT_RCV_DAYS","FQ2 2015","FQ2 2015","Currency=INR","Period=FQ","BEST_FPERIOD_OVERRIDE=FQ","FILING_STATUS=OR","EQY_CONSOLIDATED=Y","FA_ADJUSTED=GAAP","Sort=A","Dates=H","DateFormat=P","Fill=—","Direction=H","UseDPDF=Y")</f>
        <v>#NAME?</v>
      </c>
      <c r="CY10" s="3" t="e">
        <f ca="1">_xll.BDH($C$3,"INVENT_TURN","FQ2 2015","FQ2 2015","Currency=INR","Period=FQ","BEST_FPERIOD_OVERRIDE=FQ","FILING_STATUS=OR","EQY_CONSOLIDATED=Y","FA_ADJUSTED=GAAP","Sort=A","Dates=H","DateFormat=P","Fill=—","Direction=H","UseDPDF=Y")</f>
        <v>#NAME?</v>
      </c>
      <c r="CZ10" s="1" t="e">
        <f ca="1">_xll.BDH($C$3,"INVENT_DAYS","FQ2 2015","FQ2 2015","Currency=INR","Period=FQ","BEST_FPERIOD_OVERRIDE=FQ","FILING_STATUS=OR","EQY_CONSOLIDATED=Y","FA_ADJUSTED=GAAP","Sort=A","Dates=H","DateFormat=P","Fill=—","Direction=H","UseDPDF=Y")</f>
        <v>#NAME?</v>
      </c>
      <c r="DA10" s="3" t="e">
        <f ca="1">_xll.BDH($C$3,"ACCOUNTS_PAYABLE_TURNOVER","FQ2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0" s="1" t="e">
        <f ca="1">_xll.BDH($C$3,"ACCOUNTS_PAYABLE_TURNOVER_DAYS","FQ2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0" s="3" t="e">
        <f ca="1">_xll.BDH($C$3,"CASH_CONVERSION_CYCLE","FQ2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0" s="3" t="e">
        <f ca="1">_xll.BDH($C$3,"INV_TO_CASH_DAYS","FQ2 2015","FQ2 2015","Currency=INR","Period=FQ","BEST_FPERIOD_OVERRIDE=FQ","FILING_STATUS=OR","EQY_CONSOLIDATED=Y","FA_ADJUSTED=GAAP","Sort=A","Dates=H","DateFormat=P","Fill=—","Direction=H","UseDPDF=Y")</f>
        <v>#NAME?</v>
      </c>
      <c r="DE10" s="4" t="e">
        <f ca="1">_xll.BDH($C$3,"BS_INVENTORIES","FQ2 2015","FQ2 2015","Currency=INR","Period=FQ","BEST_FPERIOD_OVERRIDE=FQ","FILING_STATUS=OR","EQY_CONSOLIDATED=Y","SCALING_FORMAT=MLN","Sort=A","Dates=H","DateFormat=P","Fill=—","Direction=H","UseDPDF=Y")</f>
        <v>#NAME?</v>
      </c>
      <c r="DF10" s="2" t="e">
        <f ca="1">_xll.BDH($C$3,"INVTRY_RAW_MATERIALS","FQ2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0" s="2" t="e">
        <f ca="1">_xll.BDH($C$3,"INVTRY_IN_PROGRESS","FQ2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0" s="2" t="e">
        <f ca="1">_xll.BDH($C$3,"INVTRY_FINISHED_GOODS","FQ2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0" s="2" t="e">
        <f ca="1">_xll.BDH($C$3,"BS_OTHER_INV","FQ2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1" spans="1:113" x14ac:dyDescent="0.3">
      <c r="A11" s="6"/>
      <c r="B11" s="6"/>
      <c r="C11" s="6"/>
      <c r="D11" s="6"/>
      <c r="E11" t="s">
        <v>6</v>
      </c>
      <c r="F11" t="e">
        <f ca="1">_xll.BDH($C$3,"RETURN_COM_EQY","FQ3 2015","FQ3 2015","Currency=INR","Period=FQ","BEST_FPERIOD_OVERRIDE=FQ","FILING_STATUS=OR","EQY_CONSOLIDATED=Y","FA_ADJUSTED=GAAP","Sort=A","Dates=H","DateFormat=P","Fill=—","Direction=H","UseDPDF=Y")</f>
        <v>#NAME?</v>
      </c>
      <c r="G11" t="e">
        <f ca="1">_xll.BDH($C$3,"RETURN_ON_ASSET","FQ3 2015","FQ3 2015","Currency=INR","Period=FQ","BEST_FPERIOD_OVERRIDE=FQ","FILING_STATUS=OR","EQY_CONSOLIDATED=Y","FA_ADJUSTED=GAAP","Sort=A","Dates=H","DateFormat=P","Fill=—","Direction=H","UseDPDF=Y")</f>
        <v>#NAME?</v>
      </c>
      <c r="H11" t="e">
        <f ca="1">_xll.BDH($C$3,"RETURN_ON_CAP","FQ3 2015","FQ3 2015","Currency=INR","Period=FQ","BEST_FPERIOD_OVERRIDE=FQ","FILING_STATUS=OR","EQY_CONSOLIDATED=Y","FA_ADJUSTED=GAAP","Sort=A","Dates=H","DateFormat=P","Fill=—","Direction=H","UseDPDF=Y")</f>
        <v>#NAME?</v>
      </c>
      <c r="I11" t="e">
        <f ca="1">_xll.BDH($C$3,"RETURN_ON_INV_CAPITAL","FQ3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1" t="e">
        <f ca="1">_xll.BDH($C$3,"EBITDA_TO_REVENUE","FQ3 2015","FQ3 2015","Currency=INR","Period=FQ","BEST_FPERIOD_OVERRIDE=FQ","FILING_STATUS=OR","EQY_CONSOLIDATED=Y","FA_ADJUSTED=GAAP","Sort=A","Dates=H","DateFormat=P","Fill=—","Direction=H","UseDPDF=Y")</f>
        <v>#NAME?</v>
      </c>
      <c r="K11" t="e">
        <f ca="1">_xll.BDH($C$3,"OPER_MARGIN","FQ3 2015","FQ3 2015","Currency=INR","Period=FQ","BEST_FPERIOD_OVERRIDE=FQ","FILING_STATUS=OR","EQY_CONSOLIDATED=Y","FA_ADJUSTED=GAAP","Sort=A","Dates=H","DateFormat=P","Fill=—","Direction=H","UseDPDF=Y")</f>
        <v>#NAME?</v>
      </c>
      <c r="L11" t="e">
        <f ca="1">_xll.BDH($C$3,"INCREMENTAL_OPERATING_MARGIN","FQ3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1" t="e">
        <f ca="1">_xll.BDH($C$3,"PRETAX_INC_TO_NET_SALES","FQ3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1" t="e">
        <f ca="1">_xll.BDH($C$3,"INC_BEF_XO_ITEMS_TO_NET_SALES","FQ3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1" t="e">
        <f ca="1">_xll.BDH($C$3,"PROF_MARGIN","FQ3 2015","FQ3 2015","Currency=INR","Period=FQ","BEST_FPERIOD_OVERRIDE=FQ","FILING_STATUS=OR","EQY_CONSOLIDATED=Y","FA_ADJUSTED=GAAP","Sort=A","Dates=H","DateFormat=P","Fill=—","Direction=H","UseDPDF=Y")</f>
        <v>#NAME?</v>
      </c>
      <c r="P11" t="e">
        <f ca="1">_xll.BDH($C$3,"NET_INCOME_TO_COMMON_MARGIN","FQ3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1" t="e">
        <f ca="1">_xll.BDH($C$3,"EFF_TAX_RATE","FQ3 2015","FQ3 2015","Currency=INR","Period=FQ","BEST_FPERIOD_OVERRIDE=FQ","FILING_STATUS=OR","EQY_CONSOLIDATED=Y","FA_ADJUSTED=GAAP","Sort=A","Dates=H","DateFormat=P","Fill=—","Direction=H","UseDPDF=Y")</f>
        <v>#NAME?</v>
      </c>
      <c r="R11" t="e">
        <f ca="1">_xll.BDH($C$3,"DVD_PAYOUT_RATIO","FQ3 2015","FQ3 2015","Currency=INR","Period=FQ","BEST_FPERIOD_OVERRIDE=FQ","FILING_STATUS=OR","EQY_CONSOLIDATED=Y","FA_ADJUSTED=GAAP","Sort=A","Dates=H","DateFormat=P","Fill=—","Direction=H","UseDPDF=Y")</f>
        <v>#NAME?</v>
      </c>
      <c r="S11" t="e">
        <f ca="1">_xll.BDH($C$3,"SUSTAIN_GROWTH_RT","FQ3 2015","FQ3 2015","Currency=INR","Period=FQ","BEST_FPERIOD_OVERRIDE=FQ","FILING_STATUS=OR","EQY_CONSOLIDATED=Y","FA_ADJUSTED=GAAP","Sort=A","Dates=H","DateFormat=P","Fill=—","Direction=H","UseDPDF=Y")</f>
        <v>#NAME?</v>
      </c>
      <c r="T11" s="1" t="e">
        <f ca="1">_xll.BDH($C$3,"SALES_GROWTH","FQ3 2015","FQ3 2015","Currency=INR","Period=FQ","BEST_FPERIOD_OVERRIDE=FQ","FILING_STATUS=OR","EQY_CONSOLIDATED=Y","FA_ADJUSTED=GAAP","Sort=A","Dates=H","DateFormat=P","Fill=—","Direction=H","UseDPDF=Y")</f>
        <v>#NAME?</v>
      </c>
      <c r="U11" s="1" t="e">
        <f ca="1">_xll.BDH($C$3,"EBITDA_GROWTH","FQ3 2015","FQ3 2015","Currency=INR","Period=FQ","BEST_FPERIOD_OVERRIDE=FQ","FILING_STATUS=OR","EQY_CONSOLIDATED=Y","FA_ADJUSTED=GAAP","Sort=A","Dates=H","DateFormat=P","Fill=—","Direction=H","UseDPDF=Y")</f>
        <v>#NAME?</v>
      </c>
      <c r="V11" s="1" t="e">
        <f ca="1">_xll.BDH($C$3,"OPER_INC_GROWTH","FQ3 2015","FQ3 2015","Currency=INR","Period=FQ","BEST_FPERIOD_OVERRIDE=FQ","FILING_STATUS=OR","EQY_CONSOLIDATED=Y","FA_ADJUSTED=GAAP","Sort=A","Dates=H","DateFormat=P","Fill=—","Direction=H","UseDPDF=Y")</f>
        <v>#NAME?</v>
      </c>
      <c r="W11" s="1" t="e">
        <f ca="1">_xll.BDH($C$3,"EARN_FOR_COM_GROWTH","FQ3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1" s="1" t="e">
        <f ca="1">_xll.BDH($C$3,"DILUTED_EPS_AFT_XO_ITEMS_GROWTH","FQ3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1" s="1" t="e">
        <f ca="1">_xll.BDH($C$3,"DIVIDEND_PER_SHARE_1_YEAR_GROWTH","FQ3 2015","FQ3 2015","Currency=INR","Period=FQ","BEST_FPERIOD_OVERRIDE=FQ","FILING_STATUS=OR","EQY_CONSOLIDATED=Y","Sort=A","Dates=H","DateFormat=P","Fill=—","Direction=H","UseDPDF=Y")</f>
        <v>#NAME?</v>
      </c>
      <c r="Z11" s="1" t="e">
        <f ca="1">_xll.BDH($C$3,"ACCOUNTS_RECEIVABLE_GROWTH","FQ3 2015","FQ3 2015","Currency=INR","Period=FQ","BEST_FPERIOD_OVERRIDE=FQ","FILING_STATUS=OR","EQY_CONSOLIDATED=Y","Sort=A","Dates=H","DateFormat=P","Fill=—","Direction=H","UseDPDF=Y")</f>
        <v>#NAME?</v>
      </c>
      <c r="AA11" s="1" t="e">
        <f ca="1">_xll.BDH($C$3,"INVENTORY_GROWTH","FQ3 2015","FQ3 2015","Currency=INR","Period=FQ","BEST_FPERIOD_OVERRIDE=FQ","FILING_STATUS=OR","EQY_CONSOLIDATED=Y","Sort=A","Dates=H","DateFormat=P","Fill=—","Direction=H","UseDPDF=Y")</f>
        <v>#NAME?</v>
      </c>
      <c r="AB11" s="1" t="e">
        <f ca="1">_xll.BDH($C$3,"NET_FIXED_ASSETS_1_YEAR_GROWTH","FQ3 2015","FQ3 2015","Currency=INR","Period=FQ","BEST_FPERIOD_OVERRIDE=FQ","FILING_STATUS=OR","EQY_CONSOLIDATED=Y","Sort=A","Dates=H","DateFormat=P","Fill=—","Direction=H","UseDPDF=Y")</f>
        <v>#NAME?</v>
      </c>
      <c r="AC11" s="1" t="e">
        <f ca="1">_xll.BDH($C$3,"ASSET_GROWTH","FQ3 2015","FQ3 2015","Currency=INR","Period=FQ","BEST_FPERIOD_OVERRIDE=FQ","FILING_STATUS=OR","EQY_CONSOLIDATED=Y","Sort=A","Dates=H","DateFormat=P","Fill=—","Direction=H","UseDPDF=Y")</f>
        <v>#NAME?</v>
      </c>
      <c r="AD11" s="1" t="e">
        <f ca="1">_xll.BDH($C$3,"MODIFIED_WORK_CAP_GROWTH","FQ3 2015","FQ3 2015","Currency=INR","Period=FQ","BEST_FPERIOD_OVERRIDE=FQ","FILING_STATUS=OR","EQY_CONSOLIDATED=Y","Sort=A","Dates=H","DateFormat=P","Fill=—","Direction=H","UseDPDF=Y")</f>
        <v>#NAME?</v>
      </c>
      <c r="AE11" s="1" t="e">
        <f ca="1">_xll.BDH($C$3,"WORK_CAP_GROWTH","FQ3 2015","FQ3 2015","Currency=INR","Period=FQ","BEST_FPERIOD_OVERRIDE=FQ","FILING_STATUS=OR","EQY_CONSOLIDATED=Y","Sort=A","Dates=H","DateFormat=P","Fill=—","Direction=H","UseDPDF=Y")</f>
        <v>#NAME?</v>
      </c>
      <c r="AF11" s="1" t="e">
        <f ca="1">_xll.BDH($C$3,"ACCOUNTS_PAYABLE_GROWTH_1YR","FQ3 2015","FQ3 2015","Currency=INR","Period=FQ","BEST_FPERIOD_OVERRIDE=FQ","FILING_STATUS=OR","EQY_CONSOLIDATED=Y","Sort=A","Dates=H","DateFormat=P","Fill=—","Direction=H","UseDPDF=Y")</f>
        <v>#NAME?</v>
      </c>
      <c r="AG11" s="1" t="e">
        <f ca="1">_xll.BDH($C$3,"SHORT_TERM_DEBT_1_YEAR_GROWTH","FQ3 2015","FQ3 2015","Currency=INR","Period=FQ","BEST_FPERIOD_OVERRIDE=FQ","FILING_STATUS=OR","EQY_CONSOLIDATED=Y","Sort=A","Dates=H","DateFormat=P","Fill=—","Direction=H","UseDPDF=Y")</f>
        <v>#NAME?</v>
      </c>
      <c r="AH11" s="1" t="e">
        <f ca="1">_xll.BDH($C$3,"TOTAL_DEBT_1_YEAR_GROWTH","FQ3 2015","FQ3 2015","Currency=INR","Period=FQ","BEST_FPERIOD_OVERRIDE=FQ","FILING_STATUS=OR","EQY_CONSOLIDATED=Y","Sort=A","Dates=H","DateFormat=P","Fill=—","Direction=H","UseDPDF=Y")</f>
        <v>#NAME?</v>
      </c>
      <c r="AI11" s="1" t="e">
        <f ca="1">_xll.BDH($C$3,"TOTAL_EQUITY_1_YEAR_GROWTH","FQ3 2015","FQ3 2015","Currency=INR","Period=FQ","BEST_FPERIOD_OVERRIDE=FQ","FILING_STATUS=OR","EQY_CONSOLIDATED=Y","Sort=A","Dates=H","DateFormat=P","Fill=—","Direction=H","UseDPDF=Y")</f>
        <v>#NAME?</v>
      </c>
      <c r="AJ11" s="1" t="e">
        <f ca="1">_xll.BDH($C$3,"GROWTH_IN_CAP","FQ3 2015","FQ3 2015","Currency=INR","Period=FQ","BEST_FPERIOD_OVERRIDE=FQ","FILING_STATUS=OR","EQY_CONSOLIDATED=Y","Sort=A","Dates=H","DateFormat=P","Fill=—","Direction=H","UseDPDF=Y")</f>
        <v>#NAME?</v>
      </c>
      <c r="AK11" s="1" t="e">
        <f ca="1">_xll.BDH($C$3,"BVPS_GROWTH","FQ3 2015","FQ3 2015","Currency=INR","Period=FQ","BEST_FPERIOD_OVERRIDE=FQ","FILING_STATUS=OR","EQY_CONSOLIDATED=Y","Sort=A","Dates=H","DateFormat=P","Fill=—","Direction=H","UseDPDF=Y")</f>
        <v>#NAME?</v>
      </c>
      <c r="AL11" s="1" t="e">
        <f ca="1">_xll.BDH($C$3,"CASH_FLOW_GROWTH","FQ3 2015","FQ3 2015","Currency=INR","Period=FQ","BEST_FPERIOD_OVERRIDE=FQ","FILING_STATUS=OR","EQY_CONSOLIDATED=Y","Sort=A","Dates=H","DateFormat=P","Fill=—","Direction=H","UseDPDF=Y")</f>
        <v>#NAME?</v>
      </c>
      <c r="AM11" s="1" t="e">
        <f ca="1">_xll.BDH($C$3,"GEO_GROW_NET_SALES","FQ3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1" s="1" t="e">
        <f ca="1">_xll.BDH($C$3,"GEO_GROW_EBITDA","FQ3 2015","FQ3 2015","Currency=INR","Period=FQ","BEST_FPERIOD_OVERRIDE=FQ","FILING_STATUS=OR","EQY_CONSOLIDATED=Y","FA_ADJUSTED=GAAP","Sort=A","Dates=H","DateFormat=P","Fill=—","Direction=H","UseDPDF=Y")</f>
        <v>#NAME?</v>
      </c>
      <c r="AO11" s="1" t="e">
        <f ca="1">_xll.BDH($C$3,"GEO_GROW_OPER_INC","FQ3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1" s="1" t="e">
        <f ca="1">_xll.BDH($C$3,"NET_INCOME_TO_COMMON_5_YR_GROWTH","FQ3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1" s="1" t="e">
        <f ca="1">_xll.BDH($C$3,"5Y_GEO_GROWTH_DILUTED_EPS","FQ3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1" s="1" t="e">
        <f ca="1">_xll.BDH($C$3,"GEO_GROW_DVD_PER_SH","FQ3 2015","FQ3 2015","Currency=INR","Period=FQ","BEST_FPERIOD_OVERRIDE=FQ","FILING_STATUS=OR","EQY_CONSOLIDATED=Y","Sort=A","Dates=H","DateFormat=P","Fill=—","Direction=H","UseDPDF=Y")</f>
        <v>#NAME?</v>
      </c>
      <c r="AS11" s="1" t="e">
        <f ca="1">_xll.BDH($C$3,"ACCOUNTS_RECEIVABLE_5_YR_GROWTH","FQ3 2015","FQ3 2015","Currency=INR","Period=FQ","BEST_FPERIOD_OVERRIDE=FQ","FILING_STATUS=OR","EQY_CONSOLIDATED=Y","Sort=A","Dates=H","DateFormat=P","Fill=—","Direction=H","UseDPDF=Y")</f>
        <v>#NAME?</v>
      </c>
      <c r="AT11" s="1" t="e">
        <f ca="1">_xll.BDH($C$3,"INVENTORY_5_YEAR_GROWTH","FQ3 2015","FQ3 2015","Currency=INR","Period=FQ","BEST_FPERIOD_OVERRIDE=FQ","FILING_STATUS=OR","EQY_CONSOLIDATED=Y","Sort=A","Dates=H","DateFormat=P","Fill=—","Direction=H","UseDPDF=Y")</f>
        <v>#NAME?</v>
      </c>
      <c r="AU11" s="1" t="e">
        <f ca="1">_xll.BDH($C$3,"NET_FIXED_ASSETS_5_YEAR_GROWTH","FQ3 2015","FQ3 2015","Currency=INR","Period=FQ","BEST_FPERIOD_OVERRIDE=FQ","FILING_STATUS=OR","EQY_CONSOLIDATED=Y","Sort=A","Dates=H","DateFormat=P","Fill=—","Direction=H","UseDPDF=Y")</f>
        <v>#NAME?</v>
      </c>
      <c r="AV11" s="1" t="e">
        <f ca="1">_xll.BDH($C$3,"GEO_GROW_TOT_ASSET","FQ3 2015","FQ3 2015","Currency=INR","Period=FQ","BEST_FPERIOD_OVERRIDE=FQ","FILING_STATUS=OR","EQY_CONSOLIDATED=Y","Sort=A","Dates=H","DateFormat=P","Fill=—","Direction=H","UseDPDF=Y")</f>
        <v>#NAME?</v>
      </c>
      <c r="AW11" s="1" t="e">
        <f ca="1">_xll.BDH($C$3,"MODIFIED_WORKING_CPTL_5YR_GRWTH","FQ3 2015","FQ3 2015","Currency=INR","Period=FQ","BEST_FPERIOD_OVERRIDE=FQ","FILING_STATUS=OR","EQY_CONSOLIDATED=Y","Sort=A","Dates=H","DateFormat=P","Fill=—","Direction=H","UseDPDF=Y")</f>
        <v>#NAME?</v>
      </c>
      <c r="AX11" s="1" t="e">
        <f ca="1">_xll.BDH($C$3,"WORKING_CAPITAL_5_YEAR_GROWTH","FQ3 2015","FQ3 2015","Currency=INR","Period=FQ","BEST_FPERIOD_OVERRIDE=FQ","FILING_STATUS=OR","EQY_CONSOLIDATED=Y","Sort=A","Dates=H","DateFormat=P","Fill=—","Direction=H","UseDPDF=Y")</f>
        <v>#NAME?</v>
      </c>
      <c r="AY11" s="1" t="e">
        <f ca="1">_xll.BDH($C$3,"ACCOUNTS_PAYABLE_5_YEAR_GROWTH","FQ3 2015","FQ3 2015","Currency=INR","Period=FQ","BEST_FPERIOD_OVERRIDE=FQ","FILING_STATUS=OR","EQY_CONSOLIDATED=Y","Sort=A","Dates=H","DateFormat=P","Fill=—","Direction=H","UseDPDF=Y")</f>
        <v>#NAME?</v>
      </c>
      <c r="AZ11" s="1" t="e">
        <f ca="1">_xll.BDH($C$3,"SHORT_TERM_DEBT_5_YEAR_GROWTH","FQ3 2015","FQ3 2015","Currency=INR","Period=FQ","BEST_FPERIOD_OVERRIDE=FQ","FILING_STATUS=OR","EQY_CONSOLIDATED=Y","Sort=A","Dates=H","DateFormat=P","Fill=—","Direction=H","UseDPDF=Y")</f>
        <v>#NAME?</v>
      </c>
      <c r="BA11" s="1" t="e">
        <f ca="1">_xll.BDH($C$3,"TOTAL_DEBT_5_YEAR_GROWTH","FQ3 2015","FQ3 2015","Currency=INR","Period=FQ","BEST_FPERIOD_OVERRIDE=FQ","FILING_STATUS=OR","EQY_CONSOLIDATED=Y","Sort=A","Dates=H","DateFormat=P","Fill=—","Direction=H","UseDPDF=Y")</f>
        <v>#NAME?</v>
      </c>
      <c r="BB11" s="1" t="e">
        <f ca="1">_xll.BDH($C$3,"GEO_GROW_TOT_SHRHLDR_EQY","FQ3 2015","FQ3 2015","Currency=INR","Period=FQ","BEST_FPERIOD_OVERRIDE=FQ","FILING_STATUS=OR","EQY_CONSOLIDATED=Y","Sort=A","Dates=H","DateFormat=P","Fill=—","Direction=H","UseDPDF=Y")</f>
        <v>#NAME?</v>
      </c>
      <c r="BC11" s="1" t="e">
        <f ca="1">_xll.BDH($C$3,"TOTAL_CAPITAL_5_YEAR_GROWTH","FQ3 2015","FQ3 2015","Currency=INR","Period=FQ","BEST_FPERIOD_OVERRIDE=FQ","FILING_STATUS=OR","EQY_CONSOLIDATED=Y","Sort=A","Dates=H","DateFormat=P","Fill=—","Direction=H","UseDPDF=Y")</f>
        <v>#NAME?</v>
      </c>
      <c r="BD11" s="1" t="e">
        <f ca="1">_xll.BDH($C$3,"GEO_GROW_BOOK_VAL","FQ3 2015","FQ3 2015","Currency=INR","Period=FQ","BEST_FPERIOD_OVERRIDE=FQ","FILING_STATUS=OR","EQY_CONSOLIDATED=Y","Sort=A","Dates=H","DateFormat=P","Fill=—","Direction=H","UseDPDF=Y")</f>
        <v>#NAME?</v>
      </c>
      <c r="BE11" s="1" t="e">
        <f ca="1">_xll.BDH($C$3,"GEO_GROW_CASH_OPER_ACT","FQ3 2015","FQ3 2015","Currency=INR","Period=FQ","BEST_FPERIOD_OVERRIDE=FQ","FILING_STATUS=OR","EQY_CONSOLIDATED=Y","Sort=A","Dates=H","DateFormat=P","Fill=—","Direction=H","UseDPDF=Y")</f>
        <v>#NAME?</v>
      </c>
      <c r="BF11" s="1" t="e">
        <f ca="1">_xll.BDH($C$3,"REVENUE_SEQUENTIAL_GROWTH","FQ3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1" s="1" t="e">
        <f ca="1">_xll.BDH($C$3,"EBITDA_SEQUENTIAL_GROWTH","FQ3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1" s="1" t="e">
        <f ca="1">_xll.BDH($C$3,"OPERATING_INCOME_SEQ_GROWTH","FQ3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1" s="1" t="e">
        <f ca="1">_xll.BDH($C$3,"NET_INCOME_TO_COMMON_SEQ_GROWTH","FQ3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1" s="1" t="e">
        <f ca="1">_xll.BDH($C$3,"EPS_DILUTED_SEQUENTIAL_GROWTH","FQ3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1" s="1" t="e">
        <f ca="1">_xll.BDH($C$3,"DPS_SEQUENTIAL_GROWTH","FQ3 2015","FQ3 2015","Currency=INR","Period=FQ","BEST_FPERIOD_OVERRIDE=FQ","FILING_STATUS=OR","EQY_CONSOLIDATED=Y","Sort=A","Dates=H","DateFormat=P","Fill=—","Direction=H","UseDPDF=Y")</f>
        <v>#NAME?</v>
      </c>
      <c r="BL11" s="1" t="e">
        <f ca="1">_xll.BDH($C$3,"ACCOUNTS_RECEIVABLE_SEQ_GROWTH","FQ3 2015","FQ3 2015","Currency=INR","Period=FQ","BEST_FPERIOD_OVERRIDE=FQ","FILING_STATUS=OR","EQY_CONSOLIDATED=Y","Sort=A","Dates=H","DateFormat=P","Fill=—","Direction=H","UseDPDF=Y")</f>
        <v>#NAME?</v>
      </c>
      <c r="BM11" s="1" t="e">
        <f ca="1">_xll.BDH($C$3,"INVENTORY_SEQUENTIAL_GROWTH","FQ3 2015","FQ3 2015","Currency=INR","Period=FQ","BEST_FPERIOD_OVERRIDE=FQ","FILING_STATUS=OR","EQY_CONSOLIDATED=Y","Sort=A","Dates=H","DateFormat=P","Fill=—","Direction=H","UseDPDF=Y")</f>
        <v>#NAME?</v>
      </c>
      <c r="BN11" s="1" t="e">
        <f ca="1">_xll.BDH($C$3,"FIXED_ASSETS_SEQUENTIAL_GROWTH","FQ3 2015","FQ3 2015","Currency=INR","Period=FQ","BEST_FPERIOD_OVERRIDE=FQ","FILING_STATUS=OR","EQY_CONSOLIDATED=Y","Sort=A","Dates=H","DateFormat=P","Fill=—","Direction=H","UseDPDF=Y")</f>
        <v>#NAME?</v>
      </c>
      <c r="BO11" s="1" t="e">
        <f ca="1">_xll.BDH($C$3,"TOTAL_ASSETS_SEQUENTIAL_GROWTH","FQ3 2015","FQ3 2015","Currency=INR","Period=FQ","BEST_FPERIOD_OVERRIDE=FQ","FILING_STATUS=OR","EQY_CONSOLIDATED=Y","Sort=A","Dates=H","DateFormat=P","Fill=—","Direction=H","UseDPDF=Y")</f>
        <v>#NAME?</v>
      </c>
      <c r="BP11" s="1" t="e">
        <f ca="1">_xll.BDH($C$3,"MODIFIED_WORKING_CPTL_SEQ_GRWTH","FQ3 2015","FQ3 2015","Currency=INR","Period=FQ","BEST_FPERIOD_OVERRIDE=FQ","FILING_STATUS=OR","EQY_CONSOLIDATED=Y","Sort=A","Dates=H","DateFormat=P","Fill=—","Direction=H","UseDPDF=Y")</f>
        <v>#NAME?</v>
      </c>
      <c r="BQ11" s="1" t="e">
        <f ca="1">_xll.BDH($C$3,"WORKING_CAPITAL_SEQ_GROWTH","FQ3 2015","FQ3 2015","Currency=INR","Period=FQ","BEST_FPERIOD_OVERRIDE=FQ","FILING_STATUS=OR","EQY_CONSOLIDATED=Y","Sort=A","Dates=H","DateFormat=P","Fill=—","Direction=H","UseDPDF=Y")</f>
        <v>#NAME?</v>
      </c>
      <c r="BR11" s="1" t="e">
        <f ca="1">_xll.BDH($C$3,"ACCOUNTS_PAYABLE_SEQ_GROWTH","FQ3 2015","FQ3 2015","Currency=INR","Period=FQ","BEST_FPERIOD_OVERRIDE=FQ","FILING_STATUS=OR","EQY_CONSOLIDATED=Y","Sort=A","Dates=H","DateFormat=P","Fill=—","Direction=H","UseDPDF=Y")</f>
        <v>#NAME?</v>
      </c>
      <c r="BS11" s="1" t="e">
        <f ca="1">_xll.BDH($C$3,"ST_DEBT_SEQUENTIAL_GROWTH","FQ3 2015","FQ3 2015","Currency=INR","Period=FQ","BEST_FPERIOD_OVERRIDE=FQ","FILING_STATUS=OR","EQY_CONSOLIDATED=Y","Sort=A","Dates=H","DateFormat=P","Fill=—","Direction=H","UseDPDF=Y")</f>
        <v>#NAME?</v>
      </c>
      <c r="BT11" s="1" t="e">
        <f ca="1">_xll.BDH($C$3,"TOTAL_DEBT_SEQUENTIAL_GROWTH","FQ3 2015","FQ3 2015","Currency=INR","Period=FQ","BEST_FPERIOD_OVERRIDE=FQ","FILING_STATUS=OR","EQY_CONSOLIDATED=Y","Sort=A","Dates=H","DateFormat=P","Fill=—","Direction=H","UseDPDF=Y")</f>
        <v>#NAME?</v>
      </c>
      <c r="BU11" s="1" t="e">
        <f ca="1">_xll.BDH($C$3,"TOTAL_EQUITY_SEQUENTIAL_GROWTH","FQ3 2015","FQ3 2015","Currency=INR","Period=FQ","BEST_FPERIOD_OVERRIDE=FQ","FILING_STATUS=OR","EQY_CONSOLIDATED=Y","Sort=A","Dates=H","DateFormat=P","Fill=—","Direction=H","UseDPDF=Y")</f>
        <v>#NAME?</v>
      </c>
      <c r="BV11" s="1" t="e">
        <f ca="1">_xll.BDH($C$3,"TOTAL_CAPITAL_SEQUENTIAL_GROWTH","FQ3 2015","FQ3 2015","Currency=INR","Period=FQ","BEST_FPERIOD_OVERRIDE=FQ","FILING_STATUS=OR","EQY_CONSOLIDATED=Y","Sort=A","Dates=H","DateFormat=P","Fill=—","Direction=H","UseDPDF=Y")</f>
        <v>#NAME?</v>
      </c>
      <c r="BW11" s="1" t="e">
        <f ca="1">_xll.BDH($C$3,"BPS_SEQUENTIAL_GROWTH","FQ3 2015","FQ3 2015","Currency=INR","Period=FQ","BEST_FPERIOD_OVERRIDE=FQ","FILING_STATUS=OR","EQY_CONSOLIDATED=Y","Sort=A","Dates=H","DateFormat=P","Fill=—","Direction=H","UseDPDF=Y")</f>
        <v>#NAME?</v>
      </c>
      <c r="BX11" s="1" t="e">
        <f ca="1">_xll.BDH($C$3,"CFO_SEQUENTIAL_GROWTH","FQ3 2015","FQ3 2015","Currency=INR","Period=FQ","BEST_FPERIOD_OVERRIDE=FQ","FILING_STATUS=OR","EQY_CONSOLIDATED=Y","Sort=A","Dates=H","DateFormat=P","Fill=—","Direction=H","UseDPDF=Y")</f>
        <v>#NAME?</v>
      </c>
      <c r="BY11" s="2" t="e">
        <f ca="1">_xll.BDH($C$3,"SHORT_AND_LONG_TERM_DEBT","FQ3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1" s="2" t="e">
        <f ca="1">_xll.BDH($C$3,"BS_ST_BORROW","FQ3 2015","FQ3 2015","Currency=INR","Period=FQ","BEST_FPERIOD_OVERRIDE=FQ","FILING_STATUS=OR","EQY_CONSOLIDATED=Y","SCALING_FORMAT=MLN","Sort=A","Dates=H","DateFormat=P","Fill=—","Direction=H","UseDPDF=Y")</f>
        <v>#NAME?</v>
      </c>
      <c r="CA11" s="2" t="e">
        <f ca="1">_xll.BDH($C$3,"BS_LT_BORROW","FQ3 2015","FQ3 2015","Currency=INR","Period=FQ","BEST_FPERIOD_OVERRIDE=FQ","FILING_STATUS=OR","EQY_CONSOLIDATED=Y","SCALING_FORMAT=MLN","Sort=A","Dates=H","DateFormat=P","Fill=—","Direction=H","UseDPDF=Y")</f>
        <v>#NAME?</v>
      </c>
      <c r="CB11" s="1" t="e">
        <f ca="1">_xll.BDH($C$3,"TOT_DEBT_TO_EBITDA","FQ3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1" s="1" t="e">
        <f ca="1">_xll.BDH($C$3,"NET_DEBT_TO_EBITDA","FQ3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1" s="1" t="e">
        <f ca="1">_xll.BDH($C$3,"TOTAL_DEBT_TO_EBIT","FQ3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1" s="1" t="e">
        <f ca="1">_xll.BDH($C$3,"NET_DEBT_TO_EBIT","FQ3 2015","FQ3 2015","Currency=INR","Period=FQ","BEST_FPERIOD_OVERRIDE=FQ","FILING_STATUS=OR","EQY_CONSOLIDATED=Y","FA_ADJUSTED=GAAP","Sort=A","Dates=H","DateFormat=P","Fill=—","Direction=H","UseDPDF=Y")</f>
        <v>#NAME?</v>
      </c>
      <c r="CF11" s="1" t="e">
        <f ca="1">_xll.BDH($C$3,"EBITDA_TO_INTEREST_EXPN","FQ3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1" s="1" t="e">
        <f ca="1">_xll.BDH($C$3,"COM_EQY_TO_TOT_ASSET","FQ3 2015","FQ3 2015","Currency=INR","Period=FQ","BEST_FPERIOD_OVERRIDE=FQ","FILING_STATUS=OR","EQY_CONSOLIDATED=Y","Sort=A","Dates=H","DateFormat=P","Fill=—","Direction=H","UseDPDF=Y")</f>
        <v>#NAME?</v>
      </c>
      <c r="CH11" s="1" t="e">
        <f ca="1">_xll.BDH($C$3,"LT_DEBT_TO_TOT_EQY","FQ3 2015","FQ3 2015","Currency=INR","Period=FQ","BEST_FPERIOD_OVERRIDE=FQ","FILING_STATUS=OR","EQY_CONSOLIDATED=Y","Sort=A","Dates=H","DateFormat=P","Fill=—","Direction=H","UseDPDF=Y")</f>
        <v>#NAME?</v>
      </c>
      <c r="CI11" s="1" t="e">
        <f ca="1">_xll.BDH($C$3,"LT_DEBT_TO_TOT_CAP","FQ3 2015","FQ3 2015","Currency=INR","Period=FQ","BEST_FPERIOD_OVERRIDE=FQ","FILING_STATUS=OR","EQY_CONSOLIDATED=Y","Sort=A","Dates=H","DateFormat=P","Fill=—","Direction=H","UseDPDF=Y")</f>
        <v>#NAME?</v>
      </c>
      <c r="CJ11" s="1" t="e">
        <f ca="1">_xll.BDH($C$3,"LT_DEBT_TO_TOT_ASSET","FQ3 2015","FQ3 2015","Currency=INR","Period=FQ","BEST_FPERIOD_OVERRIDE=FQ","FILING_STATUS=OR","EQY_CONSOLIDATED=Y","Sort=A","Dates=H","DateFormat=P","Fill=—","Direction=H","UseDPDF=Y")</f>
        <v>#NAME?</v>
      </c>
      <c r="CK11" s="1" t="e">
        <f ca="1">_xll.BDH($C$3,"TOT_DEBT_TO_TOT_EQY","FQ3 2015","FQ3 2015","Currency=INR","Period=FQ","BEST_FPERIOD_OVERRIDE=FQ","FILING_STATUS=OR","EQY_CONSOLIDATED=Y","Sort=A","Dates=H","DateFormat=P","Fill=—","Direction=H","UseDPDF=Y")</f>
        <v>#NAME?</v>
      </c>
      <c r="CL11" s="1" t="e">
        <f ca="1">_xll.BDH($C$3,"TOT_DEBT_TO_TOT_CAP","FQ3 2015","FQ3 2015","Currency=INR","Period=FQ","BEST_FPERIOD_OVERRIDE=FQ","FILING_STATUS=OR","EQY_CONSOLIDATED=Y","Sort=A","Dates=H","DateFormat=P","Fill=—","Direction=H","UseDPDF=Y")</f>
        <v>#NAME?</v>
      </c>
      <c r="CM11" s="1" t="e">
        <f ca="1">_xll.BDH($C$3,"TOT_DEBT_TO_TOT_ASSET","FQ3 2015","FQ3 2015","Currency=INR","Period=FQ","BEST_FPERIOD_OVERRIDE=FQ","FILING_STATUS=OR","EQY_CONSOLIDATED=Y","Sort=A","Dates=H","DateFormat=P","Fill=—","Direction=H","UseDPDF=Y")</f>
        <v>#NAME?</v>
      </c>
      <c r="CN11" s="1" t="e">
        <f ca="1">_xll.BDH($C$3,"NET_DEBT_TO_SHRHLDR_EQTY","FQ3 2015","FQ3 2015","Currency=INR","Period=FQ","BEST_FPERIOD_OVERRIDE=FQ","FILING_STATUS=OR","EQY_CONSOLIDATED=Y","Sort=A","Dates=H","DateFormat=P","Fill=—","Direction=H","UseDPDF=Y")</f>
        <v>#NAME?</v>
      </c>
      <c r="CO11" s="1" t="e">
        <f ca="1">_xll.BDH($C$3,"NET_DEBT_%_CAPITAL","FQ3 2015","FQ3 2015","Currency=INR","Period=FQ","BEST_FPERIOD_OVERRIDE=FQ","FILING_STATUS=OR","EQY_CONSOLIDATED=Y","Sort=A","Dates=H","DateFormat=P","Fill=—","Direction=H","UseDPDF=Y")</f>
        <v>#NAME?</v>
      </c>
      <c r="CP11" s="2" t="e">
        <f ca="1">_xll.BDH($C$3,"EBITDA","FQ3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1" s="2" t="e">
        <f ca="1">_xll.BDH($C$3,"EBITDA_AFTER_CAPEX","FQ3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1" s="2" t="e">
        <f ca="1">_xll.BDH($C$3,"IS_OPER_INC","FQ3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1" s="1" t="e">
        <f ca="1">_xll.BDH($C$3,"CASH_RATIO","FQ3 2015","FQ3 2015","Currency=INR","Period=FQ","BEST_FPERIOD_OVERRIDE=FQ","FILING_STATUS=OR","EQY_CONSOLIDATED=Y","Sort=A","Dates=H","DateFormat=P","Fill=—","Direction=H","UseDPDF=Y")</f>
        <v>#NAME?</v>
      </c>
      <c r="CT11" s="1" t="e">
        <f ca="1">_xll.BDH($C$3,"CUR_RATIO","FQ3 2015","FQ3 2015","Currency=INR","Period=FQ","BEST_FPERIOD_OVERRIDE=FQ","FILING_STATUS=OR","EQY_CONSOLIDATED=Y","Sort=A","Dates=H","DateFormat=P","Fill=—","Direction=H","UseDPDF=Y")</f>
        <v>#NAME?</v>
      </c>
      <c r="CU11" s="1" t="e">
        <f ca="1">_xll.BDH($C$3,"QUICK_RATIO","FQ3 2015","FQ3 2015","Currency=INR","Period=FQ","BEST_FPERIOD_OVERRIDE=FQ","FILING_STATUS=OR","EQY_CONSOLIDATED=Y","Sort=A","Dates=H","DateFormat=P","Fill=—","Direction=H","UseDPDF=Y")</f>
        <v>#NAME?</v>
      </c>
      <c r="CV11" s="1" t="e">
        <f ca="1">_xll.BDH($C$3,"ALTMAN_Z_SCORE","FQ3 2015","FQ3 2015","Currency=INR","Period=FQ","BEST_FPERIOD_OVERRIDE=FQ","FILING_STATUS=OR","EQY_CONSOLIDATED=Y","Sort=A","Dates=H","DateFormat=P","Fill=—","Direction=H","UseDPDF=Y")</f>
        <v>#NAME?</v>
      </c>
      <c r="CW11" s="3" t="e">
        <f ca="1">_xll.BDH($C$3,"ACCT_RCV_TURN","FQ3 2015","FQ3 2015","Currency=INR","Period=FQ","BEST_FPERIOD_OVERRIDE=FQ","FILING_STATUS=OR","EQY_CONSOLIDATED=Y","FA_ADJUSTED=GAAP","Sort=A","Dates=H","DateFormat=P","Fill=—","Direction=H","UseDPDF=Y")</f>
        <v>#NAME?</v>
      </c>
      <c r="CX11" s="1" t="e">
        <f ca="1">_xll.BDH($C$3,"ACCT_RCV_DAYS","FQ3 2015","FQ3 2015","Currency=INR","Period=FQ","BEST_FPERIOD_OVERRIDE=FQ","FILING_STATUS=OR","EQY_CONSOLIDATED=Y","FA_ADJUSTED=GAAP","Sort=A","Dates=H","DateFormat=P","Fill=—","Direction=H","UseDPDF=Y")</f>
        <v>#NAME?</v>
      </c>
      <c r="CY11" s="3" t="e">
        <f ca="1">_xll.BDH($C$3,"INVENT_TURN","FQ3 2015","FQ3 2015","Currency=INR","Period=FQ","BEST_FPERIOD_OVERRIDE=FQ","FILING_STATUS=OR","EQY_CONSOLIDATED=Y","FA_ADJUSTED=GAAP","Sort=A","Dates=H","DateFormat=P","Fill=—","Direction=H","UseDPDF=Y")</f>
        <v>#NAME?</v>
      </c>
      <c r="CZ11" s="1" t="e">
        <f ca="1">_xll.BDH($C$3,"INVENT_DAYS","FQ3 2015","FQ3 2015","Currency=INR","Period=FQ","BEST_FPERIOD_OVERRIDE=FQ","FILING_STATUS=OR","EQY_CONSOLIDATED=Y","FA_ADJUSTED=GAAP","Sort=A","Dates=H","DateFormat=P","Fill=—","Direction=H","UseDPDF=Y")</f>
        <v>#NAME?</v>
      </c>
      <c r="DA11" s="3" t="e">
        <f ca="1">_xll.BDH($C$3,"ACCOUNTS_PAYABLE_TURNOVER","FQ3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1" s="1" t="e">
        <f ca="1">_xll.BDH($C$3,"ACCOUNTS_PAYABLE_TURNOVER_DAYS","FQ3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1" s="3" t="e">
        <f ca="1">_xll.BDH($C$3,"CASH_CONVERSION_CYCLE","FQ3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1" s="3" t="e">
        <f ca="1">_xll.BDH($C$3,"INV_TO_CASH_DAYS","FQ3 2015","FQ3 2015","Currency=INR","Period=FQ","BEST_FPERIOD_OVERRIDE=FQ","FILING_STATUS=OR","EQY_CONSOLIDATED=Y","FA_ADJUSTED=GAAP","Sort=A","Dates=H","DateFormat=P","Fill=—","Direction=H","UseDPDF=Y")</f>
        <v>#NAME?</v>
      </c>
      <c r="DE11" s="4" t="e">
        <f ca="1">_xll.BDH($C$3,"BS_INVENTORIES","FQ3 2015","FQ3 2015","Currency=INR","Period=FQ","BEST_FPERIOD_OVERRIDE=FQ","FILING_STATUS=OR","EQY_CONSOLIDATED=Y","SCALING_FORMAT=MLN","Sort=A","Dates=H","DateFormat=P","Fill=—","Direction=H","UseDPDF=Y")</f>
        <v>#NAME?</v>
      </c>
      <c r="DF11" s="2" t="e">
        <f ca="1">_xll.BDH($C$3,"INVTRY_RAW_MATERIALS","FQ3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1" s="2" t="e">
        <f ca="1">_xll.BDH($C$3,"INVTRY_IN_PROGRESS","FQ3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1" s="2" t="e">
        <f ca="1">_xll.BDH($C$3,"INVTRY_FINISHED_GOODS","FQ3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1" s="2" t="e">
        <f ca="1">_xll.BDH($C$3,"BS_OTHER_INV","FQ3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2" spans="1:113" x14ac:dyDescent="0.3">
      <c r="A12" s="6"/>
      <c r="B12" s="6"/>
      <c r="C12" s="6"/>
      <c r="D12" s="6"/>
      <c r="E12" t="s">
        <v>7</v>
      </c>
      <c r="F12" t="e">
        <f ca="1">_xll.BDH($C$3,"RETURN_COM_EQY","FQ4 2015","FQ4 2015","Currency=INR","Period=FQ","BEST_FPERIOD_OVERRIDE=FQ","FILING_STATUS=OR","EQY_CONSOLIDATED=Y","FA_ADJUSTED=GAAP","Sort=A","Dates=H","DateFormat=P","Fill=—","Direction=H","UseDPDF=Y")</f>
        <v>#NAME?</v>
      </c>
      <c r="G12" t="e">
        <f ca="1">_xll.BDH($C$3,"RETURN_ON_ASSET","FQ4 2015","FQ4 2015","Currency=INR","Period=FQ","BEST_FPERIOD_OVERRIDE=FQ","FILING_STATUS=OR","EQY_CONSOLIDATED=Y","FA_ADJUSTED=GAAP","Sort=A","Dates=H","DateFormat=P","Fill=—","Direction=H","UseDPDF=Y")</f>
        <v>#NAME?</v>
      </c>
      <c r="H12" t="e">
        <f ca="1">_xll.BDH($C$3,"RETURN_ON_CAP","FQ4 2015","FQ4 2015","Currency=INR","Period=FQ","BEST_FPERIOD_OVERRIDE=FQ","FILING_STATUS=OR","EQY_CONSOLIDATED=Y","FA_ADJUSTED=GAAP","Sort=A","Dates=H","DateFormat=P","Fill=—","Direction=H","UseDPDF=Y")</f>
        <v>#NAME?</v>
      </c>
      <c r="I12" t="e">
        <f ca="1">_xll.BDH($C$3,"RETURN_ON_INV_CAPITAL","FQ4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2" t="e">
        <f ca="1">_xll.BDH($C$3,"EBITDA_TO_REVENUE","FQ4 2015","FQ4 2015","Currency=INR","Period=FQ","BEST_FPERIOD_OVERRIDE=FQ","FILING_STATUS=OR","EQY_CONSOLIDATED=Y","FA_ADJUSTED=GAAP","Sort=A","Dates=H","DateFormat=P","Fill=—","Direction=H","UseDPDF=Y")</f>
        <v>#NAME?</v>
      </c>
      <c r="K12" t="e">
        <f ca="1">_xll.BDH($C$3,"OPER_MARGIN","FQ4 2015","FQ4 2015","Currency=INR","Period=FQ","BEST_FPERIOD_OVERRIDE=FQ","FILING_STATUS=OR","EQY_CONSOLIDATED=Y","FA_ADJUSTED=GAAP","Sort=A","Dates=H","DateFormat=P","Fill=—","Direction=H","UseDPDF=Y")</f>
        <v>#NAME?</v>
      </c>
      <c r="L12" t="e">
        <f ca="1">_xll.BDH($C$3,"INCREMENTAL_OPERATING_MARGIN","FQ4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2" t="e">
        <f ca="1">_xll.BDH($C$3,"PRETAX_INC_TO_NET_SALES","FQ4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2" t="e">
        <f ca="1">_xll.BDH($C$3,"INC_BEF_XO_ITEMS_TO_NET_SALES","FQ4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2" t="e">
        <f ca="1">_xll.BDH($C$3,"PROF_MARGIN","FQ4 2015","FQ4 2015","Currency=INR","Period=FQ","BEST_FPERIOD_OVERRIDE=FQ","FILING_STATUS=OR","EQY_CONSOLIDATED=Y","FA_ADJUSTED=GAAP","Sort=A","Dates=H","DateFormat=P","Fill=—","Direction=H","UseDPDF=Y")</f>
        <v>#NAME?</v>
      </c>
      <c r="P12" t="e">
        <f ca="1">_xll.BDH($C$3,"NET_INCOME_TO_COMMON_MARGIN","FQ4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2" t="e">
        <f ca="1">_xll.BDH($C$3,"EFF_TAX_RATE","FQ4 2015","FQ4 2015","Currency=INR","Period=FQ","BEST_FPERIOD_OVERRIDE=FQ","FILING_STATUS=OR","EQY_CONSOLIDATED=Y","FA_ADJUSTED=GAAP","Sort=A","Dates=H","DateFormat=P","Fill=—","Direction=H","UseDPDF=Y")</f>
        <v>#NAME?</v>
      </c>
      <c r="R12" t="e">
        <f ca="1">_xll.BDH($C$3,"DVD_PAYOUT_RATIO","FQ4 2015","FQ4 2015","Currency=INR","Period=FQ","BEST_FPERIOD_OVERRIDE=FQ","FILING_STATUS=OR","EQY_CONSOLIDATED=Y","FA_ADJUSTED=GAAP","Sort=A","Dates=H","DateFormat=P","Fill=—","Direction=H","UseDPDF=Y")</f>
        <v>#NAME?</v>
      </c>
      <c r="S12" t="e">
        <f ca="1">_xll.BDH($C$3,"SUSTAIN_GROWTH_RT","FQ4 2015","FQ4 2015","Currency=INR","Period=FQ","BEST_FPERIOD_OVERRIDE=FQ","FILING_STATUS=OR","EQY_CONSOLIDATED=Y","FA_ADJUSTED=GAAP","Sort=A","Dates=H","DateFormat=P","Fill=—","Direction=H","UseDPDF=Y")</f>
        <v>#NAME?</v>
      </c>
      <c r="T12" s="1" t="e">
        <f ca="1">_xll.BDH($C$3,"SALES_GROWTH","FQ4 2015","FQ4 2015","Currency=INR","Period=FQ","BEST_FPERIOD_OVERRIDE=FQ","FILING_STATUS=OR","EQY_CONSOLIDATED=Y","FA_ADJUSTED=GAAP","Sort=A","Dates=H","DateFormat=P","Fill=—","Direction=H","UseDPDF=Y")</f>
        <v>#NAME?</v>
      </c>
      <c r="U12" s="1" t="e">
        <f ca="1">_xll.BDH($C$3,"EBITDA_GROWTH","FQ4 2015","FQ4 2015","Currency=INR","Period=FQ","BEST_FPERIOD_OVERRIDE=FQ","FILING_STATUS=OR","EQY_CONSOLIDATED=Y","FA_ADJUSTED=GAAP","Sort=A","Dates=H","DateFormat=P","Fill=—","Direction=H","UseDPDF=Y")</f>
        <v>#NAME?</v>
      </c>
      <c r="V12" s="1" t="e">
        <f ca="1">_xll.BDH($C$3,"OPER_INC_GROWTH","FQ4 2015","FQ4 2015","Currency=INR","Period=FQ","BEST_FPERIOD_OVERRIDE=FQ","FILING_STATUS=OR","EQY_CONSOLIDATED=Y","FA_ADJUSTED=GAAP","Sort=A","Dates=H","DateFormat=P","Fill=—","Direction=H","UseDPDF=Y")</f>
        <v>#NAME?</v>
      </c>
      <c r="W12" s="1" t="e">
        <f ca="1">_xll.BDH($C$3,"EARN_FOR_COM_GROWTH","FQ4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2" s="1" t="e">
        <f ca="1">_xll.BDH($C$3,"DILUTED_EPS_AFT_XO_ITEMS_GROWTH","FQ4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2" s="1" t="e">
        <f ca="1">_xll.BDH($C$3,"DIVIDEND_PER_SHARE_1_YEAR_GROWTH","FQ4 2015","FQ4 2015","Currency=INR","Period=FQ","BEST_FPERIOD_OVERRIDE=FQ","FILING_STATUS=OR","EQY_CONSOLIDATED=Y","Sort=A","Dates=H","DateFormat=P","Fill=—","Direction=H","UseDPDF=Y")</f>
        <v>#NAME?</v>
      </c>
      <c r="Z12" s="1" t="e">
        <f ca="1">_xll.BDH($C$3,"ACCOUNTS_RECEIVABLE_GROWTH","FQ4 2015","FQ4 2015","Currency=INR","Period=FQ","BEST_FPERIOD_OVERRIDE=FQ","FILING_STATUS=OR","EQY_CONSOLIDATED=Y","Sort=A","Dates=H","DateFormat=P","Fill=—","Direction=H","UseDPDF=Y")</f>
        <v>#NAME?</v>
      </c>
      <c r="AA12" s="1" t="e">
        <f ca="1">_xll.BDH($C$3,"INVENTORY_GROWTH","FQ4 2015","FQ4 2015","Currency=INR","Period=FQ","BEST_FPERIOD_OVERRIDE=FQ","FILING_STATUS=OR","EQY_CONSOLIDATED=Y","Sort=A","Dates=H","DateFormat=P","Fill=—","Direction=H","UseDPDF=Y")</f>
        <v>#NAME?</v>
      </c>
      <c r="AB12" s="1" t="e">
        <f ca="1">_xll.BDH($C$3,"NET_FIXED_ASSETS_1_YEAR_GROWTH","FQ4 2015","FQ4 2015","Currency=INR","Period=FQ","BEST_FPERIOD_OVERRIDE=FQ","FILING_STATUS=OR","EQY_CONSOLIDATED=Y","Sort=A","Dates=H","DateFormat=P","Fill=—","Direction=H","UseDPDF=Y")</f>
        <v>#NAME?</v>
      </c>
      <c r="AC12" s="1" t="e">
        <f ca="1">_xll.BDH($C$3,"ASSET_GROWTH","FQ4 2015","FQ4 2015","Currency=INR","Period=FQ","BEST_FPERIOD_OVERRIDE=FQ","FILING_STATUS=OR","EQY_CONSOLIDATED=Y","Sort=A","Dates=H","DateFormat=P","Fill=—","Direction=H","UseDPDF=Y")</f>
        <v>#NAME?</v>
      </c>
      <c r="AD12" s="1" t="e">
        <f ca="1">_xll.BDH($C$3,"MODIFIED_WORK_CAP_GROWTH","FQ4 2015","FQ4 2015","Currency=INR","Period=FQ","BEST_FPERIOD_OVERRIDE=FQ","FILING_STATUS=OR","EQY_CONSOLIDATED=Y","Sort=A","Dates=H","DateFormat=P","Fill=—","Direction=H","UseDPDF=Y")</f>
        <v>#NAME?</v>
      </c>
      <c r="AE12" s="1" t="e">
        <f ca="1">_xll.BDH($C$3,"WORK_CAP_GROWTH","FQ4 2015","FQ4 2015","Currency=INR","Period=FQ","BEST_FPERIOD_OVERRIDE=FQ","FILING_STATUS=OR","EQY_CONSOLIDATED=Y","Sort=A","Dates=H","DateFormat=P","Fill=—","Direction=H","UseDPDF=Y")</f>
        <v>#NAME?</v>
      </c>
      <c r="AF12" s="1" t="e">
        <f ca="1">_xll.BDH($C$3,"ACCOUNTS_PAYABLE_GROWTH_1YR","FQ4 2015","FQ4 2015","Currency=INR","Period=FQ","BEST_FPERIOD_OVERRIDE=FQ","FILING_STATUS=OR","EQY_CONSOLIDATED=Y","Sort=A","Dates=H","DateFormat=P","Fill=—","Direction=H","UseDPDF=Y")</f>
        <v>#NAME?</v>
      </c>
      <c r="AG12" s="1" t="e">
        <f ca="1">_xll.BDH($C$3,"SHORT_TERM_DEBT_1_YEAR_GROWTH","FQ4 2015","FQ4 2015","Currency=INR","Period=FQ","BEST_FPERIOD_OVERRIDE=FQ","FILING_STATUS=OR","EQY_CONSOLIDATED=Y","Sort=A","Dates=H","DateFormat=P","Fill=—","Direction=H","UseDPDF=Y")</f>
        <v>#NAME?</v>
      </c>
      <c r="AH12" s="1" t="e">
        <f ca="1">_xll.BDH($C$3,"TOTAL_DEBT_1_YEAR_GROWTH","FQ4 2015","FQ4 2015","Currency=INR","Period=FQ","BEST_FPERIOD_OVERRIDE=FQ","FILING_STATUS=OR","EQY_CONSOLIDATED=Y","Sort=A","Dates=H","DateFormat=P","Fill=—","Direction=H","UseDPDF=Y")</f>
        <v>#NAME?</v>
      </c>
      <c r="AI12" s="1" t="e">
        <f ca="1">_xll.BDH($C$3,"TOTAL_EQUITY_1_YEAR_GROWTH","FQ4 2015","FQ4 2015","Currency=INR","Period=FQ","BEST_FPERIOD_OVERRIDE=FQ","FILING_STATUS=OR","EQY_CONSOLIDATED=Y","Sort=A","Dates=H","DateFormat=P","Fill=—","Direction=H","UseDPDF=Y")</f>
        <v>#NAME?</v>
      </c>
      <c r="AJ12" s="1" t="e">
        <f ca="1">_xll.BDH($C$3,"GROWTH_IN_CAP","FQ4 2015","FQ4 2015","Currency=INR","Period=FQ","BEST_FPERIOD_OVERRIDE=FQ","FILING_STATUS=OR","EQY_CONSOLIDATED=Y","Sort=A","Dates=H","DateFormat=P","Fill=—","Direction=H","UseDPDF=Y")</f>
        <v>#NAME?</v>
      </c>
      <c r="AK12" s="1" t="e">
        <f ca="1">_xll.BDH($C$3,"BVPS_GROWTH","FQ4 2015","FQ4 2015","Currency=INR","Period=FQ","BEST_FPERIOD_OVERRIDE=FQ","FILING_STATUS=OR","EQY_CONSOLIDATED=Y","Sort=A","Dates=H","DateFormat=P","Fill=—","Direction=H","UseDPDF=Y")</f>
        <v>#NAME?</v>
      </c>
      <c r="AL12" s="1" t="e">
        <f ca="1">_xll.BDH($C$3,"CASH_FLOW_GROWTH","FQ4 2015","FQ4 2015","Currency=INR","Period=FQ","BEST_FPERIOD_OVERRIDE=FQ","FILING_STATUS=OR","EQY_CONSOLIDATED=Y","Sort=A","Dates=H","DateFormat=P","Fill=—","Direction=H","UseDPDF=Y")</f>
        <v>#NAME?</v>
      </c>
      <c r="AM12" s="1" t="e">
        <f ca="1">_xll.BDH($C$3,"GEO_GROW_NET_SALES","FQ4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2" s="1" t="e">
        <f ca="1">_xll.BDH($C$3,"GEO_GROW_EBITDA","FQ4 2015","FQ4 2015","Currency=INR","Period=FQ","BEST_FPERIOD_OVERRIDE=FQ","FILING_STATUS=OR","EQY_CONSOLIDATED=Y","FA_ADJUSTED=GAAP","Sort=A","Dates=H","DateFormat=P","Fill=—","Direction=H","UseDPDF=Y")</f>
        <v>#NAME?</v>
      </c>
      <c r="AO12" s="1" t="e">
        <f ca="1">_xll.BDH($C$3,"GEO_GROW_OPER_INC","FQ4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2" s="1" t="e">
        <f ca="1">_xll.BDH($C$3,"NET_INCOME_TO_COMMON_5_YR_GROWTH","FQ4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2" s="1" t="e">
        <f ca="1">_xll.BDH($C$3,"5Y_GEO_GROWTH_DILUTED_EPS","FQ4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2" s="1" t="e">
        <f ca="1">_xll.BDH($C$3,"GEO_GROW_DVD_PER_SH","FQ4 2015","FQ4 2015","Currency=INR","Period=FQ","BEST_FPERIOD_OVERRIDE=FQ","FILING_STATUS=OR","EQY_CONSOLIDATED=Y","Sort=A","Dates=H","DateFormat=P","Fill=—","Direction=H","UseDPDF=Y")</f>
        <v>#NAME?</v>
      </c>
      <c r="AS12" s="1" t="e">
        <f ca="1">_xll.BDH($C$3,"ACCOUNTS_RECEIVABLE_5_YR_GROWTH","FQ4 2015","FQ4 2015","Currency=INR","Period=FQ","BEST_FPERIOD_OVERRIDE=FQ","FILING_STATUS=OR","EQY_CONSOLIDATED=Y","Sort=A","Dates=H","DateFormat=P","Fill=—","Direction=H","UseDPDF=Y")</f>
        <v>#NAME?</v>
      </c>
      <c r="AT12" s="1" t="e">
        <f ca="1">_xll.BDH($C$3,"INVENTORY_5_YEAR_GROWTH","FQ4 2015","FQ4 2015","Currency=INR","Period=FQ","BEST_FPERIOD_OVERRIDE=FQ","FILING_STATUS=OR","EQY_CONSOLIDATED=Y","Sort=A","Dates=H","DateFormat=P","Fill=—","Direction=H","UseDPDF=Y")</f>
        <v>#NAME?</v>
      </c>
      <c r="AU12" s="1" t="e">
        <f ca="1">_xll.BDH($C$3,"NET_FIXED_ASSETS_5_YEAR_GROWTH","FQ4 2015","FQ4 2015","Currency=INR","Period=FQ","BEST_FPERIOD_OVERRIDE=FQ","FILING_STATUS=OR","EQY_CONSOLIDATED=Y","Sort=A","Dates=H","DateFormat=P","Fill=—","Direction=H","UseDPDF=Y")</f>
        <v>#NAME?</v>
      </c>
      <c r="AV12" s="1" t="e">
        <f ca="1">_xll.BDH($C$3,"GEO_GROW_TOT_ASSET","FQ4 2015","FQ4 2015","Currency=INR","Period=FQ","BEST_FPERIOD_OVERRIDE=FQ","FILING_STATUS=OR","EQY_CONSOLIDATED=Y","Sort=A","Dates=H","DateFormat=P","Fill=—","Direction=H","UseDPDF=Y")</f>
        <v>#NAME?</v>
      </c>
      <c r="AW12" s="1" t="e">
        <f ca="1">_xll.BDH($C$3,"MODIFIED_WORKING_CPTL_5YR_GRWTH","FQ4 2015","FQ4 2015","Currency=INR","Period=FQ","BEST_FPERIOD_OVERRIDE=FQ","FILING_STATUS=OR","EQY_CONSOLIDATED=Y","Sort=A","Dates=H","DateFormat=P","Fill=—","Direction=H","UseDPDF=Y")</f>
        <v>#NAME?</v>
      </c>
      <c r="AX12" s="1" t="e">
        <f ca="1">_xll.BDH($C$3,"WORKING_CAPITAL_5_YEAR_GROWTH","FQ4 2015","FQ4 2015","Currency=INR","Period=FQ","BEST_FPERIOD_OVERRIDE=FQ","FILING_STATUS=OR","EQY_CONSOLIDATED=Y","Sort=A","Dates=H","DateFormat=P","Fill=—","Direction=H","UseDPDF=Y")</f>
        <v>#NAME?</v>
      </c>
      <c r="AY12" s="1" t="e">
        <f ca="1">_xll.BDH($C$3,"ACCOUNTS_PAYABLE_5_YEAR_GROWTH","FQ4 2015","FQ4 2015","Currency=INR","Period=FQ","BEST_FPERIOD_OVERRIDE=FQ","FILING_STATUS=OR","EQY_CONSOLIDATED=Y","Sort=A","Dates=H","DateFormat=P","Fill=—","Direction=H","UseDPDF=Y")</f>
        <v>#NAME?</v>
      </c>
      <c r="AZ12" s="1" t="e">
        <f ca="1">_xll.BDH($C$3,"SHORT_TERM_DEBT_5_YEAR_GROWTH","FQ4 2015","FQ4 2015","Currency=INR","Period=FQ","BEST_FPERIOD_OVERRIDE=FQ","FILING_STATUS=OR","EQY_CONSOLIDATED=Y","Sort=A","Dates=H","DateFormat=P","Fill=—","Direction=H","UseDPDF=Y")</f>
        <v>#NAME?</v>
      </c>
      <c r="BA12" s="1" t="e">
        <f ca="1">_xll.BDH($C$3,"TOTAL_DEBT_5_YEAR_GROWTH","FQ4 2015","FQ4 2015","Currency=INR","Period=FQ","BEST_FPERIOD_OVERRIDE=FQ","FILING_STATUS=OR","EQY_CONSOLIDATED=Y","Sort=A","Dates=H","DateFormat=P","Fill=—","Direction=H","UseDPDF=Y")</f>
        <v>#NAME?</v>
      </c>
      <c r="BB12" s="1" t="e">
        <f ca="1">_xll.BDH($C$3,"GEO_GROW_TOT_SHRHLDR_EQY","FQ4 2015","FQ4 2015","Currency=INR","Period=FQ","BEST_FPERIOD_OVERRIDE=FQ","FILING_STATUS=OR","EQY_CONSOLIDATED=Y","Sort=A","Dates=H","DateFormat=P","Fill=—","Direction=H","UseDPDF=Y")</f>
        <v>#NAME?</v>
      </c>
      <c r="BC12" s="1" t="e">
        <f ca="1">_xll.BDH($C$3,"TOTAL_CAPITAL_5_YEAR_GROWTH","FQ4 2015","FQ4 2015","Currency=INR","Period=FQ","BEST_FPERIOD_OVERRIDE=FQ","FILING_STATUS=OR","EQY_CONSOLIDATED=Y","Sort=A","Dates=H","DateFormat=P","Fill=—","Direction=H","UseDPDF=Y")</f>
        <v>#NAME?</v>
      </c>
      <c r="BD12" s="1" t="e">
        <f ca="1">_xll.BDH($C$3,"GEO_GROW_BOOK_VAL","FQ4 2015","FQ4 2015","Currency=INR","Period=FQ","BEST_FPERIOD_OVERRIDE=FQ","FILING_STATUS=OR","EQY_CONSOLIDATED=Y","Sort=A","Dates=H","DateFormat=P","Fill=—","Direction=H","UseDPDF=Y")</f>
        <v>#NAME?</v>
      </c>
      <c r="BE12" s="1" t="e">
        <f ca="1">_xll.BDH($C$3,"GEO_GROW_CASH_OPER_ACT","FQ4 2015","FQ4 2015","Currency=INR","Period=FQ","BEST_FPERIOD_OVERRIDE=FQ","FILING_STATUS=OR","EQY_CONSOLIDATED=Y","Sort=A","Dates=H","DateFormat=P","Fill=—","Direction=H","UseDPDF=Y")</f>
        <v>#NAME?</v>
      </c>
      <c r="BF12" s="1" t="e">
        <f ca="1">_xll.BDH($C$3,"REVENUE_SEQUENTIAL_GROWTH","FQ4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2" s="1" t="e">
        <f ca="1">_xll.BDH($C$3,"EBITDA_SEQUENTIAL_GROWTH","FQ4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2" s="1" t="e">
        <f ca="1">_xll.BDH($C$3,"OPERATING_INCOME_SEQ_GROWTH","FQ4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2" s="1" t="e">
        <f ca="1">_xll.BDH($C$3,"NET_INCOME_TO_COMMON_SEQ_GROWTH","FQ4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2" s="1" t="e">
        <f ca="1">_xll.BDH($C$3,"EPS_DILUTED_SEQUENTIAL_GROWTH","FQ4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2" s="1" t="e">
        <f ca="1">_xll.BDH($C$3,"DPS_SEQUENTIAL_GROWTH","FQ4 2015","FQ4 2015","Currency=INR","Period=FQ","BEST_FPERIOD_OVERRIDE=FQ","FILING_STATUS=OR","EQY_CONSOLIDATED=Y","Sort=A","Dates=H","DateFormat=P","Fill=—","Direction=H","UseDPDF=Y")</f>
        <v>#NAME?</v>
      </c>
      <c r="BL12" s="1" t="e">
        <f ca="1">_xll.BDH($C$3,"ACCOUNTS_RECEIVABLE_SEQ_GROWTH","FQ4 2015","FQ4 2015","Currency=INR","Period=FQ","BEST_FPERIOD_OVERRIDE=FQ","FILING_STATUS=OR","EQY_CONSOLIDATED=Y","Sort=A","Dates=H","DateFormat=P","Fill=—","Direction=H","UseDPDF=Y")</f>
        <v>#NAME?</v>
      </c>
      <c r="BM12" s="1" t="e">
        <f ca="1">_xll.BDH($C$3,"INVENTORY_SEQUENTIAL_GROWTH","FQ4 2015","FQ4 2015","Currency=INR","Period=FQ","BEST_FPERIOD_OVERRIDE=FQ","FILING_STATUS=OR","EQY_CONSOLIDATED=Y","Sort=A","Dates=H","DateFormat=P","Fill=—","Direction=H","UseDPDF=Y")</f>
        <v>#NAME?</v>
      </c>
      <c r="BN12" s="1" t="e">
        <f ca="1">_xll.BDH($C$3,"FIXED_ASSETS_SEQUENTIAL_GROWTH","FQ4 2015","FQ4 2015","Currency=INR","Period=FQ","BEST_FPERIOD_OVERRIDE=FQ","FILING_STATUS=OR","EQY_CONSOLIDATED=Y","Sort=A","Dates=H","DateFormat=P","Fill=—","Direction=H","UseDPDF=Y")</f>
        <v>#NAME?</v>
      </c>
      <c r="BO12" s="1" t="e">
        <f ca="1">_xll.BDH($C$3,"TOTAL_ASSETS_SEQUENTIAL_GROWTH","FQ4 2015","FQ4 2015","Currency=INR","Period=FQ","BEST_FPERIOD_OVERRIDE=FQ","FILING_STATUS=OR","EQY_CONSOLIDATED=Y","Sort=A","Dates=H","DateFormat=P","Fill=—","Direction=H","UseDPDF=Y")</f>
        <v>#NAME?</v>
      </c>
      <c r="BP12" s="1" t="e">
        <f ca="1">_xll.BDH($C$3,"MODIFIED_WORKING_CPTL_SEQ_GRWTH","FQ4 2015","FQ4 2015","Currency=INR","Period=FQ","BEST_FPERIOD_OVERRIDE=FQ","FILING_STATUS=OR","EQY_CONSOLIDATED=Y","Sort=A","Dates=H","DateFormat=P","Fill=—","Direction=H","UseDPDF=Y")</f>
        <v>#NAME?</v>
      </c>
      <c r="BQ12" s="1" t="e">
        <f ca="1">_xll.BDH($C$3,"WORKING_CAPITAL_SEQ_GROWTH","FQ4 2015","FQ4 2015","Currency=INR","Period=FQ","BEST_FPERIOD_OVERRIDE=FQ","FILING_STATUS=OR","EQY_CONSOLIDATED=Y","Sort=A","Dates=H","DateFormat=P","Fill=—","Direction=H","UseDPDF=Y")</f>
        <v>#NAME?</v>
      </c>
      <c r="BR12" s="1" t="e">
        <f ca="1">_xll.BDH($C$3,"ACCOUNTS_PAYABLE_SEQ_GROWTH","FQ4 2015","FQ4 2015","Currency=INR","Period=FQ","BEST_FPERIOD_OVERRIDE=FQ","FILING_STATUS=OR","EQY_CONSOLIDATED=Y","Sort=A","Dates=H","DateFormat=P","Fill=—","Direction=H","UseDPDF=Y")</f>
        <v>#NAME?</v>
      </c>
      <c r="BS12" s="1" t="e">
        <f ca="1">_xll.BDH($C$3,"ST_DEBT_SEQUENTIAL_GROWTH","FQ4 2015","FQ4 2015","Currency=INR","Period=FQ","BEST_FPERIOD_OVERRIDE=FQ","FILING_STATUS=OR","EQY_CONSOLIDATED=Y","Sort=A","Dates=H","DateFormat=P","Fill=—","Direction=H","UseDPDF=Y")</f>
        <v>#NAME?</v>
      </c>
      <c r="BT12" s="1" t="e">
        <f ca="1">_xll.BDH($C$3,"TOTAL_DEBT_SEQUENTIAL_GROWTH","FQ4 2015","FQ4 2015","Currency=INR","Period=FQ","BEST_FPERIOD_OVERRIDE=FQ","FILING_STATUS=OR","EQY_CONSOLIDATED=Y","Sort=A","Dates=H","DateFormat=P","Fill=—","Direction=H","UseDPDF=Y")</f>
        <v>#NAME?</v>
      </c>
      <c r="BU12" s="1" t="e">
        <f ca="1">_xll.BDH($C$3,"TOTAL_EQUITY_SEQUENTIAL_GROWTH","FQ4 2015","FQ4 2015","Currency=INR","Period=FQ","BEST_FPERIOD_OVERRIDE=FQ","FILING_STATUS=OR","EQY_CONSOLIDATED=Y","Sort=A","Dates=H","DateFormat=P","Fill=—","Direction=H","UseDPDF=Y")</f>
        <v>#NAME?</v>
      </c>
      <c r="BV12" s="1" t="e">
        <f ca="1">_xll.BDH($C$3,"TOTAL_CAPITAL_SEQUENTIAL_GROWTH","FQ4 2015","FQ4 2015","Currency=INR","Period=FQ","BEST_FPERIOD_OVERRIDE=FQ","FILING_STATUS=OR","EQY_CONSOLIDATED=Y","Sort=A","Dates=H","DateFormat=P","Fill=—","Direction=H","UseDPDF=Y")</f>
        <v>#NAME?</v>
      </c>
      <c r="BW12" s="1" t="e">
        <f ca="1">_xll.BDH($C$3,"BPS_SEQUENTIAL_GROWTH","FQ4 2015","FQ4 2015","Currency=INR","Period=FQ","BEST_FPERIOD_OVERRIDE=FQ","FILING_STATUS=OR","EQY_CONSOLIDATED=Y","Sort=A","Dates=H","DateFormat=P","Fill=—","Direction=H","UseDPDF=Y")</f>
        <v>#NAME?</v>
      </c>
      <c r="BX12" s="1" t="e">
        <f ca="1">_xll.BDH($C$3,"CFO_SEQUENTIAL_GROWTH","FQ4 2015","FQ4 2015","Currency=INR","Period=FQ","BEST_FPERIOD_OVERRIDE=FQ","FILING_STATUS=OR","EQY_CONSOLIDATED=Y","Sort=A","Dates=H","DateFormat=P","Fill=—","Direction=H","UseDPDF=Y")</f>
        <v>#NAME?</v>
      </c>
      <c r="BY12" s="2" t="e">
        <f ca="1">_xll.BDH($C$3,"SHORT_AND_LONG_TERM_DEBT","FQ4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2" s="2" t="e">
        <f ca="1">_xll.BDH($C$3,"BS_ST_BORROW","FQ4 2015","FQ4 2015","Currency=INR","Period=FQ","BEST_FPERIOD_OVERRIDE=FQ","FILING_STATUS=OR","EQY_CONSOLIDATED=Y","SCALING_FORMAT=MLN","Sort=A","Dates=H","DateFormat=P","Fill=—","Direction=H","UseDPDF=Y")</f>
        <v>#NAME?</v>
      </c>
      <c r="CA12" s="2" t="e">
        <f ca="1">_xll.BDH($C$3,"BS_LT_BORROW","FQ4 2015","FQ4 2015","Currency=INR","Period=FQ","BEST_FPERIOD_OVERRIDE=FQ","FILING_STATUS=OR","EQY_CONSOLIDATED=Y","SCALING_FORMAT=MLN","Sort=A","Dates=H","DateFormat=P","Fill=—","Direction=H","UseDPDF=Y")</f>
        <v>#NAME?</v>
      </c>
      <c r="CB12" s="1" t="e">
        <f ca="1">_xll.BDH($C$3,"TOT_DEBT_TO_EBITDA","FQ4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2" s="1" t="e">
        <f ca="1">_xll.BDH($C$3,"NET_DEBT_TO_EBITDA","FQ4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2" s="1" t="e">
        <f ca="1">_xll.BDH($C$3,"TOTAL_DEBT_TO_EBIT","FQ4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2" s="1" t="e">
        <f ca="1">_xll.BDH($C$3,"NET_DEBT_TO_EBIT","FQ4 2015","FQ4 2015","Currency=INR","Period=FQ","BEST_FPERIOD_OVERRIDE=FQ","FILING_STATUS=OR","EQY_CONSOLIDATED=Y","FA_ADJUSTED=GAAP","Sort=A","Dates=H","DateFormat=P","Fill=—","Direction=H","UseDPDF=Y")</f>
        <v>#NAME?</v>
      </c>
      <c r="CF12" s="1" t="e">
        <f ca="1">_xll.BDH($C$3,"EBITDA_TO_INTEREST_EXPN","FQ4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2" s="1" t="e">
        <f ca="1">_xll.BDH($C$3,"COM_EQY_TO_TOT_ASSET","FQ4 2015","FQ4 2015","Currency=INR","Period=FQ","BEST_FPERIOD_OVERRIDE=FQ","FILING_STATUS=OR","EQY_CONSOLIDATED=Y","Sort=A","Dates=H","DateFormat=P","Fill=—","Direction=H","UseDPDF=Y")</f>
        <v>#NAME?</v>
      </c>
      <c r="CH12" s="1" t="e">
        <f ca="1">_xll.BDH($C$3,"LT_DEBT_TO_TOT_EQY","FQ4 2015","FQ4 2015","Currency=INR","Period=FQ","BEST_FPERIOD_OVERRIDE=FQ","FILING_STATUS=OR","EQY_CONSOLIDATED=Y","Sort=A","Dates=H","DateFormat=P","Fill=—","Direction=H","UseDPDF=Y")</f>
        <v>#NAME?</v>
      </c>
      <c r="CI12" s="1" t="e">
        <f ca="1">_xll.BDH($C$3,"LT_DEBT_TO_TOT_CAP","FQ4 2015","FQ4 2015","Currency=INR","Period=FQ","BEST_FPERIOD_OVERRIDE=FQ","FILING_STATUS=OR","EQY_CONSOLIDATED=Y","Sort=A","Dates=H","DateFormat=P","Fill=—","Direction=H","UseDPDF=Y")</f>
        <v>#NAME?</v>
      </c>
      <c r="CJ12" s="1" t="e">
        <f ca="1">_xll.BDH($C$3,"LT_DEBT_TO_TOT_ASSET","FQ4 2015","FQ4 2015","Currency=INR","Period=FQ","BEST_FPERIOD_OVERRIDE=FQ","FILING_STATUS=OR","EQY_CONSOLIDATED=Y","Sort=A","Dates=H","DateFormat=P","Fill=—","Direction=H","UseDPDF=Y")</f>
        <v>#NAME?</v>
      </c>
      <c r="CK12" s="1" t="e">
        <f ca="1">_xll.BDH($C$3,"TOT_DEBT_TO_TOT_EQY","FQ4 2015","FQ4 2015","Currency=INR","Period=FQ","BEST_FPERIOD_OVERRIDE=FQ","FILING_STATUS=OR","EQY_CONSOLIDATED=Y","Sort=A","Dates=H","DateFormat=P","Fill=—","Direction=H","UseDPDF=Y")</f>
        <v>#NAME?</v>
      </c>
      <c r="CL12" s="1" t="e">
        <f ca="1">_xll.BDH($C$3,"TOT_DEBT_TO_TOT_CAP","FQ4 2015","FQ4 2015","Currency=INR","Period=FQ","BEST_FPERIOD_OVERRIDE=FQ","FILING_STATUS=OR","EQY_CONSOLIDATED=Y","Sort=A","Dates=H","DateFormat=P","Fill=—","Direction=H","UseDPDF=Y")</f>
        <v>#NAME?</v>
      </c>
      <c r="CM12" s="1" t="e">
        <f ca="1">_xll.BDH($C$3,"TOT_DEBT_TO_TOT_ASSET","FQ4 2015","FQ4 2015","Currency=INR","Period=FQ","BEST_FPERIOD_OVERRIDE=FQ","FILING_STATUS=OR","EQY_CONSOLIDATED=Y","Sort=A","Dates=H","DateFormat=P","Fill=—","Direction=H","UseDPDF=Y")</f>
        <v>#NAME?</v>
      </c>
      <c r="CN12" s="1" t="e">
        <f ca="1">_xll.BDH($C$3,"NET_DEBT_TO_SHRHLDR_EQTY","FQ4 2015","FQ4 2015","Currency=INR","Period=FQ","BEST_FPERIOD_OVERRIDE=FQ","FILING_STATUS=OR","EQY_CONSOLIDATED=Y","Sort=A","Dates=H","DateFormat=P","Fill=—","Direction=H","UseDPDF=Y")</f>
        <v>#NAME?</v>
      </c>
      <c r="CO12" s="1" t="e">
        <f ca="1">_xll.BDH($C$3,"NET_DEBT_%_CAPITAL","FQ4 2015","FQ4 2015","Currency=INR","Period=FQ","BEST_FPERIOD_OVERRIDE=FQ","FILING_STATUS=OR","EQY_CONSOLIDATED=Y","Sort=A","Dates=H","DateFormat=P","Fill=—","Direction=H","UseDPDF=Y")</f>
        <v>#NAME?</v>
      </c>
      <c r="CP12" s="2" t="e">
        <f ca="1">_xll.BDH($C$3,"EBITDA","FQ4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2" s="2" t="e">
        <f ca="1">_xll.BDH($C$3,"EBITDA_AFTER_CAPEX","FQ4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2" s="2" t="e">
        <f ca="1">_xll.BDH($C$3,"IS_OPER_INC","FQ4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2" s="1" t="e">
        <f ca="1">_xll.BDH($C$3,"CASH_RATIO","FQ4 2015","FQ4 2015","Currency=INR","Period=FQ","BEST_FPERIOD_OVERRIDE=FQ","FILING_STATUS=OR","EQY_CONSOLIDATED=Y","Sort=A","Dates=H","DateFormat=P","Fill=—","Direction=H","UseDPDF=Y")</f>
        <v>#NAME?</v>
      </c>
      <c r="CT12" s="1" t="e">
        <f ca="1">_xll.BDH($C$3,"CUR_RATIO","FQ4 2015","FQ4 2015","Currency=INR","Period=FQ","BEST_FPERIOD_OVERRIDE=FQ","FILING_STATUS=OR","EQY_CONSOLIDATED=Y","Sort=A","Dates=H","DateFormat=P","Fill=—","Direction=H","UseDPDF=Y")</f>
        <v>#NAME?</v>
      </c>
      <c r="CU12" s="1" t="e">
        <f ca="1">_xll.BDH($C$3,"QUICK_RATIO","FQ4 2015","FQ4 2015","Currency=INR","Period=FQ","BEST_FPERIOD_OVERRIDE=FQ","FILING_STATUS=OR","EQY_CONSOLIDATED=Y","Sort=A","Dates=H","DateFormat=P","Fill=—","Direction=H","UseDPDF=Y")</f>
        <v>#NAME?</v>
      </c>
      <c r="CV12" s="1" t="e">
        <f ca="1">_xll.BDH($C$3,"ALTMAN_Z_SCORE","FQ4 2015","FQ4 2015","Currency=INR","Period=FQ","BEST_FPERIOD_OVERRIDE=FQ","FILING_STATUS=OR","EQY_CONSOLIDATED=Y","Sort=A","Dates=H","DateFormat=P","Fill=—","Direction=H","UseDPDF=Y")</f>
        <v>#NAME?</v>
      </c>
      <c r="CW12" s="3" t="e">
        <f ca="1">_xll.BDH($C$3,"ACCT_RCV_TURN","FQ4 2015","FQ4 2015","Currency=INR","Period=FQ","BEST_FPERIOD_OVERRIDE=FQ","FILING_STATUS=OR","EQY_CONSOLIDATED=Y","FA_ADJUSTED=GAAP","Sort=A","Dates=H","DateFormat=P","Fill=—","Direction=H","UseDPDF=Y")</f>
        <v>#NAME?</v>
      </c>
      <c r="CX12" s="1" t="e">
        <f ca="1">_xll.BDH($C$3,"ACCT_RCV_DAYS","FQ4 2015","FQ4 2015","Currency=INR","Period=FQ","BEST_FPERIOD_OVERRIDE=FQ","FILING_STATUS=OR","EQY_CONSOLIDATED=Y","FA_ADJUSTED=GAAP","Sort=A","Dates=H","DateFormat=P","Fill=—","Direction=H","UseDPDF=Y")</f>
        <v>#NAME?</v>
      </c>
      <c r="CY12" s="3" t="e">
        <f ca="1">_xll.BDH($C$3,"INVENT_TURN","FQ4 2015","FQ4 2015","Currency=INR","Period=FQ","BEST_FPERIOD_OVERRIDE=FQ","FILING_STATUS=OR","EQY_CONSOLIDATED=Y","FA_ADJUSTED=GAAP","Sort=A","Dates=H","DateFormat=P","Fill=—","Direction=H","UseDPDF=Y")</f>
        <v>#NAME?</v>
      </c>
      <c r="CZ12" s="1" t="e">
        <f ca="1">_xll.BDH($C$3,"INVENT_DAYS","FQ4 2015","FQ4 2015","Currency=INR","Period=FQ","BEST_FPERIOD_OVERRIDE=FQ","FILING_STATUS=OR","EQY_CONSOLIDATED=Y","FA_ADJUSTED=GAAP","Sort=A","Dates=H","DateFormat=P","Fill=—","Direction=H","UseDPDF=Y")</f>
        <v>#NAME?</v>
      </c>
      <c r="DA12" s="3" t="e">
        <f ca="1">_xll.BDH($C$3,"ACCOUNTS_PAYABLE_TURNOVER","FQ4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2" s="1" t="e">
        <f ca="1">_xll.BDH($C$3,"ACCOUNTS_PAYABLE_TURNOVER_DAYS","FQ4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2" s="3" t="e">
        <f ca="1">_xll.BDH($C$3,"CASH_CONVERSION_CYCLE","FQ4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2" s="3" t="e">
        <f ca="1">_xll.BDH($C$3,"INV_TO_CASH_DAYS","FQ4 2015","FQ4 2015","Currency=INR","Period=FQ","BEST_FPERIOD_OVERRIDE=FQ","FILING_STATUS=OR","EQY_CONSOLIDATED=Y","FA_ADJUSTED=GAAP","Sort=A","Dates=H","DateFormat=P","Fill=—","Direction=H","UseDPDF=Y")</f>
        <v>#NAME?</v>
      </c>
      <c r="DE12" s="4" t="e">
        <f ca="1">_xll.BDH($C$3,"BS_INVENTORIES","FQ4 2015","FQ4 2015","Currency=INR","Period=FQ","BEST_FPERIOD_OVERRIDE=FQ","FILING_STATUS=OR","EQY_CONSOLIDATED=Y","SCALING_FORMAT=MLN","Sort=A","Dates=H","DateFormat=P","Fill=—","Direction=H","UseDPDF=Y")</f>
        <v>#NAME?</v>
      </c>
      <c r="DF12" s="2" t="e">
        <f ca="1">_xll.BDH($C$3,"INVTRY_RAW_MATERIALS","FQ4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2" s="2" t="e">
        <f ca="1">_xll.BDH($C$3,"INVTRY_IN_PROGRESS","FQ4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2" s="2" t="e">
        <f ca="1">_xll.BDH($C$3,"INVTRY_FINISHED_GOODS","FQ4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2" s="2" t="e">
        <f ca="1">_xll.BDH($C$3,"BS_OTHER_INV","FQ4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3" spans="1:113" x14ac:dyDescent="0.3">
      <c r="A13" s="6"/>
      <c r="B13" s="6"/>
      <c r="C13" s="6"/>
      <c r="D13" s="6" t="s">
        <v>9</v>
      </c>
      <c r="E13" t="s">
        <v>3</v>
      </c>
      <c r="F13" t="e">
        <f ca="1">_xll.BDH($C$3,"RETURN_COM_EQY","FY 2016","FY 2016","Currency=INR","Period=FY","BEST_FPERIOD_OVERRIDE=FY","FILING_STATUS=OR","EQY_CONSOLIDATED=Y","FA_ADJUSTED=GAAP","Sort=A","Dates=H","DateFormat=P","Fill=—","Direction=H","UseDPDF=Y")</f>
        <v>#NAME?</v>
      </c>
      <c r="G13" t="e">
        <f ca="1">_xll.BDH($C$3,"RETURN_ON_ASSET","FY 2016","FY 2016","Currency=INR","Period=FY","BEST_FPERIOD_OVERRIDE=FY","FILING_STATUS=OR","EQY_CONSOLIDATED=Y","FA_ADJUSTED=GAAP","Sort=A","Dates=H","DateFormat=P","Fill=—","Direction=H","UseDPDF=Y")</f>
        <v>#NAME?</v>
      </c>
      <c r="H13" t="e">
        <f ca="1">_xll.BDH($C$3,"RETURN_ON_CAP","FY 2016","FY 2016","Currency=INR","Period=FY","BEST_FPERIOD_OVERRIDE=FY","FILING_STATUS=OR","EQY_CONSOLIDATED=Y","FA_ADJUSTED=GAAP","Sort=A","Dates=H","DateFormat=P","Fill=—","Direction=H","UseDPDF=Y")</f>
        <v>#NAME?</v>
      </c>
      <c r="I13" t="e">
        <f ca="1">_xll.BDH($C$3,"RETURN_ON_INV_CAPITAL","FY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3" t="e">
        <f ca="1">_xll.BDH($C$3,"EBITDA_TO_REVENUE","FY 2016","FY 2016","Currency=INR","Period=FY","BEST_FPERIOD_OVERRIDE=FY","FILING_STATUS=OR","EQY_CONSOLIDATED=Y","FA_ADJUSTED=GAAP","Sort=A","Dates=H","DateFormat=P","Fill=—","Direction=H","UseDPDF=Y")</f>
        <v>#NAME?</v>
      </c>
      <c r="K13" t="e">
        <f ca="1">_xll.BDH($C$3,"OPER_MARGIN","FY 2016","FY 2016","Currency=INR","Period=FY","BEST_FPERIOD_OVERRIDE=FY","FILING_STATUS=OR","EQY_CONSOLIDATED=Y","FA_ADJUSTED=GAAP","Sort=A","Dates=H","DateFormat=P","Fill=—","Direction=H","UseDPDF=Y")</f>
        <v>#NAME?</v>
      </c>
      <c r="L13" t="e">
        <f ca="1">_xll.BDH($C$3,"INCREMENTAL_OPERATING_MARGIN","FY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3" t="e">
        <f ca="1">_xll.BDH($C$3,"PRETAX_INC_TO_NET_SALES","FY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3" t="e">
        <f ca="1">_xll.BDH($C$3,"INC_BEF_XO_ITEMS_TO_NET_SALES","FY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3" t="e">
        <f ca="1">_xll.BDH($C$3,"PROF_MARGIN","FY 2016","FY 2016","Currency=INR","Period=FY","BEST_FPERIOD_OVERRIDE=FY","FILING_STATUS=OR","EQY_CONSOLIDATED=Y","FA_ADJUSTED=GAAP","Sort=A","Dates=H","DateFormat=P","Fill=—","Direction=H","UseDPDF=Y")</f>
        <v>#NAME?</v>
      </c>
      <c r="P13" t="e">
        <f ca="1">_xll.BDH($C$3,"NET_INCOME_TO_COMMON_MARGIN","FY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3" t="e">
        <f ca="1">_xll.BDH($C$3,"EFF_TAX_RATE","FY 2016","FY 2016","Currency=INR","Period=FY","BEST_FPERIOD_OVERRIDE=FY","FILING_STATUS=OR","EQY_CONSOLIDATED=Y","FA_ADJUSTED=GAAP","Sort=A","Dates=H","DateFormat=P","Fill=—","Direction=H","UseDPDF=Y")</f>
        <v>#NAME?</v>
      </c>
      <c r="R13" t="e">
        <f ca="1">_xll.BDH($C$3,"DVD_PAYOUT_RATIO","FY 2016","FY 2016","Currency=INR","Period=FY","BEST_FPERIOD_OVERRIDE=FY","FILING_STATUS=OR","EQY_CONSOLIDATED=Y","FA_ADJUSTED=GAAP","Sort=A","Dates=H","DateFormat=P","Fill=—","Direction=H","UseDPDF=Y")</f>
        <v>#NAME?</v>
      </c>
      <c r="S13" t="e">
        <f ca="1">_xll.BDH($C$3,"SUSTAIN_GROWTH_RT","FY 2016","FY 2016","Currency=INR","Period=FY","BEST_FPERIOD_OVERRIDE=FY","FILING_STATUS=OR","EQY_CONSOLIDATED=Y","FA_ADJUSTED=GAAP","Sort=A","Dates=H","DateFormat=P","Fill=—","Direction=H","UseDPDF=Y")</f>
        <v>#NAME?</v>
      </c>
      <c r="T13" s="1" t="e">
        <f ca="1">_xll.BDH($C$3,"SALES_GROWTH","FY 2016","FY 2016","Currency=INR","Period=FY","BEST_FPERIOD_OVERRIDE=FY","FILING_STATUS=OR","EQY_CONSOLIDATED=Y","FA_ADJUSTED=GAAP","Sort=A","Dates=H","DateFormat=P","Fill=—","Direction=H","UseDPDF=Y")</f>
        <v>#NAME?</v>
      </c>
      <c r="U13" s="1" t="e">
        <f ca="1">_xll.BDH($C$3,"EBITDA_GROWTH","FY 2016","FY 2016","Currency=INR","Period=FY","BEST_FPERIOD_OVERRIDE=FY","FILING_STATUS=OR","EQY_CONSOLIDATED=Y","FA_ADJUSTED=GAAP","Sort=A","Dates=H","DateFormat=P","Fill=—","Direction=H","UseDPDF=Y")</f>
        <v>#NAME?</v>
      </c>
      <c r="V13" s="1" t="e">
        <f ca="1">_xll.BDH($C$3,"OPER_INC_GROWTH","FY 2016","FY 2016","Currency=INR","Period=FY","BEST_FPERIOD_OVERRIDE=FY","FILING_STATUS=OR","EQY_CONSOLIDATED=Y","FA_ADJUSTED=GAAP","Sort=A","Dates=H","DateFormat=P","Fill=—","Direction=H","UseDPDF=Y")</f>
        <v>#NAME?</v>
      </c>
      <c r="W13" s="1" t="e">
        <f ca="1">_xll.BDH($C$3,"EARN_FOR_COM_GROWTH","FY 2016","FY 2016","Currency=INR","Period=FY","BEST_FPERIOD_OVERRIDE=FY","FILING_STATUS=OR","EQY_CONSOLIDATED=Y","FA_ADJUSTED=GAAP","Sort=A","Dates=H","DateFormat=P","Fill=—","Direction=H","UseDPDF=Y")</f>
        <v>#NAME?</v>
      </c>
      <c r="X13" s="1" t="e">
        <f ca="1">_xll.BDH($C$3,"DILUTED_EPS_AFT_XO_ITEMS_GROWTH","FY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3" s="1" t="e">
        <f ca="1">_xll.BDH($C$3,"DIVIDEND_PER_SHARE_1_YEAR_GROWTH","FY 2016","FY 2016","Currency=INR","Period=FY","BEST_FPERIOD_OVERRIDE=FY","FILING_STATUS=OR","EQY_CONSOLIDATED=Y","Sort=A","Dates=H","DateFormat=P","Fill=—","Direction=H","UseDPDF=Y")</f>
        <v>#NAME?</v>
      </c>
      <c r="Z13" s="1" t="e">
        <f ca="1">_xll.BDH($C$3,"ACCOUNTS_RECEIVABLE_GROWTH","FY 2016","FY 2016","Currency=INR","Period=FY","BEST_FPERIOD_OVERRIDE=FY","FILING_STATUS=OR","EQY_CONSOLIDATED=Y","Sort=A","Dates=H","DateFormat=P","Fill=—","Direction=H","UseDPDF=Y")</f>
        <v>#NAME?</v>
      </c>
      <c r="AA13" s="1" t="e">
        <f ca="1">_xll.BDH($C$3,"INVENTORY_GROWTH","FY 2016","FY 2016","Currency=INR","Period=FY","BEST_FPERIOD_OVERRIDE=FY","FILING_STATUS=OR","EQY_CONSOLIDATED=Y","Sort=A","Dates=H","DateFormat=P","Fill=—","Direction=H","UseDPDF=Y")</f>
        <v>#NAME?</v>
      </c>
      <c r="AB13" s="1" t="e">
        <f ca="1">_xll.BDH($C$3,"NET_FIXED_ASSETS_1_YEAR_GROWTH","FY 2016","FY 2016","Currency=INR","Period=FY","BEST_FPERIOD_OVERRIDE=FY","FILING_STATUS=OR","EQY_CONSOLIDATED=Y","Sort=A","Dates=H","DateFormat=P","Fill=—","Direction=H","UseDPDF=Y")</f>
        <v>#NAME?</v>
      </c>
      <c r="AC13" s="1" t="e">
        <f ca="1">_xll.BDH($C$3,"ASSET_GROWTH","FY 2016","FY 2016","Currency=INR","Period=FY","BEST_FPERIOD_OVERRIDE=FY","FILING_STATUS=OR","EQY_CONSOLIDATED=Y","Sort=A","Dates=H","DateFormat=P","Fill=—","Direction=H","UseDPDF=Y")</f>
        <v>#NAME?</v>
      </c>
      <c r="AD13" s="1" t="e">
        <f ca="1">_xll.BDH($C$3,"MODIFIED_WORK_CAP_GROWTH","FY 2016","FY 2016","Currency=INR","Period=FY","BEST_FPERIOD_OVERRIDE=FY","FILING_STATUS=OR","EQY_CONSOLIDATED=Y","Sort=A","Dates=H","DateFormat=P","Fill=—","Direction=H","UseDPDF=Y")</f>
        <v>#NAME?</v>
      </c>
      <c r="AE13" s="1" t="e">
        <f ca="1">_xll.BDH($C$3,"WORK_CAP_GROWTH","FY 2016","FY 2016","Currency=INR","Period=FY","BEST_FPERIOD_OVERRIDE=FY","FILING_STATUS=OR","EQY_CONSOLIDATED=Y","Sort=A","Dates=H","DateFormat=P","Fill=—","Direction=H","UseDPDF=Y")</f>
        <v>#NAME?</v>
      </c>
      <c r="AF13" s="1" t="e">
        <f ca="1">_xll.BDH($C$3,"ACCOUNTS_PAYABLE_GROWTH_1YR","FY 2016","FY 2016","Currency=INR","Period=FY","BEST_FPERIOD_OVERRIDE=FY","FILING_STATUS=OR","EQY_CONSOLIDATED=Y","Sort=A","Dates=H","DateFormat=P","Fill=—","Direction=H","UseDPDF=Y")</f>
        <v>#NAME?</v>
      </c>
      <c r="AG13" s="1" t="e">
        <f ca="1">_xll.BDH($C$3,"SHORT_TERM_DEBT_1_YEAR_GROWTH","FY 2016","FY 2016","Currency=INR","Period=FY","BEST_FPERIOD_OVERRIDE=FY","FILING_STATUS=OR","EQY_CONSOLIDATED=Y","Sort=A","Dates=H","DateFormat=P","Fill=—","Direction=H","UseDPDF=Y")</f>
        <v>#NAME?</v>
      </c>
      <c r="AH13" s="1" t="e">
        <f ca="1">_xll.BDH($C$3,"TOTAL_DEBT_1_YEAR_GROWTH","FY 2016","FY 2016","Currency=INR","Period=FY","BEST_FPERIOD_OVERRIDE=FY","FILING_STATUS=OR","EQY_CONSOLIDATED=Y","Sort=A","Dates=H","DateFormat=P","Fill=—","Direction=H","UseDPDF=Y")</f>
        <v>#NAME?</v>
      </c>
      <c r="AI13" s="1" t="e">
        <f ca="1">_xll.BDH($C$3,"TOTAL_EQUITY_1_YEAR_GROWTH","FY 2016","FY 2016","Currency=INR","Period=FY","BEST_FPERIOD_OVERRIDE=FY","FILING_STATUS=OR","EQY_CONSOLIDATED=Y","Sort=A","Dates=H","DateFormat=P","Fill=—","Direction=H","UseDPDF=Y")</f>
        <v>#NAME?</v>
      </c>
      <c r="AJ13" s="1" t="e">
        <f ca="1">_xll.BDH($C$3,"GROWTH_IN_CAP","FY 2016","FY 2016","Currency=INR","Period=FY","BEST_FPERIOD_OVERRIDE=FY","FILING_STATUS=OR","EQY_CONSOLIDATED=Y","Sort=A","Dates=H","DateFormat=P","Fill=—","Direction=H","UseDPDF=Y")</f>
        <v>#NAME?</v>
      </c>
      <c r="AK13" s="1" t="e">
        <f ca="1">_xll.BDH($C$3,"BVPS_GROWTH","FY 2016","FY 2016","Currency=INR","Period=FY","BEST_FPERIOD_OVERRIDE=FY","FILING_STATUS=OR","EQY_CONSOLIDATED=Y","Sort=A","Dates=H","DateFormat=P","Fill=—","Direction=H","UseDPDF=Y")</f>
        <v>#NAME?</v>
      </c>
      <c r="AL13" s="1" t="e">
        <f ca="1">_xll.BDH($C$3,"CASH_FLOW_GROWTH","FY 2016","FY 2016","Currency=INR","Period=FY","BEST_FPERIOD_OVERRIDE=FY","FILING_STATUS=OR","EQY_CONSOLIDATED=Y","Sort=A","Dates=H","DateFormat=P","Fill=—","Direction=H","UseDPDF=Y")</f>
        <v>#NAME?</v>
      </c>
      <c r="AM13" s="1" t="e">
        <f ca="1">_xll.BDH($C$3,"GEO_GROW_NET_SALES","FY 2016","FY 2016","Currency=INR","Period=FY","BEST_FPERIOD_OVERRIDE=FY","FILING_STATUS=OR","EQY_CONSOLIDATED=Y","FA_ADJUSTED=GAAP","Sort=A","Dates=H","DateFormat=P","Fill=—","Direction=H","UseDPDF=Y")</f>
        <v>#NAME?</v>
      </c>
      <c r="AN13" s="1" t="e">
        <f ca="1">_xll.BDH($C$3,"GEO_GROW_EBITDA","FY 2016","FY 2016","Currency=INR","Period=FY","BEST_FPERIOD_OVERRIDE=FY","FILING_STATUS=OR","EQY_CONSOLIDATED=Y","FA_ADJUSTED=GAAP","Sort=A","Dates=H","DateFormat=P","Fill=—","Direction=H","UseDPDF=Y")</f>
        <v>#NAME?</v>
      </c>
      <c r="AO13" s="1" t="e">
        <f ca="1">_xll.BDH($C$3,"GEO_GROW_OPER_INC","FY 2016","FY 2016","Currency=INR","Period=FY","BEST_FPERIOD_OVERRIDE=FY","FILING_STATUS=OR","EQY_CONSOLIDATED=Y","FA_ADJUSTED=GAAP","Sort=A","Dates=H","DateFormat=P","Fill=—","Direction=H","UseDPDF=Y")</f>
        <v>#NAME?</v>
      </c>
      <c r="AP13" s="1" t="e">
        <f ca="1">_xll.BDH($C$3,"NET_INCOME_TO_COMMON_5_YR_GROWTH","FY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3" s="1" t="e">
        <f ca="1">_xll.BDH($C$3,"5Y_GEO_GROWTH_DILUTED_EPS","FY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3" s="1" t="e">
        <f ca="1">_xll.BDH($C$3,"GEO_GROW_DVD_PER_SH","FY 2016","FY 2016","Currency=INR","Period=FY","BEST_FPERIOD_OVERRIDE=FY","FILING_STATUS=OR","EQY_CONSOLIDATED=Y","Sort=A","Dates=H","DateFormat=P","Fill=—","Direction=H","UseDPDF=Y")</f>
        <v>#NAME?</v>
      </c>
      <c r="AS13" s="1" t="e">
        <f ca="1">_xll.BDH($C$3,"ACCOUNTS_RECEIVABLE_5_YR_GROWTH","FY 2016","FY 2016","Currency=INR","Period=FY","BEST_FPERIOD_OVERRIDE=FY","FILING_STATUS=OR","EQY_CONSOLIDATED=Y","Sort=A","Dates=H","DateFormat=P","Fill=—","Direction=H","UseDPDF=Y")</f>
        <v>#NAME?</v>
      </c>
      <c r="AT13" s="1" t="e">
        <f ca="1">_xll.BDH($C$3,"INVENTORY_5_YEAR_GROWTH","FY 2016","FY 2016","Currency=INR","Period=FY","BEST_FPERIOD_OVERRIDE=FY","FILING_STATUS=OR","EQY_CONSOLIDATED=Y","Sort=A","Dates=H","DateFormat=P","Fill=—","Direction=H","UseDPDF=Y")</f>
        <v>#NAME?</v>
      </c>
      <c r="AU13" s="1" t="e">
        <f ca="1">_xll.BDH($C$3,"NET_FIXED_ASSETS_5_YEAR_GROWTH","FY 2016","FY 2016","Currency=INR","Period=FY","BEST_FPERIOD_OVERRIDE=FY","FILING_STATUS=OR","EQY_CONSOLIDATED=Y","Sort=A","Dates=H","DateFormat=P","Fill=—","Direction=H","UseDPDF=Y")</f>
        <v>#NAME?</v>
      </c>
      <c r="AV13" s="1" t="e">
        <f ca="1">_xll.BDH($C$3,"GEO_GROW_TOT_ASSET","FY 2016","FY 2016","Currency=INR","Period=FY","BEST_FPERIOD_OVERRIDE=FY","FILING_STATUS=OR","EQY_CONSOLIDATED=Y","Sort=A","Dates=H","DateFormat=P","Fill=—","Direction=H","UseDPDF=Y")</f>
        <v>#NAME?</v>
      </c>
      <c r="AW13" s="1" t="e">
        <f ca="1">_xll.BDH($C$3,"MODIFIED_WORKING_CPTL_5YR_GRWTH","FY 2016","FY 2016","Currency=INR","Period=FY","BEST_FPERIOD_OVERRIDE=FY","FILING_STATUS=OR","EQY_CONSOLIDATED=Y","Sort=A","Dates=H","DateFormat=P","Fill=—","Direction=H","UseDPDF=Y")</f>
        <v>#NAME?</v>
      </c>
      <c r="AX13" s="1" t="e">
        <f ca="1">_xll.BDH($C$3,"WORKING_CAPITAL_5_YEAR_GROWTH","FY 2016","FY 2016","Currency=INR","Period=FY","BEST_FPERIOD_OVERRIDE=FY","FILING_STATUS=OR","EQY_CONSOLIDATED=Y","Sort=A","Dates=H","DateFormat=P","Fill=—","Direction=H","UseDPDF=Y")</f>
        <v>#NAME?</v>
      </c>
      <c r="AY13" s="1" t="e">
        <f ca="1">_xll.BDH($C$3,"ACCOUNTS_PAYABLE_5_YEAR_GROWTH","FY 2016","FY 2016","Currency=INR","Period=FY","BEST_FPERIOD_OVERRIDE=FY","FILING_STATUS=OR","EQY_CONSOLIDATED=Y","Sort=A","Dates=H","DateFormat=P","Fill=—","Direction=H","UseDPDF=Y")</f>
        <v>#NAME?</v>
      </c>
      <c r="AZ13" s="1" t="e">
        <f ca="1">_xll.BDH($C$3,"SHORT_TERM_DEBT_5_YEAR_GROWTH","FY 2016","FY 2016","Currency=INR","Period=FY","BEST_FPERIOD_OVERRIDE=FY","FILING_STATUS=OR","EQY_CONSOLIDATED=Y","Sort=A","Dates=H","DateFormat=P","Fill=—","Direction=H","UseDPDF=Y")</f>
        <v>#NAME?</v>
      </c>
      <c r="BA13" s="1" t="e">
        <f ca="1">_xll.BDH($C$3,"TOTAL_DEBT_5_YEAR_GROWTH","FY 2016","FY 2016","Currency=INR","Period=FY","BEST_FPERIOD_OVERRIDE=FY","FILING_STATUS=OR","EQY_CONSOLIDATED=Y","Sort=A","Dates=H","DateFormat=P","Fill=—","Direction=H","UseDPDF=Y")</f>
        <v>#NAME?</v>
      </c>
      <c r="BB13" s="1" t="e">
        <f ca="1">_xll.BDH($C$3,"GEO_GROW_TOT_SHRHLDR_EQY","FY 2016","FY 2016","Currency=INR","Period=FY","BEST_FPERIOD_OVERRIDE=FY","FILING_STATUS=OR","EQY_CONSOLIDATED=Y","Sort=A","Dates=H","DateFormat=P","Fill=—","Direction=H","UseDPDF=Y")</f>
        <v>#NAME?</v>
      </c>
      <c r="BC13" s="1" t="e">
        <f ca="1">_xll.BDH($C$3,"TOTAL_CAPITAL_5_YEAR_GROWTH","FY 2016","FY 2016","Currency=INR","Period=FY","BEST_FPERIOD_OVERRIDE=FY","FILING_STATUS=OR","EQY_CONSOLIDATED=Y","Sort=A","Dates=H","DateFormat=P","Fill=—","Direction=H","UseDPDF=Y")</f>
        <v>#NAME?</v>
      </c>
      <c r="BD13" s="1" t="e">
        <f ca="1">_xll.BDH($C$3,"GEO_GROW_BOOK_VAL","FY 2016","FY 2016","Currency=INR","Period=FY","BEST_FPERIOD_OVERRIDE=FY","FILING_STATUS=OR","EQY_CONSOLIDATED=Y","Sort=A","Dates=H","DateFormat=P","Fill=—","Direction=H","UseDPDF=Y")</f>
        <v>#NAME?</v>
      </c>
      <c r="BE13" s="1" t="e">
        <f ca="1">_xll.BDH($C$3,"GEO_GROW_CASH_OPER_ACT","FY 2016","FY 2016","Currency=INR","Period=FY","BEST_FPERIOD_OVERRIDE=FY","FILING_STATUS=OR","EQY_CONSOLIDATED=Y","Sort=A","Dates=H","DateFormat=P","Fill=—","Direction=H","UseDPDF=Y")</f>
        <v>#NAME?</v>
      </c>
      <c r="BF13" s="1" t="e">
        <f ca="1">_xll.BDH($C$3,"REVENUE_SEQUENTIAL_GROWTH","FY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3" s="1" t="e">
        <f ca="1">_xll.BDH($C$3,"EBITDA_SEQUENTIAL_GROWTH","FY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3" s="1" t="e">
        <f ca="1">_xll.BDH($C$3,"OPERATING_INCOME_SEQ_GROWTH","FY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3" s="1" t="e">
        <f ca="1">_xll.BDH($C$3,"NET_INCOME_TO_COMMON_SEQ_GROWTH","FY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3" s="1" t="e">
        <f ca="1">_xll.BDH($C$3,"EPS_DILUTED_SEQUENTIAL_GROWTH","FY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3" s="1" t="e">
        <f ca="1">_xll.BDH($C$3,"DPS_SEQUENTIAL_GROWTH","FY 2016","FY 2016","Currency=INR","Period=FY","BEST_FPERIOD_OVERRIDE=FY","FILING_STATUS=OR","EQY_CONSOLIDATED=Y","Sort=A","Dates=H","DateFormat=P","Fill=—","Direction=H","UseDPDF=Y")</f>
        <v>#NAME?</v>
      </c>
      <c r="BL13" s="1" t="e">
        <f ca="1">_xll.BDH($C$3,"ACCOUNTS_RECEIVABLE_SEQ_GROWTH","FY 2016","FY 2016","Currency=INR","Period=FY","BEST_FPERIOD_OVERRIDE=FY","FILING_STATUS=OR","EQY_CONSOLIDATED=Y","Sort=A","Dates=H","DateFormat=P","Fill=—","Direction=H","UseDPDF=Y")</f>
        <v>#NAME?</v>
      </c>
      <c r="BM13" s="1" t="e">
        <f ca="1">_xll.BDH($C$3,"INVENTORY_SEQUENTIAL_GROWTH","FY 2016","FY 2016","Currency=INR","Period=FY","BEST_FPERIOD_OVERRIDE=FY","FILING_STATUS=OR","EQY_CONSOLIDATED=Y","Sort=A","Dates=H","DateFormat=P","Fill=—","Direction=H","UseDPDF=Y")</f>
        <v>#NAME?</v>
      </c>
      <c r="BN13" s="1" t="e">
        <f ca="1">_xll.BDH($C$3,"FIXED_ASSETS_SEQUENTIAL_GROWTH","FY 2016","FY 2016","Currency=INR","Period=FY","BEST_FPERIOD_OVERRIDE=FY","FILING_STATUS=OR","EQY_CONSOLIDATED=Y","Sort=A","Dates=H","DateFormat=P","Fill=—","Direction=H","UseDPDF=Y")</f>
        <v>#NAME?</v>
      </c>
      <c r="BO13" s="1" t="e">
        <f ca="1">_xll.BDH($C$3,"TOTAL_ASSETS_SEQUENTIAL_GROWTH","FY 2016","FY 2016","Currency=INR","Period=FY","BEST_FPERIOD_OVERRIDE=FY","FILING_STATUS=OR","EQY_CONSOLIDATED=Y","Sort=A","Dates=H","DateFormat=P","Fill=—","Direction=H","UseDPDF=Y")</f>
        <v>#NAME?</v>
      </c>
      <c r="BP13" s="1" t="e">
        <f ca="1">_xll.BDH($C$3,"MODIFIED_WORKING_CPTL_SEQ_GRWTH","FY 2016","FY 2016","Currency=INR","Period=FY","BEST_FPERIOD_OVERRIDE=FY","FILING_STATUS=OR","EQY_CONSOLIDATED=Y","Sort=A","Dates=H","DateFormat=P","Fill=—","Direction=H","UseDPDF=Y")</f>
        <v>#NAME?</v>
      </c>
      <c r="BQ13" s="1" t="e">
        <f ca="1">_xll.BDH($C$3,"WORKING_CAPITAL_SEQ_GROWTH","FY 2016","FY 2016","Currency=INR","Period=FY","BEST_FPERIOD_OVERRIDE=FY","FILING_STATUS=OR","EQY_CONSOLIDATED=Y","Sort=A","Dates=H","DateFormat=P","Fill=—","Direction=H","UseDPDF=Y")</f>
        <v>#NAME?</v>
      </c>
      <c r="BR13" s="1" t="e">
        <f ca="1">_xll.BDH($C$3,"ACCOUNTS_PAYABLE_SEQ_GROWTH","FY 2016","FY 2016","Currency=INR","Period=FY","BEST_FPERIOD_OVERRIDE=FY","FILING_STATUS=OR","EQY_CONSOLIDATED=Y","Sort=A","Dates=H","DateFormat=P","Fill=—","Direction=H","UseDPDF=Y")</f>
        <v>#NAME?</v>
      </c>
      <c r="BS13" s="1" t="e">
        <f ca="1">_xll.BDH($C$3,"ST_DEBT_SEQUENTIAL_GROWTH","FY 2016","FY 2016","Currency=INR","Period=FY","BEST_FPERIOD_OVERRIDE=FY","FILING_STATUS=OR","EQY_CONSOLIDATED=Y","Sort=A","Dates=H","DateFormat=P","Fill=—","Direction=H","UseDPDF=Y")</f>
        <v>#NAME?</v>
      </c>
      <c r="BT13" s="1" t="e">
        <f ca="1">_xll.BDH($C$3,"TOTAL_DEBT_SEQUENTIAL_GROWTH","FY 2016","FY 2016","Currency=INR","Period=FY","BEST_FPERIOD_OVERRIDE=FY","FILING_STATUS=OR","EQY_CONSOLIDATED=Y","Sort=A","Dates=H","DateFormat=P","Fill=—","Direction=H","UseDPDF=Y")</f>
        <v>#NAME?</v>
      </c>
      <c r="BU13" s="1" t="e">
        <f ca="1">_xll.BDH($C$3,"TOTAL_EQUITY_SEQUENTIAL_GROWTH","FY 2016","FY 2016","Currency=INR","Period=FY","BEST_FPERIOD_OVERRIDE=FY","FILING_STATUS=OR","EQY_CONSOLIDATED=Y","Sort=A","Dates=H","DateFormat=P","Fill=—","Direction=H","UseDPDF=Y")</f>
        <v>#NAME?</v>
      </c>
      <c r="BV13" s="1" t="e">
        <f ca="1">_xll.BDH($C$3,"TOTAL_CAPITAL_SEQUENTIAL_GROWTH","FY 2016","FY 2016","Currency=INR","Period=FY","BEST_FPERIOD_OVERRIDE=FY","FILING_STATUS=OR","EQY_CONSOLIDATED=Y","Sort=A","Dates=H","DateFormat=P","Fill=—","Direction=H","UseDPDF=Y")</f>
        <v>#NAME?</v>
      </c>
      <c r="BW13" s="1" t="e">
        <f ca="1">_xll.BDH($C$3,"BPS_SEQUENTIAL_GROWTH","FY 2016","FY 2016","Currency=INR","Period=FY","BEST_FPERIOD_OVERRIDE=FY","FILING_STATUS=OR","EQY_CONSOLIDATED=Y","Sort=A","Dates=H","DateFormat=P","Fill=—","Direction=H","UseDPDF=Y")</f>
        <v>#NAME?</v>
      </c>
      <c r="BX13" s="1" t="e">
        <f ca="1">_xll.BDH($C$3,"CFO_SEQUENTIAL_GROWTH","FY 2016","FY 2016","Currency=INR","Period=FY","BEST_FPERIOD_OVERRIDE=FY","FILING_STATUS=OR","EQY_CONSOLIDATED=Y","Sort=A","Dates=H","DateFormat=P","Fill=—","Direction=H","UseDPDF=Y")</f>
        <v>#NAME?</v>
      </c>
      <c r="BY13" s="2" t="e">
        <f ca="1">_xll.BDH($C$3,"SHORT_AND_LONG_TERM_DEBT","FY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3" s="2" t="e">
        <f ca="1">_xll.BDH($C$3,"BS_ST_BORROW","FY 2016","FY 2016","Currency=INR","Period=FY","BEST_FPERIOD_OVERRIDE=FY","FILING_STATUS=OR","EQY_CONSOLIDATED=Y","SCALING_FORMAT=MLN","Sort=A","Dates=H","DateFormat=P","Fill=—","Direction=H","UseDPDF=Y")</f>
        <v>#NAME?</v>
      </c>
      <c r="CA13" s="2" t="e">
        <f ca="1">_xll.BDH($C$3,"BS_LT_BORROW","FY 2016","FY 2016","Currency=INR","Period=FY","BEST_FPERIOD_OVERRIDE=FY","FILING_STATUS=OR","EQY_CONSOLIDATED=Y","SCALING_FORMAT=MLN","Sort=A","Dates=H","DateFormat=P","Fill=—","Direction=H","UseDPDF=Y")</f>
        <v>#NAME?</v>
      </c>
      <c r="CB13" s="1" t="e">
        <f ca="1">_xll.BDH($C$3,"TOT_DEBT_TO_EBITDA","FY 2016","FY 2016","Currency=INR","Period=FY","BEST_FPERIOD_OVERRIDE=FY","FILING_STATUS=OR","EQY_CONSOLIDATED=Y","FA_ADJUSTED=GAAP","Sort=A","Dates=H","DateFormat=P","Fill=—","Direction=H","UseDPDF=Y")</f>
        <v>#NAME?</v>
      </c>
      <c r="CC13" s="1" t="e">
        <f ca="1">_xll.BDH($C$3,"NET_DEBT_TO_EBITDA","FY 2016","FY 2016","Currency=INR","Period=FY","BEST_FPERIOD_OVERRIDE=FY","FILING_STATUS=OR","EQY_CONSOLIDATED=Y","FA_ADJUSTED=GAAP","Sort=A","Dates=H","DateFormat=P","Fill=—","Direction=H","UseDPDF=Y")</f>
        <v>#NAME?</v>
      </c>
      <c r="CD13" s="1" t="e">
        <f ca="1">_xll.BDH($C$3,"TOTAL_DEBT_TO_EBIT","FY 2016","FY 2016","Currency=INR","Period=FY","BEST_FPERIOD_OVERRIDE=FY","FILING_STATUS=OR","EQY_CONSOLIDATED=Y","FA_ADJUSTED=GAAP","Sort=A","Dates=H","DateFormat=P","Fill=—","Direction=H","UseDPDF=Y")</f>
        <v>#NAME?</v>
      </c>
      <c r="CE13" s="1" t="e">
        <f ca="1">_xll.BDH($C$3,"NET_DEBT_TO_EBIT","FY 2016","FY 2016","Currency=INR","Period=FY","BEST_FPERIOD_OVERRIDE=FY","FILING_STATUS=OR","EQY_CONSOLIDATED=Y","FA_ADJUSTED=GAAP","Sort=A","Dates=H","DateFormat=P","Fill=—","Direction=H","UseDPDF=Y")</f>
        <v>#NAME?</v>
      </c>
      <c r="CF13" s="1" t="e">
        <f ca="1">_xll.BDH($C$3,"EBITDA_TO_INTEREST_EXPN","FY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3" s="1" t="e">
        <f ca="1">_xll.BDH($C$3,"COM_EQY_TO_TOT_ASSET","FY 2016","FY 2016","Currency=INR","Period=FY","BEST_FPERIOD_OVERRIDE=FY","FILING_STATUS=OR","EQY_CONSOLIDATED=Y","Sort=A","Dates=H","DateFormat=P","Fill=—","Direction=H","UseDPDF=Y")</f>
        <v>#NAME?</v>
      </c>
      <c r="CH13" s="1" t="e">
        <f ca="1">_xll.BDH($C$3,"LT_DEBT_TO_TOT_EQY","FY 2016","FY 2016","Currency=INR","Period=FY","BEST_FPERIOD_OVERRIDE=FY","FILING_STATUS=OR","EQY_CONSOLIDATED=Y","Sort=A","Dates=H","DateFormat=P","Fill=—","Direction=H","UseDPDF=Y")</f>
        <v>#NAME?</v>
      </c>
      <c r="CI13" s="1" t="e">
        <f ca="1">_xll.BDH($C$3,"LT_DEBT_TO_TOT_CAP","FY 2016","FY 2016","Currency=INR","Period=FY","BEST_FPERIOD_OVERRIDE=FY","FILING_STATUS=OR","EQY_CONSOLIDATED=Y","Sort=A","Dates=H","DateFormat=P","Fill=—","Direction=H","UseDPDF=Y")</f>
        <v>#NAME?</v>
      </c>
      <c r="CJ13" s="1" t="e">
        <f ca="1">_xll.BDH($C$3,"LT_DEBT_TO_TOT_ASSET","FY 2016","FY 2016","Currency=INR","Period=FY","BEST_FPERIOD_OVERRIDE=FY","FILING_STATUS=OR","EQY_CONSOLIDATED=Y","Sort=A","Dates=H","DateFormat=P","Fill=—","Direction=H","UseDPDF=Y")</f>
        <v>#NAME?</v>
      </c>
      <c r="CK13" s="1" t="e">
        <f ca="1">_xll.BDH($C$3,"TOT_DEBT_TO_TOT_EQY","FY 2016","FY 2016","Currency=INR","Period=FY","BEST_FPERIOD_OVERRIDE=FY","FILING_STATUS=OR","EQY_CONSOLIDATED=Y","Sort=A","Dates=H","DateFormat=P","Fill=—","Direction=H","UseDPDF=Y")</f>
        <v>#NAME?</v>
      </c>
      <c r="CL13" s="1" t="e">
        <f ca="1">_xll.BDH($C$3,"TOT_DEBT_TO_TOT_CAP","FY 2016","FY 2016","Currency=INR","Period=FY","BEST_FPERIOD_OVERRIDE=FY","FILING_STATUS=OR","EQY_CONSOLIDATED=Y","Sort=A","Dates=H","DateFormat=P","Fill=—","Direction=H","UseDPDF=Y")</f>
        <v>#NAME?</v>
      </c>
      <c r="CM13" s="1" t="e">
        <f ca="1">_xll.BDH($C$3,"TOT_DEBT_TO_TOT_ASSET","FY 2016","FY 2016","Currency=INR","Period=FY","BEST_FPERIOD_OVERRIDE=FY","FILING_STATUS=OR","EQY_CONSOLIDATED=Y","Sort=A","Dates=H","DateFormat=P","Fill=—","Direction=H","UseDPDF=Y")</f>
        <v>#NAME?</v>
      </c>
      <c r="CN13" s="1" t="e">
        <f ca="1">_xll.BDH($C$3,"NET_DEBT_TO_SHRHLDR_EQTY","FY 2016","FY 2016","Currency=INR","Period=FY","BEST_FPERIOD_OVERRIDE=FY","FILING_STATUS=OR","EQY_CONSOLIDATED=Y","Sort=A","Dates=H","DateFormat=P","Fill=—","Direction=H","UseDPDF=Y")</f>
        <v>#NAME?</v>
      </c>
      <c r="CO13" s="1" t="e">
        <f ca="1">_xll.BDH($C$3,"NET_DEBT_%_CAPITAL","FY 2016","FY 2016","Currency=INR","Period=FY","BEST_FPERIOD_OVERRIDE=FY","FILING_STATUS=OR","EQY_CONSOLIDATED=Y","Sort=A","Dates=H","DateFormat=P","Fill=—","Direction=H","UseDPDF=Y")</f>
        <v>#NAME?</v>
      </c>
      <c r="CP13" s="2" t="e">
        <f ca="1">_xll.BDH($C$3,"EBITDA","FY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3" s="2" t="e">
        <f ca="1">_xll.BDH($C$3,"EBITDA_AFTER_CAPEX","FY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3" s="2" t="e">
        <f ca="1">_xll.BDH($C$3,"IS_OPER_INC","FY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3" s="1" t="e">
        <f ca="1">_xll.BDH($C$3,"CASH_RATIO","FY 2016","FY 2016","Currency=INR","Period=FY","BEST_FPERIOD_OVERRIDE=FY","FILING_STATUS=OR","EQY_CONSOLIDATED=Y","Sort=A","Dates=H","DateFormat=P","Fill=—","Direction=H","UseDPDF=Y")</f>
        <v>#NAME?</v>
      </c>
      <c r="CT13" s="1" t="e">
        <f ca="1">_xll.BDH($C$3,"CUR_RATIO","FY 2016","FY 2016","Currency=INR","Period=FY","BEST_FPERIOD_OVERRIDE=FY","FILING_STATUS=OR","EQY_CONSOLIDATED=Y","Sort=A","Dates=H","DateFormat=P","Fill=—","Direction=H","UseDPDF=Y")</f>
        <v>#NAME?</v>
      </c>
      <c r="CU13" s="1" t="e">
        <f ca="1">_xll.BDH($C$3,"QUICK_RATIO","FY 2016","FY 2016","Currency=INR","Period=FY","BEST_FPERIOD_OVERRIDE=FY","FILING_STATUS=OR","EQY_CONSOLIDATED=Y","Sort=A","Dates=H","DateFormat=P","Fill=—","Direction=H","UseDPDF=Y")</f>
        <v>#NAME?</v>
      </c>
      <c r="CV13" s="1" t="e">
        <f ca="1">_xll.BDH($C$3,"ALTMAN_Z_SCORE","FY 2016","FY 2016","Currency=INR","Period=FY","BEST_FPERIOD_OVERRIDE=FY","FILING_STATUS=OR","EQY_CONSOLIDATED=Y","Sort=A","Dates=H","DateFormat=P","Fill=—","Direction=H","UseDPDF=Y")</f>
        <v>#NAME?</v>
      </c>
      <c r="CW13" s="3" t="e">
        <f ca="1">_xll.BDH($C$3,"ACCT_RCV_TURN","FY 2016","FY 2016","Currency=INR","Period=FY","BEST_FPERIOD_OVERRIDE=FY","FILING_STATUS=OR","EQY_CONSOLIDATED=Y","FA_ADJUSTED=GAAP","Sort=A","Dates=H","DateFormat=P","Fill=—","Direction=H","UseDPDF=Y")</f>
        <v>#NAME?</v>
      </c>
      <c r="CX13" s="1" t="e">
        <f ca="1">_xll.BDH($C$3,"ACCT_RCV_DAYS","FY 2016","FY 2016","Currency=INR","Period=FY","BEST_FPERIOD_OVERRIDE=FY","FILING_STATUS=OR","EQY_CONSOLIDATED=Y","FA_ADJUSTED=GAAP","Sort=A","Dates=H","DateFormat=P","Fill=—","Direction=H","UseDPDF=Y")</f>
        <v>#NAME?</v>
      </c>
      <c r="CY13" s="3" t="e">
        <f ca="1">_xll.BDH($C$3,"INVENT_TURN","FY 2016","FY 2016","Currency=INR","Period=FY","BEST_FPERIOD_OVERRIDE=FY","FILING_STATUS=OR","EQY_CONSOLIDATED=Y","FA_ADJUSTED=GAAP","Sort=A","Dates=H","DateFormat=P","Fill=—","Direction=H","UseDPDF=Y")</f>
        <v>#NAME?</v>
      </c>
      <c r="CZ13" s="1" t="e">
        <f ca="1">_xll.BDH($C$3,"INVENT_DAYS","FY 2016","FY 2016","Currency=INR","Period=FY","BEST_FPERIOD_OVERRIDE=FY","FILING_STATUS=OR","EQY_CONSOLIDATED=Y","FA_ADJUSTED=GAAP","Sort=A","Dates=H","DateFormat=P","Fill=—","Direction=H","UseDPDF=Y")</f>
        <v>#NAME?</v>
      </c>
      <c r="DA13" s="3" t="e">
        <f ca="1">_xll.BDH($C$3,"ACCOUNTS_PAYABLE_TURNOVER","FY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3" s="1" t="e">
        <f ca="1">_xll.BDH($C$3,"ACCOUNTS_PAYABLE_TURNOVER_DAYS","FY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3" s="3" t="e">
        <f ca="1">_xll.BDH($C$3,"CASH_CONVERSION_CYCLE","FY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3" s="3" t="e">
        <f ca="1">_xll.BDH($C$3,"INV_TO_CASH_DAYS","FY 2016","FY 2016","Currency=INR","Period=FY","BEST_FPERIOD_OVERRIDE=FY","FILING_STATUS=OR","EQY_CONSOLIDATED=Y","FA_ADJUSTED=GAAP","Sort=A","Dates=H","DateFormat=P","Fill=—","Direction=H","UseDPDF=Y")</f>
        <v>#NAME?</v>
      </c>
      <c r="DE13" s="4" t="e">
        <f ca="1">_xll.BDH($C$3,"BS_INVENTORIES","FY 2016","FY 2016","Currency=INR","Period=FY","BEST_FPERIOD_OVERRIDE=FY","FILING_STATUS=OR","EQY_CONSOLIDATED=Y","SCALING_FORMAT=MLN","Sort=A","Dates=H","DateFormat=P","Fill=—","Direction=H","UseDPDF=Y")</f>
        <v>#NAME?</v>
      </c>
      <c r="DF13" s="2" t="e">
        <f ca="1">_xll.BDH($C$3,"INVTRY_RAW_MATERIALS","FY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3" s="2" t="e">
        <f ca="1">_xll.BDH($C$3,"INVTRY_IN_PROGRESS","FY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3" s="2" t="e">
        <f ca="1">_xll.BDH($C$3,"INVTRY_FINISHED_GOODS","FY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3" s="2" t="e">
        <f ca="1">_xll.BDH($C$3,"BS_OTHER_INV","FY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4" spans="1:113" x14ac:dyDescent="0.3">
      <c r="A14" s="6"/>
      <c r="B14" s="6"/>
      <c r="C14" s="6"/>
      <c r="D14" s="6"/>
      <c r="E14" t="s">
        <v>4</v>
      </c>
      <c r="F14" t="e">
        <f ca="1">_xll.BDH($C$3,"RETURN_COM_EQY","FQ1 2016","FQ1 2016","Currency=INR","Period=FQ","BEST_FPERIOD_OVERRIDE=FQ","FILING_STATUS=OR","EQY_CONSOLIDATED=Y","FA_ADJUSTED=GAAP","Sort=A","Dates=H","DateFormat=P","Fill=—","Direction=H","UseDPDF=Y")</f>
        <v>#NAME?</v>
      </c>
      <c r="G14" t="e">
        <f ca="1">_xll.BDH($C$3,"RETURN_ON_ASSET","FQ1 2016","FQ1 2016","Currency=INR","Period=FQ","BEST_FPERIOD_OVERRIDE=FQ","FILING_STATUS=OR","EQY_CONSOLIDATED=Y","FA_ADJUSTED=GAAP","Sort=A","Dates=H","DateFormat=P","Fill=—","Direction=H","UseDPDF=Y")</f>
        <v>#NAME?</v>
      </c>
      <c r="H14" t="e">
        <f ca="1">_xll.BDH($C$3,"RETURN_ON_CAP","FQ1 2016","FQ1 2016","Currency=INR","Period=FQ","BEST_FPERIOD_OVERRIDE=FQ","FILING_STATUS=OR","EQY_CONSOLIDATED=Y","FA_ADJUSTED=GAAP","Sort=A","Dates=H","DateFormat=P","Fill=—","Direction=H","UseDPDF=Y")</f>
        <v>#NAME?</v>
      </c>
      <c r="I14" t="e">
        <f ca="1">_xll.BDH($C$3,"RETURN_ON_INV_CAPITAL","FQ1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4" t="e">
        <f ca="1">_xll.BDH($C$3,"EBITDA_TO_REVENUE","FQ1 2016","FQ1 2016","Currency=INR","Period=FQ","BEST_FPERIOD_OVERRIDE=FQ","FILING_STATUS=OR","EQY_CONSOLIDATED=Y","FA_ADJUSTED=GAAP","Sort=A","Dates=H","DateFormat=P","Fill=—","Direction=H","UseDPDF=Y")</f>
        <v>#NAME?</v>
      </c>
      <c r="K14" t="e">
        <f ca="1">_xll.BDH($C$3,"OPER_MARGIN","FQ1 2016","FQ1 2016","Currency=INR","Period=FQ","BEST_FPERIOD_OVERRIDE=FQ","FILING_STATUS=OR","EQY_CONSOLIDATED=Y","FA_ADJUSTED=GAAP","Sort=A","Dates=H","DateFormat=P","Fill=—","Direction=H","UseDPDF=Y")</f>
        <v>#NAME?</v>
      </c>
      <c r="L14" t="e">
        <f ca="1">_xll.BDH($C$3,"INCREMENTAL_OPERATING_MARGIN","FQ1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4" t="e">
        <f ca="1">_xll.BDH($C$3,"PRETAX_INC_TO_NET_SALES","FQ1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4" t="e">
        <f ca="1">_xll.BDH($C$3,"INC_BEF_XO_ITEMS_TO_NET_SALES","FQ1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4" t="e">
        <f ca="1">_xll.BDH($C$3,"PROF_MARGIN","FQ1 2016","FQ1 2016","Currency=INR","Period=FQ","BEST_FPERIOD_OVERRIDE=FQ","FILING_STATUS=OR","EQY_CONSOLIDATED=Y","FA_ADJUSTED=GAAP","Sort=A","Dates=H","DateFormat=P","Fill=—","Direction=H","UseDPDF=Y")</f>
        <v>#NAME?</v>
      </c>
      <c r="P14" t="e">
        <f ca="1">_xll.BDH($C$3,"NET_INCOME_TO_COMMON_MARGIN","FQ1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4" t="e">
        <f ca="1">_xll.BDH($C$3,"EFF_TAX_RATE","FQ1 2016","FQ1 2016","Currency=INR","Period=FQ","BEST_FPERIOD_OVERRIDE=FQ","FILING_STATUS=OR","EQY_CONSOLIDATED=Y","FA_ADJUSTED=GAAP","Sort=A","Dates=H","DateFormat=P","Fill=—","Direction=H","UseDPDF=Y")</f>
        <v>#NAME?</v>
      </c>
      <c r="R14" t="e">
        <f ca="1">_xll.BDH($C$3,"DVD_PAYOUT_RATIO","FQ1 2016","FQ1 2016","Currency=INR","Period=FQ","BEST_FPERIOD_OVERRIDE=FQ","FILING_STATUS=OR","EQY_CONSOLIDATED=Y","FA_ADJUSTED=GAAP","Sort=A","Dates=H","DateFormat=P","Fill=—","Direction=H","UseDPDF=Y")</f>
        <v>#NAME?</v>
      </c>
      <c r="S14" t="e">
        <f ca="1">_xll.BDH($C$3,"SUSTAIN_GROWTH_RT","FQ1 2016","FQ1 2016","Currency=INR","Period=FQ","BEST_FPERIOD_OVERRIDE=FQ","FILING_STATUS=OR","EQY_CONSOLIDATED=Y","FA_ADJUSTED=GAAP","Sort=A","Dates=H","DateFormat=P","Fill=—","Direction=H","UseDPDF=Y")</f>
        <v>#NAME?</v>
      </c>
      <c r="T14" s="1" t="e">
        <f ca="1">_xll.BDH($C$3,"SALES_GROWTH","FQ1 2016","FQ1 2016","Currency=INR","Period=FQ","BEST_FPERIOD_OVERRIDE=FQ","FILING_STATUS=OR","EQY_CONSOLIDATED=Y","FA_ADJUSTED=GAAP","Sort=A","Dates=H","DateFormat=P","Fill=—","Direction=H","UseDPDF=Y")</f>
        <v>#NAME?</v>
      </c>
      <c r="U14" s="1" t="e">
        <f ca="1">_xll.BDH($C$3,"EBITDA_GROWTH","FQ1 2016","FQ1 2016","Currency=INR","Period=FQ","BEST_FPERIOD_OVERRIDE=FQ","FILING_STATUS=OR","EQY_CONSOLIDATED=Y","FA_ADJUSTED=GAAP","Sort=A","Dates=H","DateFormat=P","Fill=—","Direction=H","UseDPDF=Y")</f>
        <v>#NAME?</v>
      </c>
      <c r="V14" s="1" t="e">
        <f ca="1">_xll.BDH($C$3,"OPER_INC_GROWTH","FQ1 2016","FQ1 2016","Currency=INR","Period=FQ","BEST_FPERIOD_OVERRIDE=FQ","FILING_STATUS=OR","EQY_CONSOLIDATED=Y","FA_ADJUSTED=GAAP","Sort=A","Dates=H","DateFormat=P","Fill=—","Direction=H","UseDPDF=Y")</f>
        <v>#NAME?</v>
      </c>
      <c r="W14" s="1" t="e">
        <f ca="1">_xll.BDH($C$3,"EARN_FOR_COM_GROWTH","FQ1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4" s="1" t="e">
        <f ca="1">_xll.BDH($C$3,"DILUTED_EPS_AFT_XO_ITEMS_GROWTH","FQ1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4" s="1" t="e">
        <f ca="1">_xll.BDH($C$3,"DIVIDEND_PER_SHARE_1_YEAR_GROWTH","FQ1 2016","FQ1 2016","Currency=INR","Period=FQ","BEST_FPERIOD_OVERRIDE=FQ","FILING_STATUS=OR","EQY_CONSOLIDATED=Y","Sort=A","Dates=H","DateFormat=P","Fill=—","Direction=H","UseDPDF=Y")</f>
        <v>#NAME?</v>
      </c>
      <c r="Z14" s="1" t="e">
        <f ca="1">_xll.BDH($C$3,"ACCOUNTS_RECEIVABLE_GROWTH","FQ1 2016","FQ1 2016","Currency=INR","Period=FQ","BEST_FPERIOD_OVERRIDE=FQ","FILING_STATUS=OR","EQY_CONSOLIDATED=Y","Sort=A","Dates=H","DateFormat=P","Fill=—","Direction=H","UseDPDF=Y")</f>
        <v>#NAME?</v>
      </c>
      <c r="AA14" s="1" t="e">
        <f ca="1">_xll.BDH($C$3,"INVENTORY_GROWTH","FQ1 2016","FQ1 2016","Currency=INR","Period=FQ","BEST_FPERIOD_OVERRIDE=FQ","FILING_STATUS=OR","EQY_CONSOLIDATED=Y","Sort=A","Dates=H","DateFormat=P","Fill=—","Direction=H","UseDPDF=Y")</f>
        <v>#NAME?</v>
      </c>
      <c r="AB14" s="1" t="e">
        <f ca="1">_xll.BDH($C$3,"NET_FIXED_ASSETS_1_YEAR_GROWTH","FQ1 2016","FQ1 2016","Currency=INR","Period=FQ","BEST_FPERIOD_OVERRIDE=FQ","FILING_STATUS=OR","EQY_CONSOLIDATED=Y","Sort=A","Dates=H","DateFormat=P","Fill=—","Direction=H","UseDPDF=Y")</f>
        <v>#NAME?</v>
      </c>
      <c r="AC14" s="1" t="e">
        <f ca="1">_xll.BDH($C$3,"ASSET_GROWTH","FQ1 2016","FQ1 2016","Currency=INR","Period=FQ","BEST_FPERIOD_OVERRIDE=FQ","FILING_STATUS=OR","EQY_CONSOLIDATED=Y","Sort=A","Dates=H","DateFormat=P","Fill=—","Direction=H","UseDPDF=Y")</f>
        <v>#NAME?</v>
      </c>
      <c r="AD14" s="1" t="e">
        <f ca="1">_xll.BDH($C$3,"MODIFIED_WORK_CAP_GROWTH","FQ1 2016","FQ1 2016","Currency=INR","Period=FQ","BEST_FPERIOD_OVERRIDE=FQ","FILING_STATUS=OR","EQY_CONSOLIDATED=Y","Sort=A","Dates=H","DateFormat=P","Fill=—","Direction=H","UseDPDF=Y")</f>
        <v>#NAME?</v>
      </c>
      <c r="AE14" s="1" t="e">
        <f ca="1">_xll.BDH($C$3,"WORK_CAP_GROWTH","FQ1 2016","FQ1 2016","Currency=INR","Period=FQ","BEST_FPERIOD_OVERRIDE=FQ","FILING_STATUS=OR","EQY_CONSOLIDATED=Y","Sort=A","Dates=H","DateFormat=P","Fill=—","Direction=H","UseDPDF=Y")</f>
        <v>#NAME?</v>
      </c>
      <c r="AF14" s="1" t="e">
        <f ca="1">_xll.BDH($C$3,"ACCOUNTS_PAYABLE_GROWTH_1YR","FQ1 2016","FQ1 2016","Currency=INR","Period=FQ","BEST_FPERIOD_OVERRIDE=FQ","FILING_STATUS=OR","EQY_CONSOLIDATED=Y","Sort=A","Dates=H","DateFormat=P","Fill=—","Direction=H","UseDPDF=Y")</f>
        <v>#NAME?</v>
      </c>
      <c r="AG14" s="1" t="e">
        <f ca="1">_xll.BDH($C$3,"SHORT_TERM_DEBT_1_YEAR_GROWTH","FQ1 2016","FQ1 2016","Currency=INR","Period=FQ","BEST_FPERIOD_OVERRIDE=FQ","FILING_STATUS=OR","EQY_CONSOLIDATED=Y","Sort=A","Dates=H","DateFormat=P","Fill=—","Direction=H","UseDPDF=Y")</f>
        <v>#NAME?</v>
      </c>
      <c r="AH14" s="1" t="e">
        <f ca="1">_xll.BDH($C$3,"TOTAL_DEBT_1_YEAR_GROWTH","FQ1 2016","FQ1 2016","Currency=INR","Period=FQ","BEST_FPERIOD_OVERRIDE=FQ","FILING_STATUS=OR","EQY_CONSOLIDATED=Y","Sort=A","Dates=H","DateFormat=P","Fill=—","Direction=H","UseDPDF=Y")</f>
        <v>#NAME?</v>
      </c>
      <c r="AI14" s="1" t="e">
        <f ca="1">_xll.BDH($C$3,"TOTAL_EQUITY_1_YEAR_GROWTH","FQ1 2016","FQ1 2016","Currency=INR","Period=FQ","BEST_FPERIOD_OVERRIDE=FQ","FILING_STATUS=OR","EQY_CONSOLIDATED=Y","Sort=A","Dates=H","DateFormat=P","Fill=—","Direction=H","UseDPDF=Y")</f>
        <v>#NAME?</v>
      </c>
      <c r="AJ14" s="1" t="e">
        <f ca="1">_xll.BDH($C$3,"GROWTH_IN_CAP","FQ1 2016","FQ1 2016","Currency=INR","Period=FQ","BEST_FPERIOD_OVERRIDE=FQ","FILING_STATUS=OR","EQY_CONSOLIDATED=Y","Sort=A","Dates=H","DateFormat=P","Fill=—","Direction=H","UseDPDF=Y")</f>
        <v>#NAME?</v>
      </c>
      <c r="AK14" s="1" t="e">
        <f ca="1">_xll.BDH($C$3,"BVPS_GROWTH","FQ1 2016","FQ1 2016","Currency=INR","Period=FQ","BEST_FPERIOD_OVERRIDE=FQ","FILING_STATUS=OR","EQY_CONSOLIDATED=Y","Sort=A","Dates=H","DateFormat=P","Fill=—","Direction=H","UseDPDF=Y")</f>
        <v>#NAME?</v>
      </c>
      <c r="AL14" s="1" t="e">
        <f ca="1">_xll.BDH($C$3,"CASH_FLOW_GROWTH","FQ1 2016","FQ1 2016","Currency=INR","Period=FQ","BEST_FPERIOD_OVERRIDE=FQ","FILING_STATUS=OR","EQY_CONSOLIDATED=Y","Sort=A","Dates=H","DateFormat=P","Fill=—","Direction=H","UseDPDF=Y")</f>
        <v>#NAME?</v>
      </c>
      <c r="AM14" s="1" t="e">
        <f ca="1">_xll.BDH($C$3,"GEO_GROW_NET_SALES","FQ1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4" s="1" t="e">
        <f ca="1">_xll.BDH($C$3,"GEO_GROW_EBITDA","FQ1 2016","FQ1 2016","Currency=INR","Period=FQ","BEST_FPERIOD_OVERRIDE=FQ","FILING_STATUS=OR","EQY_CONSOLIDATED=Y","FA_ADJUSTED=GAAP","Sort=A","Dates=H","DateFormat=P","Fill=—","Direction=H","UseDPDF=Y")</f>
        <v>#NAME?</v>
      </c>
      <c r="AO14" s="1" t="e">
        <f ca="1">_xll.BDH($C$3,"GEO_GROW_OPER_INC","FQ1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4" s="1" t="e">
        <f ca="1">_xll.BDH($C$3,"NET_INCOME_TO_COMMON_5_YR_GROWTH","FQ1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4" s="1" t="e">
        <f ca="1">_xll.BDH($C$3,"5Y_GEO_GROWTH_DILUTED_EPS","FQ1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4" s="1" t="e">
        <f ca="1">_xll.BDH($C$3,"GEO_GROW_DVD_PER_SH","FQ1 2016","FQ1 2016","Currency=INR","Period=FQ","BEST_FPERIOD_OVERRIDE=FQ","FILING_STATUS=OR","EQY_CONSOLIDATED=Y","Sort=A","Dates=H","DateFormat=P","Fill=—","Direction=H","UseDPDF=Y")</f>
        <v>#NAME?</v>
      </c>
      <c r="AS14" s="1" t="e">
        <f ca="1">_xll.BDH($C$3,"ACCOUNTS_RECEIVABLE_5_YR_GROWTH","FQ1 2016","FQ1 2016","Currency=INR","Period=FQ","BEST_FPERIOD_OVERRIDE=FQ","FILING_STATUS=OR","EQY_CONSOLIDATED=Y","Sort=A","Dates=H","DateFormat=P","Fill=—","Direction=H","UseDPDF=Y")</f>
        <v>#NAME?</v>
      </c>
      <c r="AT14" s="1" t="e">
        <f ca="1">_xll.BDH($C$3,"INVENTORY_5_YEAR_GROWTH","FQ1 2016","FQ1 2016","Currency=INR","Period=FQ","BEST_FPERIOD_OVERRIDE=FQ","FILING_STATUS=OR","EQY_CONSOLIDATED=Y","Sort=A","Dates=H","DateFormat=P","Fill=—","Direction=H","UseDPDF=Y")</f>
        <v>#NAME?</v>
      </c>
      <c r="AU14" s="1" t="e">
        <f ca="1">_xll.BDH($C$3,"NET_FIXED_ASSETS_5_YEAR_GROWTH","FQ1 2016","FQ1 2016","Currency=INR","Period=FQ","BEST_FPERIOD_OVERRIDE=FQ","FILING_STATUS=OR","EQY_CONSOLIDATED=Y","Sort=A","Dates=H","DateFormat=P","Fill=—","Direction=H","UseDPDF=Y")</f>
        <v>#NAME?</v>
      </c>
      <c r="AV14" s="1" t="e">
        <f ca="1">_xll.BDH($C$3,"GEO_GROW_TOT_ASSET","FQ1 2016","FQ1 2016","Currency=INR","Period=FQ","BEST_FPERIOD_OVERRIDE=FQ","FILING_STATUS=OR","EQY_CONSOLIDATED=Y","Sort=A","Dates=H","DateFormat=P","Fill=—","Direction=H","UseDPDF=Y")</f>
        <v>#NAME?</v>
      </c>
      <c r="AW14" s="1" t="e">
        <f ca="1">_xll.BDH($C$3,"MODIFIED_WORKING_CPTL_5YR_GRWTH","FQ1 2016","FQ1 2016","Currency=INR","Period=FQ","BEST_FPERIOD_OVERRIDE=FQ","FILING_STATUS=OR","EQY_CONSOLIDATED=Y","Sort=A","Dates=H","DateFormat=P","Fill=—","Direction=H","UseDPDF=Y")</f>
        <v>#NAME?</v>
      </c>
      <c r="AX14" s="1" t="e">
        <f ca="1">_xll.BDH($C$3,"WORKING_CAPITAL_5_YEAR_GROWTH","FQ1 2016","FQ1 2016","Currency=INR","Period=FQ","BEST_FPERIOD_OVERRIDE=FQ","FILING_STATUS=OR","EQY_CONSOLIDATED=Y","Sort=A","Dates=H","DateFormat=P","Fill=—","Direction=H","UseDPDF=Y")</f>
        <v>#NAME?</v>
      </c>
      <c r="AY14" s="1" t="e">
        <f ca="1">_xll.BDH($C$3,"ACCOUNTS_PAYABLE_5_YEAR_GROWTH","FQ1 2016","FQ1 2016","Currency=INR","Period=FQ","BEST_FPERIOD_OVERRIDE=FQ","FILING_STATUS=OR","EQY_CONSOLIDATED=Y","Sort=A","Dates=H","DateFormat=P","Fill=—","Direction=H","UseDPDF=Y")</f>
        <v>#NAME?</v>
      </c>
      <c r="AZ14" s="1" t="e">
        <f ca="1">_xll.BDH($C$3,"SHORT_TERM_DEBT_5_YEAR_GROWTH","FQ1 2016","FQ1 2016","Currency=INR","Period=FQ","BEST_FPERIOD_OVERRIDE=FQ","FILING_STATUS=OR","EQY_CONSOLIDATED=Y","Sort=A","Dates=H","DateFormat=P","Fill=—","Direction=H","UseDPDF=Y")</f>
        <v>#NAME?</v>
      </c>
      <c r="BA14" s="1" t="e">
        <f ca="1">_xll.BDH($C$3,"TOTAL_DEBT_5_YEAR_GROWTH","FQ1 2016","FQ1 2016","Currency=INR","Period=FQ","BEST_FPERIOD_OVERRIDE=FQ","FILING_STATUS=OR","EQY_CONSOLIDATED=Y","Sort=A","Dates=H","DateFormat=P","Fill=—","Direction=H","UseDPDF=Y")</f>
        <v>#NAME?</v>
      </c>
      <c r="BB14" s="1" t="e">
        <f ca="1">_xll.BDH($C$3,"GEO_GROW_TOT_SHRHLDR_EQY","FQ1 2016","FQ1 2016","Currency=INR","Period=FQ","BEST_FPERIOD_OVERRIDE=FQ","FILING_STATUS=OR","EQY_CONSOLIDATED=Y","Sort=A","Dates=H","DateFormat=P","Fill=—","Direction=H","UseDPDF=Y")</f>
        <v>#NAME?</v>
      </c>
      <c r="BC14" s="1" t="e">
        <f ca="1">_xll.BDH($C$3,"TOTAL_CAPITAL_5_YEAR_GROWTH","FQ1 2016","FQ1 2016","Currency=INR","Period=FQ","BEST_FPERIOD_OVERRIDE=FQ","FILING_STATUS=OR","EQY_CONSOLIDATED=Y","Sort=A","Dates=H","DateFormat=P","Fill=—","Direction=H","UseDPDF=Y")</f>
        <v>#NAME?</v>
      </c>
      <c r="BD14" s="1" t="e">
        <f ca="1">_xll.BDH($C$3,"GEO_GROW_BOOK_VAL","FQ1 2016","FQ1 2016","Currency=INR","Period=FQ","BEST_FPERIOD_OVERRIDE=FQ","FILING_STATUS=OR","EQY_CONSOLIDATED=Y","Sort=A","Dates=H","DateFormat=P","Fill=—","Direction=H","UseDPDF=Y")</f>
        <v>#NAME?</v>
      </c>
      <c r="BE14" s="1" t="e">
        <f ca="1">_xll.BDH($C$3,"GEO_GROW_CASH_OPER_ACT","FQ1 2016","FQ1 2016","Currency=INR","Period=FQ","BEST_FPERIOD_OVERRIDE=FQ","FILING_STATUS=OR","EQY_CONSOLIDATED=Y","Sort=A","Dates=H","DateFormat=P","Fill=—","Direction=H","UseDPDF=Y")</f>
        <v>#NAME?</v>
      </c>
      <c r="BF14" s="1" t="e">
        <f ca="1">_xll.BDH($C$3,"REVENUE_SEQUENTIAL_GROWTH","FQ1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4" s="1" t="e">
        <f ca="1">_xll.BDH($C$3,"EBITDA_SEQUENTIAL_GROWTH","FQ1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4" s="1" t="e">
        <f ca="1">_xll.BDH($C$3,"OPERATING_INCOME_SEQ_GROWTH","FQ1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4" s="1" t="e">
        <f ca="1">_xll.BDH($C$3,"NET_INCOME_TO_COMMON_SEQ_GROWTH","FQ1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4" s="1" t="e">
        <f ca="1">_xll.BDH($C$3,"EPS_DILUTED_SEQUENTIAL_GROWTH","FQ1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4" s="1" t="e">
        <f ca="1">_xll.BDH($C$3,"DPS_SEQUENTIAL_GROWTH","FQ1 2016","FQ1 2016","Currency=INR","Period=FQ","BEST_FPERIOD_OVERRIDE=FQ","FILING_STATUS=OR","EQY_CONSOLIDATED=Y","Sort=A","Dates=H","DateFormat=P","Fill=—","Direction=H","UseDPDF=Y")</f>
        <v>#NAME?</v>
      </c>
      <c r="BL14" s="1" t="e">
        <f ca="1">_xll.BDH($C$3,"ACCOUNTS_RECEIVABLE_SEQ_GROWTH","FQ1 2016","FQ1 2016","Currency=INR","Period=FQ","BEST_FPERIOD_OVERRIDE=FQ","FILING_STATUS=OR","EQY_CONSOLIDATED=Y","Sort=A","Dates=H","DateFormat=P","Fill=—","Direction=H","UseDPDF=Y")</f>
        <v>#NAME?</v>
      </c>
      <c r="BM14" s="1" t="e">
        <f ca="1">_xll.BDH($C$3,"INVENTORY_SEQUENTIAL_GROWTH","FQ1 2016","FQ1 2016","Currency=INR","Period=FQ","BEST_FPERIOD_OVERRIDE=FQ","FILING_STATUS=OR","EQY_CONSOLIDATED=Y","Sort=A","Dates=H","DateFormat=P","Fill=—","Direction=H","UseDPDF=Y")</f>
        <v>#NAME?</v>
      </c>
      <c r="BN14" s="1" t="e">
        <f ca="1">_xll.BDH($C$3,"FIXED_ASSETS_SEQUENTIAL_GROWTH","FQ1 2016","FQ1 2016","Currency=INR","Period=FQ","BEST_FPERIOD_OVERRIDE=FQ","FILING_STATUS=OR","EQY_CONSOLIDATED=Y","Sort=A","Dates=H","DateFormat=P","Fill=—","Direction=H","UseDPDF=Y")</f>
        <v>#NAME?</v>
      </c>
      <c r="BO14" s="1" t="e">
        <f ca="1">_xll.BDH($C$3,"TOTAL_ASSETS_SEQUENTIAL_GROWTH","FQ1 2016","FQ1 2016","Currency=INR","Period=FQ","BEST_FPERIOD_OVERRIDE=FQ","FILING_STATUS=OR","EQY_CONSOLIDATED=Y","Sort=A","Dates=H","DateFormat=P","Fill=—","Direction=H","UseDPDF=Y")</f>
        <v>#NAME?</v>
      </c>
      <c r="BP14" s="1" t="e">
        <f ca="1">_xll.BDH($C$3,"MODIFIED_WORKING_CPTL_SEQ_GRWTH","FQ1 2016","FQ1 2016","Currency=INR","Period=FQ","BEST_FPERIOD_OVERRIDE=FQ","FILING_STATUS=OR","EQY_CONSOLIDATED=Y","Sort=A","Dates=H","DateFormat=P","Fill=—","Direction=H","UseDPDF=Y")</f>
        <v>#NAME?</v>
      </c>
      <c r="BQ14" s="1" t="e">
        <f ca="1">_xll.BDH($C$3,"WORKING_CAPITAL_SEQ_GROWTH","FQ1 2016","FQ1 2016","Currency=INR","Period=FQ","BEST_FPERIOD_OVERRIDE=FQ","FILING_STATUS=OR","EQY_CONSOLIDATED=Y","Sort=A","Dates=H","DateFormat=P","Fill=—","Direction=H","UseDPDF=Y")</f>
        <v>#NAME?</v>
      </c>
      <c r="BR14" s="1" t="e">
        <f ca="1">_xll.BDH($C$3,"ACCOUNTS_PAYABLE_SEQ_GROWTH","FQ1 2016","FQ1 2016","Currency=INR","Period=FQ","BEST_FPERIOD_OVERRIDE=FQ","FILING_STATUS=OR","EQY_CONSOLIDATED=Y","Sort=A","Dates=H","DateFormat=P","Fill=—","Direction=H","UseDPDF=Y")</f>
        <v>#NAME?</v>
      </c>
      <c r="BS14" s="1" t="e">
        <f ca="1">_xll.BDH($C$3,"ST_DEBT_SEQUENTIAL_GROWTH","FQ1 2016","FQ1 2016","Currency=INR","Period=FQ","BEST_FPERIOD_OVERRIDE=FQ","FILING_STATUS=OR","EQY_CONSOLIDATED=Y","Sort=A","Dates=H","DateFormat=P","Fill=—","Direction=H","UseDPDF=Y")</f>
        <v>#NAME?</v>
      </c>
      <c r="BT14" s="1" t="e">
        <f ca="1">_xll.BDH($C$3,"TOTAL_DEBT_SEQUENTIAL_GROWTH","FQ1 2016","FQ1 2016","Currency=INR","Period=FQ","BEST_FPERIOD_OVERRIDE=FQ","FILING_STATUS=OR","EQY_CONSOLIDATED=Y","Sort=A","Dates=H","DateFormat=P","Fill=—","Direction=H","UseDPDF=Y")</f>
        <v>#NAME?</v>
      </c>
      <c r="BU14" s="1" t="e">
        <f ca="1">_xll.BDH($C$3,"TOTAL_EQUITY_SEQUENTIAL_GROWTH","FQ1 2016","FQ1 2016","Currency=INR","Period=FQ","BEST_FPERIOD_OVERRIDE=FQ","FILING_STATUS=OR","EQY_CONSOLIDATED=Y","Sort=A","Dates=H","DateFormat=P","Fill=—","Direction=H","UseDPDF=Y")</f>
        <v>#NAME?</v>
      </c>
      <c r="BV14" s="1" t="e">
        <f ca="1">_xll.BDH($C$3,"TOTAL_CAPITAL_SEQUENTIAL_GROWTH","FQ1 2016","FQ1 2016","Currency=INR","Period=FQ","BEST_FPERIOD_OVERRIDE=FQ","FILING_STATUS=OR","EQY_CONSOLIDATED=Y","Sort=A","Dates=H","DateFormat=P","Fill=—","Direction=H","UseDPDF=Y")</f>
        <v>#NAME?</v>
      </c>
      <c r="BW14" s="1" t="e">
        <f ca="1">_xll.BDH($C$3,"BPS_SEQUENTIAL_GROWTH","FQ1 2016","FQ1 2016","Currency=INR","Period=FQ","BEST_FPERIOD_OVERRIDE=FQ","FILING_STATUS=OR","EQY_CONSOLIDATED=Y","Sort=A","Dates=H","DateFormat=P","Fill=—","Direction=H","UseDPDF=Y")</f>
        <v>#NAME?</v>
      </c>
      <c r="BX14" s="1" t="e">
        <f ca="1">_xll.BDH($C$3,"CFO_SEQUENTIAL_GROWTH","FQ1 2016","FQ1 2016","Currency=INR","Period=FQ","BEST_FPERIOD_OVERRIDE=FQ","FILING_STATUS=OR","EQY_CONSOLIDATED=Y","Sort=A","Dates=H","DateFormat=P","Fill=—","Direction=H","UseDPDF=Y")</f>
        <v>#NAME?</v>
      </c>
      <c r="BY14" s="2" t="e">
        <f ca="1">_xll.BDH($C$3,"SHORT_AND_LONG_TERM_DEBT","FQ1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4" s="2" t="e">
        <f ca="1">_xll.BDH($C$3,"BS_ST_BORROW","FQ1 2016","FQ1 2016","Currency=INR","Period=FQ","BEST_FPERIOD_OVERRIDE=FQ","FILING_STATUS=OR","EQY_CONSOLIDATED=Y","SCALING_FORMAT=MLN","Sort=A","Dates=H","DateFormat=P","Fill=—","Direction=H","UseDPDF=Y")</f>
        <v>#NAME?</v>
      </c>
      <c r="CA14" s="2" t="e">
        <f ca="1">_xll.BDH($C$3,"BS_LT_BORROW","FQ1 2016","FQ1 2016","Currency=INR","Period=FQ","BEST_FPERIOD_OVERRIDE=FQ","FILING_STATUS=OR","EQY_CONSOLIDATED=Y","SCALING_FORMAT=MLN","Sort=A","Dates=H","DateFormat=P","Fill=—","Direction=H","UseDPDF=Y")</f>
        <v>#NAME?</v>
      </c>
      <c r="CB14" s="1" t="e">
        <f ca="1">_xll.BDH($C$3,"TOT_DEBT_TO_EBITDA","FQ1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4" s="1" t="e">
        <f ca="1">_xll.BDH($C$3,"NET_DEBT_TO_EBITDA","FQ1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4" s="1" t="e">
        <f ca="1">_xll.BDH($C$3,"TOTAL_DEBT_TO_EBIT","FQ1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4" s="1" t="e">
        <f ca="1">_xll.BDH($C$3,"NET_DEBT_TO_EBIT","FQ1 2016","FQ1 2016","Currency=INR","Period=FQ","BEST_FPERIOD_OVERRIDE=FQ","FILING_STATUS=OR","EQY_CONSOLIDATED=Y","FA_ADJUSTED=GAAP","Sort=A","Dates=H","DateFormat=P","Fill=—","Direction=H","UseDPDF=Y")</f>
        <v>#NAME?</v>
      </c>
      <c r="CF14" s="1" t="e">
        <f ca="1">_xll.BDH($C$3,"EBITDA_TO_INTEREST_EXPN","FQ1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4" s="1" t="e">
        <f ca="1">_xll.BDH($C$3,"COM_EQY_TO_TOT_ASSET","FQ1 2016","FQ1 2016","Currency=INR","Period=FQ","BEST_FPERIOD_OVERRIDE=FQ","FILING_STATUS=OR","EQY_CONSOLIDATED=Y","Sort=A","Dates=H","DateFormat=P","Fill=—","Direction=H","UseDPDF=Y")</f>
        <v>#NAME?</v>
      </c>
      <c r="CH14" s="1" t="e">
        <f ca="1">_xll.BDH($C$3,"LT_DEBT_TO_TOT_EQY","FQ1 2016","FQ1 2016","Currency=INR","Period=FQ","BEST_FPERIOD_OVERRIDE=FQ","FILING_STATUS=OR","EQY_CONSOLIDATED=Y","Sort=A","Dates=H","DateFormat=P","Fill=—","Direction=H","UseDPDF=Y")</f>
        <v>#NAME?</v>
      </c>
      <c r="CI14" s="1" t="e">
        <f ca="1">_xll.BDH($C$3,"LT_DEBT_TO_TOT_CAP","FQ1 2016","FQ1 2016","Currency=INR","Period=FQ","BEST_FPERIOD_OVERRIDE=FQ","FILING_STATUS=OR","EQY_CONSOLIDATED=Y","Sort=A","Dates=H","DateFormat=P","Fill=—","Direction=H","UseDPDF=Y")</f>
        <v>#NAME?</v>
      </c>
      <c r="CJ14" s="1" t="e">
        <f ca="1">_xll.BDH($C$3,"LT_DEBT_TO_TOT_ASSET","FQ1 2016","FQ1 2016","Currency=INR","Period=FQ","BEST_FPERIOD_OVERRIDE=FQ","FILING_STATUS=OR","EQY_CONSOLIDATED=Y","Sort=A","Dates=H","DateFormat=P","Fill=—","Direction=H","UseDPDF=Y")</f>
        <v>#NAME?</v>
      </c>
      <c r="CK14" s="1" t="e">
        <f ca="1">_xll.BDH($C$3,"TOT_DEBT_TO_TOT_EQY","FQ1 2016","FQ1 2016","Currency=INR","Period=FQ","BEST_FPERIOD_OVERRIDE=FQ","FILING_STATUS=OR","EQY_CONSOLIDATED=Y","Sort=A","Dates=H","DateFormat=P","Fill=—","Direction=H","UseDPDF=Y")</f>
        <v>#NAME?</v>
      </c>
      <c r="CL14" s="1" t="e">
        <f ca="1">_xll.BDH($C$3,"TOT_DEBT_TO_TOT_CAP","FQ1 2016","FQ1 2016","Currency=INR","Period=FQ","BEST_FPERIOD_OVERRIDE=FQ","FILING_STATUS=OR","EQY_CONSOLIDATED=Y","Sort=A","Dates=H","DateFormat=P","Fill=—","Direction=H","UseDPDF=Y")</f>
        <v>#NAME?</v>
      </c>
      <c r="CM14" s="1" t="e">
        <f ca="1">_xll.BDH($C$3,"TOT_DEBT_TO_TOT_ASSET","FQ1 2016","FQ1 2016","Currency=INR","Period=FQ","BEST_FPERIOD_OVERRIDE=FQ","FILING_STATUS=OR","EQY_CONSOLIDATED=Y","Sort=A","Dates=H","DateFormat=P","Fill=—","Direction=H","UseDPDF=Y")</f>
        <v>#NAME?</v>
      </c>
      <c r="CN14" s="1" t="e">
        <f ca="1">_xll.BDH($C$3,"NET_DEBT_TO_SHRHLDR_EQTY","FQ1 2016","FQ1 2016","Currency=INR","Period=FQ","BEST_FPERIOD_OVERRIDE=FQ","FILING_STATUS=OR","EQY_CONSOLIDATED=Y","Sort=A","Dates=H","DateFormat=P","Fill=—","Direction=H","UseDPDF=Y")</f>
        <v>#NAME?</v>
      </c>
      <c r="CO14" s="1" t="e">
        <f ca="1">_xll.BDH($C$3,"NET_DEBT_%_CAPITAL","FQ1 2016","FQ1 2016","Currency=INR","Period=FQ","BEST_FPERIOD_OVERRIDE=FQ","FILING_STATUS=OR","EQY_CONSOLIDATED=Y","Sort=A","Dates=H","DateFormat=P","Fill=—","Direction=H","UseDPDF=Y")</f>
        <v>#NAME?</v>
      </c>
      <c r="CP14" s="2" t="e">
        <f ca="1">_xll.BDH($C$3,"EBITDA","FQ1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4" s="2" t="e">
        <f ca="1">_xll.BDH($C$3,"EBITDA_AFTER_CAPEX","FQ1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4" s="2" t="e">
        <f ca="1">_xll.BDH($C$3,"IS_OPER_INC","FQ1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4" s="1" t="e">
        <f ca="1">_xll.BDH($C$3,"CASH_RATIO","FQ1 2016","FQ1 2016","Currency=INR","Period=FQ","BEST_FPERIOD_OVERRIDE=FQ","FILING_STATUS=OR","EQY_CONSOLIDATED=Y","Sort=A","Dates=H","DateFormat=P","Fill=—","Direction=H","UseDPDF=Y")</f>
        <v>#NAME?</v>
      </c>
      <c r="CT14" s="1" t="e">
        <f ca="1">_xll.BDH($C$3,"CUR_RATIO","FQ1 2016","FQ1 2016","Currency=INR","Period=FQ","BEST_FPERIOD_OVERRIDE=FQ","FILING_STATUS=OR","EQY_CONSOLIDATED=Y","Sort=A","Dates=H","DateFormat=P","Fill=—","Direction=H","UseDPDF=Y")</f>
        <v>#NAME?</v>
      </c>
      <c r="CU14" s="1" t="e">
        <f ca="1">_xll.BDH($C$3,"QUICK_RATIO","FQ1 2016","FQ1 2016","Currency=INR","Period=FQ","BEST_FPERIOD_OVERRIDE=FQ","FILING_STATUS=OR","EQY_CONSOLIDATED=Y","Sort=A","Dates=H","DateFormat=P","Fill=—","Direction=H","UseDPDF=Y")</f>
        <v>#NAME?</v>
      </c>
      <c r="CV14" s="1" t="e">
        <f ca="1">_xll.BDH($C$3,"ALTMAN_Z_SCORE","FQ1 2016","FQ1 2016","Currency=INR","Period=FQ","BEST_FPERIOD_OVERRIDE=FQ","FILING_STATUS=OR","EQY_CONSOLIDATED=Y","Sort=A","Dates=H","DateFormat=P","Fill=—","Direction=H","UseDPDF=Y")</f>
        <v>#NAME?</v>
      </c>
      <c r="CW14" s="3" t="e">
        <f ca="1">_xll.BDH($C$3,"ACCT_RCV_TURN","FQ1 2016","FQ1 2016","Currency=INR","Period=FQ","BEST_FPERIOD_OVERRIDE=FQ","FILING_STATUS=OR","EQY_CONSOLIDATED=Y","FA_ADJUSTED=GAAP","Sort=A","Dates=H","DateFormat=P","Fill=—","Direction=H","UseDPDF=Y")</f>
        <v>#NAME?</v>
      </c>
      <c r="CX14" s="1" t="e">
        <f ca="1">_xll.BDH($C$3,"ACCT_RCV_DAYS","FQ1 2016","FQ1 2016","Currency=INR","Period=FQ","BEST_FPERIOD_OVERRIDE=FQ","FILING_STATUS=OR","EQY_CONSOLIDATED=Y","FA_ADJUSTED=GAAP","Sort=A","Dates=H","DateFormat=P","Fill=—","Direction=H","UseDPDF=Y")</f>
        <v>#NAME?</v>
      </c>
      <c r="CY14" s="3" t="e">
        <f ca="1">_xll.BDH($C$3,"INVENT_TURN","FQ1 2016","FQ1 2016","Currency=INR","Period=FQ","BEST_FPERIOD_OVERRIDE=FQ","FILING_STATUS=OR","EQY_CONSOLIDATED=Y","FA_ADJUSTED=GAAP","Sort=A","Dates=H","DateFormat=P","Fill=—","Direction=H","UseDPDF=Y")</f>
        <v>#NAME?</v>
      </c>
      <c r="CZ14" s="1" t="e">
        <f ca="1">_xll.BDH($C$3,"INVENT_DAYS","FQ1 2016","FQ1 2016","Currency=INR","Period=FQ","BEST_FPERIOD_OVERRIDE=FQ","FILING_STATUS=OR","EQY_CONSOLIDATED=Y","FA_ADJUSTED=GAAP","Sort=A","Dates=H","DateFormat=P","Fill=—","Direction=H","UseDPDF=Y")</f>
        <v>#NAME?</v>
      </c>
      <c r="DA14" s="3" t="e">
        <f ca="1">_xll.BDH($C$3,"ACCOUNTS_PAYABLE_TURNOVER","FQ1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4" s="1" t="e">
        <f ca="1">_xll.BDH($C$3,"ACCOUNTS_PAYABLE_TURNOVER_DAYS","FQ1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4" s="3" t="e">
        <f ca="1">_xll.BDH($C$3,"CASH_CONVERSION_CYCLE","FQ1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4" s="3" t="e">
        <f ca="1">_xll.BDH($C$3,"INV_TO_CASH_DAYS","FQ1 2016","FQ1 2016","Currency=INR","Period=FQ","BEST_FPERIOD_OVERRIDE=FQ","FILING_STATUS=OR","EQY_CONSOLIDATED=Y","FA_ADJUSTED=GAAP","Sort=A","Dates=H","DateFormat=P","Fill=—","Direction=H","UseDPDF=Y")</f>
        <v>#NAME?</v>
      </c>
      <c r="DE14" s="4" t="e">
        <f ca="1">_xll.BDH($C$3,"BS_INVENTORIES","FQ1 2016","FQ1 2016","Currency=INR","Period=FQ","BEST_FPERIOD_OVERRIDE=FQ","FILING_STATUS=OR","EQY_CONSOLIDATED=Y","SCALING_FORMAT=MLN","Sort=A","Dates=H","DateFormat=P","Fill=—","Direction=H","UseDPDF=Y")</f>
        <v>#NAME?</v>
      </c>
      <c r="DF14" s="2" t="e">
        <f ca="1">_xll.BDH($C$3,"INVTRY_RAW_MATERIALS","FQ1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4" s="2" t="e">
        <f ca="1">_xll.BDH($C$3,"INVTRY_IN_PROGRESS","FQ1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4" s="2" t="e">
        <f ca="1">_xll.BDH($C$3,"INVTRY_FINISHED_GOODS","FQ1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4" s="2" t="e">
        <f ca="1">_xll.BDH($C$3,"BS_OTHER_INV","FQ1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5" spans="1:113" x14ac:dyDescent="0.3">
      <c r="A15" s="6"/>
      <c r="B15" s="6"/>
      <c r="C15" s="6"/>
      <c r="D15" s="6"/>
      <c r="E15" t="s">
        <v>5</v>
      </c>
      <c r="F15" t="e">
        <f ca="1">_xll.BDH($C$3,"RETURN_COM_EQY","FQ2 2016","FQ2 2016","Currency=INR","Period=FQ","BEST_FPERIOD_OVERRIDE=FQ","FILING_STATUS=OR","EQY_CONSOLIDATED=Y","FA_ADJUSTED=GAAP","Sort=A","Dates=H","DateFormat=P","Fill=—","Direction=H","UseDPDF=Y")</f>
        <v>#NAME?</v>
      </c>
      <c r="G15" t="e">
        <f ca="1">_xll.BDH($C$3,"RETURN_ON_ASSET","FQ2 2016","FQ2 2016","Currency=INR","Period=FQ","BEST_FPERIOD_OVERRIDE=FQ","FILING_STATUS=OR","EQY_CONSOLIDATED=Y","FA_ADJUSTED=GAAP","Sort=A","Dates=H","DateFormat=P","Fill=—","Direction=H","UseDPDF=Y")</f>
        <v>#NAME?</v>
      </c>
      <c r="H15" t="e">
        <f ca="1">_xll.BDH($C$3,"RETURN_ON_CAP","FQ2 2016","FQ2 2016","Currency=INR","Period=FQ","BEST_FPERIOD_OVERRIDE=FQ","FILING_STATUS=OR","EQY_CONSOLIDATED=Y","FA_ADJUSTED=GAAP","Sort=A","Dates=H","DateFormat=P","Fill=—","Direction=H","UseDPDF=Y")</f>
        <v>#NAME?</v>
      </c>
      <c r="I15" t="e">
        <f ca="1">_xll.BDH($C$3,"RETURN_ON_INV_CAPITAL","FQ2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5" t="e">
        <f ca="1">_xll.BDH($C$3,"EBITDA_TO_REVENUE","FQ2 2016","FQ2 2016","Currency=INR","Period=FQ","BEST_FPERIOD_OVERRIDE=FQ","FILING_STATUS=OR","EQY_CONSOLIDATED=Y","FA_ADJUSTED=GAAP","Sort=A","Dates=H","DateFormat=P","Fill=—","Direction=H","UseDPDF=Y")</f>
        <v>#NAME?</v>
      </c>
      <c r="K15" t="e">
        <f ca="1">_xll.BDH($C$3,"OPER_MARGIN","FQ2 2016","FQ2 2016","Currency=INR","Period=FQ","BEST_FPERIOD_OVERRIDE=FQ","FILING_STATUS=OR","EQY_CONSOLIDATED=Y","FA_ADJUSTED=GAAP","Sort=A","Dates=H","DateFormat=P","Fill=—","Direction=H","UseDPDF=Y")</f>
        <v>#NAME?</v>
      </c>
      <c r="L15" t="e">
        <f ca="1">_xll.BDH($C$3,"INCREMENTAL_OPERATING_MARGIN","FQ2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5" t="e">
        <f ca="1">_xll.BDH($C$3,"PRETAX_INC_TO_NET_SALES","FQ2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5" t="e">
        <f ca="1">_xll.BDH($C$3,"INC_BEF_XO_ITEMS_TO_NET_SALES","FQ2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5" t="e">
        <f ca="1">_xll.BDH($C$3,"PROF_MARGIN","FQ2 2016","FQ2 2016","Currency=INR","Period=FQ","BEST_FPERIOD_OVERRIDE=FQ","FILING_STATUS=OR","EQY_CONSOLIDATED=Y","FA_ADJUSTED=GAAP","Sort=A","Dates=H","DateFormat=P","Fill=—","Direction=H","UseDPDF=Y")</f>
        <v>#NAME?</v>
      </c>
      <c r="P15" t="e">
        <f ca="1">_xll.BDH($C$3,"NET_INCOME_TO_COMMON_MARGIN","FQ2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5" t="e">
        <f ca="1">_xll.BDH($C$3,"EFF_TAX_RATE","FQ2 2016","FQ2 2016","Currency=INR","Period=FQ","BEST_FPERIOD_OVERRIDE=FQ","FILING_STATUS=OR","EQY_CONSOLIDATED=Y","FA_ADJUSTED=GAAP","Sort=A","Dates=H","DateFormat=P","Fill=—","Direction=H","UseDPDF=Y")</f>
        <v>#NAME?</v>
      </c>
      <c r="R15" t="e">
        <f ca="1">_xll.BDH($C$3,"DVD_PAYOUT_RATIO","FQ2 2016","FQ2 2016","Currency=INR","Period=FQ","BEST_FPERIOD_OVERRIDE=FQ","FILING_STATUS=OR","EQY_CONSOLIDATED=Y","FA_ADJUSTED=GAAP","Sort=A","Dates=H","DateFormat=P","Fill=—","Direction=H","UseDPDF=Y")</f>
        <v>#NAME?</v>
      </c>
      <c r="S15" t="e">
        <f ca="1">_xll.BDH($C$3,"SUSTAIN_GROWTH_RT","FQ2 2016","FQ2 2016","Currency=INR","Period=FQ","BEST_FPERIOD_OVERRIDE=FQ","FILING_STATUS=OR","EQY_CONSOLIDATED=Y","FA_ADJUSTED=GAAP","Sort=A","Dates=H","DateFormat=P","Fill=—","Direction=H","UseDPDF=Y")</f>
        <v>#NAME?</v>
      </c>
      <c r="T15" s="1" t="e">
        <f ca="1">_xll.BDH($C$3,"SALES_GROWTH","FQ2 2016","FQ2 2016","Currency=INR","Period=FQ","BEST_FPERIOD_OVERRIDE=FQ","FILING_STATUS=OR","EQY_CONSOLIDATED=Y","FA_ADJUSTED=GAAP","Sort=A","Dates=H","DateFormat=P","Fill=—","Direction=H","UseDPDF=Y")</f>
        <v>#NAME?</v>
      </c>
      <c r="U15" s="1" t="e">
        <f ca="1">_xll.BDH($C$3,"EBITDA_GROWTH","FQ2 2016","FQ2 2016","Currency=INR","Period=FQ","BEST_FPERIOD_OVERRIDE=FQ","FILING_STATUS=OR","EQY_CONSOLIDATED=Y","FA_ADJUSTED=GAAP","Sort=A","Dates=H","DateFormat=P","Fill=—","Direction=H","UseDPDF=Y")</f>
        <v>#NAME?</v>
      </c>
      <c r="V15" s="1" t="e">
        <f ca="1">_xll.BDH($C$3,"OPER_INC_GROWTH","FQ2 2016","FQ2 2016","Currency=INR","Period=FQ","BEST_FPERIOD_OVERRIDE=FQ","FILING_STATUS=OR","EQY_CONSOLIDATED=Y","FA_ADJUSTED=GAAP","Sort=A","Dates=H","DateFormat=P","Fill=—","Direction=H","UseDPDF=Y")</f>
        <v>#NAME?</v>
      </c>
      <c r="W15" s="1" t="e">
        <f ca="1">_xll.BDH($C$3,"EARN_FOR_COM_GROWTH","FQ2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5" s="1" t="e">
        <f ca="1">_xll.BDH($C$3,"DILUTED_EPS_AFT_XO_ITEMS_GROWTH","FQ2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5" s="1" t="e">
        <f ca="1">_xll.BDH($C$3,"DIVIDEND_PER_SHARE_1_YEAR_GROWTH","FQ2 2016","FQ2 2016","Currency=INR","Period=FQ","BEST_FPERIOD_OVERRIDE=FQ","FILING_STATUS=OR","EQY_CONSOLIDATED=Y","Sort=A","Dates=H","DateFormat=P","Fill=—","Direction=H","UseDPDF=Y")</f>
        <v>#NAME?</v>
      </c>
      <c r="Z15" s="1" t="e">
        <f ca="1">_xll.BDH($C$3,"ACCOUNTS_RECEIVABLE_GROWTH","FQ2 2016","FQ2 2016","Currency=INR","Period=FQ","BEST_FPERIOD_OVERRIDE=FQ","FILING_STATUS=OR","EQY_CONSOLIDATED=Y","Sort=A","Dates=H","DateFormat=P","Fill=—","Direction=H","UseDPDF=Y")</f>
        <v>#NAME?</v>
      </c>
      <c r="AA15" s="1" t="e">
        <f ca="1">_xll.BDH($C$3,"INVENTORY_GROWTH","FQ2 2016","FQ2 2016","Currency=INR","Period=FQ","BEST_FPERIOD_OVERRIDE=FQ","FILING_STATUS=OR","EQY_CONSOLIDATED=Y","Sort=A","Dates=H","DateFormat=P","Fill=—","Direction=H","UseDPDF=Y")</f>
        <v>#NAME?</v>
      </c>
      <c r="AB15" s="1" t="e">
        <f ca="1">_xll.BDH($C$3,"NET_FIXED_ASSETS_1_YEAR_GROWTH","FQ2 2016","FQ2 2016","Currency=INR","Period=FQ","BEST_FPERIOD_OVERRIDE=FQ","FILING_STATUS=OR","EQY_CONSOLIDATED=Y","Sort=A","Dates=H","DateFormat=P","Fill=—","Direction=H","UseDPDF=Y")</f>
        <v>#NAME?</v>
      </c>
      <c r="AC15" s="1" t="e">
        <f ca="1">_xll.BDH($C$3,"ASSET_GROWTH","FQ2 2016","FQ2 2016","Currency=INR","Period=FQ","BEST_FPERIOD_OVERRIDE=FQ","FILING_STATUS=OR","EQY_CONSOLIDATED=Y","Sort=A","Dates=H","DateFormat=P","Fill=—","Direction=H","UseDPDF=Y")</f>
        <v>#NAME?</v>
      </c>
      <c r="AD15" s="1" t="e">
        <f ca="1">_xll.BDH($C$3,"MODIFIED_WORK_CAP_GROWTH","FQ2 2016","FQ2 2016","Currency=INR","Period=FQ","BEST_FPERIOD_OVERRIDE=FQ","FILING_STATUS=OR","EQY_CONSOLIDATED=Y","Sort=A","Dates=H","DateFormat=P","Fill=—","Direction=H","UseDPDF=Y")</f>
        <v>#NAME?</v>
      </c>
      <c r="AE15" s="1" t="e">
        <f ca="1">_xll.BDH($C$3,"WORK_CAP_GROWTH","FQ2 2016","FQ2 2016","Currency=INR","Period=FQ","BEST_FPERIOD_OVERRIDE=FQ","FILING_STATUS=OR","EQY_CONSOLIDATED=Y","Sort=A","Dates=H","DateFormat=P","Fill=—","Direction=H","UseDPDF=Y")</f>
        <v>#NAME?</v>
      </c>
      <c r="AF15" s="1" t="e">
        <f ca="1">_xll.BDH($C$3,"ACCOUNTS_PAYABLE_GROWTH_1YR","FQ2 2016","FQ2 2016","Currency=INR","Period=FQ","BEST_FPERIOD_OVERRIDE=FQ","FILING_STATUS=OR","EQY_CONSOLIDATED=Y","Sort=A","Dates=H","DateFormat=P","Fill=—","Direction=H","UseDPDF=Y")</f>
        <v>#NAME?</v>
      </c>
      <c r="AG15" s="1" t="e">
        <f ca="1">_xll.BDH($C$3,"SHORT_TERM_DEBT_1_YEAR_GROWTH","FQ2 2016","FQ2 2016","Currency=INR","Period=FQ","BEST_FPERIOD_OVERRIDE=FQ","FILING_STATUS=OR","EQY_CONSOLIDATED=Y","Sort=A","Dates=H","DateFormat=P","Fill=—","Direction=H","UseDPDF=Y")</f>
        <v>#NAME?</v>
      </c>
      <c r="AH15" s="1" t="e">
        <f ca="1">_xll.BDH($C$3,"TOTAL_DEBT_1_YEAR_GROWTH","FQ2 2016","FQ2 2016","Currency=INR","Period=FQ","BEST_FPERIOD_OVERRIDE=FQ","FILING_STATUS=OR","EQY_CONSOLIDATED=Y","Sort=A","Dates=H","DateFormat=P","Fill=—","Direction=H","UseDPDF=Y")</f>
        <v>#NAME?</v>
      </c>
      <c r="AI15" s="1" t="e">
        <f ca="1">_xll.BDH($C$3,"TOTAL_EQUITY_1_YEAR_GROWTH","FQ2 2016","FQ2 2016","Currency=INR","Period=FQ","BEST_FPERIOD_OVERRIDE=FQ","FILING_STATUS=OR","EQY_CONSOLIDATED=Y","Sort=A","Dates=H","DateFormat=P","Fill=—","Direction=H","UseDPDF=Y")</f>
        <v>#NAME?</v>
      </c>
      <c r="AJ15" s="1" t="e">
        <f ca="1">_xll.BDH($C$3,"GROWTH_IN_CAP","FQ2 2016","FQ2 2016","Currency=INR","Period=FQ","BEST_FPERIOD_OVERRIDE=FQ","FILING_STATUS=OR","EQY_CONSOLIDATED=Y","Sort=A","Dates=H","DateFormat=P","Fill=—","Direction=H","UseDPDF=Y")</f>
        <v>#NAME?</v>
      </c>
      <c r="AK15" s="1" t="e">
        <f ca="1">_xll.BDH($C$3,"BVPS_GROWTH","FQ2 2016","FQ2 2016","Currency=INR","Period=FQ","BEST_FPERIOD_OVERRIDE=FQ","FILING_STATUS=OR","EQY_CONSOLIDATED=Y","Sort=A","Dates=H","DateFormat=P","Fill=—","Direction=H","UseDPDF=Y")</f>
        <v>#NAME?</v>
      </c>
      <c r="AL15" s="1" t="e">
        <f ca="1">_xll.BDH($C$3,"CASH_FLOW_GROWTH","FQ2 2016","FQ2 2016","Currency=INR","Period=FQ","BEST_FPERIOD_OVERRIDE=FQ","FILING_STATUS=OR","EQY_CONSOLIDATED=Y","Sort=A","Dates=H","DateFormat=P","Fill=—","Direction=H","UseDPDF=Y")</f>
        <v>#NAME?</v>
      </c>
      <c r="AM15" s="1" t="e">
        <f ca="1">_xll.BDH($C$3,"GEO_GROW_NET_SALES","FQ2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5" s="1" t="e">
        <f ca="1">_xll.BDH($C$3,"GEO_GROW_EBITDA","FQ2 2016","FQ2 2016","Currency=INR","Period=FQ","BEST_FPERIOD_OVERRIDE=FQ","FILING_STATUS=OR","EQY_CONSOLIDATED=Y","FA_ADJUSTED=GAAP","Sort=A","Dates=H","DateFormat=P","Fill=—","Direction=H","UseDPDF=Y")</f>
        <v>#NAME?</v>
      </c>
      <c r="AO15" s="1" t="e">
        <f ca="1">_xll.BDH($C$3,"GEO_GROW_OPER_INC","FQ2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5" s="1" t="e">
        <f ca="1">_xll.BDH($C$3,"NET_INCOME_TO_COMMON_5_YR_GROWTH","FQ2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5" s="1" t="e">
        <f ca="1">_xll.BDH($C$3,"5Y_GEO_GROWTH_DILUTED_EPS","FQ2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5" s="1" t="e">
        <f ca="1">_xll.BDH($C$3,"GEO_GROW_DVD_PER_SH","FQ2 2016","FQ2 2016","Currency=INR","Period=FQ","BEST_FPERIOD_OVERRIDE=FQ","FILING_STATUS=OR","EQY_CONSOLIDATED=Y","Sort=A","Dates=H","DateFormat=P","Fill=—","Direction=H","UseDPDF=Y")</f>
        <v>#NAME?</v>
      </c>
      <c r="AS15" s="1" t="e">
        <f ca="1">_xll.BDH($C$3,"ACCOUNTS_RECEIVABLE_5_YR_GROWTH","FQ2 2016","FQ2 2016","Currency=INR","Period=FQ","BEST_FPERIOD_OVERRIDE=FQ","FILING_STATUS=OR","EQY_CONSOLIDATED=Y","Sort=A","Dates=H","DateFormat=P","Fill=—","Direction=H","UseDPDF=Y")</f>
        <v>#NAME?</v>
      </c>
      <c r="AT15" s="1" t="e">
        <f ca="1">_xll.BDH($C$3,"INVENTORY_5_YEAR_GROWTH","FQ2 2016","FQ2 2016","Currency=INR","Period=FQ","BEST_FPERIOD_OVERRIDE=FQ","FILING_STATUS=OR","EQY_CONSOLIDATED=Y","Sort=A","Dates=H","DateFormat=P","Fill=—","Direction=H","UseDPDF=Y")</f>
        <v>#NAME?</v>
      </c>
      <c r="AU15" s="1" t="e">
        <f ca="1">_xll.BDH($C$3,"NET_FIXED_ASSETS_5_YEAR_GROWTH","FQ2 2016","FQ2 2016","Currency=INR","Period=FQ","BEST_FPERIOD_OVERRIDE=FQ","FILING_STATUS=OR","EQY_CONSOLIDATED=Y","Sort=A","Dates=H","DateFormat=P","Fill=—","Direction=H","UseDPDF=Y")</f>
        <v>#NAME?</v>
      </c>
      <c r="AV15" s="1" t="e">
        <f ca="1">_xll.BDH($C$3,"GEO_GROW_TOT_ASSET","FQ2 2016","FQ2 2016","Currency=INR","Period=FQ","BEST_FPERIOD_OVERRIDE=FQ","FILING_STATUS=OR","EQY_CONSOLIDATED=Y","Sort=A","Dates=H","DateFormat=P","Fill=—","Direction=H","UseDPDF=Y")</f>
        <v>#NAME?</v>
      </c>
      <c r="AW15" s="1" t="e">
        <f ca="1">_xll.BDH($C$3,"MODIFIED_WORKING_CPTL_5YR_GRWTH","FQ2 2016","FQ2 2016","Currency=INR","Period=FQ","BEST_FPERIOD_OVERRIDE=FQ","FILING_STATUS=OR","EQY_CONSOLIDATED=Y","Sort=A","Dates=H","DateFormat=P","Fill=—","Direction=H","UseDPDF=Y")</f>
        <v>#NAME?</v>
      </c>
      <c r="AX15" s="1" t="e">
        <f ca="1">_xll.BDH($C$3,"WORKING_CAPITAL_5_YEAR_GROWTH","FQ2 2016","FQ2 2016","Currency=INR","Period=FQ","BEST_FPERIOD_OVERRIDE=FQ","FILING_STATUS=OR","EQY_CONSOLIDATED=Y","Sort=A","Dates=H","DateFormat=P","Fill=—","Direction=H","UseDPDF=Y")</f>
        <v>#NAME?</v>
      </c>
      <c r="AY15" s="1" t="e">
        <f ca="1">_xll.BDH($C$3,"ACCOUNTS_PAYABLE_5_YEAR_GROWTH","FQ2 2016","FQ2 2016","Currency=INR","Period=FQ","BEST_FPERIOD_OVERRIDE=FQ","FILING_STATUS=OR","EQY_CONSOLIDATED=Y","Sort=A","Dates=H","DateFormat=P","Fill=—","Direction=H","UseDPDF=Y")</f>
        <v>#NAME?</v>
      </c>
      <c r="AZ15" s="1" t="e">
        <f ca="1">_xll.BDH($C$3,"SHORT_TERM_DEBT_5_YEAR_GROWTH","FQ2 2016","FQ2 2016","Currency=INR","Period=FQ","BEST_FPERIOD_OVERRIDE=FQ","FILING_STATUS=OR","EQY_CONSOLIDATED=Y","Sort=A","Dates=H","DateFormat=P","Fill=—","Direction=H","UseDPDF=Y")</f>
        <v>#NAME?</v>
      </c>
      <c r="BA15" s="1" t="e">
        <f ca="1">_xll.BDH($C$3,"TOTAL_DEBT_5_YEAR_GROWTH","FQ2 2016","FQ2 2016","Currency=INR","Period=FQ","BEST_FPERIOD_OVERRIDE=FQ","FILING_STATUS=OR","EQY_CONSOLIDATED=Y","Sort=A","Dates=H","DateFormat=P","Fill=—","Direction=H","UseDPDF=Y")</f>
        <v>#NAME?</v>
      </c>
      <c r="BB15" s="1" t="e">
        <f ca="1">_xll.BDH($C$3,"GEO_GROW_TOT_SHRHLDR_EQY","FQ2 2016","FQ2 2016","Currency=INR","Period=FQ","BEST_FPERIOD_OVERRIDE=FQ","FILING_STATUS=OR","EQY_CONSOLIDATED=Y","Sort=A","Dates=H","DateFormat=P","Fill=—","Direction=H","UseDPDF=Y")</f>
        <v>#NAME?</v>
      </c>
      <c r="BC15" s="1" t="e">
        <f ca="1">_xll.BDH($C$3,"TOTAL_CAPITAL_5_YEAR_GROWTH","FQ2 2016","FQ2 2016","Currency=INR","Period=FQ","BEST_FPERIOD_OVERRIDE=FQ","FILING_STATUS=OR","EQY_CONSOLIDATED=Y","Sort=A","Dates=H","DateFormat=P","Fill=—","Direction=H","UseDPDF=Y")</f>
        <v>#NAME?</v>
      </c>
      <c r="BD15" s="1" t="e">
        <f ca="1">_xll.BDH($C$3,"GEO_GROW_BOOK_VAL","FQ2 2016","FQ2 2016","Currency=INR","Period=FQ","BEST_FPERIOD_OVERRIDE=FQ","FILING_STATUS=OR","EQY_CONSOLIDATED=Y","Sort=A","Dates=H","DateFormat=P","Fill=—","Direction=H","UseDPDF=Y")</f>
        <v>#NAME?</v>
      </c>
      <c r="BE15" s="1" t="e">
        <f ca="1">_xll.BDH($C$3,"GEO_GROW_CASH_OPER_ACT","FQ2 2016","FQ2 2016","Currency=INR","Period=FQ","BEST_FPERIOD_OVERRIDE=FQ","FILING_STATUS=OR","EQY_CONSOLIDATED=Y","Sort=A","Dates=H","DateFormat=P","Fill=—","Direction=H","UseDPDF=Y")</f>
        <v>#NAME?</v>
      </c>
      <c r="BF15" s="1" t="e">
        <f ca="1">_xll.BDH($C$3,"REVENUE_SEQUENTIAL_GROWTH","FQ2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5" s="1" t="e">
        <f ca="1">_xll.BDH($C$3,"EBITDA_SEQUENTIAL_GROWTH","FQ2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5" s="1" t="e">
        <f ca="1">_xll.BDH($C$3,"OPERATING_INCOME_SEQ_GROWTH","FQ2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5" s="1" t="e">
        <f ca="1">_xll.BDH($C$3,"NET_INCOME_TO_COMMON_SEQ_GROWTH","FQ2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5" s="1" t="e">
        <f ca="1">_xll.BDH($C$3,"EPS_DILUTED_SEQUENTIAL_GROWTH","FQ2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5" s="1" t="e">
        <f ca="1">_xll.BDH($C$3,"DPS_SEQUENTIAL_GROWTH","FQ2 2016","FQ2 2016","Currency=INR","Period=FQ","BEST_FPERIOD_OVERRIDE=FQ","FILING_STATUS=OR","EQY_CONSOLIDATED=Y","Sort=A","Dates=H","DateFormat=P","Fill=—","Direction=H","UseDPDF=Y")</f>
        <v>#NAME?</v>
      </c>
      <c r="BL15" s="1" t="e">
        <f ca="1">_xll.BDH($C$3,"ACCOUNTS_RECEIVABLE_SEQ_GROWTH","FQ2 2016","FQ2 2016","Currency=INR","Period=FQ","BEST_FPERIOD_OVERRIDE=FQ","FILING_STATUS=OR","EQY_CONSOLIDATED=Y","Sort=A","Dates=H","DateFormat=P","Fill=—","Direction=H","UseDPDF=Y")</f>
        <v>#NAME?</v>
      </c>
      <c r="BM15" s="1" t="e">
        <f ca="1">_xll.BDH($C$3,"INVENTORY_SEQUENTIAL_GROWTH","FQ2 2016","FQ2 2016","Currency=INR","Period=FQ","BEST_FPERIOD_OVERRIDE=FQ","FILING_STATUS=OR","EQY_CONSOLIDATED=Y","Sort=A","Dates=H","DateFormat=P","Fill=—","Direction=H","UseDPDF=Y")</f>
        <v>#NAME?</v>
      </c>
      <c r="BN15" s="1" t="e">
        <f ca="1">_xll.BDH($C$3,"FIXED_ASSETS_SEQUENTIAL_GROWTH","FQ2 2016","FQ2 2016","Currency=INR","Period=FQ","BEST_FPERIOD_OVERRIDE=FQ","FILING_STATUS=OR","EQY_CONSOLIDATED=Y","Sort=A","Dates=H","DateFormat=P","Fill=—","Direction=H","UseDPDF=Y")</f>
        <v>#NAME?</v>
      </c>
      <c r="BO15" s="1" t="e">
        <f ca="1">_xll.BDH($C$3,"TOTAL_ASSETS_SEQUENTIAL_GROWTH","FQ2 2016","FQ2 2016","Currency=INR","Period=FQ","BEST_FPERIOD_OVERRIDE=FQ","FILING_STATUS=OR","EQY_CONSOLIDATED=Y","Sort=A","Dates=H","DateFormat=P","Fill=—","Direction=H","UseDPDF=Y")</f>
        <v>#NAME?</v>
      </c>
      <c r="BP15" s="1" t="e">
        <f ca="1">_xll.BDH($C$3,"MODIFIED_WORKING_CPTL_SEQ_GRWTH","FQ2 2016","FQ2 2016","Currency=INR","Period=FQ","BEST_FPERIOD_OVERRIDE=FQ","FILING_STATUS=OR","EQY_CONSOLIDATED=Y","Sort=A","Dates=H","DateFormat=P","Fill=—","Direction=H","UseDPDF=Y")</f>
        <v>#NAME?</v>
      </c>
      <c r="BQ15" s="1" t="e">
        <f ca="1">_xll.BDH($C$3,"WORKING_CAPITAL_SEQ_GROWTH","FQ2 2016","FQ2 2016","Currency=INR","Period=FQ","BEST_FPERIOD_OVERRIDE=FQ","FILING_STATUS=OR","EQY_CONSOLIDATED=Y","Sort=A","Dates=H","DateFormat=P","Fill=—","Direction=H","UseDPDF=Y")</f>
        <v>#NAME?</v>
      </c>
      <c r="BR15" s="1" t="e">
        <f ca="1">_xll.BDH($C$3,"ACCOUNTS_PAYABLE_SEQ_GROWTH","FQ2 2016","FQ2 2016","Currency=INR","Period=FQ","BEST_FPERIOD_OVERRIDE=FQ","FILING_STATUS=OR","EQY_CONSOLIDATED=Y","Sort=A","Dates=H","DateFormat=P","Fill=—","Direction=H","UseDPDF=Y")</f>
        <v>#NAME?</v>
      </c>
      <c r="BS15" s="1" t="e">
        <f ca="1">_xll.BDH($C$3,"ST_DEBT_SEQUENTIAL_GROWTH","FQ2 2016","FQ2 2016","Currency=INR","Period=FQ","BEST_FPERIOD_OVERRIDE=FQ","FILING_STATUS=OR","EQY_CONSOLIDATED=Y","Sort=A","Dates=H","DateFormat=P","Fill=—","Direction=H","UseDPDF=Y")</f>
        <v>#NAME?</v>
      </c>
      <c r="BT15" s="1" t="e">
        <f ca="1">_xll.BDH($C$3,"TOTAL_DEBT_SEQUENTIAL_GROWTH","FQ2 2016","FQ2 2016","Currency=INR","Period=FQ","BEST_FPERIOD_OVERRIDE=FQ","FILING_STATUS=OR","EQY_CONSOLIDATED=Y","Sort=A","Dates=H","DateFormat=P","Fill=—","Direction=H","UseDPDF=Y")</f>
        <v>#NAME?</v>
      </c>
      <c r="BU15" s="1" t="e">
        <f ca="1">_xll.BDH($C$3,"TOTAL_EQUITY_SEQUENTIAL_GROWTH","FQ2 2016","FQ2 2016","Currency=INR","Period=FQ","BEST_FPERIOD_OVERRIDE=FQ","FILING_STATUS=OR","EQY_CONSOLIDATED=Y","Sort=A","Dates=H","DateFormat=P","Fill=—","Direction=H","UseDPDF=Y")</f>
        <v>#NAME?</v>
      </c>
      <c r="BV15" s="1" t="e">
        <f ca="1">_xll.BDH($C$3,"TOTAL_CAPITAL_SEQUENTIAL_GROWTH","FQ2 2016","FQ2 2016","Currency=INR","Period=FQ","BEST_FPERIOD_OVERRIDE=FQ","FILING_STATUS=OR","EQY_CONSOLIDATED=Y","Sort=A","Dates=H","DateFormat=P","Fill=—","Direction=H","UseDPDF=Y")</f>
        <v>#NAME?</v>
      </c>
      <c r="BW15" s="1" t="e">
        <f ca="1">_xll.BDH($C$3,"BPS_SEQUENTIAL_GROWTH","FQ2 2016","FQ2 2016","Currency=INR","Period=FQ","BEST_FPERIOD_OVERRIDE=FQ","FILING_STATUS=OR","EQY_CONSOLIDATED=Y","Sort=A","Dates=H","DateFormat=P","Fill=—","Direction=H","UseDPDF=Y")</f>
        <v>#NAME?</v>
      </c>
      <c r="BX15" s="1" t="e">
        <f ca="1">_xll.BDH($C$3,"CFO_SEQUENTIAL_GROWTH","FQ2 2016","FQ2 2016","Currency=INR","Period=FQ","BEST_FPERIOD_OVERRIDE=FQ","FILING_STATUS=OR","EQY_CONSOLIDATED=Y","Sort=A","Dates=H","DateFormat=P","Fill=—","Direction=H","UseDPDF=Y")</f>
        <v>#NAME?</v>
      </c>
      <c r="BY15" s="2" t="e">
        <f ca="1">_xll.BDH($C$3,"SHORT_AND_LONG_TERM_DEBT","FQ2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5" s="2" t="e">
        <f ca="1">_xll.BDH($C$3,"BS_ST_BORROW","FQ2 2016","FQ2 2016","Currency=INR","Period=FQ","BEST_FPERIOD_OVERRIDE=FQ","FILING_STATUS=OR","EQY_CONSOLIDATED=Y","SCALING_FORMAT=MLN","Sort=A","Dates=H","DateFormat=P","Fill=—","Direction=H","UseDPDF=Y")</f>
        <v>#NAME?</v>
      </c>
      <c r="CA15" s="2" t="e">
        <f ca="1">_xll.BDH($C$3,"BS_LT_BORROW","FQ2 2016","FQ2 2016","Currency=INR","Period=FQ","BEST_FPERIOD_OVERRIDE=FQ","FILING_STATUS=OR","EQY_CONSOLIDATED=Y","SCALING_FORMAT=MLN","Sort=A","Dates=H","DateFormat=P","Fill=—","Direction=H","UseDPDF=Y")</f>
        <v>#NAME?</v>
      </c>
      <c r="CB15" s="1" t="e">
        <f ca="1">_xll.BDH($C$3,"TOT_DEBT_TO_EBITDA","FQ2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5" s="1" t="e">
        <f ca="1">_xll.BDH($C$3,"NET_DEBT_TO_EBITDA","FQ2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5" s="1" t="e">
        <f ca="1">_xll.BDH($C$3,"TOTAL_DEBT_TO_EBIT","FQ2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5" s="1" t="e">
        <f ca="1">_xll.BDH($C$3,"NET_DEBT_TO_EBIT","FQ2 2016","FQ2 2016","Currency=INR","Period=FQ","BEST_FPERIOD_OVERRIDE=FQ","FILING_STATUS=OR","EQY_CONSOLIDATED=Y","FA_ADJUSTED=GAAP","Sort=A","Dates=H","DateFormat=P","Fill=—","Direction=H","UseDPDF=Y")</f>
        <v>#NAME?</v>
      </c>
      <c r="CF15" s="1" t="e">
        <f ca="1">_xll.BDH($C$3,"EBITDA_TO_INTEREST_EXPN","FQ2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5" s="1" t="e">
        <f ca="1">_xll.BDH($C$3,"COM_EQY_TO_TOT_ASSET","FQ2 2016","FQ2 2016","Currency=INR","Period=FQ","BEST_FPERIOD_OVERRIDE=FQ","FILING_STATUS=OR","EQY_CONSOLIDATED=Y","Sort=A","Dates=H","DateFormat=P","Fill=—","Direction=H","UseDPDF=Y")</f>
        <v>#NAME?</v>
      </c>
      <c r="CH15" s="1" t="e">
        <f ca="1">_xll.BDH($C$3,"LT_DEBT_TO_TOT_EQY","FQ2 2016","FQ2 2016","Currency=INR","Period=FQ","BEST_FPERIOD_OVERRIDE=FQ","FILING_STATUS=OR","EQY_CONSOLIDATED=Y","Sort=A","Dates=H","DateFormat=P","Fill=—","Direction=H","UseDPDF=Y")</f>
        <v>#NAME?</v>
      </c>
      <c r="CI15" s="1" t="e">
        <f ca="1">_xll.BDH($C$3,"LT_DEBT_TO_TOT_CAP","FQ2 2016","FQ2 2016","Currency=INR","Period=FQ","BEST_FPERIOD_OVERRIDE=FQ","FILING_STATUS=OR","EQY_CONSOLIDATED=Y","Sort=A","Dates=H","DateFormat=P","Fill=—","Direction=H","UseDPDF=Y")</f>
        <v>#NAME?</v>
      </c>
      <c r="CJ15" s="1" t="e">
        <f ca="1">_xll.BDH($C$3,"LT_DEBT_TO_TOT_ASSET","FQ2 2016","FQ2 2016","Currency=INR","Period=FQ","BEST_FPERIOD_OVERRIDE=FQ","FILING_STATUS=OR","EQY_CONSOLIDATED=Y","Sort=A","Dates=H","DateFormat=P","Fill=—","Direction=H","UseDPDF=Y")</f>
        <v>#NAME?</v>
      </c>
      <c r="CK15" s="1" t="e">
        <f ca="1">_xll.BDH($C$3,"TOT_DEBT_TO_TOT_EQY","FQ2 2016","FQ2 2016","Currency=INR","Period=FQ","BEST_FPERIOD_OVERRIDE=FQ","FILING_STATUS=OR","EQY_CONSOLIDATED=Y","Sort=A","Dates=H","DateFormat=P","Fill=—","Direction=H","UseDPDF=Y")</f>
        <v>#NAME?</v>
      </c>
      <c r="CL15" s="1" t="e">
        <f ca="1">_xll.BDH($C$3,"TOT_DEBT_TO_TOT_CAP","FQ2 2016","FQ2 2016","Currency=INR","Period=FQ","BEST_FPERIOD_OVERRIDE=FQ","FILING_STATUS=OR","EQY_CONSOLIDATED=Y","Sort=A","Dates=H","DateFormat=P","Fill=—","Direction=H","UseDPDF=Y")</f>
        <v>#NAME?</v>
      </c>
      <c r="CM15" s="1" t="e">
        <f ca="1">_xll.BDH($C$3,"TOT_DEBT_TO_TOT_ASSET","FQ2 2016","FQ2 2016","Currency=INR","Period=FQ","BEST_FPERIOD_OVERRIDE=FQ","FILING_STATUS=OR","EQY_CONSOLIDATED=Y","Sort=A","Dates=H","DateFormat=P","Fill=—","Direction=H","UseDPDF=Y")</f>
        <v>#NAME?</v>
      </c>
      <c r="CN15" s="1" t="e">
        <f ca="1">_xll.BDH($C$3,"NET_DEBT_TO_SHRHLDR_EQTY","FQ2 2016","FQ2 2016","Currency=INR","Period=FQ","BEST_FPERIOD_OVERRIDE=FQ","FILING_STATUS=OR","EQY_CONSOLIDATED=Y","Sort=A","Dates=H","DateFormat=P","Fill=—","Direction=H","UseDPDF=Y")</f>
        <v>#NAME?</v>
      </c>
      <c r="CO15" s="1" t="e">
        <f ca="1">_xll.BDH($C$3,"NET_DEBT_%_CAPITAL","FQ2 2016","FQ2 2016","Currency=INR","Period=FQ","BEST_FPERIOD_OVERRIDE=FQ","FILING_STATUS=OR","EQY_CONSOLIDATED=Y","Sort=A","Dates=H","DateFormat=P","Fill=—","Direction=H","UseDPDF=Y")</f>
        <v>#NAME?</v>
      </c>
      <c r="CP15" s="2" t="e">
        <f ca="1">_xll.BDH($C$3,"EBITDA","FQ2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5" s="2" t="e">
        <f ca="1">_xll.BDH($C$3,"EBITDA_AFTER_CAPEX","FQ2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5" s="2" t="e">
        <f ca="1">_xll.BDH($C$3,"IS_OPER_INC","FQ2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5" s="1" t="e">
        <f ca="1">_xll.BDH($C$3,"CASH_RATIO","FQ2 2016","FQ2 2016","Currency=INR","Period=FQ","BEST_FPERIOD_OVERRIDE=FQ","FILING_STATUS=OR","EQY_CONSOLIDATED=Y","Sort=A","Dates=H","DateFormat=P","Fill=—","Direction=H","UseDPDF=Y")</f>
        <v>#NAME?</v>
      </c>
      <c r="CT15" s="1" t="e">
        <f ca="1">_xll.BDH($C$3,"CUR_RATIO","FQ2 2016","FQ2 2016","Currency=INR","Period=FQ","BEST_FPERIOD_OVERRIDE=FQ","FILING_STATUS=OR","EQY_CONSOLIDATED=Y","Sort=A","Dates=H","DateFormat=P","Fill=—","Direction=H","UseDPDF=Y")</f>
        <v>#NAME?</v>
      </c>
      <c r="CU15" s="1" t="e">
        <f ca="1">_xll.BDH($C$3,"QUICK_RATIO","FQ2 2016","FQ2 2016","Currency=INR","Period=FQ","BEST_FPERIOD_OVERRIDE=FQ","FILING_STATUS=OR","EQY_CONSOLIDATED=Y","Sort=A","Dates=H","DateFormat=P","Fill=—","Direction=H","UseDPDF=Y")</f>
        <v>#NAME?</v>
      </c>
      <c r="CV15" s="1" t="e">
        <f ca="1">_xll.BDH($C$3,"ALTMAN_Z_SCORE","FQ2 2016","FQ2 2016","Currency=INR","Period=FQ","BEST_FPERIOD_OVERRIDE=FQ","FILING_STATUS=OR","EQY_CONSOLIDATED=Y","Sort=A","Dates=H","DateFormat=P","Fill=—","Direction=H","UseDPDF=Y")</f>
        <v>#NAME?</v>
      </c>
      <c r="CW15" s="3" t="e">
        <f ca="1">_xll.BDH($C$3,"ACCT_RCV_TURN","FQ2 2016","FQ2 2016","Currency=INR","Period=FQ","BEST_FPERIOD_OVERRIDE=FQ","FILING_STATUS=OR","EQY_CONSOLIDATED=Y","FA_ADJUSTED=GAAP","Sort=A","Dates=H","DateFormat=P","Fill=—","Direction=H","UseDPDF=Y")</f>
        <v>#NAME?</v>
      </c>
      <c r="CX15" s="1" t="e">
        <f ca="1">_xll.BDH($C$3,"ACCT_RCV_DAYS","FQ2 2016","FQ2 2016","Currency=INR","Period=FQ","BEST_FPERIOD_OVERRIDE=FQ","FILING_STATUS=OR","EQY_CONSOLIDATED=Y","FA_ADJUSTED=GAAP","Sort=A","Dates=H","DateFormat=P","Fill=—","Direction=H","UseDPDF=Y")</f>
        <v>#NAME?</v>
      </c>
      <c r="CY15" s="3" t="e">
        <f ca="1">_xll.BDH($C$3,"INVENT_TURN","FQ2 2016","FQ2 2016","Currency=INR","Period=FQ","BEST_FPERIOD_OVERRIDE=FQ","FILING_STATUS=OR","EQY_CONSOLIDATED=Y","FA_ADJUSTED=GAAP","Sort=A","Dates=H","DateFormat=P","Fill=—","Direction=H","UseDPDF=Y")</f>
        <v>#NAME?</v>
      </c>
      <c r="CZ15" s="1" t="e">
        <f ca="1">_xll.BDH($C$3,"INVENT_DAYS","FQ2 2016","FQ2 2016","Currency=INR","Period=FQ","BEST_FPERIOD_OVERRIDE=FQ","FILING_STATUS=OR","EQY_CONSOLIDATED=Y","FA_ADJUSTED=GAAP","Sort=A","Dates=H","DateFormat=P","Fill=—","Direction=H","UseDPDF=Y")</f>
        <v>#NAME?</v>
      </c>
      <c r="DA15" s="3" t="e">
        <f ca="1">_xll.BDH($C$3,"ACCOUNTS_PAYABLE_TURNOVER","FQ2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5" s="1" t="e">
        <f ca="1">_xll.BDH($C$3,"ACCOUNTS_PAYABLE_TURNOVER_DAYS","FQ2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5" s="3" t="e">
        <f ca="1">_xll.BDH($C$3,"CASH_CONVERSION_CYCLE","FQ2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5" s="3" t="e">
        <f ca="1">_xll.BDH($C$3,"INV_TO_CASH_DAYS","FQ2 2016","FQ2 2016","Currency=INR","Period=FQ","BEST_FPERIOD_OVERRIDE=FQ","FILING_STATUS=OR","EQY_CONSOLIDATED=Y","FA_ADJUSTED=GAAP","Sort=A","Dates=H","DateFormat=P","Fill=—","Direction=H","UseDPDF=Y")</f>
        <v>#NAME?</v>
      </c>
      <c r="DE15" s="4" t="e">
        <f ca="1">_xll.BDH($C$3,"BS_INVENTORIES","FQ2 2016","FQ2 2016","Currency=INR","Period=FQ","BEST_FPERIOD_OVERRIDE=FQ","FILING_STATUS=OR","EQY_CONSOLIDATED=Y","SCALING_FORMAT=MLN","Sort=A","Dates=H","DateFormat=P","Fill=—","Direction=H","UseDPDF=Y")</f>
        <v>#NAME?</v>
      </c>
      <c r="DF15" s="2" t="e">
        <f ca="1">_xll.BDH($C$3,"INVTRY_RAW_MATERIALS","FQ2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5" s="2" t="e">
        <f ca="1">_xll.BDH($C$3,"INVTRY_IN_PROGRESS","FQ2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5" s="2" t="e">
        <f ca="1">_xll.BDH($C$3,"INVTRY_FINISHED_GOODS","FQ2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5" s="2" t="e">
        <f ca="1">_xll.BDH($C$3,"BS_OTHER_INV","FQ2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6" spans="1:113" x14ac:dyDescent="0.3">
      <c r="A16" s="6"/>
      <c r="B16" s="6"/>
      <c r="C16" s="6"/>
      <c r="D16" s="6"/>
      <c r="E16" t="s">
        <v>6</v>
      </c>
      <c r="F16" t="e">
        <f ca="1">_xll.BDH($C$3,"RETURN_COM_EQY","FQ3 2016","FQ3 2016","Currency=INR","Period=FQ","BEST_FPERIOD_OVERRIDE=FQ","FILING_STATUS=OR","EQY_CONSOLIDATED=Y","FA_ADJUSTED=GAAP","Sort=A","Dates=H","DateFormat=P","Fill=—","Direction=H","UseDPDF=Y")</f>
        <v>#NAME?</v>
      </c>
      <c r="G16" t="e">
        <f ca="1">_xll.BDH($C$3,"RETURN_ON_ASSET","FQ3 2016","FQ3 2016","Currency=INR","Period=FQ","BEST_FPERIOD_OVERRIDE=FQ","FILING_STATUS=OR","EQY_CONSOLIDATED=Y","FA_ADJUSTED=GAAP","Sort=A","Dates=H","DateFormat=P","Fill=—","Direction=H","UseDPDF=Y")</f>
        <v>#NAME?</v>
      </c>
      <c r="H16" t="e">
        <f ca="1">_xll.BDH($C$3,"RETURN_ON_CAP","FQ3 2016","FQ3 2016","Currency=INR","Period=FQ","BEST_FPERIOD_OVERRIDE=FQ","FILING_STATUS=OR","EQY_CONSOLIDATED=Y","FA_ADJUSTED=GAAP","Sort=A","Dates=H","DateFormat=P","Fill=—","Direction=H","UseDPDF=Y")</f>
        <v>#NAME?</v>
      </c>
      <c r="I16" t="e">
        <f ca="1">_xll.BDH($C$3,"RETURN_ON_INV_CAPITAL","FQ3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6" t="e">
        <f ca="1">_xll.BDH($C$3,"EBITDA_TO_REVENUE","FQ3 2016","FQ3 2016","Currency=INR","Period=FQ","BEST_FPERIOD_OVERRIDE=FQ","FILING_STATUS=OR","EQY_CONSOLIDATED=Y","FA_ADJUSTED=GAAP","Sort=A","Dates=H","DateFormat=P","Fill=—","Direction=H","UseDPDF=Y")</f>
        <v>#NAME?</v>
      </c>
      <c r="K16" t="e">
        <f ca="1">_xll.BDH($C$3,"OPER_MARGIN","FQ3 2016","FQ3 2016","Currency=INR","Period=FQ","BEST_FPERIOD_OVERRIDE=FQ","FILING_STATUS=OR","EQY_CONSOLIDATED=Y","FA_ADJUSTED=GAAP","Sort=A","Dates=H","DateFormat=P","Fill=—","Direction=H","UseDPDF=Y")</f>
        <v>#NAME?</v>
      </c>
      <c r="L16" t="e">
        <f ca="1">_xll.BDH($C$3,"INCREMENTAL_OPERATING_MARGIN","FQ3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6" t="e">
        <f ca="1">_xll.BDH($C$3,"PRETAX_INC_TO_NET_SALES","FQ3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6" t="e">
        <f ca="1">_xll.BDH($C$3,"INC_BEF_XO_ITEMS_TO_NET_SALES","FQ3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6" t="e">
        <f ca="1">_xll.BDH($C$3,"PROF_MARGIN","FQ3 2016","FQ3 2016","Currency=INR","Period=FQ","BEST_FPERIOD_OVERRIDE=FQ","FILING_STATUS=OR","EQY_CONSOLIDATED=Y","FA_ADJUSTED=GAAP","Sort=A","Dates=H","DateFormat=P","Fill=—","Direction=H","UseDPDF=Y")</f>
        <v>#NAME?</v>
      </c>
      <c r="P16" t="e">
        <f ca="1">_xll.BDH($C$3,"NET_INCOME_TO_COMMON_MARGIN","FQ3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6" t="e">
        <f ca="1">_xll.BDH($C$3,"EFF_TAX_RATE","FQ3 2016","FQ3 2016","Currency=INR","Period=FQ","BEST_FPERIOD_OVERRIDE=FQ","FILING_STATUS=OR","EQY_CONSOLIDATED=Y","FA_ADJUSTED=GAAP","Sort=A","Dates=H","DateFormat=P","Fill=—","Direction=H","UseDPDF=Y")</f>
        <v>#NAME?</v>
      </c>
      <c r="R16" t="e">
        <f ca="1">_xll.BDH($C$3,"DVD_PAYOUT_RATIO","FQ3 2016","FQ3 2016","Currency=INR","Period=FQ","BEST_FPERIOD_OVERRIDE=FQ","FILING_STATUS=OR","EQY_CONSOLIDATED=Y","FA_ADJUSTED=GAAP","Sort=A","Dates=H","DateFormat=P","Fill=—","Direction=H","UseDPDF=Y")</f>
        <v>#NAME?</v>
      </c>
      <c r="S16" t="e">
        <f ca="1">_xll.BDH($C$3,"SUSTAIN_GROWTH_RT","FQ3 2016","FQ3 2016","Currency=INR","Period=FQ","BEST_FPERIOD_OVERRIDE=FQ","FILING_STATUS=OR","EQY_CONSOLIDATED=Y","FA_ADJUSTED=GAAP","Sort=A","Dates=H","DateFormat=P","Fill=—","Direction=H","UseDPDF=Y")</f>
        <v>#NAME?</v>
      </c>
      <c r="T16" s="1" t="e">
        <f ca="1">_xll.BDH($C$3,"SALES_GROWTH","FQ3 2016","FQ3 2016","Currency=INR","Period=FQ","BEST_FPERIOD_OVERRIDE=FQ","FILING_STATUS=OR","EQY_CONSOLIDATED=Y","FA_ADJUSTED=GAAP","Sort=A","Dates=H","DateFormat=P","Fill=—","Direction=H","UseDPDF=Y")</f>
        <v>#NAME?</v>
      </c>
      <c r="U16" s="1" t="e">
        <f ca="1">_xll.BDH($C$3,"EBITDA_GROWTH","FQ3 2016","FQ3 2016","Currency=INR","Period=FQ","BEST_FPERIOD_OVERRIDE=FQ","FILING_STATUS=OR","EQY_CONSOLIDATED=Y","FA_ADJUSTED=GAAP","Sort=A","Dates=H","DateFormat=P","Fill=—","Direction=H","UseDPDF=Y")</f>
        <v>#NAME?</v>
      </c>
      <c r="V16" s="1" t="e">
        <f ca="1">_xll.BDH($C$3,"OPER_INC_GROWTH","FQ3 2016","FQ3 2016","Currency=INR","Period=FQ","BEST_FPERIOD_OVERRIDE=FQ","FILING_STATUS=OR","EQY_CONSOLIDATED=Y","FA_ADJUSTED=GAAP","Sort=A","Dates=H","DateFormat=P","Fill=—","Direction=H","UseDPDF=Y")</f>
        <v>#NAME?</v>
      </c>
      <c r="W16" s="1" t="e">
        <f ca="1">_xll.BDH($C$3,"EARN_FOR_COM_GROWTH","FQ3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6" s="1" t="e">
        <f ca="1">_xll.BDH($C$3,"DILUTED_EPS_AFT_XO_ITEMS_GROWTH","FQ3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6" s="1" t="e">
        <f ca="1">_xll.BDH($C$3,"DIVIDEND_PER_SHARE_1_YEAR_GROWTH","FQ3 2016","FQ3 2016","Currency=INR","Period=FQ","BEST_FPERIOD_OVERRIDE=FQ","FILING_STATUS=OR","EQY_CONSOLIDATED=Y","Sort=A","Dates=H","DateFormat=P","Fill=—","Direction=H","UseDPDF=Y")</f>
        <v>#NAME?</v>
      </c>
      <c r="Z16" s="1" t="e">
        <f ca="1">_xll.BDH($C$3,"ACCOUNTS_RECEIVABLE_GROWTH","FQ3 2016","FQ3 2016","Currency=INR","Period=FQ","BEST_FPERIOD_OVERRIDE=FQ","FILING_STATUS=OR","EQY_CONSOLIDATED=Y","Sort=A","Dates=H","DateFormat=P","Fill=—","Direction=H","UseDPDF=Y")</f>
        <v>#NAME?</v>
      </c>
      <c r="AA16" s="1" t="e">
        <f ca="1">_xll.BDH($C$3,"INVENTORY_GROWTH","FQ3 2016","FQ3 2016","Currency=INR","Period=FQ","BEST_FPERIOD_OVERRIDE=FQ","FILING_STATUS=OR","EQY_CONSOLIDATED=Y","Sort=A","Dates=H","DateFormat=P","Fill=—","Direction=H","UseDPDF=Y")</f>
        <v>#NAME?</v>
      </c>
      <c r="AB16" s="1" t="e">
        <f ca="1">_xll.BDH($C$3,"NET_FIXED_ASSETS_1_YEAR_GROWTH","FQ3 2016","FQ3 2016","Currency=INR","Period=FQ","BEST_FPERIOD_OVERRIDE=FQ","FILING_STATUS=OR","EQY_CONSOLIDATED=Y","Sort=A","Dates=H","DateFormat=P","Fill=—","Direction=H","UseDPDF=Y")</f>
        <v>#NAME?</v>
      </c>
      <c r="AC16" s="1" t="e">
        <f ca="1">_xll.BDH($C$3,"ASSET_GROWTH","FQ3 2016","FQ3 2016","Currency=INR","Period=FQ","BEST_FPERIOD_OVERRIDE=FQ","FILING_STATUS=OR","EQY_CONSOLIDATED=Y","Sort=A","Dates=H","DateFormat=P","Fill=—","Direction=H","UseDPDF=Y")</f>
        <v>#NAME?</v>
      </c>
      <c r="AD16" s="1" t="e">
        <f ca="1">_xll.BDH($C$3,"MODIFIED_WORK_CAP_GROWTH","FQ3 2016","FQ3 2016","Currency=INR","Period=FQ","BEST_FPERIOD_OVERRIDE=FQ","FILING_STATUS=OR","EQY_CONSOLIDATED=Y","Sort=A","Dates=H","DateFormat=P","Fill=—","Direction=H","UseDPDF=Y")</f>
        <v>#NAME?</v>
      </c>
      <c r="AE16" s="1" t="e">
        <f ca="1">_xll.BDH($C$3,"WORK_CAP_GROWTH","FQ3 2016","FQ3 2016","Currency=INR","Period=FQ","BEST_FPERIOD_OVERRIDE=FQ","FILING_STATUS=OR","EQY_CONSOLIDATED=Y","Sort=A","Dates=H","DateFormat=P","Fill=—","Direction=H","UseDPDF=Y")</f>
        <v>#NAME?</v>
      </c>
      <c r="AF16" s="1" t="e">
        <f ca="1">_xll.BDH($C$3,"ACCOUNTS_PAYABLE_GROWTH_1YR","FQ3 2016","FQ3 2016","Currency=INR","Period=FQ","BEST_FPERIOD_OVERRIDE=FQ","FILING_STATUS=OR","EQY_CONSOLIDATED=Y","Sort=A","Dates=H","DateFormat=P","Fill=—","Direction=H","UseDPDF=Y")</f>
        <v>#NAME?</v>
      </c>
      <c r="AG16" s="1" t="e">
        <f ca="1">_xll.BDH($C$3,"SHORT_TERM_DEBT_1_YEAR_GROWTH","FQ3 2016","FQ3 2016","Currency=INR","Period=FQ","BEST_FPERIOD_OVERRIDE=FQ","FILING_STATUS=OR","EQY_CONSOLIDATED=Y","Sort=A","Dates=H","DateFormat=P","Fill=—","Direction=H","UseDPDF=Y")</f>
        <v>#NAME?</v>
      </c>
      <c r="AH16" s="1" t="e">
        <f ca="1">_xll.BDH($C$3,"TOTAL_DEBT_1_YEAR_GROWTH","FQ3 2016","FQ3 2016","Currency=INR","Period=FQ","BEST_FPERIOD_OVERRIDE=FQ","FILING_STATUS=OR","EQY_CONSOLIDATED=Y","Sort=A","Dates=H","DateFormat=P","Fill=—","Direction=H","UseDPDF=Y")</f>
        <v>#NAME?</v>
      </c>
      <c r="AI16" s="1" t="e">
        <f ca="1">_xll.BDH($C$3,"TOTAL_EQUITY_1_YEAR_GROWTH","FQ3 2016","FQ3 2016","Currency=INR","Period=FQ","BEST_FPERIOD_OVERRIDE=FQ","FILING_STATUS=OR","EQY_CONSOLIDATED=Y","Sort=A","Dates=H","DateFormat=P","Fill=—","Direction=H","UseDPDF=Y")</f>
        <v>#NAME?</v>
      </c>
      <c r="AJ16" s="1" t="e">
        <f ca="1">_xll.BDH($C$3,"GROWTH_IN_CAP","FQ3 2016","FQ3 2016","Currency=INR","Period=FQ","BEST_FPERIOD_OVERRIDE=FQ","FILING_STATUS=OR","EQY_CONSOLIDATED=Y","Sort=A","Dates=H","DateFormat=P","Fill=—","Direction=H","UseDPDF=Y")</f>
        <v>#NAME?</v>
      </c>
      <c r="AK16" s="1" t="e">
        <f ca="1">_xll.BDH($C$3,"BVPS_GROWTH","FQ3 2016","FQ3 2016","Currency=INR","Period=FQ","BEST_FPERIOD_OVERRIDE=FQ","FILING_STATUS=OR","EQY_CONSOLIDATED=Y","Sort=A","Dates=H","DateFormat=P","Fill=—","Direction=H","UseDPDF=Y")</f>
        <v>#NAME?</v>
      </c>
      <c r="AL16" s="1" t="e">
        <f ca="1">_xll.BDH($C$3,"CASH_FLOW_GROWTH","FQ3 2016","FQ3 2016","Currency=INR","Period=FQ","BEST_FPERIOD_OVERRIDE=FQ","FILING_STATUS=OR","EQY_CONSOLIDATED=Y","Sort=A","Dates=H","DateFormat=P","Fill=—","Direction=H","UseDPDF=Y")</f>
        <v>#NAME?</v>
      </c>
      <c r="AM16" s="1" t="e">
        <f ca="1">_xll.BDH($C$3,"GEO_GROW_NET_SALES","FQ3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6" s="1" t="e">
        <f ca="1">_xll.BDH($C$3,"GEO_GROW_EBITDA","FQ3 2016","FQ3 2016","Currency=INR","Period=FQ","BEST_FPERIOD_OVERRIDE=FQ","FILING_STATUS=OR","EQY_CONSOLIDATED=Y","FA_ADJUSTED=GAAP","Sort=A","Dates=H","DateFormat=P","Fill=—","Direction=H","UseDPDF=Y")</f>
        <v>#NAME?</v>
      </c>
      <c r="AO16" s="1" t="e">
        <f ca="1">_xll.BDH($C$3,"GEO_GROW_OPER_INC","FQ3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6" s="1" t="e">
        <f ca="1">_xll.BDH($C$3,"NET_INCOME_TO_COMMON_5_YR_GROWTH","FQ3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6" s="1" t="e">
        <f ca="1">_xll.BDH($C$3,"5Y_GEO_GROWTH_DILUTED_EPS","FQ3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6" s="1" t="e">
        <f ca="1">_xll.BDH($C$3,"GEO_GROW_DVD_PER_SH","FQ3 2016","FQ3 2016","Currency=INR","Period=FQ","BEST_FPERIOD_OVERRIDE=FQ","FILING_STATUS=OR","EQY_CONSOLIDATED=Y","Sort=A","Dates=H","DateFormat=P","Fill=—","Direction=H","UseDPDF=Y")</f>
        <v>#NAME?</v>
      </c>
      <c r="AS16" s="1" t="e">
        <f ca="1">_xll.BDH($C$3,"ACCOUNTS_RECEIVABLE_5_YR_GROWTH","FQ3 2016","FQ3 2016","Currency=INR","Period=FQ","BEST_FPERIOD_OVERRIDE=FQ","FILING_STATUS=OR","EQY_CONSOLIDATED=Y","Sort=A","Dates=H","DateFormat=P","Fill=—","Direction=H","UseDPDF=Y")</f>
        <v>#NAME?</v>
      </c>
      <c r="AT16" s="1" t="e">
        <f ca="1">_xll.BDH($C$3,"INVENTORY_5_YEAR_GROWTH","FQ3 2016","FQ3 2016","Currency=INR","Period=FQ","BEST_FPERIOD_OVERRIDE=FQ","FILING_STATUS=OR","EQY_CONSOLIDATED=Y","Sort=A","Dates=H","DateFormat=P","Fill=—","Direction=H","UseDPDF=Y")</f>
        <v>#NAME?</v>
      </c>
      <c r="AU16" s="1" t="e">
        <f ca="1">_xll.BDH($C$3,"NET_FIXED_ASSETS_5_YEAR_GROWTH","FQ3 2016","FQ3 2016","Currency=INR","Period=FQ","BEST_FPERIOD_OVERRIDE=FQ","FILING_STATUS=OR","EQY_CONSOLIDATED=Y","Sort=A","Dates=H","DateFormat=P","Fill=—","Direction=H","UseDPDF=Y")</f>
        <v>#NAME?</v>
      </c>
      <c r="AV16" s="1" t="e">
        <f ca="1">_xll.BDH($C$3,"GEO_GROW_TOT_ASSET","FQ3 2016","FQ3 2016","Currency=INR","Period=FQ","BEST_FPERIOD_OVERRIDE=FQ","FILING_STATUS=OR","EQY_CONSOLIDATED=Y","Sort=A","Dates=H","DateFormat=P","Fill=—","Direction=H","UseDPDF=Y")</f>
        <v>#NAME?</v>
      </c>
      <c r="AW16" s="1" t="e">
        <f ca="1">_xll.BDH($C$3,"MODIFIED_WORKING_CPTL_5YR_GRWTH","FQ3 2016","FQ3 2016","Currency=INR","Period=FQ","BEST_FPERIOD_OVERRIDE=FQ","FILING_STATUS=OR","EQY_CONSOLIDATED=Y","Sort=A","Dates=H","DateFormat=P","Fill=—","Direction=H","UseDPDF=Y")</f>
        <v>#NAME?</v>
      </c>
      <c r="AX16" s="1" t="e">
        <f ca="1">_xll.BDH($C$3,"WORKING_CAPITAL_5_YEAR_GROWTH","FQ3 2016","FQ3 2016","Currency=INR","Period=FQ","BEST_FPERIOD_OVERRIDE=FQ","FILING_STATUS=OR","EQY_CONSOLIDATED=Y","Sort=A","Dates=H","DateFormat=P","Fill=—","Direction=H","UseDPDF=Y")</f>
        <v>#NAME?</v>
      </c>
      <c r="AY16" s="1" t="e">
        <f ca="1">_xll.BDH($C$3,"ACCOUNTS_PAYABLE_5_YEAR_GROWTH","FQ3 2016","FQ3 2016","Currency=INR","Period=FQ","BEST_FPERIOD_OVERRIDE=FQ","FILING_STATUS=OR","EQY_CONSOLIDATED=Y","Sort=A","Dates=H","DateFormat=P","Fill=—","Direction=H","UseDPDF=Y")</f>
        <v>#NAME?</v>
      </c>
      <c r="AZ16" s="1" t="e">
        <f ca="1">_xll.BDH($C$3,"SHORT_TERM_DEBT_5_YEAR_GROWTH","FQ3 2016","FQ3 2016","Currency=INR","Period=FQ","BEST_FPERIOD_OVERRIDE=FQ","FILING_STATUS=OR","EQY_CONSOLIDATED=Y","Sort=A","Dates=H","DateFormat=P","Fill=—","Direction=H","UseDPDF=Y")</f>
        <v>#NAME?</v>
      </c>
      <c r="BA16" s="1" t="e">
        <f ca="1">_xll.BDH($C$3,"TOTAL_DEBT_5_YEAR_GROWTH","FQ3 2016","FQ3 2016","Currency=INR","Period=FQ","BEST_FPERIOD_OVERRIDE=FQ","FILING_STATUS=OR","EQY_CONSOLIDATED=Y","Sort=A","Dates=H","DateFormat=P","Fill=—","Direction=H","UseDPDF=Y")</f>
        <v>#NAME?</v>
      </c>
      <c r="BB16" s="1" t="e">
        <f ca="1">_xll.BDH($C$3,"GEO_GROW_TOT_SHRHLDR_EQY","FQ3 2016","FQ3 2016","Currency=INR","Period=FQ","BEST_FPERIOD_OVERRIDE=FQ","FILING_STATUS=OR","EQY_CONSOLIDATED=Y","Sort=A","Dates=H","DateFormat=P","Fill=—","Direction=H","UseDPDF=Y")</f>
        <v>#NAME?</v>
      </c>
      <c r="BC16" s="1" t="e">
        <f ca="1">_xll.BDH($C$3,"TOTAL_CAPITAL_5_YEAR_GROWTH","FQ3 2016","FQ3 2016","Currency=INR","Period=FQ","BEST_FPERIOD_OVERRIDE=FQ","FILING_STATUS=OR","EQY_CONSOLIDATED=Y","Sort=A","Dates=H","DateFormat=P","Fill=—","Direction=H","UseDPDF=Y")</f>
        <v>#NAME?</v>
      </c>
      <c r="BD16" s="1" t="e">
        <f ca="1">_xll.BDH($C$3,"GEO_GROW_BOOK_VAL","FQ3 2016","FQ3 2016","Currency=INR","Period=FQ","BEST_FPERIOD_OVERRIDE=FQ","FILING_STATUS=OR","EQY_CONSOLIDATED=Y","Sort=A","Dates=H","DateFormat=P","Fill=—","Direction=H","UseDPDF=Y")</f>
        <v>#NAME?</v>
      </c>
      <c r="BE16" s="1" t="e">
        <f ca="1">_xll.BDH($C$3,"GEO_GROW_CASH_OPER_ACT","FQ3 2016","FQ3 2016","Currency=INR","Period=FQ","BEST_FPERIOD_OVERRIDE=FQ","FILING_STATUS=OR","EQY_CONSOLIDATED=Y","Sort=A","Dates=H","DateFormat=P","Fill=—","Direction=H","UseDPDF=Y")</f>
        <v>#NAME?</v>
      </c>
      <c r="BF16" s="1" t="e">
        <f ca="1">_xll.BDH($C$3,"REVENUE_SEQUENTIAL_GROWTH","FQ3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6" s="1" t="e">
        <f ca="1">_xll.BDH($C$3,"EBITDA_SEQUENTIAL_GROWTH","FQ3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6" s="1" t="e">
        <f ca="1">_xll.BDH($C$3,"OPERATING_INCOME_SEQ_GROWTH","FQ3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6" s="1" t="e">
        <f ca="1">_xll.BDH($C$3,"NET_INCOME_TO_COMMON_SEQ_GROWTH","FQ3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6" s="1" t="e">
        <f ca="1">_xll.BDH($C$3,"EPS_DILUTED_SEQUENTIAL_GROWTH","FQ3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6" s="1" t="e">
        <f ca="1">_xll.BDH($C$3,"DPS_SEQUENTIAL_GROWTH","FQ3 2016","FQ3 2016","Currency=INR","Period=FQ","BEST_FPERIOD_OVERRIDE=FQ","FILING_STATUS=OR","EQY_CONSOLIDATED=Y","Sort=A","Dates=H","DateFormat=P","Fill=—","Direction=H","UseDPDF=Y")</f>
        <v>#NAME?</v>
      </c>
      <c r="BL16" s="1" t="e">
        <f ca="1">_xll.BDH($C$3,"ACCOUNTS_RECEIVABLE_SEQ_GROWTH","FQ3 2016","FQ3 2016","Currency=INR","Period=FQ","BEST_FPERIOD_OVERRIDE=FQ","FILING_STATUS=OR","EQY_CONSOLIDATED=Y","Sort=A","Dates=H","DateFormat=P","Fill=—","Direction=H","UseDPDF=Y")</f>
        <v>#NAME?</v>
      </c>
      <c r="BM16" s="1" t="e">
        <f ca="1">_xll.BDH($C$3,"INVENTORY_SEQUENTIAL_GROWTH","FQ3 2016","FQ3 2016","Currency=INR","Period=FQ","BEST_FPERIOD_OVERRIDE=FQ","FILING_STATUS=OR","EQY_CONSOLIDATED=Y","Sort=A","Dates=H","DateFormat=P","Fill=—","Direction=H","UseDPDF=Y")</f>
        <v>#NAME?</v>
      </c>
      <c r="BN16" s="1" t="e">
        <f ca="1">_xll.BDH($C$3,"FIXED_ASSETS_SEQUENTIAL_GROWTH","FQ3 2016","FQ3 2016","Currency=INR","Period=FQ","BEST_FPERIOD_OVERRIDE=FQ","FILING_STATUS=OR","EQY_CONSOLIDATED=Y","Sort=A","Dates=H","DateFormat=P","Fill=—","Direction=H","UseDPDF=Y")</f>
        <v>#NAME?</v>
      </c>
      <c r="BO16" s="1" t="e">
        <f ca="1">_xll.BDH($C$3,"TOTAL_ASSETS_SEQUENTIAL_GROWTH","FQ3 2016","FQ3 2016","Currency=INR","Period=FQ","BEST_FPERIOD_OVERRIDE=FQ","FILING_STATUS=OR","EQY_CONSOLIDATED=Y","Sort=A","Dates=H","DateFormat=P","Fill=—","Direction=H","UseDPDF=Y")</f>
        <v>#NAME?</v>
      </c>
      <c r="BP16" s="1" t="e">
        <f ca="1">_xll.BDH($C$3,"MODIFIED_WORKING_CPTL_SEQ_GRWTH","FQ3 2016","FQ3 2016","Currency=INR","Period=FQ","BEST_FPERIOD_OVERRIDE=FQ","FILING_STATUS=OR","EQY_CONSOLIDATED=Y","Sort=A","Dates=H","DateFormat=P","Fill=—","Direction=H","UseDPDF=Y")</f>
        <v>#NAME?</v>
      </c>
      <c r="BQ16" s="1" t="e">
        <f ca="1">_xll.BDH($C$3,"WORKING_CAPITAL_SEQ_GROWTH","FQ3 2016","FQ3 2016","Currency=INR","Period=FQ","BEST_FPERIOD_OVERRIDE=FQ","FILING_STATUS=OR","EQY_CONSOLIDATED=Y","Sort=A","Dates=H","DateFormat=P","Fill=—","Direction=H","UseDPDF=Y")</f>
        <v>#NAME?</v>
      </c>
      <c r="BR16" s="1" t="e">
        <f ca="1">_xll.BDH($C$3,"ACCOUNTS_PAYABLE_SEQ_GROWTH","FQ3 2016","FQ3 2016","Currency=INR","Period=FQ","BEST_FPERIOD_OVERRIDE=FQ","FILING_STATUS=OR","EQY_CONSOLIDATED=Y","Sort=A","Dates=H","DateFormat=P","Fill=—","Direction=H","UseDPDF=Y")</f>
        <v>#NAME?</v>
      </c>
      <c r="BS16" s="1" t="e">
        <f ca="1">_xll.BDH($C$3,"ST_DEBT_SEQUENTIAL_GROWTH","FQ3 2016","FQ3 2016","Currency=INR","Period=FQ","BEST_FPERIOD_OVERRIDE=FQ","FILING_STATUS=OR","EQY_CONSOLIDATED=Y","Sort=A","Dates=H","DateFormat=P","Fill=—","Direction=H","UseDPDF=Y")</f>
        <v>#NAME?</v>
      </c>
      <c r="BT16" s="1" t="e">
        <f ca="1">_xll.BDH($C$3,"TOTAL_DEBT_SEQUENTIAL_GROWTH","FQ3 2016","FQ3 2016","Currency=INR","Period=FQ","BEST_FPERIOD_OVERRIDE=FQ","FILING_STATUS=OR","EQY_CONSOLIDATED=Y","Sort=A","Dates=H","DateFormat=P","Fill=—","Direction=H","UseDPDF=Y")</f>
        <v>#NAME?</v>
      </c>
      <c r="BU16" s="1" t="e">
        <f ca="1">_xll.BDH($C$3,"TOTAL_EQUITY_SEQUENTIAL_GROWTH","FQ3 2016","FQ3 2016","Currency=INR","Period=FQ","BEST_FPERIOD_OVERRIDE=FQ","FILING_STATUS=OR","EQY_CONSOLIDATED=Y","Sort=A","Dates=H","DateFormat=P","Fill=—","Direction=H","UseDPDF=Y")</f>
        <v>#NAME?</v>
      </c>
      <c r="BV16" s="1" t="e">
        <f ca="1">_xll.BDH($C$3,"TOTAL_CAPITAL_SEQUENTIAL_GROWTH","FQ3 2016","FQ3 2016","Currency=INR","Period=FQ","BEST_FPERIOD_OVERRIDE=FQ","FILING_STATUS=OR","EQY_CONSOLIDATED=Y","Sort=A","Dates=H","DateFormat=P","Fill=—","Direction=H","UseDPDF=Y")</f>
        <v>#NAME?</v>
      </c>
      <c r="BW16" s="1" t="e">
        <f ca="1">_xll.BDH($C$3,"BPS_SEQUENTIAL_GROWTH","FQ3 2016","FQ3 2016","Currency=INR","Period=FQ","BEST_FPERIOD_OVERRIDE=FQ","FILING_STATUS=OR","EQY_CONSOLIDATED=Y","Sort=A","Dates=H","DateFormat=P","Fill=—","Direction=H","UseDPDF=Y")</f>
        <v>#NAME?</v>
      </c>
      <c r="BX16" s="1" t="e">
        <f ca="1">_xll.BDH($C$3,"CFO_SEQUENTIAL_GROWTH","FQ3 2016","FQ3 2016","Currency=INR","Period=FQ","BEST_FPERIOD_OVERRIDE=FQ","FILING_STATUS=OR","EQY_CONSOLIDATED=Y","Sort=A","Dates=H","DateFormat=P","Fill=—","Direction=H","UseDPDF=Y")</f>
        <v>#NAME?</v>
      </c>
      <c r="BY16" s="2" t="e">
        <f ca="1">_xll.BDH($C$3,"SHORT_AND_LONG_TERM_DEBT","FQ3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6" s="2" t="e">
        <f ca="1">_xll.BDH($C$3,"BS_ST_BORROW","FQ3 2016","FQ3 2016","Currency=INR","Period=FQ","BEST_FPERIOD_OVERRIDE=FQ","FILING_STATUS=OR","EQY_CONSOLIDATED=Y","SCALING_FORMAT=MLN","Sort=A","Dates=H","DateFormat=P","Fill=—","Direction=H","UseDPDF=Y")</f>
        <v>#NAME?</v>
      </c>
      <c r="CA16" s="2" t="e">
        <f ca="1">_xll.BDH($C$3,"BS_LT_BORROW","FQ3 2016","FQ3 2016","Currency=INR","Period=FQ","BEST_FPERIOD_OVERRIDE=FQ","FILING_STATUS=OR","EQY_CONSOLIDATED=Y","SCALING_FORMAT=MLN","Sort=A","Dates=H","DateFormat=P","Fill=—","Direction=H","UseDPDF=Y")</f>
        <v>#NAME?</v>
      </c>
      <c r="CB16" s="1" t="e">
        <f ca="1">_xll.BDH($C$3,"TOT_DEBT_TO_EBITDA","FQ3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6" s="1" t="e">
        <f ca="1">_xll.BDH($C$3,"NET_DEBT_TO_EBITDA","FQ3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6" s="1" t="e">
        <f ca="1">_xll.BDH($C$3,"TOTAL_DEBT_TO_EBIT","FQ3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6" s="1" t="e">
        <f ca="1">_xll.BDH($C$3,"NET_DEBT_TO_EBIT","FQ3 2016","FQ3 2016","Currency=INR","Period=FQ","BEST_FPERIOD_OVERRIDE=FQ","FILING_STATUS=OR","EQY_CONSOLIDATED=Y","FA_ADJUSTED=GAAP","Sort=A","Dates=H","DateFormat=P","Fill=—","Direction=H","UseDPDF=Y")</f>
        <v>#NAME?</v>
      </c>
      <c r="CF16" s="1" t="e">
        <f ca="1">_xll.BDH($C$3,"EBITDA_TO_INTEREST_EXPN","FQ3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6" s="1" t="e">
        <f ca="1">_xll.BDH($C$3,"COM_EQY_TO_TOT_ASSET","FQ3 2016","FQ3 2016","Currency=INR","Period=FQ","BEST_FPERIOD_OVERRIDE=FQ","FILING_STATUS=OR","EQY_CONSOLIDATED=Y","Sort=A","Dates=H","DateFormat=P","Fill=—","Direction=H","UseDPDF=Y")</f>
        <v>#NAME?</v>
      </c>
      <c r="CH16" s="1" t="e">
        <f ca="1">_xll.BDH($C$3,"LT_DEBT_TO_TOT_EQY","FQ3 2016","FQ3 2016","Currency=INR","Period=FQ","BEST_FPERIOD_OVERRIDE=FQ","FILING_STATUS=OR","EQY_CONSOLIDATED=Y","Sort=A","Dates=H","DateFormat=P","Fill=—","Direction=H","UseDPDF=Y")</f>
        <v>#NAME?</v>
      </c>
      <c r="CI16" s="1" t="e">
        <f ca="1">_xll.BDH($C$3,"LT_DEBT_TO_TOT_CAP","FQ3 2016","FQ3 2016","Currency=INR","Period=FQ","BEST_FPERIOD_OVERRIDE=FQ","FILING_STATUS=OR","EQY_CONSOLIDATED=Y","Sort=A","Dates=H","DateFormat=P","Fill=—","Direction=H","UseDPDF=Y")</f>
        <v>#NAME?</v>
      </c>
      <c r="CJ16" s="1" t="e">
        <f ca="1">_xll.BDH($C$3,"LT_DEBT_TO_TOT_ASSET","FQ3 2016","FQ3 2016","Currency=INR","Period=FQ","BEST_FPERIOD_OVERRIDE=FQ","FILING_STATUS=OR","EQY_CONSOLIDATED=Y","Sort=A","Dates=H","DateFormat=P","Fill=—","Direction=H","UseDPDF=Y")</f>
        <v>#NAME?</v>
      </c>
      <c r="CK16" s="1" t="e">
        <f ca="1">_xll.BDH($C$3,"TOT_DEBT_TO_TOT_EQY","FQ3 2016","FQ3 2016","Currency=INR","Period=FQ","BEST_FPERIOD_OVERRIDE=FQ","FILING_STATUS=OR","EQY_CONSOLIDATED=Y","Sort=A","Dates=H","DateFormat=P","Fill=—","Direction=H","UseDPDF=Y")</f>
        <v>#NAME?</v>
      </c>
      <c r="CL16" s="1" t="e">
        <f ca="1">_xll.BDH($C$3,"TOT_DEBT_TO_TOT_CAP","FQ3 2016","FQ3 2016","Currency=INR","Period=FQ","BEST_FPERIOD_OVERRIDE=FQ","FILING_STATUS=OR","EQY_CONSOLIDATED=Y","Sort=A","Dates=H","DateFormat=P","Fill=—","Direction=H","UseDPDF=Y")</f>
        <v>#NAME?</v>
      </c>
      <c r="CM16" s="1" t="e">
        <f ca="1">_xll.BDH($C$3,"TOT_DEBT_TO_TOT_ASSET","FQ3 2016","FQ3 2016","Currency=INR","Period=FQ","BEST_FPERIOD_OVERRIDE=FQ","FILING_STATUS=OR","EQY_CONSOLIDATED=Y","Sort=A","Dates=H","DateFormat=P","Fill=—","Direction=H","UseDPDF=Y")</f>
        <v>#NAME?</v>
      </c>
      <c r="CN16" s="1" t="e">
        <f ca="1">_xll.BDH($C$3,"NET_DEBT_TO_SHRHLDR_EQTY","FQ3 2016","FQ3 2016","Currency=INR","Period=FQ","BEST_FPERIOD_OVERRIDE=FQ","FILING_STATUS=OR","EQY_CONSOLIDATED=Y","Sort=A","Dates=H","DateFormat=P","Fill=—","Direction=H","UseDPDF=Y")</f>
        <v>#NAME?</v>
      </c>
      <c r="CO16" s="1" t="e">
        <f ca="1">_xll.BDH($C$3,"NET_DEBT_%_CAPITAL","FQ3 2016","FQ3 2016","Currency=INR","Period=FQ","BEST_FPERIOD_OVERRIDE=FQ","FILING_STATUS=OR","EQY_CONSOLIDATED=Y","Sort=A","Dates=H","DateFormat=P","Fill=—","Direction=H","UseDPDF=Y")</f>
        <v>#NAME?</v>
      </c>
      <c r="CP16" s="2" t="e">
        <f ca="1">_xll.BDH($C$3,"EBITDA","FQ3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6" s="2" t="e">
        <f ca="1">_xll.BDH($C$3,"EBITDA_AFTER_CAPEX","FQ3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6" s="2" t="e">
        <f ca="1">_xll.BDH($C$3,"IS_OPER_INC","FQ3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6" s="1" t="e">
        <f ca="1">_xll.BDH($C$3,"CASH_RATIO","FQ3 2016","FQ3 2016","Currency=INR","Period=FQ","BEST_FPERIOD_OVERRIDE=FQ","FILING_STATUS=OR","EQY_CONSOLIDATED=Y","Sort=A","Dates=H","DateFormat=P","Fill=—","Direction=H","UseDPDF=Y")</f>
        <v>#NAME?</v>
      </c>
      <c r="CT16" s="1" t="e">
        <f ca="1">_xll.BDH($C$3,"CUR_RATIO","FQ3 2016","FQ3 2016","Currency=INR","Period=FQ","BEST_FPERIOD_OVERRIDE=FQ","FILING_STATUS=OR","EQY_CONSOLIDATED=Y","Sort=A","Dates=H","DateFormat=P","Fill=—","Direction=H","UseDPDF=Y")</f>
        <v>#NAME?</v>
      </c>
      <c r="CU16" s="1" t="e">
        <f ca="1">_xll.BDH($C$3,"QUICK_RATIO","FQ3 2016","FQ3 2016","Currency=INR","Period=FQ","BEST_FPERIOD_OVERRIDE=FQ","FILING_STATUS=OR","EQY_CONSOLIDATED=Y","Sort=A","Dates=H","DateFormat=P","Fill=—","Direction=H","UseDPDF=Y")</f>
        <v>#NAME?</v>
      </c>
      <c r="CV16" s="1" t="e">
        <f ca="1">_xll.BDH($C$3,"ALTMAN_Z_SCORE","FQ3 2016","FQ3 2016","Currency=INR","Period=FQ","BEST_FPERIOD_OVERRIDE=FQ","FILING_STATUS=OR","EQY_CONSOLIDATED=Y","Sort=A","Dates=H","DateFormat=P","Fill=—","Direction=H","UseDPDF=Y")</f>
        <v>#NAME?</v>
      </c>
      <c r="CW16" s="3" t="e">
        <f ca="1">_xll.BDH($C$3,"ACCT_RCV_TURN","FQ3 2016","FQ3 2016","Currency=INR","Period=FQ","BEST_FPERIOD_OVERRIDE=FQ","FILING_STATUS=OR","EQY_CONSOLIDATED=Y","FA_ADJUSTED=GAAP","Sort=A","Dates=H","DateFormat=P","Fill=—","Direction=H","UseDPDF=Y")</f>
        <v>#NAME?</v>
      </c>
      <c r="CX16" s="1" t="e">
        <f ca="1">_xll.BDH($C$3,"ACCT_RCV_DAYS","FQ3 2016","FQ3 2016","Currency=INR","Period=FQ","BEST_FPERIOD_OVERRIDE=FQ","FILING_STATUS=OR","EQY_CONSOLIDATED=Y","FA_ADJUSTED=GAAP","Sort=A","Dates=H","DateFormat=P","Fill=—","Direction=H","UseDPDF=Y")</f>
        <v>#NAME?</v>
      </c>
      <c r="CY16" s="3" t="e">
        <f ca="1">_xll.BDH($C$3,"INVENT_TURN","FQ3 2016","FQ3 2016","Currency=INR","Period=FQ","BEST_FPERIOD_OVERRIDE=FQ","FILING_STATUS=OR","EQY_CONSOLIDATED=Y","FA_ADJUSTED=GAAP","Sort=A","Dates=H","DateFormat=P","Fill=—","Direction=H","UseDPDF=Y")</f>
        <v>#NAME?</v>
      </c>
      <c r="CZ16" s="1" t="e">
        <f ca="1">_xll.BDH($C$3,"INVENT_DAYS","FQ3 2016","FQ3 2016","Currency=INR","Period=FQ","BEST_FPERIOD_OVERRIDE=FQ","FILING_STATUS=OR","EQY_CONSOLIDATED=Y","FA_ADJUSTED=GAAP","Sort=A","Dates=H","DateFormat=P","Fill=—","Direction=H","UseDPDF=Y")</f>
        <v>#NAME?</v>
      </c>
      <c r="DA16" s="3" t="e">
        <f ca="1">_xll.BDH($C$3,"ACCOUNTS_PAYABLE_TURNOVER","FQ3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6" s="1" t="e">
        <f ca="1">_xll.BDH($C$3,"ACCOUNTS_PAYABLE_TURNOVER_DAYS","FQ3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6" s="3" t="e">
        <f ca="1">_xll.BDH($C$3,"CASH_CONVERSION_CYCLE","FQ3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6" s="3" t="e">
        <f ca="1">_xll.BDH($C$3,"INV_TO_CASH_DAYS","FQ3 2016","FQ3 2016","Currency=INR","Period=FQ","BEST_FPERIOD_OVERRIDE=FQ","FILING_STATUS=OR","EQY_CONSOLIDATED=Y","FA_ADJUSTED=GAAP","Sort=A","Dates=H","DateFormat=P","Fill=—","Direction=H","UseDPDF=Y")</f>
        <v>#NAME?</v>
      </c>
      <c r="DE16" s="4" t="e">
        <f ca="1">_xll.BDH($C$3,"BS_INVENTORIES","FQ3 2016","FQ3 2016","Currency=INR","Period=FQ","BEST_FPERIOD_OVERRIDE=FQ","FILING_STATUS=OR","EQY_CONSOLIDATED=Y","SCALING_FORMAT=MLN","Sort=A","Dates=H","DateFormat=P","Fill=—","Direction=H","UseDPDF=Y")</f>
        <v>#NAME?</v>
      </c>
      <c r="DF16" s="2" t="e">
        <f ca="1">_xll.BDH($C$3,"INVTRY_RAW_MATERIALS","FQ3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6" s="2" t="e">
        <f ca="1">_xll.BDH($C$3,"INVTRY_IN_PROGRESS","FQ3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6" s="2" t="e">
        <f ca="1">_xll.BDH($C$3,"INVTRY_FINISHED_GOODS","FQ3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6" s="2" t="e">
        <f ca="1">_xll.BDH($C$3,"BS_OTHER_INV","FQ3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7" spans="1:113" x14ac:dyDescent="0.3">
      <c r="A17" s="6"/>
      <c r="B17" s="6"/>
      <c r="C17" s="6"/>
      <c r="D17" s="6"/>
      <c r="E17" t="s">
        <v>7</v>
      </c>
      <c r="F17" t="e">
        <f ca="1">_xll.BDH($C$3,"RETURN_COM_EQY","FQ4 2016","FQ4 2016","Currency=INR","Period=FQ","BEST_FPERIOD_OVERRIDE=FQ","FILING_STATUS=OR","EQY_CONSOLIDATED=Y","FA_ADJUSTED=GAAP","Sort=A","Dates=H","DateFormat=P","Fill=—","Direction=H","UseDPDF=Y")</f>
        <v>#NAME?</v>
      </c>
      <c r="G17" t="e">
        <f ca="1">_xll.BDH($C$3,"RETURN_ON_ASSET","FQ4 2016","FQ4 2016","Currency=INR","Period=FQ","BEST_FPERIOD_OVERRIDE=FQ","FILING_STATUS=OR","EQY_CONSOLIDATED=Y","FA_ADJUSTED=GAAP","Sort=A","Dates=H","DateFormat=P","Fill=—","Direction=H","UseDPDF=Y")</f>
        <v>#NAME?</v>
      </c>
      <c r="H17" t="e">
        <f ca="1">_xll.BDH($C$3,"RETURN_ON_CAP","FQ4 2016","FQ4 2016","Currency=INR","Period=FQ","BEST_FPERIOD_OVERRIDE=FQ","FILING_STATUS=OR","EQY_CONSOLIDATED=Y","FA_ADJUSTED=GAAP","Sort=A","Dates=H","DateFormat=P","Fill=—","Direction=H","UseDPDF=Y")</f>
        <v>#NAME?</v>
      </c>
      <c r="I17" t="e">
        <f ca="1">_xll.BDH($C$3,"RETURN_ON_INV_CAPITAL","FQ4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7" t="e">
        <f ca="1">_xll.BDH($C$3,"EBITDA_TO_REVENUE","FQ4 2016","FQ4 2016","Currency=INR","Period=FQ","BEST_FPERIOD_OVERRIDE=FQ","FILING_STATUS=OR","EQY_CONSOLIDATED=Y","FA_ADJUSTED=GAAP","Sort=A","Dates=H","DateFormat=P","Fill=—","Direction=H","UseDPDF=Y")</f>
        <v>#NAME?</v>
      </c>
      <c r="K17" t="e">
        <f ca="1">_xll.BDH($C$3,"OPER_MARGIN","FQ4 2016","FQ4 2016","Currency=INR","Period=FQ","BEST_FPERIOD_OVERRIDE=FQ","FILING_STATUS=OR","EQY_CONSOLIDATED=Y","FA_ADJUSTED=GAAP","Sort=A","Dates=H","DateFormat=P","Fill=—","Direction=H","UseDPDF=Y")</f>
        <v>#NAME?</v>
      </c>
      <c r="L17" t="e">
        <f ca="1">_xll.BDH($C$3,"INCREMENTAL_OPERATING_MARGIN","FQ4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7" t="e">
        <f ca="1">_xll.BDH($C$3,"PRETAX_INC_TO_NET_SALES","FQ4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7" t="e">
        <f ca="1">_xll.BDH($C$3,"INC_BEF_XO_ITEMS_TO_NET_SALES","FQ4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7" t="e">
        <f ca="1">_xll.BDH($C$3,"PROF_MARGIN","FQ4 2016","FQ4 2016","Currency=INR","Period=FQ","BEST_FPERIOD_OVERRIDE=FQ","FILING_STATUS=OR","EQY_CONSOLIDATED=Y","FA_ADJUSTED=GAAP","Sort=A","Dates=H","DateFormat=P","Fill=—","Direction=H","UseDPDF=Y")</f>
        <v>#NAME?</v>
      </c>
      <c r="P17" t="e">
        <f ca="1">_xll.BDH($C$3,"NET_INCOME_TO_COMMON_MARGIN","FQ4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7" t="e">
        <f ca="1">_xll.BDH($C$3,"EFF_TAX_RATE","FQ4 2016","FQ4 2016","Currency=INR","Period=FQ","BEST_FPERIOD_OVERRIDE=FQ","FILING_STATUS=OR","EQY_CONSOLIDATED=Y","FA_ADJUSTED=GAAP","Sort=A","Dates=H","DateFormat=P","Fill=—","Direction=H","UseDPDF=Y")</f>
        <v>#NAME?</v>
      </c>
      <c r="R17" t="e">
        <f ca="1">_xll.BDH($C$3,"DVD_PAYOUT_RATIO","FQ4 2016","FQ4 2016","Currency=INR","Period=FQ","BEST_FPERIOD_OVERRIDE=FQ","FILING_STATUS=OR","EQY_CONSOLIDATED=Y","FA_ADJUSTED=GAAP","Sort=A","Dates=H","DateFormat=P","Fill=—","Direction=H","UseDPDF=Y")</f>
        <v>#NAME?</v>
      </c>
      <c r="S17" t="e">
        <f ca="1">_xll.BDH($C$3,"SUSTAIN_GROWTH_RT","FQ4 2016","FQ4 2016","Currency=INR","Period=FQ","BEST_FPERIOD_OVERRIDE=FQ","FILING_STATUS=OR","EQY_CONSOLIDATED=Y","FA_ADJUSTED=GAAP","Sort=A","Dates=H","DateFormat=P","Fill=—","Direction=H","UseDPDF=Y")</f>
        <v>#NAME?</v>
      </c>
      <c r="T17" s="1" t="e">
        <f ca="1">_xll.BDH($C$3,"SALES_GROWTH","FQ4 2016","FQ4 2016","Currency=INR","Period=FQ","BEST_FPERIOD_OVERRIDE=FQ","FILING_STATUS=OR","EQY_CONSOLIDATED=Y","FA_ADJUSTED=GAAP","Sort=A","Dates=H","DateFormat=P","Fill=—","Direction=H","UseDPDF=Y")</f>
        <v>#NAME?</v>
      </c>
      <c r="U17" s="1" t="e">
        <f ca="1">_xll.BDH($C$3,"EBITDA_GROWTH","FQ4 2016","FQ4 2016","Currency=INR","Period=FQ","BEST_FPERIOD_OVERRIDE=FQ","FILING_STATUS=OR","EQY_CONSOLIDATED=Y","FA_ADJUSTED=GAAP","Sort=A","Dates=H","DateFormat=P","Fill=—","Direction=H","UseDPDF=Y")</f>
        <v>#NAME?</v>
      </c>
      <c r="V17" s="1" t="e">
        <f ca="1">_xll.BDH($C$3,"OPER_INC_GROWTH","FQ4 2016","FQ4 2016","Currency=INR","Period=FQ","BEST_FPERIOD_OVERRIDE=FQ","FILING_STATUS=OR","EQY_CONSOLIDATED=Y","FA_ADJUSTED=GAAP","Sort=A","Dates=H","DateFormat=P","Fill=—","Direction=H","UseDPDF=Y")</f>
        <v>#NAME?</v>
      </c>
      <c r="W17" s="1" t="e">
        <f ca="1">_xll.BDH($C$3,"EARN_FOR_COM_GROWTH","FQ4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7" s="1" t="e">
        <f ca="1">_xll.BDH($C$3,"DILUTED_EPS_AFT_XO_ITEMS_GROWTH","FQ4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7" s="1" t="e">
        <f ca="1">_xll.BDH($C$3,"DIVIDEND_PER_SHARE_1_YEAR_GROWTH","FQ4 2016","FQ4 2016","Currency=INR","Period=FQ","BEST_FPERIOD_OVERRIDE=FQ","FILING_STATUS=OR","EQY_CONSOLIDATED=Y","Sort=A","Dates=H","DateFormat=P","Fill=—","Direction=H","UseDPDF=Y")</f>
        <v>#NAME?</v>
      </c>
      <c r="Z17" s="1" t="e">
        <f ca="1">_xll.BDH($C$3,"ACCOUNTS_RECEIVABLE_GROWTH","FQ4 2016","FQ4 2016","Currency=INR","Period=FQ","BEST_FPERIOD_OVERRIDE=FQ","FILING_STATUS=OR","EQY_CONSOLIDATED=Y","Sort=A","Dates=H","DateFormat=P","Fill=—","Direction=H","UseDPDF=Y")</f>
        <v>#NAME?</v>
      </c>
      <c r="AA17" s="1" t="e">
        <f ca="1">_xll.BDH($C$3,"INVENTORY_GROWTH","FQ4 2016","FQ4 2016","Currency=INR","Period=FQ","BEST_FPERIOD_OVERRIDE=FQ","FILING_STATUS=OR","EQY_CONSOLIDATED=Y","Sort=A","Dates=H","DateFormat=P","Fill=—","Direction=H","UseDPDF=Y")</f>
        <v>#NAME?</v>
      </c>
      <c r="AB17" s="1" t="e">
        <f ca="1">_xll.BDH($C$3,"NET_FIXED_ASSETS_1_YEAR_GROWTH","FQ4 2016","FQ4 2016","Currency=INR","Period=FQ","BEST_FPERIOD_OVERRIDE=FQ","FILING_STATUS=OR","EQY_CONSOLIDATED=Y","Sort=A","Dates=H","DateFormat=P","Fill=—","Direction=H","UseDPDF=Y")</f>
        <v>#NAME?</v>
      </c>
      <c r="AC17" s="1" t="e">
        <f ca="1">_xll.BDH($C$3,"ASSET_GROWTH","FQ4 2016","FQ4 2016","Currency=INR","Period=FQ","BEST_FPERIOD_OVERRIDE=FQ","FILING_STATUS=OR","EQY_CONSOLIDATED=Y","Sort=A","Dates=H","DateFormat=P","Fill=—","Direction=H","UseDPDF=Y")</f>
        <v>#NAME?</v>
      </c>
      <c r="AD17" s="1" t="e">
        <f ca="1">_xll.BDH($C$3,"MODIFIED_WORK_CAP_GROWTH","FQ4 2016","FQ4 2016","Currency=INR","Period=FQ","BEST_FPERIOD_OVERRIDE=FQ","FILING_STATUS=OR","EQY_CONSOLIDATED=Y","Sort=A","Dates=H","DateFormat=P","Fill=—","Direction=H","UseDPDF=Y")</f>
        <v>#NAME?</v>
      </c>
      <c r="AE17" s="1" t="e">
        <f ca="1">_xll.BDH($C$3,"WORK_CAP_GROWTH","FQ4 2016","FQ4 2016","Currency=INR","Period=FQ","BEST_FPERIOD_OVERRIDE=FQ","FILING_STATUS=OR","EQY_CONSOLIDATED=Y","Sort=A","Dates=H","DateFormat=P","Fill=—","Direction=H","UseDPDF=Y")</f>
        <v>#NAME?</v>
      </c>
      <c r="AF17" s="1" t="e">
        <f ca="1">_xll.BDH($C$3,"ACCOUNTS_PAYABLE_GROWTH_1YR","FQ4 2016","FQ4 2016","Currency=INR","Period=FQ","BEST_FPERIOD_OVERRIDE=FQ","FILING_STATUS=OR","EQY_CONSOLIDATED=Y","Sort=A","Dates=H","DateFormat=P","Fill=—","Direction=H","UseDPDF=Y")</f>
        <v>#NAME?</v>
      </c>
      <c r="AG17" s="1" t="e">
        <f ca="1">_xll.BDH($C$3,"SHORT_TERM_DEBT_1_YEAR_GROWTH","FQ4 2016","FQ4 2016","Currency=INR","Period=FQ","BEST_FPERIOD_OVERRIDE=FQ","FILING_STATUS=OR","EQY_CONSOLIDATED=Y","Sort=A","Dates=H","DateFormat=P","Fill=—","Direction=H","UseDPDF=Y")</f>
        <v>#NAME?</v>
      </c>
      <c r="AH17" s="1" t="e">
        <f ca="1">_xll.BDH($C$3,"TOTAL_DEBT_1_YEAR_GROWTH","FQ4 2016","FQ4 2016","Currency=INR","Period=FQ","BEST_FPERIOD_OVERRIDE=FQ","FILING_STATUS=OR","EQY_CONSOLIDATED=Y","Sort=A","Dates=H","DateFormat=P","Fill=—","Direction=H","UseDPDF=Y")</f>
        <v>#NAME?</v>
      </c>
      <c r="AI17" s="1" t="e">
        <f ca="1">_xll.BDH($C$3,"TOTAL_EQUITY_1_YEAR_GROWTH","FQ4 2016","FQ4 2016","Currency=INR","Period=FQ","BEST_FPERIOD_OVERRIDE=FQ","FILING_STATUS=OR","EQY_CONSOLIDATED=Y","Sort=A","Dates=H","DateFormat=P","Fill=—","Direction=H","UseDPDF=Y")</f>
        <v>#NAME?</v>
      </c>
      <c r="AJ17" s="1" t="e">
        <f ca="1">_xll.BDH($C$3,"GROWTH_IN_CAP","FQ4 2016","FQ4 2016","Currency=INR","Period=FQ","BEST_FPERIOD_OVERRIDE=FQ","FILING_STATUS=OR","EQY_CONSOLIDATED=Y","Sort=A","Dates=H","DateFormat=P","Fill=—","Direction=H","UseDPDF=Y")</f>
        <v>#NAME?</v>
      </c>
      <c r="AK17" s="1" t="e">
        <f ca="1">_xll.BDH($C$3,"BVPS_GROWTH","FQ4 2016","FQ4 2016","Currency=INR","Period=FQ","BEST_FPERIOD_OVERRIDE=FQ","FILING_STATUS=OR","EQY_CONSOLIDATED=Y","Sort=A","Dates=H","DateFormat=P","Fill=—","Direction=H","UseDPDF=Y")</f>
        <v>#NAME?</v>
      </c>
      <c r="AL17" s="1" t="e">
        <f ca="1">_xll.BDH($C$3,"CASH_FLOW_GROWTH","FQ4 2016","FQ4 2016","Currency=INR","Period=FQ","BEST_FPERIOD_OVERRIDE=FQ","FILING_STATUS=OR","EQY_CONSOLIDATED=Y","Sort=A","Dates=H","DateFormat=P","Fill=—","Direction=H","UseDPDF=Y")</f>
        <v>#NAME?</v>
      </c>
      <c r="AM17" s="1" t="e">
        <f ca="1">_xll.BDH($C$3,"GEO_GROW_NET_SALES","FQ4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7" s="1" t="e">
        <f ca="1">_xll.BDH($C$3,"GEO_GROW_EBITDA","FQ4 2016","FQ4 2016","Currency=INR","Period=FQ","BEST_FPERIOD_OVERRIDE=FQ","FILING_STATUS=OR","EQY_CONSOLIDATED=Y","FA_ADJUSTED=GAAP","Sort=A","Dates=H","DateFormat=P","Fill=—","Direction=H","UseDPDF=Y")</f>
        <v>#NAME?</v>
      </c>
      <c r="AO17" s="1" t="e">
        <f ca="1">_xll.BDH($C$3,"GEO_GROW_OPER_INC","FQ4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7" s="1" t="e">
        <f ca="1">_xll.BDH($C$3,"NET_INCOME_TO_COMMON_5_YR_GROWTH","FQ4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7" s="1" t="e">
        <f ca="1">_xll.BDH($C$3,"5Y_GEO_GROWTH_DILUTED_EPS","FQ4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7" s="1" t="e">
        <f ca="1">_xll.BDH($C$3,"GEO_GROW_DVD_PER_SH","FQ4 2016","FQ4 2016","Currency=INR","Period=FQ","BEST_FPERIOD_OVERRIDE=FQ","FILING_STATUS=OR","EQY_CONSOLIDATED=Y","Sort=A","Dates=H","DateFormat=P","Fill=—","Direction=H","UseDPDF=Y")</f>
        <v>#NAME?</v>
      </c>
      <c r="AS17" s="1" t="e">
        <f ca="1">_xll.BDH($C$3,"ACCOUNTS_RECEIVABLE_5_YR_GROWTH","FQ4 2016","FQ4 2016","Currency=INR","Period=FQ","BEST_FPERIOD_OVERRIDE=FQ","FILING_STATUS=OR","EQY_CONSOLIDATED=Y","Sort=A","Dates=H","DateFormat=P","Fill=—","Direction=H","UseDPDF=Y")</f>
        <v>#NAME?</v>
      </c>
      <c r="AT17" s="1" t="e">
        <f ca="1">_xll.BDH($C$3,"INVENTORY_5_YEAR_GROWTH","FQ4 2016","FQ4 2016","Currency=INR","Period=FQ","BEST_FPERIOD_OVERRIDE=FQ","FILING_STATUS=OR","EQY_CONSOLIDATED=Y","Sort=A","Dates=H","DateFormat=P","Fill=—","Direction=H","UseDPDF=Y")</f>
        <v>#NAME?</v>
      </c>
      <c r="AU17" s="1" t="e">
        <f ca="1">_xll.BDH($C$3,"NET_FIXED_ASSETS_5_YEAR_GROWTH","FQ4 2016","FQ4 2016","Currency=INR","Period=FQ","BEST_FPERIOD_OVERRIDE=FQ","FILING_STATUS=OR","EQY_CONSOLIDATED=Y","Sort=A","Dates=H","DateFormat=P","Fill=—","Direction=H","UseDPDF=Y")</f>
        <v>#NAME?</v>
      </c>
      <c r="AV17" s="1" t="e">
        <f ca="1">_xll.BDH($C$3,"GEO_GROW_TOT_ASSET","FQ4 2016","FQ4 2016","Currency=INR","Period=FQ","BEST_FPERIOD_OVERRIDE=FQ","FILING_STATUS=OR","EQY_CONSOLIDATED=Y","Sort=A","Dates=H","DateFormat=P","Fill=—","Direction=H","UseDPDF=Y")</f>
        <v>#NAME?</v>
      </c>
      <c r="AW17" s="1" t="e">
        <f ca="1">_xll.BDH($C$3,"MODIFIED_WORKING_CPTL_5YR_GRWTH","FQ4 2016","FQ4 2016","Currency=INR","Period=FQ","BEST_FPERIOD_OVERRIDE=FQ","FILING_STATUS=OR","EQY_CONSOLIDATED=Y","Sort=A","Dates=H","DateFormat=P","Fill=—","Direction=H","UseDPDF=Y")</f>
        <v>#NAME?</v>
      </c>
      <c r="AX17" s="1" t="e">
        <f ca="1">_xll.BDH($C$3,"WORKING_CAPITAL_5_YEAR_GROWTH","FQ4 2016","FQ4 2016","Currency=INR","Period=FQ","BEST_FPERIOD_OVERRIDE=FQ","FILING_STATUS=OR","EQY_CONSOLIDATED=Y","Sort=A","Dates=H","DateFormat=P","Fill=—","Direction=H","UseDPDF=Y")</f>
        <v>#NAME?</v>
      </c>
      <c r="AY17" s="1" t="e">
        <f ca="1">_xll.BDH($C$3,"ACCOUNTS_PAYABLE_5_YEAR_GROWTH","FQ4 2016","FQ4 2016","Currency=INR","Period=FQ","BEST_FPERIOD_OVERRIDE=FQ","FILING_STATUS=OR","EQY_CONSOLIDATED=Y","Sort=A","Dates=H","DateFormat=P","Fill=—","Direction=H","UseDPDF=Y")</f>
        <v>#NAME?</v>
      </c>
      <c r="AZ17" s="1" t="e">
        <f ca="1">_xll.BDH($C$3,"SHORT_TERM_DEBT_5_YEAR_GROWTH","FQ4 2016","FQ4 2016","Currency=INR","Period=FQ","BEST_FPERIOD_OVERRIDE=FQ","FILING_STATUS=OR","EQY_CONSOLIDATED=Y","Sort=A","Dates=H","DateFormat=P","Fill=—","Direction=H","UseDPDF=Y")</f>
        <v>#NAME?</v>
      </c>
      <c r="BA17" s="1" t="e">
        <f ca="1">_xll.BDH($C$3,"TOTAL_DEBT_5_YEAR_GROWTH","FQ4 2016","FQ4 2016","Currency=INR","Period=FQ","BEST_FPERIOD_OVERRIDE=FQ","FILING_STATUS=OR","EQY_CONSOLIDATED=Y","Sort=A","Dates=H","DateFormat=P","Fill=—","Direction=H","UseDPDF=Y")</f>
        <v>#NAME?</v>
      </c>
      <c r="BB17" s="1" t="e">
        <f ca="1">_xll.BDH($C$3,"GEO_GROW_TOT_SHRHLDR_EQY","FQ4 2016","FQ4 2016","Currency=INR","Period=FQ","BEST_FPERIOD_OVERRIDE=FQ","FILING_STATUS=OR","EQY_CONSOLIDATED=Y","Sort=A","Dates=H","DateFormat=P","Fill=—","Direction=H","UseDPDF=Y")</f>
        <v>#NAME?</v>
      </c>
      <c r="BC17" s="1" t="e">
        <f ca="1">_xll.BDH($C$3,"TOTAL_CAPITAL_5_YEAR_GROWTH","FQ4 2016","FQ4 2016","Currency=INR","Period=FQ","BEST_FPERIOD_OVERRIDE=FQ","FILING_STATUS=OR","EQY_CONSOLIDATED=Y","Sort=A","Dates=H","DateFormat=P","Fill=—","Direction=H","UseDPDF=Y")</f>
        <v>#NAME?</v>
      </c>
      <c r="BD17" s="1" t="e">
        <f ca="1">_xll.BDH($C$3,"GEO_GROW_BOOK_VAL","FQ4 2016","FQ4 2016","Currency=INR","Period=FQ","BEST_FPERIOD_OVERRIDE=FQ","FILING_STATUS=OR","EQY_CONSOLIDATED=Y","Sort=A","Dates=H","DateFormat=P","Fill=—","Direction=H","UseDPDF=Y")</f>
        <v>#NAME?</v>
      </c>
      <c r="BE17" s="1" t="e">
        <f ca="1">_xll.BDH($C$3,"GEO_GROW_CASH_OPER_ACT","FQ4 2016","FQ4 2016","Currency=INR","Period=FQ","BEST_FPERIOD_OVERRIDE=FQ","FILING_STATUS=OR","EQY_CONSOLIDATED=Y","Sort=A","Dates=H","DateFormat=P","Fill=—","Direction=H","UseDPDF=Y")</f>
        <v>#NAME?</v>
      </c>
      <c r="BF17" s="1" t="e">
        <f ca="1">_xll.BDH($C$3,"REVENUE_SEQUENTIAL_GROWTH","FQ4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7" s="1" t="e">
        <f ca="1">_xll.BDH($C$3,"EBITDA_SEQUENTIAL_GROWTH","FQ4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7" s="1" t="e">
        <f ca="1">_xll.BDH($C$3,"OPERATING_INCOME_SEQ_GROWTH","FQ4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7" s="1" t="e">
        <f ca="1">_xll.BDH($C$3,"NET_INCOME_TO_COMMON_SEQ_GROWTH","FQ4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7" s="1" t="e">
        <f ca="1">_xll.BDH($C$3,"EPS_DILUTED_SEQUENTIAL_GROWTH","FQ4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7" s="1" t="e">
        <f ca="1">_xll.BDH($C$3,"DPS_SEQUENTIAL_GROWTH","FQ4 2016","FQ4 2016","Currency=INR","Period=FQ","BEST_FPERIOD_OVERRIDE=FQ","FILING_STATUS=OR","EQY_CONSOLIDATED=Y","Sort=A","Dates=H","DateFormat=P","Fill=—","Direction=H","UseDPDF=Y")</f>
        <v>#NAME?</v>
      </c>
      <c r="BL17" s="1" t="e">
        <f ca="1">_xll.BDH($C$3,"ACCOUNTS_RECEIVABLE_SEQ_GROWTH","FQ4 2016","FQ4 2016","Currency=INR","Period=FQ","BEST_FPERIOD_OVERRIDE=FQ","FILING_STATUS=OR","EQY_CONSOLIDATED=Y","Sort=A","Dates=H","DateFormat=P","Fill=—","Direction=H","UseDPDF=Y")</f>
        <v>#NAME?</v>
      </c>
      <c r="BM17" s="1" t="e">
        <f ca="1">_xll.BDH($C$3,"INVENTORY_SEQUENTIAL_GROWTH","FQ4 2016","FQ4 2016","Currency=INR","Period=FQ","BEST_FPERIOD_OVERRIDE=FQ","FILING_STATUS=OR","EQY_CONSOLIDATED=Y","Sort=A","Dates=H","DateFormat=P","Fill=—","Direction=H","UseDPDF=Y")</f>
        <v>#NAME?</v>
      </c>
      <c r="BN17" s="1" t="e">
        <f ca="1">_xll.BDH($C$3,"FIXED_ASSETS_SEQUENTIAL_GROWTH","FQ4 2016","FQ4 2016","Currency=INR","Period=FQ","BEST_FPERIOD_OVERRIDE=FQ","FILING_STATUS=OR","EQY_CONSOLIDATED=Y","Sort=A","Dates=H","DateFormat=P","Fill=—","Direction=H","UseDPDF=Y")</f>
        <v>#NAME?</v>
      </c>
      <c r="BO17" s="1" t="e">
        <f ca="1">_xll.BDH($C$3,"TOTAL_ASSETS_SEQUENTIAL_GROWTH","FQ4 2016","FQ4 2016","Currency=INR","Period=FQ","BEST_FPERIOD_OVERRIDE=FQ","FILING_STATUS=OR","EQY_CONSOLIDATED=Y","Sort=A","Dates=H","DateFormat=P","Fill=—","Direction=H","UseDPDF=Y")</f>
        <v>#NAME?</v>
      </c>
      <c r="BP17" s="1" t="e">
        <f ca="1">_xll.BDH($C$3,"MODIFIED_WORKING_CPTL_SEQ_GRWTH","FQ4 2016","FQ4 2016","Currency=INR","Period=FQ","BEST_FPERIOD_OVERRIDE=FQ","FILING_STATUS=OR","EQY_CONSOLIDATED=Y","Sort=A","Dates=H","DateFormat=P","Fill=—","Direction=H","UseDPDF=Y")</f>
        <v>#NAME?</v>
      </c>
      <c r="BQ17" s="1" t="e">
        <f ca="1">_xll.BDH($C$3,"WORKING_CAPITAL_SEQ_GROWTH","FQ4 2016","FQ4 2016","Currency=INR","Period=FQ","BEST_FPERIOD_OVERRIDE=FQ","FILING_STATUS=OR","EQY_CONSOLIDATED=Y","Sort=A","Dates=H","DateFormat=P","Fill=—","Direction=H","UseDPDF=Y")</f>
        <v>#NAME?</v>
      </c>
      <c r="BR17" s="1" t="e">
        <f ca="1">_xll.BDH($C$3,"ACCOUNTS_PAYABLE_SEQ_GROWTH","FQ4 2016","FQ4 2016","Currency=INR","Period=FQ","BEST_FPERIOD_OVERRIDE=FQ","FILING_STATUS=OR","EQY_CONSOLIDATED=Y","Sort=A","Dates=H","DateFormat=P","Fill=—","Direction=H","UseDPDF=Y")</f>
        <v>#NAME?</v>
      </c>
      <c r="BS17" s="1" t="e">
        <f ca="1">_xll.BDH($C$3,"ST_DEBT_SEQUENTIAL_GROWTH","FQ4 2016","FQ4 2016","Currency=INR","Period=FQ","BEST_FPERIOD_OVERRIDE=FQ","FILING_STATUS=OR","EQY_CONSOLIDATED=Y","Sort=A","Dates=H","DateFormat=P","Fill=—","Direction=H","UseDPDF=Y")</f>
        <v>#NAME?</v>
      </c>
      <c r="BT17" s="1" t="e">
        <f ca="1">_xll.BDH($C$3,"TOTAL_DEBT_SEQUENTIAL_GROWTH","FQ4 2016","FQ4 2016","Currency=INR","Period=FQ","BEST_FPERIOD_OVERRIDE=FQ","FILING_STATUS=OR","EQY_CONSOLIDATED=Y","Sort=A","Dates=H","DateFormat=P","Fill=—","Direction=H","UseDPDF=Y")</f>
        <v>#NAME?</v>
      </c>
      <c r="BU17" s="1" t="e">
        <f ca="1">_xll.BDH($C$3,"TOTAL_EQUITY_SEQUENTIAL_GROWTH","FQ4 2016","FQ4 2016","Currency=INR","Period=FQ","BEST_FPERIOD_OVERRIDE=FQ","FILING_STATUS=OR","EQY_CONSOLIDATED=Y","Sort=A","Dates=H","DateFormat=P","Fill=—","Direction=H","UseDPDF=Y")</f>
        <v>#NAME?</v>
      </c>
      <c r="BV17" s="1" t="e">
        <f ca="1">_xll.BDH($C$3,"TOTAL_CAPITAL_SEQUENTIAL_GROWTH","FQ4 2016","FQ4 2016","Currency=INR","Period=FQ","BEST_FPERIOD_OVERRIDE=FQ","FILING_STATUS=OR","EQY_CONSOLIDATED=Y","Sort=A","Dates=H","DateFormat=P","Fill=—","Direction=H","UseDPDF=Y")</f>
        <v>#NAME?</v>
      </c>
      <c r="BW17" s="1" t="e">
        <f ca="1">_xll.BDH($C$3,"BPS_SEQUENTIAL_GROWTH","FQ4 2016","FQ4 2016","Currency=INR","Period=FQ","BEST_FPERIOD_OVERRIDE=FQ","FILING_STATUS=OR","EQY_CONSOLIDATED=Y","Sort=A","Dates=H","DateFormat=P","Fill=—","Direction=H","UseDPDF=Y")</f>
        <v>#NAME?</v>
      </c>
      <c r="BX17" s="1" t="e">
        <f ca="1">_xll.BDH($C$3,"CFO_SEQUENTIAL_GROWTH","FQ4 2016","FQ4 2016","Currency=INR","Period=FQ","BEST_FPERIOD_OVERRIDE=FQ","FILING_STATUS=OR","EQY_CONSOLIDATED=Y","Sort=A","Dates=H","DateFormat=P","Fill=—","Direction=H","UseDPDF=Y")</f>
        <v>#NAME?</v>
      </c>
      <c r="BY17" s="2" t="e">
        <f ca="1">_xll.BDH($C$3,"SHORT_AND_LONG_TERM_DEBT","FQ4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7" s="2" t="e">
        <f ca="1">_xll.BDH($C$3,"BS_ST_BORROW","FQ4 2016","FQ4 2016","Currency=INR","Period=FQ","BEST_FPERIOD_OVERRIDE=FQ","FILING_STATUS=OR","EQY_CONSOLIDATED=Y","SCALING_FORMAT=MLN","Sort=A","Dates=H","DateFormat=P","Fill=—","Direction=H","UseDPDF=Y")</f>
        <v>#NAME?</v>
      </c>
      <c r="CA17" s="2" t="e">
        <f ca="1">_xll.BDH($C$3,"BS_LT_BORROW","FQ4 2016","FQ4 2016","Currency=INR","Period=FQ","BEST_FPERIOD_OVERRIDE=FQ","FILING_STATUS=OR","EQY_CONSOLIDATED=Y","SCALING_FORMAT=MLN","Sort=A","Dates=H","DateFormat=P","Fill=—","Direction=H","UseDPDF=Y")</f>
        <v>#NAME?</v>
      </c>
      <c r="CB17" s="1" t="e">
        <f ca="1">_xll.BDH($C$3,"TOT_DEBT_TO_EBITDA","FQ4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7" s="1" t="e">
        <f ca="1">_xll.BDH($C$3,"NET_DEBT_TO_EBITDA","FQ4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7" s="1" t="e">
        <f ca="1">_xll.BDH($C$3,"TOTAL_DEBT_TO_EBIT","FQ4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7" s="1" t="e">
        <f ca="1">_xll.BDH($C$3,"NET_DEBT_TO_EBIT","FQ4 2016","FQ4 2016","Currency=INR","Period=FQ","BEST_FPERIOD_OVERRIDE=FQ","FILING_STATUS=OR","EQY_CONSOLIDATED=Y","FA_ADJUSTED=GAAP","Sort=A","Dates=H","DateFormat=P","Fill=—","Direction=H","UseDPDF=Y")</f>
        <v>#NAME?</v>
      </c>
      <c r="CF17" s="1" t="e">
        <f ca="1">_xll.BDH($C$3,"EBITDA_TO_INTEREST_EXPN","FQ4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7" s="1" t="e">
        <f ca="1">_xll.BDH($C$3,"COM_EQY_TO_TOT_ASSET","FQ4 2016","FQ4 2016","Currency=INR","Period=FQ","BEST_FPERIOD_OVERRIDE=FQ","FILING_STATUS=OR","EQY_CONSOLIDATED=Y","Sort=A","Dates=H","DateFormat=P","Fill=—","Direction=H","UseDPDF=Y")</f>
        <v>#NAME?</v>
      </c>
      <c r="CH17" s="1" t="e">
        <f ca="1">_xll.BDH($C$3,"LT_DEBT_TO_TOT_EQY","FQ4 2016","FQ4 2016","Currency=INR","Period=FQ","BEST_FPERIOD_OVERRIDE=FQ","FILING_STATUS=OR","EQY_CONSOLIDATED=Y","Sort=A","Dates=H","DateFormat=P","Fill=—","Direction=H","UseDPDF=Y")</f>
        <v>#NAME?</v>
      </c>
      <c r="CI17" s="1" t="e">
        <f ca="1">_xll.BDH($C$3,"LT_DEBT_TO_TOT_CAP","FQ4 2016","FQ4 2016","Currency=INR","Period=FQ","BEST_FPERIOD_OVERRIDE=FQ","FILING_STATUS=OR","EQY_CONSOLIDATED=Y","Sort=A","Dates=H","DateFormat=P","Fill=—","Direction=H","UseDPDF=Y")</f>
        <v>#NAME?</v>
      </c>
      <c r="CJ17" s="1" t="e">
        <f ca="1">_xll.BDH($C$3,"LT_DEBT_TO_TOT_ASSET","FQ4 2016","FQ4 2016","Currency=INR","Period=FQ","BEST_FPERIOD_OVERRIDE=FQ","FILING_STATUS=OR","EQY_CONSOLIDATED=Y","Sort=A","Dates=H","DateFormat=P","Fill=—","Direction=H","UseDPDF=Y")</f>
        <v>#NAME?</v>
      </c>
      <c r="CK17" s="1" t="e">
        <f ca="1">_xll.BDH($C$3,"TOT_DEBT_TO_TOT_EQY","FQ4 2016","FQ4 2016","Currency=INR","Period=FQ","BEST_FPERIOD_OVERRIDE=FQ","FILING_STATUS=OR","EQY_CONSOLIDATED=Y","Sort=A","Dates=H","DateFormat=P","Fill=—","Direction=H","UseDPDF=Y")</f>
        <v>#NAME?</v>
      </c>
      <c r="CL17" s="1" t="e">
        <f ca="1">_xll.BDH($C$3,"TOT_DEBT_TO_TOT_CAP","FQ4 2016","FQ4 2016","Currency=INR","Period=FQ","BEST_FPERIOD_OVERRIDE=FQ","FILING_STATUS=OR","EQY_CONSOLIDATED=Y","Sort=A","Dates=H","DateFormat=P","Fill=—","Direction=H","UseDPDF=Y")</f>
        <v>#NAME?</v>
      </c>
      <c r="CM17" s="1" t="e">
        <f ca="1">_xll.BDH($C$3,"TOT_DEBT_TO_TOT_ASSET","FQ4 2016","FQ4 2016","Currency=INR","Period=FQ","BEST_FPERIOD_OVERRIDE=FQ","FILING_STATUS=OR","EQY_CONSOLIDATED=Y","Sort=A","Dates=H","DateFormat=P","Fill=—","Direction=H","UseDPDF=Y")</f>
        <v>#NAME?</v>
      </c>
      <c r="CN17" s="1" t="e">
        <f ca="1">_xll.BDH($C$3,"NET_DEBT_TO_SHRHLDR_EQTY","FQ4 2016","FQ4 2016","Currency=INR","Period=FQ","BEST_FPERIOD_OVERRIDE=FQ","FILING_STATUS=OR","EQY_CONSOLIDATED=Y","Sort=A","Dates=H","DateFormat=P","Fill=—","Direction=H","UseDPDF=Y")</f>
        <v>#NAME?</v>
      </c>
      <c r="CO17" s="1" t="e">
        <f ca="1">_xll.BDH($C$3,"NET_DEBT_%_CAPITAL","FQ4 2016","FQ4 2016","Currency=INR","Period=FQ","BEST_FPERIOD_OVERRIDE=FQ","FILING_STATUS=OR","EQY_CONSOLIDATED=Y","Sort=A","Dates=H","DateFormat=P","Fill=—","Direction=H","UseDPDF=Y")</f>
        <v>#NAME?</v>
      </c>
      <c r="CP17" s="2" t="e">
        <f ca="1">_xll.BDH($C$3,"EBITDA","FQ4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7" s="2" t="e">
        <f ca="1">_xll.BDH($C$3,"EBITDA_AFTER_CAPEX","FQ4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7" s="2" t="e">
        <f ca="1">_xll.BDH($C$3,"IS_OPER_INC","FQ4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7" s="1" t="e">
        <f ca="1">_xll.BDH($C$3,"CASH_RATIO","FQ4 2016","FQ4 2016","Currency=INR","Period=FQ","BEST_FPERIOD_OVERRIDE=FQ","FILING_STATUS=OR","EQY_CONSOLIDATED=Y","Sort=A","Dates=H","DateFormat=P","Fill=—","Direction=H","UseDPDF=Y")</f>
        <v>#NAME?</v>
      </c>
      <c r="CT17" s="1" t="e">
        <f ca="1">_xll.BDH($C$3,"CUR_RATIO","FQ4 2016","FQ4 2016","Currency=INR","Period=FQ","BEST_FPERIOD_OVERRIDE=FQ","FILING_STATUS=OR","EQY_CONSOLIDATED=Y","Sort=A","Dates=H","DateFormat=P","Fill=—","Direction=H","UseDPDF=Y")</f>
        <v>#NAME?</v>
      </c>
      <c r="CU17" s="1" t="e">
        <f ca="1">_xll.BDH($C$3,"QUICK_RATIO","FQ4 2016","FQ4 2016","Currency=INR","Period=FQ","BEST_FPERIOD_OVERRIDE=FQ","FILING_STATUS=OR","EQY_CONSOLIDATED=Y","Sort=A","Dates=H","DateFormat=P","Fill=—","Direction=H","UseDPDF=Y")</f>
        <v>#NAME?</v>
      </c>
      <c r="CV17" s="1" t="e">
        <f ca="1">_xll.BDH($C$3,"ALTMAN_Z_SCORE","FQ4 2016","FQ4 2016","Currency=INR","Period=FQ","BEST_FPERIOD_OVERRIDE=FQ","FILING_STATUS=OR","EQY_CONSOLIDATED=Y","Sort=A","Dates=H","DateFormat=P","Fill=—","Direction=H","UseDPDF=Y")</f>
        <v>#NAME?</v>
      </c>
      <c r="CW17" s="3" t="e">
        <f ca="1">_xll.BDH($C$3,"ACCT_RCV_TURN","FQ4 2016","FQ4 2016","Currency=INR","Period=FQ","BEST_FPERIOD_OVERRIDE=FQ","FILING_STATUS=OR","EQY_CONSOLIDATED=Y","FA_ADJUSTED=GAAP","Sort=A","Dates=H","DateFormat=P","Fill=—","Direction=H","UseDPDF=Y")</f>
        <v>#NAME?</v>
      </c>
      <c r="CX17" s="1" t="e">
        <f ca="1">_xll.BDH($C$3,"ACCT_RCV_DAYS","FQ4 2016","FQ4 2016","Currency=INR","Period=FQ","BEST_FPERIOD_OVERRIDE=FQ","FILING_STATUS=OR","EQY_CONSOLIDATED=Y","FA_ADJUSTED=GAAP","Sort=A","Dates=H","DateFormat=P","Fill=—","Direction=H","UseDPDF=Y")</f>
        <v>#NAME?</v>
      </c>
      <c r="CY17" s="3" t="e">
        <f ca="1">_xll.BDH($C$3,"INVENT_TURN","FQ4 2016","FQ4 2016","Currency=INR","Period=FQ","BEST_FPERIOD_OVERRIDE=FQ","FILING_STATUS=OR","EQY_CONSOLIDATED=Y","FA_ADJUSTED=GAAP","Sort=A","Dates=H","DateFormat=P","Fill=—","Direction=H","UseDPDF=Y")</f>
        <v>#NAME?</v>
      </c>
      <c r="CZ17" s="1" t="e">
        <f ca="1">_xll.BDH($C$3,"INVENT_DAYS","FQ4 2016","FQ4 2016","Currency=INR","Period=FQ","BEST_FPERIOD_OVERRIDE=FQ","FILING_STATUS=OR","EQY_CONSOLIDATED=Y","FA_ADJUSTED=GAAP","Sort=A","Dates=H","DateFormat=P","Fill=—","Direction=H","UseDPDF=Y")</f>
        <v>#NAME?</v>
      </c>
      <c r="DA17" s="3" t="e">
        <f ca="1">_xll.BDH($C$3,"ACCOUNTS_PAYABLE_TURNOVER","FQ4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7" s="1" t="e">
        <f ca="1">_xll.BDH($C$3,"ACCOUNTS_PAYABLE_TURNOVER_DAYS","FQ4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7" s="3" t="e">
        <f ca="1">_xll.BDH($C$3,"CASH_CONVERSION_CYCLE","FQ4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7" s="3" t="e">
        <f ca="1">_xll.BDH($C$3,"INV_TO_CASH_DAYS","FQ4 2016","FQ4 2016","Currency=INR","Period=FQ","BEST_FPERIOD_OVERRIDE=FQ","FILING_STATUS=OR","EQY_CONSOLIDATED=Y","FA_ADJUSTED=GAAP","Sort=A","Dates=H","DateFormat=P","Fill=—","Direction=H","UseDPDF=Y")</f>
        <v>#NAME?</v>
      </c>
      <c r="DE17" s="4" t="e">
        <f ca="1">_xll.BDH($C$3,"BS_INVENTORIES","FQ4 2016","FQ4 2016","Currency=INR","Period=FQ","BEST_FPERIOD_OVERRIDE=FQ","FILING_STATUS=OR","EQY_CONSOLIDATED=Y","SCALING_FORMAT=MLN","Sort=A","Dates=H","DateFormat=P","Fill=—","Direction=H","UseDPDF=Y")</f>
        <v>#NAME?</v>
      </c>
      <c r="DF17" s="2" t="e">
        <f ca="1">_xll.BDH($C$3,"INVTRY_RAW_MATERIALS","FQ4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7" s="2" t="e">
        <f ca="1">_xll.BDH($C$3,"INVTRY_IN_PROGRESS","FQ4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7" s="2" t="e">
        <f ca="1">_xll.BDH($C$3,"INVTRY_FINISHED_GOODS","FQ4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7" s="2" t="e">
        <f ca="1">_xll.BDH($C$3,"BS_OTHER_INV","FQ4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8" spans="1:113" x14ac:dyDescent="0.3">
      <c r="A18" s="6"/>
      <c r="B18" s="6"/>
      <c r="C18" s="6"/>
      <c r="D18" s="6" t="s">
        <v>10</v>
      </c>
      <c r="E18" t="s">
        <v>3</v>
      </c>
      <c r="F18" t="e">
        <f ca="1">_xll.BDH($C$3,"RETURN_COM_EQY","FY 2017","FY 2017","Currency=INR","Period=FY","BEST_FPERIOD_OVERRIDE=FY","FILING_STATUS=OR","EQY_CONSOLIDATED=Y","FA_ADJUSTED=GAAP","Sort=A","Dates=H","DateFormat=P","Fill=—","Direction=H","UseDPDF=Y")</f>
        <v>#NAME?</v>
      </c>
      <c r="G18" t="e">
        <f ca="1">_xll.BDH($C$3,"RETURN_ON_ASSET","FY 2017","FY 2017","Currency=INR","Period=FY","BEST_FPERIOD_OVERRIDE=FY","FILING_STATUS=OR","EQY_CONSOLIDATED=Y","FA_ADJUSTED=GAAP","Sort=A","Dates=H","DateFormat=P","Fill=—","Direction=H","UseDPDF=Y")</f>
        <v>#NAME?</v>
      </c>
      <c r="H18" t="e">
        <f ca="1">_xll.BDH($C$3,"RETURN_ON_CAP","FY 2017","FY 2017","Currency=INR","Period=FY","BEST_FPERIOD_OVERRIDE=FY","FILING_STATUS=OR","EQY_CONSOLIDATED=Y","FA_ADJUSTED=GAAP","Sort=A","Dates=H","DateFormat=P","Fill=—","Direction=H","UseDPDF=Y")</f>
        <v>#NAME?</v>
      </c>
      <c r="I18" t="e">
        <f ca="1">_xll.BDH($C$3,"RETURN_ON_INV_CAPITAL","FY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8" t="e">
        <f ca="1">_xll.BDH($C$3,"EBITDA_TO_REVENUE","FY 2017","FY 2017","Currency=INR","Period=FY","BEST_FPERIOD_OVERRIDE=FY","FILING_STATUS=OR","EQY_CONSOLIDATED=Y","FA_ADJUSTED=GAAP","Sort=A","Dates=H","DateFormat=P","Fill=—","Direction=H","UseDPDF=Y")</f>
        <v>#NAME?</v>
      </c>
      <c r="K18" t="e">
        <f ca="1">_xll.BDH($C$3,"OPER_MARGIN","FY 2017","FY 2017","Currency=INR","Period=FY","BEST_FPERIOD_OVERRIDE=FY","FILING_STATUS=OR","EQY_CONSOLIDATED=Y","FA_ADJUSTED=GAAP","Sort=A","Dates=H","DateFormat=P","Fill=—","Direction=H","UseDPDF=Y")</f>
        <v>#NAME?</v>
      </c>
      <c r="L18" t="e">
        <f ca="1">_xll.BDH($C$3,"INCREMENTAL_OPERATING_MARGIN","FY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8" t="e">
        <f ca="1">_xll.BDH($C$3,"PRETAX_INC_TO_NET_SALES","FY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8" t="e">
        <f ca="1">_xll.BDH($C$3,"INC_BEF_XO_ITEMS_TO_NET_SALES","FY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8" t="e">
        <f ca="1">_xll.BDH($C$3,"PROF_MARGIN","FY 2017","FY 2017","Currency=INR","Period=FY","BEST_FPERIOD_OVERRIDE=FY","FILING_STATUS=OR","EQY_CONSOLIDATED=Y","FA_ADJUSTED=GAAP","Sort=A","Dates=H","DateFormat=P","Fill=—","Direction=H","UseDPDF=Y")</f>
        <v>#NAME?</v>
      </c>
      <c r="P18" t="e">
        <f ca="1">_xll.BDH($C$3,"NET_INCOME_TO_COMMON_MARGIN","FY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8" t="e">
        <f ca="1">_xll.BDH($C$3,"EFF_TAX_RATE","FY 2017","FY 2017","Currency=INR","Period=FY","BEST_FPERIOD_OVERRIDE=FY","FILING_STATUS=OR","EQY_CONSOLIDATED=Y","FA_ADJUSTED=GAAP","Sort=A","Dates=H","DateFormat=P","Fill=—","Direction=H","UseDPDF=Y")</f>
        <v>#NAME?</v>
      </c>
      <c r="R18" t="e">
        <f ca="1">_xll.BDH($C$3,"DVD_PAYOUT_RATIO","FY 2017","FY 2017","Currency=INR","Period=FY","BEST_FPERIOD_OVERRIDE=FY","FILING_STATUS=OR","EQY_CONSOLIDATED=Y","FA_ADJUSTED=GAAP","Sort=A","Dates=H","DateFormat=P","Fill=—","Direction=H","UseDPDF=Y")</f>
        <v>#NAME?</v>
      </c>
      <c r="S18" t="e">
        <f ca="1">_xll.BDH($C$3,"SUSTAIN_GROWTH_RT","FY 2017","FY 2017","Currency=INR","Period=FY","BEST_FPERIOD_OVERRIDE=FY","FILING_STATUS=OR","EQY_CONSOLIDATED=Y","FA_ADJUSTED=GAAP","Sort=A","Dates=H","DateFormat=P","Fill=—","Direction=H","UseDPDF=Y")</f>
        <v>#NAME?</v>
      </c>
      <c r="T18" s="1" t="e">
        <f ca="1">_xll.BDH($C$3,"SALES_GROWTH","FY 2017","FY 2017","Currency=INR","Period=FY","BEST_FPERIOD_OVERRIDE=FY","FILING_STATUS=OR","EQY_CONSOLIDATED=Y","FA_ADJUSTED=GAAP","Sort=A","Dates=H","DateFormat=P","Fill=—","Direction=H","UseDPDF=Y")</f>
        <v>#NAME?</v>
      </c>
      <c r="U18" s="1" t="e">
        <f ca="1">_xll.BDH($C$3,"EBITDA_GROWTH","FY 2017","FY 2017","Currency=INR","Period=FY","BEST_FPERIOD_OVERRIDE=FY","FILING_STATUS=OR","EQY_CONSOLIDATED=Y","FA_ADJUSTED=GAAP","Sort=A","Dates=H","DateFormat=P","Fill=—","Direction=H","UseDPDF=Y")</f>
        <v>#NAME?</v>
      </c>
      <c r="V18" s="1" t="e">
        <f ca="1">_xll.BDH($C$3,"OPER_INC_GROWTH","FY 2017","FY 2017","Currency=INR","Period=FY","BEST_FPERIOD_OVERRIDE=FY","FILING_STATUS=OR","EQY_CONSOLIDATED=Y","FA_ADJUSTED=GAAP","Sort=A","Dates=H","DateFormat=P","Fill=—","Direction=H","UseDPDF=Y")</f>
        <v>#NAME?</v>
      </c>
      <c r="W18" s="1" t="e">
        <f ca="1">_xll.BDH($C$3,"EARN_FOR_COM_GROWTH","FY 2017","FY 2017","Currency=INR","Period=FY","BEST_FPERIOD_OVERRIDE=FY","FILING_STATUS=OR","EQY_CONSOLIDATED=Y","FA_ADJUSTED=GAAP","Sort=A","Dates=H","DateFormat=P","Fill=—","Direction=H","UseDPDF=Y")</f>
        <v>#NAME?</v>
      </c>
      <c r="X18" s="1" t="e">
        <f ca="1">_xll.BDH($C$3,"DILUTED_EPS_AFT_XO_ITEMS_GROWTH","FY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8" s="1" t="e">
        <f ca="1">_xll.BDH($C$3,"DIVIDEND_PER_SHARE_1_YEAR_GROWTH","FY 2017","FY 2017","Currency=INR","Period=FY","BEST_FPERIOD_OVERRIDE=FY","FILING_STATUS=OR","EQY_CONSOLIDATED=Y","Sort=A","Dates=H","DateFormat=P","Fill=—","Direction=H","UseDPDF=Y")</f>
        <v>#NAME?</v>
      </c>
      <c r="Z18" s="1" t="e">
        <f ca="1">_xll.BDH($C$3,"ACCOUNTS_RECEIVABLE_GROWTH","FY 2017","FY 2017","Currency=INR","Period=FY","BEST_FPERIOD_OVERRIDE=FY","FILING_STATUS=OR","EQY_CONSOLIDATED=Y","Sort=A","Dates=H","DateFormat=P","Fill=—","Direction=H","UseDPDF=Y")</f>
        <v>#NAME?</v>
      </c>
      <c r="AA18" s="1" t="e">
        <f ca="1">_xll.BDH($C$3,"INVENTORY_GROWTH","FY 2017","FY 2017","Currency=INR","Period=FY","BEST_FPERIOD_OVERRIDE=FY","FILING_STATUS=OR","EQY_CONSOLIDATED=Y","Sort=A","Dates=H","DateFormat=P","Fill=—","Direction=H","UseDPDF=Y")</f>
        <v>#NAME?</v>
      </c>
      <c r="AB18" s="1" t="e">
        <f ca="1">_xll.BDH($C$3,"NET_FIXED_ASSETS_1_YEAR_GROWTH","FY 2017","FY 2017","Currency=INR","Period=FY","BEST_FPERIOD_OVERRIDE=FY","FILING_STATUS=OR","EQY_CONSOLIDATED=Y","Sort=A","Dates=H","DateFormat=P","Fill=—","Direction=H","UseDPDF=Y")</f>
        <v>#NAME?</v>
      </c>
      <c r="AC18" s="1" t="e">
        <f ca="1">_xll.BDH($C$3,"ASSET_GROWTH","FY 2017","FY 2017","Currency=INR","Period=FY","BEST_FPERIOD_OVERRIDE=FY","FILING_STATUS=OR","EQY_CONSOLIDATED=Y","Sort=A","Dates=H","DateFormat=P","Fill=—","Direction=H","UseDPDF=Y")</f>
        <v>#NAME?</v>
      </c>
      <c r="AD18" s="1" t="e">
        <f ca="1">_xll.BDH($C$3,"MODIFIED_WORK_CAP_GROWTH","FY 2017","FY 2017","Currency=INR","Period=FY","BEST_FPERIOD_OVERRIDE=FY","FILING_STATUS=OR","EQY_CONSOLIDATED=Y","Sort=A","Dates=H","DateFormat=P","Fill=—","Direction=H","UseDPDF=Y")</f>
        <v>#NAME?</v>
      </c>
      <c r="AE18" s="1" t="e">
        <f ca="1">_xll.BDH($C$3,"WORK_CAP_GROWTH","FY 2017","FY 2017","Currency=INR","Period=FY","BEST_FPERIOD_OVERRIDE=FY","FILING_STATUS=OR","EQY_CONSOLIDATED=Y","Sort=A","Dates=H","DateFormat=P","Fill=—","Direction=H","UseDPDF=Y")</f>
        <v>#NAME?</v>
      </c>
      <c r="AF18" s="1" t="e">
        <f ca="1">_xll.BDH($C$3,"ACCOUNTS_PAYABLE_GROWTH_1YR","FY 2017","FY 2017","Currency=INR","Period=FY","BEST_FPERIOD_OVERRIDE=FY","FILING_STATUS=OR","EQY_CONSOLIDATED=Y","Sort=A","Dates=H","DateFormat=P","Fill=—","Direction=H","UseDPDF=Y")</f>
        <v>#NAME?</v>
      </c>
      <c r="AG18" s="1" t="e">
        <f ca="1">_xll.BDH($C$3,"SHORT_TERM_DEBT_1_YEAR_GROWTH","FY 2017","FY 2017","Currency=INR","Period=FY","BEST_FPERIOD_OVERRIDE=FY","FILING_STATUS=OR","EQY_CONSOLIDATED=Y","Sort=A","Dates=H","DateFormat=P","Fill=—","Direction=H","UseDPDF=Y")</f>
        <v>#NAME?</v>
      </c>
      <c r="AH18" s="1" t="e">
        <f ca="1">_xll.BDH($C$3,"TOTAL_DEBT_1_YEAR_GROWTH","FY 2017","FY 2017","Currency=INR","Period=FY","BEST_FPERIOD_OVERRIDE=FY","FILING_STATUS=OR","EQY_CONSOLIDATED=Y","Sort=A","Dates=H","DateFormat=P","Fill=—","Direction=H","UseDPDF=Y")</f>
        <v>#NAME?</v>
      </c>
      <c r="AI18" s="1" t="e">
        <f ca="1">_xll.BDH($C$3,"TOTAL_EQUITY_1_YEAR_GROWTH","FY 2017","FY 2017","Currency=INR","Period=FY","BEST_FPERIOD_OVERRIDE=FY","FILING_STATUS=OR","EQY_CONSOLIDATED=Y","Sort=A","Dates=H","DateFormat=P","Fill=—","Direction=H","UseDPDF=Y")</f>
        <v>#NAME?</v>
      </c>
      <c r="AJ18" s="1" t="e">
        <f ca="1">_xll.BDH($C$3,"GROWTH_IN_CAP","FY 2017","FY 2017","Currency=INR","Period=FY","BEST_FPERIOD_OVERRIDE=FY","FILING_STATUS=OR","EQY_CONSOLIDATED=Y","Sort=A","Dates=H","DateFormat=P","Fill=—","Direction=H","UseDPDF=Y")</f>
        <v>#NAME?</v>
      </c>
      <c r="AK18" s="1" t="e">
        <f ca="1">_xll.BDH($C$3,"BVPS_GROWTH","FY 2017","FY 2017","Currency=INR","Period=FY","BEST_FPERIOD_OVERRIDE=FY","FILING_STATUS=OR","EQY_CONSOLIDATED=Y","Sort=A","Dates=H","DateFormat=P","Fill=—","Direction=H","UseDPDF=Y")</f>
        <v>#NAME?</v>
      </c>
      <c r="AL18" s="1" t="e">
        <f ca="1">_xll.BDH($C$3,"CASH_FLOW_GROWTH","FY 2017","FY 2017","Currency=INR","Period=FY","BEST_FPERIOD_OVERRIDE=FY","FILING_STATUS=OR","EQY_CONSOLIDATED=Y","Sort=A","Dates=H","DateFormat=P","Fill=—","Direction=H","UseDPDF=Y")</f>
        <v>#NAME?</v>
      </c>
      <c r="AM18" s="1" t="e">
        <f ca="1">_xll.BDH($C$3,"GEO_GROW_NET_SALES","FY 2017","FY 2017","Currency=INR","Period=FY","BEST_FPERIOD_OVERRIDE=FY","FILING_STATUS=OR","EQY_CONSOLIDATED=Y","FA_ADJUSTED=GAAP","Sort=A","Dates=H","DateFormat=P","Fill=—","Direction=H","UseDPDF=Y")</f>
        <v>#NAME?</v>
      </c>
      <c r="AN18" s="1" t="e">
        <f ca="1">_xll.BDH($C$3,"GEO_GROW_EBITDA","FY 2017","FY 2017","Currency=INR","Period=FY","BEST_FPERIOD_OVERRIDE=FY","FILING_STATUS=OR","EQY_CONSOLIDATED=Y","FA_ADJUSTED=GAAP","Sort=A","Dates=H","DateFormat=P","Fill=—","Direction=H","UseDPDF=Y")</f>
        <v>#NAME?</v>
      </c>
      <c r="AO18" s="1" t="e">
        <f ca="1">_xll.BDH($C$3,"GEO_GROW_OPER_INC","FY 2017","FY 2017","Currency=INR","Period=FY","BEST_FPERIOD_OVERRIDE=FY","FILING_STATUS=OR","EQY_CONSOLIDATED=Y","FA_ADJUSTED=GAAP","Sort=A","Dates=H","DateFormat=P","Fill=—","Direction=H","UseDPDF=Y")</f>
        <v>#NAME?</v>
      </c>
      <c r="AP18" s="1" t="e">
        <f ca="1">_xll.BDH($C$3,"NET_INCOME_TO_COMMON_5_YR_GROWTH","FY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8" s="1" t="e">
        <f ca="1">_xll.BDH($C$3,"5Y_GEO_GROWTH_DILUTED_EPS","FY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8" s="1" t="e">
        <f ca="1">_xll.BDH($C$3,"GEO_GROW_DVD_PER_SH","FY 2017","FY 2017","Currency=INR","Period=FY","BEST_FPERIOD_OVERRIDE=FY","FILING_STATUS=OR","EQY_CONSOLIDATED=Y","Sort=A","Dates=H","DateFormat=P","Fill=—","Direction=H","UseDPDF=Y")</f>
        <v>#NAME?</v>
      </c>
      <c r="AS18" s="1" t="e">
        <f ca="1">_xll.BDH($C$3,"ACCOUNTS_RECEIVABLE_5_YR_GROWTH","FY 2017","FY 2017","Currency=INR","Period=FY","BEST_FPERIOD_OVERRIDE=FY","FILING_STATUS=OR","EQY_CONSOLIDATED=Y","Sort=A","Dates=H","DateFormat=P","Fill=—","Direction=H","UseDPDF=Y")</f>
        <v>#NAME?</v>
      </c>
      <c r="AT18" s="1" t="e">
        <f ca="1">_xll.BDH($C$3,"INVENTORY_5_YEAR_GROWTH","FY 2017","FY 2017","Currency=INR","Period=FY","BEST_FPERIOD_OVERRIDE=FY","FILING_STATUS=OR","EQY_CONSOLIDATED=Y","Sort=A","Dates=H","DateFormat=P","Fill=—","Direction=H","UseDPDF=Y")</f>
        <v>#NAME?</v>
      </c>
      <c r="AU18" s="1" t="e">
        <f ca="1">_xll.BDH($C$3,"NET_FIXED_ASSETS_5_YEAR_GROWTH","FY 2017","FY 2017","Currency=INR","Period=FY","BEST_FPERIOD_OVERRIDE=FY","FILING_STATUS=OR","EQY_CONSOLIDATED=Y","Sort=A","Dates=H","DateFormat=P","Fill=—","Direction=H","UseDPDF=Y")</f>
        <v>#NAME?</v>
      </c>
      <c r="AV18" s="1" t="e">
        <f ca="1">_xll.BDH($C$3,"GEO_GROW_TOT_ASSET","FY 2017","FY 2017","Currency=INR","Period=FY","BEST_FPERIOD_OVERRIDE=FY","FILING_STATUS=OR","EQY_CONSOLIDATED=Y","Sort=A","Dates=H","DateFormat=P","Fill=—","Direction=H","UseDPDF=Y")</f>
        <v>#NAME?</v>
      </c>
      <c r="AW18" s="1" t="e">
        <f ca="1">_xll.BDH($C$3,"MODIFIED_WORKING_CPTL_5YR_GRWTH","FY 2017","FY 2017","Currency=INR","Period=FY","BEST_FPERIOD_OVERRIDE=FY","FILING_STATUS=OR","EQY_CONSOLIDATED=Y","Sort=A","Dates=H","DateFormat=P","Fill=—","Direction=H","UseDPDF=Y")</f>
        <v>#NAME?</v>
      </c>
      <c r="AX18" s="1" t="e">
        <f ca="1">_xll.BDH($C$3,"WORKING_CAPITAL_5_YEAR_GROWTH","FY 2017","FY 2017","Currency=INR","Period=FY","BEST_FPERIOD_OVERRIDE=FY","FILING_STATUS=OR","EQY_CONSOLIDATED=Y","Sort=A","Dates=H","DateFormat=P","Fill=—","Direction=H","UseDPDF=Y")</f>
        <v>#NAME?</v>
      </c>
      <c r="AY18" s="1" t="e">
        <f ca="1">_xll.BDH($C$3,"ACCOUNTS_PAYABLE_5_YEAR_GROWTH","FY 2017","FY 2017","Currency=INR","Period=FY","BEST_FPERIOD_OVERRIDE=FY","FILING_STATUS=OR","EQY_CONSOLIDATED=Y","Sort=A","Dates=H","DateFormat=P","Fill=—","Direction=H","UseDPDF=Y")</f>
        <v>#NAME?</v>
      </c>
      <c r="AZ18" s="1" t="e">
        <f ca="1">_xll.BDH($C$3,"SHORT_TERM_DEBT_5_YEAR_GROWTH","FY 2017","FY 2017","Currency=INR","Period=FY","BEST_FPERIOD_OVERRIDE=FY","FILING_STATUS=OR","EQY_CONSOLIDATED=Y","Sort=A","Dates=H","DateFormat=P","Fill=—","Direction=H","UseDPDF=Y")</f>
        <v>#NAME?</v>
      </c>
      <c r="BA18" s="1" t="e">
        <f ca="1">_xll.BDH($C$3,"TOTAL_DEBT_5_YEAR_GROWTH","FY 2017","FY 2017","Currency=INR","Period=FY","BEST_FPERIOD_OVERRIDE=FY","FILING_STATUS=OR","EQY_CONSOLIDATED=Y","Sort=A","Dates=H","DateFormat=P","Fill=—","Direction=H","UseDPDF=Y")</f>
        <v>#NAME?</v>
      </c>
      <c r="BB18" s="1" t="e">
        <f ca="1">_xll.BDH($C$3,"GEO_GROW_TOT_SHRHLDR_EQY","FY 2017","FY 2017","Currency=INR","Period=FY","BEST_FPERIOD_OVERRIDE=FY","FILING_STATUS=OR","EQY_CONSOLIDATED=Y","Sort=A","Dates=H","DateFormat=P","Fill=—","Direction=H","UseDPDF=Y")</f>
        <v>#NAME?</v>
      </c>
      <c r="BC18" s="1" t="e">
        <f ca="1">_xll.BDH($C$3,"TOTAL_CAPITAL_5_YEAR_GROWTH","FY 2017","FY 2017","Currency=INR","Period=FY","BEST_FPERIOD_OVERRIDE=FY","FILING_STATUS=OR","EQY_CONSOLIDATED=Y","Sort=A","Dates=H","DateFormat=P","Fill=—","Direction=H","UseDPDF=Y")</f>
        <v>#NAME?</v>
      </c>
      <c r="BD18" s="1" t="e">
        <f ca="1">_xll.BDH($C$3,"GEO_GROW_BOOK_VAL","FY 2017","FY 2017","Currency=INR","Period=FY","BEST_FPERIOD_OVERRIDE=FY","FILING_STATUS=OR","EQY_CONSOLIDATED=Y","Sort=A","Dates=H","DateFormat=P","Fill=—","Direction=H","UseDPDF=Y")</f>
        <v>#NAME?</v>
      </c>
      <c r="BE18" s="1" t="e">
        <f ca="1">_xll.BDH($C$3,"GEO_GROW_CASH_OPER_ACT","FY 2017","FY 2017","Currency=INR","Period=FY","BEST_FPERIOD_OVERRIDE=FY","FILING_STATUS=OR","EQY_CONSOLIDATED=Y","Sort=A","Dates=H","DateFormat=P","Fill=—","Direction=H","UseDPDF=Y")</f>
        <v>#NAME?</v>
      </c>
      <c r="BF18" s="1" t="e">
        <f ca="1">_xll.BDH($C$3,"REVENUE_SEQUENTIAL_GROWTH","FY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8" s="1" t="e">
        <f ca="1">_xll.BDH($C$3,"EBITDA_SEQUENTIAL_GROWTH","FY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8" s="1" t="e">
        <f ca="1">_xll.BDH($C$3,"OPERATING_INCOME_SEQ_GROWTH","FY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8" s="1" t="e">
        <f ca="1">_xll.BDH($C$3,"NET_INCOME_TO_COMMON_SEQ_GROWTH","FY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8" s="1" t="e">
        <f ca="1">_xll.BDH($C$3,"EPS_DILUTED_SEQUENTIAL_GROWTH","FY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8" s="1" t="e">
        <f ca="1">_xll.BDH($C$3,"DPS_SEQUENTIAL_GROWTH","FY 2017","FY 2017","Currency=INR","Period=FY","BEST_FPERIOD_OVERRIDE=FY","FILING_STATUS=OR","EQY_CONSOLIDATED=Y","Sort=A","Dates=H","DateFormat=P","Fill=—","Direction=H","UseDPDF=Y")</f>
        <v>#NAME?</v>
      </c>
      <c r="BL18" s="1" t="e">
        <f ca="1">_xll.BDH($C$3,"ACCOUNTS_RECEIVABLE_SEQ_GROWTH","FY 2017","FY 2017","Currency=INR","Period=FY","BEST_FPERIOD_OVERRIDE=FY","FILING_STATUS=OR","EQY_CONSOLIDATED=Y","Sort=A","Dates=H","DateFormat=P","Fill=—","Direction=H","UseDPDF=Y")</f>
        <v>#NAME?</v>
      </c>
      <c r="BM18" s="1" t="e">
        <f ca="1">_xll.BDH($C$3,"INVENTORY_SEQUENTIAL_GROWTH","FY 2017","FY 2017","Currency=INR","Period=FY","BEST_FPERIOD_OVERRIDE=FY","FILING_STATUS=OR","EQY_CONSOLIDATED=Y","Sort=A","Dates=H","DateFormat=P","Fill=—","Direction=H","UseDPDF=Y")</f>
        <v>#NAME?</v>
      </c>
      <c r="BN18" s="1" t="e">
        <f ca="1">_xll.BDH($C$3,"FIXED_ASSETS_SEQUENTIAL_GROWTH","FY 2017","FY 2017","Currency=INR","Period=FY","BEST_FPERIOD_OVERRIDE=FY","FILING_STATUS=OR","EQY_CONSOLIDATED=Y","Sort=A","Dates=H","DateFormat=P","Fill=—","Direction=H","UseDPDF=Y")</f>
        <v>#NAME?</v>
      </c>
      <c r="BO18" s="1" t="e">
        <f ca="1">_xll.BDH($C$3,"TOTAL_ASSETS_SEQUENTIAL_GROWTH","FY 2017","FY 2017","Currency=INR","Period=FY","BEST_FPERIOD_OVERRIDE=FY","FILING_STATUS=OR","EQY_CONSOLIDATED=Y","Sort=A","Dates=H","DateFormat=P","Fill=—","Direction=H","UseDPDF=Y")</f>
        <v>#NAME?</v>
      </c>
      <c r="BP18" s="1" t="e">
        <f ca="1">_xll.BDH($C$3,"MODIFIED_WORKING_CPTL_SEQ_GRWTH","FY 2017","FY 2017","Currency=INR","Period=FY","BEST_FPERIOD_OVERRIDE=FY","FILING_STATUS=OR","EQY_CONSOLIDATED=Y","Sort=A","Dates=H","DateFormat=P","Fill=—","Direction=H","UseDPDF=Y")</f>
        <v>#NAME?</v>
      </c>
      <c r="BQ18" s="1" t="e">
        <f ca="1">_xll.BDH($C$3,"WORKING_CAPITAL_SEQ_GROWTH","FY 2017","FY 2017","Currency=INR","Period=FY","BEST_FPERIOD_OVERRIDE=FY","FILING_STATUS=OR","EQY_CONSOLIDATED=Y","Sort=A","Dates=H","DateFormat=P","Fill=—","Direction=H","UseDPDF=Y")</f>
        <v>#NAME?</v>
      </c>
      <c r="BR18" s="1" t="e">
        <f ca="1">_xll.BDH($C$3,"ACCOUNTS_PAYABLE_SEQ_GROWTH","FY 2017","FY 2017","Currency=INR","Period=FY","BEST_FPERIOD_OVERRIDE=FY","FILING_STATUS=OR","EQY_CONSOLIDATED=Y","Sort=A","Dates=H","DateFormat=P","Fill=—","Direction=H","UseDPDF=Y")</f>
        <v>#NAME?</v>
      </c>
      <c r="BS18" s="1" t="e">
        <f ca="1">_xll.BDH($C$3,"ST_DEBT_SEQUENTIAL_GROWTH","FY 2017","FY 2017","Currency=INR","Period=FY","BEST_FPERIOD_OVERRIDE=FY","FILING_STATUS=OR","EQY_CONSOLIDATED=Y","Sort=A","Dates=H","DateFormat=P","Fill=—","Direction=H","UseDPDF=Y")</f>
        <v>#NAME?</v>
      </c>
      <c r="BT18" s="1" t="e">
        <f ca="1">_xll.BDH($C$3,"TOTAL_DEBT_SEQUENTIAL_GROWTH","FY 2017","FY 2017","Currency=INR","Period=FY","BEST_FPERIOD_OVERRIDE=FY","FILING_STATUS=OR","EQY_CONSOLIDATED=Y","Sort=A","Dates=H","DateFormat=P","Fill=—","Direction=H","UseDPDF=Y")</f>
        <v>#NAME?</v>
      </c>
      <c r="BU18" s="1" t="e">
        <f ca="1">_xll.BDH($C$3,"TOTAL_EQUITY_SEQUENTIAL_GROWTH","FY 2017","FY 2017","Currency=INR","Period=FY","BEST_FPERIOD_OVERRIDE=FY","FILING_STATUS=OR","EQY_CONSOLIDATED=Y","Sort=A","Dates=H","DateFormat=P","Fill=—","Direction=H","UseDPDF=Y")</f>
        <v>#NAME?</v>
      </c>
      <c r="BV18" s="1" t="e">
        <f ca="1">_xll.BDH($C$3,"TOTAL_CAPITAL_SEQUENTIAL_GROWTH","FY 2017","FY 2017","Currency=INR","Period=FY","BEST_FPERIOD_OVERRIDE=FY","FILING_STATUS=OR","EQY_CONSOLIDATED=Y","Sort=A","Dates=H","DateFormat=P","Fill=—","Direction=H","UseDPDF=Y")</f>
        <v>#NAME?</v>
      </c>
      <c r="BW18" s="1" t="e">
        <f ca="1">_xll.BDH($C$3,"BPS_SEQUENTIAL_GROWTH","FY 2017","FY 2017","Currency=INR","Period=FY","BEST_FPERIOD_OVERRIDE=FY","FILING_STATUS=OR","EQY_CONSOLIDATED=Y","Sort=A","Dates=H","DateFormat=P","Fill=—","Direction=H","UseDPDF=Y")</f>
        <v>#NAME?</v>
      </c>
      <c r="BX18" s="1" t="e">
        <f ca="1">_xll.BDH($C$3,"CFO_SEQUENTIAL_GROWTH","FY 2017","FY 2017","Currency=INR","Period=FY","BEST_FPERIOD_OVERRIDE=FY","FILING_STATUS=OR","EQY_CONSOLIDATED=Y","Sort=A","Dates=H","DateFormat=P","Fill=—","Direction=H","UseDPDF=Y")</f>
        <v>#NAME?</v>
      </c>
      <c r="BY18" s="2" t="e">
        <f ca="1">_xll.BDH($C$3,"SHORT_AND_LONG_TERM_DEBT","FY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8" s="2" t="e">
        <f ca="1">_xll.BDH($C$3,"BS_ST_BORROW","FY 2017","FY 2017","Currency=INR","Period=FY","BEST_FPERIOD_OVERRIDE=FY","FILING_STATUS=OR","EQY_CONSOLIDATED=Y","SCALING_FORMAT=MLN","Sort=A","Dates=H","DateFormat=P","Fill=—","Direction=H","UseDPDF=Y")</f>
        <v>#NAME?</v>
      </c>
      <c r="CA18" s="2" t="e">
        <f ca="1">_xll.BDH($C$3,"BS_LT_BORROW","FY 2017","FY 2017","Currency=INR","Period=FY","BEST_FPERIOD_OVERRIDE=FY","FILING_STATUS=OR","EQY_CONSOLIDATED=Y","SCALING_FORMAT=MLN","Sort=A","Dates=H","DateFormat=P","Fill=—","Direction=H","UseDPDF=Y")</f>
        <v>#NAME?</v>
      </c>
      <c r="CB18" s="1" t="e">
        <f ca="1">_xll.BDH($C$3,"TOT_DEBT_TO_EBITDA","FY 2017","FY 2017","Currency=INR","Period=FY","BEST_FPERIOD_OVERRIDE=FY","FILING_STATUS=OR","EQY_CONSOLIDATED=Y","FA_ADJUSTED=GAAP","Sort=A","Dates=H","DateFormat=P","Fill=—","Direction=H","UseDPDF=Y")</f>
        <v>#NAME?</v>
      </c>
      <c r="CC18" s="1" t="e">
        <f ca="1">_xll.BDH($C$3,"NET_DEBT_TO_EBITDA","FY 2017","FY 2017","Currency=INR","Period=FY","BEST_FPERIOD_OVERRIDE=FY","FILING_STATUS=OR","EQY_CONSOLIDATED=Y","FA_ADJUSTED=GAAP","Sort=A","Dates=H","DateFormat=P","Fill=—","Direction=H","UseDPDF=Y")</f>
        <v>#NAME?</v>
      </c>
      <c r="CD18" s="1" t="e">
        <f ca="1">_xll.BDH($C$3,"TOTAL_DEBT_TO_EBIT","FY 2017","FY 2017","Currency=INR","Period=FY","BEST_FPERIOD_OVERRIDE=FY","FILING_STATUS=OR","EQY_CONSOLIDATED=Y","FA_ADJUSTED=GAAP","Sort=A","Dates=H","DateFormat=P","Fill=—","Direction=H","UseDPDF=Y")</f>
        <v>#NAME?</v>
      </c>
      <c r="CE18" s="1" t="e">
        <f ca="1">_xll.BDH($C$3,"NET_DEBT_TO_EBIT","FY 2017","FY 2017","Currency=INR","Period=FY","BEST_FPERIOD_OVERRIDE=FY","FILING_STATUS=OR","EQY_CONSOLIDATED=Y","FA_ADJUSTED=GAAP","Sort=A","Dates=H","DateFormat=P","Fill=—","Direction=H","UseDPDF=Y")</f>
        <v>#NAME?</v>
      </c>
      <c r="CF18" s="1" t="e">
        <f ca="1">_xll.BDH($C$3,"EBITDA_TO_INTEREST_EXPN","FY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8" s="1" t="e">
        <f ca="1">_xll.BDH($C$3,"COM_EQY_TO_TOT_ASSET","FY 2017","FY 2017","Currency=INR","Period=FY","BEST_FPERIOD_OVERRIDE=FY","FILING_STATUS=OR","EQY_CONSOLIDATED=Y","Sort=A","Dates=H","DateFormat=P","Fill=—","Direction=H","UseDPDF=Y")</f>
        <v>#NAME?</v>
      </c>
      <c r="CH18" s="1" t="e">
        <f ca="1">_xll.BDH($C$3,"LT_DEBT_TO_TOT_EQY","FY 2017","FY 2017","Currency=INR","Period=FY","BEST_FPERIOD_OVERRIDE=FY","FILING_STATUS=OR","EQY_CONSOLIDATED=Y","Sort=A","Dates=H","DateFormat=P","Fill=—","Direction=H","UseDPDF=Y")</f>
        <v>#NAME?</v>
      </c>
      <c r="CI18" s="1" t="e">
        <f ca="1">_xll.BDH($C$3,"LT_DEBT_TO_TOT_CAP","FY 2017","FY 2017","Currency=INR","Period=FY","BEST_FPERIOD_OVERRIDE=FY","FILING_STATUS=OR","EQY_CONSOLIDATED=Y","Sort=A","Dates=H","DateFormat=P","Fill=—","Direction=H","UseDPDF=Y")</f>
        <v>#NAME?</v>
      </c>
      <c r="CJ18" s="1" t="e">
        <f ca="1">_xll.BDH($C$3,"LT_DEBT_TO_TOT_ASSET","FY 2017","FY 2017","Currency=INR","Period=FY","BEST_FPERIOD_OVERRIDE=FY","FILING_STATUS=OR","EQY_CONSOLIDATED=Y","Sort=A","Dates=H","DateFormat=P","Fill=—","Direction=H","UseDPDF=Y")</f>
        <v>#NAME?</v>
      </c>
      <c r="CK18" s="1" t="e">
        <f ca="1">_xll.BDH($C$3,"TOT_DEBT_TO_TOT_EQY","FY 2017","FY 2017","Currency=INR","Period=FY","BEST_FPERIOD_OVERRIDE=FY","FILING_STATUS=OR","EQY_CONSOLIDATED=Y","Sort=A","Dates=H","DateFormat=P","Fill=—","Direction=H","UseDPDF=Y")</f>
        <v>#NAME?</v>
      </c>
      <c r="CL18" s="1" t="e">
        <f ca="1">_xll.BDH($C$3,"TOT_DEBT_TO_TOT_CAP","FY 2017","FY 2017","Currency=INR","Period=FY","BEST_FPERIOD_OVERRIDE=FY","FILING_STATUS=OR","EQY_CONSOLIDATED=Y","Sort=A","Dates=H","DateFormat=P","Fill=—","Direction=H","UseDPDF=Y")</f>
        <v>#NAME?</v>
      </c>
      <c r="CM18" s="1" t="e">
        <f ca="1">_xll.BDH($C$3,"TOT_DEBT_TO_TOT_ASSET","FY 2017","FY 2017","Currency=INR","Period=FY","BEST_FPERIOD_OVERRIDE=FY","FILING_STATUS=OR","EQY_CONSOLIDATED=Y","Sort=A","Dates=H","DateFormat=P","Fill=—","Direction=H","UseDPDF=Y")</f>
        <v>#NAME?</v>
      </c>
      <c r="CN18" s="1" t="e">
        <f ca="1">_xll.BDH($C$3,"NET_DEBT_TO_SHRHLDR_EQTY","FY 2017","FY 2017","Currency=INR","Period=FY","BEST_FPERIOD_OVERRIDE=FY","FILING_STATUS=OR","EQY_CONSOLIDATED=Y","Sort=A","Dates=H","DateFormat=P","Fill=—","Direction=H","UseDPDF=Y")</f>
        <v>#NAME?</v>
      </c>
      <c r="CO18" s="1" t="e">
        <f ca="1">_xll.BDH($C$3,"NET_DEBT_%_CAPITAL","FY 2017","FY 2017","Currency=INR","Period=FY","BEST_FPERIOD_OVERRIDE=FY","FILING_STATUS=OR","EQY_CONSOLIDATED=Y","Sort=A","Dates=H","DateFormat=P","Fill=—","Direction=H","UseDPDF=Y")</f>
        <v>#NAME?</v>
      </c>
      <c r="CP18" s="2" t="e">
        <f ca="1">_xll.BDH($C$3,"EBITDA","FY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8" s="2" t="e">
        <f ca="1">_xll.BDH($C$3,"EBITDA_AFTER_CAPEX","FY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8" s="2" t="e">
        <f ca="1">_xll.BDH($C$3,"IS_OPER_INC","FY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8" s="1" t="e">
        <f ca="1">_xll.BDH($C$3,"CASH_RATIO","FY 2017","FY 2017","Currency=INR","Period=FY","BEST_FPERIOD_OVERRIDE=FY","FILING_STATUS=OR","EQY_CONSOLIDATED=Y","Sort=A","Dates=H","DateFormat=P","Fill=—","Direction=H","UseDPDF=Y")</f>
        <v>#NAME?</v>
      </c>
      <c r="CT18" s="1" t="e">
        <f ca="1">_xll.BDH($C$3,"CUR_RATIO","FY 2017","FY 2017","Currency=INR","Period=FY","BEST_FPERIOD_OVERRIDE=FY","FILING_STATUS=OR","EQY_CONSOLIDATED=Y","Sort=A","Dates=H","DateFormat=P","Fill=—","Direction=H","UseDPDF=Y")</f>
        <v>#NAME?</v>
      </c>
      <c r="CU18" s="1" t="e">
        <f ca="1">_xll.BDH($C$3,"QUICK_RATIO","FY 2017","FY 2017","Currency=INR","Period=FY","BEST_FPERIOD_OVERRIDE=FY","FILING_STATUS=OR","EQY_CONSOLIDATED=Y","Sort=A","Dates=H","DateFormat=P","Fill=—","Direction=H","UseDPDF=Y")</f>
        <v>#NAME?</v>
      </c>
      <c r="CV18" s="1" t="e">
        <f ca="1">_xll.BDH($C$3,"ALTMAN_Z_SCORE","FY 2017","FY 2017","Currency=INR","Period=FY","BEST_FPERIOD_OVERRIDE=FY","FILING_STATUS=OR","EQY_CONSOLIDATED=Y","Sort=A","Dates=H","DateFormat=P","Fill=—","Direction=H","UseDPDF=Y")</f>
        <v>#NAME?</v>
      </c>
      <c r="CW18" s="3" t="e">
        <f ca="1">_xll.BDH($C$3,"ACCT_RCV_TURN","FY 2017","FY 2017","Currency=INR","Period=FY","BEST_FPERIOD_OVERRIDE=FY","FILING_STATUS=OR","EQY_CONSOLIDATED=Y","FA_ADJUSTED=GAAP","Sort=A","Dates=H","DateFormat=P","Fill=—","Direction=H","UseDPDF=Y")</f>
        <v>#NAME?</v>
      </c>
      <c r="CX18" s="1" t="e">
        <f ca="1">_xll.BDH($C$3,"ACCT_RCV_DAYS","FY 2017","FY 2017","Currency=INR","Period=FY","BEST_FPERIOD_OVERRIDE=FY","FILING_STATUS=OR","EQY_CONSOLIDATED=Y","FA_ADJUSTED=GAAP","Sort=A","Dates=H","DateFormat=P","Fill=—","Direction=H","UseDPDF=Y")</f>
        <v>#NAME?</v>
      </c>
      <c r="CY18" s="3" t="e">
        <f ca="1">_xll.BDH($C$3,"INVENT_TURN","FY 2017","FY 2017","Currency=INR","Period=FY","BEST_FPERIOD_OVERRIDE=FY","FILING_STATUS=OR","EQY_CONSOLIDATED=Y","FA_ADJUSTED=GAAP","Sort=A","Dates=H","DateFormat=P","Fill=—","Direction=H","UseDPDF=Y")</f>
        <v>#NAME?</v>
      </c>
      <c r="CZ18" s="1" t="e">
        <f ca="1">_xll.BDH($C$3,"INVENT_DAYS","FY 2017","FY 2017","Currency=INR","Period=FY","BEST_FPERIOD_OVERRIDE=FY","FILING_STATUS=OR","EQY_CONSOLIDATED=Y","FA_ADJUSTED=GAAP","Sort=A","Dates=H","DateFormat=P","Fill=—","Direction=H","UseDPDF=Y")</f>
        <v>#NAME?</v>
      </c>
      <c r="DA18" s="3" t="e">
        <f ca="1">_xll.BDH($C$3,"ACCOUNTS_PAYABLE_TURNOVER","FY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8" s="1" t="e">
        <f ca="1">_xll.BDH($C$3,"ACCOUNTS_PAYABLE_TURNOVER_DAYS","FY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8" s="3" t="e">
        <f ca="1">_xll.BDH($C$3,"CASH_CONVERSION_CYCLE","FY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8" s="3" t="e">
        <f ca="1">_xll.BDH($C$3,"INV_TO_CASH_DAYS","FY 2017","FY 2017","Currency=INR","Period=FY","BEST_FPERIOD_OVERRIDE=FY","FILING_STATUS=OR","EQY_CONSOLIDATED=Y","FA_ADJUSTED=GAAP","Sort=A","Dates=H","DateFormat=P","Fill=—","Direction=H","UseDPDF=Y")</f>
        <v>#NAME?</v>
      </c>
      <c r="DE18" s="4" t="e">
        <f ca="1">_xll.BDH($C$3,"BS_INVENTORIES","FY 2017","FY 2017","Currency=INR","Period=FY","BEST_FPERIOD_OVERRIDE=FY","FILING_STATUS=OR","EQY_CONSOLIDATED=Y","SCALING_FORMAT=MLN","Sort=A","Dates=H","DateFormat=P","Fill=—","Direction=H","UseDPDF=Y")</f>
        <v>#NAME?</v>
      </c>
      <c r="DF18" s="2" t="e">
        <f ca="1">_xll.BDH($C$3,"INVTRY_RAW_MATERIALS","FY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8" s="2" t="e">
        <f ca="1">_xll.BDH($C$3,"INVTRY_IN_PROGRESS","FY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8" s="2" t="e">
        <f ca="1">_xll.BDH($C$3,"INVTRY_FINISHED_GOODS","FY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8" s="2" t="e">
        <f ca="1">_xll.BDH($C$3,"BS_OTHER_INV","FY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9" spans="1:113" x14ac:dyDescent="0.3">
      <c r="A19" s="6"/>
      <c r="B19" s="6"/>
      <c r="C19" s="6"/>
      <c r="D19" s="6"/>
      <c r="E19" t="s">
        <v>4</v>
      </c>
      <c r="F19" t="e">
        <f ca="1">_xll.BDH($C$3,"RETURN_COM_EQY","FQ1 2017","FQ1 2017","Currency=INR","Period=FQ","BEST_FPERIOD_OVERRIDE=FQ","FILING_STATUS=OR","EQY_CONSOLIDATED=Y","FA_ADJUSTED=GAAP","Sort=A","Dates=H","DateFormat=P","Fill=—","Direction=H","UseDPDF=Y")</f>
        <v>#NAME?</v>
      </c>
      <c r="G19" t="e">
        <f ca="1">_xll.BDH($C$3,"RETURN_ON_ASSET","FQ1 2017","FQ1 2017","Currency=INR","Period=FQ","BEST_FPERIOD_OVERRIDE=FQ","FILING_STATUS=OR","EQY_CONSOLIDATED=Y","FA_ADJUSTED=GAAP","Sort=A","Dates=H","DateFormat=P","Fill=—","Direction=H","UseDPDF=Y")</f>
        <v>#NAME?</v>
      </c>
      <c r="H19" t="e">
        <f ca="1">_xll.BDH($C$3,"RETURN_ON_CAP","FQ1 2017","FQ1 2017","Currency=INR","Period=FQ","BEST_FPERIOD_OVERRIDE=FQ","FILING_STATUS=OR","EQY_CONSOLIDATED=Y","FA_ADJUSTED=GAAP","Sort=A","Dates=H","DateFormat=P","Fill=—","Direction=H","UseDPDF=Y")</f>
        <v>#NAME?</v>
      </c>
      <c r="I19" t="e">
        <f ca="1">_xll.BDH($C$3,"RETURN_ON_INV_CAPITAL","FQ1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9" t="e">
        <f ca="1">_xll.BDH($C$3,"EBITDA_TO_REVENUE","FQ1 2017","FQ1 2017","Currency=INR","Period=FQ","BEST_FPERIOD_OVERRIDE=FQ","FILING_STATUS=OR","EQY_CONSOLIDATED=Y","FA_ADJUSTED=GAAP","Sort=A","Dates=H","DateFormat=P","Fill=—","Direction=H","UseDPDF=Y")</f>
        <v>#NAME?</v>
      </c>
      <c r="K19" t="e">
        <f ca="1">_xll.BDH($C$3,"OPER_MARGIN","FQ1 2017","FQ1 2017","Currency=INR","Period=FQ","BEST_FPERIOD_OVERRIDE=FQ","FILING_STATUS=OR","EQY_CONSOLIDATED=Y","FA_ADJUSTED=GAAP","Sort=A","Dates=H","DateFormat=P","Fill=—","Direction=H","UseDPDF=Y")</f>
        <v>#NAME?</v>
      </c>
      <c r="L19" t="e">
        <f ca="1">_xll.BDH($C$3,"INCREMENTAL_OPERATING_MARGIN","FQ1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9" t="e">
        <f ca="1">_xll.BDH($C$3,"PRETAX_INC_TO_NET_SALES","FQ1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9" t="e">
        <f ca="1">_xll.BDH($C$3,"INC_BEF_XO_ITEMS_TO_NET_SALES","FQ1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9" t="e">
        <f ca="1">_xll.BDH($C$3,"PROF_MARGIN","FQ1 2017","FQ1 2017","Currency=INR","Period=FQ","BEST_FPERIOD_OVERRIDE=FQ","FILING_STATUS=OR","EQY_CONSOLIDATED=Y","FA_ADJUSTED=GAAP","Sort=A","Dates=H","DateFormat=P","Fill=—","Direction=H","UseDPDF=Y")</f>
        <v>#NAME?</v>
      </c>
      <c r="P19" t="e">
        <f ca="1">_xll.BDH($C$3,"NET_INCOME_TO_COMMON_MARGIN","FQ1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9" t="e">
        <f ca="1">_xll.BDH($C$3,"EFF_TAX_RATE","FQ1 2017","FQ1 2017","Currency=INR","Period=FQ","BEST_FPERIOD_OVERRIDE=FQ","FILING_STATUS=OR","EQY_CONSOLIDATED=Y","FA_ADJUSTED=GAAP","Sort=A","Dates=H","DateFormat=P","Fill=—","Direction=H","UseDPDF=Y")</f>
        <v>#NAME?</v>
      </c>
      <c r="R19" t="e">
        <f ca="1">_xll.BDH($C$3,"DVD_PAYOUT_RATIO","FQ1 2017","FQ1 2017","Currency=INR","Period=FQ","BEST_FPERIOD_OVERRIDE=FQ","FILING_STATUS=OR","EQY_CONSOLIDATED=Y","FA_ADJUSTED=GAAP","Sort=A","Dates=H","DateFormat=P","Fill=—","Direction=H","UseDPDF=Y")</f>
        <v>#NAME?</v>
      </c>
      <c r="S19" t="e">
        <f ca="1">_xll.BDH($C$3,"SUSTAIN_GROWTH_RT","FQ1 2017","FQ1 2017","Currency=INR","Period=FQ","BEST_FPERIOD_OVERRIDE=FQ","FILING_STATUS=OR","EQY_CONSOLIDATED=Y","FA_ADJUSTED=GAAP","Sort=A","Dates=H","DateFormat=P","Fill=—","Direction=H","UseDPDF=Y")</f>
        <v>#NAME?</v>
      </c>
      <c r="T19" s="1" t="e">
        <f ca="1">_xll.BDH($C$3,"SALES_GROWTH","FQ1 2017","FQ1 2017","Currency=INR","Period=FQ","BEST_FPERIOD_OVERRIDE=FQ","FILING_STATUS=OR","EQY_CONSOLIDATED=Y","FA_ADJUSTED=GAAP","Sort=A","Dates=H","DateFormat=P","Fill=—","Direction=H","UseDPDF=Y")</f>
        <v>#NAME?</v>
      </c>
      <c r="U19" s="1" t="e">
        <f ca="1">_xll.BDH($C$3,"EBITDA_GROWTH","FQ1 2017","FQ1 2017","Currency=INR","Period=FQ","BEST_FPERIOD_OVERRIDE=FQ","FILING_STATUS=OR","EQY_CONSOLIDATED=Y","FA_ADJUSTED=GAAP","Sort=A","Dates=H","DateFormat=P","Fill=—","Direction=H","UseDPDF=Y")</f>
        <v>#NAME?</v>
      </c>
      <c r="V19" s="1" t="e">
        <f ca="1">_xll.BDH($C$3,"OPER_INC_GROWTH","FQ1 2017","FQ1 2017","Currency=INR","Period=FQ","BEST_FPERIOD_OVERRIDE=FQ","FILING_STATUS=OR","EQY_CONSOLIDATED=Y","FA_ADJUSTED=GAAP","Sort=A","Dates=H","DateFormat=P","Fill=—","Direction=H","UseDPDF=Y")</f>
        <v>#NAME?</v>
      </c>
      <c r="W19" s="1" t="e">
        <f ca="1">_xll.BDH($C$3,"EARN_FOR_COM_GROWTH","FQ1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9" s="1" t="e">
        <f ca="1">_xll.BDH($C$3,"DILUTED_EPS_AFT_XO_ITEMS_GROWTH","FQ1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9" s="1" t="e">
        <f ca="1">_xll.BDH($C$3,"DIVIDEND_PER_SHARE_1_YEAR_GROWTH","FQ1 2017","FQ1 2017","Currency=INR","Period=FQ","BEST_FPERIOD_OVERRIDE=FQ","FILING_STATUS=OR","EQY_CONSOLIDATED=Y","Sort=A","Dates=H","DateFormat=P","Fill=—","Direction=H","UseDPDF=Y")</f>
        <v>#NAME?</v>
      </c>
      <c r="Z19" s="1" t="e">
        <f ca="1">_xll.BDH($C$3,"ACCOUNTS_RECEIVABLE_GROWTH","FQ1 2017","FQ1 2017","Currency=INR","Period=FQ","BEST_FPERIOD_OVERRIDE=FQ","FILING_STATUS=OR","EQY_CONSOLIDATED=Y","Sort=A","Dates=H","DateFormat=P","Fill=—","Direction=H","UseDPDF=Y")</f>
        <v>#NAME?</v>
      </c>
      <c r="AA19" s="1" t="e">
        <f ca="1">_xll.BDH($C$3,"INVENTORY_GROWTH","FQ1 2017","FQ1 2017","Currency=INR","Period=FQ","BEST_FPERIOD_OVERRIDE=FQ","FILING_STATUS=OR","EQY_CONSOLIDATED=Y","Sort=A","Dates=H","DateFormat=P","Fill=—","Direction=H","UseDPDF=Y")</f>
        <v>#NAME?</v>
      </c>
      <c r="AB19" s="1" t="e">
        <f ca="1">_xll.BDH($C$3,"NET_FIXED_ASSETS_1_YEAR_GROWTH","FQ1 2017","FQ1 2017","Currency=INR","Period=FQ","BEST_FPERIOD_OVERRIDE=FQ","FILING_STATUS=OR","EQY_CONSOLIDATED=Y","Sort=A","Dates=H","DateFormat=P","Fill=—","Direction=H","UseDPDF=Y")</f>
        <v>#NAME?</v>
      </c>
      <c r="AC19" s="1" t="e">
        <f ca="1">_xll.BDH($C$3,"ASSET_GROWTH","FQ1 2017","FQ1 2017","Currency=INR","Period=FQ","BEST_FPERIOD_OVERRIDE=FQ","FILING_STATUS=OR","EQY_CONSOLIDATED=Y","Sort=A","Dates=H","DateFormat=P","Fill=—","Direction=H","UseDPDF=Y")</f>
        <v>#NAME?</v>
      </c>
      <c r="AD19" s="1" t="e">
        <f ca="1">_xll.BDH($C$3,"MODIFIED_WORK_CAP_GROWTH","FQ1 2017","FQ1 2017","Currency=INR","Period=FQ","BEST_FPERIOD_OVERRIDE=FQ","FILING_STATUS=OR","EQY_CONSOLIDATED=Y","Sort=A","Dates=H","DateFormat=P","Fill=—","Direction=H","UseDPDF=Y")</f>
        <v>#NAME?</v>
      </c>
      <c r="AE19" s="1" t="e">
        <f ca="1">_xll.BDH($C$3,"WORK_CAP_GROWTH","FQ1 2017","FQ1 2017","Currency=INR","Period=FQ","BEST_FPERIOD_OVERRIDE=FQ","FILING_STATUS=OR","EQY_CONSOLIDATED=Y","Sort=A","Dates=H","DateFormat=P","Fill=—","Direction=H","UseDPDF=Y")</f>
        <v>#NAME?</v>
      </c>
      <c r="AF19" s="1" t="e">
        <f ca="1">_xll.BDH($C$3,"ACCOUNTS_PAYABLE_GROWTH_1YR","FQ1 2017","FQ1 2017","Currency=INR","Period=FQ","BEST_FPERIOD_OVERRIDE=FQ","FILING_STATUS=OR","EQY_CONSOLIDATED=Y","Sort=A","Dates=H","DateFormat=P","Fill=—","Direction=H","UseDPDF=Y")</f>
        <v>#NAME?</v>
      </c>
      <c r="AG19" s="1" t="e">
        <f ca="1">_xll.BDH($C$3,"SHORT_TERM_DEBT_1_YEAR_GROWTH","FQ1 2017","FQ1 2017","Currency=INR","Period=FQ","BEST_FPERIOD_OVERRIDE=FQ","FILING_STATUS=OR","EQY_CONSOLIDATED=Y","Sort=A","Dates=H","DateFormat=P","Fill=—","Direction=H","UseDPDF=Y")</f>
        <v>#NAME?</v>
      </c>
      <c r="AH19" s="1" t="e">
        <f ca="1">_xll.BDH($C$3,"TOTAL_DEBT_1_YEAR_GROWTH","FQ1 2017","FQ1 2017","Currency=INR","Period=FQ","BEST_FPERIOD_OVERRIDE=FQ","FILING_STATUS=OR","EQY_CONSOLIDATED=Y","Sort=A","Dates=H","DateFormat=P","Fill=—","Direction=H","UseDPDF=Y")</f>
        <v>#NAME?</v>
      </c>
      <c r="AI19" s="1" t="e">
        <f ca="1">_xll.BDH($C$3,"TOTAL_EQUITY_1_YEAR_GROWTH","FQ1 2017","FQ1 2017","Currency=INR","Period=FQ","BEST_FPERIOD_OVERRIDE=FQ","FILING_STATUS=OR","EQY_CONSOLIDATED=Y","Sort=A","Dates=H","DateFormat=P","Fill=—","Direction=H","UseDPDF=Y")</f>
        <v>#NAME?</v>
      </c>
      <c r="AJ19" s="1" t="e">
        <f ca="1">_xll.BDH($C$3,"GROWTH_IN_CAP","FQ1 2017","FQ1 2017","Currency=INR","Period=FQ","BEST_FPERIOD_OVERRIDE=FQ","FILING_STATUS=OR","EQY_CONSOLIDATED=Y","Sort=A","Dates=H","DateFormat=P","Fill=—","Direction=H","UseDPDF=Y")</f>
        <v>#NAME?</v>
      </c>
      <c r="AK19" s="1" t="e">
        <f ca="1">_xll.BDH($C$3,"BVPS_GROWTH","FQ1 2017","FQ1 2017","Currency=INR","Period=FQ","BEST_FPERIOD_OVERRIDE=FQ","FILING_STATUS=OR","EQY_CONSOLIDATED=Y","Sort=A","Dates=H","DateFormat=P","Fill=—","Direction=H","UseDPDF=Y")</f>
        <v>#NAME?</v>
      </c>
      <c r="AL19" s="1" t="e">
        <f ca="1">_xll.BDH($C$3,"CASH_FLOW_GROWTH","FQ1 2017","FQ1 2017","Currency=INR","Period=FQ","BEST_FPERIOD_OVERRIDE=FQ","FILING_STATUS=OR","EQY_CONSOLIDATED=Y","Sort=A","Dates=H","DateFormat=P","Fill=—","Direction=H","UseDPDF=Y")</f>
        <v>#NAME?</v>
      </c>
      <c r="AM19" s="1" t="e">
        <f ca="1">_xll.BDH($C$3,"GEO_GROW_NET_SALES","FQ1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9" s="1" t="e">
        <f ca="1">_xll.BDH($C$3,"GEO_GROW_EBITDA","FQ1 2017","FQ1 2017","Currency=INR","Period=FQ","BEST_FPERIOD_OVERRIDE=FQ","FILING_STATUS=OR","EQY_CONSOLIDATED=Y","FA_ADJUSTED=GAAP","Sort=A","Dates=H","DateFormat=P","Fill=—","Direction=H","UseDPDF=Y")</f>
        <v>#NAME?</v>
      </c>
      <c r="AO19" s="1" t="e">
        <f ca="1">_xll.BDH($C$3,"GEO_GROW_OPER_INC","FQ1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9" s="1" t="e">
        <f ca="1">_xll.BDH($C$3,"NET_INCOME_TO_COMMON_5_YR_GROWTH","FQ1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9" s="1" t="e">
        <f ca="1">_xll.BDH($C$3,"5Y_GEO_GROWTH_DILUTED_EPS","FQ1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9" s="1" t="e">
        <f ca="1">_xll.BDH($C$3,"GEO_GROW_DVD_PER_SH","FQ1 2017","FQ1 2017","Currency=INR","Period=FQ","BEST_FPERIOD_OVERRIDE=FQ","FILING_STATUS=OR","EQY_CONSOLIDATED=Y","Sort=A","Dates=H","DateFormat=P","Fill=—","Direction=H","UseDPDF=Y")</f>
        <v>#NAME?</v>
      </c>
      <c r="AS19" s="1" t="e">
        <f ca="1">_xll.BDH($C$3,"ACCOUNTS_RECEIVABLE_5_YR_GROWTH","FQ1 2017","FQ1 2017","Currency=INR","Period=FQ","BEST_FPERIOD_OVERRIDE=FQ","FILING_STATUS=OR","EQY_CONSOLIDATED=Y","Sort=A","Dates=H","DateFormat=P","Fill=—","Direction=H","UseDPDF=Y")</f>
        <v>#NAME?</v>
      </c>
      <c r="AT19" s="1" t="e">
        <f ca="1">_xll.BDH($C$3,"INVENTORY_5_YEAR_GROWTH","FQ1 2017","FQ1 2017","Currency=INR","Period=FQ","BEST_FPERIOD_OVERRIDE=FQ","FILING_STATUS=OR","EQY_CONSOLIDATED=Y","Sort=A","Dates=H","DateFormat=P","Fill=—","Direction=H","UseDPDF=Y")</f>
        <v>#NAME?</v>
      </c>
      <c r="AU19" s="1" t="e">
        <f ca="1">_xll.BDH($C$3,"NET_FIXED_ASSETS_5_YEAR_GROWTH","FQ1 2017","FQ1 2017","Currency=INR","Period=FQ","BEST_FPERIOD_OVERRIDE=FQ","FILING_STATUS=OR","EQY_CONSOLIDATED=Y","Sort=A","Dates=H","DateFormat=P","Fill=—","Direction=H","UseDPDF=Y")</f>
        <v>#NAME?</v>
      </c>
      <c r="AV19" s="1" t="e">
        <f ca="1">_xll.BDH($C$3,"GEO_GROW_TOT_ASSET","FQ1 2017","FQ1 2017","Currency=INR","Period=FQ","BEST_FPERIOD_OVERRIDE=FQ","FILING_STATUS=OR","EQY_CONSOLIDATED=Y","Sort=A","Dates=H","DateFormat=P","Fill=—","Direction=H","UseDPDF=Y")</f>
        <v>#NAME?</v>
      </c>
      <c r="AW19" s="1" t="e">
        <f ca="1">_xll.BDH($C$3,"MODIFIED_WORKING_CPTL_5YR_GRWTH","FQ1 2017","FQ1 2017","Currency=INR","Period=FQ","BEST_FPERIOD_OVERRIDE=FQ","FILING_STATUS=OR","EQY_CONSOLIDATED=Y","Sort=A","Dates=H","DateFormat=P","Fill=—","Direction=H","UseDPDF=Y")</f>
        <v>#NAME?</v>
      </c>
      <c r="AX19" s="1" t="e">
        <f ca="1">_xll.BDH($C$3,"WORKING_CAPITAL_5_YEAR_GROWTH","FQ1 2017","FQ1 2017","Currency=INR","Period=FQ","BEST_FPERIOD_OVERRIDE=FQ","FILING_STATUS=OR","EQY_CONSOLIDATED=Y","Sort=A","Dates=H","DateFormat=P","Fill=—","Direction=H","UseDPDF=Y")</f>
        <v>#NAME?</v>
      </c>
      <c r="AY19" s="1" t="e">
        <f ca="1">_xll.BDH($C$3,"ACCOUNTS_PAYABLE_5_YEAR_GROWTH","FQ1 2017","FQ1 2017","Currency=INR","Period=FQ","BEST_FPERIOD_OVERRIDE=FQ","FILING_STATUS=OR","EQY_CONSOLIDATED=Y","Sort=A","Dates=H","DateFormat=P","Fill=—","Direction=H","UseDPDF=Y")</f>
        <v>#NAME?</v>
      </c>
      <c r="AZ19" s="1" t="e">
        <f ca="1">_xll.BDH($C$3,"SHORT_TERM_DEBT_5_YEAR_GROWTH","FQ1 2017","FQ1 2017","Currency=INR","Period=FQ","BEST_FPERIOD_OVERRIDE=FQ","FILING_STATUS=OR","EQY_CONSOLIDATED=Y","Sort=A","Dates=H","DateFormat=P","Fill=—","Direction=H","UseDPDF=Y")</f>
        <v>#NAME?</v>
      </c>
      <c r="BA19" s="1" t="e">
        <f ca="1">_xll.BDH($C$3,"TOTAL_DEBT_5_YEAR_GROWTH","FQ1 2017","FQ1 2017","Currency=INR","Period=FQ","BEST_FPERIOD_OVERRIDE=FQ","FILING_STATUS=OR","EQY_CONSOLIDATED=Y","Sort=A","Dates=H","DateFormat=P","Fill=—","Direction=H","UseDPDF=Y")</f>
        <v>#NAME?</v>
      </c>
      <c r="BB19" s="1" t="e">
        <f ca="1">_xll.BDH($C$3,"GEO_GROW_TOT_SHRHLDR_EQY","FQ1 2017","FQ1 2017","Currency=INR","Period=FQ","BEST_FPERIOD_OVERRIDE=FQ","FILING_STATUS=OR","EQY_CONSOLIDATED=Y","Sort=A","Dates=H","DateFormat=P","Fill=—","Direction=H","UseDPDF=Y")</f>
        <v>#NAME?</v>
      </c>
      <c r="BC19" s="1" t="e">
        <f ca="1">_xll.BDH($C$3,"TOTAL_CAPITAL_5_YEAR_GROWTH","FQ1 2017","FQ1 2017","Currency=INR","Period=FQ","BEST_FPERIOD_OVERRIDE=FQ","FILING_STATUS=OR","EQY_CONSOLIDATED=Y","Sort=A","Dates=H","DateFormat=P","Fill=—","Direction=H","UseDPDF=Y")</f>
        <v>#NAME?</v>
      </c>
      <c r="BD19" s="1" t="e">
        <f ca="1">_xll.BDH($C$3,"GEO_GROW_BOOK_VAL","FQ1 2017","FQ1 2017","Currency=INR","Period=FQ","BEST_FPERIOD_OVERRIDE=FQ","FILING_STATUS=OR","EQY_CONSOLIDATED=Y","Sort=A","Dates=H","DateFormat=P","Fill=—","Direction=H","UseDPDF=Y")</f>
        <v>#NAME?</v>
      </c>
      <c r="BE19" s="1" t="e">
        <f ca="1">_xll.BDH($C$3,"GEO_GROW_CASH_OPER_ACT","FQ1 2017","FQ1 2017","Currency=INR","Period=FQ","BEST_FPERIOD_OVERRIDE=FQ","FILING_STATUS=OR","EQY_CONSOLIDATED=Y","Sort=A","Dates=H","DateFormat=P","Fill=—","Direction=H","UseDPDF=Y")</f>
        <v>#NAME?</v>
      </c>
      <c r="BF19" s="1" t="e">
        <f ca="1">_xll.BDH($C$3,"REVENUE_SEQUENTIAL_GROWTH","FQ1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9" s="1" t="e">
        <f ca="1">_xll.BDH($C$3,"EBITDA_SEQUENTIAL_GROWTH","FQ1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9" s="1" t="e">
        <f ca="1">_xll.BDH($C$3,"OPERATING_INCOME_SEQ_GROWTH","FQ1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9" s="1" t="e">
        <f ca="1">_xll.BDH($C$3,"NET_INCOME_TO_COMMON_SEQ_GROWTH","FQ1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9" s="1" t="e">
        <f ca="1">_xll.BDH($C$3,"EPS_DILUTED_SEQUENTIAL_GROWTH","FQ1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9" s="1" t="e">
        <f ca="1">_xll.BDH($C$3,"DPS_SEQUENTIAL_GROWTH","FQ1 2017","FQ1 2017","Currency=INR","Period=FQ","BEST_FPERIOD_OVERRIDE=FQ","FILING_STATUS=OR","EQY_CONSOLIDATED=Y","Sort=A","Dates=H","DateFormat=P","Fill=—","Direction=H","UseDPDF=Y")</f>
        <v>#NAME?</v>
      </c>
      <c r="BL19" s="1" t="e">
        <f ca="1">_xll.BDH($C$3,"ACCOUNTS_RECEIVABLE_SEQ_GROWTH","FQ1 2017","FQ1 2017","Currency=INR","Period=FQ","BEST_FPERIOD_OVERRIDE=FQ","FILING_STATUS=OR","EQY_CONSOLIDATED=Y","Sort=A","Dates=H","DateFormat=P","Fill=—","Direction=H","UseDPDF=Y")</f>
        <v>#NAME?</v>
      </c>
      <c r="BM19" s="1" t="e">
        <f ca="1">_xll.BDH($C$3,"INVENTORY_SEQUENTIAL_GROWTH","FQ1 2017","FQ1 2017","Currency=INR","Period=FQ","BEST_FPERIOD_OVERRIDE=FQ","FILING_STATUS=OR","EQY_CONSOLIDATED=Y","Sort=A","Dates=H","DateFormat=P","Fill=—","Direction=H","UseDPDF=Y")</f>
        <v>#NAME?</v>
      </c>
      <c r="BN19" s="1" t="e">
        <f ca="1">_xll.BDH($C$3,"FIXED_ASSETS_SEQUENTIAL_GROWTH","FQ1 2017","FQ1 2017","Currency=INR","Period=FQ","BEST_FPERIOD_OVERRIDE=FQ","FILING_STATUS=OR","EQY_CONSOLIDATED=Y","Sort=A","Dates=H","DateFormat=P","Fill=—","Direction=H","UseDPDF=Y")</f>
        <v>#NAME?</v>
      </c>
      <c r="BO19" s="1" t="e">
        <f ca="1">_xll.BDH($C$3,"TOTAL_ASSETS_SEQUENTIAL_GROWTH","FQ1 2017","FQ1 2017","Currency=INR","Period=FQ","BEST_FPERIOD_OVERRIDE=FQ","FILING_STATUS=OR","EQY_CONSOLIDATED=Y","Sort=A","Dates=H","DateFormat=P","Fill=—","Direction=H","UseDPDF=Y")</f>
        <v>#NAME?</v>
      </c>
      <c r="BP19" s="1" t="e">
        <f ca="1">_xll.BDH($C$3,"MODIFIED_WORKING_CPTL_SEQ_GRWTH","FQ1 2017","FQ1 2017","Currency=INR","Period=FQ","BEST_FPERIOD_OVERRIDE=FQ","FILING_STATUS=OR","EQY_CONSOLIDATED=Y","Sort=A","Dates=H","DateFormat=P","Fill=—","Direction=H","UseDPDF=Y")</f>
        <v>#NAME?</v>
      </c>
      <c r="BQ19" s="1" t="e">
        <f ca="1">_xll.BDH($C$3,"WORKING_CAPITAL_SEQ_GROWTH","FQ1 2017","FQ1 2017","Currency=INR","Period=FQ","BEST_FPERIOD_OVERRIDE=FQ","FILING_STATUS=OR","EQY_CONSOLIDATED=Y","Sort=A","Dates=H","DateFormat=P","Fill=—","Direction=H","UseDPDF=Y")</f>
        <v>#NAME?</v>
      </c>
      <c r="BR19" s="1" t="e">
        <f ca="1">_xll.BDH($C$3,"ACCOUNTS_PAYABLE_SEQ_GROWTH","FQ1 2017","FQ1 2017","Currency=INR","Period=FQ","BEST_FPERIOD_OVERRIDE=FQ","FILING_STATUS=OR","EQY_CONSOLIDATED=Y","Sort=A","Dates=H","DateFormat=P","Fill=—","Direction=H","UseDPDF=Y")</f>
        <v>#NAME?</v>
      </c>
      <c r="BS19" s="1" t="e">
        <f ca="1">_xll.BDH($C$3,"ST_DEBT_SEQUENTIAL_GROWTH","FQ1 2017","FQ1 2017","Currency=INR","Period=FQ","BEST_FPERIOD_OVERRIDE=FQ","FILING_STATUS=OR","EQY_CONSOLIDATED=Y","Sort=A","Dates=H","DateFormat=P","Fill=—","Direction=H","UseDPDF=Y")</f>
        <v>#NAME?</v>
      </c>
      <c r="BT19" s="1" t="e">
        <f ca="1">_xll.BDH($C$3,"TOTAL_DEBT_SEQUENTIAL_GROWTH","FQ1 2017","FQ1 2017","Currency=INR","Period=FQ","BEST_FPERIOD_OVERRIDE=FQ","FILING_STATUS=OR","EQY_CONSOLIDATED=Y","Sort=A","Dates=H","DateFormat=P","Fill=—","Direction=H","UseDPDF=Y")</f>
        <v>#NAME?</v>
      </c>
      <c r="BU19" s="1" t="e">
        <f ca="1">_xll.BDH($C$3,"TOTAL_EQUITY_SEQUENTIAL_GROWTH","FQ1 2017","FQ1 2017","Currency=INR","Period=FQ","BEST_FPERIOD_OVERRIDE=FQ","FILING_STATUS=OR","EQY_CONSOLIDATED=Y","Sort=A","Dates=H","DateFormat=P","Fill=—","Direction=H","UseDPDF=Y")</f>
        <v>#NAME?</v>
      </c>
      <c r="BV19" s="1" t="e">
        <f ca="1">_xll.BDH($C$3,"TOTAL_CAPITAL_SEQUENTIAL_GROWTH","FQ1 2017","FQ1 2017","Currency=INR","Period=FQ","BEST_FPERIOD_OVERRIDE=FQ","FILING_STATUS=OR","EQY_CONSOLIDATED=Y","Sort=A","Dates=H","DateFormat=P","Fill=—","Direction=H","UseDPDF=Y")</f>
        <v>#NAME?</v>
      </c>
      <c r="BW19" s="1" t="e">
        <f ca="1">_xll.BDH($C$3,"BPS_SEQUENTIAL_GROWTH","FQ1 2017","FQ1 2017","Currency=INR","Period=FQ","BEST_FPERIOD_OVERRIDE=FQ","FILING_STATUS=OR","EQY_CONSOLIDATED=Y","Sort=A","Dates=H","DateFormat=P","Fill=—","Direction=H","UseDPDF=Y")</f>
        <v>#NAME?</v>
      </c>
      <c r="BX19" s="1" t="e">
        <f ca="1">_xll.BDH($C$3,"CFO_SEQUENTIAL_GROWTH","FQ1 2017","FQ1 2017","Currency=INR","Period=FQ","BEST_FPERIOD_OVERRIDE=FQ","FILING_STATUS=OR","EQY_CONSOLIDATED=Y","Sort=A","Dates=H","DateFormat=P","Fill=—","Direction=H","UseDPDF=Y")</f>
        <v>#NAME?</v>
      </c>
      <c r="BY19" s="2" t="e">
        <f ca="1">_xll.BDH($C$3,"SHORT_AND_LONG_TERM_DEBT","FQ1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9" s="2" t="e">
        <f ca="1">_xll.BDH($C$3,"BS_ST_BORROW","FQ1 2017","FQ1 2017","Currency=INR","Period=FQ","BEST_FPERIOD_OVERRIDE=FQ","FILING_STATUS=OR","EQY_CONSOLIDATED=Y","SCALING_FORMAT=MLN","Sort=A","Dates=H","DateFormat=P","Fill=—","Direction=H","UseDPDF=Y")</f>
        <v>#NAME?</v>
      </c>
      <c r="CA19" s="2" t="e">
        <f ca="1">_xll.BDH($C$3,"BS_LT_BORROW","FQ1 2017","FQ1 2017","Currency=INR","Period=FQ","BEST_FPERIOD_OVERRIDE=FQ","FILING_STATUS=OR","EQY_CONSOLIDATED=Y","SCALING_FORMAT=MLN","Sort=A","Dates=H","DateFormat=P","Fill=—","Direction=H","UseDPDF=Y")</f>
        <v>#NAME?</v>
      </c>
      <c r="CB19" s="1" t="e">
        <f ca="1">_xll.BDH($C$3,"TOT_DEBT_TO_EBITDA","FQ1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9" s="1" t="e">
        <f ca="1">_xll.BDH($C$3,"NET_DEBT_TO_EBITDA","FQ1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9" s="1" t="e">
        <f ca="1">_xll.BDH($C$3,"TOTAL_DEBT_TO_EBIT","FQ1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9" s="1" t="e">
        <f ca="1">_xll.BDH($C$3,"NET_DEBT_TO_EBIT","FQ1 2017","FQ1 2017","Currency=INR","Period=FQ","BEST_FPERIOD_OVERRIDE=FQ","FILING_STATUS=OR","EQY_CONSOLIDATED=Y","FA_ADJUSTED=GAAP","Sort=A","Dates=H","DateFormat=P","Fill=—","Direction=H","UseDPDF=Y")</f>
        <v>#NAME?</v>
      </c>
      <c r="CF19" s="1" t="e">
        <f ca="1">_xll.BDH($C$3,"EBITDA_TO_INTEREST_EXPN","FQ1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9" s="1" t="e">
        <f ca="1">_xll.BDH($C$3,"COM_EQY_TO_TOT_ASSET","FQ1 2017","FQ1 2017","Currency=INR","Period=FQ","BEST_FPERIOD_OVERRIDE=FQ","FILING_STATUS=OR","EQY_CONSOLIDATED=Y","Sort=A","Dates=H","DateFormat=P","Fill=—","Direction=H","UseDPDF=Y")</f>
        <v>#NAME?</v>
      </c>
      <c r="CH19" s="1" t="e">
        <f ca="1">_xll.BDH($C$3,"LT_DEBT_TO_TOT_EQY","FQ1 2017","FQ1 2017","Currency=INR","Period=FQ","BEST_FPERIOD_OVERRIDE=FQ","FILING_STATUS=OR","EQY_CONSOLIDATED=Y","Sort=A","Dates=H","DateFormat=P","Fill=—","Direction=H","UseDPDF=Y")</f>
        <v>#NAME?</v>
      </c>
      <c r="CI19" s="1" t="e">
        <f ca="1">_xll.BDH($C$3,"LT_DEBT_TO_TOT_CAP","FQ1 2017","FQ1 2017","Currency=INR","Period=FQ","BEST_FPERIOD_OVERRIDE=FQ","FILING_STATUS=OR","EQY_CONSOLIDATED=Y","Sort=A","Dates=H","DateFormat=P","Fill=—","Direction=H","UseDPDF=Y")</f>
        <v>#NAME?</v>
      </c>
      <c r="CJ19" s="1" t="e">
        <f ca="1">_xll.BDH($C$3,"LT_DEBT_TO_TOT_ASSET","FQ1 2017","FQ1 2017","Currency=INR","Period=FQ","BEST_FPERIOD_OVERRIDE=FQ","FILING_STATUS=OR","EQY_CONSOLIDATED=Y","Sort=A","Dates=H","DateFormat=P","Fill=—","Direction=H","UseDPDF=Y")</f>
        <v>#NAME?</v>
      </c>
      <c r="CK19" s="1" t="e">
        <f ca="1">_xll.BDH($C$3,"TOT_DEBT_TO_TOT_EQY","FQ1 2017","FQ1 2017","Currency=INR","Period=FQ","BEST_FPERIOD_OVERRIDE=FQ","FILING_STATUS=OR","EQY_CONSOLIDATED=Y","Sort=A","Dates=H","DateFormat=P","Fill=—","Direction=H","UseDPDF=Y")</f>
        <v>#NAME?</v>
      </c>
      <c r="CL19" s="1" t="e">
        <f ca="1">_xll.BDH($C$3,"TOT_DEBT_TO_TOT_CAP","FQ1 2017","FQ1 2017","Currency=INR","Period=FQ","BEST_FPERIOD_OVERRIDE=FQ","FILING_STATUS=OR","EQY_CONSOLIDATED=Y","Sort=A","Dates=H","DateFormat=P","Fill=—","Direction=H","UseDPDF=Y")</f>
        <v>#NAME?</v>
      </c>
      <c r="CM19" s="1" t="e">
        <f ca="1">_xll.BDH($C$3,"TOT_DEBT_TO_TOT_ASSET","FQ1 2017","FQ1 2017","Currency=INR","Period=FQ","BEST_FPERIOD_OVERRIDE=FQ","FILING_STATUS=OR","EQY_CONSOLIDATED=Y","Sort=A","Dates=H","DateFormat=P","Fill=—","Direction=H","UseDPDF=Y")</f>
        <v>#NAME?</v>
      </c>
      <c r="CN19" s="1" t="e">
        <f ca="1">_xll.BDH($C$3,"NET_DEBT_TO_SHRHLDR_EQTY","FQ1 2017","FQ1 2017","Currency=INR","Period=FQ","BEST_FPERIOD_OVERRIDE=FQ","FILING_STATUS=OR","EQY_CONSOLIDATED=Y","Sort=A","Dates=H","DateFormat=P","Fill=—","Direction=H","UseDPDF=Y")</f>
        <v>#NAME?</v>
      </c>
      <c r="CO19" s="1" t="e">
        <f ca="1">_xll.BDH($C$3,"NET_DEBT_%_CAPITAL","FQ1 2017","FQ1 2017","Currency=INR","Period=FQ","BEST_FPERIOD_OVERRIDE=FQ","FILING_STATUS=OR","EQY_CONSOLIDATED=Y","Sort=A","Dates=H","DateFormat=P","Fill=—","Direction=H","UseDPDF=Y")</f>
        <v>#NAME?</v>
      </c>
      <c r="CP19" s="2" t="e">
        <f ca="1">_xll.BDH($C$3,"EBITDA","FQ1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9" s="2" t="e">
        <f ca="1">_xll.BDH($C$3,"EBITDA_AFTER_CAPEX","FQ1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9" s="2" t="e">
        <f ca="1">_xll.BDH($C$3,"IS_OPER_INC","FQ1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9" s="1" t="e">
        <f ca="1">_xll.BDH($C$3,"CASH_RATIO","FQ1 2017","FQ1 2017","Currency=INR","Period=FQ","BEST_FPERIOD_OVERRIDE=FQ","FILING_STATUS=OR","EQY_CONSOLIDATED=Y","Sort=A","Dates=H","DateFormat=P","Fill=—","Direction=H","UseDPDF=Y")</f>
        <v>#NAME?</v>
      </c>
      <c r="CT19" s="1" t="e">
        <f ca="1">_xll.BDH($C$3,"CUR_RATIO","FQ1 2017","FQ1 2017","Currency=INR","Period=FQ","BEST_FPERIOD_OVERRIDE=FQ","FILING_STATUS=OR","EQY_CONSOLIDATED=Y","Sort=A","Dates=H","DateFormat=P","Fill=—","Direction=H","UseDPDF=Y")</f>
        <v>#NAME?</v>
      </c>
      <c r="CU19" s="1" t="e">
        <f ca="1">_xll.BDH($C$3,"QUICK_RATIO","FQ1 2017","FQ1 2017","Currency=INR","Period=FQ","BEST_FPERIOD_OVERRIDE=FQ","FILING_STATUS=OR","EQY_CONSOLIDATED=Y","Sort=A","Dates=H","DateFormat=P","Fill=—","Direction=H","UseDPDF=Y")</f>
        <v>#NAME?</v>
      </c>
      <c r="CV19" s="1" t="e">
        <f ca="1">_xll.BDH($C$3,"ALTMAN_Z_SCORE","FQ1 2017","FQ1 2017","Currency=INR","Period=FQ","BEST_FPERIOD_OVERRIDE=FQ","FILING_STATUS=OR","EQY_CONSOLIDATED=Y","Sort=A","Dates=H","DateFormat=P","Fill=—","Direction=H","UseDPDF=Y")</f>
        <v>#NAME?</v>
      </c>
      <c r="CW19" s="3" t="e">
        <f ca="1">_xll.BDH($C$3,"ACCT_RCV_TURN","FQ1 2017","FQ1 2017","Currency=INR","Period=FQ","BEST_FPERIOD_OVERRIDE=FQ","FILING_STATUS=OR","EQY_CONSOLIDATED=Y","FA_ADJUSTED=GAAP","Sort=A","Dates=H","DateFormat=P","Fill=—","Direction=H","UseDPDF=Y")</f>
        <v>#NAME?</v>
      </c>
      <c r="CX19" s="1" t="e">
        <f ca="1">_xll.BDH($C$3,"ACCT_RCV_DAYS","FQ1 2017","FQ1 2017","Currency=INR","Period=FQ","BEST_FPERIOD_OVERRIDE=FQ","FILING_STATUS=OR","EQY_CONSOLIDATED=Y","FA_ADJUSTED=GAAP","Sort=A","Dates=H","DateFormat=P","Fill=—","Direction=H","UseDPDF=Y")</f>
        <v>#NAME?</v>
      </c>
      <c r="CY19" s="3" t="e">
        <f ca="1">_xll.BDH($C$3,"INVENT_TURN","FQ1 2017","FQ1 2017","Currency=INR","Period=FQ","BEST_FPERIOD_OVERRIDE=FQ","FILING_STATUS=OR","EQY_CONSOLIDATED=Y","FA_ADJUSTED=GAAP","Sort=A","Dates=H","DateFormat=P","Fill=—","Direction=H","UseDPDF=Y")</f>
        <v>#NAME?</v>
      </c>
      <c r="CZ19" s="1" t="e">
        <f ca="1">_xll.BDH($C$3,"INVENT_DAYS","FQ1 2017","FQ1 2017","Currency=INR","Period=FQ","BEST_FPERIOD_OVERRIDE=FQ","FILING_STATUS=OR","EQY_CONSOLIDATED=Y","FA_ADJUSTED=GAAP","Sort=A","Dates=H","DateFormat=P","Fill=—","Direction=H","UseDPDF=Y")</f>
        <v>#NAME?</v>
      </c>
      <c r="DA19" s="3" t="e">
        <f ca="1">_xll.BDH($C$3,"ACCOUNTS_PAYABLE_TURNOVER","FQ1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9" s="1" t="e">
        <f ca="1">_xll.BDH($C$3,"ACCOUNTS_PAYABLE_TURNOVER_DAYS","FQ1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9" s="3" t="e">
        <f ca="1">_xll.BDH($C$3,"CASH_CONVERSION_CYCLE","FQ1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9" s="3" t="e">
        <f ca="1">_xll.BDH($C$3,"INV_TO_CASH_DAYS","FQ1 2017","FQ1 2017","Currency=INR","Period=FQ","BEST_FPERIOD_OVERRIDE=FQ","FILING_STATUS=OR","EQY_CONSOLIDATED=Y","FA_ADJUSTED=GAAP","Sort=A","Dates=H","DateFormat=P","Fill=—","Direction=H","UseDPDF=Y")</f>
        <v>#NAME?</v>
      </c>
      <c r="DE19" s="4" t="e">
        <f ca="1">_xll.BDH($C$3,"BS_INVENTORIES","FQ1 2017","FQ1 2017","Currency=INR","Period=FQ","BEST_FPERIOD_OVERRIDE=FQ","FILING_STATUS=OR","EQY_CONSOLIDATED=Y","SCALING_FORMAT=MLN","Sort=A","Dates=H","DateFormat=P","Fill=—","Direction=H","UseDPDF=Y")</f>
        <v>#NAME?</v>
      </c>
      <c r="DF19" s="2" t="e">
        <f ca="1">_xll.BDH($C$3,"INVTRY_RAW_MATERIALS","FQ1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9" s="2" t="e">
        <f ca="1">_xll.BDH($C$3,"INVTRY_IN_PROGRESS","FQ1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9" s="2" t="e">
        <f ca="1">_xll.BDH($C$3,"INVTRY_FINISHED_GOODS","FQ1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9" s="2" t="e">
        <f ca="1">_xll.BDH($C$3,"BS_OTHER_INV","FQ1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0" spans="1:113" x14ac:dyDescent="0.3">
      <c r="A20" s="6"/>
      <c r="B20" s="6"/>
      <c r="C20" s="6"/>
      <c r="D20" s="6"/>
      <c r="E20" t="s">
        <v>5</v>
      </c>
      <c r="F20" t="e">
        <f ca="1">_xll.BDH($C$3,"RETURN_COM_EQY","FQ2 2017","FQ2 2017","Currency=INR","Period=FQ","BEST_FPERIOD_OVERRIDE=FQ","FILING_STATUS=OR","EQY_CONSOLIDATED=Y","FA_ADJUSTED=GAAP","Sort=A","Dates=H","DateFormat=P","Fill=—","Direction=H","UseDPDF=Y")</f>
        <v>#NAME?</v>
      </c>
      <c r="G20" t="e">
        <f ca="1">_xll.BDH($C$3,"RETURN_ON_ASSET","FQ2 2017","FQ2 2017","Currency=INR","Period=FQ","BEST_FPERIOD_OVERRIDE=FQ","FILING_STATUS=OR","EQY_CONSOLIDATED=Y","FA_ADJUSTED=GAAP","Sort=A","Dates=H","DateFormat=P","Fill=—","Direction=H","UseDPDF=Y")</f>
        <v>#NAME?</v>
      </c>
      <c r="H20" t="e">
        <f ca="1">_xll.BDH($C$3,"RETURN_ON_CAP","FQ2 2017","FQ2 2017","Currency=INR","Period=FQ","BEST_FPERIOD_OVERRIDE=FQ","FILING_STATUS=OR","EQY_CONSOLIDATED=Y","FA_ADJUSTED=GAAP","Sort=A","Dates=H","DateFormat=P","Fill=—","Direction=H","UseDPDF=Y")</f>
        <v>#NAME?</v>
      </c>
      <c r="I20" t="e">
        <f ca="1">_xll.BDH($C$3,"RETURN_ON_INV_CAPITAL","FQ2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0" t="e">
        <f ca="1">_xll.BDH($C$3,"EBITDA_TO_REVENUE","FQ2 2017","FQ2 2017","Currency=INR","Period=FQ","BEST_FPERIOD_OVERRIDE=FQ","FILING_STATUS=OR","EQY_CONSOLIDATED=Y","FA_ADJUSTED=GAAP","Sort=A","Dates=H","DateFormat=P","Fill=—","Direction=H","UseDPDF=Y")</f>
        <v>#NAME?</v>
      </c>
      <c r="K20" t="e">
        <f ca="1">_xll.BDH($C$3,"OPER_MARGIN","FQ2 2017","FQ2 2017","Currency=INR","Period=FQ","BEST_FPERIOD_OVERRIDE=FQ","FILING_STATUS=OR","EQY_CONSOLIDATED=Y","FA_ADJUSTED=GAAP","Sort=A","Dates=H","DateFormat=P","Fill=—","Direction=H","UseDPDF=Y")</f>
        <v>#NAME?</v>
      </c>
      <c r="L20" t="e">
        <f ca="1">_xll.BDH($C$3,"INCREMENTAL_OPERATING_MARGIN","FQ2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0" t="e">
        <f ca="1">_xll.BDH($C$3,"PRETAX_INC_TO_NET_SALES","FQ2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0" t="e">
        <f ca="1">_xll.BDH($C$3,"INC_BEF_XO_ITEMS_TO_NET_SALES","FQ2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0" t="e">
        <f ca="1">_xll.BDH($C$3,"PROF_MARGIN","FQ2 2017","FQ2 2017","Currency=INR","Period=FQ","BEST_FPERIOD_OVERRIDE=FQ","FILING_STATUS=OR","EQY_CONSOLIDATED=Y","FA_ADJUSTED=GAAP","Sort=A","Dates=H","DateFormat=P","Fill=—","Direction=H","UseDPDF=Y")</f>
        <v>#NAME?</v>
      </c>
      <c r="P20" t="e">
        <f ca="1">_xll.BDH($C$3,"NET_INCOME_TO_COMMON_MARGIN","FQ2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0" t="e">
        <f ca="1">_xll.BDH($C$3,"EFF_TAX_RATE","FQ2 2017","FQ2 2017","Currency=INR","Period=FQ","BEST_FPERIOD_OVERRIDE=FQ","FILING_STATUS=OR","EQY_CONSOLIDATED=Y","FA_ADJUSTED=GAAP","Sort=A","Dates=H","DateFormat=P","Fill=—","Direction=H","UseDPDF=Y")</f>
        <v>#NAME?</v>
      </c>
      <c r="R20" t="e">
        <f ca="1">_xll.BDH($C$3,"DVD_PAYOUT_RATIO","FQ2 2017","FQ2 2017","Currency=INR","Period=FQ","BEST_FPERIOD_OVERRIDE=FQ","FILING_STATUS=OR","EQY_CONSOLIDATED=Y","FA_ADJUSTED=GAAP","Sort=A","Dates=H","DateFormat=P","Fill=—","Direction=H","UseDPDF=Y")</f>
        <v>#NAME?</v>
      </c>
      <c r="S20" t="e">
        <f ca="1">_xll.BDH($C$3,"SUSTAIN_GROWTH_RT","FQ2 2017","FQ2 2017","Currency=INR","Period=FQ","BEST_FPERIOD_OVERRIDE=FQ","FILING_STATUS=OR","EQY_CONSOLIDATED=Y","FA_ADJUSTED=GAAP","Sort=A","Dates=H","DateFormat=P","Fill=—","Direction=H","UseDPDF=Y")</f>
        <v>#NAME?</v>
      </c>
      <c r="T20" s="1" t="e">
        <f ca="1">_xll.BDH($C$3,"SALES_GROWTH","FQ2 2017","FQ2 2017","Currency=INR","Period=FQ","BEST_FPERIOD_OVERRIDE=FQ","FILING_STATUS=OR","EQY_CONSOLIDATED=Y","FA_ADJUSTED=GAAP","Sort=A","Dates=H","DateFormat=P","Fill=—","Direction=H","UseDPDF=Y")</f>
        <v>#NAME?</v>
      </c>
      <c r="U20" s="1" t="e">
        <f ca="1">_xll.BDH($C$3,"EBITDA_GROWTH","FQ2 2017","FQ2 2017","Currency=INR","Period=FQ","BEST_FPERIOD_OVERRIDE=FQ","FILING_STATUS=OR","EQY_CONSOLIDATED=Y","FA_ADJUSTED=GAAP","Sort=A","Dates=H","DateFormat=P","Fill=—","Direction=H","UseDPDF=Y")</f>
        <v>#NAME?</v>
      </c>
      <c r="V20" s="1" t="e">
        <f ca="1">_xll.BDH($C$3,"OPER_INC_GROWTH","FQ2 2017","FQ2 2017","Currency=INR","Period=FQ","BEST_FPERIOD_OVERRIDE=FQ","FILING_STATUS=OR","EQY_CONSOLIDATED=Y","FA_ADJUSTED=GAAP","Sort=A","Dates=H","DateFormat=P","Fill=—","Direction=H","UseDPDF=Y")</f>
        <v>#NAME?</v>
      </c>
      <c r="W20" s="1" t="e">
        <f ca="1">_xll.BDH($C$3,"EARN_FOR_COM_GROWTH","FQ2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0" s="1" t="e">
        <f ca="1">_xll.BDH($C$3,"DILUTED_EPS_AFT_XO_ITEMS_GROWTH","FQ2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0" s="1" t="e">
        <f ca="1">_xll.BDH($C$3,"DIVIDEND_PER_SHARE_1_YEAR_GROWTH","FQ2 2017","FQ2 2017","Currency=INR","Period=FQ","BEST_FPERIOD_OVERRIDE=FQ","FILING_STATUS=OR","EQY_CONSOLIDATED=Y","Sort=A","Dates=H","DateFormat=P","Fill=—","Direction=H","UseDPDF=Y")</f>
        <v>#NAME?</v>
      </c>
      <c r="Z20" s="1" t="e">
        <f ca="1">_xll.BDH($C$3,"ACCOUNTS_RECEIVABLE_GROWTH","FQ2 2017","FQ2 2017","Currency=INR","Period=FQ","BEST_FPERIOD_OVERRIDE=FQ","FILING_STATUS=OR","EQY_CONSOLIDATED=Y","Sort=A","Dates=H","DateFormat=P","Fill=—","Direction=H","UseDPDF=Y")</f>
        <v>#NAME?</v>
      </c>
      <c r="AA20" s="1" t="e">
        <f ca="1">_xll.BDH($C$3,"INVENTORY_GROWTH","FQ2 2017","FQ2 2017","Currency=INR","Period=FQ","BEST_FPERIOD_OVERRIDE=FQ","FILING_STATUS=OR","EQY_CONSOLIDATED=Y","Sort=A","Dates=H","DateFormat=P","Fill=—","Direction=H","UseDPDF=Y")</f>
        <v>#NAME?</v>
      </c>
      <c r="AB20" s="1" t="e">
        <f ca="1">_xll.BDH($C$3,"NET_FIXED_ASSETS_1_YEAR_GROWTH","FQ2 2017","FQ2 2017","Currency=INR","Period=FQ","BEST_FPERIOD_OVERRIDE=FQ","FILING_STATUS=OR","EQY_CONSOLIDATED=Y","Sort=A","Dates=H","DateFormat=P","Fill=—","Direction=H","UseDPDF=Y")</f>
        <v>#NAME?</v>
      </c>
      <c r="AC20" s="1" t="e">
        <f ca="1">_xll.BDH($C$3,"ASSET_GROWTH","FQ2 2017","FQ2 2017","Currency=INR","Period=FQ","BEST_FPERIOD_OVERRIDE=FQ","FILING_STATUS=OR","EQY_CONSOLIDATED=Y","Sort=A","Dates=H","DateFormat=P","Fill=—","Direction=H","UseDPDF=Y")</f>
        <v>#NAME?</v>
      </c>
      <c r="AD20" s="1" t="e">
        <f ca="1">_xll.BDH($C$3,"MODIFIED_WORK_CAP_GROWTH","FQ2 2017","FQ2 2017","Currency=INR","Period=FQ","BEST_FPERIOD_OVERRIDE=FQ","FILING_STATUS=OR","EQY_CONSOLIDATED=Y","Sort=A","Dates=H","DateFormat=P","Fill=—","Direction=H","UseDPDF=Y")</f>
        <v>#NAME?</v>
      </c>
      <c r="AE20" s="1" t="e">
        <f ca="1">_xll.BDH($C$3,"WORK_CAP_GROWTH","FQ2 2017","FQ2 2017","Currency=INR","Period=FQ","BEST_FPERIOD_OVERRIDE=FQ","FILING_STATUS=OR","EQY_CONSOLIDATED=Y","Sort=A","Dates=H","DateFormat=P","Fill=—","Direction=H","UseDPDF=Y")</f>
        <v>#NAME?</v>
      </c>
      <c r="AF20" s="1" t="e">
        <f ca="1">_xll.BDH($C$3,"ACCOUNTS_PAYABLE_GROWTH_1YR","FQ2 2017","FQ2 2017","Currency=INR","Period=FQ","BEST_FPERIOD_OVERRIDE=FQ","FILING_STATUS=OR","EQY_CONSOLIDATED=Y","Sort=A","Dates=H","DateFormat=P","Fill=—","Direction=H","UseDPDF=Y")</f>
        <v>#NAME?</v>
      </c>
      <c r="AG20" s="1" t="e">
        <f ca="1">_xll.BDH($C$3,"SHORT_TERM_DEBT_1_YEAR_GROWTH","FQ2 2017","FQ2 2017","Currency=INR","Period=FQ","BEST_FPERIOD_OVERRIDE=FQ","FILING_STATUS=OR","EQY_CONSOLIDATED=Y","Sort=A","Dates=H","DateFormat=P","Fill=—","Direction=H","UseDPDF=Y")</f>
        <v>#NAME?</v>
      </c>
      <c r="AH20" s="1" t="e">
        <f ca="1">_xll.BDH($C$3,"TOTAL_DEBT_1_YEAR_GROWTH","FQ2 2017","FQ2 2017","Currency=INR","Period=FQ","BEST_FPERIOD_OVERRIDE=FQ","FILING_STATUS=OR","EQY_CONSOLIDATED=Y","Sort=A","Dates=H","DateFormat=P","Fill=—","Direction=H","UseDPDF=Y")</f>
        <v>#NAME?</v>
      </c>
      <c r="AI20" s="1" t="e">
        <f ca="1">_xll.BDH($C$3,"TOTAL_EQUITY_1_YEAR_GROWTH","FQ2 2017","FQ2 2017","Currency=INR","Period=FQ","BEST_FPERIOD_OVERRIDE=FQ","FILING_STATUS=OR","EQY_CONSOLIDATED=Y","Sort=A","Dates=H","DateFormat=P","Fill=—","Direction=H","UseDPDF=Y")</f>
        <v>#NAME?</v>
      </c>
      <c r="AJ20" s="1" t="e">
        <f ca="1">_xll.BDH($C$3,"GROWTH_IN_CAP","FQ2 2017","FQ2 2017","Currency=INR","Period=FQ","BEST_FPERIOD_OVERRIDE=FQ","FILING_STATUS=OR","EQY_CONSOLIDATED=Y","Sort=A","Dates=H","DateFormat=P","Fill=—","Direction=H","UseDPDF=Y")</f>
        <v>#NAME?</v>
      </c>
      <c r="AK20" s="1" t="e">
        <f ca="1">_xll.BDH($C$3,"BVPS_GROWTH","FQ2 2017","FQ2 2017","Currency=INR","Period=FQ","BEST_FPERIOD_OVERRIDE=FQ","FILING_STATUS=OR","EQY_CONSOLIDATED=Y","Sort=A","Dates=H","DateFormat=P","Fill=—","Direction=H","UseDPDF=Y")</f>
        <v>#NAME?</v>
      </c>
      <c r="AL20" s="1" t="e">
        <f ca="1">_xll.BDH($C$3,"CASH_FLOW_GROWTH","FQ2 2017","FQ2 2017","Currency=INR","Period=FQ","BEST_FPERIOD_OVERRIDE=FQ","FILING_STATUS=OR","EQY_CONSOLIDATED=Y","Sort=A","Dates=H","DateFormat=P","Fill=—","Direction=H","UseDPDF=Y")</f>
        <v>#NAME?</v>
      </c>
      <c r="AM20" s="1" t="e">
        <f ca="1">_xll.BDH($C$3,"GEO_GROW_NET_SALES","FQ2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0" s="1" t="e">
        <f ca="1">_xll.BDH($C$3,"GEO_GROW_EBITDA","FQ2 2017","FQ2 2017","Currency=INR","Period=FQ","BEST_FPERIOD_OVERRIDE=FQ","FILING_STATUS=OR","EQY_CONSOLIDATED=Y","FA_ADJUSTED=GAAP","Sort=A","Dates=H","DateFormat=P","Fill=—","Direction=H","UseDPDF=Y")</f>
        <v>#NAME?</v>
      </c>
      <c r="AO20" s="1" t="e">
        <f ca="1">_xll.BDH($C$3,"GEO_GROW_OPER_INC","FQ2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0" s="1" t="e">
        <f ca="1">_xll.BDH($C$3,"NET_INCOME_TO_COMMON_5_YR_GROWTH","FQ2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0" s="1" t="e">
        <f ca="1">_xll.BDH($C$3,"5Y_GEO_GROWTH_DILUTED_EPS","FQ2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0" s="1" t="e">
        <f ca="1">_xll.BDH($C$3,"GEO_GROW_DVD_PER_SH","FQ2 2017","FQ2 2017","Currency=INR","Period=FQ","BEST_FPERIOD_OVERRIDE=FQ","FILING_STATUS=OR","EQY_CONSOLIDATED=Y","Sort=A","Dates=H","DateFormat=P","Fill=—","Direction=H","UseDPDF=Y")</f>
        <v>#NAME?</v>
      </c>
      <c r="AS20" s="1" t="e">
        <f ca="1">_xll.BDH($C$3,"ACCOUNTS_RECEIVABLE_5_YR_GROWTH","FQ2 2017","FQ2 2017","Currency=INR","Period=FQ","BEST_FPERIOD_OVERRIDE=FQ","FILING_STATUS=OR","EQY_CONSOLIDATED=Y","Sort=A","Dates=H","DateFormat=P","Fill=—","Direction=H","UseDPDF=Y")</f>
        <v>#NAME?</v>
      </c>
      <c r="AT20" s="1" t="e">
        <f ca="1">_xll.BDH($C$3,"INVENTORY_5_YEAR_GROWTH","FQ2 2017","FQ2 2017","Currency=INR","Period=FQ","BEST_FPERIOD_OVERRIDE=FQ","FILING_STATUS=OR","EQY_CONSOLIDATED=Y","Sort=A","Dates=H","DateFormat=P","Fill=—","Direction=H","UseDPDF=Y")</f>
        <v>#NAME?</v>
      </c>
      <c r="AU20" s="1" t="e">
        <f ca="1">_xll.BDH($C$3,"NET_FIXED_ASSETS_5_YEAR_GROWTH","FQ2 2017","FQ2 2017","Currency=INR","Period=FQ","BEST_FPERIOD_OVERRIDE=FQ","FILING_STATUS=OR","EQY_CONSOLIDATED=Y","Sort=A","Dates=H","DateFormat=P","Fill=—","Direction=H","UseDPDF=Y")</f>
        <v>#NAME?</v>
      </c>
      <c r="AV20" s="1" t="e">
        <f ca="1">_xll.BDH($C$3,"GEO_GROW_TOT_ASSET","FQ2 2017","FQ2 2017","Currency=INR","Period=FQ","BEST_FPERIOD_OVERRIDE=FQ","FILING_STATUS=OR","EQY_CONSOLIDATED=Y","Sort=A","Dates=H","DateFormat=P","Fill=—","Direction=H","UseDPDF=Y")</f>
        <v>#NAME?</v>
      </c>
      <c r="AW20" s="1" t="e">
        <f ca="1">_xll.BDH($C$3,"MODIFIED_WORKING_CPTL_5YR_GRWTH","FQ2 2017","FQ2 2017","Currency=INR","Period=FQ","BEST_FPERIOD_OVERRIDE=FQ","FILING_STATUS=OR","EQY_CONSOLIDATED=Y","Sort=A","Dates=H","DateFormat=P","Fill=—","Direction=H","UseDPDF=Y")</f>
        <v>#NAME?</v>
      </c>
      <c r="AX20" s="1" t="e">
        <f ca="1">_xll.BDH($C$3,"WORKING_CAPITAL_5_YEAR_GROWTH","FQ2 2017","FQ2 2017","Currency=INR","Period=FQ","BEST_FPERIOD_OVERRIDE=FQ","FILING_STATUS=OR","EQY_CONSOLIDATED=Y","Sort=A","Dates=H","DateFormat=P","Fill=—","Direction=H","UseDPDF=Y")</f>
        <v>#NAME?</v>
      </c>
      <c r="AY20" s="1" t="e">
        <f ca="1">_xll.BDH($C$3,"ACCOUNTS_PAYABLE_5_YEAR_GROWTH","FQ2 2017","FQ2 2017","Currency=INR","Period=FQ","BEST_FPERIOD_OVERRIDE=FQ","FILING_STATUS=OR","EQY_CONSOLIDATED=Y","Sort=A","Dates=H","DateFormat=P","Fill=—","Direction=H","UseDPDF=Y")</f>
        <v>#NAME?</v>
      </c>
      <c r="AZ20" s="1" t="e">
        <f ca="1">_xll.BDH($C$3,"SHORT_TERM_DEBT_5_YEAR_GROWTH","FQ2 2017","FQ2 2017","Currency=INR","Period=FQ","BEST_FPERIOD_OVERRIDE=FQ","FILING_STATUS=OR","EQY_CONSOLIDATED=Y","Sort=A","Dates=H","DateFormat=P","Fill=—","Direction=H","UseDPDF=Y")</f>
        <v>#NAME?</v>
      </c>
      <c r="BA20" s="1" t="e">
        <f ca="1">_xll.BDH($C$3,"TOTAL_DEBT_5_YEAR_GROWTH","FQ2 2017","FQ2 2017","Currency=INR","Period=FQ","BEST_FPERIOD_OVERRIDE=FQ","FILING_STATUS=OR","EQY_CONSOLIDATED=Y","Sort=A","Dates=H","DateFormat=P","Fill=—","Direction=H","UseDPDF=Y")</f>
        <v>#NAME?</v>
      </c>
      <c r="BB20" s="1" t="e">
        <f ca="1">_xll.BDH($C$3,"GEO_GROW_TOT_SHRHLDR_EQY","FQ2 2017","FQ2 2017","Currency=INR","Period=FQ","BEST_FPERIOD_OVERRIDE=FQ","FILING_STATUS=OR","EQY_CONSOLIDATED=Y","Sort=A","Dates=H","DateFormat=P","Fill=—","Direction=H","UseDPDF=Y")</f>
        <v>#NAME?</v>
      </c>
      <c r="BC20" s="1" t="e">
        <f ca="1">_xll.BDH($C$3,"TOTAL_CAPITAL_5_YEAR_GROWTH","FQ2 2017","FQ2 2017","Currency=INR","Period=FQ","BEST_FPERIOD_OVERRIDE=FQ","FILING_STATUS=OR","EQY_CONSOLIDATED=Y","Sort=A","Dates=H","DateFormat=P","Fill=—","Direction=H","UseDPDF=Y")</f>
        <v>#NAME?</v>
      </c>
      <c r="BD20" s="1" t="e">
        <f ca="1">_xll.BDH($C$3,"GEO_GROW_BOOK_VAL","FQ2 2017","FQ2 2017","Currency=INR","Period=FQ","BEST_FPERIOD_OVERRIDE=FQ","FILING_STATUS=OR","EQY_CONSOLIDATED=Y","Sort=A","Dates=H","DateFormat=P","Fill=—","Direction=H","UseDPDF=Y")</f>
        <v>#NAME?</v>
      </c>
      <c r="BE20" s="1" t="e">
        <f ca="1">_xll.BDH($C$3,"GEO_GROW_CASH_OPER_ACT","FQ2 2017","FQ2 2017","Currency=INR","Period=FQ","BEST_FPERIOD_OVERRIDE=FQ","FILING_STATUS=OR","EQY_CONSOLIDATED=Y","Sort=A","Dates=H","DateFormat=P","Fill=—","Direction=H","UseDPDF=Y")</f>
        <v>#NAME?</v>
      </c>
      <c r="BF20" s="1" t="e">
        <f ca="1">_xll.BDH($C$3,"REVENUE_SEQUENTIAL_GROWTH","FQ2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0" s="1" t="e">
        <f ca="1">_xll.BDH($C$3,"EBITDA_SEQUENTIAL_GROWTH","FQ2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0" s="1" t="e">
        <f ca="1">_xll.BDH($C$3,"OPERATING_INCOME_SEQ_GROWTH","FQ2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0" s="1" t="e">
        <f ca="1">_xll.BDH($C$3,"NET_INCOME_TO_COMMON_SEQ_GROWTH","FQ2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0" s="1" t="e">
        <f ca="1">_xll.BDH($C$3,"EPS_DILUTED_SEQUENTIAL_GROWTH","FQ2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0" s="1" t="e">
        <f ca="1">_xll.BDH($C$3,"DPS_SEQUENTIAL_GROWTH","FQ2 2017","FQ2 2017","Currency=INR","Period=FQ","BEST_FPERIOD_OVERRIDE=FQ","FILING_STATUS=OR","EQY_CONSOLIDATED=Y","Sort=A","Dates=H","DateFormat=P","Fill=—","Direction=H","UseDPDF=Y")</f>
        <v>#NAME?</v>
      </c>
      <c r="BL20" s="1" t="e">
        <f ca="1">_xll.BDH($C$3,"ACCOUNTS_RECEIVABLE_SEQ_GROWTH","FQ2 2017","FQ2 2017","Currency=INR","Period=FQ","BEST_FPERIOD_OVERRIDE=FQ","FILING_STATUS=OR","EQY_CONSOLIDATED=Y","Sort=A","Dates=H","DateFormat=P","Fill=—","Direction=H","UseDPDF=Y")</f>
        <v>#NAME?</v>
      </c>
      <c r="BM20" s="1" t="e">
        <f ca="1">_xll.BDH($C$3,"INVENTORY_SEQUENTIAL_GROWTH","FQ2 2017","FQ2 2017","Currency=INR","Period=FQ","BEST_FPERIOD_OVERRIDE=FQ","FILING_STATUS=OR","EQY_CONSOLIDATED=Y","Sort=A","Dates=H","DateFormat=P","Fill=—","Direction=H","UseDPDF=Y")</f>
        <v>#NAME?</v>
      </c>
      <c r="BN20" s="1" t="e">
        <f ca="1">_xll.BDH($C$3,"FIXED_ASSETS_SEQUENTIAL_GROWTH","FQ2 2017","FQ2 2017","Currency=INR","Period=FQ","BEST_FPERIOD_OVERRIDE=FQ","FILING_STATUS=OR","EQY_CONSOLIDATED=Y","Sort=A","Dates=H","DateFormat=P","Fill=—","Direction=H","UseDPDF=Y")</f>
        <v>#NAME?</v>
      </c>
      <c r="BO20" s="1" t="e">
        <f ca="1">_xll.BDH($C$3,"TOTAL_ASSETS_SEQUENTIAL_GROWTH","FQ2 2017","FQ2 2017","Currency=INR","Period=FQ","BEST_FPERIOD_OVERRIDE=FQ","FILING_STATUS=OR","EQY_CONSOLIDATED=Y","Sort=A","Dates=H","DateFormat=P","Fill=—","Direction=H","UseDPDF=Y")</f>
        <v>#NAME?</v>
      </c>
      <c r="BP20" s="1" t="e">
        <f ca="1">_xll.BDH($C$3,"MODIFIED_WORKING_CPTL_SEQ_GRWTH","FQ2 2017","FQ2 2017","Currency=INR","Period=FQ","BEST_FPERIOD_OVERRIDE=FQ","FILING_STATUS=OR","EQY_CONSOLIDATED=Y","Sort=A","Dates=H","DateFormat=P","Fill=—","Direction=H","UseDPDF=Y")</f>
        <v>#NAME?</v>
      </c>
      <c r="BQ20" s="1" t="e">
        <f ca="1">_xll.BDH($C$3,"WORKING_CAPITAL_SEQ_GROWTH","FQ2 2017","FQ2 2017","Currency=INR","Period=FQ","BEST_FPERIOD_OVERRIDE=FQ","FILING_STATUS=OR","EQY_CONSOLIDATED=Y","Sort=A","Dates=H","DateFormat=P","Fill=—","Direction=H","UseDPDF=Y")</f>
        <v>#NAME?</v>
      </c>
      <c r="BR20" s="1" t="e">
        <f ca="1">_xll.BDH($C$3,"ACCOUNTS_PAYABLE_SEQ_GROWTH","FQ2 2017","FQ2 2017","Currency=INR","Period=FQ","BEST_FPERIOD_OVERRIDE=FQ","FILING_STATUS=OR","EQY_CONSOLIDATED=Y","Sort=A","Dates=H","DateFormat=P","Fill=—","Direction=H","UseDPDF=Y")</f>
        <v>#NAME?</v>
      </c>
      <c r="BS20" s="1" t="e">
        <f ca="1">_xll.BDH($C$3,"ST_DEBT_SEQUENTIAL_GROWTH","FQ2 2017","FQ2 2017","Currency=INR","Period=FQ","BEST_FPERIOD_OVERRIDE=FQ","FILING_STATUS=OR","EQY_CONSOLIDATED=Y","Sort=A","Dates=H","DateFormat=P","Fill=—","Direction=H","UseDPDF=Y")</f>
        <v>#NAME?</v>
      </c>
      <c r="BT20" s="1" t="e">
        <f ca="1">_xll.BDH($C$3,"TOTAL_DEBT_SEQUENTIAL_GROWTH","FQ2 2017","FQ2 2017","Currency=INR","Period=FQ","BEST_FPERIOD_OVERRIDE=FQ","FILING_STATUS=OR","EQY_CONSOLIDATED=Y","Sort=A","Dates=H","DateFormat=P","Fill=—","Direction=H","UseDPDF=Y")</f>
        <v>#NAME?</v>
      </c>
      <c r="BU20" s="1" t="e">
        <f ca="1">_xll.BDH($C$3,"TOTAL_EQUITY_SEQUENTIAL_GROWTH","FQ2 2017","FQ2 2017","Currency=INR","Period=FQ","BEST_FPERIOD_OVERRIDE=FQ","FILING_STATUS=OR","EQY_CONSOLIDATED=Y","Sort=A","Dates=H","DateFormat=P","Fill=—","Direction=H","UseDPDF=Y")</f>
        <v>#NAME?</v>
      </c>
      <c r="BV20" s="1" t="e">
        <f ca="1">_xll.BDH($C$3,"TOTAL_CAPITAL_SEQUENTIAL_GROWTH","FQ2 2017","FQ2 2017","Currency=INR","Period=FQ","BEST_FPERIOD_OVERRIDE=FQ","FILING_STATUS=OR","EQY_CONSOLIDATED=Y","Sort=A","Dates=H","DateFormat=P","Fill=—","Direction=H","UseDPDF=Y")</f>
        <v>#NAME?</v>
      </c>
      <c r="BW20" s="1" t="e">
        <f ca="1">_xll.BDH($C$3,"BPS_SEQUENTIAL_GROWTH","FQ2 2017","FQ2 2017","Currency=INR","Period=FQ","BEST_FPERIOD_OVERRIDE=FQ","FILING_STATUS=OR","EQY_CONSOLIDATED=Y","Sort=A","Dates=H","DateFormat=P","Fill=—","Direction=H","UseDPDF=Y")</f>
        <v>#NAME?</v>
      </c>
      <c r="BX20" s="1" t="e">
        <f ca="1">_xll.BDH($C$3,"CFO_SEQUENTIAL_GROWTH","FQ2 2017","FQ2 2017","Currency=INR","Period=FQ","BEST_FPERIOD_OVERRIDE=FQ","FILING_STATUS=OR","EQY_CONSOLIDATED=Y","Sort=A","Dates=H","DateFormat=P","Fill=—","Direction=H","UseDPDF=Y")</f>
        <v>#NAME?</v>
      </c>
      <c r="BY20" s="2" t="e">
        <f ca="1">_xll.BDH($C$3,"SHORT_AND_LONG_TERM_DEBT","FQ2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0" s="2" t="e">
        <f ca="1">_xll.BDH($C$3,"BS_ST_BORROW","FQ2 2017","FQ2 2017","Currency=INR","Period=FQ","BEST_FPERIOD_OVERRIDE=FQ","FILING_STATUS=OR","EQY_CONSOLIDATED=Y","SCALING_FORMAT=MLN","Sort=A","Dates=H","DateFormat=P","Fill=—","Direction=H","UseDPDF=Y")</f>
        <v>#NAME?</v>
      </c>
      <c r="CA20" s="2" t="e">
        <f ca="1">_xll.BDH($C$3,"BS_LT_BORROW","FQ2 2017","FQ2 2017","Currency=INR","Period=FQ","BEST_FPERIOD_OVERRIDE=FQ","FILING_STATUS=OR","EQY_CONSOLIDATED=Y","SCALING_FORMAT=MLN","Sort=A","Dates=H","DateFormat=P","Fill=—","Direction=H","UseDPDF=Y")</f>
        <v>#NAME?</v>
      </c>
      <c r="CB20" s="1" t="e">
        <f ca="1">_xll.BDH($C$3,"TOT_DEBT_TO_EBITDA","FQ2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0" s="1" t="e">
        <f ca="1">_xll.BDH($C$3,"NET_DEBT_TO_EBITDA","FQ2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0" s="1" t="e">
        <f ca="1">_xll.BDH($C$3,"TOTAL_DEBT_TO_EBIT","FQ2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0" s="1" t="e">
        <f ca="1">_xll.BDH($C$3,"NET_DEBT_TO_EBIT","FQ2 2017","FQ2 2017","Currency=INR","Period=FQ","BEST_FPERIOD_OVERRIDE=FQ","FILING_STATUS=OR","EQY_CONSOLIDATED=Y","FA_ADJUSTED=GAAP","Sort=A","Dates=H","DateFormat=P","Fill=—","Direction=H","UseDPDF=Y")</f>
        <v>#NAME?</v>
      </c>
      <c r="CF20" s="1" t="e">
        <f ca="1">_xll.BDH($C$3,"EBITDA_TO_INTEREST_EXPN","FQ2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0" s="1" t="e">
        <f ca="1">_xll.BDH($C$3,"COM_EQY_TO_TOT_ASSET","FQ2 2017","FQ2 2017","Currency=INR","Period=FQ","BEST_FPERIOD_OVERRIDE=FQ","FILING_STATUS=OR","EQY_CONSOLIDATED=Y","Sort=A","Dates=H","DateFormat=P","Fill=—","Direction=H","UseDPDF=Y")</f>
        <v>#NAME?</v>
      </c>
      <c r="CH20" s="1" t="e">
        <f ca="1">_xll.BDH($C$3,"LT_DEBT_TO_TOT_EQY","FQ2 2017","FQ2 2017","Currency=INR","Period=FQ","BEST_FPERIOD_OVERRIDE=FQ","FILING_STATUS=OR","EQY_CONSOLIDATED=Y","Sort=A","Dates=H","DateFormat=P","Fill=—","Direction=H","UseDPDF=Y")</f>
        <v>#NAME?</v>
      </c>
      <c r="CI20" s="1" t="e">
        <f ca="1">_xll.BDH($C$3,"LT_DEBT_TO_TOT_CAP","FQ2 2017","FQ2 2017","Currency=INR","Period=FQ","BEST_FPERIOD_OVERRIDE=FQ","FILING_STATUS=OR","EQY_CONSOLIDATED=Y","Sort=A","Dates=H","DateFormat=P","Fill=—","Direction=H","UseDPDF=Y")</f>
        <v>#NAME?</v>
      </c>
      <c r="CJ20" s="1" t="e">
        <f ca="1">_xll.BDH($C$3,"LT_DEBT_TO_TOT_ASSET","FQ2 2017","FQ2 2017","Currency=INR","Period=FQ","BEST_FPERIOD_OVERRIDE=FQ","FILING_STATUS=OR","EQY_CONSOLIDATED=Y","Sort=A","Dates=H","DateFormat=P","Fill=—","Direction=H","UseDPDF=Y")</f>
        <v>#NAME?</v>
      </c>
      <c r="CK20" s="1" t="e">
        <f ca="1">_xll.BDH($C$3,"TOT_DEBT_TO_TOT_EQY","FQ2 2017","FQ2 2017","Currency=INR","Period=FQ","BEST_FPERIOD_OVERRIDE=FQ","FILING_STATUS=OR","EQY_CONSOLIDATED=Y","Sort=A","Dates=H","DateFormat=P","Fill=—","Direction=H","UseDPDF=Y")</f>
        <v>#NAME?</v>
      </c>
      <c r="CL20" s="1" t="e">
        <f ca="1">_xll.BDH($C$3,"TOT_DEBT_TO_TOT_CAP","FQ2 2017","FQ2 2017","Currency=INR","Period=FQ","BEST_FPERIOD_OVERRIDE=FQ","FILING_STATUS=OR","EQY_CONSOLIDATED=Y","Sort=A","Dates=H","DateFormat=P","Fill=—","Direction=H","UseDPDF=Y")</f>
        <v>#NAME?</v>
      </c>
      <c r="CM20" s="1" t="e">
        <f ca="1">_xll.BDH($C$3,"TOT_DEBT_TO_TOT_ASSET","FQ2 2017","FQ2 2017","Currency=INR","Period=FQ","BEST_FPERIOD_OVERRIDE=FQ","FILING_STATUS=OR","EQY_CONSOLIDATED=Y","Sort=A","Dates=H","DateFormat=P","Fill=—","Direction=H","UseDPDF=Y")</f>
        <v>#NAME?</v>
      </c>
      <c r="CN20" s="1" t="e">
        <f ca="1">_xll.BDH($C$3,"NET_DEBT_TO_SHRHLDR_EQTY","FQ2 2017","FQ2 2017","Currency=INR","Period=FQ","BEST_FPERIOD_OVERRIDE=FQ","FILING_STATUS=OR","EQY_CONSOLIDATED=Y","Sort=A","Dates=H","DateFormat=P","Fill=—","Direction=H","UseDPDF=Y")</f>
        <v>#NAME?</v>
      </c>
      <c r="CO20" s="1" t="e">
        <f ca="1">_xll.BDH($C$3,"NET_DEBT_%_CAPITAL","FQ2 2017","FQ2 2017","Currency=INR","Period=FQ","BEST_FPERIOD_OVERRIDE=FQ","FILING_STATUS=OR","EQY_CONSOLIDATED=Y","Sort=A","Dates=H","DateFormat=P","Fill=—","Direction=H","UseDPDF=Y")</f>
        <v>#NAME?</v>
      </c>
      <c r="CP20" s="2" t="e">
        <f ca="1">_xll.BDH($C$3,"EBITDA","FQ2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0" s="2" t="e">
        <f ca="1">_xll.BDH($C$3,"EBITDA_AFTER_CAPEX","FQ2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0" s="2" t="e">
        <f ca="1">_xll.BDH($C$3,"IS_OPER_INC","FQ2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0" s="1" t="e">
        <f ca="1">_xll.BDH($C$3,"CASH_RATIO","FQ2 2017","FQ2 2017","Currency=INR","Period=FQ","BEST_FPERIOD_OVERRIDE=FQ","FILING_STATUS=OR","EQY_CONSOLIDATED=Y","Sort=A","Dates=H","DateFormat=P","Fill=—","Direction=H","UseDPDF=Y")</f>
        <v>#NAME?</v>
      </c>
      <c r="CT20" s="1" t="e">
        <f ca="1">_xll.BDH($C$3,"CUR_RATIO","FQ2 2017","FQ2 2017","Currency=INR","Period=FQ","BEST_FPERIOD_OVERRIDE=FQ","FILING_STATUS=OR","EQY_CONSOLIDATED=Y","Sort=A","Dates=H","DateFormat=P","Fill=—","Direction=H","UseDPDF=Y")</f>
        <v>#NAME?</v>
      </c>
      <c r="CU20" s="1" t="e">
        <f ca="1">_xll.BDH($C$3,"QUICK_RATIO","FQ2 2017","FQ2 2017","Currency=INR","Period=FQ","BEST_FPERIOD_OVERRIDE=FQ","FILING_STATUS=OR","EQY_CONSOLIDATED=Y","Sort=A","Dates=H","DateFormat=P","Fill=—","Direction=H","UseDPDF=Y")</f>
        <v>#NAME?</v>
      </c>
      <c r="CV20" s="1" t="e">
        <f ca="1">_xll.BDH($C$3,"ALTMAN_Z_SCORE","FQ2 2017","FQ2 2017","Currency=INR","Period=FQ","BEST_FPERIOD_OVERRIDE=FQ","FILING_STATUS=OR","EQY_CONSOLIDATED=Y","Sort=A","Dates=H","DateFormat=P","Fill=—","Direction=H","UseDPDF=Y")</f>
        <v>#NAME?</v>
      </c>
      <c r="CW20" s="3" t="e">
        <f ca="1">_xll.BDH($C$3,"ACCT_RCV_TURN","FQ2 2017","FQ2 2017","Currency=INR","Period=FQ","BEST_FPERIOD_OVERRIDE=FQ","FILING_STATUS=OR","EQY_CONSOLIDATED=Y","FA_ADJUSTED=GAAP","Sort=A","Dates=H","DateFormat=P","Fill=—","Direction=H","UseDPDF=Y")</f>
        <v>#NAME?</v>
      </c>
      <c r="CX20" s="1" t="e">
        <f ca="1">_xll.BDH($C$3,"ACCT_RCV_DAYS","FQ2 2017","FQ2 2017","Currency=INR","Period=FQ","BEST_FPERIOD_OVERRIDE=FQ","FILING_STATUS=OR","EQY_CONSOLIDATED=Y","FA_ADJUSTED=GAAP","Sort=A","Dates=H","DateFormat=P","Fill=—","Direction=H","UseDPDF=Y")</f>
        <v>#NAME?</v>
      </c>
      <c r="CY20" s="3" t="e">
        <f ca="1">_xll.BDH($C$3,"INVENT_TURN","FQ2 2017","FQ2 2017","Currency=INR","Period=FQ","BEST_FPERIOD_OVERRIDE=FQ","FILING_STATUS=OR","EQY_CONSOLIDATED=Y","FA_ADJUSTED=GAAP","Sort=A","Dates=H","DateFormat=P","Fill=—","Direction=H","UseDPDF=Y")</f>
        <v>#NAME?</v>
      </c>
      <c r="CZ20" s="1" t="e">
        <f ca="1">_xll.BDH($C$3,"INVENT_DAYS","FQ2 2017","FQ2 2017","Currency=INR","Period=FQ","BEST_FPERIOD_OVERRIDE=FQ","FILING_STATUS=OR","EQY_CONSOLIDATED=Y","FA_ADJUSTED=GAAP","Sort=A","Dates=H","DateFormat=P","Fill=—","Direction=H","UseDPDF=Y")</f>
        <v>#NAME?</v>
      </c>
      <c r="DA20" s="3" t="e">
        <f ca="1">_xll.BDH($C$3,"ACCOUNTS_PAYABLE_TURNOVER","FQ2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0" s="1" t="e">
        <f ca="1">_xll.BDH($C$3,"ACCOUNTS_PAYABLE_TURNOVER_DAYS","FQ2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0" s="3" t="e">
        <f ca="1">_xll.BDH($C$3,"CASH_CONVERSION_CYCLE","FQ2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0" s="3" t="e">
        <f ca="1">_xll.BDH($C$3,"INV_TO_CASH_DAYS","FQ2 2017","FQ2 2017","Currency=INR","Period=FQ","BEST_FPERIOD_OVERRIDE=FQ","FILING_STATUS=OR","EQY_CONSOLIDATED=Y","FA_ADJUSTED=GAAP","Sort=A","Dates=H","DateFormat=P","Fill=—","Direction=H","UseDPDF=Y")</f>
        <v>#NAME?</v>
      </c>
      <c r="DE20" s="4" t="e">
        <f ca="1">_xll.BDH($C$3,"BS_INVENTORIES","FQ2 2017","FQ2 2017","Currency=INR","Period=FQ","BEST_FPERIOD_OVERRIDE=FQ","FILING_STATUS=OR","EQY_CONSOLIDATED=Y","SCALING_FORMAT=MLN","Sort=A","Dates=H","DateFormat=P","Fill=—","Direction=H","UseDPDF=Y")</f>
        <v>#NAME?</v>
      </c>
      <c r="DF20" s="2" t="e">
        <f ca="1">_xll.BDH($C$3,"INVTRY_RAW_MATERIALS","FQ2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0" s="2" t="e">
        <f ca="1">_xll.BDH($C$3,"INVTRY_IN_PROGRESS","FQ2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0" s="2" t="e">
        <f ca="1">_xll.BDH($C$3,"INVTRY_FINISHED_GOODS","FQ2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0" s="2" t="e">
        <f ca="1">_xll.BDH($C$3,"BS_OTHER_INV","FQ2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1" spans="1:113" x14ac:dyDescent="0.3">
      <c r="A21" s="6"/>
      <c r="B21" s="6"/>
      <c r="C21" s="6"/>
      <c r="D21" s="6"/>
      <c r="E21" t="s">
        <v>6</v>
      </c>
      <c r="F21" t="e">
        <f ca="1">_xll.BDH($C$3,"RETURN_COM_EQY","FQ3 2017","FQ3 2017","Currency=INR","Period=FQ","BEST_FPERIOD_OVERRIDE=FQ","FILING_STATUS=OR","EQY_CONSOLIDATED=Y","FA_ADJUSTED=GAAP","Sort=A","Dates=H","DateFormat=P","Fill=—","Direction=H","UseDPDF=Y")</f>
        <v>#NAME?</v>
      </c>
      <c r="G21" t="e">
        <f ca="1">_xll.BDH($C$3,"RETURN_ON_ASSET","FQ3 2017","FQ3 2017","Currency=INR","Period=FQ","BEST_FPERIOD_OVERRIDE=FQ","FILING_STATUS=OR","EQY_CONSOLIDATED=Y","FA_ADJUSTED=GAAP","Sort=A","Dates=H","DateFormat=P","Fill=—","Direction=H","UseDPDF=Y")</f>
        <v>#NAME?</v>
      </c>
      <c r="H21" t="e">
        <f ca="1">_xll.BDH($C$3,"RETURN_ON_CAP","FQ3 2017","FQ3 2017","Currency=INR","Period=FQ","BEST_FPERIOD_OVERRIDE=FQ","FILING_STATUS=OR","EQY_CONSOLIDATED=Y","FA_ADJUSTED=GAAP","Sort=A","Dates=H","DateFormat=P","Fill=—","Direction=H","UseDPDF=Y")</f>
        <v>#NAME?</v>
      </c>
      <c r="I21" t="e">
        <f ca="1">_xll.BDH($C$3,"RETURN_ON_INV_CAPITAL","FQ3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1" t="e">
        <f ca="1">_xll.BDH($C$3,"EBITDA_TO_REVENUE","FQ3 2017","FQ3 2017","Currency=INR","Period=FQ","BEST_FPERIOD_OVERRIDE=FQ","FILING_STATUS=OR","EQY_CONSOLIDATED=Y","FA_ADJUSTED=GAAP","Sort=A","Dates=H","DateFormat=P","Fill=—","Direction=H","UseDPDF=Y")</f>
        <v>#NAME?</v>
      </c>
      <c r="K21" t="e">
        <f ca="1">_xll.BDH($C$3,"OPER_MARGIN","FQ3 2017","FQ3 2017","Currency=INR","Period=FQ","BEST_FPERIOD_OVERRIDE=FQ","FILING_STATUS=OR","EQY_CONSOLIDATED=Y","FA_ADJUSTED=GAAP","Sort=A","Dates=H","DateFormat=P","Fill=—","Direction=H","UseDPDF=Y")</f>
        <v>#NAME?</v>
      </c>
      <c r="L21" t="e">
        <f ca="1">_xll.BDH($C$3,"INCREMENTAL_OPERATING_MARGIN","FQ3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1" t="e">
        <f ca="1">_xll.BDH($C$3,"PRETAX_INC_TO_NET_SALES","FQ3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1" t="e">
        <f ca="1">_xll.BDH($C$3,"INC_BEF_XO_ITEMS_TO_NET_SALES","FQ3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1" t="e">
        <f ca="1">_xll.BDH($C$3,"PROF_MARGIN","FQ3 2017","FQ3 2017","Currency=INR","Period=FQ","BEST_FPERIOD_OVERRIDE=FQ","FILING_STATUS=OR","EQY_CONSOLIDATED=Y","FA_ADJUSTED=GAAP","Sort=A","Dates=H","DateFormat=P","Fill=—","Direction=H","UseDPDF=Y")</f>
        <v>#NAME?</v>
      </c>
      <c r="P21" t="e">
        <f ca="1">_xll.BDH($C$3,"NET_INCOME_TO_COMMON_MARGIN","FQ3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1" t="e">
        <f ca="1">_xll.BDH($C$3,"EFF_TAX_RATE","FQ3 2017","FQ3 2017","Currency=INR","Period=FQ","BEST_FPERIOD_OVERRIDE=FQ","FILING_STATUS=OR","EQY_CONSOLIDATED=Y","FA_ADJUSTED=GAAP","Sort=A","Dates=H","DateFormat=P","Fill=—","Direction=H","UseDPDF=Y")</f>
        <v>#NAME?</v>
      </c>
      <c r="R21" t="e">
        <f ca="1">_xll.BDH($C$3,"DVD_PAYOUT_RATIO","FQ3 2017","FQ3 2017","Currency=INR","Period=FQ","BEST_FPERIOD_OVERRIDE=FQ","FILING_STATUS=OR","EQY_CONSOLIDATED=Y","FA_ADJUSTED=GAAP","Sort=A","Dates=H","DateFormat=P","Fill=—","Direction=H","UseDPDF=Y")</f>
        <v>#NAME?</v>
      </c>
      <c r="S21" t="e">
        <f ca="1">_xll.BDH($C$3,"SUSTAIN_GROWTH_RT","FQ3 2017","FQ3 2017","Currency=INR","Period=FQ","BEST_FPERIOD_OVERRIDE=FQ","FILING_STATUS=OR","EQY_CONSOLIDATED=Y","FA_ADJUSTED=GAAP","Sort=A","Dates=H","DateFormat=P","Fill=—","Direction=H","UseDPDF=Y")</f>
        <v>#NAME?</v>
      </c>
      <c r="T21" s="1" t="e">
        <f ca="1">_xll.BDH($C$3,"SALES_GROWTH","FQ3 2017","FQ3 2017","Currency=INR","Period=FQ","BEST_FPERIOD_OVERRIDE=FQ","FILING_STATUS=OR","EQY_CONSOLIDATED=Y","FA_ADJUSTED=GAAP","Sort=A","Dates=H","DateFormat=P","Fill=—","Direction=H","UseDPDF=Y")</f>
        <v>#NAME?</v>
      </c>
      <c r="U21" s="1" t="e">
        <f ca="1">_xll.BDH($C$3,"EBITDA_GROWTH","FQ3 2017","FQ3 2017","Currency=INR","Period=FQ","BEST_FPERIOD_OVERRIDE=FQ","FILING_STATUS=OR","EQY_CONSOLIDATED=Y","FA_ADJUSTED=GAAP","Sort=A","Dates=H","DateFormat=P","Fill=—","Direction=H","UseDPDF=Y")</f>
        <v>#NAME?</v>
      </c>
      <c r="V21" s="1" t="e">
        <f ca="1">_xll.BDH($C$3,"OPER_INC_GROWTH","FQ3 2017","FQ3 2017","Currency=INR","Period=FQ","BEST_FPERIOD_OVERRIDE=FQ","FILING_STATUS=OR","EQY_CONSOLIDATED=Y","FA_ADJUSTED=GAAP","Sort=A","Dates=H","DateFormat=P","Fill=—","Direction=H","UseDPDF=Y")</f>
        <v>#NAME?</v>
      </c>
      <c r="W21" s="1" t="e">
        <f ca="1">_xll.BDH($C$3,"EARN_FOR_COM_GROWTH","FQ3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1" s="1" t="e">
        <f ca="1">_xll.BDH($C$3,"DILUTED_EPS_AFT_XO_ITEMS_GROWTH","FQ3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1" s="1" t="e">
        <f ca="1">_xll.BDH($C$3,"DIVIDEND_PER_SHARE_1_YEAR_GROWTH","FQ3 2017","FQ3 2017","Currency=INR","Period=FQ","BEST_FPERIOD_OVERRIDE=FQ","FILING_STATUS=OR","EQY_CONSOLIDATED=Y","Sort=A","Dates=H","DateFormat=P","Fill=—","Direction=H","UseDPDF=Y")</f>
        <v>#NAME?</v>
      </c>
      <c r="Z21" s="1" t="e">
        <f ca="1">_xll.BDH($C$3,"ACCOUNTS_RECEIVABLE_GROWTH","FQ3 2017","FQ3 2017","Currency=INR","Period=FQ","BEST_FPERIOD_OVERRIDE=FQ","FILING_STATUS=OR","EQY_CONSOLIDATED=Y","Sort=A","Dates=H","DateFormat=P","Fill=—","Direction=H","UseDPDF=Y")</f>
        <v>#NAME?</v>
      </c>
      <c r="AA21" s="1" t="e">
        <f ca="1">_xll.BDH($C$3,"INVENTORY_GROWTH","FQ3 2017","FQ3 2017","Currency=INR","Period=FQ","BEST_FPERIOD_OVERRIDE=FQ","FILING_STATUS=OR","EQY_CONSOLIDATED=Y","Sort=A","Dates=H","DateFormat=P","Fill=—","Direction=H","UseDPDF=Y")</f>
        <v>#NAME?</v>
      </c>
      <c r="AB21" s="1" t="e">
        <f ca="1">_xll.BDH($C$3,"NET_FIXED_ASSETS_1_YEAR_GROWTH","FQ3 2017","FQ3 2017","Currency=INR","Period=FQ","BEST_FPERIOD_OVERRIDE=FQ","FILING_STATUS=OR","EQY_CONSOLIDATED=Y","Sort=A","Dates=H","DateFormat=P","Fill=—","Direction=H","UseDPDF=Y")</f>
        <v>#NAME?</v>
      </c>
      <c r="AC21" s="1" t="e">
        <f ca="1">_xll.BDH($C$3,"ASSET_GROWTH","FQ3 2017","FQ3 2017","Currency=INR","Period=FQ","BEST_FPERIOD_OVERRIDE=FQ","FILING_STATUS=OR","EQY_CONSOLIDATED=Y","Sort=A","Dates=H","DateFormat=P","Fill=—","Direction=H","UseDPDF=Y")</f>
        <v>#NAME?</v>
      </c>
      <c r="AD21" s="1" t="e">
        <f ca="1">_xll.BDH($C$3,"MODIFIED_WORK_CAP_GROWTH","FQ3 2017","FQ3 2017","Currency=INR","Period=FQ","BEST_FPERIOD_OVERRIDE=FQ","FILING_STATUS=OR","EQY_CONSOLIDATED=Y","Sort=A","Dates=H","DateFormat=P","Fill=—","Direction=H","UseDPDF=Y")</f>
        <v>#NAME?</v>
      </c>
      <c r="AE21" s="1" t="e">
        <f ca="1">_xll.BDH($C$3,"WORK_CAP_GROWTH","FQ3 2017","FQ3 2017","Currency=INR","Period=FQ","BEST_FPERIOD_OVERRIDE=FQ","FILING_STATUS=OR","EQY_CONSOLIDATED=Y","Sort=A","Dates=H","DateFormat=P","Fill=—","Direction=H","UseDPDF=Y")</f>
        <v>#NAME?</v>
      </c>
      <c r="AF21" s="1" t="e">
        <f ca="1">_xll.BDH($C$3,"ACCOUNTS_PAYABLE_GROWTH_1YR","FQ3 2017","FQ3 2017","Currency=INR","Period=FQ","BEST_FPERIOD_OVERRIDE=FQ","FILING_STATUS=OR","EQY_CONSOLIDATED=Y","Sort=A","Dates=H","DateFormat=P","Fill=—","Direction=H","UseDPDF=Y")</f>
        <v>#NAME?</v>
      </c>
      <c r="AG21" s="1" t="e">
        <f ca="1">_xll.BDH($C$3,"SHORT_TERM_DEBT_1_YEAR_GROWTH","FQ3 2017","FQ3 2017","Currency=INR","Period=FQ","BEST_FPERIOD_OVERRIDE=FQ","FILING_STATUS=OR","EQY_CONSOLIDATED=Y","Sort=A","Dates=H","DateFormat=P","Fill=—","Direction=H","UseDPDF=Y")</f>
        <v>#NAME?</v>
      </c>
      <c r="AH21" s="1" t="e">
        <f ca="1">_xll.BDH($C$3,"TOTAL_DEBT_1_YEAR_GROWTH","FQ3 2017","FQ3 2017","Currency=INR","Period=FQ","BEST_FPERIOD_OVERRIDE=FQ","FILING_STATUS=OR","EQY_CONSOLIDATED=Y","Sort=A","Dates=H","DateFormat=P","Fill=—","Direction=H","UseDPDF=Y")</f>
        <v>#NAME?</v>
      </c>
      <c r="AI21" s="1" t="e">
        <f ca="1">_xll.BDH($C$3,"TOTAL_EQUITY_1_YEAR_GROWTH","FQ3 2017","FQ3 2017","Currency=INR","Period=FQ","BEST_FPERIOD_OVERRIDE=FQ","FILING_STATUS=OR","EQY_CONSOLIDATED=Y","Sort=A","Dates=H","DateFormat=P","Fill=—","Direction=H","UseDPDF=Y")</f>
        <v>#NAME?</v>
      </c>
      <c r="AJ21" s="1" t="e">
        <f ca="1">_xll.BDH($C$3,"GROWTH_IN_CAP","FQ3 2017","FQ3 2017","Currency=INR","Period=FQ","BEST_FPERIOD_OVERRIDE=FQ","FILING_STATUS=OR","EQY_CONSOLIDATED=Y","Sort=A","Dates=H","DateFormat=P","Fill=—","Direction=H","UseDPDF=Y")</f>
        <v>#NAME?</v>
      </c>
      <c r="AK21" s="1" t="e">
        <f ca="1">_xll.BDH($C$3,"BVPS_GROWTH","FQ3 2017","FQ3 2017","Currency=INR","Period=FQ","BEST_FPERIOD_OVERRIDE=FQ","FILING_STATUS=OR","EQY_CONSOLIDATED=Y","Sort=A","Dates=H","DateFormat=P","Fill=—","Direction=H","UseDPDF=Y")</f>
        <v>#NAME?</v>
      </c>
      <c r="AL21" s="1" t="e">
        <f ca="1">_xll.BDH($C$3,"CASH_FLOW_GROWTH","FQ3 2017","FQ3 2017","Currency=INR","Period=FQ","BEST_FPERIOD_OVERRIDE=FQ","FILING_STATUS=OR","EQY_CONSOLIDATED=Y","Sort=A","Dates=H","DateFormat=P","Fill=—","Direction=H","UseDPDF=Y")</f>
        <v>#NAME?</v>
      </c>
      <c r="AM21" s="1" t="e">
        <f ca="1">_xll.BDH($C$3,"GEO_GROW_NET_SALES","FQ3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1" s="1" t="e">
        <f ca="1">_xll.BDH($C$3,"GEO_GROW_EBITDA","FQ3 2017","FQ3 2017","Currency=INR","Period=FQ","BEST_FPERIOD_OVERRIDE=FQ","FILING_STATUS=OR","EQY_CONSOLIDATED=Y","FA_ADJUSTED=GAAP","Sort=A","Dates=H","DateFormat=P","Fill=—","Direction=H","UseDPDF=Y")</f>
        <v>#NAME?</v>
      </c>
      <c r="AO21" s="1" t="e">
        <f ca="1">_xll.BDH($C$3,"GEO_GROW_OPER_INC","FQ3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1" s="1" t="e">
        <f ca="1">_xll.BDH($C$3,"NET_INCOME_TO_COMMON_5_YR_GROWTH","FQ3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1" s="1" t="e">
        <f ca="1">_xll.BDH($C$3,"5Y_GEO_GROWTH_DILUTED_EPS","FQ3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1" s="1" t="e">
        <f ca="1">_xll.BDH($C$3,"GEO_GROW_DVD_PER_SH","FQ3 2017","FQ3 2017","Currency=INR","Period=FQ","BEST_FPERIOD_OVERRIDE=FQ","FILING_STATUS=OR","EQY_CONSOLIDATED=Y","Sort=A","Dates=H","DateFormat=P","Fill=—","Direction=H","UseDPDF=Y")</f>
        <v>#NAME?</v>
      </c>
      <c r="AS21" s="1" t="e">
        <f ca="1">_xll.BDH($C$3,"ACCOUNTS_RECEIVABLE_5_YR_GROWTH","FQ3 2017","FQ3 2017","Currency=INR","Period=FQ","BEST_FPERIOD_OVERRIDE=FQ","FILING_STATUS=OR","EQY_CONSOLIDATED=Y","Sort=A","Dates=H","DateFormat=P","Fill=—","Direction=H","UseDPDF=Y")</f>
        <v>#NAME?</v>
      </c>
      <c r="AT21" s="1" t="e">
        <f ca="1">_xll.BDH($C$3,"INVENTORY_5_YEAR_GROWTH","FQ3 2017","FQ3 2017","Currency=INR","Period=FQ","BEST_FPERIOD_OVERRIDE=FQ","FILING_STATUS=OR","EQY_CONSOLIDATED=Y","Sort=A","Dates=H","DateFormat=P","Fill=—","Direction=H","UseDPDF=Y")</f>
        <v>#NAME?</v>
      </c>
      <c r="AU21" s="1" t="e">
        <f ca="1">_xll.BDH($C$3,"NET_FIXED_ASSETS_5_YEAR_GROWTH","FQ3 2017","FQ3 2017","Currency=INR","Period=FQ","BEST_FPERIOD_OVERRIDE=FQ","FILING_STATUS=OR","EQY_CONSOLIDATED=Y","Sort=A","Dates=H","DateFormat=P","Fill=—","Direction=H","UseDPDF=Y")</f>
        <v>#NAME?</v>
      </c>
      <c r="AV21" s="1" t="e">
        <f ca="1">_xll.BDH($C$3,"GEO_GROW_TOT_ASSET","FQ3 2017","FQ3 2017","Currency=INR","Period=FQ","BEST_FPERIOD_OVERRIDE=FQ","FILING_STATUS=OR","EQY_CONSOLIDATED=Y","Sort=A","Dates=H","DateFormat=P","Fill=—","Direction=H","UseDPDF=Y")</f>
        <v>#NAME?</v>
      </c>
      <c r="AW21" s="1" t="e">
        <f ca="1">_xll.BDH($C$3,"MODIFIED_WORKING_CPTL_5YR_GRWTH","FQ3 2017","FQ3 2017","Currency=INR","Period=FQ","BEST_FPERIOD_OVERRIDE=FQ","FILING_STATUS=OR","EQY_CONSOLIDATED=Y","Sort=A","Dates=H","DateFormat=P","Fill=—","Direction=H","UseDPDF=Y")</f>
        <v>#NAME?</v>
      </c>
      <c r="AX21" s="1" t="e">
        <f ca="1">_xll.BDH($C$3,"WORKING_CAPITAL_5_YEAR_GROWTH","FQ3 2017","FQ3 2017","Currency=INR","Period=FQ","BEST_FPERIOD_OVERRIDE=FQ","FILING_STATUS=OR","EQY_CONSOLIDATED=Y","Sort=A","Dates=H","DateFormat=P","Fill=—","Direction=H","UseDPDF=Y")</f>
        <v>#NAME?</v>
      </c>
      <c r="AY21" s="1" t="e">
        <f ca="1">_xll.BDH($C$3,"ACCOUNTS_PAYABLE_5_YEAR_GROWTH","FQ3 2017","FQ3 2017","Currency=INR","Period=FQ","BEST_FPERIOD_OVERRIDE=FQ","FILING_STATUS=OR","EQY_CONSOLIDATED=Y","Sort=A","Dates=H","DateFormat=P","Fill=—","Direction=H","UseDPDF=Y")</f>
        <v>#NAME?</v>
      </c>
      <c r="AZ21" s="1" t="e">
        <f ca="1">_xll.BDH($C$3,"SHORT_TERM_DEBT_5_YEAR_GROWTH","FQ3 2017","FQ3 2017","Currency=INR","Period=FQ","BEST_FPERIOD_OVERRIDE=FQ","FILING_STATUS=OR","EQY_CONSOLIDATED=Y","Sort=A","Dates=H","DateFormat=P","Fill=—","Direction=H","UseDPDF=Y")</f>
        <v>#NAME?</v>
      </c>
      <c r="BA21" s="1" t="e">
        <f ca="1">_xll.BDH($C$3,"TOTAL_DEBT_5_YEAR_GROWTH","FQ3 2017","FQ3 2017","Currency=INR","Period=FQ","BEST_FPERIOD_OVERRIDE=FQ","FILING_STATUS=OR","EQY_CONSOLIDATED=Y","Sort=A","Dates=H","DateFormat=P","Fill=—","Direction=H","UseDPDF=Y")</f>
        <v>#NAME?</v>
      </c>
      <c r="BB21" s="1" t="e">
        <f ca="1">_xll.BDH($C$3,"GEO_GROW_TOT_SHRHLDR_EQY","FQ3 2017","FQ3 2017","Currency=INR","Period=FQ","BEST_FPERIOD_OVERRIDE=FQ","FILING_STATUS=OR","EQY_CONSOLIDATED=Y","Sort=A","Dates=H","DateFormat=P","Fill=—","Direction=H","UseDPDF=Y")</f>
        <v>#NAME?</v>
      </c>
      <c r="BC21" s="1" t="e">
        <f ca="1">_xll.BDH($C$3,"TOTAL_CAPITAL_5_YEAR_GROWTH","FQ3 2017","FQ3 2017","Currency=INR","Period=FQ","BEST_FPERIOD_OVERRIDE=FQ","FILING_STATUS=OR","EQY_CONSOLIDATED=Y","Sort=A","Dates=H","DateFormat=P","Fill=—","Direction=H","UseDPDF=Y")</f>
        <v>#NAME?</v>
      </c>
      <c r="BD21" s="1" t="e">
        <f ca="1">_xll.BDH($C$3,"GEO_GROW_BOOK_VAL","FQ3 2017","FQ3 2017","Currency=INR","Period=FQ","BEST_FPERIOD_OVERRIDE=FQ","FILING_STATUS=OR","EQY_CONSOLIDATED=Y","Sort=A","Dates=H","DateFormat=P","Fill=—","Direction=H","UseDPDF=Y")</f>
        <v>#NAME?</v>
      </c>
      <c r="BE21" s="1" t="e">
        <f ca="1">_xll.BDH($C$3,"GEO_GROW_CASH_OPER_ACT","FQ3 2017","FQ3 2017","Currency=INR","Period=FQ","BEST_FPERIOD_OVERRIDE=FQ","FILING_STATUS=OR","EQY_CONSOLIDATED=Y","Sort=A","Dates=H","DateFormat=P","Fill=—","Direction=H","UseDPDF=Y")</f>
        <v>#NAME?</v>
      </c>
      <c r="BF21" s="1" t="e">
        <f ca="1">_xll.BDH($C$3,"REVENUE_SEQUENTIAL_GROWTH","FQ3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1" s="1" t="e">
        <f ca="1">_xll.BDH($C$3,"EBITDA_SEQUENTIAL_GROWTH","FQ3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1" s="1" t="e">
        <f ca="1">_xll.BDH($C$3,"OPERATING_INCOME_SEQ_GROWTH","FQ3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1" s="1" t="e">
        <f ca="1">_xll.BDH($C$3,"NET_INCOME_TO_COMMON_SEQ_GROWTH","FQ3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1" s="1" t="e">
        <f ca="1">_xll.BDH($C$3,"EPS_DILUTED_SEQUENTIAL_GROWTH","FQ3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1" s="1" t="e">
        <f ca="1">_xll.BDH($C$3,"DPS_SEQUENTIAL_GROWTH","FQ3 2017","FQ3 2017","Currency=INR","Period=FQ","BEST_FPERIOD_OVERRIDE=FQ","FILING_STATUS=OR","EQY_CONSOLIDATED=Y","Sort=A","Dates=H","DateFormat=P","Fill=—","Direction=H","UseDPDF=Y")</f>
        <v>#NAME?</v>
      </c>
      <c r="BL21" s="1" t="e">
        <f ca="1">_xll.BDH($C$3,"ACCOUNTS_RECEIVABLE_SEQ_GROWTH","FQ3 2017","FQ3 2017","Currency=INR","Period=FQ","BEST_FPERIOD_OVERRIDE=FQ","FILING_STATUS=OR","EQY_CONSOLIDATED=Y","Sort=A","Dates=H","DateFormat=P","Fill=—","Direction=H","UseDPDF=Y")</f>
        <v>#NAME?</v>
      </c>
      <c r="BM21" s="1" t="e">
        <f ca="1">_xll.BDH($C$3,"INVENTORY_SEQUENTIAL_GROWTH","FQ3 2017","FQ3 2017","Currency=INR","Period=FQ","BEST_FPERIOD_OVERRIDE=FQ","FILING_STATUS=OR","EQY_CONSOLIDATED=Y","Sort=A","Dates=H","DateFormat=P","Fill=—","Direction=H","UseDPDF=Y")</f>
        <v>#NAME?</v>
      </c>
      <c r="BN21" s="1" t="e">
        <f ca="1">_xll.BDH($C$3,"FIXED_ASSETS_SEQUENTIAL_GROWTH","FQ3 2017","FQ3 2017","Currency=INR","Period=FQ","BEST_FPERIOD_OVERRIDE=FQ","FILING_STATUS=OR","EQY_CONSOLIDATED=Y","Sort=A","Dates=H","DateFormat=P","Fill=—","Direction=H","UseDPDF=Y")</f>
        <v>#NAME?</v>
      </c>
      <c r="BO21" s="1" t="e">
        <f ca="1">_xll.BDH($C$3,"TOTAL_ASSETS_SEQUENTIAL_GROWTH","FQ3 2017","FQ3 2017","Currency=INR","Period=FQ","BEST_FPERIOD_OVERRIDE=FQ","FILING_STATUS=OR","EQY_CONSOLIDATED=Y","Sort=A","Dates=H","DateFormat=P","Fill=—","Direction=H","UseDPDF=Y")</f>
        <v>#NAME?</v>
      </c>
      <c r="BP21" s="1" t="e">
        <f ca="1">_xll.BDH($C$3,"MODIFIED_WORKING_CPTL_SEQ_GRWTH","FQ3 2017","FQ3 2017","Currency=INR","Period=FQ","BEST_FPERIOD_OVERRIDE=FQ","FILING_STATUS=OR","EQY_CONSOLIDATED=Y","Sort=A","Dates=H","DateFormat=P","Fill=—","Direction=H","UseDPDF=Y")</f>
        <v>#NAME?</v>
      </c>
      <c r="BQ21" s="1" t="e">
        <f ca="1">_xll.BDH($C$3,"WORKING_CAPITAL_SEQ_GROWTH","FQ3 2017","FQ3 2017","Currency=INR","Period=FQ","BEST_FPERIOD_OVERRIDE=FQ","FILING_STATUS=OR","EQY_CONSOLIDATED=Y","Sort=A","Dates=H","DateFormat=P","Fill=—","Direction=H","UseDPDF=Y")</f>
        <v>#NAME?</v>
      </c>
      <c r="BR21" s="1" t="e">
        <f ca="1">_xll.BDH($C$3,"ACCOUNTS_PAYABLE_SEQ_GROWTH","FQ3 2017","FQ3 2017","Currency=INR","Period=FQ","BEST_FPERIOD_OVERRIDE=FQ","FILING_STATUS=OR","EQY_CONSOLIDATED=Y","Sort=A","Dates=H","DateFormat=P","Fill=—","Direction=H","UseDPDF=Y")</f>
        <v>#NAME?</v>
      </c>
      <c r="BS21" s="1" t="e">
        <f ca="1">_xll.BDH($C$3,"ST_DEBT_SEQUENTIAL_GROWTH","FQ3 2017","FQ3 2017","Currency=INR","Period=FQ","BEST_FPERIOD_OVERRIDE=FQ","FILING_STATUS=OR","EQY_CONSOLIDATED=Y","Sort=A","Dates=H","DateFormat=P","Fill=—","Direction=H","UseDPDF=Y")</f>
        <v>#NAME?</v>
      </c>
      <c r="BT21" s="1" t="e">
        <f ca="1">_xll.BDH($C$3,"TOTAL_DEBT_SEQUENTIAL_GROWTH","FQ3 2017","FQ3 2017","Currency=INR","Period=FQ","BEST_FPERIOD_OVERRIDE=FQ","FILING_STATUS=OR","EQY_CONSOLIDATED=Y","Sort=A","Dates=H","DateFormat=P","Fill=—","Direction=H","UseDPDF=Y")</f>
        <v>#NAME?</v>
      </c>
      <c r="BU21" s="1" t="e">
        <f ca="1">_xll.BDH($C$3,"TOTAL_EQUITY_SEQUENTIAL_GROWTH","FQ3 2017","FQ3 2017","Currency=INR","Period=FQ","BEST_FPERIOD_OVERRIDE=FQ","FILING_STATUS=OR","EQY_CONSOLIDATED=Y","Sort=A","Dates=H","DateFormat=P","Fill=—","Direction=H","UseDPDF=Y")</f>
        <v>#NAME?</v>
      </c>
      <c r="BV21" s="1" t="e">
        <f ca="1">_xll.BDH($C$3,"TOTAL_CAPITAL_SEQUENTIAL_GROWTH","FQ3 2017","FQ3 2017","Currency=INR","Period=FQ","BEST_FPERIOD_OVERRIDE=FQ","FILING_STATUS=OR","EQY_CONSOLIDATED=Y","Sort=A","Dates=H","DateFormat=P","Fill=—","Direction=H","UseDPDF=Y")</f>
        <v>#NAME?</v>
      </c>
      <c r="BW21" s="1" t="e">
        <f ca="1">_xll.BDH($C$3,"BPS_SEQUENTIAL_GROWTH","FQ3 2017","FQ3 2017","Currency=INR","Period=FQ","BEST_FPERIOD_OVERRIDE=FQ","FILING_STATUS=OR","EQY_CONSOLIDATED=Y","Sort=A","Dates=H","DateFormat=P","Fill=—","Direction=H","UseDPDF=Y")</f>
        <v>#NAME?</v>
      </c>
      <c r="BX21" s="1" t="e">
        <f ca="1">_xll.BDH($C$3,"CFO_SEQUENTIAL_GROWTH","FQ3 2017","FQ3 2017","Currency=INR","Period=FQ","BEST_FPERIOD_OVERRIDE=FQ","FILING_STATUS=OR","EQY_CONSOLIDATED=Y","Sort=A","Dates=H","DateFormat=P","Fill=—","Direction=H","UseDPDF=Y")</f>
        <v>#NAME?</v>
      </c>
      <c r="BY21" s="2" t="e">
        <f ca="1">_xll.BDH($C$3,"SHORT_AND_LONG_TERM_DEBT","FQ3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1" s="2" t="e">
        <f ca="1">_xll.BDH($C$3,"BS_ST_BORROW","FQ3 2017","FQ3 2017","Currency=INR","Period=FQ","BEST_FPERIOD_OVERRIDE=FQ","FILING_STATUS=OR","EQY_CONSOLIDATED=Y","SCALING_FORMAT=MLN","Sort=A","Dates=H","DateFormat=P","Fill=—","Direction=H","UseDPDF=Y")</f>
        <v>#NAME?</v>
      </c>
      <c r="CA21" s="2" t="e">
        <f ca="1">_xll.BDH($C$3,"BS_LT_BORROW","FQ3 2017","FQ3 2017","Currency=INR","Period=FQ","BEST_FPERIOD_OVERRIDE=FQ","FILING_STATUS=OR","EQY_CONSOLIDATED=Y","SCALING_FORMAT=MLN","Sort=A","Dates=H","DateFormat=P","Fill=—","Direction=H","UseDPDF=Y")</f>
        <v>#NAME?</v>
      </c>
      <c r="CB21" s="1" t="e">
        <f ca="1">_xll.BDH($C$3,"TOT_DEBT_TO_EBITDA","FQ3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1" s="1" t="e">
        <f ca="1">_xll.BDH($C$3,"NET_DEBT_TO_EBITDA","FQ3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1" s="1" t="e">
        <f ca="1">_xll.BDH($C$3,"TOTAL_DEBT_TO_EBIT","FQ3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1" s="1" t="e">
        <f ca="1">_xll.BDH($C$3,"NET_DEBT_TO_EBIT","FQ3 2017","FQ3 2017","Currency=INR","Period=FQ","BEST_FPERIOD_OVERRIDE=FQ","FILING_STATUS=OR","EQY_CONSOLIDATED=Y","FA_ADJUSTED=GAAP","Sort=A","Dates=H","DateFormat=P","Fill=—","Direction=H","UseDPDF=Y")</f>
        <v>#NAME?</v>
      </c>
      <c r="CF21" s="1" t="e">
        <f ca="1">_xll.BDH($C$3,"EBITDA_TO_INTEREST_EXPN","FQ3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1" s="1" t="e">
        <f ca="1">_xll.BDH($C$3,"COM_EQY_TO_TOT_ASSET","FQ3 2017","FQ3 2017","Currency=INR","Period=FQ","BEST_FPERIOD_OVERRIDE=FQ","FILING_STATUS=OR","EQY_CONSOLIDATED=Y","Sort=A","Dates=H","DateFormat=P","Fill=—","Direction=H","UseDPDF=Y")</f>
        <v>#NAME?</v>
      </c>
      <c r="CH21" s="1" t="e">
        <f ca="1">_xll.BDH($C$3,"LT_DEBT_TO_TOT_EQY","FQ3 2017","FQ3 2017","Currency=INR","Period=FQ","BEST_FPERIOD_OVERRIDE=FQ","FILING_STATUS=OR","EQY_CONSOLIDATED=Y","Sort=A","Dates=H","DateFormat=P","Fill=—","Direction=H","UseDPDF=Y")</f>
        <v>#NAME?</v>
      </c>
      <c r="CI21" s="1" t="e">
        <f ca="1">_xll.BDH($C$3,"LT_DEBT_TO_TOT_CAP","FQ3 2017","FQ3 2017","Currency=INR","Period=FQ","BEST_FPERIOD_OVERRIDE=FQ","FILING_STATUS=OR","EQY_CONSOLIDATED=Y","Sort=A","Dates=H","DateFormat=P","Fill=—","Direction=H","UseDPDF=Y")</f>
        <v>#NAME?</v>
      </c>
      <c r="CJ21" s="1" t="e">
        <f ca="1">_xll.BDH($C$3,"LT_DEBT_TO_TOT_ASSET","FQ3 2017","FQ3 2017","Currency=INR","Period=FQ","BEST_FPERIOD_OVERRIDE=FQ","FILING_STATUS=OR","EQY_CONSOLIDATED=Y","Sort=A","Dates=H","DateFormat=P","Fill=—","Direction=H","UseDPDF=Y")</f>
        <v>#NAME?</v>
      </c>
      <c r="CK21" s="1" t="e">
        <f ca="1">_xll.BDH($C$3,"TOT_DEBT_TO_TOT_EQY","FQ3 2017","FQ3 2017","Currency=INR","Period=FQ","BEST_FPERIOD_OVERRIDE=FQ","FILING_STATUS=OR","EQY_CONSOLIDATED=Y","Sort=A","Dates=H","DateFormat=P","Fill=—","Direction=H","UseDPDF=Y")</f>
        <v>#NAME?</v>
      </c>
      <c r="CL21" s="1" t="e">
        <f ca="1">_xll.BDH($C$3,"TOT_DEBT_TO_TOT_CAP","FQ3 2017","FQ3 2017","Currency=INR","Period=FQ","BEST_FPERIOD_OVERRIDE=FQ","FILING_STATUS=OR","EQY_CONSOLIDATED=Y","Sort=A","Dates=H","DateFormat=P","Fill=—","Direction=H","UseDPDF=Y")</f>
        <v>#NAME?</v>
      </c>
      <c r="CM21" s="1" t="e">
        <f ca="1">_xll.BDH($C$3,"TOT_DEBT_TO_TOT_ASSET","FQ3 2017","FQ3 2017","Currency=INR","Period=FQ","BEST_FPERIOD_OVERRIDE=FQ","FILING_STATUS=OR","EQY_CONSOLIDATED=Y","Sort=A","Dates=H","DateFormat=P","Fill=—","Direction=H","UseDPDF=Y")</f>
        <v>#NAME?</v>
      </c>
      <c r="CN21" s="1" t="e">
        <f ca="1">_xll.BDH($C$3,"NET_DEBT_TO_SHRHLDR_EQTY","FQ3 2017","FQ3 2017","Currency=INR","Period=FQ","BEST_FPERIOD_OVERRIDE=FQ","FILING_STATUS=OR","EQY_CONSOLIDATED=Y","Sort=A","Dates=H","DateFormat=P","Fill=—","Direction=H","UseDPDF=Y")</f>
        <v>#NAME?</v>
      </c>
      <c r="CO21" s="1" t="e">
        <f ca="1">_xll.BDH($C$3,"NET_DEBT_%_CAPITAL","FQ3 2017","FQ3 2017","Currency=INR","Period=FQ","BEST_FPERIOD_OVERRIDE=FQ","FILING_STATUS=OR","EQY_CONSOLIDATED=Y","Sort=A","Dates=H","DateFormat=P","Fill=—","Direction=H","UseDPDF=Y")</f>
        <v>#NAME?</v>
      </c>
      <c r="CP21" s="2" t="e">
        <f ca="1">_xll.BDH($C$3,"EBITDA","FQ3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1" s="2" t="e">
        <f ca="1">_xll.BDH($C$3,"EBITDA_AFTER_CAPEX","FQ3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1" s="2" t="e">
        <f ca="1">_xll.BDH($C$3,"IS_OPER_INC","FQ3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1" s="1" t="e">
        <f ca="1">_xll.BDH($C$3,"CASH_RATIO","FQ3 2017","FQ3 2017","Currency=INR","Period=FQ","BEST_FPERIOD_OVERRIDE=FQ","FILING_STATUS=OR","EQY_CONSOLIDATED=Y","Sort=A","Dates=H","DateFormat=P","Fill=—","Direction=H","UseDPDF=Y")</f>
        <v>#NAME?</v>
      </c>
      <c r="CT21" s="1" t="e">
        <f ca="1">_xll.BDH($C$3,"CUR_RATIO","FQ3 2017","FQ3 2017","Currency=INR","Period=FQ","BEST_FPERIOD_OVERRIDE=FQ","FILING_STATUS=OR","EQY_CONSOLIDATED=Y","Sort=A","Dates=H","DateFormat=P","Fill=—","Direction=H","UseDPDF=Y")</f>
        <v>#NAME?</v>
      </c>
      <c r="CU21" s="1" t="e">
        <f ca="1">_xll.BDH($C$3,"QUICK_RATIO","FQ3 2017","FQ3 2017","Currency=INR","Period=FQ","BEST_FPERIOD_OVERRIDE=FQ","FILING_STATUS=OR","EQY_CONSOLIDATED=Y","Sort=A","Dates=H","DateFormat=P","Fill=—","Direction=H","UseDPDF=Y")</f>
        <v>#NAME?</v>
      </c>
      <c r="CV21" s="1" t="e">
        <f ca="1">_xll.BDH($C$3,"ALTMAN_Z_SCORE","FQ3 2017","FQ3 2017","Currency=INR","Period=FQ","BEST_FPERIOD_OVERRIDE=FQ","FILING_STATUS=OR","EQY_CONSOLIDATED=Y","Sort=A","Dates=H","DateFormat=P","Fill=—","Direction=H","UseDPDF=Y")</f>
        <v>#NAME?</v>
      </c>
      <c r="CW21" s="3" t="e">
        <f ca="1">_xll.BDH($C$3,"ACCT_RCV_TURN","FQ3 2017","FQ3 2017","Currency=INR","Period=FQ","BEST_FPERIOD_OVERRIDE=FQ","FILING_STATUS=OR","EQY_CONSOLIDATED=Y","FA_ADJUSTED=GAAP","Sort=A","Dates=H","DateFormat=P","Fill=—","Direction=H","UseDPDF=Y")</f>
        <v>#NAME?</v>
      </c>
      <c r="CX21" s="1" t="e">
        <f ca="1">_xll.BDH($C$3,"ACCT_RCV_DAYS","FQ3 2017","FQ3 2017","Currency=INR","Period=FQ","BEST_FPERIOD_OVERRIDE=FQ","FILING_STATUS=OR","EQY_CONSOLIDATED=Y","FA_ADJUSTED=GAAP","Sort=A","Dates=H","DateFormat=P","Fill=—","Direction=H","UseDPDF=Y")</f>
        <v>#NAME?</v>
      </c>
      <c r="CY21" s="3" t="e">
        <f ca="1">_xll.BDH($C$3,"INVENT_TURN","FQ3 2017","FQ3 2017","Currency=INR","Period=FQ","BEST_FPERIOD_OVERRIDE=FQ","FILING_STATUS=OR","EQY_CONSOLIDATED=Y","FA_ADJUSTED=GAAP","Sort=A","Dates=H","DateFormat=P","Fill=—","Direction=H","UseDPDF=Y")</f>
        <v>#NAME?</v>
      </c>
      <c r="CZ21" s="1" t="e">
        <f ca="1">_xll.BDH($C$3,"INVENT_DAYS","FQ3 2017","FQ3 2017","Currency=INR","Period=FQ","BEST_FPERIOD_OVERRIDE=FQ","FILING_STATUS=OR","EQY_CONSOLIDATED=Y","FA_ADJUSTED=GAAP","Sort=A","Dates=H","DateFormat=P","Fill=—","Direction=H","UseDPDF=Y")</f>
        <v>#NAME?</v>
      </c>
      <c r="DA21" s="3" t="e">
        <f ca="1">_xll.BDH($C$3,"ACCOUNTS_PAYABLE_TURNOVER","FQ3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1" s="1" t="e">
        <f ca="1">_xll.BDH($C$3,"ACCOUNTS_PAYABLE_TURNOVER_DAYS","FQ3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1" s="3" t="e">
        <f ca="1">_xll.BDH($C$3,"CASH_CONVERSION_CYCLE","FQ3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1" s="3" t="e">
        <f ca="1">_xll.BDH($C$3,"INV_TO_CASH_DAYS","FQ3 2017","FQ3 2017","Currency=INR","Period=FQ","BEST_FPERIOD_OVERRIDE=FQ","FILING_STATUS=OR","EQY_CONSOLIDATED=Y","FA_ADJUSTED=GAAP","Sort=A","Dates=H","DateFormat=P","Fill=—","Direction=H","UseDPDF=Y")</f>
        <v>#NAME?</v>
      </c>
      <c r="DE21" s="4" t="e">
        <f ca="1">_xll.BDH($C$3,"BS_INVENTORIES","FQ3 2017","FQ3 2017","Currency=INR","Period=FQ","BEST_FPERIOD_OVERRIDE=FQ","FILING_STATUS=OR","EQY_CONSOLIDATED=Y","SCALING_FORMAT=MLN","Sort=A","Dates=H","DateFormat=P","Fill=—","Direction=H","UseDPDF=Y")</f>
        <v>#NAME?</v>
      </c>
      <c r="DF21" s="2" t="e">
        <f ca="1">_xll.BDH($C$3,"INVTRY_RAW_MATERIALS","FQ3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1" s="2" t="e">
        <f ca="1">_xll.BDH($C$3,"INVTRY_IN_PROGRESS","FQ3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1" s="2" t="e">
        <f ca="1">_xll.BDH($C$3,"INVTRY_FINISHED_GOODS","FQ3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1" s="2" t="e">
        <f ca="1">_xll.BDH($C$3,"BS_OTHER_INV","FQ3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2" spans="1:113" x14ac:dyDescent="0.3">
      <c r="A22" s="6"/>
      <c r="B22" s="6"/>
      <c r="C22" s="6"/>
      <c r="D22" s="6"/>
      <c r="E22" t="s">
        <v>7</v>
      </c>
      <c r="F22" t="e">
        <f ca="1">_xll.BDH($C$3,"RETURN_COM_EQY","FQ4 2017","FQ4 2017","Currency=INR","Period=FQ","BEST_FPERIOD_OVERRIDE=FQ","FILING_STATUS=OR","EQY_CONSOLIDATED=Y","FA_ADJUSTED=GAAP","Sort=A","Dates=H","DateFormat=P","Fill=—","Direction=H","UseDPDF=Y")</f>
        <v>#NAME?</v>
      </c>
      <c r="G22" t="e">
        <f ca="1">_xll.BDH($C$3,"RETURN_ON_ASSET","FQ4 2017","FQ4 2017","Currency=INR","Period=FQ","BEST_FPERIOD_OVERRIDE=FQ","FILING_STATUS=OR","EQY_CONSOLIDATED=Y","FA_ADJUSTED=GAAP","Sort=A","Dates=H","DateFormat=P","Fill=—","Direction=H","UseDPDF=Y")</f>
        <v>#NAME?</v>
      </c>
      <c r="H22" t="e">
        <f ca="1">_xll.BDH($C$3,"RETURN_ON_CAP","FQ4 2017","FQ4 2017","Currency=INR","Period=FQ","BEST_FPERIOD_OVERRIDE=FQ","FILING_STATUS=OR","EQY_CONSOLIDATED=Y","FA_ADJUSTED=GAAP","Sort=A","Dates=H","DateFormat=P","Fill=—","Direction=H","UseDPDF=Y")</f>
        <v>#NAME?</v>
      </c>
      <c r="I22" t="e">
        <f ca="1">_xll.BDH($C$3,"RETURN_ON_INV_CAPITAL","FQ4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2" t="e">
        <f ca="1">_xll.BDH($C$3,"EBITDA_TO_REVENUE","FQ4 2017","FQ4 2017","Currency=INR","Period=FQ","BEST_FPERIOD_OVERRIDE=FQ","FILING_STATUS=OR","EQY_CONSOLIDATED=Y","FA_ADJUSTED=GAAP","Sort=A","Dates=H","DateFormat=P","Fill=—","Direction=H","UseDPDF=Y")</f>
        <v>#NAME?</v>
      </c>
      <c r="K22" t="e">
        <f ca="1">_xll.BDH($C$3,"OPER_MARGIN","FQ4 2017","FQ4 2017","Currency=INR","Period=FQ","BEST_FPERIOD_OVERRIDE=FQ","FILING_STATUS=OR","EQY_CONSOLIDATED=Y","FA_ADJUSTED=GAAP","Sort=A","Dates=H","DateFormat=P","Fill=—","Direction=H","UseDPDF=Y")</f>
        <v>#NAME?</v>
      </c>
      <c r="L22" t="e">
        <f ca="1">_xll.BDH($C$3,"INCREMENTAL_OPERATING_MARGIN","FQ4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2" t="e">
        <f ca="1">_xll.BDH($C$3,"PRETAX_INC_TO_NET_SALES","FQ4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2" t="e">
        <f ca="1">_xll.BDH($C$3,"INC_BEF_XO_ITEMS_TO_NET_SALES","FQ4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2" t="e">
        <f ca="1">_xll.BDH($C$3,"PROF_MARGIN","FQ4 2017","FQ4 2017","Currency=INR","Period=FQ","BEST_FPERIOD_OVERRIDE=FQ","FILING_STATUS=OR","EQY_CONSOLIDATED=Y","FA_ADJUSTED=GAAP","Sort=A","Dates=H","DateFormat=P","Fill=—","Direction=H","UseDPDF=Y")</f>
        <v>#NAME?</v>
      </c>
      <c r="P22" t="e">
        <f ca="1">_xll.BDH($C$3,"NET_INCOME_TO_COMMON_MARGIN","FQ4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2" t="e">
        <f ca="1">_xll.BDH($C$3,"EFF_TAX_RATE","FQ4 2017","FQ4 2017","Currency=INR","Period=FQ","BEST_FPERIOD_OVERRIDE=FQ","FILING_STATUS=OR","EQY_CONSOLIDATED=Y","FA_ADJUSTED=GAAP","Sort=A","Dates=H","DateFormat=P","Fill=—","Direction=H","UseDPDF=Y")</f>
        <v>#NAME?</v>
      </c>
      <c r="R22" t="e">
        <f ca="1">_xll.BDH($C$3,"DVD_PAYOUT_RATIO","FQ4 2017","FQ4 2017","Currency=INR","Period=FQ","BEST_FPERIOD_OVERRIDE=FQ","FILING_STATUS=OR","EQY_CONSOLIDATED=Y","FA_ADJUSTED=GAAP","Sort=A","Dates=H","DateFormat=P","Fill=—","Direction=H","UseDPDF=Y")</f>
        <v>#NAME?</v>
      </c>
      <c r="S22" t="e">
        <f ca="1">_xll.BDH($C$3,"SUSTAIN_GROWTH_RT","FQ4 2017","FQ4 2017","Currency=INR","Period=FQ","BEST_FPERIOD_OVERRIDE=FQ","FILING_STATUS=OR","EQY_CONSOLIDATED=Y","FA_ADJUSTED=GAAP","Sort=A","Dates=H","DateFormat=P","Fill=—","Direction=H","UseDPDF=Y")</f>
        <v>#NAME?</v>
      </c>
      <c r="T22" s="1" t="e">
        <f ca="1">_xll.BDH($C$3,"SALES_GROWTH","FQ4 2017","FQ4 2017","Currency=INR","Period=FQ","BEST_FPERIOD_OVERRIDE=FQ","FILING_STATUS=OR","EQY_CONSOLIDATED=Y","FA_ADJUSTED=GAAP","Sort=A","Dates=H","DateFormat=P","Fill=—","Direction=H","UseDPDF=Y")</f>
        <v>#NAME?</v>
      </c>
      <c r="U22" s="1" t="e">
        <f ca="1">_xll.BDH($C$3,"EBITDA_GROWTH","FQ4 2017","FQ4 2017","Currency=INR","Period=FQ","BEST_FPERIOD_OVERRIDE=FQ","FILING_STATUS=OR","EQY_CONSOLIDATED=Y","FA_ADJUSTED=GAAP","Sort=A","Dates=H","DateFormat=P","Fill=—","Direction=H","UseDPDF=Y")</f>
        <v>#NAME?</v>
      </c>
      <c r="V22" s="1" t="e">
        <f ca="1">_xll.BDH($C$3,"OPER_INC_GROWTH","FQ4 2017","FQ4 2017","Currency=INR","Period=FQ","BEST_FPERIOD_OVERRIDE=FQ","FILING_STATUS=OR","EQY_CONSOLIDATED=Y","FA_ADJUSTED=GAAP","Sort=A","Dates=H","DateFormat=P","Fill=—","Direction=H","UseDPDF=Y")</f>
        <v>#NAME?</v>
      </c>
      <c r="W22" s="1" t="e">
        <f ca="1">_xll.BDH($C$3,"EARN_FOR_COM_GROWTH","FQ4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2" s="1" t="e">
        <f ca="1">_xll.BDH($C$3,"DILUTED_EPS_AFT_XO_ITEMS_GROWTH","FQ4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2" s="1" t="e">
        <f ca="1">_xll.BDH($C$3,"DIVIDEND_PER_SHARE_1_YEAR_GROWTH","FQ4 2017","FQ4 2017","Currency=INR","Period=FQ","BEST_FPERIOD_OVERRIDE=FQ","FILING_STATUS=OR","EQY_CONSOLIDATED=Y","Sort=A","Dates=H","DateFormat=P","Fill=—","Direction=H","UseDPDF=Y")</f>
        <v>#NAME?</v>
      </c>
      <c r="Z22" s="1" t="e">
        <f ca="1">_xll.BDH($C$3,"ACCOUNTS_RECEIVABLE_GROWTH","FQ4 2017","FQ4 2017","Currency=INR","Period=FQ","BEST_FPERIOD_OVERRIDE=FQ","FILING_STATUS=OR","EQY_CONSOLIDATED=Y","Sort=A","Dates=H","DateFormat=P","Fill=—","Direction=H","UseDPDF=Y")</f>
        <v>#NAME?</v>
      </c>
      <c r="AA22" s="1" t="e">
        <f ca="1">_xll.BDH($C$3,"INVENTORY_GROWTH","FQ4 2017","FQ4 2017","Currency=INR","Period=FQ","BEST_FPERIOD_OVERRIDE=FQ","FILING_STATUS=OR","EQY_CONSOLIDATED=Y","Sort=A","Dates=H","DateFormat=P","Fill=—","Direction=H","UseDPDF=Y")</f>
        <v>#NAME?</v>
      </c>
      <c r="AB22" s="1" t="e">
        <f ca="1">_xll.BDH($C$3,"NET_FIXED_ASSETS_1_YEAR_GROWTH","FQ4 2017","FQ4 2017","Currency=INR","Period=FQ","BEST_FPERIOD_OVERRIDE=FQ","FILING_STATUS=OR","EQY_CONSOLIDATED=Y","Sort=A","Dates=H","DateFormat=P","Fill=—","Direction=H","UseDPDF=Y")</f>
        <v>#NAME?</v>
      </c>
      <c r="AC22" s="1" t="e">
        <f ca="1">_xll.BDH($C$3,"ASSET_GROWTH","FQ4 2017","FQ4 2017","Currency=INR","Period=FQ","BEST_FPERIOD_OVERRIDE=FQ","FILING_STATUS=OR","EQY_CONSOLIDATED=Y","Sort=A","Dates=H","DateFormat=P","Fill=—","Direction=H","UseDPDF=Y")</f>
        <v>#NAME?</v>
      </c>
      <c r="AD22" s="1" t="e">
        <f ca="1">_xll.BDH($C$3,"MODIFIED_WORK_CAP_GROWTH","FQ4 2017","FQ4 2017","Currency=INR","Period=FQ","BEST_FPERIOD_OVERRIDE=FQ","FILING_STATUS=OR","EQY_CONSOLIDATED=Y","Sort=A","Dates=H","DateFormat=P","Fill=—","Direction=H","UseDPDF=Y")</f>
        <v>#NAME?</v>
      </c>
      <c r="AE22" s="1" t="e">
        <f ca="1">_xll.BDH($C$3,"WORK_CAP_GROWTH","FQ4 2017","FQ4 2017","Currency=INR","Period=FQ","BEST_FPERIOD_OVERRIDE=FQ","FILING_STATUS=OR","EQY_CONSOLIDATED=Y","Sort=A","Dates=H","DateFormat=P","Fill=—","Direction=H","UseDPDF=Y")</f>
        <v>#NAME?</v>
      </c>
      <c r="AF22" s="1" t="e">
        <f ca="1">_xll.BDH($C$3,"ACCOUNTS_PAYABLE_GROWTH_1YR","FQ4 2017","FQ4 2017","Currency=INR","Period=FQ","BEST_FPERIOD_OVERRIDE=FQ","FILING_STATUS=OR","EQY_CONSOLIDATED=Y","Sort=A","Dates=H","DateFormat=P","Fill=—","Direction=H","UseDPDF=Y")</f>
        <v>#NAME?</v>
      </c>
      <c r="AG22" s="1" t="e">
        <f ca="1">_xll.BDH($C$3,"SHORT_TERM_DEBT_1_YEAR_GROWTH","FQ4 2017","FQ4 2017","Currency=INR","Period=FQ","BEST_FPERIOD_OVERRIDE=FQ","FILING_STATUS=OR","EQY_CONSOLIDATED=Y","Sort=A","Dates=H","DateFormat=P","Fill=—","Direction=H","UseDPDF=Y")</f>
        <v>#NAME?</v>
      </c>
      <c r="AH22" s="1" t="e">
        <f ca="1">_xll.BDH($C$3,"TOTAL_DEBT_1_YEAR_GROWTH","FQ4 2017","FQ4 2017","Currency=INR","Period=FQ","BEST_FPERIOD_OVERRIDE=FQ","FILING_STATUS=OR","EQY_CONSOLIDATED=Y","Sort=A","Dates=H","DateFormat=P","Fill=—","Direction=H","UseDPDF=Y")</f>
        <v>#NAME?</v>
      </c>
      <c r="AI22" s="1" t="e">
        <f ca="1">_xll.BDH($C$3,"TOTAL_EQUITY_1_YEAR_GROWTH","FQ4 2017","FQ4 2017","Currency=INR","Period=FQ","BEST_FPERIOD_OVERRIDE=FQ","FILING_STATUS=OR","EQY_CONSOLIDATED=Y","Sort=A","Dates=H","DateFormat=P","Fill=—","Direction=H","UseDPDF=Y")</f>
        <v>#NAME?</v>
      </c>
      <c r="AJ22" s="1" t="e">
        <f ca="1">_xll.BDH($C$3,"GROWTH_IN_CAP","FQ4 2017","FQ4 2017","Currency=INR","Period=FQ","BEST_FPERIOD_OVERRIDE=FQ","FILING_STATUS=OR","EQY_CONSOLIDATED=Y","Sort=A","Dates=H","DateFormat=P","Fill=—","Direction=H","UseDPDF=Y")</f>
        <v>#NAME?</v>
      </c>
      <c r="AK22" s="1" t="e">
        <f ca="1">_xll.BDH($C$3,"BVPS_GROWTH","FQ4 2017","FQ4 2017","Currency=INR","Period=FQ","BEST_FPERIOD_OVERRIDE=FQ","FILING_STATUS=OR","EQY_CONSOLIDATED=Y","Sort=A","Dates=H","DateFormat=P","Fill=—","Direction=H","UseDPDF=Y")</f>
        <v>#NAME?</v>
      </c>
      <c r="AL22" s="1" t="e">
        <f ca="1">_xll.BDH($C$3,"CASH_FLOW_GROWTH","FQ4 2017","FQ4 2017","Currency=INR","Period=FQ","BEST_FPERIOD_OVERRIDE=FQ","FILING_STATUS=OR","EQY_CONSOLIDATED=Y","Sort=A","Dates=H","DateFormat=P","Fill=—","Direction=H","UseDPDF=Y")</f>
        <v>#NAME?</v>
      </c>
      <c r="AM22" s="1" t="e">
        <f ca="1">_xll.BDH($C$3,"GEO_GROW_NET_SALES","FQ4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2" s="1" t="e">
        <f ca="1">_xll.BDH($C$3,"GEO_GROW_EBITDA","FQ4 2017","FQ4 2017","Currency=INR","Period=FQ","BEST_FPERIOD_OVERRIDE=FQ","FILING_STATUS=OR","EQY_CONSOLIDATED=Y","FA_ADJUSTED=GAAP","Sort=A","Dates=H","DateFormat=P","Fill=—","Direction=H","UseDPDF=Y")</f>
        <v>#NAME?</v>
      </c>
      <c r="AO22" s="1" t="e">
        <f ca="1">_xll.BDH($C$3,"GEO_GROW_OPER_INC","FQ4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2" s="1" t="e">
        <f ca="1">_xll.BDH($C$3,"NET_INCOME_TO_COMMON_5_YR_GROWTH","FQ4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2" s="1" t="e">
        <f ca="1">_xll.BDH($C$3,"5Y_GEO_GROWTH_DILUTED_EPS","FQ4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2" s="1" t="e">
        <f ca="1">_xll.BDH($C$3,"GEO_GROW_DVD_PER_SH","FQ4 2017","FQ4 2017","Currency=INR","Period=FQ","BEST_FPERIOD_OVERRIDE=FQ","FILING_STATUS=OR","EQY_CONSOLIDATED=Y","Sort=A","Dates=H","DateFormat=P","Fill=—","Direction=H","UseDPDF=Y")</f>
        <v>#NAME?</v>
      </c>
      <c r="AS22" s="1" t="e">
        <f ca="1">_xll.BDH($C$3,"ACCOUNTS_RECEIVABLE_5_YR_GROWTH","FQ4 2017","FQ4 2017","Currency=INR","Period=FQ","BEST_FPERIOD_OVERRIDE=FQ","FILING_STATUS=OR","EQY_CONSOLIDATED=Y","Sort=A","Dates=H","DateFormat=P","Fill=—","Direction=H","UseDPDF=Y")</f>
        <v>#NAME?</v>
      </c>
      <c r="AT22" s="1" t="e">
        <f ca="1">_xll.BDH($C$3,"INVENTORY_5_YEAR_GROWTH","FQ4 2017","FQ4 2017","Currency=INR","Period=FQ","BEST_FPERIOD_OVERRIDE=FQ","FILING_STATUS=OR","EQY_CONSOLIDATED=Y","Sort=A","Dates=H","DateFormat=P","Fill=—","Direction=H","UseDPDF=Y")</f>
        <v>#NAME?</v>
      </c>
      <c r="AU22" s="1" t="e">
        <f ca="1">_xll.BDH($C$3,"NET_FIXED_ASSETS_5_YEAR_GROWTH","FQ4 2017","FQ4 2017","Currency=INR","Period=FQ","BEST_FPERIOD_OVERRIDE=FQ","FILING_STATUS=OR","EQY_CONSOLIDATED=Y","Sort=A","Dates=H","DateFormat=P","Fill=—","Direction=H","UseDPDF=Y")</f>
        <v>#NAME?</v>
      </c>
      <c r="AV22" s="1" t="e">
        <f ca="1">_xll.BDH($C$3,"GEO_GROW_TOT_ASSET","FQ4 2017","FQ4 2017","Currency=INR","Period=FQ","BEST_FPERIOD_OVERRIDE=FQ","FILING_STATUS=OR","EQY_CONSOLIDATED=Y","Sort=A","Dates=H","DateFormat=P","Fill=—","Direction=H","UseDPDF=Y")</f>
        <v>#NAME?</v>
      </c>
      <c r="AW22" s="1" t="e">
        <f ca="1">_xll.BDH($C$3,"MODIFIED_WORKING_CPTL_5YR_GRWTH","FQ4 2017","FQ4 2017","Currency=INR","Period=FQ","BEST_FPERIOD_OVERRIDE=FQ","FILING_STATUS=OR","EQY_CONSOLIDATED=Y","Sort=A","Dates=H","DateFormat=P","Fill=—","Direction=H","UseDPDF=Y")</f>
        <v>#NAME?</v>
      </c>
      <c r="AX22" s="1" t="e">
        <f ca="1">_xll.BDH($C$3,"WORKING_CAPITAL_5_YEAR_GROWTH","FQ4 2017","FQ4 2017","Currency=INR","Period=FQ","BEST_FPERIOD_OVERRIDE=FQ","FILING_STATUS=OR","EQY_CONSOLIDATED=Y","Sort=A","Dates=H","DateFormat=P","Fill=—","Direction=H","UseDPDF=Y")</f>
        <v>#NAME?</v>
      </c>
      <c r="AY22" s="1" t="e">
        <f ca="1">_xll.BDH($C$3,"ACCOUNTS_PAYABLE_5_YEAR_GROWTH","FQ4 2017","FQ4 2017","Currency=INR","Period=FQ","BEST_FPERIOD_OVERRIDE=FQ","FILING_STATUS=OR","EQY_CONSOLIDATED=Y","Sort=A","Dates=H","DateFormat=P","Fill=—","Direction=H","UseDPDF=Y")</f>
        <v>#NAME?</v>
      </c>
      <c r="AZ22" s="1" t="e">
        <f ca="1">_xll.BDH($C$3,"SHORT_TERM_DEBT_5_YEAR_GROWTH","FQ4 2017","FQ4 2017","Currency=INR","Period=FQ","BEST_FPERIOD_OVERRIDE=FQ","FILING_STATUS=OR","EQY_CONSOLIDATED=Y","Sort=A","Dates=H","DateFormat=P","Fill=—","Direction=H","UseDPDF=Y")</f>
        <v>#NAME?</v>
      </c>
      <c r="BA22" s="1" t="e">
        <f ca="1">_xll.BDH($C$3,"TOTAL_DEBT_5_YEAR_GROWTH","FQ4 2017","FQ4 2017","Currency=INR","Period=FQ","BEST_FPERIOD_OVERRIDE=FQ","FILING_STATUS=OR","EQY_CONSOLIDATED=Y","Sort=A","Dates=H","DateFormat=P","Fill=—","Direction=H","UseDPDF=Y")</f>
        <v>#NAME?</v>
      </c>
      <c r="BB22" s="1" t="e">
        <f ca="1">_xll.BDH($C$3,"GEO_GROW_TOT_SHRHLDR_EQY","FQ4 2017","FQ4 2017","Currency=INR","Period=FQ","BEST_FPERIOD_OVERRIDE=FQ","FILING_STATUS=OR","EQY_CONSOLIDATED=Y","Sort=A","Dates=H","DateFormat=P","Fill=—","Direction=H","UseDPDF=Y")</f>
        <v>#NAME?</v>
      </c>
      <c r="BC22" s="1" t="e">
        <f ca="1">_xll.BDH($C$3,"TOTAL_CAPITAL_5_YEAR_GROWTH","FQ4 2017","FQ4 2017","Currency=INR","Period=FQ","BEST_FPERIOD_OVERRIDE=FQ","FILING_STATUS=OR","EQY_CONSOLIDATED=Y","Sort=A","Dates=H","DateFormat=P","Fill=—","Direction=H","UseDPDF=Y")</f>
        <v>#NAME?</v>
      </c>
      <c r="BD22" s="1" t="e">
        <f ca="1">_xll.BDH($C$3,"GEO_GROW_BOOK_VAL","FQ4 2017","FQ4 2017","Currency=INR","Period=FQ","BEST_FPERIOD_OVERRIDE=FQ","FILING_STATUS=OR","EQY_CONSOLIDATED=Y","Sort=A","Dates=H","DateFormat=P","Fill=—","Direction=H","UseDPDF=Y")</f>
        <v>#NAME?</v>
      </c>
      <c r="BE22" s="1" t="e">
        <f ca="1">_xll.BDH($C$3,"GEO_GROW_CASH_OPER_ACT","FQ4 2017","FQ4 2017","Currency=INR","Period=FQ","BEST_FPERIOD_OVERRIDE=FQ","FILING_STATUS=OR","EQY_CONSOLIDATED=Y","Sort=A","Dates=H","DateFormat=P","Fill=—","Direction=H","UseDPDF=Y")</f>
        <v>#NAME?</v>
      </c>
      <c r="BF22" s="1" t="e">
        <f ca="1">_xll.BDH($C$3,"REVENUE_SEQUENTIAL_GROWTH","FQ4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2" s="1" t="e">
        <f ca="1">_xll.BDH($C$3,"EBITDA_SEQUENTIAL_GROWTH","FQ4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2" s="1" t="e">
        <f ca="1">_xll.BDH($C$3,"OPERATING_INCOME_SEQ_GROWTH","FQ4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2" s="1" t="e">
        <f ca="1">_xll.BDH($C$3,"NET_INCOME_TO_COMMON_SEQ_GROWTH","FQ4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2" s="1" t="e">
        <f ca="1">_xll.BDH($C$3,"EPS_DILUTED_SEQUENTIAL_GROWTH","FQ4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2" s="1" t="e">
        <f ca="1">_xll.BDH($C$3,"DPS_SEQUENTIAL_GROWTH","FQ4 2017","FQ4 2017","Currency=INR","Period=FQ","BEST_FPERIOD_OVERRIDE=FQ","FILING_STATUS=OR","EQY_CONSOLIDATED=Y","Sort=A","Dates=H","DateFormat=P","Fill=—","Direction=H","UseDPDF=Y")</f>
        <v>#NAME?</v>
      </c>
      <c r="BL22" s="1" t="e">
        <f ca="1">_xll.BDH($C$3,"ACCOUNTS_RECEIVABLE_SEQ_GROWTH","FQ4 2017","FQ4 2017","Currency=INR","Period=FQ","BEST_FPERIOD_OVERRIDE=FQ","FILING_STATUS=OR","EQY_CONSOLIDATED=Y","Sort=A","Dates=H","DateFormat=P","Fill=—","Direction=H","UseDPDF=Y")</f>
        <v>#NAME?</v>
      </c>
      <c r="BM22" s="1" t="e">
        <f ca="1">_xll.BDH($C$3,"INVENTORY_SEQUENTIAL_GROWTH","FQ4 2017","FQ4 2017","Currency=INR","Period=FQ","BEST_FPERIOD_OVERRIDE=FQ","FILING_STATUS=OR","EQY_CONSOLIDATED=Y","Sort=A","Dates=H","DateFormat=P","Fill=—","Direction=H","UseDPDF=Y")</f>
        <v>#NAME?</v>
      </c>
      <c r="BN22" s="1" t="e">
        <f ca="1">_xll.BDH($C$3,"FIXED_ASSETS_SEQUENTIAL_GROWTH","FQ4 2017","FQ4 2017","Currency=INR","Period=FQ","BEST_FPERIOD_OVERRIDE=FQ","FILING_STATUS=OR","EQY_CONSOLIDATED=Y","Sort=A","Dates=H","DateFormat=P","Fill=—","Direction=H","UseDPDF=Y")</f>
        <v>#NAME?</v>
      </c>
      <c r="BO22" s="1" t="e">
        <f ca="1">_xll.BDH($C$3,"TOTAL_ASSETS_SEQUENTIAL_GROWTH","FQ4 2017","FQ4 2017","Currency=INR","Period=FQ","BEST_FPERIOD_OVERRIDE=FQ","FILING_STATUS=OR","EQY_CONSOLIDATED=Y","Sort=A","Dates=H","DateFormat=P","Fill=—","Direction=H","UseDPDF=Y")</f>
        <v>#NAME?</v>
      </c>
      <c r="BP22" s="1" t="e">
        <f ca="1">_xll.BDH($C$3,"MODIFIED_WORKING_CPTL_SEQ_GRWTH","FQ4 2017","FQ4 2017","Currency=INR","Period=FQ","BEST_FPERIOD_OVERRIDE=FQ","FILING_STATUS=OR","EQY_CONSOLIDATED=Y","Sort=A","Dates=H","DateFormat=P","Fill=—","Direction=H","UseDPDF=Y")</f>
        <v>#NAME?</v>
      </c>
      <c r="BQ22" s="1" t="e">
        <f ca="1">_xll.BDH($C$3,"WORKING_CAPITAL_SEQ_GROWTH","FQ4 2017","FQ4 2017","Currency=INR","Period=FQ","BEST_FPERIOD_OVERRIDE=FQ","FILING_STATUS=OR","EQY_CONSOLIDATED=Y","Sort=A","Dates=H","DateFormat=P","Fill=—","Direction=H","UseDPDF=Y")</f>
        <v>#NAME?</v>
      </c>
      <c r="BR22" s="1" t="e">
        <f ca="1">_xll.BDH($C$3,"ACCOUNTS_PAYABLE_SEQ_GROWTH","FQ4 2017","FQ4 2017","Currency=INR","Period=FQ","BEST_FPERIOD_OVERRIDE=FQ","FILING_STATUS=OR","EQY_CONSOLIDATED=Y","Sort=A","Dates=H","DateFormat=P","Fill=—","Direction=H","UseDPDF=Y")</f>
        <v>#NAME?</v>
      </c>
      <c r="BS22" s="1" t="e">
        <f ca="1">_xll.BDH($C$3,"ST_DEBT_SEQUENTIAL_GROWTH","FQ4 2017","FQ4 2017","Currency=INR","Period=FQ","BEST_FPERIOD_OVERRIDE=FQ","FILING_STATUS=OR","EQY_CONSOLIDATED=Y","Sort=A","Dates=H","DateFormat=P","Fill=—","Direction=H","UseDPDF=Y")</f>
        <v>#NAME?</v>
      </c>
      <c r="BT22" s="1" t="e">
        <f ca="1">_xll.BDH($C$3,"TOTAL_DEBT_SEQUENTIAL_GROWTH","FQ4 2017","FQ4 2017","Currency=INR","Period=FQ","BEST_FPERIOD_OVERRIDE=FQ","FILING_STATUS=OR","EQY_CONSOLIDATED=Y","Sort=A","Dates=H","DateFormat=P","Fill=—","Direction=H","UseDPDF=Y")</f>
        <v>#NAME?</v>
      </c>
      <c r="BU22" s="1" t="e">
        <f ca="1">_xll.BDH($C$3,"TOTAL_EQUITY_SEQUENTIAL_GROWTH","FQ4 2017","FQ4 2017","Currency=INR","Period=FQ","BEST_FPERIOD_OVERRIDE=FQ","FILING_STATUS=OR","EQY_CONSOLIDATED=Y","Sort=A","Dates=H","DateFormat=P","Fill=—","Direction=H","UseDPDF=Y")</f>
        <v>#NAME?</v>
      </c>
      <c r="BV22" s="1" t="e">
        <f ca="1">_xll.BDH($C$3,"TOTAL_CAPITAL_SEQUENTIAL_GROWTH","FQ4 2017","FQ4 2017","Currency=INR","Period=FQ","BEST_FPERIOD_OVERRIDE=FQ","FILING_STATUS=OR","EQY_CONSOLIDATED=Y","Sort=A","Dates=H","DateFormat=P","Fill=—","Direction=H","UseDPDF=Y")</f>
        <v>#NAME?</v>
      </c>
      <c r="BW22" s="1" t="e">
        <f ca="1">_xll.BDH($C$3,"BPS_SEQUENTIAL_GROWTH","FQ4 2017","FQ4 2017","Currency=INR","Period=FQ","BEST_FPERIOD_OVERRIDE=FQ","FILING_STATUS=OR","EQY_CONSOLIDATED=Y","Sort=A","Dates=H","DateFormat=P","Fill=—","Direction=H","UseDPDF=Y")</f>
        <v>#NAME?</v>
      </c>
      <c r="BX22" s="1" t="e">
        <f ca="1">_xll.BDH($C$3,"CFO_SEQUENTIAL_GROWTH","FQ4 2017","FQ4 2017","Currency=INR","Period=FQ","BEST_FPERIOD_OVERRIDE=FQ","FILING_STATUS=OR","EQY_CONSOLIDATED=Y","Sort=A","Dates=H","DateFormat=P","Fill=—","Direction=H","UseDPDF=Y")</f>
        <v>#NAME?</v>
      </c>
      <c r="BY22" s="2" t="e">
        <f ca="1">_xll.BDH($C$3,"SHORT_AND_LONG_TERM_DEBT","FQ4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2" s="2" t="e">
        <f ca="1">_xll.BDH($C$3,"BS_ST_BORROW","FQ4 2017","FQ4 2017","Currency=INR","Period=FQ","BEST_FPERIOD_OVERRIDE=FQ","FILING_STATUS=OR","EQY_CONSOLIDATED=Y","SCALING_FORMAT=MLN","Sort=A","Dates=H","DateFormat=P","Fill=—","Direction=H","UseDPDF=Y")</f>
        <v>#NAME?</v>
      </c>
      <c r="CA22" s="2" t="e">
        <f ca="1">_xll.BDH($C$3,"BS_LT_BORROW","FQ4 2017","FQ4 2017","Currency=INR","Period=FQ","BEST_FPERIOD_OVERRIDE=FQ","FILING_STATUS=OR","EQY_CONSOLIDATED=Y","SCALING_FORMAT=MLN","Sort=A","Dates=H","DateFormat=P","Fill=—","Direction=H","UseDPDF=Y")</f>
        <v>#NAME?</v>
      </c>
      <c r="CB22" s="1" t="e">
        <f ca="1">_xll.BDH($C$3,"TOT_DEBT_TO_EBITDA","FQ4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2" s="1" t="e">
        <f ca="1">_xll.BDH($C$3,"NET_DEBT_TO_EBITDA","FQ4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2" s="1" t="e">
        <f ca="1">_xll.BDH($C$3,"TOTAL_DEBT_TO_EBIT","FQ4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2" s="1" t="e">
        <f ca="1">_xll.BDH($C$3,"NET_DEBT_TO_EBIT","FQ4 2017","FQ4 2017","Currency=INR","Period=FQ","BEST_FPERIOD_OVERRIDE=FQ","FILING_STATUS=OR","EQY_CONSOLIDATED=Y","FA_ADJUSTED=GAAP","Sort=A","Dates=H","DateFormat=P","Fill=—","Direction=H","UseDPDF=Y")</f>
        <v>#NAME?</v>
      </c>
      <c r="CF22" s="1" t="e">
        <f ca="1">_xll.BDH($C$3,"EBITDA_TO_INTEREST_EXPN","FQ4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2" s="1" t="e">
        <f ca="1">_xll.BDH($C$3,"COM_EQY_TO_TOT_ASSET","FQ4 2017","FQ4 2017","Currency=INR","Period=FQ","BEST_FPERIOD_OVERRIDE=FQ","FILING_STATUS=OR","EQY_CONSOLIDATED=Y","Sort=A","Dates=H","DateFormat=P","Fill=—","Direction=H","UseDPDF=Y")</f>
        <v>#NAME?</v>
      </c>
      <c r="CH22" s="1" t="e">
        <f ca="1">_xll.BDH($C$3,"LT_DEBT_TO_TOT_EQY","FQ4 2017","FQ4 2017","Currency=INR","Period=FQ","BEST_FPERIOD_OVERRIDE=FQ","FILING_STATUS=OR","EQY_CONSOLIDATED=Y","Sort=A","Dates=H","DateFormat=P","Fill=—","Direction=H","UseDPDF=Y")</f>
        <v>#NAME?</v>
      </c>
      <c r="CI22" s="1" t="e">
        <f ca="1">_xll.BDH($C$3,"LT_DEBT_TO_TOT_CAP","FQ4 2017","FQ4 2017","Currency=INR","Period=FQ","BEST_FPERIOD_OVERRIDE=FQ","FILING_STATUS=OR","EQY_CONSOLIDATED=Y","Sort=A","Dates=H","DateFormat=P","Fill=—","Direction=H","UseDPDF=Y")</f>
        <v>#NAME?</v>
      </c>
      <c r="CJ22" s="1" t="e">
        <f ca="1">_xll.BDH($C$3,"LT_DEBT_TO_TOT_ASSET","FQ4 2017","FQ4 2017","Currency=INR","Period=FQ","BEST_FPERIOD_OVERRIDE=FQ","FILING_STATUS=OR","EQY_CONSOLIDATED=Y","Sort=A","Dates=H","DateFormat=P","Fill=—","Direction=H","UseDPDF=Y")</f>
        <v>#NAME?</v>
      </c>
      <c r="CK22" s="1" t="e">
        <f ca="1">_xll.BDH($C$3,"TOT_DEBT_TO_TOT_EQY","FQ4 2017","FQ4 2017","Currency=INR","Period=FQ","BEST_FPERIOD_OVERRIDE=FQ","FILING_STATUS=OR","EQY_CONSOLIDATED=Y","Sort=A","Dates=H","DateFormat=P","Fill=—","Direction=H","UseDPDF=Y")</f>
        <v>#NAME?</v>
      </c>
      <c r="CL22" s="1" t="e">
        <f ca="1">_xll.BDH($C$3,"TOT_DEBT_TO_TOT_CAP","FQ4 2017","FQ4 2017","Currency=INR","Period=FQ","BEST_FPERIOD_OVERRIDE=FQ","FILING_STATUS=OR","EQY_CONSOLIDATED=Y","Sort=A","Dates=H","DateFormat=P","Fill=—","Direction=H","UseDPDF=Y")</f>
        <v>#NAME?</v>
      </c>
      <c r="CM22" s="1" t="e">
        <f ca="1">_xll.BDH($C$3,"TOT_DEBT_TO_TOT_ASSET","FQ4 2017","FQ4 2017","Currency=INR","Period=FQ","BEST_FPERIOD_OVERRIDE=FQ","FILING_STATUS=OR","EQY_CONSOLIDATED=Y","Sort=A","Dates=H","DateFormat=P","Fill=—","Direction=H","UseDPDF=Y")</f>
        <v>#NAME?</v>
      </c>
      <c r="CN22" s="1" t="e">
        <f ca="1">_xll.BDH($C$3,"NET_DEBT_TO_SHRHLDR_EQTY","FQ4 2017","FQ4 2017","Currency=INR","Period=FQ","BEST_FPERIOD_OVERRIDE=FQ","FILING_STATUS=OR","EQY_CONSOLIDATED=Y","Sort=A","Dates=H","DateFormat=P","Fill=—","Direction=H","UseDPDF=Y")</f>
        <v>#NAME?</v>
      </c>
      <c r="CO22" s="1" t="e">
        <f ca="1">_xll.BDH($C$3,"NET_DEBT_%_CAPITAL","FQ4 2017","FQ4 2017","Currency=INR","Period=FQ","BEST_FPERIOD_OVERRIDE=FQ","FILING_STATUS=OR","EQY_CONSOLIDATED=Y","Sort=A","Dates=H","DateFormat=P","Fill=—","Direction=H","UseDPDF=Y")</f>
        <v>#NAME?</v>
      </c>
      <c r="CP22" s="2" t="e">
        <f ca="1">_xll.BDH($C$3,"EBITDA","FQ4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2" s="2" t="e">
        <f ca="1">_xll.BDH($C$3,"EBITDA_AFTER_CAPEX","FQ4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2" s="2" t="e">
        <f ca="1">_xll.BDH($C$3,"IS_OPER_INC","FQ4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2" s="1" t="e">
        <f ca="1">_xll.BDH($C$3,"CASH_RATIO","FQ4 2017","FQ4 2017","Currency=INR","Period=FQ","BEST_FPERIOD_OVERRIDE=FQ","FILING_STATUS=OR","EQY_CONSOLIDATED=Y","Sort=A","Dates=H","DateFormat=P","Fill=—","Direction=H","UseDPDF=Y")</f>
        <v>#NAME?</v>
      </c>
      <c r="CT22" s="1" t="e">
        <f ca="1">_xll.BDH($C$3,"CUR_RATIO","FQ4 2017","FQ4 2017","Currency=INR","Period=FQ","BEST_FPERIOD_OVERRIDE=FQ","FILING_STATUS=OR","EQY_CONSOLIDATED=Y","Sort=A","Dates=H","DateFormat=P","Fill=—","Direction=H","UseDPDF=Y")</f>
        <v>#NAME?</v>
      </c>
      <c r="CU22" s="1" t="e">
        <f ca="1">_xll.BDH($C$3,"QUICK_RATIO","FQ4 2017","FQ4 2017","Currency=INR","Period=FQ","BEST_FPERIOD_OVERRIDE=FQ","FILING_STATUS=OR","EQY_CONSOLIDATED=Y","Sort=A","Dates=H","DateFormat=P","Fill=—","Direction=H","UseDPDF=Y")</f>
        <v>#NAME?</v>
      </c>
      <c r="CV22" s="1" t="e">
        <f ca="1">_xll.BDH($C$3,"ALTMAN_Z_SCORE","FQ4 2017","FQ4 2017","Currency=INR","Period=FQ","BEST_FPERIOD_OVERRIDE=FQ","FILING_STATUS=OR","EQY_CONSOLIDATED=Y","Sort=A","Dates=H","DateFormat=P","Fill=—","Direction=H","UseDPDF=Y")</f>
        <v>#NAME?</v>
      </c>
      <c r="CW22" s="3" t="e">
        <f ca="1">_xll.BDH($C$3,"ACCT_RCV_TURN","FQ4 2017","FQ4 2017","Currency=INR","Period=FQ","BEST_FPERIOD_OVERRIDE=FQ","FILING_STATUS=OR","EQY_CONSOLIDATED=Y","FA_ADJUSTED=GAAP","Sort=A","Dates=H","DateFormat=P","Fill=—","Direction=H","UseDPDF=Y")</f>
        <v>#NAME?</v>
      </c>
      <c r="CX22" s="1" t="e">
        <f ca="1">_xll.BDH($C$3,"ACCT_RCV_DAYS","FQ4 2017","FQ4 2017","Currency=INR","Period=FQ","BEST_FPERIOD_OVERRIDE=FQ","FILING_STATUS=OR","EQY_CONSOLIDATED=Y","FA_ADJUSTED=GAAP","Sort=A","Dates=H","DateFormat=P","Fill=—","Direction=H","UseDPDF=Y")</f>
        <v>#NAME?</v>
      </c>
      <c r="CY22" s="3" t="e">
        <f ca="1">_xll.BDH($C$3,"INVENT_TURN","FQ4 2017","FQ4 2017","Currency=INR","Period=FQ","BEST_FPERIOD_OVERRIDE=FQ","FILING_STATUS=OR","EQY_CONSOLIDATED=Y","FA_ADJUSTED=GAAP","Sort=A","Dates=H","DateFormat=P","Fill=—","Direction=H","UseDPDF=Y")</f>
        <v>#NAME?</v>
      </c>
      <c r="CZ22" s="1" t="e">
        <f ca="1">_xll.BDH($C$3,"INVENT_DAYS","FQ4 2017","FQ4 2017","Currency=INR","Period=FQ","BEST_FPERIOD_OVERRIDE=FQ","FILING_STATUS=OR","EQY_CONSOLIDATED=Y","FA_ADJUSTED=GAAP","Sort=A","Dates=H","DateFormat=P","Fill=—","Direction=H","UseDPDF=Y")</f>
        <v>#NAME?</v>
      </c>
      <c r="DA22" s="3" t="e">
        <f ca="1">_xll.BDH($C$3,"ACCOUNTS_PAYABLE_TURNOVER","FQ4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2" s="1" t="e">
        <f ca="1">_xll.BDH($C$3,"ACCOUNTS_PAYABLE_TURNOVER_DAYS","FQ4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2" s="3" t="e">
        <f ca="1">_xll.BDH($C$3,"CASH_CONVERSION_CYCLE","FQ4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2" s="3" t="e">
        <f ca="1">_xll.BDH($C$3,"INV_TO_CASH_DAYS","FQ4 2017","FQ4 2017","Currency=INR","Period=FQ","BEST_FPERIOD_OVERRIDE=FQ","FILING_STATUS=OR","EQY_CONSOLIDATED=Y","FA_ADJUSTED=GAAP","Sort=A","Dates=H","DateFormat=P","Fill=—","Direction=H","UseDPDF=Y")</f>
        <v>#NAME?</v>
      </c>
      <c r="DE22" s="4" t="e">
        <f ca="1">_xll.BDH($C$3,"BS_INVENTORIES","FQ4 2017","FQ4 2017","Currency=INR","Period=FQ","BEST_FPERIOD_OVERRIDE=FQ","FILING_STATUS=OR","EQY_CONSOLIDATED=Y","SCALING_FORMAT=MLN","Sort=A","Dates=H","DateFormat=P","Fill=—","Direction=H","UseDPDF=Y")</f>
        <v>#NAME?</v>
      </c>
      <c r="DF22" s="2" t="e">
        <f ca="1">_xll.BDH($C$3,"INVTRY_RAW_MATERIALS","FQ4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2" s="2" t="e">
        <f ca="1">_xll.BDH($C$3,"INVTRY_IN_PROGRESS","FQ4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2" s="2" t="e">
        <f ca="1">_xll.BDH($C$3,"INVTRY_FINISHED_GOODS","FQ4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2" s="2" t="e">
        <f ca="1">_xll.BDH($C$3,"BS_OTHER_INV","FQ4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3" spans="1:113" x14ac:dyDescent="0.3">
      <c r="A23" s="6"/>
      <c r="B23" s="6"/>
      <c r="C23" s="6"/>
      <c r="D23" s="6" t="s">
        <v>11</v>
      </c>
      <c r="E23" t="s">
        <v>3</v>
      </c>
      <c r="F23" t="e">
        <f ca="1">_xll.BDH($C$3,"RETURN_COM_EQY","FY 2018","FY 2018","Currency=INR","Period=FY","BEST_FPERIOD_OVERRIDE=FY","FILING_STATUS=OR","EQY_CONSOLIDATED=Y","FA_ADJUSTED=GAAP","Sort=A","Dates=H","DateFormat=P","Fill=—","Direction=H","UseDPDF=Y")</f>
        <v>#NAME?</v>
      </c>
      <c r="G23" t="e">
        <f ca="1">_xll.BDH($C$3,"RETURN_ON_ASSET","FY 2018","FY 2018","Currency=INR","Period=FY","BEST_FPERIOD_OVERRIDE=FY","FILING_STATUS=OR","EQY_CONSOLIDATED=Y","FA_ADJUSTED=GAAP","Sort=A","Dates=H","DateFormat=P","Fill=—","Direction=H","UseDPDF=Y")</f>
        <v>#NAME?</v>
      </c>
      <c r="H23" t="e">
        <f ca="1">_xll.BDH($C$3,"RETURN_ON_CAP","FY 2018","FY 2018","Currency=INR","Period=FY","BEST_FPERIOD_OVERRIDE=FY","FILING_STATUS=OR","EQY_CONSOLIDATED=Y","FA_ADJUSTED=GAAP","Sort=A","Dates=H","DateFormat=P","Fill=—","Direction=H","UseDPDF=Y")</f>
        <v>#NAME?</v>
      </c>
      <c r="I23" t="e">
        <f ca="1">_xll.BDH($C$3,"RETURN_ON_INV_CAPITAL","FY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3" t="e">
        <f ca="1">_xll.BDH($C$3,"EBITDA_TO_REVENUE","FY 2018","FY 2018","Currency=INR","Period=FY","BEST_FPERIOD_OVERRIDE=FY","FILING_STATUS=OR","EQY_CONSOLIDATED=Y","FA_ADJUSTED=GAAP","Sort=A","Dates=H","DateFormat=P","Fill=—","Direction=H","UseDPDF=Y")</f>
        <v>#NAME?</v>
      </c>
      <c r="K23" t="e">
        <f ca="1">_xll.BDH($C$3,"OPER_MARGIN","FY 2018","FY 2018","Currency=INR","Period=FY","BEST_FPERIOD_OVERRIDE=FY","FILING_STATUS=OR","EQY_CONSOLIDATED=Y","FA_ADJUSTED=GAAP","Sort=A","Dates=H","DateFormat=P","Fill=—","Direction=H","UseDPDF=Y")</f>
        <v>#NAME?</v>
      </c>
      <c r="L23" t="e">
        <f ca="1">_xll.BDH($C$3,"INCREMENTAL_OPERATING_MARGIN","FY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3" t="e">
        <f ca="1">_xll.BDH($C$3,"PRETAX_INC_TO_NET_SALES","FY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3" t="e">
        <f ca="1">_xll.BDH($C$3,"INC_BEF_XO_ITEMS_TO_NET_SALES","FY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3" t="e">
        <f ca="1">_xll.BDH($C$3,"PROF_MARGIN","FY 2018","FY 2018","Currency=INR","Period=FY","BEST_FPERIOD_OVERRIDE=FY","FILING_STATUS=OR","EQY_CONSOLIDATED=Y","FA_ADJUSTED=GAAP","Sort=A","Dates=H","DateFormat=P","Fill=—","Direction=H","UseDPDF=Y")</f>
        <v>#NAME?</v>
      </c>
      <c r="P23" t="e">
        <f ca="1">_xll.BDH($C$3,"NET_INCOME_TO_COMMON_MARGIN","FY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3" t="e">
        <f ca="1">_xll.BDH($C$3,"EFF_TAX_RATE","FY 2018","FY 2018","Currency=INR","Period=FY","BEST_FPERIOD_OVERRIDE=FY","FILING_STATUS=OR","EQY_CONSOLIDATED=Y","FA_ADJUSTED=GAAP","Sort=A","Dates=H","DateFormat=P","Fill=—","Direction=H","UseDPDF=Y")</f>
        <v>#NAME?</v>
      </c>
      <c r="R23" t="e">
        <f ca="1">_xll.BDH($C$3,"DVD_PAYOUT_RATIO","FY 2018","FY 2018","Currency=INR","Period=FY","BEST_FPERIOD_OVERRIDE=FY","FILING_STATUS=OR","EQY_CONSOLIDATED=Y","FA_ADJUSTED=GAAP","Sort=A","Dates=H","DateFormat=P","Fill=—","Direction=H","UseDPDF=Y")</f>
        <v>#NAME?</v>
      </c>
      <c r="S23" t="e">
        <f ca="1">_xll.BDH($C$3,"SUSTAIN_GROWTH_RT","FY 2018","FY 2018","Currency=INR","Period=FY","BEST_FPERIOD_OVERRIDE=FY","FILING_STATUS=OR","EQY_CONSOLIDATED=Y","FA_ADJUSTED=GAAP","Sort=A","Dates=H","DateFormat=P","Fill=—","Direction=H","UseDPDF=Y")</f>
        <v>#NAME?</v>
      </c>
      <c r="T23" s="1" t="e">
        <f ca="1">_xll.BDH($C$3,"SALES_GROWTH","FY 2018","FY 2018","Currency=INR","Period=FY","BEST_FPERIOD_OVERRIDE=FY","FILING_STATUS=OR","EQY_CONSOLIDATED=Y","FA_ADJUSTED=GAAP","Sort=A","Dates=H","DateFormat=P","Fill=—","Direction=H","UseDPDF=Y")</f>
        <v>#NAME?</v>
      </c>
      <c r="U23" s="1" t="e">
        <f ca="1">_xll.BDH($C$3,"EBITDA_GROWTH","FY 2018","FY 2018","Currency=INR","Period=FY","BEST_FPERIOD_OVERRIDE=FY","FILING_STATUS=OR","EQY_CONSOLIDATED=Y","FA_ADJUSTED=GAAP","Sort=A","Dates=H","DateFormat=P","Fill=—","Direction=H","UseDPDF=Y")</f>
        <v>#NAME?</v>
      </c>
      <c r="V23" s="1" t="e">
        <f ca="1">_xll.BDH($C$3,"OPER_INC_GROWTH","FY 2018","FY 2018","Currency=INR","Period=FY","BEST_FPERIOD_OVERRIDE=FY","FILING_STATUS=OR","EQY_CONSOLIDATED=Y","FA_ADJUSTED=GAAP","Sort=A","Dates=H","DateFormat=P","Fill=—","Direction=H","UseDPDF=Y")</f>
        <v>#NAME?</v>
      </c>
      <c r="W23" s="1" t="e">
        <f ca="1">_xll.BDH($C$3,"EARN_FOR_COM_GROWTH","FY 2018","FY 2018","Currency=INR","Period=FY","BEST_FPERIOD_OVERRIDE=FY","FILING_STATUS=OR","EQY_CONSOLIDATED=Y","FA_ADJUSTED=GAAP","Sort=A","Dates=H","DateFormat=P","Fill=—","Direction=H","UseDPDF=Y")</f>
        <v>#NAME?</v>
      </c>
      <c r="X23" s="1" t="e">
        <f ca="1">_xll.BDH($C$3,"DILUTED_EPS_AFT_XO_ITEMS_GROWTH","FY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3" s="1" t="e">
        <f ca="1">_xll.BDH($C$3,"DIVIDEND_PER_SHARE_1_YEAR_GROWTH","FY 2018","FY 2018","Currency=INR","Period=FY","BEST_FPERIOD_OVERRIDE=FY","FILING_STATUS=OR","EQY_CONSOLIDATED=Y","Sort=A","Dates=H","DateFormat=P","Fill=—","Direction=H","UseDPDF=Y")</f>
        <v>#NAME?</v>
      </c>
      <c r="Z23" s="1" t="e">
        <f ca="1">_xll.BDH($C$3,"ACCOUNTS_RECEIVABLE_GROWTH","FY 2018","FY 2018","Currency=INR","Period=FY","BEST_FPERIOD_OVERRIDE=FY","FILING_STATUS=OR","EQY_CONSOLIDATED=Y","Sort=A","Dates=H","DateFormat=P","Fill=—","Direction=H","UseDPDF=Y")</f>
        <v>#NAME?</v>
      </c>
      <c r="AA23" s="1" t="e">
        <f ca="1">_xll.BDH($C$3,"INVENTORY_GROWTH","FY 2018","FY 2018","Currency=INR","Period=FY","BEST_FPERIOD_OVERRIDE=FY","FILING_STATUS=OR","EQY_CONSOLIDATED=Y","Sort=A","Dates=H","DateFormat=P","Fill=—","Direction=H","UseDPDF=Y")</f>
        <v>#NAME?</v>
      </c>
      <c r="AB23" s="1" t="e">
        <f ca="1">_xll.BDH($C$3,"NET_FIXED_ASSETS_1_YEAR_GROWTH","FY 2018","FY 2018","Currency=INR","Period=FY","BEST_FPERIOD_OVERRIDE=FY","FILING_STATUS=OR","EQY_CONSOLIDATED=Y","Sort=A","Dates=H","DateFormat=P","Fill=—","Direction=H","UseDPDF=Y")</f>
        <v>#NAME?</v>
      </c>
      <c r="AC23" s="1" t="e">
        <f ca="1">_xll.BDH($C$3,"ASSET_GROWTH","FY 2018","FY 2018","Currency=INR","Period=FY","BEST_FPERIOD_OVERRIDE=FY","FILING_STATUS=OR","EQY_CONSOLIDATED=Y","Sort=A","Dates=H","DateFormat=P","Fill=—","Direction=H","UseDPDF=Y")</f>
        <v>#NAME?</v>
      </c>
      <c r="AD23" s="1" t="e">
        <f ca="1">_xll.BDH($C$3,"MODIFIED_WORK_CAP_GROWTH","FY 2018","FY 2018","Currency=INR","Period=FY","BEST_FPERIOD_OVERRIDE=FY","FILING_STATUS=OR","EQY_CONSOLIDATED=Y","Sort=A","Dates=H","DateFormat=P","Fill=—","Direction=H","UseDPDF=Y")</f>
        <v>#NAME?</v>
      </c>
      <c r="AE23" s="1" t="e">
        <f ca="1">_xll.BDH($C$3,"WORK_CAP_GROWTH","FY 2018","FY 2018","Currency=INR","Period=FY","BEST_FPERIOD_OVERRIDE=FY","FILING_STATUS=OR","EQY_CONSOLIDATED=Y","Sort=A","Dates=H","DateFormat=P","Fill=—","Direction=H","UseDPDF=Y")</f>
        <v>#NAME?</v>
      </c>
      <c r="AF23" s="1" t="e">
        <f ca="1">_xll.BDH($C$3,"ACCOUNTS_PAYABLE_GROWTH_1YR","FY 2018","FY 2018","Currency=INR","Period=FY","BEST_FPERIOD_OVERRIDE=FY","FILING_STATUS=OR","EQY_CONSOLIDATED=Y","Sort=A","Dates=H","DateFormat=P","Fill=—","Direction=H","UseDPDF=Y")</f>
        <v>#NAME?</v>
      </c>
      <c r="AG23" s="1" t="e">
        <f ca="1">_xll.BDH($C$3,"SHORT_TERM_DEBT_1_YEAR_GROWTH","FY 2018","FY 2018","Currency=INR","Period=FY","BEST_FPERIOD_OVERRIDE=FY","FILING_STATUS=OR","EQY_CONSOLIDATED=Y","Sort=A","Dates=H","DateFormat=P","Fill=—","Direction=H","UseDPDF=Y")</f>
        <v>#NAME?</v>
      </c>
      <c r="AH23" s="1" t="e">
        <f ca="1">_xll.BDH($C$3,"TOTAL_DEBT_1_YEAR_GROWTH","FY 2018","FY 2018","Currency=INR","Period=FY","BEST_FPERIOD_OVERRIDE=FY","FILING_STATUS=OR","EQY_CONSOLIDATED=Y","Sort=A","Dates=H","DateFormat=P","Fill=—","Direction=H","UseDPDF=Y")</f>
        <v>#NAME?</v>
      </c>
      <c r="AI23" s="1" t="e">
        <f ca="1">_xll.BDH($C$3,"TOTAL_EQUITY_1_YEAR_GROWTH","FY 2018","FY 2018","Currency=INR","Period=FY","BEST_FPERIOD_OVERRIDE=FY","FILING_STATUS=OR","EQY_CONSOLIDATED=Y","Sort=A","Dates=H","DateFormat=P","Fill=—","Direction=H","UseDPDF=Y")</f>
        <v>#NAME?</v>
      </c>
      <c r="AJ23" s="1" t="e">
        <f ca="1">_xll.BDH($C$3,"GROWTH_IN_CAP","FY 2018","FY 2018","Currency=INR","Period=FY","BEST_FPERIOD_OVERRIDE=FY","FILING_STATUS=OR","EQY_CONSOLIDATED=Y","Sort=A","Dates=H","DateFormat=P","Fill=—","Direction=H","UseDPDF=Y")</f>
        <v>#NAME?</v>
      </c>
      <c r="AK23" s="1" t="e">
        <f ca="1">_xll.BDH($C$3,"BVPS_GROWTH","FY 2018","FY 2018","Currency=INR","Period=FY","BEST_FPERIOD_OVERRIDE=FY","FILING_STATUS=OR","EQY_CONSOLIDATED=Y","Sort=A","Dates=H","DateFormat=P","Fill=—","Direction=H","UseDPDF=Y")</f>
        <v>#NAME?</v>
      </c>
      <c r="AL23" s="1" t="e">
        <f ca="1">_xll.BDH($C$3,"CASH_FLOW_GROWTH","FY 2018","FY 2018","Currency=INR","Period=FY","BEST_FPERIOD_OVERRIDE=FY","FILING_STATUS=OR","EQY_CONSOLIDATED=Y","Sort=A","Dates=H","DateFormat=P","Fill=—","Direction=H","UseDPDF=Y")</f>
        <v>#NAME?</v>
      </c>
      <c r="AM23" s="1" t="e">
        <f ca="1">_xll.BDH($C$3,"GEO_GROW_NET_SALES","FY 2018","FY 2018","Currency=INR","Period=FY","BEST_FPERIOD_OVERRIDE=FY","FILING_STATUS=OR","EQY_CONSOLIDATED=Y","FA_ADJUSTED=GAAP","Sort=A","Dates=H","DateFormat=P","Fill=—","Direction=H","UseDPDF=Y")</f>
        <v>#NAME?</v>
      </c>
      <c r="AN23" s="1" t="e">
        <f ca="1">_xll.BDH($C$3,"GEO_GROW_EBITDA","FY 2018","FY 2018","Currency=INR","Period=FY","BEST_FPERIOD_OVERRIDE=FY","FILING_STATUS=OR","EQY_CONSOLIDATED=Y","FA_ADJUSTED=GAAP","Sort=A","Dates=H","DateFormat=P","Fill=—","Direction=H","UseDPDF=Y")</f>
        <v>#NAME?</v>
      </c>
      <c r="AO23" s="1" t="e">
        <f ca="1">_xll.BDH($C$3,"GEO_GROW_OPER_INC","FY 2018","FY 2018","Currency=INR","Period=FY","BEST_FPERIOD_OVERRIDE=FY","FILING_STATUS=OR","EQY_CONSOLIDATED=Y","FA_ADJUSTED=GAAP","Sort=A","Dates=H","DateFormat=P","Fill=—","Direction=H","UseDPDF=Y")</f>
        <v>#NAME?</v>
      </c>
      <c r="AP23" s="1" t="e">
        <f ca="1">_xll.BDH($C$3,"NET_INCOME_TO_COMMON_5_YR_GROWTH","FY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3" s="1" t="e">
        <f ca="1">_xll.BDH($C$3,"5Y_GEO_GROWTH_DILUTED_EPS","FY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3" s="1" t="e">
        <f ca="1">_xll.BDH($C$3,"GEO_GROW_DVD_PER_SH","FY 2018","FY 2018","Currency=INR","Period=FY","BEST_FPERIOD_OVERRIDE=FY","FILING_STATUS=OR","EQY_CONSOLIDATED=Y","Sort=A","Dates=H","DateFormat=P","Fill=—","Direction=H","UseDPDF=Y")</f>
        <v>#NAME?</v>
      </c>
      <c r="AS23" s="1" t="e">
        <f ca="1">_xll.BDH($C$3,"ACCOUNTS_RECEIVABLE_5_YR_GROWTH","FY 2018","FY 2018","Currency=INR","Period=FY","BEST_FPERIOD_OVERRIDE=FY","FILING_STATUS=OR","EQY_CONSOLIDATED=Y","Sort=A","Dates=H","DateFormat=P","Fill=—","Direction=H","UseDPDF=Y")</f>
        <v>#NAME?</v>
      </c>
      <c r="AT23" s="1" t="e">
        <f ca="1">_xll.BDH($C$3,"INVENTORY_5_YEAR_GROWTH","FY 2018","FY 2018","Currency=INR","Period=FY","BEST_FPERIOD_OVERRIDE=FY","FILING_STATUS=OR","EQY_CONSOLIDATED=Y","Sort=A","Dates=H","DateFormat=P","Fill=—","Direction=H","UseDPDF=Y")</f>
        <v>#NAME?</v>
      </c>
      <c r="AU23" s="1" t="e">
        <f ca="1">_xll.BDH($C$3,"NET_FIXED_ASSETS_5_YEAR_GROWTH","FY 2018","FY 2018","Currency=INR","Period=FY","BEST_FPERIOD_OVERRIDE=FY","FILING_STATUS=OR","EQY_CONSOLIDATED=Y","Sort=A","Dates=H","DateFormat=P","Fill=—","Direction=H","UseDPDF=Y")</f>
        <v>#NAME?</v>
      </c>
      <c r="AV23" s="1" t="e">
        <f ca="1">_xll.BDH($C$3,"GEO_GROW_TOT_ASSET","FY 2018","FY 2018","Currency=INR","Period=FY","BEST_FPERIOD_OVERRIDE=FY","FILING_STATUS=OR","EQY_CONSOLIDATED=Y","Sort=A","Dates=H","DateFormat=P","Fill=—","Direction=H","UseDPDF=Y")</f>
        <v>#NAME?</v>
      </c>
      <c r="AW23" s="1" t="e">
        <f ca="1">_xll.BDH($C$3,"MODIFIED_WORKING_CPTL_5YR_GRWTH","FY 2018","FY 2018","Currency=INR","Period=FY","BEST_FPERIOD_OVERRIDE=FY","FILING_STATUS=OR","EQY_CONSOLIDATED=Y","Sort=A","Dates=H","DateFormat=P","Fill=—","Direction=H","UseDPDF=Y")</f>
        <v>#NAME?</v>
      </c>
      <c r="AX23" s="1" t="e">
        <f ca="1">_xll.BDH($C$3,"WORKING_CAPITAL_5_YEAR_GROWTH","FY 2018","FY 2018","Currency=INR","Period=FY","BEST_FPERIOD_OVERRIDE=FY","FILING_STATUS=OR","EQY_CONSOLIDATED=Y","Sort=A","Dates=H","DateFormat=P","Fill=—","Direction=H","UseDPDF=Y")</f>
        <v>#NAME?</v>
      </c>
      <c r="AY23" s="1" t="e">
        <f ca="1">_xll.BDH($C$3,"ACCOUNTS_PAYABLE_5_YEAR_GROWTH","FY 2018","FY 2018","Currency=INR","Period=FY","BEST_FPERIOD_OVERRIDE=FY","FILING_STATUS=OR","EQY_CONSOLIDATED=Y","Sort=A","Dates=H","DateFormat=P","Fill=—","Direction=H","UseDPDF=Y")</f>
        <v>#NAME?</v>
      </c>
      <c r="AZ23" s="1" t="e">
        <f ca="1">_xll.BDH($C$3,"SHORT_TERM_DEBT_5_YEAR_GROWTH","FY 2018","FY 2018","Currency=INR","Period=FY","BEST_FPERIOD_OVERRIDE=FY","FILING_STATUS=OR","EQY_CONSOLIDATED=Y","Sort=A","Dates=H","DateFormat=P","Fill=—","Direction=H","UseDPDF=Y")</f>
        <v>#NAME?</v>
      </c>
      <c r="BA23" s="1" t="e">
        <f ca="1">_xll.BDH($C$3,"TOTAL_DEBT_5_YEAR_GROWTH","FY 2018","FY 2018","Currency=INR","Period=FY","BEST_FPERIOD_OVERRIDE=FY","FILING_STATUS=OR","EQY_CONSOLIDATED=Y","Sort=A","Dates=H","DateFormat=P","Fill=—","Direction=H","UseDPDF=Y")</f>
        <v>#NAME?</v>
      </c>
      <c r="BB23" s="1" t="e">
        <f ca="1">_xll.BDH($C$3,"GEO_GROW_TOT_SHRHLDR_EQY","FY 2018","FY 2018","Currency=INR","Period=FY","BEST_FPERIOD_OVERRIDE=FY","FILING_STATUS=OR","EQY_CONSOLIDATED=Y","Sort=A","Dates=H","DateFormat=P","Fill=—","Direction=H","UseDPDF=Y")</f>
        <v>#NAME?</v>
      </c>
      <c r="BC23" s="1" t="e">
        <f ca="1">_xll.BDH($C$3,"TOTAL_CAPITAL_5_YEAR_GROWTH","FY 2018","FY 2018","Currency=INR","Period=FY","BEST_FPERIOD_OVERRIDE=FY","FILING_STATUS=OR","EQY_CONSOLIDATED=Y","Sort=A","Dates=H","DateFormat=P","Fill=—","Direction=H","UseDPDF=Y")</f>
        <v>#NAME?</v>
      </c>
      <c r="BD23" s="1" t="e">
        <f ca="1">_xll.BDH($C$3,"GEO_GROW_BOOK_VAL","FY 2018","FY 2018","Currency=INR","Period=FY","BEST_FPERIOD_OVERRIDE=FY","FILING_STATUS=OR","EQY_CONSOLIDATED=Y","Sort=A","Dates=H","DateFormat=P","Fill=—","Direction=H","UseDPDF=Y")</f>
        <v>#NAME?</v>
      </c>
      <c r="BE23" s="1" t="e">
        <f ca="1">_xll.BDH($C$3,"GEO_GROW_CASH_OPER_ACT","FY 2018","FY 2018","Currency=INR","Period=FY","BEST_FPERIOD_OVERRIDE=FY","FILING_STATUS=OR","EQY_CONSOLIDATED=Y","Sort=A","Dates=H","DateFormat=P","Fill=—","Direction=H","UseDPDF=Y")</f>
        <v>#NAME?</v>
      </c>
      <c r="BF23" s="1" t="e">
        <f ca="1">_xll.BDH($C$3,"REVENUE_SEQUENTIAL_GROWTH","FY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3" s="1" t="e">
        <f ca="1">_xll.BDH($C$3,"EBITDA_SEQUENTIAL_GROWTH","FY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3" s="1" t="e">
        <f ca="1">_xll.BDH($C$3,"OPERATING_INCOME_SEQ_GROWTH","FY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3" s="1" t="e">
        <f ca="1">_xll.BDH($C$3,"NET_INCOME_TO_COMMON_SEQ_GROWTH","FY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3" s="1" t="e">
        <f ca="1">_xll.BDH($C$3,"EPS_DILUTED_SEQUENTIAL_GROWTH","FY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3" s="1" t="e">
        <f ca="1">_xll.BDH($C$3,"DPS_SEQUENTIAL_GROWTH","FY 2018","FY 2018","Currency=INR","Period=FY","BEST_FPERIOD_OVERRIDE=FY","FILING_STATUS=OR","EQY_CONSOLIDATED=Y","Sort=A","Dates=H","DateFormat=P","Fill=—","Direction=H","UseDPDF=Y")</f>
        <v>#NAME?</v>
      </c>
      <c r="BL23" s="1" t="e">
        <f ca="1">_xll.BDH($C$3,"ACCOUNTS_RECEIVABLE_SEQ_GROWTH","FY 2018","FY 2018","Currency=INR","Period=FY","BEST_FPERIOD_OVERRIDE=FY","FILING_STATUS=OR","EQY_CONSOLIDATED=Y","Sort=A","Dates=H","DateFormat=P","Fill=—","Direction=H","UseDPDF=Y")</f>
        <v>#NAME?</v>
      </c>
      <c r="BM23" s="1" t="e">
        <f ca="1">_xll.BDH($C$3,"INVENTORY_SEQUENTIAL_GROWTH","FY 2018","FY 2018","Currency=INR","Period=FY","BEST_FPERIOD_OVERRIDE=FY","FILING_STATUS=OR","EQY_CONSOLIDATED=Y","Sort=A","Dates=H","DateFormat=P","Fill=—","Direction=H","UseDPDF=Y")</f>
        <v>#NAME?</v>
      </c>
      <c r="BN23" s="1" t="e">
        <f ca="1">_xll.BDH($C$3,"FIXED_ASSETS_SEQUENTIAL_GROWTH","FY 2018","FY 2018","Currency=INR","Period=FY","BEST_FPERIOD_OVERRIDE=FY","FILING_STATUS=OR","EQY_CONSOLIDATED=Y","Sort=A","Dates=H","DateFormat=P","Fill=—","Direction=H","UseDPDF=Y")</f>
        <v>#NAME?</v>
      </c>
      <c r="BO23" s="1" t="e">
        <f ca="1">_xll.BDH($C$3,"TOTAL_ASSETS_SEQUENTIAL_GROWTH","FY 2018","FY 2018","Currency=INR","Period=FY","BEST_FPERIOD_OVERRIDE=FY","FILING_STATUS=OR","EQY_CONSOLIDATED=Y","Sort=A","Dates=H","DateFormat=P","Fill=—","Direction=H","UseDPDF=Y")</f>
        <v>#NAME?</v>
      </c>
      <c r="BP23" s="1" t="e">
        <f ca="1">_xll.BDH($C$3,"MODIFIED_WORKING_CPTL_SEQ_GRWTH","FY 2018","FY 2018","Currency=INR","Period=FY","BEST_FPERIOD_OVERRIDE=FY","FILING_STATUS=OR","EQY_CONSOLIDATED=Y","Sort=A","Dates=H","DateFormat=P","Fill=—","Direction=H","UseDPDF=Y")</f>
        <v>#NAME?</v>
      </c>
      <c r="BQ23" s="1" t="e">
        <f ca="1">_xll.BDH($C$3,"WORKING_CAPITAL_SEQ_GROWTH","FY 2018","FY 2018","Currency=INR","Period=FY","BEST_FPERIOD_OVERRIDE=FY","FILING_STATUS=OR","EQY_CONSOLIDATED=Y","Sort=A","Dates=H","DateFormat=P","Fill=—","Direction=H","UseDPDF=Y")</f>
        <v>#NAME?</v>
      </c>
      <c r="BR23" s="1" t="e">
        <f ca="1">_xll.BDH($C$3,"ACCOUNTS_PAYABLE_SEQ_GROWTH","FY 2018","FY 2018","Currency=INR","Period=FY","BEST_FPERIOD_OVERRIDE=FY","FILING_STATUS=OR","EQY_CONSOLIDATED=Y","Sort=A","Dates=H","DateFormat=P","Fill=—","Direction=H","UseDPDF=Y")</f>
        <v>#NAME?</v>
      </c>
      <c r="BS23" s="1" t="e">
        <f ca="1">_xll.BDH($C$3,"ST_DEBT_SEQUENTIAL_GROWTH","FY 2018","FY 2018","Currency=INR","Period=FY","BEST_FPERIOD_OVERRIDE=FY","FILING_STATUS=OR","EQY_CONSOLIDATED=Y","Sort=A","Dates=H","DateFormat=P","Fill=—","Direction=H","UseDPDF=Y")</f>
        <v>#NAME?</v>
      </c>
      <c r="BT23" s="1" t="e">
        <f ca="1">_xll.BDH($C$3,"TOTAL_DEBT_SEQUENTIAL_GROWTH","FY 2018","FY 2018","Currency=INR","Period=FY","BEST_FPERIOD_OVERRIDE=FY","FILING_STATUS=OR","EQY_CONSOLIDATED=Y","Sort=A","Dates=H","DateFormat=P","Fill=—","Direction=H","UseDPDF=Y")</f>
        <v>#NAME?</v>
      </c>
      <c r="BU23" s="1" t="e">
        <f ca="1">_xll.BDH($C$3,"TOTAL_EQUITY_SEQUENTIAL_GROWTH","FY 2018","FY 2018","Currency=INR","Period=FY","BEST_FPERIOD_OVERRIDE=FY","FILING_STATUS=OR","EQY_CONSOLIDATED=Y","Sort=A","Dates=H","DateFormat=P","Fill=—","Direction=H","UseDPDF=Y")</f>
        <v>#NAME?</v>
      </c>
      <c r="BV23" s="1" t="e">
        <f ca="1">_xll.BDH($C$3,"TOTAL_CAPITAL_SEQUENTIAL_GROWTH","FY 2018","FY 2018","Currency=INR","Period=FY","BEST_FPERIOD_OVERRIDE=FY","FILING_STATUS=OR","EQY_CONSOLIDATED=Y","Sort=A","Dates=H","DateFormat=P","Fill=—","Direction=H","UseDPDF=Y")</f>
        <v>#NAME?</v>
      </c>
      <c r="BW23" s="1" t="e">
        <f ca="1">_xll.BDH($C$3,"BPS_SEQUENTIAL_GROWTH","FY 2018","FY 2018","Currency=INR","Period=FY","BEST_FPERIOD_OVERRIDE=FY","FILING_STATUS=OR","EQY_CONSOLIDATED=Y","Sort=A","Dates=H","DateFormat=P","Fill=—","Direction=H","UseDPDF=Y")</f>
        <v>#NAME?</v>
      </c>
      <c r="BX23" s="1" t="e">
        <f ca="1">_xll.BDH($C$3,"CFO_SEQUENTIAL_GROWTH","FY 2018","FY 2018","Currency=INR","Period=FY","BEST_FPERIOD_OVERRIDE=FY","FILING_STATUS=OR","EQY_CONSOLIDATED=Y","Sort=A","Dates=H","DateFormat=P","Fill=—","Direction=H","UseDPDF=Y")</f>
        <v>#NAME?</v>
      </c>
      <c r="BY23" s="2" t="e">
        <f ca="1">_xll.BDH($C$3,"SHORT_AND_LONG_TERM_DEBT","FY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3" s="2" t="e">
        <f ca="1">_xll.BDH($C$3,"BS_ST_BORROW","FY 2018","FY 2018","Currency=INR","Period=FY","BEST_FPERIOD_OVERRIDE=FY","FILING_STATUS=OR","EQY_CONSOLIDATED=Y","SCALING_FORMAT=MLN","Sort=A","Dates=H","DateFormat=P","Fill=—","Direction=H","UseDPDF=Y")</f>
        <v>#NAME?</v>
      </c>
      <c r="CA23" s="2" t="e">
        <f ca="1">_xll.BDH($C$3,"BS_LT_BORROW","FY 2018","FY 2018","Currency=INR","Period=FY","BEST_FPERIOD_OVERRIDE=FY","FILING_STATUS=OR","EQY_CONSOLIDATED=Y","SCALING_FORMAT=MLN","Sort=A","Dates=H","DateFormat=P","Fill=—","Direction=H","UseDPDF=Y")</f>
        <v>#NAME?</v>
      </c>
      <c r="CB23" s="1" t="e">
        <f ca="1">_xll.BDH($C$3,"TOT_DEBT_TO_EBITDA","FY 2018","FY 2018","Currency=INR","Period=FY","BEST_FPERIOD_OVERRIDE=FY","FILING_STATUS=OR","EQY_CONSOLIDATED=Y","FA_ADJUSTED=GAAP","Sort=A","Dates=H","DateFormat=P","Fill=—","Direction=H","UseDPDF=Y")</f>
        <v>#NAME?</v>
      </c>
      <c r="CC23" s="1" t="e">
        <f ca="1">_xll.BDH($C$3,"NET_DEBT_TO_EBITDA","FY 2018","FY 2018","Currency=INR","Period=FY","BEST_FPERIOD_OVERRIDE=FY","FILING_STATUS=OR","EQY_CONSOLIDATED=Y","FA_ADJUSTED=GAAP","Sort=A","Dates=H","DateFormat=P","Fill=—","Direction=H","UseDPDF=Y")</f>
        <v>#NAME?</v>
      </c>
      <c r="CD23" s="1" t="e">
        <f ca="1">_xll.BDH($C$3,"TOTAL_DEBT_TO_EBIT","FY 2018","FY 2018","Currency=INR","Period=FY","BEST_FPERIOD_OVERRIDE=FY","FILING_STATUS=OR","EQY_CONSOLIDATED=Y","FA_ADJUSTED=GAAP","Sort=A","Dates=H","DateFormat=P","Fill=—","Direction=H","UseDPDF=Y")</f>
        <v>#NAME?</v>
      </c>
      <c r="CE23" s="1" t="e">
        <f ca="1">_xll.BDH($C$3,"NET_DEBT_TO_EBIT","FY 2018","FY 2018","Currency=INR","Period=FY","BEST_FPERIOD_OVERRIDE=FY","FILING_STATUS=OR","EQY_CONSOLIDATED=Y","FA_ADJUSTED=GAAP","Sort=A","Dates=H","DateFormat=P","Fill=—","Direction=H","UseDPDF=Y")</f>
        <v>#NAME?</v>
      </c>
      <c r="CF23" s="1" t="e">
        <f ca="1">_xll.BDH($C$3,"EBITDA_TO_INTEREST_EXPN","FY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3" s="1" t="e">
        <f ca="1">_xll.BDH($C$3,"COM_EQY_TO_TOT_ASSET","FY 2018","FY 2018","Currency=INR","Period=FY","BEST_FPERIOD_OVERRIDE=FY","FILING_STATUS=OR","EQY_CONSOLIDATED=Y","Sort=A","Dates=H","DateFormat=P","Fill=—","Direction=H","UseDPDF=Y")</f>
        <v>#NAME?</v>
      </c>
      <c r="CH23" s="1" t="e">
        <f ca="1">_xll.BDH($C$3,"LT_DEBT_TO_TOT_EQY","FY 2018","FY 2018","Currency=INR","Period=FY","BEST_FPERIOD_OVERRIDE=FY","FILING_STATUS=OR","EQY_CONSOLIDATED=Y","Sort=A","Dates=H","DateFormat=P","Fill=—","Direction=H","UseDPDF=Y")</f>
        <v>#NAME?</v>
      </c>
      <c r="CI23" s="1" t="e">
        <f ca="1">_xll.BDH($C$3,"LT_DEBT_TO_TOT_CAP","FY 2018","FY 2018","Currency=INR","Period=FY","BEST_FPERIOD_OVERRIDE=FY","FILING_STATUS=OR","EQY_CONSOLIDATED=Y","Sort=A","Dates=H","DateFormat=P","Fill=—","Direction=H","UseDPDF=Y")</f>
        <v>#NAME?</v>
      </c>
      <c r="CJ23" s="1" t="e">
        <f ca="1">_xll.BDH($C$3,"LT_DEBT_TO_TOT_ASSET","FY 2018","FY 2018","Currency=INR","Period=FY","BEST_FPERIOD_OVERRIDE=FY","FILING_STATUS=OR","EQY_CONSOLIDATED=Y","Sort=A","Dates=H","DateFormat=P","Fill=—","Direction=H","UseDPDF=Y")</f>
        <v>#NAME?</v>
      </c>
      <c r="CK23" s="1" t="e">
        <f ca="1">_xll.BDH($C$3,"TOT_DEBT_TO_TOT_EQY","FY 2018","FY 2018","Currency=INR","Period=FY","BEST_FPERIOD_OVERRIDE=FY","FILING_STATUS=OR","EQY_CONSOLIDATED=Y","Sort=A","Dates=H","DateFormat=P","Fill=—","Direction=H","UseDPDF=Y")</f>
        <v>#NAME?</v>
      </c>
      <c r="CL23" s="1" t="e">
        <f ca="1">_xll.BDH($C$3,"TOT_DEBT_TO_TOT_CAP","FY 2018","FY 2018","Currency=INR","Period=FY","BEST_FPERIOD_OVERRIDE=FY","FILING_STATUS=OR","EQY_CONSOLIDATED=Y","Sort=A","Dates=H","DateFormat=P","Fill=—","Direction=H","UseDPDF=Y")</f>
        <v>#NAME?</v>
      </c>
      <c r="CM23" s="1" t="e">
        <f ca="1">_xll.BDH($C$3,"TOT_DEBT_TO_TOT_ASSET","FY 2018","FY 2018","Currency=INR","Period=FY","BEST_FPERIOD_OVERRIDE=FY","FILING_STATUS=OR","EQY_CONSOLIDATED=Y","Sort=A","Dates=H","DateFormat=P","Fill=—","Direction=H","UseDPDF=Y")</f>
        <v>#NAME?</v>
      </c>
      <c r="CN23" s="1" t="e">
        <f ca="1">_xll.BDH($C$3,"NET_DEBT_TO_SHRHLDR_EQTY","FY 2018","FY 2018","Currency=INR","Period=FY","BEST_FPERIOD_OVERRIDE=FY","FILING_STATUS=OR","EQY_CONSOLIDATED=Y","Sort=A","Dates=H","DateFormat=P","Fill=—","Direction=H","UseDPDF=Y")</f>
        <v>#NAME?</v>
      </c>
      <c r="CO23" s="1" t="e">
        <f ca="1">_xll.BDH($C$3,"NET_DEBT_%_CAPITAL","FY 2018","FY 2018","Currency=INR","Period=FY","BEST_FPERIOD_OVERRIDE=FY","FILING_STATUS=OR","EQY_CONSOLIDATED=Y","Sort=A","Dates=H","DateFormat=P","Fill=—","Direction=H","UseDPDF=Y")</f>
        <v>#NAME?</v>
      </c>
      <c r="CP23" s="2" t="e">
        <f ca="1">_xll.BDH($C$3,"EBITDA","FY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3" s="2" t="e">
        <f ca="1">_xll.BDH($C$3,"EBITDA_AFTER_CAPEX","FY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3" s="2" t="e">
        <f ca="1">_xll.BDH($C$3,"IS_OPER_INC","FY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3" s="1" t="e">
        <f ca="1">_xll.BDH($C$3,"CASH_RATIO","FY 2018","FY 2018","Currency=INR","Period=FY","BEST_FPERIOD_OVERRIDE=FY","FILING_STATUS=OR","EQY_CONSOLIDATED=Y","Sort=A","Dates=H","DateFormat=P","Fill=—","Direction=H","UseDPDF=Y")</f>
        <v>#NAME?</v>
      </c>
      <c r="CT23" s="1" t="e">
        <f ca="1">_xll.BDH($C$3,"CUR_RATIO","FY 2018","FY 2018","Currency=INR","Period=FY","BEST_FPERIOD_OVERRIDE=FY","FILING_STATUS=OR","EQY_CONSOLIDATED=Y","Sort=A","Dates=H","DateFormat=P","Fill=—","Direction=H","UseDPDF=Y")</f>
        <v>#NAME?</v>
      </c>
      <c r="CU23" s="1" t="e">
        <f ca="1">_xll.BDH($C$3,"QUICK_RATIO","FY 2018","FY 2018","Currency=INR","Period=FY","BEST_FPERIOD_OVERRIDE=FY","FILING_STATUS=OR","EQY_CONSOLIDATED=Y","Sort=A","Dates=H","DateFormat=P","Fill=—","Direction=H","UseDPDF=Y")</f>
        <v>#NAME?</v>
      </c>
      <c r="CV23" s="1" t="e">
        <f ca="1">_xll.BDH($C$3,"ALTMAN_Z_SCORE","FY 2018","FY 2018","Currency=INR","Period=FY","BEST_FPERIOD_OVERRIDE=FY","FILING_STATUS=OR","EQY_CONSOLIDATED=Y","Sort=A","Dates=H","DateFormat=P","Fill=—","Direction=H","UseDPDF=Y")</f>
        <v>#NAME?</v>
      </c>
      <c r="CW23" s="3" t="e">
        <f ca="1">_xll.BDH($C$3,"ACCT_RCV_TURN","FY 2018","FY 2018","Currency=INR","Period=FY","BEST_FPERIOD_OVERRIDE=FY","FILING_STATUS=OR","EQY_CONSOLIDATED=Y","FA_ADJUSTED=GAAP","Sort=A","Dates=H","DateFormat=P","Fill=—","Direction=H","UseDPDF=Y")</f>
        <v>#NAME?</v>
      </c>
      <c r="CX23" s="1" t="e">
        <f ca="1">_xll.BDH($C$3,"ACCT_RCV_DAYS","FY 2018","FY 2018","Currency=INR","Period=FY","BEST_FPERIOD_OVERRIDE=FY","FILING_STATUS=OR","EQY_CONSOLIDATED=Y","FA_ADJUSTED=GAAP","Sort=A","Dates=H","DateFormat=P","Fill=—","Direction=H","UseDPDF=Y")</f>
        <v>#NAME?</v>
      </c>
      <c r="CY23" s="3" t="e">
        <f ca="1">_xll.BDH($C$3,"INVENT_TURN","FY 2018","FY 2018","Currency=INR","Period=FY","BEST_FPERIOD_OVERRIDE=FY","FILING_STATUS=OR","EQY_CONSOLIDATED=Y","FA_ADJUSTED=GAAP","Sort=A","Dates=H","DateFormat=P","Fill=—","Direction=H","UseDPDF=Y")</f>
        <v>#NAME?</v>
      </c>
      <c r="CZ23" s="1" t="e">
        <f ca="1">_xll.BDH($C$3,"INVENT_DAYS","FY 2018","FY 2018","Currency=INR","Period=FY","BEST_FPERIOD_OVERRIDE=FY","FILING_STATUS=OR","EQY_CONSOLIDATED=Y","FA_ADJUSTED=GAAP","Sort=A","Dates=H","DateFormat=P","Fill=—","Direction=H","UseDPDF=Y")</f>
        <v>#NAME?</v>
      </c>
      <c r="DA23" s="3" t="e">
        <f ca="1">_xll.BDH($C$3,"ACCOUNTS_PAYABLE_TURNOVER","FY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3" s="1" t="e">
        <f ca="1">_xll.BDH($C$3,"ACCOUNTS_PAYABLE_TURNOVER_DAYS","FY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3" s="3" t="e">
        <f ca="1">_xll.BDH($C$3,"CASH_CONVERSION_CYCLE","FY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3" s="3" t="e">
        <f ca="1">_xll.BDH($C$3,"INV_TO_CASH_DAYS","FY 2018","FY 2018","Currency=INR","Period=FY","BEST_FPERIOD_OVERRIDE=FY","FILING_STATUS=OR","EQY_CONSOLIDATED=Y","FA_ADJUSTED=GAAP","Sort=A","Dates=H","DateFormat=P","Fill=—","Direction=H","UseDPDF=Y")</f>
        <v>#NAME?</v>
      </c>
      <c r="DE23" s="4" t="e">
        <f ca="1">_xll.BDH($C$3,"BS_INVENTORIES","FY 2018","FY 2018","Currency=INR","Period=FY","BEST_FPERIOD_OVERRIDE=FY","FILING_STATUS=OR","EQY_CONSOLIDATED=Y","SCALING_FORMAT=MLN","Sort=A","Dates=H","DateFormat=P","Fill=—","Direction=H","UseDPDF=Y")</f>
        <v>#NAME?</v>
      </c>
      <c r="DF23" s="2" t="e">
        <f ca="1">_xll.BDH($C$3,"INVTRY_RAW_MATERIALS","FY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3" s="2" t="e">
        <f ca="1">_xll.BDH($C$3,"INVTRY_IN_PROGRESS","FY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3" s="2" t="e">
        <f ca="1">_xll.BDH($C$3,"INVTRY_FINISHED_GOODS","FY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3" s="2" t="e">
        <f ca="1">_xll.BDH($C$3,"BS_OTHER_INV","FY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4" spans="1:113" x14ac:dyDescent="0.3">
      <c r="A24" s="6"/>
      <c r="B24" s="6"/>
      <c r="C24" s="6"/>
      <c r="D24" s="6"/>
      <c r="E24" t="s">
        <v>4</v>
      </c>
      <c r="F24" t="e">
        <f ca="1">_xll.BDH($C$3,"RETURN_COM_EQY","FQ1 2018","FQ1 2018","Currency=INR","Period=FQ","BEST_FPERIOD_OVERRIDE=FQ","FILING_STATUS=OR","EQY_CONSOLIDATED=Y","FA_ADJUSTED=GAAP","Sort=A","Dates=H","DateFormat=P","Fill=—","Direction=H","UseDPDF=Y")</f>
        <v>#NAME?</v>
      </c>
      <c r="G24" t="e">
        <f ca="1">_xll.BDH($C$3,"RETURN_ON_ASSET","FQ1 2018","FQ1 2018","Currency=INR","Period=FQ","BEST_FPERIOD_OVERRIDE=FQ","FILING_STATUS=OR","EQY_CONSOLIDATED=Y","FA_ADJUSTED=GAAP","Sort=A","Dates=H","DateFormat=P","Fill=—","Direction=H","UseDPDF=Y")</f>
        <v>#NAME?</v>
      </c>
      <c r="H24" t="e">
        <f ca="1">_xll.BDH($C$3,"RETURN_ON_CAP","FQ1 2018","FQ1 2018","Currency=INR","Period=FQ","BEST_FPERIOD_OVERRIDE=FQ","FILING_STATUS=OR","EQY_CONSOLIDATED=Y","FA_ADJUSTED=GAAP","Sort=A","Dates=H","DateFormat=P","Fill=—","Direction=H","UseDPDF=Y")</f>
        <v>#NAME?</v>
      </c>
      <c r="I24" t="e">
        <f ca="1">_xll.BDH($C$3,"RETURN_ON_INV_CAPITAL","FQ1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4" t="e">
        <f ca="1">_xll.BDH($C$3,"EBITDA_TO_REVENUE","FQ1 2018","FQ1 2018","Currency=INR","Period=FQ","BEST_FPERIOD_OVERRIDE=FQ","FILING_STATUS=OR","EQY_CONSOLIDATED=Y","FA_ADJUSTED=GAAP","Sort=A","Dates=H","DateFormat=P","Fill=—","Direction=H","UseDPDF=Y")</f>
        <v>#NAME?</v>
      </c>
      <c r="K24" t="e">
        <f ca="1">_xll.BDH($C$3,"OPER_MARGIN","FQ1 2018","FQ1 2018","Currency=INR","Period=FQ","BEST_FPERIOD_OVERRIDE=FQ","FILING_STATUS=OR","EQY_CONSOLIDATED=Y","FA_ADJUSTED=GAAP","Sort=A","Dates=H","DateFormat=P","Fill=—","Direction=H","UseDPDF=Y")</f>
        <v>#NAME?</v>
      </c>
      <c r="L24" t="e">
        <f ca="1">_xll.BDH($C$3,"INCREMENTAL_OPERATING_MARGIN","FQ1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4" t="e">
        <f ca="1">_xll.BDH($C$3,"PRETAX_INC_TO_NET_SALES","FQ1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4" t="e">
        <f ca="1">_xll.BDH($C$3,"INC_BEF_XO_ITEMS_TO_NET_SALES","FQ1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4" t="e">
        <f ca="1">_xll.BDH($C$3,"PROF_MARGIN","FQ1 2018","FQ1 2018","Currency=INR","Period=FQ","BEST_FPERIOD_OVERRIDE=FQ","FILING_STATUS=OR","EQY_CONSOLIDATED=Y","FA_ADJUSTED=GAAP","Sort=A","Dates=H","DateFormat=P","Fill=—","Direction=H","UseDPDF=Y")</f>
        <v>#NAME?</v>
      </c>
      <c r="P24" t="e">
        <f ca="1">_xll.BDH($C$3,"NET_INCOME_TO_COMMON_MARGIN","FQ1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4" t="e">
        <f ca="1">_xll.BDH($C$3,"EFF_TAX_RATE","FQ1 2018","FQ1 2018","Currency=INR","Period=FQ","BEST_FPERIOD_OVERRIDE=FQ","FILING_STATUS=OR","EQY_CONSOLIDATED=Y","FA_ADJUSTED=GAAP","Sort=A","Dates=H","DateFormat=P","Fill=—","Direction=H","UseDPDF=Y")</f>
        <v>#NAME?</v>
      </c>
      <c r="R24" t="e">
        <f ca="1">_xll.BDH($C$3,"DVD_PAYOUT_RATIO","FQ1 2018","FQ1 2018","Currency=INR","Period=FQ","BEST_FPERIOD_OVERRIDE=FQ","FILING_STATUS=OR","EQY_CONSOLIDATED=Y","FA_ADJUSTED=GAAP","Sort=A","Dates=H","DateFormat=P","Fill=—","Direction=H","UseDPDF=Y")</f>
        <v>#NAME?</v>
      </c>
      <c r="S24" t="e">
        <f ca="1">_xll.BDH($C$3,"SUSTAIN_GROWTH_RT","FQ1 2018","FQ1 2018","Currency=INR","Period=FQ","BEST_FPERIOD_OVERRIDE=FQ","FILING_STATUS=OR","EQY_CONSOLIDATED=Y","FA_ADJUSTED=GAAP","Sort=A","Dates=H","DateFormat=P","Fill=—","Direction=H","UseDPDF=Y")</f>
        <v>#NAME?</v>
      </c>
      <c r="T24" s="1" t="e">
        <f ca="1">_xll.BDH($C$3,"SALES_GROWTH","FQ1 2018","FQ1 2018","Currency=INR","Period=FQ","BEST_FPERIOD_OVERRIDE=FQ","FILING_STATUS=OR","EQY_CONSOLIDATED=Y","FA_ADJUSTED=GAAP","Sort=A","Dates=H","DateFormat=P","Fill=—","Direction=H","UseDPDF=Y")</f>
        <v>#NAME?</v>
      </c>
      <c r="U24" s="1" t="e">
        <f ca="1">_xll.BDH($C$3,"EBITDA_GROWTH","FQ1 2018","FQ1 2018","Currency=INR","Period=FQ","BEST_FPERIOD_OVERRIDE=FQ","FILING_STATUS=OR","EQY_CONSOLIDATED=Y","FA_ADJUSTED=GAAP","Sort=A","Dates=H","DateFormat=P","Fill=—","Direction=H","UseDPDF=Y")</f>
        <v>#NAME?</v>
      </c>
      <c r="V24" s="1" t="e">
        <f ca="1">_xll.BDH($C$3,"OPER_INC_GROWTH","FQ1 2018","FQ1 2018","Currency=INR","Period=FQ","BEST_FPERIOD_OVERRIDE=FQ","FILING_STATUS=OR","EQY_CONSOLIDATED=Y","FA_ADJUSTED=GAAP","Sort=A","Dates=H","DateFormat=P","Fill=—","Direction=H","UseDPDF=Y")</f>
        <v>#NAME?</v>
      </c>
      <c r="W24" s="1" t="e">
        <f ca="1">_xll.BDH($C$3,"EARN_FOR_COM_GROWTH","FQ1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4" s="1" t="e">
        <f ca="1">_xll.BDH($C$3,"DILUTED_EPS_AFT_XO_ITEMS_GROWTH","FQ1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4" s="1" t="e">
        <f ca="1">_xll.BDH($C$3,"DIVIDEND_PER_SHARE_1_YEAR_GROWTH","FQ1 2018","FQ1 2018","Currency=INR","Period=FQ","BEST_FPERIOD_OVERRIDE=FQ","FILING_STATUS=OR","EQY_CONSOLIDATED=Y","Sort=A","Dates=H","DateFormat=P","Fill=—","Direction=H","UseDPDF=Y")</f>
        <v>#NAME?</v>
      </c>
      <c r="Z24" s="1" t="e">
        <f ca="1">_xll.BDH($C$3,"ACCOUNTS_RECEIVABLE_GROWTH","FQ1 2018","FQ1 2018","Currency=INR","Period=FQ","BEST_FPERIOD_OVERRIDE=FQ","FILING_STATUS=OR","EQY_CONSOLIDATED=Y","Sort=A","Dates=H","DateFormat=P","Fill=—","Direction=H","UseDPDF=Y")</f>
        <v>#NAME?</v>
      </c>
      <c r="AA24" s="1" t="e">
        <f ca="1">_xll.BDH($C$3,"INVENTORY_GROWTH","FQ1 2018","FQ1 2018","Currency=INR","Period=FQ","BEST_FPERIOD_OVERRIDE=FQ","FILING_STATUS=OR","EQY_CONSOLIDATED=Y","Sort=A","Dates=H","DateFormat=P","Fill=—","Direction=H","UseDPDF=Y")</f>
        <v>#NAME?</v>
      </c>
      <c r="AB24" s="1" t="e">
        <f ca="1">_xll.BDH($C$3,"NET_FIXED_ASSETS_1_YEAR_GROWTH","FQ1 2018","FQ1 2018","Currency=INR","Period=FQ","BEST_FPERIOD_OVERRIDE=FQ","FILING_STATUS=OR","EQY_CONSOLIDATED=Y","Sort=A","Dates=H","DateFormat=P","Fill=—","Direction=H","UseDPDF=Y")</f>
        <v>#NAME?</v>
      </c>
      <c r="AC24" s="1" t="e">
        <f ca="1">_xll.BDH($C$3,"ASSET_GROWTH","FQ1 2018","FQ1 2018","Currency=INR","Period=FQ","BEST_FPERIOD_OVERRIDE=FQ","FILING_STATUS=OR","EQY_CONSOLIDATED=Y","Sort=A","Dates=H","DateFormat=P","Fill=—","Direction=H","UseDPDF=Y")</f>
        <v>#NAME?</v>
      </c>
      <c r="AD24" s="1" t="e">
        <f ca="1">_xll.BDH($C$3,"MODIFIED_WORK_CAP_GROWTH","FQ1 2018","FQ1 2018","Currency=INR","Period=FQ","BEST_FPERIOD_OVERRIDE=FQ","FILING_STATUS=OR","EQY_CONSOLIDATED=Y","Sort=A","Dates=H","DateFormat=P","Fill=—","Direction=H","UseDPDF=Y")</f>
        <v>#NAME?</v>
      </c>
      <c r="AE24" s="1" t="e">
        <f ca="1">_xll.BDH($C$3,"WORK_CAP_GROWTH","FQ1 2018","FQ1 2018","Currency=INR","Period=FQ","BEST_FPERIOD_OVERRIDE=FQ","FILING_STATUS=OR","EQY_CONSOLIDATED=Y","Sort=A","Dates=H","DateFormat=P","Fill=—","Direction=H","UseDPDF=Y")</f>
        <v>#NAME?</v>
      </c>
      <c r="AF24" s="1" t="e">
        <f ca="1">_xll.BDH($C$3,"ACCOUNTS_PAYABLE_GROWTH_1YR","FQ1 2018","FQ1 2018","Currency=INR","Period=FQ","BEST_FPERIOD_OVERRIDE=FQ","FILING_STATUS=OR","EQY_CONSOLIDATED=Y","Sort=A","Dates=H","DateFormat=P","Fill=—","Direction=H","UseDPDF=Y")</f>
        <v>#NAME?</v>
      </c>
      <c r="AG24" s="1" t="e">
        <f ca="1">_xll.BDH($C$3,"SHORT_TERM_DEBT_1_YEAR_GROWTH","FQ1 2018","FQ1 2018","Currency=INR","Period=FQ","BEST_FPERIOD_OVERRIDE=FQ","FILING_STATUS=OR","EQY_CONSOLIDATED=Y","Sort=A","Dates=H","DateFormat=P","Fill=—","Direction=H","UseDPDF=Y")</f>
        <v>#NAME?</v>
      </c>
      <c r="AH24" s="1" t="e">
        <f ca="1">_xll.BDH($C$3,"TOTAL_DEBT_1_YEAR_GROWTH","FQ1 2018","FQ1 2018","Currency=INR","Period=FQ","BEST_FPERIOD_OVERRIDE=FQ","FILING_STATUS=OR","EQY_CONSOLIDATED=Y","Sort=A","Dates=H","DateFormat=P","Fill=—","Direction=H","UseDPDF=Y")</f>
        <v>#NAME?</v>
      </c>
      <c r="AI24" s="1" t="e">
        <f ca="1">_xll.BDH($C$3,"TOTAL_EQUITY_1_YEAR_GROWTH","FQ1 2018","FQ1 2018","Currency=INR","Period=FQ","BEST_FPERIOD_OVERRIDE=FQ","FILING_STATUS=OR","EQY_CONSOLIDATED=Y","Sort=A","Dates=H","DateFormat=P","Fill=—","Direction=H","UseDPDF=Y")</f>
        <v>#NAME?</v>
      </c>
      <c r="AJ24" s="1" t="e">
        <f ca="1">_xll.BDH($C$3,"GROWTH_IN_CAP","FQ1 2018","FQ1 2018","Currency=INR","Period=FQ","BEST_FPERIOD_OVERRIDE=FQ","FILING_STATUS=OR","EQY_CONSOLIDATED=Y","Sort=A","Dates=H","DateFormat=P","Fill=—","Direction=H","UseDPDF=Y")</f>
        <v>#NAME?</v>
      </c>
      <c r="AK24" s="1" t="e">
        <f ca="1">_xll.BDH($C$3,"BVPS_GROWTH","FQ1 2018","FQ1 2018","Currency=INR","Period=FQ","BEST_FPERIOD_OVERRIDE=FQ","FILING_STATUS=OR","EQY_CONSOLIDATED=Y","Sort=A","Dates=H","DateFormat=P","Fill=—","Direction=H","UseDPDF=Y")</f>
        <v>#NAME?</v>
      </c>
      <c r="AL24" s="1" t="e">
        <f ca="1">_xll.BDH($C$3,"CASH_FLOW_GROWTH","FQ1 2018","FQ1 2018","Currency=INR","Period=FQ","BEST_FPERIOD_OVERRIDE=FQ","FILING_STATUS=OR","EQY_CONSOLIDATED=Y","Sort=A","Dates=H","DateFormat=P","Fill=—","Direction=H","UseDPDF=Y")</f>
        <v>#NAME?</v>
      </c>
      <c r="AM24" s="1" t="e">
        <f ca="1">_xll.BDH($C$3,"GEO_GROW_NET_SALES","FQ1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4" s="1" t="e">
        <f ca="1">_xll.BDH($C$3,"GEO_GROW_EBITDA","FQ1 2018","FQ1 2018","Currency=INR","Period=FQ","BEST_FPERIOD_OVERRIDE=FQ","FILING_STATUS=OR","EQY_CONSOLIDATED=Y","FA_ADJUSTED=GAAP","Sort=A","Dates=H","DateFormat=P","Fill=—","Direction=H","UseDPDF=Y")</f>
        <v>#NAME?</v>
      </c>
      <c r="AO24" s="1" t="e">
        <f ca="1">_xll.BDH($C$3,"GEO_GROW_OPER_INC","FQ1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4" s="1" t="e">
        <f ca="1">_xll.BDH($C$3,"NET_INCOME_TO_COMMON_5_YR_GROWTH","FQ1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4" s="1" t="e">
        <f ca="1">_xll.BDH($C$3,"5Y_GEO_GROWTH_DILUTED_EPS","FQ1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4" s="1" t="e">
        <f ca="1">_xll.BDH($C$3,"GEO_GROW_DVD_PER_SH","FQ1 2018","FQ1 2018","Currency=INR","Period=FQ","BEST_FPERIOD_OVERRIDE=FQ","FILING_STATUS=OR","EQY_CONSOLIDATED=Y","Sort=A","Dates=H","DateFormat=P","Fill=—","Direction=H","UseDPDF=Y")</f>
        <v>#NAME?</v>
      </c>
      <c r="AS24" s="1" t="e">
        <f ca="1">_xll.BDH($C$3,"ACCOUNTS_RECEIVABLE_5_YR_GROWTH","FQ1 2018","FQ1 2018","Currency=INR","Period=FQ","BEST_FPERIOD_OVERRIDE=FQ","FILING_STATUS=OR","EQY_CONSOLIDATED=Y","Sort=A","Dates=H","DateFormat=P","Fill=—","Direction=H","UseDPDF=Y")</f>
        <v>#NAME?</v>
      </c>
      <c r="AT24" s="1" t="e">
        <f ca="1">_xll.BDH($C$3,"INVENTORY_5_YEAR_GROWTH","FQ1 2018","FQ1 2018","Currency=INR","Period=FQ","BEST_FPERIOD_OVERRIDE=FQ","FILING_STATUS=OR","EQY_CONSOLIDATED=Y","Sort=A","Dates=H","DateFormat=P","Fill=—","Direction=H","UseDPDF=Y")</f>
        <v>#NAME?</v>
      </c>
      <c r="AU24" s="1" t="e">
        <f ca="1">_xll.BDH($C$3,"NET_FIXED_ASSETS_5_YEAR_GROWTH","FQ1 2018","FQ1 2018","Currency=INR","Period=FQ","BEST_FPERIOD_OVERRIDE=FQ","FILING_STATUS=OR","EQY_CONSOLIDATED=Y","Sort=A","Dates=H","DateFormat=P","Fill=—","Direction=H","UseDPDF=Y")</f>
        <v>#NAME?</v>
      </c>
      <c r="AV24" s="1" t="e">
        <f ca="1">_xll.BDH($C$3,"GEO_GROW_TOT_ASSET","FQ1 2018","FQ1 2018","Currency=INR","Period=FQ","BEST_FPERIOD_OVERRIDE=FQ","FILING_STATUS=OR","EQY_CONSOLIDATED=Y","Sort=A","Dates=H","DateFormat=P","Fill=—","Direction=H","UseDPDF=Y")</f>
        <v>#NAME?</v>
      </c>
      <c r="AW24" s="1" t="e">
        <f ca="1">_xll.BDH($C$3,"MODIFIED_WORKING_CPTL_5YR_GRWTH","FQ1 2018","FQ1 2018","Currency=INR","Period=FQ","BEST_FPERIOD_OVERRIDE=FQ","FILING_STATUS=OR","EQY_CONSOLIDATED=Y","Sort=A","Dates=H","DateFormat=P","Fill=—","Direction=H","UseDPDF=Y")</f>
        <v>#NAME?</v>
      </c>
      <c r="AX24" s="1" t="e">
        <f ca="1">_xll.BDH($C$3,"WORKING_CAPITAL_5_YEAR_GROWTH","FQ1 2018","FQ1 2018","Currency=INR","Period=FQ","BEST_FPERIOD_OVERRIDE=FQ","FILING_STATUS=OR","EQY_CONSOLIDATED=Y","Sort=A","Dates=H","DateFormat=P","Fill=—","Direction=H","UseDPDF=Y")</f>
        <v>#NAME?</v>
      </c>
      <c r="AY24" s="1" t="e">
        <f ca="1">_xll.BDH($C$3,"ACCOUNTS_PAYABLE_5_YEAR_GROWTH","FQ1 2018","FQ1 2018","Currency=INR","Period=FQ","BEST_FPERIOD_OVERRIDE=FQ","FILING_STATUS=OR","EQY_CONSOLIDATED=Y","Sort=A","Dates=H","DateFormat=P","Fill=—","Direction=H","UseDPDF=Y")</f>
        <v>#NAME?</v>
      </c>
      <c r="AZ24" s="1" t="e">
        <f ca="1">_xll.BDH($C$3,"SHORT_TERM_DEBT_5_YEAR_GROWTH","FQ1 2018","FQ1 2018","Currency=INR","Period=FQ","BEST_FPERIOD_OVERRIDE=FQ","FILING_STATUS=OR","EQY_CONSOLIDATED=Y","Sort=A","Dates=H","DateFormat=P","Fill=—","Direction=H","UseDPDF=Y")</f>
        <v>#NAME?</v>
      </c>
      <c r="BA24" s="1" t="e">
        <f ca="1">_xll.BDH($C$3,"TOTAL_DEBT_5_YEAR_GROWTH","FQ1 2018","FQ1 2018","Currency=INR","Period=FQ","BEST_FPERIOD_OVERRIDE=FQ","FILING_STATUS=OR","EQY_CONSOLIDATED=Y","Sort=A","Dates=H","DateFormat=P","Fill=—","Direction=H","UseDPDF=Y")</f>
        <v>#NAME?</v>
      </c>
      <c r="BB24" s="1" t="e">
        <f ca="1">_xll.BDH($C$3,"GEO_GROW_TOT_SHRHLDR_EQY","FQ1 2018","FQ1 2018","Currency=INR","Period=FQ","BEST_FPERIOD_OVERRIDE=FQ","FILING_STATUS=OR","EQY_CONSOLIDATED=Y","Sort=A","Dates=H","DateFormat=P","Fill=—","Direction=H","UseDPDF=Y")</f>
        <v>#NAME?</v>
      </c>
      <c r="BC24" s="1" t="e">
        <f ca="1">_xll.BDH($C$3,"TOTAL_CAPITAL_5_YEAR_GROWTH","FQ1 2018","FQ1 2018","Currency=INR","Period=FQ","BEST_FPERIOD_OVERRIDE=FQ","FILING_STATUS=OR","EQY_CONSOLIDATED=Y","Sort=A","Dates=H","DateFormat=P","Fill=—","Direction=H","UseDPDF=Y")</f>
        <v>#NAME?</v>
      </c>
      <c r="BD24" s="1" t="e">
        <f ca="1">_xll.BDH($C$3,"GEO_GROW_BOOK_VAL","FQ1 2018","FQ1 2018","Currency=INR","Period=FQ","BEST_FPERIOD_OVERRIDE=FQ","FILING_STATUS=OR","EQY_CONSOLIDATED=Y","Sort=A","Dates=H","DateFormat=P","Fill=—","Direction=H","UseDPDF=Y")</f>
        <v>#NAME?</v>
      </c>
      <c r="BE24" s="1" t="e">
        <f ca="1">_xll.BDH($C$3,"GEO_GROW_CASH_OPER_ACT","FQ1 2018","FQ1 2018","Currency=INR","Period=FQ","BEST_FPERIOD_OVERRIDE=FQ","FILING_STATUS=OR","EQY_CONSOLIDATED=Y","Sort=A","Dates=H","DateFormat=P","Fill=—","Direction=H","UseDPDF=Y")</f>
        <v>#NAME?</v>
      </c>
      <c r="BF24" s="1" t="e">
        <f ca="1">_xll.BDH($C$3,"REVENUE_SEQUENTIAL_GROWTH","FQ1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4" s="1" t="e">
        <f ca="1">_xll.BDH($C$3,"EBITDA_SEQUENTIAL_GROWTH","FQ1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4" s="1" t="e">
        <f ca="1">_xll.BDH($C$3,"OPERATING_INCOME_SEQ_GROWTH","FQ1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4" s="1" t="e">
        <f ca="1">_xll.BDH($C$3,"NET_INCOME_TO_COMMON_SEQ_GROWTH","FQ1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4" s="1" t="e">
        <f ca="1">_xll.BDH($C$3,"EPS_DILUTED_SEQUENTIAL_GROWTH","FQ1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4" s="1" t="e">
        <f ca="1">_xll.BDH($C$3,"DPS_SEQUENTIAL_GROWTH","FQ1 2018","FQ1 2018","Currency=INR","Period=FQ","BEST_FPERIOD_OVERRIDE=FQ","FILING_STATUS=OR","EQY_CONSOLIDATED=Y","Sort=A","Dates=H","DateFormat=P","Fill=—","Direction=H","UseDPDF=Y")</f>
        <v>#NAME?</v>
      </c>
      <c r="BL24" s="1" t="e">
        <f ca="1">_xll.BDH($C$3,"ACCOUNTS_RECEIVABLE_SEQ_GROWTH","FQ1 2018","FQ1 2018","Currency=INR","Period=FQ","BEST_FPERIOD_OVERRIDE=FQ","FILING_STATUS=OR","EQY_CONSOLIDATED=Y","Sort=A","Dates=H","DateFormat=P","Fill=—","Direction=H","UseDPDF=Y")</f>
        <v>#NAME?</v>
      </c>
      <c r="BM24" s="1" t="e">
        <f ca="1">_xll.BDH($C$3,"INVENTORY_SEQUENTIAL_GROWTH","FQ1 2018","FQ1 2018","Currency=INR","Period=FQ","BEST_FPERIOD_OVERRIDE=FQ","FILING_STATUS=OR","EQY_CONSOLIDATED=Y","Sort=A","Dates=H","DateFormat=P","Fill=—","Direction=H","UseDPDF=Y")</f>
        <v>#NAME?</v>
      </c>
      <c r="BN24" s="1" t="e">
        <f ca="1">_xll.BDH($C$3,"FIXED_ASSETS_SEQUENTIAL_GROWTH","FQ1 2018","FQ1 2018","Currency=INR","Period=FQ","BEST_FPERIOD_OVERRIDE=FQ","FILING_STATUS=OR","EQY_CONSOLIDATED=Y","Sort=A","Dates=H","DateFormat=P","Fill=—","Direction=H","UseDPDF=Y")</f>
        <v>#NAME?</v>
      </c>
      <c r="BO24" s="1" t="e">
        <f ca="1">_xll.BDH($C$3,"TOTAL_ASSETS_SEQUENTIAL_GROWTH","FQ1 2018","FQ1 2018","Currency=INR","Period=FQ","BEST_FPERIOD_OVERRIDE=FQ","FILING_STATUS=OR","EQY_CONSOLIDATED=Y","Sort=A","Dates=H","DateFormat=P","Fill=—","Direction=H","UseDPDF=Y")</f>
        <v>#NAME?</v>
      </c>
      <c r="BP24" s="1" t="e">
        <f ca="1">_xll.BDH($C$3,"MODIFIED_WORKING_CPTL_SEQ_GRWTH","FQ1 2018","FQ1 2018","Currency=INR","Period=FQ","BEST_FPERIOD_OVERRIDE=FQ","FILING_STATUS=OR","EQY_CONSOLIDATED=Y","Sort=A","Dates=H","DateFormat=P","Fill=—","Direction=H","UseDPDF=Y")</f>
        <v>#NAME?</v>
      </c>
      <c r="BQ24" s="1" t="e">
        <f ca="1">_xll.BDH($C$3,"WORKING_CAPITAL_SEQ_GROWTH","FQ1 2018","FQ1 2018","Currency=INR","Period=FQ","BEST_FPERIOD_OVERRIDE=FQ","FILING_STATUS=OR","EQY_CONSOLIDATED=Y","Sort=A","Dates=H","DateFormat=P","Fill=—","Direction=H","UseDPDF=Y")</f>
        <v>#NAME?</v>
      </c>
      <c r="BR24" s="1" t="e">
        <f ca="1">_xll.BDH($C$3,"ACCOUNTS_PAYABLE_SEQ_GROWTH","FQ1 2018","FQ1 2018","Currency=INR","Period=FQ","BEST_FPERIOD_OVERRIDE=FQ","FILING_STATUS=OR","EQY_CONSOLIDATED=Y","Sort=A","Dates=H","DateFormat=P","Fill=—","Direction=H","UseDPDF=Y")</f>
        <v>#NAME?</v>
      </c>
      <c r="BS24" s="1" t="e">
        <f ca="1">_xll.BDH($C$3,"ST_DEBT_SEQUENTIAL_GROWTH","FQ1 2018","FQ1 2018","Currency=INR","Period=FQ","BEST_FPERIOD_OVERRIDE=FQ","FILING_STATUS=OR","EQY_CONSOLIDATED=Y","Sort=A","Dates=H","DateFormat=P","Fill=—","Direction=H","UseDPDF=Y")</f>
        <v>#NAME?</v>
      </c>
      <c r="BT24" s="1" t="e">
        <f ca="1">_xll.BDH($C$3,"TOTAL_DEBT_SEQUENTIAL_GROWTH","FQ1 2018","FQ1 2018","Currency=INR","Period=FQ","BEST_FPERIOD_OVERRIDE=FQ","FILING_STATUS=OR","EQY_CONSOLIDATED=Y","Sort=A","Dates=H","DateFormat=P","Fill=—","Direction=H","UseDPDF=Y")</f>
        <v>#NAME?</v>
      </c>
      <c r="BU24" s="1" t="e">
        <f ca="1">_xll.BDH($C$3,"TOTAL_EQUITY_SEQUENTIAL_GROWTH","FQ1 2018","FQ1 2018","Currency=INR","Period=FQ","BEST_FPERIOD_OVERRIDE=FQ","FILING_STATUS=OR","EQY_CONSOLIDATED=Y","Sort=A","Dates=H","DateFormat=P","Fill=—","Direction=H","UseDPDF=Y")</f>
        <v>#NAME?</v>
      </c>
      <c r="BV24" s="1" t="e">
        <f ca="1">_xll.BDH($C$3,"TOTAL_CAPITAL_SEQUENTIAL_GROWTH","FQ1 2018","FQ1 2018","Currency=INR","Period=FQ","BEST_FPERIOD_OVERRIDE=FQ","FILING_STATUS=OR","EQY_CONSOLIDATED=Y","Sort=A","Dates=H","DateFormat=P","Fill=—","Direction=H","UseDPDF=Y")</f>
        <v>#NAME?</v>
      </c>
      <c r="BW24" s="1" t="e">
        <f ca="1">_xll.BDH($C$3,"BPS_SEQUENTIAL_GROWTH","FQ1 2018","FQ1 2018","Currency=INR","Period=FQ","BEST_FPERIOD_OVERRIDE=FQ","FILING_STATUS=OR","EQY_CONSOLIDATED=Y","Sort=A","Dates=H","DateFormat=P","Fill=—","Direction=H","UseDPDF=Y")</f>
        <v>#NAME?</v>
      </c>
      <c r="BX24" s="1" t="e">
        <f ca="1">_xll.BDH($C$3,"CFO_SEQUENTIAL_GROWTH","FQ1 2018","FQ1 2018","Currency=INR","Period=FQ","BEST_FPERIOD_OVERRIDE=FQ","FILING_STATUS=OR","EQY_CONSOLIDATED=Y","Sort=A","Dates=H","DateFormat=P","Fill=—","Direction=H","UseDPDF=Y")</f>
        <v>#NAME?</v>
      </c>
      <c r="BY24" s="2" t="e">
        <f ca="1">_xll.BDH($C$3,"SHORT_AND_LONG_TERM_DEBT","FQ1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4" s="2" t="e">
        <f ca="1">_xll.BDH($C$3,"BS_ST_BORROW","FQ1 2018","FQ1 2018","Currency=INR","Period=FQ","BEST_FPERIOD_OVERRIDE=FQ","FILING_STATUS=OR","EQY_CONSOLIDATED=Y","SCALING_FORMAT=MLN","Sort=A","Dates=H","DateFormat=P","Fill=—","Direction=H","UseDPDF=Y")</f>
        <v>#NAME?</v>
      </c>
      <c r="CA24" s="2" t="e">
        <f ca="1">_xll.BDH($C$3,"BS_LT_BORROW","FQ1 2018","FQ1 2018","Currency=INR","Period=FQ","BEST_FPERIOD_OVERRIDE=FQ","FILING_STATUS=OR","EQY_CONSOLIDATED=Y","SCALING_FORMAT=MLN","Sort=A","Dates=H","DateFormat=P","Fill=—","Direction=H","UseDPDF=Y")</f>
        <v>#NAME?</v>
      </c>
      <c r="CB24" s="1" t="e">
        <f ca="1">_xll.BDH($C$3,"TOT_DEBT_TO_EBITDA","FQ1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4" s="1" t="e">
        <f ca="1">_xll.BDH($C$3,"NET_DEBT_TO_EBITDA","FQ1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4" s="1" t="e">
        <f ca="1">_xll.BDH($C$3,"TOTAL_DEBT_TO_EBIT","FQ1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4" s="1" t="e">
        <f ca="1">_xll.BDH($C$3,"NET_DEBT_TO_EBIT","FQ1 2018","FQ1 2018","Currency=INR","Period=FQ","BEST_FPERIOD_OVERRIDE=FQ","FILING_STATUS=OR","EQY_CONSOLIDATED=Y","FA_ADJUSTED=GAAP","Sort=A","Dates=H","DateFormat=P","Fill=—","Direction=H","UseDPDF=Y")</f>
        <v>#NAME?</v>
      </c>
      <c r="CF24" s="1" t="e">
        <f ca="1">_xll.BDH($C$3,"EBITDA_TO_INTEREST_EXPN","FQ1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4" s="1" t="e">
        <f ca="1">_xll.BDH($C$3,"COM_EQY_TO_TOT_ASSET","FQ1 2018","FQ1 2018","Currency=INR","Period=FQ","BEST_FPERIOD_OVERRIDE=FQ","FILING_STATUS=OR","EQY_CONSOLIDATED=Y","Sort=A","Dates=H","DateFormat=P","Fill=—","Direction=H","UseDPDF=Y")</f>
        <v>#NAME?</v>
      </c>
      <c r="CH24" s="1" t="e">
        <f ca="1">_xll.BDH($C$3,"LT_DEBT_TO_TOT_EQY","FQ1 2018","FQ1 2018","Currency=INR","Period=FQ","BEST_FPERIOD_OVERRIDE=FQ","FILING_STATUS=OR","EQY_CONSOLIDATED=Y","Sort=A","Dates=H","DateFormat=P","Fill=—","Direction=H","UseDPDF=Y")</f>
        <v>#NAME?</v>
      </c>
      <c r="CI24" s="1" t="e">
        <f ca="1">_xll.BDH($C$3,"LT_DEBT_TO_TOT_CAP","FQ1 2018","FQ1 2018","Currency=INR","Period=FQ","BEST_FPERIOD_OVERRIDE=FQ","FILING_STATUS=OR","EQY_CONSOLIDATED=Y","Sort=A","Dates=H","DateFormat=P","Fill=—","Direction=H","UseDPDF=Y")</f>
        <v>#NAME?</v>
      </c>
      <c r="CJ24" s="1" t="e">
        <f ca="1">_xll.BDH($C$3,"LT_DEBT_TO_TOT_ASSET","FQ1 2018","FQ1 2018","Currency=INR","Period=FQ","BEST_FPERIOD_OVERRIDE=FQ","FILING_STATUS=OR","EQY_CONSOLIDATED=Y","Sort=A","Dates=H","DateFormat=P","Fill=—","Direction=H","UseDPDF=Y")</f>
        <v>#NAME?</v>
      </c>
      <c r="CK24" s="1" t="e">
        <f ca="1">_xll.BDH($C$3,"TOT_DEBT_TO_TOT_EQY","FQ1 2018","FQ1 2018","Currency=INR","Period=FQ","BEST_FPERIOD_OVERRIDE=FQ","FILING_STATUS=OR","EQY_CONSOLIDATED=Y","Sort=A","Dates=H","DateFormat=P","Fill=—","Direction=H","UseDPDF=Y")</f>
        <v>#NAME?</v>
      </c>
      <c r="CL24" s="1" t="e">
        <f ca="1">_xll.BDH($C$3,"TOT_DEBT_TO_TOT_CAP","FQ1 2018","FQ1 2018","Currency=INR","Period=FQ","BEST_FPERIOD_OVERRIDE=FQ","FILING_STATUS=OR","EQY_CONSOLIDATED=Y","Sort=A","Dates=H","DateFormat=P","Fill=—","Direction=H","UseDPDF=Y")</f>
        <v>#NAME?</v>
      </c>
      <c r="CM24" s="1" t="e">
        <f ca="1">_xll.BDH($C$3,"TOT_DEBT_TO_TOT_ASSET","FQ1 2018","FQ1 2018","Currency=INR","Period=FQ","BEST_FPERIOD_OVERRIDE=FQ","FILING_STATUS=OR","EQY_CONSOLIDATED=Y","Sort=A","Dates=H","DateFormat=P","Fill=—","Direction=H","UseDPDF=Y")</f>
        <v>#NAME?</v>
      </c>
      <c r="CN24" s="1" t="e">
        <f ca="1">_xll.BDH($C$3,"NET_DEBT_TO_SHRHLDR_EQTY","FQ1 2018","FQ1 2018","Currency=INR","Period=FQ","BEST_FPERIOD_OVERRIDE=FQ","FILING_STATUS=OR","EQY_CONSOLIDATED=Y","Sort=A","Dates=H","DateFormat=P","Fill=—","Direction=H","UseDPDF=Y")</f>
        <v>#NAME?</v>
      </c>
      <c r="CO24" s="1" t="e">
        <f ca="1">_xll.BDH($C$3,"NET_DEBT_%_CAPITAL","FQ1 2018","FQ1 2018","Currency=INR","Period=FQ","BEST_FPERIOD_OVERRIDE=FQ","FILING_STATUS=OR","EQY_CONSOLIDATED=Y","Sort=A","Dates=H","DateFormat=P","Fill=—","Direction=H","UseDPDF=Y")</f>
        <v>#NAME?</v>
      </c>
      <c r="CP24" s="2" t="e">
        <f ca="1">_xll.BDH($C$3,"EBITDA","FQ1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4" s="2" t="e">
        <f ca="1">_xll.BDH($C$3,"EBITDA_AFTER_CAPEX","FQ1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4" s="2" t="e">
        <f ca="1">_xll.BDH($C$3,"IS_OPER_INC","FQ1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4" s="1" t="e">
        <f ca="1">_xll.BDH($C$3,"CASH_RATIO","FQ1 2018","FQ1 2018","Currency=INR","Period=FQ","BEST_FPERIOD_OVERRIDE=FQ","FILING_STATUS=OR","EQY_CONSOLIDATED=Y","Sort=A","Dates=H","DateFormat=P","Fill=—","Direction=H","UseDPDF=Y")</f>
        <v>#NAME?</v>
      </c>
      <c r="CT24" s="1" t="e">
        <f ca="1">_xll.BDH($C$3,"CUR_RATIO","FQ1 2018","FQ1 2018","Currency=INR","Period=FQ","BEST_FPERIOD_OVERRIDE=FQ","FILING_STATUS=OR","EQY_CONSOLIDATED=Y","Sort=A","Dates=H","DateFormat=P","Fill=—","Direction=H","UseDPDF=Y")</f>
        <v>#NAME?</v>
      </c>
      <c r="CU24" s="1" t="e">
        <f ca="1">_xll.BDH($C$3,"QUICK_RATIO","FQ1 2018","FQ1 2018","Currency=INR","Period=FQ","BEST_FPERIOD_OVERRIDE=FQ","FILING_STATUS=OR","EQY_CONSOLIDATED=Y","Sort=A","Dates=H","DateFormat=P","Fill=—","Direction=H","UseDPDF=Y")</f>
        <v>#NAME?</v>
      </c>
      <c r="CV24" s="1" t="e">
        <f ca="1">_xll.BDH($C$3,"ALTMAN_Z_SCORE","FQ1 2018","FQ1 2018","Currency=INR","Period=FQ","BEST_FPERIOD_OVERRIDE=FQ","FILING_STATUS=OR","EQY_CONSOLIDATED=Y","Sort=A","Dates=H","DateFormat=P","Fill=—","Direction=H","UseDPDF=Y")</f>
        <v>#NAME?</v>
      </c>
      <c r="CW24" s="3" t="e">
        <f ca="1">_xll.BDH($C$3,"ACCT_RCV_TURN","FQ1 2018","FQ1 2018","Currency=INR","Period=FQ","BEST_FPERIOD_OVERRIDE=FQ","FILING_STATUS=OR","EQY_CONSOLIDATED=Y","FA_ADJUSTED=GAAP","Sort=A","Dates=H","DateFormat=P","Fill=—","Direction=H","UseDPDF=Y")</f>
        <v>#NAME?</v>
      </c>
      <c r="CX24" s="1" t="e">
        <f ca="1">_xll.BDH($C$3,"ACCT_RCV_DAYS","FQ1 2018","FQ1 2018","Currency=INR","Period=FQ","BEST_FPERIOD_OVERRIDE=FQ","FILING_STATUS=OR","EQY_CONSOLIDATED=Y","FA_ADJUSTED=GAAP","Sort=A","Dates=H","DateFormat=P","Fill=—","Direction=H","UseDPDF=Y")</f>
        <v>#NAME?</v>
      </c>
      <c r="CY24" s="3" t="e">
        <f ca="1">_xll.BDH($C$3,"INVENT_TURN","FQ1 2018","FQ1 2018","Currency=INR","Period=FQ","BEST_FPERIOD_OVERRIDE=FQ","FILING_STATUS=OR","EQY_CONSOLIDATED=Y","FA_ADJUSTED=GAAP","Sort=A","Dates=H","DateFormat=P","Fill=—","Direction=H","UseDPDF=Y")</f>
        <v>#NAME?</v>
      </c>
      <c r="CZ24" s="1" t="e">
        <f ca="1">_xll.BDH($C$3,"INVENT_DAYS","FQ1 2018","FQ1 2018","Currency=INR","Period=FQ","BEST_FPERIOD_OVERRIDE=FQ","FILING_STATUS=OR","EQY_CONSOLIDATED=Y","FA_ADJUSTED=GAAP","Sort=A","Dates=H","DateFormat=P","Fill=—","Direction=H","UseDPDF=Y")</f>
        <v>#NAME?</v>
      </c>
      <c r="DA24" s="3" t="e">
        <f ca="1">_xll.BDH($C$3,"ACCOUNTS_PAYABLE_TURNOVER","FQ1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4" s="1" t="e">
        <f ca="1">_xll.BDH($C$3,"ACCOUNTS_PAYABLE_TURNOVER_DAYS","FQ1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4" s="3" t="e">
        <f ca="1">_xll.BDH($C$3,"CASH_CONVERSION_CYCLE","FQ1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4" s="3" t="e">
        <f ca="1">_xll.BDH($C$3,"INV_TO_CASH_DAYS","FQ1 2018","FQ1 2018","Currency=INR","Period=FQ","BEST_FPERIOD_OVERRIDE=FQ","FILING_STATUS=OR","EQY_CONSOLIDATED=Y","FA_ADJUSTED=GAAP","Sort=A","Dates=H","DateFormat=P","Fill=—","Direction=H","UseDPDF=Y")</f>
        <v>#NAME?</v>
      </c>
      <c r="DE24" s="4" t="e">
        <f ca="1">_xll.BDH($C$3,"BS_INVENTORIES","FQ1 2018","FQ1 2018","Currency=INR","Period=FQ","BEST_FPERIOD_OVERRIDE=FQ","FILING_STATUS=OR","EQY_CONSOLIDATED=Y","SCALING_FORMAT=MLN","Sort=A","Dates=H","DateFormat=P","Fill=—","Direction=H","UseDPDF=Y")</f>
        <v>#NAME?</v>
      </c>
      <c r="DF24" s="2" t="e">
        <f ca="1">_xll.BDH($C$3,"INVTRY_RAW_MATERIALS","FQ1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4" s="2" t="e">
        <f ca="1">_xll.BDH($C$3,"INVTRY_IN_PROGRESS","FQ1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4" s="2" t="e">
        <f ca="1">_xll.BDH($C$3,"INVTRY_FINISHED_GOODS","FQ1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4" s="2" t="e">
        <f ca="1">_xll.BDH($C$3,"BS_OTHER_INV","FQ1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5" spans="1:113" x14ac:dyDescent="0.3">
      <c r="A25" s="6"/>
      <c r="B25" s="6"/>
      <c r="C25" s="6"/>
      <c r="D25" s="6"/>
      <c r="E25" t="s">
        <v>5</v>
      </c>
      <c r="F25" t="e">
        <f ca="1">_xll.BDH($C$3,"RETURN_COM_EQY","FQ2 2018","FQ2 2018","Currency=INR","Period=FQ","BEST_FPERIOD_OVERRIDE=FQ","FILING_STATUS=OR","EQY_CONSOLIDATED=Y","FA_ADJUSTED=GAAP","Sort=A","Dates=H","DateFormat=P","Fill=—","Direction=H","UseDPDF=Y")</f>
        <v>#NAME?</v>
      </c>
      <c r="G25" t="e">
        <f ca="1">_xll.BDH($C$3,"RETURN_ON_ASSET","FQ2 2018","FQ2 2018","Currency=INR","Period=FQ","BEST_FPERIOD_OVERRIDE=FQ","FILING_STATUS=OR","EQY_CONSOLIDATED=Y","FA_ADJUSTED=GAAP","Sort=A","Dates=H","DateFormat=P","Fill=—","Direction=H","UseDPDF=Y")</f>
        <v>#NAME?</v>
      </c>
      <c r="H25" t="e">
        <f ca="1">_xll.BDH($C$3,"RETURN_ON_CAP","FQ2 2018","FQ2 2018","Currency=INR","Period=FQ","BEST_FPERIOD_OVERRIDE=FQ","FILING_STATUS=OR","EQY_CONSOLIDATED=Y","FA_ADJUSTED=GAAP","Sort=A","Dates=H","DateFormat=P","Fill=—","Direction=H","UseDPDF=Y")</f>
        <v>#NAME?</v>
      </c>
      <c r="I25" t="e">
        <f ca="1">_xll.BDH($C$3,"RETURN_ON_INV_CAPITAL","FQ2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5" t="e">
        <f ca="1">_xll.BDH($C$3,"EBITDA_TO_REVENUE","FQ2 2018","FQ2 2018","Currency=INR","Period=FQ","BEST_FPERIOD_OVERRIDE=FQ","FILING_STATUS=OR","EQY_CONSOLIDATED=Y","FA_ADJUSTED=GAAP","Sort=A","Dates=H","DateFormat=P","Fill=—","Direction=H","UseDPDF=Y")</f>
        <v>#NAME?</v>
      </c>
      <c r="K25" t="e">
        <f ca="1">_xll.BDH($C$3,"OPER_MARGIN","FQ2 2018","FQ2 2018","Currency=INR","Period=FQ","BEST_FPERIOD_OVERRIDE=FQ","FILING_STATUS=OR","EQY_CONSOLIDATED=Y","FA_ADJUSTED=GAAP","Sort=A","Dates=H","DateFormat=P","Fill=—","Direction=H","UseDPDF=Y")</f>
        <v>#NAME?</v>
      </c>
      <c r="L25" t="e">
        <f ca="1">_xll.BDH($C$3,"INCREMENTAL_OPERATING_MARGIN","FQ2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5" t="e">
        <f ca="1">_xll.BDH($C$3,"PRETAX_INC_TO_NET_SALES","FQ2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5" t="e">
        <f ca="1">_xll.BDH($C$3,"INC_BEF_XO_ITEMS_TO_NET_SALES","FQ2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5" t="e">
        <f ca="1">_xll.BDH($C$3,"PROF_MARGIN","FQ2 2018","FQ2 2018","Currency=INR","Period=FQ","BEST_FPERIOD_OVERRIDE=FQ","FILING_STATUS=OR","EQY_CONSOLIDATED=Y","FA_ADJUSTED=GAAP","Sort=A","Dates=H","DateFormat=P","Fill=—","Direction=H","UseDPDF=Y")</f>
        <v>#NAME?</v>
      </c>
      <c r="P25" t="e">
        <f ca="1">_xll.BDH($C$3,"NET_INCOME_TO_COMMON_MARGIN","FQ2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5" t="e">
        <f ca="1">_xll.BDH($C$3,"EFF_TAX_RATE","FQ2 2018","FQ2 2018","Currency=INR","Period=FQ","BEST_FPERIOD_OVERRIDE=FQ","FILING_STATUS=OR","EQY_CONSOLIDATED=Y","FA_ADJUSTED=GAAP","Sort=A","Dates=H","DateFormat=P","Fill=—","Direction=H","UseDPDF=Y")</f>
        <v>#NAME?</v>
      </c>
      <c r="R25" t="e">
        <f ca="1">_xll.BDH($C$3,"DVD_PAYOUT_RATIO","FQ2 2018","FQ2 2018","Currency=INR","Period=FQ","BEST_FPERIOD_OVERRIDE=FQ","FILING_STATUS=OR","EQY_CONSOLIDATED=Y","FA_ADJUSTED=GAAP","Sort=A","Dates=H","DateFormat=P","Fill=—","Direction=H","UseDPDF=Y")</f>
        <v>#NAME?</v>
      </c>
      <c r="S25" t="e">
        <f ca="1">_xll.BDH($C$3,"SUSTAIN_GROWTH_RT","FQ2 2018","FQ2 2018","Currency=INR","Period=FQ","BEST_FPERIOD_OVERRIDE=FQ","FILING_STATUS=OR","EQY_CONSOLIDATED=Y","FA_ADJUSTED=GAAP","Sort=A","Dates=H","DateFormat=P","Fill=—","Direction=H","UseDPDF=Y")</f>
        <v>#NAME?</v>
      </c>
      <c r="T25" s="1" t="e">
        <f ca="1">_xll.BDH($C$3,"SALES_GROWTH","FQ2 2018","FQ2 2018","Currency=INR","Period=FQ","BEST_FPERIOD_OVERRIDE=FQ","FILING_STATUS=OR","EQY_CONSOLIDATED=Y","FA_ADJUSTED=GAAP","Sort=A","Dates=H","DateFormat=P","Fill=—","Direction=H","UseDPDF=Y")</f>
        <v>#NAME?</v>
      </c>
      <c r="U25" s="1" t="e">
        <f ca="1">_xll.BDH($C$3,"EBITDA_GROWTH","FQ2 2018","FQ2 2018","Currency=INR","Period=FQ","BEST_FPERIOD_OVERRIDE=FQ","FILING_STATUS=OR","EQY_CONSOLIDATED=Y","FA_ADJUSTED=GAAP","Sort=A","Dates=H","DateFormat=P","Fill=—","Direction=H","UseDPDF=Y")</f>
        <v>#NAME?</v>
      </c>
      <c r="V25" s="1" t="e">
        <f ca="1">_xll.BDH($C$3,"OPER_INC_GROWTH","FQ2 2018","FQ2 2018","Currency=INR","Period=FQ","BEST_FPERIOD_OVERRIDE=FQ","FILING_STATUS=OR","EQY_CONSOLIDATED=Y","FA_ADJUSTED=GAAP","Sort=A","Dates=H","DateFormat=P","Fill=—","Direction=H","UseDPDF=Y")</f>
        <v>#NAME?</v>
      </c>
      <c r="W25" s="1" t="e">
        <f ca="1">_xll.BDH($C$3,"EARN_FOR_COM_GROWTH","FQ2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5" s="1" t="e">
        <f ca="1">_xll.BDH($C$3,"DILUTED_EPS_AFT_XO_ITEMS_GROWTH","FQ2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5" s="1" t="e">
        <f ca="1">_xll.BDH($C$3,"DIVIDEND_PER_SHARE_1_YEAR_GROWTH","FQ2 2018","FQ2 2018","Currency=INR","Period=FQ","BEST_FPERIOD_OVERRIDE=FQ","FILING_STATUS=OR","EQY_CONSOLIDATED=Y","Sort=A","Dates=H","DateFormat=P","Fill=—","Direction=H","UseDPDF=Y")</f>
        <v>#NAME?</v>
      </c>
      <c r="Z25" s="1" t="e">
        <f ca="1">_xll.BDH($C$3,"ACCOUNTS_RECEIVABLE_GROWTH","FQ2 2018","FQ2 2018","Currency=INR","Period=FQ","BEST_FPERIOD_OVERRIDE=FQ","FILING_STATUS=OR","EQY_CONSOLIDATED=Y","Sort=A","Dates=H","DateFormat=P","Fill=—","Direction=H","UseDPDF=Y")</f>
        <v>#NAME?</v>
      </c>
      <c r="AA25" s="1" t="e">
        <f ca="1">_xll.BDH($C$3,"INVENTORY_GROWTH","FQ2 2018","FQ2 2018","Currency=INR","Period=FQ","BEST_FPERIOD_OVERRIDE=FQ","FILING_STATUS=OR","EQY_CONSOLIDATED=Y","Sort=A","Dates=H","DateFormat=P","Fill=—","Direction=H","UseDPDF=Y")</f>
        <v>#NAME?</v>
      </c>
      <c r="AB25" s="1" t="e">
        <f ca="1">_xll.BDH($C$3,"NET_FIXED_ASSETS_1_YEAR_GROWTH","FQ2 2018","FQ2 2018","Currency=INR","Period=FQ","BEST_FPERIOD_OVERRIDE=FQ","FILING_STATUS=OR","EQY_CONSOLIDATED=Y","Sort=A","Dates=H","DateFormat=P","Fill=—","Direction=H","UseDPDF=Y")</f>
        <v>#NAME?</v>
      </c>
      <c r="AC25" s="1" t="e">
        <f ca="1">_xll.BDH($C$3,"ASSET_GROWTH","FQ2 2018","FQ2 2018","Currency=INR","Period=FQ","BEST_FPERIOD_OVERRIDE=FQ","FILING_STATUS=OR","EQY_CONSOLIDATED=Y","Sort=A","Dates=H","DateFormat=P","Fill=—","Direction=H","UseDPDF=Y")</f>
        <v>#NAME?</v>
      </c>
      <c r="AD25" s="1" t="e">
        <f ca="1">_xll.BDH($C$3,"MODIFIED_WORK_CAP_GROWTH","FQ2 2018","FQ2 2018","Currency=INR","Period=FQ","BEST_FPERIOD_OVERRIDE=FQ","FILING_STATUS=OR","EQY_CONSOLIDATED=Y","Sort=A","Dates=H","DateFormat=P","Fill=—","Direction=H","UseDPDF=Y")</f>
        <v>#NAME?</v>
      </c>
      <c r="AE25" s="1" t="e">
        <f ca="1">_xll.BDH($C$3,"WORK_CAP_GROWTH","FQ2 2018","FQ2 2018","Currency=INR","Period=FQ","BEST_FPERIOD_OVERRIDE=FQ","FILING_STATUS=OR","EQY_CONSOLIDATED=Y","Sort=A","Dates=H","DateFormat=P","Fill=—","Direction=H","UseDPDF=Y")</f>
        <v>#NAME?</v>
      </c>
      <c r="AF25" s="1" t="e">
        <f ca="1">_xll.BDH($C$3,"ACCOUNTS_PAYABLE_GROWTH_1YR","FQ2 2018","FQ2 2018","Currency=INR","Period=FQ","BEST_FPERIOD_OVERRIDE=FQ","FILING_STATUS=OR","EQY_CONSOLIDATED=Y","Sort=A","Dates=H","DateFormat=P","Fill=—","Direction=H","UseDPDF=Y")</f>
        <v>#NAME?</v>
      </c>
      <c r="AG25" s="1" t="e">
        <f ca="1">_xll.BDH($C$3,"SHORT_TERM_DEBT_1_YEAR_GROWTH","FQ2 2018","FQ2 2018","Currency=INR","Period=FQ","BEST_FPERIOD_OVERRIDE=FQ","FILING_STATUS=OR","EQY_CONSOLIDATED=Y","Sort=A","Dates=H","DateFormat=P","Fill=—","Direction=H","UseDPDF=Y")</f>
        <v>#NAME?</v>
      </c>
      <c r="AH25" s="1" t="e">
        <f ca="1">_xll.BDH($C$3,"TOTAL_DEBT_1_YEAR_GROWTH","FQ2 2018","FQ2 2018","Currency=INR","Period=FQ","BEST_FPERIOD_OVERRIDE=FQ","FILING_STATUS=OR","EQY_CONSOLIDATED=Y","Sort=A","Dates=H","DateFormat=P","Fill=—","Direction=H","UseDPDF=Y")</f>
        <v>#NAME?</v>
      </c>
      <c r="AI25" s="1" t="e">
        <f ca="1">_xll.BDH($C$3,"TOTAL_EQUITY_1_YEAR_GROWTH","FQ2 2018","FQ2 2018","Currency=INR","Period=FQ","BEST_FPERIOD_OVERRIDE=FQ","FILING_STATUS=OR","EQY_CONSOLIDATED=Y","Sort=A","Dates=H","DateFormat=P","Fill=—","Direction=H","UseDPDF=Y")</f>
        <v>#NAME?</v>
      </c>
      <c r="AJ25" s="1" t="e">
        <f ca="1">_xll.BDH($C$3,"GROWTH_IN_CAP","FQ2 2018","FQ2 2018","Currency=INR","Period=FQ","BEST_FPERIOD_OVERRIDE=FQ","FILING_STATUS=OR","EQY_CONSOLIDATED=Y","Sort=A","Dates=H","DateFormat=P","Fill=—","Direction=H","UseDPDF=Y")</f>
        <v>#NAME?</v>
      </c>
      <c r="AK25" s="1" t="e">
        <f ca="1">_xll.BDH($C$3,"BVPS_GROWTH","FQ2 2018","FQ2 2018","Currency=INR","Period=FQ","BEST_FPERIOD_OVERRIDE=FQ","FILING_STATUS=OR","EQY_CONSOLIDATED=Y","Sort=A","Dates=H","DateFormat=P","Fill=—","Direction=H","UseDPDF=Y")</f>
        <v>#NAME?</v>
      </c>
      <c r="AL25" s="1" t="e">
        <f ca="1">_xll.BDH($C$3,"CASH_FLOW_GROWTH","FQ2 2018","FQ2 2018","Currency=INR","Period=FQ","BEST_FPERIOD_OVERRIDE=FQ","FILING_STATUS=OR","EQY_CONSOLIDATED=Y","Sort=A","Dates=H","DateFormat=P","Fill=—","Direction=H","UseDPDF=Y")</f>
        <v>#NAME?</v>
      </c>
      <c r="AM25" s="1" t="e">
        <f ca="1">_xll.BDH($C$3,"GEO_GROW_NET_SALES","FQ2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5" s="1" t="e">
        <f ca="1">_xll.BDH($C$3,"GEO_GROW_EBITDA","FQ2 2018","FQ2 2018","Currency=INR","Period=FQ","BEST_FPERIOD_OVERRIDE=FQ","FILING_STATUS=OR","EQY_CONSOLIDATED=Y","FA_ADJUSTED=GAAP","Sort=A","Dates=H","DateFormat=P","Fill=—","Direction=H","UseDPDF=Y")</f>
        <v>#NAME?</v>
      </c>
      <c r="AO25" s="1" t="e">
        <f ca="1">_xll.BDH($C$3,"GEO_GROW_OPER_INC","FQ2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5" s="1" t="e">
        <f ca="1">_xll.BDH($C$3,"NET_INCOME_TO_COMMON_5_YR_GROWTH","FQ2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5" s="1" t="e">
        <f ca="1">_xll.BDH($C$3,"5Y_GEO_GROWTH_DILUTED_EPS","FQ2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5" s="1" t="e">
        <f ca="1">_xll.BDH($C$3,"GEO_GROW_DVD_PER_SH","FQ2 2018","FQ2 2018","Currency=INR","Period=FQ","BEST_FPERIOD_OVERRIDE=FQ","FILING_STATUS=OR","EQY_CONSOLIDATED=Y","Sort=A","Dates=H","DateFormat=P","Fill=—","Direction=H","UseDPDF=Y")</f>
        <v>#NAME?</v>
      </c>
      <c r="AS25" s="1" t="e">
        <f ca="1">_xll.BDH($C$3,"ACCOUNTS_RECEIVABLE_5_YR_GROWTH","FQ2 2018","FQ2 2018","Currency=INR","Period=FQ","BEST_FPERIOD_OVERRIDE=FQ","FILING_STATUS=OR","EQY_CONSOLIDATED=Y","Sort=A","Dates=H","DateFormat=P","Fill=—","Direction=H","UseDPDF=Y")</f>
        <v>#NAME?</v>
      </c>
      <c r="AT25" s="1" t="e">
        <f ca="1">_xll.BDH($C$3,"INVENTORY_5_YEAR_GROWTH","FQ2 2018","FQ2 2018","Currency=INR","Period=FQ","BEST_FPERIOD_OVERRIDE=FQ","FILING_STATUS=OR","EQY_CONSOLIDATED=Y","Sort=A","Dates=H","DateFormat=P","Fill=—","Direction=H","UseDPDF=Y")</f>
        <v>#NAME?</v>
      </c>
      <c r="AU25" s="1" t="e">
        <f ca="1">_xll.BDH($C$3,"NET_FIXED_ASSETS_5_YEAR_GROWTH","FQ2 2018","FQ2 2018","Currency=INR","Period=FQ","BEST_FPERIOD_OVERRIDE=FQ","FILING_STATUS=OR","EQY_CONSOLIDATED=Y","Sort=A","Dates=H","DateFormat=P","Fill=—","Direction=H","UseDPDF=Y")</f>
        <v>#NAME?</v>
      </c>
      <c r="AV25" s="1" t="e">
        <f ca="1">_xll.BDH($C$3,"GEO_GROW_TOT_ASSET","FQ2 2018","FQ2 2018","Currency=INR","Period=FQ","BEST_FPERIOD_OVERRIDE=FQ","FILING_STATUS=OR","EQY_CONSOLIDATED=Y","Sort=A","Dates=H","DateFormat=P","Fill=—","Direction=H","UseDPDF=Y")</f>
        <v>#NAME?</v>
      </c>
      <c r="AW25" s="1" t="e">
        <f ca="1">_xll.BDH($C$3,"MODIFIED_WORKING_CPTL_5YR_GRWTH","FQ2 2018","FQ2 2018","Currency=INR","Period=FQ","BEST_FPERIOD_OVERRIDE=FQ","FILING_STATUS=OR","EQY_CONSOLIDATED=Y","Sort=A","Dates=H","DateFormat=P","Fill=—","Direction=H","UseDPDF=Y")</f>
        <v>#NAME?</v>
      </c>
      <c r="AX25" s="1" t="e">
        <f ca="1">_xll.BDH($C$3,"WORKING_CAPITAL_5_YEAR_GROWTH","FQ2 2018","FQ2 2018","Currency=INR","Period=FQ","BEST_FPERIOD_OVERRIDE=FQ","FILING_STATUS=OR","EQY_CONSOLIDATED=Y","Sort=A","Dates=H","DateFormat=P","Fill=—","Direction=H","UseDPDF=Y")</f>
        <v>#NAME?</v>
      </c>
      <c r="AY25" s="1" t="e">
        <f ca="1">_xll.BDH($C$3,"ACCOUNTS_PAYABLE_5_YEAR_GROWTH","FQ2 2018","FQ2 2018","Currency=INR","Period=FQ","BEST_FPERIOD_OVERRIDE=FQ","FILING_STATUS=OR","EQY_CONSOLIDATED=Y","Sort=A","Dates=H","DateFormat=P","Fill=—","Direction=H","UseDPDF=Y")</f>
        <v>#NAME?</v>
      </c>
      <c r="AZ25" s="1" t="e">
        <f ca="1">_xll.BDH($C$3,"SHORT_TERM_DEBT_5_YEAR_GROWTH","FQ2 2018","FQ2 2018","Currency=INR","Period=FQ","BEST_FPERIOD_OVERRIDE=FQ","FILING_STATUS=OR","EQY_CONSOLIDATED=Y","Sort=A","Dates=H","DateFormat=P","Fill=—","Direction=H","UseDPDF=Y")</f>
        <v>#NAME?</v>
      </c>
      <c r="BA25" s="1" t="e">
        <f ca="1">_xll.BDH($C$3,"TOTAL_DEBT_5_YEAR_GROWTH","FQ2 2018","FQ2 2018","Currency=INR","Period=FQ","BEST_FPERIOD_OVERRIDE=FQ","FILING_STATUS=OR","EQY_CONSOLIDATED=Y","Sort=A","Dates=H","DateFormat=P","Fill=—","Direction=H","UseDPDF=Y")</f>
        <v>#NAME?</v>
      </c>
      <c r="BB25" s="1" t="e">
        <f ca="1">_xll.BDH($C$3,"GEO_GROW_TOT_SHRHLDR_EQY","FQ2 2018","FQ2 2018","Currency=INR","Period=FQ","BEST_FPERIOD_OVERRIDE=FQ","FILING_STATUS=OR","EQY_CONSOLIDATED=Y","Sort=A","Dates=H","DateFormat=P","Fill=—","Direction=H","UseDPDF=Y")</f>
        <v>#NAME?</v>
      </c>
      <c r="BC25" s="1" t="e">
        <f ca="1">_xll.BDH($C$3,"TOTAL_CAPITAL_5_YEAR_GROWTH","FQ2 2018","FQ2 2018","Currency=INR","Period=FQ","BEST_FPERIOD_OVERRIDE=FQ","FILING_STATUS=OR","EQY_CONSOLIDATED=Y","Sort=A","Dates=H","DateFormat=P","Fill=—","Direction=H","UseDPDF=Y")</f>
        <v>#NAME?</v>
      </c>
      <c r="BD25" s="1" t="e">
        <f ca="1">_xll.BDH($C$3,"GEO_GROW_BOOK_VAL","FQ2 2018","FQ2 2018","Currency=INR","Period=FQ","BEST_FPERIOD_OVERRIDE=FQ","FILING_STATUS=OR","EQY_CONSOLIDATED=Y","Sort=A","Dates=H","DateFormat=P","Fill=—","Direction=H","UseDPDF=Y")</f>
        <v>#NAME?</v>
      </c>
      <c r="BE25" s="1" t="e">
        <f ca="1">_xll.BDH($C$3,"GEO_GROW_CASH_OPER_ACT","FQ2 2018","FQ2 2018","Currency=INR","Period=FQ","BEST_FPERIOD_OVERRIDE=FQ","FILING_STATUS=OR","EQY_CONSOLIDATED=Y","Sort=A","Dates=H","DateFormat=P","Fill=—","Direction=H","UseDPDF=Y")</f>
        <v>#NAME?</v>
      </c>
      <c r="BF25" s="1" t="e">
        <f ca="1">_xll.BDH($C$3,"REVENUE_SEQUENTIAL_GROWTH","FQ2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5" s="1" t="e">
        <f ca="1">_xll.BDH($C$3,"EBITDA_SEQUENTIAL_GROWTH","FQ2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5" s="1" t="e">
        <f ca="1">_xll.BDH($C$3,"OPERATING_INCOME_SEQ_GROWTH","FQ2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5" s="1" t="e">
        <f ca="1">_xll.BDH($C$3,"NET_INCOME_TO_COMMON_SEQ_GROWTH","FQ2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5" s="1" t="e">
        <f ca="1">_xll.BDH($C$3,"EPS_DILUTED_SEQUENTIAL_GROWTH","FQ2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5" s="1" t="e">
        <f ca="1">_xll.BDH($C$3,"DPS_SEQUENTIAL_GROWTH","FQ2 2018","FQ2 2018","Currency=INR","Period=FQ","BEST_FPERIOD_OVERRIDE=FQ","FILING_STATUS=OR","EQY_CONSOLIDATED=Y","Sort=A","Dates=H","DateFormat=P","Fill=—","Direction=H","UseDPDF=Y")</f>
        <v>#NAME?</v>
      </c>
      <c r="BL25" s="1" t="e">
        <f ca="1">_xll.BDH($C$3,"ACCOUNTS_RECEIVABLE_SEQ_GROWTH","FQ2 2018","FQ2 2018","Currency=INR","Period=FQ","BEST_FPERIOD_OVERRIDE=FQ","FILING_STATUS=OR","EQY_CONSOLIDATED=Y","Sort=A","Dates=H","DateFormat=P","Fill=—","Direction=H","UseDPDF=Y")</f>
        <v>#NAME?</v>
      </c>
      <c r="BM25" s="1" t="e">
        <f ca="1">_xll.BDH($C$3,"INVENTORY_SEQUENTIAL_GROWTH","FQ2 2018","FQ2 2018","Currency=INR","Period=FQ","BEST_FPERIOD_OVERRIDE=FQ","FILING_STATUS=OR","EQY_CONSOLIDATED=Y","Sort=A","Dates=H","DateFormat=P","Fill=—","Direction=H","UseDPDF=Y")</f>
        <v>#NAME?</v>
      </c>
      <c r="BN25" s="1" t="e">
        <f ca="1">_xll.BDH($C$3,"FIXED_ASSETS_SEQUENTIAL_GROWTH","FQ2 2018","FQ2 2018","Currency=INR","Period=FQ","BEST_FPERIOD_OVERRIDE=FQ","FILING_STATUS=OR","EQY_CONSOLIDATED=Y","Sort=A","Dates=H","DateFormat=P","Fill=—","Direction=H","UseDPDF=Y")</f>
        <v>#NAME?</v>
      </c>
      <c r="BO25" s="1" t="e">
        <f ca="1">_xll.BDH($C$3,"TOTAL_ASSETS_SEQUENTIAL_GROWTH","FQ2 2018","FQ2 2018","Currency=INR","Period=FQ","BEST_FPERIOD_OVERRIDE=FQ","FILING_STATUS=OR","EQY_CONSOLIDATED=Y","Sort=A","Dates=H","DateFormat=P","Fill=—","Direction=H","UseDPDF=Y")</f>
        <v>#NAME?</v>
      </c>
      <c r="BP25" s="1" t="e">
        <f ca="1">_xll.BDH($C$3,"MODIFIED_WORKING_CPTL_SEQ_GRWTH","FQ2 2018","FQ2 2018","Currency=INR","Period=FQ","BEST_FPERIOD_OVERRIDE=FQ","FILING_STATUS=OR","EQY_CONSOLIDATED=Y","Sort=A","Dates=H","DateFormat=P","Fill=—","Direction=H","UseDPDF=Y")</f>
        <v>#NAME?</v>
      </c>
      <c r="BQ25" s="1" t="e">
        <f ca="1">_xll.BDH($C$3,"WORKING_CAPITAL_SEQ_GROWTH","FQ2 2018","FQ2 2018","Currency=INR","Period=FQ","BEST_FPERIOD_OVERRIDE=FQ","FILING_STATUS=OR","EQY_CONSOLIDATED=Y","Sort=A","Dates=H","DateFormat=P","Fill=—","Direction=H","UseDPDF=Y")</f>
        <v>#NAME?</v>
      </c>
      <c r="BR25" s="1" t="e">
        <f ca="1">_xll.BDH($C$3,"ACCOUNTS_PAYABLE_SEQ_GROWTH","FQ2 2018","FQ2 2018","Currency=INR","Period=FQ","BEST_FPERIOD_OVERRIDE=FQ","FILING_STATUS=OR","EQY_CONSOLIDATED=Y","Sort=A","Dates=H","DateFormat=P","Fill=—","Direction=H","UseDPDF=Y")</f>
        <v>#NAME?</v>
      </c>
      <c r="BS25" s="1" t="e">
        <f ca="1">_xll.BDH($C$3,"ST_DEBT_SEQUENTIAL_GROWTH","FQ2 2018","FQ2 2018","Currency=INR","Period=FQ","BEST_FPERIOD_OVERRIDE=FQ","FILING_STATUS=OR","EQY_CONSOLIDATED=Y","Sort=A","Dates=H","DateFormat=P","Fill=—","Direction=H","UseDPDF=Y")</f>
        <v>#NAME?</v>
      </c>
      <c r="BT25" s="1" t="e">
        <f ca="1">_xll.BDH($C$3,"TOTAL_DEBT_SEQUENTIAL_GROWTH","FQ2 2018","FQ2 2018","Currency=INR","Period=FQ","BEST_FPERIOD_OVERRIDE=FQ","FILING_STATUS=OR","EQY_CONSOLIDATED=Y","Sort=A","Dates=H","DateFormat=P","Fill=—","Direction=H","UseDPDF=Y")</f>
        <v>#NAME?</v>
      </c>
      <c r="BU25" s="1" t="e">
        <f ca="1">_xll.BDH($C$3,"TOTAL_EQUITY_SEQUENTIAL_GROWTH","FQ2 2018","FQ2 2018","Currency=INR","Period=FQ","BEST_FPERIOD_OVERRIDE=FQ","FILING_STATUS=OR","EQY_CONSOLIDATED=Y","Sort=A","Dates=H","DateFormat=P","Fill=—","Direction=H","UseDPDF=Y")</f>
        <v>#NAME?</v>
      </c>
      <c r="BV25" s="1" t="e">
        <f ca="1">_xll.BDH($C$3,"TOTAL_CAPITAL_SEQUENTIAL_GROWTH","FQ2 2018","FQ2 2018","Currency=INR","Period=FQ","BEST_FPERIOD_OVERRIDE=FQ","FILING_STATUS=OR","EQY_CONSOLIDATED=Y","Sort=A","Dates=H","DateFormat=P","Fill=—","Direction=H","UseDPDF=Y")</f>
        <v>#NAME?</v>
      </c>
      <c r="BW25" s="1" t="e">
        <f ca="1">_xll.BDH($C$3,"BPS_SEQUENTIAL_GROWTH","FQ2 2018","FQ2 2018","Currency=INR","Period=FQ","BEST_FPERIOD_OVERRIDE=FQ","FILING_STATUS=OR","EQY_CONSOLIDATED=Y","Sort=A","Dates=H","DateFormat=P","Fill=—","Direction=H","UseDPDF=Y")</f>
        <v>#NAME?</v>
      </c>
      <c r="BX25" s="1" t="e">
        <f ca="1">_xll.BDH($C$3,"CFO_SEQUENTIAL_GROWTH","FQ2 2018","FQ2 2018","Currency=INR","Period=FQ","BEST_FPERIOD_OVERRIDE=FQ","FILING_STATUS=OR","EQY_CONSOLIDATED=Y","Sort=A","Dates=H","DateFormat=P","Fill=—","Direction=H","UseDPDF=Y")</f>
        <v>#NAME?</v>
      </c>
      <c r="BY25" s="2" t="e">
        <f ca="1">_xll.BDH($C$3,"SHORT_AND_LONG_TERM_DEBT","FQ2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5" s="2" t="e">
        <f ca="1">_xll.BDH($C$3,"BS_ST_BORROW","FQ2 2018","FQ2 2018","Currency=INR","Period=FQ","BEST_FPERIOD_OVERRIDE=FQ","FILING_STATUS=OR","EQY_CONSOLIDATED=Y","SCALING_FORMAT=MLN","Sort=A","Dates=H","DateFormat=P","Fill=—","Direction=H","UseDPDF=Y")</f>
        <v>#NAME?</v>
      </c>
      <c r="CA25" s="2" t="e">
        <f ca="1">_xll.BDH($C$3,"BS_LT_BORROW","FQ2 2018","FQ2 2018","Currency=INR","Period=FQ","BEST_FPERIOD_OVERRIDE=FQ","FILING_STATUS=OR","EQY_CONSOLIDATED=Y","SCALING_FORMAT=MLN","Sort=A","Dates=H","DateFormat=P","Fill=—","Direction=H","UseDPDF=Y")</f>
        <v>#NAME?</v>
      </c>
      <c r="CB25" s="1" t="e">
        <f ca="1">_xll.BDH($C$3,"TOT_DEBT_TO_EBITDA","FQ2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5" s="1" t="e">
        <f ca="1">_xll.BDH($C$3,"NET_DEBT_TO_EBITDA","FQ2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5" s="1" t="e">
        <f ca="1">_xll.BDH($C$3,"TOTAL_DEBT_TO_EBIT","FQ2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5" s="1" t="e">
        <f ca="1">_xll.BDH($C$3,"NET_DEBT_TO_EBIT","FQ2 2018","FQ2 2018","Currency=INR","Period=FQ","BEST_FPERIOD_OVERRIDE=FQ","FILING_STATUS=OR","EQY_CONSOLIDATED=Y","FA_ADJUSTED=GAAP","Sort=A","Dates=H","DateFormat=P","Fill=—","Direction=H","UseDPDF=Y")</f>
        <v>#NAME?</v>
      </c>
      <c r="CF25" s="1" t="e">
        <f ca="1">_xll.BDH($C$3,"EBITDA_TO_INTEREST_EXPN","FQ2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5" s="1" t="e">
        <f ca="1">_xll.BDH($C$3,"COM_EQY_TO_TOT_ASSET","FQ2 2018","FQ2 2018","Currency=INR","Period=FQ","BEST_FPERIOD_OVERRIDE=FQ","FILING_STATUS=OR","EQY_CONSOLIDATED=Y","Sort=A","Dates=H","DateFormat=P","Fill=—","Direction=H","UseDPDF=Y")</f>
        <v>#NAME?</v>
      </c>
      <c r="CH25" s="1" t="e">
        <f ca="1">_xll.BDH($C$3,"LT_DEBT_TO_TOT_EQY","FQ2 2018","FQ2 2018","Currency=INR","Period=FQ","BEST_FPERIOD_OVERRIDE=FQ","FILING_STATUS=OR","EQY_CONSOLIDATED=Y","Sort=A","Dates=H","DateFormat=P","Fill=—","Direction=H","UseDPDF=Y")</f>
        <v>#NAME?</v>
      </c>
      <c r="CI25" s="1" t="e">
        <f ca="1">_xll.BDH($C$3,"LT_DEBT_TO_TOT_CAP","FQ2 2018","FQ2 2018","Currency=INR","Period=FQ","BEST_FPERIOD_OVERRIDE=FQ","FILING_STATUS=OR","EQY_CONSOLIDATED=Y","Sort=A","Dates=H","DateFormat=P","Fill=—","Direction=H","UseDPDF=Y")</f>
        <v>#NAME?</v>
      </c>
      <c r="CJ25" s="1" t="e">
        <f ca="1">_xll.BDH($C$3,"LT_DEBT_TO_TOT_ASSET","FQ2 2018","FQ2 2018","Currency=INR","Period=FQ","BEST_FPERIOD_OVERRIDE=FQ","FILING_STATUS=OR","EQY_CONSOLIDATED=Y","Sort=A","Dates=H","DateFormat=P","Fill=—","Direction=H","UseDPDF=Y")</f>
        <v>#NAME?</v>
      </c>
      <c r="CK25" s="1" t="e">
        <f ca="1">_xll.BDH($C$3,"TOT_DEBT_TO_TOT_EQY","FQ2 2018","FQ2 2018","Currency=INR","Period=FQ","BEST_FPERIOD_OVERRIDE=FQ","FILING_STATUS=OR","EQY_CONSOLIDATED=Y","Sort=A","Dates=H","DateFormat=P","Fill=—","Direction=H","UseDPDF=Y")</f>
        <v>#NAME?</v>
      </c>
      <c r="CL25" s="1" t="e">
        <f ca="1">_xll.BDH($C$3,"TOT_DEBT_TO_TOT_CAP","FQ2 2018","FQ2 2018","Currency=INR","Period=FQ","BEST_FPERIOD_OVERRIDE=FQ","FILING_STATUS=OR","EQY_CONSOLIDATED=Y","Sort=A","Dates=H","DateFormat=P","Fill=—","Direction=H","UseDPDF=Y")</f>
        <v>#NAME?</v>
      </c>
      <c r="CM25" s="1" t="e">
        <f ca="1">_xll.BDH($C$3,"TOT_DEBT_TO_TOT_ASSET","FQ2 2018","FQ2 2018","Currency=INR","Period=FQ","BEST_FPERIOD_OVERRIDE=FQ","FILING_STATUS=OR","EQY_CONSOLIDATED=Y","Sort=A","Dates=H","DateFormat=P","Fill=—","Direction=H","UseDPDF=Y")</f>
        <v>#NAME?</v>
      </c>
      <c r="CN25" s="1" t="e">
        <f ca="1">_xll.BDH($C$3,"NET_DEBT_TO_SHRHLDR_EQTY","FQ2 2018","FQ2 2018","Currency=INR","Period=FQ","BEST_FPERIOD_OVERRIDE=FQ","FILING_STATUS=OR","EQY_CONSOLIDATED=Y","Sort=A","Dates=H","DateFormat=P","Fill=—","Direction=H","UseDPDF=Y")</f>
        <v>#NAME?</v>
      </c>
      <c r="CO25" s="1" t="e">
        <f ca="1">_xll.BDH($C$3,"NET_DEBT_%_CAPITAL","FQ2 2018","FQ2 2018","Currency=INR","Period=FQ","BEST_FPERIOD_OVERRIDE=FQ","FILING_STATUS=OR","EQY_CONSOLIDATED=Y","Sort=A","Dates=H","DateFormat=P","Fill=—","Direction=H","UseDPDF=Y")</f>
        <v>#NAME?</v>
      </c>
      <c r="CP25" s="2" t="e">
        <f ca="1">_xll.BDH($C$3,"EBITDA","FQ2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5" s="2" t="e">
        <f ca="1">_xll.BDH($C$3,"EBITDA_AFTER_CAPEX","FQ2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5" s="2" t="e">
        <f ca="1">_xll.BDH($C$3,"IS_OPER_INC","FQ2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5" s="1" t="e">
        <f ca="1">_xll.BDH($C$3,"CASH_RATIO","FQ2 2018","FQ2 2018","Currency=INR","Period=FQ","BEST_FPERIOD_OVERRIDE=FQ","FILING_STATUS=OR","EQY_CONSOLIDATED=Y","Sort=A","Dates=H","DateFormat=P","Fill=—","Direction=H","UseDPDF=Y")</f>
        <v>#NAME?</v>
      </c>
      <c r="CT25" s="1" t="e">
        <f ca="1">_xll.BDH($C$3,"CUR_RATIO","FQ2 2018","FQ2 2018","Currency=INR","Period=FQ","BEST_FPERIOD_OVERRIDE=FQ","FILING_STATUS=OR","EQY_CONSOLIDATED=Y","Sort=A","Dates=H","DateFormat=P","Fill=—","Direction=H","UseDPDF=Y")</f>
        <v>#NAME?</v>
      </c>
      <c r="CU25" s="1" t="e">
        <f ca="1">_xll.BDH($C$3,"QUICK_RATIO","FQ2 2018","FQ2 2018","Currency=INR","Period=FQ","BEST_FPERIOD_OVERRIDE=FQ","FILING_STATUS=OR","EQY_CONSOLIDATED=Y","Sort=A","Dates=H","DateFormat=P","Fill=—","Direction=H","UseDPDF=Y")</f>
        <v>#NAME?</v>
      </c>
      <c r="CV25" s="1" t="e">
        <f ca="1">_xll.BDH($C$3,"ALTMAN_Z_SCORE","FQ2 2018","FQ2 2018","Currency=INR","Period=FQ","BEST_FPERIOD_OVERRIDE=FQ","FILING_STATUS=OR","EQY_CONSOLIDATED=Y","Sort=A","Dates=H","DateFormat=P","Fill=—","Direction=H","UseDPDF=Y")</f>
        <v>#NAME?</v>
      </c>
      <c r="CW25" s="3" t="e">
        <f ca="1">_xll.BDH($C$3,"ACCT_RCV_TURN","FQ2 2018","FQ2 2018","Currency=INR","Period=FQ","BEST_FPERIOD_OVERRIDE=FQ","FILING_STATUS=OR","EQY_CONSOLIDATED=Y","FA_ADJUSTED=GAAP","Sort=A","Dates=H","DateFormat=P","Fill=—","Direction=H","UseDPDF=Y")</f>
        <v>#NAME?</v>
      </c>
      <c r="CX25" s="1" t="e">
        <f ca="1">_xll.BDH($C$3,"ACCT_RCV_DAYS","FQ2 2018","FQ2 2018","Currency=INR","Period=FQ","BEST_FPERIOD_OVERRIDE=FQ","FILING_STATUS=OR","EQY_CONSOLIDATED=Y","FA_ADJUSTED=GAAP","Sort=A","Dates=H","DateFormat=P","Fill=—","Direction=H","UseDPDF=Y")</f>
        <v>#NAME?</v>
      </c>
      <c r="CY25" s="3" t="e">
        <f ca="1">_xll.BDH($C$3,"INVENT_TURN","FQ2 2018","FQ2 2018","Currency=INR","Period=FQ","BEST_FPERIOD_OVERRIDE=FQ","FILING_STATUS=OR","EQY_CONSOLIDATED=Y","FA_ADJUSTED=GAAP","Sort=A","Dates=H","DateFormat=P","Fill=—","Direction=H","UseDPDF=Y")</f>
        <v>#NAME?</v>
      </c>
      <c r="CZ25" s="1" t="e">
        <f ca="1">_xll.BDH($C$3,"INVENT_DAYS","FQ2 2018","FQ2 2018","Currency=INR","Period=FQ","BEST_FPERIOD_OVERRIDE=FQ","FILING_STATUS=OR","EQY_CONSOLIDATED=Y","FA_ADJUSTED=GAAP","Sort=A","Dates=H","DateFormat=P","Fill=—","Direction=H","UseDPDF=Y")</f>
        <v>#NAME?</v>
      </c>
      <c r="DA25" s="3" t="e">
        <f ca="1">_xll.BDH($C$3,"ACCOUNTS_PAYABLE_TURNOVER","FQ2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5" s="1" t="e">
        <f ca="1">_xll.BDH($C$3,"ACCOUNTS_PAYABLE_TURNOVER_DAYS","FQ2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5" s="3" t="e">
        <f ca="1">_xll.BDH($C$3,"CASH_CONVERSION_CYCLE","FQ2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5" s="3" t="e">
        <f ca="1">_xll.BDH($C$3,"INV_TO_CASH_DAYS","FQ2 2018","FQ2 2018","Currency=INR","Period=FQ","BEST_FPERIOD_OVERRIDE=FQ","FILING_STATUS=OR","EQY_CONSOLIDATED=Y","FA_ADJUSTED=GAAP","Sort=A","Dates=H","DateFormat=P","Fill=—","Direction=H","UseDPDF=Y")</f>
        <v>#NAME?</v>
      </c>
      <c r="DE25" s="4" t="e">
        <f ca="1">_xll.BDH($C$3,"BS_INVENTORIES","FQ2 2018","FQ2 2018","Currency=INR","Period=FQ","BEST_FPERIOD_OVERRIDE=FQ","FILING_STATUS=OR","EQY_CONSOLIDATED=Y","SCALING_FORMAT=MLN","Sort=A","Dates=H","DateFormat=P","Fill=—","Direction=H","UseDPDF=Y")</f>
        <v>#NAME?</v>
      </c>
      <c r="DF25" s="2" t="e">
        <f ca="1">_xll.BDH($C$3,"INVTRY_RAW_MATERIALS","FQ2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5" s="2" t="e">
        <f ca="1">_xll.BDH($C$3,"INVTRY_IN_PROGRESS","FQ2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5" s="2" t="e">
        <f ca="1">_xll.BDH($C$3,"INVTRY_FINISHED_GOODS","FQ2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5" s="2" t="e">
        <f ca="1">_xll.BDH($C$3,"BS_OTHER_INV","FQ2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6" spans="1:113" x14ac:dyDescent="0.3">
      <c r="A26" s="6"/>
      <c r="B26" s="6"/>
      <c r="C26" s="6"/>
      <c r="D26" s="6"/>
      <c r="E26" t="s">
        <v>6</v>
      </c>
      <c r="F26" t="e">
        <f ca="1">_xll.BDH($C$3,"RETURN_COM_EQY","FQ3 2018","FQ3 2018","Currency=INR","Period=FQ","BEST_FPERIOD_OVERRIDE=FQ","FILING_STATUS=OR","EQY_CONSOLIDATED=Y","FA_ADJUSTED=GAAP","Sort=A","Dates=H","DateFormat=P","Fill=—","Direction=H","UseDPDF=Y")</f>
        <v>#NAME?</v>
      </c>
      <c r="G26" t="e">
        <f ca="1">_xll.BDH($C$3,"RETURN_ON_ASSET","FQ3 2018","FQ3 2018","Currency=INR","Period=FQ","BEST_FPERIOD_OVERRIDE=FQ","FILING_STATUS=OR","EQY_CONSOLIDATED=Y","FA_ADJUSTED=GAAP","Sort=A","Dates=H","DateFormat=P","Fill=—","Direction=H","UseDPDF=Y")</f>
        <v>#NAME?</v>
      </c>
      <c r="H26" t="e">
        <f ca="1">_xll.BDH($C$3,"RETURN_ON_CAP","FQ3 2018","FQ3 2018","Currency=INR","Period=FQ","BEST_FPERIOD_OVERRIDE=FQ","FILING_STATUS=OR","EQY_CONSOLIDATED=Y","FA_ADJUSTED=GAAP","Sort=A","Dates=H","DateFormat=P","Fill=—","Direction=H","UseDPDF=Y")</f>
        <v>#NAME?</v>
      </c>
      <c r="I26" t="e">
        <f ca="1">_xll.BDH($C$3,"RETURN_ON_INV_CAPITAL","FQ3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6" t="e">
        <f ca="1">_xll.BDH($C$3,"EBITDA_TO_REVENUE","FQ3 2018","FQ3 2018","Currency=INR","Period=FQ","BEST_FPERIOD_OVERRIDE=FQ","FILING_STATUS=OR","EQY_CONSOLIDATED=Y","FA_ADJUSTED=GAAP","Sort=A","Dates=H","DateFormat=P","Fill=—","Direction=H","UseDPDF=Y")</f>
        <v>#NAME?</v>
      </c>
      <c r="K26" t="e">
        <f ca="1">_xll.BDH($C$3,"OPER_MARGIN","FQ3 2018","FQ3 2018","Currency=INR","Period=FQ","BEST_FPERIOD_OVERRIDE=FQ","FILING_STATUS=OR","EQY_CONSOLIDATED=Y","FA_ADJUSTED=GAAP","Sort=A","Dates=H","DateFormat=P","Fill=—","Direction=H","UseDPDF=Y")</f>
        <v>#NAME?</v>
      </c>
      <c r="L26" t="e">
        <f ca="1">_xll.BDH($C$3,"INCREMENTAL_OPERATING_MARGIN","FQ3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6" t="e">
        <f ca="1">_xll.BDH($C$3,"PRETAX_INC_TO_NET_SALES","FQ3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6" t="e">
        <f ca="1">_xll.BDH($C$3,"INC_BEF_XO_ITEMS_TO_NET_SALES","FQ3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6" t="e">
        <f ca="1">_xll.BDH($C$3,"PROF_MARGIN","FQ3 2018","FQ3 2018","Currency=INR","Period=FQ","BEST_FPERIOD_OVERRIDE=FQ","FILING_STATUS=OR","EQY_CONSOLIDATED=Y","FA_ADJUSTED=GAAP","Sort=A","Dates=H","DateFormat=P","Fill=—","Direction=H","UseDPDF=Y")</f>
        <v>#NAME?</v>
      </c>
      <c r="P26" t="e">
        <f ca="1">_xll.BDH($C$3,"NET_INCOME_TO_COMMON_MARGIN","FQ3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6" t="e">
        <f ca="1">_xll.BDH($C$3,"EFF_TAX_RATE","FQ3 2018","FQ3 2018","Currency=INR","Period=FQ","BEST_FPERIOD_OVERRIDE=FQ","FILING_STATUS=OR","EQY_CONSOLIDATED=Y","FA_ADJUSTED=GAAP","Sort=A","Dates=H","DateFormat=P","Fill=—","Direction=H","UseDPDF=Y")</f>
        <v>#NAME?</v>
      </c>
      <c r="R26" t="e">
        <f ca="1">_xll.BDH($C$3,"DVD_PAYOUT_RATIO","FQ3 2018","FQ3 2018","Currency=INR","Period=FQ","BEST_FPERIOD_OVERRIDE=FQ","FILING_STATUS=OR","EQY_CONSOLIDATED=Y","FA_ADJUSTED=GAAP","Sort=A","Dates=H","DateFormat=P","Fill=—","Direction=H","UseDPDF=Y")</f>
        <v>#NAME?</v>
      </c>
      <c r="S26" t="e">
        <f ca="1">_xll.BDH($C$3,"SUSTAIN_GROWTH_RT","FQ3 2018","FQ3 2018","Currency=INR","Period=FQ","BEST_FPERIOD_OVERRIDE=FQ","FILING_STATUS=OR","EQY_CONSOLIDATED=Y","FA_ADJUSTED=GAAP","Sort=A","Dates=H","DateFormat=P","Fill=—","Direction=H","UseDPDF=Y")</f>
        <v>#NAME?</v>
      </c>
      <c r="T26" s="1" t="e">
        <f ca="1">_xll.BDH($C$3,"SALES_GROWTH","FQ3 2018","FQ3 2018","Currency=INR","Period=FQ","BEST_FPERIOD_OVERRIDE=FQ","FILING_STATUS=OR","EQY_CONSOLIDATED=Y","FA_ADJUSTED=GAAP","Sort=A","Dates=H","DateFormat=P","Fill=—","Direction=H","UseDPDF=Y")</f>
        <v>#NAME?</v>
      </c>
      <c r="U26" s="1" t="e">
        <f ca="1">_xll.BDH($C$3,"EBITDA_GROWTH","FQ3 2018","FQ3 2018","Currency=INR","Period=FQ","BEST_FPERIOD_OVERRIDE=FQ","FILING_STATUS=OR","EQY_CONSOLIDATED=Y","FA_ADJUSTED=GAAP","Sort=A","Dates=H","DateFormat=P","Fill=—","Direction=H","UseDPDF=Y")</f>
        <v>#NAME?</v>
      </c>
      <c r="V26" s="1" t="e">
        <f ca="1">_xll.BDH($C$3,"OPER_INC_GROWTH","FQ3 2018","FQ3 2018","Currency=INR","Period=FQ","BEST_FPERIOD_OVERRIDE=FQ","FILING_STATUS=OR","EQY_CONSOLIDATED=Y","FA_ADJUSTED=GAAP","Sort=A","Dates=H","DateFormat=P","Fill=—","Direction=H","UseDPDF=Y")</f>
        <v>#NAME?</v>
      </c>
      <c r="W26" s="1" t="e">
        <f ca="1">_xll.BDH($C$3,"EARN_FOR_COM_GROWTH","FQ3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6" s="1" t="e">
        <f ca="1">_xll.BDH($C$3,"DILUTED_EPS_AFT_XO_ITEMS_GROWTH","FQ3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6" s="1" t="e">
        <f ca="1">_xll.BDH($C$3,"DIVIDEND_PER_SHARE_1_YEAR_GROWTH","FQ3 2018","FQ3 2018","Currency=INR","Period=FQ","BEST_FPERIOD_OVERRIDE=FQ","FILING_STATUS=OR","EQY_CONSOLIDATED=Y","Sort=A","Dates=H","DateFormat=P","Fill=—","Direction=H","UseDPDF=Y")</f>
        <v>#NAME?</v>
      </c>
      <c r="Z26" s="1" t="e">
        <f ca="1">_xll.BDH($C$3,"ACCOUNTS_RECEIVABLE_GROWTH","FQ3 2018","FQ3 2018","Currency=INR","Period=FQ","BEST_FPERIOD_OVERRIDE=FQ","FILING_STATUS=OR","EQY_CONSOLIDATED=Y","Sort=A","Dates=H","DateFormat=P","Fill=—","Direction=H","UseDPDF=Y")</f>
        <v>#NAME?</v>
      </c>
      <c r="AA26" s="1" t="e">
        <f ca="1">_xll.BDH($C$3,"INVENTORY_GROWTH","FQ3 2018","FQ3 2018","Currency=INR","Period=FQ","BEST_FPERIOD_OVERRIDE=FQ","FILING_STATUS=OR","EQY_CONSOLIDATED=Y","Sort=A","Dates=H","DateFormat=P","Fill=—","Direction=H","UseDPDF=Y")</f>
        <v>#NAME?</v>
      </c>
      <c r="AB26" s="1" t="e">
        <f ca="1">_xll.BDH($C$3,"NET_FIXED_ASSETS_1_YEAR_GROWTH","FQ3 2018","FQ3 2018","Currency=INR","Period=FQ","BEST_FPERIOD_OVERRIDE=FQ","FILING_STATUS=OR","EQY_CONSOLIDATED=Y","Sort=A","Dates=H","DateFormat=P","Fill=—","Direction=H","UseDPDF=Y")</f>
        <v>#NAME?</v>
      </c>
      <c r="AC26" s="1" t="e">
        <f ca="1">_xll.BDH($C$3,"ASSET_GROWTH","FQ3 2018","FQ3 2018","Currency=INR","Period=FQ","BEST_FPERIOD_OVERRIDE=FQ","FILING_STATUS=OR","EQY_CONSOLIDATED=Y","Sort=A","Dates=H","DateFormat=P","Fill=—","Direction=H","UseDPDF=Y")</f>
        <v>#NAME?</v>
      </c>
      <c r="AD26" s="1" t="e">
        <f ca="1">_xll.BDH($C$3,"MODIFIED_WORK_CAP_GROWTH","FQ3 2018","FQ3 2018","Currency=INR","Period=FQ","BEST_FPERIOD_OVERRIDE=FQ","FILING_STATUS=OR","EQY_CONSOLIDATED=Y","Sort=A","Dates=H","DateFormat=P","Fill=—","Direction=H","UseDPDF=Y")</f>
        <v>#NAME?</v>
      </c>
      <c r="AE26" s="1" t="e">
        <f ca="1">_xll.BDH($C$3,"WORK_CAP_GROWTH","FQ3 2018","FQ3 2018","Currency=INR","Period=FQ","BEST_FPERIOD_OVERRIDE=FQ","FILING_STATUS=OR","EQY_CONSOLIDATED=Y","Sort=A","Dates=H","DateFormat=P","Fill=—","Direction=H","UseDPDF=Y")</f>
        <v>#NAME?</v>
      </c>
      <c r="AF26" s="1" t="e">
        <f ca="1">_xll.BDH($C$3,"ACCOUNTS_PAYABLE_GROWTH_1YR","FQ3 2018","FQ3 2018","Currency=INR","Period=FQ","BEST_FPERIOD_OVERRIDE=FQ","FILING_STATUS=OR","EQY_CONSOLIDATED=Y","Sort=A","Dates=H","DateFormat=P","Fill=—","Direction=H","UseDPDF=Y")</f>
        <v>#NAME?</v>
      </c>
      <c r="AG26" s="1" t="e">
        <f ca="1">_xll.BDH($C$3,"SHORT_TERM_DEBT_1_YEAR_GROWTH","FQ3 2018","FQ3 2018","Currency=INR","Period=FQ","BEST_FPERIOD_OVERRIDE=FQ","FILING_STATUS=OR","EQY_CONSOLIDATED=Y","Sort=A","Dates=H","DateFormat=P","Fill=—","Direction=H","UseDPDF=Y")</f>
        <v>#NAME?</v>
      </c>
      <c r="AH26" s="1" t="e">
        <f ca="1">_xll.BDH($C$3,"TOTAL_DEBT_1_YEAR_GROWTH","FQ3 2018","FQ3 2018","Currency=INR","Period=FQ","BEST_FPERIOD_OVERRIDE=FQ","FILING_STATUS=OR","EQY_CONSOLIDATED=Y","Sort=A","Dates=H","DateFormat=P","Fill=—","Direction=H","UseDPDF=Y")</f>
        <v>#NAME?</v>
      </c>
      <c r="AI26" s="1" t="e">
        <f ca="1">_xll.BDH($C$3,"TOTAL_EQUITY_1_YEAR_GROWTH","FQ3 2018","FQ3 2018","Currency=INR","Period=FQ","BEST_FPERIOD_OVERRIDE=FQ","FILING_STATUS=OR","EQY_CONSOLIDATED=Y","Sort=A","Dates=H","DateFormat=P","Fill=—","Direction=H","UseDPDF=Y")</f>
        <v>#NAME?</v>
      </c>
      <c r="AJ26" s="1" t="e">
        <f ca="1">_xll.BDH($C$3,"GROWTH_IN_CAP","FQ3 2018","FQ3 2018","Currency=INR","Period=FQ","BEST_FPERIOD_OVERRIDE=FQ","FILING_STATUS=OR","EQY_CONSOLIDATED=Y","Sort=A","Dates=H","DateFormat=P","Fill=—","Direction=H","UseDPDF=Y")</f>
        <v>#NAME?</v>
      </c>
      <c r="AK26" s="1" t="e">
        <f ca="1">_xll.BDH($C$3,"BVPS_GROWTH","FQ3 2018","FQ3 2018","Currency=INR","Period=FQ","BEST_FPERIOD_OVERRIDE=FQ","FILING_STATUS=OR","EQY_CONSOLIDATED=Y","Sort=A","Dates=H","DateFormat=P","Fill=—","Direction=H","UseDPDF=Y")</f>
        <v>#NAME?</v>
      </c>
      <c r="AL26" s="1" t="e">
        <f ca="1">_xll.BDH($C$3,"CASH_FLOW_GROWTH","FQ3 2018","FQ3 2018","Currency=INR","Period=FQ","BEST_FPERIOD_OVERRIDE=FQ","FILING_STATUS=OR","EQY_CONSOLIDATED=Y","Sort=A","Dates=H","DateFormat=P","Fill=—","Direction=H","UseDPDF=Y")</f>
        <v>#NAME?</v>
      </c>
      <c r="AM26" s="1" t="e">
        <f ca="1">_xll.BDH($C$3,"GEO_GROW_NET_SALES","FQ3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6" s="1" t="e">
        <f ca="1">_xll.BDH($C$3,"GEO_GROW_EBITDA","FQ3 2018","FQ3 2018","Currency=INR","Period=FQ","BEST_FPERIOD_OVERRIDE=FQ","FILING_STATUS=OR","EQY_CONSOLIDATED=Y","FA_ADJUSTED=GAAP","Sort=A","Dates=H","DateFormat=P","Fill=—","Direction=H","UseDPDF=Y")</f>
        <v>#NAME?</v>
      </c>
      <c r="AO26" s="1" t="e">
        <f ca="1">_xll.BDH($C$3,"GEO_GROW_OPER_INC","FQ3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6" s="1" t="e">
        <f ca="1">_xll.BDH($C$3,"NET_INCOME_TO_COMMON_5_YR_GROWTH","FQ3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6" s="1" t="e">
        <f ca="1">_xll.BDH($C$3,"5Y_GEO_GROWTH_DILUTED_EPS","FQ3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6" s="1" t="e">
        <f ca="1">_xll.BDH($C$3,"GEO_GROW_DVD_PER_SH","FQ3 2018","FQ3 2018","Currency=INR","Period=FQ","BEST_FPERIOD_OVERRIDE=FQ","FILING_STATUS=OR","EQY_CONSOLIDATED=Y","Sort=A","Dates=H","DateFormat=P","Fill=—","Direction=H","UseDPDF=Y")</f>
        <v>#NAME?</v>
      </c>
      <c r="AS26" s="1" t="e">
        <f ca="1">_xll.BDH($C$3,"ACCOUNTS_RECEIVABLE_5_YR_GROWTH","FQ3 2018","FQ3 2018","Currency=INR","Period=FQ","BEST_FPERIOD_OVERRIDE=FQ","FILING_STATUS=OR","EQY_CONSOLIDATED=Y","Sort=A","Dates=H","DateFormat=P","Fill=—","Direction=H","UseDPDF=Y")</f>
        <v>#NAME?</v>
      </c>
      <c r="AT26" s="1" t="e">
        <f ca="1">_xll.BDH($C$3,"INVENTORY_5_YEAR_GROWTH","FQ3 2018","FQ3 2018","Currency=INR","Period=FQ","BEST_FPERIOD_OVERRIDE=FQ","FILING_STATUS=OR","EQY_CONSOLIDATED=Y","Sort=A","Dates=H","DateFormat=P","Fill=—","Direction=H","UseDPDF=Y")</f>
        <v>#NAME?</v>
      </c>
      <c r="AU26" s="1" t="e">
        <f ca="1">_xll.BDH($C$3,"NET_FIXED_ASSETS_5_YEAR_GROWTH","FQ3 2018","FQ3 2018","Currency=INR","Period=FQ","BEST_FPERIOD_OVERRIDE=FQ","FILING_STATUS=OR","EQY_CONSOLIDATED=Y","Sort=A","Dates=H","DateFormat=P","Fill=—","Direction=H","UseDPDF=Y")</f>
        <v>#NAME?</v>
      </c>
      <c r="AV26" s="1" t="e">
        <f ca="1">_xll.BDH($C$3,"GEO_GROW_TOT_ASSET","FQ3 2018","FQ3 2018","Currency=INR","Period=FQ","BEST_FPERIOD_OVERRIDE=FQ","FILING_STATUS=OR","EQY_CONSOLIDATED=Y","Sort=A","Dates=H","DateFormat=P","Fill=—","Direction=H","UseDPDF=Y")</f>
        <v>#NAME?</v>
      </c>
      <c r="AW26" s="1" t="e">
        <f ca="1">_xll.BDH($C$3,"MODIFIED_WORKING_CPTL_5YR_GRWTH","FQ3 2018","FQ3 2018","Currency=INR","Period=FQ","BEST_FPERIOD_OVERRIDE=FQ","FILING_STATUS=OR","EQY_CONSOLIDATED=Y","Sort=A","Dates=H","DateFormat=P","Fill=—","Direction=H","UseDPDF=Y")</f>
        <v>#NAME?</v>
      </c>
      <c r="AX26" s="1" t="e">
        <f ca="1">_xll.BDH($C$3,"WORKING_CAPITAL_5_YEAR_GROWTH","FQ3 2018","FQ3 2018","Currency=INR","Period=FQ","BEST_FPERIOD_OVERRIDE=FQ","FILING_STATUS=OR","EQY_CONSOLIDATED=Y","Sort=A","Dates=H","DateFormat=P","Fill=—","Direction=H","UseDPDF=Y")</f>
        <v>#NAME?</v>
      </c>
      <c r="AY26" s="1" t="e">
        <f ca="1">_xll.BDH($C$3,"ACCOUNTS_PAYABLE_5_YEAR_GROWTH","FQ3 2018","FQ3 2018","Currency=INR","Period=FQ","BEST_FPERIOD_OVERRIDE=FQ","FILING_STATUS=OR","EQY_CONSOLIDATED=Y","Sort=A","Dates=H","DateFormat=P","Fill=—","Direction=H","UseDPDF=Y")</f>
        <v>#NAME?</v>
      </c>
      <c r="AZ26" s="1" t="e">
        <f ca="1">_xll.BDH($C$3,"SHORT_TERM_DEBT_5_YEAR_GROWTH","FQ3 2018","FQ3 2018","Currency=INR","Period=FQ","BEST_FPERIOD_OVERRIDE=FQ","FILING_STATUS=OR","EQY_CONSOLIDATED=Y","Sort=A","Dates=H","DateFormat=P","Fill=—","Direction=H","UseDPDF=Y")</f>
        <v>#NAME?</v>
      </c>
      <c r="BA26" s="1" t="e">
        <f ca="1">_xll.BDH($C$3,"TOTAL_DEBT_5_YEAR_GROWTH","FQ3 2018","FQ3 2018","Currency=INR","Period=FQ","BEST_FPERIOD_OVERRIDE=FQ","FILING_STATUS=OR","EQY_CONSOLIDATED=Y","Sort=A","Dates=H","DateFormat=P","Fill=—","Direction=H","UseDPDF=Y")</f>
        <v>#NAME?</v>
      </c>
      <c r="BB26" s="1" t="e">
        <f ca="1">_xll.BDH($C$3,"GEO_GROW_TOT_SHRHLDR_EQY","FQ3 2018","FQ3 2018","Currency=INR","Period=FQ","BEST_FPERIOD_OVERRIDE=FQ","FILING_STATUS=OR","EQY_CONSOLIDATED=Y","Sort=A","Dates=H","DateFormat=P","Fill=—","Direction=H","UseDPDF=Y")</f>
        <v>#NAME?</v>
      </c>
      <c r="BC26" s="1" t="e">
        <f ca="1">_xll.BDH($C$3,"TOTAL_CAPITAL_5_YEAR_GROWTH","FQ3 2018","FQ3 2018","Currency=INR","Period=FQ","BEST_FPERIOD_OVERRIDE=FQ","FILING_STATUS=OR","EQY_CONSOLIDATED=Y","Sort=A","Dates=H","DateFormat=P","Fill=—","Direction=H","UseDPDF=Y")</f>
        <v>#NAME?</v>
      </c>
      <c r="BD26" s="1" t="e">
        <f ca="1">_xll.BDH($C$3,"GEO_GROW_BOOK_VAL","FQ3 2018","FQ3 2018","Currency=INR","Period=FQ","BEST_FPERIOD_OVERRIDE=FQ","FILING_STATUS=OR","EQY_CONSOLIDATED=Y","Sort=A","Dates=H","DateFormat=P","Fill=—","Direction=H","UseDPDF=Y")</f>
        <v>#NAME?</v>
      </c>
      <c r="BE26" s="1" t="e">
        <f ca="1">_xll.BDH($C$3,"GEO_GROW_CASH_OPER_ACT","FQ3 2018","FQ3 2018","Currency=INR","Period=FQ","BEST_FPERIOD_OVERRIDE=FQ","FILING_STATUS=OR","EQY_CONSOLIDATED=Y","Sort=A","Dates=H","DateFormat=P","Fill=—","Direction=H","UseDPDF=Y")</f>
        <v>#NAME?</v>
      </c>
      <c r="BF26" s="1" t="e">
        <f ca="1">_xll.BDH($C$3,"REVENUE_SEQUENTIAL_GROWTH","FQ3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6" s="1" t="e">
        <f ca="1">_xll.BDH($C$3,"EBITDA_SEQUENTIAL_GROWTH","FQ3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6" s="1" t="e">
        <f ca="1">_xll.BDH($C$3,"OPERATING_INCOME_SEQ_GROWTH","FQ3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6" s="1" t="e">
        <f ca="1">_xll.BDH($C$3,"NET_INCOME_TO_COMMON_SEQ_GROWTH","FQ3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6" s="1" t="e">
        <f ca="1">_xll.BDH($C$3,"EPS_DILUTED_SEQUENTIAL_GROWTH","FQ3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6" s="1" t="e">
        <f ca="1">_xll.BDH($C$3,"DPS_SEQUENTIAL_GROWTH","FQ3 2018","FQ3 2018","Currency=INR","Period=FQ","BEST_FPERIOD_OVERRIDE=FQ","FILING_STATUS=OR","EQY_CONSOLIDATED=Y","Sort=A","Dates=H","DateFormat=P","Fill=—","Direction=H","UseDPDF=Y")</f>
        <v>#NAME?</v>
      </c>
      <c r="BL26" s="1" t="e">
        <f ca="1">_xll.BDH($C$3,"ACCOUNTS_RECEIVABLE_SEQ_GROWTH","FQ3 2018","FQ3 2018","Currency=INR","Period=FQ","BEST_FPERIOD_OVERRIDE=FQ","FILING_STATUS=OR","EQY_CONSOLIDATED=Y","Sort=A","Dates=H","DateFormat=P","Fill=—","Direction=H","UseDPDF=Y")</f>
        <v>#NAME?</v>
      </c>
      <c r="BM26" s="1" t="e">
        <f ca="1">_xll.BDH($C$3,"INVENTORY_SEQUENTIAL_GROWTH","FQ3 2018","FQ3 2018","Currency=INR","Period=FQ","BEST_FPERIOD_OVERRIDE=FQ","FILING_STATUS=OR","EQY_CONSOLIDATED=Y","Sort=A","Dates=H","DateFormat=P","Fill=—","Direction=H","UseDPDF=Y")</f>
        <v>#NAME?</v>
      </c>
      <c r="BN26" s="1" t="e">
        <f ca="1">_xll.BDH($C$3,"FIXED_ASSETS_SEQUENTIAL_GROWTH","FQ3 2018","FQ3 2018","Currency=INR","Period=FQ","BEST_FPERIOD_OVERRIDE=FQ","FILING_STATUS=OR","EQY_CONSOLIDATED=Y","Sort=A","Dates=H","DateFormat=P","Fill=—","Direction=H","UseDPDF=Y")</f>
        <v>#NAME?</v>
      </c>
      <c r="BO26" s="1" t="e">
        <f ca="1">_xll.BDH($C$3,"TOTAL_ASSETS_SEQUENTIAL_GROWTH","FQ3 2018","FQ3 2018","Currency=INR","Period=FQ","BEST_FPERIOD_OVERRIDE=FQ","FILING_STATUS=OR","EQY_CONSOLIDATED=Y","Sort=A","Dates=H","DateFormat=P","Fill=—","Direction=H","UseDPDF=Y")</f>
        <v>#NAME?</v>
      </c>
      <c r="BP26" s="1" t="e">
        <f ca="1">_xll.BDH($C$3,"MODIFIED_WORKING_CPTL_SEQ_GRWTH","FQ3 2018","FQ3 2018","Currency=INR","Period=FQ","BEST_FPERIOD_OVERRIDE=FQ","FILING_STATUS=OR","EQY_CONSOLIDATED=Y","Sort=A","Dates=H","DateFormat=P","Fill=—","Direction=H","UseDPDF=Y")</f>
        <v>#NAME?</v>
      </c>
      <c r="BQ26" s="1" t="e">
        <f ca="1">_xll.BDH($C$3,"WORKING_CAPITAL_SEQ_GROWTH","FQ3 2018","FQ3 2018","Currency=INR","Period=FQ","BEST_FPERIOD_OVERRIDE=FQ","FILING_STATUS=OR","EQY_CONSOLIDATED=Y","Sort=A","Dates=H","DateFormat=P","Fill=—","Direction=H","UseDPDF=Y")</f>
        <v>#NAME?</v>
      </c>
      <c r="BR26" s="1" t="e">
        <f ca="1">_xll.BDH($C$3,"ACCOUNTS_PAYABLE_SEQ_GROWTH","FQ3 2018","FQ3 2018","Currency=INR","Period=FQ","BEST_FPERIOD_OVERRIDE=FQ","FILING_STATUS=OR","EQY_CONSOLIDATED=Y","Sort=A","Dates=H","DateFormat=P","Fill=—","Direction=H","UseDPDF=Y")</f>
        <v>#NAME?</v>
      </c>
      <c r="BS26" s="1" t="e">
        <f ca="1">_xll.BDH($C$3,"ST_DEBT_SEQUENTIAL_GROWTH","FQ3 2018","FQ3 2018","Currency=INR","Period=FQ","BEST_FPERIOD_OVERRIDE=FQ","FILING_STATUS=OR","EQY_CONSOLIDATED=Y","Sort=A","Dates=H","DateFormat=P","Fill=—","Direction=H","UseDPDF=Y")</f>
        <v>#NAME?</v>
      </c>
      <c r="BT26" s="1" t="e">
        <f ca="1">_xll.BDH($C$3,"TOTAL_DEBT_SEQUENTIAL_GROWTH","FQ3 2018","FQ3 2018","Currency=INR","Period=FQ","BEST_FPERIOD_OVERRIDE=FQ","FILING_STATUS=OR","EQY_CONSOLIDATED=Y","Sort=A","Dates=H","DateFormat=P","Fill=—","Direction=H","UseDPDF=Y")</f>
        <v>#NAME?</v>
      </c>
      <c r="BU26" s="1" t="e">
        <f ca="1">_xll.BDH($C$3,"TOTAL_EQUITY_SEQUENTIAL_GROWTH","FQ3 2018","FQ3 2018","Currency=INR","Period=FQ","BEST_FPERIOD_OVERRIDE=FQ","FILING_STATUS=OR","EQY_CONSOLIDATED=Y","Sort=A","Dates=H","DateFormat=P","Fill=—","Direction=H","UseDPDF=Y")</f>
        <v>#NAME?</v>
      </c>
      <c r="BV26" s="1" t="e">
        <f ca="1">_xll.BDH($C$3,"TOTAL_CAPITAL_SEQUENTIAL_GROWTH","FQ3 2018","FQ3 2018","Currency=INR","Period=FQ","BEST_FPERIOD_OVERRIDE=FQ","FILING_STATUS=OR","EQY_CONSOLIDATED=Y","Sort=A","Dates=H","DateFormat=P","Fill=—","Direction=H","UseDPDF=Y")</f>
        <v>#NAME?</v>
      </c>
      <c r="BW26" s="1" t="e">
        <f ca="1">_xll.BDH($C$3,"BPS_SEQUENTIAL_GROWTH","FQ3 2018","FQ3 2018","Currency=INR","Period=FQ","BEST_FPERIOD_OVERRIDE=FQ","FILING_STATUS=OR","EQY_CONSOLIDATED=Y","Sort=A","Dates=H","DateFormat=P","Fill=—","Direction=H","UseDPDF=Y")</f>
        <v>#NAME?</v>
      </c>
      <c r="BX26" s="1" t="e">
        <f ca="1">_xll.BDH($C$3,"CFO_SEQUENTIAL_GROWTH","FQ3 2018","FQ3 2018","Currency=INR","Period=FQ","BEST_FPERIOD_OVERRIDE=FQ","FILING_STATUS=OR","EQY_CONSOLIDATED=Y","Sort=A","Dates=H","DateFormat=P","Fill=—","Direction=H","UseDPDF=Y")</f>
        <v>#NAME?</v>
      </c>
      <c r="BY26" s="2" t="e">
        <f ca="1">_xll.BDH($C$3,"SHORT_AND_LONG_TERM_DEBT","FQ3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6" s="2" t="e">
        <f ca="1">_xll.BDH($C$3,"BS_ST_BORROW","FQ3 2018","FQ3 2018","Currency=INR","Period=FQ","BEST_FPERIOD_OVERRIDE=FQ","FILING_STATUS=OR","EQY_CONSOLIDATED=Y","SCALING_FORMAT=MLN","Sort=A","Dates=H","DateFormat=P","Fill=—","Direction=H","UseDPDF=Y")</f>
        <v>#NAME?</v>
      </c>
      <c r="CA26" s="2" t="e">
        <f ca="1">_xll.BDH($C$3,"BS_LT_BORROW","FQ3 2018","FQ3 2018","Currency=INR","Period=FQ","BEST_FPERIOD_OVERRIDE=FQ","FILING_STATUS=OR","EQY_CONSOLIDATED=Y","SCALING_FORMAT=MLN","Sort=A","Dates=H","DateFormat=P","Fill=—","Direction=H","UseDPDF=Y")</f>
        <v>#NAME?</v>
      </c>
      <c r="CB26" s="1" t="e">
        <f ca="1">_xll.BDH($C$3,"TOT_DEBT_TO_EBITDA","FQ3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6" s="1" t="e">
        <f ca="1">_xll.BDH($C$3,"NET_DEBT_TO_EBITDA","FQ3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6" s="1" t="e">
        <f ca="1">_xll.BDH($C$3,"TOTAL_DEBT_TO_EBIT","FQ3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6" s="1" t="e">
        <f ca="1">_xll.BDH($C$3,"NET_DEBT_TO_EBIT","FQ3 2018","FQ3 2018","Currency=INR","Period=FQ","BEST_FPERIOD_OVERRIDE=FQ","FILING_STATUS=OR","EQY_CONSOLIDATED=Y","FA_ADJUSTED=GAAP","Sort=A","Dates=H","DateFormat=P","Fill=—","Direction=H","UseDPDF=Y")</f>
        <v>#NAME?</v>
      </c>
      <c r="CF26" s="1" t="e">
        <f ca="1">_xll.BDH($C$3,"EBITDA_TO_INTEREST_EXPN","FQ3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6" s="1" t="e">
        <f ca="1">_xll.BDH($C$3,"COM_EQY_TO_TOT_ASSET","FQ3 2018","FQ3 2018","Currency=INR","Period=FQ","BEST_FPERIOD_OVERRIDE=FQ","FILING_STATUS=OR","EQY_CONSOLIDATED=Y","Sort=A","Dates=H","DateFormat=P","Fill=—","Direction=H","UseDPDF=Y")</f>
        <v>#NAME?</v>
      </c>
      <c r="CH26" s="1" t="e">
        <f ca="1">_xll.BDH($C$3,"LT_DEBT_TO_TOT_EQY","FQ3 2018","FQ3 2018","Currency=INR","Period=FQ","BEST_FPERIOD_OVERRIDE=FQ","FILING_STATUS=OR","EQY_CONSOLIDATED=Y","Sort=A","Dates=H","DateFormat=P","Fill=—","Direction=H","UseDPDF=Y")</f>
        <v>#NAME?</v>
      </c>
      <c r="CI26" s="1" t="e">
        <f ca="1">_xll.BDH($C$3,"LT_DEBT_TO_TOT_CAP","FQ3 2018","FQ3 2018","Currency=INR","Period=FQ","BEST_FPERIOD_OVERRIDE=FQ","FILING_STATUS=OR","EQY_CONSOLIDATED=Y","Sort=A","Dates=H","DateFormat=P","Fill=—","Direction=H","UseDPDF=Y")</f>
        <v>#NAME?</v>
      </c>
      <c r="CJ26" s="1" t="e">
        <f ca="1">_xll.BDH($C$3,"LT_DEBT_TO_TOT_ASSET","FQ3 2018","FQ3 2018","Currency=INR","Period=FQ","BEST_FPERIOD_OVERRIDE=FQ","FILING_STATUS=OR","EQY_CONSOLIDATED=Y","Sort=A","Dates=H","DateFormat=P","Fill=—","Direction=H","UseDPDF=Y")</f>
        <v>#NAME?</v>
      </c>
      <c r="CK26" s="1" t="e">
        <f ca="1">_xll.BDH($C$3,"TOT_DEBT_TO_TOT_EQY","FQ3 2018","FQ3 2018","Currency=INR","Period=FQ","BEST_FPERIOD_OVERRIDE=FQ","FILING_STATUS=OR","EQY_CONSOLIDATED=Y","Sort=A","Dates=H","DateFormat=P","Fill=—","Direction=H","UseDPDF=Y")</f>
        <v>#NAME?</v>
      </c>
      <c r="CL26" s="1" t="e">
        <f ca="1">_xll.BDH($C$3,"TOT_DEBT_TO_TOT_CAP","FQ3 2018","FQ3 2018","Currency=INR","Period=FQ","BEST_FPERIOD_OVERRIDE=FQ","FILING_STATUS=OR","EQY_CONSOLIDATED=Y","Sort=A","Dates=H","DateFormat=P","Fill=—","Direction=H","UseDPDF=Y")</f>
        <v>#NAME?</v>
      </c>
      <c r="CM26" s="1" t="e">
        <f ca="1">_xll.BDH($C$3,"TOT_DEBT_TO_TOT_ASSET","FQ3 2018","FQ3 2018","Currency=INR","Period=FQ","BEST_FPERIOD_OVERRIDE=FQ","FILING_STATUS=OR","EQY_CONSOLIDATED=Y","Sort=A","Dates=H","DateFormat=P","Fill=—","Direction=H","UseDPDF=Y")</f>
        <v>#NAME?</v>
      </c>
      <c r="CN26" s="1" t="e">
        <f ca="1">_xll.BDH($C$3,"NET_DEBT_TO_SHRHLDR_EQTY","FQ3 2018","FQ3 2018","Currency=INR","Period=FQ","BEST_FPERIOD_OVERRIDE=FQ","FILING_STATUS=OR","EQY_CONSOLIDATED=Y","Sort=A","Dates=H","DateFormat=P","Fill=—","Direction=H","UseDPDF=Y")</f>
        <v>#NAME?</v>
      </c>
      <c r="CO26" s="1" t="e">
        <f ca="1">_xll.BDH($C$3,"NET_DEBT_%_CAPITAL","FQ3 2018","FQ3 2018","Currency=INR","Period=FQ","BEST_FPERIOD_OVERRIDE=FQ","FILING_STATUS=OR","EQY_CONSOLIDATED=Y","Sort=A","Dates=H","DateFormat=P","Fill=—","Direction=H","UseDPDF=Y")</f>
        <v>#NAME?</v>
      </c>
      <c r="CP26" s="2" t="e">
        <f ca="1">_xll.BDH($C$3,"EBITDA","FQ3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6" s="2" t="e">
        <f ca="1">_xll.BDH($C$3,"EBITDA_AFTER_CAPEX","FQ3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6" s="2" t="e">
        <f ca="1">_xll.BDH($C$3,"IS_OPER_INC","FQ3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6" s="1" t="e">
        <f ca="1">_xll.BDH($C$3,"CASH_RATIO","FQ3 2018","FQ3 2018","Currency=INR","Period=FQ","BEST_FPERIOD_OVERRIDE=FQ","FILING_STATUS=OR","EQY_CONSOLIDATED=Y","Sort=A","Dates=H","DateFormat=P","Fill=—","Direction=H","UseDPDF=Y")</f>
        <v>#NAME?</v>
      </c>
      <c r="CT26" s="1" t="e">
        <f ca="1">_xll.BDH($C$3,"CUR_RATIO","FQ3 2018","FQ3 2018","Currency=INR","Period=FQ","BEST_FPERIOD_OVERRIDE=FQ","FILING_STATUS=OR","EQY_CONSOLIDATED=Y","Sort=A","Dates=H","DateFormat=P","Fill=—","Direction=H","UseDPDF=Y")</f>
        <v>#NAME?</v>
      </c>
      <c r="CU26" s="1" t="e">
        <f ca="1">_xll.BDH($C$3,"QUICK_RATIO","FQ3 2018","FQ3 2018","Currency=INR","Period=FQ","BEST_FPERIOD_OVERRIDE=FQ","FILING_STATUS=OR","EQY_CONSOLIDATED=Y","Sort=A","Dates=H","DateFormat=P","Fill=—","Direction=H","UseDPDF=Y")</f>
        <v>#NAME?</v>
      </c>
      <c r="CV26" s="1" t="e">
        <f ca="1">_xll.BDH($C$3,"ALTMAN_Z_SCORE","FQ3 2018","FQ3 2018","Currency=INR","Period=FQ","BEST_FPERIOD_OVERRIDE=FQ","FILING_STATUS=OR","EQY_CONSOLIDATED=Y","Sort=A","Dates=H","DateFormat=P","Fill=—","Direction=H","UseDPDF=Y")</f>
        <v>#NAME?</v>
      </c>
      <c r="CW26" s="3" t="e">
        <f ca="1">_xll.BDH($C$3,"ACCT_RCV_TURN","FQ3 2018","FQ3 2018","Currency=INR","Period=FQ","BEST_FPERIOD_OVERRIDE=FQ","FILING_STATUS=OR","EQY_CONSOLIDATED=Y","FA_ADJUSTED=GAAP","Sort=A","Dates=H","DateFormat=P","Fill=—","Direction=H","UseDPDF=Y")</f>
        <v>#NAME?</v>
      </c>
      <c r="CX26" s="1" t="e">
        <f ca="1">_xll.BDH($C$3,"ACCT_RCV_DAYS","FQ3 2018","FQ3 2018","Currency=INR","Period=FQ","BEST_FPERIOD_OVERRIDE=FQ","FILING_STATUS=OR","EQY_CONSOLIDATED=Y","FA_ADJUSTED=GAAP","Sort=A","Dates=H","DateFormat=P","Fill=—","Direction=H","UseDPDF=Y")</f>
        <v>#NAME?</v>
      </c>
      <c r="CY26" s="3" t="e">
        <f ca="1">_xll.BDH($C$3,"INVENT_TURN","FQ3 2018","FQ3 2018","Currency=INR","Period=FQ","BEST_FPERIOD_OVERRIDE=FQ","FILING_STATUS=OR","EQY_CONSOLIDATED=Y","FA_ADJUSTED=GAAP","Sort=A","Dates=H","DateFormat=P","Fill=—","Direction=H","UseDPDF=Y")</f>
        <v>#NAME?</v>
      </c>
      <c r="CZ26" s="1" t="e">
        <f ca="1">_xll.BDH($C$3,"INVENT_DAYS","FQ3 2018","FQ3 2018","Currency=INR","Period=FQ","BEST_FPERIOD_OVERRIDE=FQ","FILING_STATUS=OR","EQY_CONSOLIDATED=Y","FA_ADJUSTED=GAAP","Sort=A","Dates=H","DateFormat=P","Fill=—","Direction=H","UseDPDF=Y")</f>
        <v>#NAME?</v>
      </c>
      <c r="DA26" s="3" t="e">
        <f ca="1">_xll.BDH($C$3,"ACCOUNTS_PAYABLE_TURNOVER","FQ3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6" s="1" t="e">
        <f ca="1">_xll.BDH($C$3,"ACCOUNTS_PAYABLE_TURNOVER_DAYS","FQ3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6" s="3" t="e">
        <f ca="1">_xll.BDH($C$3,"CASH_CONVERSION_CYCLE","FQ3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6" s="3" t="e">
        <f ca="1">_xll.BDH($C$3,"INV_TO_CASH_DAYS","FQ3 2018","FQ3 2018","Currency=INR","Period=FQ","BEST_FPERIOD_OVERRIDE=FQ","FILING_STATUS=OR","EQY_CONSOLIDATED=Y","FA_ADJUSTED=GAAP","Sort=A","Dates=H","DateFormat=P","Fill=—","Direction=H","UseDPDF=Y")</f>
        <v>#NAME?</v>
      </c>
      <c r="DE26" s="4" t="e">
        <f ca="1">_xll.BDH($C$3,"BS_INVENTORIES","FQ3 2018","FQ3 2018","Currency=INR","Period=FQ","BEST_FPERIOD_OVERRIDE=FQ","FILING_STATUS=OR","EQY_CONSOLIDATED=Y","SCALING_FORMAT=MLN","Sort=A","Dates=H","DateFormat=P","Fill=—","Direction=H","UseDPDF=Y")</f>
        <v>#NAME?</v>
      </c>
      <c r="DF26" s="2" t="e">
        <f ca="1">_xll.BDH($C$3,"INVTRY_RAW_MATERIALS","FQ3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6" s="2" t="e">
        <f ca="1">_xll.BDH($C$3,"INVTRY_IN_PROGRESS","FQ3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6" s="2" t="e">
        <f ca="1">_xll.BDH($C$3,"INVTRY_FINISHED_GOODS","FQ3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6" s="2" t="e">
        <f ca="1">_xll.BDH($C$3,"BS_OTHER_INV","FQ3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7" spans="1:113" x14ac:dyDescent="0.3">
      <c r="A27" s="6"/>
      <c r="B27" s="6"/>
      <c r="C27" s="6"/>
      <c r="D27" s="6"/>
      <c r="E27" t="s">
        <v>7</v>
      </c>
      <c r="F27" t="e">
        <f ca="1">_xll.BDH($C$3,"RETURN_COM_EQY","FQ4 2018","FQ4 2018","Currency=INR","Period=FQ","BEST_FPERIOD_OVERRIDE=FQ","FILING_STATUS=OR","EQY_CONSOLIDATED=Y","FA_ADJUSTED=GAAP","Sort=A","Dates=H","DateFormat=P","Fill=—","Direction=H","UseDPDF=Y")</f>
        <v>#NAME?</v>
      </c>
      <c r="G27" t="e">
        <f ca="1">_xll.BDH($C$3,"RETURN_ON_ASSET","FQ4 2018","FQ4 2018","Currency=INR","Period=FQ","BEST_FPERIOD_OVERRIDE=FQ","FILING_STATUS=OR","EQY_CONSOLIDATED=Y","FA_ADJUSTED=GAAP","Sort=A","Dates=H","DateFormat=P","Fill=—","Direction=H","UseDPDF=Y")</f>
        <v>#NAME?</v>
      </c>
      <c r="H27" t="e">
        <f ca="1">_xll.BDH($C$3,"RETURN_ON_CAP","FQ4 2018","FQ4 2018","Currency=INR","Period=FQ","BEST_FPERIOD_OVERRIDE=FQ","FILING_STATUS=OR","EQY_CONSOLIDATED=Y","FA_ADJUSTED=GAAP","Sort=A","Dates=H","DateFormat=P","Fill=—","Direction=H","UseDPDF=Y")</f>
        <v>#NAME?</v>
      </c>
      <c r="I27" t="e">
        <f ca="1">_xll.BDH($C$3,"RETURN_ON_INV_CAPITAL","FQ4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7" t="e">
        <f ca="1">_xll.BDH($C$3,"EBITDA_TO_REVENUE","FQ4 2018","FQ4 2018","Currency=INR","Period=FQ","BEST_FPERIOD_OVERRIDE=FQ","FILING_STATUS=OR","EQY_CONSOLIDATED=Y","FA_ADJUSTED=GAAP","Sort=A","Dates=H","DateFormat=P","Fill=—","Direction=H","UseDPDF=Y")</f>
        <v>#NAME?</v>
      </c>
      <c r="K27" t="e">
        <f ca="1">_xll.BDH($C$3,"OPER_MARGIN","FQ4 2018","FQ4 2018","Currency=INR","Period=FQ","BEST_FPERIOD_OVERRIDE=FQ","FILING_STATUS=OR","EQY_CONSOLIDATED=Y","FA_ADJUSTED=GAAP","Sort=A","Dates=H","DateFormat=P","Fill=—","Direction=H","UseDPDF=Y")</f>
        <v>#NAME?</v>
      </c>
      <c r="L27" t="e">
        <f ca="1">_xll.BDH($C$3,"INCREMENTAL_OPERATING_MARGIN","FQ4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7" t="e">
        <f ca="1">_xll.BDH($C$3,"PRETAX_INC_TO_NET_SALES","FQ4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7" t="e">
        <f ca="1">_xll.BDH($C$3,"INC_BEF_XO_ITEMS_TO_NET_SALES","FQ4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7" t="e">
        <f ca="1">_xll.BDH($C$3,"PROF_MARGIN","FQ4 2018","FQ4 2018","Currency=INR","Period=FQ","BEST_FPERIOD_OVERRIDE=FQ","FILING_STATUS=OR","EQY_CONSOLIDATED=Y","FA_ADJUSTED=GAAP","Sort=A","Dates=H","DateFormat=P","Fill=—","Direction=H","UseDPDF=Y")</f>
        <v>#NAME?</v>
      </c>
      <c r="P27" t="e">
        <f ca="1">_xll.BDH($C$3,"NET_INCOME_TO_COMMON_MARGIN","FQ4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7" t="e">
        <f ca="1">_xll.BDH($C$3,"EFF_TAX_RATE","FQ4 2018","FQ4 2018","Currency=INR","Period=FQ","BEST_FPERIOD_OVERRIDE=FQ","FILING_STATUS=OR","EQY_CONSOLIDATED=Y","FA_ADJUSTED=GAAP","Sort=A","Dates=H","DateFormat=P","Fill=—","Direction=H","UseDPDF=Y")</f>
        <v>#NAME?</v>
      </c>
      <c r="R27" t="e">
        <f ca="1">_xll.BDH($C$3,"DVD_PAYOUT_RATIO","FQ4 2018","FQ4 2018","Currency=INR","Period=FQ","BEST_FPERIOD_OVERRIDE=FQ","FILING_STATUS=OR","EQY_CONSOLIDATED=Y","FA_ADJUSTED=GAAP","Sort=A","Dates=H","DateFormat=P","Fill=—","Direction=H","UseDPDF=Y")</f>
        <v>#NAME?</v>
      </c>
      <c r="S27" t="e">
        <f ca="1">_xll.BDH($C$3,"SUSTAIN_GROWTH_RT","FQ4 2018","FQ4 2018","Currency=INR","Period=FQ","BEST_FPERIOD_OVERRIDE=FQ","FILING_STATUS=OR","EQY_CONSOLIDATED=Y","FA_ADJUSTED=GAAP","Sort=A","Dates=H","DateFormat=P","Fill=—","Direction=H","UseDPDF=Y")</f>
        <v>#NAME?</v>
      </c>
      <c r="T27" s="1" t="e">
        <f ca="1">_xll.BDH($C$3,"SALES_GROWTH","FQ4 2018","FQ4 2018","Currency=INR","Period=FQ","BEST_FPERIOD_OVERRIDE=FQ","FILING_STATUS=OR","EQY_CONSOLIDATED=Y","FA_ADJUSTED=GAAP","Sort=A","Dates=H","DateFormat=P","Fill=—","Direction=H","UseDPDF=Y")</f>
        <v>#NAME?</v>
      </c>
      <c r="U27" s="1" t="e">
        <f ca="1">_xll.BDH($C$3,"EBITDA_GROWTH","FQ4 2018","FQ4 2018","Currency=INR","Period=FQ","BEST_FPERIOD_OVERRIDE=FQ","FILING_STATUS=OR","EQY_CONSOLIDATED=Y","FA_ADJUSTED=GAAP","Sort=A","Dates=H","DateFormat=P","Fill=—","Direction=H","UseDPDF=Y")</f>
        <v>#NAME?</v>
      </c>
      <c r="V27" s="1" t="e">
        <f ca="1">_xll.BDH($C$3,"OPER_INC_GROWTH","FQ4 2018","FQ4 2018","Currency=INR","Period=FQ","BEST_FPERIOD_OVERRIDE=FQ","FILING_STATUS=OR","EQY_CONSOLIDATED=Y","FA_ADJUSTED=GAAP","Sort=A","Dates=H","DateFormat=P","Fill=—","Direction=H","UseDPDF=Y")</f>
        <v>#NAME?</v>
      </c>
      <c r="W27" s="1" t="e">
        <f ca="1">_xll.BDH($C$3,"EARN_FOR_COM_GROWTH","FQ4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7" s="1" t="e">
        <f ca="1">_xll.BDH($C$3,"DILUTED_EPS_AFT_XO_ITEMS_GROWTH","FQ4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7" s="1" t="e">
        <f ca="1">_xll.BDH($C$3,"DIVIDEND_PER_SHARE_1_YEAR_GROWTH","FQ4 2018","FQ4 2018","Currency=INR","Period=FQ","BEST_FPERIOD_OVERRIDE=FQ","FILING_STATUS=OR","EQY_CONSOLIDATED=Y","Sort=A","Dates=H","DateFormat=P","Fill=—","Direction=H","UseDPDF=Y")</f>
        <v>#NAME?</v>
      </c>
      <c r="Z27" s="1" t="e">
        <f ca="1">_xll.BDH($C$3,"ACCOUNTS_RECEIVABLE_GROWTH","FQ4 2018","FQ4 2018","Currency=INR","Period=FQ","BEST_FPERIOD_OVERRIDE=FQ","FILING_STATUS=OR","EQY_CONSOLIDATED=Y","Sort=A","Dates=H","DateFormat=P","Fill=—","Direction=H","UseDPDF=Y")</f>
        <v>#NAME?</v>
      </c>
      <c r="AA27" s="1" t="e">
        <f ca="1">_xll.BDH($C$3,"INVENTORY_GROWTH","FQ4 2018","FQ4 2018","Currency=INR","Period=FQ","BEST_FPERIOD_OVERRIDE=FQ","FILING_STATUS=OR","EQY_CONSOLIDATED=Y","Sort=A","Dates=H","DateFormat=P","Fill=—","Direction=H","UseDPDF=Y")</f>
        <v>#NAME?</v>
      </c>
      <c r="AB27" s="1" t="e">
        <f ca="1">_xll.BDH($C$3,"NET_FIXED_ASSETS_1_YEAR_GROWTH","FQ4 2018","FQ4 2018","Currency=INR","Period=FQ","BEST_FPERIOD_OVERRIDE=FQ","FILING_STATUS=OR","EQY_CONSOLIDATED=Y","Sort=A","Dates=H","DateFormat=P","Fill=—","Direction=H","UseDPDF=Y")</f>
        <v>#NAME?</v>
      </c>
      <c r="AC27" s="1" t="e">
        <f ca="1">_xll.BDH($C$3,"ASSET_GROWTH","FQ4 2018","FQ4 2018","Currency=INR","Period=FQ","BEST_FPERIOD_OVERRIDE=FQ","FILING_STATUS=OR","EQY_CONSOLIDATED=Y","Sort=A","Dates=H","DateFormat=P","Fill=—","Direction=H","UseDPDF=Y")</f>
        <v>#NAME?</v>
      </c>
      <c r="AD27" s="1" t="e">
        <f ca="1">_xll.BDH($C$3,"MODIFIED_WORK_CAP_GROWTH","FQ4 2018","FQ4 2018","Currency=INR","Period=FQ","BEST_FPERIOD_OVERRIDE=FQ","FILING_STATUS=OR","EQY_CONSOLIDATED=Y","Sort=A","Dates=H","DateFormat=P","Fill=—","Direction=H","UseDPDF=Y")</f>
        <v>#NAME?</v>
      </c>
      <c r="AE27" s="1" t="e">
        <f ca="1">_xll.BDH($C$3,"WORK_CAP_GROWTH","FQ4 2018","FQ4 2018","Currency=INR","Period=FQ","BEST_FPERIOD_OVERRIDE=FQ","FILING_STATUS=OR","EQY_CONSOLIDATED=Y","Sort=A","Dates=H","DateFormat=P","Fill=—","Direction=H","UseDPDF=Y")</f>
        <v>#NAME?</v>
      </c>
      <c r="AF27" s="1" t="e">
        <f ca="1">_xll.BDH($C$3,"ACCOUNTS_PAYABLE_GROWTH_1YR","FQ4 2018","FQ4 2018","Currency=INR","Period=FQ","BEST_FPERIOD_OVERRIDE=FQ","FILING_STATUS=OR","EQY_CONSOLIDATED=Y","Sort=A","Dates=H","DateFormat=P","Fill=—","Direction=H","UseDPDF=Y")</f>
        <v>#NAME?</v>
      </c>
      <c r="AG27" s="1" t="e">
        <f ca="1">_xll.BDH($C$3,"SHORT_TERM_DEBT_1_YEAR_GROWTH","FQ4 2018","FQ4 2018","Currency=INR","Period=FQ","BEST_FPERIOD_OVERRIDE=FQ","FILING_STATUS=OR","EQY_CONSOLIDATED=Y","Sort=A","Dates=H","DateFormat=P","Fill=—","Direction=H","UseDPDF=Y")</f>
        <v>#NAME?</v>
      </c>
      <c r="AH27" s="1" t="e">
        <f ca="1">_xll.BDH($C$3,"TOTAL_DEBT_1_YEAR_GROWTH","FQ4 2018","FQ4 2018","Currency=INR","Period=FQ","BEST_FPERIOD_OVERRIDE=FQ","FILING_STATUS=OR","EQY_CONSOLIDATED=Y","Sort=A","Dates=H","DateFormat=P","Fill=—","Direction=H","UseDPDF=Y")</f>
        <v>#NAME?</v>
      </c>
      <c r="AI27" s="1" t="e">
        <f ca="1">_xll.BDH($C$3,"TOTAL_EQUITY_1_YEAR_GROWTH","FQ4 2018","FQ4 2018","Currency=INR","Period=FQ","BEST_FPERIOD_OVERRIDE=FQ","FILING_STATUS=OR","EQY_CONSOLIDATED=Y","Sort=A","Dates=H","DateFormat=P","Fill=—","Direction=H","UseDPDF=Y")</f>
        <v>#NAME?</v>
      </c>
      <c r="AJ27" s="1" t="e">
        <f ca="1">_xll.BDH($C$3,"GROWTH_IN_CAP","FQ4 2018","FQ4 2018","Currency=INR","Period=FQ","BEST_FPERIOD_OVERRIDE=FQ","FILING_STATUS=OR","EQY_CONSOLIDATED=Y","Sort=A","Dates=H","DateFormat=P","Fill=—","Direction=H","UseDPDF=Y")</f>
        <v>#NAME?</v>
      </c>
      <c r="AK27" s="1" t="e">
        <f ca="1">_xll.BDH($C$3,"BVPS_GROWTH","FQ4 2018","FQ4 2018","Currency=INR","Period=FQ","BEST_FPERIOD_OVERRIDE=FQ","FILING_STATUS=OR","EQY_CONSOLIDATED=Y","Sort=A","Dates=H","DateFormat=P","Fill=—","Direction=H","UseDPDF=Y")</f>
        <v>#NAME?</v>
      </c>
      <c r="AL27" s="1" t="e">
        <f ca="1">_xll.BDH($C$3,"CASH_FLOW_GROWTH","FQ4 2018","FQ4 2018","Currency=INR","Period=FQ","BEST_FPERIOD_OVERRIDE=FQ","FILING_STATUS=OR","EQY_CONSOLIDATED=Y","Sort=A","Dates=H","DateFormat=P","Fill=—","Direction=H","UseDPDF=Y")</f>
        <v>#NAME?</v>
      </c>
      <c r="AM27" s="1" t="e">
        <f ca="1">_xll.BDH($C$3,"GEO_GROW_NET_SALES","FQ4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7" s="1" t="e">
        <f ca="1">_xll.BDH($C$3,"GEO_GROW_EBITDA","FQ4 2018","FQ4 2018","Currency=INR","Period=FQ","BEST_FPERIOD_OVERRIDE=FQ","FILING_STATUS=OR","EQY_CONSOLIDATED=Y","FA_ADJUSTED=GAAP","Sort=A","Dates=H","DateFormat=P","Fill=—","Direction=H","UseDPDF=Y")</f>
        <v>#NAME?</v>
      </c>
      <c r="AO27" s="1" t="e">
        <f ca="1">_xll.BDH($C$3,"GEO_GROW_OPER_INC","FQ4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7" s="1" t="e">
        <f ca="1">_xll.BDH($C$3,"NET_INCOME_TO_COMMON_5_YR_GROWTH","FQ4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7" s="1" t="e">
        <f ca="1">_xll.BDH($C$3,"5Y_GEO_GROWTH_DILUTED_EPS","FQ4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7" s="1" t="e">
        <f ca="1">_xll.BDH($C$3,"GEO_GROW_DVD_PER_SH","FQ4 2018","FQ4 2018","Currency=INR","Period=FQ","BEST_FPERIOD_OVERRIDE=FQ","FILING_STATUS=OR","EQY_CONSOLIDATED=Y","Sort=A","Dates=H","DateFormat=P","Fill=—","Direction=H","UseDPDF=Y")</f>
        <v>#NAME?</v>
      </c>
      <c r="AS27" s="1" t="e">
        <f ca="1">_xll.BDH($C$3,"ACCOUNTS_RECEIVABLE_5_YR_GROWTH","FQ4 2018","FQ4 2018","Currency=INR","Period=FQ","BEST_FPERIOD_OVERRIDE=FQ","FILING_STATUS=OR","EQY_CONSOLIDATED=Y","Sort=A","Dates=H","DateFormat=P","Fill=—","Direction=H","UseDPDF=Y")</f>
        <v>#NAME?</v>
      </c>
      <c r="AT27" s="1" t="e">
        <f ca="1">_xll.BDH($C$3,"INVENTORY_5_YEAR_GROWTH","FQ4 2018","FQ4 2018","Currency=INR","Period=FQ","BEST_FPERIOD_OVERRIDE=FQ","FILING_STATUS=OR","EQY_CONSOLIDATED=Y","Sort=A","Dates=H","DateFormat=P","Fill=—","Direction=H","UseDPDF=Y")</f>
        <v>#NAME?</v>
      </c>
      <c r="AU27" s="1" t="e">
        <f ca="1">_xll.BDH($C$3,"NET_FIXED_ASSETS_5_YEAR_GROWTH","FQ4 2018","FQ4 2018","Currency=INR","Period=FQ","BEST_FPERIOD_OVERRIDE=FQ","FILING_STATUS=OR","EQY_CONSOLIDATED=Y","Sort=A","Dates=H","DateFormat=P","Fill=—","Direction=H","UseDPDF=Y")</f>
        <v>#NAME?</v>
      </c>
      <c r="AV27" s="1" t="e">
        <f ca="1">_xll.BDH($C$3,"GEO_GROW_TOT_ASSET","FQ4 2018","FQ4 2018","Currency=INR","Period=FQ","BEST_FPERIOD_OVERRIDE=FQ","FILING_STATUS=OR","EQY_CONSOLIDATED=Y","Sort=A","Dates=H","DateFormat=P","Fill=—","Direction=H","UseDPDF=Y")</f>
        <v>#NAME?</v>
      </c>
      <c r="AW27" s="1" t="e">
        <f ca="1">_xll.BDH($C$3,"MODIFIED_WORKING_CPTL_5YR_GRWTH","FQ4 2018","FQ4 2018","Currency=INR","Period=FQ","BEST_FPERIOD_OVERRIDE=FQ","FILING_STATUS=OR","EQY_CONSOLIDATED=Y","Sort=A","Dates=H","DateFormat=P","Fill=—","Direction=H","UseDPDF=Y")</f>
        <v>#NAME?</v>
      </c>
      <c r="AX27" s="1" t="e">
        <f ca="1">_xll.BDH($C$3,"WORKING_CAPITAL_5_YEAR_GROWTH","FQ4 2018","FQ4 2018","Currency=INR","Period=FQ","BEST_FPERIOD_OVERRIDE=FQ","FILING_STATUS=OR","EQY_CONSOLIDATED=Y","Sort=A","Dates=H","DateFormat=P","Fill=—","Direction=H","UseDPDF=Y")</f>
        <v>#NAME?</v>
      </c>
      <c r="AY27" s="1" t="e">
        <f ca="1">_xll.BDH($C$3,"ACCOUNTS_PAYABLE_5_YEAR_GROWTH","FQ4 2018","FQ4 2018","Currency=INR","Period=FQ","BEST_FPERIOD_OVERRIDE=FQ","FILING_STATUS=OR","EQY_CONSOLIDATED=Y","Sort=A","Dates=H","DateFormat=P","Fill=—","Direction=H","UseDPDF=Y")</f>
        <v>#NAME?</v>
      </c>
      <c r="AZ27" s="1" t="e">
        <f ca="1">_xll.BDH($C$3,"SHORT_TERM_DEBT_5_YEAR_GROWTH","FQ4 2018","FQ4 2018","Currency=INR","Period=FQ","BEST_FPERIOD_OVERRIDE=FQ","FILING_STATUS=OR","EQY_CONSOLIDATED=Y","Sort=A","Dates=H","DateFormat=P","Fill=—","Direction=H","UseDPDF=Y")</f>
        <v>#NAME?</v>
      </c>
      <c r="BA27" s="1" t="e">
        <f ca="1">_xll.BDH($C$3,"TOTAL_DEBT_5_YEAR_GROWTH","FQ4 2018","FQ4 2018","Currency=INR","Period=FQ","BEST_FPERIOD_OVERRIDE=FQ","FILING_STATUS=OR","EQY_CONSOLIDATED=Y","Sort=A","Dates=H","DateFormat=P","Fill=—","Direction=H","UseDPDF=Y")</f>
        <v>#NAME?</v>
      </c>
      <c r="BB27" s="1" t="e">
        <f ca="1">_xll.BDH($C$3,"GEO_GROW_TOT_SHRHLDR_EQY","FQ4 2018","FQ4 2018","Currency=INR","Period=FQ","BEST_FPERIOD_OVERRIDE=FQ","FILING_STATUS=OR","EQY_CONSOLIDATED=Y","Sort=A","Dates=H","DateFormat=P","Fill=—","Direction=H","UseDPDF=Y")</f>
        <v>#NAME?</v>
      </c>
      <c r="BC27" s="1" t="e">
        <f ca="1">_xll.BDH($C$3,"TOTAL_CAPITAL_5_YEAR_GROWTH","FQ4 2018","FQ4 2018","Currency=INR","Period=FQ","BEST_FPERIOD_OVERRIDE=FQ","FILING_STATUS=OR","EQY_CONSOLIDATED=Y","Sort=A","Dates=H","DateFormat=P","Fill=—","Direction=H","UseDPDF=Y")</f>
        <v>#NAME?</v>
      </c>
      <c r="BD27" s="1" t="e">
        <f ca="1">_xll.BDH($C$3,"GEO_GROW_BOOK_VAL","FQ4 2018","FQ4 2018","Currency=INR","Period=FQ","BEST_FPERIOD_OVERRIDE=FQ","FILING_STATUS=OR","EQY_CONSOLIDATED=Y","Sort=A","Dates=H","DateFormat=P","Fill=—","Direction=H","UseDPDF=Y")</f>
        <v>#NAME?</v>
      </c>
      <c r="BE27" s="1" t="e">
        <f ca="1">_xll.BDH($C$3,"GEO_GROW_CASH_OPER_ACT","FQ4 2018","FQ4 2018","Currency=INR","Period=FQ","BEST_FPERIOD_OVERRIDE=FQ","FILING_STATUS=OR","EQY_CONSOLIDATED=Y","Sort=A","Dates=H","DateFormat=P","Fill=—","Direction=H","UseDPDF=Y")</f>
        <v>#NAME?</v>
      </c>
      <c r="BF27" s="1" t="e">
        <f ca="1">_xll.BDH($C$3,"REVENUE_SEQUENTIAL_GROWTH","FQ4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7" s="1" t="e">
        <f ca="1">_xll.BDH($C$3,"EBITDA_SEQUENTIAL_GROWTH","FQ4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7" s="1" t="e">
        <f ca="1">_xll.BDH($C$3,"OPERATING_INCOME_SEQ_GROWTH","FQ4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7" s="1" t="e">
        <f ca="1">_xll.BDH($C$3,"NET_INCOME_TO_COMMON_SEQ_GROWTH","FQ4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7" s="1" t="e">
        <f ca="1">_xll.BDH($C$3,"EPS_DILUTED_SEQUENTIAL_GROWTH","FQ4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7" s="1" t="e">
        <f ca="1">_xll.BDH($C$3,"DPS_SEQUENTIAL_GROWTH","FQ4 2018","FQ4 2018","Currency=INR","Period=FQ","BEST_FPERIOD_OVERRIDE=FQ","FILING_STATUS=OR","EQY_CONSOLIDATED=Y","Sort=A","Dates=H","DateFormat=P","Fill=—","Direction=H","UseDPDF=Y")</f>
        <v>#NAME?</v>
      </c>
      <c r="BL27" s="1" t="e">
        <f ca="1">_xll.BDH($C$3,"ACCOUNTS_RECEIVABLE_SEQ_GROWTH","FQ4 2018","FQ4 2018","Currency=INR","Period=FQ","BEST_FPERIOD_OVERRIDE=FQ","FILING_STATUS=OR","EQY_CONSOLIDATED=Y","Sort=A","Dates=H","DateFormat=P","Fill=—","Direction=H","UseDPDF=Y")</f>
        <v>#NAME?</v>
      </c>
      <c r="BM27" s="1" t="e">
        <f ca="1">_xll.BDH($C$3,"INVENTORY_SEQUENTIAL_GROWTH","FQ4 2018","FQ4 2018","Currency=INR","Period=FQ","BEST_FPERIOD_OVERRIDE=FQ","FILING_STATUS=OR","EQY_CONSOLIDATED=Y","Sort=A","Dates=H","DateFormat=P","Fill=—","Direction=H","UseDPDF=Y")</f>
        <v>#NAME?</v>
      </c>
      <c r="BN27" s="1" t="e">
        <f ca="1">_xll.BDH($C$3,"FIXED_ASSETS_SEQUENTIAL_GROWTH","FQ4 2018","FQ4 2018","Currency=INR","Period=FQ","BEST_FPERIOD_OVERRIDE=FQ","FILING_STATUS=OR","EQY_CONSOLIDATED=Y","Sort=A","Dates=H","DateFormat=P","Fill=—","Direction=H","UseDPDF=Y")</f>
        <v>#NAME?</v>
      </c>
      <c r="BO27" s="1" t="e">
        <f ca="1">_xll.BDH($C$3,"TOTAL_ASSETS_SEQUENTIAL_GROWTH","FQ4 2018","FQ4 2018","Currency=INR","Period=FQ","BEST_FPERIOD_OVERRIDE=FQ","FILING_STATUS=OR","EQY_CONSOLIDATED=Y","Sort=A","Dates=H","DateFormat=P","Fill=—","Direction=H","UseDPDF=Y")</f>
        <v>#NAME?</v>
      </c>
      <c r="BP27" s="1" t="e">
        <f ca="1">_xll.BDH($C$3,"MODIFIED_WORKING_CPTL_SEQ_GRWTH","FQ4 2018","FQ4 2018","Currency=INR","Period=FQ","BEST_FPERIOD_OVERRIDE=FQ","FILING_STATUS=OR","EQY_CONSOLIDATED=Y","Sort=A","Dates=H","DateFormat=P","Fill=—","Direction=H","UseDPDF=Y")</f>
        <v>#NAME?</v>
      </c>
      <c r="BQ27" s="1" t="e">
        <f ca="1">_xll.BDH($C$3,"WORKING_CAPITAL_SEQ_GROWTH","FQ4 2018","FQ4 2018","Currency=INR","Period=FQ","BEST_FPERIOD_OVERRIDE=FQ","FILING_STATUS=OR","EQY_CONSOLIDATED=Y","Sort=A","Dates=H","DateFormat=P","Fill=—","Direction=H","UseDPDF=Y")</f>
        <v>#NAME?</v>
      </c>
      <c r="BR27" s="1" t="e">
        <f ca="1">_xll.BDH($C$3,"ACCOUNTS_PAYABLE_SEQ_GROWTH","FQ4 2018","FQ4 2018","Currency=INR","Period=FQ","BEST_FPERIOD_OVERRIDE=FQ","FILING_STATUS=OR","EQY_CONSOLIDATED=Y","Sort=A","Dates=H","DateFormat=P","Fill=—","Direction=H","UseDPDF=Y")</f>
        <v>#NAME?</v>
      </c>
      <c r="BS27" s="1" t="e">
        <f ca="1">_xll.BDH($C$3,"ST_DEBT_SEQUENTIAL_GROWTH","FQ4 2018","FQ4 2018","Currency=INR","Period=FQ","BEST_FPERIOD_OVERRIDE=FQ","FILING_STATUS=OR","EQY_CONSOLIDATED=Y","Sort=A","Dates=H","DateFormat=P","Fill=—","Direction=H","UseDPDF=Y")</f>
        <v>#NAME?</v>
      </c>
      <c r="BT27" s="1" t="e">
        <f ca="1">_xll.BDH($C$3,"TOTAL_DEBT_SEQUENTIAL_GROWTH","FQ4 2018","FQ4 2018","Currency=INR","Period=FQ","BEST_FPERIOD_OVERRIDE=FQ","FILING_STATUS=OR","EQY_CONSOLIDATED=Y","Sort=A","Dates=H","DateFormat=P","Fill=—","Direction=H","UseDPDF=Y")</f>
        <v>#NAME?</v>
      </c>
      <c r="BU27" s="1" t="e">
        <f ca="1">_xll.BDH($C$3,"TOTAL_EQUITY_SEQUENTIAL_GROWTH","FQ4 2018","FQ4 2018","Currency=INR","Period=FQ","BEST_FPERIOD_OVERRIDE=FQ","FILING_STATUS=OR","EQY_CONSOLIDATED=Y","Sort=A","Dates=H","DateFormat=P","Fill=—","Direction=H","UseDPDF=Y")</f>
        <v>#NAME?</v>
      </c>
      <c r="BV27" s="1" t="e">
        <f ca="1">_xll.BDH($C$3,"TOTAL_CAPITAL_SEQUENTIAL_GROWTH","FQ4 2018","FQ4 2018","Currency=INR","Period=FQ","BEST_FPERIOD_OVERRIDE=FQ","FILING_STATUS=OR","EQY_CONSOLIDATED=Y","Sort=A","Dates=H","DateFormat=P","Fill=—","Direction=H","UseDPDF=Y")</f>
        <v>#NAME?</v>
      </c>
      <c r="BW27" s="1" t="e">
        <f ca="1">_xll.BDH($C$3,"BPS_SEQUENTIAL_GROWTH","FQ4 2018","FQ4 2018","Currency=INR","Period=FQ","BEST_FPERIOD_OVERRIDE=FQ","FILING_STATUS=OR","EQY_CONSOLIDATED=Y","Sort=A","Dates=H","DateFormat=P","Fill=—","Direction=H","UseDPDF=Y")</f>
        <v>#NAME?</v>
      </c>
      <c r="BX27" s="1" t="e">
        <f ca="1">_xll.BDH($C$3,"CFO_SEQUENTIAL_GROWTH","FQ4 2018","FQ4 2018","Currency=INR","Period=FQ","BEST_FPERIOD_OVERRIDE=FQ","FILING_STATUS=OR","EQY_CONSOLIDATED=Y","Sort=A","Dates=H","DateFormat=P","Fill=—","Direction=H","UseDPDF=Y")</f>
        <v>#NAME?</v>
      </c>
      <c r="BY27" s="2" t="e">
        <f ca="1">_xll.BDH($C$3,"SHORT_AND_LONG_TERM_DEBT","FQ4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7" s="2" t="e">
        <f ca="1">_xll.BDH($C$3,"BS_ST_BORROW","FQ4 2018","FQ4 2018","Currency=INR","Period=FQ","BEST_FPERIOD_OVERRIDE=FQ","FILING_STATUS=OR","EQY_CONSOLIDATED=Y","SCALING_FORMAT=MLN","Sort=A","Dates=H","DateFormat=P","Fill=—","Direction=H","UseDPDF=Y")</f>
        <v>#NAME?</v>
      </c>
      <c r="CA27" s="2" t="e">
        <f ca="1">_xll.BDH($C$3,"BS_LT_BORROW","FQ4 2018","FQ4 2018","Currency=INR","Period=FQ","BEST_FPERIOD_OVERRIDE=FQ","FILING_STATUS=OR","EQY_CONSOLIDATED=Y","SCALING_FORMAT=MLN","Sort=A","Dates=H","DateFormat=P","Fill=—","Direction=H","UseDPDF=Y")</f>
        <v>#NAME?</v>
      </c>
      <c r="CB27" s="1" t="e">
        <f ca="1">_xll.BDH($C$3,"TOT_DEBT_TO_EBITDA","FQ4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7" s="1" t="e">
        <f ca="1">_xll.BDH($C$3,"NET_DEBT_TO_EBITDA","FQ4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7" s="1" t="e">
        <f ca="1">_xll.BDH($C$3,"TOTAL_DEBT_TO_EBIT","FQ4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7" s="1" t="e">
        <f ca="1">_xll.BDH($C$3,"NET_DEBT_TO_EBIT","FQ4 2018","FQ4 2018","Currency=INR","Period=FQ","BEST_FPERIOD_OVERRIDE=FQ","FILING_STATUS=OR","EQY_CONSOLIDATED=Y","FA_ADJUSTED=GAAP","Sort=A","Dates=H","DateFormat=P","Fill=—","Direction=H","UseDPDF=Y")</f>
        <v>#NAME?</v>
      </c>
      <c r="CF27" s="1" t="e">
        <f ca="1">_xll.BDH($C$3,"EBITDA_TO_INTEREST_EXPN","FQ4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7" s="1" t="e">
        <f ca="1">_xll.BDH($C$3,"COM_EQY_TO_TOT_ASSET","FQ4 2018","FQ4 2018","Currency=INR","Period=FQ","BEST_FPERIOD_OVERRIDE=FQ","FILING_STATUS=OR","EQY_CONSOLIDATED=Y","Sort=A","Dates=H","DateFormat=P","Fill=—","Direction=H","UseDPDF=Y")</f>
        <v>#NAME?</v>
      </c>
      <c r="CH27" s="1" t="e">
        <f ca="1">_xll.BDH($C$3,"LT_DEBT_TO_TOT_EQY","FQ4 2018","FQ4 2018","Currency=INR","Period=FQ","BEST_FPERIOD_OVERRIDE=FQ","FILING_STATUS=OR","EQY_CONSOLIDATED=Y","Sort=A","Dates=H","DateFormat=P","Fill=—","Direction=H","UseDPDF=Y")</f>
        <v>#NAME?</v>
      </c>
      <c r="CI27" s="1" t="e">
        <f ca="1">_xll.BDH($C$3,"LT_DEBT_TO_TOT_CAP","FQ4 2018","FQ4 2018","Currency=INR","Period=FQ","BEST_FPERIOD_OVERRIDE=FQ","FILING_STATUS=OR","EQY_CONSOLIDATED=Y","Sort=A","Dates=H","DateFormat=P","Fill=—","Direction=H","UseDPDF=Y")</f>
        <v>#NAME?</v>
      </c>
      <c r="CJ27" s="1" t="e">
        <f ca="1">_xll.BDH($C$3,"LT_DEBT_TO_TOT_ASSET","FQ4 2018","FQ4 2018","Currency=INR","Period=FQ","BEST_FPERIOD_OVERRIDE=FQ","FILING_STATUS=OR","EQY_CONSOLIDATED=Y","Sort=A","Dates=H","DateFormat=P","Fill=—","Direction=H","UseDPDF=Y")</f>
        <v>#NAME?</v>
      </c>
      <c r="CK27" s="1" t="e">
        <f ca="1">_xll.BDH($C$3,"TOT_DEBT_TO_TOT_EQY","FQ4 2018","FQ4 2018","Currency=INR","Period=FQ","BEST_FPERIOD_OVERRIDE=FQ","FILING_STATUS=OR","EQY_CONSOLIDATED=Y","Sort=A","Dates=H","DateFormat=P","Fill=—","Direction=H","UseDPDF=Y")</f>
        <v>#NAME?</v>
      </c>
      <c r="CL27" s="1" t="e">
        <f ca="1">_xll.BDH($C$3,"TOT_DEBT_TO_TOT_CAP","FQ4 2018","FQ4 2018","Currency=INR","Period=FQ","BEST_FPERIOD_OVERRIDE=FQ","FILING_STATUS=OR","EQY_CONSOLIDATED=Y","Sort=A","Dates=H","DateFormat=P","Fill=—","Direction=H","UseDPDF=Y")</f>
        <v>#NAME?</v>
      </c>
      <c r="CM27" s="1" t="e">
        <f ca="1">_xll.BDH($C$3,"TOT_DEBT_TO_TOT_ASSET","FQ4 2018","FQ4 2018","Currency=INR","Period=FQ","BEST_FPERIOD_OVERRIDE=FQ","FILING_STATUS=OR","EQY_CONSOLIDATED=Y","Sort=A","Dates=H","DateFormat=P","Fill=—","Direction=H","UseDPDF=Y")</f>
        <v>#NAME?</v>
      </c>
      <c r="CN27" s="1" t="e">
        <f ca="1">_xll.BDH($C$3,"NET_DEBT_TO_SHRHLDR_EQTY","FQ4 2018","FQ4 2018","Currency=INR","Period=FQ","BEST_FPERIOD_OVERRIDE=FQ","FILING_STATUS=OR","EQY_CONSOLIDATED=Y","Sort=A","Dates=H","DateFormat=P","Fill=—","Direction=H","UseDPDF=Y")</f>
        <v>#NAME?</v>
      </c>
      <c r="CO27" s="1" t="e">
        <f ca="1">_xll.BDH($C$3,"NET_DEBT_%_CAPITAL","FQ4 2018","FQ4 2018","Currency=INR","Period=FQ","BEST_FPERIOD_OVERRIDE=FQ","FILING_STATUS=OR","EQY_CONSOLIDATED=Y","Sort=A","Dates=H","DateFormat=P","Fill=—","Direction=H","UseDPDF=Y")</f>
        <v>#NAME?</v>
      </c>
      <c r="CP27" s="2" t="e">
        <f ca="1">_xll.BDH($C$3,"EBITDA","FQ4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7" s="2" t="e">
        <f ca="1">_xll.BDH($C$3,"EBITDA_AFTER_CAPEX","FQ4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7" s="2" t="e">
        <f ca="1">_xll.BDH($C$3,"IS_OPER_INC","FQ4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7" s="1" t="e">
        <f ca="1">_xll.BDH($C$3,"CASH_RATIO","FQ4 2018","FQ4 2018","Currency=INR","Period=FQ","BEST_FPERIOD_OVERRIDE=FQ","FILING_STATUS=OR","EQY_CONSOLIDATED=Y","Sort=A","Dates=H","DateFormat=P","Fill=—","Direction=H","UseDPDF=Y")</f>
        <v>#NAME?</v>
      </c>
      <c r="CT27" s="1" t="e">
        <f ca="1">_xll.BDH($C$3,"CUR_RATIO","FQ4 2018","FQ4 2018","Currency=INR","Period=FQ","BEST_FPERIOD_OVERRIDE=FQ","FILING_STATUS=OR","EQY_CONSOLIDATED=Y","Sort=A","Dates=H","DateFormat=P","Fill=—","Direction=H","UseDPDF=Y")</f>
        <v>#NAME?</v>
      </c>
      <c r="CU27" s="1" t="e">
        <f ca="1">_xll.BDH($C$3,"QUICK_RATIO","FQ4 2018","FQ4 2018","Currency=INR","Period=FQ","BEST_FPERIOD_OVERRIDE=FQ","FILING_STATUS=OR","EQY_CONSOLIDATED=Y","Sort=A","Dates=H","DateFormat=P","Fill=—","Direction=H","UseDPDF=Y")</f>
        <v>#NAME?</v>
      </c>
      <c r="CV27" s="1" t="e">
        <f ca="1">_xll.BDH($C$3,"ALTMAN_Z_SCORE","FQ4 2018","FQ4 2018","Currency=INR","Period=FQ","BEST_FPERIOD_OVERRIDE=FQ","FILING_STATUS=OR","EQY_CONSOLIDATED=Y","Sort=A","Dates=H","DateFormat=P","Fill=—","Direction=H","UseDPDF=Y")</f>
        <v>#NAME?</v>
      </c>
      <c r="CW27" s="3" t="e">
        <f ca="1">_xll.BDH($C$3,"ACCT_RCV_TURN","FQ4 2018","FQ4 2018","Currency=INR","Period=FQ","BEST_FPERIOD_OVERRIDE=FQ","FILING_STATUS=OR","EQY_CONSOLIDATED=Y","FA_ADJUSTED=GAAP","Sort=A","Dates=H","DateFormat=P","Fill=—","Direction=H","UseDPDF=Y")</f>
        <v>#NAME?</v>
      </c>
      <c r="CX27" s="1" t="e">
        <f ca="1">_xll.BDH($C$3,"ACCT_RCV_DAYS","FQ4 2018","FQ4 2018","Currency=INR","Period=FQ","BEST_FPERIOD_OVERRIDE=FQ","FILING_STATUS=OR","EQY_CONSOLIDATED=Y","FA_ADJUSTED=GAAP","Sort=A","Dates=H","DateFormat=P","Fill=—","Direction=H","UseDPDF=Y")</f>
        <v>#NAME?</v>
      </c>
      <c r="CY27" s="3" t="e">
        <f ca="1">_xll.BDH($C$3,"INVENT_TURN","FQ4 2018","FQ4 2018","Currency=INR","Period=FQ","BEST_FPERIOD_OVERRIDE=FQ","FILING_STATUS=OR","EQY_CONSOLIDATED=Y","FA_ADJUSTED=GAAP","Sort=A","Dates=H","DateFormat=P","Fill=—","Direction=H","UseDPDF=Y")</f>
        <v>#NAME?</v>
      </c>
      <c r="CZ27" s="1" t="e">
        <f ca="1">_xll.BDH($C$3,"INVENT_DAYS","FQ4 2018","FQ4 2018","Currency=INR","Period=FQ","BEST_FPERIOD_OVERRIDE=FQ","FILING_STATUS=OR","EQY_CONSOLIDATED=Y","FA_ADJUSTED=GAAP","Sort=A","Dates=H","DateFormat=P","Fill=—","Direction=H","UseDPDF=Y")</f>
        <v>#NAME?</v>
      </c>
      <c r="DA27" s="3" t="e">
        <f ca="1">_xll.BDH($C$3,"ACCOUNTS_PAYABLE_TURNOVER","FQ4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7" s="1" t="e">
        <f ca="1">_xll.BDH($C$3,"ACCOUNTS_PAYABLE_TURNOVER_DAYS","FQ4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7" s="3" t="e">
        <f ca="1">_xll.BDH($C$3,"CASH_CONVERSION_CYCLE","FQ4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7" s="3" t="e">
        <f ca="1">_xll.BDH($C$3,"INV_TO_CASH_DAYS","FQ4 2018","FQ4 2018","Currency=INR","Period=FQ","BEST_FPERIOD_OVERRIDE=FQ","FILING_STATUS=OR","EQY_CONSOLIDATED=Y","FA_ADJUSTED=GAAP","Sort=A","Dates=H","DateFormat=P","Fill=—","Direction=H","UseDPDF=Y")</f>
        <v>#NAME?</v>
      </c>
      <c r="DE27" s="4" t="e">
        <f ca="1">_xll.BDH($C$3,"BS_INVENTORIES","FQ4 2018","FQ4 2018","Currency=INR","Period=FQ","BEST_FPERIOD_OVERRIDE=FQ","FILING_STATUS=OR","EQY_CONSOLIDATED=Y","SCALING_FORMAT=MLN","Sort=A","Dates=H","DateFormat=P","Fill=—","Direction=H","UseDPDF=Y")</f>
        <v>#NAME?</v>
      </c>
      <c r="DF27" s="2" t="e">
        <f ca="1">_xll.BDH($C$3,"INVTRY_RAW_MATERIALS","FQ4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7" s="2" t="e">
        <f ca="1">_xll.BDH($C$3,"INVTRY_IN_PROGRESS","FQ4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7" s="2" t="e">
        <f ca="1">_xll.BDH($C$3,"INVTRY_FINISHED_GOODS","FQ4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7" s="2" t="e">
        <f ca="1">_xll.BDH($C$3,"BS_OTHER_INV","FQ4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8" spans="1:113" x14ac:dyDescent="0.3">
      <c r="A28" s="6">
        <v>52</v>
      </c>
      <c r="B28" s="6" t="s">
        <v>12</v>
      </c>
      <c r="C28" s="6" t="s">
        <v>13</v>
      </c>
      <c r="D28" s="6" t="s">
        <v>2</v>
      </c>
      <c r="E28" t="s">
        <v>3</v>
      </c>
      <c r="F28" t="e">
        <f ca="1">_xll.BDH($C$28,"RETURN_COM_EQY","FY 2014","FY 2014","Currency=INR","Period=FY","BEST_FPERIOD_OVERRIDE=FY","FILING_STATUS=OR","EQY_CONSOLIDATED=Y","FA_ADJUSTED=GAAP","Sort=A","Dates=H","DateFormat=P","Fill=—","Direction=H","UseDPDF=Y")</f>
        <v>#NAME?</v>
      </c>
      <c r="G28" t="e">
        <f ca="1">_xll.BDH($C$28,"RETURN_ON_ASSET","FY 2014","FY 2014","Currency=INR","Period=FY","BEST_FPERIOD_OVERRIDE=FY","FILING_STATUS=OR","EQY_CONSOLIDATED=Y","FA_ADJUSTED=GAAP","Sort=A","Dates=H","DateFormat=P","Fill=—","Direction=H","UseDPDF=Y")</f>
        <v>#NAME?</v>
      </c>
      <c r="H28" t="e">
        <f ca="1">_xll.BDH($C$28,"RETURN_ON_CAP","FY 2014","FY 2014","Currency=INR","Period=FY","BEST_FPERIOD_OVERRIDE=FY","FILING_STATUS=OR","EQY_CONSOLIDATED=Y","FA_ADJUSTED=GAAP","Sort=A","Dates=H","DateFormat=P","Fill=—","Direction=H","UseDPDF=Y")</f>
        <v>#NAME?</v>
      </c>
      <c r="I28" t="e">
        <f ca="1">_xll.BDH($C$28,"RETURN_ON_INV_CAPITAL","FY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8" t="e">
        <f ca="1">_xll.BDH($C$28,"EBITDA_TO_REVENUE","FY 2014","FY 2014","Currency=INR","Period=FY","BEST_FPERIOD_OVERRIDE=FY","FILING_STATUS=OR","EQY_CONSOLIDATED=Y","FA_ADJUSTED=GAAP","Sort=A","Dates=H","DateFormat=P","Fill=—","Direction=H","UseDPDF=Y")</f>
        <v>#NAME?</v>
      </c>
      <c r="K28" t="e">
        <f ca="1">_xll.BDH($C$28,"OPER_MARGIN","FY 2014","FY 2014","Currency=INR","Period=FY","BEST_FPERIOD_OVERRIDE=FY","FILING_STATUS=OR","EQY_CONSOLIDATED=Y","FA_ADJUSTED=GAAP","Sort=A","Dates=H","DateFormat=P","Fill=—","Direction=H","UseDPDF=Y")</f>
        <v>#NAME?</v>
      </c>
      <c r="L28" t="e">
        <f ca="1">_xll.BDH($C$28,"INCREMENTAL_OPERATING_MARGIN","FY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8" t="e">
        <f ca="1">_xll.BDH($C$28,"PRETAX_INC_TO_NET_SALES","FY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8" t="e">
        <f ca="1">_xll.BDH($C$28,"INC_BEF_XO_ITEMS_TO_NET_SALES","FY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8" t="e">
        <f ca="1">_xll.BDH($C$28,"PROF_MARGIN","FY 2014","FY 2014","Currency=INR","Period=FY","BEST_FPERIOD_OVERRIDE=FY","FILING_STATUS=OR","EQY_CONSOLIDATED=Y","FA_ADJUSTED=GAAP","Sort=A","Dates=H","DateFormat=P","Fill=—","Direction=H","UseDPDF=Y")</f>
        <v>#NAME?</v>
      </c>
      <c r="P28" t="e">
        <f ca="1">_xll.BDH($C$28,"NET_INCOME_TO_COMMON_MARGIN","FY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8" t="e">
        <f ca="1">_xll.BDH($C$28,"EFF_TAX_RATE","FY 2014","FY 2014","Currency=INR","Period=FY","BEST_FPERIOD_OVERRIDE=FY","FILING_STATUS=OR","EQY_CONSOLIDATED=Y","FA_ADJUSTED=GAAP","Sort=A","Dates=H","DateFormat=P","Fill=—","Direction=H","UseDPDF=Y")</f>
        <v>#NAME?</v>
      </c>
      <c r="R28" t="e">
        <f ca="1">_xll.BDH($C$28,"DVD_PAYOUT_RATIO","FY 2014","FY 2014","Currency=INR","Period=FY","BEST_FPERIOD_OVERRIDE=FY","FILING_STATUS=OR","EQY_CONSOLIDATED=Y","FA_ADJUSTED=GAAP","Sort=A","Dates=H","DateFormat=P","Fill=—","Direction=H","UseDPDF=Y")</f>
        <v>#NAME?</v>
      </c>
      <c r="S28" t="e">
        <f ca="1">_xll.BDH($C$28,"SUSTAIN_GROWTH_RT","FY 2014","FY 2014","Currency=INR","Period=FY","BEST_FPERIOD_OVERRIDE=FY","FILING_STATUS=OR","EQY_CONSOLIDATED=Y","FA_ADJUSTED=GAAP","Sort=A","Dates=H","DateFormat=P","Fill=—","Direction=H","UseDPDF=Y")</f>
        <v>#NAME?</v>
      </c>
      <c r="T28" s="1" t="e">
        <f ca="1">_xll.BDH($C$28,"SALES_GROWTH","FY 2014","FY 2014","Currency=INR","Period=FY","BEST_FPERIOD_OVERRIDE=FY","FILING_STATUS=OR","EQY_CONSOLIDATED=Y","FA_ADJUSTED=GAAP","Sort=A","Dates=H","DateFormat=P","Fill=—","Direction=H","UseDPDF=Y")</f>
        <v>#NAME?</v>
      </c>
      <c r="U28" s="1" t="e">
        <f ca="1">_xll.BDH($C$28,"EBITDA_GROWTH","FY 2014","FY 2014","Currency=INR","Period=FY","BEST_FPERIOD_OVERRIDE=FY","FILING_STATUS=OR","EQY_CONSOLIDATED=Y","FA_ADJUSTED=GAAP","Sort=A","Dates=H","DateFormat=P","Fill=—","Direction=H","UseDPDF=Y")</f>
        <v>#NAME?</v>
      </c>
      <c r="V28" s="1" t="e">
        <f ca="1">_xll.BDH($C$28,"OPER_INC_GROWTH","FY 2014","FY 2014","Currency=INR","Period=FY","BEST_FPERIOD_OVERRIDE=FY","FILING_STATUS=OR","EQY_CONSOLIDATED=Y","FA_ADJUSTED=GAAP","Sort=A","Dates=H","DateFormat=P","Fill=—","Direction=H","UseDPDF=Y")</f>
        <v>#NAME?</v>
      </c>
      <c r="W28" s="1" t="e">
        <f ca="1">_xll.BDH($C$28,"EARN_FOR_COM_GROWTH","FY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28" s="1" t="e">
        <f ca="1">_xll.BDH($C$28,"DILUTED_EPS_AFT_XO_ITEMS_GROWTH","FY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8" s="1" t="e">
        <f ca="1">_xll.BDH($C$28,"DIVIDEND_PER_SHARE_1_YEAR_GROWTH","FY 2014","FY 2014","Currency=INR","Period=FY","BEST_FPERIOD_OVERRIDE=FY","FILING_STATUS=OR","EQY_CONSOLIDATED=Y","Sort=A","Dates=H","DateFormat=P","Fill=—","Direction=H","UseDPDF=Y")</f>
        <v>#NAME?</v>
      </c>
      <c r="Z28" s="1" t="e">
        <f ca="1">_xll.BDH($C$28,"ACCOUNTS_RECEIVABLE_GROWTH","FY 2014","FY 2014","Currency=INR","Period=FY","BEST_FPERIOD_OVERRIDE=FY","FILING_STATUS=OR","EQY_CONSOLIDATED=Y","Sort=A","Dates=H","DateFormat=P","Fill=—","Direction=H","UseDPDF=Y")</f>
        <v>#NAME?</v>
      </c>
      <c r="AA28" s="1" t="e">
        <f ca="1">_xll.BDH($C$28,"INVENTORY_GROWTH","FY 2014","FY 2014","Currency=INR","Period=FY","BEST_FPERIOD_OVERRIDE=FY","FILING_STATUS=OR","EQY_CONSOLIDATED=Y","Sort=A","Dates=H","DateFormat=P","Fill=—","Direction=H","UseDPDF=Y")</f>
        <v>#NAME?</v>
      </c>
      <c r="AB28" s="1" t="e">
        <f ca="1">_xll.BDH($C$28,"NET_FIXED_ASSETS_1_YEAR_GROWTH","FY 2014","FY 2014","Currency=INR","Period=FY","BEST_FPERIOD_OVERRIDE=FY","FILING_STATUS=OR","EQY_CONSOLIDATED=Y","Sort=A","Dates=H","DateFormat=P","Fill=—","Direction=H","UseDPDF=Y")</f>
        <v>#NAME?</v>
      </c>
      <c r="AC28" s="1" t="e">
        <f ca="1">_xll.BDH($C$28,"ASSET_GROWTH","FY 2014","FY 2014","Currency=INR","Period=FY","BEST_FPERIOD_OVERRIDE=FY","FILING_STATUS=OR","EQY_CONSOLIDATED=Y","Sort=A","Dates=H","DateFormat=P","Fill=—","Direction=H","UseDPDF=Y")</f>
        <v>#NAME?</v>
      </c>
      <c r="AD28" s="1" t="e">
        <f ca="1">_xll.BDH($C$28,"MODIFIED_WORK_CAP_GROWTH","FY 2014","FY 2014","Currency=INR","Period=FY","BEST_FPERIOD_OVERRIDE=FY","FILING_STATUS=OR","EQY_CONSOLIDATED=Y","Sort=A","Dates=H","DateFormat=P","Fill=—","Direction=H","UseDPDF=Y")</f>
        <v>#NAME?</v>
      </c>
      <c r="AE28" s="1" t="e">
        <f ca="1">_xll.BDH($C$28,"WORK_CAP_GROWTH","FY 2014","FY 2014","Currency=INR","Period=FY","BEST_FPERIOD_OVERRIDE=FY","FILING_STATUS=OR","EQY_CONSOLIDATED=Y","Sort=A","Dates=H","DateFormat=P","Fill=—","Direction=H","UseDPDF=Y")</f>
        <v>#NAME?</v>
      </c>
      <c r="AF28" s="1" t="e">
        <f ca="1">_xll.BDH($C$28,"ACCOUNTS_PAYABLE_GROWTH_1YR","FY 2014","FY 2014","Currency=INR","Period=FY","BEST_FPERIOD_OVERRIDE=FY","FILING_STATUS=OR","EQY_CONSOLIDATED=Y","Sort=A","Dates=H","DateFormat=P","Fill=—","Direction=H","UseDPDF=Y")</f>
        <v>#NAME?</v>
      </c>
      <c r="AG28" s="1" t="e">
        <f ca="1">_xll.BDH($C$28,"SHORT_TERM_DEBT_1_YEAR_GROWTH","FY 2014","FY 2014","Currency=INR","Period=FY","BEST_FPERIOD_OVERRIDE=FY","FILING_STATUS=OR","EQY_CONSOLIDATED=Y","Sort=A","Dates=H","DateFormat=P","Fill=—","Direction=H","UseDPDF=Y")</f>
        <v>#NAME?</v>
      </c>
      <c r="AH28" s="1" t="e">
        <f ca="1">_xll.BDH($C$28,"TOTAL_DEBT_1_YEAR_GROWTH","FY 2014","FY 2014","Currency=INR","Period=FY","BEST_FPERIOD_OVERRIDE=FY","FILING_STATUS=OR","EQY_CONSOLIDATED=Y","Sort=A","Dates=H","DateFormat=P","Fill=—","Direction=H","UseDPDF=Y")</f>
        <v>#NAME?</v>
      </c>
      <c r="AI28" s="1" t="e">
        <f ca="1">_xll.BDH($C$28,"TOTAL_EQUITY_1_YEAR_GROWTH","FY 2014","FY 2014","Currency=INR","Period=FY","BEST_FPERIOD_OVERRIDE=FY","FILING_STATUS=OR","EQY_CONSOLIDATED=Y","Sort=A","Dates=H","DateFormat=P","Fill=—","Direction=H","UseDPDF=Y")</f>
        <v>#NAME?</v>
      </c>
      <c r="AJ28" s="1" t="e">
        <f ca="1">_xll.BDH($C$28,"GROWTH_IN_CAP","FY 2014","FY 2014","Currency=INR","Period=FY","BEST_FPERIOD_OVERRIDE=FY","FILING_STATUS=OR","EQY_CONSOLIDATED=Y","Sort=A","Dates=H","DateFormat=P","Fill=—","Direction=H","UseDPDF=Y")</f>
        <v>#NAME?</v>
      </c>
      <c r="AK28" s="1" t="e">
        <f ca="1">_xll.BDH($C$28,"BVPS_GROWTH","FY 2014","FY 2014","Currency=INR","Period=FY","BEST_FPERIOD_OVERRIDE=FY","FILING_STATUS=OR","EQY_CONSOLIDATED=Y","Sort=A","Dates=H","DateFormat=P","Fill=—","Direction=H","UseDPDF=Y")</f>
        <v>#NAME?</v>
      </c>
      <c r="AL28" s="1" t="e">
        <f ca="1">_xll.BDH($C$28,"CASH_FLOW_GROWTH","FY 2014","FY 2014","Currency=INR","Period=FY","BEST_FPERIOD_OVERRIDE=FY","FILING_STATUS=OR","EQY_CONSOLIDATED=Y","Sort=A","Dates=H","DateFormat=P","Fill=—","Direction=H","UseDPDF=Y")</f>
        <v>#NAME?</v>
      </c>
      <c r="AM28" s="1" t="e">
        <f ca="1">_xll.BDH($C$28,"GEO_GROW_NET_SALES","FY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28" s="1" t="e">
        <f ca="1">_xll.BDH($C$28,"GEO_GROW_EBITDA","FY 2014","FY 2014","Currency=INR","Period=FY","BEST_FPERIOD_OVERRIDE=FY","FILING_STATUS=OR","EQY_CONSOLIDATED=Y","FA_ADJUSTED=GAAP","Sort=A","Dates=H","DateFormat=P","Fill=—","Direction=H","UseDPDF=Y")</f>
        <v>#NAME?</v>
      </c>
      <c r="AO28" s="1" t="e">
        <f ca="1">_xll.BDH($C$28,"GEO_GROW_OPER_INC","FY 2014","FY 2014","Currency=INR","Period=FY","BEST_FPERIOD_OVERRIDE=FY","FILING_STATUS=OR","EQY_CONSOLIDATED=Y","FA_ADJUSTED=GAAP","Sort=A","Dates=H","DateFormat=P","Fill=—","Direction=H","UseDPDF=Y")</f>
        <v>#NAME?</v>
      </c>
      <c r="AP28" s="1" t="e">
        <f ca="1">_xll.BDH($C$28,"NET_INCOME_TO_COMMON_5_YR_GROWTH","FY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8" s="1" t="e">
        <f ca="1">_xll.BDH($C$28,"5Y_GEO_GROWTH_DILUTED_EPS","FY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8" s="1" t="e">
        <f ca="1">_xll.BDH($C$28,"GEO_GROW_DVD_PER_SH","FY 2014","FY 2014","Currency=INR","Period=FY","BEST_FPERIOD_OVERRIDE=FY","FILING_STATUS=OR","EQY_CONSOLIDATED=Y","Sort=A","Dates=H","DateFormat=P","Fill=—","Direction=H","UseDPDF=Y")</f>
        <v>#NAME?</v>
      </c>
      <c r="AS28" s="1" t="e">
        <f ca="1">_xll.BDH($C$28,"ACCOUNTS_RECEIVABLE_5_YR_GROWTH","FY 2014","FY 2014","Currency=INR","Period=FY","BEST_FPERIOD_OVERRIDE=FY","FILING_STATUS=OR","EQY_CONSOLIDATED=Y","Sort=A","Dates=H","DateFormat=P","Fill=—","Direction=H","UseDPDF=Y")</f>
        <v>#NAME?</v>
      </c>
      <c r="AT28" s="1" t="e">
        <f ca="1">_xll.BDH($C$28,"INVENTORY_5_YEAR_GROWTH","FY 2014","FY 2014","Currency=INR","Period=FY","BEST_FPERIOD_OVERRIDE=FY","FILING_STATUS=OR","EQY_CONSOLIDATED=Y","Sort=A","Dates=H","DateFormat=P","Fill=—","Direction=H","UseDPDF=Y")</f>
        <v>#NAME?</v>
      </c>
      <c r="AU28" s="1" t="e">
        <f ca="1">_xll.BDH($C$28,"NET_FIXED_ASSETS_5_YEAR_GROWTH","FY 2014","FY 2014","Currency=INR","Period=FY","BEST_FPERIOD_OVERRIDE=FY","FILING_STATUS=OR","EQY_CONSOLIDATED=Y","Sort=A","Dates=H","DateFormat=P","Fill=—","Direction=H","UseDPDF=Y")</f>
        <v>#NAME?</v>
      </c>
      <c r="AV28" s="1" t="e">
        <f ca="1">_xll.BDH($C$28,"GEO_GROW_TOT_ASSET","FY 2014","FY 2014","Currency=INR","Period=FY","BEST_FPERIOD_OVERRIDE=FY","FILING_STATUS=OR","EQY_CONSOLIDATED=Y","Sort=A","Dates=H","DateFormat=P","Fill=—","Direction=H","UseDPDF=Y")</f>
        <v>#NAME?</v>
      </c>
      <c r="AW28" s="1" t="e">
        <f ca="1">_xll.BDH($C$28,"MODIFIED_WORKING_CPTL_5YR_GRWTH","FY 2014","FY 2014","Currency=INR","Period=FY","BEST_FPERIOD_OVERRIDE=FY","FILING_STATUS=OR","EQY_CONSOLIDATED=Y","Sort=A","Dates=H","DateFormat=P","Fill=—","Direction=H","UseDPDF=Y")</f>
        <v>#NAME?</v>
      </c>
      <c r="AX28" s="1" t="e">
        <f ca="1">_xll.BDH($C$28,"WORKING_CAPITAL_5_YEAR_GROWTH","FY 2014","FY 2014","Currency=INR","Period=FY","BEST_FPERIOD_OVERRIDE=FY","FILING_STATUS=OR","EQY_CONSOLIDATED=Y","Sort=A","Dates=H","DateFormat=P","Fill=—","Direction=H","UseDPDF=Y")</f>
        <v>#NAME?</v>
      </c>
      <c r="AY28" s="1" t="e">
        <f ca="1">_xll.BDH($C$28,"ACCOUNTS_PAYABLE_5_YEAR_GROWTH","FY 2014","FY 2014","Currency=INR","Period=FY","BEST_FPERIOD_OVERRIDE=FY","FILING_STATUS=OR","EQY_CONSOLIDATED=Y","Sort=A","Dates=H","DateFormat=P","Fill=—","Direction=H","UseDPDF=Y")</f>
        <v>#NAME?</v>
      </c>
      <c r="AZ28" s="1" t="e">
        <f ca="1">_xll.BDH($C$28,"SHORT_TERM_DEBT_5_YEAR_GROWTH","FY 2014","FY 2014","Currency=INR","Period=FY","BEST_FPERIOD_OVERRIDE=FY","FILING_STATUS=OR","EQY_CONSOLIDATED=Y","Sort=A","Dates=H","DateFormat=P","Fill=—","Direction=H","UseDPDF=Y")</f>
        <v>#NAME?</v>
      </c>
      <c r="BA28" s="1" t="e">
        <f ca="1">_xll.BDH($C$28,"TOTAL_DEBT_5_YEAR_GROWTH","FY 2014","FY 2014","Currency=INR","Period=FY","BEST_FPERIOD_OVERRIDE=FY","FILING_STATUS=OR","EQY_CONSOLIDATED=Y","Sort=A","Dates=H","DateFormat=P","Fill=—","Direction=H","UseDPDF=Y")</f>
        <v>#NAME?</v>
      </c>
      <c r="BB28" s="1" t="e">
        <f ca="1">_xll.BDH($C$28,"GEO_GROW_TOT_SHRHLDR_EQY","FY 2014","FY 2014","Currency=INR","Period=FY","BEST_FPERIOD_OVERRIDE=FY","FILING_STATUS=OR","EQY_CONSOLIDATED=Y","Sort=A","Dates=H","DateFormat=P","Fill=—","Direction=H","UseDPDF=Y")</f>
        <v>#NAME?</v>
      </c>
      <c r="BC28" s="1" t="e">
        <f ca="1">_xll.BDH($C$28,"TOTAL_CAPITAL_5_YEAR_GROWTH","FY 2014","FY 2014","Currency=INR","Period=FY","BEST_FPERIOD_OVERRIDE=FY","FILING_STATUS=OR","EQY_CONSOLIDATED=Y","Sort=A","Dates=H","DateFormat=P","Fill=—","Direction=H","UseDPDF=Y")</f>
        <v>#NAME?</v>
      </c>
      <c r="BD28" s="1" t="e">
        <f ca="1">_xll.BDH($C$28,"GEO_GROW_BOOK_VAL","FY 2014","FY 2014","Currency=INR","Period=FY","BEST_FPERIOD_OVERRIDE=FY","FILING_STATUS=OR","EQY_CONSOLIDATED=Y","Sort=A","Dates=H","DateFormat=P","Fill=—","Direction=H","UseDPDF=Y")</f>
        <v>#NAME?</v>
      </c>
      <c r="BE28" s="1" t="e">
        <f ca="1">_xll.BDH($C$28,"GEO_GROW_CASH_OPER_ACT","FY 2014","FY 2014","Currency=INR","Period=FY","BEST_FPERIOD_OVERRIDE=FY","FILING_STATUS=OR","EQY_CONSOLIDATED=Y","Sort=A","Dates=H","DateFormat=P","Fill=—","Direction=H","UseDPDF=Y")</f>
        <v>#NAME?</v>
      </c>
      <c r="BF28" s="1" t="e">
        <f ca="1">_xll.BDH($C$28,"REVENUE_SEQUENTIAL_GROWTH","FY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8" s="1" t="e">
        <f ca="1">_xll.BDH($C$28,"EBITDA_SEQUENTIAL_GROWTH","FY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8" s="1" t="e">
        <f ca="1">_xll.BDH($C$28,"OPERATING_INCOME_SEQ_GROWTH","FY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8" s="1" t="e">
        <f ca="1">_xll.BDH($C$28,"NET_INCOME_TO_COMMON_SEQ_GROWTH","FY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8" s="1" t="e">
        <f ca="1">_xll.BDH($C$28,"EPS_DILUTED_SEQUENTIAL_GROWTH","FY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8" s="1" t="e">
        <f ca="1">_xll.BDH($C$28,"DPS_SEQUENTIAL_GROWTH","FY 2014","FY 2014","Currency=INR","Period=FY","BEST_FPERIOD_OVERRIDE=FY","FILING_STATUS=OR","EQY_CONSOLIDATED=Y","Sort=A","Dates=H","DateFormat=P","Fill=—","Direction=H","UseDPDF=Y")</f>
        <v>#NAME?</v>
      </c>
      <c r="BL28" s="1" t="e">
        <f ca="1">_xll.BDH($C$28,"ACCOUNTS_RECEIVABLE_SEQ_GROWTH","FY 2014","FY 2014","Currency=INR","Period=FY","BEST_FPERIOD_OVERRIDE=FY","FILING_STATUS=OR","EQY_CONSOLIDATED=Y","Sort=A","Dates=H","DateFormat=P","Fill=—","Direction=H","UseDPDF=Y")</f>
        <v>#NAME?</v>
      </c>
      <c r="BM28" s="1" t="e">
        <f ca="1">_xll.BDH($C$28,"INVENTORY_SEQUENTIAL_GROWTH","FY 2014","FY 2014","Currency=INR","Period=FY","BEST_FPERIOD_OVERRIDE=FY","FILING_STATUS=OR","EQY_CONSOLIDATED=Y","Sort=A","Dates=H","DateFormat=P","Fill=—","Direction=H","UseDPDF=Y")</f>
        <v>#NAME?</v>
      </c>
      <c r="BN28" s="1" t="e">
        <f ca="1">_xll.BDH($C$28,"FIXED_ASSETS_SEQUENTIAL_GROWTH","FY 2014","FY 2014","Currency=INR","Period=FY","BEST_FPERIOD_OVERRIDE=FY","FILING_STATUS=OR","EQY_CONSOLIDATED=Y","Sort=A","Dates=H","DateFormat=P","Fill=—","Direction=H","UseDPDF=Y")</f>
        <v>#NAME?</v>
      </c>
      <c r="BO28" s="1" t="e">
        <f ca="1">_xll.BDH($C$28,"TOTAL_ASSETS_SEQUENTIAL_GROWTH","FY 2014","FY 2014","Currency=INR","Period=FY","BEST_FPERIOD_OVERRIDE=FY","FILING_STATUS=OR","EQY_CONSOLIDATED=Y","Sort=A","Dates=H","DateFormat=P","Fill=—","Direction=H","UseDPDF=Y")</f>
        <v>#NAME?</v>
      </c>
      <c r="BP28" s="1" t="e">
        <f ca="1">_xll.BDH($C$28,"MODIFIED_WORKING_CPTL_SEQ_GRWTH","FY 2014","FY 2014","Currency=INR","Period=FY","BEST_FPERIOD_OVERRIDE=FY","FILING_STATUS=OR","EQY_CONSOLIDATED=Y","Sort=A","Dates=H","DateFormat=P","Fill=—","Direction=H","UseDPDF=Y")</f>
        <v>#NAME?</v>
      </c>
      <c r="BQ28" s="1" t="e">
        <f ca="1">_xll.BDH($C$28,"WORKING_CAPITAL_SEQ_GROWTH","FY 2014","FY 2014","Currency=INR","Period=FY","BEST_FPERIOD_OVERRIDE=FY","FILING_STATUS=OR","EQY_CONSOLIDATED=Y","Sort=A","Dates=H","DateFormat=P","Fill=—","Direction=H","UseDPDF=Y")</f>
        <v>#NAME?</v>
      </c>
      <c r="BR28" s="1" t="e">
        <f ca="1">_xll.BDH($C$28,"ACCOUNTS_PAYABLE_SEQ_GROWTH","FY 2014","FY 2014","Currency=INR","Period=FY","BEST_FPERIOD_OVERRIDE=FY","FILING_STATUS=OR","EQY_CONSOLIDATED=Y","Sort=A","Dates=H","DateFormat=P","Fill=—","Direction=H","UseDPDF=Y")</f>
        <v>#NAME?</v>
      </c>
      <c r="BS28" s="1" t="e">
        <f ca="1">_xll.BDH($C$28,"ST_DEBT_SEQUENTIAL_GROWTH","FY 2014","FY 2014","Currency=INR","Period=FY","BEST_FPERIOD_OVERRIDE=FY","FILING_STATUS=OR","EQY_CONSOLIDATED=Y","Sort=A","Dates=H","DateFormat=P","Fill=—","Direction=H","UseDPDF=Y")</f>
        <v>#NAME?</v>
      </c>
      <c r="BT28" s="1" t="e">
        <f ca="1">_xll.BDH($C$28,"TOTAL_DEBT_SEQUENTIAL_GROWTH","FY 2014","FY 2014","Currency=INR","Period=FY","BEST_FPERIOD_OVERRIDE=FY","FILING_STATUS=OR","EQY_CONSOLIDATED=Y","Sort=A","Dates=H","DateFormat=P","Fill=—","Direction=H","UseDPDF=Y")</f>
        <v>#NAME?</v>
      </c>
      <c r="BU28" s="1" t="e">
        <f ca="1">_xll.BDH($C$28,"TOTAL_EQUITY_SEQUENTIAL_GROWTH","FY 2014","FY 2014","Currency=INR","Period=FY","BEST_FPERIOD_OVERRIDE=FY","FILING_STATUS=OR","EQY_CONSOLIDATED=Y","Sort=A","Dates=H","DateFormat=P","Fill=—","Direction=H","UseDPDF=Y")</f>
        <v>#NAME?</v>
      </c>
      <c r="BV28" s="1" t="e">
        <f ca="1">_xll.BDH($C$28,"TOTAL_CAPITAL_SEQUENTIAL_GROWTH","FY 2014","FY 2014","Currency=INR","Period=FY","BEST_FPERIOD_OVERRIDE=FY","FILING_STATUS=OR","EQY_CONSOLIDATED=Y","Sort=A","Dates=H","DateFormat=P","Fill=—","Direction=H","UseDPDF=Y")</f>
        <v>#NAME?</v>
      </c>
      <c r="BW28" s="1" t="e">
        <f ca="1">_xll.BDH($C$28,"BPS_SEQUENTIAL_GROWTH","FY 2014","FY 2014","Currency=INR","Period=FY","BEST_FPERIOD_OVERRIDE=FY","FILING_STATUS=OR","EQY_CONSOLIDATED=Y","Sort=A","Dates=H","DateFormat=P","Fill=—","Direction=H","UseDPDF=Y")</f>
        <v>#NAME?</v>
      </c>
      <c r="BX28" s="1" t="e">
        <f ca="1">_xll.BDH($C$28,"CFO_SEQUENTIAL_GROWTH","FY 2014","FY 2014","Currency=INR","Period=FY","BEST_FPERIOD_OVERRIDE=FY","FILING_STATUS=OR","EQY_CONSOLIDATED=Y","Sort=A","Dates=H","DateFormat=P","Fill=—","Direction=H","UseDPDF=Y")</f>
        <v>#NAME?</v>
      </c>
      <c r="BY28" s="2" t="e">
        <f ca="1">_xll.BDH($C$28,"SHORT_AND_LONG_TERM_DEBT","FY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8" s="2" t="e">
        <f ca="1">_xll.BDH($C$28,"BS_ST_BORROW","FY 2014","FY 2014","Currency=INR","Period=FY","BEST_FPERIOD_OVERRIDE=FY","FILING_STATUS=OR","EQY_CONSOLIDATED=Y","SCALING_FORMAT=MLN","Sort=A","Dates=H","DateFormat=P","Fill=—","Direction=H","UseDPDF=Y")</f>
        <v>#NAME?</v>
      </c>
      <c r="CA28" s="2" t="e">
        <f ca="1">_xll.BDH($C$28,"BS_LT_BORROW","FY 2014","FY 2014","Currency=INR","Period=FY","BEST_FPERIOD_OVERRIDE=FY","FILING_STATUS=OR","EQY_CONSOLIDATED=Y","SCALING_FORMAT=MLN","Sort=A","Dates=H","DateFormat=P","Fill=—","Direction=H","UseDPDF=Y")</f>
        <v>#NAME?</v>
      </c>
      <c r="CB28" s="1" t="e">
        <f ca="1">_xll.BDH($C$28,"TOT_DEBT_TO_EBITDA","FY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28" s="1" t="e">
        <f ca="1">_xll.BDH($C$28,"NET_DEBT_TO_EBITDA","FY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28" s="1" t="e">
        <f ca="1">_xll.BDH($C$28,"TOTAL_DEBT_TO_EBIT","FY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28" s="1" t="e">
        <f ca="1">_xll.BDH($C$28,"NET_DEBT_TO_EBIT","FY 2014","FY 2014","Currency=INR","Period=FY","BEST_FPERIOD_OVERRIDE=FY","FILING_STATUS=OR","EQY_CONSOLIDATED=Y","FA_ADJUSTED=GAAP","Sort=A","Dates=H","DateFormat=P","Fill=—","Direction=H","UseDPDF=Y")</f>
        <v>#NAME?</v>
      </c>
      <c r="CF28" s="1" t="e">
        <f ca="1">_xll.BDH($C$28,"EBITDA_TO_INTEREST_EXPN","FY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8" s="1" t="e">
        <f ca="1">_xll.BDH($C$28,"COM_EQY_TO_TOT_ASSET","FY 2014","FY 2014","Currency=INR","Period=FY","BEST_FPERIOD_OVERRIDE=FY","FILING_STATUS=OR","EQY_CONSOLIDATED=Y","Sort=A","Dates=H","DateFormat=P","Fill=—","Direction=H","UseDPDF=Y")</f>
        <v>#NAME?</v>
      </c>
      <c r="CH28" s="1" t="e">
        <f ca="1">_xll.BDH($C$28,"LT_DEBT_TO_TOT_EQY","FY 2014","FY 2014","Currency=INR","Period=FY","BEST_FPERIOD_OVERRIDE=FY","FILING_STATUS=OR","EQY_CONSOLIDATED=Y","Sort=A","Dates=H","DateFormat=P","Fill=—","Direction=H","UseDPDF=Y")</f>
        <v>#NAME?</v>
      </c>
      <c r="CI28" s="1" t="e">
        <f ca="1">_xll.BDH($C$28,"LT_DEBT_TO_TOT_CAP","FY 2014","FY 2014","Currency=INR","Period=FY","BEST_FPERIOD_OVERRIDE=FY","FILING_STATUS=OR","EQY_CONSOLIDATED=Y","Sort=A","Dates=H","DateFormat=P","Fill=—","Direction=H","UseDPDF=Y")</f>
        <v>#NAME?</v>
      </c>
      <c r="CJ28" s="1" t="e">
        <f ca="1">_xll.BDH($C$28,"LT_DEBT_TO_TOT_ASSET","FY 2014","FY 2014","Currency=INR","Period=FY","BEST_FPERIOD_OVERRIDE=FY","FILING_STATUS=OR","EQY_CONSOLIDATED=Y","Sort=A","Dates=H","DateFormat=P","Fill=—","Direction=H","UseDPDF=Y")</f>
        <v>#NAME?</v>
      </c>
      <c r="CK28" s="1" t="e">
        <f ca="1">_xll.BDH($C$28,"TOT_DEBT_TO_TOT_EQY","FY 2014","FY 2014","Currency=INR","Period=FY","BEST_FPERIOD_OVERRIDE=FY","FILING_STATUS=OR","EQY_CONSOLIDATED=Y","Sort=A","Dates=H","DateFormat=P","Fill=—","Direction=H","UseDPDF=Y")</f>
        <v>#NAME?</v>
      </c>
      <c r="CL28" s="1" t="e">
        <f ca="1">_xll.BDH($C$28,"TOT_DEBT_TO_TOT_CAP","FY 2014","FY 2014","Currency=INR","Period=FY","BEST_FPERIOD_OVERRIDE=FY","FILING_STATUS=OR","EQY_CONSOLIDATED=Y","Sort=A","Dates=H","DateFormat=P","Fill=—","Direction=H","UseDPDF=Y")</f>
        <v>#NAME?</v>
      </c>
      <c r="CM28" s="1" t="e">
        <f ca="1">_xll.BDH($C$28,"TOT_DEBT_TO_TOT_ASSET","FY 2014","FY 2014","Currency=INR","Period=FY","BEST_FPERIOD_OVERRIDE=FY","FILING_STATUS=OR","EQY_CONSOLIDATED=Y","Sort=A","Dates=H","DateFormat=P","Fill=—","Direction=H","UseDPDF=Y")</f>
        <v>#NAME?</v>
      </c>
      <c r="CN28" s="1" t="e">
        <f ca="1">_xll.BDH($C$28,"NET_DEBT_TO_SHRHLDR_EQTY","FY 2014","FY 2014","Currency=INR","Period=FY","BEST_FPERIOD_OVERRIDE=FY","FILING_STATUS=OR","EQY_CONSOLIDATED=Y","Sort=A","Dates=H","DateFormat=P","Fill=—","Direction=H","UseDPDF=Y")</f>
        <v>#NAME?</v>
      </c>
      <c r="CO28" s="1" t="e">
        <f ca="1">_xll.BDH($C$28,"NET_DEBT_%_CAPITAL","FY 2014","FY 2014","Currency=INR","Period=FY","BEST_FPERIOD_OVERRIDE=FY","FILING_STATUS=OR","EQY_CONSOLIDATED=Y","Sort=A","Dates=H","DateFormat=P","Fill=—","Direction=H","UseDPDF=Y")</f>
        <v>#NAME?</v>
      </c>
      <c r="CP28" s="2" t="e">
        <f ca="1">_xll.BDH($C$28,"EBITDA","FY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8" s="2" t="e">
        <f ca="1">_xll.BDH($C$28,"EBITDA_AFTER_CAPEX","FY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8" s="2" t="e">
        <f ca="1">_xll.BDH($C$28,"IS_OPER_INC","FY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8" s="1" t="e">
        <f ca="1">_xll.BDH($C$28,"CASH_RATIO","FY 2014","FY 2014","Currency=INR","Period=FY","BEST_FPERIOD_OVERRIDE=FY","FILING_STATUS=OR","EQY_CONSOLIDATED=Y","Sort=A","Dates=H","DateFormat=P","Fill=—","Direction=H","UseDPDF=Y")</f>
        <v>#NAME?</v>
      </c>
      <c r="CT28" s="1" t="e">
        <f ca="1">_xll.BDH($C$28,"CUR_RATIO","FY 2014","FY 2014","Currency=INR","Period=FY","BEST_FPERIOD_OVERRIDE=FY","FILING_STATUS=OR","EQY_CONSOLIDATED=Y","Sort=A","Dates=H","DateFormat=P","Fill=—","Direction=H","UseDPDF=Y")</f>
        <v>#NAME?</v>
      </c>
      <c r="CU28" s="1" t="e">
        <f ca="1">_xll.BDH($C$28,"QUICK_RATIO","FY 2014","FY 2014","Currency=INR","Period=FY","BEST_FPERIOD_OVERRIDE=FY","FILING_STATUS=OR","EQY_CONSOLIDATED=Y","Sort=A","Dates=H","DateFormat=P","Fill=—","Direction=H","UseDPDF=Y")</f>
        <v>#NAME?</v>
      </c>
      <c r="CV28" s="1" t="e">
        <f ca="1">_xll.BDH($C$28,"ALTMAN_Z_SCORE","FY 2014","FY 2014","Currency=INR","Period=FY","BEST_FPERIOD_OVERRIDE=FY","FILING_STATUS=OR","EQY_CONSOLIDATED=Y","Sort=A","Dates=H","DateFormat=P","Fill=—","Direction=H","UseDPDF=Y")</f>
        <v>#NAME?</v>
      </c>
      <c r="CW28" s="3" t="e">
        <f ca="1">_xll.BDH($C$28,"ACCT_RCV_TURN","FY 2014","FY 2014","Currency=INR","Period=FY","BEST_FPERIOD_OVERRIDE=FY","FILING_STATUS=OR","EQY_CONSOLIDATED=Y","FA_ADJUSTED=GAAP","Sort=A","Dates=H","DateFormat=P","Fill=—","Direction=H","UseDPDF=Y")</f>
        <v>#NAME?</v>
      </c>
      <c r="CX28" s="1" t="e">
        <f ca="1">_xll.BDH($C$28,"ACCT_RCV_DAYS","FY 2014","FY 2014","Currency=INR","Period=FY","BEST_FPERIOD_OVERRIDE=FY","FILING_STATUS=OR","EQY_CONSOLIDATED=Y","FA_ADJUSTED=GAAP","Sort=A","Dates=H","DateFormat=P","Fill=—","Direction=H","UseDPDF=Y")</f>
        <v>#NAME?</v>
      </c>
      <c r="CY28" s="3" t="e">
        <f ca="1">_xll.BDH($C$28,"INVENT_TURN","FY 2014","FY 2014","Currency=INR","Period=FY","BEST_FPERIOD_OVERRIDE=FY","FILING_STATUS=OR","EQY_CONSOLIDATED=Y","FA_ADJUSTED=GAAP","Sort=A","Dates=H","DateFormat=P","Fill=—","Direction=H","UseDPDF=Y")</f>
        <v>#NAME?</v>
      </c>
      <c r="CZ28" s="1" t="e">
        <f ca="1">_xll.BDH($C$28,"INVENT_DAYS","FY 2014","FY 2014","Currency=INR","Period=FY","BEST_FPERIOD_OVERRIDE=FY","FILING_STATUS=OR","EQY_CONSOLIDATED=Y","FA_ADJUSTED=GAAP","Sort=A","Dates=H","DateFormat=P","Fill=—","Direction=H","UseDPDF=Y")</f>
        <v>#NAME?</v>
      </c>
      <c r="DA28" s="3" t="e">
        <f ca="1">_xll.BDH($C$28,"ACCOUNTS_PAYABLE_TURNOVER","FY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8" s="1" t="e">
        <f ca="1">_xll.BDH($C$28,"ACCOUNTS_PAYABLE_TURNOVER_DAYS","FY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8" s="3" t="e">
        <f ca="1">_xll.BDH($C$28,"CASH_CONVERSION_CYCLE","FY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8" s="3" t="e">
        <f ca="1">_xll.BDH($C$28,"INV_TO_CASH_DAYS","FY 2014","FY 2014","Currency=INR","Period=FY","BEST_FPERIOD_OVERRIDE=FY","FILING_STATUS=OR","EQY_CONSOLIDATED=Y","FA_ADJUSTED=GAAP","Sort=A","Dates=H","DateFormat=P","Fill=—","Direction=H","UseDPDF=Y")</f>
        <v>#NAME?</v>
      </c>
      <c r="DE28" s="4" t="e">
        <f ca="1">_xll.BDH($C$28,"BS_INVENTORIES","FY 2014","FY 2014","Currency=INR","Period=FY","BEST_FPERIOD_OVERRIDE=FY","FILING_STATUS=OR","EQY_CONSOLIDATED=Y","SCALING_FORMAT=MLN","Sort=A","Dates=H","DateFormat=P","Fill=—","Direction=H","UseDPDF=Y")</f>
        <v>#NAME?</v>
      </c>
      <c r="DF28" s="2" t="e">
        <f ca="1">_xll.BDH($C$28,"INVTRY_RAW_MATERIALS","FY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8" s="2" t="e">
        <f ca="1">_xll.BDH($C$28,"INVTRY_IN_PROGRESS","FY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8" s="2" t="e">
        <f ca="1">_xll.BDH($C$28,"INVTRY_FINISHED_GOODS","FY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8" s="2" t="e">
        <f ca="1">_xll.BDH($C$28,"BS_OTHER_INV","FY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9" spans="1:113" x14ac:dyDescent="0.3">
      <c r="A29" s="6"/>
      <c r="B29" s="6"/>
      <c r="C29" s="6"/>
      <c r="D29" s="6"/>
      <c r="E29" t="s">
        <v>4</v>
      </c>
      <c r="F29" t="e">
        <f ca="1">_xll.BDH($C$28,"RETURN_COM_EQY","FQ1 2014","FQ1 2014","Currency=INR","Period=FQ","BEST_FPERIOD_OVERRIDE=FQ","FILING_STATUS=OR","EQY_CONSOLIDATED=Y","FA_ADJUSTED=GAAP","Sort=A","Dates=H","DateFormat=P","Fill=—","Direction=H","UseDPDF=Y")</f>
        <v>#NAME?</v>
      </c>
      <c r="G29" t="e">
        <f ca="1">_xll.BDH($C$28,"RETURN_ON_ASSET","FQ1 2014","FQ1 2014","Currency=INR","Period=FQ","BEST_FPERIOD_OVERRIDE=FQ","FILING_STATUS=OR","EQY_CONSOLIDATED=Y","FA_ADJUSTED=GAAP","Sort=A","Dates=H","DateFormat=P","Fill=—","Direction=H","UseDPDF=Y")</f>
        <v>#NAME?</v>
      </c>
      <c r="H29" t="e">
        <f ca="1">_xll.BDH($C$28,"RETURN_ON_CAP","FQ1 2014","FQ1 2014","Currency=INR","Period=FQ","BEST_FPERIOD_OVERRIDE=FQ","FILING_STATUS=OR","EQY_CONSOLIDATED=Y","FA_ADJUSTED=GAAP","Sort=A","Dates=H","DateFormat=P","Fill=—","Direction=H","UseDPDF=Y")</f>
        <v>#NAME?</v>
      </c>
      <c r="I29" t="e">
        <f ca="1">_xll.BDH($C$28,"RETURN_ON_INV_CAPITAL","FQ1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9" t="e">
        <f ca="1">_xll.BDH($C$28,"EBITDA_TO_REVENUE","FQ1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29" t="e">
        <f ca="1">_xll.BDH($C$28,"OPER_MARGIN","FQ1 2014","FQ1 2014","Currency=INR","Period=FQ","BEST_FPERIOD_OVERRIDE=FQ","FILING_STATUS=OR","EQY_CONSOLIDATED=Y","FA_ADJUSTED=GAAP","Sort=A","Dates=H","DateFormat=P","Fill=—","Direction=H","UseDPDF=Y")</f>
        <v>#NAME?</v>
      </c>
      <c r="L29" t="e">
        <f ca="1">_xll.BDH($C$28,"INCREMENTAL_OPERATING_MARGIN","FQ1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9" t="e">
        <f ca="1">_xll.BDH($C$28,"PRETAX_INC_TO_NET_SALES","FQ1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9" t="e">
        <f ca="1">_xll.BDH($C$28,"INC_BEF_XO_ITEMS_TO_NET_SALES","FQ1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9" t="e">
        <f ca="1">_xll.BDH($C$28,"PROF_MARGIN","FQ1 2014","FQ1 2014","Currency=INR","Period=FQ","BEST_FPERIOD_OVERRIDE=FQ","FILING_STATUS=OR","EQY_CONSOLIDATED=Y","FA_ADJUSTED=GAAP","Sort=A","Dates=H","DateFormat=P","Fill=—","Direction=H","UseDPDF=Y")</f>
        <v>#NAME?</v>
      </c>
      <c r="P29" t="e">
        <f ca="1">_xll.BDH($C$28,"NET_INCOME_TO_COMMON_MARGIN","FQ1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9" t="e">
        <f ca="1">_xll.BDH($C$28,"EFF_TAX_RATE","FQ1 2014","FQ1 2014","Currency=INR","Period=FQ","BEST_FPERIOD_OVERRIDE=FQ","FILING_STATUS=OR","EQY_CONSOLIDATED=Y","FA_ADJUSTED=GAAP","Sort=A","Dates=H","DateFormat=P","Fill=—","Direction=H","UseDPDF=Y")</f>
        <v>#NAME?</v>
      </c>
      <c r="R29" t="e">
        <f ca="1">_xll.BDH($C$28,"DVD_PAYOUT_RATIO","FQ1 2014","FQ1 2014","Currency=INR","Period=FQ","BEST_FPERIOD_OVERRIDE=FQ","FILING_STATUS=OR","EQY_CONSOLIDATED=Y","FA_ADJUSTED=GAAP","Sort=A","Dates=H","DateFormat=P","Fill=—","Direction=H","UseDPDF=Y")</f>
        <v>#NAME?</v>
      </c>
      <c r="S29" t="e">
        <f ca="1">_xll.BDH($C$28,"SUSTAIN_GROWTH_RT","FQ1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29" s="1" t="e">
        <f ca="1">_xll.BDH($C$28,"SALES_GROWTH","FQ1 2014","FQ1 2014","Currency=INR","Period=FQ","BEST_FPERIOD_OVERRIDE=FQ","FILING_STATUS=OR","EQY_CONSOLIDATED=Y","FA_ADJUSTED=GAAP","Sort=A","Dates=H","DateFormat=P","Fill=—","Direction=H","UseDPDF=Y")</f>
        <v>#NAME?</v>
      </c>
      <c r="U29" s="1" t="e">
        <f ca="1">_xll.BDH($C$28,"EBITDA_GROWTH","FQ1 2014","FQ1 2014","Currency=INR","Period=FQ","BEST_FPERIOD_OVERRIDE=FQ","FILING_STATUS=OR","EQY_CONSOLIDATED=Y","FA_ADJUSTED=GAAP","Sort=A","Dates=H","DateFormat=P","Fill=—","Direction=H","UseDPDF=Y")</f>
        <v>#NAME?</v>
      </c>
      <c r="V29" s="1" t="e">
        <f ca="1">_xll.BDH($C$28,"OPER_INC_GROWTH","FQ1 2014","FQ1 2014","Currency=INR","Period=FQ","BEST_FPERIOD_OVERRIDE=FQ","FILING_STATUS=OR","EQY_CONSOLIDATED=Y","FA_ADJUSTED=GAAP","Sort=A","Dates=H","DateFormat=P","Fill=—","Direction=H","UseDPDF=Y")</f>
        <v>#NAME?</v>
      </c>
      <c r="W29" s="1" t="e">
        <f ca="1">_xll.BDH($C$28,"EARN_FOR_COM_GROWTH","FQ1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9" s="1" t="e">
        <f ca="1">_xll.BDH($C$28,"DILUTED_EPS_AFT_XO_ITEMS_GROWTH","FQ1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9" s="1" t="e">
        <f ca="1">_xll.BDH($C$28,"DIVIDEND_PER_SHARE_1_YEAR_GROWTH","FQ1 2014","FQ1 2014","Currency=INR","Period=FQ","BEST_FPERIOD_OVERRIDE=FQ","FILING_STATUS=OR","EQY_CONSOLIDATED=Y","Sort=A","Dates=H","DateFormat=P","Fill=—","Direction=H","UseDPDF=Y")</f>
        <v>#NAME?</v>
      </c>
      <c r="Z29" s="1" t="e">
        <f ca="1">_xll.BDH($C$28,"ACCOUNTS_RECEIVABLE_GROWTH","FQ1 2014","FQ1 2014","Currency=INR","Period=FQ","BEST_FPERIOD_OVERRIDE=FQ","FILING_STATUS=OR","EQY_CONSOLIDATED=Y","Sort=A","Dates=H","DateFormat=P","Fill=—","Direction=H","UseDPDF=Y")</f>
        <v>#NAME?</v>
      </c>
      <c r="AA29" s="1" t="e">
        <f ca="1">_xll.BDH($C$28,"INVENTORY_GROWTH","FQ1 2014","FQ1 2014","Currency=INR","Period=FQ","BEST_FPERIOD_OVERRIDE=FQ","FILING_STATUS=OR","EQY_CONSOLIDATED=Y","Sort=A","Dates=H","DateFormat=P","Fill=—","Direction=H","UseDPDF=Y")</f>
        <v>#NAME?</v>
      </c>
      <c r="AB29" s="1" t="e">
        <f ca="1">_xll.BDH($C$28,"NET_FIXED_ASSETS_1_YEAR_GROWTH","FQ1 2014","FQ1 2014","Currency=INR","Period=FQ","BEST_FPERIOD_OVERRIDE=FQ","FILING_STATUS=OR","EQY_CONSOLIDATED=Y","Sort=A","Dates=H","DateFormat=P","Fill=—","Direction=H","UseDPDF=Y")</f>
        <v>#NAME?</v>
      </c>
      <c r="AC29" s="1" t="e">
        <f ca="1">_xll.BDH($C$28,"ASSET_GROWTH","FQ1 2014","FQ1 2014","Currency=INR","Period=FQ","BEST_FPERIOD_OVERRIDE=FQ","FILING_STATUS=OR","EQY_CONSOLIDATED=Y","Sort=A","Dates=H","DateFormat=P","Fill=—","Direction=H","UseDPDF=Y")</f>
        <v>#NAME?</v>
      </c>
      <c r="AD29" s="1" t="e">
        <f ca="1">_xll.BDH($C$28,"MODIFIED_WORK_CAP_GROWTH","FQ1 2014","FQ1 2014","Currency=INR","Period=FQ","BEST_FPERIOD_OVERRIDE=FQ","FILING_STATUS=OR","EQY_CONSOLIDATED=Y","Sort=A","Dates=H","DateFormat=P","Fill=—","Direction=H","UseDPDF=Y")</f>
        <v>#NAME?</v>
      </c>
      <c r="AE29" s="1" t="e">
        <f ca="1">_xll.BDH($C$28,"WORK_CAP_GROWTH","FQ1 2014","FQ1 2014","Currency=INR","Period=FQ","BEST_FPERIOD_OVERRIDE=FQ","FILING_STATUS=OR","EQY_CONSOLIDATED=Y","Sort=A","Dates=H","DateFormat=P","Fill=—","Direction=H","UseDPDF=Y")</f>
        <v>#NAME?</v>
      </c>
      <c r="AF29" s="1" t="e">
        <f ca="1">_xll.BDH($C$28,"ACCOUNTS_PAYABLE_GROWTH_1YR","FQ1 2014","FQ1 2014","Currency=INR","Period=FQ","BEST_FPERIOD_OVERRIDE=FQ","FILING_STATUS=OR","EQY_CONSOLIDATED=Y","Sort=A","Dates=H","DateFormat=P","Fill=—","Direction=H","UseDPDF=Y")</f>
        <v>#NAME?</v>
      </c>
      <c r="AG29" s="1" t="e">
        <f ca="1">_xll.BDH($C$28,"SHORT_TERM_DEBT_1_YEAR_GROWTH","FQ1 2014","FQ1 2014","Currency=INR","Period=FQ","BEST_FPERIOD_OVERRIDE=FQ","FILING_STATUS=OR","EQY_CONSOLIDATED=Y","Sort=A","Dates=H","DateFormat=P","Fill=—","Direction=H","UseDPDF=Y")</f>
        <v>#NAME?</v>
      </c>
      <c r="AH29" s="1" t="e">
        <f ca="1">_xll.BDH($C$28,"TOTAL_DEBT_1_YEAR_GROWTH","FQ1 2014","FQ1 2014","Currency=INR","Period=FQ","BEST_FPERIOD_OVERRIDE=FQ","FILING_STATUS=OR","EQY_CONSOLIDATED=Y","Sort=A","Dates=H","DateFormat=P","Fill=—","Direction=H","UseDPDF=Y")</f>
        <v>#NAME?</v>
      </c>
      <c r="AI29" s="1" t="e">
        <f ca="1">_xll.BDH($C$28,"TOTAL_EQUITY_1_YEAR_GROWTH","FQ1 2014","FQ1 2014","Currency=INR","Period=FQ","BEST_FPERIOD_OVERRIDE=FQ","FILING_STATUS=OR","EQY_CONSOLIDATED=Y","Sort=A","Dates=H","DateFormat=P","Fill=—","Direction=H","UseDPDF=Y")</f>
        <v>#NAME?</v>
      </c>
      <c r="AJ29" s="1" t="e">
        <f ca="1">_xll.BDH($C$28,"GROWTH_IN_CAP","FQ1 2014","FQ1 2014","Currency=INR","Period=FQ","BEST_FPERIOD_OVERRIDE=FQ","FILING_STATUS=OR","EQY_CONSOLIDATED=Y","Sort=A","Dates=H","DateFormat=P","Fill=—","Direction=H","UseDPDF=Y")</f>
        <v>#NAME?</v>
      </c>
      <c r="AK29" s="1" t="e">
        <f ca="1">_xll.BDH($C$28,"BVPS_GROWTH","FQ1 2014","FQ1 2014","Currency=INR","Period=FQ","BEST_FPERIOD_OVERRIDE=FQ","FILING_STATUS=OR","EQY_CONSOLIDATED=Y","Sort=A","Dates=H","DateFormat=P","Fill=—","Direction=H","UseDPDF=Y")</f>
        <v>#NAME?</v>
      </c>
      <c r="AL29" s="1" t="e">
        <f ca="1">_xll.BDH($C$28,"CASH_FLOW_GROWTH","FQ1 2014","FQ1 2014","Currency=INR","Period=FQ","BEST_FPERIOD_OVERRIDE=FQ","FILING_STATUS=OR","EQY_CONSOLIDATED=Y","Sort=A","Dates=H","DateFormat=P","Fill=—","Direction=H","UseDPDF=Y")</f>
        <v>#NAME?</v>
      </c>
      <c r="AM29" s="1" t="e">
        <f ca="1">_xll.BDH($C$28,"GEO_GROW_NET_SALES","FQ1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9" s="1" t="e">
        <f ca="1">_xll.BDH($C$28,"GEO_GROW_EBITDA","FQ1 2014","FQ1 2014","Currency=INR","Period=FQ","BEST_FPERIOD_OVERRIDE=FQ","FILING_STATUS=OR","EQY_CONSOLIDATED=Y","FA_ADJUSTED=GAAP","Sort=A","Dates=H","DateFormat=P","Fill=—","Direction=H","UseDPDF=Y")</f>
        <v>#NAME?</v>
      </c>
      <c r="AO29" s="1" t="e">
        <f ca="1">_xll.BDH($C$28,"GEO_GROW_OPER_INC","FQ1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9" s="1" t="e">
        <f ca="1">_xll.BDH($C$28,"NET_INCOME_TO_COMMON_5_YR_GROWTH","FQ1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9" s="1" t="e">
        <f ca="1">_xll.BDH($C$28,"5Y_GEO_GROWTH_DILUTED_EPS","FQ1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9" s="1" t="e">
        <f ca="1">_xll.BDH($C$28,"GEO_GROW_DVD_PER_SH","FQ1 2014","FQ1 2014","Currency=INR","Period=FQ","BEST_FPERIOD_OVERRIDE=FQ","FILING_STATUS=OR","EQY_CONSOLIDATED=Y","Sort=A","Dates=H","DateFormat=P","Fill=—","Direction=H","UseDPDF=Y")</f>
        <v>#NAME?</v>
      </c>
      <c r="AS29" s="1" t="e">
        <f ca="1">_xll.BDH($C$28,"ACCOUNTS_RECEIVABLE_5_YR_GROWTH","FQ1 2014","FQ1 2014","Currency=INR","Period=FQ","BEST_FPERIOD_OVERRIDE=FQ","FILING_STATUS=OR","EQY_CONSOLIDATED=Y","Sort=A","Dates=H","DateFormat=P","Fill=—","Direction=H","UseDPDF=Y")</f>
        <v>#NAME?</v>
      </c>
      <c r="AT29" s="1" t="e">
        <f ca="1">_xll.BDH($C$28,"INVENTORY_5_YEAR_GROWTH","FQ1 2014","FQ1 2014","Currency=INR","Period=FQ","BEST_FPERIOD_OVERRIDE=FQ","FILING_STATUS=OR","EQY_CONSOLIDATED=Y","Sort=A","Dates=H","DateFormat=P","Fill=—","Direction=H","UseDPDF=Y")</f>
        <v>#NAME?</v>
      </c>
      <c r="AU29" s="1" t="e">
        <f ca="1">_xll.BDH($C$28,"NET_FIXED_ASSETS_5_YEAR_GROWTH","FQ1 2014","FQ1 2014","Currency=INR","Period=FQ","BEST_FPERIOD_OVERRIDE=FQ","FILING_STATUS=OR","EQY_CONSOLIDATED=Y","Sort=A","Dates=H","DateFormat=P","Fill=—","Direction=H","UseDPDF=Y")</f>
        <v>#NAME?</v>
      </c>
      <c r="AV29" s="1" t="e">
        <f ca="1">_xll.BDH($C$28,"GEO_GROW_TOT_ASSET","FQ1 2014","FQ1 2014","Currency=INR","Period=FQ","BEST_FPERIOD_OVERRIDE=FQ","FILING_STATUS=OR","EQY_CONSOLIDATED=Y","Sort=A","Dates=H","DateFormat=P","Fill=—","Direction=H","UseDPDF=Y")</f>
        <v>#NAME?</v>
      </c>
      <c r="AW29" s="1" t="e">
        <f ca="1">_xll.BDH($C$28,"MODIFIED_WORKING_CPTL_5YR_GRWTH","FQ1 2014","FQ1 2014","Currency=INR","Period=FQ","BEST_FPERIOD_OVERRIDE=FQ","FILING_STATUS=OR","EQY_CONSOLIDATED=Y","Sort=A","Dates=H","DateFormat=P","Fill=—","Direction=H","UseDPDF=Y")</f>
        <v>#NAME?</v>
      </c>
      <c r="AX29" s="1" t="e">
        <f ca="1">_xll.BDH($C$28,"WORKING_CAPITAL_5_YEAR_GROWTH","FQ1 2014","FQ1 2014","Currency=INR","Period=FQ","BEST_FPERIOD_OVERRIDE=FQ","FILING_STATUS=OR","EQY_CONSOLIDATED=Y","Sort=A","Dates=H","DateFormat=P","Fill=—","Direction=H","UseDPDF=Y")</f>
        <v>#NAME?</v>
      </c>
      <c r="AY29" s="1" t="e">
        <f ca="1">_xll.BDH($C$28,"ACCOUNTS_PAYABLE_5_YEAR_GROWTH","FQ1 2014","FQ1 2014","Currency=INR","Period=FQ","BEST_FPERIOD_OVERRIDE=FQ","FILING_STATUS=OR","EQY_CONSOLIDATED=Y","Sort=A","Dates=H","DateFormat=P","Fill=—","Direction=H","UseDPDF=Y")</f>
        <v>#NAME?</v>
      </c>
      <c r="AZ29" s="1" t="e">
        <f ca="1">_xll.BDH($C$28,"SHORT_TERM_DEBT_5_YEAR_GROWTH","FQ1 2014","FQ1 2014","Currency=INR","Period=FQ","BEST_FPERIOD_OVERRIDE=FQ","FILING_STATUS=OR","EQY_CONSOLIDATED=Y","Sort=A","Dates=H","DateFormat=P","Fill=—","Direction=H","UseDPDF=Y")</f>
        <v>#NAME?</v>
      </c>
      <c r="BA29" s="1" t="e">
        <f ca="1">_xll.BDH($C$28,"TOTAL_DEBT_5_YEAR_GROWTH","FQ1 2014","FQ1 2014","Currency=INR","Period=FQ","BEST_FPERIOD_OVERRIDE=FQ","FILING_STATUS=OR","EQY_CONSOLIDATED=Y","Sort=A","Dates=H","DateFormat=P","Fill=—","Direction=H","UseDPDF=Y")</f>
        <v>#NAME?</v>
      </c>
      <c r="BB29" s="1" t="e">
        <f ca="1">_xll.BDH($C$28,"GEO_GROW_TOT_SHRHLDR_EQY","FQ1 2014","FQ1 2014","Currency=INR","Period=FQ","BEST_FPERIOD_OVERRIDE=FQ","FILING_STATUS=OR","EQY_CONSOLIDATED=Y","Sort=A","Dates=H","DateFormat=P","Fill=—","Direction=H","UseDPDF=Y")</f>
        <v>#NAME?</v>
      </c>
      <c r="BC29" s="1" t="e">
        <f ca="1">_xll.BDH($C$28,"TOTAL_CAPITAL_5_YEAR_GROWTH","FQ1 2014","FQ1 2014","Currency=INR","Period=FQ","BEST_FPERIOD_OVERRIDE=FQ","FILING_STATUS=OR","EQY_CONSOLIDATED=Y","Sort=A","Dates=H","DateFormat=P","Fill=—","Direction=H","UseDPDF=Y")</f>
        <v>#NAME?</v>
      </c>
      <c r="BD29" s="1" t="e">
        <f ca="1">_xll.BDH($C$28,"GEO_GROW_BOOK_VAL","FQ1 2014","FQ1 2014","Currency=INR","Period=FQ","BEST_FPERIOD_OVERRIDE=FQ","FILING_STATUS=OR","EQY_CONSOLIDATED=Y","Sort=A","Dates=H","DateFormat=P","Fill=—","Direction=H","UseDPDF=Y")</f>
        <v>#NAME?</v>
      </c>
      <c r="BE29" s="1" t="e">
        <f ca="1">_xll.BDH($C$28,"GEO_GROW_CASH_OPER_ACT","FQ1 2014","FQ1 2014","Currency=INR","Period=FQ","BEST_FPERIOD_OVERRIDE=FQ","FILING_STATUS=OR","EQY_CONSOLIDATED=Y","Sort=A","Dates=H","DateFormat=P","Fill=—","Direction=H","UseDPDF=Y")</f>
        <v>#NAME?</v>
      </c>
      <c r="BF29" s="1" t="e">
        <f ca="1">_xll.BDH($C$28,"REVENUE_SEQUENTIAL_GROWTH","FQ1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9" s="1" t="e">
        <f ca="1">_xll.BDH($C$28,"EBITDA_SEQUENTIAL_GROWTH","FQ1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9" s="1" t="e">
        <f ca="1">_xll.BDH($C$28,"OPERATING_INCOME_SEQ_GROWTH","FQ1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9" s="1" t="e">
        <f ca="1">_xll.BDH($C$28,"NET_INCOME_TO_COMMON_SEQ_GROWTH","FQ1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9" s="1" t="e">
        <f ca="1">_xll.BDH($C$28,"EPS_DILUTED_SEQUENTIAL_GROWTH","FQ1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9" s="1" t="e">
        <f ca="1">_xll.BDH($C$28,"DPS_SEQUENTIAL_GROWTH","FQ1 2014","FQ1 2014","Currency=INR","Period=FQ","BEST_FPERIOD_OVERRIDE=FQ","FILING_STATUS=OR","EQY_CONSOLIDATED=Y","Sort=A","Dates=H","DateFormat=P","Fill=—","Direction=H","UseDPDF=Y")</f>
        <v>#NAME?</v>
      </c>
      <c r="BL29" s="1" t="e">
        <f ca="1">_xll.BDH($C$28,"ACCOUNTS_RECEIVABLE_SEQ_GROWTH","FQ1 2014","FQ1 2014","Currency=INR","Period=FQ","BEST_FPERIOD_OVERRIDE=FQ","FILING_STATUS=OR","EQY_CONSOLIDATED=Y","Sort=A","Dates=H","DateFormat=P","Fill=—","Direction=H","UseDPDF=Y")</f>
        <v>#NAME?</v>
      </c>
      <c r="BM29" s="1" t="e">
        <f ca="1">_xll.BDH($C$28,"INVENTORY_SEQUENTIAL_GROWTH","FQ1 2014","FQ1 2014","Currency=INR","Period=FQ","BEST_FPERIOD_OVERRIDE=FQ","FILING_STATUS=OR","EQY_CONSOLIDATED=Y","Sort=A","Dates=H","DateFormat=P","Fill=—","Direction=H","UseDPDF=Y")</f>
        <v>#NAME?</v>
      </c>
      <c r="BN29" s="1" t="e">
        <f ca="1">_xll.BDH($C$28,"FIXED_ASSETS_SEQUENTIAL_GROWTH","FQ1 2014","FQ1 2014","Currency=INR","Period=FQ","BEST_FPERIOD_OVERRIDE=FQ","FILING_STATUS=OR","EQY_CONSOLIDATED=Y","Sort=A","Dates=H","DateFormat=P","Fill=—","Direction=H","UseDPDF=Y")</f>
        <v>#NAME?</v>
      </c>
      <c r="BO29" s="1" t="e">
        <f ca="1">_xll.BDH($C$28,"TOTAL_ASSETS_SEQUENTIAL_GROWTH","FQ1 2014","FQ1 2014","Currency=INR","Period=FQ","BEST_FPERIOD_OVERRIDE=FQ","FILING_STATUS=OR","EQY_CONSOLIDATED=Y","Sort=A","Dates=H","DateFormat=P","Fill=—","Direction=H","UseDPDF=Y")</f>
        <v>#NAME?</v>
      </c>
      <c r="BP29" s="1" t="e">
        <f ca="1">_xll.BDH($C$28,"MODIFIED_WORKING_CPTL_SEQ_GRWTH","FQ1 2014","FQ1 2014","Currency=INR","Period=FQ","BEST_FPERIOD_OVERRIDE=FQ","FILING_STATUS=OR","EQY_CONSOLIDATED=Y","Sort=A","Dates=H","DateFormat=P","Fill=—","Direction=H","UseDPDF=Y")</f>
        <v>#NAME?</v>
      </c>
      <c r="BQ29" s="1" t="e">
        <f ca="1">_xll.BDH($C$28,"WORKING_CAPITAL_SEQ_GROWTH","FQ1 2014","FQ1 2014","Currency=INR","Period=FQ","BEST_FPERIOD_OVERRIDE=FQ","FILING_STATUS=OR","EQY_CONSOLIDATED=Y","Sort=A","Dates=H","DateFormat=P","Fill=—","Direction=H","UseDPDF=Y")</f>
        <v>#NAME?</v>
      </c>
      <c r="BR29" s="1" t="e">
        <f ca="1">_xll.BDH($C$28,"ACCOUNTS_PAYABLE_SEQ_GROWTH","FQ1 2014","FQ1 2014","Currency=INR","Period=FQ","BEST_FPERIOD_OVERRIDE=FQ","FILING_STATUS=OR","EQY_CONSOLIDATED=Y","Sort=A","Dates=H","DateFormat=P","Fill=—","Direction=H","UseDPDF=Y")</f>
        <v>#NAME?</v>
      </c>
      <c r="BS29" s="1" t="e">
        <f ca="1">_xll.BDH($C$28,"ST_DEBT_SEQUENTIAL_GROWTH","FQ1 2014","FQ1 2014","Currency=INR","Period=FQ","BEST_FPERIOD_OVERRIDE=FQ","FILING_STATUS=OR","EQY_CONSOLIDATED=Y","Sort=A","Dates=H","DateFormat=P","Fill=—","Direction=H","UseDPDF=Y")</f>
        <v>#NAME?</v>
      </c>
      <c r="BT29" s="1" t="e">
        <f ca="1">_xll.BDH($C$28,"TOTAL_DEBT_SEQUENTIAL_GROWTH","FQ1 2014","FQ1 2014","Currency=INR","Period=FQ","BEST_FPERIOD_OVERRIDE=FQ","FILING_STATUS=OR","EQY_CONSOLIDATED=Y","Sort=A","Dates=H","DateFormat=P","Fill=—","Direction=H","UseDPDF=Y")</f>
        <v>#NAME?</v>
      </c>
      <c r="BU29" s="1" t="e">
        <f ca="1">_xll.BDH($C$28,"TOTAL_EQUITY_SEQUENTIAL_GROWTH","FQ1 2014","FQ1 2014","Currency=INR","Period=FQ","BEST_FPERIOD_OVERRIDE=FQ","FILING_STATUS=OR","EQY_CONSOLIDATED=Y","Sort=A","Dates=H","DateFormat=P","Fill=—","Direction=H","UseDPDF=Y")</f>
        <v>#NAME?</v>
      </c>
      <c r="BV29" s="1" t="e">
        <f ca="1">_xll.BDH($C$28,"TOTAL_CAPITAL_SEQUENTIAL_GROWTH","FQ1 2014","FQ1 2014","Currency=INR","Period=FQ","BEST_FPERIOD_OVERRIDE=FQ","FILING_STATUS=OR","EQY_CONSOLIDATED=Y","Sort=A","Dates=H","DateFormat=P","Fill=—","Direction=H","UseDPDF=Y")</f>
        <v>#NAME?</v>
      </c>
      <c r="BW29" s="1" t="e">
        <f ca="1">_xll.BDH($C$28,"BPS_SEQUENTIAL_GROWTH","FQ1 2014","FQ1 2014","Currency=INR","Period=FQ","BEST_FPERIOD_OVERRIDE=FQ","FILING_STATUS=OR","EQY_CONSOLIDATED=Y","Sort=A","Dates=H","DateFormat=P","Fill=—","Direction=H","UseDPDF=Y")</f>
        <v>#NAME?</v>
      </c>
      <c r="BX29" s="1" t="e">
        <f ca="1">_xll.BDH($C$28,"CFO_SEQUENTIAL_GROWTH","FQ1 2014","FQ1 2014","Currency=INR","Period=FQ","BEST_FPERIOD_OVERRIDE=FQ","FILING_STATUS=OR","EQY_CONSOLIDATED=Y","Sort=A","Dates=H","DateFormat=P","Fill=—","Direction=H","UseDPDF=Y")</f>
        <v>#NAME?</v>
      </c>
      <c r="BY29" s="2" t="e">
        <f ca="1">_xll.BDH($C$28,"SHORT_AND_LONG_TERM_DEBT","FQ1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9" s="2" t="e">
        <f ca="1">_xll.BDH($C$28,"BS_ST_BORROW","FQ1 2014","FQ1 2014","Currency=INR","Period=FQ","BEST_FPERIOD_OVERRIDE=FQ","FILING_STATUS=OR","EQY_CONSOLIDATED=Y","SCALING_FORMAT=MLN","Sort=A","Dates=H","DateFormat=P","Fill=—","Direction=H","UseDPDF=Y")</f>
        <v>#NAME?</v>
      </c>
      <c r="CA29" s="2" t="e">
        <f ca="1">_xll.BDH($C$28,"BS_LT_BORROW","FQ1 2014","FQ1 2014","Currency=INR","Period=FQ","BEST_FPERIOD_OVERRIDE=FQ","FILING_STATUS=OR","EQY_CONSOLIDATED=Y","SCALING_FORMAT=MLN","Sort=A","Dates=H","DateFormat=P","Fill=—","Direction=H","UseDPDF=Y")</f>
        <v>#NAME?</v>
      </c>
      <c r="CB29" s="1" t="e">
        <f ca="1">_xll.BDH($C$28,"TOT_DEBT_TO_EBITDA","FQ1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9" s="1" t="e">
        <f ca="1">_xll.BDH($C$28,"NET_DEBT_TO_EBITDA","FQ1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9" s="1" t="e">
        <f ca="1">_xll.BDH($C$28,"TOTAL_DEBT_TO_EBIT","FQ1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9" s="1" t="e">
        <f ca="1">_xll.BDH($C$28,"NET_DEBT_TO_EBIT","FQ1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29" s="1" t="e">
        <f ca="1">_xll.BDH($C$28,"EBITDA_TO_INTEREST_EXPN","FQ1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9" s="1" t="e">
        <f ca="1">_xll.BDH($C$28,"COM_EQY_TO_TOT_ASSET","FQ1 2014","FQ1 2014","Currency=INR","Period=FQ","BEST_FPERIOD_OVERRIDE=FQ","FILING_STATUS=OR","EQY_CONSOLIDATED=Y","Sort=A","Dates=H","DateFormat=P","Fill=—","Direction=H","UseDPDF=Y")</f>
        <v>#NAME?</v>
      </c>
      <c r="CH29" s="1" t="e">
        <f ca="1">_xll.BDH($C$28,"LT_DEBT_TO_TOT_EQY","FQ1 2014","FQ1 2014","Currency=INR","Period=FQ","BEST_FPERIOD_OVERRIDE=FQ","FILING_STATUS=OR","EQY_CONSOLIDATED=Y","Sort=A","Dates=H","DateFormat=P","Fill=—","Direction=H","UseDPDF=Y")</f>
        <v>#NAME?</v>
      </c>
      <c r="CI29" s="1" t="e">
        <f ca="1">_xll.BDH($C$28,"LT_DEBT_TO_TOT_CAP","FQ1 2014","FQ1 2014","Currency=INR","Period=FQ","BEST_FPERIOD_OVERRIDE=FQ","FILING_STATUS=OR","EQY_CONSOLIDATED=Y","Sort=A","Dates=H","DateFormat=P","Fill=—","Direction=H","UseDPDF=Y")</f>
        <v>#NAME?</v>
      </c>
      <c r="CJ29" s="1" t="e">
        <f ca="1">_xll.BDH($C$28,"LT_DEBT_TO_TOT_ASSET","FQ1 2014","FQ1 2014","Currency=INR","Period=FQ","BEST_FPERIOD_OVERRIDE=FQ","FILING_STATUS=OR","EQY_CONSOLIDATED=Y","Sort=A","Dates=H","DateFormat=P","Fill=—","Direction=H","UseDPDF=Y")</f>
        <v>#NAME?</v>
      </c>
      <c r="CK29" s="1" t="e">
        <f ca="1">_xll.BDH($C$28,"TOT_DEBT_TO_TOT_EQY","FQ1 2014","FQ1 2014","Currency=INR","Period=FQ","BEST_FPERIOD_OVERRIDE=FQ","FILING_STATUS=OR","EQY_CONSOLIDATED=Y","Sort=A","Dates=H","DateFormat=P","Fill=—","Direction=H","UseDPDF=Y")</f>
        <v>#NAME?</v>
      </c>
      <c r="CL29" s="1" t="e">
        <f ca="1">_xll.BDH($C$28,"TOT_DEBT_TO_TOT_CAP","FQ1 2014","FQ1 2014","Currency=INR","Period=FQ","BEST_FPERIOD_OVERRIDE=FQ","FILING_STATUS=OR","EQY_CONSOLIDATED=Y","Sort=A","Dates=H","DateFormat=P","Fill=—","Direction=H","UseDPDF=Y")</f>
        <v>#NAME?</v>
      </c>
      <c r="CM29" s="1" t="e">
        <f ca="1">_xll.BDH($C$28,"TOT_DEBT_TO_TOT_ASSET","FQ1 2014","FQ1 2014","Currency=INR","Period=FQ","BEST_FPERIOD_OVERRIDE=FQ","FILING_STATUS=OR","EQY_CONSOLIDATED=Y","Sort=A","Dates=H","DateFormat=P","Fill=—","Direction=H","UseDPDF=Y")</f>
        <v>#NAME?</v>
      </c>
      <c r="CN29" s="1" t="e">
        <f ca="1">_xll.BDH($C$28,"NET_DEBT_TO_SHRHLDR_EQTY","FQ1 2014","FQ1 2014","Currency=INR","Period=FQ","BEST_FPERIOD_OVERRIDE=FQ","FILING_STATUS=OR","EQY_CONSOLIDATED=Y","Sort=A","Dates=H","DateFormat=P","Fill=—","Direction=H","UseDPDF=Y")</f>
        <v>#NAME?</v>
      </c>
      <c r="CO29" s="1" t="e">
        <f ca="1">_xll.BDH($C$28,"NET_DEBT_%_CAPITAL","FQ1 2014","FQ1 2014","Currency=INR","Period=FQ","BEST_FPERIOD_OVERRIDE=FQ","FILING_STATUS=OR","EQY_CONSOLIDATED=Y","Sort=A","Dates=H","DateFormat=P","Fill=—","Direction=H","UseDPDF=Y")</f>
        <v>#NAME?</v>
      </c>
      <c r="CP29" s="2" t="e">
        <f ca="1">_xll.BDH($C$28,"EBITDA","FQ1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9" s="2" t="e">
        <f ca="1">_xll.BDH($C$28,"EBITDA_AFTER_CAPEX","FQ1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9" s="2" t="e">
        <f ca="1">_xll.BDH($C$28,"IS_OPER_INC","FQ1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9" s="1" t="e">
        <f ca="1">_xll.BDH($C$28,"CASH_RATIO","FQ1 2014","FQ1 2014","Currency=INR","Period=FQ","BEST_FPERIOD_OVERRIDE=FQ","FILING_STATUS=OR","EQY_CONSOLIDATED=Y","Sort=A","Dates=H","DateFormat=P","Fill=—","Direction=H","UseDPDF=Y")</f>
        <v>#NAME?</v>
      </c>
      <c r="CT29" s="1" t="e">
        <f ca="1">_xll.BDH($C$28,"CUR_RATIO","FQ1 2014","FQ1 2014","Currency=INR","Period=FQ","BEST_FPERIOD_OVERRIDE=FQ","FILING_STATUS=OR","EQY_CONSOLIDATED=Y","Sort=A","Dates=H","DateFormat=P","Fill=—","Direction=H","UseDPDF=Y")</f>
        <v>#NAME?</v>
      </c>
      <c r="CU29" s="1" t="e">
        <f ca="1">_xll.BDH($C$28,"QUICK_RATIO","FQ1 2014","FQ1 2014","Currency=INR","Period=FQ","BEST_FPERIOD_OVERRIDE=FQ","FILING_STATUS=OR","EQY_CONSOLIDATED=Y","Sort=A","Dates=H","DateFormat=P","Fill=—","Direction=H","UseDPDF=Y")</f>
        <v>#NAME?</v>
      </c>
      <c r="CV29" s="1" t="e">
        <f ca="1">_xll.BDH($C$28,"ALTMAN_Z_SCORE","FQ1 2014","FQ1 2014","Currency=INR","Period=FQ","BEST_FPERIOD_OVERRIDE=FQ","FILING_STATUS=OR","EQY_CONSOLIDATED=Y","Sort=A","Dates=H","DateFormat=P","Fill=—","Direction=H","UseDPDF=Y")</f>
        <v>#NAME?</v>
      </c>
      <c r="CW29" s="3" t="e">
        <f ca="1">_xll.BDH($C$28,"ACCT_RCV_TURN","FQ1 2014","FQ1 2014","Currency=INR","Period=FQ","BEST_FPERIOD_OVERRIDE=FQ","FILING_STATUS=OR","EQY_CONSOLIDATED=Y","FA_ADJUSTED=GAAP","Sort=A","Dates=H","DateFormat=P","Fill=—","Direction=H","UseDPDF=Y")</f>
        <v>#NAME?</v>
      </c>
      <c r="CX29" s="1" t="e">
        <f ca="1">_xll.BDH($C$28,"ACCT_RCV_DAYS","FQ1 2014","FQ1 2014","Currency=INR","Period=FQ","BEST_FPERIOD_OVERRIDE=FQ","FILING_STATUS=OR","EQY_CONSOLIDATED=Y","FA_ADJUSTED=GAAP","Sort=A","Dates=H","DateFormat=P","Fill=—","Direction=H","UseDPDF=Y")</f>
        <v>#NAME?</v>
      </c>
      <c r="CY29" s="3" t="e">
        <f ca="1">_xll.BDH($C$28,"INVENT_TURN","FQ1 2014","FQ1 2014","Currency=INR","Period=FQ","BEST_FPERIOD_OVERRIDE=FQ","FILING_STATUS=OR","EQY_CONSOLIDATED=Y","FA_ADJUSTED=GAAP","Sort=A","Dates=H","DateFormat=P","Fill=—","Direction=H","UseDPDF=Y")</f>
        <v>#NAME?</v>
      </c>
      <c r="CZ29" s="1" t="e">
        <f ca="1">_xll.BDH($C$28,"INVENT_DAYS","FQ1 2014","FQ1 2014","Currency=INR","Period=FQ","BEST_FPERIOD_OVERRIDE=FQ","FILING_STATUS=OR","EQY_CONSOLIDATED=Y","FA_ADJUSTED=GAAP","Sort=A","Dates=H","DateFormat=P","Fill=—","Direction=H","UseDPDF=Y")</f>
        <v>#NAME?</v>
      </c>
      <c r="DA29" s="3" t="e">
        <f ca="1">_xll.BDH($C$28,"ACCOUNTS_PAYABLE_TURNOVER","FQ1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9" s="1" t="e">
        <f ca="1">_xll.BDH($C$28,"ACCOUNTS_PAYABLE_TURNOVER_DAYS","FQ1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9" s="3" t="e">
        <f ca="1">_xll.BDH($C$28,"CASH_CONVERSION_CYCLE","FQ1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9" s="3" t="e">
        <f ca="1">_xll.BDH($C$28,"INV_TO_CASH_DAYS","FQ1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29" s="4" t="e">
        <f ca="1">_xll.BDH($C$28,"BS_INVENTORIES","FQ1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29" s="2" t="e">
        <f ca="1">_xll.BDH($C$28,"INVTRY_RAW_MATERIALS","FQ1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9" s="2" t="e">
        <f ca="1">_xll.BDH($C$28,"INVTRY_IN_PROGRESS","FQ1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9" s="2" t="e">
        <f ca="1">_xll.BDH($C$28,"INVTRY_FINISHED_GOODS","FQ1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9" s="2" t="e">
        <f ca="1">_xll.BDH($C$28,"BS_OTHER_INV","FQ1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0" spans="1:113" x14ac:dyDescent="0.3">
      <c r="A30" s="6"/>
      <c r="B30" s="6"/>
      <c r="C30" s="6"/>
      <c r="D30" s="6"/>
      <c r="E30" t="s">
        <v>5</v>
      </c>
      <c r="F30" t="e">
        <f ca="1">_xll.BDH($C$28,"RETURN_COM_EQY","FQ2 2014","FQ2 2014","Currency=INR","Period=FQ","BEST_FPERIOD_OVERRIDE=FQ","FILING_STATUS=OR","EQY_CONSOLIDATED=Y","FA_ADJUSTED=GAAP","Sort=A","Dates=H","DateFormat=P","Fill=—","Direction=H","UseDPDF=Y")</f>
        <v>#NAME?</v>
      </c>
      <c r="G30" t="e">
        <f ca="1">_xll.BDH($C$28,"RETURN_ON_ASSET","FQ2 2014","FQ2 2014","Currency=INR","Period=FQ","BEST_FPERIOD_OVERRIDE=FQ","FILING_STATUS=OR","EQY_CONSOLIDATED=Y","FA_ADJUSTED=GAAP","Sort=A","Dates=H","DateFormat=P","Fill=—","Direction=H","UseDPDF=Y")</f>
        <v>#NAME?</v>
      </c>
      <c r="H30" t="e">
        <f ca="1">_xll.BDH($C$28,"RETURN_ON_CAP","FQ2 2014","FQ2 2014","Currency=INR","Period=FQ","BEST_FPERIOD_OVERRIDE=FQ","FILING_STATUS=OR","EQY_CONSOLIDATED=Y","FA_ADJUSTED=GAAP","Sort=A","Dates=H","DateFormat=P","Fill=—","Direction=H","UseDPDF=Y")</f>
        <v>#NAME?</v>
      </c>
      <c r="I30" t="e">
        <f ca="1">_xll.BDH($C$28,"RETURN_ON_INV_CAPITAL","FQ2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0" t="e">
        <f ca="1">_xll.BDH($C$28,"EBITDA_TO_REVENUE","FQ2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30" t="e">
        <f ca="1">_xll.BDH($C$28,"OPER_MARGIN","FQ2 2014","FQ2 2014","Currency=INR","Period=FQ","BEST_FPERIOD_OVERRIDE=FQ","FILING_STATUS=OR","EQY_CONSOLIDATED=Y","FA_ADJUSTED=GAAP","Sort=A","Dates=H","DateFormat=P","Fill=—","Direction=H","UseDPDF=Y")</f>
        <v>#NAME?</v>
      </c>
      <c r="L30" t="e">
        <f ca="1">_xll.BDH($C$28,"INCREMENTAL_OPERATING_MARGIN","FQ2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0" t="e">
        <f ca="1">_xll.BDH($C$28,"PRETAX_INC_TO_NET_SALES","FQ2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0" t="e">
        <f ca="1">_xll.BDH($C$28,"INC_BEF_XO_ITEMS_TO_NET_SALES","FQ2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0" t="e">
        <f ca="1">_xll.BDH($C$28,"PROF_MARGIN","FQ2 2014","FQ2 2014","Currency=INR","Period=FQ","BEST_FPERIOD_OVERRIDE=FQ","FILING_STATUS=OR","EQY_CONSOLIDATED=Y","FA_ADJUSTED=GAAP","Sort=A","Dates=H","DateFormat=P","Fill=—","Direction=H","UseDPDF=Y")</f>
        <v>#NAME?</v>
      </c>
      <c r="P30" t="e">
        <f ca="1">_xll.BDH($C$28,"NET_INCOME_TO_COMMON_MARGIN","FQ2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0" t="e">
        <f ca="1">_xll.BDH($C$28,"EFF_TAX_RATE","FQ2 2014","FQ2 2014","Currency=INR","Period=FQ","BEST_FPERIOD_OVERRIDE=FQ","FILING_STATUS=OR","EQY_CONSOLIDATED=Y","FA_ADJUSTED=GAAP","Sort=A","Dates=H","DateFormat=P","Fill=—","Direction=H","UseDPDF=Y")</f>
        <v>#NAME?</v>
      </c>
      <c r="R30" t="e">
        <f ca="1">_xll.BDH($C$28,"DVD_PAYOUT_RATIO","FQ2 2014","FQ2 2014","Currency=INR","Period=FQ","BEST_FPERIOD_OVERRIDE=FQ","FILING_STATUS=OR","EQY_CONSOLIDATED=Y","FA_ADJUSTED=GAAP","Sort=A","Dates=H","DateFormat=P","Fill=—","Direction=H","UseDPDF=Y")</f>
        <v>#NAME?</v>
      </c>
      <c r="S30" t="e">
        <f ca="1">_xll.BDH($C$28,"SUSTAIN_GROWTH_RT","FQ2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30" s="1" t="e">
        <f ca="1">_xll.BDH($C$28,"SALES_GROWTH","FQ2 2014","FQ2 2014","Currency=INR","Period=FQ","BEST_FPERIOD_OVERRIDE=FQ","FILING_STATUS=OR","EQY_CONSOLIDATED=Y","FA_ADJUSTED=GAAP","Sort=A","Dates=H","DateFormat=P","Fill=—","Direction=H","UseDPDF=Y")</f>
        <v>#NAME?</v>
      </c>
      <c r="U30" s="1" t="e">
        <f ca="1">_xll.BDH($C$28,"EBITDA_GROWTH","FQ2 2014","FQ2 2014","Currency=INR","Period=FQ","BEST_FPERIOD_OVERRIDE=FQ","FILING_STATUS=OR","EQY_CONSOLIDATED=Y","FA_ADJUSTED=GAAP","Sort=A","Dates=H","DateFormat=P","Fill=—","Direction=H","UseDPDF=Y")</f>
        <v>#NAME?</v>
      </c>
      <c r="V30" s="1" t="e">
        <f ca="1">_xll.BDH($C$28,"OPER_INC_GROWTH","FQ2 2014","FQ2 2014","Currency=INR","Period=FQ","BEST_FPERIOD_OVERRIDE=FQ","FILING_STATUS=OR","EQY_CONSOLIDATED=Y","FA_ADJUSTED=GAAP","Sort=A","Dates=H","DateFormat=P","Fill=—","Direction=H","UseDPDF=Y")</f>
        <v>#NAME?</v>
      </c>
      <c r="W30" s="1" t="e">
        <f ca="1">_xll.BDH($C$28,"EARN_FOR_COM_GROWTH","FQ2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0" s="1" t="e">
        <f ca="1">_xll.BDH($C$28,"DILUTED_EPS_AFT_XO_ITEMS_GROWTH","FQ2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0" s="1" t="e">
        <f ca="1">_xll.BDH($C$28,"DIVIDEND_PER_SHARE_1_YEAR_GROWTH","FQ2 2014","FQ2 2014","Currency=INR","Period=FQ","BEST_FPERIOD_OVERRIDE=FQ","FILING_STATUS=OR","EQY_CONSOLIDATED=Y","Sort=A","Dates=H","DateFormat=P","Fill=—","Direction=H","UseDPDF=Y")</f>
        <v>#NAME?</v>
      </c>
      <c r="Z30" s="1" t="e">
        <f ca="1">_xll.BDH($C$28,"ACCOUNTS_RECEIVABLE_GROWTH","FQ2 2014","FQ2 2014","Currency=INR","Period=FQ","BEST_FPERIOD_OVERRIDE=FQ","FILING_STATUS=OR","EQY_CONSOLIDATED=Y","Sort=A","Dates=H","DateFormat=P","Fill=—","Direction=H","UseDPDF=Y")</f>
        <v>#NAME?</v>
      </c>
      <c r="AA30" s="1" t="e">
        <f ca="1">_xll.BDH($C$28,"INVENTORY_GROWTH","FQ2 2014","FQ2 2014","Currency=INR","Period=FQ","BEST_FPERIOD_OVERRIDE=FQ","FILING_STATUS=OR","EQY_CONSOLIDATED=Y","Sort=A","Dates=H","DateFormat=P","Fill=—","Direction=H","UseDPDF=Y")</f>
        <v>#NAME?</v>
      </c>
      <c r="AB30" s="1" t="e">
        <f ca="1">_xll.BDH($C$28,"NET_FIXED_ASSETS_1_YEAR_GROWTH","FQ2 2014","FQ2 2014","Currency=INR","Period=FQ","BEST_FPERIOD_OVERRIDE=FQ","FILING_STATUS=OR","EQY_CONSOLIDATED=Y","Sort=A","Dates=H","DateFormat=P","Fill=—","Direction=H","UseDPDF=Y")</f>
        <v>#NAME?</v>
      </c>
      <c r="AC30" s="1" t="e">
        <f ca="1">_xll.BDH($C$28,"ASSET_GROWTH","FQ2 2014","FQ2 2014","Currency=INR","Period=FQ","BEST_FPERIOD_OVERRIDE=FQ","FILING_STATUS=OR","EQY_CONSOLIDATED=Y","Sort=A","Dates=H","DateFormat=P","Fill=—","Direction=H","UseDPDF=Y")</f>
        <v>#NAME?</v>
      </c>
      <c r="AD30" s="1" t="e">
        <f ca="1">_xll.BDH($C$28,"MODIFIED_WORK_CAP_GROWTH","FQ2 2014","FQ2 2014","Currency=INR","Period=FQ","BEST_FPERIOD_OVERRIDE=FQ","FILING_STATUS=OR","EQY_CONSOLIDATED=Y","Sort=A","Dates=H","DateFormat=P","Fill=—","Direction=H","UseDPDF=Y")</f>
        <v>#NAME?</v>
      </c>
      <c r="AE30" s="1" t="e">
        <f ca="1">_xll.BDH($C$28,"WORK_CAP_GROWTH","FQ2 2014","FQ2 2014","Currency=INR","Period=FQ","BEST_FPERIOD_OVERRIDE=FQ","FILING_STATUS=OR","EQY_CONSOLIDATED=Y","Sort=A","Dates=H","DateFormat=P","Fill=—","Direction=H","UseDPDF=Y")</f>
        <v>#NAME?</v>
      </c>
      <c r="AF30" s="1" t="e">
        <f ca="1">_xll.BDH($C$28,"ACCOUNTS_PAYABLE_GROWTH_1YR","FQ2 2014","FQ2 2014","Currency=INR","Period=FQ","BEST_FPERIOD_OVERRIDE=FQ","FILING_STATUS=OR","EQY_CONSOLIDATED=Y","Sort=A","Dates=H","DateFormat=P","Fill=—","Direction=H","UseDPDF=Y")</f>
        <v>#NAME?</v>
      </c>
      <c r="AG30" s="1" t="e">
        <f ca="1">_xll.BDH($C$28,"SHORT_TERM_DEBT_1_YEAR_GROWTH","FQ2 2014","FQ2 2014","Currency=INR","Period=FQ","BEST_FPERIOD_OVERRIDE=FQ","FILING_STATUS=OR","EQY_CONSOLIDATED=Y","Sort=A","Dates=H","DateFormat=P","Fill=—","Direction=H","UseDPDF=Y")</f>
        <v>#NAME?</v>
      </c>
      <c r="AH30" s="1" t="e">
        <f ca="1">_xll.BDH($C$28,"TOTAL_DEBT_1_YEAR_GROWTH","FQ2 2014","FQ2 2014","Currency=INR","Period=FQ","BEST_FPERIOD_OVERRIDE=FQ","FILING_STATUS=OR","EQY_CONSOLIDATED=Y","Sort=A","Dates=H","DateFormat=P","Fill=—","Direction=H","UseDPDF=Y")</f>
        <v>#NAME?</v>
      </c>
      <c r="AI30" s="1" t="e">
        <f ca="1">_xll.BDH($C$28,"TOTAL_EQUITY_1_YEAR_GROWTH","FQ2 2014","FQ2 2014","Currency=INR","Period=FQ","BEST_FPERIOD_OVERRIDE=FQ","FILING_STATUS=OR","EQY_CONSOLIDATED=Y","Sort=A","Dates=H","DateFormat=P","Fill=—","Direction=H","UseDPDF=Y")</f>
        <v>#NAME?</v>
      </c>
      <c r="AJ30" s="1" t="e">
        <f ca="1">_xll.BDH($C$28,"GROWTH_IN_CAP","FQ2 2014","FQ2 2014","Currency=INR","Period=FQ","BEST_FPERIOD_OVERRIDE=FQ","FILING_STATUS=OR","EQY_CONSOLIDATED=Y","Sort=A","Dates=H","DateFormat=P","Fill=—","Direction=H","UseDPDF=Y")</f>
        <v>#NAME?</v>
      </c>
      <c r="AK30" s="1" t="e">
        <f ca="1">_xll.BDH($C$28,"BVPS_GROWTH","FQ2 2014","FQ2 2014","Currency=INR","Period=FQ","BEST_FPERIOD_OVERRIDE=FQ","FILING_STATUS=OR","EQY_CONSOLIDATED=Y","Sort=A","Dates=H","DateFormat=P","Fill=—","Direction=H","UseDPDF=Y")</f>
        <v>#NAME?</v>
      </c>
      <c r="AL30" s="1" t="e">
        <f ca="1">_xll.BDH($C$28,"CASH_FLOW_GROWTH","FQ2 2014","FQ2 2014","Currency=INR","Period=FQ","BEST_FPERIOD_OVERRIDE=FQ","FILING_STATUS=OR","EQY_CONSOLIDATED=Y","Sort=A","Dates=H","DateFormat=P","Fill=—","Direction=H","UseDPDF=Y")</f>
        <v>#NAME?</v>
      </c>
      <c r="AM30" s="1" t="e">
        <f ca="1">_xll.BDH($C$28,"GEO_GROW_NET_SALES","FQ2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0" s="1" t="e">
        <f ca="1">_xll.BDH($C$28,"GEO_GROW_EBITDA","FQ2 2014","FQ2 2014","Currency=INR","Period=FQ","BEST_FPERIOD_OVERRIDE=FQ","FILING_STATUS=OR","EQY_CONSOLIDATED=Y","FA_ADJUSTED=GAAP","Sort=A","Dates=H","DateFormat=P","Fill=—","Direction=H","UseDPDF=Y")</f>
        <v>#NAME?</v>
      </c>
      <c r="AO30" s="1" t="e">
        <f ca="1">_xll.BDH($C$28,"GEO_GROW_OPER_INC","FQ2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0" s="1" t="e">
        <f ca="1">_xll.BDH($C$28,"NET_INCOME_TO_COMMON_5_YR_GROWTH","FQ2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0" s="1" t="e">
        <f ca="1">_xll.BDH($C$28,"5Y_GEO_GROWTH_DILUTED_EPS","FQ2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0" s="1" t="e">
        <f ca="1">_xll.BDH($C$28,"GEO_GROW_DVD_PER_SH","FQ2 2014","FQ2 2014","Currency=INR","Period=FQ","BEST_FPERIOD_OVERRIDE=FQ","FILING_STATUS=OR","EQY_CONSOLIDATED=Y","Sort=A","Dates=H","DateFormat=P","Fill=—","Direction=H","UseDPDF=Y")</f>
        <v>#NAME?</v>
      </c>
      <c r="AS30" s="1" t="e">
        <f ca="1">_xll.BDH($C$28,"ACCOUNTS_RECEIVABLE_5_YR_GROWTH","FQ2 2014","FQ2 2014","Currency=INR","Period=FQ","BEST_FPERIOD_OVERRIDE=FQ","FILING_STATUS=OR","EQY_CONSOLIDATED=Y","Sort=A","Dates=H","DateFormat=P","Fill=—","Direction=H","UseDPDF=Y")</f>
        <v>#NAME?</v>
      </c>
      <c r="AT30" s="1" t="e">
        <f ca="1">_xll.BDH($C$28,"INVENTORY_5_YEAR_GROWTH","FQ2 2014","FQ2 2014","Currency=INR","Period=FQ","BEST_FPERIOD_OVERRIDE=FQ","FILING_STATUS=OR","EQY_CONSOLIDATED=Y","Sort=A","Dates=H","DateFormat=P","Fill=—","Direction=H","UseDPDF=Y")</f>
        <v>#NAME?</v>
      </c>
      <c r="AU30" s="1" t="e">
        <f ca="1">_xll.BDH($C$28,"NET_FIXED_ASSETS_5_YEAR_GROWTH","FQ2 2014","FQ2 2014","Currency=INR","Period=FQ","BEST_FPERIOD_OVERRIDE=FQ","FILING_STATUS=OR","EQY_CONSOLIDATED=Y","Sort=A","Dates=H","DateFormat=P","Fill=—","Direction=H","UseDPDF=Y")</f>
        <v>#NAME?</v>
      </c>
      <c r="AV30" s="1" t="e">
        <f ca="1">_xll.BDH($C$28,"GEO_GROW_TOT_ASSET","FQ2 2014","FQ2 2014","Currency=INR","Period=FQ","BEST_FPERIOD_OVERRIDE=FQ","FILING_STATUS=OR","EQY_CONSOLIDATED=Y","Sort=A","Dates=H","DateFormat=P","Fill=—","Direction=H","UseDPDF=Y")</f>
        <v>#NAME?</v>
      </c>
      <c r="AW30" s="1" t="e">
        <f ca="1">_xll.BDH($C$28,"MODIFIED_WORKING_CPTL_5YR_GRWTH","FQ2 2014","FQ2 2014","Currency=INR","Period=FQ","BEST_FPERIOD_OVERRIDE=FQ","FILING_STATUS=OR","EQY_CONSOLIDATED=Y","Sort=A","Dates=H","DateFormat=P","Fill=—","Direction=H","UseDPDF=Y")</f>
        <v>#NAME?</v>
      </c>
      <c r="AX30" s="1" t="e">
        <f ca="1">_xll.BDH($C$28,"WORKING_CAPITAL_5_YEAR_GROWTH","FQ2 2014","FQ2 2014","Currency=INR","Period=FQ","BEST_FPERIOD_OVERRIDE=FQ","FILING_STATUS=OR","EQY_CONSOLIDATED=Y","Sort=A","Dates=H","DateFormat=P","Fill=—","Direction=H","UseDPDF=Y")</f>
        <v>#NAME?</v>
      </c>
      <c r="AY30" s="1" t="e">
        <f ca="1">_xll.BDH($C$28,"ACCOUNTS_PAYABLE_5_YEAR_GROWTH","FQ2 2014","FQ2 2014","Currency=INR","Period=FQ","BEST_FPERIOD_OVERRIDE=FQ","FILING_STATUS=OR","EQY_CONSOLIDATED=Y","Sort=A","Dates=H","DateFormat=P","Fill=—","Direction=H","UseDPDF=Y")</f>
        <v>#NAME?</v>
      </c>
      <c r="AZ30" s="1" t="e">
        <f ca="1">_xll.BDH($C$28,"SHORT_TERM_DEBT_5_YEAR_GROWTH","FQ2 2014","FQ2 2014","Currency=INR","Period=FQ","BEST_FPERIOD_OVERRIDE=FQ","FILING_STATUS=OR","EQY_CONSOLIDATED=Y","Sort=A","Dates=H","DateFormat=P","Fill=—","Direction=H","UseDPDF=Y")</f>
        <v>#NAME?</v>
      </c>
      <c r="BA30" s="1" t="e">
        <f ca="1">_xll.BDH($C$28,"TOTAL_DEBT_5_YEAR_GROWTH","FQ2 2014","FQ2 2014","Currency=INR","Period=FQ","BEST_FPERIOD_OVERRIDE=FQ","FILING_STATUS=OR","EQY_CONSOLIDATED=Y","Sort=A","Dates=H","DateFormat=P","Fill=—","Direction=H","UseDPDF=Y")</f>
        <v>#NAME?</v>
      </c>
      <c r="BB30" s="1" t="e">
        <f ca="1">_xll.BDH($C$28,"GEO_GROW_TOT_SHRHLDR_EQY","FQ2 2014","FQ2 2014","Currency=INR","Period=FQ","BEST_FPERIOD_OVERRIDE=FQ","FILING_STATUS=OR","EQY_CONSOLIDATED=Y","Sort=A","Dates=H","DateFormat=P","Fill=—","Direction=H","UseDPDF=Y")</f>
        <v>#NAME?</v>
      </c>
      <c r="BC30" s="1" t="e">
        <f ca="1">_xll.BDH($C$28,"TOTAL_CAPITAL_5_YEAR_GROWTH","FQ2 2014","FQ2 2014","Currency=INR","Period=FQ","BEST_FPERIOD_OVERRIDE=FQ","FILING_STATUS=OR","EQY_CONSOLIDATED=Y","Sort=A","Dates=H","DateFormat=P","Fill=—","Direction=H","UseDPDF=Y")</f>
        <v>#NAME?</v>
      </c>
      <c r="BD30" s="1" t="e">
        <f ca="1">_xll.BDH($C$28,"GEO_GROW_BOOK_VAL","FQ2 2014","FQ2 2014","Currency=INR","Period=FQ","BEST_FPERIOD_OVERRIDE=FQ","FILING_STATUS=OR","EQY_CONSOLIDATED=Y","Sort=A","Dates=H","DateFormat=P","Fill=—","Direction=H","UseDPDF=Y")</f>
        <v>#NAME?</v>
      </c>
      <c r="BE30" s="1" t="e">
        <f ca="1">_xll.BDH($C$28,"GEO_GROW_CASH_OPER_ACT","FQ2 2014","FQ2 2014","Currency=INR","Period=FQ","BEST_FPERIOD_OVERRIDE=FQ","FILING_STATUS=OR","EQY_CONSOLIDATED=Y","Sort=A","Dates=H","DateFormat=P","Fill=—","Direction=H","UseDPDF=Y")</f>
        <v>#NAME?</v>
      </c>
      <c r="BF30" s="1" t="e">
        <f ca="1">_xll.BDH($C$28,"REVENUE_SEQUENTIAL_GROWTH","FQ2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0" s="1" t="e">
        <f ca="1">_xll.BDH($C$28,"EBITDA_SEQUENTIAL_GROWTH","FQ2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0" s="1" t="e">
        <f ca="1">_xll.BDH($C$28,"OPERATING_INCOME_SEQ_GROWTH","FQ2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0" s="1" t="e">
        <f ca="1">_xll.BDH($C$28,"NET_INCOME_TO_COMMON_SEQ_GROWTH","FQ2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0" s="1" t="e">
        <f ca="1">_xll.BDH($C$28,"EPS_DILUTED_SEQUENTIAL_GROWTH","FQ2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0" s="1" t="e">
        <f ca="1">_xll.BDH($C$28,"DPS_SEQUENTIAL_GROWTH","FQ2 2014","FQ2 2014","Currency=INR","Period=FQ","BEST_FPERIOD_OVERRIDE=FQ","FILING_STATUS=OR","EQY_CONSOLIDATED=Y","Sort=A","Dates=H","DateFormat=P","Fill=—","Direction=H","UseDPDF=Y")</f>
        <v>#NAME?</v>
      </c>
      <c r="BL30" s="1" t="e">
        <f ca="1">_xll.BDH($C$28,"ACCOUNTS_RECEIVABLE_SEQ_GROWTH","FQ2 2014","FQ2 2014","Currency=INR","Period=FQ","BEST_FPERIOD_OVERRIDE=FQ","FILING_STATUS=OR","EQY_CONSOLIDATED=Y","Sort=A","Dates=H","DateFormat=P","Fill=—","Direction=H","UseDPDF=Y")</f>
        <v>#NAME?</v>
      </c>
      <c r="BM30" s="1" t="e">
        <f ca="1">_xll.BDH($C$28,"INVENTORY_SEQUENTIAL_GROWTH","FQ2 2014","FQ2 2014","Currency=INR","Period=FQ","BEST_FPERIOD_OVERRIDE=FQ","FILING_STATUS=OR","EQY_CONSOLIDATED=Y","Sort=A","Dates=H","DateFormat=P","Fill=—","Direction=H","UseDPDF=Y")</f>
        <v>#NAME?</v>
      </c>
      <c r="BN30" s="1" t="e">
        <f ca="1">_xll.BDH($C$28,"FIXED_ASSETS_SEQUENTIAL_GROWTH","FQ2 2014","FQ2 2014","Currency=INR","Period=FQ","BEST_FPERIOD_OVERRIDE=FQ","FILING_STATUS=OR","EQY_CONSOLIDATED=Y","Sort=A","Dates=H","DateFormat=P","Fill=—","Direction=H","UseDPDF=Y")</f>
        <v>#NAME?</v>
      </c>
      <c r="BO30" s="1" t="e">
        <f ca="1">_xll.BDH($C$28,"TOTAL_ASSETS_SEQUENTIAL_GROWTH","FQ2 2014","FQ2 2014","Currency=INR","Period=FQ","BEST_FPERIOD_OVERRIDE=FQ","FILING_STATUS=OR","EQY_CONSOLIDATED=Y","Sort=A","Dates=H","DateFormat=P","Fill=—","Direction=H","UseDPDF=Y")</f>
        <v>#NAME?</v>
      </c>
      <c r="BP30" s="1" t="e">
        <f ca="1">_xll.BDH($C$28,"MODIFIED_WORKING_CPTL_SEQ_GRWTH","FQ2 2014","FQ2 2014","Currency=INR","Period=FQ","BEST_FPERIOD_OVERRIDE=FQ","FILING_STATUS=OR","EQY_CONSOLIDATED=Y","Sort=A","Dates=H","DateFormat=P","Fill=—","Direction=H","UseDPDF=Y")</f>
        <v>#NAME?</v>
      </c>
      <c r="BQ30" s="1" t="e">
        <f ca="1">_xll.BDH($C$28,"WORKING_CAPITAL_SEQ_GROWTH","FQ2 2014","FQ2 2014","Currency=INR","Period=FQ","BEST_FPERIOD_OVERRIDE=FQ","FILING_STATUS=OR","EQY_CONSOLIDATED=Y","Sort=A","Dates=H","DateFormat=P","Fill=—","Direction=H","UseDPDF=Y")</f>
        <v>#NAME?</v>
      </c>
      <c r="BR30" s="1" t="e">
        <f ca="1">_xll.BDH($C$28,"ACCOUNTS_PAYABLE_SEQ_GROWTH","FQ2 2014","FQ2 2014","Currency=INR","Period=FQ","BEST_FPERIOD_OVERRIDE=FQ","FILING_STATUS=OR","EQY_CONSOLIDATED=Y","Sort=A","Dates=H","DateFormat=P","Fill=—","Direction=H","UseDPDF=Y")</f>
        <v>#NAME?</v>
      </c>
      <c r="BS30" s="1" t="e">
        <f ca="1">_xll.BDH($C$28,"ST_DEBT_SEQUENTIAL_GROWTH","FQ2 2014","FQ2 2014","Currency=INR","Period=FQ","BEST_FPERIOD_OVERRIDE=FQ","FILING_STATUS=OR","EQY_CONSOLIDATED=Y","Sort=A","Dates=H","DateFormat=P","Fill=—","Direction=H","UseDPDF=Y")</f>
        <v>#NAME?</v>
      </c>
      <c r="BT30" s="1" t="e">
        <f ca="1">_xll.BDH($C$28,"TOTAL_DEBT_SEQUENTIAL_GROWTH","FQ2 2014","FQ2 2014","Currency=INR","Period=FQ","BEST_FPERIOD_OVERRIDE=FQ","FILING_STATUS=OR","EQY_CONSOLIDATED=Y","Sort=A","Dates=H","DateFormat=P","Fill=—","Direction=H","UseDPDF=Y")</f>
        <v>#NAME?</v>
      </c>
      <c r="BU30" s="1" t="e">
        <f ca="1">_xll.BDH($C$28,"TOTAL_EQUITY_SEQUENTIAL_GROWTH","FQ2 2014","FQ2 2014","Currency=INR","Period=FQ","BEST_FPERIOD_OVERRIDE=FQ","FILING_STATUS=OR","EQY_CONSOLIDATED=Y","Sort=A","Dates=H","DateFormat=P","Fill=—","Direction=H","UseDPDF=Y")</f>
        <v>#NAME?</v>
      </c>
      <c r="BV30" s="1" t="e">
        <f ca="1">_xll.BDH($C$28,"TOTAL_CAPITAL_SEQUENTIAL_GROWTH","FQ2 2014","FQ2 2014","Currency=INR","Period=FQ","BEST_FPERIOD_OVERRIDE=FQ","FILING_STATUS=OR","EQY_CONSOLIDATED=Y","Sort=A","Dates=H","DateFormat=P","Fill=—","Direction=H","UseDPDF=Y")</f>
        <v>#NAME?</v>
      </c>
      <c r="BW30" s="1" t="e">
        <f ca="1">_xll.BDH($C$28,"BPS_SEQUENTIAL_GROWTH","FQ2 2014","FQ2 2014","Currency=INR","Period=FQ","BEST_FPERIOD_OVERRIDE=FQ","FILING_STATUS=OR","EQY_CONSOLIDATED=Y","Sort=A","Dates=H","DateFormat=P","Fill=—","Direction=H","UseDPDF=Y")</f>
        <v>#NAME?</v>
      </c>
      <c r="BX30" s="1" t="e">
        <f ca="1">_xll.BDH($C$28,"CFO_SEQUENTIAL_GROWTH","FQ2 2014","FQ2 2014","Currency=INR","Period=FQ","BEST_FPERIOD_OVERRIDE=FQ","FILING_STATUS=OR","EQY_CONSOLIDATED=Y","Sort=A","Dates=H","DateFormat=P","Fill=—","Direction=H","UseDPDF=Y")</f>
        <v>#NAME?</v>
      </c>
      <c r="BY30" s="2" t="e">
        <f ca="1">_xll.BDH($C$28,"SHORT_AND_LONG_TERM_DEBT","FQ2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0" s="2" t="e">
        <f ca="1">_xll.BDH($C$28,"BS_ST_BORROW","FQ2 2014","FQ2 2014","Currency=INR","Period=FQ","BEST_FPERIOD_OVERRIDE=FQ","FILING_STATUS=OR","EQY_CONSOLIDATED=Y","SCALING_FORMAT=MLN","Sort=A","Dates=H","DateFormat=P","Fill=—","Direction=H","UseDPDF=Y")</f>
        <v>#NAME?</v>
      </c>
      <c r="CA30" s="2" t="e">
        <f ca="1">_xll.BDH($C$28,"BS_LT_BORROW","FQ2 2014","FQ2 2014","Currency=INR","Period=FQ","BEST_FPERIOD_OVERRIDE=FQ","FILING_STATUS=OR","EQY_CONSOLIDATED=Y","SCALING_FORMAT=MLN","Sort=A","Dates=H","DateFormat=P","Fill=—","Direction=H","UseDPDF=Y")</f>
        <v>#NAME?</v>
      </c>
      <c r="CB30" s="1" t="e">
        <f ca="1">_xll.BDH($C$28,"TOT_DEBT_TO_EBITDA","FQ2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0" s="1" t="e">
        <f ca="1">_xll.BDH($C$28,"NET_DEBT_TO_EBITDA","FQ2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0" s="1" t="e">
        <f ca="1">_xll.BDH($C$28,"TOTAL_DEBT_TO_EBIT","FQ2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0" s="1" t="e">
        <f ca="1">_xll.BDH($C$28,"NET_DEBT_TO_EBIT","FQ2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30" s="1" t="e">
        <f ca="1">_xll.BDH($C$28,"EBITDA_TO_INTEREST_EXPN","FQ2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0" s="1" t="e">
        <f ca="1">_xll.BDH($C$28,"COM_EQY_TO_TOT_ASSET","FQ2 2014","FQ2 2014","Currency=INR","Period=FQ","BEST_FPERIOD_OVERRIDE=FQ","FILING_STATUS=OR","EQY_CONSOLIDATED=Y","Sort=A","Dates=H","DateFormat=P","Fill=—","Direction=H","UseDPDF=Y")</f>
        <v>#NAME?</v>
      </c>
      <c r="CH30" s="1" t="e">
        <f ca="1">_xll.BDH($C$28,"LT_DEBT_TO_TOT_EQY","FQ2 2014","FQ2 2014","Currency=INR","Period=FQ","BEST_FPERIOD_OVERRIDE=FQ","FILING_STATUS=OR","EQY_CONSOLIDATED=Y","Sort=A","Dates=H","DateFormat=P","Fill=—","Direction=H","UseDPDF=Y")</f>
        <v>#NAME?</v>
      </c>
      <c r="CI30" s="1" t="e">
        <f ca="1">_xll.BDH($C$28,"LT_DEBT_TO_TOT_CAP","FQ2 2014","FQ2 2014","Currency=INR","Period=FQ","BEST_FPERIOD_OVERRIDE=FQ","FILING_STATUS=OR","EQY_CONSOLIDATED=Y","Sort=A","Dates=H","DateFormat=P","Fill=—","Direction=H","UseDPDF=Y")</f>
        <v>#NAME?</v>
      </c>
      <c r="CJ30" s="1" t="e">
        <f ca="1">_xll.BDH($C$28,"LT_DEBT_TO_TOT_ASSET","FQ2 2014","FQ2 2014","Currency=INR","Period=FQ","BEST_FPERIOD_OVERRIDE=FQ","FILING_STATUS=OR","EQY_CONSOLIDATED=Y","Sort=A","Dates=H","DateFormat=P","Fill=—","Direction=H","UseDPDF=Y")</f>
        <v>#NAME?</v>
      </c>
      <c r="CK30" s="1" t="e">
        <f ca="1">_xll.BDH($C$28,"TOT_DEBT_TO_TOT_EQY","FQ2 2014","FQ2 2014","Currency=INR","Period=FQ","BEST_FPERIOD_OVERRIDE=FQ","FILING_STATUS=OR","EQY_CONSOLIDATED=Y","Sort=A","Dates=H","DateFormat=P","Fill=—","Direction=H","UseDPDF=Y")</f>
        <v>#NAME?</v>
      </c>
      <c r="CL30" s="1" t="e">
        <f ca="1">_xll.BDH($C$28,"TOT_DEBT_TO_TOT_CAP","FQ2 2014","FQ2 2014","Currency=INR","Period=FQ","BEST_FPERIOD_OVERRIDE=FQ","FILING_STATUS=OR","EQY_CONSOLIDATED=Y","Sort=A","Dates=H","DateFormat=P","Fill=—","Direction=H","UseDPDF=Y")</f>
        <v>#NAME?</v>
      </c>
      <c r="CM30" s="1" t="e">
        <f ca="1">_xll.BDH($C$28,"TOT_DEBT_TO_TOT_ASSET","FQ2 2014","FQ2 2014","Currency=INR","Period=FQ","BEST_FPERIOD_OVERRIDE=FQ","FILING_STATUS=OR","EQY_CONSOLIDATED=Y","Sort=A","Dates=H","DateFormat=P","Fill=—","Direction=H","UseDPDF=Y")</f>
        <v>#NAME?</v>
      </c>
      <c r="CN30" s="1" t="e">
        <f ca="1">_xll.BDH($C$28,"NET_DEBT_TO_SHRHLDR_EQTY","FQ2 2014","FQ2 2014","Currency=INR","Period=FQ","BEST_FPERIOD_OVERRIDE=FQ","FILING_STATUS=OR","EQY_CONSOLIDATED=Y","Sort=A","Dates=H","DateFormat=P","Fill=—","Direction=H","UseDPDF=Y")</f>
        <v>#NAME?</v>
      </c>
      <c r="CO30" s="1" t="e">
        <f ca="1">_xll.BDH($C$28,"NET_DEBT_%_CAPITAL","FQ2 2014","FQ2 2014","Currency=INR","Period=FQ","BEST_FPERIOD_OVERRIDE=FQ","FILING_STATUS=OR","EQY_CONSOLIDATED=Y","Sort=A","Dates=H","DateFormat=P","Fill=—","Direction=H","UseDPDF=Y")</f>
        <v>#NAME?</v>
      </c>
      <c r="CP30" s="2" t="e">
        <f ca="1">_xll.BDH($C$28,"EBITDA","FQ2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0" s="2" t="e">
        <f ca="1">_xll.BDH($C$28,"EBITDA_AFTER_CAPEX","FQ2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0" s="2" t="e">
        <f ca="1">_xll.BDH($C$28,"IS_OPER_INC","FQ2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0" s="1" t="e">
        <f ca="1">_xll.BDH($C$28,"CASH_RATIO","FQ2 2014","FQ2 2014","Currency=INR","Period=FQ","BEST_FPERIOD_OVERRIDE=FQ","FILING_STATUS=OR","EQY_CONSOLIDATED=Y","Sort=A","Dates=H","DateFormat=P","Fill=—","Direction=H","UseDPDF=Y")</f>
        <v>#NAME?</v>
      </c>
      <c r="CT30" s="1" t="e">
        <f ca="1">_xll.BDH($C$28,"CUR_RATIO","FQ2 2014","FQ2 2014","Currency=INR","Period=FQ","BEST_FPERIOD_OVERRIDE=FQ","FILING_STATUS=OR","EQY_CONSOLIDATED=Y","Sort=A","Dates=H","DateFormat=P","Fill=—","Direction=H","UseDPDF=Y")</f>
        <v>#NAME?</v>
      </c>
      <c r="CU30" s="1" t="e">
        <f ca="1">_xll.BDH($C$28,"QUICK_RATIO","FQ2 2014","FQ2 2014","Currency=INR","Period=FQ","BEST_FPERIOD_OVERRIDE=FQ","FILING_STATUS=OR","EQY_CONSOLIDATED=Y","Sort=A","Dates=H","DateFormat=P","Fill=—","Direction=H","UseDPDF=Y")</f>
        <v>#NAME?</v>
      </c>
      <c r="CV30" s="1" t="e">
        <f ca="1">_xll.BDH($C$28,"ALTMAN_Z_SCORE","FQ2 2014","FQ2 2014","Currency=INR","Period=FQ","BEST_FPERIOD_OVERRIDE=FQ","FILING_STATUS=OR","EQY_CONSOLIDATED=Y","Sort=A","Dates=H","DateFormat=P","Fill=—","Direction=H","UseDPDF=Y")</f>
        <v>#NAME?</v>
      </c>
      <c r="CW30" s="3" t="e">
        <f ca="1">_xll.BDH($C$28,"ACCT_RCV_TURN","FQ2 2014","FQ2 2014","Currency=INR","Period=FQ","BEST_FPERIOD_OVERRIDE=FQ","FILING_STATUS=OR","EQY_CONSOLIDATED=Y","FA_ADJUSTED=GAAP","Sort=A","Dates=H","DateFormat=P","Fill=—","Direction=H","UseDPDF=Y")</f>
        <v>#NAME?</v>
      </c>
      <c r="CX30" s="1" t="e">
        <f ca="1">_xll.BDH($C$28,"ACCT_RCV_DAYS","FQ2 2014","FQ2 2014","Currency=INR","Period=FQ","BEST_FPERIOD_OVERRIDE=FQ","FILING_STATUS=OR","EQY_CONSOLIDATED=Y","FA_ADJUSTED=GAAP","Sort=A","Dates=H","DateFormat=P","Fill=—","Direction=H","UseDPDF=Y")</f>
        <v>#NAME?</v>
      </c>
      <c r="CY30" s="3" t="e">
        <f ca="1">_xll.BDH($C$28,"INVENT_TURN","FQ2 2014","FQ2 2014","Currency=INR","Period=FQ","BEST_FPERIOD_OVERRIDE=FQ","FILING_STATUS=OR","EQY_CONSOLIDATED=Y","FA_ADJUSTED=GAAP","Sort=A","Dates=H","DateFormat=P","Fill=—","Direction=H","UseDPDF=Y")</f>
        <v>#NAME?</v>
      </c>
      <c r="CZ30" s="1" t="e">
        <f ca="1">_xll.BDH($C$28,"INVENT_DAYS","FQ2 2014","FQ2 2014","Currency=INR","Period=FQ","BEST_FPERIOD_OVERRIDE=FQ","FILING_STATUS=OR","EQY_CONSOLIDATED=Y","FA_ADJUSTED=GAAP","Sort=A","Dates=H","DateFormat=P","Fill=—","Direction=H","UseDPDF=Y")</f>
        <v>#NAME?</v>
      </c>
      <c r="DA30" s="3" t="e">
        <f ca="1">_xll.BDH($C$28,"ACCOUNTS_PAYABLE_TURNOVER","FQ2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0" s="1" t="e">
        <f ca="1">_xll.BDH($C$28,"ACCOUNTS_PAYABLE_TURNOVER_DAYS","FQ2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0" s="3" t="e">
        <f ca="1">_xll.BDH($C$28,"CASH_CONVERSION_CYCLE","FQ2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0" s="3" t="e">
        <f ca="1">_xll.BDH($C$28,"INV_TO_CASH_DAYS","FQ2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30" s="4" t="e">
        <f ca="1">_xll.BDH($C$28,"BS_INVENTORIES","FQ2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30" s="2" t="e">
        <f ca="1">_xll.BDH($C$28,"INVTRY_RAW_MATERIALS","FQ2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0" s="2" t="e">
        <f ca="1">_xll.BDH($C$28,"INVTRY_IN_PROGRESS","FQ2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0" s="2" t="e">
        <f ca="1">_xll.BDH($C$28,"INVTRY_FINISHED_GOODS","FQ2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0" s="2" t="e">
        <f ca="1">_xll.BDH($C$28,"BS_OTHER_INV","FQ2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1" spans="1:113" x14ac:dyDescent="0.3">
      <c r="A31" s="6"/>
      <c r="B31" s="6"/>
      <c r="C31" s="6"/>
      <c r="D31" s="6"/>
      <c r="E31" t="s">
        <v>6</v>
      </c>
      <c r="F31" t="e">
        <f ca="1">_xll.BDH($C$28,"RETURN_COM_EQY","FQ3 2014","FQ3 2014","Currency=INR","Period=FQ","BEST_FPERIOD_OVERRIDE=FQ","FILING_STATUS=OR","EQY_CONSOLIDATED=Y","FA_ADJUSTED=GAAP","Sort=A","Dates=H","DateFormat=P","Fill=—","Direction=H","UseDPDF=Y")</f>
        <v>#NAME?</v>
      </c>
      <c r="G31" t="e">
        <f ca="1">_xll.BDH($C$28,"RETURN_ON_ASSET","FQ3 2014","FQ3 2014","Currency=INR","Period=FQ","BEST_FPERIOD_OVERRIDE=FQ","FILING_STATUS=OR","EQY_CONSOLIDATED=Y","FA_ADJUSTED=GAAP","Sort=A","Dates=H","DateFormat=P","Fill=—","Direction=H","UseDPDF=Y")</f>
        <v>#NAME?</v>
      </c>
      <c r="H31" t="e">
        <f ca="1">_xll.BDH($C$28,"RETURN_ON_CAP","FQ3 2014","FQ3 2014","Currency=INR","Period=FQ","BEST_FPERIOD_OVERRIDE=FQ","FILING_STATUS=OR","EQY_CONSOLIDATED=Y","FA_ADJUSTED=GAAP","Sort=A","Dates=H","DateFormat=P","Fill=—","Direction=H","UseDPDF=Y")</f>
        <v>#NAME?</v>
      </c>
      <c r="I31" t="e">
        <f ca="1">_xll.BDH($C$28,"RETURN_ON_INV_CAPITAL","FQ3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1" t="e">
        <f ca="1">_xll.BDH($C$28,"EBITDA_TO_REVENUE","FQ3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31" t="e">
        <f ca="1">_xll.BDH($C$28,"OPER_MARGIN","FQ3 2014","FQ3 2014","Currency=INR","Period=FQ","BEST_FPERIOD_OVERRIDE=FQ","FILING_STATUS=OR","EQY_CONSOLIDATED=Y","FA_ADJUSTED=GAAP","Sort=A","Dates=H","DateFormat=P","Fill=—","Direction=H","UseDPDF=Y")</f>
        <v>#NAME?</v>
      </c>
      <c r="L31" t="e">
        <f ca="1">_xll.BDH($C$28,"INCREMENTAL_OPERATING_MARGIN","FQ3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1" t="e">
        <f ca="1">_xll.BDH($C$28,"PRETAX_INC_TO_NET_SALES","FQ3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1" t="e">
        <f ca="1">_xll.BDH($C$28,"INC_BEF_XO_ITEMS_TO_NET_SALES","FQ3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1" t="e">
        <f ca="1">_xll.BDH($C$28,"PROF_MARGIN","FQ3 2014","FQ3 2014","Currency=INR","Period=FQ","BEST_FPERIOD_OVERRIDE=FQ","FILING_STATUS=OR","EQY_CONSOLIDATED=Y","FA_ADJUSTED=GAAP","Sort=A","Dates=H","DateFormat=P","Fill=—","Direction=H","UseDPDF=Y")</f>
        <v>#NAME?</v>
      </c>
      <c r="P31" t="e">
        <f ca="1">_xll.BDH($C$28,"NET_INCOME_TO_COMMON_MARGIN","FQ3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1" t="e">
        <f ca="1">_xll.BDH($C$28,"EFF_TAX_RATE","FQ3 2014","FQ3 2014","Currency=INR","Period=FQ","BEST_FPERIOD_OVERRIDE=FQ","FILING_STATUS=OR","EQY_CONSOLIDATED=Y","FA_ADJUSTED=GAAP","Sort=A","Dates=H","DateFormat=P","Fill=—","Direction=H","UseDPDF=Y")</f>
        <v>#NAME?</v>
      </c>
      <c r="R31" t="e">
        <f ca="1">_xll.BDH($C$28,"DVD_PAYOUT_RATIO","FQ3 2014","FQ3 2014","Currency=INR","Period=FQ","BEST_FPERIOD_OVERRIDE=FQ","FILING_STATUS=OR","EQY_CONSOLIDATED=Y","FA_ADJUSTED=GAAP","Sort=A","Dates=H","DateFormat=P","Fill=—","Direction=H","UseDPDF=Y")</f>
        <v>#NAME?</v>
      </c>
      <c r="S31" t="e">
        <f ca="1">_xll.BDH($C$28,"SUSTAIN_GROWTH_RT","FQ3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31" s="1" t="e">
        <f ca="1">_xll.BDH($C$28,"SALES_GROWTH","FQ3 2014","FQ3 2014","Currency=INR","Period=FQ","BEST_FPERIOD_OVERRIDE=FQ","FILING_STATUS=OR","EQY_CONSOLIDATED=Y","FA_ADJUSTED=GAAP","Sort=A","Dates=H","DateFormat=P","Fill=—","Direction=H","UseDPDF=Y")</f>
        <v>#NAME?</v>
      </c>
      <c r="U31" s="1" t="e">
        <f ca="1">_xll.BDH($C$28,"EBITDA_GROWTH","FQ3 2014","FQ3 2014","Currency=INR","Period=FQ","BEST_FPERIOD_OVERRIDE=FQ","FILING_STATUS=OR","EQY_CONSOLIDATED=Y","FA_ADJUSTED=GAAP","Sort=A","Dates=H","DateFormat=P","Fill=—","Direction=H","UseDPDF=Y")</f>
        <v>#NAME?</v>
      </c>
      <c r="V31" s="1" t="e">
        <f ca="1">_xll.BDH($C$28,"OPER_INC_GROWTH","FQ3 2014","FQ3 2014","Currency=INR","Period=FQ","BEST_FPERIOD_OVERRIDE=FQ","FILING_STATUS=OR","EQY_CONSOLIDATED=Y","FA_ADJUSTED=GAAP","Sort=A","Dates=H","DateFormat=P","Fill=—","Direction=H","UseDPDF=Y")</f>
        <v>#NAME?</v>
      </c>
      <c r="W31" s="1" t="e">
        <f ca="1">_xll.BDH($C$28,"EARN_FOR_COM_GROWTH","FQ3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1" s="1" t="e">
        <f ca="1">_xll.BDH($C$28,"DILUTED_EPS_AFT_XO_ITEMS_GROWTH","FQ3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1" s="1" t="e">
        <f ca="1">_xll.BDH($C$28,"DIVIDEND_PER_SHARE_1_YEAR_GROWTH","FQ3 2014","FQ3 2014","Currency=INR","Period=FQ","BEST_FPERIOD_OVERRIDE=FQ","FILING_STATUS=OR","EQY_CONSOLIDATED=Y","Sort=A","Dates=H","DateFormat=P","Fill=—","Direction=H","UseDPDF=Y")</f>
        <v>#NAME?</v>
      </c>
      <c r="Z31" s="1" t="e">
        <f ca="1">_xll.BDH($C$28,"ACCOUNTS_RECEIVABLE_GROWTH","FQ3 2014","FQ3 2014","Currency=INR","Period=FQ","BEST_FPERIOD_OVERRIDE=FQ","FILING_STATUS=OR","EQY_CONSOLIDATED=Y","Sort=A","Dates=H","DateFormat=P","Fill=—","Direction=H","UseDPDF=Y")</f>
        <v>#NAME?</v>
      </c>
      <c r="AA31" s="1" t="e">
        <f ca="1">_xll.BDH($C$28,"INVENTORY_GROWTH","FQ3 2014","FQ3 2014","Currency=INR","Period=FQ","BEST_FPERIOD_OVERRIDE=FQ","FILING_STATUS=OR","EQY_CONSOLIDATED=Y","Sort=A","Dates=H","DateFormat=P","Fill=—","Direction=H","UseDPDF=Y")</f>
        <v>#NAME?</v>
      </c>
      <c r="AB31" s="1" t="e">
        <f ca="1">_xll.BDH($C$28,"NET_FIXED_ASSETS_1_YEAR_GROWTH","FQ3 2014","FQ3 2014","Currency=INR","Period=FQ","BEST_FPERIOD_OVERRIDE=FQ","FILING_STATUS=OR","EQY_CONSOLIDATED=Y","Sort=A","Dates=H","DateFormat=P","Fill=—","Direction=H","UseDPDF=Y")</f>
        <v>#NAME?</v>
      </c>
      <c r="AC31" s="1" t="e">
        <f ca="1">_xll.BDH($C$28,"ASSET_GROWTH","FQ3 2014","FQ3 2014","Currency=INR","Period=FQ","BEST_FPERIOD_OVERRIDE=FQ","FILING_STATUS=OR","EQY_CONSOLIDATED=Y","Sort=A","Dates=H","DateFormat=P","Fill=—","Direction=H","UseDPDF=Y")</f>
        <v>#NAME?</v>
      </c>
      <c r="AD31" s="1" t="e">
        <f ca="1">_xll.BDH($C$28,"MODIFIED_WORK_CAP_GROWTH","FQ3 2014","FQ3 2014","Currency=INR","Period=FQ","BEST_FPERIOD_OVERRIDE=FQ","FILING_STATUS=OR","EQY_CONSOLIDATED=Y","Sort=A","Dates=H","DateFormat=P","Fill=—","Direction=H","UseDPDF=Y")</f>
        <v>#NAME?</v>
      </c>
      <c r="AE31" s="1" t="e">
        <f ca="1">_xll.BDH($C$28,"WORK_CAP_GROWTH","FQ3 2014","FQ3 2014","Currency=INR","Period=FQ","BEST_FPERIOD_OVERRIDE=FQ","FILING_STATUS=OR","EQY_CONSOLIDATED=Y","Sort=A","Dates=H","DateFormat=P","Fill=—","Direction=H","UseDPDF=Y")</f>
        <v>#NAME?</v>
      </c>
      <c r="AF31" s="1" t="e">
        <f ca="1">_xll.BDH($C$28,"ACCOUNTS_PAYABLE_GROWTH_1YR","FQ3 2014","FQ3 2014","Currency=INR","Period=FQ","BEST_FPERIOD_OVERRIDE=FQ","FILING_STATUS=OR","EQY_CONSOLIDATED=Y","Sort=A","Dates=H","DateFormat=P","Fill=—","Direction=H","UseDPDF=Y")</f>
        <v>#NAME?</v>
      </c>
      <c r="AG31" s="1" t="e">
        <f ca="1">_xll.BDH($C$28,"SHORT_TERM_DEBT_1_YEAR_GROWTH","FQ3 2014","FQ3 2014","Currency=INR","Period=FQ","BEST_FPERIOD_OVERRIDE=FQ","FILING_STATUS=OR","EQY_CONSOLIDATED=Y","Sort=A","Dates=H","DateFormat=P","Fill=—","Direction=H","UseDPDF=Y")</f>
        <v>#NAME?</v>
      </c>
      <c r="AH31" s="1" t="e">
        <f ca="1">_xll.BDH($C$28,"TOTAL_DEBT_1_YEAR_GROWTH","FQ3 2014","FQ3 2014","Currency=INR","Period=FQ","BEST_FPERIOD_OVERRIDE=FQ","FILING_STATUS=OR","EQY_CONSOLIDATED=Y","Sort=A","Dates=H","DateFormat=P","Fill=—","Direction=H","UseDPDF=Y")</f>
        <v>#NAME?</v>
      </c>
      <c r="AI31" s="1" t="e">
        <f ca="1">_xll.BDH($C$28,"TOTAL_EQUITY_1_YEAR_GROWTH","FQ3 2014","FQ3 2014","Currency=INR","Period=FQ","BEST_FPERIOD_OVERRIDE=FQ","FILING_STATUS=OR","EQY_CONSOLIDATED=Y","Sort=A","Dates=H","DateFormat=P","Fill=—","Direction=H","UseDPDF=Y")</f>
        <v>#NAME?</v>
      </c>
      <c r="AJ31" s="1" t="e">
        <f ca="1">_xll.BDH($C$28,"GROWTH_IN_CAP","FQ3 2014","FQ3 2014","Currency=INR","Period=FQ","BEST_FPERIOD_OVERRIDE=FQ","FILING_STATUS=OR","EQY_CONSOLIDATED=Y","Sort=A","Dates=H","DateFormat=P","Fill=—","Direction=H","UseDPDF=Y")</f>
        <v>#NAME?</v>
      </c>
      <c r="AK31" s="1" t="e">
        <f ca="1">_xll.BDH($C$28,"BVPS_GROWTH","FQ3 2014","FQ3 2014","Currency=INR","Period=FQ","BEST_FPERIOD_OVERRIDE=FQ","FILING_STATUS=OR","EQY_CONSOLIDATED=Y","Sort=A","Dates=H","DateFormat=P","Fill=—","Direction=H","UseDPDF=Y")</f>
        <v>#NAME?</v>
      </c>
      <c r="AL31" s="1" t="e">
        <f ca="1">_xll.BDH($C$28,"CASH_FLOW_GROWTH","FQ3 2014","FQ3 2014","Currency=INR","Period=FQ","BEST_FPERIOD_OVERRIDE=FQ","FILING_STATUS=OR","EQY_CONSOLIDATED=Y","Sort=A","Dates=H","DateFormat=P","Fill=—","Direction=H","UseDPDF=Y")</f>
        <v>#NAME?</v>
      </c>
      <c r="AM31" s="1" t="e">
        <f ca="1">_xll.BDH($C$28,"GEO_GROW_NET_SALES","FQ3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1" s="1" t="e">
        <f ca="1">_xll.BDH($C$28,"GEO_GROW_EBITDA","FQ3 2014","FQ3 2014","Currency=INR","Period=FQ","BEST_FPERIOD_OVERRIDE=FQ","FILING_STATUS=OR","EQY_CONSOLIDATED=Y","FA_ADJUSTED=GAAP","Sort=A","Dates=H","DateFormat=P","Fill=—","Direction=H","UseDPDF=Y")</f>
        <v>#NAME?</v>
      </c>
      <c r="AO31" s="1" t="e">
        <f ca="1">_xll.BDH($C$28,"GEO_GROW_OPER_INC","FQ3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1" s="1" t="e">
        <f ca="1">_xll.BDH($C$28,"NET_INCOME_TO_COMMON_5_YR_GROWTH","FQ3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1" s="1" t="e">
        <f ca="1">_xll.BDH($C$28,"5Y_GEO_GROWTH_DILUTED_EPS","FQ3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1" s="1" t="e">
        <f ca="1">_xll.BDH($C$28,"GEO_GROW_DVD_PER_SH","FQ3 2014","FQ3 2014","Currency=INR","Period=FQ","BEST_FPERIOD_OVERRIDE=FQ","FILING_STATUS=OR","EQY_CONSOLIDATED=Y","Sort=A","Dates=H","DateFormat=P","Fill=—","Direction=H","UseDPDF=Y")</f>
        <v>#NAME?</v>
      </c>
      <c r="AS31" s="1" t="e">
        <f ca="1">_xll.BDH($C$28,"ACCOUNTS_RECEIVABLE_5_YR_GROWTH","FQ3 2014","FQ3 2014","Currency=INR","Period=FQ","BEST_FPERIOD_OVERRIDE=FQ","FILING_STATUS=OR","EQY_CONSOLIDATED=Y","Sort=A","Dates=H","DateFormat=P","Fill=—","Direction=H","UseDPDF=Y")</f>
        <v>#NAME?</v>
      </c>
      <c r="AT31" s="1" t="e">
        <f ca="1">_xll.BDH($C$28,"INVENTORY_5_YEAR_GROWTH","FQ3 2014","FQ3 2014","Currency=INR","Period=FQ","BEST_FPERIOD_OVERRIDE=FQ","FILING_STATUS=OR","EQY_CONSOLIDATED=Y","Sort=A","Dates=H","DateFormat=P","Fill=—","Direction=H","UseDPDF=Y")</f>
        <v>#NAME?</v>
      </c>
      <c r="AU31" s="1" t="e">
        <f ca="1">_xll.BDH($C$28,"NET_FIXED_ASSETS_5_YEAR_GROWTH","FQ3 2014","FQ3 2014","Currency=INR","Period=FQ","BEST_FPERIOD_OVERRIDE=FQ","FILING_STATUS=OR","EQY_CONSOLIDATED=Y","Sort=A","Dates=H","DateFormat=P","Fill=—","Direction=H","UseDPDF=Y")</f>
        <v>#NAME?</v>
      </c>
      <c r="AV31" s="1" t="e">
        <f ca="1">_xll.BDH($C$28,"GEO_GROW_TOT_ASSET","FQ3 2014","FQ3 2014","Currency=INR","Period=FQ","BEST_FPERIOD_OVERRIDE=FQ","FILING_STATUS=OR","EQY_CONSOLIDATED=Y","Sort=A","Dates=H","DateFormat=P","Fill=—","Direction=H","UseDPDF=Y")</f>
        <v>#NAME?</v>
      </c>
      <c r="AW31" s="1" t="e">
        <f ca="1">_xll.BDH($C$28,"MODIFIED_WORKING_CPTL_5YR_GRWTH","FQ3 2014","FQ3 2014","Currency=INR","Period=FQ","BEST_FPERIOD_OVERRIDE=FQ","FILING_STATUS=OR","EQY_CONSOLIDATED=Y","Sort=A","Dates=H","DateFormat=P","Fill=—","Direction=H","UseDPDF=Y")</f>
        <v>#NAME?</v>
      </c>
      <c r="AX31" s="1" t="e">
        <f ca="1">_xll.BDH($C$28,"WORKING_CAPITAL_5_YEAR_GROWTH","FQ3 2014","FQ3 2014","Currency=INR","Period=FQ","BEST_FPERIOD_OVERRIDE=FQ","FILING_STATUS=OR","EQY_CONSOLIDATED=Y","Sort=A","Dates=H","DateFormat=P","Fill=—","Direction=H","UseDPDF=Y")</f>
        <v>#NAME?</v>
      </c>
      <c r="AY31" s="1" t="e">
        <f ca="1">_xll.BDH($C$28,"ACCOUNTS_PAYABLE_5_YEAR_GROWTH","FQ3 2014","FQ3 2014","Currency=INR","Period=FQ","BEST_FPERIOD_OVERRIDE=FQ","FILING_STATUS=OR","EQY_CONSOLIDATED=Y","Sort=A","Dates=H","DateFormat=P","Fill=—","Direction=H","UseDPDF=Y")</f>
        <v>#NAME?</v>
      </c>
      <c r="AZ31" s="1" t="e">
        <f ca="1">_xll.BDH($C$28,"SHORT_TERM_DEBT_5_YEAR_GROWTH","FQ3 2014","FQ3 2014","Currency=INR","Period=FQ","BEST_FPERIOD_OVERRIDE=FQ","FILING_STATUS=OR","EQY_CONSOLIDATED=Y","Sort=A","Dates=H","DateFormat=P","Fill=—","Direction=H","UseDPDF=Y")</f>
        <v>#NAME?</v>
      </c>
      <c r="BA31" s="1" t="e">
        <f ca="1">_xll.BDH($C$28,"TOTAL_DEBT_5_YEAR_GROWTH","FQ3 2014","FQ3 2014","Currency=INR","Period=FQ","BEST_FPERIOD_OVERRIDE=FQ","FILING_STATUS=OR","EQY_CONSOLIDATED=Y","Sort=A","Dates=H","DateFormat=P","Fill=—","Direction=H","UseDPDF=Y")</f>
        <v>#NAME?</v>
      </c>
      <c r="BB31" s="1" t="e">
        <f ca="1">_xll.BDH($C$28,"GEO_GROW_TOT_SHRHLDR_EQY","FQ3 2014","FQ3 2014","Currency=INR","Period=FQ","BEST_FPERIOD_OVERRIDE=FQ","FILING_STATUS=OR","EQY_CONSOLIDATED=Y","Sort=A","Dates=H","DateFormat=P","Fill=—","Direction=H","UseDPDF=Y")</f>
        <v>#NAME?</v>
      </c>
      <c r="BC31" s="1" t="e">
        <f ca="1">_xll.BDH($C$28,"TOTAL_CAPITAL_5_YEAR_GROWTH","FQ3 2014","FQ3 2014","Currency=INR","Period=FQ","BEST_FPERIOD_OVERRIDE=FQ","FILING_STATUS=OR","EQY_CONSOLIDATED=Y","Sort=A","Dates=H","DateFormat=P","Fill=—","Direction=H","UseDPDF=Y")</f>
        <v>#NAME?</v>
      </c>
      <c r="BD31" s="1" t="e">
        <f ca="1">_xll.BDH($C$28,"GEO_GROW_BOOK_VAL","FQ3 2014","FQ3 2014","Currency=INR","Period=FQ","BEST_FPERIOD_OVERRIDE=FQ","FILING_STATUS=OR","EQY_CONSOLIDATED=Y","Sort=A","Dates=H","DateFormat=P","Fill=—","Direction=H","UseDPDF=Y")</f>
        <v>#NAME?</v>
      </c>
      <c r="BE31" s="1" t="e">
        <f ca="1">_xll.BDH($C$28,"GEO_GROW_CASH_OPER_ACT","FQ3 2014","FQ3 2014","Currency=INR","Period=FQ","BEST_FPERIOD_OVERRIDE=FQ","FILING_STATUS=OR","EQY_CONSOLIDATED=Y","Sort=A","Dates=H","DateFormat=P","Fill=—","Direction=H","UseDPDF=Y")</f>
        <v>#NAME?</v>
      </c>
      <c r="BF31" s="1" t="e">
        <f ca="1">_xll.BDH($C$28,"REVENUE_SEQUENTIAL_GROWTH","FQ3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1" s="1" t="e">
        <f ca="1">_xll.BDH($C$28,"EBITDA_SEQUENTIAL_GROWTH","FQ3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1" s="1" t="e">
        <f ca="1">_xll.BDH($C$28,"OPERATING_INCOME_SEQ_GROWTH","FQ3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1" s="1" t="e">
        <f ca="1">_xll.BDH($C$28,"NET_INCOME_TO_COMMON_SEQ_GROWTH","FQ3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1" s="1" t="e">
        <f ca="1">_xll.BDH($C$28,"EPS_DILUTED_SEQUENTIAL_GROWTH","FQ3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1" s="1" t="e">
        <f ca="1">_xll.BDH($C$28,"DPS_SEQUENTIAL_GROWTH","FQ3 2014","FQ3 2014","Currency=INR","Period=FQ","BEST_FPERIOD_OVERRIDE=FQ","FILING_STATUS=OR","EQY_CONSOLIDATED=Y","Sort=A","Dates=H","DateFormat=P","Fill=—","Direction=H","UseDPDF=Y")</f>
        <v>#NAME?</v>
      </c>
      <c r="BL31" s="1" t="e">
        <f ca="1">_xll.BDH($C$28,"ACCOUNTS_RECEIVABLE_SEQ_GROWTH","FQ3 2014","FQ3 2014","Currency=INR","Period=FQ","BEST_FPERIOD_OVERRIDE=FQ","FILING_STATUS=OR","EQY_CONSOLIDATED=Y","Sort=A","Dates=H","DateFormat=P","Fill=—","Direction=H","UseDPDF=Y")</f>
        <v>#NAME?</v>
      </c>
      <c r="BM31" s="1" t="e">
        <f ca="1">_xll.BDH($C$28,"INVENTORY_SEQUENTIAL_GROWTH","FQ3 2014","FQ3 2014","Currency=INR","Period=FQ","BEST_FPERIOD_OVERRIDE=FQ","FILING_STATUS=OR","EQY_CONSOLIDATED=Y","Sort=A","Dates=H","DateFormat=P","Fill=—","Direction=H","UseDPDF=Y")</f>
        <v>#NAME?</v>
      </c>
      <c r="BN31" s="1" t="e">
        <f ca="1">_xll.BDH($C$28,"FIXED_ASSETS_SEQUENTIAL_GROWTH","FQ3 2014","FQ3 2014","Currency=INR","Period=FQ","BEST_FPERIOD_OVERRIDE=FQ","FILING_STATUS=OR","EQY_CONSOLIDATED=Y","Sort=A","Dates=H","DateFormat=P","Fill=—","Direction=H","UseDPDF=Y")</f>
        <v>#NAME?</v>
      </c>
      <c r="BO31" s="1" t="e">
        <f ca="1">_xll.BDH($C$28,"TOTAL_ASSETS_SEQUENTIAL_GROWTH","FQ3 2014","FQ3 2014","Currency=INR","Period=FQ","BEST_FPERIOD_OVERRIDE=FQ","FILING_STATUS=OR","EQY_CONSOLIDATED=Y","Sort=A","Dates=H","DateFormat=P","Fill=—","Direction=H","UseDPDF=Y")</f>
        <v>#NAME?</v>
      </c>
      <c r="BP31" s="1" t="e">
        <f ca="1">_xll.BDH($C$28,"MODIFIED_WORKING_CPTL_SEQ_GRWTH","FQ3 2014","FQ3 2014","Currency=INR","Period=FQ","BEST_FPERIOD_OVERRIDE=FQ","FILING_STATUS=OR","EQY_CONSOLIDATED=Y","Sort=A","Dates=H","DateFormat=P","Fill=—","Direction=H","UseDPDF=Y")</f>
        <v>#NAME?</v>
      </c>
      <c r="BQ31" s="1" t="e">
        <f ca="1">_xll.BDH($C$28,"WORKING_CAPITAL_SEQ_GROWTH","FQ3 2014","FQ3 2014","Currency=INR","Period=FQ","BEST_FPERIOD_OVERRIDE=FQ","FILING_STATUS=OR","EQY_CONSOLIDATED=Y","Sort=A","Dates=H","DateFormat=P","Fill=—","Direction=H","UseDPDF=Y")</f>
        <v>#NAME?</v>
      </c>
      <c r="BR31" s="1" t="e">
        <f ca="1">_xll.BDH($C$28,"ACCOUNTS_PAYABLE_SEQ_GROWTH","FQ3 2014","FQ3 2014","Currency=INR","Period=FQ","BEST_FPERIOD_OVERRIDE=FQ","FILING_STATUS=OR","EQY_CONSOLIDATED=Y","Sort=A","Dates=H","DateFormat=P","Fill=—","Direction=H","UseDPDF=Y")</f>
        <v>#NAME?</v>
      </c>
      <c r="BS31" s="1" t="e">
        <f ca="1">_xll.BDH($C$28,"ST_DEBT_SEQUENTIAL_GROWTH","FQ3 2014","FQ3 2014","Currency=INR","Period=FQ","BEST_FPERIOD_OVERRIDE=FQ","FILING_STATUS=OR","EQY_CONSOLIDATED=Y","Sort=A","Dates=H","DateFormat=P","Fill=—","Direction=H","UseDPDF=Y")</f>
        <v>#NAME?</v>
      </c>
      <c r="BT31" s="1" t="e">
        <f ca="1">_xll.BDH($C$28,"TOTAL_DEBT_SEQUENTIAL_GROWTH","FQ3 2014","FQ3 2014","Currency=INR","Period=FQ","BEST_FPERIOD_OVERRIDE=FQ","FILING_STATUS=OR","EQY_CONSOLIDATED=Y","Sort=A","Dates=H","DateFormat=P","Fill=—","Direction=H","UseDPDF=Y")</f>
        <v>#NAME?</v>
      </c>
      <c r="BU31" s="1" t="e">
        <f ca="1">_xll.BDH($C$28,"TOTAL_EQUITY_SEQUENTIAL_GROWTH","FQ3 2014","FQ3 2014","Currency=INR","Period=FQ","BEST_FPERIOD_OVERRIDE=FQ","FILING_STATUS=OR","EQY_CONSOLIDATED=Y","Sort=A","Dates=H","DateFormat=P","Fill=—","Direction=H","UseDPDF=Y")</f>
        <v>#NAME?</v>
      </c>
      <c r="BV31" s="1" t="e">
        <f ca="1">_xll.BDH($C$28,"TOTAL_CAPITAL_SEQUENTIAL_GROWTH","FQ3 2014","FQ3 2014","Currency=INR","Period=FQ","BEST_FPERIOD_OVERRIDE=FQ","FILING_STATUS=OR","EQY_CONSOLIDATED=Y","Sort=A","Dates=H","DateFormat=P","Fill=—","Direction=H","UseDPDF=Y")</f>
        <v>#NAME?</v>
      </c>
      <c r="BW31" s="1" t="e">
        <f ca="1">_xll.BDH($C$28,"BPS_SEQUENTIAL_GROWTH","FQ3 2014","FQ3 2014","Currency=INR","Period=FQ","BEST_FPERIOD_OVERRIDE=FQ","FILING_STATUS=OR","EQY_CONSOLIDATED=Y","Sort=A","Dates=H","DateFormat=P","Fill=—","Direction=H","UseDPDF=Y")</f>
        <v>#NAME?</v>
      </c>
      <c r="BX31" s="1" t="e">
        <f ca="1">_xll.BDH($C$28,"CFO_SEQUENTIAL_GROWTH","FQ3 2014","FQ3 2014","Currency=INR","Period=FQ","BEST_FPERIOD_OVERRIDE=FQ","FILING_STATUS=OR","EQY_CONSOLIDATED=Y","Sort=A","Dates=H","DateFormat=P","Fill=—","Direction=H","UseDPDF=Y")</f>
        <v>#NAME?</v>
      </c>
      <c r="BY31" s="2" t="e">
        <f ca="1">_xll.BDH($C$28,"SHORT_AND_LONG_TERM_DEBT","FQ3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1" s="2" t="e">
        <f ca="1">_xll.BDH($C$28,"BS_ST_BORROW","FQ3 2014","FQ3 2014","Currency=INR","Period=FQ","BEST_FPERIOD_OVERRIDE=FQ","FILING_STATUS=OR","EQY_CONSOLIDATED=Y","SCALING_FORMAT=MLN","Sort=A","Dates=H","DateFormat=P","Fill=—","Direction=H","UseDPDF=Y")</f>
        <v>#NAME?</v>
      </c>
      <c r="CA31" s="2" t="e">
        <f ca="1">_xll.BDH($C$28,"BS_LT_BORROW","FQ3 2014","FQ3 2014","Currency=INR","Period=FQ","BEST_FPERIOD_OVERRIDE=FQ","FILING_STATUS=OR","EQY_CONSOLIDATED=Y","SCALING_FORMAT=MLN","Sort=A","Dates=H","DateFormat=P","Fill=—","Direction=H","UseDPDF=Y")</f>
        <v>#NAME?</v>
      </c>
      <c r="CB31" s="1" t="e">
        <f ca="1">_xll.BDH($C$28,"TOT_DEBT_TO_EBITDA","FQ3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1" s="1" t="e">
        <f ca="1">_xll.BDH($C$28,"NET_DEBT_TO_EBITDA","FQ3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1" s="1" t="e">
        <f ca="1">_xll.BDH($C$28,"TOTAL_DEBT_TO_EBIT","FQ3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1" s="1" t="e">
        <f ca="1">_xll.BDH($C$28,"NET_DEBT_TO_EBIT","FQ3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31" s="1" t="e">
        <f ca="1">_xll.BDH($C$28,"EBITDA_TO_INTEREST_EXPN","FQ3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1" s="1" t="e">
        <f ca="1">_xll.BDH($C$28,"COM_EQY_TO_TOT_ASSET","FQ3 2014","FQ3 2014","Currency=INR","Period=FQ","BEST_FPERIOD_OVERRIDE=FQ","FILING_STATUS=OR","EQY_CONSOLIDATED=Y","Sort=A","Dates=H","DateFormat=P","Fill=—","Direction=H","UseDPDF=Y")</f>
        <v>#NAME?</v>
      </c>
      <c r="CH31" s="1" t="e">
        <f ca="1">_xll.BDH($C$28,"LT_DEBT_TO_TOT_EQY","FQ3 2014","FQ3 2014","Currency=INR","Period=FQ","BEST_FPERIOD_OVERRIDE=FQ","FILING_STATUS=OR","EQY_CONSOLIDATED=Y","Sort=A","Dates=H","DateFormat=P","Fill=—","Direction=H","UseDPDF=Y")</f>
        <v>#NAME?</v>
      </c>
      <c r="CI31" s="1" t="e">
        <f ca="1">_xll.BDH($C$28,"LT_DEBT_TO_TOT_CAP","FQ3 2014","FQ3 2014","Currency=INR","Period=FQ","BEST_FPERIOD_OVERRIDE=FQ","FILING_STATUS=OR","EQY_CONSOLIDATED=Y","Sort=A","Dates=H","DateFormat=P","Fill=—","Direction=H","UseDPDF=Y")</f>
        <v>#NAME?</v>
      </c>
      <c r="CJ31" s="1" t="e">
        <f ca="1">_xll.BDH($C$28,"LT_DEBT_TO_TOT_ASSET","FQ3 2014","FQ3 2014","Currency=INR","Period=FQ","BEST_FPERIOD_OVERRIDE=FQ","FILING_STATUS=OR","EQY_CONSOLIDATED=Y","Sort=A","Dates=H","DateFormat=P","Fill=—","Direction=H","UseDPDF=Y")</f>
        <v>#NAME?</v>
      </c>
      <c r="CK31" s="1" t="e">
        <f ca="1">_xll.BDH($C$28,"TOT_DEBT_TO_TOT_EQY","FQ3 2014","FQ3 2014","Currency=INR","Period=FQ","BEST_FPERIOD_OVERRIDE=FQ","FILING_STATUS=OR","EQY_CONSOLIDATED=Y","Sort=A","Dates=H","DateFormat=P","Fill=—","Direction=H","UseDPDF=Y")</f>
        <v>#NAME?</v>
      </c>
      <c r="CL31" s="1" t="e">
        <f ca="1">_xll.BDH($C$28,"TOT_DEBT_TO_TOT_CAP","FQ3 2014","FQ3 2014","Currency=INR","Period=FQ","BEST_FPERIOD_OVERRIDE=FQ","FILING_STATUS=OR","EQY_CONSOLIDATED=Y","Sort=A","Dates=H","DateFormat=P","Fill=—","Direction=H","UseDPDF=Y")</f>
        <v>#NAME?</v>
      </c>
      <c r="CM31" s="1" t="e">
        <f ca="1">_xll.BDH($C$28,"TOT_DEBT_TO_TOT_ASSET","FQ3 2014","FQ3 2014","Currency=INR","Period=FQ","BEST_FPERIOD_OVERRIDE=FQ","FILING_STATUS=OR","EQY_CONSOLIDATED=Y","Sort=A","Dates=H","DateFormat=P","Fill=—","Direction=H","UseDPDF=Y")</f>
        <v>#NAME?</v>
      </c>
      <c r="CN31" s="1" t="e">
        <f ca="1">_xll.BDH($C$28,"NET_DEBT_TO_SHRHLDR_EQTY","FQ3 2014","FQ3 2014","Currency=INR","Period=FQ","BEST_FPERIOD_OVERRIDE=FQ","FILING_STATUS=OR","EQY_CONSOLIDATED=Y","Sort=A","Dates=H","DateFormat=P","Fill=—","Direction=H","UseDPDF=Y")</f>
        <v>#NAME?</v>
      </c>
      <c r="CO31" s="1" t="e">
        <f ca="1">_xll.BDH($C$28,"NET_DEBT_%_CAPITAL","FQ3 2014","FQ3 2014","Currency=INR","Period=FQ","BEST_FPERIOD_OVERRIDE=FQ","FILING_STATUS=OR","EQY_CONSOLIDATED=Y","Sort=A","Dates=H","DateFormat=P","Fill=—","Direction=H","UseDPDF=Y")</f>
        <v>#NAME?</v>
      </c>
      <c r="CP31" s="2" t="e">
        <f ca="1">_xll.BDH($C$28,"EBITDA","FQ3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1" s="2" t="e">
        <f ca="1">_xll.BDH($C$28,"EBITDA_AFTER_CAPEX","FQ3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1" s="2" t="e">
        <f ca="1">_xll.BDH($C$28,"IS_OPER_INC","FQ3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1" s="1" t="e">
        <f ca="1">_xll.BDH($C$28,"CASH_RATIO","FQ3 2014","FQ3 2014","Currency=INR","Period=FQ","BEST_FPERIOD_OVERRIDE=FQ","FILING_STATUS=OR","EQY_CONSOLIDATED=Y","Sort=A","Dates=H","DateFormat=P","Fill=—","Direction=H","UseDPDF=Y")</f>
        <v>#NAME?</v>
      </c>
      <c r="CT31" s="1" t="e">
        <f ca="1">_xll.BDH($C$28,"CUR_RATIO","FQ3 2014","FQ3 2014","Currency=INR","Period=FQ","BEST_FPERIOD_OVERRIDE=FQ","FILING_STATUS=OR","EQY_CONSOLIDATED=Y","Sort=A","Dates=H","DateFormat=P","Fill=—","Direction=H","UseDPDF=Y")</f>
        <v>#NAME?</v>
      </c>
      <c r="CU31" s="1" t="e">
        <f ca="1">_xll.BDH($C$28,"QUICK_RATIO","FQ3 2014","FQ3 2014","Currency=INR","Period=FQ","BEST_FPERIOD_OVERRIDE=FQ","FILING_STATUS=OR","EQY_CONSOLIDATED=Y","Sort=A","Dates=H","DateFormat=P","Fill=—","Direction=H","UseDPDF=Y")</f>
        <v>#NAME?</v>
      </c>
      <c r="CV31" s="1" t="e">
        <f ca="1">_xll.BDH($C$28,"ALTMAN_Z_SCORE","FQ3 2014","FQ3 2014","Currency=INR","Period=FQ","BEST_FPERIOD_OVERRIDE=FQ","FILING_STATUS=OR","EQY_CONSOLIDATED=Y","Sort=A","Dates=H","DateFormat=P","Fill=—","Direction=H","UseDPDF=Y")</f>
        <v>#NAME?</v>
      </c>
      <c r="CW31" s="3" t="e">
        <f ca="1">_xll.BDH($C$28,"ACCT_RCV_TURN","FQ3 2014","FQ3 2014","Currency=INR","Period=FQ","BEST_FPERIOD_OVERRIDE=FQ","FILING_STATUS=OR","EQY_CONSOLIDATED=Y","FA_ADJUSTED=GAAP","Sort=A","Dates=H","DateFormat=P","Fill=—","Direction=H","UseDPDF=Y")</f>
        <v>#NAME?</v>
      </c>
      <c r="CX31" s="1" t="e">
        <f ca="1">_xll.BDH($C$28,"ACCT_RCV_DAYS","FQ3 2014","FQ3 2014","Currency=INR","Period=FQ","BEST_FPERIOD_OVERRIDE=FQ","FILING_STATUS=OR","EQY_CONSOLIDATED=Y","FA_ADJUSTED=GAAP","Sort=A","Dates=H","DateFormat=P","Fill=—","Direction=H","UseDPDF=Y")</f>
        <v>#NAME?</v>
      </c>
      <c r="CY31" s="3" t="e">
        <f ca="1">_xll.BDH($C$28,"INVENT_TURN","FQ3 2014","FQ3 2014","Currency=INR","Period=FQ","BEST_FPERIOD_OVERRIDE=FQ","FILING_STATUS=OR","EQY_CONSOLIDATED=Y","FA_ADJUSTED=GAAP","Sort=A","Dates=H","DateFormat=P","Fill=—","Direction=H","UseDPDF=Y")</f>
        <v>#NAME?</v>
      </c>
      <c r="CZ31" s="1" t="e">
        <f ca="1">_xll.BDH($C$28,"INVENT_DAYS","FQ3 2014","FQ3 2014","Currency=INR","Period=FQ","BEST_FPERIOD_OVERRIDE=FQ","FILING_STATUS=OR","EQY_CONSOLIDATED=Y","FA_ADJUSTED=GAAP","Sort=A","Dates=H","DateFormat=P","Fill=—","Direction=H","UseDPDF=Y")</f>
        <v>#NAME?</v>
      </c>
      <c r="DA31" s="3" t="e">
        <f ca="1">_xll.BDH($C$28,"ACCOUNTS_PAYABLE_TURNOVER","FQ3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1" s="1" t="e">
        <f ca="1">_xll.BDH($C$28,"ACCOUNTS_PAYABLE_TURNOVER_DAYS","FQ3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1" s="3" t="e">
        <f ca="1">_xll.BDH($C$28,"CASH_CONVERSION_CYCLE","FQ3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1" s="3" t="e">
        <f ca="1">_xll.BDH($C$28,"INV_TO_CASH_DAYS","FQ3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31" s="4" t="e">
        <f ca="1">_xll.BDH($C$28,"BS_INVENTORIES","FQ3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31" s="2" t="e">
        <f ca="1">_xll.BDH($C$28,"INVTRY_RAW_MATERIALS","FQ3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1" s="2" t="e">
        <f ca="1">_xll.BDH($C$28,"INVTRY_IN_PROGRESS","FQ3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1" s="2" t="e">
        <f ca="1">_xll.BDH($C$28,"INVTRY_FINISHED_GOODS","FQ3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1" s="2" t="e">
        <f ca="1">_xll.BDH($C$28,"BS_OTHER_INV","FQ3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2" spans="1:113" x14ac:dyDescent="0.3">
      <c r="A32" s="6"/>
      <c r="B32" s="6"/>
      <c r="C32" s="6"/>
      <c r="D32" s="6"/>
      <c r="E32" t="s">
        <v>7</v>
      </c>
      <c r="F32" t="e">
        <f ca="1">_xll.BDH($C$28,"RETURN_COM_EQY","FQ4 2014","FQ4 2014","Currency=INR","Period=FQ","BEST_FPERIOD_OVERRIDE=FQ","FILING_STATUS=OR","EQY_CONSOLIDATED=Y","FA_ADJUSTED=GAAP","Sort=A","Dates=H","DateFormat=P","Fill=—","Direction=H","UseDPDF=Y")</f>
        <v>#NAME?</v>
      </c>
      <c r="G32" t="e">
        <f ca="1">_xll.BDH($C$28,"RETURN_ON_ASSET","FQ4 2014","FQ4 2014","Currency=INR","Period=FQ","BEST_FPERIOD_OVERRIDE=FQ","FILING_STATUS=OR","EQY_CONSOLIDATED=Y","FA_ADJUSTED=GAAP","Sort=A","Dates=H","DateFormat=P","Fill=—","Direction=H","UseDPDF=Y")</f>
        <v>#NAME?</v>
      </c>
      <c r="H32" t="e">
        <f ca="1">_xll.BDH($C$28,"RETURN_ON_CAP","FQ4 2014","FQ4 2014","Currency=INR","Period=FQ","BEST_FPERIOD_OVERRIDE=FQ","FILING_STATUS=OR","EQY_CONSOLIDATED=Y","FA_ADJUSTED=GAAP","Sort=A","Dates=H","DateFormat=P","Fill=—","Direction=H","UseDPDF=Y")</f>
        <v>#NAME?</v>
      </c>
      <c r="I32" t="e">
        <f ca="1">_xll.BDH($C$28,"RETURN_ON_INV_CAPITAL","FQ4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2" t="e">
        <f ca="1">_xll.BDH($C$28,"EBITDA_TO_REVENUE","FQ4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32" t="e">
        <f ca="1">_xll.BDH($C$28,"OPER_MARGIN","FQ4 2014","FQ4 2014","Currency=INR","Period=FQ","BEST_FPERIOD_OVERRIDE=FQ","FILING_STATUS=OR","EQY_CONSOLIDATED=Y","FA_ADJUSTED=GAAP","Sort=A","Dates=H","DateFormat=P","Fill=—","Direction=H","UseDPDF=Y")</f>
        <v>#NAME?</v>
      </c>
      <c r="L32" t="e">
        <f ca="1">_xll.BDH($C$28,"INCREMENTAL_OPERATING_MARGIN","FQ4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2" t="e">
        <f ca="1">_xll.BDH($C$28,"PRETAX_INC_TO_NET_SALES","FQ4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2" t="e">
        <f ca="1">_xll.BDH($C$28,"INC_BEF_XO_ITEMS_TO_NET_SALES","FQ4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2" t="e">
        <f ca="1">_xll.BDH($C$28,"PROF_MARGIN","FQ4 2014","FQ4 2014","Currency=INR","Period=FQ","BEST_FPERIOD_OVERRIDE=FQ","FILING_STATUS=OR","EQY_CONSOLIDATED=Y","FA_ADJUSTED=GAAP","Sort=A","Dates=H","DateFormat=P","Fill=—","Direction=H","UseDPDF=Y")</f>
        <v>#NAME?</v>
      </c>
      <c r="P32" t="e">
        <f ca="1">_xll.BDH($C$28,"NET_INCOME_TO_COMMON_MARGIN","FQ4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2" t="e">
        <f ca="1">_xll.BDH($C$28,"EFF_TAX_RATE","FQ4 2014","FQ4 2014","Currency=INR","Period=FQ","BEST_FPERIOD_OVERRIDE=FQ","FILING_STATUS=OR","EQY_CONSOLIDATED=Y","FA_ADJUSTED=GAAP","Sort=A","Dates=H","DateFormat=P","Fill=—","Direction=H","UseDPDF=Y")</f>
        <v>#NAME?</v>
      </c>
      <c r="R32" t="e">
        <f ca="1">_xll.BDH($C$28,"DVD_PAYOUT_RATIO","FQ4 2014","FQ4 2014","Currency=INR","Period=FQ","BEST_FPERIOD_OVERRIDE=FQ","FILING_STATUS=OR","EQY_CONSOLIDATED=Y","FA_ADJUSTED=GAAP","Sort=A","Dates=H","DateFormat=P","Fill=—","Direction=H","UseDPDF=Y")</f>
        <v>#NAME?</v>
      </c>
      <c r="S32" t="e">
        <f ca="1">_xll.BDH($C$28,"SUSTAIN_GROWTH_RT","FQ4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32" s="1" t="e">
        <f ca="1">_xll.BDH($C$28,"SALES_GROWTH","FQ4 2014","FQ4 2014","Currency=INR","Period=FQ","BEST_FPERIOD_OVERRIDE=FQ","FILING_STATUS=OR","EQY_CONSOLIDATED=Y","FA_ADJUSTED=GAAP","Sort=A","Dates=H","DateFormat=P","Fill=—","Direction=H","UseDPDF=Y")</f>
        <v>#NAME?</v>
      </c>
      <c r="U32" s="1" t="e">
        <f ca="1">_xll.BDH($C$28,"EBITDA_GROWTH","FQ4 2014","FQ4 2014","Currency=INR","Period=FQ","BEST_FPERIOD_OVERRIDE=FQ","FILING_STATUS=OR","EQY_CONSOLIDATED=Y","FA_ADJUSTED=GAAP","Sort=A","Dates=H","DateFormat=P","Fill=—","Direction=H","UseDPDF=Y")</f>
        <v>#NAME?</v>
      </c>
      <c r="V32" s="1" t="e">
        <f ca="1">_xll.BDH($C$28,"OPER_INC_GROWTH","FQ4 2014","FQ4 2014","Currency=INR","Period=FQ","BEST_FPERIOD_OVERRIDE=FQ","FILING_STATUS=OR","EQY_CONSOLIDATED=Y","FA_ADJUSTED=GAAP","Sort=A","Dates=H","DateFormat=P","Fill=—","Direction=H","UseDPDF=Y")</f>
        <v>#NAME?</v>
      </c>
      <c r="W32" s="1" t="e">
        <f ca="1">_xll.BDH($C$28,"EARN_FOR_COM_GROWTH","FQ4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2" s="1" t="e">
        <f ca="1">_xll.BDH($C$28,"DILUTED_EPS_AFT_XO_ITEMS_GROWTH","FQ4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2" s="1" t="e">
        <f ca="1">_xll.BDH($C$28,"DIVIDEND_PER_SHARE_1_YEAR_GROWTH","FQ4 2014","FQ4 2014","Currency=INR","Period=FQ","BEST_FPERIOD_OVERRIDE=FQ","FILING_STATUS=OR","EQY_CONSOLIDATED=Y","Sort=A","Dates=H","DateFormat=P","Fill=—","Direction=H","UseDPDF=Y")</f>
        <v>#NAME?</v>
      </c>
      <c r="Z32" s="1" t="e">
        <f ca="1">_xll.BDH($C$28,"ACCOUNTS_RECEIVABLE_GROWTH","FQ4 2014","FQ4 2014","Currency=INR","Period=FQ","BEST_FPERIOD_OVERRIDE=FQ","FILING_STATUS=OR","EQY_CONSOLIDATED=Y","Sort=A","Dates=H","DateFormat=P","Fill=—","Direction=H","UseDPDF=Y")</f>
        <v>#NAME?</v>
      </c>
      <c r="AA32" s="1" t="e">
        <f ca="1">_xll.BDH($C$28,"INVENTORY_GROWTH","FQ4 2014","FQ4 2014","Currency=INR","Period=FQ","BEST_FPERIOD_OVERRIDE=FQ","FILING_STATUS=OR","EQY_CONSOLIDATED=Y","Sort=A","Dates=H","DateFormat=P","Fill=—","Direction=H","UseDPDF=Y")</f>
        <v>#NAME?</v>
      </c>
      <c r="AB32" s="1" t="e">
        <f ca="1">_xll.BDH($C$28,"NET_FIXED_ASSETS_1_YEAR_GROWTH","FQ4 2014","FQ4 2014","Currency=INR","Period=FQ","BEST_FPERIOD_OVERRIDE=FQ","FILING_STATUS=OR","EQY_CONSOLIDATED=Y","Sort=A","Dates=H","DateFormat=P","Fill=—","Direction=H","UseDPDF=Y")</f>
        <v>#NAME?</v>
      </c>
      <c r="AC32" s="1" t="e">
        <f ca="1">_xll.BDH($C$28,"ASSET_GROWTH","FQ4 2014","FQ4 2014","Currency=INR","Period=FQ","BEST_FPERIOD_OVERRIDE=FQ","FILING_STATUS=OR","EQY_CONSOLIDATED=Y","Sort=A","Dates=H","DateFormat=P","Fill=—","Direction=H","UseDPDF=Y")</f>
        <v>#NAME?</v>
      </c>
      <c r="AD32" s="1" t="e">
        <f ca="1">_xll.BDH($C$28,"MODIFIED_WORK_CAP_GROWTH","FQ4 2014","FQ4 2014","Currency=INR","Period=FQ","BEST_FPERIOD_OVERRIDE=FQ","FILING_STATUS=OR","EQY_CONSOLIDATED=Y","Sort=A","Dates=H","DateFormat=P","Fill=—","Direction=H","UseDPDF=Y")</f>
        <v>#NAME?</v>
      </c>
      <c r="AE32" s="1" t="e">
        <f ca="1">_xll.BDH($C$28,"WORK_CAP_GROWTH","FQ4 2014","FQ4 2014","Currency=INR","Period=FQ","BEST_FPERIOD_OVERRIDE=FQ","FILING_STATUS=OR","EQY_CONSOLIDATED=Y","Sort=A","Dates=H","DateFormat=P","Fill=—","Direction=H","UseDPDF=Y")</f>
        <v>#NAME?</v>
      </c>
      <c r="AF32" s="1" t="e">
        <f ca="1">_xll.BDH($C$28,"ACCOUNTS_PAYABLE_GROWTH_1YR","FQ4 2014","FQ4 2014","Currency=INR","Period=FQ","BEST_FPERIOD_OVERRIDE=FQ","FILING_STATUS=OR","EQY_CONSOLIDATED=Y","Sort=A","Dates=H","DateFormat=P","Fill=—","Direction=H","UseDPDF=Y")</f>
        <v>#NAME?</v>
      </c>
      <c r="AG32" s="1" t="e">
        <f ca="1">_xll.BDH($C$28,"SHORT_TERM_DEBT_1_YEAR_GROWTH","FQ4 2014","FQ4 2014","Currency=INR","Period=FQ","BEST_FPERIOD_OVERRIDE=FQ","FILING_STATUS=OR","EQY_CONSOLIDATED=Y","Sort=A","Dates=H","DateFormat=P","Fill=—","Direction=H","UseDPDF=Y")</f>
        <v>#NAME?</v>
      </c>
      <c r="AH32" s="1" t="e">
        <f ca="1">_xll.BDH($C$28,"TOTAL_DEBT_1_YEAR_GROWTH","FQ4 2014","FQ4 2014","Currency=INR","Period=FQ","BEST_FPERIOD_OVERRIDE=FQ","FILING_STATUS=OR","EQY_CONSOLIDATED=Y","Sort=A","Dates=H","DateFormat=P","Fill=—","Direction=H","UseDPDF=Y")</f>
        <v>#NAME?</v>
      </c>
      <c r="AI32" s="1" t="e">
        <f ca="1">_xll.BDH($C$28,"TOTAL_EQUITY_1_YEAR_GROWTH","FQ4 2014","FQ4 2014","Currency=INR","Period=FQ","BEST_FPERIOD_OVERRIDE=FQ","FILING_STATUS=OR","EQY_CONSOLIDATED=Y","Sort=A","Dates=H","DateFormat=P","Fill=—","Direction=H","UseDPDF=Y")</f>
        <v>#NAME?</v>
      </c>
      <c r="AJ32" s="1" t="e">
        <f ca="1">_xll.BDH($C$28,"GROWTH_IN_CAP","FQ4 2014","FQ4 2014","Currency=INR","Period=FQ","BEST_FPERIOD_OVERRIDE=FQ","FILING_STATUS=OR","EQY_CONSOLIDATED=Y","Sort=A","Dates=H","DateFormat=P","Fill=—","Direction=H","UseDPDF=Y")</f>
        <v>#NAME?</v>
      </c>
      <c r="AK32" s="1" t="e">
        <f ca="1">_xll.BDH($C$28,"BVPS_GROWTH","FQ4 2014","FQ4 2014","Currency=INR","Period=FQ","BEST_FPERIOD_OVERRIDE=FQ","FILING_STATUS=OR","EQY_CONSOLIDATED=Y","Sort=A","Dates=H","DateFormat=P","Fill=—","Direction=H","UseDPDF=Y")</f>
        <v>#NAME?</v>
      </c>
      <c r="AL32" s="1" t="e">
        <f ca="1">_xll.BDH($C$28,"CASH_FLOW_GROWTH","FQ4 2014","FQ4 2014","Currency=INR","Period=FQ","BEST_FPERIOD_OVERRIDE=FQ","FILING_STATUS=OR","EQY_CONSOLIDATED=Y","Sort=A","Dates=H","DateFormat=P","Fill=—","Direction=H","UseDPDF=Y")</f>
        <v>#NAME?</v>
      </c>
      <c r="AM32" s="1" t="e">
        <f ca="1">_xll.BDH($C$28,"GEO_GROW_NET_SALES","FQ4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2" s="1" t="e">
        <f ca="1">_xll.BDH($C$28,"GEO_GROW_EBITDA","FQ4 2014","FQ4 2014","Currency=INR","Period=FQ","BEST_FPERIOD_OVERRIDE=FQ","FILING_STATUS=OR","EQY_CONSOLIDATED=Y","FA_ADJUSTED=GAAP","Sort=A","Dates=H","DateFormat=P","Fill=—","Direction=H","UseDPDF=Y")</f>
        <v>#NAME?</v>
      </c>
      <c r="AO32" s="1" t="e">
        <f ca="1">_xll.BDH($C$28,"GEO_GROW_OPER_INC","FQ4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2" s="1" t="e">
        <f ca="1">_xll.BDH($C$28,"NET_INCOME_TO_COMMON_5_YR_GROWTH","FQ4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2" s="1" t="e">
        <f ca="1">_xll.BDH($C$28,"5Y_GEO_GROWTH_DILUTED_EPS","FQ4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2" s="1" t="e">
        <f ca="1">_xll.BDH($C$28,"GEO_GROW_DVD_PER_SH","FQ4 2014","FQ4 2014","Currency=INR","Period=FQ","BEST_FPERIOD_OVERRIDE=FQ","FILING_STATUS=OR","EQY_CONSOLIDATED=Y","Sort=A","Dates=H","DateFormat=P","Fill=—","Direction=H","UseDPDF=Y")</f>
        <v>#NAME?</v>
      </c>
      <c r="AS32" s="1" t="e">
        <f ca="1">_xll.BDH($C$28,"ACCOUNTS_RECEIVABLE_5_YR_GROWTH","FQ4 2014","FQ4 2014","Currency=INR","Period=FQ","BEST_FPERIOD_OVERRIDE=FQ","FILING_STATUS=OR","EQY_CONSOLIDATED=Y","Sort=A","Dates=H","DateFormat=P","Fill=—","Direction=H","UseDPDF=Y")</f>
        <v>#NAME?</v>
      </c>
      <c r="AT32" s="1" t="e">
        <f ca="1">_xll.BDH($C$28,"INVENTORY_5_YEAR_GROWTH","FQ4 2014","FQ4 2014","Currency=INR","Period=FQ","BEST_FPERIOD_OVERRIDE=FQ","FILING_STATUS=OR","EQY_CONSOLIDATED=Y","Sort=A","Dates=H","DateFormat=P","Fill=—","Direction=H","UseDPDF=Y")</f>
        <v>#NAME?</v>
      </c>
      <c r="AU32" s="1" t="e">
        <f ca="1">_xll.BDH($C$28,"NET_FIXED_ASSETS_5_YEAR_GROWTH","FQ4 2014","FQ4 2014","Currency=INR","Period=FQ","BEST_FPERIOD_OVERRIDE=FQ","FILING_STATUS=OR","EQY_CONSOLIDATED=Y","Sort=A","Dates=H","DateFormat=P","Fill=—","Direction=H","UseDPDF=Y")</f>
        <v>#NAME?</v>
      </c>
      <c r="AV32" s="1" t="e">
        <f ca="1">_xll.BDH($C$28,"GEO_GROW_TOT_ASSET","FQ4 2014","FQ4 2014","Currency=INR","Period=FQ","BEST_FPERIOD_OVERRIDE=FQ","FILING_STATUS=OR","EQY_CONSOLIDATED=Y","Sort=A","Dates=H","DateFormat=P","Fill=—","Direction=H","UseDPDF=Y")</f>
        <v>#NAME?</v>
      </c>
      <c r="AW32" s="1" t="e">
        <f ca="1">_xll.BDH($C$28,"MODIFIED_WORKING_CPTL_5YR_GRWTH","FQ4 2014","FQ4 2014","Currency=INR","Period=FQ","BEST_FPERIOD_OVERRIDE=FQ","FILING_STATUS=OR","EQY_CONSOLIDATED=Y","Sort=A","Dates=H","DateFormat=P","Fill=—","Direction=H","UseDPDF=Y")</f>
        <v>#NAME?</v>
      </c>
      <c r="AX32" s="1" t="e">
        <f ca="1">_xll.BDH($C$28,"WORKING_CAPITAL_5_YEAR_GROWTH","FQ4 2014","FQ4 2014","Currency=INR","Period=FQ","BEST_FPERIOD_OVERRIDE=FQ","FILING_STATUS=OR","EQY_CONSOLIDATED=Y","Sort=A","Dates=H","DateFormat=P","Fill=—","Direction=H","UseDPDF=Y")</f>
        <v>#NAME?</v>
      </c>
      <c r="AY32" s="1" t="e">
        <f ca="1">_xll.BDH($C$28,"ACCOUNTS_PAYABLE_5_YEAR_GROWTH","FQ4 2014","FQ4 2014","Currency=INR","Period=FQ","BEST_FPERIOD_OVERRIDE=FQ","FILING_STATUS=OR","EQY_CONSOLIDATED=Y","Sort=A","Dates=H","DateFormat=P","Fill=—","Direction=H","UseDPDF=Y")</f>
        <v>#NAME?</v>
      </c>
      <c r="AZ32" s="1" t="e">
        <f ca="1">_xll.BDH($C$28,"SHORT_TERM_DEBT_5_YEAR_GROWTH","FQ4 2014","FQ4 2014","Currency=INR","Period=FQ","BEST_FPERIOD_OVERRIDE=FQ","FILING_STATUS=OR","EQY_CONSOLIDATED=Y","Sort=A","Dates=H","DateFormat=P","Fill=—","Direction=H","UseDPDF=Y")</f>
        <v>#NAME?</v>
      </c>
      <c r="BA32" s="1" t="e">
        <f ca="1">_xll.BDH($C$28,"TOTAL_DEBT_5_YEAR_GROWTH","FQ4 2014","FQ4 2014","Currency=INR","Period=FQ","BEST_FPERIOD_OVERRIDE=FQ","FILING_STATUS=OR","EQY_CONSOLIDATED=Y","Sort=A","Dates=H","DateFormat=P","Fill=—","Direction=H","UseDPDF=Y")</f>
        <v>#NAME?</v>
      </c>
      <c r="BB32" s="1" t="e">
        <f ca="1">_xll.BDH($C$28,"GEO_GROW_TOT_SHRHLDR_EQY","FQ4 2014","FQ4 2014","Currency=INR","Period=FQ","BEST_FPERIOD_OVERRIDE=FQ","FILING_STATUS=OR","EQY_CONSOLIDATED=Y","Sort=A","Dates=H","DateFormat=P","Fill=—","Direction=H","UseDPDF=Y")</f>
        <v>#NAME?</v>
      </c>
      <c r="BC32" s="1" t="e">
        <f ca="1">_xll.BDH($C$28,"TOTAL_CAPITAL_5_YEAR_GROWTH","FQ4 2014","FQ4 2014","Currency=INR","Period=FQ","BEST_FPERIOD_OVERRIDE=FQ","FILING_STATUS=OR","EQY_CONSOLIDATED=Y","Sort=A","Dates=H","DateFormat=P","Fill=—","Direction=H","UseDPDF=Y")</f>
        <v>#NAME?</v>
      </c>
      <c r="BD32" s="1" t="e">
        <f ca="1">_xll.BDH($C$28,"GEO_GROW_BOOK_VAL","FQ4 2014","FQ4 2014","Currency=INR","Period=FQ","BEST_FPERIOD_OVERRIDE=FQ","FILING_STATUS=OR","EQY_CONSOLIDATED=Y","Sort=A","Dates=H","DateFormat=P","Fill=—","Direction=H","UseDPDF=Y")</f>
        <v>#NAME?</v>
      </c>
      <c r="BE32" s="1" t="e">
        <f ca="1">_xll.BDH($C$28,"GEO_GROW_CASH_OPER_ACT","FQ4 2014","FQ4 2014","Currency=INR","Period=FQ","BEST_FPERIOD_OVERRIDE=FQ","FILING_STATUS=OR","EQY_CONSOLIDATED=Y","Sort=A","Dates=H","DateFormat=P","Fill=—","Direction=H","UseDPDF=Y")</f>
        <v>#NAME?</v>
      </c>
      <c r="BF32" s="1" t="e">
        <f ca="1">_xll.BDH($C$28,"REVENUE_SEQUENTIAL_GROWTH","FQ4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2" s="1" t="e">
        <f ca="1">_xll.BDH($C$28,"EBITDA_SEQUENTIAL_GROWTH","FQ4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2" s="1" t="e">
        <f ca="1">_xll.BDH($C$28,"OPERATING_INCOME_SEQ_GROWTH","FQ4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2" s="1" t="e">
        <f ca="1">_xll.BDH($C$28,"NET_INCOME_TO_COMMON_SEQ_GROWTH","FQ4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2" s="1" t="e">
        <f ca="1">_xll.BDH($C$28,"EPS_DILUTED_SEQUENTIAL_GROWTH","FQ4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2" s="1" t="e">
        <f ca="1">_xll.BDH($C$28,"DPS_SEQUENTIAL_GROWTH","FQ4 2014","FQ4 2014","Currency=INR","Period=FQ","BEST_FPERIOD_OVERRIDE=FQ","FILING_STATUS=OR","EQY_CONSOLIDATED=Y","Sort=A","Dates=H","DateFormat=P","Fill=—","Direction=H","UseDPDF=Y")</f>
        <v>#NAME?</v>
      </c>
      <c r="BL32" s="1" t="e">
        <f ca="1">_xll.BDH($C$28,"ACCOUNTS_RECEIVABLE_SEQ_GROWTH","FQ4 2014","FQ4 2014","Currency=INR","Period=FQ","BEST_FPERIOD_OVERRIDE=FQ","FILING_STATUS=OR","EQY_CONSOLIDATED=Y","Sort=A","Dates=H","DateFormat=P","Fill=—","Direction=H","UseDPDF=Y")</f>
        <v>#NAME?</v>
      </c>
      <c r="BM32" s="1" t="e">
        <f ca="1">_xll.BDH($C$28,"INVENTORY_SEQUENTIAL_GROWTH","FQ4 2014","FQ4 2014","Currency=INR","Period=FQ","BEST_FPERIOD_OVERRIDE=FQ","FILING_STATUS=OR","EQY_CONSOLIDATED=Y","Sort=A","Dates=H","DateFormat=P","Fill=—","Direction=H","UseDPDF=Y")</f>
        <v>#NAME?</v>
      </c>
      <c r="BN32" s="1" t="e">
        <f ca="1">_xll.BDH($C$28,"FIXED_ASSETS_SEQUENTIAL_GROWTH","FQ4 2014","FQ4 2014","Currency=INR","Period=FQ","BEST_FPERIOD_OVERRIDE=FQ","FILING_STATUS=OR","EQY_CONSOLIDATED=Y","Sort=A","Dates=H","DateFormat=P","Fill=—","Direction=H","UseDPDF=Y")</f>
        <v>#NAME?</v>
      </c>
      <c r="BO32" s="1" t="e">
        <f ca="1">_xll.BDH($C$28,"TOTAL_ASSETS_SEQUENTIAL_GROWTH","FQ4 2014","FQ4 2014","Currency=INR","Period=FQ","BEST_FPERIOD_OVERRIDE=FQ","FILING_STATUS=OR","EQY_CONSOLIDATED=Y","Sort=A","Dates=H","DateFormat=P","Fill=—","Direction=H","UseDPDF=Y")</f>
        <v>#NAME?</v>
      </c>
      <c r="BP32" s="1" t="e">
        <f ca="1">_xll.BDH($C$28,"MODIFIED_WORKING_CPTL_SEQ_GRWTH","FQ4 2014","FQ4 2014","Currency=INR","Period=FQ","BEST_FPERIOD_OVERRIDE=FQ","FILING_STATUS=OR","EQY_CONSOLIDATED=Y","Sort=A","Dates=H","DateFormat=P","Fill=—","Direction=H","UseDPDF=Y")</f>
        <v>#NAME?</v>
      </c>
      <c r="BQ32" s="1" t="e">
        <f ca="1">_xll.BDH($C$28,"WORKING_CAPITAL_SEQ_GROWTH","FQ4 2014","FQ4 2014","Currency=INR","Period=FQ","BEST_FPERIOD_OVERRIDE=FQ","FILING_STATUS=OR","EQY_CONSOLIDATED=Y","Sort=A","Dates=H","DateFormat=P","Fill=—","Direction=H","UseDPDF=Y")</f>
        <v>#NAME?</v>
      </c>
      <c r="BR32" s="1" t="e">
        <f ca="1">_xll.BDH($C$28,"ACCOUNTS_PAYABLE_SEQ_GROWTH","FQ4 2014","FQ4 2014","Currency=INR","Period=FQ","BEST_FPERIOD_OVERRIDE=FQ","FILING_STATUS=OR","EQY_CONSOLIDATED=Y","Sort=A","Dates=H","DateFormat=P","Fill=—","Direction=H","UseDPDF=Y")</f>
        <v>#NAME?</v>
      </c>
      <c r="BS32" s="1" t="e">
        <f ca="1">_xll.BDH($C$28,"ST_DEBT_SEQUENTIAL_GROWTH","FQ4 2014","FQ4 2014","Currency=INR","Period=FQ","BEST_FPERIOD_OVERRIDE=FQ","FILING_STATUS=OR","EQY_CONSOLIDATED=Y","Sort=A","Dates=H","DateFormat=P","Fill=—","Direction=H","UseDPDF=Y")</f>
        <v>#NAME?</v>
      </c>
      <c r="BT32" s="1" t="e">
        <f ca="1">_xll.BDH($C$28,"TOTAL_DEBT_SEQUENTIAL_GROWTH","FQ4 2014","FQ4 2014","Currency=INR","Period=FQ","BEST_FPERIOD_OVERRIDE=FQ","FILING_STATUS=OR","EQY_CONSOLIDATED=Y","Sort=A","Dates=H","DateFormat=P","Fill=—","Direction=H","UseDPDF=Y")</f>
        <v>#NAME?</v>
      </c>
      <c r="BU32" s="1" t="e">
        <f ca="1">_xll.BDH($C$28,"TOTAL_EQUITY_SEQUENTIAL_GROWTH","FQ4 2014","FQ4 2014","Currency=INR","Period=FQ","BEST_FPERIOD_OVERRIDE=FQ","FILING_STATUS=OR","EQY_CONSOLIDATED=Y","Sort=A","Dates=H","DateFormat=P","Fill=—","Direction=H","UseDPDF=Y")</f>
        <v>#NAME?</v>
      </c>
      <c r="BV32" s="1" t="e">
        <f ca="1">_xll.BDH($C$28,"TOTAL_CAPITAL_SEQUENTIAL_GROWTH","FQ4 2014","FQ4 2014","Currency=INR","Period=FQ","BEST_FPERIOD_OVERRIDE=FQ","FILING_STATUS=OR","EQY_CONSOLIDATED=Y","Sort=A","Dates=H","DateFormat=P","Fill=—","Direction=H","UseDPDF=Y")</f>
        <v>#NAME?</v>
      </c>
      <c r="BW32" s="1" t="e">
        <f ca="1">_xll.BDH($C$28,"BPS_SEQUENTIAL_GROWTH","FQ4 2014","FQ4 2014","Currency=INR","Period=FQ","BEST_FPERIOD_OVERRIDE=FQ","FILING_STATUS=OR","EQY_CONSOLIDATED=Y","Sort=A","Dates=H","DateFormat=P","Fill=—","Direction=H","UseDPDF=Y")</f>
        <v>#NAME?</v>
      </c>
      <c r="BX32" s="1" t="e">
        <f ca="1">_xll.BDH($C$28,"CFO_SEQUENTIAL_GROWTH","FQ4 2014","FQ4 2014","Currency=INR","Period=FQ","BEST_FPERIOD_OVERRIDE=FQ","FILING_STATUS=OR","EQY_CONSOLIDATED=Y","Sort=A","Dates=H","DateFormat=P","Fill=—","Direction=H","UseDPDF=Y")</f>
        <v>#NAME?</v>
      </c>
      <c r="BY32" s="2" t="e">
        <f ca="1">_xll.BDH($C$28,"SHORT_AND_LONG_TERM_DEBT","FQ4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2" s="2" t="e">
        <f ca="1">_xll.BDH($C$28,"BS_ST_BORROW","FQ4 2014","FQ4 2014","Currency=INR","Period=FQ","BEST_FPERIOD_OVERRIDE=FQ","FILING_STATUS=OR","EQY_CONSOLIDATED=Y","SCALING_FORMAT=MLN","Sort=A","Dates=H","DateFormat=P","Fill=—","Direction=H","UseDPDF=Y")</f>
        <v>#NAME?</v>
      </c>
      <c r="CA32" s="2" t="e">
        <f ca="1">_xll.BDH($C$28,"BS_LT_BORROW","FQ4 2014","FQ4 2014","Currency=INR","Period=FQ","BEST_FPERIOD_OVERRIDE=FQ","FILING_STATUS=OR","EQY_CONSOLIDATED=Y","SCALING_FORMAT=MLN","Sort=A","Dates=H","DateFormat=P","Fill=—","Direction=H","UseDPDF=Y")</f>
        <v>#NAME?</v>
      </c>
      <c r="CB32" s="1" t="e">
        <f ca="1">_xll.BDH($C$28,"TOT_DEBT_TO_EBITDA","FQ4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2" s="1" t="e">
        <f ca="1">_xll.BDH($C$28,"NET_DEBT_TO_EBITDA","FQ4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2" s="1" t="e">
        <f ca="1">_xll.BDH($C$28,"TOTAL_DEBT_TO_EBIT","FQ4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2" s="1" t="e">
        <f ca="1">_xll.BDH($C$28,"NET_DEBT_TO_EBIT","FQ4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32" s="1" t="e">
        <f ca="1">_xll.BDH($C$28,"EBITDA_TO_INTEREST_EXPN","FQ4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2" s="1" t="e">
        <f ca="1">_xll.BDH($C$28,"COM_EQY_TO_TOT_ASSET","FQ4 2014","FQ4 2014","Currency=INR","Period=FQ","BEST_FPERIOD_OVERRIDE=FQ","FILING_STATUS=OR","EQY_CONSOLIDATED=Y","Sort=A","Dates=H","DateFormat=P","Fill=—","Direction=H","UseDPDF=Y")</f>
        <v>#NAME?</v>
      </c>
      <c r="CH32" s="1" t="e">
        <f ca="1">_xll.BDH($C$28,"LT_DEBT_TO_TOT_EQY","FQ4 2014","FQ4 2014","Currency=INR","Period=FQ","BEST_FPERIOD_OVERRIDE=FQ","FILING_STATUS=OR","EQY_CONSOLIDATED=Y","Sort=A","Dates=H","DateFormat=P","Fill=—","Direction=H","UseDPDF=Y")</f>
        <v>#NAME?</v>
      </c>
      <c r="CI32" s="1" t="e">
        <f ca="1">_xll.BDH($C$28,"LT_DEBT_TO_TOT_CAP","FQ4 2014","FQ4 2014","Currency=INR","Period=FQ","BEST_FPERIOD_OVERRIDE=FQ","FILING_STATUS=OR","EQY_CONSOLIDATED=Y","Sort=A","Dates=H","DateFormat=P","Fill=—","Direction=H","UseDPDF=Y")</f>
        <v>#NAME?</v>
      </c>
      <c r="CJ32" s="1" t="e">
        <f ca="1">_xll.BDH($C$28,"LT_DEBT_TO_TOT_ASSET","FQ4 2014","FQ4 2014","Currency=INR","Period=FQ","BEST_FPERIOD_OVERRIDE=FQ","FILING_STATUS=OR","EQY_CONSOLIDATED=Y","Sort=A","Dates=H","DateFormat=P","Fill=—","Direction=H","UseDPDF=Y")</f>
        <v>#NAME?</v>
      </c>
      <c r="CK32" s="1" t="e">
        <f ca="1">_xll.BDH($C$28,"TOT_DEBT_TO_TOT_EQY","FQ4 2014","FQ4 2014","Currency=INR","Period=FQ","BEST_FPERIOD_OVERRIDE=FQ","FILING_STATUS=OR","EQY_CONSOLIDATED=Y","Sort=A","Dates=H","DateFormat=P","Fill=—","Direction=H","UseDPDF=Y")</f>
        <v>#NAME?</v>
      </c>
      <c r="CL32" s="1" t="e">
        <f ca="1">_xll.BDH($C$28,"TOT_DEBT_TO_TOT_CAP","FQ4 2014","FQ4 2014","Currency=INR","Period=FQ","BEST_FPERIOD_OVERRIDE=FQ","FILING_STATUS=OR","EQY_CONSOLIDATED=Y","Sort=A","Dates=H","DateFormat=P","Fill=—","Direction=H","UseDPDF=Y")</f>
        <v>#NAME?</v>
      </c>
      <c r="CM32" s="1" t="e">
        <f ca="1">_xll.BDH($C$28,"TOT_DEBT_TO_TOT_ASSET","FQ4 2014","FQ4 2014","Currency=INR","Period=FQ","BEST_FPERIOD_OVERRIDE=FQ","FILING_STATUS=OR","EQY_CONSOLIDATED=Y","Sort=A","Dates=H","DateFormat=P","Fill=—","Direction=H","UseDPDF=Y")</f>
        <v>#NAME?</v>
      </c>
      <c r="CN32" s="1" t="e">
        <f ca="1">_xll.BDH($C$28,"NET_DEBT_TO_SHRHLDR_EQTY","FQ4 2014","FQ4 2014","Currency=INR","Period=FQ","BEST_FPERIOD_OVERRIDE=FQ","FILING_STATUS=OR","EQY_CONSOLIDATED=Y","Sort=A","Dates=H","DateFormat=P","Fill=—","Direction=H","UseDPDF=Y")</f>
        <v>#NAME?</v>
      </c>
      <c r="CO32" s="1" t="e">
        <f ca="1">_xll.BDH($C$28,"NET_DEBT_%_CAPITAL","FQ4 2014","FQ4 2014","Currency=INR","Period=FQ","BEST_FPERIOD_OVERRIDE=FQ","FILING_STATUS=OR","EQY_CONSOLIDATED=Y","Sort=A","Dates=H","DateFormat=P","Fill=—","Direction=H","UseDPDF=Y")</f>
        <v>#NAME?</v>
      </c>
      <c r="CP32" s="2" t="e">
        <f ca="1">_xll.BDH($C$28,"EBITDA","FQ4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2" s="2" t="e">
        <f ca="1">_xll.BDH($C$28,"EBITDA_AFTER_CAPEX","FQ4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2" s="2" t="e">
        <f ca="1">_xll.BDH($C$28,"IS_OPER_INC","FQ4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2" s="1" t="e">
        <f ca="1">_xll.BDH($C$28,"CASH_RATIO","FQ4 2014","FQ4 2014","Currency=INR","Period=FQ","BEST_FPERIOD_OVERRIDE=FQ","FILING_STATUS=OR","EQY_CONSOLIDATED=Y","Sort=A","Dates=H","DateFormat=P","Fill=—","Direction=H","UseDPDF=Y")</f>
        <v>#NAME?</v>
      </c>
      <c r="CT32" s="1" t="e">
        <f ca="1">_xll.BDH($C$28,"CUR_RATIO","FQ4 2014","FQ4 2014","Currency=INR","Period=FQ","BEST_FPERIOD_OVERRIDE=FQ","FILING_STATUS=OR","EQY_CONSOLIDATED=Y","Sort=A","Dates=H","DateFormat=P","Fill=—","Direction=H","UseDPDF=Y")</f>
        <v>#NAME?</v>
      </c>
      <c r="CU32" s="1" t="e">
        <f ca="1">_xll.BDH($C$28,"QUICK_RATIO","FQ4 2014","FQ4 2014","Currency=INR","Period=FQ","BEST_FPERIOD_OVERRIDE=FQ","FILING_STATUS=OR","EQY_CONSOLIDATED=Y","Sort=A","Dates=H","DateFormat=P","Fill=—","Direction=H","UseDPDF=Y")</f>
        <v>#NAME?</v>
      </c>
      <c r="CV32" s="1" t="e">
        <f ca="1">_xll.BDH($C$28,"ALTMAN_Z_SCORE","FQ4 2014","FQ4 2014","Currency=INR","Period=FQ","BEST_FPERIOD_OVERRIDE=FQ","FILING_STATUS=OR","EQY_CONSOLIDATED=Y","Sort=A","Dates=H","DateFormat=P","Fill=—","Direction=H","UseDPDF=Y")</f>
        <v>#NAME?</v>
      </c>
      <c r="CW32" s="3" t="e">
        <f ca="1">_xll.BDH($C$28,"ACCT_RCV_TURN","FQ4 2014","FQ4 2014","Currency=INR","Period=FQ","BEST_FPERIOD_OVERRIDE=FQ","FILING_STATUS=OR","EQY_CONSOLIDATED=Y","FA_ADJUSTED=GAAP","Sort=A","Dates=H","DateFormat=P","Fill=—","Direction=H","UseDPDF=Y")</f>
        <v>#NAME?</v>
      </c>
      <c r="CX32" s="1" t="e">
        <f ca="1">_xll.BDH($C$28,"ACCT_RCV_DAYS","FQ4 2014","FQ4 2014","Currency=INR","Period=FQ","BEST_FPERIOD_OVERRIDE=FQ","FILING_STATUS=OR","EQY_CONSOLIDATED=Y","FA_ADJUSTED=GAAP","Sort=A","Dates=H","DateFormat=P","Fill=—","Direction=H","UseDPDF=Y")</f>
        <v>#NAME?</v>
      </c>
      <c r="CY32" s="3" t="e">
        <f ca="1">_xll.BDH($C$28,"INVENT_TURN","FQ4 2014","FQ4 2014","Currency=INR","Period=FQ","BEST_FPERIOD_OVERRIDE=FQ","FILING_STATUS=OR","EQY_CONSOLIDATED=Y","FA_ADJUSTED=GAAP","Sort=A","Dates=H","DateFormat=P","Fill=—","Direction=H","UseDPDF=Y")</f>
        <v>#NAME?</v>
      </c>
      <c r="CZ32" s="1" t="e">
        <f ca="1">_xll.BDH($C$28,"INVENT_DAYS","FQ4 2014","FQ4 2014","Currency=INR","Period=FQ","BEST_FPERIOD_OVERRIDE=FQ","FILING_STATUS=OR","EQY_CONSOLIDATED=Y","FA_ADJUSTED=GAAP","Sort=A","Dates=H","DateFormat=P","Fill=—","Direction=H","UseDPDF=Y")</f>
        <v>#NAME?</v>
      </c>
      <c r="DA32" s="3" t="e">
        <f ca="1">_xll.BDH($C$28,"ACCOUNTS_PAYABLE_TURNOVER","FQ4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2" s="1" t="e">
        <f ca="1">_xll.BDH($C$28,"ACCOUNTS_PAYABLE_TURNOVER_DAYS","FQ4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2" s="3" t="e">
        <f ca="1">_xll.BDH($C$28,"CASH_CONVERSION_CYCLE","FQ4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2" s="3" t="e">
        <f ca="1">_xll.BDH($C$28,"INV_TO_CASH_DAYS","FQ4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32" s="4" t="e">
        <f ca="1">_xll.BDH($C$28,"BS_INVENTORIES","FQ4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32" s="2" t="e">
        <f ca="1">_xll.BDH($C$28,"INVTRY_RAW_MATERIALS","FQ4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2" s="2" t="e">
        <f ca="1">_xll.BDH($C$28,"INVTRY_IN_PROGRESS","FQ4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2" s="2" t="e">
        <f ca="1">_xll.BDH($C$28,"INVTRY_FINISHED_GOODS","FQ4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2" s="2" t="e">
        <f ca="1">_xll.BDH($C$28,"BS_OTHER_INV","FQ4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3" spans="1:113" x14ac:dyDescent="0.3">
      <c r="A33" s="6"/>
      <c r="B33" s="6"/>
      <c r="C33" s="6"/>
      <c r="D33" s="6" t="s">
        <v>8</v>
      </c>
      <c r="E33" t="s">
        <v>3</v>
      </c>
      <c r="F33" t="e">
        <f ca="1">_xll.BDH($C$28,"RETURN_COM_EQY","FY 2015","FY 2015","Currency=INR","Period=FY","BEST_FPERIOD_OVERRIDE=FY","FILING_STATUS=OR","EQY_CONSOLIDATED=Y","FA_ADJUSTED=GAAP","Sort=A","Dates=H","DateFormat=P","Fill=—","Direction=H","UseDPDF=Y")</f>
        <v>#NAME?</v>
      </c>
      <c r="G33" t="e">
        <f ca="1">_xll.BDH($C$28,"RETURN_ON_ASSET","FY 2015","FY 2015","Currency=INR","Period=FY","BEST_FPERIOD_OVERRIDE=FY","FILING_STATUS=OR","EQY_CONSOLIDATED=Y","FA_ADJUSTED=GAAP","Sort=A","Dates=H","DateFormat=P","Fill=—","Direction=H","UseDPDF=Y")</f>
        <v>#NAME?</v>
      </c>
      <c r="H33" t="e">
        <f ca="1">_xll.BDH($C$28,"RETURN_ON_CAP","FY 2015","FY 2015","Currency=INR","Period=FY","BEST_FPERIOD_OVERRIDE=FY","FILING_STATUS=OR","EQY_CONSOLIDATED=Y","FA_ADJUSTED=GAAP","Sort=A","Dates=H","DateFormat=P","Fill=—","Direction=H","UseDPDF=Y")</f>
        <v>#NAME?</v>
      </c>
      <c r="I33" t="e">
        <f ca="1">_xll.BDH($C$28,"RETURN_ON_INV_CAPITAL","FY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3" t="e">
        <f ca="1">_xll.BDH($C$28,"EBITDA_TO_REVENUE","FY 2015","FY 2015","Currency=INR","Period=FY","BEST_FPERIOD_OVERRIDE=FY","FILING_STATUS=OR","EQY_CONSOLIDATED=Y","FA_ADJUSTED=GAAP","Sort=A","Dates=H","DateFormat=P","Fill=—","Direction=H","UseDPDF=Y")</f>
        <v>#NAME?</v>
      </c>
      <c r="K33" t="e">
        <f ca="1">_xll.BDH($C$28,"OPER_MARGIN","FY 2015","FY 2015","Currency=INR","Period=FY","BEST_FPERIOD_OVERRIDE=FY","FILING_STATUS=OR","EQY_CONSOLIDATED=Y","FA_ADJUSTED=GAAP","Sort=A","Dates=H","DateFormat=P","Fill=—","Direction=H","UseDPDF=Y")</f>
        <v>#NAME?</v>
      </c>
      <c r="L33" t="e">
        <f ca="1">_xll.BDH($C$28,"INCREMENTAL_OPERATING_MARGIN","FY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3" t="e">
        <f ca="1">_xll.BDH($C$28,"PRETAX_INC_TO_NET_SALES","FY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3" t="e">
        <f ca="1">_xll.BDH($C$28,"INC_BEF_XO_ITEMS_TO_NET_SALES","FY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3" t="e">
        <f ca="1">_xll.BDH($C$28,"PROF_MARGIN","FY 2015","FY 2015","Currency=INR","Period=FY","BEST_FPERIOD_OVERRIDE=FY","FILING_STATUS=OR","EQY_CONSOLIDATED=Y","FA_ADJUSTED=GAAP","Sort=A","Dates=H","DateFormat=P","Fill=—","Direction=H","UseDPDF=Y")</f>
        <v>#NAME?</v>
      </c>
      <c r="P33" t="e">
        <f ca="1">_xll.BDH($C$28,"NET_INCOME_TO_COMMON_MARGIN","FY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3" t="e">
        <f ca="1">_xll.BDH($C$28,"EFF_TAX_RATE","FY 2015","FY 2015","Currency=INR","Period=FY","BEST_FPERIOD_OVERRIDE=FY","FILING_STATUS=OR","EQY_CONSOLIDATED=Y","FA_ADJUSTED=GAAP","Sort=A","Dates=H","DateFormat=P","Fill=—","Direction=H","UseDPDF=Y")</f>
        <v>#NAME?</v>
      </c>
      <c r="R33" t="e">
        <f ca="1">_xll.BDH($C$28,"DVD_PAYOUT_RATIO","FY 2015","FY 2015","Currency=INR","Period=FY","BEST_FPERIOD_OVERRIDE=FY","FILING_STATUS=OR","EQY_CONSOLIDATED=Y","FA_ADJUSTED=GAAP","Sort=A","Dates=H","DateFormat=P","Fill=—","Direction=H","UseDPDF=Y")</f>
        <v>#NAME?</v>
      </c>
      <c r="S33" t="e">
        <f ca="1">_xll.BDH($C$28,"SUSTAIN_GROWTH_RT","FY 2015","FY 2015","Currency=INR","Period=FY","BEST_FPERIOD_OVERRIDE=FY","FILING_STATUS=OR","EQY_CONSOLIDATED=Y","FA_ADJUSTED=GAAP","Sort=A","Dates=H","DateFormat=P","Fill=—","Direction=H","UseDPDF=Y")</f>
        <v>#NAME?</v>
      </c>
      <c r="T33" s="1" t="e">
        <f ca="1">_xll.BDH($C$28,"SALES_GROWTH","FY 2015","FY 2015","Currency=INR","Period=FY","BEST_FPERIOD_OVERRIDE=FY","FILING_STATUS=OR","EQY_CONSOLIDATED=Y","FA_ADJUSTED=GAAP","Sort=A","Dates=H","DateFormat=P","Fill=—","Direction=H","UseDPDF=Y")</f>
        <v>#NAME?</v>
      </c>
      <c r="U33" s="1" t="e">
        <f ca="1">_xll.BDH($C$28,"EBITDA_GROWTH","FY 2015","FY 2015","Currency=INR","Period=FY","BEST_FPERIOD_OVERRIDE=FY","FILING_STATUS=OR","EQY_CONSOLIDATED=Y","FA_ADJUSTED=GAAP","Sort=A","Dates=H","DateFormat=P","Fill=—","Direction=H","UseDPDF=Y")</f>
        <v>#NAME?</v>
      </c>
      <c r="V33" s="1" t="e">
        <f ca="1">_xll.BDH($C$28,"OPER_INC_GROWTH","FY 2015","FY 2015","Currency=INR","Period=FY","BEST_FPERIOD_OVERRIDE=FY","FILING_STATUS=OR","EQY_CONSOLIDATED=Y","FA_ADJUSTED=GAAP","Sort=A","Dates=H","DateFormat=P","Fill=—","Direction=H","UseDPDF=Y")</f>
        <v>#NAME?</v>
      </c>
      <c r="W33" s="1" t="e">
        <f ca="1">_xll.BDH($C$28,"EARN_FOR_COM_GROWTH","FY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33" s="1" t="e">
        <f ca="1">_xll.BDH($C$28,"DILUTED_EPS_AFT_XO_ITEMS_GROWTH","FY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3" s="1" t="e">
        <f ca="1">_xll.BDH($C$28,"DIVIDEND_PER_SHARE_1_YEAR_GROWTH","FY 2015","FY 2015","Currency=INR","Period=FY","BEST_FPERIOD_OVERRIDE=FY","FILING_STATUS=OR","EQY_CONSOLIDATED=Y","Sort=A","Dates=H","DateFormat=P","Fill=—","Direction=H","UseDPDF=Y")</f>
        <v>#NAME?</v>
      </c>
      <c r="Z33" s="1" t="e">
        <f ca="1">_xll.BDH($C$28,"ACCOUNTS_RECEIVABLE_GROWTH","FY 2015","FY 2015","Currency=INR","Period=FY","BEST_FPERIOD_OVERRIDE=FY","FILING_STATUS=OR","EQY_CONSOLIDATED=Y","Sort=A","Dates=H","DateFormat=P","Fill=—","Direction=H","UseDPDF=Y")</f>
        <v>#NAME?</v>
      </c>
      <c r="AA33" s="1" t="e">
        <f ca="1">_xll.BDH($C$28,"INVENTORY_GROWTH","FY 2015","FY 2015","Currency=INR","Period=FY","BEST_FPERIOD_OVERRIDE=FY","FILING_STATUS=OR","EQY_CONSOLIDATED=Y","Sort=A","Dates=H","DateFormat=P","Fill=—","Direction=H","UseDPDF=Y")</f>
        <v>#NAME?</v>
      </c>
      <c r="AB33" s="1" t="e">
        <f ca="1">_xll.BDH($C$28,"NET_FIXED_ASSETS_1_YEAR_GROWTH","FY 2015","FY 2015","Currency=INR","Period=FY","BEST_FPERIOD_OVERRIDE=FY","FILING_STATUS=OR","EQY_CONSOLIDATED=Y","Sort=A","Dates=H","DateFormat=P","Fill=—","Direction=H","UseDPDF=Y")</f>
        <v>#NAME?</v>
      </c>
      <c r="AC33" s="1" t="e">
        <f ca="1">_xll.BDH($C$28,"ASSET_GROWTH","FY 2015","FY 2015","Currency=INR","Period=FY","BEST_FPERIOD_OVERRIDE=FY","FILING_STATUS=OR","EQY_CONSOLIDATED=Y","Sort=A","Dates=H","DateFormat=P","Fill=—","Direction=H","UseDPDF=Y")</f>
        <v>#NAME?</v>
      </c>
      <c r="AD33" s="1" t="e">
        <f ca="1">_xll.BDH($C$28,"MODIFIED_WORK_CAP_GROWTH","FY 2015","FY 2015","Currency=INR","Period=FY","BEST_FPERIOD_OVERRIDE=FY","FILING_STATUS=OR","EQY_CONSOLIDATED=Y","Sort=A","Dates=H","DateFormat=P","Fill=—","Direction=H","UseDPDF=Y")</f>
        <v>#NAME?</v>
      </c>
      <c r="AE33" s="1" t="e">
        <f ca="1">_xll.BDH($C$28,"WORK_CAP_GROWTH","FY 2015","FY 2015","Currency=INR","Period=FY","BEST_FPERIOD_OVERRIDE=FY","FILING_STATUS=OR","EQY_CONSOLIDATED=Y","Sort=A","Dates=H","DateFormat=P","Fill=—","Direction=H","UseDPDF=Y")</f>
        <v>#NAME?</v>
      </c>
      <c r="AF33" s="1" t="e">
        <f ca="1">_xll.BDH($C$28,"ACCOUNTS_PAYABLE_GROWTH_1YR","FY 2015","FY 2015","Currency=INR","Period=FY","BEST_FPERIOD_OVERRIDE=FY","FILING_STATUS=OR","EQY_CONSOLIDATED=Y","Sort=A","Dates=H","DateFormat=P","Fill=—","Direction=H","UseDPDF=Y")</f>
        <v>#NAME?</v>
      </c>
      <c r="AG33" s="1" t="e">
        <f ca="1">_xll.BDH($C$28,"SHORT_TERM_DEBT_1_YEAR_GROWTH","FY 2015","FY 2015","Currency=INR","Period=FY","BEST_FPERIOD_OVERRIDE=FY","FILING_STATUS=OR","EQY_CONSOLIDATED=Y","Sort=A","Dates=H","DateFormat=P","Fill=—","Direction=H","UseDPDF=Y")</f>
        <v>#NAME?</v>
      </c>
      <c r="AH33" s="1" t="e">
        <f ca="1">_xll.BDH($C$28,"TOTAL_DEBT_1_YEAR_GROWTH","FY 2015","FY 2015","Currency=INR","Period=FY","BEST_FPERIOD_OVERRIDE=FY","FILING_STATUS=OR","EQY_CONSOLIDATED=Y","Sort=A","Dates=H","DateFormat=P","Fill=—","Direction=H","UseDPDF=Y")</f>
        <v>#NAME?</v>
      </c>
      <c r="AI33" s="1" t="e">
        <f ca="1">_xll.BDH($C$28,"TOTAL_EQUITY_1_YEAR_GROWTH","FY 2015","FY 2015","Currency=INR","Period=FY","BEST_FPERIOD_OVERRIDE=FY","FILING_STATUS=OR","EQY_CONSOLIDATED=Y","Sort=A","Dates=H","DateFormat=P","Fill=—","Direction=H","UseDPDF=Y")</f>
        <v>#NAME?</v>
      </c>
      <c r="AJ33" s="1" t="e">
        <f ca="1">_xll.BDH($C$28,"GROWTH_IN_CAP","FY 2015","FY 2015","Currency=INR","Period=FY","BEST_FPERIOD_OVERRIDE=FY","FILING_STATUS=OR","EQY_CONSOLIDATED=Y","Sort=A","Dates=H","DateFormat=P","Fill=—","Direction=H","UseDPDF=Y")</f>
        <v>#NAME?</v>
      </c>
      <c r="AK33" s="1" t="e">
        <f ca="1">_xll.BDH($C$28,"BVPS_GROWTH","FY 2015","FY 2015","Currency=INR","Period=FY","BEST_FPERIOD_OVERRIDE=FY","FILING_STATUS=OR","EQY_CONSOLIDATED=Y","Sort=A","Dates=H","DateFormat=P","Fill=—","Direction=H","UseDPDF=Y")</f>
        <v>#NAME?</v>
      </c>
      <c r="AL33" s="1" t="e">
        <f ca="1">_xll.BDH($C$28,"CASH_FLOW_GROWTH","FY 2015","FY 2015","Currency=INR","Period=FY","BEST_FPERIOD_OVERRIDE=FY","FILING_STATUS=OR","EQY_CONSOLIDATED=Y","Sort=A","Dates=H","DateFormat=P","Fill=—","Direction=H","UseDPDF=Y")</f>
        <v>#NAME?</v>
      </c>
      <c r="AM33" s="1" t="e">
        <f ca="1">_xll.BDH($C$28,"GEO_GROW_NET_SALES","FY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33" s="1" t="e">
        <f ca="1">_xll.BDH($C$28,"GEO_GROW_EBITDA","FY 2015","FY 2015","Currency=INR","Period=FY","BEST_FPERIOD_OVERRIDE=FY","FILING_STATUS=OR","EQY_CONSOLIDATED=Y","FA_ADJUSTED=GAAP","Sort=A","Dates=H","DateFormat=P","Fill=—","Direction=H","UseDPDF=Y")</f>
        <v>#NAME?</v>
      </c>
      <c r="AO33" s="1" t="e">
        <f ca="1">_xll.BDH($C$28,"GEO_GROW_OPER_INC","FY 2015","FY 2015","Currency=INR","Period=FY","BEST_FPERIOD_OVERRIDE=FY","FILING_STATUS=OR","EQY_CONSOLIDATED=Y","FA_ADJUSTED=GAAP","Sort=A","Dates=H","DateFormat=P","Fill=—","Direction=H","UseDPDF=Y")</f>
        <v>#NAME?</v>
      </c>
      <c r="AP33" s="1" t="e">
        <f ca="1">_xll.BDH($C$28,"NET_INCOME_TO_COMMON_5_YR_GROWTH","FY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3" s="1" t="e">
        <f ca="1">_xll.BDH($C$28,"5Y_GEO_GROWTH_DILUTED_EPS","FY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3" s="1" t="e">
        <f ca="1">_xll.BDH($C$28,"GEO_GROW_DVD_PER_SH","FY 2015","FY 2015","Currency=INR","Period=FY","BEST_FPERIOD_OVERRIDE=FY","FILING_STATUS=OR","EQY_CONSOLIDATED=Y","Sort=A","Dates=H","DateFormat=P","Fill=—","Direction=H","UseDPDF=Y")</f>
        <v>#NAME?</v>
      </c>
      <c r="AS33" s="1" t="e">
        <f ca="1">_xll.BDH($C$28,"ACCOUNTS_RECEIVABLE_5_YR_GROWTH","FY 2015","FY 2015","Currency=INR","Period=FY","BEST_FPERIOD_OVERRIDE=FY","FILING_STATUS=OR","EQY_CONSOLIDATED=Y","Sort=A","Dates=H","DateFormat=P","Fill=—","Direction=H","UseDPDF=Y")</f>
        <v>#NAME?</v>
      </c>
      <c r="AT33" s="1" t="e">
        <f ca="1">_xll.BDH($C$28,"INVENTORY_5_YEAR_GROWTH","FY 2015","FY 2015","Currency=INR","Period=FY","BEST_FPERIOD_OVERRIDE=FY","FILING_STATUS=OR","EQY_CONSOLIDATED=Y","Sort=A","Dates=H","DateFormat=P","Fill=—","Direction=H","UseDPDF=Y")</f>
        <v>#NAME?</v>
      </c>
      <c r="AU33" s="1" t="e">
        <f ca="1">_xll.BDH($C$28,"NET_FIXED_ASSETS_5_YEAR_GROWTH","FY 2015","FY 2015","Currency=INR","Period=FY","BEST_FPERIOD_OVERRIDE=FY","FILING_STATUS=OR","EQY_CONSOLIDATED=Y","Sort=A","Dates=H","DateFormat=P","Fill=—","Direction=H","UseDPDF=Y")</f>
        <v>#NAME?</v>
      </c>
      <c r="AV33" s="1" t="e">
        <f ca="1">_xll.BDH($C$28,"GEO_GROW_TOT_ASSET","FY 2015","FY 2015","Currency=INR","Period=FY","BEST_FPERIOD_OVERRIDE=FY","FILING_STATUS=OR","EQY_CONSOLIDATED=Y","Sort=A","Dates=H","DateFormat=P","Fill=—","Direction=H","UseDPDF=Y")</f>
        <v>#NAME?</v>
      </c>
      <c r="AW33" s="1" t="e">
        <f ca="1">_xll.BDH($C$28,"MODIFIED_WORKING_CPTL_5YR_GRWTH","FY 2015","FY 2015","Currency=INR","Period=FY","BEST_FPERIOD_OVERRIDE=FY","FILING_STATUS=OR","EQY_CONSOLIDATED=Y","Sort=A","Dates=H","DateFormat=P","Fill=—","Direction=H","UseDPDF=Y")</f>
        <v>#NAME?</v>
      </c>
      <c r="AX33" s="1" t="e">
        <f ca="1">_xll.BDH($C$28,"WORKING_CAPITAL_5_YEAR_GROWTH","FY 2015","FY 2015","Currency=INR","Period=FY","BEST_FPERIOD_OVERRIDE=FY","FILING_STATUS=OR","EQY_CONSOLIDATED=Y","Sort=A","Dates=H","DateFormat=P","Fill=—","Direction=H","UseDPDF=Y")</f>
        <v>#NAME?</v>
      </c>
      <c r="AY33" s="1" t="e">
        <f ca="1">_xll.BDH($C$28,"ACCOUNTS_PAYABLE_5_YEAR_GROWTH","FY 2015","FY 2015","Currency=INR","Period=FY","BEST_FPERIOD_OVERRIDE=FY","FILING_STATUS=OR","EQY_CONSOLIDATED=Y","Sort=A","Dates=H","DateFormat=P","Fill=—","Direction=H","UseDPDF=Y")</f>
        <v>#NAME?</v>
      </c>
      <c r="AZ33" s="1" t="e">
        <f ca="1">_xll.BDH($C$28,"SHORT_TERM_DEBT_5_YEAR_GROWTH","FY 2015","FY 2015","Currency=INR","Period=FY","BEST_FPERIOD_OVERRIDE=FY","FILING_STATUS=OR","EQY_CONSOLIDATED=Y","Sort=A","Dates=H","DateFormat=P","Fill=—","Direction=H","UseDPDF=Y")</f>
        <v>#NAME?</v>
      </c>
      <c r="BA33" s="1" t="e">
        <f ca="1">_xll.BDH($C$28,"TOTAL_DEBT_5_YEAR_GROWTH","FY 2015","FY 2015","Currency=INR","Period=FY","BEST_FPERIOD_OVERRIDE=FY","FILING_STATUS=OR","EQY_CONSOLIDATED=Y","Sort=A","Dates=H","DateFormat=P","Fill=—","Direction=H","UseDPDF=Y")</f>
        <v>#NAME?</v>
      </c>
      <c r="BB33" s="1" t="e">
        <f ca="1">_xll.BDH($C$28,"GEO_GROW_TOT_SHRHLDR_EQY","FY 2015","FY 2015","Currency=INR","Period=FY","BEST_FPERIOD_OVERRIDE=FY","FILING_STATUS=OR","EQY_CONSOLIDATED=Y","Sort=A","Dates=H","DateFormat=P","Fill=—","Direction=H","UseDPDF=Y")</f>
        <v>#NAME?</v>
      </c>
      <c r="BC33" s="1" t="e">
        <f ca="1">_xll.BDH($C$28,"TOTAL_CAPITAL_5_YEAR_GROWTH","FY 2015","FY 2015","Currency=INR","Period=FY","BEST_FPERIOD_OVERRIDE=FY","FILING_STATUS=OR","EQY_CONSOLIDATED=Y","Sort=A","Dates=H","DateFormat=P","Fill=—","Direction=H","UseDPDF=Y")</f>
        <v>#NAME?</v>
      </c>
      <c r="BD33" s="1" t="e">
        <f ca="1">_xll.BDH($C$28,"GEO_GROW_BOOK_VAL","FY 2015","FY 2015","Currency=INR","Period=FY","BEST_FPERIOD_OVERRIDE=FY","FILING_STATUS=OR","EQY_CONSOLIDATED=Y","Sort=A","Dates=H","DateFormat=P","Fill=—","Direction=H","UseDPDF=Y")</f>
        <v>#NAME?</v>
      </c>
      <c r="BE33" s="1" t="e">
        <f ca="1">_xll.BDH($C$28,"GEO_GROW_CASH_OPER_ACT","FY 2015","FY 2015","Currency=INR","Period=FY","BEST_FPERIOD_OVERRIDE=FY","FILING_STATUS=OR","EQY_CONSOLIDATED=Y","Sort=A","Dates=H","DateFormat=P","Fill=—","Direction=H","UseDPDF=Y")</f>
        <v>#NAME?</v>
      </c>
      <c r="BF33" s="1" t="e">
        <f ca="1">_xll.BDH($C$28,"REVENUE_SEQUENTIAL_GROWTH","FY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3" s="1" t="e">
        <f ca="1">_xll.BDH($C$28,"EBITDA_SEQUENTIAL_GROWTH","FY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3" s="1" t="e">
        <f ca="1">_xll.BDH($C$28,"OPERATING_INCOME_SEQ_GROWTH","FY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3" s="1" t="e">
        <f ca="1">_xll.BDH($C$28,"NET_INCOME_TO_COMMON_SEQ_GROWTH","FY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3" s="1" t="e">
        <f ca="1">_xll.BDH($C$28,"EPS_DILUTED_SEQUENTIAL_GROWTH","FY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3" s="1" t="e">
        <f ca="1">_xll.BDH($C$28,"DPS_SEQUENTIAL_GROWTH","FY 2015","FY 2015","Currency=INR","Period=FY","BEST_FPERIOD_OVERRIDE=FY","FILING_STATUS=OR","EQY_CONSOLIDATED=Y","Sort=A","Dates=H","DateFormat=P","Fill=—","Direction=H","UseDPDF=Y")</f>
        <v>#NAME?</v>
      </c>
      <c r="BL33" s="1" t="e">
        <f ca="1">_xll.BDH($C$28,"ACCOUNTS_RECEIVABLE_SEQ_GROWTH","FY 2015","FY 2015","Currency=INR","Period=FY","BEST_FPERIOD_OVERRIDE=FY","FILING_STATUS=OR","EQY_CONSOLIDATED=Y","Sort=A","Dates=H","DateFormat=P","Fill=—","Direction=H","UseDPDF=Y")</f>
        <v>#NAME?</v>
      </c>
      <c r="BM33" s="1" t="e">
        <f ca="1">_xll.BDH($C$28,"INVENTORY_SEQUENTIAL_GROWTH","FY 2015","FY 2015","Currency=INR","Period=FY","BEST_FPERIOD_OVERRIDE=FY","FILING_STATUS=OR","EQY_CONSOLIDATED=Y","Sort=A","Dates=H","DateFormat=P","Fill=—","Direction=H","UseDPDF=Y")</f>
        <v>#NAME?</v>
      </c>
      <c r="BN33" s="1" t="e">
        <f ca="1">_xll.BDH($C$28,"FIXED_ASSETS_SEQUENTIAL_GROWTH","FY 2015","FY 2015","Currency=INR","Period=FY","BEST_FPERIOD_OVERRIDE=FY","FILING_STATUS=OR","EQY_CONSOLIDATED=Y","Sort=A","Dates=H","DateFormat=P","Fill=—","Direction=H","UseDPDF=Y")</f>
        <v>#NAME?</v>
      </c>
      <c r="BO33" s="1" t="e">
        <f ca="1">_xll.BDH($C$28,"TOTAL_ASSETS_SEQUENTIAL_GROWTH","FY 2015","FY 2015","Currency=INR","Period=FY","BEST_FPERIOD_OVERRIDE=FY","FILING_STATUS=OR","EQY_CONSOLIDATED=Y","Sort=A","Dates=H","DateFormat=P","Fill=—","Direction=H","UseDPDF=Y")</f>
        <v>#NAME?</v>
      </c>
      <c r="BP33" s="1" t="e">
        <f ca="1">_xll.BDH($C$28,"MODIFIED_WORKING_CPTL_SEQ_GRWTH","FY 2015","FY 2015","Currency=INR","Period=FY","BEST_FPERIOD_OVERRIDE=FY","FILING_STATUS=OR","EQY_CONSOLIDATED=Y","Sort=A","Dates=H","DateFormat=P","Fill=—","Direction=H","UseDPDF=Y")</f>
        <v>#NAME?</v>
      </c>
      <c r="BQ33" s="1" t="e">
        <f ca="1">_xll.BDH($C$28,"WORKING_CAPITAL_SEQ_GROWTH","FY 2015","FY 2015","Currency=INR","Period=FY","BEST_FPERIOD_OVERRIDE=FY","FILING_STATUS=OR","EQY_CONSOLIDATED=Y","Sort=A","Dates=H","DateFormat=P","Fill=—","Direction=H","UseDPDF=Y")</f>
        <v>#NAME?</v>
      </c>
      <c r="BR33" s="1" t="e">
        <f ca="1">_xll.BDH($C$28,"ACCOUNTS_PAYABLE_SEQ_GROWTH","FY 2015","FY 2015","Currency=INR","Period=FY","BEST_FPERIOD_OVERRIDE=FY","FILING_STATUS=OR","EQY_CONSOLIDATED=Y","Sort=A","Dates=H","DateFormat=P","Fill=—","Direction=H","UseDPDF=Y")</f>
        <v>#NAME?</v>
      </c>
      <c r="BS33" s="1" t="e">
        <f ca="1">_xll.BDH($C$28,"ST_DEBT_SEQUENTIAL_GROWTH","FY 2015","FY 2015","Currency=INR","Period=FY","BEST_FPERIOD_OVERRIDE=FY","FILING_STATUS=OR","EQY_CONSOLIDATED=Y","Sort=A","Dates=H","DateFormat=P","Fill=—","Direction=H","UseDPDF=Y")</f>
        <v>#NAME?</v>
      </c>
      <c r="BT33" s="1" t="e">
        <f ca="1">_xll.BDH($C$28,"TOTAL_DEBT_SEQUENTIAL_GROWTH","FY 2015","FY 2015","Currency=INR","Period=FY","BEST_FPERIOD_OVERRIDE=FY","FILING_STATUS=OR","EQY_CONSOLIDATED=Y","Sort=A","Dates=H","DateFormat=P","Fill=—","Direction=H","UseDPDF=Y")</f>
        <v>#NAME?</v>
      </c>
      <c r="BU33" s="1" t="e">
        <f ca="1">_xll.BDH($C$28,"TOTAL_EQUITY_SEQUENTIAL_GROWTH","FY 2015","FY 2015","Currency=INR","Period=FY","BEST_FPERIOD_OVERRIDE=FY","FILING_STATUS=OR","EQY_CONSOLIDATED=Y","Sort=A","Dates=H","DateFormat=P","Fill=—","Direction=H","UseDPDF=Y")</f>
        <v>#NAME?</v>
      </c>
      <c r="BV33" s="1" t="e">
        <f ca="1">_xll.BDH($C$28,"TOTAL_CAPITAL_SEQUENTIAL_GROWTH","FY 2015","FY 2015","Currency=INR","Period=FY","BEST_FPERIOD_OVERRIDE=FY","FILING_STATUS=OR","EQY_CONSOLIDATED=Y","Sort=A","Dates=H","DateFormat=P","Fill=—","Direction=H","UseDPDF=Y")</f>
        <v>#NAME?</v>
      </c>
      <c r="BW33" s="1" t="e">
        <f ca="1">_xll.BDH($C$28,"BPS_SEQUENTIAL_GROWTH","FY 2015","FY 2015","Currency=INR","Period=FY","BEST_FPERIOD_OVERRIDE=FY","FILING_STATUS=OR","EQY_CONSOLIDATED=Y","Sort=A","Dates=H","DateFormat=P","Fill=—","Direction=H","UseDPDF=Y")</f>
        <v>#NAME?</v>
      </c>
      <c r="BX33" s="1" t="e">
        <f ca="1">_xll.BDH($C$28,"CFO_SEQUENTIAL_GROWTH","FY 2015","FY 2015","Currency=INR","Period=FY","BEST_FPERIOD_OVERRIDE=FY","FILING_STATUS=OR","EQY_CONSOLIDATED=Y","Sort=A","Dates=H","DateFormat=P","Fill=—","Direction=H","UseDPDF=Y")</f>
        <v>#NAME?</v>
      </c>
      <c r="BY33" s="2" t="e">
        <f ca="1">_xll.BDH($C$28,"SHORT_AND_LONG_TERM_DEBT","FY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3" s="2" t="e">
        <f ca="1">_xll.BDH($C$28,"BS_ST_BORROW","FY 2015","FY 2015","Currency=INR","Period=FY","BEST_FPERIOD_OVERRIDE=FY","FILING_STATUS=OR","EQY_CONSOLIDATED=Y","SCALING_FORMAT=MLN","Sort=A","Dates=H","DateFormat=P","Fill=—","Direction=H","UseDPDF=Y")</f>
        <v>#NAME?</v>
      </c>
      <c r="CA33" s="2" t="e">
        <f ca="1">_xll.BDH($C$28,"BS_LT_BORROW","FY 2015","FY 2015","Currency=INR","Period=FY","BEST_FPERIOD_OVERRIDE=FY","FILING_STATUS=OR","EQY_CONSOLIDATED=Y","SCALING_FORMAT=MLN","Sort=A","Dates=H","DateFormat=P","Fill=—","Direction=H","UseDPDF=Y")</f>
        <v>#NAME?</v>
      </c>
      <c r="CB33" s="1" t="e">
        <f ca="1">_xll.BDH($C$28,"TOT_DEBT_TO_EBITDA","FY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33" s="1" t="e">
        <f ca="1">_xll.BDH($C$28,"NET_DEBT_TO_EBITDA","FY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33" s="1" t="e">
        <f ca="1">_xll.BDH($C$28,"TOTAL_DEBT_TO_EBIT","FY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33" s="1" t="e">
        <f ca="1">_xll.BDH($C$28,"NET_DEBT_TO_EBIT","FY 2015","FY 2015","Currency=INR","Period=FY","BEST_FPERIOD_OVERRIDE=FY","FILING_STATUS=OR","EQY_CONSOLIDATED=Y","FA_ADJUSTED=GAAP","Sort=A","Dates=H","DateFormat=P","Fill=—","Direction=H","UseDPDF=Y")</f>
        <v>#NAME?</v>
      </c>
      <c r="CF33" s="1" t="e">
        <f ca="1">_xll.BDH($C$28,"EBITDA_TO_INTEREST_EXPN","FY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3" s="1" t="e">
        <f ca="1">_xll.BDH($C$28,"COM_EQY_TO_TOT_ASSET","FY 2015","FY 2015","Currency=INR","Period=FY","BEST_FPERIOD_OVERRIDE=FY","FILING_STATUS=OR","EQY_CONSOLIDATED=Y","Sort=A","Dates=H","DateFormat=P","Fill=—","Direction=H","UseDPDF=Y")</f>
        <v>#NAME?</v>
      </c>
      <c r="CH33" s="1" t="e">
        <f ca="1">_xll.BDH($C$28,"LT_DEBT_TO_TOT_EQY","FY 2015","FY 2015","Currency=INR","Period=FY","BEST_FPERIOD_OVERRIDE=FY","FILING_STATUS=OR","EQY_CONSOLIDATED=Y","Sort=A","Dates=H","DateFormat=P","Fill=—","Direction=H","UseDPDF=Y")</f>
        <v>#NAME?</v>
      </c>
      <c r="CI33" s="1" t="e">
        <f ca="1">_xll.BDH($C$28,"LT_DEBT_TO_TOT_CAP","FY 2015","FY 2015","Currency=INR","Period=FY","BEST_FPERIOD_OVERRIDE=FY","FILING_STATUS=OR","EQY_CONSOLIDATED=Y","Sort=A","Dates=H","DateFormat=P","Fill=—","Direction=H","UseDPDF=Y")</f>
        <v>#NAME?</v>
      </c>
      <c r="CJ33" s="1" t="e">
        <f ca="1">_xll.BDH($C$28,"LT_DEBT_TO_TOT_ASSET","FY 2015","FY 2015","Currency=INR","Period=FY","BEST_FPERIOD_OVERRIDE=FY","FILING_STATUS=OR","EQY_CONSOLIDATED=Y","Sort=A","Dates=H","DateFormat=P","Fill=—","Direction=H","UseDPDF=Y")</f>
        <v>#NAME?</v>
      </c>
      <c r="CK33" s="1" t="e">
        <f ca="1">_xll.BDH($C$28,"TOT_DEBT_TO_TOT_EQY","FY 2015","FY 2015","Currency=INR","Period=FY","BEST_FPERIOD_OVERRIDE=FY","FILING_STATUS=OR","EQY_CONSOLIDATED=Y","Sort=A","Dates=H","DateFormat=P","Fill=—","Direction=H","UseDPDF=Y")</f>
        <v>#NAME?</v>
      </c>
      <c r="CL33" s="1" t="e">
        <f ca="1">_xll.BDH($C$28,"TOT_DEBT_TO_TOT_CAP","FY 2015","FY 2015","Currency=INR","Period=FY","BEST_FPERIOD_OVERRIDE=FY","FILING_STATUS=OR","EQY_CONSOLIDATED=Y","Sort=A","Dates=H","DateFormat=P","Fill=—","Direction=H","UseDPDF=Y")</f>
        <v>#NAME?</v>
      </c>
      <c r="CM33" s="1" t="e">
        <f ca="1">_xll.BDH($C$28,"TOT_DEBT_TO_TOT_ASSET","FY 2015","FY 2015","Currency=INR","Period=FY","BEST_FPERIOD_OVERRIDE=FY","FILING_STATUS=OR","EQY_CONSOLIDATED=Y","Sort=A","Dates=H","DateFormat=P","Fill=—","Direction=H","UseDPDF=Y")</f>
        <v>#NAME?</v>
      </c>
      <c r="CN33" s="1" t="e">
        <f ca="1">_xll.BDH($C$28,"NET_DEBT_TO_SHRHLDR_EQTY","FY 2015","FY 2015","Currency=INR","Period=FY","BEST_FPERIOD_OVERRIDE=FY","FILING_STATUS=OR","EQY_CONSOLIDATED=Y","Sort=A","Dates=H","DateFormat=P","Fill=—","Direction=H","UseDPDF=Y")</f>
        <v>#NAME?</v>
      </c>
      <c r="CO33" s="1" t="e">
        <f ca="1">_xll.BDH($C$28,"NET_DEBT_%_CAPITAL","FY 2015","FY 2015","Currency=INR","Period=FY","BEST_FPERIOD_OVERRIDE=FY","FILING_STATUS=OR","EQY_CONSOLIDATED=Y","Sort=A","Dates=H","DateFormat=P","Fill=—","Direction=H","UseDPDF=Y")</f>
        <v>#NAME?</v>
      </c>
      <c r="CP33" s="2" t="e">
        <f ca="1">_xll.BDH($C$28,"EBITDA","FY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3" s="2" t="e">
        <f ca="1">_xll.BDH($C$28,"EBITDA_AFTER_CAPEX","FY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3" s="2" t="e">
        <f ca="1">_xll.BDH($C$28,"IS_OPER_INC","FY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3" s="1" t="e">
        <f ca="1">_xll.BDH($C$28,"CASH_RATIO","FY 2015","FY 2015","Currency=INR","Period=FY","BEST_FPERIOD_OVERRIDE=FY","FILING_STATUS=OR","EQY_CONSOLIDATED=Y","Sort=A","Dates=H","DateFormat=P","Fill=—","Direction=H","UseDPDF=Y")</f>
        <v>#NAME?</v>
      </c>
      <c r="CT33" s="1" t="e">
        <f ca="1">_xll.BDH($C$28,"CUR_RATIO","FY 2015","FY 2015","Currency=INR","Period=FY","BEST_FPERIOD_OVERRIDE=FY","FILING_STATUS=OR","EQY_CONSOLIDATED=Y","Sort=A","Dates=H","DateFormat=P","Fill=—","Direction=H","UseDPDF=Y")</f>
        <v>#NAME?</v>
      </c>
      <c r="CU33" s="1" t="e">
        <f ca="1">_xll.BDH($C$28,"QUICK_RATIO","FY 2015","FY 2015","Currency=INR","Period=FY","BEST_FPERIOD_OVERRIDE=FY","FILING_STATUS=OR","EQY_CONSOLIDATED=Y","Sort=A","Dates=H","DateFormat=P","Fill=—","Direction=H","UseDPDF=Y")</f>
        <v>#NAME?</v>
      </c>
      <c r="CV33" s="1" t="e">
        <f ca="1">_xll.BDH($C$28,"ALTMAN_Z_SCORE","FY 2015","FY 2015","Currency=INR","Period=FY","BEST_FPERIOD_OVERRIDE=FY","FILING_STATUS=OR","EQY_CONSOLIDATED=Y","Sort=A","Dates=H","DateFormat=P","Fill=—","Direction=H","UseDPDF=Y")</f>
        <v>#NAME?</v>
      </c>
      <c r="CW33" s="3" t="e">
        <f ca="1">_xll.BDH($C$28,"ACCT_RCV_TURN","FY 2015","FY 2015","Currency=INR","Period=FY","BEST_FPERIOD_OVERRIDE=FY","FILING_STATUS=OR","EQY_CONSOLIDATED=Y","FA_ADJUSTED=GAAP","Sort=A","Dates=H","DateFormat=P","Fill=—","Direction=H","UseDPDF=Y")</f>
        <v>#NAME?</v>
      </c>
      <c r="CX33" s="1" t="e">
        <f ca="1">_xll.BDH($C$28,"ACCT_RCV_DAYS","FY 2015","FY 2015","Currency=INR","Period=FY","BEST_FPERIOD_OVERRIDE=FY","FILING_STATUS=OR","EQY_CONSOLIDATED=Y","FA_ADJUSTED=GAAP","Sort=A","Dates=H","DateFormat=P","Fill=—","Direction=H","UseDPDF=Y")</f>
        <v>#NAME?</v>
      </c>
      <c r="CY33" s="3" t="e">
        <f ca="1">_xll.BDH($C$28,"INVENT_TURN","FY 2015","FY 2015","Currency=INR","Period=FY","BEST_FPERIOD_OVERRIDE=FY","FILING_STATUS=OR","EQY_CONSOLIDATED=Y","FA_ADJUSTED=GAAP","Sort=A","Dates=H","DateFormat=P","Fill=—","Direction=H","UseDPDF=Y")</f>
        <v>#NAME?</v>
      </c>
      <c r="CZ33" s="1" t="e">
        <f ca="1">_xll.BDH($C$28,"INVENT_DAYS","FY 2015","FY 2015","Currency=INR","Period=FY","BEST_FPERIOD_OVERRIDE=FY","FILING_STATUS=OR","EQY_CONSOLIDATED=Y","FA_ADJUSTED=GAAP","Sort=A","Dates=H","DateFormat=P","Fill=—","Direction=H","UseDPDF=Y")</f>
        <v>#NAME?</v>
      </c>
      <c r="DA33" s="3" t="e">
        <f ca="1">_xll.BDH($C$28,"ACCOUNTS_PAYABLE_TURNOVER","FY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3" s="1" t="e">
        <f ca="1">_xll.BDH($C$28,"ACCOUNTS_PAYABLE_TURNOVER_DAYS","FY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3" s="3" t="e">
        <f ca="1">_xll.BDH($C$28,"CASH_CONVERSION_CYCLE","FY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3" s="3" t="e">
        <f ca="1">_xll.BDH($C$28,"INV_TO_CASH_DAYS","FY 2015","FY 2015","Currency=INR","Period=FY","BEST_FPERIOD_OVERRIDE=FY","FILING_STATUS=OR","EQY_CONSOLIDATED=Y","FA_ADJUSTED=GAAP","Sort=A","Dates=H","DateFormat=P","Fill=—","Direction=H","UseDPDF=Y")</f>
        <v>#NAME?</v>
      </c>
      <c r="DE33" s="4" t="e">
        <f ca="1">_xll.BDH($C$28,"BS_INVENTORIES","FY 2015","FY 2015","Currency=INR","Period=FY","BEST_FPERIOD_OVERRIDE=FY","FILING_STATUS=OR","EQY_CONSOLIDATED=Y","SCALING_FORMAT=MLN","Sort=A","Dates=H","DateFormat=P","Fill=—","Direction=H","UseDPDF=Y")</f>
        <v>#NAME?</v>
      </c>
      <c r="DF33" s="2" t="e">
        <f ca="1">_xll.BDH($C$28,"INVTRY_RAW_MATERIALS","FY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3" s="2" t="e">
        <f ca="1">_xll.BDH($C$28,"INVTRY_IN_PROGRESS","FY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3" s="2" t="e">
        <f ca="1">_xll.BDH($C$28,"INVTRY_FINISHED_GOODS","FY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3" s="2" t="e">
        <f ca="1">_xll.BDH($C$28,"BS_OTHER_INV","FY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4" spans="1:113" x14ac:dyDescent="0.3">
      <c r="A34" s="6"/>
      <c r="B34" s="6"/>
      <c r="C34" s="6"/>
      <c r="D34" s="6"/>
      <c r="E34" t="s">
        <v>4</v>
      </c>
      <c r="F34" t="e">
        <f ca="1">_xll.BDH($C$28,"RETURN_COM_EQY","FQ1 2015","FQ1 2015","Currency=INR","Period=FQ","BEST_FPERIOD_OVERRIDE=FQ","FILING_STATUS=OR","EQY_CONSOLIDATED=Y","FA_ADJUSTED=GAAP","Sort=A","Dates=H","DateFormat=P","Fill=—","Direction=H","UseDPDF=Y")</f>
        <v>#NAME?</v>
      </c>
      <c r="G34" t="e">
        <f ca="1">_xll.BDH($C$28,"RETURN_ON_ASSET","FQ1 2015","FQ1 2015","Currency=INR","Period=FQ","BEST_FPERIOD_OVERRIDE=FQ","FILING_STATUS=OR","EQY_CONSOLIDATED=Y","FA_ADJUSTED=GAAP","Sort=A","Dates=H","DateFormat=P","Fill=—","Direction=H","UseDPDF=Y")</f>
        <v>#NAME?</v>
      </c>
      <c r="H34" t="e">
        <f ca="1">_xll.BDH($C$28,"RETURN_ON_CAP","FQ1 2015","FQ1 2015","Currency=INR","Period=FQ","BEST_FPERIOD_OVERRIDE=FQ","FILING_STATUS=OR","EQY_CONSOLIDATED=Y","FA_ADJUSTED=GAAP","Sort=A","Dates=H","DateFormat=P","Fill=—","Direction=H","UseDPDF=Y")</f>
        <v>#NAME?</v>
      </c>
      <c r="I34" t="e">
        <f ca="1">_xll.BDH($C$28,"RETURN_ON_INV_CAPITAL","FQ1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4" t="e">
        <f ca="1">_xll.BDH($C$28,"EBITDA_TO_REVENUE","FQ1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34" t="e">
        <f ca="1">_xll.BDH($C$28,"OPER_MARGIN","FQ1 2015","FQ1 2015","Currency=INR","Period=FQ","BEST_FPERIOD_OVERRIDE=FQ","FILING_STATUS=OR","EQY_CONSOLIDATED=Y","FA_ADJUSTED=GAAP","Sort=A","Dates=H","DateFormat=P","Fill=—","Direction=H","UseDPDF=Y")</f>
        <v>#NAME?</v>
      </c>
      <c r="L34" t="e">
        <f ca="1">_xll.BDH($C$28,"INCREMENTAL_OPERATING_MARGIN","FQ1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4" t="e">
        <f ca="1">_xll.BDH($C$28,"PRETAX_INC_TO_NET_SALES","FQ1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4" t="e">
        <f ca="1">_xll.BDH($C$28,"INC_BEF_XO_ITEMS_TO_NET_SALES","FQ1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4" t="e">
        <f ca="1">_xll.BDH($C$28,"PROF_MARGIN","FQ1 2015","FQ1 2015","Currency=INR","Period=FQ","BEST_FPERIOD_OVERRIDE=FQ","FILING_STATUS=OR","EQY_CONSOLIDATED=Y","FA_ADJUSTED=GAAP","Sort=A","Dates=H","DateFormat=P","Fill=—","Direction=H","UseDPDF=Y")</f>
        <v>#NAME?</v>
      </c>
      <c r="P34" t="e">
        <f ca="1">_xll.BDH($C$28,"NET_INCOME_TO_COMMON_MARGIN","FQ1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4" t="e">
        <f ca="1">_xll.BDH($C$28,"EFF_TAX_RATE","FQ1 2015","FQ1 2015","Currency=INR","Period=FQ","BEST_FPERIOD_OVERRIDE=FQ","FILING_STATUS=OR","EQY_CONSOLIDATED=Y","FA_ADJUSTED=GAAP","Sort=A","Dates=H","DateFormat=P","Fill=—","Direction=H","UseDPDF=Y")</f>
        <v>#NAME?</v>
      </c>
      <c r="R34" t="e">
        <f ca="1">_xll.BDH($C$28,"DVD_PAYOUT_RATIO","FQ1 2015","FQ1 2015","Currency=INR","Period=FQ","BEST_FPERIOD_OVERRIDE=FQ","FILING_STATUS=OR","EQY_CONSOLIDATED=Y","FA_ADJUSTED=GAAP","Sort=A","Dates=H","DateFormat=P","Fill=—","Direction=H","UseDPDF=Y")</f>
        <v>#NAME?</v>
      </c>
      <c r="S34" t="e">
        <f ca="1">_xll.BDH($C$28,"SUSTAIN_GROWTH_RT","FQ1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34" s="1" t="e">
        <f ca="1">_xll.BDH($C$28,"SALES_GROWTH","FQ1 2015","FQ1 2015","Currency=INR","Period=FQ","BEST_FPERIOD_OVERRIDE=FQ","FILING_STATUS=OR","EQY_CONSOLIDATED=Y","FA_ADJUSTED=GAAP","Sort=A","Dates=H","DateFormat=P","Fill=—","Direction=H","UseDPDF=Y")</f>
        <v>#NAME?</v>
      </c>
      <c r="U34" s="1" t="e">
        <f ca="1">_xll.BDH($C$28,"EBITDA_GROWTH","FQ1 2015","FQ1 2015","Currency=INR","Period=FQ","BEST_FPERIOD_OVERRIDE=FQ","FILING_STATUS=OR","EQY_CONSOLIDATED=Y","FA_ADJUSTED=GAAP","Sort=A","Dates=H","DateFormat=P","Fill=—","Direction=H","UseDPDF=Y")</f>
        <v>#NAME?</v>
      </c>
      <c r="V34" s="1" t="e">
        <f ca="1">_xll.BDH($C$28,"OPER_INC_GROWTH","FQ1 2015","FQ1 2015","Currency=INR","Period=FQ","BEST_FPERIOD_OVERRIDE=FQ","FILING_STATUS=OR","EQY_CONSOLIDATED=Y","FA_ADJUSTED=GAAP","Sort=A","Dates=H","DateFormat=P","Fill=—","Direction=H","UseDPDF=Y")</f>
        <v>#NAME?</v>
      </c>
      <c r="W34" s="1" t="e">
        <f ca="1">_xll.BDH($C$28,"EARN_FOR_COM_GROWTH","FQ1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4" s="1" t="e">
        <f ca="1">_xll.BDH($C$28,"DILUTED_EPS_AFT_XO_ITEMS_GROWTH","FQ1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4" s="1" t="e">
        <f ca="1">_xll.BDH($C$28,"DIVIDEND_PER_SHARE_1_YEAR_GROWTH","FQ1 2015","FQ1 2015","Currency=INR","Period=FQ","BEST_FPERIOD_OVERRIDE=FQ","FILING_STATUS=OR","EQY_CONSOLIDATED=Y","Sort=A","Dates=H","DateFormat=P","Fill=—","Direction=H","UseDPDF=Y")</f>
        <v>#NAME?</v>
      </c>
      <c r="Z34" s="1" t="e">
        <f ca="1">_xll.BDH($C$28,"ACCOUNTS_RECEIVABLE_GROWTH","FQ1 2015","FQ1 2015","Currency=INR","Period=FQ","BEST_FPERIOD_OVERRIDE=FQ","FILING_STATUS=OR","EQY_CONSOLIDATED=Y","Sort=A","Dates=H","DateFormat=P","Fill=—","Direction=H","UseDPDF=Y")</f>
        <v>#NAME?</v>
      </c>
      <c r="AA34" s="1" t="e">
        <f ca="1">_xll.BDH($C$28,"INVENTORY_GROWTH","FQ1 2015","FQ1 2015","Currency=INR","Period=FQ","BEST_FPERIOD_OVERRIDE=FQ","FILING_STATUS=OR","EQY_CONSOLIDATED=Y","Sort=A","Dates=H","DateFormat=P","Fill=—","Direction=H","UseDPDF=Y")</f>
        <v>#NAME?</v>
      </c>
      <c r="AB34" s="1" t="e">
        <f ca="1">_xll.BDH($C$28,"NET_FIXED_ASSETS_1_YEAR_GROWTH","FQ1 2015","FQ1 2015","Currency=INR","Period=FQ","BEST_FPERIOD_OVERRIDE=FQ","FILING_STATUS=OR","EQY_CONSOLIDATED=Y","Sort=A","Dates=H","DateFormat=P","Fill=—","Direction=H","UseDPDF=Y")</f>
        <v>#NAME?</v>
      </c>
      <c r="AC34" s="1" t="e">
        <f ca="1">_xll.BDH($C$28,"ASSET_GROWTH","FQ1 2015","FQ1 2015","Currency=INR","Period=FQ","BEST_FPERIOD_OVERRIDE=FQ","FILING_STATUS=OR","EQY_CONSOLIDATED=Y","Sort=A","Dates=H","DateFormat=P","Fill=—","Direction=H","UseDPDF=Y")</f>
        <v>#NAME?</v>
      </c>
      <c r="AD34" s="1" t="e">
        <f ca="1">_xll.BDH($C$28,"MODIFIED_WORK_CAP_GROWTH","FQ1 2015","FQ1 2015","Currency=INR","Period=FQ","BEST_FPERIOD_OVERRIDE=FQ","FILING_STATUS=OR","EQY_CONSOLIDATED=Y","Sort=A","Dates=H","DateFormat=P","Fill=—","Direction=H","UseDPDF=Y")</f>
        <v>#NAME?</v>
      </c>
      <c r="AE34" s="1" t="e">
        <f ca="1">_xll.BDH($C$28,"WORK_CAP_GROWTH","FQ1 2015","FQ1 2015","Currency=INR","Period=FQ","BEST_FPERIOD_OVERRIDE=FQ","FILING_STATUS=OR","EQY_CONSOLIDATED=Y","Sort=A","Dates=H","DateFormat=P","Fill=—","Direction=H","UseDPDF=Y")</f>
        <v>#NAME?</v>
      </c>
      <c r="AF34" s="1" t="e">
        <f ca="1">_xll.BDH($C$28,"ACCOUNTS_PAYABLE_GROWTH_1YR","FQ1 2015","FQ1 2015","Currency=INR","Period=FQ","BEST_FPERIOD_OVERRIDE=FQ","FILING_STATUS=OR","EQY_CONSOLIDATED=Y","Sort=A","Dates=H","DateFormat=P","Fill=—","Direction=H","UseDPDF=Y")</f>
        <v>#NAME?</v>
      </c>
      <c r="AG34" s="1" t="e">
        <f ca="1">_xll.BDH($C$28,"SHORT_TERM_DEBT_1_YEAR_GROWTH","FQ1 2015","FQ1 2015","Currency=INR","Period=FQ","BEST_FPERIOD_OVERRIDE=FQ","FILING_STATUS=OR","EQY_CONSOLIDATED=Y","Sort=A","Dates=H","DateFormat=P","Fill=—","Direction=H","UseDPDF=Y")</f>
        <v>#NAME?</v>
      </c>
      <c r="AH34" s="1" t="e">
        <f ca="1">_xll.BDH($C$28,"TOTAL_DEBT_1_YEAR_GROWTH","FQ1 2015","FQ1 2015","Currency=INR","Period=FQ","BEST_FPERIOD_OVERRIDE=FQ","FILING_STATUS=OR","EQY_CONSOLIDATED=Y","Sort=A","Dates=H","DateFormat=P","Fill=—","Direction=H","UseDPDF=Y")</f>
        <v>#NAME?</v>
      </c>
      <c r="AI34" s="1" t="e">
        <f ca="1">_xll.BDH($C$28,"TOTAL_EQUITY_1_YEAR_GROWTH","FQ1 2015","FQ1 2015","Currency=INR","Period=FQ","BEST_FPERIOD_OVERRIDE=FQ","FILING_STATUS=OR","EQY_CONSOLIDATED=Y","Sort=A","Dates=H","DateFormat=P","Fill=—","Direction=H","UseDPDF=Y")</f>
        <v>#NAME?</v>
      </c>
      <c r="AJ34" s="1" t="e">
        <f ca="1">_xll.BDH($C$28,"GROWTH_IN_CAP","FQ1 2015","FQ1 2015","Currency=INR","Period=FQ","BEST_FPERIOD_OVERRIDE=FQ","FILING_STATUS=OR","EQY_CONSOLIDATED=Y","Sort=A","Dates=H","DateFormat=P","Fill=—","Direction=H","UseDPDF=Y")</f>
        <v>#NAME?</v>
      </c>
      <c r="AK34" s="1" t="e">
        <f ca="1">_xll.BDH($C$28,"BVPS_GROWTH","FQ1 2015","FQ1 2015","Currency=INR","Period=FQ","BEST_FPERIOD_OVERRIDE=FQ","FILING_STATUS=OR","EQY_CONSOLIDATED=Y","Sort=A","Dates=H","DateFormat=P","Fill=—","Direction=H","UseDPDF=Y")</f>
        <v>#NAME?</v>
      </c>
      <c r="AL34" s="1" t="e">
        <f ca="1">_xll.BDH($C$28,"CASH_FLOW_GROWTH","FQ1 2015","FQ1 2015","Currency=INR","Period=FQ","BEST_FPERIOD_OVERRIDE=FQ","FILING_STATUS=OR","EQY_CONSOLIDATED=Y","Sort=A","Dates=H","DateFormat=P","Fill=—","Direction=H","UseDPDF=Y")</f>
        <v>#NAME?</v>
      </c>
      <c r="AM34" s="1" t="e">
        <f ca="1">_xll.BDH($C$28,"GEO_GROW_NET_SALES","FQ1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4" s="1" t="e">
        <f ca="1">_xll.BDH($C$28,"GEO_GROW_EBITDA","FQ1 2015","FQ1 2015","Currency=INR","Period=FQ","BEST_FPERIOD_OVERRIDE=FQ","FILING_STATUS=OR","EQY_CONSOLIDATED=Y","FA_ADJUSTED=GAAP","Sort=A","Dates=H","DateFormat=P","Fill=—","Direction=H","UseDPDF=Y")</f>
        <v>#NAME?</v>
      </c>
      <c r="AO34" s="1" t="e">
        <f ca="1">_xll.BDH($C$28,"GEO_GROW_OPER_INC","FQ1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4" s="1" t="e">
        <f ca="1">_xll.BDH($C$28,"NET_INCOME_TO_COMMON_5_YR_GROWTH","FQ1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4" s="1" t="e">
        <f ca="1">_xll.BDH($C$28,"5Y_GEO_GROWTH_DILUTED_EPS","FQ1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4" s="1" t="e">
        <f ca="1">_xll.BDH($C$28,"GEO_GROW_DVD_PER_SH","FQ1 2015","FQ1 2015","Currency=INR","Period=FQ","BEST_FPERIOD_OVERRIDE=FQ","FILING_STATUS=OR","EQY_CONSOLIDATED=Y","Sort=A","Dates=H","DateFormat=P","Fill=—","Direction=H","UseDPDF=Y")</f>
        <v>#NAME?</v>
      </c>
      <c r="AS34" s="1" t="e">
        <f ca="1">_xll.BDH($C$28,"ACCOUNTS_RECEIVABLE_5_YR_GROWTH","FQ1 2015","FQ1 2015","Currency=INR","Period=FQ","BEST_FPERIOD_OVERRIDE=FQ","FILING_STATUS=OR","EQY_CONSOLIDATED=Y","Sort=A","Dates=H","DateFormat=P","Fill=—","Direction=H","UseDPDF=Y")</f>
        <v>#NAME?</v>
      </c>
      <c r="AT34" s="1" t="e">
        <f ca="1">_xll.BDH($C$28,"INVENTORY_5_YEAR_GROWTH","FQ1 2015","FQ1 2015","Currency=INR","Period=FQ","BEST_FPERIOD_OVERRIDE=FQ","FILING_STATUS=OR","EQY_CONSOLIDATED=Y","Sort=A","Dates=H","DateFormat=P","Fill=—","Direction=H","UseDPDF=Y")</f>
        <v>#NAME?</v>
      </c>
      <c r="AU34" s="1" t="e">
        <f ca="1">_xll.BDH($C$28,"NET_FIXED_ASSETS_5_YEAR_GROWTH","FQ1 2015","FQ1 2015","Currency=INR","Period=FQ","BEST_FPERIOD_OVERRIDE=FQ","FILING_STATUS=OR","EQY_CONSOLIDATED=Y","Sort=A","Dates=H","DateFormat=P","Fill=—","Direction=H","UseDPDF=Y")</f>
        <v>#NAME?</v>
      </c>
      <c r="AV34" s="1" t="e">
        <f ca="1">_xll.BDH($C$28,"GEO_GROW_TOT_ASSET","FQ1 2015","FQ1 2015","Currency=INR","Period=FQ","BEST_FPERIOD_OVERRIDE=FQ","FILING_STATUS=OR","EQY_CONSOLIDATED=Y","Sort=A","Dates=H","DateFormat=P","Fill=—","Direction=H","UseDPDF=Y")</f>
        <v>#NAME?</v>
      </c>
      <c r="AW34" s="1" t="e">
        <f ca="1">_xll.BDH($C$28,"MODIFIED_WORKING_CPTL_5YR_GRWTH","FQ1 2015","FQ1 2015","Currency=INR","Period=FQ","BEST_FPERIOD_OVERRIDE=FQ","FILING_STATUS=OR","EQY_CONSOLIDATED=Y","Sort=A","Dates=H","DateFormat=P","Fill=—","Direction=H","UseDPDF=Y")</f>
        <v>#NAME?</v>
      </c>
      <c r="AX34" s="1" t="e">
        <f ca="1">_xll.BDH($C$28,"WORKING_CAPITAL_5_YEAR_GROWTH","FQ1 2015","FQ1 2015","Currency=INR","Period=FQ","BEST_FPERIOD_OVERRIDE=FQ","FILING_STATUS=OR","EQY_CONSOLIDATED=Y","Sort=A","Dates=H","DateFormat=P","Fill=—","Direction=H","UseDPDF=Y")</f>
        <v>#NAME?</v>
      </c>
      <c r="AY34" s="1" t="e">
        <f ca="1">_xll.BDH($C$28,"ACCOUNTS_PAYABLE_5_YEAR_GROWTH","FQ1 2015","FQ1 2015","Currency=INR","Period=FQ","BEST_FPERIOD_OVERRIDE=FQ","FILING_STATUS=OR","EQY_CONSOLIDATED=Y","Sort=A","Dates=H","DateFormat=P","Fill=—","Direction=H","UseDPDF=Y")</f>
        <v>#NAME?</v>
      </c>
      <c r="AZ34" s="1" t="e">
        <f ca="1">_xll.BDH($C$28,"SHORT_TERM_DEBT_5_YEAR_GROWTH","FQ1 2015","FQ1 2015","Currency=INR","Period=FQ","BEST_FPERIOD_OVERRIDE=FQ","FILING_STATUS=OR","EQY_CONSOLIDATED=Y","Sort=A","Dates=H","DateFormat=P","Fill=—","Direction=H","UseDPDF=Y")</f>
        <v>#NAME?</v>
      </c>
      <c r="BA34" s="1" t="e">
        <f ca="1">_xll.BDH($C$28,"TOTAL_DEBT_5_YEAR_GROWTH","FQ1 2015","FQ1 2015","Currency=INR","Period=FQ","BEST_FPERIOD_OVERRIDE=FQ","FILING_STATUS=OR","EQY_CONSOLIDATED=Y","Sort=A","Dates=H","DateFormat=P","Fill=—","Direction=H","UseDPDF=Y")</f>
        <v>#NAME?</v>
      </c>
      <c r="BB34" s="1" t="e">
        <f ca="1">_xll.BDH($C$28,"GEO_GROW_TOT_SHRHLDR_EQY","FQ1 2015","FQ1 2015","Currency=INR","Period=FQ","BEST_FPERIOD_OVERRIDE=FQ","FILING_STATUS=OR","EQY_CONSOLIDATED=Y","Sort=A","Dates=H","DateFormat=P","Fill=—","Direction=H","UseDPDF=Y")</f>
        <v>#NAME?</v>
      </c>
      <c r="BC34" s="1" t="e">
        <f ca="1">_xll.BDH($C$28,"TOTAL_CAPITAL_5_YEAR_GROWTH","FQ1 2015","FQ1 2015","Currency=INR","Period=FQ","BEST_FPERIOD_OVERRIDE=FQ","FILING_STATUS=OR","EQY_CONSOLIDATED=Y","Sort=A","Dates=H","DateFormat=P","Fill=—","Direction=H","UseDPDF=Y")</f>
        <v>#NAME?</v>
      </c>
      <c r="BD34" s="1" t="e">
        <f ca="1">_xll.BDH($C$28,"GEO_GROW_BOOK_VAL","FQ1 2015","FQ1 2015","Currency=INR","Period=FQ","BEST_FPERIOD_OVERRIDE=FQ","FILING_STATUS=OR","EQY_CONSOLIDATED=Y","Sort=A","Dates=H","DateFormat=P","Fill=—","Direction=H","UseDPDF=Y")</f>
        <v>#NAME?</v>
      </c>
      <c r="BE34" s="1" t="e">
        <f ca="1">_xll.BDH($C$28,"GEO_GROW_CASH_OPER_ACT","FQ1 2015","FQ1 2015","Currency=INR","Period=FQ","BEST_FPERIOD_OVERRIDE=FQ","FILING_STATUS=OR","EQY_CONSOLIDATED=Y","Sort=A","Dates=H","DateFormat=P","Fill=—","Direction=H","UseDPDF=Y")</f>
        <v>#NAME?</v>
      </c>
      <c r="BF34" s="1" t="e">
        <f ca="1">_xll.BDH($C$28,"REVENUE_SEQUENTIAL_GROWTH","FQ1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4" s="1" t="e">
        <f ca="1">_xll.BDH($C$28,"EBITDA_SEQUENTIAL_GROWTH","FQ1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4" s="1" t="e">
        <f ca="1">_xll.BDH($C$28,"OPERATING_INCOME_SEQ_GROWTH","FQ1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4" s="1" t="e">
        <f ca="1">_xll.BDH($C$28,"NET_INCOME_TO_COMMON_SEQ_GROWTH","FQ1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4" s="1" t="e">
        <f ca="1">_xll.BDH($C$28,"EPS_DILUTED_SEQUENTIAL_GROWTH","FQ1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4" s="1" t="e">
        <f ca="1">_xll.BDH($C$28,"DPS_SEQUENTIAL_GROWTH","FQ1 2015","FQ1 2015","Currency=INR","Period=FQ","BEST_FPERIOD_OVERRIDE=FQ","FILING_STATUS=OR","EQY_CONSOLIDATED=Y","Sort=A","Dates=H","DateFormat=P","Fill=—","Direction=H","UseDPDF=Y")</f>
        <v>#NAME?</v>
      </c>
      <c r="BL34" s="1" t="e">
        <f ca="1">_xll.BDH($C$28,"ACCOUNTS_RECEIVABLE_SEQ_GROWTH","FQ1 2015","FQ1 2015","Currency=INR","Period=FQ","BEST_FPERIOD_OVERRIDE=FQ","FILING_STATUS=OR","EQY_CONSOLIDATED=Y","Sort=A","Dates=H","DateFormat=P","Fill=—","Direction=H","UseDPDF=Y")</f>
        <v>#NAME?</v>
      </c>
      <c r="BM34" s="1" t="e">
        <f ca="1">_xll.BDH($C$28,"INVENTORY_SEQUENTIAL_GROWTH","FQ1 2015","FQ1 2015","Currency=INR","Period=FQ","BEST_FPERIOD_OVERRIDE=FQ","FILING_STATUS=OR","EQY_CONSOLIDATED=Y","Sort=A","Dates=H","DateFormat=P","Fill=—","Direction=H","UseDPDF=Y")</f>
        <v>#NAME?</v>
      </c>
      <c r="BN34" s="1" t="e">
        <f ca="1">_xll.BDH($C$28,"FIXED_ASSETS_SEQUENTIAL_GROWTH","FQ1 2015","FQ1 2015","Currency=INR","Period=FQ","BEST_FPERIOD_OVERRIDE=FQ","FILING_STATUS=OR","EQY_CONSOLIDATED=Y","Sort=A","Dates=H","DateFormat=P","Fill=—","Direction=H","UseDPDF=Y")</f>
        <v>#NAME?</v>
      </c>
      <c r="BO34" s="1" t="e">
        <f ca="1">_xll.BDH($C$28,"TOTAL_ASSETS_SEQUENTIAL_GROWTH","FQ1 2015","FQ1 2015","Currency=INR","Period=FQ","BEST_FPERIOD_OVERRIDE=FQ","FILING_STATUS=OR","EQY_CONSOLIDATED=Y","Sort=A","Dates=H","DateFormat=P","Fill=—","Direction=H","UseDPDF=Y")</f>
        <v>#NAME?</v>
      </c>
      <c r="BP34" s="1" t="e">
        <f ca="1">_xll.BDH($C$28,"MODIFIED_WORKING_CPTL_SEQ_GRWTH","FQ1 2015","FQ1 2015","Currency=INR","Period=FQ","BEST_FPERIOD_OVERRIDE=FQ","FILING_STATUS=OR","EQY_CONSOLIDATED=Y","Sort=A","Dates=H","DateFormat=P","Fill=—","Direction=H","UseDPDF=Y")</f>
        <v>#NAME?</v>
      </c>
      <c r="BQ34" s="1" t="e">
        <f ca="1">_xll.BDH($C$28,"WORKING_CAPITAL_SEQ_GROWTH","FQ1 2015","FQ1 2015","Currency=INR","Period=FQ","BEST_FPERIOD_OVERRIDE=FQ","FILING_STATUS=OR","EQY_CONSOLIDATED=Y","Sort=A","Dates=H","DateFormat=P","Fill=—","Direction=H","UseDPDF=Y")</f>
        <v>#NAME?</v>
      </c>
      <c r="BR34" s="1" t="e">
        <f ca="1">_xll.BDH($C$28,"ACCOUNTS_PAYABLE_SEQ_GROWTH","FQ1 2015","FQ1 2015","Currency=INR","Period=FQ","BEST_FPERIOD_OVERRIDE=FQ","FILING_STATUS=OR","EQY_CONSOLIDATED=Y","Sort=A","Dates=H","DateFormat=P","Fill=—","Direction=H","UseDPDF=Y")</f>
        <v>#NAME?</v>
      </c>
      <c r="BS34" s="1" t="e">
        <f ca="1">_xll.BDH($C$28,"ST_DEBT_SEQUENTIAL_GROWTH","FQ1 2015","FQ1 2015","Currency=INR","Period=FQ","BEST_FPERIOD_OVERRIDE=FQ","FILING_STATUS=OR","EQY_CONSOLIDATED=Y","Sort=A","Dates=H","DateFormat=P","Fill=—","Direction=H","UseDPDF=Y")</f>
        <v>#NAME?</v>
      </c>
      <c r="BT34" s="1" t="e">
        <f ca="1">_xll.BDH($C$28,"TOTAL_DEBT_SEQUENTIAL_GROWTH","FQ1 2015","FQ1 2015","Currency=INR","Period=FQ","BEST_FPERIOD_OVERRIDE=FQ","FILING_STATUS=OR","EQY_CONSOLIDATED=Y","Sort=A","Dates=H","DateFormat=P","Fill=—","Direction=H","UseDPDF=Y")</f>
        <v>#NAME?</v>
      </c>
      <c r="BU34" s="1" t="e">
        <f ca="1">_xll.BDH($C$28,"TOTAL_EQUITY_SEQUENTIAL_GROWTH","FQ1 2015","FQ1 2015","Currency=INR","Period=FQ","BEST_FPERIOD_OVERRIDE=FQ","FILING_STATUS=OR","EQY_CONSOLIDATED=Y","Sort=A","Dates=H","DateFormat=P","Fill=—","Direction=H","UseDPDF=Y")</f>
        <v>#NAME?</v>
      </c>
      <c r="BV34" s="1" t="e">
        <f ca="1">_xll.BDH($C$28,"TOTAL_CAPITAL_SEQUENTIAL_GROWTH","FQ1 2015","FQ1 2015","Currency=INR","Period=FQ","BEST_FPERIOD_OVERRIDE=FQ","FILING_STATUS=OR","EQY_CONSOLIDATED=Y","Sort=A","Dates=H","DateFormat=P","Fill=—","Direction=H","UseDPDF=Y")</f>
        <v>#NAME?</v>
      </c>
      <c r="BW34" s="1" t="e">
        <f ca="1">_xll.BDH($C$28,"BPS_SEQUENTIAL_GROWTH","FQ1 2015","FQ1 2015","Currency=INR","Period=FQ","BEST_FPERIOD_OVERRIDE=FQ","FILING_STATUS=OR","EQY_CONSOLIDATED=Y","Sort=A","Dates=H","DateFormat=P","Fill=—","Direction=H","UseDPDF=Y")</f>
        <v>#NAME?</v>
      </c>
      <c r="BX34" s="1" t="e">
        <f ca="1">_xll.BDH($C$28,"CFO_SEQUENTIAL_GROWTH","FQ1 2015","FQ1 2015","Currency=INR","Period=FQ","BEST_FPERIOD_OVERRIDE=FQ","FILING_STATUS=OR","EQY_CONSOLIDATED=Y","Sort=A","Dates=H","DateFormat=P","Fill=—","Direction=H","UseDPDF=Y")</f>
        <v>#NAME?</v>
      </c>
      <c r="BY34" s="2" t="e">
        <f ca="1">_xll.BDH($C$28,"SHORT_AND_LONG_TERM_DEBT","FQ1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4" s="2" t="e">
        <f ca="1">_xll.BDH($C$28,"BS_ST_BORROW","FQ1 2015","FQ1 2015","Currency=INR","Period=FQ","BEST_FPERIOD_OVERRIDE=FQ","FILING_STATUS=OR","EQY_CONSOLIDATED=Y","SCALING_FORMAT=MLN","Sort=A","Dates=H","DateFormat=P","Fill=—","Direction=H","UseDPDF=Y")</f>
        <v>#NAME?</v>
      </c>
      <c r="CA34" s="2" t="e">
        <f ca="1">_xll.BDH($C$28,"BS_LT_BORROW","FQ1 2015","FQ1 2015","Currency=INR","Period=FQ","BEST_FPERIOD_OVERRIDE=FQ","FILING_STATUS=OR","EQY_CONSOLIDATED=Y","SCALING_FORMAT=MLN","Sort=A","Dates=H","DateFormat=P","Fill=—","Direction=H","UseDPDF=Y")</f>
        <v>#NAME?</v>
      </c>
      <c r="CB34" s="1" t="e">
        <f ca="1">_xll.BDH($C$28,"TOT_DEBT_TO_EBITDA","FQ1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4" s="1" t="e">
        <f ca="1">_xll.BDH($C$28,"NET_DEBT_TO_EBITDA","FQ1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4" s="1" t="e">
        <f ca="1">_xll.BDH($C$28,"TOTAL_DEBT_TO_EBIT","FQ1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4" s="1" t="e">
        <f ca="1">_xll.BDH($C$28,"NET_DEBT_TO_EBIT","FQ1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34" s="1" t="e">
        <f ca="1">_xll.BDH($C$28,"EBITDA_TO_INTEREST_EXPN","FQ1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4" s="1" t="e">
        <f ca="1">_xll.BDH($C$28,"COM_EQY_TO_TOT_ASSET","FQ1 2015","FQ1 2015","Currency=INR","Period=FQ","BEST_FPERIOD_OVERRIDE=FQ","FILING_STATUS=OR","EQY_CONSOLIDATED=Y","Sort=A","Dates=H","DateFormat=P","Fill=—","Direction=H","UseDPDF=Y")</f>
        <v>#NAME?</v>
      </c>
      <c r="CH34" s="1" t="e">
        <f ca="1">_xll.BDH($C$28,"LT_DEBT_TO_TOT_EQY","FQ1 2015","FQ1 2015","Currency=INR","Period=FQ","BEST_FPERIOD_OVERRIDE=FQ","FILING_STATUS=OR","EQY_CONSOLIDATED=Y","Sort=A","Dates=H","DateFormat=P","Fill=—","Direction=H","UseDPDF=Y")</f>
        <v>#NAME?</v>
      </c>
      <c r="CI34" s="1" t="e">
        <f ca="1">_xll.BDH($C$28,"LT_DEBT_TO_TOT_CAP","FQ1 2015","FQ1 2015","Currency=INR","Period=FQ","BEST_FPERIOD_OVERRIDE=FQ","FILING_STATUS=OR","EQY_CONSOLIDATED=Y","Sort=A","Dates=H","DateFormat=P","Fill=—","Direction=H","UseDPDF=Y")</f>
        <v>#NAME?</v>
      </c>
      <c r="CJ34" s="1" t="e">
        <f ca="1">_xll.BDH($C$28,"LT_DEBT_TO_TOT_ASSET","FQ1 2015","FQ1 2015","Currency=INR","Period=FQ","BEST_FPERIOD_OVERRIDE=FQ","FILING_STATUS=OR","EQY_CONSOLIDATED=Y","Sort=A","Dates=H","DateFormat=P","Fill=—","Direction=H","UseDPDF=Y")</f>
        <v>#NAME?</v>
      </c>
      <c r="CK34" s="1" t="e">
        <f ca="1">_xll.BDH($C$28,"TOT_DEBT_TO_TOT_EQY","FQ1 2015","FQ1 2015","Currency=INR","Period=FQ","BEST_FPERIOD_OVERRIDE=FQ","FILING_STATUS=OR","EQY_CONSOLIDATED=Y","Sort=A","Dates=H","DateFormat=P","Fill=—","Direction=H","UseDPDF=Y")</f>
        <v>#NAME?</v>
      </c>
      <c r="CL34" s="1" t="e">
        <f ca="1">_xll.BDH($C$28,"TOT_DEBT_TO_TOT_CAP","FQ1 2015","FQ1 2015","Currency=INR","Period=FQ","BEST_FPERIOD_OVERRIDE=FQ","FILING_STATUS=OR","EQY_CONSOLIDATED=Y","Sort=A","Dates=H","DateFormat=P","Fill=—","Direction=H","UseDPDF=Y")</f>
        <v>#NAME?</v>
      </c>
      <c r="CM34" s="1" t="e">
        <f ca="1">_xll.BDH($C$28,"TOT_DEBT_TO_TOT_ASSET","FQ1 2015","FQ1 2015","Currency=INR","Period=FQ","BEST_FPERIOD_OVERRIDE=FQ","FILING_STATUS=OR","EQY_CONSOLIDATED=Y","Sort=A","Dates=H","DateFormat=P","Fill=—","Direction=H","UseDPDF=Y")</f>
        <v>#NAME?</v>
      </c>
      <c r="CN34" s="1" t="e">
        <f ca="1">_xll.BDH($C$28,"NET_DEBT_TO_SHRHLDR_EQTY","FQ1 2015","FQ1 2015","Currency=INR","Period=FQ","BEST_FPERIOD_OVERRIDE=FQ","FILING_STATUS=OR","EQY_CONSOLIDATED=Y","Sort=A","Dates=H","DateFormat=P","Fill=—","Direction=H","UseDPDF=Y")</f>
        <v>#NAME?</v>
      </c>
      <c r="CO34" s="1" t="e">
        <f ca="1">_xll.BDH($C$28,"NET_DEBT_%_CAPITAL","FQ1 2015","FQ1 2015","Currency=INR","Period=FQ","BEST_FPERIOD_OVERRIDE=FQ","FILING_STATUS=OR","EQY_CONSOLIDATED=Y","Sort=A","Dates=H","DateFormat=P","Fill=—","Direction=H","UseDPDF=Y")</f>
        <v>#NAME?</v>
      </c>
      <c r="CP34" s="2" t="e">
        <f ca="1">_xll.BDH($C$28,"EBITDA","FQ1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4" s="2" t="e">
        <f ca="1">_xll.BDH($C$28,"EBITDA_AFTER_CAPEX","FQ1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4" s="2" t="e">
        <f ca="1">_xll.BDH($C$28,"IS_OPER_INC","FQ1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4" s="1" t="e">
        <f ca="1">_xll.BDH($C$28,"CASH_RATIO","FQ1 2015","FQ1 2015","Currency=INR","Period=FQ","BEST_FPERIOD_OVERRIDE=FQ","FILING_STATUS=OR","EQY_CONSOLIDATED=Y","Sort=A","Dates=H","DateFormat=P","Fill=—","Direction=H","UseDPDF=Y")</f>
        <v>#NAME?</v>
      </c>
      <c r="CT34" s="1" t="e">
        <f ca="1">_xll.BDH($C$28,"CUR_RATIO","FQ1 2015","FQ1 2015","Currency=INR","Period=FQ","BEST_FPERIOD_OVERRIDE=FQ","FILING_STATUS=OR","EQY_CONSOLIDATED=Y","Sort=A","Dates=H","DateFormat=P","Fill=—","Direction=H","UseDPDF=Y")</f>
        <v>#NAME?</v>
      </c>
      <c r="CU34" s="1" t="e">
        <f ca="1">_xll.BDH($C$28,"QUICK_RATIO","FQ1 2015","FQ1 2015","Currency=INR","Period=FQ","BEST_FPERIOD_OVERRIDE=FQ","FILING_STATUS=OR","EQY_CONSOLIDATED=Y","Sort=A","Dates=H","DateFormat=P","Fill=—","Direction=H","UseDPDF=Y")</f>
        <v>#NAME?</v>
      </c>
      <c r="CV34" s="1" t="e">
        <f ca="1">_xll.BDH($C$28,"ALTMAN_Z_SCORE","FQ1 2015","FQ1 2015","Currency=INR","Period=FQ","BEST_FPERIOD_OVERRIDE=FQ","FILING_STATUS=OR","EQY_CONSOLIDATED=Y","Sort=A","Dates=H","DateFormat=P","Fill=—","Direction=H","UseDPDF=Y")</f>
        <v>#NAME?</v>
      </c>
      <c r="CW34" s="3" t="e">
        <f ca="1">_xll.BDH($C$28,"ACCT_RCV_TURN","FQ1 2015","FQ1 2015","Currency=INR","Period=FQ","BEST_FPERIOD_OVERRIDE=FQ","FILING_STATUS=OR","EQY_CONSOLIDATED=Y","FA_ADJUSTED=GAAP","Sort=A","Dates=H","DateFormat=P","Fill=—","Direction=H","UseDPDF=Y")</f>
        <v>#NAME?</v>
      </c>
      <c r="CX34" s="1" t="e">
        <f ca="1">_xll.BDH($C$28,"ACCT_RCV_DAYS","FQ1 2015","FQ1 2015","Currency=INR","Period=FQ","BEST_FPERIOD_OVERRIDE=FQ","FILING_STATUS=OR","EQY_CONSOLIDATED=Y","FA_ADJUSTED=GAAP","Sort=A","Dates=H","DateFormat=P","Fill=—","Direction=H","UseDPDF=Y")</f>
        <v>#NAME?</v>
      </c>
      <c r="CY34" s="3" t="e">
        <f ca="1">_xll.BDH($C$28,"INVENT_TURN","FQ1 2015","FQ1 2015","Currency=INR","Period=FQ","BEST_FPERIOD_OVERRIDE=FQ","FILING_STATUS=OR","EQY_CONSOLIDATED=Y","FA_ADJUSTED=GAAP","Sort=A","Dates=H","DateFormat=P","Fill=—","Direction=H","UseDPDF=Y")</f>
        <v>#NAME?</v>
      </c>
      <c r="CZ34" s="1" t="e">
        <f ca="1">_xll.BDH($C$28,"INVENT_DAYS","FQ1 2015","FQ1 2015","Currency=INR","Period=FQ","BEST_FPERIOD_OVERRIDE=FQ","FILING_STATUS=OR","EQY_CONSOLIDATED=Y","FA_ADJUSTED=GAAP","Sort=A","Dates=H","DateFormat=P","Fill=—","Direction=H","UseDPDF=Y")</f>
        <v>#NAME?</v>
      </c>
      <c r="DA34" s="3" t="e">
        <f ca="1">_xll.BDH($C$28,"ACCOUNTS_PAYABLE_TURNOVER","FQ1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4" s="1" t="e">
        <f ca="1">_xll.BDH($C$28,"ACCOUNTS_PAYABLE_TURNOVER_DAYS","FQ1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4" s="3" t="e">
        <f ca="1">_xll.BDH($C$28,"CASH_CONVERSION_CYCLE","FQ1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4" s="3" t="e">
        <f ca="1">_xll.BDH($C$28,"INV_TO_CASH_DAYS","FQ1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34" s="4" t="e">
        <f ca="1">_xll.BDH($C$28,"BS_INVENTORIES","FQ1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34" s="2" t="e">
        <f ca="1">_xll.BDH($C$28,"INVTRY_RAW_MATERIALS","FQ1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4" s="2" t="e">
        <f ca="1">_xll.BDH($C$28,"INVTRY_IN_PROGRESS","FQ1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4" s="2" t="e">
        <f ca="1">_xll.BDH($C$28,"INVTRY_FINISHED_GOODS","FQ1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4" s="2" t="e">
        <f ca="1">_xll.BDH($C$28,"BS_OTHER_INV","FQ1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5" spans="1:113" x14ac:dyDescent="0.3">
      <c r="A35" s="6"/>
      <c r="B35" s="6"/>
      <c r="C35" s="6"/>
      <c r="D35" s="6"/>
      <c r="E35" t="s">
        <v>5</v>
      </c>
      <c r="F35" t="e">
        <f ca="1">_xll.BDH($C$28,"RETURN_COM_EQY","FQ2 2015","FQ2 2015","Currency=INR","Period=FQ","BEST_FPERIOD_OVERRIDE=FQ","FILING_STATUS=OR","EQY_CONSOLIDATED=Y","FA_ADJUSTED=GAAP","Sort=A","Dates=H","DateFormat=P","Fill=—","Direction=H","UseDPDF=Y")</f>
        <v>#NAME?</v>
      </c>
      <c r="G35" t="e">
        <f ca="1">_xll.BDH($C$28,"RETURN_ON_ASSET","FQ2 2015","FQ2 2015","Currency=INR","Period=FQ","BEST_FPERIOD_OVERRIDE=FQ","FILING_STATUS=OR","EQY_CONSOLIDATED=Y","FA_ADJUSTED=GAAP","Sort=A","Dates=H","DateFormat=P","Fill=—","Direction=H","UseDPDF=Y")</f>
        <v>#NAME?</v>
      </c>
      <c r="H35" t="e">
        <f ca="1">_xll.BDH($C$28,"RETURN_ON_CAP","FQ2 2015","FQ2 2015","Currency=INR","Period=FQ","BEST_FPERIOD_OVERRIDE=FQ","FILING_STATUS=OR","EQY_CONSOLIDATED=Y","FA_ADJUSTED=GAAP","Sort=A","Dates=H","DateFormat=P","Fill=—","Direction=H","UseDPDF=Y")</f>
        <v>#NAME?</v>
      </c>
      <c r="I35" t="e">
        <f ca="1">_xll.BDH($C$28,"RETURN_ON_INV_CAPITAL","FQ2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5" t="e">
        <f ca="1">_xll.BDH($C$28,"EBITDA_TO_REVENUE","FQ2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35" t="e">
        <f ca="1">_xll.BDH($C$28,"OPER_MARGIN","FQ2 2015","FQ2 2015","Currency=INR","Period=FQ","BEST_FPERIOD_OVERRIDE=FQ","FILING_STATUS=OR","EQY_CONSOLIDATED=Y","FA_ADJUSTED=GAAP","Sort=A","Dates=H","DateFormat=P","Fill=—","Direction=H","UseDPDF=Y")</f>
        <v>#NAME?</v>
      </c>
      <c r="L35" t="e">
        <f ca="1">_xll.BDH($C$28,"INCREMENTAL_OPERATING_MARGIN","FQ2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5" t="e">
        <f ca="1">_xll.BDH($C$28,"PRETAX_INC_TO_NET_SALES","FQ2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5" t="e">
        <f ca="1">_xll.BDH($C$28,"INC_BEF_XO_ITEMS_TO_NET_SALES","FQ2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5" t="e">
        <f ca="1">_xll.BDH($C$28,"PROF_MARGIN","FQ2 2015","FQ2 2015","Currency=INR","Period=FQ","BEST_FPERIOD_OVERRIDE=FQ","FILING_STATUS=OR","EQY_CONSOLIDATED=Y","FA_ADJUSTED=GAAP","Sort=A","Dates=H","DateFormat=P","Fill=—","Direction=H","UseDPDF=Y")</f>
        <v>#NAME?</v>
      </c>
      <c r="P35" t="e">
        <f ca="1">_xll.BDH($C$28,"NET_INCOME_TO_COMMON_MARGIN","FQ2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5" t="e">
        <f ca="1">_xll.BDH($C$28,"EFF_TAX_RATE","FQ2 2015","FQ2 2015","Currency=INR","Period=FQ","BEST_FPERIOD_OVERRIDE=FQ","FILING_STATUS=OR","EQY_CONSOLIDATED=Y","FA_ADJUSTED=GAAP","Sort=A","Dates=H","DateFormat=P","Fill=—","Direction=H","UseDPDF=Y")</f>
        <v>#NAME?</v>
      </c>
      <c r="R35" t="e">
        <f ca="1">_xll.BDH($C$28,"DVD_PAYOUT_RATIO","FQ2 2015","FQ2 2015","Currency=INR","Period=FQ","BEST_FPERIOD_OVERRIDE=FQ","FILING_STATUS=OR","EQY_CONSOLIDATED=Y","FA_ADJUSTED=GAAP","Sort=A","Dates=H","DateFormat=P","Fill=—","Direction=H","UseDPDF=Y")</f>
        <v>#NAME?</v>
      </c>
      <c r="S35" t="e">
        <f ca="1">_xll.BDH($C$28,"SUSTAIN_GROWTH_RT","FQ2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35" s="1" t="e">
        <f ca="1">_xll.BDH($C$28,"SALES_GROWTH","FQ2 2015","FQ2 2015","Currency=INR","Period=FQ","BEST_FPERIOD_OVERRIDE=FQ","FILING_STATUS=OR","EQY_CONSOLIDATED=Y","FA_ADJUSTED=GAAP","Sort=A","Dates=H","DateFormat=P","Fill=—","Direction=H","UseDPDF=Y")</f>
        <v>#NAME?</v>
      </c>
      <c r="U35" s="1" t="e">
        <f ca="1">_xll.BDH($C$28,"EBITDA_GROWTH","FQ2 2015","FQ2 2015","Currency=INR","Period=FQ","BEST_FPERIOD_OVERRIDE=FQ","FILING_STATUS=OR","EQY_CONSOLIDATED=Y","FA_ADJUSTED=GAAP","Sort=A","Dates=H","DateFormat=P","Fill=—","Direction=H","UseDPDF=Y")</f>
        <v>#NAME?</v>
      </c>
      <c r="V35" s="1" t="e">
        <f ca="1">_xll.BDH($C$28,"OPER_INC_GROWTH","FQ2 2015","FQ2 2015","Currency=INR","Period=FQ","BEST_FPERIOD_OVERRIDE=FQ","FILING_STATUS=OR","EQY_CONSOLIDATED=Y","FA_ADJUSTED=GAAP","Sort=A","Dates=H","DateFormat=P","Fill=—","Direction=H","UseDPDF=Y")</f>
        <v>#NAME?</v>
      </c>
      <c r="W35" s="1" t="e">
        <f ca="1">_xll.BDH($C$28,"EARN_FOR_COM_GROWTH","FQ2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5" s="1" t="e">
        <f ca="1">_xll.BDH($C$28,"DILUTED_EPS_AFT_XO_ITEMS_GROWTH","FQ2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5" s="1" t="e">
        <f ca="1">_xll.BDH($C$28,"DIVIDEND_PER_SHARE_1_YEAR_GROWTH","FQ2 2015","FQ2 2015","Currency=INR","Period=FQ","BEST_FPERIOD_OVERRIDE=FQ","FILING_STATUS=OR","EQY_CONSOLIDATED=Y","Sort=A","Dates=H","DateFormat=P","Fill=—","Direction=H","UseDPDF=Y")</f>
        <v>#NAME?</v>
      </c>
      <c r="Z35" s="1" t="e">
        <f ca="1">_xll.BDH($C$28,"ACCOUNTS_RECEIVABLE_GROWTH","FQ2 2015","FQ2 2015","Currency=INR","Period=FQ","BEST_FPERIOD_OVERRIDE=FQ","FILING_STATUS=OR","EQY_CONSOLIDATED=Y","Sort=A","Dates=H","DateFormat=P","Fill=—","Direction=H","UseDPDF=Y")</f>
        <v>#NAME?</v>
      </c>
      <c r="AA35" s="1" t="e">
        <f ca="1">_xll.BDH($C$28,"INVENTORY_GROWTH","FQ2 2015","FQ2 2015","Currency=INR","Period=FQ","BEST_FPERIOD_OVERRIDE=FQ","FILING_STATUS=OR","EQY_CONSOLIDATED=Y","Sort=A","Dates=H","DateFormat=P","Fill=—","Direction=H","UseDPDF=Y")</f>
        <v>#NAME?</v>
      </c>
      <c r="AB35" s="1" t="e">
        <f ca="1">_xll.BDH($C$28,"NET_FIXED_ASSETS_1_YEAR_GROWTH","FQ2 2015","FQ2 2015","Currency=INR","Period=FQ","BEST_FPERIOD_OVERRIDE=FQ","FILING_STATUS=OR","EQY_CONSOLIDATED=Y","Sort=A","Dates=H","DateFormat=P","Fill=—","Direction=H","UseDPDF=Y")</f>
        <v>#NAME?</v>
      </c>
      <c r="AC35" s="1" t="e">
        <f ca="1">_xll.BDH($C$28,"ASSET_GROWTH","FQ2 2015","FQ2 2015","Currency=INR","Period=FQ","BEST_FPERIOD_OVERRIDE=FQ","FILING_STATUS=OR","EQY_CONSOLIDATED=Y","Sort=A","Dates=H","DateFormat=P","Fill=—","Direction=H","UseDPDF=Y")</f>
        <v>#NAME?</v>
      </c>
      <c r="AD35" s="1" t="e">
        <f ca="1">_xll.BDH($C$28,"MODIFIED_WORK_CAP_GROWTH","FQ2 2015","FQ2 2015","Currency=INR","Period=FQ","BEST_FPERIOD_OVERRIDE=FQ","FILING_STATUS=OR","EQY_CONSOLIDATED=Y","Sort=A","Dates=H","DateFormat=P","Fill=—","Direction=H","UseDPDF=Y")</f>
        <v>#NAME?</v>
      </c>
      <c r="AE35" s="1" t="e">
        <f ca="1">_xll.BDH($C$28,"WORK_CAP_GROWTH","FQ2 2015","FQ2 2015","Currency=INR","Period=FQ","BEST_FPERIOD_OVERRIDE=FQ","FILING_STATUS=OR","EQY_CONSOLIDATED=Y","Sort=A","Dates=H","DateFormat=P","Fill=—","Direction=H","UseDPDF=Y")</f>
        <v>#NAME?</v>
      </c>
      <c r="AF35" s="1" t="e">
        <f ca="1">_xll.BDH($C$28,"ACCOUNTS_PAYABLE_GROWTH_1YR","FQ2 2015","FQ2 2015","Currency=INR","Period=FQ","BEST_FPERIOD_OVERRIDE=FQ","FILING_STATUS=OR","EQY_CONSOLIDATED=Y","Sort=A","Dates=H","DateFormat=P","Fill=—","Direction=H","UseDPDF=Y")</f>
        <v>#NAME?</v>
      </c>
      <c r="AG35" s="1" t="e">
        <f ca="1">_xll.BDH($C$28,"SHORT_TERM_DEBT_1_YEAR_GROWTH","FQ2 2015","FQ2 2015","Currency=INR","Period=FQ","BEST_FPERIOD_OVERRIDE=FQ","FILING_STATUS=OR","EQY_CONSOLIDATED=Y","Sort=A","Dates=H","DateFormat=P","Fill=—","Direction=H","UseDPDF=Y")</f>
        <v>#NAME?</v>
      </c>
      <c r="AH35" s="1" t="e">
        <f ca="1">_xll.BDH($C$28,"TOTAL_DEBT_1_YEAR_GROWTH","FQ2 2015","FQ2 2015","Currency=INR","Period=FQ","BEST_FPERIOD_OVERRIDE=FQ","FILING_STATUS=OR","EQY_CONSOLIDATED=Y","Sort=A","Dates=H","DateFormat=P","Fill=—","Direction=H","UseDPDF=Y")</f>
        <v>#NAME?</v>
      </c>
      <c r="AI35" s="1" t="e">
        <f ca="1">_xll.BDH($C$28,"TOTAL_EQUITY_1_YEAR_GROWTH","FQ2 2015","FQ2 2015","Currency=INR","Period=FQ","BEST_FPERIOD_OVERRIDE=FQ","FILING_STATUS=OR","EQY_CONSOLIDATED=Y","Sort=A","Dates=H","DateFormat=P","Fill=—","Direction=H","UseDPDF=Y")</f>
        <v>#NAME?</v>
      </c>
      <c r="AJ35" s="1" t="e">
        <f ca="1">_xll.BDH($C$28,"GROWTH_IN_CAP","FQ2 2015","FQ2 2015","Currency=INR","Period=FQ","BEST_FPERIOD_OVERRIDE=FQ","FILING_STATUS=OR","EQY_CONSOLIDATED=Y","Sort=A","Dates=H","DateFormat=P","Fill=—","Direction=H","UseDPDF=Y")</f>
        <v>#NAME?</v>
      </c>
      <c r="AK35" s="1" t="e">
        <f ca="1">_xll.BDH($C$28,"BVPS_GROWTH","FQ2 2015","FQ2 2015","Currency=INR","Period=FQ","BEST_FPERIOD_OVERRIDE=FQ","FILING_STATUS=OR","EQY_CONSOLIDATED=Y","Sort=A","Dates=H","DateFormat=P","Fill=—","Direction=H","UseDPDF=Y")</f>
        <v>#NAME?</v>
      </c>
      <c r="AL35" s="1" t="e">
        <f ca="1">_xll.BDH($C$28,"CASH_FLOW_GROWTH","FQ2 2015","FQ2 2015","Currency=INR","Period=FQ","BEST_FPERIOD_OVERRIDE=FQ","FILING_STATUS=OR","EQY_CONSOLIDATED=Y","Sort=A","Dates=H","DateFormat=P","Fill=—","Direction=H","UseDPDF=Y")</f>
        <v>#NAME?</v>
      </c>
      <c r="AM35" s="1" t="e">
        <f ca="1">_xll.BDH($C$28,"GEO_GROW_NET_SALES","FQ2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5" s="1" t="e">
        <f ca="1">_xll.BDH($C$28,"GEO_GROW_EBITDA","FQ2 2015","FQ2 2015","Currency=INR","Period=FQ","BEST_FPERIOD_OVERRIDE=FQ","FILING_STATUS=OR","EQY_CONSOLIDATED=Y","FA_ADJUSTED=GAAP","Sort=A","Dates=H","DateFormat=P","Fill=—","Direction=H","UseDPDF=Y")</f>
        <v>#NAME?</v>
      </c>
      <c r="AO35" s="1" t="e">
        <f ca="1">_xll.BDH($C$28,"GEO_GROW_OPER_INC","FQ2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5" s="1" t="e">
        <f ca="1">_xll.BDH($C$28,"NET_INCOME_TO_COMMON_5_YR_GROWTH","FQ2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5" s="1" t="e">
        <f ca="1">_xll.BDH($C$28,"5Y_GEO_GROWTH_DILUTED_EPS","FQ2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5" s="1" t="e">
        <f ca="1">_xll.BDH($C$28,"GEO_GROW_DVD_PER_SH","FQ2 2015","FQ2 2015","Currency=INR","Period=FQ","BEST_FPERIOD_OVERRIDE=FQ","FILING_STATUS=OR","EQY_CONSOLIDATED=Y","Sort=A","Dates=H","DateFormat=P","Fill=—","Direction=H","UseDPDF=Y")</f>
        <v>#NAME?</v>
      </c>
      <c r="AS35" s="1" t="e">
        <f ca="1">_xll.BDH($C$28,"ACCOUNTS_RECEIVABLE_5_YR_GROWTH","FQ2 2015","FQ2 2015","Currency=INR","Period=FQ","BEST_FPERIOD_OVERRIDE=FQ","FILING_STATUS=OR","EQY_CONSOLIDATED=Y","Sort=A","Dates=H","DateFormat=P","Fill=—","Direction=H","UseDPDF=Y")</f>
        <v>#NAME?</v>
      </c>
      <c r="AT35" s="1" t="e">
        <f ca="1">_xll.BDH($C$28,"INVENTORY_5_YEAR_GROWTH","FQ2 2015","FQ2 2015","Currency=INR","Period=FQ","BEST_FPERIOD_OVERRIDE=FQ","FILING_STATUS=OR","EQY_CONSOLIDATED=Y","Sort=A","Dates=H","DateFormat=P","Fill=—","Direction=H","UseDPDF=Y")</f>
        <v>#NAME?</v>
      </c>
      <c r="AU35" s="1" t="e">
        <f ca="1">_xll.BDH($C$28,"NET_FIXED_ASSETS_5_YEAR_GROWTH","FQ2 2015","FQ2 2015","Currency=INR","Period=FQ","BEST_FPERIOD_OVERRIDE=FQ","FILING_STATUS=OR","EQY_CONSOLIDATED=Y","Sort=A","Dates=H","DateFormat=P","Fill=—","Direction=H","UseDPDF=Y")</f>
        <v>#NAME?</v>
      </c>
      <c r="AV35" s="1" t="e">
        <f ca="1">_xll.BDH($C$28,"GEO_GROW_TOT_ASSET","FQ2 2015","FQ2 2015","Currency=INR","Period=FQ","BEST_FPERIOD_OVERRIDE=FQ","FILING_STATUS=OR","EQY_CONSOLIDATED=Y","Sort=A","Dates=H","DateFormat=P","Fill=—","Direction=H","UseDPDF=Y")</f>
        <v>#NAME?</v>
      </c>
      <c r="AW35" s="1" t="e">
        <f ca="1">_xll.BDH($C$28,"MODIFIED_WORKING_CPTL_5YR_GRWTH","FQ2 2015","FQ2 2015","Currency=INR","Period=FQ","BEST_FPERIOD_OVERRIDE=FQ","FILING_STATUS=OR","EQY_CONSOLIDATED=Y","Sort=A","Dates=H","DateFormat=P","Fill=—","Direction=H","UseDPDF=Y")</f>
        <v>#NAME?</v>
      </c>
      <c r="AX35" s="1" t="e">
        <f ca="1">_xll.BDH($C$28,"WORKING_CAPITAL_5_YEAR_GROWTH","FQ2 2015","FQ2 2015","Currency=INR","Period=FQ","BEST_FPERIOD_OVERRIDE=FQ","FILING_STATUS=OR","EQY_CONSOLIDATED=Y","Sort=A","Dates=H","DateFormat=P","Fill=—","Direction=H","UseDPDF=Y")</f>
        <v>#NAME?</v>
      </c>
      <c r="AY35" s="1" t="e">
        <f ca="1">_xll.BDH($C$28,"ACCOUNTS_PAYABLE_5_YEAR_GROWTH","FQ2 2015","FQ2 2015","Currency=INR","Period=FQ","BEST_FPERIOD_OVERRIDE=FQ","FILING_STATUS=OR","EQY_CONSOLIDATED=Y","Sort=A","Dates=H","DateFormat=P","Fill=—","Direction=H","UseDPDF=Y")</f>
        <v>#NAME?</v>
      </c>
      <c r="AZ35" s="1" t="e">
        <f ca="1">_xll.BDH($C$28,"SHORT_TERM_DEBT_5_YEAR_GROWTH","FQ2 2015","FQ2 2015","Currency=INR","Period=FQ","BEST_FPERIOD_OVERRIDE=FQ","FILING_STATUS=OR","EQY_CONSOLIDATED=Y","Sort=A","Dates=H","DateFormat=P","Fill=—","Direction=H","UseDPDF=Y")</f>
        <v>#NAME?</v>
      </c>
      <c r="BA35" s="1" t="e">
        <f ca="1">_xll.BDH($C$28,"TOTAL_DEBT_5_YEAR_GROWTH","FQ2 2015","FQ2 2015","Currency=INR","Period=FQ","BEST_FPERIOD_OVERRIDE=FQ","FILING_STATUS=OR","EQY_CONSOLIDATED=Y","Sort=A","Dates=H","DateFormat=P","Fill=—","Direction=H","UseDPDF=Y")</f>
        <v>#NAME?</v>
      </c>
      <c r="BB35" s="1" t="e">
        <f ca="1">_xll.BDH($C$28,"GEO_GROW_TOT_SHRHLDR_EQY","FQ2 2015","FQ2 2015","Currency=INR","Period=FQ","BEST_FPERIOD_OVERRIDE=FQ","FILING_STATUS=OR","EQY_CONSOLIDATED=Y","Sort=A","Dates=H","DateFormat=P","Fill=—","Direction=H","UseDPDF=Y")</f>
        <v>#NAME?</v>
      </c>
      <c r="BC35" s="1" t="e">
        <f ca="1">_xll.BDH($C$28,"TOTAL_CAPITAL_5_YEAR_GROWTH","FQ2 2015","FQ2 2015","Currency=INR","Period=FQ","BEST_FPERIOD_OVERRIDE=FQ","FILING_STATUS=OR","EQY_CONSOLIDATED=Y","Sort=A","Dates=H","DateFormat=P","Fill=—","Direction=H","UseDPDF=Y")</f>
        <v>#NAME?</v>
      </c>
      <c r="BD35" s="1" t="e">
        <f ca="1">_xll.BDH($C$28,"GEO_GROW_BOOK_VAL","FQ2 2015","FQ2 2015","Currency=INR","Period=FQ","BEST_FPERIOD_OVERRIDE=FQ","FILING_STATUS=OR","EQY_CONSOLIDATED=Y","Sort=A","Dates=H","DateFormat=P","Fill=—","Direction=H","UseDPDF=Y")</f>
        <v>#NAME?</v>
      </c>
      <c r="BE35" s="1" t="e">
        <f ca="1">_xll.BDH($C$28,"GEO_GROW_CASH_OPER_ACT","FQ2 2015","FQ2 2015","Currency=INR","Period=FQ","BEST_FPERIOD_OVERRIDE=FQ","FILING_STATUS=OR","EQY_CONSOLIDATED=Y","Sort=A","Dates=H","DateFormat=P","Fill=—","Direction=H","UseDPDF=Y")</f>
        <v>#NAME?</v>
      </c>
      <c r="BF35" s="1" t="e">
        <f ca="1">_xll.BDH($C$28,"REVENUE_SEQUENTIAL_GROWTH","FQ2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5" s="1" t="e">
        <f ca="1">_xll.BDH($C$28,"EBITDA_SEQUENTIAL_GROWTH","FQ2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5" s="1" t="e">
        <f ca="1">_xll.BDH($C$28,"OPERATING_INCOME_SEQ_GROWTH","FQ2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5" s="1" t="e">
        <f ca="1">_xll.BDH($C$28,"NET_INCOME_TO_COMMON_SEQ_GROWTH","FQ2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5" s="1" t="e">
        <f ca="1">_xll.BDH($C$28,"EPS_DILUTED_SEQUENTIAL_GROWTH","FQ2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5" s="1" t="e">
        <f ca="1">_xll.BDH($C$28,"DPS_SEQUENTIAL_GROWTH","FQ2 2015","FQ2 2015","Currency=INR","Period=FQ","BEST_FPERIOD_OVERRIDE=FQ","FILING_STATUS=OR","EQY_CONSOLIDATED=Y","Sort=A","Dates=H","DateFormat=P","Fill=—","Direction=H","UseDPDF=Y")</f>
        <v>#NAME?</v>
      </c>
      <c r="BL35" s="1" t="e">
        <f ca="1">_xll.BDH($C$28,"ACCOUNTS_RECEIVABLE_SEQ_GROWTH","FQ2 2015","FQ2 2015","Currency=INR","Period=FQ","BEST_FPERIOD_OVERRIDE=FQ","FILING_STATUS=OR","EQY_CONSOLIDATED=Y","Sort=A","Dates=H","DateFormat=P","Fill=—","Direction=H","UseDPDF=Y")</f>
        <v>#NAME?</v>
      </c>
      <c r="BM35" s="1" t="e">
        <f ca="1">_xll.BDH($C$28,"INVENTORY_SEQUENTIAL_GROWTH","FQ2 2015","FQ2 2015","Currency=INR","Period=FQ","BEST_FPERIOD_OVERRIDE=FQ","FILING_STATUS=OR","EQY_CONSOLIDATED=Y","Sort=A","Dates=H","DateFormat=P","Fill=—","Direction=H","UseDPDF=Y")</f>
        <v>#NAME?</v>
      </c>
      <c r="BN35" s="1" t="e">
        <f ca="1">_xll.BDH($C$28,"FIXED_ASSETS_SEQUENTIAL_GROWTH","FQ2 2015","FQ2 2015","Currency=INR","Period=FQ","BEST_FPERIOD_OVERRIDE=FQ","FILING_STATUS=OR","EQY_CONSOLIDATED=Y","Sort=A","Dates=H","DateFormat=P","Fill=—","Direction=H","UseDPDF=Y")</f>
        <v>#NAME?</v>
      </c>
      <c r="BO35" s="1" t="e">
        <f ca="1">_xll.BDH($C$28,"TOTAL_ASSETS_SEQUENTIAL_GROWTH","FQ2 2015","FQ2 2015","Currency=INR","Period=FQ","BEST_FPERIOD_OVERRIDE=FQ","FILING_STATUS=OR","EQY_CONSOLIDATED=Y","Sort=A","Dates=H","DateFormat=P","Fill=—","Direction=H","UseDPDF=Y")</f>
        <v>#NAME?</v>
      </c>
      <c r="BP35" s="1" t="e">
        <f ca="1">_xll.BDH($C$28,"MODIFIED_WORKING_CPTL_SEQ_GRWTH","FQ2 2015","FQ2 2015","Currency=INR","Period=FQ","BEST_FPERIOD_OVERRIDE=FQ","FILING_STATUS=OR","EQY_CONSOLIDATED=Y","Sort=A","Dates=H","DateFormat=P","Fill=—","Direction=H","UseDPDF=Y")</f>
        <v>#NAME?</v>
      </c>
      <c r="BQ35" s="1" t="e">
        <f ca="1">_xll.BDH($C$28,"WORKING_CAPITAL_SEQ_GROWTH","FQ2 2015","FQ2 2015","Currency=INR","Period=FQ","BEST_FPERIOD_OVERRIDE=FQ","FILING_STATUS=OR","EQY_CONSOLIDATED=Y","Sort=A","Dates=H","DateFormat=P","Fill=—","Direction=H","UseDPDF=Y")</f>
        <v>#NAME?</v>
      </c>
      <c r="BR35" s="1" t="e">
        <f ca="1">_xll.BDH($C$28,"ACCOUNTS_PAYABLE_SEQ_GROWTH","FQ2 2015","FQ2 2015","Currency=INR","Period=FQ","BEST_FPERIOD_OVERRIDE=FQ","FILING_STATUS=OR","EQY_CONSOLIDATED=Y","Sort=A","Dates=H","DateFormat=P","Fill=—","Direction=H","UseDPDF=Y")</f>
        <v>#NAME?</v>
      </c>
      <c r="BS35" s="1" t="e">
        <f ca="1">_xll.BDH($C$28,"ST_DEBT_SEQUENTIAL_GROWTH","FQ2 2015","FQ2 2015","Currency=INR","Period=FQ","BEST_FPERIOD_OVERRIDE=FQ","FILING_STATUS=OR","EQY_CONSOLIDATED=Y","Sort=A","Dates=H","DateFormat=P","Fill=—","Direction=H","UseDPDF=Y")</f>
        <v>#NAME?</v>
      </c>
      <c r="BT35" s="1" t="e">
        <f ca="1">_xll.BDH($C$28,"TOTAL_DEBT_SEQUENTIAL_GROWTH","FQ2 2015","FQ2 2015","Currency=INR","Period=FQ","BEST_FPERIOD_OVERRIDE=FQ","FILING_STATUS=OR","EQY_CONSOLIDATED=Y","Sort=A","Dates=H","DateFormat=P","Fill=—","Direction=H","UseDPDF=Y")</f>
        <v>#NAME?</v>
      </c>
      <c r="BU35" s="1" t="e">
        <f ca="1">_xll.BDH($C$28,"TOTAL_EQUITY_SEQUENTIAL_GROWTH","FQ2 2015","FQ2 2015","Currency=INR","Period=FQ","BEST_FPERIOD_OVERRIDE=FQ","FILING_STATUS=OR","EQY_CONSOLIDATED=Y","Sort=A","Dates=H","DateFormat=P","Fill=—","Direction=H","UseDPDF=Y")</f>
        <v>#NAME?</v>
      </c>
      <c r="BV35" s="1" t="e">
        <f ca="1">_xll.BDH($C$28,"TOTAL_CAPITAL_SEQUENTIAL_GROWTH","FQ2 2015","FQ2 2015","Currency=INR","Period=FQ","BEST_FPERIOD_OVERRIDE=FQ","FILING_STATUS=OR","EQY_CONSOLIDATED=Y","Sort=A","Dates=H","DateFormat=P","Fill=—","Direction=H","UseDPDF=Y")</f>
        <v>#NAME?</v>
      </c>
      <c r="BW35" s="1" t="e">
        <f ca="1">_xll.BDH($C$28,"BPS_SEQUENTIAL_GROWTH","FQ2 2015","FQ2 2015","Currency=INR","Period=FQ","BEST_FPERIOD_OVERRIDE=FQ","FILING_STATUS=OR","EQY_CONSOLIDATED=Y","Sort=A","Dates=H","DateFormat=P","Fill=—","Direction=H","UseDPDF=Y")</f>
        <v>#NAME?</v>
      </c>
      <c r="BX35" s="1" t="e">
        <f ca="1">_xll.BDH($C$28,"CFO_SEQUENTIAL_GROWTH","FQ2 2015","FQ2 2015","Currency=INR","Period=FQ","BEST_FPERIOD_OVERRIDE=FQ","FILING_STATUS=OR","EQY_CONSOLIDATED=Y","Sort=A","Dates=H","DateFormat=P","Fill=—","Direction=H","UseDPDF=Y")</f>
        <v>#NAME?</v>
      </c>
      <c r="BY35" s="2" t="e">
        <f ca="1">_xll.BDH($C$28,"SHORT_AND_LONG_TERM_DEBT","FQ2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5" s="2" t="e">
        <f ca="1">_xll.BDH($C$28,"BS_ST_BORROW","FQ2 2015","FQ2 2015","Currency=INR","Period=FQ","BEST_FPERIOD_OVERRIDE=FQ","FILING_STATUS=OR","EQY_CONSOLIDATED=Y","SCALING_FORMAT=MLN","Sort=A","Dates=H","DateFormat=P","Fill=—","Direction=H","UseDPDF=Y")</f>
        <v>#NAME?</v>
      </c>
      <c r="CA35" s="2" t="e">
        <f ca="1">_xll.BDH($C$28,"BS_LT_BORROW","FQ2 2015","FQ2 2015","Currency=INR","Period=FQ","BEST_FPERIOD_OVERRIDE=FQ","FILING_STATUS=OR","EQY_CONSOLIDATED=Y","SCALING_FORMAT=MLN","Sort=A","Dates=H","DateFormat=P","Fill=—","Direction=H","UseDPDF=Y")</f>
        <v>#NAME?</v>
      </c>
      <c r="CB35" s="1" t="e">
        <f ca="1">_xll.BDH($C$28,"TOT_DEBT_TO_EBITDA","FQ2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5" s="1" t="e">
        <f ca="1">_xll.BDH($C$28,"NET_DEBT_TO_EBITDA","FQ2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5" s="1" t="e">
        <f ca="1">_xll.BDH($C$28,"TOTAL_DEBT_TO_EBIT","FQ2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5" s="1" t="e">
        <f ca="1">_xll.BDH($C$28,"NET_DEBT_TO_EBIT","FQ2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35" s="1" t="e">
        <f ca="1">_xll.BDH($C$28,"EBITDA_TO_INTEREST_EXPN","FQ2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5" s="1" t="e">
        <f ca="1">_xll.BDH($C$28,"COM_EQY_TO_TOT_ASSET","FQ2 2015","FQ2 2015","Currency=INR","Period=FQ","BEST_FPERIOD_OVERRIDE=FQ","FILING_STATUS=OR","EQY_CONSOLIDATED=Y","Sort=A","Dates=H","DateFormat=P","Fill=—","Direction=H","UseDPDF=Y")</f>
        <v>#NAME?</v>
      </c>
      <c r="CH35" s="1" t="e">
        <f ca="1">_xll.BDH($C$28,"LT_DEBT_TO_TOT_EQY","FQ2 2015","FQ2 2015","Currency=INR","Period=FQ","BEST_FPERIOD_OVERRIDE=FQ","FILING_STATUS=OR","EQY_CONSOLIDATED=Y","Sort=A","Dates=H","DateFormat=P","Fill=—","Direction=H","UseDPDF=Y")</f>
        <v>#NAME?</v>
      </c>
      <c r="CI35" s="1" t="e">
        <f ca="1">_xll.BDH($C$28,"LT_DEBT_TO_TOT_CAP","FQ2 2015","FQ2 2015","Currency=INR","Period=FQ","BEST_FPERIOD_OVERRIDE=FQ","FILING_STATUS=OR","EQY_CONSOLIDATED=Y","Sort=A","Dates=H","DateFormat=P","Fill=—","Direction=H","UseDPDF=Y")</f>
        <v>#NAME?</v>
      </c>
      <c r="CJ35" s="1" t="e">
        <f ca="1">_xll.BDH($C$28,"LT_DEBT_TO_TOT_ASSET","FQ2 2015","FQ2 2015","Currency=INR","Period=FQ","BEST_FPERIOD_OVERRIDE=FQ","FILING_STATUS=OR","EQY_CONSOLIDATED=Y","Sort=A","Dates=H","DateFormat=P","Fill=—","Direction=H","UseDPDF=Y")</f>
        <v>#NAME?</v>
      </c>
      <c r="CK35" s="1" t="e">
        <f ca="1">_xll.BDH($C$28,"TOT_DEBT_TO_TOT_EQY","FQ2 2015","FQ2 2015","Currency=INR","Period=FQ","BEST_FPERIOD_OVERRIDE=FQ","FILING_STATUS=OR","EQY_CONSOLIDATED=Y","Sort=A","Dates=H","DateFormat=P","Fill=—","Direction=H","UseDPDF=Y")</f>
        <v>#NAME?</v>
      </c>
      <c r="CL35" s="1" t="e">
        <f ca="1">_xll.BDH($C$28,"TOT_DEBT_TO_TOT_CAP","FQ2 2015","FQ2 2015","Currency=INR","Period=FQ","BEST_FPERIOD_OVERRIDE=FQ","FILING_STATUS=OR","EQY_CONSOLIDATED=Y","Sort=A","Dates=H","DateFormat=P","Fill=—","Direction=H","UseDPDF=Y")</f>
        <v>#NAME?</v>
      </c>
      <c r="CM35" s="1" t="e">
        <f ca="1">_xll.BDH($C$28,"TOT_DEBT_TO_TOT_ASSET","FQ2 2015","FQ2 2015","Currency=INR","Period=FQ","BEST_FPERIOD_OVERRIDE=FQ","FILING_STATUS=OR","EQY_CONSOLIDATED=Y","Sort=A","Dates=H","DateFormat=P","Fill=—","Direction=H","UseDPDF=Y")</f>
        <v>#NAME?</v>
      </c>
      <c r="CN35" s="1" t="e">
        <f ca="1">_xll.BDH($C$28,"NET_DEBT_TO_SHRHLDR_EQTY","FQ2 2015","FQ2 2015","Currency=INR","Period=FQ","BEST_FPERIOD_OVERRIDE=FQ","FILING_STATUS=OR","EQY_CONSOLIDATED=Y","Sort=A","Dates=H","DateFormat=P","Fill=—","Direction=H","UseDPDF=Y")</f>
        <v>#NAME?</v>
      </c>
      <c r="CO35" s="1" t="e">
        <f ca="1">_xll.BDH($C$28,"NET_DEBT_%_CAPITAL","FQ2 2015","FQ2 2015","Currency=INR","Period=FQ","BEST_FPERIOD_OVERRIDE=FQ","FILING_STATUS=OR","EQY_CONSOLIDATED=Y","Sort=A","Dates=H","DateFormat=P","Fill=—","Direction=H","UseDPDF=Y")</f>
        <v>#NAME?</v>
      </c>
      <c r="CP35" s="2" t="e">
        <f ca="1">_xll.BDH($C$28,"EBITDA","FQ2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5" s="2" t="e">
        <f ca="1">_xll.BDH($C$28,"EBITDA_AFTER_CAPEX","FQ2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5" s="2" t="e">
        <f ca="1">_xll.BDH($C$28,"IS_OPER_INC","FQ2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5" s="1" t="e">
        <f ca="1">_xll.BDH($C$28,"CASH_RATIO","FQ2 2015","FQ2 2015","Currency=INR","Period=FQ","BEST_FPERIOD_OVERRIDE=FQ","FILING_STATUS=OR","EQY_CONSOLIDATED=Y","Sort=A","Dates=H","DateFormat=P","Fill=—","Direction=H","UseDPDF=Y")</f>
        <v>#NAME?</v>
      </c>
      <c r="CT35" s="1" t="e">
        <f ca="1">_xll.BDH($C$28,"CUR_RATIO","FQ2 2015","FQ2 2015","Currency=INR","Period=FQ","BEST_FPERIOD_OVERRIDE=FQ","FILING_STATUS=OR","EQY_CONSOLIDATED=Y","Sort=A","Dates=H","DateFormat=P","Fill=—","Direction=H","UseDPDF=Y")</f>
        <v>#NAME?</v>
      </c>
      <c r="CU35" s="1" t="e">
        <f ca="1">_xll.BDH($C$28,"QUICK_RATIO","FQ2 2015","FQ2 2015","Currency=INR","Period=FQ","BEST_FPERIOD_OVERRIDE=FQ","FILING_STATUS=OR","EQY_CONSOLIDATED=Y","Sort=A","Dates=H","DateFormat=P","Fill=—","Direction=H","UseDPDF=Y")</f>
        <v>#NAME?</v>
      </c>
      <c r="CV35" s="1" t="e">
        <f ca="1">_xll.BDH($C$28,"ALTMAN_Z_SCORE","FQ2 2015","FQ2 2015","Currency=INR","Period=FQ","BEST_FPERIOD_OVERRIDE=FQ","FILING_STATUS=OR","EQY_CONSOLIDATED=Y","Sort=A","Dates=H","DateFormat=P","Fill=—","Direction=H","UseDPDF=Y")</f>
        <v>#NAME?</v>
      </c>
      <c r="CW35" s="3" t="e">
        <f ca="1">_xll.BDH($C$28,"ACCT_RCV_TURN","FQ2 2015","FQ2 2015","Currency=INR","Period=FQ","BEST_FPERIOD_OVERRIDE=FQ","FILING_STATUS=OR","EQY_CONSOLIDATED=Y","FA_ADJUSTED=GAAP","Sort=A","Dates=H","DateFormat=P","Fill=—","Direction=H","UseDPDF=Y")</f>
        <v>#NAME?</v>
      </c>
      <c r="CX35" s="1" t="e">
        <f ca="1">_xll.BDH($C$28,"ACCT_RCV_DAYS","FQ2 2015","FQ2 2015","Currency=INR","Period=FQ","BEST_FPERIOD_OVERRIDE=FQ","FILING_STATUS=OR","EQY_CONSOLIDATED=Y","FA_ADJUSTED=GAAP","Sort=A","Dates=H","DateFormat=P","Fill=—","Direction=H","UseDPDF=Y")</f>
        <v>#NAME?</v>
      </c>
      <c r="CY35" s="3" t="e">
        <f ca="1">_xll.BDH($C$28,"INVENT_TURN","FQ2 2015","FQ2 2015","Currency=INR","Period=FQ","BEST_FPERIOD_OVERRIDE=FQ","FILING_STATUS=OR","EQY_CONSOLIDATED=Y","FA_ADJUSTED=GAAP","Sort=A","Dates=H","DateFormat=P","Fill=—","Direction=H","UseDPDF=Y")</f>
        <v>#NAME?</v>
      </c>
      <c r="CZ35" s="1" t="e">
        <f ca="1">_xll.BDH($C$28,"INVENT_DAYS","FQ2 2015","FQ2 2015","Currency=INR","Period=FQ","BEST_FPERIOD_OVERRIDE=FQ","FILING_STATUS=OR","EQY_CONSOLIDATED=Y","FA_ADJUSTED=GAAP","Sort=A","Dates=H","DateFormat=P","Fill=—","Direction=H","UseDPDF=Y")</f>
        <v>#NAME?</v>
      </c>
      <c r="DA35" s="3" t="e">
        <f ca="1">_xll.BDH($C$28,"ACCOUNTS_PAYABLE_TURNOVER","FQ2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5" s="1" t="e">
        <f ca="1">_xll.BDH($C$28,"ACCOUNTS_PAYABLE_TURNOVER_DAYS","FQ2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5" s="3" t="e">
        <f ca="1">_xll.BDH($C$28,"CASH_CONVERSION_CYCLE","FQ2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5" s="3" t="e">
        <f ca="1">_xll.BDH($C$28,"INV_TO_CASH_DAYS","FQ2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35" s="4" t="e">
        <f ca="1">_xll.BDH($C$28,"BS_INVENTORIES","FQ2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35" s="2" t="e">
        <f ca="1">_xll.BDH($C$28,"INVTRY_RAW_MATERIALS","FQ2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5" s="2" t="e">
        <f ca="1">_xll.BDH($C$28,"INVTRY_IN_PROGRESS","FQ2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5" s="2" t="e">
        <f ca="1">_xll.BDH($C$28,"INVTRY_FINISHED_GOODS","FQ2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5" s="2" t="e">
        <f ca="1">_xll.BDH($C$28,"BS_OTHER_INV","FQ2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6" spans="1:113" x14ac:dyDescent="0.3">
      <c r="A36" s="6"/>
      <c r="B36" s="6"/>
      <c r="C36" s="6"/>
      <c r="D36" s="6"/>
      <c r="E36" t="s">
        <v>6</v>
      </c>
      <c r="F36" t="e">
        <f ca="1">_xll.BDH($C$28,"RETURN_COM_EQY","FQ3 2015","FQ3 2015","Currency=INR","Period=FQ","BEST_FPERIOD_OVERRIDE=FQ","FILING_STATUS=OR","EQY_CONSOLIDATED=Y","FA_ADJUSTED=GAAP","Sort=A","Dates=H","DateFormat=P","Fill=—","Direction=H","UseDPDF=Y")</f>
        <v>#NAME?</v>
      </c>
      <c r="G36" t="e">
        <f ca="1">_xll.BDH($C$28,"RETURN_ON_ASSET","FQ3 2015","FQ3 2015","Currency=INR","Period=FQ","BEST_FPERIOD_OVERRIDE=FQ","FILING_STATUS=OR","EQY_CONSOLIDATED=Y","FA_ADJUSTED=GAAP","Sort=A","Dates=H","DateFormat=P","Fill=—","Direction=H","UseDPDF=Y")</f>
        <v>#NAME?</v>
      </c>
      <c r="H36" t="e">
        <f ca="1">_xll.BDH($C$28,"RETURN_ON_CAP","FQ3 2015","FQ3 2015","Currency=INR","Period=FQ","BEST_FPERIOD_OVERRIDE=FQ","FILING_STATUS=OR","EQY_CONSOLIDATED=Y","FA_ADJUSTED=GAAP","Sort=A","Dates=H","DateFormat=P","Fill=—","Direction=H","UseDPDF=Y")</f>
        <v>#NAME?</v>
      </c>
      <c r="I36" t="e">
        <f ca="1">_xll.BDH($C$28,"RETURN_ON_INV_CAPITAL","FQ3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6" t="e">
        <f ca="1">_xll.BDH($C$28,"EBITDA_TO_REVENUE","FQ3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36" t="e">
        <f ca="1">_xll.BDH($C$28,"OPER_MARGIN","FQ3 2015","FQ3 2015","Currency=INR","Period=FQ","BEST_FPERIOD_OVERRIDE=FQ","FILING_STATUS=OR","EQY_CONSOLIDATED=Y","FA_ADJUSTED=GAAP","Sort=A","Dates=H","DateFormat=P","Fill=—","Direction=H","UseDPDF=Y")</f>
        <v>#NAME?</v>
      </c>
      <c r="L36" t="e">
        <f ca="1">_xll.BDH($C$28,"INCREMENTAL_OPERATING_MARGIN","FQ3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6" t="e">
        <f ca="1">_xll.BDH($C$28,"PRETAX_INC_TO_NET_SALES","FQ3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6" t="e">
        <f ca="1">_xll.BDH($C$28,"INC_BEF_XO_ITEMS_TO_NET_SALES","FQ3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6" t="e">
        <f ca="1">_xll.BDH($C$28,"PROF_MARGIN","FQ3 2015","FQ3 2015","Currency=INR","Period=FQ","BEST_FPERIOD_OVERRIDE=FQ","FILING_STATUS=OR","EQY_CONSOLIDATED=Y","FA_ADJUSTED=GAAP","Sort=A","Dates=H","DateFormat=P","Fill=—","Direction=H","UseDPDF=Y")</f>
        <v>#NAME?</v>
      </c>
      <c r="P36" t="e">
        <f ca="1">_xll.BDH($C$28,"NET_INCOME_TO_COMMON_MARGIN","FQ3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6" t="e">
        <f ca="1">_xll.BDH($C$28,"EFF_TAX_RATE","FQ3 2015","FQ3 2015","Currency=INR","Period=FQ","BEST_FPERIOD_OVERRIDE=FQ","FILING_STATUS=OR","EQY_CONSOLIDATED=Y","FA_ADJUSTED=GAAP","Sort=A","Dates=H","DateFormat=P","Fill=—","Direction=H","UseDPDF=Y")</f>
        <v>#NAME?</v>
      </c>
      <c r="R36" t="e">
        <f ca="1">_xll.BDH($C$28,"DVD_PAYOUT_RATIO","FQ3 2015","FQ3 2015","Currency=INR","Period=FQ","BEST_FPERIOD_OVERRIDE=FQ","FILING_STATUS=OR","EQY_CONSOLIDATED=Y","FA_ADJUSTED=GAAP","Sort=A","Dates=H","DateFormat=P","Fill=—","Direction=H","UseDPDF=Y")</f>
        <v>#NAME?</v>
      </c>
      <c r="S36" t="e">
        <f ca="1">_xll.BDH($C$28,"SUSTAIN_GROWTH_RT","FQ3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36" s="1" t="e">
        <f ca="1">_xll.BDH($C$28,"SALES_GROWTH","FQ3 2015","FQ3 2015","Currency=INR","Period=FQ","BEST_FPERIOD_OVERRIDE=FQ","FILING_STATUS=OR","EQY_CONSOLIDATED=Y","FA_ADJUSTED=GAAP","Sort=A","Dates=H","DateFormat=P","Fill=—","Direction=H","UseDPDF=Y")</f>
        <v>#NAME?</v>
      </c>
      <c r="U36" s="1" t="e">
        <f ca="1">_xll.BDH($C$28,"EBITDA_GROWTH","FQ3 2015","FQ3 2015","Currency=INR","Period=FQ","BEST_FPERIOD_OVERRIDE=FQ","FILING_STATUS=OR","EQY_CONSOLIDATED=Y","FA_ADJUSTED=GAAP","Sort=A","Dates=H","DateFormat=P","Fill=—","Direction=H","UseDPDF=Y")</f>
        <v>#NAME?</v>
      </c>
      <c r="V36" s="1" t="e">
        <f ca="1">_xll.BDH($C$28,"OPER_INC_GROWTH","FQ3 2015","FQ3 2015","Currency=INR","Period=FQ","BEST_FPERIOD_OVERRIDE=FQ","FILING_STATUS=OR","EQY_CONSOLIDATED=Y","FA_ADJUSTED=GAAP","Sort=A","Dates=H","DateFormat=P","Fill=—","Direction=H","UseDPDF=Y")</f>
        <v>#NAME?</v>
      </c>
      <c r="W36" s="1" t="e">
        <f ca="1">_xll.BDH($C$28,"EARN_FOR_COM_GROWTH","FQ3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6" s="1" t="e">
        <f ca="1">_xll.BDH($C$28,"DILUTED_EPS_AFT_XO_ITEMS_GROWTH","FQ3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6" s="1" t="e">
        <f ca="1">_xll.BDH($C$28,"DIVIDEND_PER_SHARE_1_YEAR_GROWTH","FQ3 2015","FQ3 2015","Currency=INR","Period=FQ","BEST_FPERIOD_OVERRIDE=FQ","FILING_STATUS=OR","EQY_CONSOLIDATED=Y","Sort=A","Dates=H","DateFormat=P","Fill=—","Direction=H","UseDPDF=Y")</f>
        <v>#NAME?</v>
      </c>
      <c r="Z36" s="1" t="e">
        <f ca="1">_xll.BDH($C$28,"ACCOUNTS_RECEIVABLE_GROWTH","FQ3 2015","FQ3 2015","Currency=INR","Period=FQ","BEST_FPERIOD_OVERRIDE=FQ","FILING_STATUS=OR","EQY_CONSOLIDATED=Y","Sort=A","Dates=H","DateFormat=P","Fill=—","Direction=H","UseDPDF=Y")</f>
        <v>#NAME?</v>
      </c>
      <c r="AA36" s="1" t="e">
        <f ca="1">_xll.BDH($C$28,"INVENTORY_GROWTH","FQ3 2015","FQ3 2015","Currency=INR","Period=FQ","BEST_FPERIOD_OVERRIDE=FQ","FILING_STATUS=OR","EQY_CONSOLIDATED=Y","Sort=A","Dates=H","DateFormat=P","Fill=—","Direction=H","UseDPDF=Y")</f>
        <v>#NAME?</v>
      </c>
      <c r="AB36" s="1" t="e">
        <f ca="1">_xll.BDH($C$28,"NET_FIXED_ASSETS_1_YEAR_GROWTH","FQ3 2015","FQ3 2015","Currency=INR","Period=FQ","BEST_FPERIOD_OVERRIDE=FQ","FILING_STATUS=OR","EQY_CONSOLIDATED=Y","Sort=A","Dates=H","DateFormat=P","Fill=—","Direction=H","UseDPDF=Y")</f>
        <v>#NAME?</v>
      </c>
      <c r="AC36" s="1" t="e">
        <f ca="1">_xll.BDH($C$28,"ASSET_GROWTH","FQ3 2015","FQ3 2015","Currency=INR","Period=FQ","BEST_FPERIOD_OVERRIDE=FQ","FILING_STATUS=OR","EQY_CONSOLIDATED=Y","Sort=A","Dates=H","DateFormat=P","Fill=—","Direction=H","UseDPDF=Y")</f>
        <v>#NAME?</v>
      </c>
      <c r="AD36" s="1" t="e">
        <f ca="1">_xll.BDH($C$28,"MODIFIED_WORK_CAP_GROWTH","FQ3 2015","FQ3 2015","Currency=INR","Period=FQ","BEST_FPERIOD_OVERRIDE=FQ","FILING_STATUS=OR","EQY_CONSOLIDATED=Y","Sort=A","Dates=H","DateFormat=P","Fill=—","Direction=H","UseDPDF=Y")</f>
        <v>#NAME?</v>
      </c>
      <c r="AE36" s="1" t="e">
        <f ca="1">_xll.BDH($C$28,"WORK_CAP_GROWTH","FQ3 2015","FQ3 2015","Currency=INR","Period=FQ","BEST_FPERIOD_OVERRIDE=FQ","FILING_STATUS=OR","EQY_CONSOLIDATED=Y","Sort=A","Dates=H","DateFormat=P","Fill=—","Direction=H","UseDPDF=Y")</f>
        <v>#NAME?</v>
      </c>
      <c r="AF36" s="1" t="e">
        <f ca="1">_xll.BDH($C$28,"ACCOUNTS_PAYABLE_GROWTH_1YR","FQ3 2015","FQ3 2015","Currency=INR","Period=FQ","BEST_FPERIOD_OVERRIDE=FQ","FILING_STATUS=OR","EQY_CONSOLIDATED=Y","Sort=A","Dates=H","DateFormat=P","Fill=—","Direction=H","UseDPDF=Y")</f>
        <v>#NAME?</v>
      </c>
      <c r="AG36" s="1" t="e">
        <f ca="1">_xll.BDH($C$28,"SHORT_TERM_DEBT_1_YEAR_GROWTH","FQ3 2015","FQ3 2015","Currency=INR","Period=FQ","BEST_FPERIOD_OVERRIDE=FQ","FILING_STATUS=OR","EQY_CONSOLIDATED=Y","Sort=A","Dates=H","DateFormat=P","Fill=—","Direction=H","UseDPDF=Y")</f>
        <v>#NAME?</v>
      </c>
      <c r="AH36" s="1" t="e">
        <f ca="1">_xll.BDH($C$28,"TOTAL_DEBT_1_YEAR_GROWTH","FQ3 2015","FQ3 2015","Currency=INR","Period=FQ","BEST_FPERIOD_OVERRIDE=FQ","FILING_STATUS=OR","EQY_CONSOLIDATED=Y","Sort=A","Dates=H","DateFormat=P","Fill=—","Direction=H","UseDPDF=Y")</f>
        <v>#NAME?</v>
      </c>
      <c r="AI36" s="1" t="e">
        <f ca="1">_xll.BDH($C$28,"TOTAL_EQUITY_1_YEAR_GROWTH","FQ3 2015","FQ3 2015","Currency=INR","Period=FQ","BEST_FPERIOD_OVERRIDE=FQ","FILING_STATUS=OR","EQY_CONSOLIDATED=Y","Sort=A","Dates=H","DateFormat=P","Fill=—","Direction=H","UseDPDF=Y")</f>
        <v>#NAME?</v>
      </c>
      <c r="AJ36" s="1" t="e">
        <f ca="1">_xll.BDH($C$28,"GROWTH_IN_CAP","FQ3 2015","FQ3 2015","Currency=INR","Period=FQ","BEST_FPERIOD_OVERRIDE=FQ","FILING_STATUS=OR","EQY_CONSOLIDATED=Y","Sort=A","Dates=H","DateFormat=P","Fill=—","Direction=H","UseDPDF=Y")</f>
        <v>#NAME?</v>
      </c>
      <c r="AK36" s="1" t="e">
        <f ca="1">_xll.BDH($C$28,"BVPS_GROWTH","FQ3 2015","FQ3 2015","Currency=INR","Period=FQ","BEST_FPERIOD_OVERRIDE=FQ","FILING_STATUS=OR","EQY_CONSOLIDATED=Y","Sort=A","Dates=H","DateFormat=P","Fill=—","Direction=H","UseDPDF=Y")</f>
        <v>#NAME?</v>
      </c>
      <c r="AL36" s="1" t="e">
        <f ca="1">_xll.BDH($C$28,"CASH_FLOW_GROWTH","FQ3 2015","FQ3 2015","Currency=INR","Period=FQ","BEST_FPERIOD_OVERRIDE=FQ","FILING_STATUS=OR","EQY_CONSOLIDATED=Y","Sort=A","Dates=H","DateFormat=P","Fill=—","Direction=H","UseDPDF=Y")</f>
        <v>#NAME?</v>
      </c>
      <c r="AM36" s="1" t="e">
        <f ca="1">_xll.BDH($C$28,"GEO_GROW_NET_SALES","FQ3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6" s="1" t="e">
        <f ca="1">_xll.BDH($C$28,"GEO_GROW_EBITDA","FQ3 2015","FQ3 2015","Currency=INR","Period=FQ","BEST_FPERIOD_OVERRIDE=FQ","FILING_STATUS=OR","EQY_CONSOLIDATED=Y","FA_ADJUSTED=GAAP","Sort=A","Dates=H","DateFormat=P","Fill=—","Direction=H","UseDPDF=Y")</f>
        <v>#NAME?</v>
      </c>
      <c r="AO36" s="1" t="e">
        <f ca="1">_xll.BDH($C$28,"GEO_GROW_OPER_INC","FQ3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6" s="1" t="e">
        <f ca="1">_xll.BDH($C$28,"NET_INCOME_TO_COMMON_5_YR_GROWTH","FQ3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6" s="1" t="e">
        <f ca="1">_xll.BDH($C$28,"5Y_GEO_GROWTH_DILUTED_EPS","FQ3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6" s="1" t="e">
        <f ca="1">_xll.BDH($C$28,"GEO_GROW_DVD_PER_SH","FQ3 2015","FQ3 2015","Currency=INR","Period=FQ","BEST_FPERIOD_OVERRIDE=FQ","FILING_STATUS=OR","EQY_CONSOLIDATED=Y","Sort=A","Dates=H","DateFormat=P","Fill=—","Direction=H","UseDPDF=Y")</f>
        <v>#NAME?</v>
      </c>
      <c r="AS36" s="1" t="e">
        <f ca="1">_xll.BDH($C$28,"ACCOUNTS_RECEIVABLE_5_YR_GROWTH","FQ3 2015","FQ3 2015","Currency=INR","Period=FQ","BEST_FPERIOD_OVERRIDE=FQ","FILING_STATUS=OR","EQY_CONSOLIDATED=Y","Sort=A","Dates=H","DateFormat=P","Fill=—","Direction=H","UseDPDF=Y")</f>
        <v>#NAME?</v>
      </c>
      <c r="AT36" s="1" t="e">
        <f ca="1">_xll.BDH($C$28,"INVENTORY_5_YEAR_GROWTH","FQ3 2015","FQ3 2015","Currency=INR","Period=FQ","BEST_FPERIOD_OVERRIDE=FQ","FILING_STATUS=OR","EQY_CONSOLIDATED=Y","Sort=A","Dates=H","DateFormat=P","Fill=—","Direction=H","UseDPDF=Y")</f>
        <v>#NAME?</v>
      </c>
      <c r="AU36" s="1" t="e">
        <f ca="1">_xll.BDH($C$28,"NET_FIXED_ASSETS_5_YEAR_GROWTH","FQ3 2015","FQ3 2015","Currency=INR","Period=FQ","BEST_FPERIOD_OVERRIDE=FQ","FILING_STATUS=OR","EQY_CONSOLIDATED=Y","Sort=A","Dates=H","DateFormat=P","Fill=—","Direction=H","UseDPDF=Y")</f>
        <v>#NAME?</v>
      </c>
      <c r="AV36" s="1" t="e">
        <f ca="1">_xll.BDH($C$28,"GEO_GROW_TOT_ASSET","FQ3 2015","FQ3 2015","Currency=INR","Period=FQ","BEST_FPERIOD_OVERRIDE=FQ","FILING_STATUS=OR","EQY_CONSOLIDATED=Y","Sort=A","Dates=H","DateFormat=P","Fill=—","Direction=H","UseDPDF=Y")</f>
        <v>#NAME?</v>
      </c>
      <c r="AW36" s="1" t="e">
        <f ca="1">_xll.BDH($C$28,"MODIFIED_WORKING_CPTL_5YR_GRWTH","FQ3 2015","FQ3 2015","Currency=INR","Period=FQ","BEST_FPERIOD_OVERRIDE=FQ","FILING_STATUS=OR","EQY_CONSOLIDATED=Y","Sort=A","Dates=H","DateFormat=P","Fill=—","Direction=H","UseDPDF=Y")</f>
        <v>#NAME?</v>
      </c>
      <c r="AX36" s="1" t="e">
        <f ca="1">_xll.BDH($C$28,"WORKING_CAPITAL_5_YEAR_GROWTH","FQ3 2015","FQ3 2015","Currency=INR","Period=FQ","BEST_FPERIOD_OVERRIDE=FQ","FILING_STATUS=OR","EQY_CONSOLIDATED=Y","Sort=A","Dates=H","DateFormat=P","Fill=—","Direction=H","UseDPDF=Y")</f>
        <v>#NAME?</v>
      </c>
      <c r="AY36" s="1" t="e">
        <f ca="1">_xll.BDH($C$28,"ACCOUNTS_PAYABLE_5_YEAR_GROWTH","FQ3 2015","FQ3 2015","Currency=INR","Period=FQ","BEST_FPERIOD_OVERRIDE=FQ","FILING_STATUS=OR","EQY_CONSOLIDATED=Y","Sort=A","Dates=H","DateFormat=P","Fill=—","Direction=H","UseDPDF=Y")</f>
        <v>#NAME?</v>
      </c>
      <c r="AZ36" s="1" t="e">
        <f ca="1">_xll.BDH($C$28,"SHORT_TERM_DEBT_5_YEAR_GROWTH","FQ3 2015","FQ3 2015","Currency=INR","Period=FQ","BEST_FPERIOD_OVERRIDE=FQ","FILING_STATUS=OR","EQY_CONSOLIDATED=Y","Sort=A","Dates=H","DateFormat=P","Fill=—","Direction=H","UseDPDF=Y")</f>
        <v>#NAME?</v>
      </c>
      <c r="BA36" s="1" t="e">
        <f ca="1">_xll.BDH($C$28,"TOTAL_DEBT_5_YEAR_GROWTH","FQ3 2015","FQ3 2015","Currency=INR","Period=FQ","BEST_FPERIOD_OVERRIDE=FQ","FILING_STATUS=OR","EQY_CONSOLIDATED=Y","Sort=A","Dates=H","DateFormat=P","Fill=—","Direction=H","UseDPDF=Y")</f>
        <v>#NAME?</v>
      </c>
      <c r="BB36" s="1" t="e">
        <f ca="1">_xll.BDH($C$28,"GEO_GROW_TOT_SHRHLDR_EQY","FQ3 2015","FQ3 2015","Currency=INR","Period=FQ","BEST_FPERIOD_OVERRIDE=FQ","FILING_STATUS=OR","EQY_CONSOLIDATED=Y","Sort=A","Dates=H","DateFormat=P","Fill=—","Direction=H","UseDPDF=Y")</f>
        <v>#NAME?</v>
      </c>
      <c r="BC36" s="1" t="e">
        <f ca="1">_xll.BDH($C$28,"TOTAL_CAPITAL_5_YEAR_GROWTH","FQ3 2015","FQ3 2015","Currency=INR","Period=FQ","BEST_FPERIOD_OVERRIDE=FQ","FILING_STATUS=OR","EQY_CONSOLIDATED=Y","Sort=A","Dates=H","DateFormat=P","Fill=—","Direction=H","UseDPDF=Y")</f>
        <v>#NAME?</v>
      </c>
      <c r="BD36" s="1" t="e">
        <f ca="1">_xll.BDH($C$28,"GEO_GROW_BOOK_VAL","FQ3 2015","FQ3 2015","Currency=INR","Period=FQ","BEST_FPERIOD_OVERRIDE=FQ","FILING_STATUS=OR","EQY_CONSOLIDATED=Y","Sort=A","Dates=H","DateFormat=P","Fill=—","Direction=H","UseDPDF=Y")</f>
        <v>#NAME?</v>
      </c>
      <c r="BE36" s="1" t="e">
        <f ca="1">_xll.BDH($C$28,"GEO_GROW_CASH_OPER_ACT","FQ3 2015","FQ3 2015","Currency=INR","Period=FQ","BEST_FPERIOD_OVERRIDE=FQ","FILING_STATUS=OR","EQY_CONSOLIDATED=Y","Sort=A","Dates=H","DateFormat=P","Fill=—","Direction=H","UseDPDF=Y")</f>
        <v>#NAME?</v>
      </c>
      <c r="BF36" s="1" t="e">
        <f ca="1">_xll.BDH($C$28,"REVENUE_SEQUENTIAL_GROWTH","FQ3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6" s="1" t="e">
        <f ca="1">_xll.BDH($C$28,"EBITDA_SEQUENTIAL_GROWTH","FQ3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6" s="1" t="e">
        <f ca="1">_xll.BDH($C$28,"OPERATING_INCOME_SEQ_GROWTH","FQ3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6" s="1" t="e">
        <f ca="1">_xll.BDH($C$28,"NET_INCOME_TO_COMMON_SEQ_GROWTH","FQ3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6" s="1" t="e">
        <f ca="1">_xll.BDH($C$28,"EPS_DILUTED_SEQUENTIAL_GROWTH","FQ3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6" s="1" t="e">
        <f ca="1">_xll.BDH($C$28,"DPS_SEQUENTIAL_GROWTH","FQ3 2015","FQ3 2015","Currency=INR","Period=FQ","BEST_FPERIOD_OVERRIDE=FQ","FILING_STATUS=OR","EQY_CONSOLIDATED=Y","Sort=A","Dates=H","DateFormat=P","Fill=—","Direction=H","UseDPDF=Y")</f>
        <v>#NAME?</v>
      </c>
      <c r="BL36" s="1" t="e">
        <f ca="1">_xll.BDH($C$28,"ACCOUNTS_RECEIVABLE_SEQ_GROWTH","FQ3 2015","FQ3 2015","Currency=INR","Period=FQ","BEST_FPERIOD_OVERRIDE=FQ","FILING_STATUS=OR","EQY_CONSOLIDATED=Y","Sort=A","Dates=H","DateFormat=P","Fill=—","Direction=H","UseDPDF=Y")</f>
        <v>#NAME?</v>
      </c>
      <c r="BM36" s="1" t="e">
        <f ca="1">_xll.BDH($C$28,"INVENTORY_SEQUENTIAL_GROWTH","FQ3 2015","FQ3 2015","Currency=INR","Period=FQ","BEST_FPERIOD_OVERRIDE=FQ","FILING_STATUS=OR","EQY_CONSOLIDATED=Y","Sort=A","Dates=H","DateFormat=P","Fill=—","Direction=H","UseDPDF=Y")</f>
        <v>#NAME?</v>
      </c>
      <c r="BN36" s="1" t="e">
        <f ca="1">_xll.BDH($C$28,"FIXED_ASSETS_SEQUENTIAL_GROWTH","FQ3 2015","FQ3 2015","Currency=INR","Period=FQ","BEST_FPERIOD_OVERRIDE=FQ","FILING_STATUS=OR","EQY_CONSOLIDATED=Y","Sort=A","Dates=H","DateFormat=P","Fill=—","Direction=H","UseDPDF=Y")</f>
        <v>#NAME?</v>
      </c>
      <c r="BO36" s="1" t="e">
        <f ca="1">_xll.BDH($C$28,"TOTAL_ASSETS_SEQUENTIAL_GROWTH","FQ3 2015","FQ3 2015","Currency=INR","Period=FQ","BEST_FPERIOD_OVERRIDE=FQ","FILING_STATUS=OR","EQY_CONSOLIDATED=Y","Sort=A","Dates=H","DateFormat=P","Fill=—","Direction=H","UseDPDF=Y")</f>
        <v>#NAME?</v>
      </c>
      <c r="BP36" s="1" t="e">
        <f ca="1">_xll.BDH($C$28,"MODIFIED_WORKING_CPTL_SEQ_GRWTH","FQ3 2015","FQ3 2015","Currency=INR","Period=FQ","BEST_FPERIOD_OVERRIDE=FQ","FILING_STATUS=OR","EQY_CONSOLIDATED=Y","Sort=A","Dates=H","DateFormat=P","Fill=—","Direction=H","UseDPDF=Y")</f>
        <v>#NAME?</v>
      </c>
      <c r="BQ36" s="1" t="e">
        <f ca="1">_xll.BDH($C$28,"WORKING_CAPITAL_SEQ_GROWTH","FQ3 2015","FQ3 2015","Currency=INR","Period=FQ","BEST_FPERIOD_OVERRIDE=FQ","FILING_STATUS=OR","EQY_CONSOLIDATED=Y","Sort=A","Dates=H","DateFormat=P","Fill=—","Direction=H","UseDPDF=Y")</f>
        <v>#NAME?</v>
      </c>
      <c r="BR36" s="1" t="e">
        <f ca="1">_xll.BDH($C$28,"ACCOUNTS_PAYABLE_SEQ_GROWTH","FQ3 2015","FQ3 2015","Currency=INR","Period=FQ","BEST_FPERIOD_OVERRIDE=FQ","FILING_STATUS=OR","EQY_CONSOLIDATED=Y","Sort=A","Dates=H","DateFormat=P","Fill=—","Direction=H","UseDPDF=Y")</f>
        <v>#NAME?</v>
      </c>
      <c r="BS36" s="1" t="e">
        <f ca="1">_xll.BDH($C$28,"ST_DEBT_SEQUENTIAL_GROWTH","FQ3 2015","FQ3 2015","Currency=INR","Period=FQ","BEST_FPERIOD_OVERRIDE=FQ","FILING_STATUS=OR","EQY_CONSOLIDATED=Y","Sort=A","Dates=H","DateFormat=P","Fill=—","Direction=H","UseDPDF=Y")</f>
        <v>#NAME?</v>
      </c>
      <c r="BT36" s="1" t="e">
        <f ca="1">_xll.BDH($C$28,"TOTAL_DEBT_SEQUENTIAL_GROWTH","FQ3 2015","FQ3 2015","Currency=INR","Period=FQ","BEST_FPERIOD_OVERRIDE=FQ","FILING_STATUS=OR","EQY_CONSOLIDATED=Y","Sort=A","Dates=H","DateFormat=P","Fill=—","Direction=H","UseDPDF=Y")</f>
        <v>#NAME?</v>
      </c>
      <c r="BU36" s="1" t="e">
        <f ca="1">_xll.BDH($C$28,"TOTAL_EQUITY_SEQUENTIAL_GROWTH","FQ3 2015","FQ3 2015","Currency=INR","Period=FQ","BEST_FPERIOD_OVERRIDE=FQ","FILING_STATUS=OR","EQY_CONSOLIDATED=Y","Sort=A","Dates=H","DateFormat=P","Fill=—","Direction=H","UseDPDF=Y")</f>
        <v>#NAME?</v>
      </c>
      <c r="BV36" s="1" t="e">
        <f ca="1">_xll.BDH($C$28,"TOTAL_CAPITAL_SEQUENTIAL_GROWTH","FQ3 2015","FQ3 2015","Currency=INR","Period=FQ","BEST_FPERIOD_OVERRIDE=FQ","FILING_STATUS=OR","EQY_CONSOLIDATED=Y","Sort=A","Dates=H","DateFormat=P","Fill=—","Direction=H","UseDPDF=Y")</f>
        <v>#NAME?</v>
      </c>
      <c r="BW36" s="1" t="e">
        <f ca="1">_xll.BDH($C$28,"BPS_SEQUENTIAL_GROWTH","FQ3 2015","FQ3 2015","Currency=INR","Period=FQ","BEST_FPERIOD_OVERRIDE=FQ","FILING_STATUS=OR","EQY_CONSOLIDATED=Y","Sort=A","Dates=H","DateFormat=P","Fill=—","Direction=H","UseDPDF=Y")</f>
        <v>#NAME?</v>
      </c>
      <c r="BX36" s="1" t="e">
        <f ca="1">_xll.BDH($C$28,"CFO_SEQUENTIAL_GROWTH","FQ3 2015","FQ3 2015","Currency=INR","Period=FQ","BEST_FPERIOD_OVERRIDE=FQ","FILING_STATUS=OR","EQY_CONSOLIDATED=Y","Sort=A","Dates=H","DateFormat=P","Fill=—","Direction=H","UseDPDF=Y")</f>
        <v>#NAME?</v>
      </c>
      <c r="BY36" s="2" t="e">
        <f ca="1">_xll.BDH($C$28,"SHORT_AND_LONG_TERM_DEBT","FQ3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6" s="2" t="e">
        <f ca="1">_xll.BDH($C$28,"BS_ST_BORROW","FQ3 2015","FQ3 2015","Currency=INR","Period=FQ","BEST_FPERIOD_OVERRIDE=FQ","FILING_STATUS=OR","EQY_CONSOLIDATED=Y","SCALING_FORMAT=MLN","Sort=A","Dates=H","DateFormat=P","Fill=—","Direction=H","UseDPDF=Y")</f>
        <v>#NAME?</v>
      </c>
      <c r="CA36" s="2" t="e">
        <f ca="1">_xll.BDH($C$28,"BS_LT_BORROW","FQ3 2015","FQ3 2015","Currency=INR","Period=FQ","BEST_FPERIOD_OVERRIDE=FQ","FILING_STATUS=OR","EQY_CONSOLIDATED=Y","SCALING_FORMAT=MLN","Sort=A","Dates=H","DateFormat=P","Fill=—","Direction=H","UseDPDF=Y")</f>
        <v>#NAME?</v>
      </c>
      <c r="CB36" s="1" t="e">
        <f ca="1">_xll.BDH($C$28,"TOT_DEBT_TO_EBITDA","FQ3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6" s="1" t="e">
        <f ca="1">_xll.BDH($C$28,"NET_DEBT_TO_EBITDA","FQ3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6" s="1" t="e">
        <f ca="1">_xll.BDH($C$28,"TOTAL_DEBT_TO_EBIT","FQ3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6" s="1" t="e">
        <f ca="1">_xll.BDH($C$28,"NET_DEBT_TO_EBIT","FQ3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36" s="1" t="e">
        <f ca="1">_xll.BDH($C$28,"EBITDA_TO_INTEREST_EXPN","FQ3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6" s="1" t="e">
        <f ca="1">_xll.BDH($C$28,"COM_EQY_TO_TOT_ASSET","FQ3 2015","FQ3 2015","Currency=INR","Period=FQ","BEST_FPERIOD_OVERRIDE=FQ","FILING_STATUS=OR","EQY_CONSOLIDATED=Y","Sort=A","Dates=H","DateFormat=P","Fill=—","Direction=H","UseDPDF=Y")</f>
        <v>#NAME?</v>
      </c>
      <c r="CH36" s="1" t="e">
        <f ca="1">_xll.BDH($C$28,"LT_DEBT_TO_TOT_EQY","FQ3 2015","FQ3 2015","Currency=INR","Period=FQ","BEST_FPERIOD_OVERRIDE=FQ","FILING_STATUS=OR","EQY_CONSOLIDATED=Y","Sort=A","Dates=H","DateFormat=P","Fill=—","Direction=H","UseDPDF=Y")</f>
        <v>#NAME?</v>
      </c>
      <c r="CI36" s="1" t="e">
        <f ca="1">_xll.BDH($C$28,"LT_DEBT_TO_TOT_CAP","FQ3 2015","FQ3 2015","Currency=INR","Period=FQ","BEST_FPERIOD_OVERRIDE=FQ","FILING_STATUS=OR","EQY_CONSOLIDATED=Y","Sort=A","Dates=H","DateFormat=P","Fill=—","Direction=H","UseDPDF=Y")</f>
        <v>#NAME?</v>
      </c>
      <c r="CJ36" s="1" t="e">
        <f ca="1">_xll.BDH($C$28,"LT_DEBT_TO_TOT_ASSET","FQ3 2015","FQ3 2015","Currency=INR","Period=FQ","BEST_FPERIOD_OVERRIDE=FQ","FILING_STATUS=OR","EQY_CONSOLIDATED=Y","Sort=A","Dates=H","DateFormat=P","Fill=—","Direction=H","UseDPDF=Y")</f>
        <v>#NAME?</v>
      </c>
      <c r="CK36" s="1" t="e">
        <f ca="1">_xll.BDH($C$28,"TOT_DEBT_TO_TOT_EQY","FQ3 2015","FQ3 2015","Currency=INR","Period=FQ","BEST_FPERIOD_OVERRIDE=FQ","FILING_STATUS=OR","EQY_CONSOLIDATED=Y","Sort=A","Dates=H","DateFormat=P","Fill=—","Direction=H","UseDPDF=Y")</f>
        <v>#NAME?</v>
      </c>
      <c r="CL36" s="1" t="e">
        <f ca="1">_xll.BDH($C$28,"TOT_DEBT_TO_TOT_CAP","FQ3 2015","FQ3 2015","Currency=INR","Period=FQ","BEST_FPERIOD_OVERRIDE=FQ","FILING_STATUS=OR","EQY_CONSOLIDATED=Y","Sort=A","Dates=H","DateFormat=P","Fill=—","Direction=H","UseDPDF=Y")</f>
        <v>#NAME?</v>
      </c>
      <c r="CM36" s="1" t="e">
        <f ca="1">_xll.BDH($C$28,"TOT_DEBT_TO_TOT_ASSET","FQ3 2015","FQ3 2015","Currency=INR","Period=FQ","BEST_FPERIOD_OVERRIDE=FQ","FILING_STATUS=OR","EQY_CONSOLIDATED=Y","Sort=A","Dates=H","DateFormat=P","Fill=—","Direction=H","UseDPDF=Y")</f>
        <v>#NAME?</v>
      </c>
      <c r="CN36" s="1" t="e">
        <f ca="1">_xll.BDH($C$28,"NET_DEBT_TO_SHRHLDR_EQTY","FQ3 2015","FQ3 2015","Currency=INR","Period=FQ","BEST_FPERIOD_OVERRIDE=FQ","FILING_STATUS=OR","EQY_CONSOLIDATED=Y","Sort=A","Dates=H","DateFormat=P","Fill=—","Direction=H","UseDPDF=Y")</f>
        <v>#NAME?</v>
      </c>
      <c r="CO36" s="1" t="e">
        <f ca="1">_xll.BDH($C$28,"NET_DEBT_%_CAPITAL","FQ3 2015","FQ3 2015","Currency=INR","Period=FQ","BEST_FPERIOD_OVERRIDE=FQ","FILING_STATUS=OR","EQY_CONSOLIDATED=Y","Sort=A","Dates=H","DateFormat=P","Fill=—","Direction=H","UseDPDF=Y")</f>
        <v>#NAME?</v>
      </c>
      <c r="CP36" s="2" t="e">
        <f ca="1">_xll.BDH($C$28,"EBITDA","FQ3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6" s="2" t="e">
        <f ca="1">_xll.BDH($C$28,"EBITDA_AFTER_CAPEX","FQ3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6" s="2" t="e">
        <f ca="1">_xll.BDH($C$28,"IS_OPER_INC","FQ3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6" s="1" t="e">
        <f ca="1">_xll.BDH($C$28,"CASH_RATIO","FQ3 2015","FQ3 2015","Currency=INR","Period=FQ","BEST_FPERIOD_OVERRIDE=FQ","FILING_STATUS=OR","EQY_CONSOLIDATED=Y","Sort=A","Dates=H","DateFormat=P","Fill=—","Direction=H","UseDPDF=Y")</f>
        <v>#NAME?</v>
      </c>
      <c r="CT36" s="1" t="e">
        <f ca="1">_xll.BDH($C$28,"CUR_RATIO","FQ3 2015","FQ3 2015","Currency=INR","Period=FQ","BEST_FPERIOD_OVERRIDE=FQ","FILING_STATUS=OR","EQY_CONSOLIDATED=Y","Sort=A","Dates=H","DateFormat=P","Fill=—","Direction=H","UseDPDF=Y")</f>
        <v>#NAME?</v>
      </c>
      <c r="CU36" s="1" t="e">
        <f ca="1">_xll.BDH($C$28,"QUICK_RATIO","FQ3 2015","FQ3 2015","Currency=INR","Period=FQ","BEST_FPERIOD_OVERRIDE=FQ","FILING_STATUS=OR","EQY_CONSOLIDATED=Y","Sort=A","Dates=H","DateFormat=P","Fill=—","Direction=H","UseDPDF=Y")</f>
        <v>#NAME?</v>
      </c>
      <c r="CV36" s="1" t="e">
        <f ca="1">_xll.BDH($C$28,"ALTMAN_Z_SCORE","FQ3 2015","FQ3 2015","Currency=INR","Period=FQ","BEST_FPERIOD_OVERRIDE=FQ","FILING_STATUS=OR","EQY_CONSOLIDATED=Y","Sort=A","Dates=H","DateFormat=P","Fill=—","Direction=H","UseDPDF=Y")</f>
        <v>#NAME?</v>
      </c>
      <c r="CW36" s="3" t="e">
        <f ca="1">_xll.BDH($C$28,"ACCT_RCV_TURN","FQ3 2015","FQ3 2015","Currency=INR","Period=FQ","BEST_FPERIOD_OVERRIDE=FQ","FILING_STATUS=OR","EQY_CONSOLIDATED=Y","FA_ADJUSTED=GAAP","Sort=A","Dates=H","DateFormat=P","Fill=—","Direction=H","UseDPDF=Y")</f>
        <v>#NAME?</v>
      </c>
      <c r="CX36" s="1" t="e">
        <f ca="1">_xll.BDH($C$28,"ACCT_RCV_DAYS","FQ3 2015","FQ3 2015","Currency=INR","Period=FQ","BEST_FPERIOD_OVERRIDE=FQ","FILING_STATUS=OR","EQY_CONSOLIDATED=Y","FA_ADJUSTED=GAAP","Sort=A","Dates=H","DateFormat=P","Fill=—","Direction=H","UseDPDF=Y")</f>
        <v>#NAME?</v>
      </c>
      <c r="CY36" s="3" t="e">
        <f ca="1">_xll.BDH($C$28,"INVENT_TURN","FQ3 2015","FQ3 2015","Currency=INR","Period=FQ","BEST_FPERIOD_OVERRIDE=FQ","FILING_STATUS=OR","EQY_CONSOLIDATED=Y","FA_ADJUSTED=GAAP","Sort=A","Dates=H","DateFormat=P","Fill=—","Direction=H","UseDPDF=Y")</f>
        <v>#NAME?</v>
      </c>
      <c r="CZ36" s="1" t="e">
        <f ca="1">_xll.BDH($C$28,"INVENT_DAYS","FQ3 2015","FQ3 2015","Currency=INR","Period=FQ","BEST_FPERIOD_OVERRIDE=FQ","FILING_STATUS=OR","EQY_CONSOLIDATED=Y","FA_ADJUSTED=GAAP","Sort=A","Dates=H","DateFormat=P","Fill=—","Direction=H","UseDPDF=Y")</f>
        <v>#NAME?</v>
      </c>
      <c r="DA36" s="3" t="e">
        <f ca="1">_xll.BDH($C$28,"ACCOUNTS_PAYABLE_TURNOVER","FQ3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6" s="1" t="e">
        <f ca="1">_xll.BDH($C$28,"ACCOUNTS_PAYABLE_TURNOVER_DAYS","FQ3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6" s="3" t="e">
        <f ca="1">_xll.BDH($C$28,"CASH_CONVERSION_CYCLE","FQ3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6" s="3" t="e">
        <f ca="1">_xll.BDH($C$28,"INV_TO_CASH_DAYS","FQ3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36" s="4" t="e">
        <f ca="1">_xll.BDH($C$28,"BS_INVENTORIES","FQ3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36" s="2" t="e">
        <f ca="1">_xll.BDH($C$28,"INVTRY_RAW_MATERIALS","FQ3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6" s="2" t="e">
        <f ca="1">_xll.BDH($C$28,"INVTRY_IN_PROGRESS","FQ3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6" s="2" t="e">
        <f ca="1">_xll.BDH($C$28,"INVTRY_FINISHED_GOODS","FQ3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6" s="2" t="e">
        <f ca="1">_xll.BDH($C$28,"BS_OTHER_INV","FQ3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7" spans="1:113" x14ac:dyDescent="0.3">
      <c r="A37" s="6"/>
      <c r="B37" s="6"/>
      <c r="C37" s="6"/>
      <c r="D37" s="6"/>
      <c r="E37" t="s">
        <v>7</v>
      </c>
      <c r="F37" t="e">
        <f ca="1">_xll.BDH($C$28,"RETURN_COM_EQY","FQ4 2015","FQ4 2015","Currency=INR","Period=FQ","BEST_FPERIOD_OVERRIDE=FQ","FILING_STATUS=OR","EQY_CONSOLIDATED=Y","FA_ADJUSTED=GAAP","Sort=A","Dates=H","DateFormat=P","Fill=—","Direction=H","UseDPDF=Y")</f>
        <v>#NAME?</v>
      </c>
      <c r="G37" t="e">
        <f ca="1">_xll.BDH($C$28,"RETURN_ON_ASSET","FQ4 2015","FQ4 2015","Currency=INR","Period=FQ","BEST_FPERIOD_OVERRIDE=FQ","FILING_STATUS=OR","EQY_CONSOLIDATED=Y","FA_ADJUSTED=GAAP","Sort=A","Dates=H","DateFormat=P","Fill=—","Direction=H","UseDPDF=Y")</f>
        <v>#NAME?</v>
      </c>
      <c r="H37" t="e">
        <f ca="1">_xll.BDH($C$28,"RETURN_ON_CAP","FQ4 2015","FQ4 2015","Currency=INR","Period=FQ","BEST_FPERIOD_OVERRIDE=FQ","FILING_STATUS=OR","EQY_CONSOLIDATED=Y","FA_ADJUSTED=GAAP","Sort=A","Dates=H","DateFormat=P","Fill=—","Direction=H","UseDPDF=Y")</f>
        <v>#NAME?</v>
      </c>
      <c r="I37" t="e">
        <f ca="1">_xll.BDH($C$28,"RETURN_ON_INV_CAPITAL","FQ4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7" t="e">
        <f ca="1">_xll.BDH($C$28,"EBITDA_TO_REVENUE","FQ4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37" t="e">
        <f ca="1">_xll.BDH($C$28,"OPER_MARGIN","FQ4 2015","FQ4 2015","Currency=INR","Period=FQ","BEST_FPERIOD_OVERRIDE=FQ","FILING_STATUS=OR","EQY_CONSOLIDATED=Y","FA_ADJUSTED=GAAP","Sort=A","Dates=H","DateFormat=P","Fill=—","Direction=H","UseDPDF=Y")</f>
        <v>#NAME?</v>
      </c>
      <c r="L37" t="e">
        <f ca="1">_xll.BDH($C$28,"INCREMENTAL_OPERATING_MARGIN","FQ4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7" t="e">
        <f ca="1">_xll.BDH($C$28,"PRETAX_INC_TO_NET_SALES","FQ4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7" t="e">
        <f ca="1">_xll.BDH($C$28,"INC_BEF_XO_ITEMS_TO_NET_SALES","FQ4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7" t="e">
        <f ca="1">_xll.BDH($C$28,"PROF_MARGIN","FQ4 2015","FQ4 2015","Currency=INR","Period=FQ","BEST_FPERIOD_OVERRIDE=FQ","FILING_STATUS=OR","EQY_CONSOLIDATED=Y","FA_ADJUSTED=GAAP","Sort=A","Dates=H","DateFormat=P","Fill=—","Direction=H","UseDPDF=Y")</f>
        <v>#NAME?</v>
      </c>
      <c r="P37" t="e">
        <f ca="1">_xll.BDH($C$28,"NET_INCOME_TO_COMMON_MARGIN","FQ4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7" t="e">
        <f ca="1">_xll.BDH($C$28,"EFF_TAX_RATE","FQ4 2015","FQ4 2015","Currency=INR","Period=FQ","BEST_FPERIOD_OVERRIDE=FQ","FILING_STATUS=OR","EQY_CONSOLIDATED=Y","FA_ADJUSTED=GAAP","Sort=A","Dates=H","DateFormat=P","Fill=—","Direction=H","UseDPDF=Y")</f>
        <v>#NAME?</v>
      </c>
      <c r="R37" t="e">
        <f ca="1">_xll.BDH($C$28,"DVD_PAYOUT_RATIO","FQ4 2015","FQ4 2015","Currency=INR","Period=FQ","BEST_FPERIOD_OVERRIDE=FQ","FILING_STATUS=OR","EQY_CONSOLIDATED=Y","FA_ADJUSTED=GAAP","Sort=A","Dates=H","DateFormat=P","Fill=—","Direction=H","UseDPDF=Y")</f>
        <v>#NAME?</v>
      </c>
      <c r="S37" t="e">
        <f ca="1">_xll.BDH($C$28,"SUSTAIN_GROWTH_RT","FQ4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37" s="1" t="e">
        <f ca="1">_xll.BDH($C$28,"SALES_GROWTH","FQ4 2015","FQ4 2015","Currency=INR","Period=FQ","BEST_FPERIOD_OVERRIDE=FQ","FILING_STATUS=OR","EQY_CONSOLIDATED=Y","FA_ADJUSTED=GAAP","Sort=A","Dates=H","DateFormat=P","Fill=—","Direction=H","UseDPDF=Y")</f>
        <v>#NAME?</v>
      </c>
      <c r="U37" s="1" t="e">
        <f ca="1">_xll.BDH($C$28,"EBITDA_GROWTH","FQ4 2015","FQ4 2015","Currency=INR","Period=FQ","BEST_FPERIOD_OVERRIDE=FQ","FILING_STATUS=OR","EQY_CONSOLIDATED=Y","FA_ADJUSTED=GAAP","Sort=A","Dates=H","DateFormat=P","Fill=—","Direction=H","UseDPDF=Y")</f>
        <v>#NAME?</v>
      </c>
      <c r="V37" s="1" t="e">
        <f ca="1">_xll.BDH($C$28,"OPER_INC_GROWTH","FQ4 2015","FQ4 2015","Currency=INR","Period=FQ","BEST_FPERIOD_OVERRIDE=FQ","FILING_STATUS=OR","EQY_CONSOLIDATED=Y","FA_ADJUSTED=GAAP","Sort=A","Dates=H","DateFormat=P","Fill=—","Direction=H","UseDPDF=Y")</f>
        <v>#NAME?</v>
      </c>
      <c r="W37" s="1" t="e">
        <f ca="1">_xll.BDH($C$28,"EARN_FOR_COM_GROWTH","FQ4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7" s="1" t="e">
        <f ca="1">_xll.BDH($C$28,"DILUTED_EPS_AFT_XO_ITEMS_GROWTH","FQ4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7" s="1" t="e">
        <f ca="1">_xll.BDH($C$28,"DIVIDEND_PER_SHARE_1_YEAR_GROWTH","FQ4 2015","FQ4 2015","Currency=INR","Period=FQ","BEST_FPERIOD_OVERRIDE=FQ","FILING_STATUS=OR","EQY_CONSOLIDATED=Y","Sort=A","Dates=H","DateFormat=P","Fill=—","Direction=H","UseDPDF=Y")</f>
        <v>#NAME?</v>
      </c>
      <c r="Z37" s="1" t="e">
        <f ca="1">_xll.BDH($C$28,"ACCOUNTS_RECEIVABLE_GROWTH","FQ4 2015","FQ4 2015","Currency=INR","Period=FQ","BEST_FPERIOD_OVERRIDE=FQ","FILING_STATUS=OR","EQY_CONSOLIDATED=Y","Sort=A","Dates=H","DateFormat=P","Fill=—","Direction=H","UseDPDF=Y")</f>
        <v>#NAME?</v>
      </c>
      <c r="AA37" s="1" t="e">
        <f ca="1">_xll.BDH($C$28,"INVENTORY_GROWTH","FQ4 2015","FQ4 2015","Currency=INR","Period=FQ","BEST_FPERIOD_OVERRIDE=FQ","FILING_STATUS=OR","EQY_CONSOLIDATED=Y","Sort=A","Dates=H","DateFormat=P","Fill=—","Direction=H","UseDPDF=Y")</f>
        <v>#NAME?</v>
      </c>
      <c r="AB37" s="1" t="e">
        <f ca="1">_xll.BDH($C$28,"NET_FIXED_ASSETS_1_YEAR_GROWTH","FQ4 2015","FQ4 2015","Currency=INR","Period=FQ","BEST_FPERIOD_OVERRIDE=FQ","FILING_STATUS=OR","EQY_CONSOLIDATED=Y","Sort=A","Dates=H","DateFormat=P","Fill=—","Direction=H","UseDPDF=Y")</f>
        <v>#NAME?</v>
      </c>
      <c r="AC37" s="1" t="e">
        <f ca="1">_xll.BDH($C$28,"ASSET_GROWTH","FQ4 2015","FQ4 2015","Currency=INR","Period=FQ","BEST_FPERIOD_OVERRIDE=FQ","FILING_STATUS=OR","EQY_CONSOLIDATED=Y","Sort=A","Dates=H","DateFormat=P","Fill=—","Direction=H","UseDPDF=Y")</f>
        <v>#NAME?</v>
      </c>
      <c r="AD37" s="1" t="e">
        <f ca="1">_xll.BDH($C$28,"MODIFIED_WORK_CAP_GROWTH","FQ4 2015","FQ4 2015","Currency=INR","Period=FQ","BEST_FPERIOD_OVERRIDE=FQ","FILING_STATUS=OR","EQY_CONSOLIDATED=Y","Sort=A","Dates=H","DateFormat=P","Fill=—","Direction=H","UseDPDF=Y")</f>
        <v>#NAME?</v>
      </c>
      <c r="AE37" s="1" t="e">
        <f ca="1">_xll.BDH($C$28,"WORK_CAP_GROWTH","FQ4 2015","FQ4 2015","Currency=INR","Period=FQ","BEST_FPERIOD_OVERRIDE=FQ","FILING_STATUS=OR","EQY_CONSOLIDATED=Y","Sort=A","Dates=H","DateFormat=P","Fill=—","Direction=H","UseDPDF=Y")</f>
        <v>#NAME?</v>
      </c>
      <c r="AF37" s="1" t="e">
        <f ca="1">_xll.BDH($C$28,"ACCOUNTS_PAYABLE_GROWTH_1YR","FQ4 2015","FQ4 2015","Currency=INR","Period=FQ","BEST_FPERIOD_OVERRIDE=FQ","FILING_STATUS=OR","EQY_CONSOLIDATED=Y","Sort=A","Dates=H","DateFormat=P","Fill=—","Direction=H","UseDPDF=Y")</f>
        <v>#NAME?</v>
      </c>
      <c r="AG37" s="1" t="e">
        <f ca="1">_xll.BDH($C$28,"SHORT_TERM_DEBT_1_YEAR_GROWTH","FQ4 2015","FQ4 2015","Currency=INR","Period=FQ","BEST_FPERIOD_OVERRIDE=FQ","FILING_STATUS=OR","EQY_CONSOLIDATED=Y","Sort=A","Dates=H","DateFormat=P","Fill=—","Direction=H","UseDPDF=Y")</f>
        <v>#NAME?</v>
      </c>
      <c r="AH37" s="1" t="e">
        <f ca="1">_xll.BDH($C$28,"TOTAL_DEBT_1_YEAR_GROWTH","FQ4 2015","FQ4 2015","Currency=INR","Period=FQ","BEST_FPERIOD_OVERRIDE=FQ","FILING_STATUS=OR","EQY_CONSOLIDATED=Y","Sort=A","Dates=H","DateFormat=P","Fill=—","Direction=H","UseDPDF=Y")</f>
        <v>#NAME?</v>
      </c>
      <c r="AI37" s="1" t="e">
        <f ca="1">_xll.BDH($C$28,"TOTAL_EQUITY_1_YEAR_GROWTH","FQ4 2015","FQ4 2015","Currency=INR","Period=FQ","BEST_FPERIOD_OVERRIDE=FQ","FILING_STATUS=OR","EQY_CONSOLIDATED=Y","Sort=A","Dates=H","DateFormat=P","Fill=—","Direction=H","UseDPDF=Y")</f>
        <v>#NAME?</v>
      </c>
      <c r="AJ37" s="1" t="e">
        <f ca="1">_xll.BDH($C$28,"GROWTH_IN_CAP","FQ4 2015","FQ4 2015","Currency=INR","Period=FQ","BEST_FPERIOD_OVERRIDE=FQ","FILING_STATUS=OR","EQY_CONSOLIDATED=Y","Sort=A","Dates=H","DateFormat=P","Fill=—","Direction=H","UseDPDF=Y")</f>
        <v>#NAME?</v>
      </c>
      <c r="AK37" s="1" t="e">
        <f ca="1">_xll.BDH($C$28,"BVPS_GROWTH","FQ4 2015","FQ4 2015","Currency=INR","Period=FQ","BEST_FPERIOD_OVERRIDE=FQ","FILING_STATUS=OR","EQY_CONSOLIDATED=Y","Sort=A","Dates=H","DateFormat=P","Fill=—","Direction=H","UseDPDF=Y")</f>
        <v>#NAME?</v>
      </c>
      <c r="AL37" s="1" t="e">
        <f ca="1">_xll.BDH($C$28,"CASH_FLOW_GROWTH","FQ4 2015","FQ4 2015","Currency=INR","Period=FQ","BEST_FPERIOD_OVERRIDE=FQ","FILING_STATUS=OR","EQY_CONSOLIDATED=Y","Sort=A","Dates=H","DateFormat=P","Fill=—","Direction=H","UseDPDF=Y")</f>
        <v>#NAME?</v>
      </c>
      <c r="AM37" s="1" t="e">
        <f ca="1">_xll.BDH($C$28,"GEO_GROW_NET_SALES","FQ4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7" s="1" t="e">
        <f ca="1">_xll.BDH($C$28,"GEO_GROW_EBITDA","FQ4 2015","FQ4 2015","Currency=INR","Period=FQ","BEST_FPERIOD_OVERRIDE=FQ","FILING_STATUS=OR","EQY_CONSOLIDATED=Y","FA_ADJUSTED=GAAP","Sort=A","Dates=H","DateFormat=P","Fill=—","Direction=H","UseDPDF=Y")</f>
        <v>#NAME?</v>
      </c>
      <c r="AO37" s="1" t="e">
        <f ca="1">_xll.BDH($C$28,"GEO_GROW_OPER_INC","FQ4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7" s="1" t="e">
        <f ca="1">_xll.BDH($C$28,"NET_INCOME_TO_COMMON_5_YR_GROWTH","FQ4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7" s="1" t="e">
        <f ca="1">_xll.BDH($C$28,"5Y_GEO_GROWTH_DILUTED_EPS","FQ4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7" s="1" t="e">
        <f ca="1">_xll.BDH($C$28,"GEO_GROW_DVD_PER_SH","FQ4 2015","FQ4 2015","Currency=INR","Period=FQ","BEST_FPERIOD_OVERRIDE=FQ","FILING_STATUS=OR","EQY_CONSOLIDATED=Y","Sort=A","Dates=H","DateFormat=P","Fill=—","Direction=H","UseDPDF=Y")</f>
        <v>#NAME?</v>
      </c>
      <c r="AS37" s="1" t="e">
        <f ca="1">_xll.BDH($C$28,"ACCOUNTS_RECEIVABLE_5_YR_GROWTH","FQ4 2015","FQ4 2015","Currency=INR","Period=FQ","BEST_FPERIOD_OVERRIDE=FQ","FILING_STATUS=OR","EQY_CONSOLIDATED=Y","Sort=A","Dates=H","DateFormat=P","Fill=—","Direction=H","UseDPDF=Y")</f>
        <v>#NAME?</v>
      </c>
      <c r="AT37" s="1" t="e">
        <f ca="1">_xll.BDH($C$28,"INVENTORY_5_YEAR_GROWTH","FQ4 2015","FQ4 2015","Currency=INR","Period=FQ","BEST_FPERIOD_OVERRIDE=FQ","FILING_STATUS=OR","EQY_CONSOLIDATED=Y","Sort=A","Dates=H","DateFormat=P","Fill=—","Direction=H","UseDPDF=Y")</f>
        <v>#NAME?</v>
      </c>
      <c r="AU37" s="1" t="e">
        <f ca="1">_xll.BDH($C$28,"NET_FIXED_ASSETS_5_YEAR_GROWTH","FQ4 2015","FQ4 2015","Currency=INR","Period=FQ","BEST_FPERIOD_OVERRIDE=FQ","FILING_STATUS=OR","EQY_CONSOLIDATED=Y","Sort=A","Dates=H","DateFormat=P","Fill=—","Direction=H","UseDPDF=Y")</f>
        <v>#NAME?</v>
      </c>
      <c r="AV37" s="1" t="e">
        <f ca="1">_xll.BDH($C$28,"GEO_GROW_TOT_ASSET","FQ4 2015","FQ4 2015","Currency=INR","Period=FQ","BEST_FPERIOD_OVERRIDE=FQ","FILING_STATUS=OR","EQY_CONSOLIDATED=Y","Sort=A","Dates=H","DateFormat=P","Fill=—","Direction=H","UseDPDF=Y")</f>
        <v>#NAME?</v>
      </c>
      <c r="AW37" s="1" t="e">
        <f ca="1">_xll.BDH($C$28,"MODIFIED_WORKING_CPTL_5YR_GRWTH","FQ4 2015","FQ4 2015","Currency=INR","Period=FQ","BEST_FPERIOD_OVERRIDE=FQ","FILING_STATUS=OR","EQY_CONSOLIDATED=Y","Sort=A","Dates=H","DateFormat=P","Fill=—","Direction=H","UseDPDF=Y")</f>
        <v>#NAME?</v>
      </c>
      <c r="AX37" s="1" t="e">
        <f ca="1">_xll.BDH($C$28,"WORKING_CAPITAL_5_YEAR_GROWTH","FQ4 2015","FQ4 2015","Currency=INR","Period=FQ","BEST_FPERIOD_OVERRIDE=FQ","FILING_STATUS=OR","EQY_CONSOLIDATED=Y","Sort=A","Dates=H","DateFormat=P","Fill=—","Direction=H","UseDPDF=Y")</f>
        <v>#NAME?</v>
      </c>
      <c r="AY37" s="1" t="e">
        <f ca="1">_xll.BDH($C$28,"ACCOUNTS_PAYABLE_5_YEAR_GROWTH","FQ4 2015","FQ4 2015","Currency=INR","Period=FQ","BEST_FPERIOD_OVERRIDE=FQ","FILING_STATUS=OR","EQY_CONSOLIDATED=Y","Sort=A","Dates=H","DateFormat=P","Fill=—","Direction=H","UseDPDF=Y")</f>
        <v>#NAME?</v>
      </c>
      <c r="AZ37" s="1" t="e">
        <f ca="1">_xll.BDH($C$28,"SHORT_TERM_DEBT_5_YEAR_GROWTH","FQ4 2015","FQ4 2015","Currency=INR","Period=FQ","BEST_FPERIOD_OVERRIDE=FQ","FILING_STATUS=OR","EQY_CONSOLIDATED=Y","Sort=A","Dates=H","DateFormat=P","Fill=—","Direction=H","UseDPDF=Y")</f>
        <v>#NAME?</v>
      </c>
      <c r="BA37" s="1" t="e">
        <f ca="1">_xll.BDH($C$28,"TOTAL_DEBT_5_YEAR_GROWTH","FQ4 2015","FQ4 2015","Currency=INR","Period=FQ","BEST_FPERIOD_OVERRIDE=FQ","FILING_STATUS=OR","EQY_CONSOLIDATED=Y","Sort=A","Dates=H","DateFormat=P","Fill=—","Direction=H","UseDPDF=Y")</f>
        <v>#NAME?</v>
      </c>
      <c r="BB37" s="1" t="e">
        <f ca="1">_xll.BDH($C$28,"GEO_GROW_TOT_SHRHLDR_EQY","FQ4 2015","FQ4 2015","Currency=INR","Period=FQ","BEST_FPERIOD_OVERRIDE=FQ","FILING_STATUS=OR","EQY_CONSOLIDATED=Y","Sort=A","Dates=H","DateFormat=P","Fill=—","Direction=H","UseDPDF=Y")</f>
        <v>#NAME?</v>
      </c>
      <c r="BC37" s="1" t="e">
        <f ca="1">_xll.BDH($C$28,"TOTAL_CAPITAL_5_YEAR_GROWTH","FQ4 2015","FQ4 2015","Currency=INR","Period=FQ","BEST_FPERIOD_OVERRIDE=FQ","FILING_STATUS=OR","EQY_CONSOLIDATED=Y","Sort=A","Dates=H","DateFormat=P","Fill=—","Direction=H","UseDPDF=Y")</f>
        <v>#NAME?</v>
      </c>
      <c r="BD37" s="1" t="e">
        <f ca="1">_xll.BDH($C$28,"GEO_GROW_BOOK_VAL","FQ4 2015","FQ4 2015","Currency=INR","Period=FQ","BEST_FPERIOD_OVERRIDE=FQ","FILING_STATUS=OR","EQY_CONSOLIDATED=Y","Sort=A","Dates=H","DateFormat=P","Fill=—","Direction=H","UseDPDF=Y")</f>
        <v>#NAME?</v>
      </c>
      <c r="BE37" s="1" t="e">
        <f ca="1">_xll.BDH($C$28,"GEO_GROW_CASH_OPER_ACT","FQ4 2015","FQ4 2015","Currency=INR","Period=FQ","BEST_FPERIOD_OVERRIDE=FQ","FILING_STATUS=OR","EQY_CONSOLIDATED=Y","Sort=A","Dates=H","DateFormat=P","Fill=—","Direction=H","UseDPDF=Y")</f>
        <v>#NAME?</v>
      </c>
      <c r="BF37" s="1" t="e">
        <f ca="1">_xll.BDH($C$28,"REVENUE_SEQUENTIAL_GROWTH","FQ4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7" s="1" t="e">
        <f ca="1">_xll.BDH($C$28,"EBITDA_SEQUENTIAL_GROWTH","FQ4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7" s="1" t="e">
        <f ca="1">_xll.BDH($C$28,"OPERATING_INCOME_SEQ_GROWTH","FQ4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7" s="1" t="e">
        <f ca="1">_xll.BDH($C$28,"NET_INCOME_TO_COMMON_SEQ_GROWTH","FQ4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7" s="1" t="e">
        <f ca="1">_xll.BDH($C$28,"EPS_DILUTED_SEQUENTIAL_GROWTH","FQ4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7" s="1" t="e">
        <f ca="1">_xll.BDH($C$28,"DPS_SEQUENTIAL_GROWTH","FQ4 2015","FQ4 2015","Currency=INR","Period=FQ","BEST_FPERIOD_OVERRIDE=FQ","FILING_STATUS=OR","EQY_CONSOLIDATED=Y","Sort=A","Dates=H","DateFormat=P","Fill=—","Direction=H","UseDPDF=Y")</f>
        <v>#NAME?</v>
      </c>
      <c r="BL37" s="1" t="e">
        <f ca="1">_xll.BDH($C$28,"ACCOUNTS_RECEIVABLE_SEQ_GROWTH","FQ4 2015","FQ4 2015","Currency=INR","Period=FQ","BEST_FPERIOD_OVERRIDE=FQ","FILING_STATUS=OR","EQY_CONSOLIDATED=Y","Sort=A","Dates=H","DateFormat=P","Fill=—","Direction=H","UseDPDF=Y")</f>
        <v>#NAME?</v>
      </c>
      <c r="BM37" s="1" t="e">
        <f ca="1">_xll.BDH($C$28,"INVENTORY_SEQUENTIAL_GROWTH","FQ4 2015","FQ4 2015","Currency=INR","Period=FQ","BEST_FPERIOD_OVERRIDE=FQ","FILING_STATUS=OR","EQY_CONSOLIDATED=Y","Sort=A","Dates=H","DateFormat=P","Fill=—","Direction=H","UseDPDF=Y")</f>
        <v>#NAME?</v>
      </c>
      <c r="BN37" s="1" t="e">
        <f ca="1">_xll.BDH($C$28,"FIXED_ASSETS_SEQUENTIAL_GROWTH","FQ4 2015","FQ4 2015","Currency=INR","Period=FQ","BEST_FPERIOD_OVERRIDE=FQ","FILING_STATUS=OR","EQY_CONSOLIDATED=Y","Sort=A","Dates=H","DateFormat=P","Fill=—","Direction=H","UseDPDF=Y")</f>
        <v>#NAME?</v>
      </c>
      <c r="BO37" s="1" t="e">
        <f ca="1">_xll.BDH($C$28,"TOTAL_ASSETS_SEQUENTIAL_GROWTH","FQ4 2015","FQ4 2015","Currency=INR","Period=FQ","BEST_FPERIOD_OVERRIDE=FQ","FILING_STATUS=OR","EQY_CONSOLIDATED=Y","Sort=A","Dates=H","DateFormat=P","Fill=—","Direction=H","UseDPDF=Y")</f>
        <v>#NAME?</v>
      </c>
      <c r="BP37" s="1" t="e">
        <f ca="1">_xll.BDH($C$28,"MODIFIED_WORKING_CPTL_SEQ_GRWTH","FQ4 2015","FQ4 2015","Currency=INR","Period=FQ","BEST_FPERIOD_OVERRIDE=FQ","FILING_STATUS=OR","EQY_CONSOLIDATED=Y","Sort=A","Dates=H","DateFormat=P","Fill=—","Direction=H","UseDPDF=Y")</f>
        <v>#NAME?</v>
      </c>
      <c r="BQ37" s="1" t="e">
        <f ca="1">_xll.BDH($C$28,"WORKING_CAPITAL_SEQ_GROWTH","FQ4 2015","FQ4 2015","Currency=INR","Period=FQ","BEST_FPERIOD_OVERRIDE=FQ","FILING_STATUS=OR","EQY_CONSOLIDATED=Y","Sort=A","Dates=H","DateFormat=P","Fill=—","Direction=H","UseDPDF=Y")</f>
        <v>#NAME?</v>
      </c>
      <c r="BR37" s="1" t="e">
        <f ca="1">_xll.BDH($C$28,"ACCOUNTS_PAYABLE_SEQ_GROWTH","FQ4 2015","FQ4 2015","Currency=INR","Period=FQ","BEST_FPERIOD_OVERRIDE=FQ","FILING_STATUS=OR","EQY_CONSOLIDATED=Y","Sort=A","Dates=H","DateFormat=P","Fill=—","Direction=H","UseDPDF=Y")</f>
        <v>#NAME?</v>
      </c>
      <c r="BS37" s="1" t="e">
        <f ca="1">_xll.BDH($C$28,"ST_DEBT_SEQUENTIAL_GROWTH","FQ4 2015","FQ4 2015","Currency=INR","Period=FQ","BEST_FPERIOD_OVERRIDE=FQ","FILING_STATUS=OR","EQY_CONSOLIDATED=Y","Sort=A","Dates=H","DateFormat=P","Fill=—","Direction=H","UseDPDF=Y")</f>
        <v>#NAME?</v>
      </c>
      <c r="BT37" s="1" t="e">
        <f ca="1">_xll.BDH($C$28,"TOTAL_DEBT_SEQUENTIAL_GROWTH","FQ4 2015","FQ4 2015","Currency=INR","Period=FQ","BEST_FPERIOD_OVERRIDE=FQ","FILING_STATUS=OR","EQY_CONSOLIDATED=Y","Sort=A","Dates=H","DateFormat=P","Fill=—","Direction=H","UseDPDF=Y")</f>
        <v>#NAME?</v>
      </c>
      <c r="BU37" s="1" t="e">
        <f ca="1">_xll.BDH($C$28,"TOTAL_EQUITY_SEQUENTIAL_GROWTH","FQ4 2015","FQ4 2015","Currency=INR","Period=FQ","BEST_FPERIOD_OVERRIDE=FQ","FILING_STATUS=OR","EQY_CONSOLIDATED=Y","Sort=A","Dates=H","DateFormat=P","Fill=—","Direction=H","UseDPDF=Y")</f>
        <v>#NAME?</v>
      </c>
      <c r="BV37" s="1" t="e">
        <f ca="1">_xll.BDH($C$28,"TOTAL_CAPITAL_SEQUENTIAL_GROWTH","FQ4 2015","FQ4 2015","Currency=INR","Period=FQ","BEST_FPERIOD_OVERRIDE=FQ","FILING_STATUS=OR","EQY_CONSOLIDATED=Y","Sort=A","Dates=H","DateFormat=P","Fill=—","Direction=H","UseDPDF=Y")</f>
        <v>#NAME?</v>
      </c>
      <c r="BW37" s="1" t="e">
        <f ca="1">_xll.BDH($C$28,"BPS_SEQUENTIAL_GROWTH","FQ4 2015","FQ4 2015","Currency=INR","Period=FQ","BEST_FPERIOD_OVERRIDE=FQ","FILING_STATUS=OR","EQY_CONSOLIDATED=Y","Sort=A","Dates=H","DateFormat=P","Fill=—","Direction=H","UseDPDF=Y")</f>
        <v>#NAME?</v>
      </c>
      <c r="BX37" s="1" t="e">
        <f ca="1">_xll.BDH($C$28,"CFO_SEQUENTIAL_GROWTH","FQ4 2015","FQ4 2015","Currency=INR","Period=FQ","BEST_FPERIOD_OVERRIDE=FQ","FILING_STATUS=OR","EQY_CONSOLIDATED=Y","Sort=A","Dates=H","DateFormat=P","Fill=—","Direction=H","UseDPDF=Y")</f>
        <v>#NAME?</v>
      </c>
      <c r="BY37" s="2" t="e">
        <f ca="1">_xll.BDH($C$28,"SHORT_AND_LONG_TERM_DEBT","FQ4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7" s="2" t="e">
        <f ca="1">_xll.BDH($C$28,"BS_ST_BORROW","FQ4 2015","FQ4 2015","Currency=INR","Period=FQ","BEST_FPERIOD_OVERRIDE=FQ","FILING_STATUS=OR","EQY_CONSOLIDATED=Y","SCALING_FORMAT=MLN","Sort=A","Dates=H","DateFormat=P","Fill=—","Direction=H","UseDPDF=Y")</f>
        <v>#NAME?</v>
      </c>
      <c r="CA37" s="2" t="e">
        <f ca="1">_xll.BDH($C$28,"BS_LT_BORROW","FQ4 2015","FQ4 2015","Currency=INR","Period=FQ","BEST_FPERIOD_OVERRIDE=FQ","FILING_STATUS=OR","EQY_CONSOLIDATED=Y","SCALING_FORMAT=MLN","Sort=A","Dates=H","DateFormat=P","Fill=—","Direction=H","UseDPDF=Y")</f>
        <v>#NAME?</v>
      </c>
      <c r="CB37" s="1" t="e">
        <f ca="1">_xll.BDH($C$28,"TOT_DEBT_TO_EBITDA","FQ4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7" s="1" t="e">
        <f ca="1">_xll.BDH($C$28,"NET_DEBT_TO_EBITDA","FQ4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7" s="1" t="e">
        <f ca="1">_xll.BDH($C$28,"TOTAL_DEBT_TO_EBIT","FQ4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7" s="1" t="e">
        <f ca="1">_xll.BDH($C$28,"NET_DEBT_TO_EBIT","FQ4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37" s="1" t="e">
        <f ca="1">_xll.BDH($C$28,"EBITDA_TO_INTEREST_EXPN","FQ4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7" s="1" t="e">
        <f ca="1">_xll.BDH($C$28,"COM_EQY_TO_TOT_ASSET","FQ4 2015","FQ4 2015","Currency=INR","Period=FQ","BEST_FPERIOD_OVERRIDE=FQ","FILING_STATUS=OR","EQY_CONSOLIDATED=Y","Sort=A","Dates=H","DateFormat=P","Fill=—","Direction=H","UseDPDF=Y")</f>
        <v>#NAME?</v>
      </c>
      <c r="CH37" s="1" t="e">
        <f ca="1">_xll.BDH($C$28,"LT_DEBT_TO_TOT_EQY","FQ4 2015","FQ4 2015","Currency=INR","Period=FQ","BEST_FPERIOD_OVERRIDE=FQ","FILING_STATUS=OR","EQY_CONSOLIDATED=Y","Sort=A","Dates=H","DateFormat=P","Fill=—","Direction=H","UseDPDF=Y")</f>
        <v>#NAME?</v>
      </c>
      <c r="CI37" s="1" t="e">
        <f ca="1">_xll.BDH($C$28,"LT_DEBT_TO_TOT_CAP","FQ4 2015","FQ4 2015","Currency=INR","Period=FQ","BEST_FPERIOD_OVERRIDE=FQ","FILING_STATUS=OR","EQY_CONSOLIDATED=Y","Sort=A","Dates=H","DateFormat=P","Fill=—","Direction=H","UseDPDF=Y")</f>
        <v>#NAME?</v>
      </c>
      <c r="CJ37" s="1" t="e">
        <f ca="1">_xll.BDH($C$28,"LT_DEBT_TO_TOT_ASSET","FQ4 2015","FQ4 2015","Currency=INR","Period=FQ","BEST_FPERIOD_OVERRIDE=FQ","FILING_STATUS=OR","EQY_CONSOLIDATED=Y","Sort=A","Dates=H","DateFormat=P","Fill=—","Direction=H","UseDPDF=Y")</f>
        <v>#NAME?</v>
      </c>
      <c r="CK37" s="1" t="e">
        <f ca="1">_xll.BDH($C$28,"TOT_DEBT_TO_TOT_EQY","FQ4 2015","FQ4 2015","Currency=INR","Period=FQ","BEST_FPERIOD_OVERRIDE=FQ","FILING_STATUS=OR","EQY_CONSOLIDATED=Y","Sort=A","Dates=H","DateFormat=P","Fill=—","Direction=H","UseDPDF=Y")</f>
        <v>#NAME?</v>
      </c>
      <c r="CL37" s="1" t="e">
        <f ca="1">_xll.BDH($C$28,"TOT_DEBT_TO_TOT_CAP","FQ4 2015","FQ4 2015","Currency=INR","Period=FQ","BEST_FPERIOD_OVERRIDE=FQ","FILING_STATUS=OR","EQY_CONSOLIDATED=Y","Sort=A","Dates=H","DateFormat=P","Fill=—","Direction=H","UseDPDF=Y")</f>
        <v>#NAME?</v>
      </c>
      <c r="CM37" s="1" t="e">
        <f ca="1">_xll.BDH($C$28,"TOT_DEBT_TO_TOT_ASSET","FQ4 2015","FQ4 2015","Currency=INR","Period=FQ","BEST_FPERIOD_OVERRIDE=FQ","FILING_STATUS=OR","EQY_CONSOLIDATED=Y","Sort=A","Dates=H","DateFormat=P","Fill=—","Direction=H","UseDPDF=Y")</f>
        <v>#NAME?</v>
      </c>
      <c r="CN37" s="1" t="e">
        <f ca="1">_xll.BDH($C$28,"NET_DEBT_TO_SHRHLDR_EQTY","FQ4 2015","FQ4 2015","Currency=INR","Period=FQ","BEST_FPERIOD_OVERRIDE=FQ","FILING_STATUS=OR","EQY_CONSOLIDATED=Y","Sort=A","Dates=H","DateFormat=P","Fill=—","Direction=H","UseDPDF=Y")</f>
        <v>#NAME?</v>
      </c>
      <c r="CO37" s="1" t="e">
        <f ca="1">_xll.BDH($C$28,"NET_DEBT_%_CAPITAL","FQ4 2015","FQ4 2015","Currency=INR","Period=FQ","BEST_FPERIOD_OVERRIDE=FQ","FILING_STATUS=OR","EQY_CONSOLIDATED=Y","Sort=A","Dates=H","DateFormat=P","Fill=—","Direction=H","UseDPDF=Y")</f>
        <v>#NAME?</v>
      </c>
      <c r="CP37" s="2" t="e">
        <f ca="1">_xll.BDH($C$28,"EBITDA","FQ4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7" s="2" t="e">
        <f ca="1">_xll.BDH($C$28,"EBITDA_AFTER_CAPEX","FQ4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7" s="2" t="e">
        <f ca="1">_xll.BDH($C$28,"IS_OPER_INC","FQ4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7" s="1" t="e">
        <f ca="1">_xll.BDH($C$28,"CASH_RATIO","FQ4 2015","FQ4 2015","Currency=INR","Period=FQ","BEST_FPERIOD_OVERRIDE=FQ","FILING_STATUS=OR","EQY_CONSOLIDATED=Y","Sort=A","Dates=H","DateFormat=P","Fill=—","Direction=H","UseDPDF=Y")</f>
        <v>#NAME?</v>
      </c>
      <c r="CT37" s="1" t="e">
        <f ca="1">_xll.BDH($C$28,"CUR_RATIO","FQ4 2015","FQ4 2015","Currency=INR","Period=FQ","BEST_FPERIOD_OVERRIDE=FQ","FILING_STATUS=OR","EQY_CONSOLIDATED=Y","Sort=A","Dates=H","DateFormat=P","Fill=—","Direction=H","UseDPDF=Y")</f>
        <v>#NAME?</v>
      </c>
      <c r="CU37" s="1" t="e">
        <f ca="1">_xll.BDH($C$28,"QUICK_RATIO","FQ4 2015","FQ4 2015","Currency=INR","Period=FQ","BEST_FPERIOD_OVERRIDE=FQ","FILING_STATUS=OR","EQY_CONSOLIDATED=Y","Sort=A","Dates=H","DateFormat=P","Fill=—","Direction=H","UseDPDF=Y")</f>
        <v>#NAME?</v>
      </c>
      <c r="CV37" s="1" t="e">
        <f ca="1">_xll.BDH($C$28,"ALTMAN_Z_SCORE","FQ4 2015","FQ4 2015","Currency=INR","Period=FQ","BEST_FPERIOD_OVERRIDE=FQ","FILING_STATUS=OR","EQY_CONSOLIDATED=Y","Sort=A","Dates=H","DateFormat=P","Fill=—","Direction=H","UseDPDF=Y")</f>
        <v>#NAME?</v>
      </c>
      <c r="CW37" s="3" t="e">
        <f ca="1">_xll.BDH($C$28,"ACCT_RCV_TURN","FQ4 2015","FQ4 2015","Currency=INR","Period=FQ","BEST_FPERIOD_OVERRIDE=FQ","FILING_STATUS=OR","EQY_CONSOLIDATED=Y","FA_ADJUSTED=GAAP","Sort=A","Dates=H","DateFormat=P","Fill=—","Direction=H","UseDPDF=Y")</f>
        <v>#NAME?</v>
      </c>
      <c r="CX37" s="1" t="e">
        <f ca="1">_xll.BDH($C$28,"ACCT_RCV_DAYS","FQ4 2015","FQ4 2015","Currency=INR","Period=FQ","BEST_FPERIOD_OVERRIDE=FQ","FILING_STATUS=OR","EQY_CONSOLIDATED=Y","FA_ADJUSTED=GAAP","Sort=A","Dates=H","DateFormat=P","Fill=—","Direction=H","UseDPDF=Y")</f>
        <v>#NAME?</v>
      </c>
      <c r="CY37" s="3" t="e">
        <f ca="1">_xll.BDH($C$28,"INVENT_TURN","FQ4 2015","FQ4 2015","Currency=INR","Period=FQ","BEST_FPERIOD_OVERRIDE=FQ","FILING_STATUS=OR","EQY_CONSOLIDATED=Y","FA_ADJUSTED=GAAP","Sort=A","Dates=H","DateFormat=P","Fill=—","Direction=H","UseDPDF=Y")</f>
        <v>#NAME?</v>
      </c>
      <c r="CZ37" s="1" t="e">
        <f ca="1">_xll.BDH($C$28,"INVENT_DAYS","FQ4 2015","FQ4 2015","Currency=INR","Period=FQ","BEST_FPERIOD_OVERRIDE=FQ","FILING_STATUS=OR","EQY_CONSOLIDATED=Y","FA_ADJUSTED=GAAP","Sort=A","Dates=H","DateFormat=P","Fill=—","Direction=H","UseDPDF=Y")</f>
        <v>#NAME?</v>
      </c>
      <c r="DA37" s="3" t="e">
        <f ca="1">_xll.BDH($C$28,"ACCOUNTS_PAYABLE_TURNOVER","FQ4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7" s="1" t="e">
        <f ca="1">_xll.BDH($C$28,"ACCOUNTS_PAYABLE_TURNOVER_DAYS","FQ4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7" s="3" t="e">
        <f ca="1">_xll.BDH($C$28,"CASH_CONVERSION_CYCLE","FQ4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7" s="3" t="e">
        <f ca="1">_xll.BDH($C$28,"INV_TO_CASH_DAYS","FQ4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37" s="4" t="e">
        <f ca="1">_xll.BDH($C$28,"BS_INVENTORIES","FQ4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37" s="2" t="e">
        <f ca="1">_xll.BDH($C$28,"INVTRY_RAW_MATERIALS","FQ4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7" s="2" t="e">
        <f ca="1">_xll.BDH($C$28,"INVTRY_IN_PROGRESS","FQ4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7" s="2" t="e">
        <f ca="1">_xll.BDH($C$28,"INVTRY_FINISHED_GOODS","FQ4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7" s="2" t="e">
        <f ca="1">_xll.BDH($C$28,"BS_OTHER_INV","FQ4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8" spans="1:113" x14ac:dyDescent="0.3">
      <c r="A38" s="6"/>
      <c r="B38" s="6"/>
      <c r="C38" s="6"/>
      <c r="D38" s="6" t="s">
        <v>9</v>
      </c>
      <c r="E38" t="s">
        <v>3</v>
      </c>
      <c r="F38" t="e">
        <f ca="1">_xll.BDH($C$28,"RETURN_COM_EQY","FY 2016","FY 2016","Currency=INR","Period=FY","BEST_FPERIOD_OVERRIDE=FY","FILING_STATUS=OR","EQY_CONSOLIDATED=Y","FA_ADJUSTED=GAAP","Sort=A","Dates=H","DateFormat=P","Fill=—","Direction=H","UseDPDF=Y")</f>
        <v>#NAME?</v>
      </c>
      <c r="G38" t="e">
        <f ca="1">_xll.BDH($C$28,"RETURN_ON_ASSET","FY 2016","FY 2016","Currency=INR","Period=FY","BEST_FPERIOD_OVERRIDE=FY","FILING_STATUS=OR","EQY_CONSOLIDATED=Y","FA_ADJUSTED=GAAP","Sort=A","Dates=H","DateFormat=P","Fill=—","Direction=H","UseDPDF=Y")</f>
        <v>#NAME?</v>
      </c>
      <c r="H38" t="e">
        <f ca="1">_xll.BDH($C$28,"RETURN_ON_CAP","FY 2016","FY 2016","Currency=INR","Period=FY","BEST_FPERIOD_OVERRIDE=FY","FILING_STATUS=OR","EQY_CONSOLIDATED=Y","FA_ADJUSTED=GAAP","Sort=A","Dates=H","DateFormat=P","Fill=—","Direction=H","UseDPDF=Y")</f>
        <v>#NAME?</v>
      </c>
      <c r="I38" t="e">
        <f ca="1">_xll.BDH($C$28,"RETURN_ON_INV_CAPITAL","FY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8" t="e">
        <f ca="1">_xll.BDH($C$28,"EBITDA_TO_REVENUE","FY 2016","FY 2016","Currency=INR","Period=FY","BEST_FPERIOD_OVERRIDE=FY","FILING_STATUS=OR","EQY_CONSOLIDATED=Y","FA_ADJUSTED=GAAP","Sort=A","Dates=H","DateFormat=P","Fill=—","Direction=H","UseDPDF=Y")</f>
        <v>#NAME?</v>
      </c>
      <c r="K38" t="e">
        <f ca="1">_xll.BDH($C$28,"OPER_MARGIN","FY 2016","FY 2016","Currency=INR","Period=FY","BEST_FPERIOD_OVERRIDE=FY","FILING_STATUS=OR","EQY_CONSOLIDATED=Y","FA_ADJUSTED=GAAP","Sort=A","Dates=H","DateFormat=P","Fill=—","Direction=H","UseDPDF=Y")</f>
        <v>#NAME?</v>
      </c>
      <c r="L38" t="e">
        <f ca="1">_xll.BDH($C$28,"INCREMENTAL_OPERATING_MARGIN","FY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8" t="e">
        <f ca="1">_xll.BDH($C$28,"PRETAX_INC_TO_NET_SALES","FY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8" t="e">
        <f ca="1">_xll.BDH($C$28,"INC_BEF_XO_ITEMS_TO_NET_SALES","FY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8" t="e">
        <f ca="1">_xll.BDH($C$28,"PROF_MARGIN","FY 2016","FY 2016","Currency=INR","Period=FY","BEST_FPERIOD_OVERRIDE=FY","FILING_STATUS=OR","EQY_CONSOLIDATED=Y","FA_ADJUSTED=GAAP","Sort=A","Dates=H","DateFormat=P","Fill=—","Direction=H","UseDPDF=Y")</f>
        <v>#NAME?</v>
      </c>
      <c r="P38" t="e">
        <f ca="1">_xll.BDH($C$28,"NET_INCOME_TO_COMMON_MARGIN","FY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8" t="e">
        <f ca="1">_xll.BDH($C$28,"EFF_TAX_RATE","FY 2016","FY 2016","Currency=INR","Period=FY","BEST_FPERIOD_OVERRIDE=FY","FILING_STATUS=OR","EQY_CONSOLIDATED=Y","FA_ADJUSTED=GAAP","Sort=A","Dates=H","DateFormat=P","Fill=—","Direction=H","UseDPDF=Y")</f>
        <v>#NAME?</v>
      </c>
      <c r="R38" t="e">
        <f ca="1">_xll.BDH($C$28,"DVD_PAYOUT_RATIO","FY 2016","FY 2016","Currency=INR","Period=FY","BEST_FPERIOD_OVERRIDE=FY","FILING_STATUS=OR","EQY_CONSOLIDATED=Y","FA_ADJUSTED=GAAP","Sort=A","Dates=H","DateFormat=P","Fill=—","Direction=H","UseDPDF=Y")</f>
        <v>#NAME?</v>
      </c>
      <c r="S38" t="e">
        <f ca="1">_xll.BDH($C$28,"SUSTAIN_GROWTH_RT","FY 2016","FY 2016","Currency=INR","Period=FY","BEST_FPERIOD_OVERRIDE=FY","FILING_STATUS=OR","EQY_CONSOLIDATED=Y","FA_ADJUSTED=GAAP","Sort=A","Dates=H","DateFormat=P","Fill=—","Direction=H","UseDPDF=Y")</f>
        <v>#NAME?</v>
      </c>
      <c r="T38" s="1" t="e">
        <f ca="1">_xll.BDH($C$28,"SALES_GROWTH","FY 2016","FY 2016","Currency=INR","Period=FY","BEST_FPERIOD_OVERRIDE=FY","FILING_STATUS=OR","EQY_CONSOLIDATED=Y","FA_ADJUSTED=GAAP","Sort=A","Dates=H","DateFormat=P","Fill=—","Direction=H","UseDPDF=Y")</f>
        <v>#NAME?</v>
      </c>
      <c r="U38" s="1" t="e">
        <f ca="1">_xll.BDH($C$28,"EBITDA_GROWTH","FY 2016","FY 2016","Currency=INR","Period=FY","BEST_FPERIOD_OVERRIDE=FY","FILING_STATUS=OR","EQY_CONSOLIDATED=Y","FA_ADJUSTED=GAAP","Sort=A","Dates=H","DateFormat=P","Fill=—","Direction=H","UseDPDF=Y")</f>
        <v>#NAME?</v>
      </c>
      <c r="V38" s="1" t="e">
        <f ca="1">_xll.BDH($C$28,"OPER_INC_GROWTH","FY 2016","FY 2016","Currency=INR","Period=FY","BEST_FPERIOD_OVERRIDE=FY","FILING_STATUS=OR","EQY_CONSOLIDATED=Y","FA_ADJUSTED=GAAP","Sort=A","Dates=H","DateFormat=P","Fill=—","Direction=H","UseDPDF=Y")</f>
        <v>#NAME?</v>
      </c>
      <c r="W38" s="1" t="e">
        <f ca="1">_xll.BDH($C$28,"EARN_FOR_COM_GROWTH","FY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38" s="1" t="e">
        <f ca="1">_xll.BDH($C$28,"DILUTED_EPS_AFT_XO_ITEMS_GROWTH","FY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8" s="1" t="e">
        <f ca="1">_xll.BDH($C$28,"DIVIDEND_PER_SHARE_1_YEAR_GROWTH","FY 2016","FY 2016","Currency=INR","Period=FY","BEST_FPERIOD_OVERRIDE=FY","FILING_STATUS=OR","EQY_CONSOLIDATED=Y","Sort=A","Dates=H","DateFormat=P","Fill=—","Direction=H","UseDPDF=Y")</f>
        <v>#NAME?</v>
      </c>
      <c r="Z38" s="1" t="e">
        <f ca="1">_xll.BDH($C$28,"ACCOUNTS_RECEIVABLE_GROWTH","FY 2016","FY 2016","Currency=INR","Period=FY","BEST_FPERIOD_OVERRIDE=FY","FILING_STATUS=OR","EQY_CONSOLIDATED=Y","Sort=A","Dates=H","DateFormat=P","Fill=—","Direction=H","UseDPDF=Y")</f>
        <v>#NAME?</v>
      </c>
      <c r="AA38" s="1" t="e">
        <f ca="1">_xll.BDH($C$28,"INVENTORY_GROWTH","FY 2016","FY 2016","Currency=INR","Period=FY","BEST_FPERIOD_OVERRIDE=FY","FILING_STATUS=OR","EQY_CONSOLIDATED=Y","Sort=A","Dates=H","DateFormat=P","Fill=—","Direction=H","UseDPDF=Y")</f>
        <v>#NAME?</v>
      </c>
      <c r="AB38" s="1" t="e">
        <f ca="1">_xll.BDH($C$28,"NET_FIXED_ASSETS_1_YEAR_GROWTH","FY 2016","FY 2016","Currency=INR","Period=FY","BEST_FPERIOD_OVERRIDE=FY","FILING_STATUS=OR","EQY_CONSOLIDATED=Y","Sort=A","Dates=H","DateFormat=P","Fill=—","Direction=H","UseDPDF=Y")</f>
        <v>#NAME?</v>
      </c>
      <c r="AC38" s="1" t="e">
        <f ca="1">_xll.BDH($C$28,"ASSET_GROWTH","FY 2016","FY 2016","Currency=INR","Period=FY","BEST_FPERIOD_OVERRIDE=FY","FILING_STATUS=OR","EQY_CONSOLIDATED=Y","Sort=A","Dates=H","DateFormat=P","Fill=—","Direction=H","UseDPDF=Y")</f>
        <v>#NAME?</v>
      </c>
      <c r="AD38" s="1" t="e">
        <f ca="1">_xll.BDH($C$28,"MODIFIED_WORK_CAP_GROWTH","FY 2016","FY 2016","Currency=INR","Period=FY","BEST_FPERIOD_OVERRIDE=FY","FILING_STATUS=OR","EQY_CONSOLIDATED=Y","Sort=A","Dates=H","DateFormat=P","Fill=—","Direction=H","UseDPDF=Y")</f>
        <v>#NAME?</v>
      </c>
      <c r="AE38" s="1" t="e">
        <f ca="1">_xll.BDH($C$28,"WORK_CAP_GROWTH","FY 2016","FY 2016","Currency=INR","Period=FY","BEST_FPERIOD_OVERRIDE=FY","FILING_STATUS=OR","EQY_CONSOLIDATED=Y","Sort=A","Dates=H","DateFormat=P","Fill=—","Direction=H","UseDPDF=Y")</f>
        <v>#NAME?</v>
      </c>
      <c r="AF38" s="1" t="e">
        <f ca="1">_xll.BDH($C$28,"ACCOUNTS_PAYABLE_GROWTH_1YR","FY 2016","FY 2016","Currency=INR","Period=FY","BEST_FPERIOD_OVERRIDE=FY","FILING_STATUS=OR","EQY_CONSOLIDATED=Y","Sort=A","Dates=H","DateFormat=P","Fill=—","Direction=H","UseDPDF=Y")</f>
        <v>#NAME?</v>
      </c>
      <c r="AG38" s="1" t="e">
        <f ca="1">_xll.BDH($C$28,"SHORT_TERM_DEBT_1_YEAR_GROWTH","FY 2016","FY 2016","Currency=INR","Period=FY","BEST_FPERIOD_OVERRIDE=FY","FILING_STATUS=OR","EQY_CONSOLIDATED=Y","Sort=A","Dates=H","DateFormat=P","Fill=—","Direction=H","UseDPDF=Y")</f>
        <v>#NAME?</v>
      </c>
      <c r="AH38" s="1" t="e">
        <f ca="1">_xll.BDH($C$28,"TOTAL_DEBT_1_YEAR_GROWTH","FY 2016","FY 2016","Currency=INR","Period=FY","BEST_FPERIOD_OVERRIDE=FY","FILING_STATUS=OR","EQY_CONSOLIDATED=Y","Sort=A","Dates=H","DateFormat=P","Fill=—","Direction=H","UseDPDF=Y")</f>
        <v>#NAME?</v>
      </c>
      <c r="AI38" s="1" t="e">
        <f ca="1">_xll.BDH($C$28,"TOTAL_EQUITY_1_YEAR_GROWTH","FY 2016","FY 2016","Currency=INR","Period=FY","BEST_FPERIOD_OVERRIDE=FY","FILING_STATUS=OR","EQY_CONSOLIDATED=Y","Sort=A","Dates=H","DateFormat=P","Fill=—","Direction=H","UseDPDF=Y")</f>
        <v>#NAME?</v>
      </c>
      <c r="AJ38" s="1" t="e">
        <f ca="1">_xll.BDH($C$28,"GROWTH_IN_CAP","FY 2016","FY 2016","Currency=INR","Period=FY","BEST_FPERIOD_OVERRIDE=FY","FILING_STATUS=OR","EQY_CONSOLIDATED=Y","Sort=A","Dates=H","DateFormat=P","Fill=—","Direction=H","UseDPDF=Y")</f>
        <v>#NAME?</v>
      </c>
      <c r="AK38" s="1" t="e">
        <f ca="1">_xll.BDH($C$28,"BVPS_GROWTH","FY 2016","FY 2016","Currency=INR","Period=FY","BEST_FPERIOD_OVERRIDE=FY","FILING_STATUS=OR","EQY_CONSOLIDATED=Y","Sort=A","Dates=H","DateFormat=P","Fill=—","Direction=H","UseDPDF=Y")</f>
        <v>#NAME?</v>
      </c>
      <c r="AL38" s="1" t="e">
        <f ca="1">_xll.BDH($C$28,"CASH_FLOW_GROWTH","FY 2016","FY 2016","Currency=INR","Period=FY","BEST_FPERIOD_OVERRIDE=FY","FILING_STATUS=OR","EQY_CONSOLIDATED=Y","Sort=A","Dates=H","DateFormat=P","Fill=—","Direction=H","UseDPDF=Y")</f>
        <v>#NAME?</v>
      </c>
      <c r="AM38" s="1" t="e">
        <f ca="1">_xll.BDH($C$28,"GEO_GROW_NET_SALES","FY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38" s="1" t="e">
        <f ca="1">_xll.BDH($C$28,"GEO_GROW_EBITDA","FY 2016","FY 2016","Currency=INR","Period=FY","BEST_FPERIOD_OVERRIDE=FY","FILING_STATUS=OR","EQY_CONSOLIDATED=Y","FA_ADJUSTED=GAAP","Sort=A","Dates=H","DateFormat=P","Fill=—","Direction=H","UseDPDF=Y")</f>
        <v>#NAME?</v>
      </c>
      <c r="AO38" s="1" t="e">
        <f ca="1">_xll.BDH($C$28,"GEO_GROW_OPER_INC","FY 2016","FY 2016","Currency=INR","Period=FY","BEST_FPERIOD_OVERRIDE=FY","FILING_STATUS=OR","EQY_CONSOLIDATED=Y","FA_ADJUSTED=GAAP","Sort=A","Dates=H","DateFormat=P","Fill=—","Direction=H","UseDPDF=Y")</f>
        <v>#NAME?</v>
      </c>
      <c r="AP38" s="1" t="e">
        <f ca="1">_xll.BDH($C$28,"NET_INCOME_TO_COMMON_5_YR_GROWTH","FY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8" s="1" t="e">
        <f ca="1">_xll.BDH($C$28,"5Y_GEO_GROWTH_DILUTED_EPS","FY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8" s="1" t="e">
        <f ca="1">_xll.BDH($C$28,"GEO_GROW_DVD_PER_SH","FY 2016","FY 2016","Currency=INR","Period=FY","BEST_FPERIOD_OVERRIDE=FY","FILING_STATUS=OR","EQY_CONSOLIDATED=Y","Sort=A","Dates=H","DateFormat=P","Fill=—","Direction=H","UseDPDF=Y")</f>
        <v>#NAME?</v>
      </c>
      <c r="AS38" s="1" t="e">
        <f ca="1">_xll.BDH($C$28,"ACCOUNTS_RECEIVABLE_5_YR_GROWTH","FY 2016","FY 2016","Currency=INR","Period=FY","BEST_FPERIOD_OVERRIDE=FY","FILING_STATUS=OR","EQY_CONSOLIDATED=Y","Sort=A","Dates=H","DateFormat=P","Fill=—","Direction=H","UseDPDF=Y")</f>
        <v>#NAME?</v>
      </c>
      <c r="AT38" s="1" t="e">
        <f ca="1">_xll.BDH($C$28,"INVENTORY_5_YEAR_GROWTH","FY 2016","FY 2016","Currency=INR","Period=FY","BEST_FPERIOD_OVERRIDE=FY","FILING_STATUS=OR","EQY_CONSOLIDATED=Y","Sort=A","Dates=H","DateFormat=P","Fill=—","Direction=H","UseDPDF=Y")</f>
        <v>#NAME?</v>
      </c>
      <c r="AU38" s="1" t="e">
        <f ca="1">_xll.BDH($C$28,"NET_FIXED_ASSETS_5_YEAR_GROWTH","FY 2016","FY 2016","Currency=INR","Period=FY","BEST_FPERIOD_OVERRIDE=FY","FILING_STATUS=OR","EQY_CONSOLIDATED=Y","Sort=A","Dates=H","DateFormat=P","Fill=—","Direction=H","UseDPDF=Y")</f>
        <v>#NAME?</v>
      </c>
      <c r="AV38" s="1" t="e">
        <f ca="1">_xll.BDH($C$28,"GEO_GROW_TOT_ASSET","FY 2016","FY 2016","Currency=INR","Period=FY","BEST_FPERIOD_OVERRIDE=FY","FILING_STATUS=OR","EQY_CONSOLIDATED=Y","Sort=A","Dates=H","DateFormat=P","Fill=—","Direction=H","UseDPDF=Y")</f>
        <v>#NAME?</v>
      </c>
      <c r="AW38" s="1" t="e">
        <f ca="1">_xll.BDH($C$28,"MODIFIED_WORKING_CPTL_5YR_GRWTH","FY 2016","FY 2016","Currency=INR","Period=FY","BEST_FPERIOD_OVERRIDE=FY","FILING_STATUS=OR","EQY_CONSOLIDATED=Y","Sort=A","Dates=H","DateFormat=P","Fill=—","Direction=H","UseDPDF=Y")</f>
        <v>#NAME?</v>
      </c>
      <c r="AX38" s="1" t="e">
        <f ca="1">_xll.BDH($C$28,"WORKING_CAPITAL_5_YEAR_GROWTH","FY 2016","FY 2016","Currency=INR","Period=FY","BEST_FPERIOD_OVERRIDE=FY","FILING_STATUS=OR","EQY_CONSOLIDATED=Y","Sort=A","Dates=H","DateFormat=P","Fill=—","Direction=H","UseDPDF=Y")</f>
        <v>#NAME?</v>
      </c>
      <c r="AY38" s="1" t="e">
        <f ca="1">_xll.BDH($C$28,"ACCOUNTS_PAYABLE_5_YEAR_GROWTH","FY 2016","FY 2016","Currency=INR","Period=FY","BEST_FPERIOD_OVERRIDE=FY","FILING_STATUS=OR","EQY_CONSOLIDATED=Y","Sort=A","Dates=H","DateFormat=P","Fill=—","Direction=H","UseDPDF=Y")</f>
        <v>#NAME?</v>
      </c>
      <c r="AZ38" s="1" t="e">
        <f ca="1">_xll.BDH($C$28,"SHORT_TERM_DEBT_5_YEAR_GROWTH","FY 2016","FY 2016","Currency=INR","Period=FY","BEST_FPERIOD_OVERRIDE=FY","FILING_STATUS=OR","EQY_CONSOLIDATED=Y","Sort=A","Dates=H","DateFormat=P","Fill=—","Direction=H","UseDPDF=Y")</f>
        <v>#NAME?</v>
      </c>
      <c r="BA38" s="1" t="e">
        <f ca="1">_xll.BDH($C$28,"TOTAL_DEBT_5_YEAR_GROWTH","FY 2016","FY 2016","Currency=INR","Period=FY","BEST_FPERIOD_OVERRIDE=FY","FILING_STATUS=OR","EQY_CONSOLIDATED=Y","Sort=A","Dates=H","DateFormat=P","Fill=—","Direction=H","UseDPDF=Y")</f>
        <v>#NAME?</v>
      </c>
      <c r="BB38" s="1" t="e">
        <f ca="1">_xll.BDH($C$28,"GEO_GROW_TOT_SHRHLDR_EQY","FY 2016","FY 2016","Currency=INR","Period=FY","BEST_FPERIOD_OVERRIDE=FY","FILING_STATUS=OR","EQY_CONSOLIDATED=Y","Sort=A","Dates=H","DateFormat=P","Fill=—","Direction=H","UseDPDF=Y")</f>
        <v>#NAME?</v>
      </c>
      <c r="BC38" s="1" t="e">
        <f ca="1">_xll.BDH($C$28,"TOTAL_CAPITAL_5_YEAR_GROWTH","FY 2016","FY 2016","Currency=INR","Period=FY","BEST_FPERIOD_OVERRIDE=FY","FILING_STATUS=OR","EQY_CONSOLIDATED=Y","Sort=A","Dates=H","DateFormat=P","Fill=—","Direction=H","UseDPDF=Y")</f>
        <v>#NAME?</v>
      </c>
      <c r="BD38" s="1" t="e">
        <f ca="1">_xll.BDH($C$28,"GEO_GROW_BOOK_VAL","FY 2016","FY 2016","Currency=INR","Period=FY","BEST_FPERIOD_OVERRIDE=FY","FILING_STATUS=OR","EQY_CONSOLIDATED=Y","Sort=A","Dates=H","DateFormat=P","Fill=—","Direction=H","UseDPDF=Y")</f>
        <v>#NAME?</v>
      </c>
      <c r="BE38" s="1" t="e">
        <f ca="1">_xll.BDH($C$28,"GEO_GROW_CASH_OPER_ACT","FY 2016","FY 2016","Currency=INR","Period=FY","BEST_FPERIOD_OVERRIDE=FY","FILING_STATUS=OR","EQY_CONSOLIDATED=Y","Sort=A","Dates=H","DateFormat=P","Fill=—","Direction=H","UseDPDF=Y")</f>
        <v>#NAME?</v>
      </c>
      <c r="BF38" s="1" t="e">
        <f ca="1">_xll.BDH($C$28,"REVENUE_SEQUENTIAL_GROWTH","FY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8" s="1" t="e">
        <f ca="1">_xll.BDH($C$28,"EBITDA_SEQUENTIAL_GROWTH","FY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8" s="1" t="e">
        <f ca="1">_xll.BDH($C$28,"OPERATING_INCOME_SEQ_GROWTH","FY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8" s="1" t="e">
        <f ca="1">_xll.BDH($C$28,"NET_INCOME_TO_COMMON_SEQ_GROWTH","FY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8" s="1" t="e">
        <f ca="1">_xll.BDH($C$28,"EPS_DILUTED_SEQUENTIAL_GROWTH","FY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8" s="1" t="e">
        <f ca="1">_xll.BDH($C$28,"DPS_SEQUENTIAL_GROWTH","FY 2016","FY 2016","Currency=INR","Period=FY","BEST_FPERIOD_OVERRIDE=FY","FILING_STATUS=OR","EQY_CONSOLIDATED=Y","Sort=A","Dates=H","DateFormat=P","Fill=—","Direction=H","UseDPDF=Y")</f>
        <v>#NAME?</v>
      </c>
      <c r="BL38" s="1" t="e">
        <f ca="1">_xll.BDH($C$28,"ACCOUNTS_RECEIVABLE_SEQ_GROWTH","FY 2016","FY 2016","Currency=INR","Period=FY","BEST_FPERIOD_OVERRIDE=FY","FILING_STATUS=OR","EQY_CONSOLIDATED=Y","Sort=A","Dates=H","DateFormat=P","Fill=—","Direction=H","UseDPDF=Y")</f>
        <v>#NAME?</v>
      </c>
      <c r="BM38" s="1" t="e">
        <f ca="1">_xll.BDH($C$28,"INVENTORY_SEQUENTIAL_GROWTH","FY 2016","FY 2016","Currency=INR","Period=FY","BEST_FPERIOD_OVERRIDE=FY","FILING_STATUS=OR","EQY_CONSOLIDATED=Y","Sort=A","Dates=H","DateFormat=P","Fill=—","Direction=H","UseDPDF=Y")</f>
        <v>#NAME?</v>
      </c>
      <c r="BN38" s="1" t="e">
        <f ca="1">_xll.BDH($C$28,"FIXED_ASSETS_SEQUENTIAL_GROWTH","FY 2016","FY 2016","Currency=INR","Period=FY","BEST_FPERIOD_OVERRIDE=FY","FILING_STATUS=OR","EQY_CONSOLIDATED=Y","Sort=A","Dates=H","DateFormat=P","Fill=—","Direction=H","UseDPDF=Y")</f>
        <v>#NAME?</v>
      </c>
      <c r="BO38" s="1" t="e">
        <f ca="1">_xll.BDH($C$28,"TOTAL_ASSETS_SEQUENTIAL_GROWTH","FY 2016","FY 2016","Currency=INR","Period=FY","BEST_FPERIOD_OVERRIDE=FY","FILING_STATUS=OR","EQY_CONSOLIDATED=Y","Sort=A","Dates=H","DateFormat=P","Fill=—","Direction=H","UseDPDF=Y")</f>
        <v>#NAME?</v>
      </c>
      <c r="BP38" s="1" t="e">
        <f ca="1">_xll.BDH($C$28,"MODIFIED_WORKING_CPTL_SEQ_GRWTH","FY 2016","FY 2016","Currency=INR","Period=FY","BEST_FPERIOD_OVERRIDE=FY","FILING_STATUS=OR","EQY_CONSOLIDATED=Y","Sort=A","Dates=H","DateFormat=P","Fill=—","Direction=H","UseDPDF=Y")</f>
        <v>#NAME?</v>
      </c>
      <c r="BQ38" s="1" t="e">
        <f ca="1">_xll.BDH($C$28,"WORKING_CAPITAL_SEQ_GROWTH","FY 2016","FY 2016","Currency=INR","Period=FY","BEST_FPERIOD_OVERRIDE=FY","FILING_STATUS=OR","EQY_CONSOLIDATED=Y","Sort=A","Dates=H","DateFormat=P","Fill=—","Direction=H","UseDPDF=Y")</f>
        <v>#NAME?</v>
      </c>
      <c r="BR38" s="1" t="e">
        <f ca="1">_xll.BDH($C$28,"ACCOUNTS_PAYABLE_SEQ_GROWTH","FY 2016","FY 2016","Currency=INR","Period=FY","BEST_FPERIOD_OVERRIDE=FY","FILING_STATUS=OR","EQY_CONSOLIDATED=Y","Sort=A","Dates=H","DateFormat=P","Fill=—","Direction=H","UseDPDF=Y")</f>
        <v>#NAME?</v>
      </c>
      <c r="BS38" s="1" t="e">
        <f ca="1">_xll.BDH($C$28,"ST_DEBT_SEQUENTIAL_GROWTH","FY 2016","FY 2016","Currency=INR","Period=FY","BEST_FPERIOD_OVERRIDE=FY","FILING_STATUS=OR","EQY_CONSOLIDATED=Y","Sort=A","Dates=H","DateFormat=P","Fill=—","Direction=H","UseDPDF=Y")</f>
        <v>#NAME?</v>
      </c>
      <c r="BT38" s="1" t="e">
        <f ca="1">_xll.BDH($C$28,"TOTAL_DEBT_SEQUENTIAL_GROWTH","FY 2016","FY 2016","Currency=INR","Period=FY","BEST_FPERIOD_OVERRIDE=FY","FILING_STATUS=OR","EQY_CONSOLIDATED=Y","Sort=A","Dates=H","DateFormat=P","Fill=—","Direction=H","UseDPDF=Y")</f>
        <v>#NAME?</v>
      </c>
      <c r="BU38" s="1" t="e">
        <f ca="1">_xll.BDH($C$28,"TOTAL_EQUITY_SEQUENTIAL_GROWTH","FY 2016","FY 2016","Currency=INR","Period=FY","BEST_FPERIOD_OVERRIDE=FY","FILING_STATUS=OR","EQY_CONSOLIDATED=Y","Sort=A","Dates=H","DateFormat=P","Fill=—","Direction=H","UseDPDF=Y")</f>
        <v>#NAME?</v>
      </c>
      <c r="BV38" s="1" t="e">
        <f ca="1">_xll.BDH($C$28,"TOTAL_CAPITAL_SEQUENTIAL_GROWTH","FY 2016","FY 2016","Currency=INR","Period=FY","BEST_FPERIOD_OVERRIDE=FY","FILING_STATUS=OR","EQY_CONSOLIDATED=Y","Sort=A","Dates=H","DateFormat=P","Fill=—","Direction=H","UseDPDF=Y")</f>
        <v>#NAME?</v>
      </c>
      <c r="BW38" s="1" t="e">
        <f ca="1">_xll.BDH($C$28,"BPS_SEQUENTIAL_GROWTH","FY 2016","FY 2016","Currency=INR","Period=FY","BEST_FPERIOD_OVERRIDE=FY","FILING_STATUS=OR","EQY_CONSOLIDATED=Y","Sort=A","Dates=H","DateFormat=P","Fill=—","Direction=H","UseDPDF=Y")</f>
        <v>#NAME?</v>
      </c>
      <c r="BX38" s="1" t="e">
        <f ca="1">_xll.BDH($C$28,"CFO_SEQUENTIAL_GROWTH","FY 2016","FY 2016","Currency=INR","Period=FY","BEST_FPERIOD_OVERRIDE=FY","FILING_STATUS=OR","EQY_CONSOLIDATED=Y","Sort=A","Dates=H","DateFormat=P","Fill=—","Direction=H","UseDPDF=Y")</f>
        <v>#NAME?</v>
      </c>
      <c r="BY38" s="2" t="e">
        <f ca="1">_xll.BDH($C$28,"SHORT_AND_LONG_TERM_DEBT","FY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8" s="2" t="e">
        <f ca="1">_xll.BDH($C$28,"BS_ST_BORROW","FY 2016","FY 2016","Currency=INR","Period=FY","BEST_FPERIOD_OVERRIDE=FY","FILING_STATUS=OR","EQY_CONSOLIDATED=Y","SCALING_FORMAT=MLN","Sort=A","Dates=H","DateFormat=P","Fill=—","Direction=H","UseDPDF=Y")</f>
        <v>#NAME?</v>
      </c>
      <c r="CA38" s="2" t="e">
        <f ca="1">_xll.BDH($C$28,"BS_LT_BORROW","FY 2016","FY 2016","Currency=INR","Period=FY","BEST_FPERIOD_OVERRIDE=FY","FILING_STATUS=OR","EQY_CONSOLIDATED=Y","SCALING_FORMAT=MLN","Sort=A","Dates=H","DateFormat=P","Fill=—","Direction=H","UseDPDF=Y")</f>
        <v>#NAME?</v>
      </c>
      <c r="CB38" s="1" t="e">
        <f ca="1">_xll.BDH($C$28,"TOT_DEBT_TO_EBITDA","FY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38" s="1" t="e">
        <f ca="1">_xll.BDH($C$28,"NET_DEBT_TO_EBITDA","FY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38" s="1" t="e">
        <f ca="1">_xll.BDH($C$28,"TOTAL_DEBT_TO_EBIT","FY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38" s="1" t="e">
        <f ca="1">_xll.BDH($C$28,"NET_DEBT_TO_EBIT","FY 2016","FY 2016","Currency=INR","Period=FY","BEST_FPERIOD_OVERRIDE=FY","FILING_STATUS=OR","EQY_CONSOLIDATED=Y","FA_ADJUSTED=GAAP","Sort=A","Dates=H","DateFormat=P","Fill=—","Direction=H","UseDPDF=Y")</f>
        <v>#NAME?</v>
      </c>
      <c r="CF38" s="1" t="e">
        <f ca="1">_xll.BDH($C$28,"EBITDA_TO_INTEREST_EXPN","FY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8" s="1" t="e">
        <f ca="1">_xll.BDH($C$28,"COM_EQY_TO_TOT_ASSET","FY 2016","FY 2016","Currency=INR","Period=FY","BEST_FPERIOD_OVERRIDE=FY","FILING_STATUS=OR","EQY_CONSOLIDATED=Y","Sort=A","Dates=H","DateFormat=P","Fill=—","Direction=H","UseDPDF=Y")</f>
        <v>#NAME?</v>
      </c>
      <c r="CH38" s="1" t="e">
        <f ca="1">_xll.BDH($C$28,"LT_DEBT_TO_TOT_EQY","FY 2016","FY 2016","Currency=INR","Period=FY","BEST_FPERIOD_OVERRIDE=FY","FILING_STATUS=OR","EQY_CONSOLIDATED=Y","Sort=A","Dates=H","DateFormat=P","Fill=—","Direction=H","UseDPDF=Y")</f>
        <v>#NAME?</v>
      </c>
      <c r="CI38" s="1" t="e">
        <f ca="1">_xll.BDH($C$28,"LT_DEBT_TO_TOT_CAP","FY 2016","FY 2016","Currency=INR","Period=FY","BEST_FPERIOD_OVERRIDE=FY","FILING_STATUS=OR","EQY_CONSOLIDATED=Y","Sort=A","Dates=H","DateFormat=P","Fill=—","Direction=H","UseDPDF=Y")</f>
        <v>#NAME?</v>
      </c>
      <c r="CJ38" s="1" t="e">
        <f ca="1">_xll.BDH($C$28,"LT_DEBT_TO_TOT_ASSET","FY 2016","FY 2016","Currency=INR","Period=FY","BEST_FPERIOD_OVERRIDE=FY","FILING_STATUS=OR","EQY_CONSOLIDATED=Y","Sort=A","Dates=H","DateFormat=P","Fill=—","Direction=H","UseDPDF=Y")</f>
        <v>#NAME?</v>
      </c>
      <c r="CK38" s="1" t="e">
        <f ca="1">_xll.BDH($C$28,"TOT_DEBT_TO_TOT_EQY","FY 2016","FY 2016","Currency=INR","Period=FY","BEST_FPERIOD_OVERRIDE=FY","FILING_STATUS=OR","EQY_CONSOLIDATED=Y","Sort=A","Dates=H","DateFormat=P","Fill=—","Direction=H","UseDPDF=Y")</f>
        <v>#NAME?</v>
      </c>
      <c r="CL38" s="1" t="e">
        <f ca="1">_xll.BDH($C$28,"TOT_DEBT_TO_TOT_CAP","FY 2016","FY 2016","Currency=INR","Period=FY","BEST_FPERIOD_OVERRIDE=FY","FILING_STATUS=OR","EQY_CONSOLIDATED=Y","Sort=A","Dates=H","DateFormat=P","Fill=—","Direction=H","UseDPDF=Y")</f>
        <v>#NAME?</v>
      </c>
      <c r="CM38" s="1" t="e">
        <f ca="1">_xll.BDH($C$28,"TOT_DEBT_TO_TOT_ASSET","FY 2016","FY 2016","Currency=INR","Period=FY","BEST_FPERIOD_OVERRIDE=FY","FILING_STATUS=OR","EQY_CONSOLIDATED=Y","Sort=A","Dates=H","DateFormat=P","Fill=—","Direction=H","UseDPDF=Y")</f>
        <v>#NAME?</v>
      </c>
      <c r="CN38" s="1" t="e">
        <f ca="1">_xll.BDH($C$28,"NET_DEBT_TO_SHRHLDR_EQTY","FY 2016","FY 2016","Currency=INR","Period=FY","BEST_FPERIOD_OVERRIDE=FY","FILING_STATUS=OR","EQY_CONSOLIDATED=Y","Sort=A","Dates=H","DateFormat=P","Fill=—","Direction=H","UseDPDF=Y")</f>
        <v>#NAME?</v>
      </c>
      <c r="CO38" s="1" t="e">
        <f ca="1">_xll.BDH($C$28,"NET_DEBT_%_CAPITAL","FY 2016","FY 2016","Currency=INR","Period=FY","BEST_FPERIOD_OVERRIDE=FY","FILING_STATUS=OR","EQY_CONSOLIDATED=Y","Sort=A","Dates=H","DateFormat=P","Fill=—","Direction=H","UseDPDF=Y")</f>
        <v>#NAME?</v>
      </c>
      <c r="CP38" s="2" t="e">
        <f ca="1">_xll.BDH($C$28,"EBITDA","FY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8" s="2" t="e">
        <f ca="1">_xll.BDH($C$28,"EBITDA_AFTER_CAPEX","FY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8" s="2" t="e">
        <f ca="1">_xll.BDH($C$28,"IS_OPER_INC","FY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8" s="1" t="e">
        <f ca="1">_xll.BDH($C$28,"CASH_RATIO","FY 2016","FY 2016","Currency=INR","Period=FY","BEST_FPERIOD_OVERRIDE=FY","FILING_STATUS=OR","EQY_CONSOLIDATED=Y","Sort=A","Dates=H","DateFormat=P","Fill=—","Direction=H","UseDPDF=Y")</f>
        <v>#NAME?</v>
      </c>
      <c r="CT38" s="1" t="e">
        <f ca="1">_xll.BDH($C$28,"CUR_RATIO","FY 2016","FY 2016","Currency=INR","Period=FY","BEST_FPERIOD_OVERRIDE=FY","FILING_STATUS=OR","EQY_CONSOLIDATED=Y","Sort=A","Dates=H","DateFormat=P","Fill=—","Direction=H","UseDPDF=Y")</f>
        <v>#NAME?</v>
      </c>
      <c r="CU38" s="1" t="e">
        <f ca="1">_xll.BDH($C$28,"QUICK_RATIO","FY 2016","FY 2016","Currency=INR","Period=FY","BEST_FPERIOD_OVERRIDE=FY","FILING_STATUS=OR","EQY_CONSOLIDATED=Y","Sort=A","Dates=H","DateFormat=P","Fill=—","Direction=H","UseDPDF=Y")</f>
        <v>#NAME?</v>
      </c>
      <c r="CV38" s="1" t="e">
        <f ca="1">_xll.BDH($C$28,"ALTMAN_Z_SCORE","FY 2016","FY 2016","Currency=INR","Period=FY","BEST_FPERIOD_OVERRIDE=FY","FILING_STATUS=OR","EQY_CONSOLIDATED=Y","Sort=A","Dates=H","DateFormat=P","Fill=—","Direction=H","UseDPDF=Y")</f>
        <v>#NAME?</v>
      </c>
      <c r="CW38" s="3" t="e">
        <f ca="1">_xll.BDH($C$28,"ACCT_RCV_TURN","FY 2016","FY 2016","Currency=INR","Period=FY","BEST_FPERIOD_OVERRIDE=FY","FILING_STATUS=OR","EQY_CONSOLIDATED=Y","FA_ADJUSTED=GAAP","Sort=A","Dates=H","DateFormat=P","Fill=—","Direction=H","UseDPDF=Y")</f>
        <v>#NAME?</v>
      </c>
      <c r="CX38" s="1" t="e">
        <f ca="1">_xll.BDH($C$28,"ACCT_RCV_DAYS","FY 2016","FY 2016","Currency=INR","Period=FY","BEST_FPERIOD_OVERRIDE=FY","FILING_STATUS=OR","EQY_CONSOLIDATED=Y","FA_ADJUSTED=GAAP","Sort=A","Dates=H","DateFormat=P","Fill=—","Direction=H","UseDPDF=Y")</f>
        <v>#NAME?</v>
      </c>
      <c r="CY38" s="3" t="e">
        <f ca="1">_xll.BDH($C$28,"INVENT_TURN","FY 2016","FY 2016","Currency=INR","Period=FY","BEST_FPERIOD_OVERRIDE=FY","FILING_STATUS=OR","EQY_CONSOLIDATED=Y","FA_ADJUSTED=GAAP","Sort=A","Dates=H","DateFormat=P","Fill=—","Direction=H","UseDPDF=Y")</f>
        <v>#NAME?</v>
      </c>
      <c r="CZ38" s="1" t="e">
        <f ca="1">_xll.BDH($C$28,"INVENT_DAYS","FY 2016","FY 2016","Currency=INR","Period=FY","BEST_FPERIOD_OVERRIDE=FY","FILING_STATUS=OR","EQY_CONSOLIDATED=Y","FA_ADJUSTED=GAAP","Sort=A","Dates=H","DateFormat=P","Fill=—","Direction=H","UseDPDF=Y")</f>
        <v>#NAME?</v>
      </c>
      <c r="DA38" s="3" t="e">
        <f ca="1">_xll.BDH($C$28,"ACCOUNTS_PAYABLE_TURNOVER","FY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8" s="1" t="e">
        <f ca="1">_xll.BDH($C$28,"ACCOUNTS_PAYABLE_TURNOVER_DAYS","FY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8" s="3" t="e">
        <f ca="1">_xll.BDH($C$28,"CASH_CONVERSION_CYCLE","FY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8" s="3" t="e">
        <f ca="1">_xll.BDH($C$28,"INV_TO_CASH_DAYS","FY 2016","FY 2016","Currency=INR","Period=FY","BEST_FPERIOD_OVERRIDE=FY","FILING_STATUS=OR","EQY_CONSOLIDATED=Y","FA_ADJUSTED=GAAP","Sort=A","Dates=H","DateFormat=P","Fill=—","Direction=H","UseDPDF=Y")</f>
        <v>#NAME?</v>
      </c>
      <c r="DE38" s="4" t="e">
        <f ca="1">_xll.BDH($C$28,"BS_INVENTORIES","FY 2016","FY 2016","Currency=INR","Period=FY","BEST_FPERIOD_OVERRIDE=FY","FILING_STATUS=OR","EQY_CONSOLIDATED=Y","SCALING_FORMAT=MLN","Sort=A","Dates=H","DateFormat=P","Fill=—","Direction=H","UseDPDF=Y")</f>
        <v>#NAME?</v>
      </c>
      <c r="DF38" s="2" t="e">
        <f ca="1">_xll.BDH($C$28,"INVTRY_RAW_MATERIALS","FY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8" s="2" t="e">
        <f ca="1">_xll.BDH($C$28,"INVTRY_IN_PROGRESS","FY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8" s="2" t="e">
        <f ca="1">_xll.BDH($C$28,"INVTRY_FINISHED_GOODS","FY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8" s="2" t="e">
        <f ca="1">_xll.BDH($C$28,"BS_OTHER_INV","FY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9" spans="1:113" x14ac:dyDescent="0.3">
      <c r="A39" s="6"/>
      <c r="B39" s="6"/>
      <c r="C39" s="6"/>
      <c r="D39" s="6"/>
      <c r="E39" t="s">
        <v>4</v>
      </c>
      <c r="F39" t="e">
        <f ca="1">_xll.BDH($C$28,"RETURN_COM_EQY","FQ1 2016","FQ1 2016","Currency=INR","Period=FQ","BEST_FPERIOD_OVERRIDE=FQ","FILING_STATUS=OR","EQY_CONSOLIDATED=Y","FA_ADJUSTED=GAAP","Sort=A","Dates=H","DateFormat=P","Fill=—","Direction=H","UseDPDF=Y")</f>
        <v>#NAME?</v>
      </c>
      <c r="G39" t="e">
        <f ca="1">_xll.BDH($C$28,"RETURN_ON_ASSET","FQ1 2016","FQ1 2016","Currency=INR","Period=FQ","BEST_FPERIOD_OVERRIDE=FQ","FILING_STATUS=OR","EQY_CONSOLIDATED=Y","FA_ADJUSTED=GAAP","Sort=A","Dates=H","DateFormat=P","Fill=—","Direction=H","UseDPDF=Y")</f>
        <v>#NAME?</v>
      </c>
      <c r="H39" t="e">
        <f ca="1">_xll.BDH($C$28,"RETURN_ON_CAP","FQ1 2016","FQ1 2016","Currency=INR","Period=FQ","BEST_FPERIOD_OVERRIDE=FQ","FILING_STATUS=OR","EQY_CONSOLIDATED=Y","FA_ADJUSTED=GAAP","Sort=A","Dates=H","DateFormat=P","Fill=—","Direction=H","UseDPDF=Y")</f>
        <v>#NAME?</v>
      </c>
      <c r="I39" t="e">
        <f ca="1">_xll.BDH($C$28,"RETURN_ON_INV_CAPITAL","FQ1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9" t="e">
        <f ca="1">_xll.BDH($C$28,"EBITDA_TO_REVENUE","FQ1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39" t="e">
        <f ca="1">_xll.BDH($C$28,"OPER_MARGIN","FQ1 2016","FQ1 2016","Currency=INR","Period=FQ","BEST_FPERIOD_OVERRIDE=FQ","FILING_STATUS=OR","EQY_CONSOLIDATED=Y","FA_ADJUSTED=GAAP","Sort=A","Dates=H","DateFormat=P","Fill=—","Direction=H","UseDPDF=Y")</f>
        <v>#NAME?</v>
      </c>
      <c r="L39" t="e">
        <f ca="1">_xll.BDH($C$28,"INCREMENTAL_OPERATING_MARGIN","FQ1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9" t="e">
        <f ca="1">_xll.BDH($C$28,"PRETAX_INC_TO_NET_SALES","FQ1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9" t="e">
        <f ca="1">_xll.BDH($C$28,"INC_BEF_XO_ITEMS_TO_NET_SALES","FQ1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9" t="e">
        <f ca="1">_xll.BDH($C$28,"PROF_MARGIN","FQ1 2016","FQ1 2016","Currency=INR","Period=FQ","BEST_FPERIOD_OVERRIDE=FQ","FILING_STATUS=OR","EQY_CONSOLIDATED=Y","FA_ADJUSTED=GAAP","Sort=A","Dates=H","DateFormat=P","Fill=—","Direction=H","UseDPDF=Y")</f>
        <v>#NAME?</v>
      </c>
      <c r="P39" t="e">
        <f ca="1">_xll.BDH($C$28,"NET_INCOME_TO_COMMON_MARGIN","FQ1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9" t="e">
        <f ca="1">_xll.BDH($C$28,"EFF_TAX_RATE","FQ1 2016","FQ1 2016","Currency=INR","Period=FQ","BEST_FPERIOD_OVERRIDE=FQ","FILING_STATUS=OR","EQY_CONSOLIDATED=Y","FA_ADJUSTED=GAAP","Sort=A","Dates=H","DateFormat=P","Fill=—","Direction=H","UseDPDF=Y")</f>
        <v>#NAME?</v>
      </c>
      <c r="R39" t="e">
        <f ca="1">_xll.BDH($C$28,"DVD_PAYOUT_RATIO","FQ1 2016","FQ1 2016","Currency=INR","Period=FQ","BEST_FPERIOD_OVERRIDE=FQ","FILING_STATUS=OR","EQY_CONSOLIDATED=Y","FA_ADJUSTED=GAAP","Sort=A","Dates=H","DateFormat=P","Fill=—","Direction=H","UseDPDF=Y")</f>
        <v>#NAME?</v>
      </c>
      <c r="S39" t="e">
        <f ca="1">_xll.BDH($C$28,"SUSTAIN_GROWTH_RT","FQ1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39" s="1" t="e">
        <f ca="1">_xll.BDH($C$28,"SALES_GROWTH","FQ1 2016","FQ1 2016","Currency=INR","Period=FQ","BEST_FPERIOD_OVERRIDE=FQ","FILING_STATUS=OR","EQY_CONSOLIDATED=Y","FA_ADJUSTED=GAAP","Sort=A","Dates=H","DateFormat=P","Fill=—","Direction=H","UseDPDF=Y")</f>
        <v>#NAME?</v>
      </c>
      <c r="U39" s="1" t="e">
        <f ca="1">_xll.BDH($C$28,"EBITDA_GROWTH","FQ1 2016","FQ1 2016","Currency=INR","Period=FQ","BEST_FPERIOD_OVERRIDE=FQ","FILING_STATUS=OR","EQY_CONSOLIDATED=Y","FA_ADJUSTED=GAAP","Sort=A","Dates=H","DateFormat=P","Fill=—","Direction=H","UseDPDF=Y")</f>
        <v>#NAME?</v>
      </c>
      <c r="V39" s="1" t="e">
        <f ca="1">_xll.BDH($C$28,"OPER_INC_GROWTH","FQ1 2016","FQ1 2016","Currency=INR","Period=FQ","BEST_FPERIOD_OVERRIDE=FQ","FILING_STATUS=OR","EQY_CONSOLIDATED=Y","FA_ADJUSTED=GAAP","Sort=A","Dates=H","DateFormat=P","Fill=—","Direction=H","UseDPDF=Y")</f>
        <v>#NAME?</v>
      </c>
      <c r="W39" s="1" t="e">
        <f ca="1">_xll.BDH($C$28,"EARN_FOR_COM_GROWTH","FQ1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9" s="1" t="e">
        <f ca="1">_xll.BDH($C$28,"DILUTED_EPS_AFT_XO_ITEMS_GROWTH","FQ1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9" s="1" t="e">
        <f ca="1">_xll.BDH($C$28,"DIVIDEND_PER_SHARE_1_YEAR_GROWTH","FQ1 2016","FQ1 2016","Currency=INR","Period=FQ","BEST_FPERIOD_OVERRIDE=FQ","FILING_STATUS=OR","EQY_CONSOLIDATED=Y","Sort=A","Dates=H","DateFormat=P","Fill=—","Direction=H","UseDPDF=Y")</f>
        <v>#NAME?</v>
      </c>
      <c r="Z39" s="1" t="e">
        <f ca="1">_xll.BDH($C$28,"ACCOUNTS_RECEIVABLE_GROWTH","FQ1 2016","FQ1 2016","Currency=INR","Period=FQ","BEST_FPERIOD_OVERRIDE=FQ","FILING_STATUS=OR","EQY_CONSOLIDATED=Y","Sort=A","Dates=H","DateFormat=P","Fill=—","Direction=H","UseDPDF=Y")</f>
        <v>#NAME?</v>
      </c>
      <c r="AA39" s="1" t="e">
        <f ca="1">_xll.BDH($C$28,"INVENTORY_GROWTH","FQ1 2016","FQ1 2016","Currency=INR","Period=FQ","BEST_FPERIOD_OVERRIDE=FQ","FILING_STATUS=OR","EQY_CONSOLIDATED=Y","Sort=A","Dates=H","DateFormat=P","Fill=—","Direction=H","UseDPDF=Y")</f>
        <v>#NAME?</v>
      </c>
      <c r="AB39" s="1" t="e">
        <f ca="1">_xll.BDH($C$28,"NET_FIXED_ASSETS_1_YEAR_GROWTH","FQ1 2016","FQ1 2016","Currency=INR","Period=FQ","BEST_FPERIOD_OVERRIDE=FQ","FILING_STATUS=OR","EQY_CONSOLIDATED=Y","Sort=A","Dates=H","DateFormat=P","Fill=—","Direction=H","UseDPDF=Y")</f>
        <v>#NAME?</v>
      </c>
      <c r="AC39" s="1" t="e">
        <f ca="1">_xll.BDH($C$28,"ASSET_GROWTH","FQ1 2016","FQ1 2016","Currency=INR","Period=FQ","BEST_FPERIOD_OVERRIDE=FQ","FILING_STATUS=OR","EQY_CONSOLIDATED=Y","Sort=A","Dates=H","DateFormat=P","Fill=—","Direction=H","UseDPDF=Y")</f>
        <v>#NAME?</v>
      </c>
      <c r="AD39" s="1" t="e">
        <f ca="1">_xll.BDH($C$28,"MODIFIED_WORK_CAP_GROWTH","FQ1 2016","FQ1 2016","Currency=INR","Period=FQ","BEST_FPERIOD_OVERRIDE=FQ","FILING_STATUS=OR","EQY_CONSOLIDATED=Y","Sort=A","Dates=H","DateFormat=P","Fill=—","Direction=H","UseDPDF=Y")</f>
        <v>#NAME?</v>
      </c>
      <c r="AE39" s="1" t="e">
        <f ca="1">_xll.BDH($C$28,"WORK_CAP_GROWTH","FQ1 2016","FQ1 2016","Currency=INR","Period=FQ","BEST_FPERIOD_OVERRIDE=FQ","FILING_STATUS=OR","EQY_CONSOLIDATED=Y","Sort=A","Dates=H","DateFormat=P","Fill=—","Direction=H","UseDPDF=Y")</f>
        <v>#NAME?</v>
      </c>
      <c r="AF39" s="1" t="e">
        <f ca="1">_xll.BDH($C$28,"ACCOUNTS_PAYABLE_GROWTH_1YR","FQ1 2016","FQ1 2016","Currency=INR","Period=FQ","BEST_FPERIOD_OVERRIDE=FQ","FILING_STATUS=OR","EQY_CONSOLIDATED=Y","Sort=A","Dates=H","DateFormat=P","Fill=—","Direction=H","UseDPDF=Y")</f>
        <v>#NAME?</v>
      </c>
      <c r="AG39" s="1" t="e">
        <f ca="1">_xll.BDH($C$28,"SHORT_TERM_DEBT_1_YEAR_GROWTH","FQ1 2016","FQ1 2016","Currency=INR","Period=FQ","BEST_FPERIOD_OVERRIDE=FQ","FILING_STATUS=OR","EQY_CONSOLIDATED=Y","Sort=A","Dates=H","DateFormat=P","Fill=—","Direction=H","UseDPDF=Y")</f>
        <v>#NAME?</v>
      </c>
      <c r="AH39" s="1" t="e">
        <f ca="1">_xll.BDH($C$28,"TOTAL_DEBT_1_YEAR_GROWTH","FQ1 2016","FQ1 2016","Currency=INR","Period=FQ","BEST_FPERIOD_OVERRIDE=FQ","FILING_STATUS=OR","EQY_CONSOLIDATED=Y","Sort=A","Dates=H","DateFormat=P","Fill=—","Direction=H","UseDPDF=Y")</f>
        <v>#NAME?</v>
      </c>
      <c r="AI39" s="1" t="e">
        <f ca="1">_xll.BDH($C$28,"TOTAL_EQUITY_1_YEAR_GROWTH","FQ1 2016","FQ1 2016","Currency=INR","Period=FQ","BEST_FPERIOD_OVERRIDE=FQ","FILING_STATUS=OR","EQY_CONSOLIDATED=Y","Sort=A","Dates=H","DateFormat=P","Fill=—","Direction=H","UseDPDF=Y")</f>
        <v>#NAME?</v>
      </c>
      <c r="AJ39" s="1" t="e">
        <f ca="1">_xll.BDH($C$28,"GROWTH_IN_CAP","FQ1 2016","FQ1 2016","Currency=INR","Period=FQ","BEST_FPERIOD_OVERRIDE=FQ","FILING_STATUS=OR","EQY_CONSOLIDATED=Y","Sort=A","Dates=H","DateFormat=P","Fill=—","Direction=H","UseDPDF=Y")</f>
        <v>#NAME?</v>
      </c>
      <c r="AK39" s="1" t="e">
        <f ca="1">_xll.BDH($C$28,"BVPS_GROWTH","FQ1 2016","FQ1 2016","Currency=INR","Period=FQ","BEST_FPERIOD_OVERRIDE=FQ","FILING_STATUS=OR","EQY_CONSOLIDATED=Y","Sort=A","Dates=H","DateFormat=P","Fill=—","Direction=H","UseDPDF=Y")</f>
        <v>#NAME?</v>
      </c>
      <c r="AL39" s="1" t="e">
        <f ca="1">_xll.BDH($C$28,"CASH_FLOW_GROWTH","FQ1 2016","FQ1 2016","Currency=INR","Period=FQ","BEST_FPERIOD_OVERRIDE=FQ","FILING_STATUS=OR","EQY_CONSOLIDATED=Y","Sort=A","Dates=H","DateFormat=P","Fill=—","Direction=H","UseDPDF=Y")</f>
        <v>#NAME?</v>
      </c>
      <c r="AM39" s="1" t="e">
        <f ca="1">_xll.BDH($C$28,"GEO_GROW_NET_SALES","FQ1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9" s="1" t="e">
        <f ca="1">_xll.BDH($C$28,"GEO_GROW_EBITDA","FQ1 2016","FQ1 2016","Currency=INR","Period=FQ","BEST_FPERIOD_OVERRIDE=FQ","FILING_STATUS=OR","EQY_CONSOLIDATED=Y","FA_ADJUSTED=GAAP","Sort=A","Dates=H","DateFormat=P","Fill=—","Direction=H","UseDPDF=Y")</f>
        <v>#NAME?</v>
      </c>
      <c r="AO39" s="1" t="e">
        <f ca="1">_xll.BDH($C$28,"GEO_GROW_OPER_INC","FQ1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9" s="1" t="e">
        <f ca="1">_xll.BDH($C$28,"NET_INCOME_TO_COMMON_5_YR_GROWTH","FQ1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9" s="1" t="e">
        <f ca="1">_xll.BDH($C$28,"5Y_GEO_GROWTH_DILUTED_EPS","FQ1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9" s="1" t="e">
        <f ca="1">_xll.BDH($C$28,"GEO_GROW_DVD_PER_SH","FQ1 2016","FQ1 2016","Currency=INR","Period=FQ","BEST_FPERIOD_OVERRIDE=FQ","FILING_STATUS=OR","EQY_CONSOLIDATED=Y","Sort=A","Dates=H","DateFormat=P","Fill=—","Direction=H","UseDPDF=Y")</f>
        <v>#NAME?</v>
      </c>
      <c r="AS39" s="1" t="e">
        <f ca="1">_xll.BDH($C$28,"ACCOUNTS_RECEIVABLE_5_YR_GROWTH","FQ1 2016","FQ1 2016","Currency=INR","Period=FQ","BEST_FPERIOD_OVERRIDE=FQ","FILING_STATUS=OR","EQY_CONSOLIDATED=Y","Sort=A","Dates=H","DateFormat=P","Fill=—","Direction=H","UseDPDF=Y")</f>
        <v>#NAME?</v>
      </c>
      <c r="AT39" s="1" t="e">
        <f ca="1">_xll.BDH($C$28,"INVENTORY_5_YEAR_GROWTH","FQ1 2016","FQ1 2016","Currency=INR","Period=FQ","BEST_FPERIOD_OVERRIDE=FQ","FILING_STATUS=OR","EQY_CONSOLIDATED=Y","Sort=A","Dates=H","DateFormat=P","Fill=—","Direction=H","UseDPDF=Y")</f>
        <v>#NAME?</v>
      </c>
      <c r="AU39" s="1" t="e">
        <f ca="1">_xll.BDH($C$28,"NET_FIXED_ASSETS_5_YEAR_GROWTH","FQ1 2016","FQ1 2016","Currency=INR","Period=FQ","BEST_FPERIOD_OVERRIDE=FQ","FILING_STATUS=OR","EQY_CONSOLIDATED=Y","Sort=A","Dates=H","DateFormat=P","Fill=—","Direction=H","UseDPDF=Y")</f>
        <v>#NAME?</v>
      </c>
      <c r="AV39" s="1" t="e">
        <f ca="1">_xll.BDH($C$28,"GEO_GROW_TOT_ASSET","FQ1 2016","FQ1 2016","Currency=INR","Period=FQ","BEST_FPERIOD_OVERRIDE=FQ","FILING_STATUS=OR","EQY_CONSOLIDATED=Y","Sort=A","Dates=H","DateFormat=P","Fill=—","Direction=H","UseDPDF=Y")</f>
        <v>#NAME?</v>
      </c>
      <c r="AW39" s="1" t="e">
        <f ca="1">_xll.BDH($C$28,"MODIFIED_WORKING_CPTL_5YR_GRWTH","FQ1 2016","FQ1 2016","Currency=INR","Period=FQ","BEST_FPERIOD_OVERRIDE=FQ","FILING_STATUS=OR","EQY_CONSOLIDATED=Y","Sort=A","Dates=H","DateFormat=P","Fill=—","Direction=H","UseDPDF=Y")</f>
        <v>#NAME?</v>
      </c>
      <c r="AX39" s="1" t="e">
        <f ca="1">_xll.BDH($C$28,"WORKING_CAPITAL_5_YEAR_GROWTH","FQ1 2016","FQ1 2016","Currency=INR","Period=FQ","BEST_FPERIOD_OVERRIDE=FQ","FILING_STATUS=OR","EQY_CONSOLIDATED=Y","Sort=A","Dates=H","DateFormat=P","Fill=—","Direction=H","UseDPDF=Y")</f>
        <v>#NAME?</v>
      </c>
      <c r="AY39" s="1" t="e">
        <f ca="1">_xll.BDH($C$28,"ACCOUNTS_PAYABLE_5_YEAR_GROWTH","FQ1 2016","FQ1 2016","Currency=INR","Period=FQ","BEST_FPERIOD_OVERRIDE=FQ","FILING_STATUS=OR","EQY_CONSOLIDATED=Y","Sort=A","Dates=H","DateFormat=P","Fill=—","Direction=H","UseDPDF=Y")</f>
        <v>#NAME?</v>
      </c>
      <c r="AZ39" s="1" t="e">
        <f ca="1">_xll.BDH($C$28,"SHORT_TERM_DEBT_5_YEAR_GROWTH","FQ1 2016","FQ1 2016","Currency=INR","Period=FQ","BEST_FPERIOD_OVERRIDE=FQ","FILING_STATUS=OR","EQY_CONSOLIDATED=Y","Sort=A","Dates=H","DateFormat=P","Fill=—","Direction=H","UseDPDF=Y")</f>
        <v>#NAME?</v>
      </c>
      <c r="BA39" s="1" t="e">
        <f ca="1">_xll.BDH($C$28,"TOTAL_DEBT_5_YEAR_GROWTH","FQ1 2016","FQ1 2016","Currency=INR","Period=FQ","BEST_FPERIOD_OVERRIDE=FQ","FILING_STATUS=OR","EQY_CONSOLIDATED=Y","Sort=A","Dates=H","DateFormat=P","Fill=—","Direction=H","UseDPDF=Y")</f>
        <v>#NAME?</v>
      </c>
      <c r="BB39" s="1" t="e">
        <f ca="1">_xll.BDH($C$28,"GEO_GROW_TOT_SHRHLDR_EQY","FQ1 2016","FQ1 2016","Currency=INR","Period=FQ","BEST_FPERIOD_OVERRIDE=FQ","FILING_STATUS=OR","EQY_CONSOLIDATED=Y","Sort=A","Dates=H","DateFormat=P","Fill=—","Direction=H","UseDPDF=Y")</f>
        <v>#NAME?</v>
      </c>
      <c r="BC39" s="1" t="e">
        <f ca="1">_xll.BDH($C$28,"TOTAL_CAPITAL_5_YEAR_GROWTH","FQ1 2016","FQ1 2016","Currency=INR","Period=FQ","BEST_FPERIOD_OVERRIDE=FQ","FILING_STATUS=OR","EQY_CONSOLIDATED=Y","Sort=A","Dates=H","DateFormat=P","Fill=—","Direction=H","UseDPDF=Y")</f>
        <v>#NAME?</v>
      </c>
      <c r="BD39" s="1" t="e">
        <f ca="1">_xll.BDH($C$28,"GEO_GROW_BOOK_VAL","FQ1 2016","FQ1 2016","Currency=INR","Period=FQ","BEST_FPERIOD_OVERRIDE=FQ","FILING_STATUS=OR","EQY_CONSOLIDATED=Y","Sort=A","Dates=H","DateFormat=P","Fill=—","Direction=H","UseDPDF=Y")</f>
        <v>#NAME?</v>
      </c>
      <c r="BE39" s="1" t="e">
        <f ca="1">_xll.BDH($C$28,"GEO_GROW_CASH_OPER_ACT","FQ1 2016","FQ1 2016","Currency=INR","Period=FQ","BEST_FPERIOD_OVERRIDE=FQ","FILING_STATUS=OR","EQY_CONSOLIDATED=Y","Sort=A","Dates=H","DateFormat=P","Fill=—","Direction=H","UseDPDF=Y")</f>
        <v>#NAME?</v>
      </c>
      <c r="BF39" s="1" t="e">
        <f ca="1">_xll.BDH($C$28,"REVENUE_SEQUENTIAL_GROWTH","FQ1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9" s="1" t="e">
        <f ca="1">_xll.BDH($C$28,"EBITDA_SEQUENTIAL_GROWTH","FQ1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9" s="1" t="e">
        <f ca="1">_xll.BDH($C$28,"OPERATING_INCOME_SEQ_GROWTH","FQ1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9" s="1" t="e">
        <f ca="1">_xll.BDH($C$28,"NET_INCOME_TO_COMMON_SEQ_GROWTH","FQ1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9" s="1" t="e">
        <f ca="1">_xll.BDH($C$28,"EPS_DILUTED_SEQUENTIAL_GROWTH","FQ1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9" s="1" t="e">
        <f ca="1">_xll.BDH($C$28,"DPS_SEQUENTIAL_GROWTH","FQ1 2016","FQ1 2016","Currency=INR","Period=FQ","BEST_FPERIOD_OVERRIDE=FQ","FILING_STATUS=OR","EQY_CONSOLIDATED=Y","Sort=A","Dates=H","DateFormat=P","Fill=—","Direction=H","UseDPDF=Y")</f>
        <v>#NAME?</v>
      </c>
      <c r="BL39" s="1" t="e">
        <f ca="1">_xll.BDH($C$28,"ACCOUNTS_RECEIVABLE_SEQ_GROWTH","FQ1 2016","FQ1 2016","Currency=INR","Period=FQ","BEST_FPERIOD_OVERRIDE=FQ","FILING_STATUS=OR","EQY_CONSOLIDATED=Y","Sort=A","Dates=H","DateFormat=P","Fill=—","Direction=H","UseDPDF=Y")</f>
        <v>#NAME?</v>
      </c>
      <c r="BM39" s="1" t="e">
        <f ca="1">_xll.BDH($C$28,"INVENTORY_SEQUENTIAL_GROWTH","FQ1 2016","FQ1 2016","Currency=INR","Period=FQ","BEST_FPERIOD_OVERRIDE=FQ","FILING_STATUS=OR","EQY_CONSOLIDATED=Y","Sort=A","Dates=H","DateFormat=P","Fill=—","Direction=H","UseDPDF=Y")</f>
        <v>#NAME?</v>
      </c>
      <c r="BN39" s="1" t="e">
        <f ca="1">_xll.BDH($C$28,"FIXED_ASSETS_SEQUENTIAL_GROWTH","FQ1 2016","FQ1 2016","Currency=INR","Period=FQ","BEST_FPERIOD_OVERRIDE=FQ","FILING_STATUS=OR","EQY_CONSOLIDATED=Y","Sort=A","Dates=H","DateFormat=P","Fill=—","Direction=H","UseDPDF=Y")</f>
        <v>#NAME?</v>
      </c>
      <c r="BO39" s="1" t="e">
        <f ca="1">_xll.BDH($C$28,"TOTAL_ASSETS_SEQUENTIAL_GROWTH","FQ1 2016","FQ1 2016","Currency=INR","Period=FQ","BEST_FPERIOD_OVERRIDE=FQ","FILING_STATUS=OR","EQY_CONSOLIDATED=Y","Sort=A","Dates=H","DateFormat=P","Fill=—","Direction=H","UseDPDF=Y")</f>
        <v>#NAME?</v>
      </c>
      <c r="BP39" s="1" t="e">
        <f ca="1">_xll.BDH($C$28,"MODIFIED_WORKING_CPTL_SEQ_GRWTH","FQ1 2016","FQ1 2016","Currency=INR","Period=FQ","BEST_FPERIOD_OVERRIDE=FQ","FILING_STATUS=OR","EQY_CONSOLIDATED=Y","Sort=A","Dates=H","DateFormat=P","Fill=—","Direction=H","UseDPDF=Y")</f>
        <v>#NAME?</v>
      </c>
      <c r="BQ39" s="1" t="e">
        <f ca="1">_xll.BDH($C$28,"WORKING_CAPITAL_SEQ_GROWTH","FQ1 2016","FQ1 2016","Currency=INR","Period=FQ","BEST_FPERIOD_OVERRIDE=FQ","FILING_STATUS=OR","EQY_CONSOLIDATED=Y","Sort=A","Dates=H","DateFormat=P","Fill=—","Direction=H","UseDPDF=Y")</f>
        <v>#NAME?</v>
      </c>
      <c r="BR39" s="1" t="e">
        <f ca="1">_xll.BDH($C$28,"ACCOUNTS_PAYABLE_SEQ_GROWTH","FQ1 2016","FQ1 2016","Currency=INR","Period=FQ","BEST_FPERIOD_OVERRIDE=FQ","FILING_STATUS=OR","EQY_CONSOLIDATED=Y","Sort=A","Dates=H","DateFormat=P","Fill=—","Direction=H","UseDPDF=Y")</f>
        <v>#NAME?</v>
      </c>
      <c r="BS39" s="1" t="e">
        <f ca="1">_xll.BDH($C$28,"ST_DEBT_SEQUENTIAL_GROWTH","FQ1 2016","FQ1 2016","Currency=INR","Period=FQ","BEST_FPERIOD_OVERRIDE=FQ","FILING_STATUS=OR","EQY_CONSOLIDATED=Y","Sort=A","Dates=H","DateFormat=P","Fill=—","Direction=H","UseDPDF=Y")</f>
        <v>#NAME?</v>
      </c>
      <c r="BT39" s="1" t="e">
        <f ca="1">_xll.BDH($C$28,"TOTAL_DEBT_SEQUENTIAL_GROWTH","FQ1 2016","FQ1 2016","Currency=INR","Period=FQ","BEST_FPERIOD_OVERRIDE=FQ","FILING_STATUS=OR","EQY_CONSOLIDATED=Y","Sort=A","Dates=H","DateFormat=P","Fill=—","Direction=H","UseDPDF=Y")</f>
        <v>#NAME?</v>
      </c>
      <c r="BU39" s="1" t="e">
        <f ca="1">_xll.BDH($C$28,"TOTAL_EQUITY_SEQUENTIAL_GROWTH","FQ1 2016","FQ1 2016","Currency=INR","Period=FQ","BEST_FPERIOD_OVERRIDE=FQ","FILING_STATUS=OR","EQY_CONSOLIDATED=Y","Sort=A","Dates=H","DateFormat=P","Fill=—","Direction=H","UseDPDF=Y")</f>
        <v>#NAME?</v>
      </c>
      <c r="BV39" s="1" t="e">
        <f ca="1">_xll.BDH($C$28,"TOTAL_CAPITAL_SEQUENTIAL_GROWTH","FQ1 2016","FQ1 2016","Currency=INR","Period=FQ","BEST_FPERIOD_OVERRIDE=FQ","FILING_STATUS=OR","EQY_CONSOLIDATED=Y","Sort=A","Dates=H","DateFormat=P","Fill=—","Direction=H","UseDPDF=Y")</f>
        <v>#NAME?</v>
      </c>
      <c r="BW39" s="1" t="e">
        <f ca="1">_xll.BDH($C$28,"BPS_SEQUENTIAL_GROWTH","FQ1 2016","FQ1 2016","Currency=INR","Period=FQ","BEST_FPERIOD_OVERRIDE=FQ","FILING_STATUS=OR","EQY_CONSOLIDATED=Y","Sort=A","Dates=H","DateFormat=P","Fill=—","Direction=H","UseDPDF=Y")</f>
        <v>#NAME?</v>
      </c>
      <c r="BX39" s="1" t="e">
        <f ca="1">_xll.BDH($C$28,"CFO_SEQUENTIAL_GROWTH","FQ1 2016","FQ1 2016","Currency=INR","Period=FQ","BEST_FPERIOD_OVERRIDE=FQ","FILING_STATUS=OR","EQY_CONSOLIDATED=Y","Sort=A","Dates=H","DateFormat=P","Fill=—","Direction=H","UseDPDF=Y")</f>
        <v>#NAME?</v>
      </c>
      <c r="BY39" s="2" t="e">
        <f ca="1">_xll.BDH($C$28,"SHORT_AND_LONG_TERM_DEBT","FQ1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9" s="2" t="e">
        <f ca="1">_xll.BDH($C$28,"BS_ST_BORROW","FQ1 2016","FQ1 2016","Currency=INR","Period=FQ","BEST_FPERIOD_OVERRIDE=FQ","FILING_STATUS=OR","EQY_CONSOLIDATED=Y","SCALING_FORMAT=MLN","Sort=A","Dates=H","DateFormat=P","Fill=—","Direction=H","UseDPDF=Y")</f>
        <v>#NAME?</v>
      </c>
      <c r="CA39" s="2" t="e">
        <f ca="1">_xll.BDH($C$28,"BS_LT_BORROW","FQ1 2016","FQ1 2016","Currency=INR","Period=FQ","BEST_FPERIOD_OVERRIDE=FQ","FILING_STATUS=OR","EQY_CONSOLIDATED=Y","SCALING_FORMAT=MLN","Sort=A","Dates=H","DateFormat=P","Fill=—","Direction=H","UseDPDF=Y")</f>
        <v>#NAME?</v>
      </c>
      <c r="CB39" s="1" t="e">
        <f ca="1">_xll.BDH($C$28,"TOT_DEBT_TO_EBITDA","FQ1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9" s="1" t="e">
        <f ca="1">_xll.BDH($C$28,"NET_DEBT_TO_EBITDA","FQ1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9" s="1" t="e">
        <f ca="1">_xll.BDH($C$28,"TOTAL_DEBT_TO_EBIT","FQ1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9" s="1" t="e">
        <f ca="1">_xll.BDH($C$28,"NET_DEBT_TO_EBIT","FQ1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39" s="1" t="e">
        <f ca="1">_xll.BDH($C$28,"EBITDA_TO_INTEREST_EXPN","FQ1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9" s="1" t="e">
        <f ca="1">_xll.BDH($C$28,"COM_EQY_TO_TOT_ASSET","FQ1 2016","FQ1 2016","Currency=INR","Period=FQ","BEST_FPERIOD_OVERRIDE=FQ","FILING_STATUS=OR","EQY_CONSOLIDATED=Y","Sort=A","Dates=H","DateFormat=P","Fill=—","Direction=H","UseDPDF=Y")</f>
        <v>#NAME?</v>
      </c>
      <c r="CH39" s="1" t="e">
        <f ca="1">_xll.BDH($C$28,"LT_DEBT_TO_TOT_EQY","FQ1 2016","FQ1 2016","Currency=INR","Period=FQ","BEST_FPERIOD_OVERRIDE=FQ","FILING_STATUS=OR","EQY_CONSOLIDATED=Y","Sort=A","Dates=H","DateFormat=P","Fill=—","Direction=H","UseDPDF=Y")</f>
        <v>#NAME?</v>
      </c>
      <c r="CI39" s="1" t="e">
        <f ca="1">_xll.BDH($C$28,"LT_DEBT_TO_TOT_CAP","FQ1 2016","FQ1 2016","Currency=INR","Period=FQ","BEST_FPERIOD_OVERRIDE=FQ","FILING_STATUS=OR","EQY_CONSOLIDATED=Y","Sort=A","Dates=H","DateFormat=P","Fill=—","Direction=H","UseDPDF=Y")</f>
        <v>#NAME?</v>
      </c>
      <c r="CJ39" s="1" t="e">
        <f ca="1">_xll.BDH($C$28,"LT_DEBT_TO_TOT_ASSET","FQ1 2016","FQ1 2016","Currency=INR","Period=FQ","BEST_FPERIOD_OVERRIDE=FQ","FILING_STATUS=OR","EQY_CONSOLIDATED=Y","Sort=A","Dates=H","DateFormat=P","Fill=—","Direction=H","UseDPDF=Y")</f>
        <v>#NAME?</v>
      </c>
      <c r="CK39" s="1" t="e">
        <f ca="1">_xll.BDH($C$28,"TOT_DEBT_TO_TOT_EQY","FQ1 2016","FQ1 2016","Currency=INR","Period=FQ","BEST_FPERIOD_OVERRIDE=FQ","FILING_STATUS=OR","EQY_CONSOLIDATED=Y","Sort=A","Dates=H","DateFormat=P","Fill=—","Direction=H","UseDPDF=Y")</f>
        <v>#NAME?</v>
      </c>
      <c r="CL39" s="1" t="e">
        <f ca="1">_xll.BDH($C$28,"TOT_DEBT_TO_TOT_CAP","FQ1 2016","FQ1 2016","Currency=INR","Period=FQ","BEST_FPERIOD_OVERRIDE=FQ","FILING_STATUS=OR","EQY_CONSOLIDATED=Y","Sort=A","Dates=H","DateFormat=P","Fill=—","Direction=H","UseDPDF=Y")</f>
        <v>#NAME?</v>
      </c>
      <c r="CM39" s="1" t="e">
        <f ca="1">_xll.BDH($C$28,"TOT_DEBT_TO_TOT_ASSET","FQ1 2016","FQ1 2016","Currency=INR","Period=FQ","BEST_FPERIOD_OVERRIDE=FQ","FILING_STATUS=OR","EQY_CONSOLIDATED=Y","Sort=A","Dates=H","DateFormat=P","Fill=—","Direction=H","UseDPDF=Y")</f>
        <v>#NAME?</v>
      </c>
      <c r="CN39" s="1" t="e">
        <f ca="1">_xll.BDH($C$28,"NET_DEBT_TO_SHRHLDR_EQTY","FQ1 2016","FQ1 2016","Currency=INR","Period=FQ","BEST_FPERIOD_OVERRIDE=FQ","FILING_STATUS=OR","EQY_CONSOLIDATED=Y","Sort=A","Dates=H","DateFormat=P","Fill=—","Direction=H","UseDPDF=Y")</f>
        <v>#NAME?</v>
      </c>
      <c r="CO39" s="1" t="e">
        <f ca="1">_xll.BDH($C$28,"NET_DEBT_%_CAPITAL","FQ1 2016","FQ1 2016","Currency=INR","Period=FQ","BEST_FPERIOD_OVERRIDE=FQ","FILING_STATUS=OR","EQY_CONSOLIDATED=Y","Sort=A","Dates=H","DateFormat=P","Fill=—","Direction=H","UseDPDF=Y")</f>
        <v>#NAME?</v>
      </c>
      <c r="CP39" s="2" t="e">
        <f ca="1">_xll.BDH($C$28,"EBITDA","FQ1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9" s="2" t="e">
        <f ca="1">_xll.BDH($C$28,"EBITDA_AFTER_CAPEX","FQ1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9" s="2" t="e">
        <f ca="1">_xll.BDH($C$28,"IS_OPER_INC","FQ1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9" s="1" t="e">
        <f ca="1">_xll.BDH($C$28,"CASH_RATIO","FQ1 2016","FQ1 2016","Currency=INR","Period=FQ","BEST_FPERIOD_OVERRIDE=FQ","FILING_STATUS=OR","EQY_CONSOLIDATED=Y","Sort=A","Dates=H","DateFormat=P","Fill=—","Direction=H","UseDPDF=Y")</f>
        <v>#NAME?</v>
      </c>
      <c r="CT39" s="1" t="e">
        <f ca="1">_xll.BDH($C$28,"CUR_RATIO","FQ1 2016","FQ1 2016","Currency=INR","Period=FQ","BEST_FPERIOD_OVERRIDE=FQ","FILING_STATUS=OR","EQY_CONSOLIDATED=Y","Sort=A","Dates=H","DateFormat=P","Fill=—","Direction=H","UseDPDF=Y")</f>
        <v>#NAME?</v>
      </c>
      <c r="CU39" s="1" t="e">
        <f ca="1">_xll.BDH($C$28,"QUICK_RATIO","FQ1 2016","FQ1 2016","Currency=INR","Period=FQ","BEST_FPERIOD_OVERRIDE=FQ","FILING_STATUS=OR","EQY_CONSOLIDATED=Y","Sort=A","Dates=H","DateFormat=P","Fill=—","Direction=H","UseDPDF=Y")</f>
        <v>#NAME?</v>
      </c>
      <c r="CV39" s="1" t="e">
        <f ca="1">_xll.BDH($C$28,"ALTMAN_Z_SCORE","FQ1 2016","FQ1 2016","Currency=INR","Period=FQ","BEST_FPERIOD_OVERRIDE=FQ","FILING_STATUS=OR","EQY_CONSOLIDATED=Y","Sort=A","Dates=H","DateFormat=P","Fill=—","Direction=H","UseDPDF=Y")</f>
        <v>#NAME?</v>
      </c>
      <c r="CW39" s="3" t="e">
        <f ca="1">_xll.BDH($C$28,"ACCT_RCV_TURN","FQ1 2016","FQ1 2016","Currency=INR","Period=FQ","BEST_FPERIOD_OVERRIDE=FQ","FILING_STATUS=OR","EQY_CONSOLIDATED=Y","FA_ADJUSTED=GAAP","Sort=A","Dates=H","DateFormat=P","Fill=—","Direction=H","UseDPDF=Y")</f>
        <v>#NAME?</v>
      </c>
      <c r="CX39" s="1" t="e">
        <f ca="1">_xll.BDH($C$28,"ACCT_RCV_DAYS","FQ1 2016","FQ1 2016","Currency=INR","Period=FQ","BEST_FPERIOD_OVERRIDE=FQ","FILING_STATUS=OR","EQY_CONSOLIDATED=Y","FA_ADJUSTED=GAAP","Sort=A","Dates=H","DateFormat=P","Fill=—","Direction=H","UseDPDF=Y")</f>
        <v>#NAME?</v>
      </c>
      <c r="CY39" s="3" t="e">
        <f ca="1">_xll.BDH($C$28,"INVENT_TURN","FQ1 2016","FQ1 2016","Currency=INR","Period=FQ","BEST_FPERIOD_OVERRIDE=FQ","FILING_STATUS=OR","EQY_CONSOLIDATED=Y","FA_ADJUSTED=GAAP","Sort=A","Dates=H","DateFormat=P","Fill=—","Direction=H","UseDPDF=Y")</f>
        <v>#NAME?</v>
      </c>
      <c r="CZ39" s="1" t="e">
        <f ca="1">_xll.BDH($C$28,"INVENT_DAYS","FQ1 2016","FQ1 2016","Currency=INR","Period=FQ","BEST_FPERIOD_OVERRIDE=FQ","FILING_STATUS=OR","EQY_CONSOLIDATED=Y","FA_ADJUSTED=GAAP","Sort=A","Dates=H","DateFormat=P","Fill=—","Direction=H","UseDPDF=Y")</f>
        <v>#NAME?</v>
      </c>
      <c r="DA39" s="3" t="e">
        <f ca="1">_xll.BDH($C$28,"ACCOUNTS_PAYABLE_TURNOVER","FQ1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9" s="1" t="e">
        <f ca="1">_xll.BDH($C$28,"ACCOUNTS_PAYABLE_TURNOVER_DAYS","FQ1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9" s="3" t="e">
        <f ca="1">_xll.BDH($C$28,"CASH_CONVERSION_CYCLE","FQ1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9" s="3" t="e">
        <f ca="1">_xll.BDH($C$28,"INV_TO_CASH_DAYS","FQ1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39" s="4" t="e">
        <f ca="1">_xll.BDH($C$28,"BS_INVENTORIES","FQ1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39" s="2" t="e">
        <f ca="1">_xll.BDH($C$28,"INVTRY_RAW_MATERIALS","FQ1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9" s="2" t="e">
        <f ca="1">_xll.BDH($C$28,"INVTRY_IN_PROGRESS","FQ1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9" s="2" t="e">
        <f ca="1">_xll.BDH($C$28,"INVTRY_FINISHED_GOODS","FQ1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9" s="2" t="e">
        <f ca="1">_xll.BDH($C$28,"BS_OTHER_INV","FQ1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0" spans="1:113" x14ac:dyDescent="0.3">
      <c r="A40" s="6"/>
      <c r="B40" s="6"/>
      <c r="C40" s="6"/>
      <c r="D40" s="6"/>
      <c r="E40" t="s">
        <v>5</v>
      </c>
      <c r="F40" t="e">
        <f ca="1">_xll.BDH($C$28,"RETURN_COM_EQY","FQ2 2016","FQ2 2016","Currency=INR","Period=FQ","BEST_FPERIOD_OVERRIDE=FQ","FILING_STATUS=OR","EQY_CONSOLIDATED=Y","FA_ADJUSTED=GAAP","Sort=A","Dates=H","DateFormat=P","Fill=—","Direction=H","UseDPDF=Y")</f>
        <v>#NAME?</v>
      </c>
      <c r="G40" t="e">
        <f ca="1">_xll.BDH($C$28,"RETURN_ON_ASSET","FQ2 2016","FQ2 2016","Currency=INR","Period=FQ","BEST_FPERIOD_OVERRIDE=FQ","FILING_STATUS=OR","EQY_CONSOLIDATED=Y","FA_ADJUSTED=GAAP","Sort=A","Dates=H","DateFormat=P","Fill=—","Direction=H","UseDPDF=Y")</f>
        <v>#NAME?</v>
      </c>
      <c r="H40" t="e">
        <f ca="1">_xll.BDH($C$28,"RETURN_ON_CAP","FQ2 2016","FQ2 2016","Currency=INR","Period=FQ","BEST_FPERIOD_OVERRIDE=FQ","FILING_STATUS=OR","EQY_CONSOLIDATED=Y","FA_ADJUSTED=GAAP","Sort=A","Dates=H","DateFormat=P","Fill=—","Direction=H","UseDPDF=Y")</f>
        <v>#NAME?</v>
      </c>
      <c r="I40" t="e">
        <f ca="1">_xll.BDH($C$28,"RETURN_ON_INV_CAPITAL","FQ2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0" t="e">
        <f ca="1">_xll.BDH($C$28,"EBITDA_TO_REVENUE","FQ2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40" t="e">
        <f ca="1">_xll.BDH($C$28,"OPER_MARGIN","FQ2 2016","FQ2 2016","Currency=INR","Period=FQ","BEST_FPERIOD_OVERRIDE=FQ","FILING_STATUS=OR","EQY_CONSOLIDATED=Y","FA_ADJUSTED=GAAP","Sort=A","Dates=H","DateFormat=P","Fill=—","Direction=H","UseDPDF=Y")</f>
        <v>#NAME?</v>
      </c>
      <c r="L40" t="e">
        <f ca="1">_xll.BDH($C$28,"INCREMENTAL_OPERATING_MARGIN","FQ2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0" t="e">
        <f ca="1">_xll.BDH($C$28,"PRETAX_INC_TO_NET_SALES","FQ2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0" t="e">
        <f ca="1">_xll.BDH($C$28,"INC_BEF_XO_ITEMS_TO_NET_SALES","FQ2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0" t="e">
        <f ca="1">_xll.BDH($C$28,"PROF_MARGIN","FQ2 2016","FQ2 2016","Currency=INR","Period=FQ","BEST_FPERIOD_OVERRIDE=FQ","FILING_STATUS=OR","EQY_CONSOLIDATED=Y","FA_ADJUSTED=GAAP","Sort=A","Dates=H","DateFormat=P","Fill=—","Direction=H","UseDPDF=Y")</f>
        <v>#NAME?</v>
      </c>
      <c r="P40" t="e">
        <f ca="1">_xll.BDH($C$28,"NET_INCOME_TO_COMMON_MARGIN","FQ2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0" t="e">
        <f ca="1">_xll.BDH($C$28,"EFF_TAX_RATE","FQ2 2016","FQ2 2016","Currency=INR","Period=FQ","BEST_FPERIOD_OVERRIDE=FQ","FILING_STATUS=OR","EQY_CONSOLIDATED=Y","FA_ADJUSTED=GAAP","Sort=A","Dates=H","DateFormat=P","Fill=—","Direction=H","UseDPDF=Y")</f>
        <v>#NAME?</v>
      </c>
      <c r="R40" t="e">
        <f ca="1">_xll.BDH($C$28,"DVD_PAYOUT_RATIO","FQ2 2016","FQ2 2016","Currency=INR","Period=FQ","BEST_FPERIOD_OVERRIDE=FQ","FILING_STATUS=OR","EQY_CONSOLIDATED=Y","FA_ADJUSTED=GAAP","Sort=A","Dates=H","DateFormat=P","Fill=—","Direction=H","UseDPDF=Y")</f>
        <v>#NAME?</v>
      </c>
      <c r="S40" t="e">
        <f ca="1">_xll.BDH($C$28,"SUSTAIN_GROWTH_RT","FQ2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40" s="1" t="e">
        <f ca="1">_xll.BDH($C$28,"SALES_GROWTH","FQ2 2016","FQ2 2016","Currency=INR","Period=FQ","BEST_FPERIOD_OVERRIDE=FQ","FILING_STATUS=OR","EQY_CONSOLIDATED=Y","FA_ADJUSTED=GAAP","Sort=A","Dates=H","DateFormat=P","Fill=—","Direction=H","UseDPDF=Y")</f>
        <v>#NAME?</v>
      </c>
      <c r="U40" s="1" t="e">
        <f ca="1">_xll.BDH($C$28,"EBITDA_GROWTH","FQ2 2016","FQ2 2016","Currency=INR","Period=FQ","BEST_FPERIOD_OVERRIDE=FQ","FILING_STATUS=OR","EQY_CONSOLIDATED=Y","FA_ADJUSTED=GAAP","Sort=A","Dates=H","DateFormat=P","Fill=—","Direction=H","UseDPDF=Y")</f>
        <v>#NAME?</v>
      </c>
      <c r="V40" s="1" t="e">
        <f ca="1">_xll.BDH($C$28,"OPER_INC_GROWTH","FQ2 2016","FQ2 2016","Currency=INR","Period=FQ","BEST_FPERIOD_OVERRIDE=FQ","FILING_STATUS=OR","EQY_CONSOLIDATED=Y","FA_ADJUSTED=GAAP","Sort=A","Dates=H","DateFormat=P","Fill=—","Direction=H","UseDPDF=Y")</f>
        <v>#NAME?</v>
      </c>
      <c r="W40" s="1" t="e">
        <f ca="1">_xll.BDH($C$28,"EARN_FOR_COM_GROWTH","FQ2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0" s="1" t="e">
        <f ca="1">_xll.BDH($C$28,"DILUTED_EPS_AFT_XO_ITEMS_GROWTH","FQ2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0" s="1" t="e">
        <f ca="1">_xll.BDH($C$28,"DIVIDEND_PER_SHARE_1_YEAR_GROWTH","FQ2 2016","FQ2 2016","Currency=INR","Period=FQ","BEST_FPERIOD_OVERRIDE=FQ","FILING_STATUS=OR","EQY_CONSOLIDATED=Y","Sort=A","Dates=H","DateFormat=P","Fill=—","Direction=H","UseDPDF=Y")</f>
        <v>#NAME?</v>
      </c>
      <c r="Z40" s="1" t="e">
        <f ca="1">_xll.BDH($C$28,"ACCOUNTS_RECEIVABLE_GROWTH","FQ2 2016","FQ2 2016","Currency=INR","Period=FQ","BEST_FPERIOD_OVERRIDE=FQ","FILING_STATUS=OR","EQY_CONSOLIDATED=Y","Sort=A","Dates=H","DateFormat=P","Fill=—","Direction=H","UseDPDF=Y")</f>
        <v>#NAME?</v>
      </c>
      <c r="AA40" s="1" t="e">
        <f ca="1">_xll.BDH($C$28,"INVENTORY_GROWTH","FQ2 2016","FQ2 2016","Currency=INR","Period=FQ","BEST_FPERIOD_OVERRIDE=FQ","FILING_STATUS=OR","EQY_CONSOLIDATED=Y","Sort=A","Dates=H","DateFormat=P","Fill=—","Direction=H","UseDPDF=Y")</f>
        <v>#NAME?</v>
      </c>
      <c r="AB40" s="1" t="e">
        <f ca="1">_xll.BDH($C$28,"NET_FIXED_ASSETS_1_YEAR_GROWTH","FQ2 2016","FQ2 2016","Currency=INR","Period=FQ","BEST_FPERIOD_OVERRIDE=FQ","FILING_STATUS=OR","EQY_CONSOLIDATED=Y","Sort=A","Dates=H","DateFormat=P","Fill=—","Direction=H","UseDPDF=Y")</f>
        <v>#NAME?</v>
      </c>
      <c r="AC40" s="1" t="e">
        <f ca="1">_xll.BDH($C$28,"ASSET_GROWTH","FQ2 2016","FQ2 2016","Currency=INR","Period=FQ","BEST_FPERIOD_OVERRIDE=FQ","FILING_STATUS=OR","EQY_CONSOLIDATED=Y","Sort=A","Dates=H","DateFormat=P","Fill=—","Direction=H","UseDPDF=Y")</f>
        <v>#NAME?</v>
      </c>
      <c r="AD40" s="1" t="e">
        <f ca="1">_xll.BDH($C$28,"MODIFIED_WORK_CAP_GROWTH","FQ2 2016","FQ2 2016","Currency=INR","Period=FQ","BEST_FPERIOD_OVERRIDE=FQ","FILING_STATUS=OR","EQY_CONSOLIDATED=Y","Sort=A","Dates=H","DateFormat=P","Fill=—","Direction=H","UseDPDF=Y")</f>
        <v>#NAME?</v>
      </c>
      <c r="AE40" s="1" t="e">
        <f ca="1">_xll.BDH($C$28,"WORK_CAP_GROWTH","FQ2 2016","FQ2 2016","Currency=INR","Period=FQ","BEST_FPERIOD_OVERRIDE=FQ","FILING_STATUS=OR","EQY_CONSOLIDATED=Y","Sort=A","Dates=H","DateFormat=P","Fill=—","Direction=H","UseDPDF=Y")</f>
        <v>#NAME?</v>
      </c>
      <c r="AF40" s="1" t="e">
        <f ca="1">_xll.BDH($C$28,"ACCOUNTS_PAYABLE_GROWTH_1YR","FQ2 2016","FQ2 2016","Currency=INR","Period=FQ","BEST_FPERIOD_OVERRIDE=FQ","FILING_STATUS=OR","EQY_CONSOLIDATED=Y","Sort=A","Dates=H","DateFormat=P","Fill=—","Direction=H","UseDPDF=Y")</f>
        <v>#NAME?</v>
      </c>
      <c r="AG40" s="1" t="e">
        <f ca="1">_xll.BDH($C$28,"SHORT_TERM_DEBT_1_YEAR_GROWTH","FQ2 2016","FQ2 2016","Currency=INR","Period=FQ","BEST_FPERIOD_OVERRIDE=FQ","FILING_STATUS=OR","EQY_CONSOLIDATED=Y","Sort=A","Dates=H","DateFormat=P","Fill=—","Direction=H","UseDPDF=Y")</f>
        <v>#NAME?</v>
      </c>
      <c r="AH40" s="1" t="e">
        <f ca="1">_xll.BDH($C$28,"TOTAL_DEBT_1_YEAR_GROWTH","FQ2 2016","FQ2 2016","Currency=INR","Period=FQ","BEST_FPERIOD_OVERRIDE=FQ","FILING_STATUS=OR","EQY_CONSOLIDATED=Y","Sort=A","Dates=H","DateFormat=P","Fill=—","Direction=H","UseDPDF=Y")</f>
        <v>#NAME?</v>
      </c>
      <c r="AI40" s="1" t="e">
        <f ca="1">_xll.BDH($C$28,"TOTAL_EQUITY_1_YEAR_GROWTH","FQ2 2016","FQ2 2016","Currency=INR","Period=FQ","BEST_FPERIOD_OVERRIDE=FQ","FILING_STATUS=OR","EQY_CONSOLIDATED=Y","Sort=A","Dates=H","DateFormat=P","Fill=—","Direction=H","UseDPDF=Y")</f>
        <v>#NAME?</v>
      </c>
      <c r="AJ40" s="1" t="e">
        <f ca="1">_xll.BDH($C$28,"GROWTH_IN_CAP","FQ2 2016","FQ2 2016","Currency=INR","Period=FQ","BEST_FPERIOD_OVERRIDE=FQ","FILING_STATUS=OR","EQY_CONSOLIDATED=Y","Sort=A","Dates=H","DateFormat=P","Fill=—","Direction=H","UseDPDF=Y")</f>
        <v>#NAME?</v>
      </c>
      <c r="AK40" s="1" t="e">
        <f ca="1">_xll.BDH($C$28,"BVPS_GROWTH","FQ2 2016","FQ2 2016","Currency=INR","Period=FQ","BEST_FPERIOD_OVERRIDE=FQ","FILING_STATUS=OR","EQY_CONSOLIDATED=Y","Sort=A","Dates=H","DateFormat=P","Fill=—","Direction=H","UseDPDF=Y")</f>
        <v>#NAME?</v>
      </c>
      <c r="AL40" s="1" t="e">
        <f ca="1">_xll.BDH($C$28,"CASH_FLOW_GROWTH","FQ2 2016","FQ2 2016","Currency=INR","Period=FQ","BEST_FPERIOD_OVERRIDE=FQ","FILING_STATUS=OR","EQY_CONSOLIDATED=Y","Sort=A","Dates=H","DateFormat=P","Fill=—","Direction=H","UseDPDF=Y")</f>
        <v>#NAME?</v>
      </c>
      <c r="AM40" s="1" t="e">
        <f ca="1">_xll.BDH($C$28,"GEO_GROW_NET_SALES","FQ2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0" s="1" t="e">
        <f ca="1">_xll.BDH($C$28,"GEO_GROW_EBITDA","FQ2 2016","FQ2 2016","Currency=INR","Period=FQ","BEST_FPERIOD_OVERRIDE=FQ","FILING_STATUS=OR","EQY_CONSOLIDATED=Y","FA_ADJUSTED=GAAP","Sort=A","Dates=H","DateFormat=P","Fill=—","Direction=H","UseDPDF=Y")</f>
        <v>#NAME?</v>
      </c>
      <c r="AO40" s="1" t="e">
        <f ca="1">_xll.BDH($C$28,"GEO_GROW_OPER_INC","FQ2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0" s="1" t="e">
        <f ca="1">_xll.BDH($C$28,"NET_INCOME_TO_COMMON_5_YR_GROWTH","FQ2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0" s="1" t="e">
        <f ca="1">_xll.BDH($C$28,"5Y_GEO_GROWTH_DILUTED_EPS","FQ2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0" s="1" t="e">
        <f ca="1">_xll.BDH($C$28,"GEO_GROW_DVD_PER_SH","FQ2 2016","FQ2 2016","Currency=INR","Period=FQ","BEST_FPERIOD_OVERRIDE=FQ","FILING_STATUS=OR","EQY_CONSOLIDATED=Y","Sort=A","Dates=H","DateFormat=P","Fill=—","Direction=H","UseDPDF=Y")</f>
        <v>#NAME?</v>
      </c>
      <c r="AS40" s="1" t="e">
        <f ca="1">_xll.BDH($C$28,"ACCOUNTS_RECEIVABLE_5_YR_GROWTH","FQ2 2016","FQ2 2016","Currency=INR","Period=FQ","BEST_FPERIOD_OVERRIDE=FQ","FILING_STATUS=OR","EQY_CONSOLIDATED=Y","Sort=A","Dates=H","DateFormat=P","Fill=—","Direction=H","UseDPDF=Y")</f>
        <v>#NAME?</v>
      </c>
      <c r="AT40" s="1" t="e">
        <f ca="1">_xll.BDH($C$28,"INVENTORY_5_YEAR_GROWTH","FQ2 2016","FQ2 2016","Currency=INR","Period=FQ","BEST_FPERIOD_OVERRIDE=FQ","FILING_STATUS=OR","EQY_CONSOLIDATED=Y","Sort=A","Dates=H","DateFormat=P","Fill=—","Direction=H","UseDPDF=Y")</f>
        <v>#NAME?</v>
      </c>
      <c r="AU40" s="1" t="e">
        <f ca="1">_xll.BDH($C$28,"NET_FIXED_ASSETS_5_YEAR_GROWTH","FQ2 2016","FQ2 2016","Currency=INR","Period=FQ","BEST_FPERIOD_OVERRIDE=FQ","FILING_STATUS=OR","EQY_CONSOLIDATED=Y","Sort=A","Dates=H","DateFormat=P","Fill=—","Direction=H","UseDPDF=Y")</f>
        <v>#NAME?</v>
      </c>
      <c r="AV40" s="1" t="e">
        <f ca="1">_xll.BDH($C$28,"GEO_GROW_TOT_ASSET","FQ2 2016","FQ2 2016","Currency=INR","Period=FQ","BEST_FPERIOD_OVERRIDE=FQ","FILING_STATUS=OR","EQY_CONSOLIDATED=Y","Sort=A","Dates=H","DateFormat=P","Fill=—","Direction=H","UseDPDF=Y")</f>
        <v>#NAME?</v>
      </c>
      <c r="AW40" s="1" t="e">
        <f ca="1">_xll.BDH($C$28,"MODIFIED_WORKING_CPTL_5YR_GRWTH","FQ2 2016","FQ2 2016","Currency=INR","Period=FQ","BEST_FPERIOD_OVERRIDE=FQ","FILING_STATUS=OR","EQY_CONSOLIDATED=Y","Sort=A","Dates=H","DateFormat=P","Fill=—","Direction=H","UseDPDF=Y")</f>
        <v>#NAME?</v>
      </c>
      <c r="AX40" s="1" t="e">
        <f ca="1">_xll.BDH($C$28,"WORKING_CAPITAL_5_YEAR_GROWTH","FQ2 2016","FQ2 2016","Currency=INR","Period=FQ","BEST_FPERIOD_OVERRIDE=FQ","FILING_STATUS=OR","EQY_CONSOLIDATED=Y","Sort=A","Dates=H","DateFormat=P","Fill=—","Direction=H","UseDPDF=Y")</f>
        <v>#NAME?</v>
      </c>
      <c r="AY40" s="1" t="e">
        <f ca="1">_xll.BDH($C$28,"ACCOUNTS_PAYABLE_5_YEAR_GROWTH","FQ2 2016","FQ2 2016","Currency=INR","Period=FQ","BEST_FPERIOD_OVERRIDE=FQ","FILING_STATUS=OR","EQY_CONSOLIDATED=Y","Sort=A","Dates=H","DateFormat=P","Fill=—","Direction=H","UseDPDF=Y")</f>
        <v>#NAME?</v>
      </c>
      <c r="AZ40" s="1" t="e">
        <f ca="1">_xll.BDH($C$28,"SHORT_TERM_DEBT_5_YEAR_GROWTH","FQ2 2016","FQ2 2016","Currency=INR","Period=FQ","BEST_FPERIOD_OVERRIDE=FQ","FILING_STATUS=OR","EQY_CONSOLIDATED=Y","Sort=A","Dates=H","DateFormat=P","Fill=—","Direction=H","UseDPDF=Y")</f>
        <v>#NAME?</v>
      </c>
      <c r="BA40" s="1" t="e">
        <f ca="1">_xll.BDH($C$28,"TOTAL_DEBT_5_YEAR_GROWTH","FQ2 2016","FQ2 2016","Currency=INR","Period=FQ","BEST_FPERIOD_OVERRIDE=FQ","FILING_STATUS=OR","EQY_CONSOLIDATED=Y","Sort=A","Dates=H","DateFormat=P","Fill=—","Direction=H","UseDPDF=Y")</f>
        <v>#NAME?</v>
      </c>
      <c r="BB40" s="1" t="e">
        <f ca="1">_xll.BDH($C$28,"GEO_GROW_TOT_SHRHLDR_EQY","FQ2 2016","FQ2 2016","Currency=INR","Period=FQ","BEST_FPERIOD_OVERRIDE=FQ","FILING_STATUS=OR","EQY_CONSOLIDATED=Y","Sort=A","Dates=H","DateFormat=P","Fill=—","Direction=H","UseDPDF=Y")</f>
        <v>#NAME?</v>
      </c>
      <c r="BC40" s="1" t="e">
        <f ca="1">_xll.BDH($C$28,"TOTAL_CAPITAL_5_YEAR_GROWTH","FQ2 2016","FQ2 2016","Currency=INR","Period=FQ","BEST_FPERIOD_OVERRIDE=FQ","FILING_STATUS=OR","EQY_CONSOLIDATED=Y","Sort=A","Dates=H","DateFormat=P","Fill=—","Direction=H","UseDPDF=Y")</f>
        <v>#NAME?</v>
      </c>
      <c r="BD40" s="1" t="e">
        <f ca="1">_xll.BDH($C$28,"GEO_GROW_BOOK_VAL","FQ2 2016","FQ2 2016","Currency=INR","Period=FQ","BEST_FPERIOD_OVERRIDE=FQ","FILING_STATUS=OR","EQY_CONSOLIDATED=Y","Sort=A","Dates=H","DateFormat=P","Fill=—","Direction=H","UseDPDF=Y")</f>
        <v>#NAME?</v>
      </c>
      <c r="BE40" s="1" t="e">
        <f ca="1">_xll.BDH($C$28,"GEO_GROW_CASH_OPER_ACT","FQ2 2016","FQ2 2016","Currency=INR","Period=FQ","BEST_FPERIOD_OVERRIDE=FQ","FILING_STATUS=OR","EQY_CONSOLIDATED=Y","Sort=A","Dates=H","DateFormat=P","Fill=—","Direction=H","UseDPDF=Y")</f>
        <v>#NAME?</v>
      </c>
      <c r="BF40" s="1" t="e">
        <f ca="1">_xll.BDH($C$28,"REVENUE_SEQUENTIAL_GROWTH","FQ2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0" s="1" t="e">
        <f ca="1">_xll.BDH($C$28,"EBITDA_SEQUENTIAL_GROWTH","FQ2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0" s="1" t="e">
        <f ca="1">_xll.BDH($C$28,"OPERATING_INCOME_SEQ_GROWTH","FQ2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0" s="1" t="e">
        <f ca="1">_xll.BDH($C$28,"NET_INCOME_TO_COMMON_SEQ_GROWTH","FQ2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0" s="1" t="e">
        <f ca="1">_xll.BDH($C$28,"EPS_DILUTED_SEQUENTIAL_GROWTH","FQ2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0" s="1" t="e">
        <f ca="1">_xll.BDH($C$28,"DPS_SEQUENTIAL_GROWTH","FQ2 2016","FQ2 2016","Currency=INR","Period=FQ","BEST_FPERIOD_OVERRIDE=FQ","FILING_STATUS=OR","EQY_CONSOLIDATED=Y","Sort=A","Dates=H","DateFormat=P","Fill=—","Direction=H","UseDPDF=Y")</f>
        <v>#NAME?</v>
      </c>
      <c r="BL40" s="1" t="e">
        <f ca="1">_xll.BDH($C$28,"ACCOUNTS_RECEIVABLE_SEQ_GROWTH","FQ2 2016","FQ2 2016","Currency=INR","Period=FQ","BEST_FPERIOD_OVERRIDE=FQ","FILING_STATUS=OR","EQY_CONSOLIDATED=Y","Sort=A","Dates=H","DateFormat=P","Fill=—","Direction=H","UseDPDF=Y")</f>
        <v>#NAME?</v>
      </c>
      <c r="BM40" s="1" t="e">
        <f ca="1">_xll.BDH($C$28,"INVENTORY_SEQUENTIAL_GROWTH","FQ2 2016","FQ2 2016","Currency=INR","Period=FQ","BEST_FPERIOD_OVERRIDE=FQ","FILING_STATUS=OR","EQY_CONSOLIDATED=Y","Sort=A","Dates=H","DateFormat=P","Fill=—","Direction=H","UseDPDF=Y")</f>
        <v>#NAME?</v>
      </c>
      <c r="BN40" s="1" t="e">
        <f ca="1">_xll.BDH($C$28,"FIXED_ASSETS_SEQUENTIAL_GROWTH","FQ2 2016","FQ2 2016","Currency=INR","Period=FQ","BEST_FPERIOD_OVERRIDE=FQ","FILING_STATUS=OR","EQY_CONSOLIDATED=Y","Sort=A","Dates=H","DateFormat=P","Fill=—","Direction=H","UseDPDF=Y")</f>
        <v>#NAME?</v>
      </c>
      <c r="BO40" s="1" t="e">
        <f ca="1">_xll.BDH($C$28,"TOTAL_ASSETS_SEQUENTIAL_GROWTH","FQ2 2016","FQ2 2016","Currency=INR","Period=FQ","BEST_FPERIOD_OVERRIDE=FQ","FILING_STATUS=OR","EQY_CONSOLIDATED=Y","Sort=A","Dates=H","DateFormat=P","Fill=—","Direction=H","UseDPDF=Y")</f>
        <v>#NAME?</v>
      </c>
      <c r="BP40" s="1" t="e">
        <f ca="1">_xll.BDH($C$28,"MODIFIED_WORKING_CPTL_SEQ_GRWTH","FQ2 2016","FQ2 2016","Currency=INR","Period=FQ","BEST_FPERIOD_OVERRIDE=FQ","FILING_STATUS=OR","EQY_CONSOLIDATED=Y","Sort=A","Dates=H","DateFormat=P","Fill=—","Direction=H","UseDPDF=Y")</f>
        <v>#NAME?</v>
      </c>
      <c r="BQ40" s="1" t="e">
        <f ca="1">_xll.BDH($C$28,"WORKING_CAPITAL_SEQ_GROWTH","FQ2 2016","FQ2 2016","Currency=INR","Period=FQ","BEST_FPERIOD_OVERRIDE=FQ","FILING_STATUS=OR","EQY_CONSOLIDATED=Y","Sort=A","Dates=H","DateFormat=P","Fill=—","Direction=H","UseDPDF=Y")</f>
        <v>#NAME?</v>
      </c>
      <c r="BR40" s="1" t="e">
        <f ca="1">_xll.BDH($C$28,"ACCOUNTS_PAYABLE_SEQ_GROWTH","FQ2 2016","FQ2 2016","Currency=INR","Period=FQ","BEST_FPERIOD_OVERRIDE=FQ","FILING_STATUS=OR","EQY_CONSOLIDATED=Y","Sort=A","Dates=H","DateFormat=P","Fill=—","Direction=H","UseDPDF=Y")</f>
        <v>#NAME?</v>
      </c>
      <c r="BS40" s="1" t="e">
        <f ca="1">_xll.BDH($C$28,"ST_DEBT_SEQUENTIAL_GROWTH","FQ2 2016","FQ2 2016","Currency=INR","Period=FQ","BEST_FPERIOD_OVERRIDE=FQ","FILING_STATUS=OR","EQY_CONSOLIDATED=Y","Sort=A","Dates=H","DateFormat=P","Fill=—","Direction=H","UseDPDF=Y")</f>
        <v>#NAME?</v>
      </c>
      <c r="BT40" s="1" t="e">
        <f ca="1">_xll.BDH($C$28,"TOTAL_DEBT_SEQUENTIAL_GROWTH","FQ2 2016","FQ2 2016","Currency=INR","Period=FQ","BEST_FPERIOD_OVERRIDE=FQ","FILING_STATUS=OR","EQY_CONSOLIDATED=Y","Sort=A","Dates=H","DateFormat=P","Fill=—","Direction=H","UseDPDF=Y")</f>
        <v>#NAME?</v>
      </c>
      <c r="BU40" s="1" t="e">
        <f ca="1">_xll.BDH($C$28,"TOTAL_EQUITY_SEQUENTIAL_GROWTH","FQ2 2016","FQ2 2016","Currency=INR","Period=FQ","BEST_FPERIOD_OVERRIDE=FQ","FILING_STATUS=OR","EQY_CONSOLIDATED=Y","Sort=A","Dates=H","DateFormat=P","Fill=—","Direction=H","UseDPDF=Y")</f>
        <v>#NAME?</v>
      </c>
      <c r="BV40" s="1" t="e">
        <f ca="1">_xll.BDH($C$28,"TOTAL_CAPITAL_SEQUENTIAL_GROWTH","FQ2 2016","FQ2 2016","Currency=INR","Period=FQ","BEST_FPERIOD_OVERRIDE=FQ","FILING_STATUS=OR","EQY_CONSOLIDATED=Y","Sort=A","Dates=H","DateFormat=P","Fill=—","Direction=H","UseDPDF=Y")</f>
        <v>#NAME?</v>
      </c>
      <c r="BW40" s="1" t="e">
        <f ca="1">_xll.BDH($C$28,"BPS_SEQUENTIAL_GROWTH","FQ2 2016","FQ2 2016","Currency=INR","Period=FQ","BEST_FPERIOD_OVERRIDE=FQ","FILING_STATUS=OR","EQY_CONSOLIDATED=Y","Sort=A","Dates=H","DateFormat=P","Fill=—","Direction=H","UseDPDF=Y")</f>
        <v>#NAME?</v>
      </c>
      <c r="BX40" s="1" t="e">
        <f ca="1">_xll.BDH($C$28,"CFO_SEQUENTIAL_GROWTH","FQ2 2016","FQ2 2016","Currency=INR","Period=FQ","BEST_FPERIOD_OVERRIDE=FQ","FILING_STATUS=OR","EQY_CONSOLIDATED=Y","Sort=A","Dates=H","DateFormat=P","Fill=—","Direction=H","UseDPDF=Y")</f>
        <v>#NAME?</v>
      </c>
      <c r="BY40" s="2" t="e">
        <f ca="1">_xll.BDH($C$28,"SHORT_AND_LONG_TERM_DEBT","FQ2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0" s="2" t="e">
        <f ca="1">_xll.BDH($C$28,"BS_ST_BORROW","FQ2 2016","FQ2 2016","Currency=INR","Period=FQ","BEST_FPERIOD_OVERRIDE=FQ","FILING_STATUS=OR","EQY_CONSOLIDATED=Y","SCALING_FORMAT=MLN","Sort=A","Dates=H","DateFormat=P","Fill=—","Direction=H","UseDPDF=Y")</f>
        <v>#NAME?</v>
      </c>
      <c r="CA40" s="2" t="e">
        <f ca="1">_xll.BDH($C$28,"BS_LT_BORROW","FQ2 2016","FQ2 2016","Currency=INR","Period=FQ","BEST_FPERIOD_OVERRIDE=FQ","FILING_STATUS=OR","EQY_CONSOLIDATED=Y","SCALING_FORMAT=MLN","Sort=A","Dates=H","DateFormat=P","Fill=—","Direction=H","UseDPDF=Y")</f>
        <v>#NAME?</v>
      </c>
      <c r="CB40" s="1" t="e">
        <f ca="1">_xll.BDH($C$28,"TOT_DEBT_TO_EBITDA","FQ2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0" s="1" t="e">
        <f ca="1">_xll.BDH($C$28,"NET_DEBT_TO_EBITDA","FQ2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0" s="1" t="e">
        <f ca="1">_xll.BDH($C$28,"TOTAL_DEBT_TO_EBIT","FQ2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0" s="1" t="e">
        <f ca="1">_xll.BDH($C$28,"NET_DEBT_TO_EBIT","FQ2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40" s="1" t="e">
        <f ca="1">_xll.BDH($C$28,"EBITDA_TO_INTEREST_EXPN","FQ2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0" s="1" t="e">
        <f ca="1">_xll.BDH($C$28,"COM_EQY_TO_TOT_ASSET","FQ2 2016","FQ2 2016","Currency=INR","Period=FQ","BEST_FPERIOD_OVERRIDE=FQ","FILING_STATUS=OR","EQY_CONSOLIDATED=Y","Sort=A","Dates=H","DateFormat=P","Fill=—","Direction=H","UseDPDF=Y")</f>
        <v>#NAME?</v>
      </c>
      <c r="CH40" s="1" t="e">
        <f ca="1">_xll.BDH($C$28,"LT_DEBT_TO_TOT_EQY","FQ2 2016","FQ2 2016","Currency=INR","Period=FQ","BEST_FPERIOD_OVERRIDE=FQ","FILING_STATUS=OR","EQY_CONSOLIDATED=Y","Sort=A","Dates=H","DateFormat=P","Fill=—","Direction=H","UseDPDF=Y")</f>
        <v>#NAME?</v>
      </c>
      <c r="CI40" s="1" t="e">
        <f ca="1">_xll.BDH($C$28,"LT_DEBT_TO_TOT_CAP","FQ2 2016","FQ2 2016","Currency=INR","Period=FQ","BEST_FPERIOD_OVERRIDE=FQ","FILING_STATUS=OR","EQY_CONSOLIDATED=Y","Sort=A","Dates=H","DateFormat=P","Fill=—","Direction=H","UseDPDF=Y")</f>
        <v>#NAME?</v>
      </c>
      <c r="CJ40" s="1" t="e">
        <f ca="1">_xll.BDH($C$28,"LT_DEBT_TO_TOT_ASSET","FQ2 2016","FQ2 2016","Currency=INR","Period=FQ","BEST_FPERIOD_OVERRIDE=FQ","FILING_STATUS=OR","EQY_CONSOLIDATED=Y","Sort=A","Dates=H","DateFormat=P","Fill=—","Direction=H","UseDPDF=Y")</f>
        <v>#NAME?</v>
      </c>
      <c r="CK40" s="1" t="e">
        <f ca="1">_xll.BDH($C$28,"TOT_DEBT_TO_TOT_EQY","FQ2 2016","FQ2 2016","Currency=INR","Period=FQ","BEST_FPERIOD_OVERRIDE=FQ","FILING_STATUS=OR","EQY_CONSOLIDATED=Y","Sort=A","Dates=H","DateFormat=P","Fill=—","Direction=H","UseDPDF=Y")</f>
        <v>#NAME?</v>
      </c>
      <c r="CL40" s="1" t="e">
        <f ca="1">_xll.BDH($C$28,"TOT_DEBT_TO_TOT_CAP","FQ2 2016","FQ2 2016","Currency=INR","Period=FQ","BEST_FPERIOD_OVERRIDE=FQ","FILING_STATUS=OR","EQY_CONSOLIDATED=Y","Sort=A","Dates=H","DateFormat=P","Fill=—","Direction=H","UseDPDF=Y")</f>
        <v>#NAME?</v>
      </c>
      <c r="CM40" s="1" t="e">
        <f ca="1">_xll.BDH($C$28,"TOT_DEBT_TO_TOT_ASSET","FQ2 2016","FQ2 2016","Currency=INR","Period=FQ","BEST_FPERIOD_OVERRIDE=FQ","FILING_STATUS=OR","EQY_CONSOLIDATED=Y","Sort=A","Dates=H","DateFormat=P","Fill=—","Direction=H","UseDPDF=Y")</f>
        <v>#NAME?</v>
      </c>
      <c r="CN40" s="1" t="e">
        <f ca="1">_xll.BDH($C$28,"NET_DEBT_TO_SHRHLDR_EQTY","FQ2 2016","FQ2 2016","Currency=INR","Period=FQ","BEST_FPERIOD_OVERRIDE=FQ","FILING_STATUS=OR","EQY_CONSOLIDATED=Y","Sort=A","Dates=H","DateFormat=P","Fill=—","Direction=H","UseDPDF=Y")</f>
        <v>#NAME?</v>
      </c>
      <c r="CO40" s="1" t="e">
        <f ca="1">_xll.BDH($C$28,"NET_DEBT_%_CAPITAL","FQ2 2016","FQ2 2016","Currency=INR","Period=FQ","BEST_FPERIOD_OVERRIDE=FQ","FILING_STATUS=OR","EQY_CONSOLIDATED=Y","Sort=A","Dates=H","DateFormat=P","Fill=—","Direction=H","UseDPDF=Y")</f>
        <v>#NAME?</v>
      </c>
      <c r="CP40" s="2" t="e">
        <f ca="1">_xll.BDH($C$28,"EBITDA","FQ2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0" s="2" t="e">
        <f ca="1">_xll.BDH($C$28,"EBITDA_AFTER_CAPEX","FQ2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0" s="2" t="e">
        <f ca="1">_xll.BDH($C$28,"IS_OPER_INC","FQ2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0" s="1" t="e">
        <f ca="1">_xll.BDH($C$28,"CASH_RATIO","FQ2 2016","FQ2 2016","Currency=INR","Period=FQ","BEST_FPERIOD_OVERRIDE=FQ","FILING_STATUS=OR","EQY_CONSOLIDATED=Y","Sort=A","Dates=H","DateFormat=P","Fill=—","Direction=H","UseDPDF=Y")</f>
        <v>#NAME?</v>
      </c>
      <c r="CT40" s="1" t="e">
        <f ca="1">_xll.BDH($C$28,"CUR_RATIO","FQ2 2016","FQ2 2016","Currency=INR","Period=FQ","BEST_FPERIOD_OVERRIDE=FQ","FILING_STATUS=OR","EQY_CONSOLIDATED=Y","Sort=A","Dates=H","DateFormat=P","Fill=—","Direction=H","UseDPDF=Y")</f>
        <v>#NAME?</v>
      </c>
      <c r="CU40" s="1" t="e">
        <f ca="1">_xll.BDH($C$28,"QUICK_RATIO","FQ2 2016","FQ2 2016","Currency=INR","Period=FQ","BEST_FPERIOD_OVERRIDE=FQ","FILING_STATUS=OR","EQY_CONSOLIDATED=Y","Sort=A","Dates=H","DateFormat=P","Fill=—","Direction=H","UseDPDF=Y")</f>
        <v>#NAME?</v>
      </c>
      <c r="CV40" s="1" t="e">
        <f ca="1">_xll.BDH($C$28,"ALTMAN_Z_SCORE","FQ2 2016","FQ2 2016","Currency=INR","Period=FQ","BEST_FPERIOD_OVERRIDE=FQ","FILING_STATUS=OR","EQY_CONSOLIDATED=Y","Sort=A","Dates=H","DateFormat=P","Fill=—","Direction=H","UseDPDF=Y")</f>
        <v>#NAME?</v>
      </c>
      <c r="CW40" s="3" t="e">
        <f ca="1">_xll.BDH($C$28,"ACCT_RCV_TURN","FQ2 2016","FQ2 2016","Currency=INR","Period=FQ","BEST_FPERIOD_OVERRIDE=FQ","FILING_STATUS=OR","EQY_CONSOLIDATED=Y","FA_ADJUSTED=GAAP","Sort=A","Dates=H","DateFormat=P","Fill=—","Direction=H","UseDPDF=Y")</f>
        <v>#NAME?</v>
      </c>
      <c r="CX40" s="1" t="e">
        <f ca="1">_xll.BDH($C$28,"ACCT_RCV_DAYS","FQ2 2016","FQ2 2016","Currency=INR","Period=FQ","BEST_FPERIOD_OVERRIDE=FQ","FILING_STATUS=OR","EQY_CONSOLIDATED=Y","FA_ADJUSTED=GAAP","Sort=A","Dates=H","DateFormat=P","Fill=—","Direction=H","UseDPDF=Y")</f>
        <v>#NAME?</v>
      </c>
      <c r="CY40" s="3" t="e">
        <f ca="1">_xll.BDH($C$28,"INVENT_TURN","FQ2 2016","FQ2 2016","Currency=INR","Period=FQ","BEST_FPERIOD_OVERRIDE=FQ","FILING_STATUS=OR","EQY_CONSOLIDATED=Y","FA_ADJUSTED=GAAP","Sort=A","Dates=H","DateFormat=P","Fill=—","Direction=H","UseDPDF=Y")</f>
        <v>#NAME?</v>
      </c>
      <c r="CZ40" s="1" t="e">
        <f ca="1">_xll.BDH($C$28,"INVENT_DAYS","FQ2 2016","FQ2 2016","Currency=INR","Period=FQ","BEST_FPERIOD_OVERRIDE=FQ","FILING_STATUS=OR","EQY_CONSOLIDATED=Y","FA_ADJUSTED=GAAP","Sort=A","Dates=H","DateFormat=P","Fill=—","Direction=H","UseDPDF=Y")</f>
        <v>#NAME?</v>
      </c>
      <c r="DA40" s="3" t="e">
        <f ca="1">_xll.BDH($C$28,"ACCOUNTS_PAYABLE_TURNOVER","FQ2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0" s="1" t="e">
        <f ca="1">_xll.BDH($C$28,"ACCOUNTS_PAYABLE_TURNOVER_DAYS","FQ2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0" s="3" t="e">
        <f ca="1">_xll.BDH($C$28,"CASH_CONVERSION_CYCLE","FQ2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0" s="3" t="e">
        <f ca="1">_xll.BDH($C$28,"INV_TO_CASH_DAYS","FQ2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40" s="4" t="e">
        <f ca="1">_xll.BDH($C$28,"BS_INVENTORIES","FQ2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40" s="2" t="e">
        <f ca="1">_xll.BDH($C$28,"INVTRY_RAW_MATERIALS","FQ2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0" s="2" t="e">
        <f ca="1">_xll.BDH($C$28,"INVTRY_IN_PROGRESS","FQ2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0" s="2" t="e">
        <f ca="1">_xll.BDH($C$28,"INVTRY_FINISHED_GOODS","FQ2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0" s="2" t="e">
        <f ca="1">_xll.BDH($C$28,"BS_OTHER_INV","FQ2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1" spans="1:113" x14ac:dyDescent="0.3">
      <c r="A41" s="6"/>
      <c r="B41" s="6"/>
      <c r="C41" s="6"/>
      <c r="D41" s="6"/>
      <c r="E41" t="s">
        <v>6</v>
      </c>
      <c r="F41" t="e">
        <f ca="1">_xll.BDH($C$28,"RETURN_COM_EQY","FQ3 2016","FQ3 2016","Currency=INR","Period=FQ","BEST_FPERIOD_OVERRIDE=FQ","FILING_STATUS=OR","EQY_CONSOLIDATED=Y","FA_ADJUSTED=GAAP","Sort=A","Dates=H","DateFormat=P","Fill=—","Direction=H","UseDPDF=Y")</f>
        <v>#NAME?</v>
      </c>
      <c r="G41" t="e">
        <f ca="1">_xll.BDH($C$28,"RETURN_ON_ASSET","FQ3 2016","FQ3 2016","Currency=INR","Period=FQ","BEST_FPERIOD_OVERRIDE=FQ","FILING_STATUS=OR","EQY_CONSOLIDATED=Y","FA_ADJUSTED=GAAP","Sort=A","Dates=H","DateFormat=P","Fill=—","Direction=H","UseDPDF=Y")</f>
        <v>#NAME?</v>
      </c>
      <c r="H41" t="e">
        <f ca="1">_xll.BDH($C$28,"RETURN_ON_CAP","FQ3 2016","FQ3 2016","Currency=INR","Period=FQ","BEST_FPERIOD_OVERRIDE=FQ","FILING_STATUS=OR","EQY_CONSOLIDATED=Y","FA_ADJUSTED=GAAP","Sort=A","Dates=H","DateFormat=P","Fill=—","Direction=H","UseDPDF=Y")</f>
        <v>#NAME?</v>
      </c>
      <c r="I41" t="e">
        <f ca="1">_xll.BDH($C$28,"RETURN_ON_INV_CAPITAL","FQ3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1" t="e">
        <f ca="1">_xll.BDH($C$28,"EBITDA_TO_REVENUE","FQ3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41" t="e">
        <f ca="1">_xll.BDH($C$28,"OPER_MARGIN","FQ3 2016","FQ3 2016","Currency=INR","Period=FQ","BEST_FPERIOD_OVERRIDE=FQ","FILING_STATUS=OR","EQY_CONSOLIDATED=Y","FA_ADJUSTED=GAAP","Sort=A","Dates=H","DateFormat=P","Fill=—","Direction=H","UseDPDF=Y")</f>
        <v>#NAME?</v>
      </c>
      <c r="L41" t="e">
        <f ca="1">_xll.BDH($C$28,"INCREMENTAL_OPERATING_MARGIN","FQ3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1" t="e">
        <f ca="1">_xll.BDH($C$28,"PRETAX_INC_TO_NET_SALES","FQ3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1" t="e">
        <f ca="1">_xll.BDH($C$28,"INC_BEF_XO_ITEMS_TO_NET_SALES","FQ3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1" t="e">
        <f ca="1">_xll.BDH($C$28,"PROF_MARGIN","FQ3 2016","FQ3 2016","Currency=INR","Period=FQ","BEST_FPERIOD_OVERRIDE=FQ","FILING_STATUS=OR","EQY_CONSOLIDATED=Y","FA_ADJUSTED=GAAP","Sort=A","Dates=H","DateFormat=P","Fill=—","Direction=H","UseDPDF=Y")</f>
        <v>#NAME?</v>
      </c>
      <c r="P41" t="e">
        <f ca="1">_xll.BDH($C$28,"NET_INCOME_TO_COMMON_MARGIN","FQ3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1" t="e">
        <f ca="1">_xll.BDH($C$28,"EFF_TAX_RATE","FQ3 2016","FQ3 2016","Currency=INR","Period=FQ","BEST_FPERIOD_OVERRIDE=FQ","FILING_STATUS=OR","EQY_CONSOLIDATED=Y","FA_ADJUSTED=GAAP","Sort=A","Dates=H","DateFormat=P","Fill=—","Direction=H","UseDPDF=Y")</f>
        <v>#NAME?</v>
      </c>
      <c r="R41" t="e">
        <f ca="1">_xll.BDH($C$28,"DVD_PAYOUT_RATIO","FQ3 2016","FQ3 2016","Currency=INR","Period=FQ","BEST_FPERIOD_OVERRIDE=FQ","FILING_STATUS=OR","EQY_CONSOLIDATED=Y","FA_ADJUSTED=GAAP","Sort=A","Dates=H","DateFormat=P","Fill=—","Direction=H","UseDPDF=Y")</f>
        <v>#NAME?</v>
      </c>
      <c r="S41" t="e">
        <f ca="1">_xll.BDH($C$28,"SUSTAIN_GROWTH_RT","FQ3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41" s="1" t="e">
        <f ca="1">_xll.BDH($C$28,"SALES_GROWTH","FQ3 2016","FQ3 2016","Currency=INR","Period=FQ","BEST_FPERIOD_OVERRIDE=FQ","FILING_STATUS=OR","EQY_CONSOLIDATED=Y","FA_ADJUSTED=GAAP","Sort=A","Dates=H","DateFormat=P","Fill=—","Direction=H","UseDPDF=Y")</f>
        <v>#NAME?</v>
      </c>
      <c r="U41" s="1" t="e">
        <f ca="1">_xll.BDH($C$28,"EBITDA_GROWTH","FQ3 2016","FQ3 2016","Currency=INR","Period=FQ","BEST_FPERIOD_OVERRIDE=FQ","FILING_STATUS=OR","EQY_CONSOLIDATED=Y","FA_ADJUSTED=GAAP","Sort=A","Dates=H","DateFormat=P","Fill=—","Direction=H","UseDPDF=Y")</f>
        <v>#NAME?</v>
      </c>
      <c r="V41" s="1" t="e">
        <f ca="1">_xll.BDH($C$28,"OPER_INC_GROWTH","FQ3 2016","FQ3 2016","Currency=INR","Period=FQ","BEST_FPERIOD_OVERRIDE=FQ","FILING_STATUS=OR","EQY_CONSOLIDATED=Y","FA_ADJUSTED=GAAP","Sort=A","Dates=H","DateFormat=P","Fill=—","Direction=H","UseDPDF=Y")</f>
        <v>#NAME?</v>
      </c>
      <c r="W41" s="1" t="e">
        <f ca="1">_xll.BDH($C$28,"EARN_FOR_COM_GROWTH","FQ3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1" s="1" t="e">
        <f ca="1">_xll.BDH($C$28,"DILUTED_EPS_AFT_XO_ITEMS_GROWTH","FQ3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1" s="1" t="e">
        <f ca="1">_xll.BDH($C$28,"DIVIDEND_PER_SHARE_1_YEAR_GROWTH","FQ3 2016","FQ3 2016","Currency=INR","Period=FQ","BEST_FPERIOD_OVERRIDE=FQ","FILING_STATUS=OR","EQY_CONSOLIDATED=Y","Sort=A","Dates=H","DateFormat=P","Fill=—","Direction=H","UseDPDF=Y")</f>
        <v>#NAME?</v>
      </c>
      <c r="Z41" s="1" t="e">
        <f ca="1">_xll.BDH($C$28,"ACCOUNTS_RECEIVABLE_GROWTH","FQ3 2016","FQ3 2016","Currency=INR","Period=FQ","BEST_FPERIOD_OVERRIDE=FQ","FILING_STATUS=OR","EQY_CONSOLIDATED=Y","Sort=A","Dates=H","DateFormat=P","Fill=—","Direction=H","UseDPDF=Y")</f>
        <v>#NAME?</v>
      </c>
      <c r="AA41" s="1" t="e">
        <f ca="1">_xll.BDH($C$28,"INVENTORY_GROWTH","FQ3 2016","FQ3 2016","Currency=INR","Period=FQ","BEST_FPERIOD_OVERRIDE=FQ","FILING_STATUS=OR","EQY_CONSOLIDATED=Y","Sort=A","Dates=H","DateFormat=P","Fill=—","Direction=H","UseDPDF=Y")</f>
        <v>#NAME?</v>
      </c>
      <c r="AB41" s="1" t="e">
        <f ca="1">_xll.BDH($C$28,"NET_FIXED_ASSETS_1_YEAR_GROWTH","FQ3 2016","FQ3 2016","Currency=INR","Period=FQ","BEST_FPERIOD_OVERRIDE=FQ","FILING_STATUS=OR","EQY_CONSOLIDATED=Y","Sort=A","Dates=H","DateFormat=P","Fill=—","Direction=H","UseDPDF=Y")</f>
        <v>#NAME?</v>
      </c>
      <c r="AC41" s="1" t="e">
        <f ca="1">_xll.BDH($C$28,"ASSET_GROWTH","FQ3 2016","FQ3 2016","Currency=INR","Period=FQ","BEST_FPERIOD_OVERRIDE=FQ","FILING_STATUS=OR","EQY_CONSOLIDATED=Y","Sort=A","Dates=H","DateFormat=P","Fill=—","Direction=H","UseDPDF=Y")</f>
        <v>#NAME?</v>
      </c>
      <c r="AD41" s="1" t="e">
        <f ca="1">_xll.BDH($C$28,"MODIFIED_WORK_CAP_GROWTH","FQ3 2016","FQ3 2016","Currency=INR","Period=FQ","BEST_FPERIOD_OVERRIDE=FQ","FILING_STATUS=OR","EQY_CONSOLIDATED=Y","Sort=A","Dates=H","DateFormat=P","Fill=—","Direction=H","UseDPDF=Y")</f>
        <v>#NAME?</v>
      </c>
      <c r="AE41" s="1" t="e">
        <f ca="1">_xll.BDH($C$28,"WORK_CAP_GROWTH","FQ3 2016","FQ3 2016","Currency=INR","Period=FQ","BEST_FPERIOD_OVERRIDE=FQ","FILING_STATUS=OR","EQY_CONSOLIDATED=Y","Sort=A","Dates=H","DateFormat=P","Fill=—","Direction=H","UseDPDF=Y")</f>
        <v>#NAME?</v>
      </c>
      <c r="AF41" s="1" t="e">
        <f ca="1">_xll.BDH($C$28,"ACCOUNTS_PAYABLE_GROWTH_1YR","FQ3 2016","FQ3 2016","Currency=INR","Period=FQ","BEST_FPERIOD_OVERRIDE=FQ","FILING_STATUS=OR","EQY_CONSOLIDATED=Y","Sort=A","Dates=H","DateFormat=P","Fill=—","Direction=H","UseDPDF=Y")</f>
        <v>#NAME?</v>
      </c>
      <c r="AG41" s="1" t="e">
        <f ca="1">_xll.BDH($C$28,"SHORT_TERM_DEBT_1_YEAR_GROWTH","FQ3 2016","FQ3 2016","Currency=INR","Period=FQ","BEST_FPERIOD_OVERRIDE=FQ","FILING_STATUS=OR","EQY_CONSOLIDATED=Y","Sort=A","Dates=H","DateFormat=P","Fill=—","Direction=H","UseDPDF=Y")</f>
        <v>#NAME?</v>
      </c>
      <c r="AH41" s="1" t="e">
        <f ca="1">_xll.BDH($C$28,"TOTAL_DEBT_1_YEAR_GROWTH","FQ3 2016","FQ3 2016","Currency=INR","Period=FQ","BEST_FPERIOD_OVERRIDE=FQ","FILING_STATUS=OR","EQY_CONSOLIDATED=Y","Sort=A","Dates=H","DateFormat=P","Fill=—","Direction=H","UseDPDF=Y")</f>
        <v>#NAME?</v>
      </c>
      <c r="AI41" s="1" t="e">
        <f ca="1">_xll.BDH($C$28,"TOTAL_EQUITY_1_YEAR_GROWTH","FQ3 2016","FQ3 2016","Currency=INR","Period=FQ","BEST_FPERIOD_OVERRIDE=FQ","FILING_STATUS=OR","EQY_CONSOLIDATED=Y","Sort=A","Dates=H","DateFormat=P","Fill=—","Direction=H","UseDPDF=Y")</f>
        <v>#NAME?</v>
      </c>
      <c r="AJ41" s="1" t="e">
        <f ca="1">_xll.BDH($C$28,"GROWTH_IN_CAP","FQ3 2016","FQ3 2016","Currency=INR","Period=FQ","BEST_FPERIOD_OVERRIDE=FQ","FILING_STATUS=OR","EQY_CONSOLIDATED=Y","Sort=A","Dates=H","DateFormat=P","Fill=—","Direction=H","UseDPDF=Y")</f>
        <v>#NAME?</v>
      </c>
      <c r="AK41" s="1" t="e">
        <f ca="1">_xll.BDH($C$28,"BVPS_GROWTH","FQ3 2016","FQ3 2016","Currency=INR","Period=FQ","BEST_FPERIOD_OVERRIDE=FQ","FILING_STATUS=OR","EQY_CONSOLIDATED=Y","Sort=A","Dates=H","DateFormat=P","Fill=—","Direction=H","UseDPDF=Y")</f>
        <v>#NAME?</v>
      </c>
      <c r="AL41" s="1" t="e">
        <f ca="1">_xll.BDH($C$28,"CASH_FLOW_GROWTH","FQ3 2016","FQ3 2016","Currency=INR","Period=FQ","BEST_FPERIOD_OVERRIDE=FQ","FILING_STATUS=OR","EQY_CONSOLIDATED=Y","Sort=A","Dates=H","DateFormat=P","Fill=—","Direction=H","UseDPDF=Y")</f>
        <v>#NAME?</v>
      </c>
      <c r="AM41" s="1" t="e">
        <f ca="1">_xll.BDH($C$28,"GEO_GROW_NET_SALES","FQ3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1" s="1" t="e">
        <f ca="1">_xll.BDH($C$28,"GEO_GROW_EBITDA","FQ3 2016","FQ3 2016","Currency=INR","Period=FQ","BEST_FPERIOD_OVERRIDE=FQ","FILING_STATUS=OR","EQY_CONSOLIDATED=Y","FA_ADJUSTED=GAAP","Sort=A","Dates=H","DateFormat=P","Fill=—","Direction=H","UseDPDF=Y")</f>
        <v>#NAME?</v>
      </c>
      <c r="AO41" s="1" t="e">
        <f ca="1">_xll.BDH($C$28,"GEO_GROW_OPER_INC","FQ3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1" s="1" t="e">
        <f ca="1">_xll.BDH($C$28,"NET_INCOME_TO_COMMON_5_YR_GROWTH","FQ3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1" s="1" t="e">
        <f ca="1">_xll.BDH($C$28,"5Y_GEO_GROWTH_DILUTED_EPS","FQ3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1" s="1" t="e">
        <f ca="1">_xll.BDH($C$28,"GEO_GROW_DVD_PER_SH","FQ3 2016","FQ3 2016","Currency=INR","Period=FQ","BEST_FPERIOD_OVERRIDE=FQ","FILING_STATUS=OR","EQY_CONSOLIDATED=Y","Sort=A","Dates=H","DateFormat=P","Fill=—","Direction=H","UseDPDF=Y")</f>
        <v>#NAME?</v>
      </c>
      <c r="AS41" s="1" t="e">
        <f ca="1">_xll.BDH($C$28,"ACCOUNTS_RECEIVABLE_5_YR_GROWTH","FQ3 2016","FQ3 2016","Currency=INR","Period=FQ","BEST_FPERIOD_OVERRIDE=FQ","FILING_STATUS=OR","EQY_CONSOLIDATED=Y","Sort=A","Dates=H","DateFormat=P","Fill=—","Direction=H","UseDPDF=Y")</f>
        <v>#NAME?</v>
      </c>
      <c r="AT41" s="1" t="e">
        <f ca="1">_xll.BDH($C$28,"INVENTORY_5_YEAR_GROWTH","FQ3 2016","FQ3 2016","Currency=INR","Period=FQ","BEST_FPERIOD_OVERRIDE=FQ","FILING_STATUS=OR","EQY_CONSOLIDATED=Y","Sort=A","Dates=H","DateFormat=P","Fill=—","Direction=H","UseDPDF=Y")</f>
        <v>#NAME?</v>
      </c>
      <c r="AU41" s="1" t="e">
        <f ca="1">_xll.BDH($C$28,"NET_FIXED_ASSETS_5_YEAR_GROWTH","FQ3 2016","FQ3 2016","Currency=INR","Period=FQ","BEST_FPERIOD_OVERRIDE=FQ","FILING_STATUS=OR","EQY_CONSOLIDATED=Y","Sort=A","Dates=H","DateFormat=P","Fill=—","Direction=H","UseDPDF=Y")</f>
        <v>#NAME?</v>
      </c>
      <c r="AV41" s="1" t="e">
        <f ca="1">_xll.BDH($C$28,"GEO_GROW_TOT_ASSET","FQ3 2016","FQ3 2016","Currency=INR","Period=FQ","BEST_FPERIOD_OVERRIDE=FQ","FILING_STATUS=OR","EQY_CONSOLIDATED=Y","Sort=A","Dates=H","DateFormat=P","Fill=—","Direction=H","UseDPDF=Y")</f>
        <v>#NAME?</v>
      </c>
      <c r="AW41" s="1" t="e">
        <f ca="1">_xll.BDH($C$28,"MODIFIED_WORKING_CPTL_5YR_GRWTH","FQ3 2016","FQ3 2016","Currency=INR","Period=FQ","BEST_FPERIOD_OVERRIDE=FQ","FILING_STATUS=OR","EQY_CONSOLIDATED=Y","Sort=A","Dates=H","DateFormat=P","Fill=—","Direction=H","UseDPDF=Y")</f>
        <v>#NAME?</v>
      </c>
      <c r="AX41" s="1" t="e">
        <f ca="1">_xll.BDH($C$28,"WORKING_CAPITAL_5_YEAR_GROWTH","FQ3 2016","FQ3 2016","Currency=INR","Period=FQ","BEST_FPERIOD_OVERRIDE=FQ","FILING_STATUS=OR","EQY_CONSOLIDATED=Y","Sort=A","Dates=H","DateFormat=P","Fill=—","Direction=H","UseDPDF=Y")</f>
        <v>#NAME?</v>
      </c>
      <c r="AY41" s="1" t="e">
        <f ca="1">_xll.BDH($C$28,"ACCOUNTS_PAYABLE_5_YEAR_GROWTH","FQ3 2016","FQ3 2016","Currency=INR","Period=FQ","BEST_FPERIOD_OVERRIDE=FQ","FILING_STATUS=OR","EQY_CONSOLIDATED=Y","Sort=A","Dates=H","DateFormat=P","Fill=—","Direction=H","UseDPDF=Y")</f>
        <v>#NAME?</v>
      </c>
      <c r="AZ41" s="1" t="e">
        <f ca="1">_xll.BDH($C$28,"SHORT_TERM_DEBT_5_YEAR_GROWTH","FQ3 2016","FQ3 2016","Currency=INR","Period=FQ","BEST_FPERIOD_OVERRIDE=FQ","FILING_STATUS=OR","EQY_CONSOLIDATED=Y","Sort=A","Dates=H","DateFormat=P","Fill=—","Direction=H","UseDPDF=Y")</f>
        <v>#NAME?</v>
      </c>
      <c r="BA41" s="1" t="e">
        <f ca="1">_xll.BDH($C$28,"TOTAL_DEBT_5_YEAR_GROWTH","FQ3 2016","FQ3 2016","Currency=INR","Period=FQ","BEST_FPERIOD_OVERRIDE=FQ","FILING_STATUS=OR","EQY_CONSOLIDATED=Y","Sort=A","Dates=H","DateFormat=P","Fill=—","Direction=H","UseDPDF=Y")</f>
        <v>#NAME?</v>
      </c>
      <c r="BB41" s="1" t="e">
        <f ca="1">_xll.BDH($C$28,"GEO_GROW_TOT_SHRHLDR_EQY","FQ3 2016","FQ3 2016","Currency=INR","Period=FQ","BEST_FPERIOD_OVERRIDE=FQ","FILING_STATUS=OR","EQY_CONSOLIDATED=Y","Sort=A","Dates=H","DateFormat=P","Fill=—","Direction=H","UseDPDF=Y")</f>
        <v>#NAME?</v>
      </c>
      <c r="BC41" s="1" t="e">
        <f ca="1">_xll.BDH($C$28,"TOTAL_CAPITAL_5_YEAR_GROWTH","FQ3 2016","FQ3 2016","Currency=INR","Period=FQ","BEST_FPERIOD_OVERRIDE=FQ","FILING_STATUS=OR","EQY_CONSOLIDATED=Y","Sort=A","Dates=H","DateFormat=P","Fill=—","Direction=H","UseDPDF=Y")</f>
        <v>#NAME?</v>
      </c>
      <c r="BD41" s="1" t="e">
        <f ca="1">_xll.BDH($C$28,"GEO_GROW_BOOK_VAL","FQ3 2016","FQ3 2016","Currency=INR","Period=FQ","BEST_FPERIOD_OVERRIDE=FQ","FILING_STATUS=OR","EQY_CONSOLIDATED=Y","Sort=A","Dates=H","DateFormat=P","Fill=—","Direction=H","UseDPDF=Y")</f>
        <v>#NAME?</v>
      </c>
      <c r="BE41" s="1" t="e">
        <f ca="1">_xll.BDH($C$28,"GEO_GROW_CASH_OPER_ACT","FQ3 2016","FQ3 2016","Currency=INR","Period=FQ","BEST_FPERIOD_OVERRIDE=FQ","FILING_STATUS=OR","EQY_CONSOLIDATED=Y","Sort=A","Dates=H","DateFormat=P","Fill=—","Direction=H","UseDPDF=Y")</f>
        <v>#NAME?</v>
      </c>
      <c r="BF41" s="1" t="e">
        <f ca="1">_xll.BDH($C$28,"REVENUE_SEQUENTIAL_GROWTH","FQ3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1" s="1" t="e">
        <f ca="1">_xll.BDH($C$28,"EBITDA_SEQUENTIAL_GROWTH","FQ3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1" s="1" t="e">
        <f ca="1">_xll.BDH($C$28,"OPERATING_INCOME_SEQ_GROWTH","FQ3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1" s="1" t="e">
        <f ca="1">_xll.BDH($C$28,"NET_INCOME_TO_COMMON_SEQ_GROWTH","FQ3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1" s="1" t="e">
        <f ca="1">_xll.BDH($C$28,"EPS_DILUTED_SEQUENTIAL_GROWTH","FQ3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1" s="1" t="e">
        <f ca="1">_xll.BDH($C$28,"DPS_SEQUENTIAL_GROWTH","FQ3 2016","FQ3 2016","Currency=INR","Period=FQ","BEST_FPERIOD_OVERRIDE=FQ","FILING_STATUS=OR","EQY_CONSOLIDATED=Y","Sort=A","Dates=H","DateFormat=P","Fill=—","Direction=H","UseDPDF=Y")</f>
        <v>#NAME?</v>
      </c>
      <c r="BL41" s="1" t="e">
        <f ca="1">_xll.BDH($C$28,"ACCOUNTS_RECEIVABLE_SEQ_GROWTH","FQ3 2016","FQ3 2016","Currency=INR","Period=FQ","BEST_FPERIOD_OVERRIDE=FQ","FILING_STATUS=OR","EQY_CONSOLIDATED=Y","Sort=A","Dates=H","DateFormat=P","Fill=—","Direction=H","UseDPDF=Y")</f>
        <v>#NAME?</v>
      </c>
      <c r="BM41" s="1" t="e">
        <f ca="1">_xll.BDH($C$28,"INVENTORY_SEQUENTIAL_GROWTH","FQ3 2016","FQ3 2016","Currency=INR","Period=FQ","BEST_FPERIOD_OVERRIDE=FQ","FILING_STATUS=OR","EQY_CONSOLIDATED=Y","Sort=A","Dates=H","DateFormat=P","Fill=—","Direction=H","UseDPDF=Y")</f>
        <v>#NAME?</v>
      </c>
      <c r="BN41" s="1" t="e">
        <f ca="1">_xll.BDH($C$28,"FIXED_ASSETS_SEQUENTIAL_GROWTH","FQ3 2016","FQ3 2016","Currency=INR","Period=FQ","BEST_FPERIOD_OVERRIDE=FQ","FILING_STATUS=OR","EQY_CONSOLIDATED=Y","Sort=A","Dates=H","DateFormat=P","Fill=—","Direction=H","UseDPDF=Y")</f>
        <v>#NAME?</v>
      </c>
      <c r="BO41" s="1" t="e">
        <f ca="1">_xll.BDH($C$28,"TOTAL_ASSETS_SEQUENTIAL_GROWTH","FQ3 2016","FQ3 2016","Currency=INR","Period=FQ","BEST_FPERIOD_OVERRIDE=FQ","FILING_STATUS=OR","EQY_CONSOLIDATED=Y","Sort=A","Dates=H","DateFormat=P","Fill=—","Direction=H","UseDPDF=Y")</f>
        <v>#NAME?</v>
      </c>
      <c r="BP41" s="1" t="e">
        <f ca="1">_xll.BDH($C$28,"MODIFIED_WORKING_CPTL_SEQ_GRWTH","FQ3 2016","FQ3 2016","Currency=INR","Period=FQ","BEST_FPERIOD_OVERRIDE=FQ","FILING_STATUS=OR","EQY_CONSOLIDATED=Y","Sort=A","Dates=H","DateFormat=P","Fill=—","Direction=H","UseDPDF=Y")</f>
        <v>#NAME?</v>
      </c>
      <c r="BQ41" s="1" t="e">
        <f ca="1">_xll.BDH($C$28,"WORKING_CAPITAL_SEQ_GROWTH","FQ3 2016","FQ3 2016","Currency=INR","Period=FQ","BEST_FPERIOD_OVERRIDE=FQ","FILING_STATUS=OR","EQY_CONSOLIDATED=Y","Sort=A","Dates=H","DateFormat=P","Fill=—","Direction=H","UseDPDF=Y")</f>
        <v>#NAME?</v>
      </c>
      <c r="BR41" s="1" t="e">
        <f ca="1">_xll.BDH($C$28,"ACCOUNTS_PAYABLE_SEQ_GROWTH","FQ3 2016","FQ3 2016","Currency=INR","Period=FQ","BEST_FPERIOD_OVERRIDE=FQ","FILING_STATUS=OR","EQY_CONSOLIDATED=Y","Sort=A","Dates=H","DateFormat=P","Fill=—","Direction=H","UseDPDF=Y")</f>
        <v>#NAME?</v>
      </c>
      <c r="BS41" s="1" t="e">
        <f ca="1">_xll.BDH($C$28,"ST_DEBT_SEQUENTIAL_GROWTH","FQ3 2016","FQ3 2016","Currency=INR","Period=FQ","BEST_FPERIOD_OVERRIDE=FQ","FILING_STATUS=OR","EQY_CONSOLIDATED=Y","Sort=A","Dates=H","DateFormat=P","Fill=—","Direction=H","UseDPDF=Y")</f>
        <v>#NAME?</v>
      </c>
      <c r="BT41" s="1" t="e">
        <f ca="1">_xll.BDH($C$28,"TOTAL_DEBT_SEQUENTIAL_GROWTH","FQ3 2016","FQ3 2016","Currency=INR","Period=FQ","BEST_FPERIOD_OVERRIDE=FQ","FILING_STATUS=OR","EQY_CONSOLIDATED=Y","Sort=A","Dates=H","DateFormat=P","Fill=—","Direction=H","UseDPDF=Y")</f>
        <v>#NAME?</v>
      </c>
      <c r="BU41" s="1" t="e">
        <f ca="1">_xll.BDH($C$28,"TOTAL_EQUITY_SEQUENTIAL_GROWTH","FQ3 2016","FQ3 2016","Currency=INR","Period=FQ","BEST_FPERIOD_OVERRIDE=FQ","FILING_STATUS=OR","EQY_CONSOLIDATED=Y","Sort=A","Dates=H","DateFormat=P","Fill=—","Direction=H","UseDPDF=Y")</f>
        <v>#NAME?</v>
      </c>
      <c r="BV41" s="1" t="e">
        <f ca="1">_xll.BDH($C$28,"TOTAL_CAPITAL_SEQUENTIAL_GROWTH","FQ3 2016","FQ3 2016","Currency=INR","Period=FQ","BEST_FPERIOD_OVERRIDE=FQ","FILING_STATUS=OR","EQY_CONSOLIDATED=Y","Sort=A","Dates=H","DateFormat=P","Fill=—","Direction=H","UseDPDF=Y")</f>
        <v>#NAME?</v>
      </c>
      <c r="BW41" s="1" t="e">
        <f ca="1">_xll.BDH($C$28,"BPS_SEQUENTIAL_GROWTH","FQ3 2016","FQ3 2016","Currency=INR","Period=FQ","BEST_FPERIOD_OVERRIDE=FQ","FILING_STATUS=OR","EQY_CONSOLIDATED=Y","Sort=A","Dates=H","DateFormat=P","Fill=—","Direction=H","UseDPDF=Y")</f>
        <v>#NAME?</v>
      </c>
      <c r="BX41" s="1" t="e">
        <f ca="1">_xll.BDH($C$28,"CFO_SEQUENTIAL_GROWTH","FQ3 2016","FQ3 2016","Currency=INR","Period=FQ","BEST_FPERIOD_OVERRIDE=FQ","FILING_STATUS=OR","EQY_CONSOLIDATED=Y","Sort=A","Dates=H","DateFormat=P","Fill=—","Direction=H","UseDPDF=Y")</f>
        <v>#NAME?</v>
      </c>
      <c r="BY41" s="2" t="e">
        <f ca="1">_xll.BDH($C$28,"SHORT_AND_LONG_TERM_DEBT","FQ3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1" s="2" t="e">
        <f ca="1">_xll.BDH($C$28,"BS_ST_BORROW","FQ3 2016","FQ3 2016","Currency=INR","Period=FQ","BEST_FPERIOD_OVERRIDE=FQ","FILING_STATUS=OR","EQY_CONSOLIDATED=Y","SCALING_FORMAT=MLN","Sort=A","Dates=H","DateFormat=P","Fill=—","Direction=H","UseDPDF=Y")</f>
        <v>#NAME?</v>
      </c>
      <c r="CA41" s="2" t="e">
        <f ca="1">_xll.BDH($C$28,"BS_LT_BORROW","FQ3 2016","FQ3 2016","Currency=INR","Period=FQ","BEST_FPERIOD_OVERRIDE=FQ","FILING_STATUS=OR","EQY_CONSOLIDATED=Y","SCALING_FORMAT=MLN","Sort=A","Dates=H","DateFormat=P","Fill=—","Direction=H","UseDPDF=Y")</f>
        <v>#NAME?</v>
      </c>
      <c r="CB41" s="1" t="e">
        <f ca="1">_xll.BDH($C$28,"TOT_DEBT_TO_EBITDA","FQ3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1" s="1" t="e">
        <f ca="1">_xll.BDH($C$28,"NET_DEBT_TO_EBITDA","FQ3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1" s="1" t="e">
        <f ca="1">_xll.BDH($C$28,"TOTAL_DEBT_TO_EBIT","FQ3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1" s="1" t="e">
        <f ca="1">_xll.BDH($C$28,"NET_DEBT_TO_EBIT","FQ3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41" s="1" t="e">
        <f ca="1">_xll.BDH($C$28,"EBITDA_TO_INTEREST_EXPN","FQ3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1" s="1" t="e">
        <f ca="1">_xll.BDH($C$28,"COM_EQY_TO_TOT_ASSET","FQ3 2016","FQ3 2016","Currency=INR","Period=FQ","BEST_FPERIOD_OVERRIDE=FQ","FILING_STATUS=OR","EQY_CONSOLIDATED=Y","Sort=A","Dates=H","DateFormat=P","Fill=—","Direction=H","UseDPDF=Y")</f>
        <v>#NAME?</v>
      </c>
      <c r="CH41" s="1" t="e">
        <f ca="1">_xll.BDH($C$28,"LT_DEBT_TO_TOT_EQY","FQ3 2016","FQ3 2016","Currency=INR","Period=FQ","BEST_FPERIOD_OVERRIDE=FQ","FILING_STATUS=OR","EQY_CONSOLIDATED=Y","Sort=A","Dates=H","DateFormat=P","Fill=—","Direction=H","UseDPDF=Y")</f>
        <v>#NAME?</v>
      </c>
      <c r="CI41" s="1" t="e">
        <f ca="1">_xll.BDH($C$28,"LT_DEBT_TO_TOT_CAP","FQ3 2016","FQ3 2016","Currency=INR","Period=FQ","BEST_FPERIOD_OVERRIDE=FQ","FILING_STATUS=OR","EQY_CONSOLIDATED=Y","Sort=A","Dates=H","DateFormat=P","Fill=—","Direction=H","UseDPDF=Y")</f>
        <v>#NAME?</v>
      </c>
      <c r="CJ41" s="1" t="e">
        <f ca="1">_xll.BDH($C$28,"LT_DEBT_TO_TOT_ASSET","FQ3 2016","FQ3 2016","Currency=INR","Period=FQ","BEST_FPERIOD_OVERRIDE=FQ","FILING_STATUS=OR","EQY_CONSOLIDATED=Y","Sort=A","Dates=H","DateFormat=P","Fill=—","Direction=H","UseDPDF=Y")</f>
        <v>#NAME?</v>
      </c>
      <c r="CK41" s="1" t="e">
        <f ca="1">_xll.BDH($C$28,"TOT_DEBT_TO_TOT_EQY","FQ3 2016","FQ3 2016","Currency=INR","Period=FQ","BEST_FPERIOD_OVERRIDE=FQ","FILING_STATUS=OR","EQY_CONSOLIDATED=Y","Sort=A","Dates=H","DateFormat=P","Fill=—","Direction=H","UseDPDF=Y")</f>
        <v>#NAME?</v>
      </c>
      <c r="CL41" s="1" t="e">
        <f ca="1">_xll.BDH($C$28,"TOT_DEBT_TO_TOT_CAP","FQ3 2016","FQ3 2016","Currency=INR","Period=FQ","BEST_FPERIOD_OVERRIDE=FQ","FILING_STATUS=OR","EQY_CONSOLIDATED=Y","Sort=A","Dates=H","DateFormat=P","Fill=—","Direction=H","UseDPDF=Y")</f>
        <v>#NAME?</v>
      </c>
      <c r="CM41" s="1" t="e">
        <f ca="1">_xll.BDH($C$28,"TOT_DEBT_TO_TOT_ASSET","FQ3 2016","FQ3 2016","Currency=INR","Period=FQ","BEST_FPERIOD_OVERRIDE=FQ","FILING_STATUS=OR","EQY_CONSOLIDATED=Y","Sort=A","Dates=H","DateFormat=P","Fill=—","Direction=H","UseDPDF=Y")</f>
        <v>#NAME?</v>
      </c>
      <c r="CN41" s="1" t="e">
        <f ca="1">_xll.BDH($C$28,"NET_DEBT_TO_SHRHLDR_EQTY","FQ3 2016","FQ3 2016","Currency=INR","Period=FQ","BEST_FPERIOD_OVERRIDE=FQ","FILING_STATUS=OR","EQY_CONSOLIDATED=Y","Sort=A","Dates=H","DateFormat=P","Fill=—","Direction=H","UseDPDF=Y")</f>
        <v>#NAME?</v>
      </c>
      <c r="CO41" s="1" t="e">
        <f ca="1">_xll.BDH($C$28,"NET_DEBT_%_CAPITAL","FQ3 2016","FQ3 2016","Currency=INR","Period=FQ","BEST_FPERIOD_OVERRIDE=FQ","FILING_STATUS=OR","EQY_CONSOLIDATED=Y","Sort=A","Dates=H","DateFormat=P","Fill=—","Direction=H","UseDPDF=Y")</f>
        <v>#NAME?</v>
      </c>
      <c r="CP41" s="2" t="e">
        <f ca="1">_xll.BDH($C$28,"EBITDA","FQ3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1" s="2" t="e">
        <f ca="1">_xll.BDH($C$28,"EBITDA_AFTER_CAPEX","FQ3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1" s="2" t="e">
        <f ca="1">_xll.BDH($C$28,"IS_OPER_INC","FQ3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1" s="1" t="e">
        <f ca="1">_xll.BDH($C$28,"CASH_RATIO","FQ3 2016","FQ3 2016","Currency=INR","Period=FQ","BEST_FPERIOD_OVERRIDE=FQ","FILING_STATUS=OR","EQY_CONSOLIDATED=Y","Sort=A","Dates=H","DateFormat=P","Fill=—","Direction=H","UseDPDF=Y")</f>
        <v>#NAME?</v>
      </c>
      <c r="CT41" s="1" t="e">
        <f ca="1">_xll.BDH($C$28,"CUR_RATIO","FQ3 2016","FQ3 2016","Currency=INR","Period=FQ","BEST_FPERIOD_OVERRIDE=FQ","FILING_STATUS=OR","EQY_CONSOLIDATED=Y","Sort=A","Dates=H","DateFormat=P","Fill=—","Direction=H","UseDPDF=Y")</f>
        <v>#NAME?</v>
      </c>
      <c r="CU41" s="1" t="e">
        <f ca="1">_xll.BDH($C$28,"QUICK_RATIO","FQ3 2016","FQ3 2016","Currency=INR","Period=FQ","BEST_FPERIOD_OVERRIDE=FQ","FILING_STATUS=OR","EQY_CONSOLIDATED=Y","Sort=A","Dates=H","DateFormat=P","Fill=—","Direction=H","UseDPDF=Y")</f>
        <v>#NAME?</v>
      </c>
      <c r="CV41" s="1" t="e">
        <f ca="1">_xll.BDH($C$28,"ALTMAN_Z_SCORE","FQ3 2016","FQ3 2016","Currency=INR","Period=FQ","BEST_FPERIOD_OVERRIDE=FQ","FILING_STATUS=OR","EQY_CONSOLIDATED=Y","Sort=A","Dates=H","DateFormat=P","Fill=—","Direction=H","UseDPDF=Y")</f>
        <v>#NAME?</v>
      </c>
      <c r="CW41" s="3" t="e">
        <f ca="1">_xll.BDH($C$28,"ACCT_RCV_TURN","FQ3 2016","FQ3 2016","Currency=INR","Period=FQ","BEST_FPERIOD_OVERRIDE=FQ","FILING_STATUS=OR","EQY_CONSOLIDATED=Y","FA_ADJUSTED=GAAP","Sort=A","Dates=H","DateFormat=P","Fill=—","Direction=H","UseDPDF=Y")</f>
        <v>#NAME?</v>
      </c>
      <c r="CX41" s="1" t="e">
        <f ca="1">_xll.BDH($C$28,"ACCT_RCV_DAYS","FQ3 2016","FQ3 2016","Currency=INR","Period=FQ","BEST_FPERIOD_OVERRIDE=FQ","FILING_STATUS=OR","EQY_CONSOLIDATED=Y","FA_ADJUSTED=GAAP","Sort=A","Dates=H","DateFormat=P","Fill=—","Direction=H","UseDPDF=Y")</f>
        <v>#NAME?</v>
      </c>
      <c r="CY41" s="3" t="e">
        <f ca="1">_xll.BDH($C$28,"INVENT_TURN","FQ3 2016","FQ3 2016","Currency=INR","Period=FQ","BEST_FPERIOD_OVERRIDE=FQ","FILING_STATUS=OR","EQY_CONSOLIDATED=Y","FA_ADJUSTED=GAAP","Sort=A","Dates=H","DateFormat=P","Fill=—","Direction=H","UseDPDF=Y")</f>
        <v>#NAME?</v>
      </c>
      <c r="CZ41" s="1" t="e">
        <f ca="1">_xll.BDH($C$28,"INVENT_DAYS","FQ3 2016","FQ3 2016","Currency=INR","Period=FQ","BEST_FPERIOD_OVERRIDE=FQ","FILING_STATUS=OR","EQY_CONSOLIDATED=Y","FA_ADJUSTED=GAAP","Sort=A","Dates=H","DateFormat=P","Fill=—","Direction=H","UseDPDF=Y")</f>
        <v>#NAME?</v>
      </c>
      <c r="DA41" s="3" t="e">
        <f ca="1">_xll.BDH($C$28,"ACCOUNTS_PAYABLE_TURNOVER","FQ3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1" s="1" t="e">
        <f ca="1">_xll.BDH($C$28,"ACCOUNTS_PAYABLE_TURNOVER_DAYS","FQ3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1" s="3" t="e">
        <f ca="1">_xll.BDH($C$28,"CASH_CONVERSION_CYCLE","FQ3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1" s="3" t="e">
        <f ca="1">_xll.BDH($C$28,"INV_TO_CASH_DAYS","FQ3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41" s="4" t="e">
        <f ca="1">_xll.BDH($C$28,"BS_INVENTORIES","FQ3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41" s="2" t="e">
        <f ca="1">_xll.BDH($C$28,"INVTRY_RAW_MATERIALS","FQ3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1" s="2" t="e">
        <f ca="1">_xll.BDH($C$28,"INVTRY_IN_PROGRESS","FQ3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1" s="2" t="e">
        <f ca="1">_xll.BDH($C$28,"INVTRY_FINISHED_GOODS","FQ3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1" s="2" t="e">
        <f ca="1">_xll.BDH($C$28,"BS_OTHER_INV","FQ3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2" spans="1:113" x14ac:dyDescent="0.3">
      <c r="A42" s="6"/>
      <c r="B42" s="6"/>
      <c r="C42" s="6"/>
      <c r="D42" s="6"/>
      <c r="E42" t="s">
        <v>7</v>
      </c>
      <c r="F42" t="e">
        <f ca="1">_xll.BDH($C$28,"RETURN_COM_EQY","FQ4 2016","FQ4 2016","Currency=INR","Period=FQ","BEST_FPERIOD_OVERRIDE=FQ","FILING_STATUS=OR","EQY_CONSOLIDATED=Y","FA_ADJUSTED=GAAP","Sort=A","Dates=H","DateFormat=P","Fill=—","Direction=H","UseDPDF=Y")</f>
        <v>#NAME?</v>
      </c>
      <c r="G42" t="e">
        <f ca="1">_xll.BDH($C$28,"RETURN_ON_ASSET","FQ4 2016","FQ4 2016","Currency=INR","Period=FQ","BEST_FPERIOD_OVERRIDE=FQ","FILING_STATUS=OR","EQY_CONSOLIDATED=Y","FA_ADJUSTED=GAAP","Sort=A","Dates=H","DateFormat=P","Fill=—","Direction=H","UseDPDF=Y")</f>
        <v>#NAME?</v>
      </c>
      <c r="H42" t="e">
        <f ca="1">_xll.BDH($C$28,"RETURN_ON_CAP","FQ4 2016","FQ4 2016","Currency=INR","Period=FQ","BEST_FPERIOD_OVERRIDE=FQ","FILING_STATUS=OR","EQY_CONSOLIDATED=Y","FA_ADJUSTED=GAAP","Sort=A","Dates=H","DateFormat=P","Fill=—","Direction=H","UseDPDF=Y")</f>
        <v>#NAME?</v>
      </c>
      <c r="I42" t="e">
        <f ca="1">_xll.BDH($C$28,"RETURN_ON_INV_CAPITAL","FQ4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2" t="e">
        <f ca="1">_xll.BDH($C$28,"EBITDA_TO_REVENUE","FQ4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42" t="e">
        <f ca="1">_xll.BDH($C$28,"OPER_MARGIN","FQ4 2016","FQ4 2016","Currency=INR","Period=FQ","BEST_FPERIOD_OVERRIDE=FQ","FILING_STATUS=OR","EQY_CONSOLIDATED=Y","FA_ADJUSTED=GAAP","Sort=A","Dates=H","DateFormat=P","Fill=—","Direction=H","UseDPDF=Y")</f>
        <v>#NAME?</v>
      </c>
      <c r="L42" t="e">
        <f ca="1">_xll.BDH($C$28,"INCREMENTAL_OPERATING_MARGIN","FQ4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2" t="e">
        <f ca="1">_xll.BDH($C$28,"PRETAX_INC_TO_NET_SALES","FQ4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2" t="e">
        <f ca="1">_xll.BDH($C$28,"INC_BEF_XO_ITEMS_TO_NET_SALES","FQ4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2" t="e">
        <f ca="1">_xll.BDH($C$28,"PROF_MARGIN","FQ4 2016","FQ4 2016","Currency=INR","Period=FQ","BEST_FPERIOD_OVERRIDE=FQ","FILING_STATUS=OR","EQY_CONSOLIDATED=Y","FA_ADJUSTED=GAAP","Sort=A","Dates=H","DateFormat=P","Fill=—","Direction=H","UseDPDF=Y")</f>
        <v>#NAME?</v>
      </c>
      <c r="P42" t="e">
        <f ca="1">_xll.BDH($C$28,"NET_INCOME_TO_COMMON_MARGIN","FQ4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2" t="e">
        <f ca="1">_xll.BDH($C$28,"EFF_TAX_RATE","FQ4 2016","FQ4 2016","Currency=INR","Period=FQ","BEST_FPERIOD_OVERRIDE=FQ","FILING_STATUS=OR","EQY_CONSOLIDATED=Y","FA_ADJUSTED=GAAP","Sort=A","Dates=H","DateFormat=P","Fill=—","Direction=H","UseDPDF=Y")</f>
        <v>#NAME?</v>
      </c>
      <c r="R42" t="e">
        <f ca="1">_xll.BDH($C$28,"DVD_PAYOUT_RATIO","FQ4 2016","FQ4 2016","Currency=INR","Period=FQ","BEST_FPERIOD_OVERRIDE=FQ","FILING_STATUS=OR","EQY_CONSOLIDATED=Y","FA_ADJUSTED=GAAP","Sort=A","Dates=H","DateFormat=P","Fill=—","Direction=H","UseDPDF=Y")</f>
        <v>#NAME?</v>
      </c>
      <c r="S42" t="e">
        <f ca="1">_xll.BDH($C$28,"SUSTAIN_GROWTH_RT","FQ4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42" s="1" t="e">
        <f ca="1">_xll.BDH($C$28,"SALES_GROWTH","FQ4 2016","FQ4 2016","Currency=INR","Period=FQ","BEST_FPERIOD_OVERRIDE=FQ","FILING_STATUS=OR","EQY_CONSOLIDATED=Y","FA_ADJUSTED=GAAP","Sort=A","Dates=H","DateFormat=P","Fill=—","Direction=H","UseDPDF=Y")</f>
        <v>#NAME?</v>
      </c>
      <c r="U42" s="1" t="e">
        <f ca="1">_xll.BDH($C$28,"EBITDA_GROWTH","FQ4 2016","FQ4 2016","Currency=INR","Period=FQ","BEST_FPERIOD_OVERRIDE=FQ","FILING_STATUS=OR","EQY_CONSOLIDATED=Y","FA_ADJUSTED=GAAP","Sort=A","Dates=H","DateFormat=P","Fill=—","Direction=H","UseDPDF=Y")</f>
        <v>#NAME?</v>
      </c>
      <c r="V42" s="1" t="e">
        <f ca="1">_xll.BDH($C$28,"OPER_INC_GROWTH","FQ4 2016","FQ4 2016","Currency=INR","Period=FQ","BEST_FPERIOD_OVERRIDE=FQ","FILING_STATUS=OR","EQY_CONSOLIDATED=Y","FA_ADJUSTED=GAAP","Sort=A","Dates=H","DateFormat=P","Fill=—","Direction=H","UseDPDF=Y")</f>
        <v>#NAME?</v>
      </c>
      <c r="W42" s="1" t="e">
        <f ca="1">_xll.BDH($C$28,"EARN_FOR_COM_GROWTH","FQ4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2" s="1" t="e">
        <f ca="1">_xll.BDH($C$28,"DILUTED_EPS_AFT_XO_ITEMS_GROWTH","FQ4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2" s="1" t="e">
        <f ca="1">_xll.BDH($C$28,"DIVIDEND_PER_SHARE_1_YEAR_GROWTH","FQ4 2016","FQ4 2016","Currency=INR","Period=FQ","BEST_FPERIOD_OVERRIDE=FQ","FILING_STATUS=OR","EQY_CONSOLIDATED=Y","Sort=A","Dates=H","DateFormat=P","Fill=—","Direction=H","UseDPDF=Y")</f>
        <v>#NAME?</v>
      </c>
      <c r="Z42" s="1" t="e">
        <f ca="1">_xll.BDH($C$28,"ACCOUNTS_RECEIVABLE_GROWTH","FQ4 2016","FQ4 2016","Currency=INR","Period=FQ","BEST_FPERIOD_OVERRIDE=FQ","FILING_STATUS=OR","EQY_CONSOLIDATED=Y","Sort=A","Dates=H","DateFormat=P","Fill=—","Direction=H","UseDPDF=Y")</f>
        <v>#NAME?</v>
      </c>
      <c r="AA42" s="1" t="e">
        <f ca="1">_xll.BDH($C$28,"INVENTORY_GROWTH","FQ4 2016","FQ4 2016","Currency=INR","Period=FQ","BEST_FPERIOD_OVERRIDE=FQ","FILING_STATUS=OR","EQY_CONSOLIDATED=Y","Sort=A","Dates=H","DateFormat=P","Fill=—","Direction=H","UseDPDF=Y")</f>
        <v>#NAME?</v>
      </c>
      <c r="AB42" s="1" t="e">
        <f ca="1">_xll.BDH($C$28,"NET_FIXED_ASSETS_1_YEAR_GROWTH","FQ4 2016","FQ4 2016","Currency=INR","Period=FQ","BEST_FPERIOD_OVERRIDE=FQ","FILING_STATUS=OR","EQY_CONSOLIDATED=Y","Sort=A","Dates=H","DateFormat=P","Fill=—","Direction=H","UseDPDF=Y")</f>
        <v>#NAME?</v>
      </c>
      <c r="AC42" s="1" t="e">
        <f ca="1">_xll.BDH($C$28,"ASSET_GROWTH","FQ4 2016","FQ4 2016","Currency=INR","Period=FQ","BEST_FPERIOD_OVERRIDE=FQ","FILING_STATUS=OR","EQY_CONSOLIDATED=Y","Sort=A","Dates=H","DateFormat=P","Fill=—","Direction=H","UseDPDF=Y")</f>
        <v>#NAME?</v>
      </c>
      <c r="AD42" s="1" t="e">
        <f ca="1">_xll.BDH($C$28,"MODIFIED_WORK_CAP_GROWTH","FQ4 2016","FQ4 2016","Currency=INR","Period=FQ","BEST_FPERIOD_OVERRIDE=FQ","FILING_STATUS=OR","EQY_CONSOLIDATED=Y","Sort=A","Dates=H","DateFormat=P","Fill=—","Direction=H","UseDPDF=Y")</f>
        <v>#NAME?</v>
      </c>
      <c r="AE42" s="1" t="e">
        <f ca="1">_xll.BDH($C$28,"WORK_CAP_GROWTH","FQ4 2016","FQ4 2016","Currency=INR","Period=FQ","BEST_FPERIOD_OVERRIDE=FQ","FILING_STATUS=OR","EQY_CONSOLIDATED=Y","Sort=A","Dates=H","DateFormat=P","Fill=—","Direction=H","UseDPDF=Y")</f>
        <v>#NAME?</v>
      </c>
      <c r="AF42" s="1" t="e">
        <f ca="1">_xll.BDH($C$28,"ACCOUNTS_PAYABLE_GROWTH_1YR","FQ4 2016","FQ4 2016","Currency=INR","Period=FQ","BEST_FPERIOD_OVERRIDE=FQ","FILING_STATUS=OR","EQY_CONSOLIDATED=Y","Sort=A","Dates=H","DateFormat=P","Fill=—","Direction=H","UseDPDF=Y")</f>
        <v>#NAME?</v>
      </c>
      <c r="AG42" s="1" t="e">
        <f ca="1">_xll.BDH($C$28,"SHORT_TERM_DEBT_1_YEAR_GROWTH","FQ4 2016","FQ4 2016","Currency=INR","Period=FQ","BEST_FPERIOD_OVERRIDE=FQ","FILING_STATUS=OR","EQY_CONSOLIDATED=Y","Sort=A","Dates=H","DateFormat=P","Fill=—","Direction=H","UseDPDF=Y")</f>
        <v>#NAME?</v>
      </c>
      <c r="AH42" s="1" t="e">
        <f ca="1">_xll.BDH($C$28,"TOTAL_DEBT_1_YEAR_GROWTH","FQ4 2016","FQ4 2016","Currency=INR","Period=FQ","BEST_FPERIOD_OVERRIDE=FQ","FILING_STATUS=OR","EQY_CONSOLIDATED=Y","Sort=A","Dates=H","DateFormat=P","Fill=—","Direction=H","UseDPDF=Y")</f>
        <v>#NAME?</v>
      </c>
      <c r="AI42" s="1" t="e">
        <f ca="1">_xll.BDH($C$28,"TOTAL_EQUITY_1_YEAR_GROWTH","FQ4 2016","FQ4 2016","Currency=INR","Period=FQ","BEST_FPERIOD_OVERRIDE=FQ","FILING_STATUS=OR","EQY_CONSOLIDATED=Y","Sort=A","Dates=H","DateFormat=P","Fill=—","Direction=H","UseDPDF=Y")</f>
        <v>#NAME?</v>
      </c>
      <c r="AJ42" s="1" t="e">
        <f ca="1">_xll.BDH($C$28,"GROWTH_IN_CAP","FQ4 2016","FQ4 2016","Currency=INR","Period=FQ","BEST_FPERIOD_OVERRIDE=FQ","FILING_STATUS=OR","EQY_CONSOLIDATED=Y","Sort=A","Dates=H","DateFormat=P","Fill=—","Direction=H","UseDPDF=Y")</f>
        <v>#NAME?</v>
      </c>
      <c r="AK42" s="1" t="e">
        <f ca="1">_xll.BDH($C$28,"BVPS_GROWTH","FQ4 2016","FQ4 2016","Currency=INR","Period=FQ","BEST_FPERIOD_OVERRIDE=FQ","FILING_STATUS=OR","EQY_CONSOLIDATED=Y","Sort=A","Dates=H","DateFormat=P","Fill=—","Direction=H","UseDPDF=Y")</f>
        <v>#NAME?</v>
      </c>
      <c r="AL42" s="1" t="e">
        <f ca="1">_xll.BDH($C$28,"CASH_FLOW_GROWTH","FQ4 2016","FQ4 2016","Currency=INR","Period=FQ","BEST_FPERIOD_OVERRIDE=FQ","FILING_STATUS=OR","EQY_CONSOLIDATED=Y","Sort=A","Dates=H","DateFormat=P","Fill=—","Direction=H","UseDPDF=Y")</f>
        <v>#NAME?</v>
      </c>
      <c r="AM42" s="1" t="e">
        <f ca="1">_xll.BDH($C$28,"GEO_GROW_NET_SALES","FQ4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2" s="1" t="e">
        <f ca="1">_xll.BDH($C$28,"GEO_GROW_EBITDA","FQ4 2016","FQ4 2016","Currency=INR","Period=FQ","BEST_FPERIOD_OVERRIDE=FQ","FILING_STATUS=OR","EQY_CONSOLIDATED=Y","FA_ADJUSTED=GAAP","Sort=A","Dates=H","DateFormat=P","Fill=—","Direction=H","UseDPDF=Y")</f>
        <v>#NAME?</v>
      </c>
      <c r="AO42" s="1" t="e">
        <f ca="1">_xll.BDH($C$28,"GEO_GROW_OPER_INC","FQ4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2" s="1" t="e">
        <f ca="1">_xll.BDH($C$28,"NET_INCOME_TO_COMMON_5_YR_GROWTH","FQ4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2" s="1" t="e">
        <f ca="1">_xll.BDH($C$28,"5Y_GEO_GROWTH_DILUTED_EPS","FQ4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2" s="1" t="e">
        <f ca="1">_xll.BDH($C$28,"GEO_GROW_DVD_PER_SH","FQ4 2016","FQ4 2016","Currency=INR","Period=FQ","BEST_FPERIOD_OVERRIDE=FQ","FILING_STATUS=OR","EQY_CONSOLIDATED=Y","Sort=A","Dates=H","DateFormat=P","Fill=—","Direction=H","UseDPDF=Y")</f>
        <v>#NAME?</v>
      </c>
      <c r="AS42" s="1" t="e">
        <f ca="1">_xll.BDH($C$28,"ACCOUNTS_RECEIVABLE_5_YR_GROWTH","FQ4 2016","FQ4 2016","Currency=INR","Period=FQ","BEST_FPERIOD_OVERRIDE=FQ","FILING_STATUS=OR","EQY_CONSOLIDATED=Y","Sort=A","Dates=H","DateFormat=P","Fill=—","Direction=H","UseDPDF=Y")</f>
        <v>#NAME?</v>
      </c>
      <c r="AT42" s="1" t="e">
        <f ca="1">_xll.BDH($C$28,"INVENTORY_5_YEAR_GROWTH","FQ4 2016","FQ4 2016","Currency=INR","Period=FQ","BEST_FPERIOD_OVERRIDE=FQ","FILING_STATUS=OR","EQY_CONSOLIDATED=Y","Sort=A","Dates=H","DateFormat=P","Fill=—","Direction=H","UseDPDF=Y")</f>
        <v>#NAME?</v>
      </c>
      <c r="AU42" s="1" t="e">
        <f ca="1">_xll.BDH($C$28,"NET_FIXED_ASSETS_5_YEAR_GROWTH","FQ4 2016","FQ4 2016","Currency=INR","Period=FQ","BEST_FPERIOD_OVERRIDE=FQ","FILING_STATUS=OR","EQY_CONSOLIDATED=Y","Sort=A","Dates=H","DateFormat=P","Fill=—","Direction=H","UseDPDF=Y")</f>
        <v>#NAME?</v>
      </c>
      <c r="AV42" s="1" t="e">
        <f ca="1">_xll.BDH($C$28,"GEO_GROW_TOT_ASSET","FQ4 2016","FQ4 2016","Currency=INR","Period=FQ","BEST_FPERIOD_OVERRIDE=FQ","FILING_STATUS=OR","EQY_CONSOLIDATED=Y","Sort=A","Dates=H","DateFormat=P","Fill=—","Direction=H","UseDPDF=Y")</f>
        <v>#NAME?</v>
      </c>
      <c r="AW42" s="1" t="e">
        <f ca="1">_xll.BDH($C$28,"MODIFIED_WORKING_CPTL_5YR_GRWTH","FQ4 2016","FQ4 2016","Currency=INR","Period=FQ","BEST_FPERIOD_OVERRIDE=FQ","FILING_STATUS=OR","EQY_CONSOLIDATED=Y","Sort=A","Dates=H","DateFormat=P","Fill=—","Direction=H","UseDPDF=Y")</f>
        <v>#NAME?</v>
      </c>
      <c r="AX42" s="1" t="e">
        <f ca="1">_xll.BDH($C$28,"WORKING_CAPITAL_5_YEAR_GROWTH","FQ4 2016","FQ4 2016","Currency=INR","Period=FQ","BEST_FPERIOD_OVERRIDE=FQ","FILING_STATUS=OR","EQY_CONSOLIDATED=Y","Sort=A","Dates=H","DateFormat=P","Fill=—","Direction=H","UseDPDF=Y")</f>
        <v>#NAME?</v>
      </c>
      <c r="AY42" s="1" t="e">
        <f ca="1">_xll.BDH($C$28,"ACCOUNTS_PAYABLE_5_YEAR_GROWTH","FQ4 2016","FQ4 2016","Currency=INR","Period=FQ","BEST_FPERIOD_OVERRIDE=FQ","FILING_STATUS=OR","EQY_CONSOLIDATED=Y","Sort=A","Dates=H","DateFormat=P","Fill=—","Direction=H","UseDPDF=Y")</f>
        <v>#NAME?</v>
      </c>
      <c r="AZ42" s="1" t="e">
        <f ca="1">_xll.BDH($C$28,"SHORT_TERM_DEBT_5_YEAR_GROWTH","FQ4 2016","FQ4 2016","Currency=INR","Period=FQ","BEST_FPERIOD_OVERRIDE=FQ","FILING_STATUS=OR","EQY_CONSOLIDATED=Y","Sort=A","Dates=H","DateFormat=P","Fill=—","Direction=H","UseDPDF=Y")</f>
        <v>#NAME?</v>
      </c>
      <c r="BA42" s="1" t="e">
        <f ca="1">_xll.BDH($C$28,"TOTAL_DEBT_5_YEAR_GROWTH","FQ4 2016","FQ4 2016","Currency=INR","Period=FQ","BEST_FPERIOD_OVERRIDE=FQ","FILING_STATUS=OR","EQY_CONSOLIDATED=Y","Sort=A","Dates=H","DateFormat=P","Fill=—","Direction=H","UseDPDF=Y")</f>
        <v>#NAME?</v>
      </c>
      <c r="BB42" s="1" t="e">
        <f ca="1">_xll.BDH($C$28,"GEO_GROW_TOT_SHRHLDR_EQY","FQ4 2016","FQ4 2016","Currency=INR","Period=FQ","BEST_FPERIOD_OVERRIDE=FQ","FILING_STATUS=OR","EQY_CONSOLIDATED=Y","Sort=A","Dates=H","DateFormat=P","Fill=—","Direction=H","UseDPDF=Y")</f>
        <v>#NAME?</v>
      </c>
      <c r="BC42" s="1" t="e">
        <f ca="1">_xll.BDH($C$28,"TOTAL_CAPITAL_5_YEAR_GROWTH","FQ4 2016","FQ4 2016","Currency=INR","Period=FQ","BEST_FPERIOD_OVERRIDE=FQ","FILING_STATUS=OR","EQY_CONSOLIDATED=Y","Sort=A","Dates=H","DateFormat=P","Fill=—","Direction=H","UseDPDF=Y")</f>
        <v>#NAME?</v>
      </c>
      <c r="BD42" s="1" t="e">
        <f ca="1">_xll.BDH($C$28,"GEO_GROW_BOOK_VAL","FQ4 2016","FQ4 2016","Currency=INR","Period=FQ","BEST_FPERIOD_OVERRIDE=FQ","FILING_STATUS=OR","EQY_CONSOLIDATED=Y","Sort=A","Dates=H","DateFormat=P","Fill=—","Direction=H","UseDPDF=Y")</f>
        <v>#NAME?</v>
      </c>
      <c r="BE42" s="1" t="e">
        <f ca="1">_xll.BDH($C$28,"GEO_GROW_CASH_OPER_ACT","FQ4 2016","FQ4 2016","Currency=INR","Period=FQ","BEST_FPERIOD_OVERRIDE=FQ","FILING_STATUS=OR","EQY_CONSOLIDATED=Y","Sort=A","Dates=H","DateFormat=P","Fill=—","Direction=H","UseDPDF=Y")</f>
        <v>#NAME?</v>
      </c>
      <c r="BF42" s="1" t="e">
        <f ca="1">_xll.BDH($C$28,"REVENUE_SEQUENTIAL_GROWTH","FQ4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2" s="1" t="e">
        <f ca="1">_xll.BDH($C$28,"EBITDA_SEQUENTIAL_GROWTH","FQ4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2" s="1" t="e">
        <f ca="1">_xll.BDH($C$28,"OPERATING_INCOME_SEQ_GROWTH","FQ4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2" s="1" t="e">
        <f ca="1">_xll.BDH($C$28,"NET_INCOME_TO_COMMON_SEQ_GROWTH","FQ4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2" s="1" t="e">
        <f ca="1">_xll.BDH($C$28,"EPS_DILUTED_SEQUENTIAL_GROWTH","FQ4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2" s="1" t="e">
        <f ca="1">_xll.BDH($C$28,"DPS_SEQUENTIAL_GROWTH","FQ4 2016","FQ4 2016","Currency=INR","Period=FQ","BEST_FPERIOD_OVERRIDE=FQ","FILING_STATUS=OR","EQY_CONSOLIDATED=Y","Sort=A","Dates=H","DateFormat=P","Fill=—","Direction=H","UseDPDF=Y")</f>
        <v>#NAME?</v>
      </c>
      <c r="BL42" s="1" t="e">
        <f ca="1">_xll.BDH($C$28,"ACCOUNTS_RECEIVABLE_SEQ_GROWTH","FQ4 2016","FQ4 2016","Currency=INR","Period=FQ","BEST_FPERIOD_OVERRIDE=FQ","FILING_STATUS=OR","EQY_CONSOLIDATED=Y","Sort=A","Dates=H","DateFormat=P","Fill=—","Direction=H","UseDPDF=Y")</f>
        <v>#NAME?</v>
      </c>
      <c r="BM42" s="1" t="e">
        <f ca="1">_xll.BDH($C$28,"INVENTORY_SEQUENTIAL_GROWTH","FQ4 2016","FQ4 2016","Currency=INR","Period=FQ","BEST_FPERIOD_OVERRIDE=FQ","FILING_STATUS=OR","EQY_CONSOLIDATED=Y","Sort=A","Dates=H","DateFormat=P","Fill=—","Direction=H","UseDPDF=Y")</f>
        <v>#NAME?</v>
      </c>
      <c r="BN42" s="1" t="e">
        <f ca="1">_xll.BDH($C$28,"FIXED_ASSETS_SEQUENTIAL_GROWTH","FQ4 2016","FQ4 2016","Currency=INR","Period=FQ","BEST_FPERIOD_OVERRIDE=FQ","FILING_STATUS=OR","EQY_CONSOLIDATED=Y","Sort=A","Dates=H","DateFormat=P","Fill=—","Direction=H","UseDPDF=Y")</f>
        <v>#NAME?</v>
      </c>
      <c r="BO42" s="1" t="e">
        <f ca="1">_xll.BDH($C$28,"TOTAL_ASSETS_SEQUENTIAL_GROWTH","FQ4 2016","FQ4 2016","Currency=INR","Period=FQ","BEST_FPERIOD_OVERRIDE=FQ","FILING_STATUS=OR","EQY_CONSOLIDATED=Y","Sort=A","Dates=H","DateFormat=P","Fill=—","Direction=H","UseDPDF=Y")</f>
        <v>#NAME?</v>
      </c>
      <c r="BP42" s="1" t="e">
        <f ca="1">_xll.BDH($C$28,"MODIFIED_WORKING_CPTL_SEQ_GRWTH","FQ4 2016","FQ4 2016","Currency=INR","Period=FQ","BEST_FPERIOD_OVERRIDE=FQ","FILING_STATUS=OR","EQY_CONSOLIDATED=Y","Sort=A","Dates=H","DateFormat=P","Fill=—","Direction=H","UseDPDF=Y")</f>
        <v>#NAME?</v>
      </c>
      <c r="BQ42" s="1" t="e">
        <f ca="1">_xll.BDH($C$28,"WORKING_CAPITAL_SEQ_GROWTH","FQ4 2016","FQ4 2016","Currency=INR","Period=FQ","BEST_FPERIOD_OVERRIDE=FQ","FILING_STATUS=OR","EQY_CONSOLIDATED=Y","Sort=A","Dates=H","DateFormat=P","Fill=—","Direction=H","UseDPDF=Y")</f>
        <v>#NAME?</v>
      </c>
      <c r="BR42" s="1" t="e">
        <f ca="1">_xll.BDH($C$28,"ACCOUNTS_PAYABLE_SEQ_GROWTH","FQ4 2016","FQ4 2016","Currency=INR","Period=FQ","BEST_FPERIOD_OVERRIDE=FQ","FILING_STATUS=OR","EQY_CONSOLIDATED=Y","Sort=A","Dates=H","DateFormat=P","Fill=—","Direction=H","UseDPDF=Y")</f>
        <v>#NAME?</v>
      </c>
      <c r="BS42" s="1" t="e">
        <f ca="1">_xll.BDH($C$28,"ST_DEBT_SEQUENTIAL_GROWTH","FQ4 2016","FQ4 2016","Currency=INR","Period=FQ","BEST_FPERIOD_OVERRIDE=FQ","FILING_STATUS=OR","EQY_CONSOLIDATED=Y","Sort=A","Dates=H","DateFormat=P","Fill=—","Direction=H","UseDPDF=Y")</f>
        <v>#NAME?</v>
      </c>
      <c r="BT42" s="1" t="e">
        <f ca="1">_xll.BDH($C$28,"TOTAL_DEBT_SEQUENTIAL_GROWTH","FQ4 2016","FQ4 2016","Currency=INR","Period=FQ","BEST_FPERIOD_OVERRIDE=FQ","FILING_STATUS=OR","EQY_CONSOLIDATED=Y","Sort=A","Dates=H","DateFormat=P","Fill=—","Direction=H","UseDPDF=Y")</f>
        <v>#NAME?</v>
      </c>
      <c r="BU42" s="1" t="e">
        <f ca="1">_xll.BDH($C$28,"TOTAL_EQUITY_SEQUENTIAL_GROWTH","FQ4 2016","FQ4 2016","Currency=INR","Period=FQ","BEST_FPERIOD_OVERRIDE=FQ","FILING_STATUS=OR","EQY_CONSOLIDATED=Y","Sort=A","Dates=H","DateFormat=P","Fill=—","Direction=H","UseDPDF=Y")</f>
        <v>#NAME?</v>
      </c>
      <c r="BV42" s="1" t="e">
        <f ca="1">_xll.BDH($C$28,"TOTAL_CAPITAL_SEQUENTIAL_GROWTH","FQ4 2016","FQ4 2016","Currency=INR","Period=FQ","BEST_FPERIOD_OVERRIDE=FQ","FILING_STATUS=OR","EQY_CONSOLIDATED=Y","Sort=A","Dates=H","DateFormat=P","Fill=—","Direction=H","UseDPDF=Y")</f>
        <v>#NAME?</v>
      </c>
      <c r="BW42" s="1" t="e">
        <f ca="1">_xll.BDH($C$28,"BPS_SEQUENTIAL_GROWTH","FQ4 2016","FQ4 2016","Currency=INR","Period=FQ","BEST_FPERIOD_OVERRIDE=FQ","FILING_STATUS=OR","EQY_CONSOLIDATED=Y","Sort=A","Dates=H","DateFormat=P","Fill=—","Direction=H","UseDPDF=Y")</f>
        <v>#NAME?</v>
      </c>
      <c r="BX42" s="1" t="e">
        <f ca="1">_xll.BDH($C$28,"CFO_SEQUENTIAL_GROWTH","FQ4 2016","FQ4 2016","Currency=INR","Period=FQ","BEST_FPERIOD_OVERRIDE=FQ","FILING_STATUS=OR","EQY_CONSOLIDATED=Y","Sort=A","Dates=H","DateFormat=P","Fill=—","Direction=H","UseDPDF=Y")</f>
        <v>#NAME?</v>
      </c>
      <c r="BY42" s="2" t="e">
        <f ca="1">_xll.BDH($C$28,"SHORT_AND_LONG_TERM_DEBT","FQ4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2" s="2" t="e">
        <f ca="1">_xll.BDH($C$28,"BS_ST_BORROW","FQ4 2016","FQ4 2016","Currency=INR","Period=FQ","BEST_FPERIOD_OVERRIDE=FQ","FILING_STATUS=OR","EQY_CONSOLIDATED=Y","SCALING_FORMAT=MLN","Sort=A","Dates=H","DateFormat=P","Fill=—","Direction=H","UseDPDF=Y")</f>
        <v>#NAME?</v>
      </c>
      <c r="CA42" s="2" t="e">
        <f ca="1">_xll.BDH($C$28,"BS_LT_BORROW","FQ4 2016","FQ4 2016","Currency=INR","Period=FQ","BEST_FPERIOD_OVERRIDE=FQ","FILING_STATUS=OR","EQY_CONSOLIDATED=Y","SCALING_FORMAT=MLN","Sort=A","Dates=H","DateFormat=P","Fill=—","Direction=H","UseDPDF=Y")</f>
        <v>#NAME?</v>
      </c>
      <c r="CB42" s="1" t="e">
        <f ca="1">_xll.BDH($C$28,"TOT_DEBT_TO_EBITDA","FQ4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2" s="1" t="e">
        <f ca="1">_xll.BDH($C$28,"NET_DEBT_TO_EBITDA","FQ4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2" s="1" t="e">
        <f ca="1">_xll.BDH($C$28,"TOTAL_DEBT_TO_EBIT","FQ4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2" s="1" t="e">
        <f ca="1">_xll.BDH($C$28,"NET_DEBT_TO_EBIT","FQ4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42" s="1" t="e">
        <f ca="1">_xll.BDH($C$28,"EBITDA_TO_INTEREST_EXPN","FQ4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2" s="1" t="e">
        <f ca="1">_xll.BDH($C$28,"COM_EQY_TO_TOT_ASSET","FQ4 2016","FQ4 2016","Currency=INR","Period=FQ","BEST_FPERIOD_OVERRIDE=FQ","FILING_STATUS=OR","EQY_CONSOLIDATED=Y","Sort=A","Dates=H","DateFormat=P","Fill=—","Direction=H","UseDPDF=Y")</f>
        <v>#NAME?</v>
      </c>
      <c r="CH42" s="1" t="e">
        <f ca="1">_xll.BDH($C$28,"LT_DEBT_TO_TOT_EQY","FQ4 2016","FQ4 2016","Currency=INR","Period=FQ","BEST_FPERIOD_OVERRIDE=FQ","FILING_STATUS=OR","EQY_CONSOLIDATED=Y","Sort=A","Dates=H","DateFormat=P","Fill=—","Direction=H","UseDPDF=Y")</f>
        <v>#NAME?</v>
      </c>
      <c r="CI42" s="1" t="e">
        <f ca="1">_xll.BDH($C$28,"LT_DEBT_TO_TOT_CAP","FQ4 2016","FQ4 2016","Currency=INR","Period=FQ","BEST_FPERIOD_OVERRIDE=FQ","FILING_STATUS=OR","EQY_CONSOLIDATED=Y","Sort=A","Dates=H","DateFormat=P","Fill=—","Direction=H","UseDPDF=Y")</f>
        <v>#NAME?</v>
      </c>
      <c r="CJ42" s="1" t="e">
        <f ca="1">_xll.BDH($C$28,"LT_DEBT_TO_TOT_ASSET","FQ4 2016","FQ4 2016","Currency=INR","Period=FQ","BEST_FPERIOD_OVERRIDE=FQ","FILING_STATUS=OR","EQY_CONSOLIDATED=Y","Sort=A","Dates=H","DateFormat=P","Fill=—","Direction=H","UseDPDF=Y")</f>
        <v>#NAME?</v>
      </c>
      <c r="CK42" s="1" t="e">
        <f ca="1">_xll.BDH($C$28,"TOT_DEBT_TO_TOT_EQY","FQ4 2016","FQ4 2016","Currency=INR","Period=FQ","BEST_FPERIOD_OVERRIDE=FQ","FILING_STATUS=OR","EQY_CONSOLIDATED=Y","Sort=A","Dates=H","DateFormat=P","Fill=—","Direction=H","UseDPDF=Y")</f>
        <v>#NAME?</v>
      </c>
      <c r="CL42" s="1" t="e">
        <f ca="1">_xll.BDH($C$28,"TOT_DEBT_TO_TOT_CAP","FQ4 2016","FQ4 2016","Currency=INR","Period=FQ","BEST_FPERIOD_OVERRIDE=FQ","FILING_STATUS=OR","EQY_CONSOLIDATED=Y","Sort=A","Dates=H","DateFormat=P","Fill=—","Direction=H","UseDPDF=Y")</f>
        <v>#NAME?</v>
      </c>
      <c r="CM42" s="1" t="e">
        <f ca="1">_xll.BDH($C$28,"TOT_DEBT_TO_TOT_ASSET","FQ4 2016","FQ4 2016","Currency=INR","Period=FQ","BEST_FPERIOD_OVERRIDE=FQ","FILING_STATUS=OR","EQY_CONSOLIDATED=Y","Sort=A","Dates=H","DateFormat=P","Fill=—","Direction=H","UseDPDF=Y")</f>
        <v>#NAME?</v>
      </c>
      <c r="CN42" s="1" t="e">
        <f ca="1">_xll.BDH($C$28,"NET_DEBT_TO_SHRHLDR_EQTY","FQ4 2016","FQ4 2016","Currency=INR","Period=FQ","BEST_FPERIOD_OVERRIDE=FQ","FILING_STATUS=OR","EQY_CONSOLIDATED=Y","Sort=A","Dates=H","DateFormat=P","Fill=—","Direction=H","UseDPDF=Y")</f>
        <v>#NAME?</v>
      </c>
      <c r="CO42" s="1" t="e">
        <f ca="1">_xll.BDH($C$28,"NET_DEBT_%_CAPITAL","FQ4 2016","FQ4 2016","Currency=INR","Period=FQ","BEST_FPERIOD_OVERRIDE=FQ","FILING_STATUS=OR","EQY_CONSOLIDATED=Y","Sort=A","Dates=H","DateFormat=P","Fill=—","Direction=H","UseDPDF=Y")</f>
        <v>#NAME?</v>
      </c>
      <c r="CP42" s="2" t="e">
        <f ca="1">_xll.BDH($C$28,"EBITDA","FQ4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2" s="2" t="e">
        <f ca="1">_xll.BDH($C$28,"EBITDA_AFTER_CAPEX","FQ4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2" s="2" t="e">
        <f ca="1">_xll.BDH($C$28,"IS_OPER_INC","FQ4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2" s="1" t="e">
        <f ca="1">_xll.BDH($C$28,"CASH_RATIO","FQ4 2016","FQ4 2016","Currency=INR","Period=FQ","BEST_FPERIOD_OVERRIDE=FQ","FILING_STATUS=OR","EQY_CONSOLIDATED=Y","Sort=A","Dates=H","DateFormat=P","Fill=—","Direction=H","UseDPDF=Y")</f>
        <v>#NAME?</v>
      </c>
      <c r="CT42" s="1" t="e">
        <f ca="1">_xll.BDH($C$28,"CUR_RATIO","FQ4 2016","FQ4 2016","Currency=INR","Period=FQ","BEST_FPERIOD_OVERRIDE=FQ","FILING_STATUS=OR","EQY_CONSOLIDATED=Y","Sort=A","Dates=H","DateFormat=P","Fill=—","Direction=H","UseDPDF=Y")</f>
        <v>#NAME?</v>
      </c>
      <c r="CU42" s="1" t="e">
        <f ca="1">_xll.BDH($C$28,"QUICK_RATIO","FQ4 2016","FQ4 2016","Currency=INR","Period=FQ","BEST_FPERIOD_OVERRIDE=FQ","FILING_STATUS=OR","EQY_CONSOLIDATED=Y","Sort=A","Dates=H","DateFormat=P","Fill=—","Direction=H","UseDPDF=Y")</f>
        <v>#NAME?</v>
      </c>
      <c r="CV42" s="1" t="e">
        <f ca="1">_xll.BDH($C$28,"ALTMAN_Z_SCORE","FQ4 2016","FQ4 2016","Currency=INR","Period=FQ","BEST_FPERIOD_OVERRIDE=FQ","FILING_STATUS=OR","EQY_CONSOLIDATED=Y","Sort=A","Dates=H","DateFormat=P","Fill=—","Direction=H","UseDPDF=Y")</f>
        <v>#NAME?</v>
      </c>
      <c r="CW42" s="3" t="e">
        <f ca="1">_xll.BDH($C$28,"ACCT_RCV_TURN","FQ4 2016","FQ4 2016","Currency=INR","Period=FQ","BEST_FPERIOD_OVERRIDE=FQ","FILING_STATUS=OR","EQY_CONSOLIDATED=Y","FA_ADJUSTED=GAAP","Sort=A","Dates=H","DateFormat=P","Fill=—","Direction=H","UseDPDF=Y")</f>
        <v>#NAME?</v>
      </c>
      <c r="CX42" s="1" t="e">
        <f ca="1">_xll.BDH($C$28,"ACCT_RCV_DAYS","FQ4 2016","FQ4 2016","Currency=INR","Period=FQ","BEST_FPERIOD_OVERRIDE=FQ","FILING_STATUS=OR","EQY_CONSOLIDATED=Y","FA_ADJUSTED=GAAP","Sort=A","Dates=H","DateFormat=P","Fill=—","Direction=H","UseDPDF=Y")</f>
        <v>#NAME?</v>
      </c>
      <c r="CY42" s="3" t="e">
        <f ca="1">_xll.BDH($C$28,"INVENT_TURN","FQ4 2016","FQ4 2016","Currency=INR","Period=FQ","BEST_FPERIOD_OVERRIDE=FQ","FILING_STATUS=OR","EQY_CONSOLIDATED=Y","FA_ADJUSTED=GAAP","Sort=A","Dates=H","DateFormat=P","Fill=—","Direction=H","UseDPDF=Y")</f>
        <v>#NAME?</v>
      </c>
      <c r="CZ42" s="1" t="e">
        <f ca="1">_xll.BDH($C$28,"INVENT_DAYS","FQ4 2016","FQ4 2016","Currency=INR","Period=FQ","BEST_FPERIOD_OVERRIDE=FQ","FILING_STATUS=OR","EQY_CONSOLIDATED=Y","FA_ADJUSTED=GAAP","Sort=A","Dates=H","DateFormat=P","Fill=—","Direction=H","UseDPDF=Y")</f>
        <v>#NAME?</v>
      </c>
      <c r="DA42" s="3" t="e">
        <f ca="1">_xll.BDH($C$28,"ACCOUNTS_PAYABLE_TURNOVER","FQ4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2" s="1" t="e">
        <f ca="1">_xll.BDH($C$28,"ACCOUNTS_PAYABLE_TURNOVER_DAYS","FQ4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2" s="3" t="e">
        <f ca="1">_xll.BDH($C$28,"CASH_CONVERSION_CYCLE","FQ4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2" s="3" t="e">
        <f ca="1">_xll.BDH($C$28,"INV_TO_CASH_DAYS","FQ4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42" s="4" t="e">
        <f ca="1">_xll.BDH($C$28,"BS_INVENTORIES","FQ4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42" s="2" t="e">
        <f ca="1">_xll.BDH($C$28,"INVTRY_RAW_MATERIALS","FQ4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2" s="2" t="e">
        <f ca="1">_xll.BDH($C$28,"INVTRY_IN_PROGRESS","FQ4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2" s="2" t="e">
        <f ca="1">_xll.BDH($C$28,"INVTRY_FINISHED_GOODS","FQ4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2" s="2" t="e">
        <f ca="1">_xll.BDH($C$28,"BS_OTHER_INV","FQ4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3" spans="1:113" x14ac:dyDescent="0.3">
      <c r="A43" s="6"/>
      <c r="B43" s="6"/>
      <c r="C43" s="6"/>
      <c r="D43" s="6" t="s">
        <v>10</v>
      </c>
      <c r="E43" t="s">
        <v>3</v>
      </c>
      <c r="F43" t="e">
        <f ca="1">_xll.BDH($C$28,"RETURN_COM_EQY","FY 2017","FY 2017","Currency=INR","Period=FY","BEST_FPERIOD_OVERRIDE=FY","FILING_STATUS=OR","EQY_CONSOLIDATED=Y","FA_ADJUSTED=GAAP","Sort=A","Dates=H","DateFormat=P","Fill=—","Direction=H","UseDPDF=Y")</f>
        <v>#NAME?</v>
      </c>
      <c r="G43" t="e">
        <f ca="1">_xll.BDH($C$28,"RETURN_ON_ASSET","FY 2017","FY 2017","Currency=INR","Period=FY","BEST_FPERIOD_OVERRIDE=FY","FILING_STATUS=OR","EQY_CONSOLIDATED=Y","FA_ADJUSTED=GAAP","Sort=A","Dates=H","DateFormat=P","Fill=—","Direction=H","UseDPDF=Y")</f>
        <v>#NAME?</v>
      </c>
      <c r="H43" t="e">
        <f ca="1">_xll.BDH($C$28,"RETURN_ON_CAP","FY 2017","FY 2017","Currency=INR","Period=FY","BEST_FPERIOD_OVERRIDE=FY","FILING_STATUS=OR","EQY_CONSOLIDATED=Y","FA_ADJUSTED=GAAP","Sort=A","Dates=H","DateFormat=P","Fill=—","Direction=H","UseDPDF=Y")</f>
        <v>#NAME?</v>
      </c>
      <c r="I43" t="e">
        <f ca="1">_xll.BDH($C$28,"RETURN_ON_INV_CAPITAL","FY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3" t="e">
        <f ca="1">_xll.BDH($C$28,"EBITDA_TO_REVENUE","FY 2017","FY 2017","Currency=INR","Period=FY","BEST_FPERIOD_OVERRIDE=FY","FILING_STATUS=OR","EQY_CONSOLIDATED=Y","FA_ADJUSTED=GAAP","Sort=A","Dates=H","DateFormat=P","Fill=—","Direction=H","UseDPDF=Y")</f>
        <v>#NAME?</v>
      </c>
      <c r="K43" t="e">
        <f ca="1">_xll.BDH($C$28,"OPER_MARGIN","FY 2017","FY 2017","Currency=INR","Period=FY","BEST_FPERIOD_OVERRIDE=FY","FILING_STATUS=OR","EQY_CONSOLIDATED=Y","FA_ADJUSTED=GAAP","Sort=A","Dates=H","DateFormat=P","Fill=—","Direction=H","UseDPDF=Y")</f>
        <v>#NAME?</v>
      </c>
      <c r="L43" t="e">
        <f ca="1">_xll.BDH($C$28,"INCREMENTAL_OPERATING_MARGIN","FY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3" t="e">
        <f ca="1">_xll.BDH($C$28,"PRETAX_INC_TO_NET_SALES","FY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3" t="e">
        <f ca="1">_xll.BDH($C$28,"INC_BEF_XO_ITEMS_TO_NET_SALES","FY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3" t="e">
        <f ca="1">_xll.BDH($C$28,"PROF_MARGIN","FY 2017","FY 2017","Currency=INR","Period=FY","BEST_FPERIOD_OVERRIDE=FY","FILING_STATUS=OR","EQY_CONSOLIDATED=Y","FA_ADJUSTED=GAAP","Sort=A","Dates=H","DateFormat=P","Fill=—","Direction=H","UseDPDF=Y")</f>
        <v>#NAME?</v>
      </c>
      <c r="P43" t="e">
        <f ca="1">_xll.BDH($C$28,"NET_INCOME_TO_COMMON_MARGIN","FY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3" t="e">
        <f ca="1">_xll.BDH($C$28,"EFF_TAX_RATE","FY 2017","FY 2017","Currency=INR","Period=FY","BEST_FPERIOD_OVERRIDE=FY","FILING_STATUS=OR","EQY_CONSOLIDATED=Y","FA_ADJUSTED=GAAP","Sort=A","Dates=H","DateFormat=P","Fill=—","Direction=H","UseDPDF=Y")</f>
        <v>#NAME?</v>
      </c>
      <c r="R43" t="e">
        <f ca="1">_xll.BDH($C$28,"DVD_PAYOUT_RATIO","FY 2017","FY 2017","Currency=INR","Period=FY","BEST_FPERIOD_OVERRIDE=FY","FILING_STATUS=OR","EQY_CONSOLIDATED=Y","FA_ADJUSTED=GAAP","Sort=A","Dates=H","DateFormat=P","Fill=—","Direction=H","UseDPDF=Y")</f>
        <v>#NAME?</v>
      </c>
      <c r="S43" t="e">
        <f ca="1">_xll.BDH($C$28,"SUSTAIN_GROWTH_RT","FY 2017","FY 2017","Currency=INR","Period=FY","BEST_FPERIOD_OVERRIDE=FY","FILING_STATUS=OR","EQY_CONSOLIDATED=Y","FA_ADJUSTED=GAAP","Sort=A","Dates=H","DateFormat=P","Fill=—","Direction=H","UseDPDF=Y")</f>
        <v>#NAME?</v>
      </c>
      <c r="T43" s="1" t="e">
        <f ca="1">_xll.BDH($C$28,"SALES_GROWTH","FY 2017","FY 2017","Currency=INR","Period=FY","BEST_FPERIOD_OVERRIDE=FY","FILING_STATUS=OR","EQY_CONSOLIDATED=Y","FA_ADJUSTED=GAAP","Sort=A","Dates=H","DateFormat=P","Fill=—","Direction=H","UseDPDF=Y")</f>
        <v>#NAME?</v>
      </c>
      <c r="U43" s="1" t="e">
        <f ca="1">_xll.BDH($C$28,"EBITDA_GROWTH","FY 2017","FY 2017","Currency=INR","Period=FY","BEST_FPERIOD_OVERRIDE=FY","FILING_STATUS=OR","EQY_CONSOLIDATED=Y","FA_ADJUSTED=GAAP","Sort=A","Dates=H","DateFormat=P","Fill=—","Direction=H","UseDPDF=Y")</f>
        <v>#NAME?</v>
      </c>
      <c r="V43" s="1" t="e">
        <f ca="1">_xll.BDH($C$28,"OPER_INC_GROWTH","FY 2017","FY 2017","Currency=INR","Period=FY","BEST_FPERIOD_OVERRIDE=FY","FILING_STATUS=OR","EQY_CONSOLIDATED=Y","FA_ADJUSTED=GAAP","Sort=A","Dates=H","DateFormat=P","Fill=—","Direction=H","UseDPDF=Y")</f>
        <v>#NAME?</v>
      </c>
      <c r="W43" s="1" t="e">
        <f ca="1">_xll.BDH($C$28,"EARN_FOR_COM_GROWTH","FY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43" s="1" t="e">
        <f ca="1">_xll.BDH($C$28,"DILUTED_EPS_AFT_XO_ITEMS_GROWTH","FY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3" s="1" t="e">
        <f ca="1">_xll.BDH($C$28,"DIVIDEND_PER_SHARE_1_YEAR_GROWTH","FY 2017","FY 2017","Currency=INR","Period=FY","BEST_FPERIOD_OVERRIDE=FY","FILING_STATUS=OR","EQY_CONSOLIDATED=Y","Sort=A","Dates=H","DateFormat=P","Fill=—","Direction=H","UseDPDF=Y")</f>
        <v>#NAME?</v>
      </c>
      <c r="Z43" s="1" t="e">
        <f ca="1">_xll.BDH($C$28,"ACCOUNTS_RECEIVABLE_GROWTH","FY 2017","FY 2017","Currency=INR","Period=FY","BEST_FPERIOD_OVERRIDE=FY","FILING_STATUS=OR","EQY_CONSOLIDATED=Y","Sort=A","Dates=H","DateFormat=P","Fill=—","Direction=H","UseDPDF=Y")</f>
        <v>#NAME?</v>
      </c>
      <c r="AA43" s="1" t="e">
        <f ca="1">_xll.BDH($C$28,"INVENTORY_GROWTH","FY 2017","FY 2017","Currency=INR","Period=FY","BEST_FPERIOD_OVERRIDE=FY","FILING_STATUS=OR","EQY_CONSOLIDATED=Y","Sort=A","Dates=H","DateFormat=P","Fill=—","Direction=H","UseDPDF=Y")</f>
        <v>#NAME?</v>
      </c>
      <c r="AB43" s="1" t="e">
        <f ca="1">_xll.BDH($C$28,"NET_FIXED_ASSETS_1_YEAR_GROWTH","FY 2017","FY 2017","Currency=INR","Period=FY","BEST_FPERIOD_OVERRIDE=FY","FILING_STATUS=OR","EQY_CONSOLIDATED=Y","Sort=A","Dates=H","DateFormat=P","Fill=—","Direction=H","UseDPDF=Y")</f>
        <v>#NAME?</v>
      </c>
      <c r="AC43" s="1" t="e">
        <f ca="1">_xll.BDH($C$28,"ASSET_GROWTH","FY 2017","FY 2017","Currency=INR","Period=FY","BEST_FPERIOD_OVERRIDE=FY","FILING_STATUS=OR","EQY_CONSOLIDATED=Y","Sort=A","Dates=H","DateFormat=P","Fill=—","Direction=H","UseDPDF=Y")</f>
        <v>#NAME?</v>
      </c>
      <c r="AD43" s="1" t="e">
        <f ca="1">_xll.BDH($C$28,"MODIFIED_WORK_CAP_GROWTH","FY 2017","FY 2017","Currency=INR","Period=FY","BEST_FPERIOD_OVERRIDE=FY","FILING_STATUS=OR","EQY_CONSOLIDATED=Y","Sort=A","Dates=H","DateFormat=P","Fill=—","Direction=H","UseDPDF=Y")</f>
        <v>#NAME?</v>
      </c>
      <c r="AE43" s="1" t="e">
        <f ca="1">_xll.BDH($C$28,"WORK_CAP_GROWTH","FY 2017","FY 2017","Currency=INR","Period=FY","BEST_FPERIOD_OVERRIDE=FY","FILING_STATUS=OR","EQY_CONSOLIDATED=Y","Sort=A","Dates=H","DateFormat=P","Fill=—","Direction=H","UseDPDF=Y")</f>
        <v>#NAME?</v>
      </c>
      <c r="AF43" s="1" t="e">
        <f ca="1">_xll.BDH($C$28,"ACCOUNTS_PAYABLE_GROWTH_1YR","FY 2017","FY 2017","Currency=INR","Period=FY","BEST_FPERIOD_OVERRIDE=FY","FILING_STATUS=OR","EQY_CONSOLIDATED=Y","Sort=A","Dates=H","DateFormat=P","Fill=—","Direction=H","UseDPDF=Y")</f>
        <v>#NAME?</v>
      </c>
      <c r="AG43" s="1" t="e">
        <f ca="1">_xll.BDH($C$28,"SHORT_TERM_DEBT_1_YEAR_GROWTH","FY 2017","FY 2017","Currency=INR","Period=FY","BEST_FPERIOD_OVERRIDE=FY","FILING_STATUS=OR","EQY_CONSOLIDATED=Y","Sort=A","Dates=H","DateFormat=P","Fill=—","Direction=H","UseDPDF=Y")</f>
        <v>#NAME?</v>
      </c>
      <c r="AH43" s="1" t="e">
        <f ca="1">_xll.BDH($C$28,"TOTAL_DEBT_1_YEAR_GROWTH","FY 2017","FY 2017","Currency=INR","Period=FY","BEST_FPERIOD_OVERRIDE=FY","FILING_STATUS=OR","EQY_CONSOLIDATED=Y","Sort=A","Dates=H","DateFormat=P","Fill=—","Direction=H","UseDPDF=Y")</f>
        <v>#NAME?</v>
      </c>
      <c r="AI43" s="1" t="e">
        <f ca="1">_xll.BDH($C$28,"TOTAL_EQUITY_1_YEAR_GROWTH","FY 2017","FY 2017","Currency=INR","Period=FY","BEST_FPERIOD_OVERRIDE=FY","FILING_STATUS=OR","EQY_CONSOLIDATED=Y","Sort=A","Dates=H","DateFormat=P","Fill=—","Direction=H","UseDPDF=Y")</f>
        <v>#NAME?</v>
      </c>
      <c r="AJ43" s="1" t="e">
        <f ca="1">_xll.BDH($C$28,"GROWTH_IN_CAP","FY 2017","FY 2017","Currency=INR","Period=FY","BEST_FPERIOD_OVERRIDE=FY","FILING_STATUS=OR","EQY_CONSOLIDATED=Y","Sort=A","Dates=H","DateFormat=P","Fill=—","Direction=H","UseDPDF=Y")</f>
        <v>#NAME?</v>
      </c>
      <c r="AK43" s="1" t="e">
        <f ca="1">_xll.BDH($C$28,"BVPS_GROWTH","FY 2017","FY 2017","Currency=INR","Period=FY","BEST_FPERIOD_OVERRIDE=FY","FILING_STATUS=OR","EQY_CONSOLIDATED=Y","Sort=A","Dates=H","DateFormat=P","Fill=—","Direction=H","UseDPDF=Y")</f>
        <v>#NAME?</v>
      </c>
      <c r="AL43" s="1" t="e">
        <f ca="1">_xll.BDH($C$28,"CASH_FLOW_GROWTH","FY 2017","FY 2017","Currency=INR","Period=FY","BEST_FPERIOD_OVERRIDE=FY","FILING_STATUS=OR","EQY_CONSOLIDATED=Y","Sort=A","Dates=H","DateFormat=P","Fill=—","Direction=H","UseDPDF=Y")</f>
        <v>#NAME?</v>
      </c>
      <c r="AM43" s="1" t="e">
        <f ca="1">_xll.BDH($C$28,"GEO_GROW_NET_SALES","FY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43" s="1" t="e">
        <f ca="1">_xll.BDH($C$28,"GEO_GROW_EBITDA","FY 2017","FY 2017","Currency=INR","Period=FY","BEST_FPERIOD_OVERRIDE=FY","FILING_STATUS=OR","EQY_CONSOLIDATED=Y","FA_ADJUSTED=GAAP","Sort=A","Dates=H","DateFormat=P","Fill=—","Direction=H","UseDPDF=Y")</f>
        <v>#NAME?</v>
      </c>
      <c r="AO43" s="1" t="e">
        <f ca="1">_xll.BDH($C$28,"GEO_GROW_OPER_INC","FY 2017","FY 2017","Currency=INR","Period=FY","BEST_FPERIOD_OVERRIDE=FY","FILING_STATUS=OR","EQY_CONSOLIDATED=Y","FA_ADJUSTED=GAAP","Sort=A","Dates=H","DateFormat=P","Fill=—","Direction=H","UseDPDF=Y")</f>
        <v>#NAME?</v>
      </c>
      <c r="AP43" s="1" t="e">
        <f ca="1">_xll.BDH($C$28,"NET_INCOME_TO_COMMON_5_YR_GROWTH","FY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3" s="1" t="e">
        <f ca="1">_xll.BDH($C$28,"5Y_GEO_GROWTH_DILUTED_EPS","FY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3" s="1" t="e">
        <f ca="1">_xll.BDH($C$28,"GEO_GROW_DVD_PER_SH","FY 2017","FY 2017","Currency=INR","Period=FY","BEST_FPERIOD_OVERRIDE=FY","FILING_STATUS=OR","EQY_CONSOLIDATED=Y","Sort=A","Dates=H","DateFormat=P","Fill=—","Direction=H","UseDPDF=Y")</f>
        <v>#NAME?</v>
      </c>
      <c r="AS43" s="1" t="e">
        <f ca="1">_xll.BDH($C$28,"ACCOUNTS_RECEIVABLE_5_YR_GROWTH","FY 2017","FY 2017","Currency=INR","Period=FY","BEST_FPERIOD_OVERRIDE=FY","FILING_STATUS=OR","EQY_CONSOLIDATED=Y","Sort=A","Dates=H","DateFormat=P","Fill=—","Direction=H","UseDPDF=Y")</f>
        <v>#NAME?</v>
      </c>
      <c r="AT43" s="1" t="e">
        <f ca="1">_xll.BDH($C$28,"INVENTORY_5_YEAR_GROWTH","FY 2017","FY 2017","Currency=INR","Period=FY","BEST_FPERIOD_OVERRIDE=FY","FILING_STATUS=OR","EQY_CONSOLIDATED=Y","Sort=A","Dates=H","DateFormat=P","Fill=—","Direction=H","UseDPDF=Y")</f>
        <v>#NAME?</v>
      </c>
      <c r="AU43" s="1" t="e">
        <f ca="1">_xll.BDH($C$28,"NET_FIXED_ASSETS_5_YEAR_GROWTH","FY 2017","FY 2017","Currency=INR","Period=FY","BEST_FPERIOD_OVERRIDE=FY","FILING_STATUS=OR","EQY_CONSOLIDATED=Y","Sort=A","Dates=H","DateFormat=P","Fill=—","Direction=H","UseDPDF=Y")</f>
        <v>#NAME?</v>
      </c>
      <c r="AV43" s="1" t="e">
        <f ca="1">_xll.BDH($C$28,"GEO_GROW_TOT_ASSET","FY 2017","FY 2017","Currency=INR","Period=FY","BEST_FPERIOD_OVERRIDE=FY","FILING_STATUS=OR","EQY_CONSOLIDATED=Y","Sort=A","Dates=H","DateFormat=P","Fill=—","Direction=H","UseDPDF=Y")</f>
        <v>#NAME?</v>
      </c>
      <c r="AW43" s="1" t="e">
        <f ca="1">_xll.BDH($C$28,"MODIFIED_WORKING_CPTL_5YR_GRWTH","FY 2017","FY 2017","Currency=INR","Period=FY","BEST_FPERIOD_OVERRIDE=FY","FILING_STATUS=OR","EQY_CONSOLIDATED=Y","Sort=A","Dates=H","DateFormat=P","Fill=—","Direction=H","UseDPDF=Y")</f>
        <v>#NAME?</v>
      </c>
      <c r="AX43" s="1" t="e">
        <f ca="1">_xll.BDH($C$28,"WORKING_CAPITAL_5_YEAR_GROWTH","FY 2017","FY 2017","Currency=INR","Period=FY","BEST_FPERIOD_OVERRIDE=FY","FILING_STATUS=OR","EQY_CONSOLIDATED=Y","Sort=A","Dates=H","DateFormat=P","Fill=—","Direction=H","UseDPDF=Y")</f>
        <v>#NAME?</v>
      </c>
      <c r="AY43" s="1" t="e">
        <f ca="1">_xll.BDH($C$28,"ACCOUNTS_PAYABLE_5_YEAR_GROWTH","FY 2017","FY 2017","Currency=INR","Period=FY","BEST_FPERIOD_OVERRIDE=FY","FILING_STATUS=OR","EQY_CONSOLIDATED=Y","Sort=A","Dates=H","DateFormat=P","Fill=—","Direction=H","UseDPDF=Y")</f>
        <v>#NAME?</v>
      </c>
      <c r="AZ43" s="1" t="e">
        <f ca="1">_xll.BDH($C$28,"SHORT_TERM_DEBT_5_YEAR_GROWTH","FY 2017","FY 2017","Currency=INR","Period=FY","BEST_FPERIOD_OVERRIDE=FY","FILING_STATUS=OR","EQY_CONSOLIDATED=Y","Sort=A","Dates=H","DateFormat=P","Fill=—","Direction=H","UseDPDF=Y")</f>
        <v>#NAME?</v>
      </c>
      <c r="BA43" s="1" t="e">
        <f ca="1">_xll.BDH($C$28,"TOTAL_DEBT_5_YEAR_GROWTH","FY 2017","FY 2017","Currency=INR","Period=FY","BEST_FPERIOD_OVERRIDE=FY","FILING_STATUS=OR","EQY_CONSOLIDATED=Y","Sort=A","Dates=H","DateFormat=P","Fill=—","Direction=H","UseDPDF=Y")</f>
        <v>#NAME?</v>
      </c>
      <c r="BB43" s="1" t="e">
        <f ca="1">_xll.BDH($C$28,"GEO_GROW_TOT_SHRHLDR_EQY","FY 2017","FY 2017","Currency=INR","Period=FY","BEST_FPERIOD_OVERRIDE=FY","FILING_STATUS=OR","EQY_CONSOLIDATED=Y","Sort=A","Dates=H","DateFormat=P","Fill=—","Direction=H","UseDPDF=Y")</f>
        <v>#NAME?</v>
      </c>
      <c r="BC43" s="1" t="e">
        <f ca="1">_xll.BDH($C$28,"TOTAL_CAPITAL_5_YEAR_GROWTH","FY 2017","FY 2017","Currency=INR","Period=FY","BEST_FPERIOD_OVERRIDE=FY","FILING_STATUS=OR","EQY_CONSOLIDATED=Y","Sort=A","Dates=H","DateFormat=P","Fill=—","Direction=H","UseDPDF=Y")</f>
        <v>#NAME?</v>
      </c>
      <c r="BD43" s="1" t="e">
        <f ca="1">_xll.BDH($C$28,"GEO_GROW_BOOK_VAL","FY 2017","FY 2017","Currency=INR","Period=FY","BEST_FPERIOD_OVERRIDE=FY","FILING_STATUS=OR","EQY_CONSOLIDATED=Y","Sort=A","Dates=H","DateFormat=P","Fill=—","Direction=H","UseDPDF=Y")</f>
        <v>#NAME?</v>
      </c>
      <c r="BE43" s="1" t="e">
        <f ca="1">_xll.BDH($C$28,"GEO_GROW_CASH_OPER_ACT","FY 2017","FY 2017","Currency=INR","Period=FY","BEST_FPERIOD_OVERRIDE=FY","FILING_STATUS=OR","EQY_CONSOLIDATED=Y","Sort=A","Dates=H","DateFormat=P","Fill=—","Direction=H","UseDPDF=Y")</f>
        <v>#NAME?</v>
      </c>
      <c r="BF43" s="1" t="e">
        <f ca="1">_xll.BDH($C$28,"REVENUE_SEQUENTIAL_GROWTH","FY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3" s="1" t="e">
        <f ca="1">_xll.BDH($C$28,"EBITDA_SEQUENTIAL_GROWTH","FY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3" s="1" t="e">
        <f ca="1">_xll.BDH($C$28,"OPERATING_INCOME_SEQ_GROWTH","FY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3" s="1" t="e">
        <f ca="1">_xll.BDH($C$28,"NET_INCOME_TO_COMMON_SEQ_GROWTH","FY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3" s="1" t="e">
        <f ca="1">_xll.BDH($C$28,"EPS_DILUTED_SEQUENTIAL_GROWTH","FY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3" s="1" t="e">
        <f ca="1">_xll.BDH($C$28,"DPS_SEQUENTIAL_GROWTH","FY 2017","FY 2017","Currency=INR","Period=FY","BEST_FPERIOD_OVERRIDE=FY","FILING_STATUS=OR","EQY_CONSOLIDATED=Y","Sort=A","Dates=H","DateFormat=P","Fill=—","Direction=H","UseDPDF=Y")</f>
        <v>#NAME?</v>
      </c>
      <c r="BL43" s="1" t="e">
        <f ca="1">_xll.BDH($C$28,"ACCOUNTS_RECEIVABLE_SEQ_GROWTH","FY 2017","FY 2017","Currency=INR","Period=FY","BEST_FPERIOD_OVERRIDE=FY","FILING_STATUS=OR","EQY_CONSOLIDATED=Y","Sort=A","Dates=H","DateFormat=P","Fill=—","Direction=H","UseDPDF=Y")</f>
        <v>#NAME?</v>
      </c>
      <c r="BM43" s="1" t="e">
        <f ca="1">_xll.BDH($C$28,"INVENTORY_SEQUENTIAL_GROWTH","FY 2017","FY 2017","Currency=INR","Period=FY","BEST_FPERIOD_OVERRIDE=FY","FILING_STATUS=OR","EQY_CONSOLIDATED=Y","Sort=A","Dates=H","DateFormat=P","Fill=—","Direction=H","UseDPDF=Y")</f>
        <v>#NAME?</v>
      </c>
      <c r="BN43" s="1" t="e">
        <f ca="1">_xll.BDH($C$28,"FIXED_ASSETS_SEQUENTIAL_GROWTH","FY 2017","FY 2017","Currency=INR","Period=FY","BEST_FPERIOD_OVERRIDE=FY","FILING_STATUS=OR","EQY_CONSOLIDATED=Y","Sort=A","Dates=H","DateFormat=P","Fill=—","Direction=H","UseDPDF=Y")</f>
        <v>#NAME?</v>
      </c>
      <c r="BO43" s="1" t="e">
        <f ca="1">_xll.BDH($C$28,"TOTAL_ASSETS_SEQUENTIAL_GROWTH","FY 2017","FY 2017","Currency=INR","Period=FY","BEST_FPERIOD_OVERRIDE=FY","FILING_STATUS=OR","EQY_CONSOLIDATED=Y","Sort=A","Dates=H","DateFormat=P","Fill=—","Direction=H","UseDPDF=Y")</f>
        <v>#NAME?</v>
      </c>
      <c r="BP43" s="1" t="e">
        <f ca="1">_xll.BDH($C$28,"MODIFIED_WORKING_CPTL_SEQ_GRWTH","FY 2017","FY 2017","Currency=INR","Period=FY","BEST_FPERIOD_OVERRIDE=FY","FILING_STATUS=OR","EQY_CONSOLIDATED=Y","Sort=A","Dates=H","DateFormat=P","Fill=—","Direction=H","UseDPDF=Y")</f>
        <v>#NAME?</v>
      </c>
      <c r="BQ43" s="1" t="e">
        <f ca="1">_xll.BDH($C$28,"WORKING_CAPITAL_SEQ_GROWTH","FY 2017","FY 2017","Currency=INR","Period=FY","BEST_FPERIOD_OVERRIDE=FY","FILING_STATUS=OR","EQY_CONSOLIDATED=Y","Sort=A","Dates=H","DateFormat=P","Fill=—","Direction=H","UseDPDF=Y")</f>
        <v>#NAME?</v>
      </c>
      <c r="BR43" s="1" t="e">
        <f ca="1">_xll.BDH($C$28,"ACCOUNTS_PAYABLE_SEQ_GROWTH","FY 2017","FY 2017","Currency=INR","Period=FY","BEST_FPERIOD_OVERRIDE=FY","FILING_STATUS=OR","EQY_CONSOLIDATED=Y","Sort=A","Dates=H","DateFormat=P","Fill=—","Direction=H","UseDPDF=Y")</f>
        <v>#NAME?</v>
      </c>
      <c r="BS43" s="1" t="e">
        <f ca="1">_xll.BDH($C$28,"ST_DEBT_SEQUENTIAL_GROWTH","FY 2017","FY 2017","Currency=INR","Period=FY","BEST_FPERIOD_OVERRIDE=FY","FILING_STATUS=OR","EQY_CONSOLIDATED=Y","Sort=A","Dates=H","DateFormat=P","Fill=—","Direction=H","UseDPDF=Y")</f>
        <v>#NAME?</v>
      </c>
      <c r="BT43" s="1" t="e">
        <f ca="1">_xll.BDH($C$28,"TOTAL_DEBT_SEQUENTIAL_GROWTH","FY 2017","FY 2017","Currency=INR","Period=FY","BEST_FPERIOD_OVERRIDE=FY","FILING_STATUS=OR","EQY_CONSOLIDATED=Y","Sort=A","Dates=H","DateFormat=P","Fill=—","Direction=H","UseDPDF=Y")</f>
        <v>#NAME?</v>
      </c>
      <c r="BU43" s="1" t="e">
        <f ca="1">_xll.BDH($C$28,"TOTAL_EQUITY_SEQUENTIAL_GROWTH","FY 2017","FY 2017","Currency=INR","Period=FY","BEST_FPERIOD_OVERRIDE=FY","FILING_STATUS=OR","EQY_CONSOLIDATED=Y","Sort=A","Dates=H","DateFormat=P","Fill=—","Direction=H","UseDPDF=Y")</f>
        <v>#NAME?</v>
      </c>
      <c r="BV43" s="1" t="e">
        <f ca="1">_xll.BDH($C$28,"TOTAL_CAPITAL_SEQUENTIAL_GROWTH","FY 2017","FY 2017","Currency=INR","Period=FY","BEST_FPERIOD_OVERRIDE=FY","FILING_STATUS=OR","EQY_CONSOLIDATED=Y","Sort=A","Dates=H","DateFormat=P","Fill=—","Direction=H","UseDPDF=Y")</f>
        <v>#NAME?</v>
      </c>
      <c r="BW43" s="1" t="e">
        <f ca="1">_xll.BDH($C$28,"BPS_SEQUENTIAL_GROWTH","FY 2017","FY 2017","Currency=INR","Period=FY","BEST_FPERIOD_OVERRIDE=FY","FILING_STATUS=OR","EQY_CONSOLIDATED=Y","Sort=A","Dates=H","DateFormat=P","Fill=—","Direction=H","UseDPDF=Y")</f>
        <v>#NAME?</v>
      </c>
      <c r="BX43" s="1" t="e">
        <f ca="1">_xll.BDH($C$28,"CFO_SEQUENTIAL_GROWTH","FY 2017","FY 2017","Currency=INR","Period=FY","BEST_FPERIOD_OVERRIDE=FY","FILING_STATUS=OR","EQY_CONSOLIDATED=Y","Sort=A","Dates=H","DateFormat=P","Fill=—","Direction=H","UseDPDF=Y")</f>
        <v>#NAME?</v>
      </c>
      <c r="BY43" s="2" t="e">
        <f ca="1">_xll.BDH($C$28,"SHORT_AND_LONG_TERM_DEBT","FY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3" s="2" t="e">
        <f ca="1">_xll.BDH($C$28,"BS_ST_BORROW","FY 2017","FY 2017","Currency=INR","Period=FY","BEST_FPERIOD_OVERRIDE=FY","FILING_STATUS=OR","EQY_CONSOLIDATED=Y","SCALING_FORMAT=MLN","Sort=A","Dates=H","DateFormat=P","Fill=—","Direction=H","UseDPDF=Y")</f>
        <v>#NAME?</v>
      </c>
      <c r="CA43" s="2" t="e">
        <f ca="1">_xll.BDH($C$28,"BS_LT_BORROW","FY 2017","FY 2017","Currency=INR","Period=FY","BEST_FPERIOD_OVERRIDE=FY","FILING_STATUS=OR","EQY_CONSOLIDATED=Y","SCALING_FORMAT=MLN","Sort=A","Dates=H","DateFormat=P","Fill=—","Direction=H","UseDPDF=Y")</f>
        <v>#NAME?</v>
      </c>
      <c r="CB43" s="1" t="e">
        <f ca="1">_xll.BDH($C$28,"TOT_DEBT_TO_EBITDA","FY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43" s="1" t="e">
        <f ca="1">_xll.BDH($C$28,"NET_DEBT_TO_EBITDA","FY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43" s="1" t="e">
        <f ca="1">_xll.BDH($C$28,"TOTAL_DEBT_TO_EBIT","FY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43" s="1" t="e">
        <f ca="1">_xll.BDH($C$28,"NET_DEBT_TO_EBIT","FY 2017","FY 2017","Currency=INR","Period=FY","BEST_FPERIOD_OVERRIDE=FY","FILING_STATUS=OR","EQY_CONSOLIDATED=Y","FA_ADJUSTED=GAAP","Sort=A","Dates=H","DateFormat=P","Fill=—","Direction=H","UseDPDF=Y")</f>
        <v>#NAME?</v>
      </c>
      <c r="CF43" s="1" t="e">
        <f ca="1">_xll.BDH($C$28,"EBITDA_TO_INTEREST_EXPN","FY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3" s="1" t="e">
        <f ca="1">_xll.BDH($C$28,"COM_EQY_TO_TOT_ASSET","FY 2017","FY 2017","Currency=INR","Period=FY","BEST_FPERIOD_OVERRIDE=FY","FILING_STATUS=OR","EQY_CONSOLIDATED=Y","Sort=A","Dates=H","DateFormat=P","Fill=—","Direction=H","UseDPDF=Y")</f>
        <v>#NAME?</v>
      </c>
      <c r="CH43" s="1" t="e">
        <f ca="1">_xll.BDH($C$28,"LT_DEBT_TO_TOT_EQY","FY 2017","FY 2017","Currency=INR","Period=FY","BEST_FPERIOD_OVERRIDE=FY","FILING_STATUS=OR","EQY_CONSOLIDATED=Y","Sort=A","Dates=H","DateFormat=P","Fill=—","Direction=H","UseDPDF=Y")</f>
        <v>#NAME?</v>
      </c>
      <c r="CI43" s="1" t="e">
        <f ca="1">_xll.BDH($C$28,"LT_DEBT_TO_TOT_CAP","FY 2017","FY 2017","Currency=INR","Period=FY","BEST_FPERIOD_OVERRIDE=FY","FILING_STATUS=OR","EQY_CONSOLIDATED=Y","Sort=A","Dates=H","DateFormat=P","Fill=—","Direction=H","UseDPDF=Y")</f>
        <v>#NAME?</v>
      </c>
      <c r="CJ43" s="1" t="e">
        <f ca="1">_xll.BDH($C$28,"LT_DEBT_TO_TOT_ASSET","FY 2017","FY 2017","Currency=INR","Period=FY","BEST_FPERIOD_OVERRIDE=FY","FILING_STATUS=OR","EQY_CONSOLIDATED=Y","Sort=A","Dates=H","DateFormat=P","Fill=—","Direction=H","UseDPDF=Y")</f>
        <v>#NAME?</v>
      </c>
      <c r="CK43" s="1" t="e">
        <f ca="1">_xll.BDH($C$28,"TOT_DEBT_TO_TOT_EQY","FY 2017","FY 2017","Currency=INR","Period=FY","BEST_FPERIOD_OVERRIDE=FY","FILING_STATUS=OR","EQY_CONSOLIDATED=Y","Sort=A","Dates=H","DateFormat=P","Fill=—","Direction=H","UseDPDF=Y")</f>
        <v>#NAME?</v>
      </c>
      <c r="CL43" s="1" t="e">
        <f ca="1">_xll.BDH($C$28,"TOT_DEBT_TO_TOT_CAP","FY 2017","FY 2017","Currency=INR","Period=FY","BEST_FPERIOD_OVERRIDE=FY","FILING_STATUS=OR","EQY_CONSOLIDATED=Y","Sort=A","Dates=H","DateFormat=P","Fill=—","Direction=H","UseDPDF=Y")</f>
        <v>#NAME?</v>
      </c>
      <c r="CM43" s="1" t="e">
        <f ca="1">_xll.BDH($C$28,"TOT_DEBT_TO_TOT_ASSET","FY 2017","FY 2017","Currency=INR","Period=FY","BEST_FPERIOD_OVERRIDE=FY","FILING_STATUS=OR","EQY_CONSOLIDATED=Y","Sort=A","Dates=H","DateFormat=P","Fill=—","Direction=H","UseDPDF=Y")</f>
        <v>#NAME?</v>
      </c>
      <c r="CN43" s="1" t="e">
        <f ca="1">_xll.BDH($C$28,"NET_DEBT_TO_SHRHLDR_EQTY","FY 2017","FY 2017","Currency=INR","Period=FY","BEST_FPERIOD_OVERRIDE=FY","FILING_STATUS=OR","EQY_CONSOLIDATED=Y","Sort=A","Dates=H","DateFormat=P","Fill=—","Direction=H","UseDPDF=Y")</f>
        <v>#NAME?</v>
      </c>
      <c r="CO43" s="1" t="e">
        <f ca="1">_xll.BDH($C$28,"NET_DEBT_%_CAPITAL","FY 2017","FY 2017","Currency=INR","Period=FY","BEST_FPERIOD_OVERRIDE=FY","FILING_STATUS=OR","EQY_CONSOLIDATED=Y","Sort=A","Dates=H","DateFormat=P","Fill=—","Direction=H","UseDPDF=Y")</f>
        <v>#NAME?</v>
      </c>
      <c r="CP43" s="2" t="e">
        <f ca="1">_xll.BDH($C$28,"EBITDA","FY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3" s="2" t="e">
        <f ca="1">_xll.BDH($C$28,"EBITDA_AFTER_CAPEX","FY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3" s="2" t="e">
        <f ca="1">_xll.BDH($C$28,"IS_OPER_INC","FY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3" s="1" t="e">
        <f ca="1">_xll.BDH($C$28,"CASH_RATIO","FY 2017","FY 2017","Currency=INR","Period=FY","BEST_FPERIOD_OVERRIDE=FY","FILING_STATUS=OR","EQY_CONSOLIDATED=Y","Sort=A","Dates=H","DateFormat=P","Fill=—","Direction=H","UseDPDF=Y")</f>
        <v>#NAME?</v>
      </c>
      <c r="CT43" s="1" t="e">
        <f ca="1">_xll.BDH($C$28,"CUR_RATIO","FY 2017","FY 2017","Currency=INR","Period=FY","BEST_FPERIOD_OVERRIDE=FY","FILING_STATUS=OR","EQY_CONSOLIDATED=Y","Sort=A","Dates=H","DateFormat=P","Fill=—","Direction=H","UseDPDF=Y")</f>
        <v>#NAME?</v>
      </c>
      <c r="CU43" s="1" t="e">
        <f ca="1">_xll.BDH($C$28,"QUICK_RATIO","FY 2017","FY 2017","Currency=INR","Period=FY","BEST_FPERIOD_OVERRIDE=FY","FILING_STATUS=OR","EQY_CONSOLIDATED=Y","Sort=A","Dates=H","DateFormat=P","Fill=—","Direction=H","UseDPDF=Y")</f>
        <v>#NAME?</v>
      </c>
      <c r="CV43" s="1" t="e">
        <f ca="1">_xll.BDH($C$28,"ALTMAN_Z_SCORE","FY 2017","FY 2017","Currency=INR","Period=FY","BEST_FPERIOD_OVERRIDE=FY","FILING_STATUS=OR","EQY_CONSOLIDATED=Y","Sort=A","Dates=H","DateFormat=P","Fill=—","Direction=H","UseDPDF=Y")</f>
        <v>#NAME?</v>
      </c>
      <c r="CW43" s="3" t="e">
        <f ca="1">_xll.BDH($C$28,"ACCT_RCV_TURN","FY 2017","FY 2017","Currency=INR","Period=FY","BEST_FPERIOD_OVERRIDE=FY","FILING_STATUS=OR","EQY_CONSOLIDATED=Y","FA_ADJUSTED=GAAP","Sort=A","Dates=H","DateFormat=P","Fill=—","Direction=H","UseDPDF=Y")</f>
        <v>#NAME?</v>
      </c>
      <c r="CX43" s="1" t="e">
        <f ca="1">_xll.BDH($C$28,"ACCT_RCV_DAYS","FY 2017","FY 2017","Currency=INR","Period=FY","BEST_FPERIOD_OVERRIDE=FY","FILING_STATUS=OR","EQY_CONSOLIDATED=Y","FA_ADJUSTED=GAAP","Sort=A","Dates=H","DateFormat=P","Fill=—","Direction=H","UseDPDF=Y")</f>
        <v>#NAME?</v>
      </c>
      <c r="CY43" s="3" t="e">
        <f ca="1">_xll.BDH($C$28,"INVENT_TURN","FY 2017","FY 2017","Currency=INR","Period=FY","BEST_FPERIOD_OVERRIDE=FY","FILING_STATUS=OR","EQY_CONSOLIDATED=Y","FA_ADJUSTED=GAAP","Sort=A","Dates=H","DateFormat=P","Fill=—","Direction=H","UseDPDF=Y")</f>
        <v>#NAME?</v>
      </c>
      <c r="CZ43" s="1" t="e">
        <f ca="1">_xll.BDH($C$28,"INVENT_DAYS","FY 2017","FY 2017","Currency=INR","Period=FY","BEST_FPERIOD_OVERRIDE=FY","FILING_STATUS=OR","EQY_CONSOLIDATED=Y","FA_ADJUSTED=GAAP","Sort=A","Dates=H","DateFormat=P","Fill=—","Direction=H","UseDPDF=Y")</f>
        <v>#NAME?</v>
      </c>
      <c r="DA43" s="3" t="e">
        <f ca="1">_xll.BDH($C$28,"ACCOUNTS_PAYABLE_TURNOVER","FY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3" s="1" t="e">
        <f ca="1">_xll.BDH($C$28,"ACCOUNTS_PAYABLE_TURNOVER_DAYS","FY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3" s="3" t="e">
        <f ca="1">_xll.BDH($C$28,"CASH_CONVERSION_CYCLE","FY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3" s="3" t="e">
        <f ca="1">_xll.BDH($C$28,"INV_TO_CASH_DAYS","FY 2017","FY 2017","Currency=INR","Period=FY","BEST_FPERIOD_OVERRIDE=FY","FILING_STATUS=OR","EQY_CONSOLIDATED=Y","FA_ADJUSTED=GAAP","Sort=A","Dates=H","DateFormat=P","Fill=—","Direction=H","UseDPDF=Y")</f>
        <v>#NAME?</v>
      </c>
      <c r="DE43" s="4" t="e">
        <f ca="1">_xll.BDH($C$28,"BS_INVENTORIES","FY 2017","FY 2017","Currency=INR","Period=FY","BEST_FPERIOD_OVERRIDE=FY","FILING_STATUS=OR","EQY_CONSOLIDATED=Y","SCALING_FORMAT=MLN","Sort=A","Dates=H","DateFormat=P","Fill=—","Direction=H","UseDPDF=Y")</f>
        <v>#NAME?</v>
      </c>
      <c r="DF43" s="2" t="e">
        <f ca="1">_xll.BDH($C$28,"INVTRY_RAW_MATERIALS","FY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3" s="2" t="e">
        <f ca="1">_xll.BDH($C$28,"INVTRY_IN_PROGRESS","FY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3" s="2" t="e">
        <f ca="1">_xll.BDH($C$28,"INVTRY_FINISHED_GOODS","FY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3" s="2" t="e">
        <f ca="1">_xll.BDH($C$28,"BS_OTHER_INV","FY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4" spans="1:113" x14ac:dyDescent="0.3">
      <c r="A44" s="6"/>
      <c r="B44" s="6"/>
      <c r="C44" s="6"/>
      <c r="D44" s="6"/>
      <c r="E44" t="s">
        <v>4</v>
      </c>
      <c r="F44" t="e">
        <f ca="1">_xll.BDH($C$28,"RETURN_COM_EQY","FQ1 2017","FQ1 2017","Currency=INR","Period=FQ","BEST_FPERIOD_OVERRIDE=FQ","FILING_STATUS=OR","EQY_CONSOLIDATED=Y","FA_ADJUSTED=GAAP","Sort=A","Dates=H","DateFormat=P","Fill=—","Direction=H","UseDPDF=Y")</f>
        <v>#NAME?</v>
      </c>
      <c r="G44" t="e">
        <f ca="1">_xll.BDH($C$28,"RETURN_ON_ASSET","FQ1 2017","FQ1 2017","Currency=INR","Period=FQ","BEST_FPERIOD_OVERRIDE=FQ","FILING_STATUS=OR","EQY_CONSOLIDATED=Y","FA_ADJUSTED=GAAP","Sort=A","Dates=H","DateFormat=P","Fill=—","Direction=H","UseDPDF=Y")</f>
        <v>#NAME?</v>
      </c>
      <c r="H44" t="e">
        <f ca="1">_xll.BDH($C$28,"RETURN_ON_CAP","FQ1 2017","FQ1 2017","Currency=INR","Period=FQ","BEST_FPERIOD_OVERRIDE=FQ","FILING_STATUS=OR","EQY_CONSOLIDATED=Y","FA_ADJUSTED=GAAP","Sort=A","Dates=H","DateFormat=P","Fill=—","Direction=H","UseDPDF=Y")</f>
        <v>#NAME?</v>
      </c>
      <c r="I44" t="e">
        <f ca="1">_xll.BDH($C$28,"RETURN_ON_INV_CAPITAL","FQ1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4" t="e">
        <f ca="1">_xll.BDH($C$28,"EBITDA_TO_REVENUE","FQ1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44" t="e">
        <f ca="1">_xll.BDH($C$28,"OPER_MARGIN","FQ1 2017","FQ1 2017","Currency=INR","Period=FQ","BEST_FPERIOD_OVERRIDE=FQ","FILING_STATUS=OR","EQY_CONSOLIDATED=Y","FA_ADJUSTED=GAAP","Sort=A","Dates=H","DateFormat=P","Fill=—","Direction=H","UseDPDF=Y")</f>
        <v>#NAME?</v>
      </c>
      <c r="L44" t="e">
        <f ca="1">_xll.BDH($C$28,"INCREMENTAL_OPERATING_MARGIN","FQ1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4" t="e">
        <f ca="1">_xll.BDH($C$28,"PRETAX_INC_TO_NET_SALES","FQ1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4" t="e">
        <f ca="1">_xll.BDH($C$28,"INC_BEF_XO_ITEMS_TO_NET_SALES","FQ1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4" t="e">
        <f ca="1">_xll.BDH($C$28,"PROF_MARGIN","FQ1 2017","FQ1 2017","Currency=INR","Period=FQ","BEST_FPERIOD_OVERRIDE=FQ","FILING_STATUS=OR","EQY_CONSOLIDATED=Y","FA_ADJUSTED=GAAP","Sort=A","Dates=H","DateFormat=P","Fill=—","Direction=H","UseDPDF=Y")</f>
        <v>#NAME?</v>
      </c>
      <c r="P44" t="e">
        <f ca="1">_xll.BDH($C$28,"NET_INCOME_TO_COMMON_MARGIN","FQ1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4" t="e">
        <f ca="1">_xll.BDH($C$28,"EFF_TAX_RATE","FQ1 2017","FQ1 2017","Currency=INR","Period=FQ","BEST_FPERIOD_OVERRIDE=FQ","FILING_STATUS=OR","EQY_CONSOLIDATED=Y","FA_ADJUSTED=GAAP","Sort=A","Dates=H","DateFormat=P","Fill=—","Direction=H","UseDPDF=Y")</f>
        <v>#NAME?</v>
      </c>
      <c r="R44" t="e">
        <f ca="1">_xll.BDH($C$28,"DVD_PAYOUT_RATIO","FQ1 2017","FQ1 2017","Currency=INR","Period=FQ","BEST_FPERIOD_OVERRIDE=FQ","FILING_STATUS=OR","EQY_CONSOLIDATED=Y","FA_ADJUSTED=GAAP","Sort=A","Dates=H","DateFormat=P","Fill=—","Direction=H","UseDPDF=Y")</f>
        <v>#NAME?</v>
      </c>
      <c r="S44" t="e">
        <f ca="1">_xll.BDH($C$28,"SUSTAIN_GROWTH_RT","FQ1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44" s="1" t="e">
        <f ca="1">_xll.BDH($C$28,"SALES_GROWTH","FQ1 2017","FQ1 2017","Currency=INR","Period=FQ","BEST_FPERIOD_OVERRIDE=FQ","FILING_STATUS=OR","EQY_CONSOLIDATED=Y","FA_ADJUSTED=GAAP","Sort=A","Dates=H","DateFormat=P","Fill=—","Direction=H","UseDPDF=Y")</f>
        <v>#NAME?</v>
      </c>
      <c r="U44" s="1" t="e">
        <f ca="1">_xll.BDH($C$28,"EBITDA_GROWTH","FQ1 2017","FQ1 2017","Currency=INR","Period=FQ","BEST_FPERIOD_OVERRIDE=FQ","FILING_STATUS=OR","EQY_CONSOLIDATED=Y","FA_ADJUSTED=GAAP","Sort=A","Dates=H","DateFormat=P","Fill=—","Direction=H","UseDPDF=Y")</f>
        <v>#NAME?</v>
      </c>
      <c r="V44" s="1" t="e">
        <f ca="1">_xll.BDH($C$28,"OPER_INC_GROWTH","FQ1 2017","FQ1 2017","Currency=INR","Period=FQ","BEST_FPERIOD_OVERRIDE=FQ","FILING_STATUS=OR","EQY_CONSOLIDATED=Y","FA_ADJUSTED=GAAP","Sort=A","Dates=H","DateFormat=P","Fill=—","Direction=H","UseDPDF=Y")</f>
        <v>#NAME?</v>
      </c>
      <c r="W44" s="1" t="e">
        <f ca="1">_xll.BDH($C$28,"EARN_FOR_COM_GROWTH","FQ1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4" s="1" t="e">
        <f ca="1">_xll.BDH($C$28,"DILUTED_EPS_AFT_XO_ITEMS_GROWTH","FQ1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4" s="1" t="e">
        <f ca="1">_xll.BDH($C$28,"DIVIDEND_PER_SHARE_1_YEAR_GROWTH","FQ1 2017","FQ1 2017","Currency=INR","Period=FQ","BEST_FPERIOD_OVERRIDE=FQ","FILING_STATUS=OR","EQY_CONSOLIDATED=Y","Sort=A","Dates=H","DateFormat=P","Fill=—","Direction=H","UseDPDF=Y")</f>
        <v>#NAME?</v>
      </c>
      <c r="Z44" s="1" t="e">
        <f ca="1">_xll.BDH($C$28,"ACCOUNTS_RECEIVABLE_GROWTH","FQ1 2017","FQ1 2017","Currency=INR","Period=FQ","BEST_FPERIOD_OVERRIDE=FQ","FILING_STATUS=OR","EQY_CONSOLIDATED=Y","Sort=A","Dates=H","DateFormat=P","Fill=—","Direction=H","UseDPDF=Y")</f>
        <v>#NAME?</v>
      </c>
      <c r="AA44" s="1" t="e">
        <f ca="1">_xll.BDH($C$28,"INVENTORY_GROWTH","FQ1 2017","FQ1 2017","Currency=INR","Period=FQ","BEST_FPERIOD_OVERRIDE=FQ","FILING_STATUS=OR","EQY_CONSOLIDATED=Y","Sort=A","Dates=H","DateFormat=P","Fill=—","Direction=H","UseDPDF=Y")</f>
        <v>#NAME?</v>
      </c>
      <c r="AB44" s="1" t="e">
        <f ca="1">_xll.BDH($C$28,"NET_FIXED_ASSETS_1_YEAR_GROWTH","FQ1 2017","FQ1 2017","Currency=INR","Period=FQ","BEST_FPERIOD_OVERRIDE=FQ","FILING_STATUS=OR","EQY_CONSOLIDATED=Y","Sort=A","Dates=H","DateFormat=P","Fill=—","Direction=H","UseDPDF=Y")</f>
        <v>#NAME?</v>
      </c>
      <c r="AC44" s="1" t="e">
        <f ca="1">_xll.BDH($C$28,"ASSET_GROWTH","FQ1 2017","FQ1 2017","Currency=INR","Period=FQ","BEST_FPERIOD_OVERRIDE=FQ","FILING_STATUS=OR","EQY_CONSOLIDATED=Y","Sort=A","Dates=H","DateFormat=P","Fill=—","Direction=H","UseDPDF=Y")</f>
        <v>#NAME?</v>
      </c>
      <c r="AD44" s="1" t="e">
        <f ca="1">_xll.BDH($C$28,"MODIFIED_WORK_CAP_GROWTH","FQ1 2017","FQ1 2017","Currency=INR","Period=FQ","BEST_FPERIOD_OVERRIDE=FQ","FILING_STATUS=OR","EQY_CONSOLIDATED=Y","Sort=A","Dates=H","DateFormat=P","Fill=—","Direction=H","UseDPDF=Y")</f>
        <v>#NAME?</v>
      </c>
      <c r="AE44" s="1" t="e">
        <f ca="1">_xll.BDH($C$28,"WORK_CAP_GROWTH","FQ1 2017","FQ1 2017","Currency=INR","Period=FQ","BEST_FPERIOD_OVERRIDE=FQ","FILING_STATUS=OR","EQY_CONSOLIDATED=Y","Sort=A","Dates=H","DateFormat=P","Fill=—","Direction=H","UseDPDF=Y")</f>
        <v>#NAME?</v>
      </c>
      <c r="AF44" s="1" t="e">
        <f ca="1">_xll.BDH($C$28,"ACCOUNTS_PAYABLE_GROWTH_1YR","FQ1 2017","FQ1 2017","Currency=INR","Period=FQ","BEST_FPERIOD_OVERRIDE=FQ","FILING_STATUS=OR","EQY_CONSOLIDATED=Y","Sort=A","Dates=H","DateFormat=P","Fill=—","Direction=H","UseDPDF=Y")</f>
        <v>#NAME?</v>
      </c>
      <c r="AG44" s="1" t="e">
        <f ca="1">_xll.BDH($C$28,"SHORT_TERM_DEBT_1_YEAR_GROWTH","FQ1 2017","FQ1 2017","Currency=INR","Period=FQ","BEST_FPERIOD_OVERRIDE=FQ","FILING_STATUS=OR","EQY_CONSOLIDATED=Y","Sort=A","Dates=H","DateFormat=P","Fill=—","Direction=H","UseDPDF=Y")</f>
        <v>#NAME?</v>
      </c>
      <c r="AH44" s="1" t="e">
        <f ca="1">_xll.BDH($C$28,"TOTAL_DEBT_1_YEAR_GROWTH","FQ1 2017","FQ1 2017","Currency=INR","Period=FQ","BEST_FPERIOD_OVERRIDE=FQ","FILING_STATUS=OR","EQY_CONSOLIDATED=Y","Sort=A","Dates=H","DateFormat=P","Fill=—","Direction=H","UseDPDF=Y")</f>
        <v>#NAME?</v>
      </c>
      <c r="AI44" s="1" t="e">
        <f ca="1">_xll.BDH($C$28,"TOTAL_EQUITY_1_YEAR_GROWTH","FQ1 2017","FQ1 2017","Currency=INR","Period=FQ","BEST_FPERIOD_OVERRIDE=FQ","FILING_STATUS=OR","EQY_CONSOLIDATED=Y","Sort=A","Dates=H","DateFormat=P","Fill=—","Direction=H","UseDPDF=Y")</f>
        <v>#NAME?</v>
      </c>
      <c r="AJ44" s="1" t="e">
        <f ca="1">_xll.BDH($C$28,"GROWTH_IN_CAP","FQ1 2017","FQ1 2017","Currency=INR","Period=FQ","BEST_FPERIOD_OVERRIDE=FQ","FILING_STATUS=OR","EQY_CONSOLIDATED=Y","Sort=A","Dates=H","DateFormat=P","Fill=—","Direction=H","UseDPDF=Y")</f>
        <v>#NAME?</v>
      </c>
      <c r="AK44" s="1" t="e">
        <f ca="1">_xll.BDH($C$28,"BVPS_GROWTH","FQ1 2017","FQ1 2017","Currency=INR","Period=FQ","BEST_FPERIOD_OVERRIDE=FQ","FILING_STATUS=OR","EQY_CONSOLIDATED=Y","Sort=A","Dates=H","DateFormat=P","Fill=—","Direction=H","UseDPDF=Y")</f>
        <v>#NAME?</v>
      </c>
      <c r="AL44" s="1" t="e">
        <f ca="1">_xll.BDH($C$28,"CASH_FLOW_GROWTH","FQ1 2017","FQ1 2017","Currency=INR","Period=FQ","BEST_FPERIOD_OVERRIDE=FQ","FILING_STATUS=OR","EQY_CONSOLIDATED=Y","Sort=A","Dates=H","DateFormat=P","Fill=—","Direction=H","UseDPDF=Y")</f>
        <v>#NAME?</v>
      </c>
      <c r="AM44" s="1" t="e">
        <f ca="1">_xll.BDH($C$28,"GEO_GROW_NET_SALES","FQ1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4" s="1" t="e">
        <f ca="1">_xll.BDH($C$28,"GEO_GROW_EBITDA","FQ1 2017","FQ1 2017","Currency=INR","Period=FQ","BEST_FPERIOD_OVERRIDE=FQ","FILING_STATUS=OR","EQY_CONSOLIDATED=Y","FA_ADJUSTED=GAAP","Sort=A","Dates=H","DateFormat=P","Fill=—","Direction=H","UseDPDF=Y")</f>
        <v>#NAME?</v>
      </c>
      <c r="AO44" s="1" t="e">
        <f ca="1">_xll.BDH($C$28,"GEO_GROW_OPER_INC","FQ1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4" s="1" t="e">
        <f ca="1">_xll.BDH($C$28,"NET_INCOME_TO_COMMON_5_YR_GROWTH","FQ1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4" s="1" t="e">
        <f ca="1">_xll.BDH($C$28,"5Y_GEO_GROWTH_DILUTED_EPS","FQ1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4" s="1" t="e">
        <f ca="1">_xll.BDH($C$28,"GEO_GROW_DVD_PER_SH","FQ1 2017","FQ1 2017","Currency=INR","Period=FQ","BEST_FPERIOD_OVERRIDE=FQ","FILING_STATUS=OR","EQY_CONSOLIDATED=Y","Sort=A","Dates=H","DateFormat=P","Fill=—","Direction=H","UseDPDF=Y")</f>
        <v>#NAME?</v>
      </c>
      <c r="AS44" s="1" t="e">
        <f ca="1">_xll.BDH($C$28,"ACCOUNTS_RECEIVABLE_5_YR_GROWTH","FQ1 2017","FQ1 2017","Currency=INR","Period=FQ","BEST_FPERIOD_OVERRIDE=FQ","FILING_STATUS=OR","EQY_CONSOLIDATED=Y","Sort=A","Dates=H","DateFormat=P","Fill=—","Direction=H","UseDPDF=Y")</f>
        <v>#NAME?</v>
      </c>
      <c r="AT44" s="1" t="e">
        <f ca="1">_xll.BDH($C$28,"INVENTORY_5_YEAR_GROWTH","FQ1 2017","FQ1 2017","Currency=INR","Period=FQ","BEST_FPERIOD_OVERRIDE=FQ","FILING_STATUS=OR","EQY_CONSOLIDATED=Y","Sort=A","Dates=H","DateFormat=P","Fill=—","Direction=H","UseDPDF=Y")</f>
        <v>#NAME?</v>
      </c>
      <c r="AU44" s="1" t="e">
        <f ca="1">_xll.BDH($C$28,"NET_FIXED_ASSETS_5_YEAR_GROWTH","FQ1 2017","FQ1 2017","Currency=INR","Period=FQ","BEST_FPERIOD_OVERRIDE=FQ","FILING_STATUS=OR","EQY_CONSOLIDATED=Y","Sort=A","Dates=H","DateFormat=P","Fill=—","Direction=H","UseDPDF=Y")</f>
        <v>#NAME?</v>
      </c>
      <c r="AV44" s="1" t="e">
        <f ca="1">_xll.BDH($C$28,"GEO_GROW_TOT_ASSET","FQ1 2017","FQ1 2017","Currency=INR","Period=FQ","BEST_FPERIOD_OVERRIDE=FQ","FILING_STATUS=OR","EQY_CONSOLIDATED=Y","Sort=A","Dates=H","DateFormat=P","Fill=—","Direction=H","UseDPDF=Y")</f>
        <v>#NAME?</v>
      </c>
      <c r="AW44" s="1" t="e">
        <f ca="1">_xll.BDH($C$28,"MODIFIED_WORKING_CPTL_5YR_GRWTH","FQ1 2017","FQ1 2017","Currency=INR","Period=FQ","BEST_FPERIOD_OVERRIDE=FQ","FILING_STATUS=OR","EQY_CONSOLIDATED=Y","Sort=A","Dates=H","DateFormat=P","Fill=—","Direction=H","UseDPDF=Y")</f>
        <v>#NAME?</v>
      </c>
      <c r="AX44" s="1" t="e">
        <f ca="1">_xll.BDH($C$28,"WORKING_CAPITAL_5_YEAR_GROWTH","FQ1 2017","FQ1 2017","Currency=INR","Period=FQ","BEST_FPERIOD_OVERRIDE=FQ","FILING_STATUS=OR","EQY_CONSOLIDATED=Y","Sort=A","Dates=H","DateFormat=P","Fill=—","Direction=H","UseDPDF=Y")</f>
        <v>#NAME?</v>
      </c>
      <c r="AY44" s="1" t="e">
        <f ca="1">_xll.BDH($C$28,"ACCOUNTS_PAYABLE_5_YEAR_GROWTH","FQ1 2017","FQ1 2017","Currency=INR","Period=FQ","BEST_FPERIOD_OVERRIDE=FQ","FILING_STATUS=OR","EQY_CONSOLIDATED=Y","Sort=A","Dates=H","DateFormat=P","Fill=—","Direction=H","UseDPDF=Y")</f>
        <v>#NAME?</v>
      </c>
      <c r="AZ44" s="1" t="e">
        <f ca="1">_xll.BDH($C$28,"SHORT_TERM_DEBT_5_YEAR_GROWTH","FQ1 2017","FQ1 2017","Currency=INR","Period=FQ","BEST_FPERIOD_OVERRIDE=FQ","FILING_STATUS=OR","EQY_CONSOLIDATED=Y","Sort=A","Dates=H","DateFormat=P","Fill=—","Direction=H","UseDPDF=Y")</f>
        <v>#NAME?</v>
      </c>
      <c r="BA44" s="1" t="e">
        <f ca="1">_xll.BDH($C$28,"TOTAL_DEBT_5_YEAR_GROWTH","FQ1 2017","FQ1 2017","Currency=INR","Period=FQ","BEST_FPERIOD_OVERRIDE=FQ","FILING_STATUS=OR","EQY_CONSOLIDATED=Y","Sort=A","Dates=H","DateFormat=P","Fill=—","Direction=H","UseDPDF=Y")</f>
        <v>#NAME?</v>
      </c>
      <c r="BB44" s="1" t="e">
        <f ca="1">_xll.BDH($C$28,"GEO_GROW_TOT_SHRHLDR_EQY","FQ1 2017","FQ1 2017","Currency=INR","Period=FQ","BEST_FPERIOD_OVERRIDE=FQ","FILING_STATUS=OR","EQY_CONSOLIDATED=Y","Sort=A","Dates=H","DateFormat=P","Fill=—","Direction=H","UseDPDF=Y")</f>
        <v>#NAME?</v>
      </c>
      <c r="BC44" s="1" t="e">
        <f ca="1">_xll.BDH($C$28,"TOTAL_CAPITAL_5_YEAR_GROWTH","FQ1 2017","FQ1 2017","Currency=INR","Period=FQ","BEST_FPERIOD_OVERRIDE=FQ","FILING_STATUS=OR","EQY_CONSOLIDATED=Y","Sort=A","Dates=H","DateFormat=P","Fill=—","Direction=H","UseDPDF=Y")</f>
        <v>#NAME?</v>
      </c>
      <c r="BD44" s="1" t="e">
        <f ca="1">_xll.BDH($C$28,"GEO_GROW_BOOK_VAL","FQ1 2017","FQ1 2017","Currency=INR","Period=FQ","BEST_FPERIOD_OVERRIDE=FQ","FILING_STATUS=OR","EQY_CONSOLIDATED=Y","Sort=A","Dates=H","DateFormat=P","Fill=—","Direction=H","UseDPDF=Y")</f>
        <v>#NAME?</v>
      </c>
      <c r="BE44" s="1" t="e">
        <f ca="1">_xll.BDH($C$28,"GEO_GROW_CASH_OPER_ACT","FQ1 2017","FQ1 2017","Currency=INR","Period=FQ","BEST_FPERIOD_OVERRIDE=FQ","FILING_STATUS=OR","EQY_CONSOLIDATED=Y","Sort=A","Dates=H","DateFormat=P","Fill=—","Direction=H","UseDPDF=Y")</f>
        <v>#NAME?</v>
      </c>
      <c r="BF44" s="1" t="e">
        <f ca="1">_xll.BDH($C$28,"REVENUE_SEQUENTIAL_GROWTH","FQ1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4" s="1" t="e">
        <f ca="1">_xll.BDH($C$28,"EBITDA_SEQUENTIAL_GROWTH","FQ1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4" s="1" t="e">
        <f ca="1">_xll.BDH($C$28,"OPERATING_INCOME_SEQ_GROWTH","FQ1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4" s="1" t="e">
        <f ca="1">_xll.BDH($C$28,"NET_INCOME_TO_COMMON_SEQ_GROWTH","FQ1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4" s="1" t="e">
        <f ca="1">_xll.BDH($C$28,"EPS_DILUTED_SEQUENTIAL_GROWTH","FQ1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4" s="1" t="e">
        <f ca="1">_xll.BDH($C$28,"DPS_SEQUENTIAL_GROWTH","FQ1 2017","FQ1 2017","Currency=INR","Period=FQ","BEST_FPERIOD_OVERRIDE=FQ","FILING_STATUS=OR","EQY_CONSOLIDATED=Y","Sort=A","Dates=H","DateFormat=P","Fill=—","Direction=H","UseDPDF=Y")</f>
        <v>#NAME?</v>
      </c>
      <c r="BL44" s="1" t="e">
        <f ca="1">_xll.BDH($C$28,"ACCOUNTS_RECEIVABLE_SEQ_GROWTH","FQ1 2017","FQ1 2017","Currency=INR","Period=FQ","BEST_FPERIOD_OVERRIDE=FQ","FILING_STATUS=OR","EQY_CONSOLIDATED=Y","Sort=A","Dates=H","DateFormat=P","Fill=—","Direction=H","UseDPDF=Y")</f>
        <v>#NAME?</v>
      </c>
      <c r="BM44" s="1" t="e">
        <f ca="1">_xll.BDH($C$28,"INVENTORY_SEQUENTIAL_GROWTH","FQ1 2017","FQ1 2017","Currency=INR","Period=FQ","BEST_FPERIOD_OVERRIDE=FQ","FILING_STATUS=OR","EQY_CONSOLIDATED=Y","Sort=A","Dates=H","DateFormat=P","Fill=—","Direction=H","UseDPDF=Y")</f>
        <v>#NAME?</v>
      </c>
      <c r="BN44" s="1" t="e">
        <f ca="1">_xll.BDH($C$28,"FIXED_ASSETS_SEQUENTIAL_GROWTH","FQ1 2017","FQ1 2017","Currency=INR","Period=FQ","BEST_FPERIOD_OVERRIDE=FQ","FILING_STATUS=OR","EQY_CONSOLIDATED=Y","Sort=A","Dates=H","DateFormat=P","Fill=—","Direction=H","UseDPDF=Y")</f>
        <v>#NAME?</v>
      </c>
      <c r="BO44" s="1" t="e">
        <f ca="1">_xll.BDH($C$28,"TOTAL_ASSETS_SEQUENTIAL_GROWTH","FQ1 2017","FQ1 2017","Currency=INR","Period=FQ","BEST_FPERIOD_OVERRIDE=FQ","FILING_STATUS=OR","EQY_CONSOLIDATED=Y","Sort=A","Dates=H","DateFormat=P","Fill=—","Direction=H","UseDPDF=Y")</f>
        <v>#NAME?</v>
      </c>
      <c r="BP44" s="1" t="e">
        <f ca="1">_xll.BDH($C$28,"MODIFIED_WORKING_CPTL_SEQ_GRWTH","FQ1 2017","FQ1 2017","Currency=INR","Period=FQ","BEST_FPERIOD_OVERRIDE=FQ","FILING_STATUS=OR","EQY_CONSOLIDATED=Y","Sort=A","Dates=H","DateFormat=P","Fill=—","Direction=H","UseDPDF=Y")</f>
        <v>#NAME?</v>
      </c>
      <c r="BQ44" s="1" t="e">
        <f ca="1">_xll.BDH($C$28,"WORKING_CAPITAL_SEQ_GROWTH","FQ1 2017","FQ1 2017","Currency=INR","Period=FQ","BEST_FPERIOD_OVERRIDE=FQ","FILING_STATUS=OR","EQY_CONSOLIDATED=Y","Sort=A","Dates=H","DateFormat=P","Fill=—","Direction=H","UseDPDF=Y")</f>
        <v>#NAME?</v>
      </c>
      <c r="BR44" s="1" t="e">
        <f ca="1">_xll.BDH($C$28,"ACCOUNTS_PAYABLE_SEQ_GROWTH","FQ1 2017","FQ1 2017","Currency=INR","Period=FQ","BEST_FPERIOD_OVERRIDE=FQ","FILING_STATUS=OR","EQY_CONSOLIDATED=Y","Sort=A","Dates=H","DateFormat=P","Fill=—","Direction=H","UseDPDF=Y")</f>
        <v>#NAME?</v>
      </c>
      <c r="BS44" s="1" t="e">
        <f ca="1">_xll.BDH($C$28,"ST_DEBT_SEQUENTIAL_GROWTH","FQ1 2017","FQ1 2017","Currency=INR","Period=FQ","BEST_FPERIOD_OVERRIDE=FQ","FILING_STATUS=OR","EQY_CONSOLIDATED=Y","Sort=A","Dates=H","DateFormat=P","Fill=—","Direction=H","UseDPDF=Y")</f>
        <v>#NAME?</v>
      </c>
      <c r="BT44" s="1" t="e">
        <f ca="1">_xll.BDH($C$28,"TOTAL_DEBT_SEQUENTIAL_GROWTH","FQ1 2017","FQ1 2017","Currency=INR","Period=FQ","BEST_FPERIOD_OVERRIDE=FQ","FILING_STATUS=OR","EQY_CONSOLIDATED=Y","Sort=A","Dates=H","DateFormat=P","Fill=—","Direction=H","UseDPDF=Y")</f>
        <v>#NAME?</v>
      </c>
      <c r="BU44" s="1" t="e">
        <f ca="1">_xll.BDH($C$28,"TOTAL_EQUITY_SEQUENTIAL_GROWTH","FQ1 2017","FQ1 2017","Currency=INR","Period=FQ","BEST_FPERIOD_OVERRIDE=FQ","FILING_STATUS=OR","EQY_CONSOLIDATED=Y","Sort=A","Dates=H","DateFormat=P","Fill=—","Direction=H","UseDPDF=Y")</f>
        <v>#NAME?</v>
      </c>
      <c r="BV44" s="1" t="e">
        <f ca="1">_xll.BDH($C$28,"TOTAL_CAPITAL_SEQUENTIAL_GROWTH","FQ1 2017","FQ1 2017","Currency=INR","Period=FQ","BEST_FPERIOD_OVERRIDE=FQ","FILING_STATUS=OR","EQY_CONSOLIDATED=Y","Sort=A","Dates=H","DateFormat=P","Fill=—","Direction=H","UseDPDF=Y")</f>
        <v>#NAME?</v>
      </c>
      <c r="BW44" s="1" t="e">
        <f ca="1">_xll.BDH($C$28,"BPS_SEQUENTIAL_GROWTH","FQ1 2017","FQ1 2017","Currency=INR","Period=FQ","BEST_FPERIOD_OVERRIDE=FQ","FILING_STATUS=OR","EQY_CONSOLIDATED=Y","Sort=A","Dates=H","DateFormat=P","Fill=—","Direction=H","UseDPDF=Y")</f>
        <v>#NAME?</v>
      </c>
      <c r="BX44" s="1" t="e">
        <f ca="1">_xll.BDH($C$28,"CFO_SEQUENTIAL_GROWTH","FQ1 2017","FQ1 2017","Currency=INR","Period=FQ","BEST_FPERIOD_OVERRIDE=FQ","FILING_STATUS=OR","EQY_CONSOLIDATED=Y","Sort=A","Dates=H","DateFormat=P","Fill=—","Direction=H","UseDPDF=Y")</f>
        <v>#NAME?</v>
      </c>
      <c r="BY44" s="2" t="e">
        <f ca="1">_xll.BDH($C$28,"SHORT_AND_LONG_TERM_DEBT","FQ1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4" s="2" t="e">
        <f ca="1">_xll.BDH($C$28,"BS_ST_BORROW","FQ1 2017","FQ1 2017","Currency=INR","Period=FQ","BEST_FPERIOD_OVERRIDE=FQ","FILING_STATUS=OR","EQY_CONSOLIDATED=Y","SCALING_FORMAT=MLN","Sort=A","Dates=H","DateFormat=P","Fill=—","Direction=H","UseDPDF=Y")</f>
        <v>#NAME?</v>
      </c>
      <c r="CA44" s="2" t="e">
        <f ca="1">_xll.BDH($C$28,"BS_LT_BORROW","FQ1 2017","FQ1 2017","Currency=INR","Period=FQ","BEST_FPERIOD_OVERRIDE=FQ","FILING_STATUS=OR","EQY_CONSOLIDATED=Y","SCALING_FORMAT=MLN","Sort=A","Dates=H","DateFormat=P","Fill=—","Direction=H","UseDPDF=Y")</f>
        <v>#NAME?</v>
      </c>
      <c r="CB44" s="1" t="e">
        <f ca="1">_xll.BDH($C$28,"TOT_DEBT_TO_EBITDA","FQ1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4" s="1" t="e">
        <f ca="1">_xll.BDH($C$28,"NET_DEBT_TO_EBITDA","FQ1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4" s="1" t="e">
        <f ca="1">_xll.BDH($C$28,"TOTAL_DEBT_TO_EBIT","FQ1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4" s="1" t="e">
        <f ca="1">_xll.BDH($C$28,"NET_DEBT_TO_EBIT","FQ1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44" s="1" t="e">
        <f ca="1">_xll.BDH($C$28,"EBITDA_TO_INTEREST_EXPN","FQ1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4" s="1" t="e">
        <f ca="1">_xll.BDH($C$28,"COM_EQY_TO_TOT_ASSET","FQ1 2017","FQ1 2017","Currency=INR","Period=FQ","BEST_FPERIOD_OVERRIDE=FQ","FILING_STATUS=OR","EQY_CONSOLIDATED=Y","Sort=A","Dates=H","DateFormat=P","Fill=—","Direction=H","UseDPDF=Y")</f>
        <v>#NAME?</v>
      </c>
      <c r="CH44" s="1" t="e">
        <f ca="1">_xll.BDH($C$28,"LT_DEBT_TO_TOT_EQY","FQ1 2017","FQ1 2017","Currency=INR","Period=FQ","BEST_FPERIOD_OVERRIDE=FQ","FILING_STATUS=OR","EQY_CONSOLIDATED=Y","Sort=A","Dates=H","DateFormat=P","Fill=—","Direction=H","UseDPDF=Y")</f>
        <v>#NAME?</v>
      </c>
      <c r="CI44" s="1" t="e">
        <f ca="1">_xll.BDH($C$28,"LT_DEBT_TO_TOT_CAP","FQ1 2017","FQ1 2017","Currency=INR","Period=FQ","BEST_FPERIOD_OVERRIDE=FQ","FILING_STATUS=OR","EQY_CONSOLIDATED=Y","Sort=A","Dates=H","DateFormat=P","Fill=—","Direction=H","UseDPDF=Y")</f>
        <v>#NAME?</v>
      </c>
      <c r="CJ44" s="1" t="e">
        <f ca="1">_xll.BDH($C$28,"LT_DEBT_TO_TOT_ASSET","FQ1 2017","FQ1 2017","Currency=INR","Period=FQ","BEST_FPERIOD_OVERRIDE=FQ","FILING_STATUS=OR","EQY_CONSOLIDATED=Y","Sort=A","Dates=H","DateFormat=P","Fill=—","Direction=H","UseDPDF=Y")</f>
        <v>#NAME?</v>
      </c>
      <c r="CK44" s="1" t="e">
        <f ca="1">_xll.BDH($C$28,"TOT_DEBT_TO_TOT_EQY","FQ1 2017","FQ1 2017","Currency=INR","Period=FQ","BEST_FPERIOD_OVERRIDE=FQ","FILING_STATUS=OR","EQY_CONSOLIDATED=Y","Sort=A","Dates=H","DateFormat=P","Fill=—","Direction=H","UseDPDF=Y")</f>
        <v>#NAME?</v>
      </c>
      <c r="CL44" s="1" t="e">
        <f ca="1">_xll.BDH($C$28,"TOT_DEBT_TO_TOT_CAP","FQ1 2017","FQ1 2017","Currency=INR","Period=FQ","BEST_FPERIOD_OVERRIDE=FQ","FILING_STATUS=OR","EQY_CONSOLIDATED=Y","Sort=A","Dates=H","DateFormat=P","Fill=—","Direction=H","UseDPDF=Y")</f>
        <v>#NAME?</v>
      </c>
      <c r="CM44" s="1" t="e">
        <f ca="1">_xll.BDH($C$28,"TOT_DEBT_TO_TOT_ASSET","FQ1 2017","FQ1 2017","Currency=INR","Period=FQ","BEST_FPERIOD_OVERRIDE=FQ","FILING_STATUS=OR","EQY_CONSOLIDATED=Y","Sort=A","Dates=H","DateFormat=P","Fill=—","Direction=H","UseDPDF=Y")</f>
        <v>#NAME?</v>
      </c>
      <c r="CN44" s="1" t="e">
        <f ca="1">_xll.BDH($C$28,"NET_DEBT_TO_SHRHLDR_EQTY","FQ1 2017","FQ1 2017","Currency=INR","Period=FQ","BEST_FPERIOD_OVERRIDE=FQ","FILING_STATUS=OR","EQY_CONSOLIDATED=Y","Sort=A","Dates=H","DateFormat=P","Fill=—","Direction=H","UseDPDF=Y")</f>
        <v>#NAME?</v>
      </c>
      <c r="CO44" s="1" t="e">
        <f ca="1">_xll.BDH($C$28,"NET_DEBT_%_CAPITAL","FQ1 2017","FQ1 2017","Currency=INR","Period=FQ","BEST_FPERIOD_OVERRIDE=FQ","FILING_STATUS=OR","EQY_CONSOLIDATED=Y","Sort=A","Dates=H","DateFormat=P","Fill=—","Direction=H","UseDPDF=Y")</f>
        <v>#NAME?</v>
      </c>
      <c r="CP44" s="2" t="e">
        <f ca="1">_xll.BDH($C$28,"EBITDA","FQ1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4" s="2" t="e">
        <f ca="1">_xll.BDH($C$28,"EBITDA_AFTER_CAPEX","FQ1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4" s="2" t="e">
        <f ca="1">_xll.BDH($C$28,"IS_OPER_INC","FQ1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4" s="1" t="e">
        <f ca="1">_xll.BDH($C$28,"CASH_RATIO","FQ1 2017","FQ1 2017","Currency=INR","Period=FQ","BEST_FPERIOD_OVERRIDE=FQ","FILING_STATUS=OR","EQY_CONSOLIDATED=Y","Sort=A","Dates=H","DateFormat=P","Fill=—","Direction=H","UseDPDF=Y")</f>
        <v>#NAME?</v>
      </c>
      <c r="CT44" s="1" t="e">
        <f ca="1">_xll.BDH($C$28,"CUR_RATIO","FQ1 2017","FQ1 2017","Currency=INR","Period=FQ","BEST_FPERIOD_OVERRIDE=FQ","FILING_STATUS=OR","EQY_CONSOLIDATED=Y","Sort=A","Dates=H","DateFormat=P","Fill=—","Direction=H","UseDPDF=Y")</f>
        <v>#NAME?</v>
      </c>
      <c r="CU44" s="1" t="e">
        <f ca="1">_xll.BDH($C$28,"QUICK_RATIO","FQ1 2017","FQ1 2017","Currency=INR","Period=FQ","BEST_FPERIOD_OVERRIDE=FQ","FILING_STATUS=OR","EQY_CONSOLIDATED=Y","Sort=A","Dates=H","DateFormat=P","Fill=—","Direction=H","UseDPDF=Y")</f>
        <v>#NAME?</v>
      </c>
      <c r="CV44" s="1" t="e">
        <f ca="1">_xll.BDH($C$28,"ALTMAN_Z_SCORE","FQ1 2017","FQ1 2017","Currency=INR","Period=FQ","BEST_FPERIOD_OVERRIDE=FQ","FILING_STATUS=OR","EQY_CONSOLIDATED=Y","Sort=A","Dates=H","DateFormat=P","Fill=—","Direction=H","UseDPDF=Y")</f>
        <v>#NAME?</v>
      </c>
      <c r="CW44" s="3" t="e">
        <f ca="1">_xll.BDH($C$28,"ACCT_RCV_TURN","FQ1 2017","FQ1 2017","Currency=INR","Period=FQ","BEST_FPERIOD_OVERRIDE=FQ","FILING_STATUS=OR","EQY_CONSOLIDATED=Y","FA_ADJUSTED=GAAP","Sort=A","Dates=H","DateFormat=P","Fill=—","Direction=H","UseDPDF=Y")</f>
        <v>#NAME?</v>
      </c>
      <c r="CX44" s="1" t="e">
        <f ca="1">_xll.BDH($C$28,"ACCT_RCV_DAYS","FQ1 2017","FQ1 2017","Currency=INR","Period=FQ","BEST_FPERIOD_OVERRIDE=FQ","FILING_STATUS=OR","EQY_CONSOLIDATED=Y","FA_ADJUSTED=GAAP","Sort=A","Dates=H","DateFormat=P","Fill=—","Direction=H","UseDPDF=Y")</f>
        <v>#NAME?</v>
      </c>
      <c r="CY44" s="3" t="e">
        <f ca="1">_xll.BDH($C$28,"INVENT_TURN","FQ1 2017","FQ1 2017","Currency=INR","Period=FQ","BEST_FPERIOD_OVERRIDE=FQ","FILING_STATUS=OR","EQY_CONSOLIDATED=Y","FA_ADJUSTED=GAAP","Sort=A","Dates=H","DateFormat=P","Fill=—","Direction=H","UseDPDF=Y")</f>
        <v>#NAME?</v>
      </c>
      <c r="CZ44" s="1" t="e">
        <f ca="1">_xll.BDH($C$28,"INVENT_DAYS","FQ1 2017","FQ1 2017","Currency=INR","Period=FQ","BEST_FPERIOD_OVERRIDE=FQ","FILING_STATUS=OR","EQY_CONSOLIDATED=Y","FA_ADJUSTED=GAAP","Sort=A","Dates=H","DateFormat=P","Fill=—","Direction=H","UseDPDF=Y")</f>
        <v>#NAME?</v>
      </c>
      <c r="DA44" s="3" t="e">
        <f ca="1">_xll.BDH($C$28,"ACCOUNTS_PAYABLE_TURNOVER","FQ1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4" s="1" t="e">
        <f ca="1">_xll.BDH($C$28,"ACCOUNTS_PAYABLE_TURNOVER_DAYS","FQ1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4" s="3" t="e">
        <f ca="1">_xll.BDH($C$28,"CASH_CONVERSION_CYCLE","FQ1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4" s="3" t="e">
        <f ca="1">_xll.BDH($C$28,"INV_TO_CASH_DAYS","FQ1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44" s="4" t="e">
        <f ca="1">_xll.BDH($C$28,"BS_INVENTORIES","FQ1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44" s="2" t="e">
        <f ca="1">_xll.BDH($C$28,"INVTRY_RAW_MATERIALS","FQ1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4" s="2" t="e">
        <f ca="1">_xll.BDH($C$28,"INVTRY_IN_PROGRESS","FQ1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4" s="2" t="e">
        <f ca="1">_xll.BDH($C$28,"INVTRY_FINISHED_GOODS","FQ1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4" s="2" t="e">
        <f ca="1">_xll.BDH($C$28,"BS_OTHER_INV","FQ1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5" spans="1:113" x14ac:dyDescent="0.3">
      <c r="A45" s="6"/>
      <c r="B45" s="6"/>
      <c r="C45" s="6"/>
      <c r="D45" s="6"/>
      <c r="E45" t="s">
        <v>5</v>
      </c>
      <c r="F45" t="e">
        <f ca="1">_xll.BDH($C$28,"RETURN_COM_EQY","FQ2 2017","FQ2 2017","Currency=INR","Period=FQ","BEST_FPERIOD_OVERRIDE=FQ","FILING_STATUS=OR","EQY_CONSOLIDATED=Y","FA_ADJUSTED=GAAP","Sort=A","Dates=H","DateFormat=P","Fill=—","Direction=H","UseDPDF=Y")</f>
        <v>#NAME?</v>
      </c>
      <c r="G45" t="e">
        <f ca="1">_xll.BDH($C$28,"RETURN_ON_ASSET","FQ2 2017","FQ2 2017","Currency=INR","Period=FQ","BEST_FPERIOD_OVERRIDE=FQ","FILING_STATUS=OR","EQY_CONSOLIDATED=Y","FA_ADJUSTED=GAAP","Sort=A","Dates=H","DateFormat=P","Fill=—","Direction=H","UseDPDF=Y")</f>
        <v>#NAME?</v>
      </c>
      <c r="H45" t="e">
        <f ca="1">_xll.BDH($C$28,"RETURN_ON_CAP","FQ2 2017","FQ2 2017","Currency=INR","Period=FQ","BEST_FPERIOD_OVERRIDE=FQ","FILING_STATUS=OR","EQY_CONSOLIDATED=Y","FA_ADJUSTED=GAAP","Sort=A","Dates=H","DateFormat=P","Fill=—","Direction=H","UseDPDF=Y")</f>
        <v>#NAME?</v>
      </c>
      <c r="I45" t="e">
        <f ca="1">_xll.BDH($C$28,"RETURN_ON_INV_CAPITAL","FQ2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5" t="e">
        <f ca="1">_xll.BDH($C$28,"EBITDA_TO_REVENUE","FQ2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45" t="e">
        <f ca="1">_xll.BDH($C$28,"OPER_MARGIN","FQ2 2017","FQ2 2017","Currency=INR","Period=FQ","BEST_FPERIOD_OVERRIDE=FQ","FILING_STATUS=OR","EQY_CONSOLIDATED=Y","FA_ADJUSTED=GAAP","Sort=A","Dates=H","DateFormat=P","Fill=—","Direction=H","UseDPDF=Y")</f>
        <v>#NAME?</v>
      </c>
      <c r="L45" t="e">
        <f ca="1">_xll.BDH($C$28,"INCREMENTAL_OPERATING_MARGIN","FQ2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5" t="e">
        <f ca="1">_xll.BDH($C$28,"PRETAX_INC_TO_NET_SALES","FQ2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5" t="e">
        <f ca="1">_xll.BDH($C$28,"INC_BEF_XO_ITEMS_TO_NET_SALES","FQ2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5" t="e">
        <f ca="1">_xll.BDH($C$28,"PROF_MARGIN","FQ2 2017","FQ2 2017","Currency=INR","Period=FQ","BEST_FPERIOD_OVERRIDE=FQ","FILING_STATUS=OR","EQY_CONSOLIDATED=Y","FA_ADJUSTED=GAAP","Sort=A","Dates=H","DateFormat=P","Fill=—","Direction=H","UseDPDF=Y")</f>
        <v>#NAME?</v>
      </c>
      <c r="P45" t="e">
        <f ca="1">_xll.BDH($C$28,"NET_INCOME_TO_COMMON_MARGIN","FQ2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5" t="e">
        <f ca="1">_xll.BDH($C$28,"EFF_TAX_RATE","FQ2 2017","FQ2 2017","Currency=INR","Period=FQ","BEST_FPERIOD_OVERRIDE=FQ","FILING_STATUS=OR","EQY_CONSOLIDATED=Y","FA_ADJUSTED=GAAP","Sort=A","Dates=H","DateFormat=P","Fill=—","Direction=H","UseDPDF=Y")</f>
        <v>#NAME?</v>
      </c>
      <c r="R45" t="e">
        <f ca="1">_xll.BDH($C$28,"DVD_PAYOUT_RATIO","FQ2 2017","FQ2 2017","Currency=INR","Period=FQ","BEST_FPERIOD_OVERRIDE=FQ","FILING_STATUS=OR","EQY_CONSOLIDATED=Y","FA_ADJUSTED=GAAP","Sort=A","Dates=H","DateFormat=P","Fill=—","Direction=H","UseDPDF=Y")</f>
        <v>#NAME?</v>
      </c>
      <c r="S45" t="e">
        <f ca="1">_xll.BDH($C$28,"SUSTAIN_GROWTH_RT","FQ2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45" s="1" t="e">
        <f ca="1">_xll.BDH($C$28,"SALES_GROWTH","FQ2 2017","FQ2 2017","Currency=INR","Period=FQ","BEST_FPERIOD_OVERRIDE=FQ","FILING_STATUS=OR","EQY_CONSOLIDATED=Y","FA_ADJUSTED=GAAP","Sort=A","Dates=H","DateFormat=P","Fill=—","Direction=H","UseDPDF=Y")</f>
        <v>#NAME?</v>
      </c>
      <c r="U45" s="1" t="e">
        <f ca="1">_xll.BDH($C$28,"EBITDA_GROWTH","FQ2 2017","FQ2 2017","Currency=INR","Period=FQ","BEST_FPERIOD_OVERRIDE=FQ","FILING_STATUS=OR","EQY_CONSOLIDATED=Y","FA_ADJUSTED=GAAP","Sort=A","Dates=H","DateFormat=P","Fill=—","Direction=H","UseDPDF=Y")</f>
        <v>#NAME?</v>
      </c>
      <c r="V45" s="1" t="e">
        <f ca="1">_xll.BDH($C$28,"OPER_INC_GROWTH","FQ2 2017","FQ2 2017","Currency=INR","Period=FQ","BEST_FPERIOD_OVERRIDE=FQ","FILING_STATUS=OR","EQY_CONSOLIDATED=Y","FA_ADJUSTED=GAAP","Sort=A","Dates=H","DateFormat=P","Fill=—","Direction=H","UseDPDF=Y")</f>
        <v>#NAME?</v>
      </c>
      <c r="W45" s="1" t="e">
        <f ca="1">_xll.BDH($C$28,"EARN_FOR_COM_GROWTH","FQ2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5" s="1" t="e">
        <f ca="1">_xll.BDH($C$28,"DILUTED_EPS_AFT_XO_ITEMS_GROWTH","FQ2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5" s="1" t="e">
        <f ca="1">_xll.BDH($C$28,"DIVIDEND_PER_SHARE_1_YEAR_GROWTH","FQ2 2017","FQ2 2017","Currency=INR","Period=FQ","BEST_FPERIOD_OVERRIDE=FQ","FILING_STATUS=OR","EQY_CONSOLIDATED=Y","Sort=A","Dates=H","DateFormat=P","Fill=—","Direction=H","UseDPDF=Y")</f>
        <v>#NAME?</v>
      </c>
      <c r="Z45" s="1" t="e">
        <f ca="1">_xll.BDH($C$28,"ACCOUNTS_RECEIVABLE_GROWTH","FQ2 2017","FQ2 2017","Currency=INR","Period=FQ","BEST_FPERIOD_OVERRIDE=FQ","FILING_STATUS=OR","EQY_CONSOLIDATED=Y","Sort=A","Dates=H","DateFormat=P","Fill=—","Direction=H","UseDPDF=Y")</f>
        <v>#NAME?</v>
      </c>
      <c r="AA45" s="1" t="e">
        <f ca="1">_xll.BDH($C$28,"INVENTORY_GROWTH","FQ2 2017","FQ2 2017","Currency=INR","Period=FQ","BEST_FPERIOD_OVERRIDE=FQ","FILING_STATUS=OR","EQY_CONSOLIDATED=Y","Sort=A","Dates=H","DateFormat=P","Fill=—","Direction=H","UseDPDF=Y")</f>
        <v>#NAME?</v>
      </c>
      <c r="AB45" s="1" t="e">
        <f ca="1">_xll.BDH($C$28,"NET_FIXED_ASSETS_1_YEAR_GROWTH","FQ2 2017","FQ2 2017","Currency=INR","Period=FQ","BEST_FPERIOD_OVERRIDE=FQ","FILING_STATUS=OR","EQY_CONSOLIDATED=Y","Sort=A","Dates=H","DateFormat=P","Fill=—","Direction=H","UseDPDF=Y")</f>
        <v>#NAME?</v>
      </c>
      <c r="AC45" s="1" t="e">
        <f ca="1">_xll.BDH($C$28,"ASSET_GROWTH","FQ2 2017","FQ2 2017","Currency=INR","Period=FQ","BEST_FPERIOD_OVERRIDE=FQ","FILING_STATUS=OR","EQY_CONSOLIDATED=Y","Sort=A","Dates=H","DateFormat=P","Fill=—","Direction=H","UseDPDF=Y")</f>
        <v>#NAME?</v>
      </c>
      <c r="AD45" s="1" t="e">
        <f ca="1">_xll.BDH($C$28,"MODIFIED_WORK_CAP_GROWTH","FQ2 2017","FQ2 2017","Currency=INR","Period=FQ","BEST_FPERIOD_OVERRIDE=FQ","FILING_STATUS=OR","EQY_CONSOLIDATED=Y","Sort=A","Dates=H","DateFormat=P","Fill=—","Direction=H","UseDPDF=Y")</f>
        <v>#NAME?</v>
      </c>
      <c r="AE45" s="1" t="e">
        <f ca="1">_xll.BDH($C$28,"WORK_CAP_GROWTH","FQ2 2017","FQ2 2017","Currency=INR","Period=FQ","BEST_FPERIOD_OVERRIDE=FQ","FILING_STATUS=OR","EQY_CONSOLIDATED=Y","Sort=A","Dates=H","DateFormat=P","Fill=—","Direction=H","UseDPDF=Y")</f>
        <v>#NAME?</v>
      </c>
      <c r="AF45" s="1" t="e">
        <f ca="1">_xll.BDH($C$28,"ACCOUNTS_PAYABLE_GROWTH_1YR","FQ2 2017","FQ2 2017","Currency=INR","Period=FQ","BEST_FPERIOD_OVERRIDE=FQ","FILING_STATUS=OR","EQY_CONSOLIDATED=Y","Sort=A","Dates=H","DateFormat=P","Fill=—","Direction=H","UseDPDF=Y")</f>
        <v>#NAME?</v>
      </c>
      <c r="AG45" s="1" t="e">
        <f ca="1">_xll.BDH($C$28,"SHORT_TERM_DEBT_1_YEAR_GROWTH","FQ2 2017","FQ2 2017","Currency=INR","Period=FQ","BEST_FPERIOD_OVERRIDE=FQ","FILING_STATUS=OR","EQY_CONSOLIDATED=Y","Sort=A","Dates=H","DateFormat=P","Fill=—","Direction=H","UseDPDF=Y")</f>
        <v>#NAME?</v>
      </c>
      <c r="AH45" s="1" t="e">
        <f ca="1">_xll.BDH($C$28,"TOTAL_DEBT_1_YEAR_GROWTH","FQ2 2017","FQ2 2017","Currency=INR","Period=FQ","BEST_FPERIOD_OVERRIDE=FQ","FILING_STATUS=OR","EQY_CONSOLIDATED=Y","Sort=A","Dates=H","DateFormat=P","Fill=—","Direction=H","UseDPDF=Y")</f>
        <v>#NAME?</v>
      </c>
      <c r="AI45" s="1" t="e">
        <f ca="1">_xll.BDH($C$28,"TOTAL_EQUITY_1_YEAR_GROWTH","FQ2 2017","FQ2 2017","Currency=INR","Period=FQ","BEST_FPERIOD_OVERRIDE=FQ","FILING_STATUS=OR","EQY_CONSOLIDATED=Y","Sort=A","Dates=H","DateFormat=P","Fill=—","Direction=H","UseDPDF=Y")</f>
        <v>#NAME?</v>
      </c>
      <c r="AJ45" s="1" t="e">
        <f ca="1">_xll.BDH($C$28,"GROWTH_IN_CAP","FQ2 2017","FQ2 2017","Currency=INR","Period=FQ","BEST_FPERIOD_OVERRIDE=FQ","FILING_STATUS=OR","EQY_CONSOLIDATED=Y","Sort=A","Dates=H","DateFormat=P","Fill=—","Direction=H","UseDPDF=Y")</f>
        <v>#NAME?</v>
      </c>
      <c r="AK45" s="1" t="e">
        <f ca="1">_xll.BDH($C$28,"BVPS_GROWTH","FQ2 2017","FQ2 2017","Currency=INR","Period=FQ","BEST_FPERIOD_OVERRIDE=FQ","FILING_STATUS=OR","EQY_CONSOLIDATED=Y","Sort=A","Dates=H","DateFormat=P","Fill=—","Direction=H","UseDPDF=Y")</f>
        <v>#NAME?</v>
      </c>
      <c r="AL45" s="1" t="e">
        <f ca="1">_xll.BDH($C$28,"CASH_FLOW_GROWTH","FQ2 2017","FQ2 2017","Currency=INR","Period=FQ","BEST_FPERIOD_OVERRIDE=FQ","FILING_STATUS=OR","EQY_CONSOLIDATED=Y","Sort=A","Dates=H","DateFormat=P","Fill=—","Direction=H","UseDPDF=Y")</f>
        <v>#NAME?</v>
      </c>
      <c r="AM45" s="1" t="e">
        <f ca="1">_xll.BDH($C$28,"GEO_GROW_NET_SALES","FQ2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5" s="1" t="e">
        <f ca="1">_xll.BDH($C$28,"GEO_GROW_EBITDA","FQ2 2017","FQ2 2017","Currency=INR","Period=FQ","BEST_FPERIOD_OVERRIDE=FQ","FILING_STATUS=OR","EQY_CONSOLIDATED=Y","FA_ADJUSTED=GAAP","Sort=A","Dates=H","DateFormat=P","Fill=—","Direction=H","UseDPDF=Y")</f>
        <v>#NAME?</v>
      </c>
      <c r="AO45" s="1" t="e">
        <f ca="1">_xll.BDH($C$28,"GEO_GROW_OPER_INC","FQ2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5" s="1" t="e">
        <f ca="1">_xll.BDH($C$28,"NET_INCOME_TO_COMMON_5_YR_GROWTH","FQ2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5" s="1" t="e">
        <f ca="1">_xll.BDH($C$28,"5Y_GEO_GROWTH_DILUTED_EPS","FQ2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5" s="1" t="e">
        <f ca="1">_xll.BDH($C$28,"GEO_GROW_DVD_PER_SH","FQ2 2017","FQ2 2017","Currency=INR","Period=FQ","BEST_FPERIOD_OVERRIDE=FQ","FILING_STATUS=OR","EQY_CONSOLIDATED=Y","Sort=A","Dates=H","DateFormat=P","Fill=—","Direction=H","UseDPDF=Y")</f>
        <v>#NAME?</v>
      </c>
      <c r="AS45" s="1" t="e">
        <f ca="1">_xll.BDH($C$28,"ACCOUNTS_RECEIVABLE_5_YR_GROWTH","FQ2 2017","FQ2 2017","Currency=INR","Period=FQ","BEST_FPERIOD_OVERRIDE=FQ","FILING_STATUS=OR","EQY_CONSOLIDATED=Y","Sort=A","Dates=H","DateFormat=P","Fill=—","Direction=H","UseDPDF=Y")</f>
        <v>#NAME?</v>
      </c>
      <c r="AT45" s="1" t="e">
        <f ca="1">_xll.BDH($C$28,"INVENTORY_5_YEAR_GROWTH","FQ2 2017","FQ2 2017","Currency=INR","Period=FQ","BEST_FPERIOD_OVERRIDE=FQ","FILING_STATUS=OR","EQY_CONSOLIDATED=Y","Sort=A","Dates=H","DateFormat=P","Fill=—","Direction=H","UseDPDF=Y")</f>
        <v>#NAME?</v>
      </c>
      <c r="AU45" s="1" t="e">
        <f ca="1">_xll.BDH($C$28,"NET_FIXED_ASSETS_5_YEAR_GROWTH","FQ2 2017","FQ2 2017","Currency=INR","Period=FQ","BEST_FPERIOD_OVERRIDE=FQ","FILING_STATUS=OR","EQY_CONSOLIDATED=Y","Sort=A","Dates=H","DateFormat=P","Fill=—","Direction=H","UseDPDF=Y")</f>
        <v>#NAME?</v>
      </c>
      <c r="AV45" s="1" t="e">
        <f ca="1">_xll.BDH($C$28,"GEO_GROW_TOT_ASSET","FQ2 2017","FQ2 2017","Currency=INR","Period=FQ","BEST_FPERIOD_OVERRIDE=FQ","FILING_STATUS=OR","EQY_CONSOLIDATED=Y","Sort=A","Dates=H","DateFormat=P","Fill=—","Direction=H","UseDPDF=Y")</f>
        <v>#NAME?</v>
      </c>
      <c r="AW45" s="1" t="e">
        <f ca="1">_xll.BDH($C$28,"MODIFIED_WORKING_CPTL_5YR_GRWTH","FQ2 2017","FQ2 2017","Currency=INR","Period=FQ","BEST_FPERIOD_OVERRIDE=FQ","FILING_STATUS=OR","EQY_CONSOLIDATED=Y","Sort=A","Dates=H","DateFormat=P","Fill=—","Direction=H","UseDPDF=Y")</f>
        <v>#NAME?</v>
      </c>
      <c r="AX45" s="1" t="e">
        <f ca="1">_xll.BDH($C$28,"WORKING_CAPITAL_5_YEAR_GROWTH","FQ2 2017","FQ2 2017","Currency=INR","Period=FQ","BEST_FPERIOD_OVERRIDE=FQ","FILING_STATUS=OR","EQY_CONSOLIDATED=Y","Sort=A","Dates=H","DateFormat=P","Fill=—","Direction=H","UseDPDF=Y")</f>
        <v>#NAME?</v>
      </c>
      <c r="AY45" s="1" t="e">
        <f ca="1">_xll.BDH($C$28,"ACCOUNTS_PAYABLE_5_YEAR_GROWTH","FQ2 2017","FQ2 2017","Currency=INR","Period=FQ","BEST_FPERIOD_OVERRIDE=FQ","FILING_STATUS=OR","EQY_CONSOLIDATED=Y","Sort=A","Dates=H","DateFormat=P","Fill=—","Direction=H","UseDPDF=Y")</f>
        <v>#NAME?</v>
      </c>
      <c r="AZ45" s="1" t="e">
        <f ca="1">_xll.BDH($C$28,"SHORT_TERM_DEBT_5_YEAR_GROWTH","FQ2 2017","FQ2 2017","Currency=INR","Period=FQ","BEST_FPERIOD_OVERRIDE=FQ","FILING_STATUS=OR","EQY_CONSOLIDATED=Y","Sort=A","Dates=H","DateFormat=P","Fill=—","Direction=H","UseDPDF=Y")</f>
        <v>#NAME?</v>
      </c>
      <c r="BA45" s="1" t="e">
        <f ca="1">_xll.BDH($C$28,"TOTAL_DEBT_5_YEAR_GROWTH","FQ2 2017","FQ2 2017","Currency=INR","Period=FQ","BEST_FPERIOD_OVERRIDE=FQ","FILING_STATUS=OR","EQY_CONSOLIDATED=Y","Sort=A","Dates=H","DateFormat=P","Fill=—","Direction=H","UseDPDF=Y")</f>
        <v>#NAME?</v>
      </c>
      <c r="BB45" s="1" t="e">
        <f ca="1">_xll.BDH($C$28,"GEO_GROW_TOT_SHRHLDR_EQY","FQ2 2017","FQ2 2017","Currency=INR","Period=FQ","BEST_FPERIOD_OVERRIDE=FQ","FILING_STATUS=OR","EQY_CONSOLIDATED=Y","Sort=A","Dates=H","DateFormat=P","Fill=—","Direction=H","UseDPDF=Y")</f>
        <v>#NAME?</v>
      </c>
      <c r="BC45" s="1" t="e">
        <f ca="1">_xll.BDH($C$28,"TOTAL_CAPITAL_5_YEAR_GROWTH","FQ2 2017","FQ2 2017","Currency=INR","Period=FQ","BEST_FPERIOD_OVERRIDE=FQ","FILING_STATUS=OR","EQY_CONSOLIDATED=Y","Sort=A","Dates=H","DateFormat=P","Fill=—","Direction=H","UseDPDF=Y")</f>
        <v>#NAME?</v>
      </c>
      <c r="BD45" s="1" t="e">
        <f ca="1">_xll.BDH($C$28,"GEO_GROW_BOOK_VAL","FQ2 2017","FQ2 2017","Currency=INR","Period=FQ","BEST_FPERIOD_OVERRIDE=FQ","FILING_STATUS=OR","EQY_CONSOLIDATED=Y","Sort=A","Dates=H","DateFormat=P","Fill=—","Direction=H","UseDPDF=Y")</f>
        <v>#NAME?</v>
      </c>
      <c r="BE45" s="1" t="e">
        <f ca="1">_xll.BDH($C$28,"GEO_GROW_CASH_OPER_ACT","FQ2 2017","FQ2 2017","Currency=INR","Period=FQ","BEST_FPERIOD_OVERRIDE=FQ","FILING_STATUS=OR","EQY_CONSOLIDATED=Y","Sort=A","Dates=H","DateFormat=P","Fill=—","Direction=H","UseDPDF=Y")</f>
        <v>#NAME?</v>
      </c>
      <c r="BF45" s="1" t="e">
        <f ca="1">_xll.BDH($C$28,"REVENUE_SEQUENTIAL_GROWTH","FQ2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5" s="1" t="e">
        <f ca="1">_xll.BDH($C$28,"EBITDA_SEQUENTIAL_GROWTH","FQ2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5" s="1" t="e">
        <f ca="1">_xll.BDH($C$28,"OPERATING_INCOME_SEQ_GROWTH","FQ2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5" s="1" t="e">
        <f ca="1">_xll.BDH($C$28,"NET_INCOME_TO_COMMON_SEQ_GROWTH","FQ2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5" s="1" t="e">
        <f ca="1">_xll.BDH($C$28,"EPS_DILUTED_SEQUENTIAL_GROWTH","FQ2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5" s="1" t="e">
        <f ca="1">_xll.BDH($C$28,"DPS_SEQUENTIAL_GROWTH","FQ2 2017","FQ2 2017","Currency=INR","Period=FQ","BEST_FPERIOD_OVERRIDE=FQ","FILING_STATUS=OR","EQY_CONSOLIDATED=Y","Sort=A","Dates=H","DateFormat=P","Fill=—","Direction=H","UseDPDF=Y")</f>
        <v>#NAME?</v>
      </c>
      <c r="BL45" s="1" t="e">
        <f ca="1">_xll.BDH($C$28,"ACCOUNTS_RECEIVABLE_SEQ_GROWTH","FQ2 2017","FQ2 2017","Currency=INR","Period=FQ","BEST_FPERIOD_OVERRIDE=FQ","FILING_STATUS=OR","EQY_CONSOLIDATED=Y","Sort=A","Dates=H","DateFormat=P","Fill=—","Direction=H","UseDPDF=Y")</f>
        <v>#NAME?</v>
      </c>
      <c r="BM45" s="1" t="e">
        <f ca="1">_xll.BDH($C$28,"INVENTORY_SEQUENTIAL_GROWTH","FQ2 2017","FQ2 2017","Currency=INR","Period=FQ","BEST_FPERIOD_OVERRIDE=FQ","FILING_STATUS=OR","EQY_CONSOLIDATED=Y","Sort=A","Dates=H","DateFormat=P","Fill=—","Direction=H","UseDPDF=Y")</f>
        <v>#NAME?</v>
      </c>
      <c r="BN45" s="1" t="e">
        <f ca="1">_xll.BDH($C$28,"FIXED_ASSETS_SEQUENTIAL_GROWTH","FQ2 2017","FQ2 2017","Currency=INR","Period=FQ","BEST_FPERIOD_OVERRIDE=FQ","FILING_STATUS=OR","EQY_CONSOLIDATED=Y","Sort=A","Dates=H","DateFormat=P","Fill=—","Direction=H","UseDPDF=Y")</f>
        <v>#NAME?</v>
      </c>
      <c r="BO45" s="1" t="e">
        <f ca="1">_xll.BDH($C$28,"TOTAL_ASSETS_SEQUENTIAL_GROWTH","FQ2 2017","FQ2 2017","Currency=INR","Period=FQ","BEST_FPERIOD_OVERRIDE=FQ","FILING_STATUS=OR","EQY_CONSOLIDATED=Y","Sort=A","Dates=H","DateFormat=P","Fill=—","Direction=H","UseDPDF=Y")</f>
        <v>#NAME?</v>
      </c>
      <c r="BP45" s="1" t="e">
        <f ca="1">_xll.BDH($C$28,"MODIFIED_WORKING_CPTL_SEQ_GRWTH","FQ2 2017","FQ2 2017","Currency=INR","Period=FQ","BEST_FPERIOD_OVERRIDE=FQ","FILING_STATUS=OR","EQY_CONSOLIDATED=Y","Sort=A","Dates=H","DateFormat=P","Fill=—","Direction=H","UseDPDF=Y")</f>
        <v>#NAME?</v>
      </c>
      <c r="BQ45" s="1" t="e">
        <f ca="1">_xll.BDH($C$28,"WORKING_CAPITAL_SEQ_GROWTH","FQ2 2017","FQ2 2017","Currency=INR","Period=FQ","BEST_FPERIOD_OVERRIDE=FQ","FILING_STATUS=OR","EQY_CONSOLIDATED=Y","Sort=A","Dates=H","DateFormat=P","Fill=—","Direction=H","UseDPDF=Y")</f>
        <v>#NAME?</v>
      </c>
      <c r="BR45" s="1" t="e">
        <f ca="1">_xll.BDH($C$28,"ACCOUNTS_PAYABLE_SEQ_GROWTH","FQ2 2017","FQ2 2017","Currency=INR","Period=FQ","BEST_FPERIOD_OVERRIDE=FQ","FILING_STATUS=OR","EQY_CONSOLIDATED=Y","Sort=A","Dates=H","DateFormat=P","Fill=—","Direction=H","UseDPDF=Y")</f>
        <v>#NAME?</v>
      </c>
      <c r="BS45" s="1" t="e">
        <f ca="1">_xll.BDH($C$28,"ST_DEBT_SEQUENTIAL_GROWTH","FQ2 2017","FQ2 2017","Currency=INR","Period=FQ","BEST_FPERIOD_OVERRIDE=FQ","FILING_STATUS=OR","EQY_CONSOLIDATED=Y","Sort=A","Dates=H","DateFormat=P","Fill=—","Direction=H","UseDPDF=Y")</f>
        <v>#NAME?</v>
      </c>
      <c r="BT45" s="1" t="e">
        <f ca="1">_xll.BDH($C$28,"TOTAL_DEBT_SEQUENTIAL_GROWTH","FQ2 2017","FQ2 2017","Currency=INR","Period=FQ","BEST_FPERIOD_OVERRIDE=FQ","FILING_STATUS=OR","EQY_CONSOLIDATED=Y","Sort=A","Dates=H","DateFormat=P","Fill=—","Direction=H","UseDPDF=Y")</f>
        <v>#NAME?</v>
      </c>
      <c r="BU45" s="1" t="e">
        <f ca="1">_xll.BDH($C$28,"TOTAL_EQUITY_SEQUENTIAL_GROWTH","FQ2 2017","FQ2 2017","Currency=INR","Period=FQ","BEST_FPERIOD_OVERRIDE=FQ","FILING_STATUS=OR","EQY_CONSOLIDATED=Y","Sort=A","Dates=H","DateFormat=P","Fill=—","Direction=H","UseDPDF=Y")</f>
        <v>#NAME?</v>
      </c>
      <c r="BV45" s="1" t="e">
        <f ca="1">_xll.BDH($C$28,"TOTAL_CAPITAL_SEQUENTIAL_GROWTH","FQ2 2017","FQ2 2017","Currency=INR","Period=FQ","BEST_FPERIOD_OVERRIDE=FQ","FILING_STATUS=OR","EQY_CONSOLIDATED=Y","Sort=A","Dates=H","DateFormat=P","Fill=—","Direction=H","UseDPDF=Y")</f>
        <v>#NAME?</v>
      </c>
      <c r="BW45" s="1" t="e">
        <f ca="1">_xll.BDH($C$28,"BPS_SEQUENTIAL_GROWTH","FQ2 2017","FQ2 2017","Currency=INR","Period=FQ","BEST_FPERIOD_OVERRIDE=FQ","FILING_STATUS=OR","EQY_CONSOLIDATED=Y","Sort=A","Dates=H","DateFormat=P","Fill=—","Direction=H","UseDPDF=Y")</f>
        <v>#NAME?</v>
      </c>
      <c r="BX45" s="1" t="e">
        <f ca="1">_xll.BDH($C$28,"CFO_SEQUENTIAL_GROWTH","FQ2 2017","FQ2 2017","Currency=INR","Period=FQ","BEST_FPERIOD_OVERRIDE=FQ","FILING_STATUS=OR","EQY_CONSOLIDATED=Y","Sort=A","Dates=H","DateFormat=P","Fill=—","Direction=H","UseDPDF=Y")</f>
        <v>#NAME?</v>
      </c>
      <c r="BY45" s="2" t="e">
        <f ca="1">_xll.BDH($C$28,"SHORT_AND_LONG_TERM_DEBT","FQ2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5" s="2" t="e">
        <f ca="1">_xll.BDH($C$28,"BS_ST_BORROW","FQ2 2017","FQ2 2017","Currency=INR","Period=FQ","BEST_FPERIOD_OVERRIDE=FQ","FILING_STATUS=OR","EQY_CONSOLIDATED=Y","SCALING_FORMAT=MLN","Sort=A","Dates=H","DateFormat=P","Fill=—","Direction=H","UseDPDF=Y")</f>
        <v>#NAME?</v>
      </c>
      <c r="CA45" s="2" t="e">
        <f ca="1">_xll.BDH($C$28,"BS_LT_BORROW","FQ2 2017","FQ2 2017","Currency=INR","Period=FQ","BEST_FPERIOD_OVERRIDE=FQ","FILING_STATUS=OR","EQY_CONSOLIDATED=Y","SCALING_FORMAT=MLN","Sort=A","Dates=H","DateFormat=P","Fill=—","Direction=H","UseDPDF=Y")</f>
        <v>#NAME?</v>
      </c>
      <c r="CB45" s="1" t="e">
        <f ca="1">_xll.BDH($C$28,"TOT_DEBT_TO_EBITDA","FQ2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5" s="1" t="e">
        <f ca="1">_xll.BDH($C$28,"NET_DEBT_TO_EBITDA","FQ2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5" s="1" t="e">
        <f ca="1">_xll.BDH($C$28,"TOTAL_DEBT_TO_EBIT","FQ2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5" s="1" t="e">
        <f ca="1">_xll.BDH($C$28,"NET_DEBT_TO_EBIT","FQ2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45" s="1" t="e">
        <f ca="1">_xll.BDH($C$28,"EBITDA_TO_INTEREST_EXPN","FQ2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5" s="1" t="e">
        <f ca="1">_xll.BDH($C$28,"COM_EQY_TO_TOT_ASSET","FQ2 2017","FQ2 2017","Currency=INR","Period=FQ","BEST_FPERIOD_OVERRIDE=FQ","FILING_STATUS=OR","EQY_CONSOLIDATED=Y","Sort=A","Dates=H","DateFormat=P","Fill=—","Direction=H","UseDPDF=Y")</f>
        <v>#NAME?</v>
      </c>
      <c r="CH45" s="1" t="e">
        <f ca="1">_xll.BDH($C$28,"LT_DEBT_TO_TOT_EQY","FQ2 2017","FQ2 2017","Currency=INR","Period=FQ","BEST_FPERIOD_OVERRIDE=FQ","FILING_STATUS=OR","EQY_CONSOLIDATED=Y","Sort=A","Dates=H","DateFormat=P","Fill=—","Direction=H","UseDPDF=Y")</f>
        <v>#NAME?</v>
      </c>
      <c r="CI45" s="1" t="e">
        <f ca="1">_xll.BDH($C$28,"LT_DEBT_TO_TOT_CAP","FQ2 2017","FQ2 2017","Currency=INR","Period=FQ","BEST_FPERIOD_OVERRIDE=FQ","FILING_STATUS=OR","EQY_CONSOLIDATED=Y","Sort=A","Dates=H","DateFormat=P","Fill=—","Direction=H","UseDPDF=Y")</f>
        <v>#NAME?</v>
      </c>
      <c r="CJ45" s="1" t="e">
        <f ca="1">_xll.BDH($C$28,"LT_DEBT_TO_TOT_ASSET","FQ2 2017","FQ2 2017","Currency=INR","Period=FQ","BEST_FPERIOD_OVERRIDE=FQ","FILING_STATUS=OR","EQY_CONSOLIDATED=Y","Sort=A","Dates=H","DateFormat=P","Fill=—","Direction=H","UseDPDF=Y")</f>
        <v>#NAME?</v>
      </c>
      <c r="CK45" s="1" t="e">
        <f ca="1">_xll.BDH($C$28,"TOT_DEBT_TO_TOT_EQY","FQ2 2017","FQ2 2017","Currency=INR","Period=FQ","BEST_FPERIOD_OVERRIDE=FQ","FILING_STATUS=OR","EQY_CONSOLIDATED=Y","Sort=A","Dates=H","DateFormat=P","Fill=—","Direction=H","UseDPDF=Y")</f>
        <v>#NAME?</v>
      </c>
      <c r="CL45" s="1" t="e">
        <f ca="1">_xll.BDH($C$28,"TOT_DEBT_TO_TOT_CAP","FQ2 2017","FQ2 2017","Currency=INR","Period=FQ","BEST_FPERIOD_OVERRIDE=FQ","FILING_STATUS=OR","EQY_CONSOLIDATED=Y","Sort=A","Dates=H","DateFormat=P","Fill=—","Direction=H","UseDPDF=Y")</f>
        <v>#NAME?</v>
      </c>
      <c r="CM45" s="1" t="e">
        <f ca="1">_xll.BDH($C$28,"TOT_DEBT_TO_TOT_ASSET","FQ2 2017","FQ2 2017","Currency=INR","Period=FQ","BEST_FPERIOD_OVERRIDE=FQ","FILING_STATUS=OR","EQY_CONSOLIDATED=Y","Sort=A","Dates=H","DateFormat=P","Fill=—","Direction=H","UseDPDF=Y")</f>
        <v>#NAME?</v>
      </c>
      <c r="CN45" s="1" t="e">
        <f ca="1">_xll.BDH($C$28,"NET_DEBT_TO_SHRHLDR_EQTY","FQ2 2017","FQ2 2017","Currency=INR","Period=FQ","BEST_FPERIOD_OVERRIDE=FQ","FILING_STATUS=OR","EQY_CONSOLIDATED=Y","Sort=A","Dates=H","DateFormat=P","Fill=—","Direction=H","UseDPDF=Y")</f>
        <v>#NAME?</v>
      </c>
      <c r="CO45" s="1" t="e">
        <f ca="1">_xll.BDH($C$28,"NET_DEBT_%_CAPITAL","FQ2 2017","FQ2 2017","Currency=INR","Period=FQ","BEST_FPERIOD_OVERRIDE=FQ","FILING_STATUS=OR","EQY_CONSOLIDATED=Y","Sort=A","Dates=H","DateFormat=P","Fill=—","Direction=H","UseDPDF=Y")</f>
        <v>#NAME?</v>
      </c>
      <c r="CP45" s="2" t="e">
        <f ca="1">_xll.BDH($C$28,"EBITDA","FQ2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5" s="2" t="e">
        <f ca="1">_xll.BDH($C$28,"EBITDA_AFTER_CAPEX","FQ2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5" s="2" t="e">
        <f ca="1">_xll.BDH($C$28,"IS_OPER_INC","FQ2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5" s="1" t="e">
        <f ca="1">_xll.BDH($C$28,"CASH_RATIO","FQ2 2017","FQ2 2017","Currency=INR","Period=FQ","BEST_FPERIOD_OVERRIDE=FQ","FILING_STATUS=OR","EQY_CONSOLIDATED=Y","Sort=A","Dates=H","DateFormat=P","Fill=—","Direction=H","UseDPDF=Y")</f>
        <v>#NAME?</v>
      </c>
      <c r="CT45" s="1" t="e">
        <f ca="1">_xll.BDH($C$28,"CUR_RATIO","FQ2 2017","FQ2 2017","Currency=INR","Period=FQ","BEST_FPERIOD_OVERRIDE=FQ","FILING_STATUS=OR","EQY_CONSOLIDATED=Y","Sort=A","Dates=H","DateFormat=P","Fill=—","Direction=H","UseDPDF=Y")</f>
        <v>#NAME?</v>
      </c>
      <c r="CU45" s="1" t="e">
        <f ca="1">_xll.BDH($C$28,"QUICK_RATIO","FQ2 2017","FQ2 2017","Currency=INR","Period=FQ","BEST_FPERIOD_OVERRIDE=FQ","FILING_STATUS=OR","EQY_CONSOLIDATED=Y","Sort=A","Dates=H","DateFormat=P","Fill=—","Direction=H","UseDPDF=Y")</f>
        <v>#NAME?</v>
      </c>
      <c r="CV45" s="1" t="e">
        <f ca="1">_xll.BDH($C$28,"ALTMAN_Z_SCORE","FQ2 2017","FQ2 2017","Currency=INR","Period=FQ","BEST_FPERIOD_OVERRIDE=FQ","FILING_STATUS=OR","EQY_CONSOLIDATED=Y","Sort=A","Dates=H","DateFormat=P","Fill=—","Direction=H","UseDPDF=Y")</f>
        <v>#NAME?</v>
      </c>
      <c r="CW45" s="3" t="e">
        <f ca="1">_xll.BDH($C$28,"ACCT_RCV_TURN","FQ2 2017","FQ2 2017","Currency=INR","Period=FQ","BEST_FPERIOD_OVERRIDE=FQ","FILING_STATUS=OR","EQY_CONSOLIDATED=Y","FA_ADJUSTED=GAAP","Sort=A","Dates=H","DateFormat=P","Fill=—","Direction=H","UseDPDF=Y")</f>
        <v>#NAME?</v>
      </c>
      <c r="CX45" s="1" t="e">
        <f ca="1">_xll.BDH($C$28,"ACCT_RCV_DAYS","FQ2 2017","FQ2 2017","Currency=INR","Period=FQ","BEST_FPERIOD_OVERRIDE=FQ","FILING_STATUS=OR","EQY_CONSOLIDATED=Y","FA_ADJUSTED=GAAP","Sort=A","Dates=H","DateFormat=P","Fill=—","Direction=H","UseDPDF=Y")</f>
        <v>#NAME?</v>
      </c>
      <c r="CY45" s="3" t="e">
        <f ca="1">_xll.BDH($C$28,"INVENT_TURN","FQ2 2017","FQ2 2017","Currency=INR","Period=FQ","BEST_FPERIOD_OVERRIDE=FQ","FILING_STATUS=OR","EQY_CONSOLIDATED=Y","FA_ADJUSTED=GAAP","Sort=A","Dates=H","DateFormat=P","Fill=—","Direction=H","UseDPDF=Y")</f>
        <v>#NAME?</v>
      </c>
      <c r="CZ45" s="1" t="e">
        <f ca="1">_xll.BDH($C$28,"INVENT_DAYS","FQ2 2017","FQ2 2017","Currency=INR","Period=FQ","BEST_FPERIOD_OVERRIDE=FQ","FILING_STATUS=OR","EQY_CONSOLIDATED=Y","FA_ADJUSTED=GAAP","Sort=A","Dates=H","DateFormat=P","Fill=—","Direction=H","UseDPDF=Y")</f>
        <v>#NAME?</v>
      </c>
      <c r="DA45" s="3" t="e">
        <f ca="1">_xll.BDH($C$28,"ACCOUNTS_PAYABLE_TURNOVER","FQ2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5" s="1" t="e">
        <f ca="1">_xll.BDH($C$28,"ACCOUNTS_PAYABLE_TURNOVER_DAYS","FQ2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5" s="3" t="e">
        <f ca="1">_xll.BDH($C$28,"CASH_CONVERSION_CYCLE","FQ2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5" s="3" t="e">
        <f ca="1">_xll.BDH($C$28,"INV_TO_CASH_DAYS","FQ2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45" s="4" t="e">
        <f ca="1">_xll.BDH($C$28,"BS_INVENTORIES","FQ2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45" s="2" t="e">
        <f ca="1">_xll.BDH($C$28,"INVTRY_RAW_MATERIALS","FQ2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5" s="2" t="e">
        <f ca="1">_xll.BDH($C$28,"INVTRY_IN_PROGRESS","FQ2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5" s="2" t="e">
        <f ca="1">_xll.BDH($C$28,"INVTRY_FINISHED_GOODS","FQ2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5" s="2" t="e">
        <f ca="1">_xll.BDH($C$28,"BS_OTHER_INV","FQ2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6" spans="1:113" x14ac:dyDescent="0.3">
      <c r="A46" s="6"/>
      <c r="B46" s="6"/>
      <c r="C46" s="6"/>
      <c r="D46" s="6"/>
      <c r="E46" t="s">
        <v>6</v>
      </c>
      <c r="F46" t="e">
        <f ca="1">_xll.BDH($C$28,"RETURN_COM_EQY","FQ3 2017","FQ3 2017","Currency=INR","Period=FQ","BEST_FPERIOD_OVERRIDE=FQ","FILING_STATUS=OR","EQY_CONSOLIDATED=Y","FA_ADJUSTED=GAAP","Sort=A","Dates=H","DateFormat=P","Fill=—","Direction=H","UseDPDF=Y")</f>
        <v>#NAME?</v>
      </c>
      <c r="G46" t="e">
        <f ca="1">_xll.BDH($C$28,"RETURN_ON_ASSET","FQ3 2017","FQ3 2017","Currency=INR","Period=FQ","BEST_FPERIOD_OVERRIDE=FQ","FILING_STATUS=OR","EQY_CONSOLIDATED=Y","FA_ADJUSTED=GAAP","Sort=A","Dates=H","DateFormat=P","Fill=—","Direction=H","UseDPDF=Y")</f>
        <v>#NAME?</v>
      </c>
      <c r="H46" t="e">
        <f ca="1">_xll.BDH($C$28,"RETURN_ON_CAP","FQ3 2017","FQ3 2017","Currency=INR","Period=FQ","BEST_FPERIOD_OVERRIDE=FQ","FILING_STATUS=OR","EQY_CONSOLIDATED=Y","FA_ADJUSTED=GAAP","Sort=A","Dates=H","DateFormat=P","Fill=—","Direction=H","UseDPDF=Y")</f>
        <v>#NAME?</v>
      </c>
      <c r="I46" t="e">
        <f ca="1">_xll.BDH($C$28,"RETURN_ON_INV_CAPITAL","FQ3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6" t="e">
        <f ca="1">_xll.BDH($C$28,"EBITDA_TO_REVENUE","FQ3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46" t="e">
        <f ca="1">_xll.BDH($C$28,"OPER_MARGIN","FQ3 2017","FQ3 2017","Currency=INR","Period=FQ","BEST_FPERIOD_OVERRIDE=FQ","FILING_STATUS=OR","EQY_CONSOLIDATED=Y","FA_ADJUSTED=GAAP","Sort=A","Dates=H","DateFormat=P","Fill=—","Direction=H","UseDPDF=Y")</f>
        <v>#NAME?</v>
      </c>
      <c r="L46" t="e">
        <f ca="1">_xll.BDH($C$28,"INCREMENTAL_OPERATING_MARGIN","FQ3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6" t="e">
        <f ca="1">_xll.BDH($C$28,"PRETAX_INC_TO_NET_SALES","FQ3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6" t="e">
        <f ca="1">_xll.BDH($C$28,"INC_BEF_XO_ITEMS_TO_NET_SALES","FQ3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6" t="e">
        <f ca="1">_xll.BDH($C$28,"PROF_MARGIN","FQ3 2017","FQ3 2017","Currency=INR","Period=FQ","BEST_FPERIOD_OVERRIDE=FQ","FILING_STATUS=OR","EQY_CONSOLIDATED=Y","FA_ADJUSTED=GAAP","Sort=A","Dates=H","DateFormat=P","Fill=—","Direction=H","UseDPDF=Y")</f>
        <v>#NAME?</v>
      </c>
      <c r="P46" t="e">
        <f ca="1">_xll.BDH($C$28,"NET_INCOME_TO_COMMON_MARGIN","FQ3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6" t="e">
        <f ca="1">_xll.BDH($C$28,"EFF_TAX_RATE","FQ3 2017","FQ3 2017","Currency=INR","Period=FQ","BEST_FPERIOD_OVERRIDE=FQ","FILING_STATUS=OR","EQY_CONSOLIDATED=Y","FA_ADJUSTED=GAAP","Sort=A","Dates=H","DateFormat=P","Fill=—","Direction=H","UseDPDF=Y")</f>
        <v>#NAME?</v>
      </c>
      <c r="R46" t="e">
        <f ca="1">_xll.BDH($C$28,"DVD_PAYOUT_RATIO","FQ3 2017","FQ3 2017","Currency=INR","Period=FQ","BEST_FPERIOD_OVERRIDE=FQ","FILING_STATUS=OR","EQY_CONSOLIDATED=Y","FA_ADJUSTED=GAAP","Sort=A","Dates=H","DateFormat=P","Fill=—","Direction=H","UseDPDF=Y")</f>
        <v>#NAME?</v>
      </c>
      <c r="S46" t="e">
        <f ca="1">_xll.BDH($C$28,"SUSTAIN_GROWTH_RT","FQ3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46" s="1" t="e">
        <f ca="1">_xll.BDH($C$28,"SALES_GROWTH","FQ3 2017","FQ3 2017","Currency=INR","Period=FQ","BEST_FPERIOD_OVERRIDE=FQ","FILING_STATUS=OR","EQY_CONSOLIDATED=Y","FA_ADJUSTED=GAAP","Sort=A","Dates=H","DateFormat=P","Fill=—","Direction=H","UseDPDF=Y")</f>
        <v>#NAME?</v>
      </c>
      <c r="U46" s="1" t="e">
        <f ca="1">_xll.BDH($C$28,"EBITDA_GROWTH","FQ3 2017","FQ3 2017","Currency=INR","Period=FQ","BEST_FPERIOD_OVERRIDE=FQ","FILING_STATUS=OR","EQY_CONSOLIDATED=Y","FA_ADJUSTED=GAAP","Sort=A","Dates=H","DateFormat=P","Fill=—","Direction=H","UseDPDF=Y")</f>
        <v>#NAME?</v>
      </c>
      <c r="V46" s="1" t="e">
        <f ca="1">_xll.BDH($C$28,"OPER_INC_GROWTH","FQ3 2017","FQ3 2017","Currency=INR","Period=FQ","BEST_FPERIOD_OVERRIDE=FQ","FILING_STATUS=OR","EQY_CONSOLIDATED=Y","FA_ADJUSTED=GAAP","Sort=A","Dates=H","DateFormat=P","Fill=—","Direction=H","UseDPDF=Y")</f>
        <v>#NAME?</v>
      </c>
      <c r="W46" s="1" t="e">
        <f ca="1">_xll.BDH($C$28,"EARN_FOR_COM_GROWTH","FQ3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6" s="1" t="e">
        <f ca="1">_xll.BDH($C$28,"DILUTED_EPS_AFT_XO_ITEMS_GROWTH","FQ3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6" s="1" t="e">
        <f ca="1">_xll.BDH($C$28,"DIVIDEND_PER_SHARE_1_YEAR_GROWTH","FQ3 2017","FQ3 2017","Currency=INR","Period=FQ","BEST_FPERIOD_OVERRIDE=FQ","FILING_STATUS=OR","EQY_CONSOLIDATED=Y","Sort=A","Dates=H","DateFormat=P","Fill=—","Direction=H","UseDPDF=Y")</f>
        <v>#NAME?</v>
      </c>
      <c r="Z46" s="1" t="e">
        <f ca="1">_xll.BDH($C$28,"ACCOUNTS_RECEIVABLE_GROWTH","FQ3 2017","FQ3 2017","Currency=INR","Period=FQ","BEST_FPERIOD_OVERRIDE=FQ","FILING_STATUS=OR","EQY_CONSOLIDATED=Y","Sort=A","Dates=H","DateFormat=P","Fill=—","Direction=H","UseDPDF=Y")</f>
        <v>#NAME?</v>
      </c>
      <c r="AA46" s="1" t="e">
        <f ca="1">_xll.BDH($C$28,"INVENTORY_GROWTH","FQ3 2017","FQ3 2017","Currency=INR","Period=FQ","BEST_FPERIOD_OVERRIDE=FQ","FILING_STATUS=OR","EQY_CONSOLIDATED=Y","Sort=A","Dates=H","DateFormat=P","Fill=—","Direction=H","UseDPDF=Y")</f>
        <v>#NAME?</v>
      </c>
      <c r="AB46" s="1" t="e">
        <f ca="1">_xll.BDH($C$28,"NET_FIXED_ASSETS_1_YEAR_GROWTH","FQ3 2017","FQ3 2017","Currency=INR","Period=FQ","BEST_FPERIOD_OVERRIDE=FQ","FILING_STATUS=OR","EQY_CONSOLIDATED=Y","Sort=A","Dates=H","DateFormat=P","Fill=—","Direction=H","UseDPDF=Y")</f>
        <v>#NAME?</v>
      </c>
      <c r="AC46" s="1" t="e">
        <f ca="1">_xll.BDH($C$28,"ASSET_GROWTH","FQ3 2017","FQ3 2017","Currency=INR","Period=FQ","BEST_FPERIOD_OVERRIDE=FQ","FILING_STATUS=OR","EQY_CONSOLIDATED=Y","Sort=A","Dates=H","DateFormat=P","Fill=—","Direction=H","UseDPDF=Y")</f>
        <v>#NAME?</v>
      </c>
      <c r="AD46" s="1" t="e">
        <f ca="1">_xll.BDH($C$28,"MODIFIED_WORK_CAP_GROWTH","FQ3 2017","FQ3 2017","Currency=INR","Period=FQ","BEST_FPERIOD_OVERRIDE=FQ","FILING_STATUS=OR","EQY_CONSOLIDATED=Y","Sort=A","Dates=H","DateFormat=P","Fill=—","Direction=H","UseDPDF=Y")</f>
        <v>#NAME?</v>
      </c>
      <c r="AE46" s="1" t="e">
        <f ca="1">_xll.BDH($C$28,"WORK_CAP_GROWTH","FQ3 2017","FQ3 2017","Currency=INR","Period=FQ","BEST_FPERIOD_OVERRIDE=FQ","FILING_STATUS=OR","EQY_CONSOLIDATED=Y","Sort=A","Dates=H","DateFormat=P","Fill=—","Direction=H","UseDPDF=Y")</f>
        <v>#NAME?</v>
      </c>
      <c r="AF46" s="1" t="e">
        <f ca="1">_xll.BDH($C$28,"ACCOUNTS_PAYABLE_GROWTH_1YR","FQ3 2017","FQ3 2017","Currency=INR","Period=FQ","BEST_FPERIOD_OVERRIDE=FQ","FILING_STATUS=OR","EQY_CONSOLIDATED=Y","Sort=A","Dates=H","DateFormat=P","Fill=—","Direction=H","UseDPDF=Y")</f>
        <v>#NAME?</v>
      </c>
      <c r="AG46" s="1" t="e">
        <f ca="1">_xll.BDH($C$28,"SHORT_TERM_DEBT_1_YEAR_GROWTH","FQ3 2017","FQ3 2017","Currency=INR","Period=FQ","BEST_FPERIOD_OVERRIDE=FQ","FILING_STATUS=OR","EQY_CONSOLIDATED=Y","Sort=A","Dates=H","DateFormat=P","Fill=—","Direction=H","UseDPDF=Y")</f>
        <v>#NAME?</v>
      </c>
      <c r="AH46" s="1" t="e">
        <f ca="1">_xll.BDH($C$28,"TOTAL_DEBT_1_YEAR_GROWTH","FQ3 2017","FQ3 2017","Currency=INR","Period=FQ","BEST_FPERIOD_OVERRIDE=FQ","FILING_STATUS=OR","EQY_CONSOLIDATED=Y","Sort=A","Dates=H","DateFormat=P","Fill=—","Direction=H","UseDPDF=Y")</f>
        <v>#NAME?</v>
      </c>
      <c r="AI46" s="1" t="e">
        <f ca="1">_xll.BDH($C$28,"TOTAL_EQUITY_1_YEAR_GROWTH","FQ3 2017","FQ3 2017","Currency=INR","Period=FQ","BEST_FPERIOD_OVERRIDE=FQ","FILING_STATUS=OR","EQY_CONSOLIDATED=Y","Sort=A","Dates=H","DateFormat=P","Fill=—","Direction=H","UseDPDF=Y")</f>
        <v>#NAME?</v>
      </c>
      <c r="AJ46" s="1" t="e">
        <f ca="1">_xll.BDH($C$28,"GROWTH_IN_CAP","FQ3 2017","FQ3 2017","Currency=INR","Period=FQ","BEST_FPERIOD_OVERRIDE=FQ","FILING_STATUS=OR","EQY_CONSOLIDATED=Y","Sort=A","Dates=H","DateFormat=P","Fill=—","Direction=H","UseDPDF=Y")</f>
        <v>#NAME?</v>
      </c>
      <c r="AK46" s="1" t="e">
        <f ca="1">_xll.BDH($C$28,"BVPS_GROWTH","FQ3 2017","FQ3 2017","Currency=INR","Period=FQ","BEST_FPERIOD_OVERRIDE=FQ","FILING_STATUS=OR","EQY_CONSOLIDATED=Y","Sort=A","Dates=H","DateFormat=P","Fill=—","Direction=H","UseDPDF=Y")</f>
        <v>#NAME?</v>
      </c>
      <c r="AL46" s="1" t="e">
        <f ca="1">_xll.BDH($C$28,"CASH_FLOW_GROWTH","FQ3 2017","FQ3 2017","Currency=INR","Period=FQ","BEST_FPERIOD_OVERRIDE=FQ","FILING_STATUS=OR","EQY_CONSOLIDATED=Y","Sort=A","Dates=H","DateFormat=P","Fill=—","Direction=H","UseDPDF=Y")</f>
        <v>#NAME?</v>
      </c>
      <c r="AM46" s="1" t="e">
        <f ca="1">_xll.BDH($C$28,"GEO_GROW_NET_SALES","FQ3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6" s="1" t="e">
        <f ca="1">_xll.BDH($C$28,"GEO_GROW_EBITDA","FQ3 2017","FQ3 2017","Currency=INR","Period=FQ","BEST_FPERIOD_OVERRIDE=FQ","FILING_STATUS=OR","EQY_CONSOLIDATED=Y","FA_ADJUSTED=GAAP","Sort=A","Dates=H","DateFormat=P","Fill=—","Direction=H","UseDPDF=Y")</f>
        <v>#NAME?</v>
      </c>
      <c r="AO46" s="1" t="e">
        <f ca="1">_xll.BDH($C$28,"GEO_GROW_OPER_INC","FQ3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6" s="1" t="e">
        <f ca="1">_xll.BDH($C$28,"NET_INCOME_TO_COMMON_5_YR_GROWTH","FQ3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6" s="1" t="e">
        <f ca="1">_xll.BDH($C$28,"5Y_GEO_GROWTH_DILUTED_EPS","FQ3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6" s="1" t="e">
        <f ca="1">_xll.BDH($C$28,"GEO_GROW_DVD_PER_SH","FQ3 2017","FQ3 2017","Currency=INR","Period=FQ","BEST_FPERIOD_OVERRIDE=FQ","FILING_STATUS=OR","EQY_CONSOLIDATED=Y","Sort=A","Dates=H","DateFormat=P","Fill=—","Direction=H","UseDPDF=Y")</f>
        <v>#NAME?</v>
      </c>
      <c r="AS46" s="1" t="e">
        <f ca="1">_xll.BDH($C$28,"ACCOUNTS_RECEIVABLE_5_YR_GROWTH","FQ3 2017","FQ3 2017","Currency=INR","Period=FQ","BEST_FPERIOD_OVERRIDE=FQ","FILING_STATUS=OR","EQY_CONSOLIDATED=Y","Sort=A","Dates=H","DateFormat=P","Fill=—","Direction=H","UseDPDF=Y")</f>
        <v>#NAME?</v>
      </c>
      <c r="AT46" s="1" t="e">
        <f ca="1">_xll.BDH($C$28,"INVENTORY_5_YEAR_GROWTH","FQ3 2017","FQ3 2017","Currency=INR","Period=FQ","BEST_FPERIOD_OVERRIDE=FQ","FILING_STATUS=OR","EQY_CONSOLIDATED=Y","Sort=A","Dates=H","DateFormat=P","Fill=—","Direction=H","UseDPDF=Y")</f>
        <v>#NAME?</v>
      </c>
      <c r="AU46" s="1" t="e">
        <f ca="1">_xll.BDH($C$28,"NET_FIXED_ASSETS_5_YEAR_GROWTH","FQ3 2017","FQ3 2017","Currency=INR","Period=FQ","BEST_FPERIOD_OVERRIDE=FQ","FILING_STATUS=OR","EQY_CONSOLIDATED=Y","Sort=A","Dates=H","DateFormat=P","Fill=—","Direction=H","UseDPDF=Y")</f>
        <v>#NAME?</v>
      </c>
      <c r="AV46" s="1" t="e">
        <f ca="1">_xll.BDH($C$28,"GEO_GROW_TOT_ASSET","FQ3 2017","FQ3 2017","Currency=INR","Period=FQ","BEST_FPERIOD_OVERRIDE=FQ","FILING_STATUS=OR","EQY_CONSOLIDATED=Y","Sort=A","Dates=H","DateFormat=P","Fill=—","Direction=H","UseDPDF=Y")</f>
        <v>#NAME?</v>
      </c>
      <c r="AW46" s="1" t="e">
        <f ca="1">_xll.BDH($C$28,"MODIFIED_WORKING_CPTL_5YR_GRWTH","FQ3 2017","FQ3 2017","Currency=INR","Period=FQ","BEST_FPERIOD_OVERRIDE=FQ","FILING_STATUS=OR","EQY_CONSOLIDATED=Y","Sort=A","Dates=H","DateFormat=P","Fill=—","Direction=H","UseDPDF=Y")</f>
        <v>#NAME?</v>
      </c>
      <c r="AX46" s="1" t="e">
        <f ca="1">_xll.BDH($C$28,"WORKING_CAPITAL_5_YEAR_GROWTH","FQ3 2017","FQ3 2017","Currency=INR","Period=FQ","BEST_FPERIOD_OVERRIDE=FQ","FILING_STATUS=OR","EQY_CONSOLIDATED=Y","Sort=A","Dates=H","DateFormat=P","Fill=—","Direction=H","UseDPDF=Y")</f>
        <v>#NAME?</v>
      </c>
      <c r="AY46" s="1" t="e">
        <f ca="1">_xll.BDH($C$28,"ACCOUNTS_PAYABLE_5_YEAR_GROWTH","FQ3 2017","FQ3 2017","Currency=INR","Period=FQ","BEST_FPERIOD_OVERRIDE=FQ","FILING_STATUS=OR","EQY_CONSOLIDATED=Y","Sort=A","Dates=H","DateFormat=P","Fill=—","Direction=H","UseDPDF=Y")</f>
        <v>#NAME?</v>
      </c>
      <c r="AZ46" s="1" t="e">
        <f ca="1">_xll.BDH($C$28,"SHORT_TERM_DEBT_5_YEAR_GROWTH","FQ3 2017","FQ3 2017","Currency=INR","Period=FQ","BEST_FPERIOD_OVERRIDE=FQ","FILING_STATUS=OR","EQY_CONSOLIDATED=Y","Sort=A","Dates=H","DateFormat=P","Fill=—","Direction=H","UseDPDF=Y")</f>
        <v>#NAME?</v>
      </c>
      <c r="BA46" s="1" t="e">
        <f ca="1">_xll.BDH($C$28,"TOTAL_DEBT_5_YEAR_GROWTH","FQ3 2017","FQ3 2017","Currency=INR","Period=FQ","BEST_FPERIOD_OVERRIDE=FQ","FILING_STATUS=OR","EQY_CONSOLIDATED=Y","Sort=A","Dates=H","DateFormat=P","Fill=—","Direction=H","UseDPDF=Y")</f>
        <v>#NAME?</v>
      </c>
      <c r="BB46" s="1" t="e">
        <f ca="1">_xll.BDH($C$28,"GEO_GROW_TOT_SHRHLDR_EQY","FQ3 2017","FQ3 2017","Currency=INR","Period=FQ","BEST_FPERIOD_OVERRIDE=FQ","FILING_STATUS=OR","EQY_CONSOLIDATED=Y","Sort=A","Dates=H","DateFormat=P","Fill=—","Direction=H","UseDPDF=Y")</f>
        <v>#NAME?</v>
      </c>
      <c r="BC46" s="1" t="e">
        <f ca="1">_xll.BDH($C$28,"TOTAL_CAPITAL_5_YEAR_GROWTH","FQ3 2017","FQ3 2017","Currency=INR","Period=FQ","BEST_FPERIOD_OVERRIDE=FQ","FILING_STATUS=OR","EQY_CONSOLIDATED=Y","Sort=A","Dates=H","DateFormat=P","Fill=—","Direction=H","UseDPDF=Y")</f>
        <v>#NAME?</v>
      </c>
      <c r="BD46" s="1" t="e">
        <f ca="1">_xll.BDH($C$28,"GEO_GROW_BOOK_VAL","FQ3 2017","FQ3 2017","Currency=INR","Period=FQ","BEST_FPERIOD_OVERRIDE=FQ","FILING_STATUS=OR","EQY_CONSOLIDATED=Y","Sort=A","Dates=H","DateFormat=P","Fill=—","Direction=H","UseDPDF=Y")</f>
        <v>#NAME?</v>
      </c>
      <c r="BE46" s="1" t="e">
        <f ca="1">_xll.BDH($C$28,"GEO_GROW_CASH_OPER_ACT","FQ3 2017","FQ3 2017","Currency=INR","Period=FQ","BEST_FPERIOD_OVERRIDE=FQ","FILING_STATUS=OR","EQY_CONSOLIDATED=Y","Sort=A","Dates=H","DateFormat=P","Fill=—","Direction=H","UseDPDF=Y")</f>
        <v>#NAME?</v>
      </c>
      <c r="BF46" s="1" t="e">
        <f ca="1">_xll.BDH($C$28,"REVENUE_SEQUENTIAL_GROWTH","FQ3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6" s="1" t="e">
        <f ca="1">_xll.BDH($C$28,"EBITDA_SEQUENTIAL_GROWTH","FQ3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6" s="1" t="e">
        <f ca="1">_xll.BDH($C$28,"OPERATING_INCOME_SEQ_GROWTH","FQ3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6" s="1" t="e">
        <f ca="1">_xll.BDH($C$28,"NET_INCOME_TO_COMMON_SEQ_GROWTH","FQ3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6" s="1" t="e">
        <f ca="1">_xll.BDH($C$28,"EPS_DILUTED_SEQUENTIAL_GROWTH","FQ3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6" s="1" t="e">
        <f ca="1">_xll.BDH($C$28,"DPS_SEQUENTIAL_GROWTH","FQ3 2017","FQ3 2017","Currency=INR","Period=FQ","BEST_FPERIOD_OVERRIDE=FQ","FILING_STATUS=OR","EQY_CONSOLIDATED=Y","Sort=A","Dates=H","DateFormat=P","Fill=—","Direction=H","UseDPDF=Y")</f>
        <v>#NAME?</v>
      </c>
      <c r="BL46" s="1" t="e">
        <f ca="1">_xll.BDH($C$28,"ACCOUNTS_RECEIVABLE_SEQ_GROWTH","FQ3 2017","FQ3 2017","Currency=INR","Period=FQ","BEST_FPERIOD_OVERRIDE=FQ","FILING_STATUS=OR","EQY_CONSOLIDATED=Y","Sort=A","Dates=H","DateFormat=P","Fill=—","Direction=H","UseDPDF=Y")</f>
        <v>#NAME?</v>
      </c>
      <c r="BM46" s="1" t="e">
        <f ca="1">_xll.BDH($C$28,"INVENTORY_SEQUENTIAL_GROWTH","FQ3 2017","FQ3 2017","Currency=INR","Period=FQ","BEST_FPERIOD_OVERRIDE=FQ","FILING_STATUS=OR","EQY_CONSOLIDATED=Y","Sort=A","Dates=H","DateFormat=P","Fill=—","Direction=H","UseDPDF=Y")</f>
        <v>#NAME?</v>
      </c>
      <c r="BN46" s="1" t="e">
        <f ca="1">_xll.BDH($C$28,"FIXED_ASSETS_SEQUENTIAL_GROWTH","FQ3 2017","FQ3 2017","Currency=INR","Period=FQ","BEST_FPERIOD_OVERRIDE=FQ","FILING_STATUS=OR","EQY_CONSOLIDATED=Y","Sort=A","Dates=H","DateFormat=P","Fill=—","Direction=H","UseDPDF=Y")</f>
        <v>#NAME?</v>
      </c>
      <c r="BO46" s="1" t="e">
        <f ca="1">_xll.BDH($C$28,"TOTAL_ASSETS_SEQUENTIAL_GROWTH","FQ3 2017","FQ3 2017","Currency=INR","Period=FQ","BEST_FPERIOD_OVERRIDE=FQ","FILING_STATUS=OR","EQY_CONSOLIDATED=Y","Sort=A","Dates=H","DateFormat=P","Fill=—","Direction=H","UseDPDF=Y")</f>
        <v>#NAME?</v>
      </c>
      <c r="BP46" s="1" t="e">
        <f ca="1">_xll.BDH($C$28,"MODIFIED_WORKING_CPTL_SEQ_GRWTH","FQ3 2017","FQ3 2017","Currency=INR","Period=FQ","BEST_FPERIOD_OVERRIDE=FQ","FILING_STATUS=OR","EQY_CONSOLIDATED=Y","Sort=A","Dates=H","DateFormat=P","Fill=—","Direction=H","UseDPDF=Y")</f>
        <v>#NAME?</v>
      </c>
      <c r="BQ46" s="1" t="e">
        <f ca="1">_xll.BDH($C$28,"WORKING_CAPITAL_SEQ_GROWTH","FQ3 2017","FQ3 2017","Currency=INR","Period=FQ","BEST_FPERIOD_OVERRIDE=FQ","FILING_STATUS=OR","EQY_CONSOLIDATED=Y","Sort=A","Dates=H","DateFormat=P","Fill=—","Direction=H","UseDPDF=Y")</f>
        <v>#NAME?</v>
      </c>
      <c r="BR46" s="1" t="e">
        <f ca="1">_xll.BDH($C$28,"ACCOUNTS_PAYABLE_SEQ_GROWTH","FQ3 2017","FQ3 2017","Currency=INR","Period=FQ","BEST_FPERIOD_OVERRIDE=FQ","FILING_STATUS=OR","EQY_CONSOLIDATED=Y","Sort=A","Dates=H","DateFormat=P","Fill=—","Direction=H","UseDPDF=Y")</f>
        <v>#NAME?</v>
      </c>
      <c r="BS46" s="1" t="e">
        <f ca="1">_xll.BDH($C$28,"ST_DEBT_SEQUENTIAL_GROWTH","FQ3 2017","FQ3 2017","Currency=INR","Period=FQ","BEST_FPERIOD_OVERRIDE=FQ","FILING_STATUS=OR","EQY_CONSOLIDATED=Y","Sort=A","Dates=H","DateFormat=P","Fill=—","Direction=H","UseDPDF=Y")</f>
        <v>#NAME?</v>
      </c>
      <c r="BT46" s="1" t="e">
        <f ca="1">_xll.BDH($C$28,"TOTAL_DEBT_SEQUENTIAL_GROWTH","FQ3 2017","FQ3 2017","Currency=INR","Period=FQ","BEST_FPERIOD_OVERRIDE=FQ","FILING_STATUS=OR","EQY_CONSOLIDATED=Y","Sort=A","Dates=H","DateFormat=P","Fill=—","Direction=H","UseDPDF=Y")</f>
        <v>#NAME?</v>
      </c>
      <c r="BU46" s="1" t="e">
        <f ca="1">_xll.BDH($C$28,"TOTAL_EQUITY_SEQUENTIAL_GROWTH","FQ3 2017","FQ3 2017","Currency=INR","Period=FQ","BEST_FPERIOD_OVERRIDE=FQ","FILING_STATUS=OR","EQY_CONSOLIDATED=Y","Sort=A","Dates=H","DateFormat=P","Fill=—","Direction=H","UseDPDF=Y")</f>
        <v>#NAME?</v>
      </c>
      <c r="BV46" s="1" t="e">
        <f ca="1">_xll.BDH($C$28,"TOTAL_CAPITAL_SEQUENTIAL_GROWTH","FQ3 2017","FQ3 2017","Currency=INR","Period=FQ","BEST_FPERIOD_OVERRIDE=FQ","FILING_STATUS=OR","EQY_CONSOLIDATED=Y","Sort=A","Dates=H","DateFormat=P","Fill=—","Direction=H","UseDPDF=Y")</f>
        <v>#NAME?</v>
      </c>
      <c r="BW46" s="1" t="e">
        <f ca="1">_xll.BDH($C$28,"BPS_SEQUENTIAL_GROWTH","FQ3 2017","FQ3 2017","Currency=INR","Period=FQ","BEST_FPERIOD_OVERRIDE=FQ","FILING_STATUS=OR","EQY_CONSOLIDATED=Y","Sort=A","Dates=H","DateFormat=P","Fill=—","Direction=H","UseDPDF=Y")</f>
        <v>#NAME?</v>
      </c>
      <c r="BX46" s="1" t="e">
        <f ca="1">_xll.BDH($C$28,"CFO_SEQUENTIAL_GROWTH","FQ3 2017","FQ3 2017","Currency=INR","Period=FQ","BEST_FPERIOD_OVERRIDE=FQ","FILING_STATUS=OR","EQY_CONSOLIDATED=Y","Sort=A","Dates=H","DateFormat=P","Fill=—","Direction=H","UseDPDF=Y")</f>
        <v>#NAME?</v>
      </c>
      <c r="BY46" s="2" t="e">
        <f ca="1">_xll.BDH($C$28,"SHORT_AND_LONG_TERM_DEBT","FQ3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6" s="2" t="e">
        <f ca="1">_xll.BDH($C$28,"BS_ST_BORROW","FQ3 2017","FQ3 2017","Currency=INR","Period=FQ","BEST_FPERIOD_OVERRIDE=FQ","FILING_STATUS=OR","EQY_CONSOLIDATED=Y","SCALING_FORMAT=MLN","Sort=A","Dates=H","DateFormat=P","Fill=—","Direction=H","UseDPDF=Y")</f>
        <v>#NAME?</v>
      </c>
      <c r="CA46" s="2" t="e">
        <f ca="1">_xll.BDH($C$28,"BS_LT_BORROW","FQ3 2017","FQ3 2017","Currency=INR","Period=FQ","BEST_FPERIOD_OVERRIDE=FQ","FILING_STATUS=OR","EQY_CONSOLIDATED=Y","SCALING_FORMAT=MLN","Sort=A","Dates=H","DateFormat=P","Fill=—","Direction=H","UseDPDF=Y")</f>
        <v>#NAME?</v>
      </c>
      <c r="CB46" s="1" t="e">
        <f ca="1">_xll.BDH($C$28,"TOT_DEBT_TO_EBITDA","FQ3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6" s="1" t="e">
        <f ca="1">_xll.BDH($C$28,"NET_DEBT_TO_EBITDA","FQ3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6" s="1" t="e">
        <f ca="1">_xll.BDH($C$28,"TOTAL_DEBT_TO_EBIT","FQ3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6" s="1" t="e">
        <f ca="1">_xll.BDH($C$28,"NET_DEBT_TO_EBIT","FQ3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46" s="1" t="e">
        <f ca="1">_xll.BDH($C$28,"EBITDA_TO_INTEREST_EXPN","FQ3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6" s="1" t="e">
        <f ca="1">_xll.BDH($C$28,"COM_EQY_TO_TOT_ASSET","FQ3 2017","FQ3 2017","Currency=INR","Period=FQ","BEST_FPERIOD_OVERRIDE=FQ","FILING_STATUS=OR","EQY_CONSOLIDATED=Y","Sort=A","Dates=H","DateFormat=P","Fill=—","Direction=H","UseDPDF=Y")</f>
        <v>#NAME?</v>
      </c>
      <c r="CH46" s="1" t="e">
        <f ca="1">_xll.BDH($C$28,"LT_DEBT_TO_TOT_EQY","FQ3 2017","FQ3 2017","Currency=INR","Period=FQ","BEST_FPERIOD_OVERRIDE=FQ","FILING_STATUS=OR","EQY_CONSOLIDATED=Y","Sort=A","Dates=H","DateFormat=P","Fill=—","Direction=H","UseDPDF=Y")</f>
        <v>#NAME?</v>
      </c>
      <c r="CI46" s="1" t="e">
        <f ca="1">_xll.BDH($C$28,"LT_DEBT_TO_TOT_CAP","FQ3 2017","FQ3 2017","Currency=INR","Period=FQ","BEST_FPERIOD_OVERRIDE=FQ","FILING_STATUS=OR","EQY_CONSOLIDATED=Y","Sort=A","Dates=H","DateFormat=P","Fill=—","Direction=H","UseDPDF=Y")</f>
        <v>#NAME?</v>
      </c>
      <c r="CJ46" s="1" t="e">
        <f ca="1">_xll.BDH($C$28,"LT_DEBT_TO_TOT_ASSET","FQ3 2017","FQ3 2017","Currency=INR","Period=FQ","BEST_FPERIOD_OVERRIDE=FQ","FILING_STATUS=OR","EQY_CONSOLIDATED=Y","Sort=A","Dates=H","DateFormat=P","Fill=—","Direction=H","UseDPDF=Y")</f>
        <v>#NAME?</v>
      </c>
      <c r="CK46" s="1" t="e">
        <f ca="1">_xll.BDH($C$28,"TOT_DEBT_TO_TOT_EQY","FQ3 2017","FQ3 2017","Currency=INR","Period=FQ","BEST_FPERIOD_OVERRIDE=FQ","FILING_STATUS=OR","EQY_CONSOLIDATED=Y","Sort=A","Dates=H","DateFormat=P","Fill=—","Direction=H","UseDPDF=Y")</f>
        <v>#NAME?</v>
      </c>
      <c r="CL46" s="1" t="e">
        <f ca="1">_xll.BDH($C$28,"TOT_DEBT_TO_TOT_CAP","FQ3 2017","FQ3 2017","Currency=INR","Period=FQ","BEST_FPERIOD_OVERRIDE=FQ","FILING_STATUS=OR","EQY_CONSOLIDATED=Y","Sort=A","Dates=H","DateFormat=P","Fill=—","Direction=H","UseDPDF=Y")</f>
        <v>#NAME?</v>
      </c>
      <c r="CM46" s="1" t="e">
        <f ca="1">_xll.BDH($C$28,"TOT_DEBT_TO_TOT_ASSET","FQ3 2017","FQ3 2017","Currency=INR","Period=FQ","BEST_FPERIOD_OVERRIDE=FQ","FILING_STATUS=OR","EQY_CONSOLIDATED=Y","Sort=A","Dates=H","DateFormat=P","Fill=—","Direction=H","UseDPDF=Y")</f>
        <v>#NAME?</v>
      </c>
      <c r="CN46" s="1" t="e">
        <f ca="1">_xll.BDH($C$28,"NET_DEBT_TO_SHRHLDR_EQTY","FQ3 2017","FQ3 2017","Currency=INR","Period=FQ","BEST_FPERIOD_OVERRIDE=FQ","FILING_STATUS=OR","EQY_CONSOLIDATED=Y","Sort=A","Dates=H","DateFormat=P","Fill=—","Direction=H","UseDPDF=Y")</f>
        <v>#NAME?</v>
      </c>
      <c r="CO46" s="1" t="e">
        <f ca="1">_xll.BDH($C$28,"NET_DEBT_%_CAPITAL","FQ3 2017","FQ3 2017","Currency=INR","Period=FQ","BEST_FPERIOD_OVERRIDE=FQ","FILING_STATUS=OR","EQY_CONSOLIDATED=Y","Sort=A","Dates=H","DateFormat=P","Fill=—","Direction=H","UseDPDF=Y")</f>
        <v>#NAME?</v>
      </c>
      <c r="CP46" s="2" t="e">
        <f ca="1">_xll.BDH($C$28,"EBITDA","FQ3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6" s="2" t="e">
        <f ca="1">_xll.BDH($C$28,"EBITDA_AFTER_CAPEX","FQ3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6" s="2" t="e">
        <f ca="1">_xll.BDH($C$28,"IS_OPER_INC","FQ3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6" s="1" t="e">
        <f ca="1">_xll.BDH($C$28,"CASH_RATIO","FQ3 2017","FQ3 2017","Currency=INR","Period=FQ","BEST_FPERIOD_OVERRIDE=FQ","FILING_STATUS=OR","EQY_CONSOLIDATED=Y","Sort=A","Dates=H","DateFormat=P","Fill=—","Direction=H","UseDPDF=Y")</f>
        <v>#NAME?</v>
      </c>
      <c r="CT46" s="1" t="e">
        <f ca="1">_xll.BDH($C$28,"CUR_RATIO","FQ3 2017","FQ3 2017","Currency=INR","Period=FQ","BEST_FPERIOD_OVERRIDE=FQ","FILING_STATUS=OR","EQY_CONSOLIDATED=Y","Sort=A","Dates=H","DateFormat=P","Fill=—","Direction=H","UseDPDF=Y")</f>
        <v>#NAME?</v>
      </c>
      <c r="CU46" s="1" t="e">
        <f ca="1">_xll.BDH($C$28,"QUICK_RATIO","FQ3 2017","FQ3 2017","Currency=INR","Period=FQ","BEST_FPERIOD_OVERRIDE=FQ","FILING_STATUS=OR","EQY_CONSOLIDATED=Y","Sort=A","Dates=H","DateFormat=P","Fill=—","Direction=H","UseDPDF=Y")</f>
        <v>#NAME?</v>
      </c>
      <c r="CV46" s="1" t="e">
        <f ca="1">_xll.BDH($C$28,"ALTMAN_Z_SCORE","FQ3 2017","FQ3 2017","Currency=INR","Period=FQ","BEST_FPERIOD_OVERRIDE=FQ","FILING_STATUS=OR","EQY_CONSOLIDATED=Y","Sort=A","Dates=H","DateFormat=P","Fill=—","Direction=H","UseDPDF=Y")</f>
        <v>#NAME?</v>
      </c>
      <c r="CW46" s="3" t="e">
        <f ca="1">_xll.BDH($C$28,"ACCT_RCV_TURN","FQ3 2017","FQ3 2017","Currency=INR","Period=FQ","BEST_FPERIOD_OVERRIDE=FQ","FILING_STATUS=OR","EQY_CONSOLIDATED=Y","FA_ADJUSTED=GAAP","Sort=A","Dates=H","DateFormat=P","Fill=—","Direction=H","UseDPDF=Y")</f>
        <v>#NAME?</v>
      </c>
      <c r="CX46" s="1" t="e">
        <f ca="1">_xll.BDH($C$28,"ACCT_RCV_DAYS","FQ3 2017","FQ3 2017","Currency=INR","Period=FQ","BEST_FPERIOD_OVERRIDE=FQ","FILING_STATUS=OR","EQY_CONSOLIDATED=Y","FA_ADJUSTED=GAAP","Sort=A","Dates=H","DateFormat=P","Fill=—","Direction=H","UseDPDF=Y")</f>
        <v>#NAME?</v>
      </c>
      <c r="CY46" s="3" t="e">
        <f ca="1">_xll.BDH($C$28,"INVENT_TURN","FQ3 2017","FQ3 2017","Currency=INR","Period=FQ","BEST_FPERIOD_OVERRIDE=FQ","FILING_STATUS=OR","EQY_CONSOLIDATED=Y","FA_ADJUSTED=GAAP","Sort=A","Dates=H","DateFormat=P","Fill=—","Direction=H","UseDPDF=Y")</f>
        <v>#NAME?</v>
      </c>
      <c r="CZ46" s="1" t="e">
        <f ca="1">_xll.BDH($C$28,"INVENT_DAYS","FQ3 2017","FQ3 2017","Currency=INR","Period=FQ","BEST_FPERIOD_OVERRIDE=FQ","FILING_STATUS=OR","EQY_CONSOLIDATED=Y","FA_ADJUSTED=GAAP","Sort=A","Dates=H","DateFormat=P","Fill=—","Direction=H","UseDPDF=Y")</f>
        <v>#NAME?</v>
      </c>
      <c r="DA46" s="3" t="e">
        <f ca="1">_xll.BDH($C$28,"ACCOUNTS_PAYABLE_TURNOVER","FQ3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6" s="1" t="e">
        <f ca="1">_xll.BDH($C$28,"ACCOUNTS_PAYABLE_TURNOVER_DAYS","FQ3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6" s="3" t="e">
        <f ca="1">_xll.BDH($C$28,"CASH_CONVERSION_CYCLE","FQ3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6" s="3" t="e">
        <f ca="1">_xll.BDH($C$28,"INV_TO_CASH_DAYS","FQ3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46" s="4" t="e">
        <f ca="1">_xll.BDH($C$28,"BS_INVENTORIES","FQ3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46" s="2" t="e">
        <f ca="1">_xll.BDH($C$28,"INVTRY_RAW_MATERIALS","FQ3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6" s="2" t="e">
        <f ca="1">_xll.BDH($C$28,"INVTRY_IN_PROGRESS","FQ3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6" s="2" t="e">
        <f ca="1">_xll.BDH($C$28,"INVTRY_FINISHED_GOODS","FQ3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6" s="2" t="e">
        <f ca="1">_xll.BDH($C$28,"BS_OTHER_INV","FQ3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7" spans="1:113" x14ac:dyDescent="0.3">
      <c r="A47" s="6"/>
      <c r="B47" s="6"/>
      <c r="C47" s="6"/>
      <c r="D47" s="6"/>
      <c r="E47" t="s">
        <v>7</v>
      </c>
      <c r="F47" t="e">
        <f ca="1">_xll.BDH($C$28,"RETURN_COM_EQY","FQ4 2017","FQ4 2017","Currency=INR","Period=FQ","BEST_FPERIOD_OVERRIDE=FQ","FILING_STATUS=OR","EQY_CONSOLIDATED=Y","FA_ADJUSTED=GAAP","Sort=A","Dates=H","DateFormat=P","Fill=—","Direction=H","UseDPDF=Y")</f>
        <v>#NAME?</v>
      </c>
      <c r="G47" t="e">
        <f ca="1">_xll.BDH($C$28,"RETURN_ON_ASSET","FQ4 2017","FQ4 2017","Currency=INR","Period=FQ","BEST_FPERIOD_OVERRIDE=FQ","FILING_STATUS=OR","EQY_CONSOLIDATED=Y","FA_ADJUSTED=GAAP","Sort=A","Dates=H","DateFormat=P","Fill=—","Direction=H","UseDPDF=Y")</f>
        <v>#NAME?</v>
      </c>
      <c r="H47" t="e">
        <f ca="1">_xll.BDH($C$28,"RETURN_ON_CAP","FQ4 2017","FQ4 2017","Currency=INR","Period=FQ","BEST_FPERIOD_OVERRIDE=FQ","FILING_STATUS=OR","EQY_CONSOLIDATED=Y","FA_ADJUSTED=GAAP","Sort=A","Dates=H","DateFormat=P","Fill=—","Direction=H","UseDPDF=Y")</f>
        <v>#NAME?</v>
      </c>
      <c r="I47" t="e">
        <f ca="1">_xll.BDH($C$28,"RETURN_ON_INV_CAPITAL","FQ4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7" t="e">
        <f ca="1">_xll.BDH($C$28,"EBITDA_TO_REVENUE","FQ4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47" t="e">
        <f ca="1">_xll.BDH($C$28,"OPER_MARGIN","FQ4 2017","FQ4 2017","Currency=INR","Period=FQ","BEST_FPERIOD_OVERRIDE=FQ","FILING_STATUS=OR","EQY_CONSOLIDATED=Y","FA_ADJUSTED=GAAP","Sort=A","Dates=H","DateFormat=P","Fill=—","Direction=H","UseDPDF=Y")</f>
        <v>#NAME?</v>
      </c>
      <c r="L47" t="e">
        <f ca="1">_xll.BDH($C$28,"INCREMENTAL_OPERATING_MARGIN","FQ4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7" t="e">
        <f ca="1">_xll.BDH($C$28,"PRETAX_INC_TO_NET_SALES","FQ4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7" t="e">
        <f ca="1">_xll.BDH($C$28,"INC_BEF_XO_ITEMS_TO_NET_SALES","FQ4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7" t="e">
        <f ca="1">_xll.BDH($C$28,"PROF_MARGIN","FQ4 2017","FQ4 2017","Currency=INR","Period=FQ","BEST_FPERIOD_OVERRIDE=FQ","FILING_STATUS=OR","EQY_CONSOLIDATED=Y","FA_ADJUSTED=GAAP","Sort=A","Dates=H","DateFormat=P","Fill=—","Direction=H","UseDPDF=Y")</f>
        <v>#NAME?</v>
      </c>
      <c r="P47" t="e">
        <f ca="1">_xll.BDH($C$28,"NET_INCOME_TO_COMMON_MARGIN","FQ4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7" t="e">
        <f ca="1">_xll.BDH($C$28,"EFF_TAX_RATE","FQ4 2017","FQ4 2017","Currency=INR","Period=FQ","BEST_FPERIOD_OVERRIDE=FQ","FILING_STATUS=OR","EQY_CONSOLIDATED=Y","FA_ADJUSTED=GAAP","Sort=A","Dates=H","DateFormat=P","Fill=—","Direction=H","UseDPDF=Y")</f>
        <v>#NAME?</v>
      </c>
      <c r="R47" t="e">
        <f ca="1">_xll.BDH($C$28,"DVD_PAYOUT_RATIO","FQ4 2017","FQ4 2017","Currency=INR","Period=FQ","BEST_FPERIOD_OVERRIDE=FQ","FILING_STATUS=OR","EQY_CONSOLIDATED=Y","FA_ADJUSTED=GAAP","Sort=A","Dates=H","DateFormat=P","Fill=—","Direction=H","UseDPDF=Y")</f>
        <v>#NAME?</v>
      </c>
      <c r="S47" t="e">
        <f ca="1">_xll.BDH($C$28,"SUSTAIN_GROWTH_RT","FQ4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47" s="1" t="e">
        <f ca="1">_xll.BDH($C$28,"SALES_GROWTH","FQ4 2017","FQ4 2017","Currency=INR","Period=FQ","BEST_FPERIOD_OVERRIDE=FQ","FILING_STATUS=OR","EQY_CONSOLIDATED=Y","FA_ADJUSTED=GAAP","Sort=A","Dates=H","DateFormat=P","Fill=—","Direction=H","UseDPDF=Y")</f>
        <v>#NAME?</v>
      </c>
      <c r="U47" s="1" t="e">
        <f ca="1">_xll.BDH($C$28,"EBITDA_GROWTH","FQ4 2017","FQ4 2017","Currency=INR","Period=FQ","BEST_FPERIOD_OVERRIDE=FQ","FILING_STATUS=OR","EQY_CONSOLIDATED=Y","FA_ADJUSTED=GAAP","Sort=A","Dates=H","DateFormat=P","Fill=—","Direction=H","UseDPDF=Y")</f>
        <v>#NAME?</v>
      </c>
      <c r="V47" s="1" t="e">
        <f ca="1">_xll.BDH($C$28,"OPER_INC_GROWTH","FQ4 2017","FQ4 2017","Currency=INR","Period=FQ","BEST_FPERIOD_OVERRIDE=FQ","FILING_STATUS=OR","EQY_CONSOLIDATED=Y","FA_ADJUSTED=GAAP","Sort=A","Dates=H","DateFormat=P","Fill=—","Direction=H","UseDPDF=Y")</f>
        <v>#NAME?</v>
      </c>
      <c r="W47" s="1" t="e">
        <f ca="1">_xll.BDH($C$28,"EARN_FOR_COM_GROWTH","FQ4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7" s="1" t="e">
        <f ca="1">_xll.BDH($C$28,"DILUTED_EPS_AFT_XO_ITEMS_GROWTH","FQ4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7" s="1" t="e">
        <f ca="1">_xll.BDH($C$28,"DIVIDEND_PER_SHARE_1_YEAR_GROWTH","FQ4 2017","FQ4 2017","Currency=INR","Period=FQ","BEST_FPERIOD_OVERRIDE=FQ","FILING_STATUS=OR","EQY_CONSOLIDATED=Y","Sort=A","Dates=H","DateFormat=P","Fill=—","Direction=H","UseDPDF=Y")</f>
        <v>#NAME?</v>
      </c>
      <c r="Z47" s="1" t="e">
        <f ca="1">_xll.BDH($C$28,"ACCOUNTS_RECEIVABLE_GROWTH","FQ4 2017","FQ4 2017","Currency=INR","Period=FQ","BEST_FPERIOD_OVERRIDE=FQ","FILING_STATUS=OR","EQY_CONSOLIDATED=Y","Sort=A","Dates=H","DateFormat=P","Fill=—","Direction=H","UseDPDF=Y")</f>
        <v>#NAME?</v>
      </c>
      <c r="AA47" s="1" t="e">
        <f ca="1">_xll.BDH($C$28,"INVENTORY_GROWTH","FQ4 2017","FQ4 2017","Currency=INR","Period=FQ","BEST_FPERIOD_OVERRIDE=FQ","FILING_STATUS=OR","EQY_CONSOLIDATED=Y","Sort=A","Dates=H","DateFormat=P","Fill=—","Direction=H","UseDPDF=Y")</f>
        <v>#NAME?</v>
      </c>
      <c r="AB47" s="1" t="e">
        <f ca="1">_xll.BDH($C$28,"NET_FIXED_ASSETS_1_YEAR_GROWTH","FQ4 2017","FQ4 2017","Currency=INR","Period=FQ","BEST_FPERIOD_OVERRIDE=FQ","FILING_STATUS=OR","EQY_CONSOLIDATED=Y","Sort=A","Dates=H","DateFormat=P","Fill=—","Direction=H","UseDPDF=Y")</f>
        <v>#NAME?</v>
      </c>
      <c r="AC47" s="1" t="e">
        <f ca="1">_xll.BDH($C$28,"ASSET_GROWTH","FQ4 2017","FQ4 2017","Currency=INR","Period=FQ","BEST_FPERIOD_OVERRIDE=FQ","FILING_STATUS=OR","EQY_CONSOLIDATED=Y","Sort=A","Dates=H","DateFormat=P","Fill=—","Direction=H","UseDPDF=Y")</f>
        <v>#NAME?</v>
      </c>
      <c r="AD47" s="1" t="e">
        <f ca="1">_xll.BDH($C$28,"MODIFIED_WORK_CAP_GROWTH","FQ4 2017","FQ4 2017","Currency=INR","Period=FQ","BEST_FPERIOD_OVERRIDE=FQ","FILING_STATUS=OR","EQY_CONSOLIDATED=Y","Sort=A","Dates=H","DateFormat=P","Fill=—","Direction=H","UseDPDF=Y")</f>
        <v>#NAME?</v>
      </c>
      <c r="AE47" s="1" t="e">
        <f ca="1">_xll.BDH($C$28,"WORK_CAP_GROWTH","FQ4 2017","FQ4 2017","Currency=INR","Period=FQ","BEST_FPERIOD_OVERRIDE=FQ","FILING_STATUS=OR","EQY_CONSOLIDATED=Y","Sort=A","Dates=H","DateFormat=P","Fill=—","Direction=H","UseDPDF=Y")</f>
        <v>#NAME?</v>
      </c>
      <c r="AF47" s="1" t="e">
        <f ca="1">_xll.BDH($C$28,"ACCOUNTS_PAYABLE_GROWTH_1YR","FQ4 2017","FQ4 2017","Currency=INR","Period=FQ","BEST_FPERIOD_OVERRIDE=FQ","FILING_STATUS=OR","EQY_CONSOLIDATED=Y","Sort=A","Dates=H","DateFormat=P","Fill=—","Direction=H","UseDPDF=Y")</f>
        <v>#NAME?</v>
      </c>
      <c r="AG47" s="1" t="e">
        <f ca="1">_xll.BDH($C$28,"SHORT_TERM_DEBT_1_YEAR_GROWTH","FQ4 2017","FQ4 2017","Currency=INR","Period=FQ","BEST_FPERIOD_OVERRIDE=FQ","FILING_STATUS=OR","EQY_CONSOLIDATED=Y","Sort=A","Dates=H","DateFormat=P","Fill=—","Direction=H","UseDPDF=Y")</f>
        <v>#NAME?</v>
      </c>
      <c r="AH47" s="1" t="e">
        <f ca="1">_xll.BDH($C$28,"TOTAL_DEBT_1_YEAR_GROWTH","FQ4 2017","FQ4 2017","Currency=INR","Period=FQ","BEST_FPERIOD_OVERRIDE=FQ","FILING_STATUS=OR","EQY_CONSOLIDATED=Y","Sort=A","Dates=H","DateFormat=P","Fill=—","Direction=H","UseDPDF=Y")</f>
        <v>#NAME?</v>
      </c>
      <c r="AI47" s="1" t="e">
        <f ca="1">_xll.BDH($C$28,"TOTAL_EQUITY_1_YEAR_GROWTH","FQ4 2017","FQ4 2017","Currency=INR","Period=FQ","BEST_FPERIOD_OVERRIDE=FQ","FILING_STATUS=OR","EQY_CONSOLIDATED=Y","Sort=A","Dates=H","DateFormat=P","Fill=—","Direction=H","UseDPDF=Y")</f>
        <v>#NAME?</v>
      </c>
      <c r="AJ47" s="1" t="e">
        <f ca="1">_xll.BDH($C$28,"GROWTH_IN_CAP","FQ4 2017","FQ4 2017","Currency=INR","Period=FQ","BEST_FPERIOD_OVERRIDE=FQ","FILING_STATUS=OR","EQY_CONSOLIDATED=Y","Sort=A","Dates=H","DateFormat=P","Fill=—","Direction=H","UseDPDF=Y")</f>
        <v>#NAME?</v>
      </c>
      <c r="AK47" s="1" t="e">
        <f ca="1">_xll.BDH($C$28,"BVPS_GROWTH","FQ4 2017","FQ4 2017","Currency=INR","Period=FQ","BEST_FPERIOD_OVERRIDE=FQ","FILING_STATUS=OR","EQY_CONSOLIDATED=Y","Sort=A","Dates=H","DateFormat=P","Fill=—","Direction=H","UseDPDF=Y")</f>
        <v>#NAME?</v>
      </c>
      <c r="AL47" s="1" t="e">
        <f ca="1">_xll.BDH($C$28,"CASH_FLOW_GROWTH","FQ4 2017","FQ4 2017","Currency=INR","Period=FQ","BEST_FPERIOD_OVERRIDE=FQ","FILING_STATUS=OR","EQY_CONSOLIDATED=Y","Sort=A","Dates=H","DateFormat=P","Fill=—","Direction=H","UseDPDF=Y")</f>
        <v>#NAME?</v>
      </c>
      <c r="AM47" s="1" t="e">
        <f ca="1">_xll.BDH($C$28,"GEO_GROW_NET_SALES","FQ4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7" s="1" t="e">
        <f ca="1">_xll.BDH($C$28,"GEO_GROW_EBITDA","FQ4 2017","FQ4 2017","Currency=INR","Period=FQ","BEST_FPERIOD_OVERRIDE=FQ","FILING_STATUS=OR","EQY_CONSOLIDATED=Y","FA_ADJUSTED=GAAP","Sort=A","Dates=H","DateFormat=P","Fill=—","Direction=H","UseDPDF=Y")</f>
        <v>#NAME?</v>
      </c>
      <c r="AO47" s="1" t="e">
        <f ca="1">_xll.BDH($C$28,"GEO_GROW_OPER_INC","FQ4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7" s="1" t="e">
        <f ca="1">_xll.BDH($C$28,"NET_INCOME_TO_COMMON_5_YR_GROWTH","FQ4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7" s="1" t="e">
        <f ca="1">_xll.BDH($C$28,"5Y_GEO_GROWTH_DILUTED_EPS","FQ4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7" s="1" t="e">
        <f ca="1">_xll.BDH($C$28,"GEO_GROW_DVD_PER_SH","FQ4 2017","FQ4 2017","Currency=INR","Period=FQ","BEST_FPERIOD_OVERRIDE=FQ","FILING_STATUS=OR","EQY_CONSOLIDATED=Y","Sort=A","Dates=H","DateFormat=P","Fill=—","Direction=H","UseDPDF=Y")</f>
        <v>#NAME?</v>
      </c>
      <c r="AS47" s="1" t="e">
        <f ca="1">_xll.BDH($C$28,"ACCOUNTS_RECEIVABLE_5_YR_GROWTH","FQ4 2017","FQ4 2017","Currency=INR","Period=FQ","BEST_FPERIOD_OVERRIDE=FQ","FILING_STATUS=OR","EQY_CONSOLIDATED=Y","Sort=A","Dates=H","DateFormat=P","Fill=—","Direction=H","UseDPDF=Y")</f>
        <v>#NAME?</v>
      </c>
      <c r="AT47" s="1" t="e">
        <f ca="1">_xll.BDH($C$28,"INVENTORY_5_YEAR_GROWTH","FQ4 2017","FQ4 2017","Currency=INR","Period=FQ","BEST_FPERIOD_OVERRIDE=FQ","FILING_STATUS=OR","EQY_CONSOLIDATED=Y","Sort=A","Dates=H","DateFormat=P","Fill=—","Direction=H","UseDPDF=Y")</f>
        <v>#NAME?</v>
      </c>
      <c r="AU47" s="1" t="e">
        <f ca="1">_xll.BDH($C$28,"NET_FIXED_ASSETS_5_YEAR_GROWTH","FQ4 2017","FQ4 2017","Currency=INR","Period=FQ","BEST_FPERIOD_OVERRIDE=FQ","FILING_STATUS=OR","EQY_CONSOLIDATED=Y","Sort=A","Dates=H","DateFormat=P","Fill=—","Direction=H","UseDPDF=Y")</f>
        <v>#NAME?</v>
      </c>
      <c r="AV47" s="1" t="e">
        <f ca="1">_xll.BDH($C$28,"GEO_GROW_TOT_ASSET","FQ4 2017","FQ4 2017","Currency=INR","Period=FQ","BEST_FPERIOD_OVERRIDE=FQ","FILING_STATUS=OR","EQY_CONSOLIDATED=Y","Sort=A","Dates=H","DateFormat=P","Fill=—","Direction=H","UseDPDF=Y")</f>
        <v>#NAME?</v>
      </c>
      <c r="AW47" s="1" t="e">
        <f ca="1">_xll.BDH($C$28,"MODIFIED_WORKING_CPTL_5YR_GRWTH","FQ4 2017","FQ4 2017","Currency=INR","Period=FQ","BEST_FPERIOD_OVERRIDE=FQ","FILING_STATUS=OR","EQY_CONSOLIDATED=Y","Sort=A","Dates=H","DateFormat=P","Fill=—","Direction=H","UseDPDF=Y")</f>
        <v>#NAME?</v>
      </c>
      <c r="AX47" s="1" t="e">
        <f ca="1">_xll.BDH($C$28,"WORKING_CAPITAL_5_YEAR_GROWTH","FQ4 2017","FQ4 2017","Currency=INR","Period=FQ","BEST_FPERIOD_OVERRIDE=FQ","FILING_STATUS=OR","EQY_CONSOLIDATED=Y","Sort=A","Dates=H","DateFormat=P","Fill=—","Direction=H","UseDPDF=Y")</f>
        <v>#NAME?</v>
      </c>
      <c r="AY47" s="1" t="e">
        <f ca="1">_xll.BDH($C$28,"ACCOUNTS_PAYABLE_5_YEAR_GROWTH","FQ4 2017","FQ4 2017","Currency=INR","Period=FQ","BEST_FPERIOD_OVERRIDE=FQ","FILING_STATUS=OR","EQY_CONSOLIDATED=Y","Sort=A","Dates=H","DateFormat=P","Fill=—","Direction=H","UseDPDF=Y")</f>
        <v>#NAME?</v>
      </c>
      <c r="AZ47" s="1" t="e">
        <f ca="1">_xll.BDH($C$28,"SHORT_TERM_DEBT_5_YEAR_GROWTH","FQ4 2017","FQ4 2017","Currency=INR","Period=FQ","BEST_FPERIOD_OVERRIDE=FQ","FILING_STATUS=OR","EQY_CONSOLIDATED=Y","Sort=A","Dates=H","DateFormat=P","Fill=—","Direction=H","UseDPDF=Y")</f>
        <v>#NAME?</v>
      </c>
      <c r="BA47" s="1" t="e">
        <f ca="1">_xll.BDH($C$28,"TOTAL_DEBT_5_YEAR_GROWTH","FQ4 2017","FQ4 2017","Currency=INR","Period=FQ","BEST_FPERIOD_OVERRIDE=FQ","FILING_STATUS=OR","EQY_CONSOLIDATED=Y","Sort=A","Dates=H","DateFormat=P","Fill=—","Direction=H","UseDPDF=Y")</f>
        <v>#NAME?</v>
      </c>
      <c r="BB47" s="1" t="e">
        <f ca="1">_xll.BDH($C$28,"GEO_GROW_TOT_SHRHLDR_EQY","FQ4 2017","FQ4 2017","Currency=INR","Period=FQ","BEST_FPERIOD_OVERRIDE=FQ","FILING_STATUS=OR","EQY_CONSOLIDATED=Y","Sort=A","Dates=H","DateFormat=P","Fill=—","Direction=H","UseDPDF=Y")</f>
        <v>#NAME?</v>
      </c>
      <c r="BC47" s="1" t="e">
        <f ca="1">_xll.BDH($C$28,"TOTAL_CAPITAL_5_YEAR_GROWTH","FQ4 2017","FQ4 2017","Currency=INR","Period=FQ","BEST_FPERIOD_OVERRIDE=FQ","FILING_STATUS=OR","EQY_CONSOLIDATED=Y","Sort=A","Dates=H","DateFormat=P","Fill=—","Direction=H","UseDPDF=Y")</f>
        <v>#NAME?</v>
      </c>
      <c r="BD47" s="1" t="e">
        <f ca="1">_xll.BDH($C$28,"GEO_GROW_BOOK_VAL","FQ4 2017","FQ4 2017","Currency=INR","Period=FQ","BEST_FPERIOD_OVERRIDE=FQ","FILING_STATUS=OR","EQY_CONSOLIDATED=Y","Sort=A","Dates=H","DateFormat=P","Fill=—","Direction=H","UseDPDF=Y")</f>
        <v>#NAME?</v>
      </c>
      <c r="BE47" s="1" t="e">
        <f ca="1">_xll.BDH($C$28,"GEO_GROW_CASH_OPER_ACT","FQ4 2017","FQ4 2017","Currency=INR","Period=FQ","BEST_FPERIOD_OVERRIDE=FQ","FILING_STATUS=OR","EQY_CONSOLIDATED=Y","Sort=A","Dates=H","DateFormat=P","Fill=—","Direction=H","UseDPDF=Y")</f>
        <v>#NAME?</v>
      </c>
      <c r="BF47" s="1" t="e">
        <f ca="1">_xll.BDH($C$28,"REVENUE_SEQUENTIAL_GROWTH","FQ4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7" s="1" t="e">
        <f ca="1">_xll.BDH($C$28,"EBITDA_SEQUENTIAL_GROWTH","FQ4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7" s="1" t="e">
        <f ca="1">_xll.BDH($C$28,"OPERATING_INCOME_SEQ_GROWTH","FQ4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7" s="1" t="e">
        <f ca="1">_xll.BDH($C$28,"NET_INCOME_TO_COMMON_SEQ_GROWTH","FQ4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7" s="1" t="e">
        <f ca="1">_xll.BDH($C$28,"EPS_DILUTED_SEQUENTIAL_GROWTH","FQ4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7" s="1" t="e">
        <f ca="1">_xll.BDH($C$28,"DPS_SEQUENTIAL_GROWTH","FQ4 2017","FQ4 2017","Currency=INR","Period=FQ","BEST_FPERIOD_OVERRIDE=FQ","FILING_STATUS=OR","EQY_CONSOLIDATED=Y","Sort=A","Dates=H","DateFormat=P","Fill=—","Direction=H","UseDPDF=Y")</f>
        <v>#NAME?</v>
      </c>
      <c r="BL47" s="1" t="e">
        <f ca="1">_xll.BDH($C$28,"ACCOUNTS_RECEIVABLE_SEQ_GROWTH","FQ4 2017","FQ4 2017","Currency=INR","Period=FQ","BEST_FPERIOD_OVERRIDE=FQ","FILING_STATUS=OR","EQY_CONSOLIDATED=Y","Sort=A","Dates=H","DateFormat=P","Fill=—","Direction=H","UseDPDF=Y")</f>
        <v>#NAME?</v>
      </c>
      <c r="BM47" s="1" t="e">
        <f ca="1">_xll.BDH($C$28,"INVENTORY_SEQUENTIAL_GROWTH","FQ4 2017","FQ4 2017","Currency=INR","Period=FQ","BEST_FPERIOD_OVERRIDE=FQ","FILING_STATUS=OR","EQY_CONSOLIDATED=Y","Sort=A","Dates=H","DateFormat=P","Fill=—","Direction=H","UseDPDF=Y")</f>
        <v>#NAME?</v>
      </c>
      <c r="BN47" s="1" t="e">
        <f ca="1">_xll.BDH($C$28,"FIXED_ASSETS_SEQUENTIAL_GROWTH","FQ4 2017","FQ4 2017","Currency=INR","Period=FQ","BEST_FPERIOD_OVERRIDE=FQ","FILING_STATUS=OR","EQY_CONSOLIDATED=Y","Sort=A","Dates=H","DateFormat=P","Fill=—","Direction=H","UseDPDF=Y")</f>
        <v>#NAME?</v>
      </c>
      <c r="BO47" s="1" t="e">
        <f ca="1">_xll.BDH($C$28,"TOTAL_ASSETS_SEQUENTIAL_GROWTH","FQ4 2017","FQ4 2017","Currency=INR","Period=FQ","BEST_FPERIOD_OVERRIDE=FQ","FILING_STATUS=OR","EQY_CONSOLIDATED=Y","Sort=A","Dates=H","DateFormat=P","Fill=—","Direction=H","UseDPDF=Y")</f>
        <v>#NAME?</v>
      </c>
      <c r="BP47" s="1" t="e">
        <f ca="1">_xll.BDH($C$28,"MODIFIED_WORKING_CPTL_SEQ_GRWTH","FQ4 2017","FQ4 2017","Currency=INR","Period=FQ","BEST_FPERIOD_OVERRIDE=FQ","FILING_STATUS=OR","EQY_CONSOLIDATED=Y","Sort=A","Dates=H","DateFormat=P","Fill=—","Direction=H","UseDPDF=Y")</f>
        <v>#NAME?</v>
      </c>
      <c r="BQ47" s="1" t="e">
        <f ca="1">_xll.BDH($C$28,"WORKING_CAPITAL_SEQ_GROWTH","FQ4 2017","FQ4 2017","Currency=INR","Period=FQ","BEST_FPERIOD_OVERRIDE=FQ","FILING_STATUS=OR","EQY_CONSOLIDATED=Y","Sort=A","Dates=H","DateFormat=P","Fill=—","Direction=H","UseDPDF=Y")</f>
        <v>#NAME?</v>
      </c>
      <c r="BR47" s="1" t="e">
        <f ca="1">_xll.BDH($C$28,"ACCOUNTS_PAYABLE_SEQ_GROWTH","FQ4 2017","FQ4 2017","Currency=INR","Period=FQ","BEST_FPERIOD_OVERRIDE=FQ","FILING_STATUS=OR","EQY_CONSOLIDATED=Y","Sort=A","Dates=H","DateFormat=P","Fill=—","Direction=H","UseDPDF=Y")</f>
        <v>#NAME?</v>
      </c>
      <c r="BS47" s="1" t="e">
        <f ca="1">_xll.BDH($C$28,"ST_DEBT_SEQUENTIAL_GROWTH","FQ4 2017","FQ4 2017","Currency=INR","Period=FQ","BEST_FPERIOD_OVERRIDE=FQ","FILING_STATUS=OR","EQY_CONSOLIDATED=Y","Sort=A","Dates=H","DateFormat=P","Fill=—","Direction=H","UseDPDF=Y")</f>
        <v>#NAME?</v>
      </c>
      <c r="BT47" s="1" t="e">
        <f ca="1">_xll.BDH($C$28,"TOTAL_DEBT_SEQUENTIAL_GROWTH","FQ4 2017","FQ4 2017","Currency=INR","Period=FQ","BEST_FPERIOD_OVERRIDE=FQ","FILING_STATUS=OR","EQY_CONSOLIDATED=Y","Sort=A","Dates=H","DateFormat=P","Fill=—","Direction=H","UseDPDF=Y")</f>
        <v>#NAME?</v>
      </c>
      <c r="BU47" s="1" t="e">
        <f ca="1">_xll.BDH($C$28,"TOTAL_EQUITY_SEQUENTIAL_GROWTH","FQ4 2017","FQ4 2017","Currency=INR","Period=FQ","BEST_FPERIOD_OVERRIDE=FQ","FILING_STATUS=OR","EQY_CONSOLIDATED=Y","Sort=A","Dates=H","DateFormat=P","Fill=—","Direction=H","UseDPDF=Y")</f>
        <v>#NAME?</v>
      </c>
      <c r="BV47" s="1" t="e">
        <f ca="1">_xll.BDH($C$28,"TOTAL_CAPITAL_SEQUENTIAL_GROWTH","FQ4 2017","FQ4 2017","Currency=INR","Period=FQ","BEST_FPERIOD_OVERRIDE=FQ","FILING_STATUS=OR","EQY_CONSOLIDATED=Y","Sort=A","Dates=H","DateFormat=P","Fill=—","Direction=H","UseDPDF=Y")</f>
        <v>#NAME?</v>
      </c>
      <c r="BW47" s="1" t="e">
        <f ca="1">_xll.BDH($C$28,"BPS_SEQUENTIAL_GROWTH","FQ4 2017","FQ4 2017","Currency=INR","Period=FQ","BEST_FPERIOD_OVERRIDE=FQ","FILING_STATUS=OR","EQY_CONSOLIDATED=Y","Sort=A","Dates=H","DateFormat=P","Fill=—","Direction=H","UseDPDF=Y")</f>
        <v>#NAME?</v>
      </c>
      <c r="BX47" s="1" t="e">
        <f ca="1">_xll.BDH($C$28,"CFO_SEQUENTIAL_GROWTH","FQ4 2017","FQ4 2017","Currency=INR","Period=FQ","BEST_FPERIOD_OVERRIDE=FQ","FILING_STATUS=OR","EQY_CONSOLIDATED=Y","Sort=A","Dates=H","DateFormat=P","Fill=—","Direction=H","UseDPDF=Y")</f>
        <v>#NAME?</v>
      </c>
      <c r="BY47" s="2" t="e">
        <f ca="1">_xll.BDH($C$28,"SHORT_AND_LONG_TERM_DEBT","FQ4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7" s="2" t="e">
        <f ca="1">_xll.BDH($C$28,"BS_ST_BORROW","FQ4 2017","FQ4 2017","Currency=INR","Period=FQ","BEST_FPERIOD_OVERRIDE=FQ","FILING_STATUS=OR","EQY_CONSOLIDATED=Y","SCALING_FORMAT=MLN","Sort=A","Dates=H","DateFormat=P","Fill=—","Direction=H","UseDPDF=Y")</f>
        <v>#NAME?</v>
      </c>
      <c r="CA47" s="2" t="e">
        <f ca="1">_xll.BDH($C$28,"BS_LT_BORROW","FQ4 2017","FQ4 2017","Currency=INR","Period=FQ","BEST_FPERIOD_OVERRIDE=FQ","FILING_STATUS=OR","EQY_CONSOLIDATED=Y","SCALING_FORMAT=MLN","Sort=A","Dates=H","DateFormat=P","Fill=—","Direction=H","UseDPDF=Y")</f>
        <v>#NAME?</v>
      </c>
      <c r="CB47" s="1" t="e">
        <f ca="1">_xll.BDH($C$28,"TOT_DEBT_TO_EBITDA","FQ4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7" s="1" t="e">
        <f ca="1">_xll.BDH($C$28,"NET_DEBT_TO_EBITDA","FQ4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7" s="1" t="e">
        <f ca="1">_xll.BDH($C$28,"TOTAL_DEBT_TO_EBIT","FQ4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7" s="1" t="e">
        <f ca="1">_xll.BDH($C$28,"NET_DEBT_TO_EBIT","FQ4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47" s="1" t="e">
        <f ca="1">_xll.BDH($C$28,"EBITDA_TO_INTEREST_EXPN","FQ4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7" s="1" t="e">
        <f ca="1">_xll.BDH($C$28,"COM_EQY_TO_TOT_ASSET","FQ4 2017","FQ4 2017","Currency=INR","Period=FQ","BEST_FPERIOD_OVERRIDE=FQ","FILING_STATUS=OR","EQY_CONSOLIDATED=Y","Sort=A","Dates=H","DateFormat=P","Fill=—","Direction=H","UseDPDF=Y")</f>
        <v>#NAME?</v>
      </c>
      <c r="CH47" s="1" t="e">
        <f ca="1">_xll.BDH($C$28,"LT_DEBT_TO_TOT_EQY","FQ4 2017","FQ4 2017","Currency=INR","Period=FQ","BEST_FPERIOD_OVERRIDE=FQ","FILING_STATUS=OR","EQY_CONSOLIDATED=Y","Sort=A","Dates=H","DateFormat=P","Fill=—","Direction=H","UseDPDF=Y")</f>
        <v>#NAME?</v>
      </c>
      <c r="CI47" s="1" t="e">
        <f ca="1">_xll.BDH($C$28,"LT_DEBT_TO_TOT_CAP","FQ4 2017","FQ4 2017","Currency=INR","Period=FQ","BEST_FPERIOD_OVERRIDE=FQ","FILING_STATUS=OR","EQY_CONSOLIDATED=Y","Sort=A","Dates=H","DateFormat=P","Fill=—","Direction=H","UseDPDF=Y")</f>
        <v>#NAME?</v>
      </c>
      <c r="CJ47" s="1" t="e">
        <f ca="1">_xll.BDH($C$28,"LT_DEBT_TO_TOT_ASSET","FQ4 2017","FQ4 2017","Currency=INR","Period=FQ","BEST_FPERIOD_OVERRIDE=FQ","FILING_STATUS=OR","EQY_CONSOLIDATED=Y","Sort=A","Dates=H","DateFormat=P","Fill=—","Direction=H","UseDPDF=Y")</f>
        <v>#NAME?</v>
      </c>
      <c r="CK47" s="1" t="e">
        <f ca="1">_xll.BDH($C$28,"TOT_DEBT_TO_TOT_EQY","FQ4 2017","FQ4 2017","Currency=INR","Period=FQ","BEST_FPERIOD_OVERRIDE=FQ","FILING_STATUS=OR","EQY_CONSOLIDATED=Y","Sort=A","Dates=H","DateFormat=P","Fill=—","Direction=H","UseDPDF=Y")</f>
        <v>#NAME?</v>
      </c>
      <c r="CL47" s="1" t="e">
        <f ca="1">_xll.BDH($C$28,"TOT_DEBT_TO_TOT_CAP","FQ4 2017","FQ4 2017","Currency=INR","Period=FQ","BEST_FPERIOD_OVERRIDE=FQ","FILING_STATUS=OR","EQY_CONSOLIDATED=Y","Sort=A","Dates=H","DateFormat=P","Fill=—","Direction=H","UseDPDF=Y")</f>
        <v>#NAME?</v>
      </c>
      <c r="CM47" s="1" t="e">
        <f ca="1">_xll.BDH($C$28,"TOT_DEBT_TO_TOT_ASSET","FQ4 2017","FQ4 2017","Currency=INR","Period=FQ","BEST_FPERIOD_OVERRIDE=FQ","FILING_STATUS=OR","EQY_CONSOLIDATED=Y","Sort=A","Dates=H","DateFormat=P","Fill=—","Direction=H","UseDPDF=Y")</f>
        <v>#NAME?</v>
      </c>
      <c r="CN47" s="1" t="e">
        <f ca="1">_xll.BDH($C$28,"NET_DEBT_TO_SHRHLDR_EQTY","FQ4 2017","FQ4 2017","Currency=INR","Period=FQ","BEST_FPERIOD_OVERRIDE=FQ","FILING_STATUS=OR","EQY_CONSOLIDATED=Y","Sort=A","Dates=H","DateFormat=P","Fill=—","Direction=H","UseDPDF=Y")</f>
        <v>#NAME?</v>
      </c>
      <c r="CO47" s="1" t="e">
        <f ca="1">_xll.BDH($C$28,"NET_DEBT_%_CAPITAL","FQ4 2017","FQ4 2017","Currency=INR","Period=FQ","BEST_FPERIOD_OVERRIDE=FQ","FILING_STATUS=OR","EQY_CONSOLIDATED=Y","Sort=A","Dates=H","DateFormat=P","Fill=—","Direction=H","UseDPDF=Y")</f>
        <v>#NAME?</v>
      </c>
      <c r="CP47" s="2" t="e">
        <f ca="1">_xll.BDH($C$28,"EBITDA","FQ4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7" s="2" t="e">
        <f ca="1">_xll.BDH($C$28,"EBITDA_AFTER_CAPEX","FQ4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7" s="2" t="e">
        <f ca="1">_xll.BDH($C$28,"IS_OPER_INC","FQ4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7" s="1" t="e">
        <f ca="1">_xll.BDH($C$28,"CASH_RATIO","FQ4 2017","FQ4 2017","Currency=INR","Period=FQ","BEST_FPERIOD_OVERRIDE=FQ","FILING_STATUS=OR","EQY_CONSOLIDATED=Y","Sort=A","Dates=H","DateFormat=P","Fill=—","Direction=H","UseDPDF=Y")</f>
        <v>#NAME?</v>
      </c>
      <c r="CT47" s="1" t="e">
        <f ca="1">_xll.BDH($C$28,"CUR_RATIO","FQ4 2017","FQ4 2017","Currency=INR","Period=FQ","BEST_FPERIOD_OVERRIDE=FQ","FILING_STATUS=OR","EQY_CONSOLIDATED=Y","Sort=A","Dates=H","DateFormat=P","Fill=—","Direction=H","UseDPDF=Y")</f>
        <v>#NAME?</v>
      </c>
      <c r="CU47" s="1" t="e">
        <f ca="1">_xll.BDH($C$28,"QUICK_RATIO","FQ4 2017","FQ4 2017","Currency=INR","Period=FQ","BEST_FPERIOD_OVERRIDE=FQ","FILING_STATUS=OR","EQY_CONSOLIDATED=Y","Sort=A","Dates=H","DateFormat=P","Fill=—","Direction=H","UseDPDF=Y")</f>
        <v>#NAME?</v>
      </c>
      <c r="CV47" s="1" t="e">
        <f ca="1">_xll.BDH($C$28,"ALTMAN_Z_SCORE","FQ4 2017","FQ4 2017","Currency=INR","Period=FQ","BEST_FPERIOD_OVERRIDE=FQ","FILING_STATUS=OR","EQY_CONSOLIDATED=Y","Sort=A","Dates=H","DateFormat=P","Fill=—","Direction=H","UseDPDF=Y")</f>
        <v>#NAME?</v>
      </c>
      <c r="CW47" s="3" t="e">
        <f ca="1">_xll.BDH($C$28,"ACCT_RCV_TURN","FQ4 2017","FQ4 2017","Currency=INR","Period=FQ","BEST_FPERIOD_OVERRIDE=FQ","FILING_STATUS=OR","EQY_CONSOLIDATED=Y","FA_ADJUSTED=GAAP","Sort=A","Dates=H","DateFormat=P","Fill=—","Direction=H","UseDPDF=Y")</f>
        <v>#NAME?</v>
      </c>
      <c r="CX47" s="1" t="e">
        <f ca="1">_xll.BDH($C$28,"ACCT_RCV_DAYS","FQ4 2017","FQ4 2017","Currency=INR","Period=FQ","BEST_FPERIOD_OVERRIDE=FQ","FILING_STATUS=OR","EQY_CONSOLIDATED=Y","FA_ADJUSTED=GAAP","Sort=A","Dates=H","DateFormat=P","Fill=—","Direction=H","UseDPDF=Y")</f>
        <v>#NAME?</v>
      </c>
      <c r="CY47" s="3" t="e">
        <f ca="1">_xll.BDH($C$28,"INVENT_TURN","FQ4 2017","FQ4 2017","Currency=INR","Period=FQ","BEST_FPERIOD_OVERRIDE=FQ","FILING_STATUS=OR","EQY_CONSOLIDATED=Y","FA_ADJUSTED=GAAP","Sort=A","Dates=H","DateFormat=P","Fill=—","Direction=H","UseDPDF=Y")</f>
        <v>#NAME?</v>
      </c>
      <c r="CZ47" s="1" t="e">
        <f ca="1">_xll.BDH($C$28,"INVENT_DAYS","FQ4 2017","FQ4 2017","Currency=INR","Period=FQ","BEST_FPERIOD_OVERRIDE=FQ","FILING_STATUS=OR","EQY_CONSOLIDATED=Y","FA_ADJUSTED=GAAP","Sort=A","Dates=H","DateFormat=P","Fill=—","Direction=H","UseDPDF=Y")</f>
        <v>#NAME?</v>
      </c>
      <c r="DA47" s="3" t="e">
        <f ca="1">_xll.BDH($C$28,"ACCOUNTS_PAYABLE_TURNOVER","FQ4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7" s="1" t="e">
        <f ca="1">_xll.BDH($C$28,"ACCOUNTS_PAYABLE_TURNOVER_DAYS","FQ4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7" s="3" t="e">
        <f ca="1">_xll.BDH($C$28,"CASH_CONVERSION_CYCLE","FQ4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7" s="3" t="e">
        <f ca="1">_xll.BDH($C$28,"INV_TO_CASH_DAYS","FQ4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47" s="4" t="e">
        <f ca="1">_xll.BDH($C$28,"BS_INVENTORIES","FQ4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47" s="2" t="e">
        <f ca="1">_xll.BDH($C$28,"INVTRY_RAW_MATERIALS","FQ4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7" s="2" t="e">
        <f ca="1">_xll.BDH($C$28,"INVTRY_IN_PROGRESS","FQ4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7" s="2" t="e">
        <f ca="1">_xll.BDH($C$28,"INVTRY_FINISHED_GOODS","FQ4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7" s="2" t="e">
        <f ca="1">_xll.BDH($C$28,"BS_OTHER_INV","FQ4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8" spans="1:113" x14ac:dyDescent="0.3">
      <c r="A48" s="6"/>
      <c r="B48" s="6"/>
      <c r="C48" s="6"/>
      <c r="D48" s="6" t="s">
        <v>11</v>
      </c>
      <c r="E48" t="s">
        <v>3</v>
      </c>
      <c r="F48" t="e">
        <f ca="1">_xll.BDH($C$28,"RETURN_COM_EQY","FY 2018","FY 2018","Currency=INR","Period=FY","BEST_FPERIOD_OVERRIDE=FY","FILING_STATUS=OR","EQY_CONSOLIDATED=Y","FA_ADJUSTED=GAAP","Sort=A","Dates=H","DateFormat=P","Fill=—","Direction=H","UseDPDF=Y")</f>
        <v>#NAME?</v>
      </c>
      <c r="G48" t="e">
        <f ca="1">_xll.BDH($C$28,"RETURN_ON_ASSET","FY 2018","FY 2018","Currency=INR","Period=FY","BEST_FPERIOD_OVERRIDE=FY","FILING_STATUS=OR","EQY_CONSOLIDATED=Y","FA_ADJUSTED=GAAP","Sort=A","Dates=H","DateFormat=P","Fill=—","Direction=H","UseDPDF=Y")</f>
        <v>#NAME?</v>
      </c>
      <c r="H48" t="e">
        <f ca="1">_xll.BDH($C$28,"RETURN_ON_CAP","FY 2018","FY 2018","Currency=INR","Period=FY","BEST_FPERIOD_OVERRIDE=FY","FILING_STATUS=OR","EQY_CONSOLIDATED=Y","FA_ADJUSTED=GAAP","Sort=A","Dates=H","DateFormat=P","Fill=—","Direction=H","UseDPDF=Y")</f>
        <v>#NAME?</v>
      </c>
      <c r="I48" t="e">
        <f ca="1">_xll.BDH($C$28,"RETURN_ON_INV_CAPITAL","FY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8" t="e">
        <f ca="1">_xll.BDH($C$28,"EBITDA_TO_REVENUE","FY 2018","FY 2018","Currency=INR","Period=FY","BEST_FPERIOD_OVERRIDE=FY","FILING_STATUS=OR","EQY_CONSOLIDATED=Y","FA_ADJUSTED=GAAP","Sort=A","Dates=H","DateFormat=P","Fill=—","Direction=H","UseDPDF=Y")</f>
        <v>#NAME?</v>
      </c>
      <c r="K48" t="e">
        <f ca="1">_xll.BDH($C$28,"OPER_MARGIN","FY 2018","FY 2018","Currency=INR","Period=FY","BEST_FPERIOD_OVERRIDE=FY","FILING_STATUS=OR","EQY_CONSOLIDATED=Y","FA_ADJUSTED=GAAP","Sort=A","Dates=H","DateFormat=P","Fill=—","Direction=H","UseDPDF=Y")</f>
        <v>#NAME?</v>
      </c>
      <c r="L48" t="e">
        <f ca="1">_xll.BDH($C$28,"INCREMENTAL_OPERATING_MARGIN","FY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8" t="e">
        <f ca="1">_xll.BDH($C$28,"PRETAX_INC_TO_NET_SALES","FY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8" t="e">
        <f ca="1">_xll.BDH($C$28,"INC_BEF_XO_ITEMS_TO_NET_SALES","FY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8" t="e">
        <f ca="1">_xll.BDH($C$28,"PROF_MARGIN","FY 2018","FY 2018","Currency=INR","Period=FY","BEST_FPERIOD_OVERRIDE=FY","FILING_STATUS=OR","EQY_CONSOLIDATED=Y","FA_ADJUSTED=GAAP","Sort=A","Dates=H","DateFormat=P","Fill=—","Direction=H","UseDPDF=Y")</f>
        <v>#NAME?</v>
      </c>
      <c r="P48" t="e">
        <f ca="1">_xll.BDH($C$28,"NET_INCOME_TO_COMMON_MARGIN","FY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8" t="e">
        <f ca="1">_xll.BDH($C$28,"EFF_TAX_RATE","FY 2018","FY 2018","Currency=INR","Period=FY","BEST_FPERIOD_OVERRIDE=FY","FILING_STATUS=OR","EQY_CONSOLIDATED=Y","FA_ADJUSTED=GAAP","Sort=A","Dates=H","DateFormat=P","Fill=—","Direction=H","UseDPDF=Y")</f>
        <v>#NAME?</v>
      </c>
      <c r="R48" t="e">
        <f ca="1">_xll.BDH($C$28,"DVD_PAYOUT_RATIO","FY 2018","FY 2018","Currency=INR","Period=FY","BEST_FPERIOD_OVERRIDE=FY","FILING_STATUS=OR","EQY_CONSOLIDATED=Y","FA_ADJUSTED=GAAP","Sort=A","Dates=H","DateFormat=P","Fill=—","Direction=H","UseDPDF=Y")</f>
        <v>#NAME?</v>
      </c>
      <c r="S48" t="e">
        <f ca="1">_xll.BDH($C$28,"SUSTAIN_GROWTH_RT","FY 2018","FY 2018","Currency=INR","Period=FY","BEST_FPERIOD_OVERRIDE=FY","FILING_STATUS=OR","EQY_CONSOLIDATED=Y","FA_ADJUSTED=GAAP","Sort=A","Dates=H","DateFormat=P","Fill=—","Direction=H","UseDPDF=Y")</f>
        <v>#NAME?</v>
      </c>
      <c r="T48" s="1" t="e">
        <f ca="1">_xll.BDH($C$28,"SALES_GROWTH","FY 2018","FY 2018","Currency=INR","Period=FY","BEST_FPERIOD_OVERRIDE=FY","FILING_STATUS=OR","EQY_CONSOLIDATED=Y","FA_ADJUSTED=GAAP","Sort=A","Dates=H","DateFormat=P","Fill=—","Direction=H","UseDPDF=Y")</f>
        <v>#NAME?</v>
      </c>
      <c r="U48" s="1" t="e">
        <f ca="1">_xll.BDH($C$28,"EBITDA_GROWTH","FY 2018","FY 2018","Currency=INR","Period=FY","BEST_FPERIOD_OVERRIDE=FY","FILING_STATUS=OR","EQY_CONSOLIDATED=Y","FA_ADJUSTED=GAAP","Sort=A","Dates=H","DateFormat=P","Fill=—","Direction=H","UseDPDF=Y")</f>
        <v>#NAME?</v>
      </c>
      <c r="V48" s="1" t="e">
        <f ca="1">_xll.BDH($C$28,"OPER_INC_GROWTH","FY 2018","FY 2018","Currency=INR","Period=FY","BEST_FPERIOD_OVERRIDE=FY","FILING_STATUS=OR","EQY_CONSOLIDATED=Y","FA_ADJUSTED=GAAP","Sort=A","Dates=H","DateFormat=P","Fill=—","Direction=H","UseDPDF=Y")</f>
        <v>#NAME?</v>
      </c>
      <c r="W48" s="1" t="e">
        <f ca="1">_xll.BDH($C$28,"EARN_FOR_COM_GROWTH","FY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48" s="1" t="e">
        <f ca="1">_xll.BDH($C$28,"DILUTED_EPS_AFT_XO_ITEMS_GROWTH","FY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8" s="1" t="e">
        <f ca="1">_xll.BDH($C$28,"DIVIDEND_PER_SHARE_1_YEAR_GROWTH","FY 2018","FY 2018","Currency=INR","Period=FY","BEST_FPERIOD_OVERRIDE=FY","FILING_STATUS=OR","EQY_CONSOLIDATED=Y","Sort=A","Dates=H","DateFormat=P","Fill=—","Direction=H","UseDPDF=Y")</f>
        <v>#NAME?</v>
      </c>
      <c r="Z48" s="1" t="e">
        <f ca="1">_xll.BDH($C$28,"ACCOUNTS_RECEIVABLE_GROWTH","FY 2018","FY 2018","Currency=INR","Period=FY","BEST_FPERIOD_OVERRIDE=FY","FILING_STATUS=OR","EQY_CONSOLIDATED=Y","Sort=A","Dates=H","DateFormat=P","Fill=—","Direction=H","UseDPDF=Y")</f>
        <v>#NAME?</v>
      </c>
      <c r="AA48" s="1" t="e">
        <f ca="1">_xll.BDH($C$28,"INVENTORY_GROWTH","FY 2018","FY 2018","Currency=INR","Period=FY","BEST_FPERIOD_OVERRIDE=FY","FILING_STATUS=OR","EQY_CONSOLIDATED=Y","Sort=A","Dates=H","DateFormat=P","Fill=—","Direction=H","UseDPDF=Y")</f>
        <v>#NAME?</v>
      </c>
      <c r="AB48" s="1" t="e">
        <f ca="1">_xll.BDH($C$28,"NET_FIXED_ASSETS_1_YEAR_GROWTH","FY 2018","FY 2018","Currency=INR","Period=FY","BEST_FPERIOD_OVERRIDE=FY","FILING_STATUS=OR","EQY_CONSOLIDATED=Y","Sort=A","Dates=H","DateFormat=P","Fill=—","Direction=H","UseDPDF=Y")</f>
        <v>#NAME?</v>
      </c>
      <c r="AC48" s="1" t="e">
        <f ca="1">_xll.BDH($C$28,"ASSET_GROWTH","FY 2018","FY 2018","Currency=INR","Period=FY","BEST_FPERIOD_OVERRIDE=FY","FILING_STATUS=OR","EQY_CONSOLIDATED=Y","Sort=A","Dates=H","DateFormat=P","Fill=—","Direction=H","UseDPDF=Y")</f>
        <v>#NAME?</v>
      </c>
      <c r="AD48" s="1" t="e">
        <f ca="1">_xll.BDH($C$28,"MODIFIED_WORK_CAP_GROWTH","FY 2018","FY 2018","Currency=INR","Period=FY","BEST_FPERIOD_OVERRIDE=FY","FILING_STATUS=OR","EQY_CONSOLIDATED=Y","Sort=A","Dates=H","DateFormat=P","Fill=—","Direction=H","UseDPDF=Y")</f>
        <v>#NAME?</v>
      </c>
      <c r="AE48" s="1" t="e">
        <f ca="1">_xll.BDH($C$28,"WORK_CAP_GROWTH","FY 2018","FY 2018","Currency=INR","Period=FY","BEST_FPERIOD_OVERRIDE=FY","FILING_STATUS=OR","EQY_CONSOLIDATED=Y","Sort=A","Dates=H","DateFormat=P","Fill=—","Direction=H","UseDPDF=Y")</f>
        <v>#NAME?</v>
      </c>
      <c r="AF48" s="1" t="e">
        <f ca="1">_xll.BDH($C$28,"ACCOUNTS_PAYABLE_GROWTH_1YR","FY 2018","FY 2018","Currency=INR","Period=FY","BEST_FPERIOD_OVERRIDE=FY","FILING_STATUS=OR","EQY_CONSOLIDATED=Y","Sort=A","Dates=H","DateFormat=P","Fill=—","Direction=H","UseDPDF=Y")</f>
        <v>#NAME?</v>
      </c>
      <c r="AG48" s="1" t="e">
        <f ca="1">_xll.BDH($C$28,"SHORT_TERM_DEBT_1_YEAR_GROWTH","FY 2018","FY 2018","Currency=INR","Period=FY","BEST_FPERIOD_OVERRIDE=FY","FILING_STATUS=OR","EQY_CONSOLIDATED=Y","Sort=A","Dates=H","DateFormat=P","Fill=—","Direction=H","UseDPDF=Y")</f>
        <v>#NAME?</v>
      </c>
      <c r="AH48" s="1" t="e">
        <f ca="1">_xll.BDH($C$28,"TOTAL_DEBT_1_YEAR_GROWTH","FY 2018","FY 2018","Currency=INR","Period=FY","BEST_FPERIOD_OVERRIDE=FY","FILING_STATUS=OR","EQY_CONSOLIDATED=Y","Sort=A","Dates=H","DateFormat=P","Fill=—","Direction=H","UseDPDF=Y")</f>
        <v>#NAME?</v>
      </c>
      <c r="AI48" s="1" t="e">
        <f ca="1">_xll.BDH($C$28,"TOTAL_EQUITY_1_YEAR_GROWTH","FY 2018","FY 2018","Currency=INR","Period=FY","BEST_FPERIOD_OVERRIDE=FY","FILING_STATUS=OR","EQY_CONSOLIDATED=Y","Sort=A","Dates=H","DateFormat=P","Fill=—","Direction=H","UseDPDF=Y")</f>
        <v>#NAME?</v>
      </c>
      <c r="AJ48" s="1" t="e">
        <f ca="1">_xll.BDH($C$28,"GROWTH_IN_CAP","FY 2018","FY 2018","Currency=INR","Period=FY","BEST_FPERIOD_OVERRIDE=FY","FILING_STATUS=OR","EQY_CONSOLIDATED=Y","Sort=A","Dates=H","DateFormat=P","Fill=—","Direction=H","UseDPDF=Y")</f>
        <v>#NAME?</v>
      </c>
      <c r="AK48" s="1" t="e">
        <f ca="1">_xll.BDH($C$28,"BVPS_GROWTH","FY 2018","FY 2018","Currency=INR","Period=FY","BEST_FPERIOD_OVERRIDE=FY","FILING_STATUS=OR","EQY_CONSOLIDATED=Y","Sort=A","Dates=H","DateFormat=P","Fill=—","Direction=H","UseDPDF=Y")</f>
        <v>#NAME?</v>
      </c>
      <c r="AL48" s="1" t="e">
        <f ca="1">_xll.BDH($C$28,"CASH_FLOW_GROWTH","FY 2018","FY 2018","Currency=INR","Period=FY","BEST_FPERIOD_OVERRIDE=FY","FILING_STATUS=OR","EQY_CONSOLIDATED=Y","Sort=A","Dates=H","DateFormat=P","Fill=—","Direction=H","UseDPDF=Y")</f>
        <v>#NAME?</v>
      </c>
      <c r="AM48" s="1" t="e">
        <f ca="1">_xll.BDH($C$28,"GEO_GROW_NET_SALES","FY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48" s="1" t="e">
        <f ca="1">_xll.BDH($C$28,"GEO_GROW_EBITDA","FY 2018","FY 2018","Currency=INR","Period=FY","BEST_FPERIOD_OVERRIDE=FY","FILING_STATUS=OR","EQY_CONSOLIDATED=Y","FA_ADJUSTED=GAAP","Sort=A","Dates=H","DateFormat=P","Fill=—","Direction=H","UseDPDF=Y")</f>
        <v>#NAME?</v>
      </c>
      <c r="AO48" s="1" t="e">
        <f ca="1">_xll.BDH($C$28,"GEO_GROW_OPER_INC","FY 2018","FY 2018","Currency=INR","Period=FY","BEST_FPERIOD_OVERRIDE=FY","FILING_STATUS=OR","EQY_CONSOLIDATED=Y","FA_ADJUSTED=GAAP","Sort=A","Dates=H","DateFormat=P","Fill=—","Direction=H","UseDPDF=Y")</f>
        <v>#NAME?</v>
      </c>
      <c r="AP48" s="1" t="e">
        <f ca="1">_xll.BDH($C$28,"NET_INCOME_TO_COMMON_5_YR_GROWTH","FY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8" s="1" t="e">
        <f ca="1">_xll.BDH($C$28,"5Y_GEO_GROWTH_DILUTED_EPS","FY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8" s="1" t="e">
        <f ca="1">_xll.BDH($C$28,"GEO_GROW_DVD_PER_SH","FY 2018","FY 2018","Currency=INR","Period=FY","BEST_FPERIOD_OVERRIDE=FY","FILING_STATUS=OR","EQY_CONSOLIDATED=Y","Sort=A","Dates=H","DateFormat=P","Fill=—","Direction=H","UseDPDF=Y")</f>
        <v>#NAME?</v>
      </c>
      <c r="AS48" s="1" t="e">
        <f ca="1">_xll.BDH($C$28,"ACCOUNTS_RECEIVABLE_5_YR_GROWTH","FY 2018","FY 2018","Currency=INR","Period=FY","BEST_FPERIOD_OVERRIDE=FY","FILING_STATUS=OR","EQY_CONSOLIDATED=Y","Sort=A","Dates=H","DateFormat=P","Fill=—","Direction=H","UseDPDF=Y")</f>
        <v>#NAME?</v>
      </c>
      <c r="AT48" s="1" t="e">
        <f ca="1">_xll.BDH($C$28,"INVENTORY_5_YEAR_GROWTH","FY 2018","FY 2018","Currency=INR","Period=FY","BEST_FPERIOD_OVERRIDE=FY","FILING_STATUS=OR","EQY_CONSOLIDATED=Y","Sort=A","Dates=H","DateFormat=P","Fill=—","Direction=H","UseDPDF=Y")</f>
        <v>#NAME?</v>
      </c>
      <c r="AU48" s="1" t="e">
        <f ca="1">_xll.BDH($C$28,"NET_FIXED_ASSETS_5_YEAR_GROWTH","FY 2018","FY 2018","Currency=INR","Period=FY","BEST_FPERIOD_OVERRIDE=FY","FILING_STATUS=OR","EQY_CONSOLIDATED=Y","Sort=A","Dates=H","DateFormat=P","Fill=—","Direction=H","UseDPDF=Y")</f>
        <v>#NAME?</v>
      </c>
      <c r="AV48" s="1" t="e">
        <f ca="1">_xll.BDH($C$28,"GEO_GROW_TOT_ASSET","FY 2018","FY 2018","Currency=INR","Period=FY","BEST_FPERIOD_OVERRIDE=FY","FILING_STATUS=OR","EQY_CONSOLIDATED=Y","Sort=A","Dates=H","DateFormat=P","Fill=—","Direction=H","UseDPDF=Y")</f>
        <v>#NAME?</v>
      </c>
      <c r="AW48" s="1" t="e">
        <f ca="1">_xll.BDH($C$28,"MODIFIED_WORKING_CPTL_5YR_GRWTH","FY 2018","FY 2018","Currency=INR","Period=FY","BEST_FPERIOD_OVERRIDE=FY","FILING_STATUS=OR","EQY_CONSOLIDATED=Y","Sort=A","Dates=H","DateFormat=P","Fill=—","Direction=H","UseDPDF=Y")</f>
        <v>#NAME?</v>
      </c>
      <c r="AX48" s="1" t="e">
        <f ca="1">_xll.BDH($C$28,"WORKING_CAPITAL_5_YEAR_GROWTH","FY 2018","FY 2018","Currency=INR","Period=FY","BEST_FPERIOD_OVERRIDE=FY","FILING_STATUS=OR","EQY_CONSOLIDATED=Y","Sort=A","Dates=H","DateFormat=P","Fill=—","Direction=H","UseDPDF=Y")</f>
        <v>#NAME?</v>
      </c>
      <c r="AY48" s="1" t="e">
        <f ca="1">_xll.BDH($C$28,"ACCOUNTS_PAYABLE_5_YEAR_GROWTH","FY 2018","FY 2018","Currency=INR","Period=FY","BEST_FPERIOD_OVERRIDE=FY","FILING_STATUS=OR","EQY_CONSOLIDATED=Y","Sort=A","Dates=H","DateFormat=P","Fill=—","Direction=H","UseDPDF=Y")</f>
        <v>#NAME?</v>
      </c>
      <c r="AZ48" s="1" t="e">
        <f ca="1">_xll.BDH($C$28,"SHORT_TERM_DEBT_5_YEAR_GROWTH","FY 2018","FY 2018","Currency=INR","Period=FY","BEST_FPERIOD_OVERRIDE=FY","FILING_STATUS=OR","EQY_CONSOLIDATED=Y","Sort=A","Dates=H","DateFormat=P","Fill=—","Direction=H","UseDPDF=Y")</f>
        <v>#NAME?</v>
      </c>
      <c r="BA48" s="1" t="e">
        <f ca="1">_xll.BDH($C$28,"TOTAL_DEBT_5_YEAR_GROWTH","FY 2018","FY 2018","Currency=INR","Period=FY","BEST_FPERIOD_OVERRIDE=FY","FILING_STATUS=OR","EQY_CONSOLIDATED=Y","Sort=A","Dates=H","DateFormat=P","Fill=—","Direction=H","UseDPDF=Y")</f>
        <v>#NAME?</v>
      </c>
      <c r="BB48" s="1" t="e">
        <f ca="1">_xll.BDH($C$28,"GEO_GROW_TOT_SHRHLDR_EQY","FY 2018","FY 2018","Currency=INR","Period=FY","BEST_FPERIOD_OVERRIDE=FY","FILING_STATUS=OR","EQY_CONSOLIDATED=Y","Sort=A","Dates=H","DateFormat=P","Fill=—","Direction=H","UseDPDF=Y")</f>
        <v>#NAME?</v>
      </c>
      <c r="BC48" s="1" t="e">
        <f ca="1">_xll.BDH($C$28,"TOTAL_CAPITAL_5_YEAR_GROWTH","FY 2018","FY 2018","Currency=INR","Period=FY","BEST_FPERIOD_OVERRIDE=FY","FILING_STATUS=OR","EQY_CONSOLIDATED=Y","Sort=A","Dates=H","DateFormat=P","Fill=—","Direction=H","UseDPDF=Y")</f>
        <v>#NAME?</v>
      </c>
      <c r="BD48" s="1" t="e">
        <f ca="1">_xll.BDH($C$28,"GEO_GROW_BOOK_VAL","FY 2018","FY 2018","Currency=INR","Period=FY","BEST_FPERIOD_OVERRIDE=FY","FILING_STATUS=OR","EQY_CONSOLIDATED=Y","Sort=A","Dates=H","DateFormat=P","Fill=—","Direction=H","UseDPDF=Y")</f>
        <v>#NAME?</v>
      </c>
      <c r="BE48" s="1" t="e">
        <f ca="1">_xll.BDH($C$28,"GEO_GROW_CASH_OPER_ACT","FY 2018","FY 2018","Currency=INR","Period=FY","BEST_FPERIOD_OVERRIDE=FY","FILING_STATUS=OR","EQY_CONSOLIDATED=Y","Sort=A","Dates=H","DateFormat=P","Fill=—","Direction=H","UseDPDF=Y")</f>
        <v>#NAME?</v>
      </c>
      <c r="BF48" s="1" t="e">
        <f ca="1">_xll.BDH($C$28,"REVENUE_SEQUENTIAL_GROWTH","FY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8" s="1" t="e">
        <f ca="1">_xll.BDH($C$28,"EBITDA_SEQUENTIAL_GROWTH","FY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8" s="1" t="e">
        <f ca="1">_xll.BDH($C$28,"OPERATING_INCOME_SEQ_GROWTH","FY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8" s="1" t="e">
        <f ca="1">_xll.BDH($C$28,"NET_INCOME_TO_COMMON_SEQ_GROWTH","FY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8" s="1" t="e">
        <f ca="1">_xll.BDH($C$28,"EPS_DILUTED_SEQUENTIAL_GROWTH","FY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8" s="1" t="e">
        <f ca="1">_xll.BDH($C$28,"DPS_SEQUENTIAL_GROWTH","FY 2018","FY 2018","Currency=INR","Period=FY","BEST_FPERIOD_OVERRIDE=FY","FILING_STATUS=OR","EQY_CONSOLIDATED=Y","Sort=A","Dates=H","DateFormat=P","Fill=—","Direction=H","UseDPDF=Y")</f>
        <v>#NAME?</v>
      </c>
      <c r="BL48" s="1" t="e">
        <f ca="1">_xll.BDH($C$28,"ACCOUNTS_RECEIVABLE_SEQ_GROWTH","FY 2018","FY 2018","Currency=INR","Period=FY","BEST_FPERIOD_OVERRIDE=FY","FILING_STATUS=OR","EQY_CONSOLIDATED=Y","Sort=A","Dates=H","DateFormat=P","Fill=—","Direction=H","UseDPDF=Y")</f>
        <v>#NAME?</v>
      </c>
      <c r="BM48" s="1" t="e">
        <f ca="1">_xll.BDH($C$28,"INVENTORY_SEQUENTIAL_GROWTH","FY 2018","FY 2018","Currency=INR","Period=FY","BEST_FPERIOD_OVERRIDE=FY","FILING_STATUS=OR","EQY_CONSOLIDATED=Y","Sort=A","Dates=H","DateFormat=P","Fill=—","Direction=H","UseDPDF=Y")</f>
        <v>#NAME?</v>
      </c>
      <c r="BN48" s="1" t="e">
        <f ca="1">_xll.BDH($C$28,"FIXED_ASSETS_SEQUENTIAL_GROWTH","FY 2018","FY 2018","Currency=INR","Period=FY","BEST_FPERIOD_OVERRIDE=FY","FILING_STATUS=OR","EQY_CONSOLIDATED=Y","Sort=A","Dates=H","DateFormat=P","Fill=—","Direction=H","UseDPDF=Y")</f>
        <v>#NAME?</v>
      </c>
      <c r="BO48" s="1" t="e">
        <f ca="1">_xll.BDH($C$28,"TOTAL_ASSETS_SEQUENTIAL_GROWTH","FY 2018","FY 2018","Currency=INR","Period=FY","BEST_FPERIOD_OVERRIDE=FY","FILING_STATUS=OR","EQY_CONSOLIDATED=Y","Sort=A","Dates=H","DateFormat=P","Fill=—","Direction=H","UseDPDF=Y")</f>
        <v>#NAME?</v>
      </c>
      <c r="BP48" s="1" t="e">
        <f ca="1">_xll.BDH($C$28,"MODIFIED_WORKING_CPTL_SEQ_GRWTH","FY 2018","FY 2018","Currency=INR","Period=FY","BEST_FPERIOD_OVERRIDE=FY","FILING_STATUS=OR","EQY_CONSOLIDATED=Y","Sort=A","Dates=H","DateFormat=P","Fill=—","Direction=H","UseDPDF=Y")</f>
        <v>#NAME?</v>
      </c>
      <c r="BQ48" s="1" t="e">
        <f ca="1">_xll.BDH($C$28,"WORKING_CAPITAL_SEQ_GROWTH","FY 2018","FY 2018","Currency=INR","Period=FY","BEST_FPERIOD_OVERRIDE=FY","FILING_STATUS=OR","EQY_CONSOLIDATED=Y","Sort=A","Dates=H","DateFormat=P","Fill=—","Direction=H","UseDPDF=Y")</f>
        <v>#NAME?</v>
      </c>
      <c r="BR48" s="1" t="e">
        <f ca="1">_xll.BDH($C$28,"ACCOUNTS_PAYABLE_SEQ_GROWTH","FY 2018","FY 2018","Currency=INR","Period=FY","BEST_FPERIOD_OVERRIDE=FY","FILING_STATUS=OR","EQY_CONSOLIDATED=Y","Sort=A","Dates=H","DateFormat=P","Fill=—","Direction=H","UseDPDF=Y")</f>
        <v>#NAME?</v>
      </c>
      <c r="BS48" s="1" t="e">
        <f ca="1">_xll.BDH($C$28,"ST_DEBT_SEQUENTIAL_GROWTH","FY 2018","FY 2018","Currency=INR","Period=FY","BEST_FPERIOD_OVERRIDE=FY","FILING_STATUS=OR","EQY_CONSOLIDATED=Y","Sort=A","Dates=H","DateFormat=P","Fill=—","Direction=H","UseDPDF=Y")</f>
        <v>#NAME?</v>
      </c>
      <c r="BT48" s="1" t="e">
        <f ca="1">_xll.BDH($C$28,"TOTAL_DEBT_SEQUENTIAL_GROWTH","FY 2018","FY 2018","Currency=INR","Period=FY","BEST_FPERIOD_OVERRIDE=FY","FILING_STATUS=OR","EQY_CONSOLIDATED=Y","Sort=A","Dates=H","DateFormat=P","Fill=—","Direction=H","UseDPDF=Y")</f>
        <v>#NAME?</v>
      </c>
      <c r="BU48" s="1" t="e">
        <f ca="1">_xll.BDH($C$28,"TOTAL_EQUITY_SEQUENTIAL_GROWTH","FY 2018","FY 2018","Currency=INR","Period=FY","BEST_FPERIOD_OVERRIDE=FY","FILING_STATUS=OR","EQY_CONSOLIDATED=Y","Sort=A","Dates=H","DateFormat=P","Fill=—","Direction=H","UseDPDF=Y")</f>
        <v>#NAME?</v>
      </c>
      <c r="BV48" s="1" t="e">
        <f ca="1">_xll.BDH($C$28,"TOTAL_CAPITAL_SEQUENTIAL_GROWTH","FY 2018","FY 2018","Currency=INR","Period=FY","BEST_FPERIOD_OVERRIDE=FY","FILING_STATUS=OR","EQY_CONSOLIDATED=Y","Sort=A","Dates=H","DateFormat=P","Fill=—","Direction=H","UseDPDF=Y")</f>
        <v>#NAME?</v>
      </c>
      <c r="BW48" s="1" t="e">
        <f ca="1">_xll.BDH($C$28,"BPS_SEQUENTIAL_GROWTH","FY 2018","FY 2018","Currency=INR","Period=FY","BEST_FPERIOD_OVERRIDE=FY","FILING_STATUS=OR","EQY_CONSOLIDATED=Y","Sort=A","Dates=H","DateFormat=P","Fill=—","Direction=H","UseDPDF=Y")</f>
        <v>#NAME?</v>
      </c>
      <c r="BX48" s="1" t="e">
        <f ca="1">_xll.BDH($C$28,"CFO_SEQUENTIAL_GROWTH","FY 2018","FY 2018","Currency=INR","Period=FY","BEST_FPERIOD_OVERRIDE=FY","FILING_STATUS=OR","EQY_CONSOLIDATED=Y","Sort=A","Dates=H","DateFormat=P","Fill=—","Direction=H","UseDPDF=Y")</f>
        <v>#NAME?</v>
      </c>
      <c r="BY48" s="2" t="e">
        <f ca="1">_xll.BDH($C$28,"SHORT_AND_LONG_TERM_DEBT","FY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8" s="2" t="e">
        <f ca="1">_xll.BDH($C$28,"BS_ST_BORROW","FY 2018","FY 2018","Currency=INR","Period=FY","BEST_FPERIOD_OVERRIDE=FY","FILING_STATUS=OR","EQY_CONSOLIDATED=Y","SCALING_FORMAT=MLN","Sort=A","Dates=H","DateFormat=P","Fill=—","Direction=H","UseDPDF=Y")</f>
        <v>#NAME?</v>
      </c>
      <c r="CA48" s="2" t="e">
        <f ca="1">_xll.BDH($C$28,"BS_LT_BORROW","FY 2018","FY 2018","Currency=INR","Period=FY","BEST_FPERIOD_OVERRIDE=FY","FILING_STATUS=OR","EQY_CONSOLIDATED=Y","SCALING_FORMAT=MLN","Sort=A","Dates=H","DateFormat=P","Fill=—","Direction=H","UseDPDF=Y")</f>
        <v>#NAME?</v>
      </c>
      <c r="CB48" s="1" t="e">
        <f ca="1">_xll.BDH($C$28,"TOT_DEBT_TO_EBITDA","FY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48" s="1" t="e">
        <f ca="1">_xll.BDH($C$28,"NET_DEBT_TO_EBITDA","FY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48" s="1" t="e">
        <f ca="1">_xll.BDH($C$28,"TOTAL_DEBT_TO_EBIT","FY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48" s="1" t="e">
        <f ca="1">_xll.BDH($C$28,"NET_DEBT_TO_EBIT","FY 2018","FY 2018","Currency=INR","Period=FY","BEST_FPERIOD_OVERRIDE=FY","FILING_STATUS=OR","EQY_CONSOLIDATED=Y","FA_ADJUSTED=GAAP","Sort=A","Dates=H","DateFormat=P","Fill=—","Direction=H","UseDPDF=Y")</f>
        <v>#NAME?</v>
      </c>
      <c r="CF48" s="1" t="e">
        <f ca="1">_xll.BDH($C$28,"EBITDA_TO_INTEREST_EXPN","FY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8" s="1" t="e">
        <f ca="1">_xll.BDH($C$28,"COM_EQY_TO_TOT_ASSET","FY 2018","FY 2018","Currency=INR","Period=FY","BEST_FPERIOD_OVERRIDE=FY","FILING_STATUS=OR","EQY_CONSOLIDATED=Y","Sort=A","Dates=H","DateFormat=P","Fill=—","Direction=H","UseDPDF=Y")</f>
        <v>#NAME?</v>
      </c>
      <c r="CH48" s="1" t="e">
        <f ca="1">_xll.BDH($C$28,"LT_DEBT_TO_TOT_EQY","FY 2018","FY 2018","Currency=INR","Period=FY","BEST_FPERIOD_OVERRIDE=FY","FILING_STATUS=OR","EQY_CONSOLIDATED=Y","Sort=A","Dates=H","DateFormat=P","Fill=—","Direction=H","UseDPDF=Y")</f>
        <v>#NAME?</v>
      </c>
      <c r="CI48" s="1" t="e">
        <f ca="1">_xll.BDH($C$28,"LT_DEBT_TO_TOT_CAP","FY 2018","FY 2018","Currency=INR","Period=FY","BEST_FPERIOD_OVERRIDE=FY","FILING_STATUS=OR","EQY_CONSOLIDATED=Y","Sort=A","Dates=H","DateFormat=P","Fill=—","Direction=H","UseDPDF=Y")</f>
        <v>#NAME?</v>
      </c>
      <c r="CJ48" s="1" t="e">
        <f ca="1">_xll.BDH($C$28,"LT_DEBT_TO_TOT_ASSET","FY 2018","FY 2018","Currency=INR","Period=FY","BEST_FPERIOD_OVERRIDE=FY","FILING_STATUS=OR","EQY_CONSOLIDATED=Y","Sort=A","Dates=H","DateFormat=P","Fill=—","Direction=H","UseDPDF=Y")</f>
        <v>#NAME?</v>
      </c>
      <c r="CK48" s="1" t="e">
        <f ca="1">_xll.BDH($C$28,"TOT_DEBT_TO_TOT_EQY","FY 2018","FY 2018","Currency=INR","Period=FY","BEST_FPERIOD_OVERRIDE=FY","FILING_STATUS=OR","EQY_CONSOLIDATED=Y","Sort=A","Dates=H","DateFormat=P","Fill=—","Direction=H","UseDPDF=Y")</f>
        <v>#NAME?</v>
      </c>
      <c r="CL48" s="1" t="e">
        <f ca="1">_xll.BDH($C$28,"TOT_DEBT_TO_TOT_CAP","FY 2018","FY 2018","Currency=INR","Period=FY","BEST_FPERIOD_OVERRIDE=FY","FILING_STATUS=OR","EQY_CONSOLIDATED=Y","Sort=A","Dates=H","DateFormat=P","Fill=—","Direction=H","UseDPDF=Y")</f>
        <v>#NAME?</v>
      </c>
      <c r="CM48" s="1" t="e">
        <f ca="1">_xll.BDH($C$28,"TOT_DEBT_TO_TOT_ASSET","FY 2018","FY 2018","Currency=INR","Period=FY","BEST_FPERIOD_OVERRIDE=FY","FILING_STATUS=OR","EQY_CONSOLIDATED=Y","Sort=A","Dates=H","DateFormat=P","Fill=—","Direction=H","UseDPDF=Y")</f>
        <v>#NAME?</v>
      </c>
      <c r="CN48" s="1" t="e">
        <f ca="1">_xll.BDH($C$28,"NET_DEBT_TO_SHRHLDR_EQTY","FY 2018","FY 2018","Currency=INR","Period=FY","BEST_FPERIOD_OVERRIDE=FY","FILING_STATUS=OR","EQY_CONSOLIDATED=Y","Sort=A","Dates=H","DateFormat=P","Fill=—","Direction=H","UseDPDF=Y")</f>
        <v>#NAME?</v>
      </c>
      <c r="CO48" s="1" t="e">
        <f ca="1">_xll.BDH($C$28,"NET_DEBT_%_CAPITAL","FY 2018","FY 2018","Currency=INR","Period=FY","BEST_FPERIOD_OVERRIDE=FY","FILING_STATUS=OR","EQY_CONSOLIDATED=Y","Sort=A","Dates=H","DateFormat=P","Fill=—","Direction=H","UseDPDF=Y")</f>
        <v>#NAME?</v>
      </c>
      <c r="CP48" s="2" t="e">
        <f ca="1">_xll.BDH($C$28,"EBITDA","FY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8" s="2" t="e">
        <f ca="1">_xll.BDH($C$28,"EBITDA_AFTER_CAPEX","FY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8" s="2" t="e">
        <f ca="1">_xll.BDH($C$28,"IS_OPER_INC","FY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8" s="1" t="e">
        <f ca="1">_xll.BDH($C$28,"CASH_RATIO","FY 2018","FY 2018","Currency=INR","Period=FY","BEST_FPERIOD_OVERRIDE=FY","FILING_STATUS=OR","EQY_CONSOLIDATED=Y","Sort=A","Dates=H","DateFormat=P","Fill=—","Direction=H","UseDPDF=Y")</f>
        <v>#NAME?</v>
      </c>
      <c r="CT48" s="1" t="e">
        <f ca="1">_xll.BDH($C$28,"CUR_RATIO","FY 2018","FY 2018","Currency=INR","Period=FY","BEST_FPERIOD_OVERRIDE=FY","FILING_STATUS=OR","EQY_CONSOLIDATED=Y","Sort=A","Dates=H","DateFormat=P","Fill=—","Direction=H","UseDPDF=Y")</f>
        <v>#NAME?</v>
      </c>
      <c r="CU48" s="1" t="e">
        <f ca="1">_xll.BDH($C$28,"QUICK_RATIO","FY 2018","FY 2018","Currency=INR","Period=FY","BEST_FPERIOD_OVERRIDE=FY","FILING_STATUS=OR","EQY_CONSOLIDATED=Y","Sort=A","Dates=H","DateFormat=P","Fill=—","Direction=H","UseDPDF=Y")</f>
        <v>#NAME?</v>
      </c>
      <c r="CV48" s="1" t="e">
        <f ca="1">_xll.BDH($C$28,"ALTMAN_Z_SCORE","FY 2018","FY 2018","Currency=INR","Period=FY","BEST_FPERIOD_OVERRIDE=FY","FILING_STATUS=OR","EQY_CONSOLIDATED=Y","Sort=A","Dates=H","DateFormat=P","Fill=—","Direction=H","UseDPDF=Y")</f>
        <v>#NAME?</v>
      </c>
      <c r="CW48" s="3" t="e">
        <f ca="1">_xll.BDH($C$28,"ACCT_RCV_TURN","FY 2018","FY 2018","Currency=INR","Period=FY","BEST_FPERIOD_OVERRIDE=FY","FILING_STATUS=OR","EQY_CONSOLIDATED=Y","FA_ADJUSTED=GAAP","Sort=A","Dates=H","DateFormat=P","Fill=—","Direction=H","UseDPDF=Y")</f>
        <v>#NAME?</v>
      </c>
      <c r="CX48" s="1" t="e">
        <f ca="1">_xll.BDH($C$28,"ACCT_RCV_DAYS","FY 2018","FY 2018","Currency=INR","Period=FY","BEST_FPERIOD_OVERRIDE=FY","FILING_STATUS=OR","EQY_CONSOLIDATED=Y","FA_ADJUSTED=GAAP","Sort=A","Dates=H","DateFormat=P","Fill=—","Direction=H","UseDPDF=Y")</f>
        <v>#NAME?</v>
      </c>
      <c r="CY48" s="3" t="e">
        <f ca="1">_xll.BDH($C$28,"INVENT_TURN","FY 2018","FY 2018","Currency=INR","Period=FY","BEST_FPERIOD_OVERRIDE=FY","FILING_STATUS=OR","EQY_CONSOLIDATED=Y","FA_ADJUSTED=GAAP","Sort=A","Dates=H","DateFormat=P","Fill=—","Direction=H","UseDPDF=Y")</f>
        <v>#NAME?</v>
      </c>
      <c r="CZ48" s="1" t="e">
        <f ca="1">_xll.BDH($C$28,"INVENT_DAYS","FY 2018","FY 2018","Currency=INR","Period=FY","BEST_FPERIOD_OVERRIDE=FY","FILING_STATUS=OR","EQY_CONSOLIDATED=Y","FA_ADJUSTED=GAAP","Sort=A","Dates=H","DateFormat=P","Fill=—","Direction=H","UseDPDF=Y")</f>
        <v>#NAME?</v>
      </c>
      <c r="DA48" s="3" t="e">
        <f ca="1">_xll.BDH($C$28,"ACCOUNTS_PAYABLE_TURNOVER","FY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8" s="1" t="e">
        <f ca="1">_xll.BDH($C$28,"ACCOUNTS_PAYABLE_TURNOVER_DAYS","FY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8" s="3" t="e">
        <f ca="1">_xll.BDH($C$28,"CASH_CONVERSION_CYCLE","FY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8" s="3" t="e">
        <f ca="1">_xll.BDH($C$28,"INV_TO_CASH_DAYS","FY 2018","FY 2018","Currency=INR","Period=FY","BEST_FPERIOD_OVERRIDE=FY","FILING_STATUS=OR","EQY_CONSOLIDATED=Y","FA_ADJUSTED=GAAP","Sort=A","Dates=H","DateFormat=P","Fill=—","Direction=H","UseDPDF=Y")</f>
        <v>#NAME?</v>
      </c>
      <c r="DE48" s="4" t="e">
        <f ca="1">_xll.BDH($C$28,"BS_INVENTORIES","FY 2018","FY 2018","Currency=INR","Period=FY","BEST_FPERIOD_OVERRIDE=FY","FILING_STATUS=OR","EQY_CONSOLIDATED=Y","SCALING_FORMAT=MLN","Sort=A","Dates=H","DateFormat=P","Fill=—","Direction=H","UseDPDF=Y")</f>
        <v>#NAME?</v>
      </c>
      <c r="DF48" s="2" t="e">
        <f ca="1">_xll.BDH($C$28,"INVTRY_RAW_MATERIALS","FY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8" s="2" t="e">
        <f ca="1">_xll.BDH($C$28,"INVTRY_IN_PROGRESS","FY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8" s="2" t="e">
        <f ca="1">_xll.BDH($C$28,"INVTRY_FINISHED_GOODS","FY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8" s="2" t="e">
        <f ca="1">_xll.BDH($C$28,"BS_OTHER_INV","FY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9" spans="1:113" x14ac:dyDescent="0.3">
      <c r="A49" s="6"/>
      <c r="B49" s="6"/>
      <c r="C49" s="6"/>
      <c r="D49" s="6"/>
      <c r="E49" t="s">
        <v>4</v>
      </c>
      <c r="F49" t="e">
        <f ca="1">_xll.BDH($C$28,"RETURN_COM_EQY","FQ1 2018","FQ1 2018","Currency=INR","Period=FQ","BEST_FPERIOD_OVERRIDE=FQ","FILING_STATUS=OR","EQY_CONSOLIDATED=Y","FA_ADJUSTED=GAAP","Sort=A","Dates=H","DateFormat=P","Fill=—","Direction=H","UseDPDF=Y")</f>
        <v>#NAME?</v>
      </c>
      <c r="G49" t="e">
        <f ca="1">_xll.BDH($C$28,"RETURN_ON_ASSET","FQ1 2018","FQ1 2018","Currency=INR","Period=FQ","BEST_FPERIOD_OVERRIDE=FQ","FILING_STATUS=OR","EQY_CONSOLIDATED=Y","FA_ADJUSTED=GAAP","Sort=A","Dates=H","DateFormat=P","Fill=—","Direction=H","UseDPDF=Y")</f>
        <v>#NAME?</v>
      </c>
      <c r="H49" t="e">
        <f ca="1">_xll.BDH($C$28,"RETURN_ON_CAP","FQ1 2018","FQ1 2018","Currency=INR","Period=FQ","BEST_FPERIOD_OVERRIDE=FQ","FILING_STATUS=OR","EQY_CONSOLIDATED=Y","FA_ADJUSTED=GAAP","Sort=A","Dates=H","DateFormat=P","Fill=—","Direction=H","UseDPDF=Y")</f>
        <v>#NAME?</v>
      </c>
      <c r="I49" t="e">
        <f ca="1">_xll.BDH($C$28,"RETURN_ON_INV_CAPITAL","FQ1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9" t="e">
        <f ca="1">_xll.BDH($C$28,"EBITDA_TO_REVENUE","FQ1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49" t="e">
        <f ca="1">_xll.BDH($C$28,"OPER_MARGIN","FQ1 2018","FQ1 2018","Currency=INR","Period=FQ","BEST_FPERIOD_OVERRIDE=FQ","FILING_STATUS=OR","EQY_CONSOLIDATED=Y","FA_ADJUSTED=GAAP","Sort=A","Dates=H","DateFormat=P","Fill=—","Direction=H","UseDPDF=Y")</f>
        <v>#NAME?</v>
      </c>
      <c r="L49" t="e">
        <f ca="1">_xll.BDH($C$28,"INCREMENTAL_OPERATING_MARGIN","FQ1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9" t="e">
        <f ca="1">_xll.BDH($C$28,"PRETAX_INC_TO_NET_SALES","FQ1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9" t="e">
        <f ca="1">_xll.BDH($C$28,"INC_BEF_XO_ITEMS_TO_NET_SALES","FQ1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9" t="e">
        <f ca="1">_xll.BDH($C$28,"PROF_MARGIN","FQ1 2018","FQ1 2018","Currency=INR","Period=FQ","BEST_FPERIOD_OVERRIDE=FQ","FILING_STATUS=OR","EQY_CONSOLIDATED=Y","FA_ADJUSTED=GAAP","Sort=A","Dates=H","DateFormat=P","Fill=—","Direction=H","UseDPDF=Y")</f>
        <v>#NAME?</v>
      </c>
      <c r="P49" t="e">
        <f ca="1">_xll.BDH($C$28,"NET_INCOME_TO_COMMON_MARGIN","FQ1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9" t="e">
        <f ca="1">_xll.BDH($C$28,"EFF_TAX_RATE","FQ1 2018","FQ1 2018","Currency=INR","Period=FQ","BEST_FPERIOD_OVERRIDE=FQ","FILING_STATUS=OR","EQY_CONSOLIDATED=Y","FA_ADJUSTED=GAAP","Sort=A","Dates=H","DateFormat=P","Fill=—","Direction=H","UseDPDF=Y")</f>
        <v>#NAME?</v>
      </c>
      <c r="R49" t="e">
        <f ca="1">_xll.BDH($C$28,"DVD_PAYOUT_RATIO","FQ1 2018","FQ1 2018","Currency=INR","Period=FQ","BEST_FPERIOD_OVERRIDE=FQ","FILING_STATUS=OR","EQY_CONSOLIDATED=Y","FA_ADJUSTED=GAAP","Sort=A","Dates=H","DateFormat=P","Fill=—","Direction=H","UseDPDF=Y")</f>
        <v>#NAME?</v>
      </c>
      <c r="S49" t="e">
        <f ca="1">_xll.BDH($C$28,"SUSTAIN_GROWTH_RT","FQ1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49" s="1" t="e">
        <f ca="1">_xll.BDH($C$28,"SALES_GROWTH","FQ1 2018","FQ1 2018","Currency=INR","Period=FQ","BEST_FPERIOD_OVERRIDE=FQ","FILING_STATUS=OR","EQY_CONSOLIDATED=Y","FA_ADJUSTED=GAAP","Sort=A","Dates=H","DateFormat=P","Fill=—","Direction=H","UseDPDF=Y")</f>
        <v>#NAME?</v>
      </c>
      <c r="U49" s="1" t="e">
        <f ca="1">_xll.BDH($C$28,"EBITDA_GROWTH","FQ1 2018","FQ1 2018","Currency=INR","Period=FQ","BEST_FPERIOD_OVERRIDE=FQ","FILING_STATUS=OR","EQY_CONSOLIDATED=Y","FA_ADJUSTED=GAAP","Sort=A","Dates=H","DateFormat=P","Fill=—","Direction=H","UseDPDF=Y")</f>
        <v>#NAME?</v>
      </c>
      <c r="V49" s="1" t="e">
        <f ca="1">_xll.BDH($C$28,"OPER_INC_GROWTH","FQ1 2018","FQ1 2018","Currency=INR","Period=FQ","BEST_FPERIOD_OVERRIDE=FQ","FILING_STATUS=OR","EQY_CONSOLIDATED=Y","FA_ADJUSTED=GAAP","Sort=A","Dates=H","DateFormat=P","Fill=—","Direction=H","UseDPDF=Y")</f>
        <v>#NAME?</v>
      </c>
      <c r="W49" s="1" t="e">
        <f ca="1">_xll.BDH($C$28,"EARN_FOR_COM_GROWTH","FQ1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9" s="1" t="e">
        <f ca="1">_xll.BDH($C$28,"DILUTED_EPS_AFT_XO_ITEMS_GROWTH","FQ1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9" s="1" t="e">
        <f ca="1">_xll.BDH($C$28,"DIVIDEND_PER_SHARE_1_YEAR_GROWTH","FQ1 2018","FQ1 2018","Currency=INR","Period=FQ","BEST_FPERIOD_OVERRIDE=FQ","FILING_STATUS=OR","EQY_CONSOLIDATED=Y","Sort=A","Dates=H","DateFormat=P","Fill=—","Direction=H","UseDPDF=Y")</f>
        <v>#NAME?</v>
      </c>
      <c r="Z49" s="1" t="e">
        <f ca="1">_xll.BDH($C$28,"ACCOUNTS_RECEIVABLE_GROWTH","FQ1 2018","FQ1 2018","Currency=INR","Period=FQ","BEST_FPERIOD_OVERRIDE=FQ","FILING_STATUS=OR","EQY_CONSOLIDATED=Y","Sort=A","Dates=H","DateFormat=P","Fill=—","Direction=H","UseDPDF=Y")</f>
        <v>#NAME?</v>
      </c>
      <c r="AA49" s="1" t="e">
        <f ca="1">_xll.BDH($C$28,"INVENTORY_GROWTH","FQ1 2018","FQ1 2018","Currency=INR","Period=FQ","BEST_FPERIOD_OVERRIDE=FQ","FILING_STATUS=OR","EQY_CONSOLIDATED=Y","Sort=A","Dates=H","DateFormat=P","Fill=—","Direction=H","UseDPDF=Y")</f>
        <v>#NAME?</v>
      </c>
      <c r="AB49" s="1" t="e">
        <f ca="1">_xll.BDH($C$28,"NET_FIXED_ASSETS_1_YEAR_GROWTH","FQ1 2018","FQ1 2018","Currency=INR","Period=FQ","BEST_FPERIOD_OVERRIDE=FQ","FILING_STATUS=OR","EQY_CONSOLIDATED=Y","Sort=A","Dates=H","DateFormat=P","Fill=—","Direction=H","UseDPDF=Y")</f>
        <v>#NAME?</v>
      </c>
      <c r="AC49" s="1" t="e">
        <f ca="1">_xll.BDH($C$28,"ASSET_GROWTH","FQ1 2018","FQ1 2018","Currency=INR","Period=FQ","BEST_FPERIOD_OVERRIDE=FQ","FILING_STATUS=OR","EQY_CONSOLIDATED=Y","Sort=A","Dates=H","DateFormat=P","Fill=—","Direction=H","UseDPDF=Y")</f>
        <v>#NAME?</v>
      </c>
      <c r="AD49" s="1" t="e">
        <f ca="1">_xll.BDH($C$28,"MODIFIED_WORK_CAP_GROWTH","FQ1 2018","FQ1 2018","Currency=INR","Period=FQ","BEST_FPERIOD_OVERRIDE=FQ","FILING_STATUS=OR","EQY_CONSOLIDATED=Y","Sort=A","Dates=H","DateFormat=P","Fill=—","Direction=H","UseDPDF=Y")</f>
        <v>#NAME?</v>
      </c>
      <c r="AE49" s="1" t="e">
        <f ca="1">_xll.BDH($C$28,"WORK_CAP_GROWTH","FQ1 2018","FQ1 2018","Currency=INR","Period=FQ","BEST_FPERIOD_OVERRIDE=FQ","FILING_STATUS=OR","EQY_CONSOLIDATED=Y","Sort=A","Dates=H","DateFormat=P","Fill=—","Direction=H","UseDPDF=Y")</f>
        <v>#NAME?</v>
      </c>
      <c r="AF49" s="1" t="e">
        <f ca="1">_xll.BDH($C$28,"ACCOUNTS_PAYABLE_GROWTH_1YR","FQ1 2018","FQ1 2018","Currency=INR","Period=FQ","BEST_FPERIOD_OVERRIDE=FQ","FILING_STATUS=OR","EQY_CONSOLIDATED=Y","Sort=A","Dates=H","DateFormat=P","Fill=—","Direction=H","UseDPDF=Y")</f>
        <v>#NAME?</v>
      </c>
      <c r="AG49" s="1" t="e">
        <f ca="1">_xll.BDH($C$28,"SHORT_TERM_DEBT_1_YEAR_GROWTH","FQ1 2018","FQ1 2018","Currency=INR","Period=FQ","BEST_FPERIOD_OVERRIDE=FQ","FILING_STATUS=OR","EQY_CONSOLIDATED=Y","Sort=A","Dates=H","DateFormat=P","Fill=—","Direction=H","UseDPDF=Y")</f>
        <v>#NAME?</v>
      </c>
      <c r="AH49" s="1" t="e">
        <f ca="1">_xll.BDH($C$28,"TOTAL_DEBT_1_YEAR_GROWTH","FQ1 2018","FQ1 2018","Currency=INR","Period=FQ","BEST_FPERIOD_OVERRIDE=FQ","FILING_STATUS=OR","EQY_CONSOLIDATED=Y","Sort=A","Dates=H","DateFormat=P","Fill=—","Direction=H","UseDPDF=Y")</f>
        <v>#NAME?</v>
      </c>
      <c r="AI49" s="1" t="e">
        <f ca="1">_xll.BDH($C$28,"TOTAL_EQUITY_1_YEAR_GROWTH","FQ1 2018","FQ1 2018","Currency=INR","Period=FQ","BEST_FPERIOD_OVERRIDE=FQ","FILING_STATUS=OR","EQY_CONSOLIDATED=Y","Sort=A","Dates=H","DateFormat=P","Fill=—","Direction=H","UseDPDF=Y")</f>
        <v>#NAME?</v>
      </c>
      <c r="AJ49" s="1" t="e">
        <f ca="1">_xll.BDH($C$28,"GROWTH_IN_CAP","FQ1 2018","FQ1 2018","Currency=INR","Period=FQ","BEST_FPERIOD_OVERRIDE=FQ","FILING_STATUS=OR","EQY_CONSOLIDATED=Y","Sort=A","Dates=H","DateFormat=P","Fill=—","Direction=H","UseDPDF=Y")</f>
        <v>#NAME?</v>
      </c>
      <c r="AK49" s="1" t="e">
        <f ca="1">_xll.BDH($C$28,"BVPS_GROWTH","FQ1 2018","FQ1 2018","Currency=INR","Period=FQ","BEST_FPERIOD_OVERRIDE=FQ","FILING_STATUS=OR","EQY_CONSOLIDATED=Y","Sort=A","Dates=H","DateFormat=P","Fill=—","Direction=H","UseDPDF=Y")</f>
        <v>#NAME?</v>
      </c>
      <c r="AL49" s="1" t="e">
        <f ca="1">_xll.BDH($C$28,"CASH_FLOW_GROWTH","FQ1 2018","FQ1 2018","Currency=INR","Period=FQ","BEST_FPERIOD_OVERRIDE=FQ","FILING_STATUS=OR","EQY_CONSOLIDATED=Y","Sort=A","Dates=H","DateFormat=P","Fill=—","Direction=H","UseDPDF=Y")</f>
        <v>#NAME?</v>
      </c>
      <c r="AM49" s="1" t="e">
        <f ca="1">_xll.BDH($C$28,"GEO_GROW_NET_SALES","FQ1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9" s="1" t="e">
        <f ca="1">_xll.BDH($C$28,"GEO_GROW_EBITDA","FQ1 2018","FQ1 2018","Currency=INR","Period=FQ","BEST_FPERIOD_OVERRIDE=FQ","FILING_STATUS=OR","EQY_CONSOLIDATED=Y","FA_ADJUSTED=GAAP","Sort=A","Dates=H","DateFormat=P","Fill=—","Direction=H","UseDPDF=Y")</f>
        <v>#NAME?</v>
      </c>
      <c r="AO49" s="1" t="e">
        <f ca="1">_xll.BDH($C$28,"GEO_GROW_OPER_INC","FQ1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9" s="1" t="e">
        <f ca="1">_xll.BDH($C$28,"NET_INCOME_TO_COMMON_5_YR_GROWTH","FQ1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9" s="1" t="e">
        <f ca="1">_xll.BDH($C$28,"5Y_GEO_GROWTH_DILUTED_EPS","FQ1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9" s="1" t="e">
        <f ca="1">_xll.BDH($C$28,"GEO_GROW_DVD_PER_SH","FQ1 2018","FQ1 2018","Currency=INR","Period=FQ","BEST_FPERIOD_OVERRIDE=FQ","FILING_STATUS=OR","EQY_CONSOLIDATED=Y","Sort=A","Dates=H","DateFormat=P","Fill=—","Direction=H","UseDPDF=Y")</f>
        <v>#NAME?</v>
      </c>
      <c r="AS49" s="1" t="e">
        <f ca="1">_xll.BDH($C$28,"ACCOUNTS_RECEIVABLE_5_YR_GROWTH","FQ1 2018","FQ1 2018","Currency=INR","Period=FQ","BEST_FPERIOD_OVERRIDE=FQ","FILING_STATUS=OR","EQY_CONSOLIDATED=Y","Sort=A","Dates=H","DateFormat=P","Fill=—","Direction=H","UseDPDF=Y")</f>
        <v>#NAME?</v>
      </c>
      <c r="AT49" s="1" t="e">
        <f ca="1">_xll.BDH($C$28,"INVENTORY_5_YEAR_GROWTH","FQ1 2018","FQ1 2018","Currency=INR","Period=FQ","BEST_FPERIOD_OVERRIDE=FQ","FILING_STATUS=OR","EQY_CONSOLIDATED=Y","Sort=A","Dates=H","DateFormat=P","Fill=—","Direction=H","UseDPDF=Y")</f>
        <v>#NAME?</v>
      </c>
      <c r="AU49" s="1" t="e">
        <f ca="1">_xll.BDH($C$28,"NET_FIXED_ASSETS_5_YEAR_GROWTH","FQ1 2018","FQ1 2018","Currency=INR","Period=FQ","BEST_FPERIOD_OVERRIDE=FQ","FILING_STATUS=OR","EQY_CONSOLIDATED=Y","Sort=A","Dates=H","DateFormat=P","Fill=—","Direction=H","UseDPDF=Y")</f>
        <v>#NAME?</v>
      </c>
      <c r="AV49" s="1" t="e">
        <f ca="1">_xll.BDH($C$28,"GEO_GROW_TOT_ASSET","FQ1 2018","FQ1 2018","Currency=INR","Period=FQ","BEST_FPERIOD_OVERRIDE=FQ","FILING_STATUS=OR","EQY_CONSOLIDATED=Y","Sort=A","Dates=H","DateFormat=P","Fill=—","Direction=H","UseDPDF=Y")</f>
        <v>#NAME?</v>
      </c>
      <c r="AW49" s="1" t="e">
        <f ca="1">_xll.BDH($C$28,"MODIFIED_WORKING_CPTL_5YR_GRWTH","FQ1 2018","FQ1 2018","Currency=INR","Period=FQ","BEST_FPERIOD_OVERRIDE=FQ","FILING_STATUS=OR","EQY_CONSOLIDATED=Y","Sort=A","Dates=H","DateFormat=P","Fill=—","Direction=H","UseDPDF=Y")</f>
        <v>#NAME?</v>
      </c>
      <c r="AX49" s="1" t="e">
        <f ca="1">_xll.BDH($C$28,"WORKING_CAPITAL_5_YEAR_GROWTH","FQ1 2018","FQ1 2018","Currency=INR","Period=FQ","BEST_FPERIOD_OVERRIDE=FQ","FILING_STATUS=OR","EQY_CONSOLIDATED=Y","Sort=A","Dates=H","DateFormat=P","Fill=—","Direction=H","UseDPDF=Y")</f>
        <v>#NAME?</v>
      </c>
      <c r="AY49" s="1" t="e">
        <f ca="1">_xll.BDH($C$28,"ACCOUNTS_PAYABLE_5_YEAR_GROWTH","FQ1 2018","FQ1 2018","Currency=INR","Period=FQ","BEST_FPERIOD_OVERRIDE=FQ","FILING_STATUS=OR","EQY_CONSOLIDATED=Y","Sort=A","Dates=H","DateFormat=P","Fill=—","Direction=H","UseDPDF=Y")</f>
        <v>#NAME?</v>
      </c>
      <c r="AZ49" s="1" t="e">
        <f ca="1">_xll.BDH($C$28,"SHORT_TERM_DEBT_5_YEAR_GROWTH","FQ1 2018","FQ1 2018","Currency=INR","Period=FQ","BEST_FPERIOD_OVERRIDE=FQ","FILING_STATUS=OR","EQY_CONSOLIDATED=Y","Sort=A","Dates=H","DateFormat=P","Fill=—","Direction=H","UseDPDF=Y")</f>
        <v>#NAME?</v>
      </c>
      <c r="BA49" s="1" t="e">
        <f ca="1">_xll.BDH($C$28,"TOTAL_DEBT_5_YEAR_GROWTH","FQ1 2018","FQ1 2018","Currency=INR","Period=FQ","BEST_FPERIOD_OVERRIDE=FQ","FILING_STATUS=OR","EQY_CONSOLIDATED=Y","Sort=A","Dates=H","DateFormat=P","Fill=—","Direction=H","UseDPDF=Y")</f>
        <v>#NAME?</v>
      </c>
      <c r="BB49" s="1" t="e">
        <f ca="1">_xll.BDH($C$28,"GEO_GROW_TOT_SHRHLDR_EQY","FQ1 2018","FQ1 2018","Currency=INR","Period=FQ","BEST_FPERIOD_OVERRIDE=FQ","FILING_STATUS=OR","EQY_CONSOLIDATED=Y","Sort=A","Dates=H","DateFormat=P","Fill=—","Direction=H","UseDPDF=Y")</f>
        <v>#NAME?</v>
      </c>
      <c r="BC49" s="1" t="e">
        <f ca="1">_xll.BDH($C$28,"TOTAL_CAPITAL_5_YEAR_GROWTH","FQ1 2018","FQ1 2018","Currency=INR","Period=FQ","BEST_FPERIOD_OVERRIDE=FQ","FILING_STATUS=OR","EQY_CONSOLIDATED=Y","Sort=A","Dates=H","DateFormat=P","Fill=—","Direction=H","UseDPDF=Y")</f>
        <v>#NAME?</v>
      </c>
      <c r="BD49" s="1" t="e">
        <f ca="1">_xll.BDH($C$28,"GEO_GROW_BOOK_VAL","FQ1 2018","FQ1 2018","Currency=INR","Period=FQ","BEST_FPERIOD_OVERRIDE=FQ","FILING_STATUS=OR","EQY_CONSOLIDATED=Y","Sort=A","Dates=H","DateFormat=P","Fill=—","Direction=H","UseDPDF=Y")</f>
        <v>#NAME?</v>
      </c>
      <c r="BE49" s="1" t="e">
        <f ca="1">_xll.BDH($C$28,"GEO_GROW_CASH_OPER_ACT","FQ1 2018","FQ1 2018","Currency=INR","Period=FQ","BEST_FPERIOD_OVERRIDE=FQ","FILING_STATUS=OR","EQY_CONSOLIDATED=Y","Sort=A","Dates=H","DateFormat=P","Fill=—","Direction=H","UseDPDF=Y")</f>
        <v>#NAME?</v>
      </c>
      <c r="BF49" s="1" t="e">
        <f ca="1">_xll.BDH($C$28,"REVENUE_SEQUENTIAL_GROWTH","FQ1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9" s="1" t="e">
        <f ca="1">_xll.BDH($C$28,"EBITDA_SEQUENTIAL_GROWTH","FQ1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9" s="1" t="e">
        <f ca="1">_xll.BDH($C$28,"OPERATING_INCOME_SEQ_GROWTH","FQ1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9" s="1" t="e">
        <f ca="1">_xll.BDH($C$28,"NET_INCOME_TO_COMMON_SEQ_GROWTH","FQ1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9" s="1" t="e">
        <f ca="1">_xll.BDH($C$28,"EPS_DILUTED_SEQUENTIAL_GROWTH","FQ1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9" s="1" t="e">
        <f ca="1">_xll.BDH($C$28,"DPS_SEQUENTIAL_GROWTH","FQ1 2018","FQ1 2018","Currency=INR","Period=FQ","BEST_FPERIOD_OVERRIDE=FQ","FILING_STATUS=OR","EQY_CONSOLIDATED=Y","Sort=A","Dates=H","DateFormat=P","Fill=—","Direction=H","UseDPDF=Y")</f>
        <v>#NAME?</v>
      </c>
      <c r="BL49" s="1" t="e">
        <f ca="1">_xll.BDH($C$28,"ACCOUNTS_RECEIVABLE_SEQ_GROWTH","FQ1 2018","FQ1 2018","Currency=INR","Period=FQ","BEST_FPERIOD_OVERRIDE=FQ","FILING_STATUS=OR","EQY_CONSOLIDATED=Y","Sort=A","Dates=H","DateFormat=P","Fill=—","Direction=H","UseDPDF=Y")</f>
        <v>#NAME?</v>
      </c>
      <c r="BM49" s="1" t="e">
        <f ca="1">_xll.BDH($C$28,"INVENTORY_SEQUENTIAL_GROWTH","FQ1 2018","FQ1 2018","Currency=INR","Period=FQ","BEST_FPERIOD_OVERRIDE=FQ","FILING_STATUS=OR","EQY_CONSOLIDATED=Y","Sort=A","Dates=H","DateFormat=P","Fill=—","Direction=H","UseDPDF=Y")</f>
        <v>#NAME?</v>
      </c>
      <c r="BN49" s="1" t="e">
        <f ca="1">_xll.BDH($C$28,"FIXED_ASSETS_SEQUENTIAL_GROWTH","FQ1 2018","FQ1 2018","Currency=INR","Period=FQ","BEST_FPERIOD_OVERRIDE=FQ","FILING_STATUS=OR","EQY_CONSOLIDATED=Y","Sort=A","Dates=H","DateFormat=P","Fill=—","Direction=H","UseDPDF=Y")</f>
        <v>#NAME?</v>
      </c>
      <c r="BO49" s="1" t="e">
        <f ca="1">_xll.BDH($C$28,"TOTAL_ASSETS_SEQUENTIAL_GROWTH","FQ1 2018","FQ1 2018","Currency=INR","Period=FQ","BEST_FPERIOD_OVERRIDE=FQ","FILING_STATUS=OR","EQY_CONSOLIDATED=Y","Sort=A","Dates=H","DateFormat=P","Fill=—","Direction=H","UseDPDF=Y")</f>
        <v>#NAME?</v>
      </c>
      <c r="BP49" s="1" t="e">
        <f ca="1">_xll.BDH($C$28,"MODIFIED_WORKING_CPTL_SEQ_GRWTH","FQ1 2018","FQ1 2018","Currency=INR","Period=FQ","BEST_FPERIOD_OVERRIDE=FQ","FILING_STATUS=OR","EQY_CONSOLIDATED=Y","Sort=A","Dates=H","DateFormat=P","Fill=—","Direction=H","UseDPDF=Y")</f>
        <v>#NAME?</v>
      </c>
      <c r="BQ49" s="1" t="e">
        <f ca="1">_xll.BDH($C$28,"WORKING_CAPITAL_SEQ_GROWTH","FQ1 2018","FQ1 2018","Currency=INR","Period=FQ","BEST_FPERIOD_OVERRIDE=FQ","FILING_STATUS=OR","EQY_CONSOLIDATED=Y","Sort=A","Dates=H","DateFormat=P","Fill=—","Direction=H","UseDPDF=Y")</f>
        <v>#NAME?</v>
      </c>
      <c r="BR49" s="1" t="e">
        <f ca="1">_xll.BDH($C$28,"ACCOUNTS_PAYABLE_SEQ_GROWTH","FQ1 2018","FQ1 2018","Currency=INR","Period=FQ","BEST_FPERIOD_OVERRIDE=FQ","FILING_STATUS=OR","EQY_CONSOLIDATED=Y","Sort=A","Dates=H","DateFormat=P","Fill=—","Direction=H","UseDPDF=Y")</f>
        <v>#NAME?</v>
      </c>
      <c r="BS49" s="1" t="e">
        <f ca="1">_xll.BDH($C$28,"ST_DEBT_SEQUENTIAL_GROWTH","FQ1 2018","FQ1 2018","Currency=INR","Period=FQ","BEST_FPERIOD_OVERRIDE=FQ","FILING_STATUS=OR","EQY_CONSOLIDATED=Y","Sort=A","Dates=H","DateFormat=P","Fill=—","Direction=H","UseDPDF=Y")</f>
        <v>#NAME?</v>
      </c>
      <c r="BT49" s="1" t="e">
        <f ca="1">_xll.BDH($C$28,"TOTAL_DEBT_SEQUENTIAL_GROWTH","FQ1 2018","FQ1 2018","Currency=INR","Period=FQ","BEST_FPERIOD_OVERRIDE=FQ","FILING_STATUS=OR","EQY_CONSOLIDATED=Y","Sort=A","Dates=H","DateFormat=P","Fill=—","Direction=H","UseDPDF=Y")</f>
        <v>#NAME?</v>
      </c>
      <c r="BU49" s="1" t="e">
        <f ca="1">_xll.BDH($C$28,"TOTAL_EQUITY_SEQUENTIAL_GROWTH","FQ1 2018","FQ1 2018","Currency=INR","Period=FQ","BEST_FPERIOD_OVERRIDE=FQ","FILING_STATUS=OR","EQY_CONSOLIDATED=Y","Sort=A","Dates=H","DateFormat=P","Fill=—","Direction=H","UseDPDF=Y")</f>
        <v>#NAME?</v>
      </c>
      <c r="BV49" s="1" t="e">
        <f ca="1">_xll.BDH($C$28,"TOTAL_CAPITAL_SEQUENTIAL_GROWTH","FQ1 2018","FQ1 2018","Currency=INR","Period=FQ","BEST_FPERIOD_OVERRIDE=FQ","FILING_STATUS=OR","EQY_CONSOLIDATED=Y","Sort=A","Dates=H","DateFormat=P","Fill=—","Direction=H","UseDPDF=Y")</f>
        <v>#NAME?</v>
      </c>
      <c r="BW49" s="1" t="e">
        <f ca="1">_xll.BDH($C$28,"BPS_SEQUENTIAL_GROWTH","FQ1 2018","FQ1 2018","Currency=INR","Period=FQ","BEST_FPERIOD_OVERRIDE=FQ","FILING_STATUS=OR","EQY_CONSOLIDATED=Y","Sort=A","Dates=H","DateFormat=P","Fill=—","Direction=H","UseDPDF=Y")</f>
        <v>#NAME?</v>
      </c>
      <c r="BX49" s="1" t="e">
        <f ca="1">_xll.BDH($C$28,"CFO_SEQUENTIAL_GROWTH","FQ1 2018","FQ1 2018","Currency=INR","Period=FQ","BEST_FPERIOD_OVERRIDE=FQ","FILING_STATUS=OR","EQY_CONSOLIDATED=Y","Sort=A","Dates=H","DateFormat=P","Fill=—","Direction=H","UseDPDF=Y")</f>
        <v>#NAME?</v>
      </c>
      <c r="BY49" s="2" t="e">
        <f ca="1">_xll.BDH($C$28,"SHORT_AND_LONG_TERM_DEBT","FQ1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9" s="2" t="e">
        <f ca="1">_xll.BDH($C$28,"BS_ST_BORROW","FQ1 2018","FQ1 2018","Currency=INR","Period=FQ","BEST_FPERIOD_OVERRIDE=FQ","FILING_STATUS=OR","EQY_CONSOLIDATED=Y","SCALING_FORMAT=MLN","Sort=A","Dates=H","DateFormat=P","Fill=—","Direction=H","UseDPDF=Y")</f>
        <v>#NAME?</v>
      </c>
      <c r="CA49" s="2" t="e">
        <f ca="1">_xll.BDH($C$28,"BS_LT_BORROW","FQ1 2018","FQ1 2018","Currency=INR","Period=FQ","BEST_FPERIOD_OVERRIDE=FQ","FILING_STATUS=OR","EQY_CONSOLIDATED=Y","SCALING_FORMAT=MLN","Sort=A","Dates=H","DateFormat=P","Fill=—","Direction=H","UseDPDF=Y")</f>
        <v>#NAME?</v>
      </c>
      <c r="CB49" s="1" t="e">
        <f ca="1">_xll.BDH($C$28,"TOT_DEBT_TO_EBITDA","FQ1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9" s="1" t="e">
        <f ca="1">_xll.BDH($C$28,"NET_DEBT_TO_EBITDA","FQ1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9" s="1" t="e">
        <f ca="1">_xll.BDH($C$28,"TOTAL_DEBT_TO_EBIT","FQ1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9" s="1" t="e">
        <f ca="1">_xll.BDH($C$28,"NET_DEBT_TO_EBIT","FQ1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49" s="1" t="e">
        <f ca="1">_xll.BDH($C$28,"EBITDA_TO_INTEREST_EXPN","FQ1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9" s="1" t="e">
        <f ca="1">_xll.BDH($C$28,"COM_EQY_TO_TOT_ASSET","FQ1 2018","FQ1 2018","Currency=INR","Period=FQ","BEST_FPERIOD_OVERRIDE=FQ","FILING_STATUS=OR","EQY_CONSOLIDATED=Y","Sort=A","Dates=H","DateFormat=P","Fill=—","Direction=H","UseDPDF=Y")</f>
        <v>#NAME?</v>
      </c>
      <c r="CH49" s="1" t="e">
        <f ca="1">_xll.BDH($C$28,"LT_DEBT_TO_TOT_EQY","FQ1 2018","FQ1 2018","Currency=INR","Period=FQ","BEST_FPERIOD_OVERRIDE=FQ","FILING_STATUS=OR","EQY_CONSOLIDATED=Y","Sort=A","Dates=H","DateFormat=P","Fill=—","Direction=H","UseDPDF=Y")</f>
        <v>#NAME?</v>
      </c>
      <c r="CI49" s="1" t="e">
        <f ca="1">_xll.BDH($C$28,"LT_DEBT_TO_TOT_CAP","FQ1 2018","FQ1 2018","Currency=INR","Period=FQ","BEST_FPERIOD_OVERRIDE=FQ","FILING_STATUS=OR","EQY_CONSOLIDATED=Y","Sort=A","Dates=H","DateFormat=P","Fill=—","Direction=H","UseDPDF=Y")</f>
        <v>#NAME?</v>
      </c>
      <c r="CJ49" s="1" t="e">
        <f ca="1">_xll.BDH($C$28,"LT_DEBT_TO_TOT_ASSET","FQ1 2018","FQ1 2018","Currency=INR","Period=FQ","BEST_FPERIOD_OVERRIDE=FQ","FILING_STATUS=OR","EQY_CONSOLIDATED=Y","Sort=A","Dates=H","DateFormat=P","Fill=—","Direction=H","UseDPDF=Y")</f>
        <v>#NAME?</v>
      </c>
      <c r="CK49" s="1" t="e">
        <f ca="1">_xll.BDH($C$28,"TOT_DEBT_TO_TOT_EQY","FQ1 2018","FQ1 2018","Currency=INR","Period=FQ","BEST_FPERIOD_OVERRIDE=FQ","FILING_STATUS=OR","EQY_CONSOLIDATED=Y","Sort=A","Dates=H","DateFormat=P","Fill=—","Direction=H","UseDPDF=Y")</f>
        <v>#NAME?</v>
      </c>
      <c r="CL49" s="1" t="e">
        <f ca="1">_xll.BDH($C$28,"TOT_DEBT_TO_TOT_CAP","FQ1 2018","FQ1 2018","Currency=INR","Period=FQ","BEST_FPERIOD_OVERRIDE=FQ","FILING_STATUS=OR","EQY_CONSOLIDATED=Y","Sort=A","Dates=H","DateFormat=P","Fill=—","Direction=H","UseDPDF=Y")</f>
        <v>#NAME?</v>
      </c>
      <c r="CM49" s="1" t="e">
        <f ca="1">_xll.BDH($C$28,"TOT_DEBT_TO_TOT_ASSET","FQ1 2018","FQ1 2018","Currency=INR","Period=FQ","BEST_FPERIOD_OVERRIDE=FQ","FILING_STATUS=OR","EQY_CONSOLIDATED=Y","Sort=A","Dates=H","DateFormat=P","Fill=—","Direction=H","UseDPDF=Y")</f>
        <v>#NAME?</v>
      </c>
      <c r="CN49" s="1" t="e">
        <f ca="1">_xll.BDH($C$28,"NET_DEBT_TO_SHRHLDR_EQTY","FQ1 2018","FQ1 2018","Currency=INR","Period=FQ","BEST_FPERIOD_OVERRIDE=FQ","FILING_STATUS=OR","EQY_CONSOLIDATED=Y","Sort=A","Dates=H","DateFormat=P","Fill=—","Direction=H","UseDPDF=Y")</f>
        <v>#NAME?</v>
      </c>
      <c r="CO49" s="1" t="e">
        <f ca="1">_xll.BDH($C$28,"NET_DEBT_%_CAPITAL","FQ1 2018","FQ1 2018","Currency=INR","Period=FQ","BEST_FPERIOD_OVERRIDE=FQ","FILING_STATUS=OR","EQY_CONSOLIDATED=Y","Sort=A","Dates=H","DateFormat=P","Fill=—","Direction=H","UseDPDF=Y")</f>
        <v>#NAME?</v>
      </c>
      <c r="CP49" s="2" t="e">
        <f ca="1">_xll.BDH($C$28,"EBITDA","FQ1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9" s="2" t="e">
        <f ca="1">_xll.BDH($C$28,"EBITDA_AFTER_CAPEX","FQ1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9" s="2" t="e">
        <f ca="1">_xll.BDH($C$28,"IS_OPER_INC","FQ1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9" s="1" t="e">
        <f ca="1">_xll.BDH($C$28,"CASH_RATIO","FQ1 2018","FQ1 2018","Currency=INR","Period=FQ","BEST_FPERIOD_OVERRIDE=FQ","FILING_STATUS=OR","EQY_CONSOLIDATED=Y","Sort=A","Dates=H","DateFormat=P","Fill=—","Direction=H","UseDPDF=Y")</f>
        <v>#NAME?</v>
      </c>
      <c r="CT49" s="1" t="e">
        <f ca="1">_xll.BDH($C$28,"CUR_RATIO","FQ1 2018","FQ1 2018","Currency=INR","Period=FQ","BEST_FPERIOD_OVERRIDE=FQ","FILING_STATUS=OR","EQY_CONSOLIDATED=Y","Sort=A","Dates=H","DateFormat=P","Fill=—","Direction=H","UseDPDF=Y")</f>
        <v>#NAME?</v>
      </c>
      <c r="CU49" s="1" t="e">
        <f ca="1">_xll.BDH($C$28,"QUICK_RATIO","FQ1 2018","FQ1 2018","Currency=INR","Period=FQ","BEST_FPERIOD_OVERRIDE=FQ","FILING_STATUS=OR","EQY_CONSOLIDATED=Y","Sort=A","Dates=H","DateFormat=P","Fill=—","Direction=H","UseDPDF=Y")</f>
        <v>#NAME?</v>
      </c>
      <c r="CV49" s="1" t="e">
        <f ca="1">_xll.BDH($C$28,"ALTMAN_Z_SCORE","FQ1 2018","FQ1 2018","Currency=INR","Period=FQ","BEST_FPERIOD_OVERRIDE=FQ","FILING_STATUS=OR","EQY_CONSOLIDATED=Y","Sort=A","Dates=H","DateFormat=P","Fill=—","Direction=H","UseDPDF=Y")</f>
        <v>#NAME?</v>
      </c>
      <c r="CW49" s="3" t="e">
        <f ca="1">_xll.BDH($C$28,"ACCT_RCV_TURN","FQ1 2018","FQ1 2018","Currency=INR","Period=FQ","BEST_FPERIOD_OVERRIDE=FQ","FILING_STATUS=OR","EQY_CONSOLIDATED=Y","FA_ADJUSTED=GAAP","Sort=A","Dates=H","DateFormat=P","Fill=—","Direction=H","UseDPDF=Y")</f>
        <v>#NAME?</v>
      </c>
      <c r="CX49" s="1" t="e">
        <f ca="1">_xll.BDH($C$28,"ACCT_RCV_DAYS","FQ1 2018","FQ1 2018","Currency=INR","Period=FQ","BEST_FPERIOD_OVERRIDE=FQ","FILING_STATUS=OR","EQY_CONSOLIDATED=Y","FA_ADJUSTED=GAAP","Sort=A","Dates=H","DateFormat=P","Fill=—","Direction=H","UseDPDF=Y")</f>
        <v>#NAME?</v>
      </c>
      <c r="CY49" s="3" t="e">
        <f ca="1">_xll.BDH($C$28,"INVENT_TURN","FQ1 2018","FQ1 2018","Currency=INR","Period=FQ","BEST_FPERIOD_OVERRIDE=FQ","FILING_STATUS=OR","EQY_CONSOLIDATED=Y","FA_ADJUSTED=GAAP","Sort=A","Dates=H","DateFormat=P","Fill=—","Direction=H","UseDPDF=Y")</f>
        <v>#NAME?</v>
      </c>
      <c r="CZ49" s="1" t="e">
        <f ca="1">_xll.BDH($C$28,"INVENT_DAYS","FQ1 2018","FQ1 2018","Currency=INR","Period=FQ","BEST_FPERIOD_OVERRIDE=FQ","FILING_STATUS=OR","EQY_CONSOLIDATED=Y","FA_ADJUSTED=GAAP","Sort=A","Dates=H","DateFormat=P","Fill=—","Direction=H","UseDPDF=Y")</f>
        <v>#NAME?</v>
      </c>
      <c r="DA49" s="3" t="e">
        <f ca="1">_xll.BDH($C$28,"ACCOUNTS_PAYABLE_TURNOVER","FQ1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9" s="1" t="e">
        <f ca="1">_xll.BDH($C$28,"ACCOUNTS_PAYABLE_TURNOVER_DAYS","FQ1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9" s="3" t="e">
        <f ca="1">_xll.BDH($C$28,"CASH_CONVERSION_CYCLE","FQ1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9" s="3" t="e">
        <f ca="1">_xll.BDH($C$28,"INV_TO_CASH_DAYS","FQ1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49" s="4" t="e">
        <f ca="1">_xll.BDH($C$28,"BS_INVENTORIES","FQ1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49" s="2" t="e">
        <f ca="1">_xll.BDH($C$28,"INVTRY_RAW_MATERIALS","FQ1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9" s="2" t="e">
        <f ca="1">_xll.BDH($C$28,"INVTRY_IN_PROGRESS","FQ1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9" s="2" t="e">
        <f ca="1">_xll.BDH($C$28,"INVTRY_FINISHED_GOODS","FQ1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9" s="2" t="e">
        <f ca="1">_xll.BDH($C$28,"BS_OTHER_INV","FQ1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0" spans="1:113" x14ac:dyDescent="0.3">
      <c r="A50" s="6"/>
      <c r="B50" s="6"/>
      <c r="C50" s="6"/>
      <c r="D50" s="6"/>
      <c r="E50" t="s">
        <v>5</v>
      </c>
      <c r="F50" t="e">
        <f ca="1">_xll.BDH($C$28,"RETURN_COM_EQY","FQ2 2018","FQ2 2018","Currency=INR","Period=FQ","BEST_FPERIOD_OVERRIDE=FQ","FILING_STATUS=OR","EQY_CONSOLIDATED=Y","FA_ADJUSTED=GAAP","Sort=A","Dates=H","DateFormat=P","Fill=—","Direction=H","UseDPDF=Y")</f>
        <v>#NAME?</v>
      </c>
      <c r="G50" t="e">
        <f ca="1">_xll.BDH($C$28,"RETURN_ON_ASSET","FQ2 2018","FQ2 2018","Currency=INR","Period=FQ","BEST_FPERIOD_OVERRIDE=FQ","FILING_STATUS=OR","EQY_CONSOLIDATED=Y","FA_ADJUSTED=GAAP","Sort=A","Dates=H","DateFormat=P","Fill=—","Direction=H","UseDPDF=Y")</f>
        <v>#NAME?</v>
      </c>
      <c r="H50" t="e">
        <f ca="1">_xll.BDH($C$28,"RETURN_ON_CAP","FQ2 2018","FQ2 2018","Currency=INR","Period=FQ","BEST_FPERIOD_OVERRIDE=FQ","FILING_STATUS=OR","EQY_CONSOLIDATED=Y","FA_ADJUSTED=GAAP","Sort=A","Dates=H","DateFormat=P","Fill=—","Direction=H","UseDPDF=Y")</f>
        <v>#NAME?</v>
      </c>
      <c r="I50" t="e">
        <f ca="1">_xll.BDH($C$28,"RETURN_ON_INV_CAPITAL","FQ2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0" t="e">
        <f ca="1">_xll.BDH($C$28,"EBITDA_TO_REVENUE","FQ2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50" t="e">
        <f ca="1">_xll.BDH($C$28,"OPER_MARGIN","FQ2 2018","FQ2 2018","Currency=INR","Period=FQ","BEST_FPERIOD_OVERRIDE=FQ","FILING_STATUS=OR","EQY_CONSOLIDATED=Y","FA_ADJUSTED=GAAP","Sort=A","Dates=H","DateFormat=P","Fill=—","Direction=H","UseDPDF=Y")</f>
        <v>#NAME?</v>
      </c>
      <c r="L50" t="e">
        <f ca="1">_xll.BDH($C$28,"INCREMENTAL_OPERATING_MARGIN","FQ2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0" t="e">
        <f ca="1">_xll.BDH($C$28,"PRETAX_INC_TO_NET_SALES","FQ2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0" t="e">
        <f ca="1">_xll.BDH($C$28,"INC_BEF_XO_ITEMS_TO_NET_SALES","FQ2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0" t="e">
        <f ca="1">_xll.BDH($C$28,"PROF_MARGIN","FQ2 2018","FQ2 2018","Currency=INR","Period=FQ","BEST_FPERIOD_OVERRIDE=FQ","FILING_STATUS=OR","EQY_CONSOLIDATED=Y","FA_ADJUSTED=GAAP","Sort=A","Dates=H","DateFormat=P","Fill=—","Direction=H","UseDPDF=Y")</f>
        <v>#NAME?</v>
      </c>
      <c r="P50" t="e">
        <f ca="1">_xll.BDH($C$28,"NET_INCOME_TO_COMMON_MARGIN","FQ2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0" t="e">
        <f ca="1">_xll.BDH($C$28,"EFF_TAX_RATE","FQ2 2018","FQ2 2018","Currency=INR","Period=FQ","BEST_FPERIOD_OVERRIDE=FQ","FILING_STATUS=OR","EQY_CONSOLIDATED=Y","FA_ADJUSTED=GAAP","Sort=A","Dates=H","DateFormat=P","Fill=—","Direction=H","UseDPDF=Y")</f>
        <v>#NAME?</v>
      </c>
      <c r="R50" t="e">
        <f ca="1">_xll.BDH($C$28,"DVD_PAYOUT_RATIO","FQ2 2018","FQ2 2018","Currency=INR","Period=FQ","BEST_FPERIOD_OVERRIDE=FQ","FILING_STATUS=OR","EQY_CONSOLIDATED=Y","FA_ADJUSTED=GAAP","Sort=A","Dates=H","DateFormat=P","Fill=—","Direction=H","UseDPDF=Y")</f>
        <v>#NAME?</v>
      </c>
      <c r="S50" t="e">
        <f ca="1">_xll.BDH($C$28,"SUSTAIN_GROWTH_RT","FQ2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50" s="1" t="e">
        <f ca="1">_xll.BDH($C$28,"SALES_GROWTH","FQ2 2018","FQ2 2018","Currency=INR","Period=FQ","BEST_FPERIOD_OVERRIDE=FQ","FILING_STATUS=OR","EQY_CONSOLIDATED=Y","FA_ADJUSTED=GAAP","Sort=A","Dates=H","DateFormat=P","Fill=—","Direction=H","UseDPDF=Y")</f>
        <v>#NAME?</v>
      </c>
      <c r="U50" s="1" t="e">
        <f ca="1">_xll.BDH($C$28,"EBITDA_GROWTH","FQ2 2018","FQ2 2018","Currency=INR","Period=FQ","BEST_FPERIOD_OVERRIDE=FQ","FILING_STATUS=OR","EQY_CONSOLIDATED=Y","FA_ADJUSTED=GAAP","Sort=A","Dates=H","DateFormat=P","Fill=—","Direction=H","UseDPDF=Y")</f>
        <v>#NAME?</v>
      </c>
      <c r="V50" s="1" t="e">
        <f ca="1">_xll.BDH($C$28,"OPER_INC_GROWTH","FQ2 2018","FQ2 2018","Currency=INR","Period=FQ","BEST_FPERIOD_OVERRIDE=FQ","FILING_STATUS=OR","EQY_CONSOLIDATED=Y","FA_ADJUSTED=GAAP","Sort=A","Dates=H","DateFormat=P","Fill=—","Direction=H","UseDPDF=Y")</f>
        <v>#NAME?</v>
      </c>
      <c r="W50" s="1" t="e">
        <f ca="1">_xll.BDH($C$28,"EARN_FOR_COM_GROWTH","FQ2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0" s="1" t="e">
        <f ca="1">_xll.BDH($C$28,"DILUTED_EPS_AFT_XO_ITEMS_GROWTH","FQ2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0" s="1" t="e">
        <f ca="1">_xll.BDH($C$28,"DIVIDEND_PER_SHARE_1_YEAR_GROWTH","FQ2 2018","FQ2 2018","Currency=INR","Period=FQ","BEST_FPERIOD_OVERRIDE=FQ","FILING_STATUS=OR","EQY_CONSOLIDATED=Y","Sort=A","Dates=H","DateFormat=P","Fill=—","Direction=H","UseDPDF=Y")</f>
        <v>#NAME?</v>
      </c>
      <c r="Z50" s="1" t="e">
        <f ca="1">_xll.BDH($C$28,"ACCOUNTS_RECEIVABLE_GROWTH","FQ2 2018","FQ2 2018","Currency=INR","Period=FQ","BEST_FPERIOD_OVERRIDE=FQ","FILING_STATUS=OR","EQY_CONSOLIDATED=Y","Sort=A","Dates=H","DateFormat=P","Fill=—","Direction=H","UseDPDF=Y")</f>
        <v>#NAME?</v>
      </c>
      <c r="AA50" s="1" t="e">
        <f ca="1">_xll.BDH($C$28,"INVENTORY_GROWTH","FQ2 2018","FQ2 2018","Currency=INR","Period=FQ","BEST_FPERIOD_OVERRIDE=FQ","FILING_STATUS=OR","EQY_CONSOLIDATED=Y","Sort=A","Dates=H","DateFormat=P","Fill=—","Direction=H","UseDPDF=Y")</f>
        <v>#NAME?</v>
      </c>
      <c r="AB50" s="1" t="e">
        <f ca="1">_xll.BDH($C$28,"NET_FIXED_ASSETS_1_YEAR_GROWTH","FQ2 2018","FQ2 2018","Currency=INR","Period=FQ","BEST_FPERIOD_OVERRIDE=FQ","FILING_STATUS=OR","EQY_CONSOLIDATED=Y","Sort=A","Dates=H","DateFormat=P","Fill=—","Direction=H","UseDPDF=Y")</f>
        <v>#NAME?</v>
      </c>
      <c r="AC50" s="1" t="e">
        <f ca="1">_xll.BDH($C$28,"ASSET_GROWTH","FQ2 2018","FQ2 2018","Currency=INR","Period=FQ","BEST_FPERIOD_OVERRIDE=FQ","FILING_STATUS=OR","EQY_CONSOLIDATED=Y","Sort=A","Dates=H","DateFormat=P","Fill=—","Direction=H","UseDPDF=Y")</f>
        <v>#NAME?</v>
      </c>
      <c r="AD50" s="1" t="e">
        <f ca="1">_xll.BDH($C$28,"MODIFIED_WORK_CAP_GROWTH","FQ2 2018","FQ2 2018","Currency=INR","Period=FQ","BEST_FPERIOD_OVERRIDE=FQ","FILING_STATUS=OR","EQY_CONSOLIDATED=Y","Sort=A","Dates=H","DateFormat=P","Fill=—","Direction=H","UseDPDF=Y")</f>
        <v>#NAME?</v>
      </c>
      <c r="AE50" s="1" t="e">
        <f ca="1">_xll.BDH($C$28,"WORK_CAP_GROWTH","FQ2 2018","FQ2 2018","Currency=INR","Period=FQ","BEST_FPERIOD_OVERRIDE=FQ","FILING_STATUS=OR","EQY_CONSOLIDATED=Y","Sort=A","Dates=H","DateFormat=P","Fill=—","Direction=H","UseDPDF=Y")</f>
        <v>#NAME?</v>
      </c>
      <c r="AF50" s="1" t="e">
        <f ca="1">_xll.BDH($C$28,"ACCOUNTS_PAYABLE_GROWTH_1YR","FQ2 2018","FQ2 2018","Currency=INR","Period=FQ","BEST_FPERIOD_OVERRIDE=FQ","FILING_STATUS=OR","EQY_CONSOLIDATED=Y","Sort=A","Dates=H","DateFormat=P","Fill=—","Direction=H","UseDPDF=Y")</f>
        <v>#NAME?</v>
      </c>
      <c r="AG50" s="1" t="e">
        <f ca="1">_xll.BDH($C$28,"SHORT_TERM_DEBT_1_YEAR_GROWTH","FQ2 2018","FQ2 2018","Currency=INR","Period=FQ","BEST_FPERIOD_OVERRIDE=FQ","FILING_STATUS=OR","EQY_CONSOLIDATED=Y","Sort=A","Dates=H","DateFormat=P","Fill=—","Direction=H","UseDPDF=Y")</f>
        <v>#NAME?</v>
      </c>
      <c r="AH50" s="1" t="e">
        <f ca="1">_xll.BDH($C$28,"TOTAL_DEBT_1_YEAR_GROWTH","FQ2 2018","FQ2 2018","Currency=INR","Period=FQ","BEST_FPERIOD_OVERRIDE=FQ","FILING_STATUS=OR","EQY_CONSOLIDATED=Y","Sort=A","Dates=H","DateFormat=P","Fill=—","Direction=H","UseDPDF=Y")</f>
        <v>#NAME?</v>
      </c>
      <c r="AI50" s="1" t="e">
        <f ca="1">_xll.BDH($C$28,"TOTAL_EQUITY_1_YEAR_GROWTH","FQ2 2018","FQ2 2018","Currency=INR","Period=FQ","BEST_FPERIOD_OVERRIDE=FQ","FILING_STATUS=OR","EQY_CONSOLIDATED=Y","Sort=A","Dates=H","DateFormat=P","Fill=—","Direction=H","UseDPDF=Y")</f>
        <v>#NAME?</v>
      </c>
      <c r="AJ50" s="1" t="e">
        <f ca="1">_xll.BDH($C$28,"GROWTH_IN_CAP","FQ2 2018","FQ2 2018","Currency=INR","Period=FQ","BEST_FPERIOD_OVERRIDE=FQ","FILING_STATUS=OR","EQY_CONSOLIDATED=Y","Sort=A","Dates=H","DateFormat=P","Fill=—","Direction=H","UseDPDF=Y")</f>
        <v>#NAME?</v>
      </c>
      <c r="AK50" s="1" t="e">
        <f ca="1">_xll.BDH($C$28,"BVPS_GROWTH","FQ2 2018","FQ2 2018","Currency=INR","Period=FQ","BEST_FPERIOD_OVERRIDE=FQ","FILING_STATUS=OR","EQY_CONSOLIDATED=Y","Sort=A","Dates=H","DateFormat=P","Fill=—","Direction=H","UseDPDF=Y")</f>
        <v>#NAME?</v>
      </c>
      <c r="AL50" s="1" t="e">
        <f ca="1">_xll.BDH($C$28,"CASH_FLOW_GROWTH","FQ2 2018","FQ2 2018","Currency=INR","Period=FQ","BEST_FPERIOD_OVERRIDE=FQ","FILING_STATUS=OR","EQY_CONSOLIDATED=Y","Sort=A","Dates=H","DateFormat=P","Fill=—","Direction=H","UseDPDF=Y")</f>
        <v>#NAME?</v>
      </c>
      <c r="AM50" s="1" t="e">
        <f ca="1">_xll.BDH($C$28,"GEO_GROW_NET_SALES","FQ2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0" s="1" t="e">
        <f ca="1">_xll.BDH($C$28,"GEO_GROW_EBITDA","FQ2 2018","FQ2 2018","Currency=INR","Period=FQ","BEST_FPERIOD_OVERRIDE=FQ","FILING_STATUS=OR","EQY_CONSOLIDATED=Y","FA_ADJUSTED=GAAP","Sort=A","Dates=H","DateFormat=P","Fill=—","Direction=H","UseDPDF=Y")</f>
        <v>#NAME?</v>
      </c>
      <c r="AO50" s="1" t="e">
        <f ca="1">_xll.BDH($C$28,"GEO_GROW_OPER_INC","FQ2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0" s="1" t="e">
        <f ca="1">_xll.BDH($C$28,"NET_INCOME_TO_COMMON_5_YR_GROWTH","FQ2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0" s="1" t="e">
        <f ca="1">_xll.BDH($C$28,"5Y_GEO_GROWTH_DILUTED_EPS","FQ2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0" s="1" t="e">
        <f ca="1">_xll.BDH($C$28,"GEO_GROW_DVD_PER_SH","FQ2 2018","FQ2 2018","Currency=INR","Period=FQ","BEST_FPERIOD_OVERRIDE=FQ","FILING_STATUS=OR","EQY_CONSOLIDATED=Y","Sort=A","Dates=H","DateFormat=P","Fill=—","Direction=H","UseDPDF=Y")</f>
        <v>#NAME?</v>
      </c>
      <c r="AS50" s="1" t="e">
        <f ca="1">_xll.BDH($C$28,"ACCOUNTS_RECEIVABLE_5_YR_GROWTH","FQ2 2018","FQ2 2018","Currency=INR","Period=FQ","BEST_FPERIOD_OVERRIDE=FQ","FILING_STATUS=OR","EQY_CONSOLIDATED=Y","Sort=A","Dates=H","DateFormat=P","Fill=—","Direction=H","UseDPDF=Y")</f>
        <v>#NAME?</v>
      </c>
      <c r="AT50" s="1" t="e">
        <f ca="1">_xll.BDH($C$28,"INVENTORY_5_YEAR_GROWTH","FQ2 2018","FQ2 2018","Currency=INR","Period=FQ","BEST_FPERIOD_OVERRIDE=FQ","FILING_STATUS=OR","EQY_CONSOLIDATED=Y","Sort=A","Dates=H","DateFormat=P","Fill=—","Direction=H","UseDPDF=Y")</f>
        <v>#NAME?</v>
      </c>
      <c r="AU50" s="1" t="e">
        <f ca="1">_xll.BDH($C$28,"NET_FIXED_ASSETS_5_YEAR_GROWTH","FQ2 2018","FQ2 2018","Currency=INR","Period=FQ","BEST_FPERIOD_OVERRIDE=FQ","FILING_STATUS=OR","EQY_CONSOLIDATED=Y","Sort=A","Dates=H","DateFormat=P","Fill=—","Direction=H","UseDPDF=Y")</f>
        <v>#NAME?</v>
      </c>
      <c r="AV50" s="1" t="e">
        <f ca="1">_xll.BDH($C$28,"GEO_GROW_TOT_ASSET","FQ2 2018","FQ2 2018","Currency=INR","Period=FQ","BEST_FPERIOD_OVERRIDE=FQ","FILING_STATUS=OR","EQY_CONSOLIDATED=Y","Sort=A","Dates=H","DateFormat=P","Fill=—","Direction=H","UseDPDF=Y")</f>
        <v>#NAME?</v>
      </c>
      <c r="AW50" s="1" t="e">
        <f ca="1">_xll.BDH($C$28,"MODIFIED_WORKING_CPTL_5YR_GRWTH","FQ2 2018","FQ2 2018","Currency=INR","Period=FQ","BEST_FPERIOD_OVERRIDE=FQ","FILING_STATUS=OR","EQY_CONSOLIDATED=Y","Sort=A","Dates=H","DateFormat=P","Fill=—","Direction=H","UseDPDF=Y")</f>
        <v>#NAME?</v>
      </c>
      <c r="AX50" s="1" t="e">
        <f ca="1">_xll.BDH($C$28,"WORKING_CAPITAL_5_YEAR_GROWTH","FQ2 2018","FQ2 2018","Currency=INR","Period=FQ","BEST_FPERIOD_OVERRIDE=FQ","FILING_STATUS=OR","EQY_CONSOLIDATED=Y","Sort=A","Dates=H","DateFormat=P","Fill=—","Direction=H","UseDPDF=Y")</f>
        <v>#NAME?</v>
      </c>
      <c r="AY50" s="1" t="e">
        <f ca="1">_xll.BDH($C$28,"ACCOUNTS_PAYABLE_5_YEAR_GROWTH","FQ2 2018","FQ2 2018","Currency=INR","Period=FQ","BEST_FPERIOD_OVERRIDE=FQ","FILING_STATUS=OR","EQY_CONSOLIDATED=Y","Sort=A","Dates=H","DateFormat=P","Fill=—","Direction=H","UseDPDF=Y")</f>
        <v>#NAME?</v>
      </c>
      <c r="AZ50" s="1" t="e">
        <f ca="1">_xll.BDH($C$28,"SHORT_TERM_DEBT_5_YEAR_GROWTH","FQ2 2018","FQ2 2018","Currency=INR","Period=FQ","BEST_FPERIOD_OVERRIDE=FQ","FILING_STATUS=OR","EQY_CONSOLIDATED=Y","Sort=A","Dates=H","DateFormat=P","Fill=—","Direction=H","UseDPDF=Y")</f>
        <v>#NAME?</v>
      </c>
      <c r="BA50" s="1" t="e">
        <f ca="1">_xll.BDH($C$28,"TOTAL_DEBT_5_YEAR_GROWTH","FQ2 2018","FQ2 2018","Currency=INR","Period=FQ","BEST_FPERIOD_OVERRIDE=FQ","FILING_STATUS=OR","EQY_CONSOLIDATED=Y","Sort=A","Dates=H","DateFormat=P","Fill=—","Direction=H","UseDPDF=Y")</f>
        <v>#NAME?</v>
      </c>
      <c r="BB50" s="1" t="e">
        <f ca="1">_xll.BDH($C$28,"GEO_GROW_TOT_SHRHLDR_EQY","FQ2 2018","FQ2 2018","Currency=INR","Period=FQ","BEST_FPERIOD_OVERRIDE=FQ","FILING_STATUS=OR","EQY_CONSOLIDATED=Y","Sort=A","Dates=H","DateFormat=P","Fill=—","Direction=H","UseDPDF=Y")</f>
        <v>#NAME?</v>
      </c>
      <c r="BC50" s="1" t="e">
        <f ca="1">_xll.BDH($C$28,"TOTAL_CAPITAL_5_YEAR_GROWTH","FQ2 2018","FQ2 2018","Currency=INR","Period=FQ","BEST_FPERIOD_OVERRIDE=FQ","FILING_STATUS=OR","EQY_CONSOLIDATED=Y","Sort=A","Dates=H","DateFormat=P","Fill=—","Direction=H","UseDPDF=Y")</f>
        <v>#NAME?</v>
      </c>
      <c r="BD50" s="1" t="e">
        <f ca="1">_xll.BDH($C$28,"GEO_GROW_BOOK_VAL","FQ2 2018","FQ2 2018","Currency=INR","Period=FQ","BEST_FPERIOD_OVERRIDE=FQ","FILING_STATUS=OR","EQY_CONSOLIDATED=Y","Sort=A","Dates=H","DateFormat=P","Fill=—","Direction=H","UseDPDF=Y")</f>
        <v>#NAME?</v>
      </c>
      <c r="BE50" s="1" t="e">
        <f ca="1">_xll.BDH($C$28,"GEO_GROW_CASH_OPER_ACT","FQ2 2018","FQ2 2018","Currency=INR","Period=FQ","BEST_FPERIOD_OVERRIDE=FQ","FILING_STATUS=OR","EQY_CONSOLIDATED=Y","Sort=A","Dates=H","DateFormat=P","Fill=—","Direction=H","UseDPDF=Y")</f>
        <v>#NAME?</v>
      </c>
      <c r="BF50" s="1" t="e">
        <f ca="1">_xll.BDH($C$28,"REVENUE_SEQUENTIAL_GROWTH","FQ2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0" s="1" t="e">
        <f ca="1">_xll.BDH($C$28,"EBITDA_SEQUENTIAL_GROWTH","FQ2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0" s="1" t="e">
        <f ca="1">_xll.BDH($C$28,"OPERATING_INCOME_SEQ_GROWTH","FQ2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0" s="1" t="e">
        <f ca="1">_xll.BDH($C$28,"NET_INCOME_TO_COMMON_SEQ_GROWTH","FQ2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0" s="1" t="e">
        <f ca="1">_xll.BDH($C$28,"EPS_DILUTED_SEQUENTIAL_GROWTH","FQ2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0" s="1" t="e">
        <f ca="1">_xll.BDH($C$28,"DPS_SEQUENTIAL_GROWTH","FQ2 2018","FQ2 2018","Currency=INR","Period=FQ","BEST_FPERIOD_OVERRIDE=FQ","FILING_STATUS=OR","EQY_CONSOLIDATED=Y","Sort=A","Dates=H","DateFormat=P","Fill=—","Direction=H","UseDPDF=Y")</f>
        <v>#NAME?</v>
      </c>
      <c r="BL50" s="1" t="e">
        <f ca="1">_xll.BDH($C$28,"ACCOUNTS_RECEIVABLE_SEQ_GROWTH","FQ2 2018","FQ2 2018","Currency=INR","Period=FQ","BEST_FPERIOD_OVERRIDE=FQ","FILING_STATUS=OR","EQY_CONSOLIDATED=Y","Sort=A","Dates=H","DateFormat=P","Fill=—","Direction=H","UseDPDF=Y")</f>
        <v>#NAME?</v>
      </c>
      <c r="BM50" s="1" t="e">
        <f ca="1">_xll.BDH($C$28,"INVENTORY_SEQUENTIAL_GROWTH","FQ2 2018","FQ2 2018","Currency=INR","Period=FQ","BEST_FPERIOD_OVERRIDE=FQ","FILING_STATUS=OR","EQY_CONSOLIDATED=Y","Sort=A","Dates=H","DateFormat=P","Fill=—","Direction=H","UseDPDF=Y")</f>
        <v>#NAME?</v>
      </c>
      <c r="BN50" s="1" t="e">
        <f ca="1">_xll.BDH($C$28,"FIXED_ASSETS_SEQUENTIAL_GROWTH","FQ2 2018","FQ2 2018","Currency=INR","Period=FQ","BEST_FPERIOD_OVERRIDE=FQ","FILING_STATUS=OR","EQY_CONSOLIDATED=Y","Sort=A","Dates=H","DateFormat=P","Fill=—","Direction=H","UseDPDF=Y")</f>
        <v>#NAME?</v>
      </c>
      <c r="BO50" s="1" t="e">
        <f ca="1">_xll.BDH($C$28,"TOTAL_ASSETS_SEQUENTIAL_GROWTH","FQ2 2018","FQ2 2018","Currency=INR","Period=FQ","BEST_FPERIOD_OVERRIDE=FQ","FILING_STATUS=OR","EQY_CONSOLIDATED=Y","Sort=A","Dates=H","DateFormat=P","Fill=—","Direction=H","UseDPDF=Y")</f>
        <v>#NAME?</v>
      </c>
      <c r="BP50" s="1" t="e">
        <f ca="1">_xll.BDH($C$28,"MODIFIED_WORKING_CPTL_SEQ_GRWTH","FQ2 2018","FQ2 2018","Currency=INR","Period=FQ","BEST_FPERIOD_OVERRIDE=FQ","FILING_STATUS=OR","EQY_CONSOLIDATED=Y","Sort=A","Dates=H","DateFormat=P","Fill=—","Direction=H","UseDPDF=Y")</f>
        <v>#NAME?</v>
      </c>
      <c r="BQ50" s="1" t="e">
        <f ca="1">_xll.BDH($C$28,"WORKING_CAPITAL_SEQ_GROWTH","FQ2 2018","FQ2 2018","Currency=INR","Period=FQ","BEST_FPERIOD_OVERRIDE=FQ","FILING_STATUS=OR","EQY_CONSOLIDATED=Y","Sort=A","Dates=H","DateFormat=P","Fill=—","Direction=H","UseDPDF=Y")</f>
        <v>#NAME?</v>
      </c>
      <c r="BR50" s="1" t="e">
        <f ca="1">_xll.BDH($C$28,"ACCOUNTS_PAYABLE_SEQ_GROWTH","FQ2 2018","FQ2 2018","Currency=INR","Period=FQ","BEST_FPERIOD_OVERRIDE=FQ","FILING_STATUS=OR","EQY_CONSOLIDATED=Y","Sort=A","Dates=H","DateFormat=P","Fill=—","Direction=H","UseDPDF=Y")</f>
        <v>#NAME?</v>
      </c>
      <c r="BS50" s="1" t="e">
        <f ca="1">_xll.BDH($C$28,"ST_DEBT_SEQUENTIAL_GROWTH","FQ2 2018","FQ2 2018","Currency=INR","Period=FQ","BEST_FPERIOD_OVERRIDE=FQ","FILING_STATUS=OR","EQY_CONSOLIDATED=Y","Sort=A","Dates=H","DateFormat=P","Fill=—","Direction=H","UseDPDF=Y")</f>
        <v>#NAME?</v>
      </c>
      <c r="BT50" s="1" t="e">
        <f ca="1">_xll.BDH($C$28,"TOTAL_DEBT_SEQUENTIAL_GROWTH","FQ2 2018","FQ2 2018","Currency=INR","Period=FQ","BEST_FPERIOD_OVERRIDE=FQ","FILING_STATUS=OR","EQY_CONSOLIDATED=Y","Sort=A","Dates=H","DateFormat=P","Fill=—","Direction=H","UseDPDF=Y")</f>
        <v>#NAME?</v>
      </c>
      <c r="BU50" s="1" t="e">
        <f ca="1">_xll.BDH($C$28,"TOTAL_EQUITY_SEQUENTIAL_GROWTH","FQ2 2018","FQ2 2018","Currency=INR","Period=FQ","BEST_FPERIOD_OVERRIDE=FQ","FILING_STATUS=OR","EQY_CONSOLIDATED=Y","Sort=A","Dates=H","DateFormat=P","Fill=—","Direction=H","UseDPDF=Y")</f>
        <v>#NAME?</v>
      </c>
      <c r="BV50" s="1" t="e">
        <f ca="1">_xll.BDH($C$28,"TOTAL_CAPITAL_SEQUENTIAL_GROWTH","FQ2 2018","FQ2 2018","Currency=INR","Period=FQ","BEST_FPERIOD_OVERRIDE=FQ","FILING_STATUS=OR","EQY_CONSOLIDATED=Y","Sort=A","Dates=H","DateFormat=P","Fill=—","Direction=H","UseDPDF=Y")</f>
        <v>#NAME?</v>
      </c>
      <c r="BW50" s="1" t="e">
        <f ca="1">_xll.BDH($C$28,"BPS_SEQUENTIAL_GROWTH","FQ2 2018","FQ2 2018","Currency=INR","Period=FQ","BEST_FPERIOD_OVERRIDE=FQ","FILING_STATUS=OR","EQY_CONSOLIDATED=Y","Sort=A","Dates=H","DateFormat=P","Fill=—","Direction=H","UseDPDF=Y")</f>
        <v>#NAME?</v>
      </c>
      <c r="BX50" s="1" t="e">
        <f ca="1">_xll.BDH($C$28,"CFO_SEQUENTIAL_GROWTH","FQ2 2018","FQ2 2018","Currency=INR","Period=FQ","BEST_FPERIOD_OVERRIDE=FQ","FILING_STATUS=OR","EQY_CONSOLIDATED=Y","Sort=A","Dates=H","DateFormat=P","Fill=—","Direction=H","UseDPDF=Y")</f>
        <v>#NAME?</v>
      </c>
      <c r="BY50" s="2" t="e">
        <f ca="1">_xll.BDH($C$28,"SHORT_AND_LONG_TERM_DEBT","FQ2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0" s="2" t="e">
        <f ca="1">_xll.BDH($C$28,"BS_ST_BORROW","FQ2 2018","FQ2 2018","Currency=INR","Period=FQ","BEST_FPERIOD_OVERRIDE=FQ","FILING_STATUS=OR","EQY_CONSOLIDATED=Y","SCALING_FORMAT=MLN","Sort=A","Dates=H","DateFormat=P","Fill=—","Direction=H","UseDPDF=Y")</f>
        <v>#NAME?</v>
      </c>
      <c r="CA50" s="2" t="e">
        <f ca="1">_xll.BDH($C$28,"BS_LT_BORROW","FQ2 2018","FQ2 2018","Currency=INR","Period=FQ","BEST_FPERIOD_OVERRIDE=FQ","FILING_STATUS=OR","EQY_CONSOLIDATED=Y","SCALING_FORMAT=MLN","Sort=A","Dates=H","DateFormat=P","Fill=—","Direction=H","UseDPDF=Y")</f>
        <v>#NAME?</v>
      </c>
      <c r="CB50" s="1" t="e">
        <f ca="1">_xll.BDH($C$28,"TOT_DEBT_TO_EBITDA","FQ2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0" s="1" t="e">
        <f ca="1">_xll.BDH($C$28,"NET_DEBT_TO_EBITDA","FQ2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0" s="1" t="e">
        <f ca="1">_xll.BDH($C$28,"TOTAL_DEBT_TO_EBIT","FQ2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0" s="1" t="e">
        <f ca="1">_xll.BDH($C$28,"NET_DEBT_TO_EBIT","FQ2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50" s="1" t="e">
        <f ca="1">_xll.BDH($C$28,"EBITDA_TO_INTEREST_EXPN","FQ2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0" s="1" t="e">
        <f ca="1">_xll.BDH($C$28,"COM_EQY_TO_TOT_ASSET","FQ2 2018","FQ2 2018","Currency=INR","Period=FQ","BEST_FPERIOD_OVERRIDE=FQ","FILING_STATUS=OR","EQY_CONSOLIDATED=Y","Sort=A","Dates=H","DateFormat=P","Fill=—","Direction=H","UseDPDF=Y")</f>
        <v>#NAME?</v>
      </c>
      <c r="CH50" s="1" t="e">
        <f ca="1">_xll.BDH($C$28,"LT_DEBT_TO_TOT_EQY","FQ2 2018","FQ2 2018","Currency=INR","Period=FQ","BEST_FPERIOD_OVERRIDE=FQ","FILING_STATUS=OR","EQY_CONSOLIDATED=Y","Sort=A","Dates=H","DateFormat=P","Fill=—","Direction=H","UseDPDF=Y")</f>
        <v>#NAME?</v>
      </c>
      <c r="CI50" s="1" t="e">
        <f ca="1">_xll.BDH($C$28,"LT_DEBT_TO_TOT_CAP","FQ2 2018","FQ2 2018","Currency=INR","Period=FQ","BEST_FPERIOD_OVERRIDE=FQ","FILING_STATUS=OR","EQY_CONSOLIDATED=Y","Sort=A","Dates=H","DateFormat=P","Fill=—","Direction=H","UseDPDF=Y")</f>
        <v>#NAME?</v>
      </c>
      <c r="CJ50" s="1" t="e">
        <f ca="1">_xll.BDH($C$28,"LT_DEBT_TO_TOT_ASSET","FQ2 2018","FQ2 2018","Currency=INR","Period=FQ","BEST_FPERIOD_OVERRIDE=FQ","FILING_STATUS=OR","EQY_CONSOLIDATED=Y","Sort=A","Dates=H","DateFormat=P","Fill=—","Direction=H","UseDPDF=Y")</f>
        <v>#NAME?</v>
      </c>
      <c r="CK50" s="1" t="e">
        <f ca="1">_xll.BDH($C$28,"TOT_DEBT_TO_TOT_EQY","FQ2 2018","FQ2 2018","Currency=INR","Period=FQ","BEST_FPERIOD_OVERRIDE=FQ","FILING_STATUS=OR","EQY_CONSOLIDATED=Y","Sort=A","Dates=H","DateFormat=P","Fill=—","Direction=H","UseDPDF=Y")</f>
        <v>#NAME?</v>
      </c>
      <c r="CL50" s="1" t="e">
        <f ca="1">_xll.BDH($C$28,"TOT_DEBT_TO_TOT_CAP","FQ2 2018","FQ2 2018","Currency=INR","Period=FQ","BEST_FPERIOD_OVERRIDE=FQ","FILING_STATUS=OR","EQY_CONSOLIDATED=Y","Sort=A","Dates=H","DateFormat=P","Fill=—","Direction=H","UseDPDF=Y")</f>
        <v>#NAME?</v>
      </c>
      <c r="CM50" s="1" t="e">
        <f ca="1">_xll.BDH($C$28,"TOT_DEBT_TO_TOT_ASSET","FQ2 2018","FQ2 2018","Currency=INR","Period=FQ","BEST_FPERIOD_OVERRIDE=FQ","FILING_STATUS=OR","EQY_CONSOLIDATED=Y","Sort=A","Dates=H","DateFormat=P","Fill=—","Direction=H","UseDPDF=Y")</f>
        <v>#NAME?</v>
      </c>
      <c r="CN50" s="1" t="e">
        <f ca="1">_xll.BDH($C$28,"NET_DEBT_TO_SHRHLDR_EQTY","FQ2 2018","FQ2 2018","Currency=INR","Period=FQ","BEST_FPERIOD_OVERRIDE=FQ","FILING_STATUS=OR","EQY_CONSOLIDATED=Y","Sort=A","Dates=H","DateFormat=P","Fill=—","Direction=H","UseDPDF=Y")</f>
        <v>#NAME?</v>
      </c>
      <c r="CO50" s="1" t="e">
        <f ca="1">_xll.BDH($C$28,"NET_DEBT_%_CAPITAL","FQ2 2018","FQ2 2018","Currency=INR","Period=FQ","BEST_FPERIOD_OVERRIDE=FQ","FILING_STATUS=OR","EQY_CONSOLIDATED=Y","Sort=A","Dates=H","DateFormat=P","Fill=—","Direction=H","UseDPDF=Y")</f>
        <v>#NAME?</v>
      </c>
      <c r="CP50" s="2" t="e">
        <f ca="1">_xll.BDH($C$28,"EBITDA","FQ2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0" s="2" t="e">
        <f ca="1">_xll.BDH($C$28,"EBITDA_AFTER_CAPEX","FQ2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0" s="2" t="e">
        <f ca="1">_xll.BDH($C$28,"IS_OPER_INC","FQ2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0" s="1" t="e">
        <f ca="1">_xll.BDH($C$28,"CASH_RATIO","FQ2 2018","FQ2 2018","Currency=INR","Period=FQ","BEST_FPERIOD_OVERRIDE=FQ","FILING_STATUS=OR","EQY_CONSOLIDATED=Y","Sort=A","Dates=H","DateFormat=P","Fill=—","Direction=H","UseDPDF=Y")</f>
        <v>#NAME?</v>
      </c>
      <c r="CT50" s="1" t="e">
        <f ca="1">_xll.BDH($C$28,"CUR_RATIO","FQ2 2018","FQ2 2018","Currency=INR","Period=FQ","BEST_FPERIOD_OVERRIDE=FQ","FILING_STATUS=OR","EQY_CONSOLIDATED=Y","Sort=A","Dates=H","DateFormat=P","Fill=—","Direction=H","UseDPDF=Y")</f>
        <v>#NAME?</v>
      </c>
      <c r="CU50" s="1" t="e">
        <f ca="1">_xll.BDH($C$28,"QUICK_RATIO","FQ2 2018","FQ2 2018","Currency=INR","Period=FQ","BEST_FPERIOD_OVERRIDE=FQ","FILING_STATUS=OR","EQY_CONSOLIDATED=Y","Sort=A","Dates=H","DateFormat=P","Fill=—","Direction=H","UseDPDF=Y")</f>
        <v>#NAME?</v>
      </c>
      <c r="CV50" s="1" t="e">
        <f ca="1">_xll.BDH($C$28,"ALTMAN_Z_SCORE","FQ2 2018","FQ2 2018","Currency=INR","Period=FQ","BEST_FPERIOD_OVERRIDE=FQ","FILING_STATUS=OR","EQY_CONSOLIDATED=Y","Sort=A","Dates=H","DateFormat=P","Fill=—","Direction=H","UseDPDF=Y")</f>
        <v>#NAME?</v>
      </c>
      <c r="CW50" s="3" t="e">
        <f ca="1">_xll.BDH($C$28,"ACCT_RCV_TURN","FQ2 2018","FQ2 2018","Currency=INR","Period=FQ","BEST_FPERIOD_OVERRIDE=FQ","FILING_STATUS=OR","EQY_CONSOLIDATED=Y","FA_ADJUSTED=GAAP","Sort=A","Dates=H","DateFormat=P","Fill=—","Direction=H","UseDPDF=Y")</f>
        <v>#NAME?</v>
      </c>
      <c r="CX50" s="1" t="e">
        <f ca="1">_xll.BDH($C$28,"ACCT_RCV_DAYS","FQ2 2018","FQ2 2018","Currency=INR","Period=FQ","BEST_FPERIOD_OVERRIDE=FQ","FILING_STATUS=OR","EQY_CONSOLIDATED=Y","FA_ADJUSTED=GAAP","Sort=A","Dates=H","DateFormat=P","Fill=—","Direction=H","UseDPDF=Y")</f>
        <v>#NAME?</v>
      </c>
      <c r="CY50" s="3" t="e">
        <f ca="1">_xll.BDH($C$28,"INVENT_TURN","FQ2 2018","FQ2 2018","Currency=INR","Period=FQ","BEST_FPERIOD_OVERRIDE=FQ","FILING_STATUS=OR","EQY_CONSOLIDATED=Y","FA_ADJUSTED=GAAP","Sort=A","Dates=H","DateFormat=P","Fill=—","Direction=H","UseDPDF=Y")</f>
        <v>#NAME?</v>
      </c>
      <c r="CZ50" s="1" t="e">
        <f ca="1">_xll.BDH($C$28,"INVENT_DAYS","FQ2 2018","FQ2 2018","Currency=INR","Period=FQ","BEST_FPERIOD_OVERRIDE=FQ","FILING_STATUS=OR","EQY_CONSOLIDATED=Y","FA_ADJUSTED=GAAP","Sort=A","Dates=H","DateFormat=P","Fill=—","Direction=H","UseDPDF=Y")</f>
        <v>#NAME?</v>
      </c>
      <c r="DA50" s="3" t="e">
        <f ca="1">_xll.BDH($C$28,"ACCOUNTS_PAYABLE_TURNOVER","FQ2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0" s="1" t="e">
        <f ca="1">_xll.BDH($C$28,"ACCOUNTS_PAYABLE_TURNOVER_DAYS","FQ2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0" s="3" t="e">
        <f ca="1">_xll.BDH($C$28,"CASH_CONVERSION_CYCLE","FQ2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0" s="3" t="e">
        <f ca="1">_xll.BDH($C$28,"INV_TO_CASH_DAYS","FQ2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50" s="4" t="e">
        <f ca="1">_xll.BDH($C$28,"BS_INVENTORIES","FQ2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50" s="2" t="e">
        <f ca="1">_xll.BDH($C$28,"INVTRY_RAW_MATERIALS","FQ2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0" s="2" t="e">
        <f ca="1">_xll.BDH($C$28,"INVTRY_IN_PROGRESS","FQ2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0" s="2" t="e">
        <f ca="1">_xll.BDH($C$28,"INVTRY_FINISHED_GOODS","FQ2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0" s="2" t="e">
        <f ca="1">_xll.BDH($C$28,"BS_OTHER_INV","FQ2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1" spans="1:113" x14ac:dyDescent="0.3">
      <c r="A51" s="6"/>
      <c r="B51" s="6"/>
      <c r="C51" s="6"/>
      <c r="D51" s="6"/>
      <c r="E51" t="s">
        <v>6</v>
      </c>
      <c r="F51" t="e">
        <f ca="1">_xll.BDH($C$28,"RETURN_COM_EQY","FQ3 2018","FQ3 2018","Currency=INR","Period=FQ","BEST_FPERIOD_OVERRIDE=FQ","FILING_STATUS=OR","EQY_CONSOLIDATED=Y","FA_ADJUSTED=GAAP","Sort=A","Dates=H","DateFormat=P","Fill=—","Direction=H","UseDPDF=Y")</f>
        <v>#NAME?</v>
      </c>
      <c r="G51" t="e">
        <f ca="1">_xll.BDH($C$28,"RETURN_ON_ASSET","FQ3 2018","FQ3 2018","Currency=INR","Period=FQ","BEST_FPERIOD_OVERRIDE=FQ","FILING_STATUS=OR","EQY_CONSOLIDATED=Y","FA_ADJUSTED=GAAP","Sort=A","Dates=H","DateFormat=P","Fill=—","Direction=H","UseDPDF=Y")</f>
        <v>#NAME?</v>
      </c>
      <c r="H51" t="e">
        <f ca="1">_xll.BDH($C$28,"RETURN_ON_CAP","FQ3 2018","FQ3 2018","Currency=INR","Period=FQ","BEST_FPERIOD_OVERRIDE=FQ","FILING_STATUS=OR","EQY_CONSOLIDATED=Y","FA_ADJUSTED=GAAP","Sort=A","Dates=H","DateFormat=P","Fill=—","Direction=H","UseDPDF=Y")</f>
        <v>#NAME?</v>
      </c>
      <c r="I51" t="e">
        <f ca="1">_xll.BDH($C$28,"RETURN_ON_INV_CAPITAL","FQ3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1" t="e">
        <f ca="1">_xll.BDH($C$28,"EBITDA_TO_REVENUE","FQ3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51" t="e">
        <f ca="1">_xll.BDH($C$28,"OPER_MARGIN","FQ3 2018","FQ3 2018","Currency=INR","Period=FQ","BEST_FPERIOD_OVERRIDE=FQ","FILING_STATUS=OR","EQY_CONSOLIDATED=Y","FA_ADJUSTED=GAAP","Sort=A","Dates=H","DateFormat=P","Fill=—","Direction=H","UseDPDF=Y")</f>
        <v>#NAME?</v>
      </c>
      <c r="L51" t="e">
        <f ca="1">_xll.BDH($C$28,"INCREMENTAL_OPERATING_MARGIN","FQ3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1" t="e">
        <f ca="1">_xll.BDH($C$28,"PRETAX_INC_TO_NET_SALES","FQ3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1" t="e">
        <f ca="1">_xll.BDH($C$28,"INC_BEF_XO_ITEMS_TO_NET_SALES","FQ3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1" t="e">
        <f ca="1">_xll.BDH($C$28,"PROF_MARGIN","FQ3 2018","FQ3 2018","Currency=INR","Period=FQ","BEST_FPERIOD_OVERRIDE=FQ","FILING_STATUS=OR","EQY_CONSOLIDATED=Y","FA_ADJUSTED=GAAP","Sort=A","Dates=H","DateFormat=P","Fill=—","Direction=H","UseDPDF=Y")</f>
        <v>#NAME?</v>
      </c>
      <c r="P51" t="e">
        <f ca="1">_xll.BDH($C$28,"NET_INCOME_TO_COMMON_MARGIN","FQ3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1" t="e">
        <f ca="1">_xll.BDH($C$28,"EFF_TAX_RATE","FQ3 2018","FQ3 2018","Currency=INR","Period=FQ","BEST_FPERIOD_OVERRIDE=FQ","FILING_STATUS=OR","EQY_CONSOLIDATED=Y","FA_ADJUSTED=GAAP","Sort=A","Dates=H","DateFormat=P","Fill=—","Direction=H","UseDPDF=Y")</f>
        <v>#NAME?</v>
      </c>
      <c r="R51" t="e">
        <f ca="1">_xll.BDH($C$28,"DVD_PAYOUT_RATIO","FQ3 2018","FQ3 2018","Currency=INR","Period=FQ","BEST_FPERIOD_OVERRIDE=FQ","FILING_STATUS=OR","EQY_CONSOLIDATED=Y","FA_ADJUSTED=GAAP","Sort=A","Dates=H","DateFormat=P","Fill=—","Direction=H","UseDPDF=Y")</f>
        <v>#NAME?</v>
      </c>
      <c r="S51" t="e">
        <f ca="1">_xll.BDH($C$28,"SUSTAIN_GROWTH_RT","FQ3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51" s="1" t="e">
        <f ca="1">_xll.BDH($C$28,"SALES_GROWTH","FQ3 2018","FQ3 2018","Currency=INR","Period=FQ","BEST_FPERIOD_OVERRIDE=FQ","FILING_STATUS=OR","EQY_CONSOLIDATED=Y","FA_ADJUSTED=GAAP","Sort=A","Dates=H","DateFormat=P","Fill=—","Direction=H","UseDPDF=Y")</f>
        <v>#NAME?</v>
      </c>
      <c r="U51" s="1" t="e">
        <f ca="1">_xll.BDH($C$28,"EBITDA_GROWTH","FQ3 2018","FQ3 2018","Currency=INR","Period=FQ","BEST_FPERIOD_OVERRIDE=FQ","FILING_STATUS=OR","EQY_CONSOLIDATED=Y","FA_ADJUSTED=GAAP","Sort=A","Dates=H","DateFormat=P","Fill=—","Direction=H","UseDPDF=Y")</f>
        <v>#NAME?</v>
      </c>
      <c r="V51" s="1" t="e">
        <f ca="1">_xll.BDH($C$28,"OPER_INC_GROWTH","FQ3 2018","FQ3 2018","Currency=INR","Period=FQ","BEST_FPERIOD_OVERRIDE=FQ","FILING_STATUS=OR","EQY_CONSOLIDATED=Y","FA_ADJUSTED=GAAP","Sort=A","Dates=H","DateFormat=P","Fill=—","Direction=H","UseDPDF=Y")</f>
        <v>#NAME?</v>
      </c>
      <c r="W51" s="1" t="e">
        <f ca="1">_xll.BDH($C$28,"EARN_FOR_COM_GROWTH","FQ3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1" s="1" t="e">
        <f ca="1">_xll.BDH($C$28,"DILUTED_EPS_AFT_XO_ITEMS_GROWTH","FQ3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1" s="1" t="e">
        <f ca="1">_xll.BDH($C$28,"DIVIDEND_PER_SHARE_1_YEAR_GROWTH","FQ3 2018","FQ3 2018","Currency=INR","Period=FQ","BEST_FPERIOD_OVERRIDE=FQ","FILING_STATUS=OR","EQY_CONSOLIDATED=Y","Sort=A","Dates=H","DateFormat=P","Fill=—","Direction=H","UseDPDF=Y")</f>
        <v>#NAME?</v>
      </c>
      <c r="Z51" s="1" t="e">
        <f ca="1">_xll.BDH($C$28,"ACCOUNTS_RECEIVABLE_GROWTH","FQ3 2018","FQ3 2018","Currency=INR","Period=FQ","BEST_FPERIOD_OVERRIDE=FQ","FILING_STATUS=OR","EQY_CONSOLIDATED=Y","Sort=A","Dates=H","DateFormat=P","Fill=—","Direction=H","UseDPDF=Y")</f>
        <v>#NAME?</v>
      </c>
      <c r="AA51" s="1" t="e">
        <f ca="1">_xll.BDH($C$28,"INVENTORY_GROWTH","FQ3 2018","FQ3 2018","Currency=INR","Period=FQ","BEST_FPERIOD_OVERRIDE=FQ","FILING_STATUS=OR","EQY_CONSOLIDATED=Y","Sort=A","Dates=H","DateFormat=P","Fill=—","Direction=H","UseDPDF=Y")</f>
        <v>#NAME?</v>
      </c>
      <c r="AB51" s="1" t="e">
        <f ca="1">_xll.BDH($C$28,"NET_FIXED_ASSETS_1_YEAR_GROWTH","FQ3 2018","FQ3 2018","Currency=INR","Period=FQ","BEST_FPERIOD_OVERRIDE=FQ","FILING_STATUS=OR","EQY_CONSOLIDATED=Y","Sort=A","Dates=H","DateFormat=P","Fill=—","Direction=H","UseDPDF=Y")</f>
        <v>#NAME?</v>
      </c>
      <c r="AC51" s="1" t="e">
        <f ca="1">_xll.BDH($C$28,"ASSET_GROWTH","FQ3 2018","FQ3 2018","Currency=INR","Period=FQ","BEST_FPERIOD_OVERRIDE=FQ","FILING_STATUS=OR","EQY_CONSOLIDATED=Y","Sort=A","Dates=H","DateFormat=P","Fill=—","Direction=H","UseDPDF=Y")</f>
        <v>#NAME?</v>
      </c>
      <c r="AD51" s="1" t="e">
        <f ca="1">_xll.BDH($C$28,"MODIFIED_WORK_CAP_GROWTH","FQ3 2018","FQ3 2018","Currency=INR","Period=FQ","BEST_FPERIOD_OVERRIDE=FQ","FILING_STATUS=OR","EQY_CONSOLIDATED=Y","Sort=A","Dates=H","DateFormat=P","Fill=—","Direction=H","UseDPDF=Y")</f>
        <v>#NAME?</v>
      </c>
      <c r="AE51" s="1" t="e">
        <f ca="1">_xll.BDH($C$28,"WORK_CAP_GROWTH","FQ3 2018","FQ3 2018","Currency=INR","Period=FQ","BEST_FPERIOD_OVERRIDE=FQ","FILING_STATUS=OR","EQY_CONSOLIDATED=Y","Sort=A","Dates=H","DateFormat=P","Fill=—","Direction=H","UseDPDF=Y")</f>
        <v>#NAME?</v>
      </c>
      <c r="AF51" s="1" t="e">
        <f ca="1">_xll.BDH($C$28,"ACCOUNTS_PAYABLE_GROWTH_1YR","FQ3 2018","FQ3 2018","Currency=INR","Period=FQ","BEST_FPERIOD_OVERRIDE=FQ","FILING_STATUS=OR","EQY_CONSOLIDATED=Y","Sort=A","Dates=H","DateFormat=P","Fill=—","Direction=H","UseDPDF=Y")</f>
        <v>#NAME?</v>
      </c>
      <c r="AG51" s="1" t="e">
        <f ca="1">_xll.BDH($C$28,"SHORT_TERM_DEBT_1_YEAR_GROWTH","FQ3 2018","FQ3 2018","Currency=INR","Period=FQ","BEST_FPERIOD_OVERRIDE=FQ","FILING_STATUS=OR","EQY_CONSOLIDATED=Y","Sort=A","Dates=H","DateFormat=P","Fill=—","Direction=H","UseDPDF=Y")</f>
        <v>#NAME?</v>
      </c>
      <c r="AH51" s="1" t="e">
        <f ca="1">_xll.BDH($C$28,"TOTAL_DEBT_1_YEAR_GROWTH","FQ3 2018","FQ3 2018","Currency=INR","Period=FQ","BEST_FPERIOD_OVERRIDE=FQ","FILING_STATUS=OR","EQY_CONSOLIDATED=Y","Sort=A","Dates=H","DateFormat=P","Fill=—","Direction=H","UseDPDF=Y")</f>
        <v>#NAME?</v>
      </c>
      <c r="AI51" s="1" t="e">
        <f ca="1">_xll.BDH($C$28,"TOTAL_EQUITY_1_YEAR_GROWTH","FQ3 2018","FQ3 2018","Currency=INR","Period=FQ","BEST_FPERIOD_OVERRIDE=FQ","FILING_STATUS=OR","EQY_CONSOLIDATED=Y","Sort=A","Dates=H","DateFormat=P","Fill=—","Direction=H","UseDPDF=Y")</f>
        <v>#NAME?</v>
      </c>
      <c r="AJ51" s="1" t="e">
        <f ca="1">_xll.BDH($C$28,"GROWTH_IN_CAP","FQ3 2018","FQ3 2018","Currency=INR","Period=FQ","BEST_FPERIOD_OVERRIDE=FQ","FILING_STATUS=OR","EQY_CONSOLIDATED=Y","Sort=A","Dates=H","DateFormat=P","Fill=—","Direction=H","UseDPDF=Y")</f>
        <v>#NAME?</v>
      </c>
      <c r="AK51" s="1" t="e">
        <f ca="1">_xll.BDH($C$28,"BVPS_GROWTH","FQ3 2018","FQ3 2018","Currency=INR","Period=FQ","BEST_FPERIOD_OVERRIDE=FQ","FILING_STATUS=OR","EQY_CONSOLIDATED=Y","Sort=A","Dates=H","DateFormat=P","Fill=—","Direction=H","UseDPDF=Y")</f>
        <v>#NAME?</v>
      </c>
      <c r="AL51" s="1" t="e">
        <f ca="1">_xll.BDH($C$28,"CASH_FLOW_GROWTH","FQ3 2018","FQ3 2018","Currency=INR","Period=FQ","BEST_FPERIOD_OVERRIDE=FQ","FILING_STATUS=OR","EQY_CONSOLIDATED=Y","Sort=A","Dates=H","DateFormat=P","Fill=—","Direction=H","UseDPDF=Y")</f>
        <v>#NAME?</v>
      </c>
      <c r="AM51" s="1" t="e">
        <f ca="1">_xll.BDH($C$28,"GEO_GROW_NET_SALES","FQ3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1" s="1" t="e">
        <f ca="1">_xll.BDH($C$28,"GEO_GROW_EBITDA","FQ3 2018","FQ3 2018","Currency=INR","Period=FQ","BEST_FPERIOD_OVERRIDE=FQ","FILING_STATUS=OR","EQY_CONSOLIDATED=Y","FA_ADJUSTED=GAAP","Sort=A","Dates=H","DateFormat=P","Fill=—","Direction=H","UseDPDF=Y")</f>
        <v>#NAME?</v>
      </c>
      <c r="AO51" s="1" t="e">
        <f ca="1">_xll.BDH($C$28,"GEO_GROW_OPER_INC","FQ3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1" s="1" t="e">
        <f ca="1">_xll.BDH($C$28,"NET_INCOME_TO_COMMON_5_YR_GROWTH","FQ3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1" s="1" t="e">
        <f ca="1">_xll.BDH($C$28,"5Y_GEO_GROWTH_DILUTED_EPS","FQ3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1" s="1" t="e">
        <f ca="1">_xll.BDH($C$28,"GEO_GROW_DVD_PER_SH","FQ3 2018","FQ3 2018","Currency=INR","Period=FQ","BEST_FPERIOD_OVERRIDE=FQ","FILING_STATUS=OR","EQY_CONSOLIDATED=Y","Sort=A","Dates=H","DateFormat=P","Fill=—","Direction=H","UseDPDF=Y")</f>
        <v>#NAME?</v>
      </c>
      <c r="AS51" s="1" t="e">
        <f ca="1">_xll.BDH($C$28,"ACCOUNTS_RECEIVABLE_5_YR_GROWTH","FQ3 2018","FQ3 2018","Currency=INR","Period=FQ","BEST_FPERIOD_OVERRIDE=FQ","FILING_STATUS=OR","EQY_CONSOLIDATED=Y","Sort=A","Dates=H","DateFormat=P","Fill=—","Direction=H","UseDPDF=Y")</f>
        <v>#NAME?</v>
      </c>
      <c r="AT51" s="1" t="e">
        <f ca="1">_xll.BDH($C$28,"INVENTORY_5_YEAR_GROWTH","FQ3 2018","FQ3 2018","Currency=INR","Period=FQ","BEST_FPERIOD_OVERRIDE=FQ","FILING_STATUS=OR","EQY_CONSOLIDATED=Y","Sort=A","Dates=H","DateFormat=P","Fill=—","Direction=H","UseDPDF=Y")</f>
        <v>#NAME?</v>
      </c>
      <c r="AU51" s="1" t="e">
        <f ca="1">_xll.BDH($C$28,"NET_FIXED_ASSETS_5_YEAR_GROWTH","FQ3 2018","FQ3 2018","Currency=INR","Period=FQ","BEST_FPERIOD_OVERRIDE=FQ","FILING_STATUS=OR","EQY_CONSOLIDATED=Y","Sort=A","Dates=H","DateFormat=P","Fill=—","Direction=H","UseDPDF=Y")</f>
        <v>#NAME?</v>
      </c>
      <c r="AV51" s="1" t="e">
        <f ca="1">_xll.BDH($C$28,"GEO_GROW_TOT_ASSET","FQ3 2018","FQ3 2018","Currency=INR","Period=FQ","BEST_FPERIOD_OVERRIDE=FQ","FILING_STATUS=OR","EQY_CONSOLIDATED=Y","Sort=A","Dates=H","DateFormat=P","Fill=—","Direction=H","UseDPDF=Y")</f>
        <v>#NAME?</v>
      </c>
      <c r="AW51" s="1" t="e">
        <f ca="1">_xll.BDH($C$28,"MODIFIED_WORKING_CPTL_5YR_GRWTH","FQ3 2018","FQ3 2018","Currency=INR","Period=FQ","BEST_FPERIOD_OVERRIDE=FQ","FILING_STATUS=OR","EQY_CONSOLIDATED=Y","Sort=A","Dates=H","DateFormat=P","Fill=—","Direction=H","UseDPDF=Y")</f>
        <v>#NAME?</v>
      </c>
      <c r="AX51" s="1" t="e">
        <f ca="1">_xll.BDH($C$28,"WORKING_CAPITAL_5_YEAR_GROWTH","FQ3 2018","FQ3 2018","Currency=INR","Period=FQ","BEST_FPERIOD_OVERRIDE=FQ","FILING_STATUS=OR","EQY_CONSOLIDATED=Y","Sort=A","Dates=H","DateFormat=P","Fill=—","Direction=H","UseDPDF=Y")</f>
        <v>#NAME?</v>
      </c>
      <c r="AY51" s="1" t="e">
        <f ca="1">_xll.BDH($C$28,"ACCOUNTS_PAYABLE_5_YEAR_GROWTH","FQ3 2018","FQ3 2018","Currency=INR","Period=FQ","BEST_FPERIOD_OVERRIDE=FQ","FILING_STATUS=OR","EQY_CONSOLIDATED=Y","Sort=A","Dates=H","DateFormat=P","Fill=—","Direction=H","UseDPDF=Y")</f>
        <v>#NAME?</v>
      </c>
      <c r="AZ51" s="1" t="e">
        <f ca="1">_xll.BDH($C$28,"SHORT_TERM_DEBT_5_YEAR_GROWTH","FQ3 2018","FQ3 2018","Currency=INR","Period=FQ","BEST_FPERIOD_OVERRIDE=FQ","FILING_STATUS=OR","EQY_CONSOLIDATED=Y","Sort=A","Dates=H","DateFormat=P","Fill=—","Direction=H","UseDPDF=Y")</f>
        <v>#NAME?</v>
      </c>
      <c r="BA51" s="1" t="e">
        <f ca="1">_xll.BDH($C$28,"TOTAL_DEBT_5_YEAR_GROWTH","FQ3 2018","FQ3 2018","Currency=INR","Period=FQ","BEST_FPERIOD_OVERRIDE=FQ","FILING_STATUS=OR","EQY_CONSOLIDATED=Y","Sort=A","Dates=H","DateFormat=P","Fill=—","Direction=H","UseDPDF=Y")</f>
        <v>#NAME?</v>
      </c>
      <c r="BB51" s="1" t="e">
        <f ca="1">_xll.BDH($C$28,"GEO_GROW_TOT_SHRHLDR_EQY","FQ3 2018","FQ3 2018","Currency=INR","Period=FQ","BEST_FPERIOD_OVERRIDE=FQ","FILING_STATUS=OR","EQY_CONSOLIDATED=Y","Sort=A","Dates=H","DateFormat=P","Fill=—","Direction=H","UseDPDF=Y")</f>
        <v>#NAME?</v>
      </c>
      <c r="BC51" s="1" t="e">
        <f ca="1">_xll.BDH($C$28,"TOTAL_CAPITAL_5_YEAR_GROWTH","FQ3 2018","FQ3 2018","Currency=INR","Period=FQ","BEST_FPERIOD_OVERRIDE=FQ","FILING_STATUS=OR","EQY_CONSOLIDATED=Y","Sort=A","Dates=H","DateFormat=P","Fill=—","Direction=H","UseDPDF=Y")</f>
        <v>#NAME?</v>
      </c>
      <c r="BD51" s="1" t="e">
        <f ca="1">_xll.BDH($C$28,"GEO_GROW_BOOK_VAL","FQ3 2018","FQ3 2018","Currency=INR","Period=FQ","BEST_FPERIOD_OVERRIDE=FQ","FILING_STATUS=OR","EQY_CONSOLIDATED=Y","Sort=A","Dates=H","DateFormat=P","Fill=—","Direction=H","UseDPDF=Y")</f>
        <v>#NAME?</v>
      </c>
      <c r="BE51" s="1" t="e">
        <f ca="1">_xll.BDH($C$28,"GEO_GROW_CASH_OPER_ACT","FQ3 2018","FQ3 2018","Currency=INR","Period=FQ","BEST_FPERIOD_OVERRIDE=FQ","FILING_STATUS=OR","EQY_CONSOLIDATED=Y","Sort=A","Dates=H","DateFormat=P","Fill=—","Direction=H","UseDPDF=Y")</f>
        <v>#NAME?</v>
      </c>
      <c r="BF51" s="1" t="e">
        <f ca="1">_xll.BDH($C$28,"REVENUE_SEQUENTIAL_GROWTH","FQ3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1" s="1" t="e">
        <f ca="1">_xll.BDH($C$28,"EBITDA_SEQUENTIAL_GROWTH","FQ3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1" s="1" t="e">
        <f ca="1">_xll.BDH($C$28,"OPERATING_INCOME_SEQ_GROWTH","FQ3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1" s="1" t="e">
        <f ca="1">_xll.BDH($C$28,"NET_INCOME_TO_COMMON_SEQ_GROWTH","FQ3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1" s="1" t="e">
        <f ca="1">_xll.BDH($C$28,"EPS_DILUTED_SEQUENTIAL_GROWTH","FQ3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1" s="1" t="e">
        <f ca="1">_xll.BDH($C$28,"DPS_SEQUENTIAL_GROWTH","FQ3 2018","FQ3 2018","Currency=INR","Period=FQ","BEST_FPERIOD_OVERRIDE=FQ","FILING_STATUS=OR","EQY_CONSOLIDATED=Y","Sort=A","Dates=H","DateFormat=P","Fill=—","Direction=H","UseDPDF=Y")</f>
        <v>#NAME?</v>
      </c>
      <c r="BL51" s="1" t="e">
        <f ca="1">_xll.BDH($C$28,"ACCOUNTS_RECEIVABLE_SEQ_GROWTH","FQ3 2018","FQ3 2018","Currency=INR","Period=FQ","BEST_FPERIOD_OVERRIDE=FQ","FILING_STATUS=OR","EQY_CONSOLIDATED=Y","Sort=A","Dates=H","DateFormat=P","Fill=—","Direction=H","UseDPDF=Y")</f>
        <v>#NAME?</v>
      </c>
      <c r="BM51" s="1" t="e">
        <f ca="1">_xll.BDH($C$28,"INVENTORY_SEQUENTIAL_GROWTH","FQ3 2018","FQ3 2018","Currency=INR","Period=FQ","BEST_FPERIOD_OVERRIDE=FQ","FILING_STATUS=OR","EQY_CONSOLIDATED=Y","Sort=A","Dates=H","DateFormat=P","Fill=—","Direction=H","UseDPDF=Y")</f>
        <v>#NAME?</v>
      </c>
      <c r="BN51" s="1" t="e">
        <f ca="1">_xll.BDH($C$28,"FIXED_ASSETS_SEQUENTIAL_GROWTH","FQ3 2018","FQ3 2018","Currency=INR","Period=FQ","BEST_FPERIOD_OVERRIDE=FQ","FILING_STATUS=OR","EQY_CONSOLIDATED=Y","Sort=A","Dates=H","DateFormat=P","Fill=—","Direction=H","UseDPDF=Y")</f>
        <v>#NAME?</v>
      </c>
      <c r="BO51" s="1" t="e">
        <f ca="1">_xll.BDH($C$28,"TOTAL_ASSETS_SEQUENTIAL_GROWTH","FQ3 2018","FQ3 2018","Currency=INR","Period=FQ","BEST_FPERIOD_OVERRIDE=FQ","FILING_STATUS=OR","EQY_CONSOLIDATED=Y","Sort=A","Dates=H","DateFormat=P","Fill=—","Direction=H","UseDPDF=Y")</f>
        <v>#NAME?</v>
      </c>
      <c r="BP51" s="1" t="e">
        <f ca="1">_xll.BDH($C$28,"MODIFIED_WORKING_CPTL_SEQ_GRWTH","FQ3 2018","FQ3 2018","Currency=INR","Period=FQ","BEST_FPERIOD_OVERRIDE=FQ","FILING_STATUS=OR","EQY_CONSOLIDATED=Y","Sort=A","Dates=H","DateFormat=P","Fill=—","Direction=H","UseDPDF=Y")</f>
        <v>#NAME?</v>
      </c>
      <c r="BQ51" s="1" t="e">
        <f ca="1">_xll.BDH($C$28,"WORKING_CAPITAL_SEQ_GROWTH","FQ3 2018","FQ3 2018","Currency=INR","Period=FQ","BEST_FPERIOD_OVERRIDE=FQ","FILING_STATUS=OR","EQY_CONSOLIDATED=Y","Sort=A","Dates=H","DateFormat=P","Fill=—","Direction=H","UseDPDF=Y")</f>
        <v>#NAME?</v>
      </c>
      <c r="BR51" s="1" t="e">
        <f ca="1">_xll.BDH($C$28,"ACCOUNTS_PAYABLE_SEQ_GROWTH","FQ3 2018","FQ3 2018","Currency=INR","Period=FQ","BEST_FPERIOD_OVERRIDE=FQ","FILING_STATUS=OR","EQY_CONSOLIDATED=Y","Sort=A","Dates=H","DateFormat=P","Fill=—","Direction=H","UseDPDF=Y")</f>
        <v>#NAME?</v>
      </c>
      <c r="BS51" s="1" t="e">
        <f ca="1">_xll.BDH($C$28,"ST_DEBT_SEQUENTIAL_GROWTH","FQ3 2018","FQ3 2018","Currency=INR","Period=FQ","BEST_FPERIOD_OVERRIDE=FQ","FILING_STATUS=OR","EQY_CONSOLIDATED=Y","Sort=A","Dates=H","DateFormat=P","Fill=—","Direction=H","UseDPDF=Y")</f>
        <v>#NAME?</v>
      </c>
      <c r="BT51" s="1" t="e">
        <f ca="1">_xll.BDH($C$28,"TOTAL_DEBT_SEQUENTIAL_GROWTH","FQ3 2018","FQ3 2018","Currency=INR","Period=FQ","BEST_FPERIOD_OVERRIDE=FQ","FILING_STATUS=OR","EQY_CONSOLIDATED=Y","Sort=A","Dates=H","DateFormat=P","Fill=—","Direction=H","UseDPDF=Y")</f>
        <v>#NAME?</v>
      </c>
      <c r="BU51" s="1" t="e">
        <f ca="1">_xll.BDH($C$28,"TOTAL_EQUITY_SEQUENTIAL_GROWTH","FQ3 2018","FQ3 2018","Currency=INR","Period=FQ","BEST_FPERIOD_OVERRIDE=FQ","FILING_STATUS=OR","EQY_CONSOLIDATED=Y","Sort=A","Dates=H","DateFormat=P","Fill=—","Direction=H","UseDPDF=Y")</f>
        <v>#NAME?</v>
      </c>
      <c r="BV51" s="1" t="e">
        <f ca="1">_xll.BDH($C$28,"TOTAL_CAPITAL_SEQUENTIAL_GROWTH","FQ3 2018","FQ3 2018","Currency=INR","Period=FQ","BEST_FPERIOD_OVERRIDE=FQ","FILING_STATUS=OR","EQY_CONSOLIDATED=Y","Sort=A","Dates=H","DateFormat=P","Fill=—","Direction=H","UseDPDF=Y")</f>
        <v>#NAME?</v>
      </c>
      <c r="BW51" s="1" t="e">
        <f ca="1">_xll.BDH($C$28,"BPS_SEQUENTIAL_GROWTH","FQ3 2018","FQ3 2018","Currency=INR","Period=FQ","BEST_FPERIOD_OVERRIDE=FQ","FILING_STATUS=OR","EQY_CONSOLIDATED=Y","Sort=A","Dates=H","DateFormat=P","Fill=—","Direction=H","UseDPDF=Y")</f>
        <v>#NAME?</v>
      </c>
      <c r="BX51" s="1" t="e">
        <f ca="1">_xll.BDH($C$28,"CFO_SEQUENTIAL_GROWTH","FQ3 2018","FQ3 2018","Currency=INR","Period=FQ","BEST_FPERIOD_OVERRIDE=FQ","FILING_STATUS=OR","EQY_CONSOLIDATED=Y","Sort=A","Dates=H","DateFormat=P","Fill=—","Direction=H","UseDPDF=Y")</f>
        <v>#NAME?</v>
      </c>
      <c r="BY51" s="2" t="e">
        <f ca="1">_xll.BDH($C$28,"SHORT_AND_LONG_TERM_DEBT","FQ3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1" s="2" t="e">
        <f ca="1">_xll.BDH($C$28,"BS_ST_BORROW","FQ3 2018","FQ3 2018","Currency=INR","Period=FQ","BEST_FPERIOD_OVERRIDE=FQ","FILING_STATUS=OR","EQY_CONSOLIDATED=Y","SCALING_FORMAT=MLN","Sort=A","Dates=H","DateFormat=P","Fill=—","Direction=H","UseDPDF=Y")</f>
        <v>#NAME?</v>
      </c>
      <c r="CA51" s="2" t="e">
        <f ca="1">_xll.BDH($C$28,"BS_LT_BORROW","FQ3 2018","FQ3 2018","Currency=INR","Period=FQ","BEST_FPERIOD_OVERRIDE=FQ","FILING_STATUS=OR","EQY_CONSOLIDATED=Y","SCALING_FORMAT=MLN","Sort=A","Dates=H","DateFormat=P","Fill=—","Direction=H","UseDPDF=Y")</f>
        <v>#NAME?</v>
      </c>
      <c r="CB51" s="1" t="e">
        <f ca="1">_xll.BDH($C$28,"TOT_DEBT_TO_EBITDA","FQ3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1" s="1" t="e">
        <f ca="1">_xll.BDH($C$28,"NET_DEBT_TO_EBITDA","FQ3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1" s="1" t="e">
        <f ca="1">_xll.BDH($C$28,"TOTAL_DEBT_TO_EBIT","FQ3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1" s="1" t="e">
        <f ca="1">_xll.BDH($C$28,"NET_DEBT_TO_EBIT","FQ3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51" s="1" t="e">
        <f ca="1">_xll.BDH($C$28,"EBITDA_TO_INTEREST_EXPN","FQ3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1" s="1" t="e">
        <f ca="1">_xll.BDH($C$28,"COM_EQY_TO_TOT_ASSET","FQ3 2018","FQ3 2018","Currency=INR","Period=FQ","BEST_FPERIOD_OVERRIDE=FQ","FILING_STATUS=OR","EQY_CONSOLIDATED=Y","Sort=A","Dates=H","DateFormat=P","Fill=—","Direction=H","UseDPDF=Y")</f>
        <v>#NAME?</v>
      </c>
      <c r="CH51" s="1" t="e">
        <f ca="1">_xll.BDH($C$28,"LT_DEBT_TO_TOT_EQY","FQ3 2018","FQ3 2018","Currency=INR","Period=FQ","BEST_FPERIOD_OVERRIDE=FQ","FILING_STATUS=OR","EQY_CONSOLIDATED=Y","Sort=A","Dates=H","DateFormat=P","Fill=—","Direction=H","UseDPDF=Y")</f>
        <v>#NAME?</v>
      </c>
      <c r="CI51" s="1" t="e">
        <f ca="1">_xll.BDH($C$28,"LT_DEBT_TO_TOT_CAP","FQ3 2018","FQ3 2018","Currency=INR","Period=FQ","BEST_FPERIOD_OVERRIDE=FQ","FILING_STATUS=OR","EQY_CONSOLIDATED=Y","Sort=A","Dates=H","DateFormat=P","Fill=—","Direction=H","UseDPDF=Y")</f>
        <v>#NAME?</v>
      </c>
      <c r="CJ51" s="1" t="e">
        <f ca="1">_xll.BDH($C$28,"LT_DEBT_TO_TOT_ASSET","FQ3 2018","FQ3 2018","Currency=INR","Period=FQ","BEST_FPERIOD_OVERRIDE=FQ","FILING_STATUS=OR","EQY_CONSOLIDATED=Y","Sort=A","Dates=H","DateFormat=P","Fill=—","Direction=H","UseDPDF=Y")</f>
        <v>#NAME?</v>
      </c>
      <c r="CK51" s="1" t="e">
        <f ca="1">_xll.BDH($C$28,"TOT_DEBT_TO_TOT_EQY","FQ3 2018","FQ3 2018","Currency=INR","Period=FQ","BEST_FPERIOD_OVERRIDE=FQ","FILING_STATUS=OR","EQY_CONSOLIDATED=Y","Sort=A","Dates=H","DateFormat=P","Fill=—","Direction=H","UseDPDF=Y")</f>
        <v>#NAME?</v>
      </c>
      <c r="CL51" s="1" t="e">
        <f ca="1">_xll.BDH($C$28,"TOT_DEBT_TO_TOT_CAP","FQ3 2018","FQ3 2018","Currency=INR","Period=FQ","BEST_FPERIOD_OVERRIDE=FQ","FILING_STATUS=OR","EQY_CONSOLIDATED=Y","Sort=A","Dates=H","DateFormat=P","Fill=—","Direction=H","UseDPDF=Y")</f>
        <v>#NAME?</v>
      </c>
      <c r="CM51" s="1" t="e">
        <f ca="1">_xll.BDH($C$28,"TOT_DEBT_TO_TOT_ASSET","FQ3 2018","FQ3 2018","Currency=INR","Period=FQ","BEST_FPERIOD_OVERRIDE=FQ","FILING_STATUS=OR","EQY_CONSOLIDATED=Y","Sort=A","Dates=H","DateFormat=P","Fill=—","Direction=H","UseDPDF=Y")</f>
        <v>#NAME?</v>
      </c>
      <c r="CN51" s="1" t="e">
        <f ca="1">_xll.BDH($C$28,"NET_DEBT_TO_SHRHLDR_EQTY","FQ3 2018","FQ3 2018","Currency=INR","Period=FQ","BEST_FPERIOD_OVERRIDE=FQ","FILING_STATUS=OR","EQY_CONSOLIDATED=Y","Sort=A","Dates=H","DateFormat=P","Fill=—","Direction=H","UseDPDF=Y")</f>
        <v>#NAME?</v>
      </c>
      <c r="CO51" s="1" t="e">
        <f ca="1">_xll.BDH($C$28,"NET_DEBT_%_CAPITAL","FQ3 2018","FQ3 2018","Currency=INR","Period=FQ","BEST_FPERIOD_OVERRIDE=FQ","FILING_STATUS=OR","EQY_CONSOLIDATED=Y","Sort=A","Dates=H","DateFormat=P","Fill=—","Direction=H","UseDPDF=Y")</f>
        <v>#NAME?</v>
      </c>
      <c r="CP51" s="2" t="e">
        <f ca="1">_xll.BDH($C$28,"EBITDA","FQ3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1" s="2" t="e">
        <f ca="1">_xll.BDH($C$28,"EBITDA_AFTER_CAPEX","FQ3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1" s="2" t="e">
        <f ca="1">_xll.BDH($C$28,"IS_OPER_INC","FQ3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1" s="1" t="e">
        <f ca="1">_xll.BDH($C$28,"CASH_RATIO","FQ3 2018","FQ3 2018","Currency=INR","Period=FQ","BEST_FPERIOD_OVERRIDE=FQ","FILING_STATUS=OR","EQY_CONSOLIDATED=Y","Sort=A","Dates=H","DateFormat=P","Fill=—","Direction=H","UseDPDF=Y")</f>
        <v>#NAME?</v>
      </c>
      <c r="CT51" s="1" t="e">
        <f ca="1">_xll.BDH($C$28,"CUR_RATIO","FQ3 2018","FQ3 2018","Currency=INR","Period=FQ","BEST_FPERIOD_OVERRIDE=FQ","FILING_STATUS=OR","EQY_CONSOLIDATED=Y","Sort=A","Dates=H","DateFormat=P","Fill=—","Direction=H","UseDPDF=Y")</f>
        <v>#NAME?</v>
      </c>
      <c r="CU51" s="1" t="e">
        <f ca="1">_xll.BDH($C$28,"QUICK_RATIO","FQ3 2018","FQ3 2018","Currency=INR","Period=FQ","BEST_FPERIOD_OVERRIDE=FQ","FILING_STATUS=OR","EQY_CONSOLIDATED=Y","Sort=A","Dates=H","DateFormat=P","Fill=—","Direction=H","UseDPDF=Y")</f>
        <v>#NAME?</v>
      </c>
      <c r="CV51" s="1" t="e">
        <f ca="1">_xll.BDH($C$28,"ALTMAN_Z_SCORE","FQ3 2018","FQ3 2018","Currency=INR","Period=FQ","BEST_FPERIOD_OVERRIDE=FQ","FILING_STATUS=OR","EQY_CONSOLIDATED=Y","Sort=A","Dates=H","DateFormat=P","Fill=—","Direction=H","UseDPDF=Y")</f>
        <v>#NAME?</v>
      </c>
      <c r="CW51" s="3" t="e">
        <f ca="1">_xll.BDH($C$28,"ACCT_RCV_TURN","FQ3 2018","FQ3 2018","Currency=INR","Period=FQ","BEST_FPERIOD_OVERRIDE=FQ","FILING_STATUS=OR","EQY_CONSOLIDATED=Y","FA_ADJUSTED=GAAP","Sort=A","Dates=H","DateFormat=P","Fill=—","Direction=H","UseDPDF=Y")</f>
        <v>#NAME?</v>
      </c>
      <c r="CX51" s="1" t="e">
        <f ca="1">_xll.BDH($C$28,"ACCT_RCV_DAYS","FQ3 2018","FQ3 2018","Currency=INR","Period=FQ","BEST_FPERIOD_OVERRIDE=FQ","FILING_STATUS=OR","EQY_CONSOLIDATED=Y","FA_ADJUSTED=GAAP","Sort=A","Dates=H","DateFormat=P","Fill=—","Direction=H","UseDPDF=Y")</f>
        <v>#NAME?</v>
      </c>
      <c r="CY51" s="3" t="e">
        <f ca="1">_xll.BDH($C$28,"INVENT_TURN","FQ3 2018","FQ3 2018","Currency=INR","Period=FQ","BEST_FPERIOD_OVERRIDE=FQ","FILING_STATUS=OR","EQY_CONSOLIDATED=Y","FA_ADJUSTED=GAAP","Sort=A","Dates=H","DateFormat=P","Fill=—","Direction=H","UseDPDF=Y")</f>
        <v>#NAME?</v>
      </c>
      <c r="CZ51" s="1" t="e">
        <f ca="1">_xll.BDH($C$28,"INVENT_DAYS","FQ3 2018","FQ3 2018","Currency=INR","Period=FQ","BEST_FPERIOD_OVERRIDE=FQ","FILING_STATUS=OR","EQY_CONSOLIDATED=Y","FA_ADJUSTED=GAAP","Sort=A","Dates=H","DateFormat=P","Fill=—","Direction=H","UseDPDF=Y")</f>
        <v>#NAME?</v>
      </c>
      <c r="DA51" s="3" t="e">
        <f ca="1">_xll.BDH($C$28,"ACCOUNTS_PAYABLE_TURNOVER","FQ3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1" s="1" t="e">
        <f ca="1">_xll.BDH($C$28,"ACCOUNTS_PAYABLE_TURNOVER_DAYS","FQ3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1" s="3" t="e">
        <f ca="1">_xll.BDH($C$28,"CASH_CONVERSION_CYCLE","FQ3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1" s="3" t="e">
        <f ca="1">_xll.BDH($C$28,"INV_TO_CASH_DAYS","FQ3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51" s="4" t="e">
        <f ca="1">_xll.BDH($C$28,"BS_INVENTORIES","FQ3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51" s="2" t="e">
        <f ca="1">_xll.BDH($C$28,"INVTRY_RAW_MATERIALS","FQ3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1" s="2" t="e">
        <f ca="1">_xll.BDH($C$28,"INVTRY_IN_PROGRESS","FQ3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1" s="2" t="e">
        <f ca="1">_xll.BDH($C$28,"INVTRY_FINISHED_GOODS","FQ3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1" s="2" t="e">
        <f ca="1">_xll.BDH($C$28,"BS_OTHER_INV","FQ3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2" spans="1:113" x14ac:dyDescent="0.3">
      <c r="A52" s="6"/>
      <c r="B52" s="6"/>
      <c r="C52" s="6"/>
      <c r="D52" s="6"/>
      <c r="E52" t="s">
        <v>7</v>
      </c>
      <c r="F52" t="e">
        <f ca="1">_xll.BDH($C$28,"RETURN_COM_EQY","FQ4 2018","FQ4 2018","Currency=INR","Period=FQ","BEST_FPERIOD_OVERRIDE=FQ","FILING_STATUS=OR","EQY_CONSOLIDATED=Y","FA_ADJUSTED=GAAP","Sort=A","Dates=H","DateFormat=P","Fill=—","Direction=H","UseDPDF=Y")</f>
        <v>#NAME?</v>
      </c>
      <c r="G52" t="e">
        <f ca="1">_xll.BDH($C$28,"RETURN_ON_ASSET","FQ4 2018","FQ4 2018","Currency=INR","Period=FQ","BEST_FPERIOD_OVERRIDE=FQ","FILING_STATUS=OR","EQY_CONSOLIDATED=Y","FA_ADJUSTED=GAAP","Sort=A","Dates=H","DateFormat=P","Fill=—","Direction=H","UseDPDF=Y")</f>
        <v>#NAME?</v>
      </c>
      <c r="H52" t="e">
        <f ca="1">_xll.BDH($C$28,"RETURN_ON_CAP","FQ4 2018","FQ4 2018","Currency=INR","Period=FQ","BEST_FPERIOD_OVERRIDE=FQ","FILING_STATUS=OR","EQY_CONSOLIDATED=Y","FA_ADJUSTED=GAAP","Sort=A","Dates=H","DateFormat=P","Fill=—","Direction=H","UseDPDF=Y")</f>
        <v>#NAME?</v>
      </c>
      <c r="I52" t="e">
        <f ca="1">_xll.BDH($C$28,"RETURN_ON_INV_CAPITAL","FQ4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2" t="e">
        <f ca="1">_xll.BDH($C$28,"EBITDA_TO_REVENUE","FQ4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52" t="e">
        <f ca="1">_xll.BDH($C$28,"OPER_MARGIN","FQ4 2018","FQ4 2018","Currency=INR","Period=FQ","BEST_FPERIOD_OVERRIDE=FQ","FILING_STATUS=OR","EQY_CONSOLIDATED=Y","FA_ADJUSTED=GAAP","Sort=A","Dates=H","DateFormat=P","Fill=—","Direction=H","UseDPDF=Y")</f>
        <v>#NAME?</v>
      </c>
      <c r="L52" t="e">
        <f ca="1">_xll.BDH($C$28,"INCREMENTAL_OPERATING_MARGIN","FQ4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2" t="e">
        <f ca="1">_xll.BDH($C$28,"PRETAX_INC_TO_NET_SALES","FQ4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2" t="e">
        <f ca="1">_xll.BDH($C$28,"INC_BEF_XO_ITEMS_TO_NET_SALES","FQ4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2" t="e">
        <f ca="1">_xll.BDH($C$28,"PROF_MARGIN","FQ4 2018","FQ4 2018","Currency=INR","Period=FQ","BEST_FPERIOD_OVERRIDE=FQ","FILING_STATUS=OR","EQY_CONSOLIDATED=Y","FA_ADJUSTED=GAAP","Sort=A","Dates=H","DateFormat=P","Fill=—","Direction=H","UseDPDF=Y")</f>
        <v>#NAME?</v>
      </c>
      <c r="P52" t="e">
        <f ca="1">_xll.BDH($C$28,"NET_INCOME_TO_COMMON_MARGIN","FQ4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2" t="e">
        <f ca="1">_xll.BDH($C$28,"EFF_TAX_RATE","FQ4 2018","FQ4 2018","Currency=INR","Period=FQ","BEST_FPERIOD_OVERRIDE=FQ","FILING_STATUS=OR","EQY_CONSOLIDATED=Y","FA_ADJUSTED=GAAP","Sort=A","Dates=H","DateFormat=P","Fill=—","Direction=H","UseDPDF=Y")</f>
        <v>#NAME?</v>
      </c>
      <c r="R52" t="e">
        <f ca="1">_xll.BDH($C$28,"DVD_PAYOUT_RATIO","FQ4 2018","FQ4 2018","Currency=INR","Period=FQ","BEST_FPERIOD_OVERRIDE=FQ","FILING_STATUS=OR","EQY_CONSOLIDATED=Y","FA_ADJUSTED=GAAP","Sort=A","Dates=H","DateFormat=P","Fill=—","Direction=H","UseDPDF=Y")</f>
        <v>#NAME?</v>
      </c>
      <c r="S52" t="e">
        <f ca="1">_xll.BDH($C$28,"SUSTAIN_GROWTH_RT","FQ4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52" s="1" t="e">
        <f ca="1">_xll.BDH($C$28,"SALES_GROWTH","FQ4 2018","FQ4 2018","Currency=INR","Period=FQ","BEST_FPERIOD_OVERRIDE=FQ","FILING_STATUS=OR","EQY_CONSOLIDATED=Y","FA_ADJUSTED=GAAP","Sort=A","Dates=H","DateFormat=P","Fill=—","Direction=H","UseDPDF=Y")</f>
        <v>#NAME?</v>
      </c>
      <c r="U52" s="1" t="e">
        <f ca="1">_xll.BDH($C$28,"EBITDA_GROWTH","FQ4 2018","FQ4 2018","Currency=INR","Period=FQ","BEST_FPERIOD_OVERRIDE=FQ","FILING_STATUS=OR","EQY_CONSOLIDATED=Y","FA_ADJUSTED=GAAP","Sort=A","Dates=H","DateFormat=P","Fill=—","Direction=H","UseDPDF=Y")</f>
        <v>#NAME?</v>
      </c>
      <c r="V52" s="1" t="e">
        <f ca="1">_xll.BDH($C$28,"OPER_INC_GROWTH","FQ4 2018","FQ4 2018","Currency=INR","Period=FQ","BEST_FPERIOD_OVERRIDE=FQ","FILING_STATUS=OR","EQY_CONSOLIDATED=Y","FA_ADJUSTED=GAAP","Sort=A","Dates=H","DateFormat=P","Fill=—","Direction=H","UseDPDF=Y")</f>
        <v>#NAME?</v>
      </c>
      <c r="W52" s="1" t="e">
        <f ca="1">_xll.BDH($C$28,"EARN_FOR_COM_GROWTH","FQ4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2" s="1" t="e">
        <f ca="1">_xll.BDH($C$28,"DILUTED_EPS_AFT_XO_ITEMS_GROWTH","FQ4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2" s="1" t="e">
        <f ca="1">_xll.BDH($C$28,"DIVIDEND_PER_SHARE_1_YEAR_GROWTH","FQ4 2018","FQ4 2018","Currency=INR","Period=FQ","BEST_FPERIOD_OVERRIDE=FQ","FILING_STATUS=OR","EQY_CONSOLIDATED=Y","Sort=A","Dates=H","DateFormat=P","Fill=—","Direction=H","UseDPDF=Y")</f>
        <v>#NAME?</v>
      </c>
      <c r="Z52" s="1" t="e">
        <f ca="1">_xll.BDH($C$28,"ACCOUNTS_RECEIVABLE_GROWTH","FQ4 2018","FQ4 2018","Currency=INR","Period=FQ","BEST_FPERIOD_OVERRIDE=FQ","FILING_STATUS=OR","EQY_CONSOLIDATED=Y","Sort=A","Dates=H","DateFormat=P","Fill=—","Direction=H","UseDPDF=Y")</f>
        <v>#NAME?</v>
      </c>
      <c r="AA52" s="1" t="e">
        <f ca="1">_xll.BDH($C$28,"INVENTORY_GROWTH","FQ4 2018","FQ4 2018","Currency=INR","Period=FQ","BEST_FPERIOD_OVERRIDE=FQ","FILING_STATUS=OR","EQY_CONSOLIDATED=Y","Sort=A","Dates=H","DateFormat=P","Fill=—","Direction=H","UseDPDF=Y")</f>
        <v>#NAME?</v>
      </c>
      <c r="AB52" s="1" t="e">
        <f ca="1">_xll.BDH($C$28,"NET_FIXED_ASSETS_1_YEAR_GROWTH","FQ4 2018","FQ4 2018","Currency=INR","Period=FQ","BEST_FPERIOD_OVERRIDE=FQ","FILING_STATUS=OR","EQY_CONSOLIDATED=Y","Sort=A","Dates=H","DateFormat=P","Fill=—","Direction=H","UseDPDF=Y")</f>
        <v>#NAME?</v>
      </c>
      <c r="AC52" s="1" t="e">
        <f ca="1">_xll.BDH($C$28,"ASSET_GROWTH","FQ4 2018","FQ4 2018","Currency=INR","Period=FQ","BEST_FPERIOD_OVERRIDE=FQ","FILING_STATUS=OR","EQY_CONSOLIDATED=Y","Sort=A","Dates=H","DateFormat=P","Fill=—","Direction=H","UseDPDF=Y")</f>
        <v>#NAME?</v>
      </c>
      <c r="AD52" s="1" t="e">
        <f ca="1">_xll.BDH($C$28,"MODIFIED_WORK_CAP_GROWTH","FQ4 2018","FQ4 2018","Currency=INR","Period=FQ","BEST_FPERIOD_OVERRIDE=FQ","FILING_STATUS=OR","EQY_CONSOLIDATED=Y","Sort=A","Dates=H","DateFormat=P","Fill=—","Direction=H","UseDPDF=Y")</f>
        <v>#NAME?</v>
      </c>
      <c r="AE52" s="1" t="e">
        <f ca="1">_xll.BDH($C$28,"WORK_CAP_GROWTH","FQ4 2018","FQ4 2018","Currency=INR","Period=FQ","BEST_FPERIOD_OVERRIDE=FQ","FILING_STATUS=OR","EQY_CONSOLIDATED=Y","Sort=A","Dates=H","DateFormat=P","Fill=—","Direction=H","UseDPDF=Y")</f>
        <v>#NAME?</v>
      </c>
      <c r="AF52" s="1" t="e">
        <f ca="1">_xll.BDH($C$28,"ACCOUNTS_PAYABLE_GROWTH_1YR","FQ4 2018","FQ4 2018","Currency=INR","Period=FQ","BEST_FPERIOD_OVERRIDE=FQ","FILING_STATUS=OR","EQY_CONSOLIDATED=Y","Sort=A","Dates=H","DateFormat=P","Fill=—","Direction=H","UseDPDF=Y")</f>
        <v>#NAME?</v>
      </c>
      <c r="AG52" s="1" t="e">
        <f ca="1">_xll.BDH($C$28,"SHORT_TERM_DEBT_1_YEAR_GROWTH","FQ4 2018","FQ4 2018","Currency=INR","Period=FQ","BEST_FPERIOD_OVERRIDE=FQ","FILING_STATUS=OR","EQY_CONSOLIDATED=Y","Sort=A","Dates=H","DateFormat=P","Fill=—","Direction=H","UseDPDF=Y")</f>
        <v>#NAME?</v>
      </c>
      <c r="AH52" s="1" t="e">
        <f ca="1">_xll.BDH($C$28,"TOTAL_DEBT_1_YEAR_GROWTH","FQ4 2018","FQ4 2018","Currency=INR","Period=FQ","BEST_FPERIOD_OVERRIDE=FQ","FILING_STATUS=OR","EQY_CONSOLIDATED=Y","Sort=A","Dates=H","DateFormat=P","Fill=—","Direction=H","UseDPDF=Y")</f>
        <v>#NAME?</v>
      </c>
      <c r="AI52" s="1" t="e">
        <f ca="1">_xll.BDH($C$28,"TOTAL_EQUITY_1_YEAR_GROWTH","FQ4 2018","FQ4 2018","Currency=INR","Period=FQ","BEST_FPERIOD_OVERRIDE=FQ","FILING_STATUS=OR","EQY_CONSOLIDATED=Y","Sort=A","Dates=H","DateFormat=P","Fill=—","Direction=H","UseDPDF=Y")</f>
        <v>#NAME?</v>
      </c>
      <c r="AJ52" s="1" t="e">
        <f ca="1">_xll.BDH($C$28,"GROWTH_IN_CAP","FQ4 2018","FQ4 2018","Currency=INR","Period=FQ","BEST_FPERIOD_OVERRIDE=FQ","FILING_STATUS=OR","EQY_CONSOLIDATED=Y","Sort=A","Dates=H","DateFormat=P","Fill=—","Direction=H","UseDPDF=Y")</f>
        <v>#NAME?</v>
      </c>
      <c r="AK52" s="1" t="e">
        <f ca="1">_xll.BDH($C$28,"BVPS_GROWTH","FQ4 2018","FQ4 2018","Currency=INR","Period=FQ","BEST_FPERIOD_OVERRIDE=FQ","FILING_STATUS=OR","EQY_CONSOLIDATED=Y","Sort=A","Dates=H","DateFormat=P","Fill=—","Direction=H","UseDPDF=Y")</f>
        <v>#NAME?</v>
      </c>
      <c r="AL52" s="1" t="e">
        <f ca="1">_xll.BDH($C$28,"CASH_FLOW_GROWTH","FQ4 2018","FQ4 2018","Currency=INR","Period=FQ","BEST_FPERIOD_OVERRIDE=FQ","FILING_STATUS=OR","EQY_CONSOLIDATED=Y","Sort=A","Dates=H","DateFormat=P","Fill=—","Direction=H","UseDPDF=Y")</f>
        <v>#NAME?</v>
      </c>
      <c r="AM52" s="1" t="e">
        <f ca="1">_xll.BDH($C$28,"GEO_GROW_NET_SALES","FQ4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2" s="1" t="e">
        <f ca="1">_xll.BDH($C$28,"GEO_GROW_EBITDA","FQ4 2018","FQ4 2018","Currency=INR","Period=FQ","BEST_FPERIOD_OVERRIDE=FQ","FILING_STATUS=OR","EQY_CONSOLIDATED=Y","FA_ADJUSTED=GAAP","Sort=A","Dates=H","DateFormat=P","Fill=—","Direction=H","UseDPDF=Y")</f>
        <v>#NAME?</v>
      </c>
      <c r="AO52" s="1" t="e">
        <f ca="1">_xll.BDH($C$28,"GEO_GROW_OPER_INC","FQ4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2" s="1" t="e">
        <f ca="1">_xll.BDH($C$28,"NET_INCOME_TO_COMMON_5_YR_GROWTH","FQ4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2" s="1" t="e">
        <f ca="1">_xll.BDH($C$28,"5Y_GEO_GROWTH_DILUTED_EPS","FQ4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2" s="1" t="e">
        <f ca="1">_xll.BDH($C$28,"GEO_GROW_DVD_PER_SH","FQ4 2018","FQ4 2018","Currency=INR","Period=FQ","BEST_FPERIOD_OVERRIDE=FQ","FILING_STATUS=OR","EQY_CONSOLIDATED=Y","Sort=A","Dates=H","DateFormat=P","Fill=—","Direction=H","UseDPDF=Y")</f>
        <v>#NAME?</v>
      </c>
      <c r="AS52" s="1" t="e">
        <f ca="1">_xll.BDH($C$28,"ACCOUNTS_RECEIVABLE_5_YR_GROWTH","FQ4 2018","FQ4 2018","Currency=INR","Period=FQ","BEST_FPERIOD_OVERRIDE=FQ","FILING_STATUS=OR","EQY_CONSOLIDATED=Y","Sort=A","Dates=H","DateFormat=P","Fill=—","Direction=H","UseDPDF=Y")</f>
        <v>#NAME?</v>
      </c>
      <c r="AT52" s="1" t="e">
        <f ca="1">_xll.BDH($C$28,"INVENTORY_5_YEAR_GROWTH","FQ4 2018","FQ4 2018","Currency=INR","Period=FQ","BEST_FPERIOD_OVERRIDE=FQ","FILING_STATUS=OR","EQY_CONSOLIDATED=Y","Sort=A","Dates=H","DateFormat=P","Fill=—","Direction=H","UseDPDF=Y")</f>
        <v>#NAME?</v>
      </c>
      <c r="AU52" s="1" t="e">
        <f ca="1">_xll.BDH($C$28,"NET_FIXED_ASSETS_5_YEAR_GROWTH","FQ4 2018","FQ4 2018","Currency=INR","Period=FQ","BEST_FPERIOD_OVERRIDE=FQ","FILING_STATUS=OR","EQY_CONSOLIDATED=Y","Sort=A","Dates=H","DateFormat=P","Fill=—","Direction=H","UseDPDF=Y")</f>
        <v>#NAME?</v>
      </c>
      <c r="AV52" s="1" t="e">
        <f ca="1">_xll.BDH($C$28,"GEO_GROW_TOT_ASSET","FQ4 2018","FQ4 2018","Currency=INR","Period=FQ","BEST_FPERIOD_OVERRIDE=FQ","FILING_STATUS=OR","EQY_CONSOLIDATED=Y","Sort=A","Dates=H","DateFormat=P","Fill=—","Direction=H","UseDPDF=Y")</f>
        <v>#NAME?</v>
      </c>
      <c r="AW52" s="1" t="e">
        <f ca="1">_xll.BDH($C$28,"MODIFIED_WORKING_CPTL_5YR_GRWTH","FQ4 2018","FQ4 2018","Currency=INR","Period=FQ","BEST_FPERIOD_OVERRIDE=FQ","FILING_STATUS=OR","EQY_CONSOLIDATED=Y","Sort=A","Dates=H","DateFormat=P","Fill=—","Direction=H","UseDPDF=Y")</f>
        <v>#NAME?</v>
      </c>
      <c r="AX52" s="1" t="e">
        <f ca="1">_xll.BDH($C$28,"WORKING_CAPITAL_5_YEAR_GROWTH","FQ4 2018","FQ4 2018","Currency=INR","Period=FQ","BEST_FPERIOD_OVERRIDE=FQ","FILING_STATUS=OR","EQY_CONSOLIDATED=Y","Sort=A","Dates=H","DateFormat=P","Fill=—","Direction=H","UseDPDF=Y")</f>
        <v>#NAME?</v>
      </c>
      <c r="AY52" s="1" t="e">
        <f ca="1">_xll.BDH($C$28,"ACCOUNTS_PAYABLE_5_YEAR_GROWTH","FQ4 2018","FQ4 2018","Currency=INR","Period=FQ","BEST_FPERIOD_OVERRIDE=FQ","FILING_STATUS=OR","EQY_CONSOLIDATED=Y","Sort=A","Dates=H","DateFormat=P","Fill=—","Direction=H","UseDPDF=Y")</f>
        <v>#NAME?</v>
      </c>
      <c r="AZ52" s="1" t="e">
        <f ca="1">_xll.BDH($C$28,"SHORT_TERM_DEBT_5_YEAR_GROWTH","FQ4 2018","FQ4 2018","Currency=INR","Period=FQ","BEST_FPERIOD_OVERRIDE=FQ","FILING_STATUS=OR","EQY_CONSOLIDATED=Y","Sort=A","Dates=H","DateFormat=P","Fill=—","Direction=H","UseDPDF=Y")</f>
        <v>#NAME?</v>
      </c>
      <c r="BA52" s="1" t="e">
        <f ca="1">_xll.BDH($C$28,"TOTAL_DEBT_5_YEAR_GROWTH","FQ4 2018","FQ4 2018","Currency=INR","Period=FQ","BEST_FPERIOD_OVERRIDE=FQ","FILING_STATUS=OR","EQY_CONSOLIDATED=Y","Sort=A","Dates=H","DateFormat=P","Fill=—","Direction=H","UseDPDF=Y")</f>
        <v>#NAME?</v>
      </c>
      <c r="BB52" s="1" t="e">
        <f ca="1">_xll.BDH($C$28,"GEO_GROW_TOT_SHRHLDR_EQY","FQ4 2018","FQ4 2018","Currency=INR","Period=FQ","BEST_FPERIOD_OVERRIDE=FQ","FILING_STATUS=OR","EQY_CONSOLIDATED=Y","Sort=A","Dates=H","DateFormat=P","Fill=—","Direction=H","UseDPDF=Y")</f>
        <v>#NAME?</v>
      </c>
      <c r="BC52" s="1" t="e">
        <f ca="1">_xll.BDH($C$28,"TOTAL_CAPITAL_5_YEAR_GROWTH","FQ4 2018","FQ4 2018","Currency=INR","Period=FQ","BEST_FPERIOD_OVERRIDE=FQ","FILING_STATUS=OR","EQY_CONSOLIDATED=Y","Sort=A","Dates=H","DateFormat=P","Fill=—","Direction=H","UseDPDF=Y")</f>
        <v>#NAME?</v>
      </c>
      <c r="BD52" s="1" t="e">
        <f ca="1">_xll.BDH($C$28,"GEO_GROW_BOOK_VAL","FQ4 2018","FQ4 2018","Currency=INR","Period=FQ","BEST_FPERIOD_OVERRIDE=FQ","FILING_STATUS=OR","EQY_CONSOLIDATED=Y","Sort=A","Dates=H","DateFormat=P","Fill=—","Direction=H","UseDPDF=Y")</f>
        <v>#NAME?</v>
      </c>
      <c r="BE52" s="1" t="e">
        <f ca="1">_xll.BDH($C$28,"GEO_GROW_CASH_OPER_ACT","FQ4 2018","FQ4 2018","Currency=INR","Period=FQ","BEST_FPERIOD_OVERRIDE=FQ","FILING_STATUS=OR","EQY_CONSOLIDATED=Y","Sort=A","Dates=H","DateFormat=P","Fill=—","Direction=H","UseDPDF=Y")</f>
        <v>#NAME?</v>
      </c>
      <c r="BF52" s="1" t="e">
        <f ca="1">_xll.BDH($C$28,"REVENUE_SEQUENTIAL_GROWTH","FQ4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2" s="1" t="e">
        <f ca="1">_xll.BDH($C$28,"EBITDA_SEQUENTIAL_GROWTH","FQ4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2" s="1" t="e">
        <f ca="1">_xll.BDH($C$28,"OPERATING_INCOME_SEQ_GROWTH","FQ4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2" s="1" t="e">
        <f ca="1">_xll.BDH($C$28,"NET_INCOME_TO_COMMON_SEQ_GROWTH","FQ4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2" s="1" t="e">
        <f ca="1">_xll.BDH($C$28,"EPS_DILUTED_SEQUENTIAL_GROWTH","FQ4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2" s="1" t="e">
        <f ca="1">_xll.BDH($C$28,"DPS_SEQUENTIAL_GROWTH","FQ4 2018","FQ4 2018","Currency=INR","Period=FQ","BEST_FPERIOD_OVERRIDE=FQ","FILING_STATUS=OR","EQY_CONSOLIDATED=Y","Sort=A","Dates=H","DateFormat=P","Fill=—","Direction=H","UseDPDF=Y")</f>
        <v>#NAME?</v>
      </c>
      <c r="BL52" s="1" t="e">
        <f ca="1">_xll.BDH($C$28,"ACCOUNTS_RECEIVABLE_SEQ_GROWTH","FQ4 2018","FQ4 2018","Currency=INR","Period=FQ","BEST_FPERIOD_OVERRIDE=FQ","FILING_STATUS=OR","EQY_CONSOLIDATED=Y","Sort=A","Dates=H","DateFormat=P","Fill=—","Direction=H","UseDPDF=Y")</f>
        <v>#NAME?</v>
      </c>
      <c r="BM52" s="1" t="e">
        <f ca="1">_xll.BDH($C$28,"INVENTORY_SEQUENTIAL_GROWTH","FQ4 2018","FQ4 2018","Currency=INR","Period=FQ","BEST_FPERIOD_OVERRIDE=FQ","FILING_STATUS=OR","EQY_CONSOLIDATED=Y","Sort=A","Dates=H","DateFormat=P","Fill=—","Direction=H","UseDPDF=Y")</f>
        <v>#NAME?</v>
      </c>
      <c r="BN52" s="1" t="e">
        <f ca="1">_xll.BDH($C$28,"FIXED_ASSETS_SEQUENTIAL_GROWTH","FQ4 2018","FQ4 2018","Currency=INR","Period=FQ","BEST_FPERIOD_OVERRIDE=FQ","FILING_STATUS=OR","EQY_CONSOLIDATED=Y","Sort=A","Dates=H","DateFormat=P","Fill=—","Direction=H","UseDPDF=Y")</f>
        <v>#NAME?</v>
      </c>
      <c r="BO52" s="1" t="e">
        <f ca="1">_xll.BDH($C$28,"TOTAL_ASSETS_SEQUENTIAL_GROWTH","FQ4 2018","FQ4 2018","Currency=INR","Period=FQ","BEST_FPERIOD_OVERRIDE=FQ","FILING_STATUS=OR","EQY_CONSOLIDATED=Y","Sort=A","Dates=H","DateFormat=P","Fill=—","Direction=H","UseDPDF=Y")</f>
        <v>#NAME?</v>
      </c>
      <c r="BP52" s="1" t="e">
        <f ca="1">_xll.BDH($C$28,"MODIFIED_WORKING_CPTL_SEQ_GRWTH","FQ4 2018","FQ4 2018","Currency=INR","Period=FQ","BEST_FPERIOD_OVERRIDE=FQ","FILING_STATUS=OR","EQY_CONSOLIDATED=Y","Sort=A","Dates=H","DateFormat=P","Fill=—","Direction=H","UseDPDF=Y")</f>
        <v>#NAME?</v>
      </c>
      <c r="BQ52" s="1" t="e">
        <f ca="1">_xll.BDH($C$28,"WORKING_CAPITAL_SEQ_GROWTH","FQ4 2018","FQ4 2018","Currency=INR","Period=FQ","BEST_FPERIOD_OVERRIDE=FQ","FILING_STATUS=OR","EQY_CONSOLIDATED=Y","Sort=A","Dates=H","DateFormat=P","Fill=—","Direction=H","UseDPDF=Y")</f>
        <v>#NAME?</v>
      </c>
      <c r="BR52" s="1" t="e">
        <f ca="1">_xll.BDH($C$28,"ACCOUNTS_PAYABLE_SEQ_GROWTH","FQ4 2018","FQ4 2018","Currency=INR","Period=FQ","BEST_FPERIOD_OVERRIDE=FQ","FILING_STATUS=OR","EQY_CONSOLIDATED=Y","Sort=A","Dates=H","DateFormat=P","Fill=—","Direction=H","UseDPDF=Y")</f>
        <v>#NAME?</v>
      </c>
      <c r="BS52" s="1" t="e">
        <f ca="1">_xll.BDH($C$28,"ST_DEBT_SEQUENTIAL_GROWTH","FQ4 2018","FQ4 2018","Currency=INR","Period=FQ","BEST_FPERIOD_OVERRIDE=FQ","FILING_STATUS=OR","EQY_CONSOLIDATED=Y","Sort=A","Dates=H","DateFormat=P","Fill=—","Direction=H","UseDPDF=Y")</f>
        <v>#NAME?</v>
      </c>
      <c r="BT52" s="1" t="e">
        <f ca="1">_xll.BDH($C$28,"TOTAL_DEBT_SEQUENTIAL_GROWTH","FQ4 2018","FQ4 2018","Currency=INR","Period=FQ","BEST_FPERIOD_OVERRIDE=FQ","FILING_STATUS=OR","EQY_CONSOLIDATED=Y","Sort=A","Dates=H","DateFormat=P","Fill=—","Direction=H","UseDPDF=Y")</f>
        <v>#NAME?</v>
      </c>
      <c r="BU52" s="1" t="e">
        <f ca="1">_xll.BDH($C$28,"TOTAL_EQUITY_SEQUENTIAL_GROWTH","FQ4 2018","FQ4 2018","Currency=INR","Period=FQ","BEST_FPERIOD_OVERRIDE=FQ","FILING_STATUS=OR","EQY_CONSOLIDATED=Y","Sort=A","Dates=H","DateFormat=P","Fill=—","Direction=H","UseDPDF=Y")</f>
        <v>#NAME?</v>
      </c>
      <c r="BV52" s="1" t="e">
        <f ca="1">_xll.BDH($C$28,"TOTAL_CAPITAL_SEQUENTIAL_GROWTH","FQ4 2018","FQ4 2018","Currency=INR","Period=FQ","BEST_FPERIOD_OVERRIDE=FQ","FILING_STATUS=OR","EQY_CONSOLIDATED=Y","Sort=A","Dates=H","DateFormat=P","Fill=—","Direction=H","UseDPDF=Y")</f>
        <v>#NAME?</v>
      </c>
      <c r="BW52" s="1" t="e">
        <f ca="1">_xll.BDH($C$28,"BPS_SEQUENTIAL_GROWTH","FQ4 2018","FQ4 2018","Currency=INR","Period=FQ","BEST_FPERIOD_OVERRIDE=FQ","FILING_STATUS=OR","EQY_CONSOLIDATED=Y","Sort=A","Dates=H","DateFormat=P","Fill=—","Direction=H","UseDPDF=Y")</f>
        <v>#NAME?</v>
      </c>
      <c r="BX52" s="1" t="e">
        <f ca="1">_xll.BDH($C$28,"CFO_SEQUENTIAL_GROWTH","FQ4 2018","FQ4 2018","Currency=INR","Period=FQ","BEST_FPERIOD_OVERRIDE=FQ","FILING_STATUS=OR","EQY_CONSOLIDATED=Y","Sort=A","Dates=H","DateFormat=P","Fill=—","Direction=H","UseDPDF=Y")</f>
        <v>#NAME?</v>
      </c>
      <c r="BY52" s="2" t="e">
        <f ca="1">_xll.BDH($C$28,"SHORT_AND_LONG_TERM_DEBT","FQ4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2" s="2" t="e">
        <f ca="1">_xll.BDH($C$28,"BS_ST_BORROW","FQ4 2018","FQ4 2018","Currency=INR","Period=FQ","BEST_FPERIOD_OVERRIDE=FQ","FILING_STATUS=OR","EQY_CONSOLIDATED=Y","SCALING_FORMAT=MLN","Sort=A","Dates=H","DateFormat=P","Fill=—","Direction=H","UseDPDF=Y")</f>
        <v>#NAME?</v>
      </c>
      <c r="CA52" s="2" t="e">
        <f ca="1">_xll.BDH($C$28,"BS_LT_BORROW","FQ4 2018","FQ4 2018","Currency=INR","Period=FQ","BEST_FPERIOD_OVERRIDE=FQ","FILING_STATUS=OR","EQY_CONSOLIDATED=Y","SCALING_FORMAT=MLN","Sort=A","Dates=H","DateFormat=P","Fill=—","Direction=H","UseDPDF=Y")</f>
        <v>#NAME?</v>
      </c>
      <c r="CB52" s="1" t="e">
        <f ca="1">_xll.BDH($C$28,"TOT_DEBT_TO_EBITDA","FQ4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2" s="1" t="e">
        <f ca="1">_xll.BDH($C$28,"NET_DEBT_TO_EBITDA","FQ4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2" s="1" t="e">
        <f ca="1">_xll.BDH($C$28,"TOTAL_DEBT_TO_EBIT","FQ4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2" s="1" t="e">
        <f ca="1">_xll.BDH($C$28,"NET_DEBT_TO_EBIT","FQ4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52" s="1" t="e">
        <f ca="1">_xll.BDH($C$28,"EBITDA_TO_INTEREST_EXPN","FQ4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2" s="1" t="e">
        <f ca="1">_xll.BDH($C$28,"COM_EQY_TO_TOT_ASSET","FQ4 2018","FQ4 2018","Currency=INR","Period=FQ","BEST_FPERIOD_OVERRIDE=FQ","FILING_STATUS=OR","EQY_CONSOLIDATED=Y","Sort=A","Dates=H","DateFormat=P","Fill=—","Direction=H","UseDPDF=Y")</f>
        <v>#NAME?</v>
      </c>
      <c r="CH52" s="1" t="e">
        <f ca="1">_xll.BDH($C$28,"LT_DEBT_TO_TOT_EQY","FQ4 2018","FQ4 2018","Currency=INR","Period=FQ","BEST_FPERIOD_OVERRIDE=FQ","FILING_STATUS=OR","EQY_CONSOLIDATED=Y","Sort=A","Dates=H","DateFormat=P","Fill=—","Direction=H","UseDPDF=Y")</f>
        <v>#NAME?</v>
      </c>
      <c r="CI52" s="1" t="e">
        <f ca="1">_xll.BDH($C$28,"LT_DEBT_TO_TOT_CAP","FQ4 2018","FQ4 2018","Currency=INR","Period=FQ","BEST_FPERIOD_OVERRIDE=FQ","FILING_STATUS=OR","EQY_CONSOLIDATED=Y","Sort=A","Dates=H","DateFormat=P","Fill=—","Direction=H","UseDPDF=Y")</f>
        <v>#NAME?</v>
      </c>
      <c r="CJ52" s="1" t="e">
        <f ca="1">_xll.BDH($C$28,"LT_DEBT_TO_TOT_ASSET","FQ4 2018","FQ4 2018","Currency=INR","Period=FQ","BEST_FPERIOD_OVERRIDE=FQ","FILING_STATUS=OR","EQY_CONSOLIDATED=Y","Sort=A","Dates=H","DateFormat=P","Fill=—","Direction=H","UseDPDF=Y")</f>
        <v>#NAME?</v>
      </c>
      <c r="CK52" s="1" t="e">
        <f ca="1">_xll.BDH($C$28,"TOT_DEBT_TO_TOT_EQY","FQ4 2018","FQ4 2018","Currency=INR","Period=FQ","BEST_FPERIOD_OVERRIDE=FQ","FILING_STATUS=OR","EQY_CONSOLIDATED=Y","Sort=A","Dates=H","DateFormat=P","Fill=—","Direction=H","UseDPDF=Y")</f>
        <v>#NAME?</v>
      </c>
      <c r="CL52" s="1" t="e">
        <f ca="1">_xll.BDH($C$28,"TOT_DEBT_TO_TOT_CAP","FQ4 2018","FQ4 2018","Currency=INR","Period=FQ","BEST_FPERIOD_OVERRIDE=FQ","FILING_STATUS=OR","EQY_CONSOLIDATED=Y","Sort=A","Dates=H","DateFormat=P","Fill=—","Direction=H","UseDPDF=Y")</f>
        <v>#NAME?</v>
      </c>
      <c r="CM52" s="1" t="e">
        <f ca="1">_xll.BDH($C$28,"TOT_DEBT_TO_TOT_ASSET","FQ4 2018","FQ4 2018","Currency=INR","Period=FQ","BEST_FPERIOD_OVERRIDE=FQ","FILING_STATUS=OR","EQY_CONSOLIDATED=Y","Sort=A","Dates=H","DateFormat=P","Fill=—","Direction=H","UseDPDF=Y")</f>
        <v>#NAME?</v>
      </c>
      <c r="CN52" s="1" t="e">
        <f ca="1">_xll.BDH($C$28,"NET_DEBT_TO_SHRHLDR_EQTY","FQ4 2018","FQ4 2018","Currency=INR","Period=FQ","BEST_FPERIOD_OVERRIDE=FQ","FILING_STATUS=OR","EQY_CONSOLIDATED=Y","Sort=A","Dates=H","DateFormat=P","Fill=—","Direction=H","UseDPDF=Y")</f>
        <v>#NAME?</v>
      </c>
      <c r="CO52" s="1" t="e">
        <f ca="1">_xll.BDH($C$28,"NET_DEBT_%_CAPITAL","FQ4 2018","FQ4 2018","Currency=INR","Period=FQ","BEST_FPERIOD_OVERRIDE=FQ","FILING_STATUS=OR","EQY_CONSOLIDATED=Y","Sort=A","Dates=H","DateFormat=P","Fill=—","Direction=H","UseDPDF=Y")</f>
        <v>#NAME?</v>
      </c>
      <c r="CP52" s="2" t="e">
        <f ca="1">_xll.BDH($C$28,"EBITDA","FQ4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2" s="2" t="e">
        <f ca="1">_xll.BDH($C$28,"EBITDA_AFTER_CAPEX","FQ4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2" s="2" t="e">
        <f ca="1">_xll.BDH($C$28,"IS_OPER_INC","FQ4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2" s="1" t="e">
        <f ca="1">_xll.BDH($C$28,"CASH_RATIO","FQ4 2018","FQ4 2018","Currency=INR","Period=FQ","BEST_FPERIOD_OVERRIDE=FQ","FILING_STATUS=OR","EQY_CONSOLIDATED=Y","Sort=A","Dates=H","DateFormat=P","Fill=—","Direction=H","UseDPDF=Y")</f>
        <v>#NAME?</v>
      </c>
      <c r="CT52" s="1" t="e">
        <f ca="1">_xll.BDH($C$28,"CUR_RATIO","FQ4 2018","FQ4 2018","Currency=INR","Period=FQ","BEST_FPERIOD_OVERRIDE=FQ","FILING_STATUS=OR","EQY_CONSOLIDATED=Y","Sort=A","Dates=H","DateFormat=P","Fill=—","Direction=H","UseDPDF=Y")</f>
        <v>#NAME?</v>
      </c>
      <c r="CU52" s="1" t="e">
        <f ca="1">_xll.BDH($C$28,"QUICK_RATIO","FQ4 2018","FQ4 2018","Currency=INR","Period=FQ","BEST_FPERIOD_OVERRIDE=FQ","FILING_STATUS=OR","EQY_CONSOLIDATED=Y","Sort=A","Dates=H","DateFormat=P","Fill=—","Direction=H","UseDPDF=Y")</f>
        <v>#NAME?</v>
      </c>
      <c r="CV52" s="1" t="e">
        <f ca="1">_xll.BDH($C$28,"ALTMAN_Z_SCORE","FQ4 2018","FQ4 2018","Currency=INR","Period=FQ","BEST_FPERIOD_OVERRIDE=FQ","FILING_STATUS=OR","EQY_CONSOLIDATED=Y","Sort=A","Dates=H","DateFormat=P","Fill=—","Direction=H","UseDPDF=Y")</f>
        <v>#NAME?</v>
      </c>
      <c r="CW52" s="3" t="e">
        <f ca="1">_xll.BDH($C$28,"ACCT_RCV_TURN","FQ4 2018","FQ4 2018","Currency=INR","Period=FQ","BEST_FPERIOD_OVERRIDE=FQ","FILING_STATUS=OR","EQY_CONSOLIDATED=Y","FA_ADJUSTED=GAAP","Sort=A","Dates=H","DateFormat=P","Fill=—","Direction=H","UseDPDF=Y")</f>
        <v>#NAME?</v>
      </c>
      <c r="CX52" s="1" t="e">
        <f ca="1">_xll.BDH($C$28,"ACCT_RCV_DAYS","FQ4 2018","FQ4 2018","Currency=INR","Period=FQ","BEST_FPERIOD_OVERRIDE=FQ","FILING_STATUS=OR","EQY_CONSOLIDATED=Y","FA_ADJUSTED=GAAP","Sort=A","Dates=H","DateFormat=P","Fill=—","Direction=H","UseDPDF=Y")</f>
        <v>#NAME?</v>
      </c>
      <c r="CY52" s="3" t="e">
        <f ca="1">_xll.BDH($C$28,"INVENT_TURN","FQ4 2018","FQ4 2018","Currency=INR","Period=FQ","BEST_FPERIOD_OVERRIDE=FQ","FILING_STATUS=OR","EQY_CONSOLIDATED=Y","FA_ADJUSTED=GAAP","Sort=A","Dates=H","DateFormat=P","Fill=—","Direction=H","UseDPDF=Y")</f>
        <v>#NAME?</v>
      </c>
      <c r="CZ52" s="1" t="e">
        <f ca="1">_xll.BDH($C$28,"INVENT_DAYS","FQ4 2018","FQ4 2018","Currency=INR","Period=FQ","BEST_FPERIOD_OVERRIDE=FQ","FILING_STATUS=OR","EQY_CONSOLIDATED=Y","FA_ADJUSTED=GAAP","Sort=A","Dates=H","DateFormat=P","Fill=—","Direction=H","UseDPDF=Y")</f>
        <v>#NAME?</v>
      </c>
      <c r="DA52" s="3" t="e">
        <f ca="1">_xll.BDH($C$28,"ACCOUNTS_PAYABLE_TURNOVER","FQ4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2" s="1" t="e">
        <f ca="1">_xll.BDH($C$28,"ACCOUNTS_PAYABLE_TURNOVER_DAYS","FQ4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2" s="3" t="e">
        <f ca="1">_xll.BDH($C$28,"CASH_CONVERSION_CYCLE","FQ4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2" s="3" t="e">
        <f ca="1">_xll.BDH($C$28,"INV_TO_CASH_DAYS","FQ4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52" s="4" t="e">
        <f ca="1">_xll.BDH($C$28,"BS_INVENTORIES","FQ4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52" s="2" t="e">
        <f ca="1">_xll.BDH($C$28,"INVTRY_RAW_MATERIALS","FQ4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2" s="2" t="e">
        <f ca="1">_xll.BDH($C$28,"INVTRY_IN_PROGRESS","FQ4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2" s="2" t="e">
        <f ca="1">_xll.BDH($C$28,"INVTRY_FINISHED_GOODS","FQ4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2" s="2" t="e">
        <f ca="1">_xll.BDH($C$28,"BS_OTHER_INV","FQ4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3" spans="1:113" x14ac:dyDescent="0.3">
      <c r="A53" s="6">
        <v>53</v>
      </c>
      <c r="B53" s="6" t="s">
        <v>14</v>
      </c>
      <c r="C53" s="6" t="s">
        <v>15</v>
      </c>
      <c r="D53" s="6" t="s">
        <v>2</v>
      </c>
      <c r="E53" t="s">
        <v>3</v>
      </c>
      <c r="F53" t="e">
        <f ca="1">_xll.BDH($C$53,"RETURN_COM_EQY","FY 2014","FY 2014","Currency=INR","Period=FY","BEST_FPERIOD_OVERRIDE=FY","FILING_STATUS=OR","EQY_CONSOLIDATED=Y","FA_ADJUSTED=GAAP","Sort=A","Dates=H","DateFormat=P","Fill=—","Direction=H","UseDPDF=Y")</f>
        <v>#NAME?</v>
      </c>
      <c r="G53" t="e">
        <f ca="1">_xll.BDH($C$53,"RETURN_ON_ASSET","FY 2014","FY 2014","Currency=INR","Period=FY","BEST_FPERIOD_OVERRIDE=FY","FILING_STATUS=OR","EQY_CONSOLIDATED=Y","FA_ADJUSTED=GAAP","Sort=A","Dates=H","DateFormat=P","Fill=—","Direction=H","UseDPDF=Y")</f>
        <v>#NAME?</v>
      </c>
      <c r="H53" t="e">
        <f ca="1">_xll.BDH($C$53,"RETURN_ON_CAP","FY 2014","FY 2014","Currency=INR","Period=FY","BEST_FPERIOD_OVERRIDE=FY","FILING_STATUS=OR","EQY_CONSOLIDATED=Y","FA_ADJUSTED=GAAP","Sort=A","Dates=H","DateFormat=P","Fill=—","Direction=H","UseDPDF=Y")</f>
        <v>#NAME?</v>
      </c>
      <c r="I53" t="e">
        <f ca="1">_xll.BDH($C$53,"RETURN_ON_INV_CAPITAL","FY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3" t="e">
        <f ca="1">_xll.BDH($C$53,"EBITDA_TO_REVENUE","FY 2014","FY 2014","Currency=INR","Period=FY","BEST_FPERIOD_OVERRIDE=FY","FILING_STATUS=OR","EQY_CONSOLIDATED=Y","FA_ADJUSTED=GAAP","Sort=A","Dates=H","DateFormat=P","Fill=—","Direction=H","UseDPDF=Y")</f>
        <v>#NAME?</v>
      </c>
      <c r="K53" t="e">
        <f ca="1">_xll.BDH($C$53,"OPER_MARGIN","FY 2014","FY 2014","Currency=INR","Period=FY","BEST_FPERIOD_OVERRIDE=FY","FILING_STATUS=OR","EQY_CONSOLIDATED=Y","FA_ADJUSTED=GAAP","Sort=A","Dates=H","DateFormat=P","Fill=—","Direction=H","UseDPDF=Y")</f>
        <v>#NAME?</v>
      </c>
      <c r="L53" t="e">
        <f ca="1">_xll.BDH($C$53,"INCREMENTAL_OPERATING_MARGIN","FY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3" t="e">
        <f ca="1">_xll.BDH($C$53,"PRETAX_INC_TO_NET_SALES","FY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3" t="e">
        <f ca="1">_xll.BDH($C$53,"INC_BEF_XO_ITEMS_TO_NET_SALES","FY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3" t="e">
        <f ca="1">_xll.BDH($C$53,"PROF_MARGIN","FY 2014","FY 2014","Currency=INR","Period=FY","BEST_FPERIOD_OVERRIDE=FY","FILING_STATUS=OR","EQY_CONSOLIDATED=Y","FA_ADJUSTED=GAAP","Sort=A","Dates=H","DateFormat=P","Fill=—","Direction=H","UseDPDF=Y")</f>
        <v>#NAME?</v>
      </c>
      <c r="P53" t="e">
        <f ca="1">_xll.BDH($C$53,"NET_INCOME_TO_COMMON_MARGIN","FY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3" t="e">
        <f ca="1">_xll.BDH($C$53,"EFF_TAX_RATE","FY 2014","FY 2014","Currency=INR","Period=FY","BEST_FPERIOD_OVERRIDE=FY","FILING_STATUS=OR","EQY_CONSOLIDATED=Y","FA_ADJUSTED=GAAP","Sort=A","Dates=H","DateFormat=P","Fill=—","Direction=H","UseDPDF=Y")</f>
        <v>#NAME?</v>
      </c>
      <c r="R53" t="e">
        <f ca="1">_xll.BDH($C$53,"DVD_PAYOUT_RATIO","FY 2014","FY 2014","Currency=INR","Period=FY","BEST_FPERIOD_OVERRIDE=FY","FILING_STATUS=OR","EQY_CONSOLIDATED=Y","FA_ADJUSTED=GAAP","Sort=A","Dates=H","DateFormat=P","Fill=—","Direction=H","UseDPDF=Y")</f>
        <v>#NAME?</v>
      </c>
      <c r="S53" t="e">
        <f ca="1">_xll.BDH($C$53,"SUSTAIN_GROWTH_RT","FY 2014","FY 2014","Currency=INR","Period=FY","BEST_FPERIOD_OVERRIDE=FY","FILING_STATUS=OR","EQY_CONSOLIDATED=Y","FA_ADJUSTED=GAAP","Sort=A","Dates=H","DateFormat=P","Fill=—","Direction=H","UseDPDF=Y")</f>
        <v>#NAME?</v>
      </c>
      <c r="T53" s="1" t="e">
        <f ca="1">_xll.BDH($C$53,"SALES_GROWTH","FY 2014","FY 2014","Currency=INR","Period=FY","BEST_FPERIOD_OVERRIDE=FY","FILING_STATUS=OR","EQY_CONSOLIDATED=Y","FA_ADJUSTED=GAAP","Sort=A","Dates=H","DateFormat=P","Fill=—","Direction=H","UseDPDF=Y")</f>
        <v>#NAME?</v>
      </c>
      <c r="U53" s="1" t="e">
        <f ca="1">_xll.BDH($C$53,"EBITDA_GROWTH","FY 2014","FY 2014","Currency=INR","Period=FY","BEST_FPERIOD_OVERRIDE=FY","FILING_STATUS=OR","EQY_CONSOLIDATED=Y","FA_ADJUSTED=GAAP","Sort=A","Dates=H","DateFormat=P","Fill=—","Direction=H","UseDPDF=Y")</f>
        <v>#NAME?</v>
      </c>
      <c r="V53" s="1" t="e">
        <f ca="1">_xll.BDH($C$53,"OPER_INC_GROWTH","FY 2014","FY 2014","Currency=INR","Period=FY","BEST_FPERIOD_OVERRIDE=FY","FILING_STATUS=OR","EQY_CONSOLIDATED=Y","FA_ADJUSTED=GAAP","Sort=A","Dates=H","DateFormat=P","Fill=—","Direction=H","UseDPDF=Y")</f>
        <v>#NAME?</v>
      </c>
      <c r="W53" s="1" t="e">
        <f ca="1">_xll.BDH($C$53,"EARN_FOR_COM_GROWTH","FY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53" s="1" t="e">
        <f ca="1">_xll.BDH($C$53,"DILUTED_EPS_AFT_XO_ITEMS_GROWTH","FY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3" s="1" t="e">
        <f ca="1">_xll.BDH($C$53,"DIVIDEND_PER_SHARE_1_YEAR_GROWTH","FY 2014","FY 2014","Currency=INR","Period=FY","BEST_FPERIOD_OVERRIDE=FY","FILING_STATUS=OR","EQY_CONSOLIDATED=Y","Sort=A","Dates=H","DateFormat=P","Fill=—","Direction=H","UseDPDF=Y")</f>
        <v>#NAME?</v>
      </c>
      <c r="Z53" s="1" t="e">
        <f ca="1">_xll.BDH($C$53,"ACCOUNTS_RECEIVABLE_GROWTH","FY 2014","FY 2014","Currency=INR","Period=FY","BEST_FPERIOD_OVERRIDE=FY","FILING_STATUS=OR","EQY_CONSOLIDATED=Y","Sort=A","Dates=H","DateFormat=P","Fill=—","Direction=H","UseDPDF=Y")</f>
        <v>#NAME?</v>
      </c>
      <c r="AA53" s="1" t="e">
        <f ca="1">_xll.BDH($C$53,"INVENTORY_GROWTH","FY 2014","FY 2014","Currency=INR","Period=FY","BEST_FPERIOD_OVERRIDE=FY","FILING_STATUS=OR","EQY_CONSOLIDATED=Y","Sort=A","Dates=H","DateFormat=P","Fill=—","Direction=H","UseDPDF=Y")</f>
        <v>#NAME?</v>
      </c>
      <c r="AB53" s="1" t="e">
        <f ca="1">_xll.BDH($C$53,"NET_FIXED_ASSETS_1_YEAR_GROWTH","FY 2014","FY 2014","Currency=INR","Period=FY","BEST_FPERIOD_OVERRIDE=FY","FILING_STATUS=OR","EQY_CONSOLIDATED=Y","Sort=A","Dates=H","DateFormat=P","Fill=—","Direction=H","UseDPDF=Y")</f>
        <v>#NAME?</v>
      </c>
      <c r="AC53" s="1" t="e">
        <f ca="1">_xll.BDH($C$53,"ASSET_GROWTH","FY 2014","FY 2014","Currency=INR","Period=FY","BEST_FPERIOD_OVERRIDE=FY","FILING_STATUS=OR","EQY_CONSOLIDATED=Y","Sort=A","Dates=H","DateFormat=P","Fill=—","Direction=H","UseDPDF=Y")</f>
        <v>#NAME?</v>
      </c>
      <c r="AD53" s="1" t="e">
        <f ca="1">_xll.BDH($C$53,"MODIFIED_WORK_CAP_GROWTH","FY 2014","FY 2014","Currency=INR","Period=FY","BEST_FPERIOD_OVERRIDE=FY","FILING_STATUS=OR","EQY_CONSOLIDATED=Y","Sort=A","Dates=H","DateFormat=P","Fill=—","Direction=H","UseDPDF=Y")</f>
        <v>#NAME?</v>
      </c>
      <c r="AE53" s="1" t="e">
        <f ca="1">_xll.BDH($C$53,"WORK_CAP_GROWTH","FY 2014","FY 2014","Currency=INR","Period=FY","BEST_FPERIOD_OVERRIDE=FY","FILING_STATUS=OR","EQY_CONSOLIDATED=Y","Sort=A","Dates=H","DateFormat=P","Fill=—","Direction=H","UseDPDF=Y")</f>
        <v>#NAME?</v>
      </c>
      <c r="AF53" s="1" t="e">
        <f ca="1">_xll.BDH($C$53,"ACCOUNTS_PAYABLE_GROWTH_1YR","FY 2014","FY 2014","Currency=INR","Period=FY","BEST_FPERIOD_OVERRIDE=FY","FILING_STATUS=OR","EQY_CONSOLIDATED=Y","Sort=A","Dates=H","DateFormat=P","Fill=—","Direction=H","UseDPDF=Y")</f>
        <v>#NAME?</v>
      </c>
      <c r="AG53" s="1" t="e">
        <f ca="1">_xll.BDH($C$53,"SHORT_TERM_DEBT_1_YEAR_GROWTH","FY 2014","FY 2014","Currency=INR","Period=FY","BEST_FPERIOD_OVERRIDE=FY","FILING_STATUS=OR","EQY_CONSOLIDATED=Y","Sort=A","Dates=H","DateFormat=P","Fill=—","Direction=H","UseDPDF=Y")</f>
        <v>#NAME?</v>
      </c>
      <c r="AH53" s="1" t="e">
        <f ca="1">_xll.BDH($C$53,"TOTAL_DEBT_1_YEAR_GROWTH","FY 2014","FY 2014","Currency=INR","Period=FY","BEST_FPERIOD_OVERRIDE=FY","FILING_STATUS=OR","EQY_CONSOLIDATED=Y","Sort=A","Dates=H","DateFormat=P","Fill=—","Direction=H","UseDPDF=Y")</f>
        <v>#NAME?</v>
      </c>
      <c r="AI53" s="1" t="e">
        <f ca="1">_xll.BDH($C$53,"TOTAL_EQUITY_1_YEAR_GROWTH","FY 2014","FY 2014","Currency=INR","Period=FY","BEST_FPERIOD_OVERRIDE=FY","FILING_STATUS=OR","EQY_CONSOLIDATED=Y","Sort=A","Dates=H","DateFormat=P","Fill=—","Direction=H","UseDPDF=Y")</f>
        <v>#NAME?</v>
      </c>
      <c r="AJ53" s="1" t="e">
        <f ca="1">_xll.BDH($C$53,"GROWTH_IN_CAP","FY 2014","FY 2014","Currency=INR","Period=FY","BEST_FPERIOD_OVERRIDE=FY","FILING_STATUS=OR","EQY_CONSOLIDATED=Y","Sort=A","Dates=H","DateFormat=P","Fill=—","Direction=H","UseDPDF=Y")</f>
        <v>#NAME?</v>
      </c>
      <c r="AK53" s="1" t="e">
        <f ca="1">_xll.BDH($C$53,"BVPS_GROWTH","FY 2014","FY 2014","Currency=INR","Period=FY","BEST_FPERIOD_OVERRIDE=FY","FILING_STATUS=OR","EQY_CONSOLIDATED=Y","Sort=A","Dates=H","DateFormat=P","Fill=—","Direction=H","UseDPDF=Y")</f>
        <v>#NAME?</v>
      </c>
      <c r="AL53" s="1" t="e">
        <f ca="1">_xll.BDH($C$53,"CASH_FLOW_GROWTH","FY 2014","FY 2014","Currency=INR","Period=FY","BEST_FPERIOD_OVERRIDE=FY","FILING_STATUS=OR","EQY_CONSOLIDATED=Y","Sort=A","Dates=H","DateFormat=P","Fill=—","Direction=H","UseDPDF=Y")</f>
        <v>#NAME?</v>
      </c>
      <c r="AM53" s="1" t="e">
        <f ca="1">_xll.BDH($C$53,"GEO_GROW_NET_SALES","FY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53" s="1" t="e">
        <f ca="1">_xll.BDH($C$53,"GEO_GROW_EBITDA","FY 2014","FY 2014","Currency=INR","Period=FY","BEST_FPERIOD_OVERRIDE=FY","FILING_STATUS=OR","EQY_CONSOLIDATED=Y","FA_ADJUSTED=GAAP","Sort=A","Dates=H","DateFormat=P","Fill=—","Direction=H","UseDPDF=Y")</f>
        <v>#NAME?</v>
      </c>
      <c r="AO53" s="1" t="e">
        <f ca="1">_xll.BDH($C$53,"GEO_GROW_OPER_INC","FY 2014","FY 2014","Currency=INR","Period=FY","BEST_FPERIOD_OVERRIDE=FY","FILING_STATUS=OR","EQY_CONSOLIDATED=Y","FA_ADJUSTED=GAAP","Sort=A","Dates=H","DateFormat=P","Fill=—","Direction=H","UseDPDF=Y")</f>
        <v>#NAME?</v>
      </c>
      <c r="AP53" s="1" t="e">
        <f ca="1">_xll.BDH($C$53,"NET_INCOME_TO_COMMON_5_YR_GROWTH","FY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3" s="1" t="e">
        <f ca="1">_xll.BDH($C$53,"5Y_GEO_GROWTH_DILUTED_EPS","FY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3" s="1" t="e">
        <f ca="1">_xll.BDH($C$53,"GEO_GROW_DVD_PER_SH","FY 2014","FY 2014","Currency=INR","Period=FY","BEST_FPERIOD_OVERRIDE=FY","FILING_STATUS=OR","EQY_CONSOLIDATED=Y","Sort=A","Dates=H","DateFormat=P","Fill=—","Direction=H","UseDPDF=Y")</f>
        <v>#NAME?</v>
      </c>
      <c r="AS53" s="1" t="e">
        <f ca="1">_xll.BDH($C$53,"ACCOUNTS_RECEIVABLE_5_YR_GROWTH","FY 2014","FY 2014","Currency=INR","Period=FY","BEST_FPERIOD_OVERRIDE=FY","FILING_STATUS=OR","EQY_CONSOLIDATED=Y","Sort=A","Dates=H","DateFormat=P","Fill=—","Direction=H","UseDPDF=Y")</f>
        <v>#NAME?</v>
      </c>
      <c r="AT53" s="1" t="e">
        <f ca="1">_xll.BDH($C$53,"INVENTORY_5_YEAR_GROWTH","FY 2014","FY 2014","Currency=INR","Period=FY","BEST_FPERIOD_OVERRIDE=FY","FILING_STATUS=OR","EQY_CONSOLIDATED=Y","Sort=A","Dates=H","DateFormat=P","Fill=—","Direction=H","UseDPDF=Y")</f>
        <v>#NAME?</v>
      </c>
      <c r="AU53" s="1" t="e">
        <f ca="1">_xll.BDH($C$53,"NET_FIXED_ASSETS_5_YEAR_GROWTH","FY 2014","FY 2014","Currency=INR","Period=FY","BEST_FPERIOD_OVERRIDE=FY","FILING_STATUS=OR","EQY_CONSOLIDATED=Y","Sort=A","Dates=H","DateFormat=P","Fill=—","Direction=H","UseDPDF=Y")</f>
        <v>#NAME?</v>
      </c>
      <c r="AV53" s="1" t="e">
        <f ca="1">_xll.BDH($C$53,"GEO_GROW_TOT_ASSET","FY 2014","FY 2014","Currency=INR","Period=FY","BEST_FPERIOD_OVERRIDE=FY","FILING_STATUS=OR","EQY_CONSOLIDATED=Y","Sort=A","Dates=H","DateFormat=P","Fill=—","Direction=H","UseDPDF=Y")</f>
        <v>#NAME?</v>
      </c>
      <c r="AW53" s="1" t="e">
        <f ca="1">_xll.BDH($C$53,"MODIFIED_WORKING_CPTL_5YR_GRWTH","FY 2014","FY 2014","Currency=INR","Period=FY","BEST_FPERIOD_OVERRIDE=FY","FILING_STATUS=OR","EQY_CONSOLIDATED=Y","Sort=A","Dates=H","DateFormat=P","Fill=—","Direction=H","UseDPDF=Y")</f>
        <v>#NAME?</v>
      </c>
      <c r="AX53" s="1" t="e">
        <f ca="1">_xll.BDH($C$53,"WORKING_CAPITAL_5_YEAR_GROWTH","FY 2014","FY 2014","Currency=INR","Period=FY","BEST_FPERIOD_OVERRIDE=FY","FILING_STATUS=OR","EQY_CONSOLIDATED=Y","Sort=A","Dates=H","DateFormat=P","Fill=—","Direction=H","UseDPDF=Y")</f>
        <v>#NAME?</v>
      </c>
      <c r="AY53" s="1" t="e">
        <f ca="1">_xll.BDH($C$53,"ACCOUNTS_PAYABLE_5_YEAR_GROWTH","FY 2014","FY 2014","Currency=INR","Period=FY","BEST_FPERIOD_OVERRIDE=FY","FILING_STATUS=OR","EQY_CONSOLIDATED=Y","Sort=A","Dates=H","DateFormat=P","Fill=—","Direction=H","UseDPDF=Y")</f>
        <v>#NAME?</v>
      </c>
      <c r="AZ53" s="1" t="e">
        <f ca="1">_xll.BDH($C$53,"SHORT_TERM_DEBT_5_YEAR_GROWTH","FY 2014","FY 2014","Currency=INR","Period=FY","BEST_FPERIOD_OVERRIDE=FY","FILING_STATUS=OR","EQY_CONSOLIDATED=Y","Sort=A","Dates=H","DateFormat=P","Fill=—","Direction=H","UseDPDF=Y")</f>
        <v>#NAME?</v>
      </c>
      <c r="BA53" s="1" t="e">
        <f ca="1">_xll.BDH($C$53,"TOTAL_DEBT_5_YEAR_GROWTH","FY 2014","FY 2014","Currency=INR","Period=FY","BEST_FPERIOD_OVERRIDE=FY","FILING_STATUS=OR","EQY_CONSOLIDATED=Y","Sort=A","Dates=H","DateFormat=P","Fill=—","Direction=H","UseDPDF=Y")</f>
        <v>#NAME?</v>
      </c>
      <c r="BB53" s="1" t="e">
        <f ca="1">_xll.BDH($C$53,"GEO_GROW_TOT_SHRHLDR_EQY","FY 2014","FY 2014","Currency=INR","Period=FY","BEST_FPERIOD_OVERRIDE=FY","FILING_STATUS=OR","EQY_CONSOLIDATED=Y","Sort=A","Dates=H","DateFormat=P","Fill=—","Direction=H","UseDPDF=Y")</f>
        <v>#NAME?</v>
      </c>
      <c r="BC53" s="1" t="e">
        <f ca="1">_xll.BDH($C$53,"TOTAL_CAPITAL_5_YEAR_GROWTH","FY 2014","FY 2014","Currency=INR","Period=FY","BEST_FPERIOD_OVERRIDE=FY","FILING_STATUS=OR","EQY_CONSOLIDATED=Y","Sort=A","Dates=H","DateFormat=P","Fill=—","Direction=H","UseDPDF=Y")</f>
        <v>#NAME?</v>
      </c>
      <c r="BD53" s="1" t="e">
        <f ca="1">_xll.BDH($C$53,"GEO_GROW_BOOK_VAL","FY 2014","FY 2014","Currency=INR","Period=FY","BEST_FPERIOD_OVERRIDE=FY","FILING_STATUS=OR","EQY_CONSOLIDATED=Y","Sort=A","Dates=H","DateFormat=P","Fill=—","Direction=H","UseDPDF=Y")</f>
        <v>#NAME?</v>
      </c>
      <c r="BE53" s="1" t="e">
        <f ca="1">_xll.BDH($C$53,"GEO_GROW_CASH_OPER_ACT","FY 2014","FY 2014","Currency=INR","Period=FY","BEST_FPERIOD_OVERRIDE=FY","FILING_STATUS=OR","EQY_CONSOLIDATED=Y","Sort=A","Dates=H","DateFormat=P","Fill=—","Direction=H","UseDPDF=Y")</f>
        <v>#NAME?</v>
      </c>
      <c r="BF53" s="1" t="e">
        <f ca="1">_xll.BDH($C$53,"REVENUE_SEQUENTIAL_GROWTH","FY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3" s="1" t="e">
        <f ca="1">_xll.BDH($C$53,"EBITDA_SEQUENTIAL_GROWTH","FY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3" s="1" t="e">
        <f ca="1">_xll.BDH($C$53,"OPERATING_INCOME_SEQ_GROWTH","FY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3" s="1" t="e">
        <f ca="1">_xll.BDH($C$53,"NET_INCOME_TO_COMMON_SEQ_GROWTH","FY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3" s="1" t="e">
        <f ca="1">_xll.BDH($C$53,"EPS_DILUTED_SEQUENTIAL_GROWTH","FY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3" s="1" t="e">
        <f ca="1">_xll.BDH($C$53,"DPS_SEQUENTIAL_GROWTH","FY 2014","FY 2014","Currency=INR","Period=FY","BEST_FPERIOD_OVERRIDE=FY","FILING_STATUS=OR","EQY_CONSOLIDATED=Y","Sort=A","Dates=H","DateFormat=P","Fill=—","Direction=H","UseDPDF=Y")</f>
        <v>#NAME?</v>
      </c>
      <c r="BL53" s="1" t="e">
        <f ca="1">_xll.BDH($C$53,"ACCOUNTS_RECEIVABLE_SEQ_GROWTH","FY 2014","FY 2014","Currency=INR","Period=FY","BEST_FPERIOD_OVERRIDE=FY","FILING_STATUS=OR","EQY_CONSOLIDATED=Y","Sort=A","Dates=H","DateFormat=P","Fill=—","Direction=H","UseDPDF=Y")</f>
        <v>#NAME?</v>
      </c>
      <c r="BM53" s="1" t="e">
        <f ca="1">_xll.BDH($C$53,"INVENTORY_SEQUENTIAL_GROWTH","FY 2014","FY 2014","Currency=INR","Period=FY","BEST_FPERIOD_OVERRIDE=FY","FILING_STATUS=OR","EQY_CONSOLIDATED=Y","Sort=A","Dates=H","DateFormat=P","Fill=—","Direction=H","UseDPDF=Y")</f>
        <v>#NAME?</v>
      </c>
      <c r="BN53" s="1" t="e">
        <f ca="1">_xll.BDH($C$53,"FIXED_ASSETS_SEQUENTIAL_GROWTH","FY 2014","FY 2014","Currency=INR","Period=FY","BEST_FPERIOD_OVERRIDE=FY","FILING_STATUS=OR","EQY_CONSOLIDATED=Y","Sort=A","Dates=H","DateFormat=P","Fill=—","Direction=H","UseDPDF=Y")</f>
        <v>#NAME?</v>
      </c>
      <c r="BO53" s="1" t="e">
        <f ca="1">_xll.BDH($C$53,"TOTAL_ASSETS_SEQUENTIAL_GROWTH","FY 2014","FY 2014","Currency=INR","Period=FY","BEST_FPERIOD_OVERRIDE=FY","FILING_STATUS=OR","EQY_CONSOLIDATED=Y","Sort=A","Dates=H","DateFormat=P","Fill=—","Direction=H","UseDPDF=Y")</f>
        <v>#NAME?</v>
      </c>
      <c r="BP53" s="1" t="e">
        <f ca="1">_xll.BDH($C$53,"MODIFIED_WORKING_CPTL_SEQ_GRWTH","FY 2014","FY 2014","Currency=INR","Period=FY","BEST_FPERIOD_OVERRIDE=FY","FILING_STATUS=OR","EQY_CONSOLIDATED=Y","Sort=A","Dates=H","DateFormat=P","Fill=—","Direction=H","UseDPDF=Y")</f>
        <v>#NAME?</v>
      </c>
      <c r="BQ53" s="1" t="e">
        <f ca="1">_xll.BDH($C$53,"WORKING_CAPITAL_SEQ_GROWTH","FY 2014","FY 2014","Currency=INR","Period=FY","BEST_FPERIOD_OVERRIDE=FY","FILING_STATUS=OR","EQY_CONSOLIDATED=Y","Sort=A","Dates=H","DateFormat=P","Fill=—","Direction=H","UseDPDF=Y")</f>
        <v>#NAME?</v>
      </c>
      <c r="BR53" s="1" t="e">
        <f ca="1">_xll.BDH($C$53,"ACCOUNTS_PAYABLE_SEQ_GROWTH","FY 2014","FY 2014","Currency=INR","Period=FY","BEST_FPERIOD_OVERRIDE=FY","FILING_STATUS=OR","EQY_CONSOLIDATED=Y","Sort=A","Dates=H","DateFormat=P","Fill=—","Direction=H","UseDPDF=Y")</f>
        <v>#NAME?</v>
      </c>
      <c r="BS53" s="1" t="e">
        <f ca="1">_xll.BDH($C$53,"ST_DEBT_SEQUENTIAL_GROWTH","FY 2014","FY 2014","Currency=INR","Period=FY","BEST_FPERIOD_OVERRIDE=FY","FILING_STATUS=OR","EQY_CONSOLIDATED=Y","Sort=A","Dates=H","DateFormat=P","Fill=—","Direction=H","UseDPDF=Y")</f>
        <v>#NAME?</v>
      </c>
      <c r="BT53" s="1" t="e">
        <f ca="1">_xll.BDH($C$53,"TOTAL_DEBT_SEQUENTIAL_GROWTH","FY 2014","FY 2014","Currency=INR","Period=FY","BEST_FPERIOD_OVERRIDE=FY","FILING_STATUS=OR","EQY_CONSOLIDATED=Y","Sort=A","Dates=H","DateFormat=P","Fill=—","Direction=H","UseDPDF=Y")</f>
        <v>#NAME?</v>
      </c>
      <c r="BU53" s="1" t="e">
        <f ca="1">_xll.BDH($C$53,"TOTAL_EQUITY_SEQUENTIAL_GROWTH","FY 2014","FY 2014","Currency=INR","Period=FY","BEST_FPERIOD_OVERRIDE=FY","FILING_STATUS=OR","EQY_CONSOLIDATED=Y","Sort=A","Dates=H","DateFormat=P","Fill=—","Direction=H","UseDPDF=Y")</f>
        <v>#NAME?</v>
      </c>
      <c r="BV53" s="1" t="e">
        <f ca="1">_xll.BDH($C$53,"TOTAL_CAPITAL_SEQUENTIAL_GROWTH","FY 2014","FY 2014","Currency=INR","Period=FY","BEST_FPERIOD_OVERRIDE=FY","FILING_STATUS=OR","EQY_CONSOLIDATED=Y","Sort=A","Dates=H","DateFormat=P","Fill=—","Direction=H","UseDPDF=Y")</f>
        <v>#NAME?</v>
      </c>
      <c r="BW53" s="1" t="e">
        <f ca="1">_xll.BDH($C$53,"BPS_SEQUENTIAL_GROWTH","FY 2014","FY 2014","Currency=INR","Period=FY","BEST_FPERIOD_OVERRIDE=FY","FILING_STATUS=OR","EQY_CONSOLIDATED=Y","Sort=A","Dates=H","DateFormat=P","Fill=—","Direction=H","UseDPDF=Y")</f>
        <v>#NAME?</v>
      </c>
      <c r="BX53" s="1" t="e">
        <f ca="1">_xll.BDH($C$53,"CFO_SEQUENTIAL_GROWTH","FY 2014","FY 2014","Currency=INR","Period=FY","BEST_FPERIOD_OVERRIDE=FY","FILING_STATUS=OR","EQY_CONSOLIDATED=Y","Sort=A","Dates=H","DateFormat=P","Fill=—","Direction=H","UseDPDF=Y")</f>
        <v>#NAME?</v>
      </c>
      <c r="BY53" s="2" t="e">
        <f ca="1">_xll.BDH($C$53,"SHORT_AND_LONG_TERM_DEBT","FY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3" s="2" t="e">
        <f ca="1">_xll.BDH($C$53,"BS_ST_BORROW","FY 2014","FY 2014","Currency=INR","Period=FY","BEST_FPERIOD_OVERRIDE=FY","FILING_STATUS=OR","EQY_CONSOLIDATED=Y","SCALING_FORMAT=MLN","Sort=A","Dates=H","DateFormat=P","Fill=—","Direction=H","UseDPDF=Y")</f>
        <v>#NAME?</v>
      </c>
      <c r="CA53" s="2" t="e">
        <f ca="1">_xll.BDH($C$53,"BS_LT_BORROW","FY 2014","FY 2014","Currency=INR","Period=FY","BEST_FPERIOD_OVERRIDE=FY","FILING_STATUS=OR","EQY_CONSOLIDATED=Y","SCALING_FORMAT=MLN","Sort=A","Dates=H","DateFormat=P","Fill=—","Direction=H","UseDPDF=Y")</f>
        <v>#NAME?</v>
      </c>
      <c r="CB53" s="1" t="e">
        <f ca="1">_xll.BDH($C$53,"TOT_DEBT_TO_EBITDA","FY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53" s="1" t="e">
        <f ca="1">_xll.BDH($C$53,"NET_DEBT_TO_EBITDA","FY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53" s="1" t="e">
        <f ca="1">_xll.BDH($C$53,"TOTAL_DEBT_TO_EBIT","FY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53" s="1" t="e">
        <f ca="1">_xll.BDH($C$53,"NET_DEBT_TO_EBIT","FY 2014","FY 2014","Currency=INR","Period=FY","BEST_FPERIOD_OVERRIDE=FY","FILING_STATUS=OR","EQY_CONSOLIDATED=Y","FA_ADJUSTED=GAAP","Sort=A","Dates=H","DateFormat=P","Fill=—","Direction=H","UseDPDF=Y")</f>
        <v>#NAME?</v>
      </c>
      <c r="CF53" s="1" t="e">
        <f ca="1">_xll.BDH($C$53,"EBITDA_TO_INTEREST_EXPN","FY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3" s="1" t="e">
        <f ca="1">_xll.BDH($C$53,"COM_EQY_TO_TOT_ASSET","FY 2014","FY 2014","Currency=INR","Period=FY","BEST_FPERIOD_OVERRIDE=FY","FILING_STATUS=OR","EQY_CONSOLIDATED=Y","Sort=A","Dates=H","DateFormat=P","Fill=—","Direction=H","UseDPDF=Y")</f>
        <v>#NAME?</v>
      </c>
      <c r="CH53" s="1" t="e">
        <f ca="1">_xll.BDH($C$53,"LT_DEBT_TO_TOT_EQY","FY 2014","FY 2014","Currency=INR","Period=FY","BEST_FPERIOD_OVERRIDE=FY","FILING_STATUS=OR","EQY_CONSOLIDATED=Y","Sort=A","Dates=H","DateFormat=P","Fill=—","Direction=H","UseDPDF=Y")</f>
        <v>#NAME?</v>
      </c>
      <c r="CI53" s="1" t="e">
        <f ca="1">_xll.BDH($C$53,"LT_DEBT_TO_TOT_CAP","FY 2014","FY 2014","Currency=INR","Period=FY","BEST_FPERIOD_OVERRIDE=FY","FILING_STATUS=OR","EQY_CONSOLIDATED=Y","Sort=A","Dates=H","DateFormat=P","Fill=—","Direction=H","UseDPDF=Y")</f>
        <v>#NAME?</v>
      </c>
      <c r="CJ53" s="1" t="e">
        <f ca="1">_xll.BDH($C$53,"LT_DEBT_TO_TOT_ASSET","FY 2014","FY 2014","Currency=INR","Period=FY","BEST_FPERIOD_OVERRIDE=FY","FILING_STATUS=OR","EQY_CONSOLIDATED=Y","Sort=A","Dates=H","DateFormat=P","Fill=—","Direction=H","UseDPDF=Y")</f>
        <v>#NAME?</v>
      </c>
      <c r="CK53" s="1" t="e">
        <f ca="1">_xll.BDH($C$53,"TOT_DEBT_TO_TOT_EQY","FY 2014","FY 2014","Currency=INR","Period=FY","BEST_FPERIOD_OVERRIDE=FY","FILING_STATUS=OR","EQY_CONSOLIDATED=Y","Sort=A","Dates=H","DateFormat=P","Fill=—","Direction=H","UseDPDF=Y")</f>
        <v>#NAME?</v>
      </c>
      <c r="CL53" s="1" t="e">
        <f ca="1">_xll.BDH($C$53,"TOT_DEBT_TO_TOT_CAP","FY 2014","FY 2014","Currency=INR","Period=FY","BEST_FPERIOD_OVERRIDE=FY","FILING_STATUS=OR","EQY_CONSOLIDATED=Y","Sort=A","Dates=H","DateFormat=P","Fill=—","Direction=H","UseDPDF=Y")</f>
        <v>#NAME?</v>
      </c>
      <c r="CM53" s="1" t="e">
        <f ca="1">_xll.BDH($C$53,"TOT_DEBT_TO_TOT_ASSET","FY 2014","FY 2014","Currency=INR","Period=FY","BEST_FPERIOD_OVERRIDE=FY","FILING_STATUS=OR","EQY_CONSOLIDATED=Y","Sort=A","Dates=H","DateFormat=P","Fill=—","Direction=H","UseDPDF=Y")</f>
        <v>#NAME?</v>
      </c>
      <c r="CN53" s="1" t="e">
        <f ca="1">_xll.BDH($C$53,"NET_DEBT_TO_SHRHLDR_EQTY","FY 2014","FY 2014","Currency=INR","Period=FY","BEST_FPERIOD_OVERRIDE=FY","FILING_STATUS=OR","EQY_CONSOLIDATED=Y","Sort=A","Dates=H","DateFormat=P","Fill=—","Direction=H","UseDPDF=Y")</f>
        <v>#NAME?</v>
      </c>
      <c r="CO53" s="1" t="e">
        <f ca="1">_xll.BDH($C$53,"NET_DEBT_%_CAPITAL","FY 2014","FY 2014","Currency=INR","Period=FY","BEST_FPERIOD_OVERRIDE=FY","FILING_STATUS=OR","EQY_CONSOLIDATED=Y","Sort=A","Dates=H","DateFormat=P","Fill=—","Direction=H","UseDPDF=Y")</f>
        <v>#NAME?</v>
      </c>
      <c r="CP53" s="2" t="e">
        <f ca="1">_xll.BDH($C$53,"EBITDA","FY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3" s="2" t="e">
        <f ca="1">_xll.BDH($C$53,"EBITDA_AFTER_CAPEX","FY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3" s="2" t="e">
        <f ca="1">_xll.BDH($C$53,"IS_OPER_INC","FY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3" s="1" t="e">
        <f ca="1">_xll.BDH($C$53,"CASH_RATIO","FY 2014","FY 2014","Currency=INR","Period=FY","BEST_FPERIOD_OVERRIDE=FY","FILING_STATUS=OR","EQY_CONSOLIDATED=Y","Sort=A","Dates=H","DateFormat=P","Fill=—","Direction=H","UseDPDF=Y")</f>
        <v>#NAME?</v>
      </c>
      <c r="CT53" s="1" t="e">
        <f ca="1">_xll.BDH($C$53,"CUR_RATIO","FY 2014","FY 2014","Currency=INR","Period=FY","BEST_FPERIOD_OVERRIDE=FY","FILING_STATUS=OR","EQY_CONSOLIDATED=Y","Sort=A","Dates=H","DateFormat=P","Fill=—","Direction=H","UseDPDF=Y")</f>
        <v>#NAME?</v>
      </c>
      <c r="CU53" s="1" t="e">
        <f ca="1">_xll.BDH($C$53,"QUICK_RATIO","FY 2014","FY 2014","Currency=INR","Period=FY","BEST_FPERIOD_OVERRIDE=FY","FILING_STATUS=OR","EQY_CONSOLIDATED=Y","Sort=A","Dates=H","DateFormat=P","Fill=—","Direction=H","UseDPDF=Y")</f>
        <v>#NAME?</v>
      </c>
      <c r="CV53" s="1" t="e">
        <f ca="1">_xll.BDH($C$53,"ALTMAN_Z_SCORE","FY 2014","FY 2014","Currency=INR","Period=FY","BEST_FPERIOD_OVERRIDE=FY","FILING_STATUS=OR","EQY_CONSOLIDATED=Y","Sort=A","Dates=H","DateFormat=P","Fill=—","Direction=H","UseDPDF=Y")</f>
        <v>#NAME?</v>
      </c>
      <c r="CW53" s="3" t="e">
        <f ca="1">_xll.BDH($C$53,"ACCT_RCV_TURN","FY 2014","FY 2014","Currency=INR","Period=FY","BEST_FPERIOD_OVERRIDE=FY","FILING_STATUS=OR","EQY_CONSOLIDATED=Y","FA_ADJUSTED=GAAP","Sort=A","Dates=H","DateFormat=P","Fill=—","Direction=H","UseDPDF=Y")</f>
        <v>#NAME?</v>
      </c>
      <c r="CX53" s="1" t="e">
        <f ca="1">_xll.BDH($C$53,"ACCT_RCV_DAYS","FY 2014","FY 2014","Currency=INR","Period=FY","BEST_FPERIOD_OVERRIDE=FY","FILING_STATUS=OR","EQY_CONSOLIDATED=Y","FA_ADJUSTED=GAAP","Sort=A","Dates=H","DateFormat=P","Fill=—","Direction=H","UseDPDF=Y")</f>
        <v>#NAME?</v>
      </c>
      <c r="CY53" s="3" t="e">
        <f ca="1">_xll.BDH($C$53,"INVENT_TURN","FY 2014","FY 2014","Currency=INR","Period=FY","BEST_FPERIOD_OVERRIDE=FY","FILING_STATUS=OR","EQY_CONSOLIDATED=Y","FA_ADJUSTED=GAAP","Sort=A","Dates=H","DateFormat=P","Fill=—","Direction=H","UseDPDF=Y")</f>
        <v>#NAME?</v>
      </c>
      <c r="CZ53" s="1" t="e">
        <f ca="1">_xll.BDH($C$53,"INVENT_DAYS","FY 2014","FY 2014","Currency=INR","Period=FY","BEST_FPERIOD_OVERRIDE=FY","FILING_STATUS=OR","EQY_CONSOLIDATED=Y","FA_ADJUSTED=GAAP","Sort=A","Dates=H","DateFormat=P","Fill=—","Direction=H","UseDPDF=Y")</f>
        <v>#NAME?</v>
      </c>
      <c r="DA53" s="3" t="e">
        <f ca="1">_xll.BDH($C$53,"ACCOUNTS_PAYABLE_TURNOVER","FY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3" s="1" t="e">
        <f ca="1">_xll.BDH($C$53,"ACCOUNTS_PAYABLE_TURNOVER_DAYS","FY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3" s="3" t="e">
        <f ca="1">_xll.BDH($C$53,"CASH_CONVERSION_CYCLE","FY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3" s="3" t="e">
        <f ca="1">_xll.BDH($C$53,"INV_TO_CASH_DAYS","FY 2014","FY 2014","Currency=INR","Period=FY","BEST_FPERIOD_OVERRIDE=FY","FILING_STATUS=OR","EQY_CONSOLIDATED=Y","FA_ADJUSTED=GAAP","Sort=A","Dates=H","DateFormat=P","Fill=—","Direction=H","UseDPDF=Y")</f>
        <v>#NAME?</v>
      </c>
      <c r="DE53" s="4" t="e">
        <f ca="1">_xll.BDH($C$53,"BS_INVENTORIES","FY 2014","FY 2014","Currency=INR","Period=FY","BEST_FPERIOD_OVERRIDE=FY","FILING_STATUS=OR","EQY_CONSOLIDATED=Y","SCALING_FORMAT=MLN","Sort=A","Dates=H","DateFormat=P","Fill=—","Direction=H","UseDPDF=Y")</f>
        <v>#NAME?</v>
      </c>
      <c r="DF53" s="2" t="e">
        <f ca="1">_xll.BDH($C$53,"INVTRY_RAW_MATERIALS","FY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3" s="2" t="e">
        <f ca="1">_xll.BDH($C$53,"INVTRY_IN_PROGRESS","FY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3" s="2" t="e">
        <f ca="1">_xll.BDH($C$53,"INVTRY_FINISHED_GOODS","FY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3" s="2" t="e">
        <f ca="1">_xll.BDH($C$53,"BS_OTHER_INV","FY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4" spans="1:113" x14ac:dyDescent="0.3">
      <c r="A54" s="6"/>
      <c r="B54" s="6"/>
      <c r="C54" s="6"/>
      <c r="D54" s="6"/>
      <c r="E54" t="s">
        <v>4</v>
      </c>
      <c r="F54" t="e">
        <f ca="1">_xll.BDH($C$53,"RETURN_COM_EQY","FQ1 2014","FQ1 2014","Currency=INR","Period=FQ","BEST_FPERIOD_OVERRIDE=FQ","FILING_STATUS=OR","EQY_CONSOLIDATED=Y","FA_ADJUSTED=GAAP","Sort=A","Dates=H","DateFormat=P","Fill=—","Direction=H","UseDPDF=Y")</f>
        <v>#NAME?</v>
      </c>
      <c r="G54" t="e">
        <f ca="1">_xll.BDH($C$53,"RETURN_ON_ASSET","FQ1 2014","FQ1 2014","Currency=INR","Period=FQ","BEST_FPERIOD_OVERRIDE=FQ","FILING_STATUS=OR","EQY_CONSOLIDATED=Y","FA_ADJUSTED=GAAP","Sort=A","Dates=H","DateFormat=P","Fill=—","Direction=H","UseDPDF=Y")</f>
        <v>#NAME?</v>
      </c>
      <c r="H54" t="e">
        <f ca="1">_xll.BDH($C$53,"RETURN_ON_CAP","FQ1 2014","FQ1 2014","Currency=INR","Period=FQ","BEST_FPERIOD_OVERRIDE=FQ","FILING_STATUS=OR","EQY_CONSOLIDATED=Y","FA_ADJUSTED=GAAP","Sort=A","Dates=H","DateFormat=P","Fill=—","Direction=H","UseDPDF=Y")</f>
        <v>#NAME?</v>
      </c>
      <c r="I54" t="e">
        <f ca="1">_xll.BDH($C$53,"RETURN_ON_INV_CAPITAL","FQ1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4" t="e">
        <f ca="1">_xll.BDH($C$53,"EBITDA_TO_REVENUE","FQ1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54" t="e">
        <f ca="1">_xll.BDH($C$53,"OPER_MARGIN","FQ1 2014","FQ1 2014","Currency=INR","Period=FQ","BEST_FPERIOD_OVERRIDE=FQ","FILING_STATUS=OR","EQY_CONSOLIDATED=Y","FA_ADJUSTED=GAAP","Sort=A","Dates=H","DateFormat=P","Fill=—","Direction=H","UseDPDF=Y")</f>
        <v>#NAME?</v>
      </c>
      <c r="L54" t="e">
        <f ca="1">_xll.BDH($C$53,"INCREMENTAL_OPERATING_MARGIN","FQ1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4" t="e">
        <f ca="1">_xll.BDH($C$53,"PRETAX_INC_TO_NET_SALES","FQ1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4" t="e">
        <f ca="1">_xll.BDH($C$53,"INC_BEF_XO_ITEMS_TO_NET_SALES","FQ1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4" t="e">
        <f ca="1">_xll.BDH($C$53,"PROF_MARGIN","FQ1 2014","FQ1 2014","Currency=INR","Period=FQ","BEST_FPERIOD_OVERRIDE=FQ","FILING_STATUS=OR","EQY_CONSOLIDATED=Y","FA_ADJUSTED=GAAP","Sort=A","Dates=H","DateFormat=P","Fill=—","Direction=H","UseDPDF=Y")</f>
        <v>#NAME?</v>
      </c>
      <c r="P54" t="e">
        <f ca="1">_xll.BDH($C$53,"NET_INCOME_TO_COMMON_MARGIN","FQ1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4" t="e">
        <f ca="1">_xll.BDH($C$53,"EFF_TAX_RATE","FQ1 2014","FQ1 2014","Currency=INR","Period=FQ","BEST_FPERIOD_OVERRIDE=FQ","FILING_STATUS=OR","EQY_CONSOLIDATED=Y","FA_ADJUSTED=GAAP","Sort=A","Dates=H","DateFormat=P","Fill=—","Direction=H","UseDPDF=Y")</f>
        <v>#NAME?</v>
      </c>
      <c r="R54" t="e">
        <f ca="1">_xll.BDH($C$53,"DVD_PAYOUT_RATIO","FQ1 2014","FQ1 2014","Currency=INR","Period=FQ","BEST_FPERIOD_OVERRIDE=FQ","FILING_STATUS=OR","EQY_CONSOLIDATED=Y","FA_ADJUSTED=GAAP","Sort=A","Dates=H","DateFormat=P","Fill=—","Direction=H","UseDPDF=Y")</f>
        <v>#NAME?</v>
      </c>
      <c r="S54" t="e">
        <f ca="1">_xll.BDH($C$53,"SUSTAIN_GROWTH_RT","FQ1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54" s="1" t="e">
        <f ca="1">_xll.BDH($C$53,"SALES_GROWTH","FQ1 2014","FQ1 2014","Currency=INR","Period=FQ","BEST_FPERIOD_OVERRIDE=FQ","FILING_STATUS=OR","EQY_CONSOLIDATED=Y","FA_ADJUSTED=GAAP","Sort=A","Dates=H","DateFormat=P","Fill=—","Direction=H","UseDPDF=Y")</f>
        <v>#NAME?</v>
      </c>
      <c r="U54" s="1" t="e">
        <f ca="1">_xll.BDH($C$53,"EBITDA_GROWTH","FQ1 2014","FQ1 2014","Currency=INR","Period=FQ","BEST_FPERIOD_OVERRIDE=FQ","FILING_STATUS=OR","EQY_CONSOLIDATED=Y","FA_ADJUSTED=GAAP","Sort=A","Dates=H","DateFormat=P","Fill=—","Direction=H","UseDPDF=Y")</f>
        <v>#NAME?</v>
      </c>
      <c r="V54" s="1" t="e">
        <f ca="1">_xll.BDH($C$53,"OPER_INC_GROWTH","FQ1 2014","FQ1 2014","Currency=INR","Period=FQ","BEST_FPERIOD_OVERRIDE=FQ","FILING_STATUS=OR","EQY_CONSOLIDATED=Y","FA_ADJUSTED=GAAP","Sort=A","Dates=H","DateFormat=P","Fill=—","Direction=H","UseDPDF=Y")</f>
        <v>#NAME?</v>
      </c>
      <c r="W54" s="1" t="e">
        <f ca="1">_xll.BDH($C$53,"EARN_FOR_COM_GROWTH","FQ1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4" s="1" t="e">
        <f ca="1">_xll.BDH($C$53,"DILUTED_EPS_AFT_XO_ITEMS_GROWTH","FQ1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4" s="1" t="e">
        <f ca="1">_xll.BDH($C$53,"DIVIDEND_PER_SHARE_1_YEAR_GROWTH","FQ1 2014","FQ1 2014","Currency=INR","Period=FQ","BEST_FPERIOD_OVERRIDE=FQ","FILING_STATUS=OR","EQY_CONSOLIDATED=Y","Sort=A","Dates=H","DateFormat=P","Fill=—","Direction=H","UseDPDF=Y")</f>
        <v>#NAME?</v>
      </c>
      <c r="Z54" s="1" t="e">
        <f ca="1">_xll.BDH($C$53,"ACCOUNTS_RECEIVABLE_GROWTH","FQ1 2014","FQ1 2014","Currency=INR","Period=FQ","BEST_FPERIOD_OVERRIDE=FQ","FILING_STATUS=OR","EQY_CONSOLIDATED=Y","Sort=A","Dates=H","DateFormat=P","Fill=—","Direction=H","UseDPDF=Y")</f>
        <v>#NAME?</v>
      </c>
      <c r="AA54" s="1" t="e">
        <f ca="1">_xll.BDH($C$53,"INVENTORY_GROWTH","FQ1 2014","FQ1 2014","Currency=INR","Period=FQ","BEST_FPERIOD_OVERRIDE=FQ","FILING_STATUS=OR","EQY_CONSOLIDATED=Y","Sort=A","Dates=H","DateFormat=P","Fill=—","Direction=H","UseDPDF=Y")</f>
        <v>#NAME?</v>
      </c>
      <c r="AB54" s="1" t="e">
        <f ca="1">_xll.BDH($C$53,"NET_FIXED_ASSETS_1_YEAR_GROWTH","FQ1 2014","FQ1 2014","Currency=INR","Period=FQ","BEST_FPERIOD_OVERRIDE=FQ","FILING_STATUS=OR","EQY_CONSOLIDATED=Y","Sort=A","Dates=H","DateFormat=P","Fill=—","Direction=H","UseDPDF=Y")</f>
        <v>#NAME?</v>
      </c>
      <c r="AC54" s="1" t="e">
        <f ca="1">_xll.BDH($C$53,"ASSET_GROWTH","FQ1 2014","FQ1 2014","Currency=INR","Period=FQ","BEST_FPERIOD_OVERRIDE=FQ","FILING_STATUS=OR","EQY_CONSOLIDATED=Y","Sort=A","Dates=H","DateFormat=P","Fill=—","Direction=H","UseDPDF=Y")</f>
        <v>#NAME?</v>
      </c>
      <c r="AD54" s="1" t="e">
        <f ca="1">_xll.BDH($C$53,"MODIFIED_WORK_CAP_GROWTH","FQ1 2014","FQ1 2014","Currency=INR","Period=FQ","BEST_FPERIOD_OVERRIDE=FQ","FILING_STATUS=OR","EQY_CONSOLIDATED=Y","Sort=A","Dates=H","DateFormat=P","Fill=—","Direction=H","UseDPDF=Y")</f>
        <v>#NAME?</v>
      </c>
      <c r="AE54" s="1" t="e">
        <f ca="1">_xll.BDH($C$53,"WORK_CAP_GROWTH","FQ1 2014","FQ1 2014","Currency=INR","Period=FQ","BEST_FPERIOD_OVERRIDE=FQ","FILING_STATUS=OR","EQY_CONSOLIDATED=Y","Sort=A","Dates=H","DateFormat=P","Fill=—","Direction=H","UseDPDF=Y")</f>
        <v>#NAME?</v>
      </c>
      <c r="AF54" s="1" t="e">
        <f ca="1">_xll.BDH($C$53,"ACCOUNTS_PAYABLE_GROWTH_1YR","FQ1 2014","FQ1 2014","Currency=INR","Period=FQ","BEST_FPERIOD_OVERRIDE=FQ","FILING_STATUS=OR","EQY_CONSOLIDATED=Y","Sort=A","Dates=H","DateFormat=P","Fill=—","Direction=H","UseDPDF=Y")</f>
        <v>#NAME?</v>
      </c>
      <c r="AG54" s="1" t="e">
        <f ca="1">_xll.BDH($C$53,"SHORT_TERM_DEBT_1_YEAR_GROWTH","FQ1 2014","FQ1 2014","Currency=INR","Period=FQ","BEST_FPERIOD_OVERRIDE=FQ","FILING_STATUS=OR","EQY_CONSOLIDATED=Y","Sort=A","Dates=H","DateFormat=P","Fill=—","Direction=H","UseDPDF=Y")</f>
        <v>#NAME?</v>
      </c>
      <c r="AH54" s="1" t="e">
        <f ca="1">_xll.BDH($C$53,"TOTAL_DEBT_1_YEAR_GROWTH","FQ1 2014","FQ1 2014","Currency=INR","Period=FQ","BEST_FPERIOD_OVERRIDE=FQ","FILING_STATUS=OR","EQY_CONSOLIDATED=Y","Sort=A","Dates=H","DateFormat=P","Fill=—","Direction=H","UseDPDF=Y")</f>
        <v>#NAME?</v>
      </c>
      <c r="AI54" s="1" t="e">
        <f ca="1">_xll.BDH($C$53,"TOTAL_EQUITY_1_YEAR_GROWTH","FQ1 2014","FQ1 2014","Currency=INR","Period=FQ","BEST_FPERIOD_OVERRIDE=FQ","FILING_STATUS=OR","EQY_CONSOLIDATED=Y","Sort=A","Dates=H","DateFormat=P","Fill=—","Direction=H","UseDPDF=Y")</f>
        <v>#NAME?</v>
      </c>
      <c r="AJ54" s="1" t="e">
        <f ca="1">_xll.BDH($C$53,"GROWTH_IN_CAP","FQ1 2014","FQ1 2014","Currency=INR","Period=FQ","BEST_FPERIOD_OVERRIDE=FQ","FILING_STATUS=OR","EQY_CONSOLIDATED=Y","Sort=A","Dates=H","DateFormat=P","Fill=—","Direction=H","UseDPDF=Y")</f>
        <v>#NAME?</v>
      </c>
      <c r="AK54" s="1" t="e">
        <f ca="1">_xll.BDH($C$53,"BVPS_GROWTH","FQ1 2014","FQ1 2014","Currency=INR","Period=FQ","BEST_FPERIOD_OVERRIDE=FQ","FILING_STATUS=OR","EQY_CONSOLIDATED=Y","Sort=A","Dates=H","DateFormat=P","Fill=—","Direction=H","UseDPDF=Y")</f>
        <v>#NAME?</v>
      </c>
      <c r="AL54" s="1" t="e">
        <f ca="1">_xll.BDH($C$53,"CASH_FLOW_GROWTH","FQ1 2014","FQ1 2014","Currency=INR","Period=FQ","BEST_FPERIOD_OVERRIDE=FQ","FILING_STATUS=OR","EQY_CONSOLIDATED=Y","Sort=A","Dates=H","DateFormat=P","Fill=—","Direction=H","UseDPDF=Y")</f>
        <v>#NAME?</v>
      </c>
      <c r="AM54" s="1" t="e">
        <f ca="1">_xll.BDH($C$53,"GEO_GROW_NET_SALES","FQ1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4" s="1" t="e">
        <f ca="1">_xll.BDH($C$53,"GEO_GROW_EBITDA","FQ1 2014","FQ1 2014","Currency=INR","Period=FQ","BEST_FPERIOD_OVERRIDE=FQ","FILING_STATUS=OR","EQY_CONSOLIDATED=Y","FA_ADJUSTED=GAAP","Sort=A","Dates=H","DateFormat=P","Fill=—","Direction=H","UseDPDF=Y")</f>
        <v>#NAME?</v>
      </c>
      <c r="AO54" s="1" t="e">
        <f ca="1">_xll.BDH($C$53,"GEO_GROW_OPER_INC","FQ1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4" s="1" t="e">
        <f ca="1">_xll.BDH($C$53,"NET_INCOME_TO_COMMON_5_YR_GROWTH","FQ1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4" s="1" t="e">
        <f ca="1">_xll.BDH($C$53,"5Y_GEO_GROWTH_DILUTED_EPS","FQ1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4" s="1" t="e">
        <f ca="1">_xll.BDH($C$53,"GEO_GROW_DVD_PER_SH","FQ1 2014","FQ1 2014","Currency=INR","Period=FQ","BEST_FPERIOD_OVERRIDE=FQ","FILING_STATUS=OR","EQY_CONSOLIDATED=Y","Sort=A","Dates=H","DateFormat=P","Fill=—","Direction=H","UseDPDF=Y")</f>
        <v>#NAME?</v>
      </c>
      <c r="AS54" s="1" t="e">
        <f ca="1">_xll.BDH($C$53,"ACCOUNTS_RECEIVABLE_5_YR_GROWTH","FQ1 2014","FQ1 2014","Currency=INR","Period=FQ","BEST_FPERIOD_OVERRIDE=FQ","FILING_STATUS=OR","EQY_CONSOLIDATED=Y","Sort=A","Dates=H","DateFormat=P","Fill=—","Direction=H","UseDPDF=Y")</f>
        <v>#NAME?</v>
      </c>
      <c r="AT54" s="1" t="e">
        <f ca="1">_xll.BDH($C$53,"INVENTORY_5_YEAR_GROWTH","FQ1 2014","FQ1 2014","Currency=INR","Period=FQ","BEST_FPERIOD_OVERRIDE=FQ","FILING_STATUS=OR","EQY_CONSOLIDATED=Y","Sort=A","Dates=H","DateFormat=P","Fill=—","Direction=H","UseDPDF=Y")</f>
        <v>#NAME?</v>
      </c>
      <c r="AU54" s="1" t="e">
        <f ca="1">_xll.BDH($C$53,"NET_FIXED_ASSETS_5_YEAR_GROWTH","FQ1 2014","FQ1 2014","Currency=INR","Period=FQ","BEST_FPERIOD_OVERRIDE=FQ","FILING_STATUS=OR","EQY_CONSOLIDATED=Y","Sort=A","Dates=H","DateFormat=P","Fill=—","Direction=H","UseDPDF=Y")</f>
        <v>#NAME?</v>
      </c>
      <c r="AV54" s="1" t="e">
        <f ca="1">_xll.BDH($C$53,"GEO_GROW_TOT_ASSET","FQ1 2014","FQ1 2014","Currency=INR","Period=FQ","BEST_FPERIOD_OVERRIDE=FQ","FILING_STATUS=OR","EQY_CONSOLIDATED=Y","Sort=A","Dates=H","DateFormat=P","Fill=—","Direction=H","UseDPDF=Y")</f>
        <v>#NAME?</v>
      </c>
      <c r="AW54" s="1" t="e">
        <f ca="1">_xll.BDH($C$53,"MODIFIED_WORKING_CPTL_5YR_GRWTH","FQ1 2014","FQ1 2014","Currency=INR","Period=FQ","BEST_FPERIOD_OVERRIDE=FQ","FILING_STATUS=OR","EQY_CONSOLIDATED=Y","Sort=A","Dates=H","DateFormat=P","Fill=—","Direction=H","UseDPDF=Y")</f>
        <v>#NAME?</v>
      </c>
      <c r="AX54" s="1" t="e">
        <f ca="1">_xll.BDH($C$53,"WORKING_CAPITAL_5_YEAR_GROWTH","FQ1 2014","FQ1 2014","Currency=INR","Period=FQ","BEST_FPERIOD_OVERRIDE=FQ","FILING_STATUS=OR","EQY_CONSOLIDATED=Y","Sort=A","Dates=H","DateFormat=P","Fill=—","Direction=H","UseDPDF=Y")</f>
        <v>#NAME?</v>
      </c>
      <c r="AY54" s="1" t="e">
        <f ca="1">_xll.BDH($C$53,"ACCOUNTS_PAYABLE_5_YEAR_GROWTH","FQ1 2014","FQ1 2014","Currency=INR","Period=FQ","BEST_FPERIOD_OVERRIDE=FQ","FILING_STATUS=OR","EQY_CONSOLIDATED=Y","Sort=A","Dates=H","DateFormat=P","Fill=—","Direction=H","UseDPDF=Y")</f>
        <v>#NAME?</v>
      </c>
      <c r="AZ54" s="1" t="e">
        <f ca="1">_xll.BDH($C$53,"SHORT_TERM_DEBT_5_YEAR_GROWTH","FQ1 2014","FQ1 2014","Currency=INR","Period=FQ","BEST_FPERIOD_OVERRIDE=FQ","FILING_STATUS=OR","EQY_CONSOLIDATED=Y","Sort=A","Dates=H","DateFormat=P","Fill=—","Direction=H","UseDPDF=Y")</f>
        <v>#NAME?</v>
      </c>
      <c r="BA54" s="1" t="e">
        <f ca="1">_xll.BDH($C$53,"TOTAL_DEBT_5_YEAR_GROWTH","FQ1 2014","FQ1 2014","Currency=INR","Period=FQ","BEST_FPERIOD_OVERRIDE=FQ","FILING_STATUS=OR","EQY_CONSOLIDATED=Y","Sort=A","Dates=H","DateFormat=P","Fill=—","Direction=H","UseDPDF=Y")</f>
        <v>#NAME?</v>
      </c>
      <c r="BB54" s="1" t="e">
        <f ca="1">_xll.BDH($C$53,"GEO_GROW_TOT_SHRHLDR_EQY","FQ1 2014","FQ1 2014","Currency=INR","Period=FQ","BEST_FPERIOD_OVERRIDE=FQ","FILING_STATUS=OR","EQY_CONSOLIDATED=Y","Sort=A","Dates=H","DateFormat=P","Fill=—","Direction=H","UseDPDF=Y")</f>
        <v>#NAME?</v>
      </c>
      <c r="BC54" s="1" t="e">
        <f ca="1">_xll.BDH($C$53,"TOTAL_CAPITAL_5_YEAR_GROWTH","FQ1 2014","FQ1 2014","Currency=INR","Period=FQ","BEST_FPERIOD_OVERRIDE=FQ","FILING_STATUS=OR","EQY_CONSOLIDATED=Y","Sort=A","Dates=H","DateFormat=P","Fill=—","Direction=H","UseDPDF=Y")</f>
        <v>#NAME?</v>
      </c>
      <c r="BD54" s="1" t="e">
        <f ca="1">_xll.BDH($C$53,"GEO_GROW_BOOK_VAL","FQ1 2014","FQ1 2014","Currency=INR","Period=FQ","BEST_FPERIOD_OVERRIDE=FQ","FILING_STATUS=OR","EQY_CONSOLIDATED=Y","Sort=A","Dates=H","DateFormat=P","Fill=—","Direction=H","UseDPDF=Y")</f>
        <v>#NAME?</v>
      </c>
      <c r="BE54" s="1" t="e">
        <f ca="1">_xll.BDH($C$53,"GEO_GROW_CASH_OPER_ACT","FQ1 2014","FQ1 2014","Currency=INR","Period=FQ","BEST_FPERIOD_OVERRIDE=FQ","FILING_STATUS=OR","EQY_CONSOLIDATED=Y","Sort=A","Dates=H","DateFormat=P","Fill=—","Direction=H","UseDPDF=Y")</f>
        <v>#NAME?</v>
      </c>
      <c r="BF54" s="1" t="e">
        <f ca="1">_xll.BDH($C$53,"REVENUE_SEQUENTIAL_GROWTH","FQ1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4" s="1" t="e">
        <f ca="1">_xll.BDH($C$53,"EBITDA_SEQUENTIAL_GROWTH","FQ1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4" s="1" t="e">
        <f ca="1">_xll.BDH($C$53,"OPERATING_INCOME_SEQ_GROWTH","FQ1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4" s="1" t="e">
        <f ca="1">_xll.BDH($C$53,"NET_INCOME_TO_COMMON_SEQ_GROWTH","FQ1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4" s="1" t="e">
        <f ca="1">_xll.BDH($C$53,"EPS_DILUTED_SEQUENTIAL_GROWTH","FQ1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4" s="1" t="e">
        <f ca="1">_xll.BDH($C$53,"DPS_SEQUENTIAL_GROWTH","FQ1 2014","FQ1 2014","Currency=INR","Period=FQ","BEST_FPERIOD_OVERRIDE=FQ","FILING_STATUS=OR","EQY_CONSOLIDATED=Y","Sort=A","Dates=H","DateFormat=P","Fill=—","Direction=H","UseDPDF=Y")</f>
        <v>#NAME?</v>
      </c>
      <c r="BL54" s="1" t="e">
        <f ca="1">_xll.BDH($C$53,"ACCOUNTS_RECEIVABLE_SEQ_GROWTH","FQ1 2014","FQ1 2014","Currency=INR","Period=FQ","BEST_FPERIOD_OVERRIDE=FQ","FILING_STATUS=OR","EQY_CONSOLIDATED=Y","Sort=A","Dates=H","DateFormat=P","Fill=—","Direction=H","UseDPDF=Y")</f>
        <v>#NAME?</v>
      </c>
      <c r="BM54" s="1" t="e">
        <f ca="1">_xll.BDH($C$53,"INVENTORY_SEQUENTIAL_GROWTH","FQ1 2014","FQ1 2014","Currency=INR","Period=FQ","BEST_FPERIOD_OVERRIDE=FQ","FILING_STATUS=OR","EQY_CONSOLIDATED=Y","Sort=A","Dates=H","DateFormat=P","Fill=—","Direction=H","UseDPDF=Y")</f>
        <v>#NAME?</v>
      </c>
      <c r="BN54" s="1" t="e">
        <f ca="1">_xll.BDH($C$53,"FIXED_ASSETS_SEQUENTIAL_GROWTH","FQ1 2014","FQ1 2014","Currency=INR","Period=FQ","BEST_FPERIOD_OVERRIDE=FQ","FILING_STATUS=OR","EQY_CONSOLIDATED=Y","Sort=A","Dates=H","DateFormat=P","Fill=—","Direction=H","UseDPDF=Y")</f>
        <v>#NAME?</v>
      </c>
      <c r="BO54" s="1" t="e">
        <f ca="1">_xll.BDH($C$53,"TOTAL_ASSETS_SEQUENTIAL_GROWTH","FQ1 2014","FQ1 2014","Currency=INR","Period=FQ","BEST_FPERIOD_OVERRIDE=FQ","FILING_STATUS=OR","EQY_CONSOLIDATED=Y","Sort=A","Dates=H","DateFormat=P","Fill=—","Direction=H","UseDPDF=Y")</f>
        <v>#NAME?</v>
      </c>
      <c r="BP54" s="1" t="e">
        <f ca="1">_xll.BDH($C$53,"MODIFIED_WORKING_CPTL_SEQ_GRWTH","FQ1 2014","FQ1 2014","Currency=INR","Period=FQ","BEST_FPERIOD_OVERRIDE=FQ","FILING_STATUS=OR","EQY_CONSOLIDATED=Y","Sort=A","Dates=H","DateFormat=P","Fill=—","Direction=H","UseDPDF=Y")</f>
        <v>#NAME?</v>
      </c>
      <c r="BQ54" s="1" t="e">
        <f ca="1">_xll.BDH($C$53,"WORKING_CAPITAL_SEQ_GROWTH","FQ1 2014","FQ1 2014","Currency=INR","Period=FQ","BEST_FPERIOD_OVERRIDE=FQ","FILING_STATUS=OR","EQY_CONSOLIDATED=Y","Sort=A","Dates=H","DateFormat=P","Fill=—","Direction=H","UseDPDF=Y")</f>
        <v>#NAME?</v>
      </c>
      <c r="BR54" s="1" t="e">
        <f ca="1">_xll.BDH($C$53,"ACCOUNTS_PAYABLE_SEQ_GROWTH","FQ1 2014","FQ1 2014","Currency=INR","Period=FQ","BEST_FPERIOD_OVERRIDE=FQ","FILING_STATUS=OR","EQY_CONSOLIDATED=Y","Sort=A","Dates=H","DateFormat=P","Fill=—","Direction=H","UseDPDF=Y")</f>
        <v>#NAME?</v>
      </c>
      <c r="BS54" s="1" t="e">
        <f ca="1">_xll.BDH($C$53,"ST_DEBT_SEQUENTIAL_GROWTH","FQ1 2014","FQ1 2014","Currency=INR","Period=FQ","BEST_FPERIOD_OVERRIDE=FQ","FILING_STATUS=OR","EQY_CONSOLIDATED=Y","Sort=A","Dates=H","DateFormat=P","Fill=—","Direction=H","UseDPDF=Y")</f>
        <v>#NAME?</v>
      </c>
      <c r="BT54" s="1" t="e">
        <f ca="1">_xll.BDH($C$53,"TOTAL_DEBT_SEQUENTIAL_GROWTH","FQ1 2014","FQ1 2014","Currency=INR","Period=FQ","BEST_FPERIOD_OVERRIDE=FQ","FILING_STATUS=OR","EQY_CONSOLIDATED=Y","Sort=A","Dates=H","DateFormat=P","Fill=—","Direction=H","UseDPDF=Y")</f>
        <v>#NAME?</v>
      </c>
      <c r="BU54" s="1" t="e">
        <f ca="1">_xll.BDH($C$53,"TOTAL_EQUITY_SEQUENTIAL_GROWTH","FQ1 2014","FQ1 2014","Currency=INR","Period=FQ","BEST_FPERIOD_OVERRIDE=FQ","FILING_STATUS=OR","EQY_CONSOLIDATED=Y","Sort=A","Dates=H","DateFormat=P","Fill=—","Direction=H","UseDPDF=Y")</f>
        <v>#NAME?</v>
      </c>
      <c r="BV54" s="1" t="e">
        <f ca="1">_xll.BDH($C$53,"TOTAL_CAPITAL_SEQUENTIAL_GROWTH","FQ1 2014","FQ1 2014","Currency=INR","Period=FQ","BEST_FPERIOD_OVERRIDE=FQ","FILING_STATUS=OR","EQY_CONSOLIDATED=Y","Sort=A","Dates=H","DateFormat=P","Fill=—","Direction=H","UseDPDF=Y")</f>
        <v>#NAME?</v>
      </c>
      <c r="BW54" s="1" t="e">
        <f ca="1">_xll.BDH($C$53,"BPS_SEQUENTIAL_GROWTH","FQ1 2014","FQ1 2014","Currency=INR","Period=FQ","BEST_FPERIOD_OVERRIDE=FQ","FILING_STATUS=OR","EQY_CONSOLIDATED=Y","Sort=A","Dates=H","DateFormat=P","Fill=—","Direction=H","UseDPDF=Y")</f>
        <v>#NAME?</v>
      </c>
      <c r="BX54" s="1" t="e">
        <f ca="1">_xll.BDH($C$53,"CFO_SEQUENTIAL_GROWTH","FQ1 2014","FQ1 2014","Currency=INR","Period=FQ","BEST_FPERIOD_OVERRIDE=FQ","FILING_STATUS=OR","EQY_CONSOLIDATED=Y","Sort=A","Dates=H","DateFormat=P","Fill=—","Direction=H","UseDPDF=Y")</f>
        <v>#NAME?</v>
      </c>
      <c r="BY54" s="2" t="e">
        <f ca="1">_xll.BDH($C$53,"SHORT_AND_LONG_TERM_DEBT","FQ1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4" s="2" t="e">
        <f ca="1">_xll.BDH($C$53,"BS_ST_BORROW","FQ1 2014","FQ1 2014","Currency=INR","Period=FQ","BEST_FPERIOD_OVERRIDE=FQ","FILING_STATUS=OR","EQY_CONSOLIDATED=Y","SCALING_FORMAT=MLN","Sort=A","Dates=H","DateFormat=P","Fill=—","Direction=H","UseDPDF=Y")</f>
        <v>#NAME?</v>
      </c>
      <c r="CA54" s="2" t="e">
        <f ca="1">_xll.BDH($C$53,"BS_LT_BORROW","FQ1 2014","FQ1 2014","Currency=INR","Period=FQ","BEST_FPERIOD_OVERRIDE=FQ","FILING_STATUS=OR","EQY_CONSOLIDATED=Y","SCALING_FORMAT=MLN","Sort=A","Dates=H","DateFormat=P","Fill=—","Direction=H","UseDPDF=Y")</f>
        <v>#NAME?</v>
      </c>
      <c r="CB54" s="1" t="e">
        <f ca="1">_xll.BDH($C$53,"TOT_DEBT_TO_EBITDA","FQ1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4" s="1" t="e">
        <f ca="1">_xll.BDH($C$53,"NET_DEBT_TO_EBITDA","FQ1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4" s="1" t="e">
        <f ca="1">_xll.BDH($C$53,"TOTAL_DEBT_TO_EBIT","FQ1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4" s="1" t="e">
        <f ca="1">_xll.BDH($C$53,"NET_DEBT_TO_EBIT","FQ1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54" s="1" t="e">
        <f ca="1">_xll.BDH($C$53,"EBITDA_TO_INTEREST_EXPN","FQ1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4" s="1" t="e">
        <f ca="1">_xll.BDH($C$53,"COM_EQY_TO_TOT_ASSET","FQ1 2014","FQ1 2014","Currency=INR","Period=FQ","BEST_FPERIOD_OVERRIDE=FQ","FILING_STATUS=OR","EQY_CONSOLIDATED=Y","Sort=A","Dates=H","DateFormat=P","Fill=—","Direction=H","UseDPDF=Y")</f>
        <v>#NAME?</v>
      </c>
      <c r="CH54" s="1" t="e">
        <f ca="1">_xll.BDH($C$53,"LT_DEBT_TO_TOT_EQY","FQ1 2014","FQ1 2014","Currency=INR","Period=FQ","BEST_FPERIOD_OVERRIDE=FQ","FILING_STATUS=OR","EQY_CONSOLIDATED=Y","Sort=A","Dates=H","DateFormat=P","Fill=—","Direction=H","UseDPDF=Y")</f>
        <v>#NAME?</v>
      </c>
      <c r="CI54" s="1" t="e">
        <f ca="1">_xll.BDH($C$53,"LT_DEBT_TO_TOT_CAP","FQ1 2014","FQ1 2014","Currency=INR","Period=FQ","BEST_FPERIOD_OVERRIDE=FQ","FILING_STATUS=OR","EQY_CONSOLIDATED=Y","Sort=A","Dates=H","DateFormat=P","Fill=—","Direction=H","UseDPDF=Y")</f>
        <v>#NAME?</v>
      </c>
      <c r="CJ54" s="1" t="e">
        <f ca="1">_xll.BDH($C$53,"LT_DEBT_TO_TOT_ASSET","FQ1 2014","FQ1 2014","Currency=INR","Period=FQ","BEST_FPERIOD_OVERRIDE=FQ","FILING_STATUS=OR","EQY_CONSOLIDATED=Y","Sort=A","Dates=H","DateFormat=P","Fill=—","Direction=H","UseDPDF=Y")</f>
        <v>#NAME?</v>
      </c>
      <c r="CK54" s="1" t="e">
        <f ca="1">_xll.BDH($C$53,"TOT_DEBT_TO_TOT_EQY","FQ1 2014","FQ1 2014","Currency=INR","Period=FQ","BEST_FPERIOD_OVERRIDE=FQ","FILING_STATUS=OR","EQY_CONSOLIDATED=Y","Sort=A","Dates=H","DateFormat=P","Fill=—","Direction=H","UseDPDF=Y")</f>
        <v>#NAME?</v>
      </c>
      <c r="CL54" s="1" t="e">
        <f ca="1">_xll.BDH($C$53,"TOT_DEBT_TO_TOT_CAP","FQ1 2014","FQ1 2014","Currency=INR","Period=FQ","BEST_FPERIOD_OVERRIDE=FQ","FILING_STATUS=OR","EQY_CONSOLIDATED=Y","Sort=A","Dates=H","DateFormat=P","Fill=—","Direction=H","UseDPDF=Y")</f>
        <v>#NAME?</v>
      </c>
      <c r="CM54" s="1" t="e">
        <f ca="1">_xll.BDH($C$53,"TOT_DEBT_TO_TOT_ASSET","FQ1 2014","FQ1 2014","Currency=INR","Period=FQ","BEST_FPERIOD_OVERRIDE=FQ","FILING_STATUS=OR","EQY_CONSOLIDATED=Y","Sort=A","Dates=H","DateFormat=P","Fill=—","Direction=H","UseDPDF=Y")</f>
        <v>#NAME?</v>
      </c>
      <c r="CN54" s="1" t="e">
        <f ca="1">_xll.BDH($C$53,"NET_DEBT_TO_SHRHLDR_EQTY","FQ1 2014","FQ1 2014","Currency=INR","Period=FQ","BEST_FPERIOD_OVERRIDE=FQ","FILING_STATUS=OR","EQY_CONSOLIDATED=Y","Sort=A","Dates=H","DateFormat=P","Fill=—","Direction=H","UseDPDF=Y")</f>
        <v>#NAME?</v>
      </c>
      <c r="CO54" s="1" t="e">
        <f ca="1">_xll.BDH($C$53,"NET_DEBT_%_CAPITAL","FQ1 2014","FQ1 2014","Currency=INR","Period=FQ","BEST_FPERIOD_OVERRIDE=FQ","FILING_STATUS=OR","EQY_CONSOLIDATED=Y","Sort=A","Dates=H","DateFormat=P","Fill=—","Direction=H","UseDPDF=Y")</f>
        <v>#NAME?</v>
      </c>
      <c r="CP54" s="2" t="e">
        <f ca="1">_xll.BDH($C$53,"EBITDA","FQ1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4" s="2" t="e">
        <f ca="1">_xll.BDH($C$53,"EBITDA_AFTER_CAPEX","FQ1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4" s="2" t="e">
        <f ca="1">_xll.BDH($C$53,"IS_OPER_INC","FQ1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4" s="1" t="e">
        <f ca="1">_xll.BDH($C$53,"CASH_RATIO","FQ1 2014","FQ1 2014","Currency=INR","Period=FQ","BEST_FPERIOD_OVERRIDE=FQ","FILING_STATUS=OR","EQY_CONSOLIDATED=Y","Sort=A","Dates=H","DateFormat=P","Fill=—","Direction=H","UseDPDF=Y")</f>
        <v>#NAME?</v>
      </c>
      <c r="CT54" s="1" t="e">
        <f ca="1">_xll.BDH($C$53,"CUR_RATIO","FQ1 2014","FQ1 2014","Currency=INR","Period=FQ","BEST_FPERIOD_OVERRIDE=FQ","FILING_STATUS=OR","EQY_CONSOLIDATED=Y","Sort=A","Dates=H","DateFormat=P","Fill=—","Direction=H","UseDPDF=Y")</f>
        <v>#NAME?</v>
      </c>
      <c r="CU54" s="1" t="e">
        <f ca="1">_xll.BDH($C$53,"QUICK_RATIO","FQ1 2014","FQ1 2014","Currency=INR","Period=FQ","BEST_FPERIOD_OVERRIDE=FQ","FILING_STATUS=OR","EQY_CONSOLIDATED=Y","Sort=A","Dates=H","DateFormat=P","Fill=—","Direction=H","UseDPDF=Y")</f>
        <v>#NAME?</v>
      </c>
      <c r="CV54" s="1" t="e">
        <f ca="1">_xll.BDH($C$53,"ALTMAN_Z_SCORE","FQ1 2014","FQ1 2014","Currency=INR","Period=FQ","BEST_FPERIOD_OVERRIDE=FQ","FILING_STATUS=OR","EQY_CONSOLIDATED=Y","Sort=A","Dates=H","DateFormat=P","Fill=—","Direction=H","UseDPDF=Y")</f>
        <v>#NAME?</v>
      </c>
      <c r="CW54" s="3" t="e">
        <f ca="1">_xll.BDH($C$53,"ACCT_RCV_TURN","FQ1 2014","FQ1 2014","Currency=INR","Period=FQ","BEST_FPERIOD_OVERRIDE=FQ","FILING_STATUS=OR","EQY_CONSOLIDATED=Y","FA_ADJUSTED=GAAP","Sort=A","Dates=H","DateFormat=P","Fill=—","Direction=H","UseDPDF=Y")</f>
        <v>#NAME?</v>
      </c>
      <c r="CX54" s="1" t="e">
        <f ca="1">_xll.BDH($C$53,"ACCT_RCV_DAYS","FQ1 2014","FQ1 2014","Currency=INR","Period=FQ","BEST_FPERIOD_OVERRIDE=FQ","FILING_STATUS=OR","EQY_CONSOLIDATED=Y","FA_ADJUSTED=GAAP","Sort=A","Dates=H","DateFormat=P","Fill=—","Direction=H","UseDPDF=Y")</f>
        <v>#NAME?</v>
      </c>
      <c r="CY54" s="3" t="e">
        <f ca="1">_xll.BDH($C$53,"INVENT_TURN","FQ1 2014","FQ1 2014","Currency=INR","Period=FQ","BEST_FPERIOD_OVERRIDE=FQ","FILING_STATUS=OR","EQY_CONSOLIDATED=Y","FA_ADJUSTED=GAAP","Sort=A","Dates=H","DateFormat=P","Fill=—","Direction=H","UseDPDF=Y")</f>
        <v>#NAME?</v>
      </c>
      <c r="CZ54" s="1" t="e">
        <f ca="1">_xll.BDH($C$53,"INVENT_DAYS","FQ1 2014","FQ1 2014","Currency=INR","Period=FQ","BEST_FPERIOD_OVERRIDE=FQ","FILING_STATUS=OR","EQY_CONSOLIDATED=Y","FA_ADJUSTED=GAAP","Sort=A","Dates=H","DateFormat=P","Fill=—","Direction=H","UseDPDF=Y")</f>
        <v>#NAME?</v>
      </c>
      <c r="DA54" s="3" t="e">
        <f ca="1">_xll.BDH($C$53,"ACCOUNTS_PAYABLE_TURNOVER","FQ1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4" s="1" t="e">
        <f ca="1">_xll.BDH($C$53,"ACCOUNTS_PAYABLE_TURNOVER_DAYS","FQ1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4" s="3" t="e">
        <f ca="1">_xll.BDH($C$53,"CASH_CONVERSION_CYCLE","FQ1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4" s="3" t="e">
        <f ca="1">_xll.BDH($C$53,"INV_TO_CASH_DAYS","FQ1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54" s="4" t="e">
        <f ca="1">_xll.BDH($C$53,"BS_INVENTORIES","FQ1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54" s="2" t="e">
        <f ca="1">_xll.BDH($C$53,"INVTRY_RAW_MATERIALS","FQ1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4" s="2" t="e">
        <f ca="1">_xll.BDH($C$53,"INVTRY_IN_PROGRESS","FQ1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4" s="2" t="e">
        <f ca="1">_xll.BDH($C$53,"INVTRY_FINISHED_GOODS","FQ1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4" s="2" t="e">
        <f ca="1">_xll.BDH($C$53,"BS_OTHER_INV","FQ1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5" spans="1:113" x14ac:dyDescent="0.3">
      <c r="A55" s="6"/>
      <c r="B55" s="6"/>
      <c r="C55" s="6"/>
      <c r="D55" s="6"/>
      <c r="E55" t="s">
        <v>5</v>
      </c>
      <c r="F55" t="e">
        <f ca="1">_xll.BDH($C$53,"RETURN_COM_EQY","FQ2 2014","FQ2 2014","Currency=INR","Period=FQ","BEST_FPERIOD_OVERRIDE=FQ","FILING_STATUS=OR","EQY_CONSOLIDATED=Y","FA_ADJUSTED=GAAP","Sort=A","Dates=H","DateFormat=P","Fill=—","Direction=H","UseDPDF=Y")</f>
        <v>#NAME?</v>
      </c>
      <c r="G55" t="e">
        <f ca="1">_xll.BDH($C$53,"RETURN_ON_ASSET","FQ2 2014","FQ2 2014","Currency=INR","Period=FQ","BEST_FPERIOD_OVERRIDE=FQ","FILING_STATUS=OR","EQY_CONSOLIDATED=Y","FA_ADJUSTED=GAAP","Sort=A","Dates=H","DateFormat=P","Fill=—","Direction=H","UseDPDF=Y")</f>
        <v>#NAME?</v>
      </c>
      <c r="H55" t="e">
        <f ca="1">_xll.BDH($C$53,"RETURN_ON_CAP","FQ2 2014","FQ2 2014","Currency=INR","Period=FQ","BEST_FPERIOD_OVERRIDE=FQ","FILING_STATUS=OR","EQY_CONSOLIDATED=Y","FA_ADJUSTED=GAAP","Sort=A","Dates=H","DateFormat=P","Fill=—","Direction=H","UseDPDF=Y")</f>
        <v>#NAME?</v>
      </c>
      <c r="I55" t="e">
        <f ca="1">_xll.BDH($C$53,"RETURN_ON_INV_CAPITAL","FQ2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5" t="e">
        <f ca="1">_xll.BDH($C$53,"EBITDA_TO_REVENUE","FQ2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5" t="e">
        <f ca="1">_xll.BDH($C$53,"OPER_MARGIN","FQ2 2014","FQ2 2014","Currency=INR","Period=FQ","BEST_FPERIOD_OVERRIDE=FQ","FILING_STATUS=OR","EQY_CONSOLIDATED=Y","FA_ADJUSTED=GAAP","Sort=A","Dates=H","DateFormat=P","Fill=—","Direction=H","UseDPDF=Y")</f>
        <v>#NAME?</v>
      </c>
      <c r="L55" t="e">
        <f ca="1">_xll.BDH($C$53,"INCREMENTAL_OPERATING_MARGIN","FQ2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5" t="e">
        <f ca="1">_xll.BDH($C$53,"PRETAX_INC_TO_NET_SALES","FQ2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5" t="e">
        <f ca="1">_xll.BDH($C$53,"INC_BEF_XO_ITEMS_TO_NET_SALES","FQ2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5" t="e">
        <f ca="1">_xll.BDH($C$53,"PROF_MARGIN","FQ2 2014","FQ2 2014","Currency=INR","Period=FQ","BEST_FPERIOD_OVERRIDE=FQ","FILING_STATUS=OR","EQY_CONSOLIDATED=Y","FA_ADJUSTED=GAAP","Sort=A","Dates=H","DateFormat=P","Fill=—","Direction=H","UseDPDF=Y")</f>
        <v>#NAME?</v>
      </c>
      <c r="P55" t="e">
        <f ca="1">_xll.BDH($C$53,"NET_INCOME_TO_COMMON_MARGIN","FQ2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5" t="e">
        <f ca="1">_xll.BDH($C$53,"EFF_TAX_RATE","FQ2 2014","FQ2 2014","Currency=INR","Period=FQ","BEST_FPERIOD_OVERRIDE=FQ","FILING_STATUS=OR","EQY_CONSOLIDATED=Y","FA_ADJUSTED=GAAP","Sort=A","Dates=H","DateFormat=P","Fill=—","Direction=H","UseDPDF=Y")</f>
        <v>#NAME?</v>
      </c>
      <c r="R55" t="e">
        <f ca="1">_xll.BDH($C$53,"DVD_PAYOUT_RATIO","FQ2 2014","FQ2 2014","Currency=INR","Period=FQ","BEST_FPERIOD_OVERRIDE=FQ","FILING_STATUS=OR","EQY_CONSOLIDATED=Y","FA_ADJUSTED=GAAP","Sort=A","Dates=H","DateFormat=P","Fill=—","Direction=H","UseDPDF=Y")</f>
        <v>#NAME?</v>
      </c>
      <c r="S55" t="e">
        <f ca="1">_xll.BDH($C$53,"SUSTAIN_GROWTH_RT","FQ2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5" s="1" t="e">
        <f ca="1">_xll.BDH($C$53,"SALES_GROWTH","FQ2 2014","FQ2 2014","Currency=INR","Period=FQ","BEST_FPERIOD_OVERRIDE=FQ","FILING_STATUS=OR","EQY_CONSOLIDATED=Y","FA_ADJUSTED=GAAP","Sort=A","Dates=H","DateFormat=P","Fill=—","Direction=H","UseDPDF=Y")</f>
        <v>#NAME?</v>
      </c>
      <c r="U55" s="1" t="e">
        <f ca="1">_xll.BDH($C$53,"EBITDA_GROWTH","FQ2 2014","FQ2 2014","Currency=INR","Period=FQ","BEST_FPERIOD_OVERRIDE=FQ","FILING_STATUS=OR","EQY_CONSOLIDATED=Y","FA_ADJUSTED=GAAP","Sort=A","Dates=H","DateFormat=P","Fill=—","Direction=H","UseDPDF=Y")</f>
        <v>#NAME?</v>
      </c>
      <c r="V55" s="1" t="e">
        <f ca="1">_xll.BDH($C$53,"OPER_INC_GROWTH","FQ2 2014","FQ2 2014","Currency=INR","Period=FQ","BEST_FPERIOD_OVERRIDE=FQ","FILING_STATUS=OR","EQY_CONSOLIDATED=Y","FA_ADJUSTED=GAAP","Sort=A","Dates=H","DateFormat=P","Fill=—","Direction=H","UseDPDF=Y")</f>
        <v>#NAME?</v>
      </c>
      <c r="W55" s="1" t="e">
        <f ca="1">_xll.BDH($C$53,"EARN_FOR_COM_GROWTH","FQ2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5" s="1" t="e">
        <f ca="1">_xll.BDH($C$53,"DILUTED_EPS_AFT_XO_ITEMS_GROWTH","FQ2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5" s="1" t="e">
        <f ca="1">_xll.BDH($C$53,"DIVIDEND_PER_SHARE_1_YEAR_GROWTH","FQ2 2014","FQ2 2014","Currency=INR","Period=FQ","BEST_FPERIOD_OVERRIDE=FQ","FILING_STATUS=OR","EQY_CONSOLIDATED=Y","Sort=A","Dates=H","DateFormat=P","Fill=—","Direction=H","UseDPDF=Y")</f>
        <v>#NAME?</v>
      </c>
      <c r="Z55" s="1" t="e">
        <f ca="1">_xll.BDH($C$53,"ACCOUNTS_RECEIVABLE_GROWTH","FQ2 2014","FQ2 2014","Currency=INR","Period=FQ","BEST_FPERIOD_OVERRIDE=FQ","FILING_STATUS=OR","EQY_CONSOLIDATED=Y","Sort=A","Dates=H","DateFormat=P","Fill=—","Direction=H","UseDPDF=Y")</f>
        <v>#NAME?</v>
      </c>
      <c r="AA55" s="1" t="e">
        <f ca="1">_xll.BDH($C$53,"INVENTORY_GROWTH","FQ2 2014","FQ2 2014","Currency=INR","Period=FQ","BEST_FPERIOD_OVERRIDE=FQ","FILING_STATUS=OR","EQY_CONSOLIDATED=Y","Sort=A","Dates=H","DateFormat=P","Fill=—","Direction=H","UseDPDF=Y")</f>
        <v>#NAME?</v>
      </c>
      <c r="AB55" s="1" t="e">
        <f ca="1">_xll.BDH($C$53,"NET_FIXED_ASSETS_1_YEAR_GROWTH","FQ2 2014","FQ2 2014","Currency=INR","Period=FQ","BEST_FPERIOD_OVERRIDE=FQ","FILING_STATUS=OR","EQY_CONSOLIDATED=Y","Sort=A","Dates=H","DateFormat=P","Fill=—","Direction=H","UseDPDF=Y")</f>
        <v>#NAME?</v>
      </c>
      <c r="AC55" s="1" t="e">
        <f ca="1">_xll.BDH($C$53,"ASSET_GROWTH","FQ2 2014","FQ2 2014","Currency=INR","Period=FQ","BEST_FPERIOD_OVERRIDE=FQ","FILING_STATUS=OR","EQY_CONSOLIDATED=Y","Sort=A","Dates=H","DateFormat=P","Fill=—","Direction=H","UseDPDF=Y")</f>
        <v>#NAME?</v>
      </c>
      <c r="AD55" s="1" t="e">
        <f ca="1">_xll.BDH($C$53,"MODIFIED_WORK_CAP_GROWTH","FQ2 2014","FQ2 2014","Currency=INR","Period=FQ","BEST_FPERIOD_OVERRIDE=FQ","FILING_STATUS=OR","EQY_CONSOLIDATED=Y","Sort=A","Dates=H","DateFormat=P","Fill=—","Direction=H","UseDPDF=Y")</f>
        <v>#NAME?</v>
      </c>
      <c r="AE55" s="1" t="e">
        <f ca="1">_xll.BDH($C$53,"WORK_CAP_GROWTH","FQ2 2014","FQ2 2014","Currency=INR","Period=FQ","BEST_FPERIOD_OVERRIDE=FQ","FILING_STATUS=OR","EQY_CONSOLIDATED=Y","Sort=A","Dates=H","DateFormat=P","Fill=—","Direction=H","UseDPDF=Y")</f>
        <v>#NAME?</v>
      </c>
      <c r="AF55" s="1" t="e">
        <f ca="1">_xll.BDH($C$53,"ACCOUNTS_PAYABLE_GROWTH_1YR","FQ2 2014","FQ2 2014","Currency=INR","Period=FQ","BEST_FPERIOD_OVERRIDE=FQ","FILING_STATUS=OR","EQY_CONSOLIDATED=Y","Sort=A","Dates=H","DateFormat=P","Fill=—","Direction=H","UseDPDF=Y")</f>
        <v>#NAME?</v>
      </c>
      <c r="AG55" s="1" t="e">
        <f ca="1">_xll.BDH($C$53,"SHORT_TERM_DEBT_1_YEAR_GROWTH","FQ2 2014","FQ2 2014","Currency=INR","Period=FQ","BEST_FPERIOD_OVERRIDE=FQ","FILING_STATUS=OR","EQY_CONSOLIDATED=Y","Sort=A","Dates=H","DateFormat=P","Fill=—","Direction=H","UseDPDF=Y")</f>
        <v>#NAME?</v>
      </c>
      <c r="AH55" s="1" t="e">
        <f ca="1">_xll.BDH($C$53,"TOTAL_DEBT_1_YEAR_GROWTH","FQ2 2014","FQ2 2014","Currency=INR","Period=FQ","BEST_FPERIOD_OVERRIDE=FQ","FILING_STATUS=OR","EQY_CONSOLIDATED=Y","Sort=A","Dates=H","DateFormat=P","Fill=—","Direction=H","UseDPDF=Y")</f>
        <v>#NAME?</v>
      </c>
      <c r="AI55" s="1" t="e">
        <f ca="1">_xll.BDH($C$53,"TOTAL_EQUITY_1_YEAR_GROWTH","FQ2 2014","FQ2 2014","Currency=INR","Period=FQ","BEST_FPERIOD_OVERRIDE=FQ","FILING_STATUS=OR","EQY_CONSOLIDATED=Y","Sort=A","Dates=H","DateFormat=P","Fill=—","Direction=H","UseDPDF=Y")</f>
        <v>#NAME?</v>
      </c>
      <c r="AJ55" s="1" t="e">
        <f ca="1">_xll.BDH($C$53,"GROWTH_IN_CAP","FQ2 2014","FQ2 2014","Currency=INR","Period=FQ","BEST_FPERIOD_OVERRIDE=FQ","FILING_STATUS=OR","EQY_CONSOLIDATED=Y","Sort=A","Dates=H","DateFormat=P","Fill=—","Direction=H","UseDPDF=Y")</f>
        <v>#NAME?</v>
      </c>
      <c r="AK55" s="1" t="e">
        <f ca="1">_xll.BDH($C$53,"BVPS_GROWTH","FQ2 2014","FQ2 2014","Currency=INR","Period=FQ","BEST_FPERIOD_OVERRIDE=FQ","FILING_STATUS=OR","EQY_CONSOLIDATED=Y","Sort=A","Dates=H","DateFormat=P","Fill=—","Direction=H","UseDPDF=Y")</f>
        <v>#NAME?</v>
      </c>
      <c r="AL55" s="1" t="e">
        <f ca="1">_xll.BDH($C$53,"CASH_FLOW_GROWTH","FQ2 2014","FQ2 2014","Currency=INR","Period=FQ","BEST_FPERIOD_OVERRIDE=FQ","FILING_STATUS=OR","EQY_CONSOLIDATED=Y","Sort=A","Dates=H","DateFormat=P","Fill=—","Direction=H","UseDPDF=Y")</f>
        <v>#NAME?</v>
      </c>
      <c r="AM55" s="1" t="e">
        <f ca="1">_xll.BDH($C$53,"GEO_GROW_NET_SALES","FQ2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5" s="1" t="e">
        <f ca="1">_xll.BDH($C$53,"GEO_GROW_EBITDA","FQ2 2014","FQ2 2014","Currency=INR","Period=FQ","BEST_FPERIOD_OVERRIDE=FQ","FILING_STATUS=OR","EQY_CONSOLIDATED=Y","FA_ADJUSTED=GAAP","Sort=A","Dates=H","DateFormat=P","Fill=—","Direction=H","UseDPDF=Y")</f>
        <v>#NAME?</v>
      </c>
      <c r="AO55" s="1" t="e">
        <f ca="1">_xll.BDH($C$53,"GEO_GROW_OPER_INC","FQ2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5" s="1" t="e">
        <f ca="1">_xll.BDH($C$53,"NET_INCOME_TO_COMMON_5_YR_GROWTH","FQ2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5" s="1" t="e">
        <f ca="1">_xll.BDH($C$53,"5Y_GEO_GROWTH_DILUTED_EPS","FQ2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5" s="1" t="e">
        <f ca="1">_xll.BDH($C$53,"GEO_GROW_DVD_PER_SH","FQ2 2014","FQ2 2014","Currency=INR","Period=FQ","BEST_FPERIOD_OVERRIDE=FQ","FILING_STATUS=OR","EQY_CONSOLIDATED=Y","Sort=A","Dates=H","DateFormat=P","Fill=—","Direction=H","UseDPDF=Y")</f>
        <v>#NAME?</v>
      </c>
      <c r="AS55" s="1" t="e">
        <f ca="1">_xll.BDH($C$53,"ACCOUNTS_RECEIVABLE_5_YR_GROWTH","FQ2 2014","FQ2 2014","Currency=INR","Period=FQ","BEST_FPERIOD_OVERRIDE=FQ","FILING_STATUS=OR","EQY_CONSOLIDATED=Y","Sort=A","Dates=H","DateFormat=P","Fill=—","Direction=H","UseDPDF=Y")</f>
        <v>#NAME?</v>
      </c>
      <c r="AT55" s="1" t="e">
        <f ca="1">_xll.BDH($C$53,"INVENTORY_5_YEAR_GROWTH","FQ2 2014","FQ2 2014","Currency=INR","Period=FQ","BEST_FPERIOD_OVERRIDE=FQ","FILING_STATUS=OR","EQY_CONSOLIDATED=Y","Sort=A","Dates=H","DateFormat=P","Fill=—","Direction=H","UseDPDF=Y")</f>
        <v>#NAME?</v>
      </c>
      <c r="AU55" s="1" t="e">
        <f ca="1">_xll.BDH($C$53,"NET_FIXED_ASSETS_5_YEAR_GROWTH","FQ2 2014","FQ2 2014","Currency=INR","Period=FQ","BEST_FPERIOD_OVERRIDE=FQ","FILING_STATUS=OR","EQY_CONSOLIDATED=Y","Sort=A","Dates=H","DateFormat=P","Fill=—","Direction=H","UseDPDF=Y")</f>
        <v>#NAME?</v>
      </c>
      <c r="AV55" s="1" t="e">
        <f ca="1">_xll.BDH($C$53,"GEO_GROW_TOT_ASSET","FQ2 2014","FQ2 2014","Currency=INR","Period=FQ","BEST_FPERIOD_OVERRIDE=FQ","FILING_STATUS=OR","EQY_CONSOLIDATED=Y","Sort=A","Dates=H","DateFormat=P","Fill=—","Direction=H","UseDPDF=Y")</f>
        <v>#NAME?</v>
      </c>
      <c r="AW55" s="1" t="e">
        <f ca="1">_xll.BDH($C$53,"MODIFIED_WORKING_CPTL_5YR_GRWTH","FQ2 2014","FQ2 2014","Currency=INR","Period=FQ","BEST_FPERIOD_OVERRIDE=FQ","FILING_STATUS=OR","EQY_CONSOLIDATED=Y","Sort=A","Dates=H","DateFormat=P","Fill=—","Direction=H","UseDPDF=Y")</f>
        <v>#NAME?</v>
      </c>
      <c r="AX55" s="1" t="e">
        <f ca="1">_xll.BDH($C$53,"WORKING_CAPITAL_5_YEAR_GROWTH","FQ2 2014","FQ2 2014","Currency=INR","Period=FQ","BEST_FPERIOD_OVERRIDE=FQ","FILING_STATUS=OR","EQY_CONSOLIDATED=Y","Sort=A","Dates=H","DateFormat=P","Fill=—","Direction=H","UseDPDF=Y")</f>
        <v>#NAME?</v>
      </c>
      <c r="AY55" s="1" t="e">
        <f ca="1">_xll.BDH($C$53,"ACCOUNTS_PAYABLE_5_YEAR_GROWTH","FQ2 2014","FQ2 2014","Currency=INR","Period=FQ","BEST_FPERIOD_OVERRIDE=FQ","FILING_STATUS=OR","EQY_CONSOLIDATED=Y","Sort=A","Dates=H","DateFormat=P","Fill=—","Direction=H","UseDPDF=Y")</f>
        <v>#NAME?</v>
      </c>
      <c r="AZ55" s="1" t="e">
        <f ca="1">_xll.BDH($C$53,"SHORT_TERM_DEBT_5_YEAR_GROWTH","FQ2 2014","FQ2 2014","Currency=INR","Period=FQ","BEST_FPERIOD_OVERRIDE=FQ","FILING_STATUS=OR","EQY_CONSOLIDATED=Y","Sort=A","Dates=H","DateFormat=P","Fill=—","Direction=H","UseDPDF=Y")</f>
        <v>#NAME?</v>
      </c>
      <c r="BA55" s="1" t="e">
        <f ca="1">_xll.BDH($C$53,"TOTAL_DEBT_5_YEAR_GROWTH","FQ2 2014","FQ2 2014","Currency=INR","Period=FQ","BEST_FPERIOD_OVERRIDE=FQ","FILING_STATUS=OR","EQY_CONSOLIDATED=Y","Sort=A","Dates=H","DateFormat=P","Fill=—","Direction=H","UseDPDF=Y")</f>
        <v>#NAME?</v>
      </c>
      <c r="BB55" s="1" t="e">
        <f ca="1">_xll.BDH($C$53,"GEO_GROW_TOT_SHRHLDR_EQY","FQ2 2014","FQ2 2014","Currency=INR","Period=FQ","BEST_FPERIOD_OVERRIDE=FQ","FILING_STATUS=OR","EQY_CONSOLIDATED=Y","Sort=A","Dates=H","DateFormat=P","Fill=—","Direction=H","UseDPDF=Y")</f>
        <v>#NAME?</v>
      </c>
      <c r="BC55" s="1" t="e">
        <f ca="1">_xll.BDH($C$53,"TOTAL_CAPITAL_5_YEAR_GROWTH","FQ2 2014","FQ2 2014","Currency=INR","Period=FQ","BEST_FPERIOD_OVERRIDE=FQ","FILING_STATUS=OR","EQY_CONSOLIDATED=Y","Sort=A","Dates=H","DateFormat=P","Fill=—","Direction=H","UseDPDF=Y")</f>
        <v>#NAME?</v>
      </c>
      <c r="BD55" s="1" t="e">
        <f ca="1">_xll.BDH($C$53,"GEO_GROW_BOOK_VAL","FQ2 2014","FQ2 2014","Currency=INR","Period=FQ","BEST_FPERIOD_OVERRIDE=FQ","FILING_STATUS=OR","EQY_CONSOLIDATED=Y","Sort=A","Dates=H","DateFormat=P","Fill=—","Direction=H","UseDPDF=Y")</f>
        <v>#NAME?</v>
      </c>
      <c r="BE55" s="1" t="e">
        <f ca="1">_xll.BDH($C$53,"GEO_GROW_CASH_OPER_ACT","FQ2 2014","FQ2 2014","Currency=INR","Period=FQ","BEST_FPERIOD_OVERRIDE=FQ","FILING_STATUS=OR","EQY_CONSOLIDATED=Y","Sort=A","Dates=H","DateFormat=P","Fill=—","Direction=H","UseDPDF=Y")</f>
        <v>#NAME?</v>
      </c>
      <c r="BF55" s="1" t="e">
        <f ca="1">_xll.BDH($C$53,"REVENUE_SEQUENTIAL_GROWTH","FQ2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5" s="1" t="e">
        <f ca="1">_xll.BDH($C$53,"EBITDA_SEQUENTIAL_GROWTH","FQ2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5" s="1" t="e">
        <f ca="1">_xll.BDH($C$53,"OPERATING_INCOME_SEQ_GROWTH","FQ2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5" s="1" t="e">
        <f ca="1">_xll.BDH($C$53,"NET_INCOME_TO_COMMON_SEQ_GROWTH","FQ2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5" s="1" t="e">
        <f ca="1">_xll.BDH($C$53,"EPS_DILUTED_SEQUENTIAL_GROWTH","FQ2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5" s="1" t="e">
        <f ca="1">_xll.BDH($C$53,"DPS_SEQUENTIAL_GROWTH","FQ2 2014","FQ2 2014","Currency=INR","Period=FQ","BEST_FPERIOD_OVERRIDE=FQ","FILING_STATUS=OR","EQY_CONSOLIDATED=Y","Sort=A","Dates=H","DateFormat=P","Fill=—","Direction=H","UseDPDF=Y")</f>
        <v>#NAME?</v>
      </c>
      <c r="BL55" s="1" t="e">
        <f ca="1">_xll.BDH($C$53,"ACCOUNTS_RECEIVABLE_SEQ_GROWTH","FQ2 2014","FQ2 2014","Currency=INR","Period=FQ","BEST_FPERIOD_OVERRIDE=FQ","FILING_STATUS=OR","EQY_CONSOLIDATED=Y","Sort=A","Dates=H","DateFormat=P","Fill=—","Direction=H","UseDPDF=Y")</f>
        <v>#NAME?</v>
      </c>
      <c r="BM55" s="1" t="e">
        <f ca="1">_xll.BDH($C$53,"INVENTORY_SEQUENTIAL_GROWTH","FQ2 2014","FQ2 2014","Currency=INR","Period=FQ","BEST_FPERIOD_OVERRIDE=FQ","FILING_STATUS=OR","EQY_CONSOLIDATED=Y","Sort=A","Dates=H","DateFormat=P","Fill=—","Direction=H","UseDPDF=Y")</f>
        <v>#NAME?</v>
      </c>
      <c r="BN55" s="1" t="e">
        <f ca="1">_xll.BDH($C$53,"FIXED_ASSETS_SEQUENTIAL_GROWTH","FQ2 2014","FQ2 2014","Currency=INR","Period=FQ","BEST_FPERIOD_OVERRIDE=FQ","FILING_STATUS=OR","EQY_CONSOLIDATED=Y","Sort=A","Dates=H","DateFormat=P","Fill=—","Direction=H","UseDPDF=Y")</f>
        <v>#NAME?</v>
      </c>
      <c r="BO55" s="1" t="e">
        <f ca="1">_xll.BDH($C$53,"TOTAL_ASSETS_SEQUENTIAL_GROWTH","FQ2 2014","FQ2 2014","Currency=INR","Period=FQ","BEST_FPERIOD_OVERRIDE=FQ","FILING_STATUS=OR","EQY_CONSOLIDATED=Y","Sort=A","Dates=H","DateFormat=P","Fill=—","Direction=H","UseDPDF=Y")</f>
        <v>#NAME?</v>
      </c>
      <c r="BP55" s="1" t="e">
        <f ca="1">_xll.BDH($C$53,"MODIFIED_WORKING_CPTL_SEQ_GRWTH","FQ2 2014","FQ2 2014","Currency=INR","Period=FQ","BEST_FPERIOD_OVERRIDE=FQ","FILING_STATUS=OR","EQY_CONSOLIDATED=Y","Sort=A","Dates=H","DateFormat=P","Fill=—","Direction=H","UseDPDF=Y")</f>
        <v>#NAME?</v>
      </c>
      <c r="BQ55" s="1" t="e">
        <f ca="1">_xll.BDH($C$53,"WORKING_CAPITAL_SEQ_GROWTH","FQ2 2014","FQ2 2014","Currency=INR","Period=FQ","BEST_FPERIOD_OVERRIDE=FQ","FILING_STATUS=OR","EQY_CONSOLIDATED=Y","Sort=A","Dates=H","DateFormat=P","Fill=—","Direction=H","UseDPDF=Y")</f>
        <v>#NAME?</v>
      </c>
      <c r="BR55" s="1" t="e">
        <f ca="1">_xll.BDH($C$53,"ACCOUNTS_PAYABLE_SEQ_GROWTH","FQ2 2014","FQ2 2014","Currency=INR","Period=FQ","BEST_FPERIOD_OVERRIDE=FQ","FILING_STATUS=OR","EQY_CONSOLIDATED=Y","Sort=A","Dates=H","DateFormat=P","Fill=—","Direction=H","UseDPDF=Y")</f>
        <v>#NAME?</v>
      </c>
      <c r="BS55" s="1" t="e">
        <f ca="1">_xll.BDH($C$53,"ST_DEBT_SEQUENTIAL_GROWTH","FQ2 2014","FQ2 2014","Currency=INR","Period=FQ","BEST_FPERIOD_OVERRIDE=FQ","FILING_STATUS=OR","EQY_CONSOLIDATED=Y","Sort=A","Dates=H","DateFormat=P","Fill=—","Direction=H","UseDPDF=Y")</f>
        <v>#NAME?</v>
      </c>
      <c r="BT55" s="1" t="e">
        <f ca="1">_xll.BDH($C$53,"TOTAL_DEBT_SEQUENTIAL_GROWTH","FQ2 2014","FQ2 2014","Currency=INR","Period=FQ","BEST_FPERIOD_OVERRIDE=FQ","FILING_STATUS=OR","EQY_CONSOLIDATED=Y","Sort=A","Dates=H","DateFormat=P","Fill=—","Direction=H","UseDPDF=Y")</f>
        <v>#NAME?</v>
      </c>
      <c r="BU55" s="1" t="e">
        <f ca="1">_xll.BDH($C$53,"TOTAL_EQUITY_SEQUENTIAL_GROWTH","FQ2 2014","FQ2 2014","Currency=INR","Period=FQ","BEST_FPERIOD_OVERRIDE=FQ","FILING_STATUS=OR","EQY_CONSOLIDATED=Y","Sort=A","Dates=H","DateFormat=P","Fill=—","Direction=H","UseDPDF=Y")</f>
        <v>#NAME?</v>
      </c>
      <c r="BV55" s="1" t="e">
        <f ca="1">_xll.BDH($C$53,"TOTAL_CAPITAL_SEQUENTIAL_GROWTH","FQ2 2014","FQ2 2014","Currency=INR","Period=FQ","BEST_FPERIOD_OVERRIDE=FQ","FILING_STATUS=OR","EQY_CONSOLIDATED=Y","Sort=A","Dates=H","DateFormat=P","Fill=—","Direction=H","UseDPDF=Y")</f>
        <v>#NAME?</v>
      </c>
      <c r="BW55" s="1" t="e">
        <f ca="1">_xll.BDH($C$53,"BPS_SEQUENTIAL_GROWTH","FQ2 2014","FQ2 2014","Currency=INR","Period=FQ","BEST_FPERIOD_OVERRIDE=FQ","FILING_STATUS=OR","EQY_CONSOLIDATED=Y","Sort=A","Dates=H","DateFormat=P","Fill=—","Direction=H","UseDPDF=Y")</f>
        <v>#NAME?</v>
      </c>
      <c r="BX55" s="1" t="e">
        <f ca="1">_xll.BDH($C$53,"CFO_SEQUENTIAL_GROWTH","FQ2 2014","FQ2 2014","Currency=INR","Period=FQ","BEST_FPERIOD_OVERRIDE=FQ","FILING_STATUS=OR","EQY_CONSOLIDATED=Y","Sort=A","Dates=H","DateFormat=P","Fill=—","Direction=H","UseDPDF=Y")</f>
        <v>#NAME?</v>
      </c>
      <c r="BY55" s="2" t="e">
        <f ca="1">_xll.BDH($C$53,"SHORT_AND_LONG_TERM_DEBT","FQ2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5" s="2" t="e">
        <f ca="1">_xll.BDH($C$53,"BS_ST_BORROW","FQ2 2014","FQ2 2014","Currency=INR","Period=FQ","BEST_FPERIOD_OVERRIDE=FQ","FILING_STATUS=OR","EQY_CONSOLIDATED=Y","SCALING_FORMAT=MLN","Sort=A","Dates=H","DateFormat=P","Fill=—","Direction=H","UseDPDF=Y")</f>
        <v>#NAME?</v>
      </c>
      <c r="CA55" s="2" t="e">
        <f ca="1">_xll.BDH($C$53,"BS_LT_BORROW","FQ2 2014","FQ2 2014","Currency=INR","Period=FQ","BEST_FPERIOD_OVERRIDE=FQ","FILING_STATUS=OR","EQY_CONSOLIDATED=Y","SCALING_FORMAT=MLN","Sort=A","Dates=H","DateFormat=P","Fill=—","Direction=H","UseDPDF=Y")</f>
        <v>#NAME?</v>
      </c>
      <c r="CB55" s="1" t="e">
        <f ca="1">_xll.BDH($C$53,"TOT_DEBT_TO_EBITDA","FQ2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5" s="1" t="e">
        <f ca="1">_xll.BDH($C$53,"NET_DEBT_TO_EBITDA","FQ2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5" s="1" t="e">
        <f ca="1">_xll.BDH($C$53,"TOTAL_DEBT_TO_EBIT","FQ2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5" s="1" t="e">
        <f ca="1">_xll.BDH($C$53,"NET_DEBT_TO_EBIT","FQ2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5" s="1" t="e">
        <f ca="1">_xll.BDH($C$53,"EBITDA_TO_INTEREST_EXPN","FQ2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5" s="1" t="e">
        <f ca="1">_xll.BDH($C$53,"COM_EQY_TO_TOT_ASSET","FQ2 2014","FQ2 2014","Currency=INR","Period=FQ","BEST_FPERIOD_OVERRIDE=FQ","FILING_STATUS=OR","EQY_CONSOLIDATED=Y","Sort=A","Dates=H","DateFormat=P","Fill=—","Direction=H","UseDPDF=Y")</f>
        <v>#NAME?</v>
      </c>
      <c r="CH55" s="1" t="e">
        <f ca="1">_xll.BDH($C$53,"LT_DEBT_TO_TOT_EQY","FQ2 2014","FQ2 2014","Currency=INR","Period=FQ","BEST_FPERIOD_OVERRIDE=FQ","FILING_STATUS=OR","EQY_CONSOLIDATED=Y","Sort=A","Dates=H","DateFormat=P","Fill=—","Direction=H","UseDPDF=Y")</f>
        <v>#NAME?</v>
      </c>
      <c r="CI55" s="1" t="e">
        <f ca="1">_xll.BDH($C$53,"LT_DEBT_TO_TOT_CAP","FQ2 2014","FQ2 2014","Currency=INR","Period=FQ","BEST_FPERIOD_OVERRIDE=FQ","FILING_STATUS=OR","EQY_CONSOLIDATED=Y","Sort=A","Dates=H","DateFormat=P","Fill=—","Direction=H","UseDPDF=Y")</f>
        <v>#NAME?</v>
      </c>
      <c r="CJ55" s="1" t="e">
        <f ca="1">_xll.BDH($C$53,"LT_DEBT_TO_TOT_ASSET","FQ2 2014","FQ2 2014","Currency=INR","Period=FQ","BEST_FPERIOD_OVERRIDE=FQ","FILING_STATUS=OR","EQY_CONSOLIDATED=Y","Sort=A","Dates=H","DateFormat=P","Fill=—","Direction=H","UseDPDF=Y")</f>
        <v>#NAME?</v>
      </c>
      <c r="CK55" s="1" t="e">
        <f ca="1">_xll.BDH($C$53,"TOT_DEBT_TO_TOT_EQY","FQ2 2014","FQ2 2014","Currency=INR","Period=FQ","BEST_FPERIOD_OVERRIDE=FQ","FILING_STATUS=OR","EQY_CONSOLIDATED=Y","Sort=A","Dates=H","DateFormat=P","Fill=—","Direction=H","UseDPDF=Y")</f>
        <v>#NAME?</v>
      </c>
      <c r="CL55" s="1" t="e">
        <f ca="1">_xll.BDH($C$53,"TOT_DEBT_TO_TOT_CAP","FQ2 2014","FQ2 2014","Currency=INR","Period=FQ","BEST_FPERIOD_OVERRIDE=FQ","FILING_STATUS=OR","EQY_CONSOLIDATED=Y","Sort=A","Dates=H","DateFormat=P","Fill=—","Direction=H","UseDPDF=Y")</f>
        <v>#NAME?</v>
      </c>
      <c r="CM55" s="1" t="e">
        <f ca="1">_xll.BDH($C$53,"TOT_DEBT_TO_TOT_ASSET","FQ2 2014","FQ2 2014","Currency=INR","Period=FQ","BEST_FPERIOD_OVERRIDE=FQ","FILING_STATUS=OR","EQY_CONSOLIDATED=Y","Sort=A","Dates=H","DateFormat=P","Fill=—","Direction=H","UseDPDF=Y")</f>
        <v>#NAME?</v>
      </c>
      <c r="CN55" s="1" t="e">
        <f ca="1">_xll.BDH($C$53,"NET_DEBT_TO_SHRHLDR_EQTY","FQ2 2014","FQ2 2014","Currency=INR","Period=FQ","BEST_FPERIOD_OVERRIDE=FQ","FILING_STATUS=OR","EQY_CONSOLIDATED=Y","Sort=A","Dates=H","DateFormat=P","Fill=—","Direction=H","UseDPDF=Y")</f>
        <v>#NAME?</v>
      </c>
      <c r="CO55" s="1" t="e">
        <f ca="1">_xll.BDH($C$53,"NET_DEBT_%_CAPITAL","FQ2 2014","FQ2 2014","Currency=INR","Period=FQ","BEST_FPERIOD_OVERRIDE=FQ","FILING_STATUS=OR","EQY_CONSOLIDATED=Y","Sort=A","Dates=H","DateFormat=P","Fill=—","Direction=H","UseDPDF=Y")</f>
        <v>#NAME?</v>
      </c>
      <c r="CP55" s="2" t="e">
        <f ca="1">_xll.BDH($C$53,"EBITDA","FQ2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5" s="2" t="e">
        <f ca="1">_xll.BDH($C$53,"EBITDA_AFTER_CAPEX","FQ2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5" s="2" t="e">
        <f ca="1">_xll.BDH($C$53,"IS_OPER_INC","FQ2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5" s="1" t="e">
        <f ca="1">_xll.BDH($C$53,"CASH_RATIO","FQ2 2014","FQ2 2014","Currency=INR","Period=FQ","BEST_FPERIOD_OVERRIDE=FQ","FILING_STATUS=OR","EQY_CONSOLIDATED=Y","Sort=A","Dates=H","DateFormat=P","Fill=—","Direction=H","UseDPDF=Y")</f>
        <v>#NAME?</v>
      </c>
      <c r="CT55" s="1" t="e">
        <f ca="1">_xll.BDH($C$53,"CUR_RATIO","FQ2 2014","FQ2 2014","Currency=INR","Period=FQ","BEST_FPERIOD_OVERRIDE=FQ","FILING_STATUS=OR","EQY_CONSOLIDATED=Y","Sort=A","Dates=H","DateFormat=P","Fill=—","Direction=H","UseDPDF=Y")</f>
        <v>#NAME?</v>
      </c>
      <c r="CU55" s="1" t="e">
        <f ca="1">_xll.BDH($C$53,"QUICK_RATIO","FQ2 2014","FQ2 2014","Currency=INR","Period=FQ","BEST_FPERIOD_OVERRIDE=FQ","FILING_STATUS=OR","EQY_CONSOLIDATED=Y","Sort=A","Dates=H","DateFormat=P","Fill=—","Direction=H","UseDPDF=Y")</f>
        <v>#NAME?</v>
      </c>
      <c r="CV55" s="1" t="e">
        <f ca="1">_xll.BDH($C$53,"ALTMAN_Z_SCORE","FQ2 2014","FQ2 2014","Currency=INR","Period=FQ","BEST_FPERIOD_OVERRIDE=FQ","FILING_STATUS=OR","EQY_CONSOLIDATED=Y","Sort=A","Dates=H","DateFormat=P","Fill=—","Direction=H","UseDPDF=Y")</f>
        <v>#NAME?</v>
      </c>
      <c r="CW55" s="3" t="e">
        <f ca="1">_xll.BDH($C$53,"ACCT_RCV_TURN","FQ2 2014","FQ2 2014","Currency=INR","Period=FQ","BEST_FPERIOD_OVERRIDE=FQ","FILING_STATUS=OR","EQY_CONSOLIDATED=Y","FA_ADJUSTED=GAAP","Sort=A","Dates=H","DateFormat=P","Fill=—","Direction=H","UseDPDF=Y")</f>
        <v>#NAME?</v>
      </c>
      <c r="CX55" s="1" t="e">
        <f ca="1">_xll.BDH($C$53,"ACCT_RCV_DAYS","FQ2 2014","FQ2 2014","Currency=INR","Period=FQ","BEST_FPERIOD_OVERRIDE=FQ","FILING_STATUS=OR","EQY_CONSOLIDATED=Y","FA_ADJUSTED=GAAP","Sort=A","Dates=H","DateFormat=P","Fill=—","Direction=H","UseDPDF=Y")</f>
        <v>#NAME?</v>
      </c>
      <c r="CY55" s="3" t="e">
        <f ca="1">_xll.BDH($C$53,"INVENT_TURN","FQ2 2014","FQ2 2014","Currency=INR","Period=FQ","BEST_FPERIOD_OVERRIDE=FQ","FILING_STATUS=OR","EQY_CONSOLIDATED=Y","FA_ADJUSTED=GAAP","Sort=A","Dates=H","DateFormat=P","Fill=—","Direction=H","UseDPDF=Y")</f>
        <v>#NAME?</v>
      </c>
      <c r="CZ55" s="1" t="e">
        <f ca="1">_xll.BDH($C$53,"INVENT_DAYS","FQ2 2014","FQ2 2014","Currency=INR","Period=FQ","BEST_FPERIOD_OVERRIDE=FQ","FILING_STATUS=OR","EQY_CONSOLIDATED=Y","FA_ADJUSTED=GAAP","Sort=A","Dates=H","DateFormat=P","Fill=—","Direction=H","UseDPDF=Y")</f>
        <v>#NAME?</v>
      </c>
      <c r="DA55" s="3" t="e">
        <f ca="1">_xll.BDH($C$53,"ACCOUNTS_PAYABLE_TURNOVER","FQ2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5" s="1" t="e">
        <f ca="1">_xll.BDH($C$53,"ACCOUNTS_PAYABLE_TURNOVER_DAYS","FQ2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5" s="3" t="e">
        <f ca="1">_xll.BDH($C$53,"CASH_CONVERSION_CYCLE","FQ2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5" s="3" t="e">
        <f ca="1">_xll.BDH($C$53,"INV_TO_CASH_DAYS","FQ2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5" s="4" t="e">
        <f ca="1">_xll.BDH($C$53,"BS_INVENTORIES","FQ2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5" s="2" t="e">
        <f ca="1">_xll.BDH($C$53,"INVTRY_RAW_MATERIALS","FQ2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5" s="2" t="e">
        <f ca="1">_xll.BDH($C$53,"INVTRY_IN_PROGRESS","FQ2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5" s="2" t="e">
        <f ca="1">_xll.BDH($C$53,"INVTRY_FINISHED_GOODS","FQ2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5" s="2" t="e">
        <f ca="1">_xll.BDH($C$53,"BS_OTHER_INV","FQ2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6" spans="1:113" x14ac:dyDescent="0.3">
      <c r="A56" s="6"/>
      <c r="B56" s="6"/>
      <c r="C56" s="6"/>
      <c r="D56" s="6"/>
      <c r="E56" t="s">
        <v>6</v>
      </c>
      <c r="F56" t="e">
        <f ca="1">_xll.BDH($C$53,"RETURN_COM_EQY","FQ3 2014","FQ3 2014","Currency=INR","Period=FQ","BEST_FPERIOD_OVERRIDE=FQ","FILING_STATUS=OR","EQY_CONSOLIDATED=Y","FA_ADJUSTED=GAAP","Sort=A","Dates=H","DateFormat=P","Fill=—","Direction=H","UseDPDF=Y")</f>
        <v>#NAME?</v>
      </c>
      <c r="G56" t="e">
        <f ca="1">_xll.BDH($C$53,"RETURN_ON_ASSET","FQ3 2014","FQ3 2014","Currency=INR","Period=FQ","BEST_FPERIOD_OVERRIDE=FQ","FILING_STATUS=OR","EQY_CONSOLIDATED=Y","FA_ADJUSTED=GAAP","Sort=A","Dates=H","DateFormat=P","Fill=—","Direction=H","UseDPDF=Y")</f>
        <v>#NAME?</v>
      </c>
      <c r="H56" t="e">
        <f ca="1">_xll.BDH($C$53,"RETURN_ON_CAP","FQ3 2014","FQ3 2014","Currency=INR","Period=FQ","BEST_FPERIOD_OVERRIDE=FQ","FILING_STATUS=OR","EQY_CONSOLIDATED=Y","FA_ADJUSTED=GAAP","Sort=A","Dates=H","DateFormat=P","Fill=—","Direction=H","UseDPDF=Y")</f>
        <v>#NAME?</v>
      </c>
      <c r="I56" t="e">
        <f ca="1">_xll.BDH($C$53,"RETURN_ON_INV_CAPITAL","FQ3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6" t="e">
        <f ca="1">_xll.BDH($C$53,"EBITDA_TO_REVENUE","FQ3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56" t="e">
        <f ca="1">_xll.BDH($C$53,"OPER_MARGIN","FQ3 2014","FQ3 2014","Currency=INR","Period=FQ","BEST_FPERIOD_OVERRIDE=FQ","FILING_STATUS=OR","EQY_CONSOLIDATED=Y","FA_ADJUSTED=GAAP","Sort=A","Dates=H","DateFormat=P","Fill=—","Direction=H","UseDPDF=Y")</f>
        <v>#NAME?</v>
      </c>
      <c r="L56" t="e">
        <f ca="1">_xll.BDH($C$53,"INCREMENTAL_OPERATING_MARGIN","FQ3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6" t="e">
        <f ca="1">_xll.BDH($C$53,"PRETAX_INC_TO_NET_SALES","FQ3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6" t="e">
        <f ca="1">_xll.BDH($C$53,"INC_BEF_XO_ITEMS_TO_NET_SALES","FQ3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6" t="e">
        <f ca="1">_xll.BDH($C$53,"PROF_MARGIN","FQ3 2014","FQ3 2014","Currency=INR","Period=FQ","BEST_FPERIOD_OVERRIDE=FQ","FILING_STATUS=OR","EQY_CONSOLIDATED=Y","FA_ADJUSTED=GAAP","Sort=A","Dates=H","DateFormat=P","Fill=—","Direction=H","UseDPDF=Y")</f>
        <v>#NAME?</v>
      </c>
      <c r="P56" t="e">
        <f ca="1">_xll.BDH($C$53,"NET_INCOME_TO_COMMON_MARGIN","FQ3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6" t="e">
        <f ca="1">_xll.BDH($C$53,"EFF_TAX_RATE","FQ3 2014","FQ3 2014","Currency=INR","Period=FQ","BEST_FPERIOD_OVERRIDE=FQ","FILING_STATUS=OR","EQY_CONSOLIDATED=Y","FA_ADJUSTED=GAAP","Sort=A","Dates=H","DateFormat=P","Fill=—","Direction=H","UseDPDF=Y")</f>
        <v>#NAME?</v>
      </c>
      <c r="R56" t="e">
        <f ca="1">_xll.BDH($C$53,"DVD_PAYOUT_RATIO","FQ3 2014","FQ3 2014","Currency=INR","Period=FQ","BEST_FPERIOD_OVERRIDE=FQ","FILING_STATUS=OR","EQY_CONSOLIDATED=Y","FA_ADJUSTED=GAAP","Sort=A","Dates=H","DateFormat=P","Fill=—","Direction=H","UseDPDF=Y")</f>
        <v>#NAME?</v>
      </c>
      <c r="S56" t="e">
        <f ca="1">_xll.BDH($C$53,"SUSTAIN_GROWTH_RT","FQ3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56" s="1" t="e">
        <f ca="1">_xll.BDH($C$53,"SALES_GROWTH","FQ3 2014","FQ3 2014","Currency=INR","Period=FQ","BEST_FPERIOD_OVERRIDE=FQ","FILING_STATUS=OR","EQY_CONSOLIDATED=Y","FA_ADJUSTED=GAAP","Sort=A","Dates=H","DateFormat=P","Fill=—","Direction=H","UseDPDF=Y")</f>
        <v>#NAME?</v>
      </c>
      <c r="U56" s="1" t="e">
        <f ca="1">_xll.BDH($C$53,"EBITDA_GROWTH","FQ3 2014","FQ3 2014","Currency=INR","Period=FQ","BEST_FPERIOD_OVERRIDE=FQ","FILING_STATUS=OR","EQY_CONSOLIDATED=Y","FA_ADJUSTED=GAAP","Sort=A","Dates=H","DateFormat=P","Fill=—","Direction=H","UseDPDF=Y")</f>
        <v>#NAME?</v>
      </c>
      <c r="V56" s="1" t="e">
        <f ca="1">_xll.BDH($C$53,"OPER_INC_GROWTH","FQ3 2014","FQ3 2014","Currency=INR","Period=FQ","BEST_FPERIOD_OVERRIDE=FQ","FILING_STATUS=OR","EQY_CONSOLIDATED=Y","FA_ADJUSTED=GAAP","Sort=A","Dates=H","DateFormat=P","Fill=—","Direction=H","UseDPDF=Y")</f>
        <v>#NAME?</v>
      </c>
      <c r="W56" s="1" t="e">
        <f ca="1">_xll.BDH($C$53,"EARN_FOR_COM_GROWTH","FQ3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6" s="1" t="e">
        <f ca="1">_xll.BDH($C$53,"DILUTED_EPS_AFT_XO_ITEMS_GROWTH","FQ3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6" s="1" t="e">
        <f ca="1">_xll.BDH($C$53,"DIVIDEND_PER_SHARE_1_YEAR_GROWTH","FQ3 2014","FQ3 2014","Currency=INR","Period=FQ","BEST_FPERIOD_OVERRIDE=FQ","FILING_STATUS=OR","EQY_CONSOLIDATED=Y","Sort=A","Dates=H","DateFormat=P","Fill=—","Direction=H","UseDPDF=Y")</f>
        <v>#NAME?</v>
      </c>
      <c r="Z56" s="1" t="e">
        <f ca="1">_xll.BDH($C$53,"ACCOUNTS_RECEIVABLE_GROWTH","FQ3 2014","FQ3 2014","Currency=INR","Period=FQ","BEST_FPERIOD_OVERRIDE=FQ","FILING_STATUS=OR","EQY_CONSOLIDATED=Y","Sort=A","Dates=H","DateFormat=P","Fill=—","Direction=H","UseDPDF=Y")</f>
        <v>#NAME?</v>
      </c>
      <c r="AA56" s="1" t="e">
        <f ca="1">_xll.BDH($C$53,"INVENTORY_GROWTH","FQ3 2014","FQ3 2014","Currency=INR","Period=FQ","BEST_FPERIOD_OVERRIDE=FQ","FILING_STATUS=OR","EQY_CONSOLIDATED=Y","Sort=A","Dates=H","DateFormat=P","Fill=—","Direction=H","UseDPDF=Y")</f>
        <v>#NAME?</v>
      </c>
      <c r="AB56" s="1" t="e">
        <f ca="1">_xll.BDH($C$53,"NET_FIXED_ASSETS_1_YEAR_GROWTH","FQ3 2014","FQ3 2014","Currency=INR","Period=FQ","BEST_FPERIOD_OVERRIDE=FQ","FILING_STATUS=OR","EQY_CONSOLIDATED=Y","Sort=A","Dates=H","DateFormat=P","Fill=—","Direction=H","UseDPDF=Y")</f>
        <v>#NAME?</v>
      </c>
      <c r="AC56" s="1" t="e">
        <f ca="1">_xll.BDH($C$53,"ASSET_GROWTH","FQ3 2014","FQ3 2014","Currency=INR","Period=FQ","BEST_FPERIOD_OVERRIDE=FQ","FILING_STATUS=OR","EQY_CONSOLIDATED=Y","Sort=A","Dates=H","DateFormat=P","Fill=—","Direction=H","UseDPDF=Y")</f>
        <v>#NAME?</v>
      </c>
      <c r="AD56" s="1" t="e">
        <f ca="1">_xll.BDH($C$53,"MODIFIED_WORK_CAP_GROWTH","FQ3 2014","FQ3 2014","Currency=INR","Period=FQ","BEST_FPERIOD_OVERRIDE=FQ","FILING_STATUS=OR","EQY_CONSOLIDATED=Y","Sort=A","Dates=H","DateFormat=P","Fill=—","Direction=H","UseDPDF=Y")</f>
        <v>#NAME?</v>
      </c>
      <c r="AE56" s="1" t="e">
        <f ca="1">_xll.BDH($C$53,"WORK_CAP_GROWTH","FQ3 2014","FQ3 2014","Currency=INR","Period=FQ","BEST_FPERIOD_OVERRIDE=FQ","FILING_STATUS=OR","EQY_CONSOLIDATED=Y","Sort=A","Dates=H","DateFormat=P","Fill=—","Direction=H","UseDPDF=Y")</f>
        <v>#NAME?</v>
      </c>
      <c r="AF56" s="1" t="e">
        <f ca="1">_xll.BDH($C$53,"ACCOUNTS_PAYABLE_GROWTH_1YR","FQ3 2014","FQ3 2014","Currency=INR","Period=FQ","BEST_FPERIOD_OVERRIDE=FQ","FILING_STATUS=OR","EQY_CONSOLIDATED=Y","Sort=A","Dates=H","DateFormat=P","Fill=—","Direction=H","UseDPDF=Y")</f>
        <v>#NAME?</v>
      </c>
      <c r="AG56" s="1" t="e">
        <f ca="1">_xll.BDH($C$53,"SHORT_TERM_DEBT_1_YEAR_GROWTH","FQ3 2014","FQ3 2014","Currency=INR","Period=FQ","BEST_FPERIOD_OVERRIDE=FQ","FILING_STATUS=OR","EQY_CONSOLIDATED=Y","Sort=A","Dates=H","DateFormat=P","Fill=—","Direction=H","UseDPDF=Y")</f>
        <v>#NAME?</v>
      </c>
      <c r="AH56" s="1" t="e">
        <f ca="1">_xll.BDH($C$53,"TOTAL_DEBT_1_YEAR_GROWTH","FQ3 2014","FQ3 2014","Currency=INR","Period=FQ","BEST_FPERIOD_OVERRIDE=FQ","FILING_STATUS=OR","EQY_CONSOLIDATED=Y","Sort=A","Dates=H","DateFormat=P","Fill=—","Direction=H","UseDPDF=Y")</f>
        <v>#NAME?</v>
      </c>
      <c r="AI56" s="1" t="e">
        <f ca="1">_xll.BDH($C$53,"TOTAL_EQUITY_1_YEAR_GROWTH","FQ3 2014","FQ3 2014","Currency=INR","Period=FQ","BEST_FPERIOD_OVERRIDE=FQ","FILING_STATUS=OR","EQY_CONSOLIDATED=Y","Sort=A","Dates=H","DateFormat=P","Fill=—","Direction=H","UseDPDF=Y")</f>
        <v>#NAME?</v>
      </c>
      <c r="AJ56" s="1" t="e">
        <f ca="1">_xll.BDH($C$53,"GROWTH_IN_CAP","FQ3 2014","FQ3 2014","Currency=INR","Period=FQ","BEST_FPERIOD_OVERRIDE=FQ","FILING_STATUS=OR","EQY_CONSOLIDATED=Y","Sort=A","Dates=H","DateFormat=P","Fill=—","Direction=H","UseDPDF=Y")</f>
        <v>#NAME?</v>
      </c>
      <c r="AK56" s="1" t="e">
        <f ca="1">_xll.BDH($C$53,"BVPS_GROWTH","FQ3 2014","FQ3 2014","Currency=INR","Period=FQ","BEST_FPERIOD_OVERRIDE=FQ","FILING_STATUS=OR","EQY_CONSOLIDATED=Y","Sort=A","Dates=H","DateFormat=P","Fill=—","Direction=H","UseDPDF=Y")</f>
        <v>#NAME?</v>
      </c>
      <c r="AL56" s="1" t="e">
        <f ca="1">_xll.BDH($C$53,"CASH_FLOW_GROWTH","FQ3 2014","FQ3 2014","Currency=INR","Period=FQ","BEST_FPERIOD_OVERRIDE=FQ","FILING_STATUS=OR","EQY_CONSOLIDATED=Y","Sort=A","Dates=H","DateFormat=P","Fill=—","Direction=H","UseDPDF=Y")</f>
        <v>#NAME?</v>
      </c>
      <c r="AM56" s="1" t="e">
        <f ca="1">_xll.BDH($C$53,"GEO_GROW_NET_SALES","FQ3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6" s="1" t="e">
        <f ca="1">_xll.BDH($C$53,"GEO_GROW_EBITDA","FQ3 2014","FQ3 2014","Currency=INR","Period=FQ","BEST_FPERIOD_OVERRIDE=FQ","FILING_STATUS=OR","EQY_CONSOLIDATED=Y","FA_ADJUSTED=GAAP","Sort=A","Dates=H","DateFormat=P","Fill=—","Direction=H","UseDPDF=Y")</f>
        <v>#NAME?</v>
      </c>
      <c r="AO56" s="1" t="e">
        <f ca="1">_xll.BDH($C$53,"GEO_GROW_OPER_INC","FQ3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6" s="1" t="e">
        <f ca="1">_xll.BDH($C$53,"NET_INCOME_TO_COMMON_5_YR_GROWTH","FQ3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6" s="1" t="e">
        <f ca="1">_xll.BDH($C$53,"5Y_GEO_GROWTH_DILUTED_EPS","FQ3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6" s="1" t="e">
        <f ca="1">_xll.BDH($C$53,"GEO_GROW_DVD_PER_SH","FQ3 2014","FQ3 2014","Currency=INR","Period=FQ","BEST_FPERIOD_OVERRIDE=FQ","FILING_STATUS=OR","EQY_CONSOLIDATED=Y","Sort=A","Dates=H","DateFormat=P","Fill=—","Direction=H","UseDPDF=Y")</f>
        <v>#NAME?</v>
      </c>
      <c r="AS56" s="1" t="e">
        <f ca="1">_xll.BDH($C$53,"ACCOUNTS_RECEIVABLE_5_YR_GROWTH","FQ3 2014","FQ3 2014","Currency=INR","Period=FQ","BEST_FPERIOD_OVERRIDE=FQ","FILING_STATUS=OR","EQY_CONSOLIDATED=Y","Sort=A","Dates=H","DateFormat=P","Fill=—","Direction=H","UseDPDF=Y")</f>
        <v>#NAME?</v>
      </c>
      <c r="AT56" s="1" t="e">
        <f ca="1">_xll.BDH($C$53,"INVENTORY_5_YEAR_GROWTH","FQ3 2014","FQ3 2014","Currency=INR","Period=FQ","BEST_FPERIOD_OVERRIDE=FQ","FILING_STATUS=OR","EQY_CONSOLIDATED=Y","Sort=A","Dates=H","DateFormat=P","Fill=—","Direction=H","UseDPDF=Y")</f>
        <v>#NAME?</v>
      </c>
      <c r="AU56" s="1" t="e">
        <f ca="1">_xll.BDH($C$53,"NET_FIXED_ASSETS_5_YEAR_GROWTH","FQ3 2014","FQ3 2014","Currency=INR","Period=FQ","BEST_FPERIOD_OVERRIDE=FQ","FILING_STATUS=OR","EQY_CONSOLIDATED=Y","Sort=A","Dates=H","DateFormat=P","Fill=—","Direction=H","UseDPDF=Y")</f>
        <v>#NAME?</v>
      </c>
      <c r="AV56" s="1" t="e">
        <f ca="1">_xll.BDH($C$53,"GEO_GROW_TOT_ASSET","FQ3 2014","FQ3 2014","Currency=INR","Period=FQ","BEST_FPERIOD_OVERRIDE=FQ","FILING_STATUS=OR","EQY_CONSOLIDATED=Y","Sort=A","Dates=H","DateFormat=P","Fill=—","Direction=H","UseDPDF=Y")</f>
        <v>#NAME?</v>
      </c>
      <c r="AW56" s="1" t="e">
        <f ca="1">_xll.BDH($C$53,"MODIFIED_WORKING_CPTL_5YR_GRWTH","FQ3 2014","FQ3 2014","Currency=INR","Period=FQ","BEST_FPERIOD_OVERRIDE=FQ","FILING_STATUS=OR","EQY_CONSOLIDATED=Y","Sort=A","Dates=H","DateFormat=P","Fill=—","Direction=H","UseDPDF=Y")</f>
        <v>#NAME?</v>
      </c>
      <c r="AX56" s="1" t="e">
        <f ca="1">_xll.BDH($C$53,"WORKING_CAPITAL_5_YEAR_GROWTH","FQ3 2014","FQ3 2014","Currency=INR","Period=FQ","BEST_FPERIOD_OVERRIDE=FQ","FILING_STATUS=OR","EQY_CONSOLIDATED=Y","Sort=A","Dates=H","DateFormat=P","Fill=—","Direction=H","UseDPDF=Y")</f>
        <v>#NAME?</v>
      </c>
      <c r="AY56" s="1" t="e">
        <f ca="1">_xll.BDH($C$53,"ACCOUNTS_PAYABLE_5_YEAR_GROWTH","FQ3 2014","FQ3 2014","Currency=INR","Period=FQ","BEST_FPERIOD_OVERRIDE=FQ","FILING_STATUS=OR","EQY_CONSOLIDATED=Y","Sort=A","Dates=H","DateFormat=P","Fill=—","Direction=H","UseDPDF=Y")</f>
        <v>#NAME?</v>
      </c>
      <c r="AZ56" s="1" t="e">
        <f ca="1">_xll.BDH($C$53,"SHORT_TERM_DEBT_5_YEAR_GROWTH","FQ3 2014","FQ3 2014","Currency=INR","Period=FQ","BEST_FPERIOD_OVERRIDE=FQ","FILING_STATUS=OR","EQY_CONSOLIDATED=Y","Sort=A","Dates=H","DateFormat=P","Fill=—","Direction=H","UseDPDF=Y")</f>
        <v>#NAME?</v>
      </c>
      <c r="BA56" s="1" t="e">
        <f ca="1">_xll.BDH($C$53,"TOTAL_DEBT_5_YEAR_GROWTH","FQ3 2014","FQ3 2014","Currency=INR","Period=FQ","BEST_FPERIOD_OVERRIDE=FQ","FILING_STATUS=OR","EQY_CONSOLIDATED=Y","Sort=A","Dates=H","DateFormat=P","Fill=—","Direction=H","UseDPDF=Y")</f>
        <v>#NAME?</v>
      </c>
      <c r="BB56" s="1" t="e">
        <f ca="1">_xll.BDH($C$53,"GEO_GROW_TOT_SHRHLDR_EQY","FQ3 2014","FQ3 2014","Currency=INR","Period=FQ","BEST_FPERIOD_OVERRIDE=FQ","FILING_STATUS=OR","EQY_CONSOLIDATED=Y","Sort=A","Dates=H","DateFormat=P","Fill=—","Direction=H","UseDPDF=Y")</f>
        <v>#NAME?</v>
      </c>
      <c r="BC56" s="1" t="e">
        <f ca="1">_xll.BDH($C$53,"TOTAL_CAPITAL_5_YEAR_GROWTH","FQ3 2014","FQ3 2014","Currency=INR","Period=FQ","BEST_FPERIOD_OVERRIDE=FQ","FILING_STATUS=OR","EQY_CONSOLIDATED=Y","Sort=A","Dates=H","DateFormat=P","Fill=—","Direction=H","UseDPDF=Y")</f>
        <v>#NAME?</v>
      </c>
      <c r="BD56" s="1" t="e">
        <f ca="1">_xll.BDH($C$53,"GEO_GROW_BOOK_VAL","FQ3 2014","FQ3 2014","Currency=INR","Period=FQ","BEST_FPERIOD_OVERRIDE=FQ","FILING_STATUS=OR","EQY_CONSOLIDATED=Y","Sort=A","Dates=H","DateFormat=P","Fill=—","Direction=H","UseDPDF=Y")</f>
        <v>#NAME?</v>
      </c>
      <c r="BE56" s="1" t="e">
        <f ca="1">_xll.BDH($C$53,"GEO_GROW_CASH_OPER_ACT","FQ3 2014","FQ3 2014","Currency=INR","Period=FQ","BEST_FPERIOD_OVERRIDE=FQ","FILING_STATUS=OR","EQY_CONSOLIDATED=Y","Sort=A","Dates=H","DateFormat=P","Fill=—","Direction=H","UseDPDF=Y")</f>
        <v>#NAME?</v>
      </c>
      <c r="BF56" s="1" t="e">
        <f ca="1">_xll.BDH($C$53,"REVENUE_SEQUENTIAL_GROWTH","FQ3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6" s="1" t="e">
        <f ca="1">_xll.BDH($C$53,"EBITDA_SEQUENTIAL_GROWTH","FQ3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6" s="1" t="e">
        <f ca="1">_xll.BDH($C$53,"OPERATING_INCOME_SEQ_GROWTH","FQ3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6" s="1" t="e">
        <f ca="1">_xll.BDH($C$53,"NET_INCOME_TO_COMMON_SEQ_GROWTH","FQ3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6" s="1" t="e">
        <f ca="1">_xll.BDH($C$53,"EPS_DILUTED_SEQUENTIAL_GROWTH","FQ3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6" s="1" t="e">
        <f ca="1">_xll.BDH($C$53,"DPS_SEQUENTIAL_GROWTH","FQ3 2014","FQ3 2014","Currency=INR","Period=FQ","BEST_FPERIOD_OVERRIDE=FQ","FILING_STATUS=OR","EQY_CONSOLIDATED=Y","Sort=A","Dates=H","DateFormat=P","Fill=—","Direction=H","UseDPDF=Y")</f>
        <v>#NAME?</v>
      </c>
      <c r="BL56" s="1" t="e">
        <f ca="1">_xll.BDH($C$53,"ACCOUNTS_RECEIVABLE_SEQ_GROWTH","FQ3 2014","FQ3 2014","Currency=INR","Period=FQ","BEST_FPERIOD_OVERRIDE=FQ","FILING_STATUS=OR","EQY_CONSOLIDATED=Y","Sort=A","Dates=H","DateFormat=P","Fill=—","Direction=H","UseDPDF=Y")</f>
        <v>#NAME?</v>
      </c>
      <c r="BM56" s="1" t="e">
        <f ca="1">_xll.BDH($C$53,"INVENTORY_SEQUENTIAL_GROWTH","FQ3 2014","FQ3 2014","Currency=INR","Period=FQ","BEST_FPERIOD_OVERRIDE=FQ","FILING_STATUS=OR","EQY_CONSOLIDATED=Y","Sort=A","Dates=H","DateFormat=P","Fill=—","Direction=H","UseDPDF=Y")</f>
        <v>#NAME?</v>
      </c>
      <c r="BN56" s="1" t="e">
        <f ca="1">_xll.BDH($C$53,"FIXED_ASSETS_SEQUENTIAL_GROWTH","FQ3 2014","FQ3 2014","Currency=INR","Period=FQ","BEST_FPERIOD_OVERRIDE=FQ","FILING_STATUS=OR","EQY_CONSOLIDATED=Y","Sort=A","Dates=H","DateFormat=P","Fill=—","Direction=H","UseDPDF=Y")</f>
        <v>#NAME?</v>
      </c>
      <c r="BO56" s="1" t="e">
        <f ca="1">_xll.BDH($C$53,"TOTAL_ASSETS_SEQUENTIAL_GROWTH","FQ3 2014","FQ3 2014","Currency=INR","Period=FQ","BEST_FPERIOD_OVERRIDE=FQ","FILING_STATUS=OR","EQY_CONSOLIDATED=Y","Sort=A","Dates=H","DateFormat=P","Fill=—","Direction=H","UseDPDF=Y")</f>
        <v>#NAME?</v>
      </c>
      <c r="BP56" s="1" t="e">
        <f ca="1">_xll.BDH($C$53,"MODIFIED_WORKING_CPTL_SEQ_GRWTH","FQ3 2014","FQ3 2014","Currency=INR","Period=FQ","BEST_FPERIOD_OVERRIDE=FQ","FILING_STATUS=OR","EQY_CONSOLIDATED=Y","Sort=A","Dates=H","DateFormat=P","Fill=—","Direction=H","UseDPDF=Y")</f>
        <v>#NAME?</v>
      </c>
      <c r="BQ56" s="1" t="e">
        <f ca="1">_xll.BDH($C$53,"WORKING_CAPITAL_SEQ_GROWTH","FQ3 2014","FQ3 2014","Currency=INR","Period=FQ","BEST_FPERIOD_OVERRIDE=FQ","FILING_STATUS=OR","EQY_CONSOLIDATED=Y","Sort=A","Dates=H","DateFormat=P","Fill=—","Direction=H","UseDPDF=Y")</f>
        <v>#NAME?</v>
      </c>
      <c r="BR56" s="1" t="e">
        <f ca="1">_xll.BDH($C$53,"ACCOUNTS_PAYABLE_SEQ_GROWTH","FQ3 2014","FQ3 2014","Currency=INR","Period=FQ","BEST_FPERIOD_OVERRIDE=FQ","FILING_STATUS=OR","EQY_CONSOLIDATED=Y","Sort=A","Dates=H","DateFormat=P","Fill=—","Direction=H","UseDPDF=Y")</f>
        <v>#NAME?</v>
      </c>
      <c r="BS56" s="1" t="e">
        <f ca="1">_xll.BDH($C$53,"ST_DEBT_SEQUENTIAL_GROWTH","FQ3 2014","FQ3 2014","Currency=INR","Period=FQ","BEST_FPERIOD_OVERRIDE=FQ","FILING_STATUS=OR","EQY_CONSOLIDATED=Y","Sort=A","Dates=H","DateFormat=P","Fill=—","Direction=H","UseDPDF=Y")</f>
        <v>#NAME?</v>
      </c>
      <c r="BT56" s="1" t="e">
        <f ca="1">_xll.BDH($C$53,"TOTAL_DEBT_SEQUENTIAL_GROWTH","FQ3 2014","FQ3 2014","Currency=INR","Period=FQ","BEST_FPERIOD_OVERRIDE=FQ","FILING_STATUS=OR","EQY_CONSOLIDATED=Y","Sort=A","Dates=H","DateFormat=P","Fill=—","Direction=H","UseDPDF=Y")</f>
        <v>#NAME?</v>
      </c>
      <c r="BU56" s="1" t="e">
        <f ca="1">_xll.BDH($C$53,"TOTAL_EQUITY_SEQUENTIAL_GROWTH","FQ3 2014","FQ3 2014","Currency=INR","Period=FQ","BEST_FPERIOD_OVERRIDE=FQ","FILING_STATUS=OR","EQY_CONSOLIDATED=Y","Sort=A","Dates=H","DateFormat=P","Fill=—","Direction=H","UseDPDF=Y")</f>
        <v>#NAME?</v>
      </c>
      <c r="BV56" s="1" t="e">
        <f ca="1">_xll.BDH($C$53,"TOTAL_CAPITAL_SEQUENTIAL_GROWTH","FQ3 2014","FQ3 2014","Currency=INR","Period=FQ","BEST_FPERIOD_OVERRIDE=FQ","FILING_STATUS=OR","EQY_CONSOLIDATED=Y","Sort=A","Dates=H","DateFormat=P","Fill=—","Direction=H","UseDPDF=Y")</f>
        <v>#NAME?</v>
      </c>
      <c r="BW56" s="1" t="e">
        <f ca="1">_xll.BDH($C$53,"BPS_SEQUENTIAL_GROWTH","FQ3 2014","FQ3 2014","Currency=INR","Period=FQ","BEST_FPERIOD_OVERRIDE=FQ","FILING_STATUS=OR","EQY_CONSOLIDATED=Y","Sort=A","Dates=H","DateFormat=P","Fill=—","Direction=H","UseDPDF=Y")</f>
        <v>#NAME?</v>
      </c>
      <c r="BX56" s="1" t="e">
        <f ca="1">_xll.BDH($C$53,"CFO_SEQUENTIAL_GROWTH","FQ3 2014","FQ3 2014","Currency=INR","Period=FQ","BEST_FPERIOD_OVERRIDE=FQ","FILING_STATUS=OR","EQY_CONSOLIDATED=Y","Sort=A","Dates=H","DateFormat=P","Fill=—","Direction=H","UseDPDF=Y")</f>
        <v>#NAME?</v>
      </c>
      <c r="BY56" s="2" t="e">
        <f ca="1">_xll.BDH($C$53,"SHORT_AND_LONG_TERM_DEBT","FQ3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6" s="2" t="e">
        <f ca="1">_xll.BDH($C$53,"BS_ST_BORROW","FQ3 2014","FQ3 2014","Currency=INR","Period=FQ","BEST_FPERIOD_OVERRIDE=FQ","FILING_STATUS=OR","EQY_CONSOLIDATED=Y","SCALING_FORMAT=MLN","Sort=A","Dates=H","DateFormat=P","Fill=—","Direction=H","UseDPDF=Y")</f>
        <v>#NAME?</v>
      </c>
      <c r="CA56" s="2" t="e">
        <f ca="1">_xll.BDH($C$53,"BS_LT_BORROW","FQ3 2014","FQ3 2014","Currency=INR","Period=FQ","BEST_FPERIOD_OVERRIDE=FQ","FILING_STATUS=OR","EQY_CONSOLIDATED=Y","SCALING_FORMAT=MLN","Sort=A","Dates=H","DateFormat=P","Fill=—","Direction=H","UseDPDF=Y")</f>
        <v>#NAME?</v>
      </c>
      <c r="CB56" s="1" t="e">
        <f ca="1">_xll.BDH($C$53,"TOT_DEBT_TO_EBITDA","FQ3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6" s="1" t="e">
        <f ca="1">_xll.BDH($C$53,"NET_DEBT_TO_EBITDA","FQ3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6" s="1" t="e">
        <f ca="1">_xll.BDH($C$53,"TOTAL_DEBT_TO_EBIT","FQ3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6" s="1" t="e">
        <f ca="1">_xll.BDH($C$53,"NET_DEBT_TO_EBIT","FQ3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56" s="1" t="e">
        <f ca="1">_xll.BDH($C$53,"EBITDA_TO_INTEREST_EXPN","FQ3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6" s="1" t="e">
        <f ca="1">_xll.BDH($C$53,"COM_EQY_TO_TOT_ASSET","FQ3 2014","FQ3 2014","Currency=INR","Period=FQ","BEST_FPERIOD_OVERRIDE=FQ","FILING_STATUS=OR","EQY_CONSOLIDATED=Y","Sort=A","Dates=H","DateFormat=P","Fill=—","Direction=H","UseDPDF=Y")</f>
        <v>#NAME?</v>
      </c>
      <c r="CH56" s="1" t="e">
        <f ca="1">_xll.BDH($C$53,"LT_DEBT_TO_TOT_EQY","FQ3 2014","FQ3 2014","Currency=INR","Period=FQ","BEST_FPERIOD_OVERRIDE=FQ","FILING_STATUS=OR","EQY_CONSOLIDATED=Y","Sort=A","Dates=H","DateFormat=P","Fill=—","Direction=H","UseDPDF=Y")</f>
        <v>#NAME?</v>
      </c>
      <c r="CI56" s="1" t="e">
        <f ca="1">_xll.BDH($C$53,"LT_DEBT_TO_TOT_CAP","FQ3 2014","FQ3 2014","Currency=INR","Period=FQ","BEST_FPERIOD_OVERRIDE=FQ","FILING_STATUS=OR","EQY_CONSOLIDATED=Y","Sort=A","Dates=H","DateFormat=P","Fill=—","Direction=H","UseDPDF=Y")</f>
        <v>#NAME?</v>
      </c>
      <c r="CJ56" s="1" t="e">
        <f ca="1">_xll.BDH($C$53,"LT_DEBT_TO_TOT_ASSET","FQ3 2014","FQ3 2014","Currency=INR","Period=FQ","BEST_FPERIOD_OVERRIDE=FQ","FILING_STATUS=OR","EQY_CONSOLIDATED=Y","Sort=A","Dates=H","DateFormat=P","Fill=—","Direction=H","UseDPDF=Y")</f>
        <v>#NAME?</v>
      </c>
      <c r="CK56" s="1" t="e">
        <f ca="1">_xll.BDH($C$53,"TOT_DEBT_TO_TOT_EQY","FQ3 2014","FQ3 2014","Currency=INR","Period=FQ","BEST_FPERIOD_OVERRIDE=FQ","FILING_STATUS=OR","EQY_CONSOLIDATED=Y","Sort=A","Dates=H","DateFormat=P","Fill=—","Direction=H","UseDPDF=Y")</f>
        <v>#NAME?</v>
      </c>
      <c r="CL56" s="1" t="e">
        <f ca="1">_xll.BDH($C$53,"TOT_DEBT_TO_TOT_CAP","FQ3 2014","FQ3 2014","Currency=INR","Period=FQ","BEST_FPERIOD_OVERRIDE=FQ","FILING_STATUS=OR","EQY_CONSOLIDATED=Y","Sort=A","Dates=H","DateFormat=P","Fill=—","Direction=H","UseDPDF=Y")</f>
        <v>#NAME?</v>
      </c>
      <c r="CM56" s="1" t="e">
        <f ca="1">_xll.BDH($C$53,"TOT_DEBT_TO_TOT_ASSET","FQ3 2014","FQ3 2014","Currency=INR","Period=FQ","BEST_FPERIOD_OVERRIDE=FQ","FILING_STATUS=OR","EQY_CONSOLIDATED=Y","Sort=A","Dates=H","DateFormat=P","Fill=—","Direction=H","UseDPDF=Y")</f>
        <v>#NAME?</v>
      </c>
      <c r="CN56" s="1" t="e">
        <f ca="1">_xll.BDH($C$53,"NET_DEBT_TO_SHRHLDR_EQTY","FQ3 2014","FQ3 2014","Currency=INR","Period=FQ","BEST_FPERIOD_OVERRIDE=FQ","FILING_STATUS=OR","EQY_CONSOLIDATED=Y","Sort=A","Dates=H","DateFormat=P","Fill=—","Direction=H","UseDPDF=Y")</f>
        <v>#NAME?</v>
      </c>
      <c r="CO56" s="1" t="e">
        <f ca="1">_xll.BDH($C$53,"NET_DEBT_%_CAPITAL","FQ3 2014","FQ3 2014","Currency=INR","Period=FQ","BEST_FPERIOD_OVERRIDE=FQ","FILING_STATUS=OR","EQY_CONSOLIDATED=Y","Sort=A","Dates=H","DateFormat=P","Fill=—","Direction=H","UseDPDF=Y")</f>
        <v>#NAME?</v>
      </c>
      <c r="CP56" s="2" t="e">
        <f ca="1">_xll.BDH($C$53,"EBITDA","FQ3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6" s="2" t="e">
        <f ca="1">_xll.BDH($C$53,"EBITDA_AFTER_CAPEX","FQ3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6" s="2" t="e">
        <f ca="1">_xll.BDH($C$53,"IS_OPER_INC","FQ3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6" s="1" t="e">
        <f ca="1">_xll.BDH($C$53,"CASH_RATIO","FQ3 2014","FQ3 2014","Currency=INR","Period=FQ","BEST_FPERIOD_OVERRIDE=FQ","FILING_STATUS=OR","EQY_CONSOLIDATED=Y","Sort=A","Dates=H","DateFormat=P","Fill=—","Direction=H","UseDPDF=Y")</f>
        <v>#NAME?</v>
      </c>
      <c r="CT56" s="1" t="e">
        <f ca="1">_xll.BDH($C$53,"CUR_RATIO","FQ3 2014","FQ3 2014","Currency=INR","Period=FQ","BEST_FPERIOD_OVERRIDE=FQ","FILING_STATUS=OR","EQY_CONSOLIDATED=Y","Sort=A","Dates=H","DateFormat=P","Fill=—","Direction=H","UseDPDF=Y")</f>
        <v>#NAME?</v>
      </c>
      <c r="CU56" s="1" t="e">
        <f ca="1">_xll.BDH($C$53,"QUICK_RATIO","FQ3 2014","FQ3 2014","Currency=INR","Period=FQ","BEST_FPERIOD_OVERRIDE=FQ","FILING_STATUS=OR","EQY_CONSOLIDATED=Y","Sort=A","Dates=H","DateFormat=P","Fill=—","Direction=H","UseDPDF=Y")</f>
        <v>#NAME?</v>
      </c>
      <c r="CV56" s="1" t="e">
        <f ca="1">_xll.BDH($C$53,"ALTMAN_Z_SCORE","FQ3 2014","FQ3 2014","Currency=INR","Period=FQ","BEST_FPERIOD_OVERRIDE=FQ","FILING_STATUS=OR","EQY_CONSOLIDATED=Y","Sort=A","Dates=H","DateFormat=P","Fill=—","Direction=H","UseDPDF=Y")</f>
        <v>#NAME?</v>
      </c>
      <c r="CW56" s="3" t="e">
        <f ca="1">_xll.BDH($C$53,"ACCT_RCV_TURN","FQ3 2014","FQ3 2014","Currency=INR","Period=FQ","BEST_FPERIOD_OVERRIDE=FQ","FILING_STATUS=OR","EQY_CONSOLIDATED=Y","FA_ADJUSTED=GAAP","Sort=A","Dates=H","DateFormat=P","Fill=—","Direction=H","UseDPDF=Y")</f>
        <v>#NAME?</v>
      </c>
      <c r="CX56" s="1" t="e">
        <f ca="1">_xll.BDH($C$53,"ACCT_RCV_DAYS","FQ3 2014","FQ3 2014","Currency=INR","Period=FQ","BEST_FPERIOD_OVERRIDE=FQ","FILING_STATUS=OR","EQY_CONSOLIDATED=Y","FA_ADJUSTED=GAAP","Sort=A","Dates=H","DateFormat=P","Fill=—","Direction=H","UseDPDF=Y")</f>
        <v>#NAME?</v>
      </c>
      <c r="CY56" s="3" t="e">
        <f ca="1">_xll.BDH($C$53,"INVENT_TURN","FQ3 2014","FQ3 2014","Currency=INR","Period=FQ","BEST_FPERIOD_OVERRIDE=FQ","FILING_STATUS=OR","EQY_CONSOLIDATED=Y","FA_ADJUSTED=GAAP","Sort=A","Dates=H","DateFormat=P","Fill=—","Direction=H","UseDPDF=Y")</f>
        <v>#NAME?</v>
      </c>
      <c r="CZ56" s="1" t="e">
        <f ca="1">_xll.BDH($C$53,"INVENT_DAYS","FQ3 2014","FQ3 2014","Currency=INR","Period=FQ","BEST_FPERIOD_OVERRIDE=FQ","FILING_STATUS=OR","EQY_CONSOLIDATED=Y","FA_ADJUSTED=GAAP","Sort=A","Dates=H","DateFormat=P","Fill=—","Direction=H","UseDPDF=Y")</f>
        <v>#NAME?</v>
      </c>
      <c r="DA56" s="3" t="e">
        <f ca="1">_xll.BDH($C$53,"ACCOUNTS_PAYABLE_TURNOVER","FQ3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6" s="1" t="e">
        <f ca="1">_xll.BDH($C$53,"ACCOUNTS_PAYABLE_TURNOVER_DAYS","FQ3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6" s="3" t="e">
        <f ca="1">_xll.BDH($C$53,"CASH_CONVERSION_CYCLE","FQ3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6" s="3" t="e">
        <f ca="1">_xll.BDH($C$53,"INV_TO_CASH_DAYS","FQ3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56" s="4" t="e">
        <f ca="1">_xll.BDH($C$53,"BS_INVENTORIES","FQ3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56" s="2" t="e">
        <f ca="1">_xll.BDH($C$53,"INVTRY_RAW_MATERIALS","FQ3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6" s="2" t="e">
        <f ca="1">_xll.BDH($C$53,"INVTRY_IN_PROGRESS","FQ3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6" s="2" t="e">
        <f ca="1">_xll.BDH($C$53,"INVTRY_FINISHED_GOODS","FQ3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6" s="2" t="e">
        <f ca="1">_xll.BDH($C$53,"BS_OTHER_INV","FQ3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7" spans="1:113" x14ac:dyDescent="0.3">
      <c r="A57" s="6"/>
      <c r="B57" s="6"/>
      <c r="C57" s="6"/>
      <c r="D57" s="6"/>
      <c r="E57" t="s">
        <v>7</v>
      </c>
      <c r="F57" t="e">
        <f ca="1">_xll.BDH($C$53,"RETURN_COM_EQY","FQ4 2014","FQ4 2014","Currency=INR","Period=FQ","BEST_FPERIOD_OVERRIDE=FQ","FILING_STATUS=OR","EQY_CONSOLIDATED=Y","FA_ADJUSTED=GAAP","Sort=A","Dates=H","DateFormat=P","Fill=—","Direction=H","UseDPDF=Y")</f>
        <v>#NAME?</v>
      </c>
      <c r="G57" t="e">
        <f ca="1">_xll.BDH($C$53,"RETURN_ON_ASSET","FQ4 2014","FQ4 2014","Currency=INR","Period=FQ","BEST_FPERIOD_OVERRIDE=FQ","FILING_STATUS=OR","EQY_CONSOLIDATED=Y","FA_ADJUSTED=GAAP","Sort=A","Dates=H","DateFormat=P","Fill=—","Direction=H","UseDPDF=Y")</f>
        <v>#NAME?</v>
      </c>
      <c r="H57" t="e">
        <f ca="1">_xll.BDH($C$53,"RETURN_ON_CAP","FQ4 2014","FQ4 2014","Currency=INR","Period=FQ","BEST_FPERIOD_OVERRIDE=FQ","FILING_STATUS=OR","EQY_CONSOLIDATED=Y","FA_ADJUSTED=GAAP","Sort=A","Dates=H","DateFormat=P","Fill=—","Direction=H","UseDPDF=Y")</f>
        <v>#NAME?</v>
      </c>
      <c r="I57" t="e">
        <f ca="1">_xll.BDH($C$53,"RETURN_ON_INV_CAPITAL","FQ4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7" t="e">
        <f ca="1">_xll.BDH($C$53,"EBITDA_TO_REVENUE","FQ4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57" t="e">
        <f ca="1">_xll.BDH($C$53,"OPER_MARGIN","FQ4 2014","FQ4 2014","Currency=INR","Period=FQ","BEST_FPERIOD_OVERRIDE=FQ","FILING_STATUS=OR","EQY_CONSOLIDATED=Y","FA_ADJUSTED=GAAP","Sort=A","Dates=H","DateFormat=P","Fill=—","Direction=H","UseDPDF=Y")</f>
        <v>#NAME?</v>
      </c>
      <c r="L57" t="e">
        <f ca="1">_xll.BDH($C$53,"INCREMENTAL_OPERATING_MARGIN","FQ4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7" t="e">
        <f ca="1">_xll.BDH($C$53,"PRETAX_INC_TO_NET_SALES","FQ4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7" t="e">
        <f ca="1">_xll.BDH($C$53,"INC_BEF_XO_ITEMS_TO_NET_SALES","FQ4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7" t="e">
        <f ca="1">_xll.BDH($C$53,"PROF_MARGIN","FQ4 2014","FQ4 2014","Currency=INR","Period=FQ","BEST_FPERIOD_OVERRIDE=FQ","FILING_STATUS=OR","EQY_CONSOLIDATED=Y","FA_ADJUSTED=GAAP","Sort=A","Dates=H","DateFormat=P","Fill=—","Direction=H","UseDPDF=Y")</f>
        <v>#NAME?</v>
      </c>
      <c r="P57" t="e">
        <f ca="1">_xll.BDH($C$53,"NET_INCOME_TO_COMMON_MARGIN","FQ4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7" t="e">
        <f ca="1">_xll.BDH($C$53,"EFF_TAX_RATE","FQ4 2014","FQ4 2014","Currency=INR","Period=FQ","BEST_FPERIOD_OVERRIDE=FQ","FILING_STATUS=OR","EQY_CONSOLIDATED=Y","FA_ADJUSTED=GAAP","Sort=A","Dates=H","DateFormat=P","Fill=—","Direction=H","UseDPDF=Y")</f>
        <v>#NAME?</v>
      </c>
      <c r="R57" t="e">
        <f ca="1">_xll.BDH($C$53,"DVD_PAYOUT_RATIO","FQ4 2014","FQ4 2014","Currency=INR","Period=FQ","BEST_FPERIOD_OVERRIDE=FQ","FILING_STATUS=OR","EQY_CONSOLIDATED=Y","FA_ADJUSTED=GAAP","Sort=A","Dates=H","DateFormat=P","Fill=—","Direction=H","UseDPDF=Y")</f>
        <v>#NAME?</v>
      </c>
      <c r="S57" t="e">
        <f ca="1">_xll.BDH($C$53,"SUSTAIN_GROWTH_RT","FQ4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57" s="1" t="e">
        <f ca="1">_xll.BDH($C$53,"SALES_GROWTH","FQ4 2014","FQ4 2014","Currency=INR","Period=FQ","BEST_FPERIOD_OVERRIDE=FQ","FILING_STATUS=OR","EQY_CONSOLIDATED=Y","FA_ADJUSTED=GAAP","Sort=A","Dates=H","DateFormat=P","Fill=—","Direction=H","UseDPDF=Y")</f>
        <v>#NAME?</v>
      </c>
      <c r="U57" s="1" t="e">
        <f ca="1">_xll.BDH($C$53,"EBITDA_GROWTH","FQ4 2014","FQ4 2014","Currency=INR","Period=FQ","BEST_FPERIOD_OVERRIDE=FQ","FILING_STATUS=OR","EQY_CONSOLIDATED=Y","FA_ADJUSTED=GAAP","Sort=A","Dates=H","DateFormat=P","Fill=—","Direction=H","UseDPDF=Y")</f>
        <v>#NAME?</v>
      </c>
      <c r="V57" s="1" t="e">
        <f ca="1">_xll.BDH($C$53,"OPER_INC_GROWTH","FQ4 2014","FQ4 2014","Currency=INR","Period=FQ","BEST_FPERIOD_OVERRIDE=FQ","FILING_STATUS=OR","EQY_CONSOLIDATED=Y","FA_ADJUSTED=GAAP","Sort=A","Dates=H","DateFormat=P","Fill=—","Direction=H","UseDPDF=Y")</f>
        <v>#NAME?</v>
      </c>
      <c r="W57" s="1" t="e">
        <f ca="1">_xll.BDH($C$53,"EARN_FOR_COM_GROWTH","FQ4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7" s="1" t="e">
        <f ca="1">_xll.BDH($C$53,"DILUTED_EPS_AFT_XO_ITEMS_GROWTH","FQ4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7" s="1" t="e">
        <f ca="1">_xll.BDH($C$53,"DIVIDEND_PER_SHARE_1_YEAR_GROWTH","FQ4 2014","FQ4 2014","Currency=INR","Period=FQ","BEST_FPERIOD_OVERRIDE=FQ","FILING_STATUS=OR","EQY_CONSOLIDATED=Y","Sort=A","Dates=H","DateFormat=P","Fill=—","Direction=H","UseDPDF=Y")</f>
        <v>#NAME?</v>
      </c>
      <c r="Z57" s="1" t="e">
        <f ca="1">_xll.BDH($C$53,"ACCOUNTS_RECEIVABLE_GROWTH","FQ4 2014","FQ4 2014","Currency=INR","Period=FQ","BEST_FPERIOD_OVERRIDE=FQ","FILING_STATUS=OR","EQY_CONSOLIDATED=Y","Sort=A","Dates=H","DateFormat=P","Fill=—","Direction=H","UseDPDF=Y")</f>
        <v>#NAME?</v>
      </c>
      <c r="AA57" s="1" t="e">
        <f ca="1">_xll.BDH($C$53,"INVENTORY_GROWTH","FQ4 2014","FQ4 2014","Currency=INR","Period=FQ","BEST_FPERIOD_OVERRIDE=FQ","FILING_STATUS=OR","EQY_CONSOLIDATED=Y","Sort=A","Dates=H","DateFormat=P","Fill=—","Direction=H","UseDPDF=Y")</f>
        <v>#NAME?</v>
      </c>
      <c r="AB57" s="1" t="e">
        <f ca="1">_xll.BDH($C$53,"NET_FIXED_ASSETS_1_YEAR_GROWTH","FQ4 2014","FQ4 2014","Currency=INR","Period=FQ","BEST_FPERIOD_OVERRIDE=FQ","FILING_STATUS=OR","EQY_CONSOLIDATED=Y","Sort=A","Dates=H","DateFormat=P","Fill=—","Direction=H","UseDPDF=Y")</f>
        <v>#NAME?</v>
      </c>
      <c r="AC57" s="1" t="e">
        <f ca="1">_xll.BDH($C$53,"ASSET_GROWTH","FQ4 2014","FQ4 2014","Currency=INR","Period=FQ","BEST_FPERIOD_OVERRIDE=FQ","FILING_STATUS=OR","EQY_CONSOLIDATED=Y","Sort=A","Dates=H","DateFormat=P","Fill=—","Direction=H","UseDPDF=Y")</f>
        <v>#NAME?</v>
      </c>
      <c r="AD57" s="1" t="e">
        <f ca="1">_xll.BDH($C$53,"MODIFIED_WORK_CAP_GROWTH","FQ4 2014","FQ4 2014","Currency=INR","Period=FQ","BEST_FPERIOD_OVERRIDE=FQ","FILING_STATUS=OR","EQY_CONSOLIDATED=Y","Sort=A","Dates=H","DateFormat=P","Fill=—","Direction=H","UseDPDF=Y")</f>
        <v>#NAME?</v>
      </c>
      <c r="AE57" s="1" t="e">
        <f ca="1">_xll.BDH($C$53,"WORK_CAP_GROWTH","FQ4 2014","FQ4 2014","Currency=INR","Period=FQ","BEST_FPERIOD_OVERRIDE=FQ","FILING_STATUS=OR","EQY_CONSOLIDATED=Y","Sort=A","Dates=H","DateFormat=P","Fill=—","Direction=H","UseDPDF=Y")</f>
        <v>#NAME?</v>
      </c>
      <c r="AF57" s="1" t="e">
        <f ca="1">_xll.BDH($C$53,"ACCOUNTS_PAYABLE_GROWTH_1YR","FQ4 2014","FQ4 2014","Currency=INR","Period=FQ","BEST_FPERIOD_OVERRIDE=FQ","FILING_STATUS=OR","EQY_CONSOLIDATED=Y","Sort=A","Dates=H","DateFormat=P","Fill=—","Direction=H","UseDPDF=Y")</f>
        <v>#NAME?</v>
      </c>
      <c r="AG57" s="1" t="e">
        <f ca="1">_xll.BDH($C$53,"SHORT_TERM_DEBT_1_YEAR_GROWTH","FQ4 2014","FQ4 2014","Currency=INR","Period=FQ","BEST_FPERIOD_OVERRIDE=FQ","FILING_STATUS=OR","EQY_CONSOLIDATED=Y","Sort=A","Dates=H","DateFormat=P","Fill=—","Direction=H","UseDPDF=Y")</f>
        <v>#NAME?</v>
      </c>
      <c r="AH57" s="1" t="e">
        <f ca="1">_xll.BDH($C$53,"TOTAL_DEBT_1_YEAR_GROWTH","FQ4 2014","FQ4 2014","Currency=INR","Period=FQ","BEST_FPERIOD_OVERRIDE=FQ","FILING_STATUS=OR","EQY_CONSOLIDATED=Y","Sort=A","Dates=H","DateFormat=P","Fill=—","Direction=H","UseDPDF=Y")</f>
        <v>#NAME?</v>
      </c>
      <c r="AI57" s="1" t="e">
        <f ca="1">_xll.BDH($C$53,"TOTAL_EQUITY_1_YEAR_GROWTH","FQ4 2014","FQ4 2014","Currency=INR","Period=FQ","BEST_FPERIOD_OVERRIDE=FQ","FILING_STATUS=OR","EQY_CONSOLIDATED=Y","Sort=A","Dates=H","DateFormat=P","Fill=—","Direction=H","UseDPDF=Y")</f>
        <v>#NAME?</v>
      </c>
      <c r="AJ57" s="1" t="e">
        <f ca="1">_xll.BDH($C$53,"GROWTH_IN_CAP","FQ4 2014","FQ4 2014","Currency=INR","Period=FQ","BEST_FPERIOD_OVERRIDE=FQ","FILING_STATUS=OR","EQY_CONSOLIDATED=Y","Sort=A","Dates=H","DateFormat=P","Fill=—","Direction=H","UseDPDF=Y")</f>
        <v>#NAME?</v>
      </c>
      <c r="AK57" s="1" t="e">
        <f ca="1">_xll.BDH($C$53,"BVPS_GROWTH","FQ4 2014","FQ4 2014","Currency=INR","Period=FQ","BEST_FPERIOD_OVERRIDE=FQ","FILING_STATUS=OR","EQY_CONSOLIDATED=Y","Sort=A","Dates=H","DateFormat=P","Fill=—","Direction=H","UseDPDF=Y")</f>
        <v>#NAME?</v>
      </c>
      <c r="AL57" s="1" t="e">
        <f ca="1">_xll.BDH($C$53,"CASH_FLOW_GROWTH","FQ4 2014","FQ4 2014","Currency=INR","Period=FQ","BEST_FPERIOD_OVERRIDE=FQ","FILING_STATUS=OR","EQY_CONSOLIDATED=Y","Sort=A","Dates=H","DateFormat=P","Fill=—","Direction=H","UseDPDF=Y")</f>
        <v>#NAME?</v>
      </c>
      <c r="AM57" s="1" t="e">
        <f ca="1">_xll.BDH($C$53,"GEO_GROW_NET_SALES","FQ4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7" s="1" t="e">
        <f ca="1">_xll.BDH($C$53,"GEO_GROW_EBITDA","FQ4 2014","FQ4 2014","Currency=INR","Period=FQ","BEST_FPERIOD_OVERRIDE=FQ","FILING_STATUS=OR","EQY_CONSOLIDATED=Y","FA_ADJUSTED=GAAP","Sort=A","Dates=H","DateFormat=P","Fill=—","Direction=H","UseDPDF=Y")</f>
        <v>#NAME?</v>
      </c>
      <c r="AO57" s="1" t="e">
        <f ca="1">_xll.BDH($C$53,"GEO_GROW_OPER_INC","FQ4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7" s="1" t="e">
        <f ca="1">_xll.BDH($C$53,"NET_INCOME_TO_COMMON_5_YR_GROWTH","FQ4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7" s="1" t="e">
        <f ca="1">_xll.BDH($C$53,"5Y_GEO_GROWTH_DILUTED_EPS","FQ4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7" s="1" t="e">
        <f ca="1">_xll.BDH($C$53,"GEO_GROW_DVD_PER_SH","FQ4 2014","FQ4 2014","Currency=INR","Period=FQ","BEST_FPERIOD_OVERRIDE=FQ","FILING_STATUS=OR","EQY_CONSOLIDATED=Y","Sort=A","Dates=H","DateFormat=P","Fill=—","Direction=H","UseDPDF=Y")</f>
        <v>#NAME?</v>
      </c>
      <c r="AS57" s="1" t="e">
        <f ca="1">_xll.BDH($C$53,"ACCOUNTS_RECEIVABLE_5_YR_GROWTH","FQ4 2014","FQ4 2014","Currency=INR","Period=FQ","BEST_FPERIOD_OVERRIDE=FQ","FILING_STATUS=OR","EQY_CONSOLIDATED=Y","Sort=A","Dates=H","DateFormat=P","Fill=—","Direction=H","UseDPDF=Y")</f>
        <v>#NAME?</v>
      </c>
      <c r="AT57" s="1" t="e">
        <f ca="1">_xll.BDH($C$53,"INVENTORY_5_YEAR_GROWTH","FQ4 2014","FQ4 2014","Currency=INR","Period=FQ","BEST_FPERIOD_OVERRIDE=FQ","FILING_STATUS=OR","EQY_CONSOLIDATED=Y","Sort=A","Dates=H","DateFormat=P","Fill=—","Direction=H","UseDPDF=Y")</f>
        <v>#NAME?</v>
      </c>
      <c r="AU57" s="1" t="e">
        <f ca="1">_xll.BDH($C$53,"NET_FIXED_ASSETS_5_YEAR_GROWTH","FQ4 2014","FQ4 2014","Currency=INR","Period=FQ","BEST_FPERIOD_OVERRIDE=FQ","FILING_STATUS=OR","EQY_CONSOLIDATED=Y","Sort=A","Dates=H","DateFormat=P","Fill=—","Direction=H","UseDPDF=Y")</f>
        <v>#NAME?</v>
      </c>
      <c r="AV57" s="1" t="e">
        <f ca="1">_xll.BDH($C$53,"GEO_GROW_TOT_ASSET","FQ4 2014","FQ4 2014","Currency=INR","Period=FQ","BEST_FPERIOD_OVERRIDE=FQ","FILING_STATUS=OR","EQY_CONSOLIDATED=Y","Sort=A","Dates=H","DateFormat=P","Fill=—","Direction=H","UseDPDF=Y")</f>
        <v>#NAME?</v>
      </c>
      <c r="AW57" s="1" t="e">
        <f ca="1">_xll.BDH($C$53,"MODIFIED_WORKING_CPTL_5YR_GRWTH","FQ4 2014","FQ4 2014","Currency=INR","Period=FQ","BEST_FPERIOD_OVERRIDE=FQ","FILING_STATUS=OR","EQY_CONSOLIDATED=Y","Sort=A","Dates=H","DateFormat=P","Fill=—","Direction=H","UseDPDF=Y")</f>
        <v>#NAME?</v>
      </c>
      <c r="AX57" s="1" t="e">
        <f ca="1">_xll.BDH($C$53,"WORKING_CAPITAL_5_YEAR_GROWTH","FQ4 2014","FQ4 2014","Currency=INR","Period=FQ","BEST_FPERIOD_OVERRIDE=FQ","FILING_STATUS=OR","EQY_CONSOLIDATED=Y","Sort=A","Dates=H","DateFormat=P","Fill=—","Direction=H","UseDPDF=Y")</f>
        <v>#NAME?</v>
      </c>
      <c r="AY57" s="1" t="e">
        <f ca="1">_xll.BDH($C$53,"ACCOUNTS_PAYABLE_5_YEAR_GROWTH","FQ4 2014","FQ4 2014","Currency=INR","Period=FQ","BEST_FPERIOD_OVERRIDE=FQ","FILING_STATUS=OR","EQY_CONSOLIDATED=Y","Sort=A","Dates=H","DateFormat=P","Fill=—","Direction=H","UseDPDF=Y")</f>
        <v>#NAME?</v>
      </c>
      <c r="AZ57" s="1" t="e">
        <f ca="1">_xll.BDH($C$53,"SHORT_TERM_DEBT_5_YEAR_GROWTH","FQ4 2014","FQ4 2014","Currency=INR","Period=FQ","BEST_FPERIOD_OVERRIDE=FQ","FILING_STATUS=OR","EQY_CONSOLIDATED=Y","Sort=A","Dates=H","DateFormat=P","Fill=—","Direction=H","UseDPDF=Y")</f>
        <v>#NAME?</v>
      </c>
      <c r="BA57" s="1" t="e">
        <f ca="1">_xll.BDH($C$53,"TOTAL_DEBT_5_YEAR_GROWTH","FQ4 2014","FQ4 2014","Currency=INR","Period=FQ","BEST_FPERIOD_OVERRIDE=FQ","FILING_STATUS=OR","EQY_CONSOLIDATED=Y","Sort=A","Dates=H","DateFormat=P","Fill=—","Direction=H","UseDPDF=Y")</f>
        <v>#NAME?</v>
      </c>
      <c r="BB57" s="1" t="e">
        <f ca="1">_xll.BDH($C$53,"GEO_GROW_TOT_SHRHLDR_EQY","FQ4 2014","FQ4 2014","Currency=INR","Period=FQ","BEST_FPERIOD_OVERRIDE=FQ","FILING_STATUS=OR","EQY_CONSOLIDATED=Y","Sort=A","Dates=H","DateFormat=P","Fill=—","Direction=H","UseDPDF=Y")</f>
        <v>#NAME?</v>
      </c>
      <c r="BC57" s="1" t="e">
        <f ca="1">_xll.BDH($C$53,"TOTAL_CAPITAL_5_YEAR_GROWTH","FQ4 2014","FQ4 2014","Currency=INR","Period=FQ","BEST_FPERIOD_OVERRIDE=FQ","FILING_STATUS=OR","EQY_CONSOLIDATED=Y","Sort=A","Dates=H","DateFormat=P","Fill=—","Direction=H","UseDPDF=Y")</f>
        <v>#NAME?</v>
      </c>
      <c r="BD57" s="1" t="e">
        <f ca="1">_xll.BDH($C$53,"GEO_GROW_BOOK_VAL","FQ4 2014","FQ4 2014","Currency=INR","Period=FQ","BEST_FPERIOD_OVERRIDE=FQ","FILING_STATUS=OR","EQY_CONSOLIDATED=Y","Sort=A","Dates=H","DateFormat=P","Fill=—","Direction=H","UseDPDF=Y")</f>
        <v>#NAME?</v>
      </c>
      <c r="BE57" s="1" t="e">
        <f ca="1">_xll.BDH($C$53,"GEO_GROW_CASH_OPER_ACT","FQ4 2014","FQ4 2014","Currency=INR","Period=FQ","BEST_FPERIOD_OVERRIDE=FQ","FILING_STATUS=OR","EQY_CONSOLIDATED=Y","Sort=A","Dates=H","DateFormat=P","Fill=—","Direction=H","UseDPDF=Y")</f>
        <v>#NAME?</v>
      </c>
      <c r="BF57" s="1" t="e">
        <f ca="1">_xll.BDH($C$53,"REVENUE_SEQUENTIAL_GROWTH","FQ4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7" s="1" t="e">
        <f ca="1">_xll.BDH($C$53,"EBITDA_SEQUENTIAL_GROWTH","FQ4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7" s="1" t="e">
        <f ca="1">_xll.BDH($C$53,"OPERATING_INCOME_SEQ_GROWTH","FQ4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7" s="1" t="e">
        <f ca="1">_xll.BDH($C$53,"NET_INCOME_TO_COMMON_SEQ_GROWTH","FQ4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7" s="1" t="e">
        <f ca="1">_xll.BDH($C$53,"EPS_DILUTED_SEQUENTIAL_GROWTH","FQ4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7" s="1" t="e">
        <f ca="1">_xll.BDH($C$53,"DPS_SEQUENTIAL_GROWTH","FQ4 2014","FQ4 2014","Currency=INR","Period=FQ","BEST_FPERIOD_OVERRIDE=FQ","FILING_STATUS=OR","EQY_CONSOLIDATED=Y","Sort=A","Dates=H","DateFormat=P","Fill=—","Direction=H","UseDPDF=Y")</f>
        <v>#NAME?</v>
      </c>
      <c r="BL57" s="1" t="e">
        <f ca="1">_xll.BDH($C$53,"ACCOUNTS_RECEIVABLE_SEQ_GROWTH","FQ4 2014","FQ4 2014","Currency=INR","Period=FQ","BEST_FPERIOD_OVERRIDE=FQ","FILING_STATUS=OR","EQY_CONSOLIDATED=Y","Sort=A","Dates=H","DateFormat=P","Fill=—","Direction=H","UseDPDF=Y")</f>
        <v>#NAME?</v>
      </c>
      <c r="BM57" s="1" t="e">
        <f ca="1">_xll.BDH($C$53,"INVENTORY_SEQUENTIAL_GROWTH","FQ4 2014","FQ4 2014","Currency=INR","Period=FQ","BEST_FPERIOD_OVERRIDE=FQ","FILING_STATUS=OR","EQY_CONSOLIDATED=Y","Sort=A","Dates=H","DateFormat=P","Fill=—","Direction=H","UseDPDF=Y")</f>
        <v>#NAME?</v>
      </c>
      <c r="BN57" s="1" t="e">
        <f ca="1">_xll.BDH($C$53,"FIXED_ASSETS_SEQUENTIAL_GROWTH","FQ4 2014","FQ4 2014","Currency=INR","Period=FQ","BEST_FPERIOD_OVERRIDE=FQ","FILING_STATUS=OR","EQY_CONSOLIDATED=Y","Sort=A","Dates=H","DateFormat=P","Fill=—","Direction=H","UseDPDF=Y")</f>
        <v>#NAME?</v>
      </c>
      <c r="BO57" s="1" t="e">
        <f ca="1">_xll.BDH($C$53,"TOTAL_ASSETS_SEQUENTIAL_GROWTH","FQ4 2014","FQ4 2014","Currency=INR","Period=FQ","BEST_FPERIOD_OVERRIDE=FQ","FILING_STATUS=OR","EQY_CONSOLIDATED=Y","Sort=A","Dates=H","DateFormat=P","Fill=—","Direction=H","UseDPDF=Y")</f>
        <v>#NAME?</v>
      </c>
      <c r="BP57" s="1" t="e">
        <f ca="1">_xll.BDH($C$53,"MODIFIED_WORKING_CPTL_SEQ_GRWTH","FQ4 2014","FQ4 2014","Currency=INR","Period=FQ","BEST_FPERIOD_OVERRIDE=FQ","FILING_STATUS=OR","EQY_CONSOLIDATED=Y","Sort=A","Dates=H","DateFormat=P","Fill=—","Direction=H","UseDPDF=Y")</f>
        <v>#NAME?</v>
      </c>
      <c r="BQ57" s="1" t="e">
        <f ca="1">_xll.BDH($C$53,"WORKING_CAPITAL_SEQ_GROWTH","FQ4 2014","FQ4 2014","Currency=INR","Period=FQ","BEST_FPERIOD_OVERRIDE=FQ","FILING_STATUS=OR","EQY_CONSOLIDATED=Y","Sort=A","Dates=H","DateFormat=P","Fill=—","Direction=H","UseDPDF=Y")</f>
        <v>#NAME?</v>
      </c>
      <c r="BR57" s="1" t="e">
        <f ca="1">_xll.BDH($C$53,"ACCOUNTS_PAYABLE_SEQ_GROWTH","FQ4 2014","FQ4 2014","Currency=INR","Period=FQ","BEST_FPERIOD_OVERRIDE=FQ","FILING_STATUS=OR","EQY_CONSOLIDATED=Y","Sort=A","Dates=H","DateFormat=P","Fill=—","Direction=H","UseDPDF=Y")</f>
        <v>#NAME?</v>
      </c>
      <c r="BS57" s="1" t="e">
        <f ca="1">_xll.BDH($C$53,"ST_DEBT_SEQUENTIAL_GROWTH","FQ4 2014","FQ4 2014","Currency=INR","Period=FQ","BEST_FPERIOD_OVERRIDE=FQ","FILING_STATUS=OR","EQY_CONSOLIDATED=Y","Sort=A","Dates=H","DateFormat=P","Fill=—","Direction=H","UseDPDF=Y")</f>
        <v>#NAME?</v>
      </c>
      <c r="BT57" s="1" t="e">
        <f ca="1">_xll.BDH($C$53,"TOTAL_DEBT_SEQUENTIAL_GROWTH","FQ4 2014","FQ4 2014","Currency=INR","Period=FQ","BEST_FPERIOD_OVERRIDE=FQ","FILING_STATUS=OR","EQY_CONSOLIDATED=Y","Sort=A","Dates=H","DateFormat=P","Fill=—","Direction=H","UseDPDF=Y")</f>
        <v>#NAME?</v>
      </c>
      <c r="BU57" s="1" t="e">
        <f ca="1">_xll.BDH($C$53,"TOTAL_EQUITY_SEQUENTIAL_GROWTH","FQ4 2014","FQ4 2014","Currency=INR","Period=FQ","BEST_FPERIOD_OVERRIDE=FQ","FILING_STATUS=OR","EQY_CONSOLIDATED=Y","Sort=A","Dates=H","DateFormat=P","Fill=—","Direction=H","UseDPDF=Y")</f>
        <v>#NAME?</v>
      </c>
      <c r="BV57" s="1" t="e">
        <f ca="1">_xll.BDH($C$53,"TOTAL_CAPITAL_SEQUENTIAL_GROWTH","FQ4 2014","FQ4 2014","Currency=INR","Period=FQ","BEST_FPERIOD_OVERRIDE=FQ","FILING_STATUS=OR","EQY_CONSOLIDATED=Y","Sort=A","Dates=H","DateFormat=P","Fill=—","Direction=H","UseDPDF=Y")</f>
        <v>#NAME?</v>
      </c>
      <c r="BW57" s="1" t="e">
        <f ca="1">_xll.BDH($C$53,"BPS_SEQUENTIAL_GROWTH","FQ4 2014","FQ4 2014","Currency=INR","Period=FQ","BEST_FPERIOD_OVERRIDE=FQ","FILING_STATUS=OR","EQY_CONSOLIDATED=Y","Sort=A","Dates=H","DateFormat=P","Fill=—","Direction=H","UseDPDF=Y")</f>
        <v>#NAME?</v>
      </c>
      <c r="BX57" s="1" t="e">
        <f ca="1">_xll.BDH($C$53,"CFO_SEQUENTIAL_GROWTH","FQ4 2014","FQ4 2014","Currency=INR","Period=FQ","BEST_FPERIOD_OVERRIDE=FQ","FILING_STATUS=OR","EQY_CONSOLIDATED=Y","Sort=A","Dates=H","DateFormat=P","Fill=—","Direction=H","UseDPDF=Y")</f>
        <v>#NAME?</v>
      </c>
      <c r="BY57" s="2" t="e">
        <f ca="1">_xll.BDH($C$53,"SHORT_AND_LONG_TERM_DEBT","FQ4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7" s="2" t="e">
        <f ca="1">_xll.BDH($C$53,"BS_ST_BORROW","FQ4 2014","FQ4 2014","Currency=INR","Period=FQ","BEST_FPERIOD_OVERRIDE=FQ","FILING_STATUS=OR","EQY_CONSOLIDATED=Y","SCALING_FORMAT=MLN","Sort=A","Dates=H","DateFormat=P","Fill=—","Direction=H","UseDPDF=Y")</f>
        <v>#NAME?</v>
      </c>
      <c r="CA57" s="2" t="e">
        <f ca="1">_xll.BDH($C$53,"BS_LT_BORROW","FQ4 2014","FQ4 2014","Currency=INR","Period=FQ","BEST_FPERIOD_OVERRIDE=FQ","FILING_STATUS=OR","EQY_CONSOLIDATED=Y","SCALING_FORMAT=MLN","Sort=A","Dates=H","DateFormat=P","Fill=—","Direction=H","UseDPDF=Y")</f>
        <v>#NAME?</v>
      </c>
      <c r="CB57" s="1" t="e">
        <f ca="1">_xll.BDH($C$53,"TOT_DEBT_TO_EBITDA","FQ4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7" s="1" t="e">
        <f ca="1">_xll.BDH($C$53,"NET_DEBT_TO_EBITDA","FQ4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7" s="1" t="e">
        <f ca="1">_xll.BDH($C$53,"TOTAL_DEBT_TO_EBIT","FQ4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7" s="1" t="e">
        <f ca="1">_xll.BDH($C$53,"NET_DEBT_TO_EBIT","FQ4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57" s="1" t="e">
        <f ca="1">_xll.BDH($C$53,"EBITDA_TO_INTEREST_EXPN","FQ4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7" s="1" t="e">
        <f ca="1">_xll.BDH($C$53,"COM_EQY_TO_TOT_ASSET","FQ4 2014","FQ4 2014","Currency=INR","Period=FQ","BEST_FPERIOD_OVERRIDE=FQ","FILING_STATUS=OR","EQY_CONSOLIDATED=Y","Sort=A","Dates=H","DateFormat=P","Fill=—","Direction=H","UseDPDF=Y")</f>
        <v>#NAME?</v>
      </c>
      <c r="CH57" s="1" t="e">
        <f ca="1">_xll.BDH($C$53,"LT_DEBT_TO_TOT_EQY","FQ4 2014","FQ4 2014","Currency=INR","Period=FQ","BEST_FPERIOD_OVERRIDE=FQ","FILING_STATUS=OR","EQY_CONSOLIDATED=Y","Sort=A","Dates=H","DateFormat=P","Fill=—","Direction=H","UseDPDF=Y")</f>
        <v>#NAME?</v>
      </c>
      <c r="CI57" s="1" t="e">
        <f ca="1">_xll.BDH($C$53,"LT_DEBT_TO_TOT_CAP","FQ4 2014","FQ4 2014","Currency=INR","Period=FQ","BEST_FPERIOD_OVERRIDE=FQ","FILING_STATUS=OR","EQY_CONSOLIDATED=Y","Sort=A","Dates=H","DateFormat=P","Fill=—","Direction=H","UseDPDF=Y")</f>
        <v>#NAME?</v>
      </c>
      <c r="CJ57" s="1" t="e">
        <f ca="1">_xll.BDH($C$53,"LT_DEBT_TO_TOT_ASSET","FQ4 2014","FQ4 2014","Currency=INR","Period=FQ","BEST_FPERIOD_OVERRIDE=FQ","FILING_STATUS=OR","EQY_CONSOLIDATED=Y","Sort=A","Dates=H","DateFormat=P","Fill=—","Direction=H","UseDPDF=Y")</f>
        <v>#NAME?</v>
      </c>
      <c r="CK57" s="1" t="e">
        <f ca="1">_xll.BDH($C$53,"TOT_DEBT_TO_TOT_EQY","FQ4 2014","FQ4 2014","Currency=INR","Period=FQ","BEST_FPERIOD_OVERRIDE=FQ","FILING_STATUS=OR","EQY_CONSOLIDATED=Y","Sort=A","Dates=H","DateFormat=P","Fill=—","Direction=H","UseDPDF=Y")</f>
        <v>#NAME?</v>
      </c>
      <c r="CL57" s="1" t="e">
        <f ca="1">_xll.BDH($C$53,"TOT_DEBT_TO_TOT_CAP","FQ4 2014","FQ4 2014","Currency=INR","Period=FQ","BEST_FPERIOD_OVERRIDE=FQ","FILING_STATUS=OR","EQY_CONSOLIDATED=Y","Sort=A","Dates=H","DateFormat=P","Fill=—","Direction=H","UseDPDF=Y")</f>
        <v>#NAME?</v>
      </c>
      <c r="CM57" s="1" t="e">
        <f ca="1">_xll.BDH($C$53,"TOT_DEBT_TO_TOT_ASSET","FQ4 2014","FQ4 2014","Currency=INR","Period=FQ","BEST_FPERIOD_OVERRIDE=FQ","FILING_STATUS=OR","EQY_CONSOLIDATED=Y","Sort=A","Dates=H","DateFormat=P","Fill=—","Direction=H","UseDPDF=Y")</f>
        <v>#NAME?</v>
      </c>
      <c r="CN57" s="1" t="e">
        <f ca="1">_xll.BDH($C$53,"NET_DEBT_TO_SHRHLDR_EQTY","FQ4 2014","FQ4 2014","Currency=INR","Period=FQ","BEST_FPERIOD_OVERRIDE=FQ","FILING_STATUS=OR","EQY_CONSOLIDATED=Y","Sort=A","Dates=H","DateFormat=P","Fill=—","Direction=H","UseDPDF=Y")</f>
        <v>#NAME?</v>
      </c>
      <c r="CO57" s="1" t="e">
        <f ca="1">_xll.BDH($C$53,"NET_DEBT_%_CAPITAL","FQ4 2014","FQ4 2014","Currency=INR","Period=FQ","BEST_FPERIOD_OVERRIDE=FQ","FILING_STATUS=OR","EQY_CONSOLIDATED=Y","Sort=A","Dates=H","DateFormat=P","Fill=—","Direction=H","UseDPDF=Y")</f>
        <v>#NAME?</v>
      </c>
      <c r="CP57" s="2" t="e">
        <f ca="1">_xll.BDH($C$53,"EBITDA","FQ4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7" s="2" t="e">
        <f ca="1">_xll.BDH($C$53,"EBITDA_AFTER_CAPEX","FQ4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7" s="2" t="e">
        <f ca="1">_xll.BDH($C$53,"IS_OPER_INC","FQ4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7" s="1" t="e">
        <f ca="1">_xll.BDH($C$53,"CASH_RATIO","FQ4 2014","FQ4 2014","Currency=INR","Period=FQ","BEST_FPERIOD_OVERRIDE=FQ","FILING_STATUS=OR","EQY_CONSOLIDATED=Y","Sort=A","Dates=H","DateFormat=P","Fill=—","Direction=H","UseDPDF=Y")</f>
        <v>#NAME?</v>
      </c>
      <c r="CT57" s="1" t="e">
        <f ca="1">_xll.BDH($C$53,"CUR_RATIO","FQ4 2014","FQ4 2014","Currency=INR","Period=FQ","BEST_FPERIOD_OVERRIDE=FQ","FILING_STATUS=OR","EQY_CONSOLIDATED=Y","Sort=A","Dates=H","DateFormat=P","Fill=—","Direction=H","UseDPDF=Y")</f>
        <v>#NAME?</v>
      </c>
      <c r="CU57" s="1" t="e">
        <f ca="1">_xll.BDH($C$53,"QUICK_RATIO","FQ4 2014","FQ4 2014","Currency=INR","Period=FQ","BEST_FPERIOD_OVERRIDE=FQ","FILING_STATUS=OR","EQY_CONSOLIDATED=Y","Sort=A","Dates=H","DateFormat=P","Fill=—","Direction=H","UseDPDF=Y")</f>
        <v>#NAME?</v>
      </c>
      <c r="CV57" s="1" t="e">
        <f ca="1">_xll.BDH($C$53,"ALTMAN_Z_SCORE","FQ4 2014","FQ4 2014","Currency=INR","Period=FQ","BEST_FPERIOD_OVERRIDE=FQ","FILING_STATUS=OR","EQY_CONSOLIDATED=Y","Sort=A","Dates=H","DateFormat=P","Fill=—","Direction=H","UseDPDF=Y")</f>
        <v>#NAME?</v>
      </c>
      <c r="CW57" s="3" t="e">
        <f ca="1">_xll.BDH($C$53,"ACCT_RCV_TURN","FQ4 2014","FQ4 2014","Currency=INR","Period=FQ","BEST_FPERIOD_OVERRIDE=FQ","FILING_STATUS=OR","EQY_CONSOLIDATED=Y","FA_ADJUSTED=GAAP","Sort=A","Dates=H","DateFormat=P","Fill=—","Direction=H","UseDPDF=Y")</f>
        <v>#NAME?</v>
      </c>
      <c r="CX57" s="1" t="e">
        <f ca="1">_xll.BDH($C$53,"ACCT_RCV_DAYS","FQ4 2014","FQ4 2014","Currency=INR","Period=FQ","BEST_FPERIOD_OVERRIDE=FQ","FILING_STATUS=OR","EQY_CONSOLIDATED=Y","FA_ADJUSTED=GAAP","Sort=A","Dates=H","DateFormat=P","Fill=—","Direction=H","UseDPDF=Y")</f>
        <v>#NAME?</v>
      </c>
      <c r="CY57" s="3" t="e">
        <f ca="1">_xll.BDH($C$53,"INVENT_TURN","FQ4 2014","FQ4 2014","Currency=INR","Period=FQ","BEST_FPERIOD_OVERRIDE=FQ","FILING_STATUS=OR","EQY_CONSOLIDATED=Y","FA_ADJUSTED=GAAP","Sort=A","Dates=H","DateFormat=P","Fill=—","Direction=H","UseDPDF=Y")</f>
        <v>#NAME?</v>
      </c>
      <c r="CZ57" s="1" t="e">
        <f ca="1">_xll.BDH($C$53,"INVENT_DAYS","FQ4 2014","FQ4 2014","Currency=INR","Period=FQ","BEST_FPERIOD_OVERRIDE=FQ","FILING_STATUS=OR","EQY_CONSOLIDATED=Y","FA_ADJUSTED=GAAP","Sort=A","Dates=H","DateFormat=P","Fill=—","Direction=H","UseDPDF=Y")</f>
        <v>#NAME?</v>
      </c>
      <c r="DA57" s="3" t="e">
        <f ca="1">_xll.BDH($C$53,"ACCOUNTS_PAYABLE_TURNOVER","FQ4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7" s="1" t="e">
        <f ca="1">_xll.BDH($C$53,"ACCOUNTS_PAYABLE_TURNOVER_DAYS","FQ4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7" s="3" t="e">
        <f ca="1">_xll.BDH($C$53,"CASH_CONVERSION_CYCLE","FQ4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7" s="3" t="e">
        <f ca="1">_xll.BDH($C$53,"INV_TO_CASH_DAYS","FQ4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57" s="4" t="e">
        <f ca="1">_xll.BDH($C$53,"BS_INVENTORIES","FQ4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57" s="2" t="e">
        <f ca="1">_xll.BDH($C$53,"INVTRY_RAW_MATERIALS","FQ4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7" s="2" t="e">
        <f ca="1">_xll.BDH($C$53,"INVTRY_IN_PROGRESS","FQ4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7" s="2" t="e">
        <f ca="1">_xll.BDH($C$53,"INVTRY_FINISHED_GOODS","FQ4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7" s="2" t="e">
        <f ca="1">_xll.BDH($C$53,"BS_OTHER_INV","FQ4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8" spans="1:113" x14ac:dyDescent="0.3">
      <c r="A58" s="6"/>
      <c r="B58" s="6"/>
      <c r="C58" s="6"/>
      <c r="D58" s="6" t="s">
        <v>8</v>
      </c>
      <c r="E58" t="s">
        <v>3</v>
      </c>
      <c r="F58" t="e">
        <f ca="1">_xll.BDH($C$53,"RETURN_COM_EQY","FY 2015","FY 2015","Currency=INR","Period=FY","BEST_FPERIOD_OVERRIDE=FY","FILING_STATUS=OR","EQY_CONSOLIDATED=Y","FA_ADJUSTED=GAAP","Sort=A","Dates=H","DateFormat=P","Fill=—","Direction=H","UseDPDF=Y")</f>
        <v>#NAME?</v>
      </c>
      <c r="G58" t="e">
        <f ca="1">_xll.BDH($C$53,"RETURN_ON_ASSET","FY 2015","FY 2015","Currency=INR","Period=FY","BEST_FPERIOD_OVERRIDE=FY","FILING_STATUS=OR","EQY_CONSOLIDATED=Y","FA_ADJUSTED=GAAP","Sort=A","Dates=H","DateFormat=P","Fill=—","Direction=H","UseDPDF=Y")</f>
        <v>#NAME?</v>
      </c>
      <c r="H58" t="e">
        <f ca="1">_xll.BDH($C$53,"RETURN_ON_CAP","FY 2015","FY 2015","Currency=INR","Period=FY","BEST_FPERIOD_OVERRIDE=FY","FILING_STATUS=OR","EQY_CONSOLIDATED=Y","FA_ADJUSTED=GAAP","Sort=A","Dates=H","DateFormat=P","Fill=—","Direction=H","UseDPDF=Y")</f>
        <v>#NAME?</v>
      </c>
      <c r="I58" t="e">
        <f ca="1">_xll.BDH($C$53,"RETURN_ON_INV_CAPITAL","FY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8" t="e">
        <f ca="1">_xll.BDH($C$53,"EBITDA_TO_REVENUE","FY 2015","FY 2015","Currency=INR","Period=FY","BEST_FPERIOD_OVERRIDE=FY","FILING_STATUS=OR","EQY_CONSOLIDATED=Y","FA_ADJUSTED=GAAP","Sort=A","Dates=H","DateFormat=P","Fill=—","Direction=H","UseDPDF=Y")</f>
        <v>#NAME?</v>
      </c>
      <c r="K58" t="e">
        <f ca="1">_xll.BDH($C$53,"OPER_MARGIN","FY 2015","FY 2015","Currency=INR","Period=FY","BEST_FPERIOD_OVERRIDE=FY","FILING_STATUS=OR","EQY_CONSOLIDATED=Y","FA_ADJUSTED=GAAP","Sort=A","Dates=H","DateFormat=P","Fill=—","Direction=H","UseDPDF=Y")</f>
        <v>#NAME?</v>
      </c>
      <c r="L58" t="e">
        <f ca="1">_xll.BDH($C$53,"INCREMENTAL_OPERATING_MARGIN","FY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8" t="e">
        <f ca="1">_xll.BDH($C$53,"PRETAX_INC_TO_NET_SALES","FY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8" t="e">
        <f ca="1">_xll.BDH($C$53,"INC_BEF_XO_ITEMS_TO_NET_SALES","FY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8" t="e">
        <f ca="1">_xll.BDH($C$53,"PROF_MARGIN","FY 2015","FY 2015","Currency=INR","Period=FY","BEST_FPERIOD_OVERRIDE=FY","FILING_STATUS=OR","EQY_CONSOLIDATED=Y","FA_ADJUSTED=GAAP","Sort=A","Dates=H","DateFormat=P","Fill=—","Direction=H","UseDPDF=Y")</f>
        <v>#NAME?</v>
      </c>
      <c r="P58" t="e">
        <f ca="1">_xll.BDH($C$53,"NET_INCOME_TO_COMMON_MARGIN","FY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8" t="e">
        <f ca="1">_xll.BDH($C$53,"EFF_TAX_RATE","FY 2015","FY 2015","Currency=INR","Period=FY","BEST_FPERIOD_OVERRIDE=FY","FILING_STATUS=OR","EQY_CONSOLIDATED=Y","FA_ADJUSTED=GAAP","Sort=A","Dates=H","DateFormat=P","Fill=—","Direction=H","UseDPDF=Y")</f>
        <v>#NAME?</v>
      </c>
      <c r="R58" t="e">
        <f ca="1">_xll.BDH($C$53,"DVD_PAYOUT_RATIO","FY 2015","FY 2015","Currency=INR","Period=FY","BEST_FPERIOD_OVERRIDE=FY","FILING_STATUS=OR","EQY_CONSOLIDATED=Y","FA_ADJUSTED=GAAP","Sort=A","Dates=H","DateFormat=P","Fill=—","Direction=H","UseDPDF=Y")</f>
        <v>#NAME?</v>
      </c>
      <c r="S58" t="e">
        <f ca="1">_xll.BDH($C$53,"SUSTAIN_GROWTH_RT","FY 2015","FY 2015","Currency=INR","Period=FY","BEST_FPERIOD_OVERRIDE=FY","FILING_STATUS=OR","EQY_CONSOLIDATED=Y","FA_ADJUSTED=GAAP","Sort=A","Dates=H","DateFormat=P","Fill=—","Direction=H","UseDPDF=Y")</f>
        <v>#NAME?</v>
      </c>
      <c r="T58" s="1" t="e">
        <f ca="1">_xll.BDH($C$53,"SALES_GROWTH","FY 2015","FY 2015","Currency=INR","Period=FY","BEST_FPERIOD_OVERRIDE=FY","FILING_STATUS=OR","EQY_CONSOLIDATED=Y","FA_ADJUSTED=GAAP","Sort=A","Dates=H","DateFormat=P","Fill=—","Direction=H","UseDPDF=Y")</f>
        <v>#NAME?</v>
      </c>
      <c r="U58" s="1" t="e">
        <f ca="1">_xll.BDH($C$53,"EBITDA_GROWTH","FY 2015","FY 2015","Currency=INR","Period=FY","BEST_FPERIOD_OVERRIDE=FY","FILING_STATUS=OR","EQY_CONSOLIDATED=Y","FA_ADJUSTED=GAAP","Sort=A","Dates=H","DateFormat=P","Fill=—","Direction=H","UseDPDF=Y")</f>
        <v>#NAME?</v>
      </c>
      <c r="V58" s="1" t="e">
        <f ca="1">_xll.BDH($C$53,"OPER_INC_GROWTH","FY 2015","FY 2015","Currency=INR","Period=FY","BEST_FPERIOD_OVERRIDE=FY","FILING_STATUS=OR","EQY_CONSOLIDATED=Y","FA_ADJUSTED=GAAP","Sort=A","Dates=H","DateFormat=P","Fill=—","Direction=H","UseDPDF=Y")</f>
        <v>#NAME?</v>
      </c>
      <c r="W58" s="1" t="e">
        <f ca="1">_xll.BDH($C$53,"EARN_FOR_COM_GROWTH","FY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58" s="1" t="e">
        <f ca="1">_xll.BDH($C$53,"DILUTED_EPS_AFT_XO_ITEMS_GROWTH","FY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8" s="1" t="e">
        <f ca="1">_xll.BDH($C$53,"DIVIDEND_PER_SHARE_1_YEAR_GROWTH","FY 2015","FY 2015","Currency=INR","Period=FY","BEST_FPERIOD_OVERRIDE=FY","FILING_STATUS=OR","EQY_CONSOLIDATED=Y","Sort=A","Dates=H","DateFormat=P","Fill=—","Direction=H","UseDPDF=Y")</f>
        <v>#NAME?</v>
      </c>
      <c r="Z58" s="1" t="e">
        <f ca="1">_xll.BDH($C$53,"ACCOUNTS_RECEIVABLE_GROWTH","FY 2015","FY 2015","Currency=INR","Period=FY","BEST_FPERIOD_OVERRIDE=FY","FILING_STATUS=OR","EQY_CONSOLIDATED=Y","Sort=A","Dates=H","DateFormat=P","Fill=—","Direction=H","UseDPDF=Y")</f>
        <v>#NAME?</v>
      </c>
      <c r="AA58" s="1" t="e">
        <f ca="1">_xll.BDH($C$53,"INVENTORY_GROWTH","FY 2015","FY 2015","Currency=INR","Period=FY","BEST_FPERIOD_OVERRIDE=FY","FILING_STATUS=OR","EQY_CONSOLIDATED=Y","Sort=A","Dates=H","DateFormat=P","Fill=—","Direction=H","UseDPDF=Y")</f>
        <v>#NAME?</v>
      </c>
      <c r="AB58" s="1" t="e">
        <f ca="1">_xll.BDH($C$53,"NET_FIXED_ASSETS_1_YEAR_GROWTH","FY 2015","FY 2015","Currency=INR","Period=FY","BEST_FPERIOD_OVERRIDE=FY","FILING_STATUS=OR","EQY_CONSOLIDATED=Y","Sort=A","Dates=H","DateFormat=P","Fill=—","Direction=H","UseDPDF=Y")</f>
        <v>#NAME?</v>
      </c>
      <c r="AC58" s="1" t="e">
        <f ca="1">_xll.BDH($C$53,"ASSET_GROWTH","FY 2015","FY 2015","Currency=INR","Period=FY","BEST_FPERIOD_OVERRIDE=FY","FILING_STATUS=OR","EQY_CONSOLIDATED=Y","Sort=A","Dates=H","DateFormat=P","Fill=—","Direction=H","UseDPDF=Y")</f>
        <v>#NAME?</v>
      </c>
      <c r="AD58" s="1" t="e">
        <f ca="1">_xll.BDH($C$53,"MODIFIED_WORK_CAP_GROWTH","FY 2015","FY 2015","Currency=INR","Period=FY","BEST_FPERIOD_OVERRIDE=FY","FILING_STATUS=OR","EQY_CONSOLIDATED=Y","Sort=A","Dates=H","DateFormat=P","Fill=—","Direction=H","UseDPDF=Y")</f>
        <v>#NAME?</v>
      </c>
      <c r="AE58" s="1" t="e">
        <f ca="1">_xll.BDH($C$53,"WORK_CAP_GROWTH","FY 2015","FY 2015","Currency=INR","Period=FY","BEST_FPERIOD_OVERRIDE=FY","FILING_STATUS=OR","EQY_CONSOLIDATED=Y","Sort=A","Dates=H","DateFormat=P","Fill=—","Direction=H","UseDPDF=Y")</f>
        <v>#NAME?</v>
      </c>
      <c r="AF58" s="1" t="e">
        <f ca="1">_xll.BDH($C$53,"ACCOUNTS_PAYABLE_GROWTH_1YR","FY 2015","FY 2015","Currency=INR","Period=FY","BEST_FPERIOD_OVERRIDE=FY","FILING_STATUS=OR","EQY_CONSOLIDATED=Y","Sort=A","Dates=H","DateFormat=P","Fill=—","Direction=H","UseDPDF=Y")</f>
        <v>#NAME?</v>
      </c>
      <c r="AG58" s="1" t="e">
        <f ca="1">_xll.BDH($C$53,"SHORT_TERM_DEBT_1_YEAR_GROWTH","FY 2015","FY 2015","Currency=INR","Period=FY","BEST_FPERIOD_OVERRIDE=FY","FILING_STATUS=OR","EQY_CONSOLIDATED=Y","Sort=A","Dates=H","DateFormat=P","Fill=—","Direction=H","UseDPDF=Y")</f>
        <v>#NAME?</v>
      </c>
      <c r="AH58" s="1" t="e">
        <f ca="1">_xll.BDH($C$53,"TOTAL_DEBT_1_YEAR_GROWTH","FY 2015","FY 2015","Currency=INR","Period=FY","BEST_FPERIOD_OVERRIDE=FY","FILING_STATUS=OR","EQY_CONSOLIDATED=Y","Sort=A","Dates=H","DateFormat=P","Fill=—","Direction=H","UseDPDF=Y")</f>
        <v>#NAME?</v>
      </c>
      <c r="AI58" s="1" t="e">
        <f ca="1">_xll.BDH($C$53,"TOTAL_EQUITY_1_YEAR_GROWTH","FY 2015","FY 2015","Currency=INR","Period=FY","BEST_FPERIOD_OVERRIDE=FY","FILING_STATUS=OR","EQY_CONSOLIDATED=Y","Sort=A","Dates=H","DateFormat=P","Fill=—","Direction=H","UseDPDF=Y")</f>
        <v>#NAME?</v>
      </c>
      <c r="AJ58" s="1" t="e">
        <f ca="1">_xll.BDH($C$53,"GROWTH_IN_CAP","FY 2015","FY 2015","Currency=INR","Period=FY","BEST_FPERIOD_OVERRIDE=FY","FILING_STATUS=OR","EQY_CONSOLIDATED=Y","Sort=A","Dates=H","DateFormat=P","Fill=—","Direction=H","UseDPDF=Y")</f>
        <v>#NAME?</v>
      </c>
      <c r="AK58" s="1" t="e">
        <f ca="1">_xll.BDH($C$53,"BVPS_GROWTH","FY 2015","FY 2015","Currency=INR","Period=FY","BEST_FPERIOD_OVERRIDE=FY","FILING_STATUS=OR","EQY_CONSOLIDATED=Y","Sort=A","Dates=H","DateFormat=P","Fill=—","Direction=H","UseDPDF=Y")</f>
        <v>#NAME?</v>
      </c>
      <c r="AL58" s="1" t="e">
        <f ca="1">_xll.BDH($C$53,"CASH_FLOW_GROWTH","FY 2015","FY 2015","Currency=INR","Period=FY","BEST_FPERIOD_OVERRIDE=FY","FILING_STATUS=OR","EQY_CONSOLIDATED=Y","Sort=A","Dates=H","DateFormat=P","Fill=—","Direction=H","UseDPDF=Y")</f>
        <v>#NAME?</v>
      </c>
      <c r="AM58" s="1" t="e">
        <f ca="1">_xll.BDH($C$53,"GEO_GROW_NET_SALES","FY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58" s="1" t="e">
        <f ca="1">_xll.BDH($C$53,"GEO_GROW_EBITDA","FY 2015","FY 2015","Currency=INR","Period=FY","BEST_FPERIOD_OVERRIDE=FY","FILING_STATUS=OR","EQY_CONSOLIDATED=Y","FA_ADJUSTED=GAAP","Sort=A","Dates=H","DateFormat=P","Fill=—","Direction=H","UseDPDF=Y")</f>
        <v>#NAME?</v>
      </c>
      <c r="AO58" s="1" t="e">
        <f ca="1">_xll.BDH($C$53,"GEO_GROW_OPER_INC","FY 2015","FY 2015","Currency=INR","Period=FY","BEST_FPERIOD_OVERRIDE=FY","FILING_STATUS=OR","EQY_CONSOLIDATED=Y","FA_ADJUSTED=GAAP","Sort=A","Dates=H","DateFormat=P","Fill=—","Direction=H","UseDPDF=Y")</f>
        <v>#NAME?</v>
      </c>
      <c r="AP58" s="1" t="e">
        <f ca="1">_xll.BDH($C$53,"NET_INCOME_TO_COMMON_5_YR_GROWTH","FY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8" s="1" t="e">
        <f ca="1">_xll.BDH($C$53,"5Y_GEO_GROWTH_DILUTED_EPS","FY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8" s="1" t="e">
        <f ca="1">_xll.BDH($C$53,"GEO_GROW_DVD_PER_SH","FY 2015","FY 2015","Currency=INR","Period=FY","BEST_FPERIOD_OVERRIDE=FY","FILING_STATUS=OR","EQY_CONSOLIDATED=Y","Sort=A","Dates=H","DateFormat=P","Fill=—","Direction=H","UseDPDF=Y")</f>
        <v>#NAME?</v>
      </c>
      <c r="AS58" s="1" t="e">
        <f ca="1">_xll.BDH($C$53,"ACCOUNTS_RECEIVABLE_5_YR_GROWTH","FY 2015","FY 2015","Currency=INR","Period=FY","BEST_FPERIOD_OVERRIDE=FY","FILING_STATUS=OR","EQY_CONSOLIDATED=Y","Sort=A","Dates=H","DateFormat=P","Fill=—","Direction=H","UseDPDF=Y")</f>
        <v>#NAME?</v>
      </c>
      <c r="AT58" s="1" t="e">
        <f ca="1">_xll.BDH($C$53,"INVENTORY_5_YEAR_GROWTH","FY 2015","FY 2015","Currency=INR","Period=FY","BEST_FPERIOD_OVERRIDE=FY","FILING_STATUS=OR","EQY_CONSOLIDATED=Y","Sort=A","Dates=H","DateFormat=P","Fill=—","Direction=H","UseDPDF=Y")</f>
        <v>#NAME?</v>
      </c>
      <c r="AU58" s="1" t="e">
        <f ca="1">_xll.BDH($C$53,"NET_FIXED_ASSETS_5_YEAR_GROWTH","FY 2015","FY 2015","Currency=INR","Period=FY","BEST_FPERIOD_OVERRIDE=FY","FILING_STATUS=OR","EQY_CONSOLIDATED=Y","Sort=A","Dates=H","DateFormat=P","Fill=—","Direction=H","UseDPDF=Y")</f>
        <v>#NAME?</v>
      </c>
      <c r="AV58" s="1" t="e">
        <f ca="1">_xll.BDH($C$53,"GEO_GROW_TOT_ASSET","FY 2015","FY 2015","Currency=INR","Period=FY","BEST_FPERIOD_OVERRIDE=FY","FILING_STATUS=OR","EQY_CONSOLIDATED=Y","Sort=A","Dates=H","DateFormat=P","Fill=—","Direction=H","UseDPDF=Y")</f>
        <v>#NAME?</v>
      </c>
      <c r="AW58" s="1" t="e">
        <f ca="1">_xll.BDH($C$53,"MODIFIED_WORKING_CPTL_5YR_GRWTH","FY 2015","FY 2015","Currency=INR","Period=FY","BEST_FPERIOD_OVERRIDE=FY","FILING_STATUS=OR","EQY_CONSOLIDATED=Y","Sort=A","Dates=H","DateFormat=P","Fill=—","Direction=H","UseDPDF=Y")</f>
        <v>#NAME?</v>
      </c>
      <c r="AX58" s="1" t="e">
        <f ca="1">_xll.BDH($C$53,"WORKING_CAPITAL_5_YEAR_GROWTH","FY 2015","FY 2015","Currency=INR","Period=FY","BEST_FPERIOD_OVERRIDE=FY","FILING_STATUS=OR","EQY_CONSOLIDATED=Y","Sort=A","Dates=H","DateFormat=P","Fill=—","Direction=H","UseDPDF=Y")</f>
        <v>#NAME?</v>
      </c>
      <c r="AY58" s="1" t="e">
        <f ca="1">_xll.BDH($C$53,"ACCOUNTS_PAYABLE_5_YEAR_GROWTH","FY 2015","FY 2015","Currency=INR","Period=FY","BEST_FPERIOD_OVERRIDE=FY","FILING_STATUS=OR","EQY_CONSOLIDATED=Y","Sort=A","Dates=H","DateFormat=P","Fill=—","Direction=H","UseDPDF=Y")</f>
        <v>#NAME?</v>
      </c>
      <c r="AZ58" s="1" t="e">
        <f ca="1">_xll.BDH($C$53,"SHORT_TERM_DEBT_5_YEAR_GROWTH","FY 2015","FY 2015","Currency=INR","Period=FY","BEST_FPERIOD_OVERRIDE=FY","FILING_STATUS=OR","EQY_CONSOLIDATED=Y","Sort=A","Dates=H","DateFormat=P","Fill=—","Direction=H","UseDPDF=Y")</f>
        <v>#NAME?</v>
      </c>
      <c r="BA58" s="1" t="e">
        <f ca="1">_xll.BDH($C$53,"TOTAL_DEBT_5_YEAR_GROWTH","FY 2015","FY 2015","Currency=INR","Period=FY","BEST_FPERIOD_OVERRIDE=FY","FILING_STATUS=OR","EQY_CONSOLIDATED=Y","Sort=A","Dates=H","DateFormat=P","Fill=—","Direction=H","UseDPDF=Y")</f>
        <v>#NAME?</v>
      </c>
      <c r="BB58" s="1" t="e">
        <f ca="1">_xll.BDH($C$53,"GEO_GROW_TOT_SHRHLDR_EQY","FY 2015","FY 2015","Currency=INR","Period=FY","BEST_FPERIOD_OVERRIDE=FY","FILING_STATUS=OR","EQY_CONSOLIDATED=Y","Sort=A","Dates=H","DateFormat=P","Fill=—","Direction=H","UseDPDF=Y")</f>
        <v>#NAME?</v>
      </c>
      <c r="BC58" s="1" t="e">
        <f ca="1">_xll.BDH($C$53,"TOTAL_CAPITAL_5_YEAR_GROWTH","FY 2015","FY 2015","Currency=INR","Period=FY","BEST_FPERIOD_OVERRIDE=FY","FILING_STATUS=OR","EQY_CONSOLIDATED=Y","Sort=A","Dates=H","DateFormat=P","Fill=—","Direction=H","UseDPDF=Y")</f>
        <v>#NAME?</v>
      </c>
      <c r="BD58" s="1" t="e">
        <f ca="1">_xll.BDH($C$53,"GEO_GROW_BOOK_VAL","FY 2015","FY 2015","Currency=INR","Period=FY","BEST_FPERIOD_OVERRIDE=FY","FILING_STATUS=OR","EQY_CONSOLIDATED=Y","Sort=A","Dates=H","DateFormat=P","Fill=—","Direction=H","UseDPDF=Y")</f>
        <v>#NAME?</v>
      </c>
      <c r="BE58" s="1" t="e">
        <f ca="1">_xll.BDH($C$53,"GEO_GROW_CASH_OPER_ACT","FY 2015","FY 2015","Currency=INR","Period=FY","BEST_FPERIOD_OVERRIDE=FY","FILING_STATUS=OR","EQY_CONSOLIDATED=Y","Sort=A","Dates=H","DateFormat=P","Fill=—","Direction=H","UseDPDF=Y")</f>
        <v>#NAME?</v>
      </c>
      <c r="BF58" s="1" t="e">
        <f ca="1">_xll.BDH($C$53,"REVENUE_SEQUENTIAL_GROWTH","FY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8" s="1" t="e">
        <f ca="1">_xll.BDH($C$53,"EBITDA_SEQUENTIAL_GROWTH","FY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8" s="1" t="e">
        <f ca="1">_xll.BDH($C$53,"OPERATING_INCOME_SEQ_GROWTH","FY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8" s="1" t="e">
        <f ca="1">_xll.BDH($C$53,"NET_INCOME_TO_COMMON_SEQ_GROWTH","FY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8" s="1" t="e">
        <f ca="1">_xll.BDH($C$53,"EPS_DILUTED_SEQUENTIAL_GROWTH","FY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8" s="1" t="e">
        <f ca="1">_xll.BDH($C$53,"DPS_SEQUENTIAL_GROWTH","FY 2015","FY 2015","Currency=INR","Period=FY","BEST_FPERIOD_OVERRIDE=FY","FILING_STATUS=OR","EQY_CONSOLIDATED=Y","Sort=A","Dates=H","DateFormat=P","Fill=—","Direction=H","UseDPDF=Y")</f>
        <v>#NAME?</v>
      </c>
      <c r="BL58" s="1" t="e">
        <f ca="1">_xll.BDH($C$53,"ACCOUNTS_RECEIVABLE_SEQ_GROWTH","FY 2015","FY 2015","Currency=INR","Period=FY","BEST_FPERIOD_OVERRIDE=FY","FILING_STATUS=OR","EQY_CONSOLIDATED=Y","Sort=A","Dates=H","DateFormat=P","Fill=—","Direction=H","UseDPDF=Y")</f>
        <v>#NAME?</v>
      </c>
      <c r="BM58" s="1" t="e">
        <f ca="1">_xll.BDH($C$53,"INVENTORY_SEQUENTIAL_GROWTH","FY 2015","FY 2015","Currency=INR","Period=FY","BEST_FPERIOD_OVERRIDE=FY","FILING_STATUS=OR","EQY_CONSOLIDATED=Y","Sort=A","Dates=H","DateFormat=P","Fill=—","Direction=H","UseDPDF=Y")</f>
        <v>#NAME?</v>
      </c>
      <c r="BN58" s="1" t="e">
        <f ca="1">_xll.BDH($C$53,"FIXED_ASSETS_SEQUENTIAL_GROWTH","FY 2015","FY 2015","Currency=INR","Period=FY","BEST_FPERIOD_OVERRIDE=FY","FILING_STATUS=OR","EQY_CONSOLIDATED=Y","Sort=A","Dates=H","DateFormat=P","Fill=—","Direction=H","UseDPDF=Y")</f>
        <v>#NAME?</v>
      </c>
      <c r="BO58" s="1" t="e">
        <f ca="1">_xll.BDH($C$53,"TOTAL_ASSETS_SEQUENTIAL_GROWTH","FY 2015","FY 2015","Currency=INR","Period=FY","BEST_FPERIOD_OVERRIDE=FY","FILING_STATUS=OR","EQY_CONSOLIDATED=Y","Sort=A","Dates=H","DateFormat=P","Fill=—","Direction=H","UseDPDF=Y")</f>
        <v>#NAME?</v>
      </c>
      <c r="BP58" s="1" t="e">
        <f ca="1">_xll.BDH($C$53,"MODIFIED_WORKING_CPTL_SEQ_GRWTH","FY 2015","FY 2015","Currency=INR","Period=FY","BEST_FPERIOD_OVERRIDE=FY","FILING_STATUS=OR","EQY_CONSOLIDATED=Y","Sort=A","Dates=H","DateFormat=P","Fill=—","Direction=H","UseDPDF=Y")</f>
        <v>#NAME?</v>
      </c>
      <c r="BQ58" s="1" t="e">
        <f ca="1">_xll.BDH($C$53,"WORKING_CAPITAL_SEQ_GROWTH","FY 2015","FY 2015","Currency=INR","Period=FY","BEST_FPERIOD_OVERRIDE=FY","FILING_STATUS=OR","EQY_CONSOLIDATED=Y","Sort=A","Dates=H","DateFormat=P","Fill=—","Direction=H","UseDPDF=Y")</f>
        <v>#NAME?</v>
      </c>
      <c r="BR58" s="1" t="e">
        <f ca="1">_xll.BDH($C$53,"ACCOUNTS_PAYABLE_SEQ_GROWTH","FY 2015","FY 2015","Currency=INR","Period=FY","BEST_FPERIOD_OVERRIDE=FY","FILING_STATUS=OR","EQY_CONSOLIDATED=Y","Sort=A","Dates=H","DateFormat=P","Fill=—","Direction=H","UseDPDF=Y")</f>
        <v>#NAME?</v>
      </c>
      <c r="BS58" s="1" t="e">
        <f ca="1">_xll.BDH($C$53,"ST_DEBT_SEQUENTIAL_GROWTH","FY 2015","FY 2015","Currency=INR","Period=FY","BEST_FPERIOD_OVERRIDE=FY","FILING_STATUS=OR","EQY_CONSOLIDATED=Y","Sort=A","Dates=H","DateFormat=P","Fill=—","Direction=H","UseDPDF=Y")</f>
        <v>#NAME?</v>
      </c>
      <c r="BT58" s="1" t="e">
        <f ca="1">_xll.BDH($C$53,"TOTAL_DEBT_SEQUENTIAL_GROWTH","FY 2015","FY 2015","Currency=INR","Period=FY","BEST_FPERIOD_OVERRIDE=FY","FILING_STATUS=OR","EQY_CONSOLIDATED=Y","Sort=A","Dates=H","DateFormat=P","Fill=—","Direction=H","UseDPDF=Y")</f>
        <v>#NAME?</v>
      </c>
      <c r="BU58" s="1" t="e">
        <f ca="1">_xll.BDH($C$53,"TOTAL_EQUITY_SEQUENTIAL_GROWTH","FY 2015","FY 2015","Currency=INR","Period=FY","BEST_FPERIOD_OVERRIDE=FY","FILING_STATUS=OR","EQY_CONSOLIDATED=Y","Sort=A","Dates=H","DateFormat=P","Fill=—","Direction=H","UseDPDF=Y")</f>
        <v>#NAME?</v>
      </c>
      <c r="BV58" s="1" t="e">
        <f ca="1">_xll.BDH($C$53,"TOTAL_CAPITAL_SEQUENTIAL_GROWTH","FY 2015","FY 2015","Currency=INR","Period=FY","BEST_FPERIOD_OVERRIDE=FY","FILING_STATUS=OR","EQY_CONSOLIDATED=Y","Sort=A","Dates=H","DateFormat=P","Fill=—","Direction=H","UseDPDF=Y")</f>
        <v>#NAME?</v>
      </c>
      <c r="BW58" s="1" t="e">
        <f ca="1">_xll.BDH($C$53,"BPS_SEQUENTIAL_GROWTH","FY 2015","FY 2015","Currency=INR","Period=FY","BEST_FPERIOD_OVERRIDE=FY","FILING_STATUS=OR","EQY_CONSOLIDATED=Y","Sort=A","Dates=H","DateFormat=P","Fill=—","Direction=H","UseDPDF=Y")</f>
        <v>#NAME?</v>
      </c>
      <c r="BX58" s="1" t="e">
        <f ca="1">_xll.BDH($C$53,"CFO_SEQUENTIAL_GROWTH","FY 2015","FY 2015","Currency=INR","Period=FY","BEST_FPERIOD_OVERRIDE=FY","FILING_STATUS=OR","EQY_CONSOLIDATED=Y","Sort=A","Dates=H","DateFormat=P","Fill=—","Direction=H","UseDPDF=Y")</f>
        <v>#NAME?</v>
      </c>
      <c r="BY58" s="2" t="e">
        <f ca="1">_xll.BDH($C$53,"SHORT_AND_LONG_TERM_DEBT","FY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8" s="2" t="e">
        <f ca="1">_xll.BDH($C$53,"BS_ST_BORROW","FY 2015","FY 2015","Currency=INR","Period=FY","BEST_FPERIOD_OVERRIDE=FY","FILING_STATUS=OR","EQY_CONSOLIDATED=Y","SCALING_FORMAT=MLN","Sort=A","Dates=H","DateFormat=P","Fill=—","Direction=H","UseDPDF=Y")</f>
        <v>#NAME?</v>
      </c>
      <c r="CA58" s="2" t="e">
        <f ca="1">_xll.BDH($C$53,"BS_LT_BORROW","FY 2015","FY 2015","Currency=INR","Period=FY","BEST_FPERIOD_OVERRIDE=FY","FILING_STATUS=OR","EQY_CONSOLIDATED=Y","SCALING_FORMAT=MLN","Sort=A","Dates=H","DateFormat=P","Fill=—","Direction=H","UseDPDF=Y")</f>
        <v>#NAME?</v>
      </c>
      <c r="CB58" s="1" t="e">
        <f ca="1">_xll.BDH($C$53,"TOT_DEBT_TO_EBITDA","FY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58" s="1" t="e">
        <f ca="1">_xll.BDH($C$53,"NET_DEBT_TO_EBITDA","FY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58" s="1" t="e">
        <f ca="1">_xll.BDH($C$53,"TOTAL_DEBT_TO_EBIT","FY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58" s="1" t="e">
        <f ca="1">_xll.BDH($C$53,"NET_DEBT_TO_EBIT","FY 2015","FY 2015","Currency=INR","Period=FY","BEST_FPERIOD_OVERRIDE=FY","FILING_STATUS=OR","EQY_CONSOLIDATED=Y","FA_ADJUSTED=GAAP","Sort=A","Dates=H","DateFormat=P","Fill=—","Direction=H","UseDPDF=Y")</f>
        <v>#NAME?</v>
      </c>
      <c r="CF58" s="1" t="e">
        <f ca="1">_xll.BDH($C$53,"EBITDA_TO_INTEREST_EXPN","FY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8" s="1" t="e">
        <f ca="1">_xll.BDH($C$53,"COM_EQY_TO_TOT_ASSET","FY 2015","FY 2015","Currency=INR","Period=FY","BEST_FPERIOD_OVERRIDE=FY","FILING_STATUS=OR","EQY_CONSOLIDATED=Y","Sort=A","Dates=H","DateFormat=P","Fill=—","Direction=H","UseDPDF=Y")</f>
        <v>#NAME?</v>
      </c>
      <c r="CH58" s="1" t="e">
        <f ca="1">_xll.BDH($C$53,"LT_DEBT_TO_TOT_EQY","FY 2015","FY 2015","Currency=INR","Period=FY","BEST_FPERIOD_OVERRIDE=FY","FILING_STATUS=OR","EQY_CONSOLIDATED=Y","Sort=A","Dates=H","DateFormat=P","Fill=—","Direction=H","UseDPDF=Y")</f>
        <v>#NAME?</v>
      </c>
      <c r="CI58" s="1" t="e">
        <f ca="1">_xll.BDH($C$53,"LT_DEBT_TO_TOT_CAP","FY 2015","FY 2015","Currency=INR","Period=FY","BEST_FPERIOD_OVERRIDE=FY","FILING_STATUS=OR","EQY_CONSOLIDATED=Y","Sort=A","Dates=H","DateFormat=P","Fill=—","Direction=H","UseDPDF=Y")</f>
        <v>#NAME?</v>
      </c>
      <c r="CJ58" s="1" t="e">
        <f ca="1">_xll.BDH($C$53,"LT_DEBT_TO_TOT_ASSET","FY 2015","FY 2015","Currency=INR","Period=FY","BEST_FPERIOD_OVERRIDE=FY","FILING_STATUS=OR","EQY_CONSOLIDATED=Y","Sort=A","Dates=H","DateFormat=P","Fill=—","Direction=H","UseDPDF=Y")</f>
        <v>#NAME?</v>
      </c>
      <c r="CK58" s="1" t="e">
        <f ca="1">_xll.BDH($C$53,"TOT_DEBT_TO_TOT_EQY","FY 2015","FY 2015","Currency=INR","Period=FY","BEST_FPERIOD_OVERRIDE=FY","FILING_STATUS=OR","EQY_CONSOLIDATED=Y","Sort=A","Dates=H","DateFormat=P","Fill=—","Direction=H","UseDPDF=Y")</f>
        <v>#NAME?</v>
      </c>
      <c r="CL58" s="1" t="e">
        <f ca="1">_xll.BDH($C$53,"TOT_DEBT_TO_TOT_CAP","FY 2015","FY 2015","Currency=INR","Period=FY","BEST_FPERIOD_OVERRIDE=FY","FILING_STATUS=OR","EQY_CONSOLIDATED=Y","Sort=A","Dates=H","DateFormat=P","Fill=—","Direction=H","UseDPDF=Y")</f>
        <v>#NAME?</v>
      </c>
      <c r="CM58" s="1" t="e">
        <f ca="1">_xll.BDH($C$53,"TOT_DEBT_TO_TOT_ASSET","FY 2015","FY 2015","Currency=INR","Period=FY","BEST_FPERIOD_OVERRIDE=FY","FILING_STATUS=OR","EQY_CONSOLIDATED=Y","Sort=A","Dates=H","DateFormat=P","Fill=—","Direction=H","UseDPDF=Y")</f>
        <v>#NAME?</v>
      </c>
      <c r="CN58" s="1" t="e">
        <f ca="1">_xll.BDH($C$53,"NET_DEBT_TO_SHRHLDR_EQTY","FY 2015","FY 2015","Currency=INR","Period=FY","BEST_FPERIOD_OVERRIDE=FY","FILING_STATUS=OR","EQY_CONSOLIDATED=Y","Sort=A","Dates=H","DateFormat=P","Fill=—","Direction=H","UseDPDF=Y")</f>
        <v>#NAME?</v>
      </c>
      <c r="CO58" s="1" t="e">
        <f ca="1">_xll.BDH($C$53,"NET_DEBT_%_CAPITAL","FY 2015","FY 2015","Currency=INR","Period=FY","BEST_FPERIOD_OVERRIDE=FY","FILING_STATUS=OR","EQY_CONSOLIDATED=Y","Sort=A","Dates=H","DateFormat=P","Fill=—","Direction=H","UseDPDF=Y")</f>
        <v>#NAME?</v>
      </c>
      <c r="CP58" s="2" t="e">
        <f ca="1">_xll.BDH($C$53,"EBITDA","FY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8" s="2" t="e">
        <f ca="1">_xll.BDH($C$53,"EBITDA_AFTER_CAPEX","FY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8" s="2" t="e">
        <f ca="1">_xll.BDH($C$53,"IS_OPER_INC","FY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8" s="1" t="e">
        <f ca="1">_xll.BDH($C$53,"CASH_RATIO","FY 2015","FY 2015","Currency=INR","Period=FY","BEST_FPERIOD_OVERRIDE=FY","FILING_STATUS=OR","EQY_CONSOLIDATED=Y","Sort=A","Dates=H","DateFormat=P","Fill=—","Direction=H","UseDPDF=Y")</f>
        <v>#NAME?</v>
      </c>
      <c r="CT58" s="1" t="e">
        <f ca="1">_xll.BDH($C$53,"CUR_RATIO","FY 2015","FY 2015","Currency=INR","Period=FY","BEST_FPERIOD_OVERRIDE=FY","FILING_STATUS=OR","EQY_CONSOLIDATED=Y","Sort=A","Dates=H","DateFormat=P","Fill=—","Direction=H","UseDPDF=Y")</f>
        <v>#NAME?</v>
      </c>
      <c r="CU58" s="1" t="e">
        <f ca="1">_xll.BDH($C$53,"QUICK_RATIO","FY 2015","FY 2015","Currency=INR","Period=FY","BEST_FPERIOD_OVERRIDE=FY","FILING_STATUS=OR","EQY_CONSOLIDATED=Y","Sort=A","Dates=H","DateFormat=P","Fill=—","Direction=H","UseDPDF=Y")</f>
        <v>#NAME?</v>
      </c>
      <c r="CV58" s="1" t="e">
        <f ca="1">_xll.BDH($C$53,"ALTMAN_Z_SCORE","FY 2015","FY 2015","Currency=INR","Period=FY","BEST_FPERIOD_OVERRIDE=FY","FILING_STATUS=OR","EQY_CONSOLIDATED=Y","Sort=A","Dates=H","DateFormat=P","Fill=—","Direction=H","UseDPDF=Y")</f>
        <v>#NAME?</v>
      </c>
      <c r="CW58" s="3" t="e">
        <f ca="1">_xll.BDH($C$53,"ACCT_RCV_TURN","FY 2015","FY 2015","Currency=INR","Period=FY","BEST_FPERIOD_OVERRIDE=FY","FILING_STATUS=OR","EQY_CONSOLIDATED=Y","FA_ADJUSTED=GAAP","Sort=A","Dates=H","DateFormat=P","Fill=—","Direction=H","UseDPDF=Y")</f>
        <v>#NAME?</v>
      </c>
      <c r="CX58" s="1" t="e">
        <f ca="1">_xll.BDH($C$53,"ACCT_RCV_DAYS","FY 2015","FY 2015","Currency=INR","Period=FY","BEST_FPERIOD_OVERRIDE=FY","FILING_STATUS=OR","EQY_CONSOLIDATED=Y","FA_ADJUSTED=GAAP","Sort=A","Dates=H","DateFormat=P","Fill=—","Direction=H","UseDPDF=Y")</f>
        <v>#NAME?</v>
      </c>
      <c r="CY58" s="3" t="e">
        <f ca="1">_xll.BDH($C$53,"INVENT_TURN","FY 2015","FY 2015","Currency=INR","Period=FY","BEST_FPERIOD_OVERRIDE=FY","FILING_STATUS=OR","EQY_CONSOLIDATED=Y","FA_ADJUSTED=GAAP","Sort=A","Dates=H","DateFormat=P","Fill=—","Direction=H","UseDPDF=Y")</f>
        <v>#NAME?</v>
      </c>
      <c r="CZ58" s="1" t="e">
        <f ca="1">_xll.BDH($C$53,"INVENT_DAYS","FY 2015","FY 2015","Currency=INR","Period=FY","BEST_FPERIOD_OVERRIDE=FY","FILING_STATUS=OR","EQY_CONSOLIDATED=Y","FA_ADJUSTED=GAAP","Sort=A","Dates=H","DateFormat=P","Fill=—","Direction=H","UseDPDF=Y")</f>
        <v>#NAME?</v>
      </c>
      <c r="DA58" s="3" t="e">
        <f ca="1">_xll.BDH($C$53,"ACCOUNTS_PAYABLE_TURNOVER","FY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8" s="1" t="e">
        <f ca="1">_xll.BDH($C$53,"ACCOUNTS_PAYABLE_TURNOVER_DAYS","FY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8" s="3" t="e">
        <f ca="1">_xll.BDH($C$53,"CASH_CONVERSION_CYCLE","FY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8" s="3" t="e">
        <f ca="1">_xll.BDH($C$53,"INV_TO_CASH_DAYS","FY 2015","FY 2015","Currency=INR","Period=FY","BEST_FPERIOD_OVERRIDE=FY","FILING_STATUS=OR","EQY_CONSOLIDATED=Y","FA_ADJUSTED=GAAP","Sort=A","Dates=H","DateFormat=P","Fill=—","Direction=H","UseDPDF=Y")</f>
        <v>#NAME?</v>
      </c>
      <c r="DE58" s="4" t="e">
        <f ca="1">_xll.BDH($C$53,"BS_INVENTORIES","FY 2015","FY 2015","Currency=INR","Period=FY","BEST_FPERIOD_OVERRIDE=FY","FILING_STATUS=OR","EQY_CONSOLIDATED=Y","SCALING_FORMAT=MLN","Sort=A","Dates=H","DateFormat=P","Fill=—","Direction=H","UseDPDF=Y")</f>
        <v>#NAME?</v>
      </c>
      <c r="DF58" s="2" t="e">
        <f ca="1">_xll.BDH($C$53,"INVTRY_RAW_MATERIALS","FY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8" s="2" t="e">
        <f ca="1">_xll.BDH($C$53,"INVTRY_IN_PROGRESS","FY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8" s="2" t="e">
        <f ca="1">_xll.BDH($C$53,"INVTRY_FINISHED_GOODS","FY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8" s="2" t="e">
        <f ca="1">_xll.BDH($C$53,"BS_OTHER_INV","FY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9" spans="1:113" x14ac:dyDescent="0.3">
      <c r="A59" s="6"/>
      <c r="B59" s="6"/>
      <c r="C59" s="6"/>
      <c r="D59" s="6"/>
      <c r="E59" t="s">
        <v>4</v>
      </c>
      <c r="F59" t="e">
        <f ca="1">_xll.BDH($C$53,"RETURN_COM_EQY","FQ1 2015","FQ1 2015","Currency=INR","Period=FQ","BEST_FPERIOD_OVERRIDE=FQ","FILING_STATUS=OR","EQY_CONSOLIDATED=Y","FA_ADJUSTED=GAAP","Sort=A","Dates=H","DateFormat=P","Fill=—","Direction=H","UseDPDF=Y")</f>
        <v>#NAME?</v>
      </c>
      <c r="G59" t="e">
        <f ca="1">_xll.BDH($C$53,"RETURN_ON_ASSET","FQ1 2015","FQ1 2015","Currency=INR","Period=FQ","BEST_FPERIOD_OVERRIDE=FQ","FILING_STATUS=OR","EQY_CONSOLIDATED=Y","FA_ADJUSTED=GAAP","Sort=A","Dates=H","DateFormat=P","Fill=—","Direction=H","UseDPDF=Y")</f>
        <v>#NAME?</v>
      </c>
      <c r="H59" t="e">
        <f ca="1">_xll.BDH($C$53,"RETURN_ON_CAP","FQ1 2015","FQ1 2015","Currency=INR","Period=FQ","BEST_FPERIOD_OVERRIDE=FQ","FILING_STATUS=OR","EQY_CONSOLIDATED=Y","FA_ADJUSTED=GAAP","Sort=A","Dates=H","DateFormat=P","Fill=—","Direction=H","UseDPDF=Y")</f>
        <v>#NAME?</v>
      </c>
      <c r="I59" t="e">
        <f ca="1">_xll.BDH($C$53,"RETURN_ON_INV_CAPITAL","FQ1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9" t="e">
        <f ca="1">_xll.BDH($C$53,"EBITDA_TO_REVENUE","FQ1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59" t="e">
        <f ca="1">_xll.BDH($C$53,"OPER_MARGIN","FQ1 2015","FQ1 2015","Currency=INR","Period=FQ","BEST_FPERIOD_OVERRIDE=FQ","FILING_STATUS=OR","EQY_CONSOLIDATED=Y","FA_ADJUSTED=GAAP","Sort=A","Dates=H","DateFormat=P","Fill=—","Direction=H","UseDPDF=Y")</f>
        <v>#NAME?</v>
      </c>
      <c r="L59" t="e">
        <f ca="1">_xll.BDH($C$53,"INCREMENTAL_OPERATING_MARGIN","FQ1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9" t="e">
        <f ca="1">_xll.BDH($C$53,"PRETAX_INC_TO_NET_SALES","FQ1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9" t="e">
        <f ca="1">_xll.BDH($C$53,"INC_BEF_XO_ITEMS_TO_NET_SALES","FQ1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9" t="e">
        <f ca="1">_xll.BDH($C$53,"PROF_MARGIN","FQ1 2015","FQ1 2015","Currency=INR","Period=FQ","BEST_FPERIOD_OVERRIDE=FQ","FILING_STATUS=OR","EQY_CONSOLIDATED=Y","FA_ADJUSTED=GAAP","Sort=A","Dates=H","DateFormat=P","Fill=—","Direction=H","UseDPDF=Y")</f>
        <v>#NAME?</v>
      </c>
      <c r="P59" t="e">
        <f ca="1">_xll.BDH($C$53,"NET_INCOME_TO_COMMON_MARGIN","FQ1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9" t="e">
        <f ca="1">_xll.BDH($C$53,"EFF_TAX_RATE","FQ1 2015","FQ1 2015","Currency=INR","Period=FQ","BEST_FPERIOD_OVERRIDE=FQ","FILING_STATUS=OR","EQY_CONSOLIDATED=Y","FA_ADJUSTED=GAAP","Sort=A","Dates=H","DateFormat=P","Fill=—","Direction=H","UseDPDF=Y")</f>
        <v>#NAME?</v>
      </c>
      <c r="R59" t="e">
        <f ca="1">_xll.BDH($C$53,"DVD_PAYOUT_RATIO","FQ1 2015","FQ1 2015","Currency=INR","Period=FQ","BEST_FPERIOD_OVERRIDE=FQ","FILING_STATUS=OR","EQY_CONSOLIDATED=Y","FA_ADJUSTED=GAAP","Sort=A","Dates=H","DateFormat=P","Fill=—","Direction=H","UseDPDF=Y")</f>
        <v>#NAME?</v>
      </c>
      <c r="S59" t="e">
        <f ca="1">_xll.BDH($C$53,"SUSTAIN_GROWTH_RT","FQ1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59" s="1" t="e">
        <f ca="1">_xll.BDH($C$53,"SALES_GROWTH","FQ1 2015","FQ1 2015","Currency=INR","Period=FQ","BEST_FPERIOD_OVERRIDE=FQ","FILING_STATUS=OR","EQY_CONSOLIDATED=Y","FA_ADJUSTED=GAAP","Sort=A","Dates=H","DateFormat=P","Fill=—","Direction=H","UseDPDF=Y")</f>
        <v>#NAME?</v>
      </c>
      <c r="U59" s="1" t="e">
        <f ca="1">_xll.BDH($C$53,"EBITDA_GROWTH","FQ1 2015","FQ1 2015","Currency=INR","Period=FQ","BEST_FPERIOD_OVERRIDE=FQ","FILING_STATUS=OR","EQY_CONSOLIDATED=Y","FA_ADJUSTED=GAAP","Sort=A","Dates=H","DateFormat=P","Fill=—","Direction=H","UseDPDF=Y")</f>
        <v>#NAME?</v>
      </c>
      <c r="V59" s="1" t="e">
        <f ca="1">_xll.BDH($C$53,"OPER_INC_GROWTH","FQ1 2015","FQ1 2015","Currency=INR","Period=FQ","BEST_FPERIOD_OVERRIDE=FQ","FILING_STATUS=OR","EQY_CONSOLIDATED=Y","FA_ADJUSTED=GAAP","Sort=A","Dates=H","DateFormat=P","Fill=—","Direction=H","UseDPDF=Y")</f>
        <v>#NAME?</v>
      </c>
      <c r="W59" s="1" t="e">
        <f ca="1">_xll.BDH($C$53,"EARN_FOR_COM_GROWTH","FQ1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9" s="1" t="e">
        <f ca="1">_xll.BDH($C$53,"DILUTED_EPS_AFT_XO_ITEMS_GROWTH","FQ1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9" s="1" t="e">
        <f ca="1">_xll.BDH($C$53,"DIVIDEND_PER_SHARE_1_YEAR_GROWTH","FQ1 2015","FQ1 2015","Currency=INR","Period=FQ","BEST_FPERIOD_OVERRIDE=FQ","FILING_STATUS=OR","EQY_CONSOLIDATED=Y","Sort=A","Dates=H","DateFormat=P","Fill=—","Direction=H","UseDPDF=Y")</f>
        <v>#NAME?</v>
      </c>
      <c r="Z59" s="1" t="e">
        <f ca="1">_xll.BDH($C$53,"ACCOUNTS_RECEIVABLE_GROWTH","FQ1 2015","FQ1 2015","Currency=INR","Period=FQ","BEST_FPERIOD_OVERRIDE=FQ","FILING_STATUS=OR","EQY_CONSOLIDATED=Y","Sort=A","Dates=H","DateFormat=P","Fill=—","Direction=H","UseDPDF=Y")</f>
        <v>#NAME?</v>
      </c>
      <c r="AA59" s="1" t="e">
        <f ca="1">_xll.BDH($C$53,"INVENTORY_GROWTH","FQ1 2015","FQ1 2015","Currency=INR","Period=FQ","BEST_FPERIOD_OVERRIDE=FQ","FILING_STATUS=OR","EQY_CONSOLIDATED=Y","Sort=A","Dates=H","DateFormat=P","Fill=—","Direction=H","UseDPDF=Y")</f>
        <v>#NAME?</v>
      </c>
      <c r="AB59" s="1" t="e">
        <f ca="1">_xll.BDH($C$53,"NET_FIXED_ASSETS_1_YEAR_GROWTH","FQ1 2015","FQ1 2015","Currency=INR","Period=FQ","BEST_FPERIOD_OVERRIDE=FQ","FILING_STATUS=OR","EQY_CONSOLIDATED=Y","Sort=A","Dates=H","DateFormat=P","Fill=—","Direction=H","UseDPDF=Y")</f>
        <v>#NAME?</v>
      </c>
      <c r="AC59" s="1" t="e">
        <f ca="1">_xll.BDH($C$53,"ASSET_GROWTH","FQ1 2015","FQ1 2015","Currency=INR","Period=FQ","BEST_FPERIOD_OVERRIDE=FQ","FILING_STATUS=OR","EQY_CONSOLIDATED=Y","Sort=A","Dates=H","DateFormat=P","Fill=—","Direction=H","UseDPDF=Y")</f>
        <v>#NAME?</v>
      </c>
      <c r="AD59" s="1" t="e">
        <f ca="1">_xll.BDH($C$53,"MODIFIED_WORK_CAP_GROWTH","FQ1 2015","FQ1 2015","Currency=INR","Period=FQ","BEST_FPERIOD_OVERRIDE=FQ","FILING_STATUS=OR","EQY_CONSOLIDATED=Y","Sort=A","Dates=H","DateFormat=P","Fill=—","Direction=H","UseDPDF=Y")</f>
        <v>#NAME?</v>
      </c>
      <c r="AE59" s="1" t="e">
        <f ca="1">_xll.BDH($C$53,"WORK_CAP_GROWTH","FQ1 2015","FQ1 2015","Currency=INR","Period=FQ","BEST_FPERIOD_OVERRIDE=FQ","FILING_STATUS=OR","EQY_CONSOLIDATED=Y","Sort=A","Dates=H","DateFormat=P","Fill=—","Direction=H","UseDPDF=Y")</f>
        <v>#NAME?</v>
      </c>
      <c r="AF59" s="1" t="e">
        <f ca="1">_xll.BDH($C$53,"ACCOUNTS_PAYABLE_GROWTH_1YR","FQ1 2015","FQ1 2015","Currency=INR","Period=FQ","BEST_FPERIOD_OVERRIDE=FQ","FILING_STATUS=OR","EQY_CONSOLIDATED=Y","Sort=A","Dates=H","DateFormat=P","Fill=—","Direction=H","UseDPDF=Y")</f>
        <v>#NAME?</v>
      </c>
      <c r="AG59" s="1" t="e">
        <f ca="1">_xll.BDH($C$53,"SHORT_TERM_DEBT_1_YEAR_GROWTH","FQ1 2015","FQ1 2015","Currency=INR","Period=FQ","BEST_FPERIOD_OVERRIDE=FQ","FILING_STATUS=OR","EQY_CONSOLIDATED=Y","Sort=A","Dates=H","DateFormat=P","Fill=—","Direction=H","UseDPDF=Y")</f>
        <v>#NAME?</v>
      </c>
      <c r="AH59" s="1" t="e">
        <f ca="1">_xll.BDH($C$53,"TOTAL_DEBT_1_YEAR_GROWTH","FQ1 2015","FQ1 2015","Currency=INR","Period=FQ","BEST_FPERIOD_OVERRIDE=FQ","FILING_STATUS=OR","EQY_CONSOLIDATED=Y","Sort=A","Dates=H","DateFormat=P","Fill=—","Direction=H","UseDPDF=Y")</f>
        <v>#NAME?</v>
      </c>
      <c r="AI59" s="1" t="e">
        <f ca="1">_xll.BDH($C$53,"TOTAL_EQUITY_1_YEAR_GROWTH","FQ1 2015","FQ1 2015","Currency=INR","Period=FQ","BEST_FPERIOD_OVERRIDE=FQ","FILING_STATUS=OR","EQY_CONSOLIDATED=Y","Sort=A","Dates=H","DateFormat=P","Fill=—","Direction=H","UseDPDF=Y")</f>
        <v>#NAME?</v>
      </c>
      <c r="AJ59" s="1" t="e">
        <f ca="1">_xll.BDH($C$53,"GROWTH_IN_CAP","FQ1 2015","FQ1 2015","Currency=INR","Period=FQ","BEST_FPERIOD_OVERRIDE=FQ","FILING_STATUS=OR","EQY_CONSOLIDATED=Y","Sort=A","Dates=H","DateFormat=P","Fill=—","Direction=H","UseDPDF=Y")</f>
        <v>#NAME?</v>
      </c>
      <c r="AK59" s="1" t="e">
        <f ca="1">_xll.BDH($C$53,"BVPS_GROWTH","FQ1 2015","FQ1 2015","Currency=INR","Period=FQ","BEST_FPERIOD_OVERRIDE=FQ","FILING_STATUS=OR","EQY_CONSOLIDATED=Y","Sort=A","Dates=H","DateFormat=P","Fill=—","Direction=H","UseDPDF=Y")</f>
        <v>#NAME?</v>
      </c>
      <c r="AL59" s="1" t="e">
        <f ca="1">_xll.BDH($C$53,"CASH_FLOW_GROWTH","FQ1 2015","FQ1 2015","Currency=INR","Period=FQ","BEST_FPERIOD_OVERRIDE=FQ","FILING_STATUS=OR","EQY_CONSOLIDATED=Y","Sort=A","Dates=H","DateFormat=P","Fill=—","Direction=H","UseDPDF=Y")</f>
        <v>#NAME?</v>
      </c>
      <c r="AM59" s="1" t="e">
        <f ca="1">_xll.BDH($C$53,"GEO_GROW_NET_SALES","FQ1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9" s="1" t="e">
        <f ca="1">_xll.BDH($C$53,"GEO_GROW_EBITDA","FQ1 2015","FQ1 2015","Currency=INR","Period=FQ","BEST_FPERIOD_OVERRIDE=FQ","FILING_STATUS=OR","EQY_CONSOLIDATED=Y","FA_ADJUSTED=GAAP","Sort=A","Dates=H","DateFormat=P","Fill=—","Direction=H","UseDPDF=Y")</f>
        <v>#NAME?</v>
      </c>
      <c r="AO59" s="1" t="e">
        <f ca="1">_xll.BDH($C$53,"GEO_GROW_OPER_INC","FQ1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9" s="1" t="e">
        <f ca="1">_xll.BDH($C$53,"NET_INCOME_TO_COMMON_5_YR_GROWTH","FQ1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9" s="1" t="e">
        <f ca="1">_xll.BDH($C$53,"5Y_GEO_GROWTH_DILUTED_EPS","FQ1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9" s="1" t="e">
        <f ca="1">_xll.BDH($C$53,"GEO_GROW_DVD_PER_SH","FQ1 2015","FQ1 2015","Currency=INR","Period=FQ","BEST_FPERIOD_OVERRIDE=FQ","FILING_STATUS=OR","EQY_CONSOLIDATED=Y","Sort=A","Dates=H","DateFormat=P","Fill=—","Direction=H","UseDPDF=Y")</f>
        <v>#NAME?</v>
      </c>
      <c r="AS59" s="1" t="e">
        <f ca="1">_xll.BDH($C$53,"ACCOUNTS_RECEIVABLE_5_YR_GROWTH","FQ1 2015","FQ1 2015","Currency=INR","Period=FQ","BEST_FPERIOD_OVERRIDE=FQ","FILING_STATUS=OR","EQY_CONSOLIDATED=Y","Sort=A","Dates=H","DateFormat=P","Fill=—","Direction=H","UseDPDF=Y")</f>
        <v>#NAME?</v>
      </c>
      <c r="AT59" s="1" t="e">
        <f ca="1">_xll.BDH($C$53,"INVENTORY_5_YEAR_GROWTH","FQ1 2015","FQ1 2015","Currency=INR","Period=FQ","BEST_FPERIOD_OVERRIDE=FQ","FILING_STATUS=OR","EQY_CONSOLIDATED=Y","Sort=A","Dates=H","DateFormat=P","Fill=—","Direction=H","UseDPDF=Y")</f>
        <v>#NAME?</v>
      </c>
      <c r="AU59" s="1" t="e">
        <f ca="1">_xll.BDH($C$53,"NET_FIXED_ASSETS_5_YEAR_GROWTH","FQ1 2015","FQ1 2015","Currency=INR","Period=FQ","BEST_FPERIOD_OVERRIDE=FQ","FILING_STATUS=OR","EQY_CONSOLIDATED=Y","Sort=A","Dates=H","DateFormat=P","Fill=—","Direction=H","UseDPDF=Y")</f>
        <v>#NAME?</v>
      </c>
      <c r="AV59" s="1" t="e">
        <f ca="1">_xll.BDH($C$53,"GEO_GROW_TOT_ASSET","FQ1 2015","FQ1 2015","Currency=INR","Period=FQ","BEST_FPERIOD_OVERRIDE=FQ","FILING_STATUS=OR","EQY_CONSOLIDATED=Y","Sort=A","Dates=H","DateFormat=P","Fill=—","Direction=H","UseDPDF=Y")</f>
        <v>#NAME?</v>
      </c>
      <c r="AW59" s="1" t="e">
        <f ca="1">_xll.BDH($C$53,"MODIFIED_WORKING_CPTL_5YR_GRWTH","FQ1 2015","FQ1 2015","Currency=INR","Period=FQ","BEST_FPERIOD_OVERRIDE=FQ","FILING_STATUS=OR","EQY_CONSOLIDATED=Y","Sort=A","Dates=H","DateFormat=P","Fill=—","Direction=H","UseDPDF=Y")</f>
        <v>#NAME?</v>
      </c>
      <c r="AX59" s="1" t="e">
        <f ca="1">_xll.BDH($C$53,"WORKING_CAPITAL_5_YEAR_GROWTH","FQ1 2015","FQ1 2015","Currency=INR","Period=FQ","BEST_FPERIOD_OVERRIDE=FQ","FILING_STATUS=OR","EQY_CONSOLIDATED=Y","Sort=A","Dates=H","DateFormat=P","Fill=—","Direction=H","UseDPDF=Y")</f>
        <v>#NAME?</v>
      </c>
      <c r="AY59" s="1" t="e">
        <f ca="1">_xll.BDH($C$53,"ACCOUNTS_PAYABLE_5_YEAR_GROWTH","FQ1 2015","FQ1 2015","Currency=INR","Period=FQ","BEST_FPERIOD_OVERRIDE=FQ","FILING_STATUS=OR","EQY_CONSOLIDATED=Y","Sort=A","Dates=H","DateFormat=P","Fill=—","Direction=H","UseDPDF=Y")</f>
        <v>#NAME?</v>
      </c>
      <c r="AZ59" s="1" t="e">
        <f ca="1">_xll.BDH($C$53,"SHORT_TERM_DEBT_5_YEAR_GROWTH","FQ1 2015","FQ1 2015","Currency=INR","Period=FQ","BEST_FPERIOD_OVERRIDE=FQ","FILING_STATUS=OR","EQY_CONSOLIDATED=Y","Sort=A","Dates=H","DateFormat=P","Fill=—","Direction=H","UseDPDF=Y")</f>
        <v>#NAME?</v>
      </c>
      <c r="BA59" s="1" t="e">
        <f ca="1">_xll.BDH($C$53,"TOTAL_DEBT_5_YEAR_GROWTH","FQ1 2015","FQ1 2015","Currency=INR","Period=FQ","BEST_FPERIOD_OVERRIDE=FQ","FILING_STATUS=OR","EQY_CONSOLIDATED=Y","Sort=A","Dates=H","DateFormat=P","Fill=—","Direction=H","UseDPDF=Y")</f>
        <v>#NAME?</v>
      </c>
      <c r="BB59" s="1" t="e">
        <f ca="1">_xll.BDH($C$53,"GEO_GROW_TOT_SHRHLDR_EQY","FQ1 2015","FQ1 2015","Currency=INR","Period=FQ","BEST_FPERIOD_OVERRIDE=FQ","FILING_STATUS=OR","EQY_CONSOLIDATED=Y","Sort=A","Dates=H","DateFormat=P","Fill=—","Direction=H","UseDPDF=Y")</f>
        <v>#NAME?</v>
      </c>
      <c r="BC59" s="1" t="e">
        <f ca="1">_xll.BDH($C$53,"TOTAL_CAPITAL_5_YEAR_GROWTH","FQ1 2015","FQ1 2015","Currency=INR","Period=FQ","BEST_FPERIOD_OVERRIDE=FQ","FILING_STATUS=OR","EQY_CONSOLIDATED=Y","Sort=A","Dates=H","DateFormat=P","Fill=—","Direction=H","UseDPDF=Y")</f>
        <v>#NAME?</v>
      </c>
      <c r="BD59" s="1" t="e">
        <f ca="1">_xll.BDH($C$53,"GEO_GROW_BOOK_VAL","FQ1 2015","FQ1 2015","Currency=INR","Period=FQ","BEST_FPERIOD_OVERRIDE=FQ","FILING_STATUS=OR","EQY_CONSOLIDATED=Y","Sort=A","Dates=H","DateFormat=P","Fill=—","Direction=H","UseDPDF=Y")</f>
        <v>#NAME?</v>
      </c>
      <c r="BE59" s="1" t="e">
        <f ca="1">_xll.BDH($C$53,"GEO_GROW_CASH_OPER_ACT","FQ1 2015","FQ1 2015","Currency=INR","Period=FQ","BEST_FPERIOD_OVERRIDE=FQ","FILING_STATUS=OR","EQY_CONSOLIDATED=Y","Sort=A","Dates=H","DateFormat=P","Fill=—","Direction=H","UseDPDF=Y")</f>
        <v>#NAME?</v>
      </c>
      <c r="BF59" s="1" t="e">
        <f ca="1">_xll.BDH($C$53,"REVENUE_SEQUENTIAL_GROWTH","FQ1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9" s="1" t="e">
        <f ca="1">_xll.BDH($C$53,"EBITDA_SEQUENTIAL_GROWTH","FQ1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9" s="1" t="e">
        <f ca="1">_xll.BDH($C$53,"OPERATING_INCOME_SEQ_GROWTH","FQ1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9" s="1" t="e">
        <f ca="1">_xll.BDH($C$53,"NET_INCOME_TO_COMMON_SEQ_GROWTH","FQ1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9" s="1" t="e">
        <f ca="1">_xll.BDH($C$53,"EPS_DILUTED_SEQUENTIAL_GROWTH","FQ1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9" s="1" t="e">
        <f ca="1">_xll.BDH($C$53,"DPS_SEQUENTIAL_GROWTH","FQ1 2015","FQ1 2015","Currency=INR","Period=FQ","BEST_FPERIOD_OVERRIDE=FQ","FILING_STATUS=OR","EQY_CONSOLIDATED=Y","Sort=A","Dates=H","DateFormat=P","Fill=—","Direction=H","UseDPDF=Y")</f>
        <v>#NAME?</v>
      </c>
      <c r="BL59" s="1" t="e">
        <f ca="1">_xll.BDH($C$53,"ACCOUNTS_RECEIVABLE_SEQ_GROWTH","FQ1 2015","FQ1 2015","Currency=INR","Period=FQ","BEST_FPERIOD_OVERRIDE=FQ","FILING_STATUS=OR","EQY_CONSOLIDATED=Y","Sort=A","Dates=H","DateFormat=P","Fill=—","Direction=H","UseDPDF=Y")</f>
        <v>#NAME?</v>
      </c>
      <c r="BM59" s="1" t="e">
        <f ca="1">_xll.BDH($C$53,"INVENTORY_SEQUENTIAL_GROWTH","FQ1 2015","FQ1 2015","Currency=INR","Period=FQ","BEST_FPERIOD_OVERRIDE=FQ","FILING_STATUS=OR","EQY_CONSOLIDATED=Y","Sort=A","Dates=H","DateFormat=P","Fill=—","Direction=H","UseDPDF=Y")</f>
        <v>#NAME?</v>
      </c>
      <c r="BN59" s="1" t="e">
        <f ca="1">_xll.BDH($C$53,"FIXED_ASSETS_SEQUENTIAL_GROWTH","FQ1 2015","FQ1 2015","Currency=INR","Period=FQ","BEST_FPERIOD_OVERRIDE=FQ","FILING_STATUS=OR","EQY_CONSOLIDATED=Y","Sort=A","Dates=H","DateFormat=P","Fill=—","Direction=H","UseDPDF=Y")</f>
        <v>#NAME?</v>
      </c>
      <c r="BO59" s="1" t="e">
        <f ca="1">_xll.BDH($C$53,"TOTAL_ASSETS_SEQUENTIAL_GROWTH","FQ1 2015","FQ1 2015","Currency=INR","Period=FQ","BEST_FPERIOD_OVERRIDE=FQ","FILING_STATUS=OR","EQY_CONSOLIDATED=Y","Sort=A","Dates=H","DateFormat=P","Fill=—","Direction=H","UseDPDF=Y")</f>
        <v>#NAME?</v>
      </c>
      <c r="BP59" s="1" t="e">
        <f ca="1">_xll.BDH($C$53,"MODIFIED_WORKING_CPTL_SEQ_GRWTH","FQ1 2015","FQ1 2015","Currency=INR","Period=FQ","BEST_FPERIOD_OVERRIDE=FQ","FILING_STATUS=OR","EQY_CONSOLIDATED=Y","Sort=A","Dates=H","DateFormat=P","Fill=—","Direction=H","UseDPDF=Y")</f>
        <v>#NAME?</v>
      </c>
      <c r="BQ59" s="1" t="e">
        <f ca="1">_xll.BDH($C$53,"WORKING_CAPITAL_SEQ_GROWTH","FQ1 2015","FQ1 2015","Currency=INR","Period=FQ","BEST_FPERIOD_OVERRIDE=FQ","FILING_STATUS=OR","EQY_CONSOLIDATED=Y","Sort=A","Dates=H","DateFormat=P","Fill=—","Direction=H","UseDPDF=Y")</f>
        <v>#NAME?</v>
      </c>
      <c r="BR59" s="1" t="e">
        <f ca="1">_xll.BDH($C$53,"ACCOUNTS_PAYABLE_SEQ_GROWTH","FQ1 2015","FQ1 2015","Currency=INR","Period=FQ","BEST_FPERIOD_OVERRIDE=FQ","FILING_STATUS=OR","EQY_CONSOLIDATED=Y","Sort=A","Dates=H","DateFormat=P","Fill=—","Direction=H","UseDPDF=Y")</f>
        <v>#NAME?</v>
      </c>
      <c r="BS59" s="1" t="e">
        <f ca="1">_xll.BDH($C$53,"ST_DEBT_SEQUENTIAL_GROWTH","FQ1 2015","FQ1 2015","Currency=INR","Period=FQ","BEST_FPERIOD_OVERRIDE=FQ","FILING_STATUS=OR","EQY_CONSOLIDATED=Y","Sort=A","Dates=H","DateFormat=P","Fill=—","Direction=H","UseDPDF=Y")</f>
        <v>#NAME?</v>
      </c>
      <c r="BT59" s="1" t="e">
        <f ca="1">_xll.BDH($C$53,"TOTAL_DEBT_SEQUENTIAL_GROWTH","FQ1 2015","FQ1 2015","Currency=INR","Period=FQ","BEST_FPERIOD_OVERRIDE=FQ","FILING_STATUS=OR","EQY_CONSOLIDATED=Y","Sort=A","Dates=H","DateFormat=P","Fill=—","Direction=H","UseDPDF=Y")</f>
        <v>#NAME?</v>
      </c>
      <c r="BU59" s="1" t="e">
        <f ca="1">_xll.BDH($C$53,"TOTAL_EQUITY_SEQUENTIAL_GROWTH","FQ1 2015","FQ1 2015","Currency=INR","Period=FQ","BEST_FPERIOD_OVERRIDE=FQ","FILING_STATUS=OR","EQY_CONSOLIDATED=Y","Sort=A","Dates=H","DateFormat=P","Fill=—","Direction=H","UseDPDF=Y")</f>
        <v>#NAME?</v>
      </c>
      <c r="BV59" s="1" t="e">
        <f ca="1">_xll.BDH($C$53,"TOTAL_CAPITAL_SEQUENTIAL_GROWTH","FQ1 2015","FQ1 2015","Currency=INR","Period=FQ","BEST_FPERIOD_OVERRIDE=FQ","FILING_STATUS=OR","EQY_CONSOLIDATED=Y","Sort=A","Dates=H","DateFormat=P","Fill=—","Direction=H","UseDPDF=Y")</f>
        <v>#NAME?</v>
      </c>
      <c r="BW59" s="1" t="e">
        <f ca="1">_xll.BDH($C$53,"BPS_SEQUENTIAL_GROWTH","FQ1 2015","FQ1 2015","Currency=INR","Period=FQ","BEST_FPERIOD_OVERRIDE=FQ","FILING_STATUS=OR","EQY_CONSOLIDATED=Y","Sort=A","Dates=H","DateFormat=P","Fill=—","Direction=H","UseDPDF=Y")</f>
        <v>#NAME?</v>
      </c>
      <c r="BX59" s="1" t="e">
        <f ca="1">_xll.BDH($C$53,"CFO_SEQUENTIAL_GROWTH","FQ1 2015","FQ1 2015","Currency=INR","Period=FQ","BEST_FPERIOD_OVERRIDE=FQ","FILING_STATUS=OR","EQY_CONSOLIDATED=Y","Sort=A","Dates=H","DateFormat=P","Fill=—","Direction=H","UseDPDF=Y")</f>
        <v>#NAME?</v>
      </c>
      <c r="BY59" s="2" t="e">
        <f ca="1">_xll.BDH($C$53,"SHORT_AND_LONG_TERM_DEBT","FQ1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9" s="2" t="e">
        <f ca="1">_xll.BDH($C$53,"BS_ST_BORROW","FQ1 2015","FQ1 2015","Currency=INR","Period=FQ","BEST_FPERIOD_OVERRIDE=FQ","FILING_STATUS=OR","EQY_CONSOLIDATED=Y","SCALING_FORMAT=MLN","Sort=A","Dates=H","DateFormat=P","Fill=—","Direction=H","UseDPDF=Y")</f>
        <v>#NAME?</v>
      </c>
      <c r="CA59" s="2" t="e">
        <f ca="1">_xll.BDH($C$53,"BS_LT_BORROW","FQ1 2015","FQ1 2015","Currency=INR","Period=FQ","BEST_FPERIOD_OVERRIDE=FQ","FILING_STATUS=OR","EQY_CONSOLIDATED=Y","SCALING_FORMAT=MLN","Sort=A","Dates=H","DateFormat=P","Fill=—","Direction=H","UseDPDF=Y")</f>
        <v>#NAME?</v>
      </c>
      <c r="CB59" s="1" t="e">
        <f ca="1">_xll.BDH($C$53,"TOT_DEBT_TO_EBITDA","FQ1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9" s="1" t="e">
        <f ca="1">_xll.BDH($C$53,"NET_DEBT_TO_EBITDA","FQ1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9" s="1" t="e">
        <f ca="1">_xll.BDH($C$53,"TOTAL_DEBT_TO_EBIT","FQ1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9" s="1" t="e">
        <f ca="1">_xll.BDH($C$53,"NET_DEBT_TO_EBIT","FQ1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59" s="1" t="e">
        <f ca="1">_xll.BDH($C$53,"EBITDA_TO_INTEREST_EXPN","FQ1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9" s="1" t="e">
        <f ca="1">_xll.BDH($C$53,"COM_EQY_TO_TOT_ASSET","FQ1 2015","FQ1 2015","Currency=INR","Period=FQ","BEST_FPERIOD_OVERRIDE=FQ","FILING_STATUS=OR","EQY_CONSOLIDATED=Y","Sort=A","Dates=H","DateFormat=P","Fill=—","Direction=H","UseDPDF=Y")</f>
        <v>#NAME?</v>
      </c>
      <c r="CH59" s="1" t="e">
        <f ca="1">_xll.BDH($C$53,"LT_DEBT_TO_TOT_EQY","FQ1 2015","FQ1 2015","Currency=INR","Period=FQ","BEST_FPERIOD_OVERRIDE=FQ","FILING_STATUS=OR","EQY_CONSOLIDATED=Y","Sort=A","Dates=H","DateFormat=P","Fill=—","Direction=H","UseDPDF=Y")</f>
        <v>#NAME?</v>
      </c>
      <c r="CI59" s="1" t="e">
        <f ca="1">_xll.BDH($C$53,"LT_DEBT_TO_TOT_CAP","FQ1 2015","FQ1 2015","Currency=INR","Period=FQ","BEST_FPERIOD_OVERRIDE=FQ","FILING_STATUS=OR","EQY_CONSOLIDATED=Y","Sort=A","Dates=H","DateFormat=P","Fill=—","Direction=H","UseDPDF=Y")</f>
        <v>#NAME?</v>
      </c>
      <c r="CJ59" s="1" t="e">
        <f ca="1">_xll.BDH($C$53,"LT_DEBT_TO_TOT_ASSET","FQ1 2015","FQ1 2015","Currency=INR","Period=FQ","BEST_FPERIOD_OVERRIDE=FQ","FILING_STATUS=OR","EQY_CONSOLIDATED=Y","Sort=A","Dates=H","DateFormat=P","Fill=—","Direction=H","UseDPDF=Y")</f>
        <v>#NAME?</v>
      </c>
      <c r="CK59" s="1" t="e">
        <f ca="1">_xll.BDH($C$53,"TOT_DEBT_TO_TOT_EQY","FQ1 2015","FQ1 2015","Currency=INR","Period=FQ","BEST_FPERIOD_OVERRIDE=FQ","FILING_STATUS=OR","EQY_CONSOLIDATED=Y","Sort=A","Dates=H","DateFormat=P","Fill=—","Direction=H","UseDPDF=Y")</f>
        <v>#NAME?</v>
      </c>
      <c r="CL59" s="1" t="e">
        <f ca="1">_xll.BDH($C$53,"TOT_DEBT_TO_TOT_CAP","FQ1 2015","FQ1 2015","Currency=INR","Period=FQ","BEST_FPERIOD_OVERRIDE=FQ","FILING_STATUS=OR","EQY_CONSOLIDATED=Y","Sort=A","Dates=H","DateFormat=P","Fill=—","Direction=H","UseDPDF=Y")</f>
        <v>#NAME?</v>
      </c>
      <c r="CM59" s="1" t="e">
        <f ca="1">_xll.BDH($C$53,"TOT_DEBT_TO_TOT_ASSET","FQ1 2015","FQ1 2015","Currency=INR","Period=FQ","BEST_FPERIOD_OVERRIDE=FQ","FILING_STATUS=OR","EQY_CONSOLIDATED=Y","Sort=A","Dates=H","DateFormat=P","Fill=—","Direction=H","UseDPDF=Y")</f>
        <v>#NAME?</v>
      </c>
      <c r="CN59" s="1" t="e">
        <f ca="1">_xll.BDH($C$53,"NET_DEBT_TO_SHRHLDR_EQTY","FQ1 2015","FQ1 2015","Currency=INR","Period=FQ","BEST_FPERIOD_OVERRIDE=FQ","FILING_STATUS=OR","EQY_CONSOLIDATED=Y","Sort=A","Dates=H","DateFormat=P","Fill=—","Direction=H","UseDPDF=Y")</f>
        <v>#NAME?</v>
      </c>
      <c r="CO59" s="1" t="e">
        <f ca="1">_xll.BDH($C$53,"NET_DEBT_%_CAPITAL","FQ1 2015","FQ1 2015","Currency=INR","Period=FQ","BEST_FPERIOD_OVERRIDE=FQ","FILING_STATUS=OR","EQY_CONSOLIDATED=Y","Sort=A","Dates=H","DateFormat=P","Fill=—","Direction=H","UseDPDF=Y")</f>
        <v>#NAME?</v>
      </c>
      <c r="CP59" s="2" t="e">
        <f ca="1">_xll.BDH($C$53,"EBITDA","FQ1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9" s="2" t="e">
        <f ca="1">_xll.BDH($C$53,"EBITDA_AFTER_CAPEX","FQ1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9" s="2" t="e">
        <f ca="1">_xll.BDH($C$53,"IS_OPER_INC","FQ1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9" s="1" t="e">
        <f ca="1">_xll.BDH($C$53,"CASH_RATIO","FQ1 2015","FQ1 2015","Currency=INR","Period=FQ","BEST_FPERIOD_OVERRIDE=FQ","FILING_STATUS=OR","EQY_CONSOLIDATED=Y","Sort=A","Dates=H","DateFormat=P","Fill=—","Direction=H","UseDPDF=Y")</f>
        <v>#NAME?</v>
      </c>
      <c r="CT59" s="1" t="e">
        <f ca="1">_xll.BDH($C$53,"CUR_RATIO","FQ1 2015","FQ1 2015","Currency=INR","Period=FQ","BEST_FPERIOD_OVERRIDE=FQ","FILING_STATUS=OR","EQY_CONSOLIDATED=Y","Sort=A","Dates=H","DateFormat=P","Fill=—","Direction=H","UseDPDF=Y")</f>
        <v>#NAME?</v>
      </c>
      <c r="CU59" s="1" t="e">
        <f ca="1">_xll.BDH($C$53,"QUICK_RATIO","FQ1 2015","FQ1 2015","Currency=INR","Period=FQ","BEST_FPERIOD_OVERRIDE=FQ","FILING_STATUS=OR","EQY_CONSOLIDATED=Y","Sort=A","Dates=H","DateFormat=P","Fill=—","Direction=H","UseDPDF=Y")</f>
        <v>#NAME?</v>
      </c>
      <c r="CV59" s="1" t="e">
        <f ca="1">_xll.BDH($C$53,"ALTMAN_Z_SCORE","FQ1 2015","FQ1 2015","Currency=INR","Period=FQ","BEST_FPERIOD_OVERRIDE=FQ","FILING_STATUS=OR","EQY_CONSOLIDATED=Y","Sort=A","Dates=H","DateFormat=P","Fill=—","Direction=H","UseDPDF=Y")</f>
        <v>#NAME?</v>
      </c>
      <c r="CW59" s="3" t="e">
        <f ca="1">_xll.BDH($C$53,"ACCT_RCV_TURN","FQ1 2015","FQ1 2015","Currency=INR","Period=FQ","BEST_FPERIOD_OVERRIDE=FQ","FILING_STATUS=OR","EQY_CONSOLIDATED=Y","FA_ADJUSTED=GAAP","Sort=A","Dates=H","DateFormat=P","Fill=—","Direction=H","UseDPDF=Y")</f>
        <v>#NAME?</v>
      </c>
      <c r="CX59" s="1" t="e">
        <f ca="1">_xll.BDH($C$53,"ACCT_RCV_DAYS","FQ1 2015","FQ1 2015","Currency=INR","Period=FQ","BEST_FPERIOD_OVERRIDE=FQ","FILING_STATUS=OR","EQY_CONSOLIDATED=Y","FA_ADJUSTED=GAAP","Sort=A","Dates=H","DateFormat=P","Fill=—","Direction=H","UseDPDF=Y")</f>
        <v>#NAME?</v>
      </c>
      <c r="CY59" s="3" t="e">
        <f ca="1">_xll.BDH($C$53,"INVENT_TURN","FQ1 2015","FQ1 2015","Currency=INR","Period=FQ","BEST_FPERIOD_OVERRIDE=FQ","FILING_STATUS=OR","EQY_CONSOLIDATED=Y","FA_ADJUSTED=GAAP","Sort=A","Dates=H","DateFormat=P","Fill=—","Direction=H","UseDPDF=Y")</f>
        <v>#NAME?</v>
      </c>
      <c r="CZ59" s="1" t="e">
        <f ca="1">_xll.BDH($C$53,"INVENT_DAYS","FQ1 2015","FQ1 2015","Currency=INR","Period=FQ","BEST_FPERIOD_OVERRIDE=FQ","FILING_STATUS=OR","EQY_CONSOLIDATED=Y","FA_ADJUSTED=GAAP","Sort=A","Dates=H","DateFormat=P","Fill=—","Direction=H","UseDPDF=Y")</f>
        <v>#NAME?</v>
      </c>
      <c r="DA59" s="3" t="e">
        <f ca="1">_xll.BDH($C$53,"ACCOUNTS_PAYABLE_TURNOVER","FQ1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9" s="1" t="e">
        <f ca="1">_xll.BDH($C$53,"ACCOUNTS_PAYABLE_TURNOVER_DAYS","FQ1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9" s="3" t="e">
        <f ca="1">_xll.BDH($C$53,"CASH_CONVERSION_CYCLE","FQ1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9" s="3" t="e">
        <f ca="1">_xll.BDH($C$53,"INV_TO_CASH_DAYS","FQ1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59" s="4" t="e">
        <f ca="1">_xll.BDH($C$53,"BS_INVENTORIES","FQ1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59" s="2" t="e">
        <f ca="1">_xll.BDH($C$53,"INVTRY_RAW_MATERIALS","FQ1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9" s="2" t="e">
        <f ca="1">_xll.BDH($C$53,"INVTRY_IN_PROGRESS","FQ1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9" s="2" t="e">
        <f ca="1">_xll.BDH($C$53,"INVTRY_FINISHED_GOODS","FQ1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9" s="2" t="e">
        <f ca="1">_xll.BDH($C$53,"BS_OTHER_INV","FQ1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60" spans="1:113" x14ac:dyDescent="0.3">
      <c r="A60" s="6"/>
      <c r="B60" s="6"/>
      <c r="C60" s="6"/>
      <c r="D60" s="6"/>
      <c r="E60" t="s">
        <v>5</v>
      </c>
      <c r="F60" t="e">
        <f ca="1">_xll.BDH($C$53,"RETURN_COM_EQY","FQ2 2015","FQ2 2015","Currency=INR","Period=FQ","BEST_FPERIOD_OVERRIDE=FQ","FILING_STATUS=OR","EQY_CONSOLIDATED=Y","FA_ADJUSTED=GAAP","Sort=A","Dates=H","DateFormat=P","Fill=—","Direction=H","UseDPDF=Y")</f>
        <v>#NAME?</v>
      </c>
      <c r="G60" t="e">
        <f ca="1">_xll.BDH($C$53,"RETURN_ON_ASSET","FQ2 2015","FQ2 2015","Currency=INR","Period=FQ","BEST_FPERIOD_OVERRIDE=FQ","FILING_STATUS=OR","EQY_CONSOLIDATED=Y","FA_ADJUSTED=GAAP","Sort=A","Dates=H","DateFormat=P","Fill=—","Direction=H","UseDPDF=Y")</f>
        <v>#NAME?</v>
      </c>
      <c r="H60" t="e">
        <f ca="1">_xll.BDH($C$53,"RETURN_ON_CAP","FQ2 2015","FQ2 2015","Currency=INR","Period=FQ","BEST_FPERIOD_OVERRIDE=FQ","FILING_STATUS=OR","EQY_CONSOLIDATED=Y","FA_ADJUSTED=GAAP","Sort=A","Dates=H","DateFormat=P","Fill=—","Direction=H","UseDPDF=Y")</f>
        <v>#NAME?</v>
      </c>
      <c r="I60" t="e">
        <f ca="1">_xll.BDH($C$53,"RETURN_ON_INV_CAPITAL","FQ2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60" t="e">
        <f ca="1">_xll.BDH($C$53,"EBITDA_TO_REVENUE","FQ2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60" t="e">
        <f ca="1">_xll.BDH($C$53,"OPER_MARGIN","FQ2 2015","FQ2 2015","Currency=INR","Period=FQ","BEST_FPERIOD_OVERRIDE=FQ","FILING_STATUS=OR","EQY_CONSOLIDATED=Y","FA_ADJUSTED=GAAP","Sort=A","Dates=H","DateFormat=P","Fill=—","Direction=H","UseDPDF=Y")</f>
        <v>#NAME?</v>
      </c>
      <c r="L60" t="e">
        <f ca="1">_xll.BDH($C$53,"INCREMENTAL_OPERATING_MARGIN","FQ2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60" t="e">
        <f ca="1">_xll.BDH($C$53,"PRETAX_INC_TO_NET_SALES","FQ2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60" t="e">
        <f ca="1">_xll.BDH($C$53,"INC_BEF_XO_ITEMS_TO_NET_SALES","FQ2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60" t="e">
        <f ca="1">_xll.BDH($C$53,"PROF_MARGIN","FQ2 2015","FQ2 2015","Currency=INR","Period=FQ","BEST_FPERIOD_OVERRIDE=FQ","FILING_STATUS=OR","EQY_CONSOLIDATED=Y","FA_ADJUSTED=GAAP","Sort=A","Dates=H","DateFormat=P","Fill=—","Direction=H","UseDPDF=Y")</f>
        <v>#NAME?</v>
      </c>
      <c r="P60" t="e">
        <f ca="1">_xll.BDH($C$53,"NET_INCOME_TO_COMMON_MARGIN","FQ2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60" t="e">
        <f ca="1">_xll.BDH($C$53,"EFF_TAX_RATE","FQ2 2015","FQ2 2015","Currency=INR","Period=FQ","BEST_FPERIOD_OVERRIDE=FQ","FILING_STATUS=OR","EQY_CONSOLIDATED=Y","FA_ADJUSTED=GAAP","Sort=A","Dates=H","DateFormat=P","Fill=—","Direction=H","UseDPDF=Y")</f>
        <v>#NAME?</v>
      </c>
      <c r="R60" t="e">
        <f ca="1">_xll.BDH($C$53,"DVD_PAYOUT_RATIO","FQ2 2015","FQ2 2015","Currency=INR","Period=FQ","BEST_FPERIOD_OVERRIDE=FQ","FILING_STATUS=OR","EQY_CONSOLIDATED=Y","FA_ADJUSTED=GAAP","Sort=A","Dates=H","DateFormat=P","Fill=—","Direction=H","UseDPDF=Y")</f>
        <v>#NAME?</v>
      </c>
      <c r="S60" t="e">
        <f ca="1">_xll.BDH($C$53,"SUSTAIN_GROWTH_RT","FQ2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60" s="1" t="e">
        <f ca="1">_xll.BDH($C$53,"SALES_GROWTH","FQ2 2015","FQ2 2015","Currency=INR","Period=FQ","BEST_FPERIOD_OVERRIDE=FQ","FILING_STATUS=OR","EQY_CONSOLIDATED=Y","FA_ADJUSTED=GAAP","Sort=A","Dates=H","DateFormat=P","Fill=—","Direction=H","UseDPDF=Y")</f>
        <v>#NAME?</v>
      </c>
      <c r="U60" s="1" t="e">
        <f ca="1">_xll.BDH($C$53,"EBITDA_GROWTH","FQ2 2015","FQ2 2015","Currency=INR","Period=FQ","BEST_FPERIOD_OVERRIDE=FQ","FILING_STATUS=OR","EQY_CONSOLIDATED=Y","FA_ADJUSTED=GAAP","Sort=A","Dates=H","DateFormat=P","Fill=—","Direction=H","UseDPDF=Y")</f>
        <v>#NAME?</v>
      </c>
      <c r="V60" s="1" t="e">
        <f ca="1">_xll.BDH($C$53,"OPER_INC_GROWTH","FQ2 2015","FQ2 2015","Currency=INR","Period=FQ","BEST_FPERIOD_OVERRIDE=FQ","FILING_STATUS=OR","EQY_CONSOLIDATED=Y","FA_ADJUSTED=GAAP","Sort=A","Dates=H","DateFormat=P","Fill=—","Direction=H","UseDPDF=Y")</f>
        <v>#NAME?</v>
      </c>
      <c r="W60" s="1" t="e">
        <f ca="1">_xll.BDH($C$53,"EARN_FOR_COM_GROWTH","FQ2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60" s="1" t="e">
        <f ca="1">_xll.BDH($C$53,"DILUTED_EPS_AFT_XO_ITEMS_GROWTH","FQ2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60" s="1" t="e">
        <f ca="1">_xll.BDH($C$53,"DIVIDEND_PER_SHARE_1_YEAR_GROWTH","FQ2 2015","FQ2 2015","Currency=INR","Period=FQ","BEST_FPERIOD_OVERRIDE=FQ","FILING_STATUS=OR","EQY_CONSOLIDATED=Y","Sort=A","Dates=H","DateFormat=P","Fill=—","Direction=H","UseDPDF=Y")</f>
        <v>#NAME?</v>
      </c>
      <c r="Z60" s="1" t="e">
        <f ca="1">_xll.BDH($C$53,"ACCOUNTS_RECEIVABLE_GROWTH","FQ2 2015","FQ2 2015","Currency=INR","Period=FQ","BEST_FPERIOD_OVERRIDE=FQ","FILING_STATUS=OR","EQY_CONSOLIDATED=Y","Sort=A","Dates=H","DateFormat=P","Fill=—","Direction=H","UseDPDF=Y")</f>
        <v>#NAME?</v>
      </c>
      <c r="AA60" s="1" t="e">
        <f ca="1">_xll.BDH($C$53,"INVENTORY_GROWTH","FQ2 2015","FQ2 2015","Currency=INR","Period=FQ","BEST_FPERIOD_OVERRIDE=FQ","FILING_STATUS=OR","EQY_CONSOLIDATED=Y","Sort=A","Dates=H","DateFormat=P","Fill=—","Direction=H","UseDPDF=Y")</f>
        <v>#NAME?</v>
      </c>
      <c r="AB60" s="1" t="e">
        <f ca="1">_xll.BDH($C$53,"NET_FIXED_ASSETS_1_YEAR_GROWTH","FQ2 2015","FQ2 2015","Currency=INR","Period=FQ","BEST_FPERIOD_OVERRIDE=FQ","FILING_STATUS=OR","EQY_CONSOLIDATED=Y","Sort=A","Dates=H","DateFormat=P","Fill=—","Direction=H","UseDPDF=Y")</f>
        <v>#NAME?</v>
      </c>
      <c r="AC60" s="1" t="e">
        <f ca="1">_xll.BDH($C$53,"ASSET_GROWTH","FQ2 2015","FQ2 2015","Currency=INR","Period=FQ","BEST_FPERIOD_OVERRIDE=FQ","FILING_STATUS=OR","EQY_CONSOLIDATED=Y","Sort=A","Dates=H","DateFormat=P","Fill=—","Direction=H","UseDPDF=Y")</f>
        <v>#NAME?</v>
      </c>
      <c r="AD60" s="1" t="e">
        <f ca="1">_xll.BDH($C$53,"MODIFIED_WORK_CAP_GROWTH","FQ2 2015","FQ2 2015","Currency=INR","Period=FQ","BEST_FPERIOD_OVERRIDE=FQ","FILING_STATUS=OR","EQY_CONSOLIDATED=Y","Sort=A","Dates=H","DateFormat=P","Fill=—","Direction=H","UseDPDF=Y")</f>
        <v>#NAME?</v>
      </c>
      <c r="AE60" s="1" t="e">
        <f ca="1">_xll.BDH($C$53,"WORK_CAP_GROWTH","FQ2 2015","FQ2 2015","Currency=INR","Period=FQ","BEST_FPERIOD_OVERRIDE=FQ","FILING_STATUS=OR","EQY_CONSOLIDATED=Y","Sort=A","Dates=H","DateFormat=P","Fill=—","Direction=H","UseDPDF=Y")</f>
        <v>#NAME?</v>
      </c>
      <c r="AF60" s="1" t="e">
        <f ca="1">_xll.BDH($C$53,"ACCOUNTS_PAYABLE_GROWTH_1YR","FQ2 2015","FQ2 2015","Currency=INR","Period=FQ","BEST_FPERIOD_OVERRIDE=FQ","FILING_STATUS=OR","EQY_CONSOLIDATED=Y","Sort=A","Dates=H","DateFormat=P","Fill=—","Direction=H","UseDPDF=Y")</f>
        <v>#NAME?</v>
      </c>
      <c r="AG60" s="1" t="e">
        <f ca="1">_xll.BDH($C$53,"SHORT_TERM_DEBT_1_YEAR_GROWTH","FQ2 2015","FQ2 2015","Currency=INR","Period=FQ","BEST_FPERIOD_OVERRIDE=FQ","FILING_STATUS=OR","EQY_CONSOLIDATED=Y","Sort=A","Dates=H","DateFormat=P","Fill=—","Direction=H","UseDPDF=Y")</f>
        <v>#NAME?</v>
      </c>
      <c r="AH60" s="1" t="e">
        <f ca="1">_xll.BDH($C$53,"TOTAL_DEBT_1_YEAR_GROWTH","FQ2 2015","FQ2 2015","Currency=INR","Period=FQ","BEST_FPERIOD_OVERRIDE=FQ","FILING_STATUS=OR","EQY_CONSOLIDATED=Y","Sort=A","Dates=H","DateFormat=P","Fill=—","Direction=H","UseDPDF=Y")</f>
        <v>#NAME?</v>
      </c>
      <c r="AI60" s="1" t="e">
        <f ca="1">_xll.BDH($C$53,"TOTAL_EQUITY_1_YEAR_GROWTH","FQ2 2015","FQ2 2015","Currency=INR","Period=FQ","BEST_FPERIOD_OVERRIDE=FQ","FILING_STATUS=OR","EQY_CONSOLIDATED=Y","Sort=A","Dates=H","DateFormat=P","Fill=—","Direction=H","UseDPDF=Y")</f>
        <v>#NAME?</v>
      </c>
      <c r="AJ60" s="1" t="e">
        <f ca="1">_xll.BDH($C$53,"GROWTH_IN_CAP","FQ2 2015","FQ2 2015","Currency=INR","Period=FQ","BEST_FPERIOD_OVERRIDE=FQ","FILING_STATUS=OR","EQY_CONSOLIDATED=Y","Sort=A","Dates=H","DateFormat=P","Fill=—","Direction=H","UseDPDF=Y")</f>
        <v>#NAME?</v>
      </c>
      <c r="AK60" s="1" t="e">
        <f ca="1">_xll.BDH($C$53,"BVPS_GROWTH","FQ2 2015","FQ2 2015","Currency=INR","Period=FQ","BEST_FPERIOD_OVERRIDE=FQ","FILING_STATUS=OR","EQY_CONSOLIDATED=Y","Sort=A","Dates=H","DateFormat=P","Fill=—","Direction=H","UseDPDF=Y")</f>
        <v>#NAME?</v>
      </c>
      <c r="AL60" s="1" t="e">
        <f ca="1">_xll.BDH($C$53,"CASH_FLOW_GROWTH","FQ2 2015","FQ2 2015","Currency=INR","Period=FQ","BEST_FPERIOD_OVERRIDE=FQ","FILING_STATUS=OR","EQY_CONSOLIDATED=Y","Sort=A","Dates=H","DateFormat=P","Fill=—","Direction=H","UseDPDF=Y")</f>
        <v>#NAME?</v>
      </c>
      <c r="AM60" s="1" t="e">
        <f ca="1">_xll.BDH($C$53,"GEO_GROW_NET_SALES","FQ2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60" s="1" t="e">
        <f ca="1">_xll.BDH($C$53,"GEO_GROW_EBITDA","FQ2 2015","FQ2 2015","Currency=INR","Period=FQ","BEST_FPERIOD_OVERRIDE=FQ","FILING_STATUS=OR","EQY_CONSOLIDATED=Y","FA_ADJUSTED=GAAP","Sort=A","Dates=H","DateFormat=P","Fill=—","Direction=H","UseDPDF=Y")</f>
        <v>#NAME?</v>
      </c>
      <c r="AO60" s="1" t="e">
        <f ca="1">_xll.BDH($C$53,"GEO_GROW_OPER_INC","FQ2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60" s="1" t="e">
        <f ca="1">_xll.BDH($C$53,"NET_INCOME_TO_COMMON_5_YR_GROWTH","FQ2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60" s="1" t="e">
        <f ca="1">_xll.BDH($C$53,"5Y_GEO_GROWTH_DILUTED_EPS","FQ2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60" s="1" t="e">
        <f ca="1">_xll.BDH($C$53,"GEO_GROW_DVD_PER_SH","FQ2 2015","FQ2 2015","Currency=INR","Period=FQ","BEST_FPERIOD_OVERRIDE=FQ","FILING_STATUS=OR","EQY_CONSOLIDATED=Y","Sort=A","Dates=H","DateFormat=P","Fill=—","Direction=H","UseDPDF=Y")</f>
        <v>#NAME?</v>
      </c>
      <c r="AS60" s="1" t="e">
        <f ca="1">_xll.BDH($C$53,"ACCOUNTS_RECEIVABLE_5_YR_GROWTH","FQ2 2015","FQ2 2015","Currency=INR","Period=FQ","BEST_FPERIOD_OVERRIDE=FQ","FILING_STATUS=OR","EQY_CONSOLIDATED=Y","Sort=A","Dates=H","DateFormat=P","Fill=—","Direction=H","UseDPDF=Y")</f>
        <v>#NAME?</v>
      </c>
      <c r="AT60" s="1" t="e">
        <f ca="1">_xll.BDH($C$53,"INVENTORY_5_YEAR_GROWTH","FQ2 2015","FQ2 2015","Currency=INR","Period=FQ","BEST_FPERIOD_OVERRIDE=FQ","FILING_STATUS=OR","EQY_CONSOLIDATED=Y","Sort=A","Dates=H","DateFormat=P","Fill=—","Direction=H","UseDPDF=Y")</f>
        <v>#NAME?</v>
      </c>
      <c r="AU60" s="1" t="e">
        <f ca="1">_xll.BDH($C$53,"NET_FIXED_ASSETS_5_YEAR_GROWTH","FQ2 2015","FQ2 2015","Currency=INR","Period=FQ","BEST_FPERIOD_OVERRIDE=FQ","FILING_STATUS=OR","EQY_CONSOLIDATED=Y","Sort=A","Dates=H","DateFormat=P","Fill=—","Direction=H","UseDPDF=Y")</f>
        <v>#NAME?</v>
      </c>
      <c r="AV60" s="1" t="e">
        <f ca="1">_xll.BDH($C$53,"GEO_GROW_TOT_ASSET","FQ2 2015","FQ2 2015","Currency=INR","Period=FQ","BEST_FPERIOD_OVERRIDE=FQ","FILING_STATUS=OR","EQY_CONSOLIDATED=Y","Sort=A","Dates=H","DateFormat=P","Fill=—","Direction=H","UseDPDF=Y")</f>
        <v>#NAME?</v>
      </c>
      <c r="AW60" s="1" t="e">
        <f ca="1">_xll.BDH($C$53,"MODIFIED_WORKING_CPTL_5YR_GRWTH","FQ2 2015","FQ2 2015","Currency=INR","Period=FQ","BEST_FPERIOD_OVERRIDE=FQ","FILING_STATUS=OR","EQY_CONSOLIDATED=Y","Sort=A","Dates=H","DateFormat=P","Fill=—","Direction=H","UseDPDF=Y")</f>
        <v>#NAME?</v>
      </c>
      <c r="AX60" s="1" t="e">
        <f ca="1">_xll.BDH($C$53,"WORKING_CAPITAL_5_YEAR_GROWTH","FQ2 2015","FQ2 2015","Currency=INR","Period=FQ","BEST_FPERIOD_OVERRIDE=FQ","FILING_STATUS=OR","EQY_CONSOLIDATED=Y","Sort=A","Dates=H","DateFormat=P","Fill=—","Direction=H","UseDPDF=Y")</f>
        <v>#NAME?</v>
      </c>
      <c r="AY60" s="1" t="e">
        <f ca="1">_xll.BDH($C$53,"ACCOUNTS_PAYABLE_5_YEAR_GROWTH","FQ2 2015","FQ2 2015","Currency=INR","Period=FQ","BEST_FPERIOD_OVERRIDE=FQ","FILING_STATUS=OR","EQY_CONSOLIDATED=Y","Sort=A","Dates=H","DateFormat=P","Fill=—","Direction=H","UseDPDF=Y")</f>
        <v>#NAME?</v>
      </c>
      <c r="AZ60" s="1" t="e">
        <f ca="1">_xll.BDH($C$53,"SHORT_TERM_DEBT_5_YEAR_GROWTH","FQ2 2015","FQ2 2015","Currency=INR","Period=FQ","BEST_FPERIOD_OVERRIDE=FQ","FILING_STATUS=OR","EQY_CONSOLIDATED=Y","Sort=A","Dates=H","DateFormat=P","Fill=—","Direction=H","UseDPDF=Y")</f>
        <v>#NAME?</v>
      </c>
      <c r="BA60" s="1" t="e">
        <f ca="1">_xll.BDH($C$53,"TOTAL_DEBT_5_YEAR_GROWTH","FQ2 2015","FQ2 2015","Currency=INR","Period=FQ","BEST_FPERIOD_OVERRIDE=FQ","FILING_STATUS=OR","EQY_CONSOLIDATED=Y","Sort=A","Dates=H","DateFormat=P","Fill=—","Direction=H","UseDPDF=Y")</f>
        <v>#NAME?</v>
      </c>
      <c r="BB60" s="1" t="e">
        <f ca="1">_xll.BDH($C$53,"GEO_GROW_TOT_SHRHLDR_EQY","FQ2 2015","FQ2 2015","Currency=INR","Period=FQ","BEST_FPERIOD_OVERRIDE=FQ","FILING_STATUS=OR","EQY_CONSOLIDATED=Y","Sort=A","Dates=H","DateFormat=P","Fill=—","Direction=H","UseDPDF=Y")</f>
        <v>#NAME?</v>
      </c>
      <c r="BC60" s="1" t="e">
        <f ca="1">_xll.BDH($C$53,"TOTAL_CAPITAL_5_YEAR_GROWTH","FQ2 2015","FQ2 2015","Currency=INR","Period=FQ","BEST_FPERIOD_OVERRIDE=FQ","FILING_STATUS=OR","EQY_CONSOLIDATED=Y","Sort=A","Dates=H","DateFormat=P","Fill=—","Direction=H","UseDPDF=Y")</f>
        <v>#NAME?</v>
      </c>
      <c r="BD60" s="1" t="e">
        <f ca="1">_xll.BDH($C$53,"GEO_GROW_BOOK_VAL","FQ2 2015","FQ2 2015","Currency=INR","Period=FQ","BEST_FPERIOD_OVERRIDE=FQ","FILING_STATUS=OR","EQY_CONSOLIDATED=Y","Sort=A","Dates=H","DateFormat=P","Fill=—","Direction=H","UseDPDF=Y")</f>
        <v>#NAME?</v>
      </c>
      <c r="BE60" s="1" t="e">
        <f ca="1">_xll.BDH($C$53,"GEO_GROW_CASH_OPER_ACT","FQ2 2015","FQ2 2015","Currency=INR","Period=FQ","BEST_FPERIOD_OVERRIDE=FQ","FILING_STATUS=OR","EQY_CONSOLIDATED=Y","Sort=A","Dates=H","DateFormat=P","Fill=—","Direction=H","UseDPDF=Y")</f>
        <v>#NAME?</v>
      </c>
      <c r="BF60" s="1" t="e">
        <f ca="1">_xll.BDH($C$53,"REVENUE_SEQUENTIAL_GROWTH","FQ2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60" s="1" t="e">
        <f ca="1">_xll.BDH($C$53,"EBITDA_SEQUENTIAL_GROWTH","FQ2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60" s="1" t="e">
        <f ca="1">_xll.BDH($C$53,"OPERATING_INCOME_SEQ_GROWTH","FQ2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60" s="1" t="e">
        <f ca="1">_xll.BDH($C$53,"NET_INCOME_TO_COMMON_SEQ_GROWTH","FQ2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60" s="1" t="e">
        <f ca="1">_xll.BDH($C$53,"EPS_DILUTED_SEQUENTIAL_GROWTH","FQ2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60" s="1" t="e">
        <f ca="1">_xll.BDH($C$53,"DPS_SEQUENTIAL_GROWTH","FQ2 2015","FQ2 2015","Currency=INR","Period=FQ","BEST_FPERIOD_OVERRIDE=FQ","FILING_STATUS=OR","EQY_CONSOLIDATED=Y","Sort=A","Dates=H","DateFormat=P","Fill=—","Direction=H","UseDPDF=Y")</f>
        <v>#NAME?</v>
      </c>
      <c r="BL60" s="1" t="e">
        <f ca="1">_xll.BDH($C$53,"ACCOUNTS_RECEIVABLE_SEQ_GROWTH","FQ2 2015","FQ2 2015","Currency=INR","Period=FQ","BEST_FPERIOD_OVERRIDE=FQ","FILING_STATUS=OR","EQY_CONSOLIDATED=Y","Sort=A","Dates=H","DateFormat=P","Fill=—","Direction=H","UseDPDF=Y")</f>
        <v>#NAME?</v>
      </c>
      <c r="BM60" s="1" t="e">
        <f ca="1">_xll.BDH($C$53,"INVENTORY_SEQUENTIAL_GROWTH","FQ2 2015","FQ2 2015","Currency=INR","Period=FQ","BEST_FPERIOD_OVERRIDE=FQ","FILING_STATUS=OR","EQY_CONSOLIDATED=Y","Sort=A","Dates=H","DateFormat=P","Fill=—","Direction=H","UseDPDF=Y")</f>
        <v>#NAME?</v>
      </c>
      <c r="BN60" s="1" t="e">
        <f ca="1">_xll.BDH($C$53,"FIXED_ASSETS_SEQUENTIAL_GROWTH","FQ2 2015","FQ2 2015","Currency=INR","Period=FQ","BEST_FPERIOD_OVERRIDE=FQ","FILING_STATUS=OR","EQY_CONSOLIDATED=Y","Sort=A","Dates=H","DateFormat=P","Fill=—","Direction=H","UseDPDF=Y")</f>
        <v>#NAME?</v>
      </c>
      <c r="BO60" s="1" t="e">
        <f ca="1">_xll.BDH($C$53,"TOTAL_ASSETS_SEQUENTIAL_GROWTH","FQ2 2015","FQ2 2015","Currency=INR","Period=FQ","BEST_FPERIOD_OVERRIDE=FQ","FILING_STATUS=OR","EQY_CONSOLIDATED=Y","Sort=A","Dates=H","DateFormat=P","Fill=—","Direction=H","UseDPDF=Y")</f>
        <v>#NAME?</v>
      </c>
      <c r="BP60" s="1" t="e">
        <f ca="1">_xll.BDH($C$53,"MODIFIED_WORKING_CPTL_SEQ_GRWTH","FQ2 2015","FQ2 2015","Currency=INR","Period=FQ","BEST_FPERIOD_OVERRIDE=FQ","FILING_STATUS=OR","EQY_CONSOLIDATED=Y","Sort=A","Dates=H","DateFormat=P","Fill=—","Direction=H","UseDPDF=Y")</f>
        <v>#NAME?</v>
      </c>
      <c r="BQ60" s="1" t="e">
        <f ca="1">_xll.BDH($C$53,"WORKING_CAPITAL_SEQ_GROWTH","FQ2 2015","FQ2 2015","Currency=INR","Period=FQ","BEST_FPERIOD_OVERRIDE=FQ","FILING_STATUS=OR","EQY_CONSOLIDATED=Y","Sort=A","Dates=H","DateFormat=P","Fill=—","Direction=H","UseDPDF=Y")</f>
        <v>#NAME?</v>
      </c>
      <c r="BR60" s="1" t="e">
        <f ca="1">_xll.BDH($C$53,"ACCOUNTS_PAYABLE_SEQ_GROWTH","FQ2 2015","FQ2 2015","Currency=INR","Period=FQ","BEST_FPERIOD_OVERRIDE=FQ","FILING_STATUS=OR","EQY_CONSOLIDATED=Y","Sort=A","Dates=H","DateFormat=P","Fill=—","Direction=H","UseDPDF=Y")</f>
        <v>#NAME?</v>
      </c>
      <c r="BS60" s="1" t="e">
        <f ca="1">_xll.BDH($C$53,"ST_DEBT_SEQUENTIAL_GROWTH","FQ2 2015","FQ2 2015","Currency=INR","Period=FQ","BEST_FPERIOD_OVERRIDE=FQ","FILING_STATUS=OR","EQY_CONSOLIDATED=Y","Sort=A","Dates=H","DateFormat=P","Fill=—","Direction=H","UseDPDF=Y")</f>
        <v>#NAME?</v>
      </c>
      <c r="BT60" s="1" t="e">
        <f ca="1">_xll.BDH($C$53,"TOTAL_DEBT_SEQUENTIAL_GROWTH","FQ2 2015","FQ2 2015","Currency=INR","Period=FQ","BEST_FPERIOD_OVERRIDE=FQ","FILING_STATUS=OR","EQY_CONSOLIDATED=Y","Sort=A","Dates=H","DateFormat=P","Fill=—","Direction=H","UseDPDF=Y")</f>
        <v>#NAME?</v>
      </c>
      <c r="BU60" s="1" t="e">
        <f ca="1">_xll.BDH($C$53,"TOTAL_EQUITY_SEQUENTIAL_GROWTH","FQ2 2015","FQ2 2015","Currency=INR","Period=FQ","BEST_FPERIOD_OVERRIDE=FQ","FILING_STATUS=OR","EQY_CONSOLIDATED=Y","Sort=A","Dates=H","DateFormat=P","Fill=—","Direction=H","UseDPDF=Y")</f>
        <v>#NAME?</v>
      </c>
      <c r="BV60" s="1" t="e">
        <f ca="1">_xll.BDH($C$53,"TOTAL_CAPITAL_SEQUENTIAL_GROWTH","FQ2 2015","FQ2 2015","Currency=INR","Period=FQ","BEST_FPERIOD_OVERRIDE=FQ","FILING_STATUS=OR","EQY_CONSOLIDATED=Y","Sort=A","Dates=H","DateFormat=P","Fill=—","Direction=H","UseDPDF=Y")</f>
        <v>#NAME?</v>
      </c>
      <c r="BW60" s="1" t="e">
        <f ca="1">_xll.BDH($C$53,"BPS_SEQUENTIAL_GROWTH","FQ2 2015","FQ2 2015","Currency=INR","Period=FQ","BEST_FPERIOD_OVERRIDE=FQ","FILING_STATUS=OR","EQY_CONSOLIDATED=Y","Sort=A","Dates=H","DateFormat=P","Fill=—","Direction=H","UseDPDF=Y")</f>
        <v>#NAME?</v>
      </c>
      <c r="BX60" s="1" t="e">
        <f ca="1">_xll.BDH($C$53,"CFO_SEQUENTIAL_GROWTH","FQ2 2015","FQ2 2015","Currency=INR","Period=FQ","BEST_FPERIOD_OVERRIDE=FQ","FILING_STATUS=OR","EQY_CONSOLIDATED=Y","Sort=A","Dates=H","DateFormat=P","Fill=—","Direction=H","UseDPDF=Y")</f>
        <v>#NAME?</v>
      </c>
      <c r="BY60" s="2" t="e">
        <f ca="1">_xll.BDH($C$53,"SHORT_AND_LONG_TERM_DEBT","FQ2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60" s="2" t="e">
        <f ca="1">_xll.BDH($C$53,"BS_ST_BORROW","FQ2 2015","FQ2 2015","Currency=INR","Period=FQ","BEST_FPERIOD_OVERRIDE=FQ","FILING_STATUS=OR","EQY_CONSOLIDATED=Y","SCALING_FORMAT=MLN","Sort=A","Dates=H","DateFormat=P","Fill=—","Direction=H","UseDPDF=Y")</f>
        <v>#NAME?</v>
      </c>
      <c r="CA60" s="2" t="e">
        <f ca="1">_xll.BDH($C$53,"BS_LT_BORROW","FQ2 2015","FQ2 2015","Currency=INR","Period=FQ","BEST_FPERIOD_OVERRIDE=FQ","FILING_STATUS=OR","EQY_CONSOLIDATED=Y","SCALING_FORMAT=MLN","Sort=A","Dates=H","DateFormat=P","Fill=—","Direction=H","UseDPDF=Y")</f>
        <v>#NAME?</v>
      </c>
      <c r="CB60" s="1" t="e">
        <f ca="1">_xll.BDH($C$53,"TOT_DEBT_TO_EBITDA","FQ2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60" s="1" t="e">
        <f ca="1">_xll.BDH($C$53,"NET_DEBT_TO_EBITDA","FQ2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60" s="1" t="e">
        <f ca="1">_xll.BDH($C$53,"TOTAL_DEBT_TO_EBIT","FQ2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60" s="1" t="e">
        <f ca="1">_xll.BDH($C$53,"NET_DEBT_TO_EBIT","FQ2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60" s="1" t="e">
        <f ca="1">_xll.BDH($C$53,"EBITDA_TO_INTEREST_EXPN","FQ2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60" s="1" t="e">
        <f ca="1">_xll.BDH($C$53,"COM_EQY_TO_TOT_ASSET","FQ2 2015","FQ2 2015","Currency=INR","Period=FQ","BEST_FPERIOD_OVERRIDE=FQ","FILING_STATUS=OR","EQY_CONSOLIDATED=Y","Sort=A","Dates=H","DateFormat=P","Fill=—","Direction=H","UseDPDF=Y")</f>
        <v>#NAME?</v>
      </c>
      <c r="CH60" s="1" t="e">
        <f ca="1">_xll.BDH($C$53,"LT_DEBT_TO_TOT_EQY","FQ2 2015","FQ2 2015","Currency=INR","Period=FQ","BEST_FPERIOD_OVERRIDE=FQ","FILING_STATUS=OR","EQY_CONSOLIDATED=Y","Sort=A","Dates=H","DateFormat=P","Fill=—","Direction=H","UseDPDF=Y")</f>
        <v>#NAME?</v>
      </c>
      <c r="CI60" s="1" t="e">
        <f ca="1">_xll.BDH($C$53,"LT_DEBT_TO_TOT_CAP","FQ2 2015","FQ2 2015","Currency=INR","Period=FQ","BEST_FPERIOD_OVERRIDE=FQ","FILING_STATUS=OR","EQY_CONSOLIDATED=Y","Sort=A","Dates=H","DateFormat=P","Fill=—","Direction=H","UseDPDF=Y")</f>
        <v>#NAME?</v>
      </c>
      <c r="CJ60" s="1" t="e">
        <f ca="1">_xll.BDH($C$53,"LT_DEBT_TO_TOT_ASSET","FQ2 2015","FQ2 2015","Currency=INR","Period=FQ","BEST_FPERIOD_OVERRIDE=FQ","FILING_STATUS=OR","EQY_CONSOLIDATED=Y","Sort=A","Dates=H","DateFormat=P","Fill=—","Direction=H","UseDPDF=Y")</f>
        <v>#NAME?</v>
      </c>
      <c r="CK60" s="1" t="e">
        <f ca="1">_xll.BDH($C$53,"TOT_DEBT_TO_TOT_EQY","FQ2 2015","FQ2 2015","Currency=INR","Period=FQ","BEST_FPERIOD_OVERRIDE=FQ","FILING_STATUS=OR","EQY_CONSOLIDATED=Y","Sort=A","Dates=H","DateFormat=P","Fill=—","Direction=H","UseDPDF=Y")</f>
        <v>#NAME?</v>
      </c>
      <c r="CL60" s="1" t="e">
        <f ca="1">_xll.BDH($C$53,"TOT_DEBT_TO_TOT_CAP","FQ2 2015","FQ2 2015","Currency=INR","Period=FQ","BEST_FPERIOD_OVERRIDE=FQ","FILING_STATUS=OR","EQY_CONSOLIDATED=Y","Sort=A","Dates=H","DateFormat=P","Fill=—","Direction=H","UseDPDF=Y")</f>
        <v>#NAME?</v>
      </c>
      <c r="CM60" s="1" t="e">
        <f ca="1">_xll.BDH($C$53,"TOT_DEBT_TO_TOT_ASSET","FQ2 2015","FQ2 2015","Currency=INR","Period=FQ","BEST_FPERIOD_OVERRIDE=FQ","FILING_STATUS=OR","EQY_CONSOLIDATED=Y","Sort=A","Dates=H","DateFormat=P","Fill=—","Direction=H","UseDPDF=Y")</f>
        <v>#NAME?</v>
      </c>
      <c r="CN60" s="1" t="e">
        <f ca="1">_xll.BDH($C$53,"NET_DEBT_TO_SHRHLDR_EQTY","FQ2 2015","FQ2 2015","Currency=INR","Period=FQ","BEST_FPERIOD_OVERRIDE=FQ","FILING_STATUS=OR","EQY_CONSOLIDATED=Y","Sort=A","Dates=H","DateFormat=P","Fill=—","Direction=H","UseDPDF=Y")</f>
        <v>#NAME?</v>
      </c>
      <c r="CO60" s="1" t="e">
        <f ca="1">_xll.BDH($C$53,"NET_DEBT_%_CAPITAL","FQ2 2015","FQ2 2015","Currency=INR","Period=FQ","BEST_FPERIOD_OVERRIDE=FQ","FILING_STATUS=OR","EQY_CONSOLIDATED=Y","Sort=A","Dates=H","DateFormat=P","Fill=—","Direction=H","UseDPDF=Y")</f>
        <v>#NAME?</v>
      </c>
      <c r="CP60" s="2" t="e">
        <f ca="1">_xll.BDH($C$53,"EBITDA","FQ2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60" s="2" t="e">
        <f ca="1">_xll.BDH($C$53,"EBITDA_AFTER_CAPEX","FQ2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60" s="2" t="e">
        <f ca="1">_xll.BDH($C$53,"IS_OPER_INC","FQ2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60" s="1" t="e">
        <f ca="1">_xll.BDH($C$53,"CASH_RATIO","FQ2 2015","FQ2 2015","Currency=INR","Period=FQ","BEST_FPERIOD_OVERRIDE=FQ","FILING_STATUS=OR","EQY_CONSOLIDATED=Y","Sort=A","Dates=H","DateFormat=P","Fill=—","Direction=H","UseDPDF=Y")</f>
        <v>#NAME?</v>
      </c>
      <c r="CT60" s="1" t="e">
        <f ca="1">_xll.BDH($C$53,"CUR_RATIO","FQ2 2015","FQ2 2015","Currency=INR","Period=FQ","BEST_FPERIOD_OVERRIDE=FQ","FILING_STATUS=OR","EQY_CONSOLIDATED=Y","Sort=A","Dates=H","DateFormat=P","Fill=—","Direction=H","UseDPDF=Y")</f>
        <v>#NAME?</v>
      </c>
      <c r="CU60" s="1" t="e">
        <f ca="1">_xll.BDH($C$53,"QUICK_RATIO","FQ2 2015","FQ2 2015","Currency=INR","Period=FQ","BEST_FPERIOD_OVERRIDE=FQ","FILING_STATUS=OR","EQY_CONSOLIDATED=Y","Sort=A","Dates=H","DateFormat=P","Fill=—","Direction=H","UseDPDF=Y")</f>
        <v>#NAME?</v>
      </c>
      <c r="CV60" s="1" t="e">
        <f ca="1">_xll.BDH($C$53,"ALTMAN_Z_SCORE","FQ2 2015","FQ2 2015","Currency=INR","Period=FQ","BEST_FPERIOD_OVERRIDE=FQ","FILING_STATUS=OR","EQY_CONSOLIDATED=Y","Sort=A","Dates=H","DateFormat=P","Fill=—","Direction=H","UseDPDF=Y")</f>
        <v>#NAME?</v>
      </c>
      <c r="CW60" s="3" t="e">
        <f ca="1">_xll.BDH($C$53,"ACCT_RCV_TURN","FQ2 2015","FQ2 2015","Currency=INR","Period=FQ","BEST_FPERIOD_OVERRIDE=FQ","FILING_STATUS=OR","EQY_CONSOLIDATED=Y","FA_ADJUSTED=GAAP","Sort=A","Dates=H","DateFormat=P","Fill=—","Direction=H","UseDPDF=Y")</f>
        <v>#NAME?</v>
      </c>
      <c r="CX60" s="1" t="e">
        <f ca="1">_xll.BDH($C$53,"ACCT_RCV_DAYS","FQ2 2015","FQ2 2015","Currency=INR","Period=FQ","BEST_FPERIOD_OVERRIDE=FQ","FILING_STATUS=OR","EQY_CONSOLIDATED=Y","FA_ADJUSTED=GAAP","Sort=A","Dates=H","DateFormat=P","Fill=—","Direction=H","UseDPDF=Y")</f>
        <v>#NAME?</v>
      </c>
      <c r="CY60" s="3" t="e">
        <f ca="1">_xll.BDH($C$53,"INVENT_TURN","FQ2 2015","FQ2 2015","Currency=INR","Period=FQ","BEST_FPERIOD_OVERRIDE=FQ","FILING_STATUS=OR","EQY_CONSOLIDATED=Y","FA_ADJUSTED=GAAP","Sort=A","Dates=H","DateFormat=P","Fill=—","Direction=H","UseDPDF=Y")</f>
        <v>#NAME?</v>
      </c>
      <c r="CZ60" s="1" t="e">
        <f ca="1">_xll.BDH($C$53,"INVENT_DAYS","FQ2 2015","FQ2 2015","Currency=INR","Period=FQ","BEST_FPERIOD_OVERRIDE=FQ","FILING_STATUS=OR","EQY_CONSOLIDATED=Y","FA_ADJUSTED=GAAP","Sort=A","Dates=H","DateFormat=P","Fill=—","Direction=H","UseDPDF=Y")</f>
        <v>#NAME?</v>
      </c>
      <c r="DA60" s="3" t="e">
        <f ca="1">_xll.BDH($C$53,"ACCOUNTS_PAYABLE_TURNOVER","FQ2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60" s="1" t="e">
        <f ca="1">_xll.BDH($C$53,"ACCOUNTS_PAYABLE_TURNOVER_DAYS","FQ2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60" s="3" t="e">
        <f ca="1">_xll.BDH($C$53,"CASH_CONVERSION_CYCLE","FQ2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60" s="3" t="e">
        <f ca="1">_xll.BDH($C$53,"INV_TO_CASH_DAYS","FQ2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60" s="4" t="e">
        <f ca="1">_xll.BDH($C$53,"BS_INVENTORIES","FQ2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60" s="2" t="e">
        <f ca="1">_xll.BDH($C$53,"INVTRY_RAW_MATERIALS","FQ2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60" s="2" t="e">
        <f ca="1">_xll.BDH($C$53,"INVTRY_IN_PROGRESS","FQ2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60" s="2" t="e">
        <f ca="1">_xll.BDH($C$53,"INVTRY_FINISHED_GOODS","FQ2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60" s="2" t="e">
        <f ca="1">_xll.BDH($C$53,"BS_OTHER_INV","FQ2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61" spans="1:113" x14ac:dyDescent="0.3">
      <c r="A61" s="6"/>
      <c r="B61" s="6"/>
      <c r="C61" s="6"/>
      <c r="D61" s="6"/>
      <c r="E61" t="s">
        <v>6</v>
      </c>
      <c r="F61" t="e">
        <f ca="1">_xll.BDH($C$53,"RETURN_COM_EQY","FQ3 2015","FQ3 2015","Currency=INR","Period=FQ","BEST_FPERIOD_OVERRIDE=FQ","FILING_STATUS=OR","EQY_CONSOLIDATED=Y","FA_ADJUSTED=GAAP","Sort=A","Dates=H","DateFormat=P","Fill=—","Direction=H","UseDPDF=Y")</f>
        <v>#NAME?</v>
      </c>
      <c r="G61" t="e">
        <f ca="1">_xll.BDH($C$53,"RETURN_ON_ASSET","FQ3 2015","FQ3 2015","Currency=INR","Period=FQ","BEST_FPERIOD_OVERRIDE=FQ","FILING_STATUS=OR","EQY_CONSOLIDATED=Y","FA_ADJUSTED=GAAP","Sort=A","Dates=H","DateFormat=P","Fill=—","Direction=H","UseDPDF=Y")</f>
        <v>#NAME?</v>
      </c>
      <c r="H61" t="e">
        <f ca="1">_xll.BDH($C$53,"RETURN_ON_CAP","FQ3 2015","FQ3 2015","Currency=INR","Period=FQ","BEST_FPERIOD_OVERRIDE=FQ","FILING_STATUS=OR","EQY_CONSOLIDATED=Y","FA_ADJUSTED=GAAP","Sort=A","Dates=H","DateFormat=P","Fill=—","Direction=H","UseDPDF=Y")</f>
        <v>#NAME?</v>
      </c>
      <c r="I61" t="e">
        <f ca="1">_xll.BDH($C$53,"RETURN_ON_INV_CAPITAL","FQ3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61" t="e">
        <f ca="1">_xll.BDH($C$53,"EBITDA_TO_REVENUE","FQ3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61" t="e">
        <f ca="1">_xll.BDH($C$53,"OPER_MARGIN","FQ3 2015","FQ3 2015","Currency=INR","Period=FQ","BEST_FPERIOD_OVERRIDE=FQ","FILING_STATUS=OR","EQY_CONSOLIDATED=Y","FA_ADJUSTED=GAAP","Sort=A","Dates=H","DateFormat=P","Fill=—","Direction=H","UseDPDF=Y")</f>
        <v>#NAME?</v>
      </c>
      <c r="L61" t="e">
        <f ca="1">_xll.BDH($C$53,"INCREMENTAL_OPERATING_MARGIN","FQ3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61" t="e">
        <f ca="1">_xll.BDH($C$53,"PRETAX_INC_TO_NET_SALES","FQ3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61" t="e">
        <f ca="1">_xll.BDH($C$53,"INC_BEF_XO_ITEMS_TO_NET_SALES","FQ3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61" t="e">
        <f ca="1">_xll.BDH($C$53,"PROF_MARGIN","FQ3 2015","FQ3 2015","Currency=INR","Period=FQ","BEST_FPERIOD_OVERRIDE=FQ","FILING_STATUS=OR","EQY_CONSOLIDATED=Y","FA_ADJUSTED=GAAP","Sort=A","Dates=H","DateFormat=P","Fill=—","Direction=H","UseDPDF=Y")</f>
        <v>#NAME?</v>
      </c>
      <c r="P61" t="e">
        <f ca="1">_xll.BDH($C$53,"NET_INCOME_TO_COMMON_MARGIN","FQ3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61" t="e">
        <f ca="1">_xll.BDH($C$53,"EFF_TAX_RATE","FQ3 2015","FQ3 2015","Currency=INR","Period=FQ","BEST_FPERIOD_OVERRIDE=FQ","FILING_STATUS=OR","EQY_CONSOLIDATED=Y","FA_ADJUSTED=GAAP","Sort=A","Dates=H","DateFormat=P","Fill=—","Direction=H","UseDPDF=Y")</f>
        <v>#NAME?</v>
      </c>
      <c r="R61" t="e">
        <f ca="1">_xll.BDH($C$53,"DVD_PAYOUT_RATIO","FQ3 2015","FQ3 2015","Currency=INR","Period=FQ","BEST_FPERIOD_OVERRIDE=FQ","FILING_STATUS=OR","EQY_CONSOLIDATED=Y","FA_ADJUSTED=GAAP","Sort=A","Dates=H","DateFormat=P","Fill=—","Direction=H","UseDPDF=Y")</f>
        <v>#NAME?</v>
      </c>
      <c r="S61" t="e">
        <f ca="1">_xll.BDH($C$53,"SUSTAIN_GROWTH_RT","FQ3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61" s="1" t="e">
        <f ca="1">_xll.BDH($C$53,"SALES_GROWTH","FQ3 2015","FQ3 2015","Currency=INR","Period=FQ","BEST_FPERIOD_OVERRIDE=FQ","FILING_STATUS=OR","EQY_CONSOLIDATED=Y","FA_ADJUSTED=GAAP","Sort=A","Dates=H","DateFormat=P","Fill=—","Direction=H","UseDPDF=Y")</f>
        <v>#NAME?</v>
      </c>
      <c r="U61" s="1" t="e">
        <f ca="1">_xll.BDH($C$53,"EBITDA_GROWTH","FQ3 2015","FQ3 2015","Currency=INR","Period=FQ","BEST_FPERIOD_OVERRIDE=FQ","FILING_STATUS=OR","EQY_CONSOLIDATED=Y","FA_ADJUSTED=GAAP","Sort=A","Dates=H","DateFormat=P","Fill=—","Direction=H","UseDPDF=Y")</f>
        <v>#NAME?</v>
      </c>
      <c r="V61" s="1" t="e">
        <f ca="1">_xll.BDH($C$53,"OPER_INC_GROWTH","FQ3 2015","FQ3 2015","Currency=INR","Period=FQ","BEST_FPERIOD_OVERRIDE=FQ","FILING_STATUS=OR","EQY_CONSOLIDATED=Y","FA_ADJUSTED=GAAP","Sort=A","Dates=H","DateFormat=P","Fill=—","Direction=H","UseDPDF=Y")</f>
        <v>#NAME?</v>
      </c>
      <c r="W61" s="1" t="e">
        <f ca="1">_xll.BDH($C$53,"EARN_FOR_COM_GROWTH","FQ3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61" s="1" t="e">
        <f ca="1">_xll.BDH($C$53,"DILUTED_EPS_AFT_XO_ITEMS_GROWTH","FQ3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61" s="1" t="e">
        <f ca="1">_xll.BDH($C$53,"DIVIDEND_PER_SHARE_1_YEAR_GROWTH","FQ3 2015","FQ3 2015","Currency=INR","Period=FQ","BEST_FPERIOD_OVERRIDE=FQ","FILING_STATUS=OR","EQY_CONSOLIDATED=Y","Sort=A","Dates=H","DateFormat=P","Fill=—","Direction=H","UseDPDF=Y")</f>
        <v>#NAME?</v>
      </c>
      <c r="Z61" s="1" t="e">
        <f ca="1">_xll.BDH($C$53,"ACCOUNTS_RECEIVABLE_GROWTH","FQ3 2015","FQ3 2015","Currency=INR","Period=FQ","BEST_FPERIOD_OVERRIDE=FQ","FILING_STATUS=OR","EQY_CONSOLIDATED=Y","Sort=A","Dates=H","DateFormat=P","Fill=—","Direction=H","UseDPDF=Y")</f>
        <v>#NAME?</v>
      </c>
      <c r="AA61" s="1" t="e">
        <f ca="1">_xll.BDH($C$53,"INVENTORY_GROWTH","FQ3 2015","FQ3 2015","Currency=INR","Period=FQ","BEST_FPERIOD_OVERRIDE=FQ","FILING_STATUS=OR","EQY_CONSOLIDATED=Y","Sort=A","Dates=H","DateFormat=P","Fill=—","Direction=H","UseDPDF=Y")</f>
        <v>#NAME?</v>
      </c>
      <c r="AB61" s="1" t="e">
        <f ca="1">_xll.BDH($C$53,"NET_FIXED_ASSETS_1_YEAR_GROWTH","FQ3 2015","FQ3 2015","Currency=INR","Period=FQ","BEST_FPERIOD_OVERRIDE=FQ","FILING_STATUS=OR","EQY_CONSOLIDATED=Y","Sort=A","Dates=H","DateFormat=P","Fill=—","Direction=H","UseDPDF=Y")</f>
        <v>#NAME?</v>
      </c>
      <c r="AC61" s="1" t="e">
        <f ca="1">_xll.BDH($C$53,"ASSET_GROWTH","FQ3 2015","FQ3 2015","Currency=INR","Period=FQ","BEST_FPERIOD_OVERRIDE=FQ","FILING_STATUS=OR","EQY_CONSOLIDATED=Y","Sort=A","Dates=H","DateFormat=P","Fill=—","Direction=H","UseDPDF=Y")</f>
        <v>#NAME?</v>
      </c>
      <c r="AD61" s="1" t="e">
        <f ca="1">_xll.BDH($C$53,"MODIFIED_WORK_CAP_GROWTH","FQ3 2015","FQ3 2015","Currency=INR","Period=FQ","BEST_FPERIOD_OVERRIDE=FQ","FILING_STATUS=OR","EQY_CONSOLIDATED=Y","Sort=A","Dates=H","DateFormat=P","Fill=—","Direction=H","UseDPDF=Y")</f>
        <v>#NAME?</v>
      </c>
      <c r="AE61" s="1" t="e">
        <f ca="1">_xll.BDH($C$53,"WORK_CAP_GROWTH","FQ3 2015","FQ3 2015","Currency=INR","Period=FQ","BEST_FPERIOD_OVERRIDE=FQ","FILING_STATUS=OR","EQY_CONSOLIDATED=Y","Sort=A","Dates=H","DateFormat=P","Fill=—","Direction=H","UseDPDF=Y")</f>
        <v>#NAME?</v>
      </c>
      <c r="AF61" s="1" t="e">
        <f ca="1">_xll.BDH($C$53,"ACCOUNTS_PAYABLE_GROWTH_1YR","FQ3 2015","FQ3 2015","Currency=INR","Period=FQ","BEST_FPERIOD_OVERRIDE=FQ","FILING_STATUS=OR","EQY_CONSOLIDATED=Y","Sort=A","Dates=H","DateFormat=P","Fill=—","Direction=H","UseDPDF=Y")</f>
        <v>#NAME?</v>
      </c>
      <c r="AG61" s="1" t="e">
        <f ca="1">_xll.BDH($C$53,"SHORT_TERM_DEBT_1_YEAR_GROWTH","FQ3 2015","FQ3 2015","Currency=INR","Period=FQ","BEST_FPERIOD_OVERRIDE=FQ","FILING_STATUS=OR","EQY_CONSOLIDATED=Y","Sort=A","Dates=H","DateFormat=P","Fill=—","Direction=H","UseDPDF=Y")</f>
        <v>#NAME?</v>
      </c>
      <c r="AH61" s="1" t="e">
        <f ca="1">_xll.BDH($C$53,"TOTAL_DEBT_1_YEAR_GROWTH","FQ3 2015","FQ3 2015","Currency=INR","Period=FQ","BEST_FPERIOD_OVERRIDE=FQ","FILING_STATUS=OR","EQY_CONSOLIDATED=Y","Sort=A","Dates=H","DateFormat=P","Fill=—","Direction=H","UseDPDF=Y")</f>
        <v>#NAME?</v>
      </c>
      <c r="AI61" s="1" t="e">
        <f ca="1">_xll.BDH($C$53,"TOTAL_EQUITY_1_YEAR_GROWTH","FQ3 2015","FQ3 2015","Currency=INR","Period=FQ","BEST_FPERIOD_OVERRIDE=FQ","FILING_STATUS=OR","EQY_CONSOLIDATED=Y","Sort=A","Dates=H","DateFormat=P","Fill=—","Direction=H","UseDPDF=Y")</f>
        <v>#NAME?</v>
      </c>
      <c r="AJ61" s="1" t="e">
        <f ca="1">_xll.BDH($C$53,"GROWTH_IN_CAP","FQ3 2015","FQ3 2015","Currency=INR","Period=FQ","BEST_FPERIOD_OVERRIDE=FQ","FILING_STATUS=OR","EQY_CONSOLIDATED=Y","Sort=A","Dates=H","DateFormat=P","Fill=—","Direction=H","UseDPDF=Y")</f>
        <v>#NAME?</v>
      </c>
      <c r="AK61" s="1" t="e">
        <f ca="1">_xll.BDH($C$53,"BVPS_GROWTH","FQ3 2015","FQ3 2015","Currency=INR","Period=FQ","BEST_FPERIOD_OVERRIDE=FQ","FILING_STATUS=OR","EQY_CONSOLIDATED=Y","Sort=A","Dates=H","DateFormat=P","Fill=—","Direction=H","UseDPDF=Y")</f>
        <v>#NAME?</v>
      </c>
      <c r="AL61" s="1" t="e">
        <f ca="1">_xll.BDH($C$53,"CASH_FLOW_GROWTH","FQ3 2015","FQ3 2015","Currency=INR","Period=FQ","BEST_FPERIOD_OVERRIDE=FQ","FILING_STATUS=OR","EQY_CONSOLIDATED=Y","Sort=A","Dates=H","DateFormat=P","Fill=—","Direction=H","UseDPDF=Y")</f>
        <v>#NAME?</v>
      </c>
      <c r="AM61" s="1" t="e">
        <f ca="1">_xll.BDH($C$53,"GEO_GROW_NET_SALES","FQ3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61" s="1" t="e">
        <f ca="1">_xll.BDH($C$53,"GEO_GROW_EBITDA","FQ3 2015","FQ3 2015","Currency=INR","Period=FQ","BEST_FPERIOD_OVERRIDE=FQ","FILING_STATUS=OR","EQY_CONSOLIDATED=Y","FA_ADJUSTED=GAAP","Sort=A","Dates=H","DateFormat=P","Fill=—","Direction=H","UseDPDF=Y")</f>
        <v>#NAME?</v>
      </c>
      <c r="AO61" s="1" t="e">
        <f ca="1">_xll.BDH($C$53,"GEO_GROW_OPER_INC","FQ3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61" s="1" t="e">
        <f ca="1">_xll.BDH($C$53,"NET_INCOME_TO_COMMON_5_YR_GROWTH","FQ3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61" s="1" t="e">
        <f ca="1">_xll.BDH($C$53,"5Y_GEO_GROWTH_DILUTED_EPS","FQ3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61" s="1" t="e">
        <f ca="1">_xll.BDH($C$53,"GEO_GROW_DVD_PER_SH","FQ3 2015","FQ3 2015","Currency=INR","Period=FQ","BEST_FPERIOD_OVERRIDE=FQ","FILING_STATUS=OR","EQY_CONSOLIDATED=Y","Sort=A","Dates=H","DateFormat=P","Fill=—","Direction=H","UseDPDF=Y")</f>
        <v>#NAME?</v>
      </c>
      <c r="AS61" s="1" t="e">
        <f ca="1">_xll.BDH($C$53,"ACCOUNTS_RECEIVABLE_5_YR_GROWTH","FQ3 2015","FQ3 2015","Currency=INR","Period=FQ","BEST_FPERIOD_OVERRIDE=FQ","FILING_STATUS=OR","EQY_CONSOLIDATED=Y","Sort=A","Dates=H","DateFormat=P","Fill=—","Direction=H","UseDPDF=Y")</f>
        <v>#NAME?</v>
      </c>
      <c r="AT61" s="1" t="e">
        <f ca="1">_xll.BDH($C$53,"INVENTORY_5_YEAR_GROWTH","FQ3 2015","FQ3 2015","Currency=INR","Period=FQ","BEST_FPERIOD_OVERRIDE=FQ","FILING_STATUS=OR","EQY_CONSOLIDATED=Y","Sort=A","Dates=H","DateFormat=P","Fill=—","Direction=H","UseDPDF=Y")</f>
        <v>#NAME?</v>
      </c>
      <c r="AU61" s="1" t="e">
        <f ca="1">_xll.BDH($C$53,"NET_FIXED_ASSETS_5_YEAR_GROWTH","FQ3 2015","FQ3 2015","Currency=INR","Period=FQ","BEST_FPERIOD_OVERRIDE=FQ","FILING_STATUS=OR","EQY_CONSOLIDATED=Y","Sort=A","Dates=H","DateFormat=P","Fill=—","Direction=H","UseDPDF=Y")</f>
        <v>#NAME?</v>
      </c>
      <c r="AV61" s="1" t="e">
        <f ca="1">_xll.BDH($C$53,"GEO_GROW_TOT_ASSET","FQ3 2015","FQ3 2015","Currency=INR","Period=FQ","BEST_FPERIOD_OVERRIDE=FQ","FILING_STATUS=OR","EQY_CONSOLIDATED=Y","Sort=A","Dates=H","DateFormat=P","Fill=—","Direction=H","UseDPDF=Y")</f>
        <v>#NAME?</v>
      </c>
      <c r="AW61" s="1" t="e">
        <f ca="1">_xll.BDH($C$53,"MODIFIED_WORKING_CPTL_5YR_GRWTH","FQ3 2015","FQ3 2015","Currency=INR","Period=FQ","BEST_FPERIOD_OVERRIDE=FQ","FILING_STATUS=OR","EQY_CONSOLIDATED=Y","Sort=A","Dates=H","DateFormat=P","Fill=—","Direction=H","UseDPDF=Y")</f>
        <v>#NAME?</v>
      </c>
      <c r="AX61" s="1" t="e">
        <f ca="1">_xll.BDH($C$53,"WORKING_CAPITAL_5_YEAR_GROWTH","FQ3 2015","FQ3 2015","Currency=INR","Period=FQ","BEST_FPERIOD_OVERRIDE=FQ","FILING_STATUS=OR","EQY_CONSOLIDATED=Y","Sort=A","Dates=H","DateFormat=P","Fill=—","Direction=H","UseDPDF=Y")</f>
        <v>#NAME?</v>
      </c>
      <c r="AY61" s="1" t="e">
        <f ca="1">_xll.BDH($C$53,"ACCOUNTS_PAYABLE_5_YEAR_GROWTH","FQ3 2015","FQ3 2015","Currency=INR","Period=FQ","BEST_FPERIOD_OVERRIDE=FQ","FILING_STATUS=OR","EQY_CONSOLIDATED=Y","Sort=A","Dates=H","DateFormat=P","Fill=—","Direction=H","UseDPDF=Y")</f>
        <v>#NAME?</v>
      </c>
      <c r="AZ61" s="1" t="e">
        <f ca="1">_xll.BDH($C$53,"SHORT_TERM_DEBT_5_YEAR_GROWTH","FQ3 2015","FQ3 2015","Currency=INR","Period=FQ","BEST_FPERIOD_OVERRIDE=FQ","FILING_STATUS=OR","EQY_CONSOLIDATED=Y","Sort=A","Dates=H","DateFormat=P","Fill=—","Direction=H","UseDPDF=Y")</f>
        <v>#NAME?</v>
      </c>
      <c r="BA61" s="1" t="e">
        <f ca="1">_xll.BDH($C$53,"TOTAL_DEBT_5_YEAR_GROWTH","FQ3 2015","FQ3 2015","Currency=INR","Period=FQ","BEST_FPERIOD_OVERRIDE=FQ","FILING_STATUS=OR","EQY_CONSOLIDATED=Y","Sort=A","Dates=H","DateFormat=P","Fill=—","Direction=H","UseDPDF=Y")</f>
        <v>#NAME?</v>
      </c>
      <c r="BB61" s="1" t="e">
        <f ca="1">_xll.BDH($C$53,"GEO_GROW_TOT_SHRHLDR_EQY","FQ3 2015","FQ3 2015","Currency=INR","Period=FQ","BEST_FPERIOD_OVERRIDE=FQ","FILING_STATUS=OR","EQY_CONSOLIDATED=Y","Sort=A","Dates=H","DateFormat=P","Fill=—","Direction=H","UseDPDF=Y")</f>
        <v>#NAME?</v>
      </c>
      <c r="BC61" s="1" t="e">
        <f ca="1">_xll.BDH($C$53,"TOTAL_CAPITAL_5_YEAR_GROWTH","FQ3 2015","FQ3 2015","Currency=INR","Period=FQ","BEST_FPERIOD_OVERRIDE=FQ","FILING_STATUS=OR","EQY_CONSOLIDATED=Y","Sort=A","Dates=H","DateFormat=P","Fill=—","Direction=H","UseDPDF=Y")</f>
        <v>#NAME?</v>
      </c>
      <c r="BD61" s="1" t="e">
        <f ca="1">_xll.BDH($C$53,"GEO_GROW_BOOK_VAL","FQ3 2015","FQ3 2015","Currency=INR","Period=FQ","BEST_FPERIOD_OVERRIDE=FQ","FILING_STATUS=OR","EQY_CONSOLIDATED=Y","Sort=A","Dates=H","DateFormat=P","Fill=—","Direction=H","UseDPDF=Y")</f>
        <v>#NAME?</v>
      </c>
      <c r="BE61" s="1" t="e">
        <f ca="1">_xll.BDH($C$53,"GEO_GROW_CASH_OPER_ACT","FQ3 2015","FQ3 2015","Currency=INR","Period=FQ","BEST_FPERIOD_OVERRIDE=FQ","FILING_STATUS=OR","EQY_CONSOLIDATED=Y","Sort=A","Dates=H","DateFormat=P","Fill=—","Direction=H","UseDPDF=Y")</f>
        <v>#NAME?</v>
      </c>
      <c r="BF61" s="1" t="e">
        <f ca="1">_xll.BDH($C$53,"REVENUE_SEQUENTIAL_GROWTH","FQ3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61" s="1" t="e">
        <f ca="1">_xll.BDH($C$53,"EBITDA_SEQUENTIAL_GROWTH","FQ3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61" s="1" t="e">
        <f ca="1">_xll.BDH($C$53,"OPERATING_INCOME_SEQ_GROWTH","FQ3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61" s="1" t="e">
        <f ca="1">_xll.BDH($C$53,"NET_INCOME_TO_COMMON_SEQ_GROWTH","FQ3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61" s="1" t="e">
        <f ca="1">_xll.BDH($C$53,"EPS_DILUTED_SEQUENTIAL_GROWTH","FQ3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61" s="1" t="e">
        <f ca="1">_xll.BDH($C$53,"DPS_SEQUENTIAL_GROWTH","FQ3 2015","FQ3 2015","Currency=INR","Period=FQ","BEST_FPERIOD_OVERRIDE=FQ","FILING_STATUS=OR","EQY_CONSOLIDATED=Y","Sort=A","Dates=H","DateFormat=P","Fill=—","Direction=H","UseDPDF=Y")</f>
        <v>#NAME?</v>
      </c>
      <c r="BL61" s="1" t="e">
        <f ca="1">_xll.BDH($C$53,"ACCOUNTS_RECEIVABLE_SEQ_GROWTH","FQ3 2015","FQ3 2015","Currency=INR","Period=FQ","BEST_FPERIOD_OVERRIDE=FQ","FILING_STATUS=OR","EQY_CONSOLIDATED=Y","Sort=A","Dates=H","DateFormat=P","Fill=—","Direction=H","UseDPDF=Y")</f>
        <v>#NAME?</v>
      </c>
      <c r="BM61" s="1" t="e">
        <f ca="1">_xll.BDH($C$53,"INVENTORY_SEQUENTIAL_GROWTH","FQ3 2015","FQ3 2015","Currency=INR","Period=FQ","BEST_FPERIOD_OVERRIDE=FQ","FILING_STATUS=OR","EQY_CONSOLIDATED=Y","Sort=A","Dates=H","DateFormat=P","Fill=—","Direction=H","UseDPDF=Y")</f>
        <v>#NAME?</v>
      </c>
      <c r="BN61" s="1" t="e">
        <f ca="1">_xll.BDH($C$53,"FIXED_ASSETS_SEQUENTIAL_GROWTH","FQ3 2015","FQ3 2015","Currency=INR","Period=FQ","BEST_FPERIOD_OVERRIDE=FQ","FILING_STATUS=OR","EQY_CONSOLIDATED=Y","Sort=A","Dates=H","DateFormat=P","Fill=—","Direction=H","UseDPDF=Y")</f>
        <v>#NAME?</v>
      </c>
      <c r="BO61" s="1" t="e">
        <f ca="1">_xll.BDH($C$53,"TOTAL_ASSETS_SEQUENTIAL_GROWTH","FQ3 2015","FQ3 2015","Currency=INR","Period=FQ","BEST_FPERIOD_OVERRIDE=FQ","FILING_STATUS=OR","EQY_CONSOLIDATED=Y","Sort=A","Dates=H","DateFormat=P","Fill=—","Direction=H","UseDPDF=Y")</f>
        <v>#NAME?</v>
      </c>
      <c r="BP61" s="1" t="e">
        <f ca="1">_xll.BDH($C$53,"MODIFIED_WORKING_CPTL_SEQ_GRWTH","FQ3 2015","FQ3 2015","Currency=INR","Period=FQ","BEST_FPERIOD_OVERRIDE=FQ","FILING_STATUS=OR","EQY_CONSOLIDATED=Y","Sort=A","Dates=H","DateFormat=P","Fill=—","Direction=H","UseDPDF=Y")</f>
        <v>#NAME?</v>
      </c>
      <c r="BQ61" s="1" t="e">
        <f ca="1">_xll.BDH($C$53,"WORKING_CAPITAL_SEQ_GROWTH","FQ3 2015","FQ3 2015","Currency=INR","Period=FQ","BEST_FPERIOD_OVERRIDE=FQ","FILING_STATUS=OR","EQY_CONSOLIDATED=Y","Sort=A","Dates=H","DateFormat=P","Fill=—","Direction=H","UseDPDF=Y")</f>
        <v>#NAME?</v>
      </c>
      <c r="BR61" s="1" t="e">
        <f ca="1">_xll.BDH($C$53,"ACCOUNTS_PAYABLE_SEQ_GROWTH","FQ3 2015","FQ3 2015","Currency=INR","Period=FQ","BEST_FPERIOD_OVERRIDE=FQ","FILING_STATUS=OR","EQY_CONSOLIDATED=Y","Sort=A","Dates=H","DateFormat=P","Fill=—","Direction=H","UseDPDF=Y")</f>
        <v>#NAME?</v>
      </c>
      <c r="BS61" s="1" t="e">
        <f ca="1">_xll.BDH($C$53,"ST_DEBT_SEQUENTIAL_GROWTH","FQ3 2015","FQ3 2015","Currency=INR","Period=FQ","BEST_FPERIOD_OVERRIDE=FQ","FILING_STATUS=OR","EQY_CONSOLIDATED=Y","Sort=A","Dates=H","DateFormat=P","Fill=—","Direction=H","UseDPDF=Y")</f>
        <v>#NAME?</v>
      </c>
      <c r="BT61" s="1" t="e">
        <f ca="1">_xll.BDH($C$53,"TOTAL_DEBT_SEQUENTIAL_GROWTH","FQ3 2015","FQ3 2015","Currency=INR","Period=FQ","BEST_FPERIOD_OVERRIDE=FQ","FILING_STATUS=OR","EQY_CONSOLIDATED=Y","Sort=A","Dates=H","DateFormat=P","Fill=—","Direction=H","UseDPDF=Y")</f>
        <v>#NAME?</v>
      </c>
      <c r="BU61" s="1" t="e">
        <f ca="1">_xll.BDH($C$53,"TOTAL_EQUITY_SEQUENTIAL_GROWTH","FQ3 2015","FQ3 2015","Currency=INR","Period=FQ","BEST_FPERIOD_OVERRIDE=FQ","FILING_STATUS=OR","EQY_CONSOLIDATED=Y","Sort=A","Dates=H","DateFormat=P","Fill=—","Direction=H","UseDPDF=Y")</f>
        <v>#NAME?</v>
      </c>
      <c r="BV61" s="1" t="e">
        <f ca="1">_xll.BDH($C$53,"TOTAL_CAPITAL_SEQUENTIAL_GROWTH","FQ3 2015","FQ3 2015","Currency=INR","Period=FQ","BEST_FPERIOD_OVERRIDE=FQ","FILING_STATUS=OR","EQY_CONSOLIDATED=Y","Sort=A","Dates=H","DateFormat=P","Fill=—","Direction=H","UseDPDF=Y")</f>
        <v>#NAME?</v>
      </c>
      <c r="BW61" s="1" t="e">
        <f ca="1">_xll.BDH($C$53,"BPS_SEQUENTIAL_GROWTH","FQ3 2015","FQ3 2015","Currency=INR","Period=FQ","BEST_FPERIOD_OVERRIDE=FQ","FILING_STATUS=OR","EQY_CONSOLIDATED=Y","Sort=A","Dates=H","DateFormat=P","Fill=—","Direction=H","UseDPDF=Y")</f>
        <v>#NAME?</v>
      </c>
      <c r="BX61" s="1" t="e">
        <f ca="1">_xll.BDH($C$53,"CFO_SEQUENTIAL_GROWTH","FQ3 2015","FQ3 2015","Currency=INR","Period=FQ","BEST_FPERIOD_OVERRIDE=FQ","FILING_STATUS=OR","EQY_CONSOLIDATED=Y","Sort=A","Dates=H","DateFormat=P","Fill=—","Direction=H","UseDPDF=Y")</f>
        <v>#NAME?</v>
      </c>
      <c r="BY61" s="2" t="e">
        <f ca="1">_xll.BDH($C$53,"SHORT_AND_LONG_TERM_DEBT","FQ3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61" s="2" t="e">
        <f ca="1">_xll.BDH($C$53,"BS_ST_BORROW","FQ3 2015","FQ3 2015","Currency=INR","Period=FQ","BEST_FPERIOD_OVERRIDE=FQ","FILING_STATUS=OR","EQY_CONSOLIDATED=Y","SCALING_FORMAT=MLN","Sort=A","Dates=H","DateFormat=P","Fill=—","Direction=H","UseDPDF=Y")</f>
        <v>#NAME?</v>
      </c>
      <c r="CA61" s="2" t="e">
        <f ca="1">_xll.BDH($C$53,"BS_LT_BORROW","FQ3 2015","FQ3 2015","Currency=INR","Period=FQ","BEST_FPERIOD_OVERRIDE=FQ","FILING_STATUS=OR","EQY_CONSOLIDATED=Y","SCALING_FORMAT=MLN","Sort=A","Dates=H","DateFormat=P","Fill=—","Direction=H","UseDPDF=Y")</f>
        <v>#NAME?</v>
      </c>
      <c r="CB61" s="1" t="e">
        <f ca="1">_xll.BDH($C$53,"TOT_DEBT_TO_EBITDA","FQ3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61" s="1" t="e">
        <f ca="1">_xll.BDH($C$53,"NET_DEBT_TO_EBITDA","FQ3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61" s="1" t="e">
        <f ca="1">_xll.BDH($C$53,"TOTAL_DEBT_TO_EBIT","FQ3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61" s="1" t="e">
        <f ca="1">_xll.BDH($C$53,"NET_DEBT_TO_EBIT","FQ3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61" s="1" t="e">
        <f ca="1">_xll.BDH($C$53,"EBITDA_TO_INTEREST_EXPN","FQ3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61" s="1" t="e">
        <f ca="1">_xll.BDH($C$53,"COM_EQY_TO_TOT_ASSET","FQ3 2015","FQ3 2015","Currency=INR","Period=FQ","BEST_FPERIOD_OVERRIDE=FQ","FILING_STATUS=OR","EQY_CONSOLIDATED=Y","Sort=A","Dates=H","DateFormat=P","Fill=—","Direction=H","UseDPDF=Y")</f>
        <v>#NAME?</v>
      </c>
      <c r="CH61" s="1" t="e">
        <f ca="1">_xll.BDH($C$53,"LT_DEBT_TO_TOT_EQY","FQ3 2015","FQ3 2015","Currency=INR","Period=FQ","BEST_FPERIOD_OVERRIDE=FQ","FILING_STATUS=OR","EQY_CONSOLIDATED=Y","Sort=A","Dates=H","DateFormat=P","Fill=—","Direction=H","UseDPDF=Y")</f>
        <v>#NAME?</v>
      </c>
      <c r="CI61" s="1" t="e">
        <f ca="1">_xll.BDH($C$53,"LT_DEBT_TO_TOT_CAP","FQ3 2015","FQ3 2015","Currency=INR","Period=FQ","BEST_FPERIOD_OVERRIDE=FQ","FILING_STATUS=OR","EQY_CONSOLIDATED=Y","Sort=A","Dates=H","DateFormat=P","Fill=—","Direction=H","UseDPDF=Y")</f>
        <v>#NAME?</v>
      </c>
      <c r="CJ61" s="1" t="e">
        <f ca="1">_xll.BDH($C$53,"LT_DEBT_TO_TOT_ASSET","FQ3 2015","FQ3 2015","Currency=INR","Period=FQ","BEST_FPERIOD_OVERRIDE=FQ","FILING_STATUS=OR","EQY_CONSOLIDATED=Y","Sort=A","Dates=H","DateFormat=P","Fill=—","Direction=H","UseDPDF=Y")</f>
        <v>#NAME?</v>
      </c>
      <c r="CK61" s="1" t="e">
        <f ca="1">_xll.BDH($C$53,"TOT_DEBT_TO_TOT_EQY","FQ3 2015","FQ3 2015","Currency=INR","Period=FQ","BEST_FPERIOD_OVERRIDE=FQ","FILING_STATUS=OR","EQY_CONSOLIDATED=Y","Sort=A","Dates=H","DateFormat=P","Fill=—","Direction=H","UseDPDF=Y")</f>
        <v>#NAME?</v>
      </c>
      <c r="CL61" s="1" t="e">
        <f ca="1">_xll.BDH($C$53,"TOT_DEBT_TO_TOT_CAP","FQ3 2015","FQ3 2015","Currency=INR","Period=FQ","BEST_FPERIOD_OVERRIDE=FQ","FILING_STATUS=OR","EQY_CONSOLIDATED=Y","Sort=A","Dates=H","DateFormat=P","Fill=—","Direction=H","UseDPDF=Y")</f>
        <v>#NAME?</v>
      </c>
      <c r="CM61" s="1" t="e">
        <f ca="1">_xll.BDH($C$53,"TOT_DEBT_TO_TOT_ASSET","FQ3 2015","FQ3 2015","Currency=INR","Period=FQ","BEST_FPERIOD_OVERRIDE=FQ","FILING_STATUS=OR","EQY_CONSOLIDATED=Y","Sort=A","Dates=H","DateFormat=P","Fill=—","Direction=H","UseDPDF=Y")</f>
        <v>#NAME?</v>
      </c>
      <c r="CN61" s="1" t="e">
        <f ca="1">_xll.BDH($C$53,"NET_DEBT_TO_SHRHLDR_EQTY","FQ3 2015","FQ3 2015","Currency=INR","Period=FQ","BEST_FPERIOD_OVERRIDE=FQ","FILING_STATUS=OR","EQY_CONSOLIDATED=Y","Sort=A","Dates=H","DateFormat=P","Fill=—","Direction=H","UseDPDF=Y")</f>
        <v>#NAME?</v>
      </c>
      <c r="CO61" s="1" t="e">
        <f ca="1">_xll.BDH($C$53,"NET_DEBT_%_CAPITAL","FQ3 2015","FQ3 2015","Currency=INR","Period=FQ","BEST_FPERIOD_OVERRIDE=FQ","FILING_STATUS=OR","EQY_CONSOLIDATED=Y","Sort=A","Dates=H","DateFormat=P","Fill=—","Direction=H","UseDPDF=Y")</f>
        <v>#NAME?</v>
      </c>
      <c r="CP61" s="2" t="e">
        <f ca="1">_xll.BDH($C$53,"EBITDA","FQ3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61" s="2" t="e">
        <f ca="1">_xll.BDH($C$53,"EBITDA_AFTER_CAPEX","FQ3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61" s="2" t="e">
        <f ca="1">_xll.BDH($C$53,"IS_OPER_INC","FQ3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61" s="1" t="e">
        <f ca="1">_xll.BDH($C$53,"CASH_RATIO","FQ3 2015","FQ3 2015","Currency=INR","Period=FQ","BEST_FPERIOD_OVERRIDE=FQ","FILING_STATUS=OR","EQY_CONSOLIDATED=Y","Sort=A","Dates=H","DateFormat=P","Fill=—","Direction=H","UseDPDF=Y")</f>
        <v>#NAME?</v>
      </c>
      <c r="CT61" s="1" t="e">
        <f ca="1">_xll.BDH($C$53,"CUR_RATIO","FQ3 2015","FQ3 2015","Currency=INR","Period=FQ","BEST_FPERIOD_OVERRIDE=FQ","FILING_STATUS=OR","EQY_CONSOLIDATED=Y","Sort=A","Dates=H","DateFormat=P","Fill=—","Direction=H","UseDPDF=Y")</f>
        <v>#NAME?</v>
      </c>
      <c r="CU61" s="1" t="e">
        <f ca="1">_xll.BDH($C$53,"QUICK_RATIO","FQ3 2015","FQ3 2015","Currency=INR","Period=FQ","BEST_FPERIOD_OVERRIDE=FQ","FILING_STATUS=OR","EQY_CONSOLIDATED=Y","Sort=A","Dates=H","DateFormat=P","Fill=—","Direction=H","UseDPDF=Y")</f>
        <v>#NAME?</v>
      </c>
      <c r="CV61" s="1" t="e">
        <f ca="1">_xll.BDH($C$53,"ALTMAN_Z_SCORE","FQ3 2015","FQ3 2015","Currency=INR","Period=FQ","BEST_FPERIOD_OVERRIDE=FQ","FILING_STATUS=OR","EQY_CONSOLIDATED=Y","Sort=A","Dates=H","DateFormat=P","Fill=—","Direction=H","UseDPDF=Y")</f>
        <v>#NAME?</v>
      </c>
      <c r="CW61" s="3" t="e">
        <f ca="1">_xll.BDH($C$53,"ACCT_RCV_TURN","FQ3 2015","FQ3 2015","Currency=INR","Period=FQ","BEST_FPERIOD_OVERRIDE=FQ","FILING_STATUS=OR","EQY_CONSOLIDATED=Y","FA_ADJUSTED=GAAP","Sort=A","Dates=H","DateFormat=P","Fill=—","Direction=H","UseDPDF=Y")</f>
        <v>#NAME?</v>
      </c>
      <c r="CX61" s="1" t="e">
        <f ca="1">_xll.BDH($C$53,"ACCT_RCV_DAYS","FQ3 2015","FQ3 2015","Currency=INR","Period=FQ","BEST_FPERIOD_OVERRIDE=FQ","FILING_STATUS=OR","EQY_CONSOLIDATED=Y","FA_ADJUSTED=GAAP","Sort=A","Dates=H","DateFormat=P","Fill=—","Direction=H","UseDPDF=Y")</f>
        <v>#NAME?</v>
      </c>
      <c r="CY61" s="3" t="e">
        <f ca="1">_xll.BDH($C$53,"INVENT_TURN","FQ3 2015","FQ3 2015","Currency=INR","Period=FQ","BEST_FPERIOD_OVERRIDE=FQ","FILING_STATUS=OR","EQY_CONSOLIDATED=Y","FA_ADJUSTED=GAAP","Sort=A","Dates=H","DateFormat=P","Fill=—","Direction=H","UseDPDF=Y")</f>
        <v>#NAME?</v>
      </c>
      <c r="CZ61" s="1" t="e">
        <f ca="1">_xll.BDH($C$53,"INVENT_DAYS","FQ3 2015","FQ3 2015","Currency=INR","Period=FQ","BEST_FPERIOD_OVERRIDE=FQ","FILING_STATUS=OR","EQY_CONSOLIDATED=Y","FA_ADJUSTED=GAAP","Sort=A","Dates=H","DateFormat=P","Fill=—","Direction=H","UseDPDF=Y")</f>
        <v>#NAME?</v>
      </c>
      <c r="DA61" s="3" t="e">
        <f ca="1">_xll.BDH($C$53,"ACCOUNTS_PAYABLE_TURNOVER","FQ3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61" s="1" t="e">
        <f ca="1">_xll.BDH($C$53,"ACCOUNTS_PAYABLE_TURNOVER_DAYS","FQ3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61" s="3" t="e">
        <f ca="1">_xll.BDH($C$53,"CASH_CONVERSION_CYCLE","FQ3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61" s="3" t="e">
        <f ca="1">_xll.BDH($C$53,"INV_TO_CASH_DAYS","FQ3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61" s="4" t="e">
        <f ca="1">_xll.BDH($C$53,"BS_INVENTORIES","FQ3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61" s="2" t="e">
        <f ca="1">_xll.BDH($C$53,"INVTRY_RAW_MATERIALS","FQ3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61" s="2" t="e">
        <f ca="1">_xll.BDH($C$53,"INVTRY_IN_PROGRESS","FQ3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61" s="2" t="e">
        <f ca="1">_xll.BDH($C$53,"INVTRY_FINISHED_GOODS","FQ3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61" s="2" t="e">
        <f ca="1">_xll.BDH($C$53,"BS_OTHER_INV","FQ3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62" spans="1:113" x14ac:dyDescent="0.3">
      <c r="A62" s="6"/>
      <c r="B62" s="6"/>
      <c r="C62" s="6"/>
      <c r="D62" s="6"/>
      <c r="E62" t="s">
        <v>7</v>
      </c>
      <c r="F62" t="e">
        <f ca="1">_xll.BDH($C$53,"RETURN_COM_EQY","FQ4 2015","FQ4 2015","Currency=INR","Period=FQ","BEST_FPERIOD_OVERRIDE=FQ","FILING_STATUS=OR","EQY_CONSOLIDATED=Y","FA_ADJUSTED=GAAP","Sort=A","Dates=H","DateFormat=P","Fill=—","Direction=H","UseDPDF=Y")</f>
        <v>#NAME?</v>
      </c>
      <c r="G62" t="e">
        <f ca="1">_xll.BDH($C$53,"RETURN_ON_ASSET","FQ4 2015","FQ4 2015","Currency=INR","Period=FQ","BEST_FPERIOD_OVERRIDE=FQ","FILING_STATUS=OR","EQY_CONSOLIDATED=Y","FA_ADJUSTED=GAAP","Sort=A","Dates=H","DateFormat=P","Fill=—","Direction=H","UseDPDF=Y")</f>
        <v>#NAME?</v>
      </c>
      <c r="H62" t="e">
        <f ca="1">_xll.BDH($C$53,"RETURN_ON_CAP","FQ4 2015","FQ4 2015","Currency=INR","Period=FQ","BEST_FPERIOD_OVERRIDE=FQ","FILING_STATUS=OR","EQY_CONSOLIDATED=Y","FA_ADJUSTED=GAAP","Sort=A","Dates=H","DateFormat=P","Fill=—","Direction=H","UseDPDF=Y")</f>
        <v>#NAME?</v>
      </c>
      <c r="I62" t="e">
        <f ca="1">_xll.BDH($C$53,"RETURN_ON_INV_CAPITAL","FQ4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62" t="e">
        <f ca="1">_xll.BDH($C$53,"EBITDA_TO_REVENUE","FQ4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62" t="e">
        <f ca="1">_xll.BDH($C$53,"OPER_MARGIN","FQ4 2015","FQ4 2015","Currency=INR","Period=FQ","BEST_FPERIOD_OVERRIDE=FQ","FILING_STATUS=OR","EQY_CONSOLIDATED=Y","FA_ADJUSTED=GAAP","Sort=A","Dates=H","DateFormat=P","Fill=—","Direction=H","UseDPDF=Y")</f>
        <v>#NAME?</v>
      </c>
      <c r="L62" t="e">
        <f ca="1">_xll.BDH($C$53,"INCREMENTAL_OPERATING_MARGIN","FQ4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62" t="e">
        <f ca="1">_xll.BDH($C$53,"PRETAX_INC_TO_NET_SALES","FQ4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62" t="e">
        <f ca="1">_xll.BDH($C$53,"INC_BEF_XO_ITEMS_TO_NET_SALES","FQ4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62" t="e">
        <f ca="1">_xll.BDH($C$53,"PROF_MARGIN","FQ4 2015","FQ4 2015","Currency=INR","Period=FQ","BEST_FPERIOD_OVERRIDE=FQ","FILING_STATUS=OR","EQY_CONSOLIDATED=Y","FA_ADJUSTED=GAAP","Sort=A","Dates=H","DateFormat=P","Fill=—","Direction=H","UseDPDF=Y")</f>
        <v>#NAME?</v>
      </c>
      <c r="P62" t="e">
        <f ca="1">_xll.BDH($C$53,"NET_INCOME_TO_COMMON_MARGIN","FQ4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62" t="e">
        <f ca="1">_xll.BDH($C$53,"EFF_TAX_RATE","FQ4 2015","FQ4 2015","Currency=INR","Period=FQ","BEST_FPERIOD_OVERRIDE=FQ","FILING_STATUS=OR","EQY_CONSOLIDATED=Y","FA_ADJUSTED=GAAP","Sort=A","Dates=H","DateFormat=P","Fill=—","Direction=H","UseDPDF=Y")</f>
        <v>#NAME?</v>
      </c>
      <c r="R62" t="e">
        <f ca="1">_xll.BDH($C$53,"DVD_PAYOUT_RATIO","FQ4 2015","FQ4 2015","Currency=INR","Period=FQ","BEST_FPERIOD_OVERRIDE=FQ","FILING_STATUS=OR","EQY_CONSOLIDATED=Y","FA_ADJUSTED=GAAP","Sort=A","Dates=H","DateFormat=P","Fill=—","Direction=H","UseDPDF=Y")</f>
        <v>#NAME?</v>
      </c>
      <c r="S62" t="e">
        <f ca="1">_xll.BDH($C$53,"SUSTAIN_GROWTH_RT","FQ4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62" s="1" t="e">
        <f ca="1">_xll.BDH($C$53,"SALES_GROWTH","FQ4 2015","FQ4 2015","Currency=INR","Period=FQ","BEST_FPERIOD_OVERRIDE=FQ","FILING_STATUS=OR","EQY_CONSOLIDATED=Y","FA_ADJUSTED=GAAP","Sort=A","Dates=H","DateFormat=P","Fill=—","Direction=H","UseDPDF=Y")</f>
        <v>#NAME?</v>
      </c>
      <c r="U62" s="1" t="e">
        <f ca="1">_xll.BDH($C$53,"EBITDA_GROWTH","FQ4 2015","FQ4 2015","Currency=INR","Period=FQ","BEST_FPERIOD_OVERRIDE=FQ","FILING_STATUS=OR","EQY_CONSOLIDATED=Y","FA_ADJUSTED=GAAP","Sort=A","Dates=H","DateFormat=P","Fill=—","Direction=H","UseDPDF=Y")</f>
        <v>#NAME?</v>
      </c>
      <c r="V62" s="1" t="e">
        <f ca="1">_xll.BDH($C$53,"OPER_INC_GROWTH","FQ4 2015","FQ4 2015","Currency=INR","Period=FQ","BEST_FPERIOD_OVERRIDE=FQ","FILING_STATUS=OR","EQY_CONSOLIDATED=Y","FA_ADJUSTED=GAAP","Sort=A","Dates=H","DateFormat=P","Fill=—","Direction=H","UseDPDF=Y")</f>
        <v>#NAME?</v>
      </c>
      <c r="W62" s="1" t="e">
        <f ca="1">_xll.BDH($C$53,"EARN_FOR_COM_GROWTH","FQ4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62" s="1" t="e">
        <f ca="1">_xll.BDH($C$53,"DILUTED_EPS_AFT_XO_ITEMS_GROWTH","FQ4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62" s="1" t="e">
        <f ca="1">_xll.BDH($C$53,"DIVIDEND_PER_SHARE_1_YEAR_GROWTH","FQ4 2015","FQ4 2015","Currency=INR","Period=FQ","BEST_FPERIOD_OVERRIDE=FQ","FILING_STATUS=OR","EQY_CONSOLIDATED=Y","Sort=A","Dates=H","DateFormat=P","Fill=—","Direction=H","UseDPDF=Y")</f>
        <v>#NAME?</v>
      </c>
      <c r="Z62" s="1" t="e">
        <f ca="1">_xll.BDH($C$53,"ACCOUNTS_RECEIVABLE_GROWTH","FQ4 2015","FQ4 2015","Currency=INR","Period=FQ","BEST_FPERIOD_OVERRIDE=FQ","FILING_STATUS=OR","EQY_CONSOLIDATED=Y","Sort=A","Dates=H","DateFormat=P","Fill=—","Direction=H","UseDPDF=Y")</f>
        <v>#NAME?</v>
      </c>
      <c r="AA62" s="1" t="e">
        <f ca="1">_xll.BDH($C$53,"INVENTORY_GROWTH","FQ4 2015","FQ4 2015","Currency=INR","Period=FQ","BEST_FPERIOD_OVERRIDE=FQ","FILING_STATUS=OR","EQY_CONSOLIDATED=Y","Sort=A","Dates=H","DateFormat=P","Fill=—","Direction=H","UseDPDF=Y")</f>
        <v>#NAME?</v>
      </c>
      <c r="AB62" s="1" t="e">
        <f ca="1">_xll.BDH($C$53,"NET_FIXED_ASSETS_1_YEAR_GROWTH","FQ4 2015","FQ4 2015","Currency=INR","Period=FQ","BEST_FPERIOD_OVERRIDE=FQ","FILING_STATUS=OR","EQY_CONSOLIDATED=Y","Sort=A","Dates=H","DateFormat=P","Fill=—","Direction=H","UseDPDF=Y")</f>
        <v>#NAME?</v>
      </c>
      <c r="AC62" s="1" t="e">
        <f ca="1">_xll.BDH($C$53,"ASSET_GROWTH","FQ4 2015","FQ4 2015","Currency=INR","Period=FQ","BEST_FPERIOD_OVERRIDE=FQ","FILING_STATUS=OR","EQY_CONSOLIDATED=Y","Sort=A","Dates=H","DateFormat=P","Fill=—","Direction=H","UseDPDF=Y")</f>
        <v>#NAME?</v>
      </c>
      <c r="AD62" s="1" t="e">
        <f ca="1">_xll.BDH($C$53,"MODIFIED_WORK_CAP_GROWTH","FQ4 2015","FQ4 2015","Currency=INR","Period=FQ","BEST_FPERIOD_OVERRIDE=FQ","FILING_STATUS=OR","EQY_CONSOLIDATED=Y","Sort=A","Dates=H","DateFormat=P","Fill=—","Direction=H","UseDPDF=Y")</f>
        <v>#NAME?</v>
      </c>
      <c r="AE62" s="1" t="e">
        <f ca="1">_xll.BDH($C$53,"WORK_CAP_GROWTH","FQ4 2015","FQ4 2015","Currency=INR","Period=FQ","BEST_FPERIOD_OVERRIDE=FQ","FILING_STATUS=OR","EQY_CONSOLIDATED=Y","Sort=A","Dates=H","DateFormat=P","Fill=—","Direction=H","UseDPDF=Y")</f>
        <v>#NAME?</v>
      </c>
      <c r="AF62" s="1" t="e">
        <f ca="1">_xll.BDH($C$53,"ACCOUNTS_PAYABLE_GROWTH_1YR","FQ4 2015","FQ4 2015","Currency=INR","Period=FQ","BEST_FPERIOD_OVERRIDE=FQ","FILING_STATUS=OR","EQY_CONSOLIDATED=Y","Sort=A","Dates=H","DateFormat=P","Fill=—","Direction=H","UseDPDF=Y")</f>
        <v>#NAME?</v>
      </c>
      <c r="AG62" s="1" t="e">
        <f ca="1">_xll.BDH($C$53,"SHORT_TERM_DEBT_1_YEAR_GROWTH","FQ4 2015","FQ4 2015","Currency=INR","Period=FQ","BEST_FPERIOD_OVERRIDE=FQ","FILING_STATUS=OR","EQY_CONSOLIDATED=Y","Sort=A","Dates=H","DateFormat=P","Fill=—","Direction=H","UseDPDF=Y")</f>
        <v>#NAME?</v>
      </c>
      <c r="AH62" s="1" t="e">
        <f ca="1">_xll.BDH($C$53,"TOTAL_DEBT_1_YEAR_GROWTH","FQ4 2015","FQ4 2015","Currency=INR","Period=FQ","BEST_FPERIOD_OVERRIDE=FQ","FILING_STATUS=OR","EQY_CONSOLIDATED=Y","Sort=A","Dates=H","DateFormat=P","Fill=—","Direction=H","UseDPDF=Y")</f>
        <v>#NAME?</v>
      </c>
      <c r="AI62" s="1" t="e">
        <f ca="1">_xll.BDH($C$53,"TOTAL_EQUITY_1_YEAR_GROWTH","FQ4 2015","FQ4 2015","Currency=INR","Period=FQ","BEST_FPERIOD_OVERRIDE=FQ","FILING_STATUS=OR","EQY_CONSOLIDATED=Y","Sort=A","Dates=H","DateFormat=P","Fill=—","Direction=H","UseDPDF=Y")</f>
        <v>#NAME?</v>
      </c>
      <c r="AJ62" s="1" t="e">
        <f ca="1">_xll.BDH($C$53,"GROWTH_IN_CAP","FQ4 2015","FQ4 2015","Currency=INR","Period=FQ","BEST_FPERIOD_OVERRIDE=FQ","FILING_STATUS=OR","EQY_CONSOLIDATED=Y","Sort=A","Dates=H","DateFormat=P","Fill=—","Direction=H","UseDPDF=Y")</f>
        <v>#NAME?</v>
      </c>
      <c r="AK62" s="1" t="e">
        <f ca="1">_xll.BDH($C$53,"BVPS_GROWTH","FQ4 2015","FQ4 2015","Currency=INR","Period=FQ","BEST_FPERIOD_OVERRIDE=FQ","FILING_STATUS=OR","EQY_CONSOLIDATED=Y","Sort=A","Dates=H","DateFormat=P","Fill=—","Direction=H","UseDPDF=Y")</f>
        <v>#NAME?</v>
      </c>
      <c r="AL62" s="1" t="e">
        <f ca="1">_xll.BDH($C$53,"CASH_FLOW_GROWTH","FQ4 2015","FQ4 2015","Currency=INR","Period=FQ","BEST_FPERIOD_OVERRIDE=FQ","FILING_STATUS=OR","EQY_CONSOLIDATED=Y","Sort=A","Dates=H","DateFormat=P","Fill=—","Direction=H","UseDPDF=Y")</f>
        <v>#NAME?</v>
      </c>
      <c r="AM62" s="1" t="e">
        <f ca="1">_xll.BDH($C$53,"GEO_GROW_NET_SALES","FQ4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62" s="1" t="e">
        <f ca="1">_xll.BDH($C$53,"GEO_GROW_EBITDA","FQ4 2015","FQ4 2015","Currency=INR","Period=FQ","BEST_FPERIOD_OVERRIDE=FQ","FILING_STATUS=OR","EQY_CONSOLIDATED=Y","FA_ADJUSTED=GAAP","Sort=A","Dates=H","DateFormat=P","Fill=—","Direction=H","UseDPDF=Y")</f>
        <v>#NAME?</v>
      </c>
      <c r="AO62" s="1" t="e">
        <f ca="1">_xll.BDH($C$53,"GEO_GROW_OPER_INC","FQ4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62" s="1" t="e">
        <f ca="1">_xll.BDH($C$53,"NET_INCOME_TO_COMMON_5_YR_GROWTH","FQ4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62" s="1" t="e">
        <f ca="1">_xll.BDH($C$53,"5Y_GEO_GROWTH_DILUTED_EPS","FQ4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62" s="1" t="e">
        <f ca="1">_xll.BDH($C$53,"GEO_GROW_DVD_PER_SH","FQ4 2015","FQ4 2015","Currency=INR","Period=FQ","BEST_FPERIOD_OVERRIDE=FQ","FILING_STATUS=OR","EQY_CONSOLIDATED=Y","Sort=A","Dates=H","DateFormat=P","Fill=—","Direction=H","UseDPDF=Y")</f>
        <v>#NAME?</v>
      </c>
      <c r="AS62" s="1" t="e">
        <f ca="1">_xll.BDH($C$53,"ACCOUNTS_RECEIVABLE_5_YR_GROWTH","FQ4 2015","FQ4 2015","Currency=INR","Period=FQ","BEST_FPERIOD_OVERRIDE=FQ","FILING_STATUS=OR","EQY_CONSOLIDATED=Y","Sort=A","Dates=H","DateFormat=P","Fill=—","Direction=H","UseDPDF=Y")</f>
        <v>#NAME?</v>
      </c>
      <c r="AT62" s="1" t="e">
        <f ca="1">_xll.BDH($C$53,"INVENTORY_5_YEAR_GROWTH","FQ4 2015","FQ4 2015","Currency=INR","Period=FQ","BEST_FPERIOD_OVERRIDE=FQ","FILING_STATUS=OR","EQY_CONSOLIDATED=Y","Sort=A","Dates=H","DateFormat=P","Fill=—","Direction=H","UseDPDF=Y")</f>
        <v>#NAME?</v>
      </c>
      <c r="AU62" s="1" t="e">
        <f ca="1">_xll.BDH($C$53,"NET_FIXED_ASSETS_5_YEAR_GROWTH","FQ4 2015","FQ4 2015","Currency=INR","Period=FQ","BEST_FPERIOD_OVERRIDE=FQ","FILING_STATUS=OR","EQY_CONSOLIDATED=Y","Sort=A","Dates=H","DateFormat=P","Fill=—","Direction=H","UseDPDF=Y")</f>
        <v>#NAME?</v>
      </c>
      <c r="AV62" s="1" t="e">
        <f ca="1">_xll.BDH($C$53,"GEO_GROW_TOT_ASSET","FQ4 2015","FQ4 2015","Currency=INR","Period=FQ","BEST_FPERIOD_OVERRIDE=FQ","FILING_STATUS=OR","EQY_CONSOLIDATED=Y","Sort=A","Dates=H","DateFormat=P","Fill=—","Direction=H","UseDPDF=Y")</f>
        <v>#NAME?</v>
      </c>
      <c r="AW62" s="1" t="e">
        <f ca="1">_xll.BDH($C$53,"MODIFIED_WORKING_CPTL_5YR_GRWTH","FQ4 2015","FQ4 2015","Currency=INR","Period=FQ","BEST_FPERIOD_OVERRIDE=FQ","FILING_STATUS=OR","EQY_CONSOLIDATED=Y","Sort=A","Dates=H","DateFormat=P","Fill=—","Direction=H","UseDPDF=Y")</f>
        <v>#NAME?</v>
      </c>
      <c r="AX62" s="1" t="e">
        <f ca="1">_xll.BDH($C$53,"WORKING_CAPITAL_5_YEAR_GROWTH","FQ4 2015","FQ4 2015","Currency=INR","Period=FQ","BEST_FPERIOD_OVERRIDE=FQ","FILING_STATUS=OR","EQY_CONSOLIDATED=Y","Sort=A","Dates=H","DateFormat=P","Fill=—","Direction=H","UseDPDF=Y")</f>
        <v>#NAME?</v>
      </c>
      <c r="AY62" s="1" t="e">
        <f ca="1">_xll.BDH($C$53,"ACCOUNTS_PAYABLE_5_YEAR_GROWTH","FQ4 2015","FQ4 2015","Currency=INR","Period=FQ","BEST_FPERIOD_OVERRIDE=FQ","FILING_STATUS=OR","EQY_CONSOLIDATED=Y","Sort=A","Dates=H","DateFormat=P","Fill=—","Direction=H","UseDPDF=Y")</f>
        <v>#NAME?</v>
      </c>
      <c r="AZ62" s="1" t="e">
        <f ca="1">_xll.BDH($C$53,"SHORT_TERM_DEBT_5_YEAR_GROWTH","FQ4 2015","FQ4 2015","Currency=INR","Period=FQ","BEST_FPERIOD_OVERRIDE=FQ","FILING_STATUS=OR","EQY_CONSOLIDATED=Y","Sort=A","Dates=H","DateFormat=P","Fill=—","Direction=H","UseDPDF=Y")</f>
        <v>#NAME?</v>
      </c>
      <c r="BA62" s="1" t="e">
        <f ca="1">_xll.BDH($C$53,"TOTAL_DEBT_5_YEAR_GROWTH","FQ4 2015","FQ4 2015","Currency=INR","Period=FQ","BEST_FPERIOD_OVERRIDE=FQ","FILING_STATUS=OR","EQY_CONSOLIDATED=Y","Sort=A","Dates=H","DateFormat=P","Fill=—","Direction=H","UseDPDF=Y")</f>
        <v>#NAME?</v>
      </c>
      <c r="BB62" s="1" t="e">
        <f ca="1">_xll.BDH($C$53,"GEO_GROW_TOT_SHRHLDR_EQY","FQ4 2015","FQ4 2015","Currency=INR","Period=FQ","BEST_FPERIOD_OVERRIDE=FQ","FILING_STATUS=OR","EQY_CONSOLIDATED=Y","Sort=A","Dates=H","DateFormat=P","Fill=—","Direction=H","UseDPDF=Y")</f>
        <v>#NAME?</v>
      </c>
      <c r="BC62" s="1" t="e">
        <f ca="1">_xll.BDH($C$53,"TOTAL_CAPITAL_5_YEAR_GROWTH","FQ4 2015","FQ4 2015","Currency=INR","Period=FQ","BEST_FPERIOD_OVERRIDE=FQ","FILING_STATUS=OR","EQY_CONSOLIDATED=Y","Sort=A","Dates=H","DateFormat=P","Fill=—","Direction=H","UseDPDF=Y")</f>
        <v>#NAME?</v>
      </c>
      <c r="BD62" s="1" t="e">
        <f ca="1">_xll.BDH($C$53,"GEO_GROW_BOOK_VAL","FQ4 2015","FQ4 2015","Currency=INR","Period=FQ","BEST_FPERIOD_OVERRIDE=FQ","FILING_STATUS=OR","EQY_CONSOLIDATED=Y","Sort=A","Dates=H","DateFormat=P","Fill=—","Direction=H","UseDPDF=Y")</f>
        <v>#NAME?</v>
      </c>
      <c r="BE62" s="1" t="e">
        <f ca="1">_xll.BDH($C$53,"GEO_GROW_CASH_OPER_ACT","FQ4 2015","FQ4 2015","Currency=INR","Period=FQ","BEST_FPERIOD_OVERRIDE=FQ","FILING_STATUS=OR","EQY_CONSOLIDATED=Y","Sort=A","Dates=H","DateFormat=P","Fill=—","Direction=H","UseDPDF=Y")</f>
        <v>#NAME?</v>
      </c>
      <c r="BF62" s="1" t="e">
        <f ca="1">_xll.BDH($C$53,"REVENUE_SEQUENTIAL_GROWTH","FQ4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62" s="1" t="e">
        <f ca="1">_xll.BDH($C$53,"EBITDA_SEQUENTIAL_GROWTH","FQ4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62" s="1" t="e">
        <f ca="1">_xll.BDH($C$53,"OPERATING_INCOME_SEQ_GROWTH","FQ4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62" s="1" t="e">
        <f ca="1">_xll.BDH($C$53,"NET_INCOME_TO_COMMON_SEQ_GROWTH","FQ4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62" s="1" t="e">
        <f ca="1">_xll.BDH($C$53,"EPS_DILUTED_SEQUENTIAL_GROWTH","FQ4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62" s="1" t="e">
        <f ca="1">_xll.BDH($C$53,"DPS_SEQUENTIAL_GROWTH","FQ4 2015","FQ4 2015","Currency=INR","Period=FQ","BEST_FPERIOD_OVERRIDE=FQ","FILING_STATUS=OR","EQY_CONSOLIDATED=Y","Sort=A","Dates=H","DateFormat=P","Fill=—","Direction=H","UseDPDF=Y")</f>
        <v>#NAME?</v>
      </c>
      <c r="BL62" s="1" t="e">
        <f ca="1">_xll.BDH($C$53,"ACCOUNTS_RECEIVABLE_SEQ_GROWTH","FQ4 2015","FQ4 2015","Currency=INR","Period=FQ","BEST_FPERIOD_OVERRIDE=FQ","FILING_STATUS=OR","EQY_CONSOLIDATED=Y","Sort=A","Dates=H","DateFormat=P","Fill=—","Direction=H","UseDPDF=Y")</f>
        <v>#NAME?</v>
      </c>
      <c r="BM62" s="1" t="e">
        <f ca="1">_xll.BDH($C$53,"INVENTORY_SEQUENTIAL_GROWTH","FQ4 2015","FQ4 2015","Currency=INR","Period=FQ","BEST_FPERIOD_OVERRIDE=FQ","FILING_STATUS=OR","EQY_CONSOLIDATED=Y","Sort=A","Dates=H","DateFormat=P","Fill=—","Direction=H","UseDPDF=Y")</f>
        <v>#NAME?</v>
      </c>
      <c r="BN62" s="1" t="e">
        <f ca="1">_xll.BDH($C$53,"FIXED_ASSETS_SEQUENTIAL_GROWTH","FQ4 2015","FQ4 2015","Currency=INR","Period=FQ","BEST_FPERIOD_OVERRIDE=FQ","FILING_STATUS=OR","EQY_CONSOLIDATED=Y","Sort=A","Dates=H","DateFormat=P","Fill=—","Direction=H","UseDPDF=Y")</f>
        <v>#NAME?</v>
      </c>
      <c r="BO62" s="1" t="e">
        <f ca="1">_xll.BDH($C$53,"TOTAL_ASSETS_SEQUENTIAL_GROWTH","FQ4 2015","FQ4 2015","Currency=INR","Period=FQ","BEST_FPERIOD_OVERRIDE=FQ","FILING_STATUS=OR","EQY_CONSOLIDATED=Y","Sort=A","Dates=H","DateFormat=P","Fill=—","Direction=H","UseDPDF=Y")</f>
        <v>#NAME?</v>
      </c>
      <c r="BP62" s="1" t="e">
        <f ca="1">_xll.BDH($C$53,"MODIFIED_WORKING_CPTL_SEQ_GRWTH","FQ4 2015","FQ4 2015","Currency=INR","Period=FQ","BEST_FPERIOD_OVERRIDE=FQ","FILING_STATUS=OR","EQY_CONSOLIDATED=Y","Sort=A","Dates=H","DateFormat=P","Fill=—","Direction=H","UseDPDF=Y")</f>
        <v>#NAME?</v>
      </c>
      <c r="BQ62" s="1" t="e">
        <f ca="1">_xll.BDH($C$53,"WORKING_CAPITAL_SEQ_GROWTH","FQ4 2015","FQ4 2015","Currency=INR","Period=FQ","BEST_FPERIOD_OVERRIDE=FQ","FILING_STATUS=OR","EQY_CONSOLIDATED=Y","Sort=A","Dates=H","DateFormat=P","Fill=—","Direction=H","UseDPDF=Y")</f>
        <v>#NAME?</v>
      </c>
      <c r="BR62" s="1" t="e">
        <f ca="1">_xll.BDH($C$53,"ACCOUNTS_PAYABLE_SEQ_GROWTH","FQ4 2015","FQ4 2015","Currency=INR","Period=FQ","BEST_FPERIOD_OVERRIDE=FQ","FILING_STATUS=OR","EQY_CONSOLIDATED=Y","Sort=A","Dates=H","DateFormat=P","Fill=—","Direction=H","UseDPDF=Y")</f>
        <v>#NAME?</v>
      </c>
      <c r="BS62" s="1" t="e">
        <f ca="1">_xll.BDH($C$53,"ST_DEBT_SEQUENTIAL_GROWTH","FQ4 2015","FQ4 2015","Currency=INR","Period=FQ","BEST_FPERIOD_OVERRIDE=FQ","FILING_STATUS=OR","EQY_CONSOLIDATED=Y","Sort=A","Dates=H","DateFormat=P","Fill=—","Direction=H","UseDPDF=Y")</f>
        <v>#NAME?</v>
      </c>
      <c r="BT62" s="1" t="e">
        <f ca="1">_xll.BDH($C$53,"TOTAL_DEBT_SEQUENTIAL_GROWTH","FQ4 2015","FQ4 2015","Currency=INR","Period=FQ","BEST_FPERIOD_OVERRIDE=FQ","FILING_STATUS=OR","EQY_CONSOLIDATED=Y","Sort=A","Dates=H","DateFormat=P","Fill=—","Direction=H","UseDPDF=Y")</f>
        <v>#NAME?</v>
      </c>
      <c r="BU62" s="1" t="e">
        <f ca="1">_xll.BDH($C$53,"TOTAL_EQUITY_SEQUENTIAL_GROWTH","FQ4 2015","FQ4 2015","Currency=INR","Period=FQ","BEST_FPERIOD_OVERRIDE=FQ","FILING_STATUS=OR","EQY_CONSOLIDATED=Y","Sort=A","Dates=H","DateFormat=P","Fill=—","Direction=H","UseDPDF=Y")</f>
        <v>#NAME?</v>
      </c>
      <c r="BV62" s="1" t="e">
        <f ca="1">_xll.BDH($C$53,"TOTAL_CAPITAL_SEQUENTIAL_GROWTH","FQ4 2015","FQ4 2015","Currency=INR","Period=FQ","BEST_FPERIOD_OVERRIDE=FQ","FILING_STATUS=OR","EQY_CONSOLIDATED=Y","Sort=A","Dates=H","DateFormat=P","Fill=—","Direction=H","UseDPDF=Y")</f>
        <v>#NAME?</v>
      </c>
      <c r="BW62" s="1" t="e">
        <f ca="1">_xll.BDH($C$53,"BPS_SEQUENTIAL_GROWTH","FQ4 2015","FQ4 2015","Currency=INR","Period=FQ","BEST_FPERIOD_OVERRIDE=FQ","FILING_STATUS=OR","EQY_CONSOLIDATED=Y","Sort=A","Dates=H","DateFormat=P","Fill=—","Direction=H","UseDPDF=Y")</f>
        <v>#NAME?</v>
      </c>
      <c r="BX62" s="1" t="e">
        <f ca="1">_xll.BDH($C$53,"CFO_SEQUENTIAL_GROWTH","FQ4 2015","FQ4 2015","Currency=INR","Period=FQ","BEST_FPERIOD_OVERRIDE=FQ","FILING_STATUS=OR","EQY_CONSOLIDATED=Y","Sort=A","Dates=H","DateFormat=P","Fill=—","Direction=H","UseDPDF=Y")</f>
        <v>#NAME?</v>
      </c>
      <c r="BY62" s="2" t="e">
        <f ca="1">_xll.BDH($C$53,"SHORT_AND_LONG_TERM_DEBT","FQ4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62" s="2" t="e">
        <f ca="1">_xll.BDH($C$53,"BS_ST_BORROW","FQ4 2015","FQ4 2015","Currency=INR","Period=FQ","BEST_FPERIOD_OVERRIDE=FQ","FILING_STATUS=OR","EQY_CONSOLIDATED=Y","SCALING_FORMAT=MLN","Sort=A","Dates=H","DateFormat=P","Fill=—","Direction=H","UseDPDF=Y")</f>
        <v>#NAME?</v>
      </c>
      <c r="CA62" s="2" t="e">
        <f ca="1">_xll.BDH($C$53,"BS_LT_BORROW","FQ4 2015","FQ4 2015","Currency=INR","Period=FQ","BEST_FPERIOD_OVERRIDE=FQ","FILING_STATUS=OR","EQY_CONSOLIDATED=Y","SCALING_FORMAT=MLN","Sort=A","Dates=H","DateFormat=P","Fill=—","Direction=H","UseDPDF=Y")</f>
        <v>#NAME?</v>
      </c>
      <c r="CB62" s="1" t="e">
        <f ca="1">_xll.BDH($C$53,"TOT_DEBT_TO_EBITDA","FQ4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62" s="1" t="e">
        <f ca="1">_xll.BDH($C$53,"NET_DEBT_TO_EBITDA","FQ4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62" s="1" t="e">
        <f ca="1">_xll.BDH($C$53,"TOTAL_DEBT_TO_EBIT","FQ4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62" s="1" t="e">
        <f ca="1">_xll.BDH($C$53,"NET_DEBT_TO_EBIT","FQ4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62" s="1" t="e">
        <f ca="1">_xll.BDH($C$53,"EBITDA_TO_INTEREST_EXPN","FQ4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62" s="1" t="e">
        <f ca="1">_xll.BDH($C$53,"COM_EQY_TO_TOT_ASSET","FQ4 2015","FQ4 2015","Currency=INR","Period=FQ","BEST_FPERIOD_OVERRIDE=FQ","FILING_STATUS=OR","EQY_CONSOLIDATED=Y","Sort=A","Dates=H","DateFormat=P","Fill=—","Direction=H","UseDPDF=Y")</f>
        <v>#NAME?</v>
      </c>
      <c r="CH62" s="1" t="e">
        <f ca="1">_xll.BDH($C$53,"LT_DEBT_TO_TOT_EQY","FQ4 2015","FQ4 2015","Currency=INR","Period=FQ","BEST_FPERIOD_OVERRIDE=FQ","FILING_STATUS=OR","EQY_CONSOLIDATED=Y","Sort=A","Dates=H","DateFormat=P","Fill=—","Direction=H","UseDPDF=Y")</f>
        <v>#NAME?</v>
      </c>
      <c r="CI62" s="1" t="e">
        <f ca="1">_xll.BDH($C$53,"LT_DEBT_TO_TOT_CAP","FQ4 2015","FQ4 2015","Currency=INR","Period=FQ","BEST_FPERIOD_OVERRIDE=FQ","FILING_STATUS=OR","EQY_CONSOLIDATED=Y","Sort=A","Dates=H","DateFormat=P","Fill=—","Direction=H","UseDPDF=Y")</f>
        <v>#NAME?</v>
      </c>
      <c r="CJ62" s="1" t="e">
        <f ca="1">_xll.BDH($C$53,"LT_DEBT_TO_TOT_ASSET","FQ4 2015","FQ4 2015","Currency=INR","Period=FQ","BEST_FPERIOD_OVERRIDE=FQ","FILING_STATUS=OR","EQY_CONSOLIDATED=Y","Sort=A","Dates=H","DateFormat=P","Fill=—","Direction=H","UseDPDF=Y")</f>
        <v>#NAME?</v>
      </c>
      <c r="CK62" s="1" t="e">
        <f ca="1">_xll.BDH($C$53,"TOT_DEBT_TO_TOT_EQY","FQ4 2015","FQ4 2015","Currency=INR","Period=FQ","BEST_FPERIOD_OVERRIDE=FQ","FILING_STATUS=OR","EQY_CONSOLIDATED=Y","Sort=A","Dates=H","DateFormat=P","Fill=—","Direction=H","UseDPDF=Y")</f>
        <v>#NAME?</v>
      </c>
      <c r="CL62" s="1" t="e">
        <f ca="1">_xll.BDH($C$53,"TOT_DEBT_TO_TOT_CAP","FQ4 2015","FQ4 2015","Currency=INR","Period=FQ","BEST_FPERIOD_OVERRIDE=FQ","FILING_STATUS=OR","EQY_CONSOLIDATED=Y","Sort=A","Dates=H","DateFormat=P","Fill=—","Direction=H","UseDPDF=Y")</f>
        <v>#NAME?</v>
      </c>
      <c r="CM62" s="1" t="e">
        <f ca="1">_xll.BDH($C$53,"TOT_DEBT_TO_TOT_ASSET","FQ4 2015","FQ4 2015","Currency=INR","Period=FQ","BEST_FPERIOD_OVERRIDE=FQ","FILING_STATUS=OR","EQY_CONSOLIDATED=Y","Sort=A","Dates=H","DateFormat=P","Fill=—","Direction=H","UseDPDF=Y")</f>
        <v>#NAME?</v>
      </c>
      <c r="CN62" s="1" t="e">
        <f ca="1">_xll.BDH($C$53,"NET_DEBT_TO_SHRHLDR_EQTY","FQ4 2015","FQ4 2015","Currency=INR","Period=FQ","BEST_FPERIOD_OVERRIDE=FQ","FILING_STATUS=OR","EQY_CONSOLIDATED=Y","Sort=A","Dates=H","DateFormat=P","Fill=—","Direction=H","UseDPDF=Y")</f>
        <v>#NAME?</v>
      </c>
      <c r="CO62" s="1" t="e">
        <f ca="1">_xll.BDH($C$53,"NET_DEBT_%_CAPITAL","FQ4 2015","FQ4 2015","Currency=INR","Period=FQ","BEST_FPERIOD_OVERRIDE=FQ","FILING_STATUS=OR","EQY_CONSOLIDATED=Y","Sort=A","Dates=H","DateFormat=P","Fill=—","Direction=H","UseDPDF=Y")</f>
        <v>#NAME?</v>
      </c>
      <c r="CP62" s="2" t="e">
        <f ca="1">_xll.BDH($C$53,"EBITDA","FQ4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62" s="2" t="e">
        <f ca="1">_xll.BDH($C$53,"EBITDA_AFTER_CAPEX","FQ4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62" s="2" t="e">
        <f ca="1">_xll.BDH($C$53,"IS_OPER_INC","FQ4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62" s="1" t="e">
        <f ca="1">_xll.BDH($C$53,"CASH_RATIO","FQ4 2015","FQ4 2015","Currency=INR","Period=FQ","BEST_FPERIOD_OVERRIDE=FQ","FILING_STATUS=OR","EQY_CONSOLIDATED=Y","Sort=A","Dates=H","DateFormat=P","Fill=—","Direction=H","UseDPDF=Y")</f>
        <v>#NAME?</v>
      </c>
      <c r="CT62" s="1" t="e">
        <f ca="1">_xll.BDH($C$53,"CUR_RATIO","FQ4 2015","FQ4 2015","Currency=INR","Period=FQ","BEST_FPERIOD_OVERRIDE=FQ","FILING_STATUS=OR","EQY_CONSOLIDATED=Y","Sort=A","Dates=H","DateFormat=P","Fill=—","Direction=H","UseDPDF=Y")</f>
        <v>#NAME?</v>
      </c>
      <c r="CU62" s="1" t="e">
        <f ca="1">_xll.BDH($C$53,"QUICK_RATIO","FQ4 2015","FQ4 2015","Currency=INR","Period=FQ","BEST_FPERIOD_OVERRIDE=FQ","FILING_STATUS=OR","EQY_CONSOLIDATED=Y","Sort=A","Dates=H","DateFormat=P","Fill=—","Direction=H","UseDPDF=Y")</f>
        <v>#NAME?</v>
      </c>
      <c r="CV62" s="1" t="e">
        <f ca="1">_xll.BDH($C$53,"ALTMAN_Z_SCORE","FQ4 2015","FQ4 2015","Currency=INR","Period=FQ","BEST_FPERIOD_OVERRIDE=FQ","FILING_STATUS=OR","EQY_CONSOLIDATED=Y","Sort=A","Dates=H","DateFormat=P","Fill=—","Direction=H","UseDPDF=Y")</f>
        <v>#NAME?</v>
      </c>
      <c r="CW62" s="3" t="e">
        <f ca="1">_xll.BDH($C$53,"ACCT_RCV_TURN","FQ4 2015","FQ4 2015","Currency=INR","Period=FQ","BEST_FPERIOD_OVERRIDE=FQ","FILING_STATUS=OR","EQY_CONSOLIDATED=Y","FA_ADJUSTED=GAAP","Sort=A","Dates=H","DateFormat=P","Fill=—","Direction=H","UseDPDF=Y")</f>
        <v>#NAME?</v>
      </c>
      <c r="CX62" s="1" t="e">
        <f ca="1">_xll.BDH($C$53,"ACCT_RCV_DAYS","FQ4 2015","FQ4 2015","Currency=INR","Period=FQ","BEST_FPERIOD_OVERRIDE=FQ","FILING_STATUS=OR","EQY_CONSOLIDATED=Y","FA_ADJUSTED=GAAP","Sort=A","Dates=H","DateFormat=P","Fill=—","Direction=H","UseDPDF=Y")</f>
        <v>#NAME?</v>
      </c>
      <c r="CY62" s="3" t="e">
        <f ca="1">_xll.BDH($C$53,"INVENT_TURN","FQ4 2015","FQ4 2015","Currency=INR","Period=FQ","BEST_FPERIOD_OVERRIDE=FQ","FILING_STATUS=OR","EQY_CONSOLIDATED=Y","FA_ADJUSTED=GAAP","Sort=A","Dates=H","DateFormat=P","Fill=—","Direction=H","UseDPDF=Y")</f>
        <v>#NAME?</v>
      </c>
      <c r="CZ62" s="1" t="e">
        <f ca="1">_xll.BDH($C$53,"INVENT_DAYS","FQ4 2015","FQ4 2015","Currency=INR","Period=FQ","BEST_FPERIOD_OVERRIDE=FQ","FILING_STATUS=OR","EQY_CONSOLIDATED=Y","FA_ADJUSTED=GAAP","Sort=A","Dates=H","DateFormat=P","Fill=—","Direction=H","UseDPDF=Y")</f>
        <v>#NAME?</v>
      </c>
      <c r="DA62" s="3" t="e">
        <f ca="1">_xll.BDH($C$53,"ACCOUNTS_PAYABLE_TURNOVER","FQ4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62" s="1" t="e">
        <f ca="1">_xll.BDH($C$53,"ACCOUNTS_PAYABLE_TURNOVER_DAYS","FQ4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62" s="3" t="e">
        <f ca="1">_xll.BDH($C$53,"CASH_CONVERSION_CYCLE","FQ4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62" s="3" t="e">
        <f ca="1">_xll.BDH($C$53,"INV_TO_CASH_DAYS","FQ4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62" s="4" t="e">
        <f ca="1">_xll.BDH($C$53,"BS_INVENTORIES","FQ4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62" s="2" t="e">
        <f ca="1">_xll.BDH($C$53,"INVTRY_RAW_MATERIALS","FQ4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62" s="2" t="e">
        <f ca="1">_xll.BDH($C$53,"INVTRY_IN_PROGRESS","FQ4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62" s="2" t="e">
        <f ca="1">_xll.BDH($C$53,"INVTRY_FINISHED_GOODS","FQ4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62" s="2" t="e">
        <f ca="1">_xll.BDH($C$53,"BS_OTHER_INV","FQ4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63" spans="1:113" x14ac:dyDescent="0.3">
      <c r="A63" s="6"/>
      <c r="B63" s="6"/>
      <c r="C63" s="6"/>
      <c r="D63" s="6" t="s">
        <v>9</v>
      </c>
      <c r="E63" t="s">
        <v>3</v>
      </c>
      <c r="F63" t="e">
        <f ca="1">_xll.BDH($C$53,"RETURN_COM_EQY","FY 2016","FY 2016","Currency=INR","Period=FY","BEST_FPERIOD_OVERRIDE=FY","FILING_STATUS=OR","EQY_CONSOLIDATED=Y","FA_ADJUSTED=GAAP","Sort=A","Dates=H","DateFormat=P","Fill=—","Direction=H","UseDPDF=Y")</f>
        <v>#NAME?</v>
      </c>
      <c r="G63" t="e">
        <f ca="1">_xll.BDH($C$53,"RETURN_ON_ASSET","FY 2016","FY 2016","Currency=INR","Period=FY","BEST_FPERIOD_OVERRIDE=FY","FILING_STATUS=OR","EQY_CONSOLIDATED=Y","FA_ADJUSTED=GAAP","Sort=A","Dates=H","DateFormat=P","Fill=—","Direction=H","UseDPDF=Y")</f>
        <v>#NAME?</v>
      </c>
      <c r="H63" t="e">
        <f ca="1">_xll.BDH($C$53,"RETURN_ON_CAP","FY 2016","FY 2016","Currency=INR","Period=FY","BEST_FPERIOD_OVERRIDE=FY","FILING_STATUS=OR","EQY_CONSOLIDATED=Y","FA_ADJUSTED=GAAP","Sort=A","Dates=H","DateFormat=P","Fill=—","Direction=H","UseDPDF=Y")</f>
        <v>#NAME?</v>
      </c>
      <c r="I63" t="e">
        <f ca="1">_xll.BDH($C$53,"RETURN_ON_INV_CAPITAL","FY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63" t="e">
        <f ca="1">_xll.BDH($C$53,"EBITDA_TO_REVENUE","FY 2016","FY 2016","Currency=INR","Period=FY","BEST_FPERIOD_OVERRIDE=FY","FILING_STATUS=OR","EQY_CONSOLIDATED=Y","FA_ADJUSTED=GAAP","Sort=A","Dates=H","DateFormat=P","Fill=—","Direction=H","UseDPDF=Y")</f>
        <v>#NAME?</v>
      </c>
      <c r="K63" t="e">
        <f ca="1">_xll.BDH($C$53,"OPER_MARGIN","FY 2016","FY 2016","Currency=INR","Period=FY","BEST_FPERIOD_OVERRIDE=FY","FILING_STATUS=OR","EQY_CONSOLIDATED=Y","FA_ADJUSTED=GAAP","Sort=A","Dates=H","DateFormat=P","Fill=—","Direction=H","UseDPDF=Y")</f>
        <v>#NAME?</v>
      </c>
      <c r="L63" t="e">
        <f ca="1">_xll.BDH($C$53,"INCREMENTAL_OPERATING_MARGIN","FY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63" t="e">
        <f ca="1">_xll.BDH($C$53,"PRETAX_INC_TO_NET_SALES","FY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63" t="e">
        <f ca="1">_xll.BDH($C$53,"INC_BEF_XO_ITEMS_TO_NET_SALES","FY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63" t="e">
        <f ca="1">_xll.BDH($C$53,"PROF_MARGIN","FY 2016","FY 2016","Currency=INR","Period=FY","BEST_FPERIOD_OVERRIDE=FY","FILING_STATUS=OR","EQY_CONSOLIDATED=Y","FA_ADJUSTED=GAAP","Sort=A","Dates=H","DateFormat=P","Fill=—","Direction=H","UseDPDF=Y")</f>
        <v>#NAME?</v>
      </c>
      <c r="P63" t="e">
        <f ca="1">_xll.BDH($C$53,"NET_INCOME_TO_COMMON_MARGIN","FY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63" t="e">
        <f ca="1">_xll.BDH($C$53,"EFF_TAX_RATE","FY 2016","FY 2016","Currency=INR","Period=FY","BEST_FPERIOD_OVERRIDE=FY","FILING_STATUS=OR","EQY_CONSOLIDATED=Y","FA_ADJUSTED=GAAP","Sort=A","Dates=H","DateFormat=P","Fill=—","Direction=H","UseDPDF=Y")</f>
        <v>#NAME?</v>
      </c>
      <c r="R63" t="e">
        <f ca="1">_xll.BDH($C$53,"DVD_PAYOUT_RATIO","FY 2016","FY 2016","Currency=INR","Period=FY","BEST_FPERIOD_OVERRIDE=FY","FILING_STATUS=OR","EQY_CONSOLIDATED=Y","FA_ADJUSTED=GAAP","Sort=A","Dates=H","DateFormat=P","Fill=—","Direction=H","UseDPDF=Y")</f>
        <v>#NAME?</v>
      </c>
      <c r="S63" t="e">
        <f ca="1">_xll.BDH($C$53,"SUSTAIN_GROWTH_RT","FY 2016","FY 2016","Currency=INR","Period=FY","BEST_FPERIOD_OVERRIDE=FY","FILING_STATUS=OR","EQY_CONSOLIDATED=Y","FA_ADJUSTED=GAAP","Sort=A","Dates=H","DateFormat=P","Fill=—","Direction=H","UseDPDF=Y")</f>
        <v>#NAME?</v>
      </c>
      <c r="T63" s="1" t="e">
        <f ca="1">_xll.BDH($C$53,"SALES_GROWTH","FY 2016","FY 2016","Currency=INR","Period=FY","BEST_FPERIOD_OVERRIDE=FY","FILING_STATUS=OR","EQY_CONSOLIDATED=Y","FA_ADJUSTED=GAAP","Sort=A","Dates=H","DateFormat=P","Fill=—","Direction=H","UseDPDF=Y")</f>
        <v>#NAME?</v>
      </c>
      <c r="U63" s="1" t="e">
        <f ca="1">_xll.BDH($C$53,"EBITDA_GROWTH","FY 2016","FY 2016","Currency=INR","Period=FY","BEST_FPERIOD_OVERRIDE=FY","FILING_STATUS=OR","EQY_CONSOLIDATED=Y","FA_ADJUSTED=GAAP","Sort=A","Dates=H","DateFormat=P","Fill=—","Direction=H","UseDPDF=Y")</f>
        <v>#NAME?</v>
      </c>
      <c r="V63" s="1" t="e">
        <f ca="1">_xll.BDH($C$53,"OPER_INC_GROWTH","FY 2016","FY 2016","Currency=INR","Period=FY","BEST_FPERIOD_OVERRIDE=FY","FILING_STATUS=OR","EQY_CONSOLIDATED=Y","FA_ADJUSTED=GAAP","Sort=A","Dates=H","DateFormat=P","Fill=—","Direction=H","UseDPDF=Y")</f>
        <v>#NAME?</v>
      </c>
      <c r="W63" s="1" t="e">
        <f ca="1">_xll.BDH($C$53,"EARN_FOR_COM_GROWTH","FY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63" s="1" t="e">
        <f ca="1">_xll.BDH($C$53,"DILUTED_EPS_AFT_XO_ITEMS_GROWTH","FY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63" s="1" t="e">
        <f ca="1">_xll.BDH($C$53,"DIVIDEND_PER_SHARE_1_YEAR_GROWTH","FY 2016","FY 2016","Currency=INR","Period=FY","BEST_FPERIOD_OVERRIDE=FY","FILING_STATUS=OR","EQY_CONSOLIDATED=Y","Sort=A","Dates=H","DateFormat=P","Fill=—","Direction=H","UseDPDF=Y")</f>
        <v>#NAME?</v>
      </c>
      <c r="Z63" s="1" t="e">
        <f ca="1">_xll.BDH($C$53,"ACCOUNTS_RECEIVABLE_GROWTH","FY 2016","FY 2016","Currency=INR","Period=FY","BEST_FPERIOD_OVERRIDE=FY","FILING_STATUS=OR","EQY_CONSOLIDATED=Y","Sort=A","Dates=H","DateFormat=P","Fill=—","Direction=H","UseDPDF=Y")</f>
        <v>#NAME?</v>
      </c>
      <c r="AA63" s="1" t="e">
        <f ca="1">_xll.BDH($C$53,"INVENTORY_GROWTH","FY 2016","FY 2016","Currency=INR","Period=FY","BEST_FPERIOD_OVERRIDE=FY","FILING_STATUS=OR","EQY_CONSOLIDATED=Y","Sort=A","Dates=H","DateFormat=P","Fill=—","Direction=H","UseDPDF=Y")</f>
        <v>#NAME?</v>
      </c>
      <c r="AB63" s="1" t="e">
        <f ca="1">_xll.BDH($C$53,"NET_FIXED_ASSETS_1_YEAR_GROWTH","FY 2016","FY 2016","Currency=INR","Period=FY","BEST_FPERIOD_OVERRIDE=FY","FILING_STATUS=OR","EQY_CONSOLIDATED=Y","Sort=A","Dates=H","DateFormat=P","Fill=—","Direction=H","UseDPDF=Y")</f>
        <v>#NAME?</v>
      </c>
      <c r="AC63" s="1" t="e">
        <f ca="1">_xll.BDH($C$53,"ASSET_GROWTH","FY 2016","FY 2016","Currency=INR","Period=FY","BEST_FPERIOD_OVERRIDE=FY","FILING_STATUS=OR","EQY_CONSOLIDATED=Y","Sort=A","Dates=H","DateFormat=P","Fill=—","Direction=H","UseDPDF=Y")</f>
        <v>#NAME?</v>
      </c>
      <c r="AD63" s="1" t="e">
        <f ca="1">_xll.BDH($C$53,"MODIFIED_WORK_CAP_GROWTH","FY 2016","FY 2016","Currency=INR","Period=FY","BEST_FPERIOD_OVERRIDE=FY","FILING_STATUS=OR","EQY_CONSOLIDATED=Y","Sort=A","Dates=H","DateFormat=P","Fill=—","Direction=H","UseDPDF=Y")</f>
        <v>#NAME?</v>
      </c>
      <c r="AE63" s="1" t="e">
        <f ca="1">_xll.BDH($C$53,"WORK_CAP_GROWTH","FY 2016","FY 2016","Currency=INR","Period=FY","BEST_FPERIOD_OVERRIDE=FY","FILING_STATUS=OR","EQY_CONSOLIDATED=Y","Sort=A","Dates=H","DateFormat=P","Fill=—","Direction=H","UseDPDF=Y")</f>
        <v>#NAME?</v>
      </c>
      <c r="AF63" s="1" t="e">
        <f ca="1">_xll.BDH($C$53,"ACCOUNTS_PAYABLE_GROWTH_1YR","FY 2016","FY 2016","Currency=INR","Period=FY","BEST_FPERIOD_OVERRIDE=FY","FILING_STATUS=OR","EQY_CONSOLIDATED=Y","Sort=A","Dates=H","DateFormat=P","Fill=—","Direction=H","UseDPDF=Y")</f>
        <v>#NAME?</v>
      </c>
      <c r="AG63" s="1" t="e">
        <f ca="1">_xll.BDH($C$53,"SHORT_TERM_DEBT_1_YEAR_GROWTH","FY 2016","FY 2016","Currency=INR","Period=FY","BEST_FPERIOD_OVERRIDE=FY","FILING_STATUS=OR","EQY_CONSOLIDATED=Y","Sort=A","Dates=H","DateFormat=P","Fill=—","Direction=H","UseDPDF=Y")</f>
        <v>#NAME?</v>
      </c>
      <c r="AH63" s="1" t="e">
        <f ca="1">_xll.BDH($C$53,"TOTAL_DEBT_1_YEAR_GROWTH","FY 2016","FY 2016","Currency=INR","Period=FY","BEST_FPERIOD_OVERRIDE=FY","FILING_STATUS=OR","EQY_CONSOLIDATED=Y","Sort=A","Dates=H","DateFormat=P","Fill=—","Direction=H","UseDPDF=Y")</f>
        <v>#NAME?</v>
      </c>
      <c r="AI63" s="1" t="e">
        <f ca="1">_xll.BDH($C$53,"TOTAL_EQUITY_1_YEAR_GROWTH","FY 2016","FY 2016","Currency=INR","Period=FY","BEST_FPERIOD_OVERRIDE=FY","FILING_STATUS=OR","EQY_CONSOLIDATED=Y","Sort=A","Dates=H","DateFormat=P","Fill=—","Direction=H","UseDPDF=Y")</f>
        <v>#NAME?</v>
      </c>
      <c r="AJ63" s="1" t="e">
        <f ca="1">_xll.BDH($C$53,"GROWTH_IN_CAP","FY 2016","FY 2016","Currency=INR","Period=FY","BEST_FPERIOD_OVERRIDE=FY","FILING_STATUS=OR","EQY_CONSOLIDATED=Y","Sort=A","Dates=H","DateFormat=P","Fill=—","Direction=H","UseDPDF=Y")</f>
        <v>#NAME?</v>
      </c>
      <c r="AK63" s="1" t="e">
        <f ca="1">_xll.BDH($C$53,"BVPS_GROWTH","FY 2016","FY 2016","Currency=INR","Period=FY","BEST_FPERIOD_OVERRIDE=FY","FILING_STATUS=OR","EQY_CONSOLIDATED=Y","Sort=A","Dates=H","DateFormat=P","Fill=—","Direction=H","UseDPDF=Y")</f>
        <v>#NAME?</v>
      </c>
      <c r="AL63" s="1" t="e">
        <f ca="1">_xll.BDH($C$53,"CASH_FLOW_GROWTH","FY 2016","FY 2016","Currency=INR","Period=FY","BEST_FPERIOD_OVERRIDE=FY","FILING_STATUS=OR","EQY_CONSOLIDATED=Y","Sort=A","Dates=H","DateFormat=P","Fill=—","Direction=H","UseDPDF=Y")</f>
        <v>#NAME?</v>
      </c>
      <c r="AM63" s="1" t="e">
        <f ca="1">_xll.BDH($C$53,"GEO_GROW_NET_SALES","FY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63" s="1" t="e">
        <f ca="1">_xll.BDH($C$53,"GEO_GROW_EBITDA","FY 2016","FY 2016","Currency=INR","Period=FY","BEST_FPERIOD_OVERRIDE=FY","FILING_STATUS=OR","EQY_CONSOLIDATED=Y","FA_ADJUSTED=GAAP","Sort=A","Dates=H","DateFormat=P","Fill=—","Direction=H","UseDPDF=Y")</f>
        <v>#NAME?</v>
      </c>
      <c r="AO63" s="1" t="e">
        <f ca="1">_xll.BDH($C$53,"GEO_GROW_OPER_INC","FY 2016","FY 2016","Currency=INR","Period=FY","BEST_FPERIOD_OVERRIDE=FY","FILING_STATUS=OR","EQY_CONSOLIDATED=Y","FA_ADJUSTED=GAAP","Sort=A","Dates=H","DateFormat=P","Fill=—","Direction=H","UseDPDF=Y")</f>
        <v>#NAME?</v>
      </c>
      <c r="AP63" s="1" t="e">
        <f ca="1">_xll.BDH($C$53,"NET_INCOME_TO_COMMON_5_YR_GROWTH","FY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63" s="1" t="e">
        <f ca="1">_xll.BDH($C$53,"5Y_GEO_GROWTH_DILUTED_EPS","FY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63" s="1" t="e">
        <f ca="1">_xll.BDH($C$53,"GEO_GROW_DVD_PER_SH","FY 2016","FY 2016","Currency=INR","Period=FY","BEST_FPERIOD_OVERRIDE=FY","FILING_STATUS=OR","EQY_CONSOLIDATED=Y","Sort=A","Dates=H","DateFormat=P","Fill=—","Direction=H","UseDPDF=Y")</f>
        <v>#NAME?</v>
      </c>
      <c r="AS63" s="1" t="e">
        <f ca="1">_xll.BDH($C$53,"ACCOUNTS_RECEIVABLE_5_YR_GROWTH","FY 2016","FY 2016","Currency=INR","Period=FY","BEST_FPERIOD_OVERRIDE=FY","FILING_STATUS=OR","EQY_CONSOLIDATED=Y","Sort=A","Dates=H","DateFormat=P","Fill=—","Direction=H","UseDPDF=Y")</f>
        <v>#NAME?</v>
      </c>
      <c r="AT63" s="1" t="e">
        <f ca="1">_xll.BDH($C$53,"INVENTORY_5_YEAR_GROWTH","FY 2016","FY 2016","Currency=INR","Period=FY","BEST_FPERIOD_OVERRIDE=FY","FILING_STATUS=OR","EQY_CONSOLIDATED=Y","Sort=A","Dates=H","DateFormat=P","Fill=—","Direction=H","UseDPDF=Y")</f>
        <v>#NAME?</v>
      </c>
      <c r="AU63" s="1" t="e">
        <f ca="1">_xll.BDH($C$53,"NET_FIXED_ASSETS_5_YEAR_GROWTH","FY 2016","FY 2016","Currency=INR","Period=FY","BEST_FPERIOD_OVERRIDE=FY","FILING_STATUS=OR","EQY_CONSOLIDATED=Y","Sort=A","Dates=H","DateFormat=P","Fill=—","Direction=H","UseDPDF=Y")</f>
        <v>#NAME?</v>
      </c>
      <c r="AV63" s="1" t="e">
        <f ca="1">_xll.BDH($C$53,"GEO_GROW_TOT_ASSET","FY 2016","FY 2016","Currency=INR","Period=FY","BEST_FPERIOD_OVERRIDE=FY","FILING_STATUS=OR","EQY_CONSOLIDATED=Y","Sort=A","Dates=H","DateFormat=P","Fill=—","Direction=H","UseDPDF=Y")</f>
        <v>#NAME?</v>
      </c>
      <c r="AW63" s="1" t="e">
        <f ca="1">_xll.BDH($C$53,"MODIFIED_WORKING_CPTL_5YR_GRWTH","FY 2016","FY 2016","Currency=INR","Period=FY","BEST_FPERIOD_OVERRIDE=FY","FILING_STATUS=OR","EQY_CONSOLIDATED=Y","Sort=A","Dates=H","DateFormat=P","Fill=—","Direction=H","UseDPDF=Y")</f>
        <v>#NAME?</v>
      </c>
      <c r="AX63" s="1" t="e">
        <f ca="1">_xll.BDH($C$53,"WORKING_CAPITAL_5_YEAR_GROWTH","FY 2016","FY 2016","Currency=INR","Period=FY","BEST_FPERIOD_OVERRIDE=FY","FILING_STATUS=OR","EQY_CONSOLIDATED=Y","Sort=A","Dates=H","DateFormat=P","Fill=—","Direction=H","UseDPDF=Y")</f>
        <v>#NAME?</v>
      </c>
      <c r="AY63" s="1" t="e">
        <f ca="1">_xll.BDH($C$53,"ACCOUNTS_PAYABLE_5_YEAR_GROWTH","FY 2016","FY 2016","Currency=INR","Period=FY","BEST_FPERIOD_OVERRIDE=FY","FILING_STATUS=OR","EQY_CONSOLIDATED=Y","Sort=A","Dates=H","DateFormat=P","Fill=—","Direction=H","UseDPDF=Y")</f>
        <v>#NAME?</v>
      </c>
      <c r="AZ63" s="1" t="e">
        <f ca="1">_xll.BDH($C$53,"SHORT_TERM_DEBT_5_YEAR_GROWTH","FY 2016","FY 2016","Currency=INR","Period=FY","BEST_FPERIOD_OVERRIDE=FY","FILING_STATUS=OR","EQY_CONSOLIDATED=Y","Sort=A","Dates=H","DateFormat=P","Fill=—","Direction=H","UseDPDF=Y")</f>
        <v>#NAME?</v>
      </c>
      <c r="BA63" s="1" t="e">
        <f ca="1">_xll.BDH($C$53,"TOTAL_DEBT_5_YEAR_GROWTH","FY 2016","FY 2016","Currency=INR","Period=FY","BEST_FPERIOD_OVERRIDE=FY","FILING_STATUS=OR","EQY_CONSOLIDATED=Y","Sort=A","Dates=H","DateFormat=P","Fill=—","Direction=H","UseDPDF=Y")</f>
        <v>#NAME?</v>
      </c>
      <c r="BB63" s="1" t="e">
        <f ca="1">_xll.BDH($C$53,"GEO_GROW_TOT_SHRHLDR_EQY","FY 2016","FY 2016","Currency=INR","Period=FY","BEST_FPERIOD_OVERRIDE=FY","FILING_STATUS=OR","EQY_CONSOLIDATED=Y","Sort=A","Dates=H","DateFormat=P","Fill=—","Direction=H","UseDPDF=Y")</f>
        <v>#NAME?</v>
      </c>
      <c r="BC63" s="1" t="e">
        <f ca="1">_xll.BDH($C$53,"TOTAL_CAPITAL_5_YEAR_GROWTH","FY 2016","FY 2016","Currency=INR","Period=FY","BEST_FPERIOD_OVERRIDE=FY","FILING_STATUS=OR","EQY_CONSOLIDATED=Y","Sort=A","Dates=H","DateFormat=P","Fill=—","Direction=H","UseDPDF=Y")</f>
        <v>#NAME?</v>
      </c>
      <c r="BD63" s="1" t="e">
        <f ca="1">_xll.BDH($C$53,"GEO_GROW_BOOK_VAL","FY 2016","FY 2016","Currency=INR","Period=FY","BEST_FPERIOD_OVERRIDE=FY","FILING_STATUS=OR","EQY_CONSOLIDATED=Y","Sort=A","Dates=H","DateFormat=P","Fill=—","Direction=H","UseDPDF=Y")</f>
        <v>#NAME?</v>
      </c>
      <c r="BE63" s="1" t="e">
        <f ca="1">_xll.BDH($C$53,"GEO_GROW_CASH_OPER_ACT","FY 2016","FY 2016","Currency=INR","Period=FY","BEST_FPERIOD_OVERRIDE=FY","FILING_STATUS=OR","EQY_CONSOLIDATED=Y","Sort=A","Dates=H","DateFormat=P","Fill=—","Direction=H","UseDPDF=Y")</f>
        <v>#NAME?</v>
      </c>
      <c r="BF63" s="1" t="e">
        <f ca="1">_xll.BDH($C$53,"REVENUE_SEQUENTIAL_GROWTH","FY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63" s="1" t="e">
        <f ca="1">_xll.BDH($C$53,"EBITDA_SEQUENTIAL_GROWTH","FY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63" s="1" t="e">
        <f ca="1">_xll.BDH($C$53,"OPERATING_INCOME_SEQ_GROWTH","FY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63" s="1" t="e">
        <f ca="1">_xll.BDH($C$53,"NET_INCOME_TO_COMMON_SEQ_GROWTH","FY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63" s="1" t="e">
        <f ca="1">_xll.BDH($C$53,"EPS_DILUTED_SEQUENTIAL_GROWTH","FY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63" s="1" t="e">
        <f ca="1">_xll.BDH($C$53,"DPS_SEQUENTIAL_GROWTH","FY 2016","FY 2016","Currency=INR","Period=FY","BEST_FPERIOD_OVERRIDE=FY","FILING_STATUS=OR","EQY_CONSOLIDATED=Y","Sort=A","Dates=H","DateFormat=P","Fill=—","Direction=H","UseDPDF=Y")</f>
        <v>#NAME?</v>
      </c>
      <c r="BL63" s="1" t="e">
        <f ca="1">_xll.BDH($C$53,"ACCOUNTS_RECEIVABLE_SEQ_GROWTH","FY 2016","FY 2016","Currency=INR","Period=FY","BEST_FPERIOD_OVERRIDE=FY","FILING_STATUS=OR","EQY_CONSOLIDATED=Y","Sort=A","Dates=H","DateFormat=P","Fill=—","Direction=H","UseDPDF=Y")</f>
        <v>#NAME?</v>
      </c>
      <c r="BM63" s="1" t="e">
        <f ca="1">_xll.BDH($C$53,"INVENTORY_SEQUENTIAL_GROWTH","FY 2016","FY 2016","Currency=INR","Period=FY","BEST_FPERIOD_OVERRIDE=FY","FILING_STATUS=OR","EQY_CONSOLIDATED=Y","Sort=A","Dates=H","DateFormat=P","Fill=—","Direction=H","UseDPDF=Y")</f>
        <v>#NAME?</v>
      </c>
      <c r="BN63" s="1" t="e">
        <f ca="1">_xll.BDH($C$53,"FIXED_ASSETS_SEQUENTIAL_GROWTH","FY 2016","FY 2016","Currency=INR","Period=FY","BEST_FPERIOD_OVERRIDE=FY","FILING_STATUS=OR","EQY_CONSOLIDATED=Y","Sort=A","Dates=H","DateFormat=P","Fill=—","Direction=H","UseDPDF=Y")</f>
        <v>#NAME?</v>
      </c>
      <c r="BO63" s="1" t="e">
        <f ca="1">_xll.BDH($C$53,"TOTAL_ASSETS_SEQUENTIAL_GROWTH","FY 2016","FY 2016","Currency=INR","Period=FY","BEST_FPERIOD_OVERRIDE=FY","FILING_STATUS=OR","EQY_CONSOLIDATED=Y","Sort=A","Dates=H","DateFormat=P","Fill=—","Direction=H","UseDPDF=Y")</f>
        <v>#NAME?</v>
      </c>
      <c r="BP63" s="1" t="e">
        <f ca="1">_xll.BDH($C$53,"MODIFIED_WORKING_CPTL_SEQ_GRWTH","FY 2016","FY 2016","Currency=INR","Period=FY","BEST_FPERIOD_OVERRIDE=FY","FILING_STATUS=OR","EQY_CONSOLIDATED=Y","Sort=A","Dates=H","DateFormat=P","Fill=—","Direction=H","UseDPDF=Y")</f>
        <v>#NAME?</v>
      </c>
      <c r="BQ63" s="1" t="e">
        <f ca="1">_xll.BDH($C$53,"WORKING_CAPITAL_SEQ_GROWTH","FY 2016","FY 2016","Currency=INR","Period=FY","BEST_FPERIOD_OVERRIDE=FY","FILING_STATUS=OR","EQY_CONSOLIDATED=Y","Sort=A","Dates=H","DateFormat=P","Fill=—","Direction=H","UseDPDF=Y")</f>
        <v>#NAME?</v>
      </c>
      <c r="BR63" s="1" t="e">
        <f ca="1">_xll.BDH($C$53,"ACCOUNTS_PAYABLE_SEQ_GROWTH","FY 2016","FY 2016","Currency=INR","Period=FY","BEST_FPERIOD_OVERRIDE=FY","FILING_STATUS=OR","EQY_CONSOLIDATED=Y","Sort=A","Dates=H","DateFormat=P","Fill=—","Direction=H","UseDPDF=Y")</f>
        <v>#NAME?</v>
      </c>
      <c r="BS63" s="1" t="e">
        <f ca="1">_xll.BDH($C$53,"ST_DEBT_SEQUENTIAL_GROWTH","FY 2016","FY 2016","Currency=INR","Period=FY","BEST_FPERIOD_OVERRIDE=FY","FILING_STATUS=OR","EQY_CONSOLIDATED=Y","Sort=A","Dates=H","DateFormat=P","Fill=—","Direction=H","UseDPDF=Y")</f>
        <v>#NAME?</v>
      </c>
      <c r="BT63" s="1" t="e">
        <f ca="1">_xll.BDH($C$53,"TOTAL_DEBT_SEQUENTIAL_GROWTH","FY 2016","FY 2016","Currency=INR","Period=FY","BEST_FPERIOD_OVERRIDE=FY","FILING_STATUS=OR","EQY_CONSOLIDATED=Y","Sort=A","Dates=H","DateFormat=P","Fill=—","Direction=H","UseDPDF=Y")</f>
        <v>#NAME?</v>
      </c>
      <c r="BU63" s="1" t="e">
        <f ca="1">_xll.BDH($C$53,"TOTAL_EQUITY_SEQUENTIAL_GROWTH","FY 2016","FY 2016","Currency=INR","Period=FY","BEST_FPERIOD_OVERRIDE=FY","FILING_STATUS=OR","EQY_CONSOLIDATED=Y","Sort=A","Dates=H","DateFormat=P","Fill=—","Direction=H","UseDPDF=Y")</f>
        <v>#NAME?</v>
      </c>
      <c r="BV63" s="1" t="e">
        <f ca="1">_xll.BDH($C$53,"TOTAL_CAPITAL_SEQUENTIAL_GROWTH","FY 2016","FY 2016","Currency=INR","Period=FY","BEST_FPERIOD_OVERRIDE=FY","FILING_STATUS=OR","EQY_CONSOLIDATED=Y","Sort=A","Dates=H","DateFormat=P","Fill=—","Direction=H","UseDPDF=Y")</f>
        <v>#NAME?</v>
      </c>
      <c r="BW63" s="1" t="e">
        <f ca="1">_xll.BDH($C$53,"BPS_SEQUENTIAL_GROWTH","FY 2016","FY 2016","Currency=INR","Period=FY","BEST_FPERIOD_OVERRIDE=FY","FILING_STATUS=OR","EQY_CONSOLIDATED=Y","Sort=A","Dates=H","DateFormat=P","Fill=—","Direction=H","UseDPDF=Y")</f>
        <v>#NAME?</v>
      </c>
      <c r="BX63" s="1" t="e">
        <f ca="1">_xll.BDH($C$53,"CFO_SEQUENTIAL_GROWTH","FY 2016","FY 2016","Currency=INR","Period=FY","BEST_FPERIOD_OVERRIDE=FY","FILING_STATUS=OR","EQY_CONSOLIDATED=Y","Sort=A","Dates=H","DateFormat=P","Fill=—","Direction=H","UseDPDF=Y")</f>
        <v>#NAME?</v>
      </c>
      <c r="BY63" s="2" t="e">
        <f ca="1">_xll.BDH($C$53,"SHORT_AND_LONG_TERM_DEBT","FY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63" s="2" t="e">
        <f ca="1">_xll.BDH($C$53,"BS_ST_BORROW","FY 2016","FY 2016","Currency=INR","Period=FY","BEST_FPERIOD_OVERRIDE=FY","FILING_STATUS=OR","EQY_CONSOLIDATED=Y","SCALING_FORMAT=MLN","Sort=A","Dates=H","DateFormat=P","Fill=—","Direction=H","UseDPDF=Y")</f>
        <v>#NAME?</v>
      </c>
      <c r="CA63" s="2" t="e">
        <f ca="1">_xll.BDH($C$53,"BS_LT_BORROW","FY 2016","FY 2016","Currency=INR","Period=FY","BEST_FPERIOD_OVERRIDE=FY","FILING_STATUS=OR","EQY_CONSOLIDATED=Y","SCALING_FORMAT=MLN","Sort=A","Dates=H","DateFormat=P","Fill=—","Direction=H","UseDPDF=Y")</f>
        <v>#NAME?</v>
      </c>
      <c r="CB63" s="1" t="e">
        <f ca="1">_xll.BDH($C$53,"TOT_DEBT_TO_EBITDA","FY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63" s="1" t="e">
        <f ca="1">_xll.BDH($C$53,"NET_DEBT_TO_EBITDA","FY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63" s="1" t="e">
        <f ca="1">_xll.BDH($C$53,"TOTAL_DEBT_TO_EBIT","FY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63" s="1" t="e">
        <f ca="1">_xll.BDH($C$53,"NET_DEBT_TO_EBIT","FY 2016","FY 2016","Currency=INR","Period=FY","BEST_FPERIOD_OVERRIDE=FY","FILING_STATUS=OR","EQY_CONSOLIDATED=Y","FA_ADJUSTED=GAAP","Sort=A","Dates=H","DateFormat=P","Fill=—","Direction=H","UseDPDF=Y")</f>
        <v>#NAME?</v>
      </c>
      <c r="CF63" s="1" t="e">
        <f ca="1">_xll.BDH($C$53,"EBITDA_TO_INTEREST_EXPN","FY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63" s="1" t="e">
        <f ca="1">_xll.BDH($C$53,"COM_EQY_TO_TOT_ASSET","FY 2016","FY 2016","Currency=INR","Period=FY","BEST_FPERIOD_OVERRIDE=FY","FILING_STATUS=OR","EQY_CONSOLIDATED=Y","Sort=A","Dates=H","DateFormat=P","Fill=—","Direction=H","UseDPDF=Y")</f>
        <v>#NAME?</v>
      </c>
      <c r="CH63" s="1" t="e">
        <f ca="1">_xll.BDH($C$53,"LT_DEBT_TO_TOT_EQY","FY 2016","FY 2016","Currency=INR","Period=FY","BEST_FPERIOD_OVERRIDE=FY","FILING_STATUS=OR","EQY_CONSOLIDATED=Y","Sort=A","Dates=H","DateFormat=P","Fill=—","Direction=H","UseDPDF=Y")</f>
        <v>#NAME?</v>
      </c>
      <c r="CI63" s="1" t="e">
        <f ca="1">_xll.BDH($C$53,"LT_DEBT_TO_TOT_CAP","FY 2016","FY 2016","Currency=INR","Period=FY","BEST_FPERIOD_OVERRIDE=FY","FILING_STATUS=OR","EQY_CONSOLIDATED=Y","Sort=A","Dates=H","DateFormat=P","Fill=—","Direction=H","UseDPDF=Y")</f>
        <v>#NAME?</v>
      </c>
      <c r="CJ63" s="1" t="e">
        <f ca="1">_xll.BDH($C$53,"LT_DEBT_TO_TOT_ASSET","FY 2016","FY 2016","Currency=INR","Period=FY","BEST_FPERIOD_OVERRIDE=FY","FILING_STATUS=OR","EQY_CONSOLIDATED=Y","Sort=A","Dates=H","DateFormat=P","Fill=—","Direction=H","UseDPDF=Y")</f>
        <v>#NAME?</v>
      </c>
      <c r="CK63" s="1" t="e">
        <f ca="1">_xll.BDH($C$53,"TOT_DEBT_TO_TOT_EQY","FY 2016","FY 2016","Currency=INR","Period=FY","BEST_FPERIOD_OVERRIDE=FY","FILING_STATUS=OR","EQY_CONSOLIDATED=Y","Sort=A","Dates=H","DateFormat=P","Fill=—","Direction=H","UseDPDF=Y")</f>
        <v>#NAME?</v>
      </c>
      <c r="CL63" s="1" t="e">
        <f ca="1">_xll.BDH($C$53,"TOT_DEBT_TO_TOT_CAP","FY 2016","FY 2016","Currency=INR","Period=FY","BEST_FPERIOD_OVERRIDE=FY","FILING_STATUS=OR","EQY_CONSOLIDATED=Y","Sort=A","Dates=H","DateFormat=P","Fill=—","Direction=H","UseDPDF=Y")</f>
        <v>#NAME?</v>
      </c>
      <c r="CM63" s="1" t="e">
        <f ca="1">_xll.BDH($C$53,"TOT_DEBT_TO_TOT_ASSET","FY 2016","FY 2016","Currency=INR","Period=FY","BEST_FPERIOD_OVERRIDE=FY","FILING_STATUS=OR","EQY_CONSOLIDATED=Y","Sort=A","Dates=H","DateFormat=P","Fill=—","Direction=H","UseDPDF=Y")</f>
        <v>#NAME?</v>
      </c>
      <c r="CN63" s="1" t="e">
        <f ca="1">_xll.BDH($C$53,"NET_DEBT_TO_SHRHLDR_EQTY","FY 2016","FY 2016","Currency=INR","Period=FY","BEST_FPERIOD_OVERRIDE=FY","FILING_STATUS=OR","EQY_CONSOLIDATED=Y","Sort=A","Dates=H","DateFormat=P","Fill=—","Direction=H","UseDPDF=Y")</f>
        <v>#NAME?</v>
      </c>
      <c r="CO63" s="1" t="e">
        <f ca="1">_xll.BDH($C$53,"NET_DEBT_%_CAPITAL","FY 2016","FY 2016","Currency=INR","Period=FY","BEST_FPERIOD_OVERRIDE=FY","FILING_STATUS=OR","EQY_CONSOLIDATED=Y","Sort=A","Dates=H","DateFormat=P","Fill=—","Direction=H","UseDPDF=Y")</f>
        <v>#NAME?</v>
      </c>
      <c r="CP63" s="2" t="e">
        <f ca="1">_xll.BDH($C$53,"EBITDA","FY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63" s="2" t="e">
        <f ca="1">_xll.BDH($C$53,"EBITDA_AFTER_CAPEX","FY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63" s="2" t="e">
        <f ca="1">_xll.BDH($C$53,"IS_OPER_INC","FY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63" s="1" t="e">
        <f ca="1">_xll.BDH($C$53,"CASH_RATIO","FY 2016","FY 2016","Currency=INR","Period=FY","BEST_FPERIOD_OVERRIDE=FY","FILING_STATUS=OR","EQY_CONSOLIDATED=Y","Sort=A","Dates=H","DateFormat=P","Fill=—","Direction=H","UseDPDF=Y")</f>
        <v>#NAME?</v>
      </c>
      <c r="CT63" s="1" t="e">
        <f ca="1">_xll.BDH($C$53,"CUR_RATIO","FY 2016","FY 2016","Currency=INR","Period=FY","BEST_FPERIOD_OVERRIDE=FY","FILING_STATUS=OR","EQY_CONSOLIDATED=Y","Sort=A","Dates=H","DateFormat=P","Fill=—","Direction=H","UseDPDF=Y")</f>
        <v>#NAME?</v>
      </c>
      <c r="CU63" s="1" t="e">
        <f ca="1">_xll.BDH($C$53,"QUICK_RATIO","FY 2016","FY 2016","Currency=INR","Period=FY","BEST_FPERIOD_OVERRIDE=FY","FILING_STATUS=OR","EQY_CONSOLIDATED=Y","Sort=A","Dates=H","DateFormat=P","Fill=—","Direction=H","UseDPDF=Y")</f>
        <v>#NAME?</v>
      </c>
      <c r="CV63" s="1" t="e">
        <f ca="1">_xll.BDH($C$53,"ALTMAN_Z_SCORE","FY 2016","FY 2016","Currency=INR","Period=FY","BEST_FPERIOD_OVERRIDE=FY","FILING_STATUS=OR","EQY_CONSOLIDATED=Y","Sort=A","Dates=H","DateFormat=P","Fill=—","Direction=H","UseDPDF=Y")</f>
        <v>#NAME?</v>
      </c>
      <c r="CW63" s="3" t="e">
        <f ca="1">_xll.BDH($C$53,"ACCT_RCV_TURN","FY 2016","FY 2016","Currency=INR","Period=FY","BEST_FPERIOD_OVERRIDE=FY","FILING_STATUS=OR","EQY_CONSOLIDATED=Y","FA_ADJUSTED=GAAP","Sort=A","Dates=H","DateFormat=P","Fill=—","Direction=H","UseDPDF=Y")</f>
        <v>#NAME?</v>
      </c>
      <c r="CX63" s="1" t="e">
        <f ca="1">_xll.BDH($C$53,"ACCT_RCV_DAYS","FY 2016","FY 2016","Currency=INR","Period=FY","BEST_FPERIOD_OVERRIDE=FY","FILING_STATUS=OR","EQY_CONSOLIDATED=Y","FA_ADJUSTED=GAAP","Sort=A","Dates=H","DateFormat=P","Fill=—","Direction=H","UseDPDF=Y")</f>
        <v>#NAME?</v>
      </c>
      <c r="CY63" s="3" t="e">
        <f ca="1">_xll.BDH($C$53,"INVENT_TURN","FY 2016","FY 2016","Currency=INR","Period=FY","BEST_FPERIOD_OVERRIDE=FY","FILING_STATUS=OR","EQY_CONSOLIDATED=Y","FA_ADJUSTED=GAAP","Sort=A","Dates=H","DateFormat=P","Fill=—","Direction=H","UseDPDF=Y")</f>
        <v>#NAME?</v>
      </c>
      <c r="CZ63" s="1" t="e">
        <f ca="1">_xll.BDH($C$53,"INVENT_DAYS","FY 2016","FY 2016","Currency=INR","Period=FY","BEST_FPERIOD_OVERRIDE=FY","FILING_STATUS=OR","EQY_CONSOLIDATED=Y","FA_ADJUSTED=GAAP","Sort=A","Dates=H","DateFormat=P","Fill=—","Direction=H","UseDPDF=Y")</f>
        <v>#NAME?</v>
      </c>
      <c r="DA63" s="3" t="e">
        <f ca="1">_xll.BDH($C$53,"ACCOUNTS_PAYABLE_TURNOVER","FY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63" s="1" t="e">
        <f ca="1">_xll.BDH($C$53,"ACCOUNTS_PAYABLE_TURNOVER_DAYS","FY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63" s="3" t="e">
        <f ca="1">_xll.BDH($C$53,"CASH_CONVERSION_CYCLE","FY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63" s="3" t="e">
        <f ca="1">_xll.BDH($C$53,"INV_TO_CASH_DAYS","FY 2016","FY 2016","Currency=INR","Period=FY","BEST_FPERIOD_OVERRIDE=FY","FILING_STATUS=OR","EQY_CONSOLIDATED=Y","FA_ADJUSTED=GAAP","Sort=A","Dates=H","DateFormat=P","Fill=—","Direction=H","UseDPDF=Y")</f>
        <v>#NAME?</v>
      </c>
      <c r="DE63" s="4" t="e">
        <f ca="1">_xll.BDH($C$53,"BS_INVENTORIES","FY 2016","FY 2016","Currency=INR","Period=FY","BEST_FPERIOD_OVERRIDE=FY","FILING_STATUS=OR","EQY_CONSOLIDATED=Y","SCALING_FORMAT=MLN","Sort=A","Dates=H","DateFormat=P","Fill=—","Direction=H","UseDPDF=Y")</f>
        <v>#NAME?</v>
      </c>
      <c r="DF63" s="2" t="e">
        <f ca="1">_xll.BDH($C$53,"INVTRY_RAW_MATERIALS","FY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63" s="2" t="e">
        <f ca="1">_xll.BDH($C$53,"INVTRY_IN_PROGRESS","FY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63" s="2" t="e">
        <f ca="1">_xll.BDH($C$53,"INVTRY_FINISHED_GOODS","FY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63" s="2" t="e">
        <f ca="1">_xll.BDH($C$53,"BS_OTHER_INV","FY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64" spans="1:113" x14ac:dyDescent="0.3">
      <c r="A64" s="6"/>
      <c r="B64" s="6"/>
      <c r="C64" s="6"/>
      <c r="D64" s="6"/>
      <c r="E64" t="s">
        <v>4</v>
      </c>
      <c r="F64" t="e">
        <f ca="1">_xll.BDH($C$53,"RETURN_COM_EQY","FQ1 2016","FQ1 2016","Currency=INR","Period=FQ","BEST_FPERIOD_OVERRIDE=FQ","FILING_STATUS=OR","EQY_CONSOLIDATED=Y","FA_ADJUSTED=GAAP","Sort=A","Dates=H","DateFormat=P","Fill=—","Direction=H","UseDPDF=Y")</f>
        <v>#NAME?</v>
      </c>
      <c r="G64" t="e">
        <f ca="1">_xll.BDH($C$53,"RETURN_ON_ASSET","FQ1 2016","FQ1 2016","Currency=INR","Period=FQ","BEST_FPERIOD_OVERRIDE=FQ","FILING_STATUS=OR","EQY_CONSOLIDATED=Y","FA_ADJUSTED=GAAP","Sort=A","Dates=H","DateFormat=P","Fill=—","Direction=H","UseDPDF=Y")</f>
        <v>#NAME?</v>
      </c>
      <c r="H64" t="e">
        <f ca="1">_xll.BDH($C$53,"RETURN_ON_CAP","FQ1 2016","FQ1 2016","Currency=INR","Period=FQ","BEST_FPERIOD_OVERRIDE=FQ","FILING_STATUS=OR","EQY_CONSOLIDATED=Y","FA_ADJUSTED=GAAP","Sort=A","Dates=H","DateFormat=P","Fill=—","Direction=H","UseDPDF=Y")</f>
        <v>#NAME?</v>
      </c>
      <c r="I64" t="e">
        <f ca="1">_xll.BDH($C$53,"RETURN_ON_INV_CAPITAL","FQ1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64" t="e">
        <f ca="1">_xll.BDH($C$53,"EBITDA_TO_REVENUE","FQ1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64" t="e">
        <f ca="1">_xll.BDH($C$53,"OPER_MARGIN","FQ1 2016","FQ1 2016","Currency=INR","Period=FQ","BEST_FPERIOD_OVERRIDE=FQ","FILING_STATUS=OR","EQY_CONSOLIDATED=Y","FA_ADJUSTED=GAAP","Sort=A","Dates=H","DateFormat=P","Fill=—","Direction=H","UseDPDF=Y")</f>
        <v>#NAME?</v>
      </c>
      <c r="L64" t="e">
        <f ca="1">_xll.BDH($C$53,"INCREMENTAL_OPERATING_MARGIN","FQ1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64" t="e">
        <f ca="1">_xll.BDH($C$53,"PRETAX_INC_TO_NET_SALES","FQ1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64" t="e">
        <f ca="1">_xll.BDH($C$53,"INC_BEF_XO_ITEMS_TO_NET_SALES","FQ1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64" t="e">
        <f ca="1">_xll.BDH($C$53,"PROF_MARGIN","FQ1 2016","FQ1 2016","Currency=INR","Period=FQ","BEST_FPERIOD_OVERRIDE=FQ","FILING_STATUS=OR","EQY_CONSOLIDATED=Y","FA_ADJUSTED=GAAP","Sort=A","Dates=H","DateFormat=P","Fill=—","Direction=H","UseDPDF=Y")</f>
        <v>#NAME?</v>
      </c>
      <c r="P64" t="e">
        <f ca="1">_xll.BDH($C$53,"NET_INCOME_TO_COMMON_MARGIN","FQ1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64" t="e">
        <f ca="1">_xll.BDH($C$53,"EFF_TAX_RATE","FQ1 2016","FQ1 2016","Currency=INR","Period=FQ","BEST_FPERIOD_OVERRIDE=FQ","FILING_STATUS=OR","EQY_CONSOLIDATED=Y","FA_ADJUSTED=GAAP","Sort=A","Dates=H","DateFormat=P","Fill=—","Direction=H","UseDPDF=Y")</f>
        <v>#NAME?</v>
      </c>
      <c r="R64" t="e">
        <f ca="1">_xll.BDH($C$53,"DVD_PAYOUT_RATIO","FQ1 2016","FQ1 2016","Currency=INR","Period=FQ","BEST_FPERIOD_OVERRIDE=FQ","FILING_STATUS=OR","EQY_CONSOLIDATED=Y","FA_ADJUSTED=GAAP","Sort=A","Dates=H","DateFormat=P","Fill=—","Direction=H","UseDPDF=Y")</f>
        <v>#NAME?</v>
      </c>
      <c r="S64" t="e">
        <f ca="1">_xll.BDH($C$53,"SUSTAIN_GROWTH_RT","FQ1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64" s="1" t="e">
        <f ca="1">_xll.BDH($C$53,"SALES_GROWTH","FQ1 2016","FQ1 2016","Currency=INR","Period=FQ","BEST_FPERIOD_OVERRIDE=FQ","FILING_STATUS=OR","EQY_CONSOLIDATED=Y","FA_ADJUSTED=GAAP","Sort=A","Dates=H","DateFormat=P","Fill=—","Direction=H","UseDPDF=Y")</f>
        <v>#NAME?</v>
      </c>
      <c r="U64" s="1" t="e">
        <f ca="1">_xll.BDH($C$53,"EBITDA_GROWTH","FQ1 2016","FQ1 2016","Currency=INR","Period=FQ","BEST_FPERIOD_OVERRIDE=FQ","FILING_STATUS=OR","EQY_CONSOLIDATED=Y","FA_ADJUSTED=GAAP","Sort=A","Dates=H","DateFormat=P","Fill=—","Direction=H","UseDPDF=Y")</f>
        <v>#NAME?</v>
      </c>
      <c r="V64" s="1" t="e">
        <f ca="1">_xll.BDH($C$53,"OPER_INC_GROWTH","FQ1 2016","FQ1 2016","Currency=INR","Period=FQ","BEST_FPERIOD_OVERRIDE=FQ","FILING_STATUS=OR","EQY_CONSOLIDATED=Y","FA_ADJUSTED=GAAP","Sort=A","Dates=H","DateFormat=P","Fill=—","Direction=H","UseDPDF=Y")</f>
        <v>#NAME?</v>
      </c>
      <c r="W64" s="1" t="e">
        <f ca="1">_xll.BDH($C$53,"EARN_FOR_COM_GROWTH","FQ1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64" s="1" t="e">
        <f ca="1">_xll.BDH($C$53,"DILUTED_EPS_AFT_XO_ITEMS_GROWTH","FQ1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64" s="1" t="e">
        <f ca="1">_xll.BDH($C$53,"DIVIDEND_PER_SHARE_1_YEAR_GROWTH","FQ1 2016","FQ1 2016","Currency=INR","Period=FQ","BEST_FPERIOD_OVERRIDE=FQ","FILING_STATUS=OR","EQY_CONSOLIDATED=Y","Sort=A","Dates=H","DateFormat=P","Fill=—","Direction=H","UseDPDF=Y")</f>
        <v>#NAME?</v>
      </c>
      <c r="Z64" s="1" t="e">
        <f ca="1">_xll.BDH($C$53,"ACCOUNTS_RECEIVABLE_GROWTH","FQ1 2016","FQ1 2016","Currency=INR","Period=FQ","BEST_FPERIOD_OVERRIDE=FQ","FILING_STATUS=OR","EQY_CONSOLIDATED=Y","Sort=A","Dates=H","DateFormat=P","Fill=—","Direction=H","UseDPDF=Y")</f>
        <v>#NAME?</v>
      </c>
      <c r="AA64" s="1" t="e">
        <f ca="1">_xll.BDH($C$53,"INVENTORY_GROWTH","FQ1 2016","FQ1 2016","Currency=INR","Period=FQ","BEST_FPERIOD_OVERRIDE=FQ","FILING_STATUS=OR","EQY_CONSOLIDATED=Y","Sort=A","Dates=H","DateFormat=P","Fill=—","Direction=H","UseDPDF=Y")</f>
        <v>#NAME?</v>
      </c>
      <c r="AB64" s="1" t="e">
        <f ca="1">_xll.BDH($C$53,"NET_FIXED_ASSETS_1_YEAR_GROWTH","FQ1 2016","FQ1 2016","Currency=INR","Period=FQ","BEST_FPERIOD_OVERRIDE=FQ","FILING_STATUS=OR","EQY_CONSOLIDATED=Y","Sort=A","Dates=H","DateFormat=P","Fill=—","Direction=H","UseDPDF=Y")</f>
        <v>#NAME?</v>
      </c>
      <c r="AC64" s="1" t="e">
        <f ca="1">_xll.BDH($C$53,"ASSET_GROWTH","FQ1 2016","FQ1 2016","Currency=INR","Period=FQ","BEST_FPERIOD_OVERRIDE=FQ","FILING_STATUS=OR","EQY_CONSOLIDATED=Y","Sort=A","Dates=H","DateFormat=P","Fill=—","Direction=H","UseDPDF=Y")</f>
        <v>#NAME?</v>
      </c>
      <c r="AD64" s="1" t="e">
        <f ca="1">_xll.BDH($C$53,"MODIFIED_WORK_CAP_GROWTH","FQ1 2016","FQ1 2016","Currency=INR","Period=FQ","BEST_FPERIOD_OVERRIDE=FQ","FILING_STATUS=OR","EQY_CONSOLIDATED=Y","Sort=A","Dates=H","DateFormat=P","Fill=—","Direction=H","UseDPDF=Y")</f>
        <v>#NAME?</v>
      </c>
      <c r="AE64" s="1" t="e">
        <f ca="1">_xll.BDH($C$53,"WORK_CAP_GROWTH","FQ1 2016","FQ1 2016","Currency=INR","Period=FQ","BEST_FPERIOD_OVERRIDE=FQ","FILING_STATUS=OR","EQY_CONSOLIDATED=Y","Sort=A","Dates=H","DateFormat=P","Fill=—","Direction=H","UseDPDF=Y")</f>
        <v>#NAME?</v>
      </c>
      <c r="AF64" s="1" t="e">
        <f ca="1">_xll.BDH($C$53,"ACCOUNTS_PAYABLE_GROWTH_1YR","FQ1 2016","FQ1 2016","Currency=INR","Period=FQ","BEST_FPERIOD_OVERRIDE=FQ","FILING_STATUS=OR","EQY_CONSOLIDATED=Y","Sort=A","Dates=H","DateFormat=P","Fill=—","Direction=H","UseDPDF=Y")</f>
        <v>#NAME?</v>
      </c>
      <c r="AG64" s="1" t="e">
        <f ca="1">_xll.BDH($C$53,"SHORT_TERM_DEBT_1_YEAR_GROWTH","FQ1 2016","FQ1 2016","Currency=INR","Period=FQ","BEST_FPERIOD_OVERRIDE=FQ","FILING_STATUS=OR","EQY_CONSOLIDATED=Y","Sort=A","Dates=H","DateFormat=P","Fill=—","Direction=H","UseDPDF=Y")</f>
        <v>#NAME?</v>
      </c>
      <c r="AH64" s="1" t="e">
        <f ca="1">_xll.BDH($C$53,"TOTAL_DEBT_1_YEAR_GROWTH","FQ1 2016","FQ1 2016","Currency=INR","Period=FQ","BEST_FPERIOD_OVERRIDE=FQ","FILING_STATUS=OR","EQY_CONSOLIDATED=Y","Sort=A","Dates=H","DateFormat=P","Fill=—","Direction=H","UseDPDF=Y")</f>
        <v>#NAME?</v>
      </c>
      <c r="AI64" s="1" t="e">
        <f ca="1">_xll.BDH($C$53,"TOTAL_EQUITY_1_YEAR_GROWTH","FQ1 2016","FQ1 2016","Currency=INR","Period=FQ","BEST_FPERIOD_OVERRIDE=FQ","FILING_STATUS=OR","EQY_CONSOLIDATED=Y","Sort=A","Dates=H","DateFormat=P","Fill=—","Direction=H","UseDPDF=Y")</f>
        <v>#NAME?</v>
      </c>
      <c r="AJ64" s="1" t="e">
        <f ca="1">_xll.BDH($C$53,"GROWTH_IN_CAP","FQ1 2016","FQ1 2016","Currency=INR","Period=FQ","BEST_FPERIOD_OVERRIDE=FQ","FILING_STATUS=OR","EQY_CONSOLIDATED=Y","Sort=A","Dates=H","DateFormat=P","Fill=—","Direction=H","UseDPDF=Y")</f>
        <v>#NAME?</v>
      </c>
      <c r="AK64" s="1" t="e">
        <f ca="1">_xll.BDH($C$53,"BVPS_GROWTH","FQ1 2016","FQ1 2016","Currency=INR","Period=FQ","BEST_FPERIOD_OVERRIDE=FQ","FILING_STATUS=OR","EQY_CONSOLIDATED=Y","Sort=A","Dates=H","DateFormat=P","Fill=—","Direction=H","UseDPDF=Y")</f>
        <v>#NAME?</v>
      </c>
      <c r="AL64" s="1" t="e">
        <f ca="1">_xll.BDH($C$53,"CASH_FLOW_GROWTH","FQ1 2016","FQ1 2016","Currency=INR","Period=FQ","BEST_FPERIOD_OVERRIDE=FQ","FILING_STATUS=OR","EQY_CONSOLIDATED=Y","Sort=A","Dates=H","DateFormat=P","Fill=—","Direction=H","UseDPDF=Y")</f>
        <v>#NAME?</v>
      </c>
      <c r="AM64" s="1" t="e">
        <f ca="1">_xll.BDH($C$53,"GEO_GROW_NET_SALES","FQ1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64" s="1" t="e">
        <f ca="1">_xll.BDH($C$53,"GEO_GROW_EBITDA","FQ1 2016","FQ1 2016","Currency=INR","Period=FQ","BEST_FPERIOD_OVERRIDE=FQ","FILING_STATUS=OR","EQY_CONSOLIDATED=Y","FA_ADJUSTED=GAAP","Sort=A","Dates=H","DateFormat=P","Fill=—","Direction=H","UseDPDF=Y")</f>
        <v>#NAME?</v>
      </c>
      <c r="AO64" s="1" t="e">
        <f ca="1">_xll.BDH($C$53,"GEO_GROW_OPER_INC","FQ1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64" s="1" t="e">
        <f ca="1">_xll.BDH($C$53,"NET_INCOME_TO_COMMON_5_YR_GROWTH","FQ1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64" s="1" t="e">
        <f ca="1">_xll.BDH($C$53,"5Y_GEO_GROWTH_DILUTED_EPS","FQ1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64" s="1" t="e">
        <f ca="1">_xll.BDH($C$53,"GEO_GROW_DVD_PER_SH","FQ1 2016","FQ1 2016","Currency=INR","Period=FQ","BEST_FPERIOD_OVERRIDE=FQ","FILING_STATUS=OR","EQY_CONSOLIDATED=Y","Sort=A","Dates=H","DateFormat=P","Fill=—","Direction=H","UseDPDF=Y")</f>
        <v>#NAME?</v>
      </c>
      <c r="AS64" s="1" t="e">
        <f ca="1">_xll.BDH($C$53,"ACCOUNTS_RECEIVABLE_5_YR_GROWTH","FQ1 2016","FQ1 2016","Currency=INR","Period=FQ","BEST_FPERIOD_OVERRIDE=FQ","FILING_STATUS=OR","EQY_CONSOLIDATED=Y","Sort=A","Dates=H","DateFormat=P","Fill=—","Direction=H","UseDPDF=Y")</f>
        <v>#NAME?</v>
      </c>
      <c r="AT64" s="1" t="e">
        <f ca="1">_xll.BDH($C$53,"INVENTORY_5_YEAR_GROWTH","FQ1 2016","FQ1 2016","Currency=INR","Period=FQ","BEST_FPERIOD_OVERRIDE=FQ","FILING_STATUS=OR","EQY_CONSOLIDATED=Y","Sort=A","Dates=H","DateFormat=P","Fill=—","Direction=H","UseDPDF=Y")</f>
        <v>#NAME?</v>
      </c>
      <c r="AU64" s="1" t="e">
        <f ca="1">_xll.BDH($C$53,"NET_FIXED_ASSETS_5_YEAR_GROWTH","FQ1 2016","FQ1 2016","Currency=INR","Period=FQ","BEST_FPERIOD_OVERRIDE=FQ","FILING_STATUS=OR","EQY_CONSOLIDATED=Y","Sort=A","Dates=H","DateFormat=P","Fill=—","Direction=H","UseDPDF=Y")</f>
        <v>#NAME?</v>
      </c>
      <c r="AV64" s="1" t="e">
        <f ca="1">_xll.BDH($C$53,"GEO_GROW_TOT_ASSET","FQ1 2016","FQ1 2016","Currency=INR","Period=FQ","BEST_FPERIOD_OVERRIDE=FQ","FILING_STATUS=OR","EQY_CONSOLIDATED=Y","Sort=A","Dates=H","DateFormat=P","Fill=—","Direction=H","UseDPDF=Y")</f>
        <v>#NAME?</v>
      </c>
      <c r="AW64" s="1" t="e">
        <f ca="1">_xll.BDH($C$53,"MODIFIED_WORKING_CPTL_5YR_GRWTH","FQ1 2016","FQ1 2016","Currency=INR","Period=FQ","BEST_FPERIOD_OVERRIDE=FQ","FILING_STATUS=OR","EQY_CONSOLIDATED=Y","Sort=A","Dates=H","DateFormat=P","Fill=—","Direction=H","UseDPDF=Y")</f>
        <v>#NAME?</v>
      </c>
      <c r="AX64" s="1" t="e">
        <f ca="1">_xll.BDH($C$53,"WORKING_CAPITAL_5_YEAR_GROWTH","FQ1 2016","FQ1 2016","Currency=INR","Period=FQ","BEST_FPERIOD_OVERRIDE=FQ","FILING_STATUS=OR","EQY_CONSOLIDATED=Y","Sort=A","Dates=H","DateFormat=P","Fill=—","Direction=H","UseDPDF=Y")</f>
        <v>#NAME?</v>
      </c>
      <c r="AY64" s="1" t="e">
        <f ca="1">_xll.BDH($C$53,"ACCOUNTS_PAYABLE_5_YEAR_GROWTH","FQ1 2016","FQ1 2016","Currency=INR","Period=FQ","BEST_FPERIOD_OVERRIDE=FQ","FILING_STATUS=OR","EQY_CONSOLIDATED=Y","Sort=A","Dates=H","DateFormat=P","Fill=—","Direction=H","UseDPDF=Y")</f>
        <v>#NAME?</v>
      </c>
      <c r="AZ64" s="1" t="e">
        <f ca="1">_xll.BDH($C$53,"SHORT_TERM_DEBT_5_YEAR_GROWTH","FQ1 2016","FQ1 2016","Currency=INR","Period=FQ","BEST_FPERIOD_OVERRIDE=FQ","FILING_STATUS=OR","EQY_CONSOLIDATED=Y","Sort=A","Dates=H","DateFormat=P","Fill=—","Direction=H","UseDPDF=Y")</f>
        <v>#NAME?</v>
      </c>
      <c r="BA64" s="1" t="e">
        <f ca="1">_xll.BDH($C$53,"TOTAL_DEBT_5_YEAR_GROWTH","FQ1 2016","FQ1 2016","Currency=INR","Period=FQ","BEST_FPERIOD_OVERRIDE=FQ","FILING_STATUS=OR","EQY_CONSOLIDATED=Y","Sort=A","Dates=H","DateFormat=P","Fill=—","Direction=H","UseDPDF=Y")</f>
        <v>#NAME?</v>
      </c>
      <c r="BB64" s="1" t="e">
        <f ca="1">_xll.BDH($C$53,"GEO_GROW_TOT_SHRHLDR_EQY","FQ1 2016","FQ1 2016","Currency=INR","Period=FQ","BEST_FPERIOD_OVERRIDE=FQ","FILING_STATUS=OR","EQY_CONSOLIDATED=Y","Sort=A","Dates=H","DateFormat=P","Fill=—","Direction=H","UseDPDF=Y")</f>
        <v>#NAME?</v>
      </c>
      <c r="BC64" s="1" t="e">
        <f ca="1">_xll.BDH($C$53,"TOTAL_CAPITAL_5_YEAR_GROWTH","FQ1 2016","FQ1 2016","Currency=INR","Period=FQ","BEST_FPERIOD_OVERRIDE=FQ","FILING_STATUS=OR","EQY_CONSOLIDATED=Y","Sort=A","Dates=H","DateFormat=P","Fill=—","Direction=H","UseDPDF=Y")</f>
        <v>#NAME?</v>
      </c>
      <c r="BD64" s="1" t="e">
        <f ca="1">_xll.BDH($C$53,"GEO_GROW_BOOK_VAL","FQ1 2016","FQ1 2016","Currency=INR","Period=FQ","BEST_FPERIOD_OVERRIDE=FQ","FILING_STATUS=OR","EQY_CONSOLIDATED=Y","Sort=A","Dates=H","DateFormat=P","Fill=—","Direction=H","UseDPDF=Y")</f>
        <v>#NAME?</v>
      </c>
      <c r="BE64" s="1" t="e">
        <f ca="1">_xll.BDH($C$53,"GEO_GROW_CASH_OPER_ACT","FQ1 2016","FQ1 2016","Currency=INR","Period=FQ","BEST_FPERIOD_OVERRIDE=FQ","FILING_STATUS=OR","EQY_CONSOLIDATED=Y","Sort=A","Dates=H","DateFormat=P","Fill=—","Direction=H","UseDPDF=Y")</f>
        <v>#NAME?</v>
      </c>
      <c r="BF64" s="1" t="e">
        <f ca="1">_xll.BDH($C$53,"REVENUE_SEQUENTIAL_GROWTH","FQ1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64" s="1" t="e">
        <f ca="1">_xll.BDH($C$53,"EBITDA_SEQUENTIAL_GROWTH","FQ1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64" s="1" t="e">
        <f ca="1">_xll.BDH($C$53,"OPERATING_INCOME_SEQ_GROWTH","FQ1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64" s="1" t="e">
        <f ca="1">_xll.BDH($C$53,"NET_INCOME_TO_COMMON_SEQ_GROWTH","FQ1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64" s="1" t="e">
        <f ca="1">_xll.BDH($C$53,"EPS_DILUTED_SEQUENTIAL_GROWTH","FQ1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64" s="1" t="e">
        <f ca="1">_xll.BDH($C$53,"DPS_SEQUENTIAL_GROWTH","FQ1 2016","FQ1 2016","Currency=INR","Period=FQ","BEST_FPERIOD_OVERRIDE=FQ","FILING_STATUS=OR","EQY_CONSOLIDATED=Y","Sort=A","Dates=H","DateFormat=P","Fill=—","Direction=H","UseDPDF=Y")</f>
        <v>#NAME?</v>
      </c>
      <c r="BL64" s="1" t="e">
        <f ca="1">_xll.BDH($C$53,"ACCOUNTS_RECEIVABLE_SEQ_GROWTH","FQ1 2016","FQ1 2016","Currency=INR","Period=FQ","BEST_FPERIOD_OVERRIDE=FQ","FILING_STATUS=OR","EQY_CONSOLIDATED=Y","Sort=A","Dates=H","DateFormat=P","Fill=—","Direction=H","UseDPDF=Y")</f>
        <v>#NAME?</v>
      </c>
      <c r="BM64" s="1" t="e">
        <f ca="1">_xll.BDH($C$53,"INVENTORY_SEQUENTIAL_GROWTH","FQ1 2016","FQ1 2016","Currency=INR","Period=FQ","BEST_FPERIOD_OVERRIDE=FQ","FILING_STATUS=OR","EQY_CONSOLIDATED=Y","Sort=A","Dates=H","DateFormat=P","Fill=—","Direction=H","UseDPDF=Y")</f>
        <v>#NAME?</v>
      </c>
      <c r="BN64" s="1" t="e">
        <f ca="1">_xll.BDH($C$53,"FIXED_ASSETS_SEQUENTIAL_GROWTH","FQ1 2016","FQ1 2016","Currency=INR","Period=FQ","BEST_FPERIOD_OVERRIDE=FQ","FILING_STATUS=OR","EQY_CONSOLIDATED=Y","Sort=A","Dates=H","DateFormat=P","Fill=—","Direction=H","UseDPDF=Y")</f>
        <v>#NAME?</v>
      </c>
      <c r="BO64" s="1" t="e">
        <f ca="1">_xll.BDH($C$53,"TOTAL_ASSETS_SEQUENTIAL_GROWTH","FQ1 2016","FQ1 2016","Currency=INR","Period=FQ","BEST_FPERIOD_OVERRIDE=FQ","FILING_STATUS=OR","EQY_CONSOLIDATED=Y","Sort=A","Dates=H","DateFormat=P","Fill=—","Direction=H","UseDPDF=Y")</f>
        <v>#NAME?</v>
      </c>
      <c r="BP64" s="1" t="e">
        <f ca="1">_xll.BDH($C$53,"MODIFIED_WORKING_CPTL_SEQ_GRWTH","FQ1 2016","FQ1 2016","Currency=INR","Period=FQ","BEST_FPERIOD_OVERRIDE=FQ","FILING_STATUS=OR","EQY_CONSOLIDATED=Y","Sort=A","Dates=H","DateFormat=P","Fill=—","Direction=H","UseDPDF=Y")</f>
        <v>#NAME?</v>
      </c>
      <c r="BQ64" s="1" t="e">
        <f ca="1">_xll.BDH($C$53,"WORKING_CAPITAL_SEQ_GROWTH","FQ1 2016","FQ1 2016","Currency=INR","Period=FQ","BEST_FPERIOD_OVERRIDE=FQ","FILING_STATUS=OR","EQY_CONSOLIDATED=Y","Sort=A","Dates=H","DateFormat=P","Fill=—","Direction=H","UseDPDF=Y")</f>
        <v>#NAME?</v>
      </c>
      <c r="BR64" s="1" t="e">
        <f ca="1">_xll.BDH($C$53,"ACCOUNTS_PAYABLE_SEQ_GROWTH","FQ1 2016","FQ1 2016","Currency=INR","Period=FQ","BEST_FPERIOD_OVERRIDE=FQ","FILING_STATUS=OR","EQY_CONSOLIDATED=Y","Sort=A","Dates=H","DateFormat=P","Fill=—","Direction=H","UseDPDF=Y")</f>
        <v>#NAME?</v>
      </c>
      <c r="BS64" s="1" t="e">
        <f ca="1">_xll.BDH($C$53,"ST_DEBT_SEQUENTIAL_GROWTH","FQ1 2016","FQ1 2016","Currency=INR","Period=FQ","BEST_FPERIOD_OVERRIDE=FQ","FILING_STATUS=OR","EQY_CONSOLIDATED=Y","Sort=A","Dates=H","DateFormat=P","Fill=—","Direction=H","UseDPDF=Y")</f>
        <v>#NAME?</v>
      </c>
      <c r="BT64" s="1" t="e">
        <f ca="1">_xll.BDH($C$53,"TOTAL_DEBT_SEQUENTIAL_GROWTH","FQ1 2016","FQ1 2016","Currency=INR","Period=FQ","BEST_FPERIOD_OVERRIDE=FQ","FILING_STATUS=OR","EQY_CONSOLIDATED=Y","Sort=A","Dates=H","DateFormat=P","Fill=—","Direction=H","UseDPDF=Y")</f>
        <v>#NAME?</v>
      </c>
      <c r="BU64" s="1" t="e">
        <f ca="1">_xll.BDH($C$53,"TOTAL_EQUITY_SEQUENTIAL_GROWTH","FQ1 2016","FQ1 2016","Currency=INR","Period=FQ","BEST_FPERIOD_OVERRIDE=FQ","FILING_STATUS=OR","EQY_CONSOLIDATED=Y","Sort=A","Dates=H","DateFormat=P","Fill=—","Direction=H","UseDPDF=Y")</f>
        <v>#NAME?</v>
      </c>
      <c r="BV64" s="1" t="e">
        <f ca="1">_xll.BDH($C$53,"TOTAL_CAPITAL_SEQUENTIAL_GROWTH","FQ1 2016","FQ1 2016","Currency=INR","Period=FQ","BEST_FPERIOD_OVERRIDE=FQ","FILING_STATUS=OR","EQY_CONSOLIDATED=Y","Sort=A","Dates=H","DateFormat=P","Fill=—","Direction=H","UseDPDF=Y")</f>
        <v>#NAME?</v>
      </c>
      <c r="BW64" s="1" t="e">
        <f ca="1">_xll.BDH($C$53,"BPS_SEQUENTIAL_GROWTH","FQ1 2016","FQ1 2016","Currency=INR","Period=FQ","BEST_FPERIOD_OVERRIDE=FQ","FILING_STATUS=OR","EQY_CONSOLIDATED=Y","Sort=A","Dates=H","DateFormat=P","Fill=—","Direction=H","UseDPDF=Y")</f>
        <v>#NAME?</v>
      </c>
      <c r="BX64" s="1" t="e">
        <f ca="1">_xll.BDH($C$53,"CFO_SEQUENTIAL_GROWTH","FQ1 2016","FQ1 2016","Currency=INR","Period=FQ","BEST_FPERIOD_OVERRIDE=FQ","FILING_STATUS=OR","EQY_CONSOLIDATED=Y","Sort=A","Dates=H","DateFormat=P","Fill=—","Direction=H","UseDPDF=Y")</f>
        <v>#NAME?</v>
      </c>
      <c r="BY64" s="2" t="e">
        <f ca="1">_xll.BDH($C$53,"SHORT_AND_LONG_TERM_DEBT","FQ1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64" s="2" t="e">
        <f ca="1">_xll.BDH($C$53,"BS_ST_BORROW","FQ1 2016","FQ1 2016","Currency=INR","Period=FQ","BEST_FPERIOD_OVERRIDE=FQ","FILING_STATUS=OR","EQY_CONSOLIDATED=Y","SCALING_FORMAT=MLN","Sort=A","Dates=H","DateFormat=P","Fill=—","Direction=H","UseDPDF=Y")</f>
        <v>#NAME?</v>
      </c>
      <c r="CA64" s="2" t="e">
        <f ca="1">_xll.BDH($C$53,"BS_LT_BORROW","FQ1 2016","FQ1 2016","Currency=INR","Period=FQ","BEST_FPERIOD_OVERRIDE=FQ","FILING_STATUS=OR","EQY_CONSOLIDATED=Y","SCALING_FORMAT=MLN","Sort=A","Dates=H","DateFormat=P","Fill=—","Direction=H","UseDPDF=Y")</f>
        <v>#NAME?</v>
      </c>
      <c r="CB64" s="1" t="e">
        <f ca="1">_xll.BDH($C$53,"TOT_DEBT_TO_EBITDA","FQ1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64" s="1" t="e">
        <f ca="1">_xll.BDH($C$53,"NET_DEBT_TO_EBITDA","FQ1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64" s="1" t="e">
        <f ca="1">_xll.BDH($C$53,"TOTAL_DEBT_TO_EBIT","FQ1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64" s="1" t="e">
        <f ca="1">_xll.BDH($C$53,"NET_DEBT_TO_EBIT","FQ1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64" s="1" t="e">
        <f ca="1">_xll.BDH($C$53,"EBITDA_TO_INTEREST_EXPN","FQ1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64" s="1" t="e">
        <f ca="1">_xll.BDH($C$53,"COM_EQY_TO_TOT_ASSET","FQ1 2016","FQ1 2016","Currency=INR","Period=FQ","BEST_FPERIOD_OVERRIDE=FQ","FILING_STATUS=OR","EQY_CONSOLIDATED=Y","Sort=A","Dates=H","DateFormat=P","Fill=—","Direction=H","UseDPDF=Y")</f>
        <v>#NAME?</v>
      </c>
      <c r="CH64" s="1" t="e">
        <f ca="1">_xll.BDH($C$53,"LT_DEBT_TO_TOT_EQY","FQ1 2016","FQ1 2016","Currency=INR","Period=FQ","BEST_FPERIOD_OVERRIDE=FQ","FILING_STATUS=OR","EQY_CONSOLIDATED=Y","Sort=A","Dates=H","DateFormat=P","Fill=—","Direction=H","UseDPDF=Y")</f>
        <v>#NAME?</v>
      </c>
      <c r="CI64" s="1" t="e">
        <f ca="1">_xll.BDH($C$53,"LT_DEBT_TO_TOT_CAP","FQ1 2016","FQ1 2016","Currency=INR","Period=FQ","BEST_FPERIOD_OVERRIDE=FQ","FILING_STATUS=OR","EQY_CONSOLIDATED=Y","Sort=A","Dates=H","DateFormat=P","Fill=—","Direction=H","UseDPDF=Y")</f>
        <v>#NAME?</v>
      </c>
      <c r="CJ64" s="1" t="e">
        <f ca="1">_xll.BDH($C$53,"LT_DEBT_TO_TOT_ASSET","FQ1 2016","FQ1 2016","Currency=INR","Period=FQ","BEST_FPERIOD_OVERRIDE=FQ","FILING_STATUS=OR","EQY_CONSOLIDATED=Y","Sort=A","Dates=H","DateFormat=P","Fill=—","Direction=H","UseDPDF=Y")</f>
        <v>#NAME?</v>
      </c>
      <c r="CK64" s="1" t="e">
        <f ca="1">_xll.BDH($C$53,"TOT_DEBT_TO_TOT_EQY","FQ1 2016","FQ1 2016","Currency=INR","Period=FQ","BEST_FPERIOD_OVERRIDE=FQ","FILING_STATUS=OR","EQY_CONSOLIDATED=Y","Sort=A","Dates=H","DateFormat=P","Fill=—","Direction=H","UseDPDF=Y")</f>
        <v>#NAME?</v>
      </c>
      <c r="CL64" s="1" t="e">
        <f ca="1">_xll.BDH($C$53,"TOT_DEBT_TO_TOT_CAP","FQ1 2016","FQ1 2016","Currency=INR","Period=FQ","BEST_FPERIOD_OVERRIDE=FQ","FILING_STATUS=OR","EQY_CONSOLIDATED=Y","Sort=A","Dates=H","DateFormat=P","Fill=—","Direction=H","UseDPDF=Y")</f>
        <v>#NAME?</v>
      </c>
      <c r="CM64" s="1" t="e">
        <f ca="1">_xll.BDH($C$53,"TOT_DEBT_TO_TOT_ASSET","FQ1 2016","FQ1 2016","Currency=INR","Period=FQ","BEST_FPERIOD_OVERRIDE=FQ","FILING_STATUS=OR","EQY_CONSOLIDATED=Y","Sort=A","Dates=H","DateFormat=P","Fill=—","Direction=H","UseDPDF=Y")</f>
        <v>#NAME?</v>
      </c>
      <c r="CN64" s="1" t="e">
        <f ca="1">_xll.BDH($C$53,"NET_DEBT_TO_SHRHLDR_EQTY","FQ1 2016","FQ1 2016","Currency=INR","Period=FQ","BEST_FPERIOD_OVERRIDE=FQ","FILING_STATUS=OR","EQY_CONSOLIDATED=Y","Sort=A","Dates=H","DateFormat=P","Fill=—","Direction=H","UseDPDF=Y")</f>
        <v>#NAME?</v>
      </c>
      <c r="CO64" s="1" t="e">
        <f ca="1">_xll.BDH($C$53,"NET_DEBT_%_CAPITAL","FQ1 2016","FQ1 2016","Currency=INR","Period=FQ","BEST_FPERIOD_OVERRIDE=FQ","FILING_STATUS=OR","EQY_CONSOLIDATED=Y","Sort=A","Dates=H","DateFormat=P","Fill=—","Direction=H","UseDPDF=Y")</f>
        <v>#NAME?</v>
      </c>
      <c r="CP64" s="2" t="e">
        <f ca="1">_xll.BDH($C$53,"EBITDA","FQ1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64" s="2" t="e">
        <f ca="1">_xll.BDH($C$53,"EBITDA_AFTER_CAPEX","FQ1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64" s="2" t="e">
        <f ca="1">_xll.BDH($C$53,"IS_OPER_INC","FQ1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64" s="1" t="e">
        <f ca="1">_xll.BDH($C$53,"CASH_RATIO","FQ1 2016","FQ1 2016","Currency=INR","Period=FQ","BEST_FPERIOD_OVERRIDE=FQ","FILING_STATUS=OR","EQY_CONSOLIDATED=Y","Sort=A","Dates=H","DateFormat=P","Fill=—","Direction=H","UseDPDF=Y")</f>
        <v>#NAME?</v>
      </c>
      <c r="CT64" s="1" t="e">
        <f ca="1">_xll.BDH($C$53,"CUR_RATIO","FQ1 2016","FQ1 2016","Currency=INR","Period=FQ","BEST_FPERIOD_OVERRIDE=FQ","FILING_STATUS=OR","EQY_CONSOLIDATED=Y","Sort=A","Dates=H","DateFormat=P","Fill=—","Direction=H","UseDPDF=Y")</f>
        <v>#NAME?</v>
      </c>
      <c r="CU64" s="1" t="e">
        <f ca="1">_xll.BDH($C$53,"QUICK_RATIO","FQ1 2016","FQ1 2016","Currency=INR","Period=FQ","BEST_FPERIOD_OVERRIDE=FQ","FILING_STATUS=OR","EQY_CONSOLIDATED=Y","Sort=A","Dates=H","DateFormat=P","Fill=—","Direction=H","UseDPDF=Y")</f>
        <v>#NAME?</v>
      </c>
      <c r="CV64" s="1" t="e">
        <f ca="1">_xll.BDH($C$53,"ALTMAN_Z_SCORE","FQ1 2016","FQ1 2016","Currency=INR","Period=FQ","BEST_FPERIOD_OVERRIDE=FQ","FILING_STATUS=OR","EQY_CONSOLIDATED=Y","Sort=A","Dates=H","DateFormat=P","Fill=—","Direction=H","UseDPDF=Y")</f>
        <v>#NAME?</v>
      </c>
      <c r="CW64" s="3" t="e">
        <f ca="1">_xll.BDH($C$53,"ACCT_RCV_TURN","FQ1 2016","FQ1 2016","Currency=INR","Period=FQ","BEST_FPERIOD_OVERRIDE=FQ","FILING_STATUS=OR","EQY_CONSOLIDATED=Y","FA_ADJUSTED=GAAP","Sort=A","Dates=H","DateFormat=P","Fill=—","Direction=H","UseDPDF=Y")</f>
        <v>#NAME?</v>
      </c>
      <c r="CX64" s="1" t="e">
        <f ca="1">_xll.BDH($C$53,"ACCT_RCV_DAYS","FQ1 2016","FQ1 2016","Currency=INR","Period=FQ","BEST_FPERIOD_OVERRIDE=FQ","FILING_STATUS=OR","EQY_CONSOLIDATED=Y","FA_ADJUSTED=GAAP","Sort=A","Dates=H","DateFormat=P","Fill=—","Direction=H","UseDPDF=Y")</f>
        <v>#NAME?</v>
      </c>
      <c r="CY64" s="3" t="e">
        <f ca="1">_xll.BDH($C$53,"INVENT_TURN","FQ1 2016","FQ1 2016","Currency=INR","Period=FQ","BEST_FPERIOD_OVERRIDE=FQ","FILING_STATUS=OR","EQY_CONSOLIDATED=Y","FA_ADJUSTED=GAAP","Sort=A","Dates=H","DateFormat=P","Fill=—","Direction=H","UseDPDF=Y")</f>
        <v>#NAME?</v>
      </c>
      <c r="CZ64" s="1" t="e">
        <f ca="1">_xll.BDH($C$53,"INVENT_DAYS","FQ1 2016","FQ1 2016","Currency=INR","Period=FQ","BEST_FPERIOD_OVERRIDE=FQ","FILING_STATUS=OR","EQY_CONSOLIDATED=Y","FA_ADJUSTED=GAAP","Sort=A","Dates=H","DateFormat=P","Fill=—","Direction=H","UseDPDF=Y")</f>
        <v>#NAME?</v>
      </c>
      <c r="DA64" s="3" t="e">
        <f ca="1">_xll.BDH($C$53,"ACCOUNTS_PAYABLE_TURNOVER","FQ1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64" s="1" t="e">
        <f ca="1">_xll.BDH($C$53,"ACCOUNTS_PAYABLE_TURNOVER_DAYS","FQ1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64" s="3" t="e">
        <f ca="1">_xll.BDH($C$53,"CASH_CONVERSION_CYCLE","FQ1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64" s="3" t="e">
        <f ca="1">_xll.BDH($C$53,"INV_TO_CASH_DAYS","FQ1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64" s="4" t="e">
        <f ca="1">_xll.BDH($C$53,"BS_INVENTORIES","FQ1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64" s="2" t="e">
        <f ca="1">_xll.BDH($C$53,"INVTRY_RAW_MATERIALS","FQ1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64" s="2" t="e">
        <f ca="1">_xll.BDH($C$53,"INVTRY_IN_PROGRESS","FQ1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64" s="2" t="e">
        <f ca="1">_xll.BDH($C$53,"INVTRY_FINISHED_GOODS","FQ1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64" s="2" t="e">
        <f ca="1">_xll.BDH($C$53,"BS_OTHER_INV","FQ1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65" spans="1:113" x14ac:dyDescent="0.3">
      <c r="A65" s="6"/>
      <c r="B65" s="6"/>
      <c r="C65" s="6"/>
      <c r="D65" s="6"/>
      <c r="E65" t="s">
        <v>5</v>
      </c>
      <c r="F65" t="e">
        <f ca="1">_xll.BDH($C$53,"RETURN_COM_EQY","FQ2 2016","FQ2 2016","Currency=INR","Period=FQ","BEST_FPERIOD_OVERRIDE=FQ","FILING_STATUS=OR","EQY_CONSOLIDATED=Y","FA_ADJUSTED=GAAP","Sort=A","Dates=H","DateFormat=P","Fill=—","Direction=H","UseDPDF=Y")</f>
        <v>#NAME?</v>
      </c>
      <c r="G65" t="e">
        <f ca="1">_xll.BDH($C$53,"RETURN_ON_ASSET","FQ2 2016","FQ2 2016","Currency=INR","Period=FQ","BEST_FPERIOD_OVERRIDE=FQ","FILING_STATUS=OR","EQY_CONSOLIDATED=Y","FA_ADJUSTED=GAAP","Sort=A","Dates=H","DateFormat=P","Fill=—","Direction=H","UseDPDF=Y")</f>
        <v>#NAME?</v>
      </c>
      <c r="H65" t="e">
        <f ca="1">_xll.BDH($C$53,"RETURN_ON_CAP","FQ2 2016","FQ2 2016","Currency=INR","Period=FQ","BEST_FPERIOD_OVERRIDE=FQ","FILING_STATUS=OR","EQY_CONSOLIDATED=Y","FA_ADJUSTED=GAAP","Sort=A","Dates=H","DateFormat=P","Fill=—","Direction=H","UseDPDF=Y")</f>
        <v>#NAME?</v>
      </c>
      <c r="I65" t="e">
        <f ca="1">_xll.BDH($C$53,"RETURN_ON_INV_CAPITAL","FQ2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65" t="e">
        <f ca="1">_xll.BDH($C$53,"EBITDA_TO_REVENUE","FQ2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65" t="e">
        <f ca="1">_xll.BDH($C$53,"OPER_MARGIN","FQ2 2016","FQ2 2016","Currency=INR","Period=FQ","BEST_FPERIOD_OVERRIDE=FQ","FILING_STATUS=OR","EQY_CONSOLIDATED=Y","FA_ADJUSTED=GAAP","Sort=A","Dates=H","DateFormat=P","Fill=—","Direction=H","UseDPDF=Y")</f>
        <v>#NAME?</v>
      </c>
      <c r="L65" t="e">
        <f ca="1">_xll.BDH($C$53,"INCREMENTAL_OPERATING_MARGIN","FQ2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65" t="e">
        <f ca="1">_xll.BDH($C$53,"PRETAX_INC_TO_NET_SALES","FQ2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65" t="e">
        <f ca="1">_xll.BDH($C$53,"INC_BEF_XO_ITEMS_TO_NET_SALES","FQ2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65" t="e">
        <f ca="1">_xll.BDH($C$53,"PROF_MARGIN","FQ2 2016","FQ2 2016","Currency=INR","Period=FQ","BEST_FPERIOD_OVERRIDE=FQ","FILING_STATUS=OR","EQY_CONSOLIDATED=Y","FA_ADJUSTED=GAAP","Sort=A","Dates=H","DateFormat=P","Fill=—","Direction=H","UseDPDF=Y")</f>
        <v>#NAME?</v>
      </c>
      <c r="P65" t="e">
        <f ca="1">_xll.BDH($C$53,"NET_INCOME_TO_COMMON_MARGIN","FQ2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65" t="e">
        <f ca="1">_xll.BDH($C$53,"EFF_TAX_RATE","FQ2 2016","FQ2 2016","Currency=INR","Period=FQ","BEST_FPERIOD_OVERRIDE=FQ","FILING_STATUS=OR","EQY_CONSOLIDATED=Y","FA_ADJUSTED=GAAP","Sort=A","Dates=H","DateFormat=P","Fill=—","Direction=H","UseDPDF=Y")</f>
        <v>#NAME?</v>
      </c>
      <c r="R65" t="e">
        <f ca="1">_xll.BDH($C$53,"DVD_PAYOUT_RATIO","FQ2 2016","FQ2 2016","Currency=INR","Period=FQ","BEST_FPERIOD_OVERRIDE=FQ","FILING_STATUS=OR","EQY_CONSOLIDATED=Y","FA_ADJUSTED=GAAP","Sort=A","Dates=H","DateFormat=P","Fill=—","Direction=H","UseDPDF=Y")</f>
        <v>#NAME?</v>
      </c>
      <c r="S65" t="e">
        <f ca="1">_xll.BDH($C$53,"SUSTAIN_GROWTH_RT","FQ2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65" s="1" t="e">
        <f ca="1">_xll.BDH($C$53,"SALES_GROWTH","FQ2 2016","FQ2 2016","Currency=INR","Period=FQ","BEST_FPERIOD_OVERRIDE=FQ","FILING_STATUS=OR","EQY_CONSOLIDATED=Y","FA_ADJUSTED=GAAP","Sort=A","Dates=H","DateFormat=P","Fill=—","Direction=H","UseDPDF=Y")</f>
        <v>#NAME?</v>
      </c>
      <c r="U65" s="1" t="e">
        <f ca="1">_xll.BDH($C$53,"EBITDA_GROWTH","FQ2 2016","FQ2 2016","Currency=INR","Period=FQ","BEST_FPERIOD_OVERRIDE=FQ","FILING_STATUS=OR","EQY_CONSOLIDATED=Y","FA_ADJUSTED=GAAP","Sort=A","Dates=H","DateFormat=P","Fill=—","Direction=H","UseDPDF=Y")</f>
        <v>#NAME?</v>
      </c>
      <c r="V65" s="1" t="e">
        <f ca="1">_xll.BDH($C$53,"OPER_INC_GROWTH","FQ2 2016","FQ2 2016","Currency=INR","Period=FQ","BEST_FPERIOD_OVERRIDE=FQ","FILING_STATUS=OR","EQY_CONSOLIDATED=Y","FA_ADJUSTED=GAAP","Sort=A","Dates=H","DateFormat=P","Fill=—","Direction=H","UseDPDF=Y")</f>
        <v>#NAME?</v>
      </c>
      <c r="W65" s="1" t="e">
        <f ca="1">_xll.BDH($C$53,"EARN_FOR_COM_GROWTH","FQ2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65" s="1" t="e">
        <f ca="1">_xll.BDH($C$53,"DILUTED_EPS_AFT_XO_ITEMS_GROWTH","FQ2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65" s="1" t="e">
        <f ca="1">_xll.BDH($C$53,"DIVIDEND_PER_SHARE_1_YEAR_GROWTH","FQ2 2016","FQ2 2016","Currency=INR","Period=FQ","BEST_FPERIOD_OVERRIDE=FQ","FILING_STATUS=OR","EQY_CONSOLIDATED=Y","Sort=A","Dates=H","DateFormat=P","Fill=—","Direction=H","UseDPDF=Y")</f>
        <v>#NAME?</v>
      </c>
      <c r="Z65" s="1" t="e">
        <f ca="1">_xll.BDH($C$53,"ACCOUNTS_RECEIVABLE_GROWTH","FQ2 2016","FQ2 2016","Currency=INR","Period=FQ","BEST_FPERIOD_OVERRIDE=FQ","FILING_STATUS=OR","EQY_CONSOLIDATED=Y","Sort=A","Dates=H","DateFormat=P","Fill=—","Direction=H","UseDPDF=Y")</f>
        <v>#NAME?</v>
      </c>
      <c r="AA65" s="1" t="e">
        <f ca="1">_xll.BDH($C$53,"INVENTORY_GROWTH","FQ2 2016","FQ2 2016","Currency=INR","Period=FQ","BEST_FPERIOD_OVERRIDE=FQ","FILING_STATUS=OR","EQY_CONSOLIDATED=Y","Sort=A","Dates=H","DateFormat=P","Fill=—","Direction=H","UseDPDF=Y")</f>
        <v>#NAME?</v>
      </c>
      <c r="AB65" s="1" t="e">
        <f ca="1">_xll.BDH($C$53,"NET_FIXED_ASSETS_1_YEAR_GROWTH","FQ2 2016","FQ2 2016","Currency=INR","Period=FQ","BEST_FPERIOD_OVERRIDE=FQ","FILING_STATUS=OR","EQY_CONSOLIDATED=Y","Sort=A","Dates=H","DateFormat=P","Fill=—","Direction=H","UseDPDF=Y")</f>
        <v>#NAME?</v>
      </c>
      <c r="AC65" s="1" t="e">
        <f ca="1">_xll.BDH($C$53,"ASSET_GROWTH","FQ2 2016","FQ2 2016","Currency=INR","Period=FQ","BEST_FPERIOD_OVERRIDE=FQ","FILING_STATUS=OR","EQY_CONSOLIDATED=Y","Sort=A","Dates=H","DateFormat=P","Fill=—","Direction=H","UseDPDF=Y")</f>
        <v>#NAME?</v>
      </c>
      <c r="AD65" s="1" t="e">
        <f ca="1">_xll.BDH($C$53,"MODIFIED_WORK_CAP_GROWTH","FQ2 2016","FQ2 2016","Currency=INR","Period=FQ","BEST_FPERIOD_OVERRIDE=FQ","FILING_STATUS=OR","EQY_CONSOLIDATED=Y","Sort=A","Dates=H","DateFormat=P","Fill=—","Direction=H","UseDPDF=Y")</f>
        <v>#NAME?</v>
      </c>
      <c r="AE65" s="1" t="e">
        <f ca="1">_xll.BDH($C$53,"WORK_CAP_GROWTH","FQ2 2016","FQ2 2016","Currency=INR","Period=FQ","BEST_FPERIOD_OVERRIDE=FQ","FILING_STATUS=OR","EQY_CONSOLIDATED=Y","Sort=A","Dates=H","DateFormat=P","Fill=—","Direction=H","UseDPDF=Y")</f>
        <v>#NAME?</v>
      </c>
      <c r="AF65" s="1" t="e">
        <f ca="1">_xll.BDH($C$53,"ACCOUNTS_PAYABLE_GROWTH_1YR","FQ2 2016","FQ2 2016","Currency=INR","Period=FQ","BEST_FPERIOD_OVERRIDE=FQ","FILING_STATUS=OR","EQY_CONSOLIDATED=Y","Sort=A","Dates=H","DateFormat=P","Fill=—","Direction=H","UseDPDF=Y")</f>
        <v>#NAME?</v>
      </c>
      <c r="AG65" s="1" t="e">
        <f ca="1">_xll.BDH($C$53,"SHORT_TERM_DEBT_1_YEAR_GROWTH","FQ2 2016","FQ2 2016","Currency=INR","Period=FQ","BEST_FPERIOD_OVERRIDE=FQ","FILING_STATUS=OR","EQY_CONSOLIDATED=Y","Sort=A","Dates=H","DateFormat=P","Fill=—","Direction=H","UseDPDF=Y")</f>
        <v>#NAME?</v>
      </c>
      <c r="AH65" s="1" t="e">
        <f ca="1">_xll.BDH($C$53,"TOTAL_DEBT_1_YEAR_GROWTH","FQ2 2016","FQ2 2016","Currency=INR","Period=FQ","BEST_FPERIOD_OVERRIDE=FQ","FILING_STATUS=OR","EQY_CONSOLIDATED=Y","Sort=A","Dates=H","DateFormat=P","Fill=—","Direction=H","UseDPDF=Y")</f>
        <v>#NAME?</v>
      </c>
      <c r="AI65" s="1" t="e">
        <f ca="1">_xll.BDH($C$53,"TOTAL_EQUITY_1_YEAR_GROWTH","FQ2 2016","FQ2 2016","Currency=INR","Period=FQ","BEST_FPERIOD_OVERRIDE=FQ","FILING_STATUS=OR","EQY_CONSOLIDATED=Y","Sort=A","Dates=H","DateFormat=P","Fill=—","Direction=H","UseDPDF=Y")</f>
        <v>#NAME?</v>
      </c>
      <c r="AJ65" s="1" t="e">
        <f ca="1">_xll.BDH($C$53,"GROWTH_IN_CAP","FQ2 2016","FQ2 2016","Currency=INR","Period=FQ","BEST_FPERIOD_OVERRIDE=FQ","FILING_STATUS=OR","EQY_CONSOLIDATED=Y","Sort=A","Dates=H","DateFormat=P","Fill=—","Direction=H","UseDPDF=Y")</f>
        <v>#NAME?</v>
      </c>
      <c r="AK65" s="1" t="e">
        <f ca="1">_xll.BDH($C$53,"BVPS_GROWTH","FQ2 2016","FQ2 2016","Currency=INR","Period=FQ","BEST_FPERIOD_OVERRIDE=FQ","FILING_STATUS=OR","EQY_CONSOLIDATED=Y","Sort=A","Dates=H","DateFormat=P","Fill=—","Direction=H","UseDPDF=Y")</f>
        <v>#NAME?</v>
      </c>
      <c r="AL65" s="1" t="e">
        <f ca="1">_xll.BDH($C$53,"CASH_FLOW_GROWTH","FQ2 2016","FQ2 2016","Currency=INR","Period=FQ","BEST_FPERIOD_OVERRIDE=FQ","FILING_STATUS=OR","EQY_CONSOLIDATED=Y","Sort=A","Dates=H","DateFormat=P","Fill=—","Direction=H","UseDPDF=Y")</f>
        <v>#NAME?</v>
      </c>
      <c r="AM65" s="1" t="e">
        <f ca="1">_xll.BDH($C$53,"GEO_GROW_NET_SALES","FQ2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65" s="1" t="e">
        <f ca="1">_xll.BDH($C$53,"GEO_GROW_EBITDA","FQ2 2016","FQ2 2016","Currency=INR","Period=FQ","BEST_FPERIOD_OVERRIDE=FQ","FILING_STATUS=OR","EQY_CONSOLIDATED=Y","FA_ADJUSTED=GAAP","Sort=A","Dates=H","DateFormat=P","Fill=—","Direction=H","UseDPDF=Y")</f>
        <v>#NAME?</v>
      </c>
      <c r="AO65" s="1" t="e">
        <f ca="1">_xll.BDH($C$53,"GEO_GROW_OPER_INC","FQ2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65" s="1" t="e">
        <f ca="1">_xll.BDH($C$53,"NET_INCOME_TO_COMMON_5_YR_GROWTH","FQ2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65" s="1" t="e">
        <f ca="1">_xll.BDH($C$53,"5Y_GEO_GROWTH_DILUTED_EPS","FQ2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65" s="1" t="e">
        <f ca="1">_xll.BDH($C$53,"GEO_GROW_DVD_PER_SH","FQ2 2016","FQ2 2016","Currency=INR","Period=FQ","BEST_FPERIOD_OVERRIDE=FQ","FILING_STATUS=OR","EQY_CONSOLIDATED=Y","Sort=A","Dates=H","DateFormat=P","Fill=—","Direction=H","UseDPDF=Y")</f>
        <v>#NAME?</v>
      </c>
      <c r="AS65" s="1" t="e">
        <f ca="1">_xll.BDH($C$53,"ACCOUNTS_RECEIVABLE_5_YR_GROWTH","FQ2 2016","FQ2 2016","Currency=INR","Period=FQ","BEST_FPERIOD_OVERRIDE=FQ","FILING_STATUS=OR","EQY_CONSOLIDATED=Y","Sort=A","Dates=H","DateFormat=P","Fill=—","Direction=H","UseDPDF=Y")</f>
        <v>#NAME?</v>
      </c>
      <c r="AT65" s="1" t="e">
        <f ca="1">_xll.BDH($C$53,"INVENTORY_5_YEAR_GROWTH","FQ2 2016","FQ2 2016","Currency=INR","Period=FQ","BEST_FPERIOD_OVERRIDE=FQ","FILING_STATUS=OR","EQY_CONSOLIDATED=Y","Sort=A","Dates=H","DateFormat=P","Fill=—","Direction=H","UseDPDF=Y")</f>
        <v>#NAME?</v>
      </c>
      <c r="AU65" s="1" t="e">
        <f ca="1">_xll.BDH($C$53,"NET_FIXED_ASSETS_5_YEAR_GROWTH","FQ2 2016","FQ2 2016","Currency=INR","Period=FQ","BEST_FPERIOD_OVERRIDE=FQ","FILING_STATUS=OR","EQY_CONSOLIDATED=Y","Sort=A","Dates=H","DateFormat=P","Fill=—","Direction=H","UseDPDF=Y")</f>
        <v>#NAME?</v>
      </c>
      <c r="AV65" s="1" t="e">
        <f ca="1">_xll.BDH($C$53,"GEO_GROW_TOT_ASSET","FQ2 2016","FQ2 2016","Currency=INR","Period=FQ","BEST_FPERIOD_OVERRIDE=FQ","FILING_STATUS=OR","EQY_CONSOLIDATED=Y","Sort=A","Dates=H","DateFormat=P","Fill=—","Direction=H","UseDPDF=Y")</f>
        <v>#NAME?</v>
      </c>
      <c r="AW65" s="1" t="e">
        <f ca="1">_xll.BDH($C$53,"MODIFIED_WORKING_CPTL_5YR_GRWTH","FQ2 2016","FQ2 2016","Currency=INR","Period=FQ","BEST_FPERIOD_OVERRIDE=FQ","FILING_STATUS=OR","EQY_CONSOLIDATED=Y","Sort=A","Dates=H","DateFormat=P","Fill=—","Direction=H","UseDPDF=Y")</f>
        <v>#NAME?</v>
      </c>
      <c r="AX65" s="1" t="e">
        <f ca="1">_xll.BDH($C$53,"WORKING_CAPITAL_5_YEAR_GROWTH","FQ2 2016","FQ2 2016","Currency=INR","Period=FQ","BEST_FPERIOD_OVERRIDE=FQ","FILING_STATUS=OR","EQY_CONSOLIDATED=Y","Sort=A","Dates=H","DateFormat=P","Fill=—","Direction=H","UseDPDF=Y")</f>
        <v>#NAME?</v>
      </c>
      <c r="AY65" s="1" t="e">
        <f ca="1">_xll.BDH($C$53,"ACCOUNTS_PAYABLE_5_YEAR_GROWTH","FQ2 2016","FQ2 2016","Currency=INR","Period=FQ","BEST_FPERIOD_OVERRIDE=FQ","FILING_STATUS=OR","EQY_CONSOLIDATED=Y","Sort=A","Dates=H","DateFormat=P","Fill=—","Direction=H","UseDPDF=Y")</f>
        <v>#NAME?</v>
      </c>
      <c r="AZ65" s="1" t="e">
        <f ca="1">_xll.BDH($C$53,"SHORT_TERM_DEBT_5_YEAR_GROWTH","FQ2 2016","FQ2 2016","Currency=INR","Period=FQ","BEST_FPERIOD_OVERRIDE=FQ","FILING_STATUS=OR","EQY_CONSOLIDATED=Y","Sort=A","Dates=H","DateFormat=P","Fill=—","Direction=H","UseDPDF=Y")</f>
        <v>#NAME?</v>
      </c>
      <c r="BA65" s="1" t="e">
        <f ca="1">_xll.BDH($C$53,"TOTAL_DEBT_5_YEAR_GROWTH","FQ2 2016","FQ2 2016","Currency=INR","Period=FQ","BEST_FPERIOD_OVERRIDE=FQ","FILING_STATUS=OR","EQY_CONSOLIDATED=Y","Sort=A","Dates=H","DateFormat=P","Fill=—","Direction=H","UseDPDF=Y")</f>
        <v>#NAME?</v>
      </c>
      <c r="BB65" s="1" t="e">
        <f ca="1">_xll.BDH($C$53,"GEO_GROW_TOT_SHRHLDR_EQY","FQ2 2016","FQ2 2016","Currency=INR","Period=FQ","BEST_FPERIOD_OVERRIDE=FQ","FILING_STATUS=OR","EQY_CONSOLIDATED=Y","Sort=A","Dates=H","DateFormat=P","Fill=—","Direction=H","UseDPDF=Y")</f>
        <v>#NAME?</v>
      </c>
      <c r="BC65" s="1" t="e">
        <f ca="1">_xll.BDH($C$53,"TOTAL_CAPITAL_5_YEAR_GROWTH","FQ2 2016","FQ2 2016","Currency=INR","Period=FQ","BEST_FPERIOD_OVERRIDE=FQ","FILING_STATUS=OR","EQY_CONSOLIDATED=Y","Sort=A","Dates=H","DateFormat=P","Fill=—","Direction=H","UseDPDF=Y")</f>
        <v>#NAME?</v>
      </c>
      <c r="BD65" s="1" t="e">
        <f ca="1">_xll.BDH($C$53,"GEO_GROW_BOOK_VAL","FQ2 2016","FQ2 2016","Currency=INR","Period=FQ","BEST_FPERIOD_OVERRIDE=FQ","FILING_STATUS=OR","EQY_CONSOLIDATED=Y","Sort=A","Dates=H","DateFormat=P","Fill=—","Direction=H","UseDPDF=Y")</f>
        <v>#NAME?</v>
      </c>
      <c r="BE65" s="1" t="e">
        <f ca="1">_xll.BDH($C$53,"GEO_GROW_CASH_OPER_ACT","FQ2 2016","FQ2 2016","Currency=INR","Period=FQ","BEST_FPERIOD_OVERRIDE=FQ","FILING_STATUS=OR","EQY_CONSOLIDATED=Y","Sort=A","Dates=H","DateFormat=P","Fill=—","Direction=H","UseDPDF=Y")</f>
        <v>#NAME?</v>
      </c>
      <c r="BF65" s="1" t="e">
        <f ca="1">_xll.BDH($C$53,"REVENUE_SEQUENTIAL_GROWTH","FQ2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65" s="1" t="e">
        <f ca="1">_xll.BDH($C$53,"EBITDA_SEQUENTIAL_GROWTH","FQ2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65" s="1" t="e">
        <f ca="1">_xll.BDH($C$53,"OPERATING_INCOME_SEQ_GROWTH","FQ2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65" s="1" t="e">
        <f ca="1">_xll.BDH($C$53,"NET_INCOME_TO_COMMON_SEQ_GROWTH","FQ2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65" s="1" t="e">
        <f ca="1">_xll.BDH($C$53,"EPS_DILUTED_SEQUENTIAL_GROWTH","FQ2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65" s="1" t="e">
        <f ca="1">_xll.BDH($C$53,"DPS_SEQUENTIAL_GROWTH","FQ2 2016","FQ2 2016","Currency=INR","Period=FQ","BEST_FPERIOD_OVERRIDE=FQ","FILING_STATUS=OR","EQY_CONSOLIDATED=Y","Sort=A","Dates=H","DateFormat=P","Fill=—","Direction=H","UseDPDF=Y")</f>
        <v>#NAME?</v>
      </c>
      <c r="BL65" s="1" t="e">
        <f ca="1">_xll.BDH($C$53,"ACCOUNTS_RECEIVABLE_SEQ_GROWTH","FQ2 2016","FQ2 2016","Currency=INR","Period=FQ","BEST_FPERIOD_OVERRIDE=FQ","FILING_STATUS=OR","EQY_CONSOLIDATED=Y","Sort=A","Dates=H","DateFormat=P","Fill=—","Direction=H","UseDPDF=Y")</f>
        <v>#NAME?</v>
      </c>
      <c r="BM65" s="1" t="e">
        <f ca="1">_xll.BDH($C$53,"INVENTORY_SEQUENTIAL_GROWTH","FQ2 2016","FQ2 2016","Currency=INR","Period=FQ","BEST_FPERIOD_OVERRIDE=FQ","FILING_STATUS=OR","EQY_CONSOLIDATED=Y","Sort=A","Dates=H","DateFormat=P","Fill=—","Direction=H","UseDPDF=Y")</f>
        <v>#NAME?</v>
      </c>
      <c r="BN65" s="1" t="e">
        <f ca="1">_xll.BDH($C$53,"FIXED_ASSETS_SEQUENTIAL_GROWTH","FQ2 2016","FQ2 2016","Currency=INR","Period=FQ","BEST_FPERIOD_OVERRIDE=FQ","FILING_STATUS=OR","EQY_CONSOLIDATED=Y","Sort=A","Dates=H","DateFormat=P","Fill=—","Direction=H","UseDPDF=Y")</f>
        <v>#NAME?</v>
      </c>
      <c r="BO65" s="1" t="e">
        <f ca="1">_xll.BDH($C$53,"TOTAL_ASSETS_SEQUENTIAL_GROWTH","FQ2 2016","FQ2 2016","Currency=INR","Period=FQ","BEST_FPERIOD_OVERRIDE=FQ","FILING_STATUS=OR","EQY_CONSOLIDATED=Y","Sort=A","Dates=H","DateFormat=P","Fill=—","Direction=H","UseDPDF=Y")</f>
        <v>#NAME?</v>
      </c>
      <c r="BP65" s="1" t="e">
        <f ca="1">_xll.BDH($C$53,"MODIFIED_WORKING_CPTL_SEQ_GRWTH","FQ2 2016","FQ2 2016","Currency=INR","Period=FQ","BEST_FPERIOD_OVERRIDE=FQ","FILING_STATUS=OR","EQY_CONSOLIDATED=Y","Sort=A","Dates=H","DateFormat=P","Fill=—","Direction=H","UseDPDF=Y")</f>
        <v>#NAME?</v>
      </c>
      <c r="BQ65" s="1" t="e">
        <f ca="1">_xll.BDH($C$53,"WORKING_CAPITAL_SEQ_GROWTH","FQ2 2016","FQ2 2016","Currency=INR","Period=FQ","BEST_FPERIOD_OVERRIDE=FQ","FILING_STATUS=OR","EQY_CONSOLIDATED=Y","Sort=A","Dates=H","DateFormat=P","Fill=—","Direction=H","UseDPDF=Y")</f>
        <v>#NAME?</v>
      </c>
      <c r="BR65" s="1" t="e">
        <f ca="1">_xll.BDH($C$53,"ACCOUNTS_PAYABLE_SEQ_GROWTH","FQ2 2016","FQ2 2016","Currency=INR","Period=FQ","BEST_FPERIOD_OVERRIDE=FQ","FILING_STATUS=OR","EQY_CONSOLIDATED=Y","Sort=A","Dates=H","DateFormat=P","Fill=—","Direction=H","UseDPDF=Y")</f>
        <v>#NAME?</v>
      </c>
      <c r="BS65" s="1" t="e">
        <f ca="1">_xll.BDH($C$53,"ST_DEBT_SEQUENTIAL_GROWTH","FQ2 2016","FQ2 2016","Currency=INR","Period=FQ","BEST_FPERIOD_OVERRIDE=FQ","FILING_STATUS=OR","EQY_CONSOLIDATED=Y","Sort=A","Dates=H","DateFormat=P","Fill=—","Direction=H","UseDPDF=Y")</f>
        <v>#NAME?</v>
      </c>
      <c r="BT65" s="1" t="e">
        <f ca="1">_xll.BDH($C$53,"TOTAL_DEBT_SEQUENTIAL_GROWTH","FQ2 2016","FQ2 2016","Currency=INR","Period=FQ","BEST_FPERIOD_OVERRIDE=FQ","FILING_STATUS=OR","EQY_CONSOLIDATED=Y","Sort=A","Dates=H","DateFormat=P","Fill=—","Direction=H","UseDPDF=Y")</f>
        <v>#NAME?</v>
      </c>
      <c r="BU65" s="1" t="e">
        <f ca="1">_xll.BDH($C$53,"TOTAL_EQUITY_SEQUENTIAL_GROWTH","FQ2 2016","FQ2 2016","Currency=INR","Period=FQ","BEST_FPERIOD_OVERRIDE=FQ","FILING_STATUS=OR","EQY_CONSOLIDATED=Y","Sort=A","Dates=H","DateFormat=P","Fill=—","Direction=H","UseDPDF=Y")</f>
        <v>#NAME?</v>
      </c>
      <c r="BV65" s="1" t="e">
        <f ca="1">_xll.BDH($C$53,"TOTAL_CAPITAL_SEQUENTIAL_GROWTH","FQ2 2016","FQ2 2016","Currency=INR","Period=FQ","BEST_FPERIOD_OVERRIDE=FQ","FILING_STATUS=OR","EQY_CONSOLIDATED=Y","Sort=A","Dates=H","DateFormat=P","Fill=—","Direction=H","UseDPDF=Y")</f>
        <v>#NAME?</v>
      </c>
      <c r="BW65" s="1" t="e">
        <f ca="1">_xll.BDH($C$53,"BPS_SEQUENTIAL_GROWTH","FQ2 2016","FQ2 2016","Currency=INR","Period=FQ","BEST_FPERIOD_OVERRIDE=FQ","FILING_STATUS=OR","EQY_CONSOLIDATED=Y","Sort=A","Dates=H","DateFormat=P","Fill=—","Direction=H","UseDPDF=Y")</f>
        <v>#NAME?</v>
      </c>
      <c r="BX65" s="1" t="e">
        <f ca="1">_xll.BDH($C$53,"CFO_SEQUENTIAL_GROWTH","FQ2 2016","FQ2 2016","Currency=INR","Period=FQ","BEST_FPERIOD_OVERRIDE=FQ","FILING_STATUS=OR","EQY_CONSOLIDATED=Y","Sort=A","Dates=H","DateFormat=P","Fill=—","Direction=H","UseDPDF=Y")</f>
        <v>#NAME?</v>
      </c>
      <c r="BY65" s="2" t="e">
        <f ca="1">_xll.BDH($C$53,"SHORT_AND_LONG_TERM_DEBT","FQ2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65" s="2" t="e">
        <f ca="1">_xll.BDH($C$53,"BS_ST_BORROW","FQ2 2016","FQ2 2016","Currency=INR","Period=FQ","BEST_FPERIOD_OVERRIDE=FQ","FILING_STATUS=OR","EQY_CONSOLIDATED=Y","SCALING_FORMAT=MLN","Sort=A","Dates=H","DateFormat=P","Fill=—","Direction=H","UseDPDF=Y")</f>
        <v>#NAME?</v>
      </c>
      <c r="CA65" s="2" t="e">
        <f ca="1">_xll.BDH($C$53,"BS_LT_BORROW","FQ2 2016","FQ2 2016","Currency=INR","Period=FQ","BEST_FPERIOD_OVERRIDE=FQ","FILING_STATUS=OR","EQY_CONSOLIDATED=Y","SCALING_FORMAT=MLN","Sort=A","Dates=H","DateFormat=P","Fill=—","Direction=H","UseDPDF=Y")</f>
        <v>#NAME?</v>
      </c>
      <c r="CB65" s="1" t="e">
        <f ca="1">_xll.BDH($C$53,"TOT_DEBT_TO_EBITDA","FQ2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65" s="1" t="e">
        <f ca="1">_xll.BDH($C$53,"NET_DEBT_TO_EBITDA","FQ2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65" s="1" t="e">
        <f ca="1">_xll.BDH($C$53,"TOTAL_DEBT_TO_EBIT","FQ2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65" s="1" t="e">
        <f ca="1">_xll.BDH($C$53,"NET_DEBT_TO_EBIT","FQ2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65" s="1" t="e">
        <f ca="1">_xll.BDH($C$53,"EBITDA_TO_INTEREST_EXPN","FQ2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65" s="1" t="e">
        <f ca="1">_xll.BDH($C$53,"COM_EQY_TO_TOT_ASSET","FQ2 2016","FQ2 2016","Currency=INR","Period=FQ","BEST_FPERIOD_OVERRIDE=FQ","FILING_STATUS=OR","EQY_CONSOLIDATED=Y","Sort=A","Dates=H","DateFormat=P","Fill=—","Direction=H","UseDPDF=Y")</f>
        <v>#NAME?</v>
      </c>
      <c r="CH65" s="1" t="e">
        <f ca="1">_xll.BDH($C$53,"LT_DEBT_TO_TOT_EQY","FQ2 2016","FQ2 2016","Currency=INR","Period=FQ","BEST_FPERIOD_OVERRIDE=FQ","FILING_STATUS=OR","EQY_CONSOLIDATED=Y","Sort=A","Dates=H","DateFormat=P","Fill=—","Direction=H","UseDPDF=Y")</f>
        <v>#NAME?</v>
      </c>
      <c r="CI65" s="1" t="e">
        <f ca="1">_xll.BDH($C$53,"LT_DEBT_TO_TOT_CAP","FQ2 2016","FQ2 2016","Currency=INR","Period=FQ","BEST_FPERIOD_OVERRIDE=FQ","FILING_STATUS=OR","EQY_CONSOLIDATED=Y","Sort=A","Dates=H","DateFormat=P","Fill=—","Direction=H","UseDPDF=Y")</f>
        <v>#NAME?</v>
      </c>
      <c r="CJ65" s="1" t="e">
        <f ca="1">_xll.BDH($C$53,"LT_DEBT_TO_TOT_ASSET","FQ2 2016","FQ2 2016","Currency=INR","Period=FQ","BEST_FPERIOD_OVERRIDE=FQ","FILING_STATUS=OR","EQY_CONSOLIDATED=Y","Sort=A","Dates=H","DateFormat=P","Fill=—","Direction=H","UseDPDF=Y")</f>
        <v>#NAME?</v>
      </c>
      <c r="CK65" s="1" t="e">
        <f ca="1">_xll.BDH($C$53,"TOT_DEBT_TO_TOT_EQY","FQ2 2016","FQ2 2016","Currency=INR","Period=FQ","BEST_FPERIOD_OVERRIDE=FQ","FILING_STATUS=OR","EQY_CONSOLIDATED=Y","Sort=A","Dates=H","DateFormat=P","Fill=—","Direction=H","UseDPDF=Y")</f>
        <v>#NAME?</v>
      </c>
      <c r="CL65" s="1" t="e">
        <f ca="1">_xll.BDH($C$53,"TOT_DEBT_TO_TOT_CAP","FQ2 2016","FQ2 2016","Currency=INR","Period=FQ","BEST_FPERIOD_OVERRIDE=FQ","FILING_STATUS=OR","EQY_CONSOLIDATED=Y","Sort=A","Dates=H","DateFormat=P","Fill=—","Direction=H","UseDPDF=Y")</f>
        <v>#NAME?</v>
      </c>
      <c r="CM65" s="1" t="e">
        <f ca="1">_xll.BDH($C$53,"TOT_DEBT_TO_TOT_ASSET","FQ2 2016","FQ2 2016","Currency=INR","Period=FQ","BEST_FPERIOD_OVERRIDE=FQ","FILING_STATUS=OR","EQY_CONSOLIDATED=Y","Sort=A","Dates=H","DateFormat=P","Fill=—","Direction=H","UseDPDF=Y")</f>
        <v>#NAME?</v>
      </c>
      <c r="CN65" s="1" t="e">
        <f ca="1">_xll.BDH($C$53,"NET_DEBT_TO_SHRHLDR_EQTY","FQ2 2016","FQ2 2016","Currency=INR","Period=FQ","BEST_FPERIOD_OVERRIDE=FQ","FILING_STATUS=OR","EQY_CONSOLIDATED=Y","Sort=A","Dates=H","DateFormat=P","Fill=—","Direction=H","UseDPDF=Y")</f>
        <v>#NAME?</v>
      </c>
      <c r="CO65" s="1" t="e">
        <f ca="1">_xll.BDH($C$53,"NET_DEBT_%_CAPITAL","FQ2 2016","FQ2 2016","Currency=INR","Period=FQ","BEST_FPERIOD_OVERRIDE=FQ","FILING_STATUS=OR","EQY_CONSOLIDATED=Y","Sort=A","Dates=H","DateFormat=P","Fill=—","Direction=H","UseDPDF=Y")</f>
        <v>#NAME?</v>
      </c>
      <c r="CP65" s="2" t="e">
        <f ca="1">_xll.BDH($C$53,"EBITDA","FQ2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65" s="2" t="e">
        <f ca="1">_xll.BDH($C$53,"EBITDA_AFTER_CAPEX","FQ2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65" s="2" t="e">
        <f ca="1">_xll.BDH($C$53,"IS_OPER_INC","FQ2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65" s="1" t="e">
        <f ca="1">_xll.BDH($C$53,"CASH_RATIO","FQ2 2016","FQ2 2016","Currency=INR","Period=FQ","BEST_FPERIOD_OVERRIDE=FQ","FILING_STATUS=OR","EQY_CONSOLIDATED=Y","Sort=A","Dates=H","DateFormat=P","Fill=—","Direction=H","UseDPDF=Y")</f>
        <v>#NAME?</v>
      </c>
      <c r="CT65" s="1" t="e">
        <f ca="1">_xll.BDH($C$53,"CUR_RATIO","FQ2 2016","FQ2 2016","Currency=INR","Period=FQ","BEST_FPERIOD_OVERRIDE=FQ","FILING_STATUS=OR","EQY_CONSOLIDATED=Y","Sort=A","Dates=H","DateFormat=P","Fill=—","Direction=H","UseDPDF=Y")</f>
        <v>#NAME?</v>
      </c>
      <c r="CU65" s="1" t="e">
        <f ca="1">_xll.BDH($C$53,"QUICK_RATIO","FQ2 2016","FQ2 2016","Currency=INR","Period=FQ","BEST_FPERIOD_OVERRIDE=FQ","FILING_STATUS=OR","EQY_CONSOLIDATED=Y","Sort=A","Dates=H","DateFormat=P","Fill=—","Direction=H","UseDPDF=Y")</f>
        <v>#NAME?</v>
      </c>
      <c r="CV65" s="1" t="e">
        <f ca="1">_xll.BDH($C$53,"ALTMAN_Z_SCORE","FQ2 2016","FQ2 2016","Currency=INR","Period=FQ","BEST_FPERIOD_OVERRIDE=FQ","FILING_STATUS=OR","EQY_CONSOLIDATED=Y","Sort=A","Dates=H","DateFormat=P","Fill=—","Direction=H","UseDPDF=Y")</f>
        <v>#NAME?</v>
      </c>
      <c r="CW65" s="3" t="e">
        <f ca="1">_xll.BDH($C$53,"ACCT_RCV_TURN","FQ2 2016","FQ2 2016","Currency=INR","Period=FQ","BEST_FPERIOD_OVERRIDE=FQ","FILING_STATUS=OR","EQY_CONSOLIDATED=Y","FA_ADJUSTED=GAAP","Sort=A","Dates=H","DateFormat=P","Fill=—","Direction=H","UseDPDF=Y")</f>
        <v>#NAME?</v>
      </c>
      <c r="CX65" s="1" t="e">
        <f ca="1">_xll.BDH($C$53,"ACCT_RCV_DAYS","FQ2 2016","FQ2 2016","Currency=INR","Period=FQ","BEST_FPERIOD_OVERRIDE=FQ","FILING_STATUS=OR","EQY_CONSOLIDATED=Y","FA_ADJUSTED=GAAP","Sort=A","Dates=H","DateFormat=P","Fill=—","Direction=H","UseDPDF=Y")</f>
        <v>#NAME?</v>
      </c>
      <c r="CY65" s="3" t="e">
        <f ca="1">_xll.BDH($C$53,"INVENT_TURN","FQ2 2016","FQ2 2016","Currency=INR","Period=FQ","BEST_FPERIOD_OVERRIDE=FQ","FILING_STATUS=OR","EQY_CONSOLIDATED=Y","FA_ADJUSTED=GAAP","Sort=A","Dates=H","DateFormat=P","Fill=—","Direction=H","UseDPDF=Y")</f>
        <v>#NAME?</v>
      </c>
      <c r="CZ65" s="1" t="e">
        <f ca="1">_xll.BDH($C$53,"INVENT_DAYS","FQ2 2016","FQ2 2016","Currency=INR","Period=FQ","BEST_FPERIOD_OVERRIDE=FQ","FILING_STATUS=OR","EQY_CONSOLIDATED=Y","FA_ADJUSTED=GAAP","Sort=A","Dates=H","DateFormat=P","Fill=—","Direction=H","UseDPDF=Y")</f>
        <v>#NAME?</v>
      </c>
      <c r="DA65" s="3" t="e">
        <f ca="1">_xll.BDH($C$53,"ACCOUNTS_PAYABLE_TURNOVER","FQ2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65" s="1" t="e">
        <f ca="1">_xll.BDH($C$53,"ACCOUNTS_PAYABLE_TURNOVER_DAYS","FQ2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65" s="3" t="e">
        <f ca="1">_xll.BDH($C$53,"CASH_CONVERSION_CYCLE","FQ2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65" s="3" t="e">
        <f ca="1">_xll.BDH($C$53,"INV_TO_CASH_DAYS","FQ2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65" s="4" t="e">
        <f ca="1">_xll.BDH($C$53,"BS_INVENTORIES","FQ2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65" s="2" t="e">
        <f ca="1">_xll.BDH($C$53,"INVTRY_RAW_MATERIALS","FQ2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65" s="2" t="e">
        <f ca="1">_xll.BDH($C$53,"INVTRY_IN_PROGRESS","FQ2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65" s="2" t="e">
        <f ca="1">_xll.BDH($C$53,"INVTRY_FINISHED_GOODS","FQ2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65" s="2" t="e">
        <f ca="1">_xll.BDH($C$53,"BS_OTHER_INV","FQ2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66" spans="1:113" x14ac:dyDescent="0.3">
      <c r="A66" s="6"/>
      <c r="B66" s="6"/>
      <c r="C66" s="6"/>
      <c r="D66" s="6"/>
      <c r="E66" t="s">
        <v>6</v>
      </c>
      <c r="F66" t="e">
        <f ca="1">_xll.BDH($C$53,"RETURN_COM_EQY","FQ3 2016","FQ3 2016","Currency=INR","Period=FQ","BEST_FPERIOD_OVERRIDE=FQ","FILING_STATUS=OR","EQY_CONSOLIDATED=Y","FA_ADJUSTED=GAAP","Sort=A","Dates=H","DateFormat=P","Fill=—","Direction=H","UseDPDF=Y")</f>
        <v>#NAME?</v>
      </c>
      <c r="G66" t="e">
        <f ca="1">_xll.BDH($C$53,"RETURN_ON_ASSET","FQ3 2016","FQ3 2016","Currency=INR","Period=FQ","BEST_FPERIOD_OVERRIDE=FQ","FILING_STATUS=OR","EQY_CONSOLIDATED=Y","FA_ADJUSTED=GAAP","Sort=A","Dates=H","DateFormat=P","Fill=—","Direction=H","UseDPDF=Y")</f>
        <v>#NAME?</v>
      </c>
      <c r="H66" t="e">
        <f ca="1">_xll.BDH($C$53,"RETURN_ON_CAP","FQ3 2016","FQ3 2016","Currency=INR","Period=FQ","BEST_FPERIOD_OVERRIDE=FQ","FILING_STATUS=OR","EQY_CONSOLIDATED=Y","FA_ADJUSTED=GAAP","Sort=A","Dates=H","DateFormat=P","Fill=—","Direction=H","UseDPDF=Y")</f>
        <v>#NAME?</v>
      </c>
      <c r="I66" t="e">
        <f ca="1">_xll.BDH($C$53,"RETURN_ON_INV_CAPITAL","FQ3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66" t="e">
        <f ca="1">_xll.BDH($C$53,"EBITDA_TO_REVENUE","FQ3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66" t="e">
        <f ca="1">_xll.BDH($C$53,"OPER_MARGIN","FQ3 2016","FQ3 2016","Currency=INR","Period=FQ","BEST_FPERIOD_OVERRIDE=FQ","FILING_STATUS=OR","EQY_CONSOLIDATED=Y","FA_ADJUSTED=GAAP","Sort=A","Dates=H","DateFormat=P","Fill=—","Direction=H","UseDPDF=Y")</f>
        <v>#NAME?</v>
      </c>
      <c r="L66" t="e">
        <f ca="1">_xll.BDH($C$53,"INCREMENTAL_OPERATING_MARGIN","FQ3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66" t="e">
        <f ca="1">_xll.BDH($C$53,"PRETAX_INC_TO_NET_SALES","FQ3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66" t="e">
        <f ca="1">_xll.BDH($C$53,"INC_BEF_XO_ITEMS_TO_NET_SALES","FQ3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66" t="e">
        <f ca="1">_xll.BDH($C$53,"PROF_MARGIN","FQ3 2016","FQ3 2016","Currency=INR","Period=FQ","BEST_FPERIOD_OVERRIDE=FQ","FILING_STATUS=OR","EQY_CONSOLIDATED=Y","FA_ADJUSTED=GAAP","Sort=A","Dates=H","DateFormat=P","Fill=—","Direction=H","UseDPDF=Y")</f>
        <v>#NAME?</v>
      </c>
      <c r="P66" t="e">
        <f ca="1">_xll.BDH($C$53,"NET_INCOME_TO_COMMON_MARGIN","FQ3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66" t="e">
        <f ca="1">_xll.BDH($C$53,"EFF_TAX_RATE","FQ3 2016","FQ3 2016","Currency=INR","Period=FQ","BEST_FPERIOD_OVERRIDE=FQ","FILING_STATUS=OR","EQY_CONSOLIDATED=Y","FA_ADJUSTED=GAAP","Sort=A","Dates=H","DateFormat=P","Fill=—","Direction=H","UseDPDF=Y")</f>
        <v>#NAME?</v>
      </c>
      <c r="R66" t="e">
        <f ca="1">_xll.BDH($C$53,"DVD_PAYOUT_RATIO","FQ3 2016","FQ3 2016","Currency=INR","Period=FQ","BEST_FPERIOD_OVERRIDE=FQ","FILING_STATUS=OR","EQY_CONSOLIDATED=Y","FA_ADJUSTED=GAAP","Sort=A","Dates=H","DateFormat=P","Fill=—","Direction=H","UseDPDF=Y")</f>
        <v>#NAME?</v>
      </c>
      <c r="S66" t="e">
        <f ca="1">_xll.BDH($C$53,"SUSTAIN_GROWTH_RT","FQ3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66" s="1" t="e">
        <f ca="1">_xll.BDH($C$53,"SALES_GROWTH","FQ3 2016","FQ3 2016","Currency=INR","Period=FQ","BEST_FPERIOD_OVERRIDE=FQ","FILING_STATUS=OR","EQY_CONSOLIDATED=Y","FA_ADJUSTED=GAAP","Sort=A","Dates=H","DateFormat=P","Fill=—","Direction=H","UseDPDF=Y")</f>
        <v>#NAME?</v>
      </c>
      <c r="U66" s="1" t="e">
        <f ca="1">_xll.BDH($C$53,"EBITDA_GROWTH","FQ3 2016","FQ3 2016","Currency=INR","Period=FQ","BEST_FPERIOD_OVERRIDE=FQ","FILING_STATUS=OR","EQY_CONSOLIDATED=Y","FA_ADJUSTED=GAAP","Sort=A","Dates=H","DateFormat=P","Fill=—","Direction=H","UseDPDF=Y")</f>
        <v>#NAME?</v>
      </c>
      <c r="V66" s="1" t="e">
        <f ca="1">_xll.BDH($C$53,"OPER_INC_GROWTH","FQ3 2016","FQ3 2016","Currency=INR","Period=FQ","BEST_FPERIOD_OVERRIDE=FQ","FILING_STATUS=OR","EQY_CONSOLIDATED=Y","FA_ADJUSTED=GAAP","Sort=A","Dates=H","DateFormat=P","Fill=—","Direction=H","UseDPDF=Y")</f>
        <v>#NAME?</v>
      </c>
      <c r="W66" s="1" t="e">
        <f ca="1">_xll.BDH($C$53,"EARN_FOR_COM_GROWTH","FQ3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66" s="1" t="e">
        <f ca="1">_xll.BDH($C$53,"DILUTED_EPS_AFT_XO_ITEMS_GROWTH","FQ3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66" s="1" t="e">
        <f ca="1">_xll.BDH($C$53,"DIVIDEND_PER_SHARE_1_YEAR_GROWTH","FQ3 2016","FQ3 2016","Currency=INR","Period=FQ","BEST_FPERIOD_OVERRIDE=FQ","FILING_STATUS=OR","EQY_CONSOLIDATED=Y","Sort=A","Dates=H","DateFormat=P","Fill=—","Direction=H","UseDPDF=Y")</f>
        <v>#NAME?</v>
      </c>
      <c r="Z66" s="1" t="e">
        <f ca="1">_xll.BDH($C$53,"ACCOUNTS_RECEIVABLE_GROWTH","FQ3 2016","FQ3 2016","Currency=INR","Period=FQ","BEST_FPERIOD_OVERRIDE=FQ","FILING_STATUS=OR","EQY_CONSOLIDATED=Y","Sort=A","Dates=H","DateFormat=P","Fill=—","Direction=H","UseDPDF=Y")</f>
        <v>#NAME?</v>
      </c>
      <c r="AA66" s="1" t="e">
        <f ca="1">_xll.BDH($C$53,"INVENTORY_GROWTH","FQ3 2016","FQ3 2016","Currency=INR","Period=FQ","BEST_FPERIOD_OVERRIDE=FQ","FILING_STATUS=OR","EQY_CONSOLIDATED=Y","Sort=A","Dates=H","DateFormat=P","Fill=—","Direction=H","UseDPDF=Y")</f>
        <v>#NAME?</v>
      </c>
      <c r="AB66" s="1" t="e">
        <f ca="1">_xll.BDH($C$53,"NET_FIXED_ASSETS_1_YEAR_GROWTH","FQ3 2016","FQ3 2016","Currency=INR","Period=FQ","BEST_FPERIOD_OVERRIDE=FQ","FILING_STATUS=OR","EQY_CONSOLIDATED=Y","Sort=A","Dates=H","DateFormat=P","Fill=—","Direction=H","UseDPDF=Y")</f>
        <v>#NAME?</v>
      </c>
      <c r="AC66" s="1" t="e">
        <f ca="1">_xll.BDH($C$53,"ASSET_GROWTH","FQ3 2016","FQ3 2016","Currency=INR","Period=FQ","BEST_FPERIOD_OVERRIDE=FQ","FILING_STATUS=OR","EQY_CONSOLIDATED=Y","Sort=A","Dates=H","DateFormat=P","Fill=—","Direction=H","UseDPDF=Y")</f>
        <v>#NAME?</v>
      </c>
      <c r="AD66" s="1" t="e">
        <f ca="1">_xll.BDH($C$53,"MODIFIED_WORK_CAP_GROWTH","FQ3 2016","FQ3 2016","Currency=INR","Period=FQ","BEST_FPERIOD_OVERRIDE=FQ","FILING_STATUS=OR","EQY_CONSOLIDATED=Y","Sort=A","Dates=H","DateFormat=P","Fill=—","Direction=H","UseDPDF=Y")</f>
        <v>#NAME?</v>
      </c>
      <c r="AE66" s="1" t="e">
        <f ca="1">_xll.BDH($C$53,"WORK_CAP_GROWTH","FQ3 2016","FQ3 2016","Currency=INR","Period=FQ","BEST_FPERIOD_OVERRIDE=FQ","FILING_STATUS=OR","EQY_CONSOLIDATED=Y","Sort=A","Dates=H","DateFormat=P","Fill=—","Direction=H","UseDPDF=Y")</f>
        <v>#NAME?</v>
      </c>
      <c r="AF66" s="1" t="e">
        <f ca="1">_xll.BDH($C$53,"ACCOUNTS_PAYABLE_GROWTH_1YR","FQ3 2016","FQ3 2016","Currency=INR","Period=FQ","BEST_FPERIOD_OVERRIDE=FQ","FILING_STATUS=OR","EQY_CONSOLIDATED=Y","Sort=A","Dates=H","DateFormat=P","Fill=—","Direction=H","UseDPDF=Y")</f>
        <v>#NAME?</v>
      </c>
      <c r="AG66" s="1" t="e">
        <f ca="1">_xll.BDH($C$53,"SHORT_TERM_DEBT_1_YEAR_GROWTH","FQ3 2016","FQ3 2016","Currency=INR","Period=FQ","BEST_FPERIOD_OVERRIDE=FQ","FILING_STATUS=OR","EQY_CONSOLIDATED=Y","Sort=A","Dates=H","DateFormat=P","Fill=—","Direction=H","UseDPDF=Y")</f>
        <v>#NAME?</v>
      </c>
      <c r="AH66" s="1" t="e">
        <f ca="1">_xll.BDH($C$53,"TOTAL_DEBT_1_YEAR_GROWTH","FQ3 2016","FQ3 2016","Currency=INR","Period=FQ","BEST_FPERIOD_OVERRIDE=FQ","FILING_STATUS=OR","EQY_CONSOLIDATED=Y","Sort=A","Dates=H","DateFormat=P","Fill=—","Direction=H","UseDPDF=Y")</f>
        <v>#NAME?</v>
      </c>
      <c r="AI66" s="1" t="e">
        <f ca="1">_xll.BDH($C$53,"TOTAL_EQUITY_1_YEAR_GROWTH","FQ3 2016","FQ3 2016","Currency=INR","Period=FQ","BEST_FPERIOD_OVERRIDE=FQ","FILING_STATUS=OR","EQY_CONSOLIDATED=Y","Sort=A","Dates=H","DateFormat=P","Fill=—","Direction=H","UseDPDF=Y")</f>
        <v>#NAME?</v>
      </c>
      <c r="AJ66" s="1" t="e">
        <f ca="1">_xll.BDH($C$53,"GROWTH_IN_CAP","FQ3 2016","FQ3 2016","Currency=INR","Period=FQ","BEST_FPERIOD_OVERRIDE=FQ","FILING_STATUS=OR","EQY_CONSOLIDATED=Y","Sort=A","Dates=H","DateFormat=P","Fill=—","Direction=H","UseDPDF=Y")</f>
        <v>#NAME?</v>
      </c>
      <c r="AK66" s="1" t="e">
        <f ca="1">_xll.BDH($C$53,"BVPS_GROWTH","FQ3 2016","FQ3 2016","Currency=INR","Period=FQ","BEST_FPERIOD_OVERRIDE=FQ","FILING_STATUS=OR","EQY_CONSOLIDATED=Y","Sort=A","Dates=H","DateFormat=P","Fill=—","Direction=H","UseDPDF=Y")</f>
        <v>#NAME?</v>
      </c>
      <c r="AL66" s="1" t="e">
        <f ca="1">_xll.BDH($C$53,"CASH_FLOW_GROWTH","FQ3 2016","FQ3 2016","Currency=INR","Period=FQ","BEST_FPERIOD_OVERRIDE=FQ","FILING_STATUS=OR","EQY_CONSOLIDATED=Y","Sort=A","Dates=H","DateFormat=P","Fill=—","Direction=H","UseDPDF=Y")</f>
        <v>#NAME?</v>
      </c>
      <c r="AM66" s="1" t="e">
        <f ca="1">_xll.BDH($C$53,"GEO_GROW_NET_SALES","FQ3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66" s="1" t="e">
        <f ca="1">_xll.BDH($C$53,"GEO_GROW_EBITDA","FQ3 2016","FQ3 2016","Currency=INR","Period=FQ","BEST_FPERIOD_OVERRIDE=FQ","FILING_STATUS=OR","EQY_CONSOLIDATED=Y","FA_ADJUSTED=GAAP","Sort=A","Dates=H","DateFormat=P","Fill=—","Direction=H","UseDPDF=Y")</f>
        <v>#NAME?</v>
      </c>
      <c r="AO66" s="1" t="e">
        <f ca="1">_xll.BDH($C$53,"GEO_GROW_OPER_INC","FQ3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66" s="1" t="e">
        <f ca="1">_xll.BDH($C$53,"NET_INCOME_TO_COMMON_5_YR_GROWTH","FQ3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66" s="1" t="e">
        <f ca="1">_xll.BDH($C$53,"5Y_GEO_GROWTH_DILUTED_EPS","FQ3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66" s="1" t="e">
        <f ca="1">_xll.BDH($C$53,"GEO_GROW_DVD_PER_SH","FQ3 2016","FQ3 2016","Currency=INR","Period=FQ","BEST_FPERIOD_OVERRIDE=FQ","FILING_STATUS=OR","EQY_CONSOLIDATED=Y","Sort=A","Dates=H","DateFormat=P","Fill=—","Direction=H","UseDPDF=Y")</f>
        <v>#NAME?</v>
      </c>
      <c r="AS66" s="1" t="e">
        <f ca="1">_xll.BDH($C$53,"ACCOUNTS_RECEIVABLE_5_YR_GROWTH","FQ3 2016","FQ3 2016","Currency=INR","Period=FQ","BEST_FPERIOD_OVERRIDE=FQ","FILING_STATUS=OR","EQY_CONSOLIDATED=Y","Sort=A","Dates=H","DateFormat=P","Fill=—","Direction=H","UseDPDF=Y")</f>
        <v>#NAME?</v>
      </c>
      <c r="AT66" s="1" t="e">
        <f ca="1">_xll.BDH($C$53,"INVENTORY_5_YEAR_GROWTH","FQ3 2016","FQ3 2016","Currency=INR","Period=FQ","BEST_FPERIOD_OVERRIDE=FQ","FILING_STATUS=OR","EQY_CONSOLIDATED=Y","Sort=A","Dates=H","DateFormat=P","Fill=—","Direction=H","UseDPDF=Y")</f>
        <v>#NAME?</v>
      </c>
      <c r="AU66" s="1" t="e">
        <f ca="1">_xll.BDH($C$53,"NET_FIXED_ASSETS_5_YEAR_GROWTH","FQ3 2016","FQ3 2016","Currency=INR","Period=FQ","BEST_FPERIOD_OVERRIDE=FQ","FILING_STATUS=OR","EQY_CONSOLIDATED=Y","Sort=A","Dates=H","DateFormat=P","Fill=—","Direction=H","UseDPDF=Y")</f>
        <v>#NAME?</v>
      </c>
      <c r="AV66" s="1" t="e">
        <f ca="1">_xll.BDH($C$53,"GEO_GROW_TOT_ASSET","FQ3 2016","FQ3 2016","Currency=INR","Period=FQ","BEST_FPERIOD_OVERRIDE=FQ","FILING_STATUS=OR","EQY_CONSOLIDATED=Y","Sort=A","Dates=H","DateFormat=P","Fill=—","Direction=H","UseDPDF=Y")</f>
        <v>#NAME?</v>
      </c>
      <c r="AW66" s="1" t="e">
        <f ca="1">_xll.BDH($C$53,"MODIFIED_WORKING_CPTL_5YR_GRWTH","FQ3 2016","FQ3 2016","Currency=INR","Period=FQ","BEST_FPERIOD_OVERRIDE=FQ","FILING_STATUS=OR","EQY_CONSOLIDATED=Y","Sort=A","Dates=H","DateFormat=P","Fill=—","Direction=H","UseDPDF=Y")</f>
        <v>#NAME?</v>
      </c>
      <c r="AX66" s="1" t="e">
        <f ca="1">_xll.BDH($C$53,"WORKING_CAPITAL_5_YEAR_GROWTH","FQ3 2016","FQ3 2016","Currency=INR","Period=FQ","BEST_FPERIOD_OVERRIDE=FQ","FILING_STATUS=OR","EQY_CONSOLIDATED=Y","Sort=A","Dates=H","DateFormat=P","Fill=—","Direction=H","UseDPDF=Y")</f>
        <v>#NAME?</v>
      </c>
      <c r="AY66" s="1" t="e">
        <f ca="1">_xll.BDH($C$53,"ACCOUNTS_PAYABLE_5_YEAR_GROWTH","FQ3 2016","FQ3 2016","Currency=INR","Period=FQ","BEST_FPERIOD_OVERRIDE=FQ","FILING_STATUS=OR","EQY_CONSOLIDATED=Y","Sort=A","Dates=H","DateFormat=P","Fill=—","Direction=H","UseDPDF=Y")</f>
        <v>#NAME?</v>
      </c>
      <c r="AZ66" s="1" t="e">
        <f ca="1">_xll.BDH($C$53,"SHORT_TERM_DEBT_5_YEAR_GROWTH","FQ3 2016","FQ3 2016","Currency=INR","Period=FQ","BEST_FPERIOD_OVERRIDE=FQ","FILING_STATUS=OR","EQY_CONSOLIDATED=Y","Sort=A","Dates=H","DateFormat=P","Fill=—","Direction=H","UseDPDF=Y")</f>
        <v>#NAME?</v>
      </c>
      <c r="BA66" s="1" t="e">
        <f ca="1">_xll.BDH($C$53,"TOTAL_DEBT_5_YEAR_GROWTH","FQ3 2016","FQ3 2016","Currency=INR","Period=FQ","BEST_FPERIOD_OVERRIDE=FQ","FILING_STATUS=OR","EQY_CONSOLIDATED=Y","Sort=A","Dates=H","DateFormat=P","Fill=—","Direction=H","UseDPDF=Y")</f>
        <v>#NAME?</v>
      </c>
      <c r="BB66" s="1" t="e">
        <f ca="1">_xll.BDH($C$53,"GEO_GROW_TOT_SHRHLDR_EQY","FQ3 2016","FQ3 2016","Currency=INR","Period=FQ","BEST_FPERIOD_OVERRIDE=FQ","FILING_STATUS=OR","EQY_CONSOLIDATED=Y","Sort=A","Dates=H","DateFormat=P","Fill=—","Direction=H","UseDPDF=Y")</f>
        <v>#NAME?</v>
      </c>
      <c r="BC66" s="1" t="e">
        <f ca="1">_xll.BDH($C$53,"TOTAL_CAPITAL_5_YEAR_GROWTH","FQ3 2016","FQ3 2016","Currency=INR","Period=FQ","BEST_FPERIOD_OVERRIDE=FQ","FILING_STATUS=OR","EQY_CONSOLIDATED=Y","Sort=A","Dates=H","DateFormat=P","Fill=—","Direction=H","UseDPDF=Y")</f>
        <v>#NAME?</v>
      </c>
      <c r="BD66" s="1" t="e">
        <f ca="1">_xll.BDH($C$53,"GEO_GROW_BOOK_VAL","FQ3 2016","FQ3 2016","Currency=INR","Period=FQ","BEST_FPERIOD_OVERRIDE=FQ","FILING_STATUS=OR","EQY_CONSOLIDATED=Y","Sort=A","Dates=H","DateFormat=P","Fill=—","Direction=H","UseDPDF=Y")</f>
        <v>#NAME?</v>
      </c>
      <c r="BE66" s="1" t="e">
        <f ca="1">_xll.BDH($C$53,"GEO_GROW_CASH_OPER_ACT","FQ3 2016","FQ3 2016","Currency=INR","Period=FQ","BEST_FPERIOD_OVERRIDE=FQ","FILING_STATUS=OR","EQY_CONSOLIDATED=Y","Sort=A","Dates=H","DateFormat=P","Fill=—","Direction=H","UseDPDF=Y")</f>
        <v>#NAME?</v>
      </c>
      <c r="BF66" s="1" t="e">
        <f ca="1">_xll.BDH($C$53,"REVENUE_SEQUENTIAL_GROWTH","FQ3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66" s="1" t="e">
        <f ca="1">_xll.BDH($C$53,"EBITDA_SEQUENTIAL_GROWTH","FQ3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66" s="1" t="e">
        <f ca="1">_xll.BDH($C$53,"OPERATING_INCOME_SEQ_GROWTH","FQ3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66" s="1" t="e">
        <f ca="1">_xll.BDH($C$53,"NET_INCOME_TO_COMMON_SEQ_GROWTH","FQ3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66" s="1" t="e">
        <f ca="1">_xll.BDH($C$53,"EPS_DILUTED_SEQUENTIAL_GROWTH","FQ3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66" s="1" t="e">
        <f ca="1">_xll.BDH($C$53,"DPS_SEQUENTIAL_GROWTH","FQ3 2016","FQ3 2016","Currency=INR","Period=FQ","BEST_FPERIOD_OVERRIDE=FQ","FILING_STATUS=OR","EQY_CONSOLIDATED=Y","Sort=A","Dates=H","DateFormat=P","Fill=—","Direction=H","UseDPDF=Y")</f>
        <v>#NAME?</v>
      </c>
      <c r="BL66" s="1" t="e">
        <f ca="1">_xll.BDH($C$53,"ACCOUNTS_RECEIVABLE_SEQ_GROWTH","FQ3 2016","FQ3 2016","Currency=INR","Period=FQ","BEST_FPERIOD_OVERRIDE=FQ","FILING_STATUS=OR","EQY_CONSOLIDATED=Y","Sort=A","Dates=H","DateFormat=P","Fill=—","Direction=H","UseDPDF=Y")</f>
        <v>#NAME?</v>
      </c>
      <c r="BM66" s="1" t="e">
        <f ca="1">_xll.BDH($C$53,"INVENTORY_SEQUENTIAL_GROWTH","FQ3 2016","FQ3 2016","Currency=INR","Period=FQ","BEST_FPERIOD_OVERRIDE=FQ","FILING_STATUS=OR","EQY_CONSOLIDATED=Y","Sort=A","Dates=H","DateFormat=P","Fill=—","Direction=H","UseDPDF=Y")</f>
        <v>#NAME?</v>
      </c>
      <c r="BN66" s="1" t="e">
        <f ca="1">_xll.BDH($C$53,"FIXED_ASSETS_SEQUENTIAL_GROWTH","FQ3 2016","FQ3 2016","Currency=INR","Period=FQ","BEST_FPERIOD_OVERRIDE=FQ","FILING_STATUS=OR","EQY_CONSOLIDATED=Y","Sort=A","Dates=H","DateFormat=P","Fill=—","Direction=H","UseDPDF=Y")</f>
        <v>#NAME?</v>
      </c>
      <c r="BO66" s="1" t="e">
        <f ca="1">_xll.BDH($C$53,"TOTAL_ASSETS_SEQUENTIAL_GROWTH","FQ3 2016","FQ3 2016","Currency=INR","Period=FQ","BEST_FPERIOD_OVERRIDE=FQ","FILING_STATUS=OR","EQY_CONSOLIDATED=Y","Sort=A","Dates=H","DateFormat=P","Fill=—","Direction=H","UseDPDF=Y")</f>
        <v>#NAME?</v>
      </c>
      <c r="BP66" s="1" t="e">
        <f ca="1">_xll.BDH($C$53,"MODIFIED_WORKING_CPTL_SEQ_GRWTH","FQ3 2016","FQ3 2016","Currency=INR","Period=FQ","BEST_FPERIOD_OVERRIDE=FQ","FILING_STATUS=OR","EQY_CONSOLIDATED=Y","Sort=A","Dates=H","DateFormat=P","Fill=—","Direction=H","UseDPDF=Y")</f>
        <v>#NAME?</v>
      </c>
      <c r="BQ66" s="1" t="e">
        <f ca="1">_xll.BDH($C$53,"WORKING_CAPITAL_SEQ_GROWTH","FQ3 2016","FQ3 2016","Currency=INR","Period=FQ","BEST_FPERIOD_OVERRIDE=FQ","FILING_STATUS=OR","EQY_CONSOLIDATED=Y","Sort=A","Dates=H","DateFormat=P","Fill=—","Direction=H","UseDPDF=Y")</f>
        <v>#NAME?</v>
      </c>
      <c r="BR66" s="1" t="e">
        <f ca="1">_xll.BDH($C$53,"ACCOUNTS_PAYABLE_SEQ_GROWTH","FQ3 2016","FQ3 2016","Currency=INR","Period=FQ","BEST_FPERIOD_OVERRIDE=FQ","FILING_STATUS=OR","EQY_CONSOLIDATED=Y","Sort=A","Dates=H","DateFormat=P","Fill=—","Direction=H","UseDPDF=Y")</f>
        <v>#NAME?</v>
      </c>
      <c r="BS66" s="1" t="e">
        <f ca="1">_xll.BDH($C$53,"ST_DEBT_SEQUENTIAL_GROWTH","FQ3 2016","FQ3 2016","Currency=INR","Period=FQ","BEST_FPERIOD_OVERRIDE=FQ","FILING_STATUS=OR","EQY_CONSOLIDATED=Y","Sort=A","Dates=H","DateFormat=P","Fill=—","Direction=H","UseDPDF=Y")</f>
        <v>#NAME?</v>
      </c>
      <c r="BT66" s="1" t="e">
        <f ca="1">_xll.BDH($C$53,"TOTAL_DEBT_SEQUENTIAL_GROWTH","FQ3 2016","FQ3 2016","Currency=INR","Period=FQ","BEST_FPERIOD_OVERRIDE=FQ","FILING_STATUS=OR","EQY_CONSOLIDATED=Y","Sort=A","Dates=H","DateFormat=P","Fill=—","Direction=H","UseDPDF=Y")</f>
        <v>#NAME?</v>
      </c>
      <c r="BU66" s="1" t="e">
        <f ca="1">_xll.BDH($C$53,"TOTAL_EQUITY_SEQUENTIAL_GROWTH","FQ3 2016","FQ3 2016","Currency=INR","Period=FQ","BEST_FPERIOD_OVERRIDE=FQ","FILING_STATUS=OR","EQY_CONSOLIDATED=Y","Sort=A","Dates=H","DateFormat=P","Fill=—","Direction=H","UseDPDF=Y")</f>
        <v>#NAME?</v>
      </c>
      <c r="BV66" s="1" t="e">
        <f ca="1">_xll.BDH($C$53,"TOTAL_CAPITAL_SEQUENTIAL_GROWTH","FQ3 2016","FQ3 2016","Currency=INR","Period=FQ","BEST_FPERIOD_OVERRIDE=FQ","FILING_STATUS=OR","EQY_CONSOLIDATED=Y","Sort=A","Dates=H","DateFormat=P","Fill=—","Direction=H","UseDPDF=Y")</f>
        <v>#NAME?</v>
      </c>
      <c r="BW66" s="1" t="e">
        <f ca="1">_xll.BDH($C$53,"BPS_SEQUENTIAL_GROWTH","FQ3 2016","FQ3 2016","Currency=INR","Period=FQ","BEST_FPERIOD_OVERRIDE=FQ","FILING_STATUS=OR","EQY_CONSOLIDATED=Y","Sort=A","Dates=H","DateFormat=P","Fill=—","Direction=H","UseDPDF=Y")</f>
        <v>#NAME?</v>
      </c>
      <c r="BX66" s="1" t="e">
        <f ca="1">_xll.BDH($C$53,"CFO_SEQUENTIAL_GROWTH","FQ3 2016","FQ3 2016","Currency=INR","Period=FQ","BEST_FPERIOD_OVERRIDE=FQ","FILING_STATUS=OR","EQY_CONSOLIDATED=Y","Sort=A","Dates=H","DateFormat=P","Fill=—","Direction=H","UseDPDF=Y")</f>
        <v>#NAME?</v>
      </c>
      <c r="BY66" s="2" t="e">
        <f ca="1">_xll.BDH($C$53,"SHORT_AND_LONG_TERM_DEBT","FQ3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66" s="2" t="e">
        <f ca="1">_xll.BDH($C$53,"BS_ST_BORROW","FQ3 2016","FQ3 2016","Currency=INR","Period=FQ","BEST_FPERIOD_OVERRIDE=FQ","FILING_STATUS=OR","EQY_CONSOLIDATED=Y","SCALING_FORMAT=MLN","Sort=A","Dates=H","DateFormat=P","Fill=—","Direction=H","UseDPDF=Y")</f>
        <v>#NAME?</v>
      </c>
      <c r="CA66" s="2" t="e">
        <f ca="1">_xll.BDH($C$53,"BS_LT_BORROW","FQ3 2016","FQ3 2016","Currency=INR","Period=FQ","BEST_FPERIOD_OVERRIDE=FQ","FILING_STATUS=OR","EQY_CONSOLIDATED=Y","SCALING_FORMAT=MLN","Sort=A","Dates=H","DateFormat=P","Fill=—","Direction=H","UseDPDF=Y")</f>
        <v>#NAME?</v>
      </c>
      <c r="CB66" s="1" t="e">
        <f ca="1">_xll.BDH($C$53,"TOT_DEBT_TO_EBITDA","FQ3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66" s="1" t="e">
        <f ca="1">_xll.BDH($C$53,"NET_DEBT_TO_EBITDA","FQ3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66" s="1" t="e">
        <f ca="1">_xll.BDH($C$53,"TOTAL_DEBT_TO_EBIT","FQ3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66" s="1" t="e">
        <f ca="1">_xll.BDH($C$53,"NET_DEBT_TO_EBIT","FQ3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66" s="1" t="e">
        <f ca="1">_xll.BDH($C$53,"EBITDA_TO_INTEREST_EXPN","FQ3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66" s="1" t="e">
        <f ca="1">_xll.BDH($C$53,"COM_EQY_TO_TOT_ASSET","FQ3 2016","FQ3 2016","Currency=INR","Period=FQ","BEST_FPERIOD_OVERRIDE=FQ","FILING_STATUS=OR","EQY_CONSOLIDATED=Y","Sort=A","Dates=H","DateFormat=P","Fill=—","Direction=H","UseDPDF=Y")</f>
        <v>#NAME?</v>
      </c>
      <c r="CH66" s="1" t="e">
        <f ca="1">_xll.BDH($C$53,"LT_DEBT_TO_TOT_EQY","FQ3 2016","FQ3 2016","Currency=INR","Period=FQ","BEST_FPERIOD_OVERRIDE=FQ","FILING_STATUS=OR","EQY_CONSOLIDATED=Y","Sort=A","Dates=H","DateFormat=P","Fill=—","Direction=H","UseDPDF=Y")</f>
        <v>#NAME?</v>
      </c>
      <c r="CI66" s="1" t="e">
        <f ca="1">_xll.BDH($C$53,"LT_DEBT_TO_TOT_CAP","FQ3 2016","FQ3 2016","Currency=INR","Period=FQ","BEST_FPERIOD_OVERRIDE=FQ","FILING_STATUS=OR","EQY_CONSOLIDATED=Y","Sort=A","Dates=H","DateFormat=P","Fill=—","Direction=H","UseDPDF=Y")</f>
        <v>#NAME?</v>
      </c>
      <c r="CJ66" s="1" t="e">
        <f ca="1">_xll.BDH($C$53,"LT_DEBT_TO_TOT_ASSET","FQ3 2016","FQ3 2016","Currency=INR","Period=FQ","BEST_FPERIOD_OVERRIDE=FQ","FILING_STATUS=OR","EQY_CONSOLIDATED=Y","Sort=A","Dates=H","DateFormat=P","Fill=—","Direction=H","UseDPDF=Y")</f>
        <v>#NAME?</v>
      </c>
      <c r="CK66" s="1" t="e">
        <f ca="1">_xll.BDH($C$53,"TOT_DEBT_TO_TOT_EQY","FQ3 2016","FQ3 2016","Currency=INR","Period=FQ","BEST_FPERIOD_OVERRIDE=FQ","FILING_STATUS=OR","EQY_CONSOLIDATED=Y","Sort=A","Dates=H","DateFormat=P","Fill=—","Direction=H","UseDPDF=Y")</f>
        <v>#NAME?</v>
      </c>
      <c r="CL66" s="1" t="e">
        <f ca="1">_xll.BDH($C$53,"TOT_DEBT_TO_TOT_CAP","FQ3 2016","FQ3 2016","Currency=INR","Period=FQ","BEST_FPERIOD_OVERRIDE=FQ","FILING_STATUS=OR","EQY_CONSOLIDATED=Y","Sort=A","Dates=H","DateFormat=P","Fill=—","Direction=H","UseDPDF=Y")</f>
        <v>#NAME?</v>
      </c>
      <c r="CM66" s="1" t="e">
        <f ca="1">_xll.BDH($C$53,"TOT_DEBT_TO_TOT_ASSET","FQ3 2016","FQ3 2016","Currency=INR","Period=FQ","BEST_FPERIOD_OVERRIDE=FQ","FILING_STATUS=OR","EQY_CONSOLIDATED=Y","Sort=A","Dates=H","DateFormat=P","Fill=—","Direction=H","UseDPDF=Y")</f>
        <v>#NAME?</v>
      </c>
      <c r="CN66" s="1" t="e">
        <f ca="1">_xll.BDH($C$53,"NET_DEBT_TO_SHRHLDR_EQTY","FQ3 2016","FQ3 2016","Currency=INR","Period=FQ","BEST_FPERIOD_OVERRIDE=FQ","FILING_STATUS=OR","EQY_CONSOLIDATED=Y","Sort=A","Dates=H","DateFormat=P","Fill=—","Direction=H","UseDPDF=Y")</f>
        <v>#NAME?</v>
      </c>
      <c r="CO66" s="1" t="e">
        <f ca="1">_xll.BDH($C$53,"NET_DEBT_%_CAPITAL","FQ3 2016","FQ3 2016","Currency=INR","Period=FQ","BEST_FPERIOD_OVERRIDE=FQ","FILING_STATUS=OR","EQY_CONSOLIDATED=Y","Sort=A","Dates=H","DateFormat=P","Fill=—","Direction=H","UseDPDF=Y")</f>
        <v>#NAME?</v>
      </c>
      <c r="CP66" s="2" t="e">
        <f ca="1">_xll.BDH($C$53,"EBITDA","FQ3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66" s="2" t="e">
        <f ca="1">_xll.BDH($C$53,"EBITDA_AFTER_CAPEX","FQ3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66" s="2" t="e">
        <f ca="1">_xll.BDH($C$53,"IS_OPER_INC","FQ3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66" s="1" t="e">
        <f ca="1">_xll.BDH($C$53,"CASH_RATIO","FQ3 2016","FQ3 2016","Currency=INR","Period=FQ","BEST_FPERIOD_OVERRIDE=FQ","FILING_STATUS=OR","EQY_CONSOLIDATED=Y","Sort=A","Dates=H","DateFormat=P","Fill=—","Direction=H","UseDPDF=Y")</f>
        <v>#NAME?</v>
      </c>
      <c r="CT66" s="1" t="e">
        <f ca="1">_xll.BDH($C$53,"CUR_RATIO","FQ3 2016","FQ3 2016","Currency=INR","Period=FQ","BEST_FPERIOD_OVERRIDE=FQ","FILING_STATUS=OR","EQY_CONSOLIDATED=Y","Sort=A","Dates=H","DateFormat=P","Fill=—","Direction=H","UseDPDF=Y")</f>
        <v>#NAME?</v>
      </c>
      <c r="CU66" s="1" t="e">
        <f ca="1">_xll.BDH($C$53,"QUICK_RATIO","FQ3 2016","FQ3 2016","Currency=INR","Period=FQ","BEST_FPERIOD_OVERRIDE=FQ","FILING_STATUS=OR","EQY_CONSOLIDATED=Y","Sort=A","Dates=H","DateFormat=P","Fill=—","Direction=H","UseDPDF=Y")</f>
        <v>#NAME?</v>
      </c>
      <c r="CV66" s="1" t="e">
        <f ca="1">_xll.BDH($C$53,"ALTMAN_Z_SCORE","FQ3 2016","FQ3 2016","Currency=INR","Period=FQ","BEST_FPERIOD_OVERRIDE=FQ","FILING_STATUS=OR","EQY_CONSOLIDATED=Y","Sort=A","Dates=H","DateFormat=P","Fill=—","Direction=H","UseDPDF=Y")</f>
        <v>#NAME?</v>
      </c>
      <c r="CW66" s="3" t="e">
        <f ca="1">_xll.BDH($C$53,"ACCT_RCV_TURN","FQ3 2016","FQ3 2016","Currency=INR","Period=FQ","BEST_FPERIOD_OVERRIDE=FQ","FILING_STATUS=OR","EQY_CONSOLIDATED=Y","FA_ADJUSTED=GAAP","Sort=A","Dates=H","DateFormat=P","Fill=—","Direction=H","UseDPDF=Y")</f>
        <v>#NAME?</v>
      </c>
      <c r="CX66" s="1" t="e">
        <f ca="1">_xll.BDH($C$53,"ACCT_RCV_DAYS","FQ3 2016","FQ3 2016","Currency=INR","Period=FQ","BEST_FPERIOD_OVERRIDE=FQ","FILING_STATUS=OR","EQY_CONSOLIDATED=Y","FA_ADJUSTED=GAAP","Sort=A","Dates=H","DateFormat=P","Fill=—","Direction=H","UseDPDF=Y")</f>
        <v>#NAME?</v>
      </c>
      <c r="CY66" s="3" t="e">
        <f ca="1">_xll.BDH($C$53,"INVENT_TURN","FQ3 2016","FQ3 2016","Currency=INR","Period=FQ","BEST_FPERIOD_OVERRIDE=FQ","FILING_STATUS=OR","EQY_CONSOLIDATED=Y","FA_ADJUSTED=GAAP","Sort=A","Dates=H","DateFormat=P","Fill=—","Direction=H","UseDPDF=Y")</f>
        <v>#NAME?</v>
      </c>
      <c r="CZ66" s="1" t="e">
        <f ca="1">_xll.BDH($C$53,"INVENT_DAYS","FQ3 2016","FQ3 2016","Currency=INR","Period=FQ","BEST_FPERIOD_OVERRIDE=FQ","FILING_STATUS=OR","EQY_CONSOLIDATED=Y","FA_ADJUSTED=GAAP","Sort=A","Dates=H","DateFormat=P","Fill=—","Direction=H","UseDPDF=Y")</f>
        <v>#NAME?</v>
      </c>
      <c r="DA66" s="3" t="e">
        <f ca="1">_xll.BDH($C$53,"ACCOUNTS_PAYABLE_TURNOVER","FQ3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66" s="1" t="e">
        <f ca="1">_xll.BDH($C$53,"ACCOUNTS_PAYABLE_TURNOVER_DAYS","FQ3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66" s="3" t="e">
        <f ca="1">_xll.BDH($C$53,"CASH_CONVERSION_CYCLE","FQ3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66" s="3" t="e">
        <f ca="1">_xll.BDH($C$53,"INV_TO_CASH_DAYS","FQ3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66" s="4" t="e">
        <f ca="1">_xll.BDH($C$53,"BS_INVENTORIES","FQ3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66" s="2" t="e">
        <f ca="1">_xll.BDH($C$53,"INVTRY_RAW_MATERIALS","FQ3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66" s="2" t="e">
        <f ca="1">_xll.BDH($C$53,"INVTRY_IN_PROGRESS","FQ3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66" s="2" t="e">
        <f ca="1">_xll.BDH($C$53,"INVTRY_FINISHED_GOODS","FQ3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66" s="2" t="e">
        <f ca="1">_xll.BDH($C$53,"BS_OTHER_INV","FQ3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67" spans="1:113" x14ac:dyDescent="0.3">
      <c r="A67" s="6"/>
      <c r="B67" s="6"/>
      <c r="C67" s="6"/>
      <c r="D67" s="6"/>
      <c r="E67" t="s">
        <v>7</v>
      </c>
      <c r="F67" t="e">
        <f ca="1">_xll.BDH($C$53,"RETURN_COM_EQY","FQ4 2016","FQ4 2016","Currency=INR","Period=FQ","BEST_FPERIOD_OVERRIDE=FQ","FILING_STATUS=OR","EQY_CONSOLIDATED=Y","FA_ADJUSTED=GAAP","Sort=A","Dates=H","DateFormat=P","Fill=—","Direction=H","UseDPDF=Y")</f>
        <v>#NAME?</v>
      </c>
      <c r="G67" t="e">
        <f ca="1">_xll.BDH($C$53,"RETURN_ON_ASSET","FQ4 2016","FQ4 2016","Currency=INR","Period=FQ","BEST_FPERIOD_OVERRIDE=FQ","FILING_STATUS=OR","EQY_CONSOLIDATED=Y","FA_ADJUSTED=GAAP","Sort=A","Dates=H","DateFormat=P","Fill=—","Direction=H","UseDPDF=Y")</f>
        <v>#NAME?</v>
      </c>
      <c r="H67" t="e">
        <f ca="1">_xll.BDH($C$53,"RETURN_ON_CAP","FQ4 2016","FQ4 2016","Currency=INR","Period=FQ","BEST_FPERIOD_OVERRIDE=FQ","FILING_STATUS=OR","EQY_CONSOLIDATED=Y","FA_ADJUSTED=GAAP","Sort=A","Dates=H","DateFormat=P","Fill=—","Direction=H","UseDPDF=Y")</f>
        <v>#NAME?</v>
      </c>
      <c r="I67" t="e">
        <f ca="1">_xll.BDH($C$53,"RETURN_ON_INV_CAPITAL","FQ4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67" t="e">
        <f ca="1">_xll.BDH($C$53,"EBITDA_TO_REVENUE","FQ4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67" t="e">
        <f ca="1">_xll.BDH($C$53,"OPER_MARGIN","FQ4 2016","FQ4 2016","Currency=INR","Period=FQ","BEST_FPERIOD_OVERRIDE=FQ","FILING_STATUS=OR","EQY_CONSOLIDATED=Y","FA_ADJUSTED=GAAP","Sort=A","Dates=H","DateFormat=P","Fill=—","Direction=H","UseDPDF=Y")</f>
        <v>#NAME?</v>
      </c>
      <c r="L67" t="e">
        <f ca="1">_xll.BDH($C$53,"INCREMENTAL_OPERATING_MARGIN","FQ4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67" t="e">
        <f ca="1">_xll.BDH($C$53,"PRETAX_INC_TO_NET_SALES","FQ4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67" t="e">
        <f ca="1">_xll.BDH($C$53,"INC_BEF_XO_ITEMS_TO_NET_SALES","FQ4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67" t="e">
        <f ca="1">_xll.BDH($C$53,"PROF_MARGIN","FQ4 2016","FQ4 2016","Currency=INR","Period=FQ","BEST_FPERIOD_OVERRIDE=FQ","FILING_STATUS=OR","EQY_CONSOLIDATED=Y","FA_ADJUSTED=GAAP","Sort=A","Dates=H","DateFormat=P","Fill=—","Direction=H","UseDPDF=Y")</f>
        <v>#NAME?</v>
      </c>
      <c r="P67" t="e">
        <f ca="1">_xll.BDH($C$53,"NET_INCOME_TO_COMMON_MARGIN","FQ4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67" t="e">
        <f ca="1">_xll.BDH($C$53,"EFF_TAX_RATE","FQ4 2016","FQ4 2016","Currency=INR","Period=FQ","BEST_FPERIOD_OVERRIDE=FQ","FILING_STATUS=OR","EQY_CONSOLIDATED=Y","FA_ADJUSTED=GAAP","Sort=A","Dates=H","DateFormat=P","Fill=—","Direction=H","UseDPDF=Y")</f>
        <v>#NAME?</v>
      </c>
      <c r="R67" t="e">
        <f ca="1">_xll.BDH($C$53,"DVD_PAYOUT_RATIO","FQ4 2016","FQ4 2016","Currency=INR","Period=FQ","BEST_FPERIOD_OVERRIDE=FQ","FILING_STATUS=OR","EQY_CONSOLIDATED=Y","FA_ADJUSTED=GAAP","Sort=A","Dates=H","DateFormat=P","Fill=—","Direction=H","UseDPDF=Y")</f>
        <v>#NAME?</v>
      </c>
      <c r="S67" t="e">
        <f ca="1">_xll.BDH($C$53,"SUSTAIN_GROWTH_RT","FQ4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67" s="1" t="e">
        <f ca="1">_xll.BDH($C$53,"SALES_GROWTH","FQ4 2016","FQ4 2016","Currency=INR","Period=FQ","BEST_FPERIOD_OVERRIDE=FQ","FILING_STATUS=OR","EQY_CONSOLIDATED=Y","FA_ADJUSTED=GAAP","Sort=A","Dates=H","DateFormat=P","Fill=—","Direction=H","UseDPDF=Y")</f>
        <v>#NAME?</v>
      </c>
      <c r="U67" s="1" t="e">
        <f ca="1">_xll.BDH($C$53,"EBITDA_GROWTH","FQ4 2016","FQ4 2016","Currency=INR","Period=FQ","BEST_FPERIOD_OVERRIDE=FQ","FILING_STATUS=OR","EQY_CONSOLIDATED=Y","FA_ADJUSTED=GAAP","Sort=A","Dates=H","DateFormat=P","Fill=—","Direction=H","UseDPDF=Y")</f>
        <v>#NAME?</v>
      </c>
      <c r="V67" s="1" t="e">
        <f ca="1">_xll.BDH($C$53,"OPER_INC_GROWTH","FQ4 2016","FQ4 2016","Currency=INR","Period=FQ","BEST_FPERIOD_OVERRIDE=FQ","FILING_STATUS=OR","EQY_CONSOLIDATED=Y","FA_ADJUSTED=GAAP","Sort=A","Dates=H","DateFormat=P","Fill=—","Direction=H","UseDPDF=Y")</f>
        <v>#NAME?</v>
      </c>
      <c r="W67" s="1" t="e">
        <f ca="1">_xll.BDH($C$53,"EARN_FOR_COM_GROWTH","FQ4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67" s="1" t="e">
        <f ca="1">_xll.BDH($C$53,"DILUTED_EPS_AFT_XO_ITEMS_GROWTH","FQ4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67" s="1" t="e">
        <f ca="1">_xll.BDH($C$53,"DIVIDEND_PER_SHARE_1_YEAR_GROWTH","FQ4 2016","FQ4 2016","Currency=INR","Period=FQ","BEST_FPERIOD_OVERRIDE=FQ","FILING_STATUS=OR","EQY_CONSOLIDATED=Y","Sort=A","Dates=H","DateFormat=P","Fill=—","Direction=H","UseDPDF=Y")</f>
        <v>#NAME?</v>
      </c>
      <c r="Z67" s="1" t="e">
        <f ca="1">_xll.BDH($C$53,"ACCOUNTS_RECEIVABLE_GROWTH","FQ4 2016","FQ4 2016","Currency=INR","Period=FQ","BEST_FPERIOD_OVERRIDE=FQ","FILING_STATUS=OR","EQY_CONSOLIDATED=Y","Sort=A","Dates=H","DateFormat=P","Fill=—","Direction=H","UseDPDF=Y")</f>
        <v>#NAME?</v>
      </c>
      <c r="AA67" s="1" t="e">
        <f ca="1">_xll.BDH($C$53,"INVENTORY_GROWTH","FQ4 2016","FQ4 2016","Currency=INR","Period=FQ","BEST_FPERIOD_OVERRIDE=FQ","FILING_STATUS=OR","EQY_CONSOLIDATED=Y","Sort=A","Dates=H","DateFormat=P","Fill=—","Direction=H","UseDPDF=Y")</f>
        <v>#NAME?</v>
      </c>
      <c r="AB67" s="1" t="e">
        <f ca="1">_xll.BDH($C$53,"NET_FIXED_ASSETS_1_YEAR_GROWTH","FQ4 2016","FQ4 2016","Currency=INR","Period=FQ","BEST_FPERIOD_OVERRIDE=FQ","FILING_STATUS=OR","EQY_CONSOLIDATED=Y","Sort=A","Dates=H","DateFormat=P","Fill=—","Direction=H","UseDPDF=Y")</f>
        <v>#NAME?</v>
      </c>
      <c r="AC67" s="1" t="e">
        <f ca="1">_xll.BDH($C$53,"ASSET_GROWTH","FQ4 2016","FQ4 2016","Currency=INR","Period=FQ","BEST_FPERIOD_OVERRIDE=FQ","FILING_STATUS=OR","EQY_CONSOLIDATED=Y","Sort=A","Dates=H","DateFormat=P","Fill=—","Direction=H","UseDPDF=Y")</f>
        <v>#NAME?</v>
      </c>
      <c r="AD67" s="1" t="e">
        <f ca="1">_xll.BDH($C$53,"MODIFIED_WORK_CAP_GROWTH","FQ4 2016","FQ4 2016","Currency=INR","Period=FQ","BEST_FPERIOD_OVERRIDE=FQ","FILING_STATUS=OR","EQY_CONSOLIDATED=Y","Sort=A","Dates=H","DateFormat=P","Fill=—","Direction=H","UseDPDF=Y")</f>
        <v>#NAME?</v>
      </c>
      <c r="AE67" s="1" t="e">
        <f ca="1">_xll.BDH($C$53,"WORK_CAP_GROWTH","FQ4 2016","FQ4 2016","Currency=INR","Period=FQ","BEST_FPERIOD_OVERRIDE=FQ","FILING_STATUS=OR","EQY_CONSOLIDATED=Y","Sort=A","Dates=H","DateFormat=P","Fill=—","Direction=H","UseDPDF=Y")</f>
        <v>#NAME?</v>
      </c>
      <c r="AF67" s="1" t="e">
        <f ca="1">_xll.BDH($C$53,"ACCOUNTS_PAYABLE_GROWTH_1YR","FQ4 2016","FQ4 2016","Currency=INR","Period=FQ","BEST_FPERIOD_OVERRIDE=FQ","FILING_STATUS=OR","EQY_CONSOLIDATED=Y","Sort=A","Dates=H","DateFormat=P","Fill=—","Direction=H","UseDPDF=Y")</f>
        <v>#NAME?</v>
      </c>
      <c r="AG67" s="1" t="e">
        <f ca="1">_xll.BDH($C$53,"SHORT_TERM_DEBT_1_YEAR_GROWTH","FQ4 2016","FQ4 2016","Currency=INR","Period=FQ","BEST_FPERIOD_OVERRIDE=FQ","FILING_STATUS=OR","EQY_CONSOLIDATED=Y","Sort=A","Dates=H","DateFormat=P","Fill=—","Direction=H","UseDPDF=Y")</f>
        <v>#NAME?</v>
      </c>
      <c r="AH67" s="1" t="e">
        <f ca="1">_xll.BDH($C$53,"TOTAL_DEBT_1_YEAR_GROWTH","FQ4 2016","FQ4 2016","Currency=INR","Period=FQ","BEST_FPERIOD_OVERRIDE=FQ","FILING_STATUS=OR","EQY_CONSOLIDATED=Y","Sort=A","Dates=H","DateFormat=P","Fill=—","Direction=H","UseDPDF=Y")</f>
        <v>#NAME?</v>
      </c>
      <c r="AI67" s="1" t="e">
        <f ca="1">_xll.BDH($C$53,"TOTAL_EQUITY_1_YEAR_GROWTH","FQ4 2016","FQ4 2016","Currency=INR","Period=FQ","BEST_FPERIOD_OVERRIDE=FQ","FILING_STATUS=OR","EQY_CONSOLIDATED=Y","Sort=A","Dates=H","DateFormat=P","Fill=—","Direction=H","UseDPDF=Y")</f>
        <v>#NAME?</v>
      </c>
      <c r="AJ67" s="1" t="e">
        <f ca="1">_xll.BDH($C$53,"GROWTH_IN_CAP","FQ4 2016","FQ4 2016","Currency=INR","Period=FQ","BEST_FPERIOD_OVERRIDE=FQ","FILING_STATUS=OR","EQY_CONSOLIDATED=Y","Sort=A","Dates=H","DateFormat=P","Fill=—","Direction=H","UseDPDF=Y")</f>
        <v>#NAME?</v>
      </c>
      <c r="AK67" s="1" t="e">
        <f ca="1">_xll.BDH($C$53,"BVPS_GROWTH","FQ4 2016","FQ4 2016","Currency=INR","Period=FQ","BEST_FPERIOD_OVERRIDE=FQ","FILING_STATUS=OR","EQY_CONSOLIDATED=Y","Sort=A","Dates=H","DateFormat=P","Fill=—","Direction=H","UseDPDF=Y")</f>
        <v>#NAME?</v>
      </c>
      <c r="AL67" s="1" t="e">
        <f ca="1">_xll.BDH($C$53,"CASH_FLOW_GROWTH","FQ4 2016","FQ4 2016","Currency=INR","Period=FQ","BEST_FPERIOD_OVERRIDE=FQ","FILING_STATUS=OR","EQY_CONSOLIDATED=Y","Sort=A","Dates=H","DateFormat=P","Fill=—","Direction=H","UseDPDF=Y")</f>
        <v>#NAME?</v>
      </c>
      <c r="AM67" s="1" t="e">
        <f ca="1">_xll.BDH($C$53,"GEO_GROW_NET_SALES","FQ4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67" s="1" t="e">
        <f ca="1">_xll.BDH($C$53,"GEO_GROW_EBITDA","FQ4 2016","FQ4 2016","Currency=INR","Period=FQ","BEST_FPERIOD_OVERRIDE=FQ","FILING_STATUS=OR","EQY_CONSOLIDATED=Y","FA_ADJUSTED=GAAP","Sort=A","Dates=H","DateFormat=P","Fill=—","Direction=H","UseDPDF=Y")</f>
        <v>#NAME?</v>
      </c>
      <c r="AO67" s="1" t="e">
        <f ca="1">_xll.BDH($C$53,"GEO_GROW_OPER_INC","FQ4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67" s="1" t="e">
        <f ca="1">_xll.BDH($C$53,"NET_INCOME_TO_COMMON_5_YR_GROWTH","FQ4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67" s="1" t="e">
        <f ca="1">_xll.BDH($C$53,"5Y_GEO_GROWTH_DILUTED_EPS","FQ4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67" s="1" t="e">
        <f ca="1">_xll.BDH($C$53,"GEO_GROW_DVD_PER_SH","FQ4 2016","FQ4 2016","Currency=INR","Period=FQ","BEST_FPERIOD_OVERRIDE=FQ","FILING_STATUS=OR","EQY_CONSOLIDATED=Y","Sort=A","Dates=H","DateFormat=P","Fill=—","Direction=H","UseDPDF=Y")</f>
        <v>#NAME?</v>
      </c>
      <c r="AS67" s="1" t="e">
        <f ca="1">_xll.BDH($C$53,"ACCOUNTS_RECEIVABLE_5_YR_GROWTH","FQ4 2016","FQ4 2016","Currency=INR","Period=FQ","BEST_FPERIOD_OVERRIDE=FQ","FILING_STATUS=OR","EQY_CONSOLIDATED=Y","Sort=A","Dates=H","DateFormat=P","Fill=—","Direction=H","UseDPDF=Y")</f>
        <v>#NAME?</v>
      </c>
      <c r="AT67" s="1" t="e">
        <f ca="1">_xll.BDH($C$53,"INVENTORY_5_YEAR_GROWTH","FQ4 2016","FQ4 2016","Currency=INR","Period=FQ","BEST_FPERIOD_OVERRIDE=FQ","FILING_STATUS=OR","EQY_CONSOLIDATED=Y","Sort=A","Dates=H","DateFormat=P","Fill=—","Direction=H","UseDPDF=Y")</f>
        <v>#NAME?</v>
      </c>
      <c r="AU67" s="1" t="e">
        <f ca="1">_xll.BDH($C$53,"NET_FIXED_ASSETS_5_YEAR_GROWTH","FQ4 2016","FQ4 2016","Currency=INR","Period=FQ","BEST_FPERIOD_OVERRIDE=FQ","FILING_STATUS=OR","EQY_CONSOLIDATED=Y","Sort=A","Dates=H","DateFormat=P","Fill=—","Direction=H","UseDPDF=Y")</f>
        <v>#NAME?</v>
      </c>
      <c r="AV67" s="1" t="e">
        <f ca="1">_xll.BDH($C$53,"GEO_GROW_TOT_ASSET","FQ4 2016","FQ4 2016","Currency=INR","Period=FQ","BEST_FPERIOD_OVERRIDE=FQ","FILING_STATUS=OR","EQY_CONSOLIDATED=Y","Sort=A","Dates=H","DateFormat=P","Fill=—","Direction=H","UseDPDF=Y")</f>
        <v>#NAME?</v>
      </c>
      <c r="AW67" s="1" t="e">
        <f ca="1">_xll.BDH($C$53,"MODIFIED_WORKING_CPTL_5YR_GRWTH","FQ4 2016","FQ4 2016","Currency=INR","Period=FQ","BEST_FPERIOD_OVERRIDE=FQ","FILING_STATUS=OR","EQY_CONSOLIDATED=Y","Sort=A","Dates=H","DateFormat=P","Fill=—","Direction=H","UseDPDF=Y")</f>
        <v>#NAME?</v>
      </c>
      <c r="AX67" s="1" t="e">
        <f ca="1">_xll.BDH($C$53,"WORKING_CAPITAL_5_YEAR_GROWTH","FQ4 2016","FQ4 2016","Currency=INR","Period=FQ","BEST_FPERIOD_OVERRIDE=FQ","FILING_STATUS=OR","EQY_CONSOLIDATED=Y","Sort=A","Dates=H","DateFormat=P","Fill=—","Direction=H","UseDPDF=Y")</f>
        <v>#NAME?</v>
      </c>
      <c r="AY67" s="1" t="e">
        <f ca="1">_xll.BDH($C$53,"ACCOUNTS_PAYABLE_5_YEAR_GROWTH","FQ4 2016","FQ4 2016","Currency=INR","Period=FQ","BEST_FPERIOD_OVERRIDE=FQ","FILING_STATUS=OR","EQY_CONSOLIDATED=Y","Sort=A","Dates=H","DateFormat=P","Fill=—","Direction=H","UseDPDF=Y")</f>
        <v>#NAME?</v>
      </c>
      <c r="AZ67" s="1" t="e">
        <f ca="1">_xll.BDH($C$53,"SHORT_TERM_DEBT_5_YEAR_GROWTH","FQ4 2016","FQ4 2016","Currency=INR","Period=FQ","BEST_FPERIOD_OVERRIDE=FQ","FILING_STATUS=OR","EQY_CONSOLIDATED=Y","Sort=A","Dates=H","DateFormat=P","Fill=—","Direction=H","UseDPDF=Y")</f>
        <v>#NAME?</v>
      </c>
      <c r="BA67" s="1" t="e">
        <f ca="1">_xll.BDH($C$53,"TOTAL_DEBT_5_YEAR_GROWTH","FQ4 2016","FQ4 2016","Currency=INR","Period=FQ","BEST_FPERIOD_OVERRIDE=FQ","FILING_STATUS=OR","EQY_CONSOLIDATED=Y","Sort=A","Dates=H","DateFormat=P","Fill=—","Direction=H","UseDPDF=Y")</f>
        <v>#NAME?</v>
      </c>
      <c r="BB67" s="1" t="e">
        <f ca="1">_xll.BDH($C$53,"GEO_GROW_TOT_SHRHLDR_EQY","FQ4 2016","FQ4 2016","Currency=INR","Period=FQ","BEST_FPERIOD_OVERRIDE=FQ","FILING_STATUS=OR","EQY_CONSOLIDATED=Y","Sort=A","Dates=H","DateFormat=P","Fill=—","Direction=H","UseDPDF=Y")</f>
        <v>#NAME?</v>
      </c>
      <c r="BC67" s="1" t="e">
        <f ca="1">_xll.BDH($C$53,"TOTAL_CAPITAL_5_YEAR_GROWTH","FQ4 2016","FQ4 2016","Currency=INR","Period=FQ","BEST_FPERIOD_OVERRIDE=FQ","FILING_STATUS=OR","EQY_CONSOLIDATED=Y","Sort=A","Dates=H","DateFormat=P","Fill=—","Direction=H","UseDPDF=Y")</f>
        <v>#NAME?</v>
      </c>
      <c r="BD67" s="1" t="e">
        <f ca="1">_xll.BDH($C$53,"GEO_GROW_BOOK_VAL","FQ4 2016","FQ4 2016","Currency=INR","Period=FQ","BEST_FPERIOD_OVERRIDE=FQ","FILING_STATUS=OR","EQY_CONSOLIDATED=Y","Sort=A","Dates=H","DateFormat=P","Fill=—","Direction=H","UseDPDF=Y")</f>
        <v>#NAME?</v>
      </c>
      <c r="BE67" s="1" t="e">
        <f ca="1">_xll.BDH($C$53,"GEO_GROW_CASH_OPER_ACT","FQ4 2016","FQ4 2016","Currency=INR","Period=FQ","BEST_FPERIOD_OVERRIDE=FQ","FILING_STATUS=OR","EQY_CONSOLIDATED=Y","Sort=A","Dates=H","DateFormat=P","Fill=—","Direction=H","UseDPDF=Y")</f>
        <v>#NAME?</v>
      </c>
      <c r="BF67" s="1" t="e">
        <f ca="1">_xll.BDH($C$53,"REVENUE_SEQUENTIAL_GROWTH","FQ4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67" s="1" t="e">
        <f ca="1">_xll.BDH($C$53,"EBITDA_SEQUENTIAL_GROWTH","FQ4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67" s="1" t="e">
        <f ca="1">_xll.BDH($C$53,"OPERATING_INCOME_SEQ_GROWTH","FQ4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67" s="1" t="e">
        <f ca="1">_xll.BDH($C$53,"NET_INCOME_TO_COMMON_SEQ_GROWTH","FQ4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67" s="1" t="e">
        <f ca="1">_xll.BDH($C$53,"EPS_DILUTED_SEQUENTIAL_GROWTH","FQ4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67" s="1" t="e">
        <f ca="1">_xll.BDH($C$53,"DPS_SEQUENTIAL_GROWTH","FQ4 2016","FQ4 2016","Currency=INR","Period=FQ","BEST_FPERIOD_OVERRIDE=FQ","FILING_STATUS=OR","EQY_CONSOLIDATED=Y","Sort=A","Dates=H","DateFormat=P","Fill=—","Direction=H","UseDPDF=Y")</f>
        <v>#NAME?</v>
      </c>
      <c r="BL67" s="1" t="e">
        <f ca="1">_xll.BDH($C$53,"ACCOUNTS_RECEIVABLE_SEQ_GROWTH","FQ4 2016","FQ4 2016","Currency=INR","Period=FQ","BEST_FPERIOD_OVERRIDE=FQ","FILING_STATUS=OR","EQY_CONSOLIDATED=Y","Sort=A","Dates=H","DateFormat=P","Fill=—","Direction=H","UseDPDF=Y")</f>
        <v>#NAME?</v>
      </c>
      <c r="BM67" s="1" t="e">
        <f ca="1">_xll.BDH($C$53,"INVENTORY_SEQUENTIAL_GROWTH","FQ4 2016","FQ4 2016","Currency=INR","Period=FQ","BEST_FPERIOD_OVERRIDE=FQ","FILING_STATUS=OR","EQY_CONSOLIDATED=Y","Sort=A","Dates=H","DateFormat=P","Fill=—","Direction=H","UseDPDF=Y")</f>
        <v>#NAME?</v>
      </c>
      <c r="BN67" s="1" t="e">
        <f ca="1">_xll.BDH($C$53,"FIXED_ASSETS_SEQUENTIAL_GROWTH","FQ4 2016","FQ4 2016","Currency=INR","Period=FQ","BEST_FPERIOD_OVERRIDE=FQ","FILING_STATUS=OR","EQY_CONSOLIDATED=Y","Sort=A","Dates=H","DateFormat=P","Fill=—","Direction=H","UseDPDF=Y")</f>
        <v>#NAME?</v>
      </c>
      <c r="BO67" s="1" t="e">
        <f ca="1">_xll.BDH($C$53,"TOTAL_ASSETS_SEQUENTIAL_GROWTH","FQ4 2016","FQ4 2016","Currency=INR","Period=FQ","BEST_FPERIOD_OVERRIDE=FQ","FILING_STATUS=OR","EQY_CONSOLIDATED=Y","Sort=A","Dates=H","DateFormat=P","Fill=—","Direction=H","UseDPDF=Y")</f>
        <v>#NAME?</v>
      </c>
      <c r="BP67" s="1" t="e">
        <f ca="1">_xll.BDH($C$53,"MODIFIED_WORKING_CPTL_SEQ_GRWTH","FQ4 2016","FQ4 2016","Currency=INR","Period=FQ","BEST_FPERIOD_OVERRIDE=FQ","FILING_STATUS=OR","EQY_CONSOLIDATED=Y","Sort=A","Dates=H","DateFormat=P","Fill=—","Direction=H","UseDPDF=Y")</f>
        <v>#NAME?</v>
      </c>
      <c r="BQ67" s="1" t="e">
        <f ca="1">_xll.BDH($C$53,"WORKING_CAPITAL_SEQ_GROWTH","FQ4 2016","FQ4 2016","Currency=INR","Period=FQ","BEST_FPERIOD_OVERRIDE=FQ","FILING_STATUS=OR","EQY_CONSOLIDATED=Y","Sort=A","Dates=H","DateFormat=P","Fill=—","Direction=H","UseDPDF=Y")</f>
        <v>#NAME?</v>
      </c>
      <c r="BR67" s="1" t="e">
        <f ca="1">_xll.BDH($C$53,"ACCOUNTS_PAYABLE_SEQ_GROWTH","FQ4 2016","FQ4 2016","Currency=INR","Period=FQ","BEST_FPERIOD_OVERRIDE=FQ","FILING_STATUS=OR","EQY_CONSOLIDATED=Y","Sort=A","Dates=H","DateFormat=P","Fill=—","Direction=H","UseDPDF=Y")</f>
        <v>#NAME?</v>
      </c>
      <c r="BS67" s="1" t="e">
        <f ca="1">_xll.BDH($C$53,"ST_DEBT_SEQUENTIAL_GROWTH","FQ4 2016","FQ4 2016","Currency=INR","Period=FQ","BEST_FPERIOD_OVERRIDE=FQ","FILING_STATUS=OR","EQY_CONSOLIDATED=Y","Sort=A","Dates=H","DateFormat=P","Fill=—","Direction=H","UseDPDF=Y")</f>
        <v>#NAME?</v>
      </c>
      <c r="BT67" s="1" t="e">
        <f ca="1">_xll.BDH($C$53,"TOTAL_DEBT_SEQUENTIAL_GROWTH","FQ4 2016","FQ4 2016","Currency=INR","Period=FQ","BEST_FPERIOD_OVERRIDE=FQ","FILING_STATUS=OR","EQY_CONSOLIDATED=Y","Sort=A","Dates=H","DateFormat=P","Fill=—","Direction=H","UseDPDF=Y")</f>
        <v>#NAME?</v>
      </c>
      <c r="BU67" s="1" t="e">
        <f ca="1">_xll.BDH($C$53,"TOTAL_EQUITY_SEQUENTIAL_GROWTH","FQ4 2016","FQ4 2016","Currency=INR","Period=FQ","BEST_FPERIOD_OVERRIDE=FQ","FILING_STATUS=OR","EQY_CONSOLIDATED=Y","Sort=A","Dates=H","DateFormat=P","Fill=—","Direction=H","UseDPDF=Y")</f>
        <v>#NAME?</v>
      </c>
      <c r="BV67" s="1" t="e">
        <f ca="1">_xll.BDH($C$53,"TOTAL_CAPITAL_SEQUENTIAL_GROWTH","FQ4 2016","FQ4 2016","Currency=INR","Period=FQ","BEST_FPERIOD_OVERRIDE=FQ","FILING_STATUS=OR","EQY_CONSOLIDATED=Y","Sort=A","Dates=H","DateFormat=P","Fill=—","Direction=H","UseDPDF=Y")</f>
        <v>#NAME?</v>
      </c>
      <c r="BW67" s="1" t="e">
        <f ca="1">_xll.BDH($C$53,"BPS_SEQUENTIAL_GROWTH","FQ4 2016","FQ4 2016","Currency=INR","Period=FQ","BEST_FPERIOD_OVERRIDE=FQ","FILING_STATUS=OR","EQY_CONSOLIDATED=Y","Sort=A","Dates=H","DateFormat=P","Fill=—","Direction=H","UseDPDF=Y")</f>
        <v>#NAME?</v>
      </c>
      <c r="BX67" s="1" t="e">
        <f ca="1">_xll.BDH($C$53,"CFO_SEQUENTIAL_GROWTH","FQ4 2016","FQ4 2016","Currency=INR","Period=FQ","BEST_FPERIOD_OVERRIDE=FQ","FILING_STATUS=OR","EQY_CONSOLIDATED=Y","Sort=A","Dates=H","DateFormat=P","Fill=—","Direction=H","UseDPDF=Y")</f>
        <v>#NAME?</v>
      </c>
      <c r="BY67" s="2" t="e">
        <f ca="1">_xll.BDH($C$53,"SHORT_AND_LONG_TERM_DEBT","FQ4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67" s="2" t="e">
        <f ca="1">_xll.BDH($C$53,"BS_ST_BORROW","FQ4 2016","FQ4 2016","Currency=INR","Period=FQ","BEST_FPERIOD_OVERRIDE=FQ","FILING_STATUS=OR","EQY_CONSOLIDATED=Y","SCALING_FORMAT=MLN","Sort=A","Dates=H","DateFormat=P","Fill=—","Direction=H","UseDPDF=Y")</f>
        <v>#NAME?</v>
      </c>
      <c r="CA67" s="2" t="e">
        <f ca="1">_xll.BDH($C$53,"BS_LT_BORROW","FQ4 2016","FQ4 2016","Currency=INR","Period=FQ","BEST_FPERIOD_OVERRIDE=FQ","FILING_STATUS=OR","EQY_CONSOLIDATED=Y","SCALING_FORMAT=MLN","Sort=A","Dates=H","DateFormat=P","Fill=—","Direction=H","UseDPDF=Y")</f>
        <v>#NAME?</v>
      </c>
      <c r="CB67" s="1" t="e">
        <f ca="1">_xll.BDH($C$53,"TOT_DEBT_TO_EBITDA","FQ4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67" s="1" t="e">
        <f ca="1">_xll.BDH($C$53,"NET_DEBT_TO_EBITDA","FQ4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67" s="1" t="e">
        <f ca="1">_xll.BDH($C$53,"TOTAL_DEBT_TO_EBIT","FQ4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67" s="1" t="e">
        <f ca="1">_xll.BDH($C$53,"NET_DEBT_TO_EBIT","FQ4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67" s="1" t="e">
        <f ca="1">_xll.BDH($C$53,"EBITDA_TO_INTEREST_EXPN","FQ4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67" s="1" t="e">
        <f ca="1">_xll.BDH($C$53,"COM_EQY_TO_TOT_ASSET","FQ4 2016","FQ4 2016","Currency=INR","Period=FQ","BEST_FPERIOD_OVERRIDE=FQ","FILING_STATUS=OR","EQY_CONSOLIDATED=Y","Sort=A","Dates=H","DateFormat=P","Fill=—","Direction=H","UseDPDF=Y")</f>
        <v>#NAME?</v>
      </c>
      <c r="CH67" s="1" t="e">
        <f ca="1">_xll.BDH($C$53,"LT_DEBT_TO_TOT_EQY","FQ4 2016","FQ4 2016","Currency=INR","Period=FQ","BEST_FPERIOD_OVERRIDE=FQ","FILING_STATUS=OR","EQY_CONSOLIDATED=Y","Sort=A","Dates=H","DateFormat=P","Fill=—","Direction=H","UseDPDF=Y")</f>
        <v>#NAME?</v>
      </c>
      <c r="CI67" s="1" t="e">
        <f ca="1">_xll.BDH($C$53,"LT_DEBT_TO_TOT_CAP","FQ4 2016","FQ4 2016","Currency=INR","Period=FQ","BEST_FPERIOD_OVERRIDE=FQ","FILING_STATUS=OR","EQY_CONSOLIDATED=Y","Sort=A","Dates=H","DateFormat=P","Fill=—","Direction=H","UseDPDF=Y")</f>
        <v>#NAME?</v>
      </c>
      <c r="CJ67" s="1" t="e">
        <f ca="1">_xll.BDH($C$53,"LT_DEBT_TO_TOT_ASSET","FQ4 2016","FQ4 2016","Currency=INR","Period=FQ","BEST_FPERIOD_OVERRIDE=FQ","FILING_STATUS=OR","EQY_CONSOLIDATED=Y","Sort=A","Dates=H","DateFormat=P","Fill=—","Direction=H","UseDPDF=Y")</f>
        <v>#NAME?</v>
      </c>
      <c r="CK67" s="1" t="e">
        <f ca="1">_xll.BDH($C$53,"TOT_DEBT_TO_TOT_EQY","FQ4 2016","FQ4 2016","Currency=INR","Period=FQ","BEST_FPERIOD_OVERRIDE=FQ","FILING_STATUS=OR","EQY_CONSOLIDATED=Y","Sort=A","Dates=H","DateFormat=P","Fill=—","Direction=H","UseDPDF=Y")</f>
        <v>#NAME?</v>
      </c>
      <c r="CL67" s="1" t="e">
        <f ca="1">_xll.BDH($C$53,"TOT_DEBT_TO_TOT_CAP","FQ4 2016","FQ4 2016","Currency=INR","Period=FQ","BEST_FPERIOD_OVERRIDE=FQ","FILING_STATUS=OR","EQY_CONSOLIDATED=Y","Sort=A","Dates=H","DateFormat=P","Fill=—","Direction=H","UseDPDF=Y")</f>
        <v>#NAME?</v>
      </c>
      <c r="CM67" s="1" t="e">
        <f ca="1">_xll.BDH($C$53,"TOT_DEBT_TO_TOT_ASSET","FQ4 2016","FQ4 2016","Currency=INR","Period=FQ","BEST_FPERIOD_OVERRIDE=FQ","FILING_STATUS=OR","EQY_CONSOLIDATED=Y","Sort=A","Dates=H","DateFormat=P","Fill=—","Direction=H","UseDPDF=Y")</f>
        <v>#NAME?</v>
      </c>
      <c r="CN67" s="1" t="e">
        <f ca="1">_xll.BDH($C$53,"NET_DEBT_TO_SHRHLDR_EQTY","FQ4 2016","FQ4 2016","Currency=INR","Period=FQ","BEST_FPERIOD_OVERRIDE=FQ","FILING_STATUS=OR","EQY_CONSOLIDATED=Y","Sort=A","Dates=H","DateFormat=P","Fill=—","Direction=H","UseDPDF=Y")</f>
        <v>#NAME?</v>
      </c>
      <c r="CO67" s="1" t="e">
        <f ca="1">_xll.BDH($C$53,"NET_DEBT_%_CAPITAL","FQ4 2016","FQ4 2016","Currency=INR","Period=FQ","BEST_FPERIOD_OVERRIDE=FQ","FILING_STATUS=OR","EQY_CONSOLIDATED=Y","Sort=A","Dates=H","DateFormat=P","Fill=—","Direction=H","UseDPDF=Y")</f>
        <v>#NAME?</v>
      </c>
      <c r="CP67" s="2" t="e">
        <f ca="1">_xll.BDH($C$53,"EBITDA","FQ4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67" s="2" t="e">
        <f ca="1">_xll.BDH($C$53,"EBITDA_AFTER_CAPEX","FQ4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67" s="2" t="e">
        <f ca="1">_xll.BDH($C$53,"IS_OPER_INC","FQ4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67" s="1" t="e">
        <f ca="1">_xll.BDH($C$53,"CASH_RATIO","FQ4 2016","FQ4 2016","Currency=INR","Period=FQ","BEST_FPERIOD_OVERRIDE=FQ","FILING_STATUS=OR","EQY_CONSOLIDATED=Y","Sort=A","Dates=H","DateFormat=P","Fill=—","Direction=H","UseDPDF=Y")</f>
        <v>#NAME?</v>
      </c>
      <c r="CT67" s="1" t="e">
        <f ca="1">_xll.BDH($C$53,"CUR_RATIO","FQ4 2016","FQ4 2016","Currency=INR","Period=FQ","BEST_FPERIOD_OVERRIDE=FQ","FILING_STATUS=OR","EQY_CONSOLIDATED=Y","Sort=A","Dates=H","DateFormat=P","Fill=—","Direction=H","UseDPDF=Y")</f>
        <v>#NAME?</v>
      </c>
      <c r="CU67" s="1" t="e">
        <f ca="1">_xll.BDH($C$53,"QUICK_RATIO","FQ4 2016","FQ4 2016","Currency=INR","Period=FQ","BEST_FPERIOD_OVERRIDE=FQ","FILING_STATUS=OR","EQY_CONSOLIDATED=Y","Sort=A","Dates=H","DateFormat=P","Fill=—","Direction=H","UseDPDF=Y")</f>
        <v>#NAME?</v>
      </c>
      <c r="CV67" s="1" t="e">
        <f ca="1">_xll.BDH($C$53,"ALTMAN_Z_SCORE","FQ4 2016","FQ4 2016","Currency=INR","Period=FQ","BEST_FPERIOD_OVERRIDE=FQ","FILING_STATUS=OR","EQY_CONSOLIDATED=Y","Sort=A","Dates=H","DateFormat=P","Fill=—","Direction=H","UseDPDF=Y")</f>
        <v>#NAME?</v>
      </c>
      <c r="CW67" s="3" t="e">
        <f ca="1">_xll.BDH($C$53,"ACCT_RCV_TURN","FQ4 2016","FQ4 2016","Currency=INR","Period=FQ","BEST_FPERIOD_OVERRIDE=FQ","FILING_STATUS=OR","EQY_CONSOLIDATED=Y","FA_ADJUSTED=GAAP","Sort=A","Dates=H","DateFormat=P","Fill=—","Direction=H","UseDPDF=Y")</f>
        <v>#NAME?</v>
      </c>
      <c r="CX67" s="1" t="e">
        <f ca="1">_xll.BDH($C$53,"ACCT_RCV_DAYS","FQ4 2016","FQ4 2016","Currency=INR","Period=FQ","BEST_FPERIOD_OVERRIDE=FQ","FILING_STATUS=OR","EQY_CONSOLIDATED=Y","FA_ADJUSTED=GAAP","Sort=A","Dates=H","DateFormat=P","Fill=—","Direction=H","UseDPDF=Y")</f>
        <v>#NAME?</v>
      </c>
      <c r="CY67" s="3" t="e">
        <f ca="1">_xll.BDH($C$53,"INVENT_TURN","FQ4 2016","FQ4 2016","Currency=INR","Period=FQ","BEST_FPERIOD_OVERRIDE=FQ","FILING_STATUS=OR","EQY_CONSOLIDATED=Y","FA_ADJUSTED=GAAP","Sort=A","Dates=H","DateFormat=P","Fill=—","Direction=H","UseDPDF=Y")</f>
        <v>#NAME?</v>
      </c>
      <c r="CZ67" s="1" t="e">
        <f ca="1">_xll.BDH($C$53,"INVENT_DAYS","FQ4 2016","FQ4 2016","Currency=INR","Period=FQ","BEST_FPERIOD_OVERRIDE=FQ","FILING_STATUS=OR","EQY_CONSOLIDATED=Y","FA_ADJUSTED=GAAP","Sort=A","Dates=H","DateFormat=P","Fill=—","Direction=H","UseDPDF=Y")</f>
        <v>#NAME?</v>
      </c>
      <c r="DA67" s="3" t="e">
        <f ca="1">_xll.BDH($C$53,"ACCOUNTS_PAYABLE_TURNOVER","FQ4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67" s="1" t="e">
        <f ca="1">_xll.BDH($C$53,"ACCOUNTS_PAYABLE_TURNOVER_DAYS","FQ4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67" s="3" t="e">
        <f ca="1">_xll.BDH($C$53,"CASH_CONVERSION_CYCLE","FQ4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67" s="3" t="e">
        <f ca="1">_xll.BDH($C$53,"INV_TO_CASH_DAYS","FQ4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67" s="4" t="e">
        <f ca="1">_xll.BDH($C$53,"BS_INVENTORIES","FQ4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67" s="2" t="e">
        <f ca="1">_xll.BDH($C$53,"INVTRY_RAW_MATERIALS","FQ4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67" s="2" t="e">
        <f ca="1">_xll.BDH($C$53,"INVTRY_IN_PROGRESS","FQ4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67" s="2" t="e">
        <f ca="1">_xll.BDH($C$53,"INVTRY_FINISHED_GOODS","FQ4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67" s="2" t="e">
        <f ca="1">_xll.BDH($C$53,"BS_OTHER_INV","FQ4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68" spans="1:113" x14ac:dyDescent="0.3">
      <c r="A68" s="6"/>
      <c r="B68" s="6"/>
      <c r="C68" s="6"/>
      <c r="D68" s="6" t="s">
        <v>10</v>
      </c>
      <c r="E68" t="s">
        <v>3</v>
      </c>
      <c r="F68" t="e">
        <f ca="1">_xll.BDH($C$53,"RETURN_COM_EQY","FY 2017","FY 2017","Currency=INR","Period=FY","BEST_FPERIOD_OVERRIDE=FY","FILING_STATUS=OR","EQY_CONSOLIDATED=Y","FA_ADJUSTED=GAAP","Sort=A","Dates=H","DateFormat=P","Fill=—","Direction=H","UseDPDF=Y")</f>
        <v>#NAME?</v>
      </c>
      <c r="G68" t="e">
        <f ca="1">_xll.BDH($C$53,"RETURN_ON_ASSET","FY 2017","FY 2017","Currency=INR","Period=FY","BEST_FPERIOD_OVERRIDE=FY","FILING_STATUS=OR","EQY_CONSOLIDATED=Y","FA_ADJUSTED=GAAP","Sort=A","Dates=H","DateFormat=P","Fill=—","Direction=H","UseDPDF=Y")</f>
        <v>#NAME?</v>
      </c>
      <c r="H68" t="e">
        <f ca="1">_xll.BDH($C$53,"RETURN_ON_CAP","FY 2017","FY 2017","Currency=INR","Period=FY","BEST_FPERIOD_OVERRIDE=FY","FILING_STATUS=OR","EQY_CONSOLIDATED=Y","FA_ADJUSTED=GAAP","Sort=A","Dates=H","DateFormat=P","Fill=—","Direction=H","UseDPDF=Y")</f>
        <v>#NAME?</v>
      </c>
      <c r="I68" t="e">
        <f ca="1">_xll.BDH($C$53,"RETURN_ON_INV_CAPITAL","FY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68" t="e">
        <f ca="1">_xll.BDH($C$53,"EBITDA_TO_REVENUE","FY 2017","FY 2017","Currency=INR","Period=FY","BEST_FPERIOD_OVERRIDE=FY","FILING_STATUS=OR","EQY_CONSOLIDATED=Y","FA_ADJUSTED=GAAP","Sort=A","Dates=H","DateFormat=P","Fill=—","Direction=H","UseDPDF=Y")</f>
        <v>#NAME?</v>
      </c>
      <c r="K68" t="e">
        <f ca="1">_xll.BDH($C$53,"OPER_MARGIN","FY 2017","FY 2017","Currency=INR","Period=FY","BEST_FPERIOD_OVERRIDE=FY","FILING_STATUS=OR","EQY_CONSOLIDATED=Y","FA_ADJUSTED=GAAP","Sort=A","Dates=H","DateFormat=P","Fill=—","Direction=H","UseDPDF=Y")</f>
        <v>#NAME?</v>
      </c>
      <c r="L68" t="e">
        <f ca="1">_xll.BDH($C$53,"INCREMENTAL_OPERATING_MARGIN","FY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68" t="e">
        <f ca="1">_xll.BDH($C$53,"PRETAX_INC_TO_NET_SALES","FY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68" t="e">
        <f ca="1">_xll.BDH($C$53,"INC_BEF_XO_ITEMS_TO_NET_SALES","FY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68" t="e">
        <f ca="1">_xll.BDH($C$53,"PROF_MARGIN","FY 2017","FY 2017","Currency=INR","Period=FY","BEST_FPERIOD_OVERRIDE=FY","FILING_STATUS=OR","EQY_CONSOLIDATED=Y","FA_ADJUSTED=GAAP","Sort=A","Dates=H","DateFormat=P","Fill=—","Direction=H","UseDPDF=Y")</f>
        <v>#NAME?</v>
      </c>
      <c r="P68" t="e">
        <f ca="1">_xll.BDH($C$53,"NET_INCOME_TO_COMMON_MARGIN","FY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68" t="e">
        <f ca="1">_xll.BDH($C$53,"EFF_TAX_RATE","FY 2017","FY 2017","Currency=INR","Period=FY","BEST_FPERIOD_OVERRIDE=FY","FILING_STATUS=OR","EQY_CONSOLIDATED=Y","FA_ADJUSTED=GAAP","Sort=A","Dates=H","DateFormat=P","Fill=—","Direction=H","UseDPDF=Y")</f>
        <v>#NAME?</v>
      </c>
      <c r="R68" t="e">
        <f ca="1">_xll.BDH($C$53,"DVD_PAYOUT_RATIO","FY 2017","FY 2017","Currency=INR","Period=FY","BEST_FPERIOD_OVERRIDE=FY","FILING_STATUS=OR","EQY_CONSOLIDATED=Y","FA_ADJUSTED=GAAP","Sort=A","Dates=H","DateFormat=P","Fill=—","Direction=H","UseDPDF=Y")</f>
        <v>#NAME?</v>
      </c>
      <c r="S68" t="e">
        <f ca="1">_xll.BDH($C$53,"SUSTAIN_GROWTH_RT","FY 2017","FY 2017","Currency=INR","Period=FY","BEST_FPERIOD_OVERRIDE=FY","FILING_STATUS=OR","EQY_CONSOLIDATED=Y","FA_ADJUSTED=GAAP","Sort=A","Dates=H","DateFormat=P","Fill=—","Direction=H","UseDPDF=Y")</f>
        <v>#NAME?</v>
      </c>
      <c r="T68" s="1" t="e">
        <f ca="1">_xll.BDH($C$53,"SALES_GROWTH","FY 2017","FY 2017","Currency=INR","Period=FY","BEST_FPERIOD_OVERRIDE=FY","FILING_STATUS=OR","EQY_CONSOLIDATED=Y","FA_ADJUSTED=GAAP","Sort=A","Dates=H","DateFormat=P","Fill=—","Direction=H","UseDPDF=Y")</f>
        <v>#NAME?</v>
      </c>
      <c r="U68" s="1" t="e">
        <f ca="1">_xll.BDH($C$53,"EBITDA_GROWTH","FY 2017","FY 2017","Currency=INR","Period=FY","BEST_FPERIOD_OVERRIDE=FY","FILING_STATUS=OR","EQY_CONSOLIDATED=Y","FA_ADJUSTED=GAAP","Sort=A","Dates=H","DateFormat=P","Fill=—","Direction=H","UseDPDF=Y")</f>
        <v>#NAME?</v>
      </c>
      <c r="V68" s="1" t="e">
        <f ca="1">_xll.BDH($C$53,"OPER_INC_GROWTH","FY 2017","FY 2017","Currency=INR","Period=FY","BEST_FPERIOD_OVERRIDE=FY","FILING_STATUS=OR","EQY_CONSOLIDATED=Y","FA_ADJUSTED=GAAP","Sort=A","Dates=H","DateFormat=P","Fill=—","Direction=H","UseDPDF=Y")</f>
        <v>#NAME?</v>
      </c>
      <c r="W68" s="1" t="e">
        <f ca="1">_xll.BDH($C$53,"EARN_FOR_COM_GROWTH","FY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68" s="1" t="e">
        <f ca="1">_xll.BDH($C$53,"DILUTED_EPS_AFT_XO_ITEMS_GROWTH","FY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68" s="1" t="e">
        <f ca="1">_xll.BDH($C$53,"DIVIDEND_PER_SHARE_1_YEAR_GROWTH","FY 2017","FY 2017","Currency=INR","Period=FY","BEST_FPERIOD_OVERRIDE=FY","FILING_STATUS=OR","EQY_CONSOLIDATED=Y","Sort=A","Dates=H","DateFormat=P","Fill=—","Direction=H","UseDPDF=Y")</f>
        <v>#NAME?</v>
      </c>
      <c r="Z68" s="1" t="e">
        <f ca="1">_xll.BDH($C$53,"ACCOUNTS_RECEIVABLE_GROWTH","FY 2017","FY 2017","Currency=INR","Period=FY","BEST_FPERIOD_OVERRIDE=FY","FILING_STATUS=OR","EQY_CONSOLIDATED=Y","Sort=A","Dates=H","DateFormat=P","Fill=—","Direction=H","UseDPDF=Y")</f>
        <v>#NAME?</v>
      </c>
      <c r="AA68" s="1" t="e">
        <f ca="1">_xll.BDH($C$53,"INVENTORY_GROWTH","FY 2017","FY 2017","Currency=INR","Period=FY","BEST_FPERIOD_OVERRIDE=FY","FILING_STATUS=OR","EQY_CONSOLIDATED=Y","Sort=A","Dates=H","DateFormat=P","Fill=—","Direction=H","UseDPDF=Y")</f>
        <v>#NAME?</v>
      </c>
      <c r="AB68" s="1" t="e">
        <f ca="1">_xll.BDH($C$53,"NET_FIXED_ASSETS_1_YEAR_GROWTH","FY 2017","FY 2017","Currency=INR","Period=FY","BEST_FPERIOD_OVERRIDE=FY","FILING_STATUS=OR","EQY_CONSOLIDATED=Y","Sort=A","Dates=H","DateFormat=P","Fill=—","Direction=H","UseDPDF=Y")</f>
        <v>#NAME?</v>
      </c>
      <c r="AC68" s="1" t="e">
        <f ca="1">_xll.BDH($C$53,"ASSET_GROWTH","FY 2017","FY 2017","Currency=INR","Period=FY","BEST_FPERIOD_OVERRIDE=FY","FILING_STATUS=OR","EQY_CONSOLIDATED=Y","Sort=A","Dates=H","DateFormat=P","Fill=—","Direction=H","UseDPDF=Y")</f>
        <v>#NAME?</v>
      </c>
      <c r="AD68" s="1" t="e">
        <f ca="1">_xll.BDH($C$53,"MODIFIED_WORK_CAP_GROWTH","FY 2017","FY 2017","Currency=INR","Period=FY","BEST_FPERIOD_OVERRIDE=FY","FILING_STATUS=OR","EQY_CONSOLIDATED=Y","Sort=A","Dates=H","DateFormat=P","Fill=—","Direction=H","UseDPDF=Y")</f>
        <v>#NAME?</v>
      </c>
      <c r="AE68" s="1" t="e">
        <f ca="1">_xll.BDH($C$53,"WORK_CAP_GROWTH","FY 2017","FY 2017","Currency=INR","Period=FY","BEST_FPERIOD_OVERRIDE=FY","FILING_STATUS=OR","EQY_CONSOLIDATED=Y","Sort=A","Dates=H","DateFormat=P","Fill=—","Direction=H","UseDPDF=Y")</f>
        <v>#NAME?</v>
      </c>
      <c r="AF68" s="1" t="e">
        <f ca="1">_xll.BDH($C$53,"ACCOUNTS_PAYABLE_GROWTH_1YR","FY 2017","FY 2017","Currency=INR","Period=FY","BEST_FPERIOD_OVERRIDE=FY","FILING_STATUS=OR","EQY_CONSOLIDATED=Y","Sort=A","Dates=H","DateFormat=P","Fill=—","Direction=H","UseDPDF=Y")</f>
        <v>#NAME?</v>
      </c>
      <c r="AG68" s="1" t="e">
        <f ca="1">_xll.BDH($C$53,"SHORT_TERM_DEBT_1_YEAR_GROWTH","FY 2017","FY 2017","Currency=INR","Period=FY","BEST_FPERIOD_OVERRIDE=FY","FILING_STATUS=OR","EQY_CONSOLIDATED=Y","Sort=A","Dates=H","DateFormat=P","Fill=—","Direction=H","UseDPDF=Y")</f>
        <v>#NAME?</v>
      </c>
      <c r="AH68" s="1" t="e">
        <f ca="1">_xll.BDH($C$53,"TOTAL_DEBT_1_YEAR_GROWTH","FY 2017","FY 2017","Currency=INR","Period=FY","BEST_FPERIOD_OVERRIDE=FY","FILING_STATUS=OR","EQY_CONSOLIDATED=Y","Sort=A","Dates=H","DateFormat=P","Fill=—","Direction=H","UseDPDF=Y")</f>
        <v>#NAME?</v>
      </c>
      <c r="AI68" s="1" t="e">
        <f ca="1">_xll.BDH($C$53,"TOTAL_EQUITY_1_YEAR_GROWTH","FY 2017","FY 2017","Currency=INR","Period=FY","BEST_FPERIOD_OVERRIDE=FY","FILING_STATUS=OR","EQY_CONSOLIDATED=Y","Sort=A","Dates=H","DateFormat=P","Fill=—","Direction=H","UseDPDF=Y")</f>
        <v>#NAME?</v>
      </c>
      <c r="AJ68" s="1" t="e">
        <f ca="1">_xll.BDH($C$53,"GROWTH_IN_CAP","FY 2017","FY 2017","Currency=INR","Period=FY","BEST_FPERIOD_OVERRIDE=FY","FILING_STATUS=OR","EQY_CONSOLIDATED=Y","Sort=A","Dates=H","DateFormat=P","Fill=—","Direction=H","UseDPDF=Y")</f>
        <v>#NAME?</v>
      </c>
      <c r="AK68" s="1" t="e">
        <f ca="1">_xll.BDH($C$53,"BVPS_GROWTH","FY 2017","FY 2017","Currency=INR","Period=FY","BEST_FPERIOD_OVERRIDE=FY","FILING_STATUS=OR","EQY_CONSOLIDATED=Y","Sort=A","Dates=H","DateFormat=P","Fill=—","Direction=H","UseDPDF=Y")</f>
        <v>#NAME?</v>
      </c>
      <c r="AL68" s="1" t="e">
        <f ca="1">_xll.BDH($C$53,"CASH_FLOW_GROWTH","FY 2017","FY 2017","Currency=INR","Period=FY","BEST_FPERIOD_OVERRIDE=FY","FILING_STATUS=OR","EQY_CONSOLIDATED=Y","Sort=A","Dates=H","DateFormat=P","Fill=—","Direction=H","UseDPDF=Y")</f>
        <v>#NAME?</v>
      </c>
      <c r="AM68" s="1" t="e">
        <f ca="1">_xll.BDH($C$53,"GEO_GROW_NET_SALES","FY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68" s="1" t="e">
        <f ca="1">_xll.BDH($C$53,"GEO_GROW_EBITDA","FY 2017","FY 2017","Currency=INR","Period=FY","BEST_FPERIOD_OVERRIDE=FY","FILING_STATUS=OR","EQY_CONSOLIDATED=Y","FA_ADJUSTED=GAAP","Sort=A","Dates=H","DateFormat=P","Fill=—","Direction=H","UseDPDF=Y")</f>
        <v>#NAME?</v>
      </c>
      <c r="AO68" s="1" t="e">
        <f ca="1">_xll.BDH($C$53,"GEO_GROW_OPER_INC","FY 2017","FY 2017","Currency=INR","Period=FY","BEST_FPERIOD_OVERRIDE=FY","FILING_STATUS=OR","EQY_CONSOLIDATED=Y","FA_ADJUSTED=GAAP","Sort=A","Dates=H","DateFormat=P","Fill=—","Direction=H","UseDPDF=Y")</f>
        <v>#NAME?</v>
      </c>
      <c r="AP68" s="1" t="e">
        <f ca="1">_xll.BDH($C$53,"NET_INCOME_TO_COMMON_5_YR_GROWTH","FY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68" s="1" t="e">
        <f ca="1">_xll.BDH($C$53,"5Y_GEO_GROWTH_DILUTED_EPS","FY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68" s="1" t="e">
        <f ca="1">_xll.BDH($C$53,"GEO_GROW_DVD_PER_SH","FY 2017","FY 2017","Currency=INR","Period=FY","BEST_FPERIOD_OVERRIDE=FY","FILING_STATUS=OR","EQY_CONSOLIDATED=Y","Sort=A","Dates=H","DateFormat=P","Fill=—","Direction=H","UseDPDF=Y")</f>
        <v>#NAME?</v>
      </c>
      <c r="AS68" s="1" t="e">
        <f ca="1">_xll.BDH($C$53,"ACCOUNTS_RECEIVABLE_5_YR_GROWTH","FY 2017","FY 2017","Currency=INR","Period=FY","BEST_FPERIOD_OVERRIDE=FY","FILING_STATUS=OR","EQY_CONSOLIDATED=Y","Sort=A","Dates=H","DateFormat=P","Fill=—","Direction=H","UseDPDF=Y")</f>
        <v>#NAME?</v>
      </c>
      <c r="AT68" s="1" t="e">
        <f ca="1">_xll.BDH($C$53,"INVENTORY_5_YEAR_GROWTH","FY 2017","FY 2017","Currency=INR","Period=FY","BEST_FPERIOD_OVERRIDE=FY","FILING_STATUS=OR","EQY_CONSOLIDATED=Y","Sort=A","Dates=H","DateFormat=P","Fill=—","Direction=H","UseDPDF=Y")</f>
        <v>#NAME?</v>
      </c>
      <c r="AU68" s="1" t="e">
        <f ca="1">_xll.BDH($C$53,"NET_FIXED_ASSETS_5_YEAR_GROWTH","FY 2017","FY 2017","Currency=INR","Period=FY","BEST_FPERIOD_OVERRIDE=FY","FILING_STATUS=OR","EQY_CONSOLIDATED=Y","Sort=A","Dates=H","DateFormat=P","Fill=—","Direction=H","UseDPDF=Y")</f>
        <v>#NAME?</v>
      </c>
      <c r="AV68" s="1" t="e">
        <f ca="1">_xll.BDH($C$53,"GEO_GROW_TOT_ASSET","FY 2017","FY 2017","Currency=INR","Period=FY","BEST_FPERIOD_OVERRIDE=FY","FILING_STATUS=OR","EQY_CONSOLIDATED=Y","Sort=A","Dates=H","DateFormat=P","Fill=—","Direction=H","UseDPDF=Y")</f>
        <v>#NAME?</v>
      </c>
      <c r="AW68" s="1" t="e">
        <f ca="1">_xll.BDH($C$53,"MODIFIED_WORKING_CPTL_5YR_GRWTH","FY 2017","FY 2017","Currency=INR","Period=FY","BEST_FPERIOD_OVERRIDE=FY","FILING_STATUS=OR","EQY_CONSOLIDATED=Y","Sort=A","Dates=H","DateFormat=P","Fill=—","Direction=H","UseDPDF=Y")</f>
        <v>#NAME?</v>
      </c>
      <c r="AX68" s="1" t="e">
        <f ca="1">_xll.BDH($C$53,"WORKING_CAPITAL_5_YEAR_GROWTH","FY 2017","FY 2017","Currency=INR","Period=FY","BEST_FPERIOD_OVERRIDE=FY","FILING_STATUS=OR","EQY_CONSOLIDATED=Y","Sort=A","Dates=H","DateFormat=P","Fill=—","Direction=H","UseDPDF=Y")</f>
        <v>#NAME?</v>
      </c>
      <c r="AY68" s="1" t="e">
        <f ca="1">_xll.BDH($C$53,"ACCOUNTS_PAYABLE_5_YEAR_GROWTH","FY 2017","FY 2017","Currency=INR","Period=FY","BEST_FPERIOD_OVERRIDE=FY","FILING_STATUS=OR","EQY_CONSOLIDATED=Y","Sort=A","Dates=H","DateFormat=P","Fill=—","Direction=H","UseDPDF=Y")</f>
        <v>#NAME?</v>
      </c>
      <c r="AZ68" s="1" t="e">
        <f ca="1">_xll.BDH($C$53,"SHORT_TERM_DEBT_5_YEAR_GROWTH","FY 2017","FY 2017","Currency=INR","Period=FY","BEST_FPERIOD_OVERRIDE=FY","FILING_STATUS=OR","EQY_CONSOLIDATED=Y","Sort=A","Dates=H","DateFormat=P","Fill=—","Direction=H","UseDPDF=Y")</f>
        <v>#NAME?</v>
      </c>
      <c r="BA68" s="1" t="e">
        <f ca="1">_xll.BDH($C$53,"TOTAL_DEBT_5_YEAR_GROWTH","FY 2017","FY 2017","Currency=INR","Period=FY","BEST_FPERIOD_OVERRIDE=FY","FILING_STATUS=OR","EQY_CONSOLIDATED=Y","Sort=A","Dates=H","DateFormat=P","Fill=—","Direction=H","UseDPDF=Y")</f>
        <v>#NAME?</v>
      </c>
      <c r="BB68" s="1" t="e">
        <f ca="1">_xll.BDH($C$53,"GEO_GROW_TOT_SHRHLDR_EQY","FY 2017","FY 2017","Currency=INR","Period=FY","BEST_FPERIOD_OVERRIDE=FY","FILING_STATUS=OR","EQY_CONSOLIDATED=Y","Sort=A","Dates=H","DateFormat=P","Fill=—","Direction=H","UseDPDF=Y")</f>
        <v>#NAME?</v>
      </c>
      <c r="BC68" s="1" t="e">
        <f ca="1">_xll.BDH($C$53,"TOTAL_CAPITAL_5_YEAR_GROWTH","FY 2017","FY 2017","Currency=INR","Period=FY","BEST_FPERIOD_OVERRIDE=FY","FILING_STATUS=OR","EQY_CONSOLIDATED=Y","Sort=A","Dates=H","DateFormat=P","Fill=—","Direction=H","UseDPDF=Y")</f>
        <v>#NAME?</v>
      </c>
      <c r="BD68" s="1" t="e">
        <f ca="1">_xll.BDH($C$53,"GEO_GROW_BOOK_VAL","FY 2017","FY 2017","Currency=INR","Period=FY","BEST_FPERIOD_OVERRIDE=FY","FILING_STATUS=OR","EQY_CONSOLIDATED=Y","Sort=A","Dates=H","DateFormat=P","Fill=—","Direction=H","UseDPDF=Y")</f>
        <v>#NAME?</v>
      </c>
      <c r="BE68" s="1" t="e">
        <f ca="1">_xll.BDH($C$53,"GEO_GROW_CASH_OPER_ACT","FY 2017","FY 2017","Currency=INR","Period=FY","BEST_FPERIOD_OVERRIDE=FY","FILING_STATUS=OR","EQY_CONSOLIDATED=Y","Sort=A","Dates=H","DateFormat=P","Fill=—","Direction=H","UseDPDF=Y")</f>
        <v>#NAME?</v>
      </c>
      <c r="BF68" s="1" t="e">
        <f ca="1">_xll.BDH($C$53,"REVENUE_SEQUENTIAL_GROWTH","FY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68" s="1" t="e">
        <f ca="1">_xll.BDH($C$53,"EBITDA_SEQUENTIAL_GROWTH","FY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68" s="1" t="e">
        <f ca="1">_xll.BDH($C$53,"OPERATING_INCOME_SEQ_GROWTH","FY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68" s="1" t="e">
        <f ca="1">_xll.BDH($C$53,"NET_INCOME_TO_COMMON_SEQ_GROWTH","FY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68" s="1" t="e">
        <f ca="1">_xll.BDH($C$53,"EPS_DILUTED_SEQUENTIAL_GROWTH","FY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68" s="1" t="e">
        <f ca="1">_xll.BDH($C$53,"DPS_SEQUENTIAL_GROWTH","FY 2017","FY 2017","Currency=INR","Period=FY","BEST_FPERIOD_OVERRIDE=FY","FILING_STATUS=OR","EQY_CONSOLIDATED=Y","Sort=A","Dates=H","DateFormat=P","Fill=—","Direction=H","UseDPDF=Y")</f>
        <v>#NAME?</v>
      </c>
      <c r="BL68" s="1" t="e">
        <f ca="1">_xll.BDH($C$53,"ACCOUNTS_RECEIVABLE_SEQ_GROWTH","FY 2017","FY 2017","Currency=INR","Period=FY","BEST_FPERIOD_OVERRIDE=FY","FILING_STATUS=OR","EQY_CONSOLIDATED=Y","Sort=A","Dates=H","DateFormat=P","Fill=—","Direction=H","UseDPDF=Y")</f>
        <v>#NAME?</v>
      </c>
      <c r="BM68" s="1" t="e">
        <f ca="1">_xll.BDH($C$53,"INVENTORY_SEQUENTIAL_GROWTH","FY 2017","FY 2017","Currency=INR","Period=FY","BEST_FPERIOD_OVERRIDE=FY","FILING_STATUS=OR","EQY_CONSOLIDATED=Y","Sort=A","Dates=H","DateFormat=P","Fill=—","Direction=H","UseDPDF=Y")</f>
        <v>#NAME?</v>
      </c>
      <c r="BN68" s="1" t="e">
        <f ca="1">_xll.BDH($C$53,"FIXED_ASSETS_SEQUENTIAL_GROWTH","FY 2017","FY 2017","Currency=INR","Period=FY","BEST_FPERIOD_OVERRIDE=FY","FILING_STATUS=OR","EQY_CONSOLIDATED=Y","Sort=A","Dates=H","DateFormat=P","Fill=—","Direction=H","UseDPDF=Y")</f>
        <v>#NAME?</v>
      </c>
      <c r="BO68" s="1" t="e">
        <f ca="1">_xll.BDH($C$53,"TOTAL_ASSETS_SEQUENTIAL_GROWTH","FY 2017","FY 2017","Currency=INR","Period=FY","BEST_FPERIOD_OVERRIDE=FY","FILING_STATUS=OR","EQY_CONSOLIDATED=Y","Sort=A","Dates=H","DateFormat=P","Fill=—","Direction=H","UseDPDF=Y")</f>
        <v>#NAME?</v>
      </c>
      <c r="BP68" s="1" t="e">
        <f ca="1">_xll.BDH($C$53,"MODIFIED_WORKING_CPTL_SEQ_GRWTH","FY 2017","FY 2017","Currency=INR","Period=FY","BEST_FPERIOD_OVERRIDE=FY","FILING_STATUS=OR","EQY_CONSOLIDATED=Y","Sort=A","Dates=H","DateFormat=P","Fill=—","Direction=H","UseDPDF=Y")</f>
        <v>#NAME?</v>
      </c>
      <c r="BQ68" s="1" t="e">
        <f ca="1">_xll.BDH($C$53,"WORKING_CAPITAL_SEQ_GROWTH","FY 2017","FY 2017","Currency=INR","Period=FY","BEST_FPERIOD_OVERRIDE=FY","FILING_STATUS=OR","EQY_CONSOLIDATED=Y","Sort=A","Dates=H","DateFormat=P","Fill=—","Direction=H","UseDPDF=Y")</f>
        <v>#NAME?</v>
      </c>
      <c r="BR68" s="1" t="e">
        <f ca="1">_xll.BDH($C$53,"ACCOUNTS_PAYABLE_SEQ_GROWTH","FY 2017","FY 2017","Currency=INR","Period=FY","BEST_FPERIOD_OVERRIDE=FY","FILING_STATUS=OR","EQY_CONSOLIDATED=Y","Sort=A","Dates=H","DateFormat=P","Fill=—","Direction=H","UseDPDF=Y")</f>
        <v>#NAME?</v>
      </c>
      <c r="BS68" s="1" t="e">
        <f ca="1">_xll.BDH($C$53,"ST_DEBT_SEQUENTIAL_GROWTH","FY 2017","FY 2017","Currency=INR","Period=FY","BEST_FPERIOD_OVERRIDE=FY","FILING_STATUS=OR","EQY_CONSOLIDATED=Y","Sort=A","Dates=H","DateFormat=P","Fill=—","Direction=H","UseDPDF=Y")</f>
        <v>#NAME?</v>
      </c>
      <c r="BT68" s="1" t="e">
        <f ca="1">_xll.BDH($C$53,"TOTAL_DEBT_SEQUENTIAL_GROWTH","FY 2017","FY 2017","Currency=INR","Period=FY","BEST_FPERIOD_OVERRIDE=FY","FILING_STATUS=OR","EQY_CONSOLIDATED=Y","Sort=A","Dates=H","DateFormat=P","Fill=—","Direction=H","UseDPDF=Y")</f>
        <v>#NAME?</v>
      </c>
      <c r="BU68" s="1" t="e">
        <f ca="1">_xll.BDH($C$53,"TOTAL_EQUITY_SEQUENTIAL_GROWTH","FY 2017","FY 2017","Currency=INR","Period=FY","BEST_FPERIOD_OVERRIDE=FY","FILING_STATUS=OR","EQY_CONSOLIDATED=Y","Sort=A","Dates=H","DateFormat=P","Fill=—","Direction=H","UseDPDF=Y")</f>
        <v>#NAME?</v>
      </c>
      <c r="BV68" s="1" t="e">
        <f ca="1">_xll.BDH($C$53,"TOTAL_CAPITAL_SEQUENTIAL_GROWTH","FY 2017","FY 2017","Currency=INR","Period=FY","BEST_FPERIOD_OVERRIDE=FY","FILING_STATUS=OR","EQY_CONSOLIDATED=Y","Sort=A","Dates=H","DateFormat=P","Fill=—","Direction=H","UseDPDF=Y")</f>
        <v>#NAME?</v>
      </c>
      <c r="BW68" s="1" t="e">
        <f ca="1">_xll.BDH($C$53,"BPS_SEQUENTIAL_GROWTH","FY 2017","FY 2017","Currency=INR","Period=FY","BEST_FPERIOD_OVERRIDE=FY","FILING_STATUS=OR","EQY_CONSOLIDATED=Y","Sort=A","Dates=H","DateFormat=P","Fill=—","Direction=H","UseDPDF=Y")</f>
        <v>#NAME?</v>
      </c>
      <c r="BX68" s="1" t="e">
        <f ca="1">_xll.BDH($C$53,"CFO_SEQUENTIAL_GROWTH","FY 2017","FY 2017","Currency=INR","Period=FY","BEST_FPERIOD_OVERRIDE=FY","FILING_STATUS=OR","EQY_CONSOLIDATED=Y","Sort=A","Dates=H","DateFormat=P","Fill=—","Direction=H","UseDPDF=Y")</f>
        <v>#NAME?</v>
      </c>
      <c r="BY68" s="2" t="e">
        <f ca="1">_xll.BDH($C$53,"SHORT_AND_LONG_TERM_DEBT","FY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68" s="2" t="e">
        <f ca="1">_xll.BDH($C$53,"BS_ST_BORROW","FY 2017","FY 2017","Currency=INR","Period=FY","BEST_FPERIOD_OVERRIDE=FY","FILING_STATUS=OR","EQY_CONSOLIDATED=Y","SCALING_FORMAT=MLN","Sort=A","Dates=H","DateFormat=P","Fill=—","Direction=H","UseDPDF=Y")</f>
        <v>#NAME?</v>
      </c>
      <c r="CA68" s="2" t="e">
        <f ca="1">_xll.BDH($C$53,"BS_LT_BORROW","FY 2017","FY 2017","Currency=INR","Period=FY","BEST_FPERIOD_OVERRIDE=FY","FILING_STATUS=OR","EQY_CONSOLIDATED=Y","SCALING_FORMAT=MLN","Sort=A","Dates=H","DateFormat=P","Fill=—","Direction=H","UseDPDF=Y")</f>
        <v>#NAME?</v>
      </c>
      <c r="CB68" s="1" t="e">
        <f ca="1">_xll.BDH($C$53,"TOT_DEBT_TO_EBITDA","FY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68" s="1" t="e">
        <f ca="1">_xll.BDH($C$53,"NET_DEBT_TO_EBITDA","FY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68" s="1" t="e">
        <f ca="1">_xll.BDH($C$53,"TOTAL_DEBT_TO_EBIT","FY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68" s="1" t="e">
        <f ca="1">_xll.BDH($C$53,"NET_DEBT_TO_EBIT","FY 2017","FY 2017","Currency=INR","Period=FY","BEST_FPERIOD_OVERRIDE=FY","FILING_STATUS=OR","EQY_CONSOLIDATED=Y","FA_ADJUSTED=GAAP","Sort=A","Dates=H","DateFormat=P","Fill=—","Direction=H","UseDPDF=Y")</f>
        <v>#NAME?</v>
      </c>
      <c r="CF68" s="1" t="e">
        <f ca="1">_xll.BDH($C$53,"EBITDA_TO_INTEREST_EXPN","FY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68" s="1" t="e">
        <f ca="1">_xll.BDH($C$53,"COM_EQY_TO_TOT_ASSET","FY 2017","FY 2017","Currency=INR","Period=FY","BEST_FPERIOD_OVERRIDE=FY","FILING_STATUS=OR","EQY_CONSOLIDATED=Y","Sort=A","Dates=H","DateFormat=P","Fill=—","Direction=H","UseDPDF=Y")</f>
        <v>#NAME?</v>
      </c>
      <c r="CH68" s="1" t="e">
        <f ca="1">_xll.BDH($C$53,"LT_DEBT_TO_TOT_EQY","FY 2017","FY 2017","Currency=INR","Period=FY","BEST_FPERIOD_OVERRIDE=FY","FILING_STATUS=OR","EQY_CONSOLIDATED=Y","Sort=A","Dates=H","DateFormat=P","Fill=—","Direction=H","UseDPDF=Y")</f>
        <v>#NAME?</v>
      </c>
      <c r="CI68" s="1" t="e">
        <f ca="1">_xll.BDH($C$53,"LT_DEBT_TO_TOT_CAP","FY 2017","FY 2017","Currency=INR","Period=FY","BEST_FPERIOD_OVERRIDE=FY","FILING_STATUS=OR","EQY_CONSOLIDATED=Y","Sort=A","Dates=H","DateFormat=P","Fill=—","Direction=H","UseDPDF=Y")</f>
        <v>#NAME?</v>
      </c>
      <c r="CJ68" s="1" t="e">
        <f ca="1">_xll.BDH($C$53,"LT_DEBT_TO_TOT_ASSET","FY 2017","FY 2017","Currency=INR","Period=FY","BEST_FPERIOD_OVERRIDE=FY","FILING_STATUS=OR","EQY_CONSOLIDATED=Y","Sort=A","Dates=H","DateFormat=P","Fill=—","Direction=H","UseDPDF=Y")</f>
        <v>#NAME?</v>
      </c>
      <c r="CK68" s="1" t="e">
        <f ca="1">_xll.BDH($C$53,"TOT_DEBT_TO_TOT_EQY","FY 2017","FY 2017","Currency=INR","Period=FY","BEST_FPERIOD_OVERRIDE=FY","FILING_STATUS=OR","EQY_CONSOLIDATED=Y","Sort=A","Dates=H","DateFormat=P","Fill=—","Direction=H","UseDPDF=Y")</f>
        <v>#NAME?</v>
      </c>
      <c r="CL68" s="1" t="e">
        <f ca="1">_xll.BDH($C$53,"TOT_DEBT_TO_TOT_CAP","FY 2017","FY 2017","Currency=INR","Period=FY","BEST_FPERIOD_OVERRIDE=FY","FILING_STATUS=OR","EQY_CONSOLIDATED=Y","Sort=A","Dates=H","DateFormat=P","Fill=—","Direction=H","UseDPDF=Y")</f>
        <v>#NAME?</v>
      </c>
      <c r="CM68" s="1" t="e">
        <f ca="1">_xll.BDH($C$53,"TOT_DEBT_TO_TOT_ASSET","FY 2017","FY 2017","Currency=INR","Period=FY","BEST_FPERIOD_OVERRIDE=FY","FILING_STATUS=OR","EQY_CONSOLIDATED=Y","Sort=A","Dates=H","DateFormat=P","Fill=—","Direction=H","UseDPDF=Y")</f>
        <v>#NAME?</v>
      </c>
      <c r="CN68" s="1" t="e">
        <f ca="1">_xll.BDH($C$53,"NET_DEBT_TO_SHRHLDR_EQTY","FY 2017","FY 2017","Currency=INR","Period=FY","BEST_FPERIOD_OVERRIDE=FY","FILING_STATUS=OR","EQY_CONSOLIDATED=Y","Sort=A","Dates=H","DateFormat=P","Fill=—","Direction=H","UseDPDF=Y")</f>
        <v>#NAME?</v>
      </c>
      <c r="CO68" s="1" t="e">
        <f ca="1">_xll.BDH($C$53,"NET_DEBT_%_CAPITAL","FY 2017","FY 2017","Currency=INR","Period=FY","BEST_FPERIOD_OVERRIDE=FY","FILING_STATUS=OR","EQY_CONSOLIDATED=Y","Sort=A","Dates=H","DateFormat=P","Fill=—","Direction=H","UseDPDF=Y")</f>
        <v>#NAME?</v>
      </c>
      <c r="CP68" s="2" t="e">
        <f ca="1">_xll.BDH($C$53,"EBITDA","FY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68" s="2" t="e">
        <f ca="1">_xll.BDH($C$53,"EBITDA_AFTER_CAPEX","FY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68" s="2" t="e">
        <f ca="1">_xll.BDH($C$53,"IS_OPER_INC","FY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68" s="1" t="e">
        <f ca="1">_xll.BDH($C$53,"CASH_RATIO","FY 2017","FY 2017","Currency=INR","Period=FY","BEST_FPERIOD_OVERRIDE=FY","FILING_STATUS=OR","EQY_CONSOLIDATED=Y","Sort=A","Dates=H","DateFormat=P","Fill=—","Direction=H","UseDPDF=Y")</f>
        <v>#NAME?</v>
      </c>
      <c r="CT68" s="1" t="e">
        <f ca="1">_xll.BDH($C$53,"CUR_RATIO","FY 2017","FY 2017","Currency=INR","Period=FY","BEST_FPERIOD_OVERRIDE=FY","FILING_STATUS=OR","EQY_CONSOLIDATED=Y","Sort=A","Dates=H","DateFormat=P","Fill=—","Direction=H","UseDPDF=Y")</f>
        <v>#NAME?</v>
      </c>
      <c r="CU68" s="1" t="e">
        <f ca="1">_xll.BDH($C$53,"QUICK_RATIO","FY 2017","FY 2017","Currency=INR","Period=FY","BEST_FPERIOD_OVERRIDE=FY","FILING_STATUS=OR","EQY_CONSOLIDATED=Y","Sort=A","Dates=H","DateFormat=P","Fill=—","Direction=H","UseDPDF=Y")</f>
        <v>#NAME?</v>
      </c>
      <c r="CV68" s="1" t="e">
        <f ca="1">_xll.BDH($C$53,"ALTMAN_Z_SCORE","FY 2017","FY 2017","Currency=INR","Period=FY","BEST_FPERIOD_OVERRIDE=FY","FILING_STATUS=OR","EQY_CONSOLIDATED=Y","Sort=A","Dates=H","DateFormat=P","Fill=—","Direction=H","UseDPDF=Y")</f>
        <v>#NAME?</v>
      </c>
      <c r="CW68" s="3" t="e">
        <f ca="1">_xll.BDH($C$53,"ACCT_RCV_TURN","FY 2017","FY 2017","Currency=INR","Period=FY","BEST_FPERIOD_OVERRIDE=FY","FILING_STATUS=OR","EQY_CONSOLIDATED=Y","FA_ADJUSTED=GAAP","Sort=A","Dates=H","DateFormat=P","Fill=—","Direction=H","UseDPDF=Y")</f>
        <v>#NAME?</v>
      </c>
      <c r="CX68" s="1" t="e">
        <f ca="1">_xll.BDH($C$53,"ACCT_RCV_DAYS","FY 2017","FY 2017","Currency=INR","Period=FY","BEST_FPERIOD_OVERRIDE=FY","FILING_STATUS=OR","EQY_CONSOLIDATED=Y","FA_ADJUSTED=GAAP","Sort=A","Dates=H","DateFormat=P","Fill=—","Direction=H","UseDPDF=Y")</f>
        <v>#NAME?</v>
      </c>
      <c r="CY68" s="3" t="e">
        <f ca="1">_xll.BDH($C$53,"INVENT_TURN","FY 2017","FY 2017","Currency=INR","Period=FY","BEST_FPERIOD_OVERRIDE=FY","FILING_STATUS=OR","EQY_CONSOLIDATED=Y","FA_ADJUSTED=GAAP","Sort=A","Dates=H","DateFormat=P","Fill=—","Direction=H","UseDPDF=Y")</f>
        <v>#NAME?</v>
      </c>
      <c r="CZ68" s="1" t="e">
        <f ca="1">_xll.BDH($C$53,"INVENT_DAYS","FY 2017","FY 2017","Currency=INR","Period=FY","BEST_FPERIOD_OVERRIDE=FY","FILING_STATUS=OR","EQY_CONSOLIDATED=Y","FA_ADJUSTED=GAAP","Sort=A","Dates=H","DateFormat=P","Fill=—","Direction=H","UseDPDF=Y")</f>
        <v>#NAME?</v>
      </c>
      <c r="DA68" s="3" t="e">
        <f ca="1">_xll.BDH($C$53,"ACCOUNTS_PAYABLE_TURNOVER","FY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68" s="1" t="e">
        <f ca="1">_xll.BDH($C$53,"ACCOUNTS_PAYABLE_TURNOVER_DAYS","FY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68" s="3" t="e">
        <f ca="1">_xll.BDH($C$53,"CASH_CONVERSION_CYCLE","FY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68" s="3" t="e">
        <f ca="1">_xll.BDH($C$53,"INV_TO_CASH_DAYS","FY 2017","FY 2017","Currency=INR","Period=FY","BEST_FPERIOD_OVERRIDE=FY","FILING_STATUS=OR","EQY_CONSOLIDATED=Y","FA_ADJUSTED=GAAP","Sort=A","Dates=H","DateFormat=P","Fill=—","Direction=H","UseDPDF=Y")</f>
        <v>#NAME?</v>
      </c>
      <c r="DE68" s="4" t="e">
        <f ca="1">_xll.BDH($C$53,"BS_INVENTORIES","FY 2017","FY 2017","Currency=INR","Period=FY","BEST_FPERIOD_OVERRIDE=FY","FILING_STATUS=OR","EQY_CONSOLIDATED=Y","SCALING_FORMAT=MLN","Sort=A","Dates=H","DateFormat=P","Fill=—","Direction=H","UseDPDF=Y")</f>
        <v>#NAME?</v>
      </c>
      <c r="DF68" s="2" t="e">
        <f ca="1">_xll.BDH($C$53,"INVTRY_RAW_MATERIALS","FY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68" s="2" t="e">
        <f ca="1">_xll.BDH($C$53,"INVTRY_IN_PROGRESS","FY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68" s="2" t="e">
        <f ca="1">_xll.BDH($C$53,"INVTRY_FINISHED_GOODS","FY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68" s="2" t="e">
        <f ca="1">_xll.BDH($C$53,"BS_OTHER_INV","FY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69" spans="1:113" x14ac:dyDescent="0.3">
      <c r="A69" s="6"/>
      <c r="B69" s="6"/>
      <c r="C69" s="6"/>
      <c r="D69" s="6"/>
      <c r="E69" t="s">
        <v>4</v>
      </c>
      <c r="F69" t="e">
        <f ca="1">_xll.BDH($C$53,"RETURN_COM_EQY","FQ1 2017","FQ1 2017","Currency=INR","Period=FQ","BEST_FPERIOD_OVERRIDE=FQ","FILING_STATUS=OR","EQY_CONSOLIDATED=Y","FA_ADJUSTED=GAAP","Sort=A","Dates=H","DateFormat=P","Fill=—","Direction=H","UseDPDF=Y")</f>
        <v>#NAME?</v>
      </c>
      <c r="G69" t="e">
        <f ca="1">_xll.BDH($C$53,"RETURN_ON_ASSET","FQ1 2017","FQ1 2017","Currency=INR","Period=FQ","BEST_FPERIOD_OVERRIDE=FQ","FILING_STATUS=OR","EQY_CONSOLIDATED=Y","FA_ADJUSTED=GAAP","Sort=A","Dates=H","DateFormat=P","Fill=—","Direction=H","UseDPDF=Y")</f>
        <v>#NAME?</v>
      </c>
      <c r="H69" t="e">
        <f ca="1">_xll.BDH($C$53,"RETURN_ON_CAP","FQ1 2017","FQ1 2017","Currency=INR","Period=FQ","BEST_FPERIOD_OVERRIDE=FQ","FILING_STATUS=OR","EQY_CONSOLIDATED=Y","FA_ADJUSTED=GAAP","Sort=A","Dates=H","DateFormat=P","Fill=—","Direction=H","UseDPDF=Y")</f>
        <v>#NAME?</v>
      </c>
      <c r="I69" t="e">
        <f ca="1">_xll.BDH($C$53,"RETURN_ON_INV_CAPITAL","FQ1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69" t="e">
        <f ca="1">_xll.BDH($C$53,"EBITDA_TO_REVENUE","FQ1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69" t="e">
        <f ca="1">_xll.BDH($C$53,"OPER_MARGIN","FQ1 2017","FQ1 2017","Currency=INR","Period=FQ","BEST_FPERIOD_OVERRIDE=FQ","FILING_STATUS=OR","EQY_CONSOLIDATED=Y","FA_ADJUSTED=GAAP","Sort=A","Dates=H","DateFormat=P","Fill=—","Direction=H","UseDPDF=Y")</f>
        <v>#NAME?</v>
      </c>
      <c r="L69" t="e">
        <f ca="1">_xll.BDH($C$53,"INCREMENTAL_OPERATING_MARGIN","FQ1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69" t="e">
        <f ca="1">_xll.BDH($C$53,"PRETAX_INC_TO_NET_SALES","FQ1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69" t="e">
        <f ca="1">_xll.BDH($C$53,"INC_BEF_XO_ITEMS_TO_NET_SALES","FQ1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69" t="e">
        <f ca="1">_xll.BDH($C$53,"PROF_MARGIN","FQ1 2017","FQ1 2017","Currency=INR","Period=FQ","BEST_FPERIOD_OVERRIDE=FQ","FILING_STATUS=OR","EQY_CONSOLIDATED=Y","FA_ADJUSTED=GAAP","Sort=A","Dates=H","DateFormat=P","Fill=—","Direction=H","UseDPDF=Y")</f>
        <v>#NAME?</v>
      </c>
      <c r="P69" t="e">
        <f ca="1">_xll.BDH($C$53,"NET_INCOME_TO_COMMON_MARGIN","FQ1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69" t="e">
        <f ca="1">_xll.BDH($C$53,"EFF_TAX_RATE","FQ1 2017","FQ1 2017","Currency=INR","Period=FQ","BEST_FPERIOD_OVERRIDE=FQ","FILING_STATUS=OR","EQY_CONSOLIDATED=Y","FA_ADJUSTED=GAAP","Sort=A","Dates=H","DateFormat=P","Fill=—","Direction=H","UseDPDF=Y")</f>
        <v>#NAME?</v>
      </c>
      <c r="R69" t="e">
        <f ca="1">_xll.BDH($C$53,"DVD_PAYOUT_RATIO","FQ1 2017","FQ1 2017","Currency=INR","Period=FQ","BEST_FPERIOD_OVERRIDE=FQ","FILING_STATUS=OR","EQY_CONSOLIDATED=Y","FA_ADJUSTED=GAAP","Sort=A","Dates=H","DateFormat=P","Fill=—","Direction=H","UseDPDF=Y")</f>
        <v>#NAME?</v>
      </c>
      <c r="S69" t="e">
        <f ca="1">_xll.BDH($C$53,"SUSTAIN_GROWTH_RT","FQ1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69" s="1" t="e">
        <f ca="1">_xll.BDH($C$53,"SALES_GROWTH","FQ1 2017","FQ1 2017","Currency=INR","Period=FQ","BEST_FPERIOD_OVERRIDE=FQ","FILING_STATUS=OR","EQY_CONSOLIDATED=Y","FA_ADJUSTED=GAAP","Sort=A","Dates=H","DateFormat=P","Fill=—","Direction=H","UseDPDF=Y")</f>
        <v>#NAME?</v>
      </c>
      <c r="U69" s="1" t="e">
        <f ca="1">_xll.BDH($C$53,"EBITDA_GROWTH","FQ1 2017","FQ1 2017","Currency=INR","Period=FQ","BEST_FPERIOD_OVERRIDE=FQ","FILING_STATUS=OR","EQY_CONSOLIDATED=Y","FA_ADJUSTED=GAAP","Sort=A","Dates=H","DateFormat=P","Fill=—","Direction=H","UseDPDF=Y")</f>
        <v>#NAME?</v>
      </c>
      <c r="V69" s="1" t="e">
        <f ca="1">_xll.BDH($C$53,"OPER_INC_GROWTH","FQ1 2017","FQ1 2017","Currency=INR","Period=FQ","BEST_FPERIOD_OVERRIDE=FQ","FILING_STATUS=OR","EQY_CONSOLIDATED=Y","FA_ADJUSTED=GAAP","Sort=A","Dates=H","DateFormat=P","Fill=—","Direction=H","UseDPDF=Y")</f>
        <v>#NAME?</v>
      </c>
      <c r="W69" s="1" t="e">
        <f ca="1">_xll.BDH($C$53,"EARN_FOR_COM_GROWTH","FQ1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69" s="1" t="e">
        <f ca="1">_xll.BDH($C$53,"DILUTED_EPS_AFT_XO_ITEMS_GROWTH","FQ1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69" s="1" t="e">
        <f ca="1">_xll.BDH($C$53,"DIVIDEND_PER_SHARE_1_YEAR_GROWTH","FQ1 2017","FQ1 2017","Currency=INR","Period=FQ","BEST_FPERIOD_OVERRIDE=FQ","FILING_STATUS=OR","EQY_CONSOLIDATED=Y","Sort=A","Dates=H","DateFormat=P","Fill=—","Direction=H","UseDPDF=Y")</f>
        <v>#NAME?</v>
      </c>
      <c r="Z69" s="1" t="e">
        <f ca="1">_xll.BDH($C$53,"ACCOUNTS_RECEIVABLE_GROWTH","FQ1 2017","FQ1 2017","Currency=INR","Period=FQ","BEST_FPERIOD_OVERRIDE=FQ","FILING_STATUS=OR","EQY_CONSOLIDATED=Y","Sort=A","Dates=H","DateFormat=P","Fill=—","Direction=H","UseDPDF=Y")</f>
        <v>#NAME?</v>
      </c>
      <c r="AA69" s="1" t="e">
        <f ca="1">_xll.BDH($C$53,"INVENTORY_GROWTH","FQ1 2017","FQ1 2017","Currency=INR","Period=FQ","BEST_FPERIOD_OVERRIDE=FQ","FILING_STATUS=OR","EQY_CONSOLIDATED=Y","Sort=A","Dates=H","DateFormat=P","Fill=—","Direction=H","UseDPDF=Y")</f>
        <v>#NAME?</v>
      </c>
      <c r="AB69" s="1" t="e">
        <f ca="1">_xll.BDH($C$53,"NET_FIXED_ASSETS_1_YEAR_GROWTH","FQ1 2017","FQ1 2017","Currency=INR","Period=FQ","BEST_FPERIOD_OVERRIDE=FQ","FILING_STATUS=OR","EQY_CONSOLIDATED=Y","Sort=A","Dates=H","DateFormat=P","Fill=—","Direction=H","UseDPDF=Y")</f>
        <v>#NAME?</v>
      </c>
      <c r="AC69" s="1" t="e">
        <f ca="1">_xll.BDH($C$53,"ASSET_GROWTH","FQ1 2017","FQ1 2017","Currency=INR","Period=FQ","BEST_FPERIOD_OVERRIDE=FQ","FILING_STATUS=OR","EQY_CONSOLIDATED=Y","Sort=A","Dates=H","DateFormat=P","Fill=—","Direction=H","UseDPDF=Y")</f>
        <v>#NAME?</v>
      </c>
      <c r="AD69" s="1" t="e">
        <f ca="1">_xll.BDH($C$53,"MODIFIED_WORK_CAP_GROWTH","FQ1 2017","FQ1 2017","Currency=INR","Period=FQ","BEST_FPERIOD_OVERRIDE=FQ","FILING_STATUS=OR","EQY_CONSOLIDATED=Y","Sort=A","Dates=H","DateFormat=P","Fill=—","Direction=H","UseDPDF=Y")</f>
        <v>#NAME?</v>
      </c>
      <c r="AE69" s="1" t="e">
        <f ca="1">_xll.BDH($C$53,"WORK_CAP_GROWTH","FQ1 2017","FQ1 2017","Currency=INR","Period=FQ","BEST_FPERIOD_OVERRIDE=FQ","FILING_STATUS=OR","EQY_CONSOLIDATED=Y","Sort=A","Dates=H","DateFormat=P","Fill=—","Direction=H","UseDPDF=Y")</f>
        <v>#NAME?</v>
      </c>
      <c r="AF69" s="1" t="e">
        <f ca="1">_xll.BDH($C$53,"ACCOUNTS_PAYABLE_GROWTH_1YR","FQ1 2017","FQ1 2017","Currency=INR","Period=FQ","BEST_FPERIOD_OVERRIDE=FQ","FILING_STATUS=OR","EQY_CONSOLIDATED=Y","Sort=A","Dates=H","DateFormat=P","Fill=—","Direction=H","UseDPDF=Y")</f>
        <v>#NAME?</v>
      </c>
      <c r="AG69" s="1" t="e">
        <f ca="1">_xll.BDH($C$53,"SHORT_TERM_DEBT_1_YEAR_GROWTH","FQ1 2017","FQ1 2017","Currency=INR","Period=FQ","BEST_FPERIOD_OVERRIDE=FQ","FILING_STATUS=OR","EQY_CONSOLIDATED=Y","Sort=A","Dates=H","DateFormat=P","Fill=—","Direction=H","UseDPDF=Y")</f>
        <v>#NAME?</v>
      </c>
      <c r="AH69" s="1" t="e">
        <f ca="1">_xll.BDH($C$53,"TOTAL_DEBT_1_YEAR_GROWTH","FQ1 2017","FQ1 2017","Currency=INR","Period=FQ","BEST_FPERIOD_OVERRIDE=FQ","FILING_STATUS=OR","EQY_CONSOLIDATED=Y","Sort=A","Dates=H","DateFormat=P","Fill=—","Direction=H","UseDPDF=Y")</f>
        <v>#NAME?</v>
      </c>
      <c r="AI69" s="1" t="e">
        <f ca="1">_xll.BDH($C$53,"TOTAL_EQUITY_1_YEAR_GROWTH","FQ1 2017","FQ1 2017","Currency=INR","Period=FQ","BEST_FPERIOD_OVERRIDE=FQ","FILING_STATUS=OR","EQY_CONSOLIDATED=Y","Sort=A","Dates=H","DateFormat=P","Fill=—","Direction=H","UseDPDF=Y")</f>
        <v>#NAME?</v>
      </c>
      <c r="AJ69" s="1" t="e">
        <f ca="1">_xll.BDH($C$53,"GROWTH_IN_CAP","FQ1 2017","FQ1 2017","Currency=INR","Period=FQ","BEST_FPERIOD_OVERRIDE=FQ","FILING_STATUS=OR","EQY_CONSOLIDATED=Y","Sort=A","Dates=H","DateFormat=P","Fill=—","Direction=H","UseDPDF=Y")</f>
        <v>#NAME?</v>
      </c>
      <c r="AK69" s="1" t="e">
        <f ca="1">_xll.BDH($C$53,"BVPS_GROWTH","FQ1 2017","FQ1 2017","Currency=INR","Period=FQ","BEST_FPERIOD_OVERRIDE=FQ","FILING_STATUS=OR","EQY_CONSOLIDATED=Y","Sort=A","Dates=H","DateFormat=P","Fill=—","Direction=H","UseDPDF=Y")</f>
        <v>#NAME?</v>
      </c>
      <c r="AL69" s="1" t="e">
        <f ca="1">_xll.BDH($C$53,"CASH_FLOW_GROWTH","FQ1 2017","FQ1 2017","Currency=INR","Period=FQ","BEST_FPERIOD_OVERRIDE=FQ","FILING_STATUS=OR","EQY_CONSOLIDATED=Y","Sort=A","Dates=H","DateFormat=P","Fill=—","Direction=H","UseDPDF=Y")</f>
        <v>#NAME?</v>
      </c>
      <c r="AM69" s="1" t="e">
        <f ca="1">_xll.BDH($C$53,"GEO_GROW_NET_SALES","FQ1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69" s="1" t="e">
        <f ca="1">_xll.BDH($C$53,"GEO_GROW_EBITDA","FQ1 2017","FQ1 2017","Currency=INR","Period=FQ","BEST_FPERIOD_OVERRIDE=FQ","FILING_STATUS=OR","EQY_CONSOLIDATED=Y","FA_ADJUSTED=GAAP","Sort=A","Dates=H","DateFormat=P","Fill=—","Direction=H","UseDPDF=Y")</f>
        <v>#NAME?</v>
      </c>
      <c r="AO69" s="1" t="e">
        <f ca="1">_xll.BDH($C$53,"GEO_GROW_OPER_INC","FQ1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69" s="1" t="e">
        <f ca="1">_xll.BDH($C$53,"NET_INCOME_TO_COMMON_5_YR_GROWTH","FQ1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69" s="1" t="e">
        <f ca="1">_xll.BDH($C$53,"5Y_GEO_GROWTH_DILUTED_EPS","FQ1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69" s="1" t="e">
        <f ca="1">_xll.BDH($C$53,"GEO_GROW_DVD_PER_SH","FQ1 2017","FQ1 2017","Currency=INR","Period=FQ","BEST_FPERIOD_OVERRIDE=FQ","FILING_STATUS=OR","EQY_CONSOLIDATED=Y","Sort=A","Dates=H","DateFormat=P","Fill=—","Direction=H","UseDPDF=Y")</f>
        <v>#NAME?</v>
      </c>
      <c r="AS69" s="1" t="e">
        <f ca="1">_xll.BDH($C$53,"ACCOUNTS_RECEIVABLE_5_YR_GROWTH","FQ1 2017","FQ1 2017","Currency=INR","Period=FQ","BEST_FPERIOD_OVERRIDE=FQ","FILING_STATUS=OR","EQY_CONSOLIDATED=Y","Sort=A","Dates=H","DateFormat=P","Fill=—","Direction=H","UseDPDF=Y")</f>
        <v>#NAME?</v>
      </c>
      <c r="AT69" s="1" t="e">
        <f ca="1">_xll.BDH($C$53,"INVENTORY_5_YEAR_GROWTH","FQ1 2017","FQ1 2017","Currency=INR","Period=FQ","BEST_FPERIOD_OVERRIDE=FQ","FILING_STATUS=OR","EQY_CONSOLIDATED=Y","Sort=A","Dates=H","DateFormat=P","Fill=—","Direction=H","UseDPDF=Y")</f>
        <v>#NAME?</v>
      </c>
      <c r="AU69" s="1" t="e">
        <f ca="1">_xll.BDH($C$53,"NET_FIXED_ASSETS_5_YEAR_GROWTH","FQ1 2017","FQ1 2017","Currency=INR","Period=FQ","BEST_FPERIOD_OVERRIDE=FQ","FILING_STATUS=OR","EQY_CONSOLIDATED=Y","Sort=A","Dates=H","DateFormat=P","Fill=—","Direction=H","UseDPDF=Y")</f>
        <v>#NAME?</v>
      </c>
      <c r="AV69" s="1" t="e">
        <f ca="1">_xll.BDH($C$53,"GEO_GROW_TOT_ASSET","FQ1 2017","FQ1 2017","Currency=INR","Period=FQ","BEST_FPERIOD_OVERRIDE=FQ","FILING_STATUS=OR","EQY_CONSOLIDATED=Y","Sort=A","Dates=H","DateFormat=P","Fill=—","Direction=H","UseDPDF=Y")</f>
        <v>#NAME?</v>
      </c>
      <c r="AW69" s="1" t="e">
        <f ca="1">_xll.BDH($C$53,"MODIFIED_WORKING_CPTL_5YR_GRWTH","FQ1 2017","FQ1 2017","Currency=INR","Period=FQ","BEST_FPERIOD_OVERRIDE=FQ","FILING_STATUS=OR","EQY_CONSOLIDATED=Y","Sort=A","Dates=H","DateFormat=P","Fill=—","Direction=H","UseDPDF=Y")</f>
        <v>#NAME?</v>
      </c>
      <c r="AX69" s="1" t="e">
        <f ca="1">_xll.BDH($C$53,"WORKING_CAPITAL_5_YEAR_GROWTH","FQ1 2017","FQ1 2017","Currency=INR","Period=FQ","BEST_FPERIOD_OVERRIDE=FQ","FILING_STATUS=OR","EQY_CONSOLIDATED=Y","Sort=A","Dates=H","DateFormat=P","Fill=—","Direction=H","UseDPDF=Y")</f>
        <v>#NAME?</v>
      </c>
      <c r="AY69" s="1" t="e">
        <f ca="1">_xll.BDH($C$53,"ACCOUNTS_PAYABLE_5_YEAR_GROWTH","FQ1 2017","FQ1 2017","Currency=INR","Period=FQ","BEST_FPERIOD_OVERRIDE=FQ","FILING_STATUS=OR","EQY_CONSOLIDATED=Y","Sort=A","Dates=H","DateFormat=P","Fill=—","Direction=H","UseDPDF=Y")</f>
        <v>#NAME?</v>
      </c>
      <c r="AZ69" s="1" t="e">
        <f ca="1">_xll.BDH($C$53,"SHORT_TERM_DEBT_5_YEAR_GROWTH","FQ1 2017","FQ1 2017","Currency=INR","Period=FQ","BEST_FPERIOD_OVERRIDE=FQ","FILING_STATUS=OR","EQY_CONSOLIDATED=Y","Sort=A","Dates=H","DateFormat=P","Fill=—","Direction=H","UseDPDF=Y")</f>
        <v>#NAME?</v>
      </c>
      <c r="BA69" s="1" t="e">
        <f ca="1">_xll.BDH($C$53,"TOTAL_DEBT_5_YEAR_GROWTH","FQ1 2017","FQ1 2017","Currency=INR","Period=FQ","BEST_FPERIOD_OVERRIDE=FQ","FILING_STATUS=OR","EQY_CONSOLIDATED=Y","Sort=A","Dates=H","DateFormat=P","Fill=—","Direction=H","UseDPDF=Y")</f>
        <v>#NAME?</v>
      </c>
      <c r="BB69" s="1" t="e">
        <f ca="1">_xll.BDH($C$53,"GEO_GROW_TOT_SHRHLDR_EQY","FQ1 2017","FQ1 2017","Currency=INR","Period=FQ","BEST_FPERIOD_OVERRIDE=FQ","FILING_STATUS=OR","EQY_CONSOLIDATED=Y","Sort=A","Dates=H","DateFormat=P","Fill=—","Direction=H","UseDPDF=Y")</f>
        <v>#NAME?</v>
      </c>
      <c r="BC69" s="1" t="e">
        <f ca="1">_xll.BDH($C$53,"TOTAL_CAPITAL_5_YEAR_GROWTH","FQ1 2017","FQ1 2017","Currency=INR","Period=FQ","BEST_FPERIOD_OVERRIDE=FQ","FILING_STATUS=OR","EQY_CONSOLIDATED=Y","Sort=A","Dates=H","DateFormat=P","Fill=—","Direction=H","UseDPDF=Y")</f>
        <v>#NAME?</v>
      </c>
      <c r="BD69" s="1" t="e">
        <f ca="1">_xll.BDH($C$53,"GEO_GROW_BOOK_VAL","FQ1 2017","FQ1 2017","Currency=INR","Period=FQ","BEST_FPERIOD_OVERRIDE=FQ","FILING_STATUS=OR","EQY_CONSOLIDATED=Y","Sort=A","Dates=H","DateFormat=P","Fill=—","Direction=H","UseDPDF=Y")</f>
        <v>#NAME?</v>
      </c>
      <c r="BE69" s="1" t="e">
        <f ca="1">_xll.BDH($C$53,"GEO_GROW_CASH_OPER_ACT","FQ1 2017","FQ1 2017","Currency=INR","Period=FQ","BEST_FPERIOD_OVERRIDE=FQ","FILING_STATUS=OR","EQY_CONSOLIDATED=Y","Sort=A","Dates=H","DateFormat=P","Fill=—","Direction=H","UseDPDF=Y")</f>
        <v>#NAME?</v>
      </c>
      <c r="BF69" s="1" t="e">
        <f ca="1">_xll.BDH($C$53,"REVENUE_SEQUENTIAL_GROWTH","FQ1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69" s="1" t="e">
        <f ca="1">_xll.BDH($C$53,"EBITDA_SEQUENTIAL_GROWTH","FQ1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69" s="1" t="e">
        <f ca="1">_xll.BDH($C$53,"OPERATING_INCOME_SEQ_GROWTH","FQ1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69" s="1" t="e">
        <f ca="1">_xll.BDH($C$53,"NET_INCOME_TO_COMMON_SEQ_GROWTH","FQ1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69" s="1" t="e">
        <f ca="1">_xll.BDH($C$53,"EPS_DILUTED_SEQUENTIAL_GROWTH","FQ1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69" s="1" t="e">
        <f ca="1">_xll.BDH($C$53,"DPS_SEQUENTIAL_GROWTH","FQ1 2017","FQ1 2017","Currency=INR","Period=FQ","BEST_FPERIOD_OVERRIDE=FQ","FILING_STATUS=OR","EQY_CONSOLIDATED=Y","Sort=A","Dates=H","DateFormat=P","Fill=—","Direction=H","UseDPDF=Y")</f>
        <v>#NAME?</v>
      </c>
      <c r="BL69" s="1" t="e">
        <f ca="1">_xll.BDH($C$53,"ACCOUNTS_RECEIVABLE_SEQ_GROWTH","FQ1 2017","FQ1 2017","Currency=INR","Period=FQ","BEST_FPERIOD_OVERRIDE=FQ","FILING_STATUS=OR","EQY_CONSOLIDATED=Y","Sort=A","Dates=H","DateFormat=P","Fill=—","Direction=H","UseDPDF=Y")</f>
        <v>#NAME?</v>
      </c>
      <c r="BM69" s="1" t="e">
        <f ca="1">_xll.BDH($C$53,"INVENTORY_SEQUENTIAL_GROWTH","FQ1 2017","FQ1 2017","Currency=INR","Period=FQ","BEST_FPERIOD_OVERRIDE=FQ","FILING_STATUS=OR","EQY_CONSOLIDATED=Y","Sort=A","Dates=H","DateFormat=P","Fill=—","Direction=H","UseDPDF=Y")</f>
        <v>#NAME?</v>
      </c>
      <c r="BN69" s="1" t="e">
        <f ca="1">_xll.BDH($C$53,"FIXED_ASSETS_SEQUENTIAL_GROWTH","FQ1 2017","FQ1 2017","Currency=INR","Period=FQ","BEST_FPERIOD_OVERRIDE=FQ","FILING_STATUS=OR","EQY_CONSOLIDATED=Y","Sort=A","Dates=H","DateFormat=P","Fill=—","Direction=H","UseDPDF=Y")</f>
        <v>#NAME?</v>
      </c>
      <c r="BO69" s="1" t="e">
        <f ca="1">_xll.BDH($C$53,"TOTAL_ASSETS_SEQUENTIAL_GROWTH","FQ1 2017","FQ1 2017","Currency=INR","Period=FQ","BEST_FPERIOD_OVERRIDE=FQ","FILING_STATUS=OR","EQY_CONSOLIDATED=Y","Sort=A","Dates=H","DateFormat=P","Fill=—","Direction=H","UseDPDF=Y")</f>
        <v>#NAME?</v>
      </c>
      <c r="BP69" s="1" t="e">
        <f ca="1">_xll.BDH($C$53,"MODIFIED_WORKING_CPTL_SEQ_GRWTH","FQ1 2017","FQ1 2017","Currency=INR","Period=FQ","BEST_FPERIOD_OVERRIDE=FQ","FILING_STATUS=OR","EQY_CONSOLIDATED=Y","Sort=A","Dates=H","DateFormat=P","Fill=—","Direction=H","UseDPDF=Y")</f>
        <v>#NAME?</v>
      </c>
      <c r="BQ69" s="1" t="e">
        <f ca="1">_xll.BDH($C$53,"WORKING_CAPITAL_SEQ_GROWTH","FQ1 2017","FQ1 2017","Currency=INR","Period=FQ","BEST_FPERIOD_OVERRIDE=FQ","FILING_STATUS=OR","EQY_CONSOLIDATED=Y","Sort=A","Dates=H","DateFormat=P","Fill=—","Direction=H","UseDPDF=Y")</f>
        <v>#NAME?</v>
      </c>
      <c r="BR69" s="1" t="e">
        <f ca="1">_xll.BDH($C$53,"ACCOUNTS_PAYABLE_SEQ_GROWTH","FQ1 2017","FQ1 2017","Currency=INR","Period=FQ","BEST_FPERIOD_OVERRIDE=FQ","FILING_STATUS=OR","EQY_CONSOLIDATED=Y","Sort=A","Dates=H","DateFormat=P","Fill=—","Direction=H","UseDPDF=Y")</f>
        <v>#NAME?</v>
      </c>
      <c r="BS69" s="1" t="e">
        <f ca="1">_xll.BDH($C$53,"ST_DEBT_SEQUENTIAL_GROWTH","FQ1 2017","FQ1 2017","Currency=INR","Period=FQ","BEST_FPERIOD_OVERRIDE=FQ","FILING_STATUS=OR","EQY_CONSOLIDATED=Y","Sort=A","Dates=H","DateFormat=P","Fill=—","Direction=H","UseDPDF=Y")</f>
        <v>#NAME?</v>
      </c>
      <c r="BT69" s="1" t="e">
        <f ca="1">_xll.BDH($C$53,"TOTAL_DEBT_SEQUENTIAL_GROWTH","FQ1 2017","FQ1 2017","Currency=INR","Period=FQ","BEST_FPERIOD_OVERRIDE=FQ","FILING_STATUS=OR","EQY_CONSOLIDATED=Y","Sort=A","Dates=H","DateFormat=P","Fill=—","Direction=H","UseDPDF=Y")</f>
        <v>#NAME?</v>
      </c>
      <c r="BU69" s="1" t="e">
        <f ca="1">_xll.BDH($C$53,"TOTAL_EQUITY_SEQUENTIAL_GROWTH","FQ1 2017","FQ1 2017","Currency=INR","Period=FQ","BEST_FPERIOD_OVERRIDE=FQ","FILING_STATUS=OR","EQY_CONSOLIDATED=Y","Sort=A","Dates=H","DateFormat=P","Fill=—","Direction=H","UseDPDF=Y")</f>
        <v>#NAME?</v>
      </c>
      <c r="BV69" s="1" t="e">
        <f ca="1">_xll.BDH($C$53,"TOTAL_CAPITAL_SEQUENTIAL_GROWTH","FQ1 2017","FQ1 2017","Currency=INR","Period=FQ","BEST_FPERIOD_OVERRIDE=FQ","FILING_STATUS=OR","EQY_CONSOLIDATED=Y","Sort=A","Dates=H","DateFormat=P","Fill=—","Direction=H","UseDPDF=Y")</f>
        <v>#NAME?</v>
      </c>
      <c r="BW69" s="1" t="e">
        <f ca="1">_xll.BDH($C$53,"BPS_SEQUENTIAL_GROWTH","FQ1 2017","FQ1 2017","Currency=INR","Period=FQ","BEST_FPERIOD_OVERRIDE=FQ","FILING_STATUS=OR","EQY_CONSOLIDATED=Y","Sort=A","Dates=H","DateFormat=P","Fill=—","Direction=H","UseDPDF=Y")</f>
        <v>#NAME?</v>
      </c>
      <c r="BX69" s="1" t="e">
        <f ca="1">_xll.BDH($C$53,"CFO_SEQUENTIAL_GROWTH","FQ1 2017","FQ1 2017","Currency=INR","Period=FQ","BEST_FPERIOD_OVERRIDE=FQ","FILING_STATUS=OR","EQY_CONSOLIDATED=Y","Sort=A","Dates=H","DateFormat=P","Fill=—","Direction=H","UseDPDF=Y")</f>
        <v>#NAME?</v>
      </c>
      <c r="BY69" s="2" t="e">
        <f ca="1">_xll.BDH($C$53,"SHORT_AND_LONG_TERM_DEBT","FQ1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69" s="2" t="e">
        <f ca="1">_xll.BDH($C$53,"BS_ST_BORROW","FQ1 2017","FQ1 2017","Currency=INR","Period=FQ","BEST_FPERIOD_OVERRIDE=FQ","FILING_STATUS=OR","EQY_CONSOLIDATED=Y","SCALING_FORMAT=MLN","Sort=A","Dates=H","DateFormat=P","Fill=—","Direction=H","UseDPDF=Y")</f>
        <v>#NAME?</v>
      </c>
      <c r="CA69" s="2" t="e">
        <f ca="1">_xll.BDH($C$53,"BS_LT_BORROW","FQ1 2017","FQ1 2017","Currency=INR","Period=FQ","BEST_FPERIOD_OVERRIDE=FQ","FILING_STATUS=OR","EQY_CONSOLIDATED=Y","SCALING_FORMAT=MLN","Sort=A","Dates=H","DateFormat=P","Fill=—","Direction=H","UseDPDF=Y")</f>
        <v>#NAME?</v>
      </c>
      <c r="CB69" s="1" t="e">
        <f ca="1">_xll.BDH($C$53,"TOT_DEBT_TO_EBITDA","FQ1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69" s="1" t="e">
        <f ca="1">_xll.BDH($C$53,"NET_DEBT_TO_EBITDA","FQ1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69" s="1" t="e">
        <f ca="1">_xll.BDH($C$53,"TOTAL_DEBT_TO_EBIT","FQ1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69" s="1" t="e">
        <f ca="1">_xll.BDH($C$53,"NET_DEBT_TO_EBIT","FQ1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69" s="1" t="e">
        <f ca="1">_xll.BDH($C$53,"EBITDA_TO_INTEREST_EXPN","FQ1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69" s="1" t="e">
        <f ca="1">_xll.BDH($C$53,"COM_EQY_TO_TOT_ASSET","FQ1 2017","FQ1 2017","Currency=INR","Period=FQ","BEST_FPERIOD_OVERRIDE=FQ","FILING_STATUS=OR","EQY_CONSOLIDATED=Y","Sort=A","Dates=H","DateFormat=P","Fill=—","Direction=H","UseDPDF=Y")</f>
        <v>#NAME?</v>
      </c>
      <c r="CH69" s="1" t="e">
        <f ca="1">_xll.BDH($C$53,"LT_DEBT_TO_TOT_EQY","FQ1 2017","FQ1 2017","Currency=INR","Period=FQ","BEST_FPERIOD_OVERRIDE=FQ","FILING_STATUS=OR","EQY_CONSOLIDATED=Y","Sort=A","Dates=H","DateFormat=P","Fill=—","Direction=H","UseDPDF=Y")</f>
        <v>#NAME?</v>
      </c>
      <c r="CI69" s="1" t="e">
        <f ca="1">_xll.BDH($C$53,"LT_DEBT_TO_TOT_CAP","FQ1 2017","FQ1 2017","Currency=INR","Period=FQ","BEST_FPERIOD_OVERRIDE=FQ","FILING_STATUS=OR","EQY_CONSOLIDATED=Y","Sort=A","Dates=H","DateFormat=P","Fill=—","Direction=H","UseDPDF=Y")</f>
        <v>#NAME?</v>
      </c>
      <c r="CJ69" s="1" t="e">
        <f ca="1">_xll.BDH($C$53,"LT_DEBT_TO_TOT_ASSET","FQ1 2017","FQ1 2017","Currency=INR","Period=FQ","BEST_FPERIOD_OVERRIDE=FQ","FILING_STATUS=OR","EQY_CONSOLIDATED=Y","Sort=A","Dates=H","DateFormat=P","Fill=—","Direction=H","UseDPDF=Y")</f>
        <v>#NAME?</v>
      </c>
      <c r="CK69" s="1" t="e">
        <f ca="1">_xll.BDH($C$53,"TOT_DEBT_TO_TOT_EQY","FQ1 2017","FQ1 2017","Currency=INR","Period=FQ","BEST_FPERIOD_OVERRIDE=FQ","FILING_STATUS=OR","EQY_CONSOLIDATED=Y","Sort=A","Dates=H","DateFormat=P","Fill=—","Direction=H","UseDPDF=Y")</f>
        <v>#NAME?</v>
      </c>
      <c r="CL69" s="1" t="e">
        <f ca="1">_xll.BDH($C$53,"TOT_DEBT_TO_TOT_CAP","FQ1 2017","FQ1 2017","Currency=INR","Period=FQ","BEST_FPERIOD_OVERRIDE=FQ","FILING_STATUS=OR","EQY_CONSOLIDATED=Y","Sort=A","Dates=H","DateFormat=P","Fill=—","Direction=H","UseDPDF=Y")</f>
        <v>#NAME?</v>
      </c>
      <c r="CM69" s="1" t="e">
        <f ca="1">_xll.BDH($C$53,"TOT_DEBT_TO_TOT_ASSET","FQ1 2017","FQ1 2017","Currency=INR","Period=FQ","BEST_FPERIOD_OVERRIDE=FQ","FILING_STATUS=OR","EQY_CONSOLIDATED=Y","Sort=A","Dates=H","DateFormat=P","Fill=—","Direction=H","UseDPDF=Y")</f>
        <v>#NAME?</v>
      </c>
      <c r="CN69" s="1" t="e">
        <f ca="1">_xll.BDH($C$53,"NET_DEBT_TO_SHRHLDR_EQTY","FQ1 2017","FQ1 2017","Currency=INR","Period=FQ","BEST_FPERIOD_OVERRIDE=FQ","FILING_STATUS=OR","EQY_CONSOLIDATED=Y","Sort=A","Dates=H","DateFormat=P","Fill=—","Direction=H","UseDPDF=Y")</f>
        <v>#NAME?</v>
      </c>
      <c r="CO69" s="1" t="e">
        <f ca="1">_xll.BDH($C$53,"NET_DEBT_%_CAPITAL","FQ1 2017","FQ1 2017","Currency=INR","Period=FQ","BEST_FPERIOD_OVERRIDE=FQ","FILING_STATUS=OR","EQY_CONSOLIDATED=Y","Sort=A","Dates=H","DateFormat=P","Fill=—","Direction=H","UseDPDF=Y")</f>
        <v>#NAME?</v>
      </c>
      <c r="CP69" s="2" t="e">
        <f ca="1">_xll.BDH($C$53,"EBITDA","FQ1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69" s="2" t="e">
        <f ca="1">_xll.BDH($C$53,"EBITDA_AFTER_CAPEX","FQ1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69" s="2" t="e">
        <f ca="1">_xll.BDH($C$53,"IS_OPER_INC","FQ1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69" s="1" t="e">
        <f ca="1">_xll.BDH($C$53,"CASH_RATIO","FQ1 2017","FQ1 2017","Currency=INR","Period=FQ","BEST_FPERIOD_OVERRIDE=FQ","FILING_STATUS=OR","EQY_CONSOLIDATED=Y","Sort=A","Dates=H","DateFormat=P","Fill=—","Direction=H","UseDPDF=Y")</f>
        <v>#NAME?</v>
      </c>
      <c r="CT69" s="1" t="e">
        <f ca="1">_xll.BDH($C$53,"CUR_RATIO","FQ1 2017","FQ1 2017","Currency=INR","Period=FQ","BEST_FPERIOD_OVERRIDE=FQ","FILING_STATUS=OR","EQY_CONSOLIDATED=Y","Sort=A","Dates=H","DateFormat=P","Fill=—","Direction=H","UseDPDF=Y")</f>
        <v>#NAME?</v>
      </c>
      <c r="CU69" s="1" t="e">
        <f ca="1">_xll.BDH($C$53,"QUICK_RATIO","FQ1 2017","FQ1 2017","Currency=INR","Period=FQ","BEST_FPERIOD_OVERRIDE=FQ","FILING_STATUS=OR","EQY_CONSOLIDATED=Y","Sort=A","Dates=H","DateFormat=P","Fill=—","Direction=H","UseDPDF=Y")</f>
        <v>#NAME?</v>
      </c>
      <c r="CV69" s="1" t="e">
        <f ca="1">_xll.BDH($C$53,"ALTMAN_Z_SCORE","FQ1 2017","FQ1 2017","Currency=INR","Period=FQ","BEST_FPERIOD_OVERRIDE=FQ","FILING_STATUS=OR","EQY_CONSOLIDATED=Y","Sort=A","Dates=H","DateFormat=P","Fill=—","Direction=H","UseDPDF=Y")</f>
        <v>#NAME?</v>
      </c>
      <c r="CW69" s="3" t="e">
        <f ca="1">_xll.BDH($C$53,"ACCT_RCV_TURN","FQ1 2017","FQ1 2017","Currency=INR","Period=FQ","BEST_FPERIOD_OVERRIDE=FQ","FILING_STATUS=OR","EQY_CONSOLIDATED=Y","FA_ADJUSTED=GAAP","Sort=A","Dates=H","DateFormat=P","Fill=—","Direction=H","UseDPDF=Y")</f>
        <v>#NAME?</v>
      </c>
      <c r="CX69" s="1" t="e">
        <f ca="1">_xll.BDH($C$53,"ACCT_RCV_DAYS","FQ1 2017","FQ1 2017","Currency=INR","Period=FQ","BEST_FPERIOD_OVERRIDE=FQ","FILING_STATUS=OR","EQY_CONSOLIDATED=Y","FA_ADJUSTED=GAAP","Sort=A","Dates=H","DateFormat=P","Fill=—","Direction=H","UseDPDF=Y")</f>
        <v>#NAME?</v>
      </c>
      <c r="CY69" s="3" t="e">
        <f ca="1">_xll.BDH($C$53,"INVENT_TURN","FQ1 2017","FQ1 2017","Currency=INR","Period=FQ","BEST_FPERIOD_OVERRIDE=FQ","FILING_STATUS=OR","EQY_CONSOLIDATED=Y","FA_ADJUSTED=GAAP","Sort=A","Dates=H","DateFormat=P","Fill=—","Direction=H","UseDPDF=Y")</f>
        <v>#NAME?</v>
      </c>
      <c r="CZ69" s="1" t="e">
        <f ca="1">_xll.BDH($C$53,"INVENT_DAYS","FQ1 2017","FQ1 2017","Currency=INR","Period=FQ","BEST_FPERIOD_OVERRIDE=FQ","FILING_STATUS=OR","EQY_CONSOLIDATED=Y","FA_ADJUSTED=GAAP","Sort=A","Dates=H","DateFormat=P","Fill=—","Direction=H","UseDPDF=Y")</f>
        <v>#NAME?</v>
      </c>
      <c r="DA69" s="3" t="e">
        <f ca="1">_xll.BDH($C$53,"ACCOUNTS_PAYABLE_TURNOVER","FQ1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69" s="1" t="e">
        <f ca="1">_xll.BDH($C$53,"ACCOUNTS_PAYABLE_TURNOVER_DAYS","FQ1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69" s="3" t="e">
        <f ca="1">_xll.BDH($C$53,"CASH_CONVERSION_CYCLE","FQ1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69" s="3" t="e">
        <f ca="1">_xll.BDH($C$53,"INV_TO_CASH_DAYS","FQ1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69" s="4" t="e">
        <f ca="1">_xll.BDH($C$53,"BS_INVENTORIES","FQ1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69" s="2" t="e">
        <f ca="1">_xll.BDH($C$53,"INVTRY_RAW_MATERIALS","FQ1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69" s="2" t="e">
        <f ca="1">_xll.BDH($C$53,"INVTRY_IN_PROGRESS","FQ1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69" s="2" t="e">
        <f ca="1">_xll.BDH($C$53,"INVTRY_FINISHED_GOODS","FQ1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69" s="2" t="e">
        <f ca="1">_xll.BDH($C$53,"BS_OTHER_INV","FQ1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70" spans="1:113" x14ac:dyDescent="0.3">
      <c r="A70" s="6"/>
      <c r="B70" s="6"/>
      <c r="C70" s="6"/>
      <c r="D70" s="6"/>
      <c r="E70" t="s">
        <v>5</v>
      </c>
      <c r="F70" t="e">
        <f ca="1">_xll.BDH($C$53,"RETURN_COM_EQY","FQ2 2017","FQ2 2017","Currency=INR","Period=FQ","BEST_FPERIOD_OVERRIDE=FQ","FILING_STATUS=OR","EQY_CONSOLIDATED=Y","FA_ADJUSTED=GAAP","Sort=A","Dates=H","DateFormat=P","Fill=—","Direction=H","UseDPDF=Y")</f>
        <v>#NAME?</v>
      </c>
      <c r="G70" t="e">
        <f ca="1">_xll.BDH($C$53,"RETURN_ON_ASSET","FQ2 2017","FQ2 2017","Currency=INR","Period=FQ","BEST_FPERIOD_OVERRIDE=FQ","FILING_STATUS=OR","EQY_CONSOLIDATED=Y","FA_ADJUSTED=GAAP","Sort=A","Dates=H","DateFormat=P","Fill=—","Direction=H","UseDPDF=Y")</f>
        <v>#NAME?</v>
      </c>
      <c r="H70" t="e">
        <f ca="1">_xll.BDH($C$53,"RETURN_ON_CAP","FQ2 2017","FQ2 2017","Currency=INR","Period=FQ","BEST_FPERIOD_OVERRIDE=FQ","FILING_STATUS=OR","EQY_CONSOLIDATED=Y","FA_ADJUSTED=GAAP","Sort=A","Dates=H","DateFormat=P","Fill=—","Direction=H","UseDPDF=Y")</f>
        <v>#NAME?</v>
      </c>
      <c r="I70" t="e">
        <f ca="1">_xll.BDH($C$53,"RETURN_ON_INV_CAPITAL","FQ2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70" t="e">
        <f ca="1">_xll.BDH($C$53,"EBITDA_TO_REVENUE","FQ2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70" t="e">
        <f ca="1">_xll.BDH($C$53,"OPER_MARGIN","FQ2 2017","FQ2 2017","Currency=INR","Period=FQ","BEST_FPERIOD_OVERRIDE=FQ","FILING_STATUS=OR","EQY_CONSOLIDATED=Y","FA_ADJUSTED=GAAP","Sort=A","Dates=H","DateFormat=P","Fill=—","Direction=H","UseDPDF=Y")</f>
        <v>#NAME?</v>
      </c>
      <c r="L70" t="e">
        <f ca="1">_xll.BDH($C$53,"INCREMENTAL_OPERATING_MARGIN","FQ2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70" t="e">
        <f ca="1">_xll.BDH($C$53,"PRETAX_INC_TO_NET_SALES","FQ2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70" t="e">
        <f ca="1">_xll.BDH($C$53,"INC_BEF_XO_ITEMS_TO_NET_SALES","FQ2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70" t="e">
        <f ca="1">_xll.BDH($C$53,"PROF_MARGIN","FQ2 2017","FQ2 2017","Currency=INR","Period=FQ","BEST_FPERIOD_OVERRIDE=FQ","FILING_STATUS=OR","EQY_CONSOLIDATED=Y","FA_ADJUSTED=GAAP","Sort=A","Dates=H","DateFormat=P","Fill=—","Direction=H","UseDPDF=Y")</f>
        <v>#NAME?</v>
      </c>
      <c r="P70" t="e">
        <f ca="1">_xll.BDH($C$53,"NET_INCOME_TO_COMMON_MARGIN","FQ2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70" t="e">
        <f ca="1">_xll.BDH($C$53,"EFF_TAX_RATE","FQ2 2017","FQ2 2017","Currency=INR","Period=FQ","BEST_FPERIOD_OVERRIDE=FQ","FILING_STATUS=OR","EQY_CONSOLIDATED=Y","FA_ADJUSTED=GAAP","Sort=A","Dates=H","DateFormat=P","Fill=—","Direction=H","UseDPDF=Y")</f>
        <v>#NAME?</v>
      </c>
      <c r="R70" t="e">
        <f ca="1">_xll.BDH($C$53,"DVD_PAYOUT_RATIO","FQ2 2017","FQ2 2017","Currency=INR","Period=FQ","BEST_FPERIOD_OVERRIDE=FQ","FILING_STATUS=OR","EQY_CONSOLIDATED=Y","FA_ADJUSTED=GAAP","Sort=A","Dates=H","DateFormat=P","Fill=—","Direction=H","UseDPDF=Y")</f>
        <v>#NAME?</v>
      </c>
      <c r="S70" t="e">
        <f ca="1">_xll.BDH($C$53,"SUSTAIN_GROWTH_RT","FQ2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70" s="1" t="e">
        <f ca="1">_xll.BDH($C$53,"SALES_GROWTH","FQ2 2017","FQ2 2017","Currency=INR","Period=FQ","BEST_FPERIOD_OVERRIDE=FQ","FILING_STATUS=OR","EQY_CONSOLIDATED=Y","FA_ADJUSTED=GAAP","Sort=A","Dates=H","DateFormat=P","Fill=—","Direction=H","UseDPDF=Y")</f>
        <v>#NAME?</v>
      </c>
      <c r="U70" s="1" t="e">
        <f ca="1">_xll.BDH($C$53,"EBITDA_GROWTH","FQ2 2017","FQ2 2017","Currency=INR","Period=FQ","BEST_FPERIOD_OVERRIDE=FQ","FILING_STATUS=OR","EQY_CONSOLIDATED=Y","FA_ADJUSTED=GAAP","Sort=A","Dates=H","DateFormat=P","Fill=—","Direction=H","UseDPDF=Y")</f>
        <v>#NAME?</v>
      </c>
      <c r="V70" s="1" t="e">
        <f ca="1">_xll.BDH($C$53,"OPER_INC_GROWTH","FQ2 2017","FQ2 2017","Currency=INR","Period=FQ","BEST_FPERIOD_OVERRIDE=FQ","FILING_STATUS=OR","EQY_CONSOLIDATED=Y","FA_ADJUSTED=GAAP","Sort=A","Dates=H","DateFormat=P","Fill=—","Direction=H","UseDPDF=Y")</f>
        <v>#NAME?</v>
      </c>
      <c r="W70" s="1" t="e">
        <f ca="1">_xll.BDH($C$53,"EARN_FOR_COM_GROWTH","FQ2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70" s="1" t="e">
        <f ca="1">_xll.BDH($C$53,"DILUTED_EPS_AFT_XO_ITEMS_GROWTH","FQ2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70" s="1" t="e">
        <f ca="1">_xll.BDH($C$53,"DIVIDEND_PER_SHARE_1_YEAR_GROWTH","FQ2 2017","FQ2 2017","Currency=INR","Period=FQ","BEST_FPERIOD_OVERRIDE=FQ","FILING_STATUS=OR","EQY_CONSOLIDATED=Y","Sort=A","Dates=H","DateFormat=P","Fill=—","Direction=H","UseDPDF=Y")</f>
        <v>#NAME?</v>
      </c>
      <c r="Z70" s="1" t="e">
        <f ca="1">_xll.BDH($C$53,"ACCOUNTS_RECEIVABLE_GROWTH","FQ2 2017","FQ2 2017","Currency=INR","Period=FQ","BEST_FPERIOD_OVERRIDE=FQ","FILING_STATUS=OR","EQY_CONSOLIDATED=Y","Sort=A","Dates=H","DateFormat=P","Fill=—","Direction=H","UseDPDF=Y")</f>
        <v>#NAME?</v>
      </c>
      <c r="AA70" s="1" t="e">
        <f ca="1">_xll.BDH($C$53,"INVENTORY_GROWTH","FQ2 2017","FQ2 2017","Currency=INR","Period=FQ","BEST_FPERIOD_OVERRIDE=FQ","FILING_STATUS=OR","EQY_CONSOLIDATED=Y","Sort=A","Dates=H","DateFormat=P","Fill=—","Direction=H","UseDPDF=Y")</f>
        <v>#NAME?</v>
      </c>
      <c r="AB70" s="1" t="e">
        <f ca="1">_xll.BDH($C$53,"NET_FIXED_ASSETS_1_YEAR_GROWTH","FQ2 2017","FQ2 2017","Currency=INR","Period=FQ","BEST_FPERIOD_OVERRIDE=FQ","FILING_STATUS=OR","EQY_CONSOLIDATED=Y","Sort=A","Dates=H","DateFormat=P","Fill=—","Direction=H","UseDPDF=Y")</f>
        <v>#NAME?</v>
      </c>
      <c r="AC70" s="1" t="e">
        <f ca="1">_xll.BDH($C$53,"ASSET_GROWTH","FQ2 2017","FQ2 2017","Currency=INR","Period=FQ","BEST_FPERIOD_OVERRIDE=FQ","FILING_STATUS=OR","EQY_CONSOLIDATED=Y","Sort=A","Dates=H","DateFormat=P","Fill=—","Direction=H","UseDPDF=Y")</f>
        <v>#NAME?</v>
      </c>
      <c r="AD70" s="1" t="e">
        <f ca="1">_xll.BDH($C$53,"MODIFIED_WORK_CAP_GROWTH","FQ2 2017","FQ2 2017","Currency=INR","Period=FQ","BEST_FPERIOD_OVERRIDE=FQ","FILING_STATUS=OR","EQY_CONSOLIDATED=Y","Sort=A","Dates=H","DateFormat=P","Fill=—","Direction=H","UseDPDF=Y")</f>
        <v>#NAME?</v>
      </c>
      <c r="AE70" s="1" t="e">
        <f ca="1">_xll.BDH($C$53,"WORK_CAP_GROWTH","FQ2 2017","FQ2 2017","Currency=INR","Period=FQ","BEST_FPERIOD_OVERRIDE=FQ","FILING_STATUS=OR","EQY_CONSOLIDATED=Y","Sort=A","Dates=H","DateFormat=P","Fill=—","Direction=H","UseDPDF=Y")</f>
        <v>#NAME?</v>
      </c>
      <c r="AF70" s="1" t="e">
        <f ca="1">_xll.BDH($C$53,"ACCOUNTS_PAYABLE_GROWTH_1YR","FQ2 2017","FQ2 2017","Currency=INR","Period=FQ","BEST_FPERIOD_OVERRIDE=FQ","FILING_STATUS=OR","EQY_CONSOLIDATED=Y","Sort=A","Dates=H","DateFormat=P","Fill=—","Direction=H","UseDPDF=Y")</f>
        <v>#NAME?</v>
      </c>
      <c r="AG70" s="1" t="e">
        <f ca="1">_xll.BDH($C$53,"SHORT_TERM_DEBT_1_YEAR_GROWTH","FQ2 2017","FQ2 2017","Currency=INR","Period=FQ","BEST_FPERIOD_OVERRIDE=FQ","FILING_STATUS=OR","EQY_CONSOLIDATED=Y","Sort=A","Dates=H","DateFormat=P","Fill=—","Direction=H","UseDPDF=Y")</f>
        <v>#NAME?</v>
      </c>
      <c r="AH70" s="1" t="e">
        <f ca="1">_xll.BDH($C$53,"TOTAL_DEBT_1_YEAR_GROWTH","FQ2 2017","FQ2 2017","Currency=INR","Period=FQ","BEST_FPERIOD_OVERRIDE=FQ","FILING_STATUS=OR","EQY_CONSOLIDATED=Y","Sort=A","Dates=H","DateFormat=P","Fill=—","Direction=H","UseDPDF=Y")</f>
        <v>#NAME?</v>
      </c>
      <c r="AI70" s="1" t="e">
        <f ca="1">_xll.BDH($C$53,"TOTAL_EQUITY_1_YEAR_GROWTH","FQ2 2017","FQ2 2017","Currency=INR","Period=FQ","BEST_FPERIOD_OVERRIDE=FQ","FILING_STATUS=OR","EQY_CONSOLIDATED=Y","Sort=A","Dates=H","DateFormat=P","Fill=—","Direction=H","UseDPDF=Y")</f>
        <v>#NAME?</v>
      </c>
      <c r="AJ70" s="1" t="e">
        <f ca="1">_xll.BDH($C$53,"GROWTH_IN_CAP","FQ2 2017","FQ2 2017","Currency=INR","Period=FQ","BEST_FPERIOD_OVERRIDE=FQ","FILING_STATUS=OR","EQY_CONSOLIDATED=Y","Sort=A","Dates=H","DateFormat=P","Fill=—","Direction=H","UseDPDF=Y")</f>
        <v>#NAME?</v>
      </c>
      <c r="AK70" s="1" t="e">
        <f ca="1">_xll.BDH($C$53,"BVPS_GROWTH","FQ2 2017","FQ2 2017","Currency=INR","Period=FQ","BEST_FPERIOD_OVERRIDE=FQ","FILING_STATUS=OR","EQY_CONSOLIDATED=Y","Sort=A","Dates=H","DateFormat=P","Fill=—","Direction=H","UseDPDF=Y")</f>
        <v>#NAME?</v>
      </c>
      <c r="AL70" s="1" t="e">
        <f ca="1">_xll.BDH($C$53,"CASH_FLOW_GROWTH","FQ2 2017","FQ2 2017","Currency=INR","Period=FQ","BEST_FPERIOD_OVERRIDE=FQ","FILING_STATUS=OR","EQY_CONSOLIDATED=Y","Sort=A","Dates=H","DateFormat=P","Fill=—","Direction=H","UseDPDF=Y")</f>
        <v>#NAME?</v>
      </c>
      <c r="AM70" s="1" t="e">
        <f ca="1">_xll.BDH($C$53,"GEO_GROW_NET_SALES","FQ2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70" s="1" t="e">
        <f ca="1">_xll.BDH($C$53,"GEO_GROW_EBITDA","FQ2 2017","FQ2 2017","Currency=INR","Period=FQ","BEST_FPERIOD_OVERRIDE=FQ","FILING_STATUS=OR","EQY_CONSOLIDATED=Y","FA_ADJUSTED=GAAP","Sort=A","Dates=H","DateFormat=P","Fill=—","Direction=H","UseDPDF=Y")</f>
        <v>#NAME?</v>
      </c>
      <c r="AO70" s="1" t="e">
        <f ca="1">_xll.BDH($C$53,"GEO_GROW_OPER_INC","FQ2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70" s="1" t="e">
        <f ca="1">_xll.BDH($C$53,"NET_INCOME_TO_COMMON_5_YR_GROWTH","FQ2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70" s="1" t="e">
        <f ca="1">_xll.BDH($C$53,"5Y_GEO_GROWTH_DILUTED_EPS","FQ2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70" s="1" t="e">
        <f ca="1">_xll.BDH($C$53,"GEO_GROW_DVD_PER_SH","FQ2 2017","FQ2 2017","Currency=INR","Period=FQ","BEST_FPERIOD_OVERRIDE=FQ","FILING_STATUS=OR","EQY_CONSOLIDATED=Y","Sort=A","Dates=H","DateFormat=P","Fill=—","Direction=H","UseDPDF=Y")</f>
        <v>#NAME?</v>
      </c>
      <c r="AS70" s="1" t="e">
        <f ca="1">_xll.BDH($C$53,"ACCOUNTS_RECEIVABLE_5_YR_GROWTH","FQ2 2017","FQ2 2017","Currency=INR","Period=FQ","BEST_FPERIOD_OVERRIDE=FQ","FILING_STATUS=OR","EQY_CONSOLIDATED=Y","Sort=A","Dates=H","DateFormat=P","Fill=—","Direction=H","UseDPDF=Y")</f>
        <v>#NAME?</v>
      </c>
      <c r="AT70" s="1" t="e">
        <f ca="1">_xll.BDH($C$53,"INVENTORY_5_YEAR_GROWTH","FQ2 2017","FQ2 2017","Currency=INR","Period=FQ","BEST_FPERIOD_OVERRIDE=FQ","FILING_STATUS=OR","EQY_CONSOLIDATED=Y","Sort=A","Dates=H","DateFormat=P","Fill=—","Direction=H","UseDPDF=Y")</f>
        <v>#NAME?</v>
      </c>
      <c r="AU70" s="1" t="e">
        <f ca="1">_xll.BDH($C$53,"NET_FIXED_ASSETS_5_YEAR_GROWTH","FQ2 2017","FQ2 2017","Currency=INR","Period=FQ","BEST_FPERIOD_OVERRIDE=FQ","FILING_STATUS=OR","EQY_CONSOLIDATED=Y","Sort=A","Dates=H","DateFormat=P","Fill=—","Direction=H","UseDPDF=Y")</f>
        <v>#NAME?</v>
      </c>
      <c r="AV70" s="1" t="e">
        <f ca="1">_xll.BDH($C$53,"GEO_GROW_TOT_ASSET","FQ2 2017","FQ2 2017","Currency=INR","Period=FQ","BEST_FPERIOD_OVERRIDE=FQ","FILING_STATUS=OR","EQY_CONSOLIDATED=Y","Sort=A","Dates=H","DateFormat=P","Fill=—","Direction=H","UseDPDF=Y")</f>
        <v>#NAME?</v>
      </c>
      <c r="AW70" s="1" t="e">
        <f ca="1">_xll.BDH($C$53,"MODIFIED_WORKING_CPTL_5YR_GRWTH","FQ2 2017","FQ2 2017","Currency=INR","Period=FQ","BEST_FPERIOD_OVERRIDE=FQ","FILING_STATUS=OR","EQY_CONSOLIDATED=Y","Sort=A","Dates=H","DateFormat=P","Fill=—","Direction=H","UseDPDF=Y")</f>
        <v>#NAME?</v>
      </c>
      <c r="AX70" s="1" t="e">
        <f ca="1">_xll.BDH($C$53,"WORKING_CAPITAL_5_YEAR_GROWTH","FQ2 2017","FQ2 2017","Currency=INR","Period=FQ","BEST_FPERIOD_OVERRIDE=FQ","FILING_STATUS=OR","EQY_CONSOLIDATED=Y","Sort=A","Dates=H","DateFormat=P","Fill=—","Direction=H","UseDPDF=Y")</f>
        <v>#NAME?</v>
      </c>
      <c r="AY70" s="1" t="e">
        <f ca="1">_xll.BDH($C$53,"ACCOUNTS_PAYABLE_5_YEAR_GROWTH","FQ2 2017","FQ2 2017","Currency=INR","Period=FQ","BEST_FPERIOD_OVERRIDE=FQ","FILING_STATUS=OR","EQY_CONSOLIDATED=Y","Sort=A","Dates=H","DateFormat=P","Fill=—","Direction=H","UseDPDF=Y")</f>
        <v>#NAME?</v>
      </c>
      <c r="AZ70" s="1" t="e">
        <f ca="1">_xll.BDH($C$53,"SHORT_TERM_DEBT_5_YEAR_GROWTH","FQ2 2017","FQ2 2017","Currency=INR","Period=FQ","BEST_FPERIOD_OVERRIDE=FQ","FILING_STATUS=OR","EQY_CONSOLIDATED=Y","Sort=A","Dates=H","DateFormat=P","Fill=—","Direction=H","UseDPDF=Y")</f>
        <v>#NAME?</v>
      </c>
      <c r="BA70" s="1" t="e">
        <f ca="1">_xll.BDH($C$53,"TOTAL_DEBT_5_YEAR_GROWTH","FQ2 2017","FQ2 2017","Currency=INR","Period=FQ","BEST_FPERIOD_OVERRIDE=FQ","FILING_STATUS=OR","EQY_CONSOLIDATED=Y","Sort=A","Dates=H","DateFormat=P","Fill=—","Direction=H","UseDPDF=Y")</f>
        <v>#NAME?</v>
      </c>
      <c r="BB70" s="1" t="e">
        <f ca="1">_xll.BDH($C$53,"GEO_GROW_TOT_SHRHLDR_EQY","FQ2 2017","FQ2 2017","Currency=INR","Period=FQ","BEST_FPERIOD_OVERRIDE=FQ","FILING_STATUS=OR","EQY_CONSOLIDATED=Y","Sort=A","Dates=H","DateFormat=P","Fill=—","Direction=H","UseDPDF=Y")</f>
        <v>#NAME?</v>
      </c>
      <c r="BC70" s="1" t="e">
        <f ca="1">_xll.BDH($C$53,"TOTAL_CAPITAL_5_YEAR_GROWTH","FQ2 2017","FQ2 2017","Currency=INR","Period=FQ","BEST_FPERIOD_OVERRIDE=FQ","FILING_STATUS=OR","EQY_CONSOLIDATED=Y","Sort=A","Dates=H","DateFormat=P","Fill=—","Direction=H","UseDPDF=Y")</f>
        <v>#NAME?</v>
      </c>
      <c r="BD70" s="1" t="e">
        <f ca="1">_xll.BDH($C$53,"GEO_GROW_BOOK_VAL","FQ2 2017","FQ2 2017","Currency=INR","Period=FQ","BEST_FPERIOD_OVERRIDE=FQ","FILING_STATUS=OR","EQY_CONSOLIDATED=Y","Sort=A","Dates=H","DateFormat=P","Fill=—","Direction=H","UseDPDF=Y")</f>
        <v>#NAME?</v>
      </c>
      <c r="BE70" s="1" t="e">
        <f ca="1">_xll.BDH($C$53,"GEO_GROW_CASH_OPER_ACT","FQ2 2017","FQ2 2017","Currency=INR","Period=FQ","BEST_FPERIOD_OVERRIDE=FQ","FILING_STATUS=OR","EQY_CONSOLIDATED=Y","Sort=A","Dates=H","DateFormat=P","Fill=—","Direction=H","UseDPDF=Y")</f>
        <v>#NAME?</v>
      </c>
      <c r="BF70" s="1" t="e">
        <f ca="1">_xll.BDH($C$53,"REVENUE_SEQUENTIAL_GROWTH","FQ2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70" s="1" t="e">
        <f ca="1">_xll.BDH($C$53,"EBITDA_SEQUENTIAL_GROWTH","FQ2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70" s="1" t="e">
        <f ca="1">_xll.BDH($C$53,"OPERATING_INCOME_SEQ_GROWTH","FQ2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70" s="1" t="e">
        <f ca="1">_xll.BDH($C$53,"NET_INCOME_TO_COMMON_SEQ_GROWTH","FQ2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70" s="1" t="e">
        <f ca="1">_xll.BDH($C$53,"EPS_DILUTED_SEQUENTIAL_GROWTH","FQ2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70" s="1" t="e">
        <f ca="1">_xll.BDH($C$53,"DPS_SEQUENTIAL_GROWTH","FQ2 2017","FQ2 2017","Currency=INR","Period=FQ","BEST_FPERIOD_OVERRIDE=FQ","FILING_STATUS=OR","EQY_CONSOLIDATED=Y","Sort=A","Dates=H","DateFormat=P","Fill=—","Direction=H","UseDPDF=Y")</f>
        <v>#NAME?</v>
      </c>
      <c r="BL70" s="1" t="e">
        <f ca="1">_xll.BDH($C$53,"ACCOUNTS_RECEIVABLE_SEQ_GROWTH","FQ2 2017","FQ2 2017","Currency=INR","Period=FQ","BEST_FPERIOD_OVERRIDE=FQ","FILING_STATUS=OR","EQY_CONSOLIDATED=Y","Sort=A","Dates=H","DateFormat=P","Fill=—","Direction=H","UseDPDF=Y")</f>
        <v>#NAME?</v>
      </c>
      <c r="BM70" s="1" t="e">
        <f ca="1">_xll.BDH($C$53,"INVENTORY_SEQUENTIAL_GROWTH","FQ2 2017","FQ2 2017","Currency=INR","Period=FQ","BEST_FPERIOD_OVERRIDE=FQ","FILING_STATUS=OR","EQY_CONSOLIDATED=Y","Sort=A","Dates=H","DateFormat=P","Fill=—","Direction=H","UseDPDF=Y")</f>
        <v>#NAME?</v>
      </c>
      <c r="BN70" s="1" t="e">
        <f ca="1">_xll.BDH($C$53,"FIXED_ASSETS_SEQUENTIAL_GROWTH","FQ2 2017","FQ2 2017","Currency=INR","Period=FQ","BEST_FPERIOD_OVERRIDE=FQ","FILING_STATUS=OR","EQY_CONSOLIDATED=Y","Sort=A","Dates=H","DateFormat=P","Fill=—","Direction=H","UseDPDF=Y")</f>
        <v>#NAME?</v>
      </c>
      <c r="BO70" s="1" t="e">
        <f ca="1">_xll.BDH($C$53,"TOTAL_ASSETS_SEQUENTIAL_GROWTH","FQ2 2017","FQ2 2017","Currency=INR","Period=FQ","BEST_FPERIOD_OVERRIDE=FQ","FILING_STATUS=OR","EQY_CONSOLIDATED=Y","Sort=A","Dates=H","DateFormat=P","Fill=—","Direction=H","UseDPDF=Y")</f>
        <v>#NAME?</v>
      </c>
      <c r="BP70" s="1" t="e">
        <f ca="1">_xll.BDH($C$53,"MODIFIED_WORKING_CPTL_SEQ_GRWTH","FQ2 2017","FQ2 2017","Currency=INR","Period=FQ","BEST_FPERIOD_OVERRIDE=FQ","FILING_STATUS=OR","EQY_CONSOLIDATED=Y","Sort=A","Dates=H","DateFormat=P","Fill=—","Direction=H","UseDPDF=Y")</f>
        <v>#NAME?</v>
      </c>
      <c r="BQ70" s="1" t="e">
        <f ca="1">_xll.BDH($C$53,"WORKING_CAPITAL_SEQ_GROWTH","FQ2 2017","FQ2 2017","Currency=INR","Period=FQ","BEST_FPERIOD_OVERRIDE=FQ","FILING_STATUS=OR","EQY_CONSOLIDATED=Y","Sort=A","Dates=H","DateFormat=P","Fill=—","Direction=H","UseDPDF=Y")</f>
        <v>#NAME?</v>
      </c>
      <c r="BR70" s="1" t="e">
        <f ca="1">_xll.BDH($C$53,"ACCOUNTS_PAYABLE_SEQ_GROWTH","FQ2 2017","FQ2 2017","Currency=INR","Period=FQ","BEST_FPERIOD_OVERRIDE=FQ","FILING_STATUS=OR","EQY_CONSOLIDATED=Y","Sort=A","Dates=H","DateFormat=P","Fill=—","Direction=H","UseDPDF=Y")</f>
        <v>#NAME?</v>
      </c>
      <c r="BS70" s="1" t="e">
        <f ca="1">_xll.BDH($C$53,"ST_DEBT_SEQUENTIAL_GROWTH","FQ2 2017","FQ2 2017","Currency=INR","Period=FQ","BEST_FPERIOD_OVERRIDE=FQ","FILING_STATUS=OR","EQY_CONSOLIDATED=Y","Sort=A","Dates=H","DateFormat=P","Fill=—","Direction=H","UseDPDF=Y")</f>
        <v>#NAME?</v>
      </c>
      <c r="BT70" s="1" t="e">
        <f ca="1">_xll.BDH($C$53,"TOTAL_DEBT_SEQUENTIAL_GROWTH","FQ2 2017","FQ2 2017","Currency=INR","Period=FQ","BEST_FPERIOD_OVERRIDE=FQ","FILING_STATUS=OR","EQY_CONSOLIDATED=Y","Sort=A","Dates=H","DateFormat=P","Fill=—","Direction=H","UseDPDF=Y")</f>
        <v>#NAME?</v>
      </c>
      <c r="BU70" s="1" t="e">
        <f ca="1">_xll.BDH($C$53,"TOTAL_EQUITY_SEQUENTIAL_GROWTH","FQ2 2017","FQ2 2017","Currency=INR","Period=FQ","BEST_FPERIOD_OVERRIDE=FQ","FILING_STATUS=OR","EQY_CONSOLIDATED=Y","Sort=A","Dates=H","DateFormat=P","Fill=—","Direction=H","UseDPDF=Y")</f>
        <v>#NAME?</v>
      </c>
      <c r="BV70" s="1" t="e">
        <f ca="1">_xll.BDH($C$53,"TOTAL_CAPITAL_SEQUENTIAL_GROWTH","FQ2 2017","FQ2 2017","Currency=INR","Period=FQ","BEST_FPERIOD_OVERRIDE=FQ","FILING_STATUS=OR","EQY_CONSOLIDATED=Y","Sort=A","Dates=H","DateFormat=P","Fill=—","Direction=H","UseDPDF=Y")</f>
        <v>#NAME?</v>
      </c>
      <c r="BW70" s="1" t="e">
        <f ca="1">_xll.BDH($C$53,"BPS_SEQUENTIAL_GROWTH","FQ2 2017","FQ2 2017","Currency=INR","Period=FQ","BEST_FPERIOD_OVERRIDE=FQ","FILING_STATUS=OR","EQY_CONSOLIDATED=Y","Sort=A","Dates=H","DateFormat=P","Fill=—","Direction=H","UseDPDF=Y")</f>
        <v>#NAME?</v>
      </c>
      <c r="BX70" s="1" t="e">
        <f ca="1">_xll.BDH($C$53,"CFO_SEQUENTIAL_GROWTH","FQ2 2017","FQ2 2017","Currency=INR","Period=FQ","BEST_FPERIOD_OVERRIDE=FQ","FILING_STATUS=OR","EQY_CONSOLIDATED=Y","Sort=A","Dates=H","DateFormat=P","Fill=—","Direction=H","UseDPDF=Y")</f>
        <v>#NAME?</v>
      </c>
      <c r="BY70" s="2" t="e">
        <f ca="1">_xll.BDH($C$53,"SHORT_AND_LONG_TERM_DEBT","FQ2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70" s="2" t="e">
        <f ca="1">_xll.BDH($C$53,"BS_ST_BORROW","FQ2 2017","FQ2 2017","Currency=INR","Period=FQ","BEST_FPERIOD_OVERRIDE=FQ","FILING_STATUS=OR","EQY_CONSOLIDATED=Y","SCALING_FORMAT=MLN","Sort=A","Dates=H","DateFormat=P","Fill=—","Direction=H","UseDPDF=Y")</f>
        <v>#NAME?</v>
      </c>
      <c r="CA70" s="2" t="e">
        <f ca="1">_xll.BDH($C$53,"BS_LT_BORROW","FQ2 2017","FQ2 2017","Currency=INR","Period=FQ","BEST_FPERIOD_OVERRIDE=FQ","FILING_STATUS=OR","EQY_CONSOLIDATED=Y","SCALING_FORMAT=MLN","Sort=A","Dates=H","DateFormat=P","Fill=—","Direction=H","UseDPDF=Y")</f>
        <v>#NAME?</v>
      </c>
      <c r="CB70" s="1" t="e">
        <f ca="1">_xll.BDH($C$53,"TOT_DEBT_TO_EBITDA","FQ2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70" s="1" t="e">
        <f ca="1">_xll.BDH($C$53,"NET_DEBT_TO_EBITDA","FQ2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70" s="1" t="e">
        <f ca="1">_xll.BDH($C$53,"TOTAL_DEBT_TO_EBIT","FQ2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70" s="1" t="e">
        <f ca="1">_xll.BDH($C$53,"NET_DEBT_TO_EBIT","FQ2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70" s="1" t="e">
        <f ca="1">_xll.BDH($C$53,"EBITDA_TO_INTEREST_EXPN","FQ2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70" s="1" t="e">
        <f ca="1">_xll.BDH($C$53,"COM_EQY_TO_TOT_ASSET","FQ2 2017","FQ2 2017","Currency=INR","Period=FQ","BEST_FPERIOD_OVERRIDE=FQ","FILING_STATUS=OR","EQY_CONSOLIDATED=Y","Sort=A","Dates=H","DateFormat=P","Fill=—","Direction=H","UseDPDF=Y")</f>
        <v>#NAME?</v>
      </c>
      <c r="CH70" s="1" t="e">
        <f ca="1">_xll.BDH($C$53,"LT_DEBT_TO_TOT_EQY","FQ2 2017","FQ2 2017","Currency=INR","Period=FQ","BEST_FPERIOD_OVERRIDE=FQ","FILING_STATUS=OR","EQY_CONSOLIDATED=Y","Sort=A","Dates=H","DateFormat=P","Fill=—","Direction=H","UseDPDF=Y")</f>
        <v>#NAME?</v>
      </c>
      <c r="CI70" s="1" t="e">
        <f ca="1">_xll.BDH($C$53,"LT_DEBT_TO_TOT_CAP","FQ2 2017","FQ2 2017","Currency=INR","Period=FQ","BEST_FPERIOD_OVERRIDE=FQ","FILING_STATUS=OR","EQY_CONSOLIDATED=Y","Sort=A","Dates=H","DateFormat=P","Fill=—","Direction=H","UseDPDF=Y")</f>
        <v>#NAME?</v>
      </c>
      <c r="CJ70" s="1" t="e">
        <f ca="1">_xll.BDH($C$53,"LT_DEBT_TO_TOT_ASSET","FQ2 2017","FQ2 2017","Currency=INR","Period=FQ","BEST_FPERIOD_OVERRIDE=FQ","FILING_STATUS=OR","EQY_CONSOLIDATED=Y","Sort=A","Dates=H","DateFormat=P","Fill=—","Direction=H","UseDPDF=Y")</f>
        <v>#NAME?</v>
      </c>
      <c r="CK70" s="1" t="e">
        <f ca="1">_xll.BDH($C$53,"TOT_DEBT_TO_TOT_EQY","FQ2 2017","FQ2 2017","Currency=INR","Period=FQ","BEST_FPERIOD_OVERRIDE=FQ","FILING_STATUS=OR","EQY_CONSOLIDATED=Y","Sort=A","Dates=H","DateFormat=P","Fill=—","Direction=H","UseDPDF=Y")</f>
        <v>#NAME?</v>
      </c>
      <c r="CL70" s="1" t="e">
        <f ca="1">_xll.BDH($C$53,"TOT_DEBT_TO_TOT_CAP","FQ2 2017","FQ2 2017","Currency=INR","Period=FQ","BEST_FPERIOD_OVERRIDE=FQ","FILING_STATUS=OR","EQY_CONSOLIDATED=Y","Sort=A","Dates=H","DateFormat=P","Fill=—","Direction=H","UseDPDF=Y")</f>
        <v>#NAME?</v>
      </c>
      <c r="CM70" s="1" t="e">
        <f ca="1">_xll.BDH($C$53,"TOT_DEBT_TO_TOT_ASSET","FQ2 2017","FQ2 2017","Currency=INR","Period=FQ","BEST_FPERIOD_OVERRIDE=FQ","FILING_STATUS=OR","EQY_CONSOLIDATED=Y","Sort=A","Dates=H","DateFormat=P","Fill=—","Direction=H","UseDPDF=Y")</f>
        <v>#NAME?</v>
      </c>
      <c r="CN70" s="1" t="e">
        <f ca="1">_xll.BDH($C$53,"NET_DEBT_TO_SHRHLDR_EQTY","FQ2 2017","FQ2 2017","Currency=INR","Period=FQ","BEST_FPERIOD_OVERRIDE=FQ","FILING_STATUS=OR","EQY_CONSOLIDATED=Y","Sort=A","Dates=H","DateFormat=P","Fill=—","Direction=H","UseDPDF=Y")</f>
        <v>#NAME?</v>
      </c>
      <c r="CO70" s="1" t="e">
        <f ca="1">_xll.BDH($C$53,"NET_DEBT_%_CAPITAL","FQ2 2017","FQ2 2017","Currency=INR","Period=FQ","BEST_FPERIOD_OVERRIDE=FQ","FILING_STATUS=OR","EQY_CONSOLIDATED=Y","Sort=A","Dates=H","DateFormat=P","Fill=—","Direction=H","UseDPDF=Y")</f>
        <v>#NAME?</v>
      </c>
      <c r="CP70" s="2" t="e">
        <f ca="1">_xll.BDH($C$53,"EBITDA","FQ2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70" s="2" t="e">
        <f ca="1">_xll.BDH($C$53,"EBITDA_AFTER_CAPEX","FQ2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70" s="2" t="e">
        <f ca="1">_xll.BDH($C$53,"IS_OPER_INC","FQ2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70" s="1" t="e">
        <f ca="1">_xll.BDH($C$53,"CASH_RATIO","FQ2 2017","FQ2 2017","Currency=INR","Period=FQ","BEST_FPERIOD_OVERRIDE=FQ","FILING_STATUS=OR","EQY_CONSOLIDATED=Y","Sort=A","Dates=H","DateFormat=P","Fill=—","Direction=H","UseDPDF=Y")</f>
        <v>#NAME?</v>
      </c>
      <c r="CT70" s="1" t="e">
        <f ca="1">_xll.BDH($C$53,"CUR_RATIO","FQ2 2017","FQ2 2017","Currency=INR","Period=FQ","BEST_FPERIOD_OVERRIDE=FQ","FILING_STATUS=OR","EQY_CONSOLIDATED=Y","Sort=A","Dates=H","DateFormat=P","Fill=—","Direction=H","UseDPDF=Y")</f>
        <v>#NAME?</v>
      </c>
      <c r="CU70" s="1" t="e">
        <f ca="1">_xll.BDH($C$53,"QUICK_RATIO","FQ2 2017","FQ2 2017","Currency=INR","Period=FQ","BEST_FPERIOD_OVERRIDE=FQ","FILING_STATUS=OR","EQY_CONSOLIDATED=Y","Sort=A","Dates=H","DateFormat=P","Fill=—","Direction=H","UseDPDF=Y")</f>
        <v>#NAME?</v>
      </c>
      <c r="CV70" s="1" t="e">
        <f ca="1">_xll.BDH($C$53,"ALTMAN_Z_SCORE","FQ2 2017","FQ2 2017","Currency=INR","Period=FQ","BEST_FPERIOD_OVERRIDE=FQ","FILING_STATUS=OR","EQY_CONSOLIDATED=Y","Sort=A","Dates=H","DateFormat=P","Fill=—","Direction=H","UseDPDF=Y")</f>
        <v>#NAME?</v>
      </c>
      <c r="CW70" s="3" t="e">
        <f ca="1">_xll.BDH($C$53,"ACCT_RCV_TURN","FQ2 2017","FQ2 2017","Currency=INR","Period=FQ","BEST_FPERIOD_OVERRIDE=FQ","FILING_STATUS=OR","EQY_CONSOLIDATED=Y","FA_ADJUSTED=GAAP","Sort=A","Dates=H","DateFormat=P","Fill=—","Direction=H","UseDPDF=Y")</f>
        <v>#NAME?</v>
      </c>
      <c r="CX70" s="1" t="e">
        <f ca="1">_xll.BDH($C$53,"ACCT_RCV_DAYS","FQ2 2017","FQ2 2017","Currency=INR","Period=FQ","BEST_FPERIOD_OVERRIDE=FQ","FILING_STATUS=OR","EQY_CONSOLIDATED=Y","FA_ADJUSTED=GAAP","Sort=A","Dates=H","DateFormat=P","Fill=—","Direction=H","UseDPDF=Y")</f>
        <v>#NAME?</v>
      </c>
      <c r="CY70" s="3" t="e">
        <f ca="1">_xll.BDH($C$53,"INVENT_TURN","FQ2 2017","FQ2 2017","Currency=INR","Period=FQ","BEST_FPERIOD_OVERRIDE=FQ","FILING_STATUS=OR","EQY_CONSOLIDATED=Y","FA_ADJUSTED=GAAP","Sort=A","Dates=H","DateFormat=P","Fill=—","Direction=H","UseDPDF=Y")</f>
        <v>#NAME?</v>
      </c>
      <c r="CZ70" s="1" t="e">
        <f ca="1">_xll.BDH($C$53,"INVENT_DAYS","FQ2 2017","FQ2 2017","Currency=INR","Period=FQ","BEST_FPERIOD_OVERRIDE=FQ","FILING_STATUS=OR","EQY_CONSOLIDATED=Y","FA_ADJUSTED=GAAP","Sort=A","Dates=H","DateFormat=P","Fill=—","Direction=H","UseDPDF=Y")</f>
        <v>#NAME?</v>
      </c>
      <c r="DA70" s="3" t="e">
        <f ca="1">_xll.BDH($C$53,"ACCOUNTS_PAYABLE_TURNOVER","FQ2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70" s="1" t="e">
        <f ca="1">_xll.BDH($C$53,"ACCOUNTS_PAYABLE_TURNOVER_DAYS","FQ2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70" s="3" t="e">
        <f ca="1">_xll.BDH($C$53,"CASH_CONVERSION_CYCLE","FQ2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70" s="3" t="e">
        <f ca="1">_xll.BDH($C$53,"INV_TO_CASH_DAYS","FQ2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70" s="4" t="e">
        <f ca="1">_xll.BDH($C$53,"BS_INVENTORIES","FQ2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70" s="2" t="e">
        <f ca="1">_xll.BDH($C$53,"INVTRY_RAW_MATERIALS","FQ2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70" s="2" t="e">
        <f ca="1">_xll.BDH($C$53,"INVTRY_IN_PROGRESS","FQ2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70" s="2" t="e">
        <f ca="1">_xll.BDH($C$53,"INVTRY_FINISHED_GOODS","FQ2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70" s="2" t="e">
        <f ca="1">_xll.BDH($C$53,"BS_OTHER_INV","FQ2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71" spans="1:113" x14ac:dyDescent="0.3">
      <c r="A71" s="6"/>
      <c r="B71" s="6"/>
      <c r="C71" s="6"/>
      <c r="D71" s="6"/>
      <c r="E71" t="s">
        <v>6</v>
      </c>
      <c r="F71" t="e">
        <f ca="1">_xll.BDH($C$53,"RETURN_COM_EQY","FQ3 2017","FQ3 2017","Currency=INR","Period=FQ","BEST_FPERIOD_OVERRIDE=FQ","FILING_STATUS=OR","EQY_CONSOLIDATED=Y","FA_ADJUSTED=GAAP","Sort=A","Dates=H","DateFormat=P","Fill=—","Direction=H","UseDPDF=Y")</f>
        <v>#NAME?</v>
      </c>
      <c r="G71" t="e">
        <f ca="1">_xll.BDH($C$53,"RETURN_ON_ASSET","FQ3 2017","FQ3 2017","Currency=INR","Period=FQ","BEST_FPERIOD_OVERRIDE=FQ","FILING_STATUS=OR","EQY_CONSOLIDATED=Y","FA_ADJUSTED=GAAP","Sort=A","Dates=H","DateFormat=P","Fill=—","Direction=H","UseDPDF=Y")</f>
        <v>#NAME?</v>
      </c>
      <c r="H71" t="e">
        <f ca="1">_xll.BDH($C$53,"RETURN_ON_CAP","FQ3 2017","FQ3 2017","Currency=INR","Period=FQ","BEST_FPERIOD_OVERRIDE=FQ","FILING_STATUS=OR","EQY_CONSOLIDATED=Y","FA_ADJUSTED=GAAP","Sort=A","Dates=H","DateFormat=P","Fill=—","Direction=H","UseDPDF=Y")</f>
        <v>#NAME?</v>
      </c>
      <c r="I71" t="e">
        <f ca="1">_xll.BDH($C$53,"RETURN_ON_INV_CAPITAL","FQ3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71" t="e">
        <f ca="1">_xll.BDH($C$53,"EBITDA_TO_REVENUE","FQ3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71" t="e">
        <f ca="1">_xll.BDH($C$53,"OPER_MARGIN","FQ3 2017","FQ3 2017","Currency=INR","Period=FQ","BEST_FPERIOD_OVERRIDE=FQ","FILING_STATUS=OR","EQY_CONSOLIDATED=Y","FA_ADJUSTED=GAAP","Sort=A","Dates=H","DateFormat=P","Fill=—","Direction=H","UseDPDF=Y")</f>
        <v>#NAME?</v>
      </c>
      <c r="L71" t="e">
        <f ca="1">_xll.BDH($C$53,"INCREMENTAL_OPERATING_MARGIN","FQ3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71" t="e">
        <f ca="1">_xll.BDH($C$53,"PRETAX_INC_TO_NET_SALES","FQ3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71" t="e">
        <f ca="1">_xll.BDH($C$53,"INC_BEF_XO_ITEMS_TO_NET_SALES","FQ3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71" t="e">
        <f ca="1">_xll.BDH($C$53,"PROF_MARGIN","FQ3 2017","FQ3 2017","Currency=INR","Period=FQ","BEST_FPERIOD_OVERRIDE=FQ","FILING_STATUS=OR","EQY_CONSOLIDATED=Y","FA_ADJUSTED=GAAP","Sort=A","Dates=H","DateFormat=P","Fill=—","Direction=H","UseDPDF=Y")</f>
        <v>#NAME?</v>
      </c>
      <c r="P71" t="e">
        <f ca="1">_xll.BDH($C$53,"NET_INCOME_TO_COMMON_MARGIN","FQ3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71" t="e">
        <f ca="1">_xll.BDH($C$53,"EFF_TAX_RATE","FQ3 2017","FQ3 2017","Currency=INR","Period=FQ","BEST_FPERIOD_OVERRIDE=FQ","FILING_STATUS=OR","EQY_CONSOLIDATED=Y","FA_ADJUSTED=GAAP","Sort=A","Dates=H","DateFormat=P","Fill=—","Direction=H","UseDPDF=Y")</f>
        <v>#NAME?</v>
      </c>
      <c r="R71" t="e">
        <f ca="1">_xll.BDH($C$53,"DVD_PAYOUT_RATIO","FQ3 2017","FQ3 2017","Currency=INR","Period=FQ","BEST_FPERIOD_OVERRIDE=FQ","FILING_STATUS=OR","EQY_CONSOLIDATED=Y","FA_ADJUSTED=GAAP","Sort=A","Dates=H","DateFormat=P","Fill=—","Direction=H","UseDPDF=Y")</f>
        <v>#NAME?</v>
      </c>
      <c r="S71" t="e">
        <f ca="1">_xll.BDH($C$53,"SUSTAIN_GROWTH_RT","FQ3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71" s="1" t="e">
        <f ca="1">_xll.BDH($C$53,"SALES_GROWTH","FQ3 2017","FQ3 2017","Currency=INR","Period=FQ","BEST_FPERIOD_OVERRIDE=FQ","FILING_STATUS=OR","EQY_CONSOLIDATED=Y","FA_ADJUSTED=GAAP","Sort=A","Dates=H","DateFormat=P","Fill=—","Direction=H","UseDPDF=Y")</f>
        <v>#NAME?</v>
      </c>
      <c r="U71" s="1" t="e">
        <f ca="1">_xll.BDH($C$53,"EBITDA_GROWTH","FQ3 2017","FQ3 2017","Currency=INR","Period=FQ","BEST_FPERIOD_OVERRIDE=FQ","FILING_STATUS=OR","EQY_CONSOLIDATED=Y","FA_ADJUSTED=GAAP","Sort=A","Dates=H","DateFormat=P","Fill=—","Direction=H","UseDPDF=Y")</f>
        <v>#NAME?</v>
      </c>
      <c r="V71" s="1" t="e">
        <f ca="1">_xll.BDH($C$53,"OPER_INC_GROWTH","FQ3 2017","FQ3 2017","Currency=INR","Period=FQ","BEST_FPERIOD_OVERRIDE=FQ","FILING_STATUS=OR","EQY_CONSOLIDATED=Y","FA_ADJUSTED=GAAP","Sort=A","Dates=H","DateFormat=P","Fill=—","Direction=H","UseDPDF=Y")</f>
        <v>#NAME?</v>
      </c>
      <c r="W71" s="1" t="e">
        <f ca="1">_xll.BDH($C$53,"EARN_FOR_COM_GROWTH","FQ3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71" s="1" t="e">
        <f ca="1">_xll.BDH($C$53,"DILUTED_EPS_AFT_XO_ITEMS_GROWTH","FQ3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71" s="1" t="e">
        <f ca="1">_xll.BDH($C$53,"DIVIDEND_PER_SHARE_1_YEAR_GROWTH","FQ3 2017","FQ3 2017","Currency=INR","Period=FQ","BEST_FPERIOD_OVERRIDE=FQ","FILING_STATUS=OR","EQY_CONSOLIDATED=Y","Sort=A","Dates=H","DateFormat=P","Fill=—","Direction=H","UseDPDF=Y")</f>
        <v>#NAME?</v>
      </c>
      <c r="Z71" s="1" t="e">
        <f ca="1">_xll.BDH($C$53,"ACCOUNTS_RECEIVABLE_GROWTH","FQ3 2017","FQ3 2017","Currency=INR","Period=FQ","BEST_FPERIOD_OVERRIDE=FQ","FILING_STATUS=OR","EQY_CONSOLIDATED=Y","Sort=A","Dates=H","DateFormat=P","Fill=—","Direction=H","UseDPDF=Y")</f>
        <v>#NAME?</v>
      </c>
      <c r="AA71" s="1" t="e">
        <f ca="1">_xll.BDH($C$53,"INVENTORY_GROWTH","FQ3 2017","FQ3 2017","Currency=INR","Period=FQ","BEST_FPERIOD_OVERRIDE=FQ","FILING_STATUS=OR","EQY_CONSOLIDATED=Y","Sort=A","Dates=H","DateFormat=P","Fill=—","Direction=H","UseDPDF=Y")</f>
        <v>#NAME?</v>
      </c>
      <c r="AB71" s="1" t="e">
        <f ca="1">_xll.BDH($C$53,"NET_FIXED_ASSETS_1_YEAR_GROWTH","FQ3 2017","FQ3 2017","Currency=INR","Period=FQ","BEST_FPERIOD_OVERRIDE=FQ","FILING_STATUS=OR","EQY_CONSOLIDATED=Y","Sort=A","Dates=H","DateFormat=P","Fill=—","Direction=H","UseDPDF=Y")</f>
        <v>#NAME?</v>
      </c>
      <c r="AC71" s="1" t="e">
        <f ca="1">_xll.BDH($C$53,"ASSET_GROWTH","FQ3 2017","FQ3 2017","Currency=INR","Period=FQ","BEST_FPERIOD_OVERRIDE=FQ","FILING_STATUS=OR","EQY_CONSOLIDATED=Y","Sort=A","Dates=H","DateFormat=P","Fill=—","Direction=H","UseDPDF=Y")</f>
        <v>#NAME?</v>
      </c>
      <c r="AD71" s="1" t="e">
        <f ca="1">_xll.BDH($C$53,"MODIFIED_WORK_CAP_GROWTH","FQ3 2017","FQ3 2017","Currency=INR","Period=FQ","BEST_FPERIOD_OVERRIDE=FQ","FILING_STATUS=OR","EQY_CONSOLIDATED=Y","Sort=A","Dates=H","DateFormat=P","Fill=—","Direction=H","UseDPDF=Y")</f>
        <v>#NAME?</v>
      </c>
      <c r="AE71" s="1" t="e">
        <f ca="1">_xll.BDH($C$53,"WORK_CAP_GROWTH","FQ3 2017","FQ3 2017","Currency=INR","Period=FQ","BEST_FPERIOD_OVERRIDE=FQ","FILING_STATUS=OR","EQY_CONSOLIDATED=Y","Sort=A","Dates=H","DateFormat=P","Fill=—","Direction=H","UseDPDF=Y")</f>
        <v>#NAME?</v>
      </c>
      <c r="AF71" s="1" t="e">
        <f ca="1">_xll.BDH($C$53,"ACCOUNTS_PAYABLE_GROWTH_1YR","FQ3 2017","FQ3 2017","Currency=INR","Period=FQ","BEST_FPERIOD_OVERRIDE=FQ","FILING_STATUS=OR","EQY_CONSOLIDATED=Y","Sort=A","Dates=H","DateFormat=P","Fill=—","Direction=H","UseDPDF=Y")</f>
        <v>#NAME?</v>
      </c>
      <c r="AG71" s="1" t="e">
        <f ca="1">_xll.BDH($C$53,"SHORT_TERM_DEBT_1_YEAR_GROWTH","FQ3 2017","FQ3 2017","Currency=INR","Period=FQ","BEST_FPERIOD_OVERRIDE=FQ","FILING_STATUS=OR","EQY_CONSOLIDATED=Y","Sort=A","Dates=H","DateFormat=P","Fill=—","Direction=H","UseDPDF=Y")</f>
        <v>#NAME?</v>
      </c>
      <c r="AH71" s="1" t="e">
        <f ca="1">_xll.BDH($C$53,"TOTAL_DEBT_1_YEAR_GROWTH","FQ3 2017","FQ3 2017","Currency=INR","Period=FQ","BEST_FPERIOD_OVERRIDE=FQ","FILING_STATUS=OR","EQY_CONSOLIDATED=Y","Sort=A","Dates=H","DateFormat=P","Fill=—","Direction=H","UseDPDF=Y")</f>
        <v>#NAME?</v>
      </c>
      <c r="AI71" s="1" t="e">
        <f ca="1">_xll.BDH($C$53,"TOTAL_EQUITY_1_YEAR_GROWTH","FQ3 2017","FQ3 2017","Currency=INR","Period=FQ","BEST_FPERIOD_OVERRIDE=FQ","FILING_STATUS=OR","EQY_CONSOLIDATED=Y","Sort=A","Dates=H","DateFormat=P","Fill=—","Direction=H","UseDPDF=Y")</f>
        <v>#NAME?</v>
      </c>
      <c r="AJ71" s="1" t="e">
        <f ca="1">_xll.BDH($C$53,"GROWTH_IN_CAP","FQ3 2017","FQ3 2017","Currency=INR","Period=FQ","BEST_FPERIOD_OVERRIDE=FQ","FILING_STATUS=OR","EQY_CONSOLIDATED=Y","Sort=A","Dates=H","DateFormat=P","Fill=—","Direction=H","UseDPDF=Y")</f>
        <v>#NAME?</v>
      </c>
      <c r="AK71" s="1" t="e">
        <f ca="1">_xll.BDH($C$53,"BVPS_GROWTH","FQ3 2017","FQ3 2017","Currency=INR","Period=FQ","BEST_FPERIOD_OVERRIDE=FQ","FILING_STATUS=OR","EQY_CONSOLIDATED=Y","Sort=A","Dates=H","DateFormat=P","Fill=—","Direction=H","UseDPDF=Y")</f>
        <v>#NAME?</v>
      </c>
      <c r="AL71" s="1" t="e">
        <f ca="1">_xll.BDH($C$53,"CASH_FLOW_GROWTH","FQ3 2017","FQ3 2017","Currency=INR","Period=FQ","BEST_FPERIOD_OVERRIDE=FQ","FILING_STATUS=OR","EQY_CONSOLIDATED=Y","Sort=A","Dates=H","DateFormat=P","Fill=—","Direction=H","UseDPDF=Y")</f>
        <v>#NAME?</v>
      </c>
      <c r="AM71" s="1" t="e">
        <f ca="1">_xll.BDH($C$53,"GEO_GROW_NET_SALES","FQ3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71" s="1" t="e">
        <f ca="1">_xll.BDH($C$53,"GEO_GROW_EBITDA","FQ3 2017","FQ3 2017","Currency=INR","Period=FQ","BEST_FPERIOD_OVERRIDE=FQ","FILING_STATUS=OR","EQY_CONSOLIDATED=Y","FA_ADJUSTED=GAAP","Sort=A","Dates=H","DateFormat=P","Fill=—","Direction=H","UseDPDF=Y")</f>
        <v>#NAME?</v>
      </c>
      <c r="AO71" s="1" t="e">
        <f ca="1">_xll.BDH($C$53,"GEO_GROW_OPER_INC","FQ3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71" s="1" t="e">
        <f ca="1">_xll.BDH($C$53,"NET_INCOME_TO_COMMON_5_YR_GROWTH","FQ3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71" s="1" t="e">
        <f ca="1">_xll.BDH($C$53,"5Y_GEO_GROWTH_DILUTED_EPS","FQ3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71" s="1" t="e">
        <f ca="1">_xll.BDH($C$53,"GEO_GROW_DVD_PER_SH","FQ3 2017","FQ3 2017","Currency=INR","Period=FQ","BEST_FPERIOD_OVERRIDE=FQ","FILING_STATUS=OR","EQY_CONSOLIDATED=Y","Sort=A","Dates=H","DateFormat=P","Fill=—","Direction=H","UseDPDF=Y")</f>
        <v>#NAME?</v>
      </c>
      <c r="AS71" s="1" t="e">
        <f ca="1">_xll.BDH($C$53,"ACCOUNTS_RECEIVABLE_5_YR_GROWTH","FQ3 2017","FQ3 2017","Currency=INR","Period=FQ","BEST_FPERIOD_OVERRIDE=FQ","FILING_STATUS=OR","EQY_CONSOLIDATED=Y","Sort=A","Dates=H","DateFormat=P","Fill=—","Direction=H","UseDPDF=Y")</f>
        <v>#NAME?</v>
      </c>
      <c r="AT71" s="1" t="e">
        <f ca="1">_xll.BDH($C$53,"INVENTORY_5_YEAR_GROWTH","FQ3 2017","FQ3 2017","Currency=INR","Period=FQ","BEST_FPERIOD_OVERRIDE=FQ","FILING_STATUS=OR","EQY_CONSOLIDATED=Y","Sort=A","Dates=H","DateFormat=P","Fill=—","Direction=H","UseDPDF=Y")</f>
        <v>#NAME?</v>
      </c>
      <c r="AU71" s="1" t="e">
        <f ca="1">_xll.BDH($C$53,"NET_FIXED_ASSETS_5_YEAR_GROWTH","FQ3 2017","FQ3 2017","Currency=INR","Period=FQ","BEST_FPERIOD_OVERRIDE=FQ","FILING_STATUS=OR","EQY_CONSOLIDATED=Y","Sort=A","Dates=H","DateFormat=P","Fill=—","Direction=H","UseDPDF=Y")</f>
        <v>#NAME?</v>
      </c>
      <c r="AV71" s="1" t="e">
        <f ca="1">_xll.BDH($C$53,"GEO_GROW_TOT_ASSET","FQ3 2017","FQ3 2017","Currency=INR","Period=FQ","BEST_FPERIOD_OVERRIDE=FQ","FILING_STATUS=OR","EQY_CONSOLIDATED=Y","Sort=A","Dates=H","DateFormat=P","Fill=—","Direction=H","UseDPDF=Y")</f>
        <v>#NAME?</v>
      </c>
      <c r="AW71" s="1" t="e">
        <f ca="1">_xll.BDH($C$53,"MODIFIED_WORKING_CPTL_5YR_GRWTH","FQ3 2017","FQ3 2017","Currency=INR","Period=FQ","BEST_FPERIOD_OVERRIDE=FQ","FILING_STATUS=OR","EQY_CONSOLIDATED=Y","Sort=A","Dates=H","DateFormat=P","Fill=—","Direction=H","UseDPDF=Y")</f>
        <v>#NAME?</v>
      </c>
      <c r="AX71" s="1" t="e">
        <f ca="1">_xll.BDH($C$53,"WORKING_CAPITAL_5_YEAR_GROWTH","FQ3 2017","FQ3 2017","Currency=INR","Period=FQ","BEST_FPERIOD_OVERRIDE=FQ","FILING_STATUS=OR","EQY_CONSOLIDATED=Y","Sort=A","Dates=H","DateFormat=P","Fill=—","Direction=H","UseDPDF=Y")</f>
        <v>#NAME?</v>
      </c>
      <c r="AY71" s="1" t="e">
        <f ca="1">_xll.BDH($C$53,"ACCOUNTS_PAYABLE_5_YEAR_GROWTH","FQ3 2017","FQ3 2017","Currency=INR","Period=FQ","BEST_FPERIOD_OVERRIDE=FQ","FILING_STATUS=OR","EQY_CONSOLIDATED=Y","Sort=A","Dates=H","DateFormat=P","Fill=—","Direction=H","UseDPDF=Y")</f>
        <v>#NAME?</v>
      </c>
      <c r="AZ71" s="1" t="e">
        <f ca="1">_xll.BDH($C$53,"SHORT_TERM_DEBT_5_YEAR_GROWTH","FQ3 2017","FQ3 2017","Currency=INR","Period=FQ","BEST_FPERIOD_OVERRIDE=FQ","FILING_STATUS=OR","EQY_CONSOLIDATED=Y","Sort=A","Dates=H","DateFormat=P","Fill=—","Direction=H","UseDPDF=Y")</f>
        <v>#NAME?</v>
      </c>
      <c r="BA71" s="1" t="e">
        <f ca="1">_xll.BDH($C$53,"TOTAL_DEBT_5_YEAR_GROWTH","FQ3 2017","FQ3 2017","Currency=INR","Period=FQ","BEST_FPERIOD_OVERRIDE=FQ","FILING_STATUS=OR","EQY_CONSOLIDATED=Y","Sort=A","Dates=H","DateFormat=P","Fill=—","Direction=H","UseDPDF=Y")</f>
        <v>#NAME?</v>
      </c>
      <c r="BB71" s="1" t="e">
        <f ca="1">_xll.BDH($C$53,"GEO_GROW_TOT_SHRHLDR_EQY","FQ3 2017","FQ3 2017","Currency=INR","Period=FQ","BEST_FPERIOD_OVERRIDE=FQ","FILING_STATUS=OR","EQY_CONSOLIDATED=Y","Sort=A","Dates=H","DateFormat=P","Fill=—","Direction=H","UseDPDF=Y")</f>
        <v>#NAME?</v>
      </c>
      <c r="BC71" s="1" t="e">
        <f ca="1">_xll.BDH($C$53,"TOTAL_CAPITAL_5_YEAR_GROWTH","FQ3 2017","FQ3 2017","Currency=INR","Period=FQ","BEST_FPERIOD_OVERRIDE=FQ","FILING_STATUS=OR","EQY_CONSOLIDATED=Y","Sort=A","Dates=H","DateFormat=P","Fill=—","Direction=H","UseDPDF=Y")</f>
        <v>#NAME?</v>
      </c>
      <c r="BD71" s="1" t="e">
        <f ca="1">_xll.BDH($C$53,"GEO_GROW_BOOK_VAL","FQ3 2017","FQ3 2017","Currency=INR","Period=FQ","BEST_FPERIOD_OVERRIDE=FQ","FILING_STATUS=OR","EQY_CONSOLIDATED=Y","Sort=A","Dates=H","DateFormat=P","Fill=—","Direction=H","UseDPDF=Y")</f>
        <v>#NAME?</v>
      </c>
      <c r="BE71" s="1" t="e">
        <f ca="1">_xll.BDH($C$53,"GEO_GROW_CASH_OPER_ACT","FQ3 2017","FQ3 2017","Currency=INR","Period=FQ","BEST_FPERIOD_OVERRIDE=FQ","FILING_STATUS=OR","EQY_CONSOLIDATED=Y","Sort=A","Dates=H","DateFormat=P","Fill=—","Direction=H","UseDPDF=Y")</f>
        <v>#NAME?</v>
      </c>
      <c r="BF71" s="1" t="e">
        <f ca="1">_xll.BDH($C$53,"REVENUE_SEQUENTIAL_GROWTH","FQ3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71" s="1" t="e">
        <f ca="1">_xll.BDH($C$53,"EBITDA_SEQUENTIAL_GROWTH","FQ3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71" s="1" t="e">
        <f ca="1">_xll.BDH($C$53,"OPERATING_INCOME_SEQ_GROWTH","FQ3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71" s="1" t="e">
        <f ca="1">_xll.BDH($C$53,"NET_INCOME_TO_COMMON_SEQ_GROWTH","FQ3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71" s="1" t="e">
        <f ca="1">_xll.BDH($C$53,"EPS_DILUTED_SEQUENTIAL_GROWTH","FQ3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71" s="1" t="e">
        <f ca="1">_xll.BDH($C$53,"DPS_SEQUENTIAL_GROWTH","FQ3 2017","FQ3 2017","Currency=INR","Period=FQ","BEST_FPERIOD_OVERRIDE=FQ","FILING_STATUS=OR","EQY_CONSOLIDATED=Y","Sort=A","Dates=H","DateFormat=P","Fill=—","Direction=H","UseDPDF=Y")</f>
        <v>#NAME?</v>
      </c>
      <c r="BL71" s="1" t="e">
        <f ca="1">_xll.BDH($C$53,"ACCOUNTS_RECEIVABLE_SEQ_GROWTH","FQ3 2017","FQ3 2017","Currency=INR","Period=FQ","BEST_FPERIOD_OVERRIDE=FQ","FILING_STATUS=OR","EQY_CONSOLIDATED=Y","Sort=A","Dates=H","DateFormat=P","Fill=—","Direction=H","UseDPDF=Y")</f>
        <v>#NAME?</v>
      </c>
      <c r="BM71" s="1" t="e">
        <f ca="1">_xll.BDH($C$53,"INVENTORY_SEQUENTIAL_GROWTH","FQ3 2017","FQ3 2017","Currency=INR","Period=FQ","BEST_FPERIOD_OVERRIDE=FQ","FILING_STATUS=OR","EQY_CONSOLIDATED=Y","Sort=A","Dates=H","DateFormat=P","Fill=—","Direction=H","UseDPDF=Y")</f>
        <v>#NAME?</v>
      </c>
      <c r="BN71" s="1" t="e">
        <f ca="1">_xll.BDH($C$53,"FIXED_ASSETS_SEQUENTIAL_GROWTH","FQ3 2017","FQ3 2017","Currency=INR","Period=FQ","BEST_FPERIOD_OVERRIDE=FQ","FILING_STATUS=OR","EQY_CONSOLIDATED=Y","Sort=A","Dates=H","DateFormat=P","Fill=—","Direction=H","UseDPDF=Y")</f>
        <v>#NAME?</v>
      </c>
      <c r="BO71" s="1" t="e">
        <f ca="1">_xll.BDH($C$53,"TOTAL_ASSETS_SEQUENTIAL_GROWTH","FQ3 2017","FQ3 2017","Currency=INR","Period=FQ","BEST_FPERIOD_OVERRIDE=FQ","FILING_STATUS=OR","EQY_CONSOLIDATED=Y","Sort=A","Dates=H","DateFormat=P","Fill=—","Direction=H","UseDPDF=Y")</f>
        <v>#NAME?</v>
      </c>
      <c r="BP71" s="1" t="e">
        <f ca="1">_xll.BDH($C$53,"MODIFIED_WORKING_CPTL_SEQ_GRWTH","FQ3 2017","FQ3 2017","Currency=INR","Period=FQ","BEST_FPERIOD_OVERRIDE=FQ","FILING_STATUS=OR","EQY_CONSOLIDATED=Y","Sort=A","Dates=H","DateFormat=P","Fill=—","Direction=H","UseDPDF=Y")</f>
        <v>#NAME?</v>
      </c>
      <c r="BQ71" s="1" t="e">
        <f ca="1">_xll.BDH($C$53,"WORKING_CAPITAL_SEQ_GROWTH","FQ3 2017","FQ3 2017","Currency=INR","Period=FQ","BEST_FPERIOD_OVERRIDE=FQ","FILING_STATUS=OR","EQY_CONSOLIDATED=Y","Sort=A","Dates=H","DateFormat=P","Fill=—","Direction=H","UseDPDF=Y")</f>
        <v>#NAME?</v>
      </c>
      <c r="BR71" s="1" t="e">
        <f ca="1">_xll.BDH($C$53,"ACCOUNTS_PAYABLE_SEQ_GROWTH","FQ3 2017","FQ3 2017","Currency=INR","Period=FQ","BEST_FPERIOD_OVERRIDE=FQ","FILING_STATUS=OR","EQY_CONSOLIDATED=Y","Sort=A","Dates=H","DateFormat=P","Fill=—","Direction=H","UseDPDF=Y")</f>
        <v>#NAME?</v>
      </c>
      <c r="BS71" s="1" t="e">
        <f ca="1">_xll.BDH($C$53,"ST_DEBT_SEQUENTIAL_GROWTH","FQ3 2017","FQ3 2017","Currency=INR","Period=FQ","BEST_FPERIOD_OVERRIDE=FQ","FILING_STATUS=OR","EQY_CONSOLIDATED=Y","Sort=A","Dates=H","DateFormat=P","Fill=—","Direction=H","UseDPDF=Y")</f>
        <v>#NAME?</v>
      </c>
      <c r="BT71" s="1" t="e">
        <f ca="1">_xll.BDH($C$53,"TOTAL_DEBT_SEQUENTIAL_GROWTH","FQ3 2017","FQ3 2017","Currency=INR","Period=FQ","BEST_FPERIOD_OVERRIDE=FQ","FILING_STATUS=OR","EQY_CONSOLIDATED=Y","Sort=A","Dates=H","DateFormat=P","Fill=—","Direction=H","UseDPDF=Y")</f>
        <v>#NAME?</v>
      </c>
      <c r="BU71" s="1" t="e">
        <f ca="1">_xll.BDH($C$53,"TOTAL_EQUITY_SEQUENTIAL_GROWTH","FQ3 2017","FQ3 2017","Currency=INR","Period=FQ","BEST_FPERIOD_OVERRIDE=FQ","FILING_STATUS=OR","EQY_CONSOLIDATED=Y","Sort=A","Dates=H","DateFormat=P","Fill=—","Direction=H","UseDPDF=Y")</f>
        <v>#NAME?</v>
      </c>
      <c r="BV71" s="1" t="e">
        <f ca="1">_xll.BDH($C$53,"TOTAL_CAPITAL_SEQUENTIAL_GROWTH","FQ3 2017","FQ3 2017","Currency=INR","Period=FQ","BEST_FPERIOD_OVERRIDE=FQ","FILING_STATUS=OR","EQY_CONSOLIDATED=Y","Sort=A","Dates=H","DateFormat=P","Fill=—","Direction=H","UseDPDF=Y")</f>
        <v>#NAME?</v>
      </c>
      <c r="BW71" s="1" t="e">
        <f ca="1">_xll.BDH($C$53,"BPS_SEQUENTIAL_GROWTH","FQ3 2017","FQ3 2017","Currency=INR","Period=FQ","BEST_FPERIOD_OVERRIDE=FQ","FILING_STATUS=OR","EQY_CONSOLIDATED=Y","Sort=A","Dates=H","DateFormat=P","Fill=—","Direction=H","UseDPDF=Y")</f>
        <v>#NAME?</v>
      </c>
      <c r="BX71" s="1" t="e">
        <f ca="1">_xll.BDH($C$53,"CFO_SEQUENTIAL_GROWTH","FQ3 2017","FQ3 2017","Currency=INR","Period=FQ","BEST_FPERIOD_OVERRIDE=FQ","FILING_STATUS=OR","EQY_CONSOLIDATED=Y","Sort=A","Dates=H","DateFormat=P","Fill=—","Direction=H","UseDPDF=Y")</f>
        <v>#NAME?</v>
      </c>
      <c r="BY71" s="2" t="e">
        <f ca="1">_xll.BDH($C$53,"SHORT_AND_LONG_TERM_DEBT","FQ3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71" s="2" t="e">
        <f ca="1">_xll.BDH($C$53,"BS_ST_BORROW","FQ3 2017","FQ3 2017","Currency=INR","Period=FQ","BEST_FPERIOD_OVERRIDE=FQ","FILING_STATUS=OR","EQY_CONSOLIDATED=Y","SCALING_FORMAT=MLN","Sort=A","Dates=H","DateFormat=P","Fill=—","Direction=H","UseDPDF=Y")</f>
        <v>#NAME?</v>
      </c>
      <c r="CA71" s="2" t="e">
        <f ca="1">_xll.BDH($C$53,"BS_LT_BORROW","FQ3 2017","FQ3 2017","Currency=INR","Period=FQ","BEST_FPERIOD_OVERRIDE=FQ","FILING_STATUS=OR","EQY_CONSOLIDATED=Y","SCALING_FORMAT=MLN","Sort=A","Dates=H","DateFormat=P","Fill=—","Direction=H","UseDPDF=Y")</f>
        <v>#NAME?</v>
      </c>
      <c r="CB71" s="1" t="e">
        <f ca="1">_xll.BDH($C$53,"TOT_DEBT_TO_EBITDA","FQ3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71" s="1" t="e">
        <f ca="1">_xll.BDH($C$53,"NET_DEBT_TO_EBITDA","FQ3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71" s="1" t="e">
        <f ca="1">_xll.BDH($C$53,"TOTAL_DEBT_TO_EBIT","FQ3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71" s="1" t="e">
        <f ca="1">_xll.BDH($C$53,"NET_DEBT_TO_EBIT","FQ3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71" s="1" t="e">
        <f ca="1">_xll.BDH($C$53,"EBITDA_TO_INTEREST_EXPN","FQ3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71" s="1" t="e">
        <f ca="1">_xll.BDH($C$53,"COM_EQY_TO_TOT_ASSET","FQ3 2017","FQ3 2017","Currency=INR","Period=FQ","BEST_FPERIOD_OVERRIDE=FQ","FILING_STATUS=OR","EQY_CONSOLIDATED=Y","Sort=A","Dates=H","DateFormat=P","Fill=—","Direction=H","UseDPDF=Y")</f>
        <v>#NAME?</v>
      </c>
      <c r="CH71" s="1" t="e">
        <f ca="1">_xll.BDH($C$53,"LT_DEBT_TO_TOT_EQY","FQ3 2017","FQ3 2017","Currency=INR","Period=FQ","BEST_FPERIOD_OVERRIDE=FQ","FILING_STATUS=OR","EQY_CONSOLIDATED=Y","Sort=A","Dates=H","DateFormat=P","Fill=—","Direction=H","UseDPDF=Y")</f>
        <v>#NAME?</v>
      </c>
      <c r="CI71" s="1" t="e">
        <f ca="1">_xll.BDH($C$53,"LT_DEBT_TO_TOT_CAP","FQ3 2017","FQ3 2017","Currency=INR","Period=FQ","BEST_FPERIOD_OVERRIDE=FQ","FILING_STATUS=OR","EQY_CONSOLIDATED=Y","Sort=A","Dates=H","DateFormat=P","Fill=—","Direction=H","UseDPDF=Y")</f>
        <v>#NAME?</v>
      </c>
      <c r="CJ71" s="1" t="e">
        <f ca="1">_xll.BDH($C$53,"LT_DEBT_TO_TOT_ASSET","FQ3 2017","FQ3 2017","Currency=INR","Period=FQ","BEST_FPERIOD_OVERRIDE=FQ","FILING_STATUS=OR","EQY_CONSOLIDATED=Y","Sort=A","Dates=H","DateFormat=P","Fill=—","Direction=H","UseDPDF=Y")</f>
        <v>#NAME?</v>
      </c>
      <c r="CK71" s="1" t="e">
        <f ca="1">_xll.BDH($C$53,"TOT_DEBT_TO_TOT_EQY","FQ3 2017","FQ3 2017","Currency=INR","Period=FQ","BEST_FPERIOD_OVERRIDE=FQ","FILING_STATUS=OR","EQY_CONSOLIDATED=Y","Sort=A","Dates=H","DateFormat=P","Fill=—","Direction=H","UseDPDF=Y")</f>
        <v>#NAME?</v>
      </c>
      <c r="CL71" s="1" t="e">
        <f ca="1">_xll.BDH($C$53,"TOT_DEBT_TO_TOT_CAP","FQ3 2017","FQ3 2017","Currency=INR","Period=FQ","BEST_FPERIOD_OVERRIDE=FQ","FILING_STATUS=OR","EQY_CONSOLIDATED=Y","Sort=A","Dates=H","DateFormat=P","Fill=—","Direction=H","UseDPDF=Y")</f>
        <v>#NAME?</v>
      </c>
      <c r="CM71" s="1" t="e">
        <f ca="1">_xll.BDH($C$53,"TOT_DEBT_TO_TOT_ASSET","FQ3 2017","FQ3 2017","Currency=INR","Period=FQ","BEST_FPERIOD_OVERRIDE=FQ","FILING_STATUS=OR","EQY_CONSOLIDATED=Y","Sort=A","Dates=H","DateFormat=P","Fill=—","Direction=H","UseDPDF=Y")</f>
        <v>#NAME?</v>
      </c>
      <c r="CN71" s="1" t="e">
        <f ca="1">_xll.BDH($C$53,"NET_DEBT_TO_SHRHLDR_EQTY","FQ3 2017","FQ3 2017","Currency=INR","Period=FQ","BEST_FPERIOD_OVERRIDE=FQ","FILING_STATUS=OR","EQY_CONSOLIDATED=Y","Sort=A","Dates=H","DateFormat=P","Fill=—","Direction=H","UseDPDF=Y")</f>
        <v>#NAME?</v>
      </c>
      <c r="CO71" s="1" t="e">
        <f ca="1">_xll.BDH($C$53,"NET_DEBT_%_CAPITAL","FQ3 2017","FQ3 2017","Currency=INR","Period=FQ","BEST_FPERIOD_OVERRIDE=FQ","FILING_STATUS=OR","EQY_CONSOLIDATED=Y","Sort=A","Dates=H","DateFormat=P","Fill=—","Direction=H","UseDPDF=Y")</f>
        <v>#NAME?</v>
      </c>
      <c r="CP71" s="2" t="e">
        <f ca="1">_xll.BDH($C$53,"EBITDA","FQ3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71" s="2" t="e">
        <f ca="1">_xll.BDH($C$53,"EBITDA_AFTER_CAPEX","FQ3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71" s="2" t="e">
        <f ca="1">_xll.BDH($C$53,"IS_OPER_INC","FQ3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71" s="1" t="e">
        <f ca="1">_xll.BDH($C$53,"CASH_RATIO","FQ3 2017","FQ3 2017","Currency=INR","Period=FQ","BEST_FPERIOD_OVERRIDE=FQ","FILING_STATUS=OR","EQY_CONSOLIDATED=Y","Sort=A","Dates=H","DateFormat=P","Fill=—","Direction=H","UseDPDF=Y")</f>
        <v>#NAME?</v>
      </c>
      <c r="CT71" s="1" t="e">
        <f ca="1">_xll.BDH($C$53,"CUR_RATIO","FQ3 2017","FQ3 2017","Currency=INR","Period=FQ","BEST_FPERIOD_OVERRIDE=FQ","FILING_STATUS=OR","EQY_CONSOLIDATED=Y","Sort=A","Dates=H","DateFormat=P","Fill=—","Direction=H","UseDPDF=Y")</f>
        <v>#NAME?</v>
      </c>
      <c r="CU71" s="1" t="e">
        <f ca="1">_xll.BDH($C$53,"QUICK_RATIO","FQ3 2017","FQ3 2017","Currency=INR","Period=FQ","BEST_FPERIOD_OVERRIDE=FQ","FILING_STATUS=OR","EQY_CONSOLIDATED=Y","Sort=A","Dates=H","DateFormat=P","Fill=—","Direction=H","UseDPDF=Y")</f>
        <v>#NAME?</v>
      </c>
      <c r="CV71" s="1" t="e">
        <f ca="1">_xll.BDH($C$53,"ALTMAN_Z_SCORE","FQ3 2017","FQ3 2017","Currency=INR","Period=FQ","BEST_FPERIOD_OVERRIDE=FQ","FILING_STATUS=OR","EQY_CONSOLIDATED=Y","Sort=A","Dates=H","DateFormat=P","Fill=—","Direction=H","UseDPDF=Y")</f>
        <v>#NAME?</v>
      </c>
      <c r="CW71" s="3" t="e">
        <f ca="1">_xll.BDH($C$53,"ACCT_RCV_TURN","FQ3 2017","FQ3 2017","Currency=INR","Period=FQ","BEST_FPERIOD_OVERRIDE=FQ","FILING_STATUS=OR","EQY_CONSOLIDATED=Y","FA_ADJUSTED=GAAP","Sort=A","Dates=H","DateFormat=P","Fill=—","Direction=H","UseDPDF=Y")</f>
        <v>#NAME?</v>
      </c>
      <c r="CX71" s="1" t="e">
        <f ca="1">_xll.BDH($C$53,"ACCT_RCV_DAYS","FQ3 2017","FQ3 2017","Currency=INR","Period=FQ","BEST_FPERIOD_OVERRIDE=FQ","FILING_STATUS=OR","EQY_CONSOLIDATED=Y","FA_ADJUSTED=GAAP","Sort=A","Dates=H","DateFormat=P","Fill=—","Direction=H","UseDPDF=Y")</f>
        <v>#NAME?</v>
      </c>
      <c r="CY71" s="3" t="e">
        <f ca="1">_xll.BDH($C$53,"INVENT_TURN","FQ3 2017","FQ3 2017","Currency=INR","Period=FQ","BEST_FPERIOD_OVERRIDE=FQ","FILING_STATUS=OR","EQY_CONSOLIDATED=Y","FA_ADJUSTED=GAAP","Sort=A","Dates=H","DateFormat=P","Fill=—","Direction=H","UseDPDF=Y")</f>
        <v>#NAME?</v>
      </c>
      <c r="CZ71" s="1" t="e">
        <f ca="1">_xll.BDH($C$53,"INVENT_DAYS","FQ3 2017","FQ3 2017","Currency=INR","Period=FQ","BEST_FPERIOD_OVERRIDE=FQ","FILING_STATUS=OR","EQY_CONSOLIDATED=Y","FA_ADJUSTED=GAAP","Sort=A","Dates=H","DateFormat=P","Fill=—","Direction=H","UseDPDF=Y")</f>
        <v>#NAME?</v>
      </c>
      <c r="DA71" s="3" t="e">
        <f ca="1">_xll.BDH($C$53,"ACCOUNTS_PAYABLE_TURNOVER","FQ3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71" s="1" t="e">
        <f ca="1">_xll.BDH($C$53,"ACCOUNTS_PAYABLE_TURNOVER_DAYS","FQ3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71" s="3" t="e">
        <f ca="1">_xll.BDH($C$53,"CASH_CONVERSION_CYCLE","FQ3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71" s="3" t="e">
        <f ca="1">_xll.BDH($C$53,"INV_TO_CASH_DAYS","FQ3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71" s="4" t="e">
        <f ca="1">_xll.BDH($C$53,"BS_INVENTORIES","FQ3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71" s="2" t="e">
        <f ca="1">_xll.BDH($C$53,"INVTRY_RAW_MATERIALS","FQ3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71" s="2" t="e">
        <f ca="1">_xll.BDH($C$53,"INVTRY_IN_PROGRESS","FQ3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71" s="2" t="e">
        <f ca="1">_xll.BDH($C$53,"INVTRY_FINISHED_GOODS","FQ3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71" s="2" t="e">
        <f ca="1">_xll.BDH($C$53,"BS_OTHER_INV","FQ3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72" spans="1:113" x14ac:dyDescent="0.3">
      <c r="A72" s="6"/>
      <c r="B72" s="6"/>
      <c r="C72" s="6"/>
      <c r="D72" s="6"/>
      <c r="E72" t="s">
        <v>7</v>
      </c>
      <c r="F72" t="e">
        <f ca="1">_xll.BDH($C$53,"RETURN_COM_EQY","FQ4 2017","FQ4 2017","Currency=INR","Period=FQ","BEST_FPERIOD_OVERRIDE=FQ","FILING_STATUS=OR","EQY_CONSOLIDATED=Y","FA_ADJUSTED=GAAP","Sort=A","Dates=H","DateFormat=P","Fill=—","Direction=H","UseDPDF=Y")</f>
        <v>#NAME?</v>
      </c>
      <c r="G72" t="e">
        <f ca="1">_xll.BDH($C$53,"RETURN_ON_ASSET","FQ4 2017","FQ4 2017","Currency=INR","Period=FQ","BEST_FPERIOD_OVERRIDE=FQ","FILING_STATUS=OR","EQY_CONSOLIDATED=Y","FA_ADJUSTED=GAAP","Sort=A","Dates=H","DateFormat=P","Fill=—","Direction=H","UseDPDF=Y")</f>
        <v>#NAME?</v>
      </c>
      <c r="H72" t="e">
        <f ca="1">_xll.BDH($C$53,"RETURN_ON_CAP","FQ4 2017","FQ4 2017","Currency=INR","Period=FQ","BEST_FPERIOD_OVERRIDE=FQ","FILING_STATUS=OR","EQY_CONSOLIDATED=Y","FA_ADJUSTED=GAAP","Sort=A","Dates=H","DateFormat=P","Fill=—","Direction=H","UseDPDF=Y")</f>
        <v>#NAME?</v>
      </c>
      <c r="I72" t="e">
        <f ca="1">_xll.BDH($C$53,"RETURN_ON_INV_CAPITAL","FQ4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72" t="e">
        <f ca="1">_xll.BDH($C$53,"EBITDA_TO_REVENUE","FQ4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72" t="e">
        <f ca="1">_xll.BDH($C$53,"OPER_MARGIN","FQ4 2017","FQ4 2017","Currency=INR","Period=FQ","BEST_FPERIOD_OVERRIDE=FQ","FILING_STATUS=OR","EQY_CONSOLIDATED=Y","FA_ADJUSTED=GAAP","Sort=A","Dates=H","DateFormat=P","Fill=—","Direction=H","UseDPDF=Y")</f>
        <v>#NAME?</v>
      </c>
      <c r="L72" t="e">
        <f ca="1">_xll.BDH($C$53,"INCREMENTAL_OPERATING_MARGIN","FQ4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72" t="e">
        <f ca="1">_xll.BDH($C$53,"PRETAX_INC_TO_NET_SALES","FQ4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72" t="e">
        <f ca="1">_xll.BDH($C$53,"INC_BEF_XO_ITEMS_TO_NET_SALES","FQ4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72" t="e">
        <f ca="1">_xll.BDH($C$53,"PROF_MARGIN","FQ4 2017","FQ4 2017","Currency=INR","Period=FQ","BEST_FPERIOD_OVERRIDE=FQ","FILING_STATUS=OR","EQY_CONSOLIDATED=Y","FA_ADJUSTED=GAAP","Sort=A","Dates=H","DateFormat=P","Fill=—","Direction=H","UseDPDF=Y")</f>
        <v>#NAME?</v>
      </c>
      <c r="P72" t="e">
        <f ca="1">_xll.BDH($C$53,"NET_INCOME_TO_COMMON_MARGIN","FQ4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72" t="e">
        <f ca="1">_xll.BDH($C$53,"EFF_TAX_RATE","FQ4 2017","FQ4 2017","Currency=INR","Period=FQ","BEST_FPERIOD_OVERRIDE=FQ","FILING_STATUS=OR","EQY_CONSOLIDATED=Y","FA_ADJUSTED=GAAP","Sort=A","Dates=H","DateFormat=P","Fill=—","Direction=H","UseDPDF=Y")</f>
        <v>#NAME?</v>
      </c>
      <c r="R72" t="e">
        <f ca="1">_xll.BDH($C$53,"DVD_PAYOUT_RATIO","FQ4 2017","FQ4 2017","Currency=INR","Period=FQ","BEST_FPERIOD_OVERRIDE=FQ","FILING_STATUS=OR","EQY_CONSOLIDATED=Y","FA_ADJUSTED=GAAP","Sort=A","Dates=H","DateFormat=P","Fill=—","Direction=H","UseDPDF=Y")</f>
        <v>#NAME?</v>
      </c>
      <c r="S72" t="e">
        <f ca="1">_xll.BDH($C$53,"SUSTAIN_GROWTH_RT","FQ4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72" s="1" t="e">
        <f ca="1">_xll.BDH($C$53,"SALES_GROWTH","FQ4 2017","FQ4 2017","Currency=INR","Period=FQ","BEST_FPERIOD_OVERRIDE=FQ","FILING_STATUS=OR","EQY_CONSOLIDATED=Y","FA_ADJUSTED=GAAP","Sort=A","Dates=H","DateFormat=P","Fill=—","Direction=H","UseDPDF=Y")</f>
        <v>#NAME?</v>
      </c>
      <c r="U72" s="1" t="e">
        <f ca="1">_xll.BDH($C$53,"EBITDA_GROWTH","FQ4 2017","FQ4 2017","Currency=INR","Period=FQ","BEST_FPERIOD_OVERRIDE=FQ","FILING_STATUS=OR","EQY_CONSOLIDATED=Y","FA_ADJUSTED=GAAP","Sort=A","Dates=H","DateFormat=P","Fill=—","Direction=H","UseDPDF=Y")</f>
        <v>#NAME?</v>
      </c>
      <c r="V72" s="1" t="e">
        <f ca="1">_xll.BDH($C$53,"OPER_INC_GROWTH","FQ4 2017","FQ4 2017","Currency=INR","Period=FQ","BEST_FPERIOD_OVERRIDE=FQ","FILING_STATUS=OR","EQY_CONSOLIDATED=Y","FA_ADJUSTED=GAAP","Sort=A","Dates=H","DateFormat=P","Fill=—","Direction=H","UseDPDF=Y")</f>
        <v>#NAME?</v>
      </c>
      <c r="W72" s="1" t="e">
        <f ca="1">_xll.BDH($C$53,"EARN_FOR_COM_GROWTH","FQ4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72" s="1" t="e">
        <f ca="1">_xll.BDH($C$53,"DILUTED_EPS_AFT_XO_ITEMS_GROWTH","FQ4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72" s="1" t="e">
        <f ca="1">_xll.BDH($C$53,"DIVIDEND_PER_SHARE_1_YEAR_GROWTH","FQ4 2017","FQ4 2017","Currency=INR","Period=FQ","BEST_FPERIOD_OVERRIDE=FQ","FILING_STATUS=OR","EQY_CONSOLIDATED=Y","Sort=A","Dates=H","DateFormat=P","Fill=—","Direction=H","UseDPDF=Y")</f>
        <v>#NAME?</v>
      </c>
      <c r="Z72" s="1" t="e">
        <f ca="1">_xll.BDH($C$53,"ACCOUNTS_RECEIVABLE_GROWTH","FQ4 2017","FQ4 2017","Currency=INR","Period=FQ","BEST_FPERIOD_OVERRIDE=FQ","FILING_STATUS=OR","EQY_CONSOLIDATED=Y","Sort=A","Dates=H","DateFormat=P","Fill=—","Direction=H","UseDPDF=Y")</f>
        <v>#NAME?</v>
      </c>
      <c r="AA72" s="1" t="e">
        <f ca="1">_xll.BDH($C$53,"INVENTORY_GROWTH","FQ4 2017","FQ4 2017","Currency=INR","Period=FQ","BEST_FPERIOD_OVERRIDE=FQ","FILING_STATUS=OR","EQY_CONSOLIDATED=Y","Sort=A","Dates=H","DateFormat=P","Fill=—","Direction=H","UseDPDF=Y")</f>
        <v>#NAME?</v>
      </c>
      <c r="AB72" s="1" t="e">
        <f ca="1">_xll.BDH($C$53,"NET_FIXED_ASSETS_1_YEAR_GROWTH","FQ4 2017","FQ4 2017","Currency=INR","Period=FQ","BEST_FPERIOD_OVERRIDE=FQ","FILING_STATUS=OR","EQY_CONSOLIDATED=Y","Sort=A","Dates=H","DateFormat=P","Fill=—","Direction=H","UseDPDF=Y")</f>
        <v>#NAME?</v>
      </c>
      <c r="AC72" s="1" t="e">
        <f ca="1">_xll.BDH($C$53,"ASSET_GROWTH","FQ4 2017","FQ4 2017","Currency=INR","Period=FQ","BEST_FPERIOD_OVERRIDE=FQ","FILING_STATUS=OR","EQY_CONSOLIDATED=Y","Sort=A","Dates=H","DateFormat=P","Fill=—","Direction=H","UseDPDF=Y")</f>
        <v>#NAME?</v>
      </c>
      <c r="AD72" s="1" t="e">
        <f ca="1">_xll.BDH($C$53,"MODIFIED_WORK_CAP_GROWTH","FQ4 2017","FQ4 2017","Currency=INR","Period=FQ","BEST_FPERIOD_OVERRIDE=FQ","FILING_STATUS=OR","EQY_CONSOLIDATED=Y","Sort=A","Dates=H","DateFormat=P","Fill=—","Direction=H","UseDPDF=Y")</f>
        <v>#NAME?</v>
      </c>
      <c r="AE72" s="1" t="e">
        <f ca="1">_xll.BDH($C$53,"WORK_CAP_GROWTH","FQ4 2017","FQ4 2017","Currency=INR","Period=FQ","BEST_FPERIOD_OVERRIDE=FQ","FILING_STATUS=OR","EQY_CONSOLIDATED=Y","Sort=A","Dates=H","DateFormat=P","Fill=—","Direction=H","UseDPDF=Y")</f>
        <v>#NAME?</v>
      </c>
      <c r="AF72" s="1" t="e">
        <f ca="1">_xll.BDH($C$53,"ACCOUNTS_PAYABLE_GROWTH_1YR","FQ4 2017","FQ4 2017","Currency=INR","Period=FQ","BEST_FPERIOD_OVERRIDE=FQ","FILING_STATUS=OR","EQY_CONSOLIDATED=Y","Sort=A","Dates=H","DateFormat=P","Fill=—","Direction=H","UseDPDF=Y")</f>
        <v>#NAME?</v>
      </c>
      <c r="AG72" s="1" t="e">
        <f ca="1">_xll.BDH($C$53,"SHORT_TERM_DEBT_1_YEAR_GROWTH","FQ4 2017","FQ4 2017","Currency=INR","Period=FQ","BEST_FPERIOD_OVERRIDE=FQ","FILING_STATUS=OR","EQY_CONSOLIDATED=Y","Sort=A","Dates=H","DateFormat=P","Fill=—","Direction=H","UseDPDF=Y")</f>
        <v>#NAME?</v>
      </c>
      <c r="AH72" s="1" t="e">
        <f ca="1">_xll.BDH($C$53,"TOTAL_DEBT_1_YEAR_GROWTH","FQ4 2017","FQ4 2017","Currency=INR","Period=FQ","BEST_FPERIOD_OVERRIDE=FQ","FILING_STATUS=OR","EQY_CONSOLIDATED=Y","Sort=A","Dates=H","DateFormat=P","Fill=—","Direction=H","UseDPDF=Y")</f>
        <v>#NAME?</v>
      </c>
      <c r="AI72" s="1" t="e">
        <f ca="1">_xll.BDH($C$53,"TOTAL_EQUITY_1_YEAR_GROWTH","FQ4 2017","FQ4 2017","Currency=INR","Period=FQ","BEST_FPERIOD_OVERRIDE=FQ","FILING_STATUS=OR","EQY_CONSOLIDATED=Y","Sort=A","Dates=H","DateFormat=P","Fill=—","Direction=H","UseDPDF=Y")</f>
        <v>#NAME?</v>
      </c>
      <c r="AJ72" s="1" t="e">
        <f ca="1">_xll.BDH($C$53,"GROWTH_IN_CAP","FQ4 2017","FQ4 2017","Currency=INR","Period=FQ","BEST_FPERIOD_OVERRIDE=FQ","FILING_STATUS=OR","EQY_CONSOLIDATED=Y","Sort=A","Dates=H","DateFormat=P","Fill=—","Direction=H","UseDPDF=Y")</f>
        <v>#NAME?</v>
      </c>
      <c r="AK72" s="1" t="e">
        <f ca="1">_xll.BDH($C$53,"BVPS_GROWTH","FQ4 2017","FQ4 2017","Currency=INR","Period=FQ","BEST_FPERIOD_OVERRIDE=FQ","FILING_STATUS=OR","EQY_CONSOLIDATED=Y","Sort=A","Dates=H","DateFormat=P","Fill=—","Direction=H","UseDPDF=Y")</f>
        <v>#NAME?</v>
      </c>
      <c r="AL72" s="1" t="e">
        <f ca="1">_xll.BDH($C$53,"CASH_FLOW_GROWTH","FQ4 2017","FQ4 2017","Currency=INR","Period=FQ","BEST_FPERIOD_OVERRIDE=FQ","FILING_STATUS=OR","EQY_CONSOLIDATED=Y","Sort=A","Dates=H","DateFormat=P","Fill=—","Direction=H","UseDPDF=Y")</f>
        <v>#NAME?</v>
      </c>
      <c r="AM72" s="1" t="e">
        <f ca="1">_xll.BDH($C$53,"GEO_GROW_NET_SALES","FQ4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72" s="1" t="e">
        <f ca="1">_xll.BDH($C$53,"GEO_GROW_EBITDA","FQ4 2017","FQ4 2017","Currency=INR","Period=FQ","BEST_FPERIOD_OVERRIDE=FQ","FILING_STATUS=OR","EQY_CONSOLIDATED=Y","FA_ADJUSTED=GAAP","Sort=A","Dates=H","DateFormat=P","Fill=—","Direction=H","UseDPDF=Y")</f>
        <v>#NAME?</v>
      </c>
      <c r="AO72" s="1" t="e">
        <f ca="1">_xll.BDH($C$53,"GEO_GROW_OPER_INC","FQ4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72" s="1" t="e">
        <f ca="1">_xll.BDH($C$53,"NET_INCOME_TO_COMMON_5_YR_GROWTH","FQ4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72" s="1" t="e">
        <f ca="1">_xll.BDH($C$53,"5Y_GEO_GROWTH_DILUTED_EPS","FQ4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72" s="1" t="e">
        <f ca="1">_xll.BDH($C$53,"GEO_GROW_DVD_PER_SH","FQ4 2017","FQ4 2017","Currency=INR","Period=FQ","BEST_FPERIOD_OVERRIDE=FQ","FILING_STATUS=OR","EQY_CONSOLIDATED=Y","Sort=A","Dates=H","DateFormat=P","Fill=—","Direction=H","UseDPDF=Y")</f>
        <v>#NAME?</v>
      </c>
      <c r="AS72" s="1" t="e">
        <f ca="1">_xll.BDH($C$53,"ACCOUNTS_RECEIVABLE_5_YR_GROWTH","FQ4 2017","FQ4 2017","Currency=INR","Period=FQ","BEST_FPERIOD_OVERRIDE=FQ","FILING_STATUS=OR","EQY_CONSOLIDATED=Y","Sort=A","Dates=H","DateFormat=P","Fill=—","Direction=H","UseDPDF=Y")</f>
        <v>#NAME?</v>
      </c>
      <c r="AT72" s="1" t="e">
        <f ca="1">_xll.BDH($C$53,"INVENTORY_5_YEAR_GROWTH","FQ4 2017","FQ4 2017","Currency=INR","Period=FQ","BEST_FPERIOD_OVERRIDE=FQ","FILING_STATUS=OR","EQY_CONSOLIDATED=Y","Sort=A","Dates=H","DateFormat=P","Fill=—","Direction=H","UseDPDF=Y")</f>
        <v>#NAME?</v>
      </c>
      <c r="AU72" s="1" t="e">
        <f ca="1">_xll.BDH($C$53,"NET_FIXED_ASSETS_5_YEAR_GROWTH","FQ4 2017","FQ4 2017","Currency=INR","Period=FQ","BEST_FPERIOD_OVERRIDE=FQ","FILING_STATUS=OR","EQY_CONSOLIDATED=Y","Sort=A","Dates=H","DateFormat=P","Fill=—","Direction=H","UseDPDF=Y")</f>
        <v>#NAME?</v>
      </c>
      <c r="AV72" s="1" t="e">
        <f ca="1">_xll.BDH($C$53,"GEO_GROW_TOT_ASSET","FQ4 2017","FQ4 2017","Currency=INR","Period=FQ","BEST_FPERIOD_OVERRIDE=FQ","FILING_STATUS=OR","EQY_CONSOLIDATED=Y","Sort=A","Dates=H","DateFormat=P","Fill=—","Direction=H","UseDPDF=Y")</f>
        <v>#NAME?</v>
      </c>
      <c r="AW72" s="1" t="e">
        <f ca="1">_xll.BDH($C$53,"MODIFIED_WORKING_CPTL_5YR_GRWTH","FQ4 2017","FQ4 2017","Currency=INR","Period=FQ","BEST_FPERIOD_OVERRIDE=FQ","FILING_STATUS=OR","EQY_CONSOLIDATED=Y","Sort=A","Dates=H","DateFormat=P","Fill=—","Direction=H","UseDPDF=Y")</f>
        <v>#NAME?</v>
      </c>
      <c r="AX72" s="1" t="e">
        <f ca="1">_xll.BDH($C$53,"WORKING_CAPITAL_5_YEAR_GROWTH","FQ4 2017","FQ4 2017","Currency=INR","Period=FQ","BEST_FPERIOD_OVERRIDE=FQ","FILING_STATUS=OR","EQY_CONSOLIDATED=Y","Sort=A","Dates=H","DateFormat=P","Fill=—","Direction=H","UseDPDF=Y")</f>
        <v>#NAME?</v>
      </c>
      <c r="AY72" s="1" t="e">
        <f ca="1">_xll.BDH($C$53,"ACCOUNTS_PAYABLE_5_YEAR_GROWTH","FQ4 2017","FQ4 2017","Currency=INR","Period=FQ","BEST_FPERIOD_OVERRIDE=FQ","FILING_STATUS=OR","EQY_CONSOLIDATED=Y","Sort=A","Dates=H","DateFormat=P","Fill=—","Direction=H","UseDPDF=Y")</f>
        <v>#NAME?</v>
      </c>
      <c r="AZ72" s="1" t="e">
        <f ca="1">_xll.BDH($C$53,"SHORT_TERM_DEBT_5_YEAR_GROWTH","FQ4 2017","FQ4 2017","Currency=INR","Period=FQ","BEST_FPERIOD_OVERRIDE=FQ","FILING_STATUS=OR","EQY_CONSOLIDATED=Y","Sort=A","Dates=H","DateFormat=P","Fill=—","Direction=H","UseDPDF=Y")</f>
        <v>#NAME?</v>
      </c>
      <c r="BA72" s="1" t="e">
        <f ca="1">_xll.BDH($C$53,"TOTAL_DEBT_5_YEAR_GROWTH","FQ4 2017","FQ4 2017","Currency=INR","Period=FQ","BEST_FPERIOD_OVERRIDE=FQ","FILING_STATUS=OR","EQY_CONSOLIDATED=Y","Sort=A","Dates=H","DateFormat=P","Fill=—","Direction=H","UseDPDF=Y")</f>
        <v>#NAME?</v>
      </c>
      <c r="BB72" s="1" t="e">
        <f ca="1">_xll.BDH($C$53,"GEO_GROW_TOT_SHRHLDR_EQY","FQ4 2017","FQ4 2017","Currency=INR","Period=FQ","BEST_FPERIOD_OVERRIDE=FQ","FILING_STATUS=OR","EQY_CONSOLIDATED=Y","Sort=A","Dates=H","DateFormat=P","Fill=—","Direction=H","UseDPDF=Y")</f>
        <v>#NAME?</v>
      </c>
      <c r="BC72" s="1" t="e">
        <f ca="1">_xll.BDH($C$53,"TOTAL_CAPITAL_5_YEAR_GROWTH","FQ4 2017","FQ4 2017","Currency=INR","Period=FQ","BEST_FPERIOD_OVERRIDE=FQ","FILING_STATUS=OR","EQY_CONSOLIDATED=Y","Sort=A","Dates=H","DateFormat=P","Fill=—","Direction=H","UseDPDF=Y")</f>
        <v>#NAME?</v>
      </c>
      <c r="BD72" s="1" t="e">
        <f ca="1">_xll.BDH($C$53,"GEO_GROW_BOOK_VAL","FQ4 2017","FQ4 2017","Currency=INR","Period=FQ","BEST_FPERIOD_OVERRIDE=FQ","FILING_STATUS=OR","EQY_CONSOLIDATED=Y","Sort=A","Dates=H","DateFormat=P","Fill=—","Direction=H","UseDPDF=Y")</f>
        <v>#NAME?</v>
      </c>
      <c r="BE72" s="1" t="e">
        <f ca="1">_xll.BDH($C$53,"GEO_GROW_CASH_OPER_ACT","FQ4 2017","FQ4 2017","Currency=INR","Period=FQ","BEST_FPERIOD_OVERRIDE=FQ","FILING_STATUS=OR","EQY_CONSOLIDATED=Y","Sort=A","Dates=H","DateFormat=P","Fill=—","Direction=H","UseDPDF=Y")</f>
        <v>#NAME?</v>
      </c>
      <c r="BF72" s="1" t="e">
        <f ca="1">_xll.BDH($C$53,"REVENUE_SEQUENTIAL_GROWTH","FQ4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72" s="1" t="e">
        <f ca="1">_xll.BDH($C$53,"EBITDA_SEQUENTIAL_GROWTH","FQ4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72" s="1" t="e">
        <f ca="1">_xll.BDH($C$53,"OPERATING_INCOME_SEQ_GROWTH","FQ4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72" s="1" t="e">
        <f ca="1">_xll.BDH($C$53,"NET_INCOME_TO_COMMON_SEQ_GROWTH","FQ4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72" s="1" t="e">
        <f ca="1">_xll.BDH($C$53,"EPS_DILUTED_SEQUENTIAL_GROWTH","FQ4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72" s="1" t="e">
        <f ca="1">_xll.BDH($C$53,"DPS_SEQUENTIAL_GROWTH","FQ4 2017","FQ4 2017","Currency=INR","Period=FQ","BEST_FPERIOD_OVERRIDE=FQ","FILING_STATUS=OR","EQY_CONSOLIDATED=Y","Sort=A","Dates=H","DateFormat=P","Fill=—","Direction=H","UseDPDF=Y")</f>
        <v>#NAME?</v>
      </c>
      <c r="BL72" s="1" t="e">
        <f ca="1">_xll.BDH($C$53,"ACCOUNTS_RECEIVABLE_SEQ_GROWTH","FQ4 2017","FQ4 2017","Currency=INR","Period=FQ","BEST_FPERIOD_OVERRIDE=FQ","FILING_STATUS=OR","EQY_CONSOLIDATED=Y","Sort=A","Dates=H","DateFormat=P","Fill=—","Direction=H","UseDPDF=Y")</f>
        <v>#NAME?</v>
      </c>
      <c r="BM72" s="1" t="e">
        <f ca="1">_xll.BDH($C$53,"INVENTORY_SEQUENTIAL_GROWTH","FQ4 2017","FQ4 2017","Currency=INR","Period=FQ","BEST_FPERIOD_OVERRIDE=FQ","FILING_STATUS=OR","EQY_CONSOLIDATED=Y","Sort=A","Dates=H","DateFormat=P","Fill=—","Direction=H","UseDPDF=Y")</f>
        <v>#NAME?</v>
      </c>
      <c r="BN72" s="1" t="e">
        <f ca="1">_xll.BDH($C$53,"FIXED_ASSETS_SEQUENTIAL_GROWTH","FQ4 2017","FQ4 2017","Currency=INR","Period=FQ","BEST_FPERIOD_OVERRIDE=FQ","FILING_STATUS=OR","EQY_CONSOLIDATED=Y","Sort=A","Dates=H","DateFormat=P","Fill=—","Direction=H","UseDPDF=Y")</f>
        <v>#NAME?</v>
      </c>
      <c r="BO72" s="1" t="e">
        <f ca="1">_xll.BDH($C$53,"TOTAL_ASSETS_SEQUENTIAL_GROWTH","FQ4 2017","FQ4 2017","Currency=INR","Period=FQ","BEST_FPERIOD_OVERRIDE=FQ","FILING_STATUS=OR","EQY_CONSOLIDATED=Y","Sort=A","Dates=H","DateFormat=P","Fill=—","Direction=H","UseDPDF=Y")</f>
        <v>#NAME?</v>
      </c>
      <c r="BP72" s="1" t="e">
        <f ca="1">_xll.BDH($C$53,"MODIFIED_WORKING_CPTL_SEQ_GRWTH","FQ4 2017","FQ4 2017","Currency=INR","Period=FQ","BEST_FPERIOD_OVERRIDE=FQ","FILING_STATUS=OR","EQY_CONSOLIDATED=Y","Sort=A","Dates=H","DateFormat=P","Fill=—","Direction=H","UseDPDF=Y")</f>
        <v>#NAME?</v>
      </c>
      <c r="BQ72" s="1" t="e">
        <f ca="1">_xll.BDH($C$53,"WORKING_CAPITAL_SEQ_GROWTH","FQ4 2017","FQ4 2017","Currency=INR","Period=FQ","BEST_FPERIOD_OVERRIDE=FQ","FILING_STATUS=OR","EQY_CONSOLIDATED=Y","Sort=A","Dates=H","DateFormat=P","Fill=—","Direction=H","UseDPDF=Y")</f>
        <v>#NAME?</v>
      </c>
      <c r="BR72" s="1" t="e">
        <f ca="1">_xll.BDH($C$53,"ACCOUNTS_PAYABLE_SEQ_GROWTH","FQ4 2017","FQ4 2017","Currency=INR","Period=FQ","BEST_FPERIOD_OVERRIDE=FQ","FILING_STATUS=OR","EQY_CONSOLIDATED=Y","Sort=A","Dates=H","DateFormat=P","Fill=—","Direction=H","UseDPDF=Y")</f>
        <v>#NAME?</v>
      </c>
      <c r="BS72" s="1" t="e">
        <f ca="1">_xll.BDH($C$53,"ST_DEBT_SEQUENTIAL_GROWTH","FQ4 2017","FQ4 2017","Currency=INR","Period=FQ","BEST_FPERIOD_OVERRIDE=FQ","FILING_STATUS=OR","EQY_CONSOLIDATED=Y","Sort=A","Dates=H","DateFormat=P","Fill=—","Direction=H","UseDPDF=Y")</f>
        <v>#NAME?</v>
      </c>
      <c r="BT72" s="1" t="e">
        <f ca="1">_xll.BDH($C$53,"TOTAL_DEBT_SEQUENTIAL_GROWTH","FQ4 2017","FQ4 2017","Currency=INR","Period=FQ","BEST_FPERIOD_OVERRIDE=FQ","FILING_STATUS=OR","EQY_CONSOLIDATED=Y","Sort=A","Dates=H","DateFormat=P","Fill=—","Direction=H","UseDPDF=Y")</f>
        <v>#NAME?</v>
      </c>
      <c r="BU72" s="1" t="e">
        <f ca="1">_xll.BDH($C$53,"TOTAL_EQUITY_SEQUENTIAL_GROWTH","FQ4 2017","FQ4 2017","Currency=INR","Period=FQ","BEST_FPERIOD_OVERRIDE=FQ","FILING_STATUS=OR","EQY_CONSOLIDATED=Y","Sort=A","Dates=H","DateFormat=P","Fill=—","Direction=H","UseDPDF=Y")</f>
        <v>#NAME?</v>
      </c>
      <c r="BV72" s="1" t="e">
        <f ca="1">_xll.BDH($C$53,"TOTAL_CAPITAL_SEQUENTIAL_GROWTH","FQ4 2017","FQ4 2017","Currency=INR","Period=FQ","BEST_FPERIOD_OVERRIDE=FQ","FILING_STATUS=OR","EQY_CONSOLIDATED=Y","Sort=A","Dates=H","DateFormat=P","Fill=—","Direction=H","UseDPDF=Y")</f>
        <v>#NAME?</v>
      </c>
      <c r="BW72" s="1" t="e">
        <f ca="1">_xll.BDH($C$53,"BPS_SEQUENTIAL_GROWTH","FQ4 2017","FQ4 2017","Currency=INR","Period=FQ","BEST_FPERIOD_OVERRIDE=FQ","FILING_STATUS=OR","EQY_CONSOLIDATED=Y","Sort=A","Dates=H","DateFormat=P","Fill=—","Direction=H","UseDPDF=Y")</f>
        <v>#NAME?</v>
      </c>
      <c r="BX72" s="1" t="e">
        <f ca="1">_xll.BDH($C$53,"CFO_SEQUENTIAL_GROWTH","FQ4 2017","FQ4 2017","Currency=INR","Period=FQ","BEST_FPERIOD_OVERRIDE=FQ","FILING_STATUS=OR","EQY_CONSOLIDATED=Y","Sort=A","Dates=H","DateFormat=P","Fill=—","Direction=H","UseDPDF=Y")</f>
        <v>#NAME?</v>
      </c>
      <c r="BY72" s="2" t="e">
        <f ca="1">_xll.BDH($C$53,"SHORT_AND_LONG_TERM_DEBT","FQ4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72" s="2" t="e">
        <f ca="1">_xll.BDH($C$53,"BS_ST_BORROW","FQ4 2017","FQ4 2017","Currency=INR","Period=FQ","BEST_FPERIOD_OVERRIDE=FQ","FILING_STATUS=OR","EQY_CONSOLIDATED=Y","SCALING_FORMAT=MLN","Sort=A","Dates=H","DateFormat=P","Fill=—","Direction=H","UseDPDF=Y")</f>
        <v>#NAME?</v>
      </c>
      <c r="CA72" s="2" t="e">
        <f ca="1">_xll.BDH($C$53,"BS_LT_BORROW","FQ4 2017","FQ4 2017","Currency=INR","Period=FQ","BEST_FPERIOD_OVERRIDE=FQ","FILING_STATUS=OR","EQY_CONSOLIDATED=Y","SCALING_FORMAT=MLN","Sort=A","Dates=H","DateFormat=P","Fill=—","Direction=H","UseDPDF=Y")</f>
        <v>#NAME?</v>
      </c>
      <c r="CB72" s="1" t="e">
        <f ca="1">_xll.BDH($C$53,"TOT_DEBT_TO_EBITDA","FQ4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72" s="1" t="e">
        <f ca="1">_xll.BDH($C$53,"NET_DEBT_TO_EBITDA","FQ4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72" s="1" t="e">
        <f ca="1">_xll.BDH($C$53,"TOTAL_DEBT_TO_EBIT","FQ4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72" s="1" t="e">
        <f ca="1">_xll.BDH($C$53,"NET_DEBT_TO_EBIT","FQ4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72" s="1" t="e">
        <f ca="1">_xll.BDH($C$53,"EBITDA_TO_INTEREST_EXPN","FQ4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72" s="1" t="e">
        <f ca="1">_xll.BDH($C$53,"COM_EQY_TO_TOT_ASSET","FQ4 2017","FQ4 2017","Currency=INR","Period=FQ","BEST_FPERIOD_OVERRIDE=FQ","FILING_STATUS=OR","EQY_CONSOLIDATED=Y","Sort=A","Dates=H","DateFormat=P","Fill=—","Direction=H","UseDPDF=Y")</f>
        <v>#NAME?</v>
      </c>
      <c r="CH72" s="1" t="e">
        <f ca="1">_xll.BDH($C$53,"LT_DEBT_TO_TOT_EQY","FQ4 2017","FQ4 2017","Currency=INR","Period=FQ","BEST_FPERIOD_OVERRIDE=FQ","FILING_STATUS=OR","EQY_CONSOLIDATED=Y","Sort=A","Dates=H","DateFormat=P","Fill=—","Direction=H","UseDPDF=Y")</f>
        <v>#NAME?</v>
      </c>
      <c r="CI72" s="1" t="e">
        <f ca="1">_xll.BDH($C$53,"LT_DEBT_TO_TOT_CAP","FQ4 2017","FQ4 2017","Currency=INR","Period=FQ","BEST_FPERIOD_OVERRIDE=FQ","FILING_STATUS=OR","EQY_CONSOLIDATED=Y","Sort=A","Dates=H","DateFormat=P","Fill=—","Direction=H","UseDPDF=Y")</f>
        <v>#NAME?</v>
      </c>
      <c r="CJ72" s="1" t="e">
        <f ca="1">_xll.BDH($C$53,"LT_DEBT_TO_TOT_ASSET","FQ4 2017","FQ4 2017","Currency=INR","Period=FQ","BEST_FPERIOD_OVERRIDE=FQ","FILING_STATUS=OR","EQY_CONSOLIDATED=Y","Sort=A","Dates=H","DateFormat=P","Fill=—","Direction=H","UseDPDF=Y")</f>
        <v>#NAME?</v>
      </c>
      <c r="CK72" s="1" t="e">
        <f ca="1">_xll.BDH($C$53,"TOT_DEBT_TO_TOT_EQY","FQ4 2017","FQ4 2017","Currency=INR","Period=FQ","BEST_FPERIOD_OVERRIDE=FQ","FILING_STATUS=OR","EQY_CONSOLIDATED=Y","Sort=A","Dates=H","DateFormat=P","Fill=—","Direction=H","UseDPDF=Y")</f>
        <v>#NAME?</v>
      </c>
      <c r="CL72" s="1" t="e">
        <f ca="1">_xll.BDH($C$53,"TOT_DEBT_TO_TOT_CAP","FQ4 2017","FQ4 2017","Currency=INR","Period=FQ","BEST_FPERIOD_OVERRIDE=FQ","FILING_STATUS=OR","EQY_CONSOLIDATED=Y","Sort=A","Dates=H","DateFormat=P","Fill=—","Direction=H","UseDPDF=Y")</f>
        <v>#NAME?</v>
      </c>
      <c r="CM72" s="1" t="e">
        <f ca="1">_xll.BDH($C$53,"TOT_DEBT_TO_TOT_ASSET","FQ4 2017","FQ4 2017","Currency=INR","Period=FQ","BEST_FPERIOD_OVERRIDE=FQ","FILING_STATUS=OR","EQY_CONSOLIDATED=Y","Sort=A","Dates=H","DateFormat=P","Fill=—","Direction=H","UseDPDF=Y")</f>
        <v>#NAME?</v>
      </c>
      <c r="CN72" s="1" t="e">
        <f ca="1">_xll.BDH($C$53,"NET_DEBT_TO_SHRHLDR_EQTY","FQ4 2017","FQ4 2017","Currency=INR","Period=FQ","BEST_FPERIOD_OVERRIDE=FQ","FILING_STATUS=OR","EQY_CONSOLIDATED=Y","Sort=A","Dates=H","DateFormat=P","Fill=—","Direction=H","UseDPDF=Y")</f>
        <v>#NAME?</v>
      </c>
      <c r="CO72" s="1" t="e">
        <f ca="1">_xll.BDH($C$53,"NET_DEBT_%_CAPITAL","FQ4 2017","FQ4 2017","Currency=INR","Period=FQ","BEST_FPERIOD_OVERRIDE=FQ","FILING_STATUS=OR","EQY_CONSOLIDATED=Y","Sort=A","Dates=H","DateFormat=P","Fill=—","Direction=H","UseDPDF=Y")</f>
        <v>#NAME?</v>
      </c>
      <c r="CP72" s="2" t="e">
        <f ca="1">_xll.BDH($C$53,"EBITDA","FQ4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72" s="2" t="e">
        <f ca="1">_xll.BDH($C$53,"EBITDA_AFTER_CAPEX","FQ4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72" s="2" t="e">
        <f ca="1">_xll.BDH($C$53,"IS_OPER_INC","FQ4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72" s="1" t="e">
        <f ca="1">_xll.BDH($C$53,"CASH_RATIO","FQ4 2017","FQ4 2017","Currency=INR","Period=FQ","BEST_FPERIOD_OVERRIDE=FQ","FILING_STATUS=OR","EQY_CONSOLIDATED=Y","Sort=A","Dates=H","DateFormat=P","Fill=—","Direction=H","UseDPDF=Y")</f>
        <v>#NAME?</v>
      </c>
      <c r="CT72" s="1" t="e">
        <f ca="1">_xll.BDH($C$53,"CUR_RATIO","FQ4 2017","FQ4 2017","Currency=INR","Period=FQ","BEST_FPERIOD_OVERRIDE=FQ","FILING_STATUS=OR","EQY_CONSOLIDATED=Y","Sort=A","Dates=H","DateFormat=P","Fill=—","Direction=H","UseDPDF=Y")</f>
        <v>#NAME?</v>
      </c>
      <c r="CU72" s="1" t="e">
        <f ca="1">_xll.BDH($C$53,"QUICK_RATIO","FQ4 2017","FQ4 2017","Currency=INR","Period=FQ","BEST_FPERIOD_OVERRIDE=FQ","FILING_STATUS=OR","EQY_CONSOLIDATED=Y","Sort=A","Dates=H","DateFormat=P","Fill=—","Direction=H","UseDPDF=Y")</f>
        <v>#NAME?</v>
      </c>
      <c r="CV72" s="1" t="e">
        <f ca="1">_xll.BDH($C$53,"ALTMAN_Z_SCORE","FQ4 2017","FQ4 2017","Currency=INR","Period=FQ","BEST_FPERIOD_OVERRIDE=FQ","FILING_STATUS=OR","EQY_CONSOLIDATED=Y","Sort=A","Dates=H","DateFormat=P","Fill=—","Direction=H","UseDPDF=Y")</f>
        <v>#NAME?</v>
      </c>
      <c r="CW72" s="3" t="e">
        <f ca="1">_xll.BDH($C$53,"ACCT_RCV_TURN","FQ4 2017","FQ4 2017","Currency=INR","Period=FQ","BEST_FPERIOD_OVERRIDE=FQ","FILING_STATUS=OR","EQY_CONSOLIDATED=Y","FA_ADJUSTED=GAAP","Sort=A","Dates=H","DateFormat=P","Fill=—","Direction=H","UseDPDF=Y")</f>
        <v>#NAME?</v>
      </c>
      <c r="CX72" s="1" t="e">
        <f ca="1">_xll.BDH($C$53,"ACCT_RCV_DAYS","FQ4 2017","FQ4 2017","Currency=INR","Period=FQ","BEST_FPERIOD_OVERRIDE=FQ","FILING_STATUS=OR","EQY_CONSOLIDATED=Y","FA_ADJUSTED=GAAP","Sort=A","Dates=H","DateFormat=P","Fill=—","Direction=H","UseDPDF=Y")</f>
        <v>#NAME?</v>
      </c>
      <c r="CY72" s="3" t="e">
        <f ca="1">_xll.BDH($C$53,"INVENT_TURN","FQ4 2017","FQ4 2017","Currency=INR","Period=FQ","BEST_FPERIOD_OVERRIDE=FQ","FILING_STATUS=OR","EQY_CONSOLIDATED=Y","FA_ADJUSTED=GAAP","Sort=A","Dates=H","DateFormat=P","Fill=—","Direction=H","UseDPDF=Y")</f>
        <v>#NAME?</v>
      </c>
      <c r="CZ72" s="1" t="e">
        <f ca="1">_xll.BDH($C$53,"INVENT_DAYS","FQ4 2017","FQ4 2017","Currency=INR","Period=FQ","BEST_FPERIOD_OVERRIDE=FQ","FILING_STATUS=OR","EQY_CONSOLIDATED=Y","FA_ADJUSTED=GAAP","Sort=A","Dates=H","DateFormat=P","Fill=—","Direction=H","UseDPDF=Y")</f>
        <v>#NAME?</v>
      </c>
      <c r="DA72" s="3" t="e">
        <f ca="1">_xll.BDH($C$53,"ACCOUNTS_PAYABLE_TURNOVER","FQ4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72" s="1" t="e">
        <f ca="1">_xll.BDH($C$53,"ACCOUNTS_PAYABLE_TURNOVER_DAYS","FQ4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72" s="3" t="e">
        <f ca="1">_xll.BDH($C$53,"CASH_CONVERSION_CYCLE","FQ4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72" s="3" t="e">
        <f ca="1">_xll.BDH($C$53,"INV_TO_CASH_DAYS","FQ4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72" s="4" t="e">
        <f ca="1">_xll.BDH($C$53,"BS_INVENTORIES","FQ4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72" s="2" t="e">
        <f ca="1">_xll.BDH($C$53,"INVTRY_RAW_MATERIALS","FQ4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72" s="2" t="e">
        <f ca="1">_xll.BDH($C$53,"INVTRY_IN_PROGRESS","FQ4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72" s="2" t="e">
        <f ca="1">_xll.BDH($C$53,"INVTRY_FINISHED_GOODS","FQ4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72" s="2" t="e">
        <f ca="1">_xll.BDH($C$53,"BS_OTHER_INV","FQ4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73" spans="1:113" x14ac:dyDescent="0.3">
      <c r="A73" s="6"/>
      <c r="B73" s="6"/>
      <c r="C73" s="6"/>
      <c r="D73" s="6" t="s">
        <v>11</v>
      </c>
      <c r="E73" t="s">
        <v>3</v>
      </c>
      <c r="F73" t="e">
        <f ca="1">_xll.BDH($C$53,"RETURN_COM_EQY","FY 2018","FY 2018","Currency=INR","Period=FY","BEST_FPERIOD_OVERRIDE=FY","FILING_STATUS=OR","EQY_CONSOLIDATED=Y","FA_ADJUSTED=GAAP","Sort=A","Dates=H","DateFormat=P","Fill=—","Direction=H","UseDPDF=Y")</f>
        <v>#NAME?</v>
      </c>
      <c r="G73" t="e">
        <f ca="1">_xll.BDH($C$53,"RETURN_ON_ASSET","FY 2018","FY 2018","Currency=INR","Period=FY","BEST_FPERIOD_OVERRIDE=FY","FILING_STATUS=OR","EQY_CONSOLIDATED=Y","FA_ADJUSTED=GAAP","Sort=A","Dates=H","DateFormat=P","Fill=—","Direction=H","UseDPDF=Y")</f>
        <v>#NAME?</v>
      </c>
      <c r="H73" t="e">
        <f ca="1">_xll.BDH($C$53,"RETURN_ON_CAP","FY 2018","FY 2018","Currency=INR","Period=FY","BEST_FPERIOD_OVERRIDE=FY","FILING_STATUS=OR","EQY_CONSOLIDATED=Y","FA_ADJUSTED=GAAP","Sort=A","Dates=H","DateFormat=P","Fill=—","Direction=H","UseDPDF=Y")</f>
        <v>#NAME?</v>
      </c>
      <c r="I73" t="e">
        <f ca="1">_xll.BDH($C$53,"RETURN_ON_INV_CAPITAL","FY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73" t="e">
        <f ca="1">_xll.BDH($C$53,"EBITDA_TO_REVENUE","FY 2018","FY 2018","Currency=INR","Period=FY","BEST_FPERIOD_OVERRIDE=FY","FILING_STATUS=OR","EQY_CONSOLIDATED=Y","FA_ADJUSTED=GAAP","Sort=A","Dates=H","DateFormat=P","Fill=—","Direction=H","UseDPDF=Y")</f>
        <v>#NAME?</v>
      </c>
      <c r="K73" t="e">
        <f ca="1">_xll.BDH($C$53,"OPER_MARGIN","FY 2018","FY 2018","Currency=INR","Period=FY","BEST_FPERIOD_OVERRIDE=FY","FILING_STATUS=OR","EQY_CONSOLIDATED=Y","FA_ADJUSTED=GAAP","Sort=A","Dates=H","DateFormat=P","Fill=—","Direction=H","UseDPDF=Y")</f>
        <v>#NAME?</v>
      </c>
      <c r="L73" t="e">
        <f ca="1">_xll.BDH($C$53,"INCREMENTAL_OPERATING_MARGIN","FY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73" t="e">
        <f ca="1">_xll.BDH($C$53,"PRETAX_INC_TO_NET_SALES","FY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73" t="e">
        <f ca="1">_xll.BDH($C$53,"INC_BEF_XO_ITEMS_TO_NET_SALES","FY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73" t="e">
        <f ca="1">_xll.BDH($C$53,"PROF_MARGIN","FY 2018","FY 2018","Currency=INR","Period=FY","BEST_FPERIOD_OVERRIDE=FY","FILING_STATUS=OR","EQY_CONSOLIDATED=Y","FA_ADJUSTED=GAAP","Sort=A","Dates=H","DateFormat=P","Fill=—","Direction=H","UseDPDF=Y")</f>
        <v>#NAME?</v>
      </c>
      <c r="P73" t="e">
        <f ca="1">_xll.BDH($C$53,"NET_INCOME_TO_COMMON_MARGIN","FY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73" t="e">
        <f ca="1">_xll.BDH($C$53,"EFF_TAX_RATE","FY 2018","FY 2018","Currency=INR","Period=FY","BEST_FPERIOD_OVERRIDE=FY","FILING_STATUS=OR","EQY_CONSOLIDATED=Y","FA_ADJUSTED=GAAP","Sort=A","Dates=H","DateFormat=P","Fill=—","Direction=H","UseDPDF=Y")</f>
        <v>#NAME?</v>
      </c>
      <c r="R73" t="e">
        <f ca="1">_xll.BDH($C$53,"DVD_PAYOUT_RATIO","FY 2018","FY 2018","Currency=INR","Period=FY","BEST_FPERIOD_OVERRIDE=FY","FILING_STATUS=OR","EQY_CONSOLIDATED=Y","FA_ADJUSTED=GAAP","Sort=A","Dates=H","DateFormat=P","Fill=—","Direction=H","UseDPDF=Y")</f>
        <v>#NAME?</v>
      </c>
      <c r="S73" t="e">
        <f ca="1">_xll.BDH($C$53,"SUSTAIN_GROWTH_RT","FY 2018","FY 2018","Currency=INR","Period=FY","BEST_FPERIOD_OVERRIDE=FY","FILING_STATUS=OR","EQY_CONSOLIDATED=Y","FA_ADJUSTED=GAAP","Sort=A","Dates=H","DateFormat=P","Fill=—","Direction=H","UseDPDF=Y")</f>
        <v>#NAME?</v>
      </c>
      <c r="T73" s="1" t="e">
        <f ca="1">_xll.BDH($C$53,"SALES_GROWTH","FY 2018","FY 2018","Currency=INR","Period=FY","BEST_FPERIOD_OVERRIDE=FY","FILING_STATUS=OR","EQY_CONSOLIDATED=Y","FA_ADJUSTED=GAAP","Sort=A","Dates=H","DateFormat=P","Fill=—","Direction=H","UseDPDF=Y")</f>
        <v>#NAME?</v>
      </c>
      <c r="U73" s="1" t="e">
        <f ca="1">_xll.BDH($C$53,"EBITDA_GROWTH","FY 2018","FY 2018","Currency=INR","Period=FY","BEST_FPERIOD_OVERRIDE=FY","FILING_STATUS=OR","EQY_CONSOLIDATED=Y","FA_ADJUSTED=GAAP","Sort=A","Dates=H","DateFormat=P","Fill=—","Direction=H","UseDPDF=Y")</f>
        <v>#NAME?</v>
      </c>
      <c r="V73" s="1" t="e">
        <f ca="1">_xll.BDH($C$53,"OPER_INC_GROWTH","FY 2018","FY 2018","Currency=INR","Period=FY","BEST_FPERIOD_OVERRIDE=FY","FILING_STATUS=OR","EQY_CONSOLIDATED=Y","FA_ADJUSTED=GAAP","Sort=A","Dates=H","DateFormat=P","Fill=—","Direction=H","UseDPDF=Y")</f>
        <v>#NAME?</v>
      </c>
      <c r="W73" s="1" t="e">
        <f ca="1">_xll.BDH($C$53,"EARN_FOR_COM_GROWTH","FY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73" s="1" t="e">
        <f ca="1">_xll.BDH($C$53,"DILUTED_EPS_AFT_XO_ITEMS_GROWTH","FY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73" s="1" t="e">
        <f ca="1">_xll.BDH($C$53,"DIVIDEND_PER_SHARE_1_YEAR_GROWTH","FY 2018","FY 2018","Currency=INR","Period=FY","BEST_FPERIOD_OVERRIDE=FY","FILING_STATUS=OR","EQY_CONSOLIDATED=Y","Sort=A","Dates=H","DateFormat=P","Fill=—","Direction=H","UseDPDF=Y")</f>
        <v>#NAME?</v>
      </c>
      <c r="Z73" s="1" t="e">
        <f ca="1">_xll.BDH($C$53,"ACCOUNTS_RECEIVABLE_GROWTH","FY 2018","FY 2018","Currency=INR","Period=FY","BEST_FPERIOD_OVERRIDE=FY","FILING_STATUS=OR","EQY_CONSOLIDATED=Y","Sort=A","Dates=H","DateFormat=P","Fill=—","Direction=H","UseDPDF=Y")</f>
        <v>#NAME?</v>
      </c>
      <c r="AA73" s="1" t="e">
        <f ca="1">_xll.BDH($C$53,"INVENTORY_GROWTH","FY 2018","FY 2018","Currency=INR","Period=FY","BEST_FPERIOD_OVERRIDE=FY","FILING_STATUS=OR","EQY_CONSOLIDATED=Y","Sort=A","Dates=H","DateFormat=P","Fill=—","Direction=H","UseDPDF=Y")</f>
        <v>#NAME?</v>
      </c>
      <c r="AB73" s="1" t="e">
        <f ca="1">_xll.BDH($C$53,"NET_FIXED_ASSETS_1_YEAR_GROWTH","FY 2018","FY 2018","Currency=INR","Period=FY","BEST_FPERIOD_OVERRIDE=FY","FILING_STATUS=OR","EQY_CONSOLIDATED=Y","Sort=A","Dates=H","DateFormat=P","Fill=—","Direction=H","UseDPDF=Y")</f>
        <v>#NAME?</v>
      </c>
      <c r="AC73" s="1" t="e">
        <f ca="1">_xll.BDH($C$53,"ASSET_GROWTH","FY 2018","FY 2018","Currency=INR","Period=FY","BEST_FPERIOD_OVERRIDE=FY","FILING_STATUS=OR","EQY_CONSOLIDATED=Y","Sort=A","Dates=H","DateFormat=P","Fill=—","Direction=H","UseDPDF=Y")</f>
        <v>#NAME?</v>
      </c>
      <c r="AD73" s="1" t="e">
        <f ca="1">_xll.BDH($C$53,"MODIFIED_WORK_CAP_GROWTH","FY 2018","FY 2018","Currency=INR","Period=FY","BEST_FPERIOD_OVERRIDE=FY","FILING_STATUS=OR","EQY_CONSOLIDATED=Y","Sort=A","Dates=H","DateFormat=P","Fill=—","Direction=H","UseDPDF=Y")</f>
        <v>#NAME?</v>
      </c>
      <c r="AE73" s="1" t="e">
        <f ca="1">_xll.BDH($C$53,"WORK_CAP_GROWTH","FY 2018","FY 2018","Currency=INR","Period=FY","BEST_FPERIOD_OVERRIDE=FY","FILING_STATUS=OR","EQY_CONSOLIDATED=Y","Sort=A","Dates=H","DateFormat=P","Fill=—","Direction=H","UseDPDF=Y")</f>
        <v>#NAME?</v>
      </c>
      <c r="AF73" s="1" t="e">
        <f ca="1">_xll.BDH($C$53,"ACCOUNTS_PAYABLE_GROWTH_1YR","FY 2018","FY 2018","Currency=INR","Period=FY","BEST_FPERIOD_OVERRIDE=FY","FILING_STATUS=OR","EQY_CONSOLIDATED=Y","Sort=A","Dates=H","DateFormat=P","Fill=—","Direction=H","UseDPDF=Y")</f>
        <v>#NAME?</v>
      </c>
      <c r="AG73" s="1" t="e">
        <f ca="1">_xll.BDH($C$53,"SHORT_TERM_DEBT_1_YEAR_GROWTH","FY 2018","FY 2018","Currency=INR","Period=FY","BEST_FPERIOD_OVERRIDE=FY","FILING_STATUS=OR","EQY_CONSOLIDATED=Y","Sort=A","Dates=H","DateFormat=P","Fill=—","Direction=H","UseDPDF=Y")</f>
        <v>#NAME?</v>
      </c>
      <c r="AH73" s="1" t="e">
        <f ca="1">_xll.BDH($C$53,"TOTAL_DEBT_1_YEAR_GROWTH","FY 2018","FY 2018","Currency=INR","Period=FY","BEST_FPERIOD_OVERRIDE=FY","FILING_STATUS=OR","EQY_CONSOLIDATED=Y","Sort=A","Dates=H","DateFormat=P","Fill=—","Direction=H","UseDPDF=Y")</f>
        <v>#NAME?</v>
      </c>
      <c r="AI73" s="1" t="e">
        <f ca="1">_xll.BDH($C$53,"TOTAL_EQUITY_1_YEAR_GROWTH","FY 2018","FY 2018","Currency=INR","Period=FY","BEST_FPERIOD_OVERRIDE=FY","FILING_STATUS=OR","EQY_CONSOLIDATED=Y","Sort=A","Dates=H","DateFormat=P","Fill=—","Direction=H","UseDPDF=Y")</f>
        <v>#NAME?</v>
      </c>
      <c r="AJ73" s="1" t="e">
        <f ca="1">_xll.BDH($C$53,"GROWTH_IN_CAP","FY 2018","FY 2018","Currency=INR","Period=FY","BEST_FPERIOD_OVERRIDE=FY","FILING_STATUS=OR","EQY_CONSOLIDATED=Y","Sort=A","Dates=H","DateFormat=P","Fill=—","Direction=H","UseDPDF=Y")</f>
        <v>#NAME?</v>
      </c>
      <c r="AK73" s="1" t="e">
        <f ca="1">_xll.BDH($C$53,"BVPS_GROWTH","FY 2018","FY 2018","Currency=INR","Period=FY","BEST_FPERIOD_OVERRIDE=FY","FILING_STATUS=OR","EQY_CONSOLIDATED=Y","Sort=A","Dates=H","DateFormat=P","Fill=—","Direction=H","UseDPDF=Y")</f>
        <v>#NAME?</v>
      </c>
      <c r="AL73" s="1" t="e">
        <f ca="1">_xll.BDH($C$53,"CASH_FLOW_GROWTH","FY 2018","FY 2018","Currency=INR","Period=FY","BEST_FPERIOD_OVERRIDE=FY","FILING_STATUS=OR","EQY_CONSOLIDATED=Y","Sort=A","Dates=H","DateFormat=P","Fill=—","Direction=H","UseDPDF=Y")</f>
        <v>#NAME?</v>
      </c>
      <c r="AM73" s="1" t="e">
        <f ca="1">_xll.BDH($C$53,"GEO_GROW_NET_SALES","FY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73" s="1" t="e">
        <f ca="1">_xll.BDH($C$53,"GEO_GROW_EBITDA","FY 2018","FY 2018","Currency=INR","Period=FY","BEST_FPERIOD_OVERRIDE=FY","FILING_STATUS=OR","EQY_CONSOLIDATED=Y","FA_ADJUSTED=GAAP","Sort=A","Dates=H","DateFormat=P","Fill=—","Direction=H","UseDPDF=Y")</f>
        <v>#NAME?</v>
      </c>
      <c r="AO73" s="1" t="e">
        <f ca="1">_xll.BDH($C$53,"GEO_GROW_OPER_INC","FY 2018","FY 2018","Currency=INR","Period=FY","BEST_FPERIOD_OVERRIDE=FY","FILING_STATUS=OR","EQY_CONSOLIDATED=Y","FA_ADJUSTED=GAAP","Sort=A","Dates=H","DateFormat=P","Fill=—","Direction=H","UseDPDF=Y")</f>
        <v>#NAME?</v>
      </c>
      <c r="AP73" s="1" t="e">
        <f ca="1">_xll.BDH($C$53,"NET_INCOME_TO_COMMON_5_YR_GROWTH","FY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73" s="1" t="e">
        <f ca="1">_xll.BDH($C$53,"5Y_GEO_GROWTH_DILUTED_EPS","FY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73" s="1" t="e">
        <f ca="1">_xll.BDH($C$53,"GEO_GROW_DVD_PER_SH","FY 2018","FY 2018","Currency=INR","Period=FY","BEST_FPERIOD_OVERRIDE=FY","FILING_STATUS=OR","EQY_CONSOLIDATED=Y","Sort=A","Dates=H","DateFormat=P","Fill=—","Direction=H","UseDPDF=Y")</f>
        <v>#NAME?</v>
      </c>
      <c r="AS73" s="1" t="e">
        <f ca="1">_xll.BDH($C$53,"ACCOUNTS_RECEIVABLE_5_YR_GROWTH","FY 2018","FY 2018","Currency=INR","Period=FY","BEST_FPERIOD_OVERRIDE=FY","FILING_STATUS=OR","EQY_CONSOLIDATED=Y","Sort=A","Dates=H","DateFormat=P","Fill=—","Direction=H","UseDPDF=Y")</f>
        <v>#NAME?</v>
      </c>
      <c r="AT73" s="1" t="e">
        <f ca="1">_xll.BDH($C$53,"INVENTORY_5_YEAR_GROWTH","FY 2018","FY 2018","Currency=INR","Period=FY","BEST_FPERIOD_OVERRIDE=FY","FILING_STATUS=OR","EQY_CONSOLIDATED=Y","Sort=A","Dates=H","DateFormat=P","Fill=—","Direction=H","UseDPDF=Y")</f>
        <v>#NAME?</v>
      </c>
      <c r="AU73" s="1" t="e">
        <f ca="1">_xll.BDH($C$53,"NET_FIXED_ASSETS_5_YEAR_GROWTH","FY 2018","FY 2018","Currency=INR","Period=FY","BEST_FPERIOD_OVERRIDE=FY","FILING_STATUS=OR","EQY_CONSOLIDATED=Y","Sort=A","Dates=H","DateFormat=P","Fill=—","Direction=H","UseDPDF=Y")</f>
        <v>#NAME?</v>
      </c>
      <c r="AV73" s="1" t="e">
        <f ca="1">_xll.BDH($C$53,"GEO_GROW_TOT_ASSET","FY 2018","FY 2018","Currency=INR","Period=FY","BEST_FPERIOD_OVERRIDE=FY","FILING_STATUS=OR","EQY_CONSOLIDATED=Y","Sort=A","Dates=H","DateFormat=P","Fill=—","Direction=H","UseDPDF=Y")</f>
        <v>#NAME?</v>
      </c>
      <c r="AW73" s="1" t="e">
        <f ca="1">_xll.BDH($C$53,"MODIFIED_WORKING_CPTL_5YR_GRWTH","FY 2018","FY 2018","Currency=INR","Period=FY","BEST_FPERIOD_OVERRIDE=FY","FILING_STATUS=OR","EQY_CONSOLIDATED=Y","Sort=A","Dates=H","DateFormat=P","Fill=—","Direction=H","UseDPDF=Y")</f>
        <v>#NAME?</v>
      </c>
      <c r="AX73" s="1" t="e">
        <f ca="1">_xll.BDH($C$53,"WORKING_CAPITAL_5_YEAR_GROWTH","FY 2018","FY 2018","Currency=INR","Period=FY","BEST_FPERIOD_OVERRIDE=FY","FILING_STATUS=OR","EQY_CONSOLIDATED=Y","Sort=A","Dates=H","DateFormat=P","Fill=—","Direction=H","UseDPDF=Y")</f>
        <v>#NAME?</v>
      </c>
      <c r="AY73" s="1" t="e">
        <f ca="1">_xll.BDH($C$53,"ACCOUNTS_PAYABLE_5_YEAR_GROWTH","FY 2018","FY 2018","Currency=INR","Period=FY","BEST_FPERIOD_OVERRIDE=FY","FILING_STATUS=OR","EQY_CONSOLIDATED=Y","Sort=A","Dates=H","DateFormat=P","Fill=—","Direction=H","UseDPDF=Y")</f>
        <v>#NAME?</v>
      </c>
      <c r="AZ73" s="1" t="e">
        <f ca="1">_xll.BDH($C$53,"SHORT_TERM_DEBT_5_YEAR_GROWTH","FY 2018","FY 2018","Currency=INR","Period=FY","BEST_FPERIOD_OVERRIDE=FY","FILING_STATUS=OR","EQY_CONSOLIDATED=Y","Sort=A","Dates=H","DateFormat=P","Fill=—","Direction=H","UseDPDF=Y")</f>
        <v>#NAME?</v>
      </c>
      <c r="BA73" s="1" t="e">
        <f ca="1">_xll.BDH($C$53,"TOTAL_DEBT_5_YEAR_GROWTH","FY 2018","FY 2018","Currency=INR","Period=FY","BEST_FPERIOD_OVERRIDE=FY","FILING_STATUS=OR","EQY_CONSOLIDATED=Y","Sort=A","Dates=H","DateFormat=P","Fill=—","Direction=H","UseDPDF=Y")</f>
        <v>#NAME?</v>
      </c>
      <c r="BB73" s="1" t="e">
        <f ca="1">_xll.BDH($C$53,"GEO_GROW_TOT_SHRHLDR_EQY","FY 2018","FY 2018","Currency=INR","Period=FY","BEST_FPERIOD_OVERRIDE=FY","FILING_STATUS=OR","EQY_CONSOLIDATED=Y","Sort=A","Dates=H","DateFormat=P","Fill=—","Direction=H","UseDPDF=Y")</f>
        <v>#NAME?</v>
      </c>
      <c r="BC73" s="1" t="e">
        <f ca="1">_xll.BDH($C$53,"TOTAL_CAPITAL_5_YEAR_GROWTH","FY 2018","FY 2018","Currency=INR","Period=FY","BEST_FPERIOD_OVERRIDE=FY","FILING_STATUS=OR","EQY_CONSOLIDATED=Y","Sort=A","Dates=H","DateFormat=P","Fill=—","Direction=H","UseDPDF=Y")</f>
        <v>#NAME?</v>
      </c>
      <c r="BD73" s="1" t="e">
        <f ca="1">_xll.BDH($C$53,"GEO_GROW_BOOK_VAL","FY 2018","FY 2018","Currency=INR","Period=FY","BEST_FPERIOD_OVERRIDE=FY","FILING_STATUS=OR","EQY_CONSOLIDATED=Y","Sort=A","Dates=H","DateFormat=P","Fill=—","Direction=H","UseDPDF=Y")</f>
        <v>#NAME?</v>
      </c>
      <c r="BE73" s="1" t="e">
        <f ca="1">_xll.BDH($C$53,"GEO_GROW_CASH_OPER_ACT","FY 2018","FY 2018","Currency=INR","Period=FY","BEST_FPERIOD_OVERRIDE=FY","FILING_STATUS=OR","EQY_CONSOLIDATED=Y","Sort=A","Dates=H","DateFormat=P","Fill=—","Direction=H","UseDPDF=Y")</f>
        <v>#NAME?</v>
      </c>
      <c r="BF73" s="1" t="e">
        <f ca="1">_xll.BDH($C$53,"REVENUE_SEQUENTIAL_GROWTH","FY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73" s="1" t="e">
        <f ca="1">_xll.BDH($C$53,"EBITDA_SEQUENTIAL_GROWTH","FY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73" s="1" t="e">
        <f ca="1">_xll.BDH($C$53,"OPERATING_INCOME_SEQ_GROWTH","FY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73" s="1" t="e">
        <f ca="1">_xll.BDH($C$53,"NET_INCOME_TO_COMMON_SEQ_GROWTH","FY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73" s="1" t="e">
        <f ca="1">_xll.BDH($C$53,"EPS_DILUTED_SEQUENTIAL_GROWTH","FY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73" s="1" t="e">
        <f ca="1">_xll.BDH($C$53,"DPS_SEQUENTIAL_GROWTH","FY 2018","FY 2018","Currency=INR","Period=FY","BEST_FPERIOD_OVERRIDE=FY","FILING_STATUS=OR","EQY_CONSOLIDATED=Y","Sort=A","Dates=H","DateFormat=P","Fill=—","Direction=H","UseDPDF=Y")</f>
        <v>#NAME?</v>
      </c>
      <c r="BL73" s="1" t="e">
        <f ca="1">_xll.BDH($C$53,"ACCOUNTS_RECEIVABLE_SEQ_GROWTH","FY 2018","FY 2018","Currency=INR","Period=FY","BEST_FPERIOD_OVERRIDE=FY","FILING_STATUS=OR","EQY_CONSOLIDATED=Y","Sort=A","Dates=H","DateFormat=P","Fill=—","Direction=H","UseDPDF=Y")</f>
        <v>#NAME?</v>
      </c>
      <c r="BM73" s="1" t="e">
        <f ca="1">_xll.BDH($C$53,"INVENTORY_SEQUENTIAL_GROWTH","FY 2018","FY 2018","Currency=INR","Period=FY","BEST_FPERIOD_OVERRIDE=FY","FILING_STATUS=OR","EQY_CONSOLIDATED=Y","Sort=A","Dates=H","DateFormat=P","Fill=—","Direction=H","UseDPDF=Y")</f>
        <v>#NAME?</v>
      </c>
      <c r="BN73" s="1" t="e">
        <f ca="1">_xll.BDH($C$53,"FIXED_ASSETS_SEQUENTIAL_GROWTH","FY 2018","FY 2018","Currency=INR","Period=FY","BEST_FPERIOD_OVERRIDE=FY","FILING_STATUS=OR","EQY_CONSOLIDATED=Y","Sort=A","Dates=H","DateFormat=P","Fill=—","Direction=H","UseDPDF=Y")</f>
        <v>#NAME?</v>
      </c>
      <c r="BO73" s="1" t="e">
        <f ca="1">_xll.BDH($C$53,"TOTAL_ASSETS_SEQUENTIAL_GROWTH","FY 2018","FY 2018","Currency=INR","Period=FY","BEST_FPERIOD_OVERRIDE=FY","FILING_STATUS=OR","EQY_CONSOLIDATED=Y","Sort=A","Dates=H","DateFormat=P","Fill=—","Direction=H","UseDPDF=Y")</f>
        <v>#NAME?</v>
      </c>
      <c r="BP73" s="1" t="e">
        <f ca="1">_xll.BDH($C$53,"MODIFIED_WORKING_CPTL_SEQ_GRWTH","FY 2018","FY 2018","Currency=INR","Period=FY","BEST_FPERIOD_OVERRIDE=FY","FILING_STATUS=OR","EQY_CONSOLIDATED=Y","Sort=A","Dates=H","DateFormat=P","Fill=—","Direction=H","UseDPDF=Y")</f>
        <v>#NAME?</v>
      </c>
      <c r="BQ73" s="1" t="e">
        <f ca="1">_xll.BDH($C$53,"WORKING_CAPITAL_SEQ_GROWTH","FY 2018","FY 2018","Currency=INR","Period=FY","BEST_FPERIOD_OVERRIDE=FY","FILING_STATUS=OR","EQY_CONSOLIDATED=Y","Sort=A","Dates=H","DateFormat=P","Fill=—","Direction=H","UseDPDF=Y")</f>
        <v>#NAME?</v>
      </c>
      <c r="BR73" s="1" t="e">
        <f ca="1">_xll.BDH($C$53,"ACCOUNTS_PAYABLE_SEQ_GROWTH","FY 2018","FY 2018","Currency=INR","Period=FY","BEST_FPERIOD_OVERRIDE=FY","FILING_STATUS=OR","EQY_CONSOLIDATED=Y","Sort=A","Dates=H","DateFormat=P","Fill=—","Direction=H","UseDPDF=Y")</f>
        <v>#NAME?</v>
      </c>
      <c r="BS73" s="1" t="e">
        <f ca="1">_xll.BDH($C$53,"ST_DEBT_SEQUENTIAL_GROWTH","FY 2018","FY 2018","Currency=INR","Period=FY","BEST_FPERIOD_OVERRIDE=FY","FILING_STATUS=OR","EQY_CONSOLIDATED=Y","Sort=A","Dates=H","DateFormat=P","Fill=—","Direction=H","UseDPDF=Y")</f>
        <v>#NAME?</v>
      </c>
      <c r="BT73" s="1" t="e">
        <f ca="1">_xll.BDH($C$53,"TOTAL_DEBT_SEQUENTIAL_GROWTH","FY 2018","FY 2018","Currency=INR","Period=FY","BEST_FPERIOD_OVERRIDE=FY","FILING_STATUS=OR","EQY_CONSOLIDATED=Y","Sort=A","Dates=H","DateFormat=P","Fill=—","Direction=H","UseDPDF=Y")</f>
        <v>#NAME?</v>
      </c>
      <c r="BU73" s="1" t="e">
        <f ca="1">_xll.BDH($C$53,"TOTAL_EQUITY_SEQUENTIAL_GROWTH","FY 2018","FY 2018","Currency=INR","Period=FY","BEST_FPERIOD_OVERRIDE=FY","FILING_STATUS=OR","EQY_CONSOLIDATED=Y","Sort=A","Dates=H","DateFormat=P","Fill=—","Direction=H","UseDPDF=Y")</f>
        <v>#NAME?</v>
      </c>
      <c r="BV73" s="1" t="e">
        <f ca="1">_xll.BDH($C$53,"TOTAL_CAPITAL_SEQUENTIAL_GROWTH","FY 2018","FY 2018","Currency=INR","Period=FY","BEST_FPERIOD_OVERRIDE=FY","FILING_STATUS=OR","EQY_CONSOLIDATED=Y","Sort=A","Dates=H","DateFormat=P","Fill=—","Direction=H","UseDPDF=Y")</f>
        <v>#NAME?</v>
      </c>
      <c r="BW73" s="1" t="e">
        <f ca="1">_xll.BDH($C$53,"BPS_SEQUENTIAL_GROWTH","FY 2018","FY 2018","Currency=INR","Period=FY","BEST_FPERIOD_OVERRIDE=FY","FILING_STATUS=OR","EQY_CONSOLIDATED=Y","Sort=A","Dates=H","DateFormat=P","Fill=—","Direction=H","UseDPDF=Y")</f>
        <v>#NAME?</v>
      </c>
      <c r="BX73" s="1" t="e">
        <f ca="1">_xll.BDH($C$53,"CFO_SEQUENTIAL_GROWTH","FY 2018","FY 2018","Currency=INR","Period=FY","BEST_FPERIOD_OVERRIDE=FY","FILING_STATUS=OR","EQY_CONSOLIDATED=Y","Sort=A","Dates=H","DateFormat=P","Fill=—","Direction=H","UseDPDF=Y")</f>
        <v>#NAME?</v>
      </c>
      <c r="BY73" s="2" t="e">
        <f ca="1">_xll.BDH($C$53,"SHORT_AND_LONG_TERM_DEBT","FY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73" s="2" t="e">
        <f ca="1">_xll.BDH($C$53,"BS_ST_BORROW","FY 2018","FY 2018","Currency=INR","Period=FY","BEST_FPERIOD_OVERRIDE=FY","FILING_STATUS=OR","EQY_CONSOLIDATED=Y","SCALING_FORMAT=MLN","Sort=A","Dates=H","DateFormat=P","Fill=—","Direction=H","UseDPDF=Y")</f>
        <v>#NAME?</v>
      </c>
      <c r="CA73" s="2" t="e">
        <f ca="1">_xll.BDH($C$53,"BS_LT_BORROW","FY 2018","FY 2018","Currency=INR","Period=FY","BEST_FPERIOD_OVERRIDE=FY","FILING_STATUS=OR","EQY_CONSOLIDATED=Y","SCALING_FORMAT=MLN","Sort=A","Dates=H","DateFormat=P","Fill=—","Direction=H","UseDPDF=Y")</f>
        <v>#NAME?</v>
      </c>
      <c r="CB73" s="1" t="e">
        <f ca="1">_xll.BDH($C$53,"TOT_DEBT_TO_EBITDA","FY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73" s="1" t="e">
        <f ca="1">_xll.BDH($C$53,"NET_DEBT_TO_EBITDA","FY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73" s="1" t="e">
        <f ca="1">_xll.BDH($C$53,"TOTAL_DEBT_TO_EBIT","FY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73" s="1" t="e">
        <f ca="1">_xll.BDH($C$53,"NET_DEBT_TO_EBIT","FY 2018","FY 2018","Currency=INR","Period=FY","BEST_FPERIOD_OVERRIDE=FY","FILING_STATUS=OR","EQY_CONSOLIDATED=Y","FA_ADJUSTED=GAAP","Sort=A","Dates=H","DateFormat=P","Fill=—","Direction=H","UseDPDF=Y")</f>
        <v>#NAME?</v>
      </c>
      <c r="CF73" s="1" t="e">
        <f ca="1">_xll.BDH($C$53,"EBITDA_TO_INTEREST_EXPN","FY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73" s="1" t="e">
        <f ca="1">_xll.BDH($C$53,"COM_EQY_TO_TOT_ASSET","FY 2018","FY 2018","Currency=INR","Period=FY","BEST_FPERIOD_OVERRIDE=FY","FILING_STATUS=OR","EQY_CONSOLIDATED=Y","Sort=A","Dates=H","DateFormat=P","Fill=—","Direction=H","UseDPDF=Y")</f>
        <v>#NAME?</v>
      </c>
      <c r="CH73" s="1" t="e">
        <f ca="1">_xll.BDH($C$53,"LT_DEBT_TO_TOT_EQY","FY 2018","FY 2018","Currency=INR","Period=FY","BEST_FPERIOD_OVERRIDE=FY","FILING_STATUS=OR","EQY_CONSOLIDATED=Y","Sort=A","Dates=H","DateFormat=P","Fill=—","Direction=H","UseDPDF=Y")</f>
        <v>#NAME?</v>
      </c>
      <c r="CI73" s="1" t="e">
        <f ca="1">_xll.BDH($C$53,"LT_DEBT_TO_TOT_CAP","FY 2018","FY 2018","Currency=INR","Period=FY","BEST_FPERIOD_OVERRIDE=FY","FILING_STATUS=OR","EQY_CONSOLIDATED=Y","Sort=A","Dates=H","DateFormat=P","Fill=—","Direction=H","UseDPDF=Y")</f>
        <v>#NAME?</v>
      </c>
      <c r="CJ73" s="1" t="e">
        <f ca="1">_xll.BDH($C$53,"LT_DEBT_TO_TOT_ASSET","FY 2018","FY 2018","Currency=INR","Period=FY","BEST_FPERIOD_OVERRIDE=FY","FILING_STATUS=OR","EQY_CONSOLIDATED=Y","Sort=A","Dates=H","DateFormat=P","Fill=—","Direction=H","UseDPDF=Y")</f>
        <v>#NAME?</v>
      </c>
      <c r="CK73" s="1" t="e">
        <f ca="1">_xll.BDH($C$53,"TOT_DEBT_TO_TOT_EQY","FY 2018","FY 2018","Currency=INR","Period=FY","BEST_FPERIOD_OVERRIDE=FY","FILING_STATUS=OR","EQY_CONSOLIDATED=Y","Sort=A","Dates=H","DateFormat=P","Fill=—","Direction=H","UseDPDF=Y")</f>
        <v>#NAME?</v>
      </c>
      <c r="CL73" s="1" t="e">
        <f ca="1">_xll.BDH($C$53,"TOT_DEBT_TO_TOT_CAP","FY 2018","FY 2018","Currency=INR","Period=FY","BEST_FPERIOD_OVERRIDE=FY","FILING_STATUS=OR","EQY_CONSOLIDATED=Y","Sort=A","Dates=H","DateFormat=P","Fill=—","Direction=H","UseDPDF=Y")</f>
        <v>#NAME?</v>
      </c>
      <c r="CM73" s="1" t="e">
        <f ca="1">_xll.BDH($C$53,"TOT_DEBT_TO_TOT_ASSET","FY 2018","FY 2018","Currency=INR","Period=FY","BEST_FPERIOD_OVERRIDE=FY","FILING_STATUS=OR","EQY_CONSOLIDATED=Y","Sort=A","Dates=H","DateFormat=P","Fill=—","Direction=H","UseDPDF=Y")</f>
        <v>#NAME?</v>
      </c>
      <c r="CN73" s="1" t="e">
        <f ca="1">_xll.BDH($C$53,"NET_DEBT_TO_SHRHLDR_EQTY","FY 2018","FY 2018","Currency=INR","Period=FY","BEST_FPERIOD_OVERRIDE=FY","FILING_STATUS=OR","EQY_CONSOLIDATED=Y","Sort=A","Dates=H","DateFormat=P","Fill=—","Direction=H","UseDPDF=Y")</f>
        <v>#NAME?</v>
      </c>
      <c r="CO73" s="1" t="e">
        <f ca="1">_xll.BDH($C$53,"NET_DEBT_%_CAPITAL","FY 2018","FY 2018","Currency=INR","Period=FY","BEST_FPERIOD_OVERRIDE=FY","FILING_STATUS=OR","EQY_CONSOLIDATED=Y","Sort=A","Dates=H","DateFormat=P","Fill=—","Direction=H","UseDPDF=Y")</f>
        <v>#NAME?</v>
      </c>
      <c r="CP73" s="2" t="e">
        <f ca="1">_xll.BDH($C$53,"EBITDA","FY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73" s="2" t="e">
        <f ca="1">_xll.BDH($C$53,"EBITDA_AFTER_CAPEX","FY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73" s="2" t="e">
        <f ca="1">_xll.BDH($C$53,"IS_OPER_INC","FY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73" s="1" t="e">
        <f ca="1">_xll.BDH($C$53,"CASH_RATIO","FY 2018","FY 2018","Currency=INR","Period=FY","BEST_FPERIOD_OVERRIDE=FY","FILING_STATUS=OR","EQY_CONSOLIDATED=Y","Sort=A","Dates=H","DateFormat=P","Fill=—","Direction=H","UseDPDF=Y")</f>
        <v>#NAME?</v>
      </c>
      <c r="CT73" s="1" t="e">
        <f ca="1">_xll.BDH($C$53,"CUR_RATIO","FY 2018","FY 2018","Currency=INR","Period=FY","BEST_FPERIOD_OVERRIDE=FY","FILING_STATUS=OR","EQY_CONSOLIDATED=Y","Sort=A","Dates=H","DateFormat=P","Fill=—","Direction=H","UseDPDF=Y")</f>
        <v>#NAME?</v>
      </c>
      <c r="CU73" s="1" t="e">
        <f ca="1">_xll.BDH($C$53,"QUICK_RATIO","FY 2018","FY 2018","Currency=INR","Period=FY","BEST_FPERIOD_OVERRIDE=FY","FILING_STATUS=OR","EQY_CONSOLIDATED=Y","Sort=A","Dates=H","DateFormat=P","Fill=—","Direction=H","UseDPDF=Y")</f>
        <v>#NAME?</v>
      </c>
      <c r="CV73" s="1" t="e">
        <f ca="1">_xll.BDH($C$53,"ALTMAN_Z_SCORE","FY 2018","FY 2018","Currency=INR","Period=FY","BEST_FPERIOD_OVERRIDE=FY","FILING_STATUS=OR","EQY_CONSOLIDATED=Y","Sort=A","Dates=H","DateFormat=P","Fill=—","Direction=H","UseDPDF=Y")</f>
        <v>#NAME?</v>
      </c>
      <c r="CW73" s="3" t="e">
        <f ca="1">_xll.BDH($C$53,"ACCT_RCV_TURN","FY 2018","FY 2018","Currency=INR","Period=FY","BEST_FPERIOD_OVERRIDE=FY","FILING_STATUS=OR","EQY_CONSOLIDATED=Y","FA_ADJUSTED=GAAP","Sort=A","Dates=H","DateFormat=P","Fill=—","Direction=H","UseDPDF=Y")</f>
        <v>#NAME?</v>
      </c>
      <c r="CX73" s="1" t="e">
        <f ca="1">_xll.BDH($C$53,"ACCT_RCV_DAYS","FY 2018","FY 2018","Currency=INR","Period=FY","BEST_FPERIOD_OVERRIDE=FY","FILING_STATUS=OR","EQY_CONSOLIDATED=Y","FA_ADJUSTED=GAAP","Sort=A","Dates=H","DateFormat=P","Fill=—","Direction=H","UseDPDF=Y")</f>
        <v>#NAME?</v>
      </c>
      <c r="CY73" s="3" t="e">
        <f ca="1">_xll.BDH($C$53,"INVENT_TURN","FY 2018","FY 2018","Currency=INR","Period=FY","BEST_FPERIOD_OVERRIDE=FY","FILING_STATUS=OR","EQY_CONSOLIDATED=Y","FA_ADJUSTED=GAAP","Sort=A","Dates=H","DateFormat=P","Fill=—","Direction=H","UseDPDF=Y")</f>
        <v>#NAME?</v>
      </c>
      <c r="CZ73" s="1" t="e">
        <f ca="1">_xll.BDH($C$53,"INVENT_DAYS","FY 2018","FY 2018","Currency=INR","Period=FY","BEST_FPERIOD_OVERRIDE=FY","FILING_STATUS=OR","EQY_CONSOLIDATED=Y","FA_ADJUSTED=GAAP","Sort=A","Dates=H","DateFormat=P","Fill=—","Direction=H","UseDPDF=Y")</f>
        <v>#NAME?</v>
      </c>
      <c r="DA73" s="3" t="e">
        <f ca="1">_xll.BDH($C$53,"ACCOUNTS_PAYABLE_TURNOVER","FY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73" s="1" t="e">
        <f ca="1">_xll.BDH($C$53,"ACCOUNTS_PAYABLE_TURNOVER_DAYS","FY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73" s="3" t="e">
        <f ca="1">_xll.BDH($C$53,"CASH_CONVERSION_CYCLE","FY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73" s="3" t="e">
        <f ca="1">_xll.BDH($C$53,"INV_TO_CASH_DAYS","FY 2018","FY 2018","Currency=INR","Period=FY","BEST_FPERIOD_OVERRIDE=FY","FILING_STATUS=OR","EQY_CONSOLIDATED=Y","FA_ADJUSTED=GAAP","Sort=A","Dates=H","DateFormat=P","Fill=—","Direction=H","UseDPDF=Y")</f>
        <v>#NAME?</v>
      </c>
      <c r="DE73" s="4" t="e">
        <f ca="1">_xll.BDH($C$53,"BS_INVENTORIES","FY 2018","FY 2018","Currency=INR","Period=FY","BEST_FPERIOD_OVERRIDE=FY","FILING_STATUS=OR","EQY_CONSOLIDATED=Y","SCALING_FORMAT=MLN","Sort=A","Dates=H","DateFormat=P","Fill=—","Direction=H","UseDPDF=Y")</f>
        <v>#NAME?</v>
      </c>
      <c r="DF73" s="2" t="e">
        <f ca="1">_xll.BDH($C$53,"INVTRY_RAW_MATERIALS","FY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73" s="2" t="e">
        <f ca="1">_xll.BDH($C$53,"INVTRY_IN_PROGRESS","FY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73" s="2" t="e">
        <f ca="1">_xll.BDH($C$53,"INVTRY_FINISHED_GOODS","FY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73" s="2" t="e">
        <f ca="1">_xll.BDH($C$53,"BS_OTHER_INV","FY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74" spans="1:113" x14ac:dyDescent="0.3">
      <c r="A74" s="6"/>
      <c r="B74" s="6"/>
      <c r="C74" s="6"/>
      <c r="D74" s="6"/>
      <c r="E74" t="s">
        <v>4</v>
      </c>
      <c r="F74" t="e">
        <f ca="1">_xll.BDH($C$53,"RETURN_COM_EQY","FQ1 2018","FQ1 2018","Currency=INR","Period=FQ","BEST_FPERIOD_OVERRIDE=FQ","FILING_STATUS=OR","EQY_CONSOLIDATED=Y","FA_ADJUSTED=GAAP","Sort=A","Dates=H","DateFormat=P","Fill=—","Direction=H","UseDPDF=Y")</f>
        <v>#NAME?</v>
      </c>
      <c r="G74" t="e">
        <f ca="1">_xll.BDH($C$53,"RETURN_ON_ASSET","FQ1 2018","FQ1 2018","Currency=INR","Period=FQ","BEST_FPERIOD_OVERRIDE=FQ","FILING_STATUS=OR","EQY_CONSOLIDATED=Y","FA_ADJUSTED=GAAP","Sort=A","Dates=H","DateFormat=P","Fill=—","Direction=H","UseDPDF=Y")</f>
        <v>#NAME?</v>
      </c>
      <c r="H74" t="e">
        <f ca="1">_xll.BDH($C$53,"RETURN_ON_CAP","FQ1 2018","FQ1 2018","Currency=INR","Period=FQ","BEST_FPERIOD_OVERRIDE=FQ","FILING_STATUS=OR","EQY_CONSOLIDATED=Y","FA_ADJUSTED=GAAP","Sort=A","Dates=H","DateFormat=P","Fill=—","Direction=H","UseDPDF=Y")</f>
        <v>#NAME?</v>
      </c>
      <c r="I74" t="e">
        <f ca="1">_xll.BDH($C$53,"RETURN_ON_INV_CAPITAL","FQ1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74" t="e">
        <f ca="1">_xll.BDH($C$53,"EBITDA_TO_REVENUE","FQ1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74" t="e">
        <f ca="1">_xll.BDH($C$53,"OPER_MARGIN","FQ1 2018","FQ1 2018","Currency=INR","Period=FQ","BEST_FPERIOD_OVERRIDE=FQ","FILING_STATUS=OR","EQY_CONSOLIDATED=Y","FA_ADJUSTED=GAAP","Sort=A","Dates=H","DateFormat=P","Fill=—","Direction=H","UseDPDF=Y")</f>
        <v>#NAME?</v>
      </c>
      <c r="L74" t="e">
        <f ca="1">_xll.BDH($C$53,"INCREMENTAL_OPERATING_MARGIN","FQ1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74" t="e">
        <f ca="1">_xll.BDH($C$53,"PRETAX_INC_TO_NET_SALES","FQ1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74" t="e">
        <f ca="1">_xll.BDH($C$53,"INC_BEF_XO_ITEMS_TO_NET_SALES","FQ1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74" t="e">
        <f ca="1">_xll.BDH($C$53,"PROF_MARGIN","FQ1 2018","FQ1 2018","Currency=INR","Period=FQ","BEST_FPERIOD_OVERRIDE=FQ","FILING_STATUS=OR","EQY_CONSOLIDATED=Y","FA_ADJUSTED=GAAP","Sort=A","Dates=H","DateFormat=P","Fill=—","Direction=H","UseDPDF=Y")</f>
        <v>#NAME?</v>
      </c>
      <c r="P74" t="e">
        <f ca="1">_xll.BDH($C$53,"NET_INCOME_TO_COMMON_MARGIN","FQ1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74" t="e">
        <f ca="1">_xll.BDH($C$53,"EFF_TAX_RATE","FQ1 2018","FQ1 2018","Currency=INR","Period=FQ","BEST_FPERIOD_OVERRIDE=FQ","FILING_STATUS=OR","EQY_CONSOLIDATED=Y","FA_ADJUSTED=GAAP","Sort=A","Dates=H","DateFormat=P","Fill=—","Direction=H","UseDPDF=Y")</f>
        <v>#NAME?</v>
      </c>
      <c r="R74" t="e">
        <f ca="1">_xll.BDH($C$53,"DVD_PAYOUT_RATIO","FQ1 2018","FQ1 2018","Currency=INR","Period=FQ","BEST_FPERIOD_OVERRIDE=FQ","FILING_STATUS=OR","EQY_CONSOLIDATED=Y","FA_ADJUSTED=GAAP","Sort=A","Dates=H","DateFormat=P","Fill=—","Direction=H","UseDPDF=Y")</f>
        <v>#NAME?</v>
      </c>
      <c r="S74" t="e">
        <f ca="1">_xll.BDH($C$53,"SUSTAIN_GROWTH_RT","FQ1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74" s="1" t="e">
        <f ca="1">_xll.BDH($C$53,"SALES_GROWTH","FQ1 2018","FQ1 2018","Currency=INR","Period=FQ","BEST_FPERIOD_OVERRIDE=FQ","FILING_STATUS=OR","EQY_CONSOLIDATED=Y","FA_ADJUSTED=GAAP","Sort=A","Dates=H","DateFormat=P","Fill=—","Direction=H","UseDPDF=Y")</f>
        <v>#NAME?</v>
      </c>
      <c r="U74" s="1" t="e">
        <f ca="1">_xll.BDH($C$53,"EBITDA_GROWTH","FQ1 2018","FQ1 2018","Currency=INR","Period=FQ","BEST_FPERIOD_OVERRIDE=FQ","FILING_STATUS=OR","EQY_CONSOLIDATED=Y","FA_ADJUSTED=GAAP","Sort=A","Dates=H","DateFormat=P","Fill=—","Direction=H","UseDPDF=Y")</f>
        <v>#NAME?</v>
      </c>
      <c r="V74" s="1" t="e">
        <f ca="1">_xll.BDH($C$53,"OPER_INC_GROWTH","FQ1 2018","FQ1 2018","Currency=INR","Period=FQ","BEST_FPERIOD_OVERRIDE=FQ","FILING_STATUS=OR","EQY_CONSOLIDATED=Y","FA_ADJUSTED=GAAP","Sort=A","Dates=H","DateFormat=P","Fill=—","Direction=H","UseDPDF=Y")</f>
        <v>#NAME?</v>
      </c>
      <c r="W74" s="1" t="e">
        <f ca="1">_xll.BDH($C$53,"EARN_FOR_COM_GROWTH","FQ1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74" s="1" t="e">
        <f ca="1">_xll.BDH($C$53,"DILUTED_EPS_AFT_XO_ITEMS_GROWTH","FQ1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74" s="1" t="e">
        <f ca="1">_xll.BDH($C$53,"DIVIDEND_PER_SHARE_1_YEAR_GROWTH","FQ1 2018","FQ1 2018","Currency=INR","Period=FQ","BEST_FPERIOD_OVERRIDE=FQ","FILING_STATUS=OR","EQY_CONSOLIDATED=Y","Sort=A","Dates=H","DateFormat=P","Fill=—","Direction=H","UseDPDF=Y")</f>
        <v>#NAME?</v>
      </c>
      <c r="Z74" s="1" t="e">
        <f ca="1">_xll.BDH($C$53,"ACCOUNTS_RECEIVABLE_GROWTH","FQ1 2018","FQ1 2018","Currency=INR","Period=FQ","BEST_FPERIOD_OVERRIDE=FQ","FILING_STATUS=OR","EQY_CONSOLIDATED=Y","Sort=A","Dates=H","DateFormat=P","Fill=—","Direction=H","UseDPDF=Y")</f>
        <v>#NAME?</v>
      </c>
      <c r="AA74" s="1" t="e">
        <f ca="1">_xll.BDH($C$53,"INVENTORY_GROWTH","FQ1 2018","FQ1 2018","Currency=INR","Period=FQ","BEST_FPERIOD_OVERRIDE=FQ","FILING_STATUS=OR","EQY_CONSOLIDATED=Y","Sort=A","Dates=H","DateFormat=P","Fill=—","Direction=H","UseDPDF=Y")</f>
        <v>#NAME?</v>
      </c>
      <c r="AB74" s="1" t="e">
        <f ca="1">_xll.BDH($C$53,"NET_FIXED_ASSETS_1_YEAR_GROWTH","FQ1 2018","FQ1 2018","Currency=INR","Period=FQ","BEST_FPERIOD_OVERRIDE=FQ","FILING_STATUS=OR","EQY_CONSOLIDATED=Y","Sort=A","Dates=H","DateFormat=P","Fill=—","Direction=H","UseDPDF=Y")</f>
        <v>#NAME?</v>
      </c>
      <c r="AC74" s="1" t="e">
        <f ca="1">_xll.BDH($C$53,"ASSET_GROWTH","FQ1 2018","FQ1 2018","Currency=INR","Period=FQ","BEST_FPERIOD_OVERRIDE=FQ","FILING_STATUS=OR","EQY_CONSOLIDATED=Y","Sort=A","Dates=H","DateFormat=P","Fill=—","Direction=H","UseDPDF=Y")</f>
        <v>#NAME?</v>
      </c>
      <c r="AD74" s="1" t="e">
        <f ca="1">_xll.BDH($C$53,"MODIFIED_WORK_CAP_GROWTH","FQ1 2018","FQ1 2018","Currency=INR","Period=FQ","BEST_FPERIOD_OVERRIDE=FQ","FILING_STATUS=OR","EQY_CONSOLIDATED=Y","Sort=A","Dates=H","DateFormat=P","Fill=—","Direction=H","UseDPDF=Y")</f>
        <v>#NAME?</v>
      </c>
      <c r="AE74" s="1" t="e">
        <f ca="1">_xll.BDH($C$53,"WORK_CAP_GROWTH","FQ1 2018","FQ1 2018","Currency=INR","Period=FQ","BEST_FPERIOD_OVERRIDE=FQ","FILING_STATUS=OR","EQY_CONSOLIDATED=Y","Sort=A","Dates=H","DateFormat=P","Fill=—","Direction=H","UseDPDF=Y")</f>
        <v>#NAME?</v>
      </c>
      <c r="AF74" s="1" t="e">
        <f ca="1">_xll.BDH($C$53,"ACCOUNTS_PAYABLE_GROWTH_1YR","FQ1 2018","FQ1 2018","Currency=INR","Period=FQ","BEST_FPERIOD_OVERRIDE=FQ","FILING_STATUS=OR","EQY_CONSOLIDATED=Y","Sort=A","Dates=H","DateFormat=P","Fill=—","Direction=H","UseDPDF=Y")</f>
        <v>#NAME?</v>
      </c>
      <c r="AG74" s="1" t="e">
        <f ca="1">_xll.BDH($C$53,"SHORT_TERM_DEBT_1_YEAR_GROWTH","FQ1 2018","FQ1 2018","Currency=INR","Period=FQ","BEST_FPERIOD_OVERRIDE=FQ","FILING_STATUS=OR","EQY_CONSOLIDATED=Y","Sort=A","Dates=H","DateFormat=P","Fill=—","Direction=H","UseDPDF=Y")</f>
        <v>#NAME?</v>
      </c>
      <c r="AH74" s="1" t="e">
        <f ca="1">_xll.BDH($C$53,"TOTAL_DEBT_1_YEAR_GROWTH","FQ1 2018","FQ1 2018","Currency=INR","Period=FQ","BEST_FPERIOD_OVERRIDE=FQ","FILING_STATUS=OR","EQY_CONSOLIDATED=Y","Sort=A","Dates=H","DateFormat=P","Fill=—","Direction=H","UseDPDF=Y")</f>
        <v>#NAME?</v>
      </c>
      <c r="AI74" s="1" t="e">
        <f ca="1">_xll.BDH($C$53,"TOTAL_EQUITY_1_YEAR_GROWTH","FQ1 2018","FQ1 2018","Currency=INR","Period=FQ","BEST_FPERIOD_OVERRIDE=FQ","FILING_STATUS=OR","EQY_CONSOLIDATED=Y","Sort=A","Dates=H","DateFormat=P","Fill=—","Direction=H","UseDPDF=Y")</f>
        <v>#NAME?</v>
      </c>
      <c r="AJ74" s="1" t="e">
        <f ca="1">_xll.BDH($C$53,"GROWTH_IN_CAP","FQ1 2018","FQ1 2018","Currency=INR","Period=FQ","BEST_FPERIOD_OVERRIDE=FQ","FILING_STATUS=OR","EQY_CONSOLIDATED=Y","Sort=A","Dates=H","DateFormat=P","Fill=—","Direction=H","UseDPDF=Y")</f>
        <v>#NAME?</v>
      </c>
      <c r="AK74" s="1" t="e">
        <f ca="1">_xll.BDH($C$53,"BVPS_GROWTH","FQ1 2018","FQ1 2018","Currency=INR","Period=FQ","BEST_FPERIOD_OVERRIDE=FQ","FILING_STATUS=OR","EQY_CONSOLIDATED=Y","Sort=A","Dates=H","DateFormat=P","Fill=—","Direction=H","UseDPDF=Y")</f>
        <v>#NAME?</v>
      </c>
      <c r="AL74" s="1" t="e">
        <f ca="1">_xll.BDH($C$53,"CASH_FLOW_GROWTH","FQ1 2018","FQ1 2018","Currency=INR","Period=FQ","BEST_FPERIOD_OVERRIDE=FQ","FILING_STATUS=OR","EQY_CONSOLIDATED=Y","Sort=A","Dates=H","DateFormat=P","Fill=—","Direction=H","UseDPDF=Y")</f>
        <v>#NAME?</v>
      </c>
      <c r="AM74" s="1" t="e">
        <f ca="1">_xll.BDH($C$53,"GEO_GROW_NET_SALES","FQ1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74" s="1" t="e">
        <f ca="1">_xll.BDH($C$53,"GEO_GROW_EBITDA","FQ1 2018","FQ1 2018","Currency=INR","Period=FQ","BEST_FPERIOD_OVERRIDE=FQ","FILING_STATUS=OR","EQY_CONSOLIDATED=Y","FA_ADJUSTED=GAAP","Sort=A","Dates=H","DateFormat=P","Fill=—","Direction=H","UseDPDF=Y")</f>
        <v>#NAME?</v>
      </c>
      <c r="AO74" s="1" t="e">
        <f ca="1">_xll.BDH($C$53,"GEO_GROW_OPER_INC","FQ1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74" s="1" t="e">
        <f ca="1">_xll.BDH($C$53,"NET_INCOME_TO_COMMON_5_YR_GROWTH","FQ1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74" s="1" t="e">
        <f ca="1">_xll.BDH($C$53,"5Y_GEO_GROWTH_DILUTED_EPS","FQ1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74" s="1" t="e">
        <f ca="1">_xll.BDH($C$53,"GEO_GROW_DVD_PER_SH","FQ1 2018","FQ1 2018","Currency=INR","Period=FQ","BEST_FPERIOD_OVERRIDE=FQ","FILING_STATUS=OR","EQY_CONSOLIDATED=Y","Sort=A","Dates=H","DateFormat=P","Fill=—","Direction=H","UseDPDF=Y")</f>
        <v>#NAME?</v>
      </c>
      <c r="AS74" s="1" t="e">
        <f ca="1">_xll.BDH($C$53,"ACCOUNTS_RECEIVABLE_5_YR_GROWTH","FQ1 2018","FQ1 2018","Currency=INR","Period=FQ","BEST_FPERIOD_OVERRIDE=FQ","FILING_STATUS=OR","EQY_CONSOLIDATED=Y","Sort=A","Dates=H","DateFormat=P","Fill=—","Direction=H","UseDPDF=Y")</f>
        <v>#NAME?</v>
      </c>
      <c r="AT74" s="1" t="e">
        <f ca="1">_xll.BDH($C$53,"INVENTORY_5_YEAR_GROWTH","FQ1 2018","FQ1 2018","Currency=INR","Period=FQ","BEST_FPERIOD_OVERRIDE=FQ","FILING_STATUS=OR","EQY_CONSOLIDATED=Y","Sort=A","Dates=H","DateFormat=P","Fill=—","Direction=H","UseDPDF=Y")</f>
        <v>#NAME?</v>
      </c>
      <c r="AU74" s="1" t="e">
        <f ca="1">_xll.BDH($C$53,"NET_FIXED_ASSETS_5_YEAR_GROWTH","FQ1 2018","FQ1 2018","Currency=INR","Period=FQ","BEST_FPERIOD_OVERRIDE=FQ","FILING_STATUS=OR","EQY_CONSOLIDATED=Y","Sort=A","Dates=H","DateFormat=P","Fill=—","Direction=H","UseDPDF=Y")</f>
        <v>#NAME?</v>
      </c>
      <c r="AV74" s="1" t="e">
        <f ca="1">_xll.BDH($C$53,"GEO_GROW_TOT_ASSET","FQ1 2018","FQ1 2018","Currency=INR","Period=FQ","BEST_FPERIOD_OVERRIDE=FQ","FILING_STATUS=OR","EQY_CONSOLIDATED=Y","Sort=A","Dates=H","DateFormat=P","Fill=—","Direction=H","UseDPDF=Y")</f>
        <v>#NAME?</v>
      </c>
      <c r="AW74" s="1" t="e">
        <f ca="1">_xll.BDH($C$53,"MODIFIED_WORKING_CPTL_5YR_GRWTH","FQ1 2018","FQ1 2018","Currency=INR","Period=FQ","BEST_FPERIOD_OVERRIDE=FQ","FILING_STATUS=OR","EQY_CONSOLIDATED=Y","Sort=A","Dates=H","DateFormat=P","Fill=—","Direction=H","UseDPDF=Y")</f>
        <v>#NAME?</v>
      </c>
      <c r="AX74" s="1" t="e">
        <f ca="1">_xll.BDH($C$53,"WORKING_CAPITAL_5_YEAR_GROWTH","FQ1 2018","FQ1 2018","Currency=INR","Period=FQ","BEST_FPERIOD_OVERRIDE=FQ","FILING_STATUS=OR","EQY_CONSOLIDATED=Y","Sort=A","Dates=H","DateFormat=P","Fill=—","Direction=H","UseDPDF=Y")</f>
        <v>#NAME?</v>
      </c>
      <c r="AY74" s="1" t="e">
        <f ca="1">_xll.BDH($C$53,"ACCOUNTS_PAYABLE_5_YEAR_GROWTH","FQ1 2018","FQ1 2018","Currency=INR","Period=FQ","BEST_FPERIOD_OVERRIDE=FQ","FILING_STATUS=OR","EQY_CONSOLIDATED=Y","Sort=A","Dates=H","DateFormat=P","Fill=—","Direction=H","UseDPDF=Y")</f>
        <v>#NAME?</v>
      </c>
      <c r="AZ74" s="1" t="e">
        <f ca="1">_xll.BDH($C$53,"SHORT_TERM_DEBT_5_YEAR_GROWTH","FQ1 2018","FQ1 2018","Currency=INR","Period=FQ","BEST_FPERIOD_OVERRIDE=FQ","FILING_STATUS=OR","EQY_CONSOLIDATED=Y","Sort=A","Dates=H","DateFormat=P","Fill=—","Direction=H","UseDPDF=Y")</f>
        <v>#NAME?</v>
      </c>
      <c r="BA74" s="1" t="e">
        <f ca="1">_xll.BDH($C$53,"TOTAL_DEBT_5_YEAR_GROWTH","FQ1 2018","FQ1 2018","Currency=INR","Period=FQ","BEST_FPERIOD_OVERRIDE=FQ","FILING_STATUS=OR","EQY_CONSOLIDATED=Y","Sort=A","Dates=H","DateFormat=P","Fill=—","Direction=H","UseDPDF=Y")</f>
        <v>#NAME?</v>
      </c>
      <c r="BB74" s="1" t="e">
        <f ca="1">_xll.BDH($C$53,"GEO_GROW_TOT_SHRHLDR_EQY","FQ1 2018","FQ1 2018","Currency=INR","Period=FQ","BEST_FPERIOD_OVERRIDE=FQ","FILING_STATUS=OR","EQY_CONSOLIDATED=Y","Sort=A","Dates=H","DateFormat=P","Fill=—","Direction=H","UseDPDF=Y")</f>
        <v>#NAME?</v>
      </c>
      <c r="BC74" s="1" t="e">
        <f ca="1">_xll.BDH($C$53,"TOTAL_CAPITAL_5_YEAR_GROWTH","FQ1 2018","FQ1 2018","Currency=INR","Period=FQ","BEST_FPERIOD_OVERRIDE=FQ","FILING_STATUS=OR","EQY_CONSOLIDATED=Y","Sort=A","Dates=H","DateFormat=P","Fill=—","Direction=H","UseDPDF=Y")</f>
        <v>#NAME?</v>
      </c>
      <c r="BD74" s="1" t="e">
        <f ca="1">_xll.BDH($C$53,"GEO_GROW_BOOK_VAL","FQ1 2018","FQ1 2018","Currency=INR","Period=FQ","BEST_FPERIOD_OVERRIDE=FQ","FILING_STATUS=OR","EQY_CONSOLIDATED=Y","Sort=A","Dates=H","DateFormat=P","Fill=—","Direction=H","UseDPDF=Y")</f>
        <v>#NAME?</v>
      </c>
      <c r="BE74" s="1" t="e">
        <f ca="1">_xll.BDH($C$53,"GEO_GROW_CASH_OPER_ACT","FQ1 2018","FQ1 2018","Currency=INR","Period=FQ","BEST_FPERIOD_OVERRIDE=FQ","FILING_STATUS=OR","EQY_CONSOLIDATED=Y","Sort=A","Dates=H","DateFormat=P","Fill=—","Direction=H","UseDPDF=Y")</f>
        <v>#NAME?</v>
      </c>
      <c r="BF74" s="1" t="e">
        <f ca="1">_xll.BDH($C$53,"REVENUE_SEQUENTIAL_GROWTH","FQ1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74" s="1" t="e">
        <f ca="1">_xll.BDH($C$53,"EBITDA_SEQUENTIAL_GROWTH","FQ1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74" s="1" t="e">
        <f ca="1">_xll.BDH($C$53,"OPERATING_INCOME_SEQ_GROWTH","FQ1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74" s="1" t="e">
        <f ca="1">_xll.BDH($C$53,"NET_INCOME_TO_COMMON_SEQ_GROWTH","FQ1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74" s="1" t="e">
        <f ca="1">_xll.BDH($C$53,"EPS_DILUTED_SEQUENTIAL_GROWTH","FQ1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74" s="1" t="e">
        <f ca="1">_xll.BDH($C$53,"DPS_SEQUENTIAL_GROWTH","FQ1 2018","FQ1 2018","Currency=INR","Period=FQ","BEST_FPERIOD_OVERRIDE=FQ","FILING_STATUS=OR","EQY_CONSOLIDATED=Y","Sort=A","Dates=H","DateFormat=P","Fill=—","Direction=H","UseDPDF=Y")</f>
        <v>#NAME?</v>
      </c>
      <c r="BL74" s="1" t="e">
        <f ca="1">_xll.BDH($C$53,"ACCOUNTS_RECEIVABLE_SEQ_GROWTH","FQ1 2018","FQ1 2018","Currency=INR","Period=FQ","BEST_FPERIOD_OVERRIDE=FQ","FILING_STATUS=OR","EQY_CONSOLIDATED=Y","Sort=A","Dates=H","DateFormat=P","Fill=—","Direction=H","UseDPDF=Y")</f>
        <v>#NAME?</v>
      </c>
      <c r="BM74" s="1" t="e">
        <f ca="1">_xll.BDH($C$53,"INVENTORY_SEQUENTIAL_GROWTH","FQ1 2018","FQ1 2018","Currency=INR","Period=FQ","BEST_FPERIOD_OVERRIDE=FQ","FILING_STATUS=OR","EQY_CONSOLIDATED=Y","Sort=A","Dates=H","DateFormat=P","Fill=—","Direction=H","UseDPDF=Y")</f>
        <v>#NAME?</v>
      </c>
      <c r="BN74" s="1" t="e">
        <f ca="1">_xll.BDH($C$53,"FIXED_ASSETS_SEQUENTIAL_GROWTH","FQ1 2018","FQ1 2018","Currency=INR","Period=FQ","BEST_FPERIOD_OVERRIDE=FQ","FILING_STATUS=OR","EQY_CONSOLIDATED=Y","Sort=A","Dates=H","DateFormat=P","Fill=—","Direction=H","UseDPDF=Y")</f>
        <v>#NAME?</v>
      </c>
      <c r="BO74" s="1" t="e">
        <f ca="1">_xll.BDH($C$53,"TOTAL_ASSETS_SEQUENTIAL_GROWTH","FQ1 2018","FQ1 2018","Currency=INR","Period=FQ","BEST_FPERIOD_OVERRIDE=FQ","FILING_STATUS=OR","EQY_CONSOLIDATED=Y","Sort=A","Dates=H","DateFormat=P","Fill=—","Direction=H","UseDPDF=Y")</f>
        <v>#NAME?</v>
      </c>
      <c r="BP74" s="1" t="e">
        <f ca="1">_xll.BDH($C$53,"MODIFIED_WORKING_CPTL_SEQ_GRWTH","FQ1 2018","FQ1 2018","Currency=INR","Period=FQ","BEST_FPERIOD_OVERRIDE=FQ","FILING_STATUS=OR","EQY_CONSOLIDATED=Y","Sort=A","Dates=H","DateFormat=P","Fill=—","Direction=H","UseDPDF=Y")</f>
        <v>#NAME?</v>
      </c>
      <c r="BQ74" s="1" t="e">
        <f ca="1">_xll.BDH($C$53,"WORKING_CAPITAL_SEQ_GROWTH","FQ1 2018","FQ1 2018","Currency=INR","Period=FQ","BEST_FPERIOD_OVERRIDE=FQ","FILING_STATUS=OR","EQY_CONSOLIDATED=Y","Sort=A","Dates=H","DateFormat=P","Fill=—","Direction=H","UseDPDF=Y")</f>
        <v>#NAME?</v>
      </c>
      <c r="BR74" s="1" t="e">
        <f ca="1">_xll.BDH($C$53,"ACCOUNTS_PAYABLE_SEQ_GROWTH","FQ1 2018","FQ1 2018","Currency=INR","Period=FQ","BEST_FPERIOD_OVERRIDE=FQ","FILING_STATUS=OR","EQY_CONSOLIDATED=Y","Sort=A","Dates=H","DateFormat=P","Fill=—","Direction=H","UseDPDF=Y")</f>
        <v>#NAME?</v>
      </c>
      <c r="BS74" s="1" t="e">
        <f ca="1">_xll.BDH($C$53,"ST_DEBT_SEQUENTIAL_GROWTH","FQ1 2018","FQ1 2018","Currency=INR","Period=FQ","BEST_FPERIOD_OVERRIDE=FQ","FILING_STATUS=OR","EQY_CONSOLIDATED=Y","Sort=A","Dates=H","DateFormat=P","Fill=—","Direction=H","UseDPDF=Y")</f>
        <v>#NAME?</v>
      </c>
      <c r="BT74" s="1" t="e">
        <f ca="1">_xll.BDH($C$53,"TOTAL_DEBT_SEQUENTIAL_GROWTH","FQ1 2018","FQ1 2018","Currency=INR","Period=FQ","BEST_FPERIOD_OVERRIDE=FQ","FILING_STATUS=OR","EQY_CONSOLIDATED=Y","Sort=A","Dates=H","DateFormat=P","Fill=—","Direction=H","UseDPDF=Y")</f>
        <v>#NAME?</v>
      </c>
      <c r="BU74" s="1" t="e">
        <f ca="1">_xll.BDH($C$53,"TOTAL_EQUITY_SEQUENTIAL_GROWTH","FQ1 2018","FQ1 2018","Currency=INR","Period=FQ","BEST_FPERIOD_OVERRIDE=FQ","FILING_STATUS=OR","EQY_CONSOLIDATED=Y","Sort=A","Dates=H","DateFormat=P","Fill=—","Direction=H","UseDPDF=Y")</f>
        <v>#NAME?</v>
      </c>
      <c r="BV74" s="1" t="e">
        <f ca="1">_xll.BDH($C$53,"TOTAL_CAPITAL_SEQUENTIAL_GROWTH","FQ1 2018","FQ1 2018","Currency=INR","Period=FQ","BEST_FPERIOD_OVERRIDE=FQ","FILING_STATUS=OR","EQY_CONSOLIDATED=Y","Sort=A","Dates=H","DateFormat=P","Fill=—","Direction=H","UseDPDF=Y")</f>
        <v>#NAME?</v>
      </c>
      <c r="BW74" s="1" t="e">
        <f ca="1">_xll.BDH($C$53,"BPS_SEQUENTIAL_GROWTH","FQ1 2018","FQ1 2018","Currency=INR","Period=FQ","BEST_FPERIOD_OVERRIDE=FQ","FILING_STATUS=OR","EQY_CONSOLIDATED=Y","Sort=A","Dates=H","DateFormat=P","Fill=—","Direction=H","UseDPDF=Y")</f>
        <v>#NAME?</v>
      </c>
      <c r="BX74" s="1" t="e">
        <f ca="1">_xll.BDH($C$53,"CFO_SEQUENTIAL_GROWTH","FQ1 2018","FQ1 2018","Currency=INR","Period=FQ","BEST_FPERIOD_OVERRIDE=FQ","FILING_STATUS=OR","EQY_CONSOLIDATED=Y","Sort=A","Dates=H","DateFormat=P","Fill=—","Direction=H","UseDPDF=Y")</f>
        <v>#NAME?</v>
      </c>
      <c r="BY74" s="2" t="e">
        <f ca="1">_xll.BDH($C$53,"SHORT_AND_LONG_TERM_DEBT","FQ1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74" s="2" t="e">
        <f ca="1">_xll.BDH($C$53,"BS_ST_BORROW","FQ1 2018","FQ1 2018","Currency=INR","Period=FQ","BEST_FPERIOD_OVERRIDE=FQ","FILING_STATUS=OR","EQY_CONSOLIDATED=Y","SCALING_FORMAT=MLN","Sort=A","Dates=H","DateFormat=P","Fill=—","Direction=H","UseDPDF=Y")</f>
        <v>#NAME?</v>
      </c>
      <c r="CA74" s="2" t="e">
        <f ca="1">_xll.BDH($C$53,"BS_LT_BORROW","FQ1 2018","FQ1 2018","Currency=INR","Period=FQ","BEST_FPERIOD_OVERRIDE=FQ","FILING_STATUS=OR","EQY_CONSOLIDATED=Y","SCALING_FORMAT=MLN","Sort=A","Dates=H","DateFormat=P","Fill=—","Direction=H","UseDPDF=Y")</f>
        <v>#NAME?</v>
      </c>
      <c r="CB74" s="1" t="e">
        <f ca="1">_xll.BDH($C$53,"TOT_DEBT_TO_EBITDA","FQ1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74" s="1" t="e">
        <f ca="1">_xll.BDH($C$53,"NET_DEBT_TO_EBITDA","FQ1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74" s="1" t="e">
        <f ca="1">_xll.BDH($C$53,"TOTAL_DEBT_TO_EBIT","FQ1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74" s="1" t="e">
        <f ca="1">_xll.BDH($C$53,"NET_DEBT_TO_EBIT","FQ1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74" s="1" t="e">
        <f ca="1">_xll.BDH($C$53,"EBITDA_TO_INTEREST_EXPN","FQ1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74" s="1" t="e">
        <f ca="1">_xll.BDH($C$53,"COM_EQY_TO_TOT_ASSET","FQ1 2018","FQ1 2018","Currency=INR","Period=FQ","BEST_FPERIOD_OVERRIDE=FQ","FILING_STATUS=OR","EQY_CONSOLIDATED=Y","Sort=A","Dates=H","DateFormat=P","Fill=—","Direction=H","UseDPDF=Y")</f>
        <v>#NAME?</v>
      </c>
      <c r="CH74" s="1" t="e">
        <f ca="1">_xll.BDH($C$53,"LT_DEBT_TO_TOT_EQY","FQ1 2018","FQ1 2018","Currency=INR","Period=FQ","BEST_FPERIOD_OVERRIDE=FQ","FILING_STATUS=OR","EQY_CONSOLIDATED=Y","Sort=A","Dates=H","DateFormat=P","Fill=—","Direction=H","UseDPDF=Y")</f>
        <v>#NAME?</v>
      </c>
      <c r="CI74" s="1" t="e">
        <f ca="1">_xll.BDH($C$53,"LT_DEBT_TO_TOT_CAP","FQ1 2018","FQ1 2018","Currency=INR","Period=FQ","BEST_FPERIOD_OVERRIDE=FQ","FILING_STATUS=OR","EQY_CONSOLIDATED=Y","Sort=A","Dates=H","DateFormat=P","Fill=—","Direction=H","UseDPDF=Y")</f>
        <v>#NAME?</v>
      </c>
      <c r="CJ74" s="1" t="e">
        <f ca="1">_xll.BDH($C$53,"LT_DEBT_TO_TOT_ASSET","FQ1 2018","FQ1 2018","Currency=INR","Period=FQ","BEST_FPERIOD_OVERRIDE=FQ","FILING_STATUS=OR","EQY_CONSOLIDATED=Y","Sort=A","Dates=H","DateFormat=P","Fill=—","Direction=H","UseDPDF=Y")</f>
        <v>#NAME?</v>
      </c>
      <c r="CK74" s="1" t="e">
        <f ca="1">_xll.BDH($C$53,"TOT_DEBT_TO_TOT_EQY","FQ1 2018","FQ1 2018","Currency=INR","Period=FQ","BEST_FPERIOD_OVERRIDE=FQ","FILING_STATUS=OR","EQY_CONSOLIDATED=Y","Sort=A","Dates=H","DateFormat=P","Fill=—","Direction=H","UseDPDF=Y")</f>
        <v>#NAME?</v>
      </c>
      <c r="CL74" s="1" t="e">
        <f ca="1">_xll.BDH($C$53,"TOT_DEBT_TO_TOT_CAP","FQ1 2018","FQ1 2018","Currency=INR","Period=FQ","BEST_FPERIOD_OVERRIDE=FQ","FILING_STATUS=OR","EQY_CONSOLIDATED=Y","Sort=A","Dates=H","DateFormat=P","Fill=—","Direction=H","UseDPDF=Y")</f>
        <v>#NAME?</v>
      </c>
      <c r="CM74" s="1" t="e">
        <f ca="1">_xll.BDH($C$53,"TOT_DEBT_TO_TOT_ASSET","FQ1 2018","FQ1 2018","Currency=INR","Period=FQ","BEST_FPERIOD_OVERRIDE=FQ","FILING_STATUS=OR","EQY_CONSOLIDATED=Y","Sort=A","Dates=H","DateFormat=P","Fill=—","Direction=H","UseDPDF=Y")</f>
        <v>#NAME?</v>
      </c>
      <c r="CN74" s="1" t="e">
        <f ca="1">_xll.BDH($C$53,"NET_DEBT_TO_SHRHLDR_EQTY","FQ1 2018","FQ1 2018","Currency=INR","Period=FQ","BEST_FPERIOD_OVERRIDE=FQ","FILING_STATUS=OR","EQY_CONSOLIDATED=Y","Sort=A","Dates=H","DateFormat=P","Fill=—","Direction=H","UseDPDF=Y")</f>
        <v>#NAME?</v>
      </c>
      <c r="CO74" s="1" t="e">
        <f ca="1">_xll.BDH($C$53,"NET_DEBT_%_CAPITAL","FQ1 2018","FQ1 2018","Currency=INR","Period=FQ","BEST_FPERIOD_OVERRIDE=FQ","FILING_STATUS=OR","EQY_CONSOLIDATED=Y","Sort=A","Dates=H","DateFormat=P","Fill=—","Direction=H","UseDPDF=Y")</f>
        <v>#NAME?</v>
      </c>
      <c r="CP74" s="2" t="e">
        <f ca="1">_xll.BDH($C$53,"EBITDA","FQ1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74" s="2" t="e">
        <f ca="1">_xll.BDH($C$53,"EBITDA_AFTER_CAPEX","FQ1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74" s="2" t="e">
        <f ca="1">_xll.BDH($C$53,"IS_OPER_INC","FQ1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74" s="1" t="e">
        <f ca="1">_xll.BDH($C$53,"CASH_RATIO","FQ1 2018","FQ1 2018","Currency=INR","Period=FQ","BEST_FPERIOD_OVERRIDE=FQ","FILING_STATUS=OR","EQY_CONSOLIDATED=Y","Sort=A","Dates=H","DateFormat=P","Fill=—","Direction=H","UseDPDF=Y")</f>
        <v>#NAME?</v>
      </c>
      <c r="CT74" s="1" t="e">
        <f ca="1">_xll.BDH($C$53,"CUR_RATIO","FQ1 2018","FQ1 2018","Currency=INR","Period=FQ","BEST_FPERIOD_OVERRIDE=FQ","FILING_STATUS=OR","EQY_CONSOLIDATED=Y","Sort=A","Dates=H","DateFormat=P","Fill=—","Direction=H","UseDPDF=Y")</f>
        <v>#NAME?</v>
      </c>
      <c r="CU74" s="1" t="e">
        <f ca="1">_xll.BDH($C$53,"QUICK_RATIO","FQ1 2018","FQ1 2018","Currency=INR","Period=FQ","BEST_FPERIOD_OVERRIDE=FQ","FILING_STATUS=OR","EQY_CONSOLIDATED=Y","Sort=A","Dates=H","DateFormat=P","Fill=—","Direction=H","UseDPDF=Y")</f>
        <v>#NAME?</v>
      </c>
      <c r="CV74" s="1" t="e">
        <f ca="1">_xll.BDH($C$53,"ALTMAN_Z_SCORE","FQ1 2018","FQ1 2018","Currency=INR","Period=FQ","BEST_FPERIOD_OVERRIDE=FQ","FILING_STATUS=OR","EQY_CONSOLIDATED=Y","Sort=A","Dates=H","DateFormat=P","Fill=—","Direction=H","UseDPDF=Y")</f>
        <v>#NAME?</v>
      </c>
      <c r="CW74" s="3" t="e">
        <f ca="1">_xll.BDH($C$53,"ACCT_RCV_TURN","FQ1 2018","FQ1 2018","Currency=INR","Period=FQ","BEST_FPERIOD_OVERRIDE=FQ","FILING_STATUS=OR","EQY_CONSOLIDATED=Y","FA_ADJUSTED=GAAP","Sort=A","Dates=H","DateFormat=P","Fill=—","Direction=H","UseDPDF=Y")</f>
        <v>#NAME?</v>
      </c>
      <c r="CX74" s="1" t="e">
        <f ca="1">_xll.BDH($C$53,"ACCT_RCV_DAYS","FQ1 2018","FQ1 2018","Currency=INR","Period=FQ","BEST_FPERIOD_OVERRIDE=FQ","FILING_STATUS=OR","EQY_CONSOLIDATED=Y","FA_ADJUSTED=GAAP","Sort=A","Dates=H","DateFormat=P","Fill=—","Direction=H","UseDPDF=Y")</f>
        <v>#NAME?</v>
      </c>
      <c r="CY74" s="3" t="e">
        <f ca="1">_xll.BDH($C$53,"INVENT_TURN","FQ1 2018","FQ1 2018","Currency=INR","Period=FQ","BEST_FPERIOD_OVERRIDE=FQ","FILING_STATUS=OR","EQY_CONSOLIDATED=Y","FA_ADJUSTED=GAAP","Sort=A","Dates=H","DateFormat=P","Fill=—","Direction=H","UseDPDF=Y")</f>
        <v>#NAME?</v>
      </c>
      <c r="CZ74" s="1" t="e">
        <f ca="1">_xll.BDH($C$53,"INVENT_DAYS","FQ1 2018","FQ1 2018","Currency=INR","Period=FQ","BEST_FPERIOD_OVERRIDE=FQ","FILING_STATUS=OR","EQY_CONSOLIDATED=Y","FA_ADJUSTED=GAAP","Sort=A","Dates=H","DateFormat=P","Fill=—","Direction=H","UseDPDF=Y")</f>
        <v>#NAME?</v>
      </c>
      <c r="DA74" s="3" t="e">
        <f ca="1">_xll.BDH($C$53,"ACCOUNTS_PAYABLE_TURNOVER","FQ1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74" s="1" t="e">
        <f ca="1">_xll.BDH($C$53,"ACCOUNTS_PAYABLE_TURNOVER_DAYS","FQ1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74" s="3" t="e">
        <f ca="1">_xll.BDH($C$53,"CASH_CONVERSION_CYCLE","FQ1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74" s="3" t="e">
        <f ca="1">_xll.BDH($C$53,"INV_TO_CASH_DAYS","FQ1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74" s="4" t="e">
        <f ca="1">_xll.BDH($C$53,"BS_INVENTORIES","FQ1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74" s="2" t="e">
        <f ca="1">_xll.BDH($C$53,"INVTRY_RAW_MATERIALS","FQ1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74" s="2" t="e">
        <f ca="1">_xll.BDH($C$53,"INVTRY_IN_PROGRESS","FQ1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74" s="2" t="e">
        <f ca="1">_xll.BDH($C$53,"INVTRY_FINISHED_GOODS","FQ1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74" s="2" t="e">
        <f ca="1">_xll.BDH($C$53,"BS_OTHER_INV","FQ1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75" spans="1:113" x14ac:dyDescent="0.3">
      <c r="A75" s="6"/>
      <c r="B75" s="6"/>
      <c r="C75" s="6"/>
      <c r="D75" s="6"/>
      <c r="E75" t="s">
        <v>5</v>
      </c>
      <c r="F75" t="e">
        <f ca="1">_xll.BDH($C$53,"RETURN_COM_EQY","FQ2 2018","FQ2 2018","Currency=INR","Period=FQ","BEST_FPERIOD_OVERRIDE=FQ","FILING_STATUS=OR","EQY_CONSOLIDATED=Y","FA_ADJUSTED=GAAP","Sort=A","Dates=H","DateFormat=P","Fill=—","Direction=H","UseDPDF=Y")</f>
        <v>#NAME?</v>
      </c>
      <c r="G75" t="e">
        <f ca="1">_xll.BDH($C$53,"RETURN_ON_ASSET","FQ2 2018","FQ2 2018","Currency=INR","Period=FQ","BEST_FPERIOD_OVERRIDE=FQ","FILING_STATUS=OR","EQY_CONSOLIDATED=Y","FA_ADJUSTED=GAAP","Sort=A","Dates=H","DateFormat=P","Fill=—","Direction=H","UseDPDF=Y")</f>
        <v>#NAME?</v>
      </c>
      <c r="H75" t="e">
        <f ca="1">_xll.BDH($C$53,"RETURN_ON_CAP","FQ2 2018","FQ2 2018","Currency=INR","Period=FQ","BEST_FPERIOD_OVERRIDE=FQ","FILING_STATUS=OR","EQY_CONSOLIDATED=Y","FA_ADJUSTED=GAAP","Sort=A","Dates=H","DateFormat=P","Fill=—","Direction=H","UseDPDF=Y")</f>
        <v>#NAME?</v>
      </c>
      <c r="I75" t="e">
        <f ca="1">_xll.BDH($C$53,"RETURN_ON_INV_CAPITAL","FQ2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75" t="e">
        <f ca="1">_xll.BDH($C$53,"EBITDA_TO_REVENUE","FQ2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75" t="e">
        <f ca="1">_xll.BDH($C$53,"OPER_MARGIN","FQ2 2018","FQ2 2018","Currency=INR","Period=FQ","BEST_FPERIOD_OVERRIDE=FQ","FILING_STATUS=OR","EQY_CONSOLIDATED=Y","FA_ADJUSTED=GAAP","Sort=A","Dates=H","DateFormat=P","Fill=—","Direction=H","UseDPDF=Y")</f>
        <v>#NAME?</v>
      </c>
      <c r="L75" t="e">
        <f ca="1">_xll.BDH($C$53,"INCREMENTAL_OPERATING_MARGIN","FQ2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75" t="e">
        <f ca="1">_xll.BDH($C$53,"PRETAX_INC_TO_NET_SALES","FQ2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75" t="e">
        <f ca="1">_xll.BDH($C$53,"INC_BEF_XO_ITEMS_TO_NET_SALES","FQ2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75" t="e">
        <f ca="1">_xll.BDH($C$53,"PROF_MARGIN","FQ2 2018","FQ2 2018","Currency=INR","Period=FQ","BEST_FPERIOD_OVERRIDE=FQ","FILING_STATUS=OR","EQY_CONSOLIDATED=Y","FA_ADJUSTED=GAAP","Sort=A","Dates=H","DateFormat=P","Fill=—","Direction=H","UseDPDF=Y")</f>
        <v>#NAME?</v>
      </c>
      <c r="P75" t="e">
        <f ca="1">_xll.BDH($C$53,"NET_INCOME_TO_COMMON_MARGIN","FQ2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75" t="e">
        <f ca="1">_xll.BDH($C$53,"EFF_TAX_RATE","FQ2 2018","FQ2 2018","Currency=INR","Period=FQ","BEST_FPERIOD_OVERRIDE=FQ","FILING_STATUS=OR","EQY_CONSOLIDATED=Y","FA_ADJUSTED=GAAP","Sort=A","Dates=H","DateFormat=P","Fill=—","Direction=H","UseDPDF=Y")</f>
        <v>#NAME?</v>
      </c>
      <c r="R75" t="e">
        <f ca="1">_xll.BDH($C$53,"DVD_PAYOUT_RATIO","FQ2 2018","FQ2 2018","Currency=INR","Period=FQ","BEST_FPERIOD_OVERRIDE=FQ","FILING_STATUS=OR","EQY_CONSOLIDATED=Y","FA_ADJUSTED=GAAP","Sort=A","Dates=H","DateFormat=P","Fill=—","Direction=H","UseDPDF=Y")</f>
        <v>#NAME?</v>
      </c>
      <c r="S75" t="e">
        <f ca="1">_xll.BDH($C$53,"SUSTAIN_GROWTH_RT","FQ2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75" s="1" t="e">
        <f ca="1">_xll.BDH($C$53,"SALES_GROWTH","FQ2 2018","FQ2 2018","Currency=INR","Period=FQ","BEST_FPERIOD_OVERRIDE=FQ","FILING_STATUS=OR","EQY_CONSOLIDATED=Y","FA_ADJUSTED=GAAP","Sort=A","Dates=H","DateFormat=P","Fill=—","Direction=H","UseDPDF=Y")</f>
        <v>#NAME?</v>
      </c>
      <c r="U75" s="1" t="e">
        <f ca="1">_xll.BDH($C$53,"EBITDA_GROWTH","FQ2 2018","FQ2 2018","Currency=INR","Period=FQ","BEST_FPERIOD_OVERRIDE=FQ","FILING_STATUS=OR","EQY_CONSOLIDATED=Y","FA_ADJUSTED=GAAP","Sort=A","Dates=H","DateFormat=P","Fill=—","Direction=H","UseDPDF=Y")</f>
        <v>#NAME?</v>
      </c>
      <c r="V75" s="1" t="e">
        <f ca="1">_xll.BDH($C$53,"OPER_INC_GROWTH","FQ2 2018","FQ2 2018","Currency=INR","Period=FQ","BEST_FPERIOD_OVERRIDE=FQ","FILING_STATUS=OR","EQY_CONSOLIDATED=Y","FA_ADJUSTED=GAAP","Sort=A","Dates=H","DateFormat=P","Fill=—","Direction=H","UseDPDF=Y")</f>
        <v>#NAME?</v>
      </c>
      <c r="W75" s="1" t="e">
        <f ca="1">_xll.BDH($C$53,"EARN_FOR_COM_GROWTH","FQ2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75" s="1" t="e">
        <f ca="1">_xll.BDH($C$53,"DILUTED_EPS_AFT_XO_ITEMS_GROWTH","FQ2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75" s="1" t="e">
        <f ca="1">_xll.BDH($C$53,"DIVIDEND_PER_SHARE_1_YEAR_GROWTH","FQ2 2018","FQ2 2018","Currency=INR","Period=FQ","BEST_FPERIOD_OVERRIDE=FQ","FILING_STATUS=OR","EQY_CONSOLIDATED=Y","Sort=A","Dates=H","DateFormat=P","Fill=—","Direction=H","UseDPDF=Y")</f>
        <v>#NAME?</v>
      </c>
      <c r="Z75" s="1" t="e">
        <f ca="1">_xll.BDH($C$53,"ACCOUNTS_RECEIVABLE_GROWTH","FQ2 2018","FQ2 2018","Currency=INR","Period=FQ","BEST_FPERIOD_OVERRIDE=FQ","FILING_STATUS=OR","EQY_CONSOLIDATED=Y","Sort=A","Dates=H","DateFormat=P","Fill=—","Direction=H","UseDPDF=Y")</f>
        <v>#NAME?</v>
      </c>
      <c r="AA75" s="1" t="e">
        <f ca="1">_xll.BDH($C$53,"INVENTORY_GROWTH","FQ2 2018","FQ2 2018","Currency=INR","Period=FQ","BEST_FPERIOD_OVERRIDE=FQ","FILING_STATUS=OR","EQY_CONSOLIDATED=Y","Sort=A","Dates=H","DateFormat=P","Fill=—","Direction=H","UseDPDF=Y")</f>
        <v>#NAME?</v>
      </c>
      <c r="AB75" s="1" t="e">
        <f ca="1">_xll.BDH($C$53,"NET_FIXED_ASSETS_1_YEAR_GROWTH","FQ2 2018","FQ2 2018","Currency=INR","Period=FQ","BEST_FPERIOD_OVERRIDE=FQ","FILING_STATUS=OR","EQY_CONSOLIDATED=Y","Sort=A","Dates=H","DateFormat=P","Fill=—","Direction=H","UseDPDF=Y")</f>
        <v>#NAME?</v>
      </c>
      <c r="AC75" s="1" t="e">
        <f ca="1">_xll.BDH($C$53,"ASSET_GROWTH","FQ2 2018","FQ2 2018","Currency=INR","Period=FQ","BEST_FPERIOD_OVERRIDE=FQ","FILING_STATUS=OR","EQY_CONSOLIDATED=Y","Sort=A","Dates=H","DateFormat=P","Fill=—","Direction=H","UseDPDF=Y")</f>
        <v>#NAME?</v>
      </c>
      <c r="AD75" s="1" t="e">
        <f ca="1">_xll.BDH($C$53,"MODIFIED_WORK_CAP_GROWTH","FQ2 2018","FQ2 2018","Currency=INR","Period=FQ","BEST_FPERIOD_OVERRIDE=FQ","FILING_STATUS=OR","EQY_CONSOLIDATED=Y","Sort=A","Dates=H","DateFormat=P","Fill=—","Direction=H","UseDPDF=Y")</f>
        <v>#NAME?</v>
      </c>
      <c r="AE75" s="1" t="e">
        <f ca="1">_xll.BDH($C$53,"WORK_CAP_GROWTH","FQ2 2018","FQ2 2018","Currency=INR","Period=FQ","BEST_FPERIOD_OVERRIDE=FQ","FILING_STATUS=OR","EQY_CONSOLIDATED=Y","Sort=A","Dates=H","DateFormat=P","Fill=—","Direction=H","UseDPDF=Y")</f>
        <v>#NAME?</v>
      </c>
      <c r="AF75" s="1" t="e">
        <f ca="1">_xll.BDH($C$53,"ACCOUNTS_PAYABLE_GROWTH_1YR","FQ2 2018","FQ2 2018","Currency=INR","Period=FQ","BEST_FPERIOD_OVERRIDE=FQ","FILING_STATUS=OR","EQY_CONSOLIDATED=Y","Sort=A","Dates=H","DateFormat=P","Fill=—","Direction=H","UseDPDF=Y")</f>
        <v>#NAME?</v>
      </c>
      <c r="AG75" s="1" t="e">
        <f ca="1">_xll.BDH($C$53,"SHORT_TERM_DEBT_1_YEAR_GROWTH","FQ2 2018","FQ2 2018","Currency=INR","Period=FQ","BEST_FPERIOD_OVERRIDE=FQ","FILING_STATUS=OR","EQY_CONSOLIDATED=Y","Sort=A","Dates=H","DateFormat=P","Fill=—","Direction=H","UseDPDF=Y")</f>
        <v>#NAME?</v>
      </c>
      <c r="AH75" s="1" t="e">
        <f ca="1">_xll.BDH($C$53,"TOTAL_DEBT_1_YEAR_GROWTH","FQ2 2018","FQ2 2018","Currency=INR","Period=FQ","BEST_FPERIOD_OVERRIDE=FQ","FILING_STATUS=OR","EQY_CONSOLIDATED=Y","Sort=A","Dates=H","DateFormat=P","Fill=—","Direction=H","UseDPDF=Y")</f>
        <v>#NAME?</v>
      </c>
      <c r="AI75" s="1" t="e">
        <f ca="1">_xll.BDH($C$53,"TOTAL_EQUITY_1_YEAR_GROWTH","FQ2 2018","FQ2 2018","Currency=INR","Period=FQ","BEST_FPERIOD_OVERRIDE=FQ","FILING_STATUS=OR","EQY_CONSOLIDATED=Y","Sort=A","Dates=H","DateFormat=P","Fill=—","Direction=H","UseDPDF=Y")</f>
        <v>#NAME?</v>
      </c>
      <c r="AJ75" s="1" t="e">
        <f ca="1">_xll.BDH($C$53,"GROWTH_IN_CAP","FQ2 2018","FQ2 2018","Currency=INR","Period=FQ","BEST_FPERIOD_OVERRIDE=FQ","FILING_STATUS=OR","EQY_CONSOLIDATED=Y","Sort=A","Dates=H","DateFormat=P","Fill=—","Direction=H","UseDPDF=Y")</f>
        <v>#NAME?</v>
      </c>
      <c r="AK75" s="1" t="e">
        <f ca="1">_xll.BDH($C$53,"BVPS_GROWTH","FQ2 2018","FQ2 2018","Currency=INR","Period=FQ","BEST_FPERIOD_OVERRIDE=FQ","FILING_STATUS=OR","EQY_CONSOLIDATED=Y","Sort=A","Dates=H","DateFormat=P","Fill=—","Direction=H","UseDPDF=Y")</f>
        <v>#NAME?</v>
      </c>
      <c r="AL75" s="1" t="e">
        <f ca="1">_xll.BDH($C$53,"CASH_FLOW_GROWTH","FQ2 2018","FQ2 2018","Currency=INR","Period=FQ","BEST_FPERIOD_OVERRIDE=FQ","FILING_STATUS=OR","EQY_CONSOLIDATED=Y","Sort=A","Dates=H","DateFormat=P","Fill=—","Direction=H","UseDPDF=Y")</f>
        <v>#NAME?</v>
      </c>
      <c r="AM75" s="1" t="e">
        <f ca="1">_xll.BDH($C$53,"GEO_GROW_NET_SALES","FQ2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75" s="1" t="e">
        <f ca="1">_xll.BDH($C$53,"GEO_GROW_EBITDA","FQ2 2018","FQ2 2018","Currency=INR","Period=FQ","BEST_FPERIOD_OVERRIDE=FQ","FILING_STATUS=OR","EQY_CONSOLIDATED=Y","FA_ADJUSTED=GAAP","Sort=A","Dates=H","DateFormat=P","Fill=—","Direction=H","UseDPDF=Y")</f>
        <v>#NAME?</v>
      </c>
      <c r="AO75" s="1" t="e">
        <f ca="1">_xll.BDH($C$53,"GEO_GROW_OPER_INC","FQ2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75" s="1" t="e">
        <f ca="1">_xll.BDH($C$53,"NET_INCOME_TO_COMMON_5_YR_GROWTH","FQ2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75" s="1" t="e">
        <f ca="1">_xll.BDH($C$53,"5Y_GEO_GROWTH_DILUTED_EPS","FQ2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75" s="1" t="e">
        <f ca="1">_xll.BDH($C$53,"GEO_GROW_DVD_PER_SH","FQ2 2018","FQ2 2018","Currency=INR","Period=FQ","BEST_FPERIOD_OVERRIDE=FQ","FILING_STATUS=OR","EQY_CONSOLIDATED=Y","Sort=A","Dates=H","DateFormat=P","Fill=—","Direction=H","UseDPDF=Y")</f>
        <v>#NAME?</v>
      </c>
      <c r="AS75" s="1" t="e">
        <f ca="1">_xll.BDH($C$53,"ACCOUNTS_RECEIVABLE_5_YR_GROWTH","FQ2 2018","FQ2 2018","Currency=INR","Period=FQ","BEST_FPERIOD_OVERRIDE=FQ","FILING_STATUS=OR","EQY_CONSOLIDATED=Y","Sort=A","Dates=H","DateFormat=P","Fill=—","Direction=H","UseDPDF=Y")</f>
        <v>#NAME?</v>
      </c>
      <c r="AT75" s="1" t="e">
        <f ca="1">_xll.BDH($C$53,"INVENTORY_5_YEAR_GROWTH","FQ2 2018","FQ2 2018","Currency=INR","Period=FQ","BEST_FPERIOD_OVERRIDE=FQ","FILING_STATUS=OR","EQY_CONSOLIDATED=Y","Sort=A","Dates=H","DateFormat=P","Fill=—","Direction=H","UseDPDF=Y")</f>
        <v>#NAME?</v>
      </c>
      <c r="AU75" s="1" t="e">
        <f ca="1">_xll.BDH($C$53,"NET_FIXED_ASSETS_5_YEAR_GROWTH","FQ2 2018","FQ2 2018","Currency=INR","Period=FQ","BEST_FPERIOD_OVERRIDE=FQ","FILING_STATUS=OR","EQY_CONSOLIDATED=Y","Sort=A","Dates=H","DateFormat=P","Fill=—","Direction=H","UseDPDF=Y")</f>
        <v>#NAME?</v>
      </c>
      <c r="AV75" s="1" t="e">
        <f ca="1">_xll.BDH($C$53,"GEO_GROW_TOT_ASSET","FQ2 2018","FQ2 2018","Currency=INR","Period=FQ","BEST_FPERIOD_OVERRIDE=FQ","FILING_STATUS=OR","EQY_CONSOLIDATED=Y","Sort=A","Dates=H","DateFormat=P","Fill=—","Direction=H","UseDPDF=Y")</f>
        <v>#NAME?</v>
      </c>
      <c r="AW75" s="1" t="e">
        <f ca="1">_xll.BDH($C$53,"MODIFIED_WORKING_CPTL_5YR_GRWTH","FQ2 2018","FQ2 2018","Currency=INR","Period=FQ","BEST_FPERIOD_OVERRIDE=FQ","FILING_STATUS=OR","EQY_CONSOLIDATED=Y","Sort=A","Dates=H","DateFormat=P","Fill=—","Direction=H","UseDPDF=Y")</f>
        <v>#NAME?</v>
      </c>
      <c r="AX75" s="1" t="e">
        <f ca="1">_xll.BDH($C$53,"WORKING_CAPITAL_5_YEAR_GROWTH","FQ2 2018","FQ2 2018","Currency=INR","Period=FQ","BEST_FPERIOD_OVERRIDE=FQ","FILING_STATUS=OR","EQY_CONSOLIDATED=Y","Sort=A","Dates=H","DateFormat=P","Fill=—","Direction=H","UseDPDF=Y")</f>
        <v>#NAME?</v>
      </c>
      <c r="AY75" s="1" t="e">
        <f ca="1">_xll.BDH($C$53,"ACCOUNTS_PAYABLE_5_YEAR_GROWTH","FQ2 2018","FQ2 2018","Currency=INR","Period=FQ","BEST_FPERIOD_OVERRIDE=FQ","FILING_STATUS=OR","EQY_CONSOLIDATED=Y","Sort=A","Dates=H","DateFormat=P","Fill=—","Direction=H","UseDPDF=Y")</f>
        <v>#NAME?</v>
      </c>
      <c r="AZ75" s="1" t="e">
        <f ca="1">_xll.BDH($C$53,"SHORT_TERM_DEBT_5_YEAR_GROWTH","FQ2 2018","FQ2 2018","Currency=INR","Period=FQ","BEST_FPERIOD_OVERRIDE=FQ","FILING_STATUS=OR","EQY_CONSOLIDATED=Y","Sort=A","Dates=H","DateFormat=P","Fill=—","Direction=H","UseDPDF=Y")</f>
        <v>#NAME?</v>
      </c>
      <c r="BA75" s="1" t="e">
        <f ca="1">_xll.BDH($C$53,"TOTAL_DEBT_5_YEAR_GROWTH","FQ2 2018","FQ2 2018","Currency=INR","Period=FQ","BEST_FPERIOD_OVERRIDE=FQ","FILING_STATUS=OR","EQY_CONSOLIDATED=Y","Sort=A","Dates=H","DateFormat=P","Fill=—","Direction=H","UseDPDF=Y")</f>
        <v>#NAME?</v>
      </c>
      <c r="BB75" s="1" t="e">
        <f ca="1">_xll.BDH($C$53,"GEO_GROW_TOT_SHRHLDR_EQY","FQ2 2018","FQ2 2018","Currency=INR","Period=FQ","BEST_FPERIOD_OVERRIDE=FQ","FILING_STATUS=OR","EQY_CONSOLIDATED=Y","Sort=A","Dates=H","DateFormat=P","Fill=—","Direction=H","UseDPDF=Y")</f>
        <v>#NAME?</v>
      </c>
      <c r="BC75" s="1" t="e">
        <f ca="1">_xll.BDH($C$53,"TOTAL_CAPITAL_5_YEAR_GROWTH","FQ2 2018","FQ2 2018","Currency=INR","Period=FQ","BEST_FPERIOD_OVERRIDE=FQ","FILING_STATUS=OR","EQY_CONSOLIDATED=Y","Sort=A","Dates=H","DateFormat=P","Fill=—","Direction=H","UseDPDF=Y")</f>
        <v>#NAME?</v>
      </c>
      <c r="BD75" s="1" t="e">
        <f ca="1">_xll.BDH($C$53,"GEO_GROW_BOOK_VAL","FQ2 2018","FQ2 2018","Currency=INR","Period=FQ","BEST_FPERIOD_OVERRIDE=FQ","FILING_STATUS=OR","EQY_CONSOLIDATED=Y","Sort=A","Dates=H","DateFormat=P","Fill=—","Direction=H","UseDPDF=Y")</f>
        <v>#NAME?</v>
      </c>
      <c r="BE75" s="1" t="e">
        <f ca="1">_xll.BDH($C$53,"GEO_GROW_CASH_OPER_ACT","FQ2 2018","FQ2 2018","Currency=INR","Period=FQ","BEST_FPERIOD_OVERRIDE=FQ","FILING_STATUS=OR","EQY_CONSOLIDATED=Y","Sort=A","Dates=H","DateFormat=P","Fill=—","Direction=H","UseDPDF=Y")</f>
        <v>#NAME?</v>
      </c>
      <c r="BF75" s="1" t="e">
        <f ca="1">_xll.BDH($C$53,"REVENUE_SEQUENTIAL_GROWTH","FQ2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75" s="1" t="e">
        <f ca="1">_xll.BDH($C$53,"EBITDA_SEQUENTIAL_GROWTH","FQ2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75" s="1" t="e">
        <f ca="1">_xll.BDH($C$53,"OPERATING_INCOME_SEQ_GROWTH","FQ2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75" s="1" t="e">
        <f ca="1">_xll.BDH($C$53,"NET_INCOME_TO_COMMON_SEQ_GROWTH","FQ2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75" s="1" t="e">
        <f ca="1">_xll.BDH($C$53,"EPS_DILUTED_SEQUENTIAL_GROWTH","FQ2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75" s="1" t="e">
        <f ca="1">_xll.BDH($C$53,"DPS_SEQUENTIAL_GROWTH","FQ2 2018","FQ2 2018","Currency=INR","Period=FQ","BEST_FPERIOD_OVERRIDE=FQ","FILING_STATUS=OR","EQY_CONSOLIDATED=Y","Sort=A","Dates=H","DateFormat=P","Fill=—","Direction=H","UseDPDF=Y")</f>
        <v>#NAME?</v>
      </c>
      <c r="BL75" s="1" t="e">
        <f ca="1">_xll.BDH($C$53,"ACCOUNTS_RECEIVABLE_SEQ_GROWTH","FQ2 2018","FQ2 2018","Currency=INR","Period=FQ","BEST_FPERIOD_OVERRIDE=FQ","FILING_STATUS=OR","EQY_CONSOLIDATED=Y","Sort=A","Dates=H","DateFormat=P","Fill=—","Direction=H","UseDPDF=Y")</f>
        <v>#NAME?</v>
      </c>
      <c r="BM75" s="1" t="e">
        <f ca="1">_xll.BDH($C$53,"INVENTORY_SEQUENTIAL_GROWTH","FQ2 2018","FQ2 2018","Currency=INR","Period=FQ","BEST_FPERIOD_OVERRIDE=FQ","FILING_STATUS=OR","EQY_CONSOLIDATED=Y","Sort=A","Dates=H","DateFormat=P","Fill=—","Direction=H","UseDPDF=Y")</f>
        <v>#NAME?</v>
      </c>
      <c r="BN75" s="1" t="e">
        <f ca="1">_xll.BDH($C$53,"FIXED_ASSETS_SEQUENTIAL_GROWTH","FQ2 2018","FQ2 2018","Currency=INR","Period=FQ","BEST_FPERIOD_OVERRIDE=FQ","FILING_STATUS=OR","EQY_CONSOLIDATED=Y","Sort=A","Dates=H","DateFormat=P","Fill=—","Direction=H","UseDPDF=Y")</f>
        <v>#NAME?</v>
      </c>
      <c r="BO75" s="1" t="e">
        <f ca="1">_xll.BDH($C$53,"TOTAL_ASSETS_SEQUENTIAL_GROWTH","FQ2 2018","FQ2 2018","Currency=INR","Period=FQ","BEST_FPERIOD_OVERRIDE=FQ","FILING_STATUS=OR","EQY_CONSOLIDATED=Y","Sort=A","Dates=H","DateFormat=P","Fill=—","Direction=H","UseDPDF=Y")</f>
        <v>#NAME?</v>
      </c>
      <c r="BP75" s="1" t="e">
        <f ca="1">_xll.BDH($C$53,"MODIFIED_WORKING_CPTL_SEQ_GRWTH","FQ2 2018","FQ2 2018","Currency=INR","Period=FQ","BEST_FPERIOD_OVERRIDE=FQ","FILING_STATUS=OR","EQY_CONSOLIDATED=Y","Sort=A","Dates=H","DateFormat=P","Fill=—","Direction=H","UseDPDF=Y")</f>
        <v>#NAME?</v>
      </c>
      <c r="BQ75" s="1" t="e">
        <f ca="1">_xll.BDH($C$53,"WORKING_CAPITAL_SEQ_GROWTH","FQ2 2018","FQ2 2018","Currency=INR","Period=FQ","BEST_FPERIOD_OVERRIDE=FQ","FILING_STATUS=OR","EQY_CONSOLIDATED=Y","Sort=A","Dates=H","DateFormat=P","Fill=—","Direction=H","UseDPDF=Y")</f>
        <v>#NAME?</v>
      </c>
      <c r="BR75" s="1" t="e">
        <f ca="1">_xll.BDH($C$53,"ACCOUNTS_PAYABLE_SEQ_GROWTH","FQ2 2018","FQ2 2018","Currency=INR","Period=FQ","BEST_FPERIOD_OVERRIDE=FQ","FILING_STATUS=OR","EQY_CONSOLIDATED=Y","Sort=A","Dates=H","DateFormat=P","Fill=—","Direction=H","UseDPDF=Y")</f>
        <v>#NAME?</v>
      </c>
      <c r="BS75" s="1" t="e">
        <f ca="1">_xll.BDH($C$53,"ST_DEBT_SEQUENTIAL_GROWTH","FQ2 2018","FQ2 2018","Currency=INR","Period=FQ","BEST_FPERIOD_OVERRIDE=FQ","FILING_STATUS=OR","EQY_CONSOLIDATED=Y","Sort=A","Dates=H","DateFormat=P","Fill=—","Direction=H","UseDPDF=Y")</f>
        <v>#NAME?</v>
      </c>
      <c r="BT75" s="1" t="e">
        <f ca="1">_xll.BDH($C$53,"TOTAL_DEBT_SEQUENTIAL_GROWTH","FQ2 2018","FQ2 2018","Currency=INR","Period=FQ","BEST_FPERIOD_OVERRIDE=FQ","FILING_STATUS=OR","EQY_CONSOLIDATED=Y","Sort=A","Dates=H","DateFormat=P","Fill=—","Direction=H","UseDPDF=Y")</f>
        <v>#NAME?</v>
      </c>
      <c r="BU75" s="1" t="e">
        <f ca="1">_xll.BDH($C$53,"TOTAL_EQUITY_SEQUENTIAL_GROWTH","FQ2 2018","FQ2 2018","Currency=INR","Period=FQ","BEST_FPERIOD_OVERRIDE=FQ","FILING_STATUS=OR","EQY_CONSOLIDATED=Y","Sort=A","Dates=H","DateFormat=P","Fill=—","Direction=H","UseDPDF=Y")</f>
        <v>#NAME?</v>
      </c>
      <c r="BV75" s="1" t="e">
        <f ca="1">_xll.BDH($C$53,"TOTAL_CAPITAL_SEQUENTIAL_GROWTH","FQ2 2018","FQ2 2018","Currency=INR","Period=FQ","BEST_FPERIOD_OVERRIDE=FQ","FILING_STATUS=OR","EQY_CONSOLIDATED=Y","Sort=A","Dates=H","DateFormat=P","Fill=—","Direction=H","UseDPDF=Y")</f>
        <v>#NAME?</v>
      </c>
      <c r="BW75" s="1" t="e">
        <f ca="1">_xll.BDH($C$53,"BPS_SEQUENTIAL_GROWTH","FQ2 2018","FQ2 2018","Currency=INR","Period=FQ","BEST_FPERIOD_OVERRIDE=FQ","FILING_STATUS=OR","EQY_CONSOLIDATED=Y","Sort=A","Dates=H","DateFormat=P","Fill=—","Direction=H","UseDPDF=Y")</f>
        <v>#NAME?</v>
      </c>
      <c r="BX75" s="1" t="e">
        <f ca="1">_xll.BDH($C$53,"CFO_SEQUENTIAL_GROWTH","FQ2 2018","FQ2 2018","Currency=INR","Period=FQ","BEST_FPERIOD_OVERRIDE=FQ","FILING_STATUS=OR","EQY_CONSOLIDATED=Y","Sort=A","Dates=H","DateFormat=P","Fill=—","Direction=H","UseDPDF=Y")</f>
        <v>#NAME?</v>
      </c>
      <c r="BY75" s="2" t="e">
        <f ca="1">_xll.BDH($C$53,"SHORT_AND_LONG_TERM_DEBT","FQ2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75" s="2" t="e">
        <f ca="1">_xll.BDH($C$53,"BS_ST_BORROW","FQ2 2018","FQ2 2018","Currency=INR","Period=FQ","BEST_FPERIOD_OVERRIDE=FQ","FILING_STATUS=OR","EQY_CONSOLIDATED=Y","SCALING_FORMAT=MLN","Sort=A","Dates=H","DateFormat=P","Fill=—","Direction=H","UseDPDF=Y")</f>
        <v>#NAME?</v>
      </c>
      <c r="CA75" s="2" t="e">
        <f ca="1">_xll.BDH($C$53,"BS_LT_BORROW","FQ2 2018","FQ2 2018","Currency=INR","Period=FQ","BEST_FPERIOD_OVERRIDE=FQ","FILING_STATUS=OR","EQY_CONSOLIDATED=Y","SCALING_FORMAT=MLN","Sort=A","Dates=H","DateFormat=P","Fill=—","Direction=H","UseDPDF=Y")</f>
        <v>#NAME?</v>
      </c>
      <c r="CB75" s="1" t="e">
        <f ca="1">_xll.BDH($C$53,"TOT_DEBT_TO_EBITDA","FQ2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75" s="1" t="e">
        <f ca="1">_xll.BDH($C$53,"NET_DEBT_TO_EBITDA","FQ2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75" s="1" t="e">
        <f ca="1">_xll.BDH($C$53,"TOTAL_DEBT_TO_EBIT","FQ2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75" s="1" t="e">
        <f ca="1">_xll.BDH($C$53,"NET_DEBT_TO_EBIT","FQ2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75" s="1" t="e">
        <f ca="1">_xll.BDH($C$53,"EBITDA_TO_INTEREST_EXPN","FQ2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75" s="1" t="e">
        <f ca="1">_xll.BDH($C$53,"COM_EQY_TO_TOT_ASSET","FQ2 2018","FQ2 2018","Currency=INR","Period=FQ","BEST_FPERIOD_OVERRIDE=FQ","FILING_STATUS=OR","EQY_CONSOLIDATED=Y","Sort=A","Dates=H","DateFormat=P","Fill=—","Direction=H","UseDPDF=Y")</f>
        <v>#NAME?</v>
      </c>
      <c r="CH75" s="1" t="e">
        <f ca="1">_xll.BDH($C$53,"LT_DEBT_TO_TOT_EQY","FQ2 2018","FQ2 2018","Currency=INR","Period=FQ","BEST_FPERIOD_OVERRIDE=FQ","FILING_STATUS=OR","EQY_CONSOLIDATED=Y","Sort=A","Dates=H","DateFormat=P","Fill=—","Direction=H","UseDPDF=Y")</f>
        <v>#NAME?</v>
      </c>
      <c r="CI75" s="1" t="e">
        <f ca="1">_xll.BDH($C$53,"LT_DEBT_TO_TOT_CAP","FQ2 2018","FQ2 2018","Currency=INR","Period=FQ","BEST_FPERIOD_OVERRIDE=FQ","FILING_STATUS=OR","EQY_CONSOLIDATED=Y","Sort=A","Dates=H","DateFormat=P","Fill=—","Direction=H","UseDPDF=Y")</f>
        <v>#NAME?</v>
      </c>
      <c r="CJ75" s="1" t="e">
        <f ca="1">_xll.BDH($C$53,"LT_DEBT_TO_TOT_ASSET","FQ2 2018","FQ2 2018","Currency=INR","Period=FQ","BEST_FPERIOD_OVERRIDE=FQ","FILING_STATUS=OR","EQY_CONSOLIDATED=Y","Sort=A","Dates=H","DateFormat=P","Fill=—","Direction=H","UseDPDF=Y")</f>
        <v>#NAME?</v>
      </c>
      <c r="CK75" s="1" t="e">
        <f ca="1">_xll.BDH($C$53,"TOT_DEBT_TO_TOT_EQY","FQ2 2018","FQ2 2018","Currency=INR","Period=FQ","BEST_FPERIOD_OVERRIDE=FQ","FILING_STATUS=OR","EQY_CONSOLIDATED=Y","Sort=A","Dates=H","DateFormat=P","Fill=—","Direction=H","UseDPDF=Y")</f>
        <v>#NAME?</v>
      </c>
      <c r="CL75" s="1" t="e">
        <f ca="1">_xll.BDH($C$53,"TOT_DEBT_TO_TOT_CAP","FQ2 2018","FQ2 2018","Currency=INR","Period=FQ","BEST_FPERIOD_OVERRIDE=FQ","FILING_STATUS=OR","EQY_CONSOLIDATED=Y","Sort=A","Dates=H","DateFormat=P","Fill=—","Direction=H","UseDPDF=Y")</f>
        <v>#NAME?</v>
      </c>
      <c r="CM75" s="1" t="e">
        <f ca="1">_xll.BDH($C$53,"TOT_DEBT_TO_TOT_ASSET","FQ2 2018","FQ2 2018","Currency=INR","Period=FQ","BEST_FPERIOD_OVERRIDE=FQ","FILING_STATUS=OR","EQY_CONSOLIDATED=Y","Sort=A","Dates=H","DateFormat=P","Fill=—","Direction=H","UseDPDF=Y")</f>
        <v>#NAME?</v>
      </c>
      <c r="CN75" s="1" t="e">
        <f ca="1">_xll.BDH($C$53,"NET_DEBT_TO_SHRHLDR_EQTY","FQ2 2018","FQ2 2018","Currency=INR","Period=FQ","BEST_FPERIOD_OVERRIDE=FQ","FILING_STATUS=OR","EQY_CONSOLIDATED=Y","Sort=A","Dates=H","DateFormat=P","Fill=—","Direction=H","UseDPDF=Y")</f>
        <v>#NAME?</v>
      </c>
      <c r="CO75" s="1" t="e">
        <f ca="1">_xll.BDH($C$53,"NET_DEBT_%_CAPITAL","FQ2 2018","FQ2 2018","Currency=INR","Period=FQ","BEST_FPERIOD_OVERRIDE=FQ","FILING_STATUS=OR","EQY_CONSOLIDATED=Y","Sort=A","Dates=H","DateFormat=P","Fill=—","Direction=H","UseDPDF=Y")</f>
        <v>#NAME?</v>
      </c>
      <c r="CP75" s="2" t="e">
        <f ca="1">_xll.BDH($C$53,"EBITDA","FQ2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75" s="2" t="e">
        <f ca="1">_xll.BDH($C$53,"EBITDA_AFTER_CAPEX","FQ2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75" s="2" t="e">
        <f ca="1">_xll.BDH($C$53,"IS_OPER_INC","FQ2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75" s="1" t="e">
        <f ca="1">_xll.BDH($C$53,"CASH_RATIO","FQ2 2018","FQ2 2018","Currency=INR","Period=FQ","BEST_FPERIOD_OVERRIDE=FQ","FILING_STATUS=OR","EQY_CONSOLIDATED=Y","Sort=A","Dates=H","DateFormat=P","Fill=—","Direction=H","UseDPDF=Y")</f>
        <v>#NAME?</v>
      </c>
      <c r="CT75" s="1" t="e">
        <f ca="1">_xll.BDH($C$53,"CUR_RATIO","FQ2 2018","FQ2 2018","Currency=INR","Period=FQ","BEST_FPERIOD_OVERRIDE=FQ","FILING_STATUS=OR","EQY_CONSOLIDATED=Y","Sort=A","Dates=H","DateFormat=P","Fill=—","Direction=H","UseDPDF=Y")</f>
        <v>#NAME?</v>
      </c>
      <c r="CU75" s="1" t="e">
        <f ca="1">_xll.BDH($C$53,"QUICK_RATIO","FQ2 2018","FQ2 2018","Currency=INR","Period=FQ","BEST_FPERIOD_OVERRIDE=FQ","FILING_STATUS=OR","EQY_CONSOLIDATED=Y","Sort=A","Dates=H","DateFormat=P","Fill=—","Direction=H","UseDPDF=Y")</f>
        <v>#NAME?</v>
      </c>
      <c r="CV75" s="1" t="e">
        <f ca="1">_xll.BDH($C$53,"ALTMAN_Z_SCORE","FQ2 2018","FQ2 2018","Currency=INR","Period=FQ","BEST_FPERIOD_OVERRIDE=FQ","FILING_STATUS=OR","EQY_CONSOLIDATED=Y","Sort=A","Dates=H","DateFormat=P","Fill=—","Direction=H","UseDPDF=Y")</f>
        <v>#NAME?</v>
      </c>
      <c r="CW75" s="3" t="e">
        <f ca="1">_xll.BDH($C$53,"ACCT_RCV_TURN","FQ2 2018","FQ2 2018","Currency=INR","Period=FQ","BEST_FPERIOD_OVERRIDE=FQ","FILING_STATUS=OR","EQY_CONSOLIDATED=Y","FA_ADJUSTED=GAAP","Sort=A","Dates=H","DateFormat=P","Fill=—","Direction=H","UseDPDF=Y")</f>
        <v>#NAME?</v>
      </c>
      <c r="CX75" s="1" t="e">
        <f ca="1">_xll.BDH($C$53,"ACCT_RCV_DAYS","FQ2 2018","FQ2 2018","Currency=INR","Period=FQ","BEST_FPERIOD_OVERRIDE=FQ","FILING_STATUS=OR","EQY_CONSOLIDATED=Y","FA_ADJUSTED=GAAP","Sort=A","Dates=H","DateFormat=P","Fill=—","Direction=H","UseDPDF=Y")</f>
        <v>#NAME?</v>
      </c>
      <c r="CY75" s="3" t="e">
        <f ca="1">_xll.BDH($C$53,"INVENT_TURN","FQ2 2018","FQ2 2018","Currency=INR","Period=FQ","BEST_FPERIOD_OVERRIDE=FQ","FILING_STATUS=OR","EQY_CONSOLIDATED=Y","FA_ADJUSTED=GAAP","Sort=A","Dates=H","DateFormat=P","Fill=—","Direction=H","UseDPDF=Y")</f>
        <v>#NAME?</v>
      </c>
      <c r="CZ75" s="1" t="e">
        <f ca="1">_xll.BDH($C$53,"INVENT_DAYS","FQ2 2018","FQ2 2018","Currency=INR","Period=FQ","BEST_FPERIOD_OVERRIDE=FQ","FILING_STATUS=OR","EQY_CONSOLIDATED=Y","FA_ADJUSTED=GAAP","Sort=A","Dates=H","DateFormat=P","Fill=—","Direction=H","UseDPDF=Y")</f>
        <v>#NAME?</v>
      </c>
      <c r="DA75" s="3" t="e">
        <f ca="1">_xll.BDH($C$53,"ACCOUNTS_PAYABLE_TURNOVER","FQ2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75" s="1" t="e">
        <f ca="1">_xll.BDH($C$53,"ACCOUNTS_PAYABLE_TURNOVER_DAYS","FQ2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75" s="3" t="e">
        <f ca="1">_xll.BDH($C$53,"CASH_CONVERSION_CYCLE","FQ2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75" s="3" t="e">
        <f ca="1">_xll.BDH($C$53,"INV_TO_CASH_DAYS","FQ2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75" s="4" t="e">
        <f ca="1">_xll.BDH($C$53,"BS_INVENTORIES","FQ2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75" s="2" t="e">
        <f ca="1">_xll.BDH($C$53,"INVTRY_RAW_MATERIALS","FQ2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75" s="2" t="e">
        <f ca="1">_xll.BDH($C$53,"INVTRY_IN_PROGRESS","FQ2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75" s="2" t="e">
        <f ca="1">_xll.BDH($C$53,"INVTRY_FINISHED_GOODS","FQ2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75" s="2" t="e">
        <f ca="1">_xll.BDH($C$53,"BS_OTHER_INV","FQ2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76" spans="1:113" x14ac:dyDescent="0.3">
      <c r="A76" s="6"/>
      <c r="B76" s="6"/>
      <c r="C76" s="6"/>
      <c r="D76" s="6"/>
      <c r="E76" t="s">
        <v>6</v>
      </c>
      <c r="F76" t="e">
        <f ca="1">_xll.BDH($C$53,"RETURN_COM_EQY","FQ3 2018","FQ3 2018","Currency=INR","Period=FQ","BEST_FPERIOD_OVERRIDE=FQ","FILING_STATUS=OR","EQY_CONSOLIDATED=Y","FA_ADJUSTED=GAAP","Sort=A","Dates=H","DateFormat=P","Fill=—","Direction=H","UseDPDF=Y")</f>
        <v>#NAME?</v>
      </c>
      <c r="G76" t="e">
        <f ca="1">_xll.BDH($C$53,"RETURN_ON_ASSET","FQ3 2018","FQ3 2018","Currency=INR","Period=FQ","BEST_FPERIOD_OVERRIDE=FQ","FILING_STATUS=OR","EQY_CONSOLIDATED=Y","FA_ADJUSTED=GAAP","Sort=A","Dates=H","DateFormat=P","Fill=—","Direction=H","UseDPDF=Y")</f>
        <v>#NAME?</v>
      </c>
      <c r="H76" t="e">
        <f ca="1">_xll.BDH($C$53,"RETURN_ON_CAP","FQ3 2018","FQ3 2018","Currency=INR","Period=FQ","BEST_FPERIOD_OVERRIDE=FQ","FILING_STATUS=OR","EQY_CONSOLIDATED=Y","FA_ADJUSTED=GAAP","Sort=A","Dates=H","DateFormat=P","Fill=—","Direction=H","UseDPDF=Y")</f>
        <v>#NAME?</v>
      </c>
      <c r="I76" t="e">
        <f ca="1">_xll.BDH($C$53,"RETURN_ON_INV_CAPITAL","FQ3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76" t="e">
        <f ca="1">_xll.BDH($C$53,"EBITDA_TO_REVENUE","FQ3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76" t="e">
        <f ca="1">_xll.BDH($C$53,"OPER_MARGIN","FQ3 2018","FQ3 2018","Currency=INR","Period=FQ","BEST_FPERIOD_OVERRIDE=FQ","FILING_STATUS=OR","EQY_CONSOLIDATED=Y","FA_ADJUSTED=GAAP","Sort=A","Dates=H","DateFormat=P","Fill=—","Direction=H","UseDPDF=Y")</f>
        <v>#NAME?</v>
      </c>
      <c r="L76" t="e">
        <f ca="1">_xll.BDH($C$53,"INCREMENTAL_OPERATING_MARGIN","FQ3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76" t="e">
        <f ca="1">_xll.BDH($C$53,"PRETAX_INC_TO_NET_SALES","FQ3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76" t="e">
        <f ca="1">_xll.BDH($C$53,"INC_BEF_XO_ITEMS_TO_NET_SALES","FQ3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76" t="e">
        <f ca="1">_xll.BDH($C$53,"PROF_MARGIN","FQ3 2018","FQ3 2018","Currency=INR","Period=FQ","BEST_FPERIOD_OVERRIDE=FQ","FILING_STATUS=OR","EQY_CONSOLIDATED=Y","FA_ADJUSTED=GAAP","Sort=A","Dates=H","DateFormat=P","Fill=—","Direction=H","UseDPDF=Y")</f>
        <v>#NAME?</v>
      </c>
      <c r="P76" t="e">
        <f ca="1">_xll.BDH($C$53,"NET_INCOME_TO_COMMON_MARGIN","FQ3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76" t="e">
        <f ca="1">_xll.BDH($C$53,"EFF_TAX_RATE","FQ3 2018","FQ3 2018","Currency=INR","Period=FQ","BEST_FPERIOD_OVERRIDE=FQ","FILING_STATUS=OR","EQY_CONSOLIDATED=Y","FA_ADJUSTED=GAAP","Sort=A","Dates=H","DateFormat=P","Fill=—","Direction=H","UseDPDF=Y")</f>
        <v>#NAME?</v>
      </c>
      <c r="R76" t="e">
        <f ca="1">_xll.BDH($C$53,"DVD_PAYOUT_RATIO","FQ3 2018","FQ3 2018","Currency=INR","Period=FQ","BEST_FPERIOD_OVERRIDE=FQ","FILING_STATUS=OR","EQY_CONSOLIDATED=Y","FA_ADJUSTED=GAAP","Sort=A","Dates=H","DateFormat=P","Fill=—","Direction=H","UseDPDF=Y")</f>
        <v>#NAME?</v>
      </c>
      <c r="S76" t="e">
        <f ca="1">_xll.BDH($C$53,"SUSTAIN_GROWTH_RT","FQ3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76" s="1" t="e">
        <f ca="1">_xll.BDH($C$53,"SALES_GROWTH","FQ3 2018","FQ3 2018","Currency=INR","Period=FQ","BEST_FPERIOD_OVERRIDE=FQ","FILING_STATUS=OR","EQY_CONSOLIDATED=Y","FA_ADJUSTED=GAAP","Sort=A","Dates=H","DateFormat=P","Fill=—","Direction=H","UseDPDF=Y")</f>
        <v>#NAME?</v>
      </c>
      <c r="U76" s="1" t="e">
        <f ca="1">_xll.BDH($C$53,"EBITDA_GROWTH","FQ3 2018","FQ3 2018","Currency=INR","Period=FQ","BEST_FPERIOD_OVERRIDE=FQ","FILING_STATUS=OR","EQY_CONSOLIDATED=Y","FA_ADJUSTED=GAAP","Sort=A","Dates=H","DateFormat=P","Fill=—","Direction=H","UseDPDF=Y")</f>
        <v>#NAME?</v>
      </c>
      <c r="V76" s="1" t="e">
        <f ca="1">_xll.BDH($C$53,"OPER_INC_GROWTH","FQ3 2018","FQ3 2018","Currency=INR","Period=FQ","BEST_FPERIOD_OVERRIDE=FQ","FILING_STATUS=OR","EQY_CONSOLIDATED=Y","FA_ADJUSTED=GAAP","Sort=A","Dates=H","DateFormat=P","Fill=—","Direction=H","UseDPDF=Y")</f>
        <v>#NAME?</v>
      </c>
      <c r="W76" s="1" t="e">
        <f ca="1">_xll.BDH($C$53,"EARN_FOR_COM_GROWTH","FQ3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76" s="1" t="e">
        <f ca="1">_xll.BDH($C$53,"DILUTED_EPS_AFT_XO_ITEMS_GROWTH","FQ3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76" s="1" t="e">
        <f ca="1">_xll.BDH($C$53,"DIVIDEND_PER_SHARE_1_YEAR_GROWTH","FQ3 2018","FQ3 2018","Currency=INR","Period=FQ","BEST_FPERIOD_OVERRIDE=FQ","FILING_STATUS=OR","EQY_CONSOLIDATED=Y","Sort=A","Dates=H","DateFormat=P","Fill=—","Direction=H","UseDPDF=Y")</f>
        <v>#NAME?</v>
      </c>
      <c r="Z76" s="1" t="e">
        <f ca="1">_xll.BDH($C$53,"ACCOUNTS_RECEIVABLE_GROWTH","FQ3 2018","FQ3 2018","Currency=INR","Period=FQ","BEST_FPERIOD_OVERRIDE=FQ","FILING_STATUS=OR","EQY_CONSOLIDATED=Y","Sort=A","Dates=H","DateFormat=P","Fill=—","Direction=H","UseDPDF=Y")</f>
        <v>#NAME?</v>
      </c>
      <c r="AA76" s="1" t="e">
        <f ca="1">_xll.BDH($C$53,"INVENTORY_GROWTH","FQ3 2018","FQ3 2018","Currency=INR","Period=FQ","BEST_FPERIOD_OVERRIDE=FQ","FILING_STATUS=OR","EQY_CONSOLIDATED=Y","Sort=A","Dates=H","DateFormat=P","Fill=—","Direction=H","UseDPDF=Y")</f>
        <v>#NAME?</v>
      </c>
      <c r="AB76" s="1" t="e">
        <f ca="1">_xll.BDH($C$53,"NET_FIXED_ASSETS_1_YEAR_GROWTH","FQ3 2018","FQ3 2018","Currency=INR","Period=FQ","BEST_FPERIOD_OVERRIDE=FQ","FILING_STATUS=OR","EQY_CONSOLIDATED=Y","Sort=A","Dates=H","DateFormat=P","Fill=—","Direction=H","UseDPDF=Y")</f>
        <v>#NAME?</v>
      </c>
      <c r="AC76" s="1" t="e">
        <f ca="1">_xll.BDH($C$53,"ASSET_GROWTH","FQ3 2018","FQ3 2018","Currency=INR","Period=FQ","BEST_FPERIOD_OVERRIDE=FQ","FILING_STATUS=OR","EQY_CONSOLIDATED=Y","Sort=A","Dates=H","DateFormat=P","Fill=—","Direction=H","UseDPDF=Y")</f>
        <v>#NAME?</v>
      </c>
      <c r="AD76" s="1" t="e">
        <f ca="1">_xll.BDH($C$53,"MODIFIED_WORK_CAP_GROWTH","FQ3 2018","FQ3 2018","Currency=INR","Period=FQ","BEST_FPERIOD_OVERRIDE=FQ","FILING_STATUS=OR","EQY_CONSOLIDATED=Y","Sort=A","Dates=H","DateFormat=P","Fill=—","Direction=H","UseDPDF=Y")</f>
        <v>#NAME?</v>
      </c>
      <c r="AE76" s="1" t="e">
        <f ca="1">_xll.BDH($C$53,"WORK_CAP_GROWTH","FQ3 2018","FQ3 2018","Currency=INR","Period=FQ","BEST_FPERIOD_OVERRIDE=FQ","FILING_STATUS=OR","EQY_CONSOLIDATED=Y","Sort=A","Dates=H","DateFormat=P","Fill=—","Direction=H","UseDPDF=Y")</f>
        <v>#NAME?</v>
      </c>
      <c r="AF76" s="1" t="e">
        <f ca="1">_xll.BDH($C$53,"ACCOUNTS_PAYABLE_GROWTH_1YR","FQ3 2018","FQ3 2018","Currency=INR","Period=FQ","BEST_FPERIOD_OVERRIDE=FQ","FILING_STATUS=OR","EQY_CONSOLIDATED=Y","Sort=A","Dates=H","DateFormat=P","Fill=—","Direction=H","UseDPDF=Y")</f>
        <v>#NAME?</v>
      </c>
      <c r="AG76" s="1" t="e">
        <f ca="1">_xll.BDH($C$53,"SHORT_TERM_DEBT_1_YEAR_GROWTH","FQ3 2018","FQ3 2018","Currency=INR","Period=FQ","BEST_FPERIOD_OVERRIDE=FQ","FILING_STATUS=OR","EQY_CONSOLIDATED=Y","Sort=A","Dates=H","DateFormat=P","Fill=—","Direction=H","UseDPDF=Y")</f>
        <v>#NAME?</v>
      </c>
      <c r="AH76" s="1" t="e">
        <f ca="1">_xll.BDH($C$53,"TOTAL_DEBT_1_YEAR_GROWTH","FQ3 2018","FQ3 2018","Currency=INR","Period=FQ","BEST_FPERIOD_OVERRIDE=FQ","FILING_STATUS=OR","EQY_CONSOLIDATED=Y","Sort=A","Dates=H","DateFormat=P","Fill=—","Direction=H","UseDPDF=Y")</f>
        <v>#NAME?</v>
      </c>
      <c r="AI76" s="1" t="e">
        <f ca="1">_xll.BDH($C$53,"TOTAL_EQUITY_1_YEAR_GROWTH","FQ3 2018","FQ3 2018","Currency=INR","Period=FQ","BEST_FPERIOD_OVERRIDE=FQ","FILING_STATUS=OR","EQY_CONSOLIDATED=Y","Sort=A","Dates=H","DateFormat=P","Fill=—","Direction=H","UseDPDF=Y")</f>
        <v>#NAME?</v>
      </c>
      <c r="AJ76" s="1" t="e">
        <f ca="1">_xll.BDH($C$53,"GROWTH_IN_CAP","FQ3 2018","FQ3 2018","Currency=INR","Period=FQ","BEST_FPERIOD_OVERRIDE=FQ","FILING_STATUS=OR","EQY_CONSOLIDATED=Y","Sort=A","Dates=H","DateFormat=P","Fill=—","Direction=H","UseDPDF=Y")</f>
        <v>#NAME?</v>
      </c>
      <c r="AK76" s="1" t="e">
        <f ca="1">_xll.BDH($C$53,"BVPS_GROWTH","FQ3 2018","FQ3 2018","Currency=INR","Period=FQ","BEST_FPERIOD_OVERRIDE=FQ","FILING_STATUS=OR","EQY_CONSOLIDATED=Y","Sort=A","Dates=H","DateFormat=P","Fill=—","Direction=H","UseDPDF=Y")</f>
        <v>#NAME?</v>
      </c>
      <c r="AL76" s="1" t="e">
        <f ca="1">_xll.BDH($C$53,"CASH_FLOW_GROWTH","FQ3 2018","FQ3 2018","Currency=INR","Period=FQ","BEST_FPERIOD_OVERRIDE=FQ","FILING_STATUS=OR","EQY_CONSOLIDATED=Y","Sort=A","Dates=H","DateFormat=P","Fill=—","Direction=H","UseDPDF=Y")</f>
        <v>#NAME?</v>
      </c>
      <c r="AM76" s="1" t="e">
        <f ca="1">_xll.BDH($C$53,"GEO_GROW_NET_SALES","FQ3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76" s="1" t="e">
        <f ca="1">_xll.BDH($C$53,"GEO_GROW_EBITDA","FQ3 2018","FQ3 2018","Currency=INR","Period=FQ","BEST_FPERIOD_OVERRIDE=FQ","FILING_STATUS=OR","EQY_CONSOLIDATED=Y","FA_ADJUSTED=GAAP","Sort=A","Dates=H","DateFormat=P","Fill=—","Direction=H","UseDPDF=Y")</f>
        <v>#NAME?</v>
      </c>
      <c r="AO76" s="1" t="e">
        <f ca="1">_xll.BDH($C$53,"GEO_GROW_OPER_INC","FQ3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76" s="1" t="e">
        <f ca="1">_xll.BDH($C$53,"NET_INCOME_TO_COMMON_5_YR_GROWTH","FQ3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76" s="1" t="e">
        <f ca="1">_xll.BDH($C$53,"5Y_GEO_GROWTH_DILUTED_EPS","FQ3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76" s="1" t="e">
        <f ca="1">_xll.BDH($C$53,"GEO_GROW_DVD_PER_SH","FQ3 2018","FQ3 2018","Currency=INR","Period=FQ","BEST_FPERIOD_OVERRIDE=FQ","FILING_STATUS=OR","EQY_CONSOLIDATED=Y","Sort=A","Dates=H","DateFormat=P","Fill=—","Direction=H","UseDPDF=Y")</f>
        <v>#NAME?</v>
      </c>
      <c r="AS76" s="1" t="e">
        <f ca="1">_xll.BDH($C$53,"ACCOUNTS_RECEIVABLE_5_YR_GROWTH","FQ3 2018","FQ3 2018","Currency=INR","Period=FQ","BEST_FPERIOD_OVERRIDE=FQ","FILING_STATUS=OR","EQY_CONSOLIDATED=Y","Sort=A","Dates=H","DateFormat=P","Fill=—","Direction=H","UseDPDF=Y")</f>
        <v>#NAME?</v>
      </c>
      <c r="AT76" s="1" t="e">
        <f ca="1">_xll.BDH($C$53,"INVENTORY_5_YEAR_GROWTH","FQ3 2018","FQ3 2018","Currency=INR","Period=FQ","BEST_FPERIOD_OVERRIDE=FQ","FILING_STATUS=OR","EQY_CONSOLIDATED=Y","Sort=A","Dates=H","DateFormat=P","Fill=—","Direction=H","UseDPDF=Y")</f>
        <v>#NAME?</v>
      </c>
      <c r="AU76" s="1" t="e">
        <f ca="1">_xll.BDH($C$53,"NET_FIXED_ASSETS_5_YEAR_GROWTH","FQ3 2018","FQ3 2018","Currency=INR","Period=FQ","BEST_FPERIOD_OVERRIDE=FQ","FILING_STATUS=OR","EQY_CONSOLIDATED=Y","Sort=A","Dates=H","DateFormat=P","Fill=—","Direction=H","UseDPDF=Y")</f>
        <v>#NAME?</v>
      </c>
      <c r="AV76" s="1" t="e">
        <f ca="1">_xll.BDH($C$53,"GEO_GROW_TOT_ASSET","FQ3 2018","FQ3 2018","Currency=INR","Period=FQ","BEST_FPERIOD_OVERRIDE=FQ","FILING_STATUS=OR","EQY_CONSOLIDATED=Y","Sort=A","Dates=H","DateFormat=P","Fill=—","Direction=H","UseDPDF=Y")</f>
        <v>#NAME?</v>
      </c>
      <c r="AW76" s="1" t="e">
        <f ca="1">_xll.BDH($C$53,"MODIFIED_WORKING_CPTL_5YR_GRWTH","FQ3 2018","FQ3 2018","Currency=INR","Period=FQ","BEST_FPERIOD_OVERRIDE=FQ","FILING_STATUS=OR","EQY_CONSOLIDATED=Y","Sort=A","Dates=H","DateFormat=P","Fill=—","Direction=H","UseDPDF=Y")</f>
        <v>#NAME?</v>
      </c>
      <c r="AX76" s="1" t="e">
        <f ca="1">_xll.BDH($C$53,"WORKING_CAPITAL_5_YEAR_GROWTH","FQ3 2018","FQ3 2018","Currency=INR","Period=FQ","BEST_FPERIOD_OVERRIDE=FQ","FILING_STATUS=OR","EQY_CONSOLIDATED=Y","Sort=A","Dates=H","DateFormat=P","Fill=—","Direction=H","UseDPDF=Y")</f>
        <v>#NAME?</v>
      </c>
      <c r="AY76" s="1" t="e">
        <f ca="1">_xll.BDH($C$53,"ACCOUNTS_PAYABLE_5_YEAR_GROWTH","FQ3 2018","FQ3 2018","Currency=INR","Period=FQ","BEST_FPERIOD_OVERRIDE=FQ","FILING_STATUS=OR","EQY_CONSOLIDATED=Y","Sort=A","Dates=H","DateFormat=P","Fill=—","Direction=H","UseDPDF=Y")</f>
        <v>#NAME?</v>
      </c>
      <c r="AZ76" s="1" t="e">
        <f ca="1">_xll.BDH($C$53,"SHORT_TERM_DEBT_5_YEAR_GROWTH","FQ3 2018","FQ3 2018","Currency=INR","Period=FQ","BEST_FPERIOD_OVERRIDE=FQ","FILING_STATUS=OR","EQY_CONSOLIDATED=Y","Sort=A","Dates=H","DateFormat=P","Fill=—","Direction=H","UseDPDF=Y")</f>
        <v>#NAME?</v>
      </c>
      <c r="BA76" s="1" t="e">
        <f ca="1">_xll.BDH($C$53,"TOTAL_DEBT_5_YEAR_GROWTH","FQ3 2018","FQ3 2018","Currency=INR","Period=FQ","BEST_FPERIOD_OVERRIDE=FQ","FILING_STATUS=OR","EQY_CONSOLIDATED=Y","Sort=A","Dates=H","DateFormat=P","Fill=—","Direction=H","UseDPDF=Y")</f>
        <v>#NAME?</v>
      </c>
      <c r="BB76" s="1" t="e">
        <f ca="1">_xll.BDH($C$53,"GEO_GROW_TOT_SHRHLDR_EQY","FQ3 2018","FQ3 2018","Currency=INR","Period=FQ","BEST_FPERIOD_OVERRIDE=FQ","FILING_STATUS=OR","EQY_CONSOLIDATED=Y","Sort=A","Dates=H","DateFormat=P","Fill=—","Direction=H","UseDPDF=Y")</f>
        <v>#NAME?</v>
      </c>
      <c r="BC76" s="1" t="e">
        <f ca="1">_xll.BDH($C$53,"TOTAL_CAPITAL_5_YEAR_GROWTH","FQ3 2018","FQ3 2018","Currency=INR","Period=FQ","BEST_FPERIOD_OVERRIDE=FQ","FILING_STATUS=OR","EQY_CONSOLIDATED=Y","Sort=A","Dates=H","DateFormat=P","Fill=—","Direction=H","UseDPDF=Y")</f>
        <v>#NAME?</v>
      </c>
      <c r="BD76" s="1" t="e">
        <f ca="1">_xll.BDH($C$53,"GEO_GROW_BOOK_VAL","FQ3 2018","FQ3 2018","Currency=INR","Period=FQ","BEST_FPERIOD_OVERRIDE=FQ","FILING_STATUS=OR","EQY_CONSOLIDATED=Y","Sort=A","Dates=H","DateFormat=P","Fill=—","Direction=H","UseDPDF=Y")</f>
        <v>#NAME?</v>
      </c>
      <c r="BE76" s="1" t="e">
        <f ca="1">_xll.BDH($C$53,"GEO_GROW_CASH_OPER_ACT","FQ3 2018","FQ3 2018","Currency=INR","Period=FQ","BEST_FPERIOD_OVERRIDE=FQ","FILING_STATUS=OR","EQY_CONSOLIDATED=Y","Sort=A","Dates=H","DateFormat=P","Fill=—","Direction=H","UseDPDF=Y")</f>
        <v>#NAME?</v>
      </c>
      <c r="BF76" s="1" t="e">
        <f ca="1">_xll.BDH($C$53,"REVENUE_SEQUENTIAL_GROWTH","FQ3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76" s="1" t="e">
        <f ca="1">_xll.BDH($C$53,"EBITDA_SEQUENTIAL_GROWTH","FQ3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76" s="1" t="e">
        <f ca="1">_xll.BDH($C$53,"OPERATING_INCOME_SEQ_GROWTH","FQ3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76" s="1" t="e">
        <f ca="1">_xll.BDH($C$53,"NET_INCOME_TO_COMMON_SEQ_GROWTH","FQ3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76" s="1" t="e">
        <f ca="1">_xll.BDH($C$53,"EPS_DILUTED_SEQUENTIAL_GROWTH","FQ3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76" s="1" t="e">
        <f ca="1">_xll.BDH($C$53,"DPS_SEQUENTIAL_GROWTH","FQ3 2018","FQ3 2018","Currency=INR","Period=FQ","BEST_FPERIOD_OVERRIDE=FQ","FILING_STATUS=OR","EQY_CONSOLIDATED=Y","Sort=A","Dates=H","DateFormat=P","Fill=—","Direction=H","UseDPDF=Y")</f>
        <v>#NAME?</v>
      </c>
      <c r="BL76" s="1" t="e">
        <f ca="1">_xll.BDH($C$53,"ACCOUNTS_RECEIVABLE_SEQ_GROWTH","FQ3 2018","FQ3 2018","Currency=INR","Period=FQ","BEST_FPERIOD_OVERRIDE=FQ","FILING_STATUS=OR","EQY_CONSOLIDATED=Y","Sort=A","Dates=H","DateFormat=P","Fill=—","Direction=H","UseDPDF=Y")</f>
        <v>#NAME?</v>
      </c>
      <c r="BM76" s="1" t="e">
        <f ca="1">_xll.BDH($C$53,"INVENTORY_SEQUENTIAL_GROWTH","FQ3 2018","FQ3 2018","Currency=INR","Period=FQ","BEST_FPERIOD_OVERRIDE=FQ","FILING_STATUS=OR","EQY_CONSOLIDATED=Y","Sort=A","Dates=H","DateFormat=P","Fill=—","Direction=H","UseDPDF=Y")</f>
        <v>#NAME?</v>
      </c>
      <c r="BN76" s="1" t="e">
        <f ca="1">_xll.BDH($C$53,"FIXED_ASSETS_SEQUENTIAL_GROWTH","FQ3 2018","FQ3 2018","Currency=INR","Period=FQ","BEST_FPERIOD_OVERRIDE=FQ","FILING_STATUS=OR","EQY_CONSOLIDATED=Y","Sort=A","Dates=H","DateFormat=P","Fill=—","Direction=H","UseDPDF=Y")</f>
        <v>#NAME?</v>
      </c>
      <c r="BO76" s="1" t="e">
        <f ca="1">_xll.BDH($C$53,"TOTAL_ASSETS_SEQUENTIAL_GROWTH","FQ3 2018","FQ3 2018","Currency=INR","Period=FQ","BEST_FPERIOD_OVERRIDE=FQ","FILING_STATUS=OR","EQY_CONSOLIDATED=Y","Sort=A","Dates=H","DateFormat=P","Fill=—","Direction=H","UseDPDF=Y")</f>
        <v>#NAME?</v>
      </c>
      <c r="BP76" s="1" t="e">
        <f ca="1">_xll.BDH($C$53,"MODIFIED_WORKING_CPTL_SEQ_GRWTH","FQ3 2018","FQ3 2018","Currency=INR","Period=FQ","BEST_FPERIOD_OVERRIDE=FQ","FILING_STATUS=OR","EQY_CONSOLIDATED=Y","Sort=A","Dates=H","DateFormat=P","Fill=—","Direction=H","UseDPDF=Y")</f>
        <v>#NAME?</v>
      </c>
      <c r="BQ76" s="1" t="e">
        <f ca="1">_xll.BDH($C$53,"WORKING_CAPITAL_SEQ_GROWTH","FQ3 2018","FQ3 2018","Currency=INR","Period=FQ","BEST_FPERIOD_OVERRIDE=FQ","FILING_STATUS=OR","EQY_CONSOLIDATED=Y","Sort=A","Dates=H","DateFormat=P","Fill=—","Direction=H","UseDPDF=Y")</f>
        <v>#NAME?</v>
      </c>
      <c r="BR76" s="1" t="e">
        <f ca="1">_xll.BDH($C$53,"ACCOUNTS_PAYABLE_SEQ_GROWTH","FQ3 2018","FQ3 2018","Currency=INR","Period=FQ","BEST_FPERIOD_OVERRIDE=FQ","FILING_STATUS=OR","EQY_CONSOLIDATED=Y","Sort=A","Dates=H","DateFormat=P","Fill=—","Direction=H","UseDPDF=Y")</f>
        <v>#NAME?</v>
      </c>
      <c r="BS76" s="1" t="e">
        <f ca="1">_xll.BDH($C$53,"ST_DEBT_SEQUENTIAL_GROWTH","FQ3 2018","FQ3 2018","Currency=INR","Period=FQ","BEST_FPERIOD_OVERRIDE=FQ","FILING_STATUS=OR","EQY_CONSOLIDATED=Y","Sort=A","Dates=H","DateFormat=P","Fill=—","Direction=H","UseDPDF=Y")</f>
        <v>#NAME?</v>
      </c>
      <c r="BT76" s="1" t="e">
        <f ca="1">_xll.BDH($C$53,"TOTAL_DEBT_SEQUENTIAL_GROWTH","FQ3 2018","FQ3 2018","Currency=INR","Period=FQ","BEST_FPERIOD_OVERRIDE=FQ","FILING_STATUS=OR","EQY_CONSOLIDATED=Y","Sort=A","Dates=H","DateFormat=P","Fill=—","Direction=H","UseDPDF=Y")</f>
        <v>#NAME?</v>
      </c>
      <c r="BU76" s="1" t="e">
        <f ca="1">_xll.BDH($C$53,"TOTAL_EQUITY_SEQUENTIAL_GROWTH","FQ3 2018","FQ3 2018","Currency=INR","Period=FQ","BEST_FPERIOD_OVERRIDE=FQ","FILING_STATUS=OR","EQY_CONSOLIDATED=Y","Sort=A","Dates=H","DateFormat=P","Fill=—","Direction=H","UseDPDF=Y")</f>
        <v>#NAME?</v>
      </c>
      <c r="BV76" s="1" t="e">
        <f ca="1">_xll.BDH($C$53,"TOTAL_CAPITAL_SEQUENTIAL_GROWTH","FQ3 2018","FQ3 2018","Currency=INR","Period=FQ","BEST_FPERIOD_OVERRIDE=FQ","FILING_STATUS=OR","EQY_CONSOLIDATED=Y","Sort=A","Dates=H","DateFormat=P","Fill=—","Direction=H","UseDPDF=Y")</f>
        <v>#NAME?</v>
      </c>
      <c r="BW76" s="1" t="e">
        <f ca="1">_xll.BDH($C$53,"BPS_SEQUENTIAL_GROWTH","FQ3 2018","FQ3 2018","Currency=INR","Period=FQ","BEST_FPERIOD_OVERRIDE=FQ","FILING_STATUS=OR","EQY_CONSOLIDATED=Y","Sort=A","Dates=H","DateFormat=P","Fill=—","Direction=H","UseDPDF=Y")</f>
        <v>#NAME?</v>
      </c>
      <c r="BX76" s="1" t="e">
        <f ca="1">_xll.BDH($C$53,"CFO_SEQUENTIAL_GROWTH","FQ3 2018","FQ3 2018","Currency=INR","Period=FQ","BEST_FPERIOD_OVERRIDE=FQ","FILING_STATUS=OR","EQY_CONSOLIDATED=Y","Sort=A","Dates=H","DateFormat=P","Fill=—","Direction=H","UseDPDF=Y")</f>
        <v>#NAME?</v>
      </c>
      <c r="BY76" s="2" t="e">
        <f ca="1">_xll.BDH($C$53,"SHORT_AND_LONG_TERM_DEBT","FQ3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76" s="2" t="e">
        <f ca="1">_xll.BDH($C$53,"BS_ST_BORROW","FQ3 2018","FQ3 2018","Currency=INR","Period=FQ","BEST_FPERIOD_OVERRIDE=FQ","FILING_STATUS=OR","EQY_CONSOLIDATED=Y","SCALING_FORMAT=MLN","Sort=A","Dates=H","DateFormat=P","Fill=—","Direction=H","UseDPDF=Y")</f>
        <v>#NAME?</v>
      </c>
      <c r="CA76" s="2" t="e">
        <f ca="1">_xll.BDH($C$53,"BS_LT_BORROW","FQ3 2018","FQ3 2018","Currency=INR","Period=FQ","BEST_FPERIOD_OVERRIDE=FQ","FILING_STATUS=OR","EQY_CONSOLIDATED=Y","SCALING_FORMAT=MLN","Sort=A","Dates=H","DateFormat=P","Fill=—","Direction=H","UseDPDF=Y")</f>
        <v>#NAME?</v>
      </c>
      <c r="CB76" s="1" t="e">
        <f ca="1">_xll.BDH($C$53,"TOT_DEBT_TO_EBITDA","FQ3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76" s="1" t="e">
        <f ca="1">_xll.BDH($C$53,"NET_DEBT_TO_EBITDA","FQ3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76" s="1" t="e">
        <f ca="1">_xll.BDH($C$53,"TOTAL_DEBT_TO_EBIT","FQ3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76" s="1" t="e">
        <f ca="1">_xll.BDH($C$53,"NET_DEBT_TO_EBIT","FQ3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76" s="1" t="e">
        <f ca="1">_xll.BDH($C$53,"EBITDA_TO_INTEREST_EXPN","FQ3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76" s="1" t="e">
        <f ca="1">_xll.BDH($C$53,"COM_EQY_TO_TOT_ASSET","FQ3 2018","FQ3 2018","Currency=INR","Period=FQ","BEST_FPERIOD_OVERRIDE=FQ","FILING_STATUS=OR","EQY_CONSOLIDATED=Y","Sort=A","Dates=H","DateFormat=P","Fill=—","Direction=H","UseDPDF=Y")</f>
        <v>#NAME?</v>
      </c>
      <c r="CH76" s="1" t="e">
        <f ca="1">_xll.BDH($C$53,"LT_DEBT_TO_TOT_EQY","FQ3 2018","FQ3 2018","Currency=INR","Period=FQ","BEST_FPERIOD_OVERRIDE=FQ","FILING_STATUS=OR","EQY_CONSOLIDATED=Y","Sort=A","Dates=H","DateFormat=P","Fill=—","Direction=H","UseDPDF=Y")</f>
        <v>#NAME?</v>
      </c>
      <c r="CI76" s="1" t="e">
        <f ca="1">_xll.BDH($C$53,"LT_DEBT_TO_TOT_CAP","FQ3 2018","FQ3 2018","Currency=INR","Period=FQ","BEST_FPERIOD_OVERRIDE=FQ","FILING_STATUS=OR","EQY_CONSOLIDATED=Y","Sort=A","Dates=H","DateFormat=P","Fill=—","Direction=H","UseDPDF=Y")</f>
        <v>#NAME?</v>
      </c>
      <c r="CJ76" s="1" t="e">
        <f ca="1">_xll.BDH($C$53,"LT_DEBT_TO_TOT_ASSET","FQ3 2018","FQ3 2018","Currency=INR","Period=FQ","BEST_FPERIOD_OVERRIDE=FQ","FILING_STATUS=OR","EQY_CONSOLIDATED=Y","Sort=A","Dates=H","DateFormat=P","Fill=—","Direction=H","UseDPDF=Y")</f>
        <v>#NAME?</v>
      </c>
      <c r="CK76" s="1" t="e">
        <f ca="1">_xll.BDH($C$53,"TOT_DEBT_TO_TOT_EQY","FQ3 2018","FQ3 2018","Currency=INR","Period=FQ","BEST_FPERIOD_OVERRIDE=FQ","FILING_STATUS=OR","EQY_CONSOLIDATED=Y","Sort=A","Dates=H","DateFormat=P","Fill=—","Direction=H","UseDPDF=Y")</f>
        <v>#NAME?</v>
      </c>
      <c r="CL76" s="1" t="e">
        <f ca="1">_xll.BDH($C$53,"TOT_DEBT_TO_TOT_CAP","FQ3 2018","FQ3 2018","Currency=INR","Period=FQ","BEST_FPERIOD_OVERRIDE=FQ","FILING_STATUS=OR","EQY_CONSOLIDATED=Y","Sort=A","Dates=H","DateFormat=P","Fill=—","Direction=H","UseDPDF=Y")</f>
        <v>#NAME?</v>
      </c>
      <c r="CM76" s="1" t="e">
        <f ca="1">_xll.BDH($C$53,"TOT_DEBT_TO_TOT_ASSET","FQ3 2018","FQ3 2018","Currency=INR","Period=FQ","BEST_FPERIOD_OVERRIDE=FQ","FILING_STATUS=OR","EQY_CONSOLIDATED=Y","Sort=A","Dates=H","DateFormat=P","Fill=—","Direction=H","UseDPDF=Y")</f>
        <v>#NAME?</v>
      </c>
      <c r="CN76" s="1" t="e">
        <f ca="1">_xll.BDH($C$53,"NET_DEBT_TO_SHRHLDR_EQTY","FQ3 2018","FQ3 2018","Currency=INR","Period=FQ","BEST_FPERIOD_OVERRIDE=FQ","FILING_STATUS=OR","EQY_CONSOLIDATED=Y","Sort=A","Dates=H","DateFormat=P","Fill=—","Direction=H","UseDPDF=Y")</f>
        <v>#NAME?</v>
      </c>
      <c r="CO76" s="1" t="e">
        <f ca="1">_xll.BDH($C$53,"NET_DEBT_%_CAPITAL","FQ3 2018","FQ3 2018","Currency=INR","Period=FQ","BEST_FPERIOD_OVERRIDE=FQ","FILING_STATUS=OR","EQY_CONSOLIDATED=Y","Sort=A","Dates=H","DateFormat=P","Fill=—","Direction=H","UseDPDF=Y")</f>
        <v>#NAME?</v>
      </c>
      <c r="CP76" s="2" t="e">
        <f ca="1">_xll.BDH($C$53,"EBITDA","FQ3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76" s="2" t="e">
        <f ca="1">_xll.BDH($C$53,"EBITDA_AFTER_CAPEX","FQ3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76" s="2" t="e">
        <f ca="1">_xll.BDH($C$53,"IS_OPER_INC","FQ3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76" s="1" t="e">
        <f ca="1">_xll.BDH($C$53,"CASH_RATIO","FQ3 2018","FQ3 2018","Currency=INR","Period=FQ","BEST_FPERIOD_OVERRIDE=FQ","FILING_STATUS=OR","EQY_CONSOLIDATED=Y","Sort=A","Dates=H","DateFormat=P","Fill=—","Direction=H","UseDPDF=Y")</f>
        <v>#NAME?</v>
      </c>
      <c r="CT76" s="1" t="e">
        <f ca="1">_xll.BDH($C$53,"CUR_RATIO","FQ3 2018","FQ3 2018","Currency=INR","Period=FQ","BEST_FPERIOD_OVERRIDE=FQ","FILING_STATUS=OR","EQY_CONSOLIDATED=Y","Sort=A","Dates=H","DateFormat=P","Fill=—","Direction=H","UseDPDF=Y")</f>
        <v>#NAME?</v>
      </c>
      <c r="CU76" s="1" t="e">
        <f ca="1">_xll.BDH($C$53,"QUICK_RATIO","FQ3 2018","FQ3 2018","Currency=INR","Period=FQ","BEST_FPERIOD_OVERRIDE=FQ","FILING_STATUS=OR","EQY_CONSOLIDATED=Y","Sort=A","Dates=H","DateFormat=P","Fill=—","Direction=H","UseDPDF=Y")</f>
        <v>#NAME?</v>
      </c>
      <c r="CV76" s="1" t="e">
        <f ca="1">_xll.BDH($C$53,"ALTMAN_Z_SCORE","FQ3 2018","FQ3 2018","Currency=INR","Period=FQ","BEST_FPERIOD_OVERRIDE=FQ","FILING_STATUS=OR","EQY_CONSOLIDATED=Y","Sort=A","Dates=H","DateFormat=P","Fill=—","Direction=H","UseDPDF=Y")</f>
        <v>#NAME?</v>
      </c>
      <c r="CW76" s="3" t="e">
        <f ca="1">_xll.BDH($C$53,"ACCT_RCV_TURN","FQ3 2018","FQ3 2018","Currency=INR","Period=FQ","BEST_FPERIOD_OVERRIDE=FQ","FILING_STATUS=OR","EQY_CONSOLIDATED=Y","FA_ADJUSTED=GAAP","Sort=A","Dates=H","DateFormat=P","Fill=—","Direction=H","UseDPDF=Y")</f>
        <v>#NAME?</v>
      </c>
      <c r="CX76" s="1" t="e">
        <f ca="1">_xll.BDH($C$53,"ACCT_RCV_DAYS","FQ3 2018","FQ3 2018","Currency=INR","Period=FQ","BEST_FPERIOD_OVERRIDE=FQ","FILING_STATUS=OR","EQY_CONSOLIDATED=Y","FA_ADJUSTED=GAAP","Sort=A","Dates=H","DateFormat=P","Fill=—","Direction=H","UseDPDF=Y")</f>
        <v>#NAME?</v>
      </c>
      <c r="CY76" s="3" t="e">
        <f ca="1">_xll.BDH($C$53,"INVENT_TURN","FQ3 2018","FQ3 2018","Currency=INR","Period=FQ","BEST_FPERIOD_OVERRIDE=FQ","FILING_STATUS=OR","EQY_CONSOLIDATED=Y","FA_ADJUSTED=GAAP","Sort=A","Dates=H","DateFormat=P","Fill=—","Direction=H","UseDPDF=Y")</f>
        <v>#NAME?</v>
      </c>
      <c r="CZ76" s="1" t="e">
        <f ca="1">_xll.BDH($C$53,"INVENT_DAYS","FQ3 2018","FQ3 2018","Currency=INR","Period=FQ","BEST_FPERIOD_OVERRIDE=FQ","FILING_STATUS=OR","EQY_CONSOLIDATED=Y","FA_ADJUSTED=GAAP","Sort=A","Dates=H","DateFormat=P","Fill=—","Direction=H","UseDPDF=Y")</f>
        <v>#NAME?</v>
      </c>
      <c r="DA76" s="3" t="e">
        <f ca="1">_xll.BDH($C$53,"ACCOUNTS_PAYABLE_TURNOVER","FQ3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76" s="1" t="e">
        <f ca="1">_xll.BDH($C$53,"ACCOUNTS_PAYABLE_TURNOVER_DAYS","FQ3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76" s="3" t="e">
        <f ca="1">_xll.BDH($C$53,"CASH_CONVERSION_CYCLE","FQ3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76" s="3" t="e">
        <f ca="1">_xll.BDH($C$53,"INV_TO_CASH_DAYS","FQ3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76" s="4" t="e">
        <f ca="1">_xll.BDH($C$53,"BS_INVENTORIES","FQ3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76" s="2" t="e">
        <f ca="1">_xll.BDH($C$53,"INVTRY_RAW_MATERIALS","FQ3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76" s="2" t="e">
        <f ca="1">_xll.BDH($C$53,"INVTRY_IN_PROGRESS","FQ3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76" s="2" t="e">
        <f ca="1">_xll.BDH($C$53,"INVTRY_FINISHED_GOODS","FQ3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76" s="2" t="e">
        <f ca="1">_xll.BDH($C$53,"BS_OTHER_INV","FQ3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77" spans="1:113" x14ac:dyDescent="0.3">
      <c r="A77" s="6"/>
      <c r="B77" s="6"/>
      <c r="C77" s="6"/>
      <c r="D77" s="6"/>
      <c r="E77" t="s">
        <v>7</v>
      </c>
      <c r="F77" t="e">
        <f ca="1">_xll.BDH($C$53,"RETURN_COM_EQY","FQ4 2018","FQ4 2018","Currency=INR","Period=FQ","BEST_FPERIOD_OVERRIDE=FQ","FILING_STATUS=OR","EQY_CONSOLIDATED=Y","FA_ADJUSTED=GAAP","Sort=A","Dates=H","DateFormat=P","Fill=—","Direction=H","UseDPDF=Y")</f>
        <v>#NAME?</v>
      </c>
      <c r="G77" t="e">
        <f ca="1">_xll.BDH($C$53,"RETURN_ON_ASSET","FQ4 2018","FQ4 2018","Currency=INR","Period=FQ","BEST_FPERIOD_OVERRIDE=FQ","FILING_STATUS=OR","EQY_CONSOLIDATED=Y","FA_ADJUSTED=GAAP","Sort=A","Dates=H","DateFormat=P","Fill=—","Direction=H","UseDPDF=Y")</f>
        <v>#NAME?</v>
      </c>
      <c r="H77" t="e">
        <f ca="1">_xll.BDH($C$53,"RETURN_ON_CAP","FQ4 2018","FQ4 2018","Currency=INR","Period=FQ","BEST_FPERIOD_OVERRIDE=FQ","FILING_STATUS=OR","EQY_CONSOLIDATED=Y","FA_ADJUSTED=GAAP","Sort=A","Dates=H","DateFormat=P","Fill=—","Direction=H","UseDPDF=Y")</f>
        <v>#NAME?</v>
      </c>
      <c r="I77" t="e">
        <f ca="1">_xll.BDH($C$53,"RETURN_ON_INV_CAPITAL","FQ4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77" t="e">
        <f ca="1">_xll.BDH($C$53,"EBITDA_TO_REVENUE","FQ4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77" t="e">
        <f ca="1">_xll.BDH($C$53,"OPER_MARGIN","FQ4 2018","FQ4 2018","Currency=INR","Period=FQ","BEST_FPERIOD_OVERRIDE=FQ","FILING_STATUS=OR","EQY_CONSOLIDATED=Y","FA_ADJUSTED=GAAP","Sort=A","Dates=H","DateFormat=P","Fill=—","Direction=H","UseDPDF=Y")</f>
        <v>#NAME?</v>
      </c>
      <c r="L77" t="e">
        <f ca="1">_xll.BDH($C$53,"INCREMENTAL_OPERATING_MARGIN","FQ4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77" t="e">
        <f ca="1">_xll.BDH($C$53,"PRETAX_INC_TO_NET_SALES","FQ4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77" t="e">
        <f ca="1">_xll.BDH($C$53,"INC_BEF_XO_ITEMS_TO_NET_SALES","FQ4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77" t="e">
        <f ca="1">_xll.BDH($C$53,"PROF_MARGIN","FQ4 2018","FQ4 2018","Currency=INR","Period=FQ","BEST_FPERIOD_OVERRIDE=FQ","FILING_STATUS=OR","EQY_CONSOLIDATED=Y","FA_ADJUSTED=GAAP","Sort=A","Dates=H","DateFormat=P","Fill=—","Direction=H","UseDPDF=Y")</f>
        <v>#NAME?</v>
      </c>
      <c r="P77" t="e">
        <f ca="1">_xll.BDH($C$53,"NET_INCOME_TO_COMMON_MARGIN","FQ4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77" t="e">
        <f ca="1">_xll.BDH($C$53,"EFF_TAX_RATE","FQ4 2018","FQ4 2018","Currency=INR","Period=FQ","BEST_FPERIOD_OVERRIDE=FQ","FILING_STATUS=OR","EQY_CONSOLIDATED=Y","FA_ADJUSTED=GAAP","Sort=A","Dates=H","DateFormat=P","Fill=—","Direction=H","UseDPDF=Y")</f>
        <v>#NAME?</v>
      </c>
      <c r="R77" t="e">
        <f ca="1">_xll.BDH($C$53,"DVD_PAYOUT_RATIO","FQ4 2018","FQ4 2018","Currency=INR","Period=FQ","BEST_FPERIOD_OVERRIDE=FQ","FILING_STATUS=OR","EQY_CONSOLIDATED=Y","FA_ADJUSTED=GAAP","Sort=A","Dates=H","DateFormat=P","Fill=—","Direction=H","UseDPDF=Y")</f>
        <v>#NAME?</v>
      </c>
      <c r="S77" t="e">
        <f ca="1">_xll.BDH($C$53,"SUSTAIN_GROWTH_RT","FQ4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77" s="1" t="e">
        <f ca="1">_xll.BDH($C$53,"SALES_GROWTH","FQ4 2018","FQ4 2018","Currency=INR","Period=FQ","BEST_FPERIOD_OVERRIDE=FQ","FILING_STATUS=OR","EQY_CONSOLIDATED=Y","FA_ADJUSTED=GAAP","Sort=A","Dates=H","DateFormat=P","Fill=—","Direction=H","UseDPDF=Y")</f>
        <v>#NAME?</v>
      </c>
      <c r="U77" s="1" t="e">
        <f ca="1">_xll.BDH($C$53,"EBITDA_GROWTH","FQ4 2018","FQ4 2018","Currency=INR","Period=FQ","BEST_FPERIOD_OVERRIDE=FQ","FILING_STATUS=OR","EQY_CONSOLIDATED=Y","FA_ADJUSTED=GAAP","Sort=A","Dates=H","DateFormat=P","Fill=—","Direction=H","UseDPDF=Y")</f>
        <v>#NAME?</v>
      </c>
      <c r="V77" s="1" t="e">
        <f ca="1">_xll.BDH($C$53,"OPER_INC_GROWTH","FQ4 2018","FQ4 2018","Currency=INR","Period=FQ","BEST_FPERIOD_OVERRIDE=FQ","FILING_STATUS=OR","EQY_CONSOLIDATED=Y","FA_ADJUSTED=GAAP","Sort=A","Dates=H","DateFormat=P","Fill=—","Direction=H","UseDPDF=Y")</f>
        <v>#NAME?</v>
      </c>
      <c r="W77" s="1" t="e">
        <f ca="1">_xll.BDH($C$53,"EARN_FOR_COM_GROWTH","FQ4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77" s="1" t="e">
        <f ca="1">_xll.BDH($C$53,"DILUTED_EPS_AFT_XO_ITEMS_GROWTH","FQ4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77" s="1" t="e">
        <f ca="1">_xll.BDH($C$53,"DIVIDEND_PER_SHARE_1_YEAR_GROWTH","FQ4 2018","FQ4 2018","Currency=INR","Period=FQ","BEST_FPERIOD_OVERRIDE=FQ","FILING_STATUS=OR","EQY_CONSOLIDATED=Y","Sort=A","Dates=H","DateFormat=P","Fill=—","Direction=H","UseDPDF=Y")</f>
        <v>#NAME?</v>
      </c>
      <c r="Z77" s="1" t="e">
        <f ca="1">_xll.BDH($C$53,"ACCOUNTS_RECEIVABLE_GROWTH","FQ4 2018","FQ4 2018","Currency=INR","Period=FQ","BEST_FPERIOD_OVERRIDE=FQ","FILING_STATUS=OR","EQY_CONSOLIDATED=Y","Sort=A","Dates=H","DateFormat=P","Fill=—","Direction=H","UseDPDF=Y")</f>
        <v>#NAME?</v>
      </c>
      <c r="AA77" s="1" t="e">
        <f ca="1">_xll.BDH($C$53,"INVENTORY_GROWTH","FQ4 2018","FQ4 2018","Currency=INR","Period=FQ","BEST_FPERIOD_OVERRIDE=FQ","FILING_STATUS=OR","EQY_CONSOLIDATED=Y","Sort=A","Dates=H","DateFormat=P","Fill=—","Direction=H","UseDPDF=Y")</f>
        <v>#NAME?</v>
      </c>
      <c r="AB77" s="1" t="e">
        <f ca="1">_xll.BDH($C$53,"NET_FIXED_ASSETS_1_YEAR_GROWTH","FQ4 2018","FQ4 2018","Currency=INR","Period=FQ","BEST_FPERIOD_OVERRIDE=FQ","FILING_STATUS=OR","EQY_CONSOLIDATED=Y","Sort=A","Dates=H","DateFormat=P","Fill=—","Direction=H","UseDPDF=Y")</f>
        <v>#NAME?</v>
      </c>
      <c r="AC77" s="1" t="e">
        <f ca="1">_xll.BDH($C$53,"ASSET_GROWTH","FQ4 2018","FQ4 2018","Currency=INR","Period=FQ","BEST_FPERIOD_OVERRIDE=FQ","FILING_STATUS=OR","EQY_CONSOLIDATED=Y","Sort=A","Dates=H","DateFormat=P","Fill=—","Direction=H","UseDPDF=Y")</f>
        <v>#NAME?</v>
      </c>
      <c r="AD77" s="1" t="e">
        <f ca="1">_xll.BDH($C$53,"MODIFIED_WORK_CAP_GROWTH","FQ4 2018","FQ4 2018","Currency=INR","Period=FQ","BEST_FPERIOD_OVERRIDE=FQ","FILING_STATUS=OR","EQY_CONSOLIDATED=Y","Sort=A","Dates=H","DateFormat=P","Fill=—","Direction=H","UseDPDF=Y")</f>
        <v>#NAME?</v>
      </c>
      <c r="AE77" s="1" t="e">
        <f ca="1">_xll.BDH($C$53,"WORK_CAP_GROWTH","FQ4 2018","FQ4 2018","Currency=INR","Period=FQ","BEST_FPERIOD_OVERRIDE=FQ","FILING_STATUS=OR","EQY_CONSOLIDATED=Y","Sort=A","Dates=H","DateFormat=P","Fill=—","Direction=H","UseDPDF=Y")</f>
        <v>#NAME?</v>
      </c>
      <c r="AF77" s="1" t="e">
        <f ca="1">_xll.BDH($C$53,"ACCOUNTS_PAYABLE_GROWTH_1YR","FQ4 2018","FQ4 2018","Currency=INR","Period=FQ","BEST_FPERIOD_OVERRIDE=FQ","FILING_STATUS=OR","EQY_CONSOLIDATED=Y","Sort=A","Dates=H","DateFormat=P","Fill=—","Direction=H","UseDPDF=Y")</f>
        <v>#NAME?</v>
      </c>
      <c r="AG77" s="1" t="e">
        <f ca="1">_xll.BDH($C$53,"SHORT_TERM_DEBT_1_YEAR_GROWTH","FQ4 2018","FQ4 2018","Currency=INR","Period=FQ","BEST_FPERIOD_OVERRIDE=FQ","FILING_STATUS=OR","EQY_CONSOLIDATED=Y","Sort=A","Dates=H","DateFormat=P","Fill=—","Direction=H","UseDPDF=Y")</f>
        <v>#NAME?</v>
      </c>
      <c r="AH77" s="1" t="e">
        <f ca="1">_xll.BDH($C$53,"TOTAL_DEBT_1_YEAR_GROWTH","FQ4 2018","FQ4 2018","Currency=INR","Period=FQ","BEST_FPERIOD_OVERRIDE=FQ","FILING_STATUS=OR","EQY_CONSOLIDATED=Y","Sort=A","Dates=H","DateFormat=P","Fill=—","Direction=H","UseDPDF=Y")</f>
        <v>#NAME?</v>
      </c>
      <c r="AI77" s="1" t="e">
        <f ca="1">_xll.BDH($C$53,"TOTAL_EQUITY_1_YEAR_GROWTH","FQ4 2018","FQ4 2018","Currency=INR","Period=FQ","BEST_FPERIOD_OVERRIDE=FQ","FILING_STATUS=OR","EQY_CONSOLIDATED=Y","Sort=A","Dates=H","DateFormat=P","Fill=—","Direction=H","UseDPDF=Y")</f>
        <v>#NAME?</v>
      </c>
      <c r="AJ77" s="1" t="e">
        <f ca="1">_xll.BDH($C$53,"GROWTH_IN_CAP","FQ4 2018","FQ4 2018","Currency=INR","Period=FQ","BEST_FPERIOD_OVERRIDE=FQ","FILING_STATUS=OR","EQY_CONSOLIDATED=Y","Sort=A","Dates=H","DateFormat=P","Fill=—","Direction=H","UseDPDF=Y")</f>
        <v>#NAME?</v>
      </c>
      <c r="AK77" s="1" t="e">
        <f ca="1">_xll.BDH($C$53,"BVPS_GROWTH","FQ4 2018","FQ4 2018","Currency=INR","Period=FQ","BEST_FPERIOD_OVERRIDE=FQ","FILING_STATUS=OR","EQY_CONSOLIDATED=Y","Sort=A","Dates=H","DateFormat=P","Fill=—","Direction=H","UseDPDF=Y")</f>
        <v>#NAME?</v>
      </c>
      <c r="AL77" s="1" t="e">
        <f ca="1">_xll.BDH($C$53,"CASH_FLOW_GROWTH","FQ4 2018","FQ4 2018","Currency=INR","Period=FQ","BEST_FPERIOD_OVERRIDE=FQ","FILING_STATUS=OR","EQY_CONSOLIDATED=Y","Sort=A","Dates=H","DateFormat=P","Fill=—","Direction=H","UseDPDF=Y")</f>
        <v>#NAME?</v>
      </c>
      <c r="AM77" s="1" t="e">
        <f ca="1">_xll.BDH($C$53,"GEO_GROW_NET_SALES","FQ4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77" s="1" t="e">
        <f ca="1">_xll.BDH($C$53,"GEO_GROW_EBITDA","FQ4 2018","FQ4 2018","Currency=INR","Period=FQ","BEST_FPERIOD_OVERRIDE=FQ","FILING_STATUS=OR","EQY_CONSOLIDATED=Y","FA_ADJUSTED=GAAP","Sort=A","Dates=H","DateFormat=P","Fill=—","Direction=H","UseDPDF=Y")</f>
        <v>#NAME?</v>
      </c>
      <c r="AO77" s="1" t="e">
        <f ca="1">_xll.BDH($C$53,"GEO_GROW_OPER_INC","FQ4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77" s="1" t="e">
        <f ca="1">_xll.BDH($C$53,"NET_INCOME_TO_COMMON_5_YR_GROWTH","FQ4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77" s="1" t="e">
        <f ca="1">_xll.BDH($C$53,"5Y_GEO_GROWTH_DILUTED_EPS","FQ4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77" s="1" t="e">
        <f ca="1">_xll.BDH($C$53,"GEO_GROW_DVD_PER_SH","FQ4 2018","FQ4 2018","Currency=INR","Period=FQ","BEST_FPERIOD_OVERRIDE=FQ","FILING_STATUS=OR","EQY_CONSOLIDATED=Y","Sort=A","Dates=H","DateFormat=P","Fill=—","Direction=H","UseDPDF=Y")</f>
        <v>#NAME?</v>
      </c>
      <c r="AS77" s="1" t="e">
        <f ca="1">_xll.BDH($C$53,"ACCOUNTS_RECEIVABLE_5_YR_GROWTH","FQ4 2018","FQ4 2018","Currency=INR","Period=FQ","BEST_FPERIOD_OVERRIDE=FQ","FILING_STATUS=OR","EQY_CONSOLIDATED=Y","Sort=A","Dates=H","DateFormat=P","Fill=—","Direction=H","UseDPDF=Y")</f>
        <v>#NAME?</v>
      </c>
      <c r="AT77" s="1" t="e">
        <f ca="1">_xll.BDH($C$53,"INVENTORY_5_YEAR_GROWTH","FQ4 2018","FQ4 2018","Currency=INR","Period=FQ","BEST_FPERIOD_OVERRIDE=FQ","FILING_STATUS=OR","EQY_CONSOLIDATED=Y","Sort=A","Dates=H","DateFormat=P","Fill=—","Direction=H","UseDPDF=Y")</f>
        <v>#NAME?</v>
      </c>
      <c r="AU77" s="1" t="e">
        <f ca="1">_xll.BDH($C$53,"NET_FIXED_ASSETS_5_YEAR_GROWTH","FQ4 2018","FQ4 2018","Currency=INR","Period=FQ","BEST_FPERIOD_OVERRIDE=FQ","FILING_STATUS=OR","EQY_CONSOLIDATED=Y","Sort=A","Dates=H","DateFormat=P","Fill=—","Direction=H","UseDPDF=Y")</f>
        <v>#NAME?</v>
      </c>
      <c r="AV77" s="1" t="e">
        <f ca="1">_xll.BDH($C$53,"GEO_GROW_TOT_ASSET","FQ4 2018","FQ4 2018","Currency=INR","Period=FQ","BEST_FPERIOD_OVERRIDE=FQ","FILING_STATUS=OR","EQY_CONSOLIDATED=Y","Sort=A","Dates=H","DateFormat=P","Fill=—","Direction=H","UseDPDF=Y")</f>
        <v>#NAME?</v>
      </c>
      <c r="AW77" s="1" t="e">
        <f ca="1">_xll.BDH($C$53,"MODIFIED_WORKING_CPTL_5YR_GRWTH","FQ4 2018","FQ4 2018","Currency=INR","Period=FQ","BEST_FPERIOD_OVERRIDE=FQ","FILING_STATUS=OR","EQY_CONSOLIDATED=Y","Sort=A","Dates=H","DateFormat=P","Fill=—","Direction=H","UseDPDF=Y")</f>
        <v>#NAME?</v>
      </c>
      <c r="AX77" s="1" t="e">
        <f ca="1">_xll.BDH($C$53,"WORKING_CAPITAL_5_YEAR_GROWTH","FQ4 2018","FQ4 2018","Currency=INR","Period=FQ","BEST_FPERIOD_OVERRIDE=FQ","FILING_STATUS=OR","EQY_CONSOLIDATED=Y","Sort=A","Dates=H","DateFormat=P","Fill=—","Direction=H","UseDPDF=Y")</f>
        <v>#NAME?</v>
      </c>
      <c r="AY77" s="1" t="e">
        <f ca="1">_xll.BDH($C$53,"ACCOUNTS_PAYABLE_5_YEAR_GROWTH","FQ4 2018","FQ4 2018","Currency=INR","Period=FQ","BEST_FPERIOD_OVERRIDE=FQ","FILING_STATUS=OR","EQY_CONSOLIDATED=Y","Sort=A","Dates=H","DateFormat=P","Fill=—","Direction=H","UseDPDF=Y")</f>
        <v>#NAME?</v>
      </c>
      <c r="AZ77" s="1" t="e">
        <f ca="1">_xll.BDH($C$53,"SHORT_TERM_DEBT_5_YEAR_GROWTH","FQ4 2018","FQ4 2018","Currency=INR","Period=FQ","BEST_FPERIOD_OVERRIDE=FQ","FILING_STATUS=OR","EQY_CONSOLIDATED=Y","Sort=A","Dates=H","DateFormat=P","Fill=—","Direction=H","UseDPDF=Y")</f>
        <v>#NAME?</v>
      </c>
      <c r="BA77" s="1" t="e">
        <f ca="1">_xll.BDH($C$53,"TOTAL_DEBT_5_YEAR_GROWTH","FQ4 2018","FQ4 2018","Currency=INR","Period=FQ","BEST_FPERIOD_OVERRIDE=FQ","FILING_STATUS=OR","EQY_CONSOLIDATED=Y","Sort=A","Dates=H","DateFormat=P","Fill=—","Direction=H","UseDPDF=Y")</f>
        <v>#NAME?</v>
      </c>
      <c r="BB77" s="1" t="e">
        <f ca="1">_xll.BDH($C$53,"GEO_GROW_TOT_SHRHLDR_EQY","FQ4 2018","FQ4 2018","Currency=INR","Period=FQ","BEST_FPERIOD_OVERRIDE=FQ","FILING_STATUS=OR","EQY_CONSOLIDATED=Y","Sort=A","Dates=H","DateFormat=P","Fill=—","Direction=H","UseDPDF=Y")</f>
        <v>#NAME?</v>
      </c>
      <c r="BC77" s="1" t="e">
        <f ca="1">_xll.BDH($C$53,"TOTAL_CAPITAL_5_YEAR_GROWTH","FQ4 2018","FQ4 2018","Currency=INR","Period=FQ","BEST_FPERIOD_OVERRIDE=FQ","FILING_STATUS=OR","EQY_CONSOLIDATED=Y","Sort=A","Dates=H","DateFormat=P","Fill=—","Direction=H","UseDPDF=Y")</f>
        <v>#NAME?</v>
      </c>
      <c r="BD77" s="1" t="e">
        <f ca="1">_xll.BDH($C$53,"GEO_GROW_BOOK_VAL","FQ4 2018","FQ4 2018","Currency=INR","Period=FQ","BEST_FPERIOD_OVERRIDE=FQ","FILING_STATUS=OR","EQY_CONSOLIDATED=Y","Sort=A","Dates=H","DateFormat=P","Fill=—","Direction=H","UseDPDF=Y")</f>
        <v>#NAME?</v>
      </c>
      <c r="BE77" s="1" t="e">
        <f ca="1">_xll.BDH($C$53,"GEO_GROW_CASH_OPER_ACT","FQ4 2018","FQ4 2018","Currency=INR","Period=FQ","BEST_FPERIOD_OVERRIDE=FQ","FILING_STATUS=OR","EQY_CONSOLIDATED=Y","Sort=A","Dates=H","DateFormat=P","Fill=—","Direction=H","UseDPDF=Y")</f>
        <v>#NAME?</v>
      </c>
      <c r="BF77" s="1" t="e">
        <f ca="1">_xll.BDH($C$53,"REVENUE_SEQUENTIAL_GROWTH","FQ4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77" s="1" t="e">
        <f ca="1">_xll.BDH($C$53,"EBITDA_SEQUENTIAL_GROWTH","FQ4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77" s="1" t="e">
        <f ca="1">_xll.BDH($C$53,"OPERATING_INCOME_SEQ_GROWTH","FQ4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77" s="1" t="e">
        <f ca="1">_xll.BDH($C$53,"NET_INCOME_TO_COMMON_SEQ_GROWTH","FQ4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77" s="1" t="e">
        <f ca="1">_xll.BDH($C$53,"EPS_DILUTED_SEQUENTIAL_GROWTH","FQ4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77" s="1" t="e">
        <f ca="1">_xll.BDH($C$53,"DPS_SEQUENTIAL_GROWTH","FQ4 2018","FQ4 2018","Currency=INR","Period=FQ","BEST_FPERIOD_OVERRIDE=FQ","FILING_STATUS=OR","EQY_CONSOLIDATED=Y","Sort=A","Dates=H","DateFormat=P","Fill=—","Direction=H","UseDPDF=Y")</f>
        <v>#NAME?</v>
      </c>
      <c r="BL77" s="1" t="e">
        <f ca="1">_xll.BDH($C$53,"ACCOUNTS_RECEIVABLE_SEQ_GROWTH","FQ4 2018","FQ4 2018","Currency=INR","Period=FQ","BEST_FPERIOD_OVERRIDE=FQ","FILING_STATUS=OR","EQY_CONSOLIDATED=Y","Sort=A","Dates=H","DateFormat=P","Fill=—","Direction=H","UseDPDF=Y")</f>
        <v>#NAME?</v>
      </c>
      <c r="BM77" s="1" t="e">
        <f ca="1">_xll.BDH($C$53,"INVENTORY_SEQUENTIAL_GROWTH","FQ4 2018","FQ4 2018","Currency=INR","Period=FQ","BEST_FPERIOD_OVERRIDE=FQ","FILING_STATUS=OR","EQY_CONSOLIDATED=Y","Sort=A","Dates=H","DateFormat=P","Fill=—","Direction=H","UseDPDF=Y")</f>
        <v>#NAME?</v>
      </c>
      <c r="BN77" s="1" t="e">
        <f ca="1">_xll.BDH($C$53,"FIXED_ASSETS_SEQUENTIAL_GROWTH","FQ4 2018","FQ4 2018","Currency=INR","Period=FQ","BEST_FPERIOD_OVERRIDE=FQ","FILING_STATUS=OR","EQY_CONSOLIDATED=Y","Sort=A","Dates=H","DateFormat=P","Fill=—","Direction=H","UseDPDF=Y")</f>
        <v>#NAME?</v>
      </c>
      <c r="BO77" s="1" t="e">
        <f ca="1">_xll.BDH($C$53,"TOTAL_ASSETS_SEQUENTIAL_GROWTH","FQ4 2018","FQ4 2018","Currency=INR","Period=FQ","BEST_FPERIOD_OVERRIDE=FQ","FILING_STATUS=OR","EQY_CONSOLIDATED=Y","Sort=A","Dates=H","DateFormat=P","Fill=—","Direction=H","UseDPDF=Y")</f>
        <v>#NAME?</v>
      </c>
      <c r="BP77" s="1" t="e">
        <f ca="1">_xll.BDH($C$53,"MODIFIED_WORKING_CPTL_SEQ_GRWTH","FQ4 2018","FQ4 2018","Currency=INR","Period=FQ","BEST_FPERIOD_OVERRIDE=FQ","FILING_STATUS=OR","EQY_CONSOLIDATED=Y","Sort=A","Dates=H","DateFormat=P","Fill=—","Direction=H","UseDPDF=Y")</f>
        <v>#NAME?</v>
      </c>
      <c r="BQ77" s="1" t="e">
        <f ca="1">_xll.BDH($C$53,"WORKING_CAPITAL_SEQ_GROWTH","FQ4 2018","FQ4 2018","Currency=INR","Period=FQ","BEST_FPERIOD_OVERRIDE=FQ","FILING_STATUS=OR","EQY_CONSOLIDATED=Y","Sort=A","Dates=H","DateFormat=P","Fill=—","Direction=H","UseDPDF=Y")</f>
        <v>#NAME?</v>
      </c>
      <c r="BR77" s="1" t="e">
        <f ca="1">_xll.BDH($C$53,"ACCOUNTS_PAYABLE_SEQ_GROWTH","FQ4 2018","FQ4 2018","Currency=INR","Period=FQ","BEST_FPERIOD_OVERRIDE=FQ","FILING_STATUS=OR","EQY_CONSOLIDATED=Y","Sort=A","Dates=H","DateFormat=P","Fill=—","Direction=H","UseDPDF=Y")</f>
        <v>#NAME?</v>
      </c>
      <c r="BS77" s="1" t="e">
        <f ca="1">_xll.BDH($C$53,"ST_DEBT_SEQUENTIAL_GROWTH","FQ4 2018","FQ4 2018","Currency=INR","Period=FQ","BEST_FPERIOD_OVERRIDE=FQ","FILING_STATUS=OR","EQY_CONSOLIDATED=Y","Sort=A","Dates=H","DateFormat=P","Fill=—","Direction=H","UseDPDF=Y")</f>
        <v>#NAME?</v>
      </c>
      <c r="BT77" s="1" t="e">
        <f ca="1">_xll.BDH($C$53,"TOTAL_DEBT_SEQUENTIAL_GROWTH","FQ4 2018","FQ4 2018","Currency=INR","Period=FQ","BEST_FPERIOD_OVERRIDE=FQ","FILING_STATUS=OR","EQY_CONSOLIDATED=Y","Sort=A","Dates=H","DateFormat=P","Fill=—","Direction=H","UseDPDF=Y")</f>
        <v>#NAME?</v>
      </c>
      <c r="BU77" s="1" t="e">
        <f ca="1">_xll.BDH($C$53,"TOTAL_EQUITY_SEQUENTIAL_GROWTH","FQ4 2018","FQ4 2018","Currency=INR","Period=FQ","BEST_FPERIOD_OVERRIDE=FQ","FILING_STATUS=OR","EQY_CONSOLIDATED=Y","Sort=A","Dates=H","DateFormat=P","Fill=—","Direction=H","UseDPDF=Y")</f>
        <v>#NAME?</v>
      </c>
      <c r="BV77" s="1" t="e">
        <f ca="1">_xll.BDH($C$53,"TOTAL_CAPITAL_SEQUENTIAL_GROWTH","FQ4 2018","FQ4 2018","Currency=INR","Period=FQ","BEST_FPERIOD_OVERRIDE=FQ","FILING_STATUS=OR","EQY_CONSOLIDATED=Y","Sort=A","Dates=H","DateFormat=P","Fill=—","Direction=H","UseDPDF=Y")</f>
        <v>#NAME?</v>
      </c>
      <c r="BW77" s="1" t="e">
        <f ca="1">_xll.BDH($C$53,"BPS_SEQUENTIAL_GROWTH","FQ4 2018","FQ4 2018","Currency=INR","Period=FQ","BEST_FPERIOD_OVERRIDE=FQ","FILING_STATUS=OR","EQY_CONSOLIDATED=Y","Sort=A","Dates=H","DateFormat=P","Fill=—","Direction=H","UseDPDF=Y")</f>
        <v>#NAME?</v>
      </c>
      <c r="BX77" s="1" t="e">
        <f ca="1">_xll.BDH($C$53,"CFO_SEQUENTIAL_GROWTH","FQ4 2018","FQ4 2018","Currency=INR","Period=FQ","BEST_FPERIOD_OVERRIDE=FQ","FILING_STATUS=OR","EQY_CONSOLIDATED=Y","Sort=A","Dates=H","DateFormat=P","Fill=—","Direction=H","UseDPDF=Y")</f>
        <v>#NAME?</v>
      </c>
      <c r="BY77" s="2" t="e">
        <f ca="1">_xll.BDH($C$53,"SHORT_AND_LONG_TERM_DEBT","FQ4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77" s="2" t="e">
        <f ca="1">_xll.BDH($C$53,"BS_ST_BORROW","FQ4 2018","FQ4 2018","Currency=INR","Period=FQ","BEST_FPERIOD_OVERRIDE=FQ","FILING_STATUS=OR","EQY_CONSOLIDATED=Y","SCALING_FORMAT=MLN","Sort=A","Dates=H","DateFormat=P","Fill=—","Direction=H","UseDPDF=Y")</f>
        <v>#NAME?</v>
      </c>
      <c r="CA77" s="2" t="e">
        <f ca="1">_xll.BDH($C$53,"BS_LT_BORROW","FQ4 2018","FQ4 2018","Currency=INR","Period=FQ","BEST_FPERIOD_OVERRIDE=FQ","FILING_STATUS=OR","EQY_CONSOLIDATED=Y","SCALING_FORMAT=MLN","Sort=A","Dates=H","DateFormat=P","Fill=—","Direction=H","UseDPDF=Y")</f>
        <v>#NAME?</v>
      </c>
      <c r="CB77" s="1" t="e">
        <f ca="1">_xll.BDH($C$53,"TOT_DEBT_TO_EBITDA","FQ4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77" s="1" t="e">
        <f ca="1">_xll.BDH($C$53,"NET_DEBT_TO_EBITDA","FQ4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77" s="1" t="e">
        <f ca="1">_xll.BDH($C$53,"TOTAL_DEBT_TO_EBIT","FQ4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77" s="1" t="e">
        <f ca="1">_xll.BDH($C$53,"NET_DEBT_TO_EBIT","FQ4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77" s="1" t="e">
        <f ca="1">_xll.BDH($C$53,"EBITDA_TO_INTEREST_EXPN","FQ4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77" s="1" t="e">
        <f ca="1">_xll.BDH($C$53,"COM_EQY_TO_TOT_ASSET","FQ4 2018","FQ4 2018","Currency=INR","Period=FQ","BEST_FPERIOD_OVERRIDE=FQ","FILING_STATUS=OR","EQY_CONSOLIDATED=Y","Sort=A","Dates=H","DateFormat=P","Fill=—","Direction=H","UseDPDF=Y")</f>
        <v>#NAME?</v>
      </c>
      <c r="CH77" s="1" t="e">
        <f ca="1">_xll.BDH($C$53,"LT_DEBT_TO_TOT_EQY","FQ4 2018","FQ4 2018","Currency=INR","Period=FQ","BEST_FPERIOD_OVERRIDE=FQ","FILING_STATUS=OR","EQY_CONSOLIDATED=Y","Sort=A","Dates=H","DateFormat=P","Fill=—","Direction=H","UseDPDF=Y")</f>
        <v>#NAME?</v>
      </c>
      <c r="CI77" s="1" t="e">
        <f ca="1">_xll.BDH($C$53,"LT_DEBT_TO_TOT_CAP","FQ4 2018","FQ4 2018","Currency=INR","Period=FQ","BEST_FPERIOD_OVERRIDE=FQ","FILING_STATUS=OR","EQY_CONSOLIDATED=Y","Sort=A","Dates=H","DateFormat=P","Fill=—","Direction=H","UseDPDF=Y")</f>
        <v>#NAME?</v>
      </c>
      <c r="CJ77" s="1" t="e">
        <f ca="1">_xll.BDH($C$53,"LT_DEBT_TO_TOT_ASSET","FQ4 2018","FQ4 2018","Currency=INR","Period=FQ","BEST_FPERIOD_OVERRIDE=FQ","FILING_STATUS=OR","EQY_CONSOLIDATED=Y","Sort=A","Dates=H","DateFormat=P","Fill=—","Direction=H","UseDPDF=Y")</f>
        <v>#NAME?</v>
      </c>
      <c r="CK77" s="1" t="e">
        <f ca="1">_xll.BDH($C$53,"TOT_DEBT_TO_TOT_EQY","FQ4 2018","FQ4 2018","Currency=INR","Period=FQ","BEST_FPERIOD_OVERRIDE=FQ","FILING_STATUS=OR","EQY_CONSOLIDATED=Y","Sort=A","Dates=H","DateFormat=P","Fill=—","Direction=H","UseDPDF=Y")</f>
        <v>#NAME?</v>
      </c>
      <c r="CL77" s="1" t="e">
        <f ca="1">_xll.BDH($C$53,"TOT_DEBT_TO_TOT_CAP","FQ4 2018","FQ4 2018","Currency=INR","Period=FQ","BEST_FPERIOD_OVERRIDE=FQ","FILING_STATUS=OR","EQY_CONSOLIDATED=Y","Sort=A","Dates=H","DateFormat=P","Fill=—","Direction=H","UseDPDF=Y")</f>
        <v>#NAME?</v>
      </c>
      <c r="CM77" s="1" t="e">
        <f ca="1">_xll.BDH($C$53,"TOT_DEBT_TO_TOT_ASSET","FQ4 2018","FQ4 2018","Currency=INR","Period=FQ","BEST_FPERIOD_OVERRIDE=FQ","FILING_STATUS=OR","EQY_CONSOLIDATED=Y","Sort=A","Dates=H","DateFormat=P","Fill=—","Direction=H","UseDPDF=Y")</f>
        <v>#NAME?</v>
      </c>
      <c r="CN77" s="1" t="e">
        <f ca="1">_xll.BDH($C$53,"NET_DEBT_TO_SHRHLDR_EQTY","FQ4 2018","FQ4 2018","Currency=INR","Period=FQ","BEST_FPERIOD_OVERRIDE=FQ","FILING_STATUS=OR","EQY_CONSOLIDATED=Y","Sort=A","Dates=H","DateFormat=P","Fill=—","Direction=H","UseDPDF=Y")</f>
        <v>#NAME?</v>
      </c>
      <c r="CO77" s="1" t="e">
        <f ca="1">_xll.BDH($C$53,"NET_DEBT_%_CAPITAL","FQ4 2018","FQ4 2018","Currency=INR","Period=FQ","BEST_FPERIOD_OVERRIDE=FQ","FILING_STATUS=OR","EQY_CONSOLIDATED=Y","Sort=A","Dates=H","DateFormat=P","Fill=—","Direction=H","UseDPDF=Y")</f>
        <v>#NAME?</v>
      </c>
      <c r="CP77" s="2" t="e">
        <f ca="1">_xll.BDH($C$53,"EBITDA","FQ4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77" s="2" t="e">
        <f ca="1">_xll.BDH($C$53,"EBITDA_AFTER_CAPEX","FQ4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77" s="2" t="e">
        <f ca="1">_xll.BDH($C$53,"IS_OPER_INC","FQ4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77" s="1" t="e">
        <f ca="1">_xll.BDH($C$53,"CASH_RATIO","FQ4 2018","FQ4 2018","Currency=INR","Period=FQ","BEST_FPERIOD_OVERRIDE=FQ","FILING_STATUS=OR","EQY_CONSOLIDATED=Y","Sort=A","Dates=H","DateFormat=P","Fill=—","Direction=H","UseDPDF=Y")</f>
        <v>#NAME?</v>
      </c>
      <c r="CT77" s="1" t="e">
        <f ca="1">_xll.BDH($C$53,"CUR_RATIO","FQ4 2018","FQ4 2018","Currency=INR","Period=FQ","BEST_FPERIOD_OVERRIDE=FQ","FILING_STATUS=OR","EQY_CONSOLIDATED=Y","Sort=A","Dates=H","DateFormat=P","Fill=—","Direction=H","UseDPDF=Y")</f>
        <v>#NAME?</v>
      </c>
      <c r="CU77" s="1" t="e">
        <f ca="1">_xll.BDH($C$53,"QUICK_RATIO","FQ4 2018","FQ4 2018","Currency=INR","Period=FQ","BEST_FPERIOD_OVERRIDE=FQ","FILING_STATUS=OR","EQY_CONSOLIDATED=Y","Sort=A","Dates=H","DateFormat=P","Fill=—","Direction=H","UseDPDF=Y")</f>
        <v>#NAME?</v>
      </c>
      <c r="CV77" s="1" t="e">
        <f ca="1">_xll.BDH($C$53,"ALTMAN_Z_SCORE","FQ4 2018","FQ4 2018","Currency=INR","Period=FQ","BEST_FPERIOD_OVERRIDE=FQ","FILING_STATUS=OR","EQY_CONSOLIDATED=Y","Sort=A","Dates=H","DateFormat=P","Fill=—","Direction=H","UseDPDF=Y")</f>
        <v>#NAME?</v>
      </c>
      <c r="CW77" s="3" t="e">
        <f ca="1">_xll.BDH($C$53,"ACCT_RCV_TURN","FQ4 2018","FQ4 2018","Currency=INR","Period=FQ","BEST_FPERIOD_OVERRIDE=FQ","FILING_STATUS=OR","EQY_CONSOLIDATED=Y","FA_ADJUSTED=GAAP","Sort=A","Dates=H","DateFormat=P","Fill=—","Direction=H","UseDPDF=Y")</f>
        <v>#NAME?</v>
      </c>
      <c r="CX77" s="1" t="e">
        <f ca="1">_xll.BDH($C$53,"ACCT_RCV_DAYS","FQ4 2018","FQ4 2018","Currency=INR","Period=FQ","BEST_FPERIOD_OVERRIDE=FQ","FILING_STATUS=OR","EQY_CONSOLIDATED=Y","FA_ADJUSTED=GAAP","Sort=A","Dates=H","DateFormat=P","Fill=—","Direction=H","UseDPDF=Y")</f>
        <v>#NAME?</v>
      </c>
      <c r="CY77" s="3" t="e">
        <f ca="1">_xll.BDH($C$53,"INVENT_TURN","FQ4 2018","FQ4 2018","Currency=INR","Period=FQ","BEST_FPERIOD_OVERRIDE=FQ","FILING_STATUS=OR","EQY_CONSOLIDATED=Y","FA_ADJUSTED=GAAP","Sort=A","Dates=H","DateFormat=P","Fill=—","Direction=H","UseDPDF=Y")</f>
        <v>#NAME?</v>
      </c>
      <c r="CZ77" s="1" t="e">
        <f ca="1">_xll.BDH($C$53,"INVENT_DAYS","FQ4 2018","FQ4 2018","Currency=INR","Period=FQ","BEST_FPERIOD_OVERRIDE=FQ","FILING_STATUS=OR","EQY_CONSOLIDATED=Y","FA_ADJUSTED=GAAP","Sort=A","Dates=H","DateFormat=P","Fill=—","Direction=H","UseDPDF=Y")</f>
        <v>#NAME?</v>
      </c>
      <c r="DA77" s="3" t="e">
        <f ca="1">_xll.BDH($C$53,"ACCOUNTS_PAYABLE_TURNOVER","FQ4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77" s="1" t="e">
        <f ca="1">_xll.BDH($C$53,"ACCOUNTS_PAYABLE_TURNOVER_DAYS","FQ4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77" s="3" t="e">
        <f ca="1">_xll.BDH($C$53,"CASH_CONVERSION_CYCLE","FQ4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77" s="3" t="e">
        <f ca="1">_xll.BDH($C$53,"INV_TO_CASH_DAYS","FQ4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77" s="4" t="e">
        <f ca="1">_xll.BDH($C$53,"BS_INVENTORIES","FQ4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77" s="2" t="e">
        <f ca="1">_xll.BDH($C$53,"INVTRY_RAW_MATERIALS","FQ4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77" s="2" t="e">
        <f ca="1">_xll.BDH($C$53,"INVTRY_IN_PROGRESS","FQ4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77" s="2" t="e">
        <f ca="1">_xll.BDH($C$53,"INVTRY_FINISHED_GOODS","FQ4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77" s="2" t="e">
        <f ca="1">_xll.BDH($C$53,"BS_OTHER_INV","FQ4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78" spans="1:113" x14ac:dyDescent="0.3">
      <c r="A78" s="6">
        <v>54</v>
      </c>
      <c r="B78" s="6" t="s">
        <v>16</v>
      </c>
      <c r="C78" s="6" t="s">
        <v>17</v>
      </c>
      <c r="D78" s="6" t="s">
        <v>2</v>
      </c>
      <c r="E78" t="s">
        <v>3</v>
      </c>
      <c r="F78" t="e">
        <f ca="1">_xll.BDH($C$78,"RETURN_COM_EQY","FY 2014","FY 2014","Currency=INR","Period=FY","BEST_FPERIOD_OVERRIDE=FY","FILING_STATUS=OR","EQY_CONSOLIDATED=Y","FA_ADJUSTED=GAAP","Sort=A","Dates=H","DateFormat=P","Fill=—","Direction=H","UseDPDF=Y")</f>
        <v>#NAME?</v>
      </c>
      <c r="G78" t="e">
        <f ca="1">_xll.BDH($C$78,"RETURN_ON_ASSET","FY 2014","FY 2014","Currency=INR","Period=FY","BEST_FPERIOD_OVERRIDE=FY","FILING_STATUS=OR","EQY_CONSOLIDATED=Y","FA_ADJUSTED=GAAP","Sort=A","Dates=H","DateFormat=P","Fill=—","Direction=H","UseDPDF=Y")</f>
        <v>#NAME?</v>
      </c>
      <c r="H78" t="e">
        <f ca="1">_xll.BDH($C$78,"RETURN_ON_CAP","FY 2014","FY 2014","Currency=INR","Period=FY","BEST_FPERIOD_OVERRIDE=FY","FILING_STATUS=OR","EQY_CONSOLIDATED=Y","FA_ADJUSTED=GAAP","Sort=A","Dates=H","DateFormat=P","Fill=—","Direction=H","UseDPDF=Y")</f>
        <v>#NAME?</v>
      </c>
      <c r="I78" t="e">
        <f ca="1">_xll.BDH($C$78,"RETURN_ON_INV_CAPITAL","FY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78" t="e">
        <f ca="1">_xll.BDH($C$78,"EBITDA_TO_REVENUE","FY 2014","FY 2014","Currency=INR","Period=FY","BEST_FPERIOD_OVERRIDE=FY","FILING_STATUS=OR","EQY_CONSOLIDATED=Y","FA_ADJUSTED=GAAP","Sort=A","Dates=H","DateFormat=P","Fill=—","Direction=H","UseDPDF=Y")</f>
        <v>#NAME?</v>
      </c>
      <c r="K78" t="e">
        <f ca="1">_xll.BDH($C$78,"OPER_MARGIN","FY 2014","FY 2014","Currency=INR","Period=FY","BEST_FPERIOD_OVERRIDE=FY","FILING_STATUS=OR","EQY_CONSOLIDATED=Y","FA_ADJUSTED=GAAP","Sort=A","Dates=H","DateFormat=P","Fill=—","Direction=H","UseDPDF=Y")</f>
        <v>#NAME?</v>
      </c>
      <c r="L78" t="e">
        <f ca="1">_xll.BDH($C$78,"INCREMENTAL_OPERATING_MARGIN","FY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78" t="e">
        <f ca="1">_xll.BDH($C$78,"PRETAX_INC_TO_NET_SALES","FY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78" t="e">
        <f ca="1">_xll.BDH($C$78,"INC_BEF_XO_ITEMS_TO_NET_SALES","FY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78" t="e">
        <f ca="1">_xll.BDH($C$78,"PROF_MARGIN","FY 2014","FY 2014","Currency=INR","Period=FY","BEST_FPERIOD_OVERRIDE=FY","FILING_STATUS=OR","EQY_CONSOLIDATED=Y","FA_ADJUSTED=GAAP","Sort=A","Dates=H","DateFormat=P","Fill=—","Direction=H","UseDPDF=Y")</f>
        <v>#NAME?</v>
      </c>
      <c r="P78" t="e">
        <f ca="1">_xll.BDH($C$78,"NET_INCOME_TO_COMMON_MARGIN","FY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78" t="e">
        <f ca="1">_xll.BDH($C$78,"EFF_TAX_RATE","FY 2014","FY 2014","Currency=INR","Period=FY","BEST_FPERIOD_OVERRIDE=FY","FILING_STATUS=OR","EQY_CONSOLIDATED=Y","FA_ADJUSTED=GAAP","Sort=A","Dates=H","DateFormat=P","Fill=—","Direction=H","UseDPDF=Y")</f>
        <v>#NAME?</v>
      </c>
      <c r="R78" t="e">
        <f ca="1">_xll.BDH($C$78,"DVD_PAYOUT_RATIO","FY 2014","FY 2014","Currency=INR","Period=FY","BEST_FPERIOD_OVERRIDE=FY","FILING_STATUS=OR","EQY_CONSOLIDATED=Y","FA_ADJUSTED=GAAP","Sort=A","Dates=H","DateFormat=P","Fill=—","Direction=H","UseDPDF=Y")</f>
        <v>#NAME?</v>
      </c>
      <c r="S78" t="e">
        <f ca="1">_xll.BDH($C$78,"SUSTAIN_GROWTH_RT","FY 2014","FY 2014","Currency=INR","Period=FY","BEST_FPERIOD_OVERRIDE=FY","FILING_STATUS=OR","EQY_CONSOLIDATED=Y","FA_ADJUSTED=GAAP","Sort=A","Dates=H","DateFormat=P","Fill=—","Direction=H","UseDPDF=Y")</f>
        <v>#NAME?</v>
      </c>
      <c r="T78" s="1" t="e">
        <f ca="1">_xll.BDH($C$78,"SALES_GROWTH","FY 2014","FY 2014","Currency=INR","Period=FY","BEST_FPERIOD_OVERRIDE=FY","FILING_STATUS=OR","EQY_CONSOLIDATED=Y","FA_ADJUSTED=GAAP","Sort=A","Dates=H","DateFormat=P","Fill=—","Direction=H","UseDPDF=Y")</f>
        <v>#NAME?</v>
      </c>
      <c r="U78" s="1" t="e">
        <f ca="1">_xll.BDH($C$78,"EBITDA_GROWTH","FY 2014","FY 2014","Currency=INR","Period=FY","BEST_FPERIOD_OVERRIDE=FY","FILING_STATUS=OR","EQY_CONSOLIDATED=Y","FA_ADJUSTED=GAAP","Sort=A","Dates=H","DateFormat=P","Fill=—","Direction=H","UseDPDF=Y")</f>
        <v>#NAME?</v>
      </c>
      <c r="V78" s="1" t="e">
        <f ca="1">_xll.BDH($C$78,"OPER_INC_GROWTH","FY 2014","FY 2014","Currency=INR","Period=FY","BEST_FPERIOD_OVERRIDE=FY","FILING_STATUS=OR","EQY_CONSOLIDATED=Y","FA_ADJUSTED=GAAP","Sort=A","Dates=H","DateFormat=P","Fill=—","Direction=H","UseDPDF=Y")</f>
        <v>#NAME?</v>
      </c>
      <c r="W78" s="1" t="e">
        <f ca="1">_xll.BDH($C$78,"EARN_FOR_COM_GROWTH","FY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78" s="1" t="e">
        <f ca="1">_xll.BDH($C$78,"DILUTED_EPS_AFT_XO_ITEMS_GROWTH","FY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78" s="1" t="e">
        <f ca="1">_xll.BDH($C$78,"DIVIDEND_PER_SHARE_1_YEAR_GROWTH","FY 2014","FY 2014","Currency=INR","Period=FY","BEST_FPERIOD_OVERRIDE=FY","FILING_STATUS=OR","EQY_CONSOLIDATED=Y","Sort=A","Dates=H","DateFormat=P","Fill=—","Direction=H","UseDPDF=Y")</f>
        <v>#NAME?</v>
      </c>
      <c r="Z78" s="1" t="e">
        <f ca="1">_xll.BDH($C$78,"ACCOUNTS_RECEIVABLE_GROWTH","FY 2014","FY 2014","Currency=INR","Period=FY","BEST_FPERIOD_OVERRIDE=FY","FILING_STATUS=OR","EQY_CONSOLIDATED=Y","Sort=A","Dates=H","DateFormat=P","Fill=—","Direction=H","UseDPDF=Y")</f>
        <v>#NAME?</v>
      </c>
      <c r="AA78" s="1" t="e">
        <f ca="1">_xll.BDH($C$78,"INVENTORY_GROWTH","FY 2014","FY 2014","Currency=INR","Period=FY","BEST_FPERIOD_OVERRIDE=FY","FILING_STATUS=OR","EQY_CONSOLIDATED=Y","Sort=A","Dates=H","DateFormat=P","Fill=—","Direction=H","UseDPDF=Y")</f>
        <v>#NAME?</v>
      </c>
      <c r="AB78" s="1" t="e">
        <f ca="1">_xll.BDH($C$78,"NET_FIXED_ASSETS_1_YEAR_GROWTH","FY 2014","FY 2014","Currency=INR","Period=FY","BEST_FPERIOD_OVERRIDE=FY","FILING_STATUS=OR","EQY_CONSOLIDATED=Y","Sort=A","Dates=H","DateFormat=P","Fill=—","Direction=H","UseDPDF=Y")</f>
        <v>#NAME?</v>
      </c>
      <c r="AC78" s="1" t="e">
        <f ca="1">_xll.BDH($C$78,"ASSET_GROWTH","FY 2014","FY 2014","Currency=INR","Period=FY","BEST_FPERIOD_OVERRIDE=FY","FILING_STATUS=OR","EQY_CONSOLIDATED=Y","Sort=A","Dates=H","DateFormat=P","Fill=—","Direction=H","UseDPDF=Y")</f>
        <v>#NAME?</v>
      </c>
      <c r="AD78" s="1" t="e">
        <f ca="1">_xll.BDH($C$78,"MODIFIED_WORK_CAP_GROWTH","FY 2014","FY 2014","Currency=INR","Period=FY","BEST_FPERIOD_OVERRIDE=FY","FILING_STATUS=OR","EQY_CONSOLIDATED=Y","Sort=A","Dates=H","DateFormat=P","Fill=—","Direction=H","UseDPDF=Y")</f>
        <v>#NAME?</v>
      </c>
      <c r="AE78" s="1" t="e">
        <f ca="1">_xll.BDH($C$78,"WORK_CAP_GROWTH","FY 2014","FY 2014","Currency=INR","Period=FY","BEST_FPERIOD_OVERRIDE=FY","FILING_STATUS=OR","EQY_CONSOLIDATED=Y","Sort=A","Dates=H","DateFormat=P","Fill=—","Direction=H","UseDPDF=Y")</f>
        <v>#NAME?</v>
      </c>
      <c r="AF78" s="1" t="e">
        <f ca="1">_xll.BDH($C$78,"ACCOUNTS_PAYABLE_GROWTH_1YR","FY 2014","FY 2014","Currency=INR","Period=FY","BEST_FPERIOD_OVERRIDE=FY","FILING_STATUS=OR","EQY_CONSOLIDATED=Y","Sort=A","Dates=H","DateFormat=P","Fill=—","Direction=H","UseDPDF=Y")</f>
        <v>#NAME?</v>
      </c>
      <c r="AG78" s="1" t="e">
        <f ca="1">_xll.BDH($C$78,"SHORT_TERM_DEBT_1_YEAR_GROWTH","FY 2014","FY 2014","Currency=INR","Period=FY","BEST_FPERIOD_OVERRIDE=FY","FILING_STATUS=OR","EQY_CONSOLIDATED=Y","Sort=A","Dates=H","DateFormat=P","Fill=—","Direction=H","UseDPDF=Y")</f>
        <v>#NAME?</v>
      </c>
      <c r="AH78" s="1" t="e">
        <f ca="1">_xll.BDH($C$78,"TOTAL_DEBT_1_YEAR_GROWTH","FY 2014","FY 2014","Currency=INR","Period=FY","BEST_FPERIOD_OVERRIDE=FY","FILING_STATUS=OR","EQY_CONSOLIDATED=Y","Sort=A","Dates=H","DateFormat=P","Fill=—","Direction=H","UseDPDF=Y")</f>
        <v>#NAME?</v>
      </c>
      <c r="AI78" s="1" t="e">
        <f ca="1">_xll.BDH($C$78,"TOTAL_EQUITY_1_YEAR_GROWTH","FY 2014","FY 2014","Currency=INR","Period=FY","BEST_FPERIOD_OVERRIDE=FY","FILING_STATUS=OR","EQY_CONSOLIDATED=Y","Sort=A","Dates=H","DateFormat=P","Fill=—","Direction=H","UseDPDF=Y")</f>
        <v>#NAME?</v>
      </c>
      <c r="AJ78" s="1" t="e">
        <f ca="1">_xll.BDH($C$78,"GROWTH_IN_CAP","FY 2014","FY 2014","Currency=INR","Period=FY","BEST_FPERIOD_OVERRIDE=FY","FILING_STATUS=OR","EQY_CONSOLIDATED=Y","Sort=A","Dates=H","DateFormat=P","Fill=—","Direction=H","UseDPDF=Y")</f>
        <v>#NAME?</v>
      </c>
      <c r="AK78" s="1" t="e">
        <f ca="1">_xll.BDH($C$78,"BVPS_GROWTH","FY 2014","FY 2014","Currency=INR","Period=FY","BEST_FPERIOD_OVERRIDE=FY","FILING_STATUS=OR","EQY_CONSOLIDATED=Y","Sort=A","Dates=H","DateFormat=P","Fill=—","Direction=H","UseDPDF=Y")</f>
        <v>#NAME?</v>
      </c>
      <c r="AL78" s="1" t="e">
        <f ca="1">_xll.BDH($C$78,"CASH_FLOW_GROWTH","FY 2014","FY 2014","Currency=INR","Period=FY","BEST_FPERIOD_OVERRIDE=FY","FILING_STATUS=OR","EQY_CONSOLIDATED=Y","Sort=A","Dates=H","DateFormat=P","Fill=—","Direction=H","UseDPDF=Y")</f>
        <v>#NAME?</v>
      </c>
      <c r="AM78" s="1" t="e">
        <f ca="1">_xll.BDH($C$78,"GEO_GROW_NET_SALES","FY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78" s="1" t="e">
        <f ca="1">_xll.BDH($C$78,"GEO_GROW_EBITDA","FY 2014","FY 2014","Currency=INR","Period=FY","BEST_FPERIOD_OVERRIDE=FY","FILING_STATUS=OR","EQY_CONSOLIDATED=Y","FA_ADJUSTED=GAAP","Sort=A","Dates=H","DateFormat=P","Fill=—","Direction=H","UseDPDF=Y")</f>
        <v>#NAME?</v>
      </c>
      <c r="AO78" s="1" t="e">
        <f ca="1">_xll.BDH($C$78,"GEO_GROW_OPER_INC","FY 2014","FY 2014","Currency=INR","Period=FY","BEST_FPERIOD_OVERRIDE=FY","FILING_STATUS=OR","EQY_CONSOLIDATED=Y","FA_ADJUSTED=GAAP","Sort=A","Dates=H","DateFormat=P","Fill=—","Direction=H","UseDPDF=Y")</f>
        <v>#NAME?</v>
      </c>
      <c r="AP78" s="1" t="e">
        <f ca="1">_xll.BDH($C$78,"NET_INCOME_TO_COMMON_5_YR_GROWTH","FY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78" s="1" t="e">
        <f ca="1">_xll.BDH($C$78,"5Y_GEO_GROWTH_DILUTED_EPS","FY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78" s="1" t="e">
        <f ca="1">_xll.BDH($C$78,"GEO_GROW_DVD_PER_SH","FY 2014","FY 2014","Currency=INR","Period=FY","BEST_FPERIOD_OVERRIDE=FY","FILING_STATUS=OR","EQY_CONSOLIDATED=Y","Sort=A","Dates=H","DateFormat=P","Fill=—","Direction=H","UseDPDF=Y")</f>
        <v>#NAME?</v>
      </c>
      <c r="AS78" s="1" t="e">
        <f ca="1">_xll.BDH($C$78,"ACCOUNTS_RECEIVABLE_5_YR_GROWTH","FY 2014","FY 2014","Currency=INR","Period=FY","BEST_FPERIOD_OVERRIDE=FY","FILING_STATUS=OR","EQY_CONSOLIDATED=Y","Sort=A","Dates=H","DateFormat=P","Fill=—","Direction=H","UseDPDF=Y")</f>
        <v>#NAME?</v>
      </c>
      <c r="AT78" s="1" t="e">
        <f ca="1">_xll.BDH($C$78,"INVENTORY_5_YEAR_GROWTH","FY 2014","FY 2014","Currency=INR","Period=FY","BEST_FPERIOD_OVERRIDE=FY","FILING_STATUS=OR","EQY_CONSOLIDATED=Y","Sort=A","Dates=H","DateFormat=P","Fill=—","Direction=H","UseDPDF=Y")</f>
        <v>#NAME?</v>
      </c>
      <c r="AU78" s="1" t="e">
        <f ca="1">_xll.BDH($C$78,"NET_FIXED_ASSETS_5_YEAR_GROWTH","FY 2014","FY 2014","Currency=INR","Period=FY","BEST_FPERIOD_OVERRIDE=FY","FILING_STATUS=OR","EQY_CONSOLIDATED=Y","Sort=A","Dates=H","DateFormat=P","Fill=—","Direction=H","UseDPDF=Y")</f>
        <v>#NAME?</v>
      </c>
      <c r="AV78" s="1" t="e">
        <f ca="1">_xll.BDH($C$78,"GEO_GROW_TOT_ASSET","FY 2014","FY 2014","Currency=INR","Period=FY","BEST_FPERIOD_OVERRIDE=FY","FILING_STATUS=OR","EQY_CONSOLIDATED=Y","Sort=A","Dates=H","DateFormat=P","Fill=—","Direction=H","UseDPDF=Y")</f>
        <v>#NAME?</v>
      </c>
      <c r="AW78" s="1" t="e">
        <f ca="1">_xll.BDH($C$78,"MODIFIED_WORKING_CPTL_5YR_GRWTH","FY 2014","FY 2014","Currency=INR","Period=FY","BEST_FPERIOD_OVERRIDE=FY","FILING_STATUS=OR","EQY_CONSOLIDATED=Y","Sort=A","Dates=H","DateFormat=P","Fill=—","Direction=H","UseDPDF=Y")</f>
        <v>#NAME?</v>
      </c>
      <c r="AX78" s="1" t="e">
        <f ca="1">_xll.BDH($C$78,"WORKING_CAPITAL_5_YEAR_GROWTH","FY 2014","FY 2014","Currency=INR","Period=FY","BEST_FPERIOD_OVERRIDE=FY","FILING_STATUS=OR","EQY_CONSOLIDATED=Y","Sort=A","Dates=H","DateFormat=P","Fill=—","Direction=H","UseDPDF=Y")</f>
        <v>#NAME?</v>
      </c>
      <c r="AY78" s="1" t="e">
        <f ca="1">_xll.BDH($C$78,"ACCOUNTS_PAYABLE_5_YEAR_GROWTH","FY 2014","FY 2014","Currency=INR","Period=FY","BEST_FPERIOD_OVERRIDE=FY","FILING_STATUS=OR","EQY_CONSOLIDATED=Y","Sort=A","Dates=H","DateFormat=P","Fill=—","Direction=H","UseDPDF=Y")</f>
        <v>#NAME?</v>
      </c>
      <c r="AZ78" s="1" t="e">
        <f ca="1">_xll.BDH($C$78,"SHORT_TERM_DEBT_5_YEAR_GROWTH","FY 2014","FY 2014","Currency=INR","Period=FY","BEST_FPERIOD_OVERRIDE=FY","FILING_STATUS=OR","EQY_CONSOLIDATED=Y","Sort=A","Dates=H","DateFormat=P","Fill=—","Direction=H","UseDPDF=Y")</f>
        <v>#NAME?</v>
      </c>
      <c r="BA78" s="1" t="e">
        <f ca="1">_xll.BDH($C$78,"TOTAL_DEBT_5_YEAR_GROWTH","FY 2014","FY 2014","Currency=INR","Period=FY","BEST_FPERIOD_OVERRIDE=FY","FILING_STATUS=OR","EQY_CONSOLIDATED=Y","Sort=A","Dates=H","DateFormat=P","Fill=—","Direction=H","UseDPDF=Y")</f>
        <v>#NAME?</v>
      </c>
      <c r="BB78" s="1" t="e">
        <f ca="1">_xll.BDH($C$78,"GEO_GROW_TOT_SHRHLDR_EQY","FY 2014","FY 2014","Currency=INR","Period=FY","BEST_FPERIOD_OVERRIDE=FY","FILING_STATUS=OR","EQY_CONSOLIDATED=Y","Sort=A","Dates=H","DateFormat=P","Fill=—","Direction=H","UseDPDF=Y")</f>
        <v>#NAME?</v>
      </c>
      <c r="BC78" s="1" t="e">
        <f ca="1">_xll.BDH($C$78,"TOTAL_CAPITAL_5_YEAR_GROWTH","FY 2014","FY 2014","Currency=INR","Period=FY","BEST_FPERIOD_OVERRIDE=FY","FILING_STATUS=OR","EQY_CONSOLIDATED=Y","Sort=A","Dates=H","DateFormat=P","Fill=—","Direction=H","UseDPDF=Y")</f>
        <v>#NAME?</v>
      </c>
      <c r="BD78" s="1" t="e">
        <f ca="1">_xll.BDH($C$78,"GEO_GROW_BOOK_VAL","FY 2014","FY 2014","Currency=INR","Period=FY","BEST_FPERIOD_OVERRIDE=FY","FILING_STATUS=OR","EQY_CONSOLIDATED=Y","Sort=A","Dates=H","DateFormat=P","Fill=—","Direction=H","UseDPDF=Y")</f>
        <v>#NAME?</v>
      </c>
      <c r="BE78" s="1" t="e">
        <f ca="1">_xll.BDH($C$78,"GEO_GROW_CASH_OPER_ACT","FY 2014","FY 2014","Currency=INR","Period=FY","BEST_FPERIOD_OVERRIDE=FY","FILING_STATUS=OR","EQY_CONSOLIDATED=Y","Sort=A","Dates=H","DateFormat=P","Fill=—","Direction=H","UseDPDF=Y")</f>
        <v>#NAME?</v>
      </c>
      <c r="BF78" s="1" t="e">
        <f ca="1">_xll.BDH($C$78,"REVENUE_SEQUENTIAL_GROWTH","FY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78" s="1" t="e">
        <f ca="1">_xll.BDH($C$78,"EBITDA_SEQUENTIAL_GROWTH","FY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78" s="1" t="e">
        <f ca="1">_xll.BDH($C$78,"OPERATING_INCOME_SEQ_GROWTH","FY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78" s="1" t="e">
        <f ca="1">_xll.BDH($C$78,"NET_INCOME_TO_COMMON_SEQ_GROWTH","FY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78" s="1" t="e">
        <f ca="1">_xll.BDH($C$78,"EPS_DILUTED_SEQUENTIAL_GROWTH","FY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78" s="1" t="e">
        <f ca="1">_xll.BDH($C$78,"DPS_SEQUENTIAL_GROWTH","FY 2014","FY 2014","Currency=INR","Period=FY","BEST_FPERIOD_OVERRIDE=FY","FILING_STATUS=OR","EQY_CONSOLIDATED=Y","Sort=A","Dates=H","DateFormat=P","Fill=—","Direction=H","UseDPDF=Y")</f>
        <v>#NAME?</v>
      </c>
      <c r="BL78" s="1" t="e">
        <f ca="1">_xll.BDH($C$78,"ACCOUNTS_RECEIVABLE_SEQ_GROWTH","FY 2014","FY 2014","Currency=INR","Period=FY","BEST_FPERIOD_OVERRIDE=FY","FILING_STATUS=OR","EQY_CONSOLIDATED=Y","Sort=A","Dates=H","DateFormat=P","Fill=—","Direction=H","UseDPDF=Y")</f>
        <v>#NAME?</v>
      </c>
      <c r="BM78" s="1" t="e">
        <f ca="1">_xll.BDH($C$78,"INVENTORY_SEQUENTIAL_GROWTH","FY 2014","FY 2014","Currency=INR","Period=FY","BEST_FPERIOD_OVERRIDE=FY","FILING_STATUS=OR","EQY_CONSOLIDATED=Y","Sort=A","Dates=H","DateFormat=P","Fill=—","Direction=H","UseDPDF=Y")</f>
        <v>#NAME?</v>
      </c>
      <c r="BN78" s="1" t="e">
        <f ca="1">_xll.BDH($C$78,"FIXED_ASSETS_SEQUENTIAL_GROWTH","FY 2014","FY 2014","Currency=INR","Period=FY","BEST_FPERIOD_OVERRIDE=FY","FILING_STATUS=OR","EQY_CONSOLIDATED=Y","Sort=A","Dates=H","DateFormat=P","Fill=—","Direction=H","UseDPDF=Y")</f>
        <v>#NAME?</v>
      </c>
      <c r="BO78" s="1" t="e">
        <f ca="1">_xll.BDH($C$78,"TOTAL_ASSETS_SEQUENTIAL_GROWTH","FY 2014","FY 2014","Currency=INR","Period=FY","BEST_FPERIOD_OVERRIDE=FY","FILING_STATUS=OR","EQY_CONSOLIDATED=Y","Sort=A","Dates=H","DateFormat=P","Fill=—","Direction=H","UseDPDF=Y")</f>
        <v>#NAME?</v>
      </c>
      <c r="BP78" s="1" t="e">
        <f ca="1">_xll.BDH($C$78,"MODIFIED_WORKING_CPTL_SEQ_GRWTH","FY 2014","FY 2014","Currency=INR","Period=FY","BEST_FPERIOD_OVERRIDE=FY","FILING_STATUS=OR","EQY_CONSOLIDATED=Y","Sort=A","Dates=H","DateFormat=P","Fill=—","Direction=H","UseDPDF=Y")</f>
        <v>#NAME?</v>
      </c>
      <c r="BQ78" s="1" t="e">
        <f ca="1">_xll.BDH($C$78,"WORKING_CAPITAL_SEQ_GROWTH","FY 2014","FY 2014","Currency=INR","Period=FY","BEST_FPERIOD_OVERRIDE=FY","FILING_STATUS=OR","EQY_CONSOLIDATED=Y","Sort=A","Dates=H","DateFormat=P","Fill=—","Direction=H","UseDPDF=Y")</f>
        <v>#NAME?</v>
      </c>
      <c r="BR78" s="1" t="e">
        <f ca="1">_xll.BDH($C$78,"ACCOUNTS_PAYABLE_SEQ_GROWTH","FY 2014","FY 2014","Currency=INR","Period=FY","BEST_FPERIOD_OVERRIDE=FY","FILING_STATUS=OR","EQY_CONSOLIDATED=Y","Sort=A","Dates=H","DateFormat=P","Fill=—","Direction=H","UseDPDF=Y")</f>
        <v>#NAME?</v>
      </c>
      <c r="BS78" s="1" t="e">
        <f ca="1">_xll.BDH($C$78,"ST_DEBT_SEQUENTIAL_GROWTH","FY 2014","FY 2014","Currency=INR","Period=FY","BEST_FPERIOD_OVERRIDE=FY","FILING_STATUS=OR","EQY_CONSOLIDATED=Y","Sort=A","Dates=H","DateFormat=P","Fill=—","Direction=H","UseDPDF=Y")</f>
        <v>#NAME?</v>
      </c>
      <c r="BT78" s="1" t="e">
        <f ca="1">_xll.BDH($C$78,"TOTAL_DEBT_SEQUENTIAL_GROWTH","FY 2014","FY 2014","Currency=INR","Period=FY","BEST_FPERIOD_OVERRIDE=FY","FILING_STATUS=OR","EQY_CONSOLIDATED=Y","Sort=A","Dates=H","DateFormat=P","Fill=—","Direction=H","UseDPDF=Y")</f>
        <v>#NAME?</v>
      </c>
      <c r="BU78" s="1" t="e">
        <f ca="1">_xll.BDH($C$78,"TOTAL_EQUITY_SEQUENTIAL_GROWTH","FY 2014","FY 2014","Currency=INR","Period=FY","BEST_FPERIOD_OVERRIDE=FY","FILING_STATUS=OR","EQY_CONSOLIDATED=Y","Sort=A","Dates=H","DateFormat=P","Fill=—","Direction=H","UseDPDF=Y")</f>
        <v>#NAME?</v>
      </c>
      <c r="BV78" s="1" t="e">
        <f ca="1">_xll.BDH($C$78,"TOTAL_CAPITAL_SEQUENTIAL_GROWTH","FY 2014","FY 2014","Currency=INR","Period=FY","BEST_FPERIOD_OVERRIDE=FY","FILING_STATUS=OR","EQY_CONSOLIDATED=Y","Sort=A","Dates=H","DateFormat=P","Fill=—","Direction=H","UseDPDF=Y")</f>
        <v>#NAME?</v>
      </c>
      <c r="BW78" s="1" t="e">
        <f ca="1">_xll.BDH($C$78,"BPS_SEQUENTIAL_GROWTH","FY 2014","FY 2014","Currency=INR","Period=FY","BEST_FPERIOD_OVERRIDE=FY","FILING_STATUS=OR","EQY_CONSOLIDATED=Y","Sort=A","Dates=H","DateFormat=P","Fill=—","Direction=H","UseDPDF=Y")</f>
        <v>#NAME?</v>
      </c>
      <c r="BX78" s="1" t="e">
        <f ca="1">_xll.BDH($C$78,"CFO_SEQUENTIAL_GROWTH","FY 2014","FY 2014","Currency=INR","Period=FY","BEST_FPERIOD_OVERRIDE=FY","FILING_STATUS=OR","EQY_CONSOLIDATED=Y","Sort=A","Dates=H","DateFormat=P","Fill=—","Direction=H","UseDPDF=Y")</f>
        <v>#NAME?</v>
      </c>
      <c r="BY78" s="2" t="e">
        <f ca="1">_xll.BDH($C$78,"SHORT_AND_LONG_TERM_DEBT","FY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78" s="2" t="e">
        <f ca="1">_xll.BDH($C$78,"BS_ST_BORROW","FY 2014","FY 2014","Currency=INR","Period=FY","BEST_FPERIOD_OVERRIDE=FY","FILING_STATUS=OR","EQY_CONSOLIDATED=Y","SCALING_FORMAT=MLN","Sort=A","Dates=H","DateFormat=P","Fill=—","Direction=H","UseDPDF=Y")</f>
        <v>#NAME?</v>
      </c>
      <c r="CA78" s="2" t="e">
        <f ca="1">_xll.BDH($C$78,"BS_LT_BORROW","FY 2014","FY 2014","Currency=INR","Period=FY","BEST_FPERIOD_OVERRIDE=FY","FILING_STATUS=OR","EQY_CONSOLIDATED=Y","SCALING_FORMAT=MLN","Sort=A","Dates=H","DateFormat=P","Fill=—","Direction=H","UseDPDF=Y")</f>
        <v>#NAME?</v>
      </c>
      <c r="CB78" s="1" t="e">
        <f ca="1">_xll.BDH($C$78,"TOT_DEBT_TO_EBITDA","FY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78" s="1" t="e">
        <f ca="1">_xll.BDH($C$78,"NET_DEBT_TO_EBITDA","FY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78" s="1" t="e">
        <f ca="1">_xll.BDH($C$78,"TOTAL_DEBT_TO_EBIT","FY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78" s="1" t="e">
        <f ca="1">_xll.BDH($C$78,"NET_DEBT_TO_EBIT","FY 2014","FY 2014","Currency=INR","Period=FY","BEST_FPERIOD_OVERRIDE=FY","FILING_STATUS=OR","EQY_CONSOLIDATED=Y","FA_ADJUSTED=GAAP","Sort=A","Dates=H","DateFormat=P","Fill=—","Direction=H","UseDPDF=Y")</f>
        <v>#NAME?</v>
      </c>
      <c r="CF78" s="1" t="e">
        <f ca="1">_xll.BDH($C$78,"EBITDA_TO_INTEREST_EXPN","FY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78" s="1" t="e">
        <f ca="1">_xll.BDH($C$78,"COM_EQY_TO_TOT_ASSET","FY 2014","FY 2014","Currency=INR","Period=FY","BEST_FPERIOD_OVERRIDE=FY","FILING_STATUS=OR","EQY_CONSOLIDATED=Y","Sort=A","Dates=H","DateFormat=P","Fill=—","Direction=H","UseDPDF=Y")</f>
        <v>#NAME?</v>
      </c>
      <c r="CH78" s="1" t="e">
        <f ca="1">_xll.BDH($C$78,"LT_DEBT_TO_TOT_EQY","FY 2014","FY 2014","Currency=INR","Period=FY","BEST_FPERIOD_OVERRIDE=FY","FILING_STATUS=OR","EQY_CONSOLIDATED=Y","Sort=A","Dates=H","DateFormat=P","Fill=—","Direction=H","UseDPDF=Y")</f>
        <v>#NAME?</v>
      </c>
      <c r="CI78" s="1" t="e">
        <f ca="1">_xll.BDH($C$78,"LT_DEBT_TO_TOT_CAP","FY 2014","FY 2014","Currency=INR","Period=FY","BEST_FPERIOD_OVERRIDE=FY","FILING_STATUS=OR","EQY_CONSOLIDATED=Y","Sort=A","Dates=H","DateFormat=P","Fill=—","Direction=H","UseDPDF=Y")</f>
        <v>#NAME?</v>
      </c>
      <c r="CJ78" s="1" t="e">
        <f ca="1">_xll.BDH($C$78,"LT_DEBT_TO_TOT_ASSET","FY 2014","FY 2014","Currency=INR","Period=FY","BEST_FPERIOD_OVERRIDE=FY","FILING_STATUS=OR","EQY_CONSOLIDATED=Y","Sort=A","Dates=H","DateFormat=P","Fill=—","Direction=H","UseDPDF=Y")</f>
        <v>#NAME?</v>
      </c>
      <c r="CK78" s="1" t="e">
        <f ca="1">_xll.BDH($C$78,"TOT_DEBT_TO_TOT_EQY","FY 2014","FY 2014","Currency=INR","Period=FY","BEST_FPERIOD_OVERRIDE=FY","FILING_STATUS=OR","EQY_CONSOLIDATED=Y","Sort=A","Dates=H","DateFormat=P","Fill=—","Direction=H","UseDPDF=Y")</f>
        <v>#NAME?</v>
      </c>
      <c r="CL78" s="1" t="e">
        <f ca="1">_xll.BDH($C$78,"TOT_DEBT_TO_TOT_CAP","FY 2014","FY 2014","Currency=INR","Period=FY","BEST_FPERIOD_OVERRIDE=FY","FILING_STATUS=OR","EQY_CONSOLIDATED=Y","Sort=A","Dates=H","DateFormat=P","Fill=—","Direction=H","UseDPDF=Y")</f>
        <v>#NAME?</v>
      </c>
      <c r="CM78" s="1" t="e">
        <f ca="1">_xll.BDH($C$78,"TOT_DEBT_TO_TOT_ASSET","FY 2014","FY 2014","Currency=INR","Period=FY","BEST_FPERIOD_OVERRIDE=FY","FILING_STATUS=OR","EQY_CONSOLIDATED=Y","Sort=A","Dates=H","DateFormat=P","Fill=—","Direction=H","UseDPDF=Y")</f>
        <v>#NAME?</v>
      </c>
      <c r="CN78" s="1" t="e">
        <f ca="1">_xll.BDH($C$78,"NET_DEBT_TO_SHRHLDR_EQTY","FY 2014","FY 2014","Currency=INR","Period=FY","BEST_FPERIOD_OVERRIDE=FY","FILING_STATUS=OR","EQY_CONSOLIDATED=Y","Sort=A","Dates=H","DateFormat=P","Fill=—","Direction=H","UseDPDF=Y")</f>
        <v>#NAME?</v>
      </c>
      <c r="CO78" s="1" t="e">
        <f ca="1">_xll.BDH($C$78,"NET_DEBT_%_CAPITAL","FY 2014","FY 2014","Currency=INR","Period=FY","BEST_FPERIOD_OVERRIDE=FY","FILING_STATUS=OR","EQY_CONSOLIDATED=Y","Sort=A","Dates=H","DateFormat=P","Fill=—","Direction=H","UseDPDF=Y")</f>
        <v>#NAME?</v>
      </c>
      <c r="CP78" s="2" t="e">
        <f ca="1">_xll.BDH($C$78,"EBITDA","FY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78" s="2" t="e">
        <f ca="1">_xll.BDH($C$78,"EBITDA_AFTER_CAPEX","FY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78" s="2" t="e">
        <f ca="1">_xll.BDH($C$78,"IS_OPER_INC","FY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78" s="1" t="e">
        <f ca="1">_xll.BDH($C$78,"CASH_RATIO","FY 2014","FY 2014","Currency=INR","Period=FY","BEST_FPERIOD_OVERRIDE=FY","FILING_STATUS=OR","EQY_CONSOLIDATED=Y","Sort=A","Dates=H","DateFormat=P","Fill=—","Direction=H","UseDPDF=Y")</f>
        <v>#NAME?</v>
      </c>
      <c r="CT78" s="1" t="e">
        <f ca="1">_xll.BDH($C$78,"CUR_RATIO","FY 2014","FY 2014","Currency=INR","Period=FY","BEST_FPERIOD_OVERRIDE=FY","FILING_STATUS=OR","EQY_CONSOLIDATED=Y","Sort=A","Dates=H","DateFormat=P","Fill=—","Direction=H","UseDPDF=Y")</f>
        <v>#NAME?</v>
      </c>
      <c r="CU78" s="1" t="e">
        <f ca="1">_xll.BDH($C$78,"QUICK_RATIO","FY 2014","FY 2014","Currency=INR","Period=FY","BEST_FPERIOD_OVERRIDE=FY","FILING_STATUS=OR","EQY_CONSOLIDATED=Y","Sort=A","Dates=H","DateFormat=P","Fill=—","Direction=H","UseDPDF=Y")</f>
        <v>#NAME?</v>
      </c>
      <c r="CV78" s="1" t="e">
        <f ca="1">_xll.BDH($C$78,"ALTMAN_Z_SCORE","FY 2014","FY 2014","Currency=INR","Period=FY","BEST_FPERIOD_OVERRIDE=FY","FILING_STATUS=OR","EQY_CONSOLIDATED=Y","Sort=A","Dates=H","DateFormat=P","Fill=—","Direction=H","UseDPDF=Y")</f>
        <v>#NAME?</v>
      </c>
      <c r="CW78" s="3" t="e">
        <f ca="1">_xll.BDH($C$78,"ACCT_RCV_TURN","FY 2014","FY 2014","Currency=INR","Period=FY","BEST_FPERIOD_OVERRIDE=FY","FILING_STATUS=OR","EQY_CONSOLIDATED=Y","FA_ADJUSTED=GAAP","Sort=A","Dates=H","DateFormat=P","Fill=—","Direction=H","UseDPDF=Y")</f>
        <v>#NAME?</v>
      </c>
      <c r="CX78" s="1" t="e">
        <f ca="1">_xll.BDH($C$78,"ACCT_RCV_DAYS","FY 2014","FY 2014","Currency=INR","Period=FY","BEST_FPERIOD_OVERRIDE=FY","FILING_STATUS=OR","EQY_CONSOLIDATED=Y","FA_ADJUSTED=GAAP","Sort=A","Dates=H","DateFormat=P","Fill=—","Direction=H","UseDPDF=Y")</f>
        <v>#NAME?</v>
      </c>
      <c r="CY78" s="3" t="e">
        <f ca="1">_xll.BDH($C$78,"INVENT_TURN","FY 2014","FY 2014","Currency=INR","Period=FY","BEST_FPERIOD_OVERRIDE=FY","FILING_STATUS=OR","EQY_CONSOLIDATED=Y","FA_ADJUSTED=GAAP","Sort=A","Dates=H","DateFormat=P","Fill=—","Direction=H","UseDPDF=Y")</f>
        <v>#NAME?</v>
      </c>
      <c r="CZ78" s="1" t="e">
        <f ca="1">_xll.BDH($C$78,"INVENT_DAYS","FY 2014","FY 2014","Currency=INR","Period=FY","BEST_FPERIOD_OVERRIDE=FY","FILING_STATUS=OR","EQY_CONSOLIDATED=Y","FA_ADJUSTED=GAAP","Sort=A","Dates=H","DateFormat=P","Fill=—","Direction=H","UseDPDF=Y")</f>
        <v>#NAME?</v>
      </c>
      <c r="DA78" s="3" t="e">
        <f ca="1">_xll.BDH($C$78,"ACCOUNTS_PAYABLE_TURNOVER","FY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78" s="1" t="e">
        <f ca="1">_xll.BDH($C$78,"ACCOUNTS_PAYABLE_TURNOVER_DAYS","FY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78" s="3" t="e">
        <f ca="1">_xll.BDH($C$78,"CASH_CONVERSION_CYCLE","FY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78" s="3" t="e">
        <f ca="1">_xll.BDH($C$78,"INV_TO_CASH_DAYS","FY 2014","FY 2014","Currency=INR","Period=FY","BEST_FPERIOD_OVERRIDE=FY","FILING_STATUS=OR","EQY_CONSOLIDATED=Y","FA_ADJUSTED=GAAP","Sort=A","Dates=H","DateFormat=P","Fill=—","Direction=H","UseDPDF=Y")</f>
        <v>#NAME?</v>
      </c>
      <c r="DE78" s="4" t="e">
        <f ca="1">_xll.BDH($C$78,"BS_INVENTORIES","FY 2014","FY 2014","Currency=INR","Period=FY","BEST_FPERIOD_OVERRIDE=FY","FILING_STATUS=OR","EQY_CONSOLIDATED=Y","SCALING_FORMAT=MLN","Sort=A","Dates=H","DateFormat=P","Fill=—","Direction=H","UseDPDF=Y")</f>
        <v>#NAME?</v>
      </c>
      <c r="DF78" s="2" t="e">
        <f ca="1">_xll.BDH($C$78,"INVTRY_RAW_MATERIALS","FY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78" s="2" t="e">
        <f ca="1">_xll.BDH($C$78,"INVTRY_IN_PROGRESS","FY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78" s="2" t="e">
        <f ca="1">_xll.BDH($C$78,"INVTRY_FINISHED_GOODS","FY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78" s="2" t="e">
        <f ca="1">_xll.BDH($C$78,"BS_OTHER_INV","FY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79" spans="1:113" x14ac:dyDescent="0.3">
      <c r="A79" s="6"/>
      <c r="B79" s="6"/>
      <c r="C79" s="6"/>
      <c r="D79" s="6"/>
      <c r="E79" t="s">
        <v>4</v>
      </c>
      <c r="F79" t="e">
        <f ca="1">_xll.BDH($C$78,"RETURN_COM_EQY","FQ1 2014","FQ1 2014","Currency=INR","Period=FQ","BEST_FPERIOD_OVERRIDE=FQ","FILING_STATUS=OR","EQY_CONSOLIDATED=Y","FA_ADJUSTED=GAAP","Sort=A","Dates=H","DateFormat=P","Fill=—","Direction=H","UseDPDF=Y")</f>
        <v>#NAME?</v>
      </c>
      <c r="G79" t="e">
        <f ca="1">_xll.BDH($C$78,"RETURN_ON_ASSET","FQ1 2014","FQ1 2014","Currency=INR","Period=FQ","BEST_FPERIOD_OVERRIDE=FQ","FILING_STATUS=OR","EQY_CONSOLIDATED=Y","FA_ADJUSTED=GAAP","Sort=A","Dates=H","DateFormat=P","Fill=—","Direction=H","UseDPDF=Y")</f>
        <v>#NAME?</v>
      </c>
      <c r="H79" t="e">
        <f ca="1">_xll.BDH($C$78,"RETURN_ON_CAP","FQ1 2014","FQ1 2014","Currency=INR","Period=FQ","BEST_FPERIOD_OVERRIDE=FQ","FILING_STATUS=OR","EQY_CONSOLIDATED=Y","FA_ADJUSTED=GAAP","Sort=A","Dates=H","DateFormat=P","Fill=—","Direction=H","UseDPDF=Y")</f>
        <v>#NAME?</v>
      </c>
      <c r="I79" t="e">
        <f ca="1">_xll.BDH($C$78,"RETURN_ON_INV_CAPITAL","FQ1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79" t="e">
        <f ca="1">_xll.BDH($C$78,"EBITDA_TO_REVENUE","FQ1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79" t="e">
        <f ca="1">_xll.BDH($C$78,"OPER_MARGIN","FQ1 2014","FQ1 2014","Currency=INR","Period=FQ","BEST_FPERIOD_OVERRIDE=FQ","FILING_STATUS=OR","EQY_CONSOLIDATED=Y","FA_ADJUSTED=GAAP","Sort=A","Dates=H","DateFormat=P","Fill=—","Direction=H","UseDPDF=Y")</f>
        <v>#NAME?</v>
      </c>
      <c r="L79" t="e">
        <f ca="1">_xll.BDH($C$78,"INCREMENTAL_OPERATING_MARGIN","FQ1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79" t="e">
        <f ca="1">_xll.BDH($C$78,"PRETAX_INC_TO_NET_SALES","FQ1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79" t="e">
        <f ca="1">_xll.BDH($C$78,"INC_BEF_XO_ITEMS_TO_NET_SALES","FQ1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79" t="e">
        <f ca="1">_xll.BDH($C$78,"PROF_MARGIN","FQ1 2014","FQ1 2014","Currency=INR","Period=FQ","BEST_FPERIOD_OVERRIDE=FQ","FILING_STATUS=OR","EQY_CONSOLIDATED=Y","FA_ADJUSTED=GAAP","Sort=A","Dates=H","DateFormat=P","Fill=—","Direction=H","UseDPDF=Y")</f>
        <v>#NAME?</v>
      </c>
      <c r="P79" t="e">
        <f ca="1">_xll.BDH($C$78,"NET_INCOME_TO_COMMON_MARGIN","FQ1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79" t="e">
        <f ca="1">_xll.BDH($C$78,"EFF_TAX_RATE","FQ1 2014","FQ1 2014","Currency=INR","Period=FQ","BEST_FPERIOD_OVERRIDE=FQ","FILING_STATUS=OR","EQY_CONSOLIDATED=Y","FA_ADJUSTED=GAAP","Sort=A","Dates=H","DateFormat=P","Fill=—","Direction=H","UseDPDF=Y")</f>
        <v>#NAME?</v>
      </c>
      <c r="R79" t="e">
        <f ca="1">_xll.BDH($C$78,"DVD_PAYOUT_RATIO","FQ1 2014","FQ1 2014","Currency=INR","Period=FQ","BEST_FPERIOD_OVERRIDE=FQ","FILING_STATUS=OR","EQY_CONSOLIDATED=Y","FA_ADJUSTED=GAAP","Sort=A","Dates=H","DateFormat=P","Fill=—","Direction=H","UseDPDF=Y")</f>
        <v>#NAME?</v>
      </c>
      <c r="S79" t="e">
        <f ca="1">_xll.BDH($C$78,"SUSTAIN_GROWTH_RT","FQ1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79" s="1" t="e">
        <f ca="1">_xll.BDH($C$78,"SALES_GROWTH","FQ1 2014","FQ1 2014","Currency=INR","Period=FQ","BEST_FPERIOD_OVERRIDE=FQ","FILING_STATUS=OR","EQY_CONSOLIDATED=Y","FA_ADJUSTED=GAAP","Sort=A","Dates=H","DateFormat=P","Fill=—","Direction=H","UseDPDF=Y")</f>
        <v>#NAME?</v>
      </c>
      <c r="U79" s="1" t="e">
        <f ca="1">_xll.BDH($C$78,"EBITDA_GROWTH","FQ1 2014","FQ1 2014","Currency=INR","Period=FQ","BEST_FPERIOD_OVERRIDE=FQ","FILING_STATUS=OR","EQY_CONSOLIDATED=Y","FA_ADJUSTED=GAAP","Sort=A","Dates=H","DateFormat=P","Fill=—","Direction=H","UseDPDF=Y")</f>
        <v>#NAME?</v>
      </c>
      <c r="V79" s="1" t="e">
        <f ca="1">_xll.BDH($C$78,"OPER_INC_GROWTH","FQ1 2014","FQ1 2014","Currency=INR","Period=FQ","BEST_FPERIOD_OVERRIDE=FQ","FILING_STATUS=OR","EQY_CONSOLIDATED=Y","FA_ADJUSTED=GAAP","Sort=A","Dates=H","DateFormat=P","Fill=—","Direction=H","UseDPDF=Y")</f>
        <v>#NAME?</v>
      </c>
      <c r="W79" s="1" t="e">
        <f ca="1">_xll.BDH($C$78,"EARN_FOR_COM_GROWTH","FQ1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79" s="1" t="e">
        <f ca="1">_xll.BDH($C$78,"DILUTED_EPS_AFT_XO_ITEMS_GROWTH","FQ1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79" s="1" t="e">
        <f ca="1">_xll.BDH($C$78,"DIVIDEND_PER_SHARE_1_YEAR_GROWTH","FQ1 2014","FQ1 2014","Currency=INR","Period=FQ","BEST_FPERIOD_OVERRIDE=FQ","FILING_STATUS=OR","EQY_CONSOLIDATED=Y","Sort=A","Dates=H","DateFormat=P","Fill=—","Direction=H","UseDPDF=Y")</f>
        <v>#NAME?</v>
      </c>
      <c r="Z79" s="1" t="e">
        <f ca="1">_xll.BDH($C$78,"ACCOUNTS_RECEIVABLE_GROWTH","FQ1 2014","FQ1 2014","Currency=INR","Period=FQ","BEST_FPERIOD_OVERRIDE=FQ","FILING_STATUS=OR","EQY_CONSOLIDATED=Y","Sort=A","Dates=H","DateFormat=P","Fill=—","Direction=H","UseDPDF=Y")</f>
        <v>#NAME?</v>
      </c>
      <c r="AA79" s="1" t="e">
        <f ca="1">_xll.BDH($C$78,"INVENTORY_GROWTH","FQ1 2014","FQ1 2014","Currency=INR","Period=FQ","BEST_FPERIOD_OVERRIDE=FQ","FILING_STATUS=OR","EQY_CONSOLIDATED=Y","Sort=A","Dates=H","DateFormat=P","Fill=—","Direction=H","UseDPDF=Y")</f>
        <v>#NAME?</v>
      </c>
      <c r="AB79" s="1" t="e">
        <f ca="1">_xll.BDH($C$78,"NET_FIXED_ASSETS_1_YEAR_GROWTH","FQ1 2014","FQ1 2014","Currency=INR","Period=FQ","BEST_FPERIOD_OVERRIDE=FQ","FILING_STATUS=OR","EQY_CONSOLIDATED=Y","Sort=A","Dates=H","DateFormat=P","Fill=—","Direction=H","UseDPDF=Y")</f>
        <v>#NAME?</v>
      </c>
      <c r="AC79" s="1" t="e">
        <f ca="1">_xll.BDH($C$78,"ASSET_GROWTH","FQ1 2014","FQ1 2014","Currency=INR","Period=FQ","BEST_FPERIOD_OVERRIDE=FQ","FILING_STATUS=OR","EQY_CONSOLIDATED=Y","Sort=A","Dates=H","DateFormat=P","Fill=—","Direction=H","UseDPDF=Y")</f>
        <v>#NAME?</v>
      </c>
      <c r="AD79" s="1" t="e">
        <f ca="1">_xll.BDH($C$78,"MODIFIED_WORK_CAP_GROWTH","FQ1 2014","FQ1 2014","Currency=INR","Period=FQ","BEST_FPERIOD_OVERRIDE=FQ","FILING_STATUS=OR","EQY_CONSOLIDATED=Y","Sort=A","Dates=H","DateFormat=P","Fill=—","Direction=H","UseDPDF=Y")</f>
        <v>#NAME?</v>
      </c>
      <c r="AE79" s="1" t="e">
        <f ca="1">_xll.BDH($C$78,"WORK_CAP_GROWTH","FQ1 2014","FQ1 2014","Currency=INR","Period=FQ","BEST_FPERIOD_OVERRIDE=FQ","FILING_STATUS=OR","EQY_CONSOLIDATED=Y","Sort=A","Dates=H","DateFormat=P","Fill=—","Direction=H","UseDPDF=Y")</f>
        <v>#NAME?</v>
      </c>
      <c r="AF79" s="1" t="e">
        <f ca="1">_xll.BDH($C$78,"ACCOUNTS_PAYABLE_GROWTH_1YR","FQ1 2014","FQ1 2014","Currency=INR","Period=FQ","BEST_FPERIOD_OVERRIDE=FQ","FILING_STATUS=OR","EQY_CONSOLIDATED=Y","Sort=A","Dates=H","DateFormat=P","Fill=—","Direction=H","UseDPDF=Y")</f>
        <v>#NAME?</v>
      </c>
      <c r="AG79" s="1" t="e">
        <f ca="1">_xll.BDH($C$78,"SHORT_TERM_DEBT_1_YEAR_GROWTH","FQ1 2014","FQ1 2014","Currency=INR","Period=FQ","BEST_FPERIOD_OVERRIDE=FQ","FILING_STATUS=OR","EQY_CONSOLIDATED=Y","Sort=A","Dates=H","DateFormat=P","Fill=—","Direction=H","UseDPDF=Y")</f>
        <v>#NAME?</v>
      </c>
      <c r="AH79" s="1" t="e">
        <f ca="1">_xll.BDH($C$78,"TOTAL_DEBT_1_YEAR_GROWTH","FQ1 2014","FQ1 2014","Currency=INR","Period=FQ","BEST_FPERIOD_OVERRIDE=FQ","FILING_STATUS=OR","EQY_CONSOLIDATED=Y","Sort=A","Dates=H","DateFormat=P","Fill=—","Direction=H","UseDPDF=Y")</f>
        <v>#NAME?</v>
      </c>
      <c r="AI79" s="1" t="e">
        <f ca="1">_xll.BDH($C$78,"TOTAL_EQUITY_1_YEAR_GROWTH","FQ1 2014","FQ1 2014","Currency=INR","Period=FQ","BEST_FPERIOD_OVERRIDE=FQ","FILING_STATUS=OR","EQY_CONSOLIDATED=Y","Sort=A","Dates=H","DateFormat=P","Fill=—","Direction=H","UseDPDF=Y")</f>
        <v>#NAME?</v>
      </c>
      <c r="AJ79" s="1" t="e">
        <f ca="1">_xll.BDH($C$78,"GROWTH_IN_CAP","FQ1 2014","FQ1 2014","Currency=INR","Period=FQ","BEST_FPERIOD_OVERRIDE=FQ","FILING_STATUS=OR","EQY_CONSOLIDATED=Y","Sort=A","Dates=H","DateFormat=P","Fill=—","Direction=H","UseDPDF=Y")</f>
        <v>#NAME?</v>
      </c>
      <c r="AK79" s="1" t="e">
        <f ca="1">_xll.BDH($C$78,"BVPS_GROWTH","FQ1 2014","FQ1 2014","Currency=INR","Period=FQ","BEST_FPERIOD_OVERRIDE=FQ","FILING_STATUS=OR","EQY_CONSOLIDATED=Y","Sort=A","Dates=H","DateFormat=P","Fill=—","Direction=H","UseDPDF=Y")</f>
        <v>#NAME?</v>
      </c>
      <c r="AL79" s="1" t="e">
        <f ca="1">_xll.BDH($C$78,"CASH_FLOW_GROWTH","FQ1 2014","FQ1 2014","Currency=INR","Period=FQ","BEST_FPERIOD_OVERRIDE=FQ","FILING_STATUS=OR","EQY_CONSOLIDATED=Y","Sort=A","Dates=H","DateFormat=P","Fill=—","Direction=H","UseDPDF=Y")</f>
        <v>#NAME?</v>
      </c>
      <c r="AM79" s="1" t="e">
        <f ca="1">_xll.BDH($C$78,"GEO_GROW_NET_SALES","FQ1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79" s="1" t="e">
        <f ca="1">_xll.BDH($C$78,"GEO_GROW_EBITDA","FQ1 2014","FQ1 2014","Currency=INR","Period=FQ","BEST_FPERIOD_OVERRIDE=FQ","FILING_STATUS=OR","EQY_CONSOLIDATED=Y","FA_ADJUSTED=GAAP","Sort=A","Dates=H","DateFormat=P","Fill=—","Direction=H","UseDPDF=Y")</f>
        <v>#NAME?</v>
      </c>
      <c r="AO79" s="1" t="e">
        <f ca="1">_xll.BDH($C$78,"GEO_GROW_OPER_INC","FQ1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79" s="1" t="e">
        <f ca="1">_xll.BDH($C$78,"NET_INCOME_TO_COMMON_5_YR_GROWTH","FQ1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79" s="1" t="e">
        <f ca="1">_xll.BDH($C$78,"5Y_GEO_GROWTH_DILUTED_EPS","FQ1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79" s="1" t="e">
        <f ca="1">_xll.BDH($C$78,"GEO_GROW_DVD_PER_SH","FQ1 2014","FQ1 2014","Currency=INR","Period=FQ","BEST_FPERIOD_OVERRIDE=FQ","FILING_STATUS=OR","EQY_CONSOLIDATED=Y","Sort=A","Dates=H","DateFormat=P","Fill=—","Direction=H","UseDPDF=Y")</f>
        <v>#NAME?</v>
      </c>
      <c r="AS79" s="1" t="e">
        <f ca="1">_xll.BDH($C$78,"ACCOUNTS_RECEIVABLE_5_YR_GROWTH","FQ1 2014","FQ1 2014","Currency=INR","Period=FQ","BEST_FPERIOD_OVERRIDE=FQ","FILING_STATUS=OR","EQY_CONSOLIDATED=Y","Sort=A","Dates=H","DateFormat=P","Fill=—","Direction=H","UseDPDF=Y")</f>
        <v>#NAME?</v>
      </c>
      <c r="AT79" s="1" t="e">
        <f ca="1">_xll.BDH($C$78,"INVENTORY_5_YEAR_GROWTH","FQ1 2014","FQ1 2014","Currency=INR","Period=FQ","BEST_FPERIOD_OVERRIDE=FQ","FILING_STATUS=OR","EQY_CONSOLIDATED=Y","Sort=A","Dates=H","DateFormat=P","Fill=—","Direction=H","UseDPDF=Y")</f>
        <v>#NAME?</v>
      </c>
      <c r="AU79" s="1" t="e">
        <f ca="1">_xll.BDH($C$78,"NET_FIXED_ASSETS_5_YEAR_GROWTH","FQ1 2014","FQ1 2014","Currency=INR","Period=FQ","BEST_FPERIOD_OVERRIDE=FQ","FILING_STATUS=OR","EQY_CONSOLIDATED=Y","Sort=A","Dates=H","DateFormat=P","Fill=—","Direction=H","UseDPDF=Y")</f>
        <v>#NAME?</v>
      </c>
      <c r="AV79" s="1" t="e">
        <f ca="1">_xll.BDH($C$78,"GEO_GROW_TOT_ASSET","FQ1 2014","FQ1 2014","Currency=INR","Period=FQ","BEST_FPERIOD_OVERRIDE=FQ","FILING_STATUS=OR","EQY_CONSOLIDATED=Y","Sort=A","Dates=H","DateFormat=P","Fill=—","Direction=H","UseDPDF=Y")</f>
        <v>#NAME?</v>
      </c>
      <c r="AW79" s="1" t="e">
        <f ca="1">_xll.BDH($C$78,"MODIFIED_WORKING_CPTL_5YR_GRWTH","FQ1 2014","FQ1 2014","Currency=INR","Period=FQ","BEST_FPERIOD_OVERRIDE=FQ","FILING_STATUS=OR","EQY_CONSOLIDATED=Y","Sort=A","Dates=H","DateFormat=P","Fill=—","Direction=H","UseDPDF=Y")</f>
        <v>#NAME?</v>
      </c>
      <c r="AX79" s="1" t="e">
        <f ca="1">_xll.BDH($C$78,"WORKING_CAPITAL_5_YEAR_GROWTH","FQ1 2014","FQ1 2014","Currency=INR","Period=FQ","BEST_FPERIOD_OVERRIDE=FQ","FILING_STATUS=OR","EQY_CONSOLIDATED=Y","Sort=A","Dates=H","DateFormat=P","Fill=—","Direction=H","UseDPDF=Y")</f>
        <v>#NAME?</v>
      </c>
      <c r="AY79" s="1" t="e">
        <f ca="1">_xll.BDH($C$78,"ACCOUNTS_PAYABLE_5_YEAR_GROWTH","FQ1 2014","FQ1 2014","Currency=INR","Period=FQ","BEST_FPERIOD_OVERRIDE=FQ","FILING_STATUS=OR","EQY_CONSOLIDATED=Y","Sort=A","Dates=H","DateFormat=P","Fill=—","Direction=H","UseDPDF=Y")</f>
        <v>#NAME?</v>
      </c>
      <c r="AZ79" s="1" t="e">
        <f ca="1">_xll.BDH($C$78,"SHORT_TERM_DEBT_5_YEAR_GROWTH","FQ1 2014","FQ1 2014","Currency=INR","Period=FQ","BEST_FPERIOD_OVERRIDE=FQ","FILING_STATUS=OR","EQY_CONSOLIDATED=Y","Sort=A","Dates=H","DateFormat=P","Fill=—","Direction=H","UseDPDF=Y")</f>
        <v>#NAME?</v>
      </c>
      <c r="BA79" s="1" t="e">
        <f ca="1">_xll.BDH($C$78,"TOTAL_DEBT_5_YEAR_GROWTH","FQ1 2014","FQ1 2014","Currency=INR","Period=FQ","BEST_FPERIOD_OVERRIDE=FQ","FILING_STATUS=OR","EQY_CONSOLIDATED=Y","Sort=A","Dates=H","DateFormat=P","Fill=—","Direction=H","UseDPDF=Y")</f>
        <v>#NAME?</v>
      </c>
      <c r="BB79" s="1" t="e">
        <f ca="1">_xll.BDH($C$78,"GEO_GROW_TOT_SHRHLDR_EQY","FQ1 2014","FQ1 2014","Currency=INR","Period=FQ","BEST_FPERIOD_OVERRIDE=FQ","FILING_STATUS=OR","EQY_CONSOLIDATED=Y","Sort=A","Dates=H","DateFormat=P","Fill=—","Direction=H","UseDPDF=Y")</f>
        <v>#NAME?</v>
      </c>
      <c r="BC79" s="1" t="e">
        <f ca="1">_xll.BDH($C$78,"TOTAL_CAPITAL_5_YEAR_GROWTH","FQ1 2014","FQ1 2014","Currency=INR","Period=FQ","BEST_FPERIOD_OVERRIDE=FQ","FILING_STATUS=OR","EQY_CONSOLIDATED=Y","Sort=A","Dates=H","DateFormat=P","Fill=—","Direction=H","UseDPDF=Y")</f>
        <v>#NAME?</v>
      </c>
      <c r="BD79" s="1" t="e">
        <f ca="1">_xll.BDH($C$78,"GEO_GROW_BOOK_VAL","FQ1 2014","FQ1 2014","Currency=INR","Period=FQ","BEST_FPERIOD_OVERRIDE=FQ","FILING_STATUS=OR","EQY_CONSOLIDATED=Y","Sort=A","Dates=H","DateFormat=P","Fill=—","Direction=H","UseDPDF=Y")</f>
        <v>#NAME?</v>
      </c>
      <c r="BE79" s="1" t="e">
        <f ca="1">_xll.BDH($C$78,"GEO_GROW_CASH_OPER_ACT","FQ1 2014","FQ1 2014","Currency=INR","Period=FQ","BEST_FPERIOD_OVERRIDE=FQ","FILING_STATUS=OR","EQY_CONSOLIDATED=Y","Sort=A","Dates=H","DateFormat=P","Fill=—","Direction=H","UseDPDF=Y")</f>
        <v>#NAME?</v>
      </c>
      <c r="BF79" s="1" t="e">
        <f ca="1">_xll.BDH($C$78,"REVENUE_SEQUENTIAL_GROWTH","FQ1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79" s="1" t="e">
        <f ca="1">_xll.BDH($C$78,"EBITDA_SEQUENTIAL_GROWTH","FQ1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79" s="1" t="e">
        <f ca="1">_xll.BDH($C$78,"OPERATING_INCOME_SEQ_GROWTH","FQ1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79" s="1" t="e">
        <f ca="1">_xll.BDH($C$78,"NET_INCOME_TO_COMMON_SEQ_GROWTH","FQ1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79" s="1" t="e">
        <f ca="1">_xll.BDH($C$78,"EPS_DILUTED_SEQUENTIAL_GROWTH","FQ1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79" s="1" t="e">
        <f ca="1">_xll.BDH($C$78,"DPS_SEQUENTIAL_GROWTH","FQ1 2014","FQ1 2014","Currency=INR","Period=FQ","BEST_FPERIOD_OVERRIDE=FQ","FILING_STATUS=OR","EQY_CONSOLIDATED=Y","Sort=A","Dates=H","DateFormat=P","Fill=—","Direction=H","UseDPDF=Y")</f>
        <v>#NAME?</v>
      </c>
      <c r="BL79" s="1" t="e">
        <f ca="1">_xll.BDH($C$78,"ACCOUNTS_RECEIVABLE_SEQ_GROWTH","FQ1 2014","FQ1 2014","Currency=INR","Period=FQ","BEST_FPERIOD_OVERRIDE=FQ","FILING_STATUS=OR","EQY_CONSOLIDATED=Y","Sort=A","Dates=H","DateFormat=P","Fill=—","Direction=H","UseDPDF=Y")</f>
        <v>#NAME?</v>
      </c>
      <c r="BM79" s="1" t="e">
        <f ca="1">_xll.BDH($C$78,"INVENTORY_SEQUENTIAL_GROWTH","FQ1 2014","FQ1 2014","Currency=INR","Period=FQ","BEST_FPERIOD_OVERRIDE=FQ","FILING_STATUS=OR","EQY_CONSOLIDATED=Y","Sort=A","Dates=H","DateFormat=P","Fill=—","Direction=H","UseDPDF=Y")</f>
        <v>#NAME?</v>
      </c>
      <c r="BN79" s="1" t="e">
        <f ca="1">_xll.BDH($C$78,"FIXED_ASSETS_SEQUENTIAL_GROWTH","FQ1 2014","FQ1 2014","Currency=INR","Period=FQ","BEST_FPERIOD_OVERRIDE=FQ","FILING_STATUS=OR","EQY_CONSOLIDATED=Y","Sort=A","Dates=H","DateFormat=P","Fill=—","Direction=H","UseDPDF=Y")</f>
        <v>#NAME?</v>
      </c>
      <c r="BO79" s="1" t="e">
        <f ca="1">_xll.BDH($C$78,"TOTAL_ASSETS_SEQUENTIAL_GROWTH","FQ1 2014","FQ1 2014","Currency=INR","Period=FQ","BEST_FPERIOD_OVERRIDE=FQ","FILING_STATUS=OR","EQY_CONSOLIDATED=Y","Sort=A","Dates=H","DateFormat=P","Fill=—","Direction=H","UseDPDF=Y")</f>
        <v>#NAME?</v>
      </c>
      <c r="BP79" s="1" t="e">
        <f ca="1">_xll.BDH($C$78,"MODIFIED_WORKING_CPTL_SEQ_GRWTH","FQ1 2014","FQ1 2014","Currency=INR","Period=FQ","BEST_FPERIOD_OVERRIDE=FQ","FILING_STATUS=OR","EQY_CONSOLIDATED=Y","Sort=A","Dates=H","DateFormat=P","Fill=—","Direction=H","UseDPDF=Y")</f>
        <v>#NAME?</v>
      </c>
      <c r="BQ79" s="1" t="e">
        <f ca="1">_xll.BDH($C$78,"WORKING_CAPITAL_SEQ_GROWTH","FQ1 2014","FQ1 2014","Currency=INR","Period=FQ","BEST_FPERIOD_OVERRIDE=FQ","FILING_STATUS=OR","EQY_CONSOLIDATED=Y","Sort=A","Dates=H","DateFormat=P","Fill=—","Direction=H","UseDPDF=Y")</f>
        <v>#NAME?</v>
      </c>
      <c r="BR79" s="1" t="e">
        <f ca="1">_xll.BDH($C$78,"ACCOUNTS_PAYABLE_SEQ_GROWTH","FQ1 2014","FQ1 2014","Currency=INR","Period=FQ","BEST_FPERIOD_OVERRIDE=FQ","FILING_STATUS=OR","EQY_CONSOLIDATED=Y","Sort=A","Dates=H","DateFormat=P","Fill=—","Direction=H","UseDPDF=Y")</f>
        <v>#NAME?</v>
      </c>
      <c r="BS79" s="1" t="e">
        <f ca="1">_xll.BDH($C$78,"ST_DEBT_SEQUENTIAL_GROWTH","FQ1 2014","FQ1 2014","Currency=INR","Period=FQ","BEST_FPERIOD_OVERRIDE=FQ","FILING_STATUS=OR","EQY_CONSOLIDATED=Y","Sort=A","Dates=H","DateFormat=P","Fill=—","Direction=H","UseDPDF=Y")</f>
        <v>#NAME?</v>
      </c>
      <c r="BT79" s="1" t="e">
        <f ca="1">_xll.BDH($C$78,"TOTAL_DEBT_SEQUENTIAL_GROWTH","FQ1 2014","FQ1 2014","Currency=INR","Period=FQ","BEST_FPERIOD_OVERRIDE=FQ","FILING_STATUS=OR","EQY_CONSOLIDATED=Y","Sort=A","Dates=H","DateFormat=P","Fill=—","Direction=H","UseDPDF=Y")</f>
        <v>#NAME?</v>
      </c>
      <c r="BU79" s="1" t="e">
        <f ca="1">_xll.BDH($C$78,"TOTAL_EQUITY_SEQUENTIAL_GROWTH","FQ1 2014","FQ1 2014","Currency=INR","Period=FQ","BEST_FPERIOD_OVERRIDE=FQ","FILING_STATUS=OR","EQY_CONSOLIDATED=Y","Sort=A","Dates=H","DateFormat=P","Fill=—","Direction=H","UseDPDF=Y")</f>
        <v>#NAME?</v>
      </c>
      <c r="BV79" s="1" t="e">
        <f ca="1">_xll.BDH($C$78,"TOTAL_CAPITAL_SEQUENTIAL_GROWTH","FQ1 2014","FQ1 2014","Currency=INR","Period=FQ","BEST_FPERIOD_OVERRIDE=FQ","FILING_STATUS=OR","EQY_CONSOLIDATED=Y","Sort=A","Dates=H","DateFormat=P","Fill=—","Direction=H","UseDPDF=Y")</f>
        <v>#NAME?</v>
      </c>
      <c r="BW79" s="1" t="e">
        <f ca="1">_xll.BDH($C$78,"BPS_SEQUENTIAL_GROWTH","FQ1 2014","FQ1 2014","Currency=INR","Period=FQ","BEST_FPERIOD_OVERRIDE=FQ","FILING_STATUS=OR","EQY_CONSOLIDATED=Y","Sort=A","Dates=H","DateFormat=P","Fill=—","Direction=H","UseDPDF=Y")</f>
        <v>#NAME?</v>
      </c>
      <c r="BX79" s="1" t="e">
        <f ca="1">_xll.BDH($C$78,"CFO_SEQUENTIAL_GROWTH","FQ1 2014","FQ1 2014","Currency=INR","Period=FQ","BEST_FPERIOD_OVERRIDE=FQ","FILING_STATUS=OR","EQY_CONSOLIDATED=Y","Sort=A","Dates=H","DateFormat=P","Fill=—","Direction=H","UseDPDF=Y")</f>
        <v>#NAME?</v>
      </c>
      <c r="BY79" s="2" t="e">
        <f ca="1">_xll.BDH($C$78,"SHORT_AND_LONG_TERM_DEBT","FQ1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79" s="2" t="e">
        <f ca="1">_xll.BDH($C$78,"BS_ST_BORROW","FQ1 2014","FQ1 2014","Currency=INR","Period=FQ","BEST_FPERIOD_OVERRIDE=FQ","FILING_STATUS=OR","EQY_CONSOLIDATED=Y","SCALING_FORMAT=MLN","Sort=A","Dates=H","DateFormat=P","Fill=—","Direction=H","UseDPDF=Y")</f>
        <v>#NAME?</v>
      </c>
      <c r="CA79" s="2" t="e">
        <f ca="1">_xll.BDH($C$78,"BS_LT_BORROW","FQ1 2014","FQ1 2014","Currency=INR","Period=FQ","BEST_FPERIOD_OVERRIDE=FQ","FILING_STATUS=OR","EQY_CONSOLIDATED=Y","SCALING_FORMAT=MLN","Sort=A","Dates=H","DateFormat=P","Fill=—","Direction=H","UseDPDF=Y")</f>
        <v>#NAME?</v>
      </c>
      <c r="CB79" s="1" t="e">
        <f ca="1">_xll.BDH($C$78,"TOT_DEBT_TO_EBITDA","FQ1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79" s="1" t="e">
        <f ca="1">_xll.BDH($C$78,"NET_DEBT_TO_EBITDA","FQ1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79" s="1" t="e">
        <f ca="1">_xll.BDH($C$78,"TOTAL_DEBT_TO_EBIT","FQ1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79" s="1" t="e">
        <f ca="1">_xll.BDH($C$78,"NET_DEBT_TO_EBIT","FQ1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79" s="1" t="e">
        <f ca="1">_xll.BDH($C$78,"EBITDA_TO_INTEREST_EXPN","FQ1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79" s="1" t="e">
        <f ca="1">_xll.BDH($C$78,"COM_EQY_TO_TOT_ASSET","FQ1 2014","FQ1 2014","Currency=INR","Period=FQ","BEST_FPERIOD_OVERRIDE=FQ","FILING_STATUS=OR","EQY_CONSOLIDATED=Y","Sort=A","Dates=H","DateFormat=P","Fill=—","Direction=H","UseDPDF=Y")</f>
        <v>#NAME?</v>
      </c>
      <c r="CH79" s="1" t="e">
        <f ca="1">_xll.BDH($C$78,"LT_DEBT_TO_TOT_EQY","FQ1 2014","FQ1 2014","Currency=INR","Period=FQ","BEST_FPERIOD_OVERRIDE=FQ","FILING_STATUS=OR","EQY_CONSOLIDATED=Y","Sort=A","Dates=H","DateFormat=P","Fill=—","Direction=H","UseDPDF=Y")</f>
        <v>#NAME?</v>
      </c>
      <c r="CI79" s="1" t="e">
        <f ca="1">_xll.BDH($C$78,"LT_DEBT_TO_TOT_CAP","FQ1 2014","FQ1 2014","Currency=INR","Period=FQ","BEST_FPERIOD_OVERRIDE=FQ","FILING_STATUS=OR","EQY_CONSOLIDATED=Y","Sort=A","Dates=H","DateFormat=P","Fill=—","Direction=H","UseDPDF=Y")</f>
        <v>#NAME?</v>
      </c>
      <c r="CJ79" s="1" t="e">
        <f ca="1">_xll.BDH($C$78,"LT_DEBT_TO_TOT_ASSET","FQ1 2014","FQ1 2014","Currency=INR","Period=FQ","BEST_FPERIOD_OVERRIDE=FQ","FILING_STATUS=OR","EQY_CONSOLIDATED=Y","Sort=A","Dates=H","DateFormat=P","Fill=—","Direction=H","UseDPDF=Y")</f>
        <v>#NAME?</v>
      </c>
      <c r="CK79" s="1" t="e">
        <f ca="1">_xll.BDH($C$78,"TOT_DEBT_TO_TOT_EQY","FQ1 2014","FQ1 2014","Currency=INR","Period=FQ","BEST_FPERIOD_OVERRIDE=FQ","FILING_STATUS=OR","EQY_CONSOLIDATED=Y","Sort=A","Dates=H","DateFormat=P","Fill=—","Direction=H","UseDPDF=Y")</f>
        <v>#NAME?</v>
      </c>
      <c r="CL79" s="1" t="e">
        <f ca="1">_xll.BDH($C$78,"TOT_DEBT_TO_TOT_CAP","FQ1 2014","FQ1 2014","Currency=INR","Period=FQ","BEST_FPERIOD_OVERRIDE=FQ","FILING_STATUS=OR","EQY_CONSOLIDATED=Y","Sort=A","Dates=H","DateFormat=P","Fill=—","Direction=H","UseDPDF=Y")</f>
        <v>#NAME?</v>
      </c>
      <c r="CM79" s="1" t="e">
        <f ca="1">_xll.BDH($C$78,"TOT_DEBT_TO_TOT_ASSET","FQ1 2014","FQ1 2014","Currency=INR","Period=FQ","BEST_FPERIOD_OVERRIDE=FQ","FILING_STATUS=OR","EQY_CONSOLIDATED=Y","Sort=A","Dates=H","DateFormat=P","Fill=—","Direction=H","UseDPDF=Y")</f>
        <v>#NAME?</v>
      </c>
      <c r="CN79" s="1" t="e">
        <f ca="1">_xll.BDH($C$78,"NET_DEBT_TO_SHRHLDR_EQTY","FQ1 2014","FQ1 2014","Currency=INR","Period=FQ","BEST_FPERIOD_OVERRIDE=FQ","FILING_STATUS=OR","EQY_CONSOLIDATED=Y","Sort=A","Dates=H","DateFormat=P","Fill=—","Direction=H","UseDPDF=Y")</f>
        <v>#NAME?</v>
      </c>
      <c r="CO79" s="1" t="e">
        <f ca="1">_xll.BDH($C$78,"NET_DEBT_%_CAPITAL","FQ1 2014","FQ1 2014","Currency=INR","Period=FQ","BEST_FPERIOD_OVERRIDE=FQ","FILING_STATUS=OR","EQY_CONSOLIDATED=Y","Sort=A","Dates=H","DateFormat=P","Fill=—","Direction=H","UseDPDF=Y")</f>
        <v>#NAME?</v>
      </c>
      <c r="CP79" s="2" t="e">
        <f ca="1">_xll.BDH($C$78,"EBITDA","FQ1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79" s="2" t="e">
        <f ca="1">_xll.BDH($C$78,"EBITDA_AFTER_CAPEX","FQ1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79" s="2" t="e">
        <f ca="1">_xll.BDH($C$78,"IS_OPER_INC","FQ1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79" s="1" t="e">
        <f ca="1">_xll.BDH($C$78,"CASH_RATIO","FQ1 2014","FQ1 2014","Currency=INR","Period=FQ","BEST_FPERIOD_OVERRIDE=FQ","FILING_STATUS=OR","EQY_CONSOLIDATED=Y","Sort=A","Dates=H","DateFormat=P","Fill=—","Direction=H","UseDPDF=Y")</f>
        <v>#NAME?</v>
      </c>
      <c r="CT79" s="1" t="e">
        <f ca="1">_xll.BDH($C$78,"CUR_RATIO","FQ1 2014","FQ1 2014","Currency=INR","Period=FQ","BEST_FPERIOD_OVERRIDE=FQ","FILING_STATUS=OR","EQY_CONSOLIDATED=Y","Sort=A","Dates=H","DateFormat=P","Fill=—","Direction=H","UseDPDF=Y")</f>
        <v>#NAME?</v>
      </c>
      <c r="CU79" s="1" t="e">
        <f ca="1">_xll.BDH($C$78,"QUICK_RATIO","FQ1 2014","FQ1 2014","Currency=INR","Period=FQ","BEST_FPERIOD_OVERRIDE=FQ","FILING_STATUS=OR","EQY_CONSOLIDATED=Y","Sort=A","Dates=H","DateFormat=P","Fill=—","Direction=H","UseDPDF=Y")</f>
        <v>#NAME?</v>
      </c>
      <c r="CV79" s="1" t="e">
        <f ca="1">_xll.BDH($C$78,"ALTMAN_Z_SCORE","FQ1 2014","FQ1 2014","Currency=INR","Period=FQ","BEST_FPERIOD_OVERRIDE=FQ","FILING_STATUS=OR","EQY_CONSOLIDATED=Y","Sort=A","Dates=H","DateFormat=P","Fill=—","Direction=H","UseDPDF=Y")</f>
        <v>#NAME?</v>
      </c>
      <c r="CW79" s="3" t="e">
        <f ca="1">_xll.BDH($C$78,"ACCT_RCV_TURN","FQ1 2014","FQ1 2014","Currency=INR","Period=FQ","BEST_FPERIOD_OVERRIDE=FQ","FILING_STATUS=OR","EQY_CONSOLIDATED=Y","FA_ADJUSTED=GAAP","Sort=A","Dates=H","DateFormat=P","Fill=—","Direction=H","UseDPDF=Y")</f>
        <v>#NAME?</v>
      </c>
      <c r="CX79" s="1" t="e">
        <f ca="1">_xll.BDH($C$78,"ACCT_RCV_DAYS","FQ1 2014","FQ1 2014","Currency=INR","Period=FQ","BEST_FPERIOD_OVERRIDE=FQ","FILING_STATUS=OR","EQY_CONSOLIDATED=Y","FA_ADJUSTED=GAAP","Sort=A","Dates=H","DateFormat=P","Fill=—","Direction=H","UseDPDF=Y")</f>
        <v>#NAME?</v>
      </c>
      <c r="CY79" s="3" t="e">
        <f ca="1">_xll.BDH($C$78,"INVENT_TURN","FQ1 2014","FQ1 2014","Currency=INR","Period=FQ","BEST_FPERIOD_OVERRIDE=FQ","FILING_STATUS=OR","EQY_CONSOLIDATED=Y","FA_ADJUSTED=GAAP","Sort=A","Dates=H","DateFormat=P","Fill=—","Direction=H","UseDPDF=Y")</f>
        <v>#NAME?</v>
      </c>
      <c r="CZ79" s="1" t="e">
        <f ca="1">_xll.BDH($C$78,"INVENT_DAYS","FQ1 2014","FQ1 2014","Currency=INR","Period=FQ","BEST_FPERIOD_OVERRIDE=FQ","FILING_STATUS=OR","EQY_CONSOLIDATED=Y","FA_ADJUSTED=GAAP","Sort=A","Dates=H","DateFormat=P","Fill=—","Direction=H","UseDPDF=Y")</f>
        <v>#NAME?</v>
      </c>
      <c r="DA79" s="3" t="e">
        <f ca="1">_xll.BDH($C$78,"ACCOUNTS_PAYABLE_TURNOVER","FQ1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79" s="1" t="e">
        <f ca="1">_xll.BDH($C$78,"ACCOUNTS_PAYABLE_TURNOVER_DAYS","FQ1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79" s="3" t="e">
        <f ca="1">_xll.BDH($C$78,"CASH_CONVERSION_CYCLE","FQ1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79" s="3" t="e">
        <f ca="1">_xll.BDH($C$78,"INV_TO_CASH_DAYS","FQ1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79" s="4" t="e">
        <f ca="1">_xll.BDH($C$78,"BS_INVENTORIES","FQ1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79" s="2" t="e">
        <f ca="1">_xll.BDH($C$78,"INVTRY_RAW_MATERIALS","FQ1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79" s="2" t="e">
        <f ca="1">_xll.BDH($C$78,"INVTRY_IN_PROGRESS","FQ1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79" s="2" t="e">
        <f ca="1">_xll.BDH($C$78,"INVTRY_FINISHED_GOODS","FQ1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79" s="2" t="e">
        <f ca="1">_xll.BDH($C$78,"BS_OTHER_INV","FQ1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80" spans="1:113" x14ac:dyDescent="0.3">
      <c r="A80" s="6"/>
      <c r="B80" s="6"/>
      <c r="C80" s="6"/>
      <c r="D80" s="6"/>
      <c r="E80" t="s">
        <v>5</v>
      </c>
      <c r="F80" t="e">
        <f ca="1">_xll.BDH($C$78,"RETURN_COM_EQY","FQ2 2014","FQ2 2014","Currency=INR","Period=FQ","BEST_FPERIOD_OVERRIDE=FQ","FILING_STATUS=OR","EQY_CONSOLIDATED=Y","FA_ADJUSTED=GAAP","Sort=A","Dates=H","DateFormat=P","Fill=—","Direction=H","UseDPDF=Y")</f>
        <v>#NAME?</v>
      </c>
      <c r="G80" t="e">
        <f ca="1">_xll.BDH($C$78,"RETURN_ON_ASSET","FQ2 2014","FQ2 2014","Currency=INR","Period=FQ","BEST_FPERIOD_OVERRIDE=FQ","FILING_STATUS=OR","EQY_CONSOLIDATED=Y","FA_ADJUSTED=GAAP","Sort=A","Dates=H","DateFormat=P","Fill=—","Direction=H","UseDPDF=Y")</f>
        <v>#NAME?</v>
      </c>
      <c r="H80" t="e">
        <f ca="1">_xll.BDH($C$78,"RETURN_ON_CAP","FQ2 2014","FQ2 2014","Currency=INR","Period=FQ","BEST_FPERIOD_OVERRIDE=FQ","FILING_STATUS=OR","EQY_CONSOLIDATED=Y","FA_ADJUSTED=GAAP","Sort=A","Dates=H","DateFormat=P","Fill=—","Direction=H","UseDPDF=Y")</f>
        <v>#NAME?</v>
      </c>
      <c r="I80" t="e">
        <f ca="1">_xll.BDH($C$78,"RETURN_ON_INV_CAPITAL","FQ2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80" t="e">
        <f ca="1">_xll.BDH($C$78,"EBITDA_TO_REVENUE","FQ2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80" t="e">
        <f ca="1">_xll.BDH($C$78,"OPER_MARGIN","FQ2 2014","FQ2 2014","Currency=INR","Period=FQ","BEST_FPERIOD_OVERRIDE=FQ","FILING_STATUS=OR","EQY_CONSOLIDATED=Y","FA_ADJUSTED=GAAP","Sort=A","Dates=H","DateFormat=P","Fill=—","Direction=H","UseDPDF=Y")</f>
        <v>#NAME?</v>
      </c>
      <c r="L80" t="e">
        <f ca="1">_xll.BDH($C$78,"INCREMENTAL_OPERATING_MARGIN","FQ2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80" t="e">
        <f ca="1">_xll.BDH($C$78,"PRETAX_INC_TO_NET_SALES","FQ2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80" t="e">
        <f ca="1">_xll.BDH($C$78,"INC_BEF_XO_ITEMS_TO_NET_SALES","FQ2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80" t="e">
        <f ca="1">_xll.BDH($C$78,"PROF_MARGIN","FQ2 2014","FQ2 2014","Currency=INR","Period=FQ","BEST_FPERIOD_OVERRIDE=FQ","FILING_STATUS=OR","EQY_CONSOLIDATED=Y","FA_ADJUSTED=GAAP","Sort=A","Dates=H","DateFormat=P","Fill=—","Direction=H","UseDPDF=Y")</f>
        <v>#NAME?</v>
      </c>
      <c r="P80" t="e">
        <f ca="1">_xll.BDH($C$78,"NET_INCOME_TO_COMMON_MARGIN","FQ2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80" t="e">
        <f ca="1">_xll.BDH($C$78,"EFF_TAX_RATE","FQ2 2014","FQ2 2014","Currency=INR","Period=FQ","BEST_FPERIOD_OVERRIDE=FQ","FILING_STATUS=OR","EQY_CONSOLIDATED=Y","FA_ADJUSTED=GAAP","Sort=A","Dates=H","DateFormat=P","Fill=—","Direction=H","UseDPDF=Y")</f>
        <v>#NAME?</v>
      </c>
      <c r="R80" t="e">
        <f ca="1">_xll.BDH($C$78,"DVD_PAYOUT_RATIO","FQ2 2014","FQ2 2014","Currency=INR","Period=FQ","BEST_FPERIOD_OVERRIDE=FQ","FILING_STATUS=OR","EQY_CONSOLIDATED=Y","FA_ADJUSTED=GAAP","Sort=A","Dates=H","DateFormat=P","Fill=—","Direction=H","UseDPDF=Y")</f>
        <v>#NAME?</v>
      </c>
      <c r="S80" t="e">
        <f ca="1">_xll.BDH($C$78,"SUSTAIN_GROWTH_RT","FQ2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80" s="1" t="e">
        <f ca="1">_xll.BDH($C$78,"SALES_GROWTH","FQ2 2014","FQ2 2014","Currency=INR","Period=FQ","BEST_FPERIOD_OVERRIDE=FQ","FILING_STATUS=OR","EQY_CONSOLIDATED=Y","FA_ADJUSTED=GAAP","Sort=A","Dates=H","DateFormat=P","Fill=—","Direction=H","UseDPDF=Y")</f>
        <v>#NAME?</v>
      </c>
      <c r="U80" s="1" t="e">
        <f ca="1">_xll.BDH($C$78,"EBITDA_GROWTH","FQ2 2014","FQ2 2014","Currency=INR","Period=FQ","BEST_FPERIOD_OVERRIDE=FQ","FILING_STATUS=OR","EQY_CONSOLIDATED=Y","FA_ADJUSTED=GAAP","Sort=A","Dates=H","DateFormat=P","Fill=—","Direction=H","UseDPDF=Y")</f>
        <v>#NAME?</v>
      </c>
      <c r="V80" s="1" t="e">
        <f ca="1">_xll.BDH($C$78,"OPER_INC_GROWTH","FQ2 2014","FQ2 2014","Currency=INR","Period=FQ","BEST_FPERIOD_OVERRIDE=FQ","FILING_STATUS=OR","EQY_CONSOLIDATED=Y","FA_ADJUSTED=GAAP","Sort=A","Dates=H","DateFormat=P","Fill=—","Direction=H","UseDPDF=Y")</f>
        <v>#NAME?</v>
      </c>
      <c r="W80" s="1" t="e">
        <f ca="1">_xll.BDH($C$78,"EARN_FOR_COM_GROWTH","FQ2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80" s="1" t="e">
        <f ca="1">_xll.BDH($C$78,"DILUTED_EPS_AFT_XO_ITEMS_GROWTH","FQ2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80" s="1" t="e">
        <f ca="1">_xll.BDH($C$78,"DIVIDEND_PER_SHARE_1_YEAR_GROWTH","FQ2 2014","FQ2 2014","Currency=INR","Period=FQ","BEST_FPERIOD_OVERRIDE=FQ","FILING_STATUS=OR","EQY_CONSOLIDATED=Y","Sort=A","Dates=H","DateFormat=P","Fill=—","Direction=H","UseDPDF=Y")</f>
        <v>#NAME?</v>
      </c>
      <c r="Z80" s="1" t="e">
        <f ca="1">_xll.BDH($C$78,"ACCOUNTS_RECEIVABLE_GROWTH","FQ2 2014","FQ2 2014","Currency=INR","Period=FQ","BEST_FPERIOD_OVERRIDE=FQ","FILING_STATUS=OR","EQY_CONSOLIDATED=Y","Sort=A","Dates=H","DateFormat=P","Fill=—","Direction=H","UseDPDF=Y")</f>
        <v>#NAME?</v>
      </c>
      <c r="AA80" s="1" t="e">
        <f ca="1">_xll.BDH($C$78,"INVENTORY_GROWTH","FQ2 2014","FQ2 2014","Currency=INR","Period=FQ","BEST_FPERIOD_OVERRIDE=FQ","FILING_STATUS=OR","EQY_CONSOLIDATED=Y","Sort=A","Dates=H","DateFormat=P","Fill=—","Direction=H","UseDPDF=Y")</f>
        <v>#NAME?</v>
      </c>
      <c r="AB80" s="1" t="e">
        <f ca="1">_xll.BDH($C$78,"NET_FIXED_ASSETS_1_YEAR_GROWTH","FQ2 2014","FQ2 2014","Currency=INR","Period=FQ","BEST_FPERIOD_OVERRIDE=FQ","FILING_STATUS=OR","EQY_CONSOLIDATED=Y","Sort=A","Dates=H","DateFormat=P","Fill=—","Direction=H","UseDPDF=Y")</f>
        <v>#NAME?</v>
      </c>
      <c r="AC80" s="1" t="e">
        <f ca="1">_xll.BDH($C$78,"ASSET_GROWTH","FQ2 2014","FQ2 2014","Currency=INR","Period=FQ","BEST_FPERIOD_OVERRIDE=FQ","FILING_STATUS=OR","EQY_CONSOLIDATED=Y","Sort=A","Dates=H","DateFormat=P","Fill=—","Direction=H","UseDPDF=Y")</f>
        <v>#NAME?</v>
      </c>
      <c r="AD80" s="1" t="e">
        <f ca="1">_xll.BDH($C$78,"MODIFIED_WORK_CAP_GROWTH","FQ2 2014","FQ2 2014","Currency=INR","Period=FQ","BEST_FPERIOD_OVERRIDE=FQ","FILING_STATUS=OR","EQY_CONSOLIDATED=Y","Sort=A","Dates=H","DateFormat=P","Fill=—","Direction=H","UseDPDF=Y")</f>
        <v>#NAME?</v>
      </c>
      <c r="AE80" s="1" t="e">
        <f ca="1">_xll.BDH($C$78,"WORK_CAP_GROWTH","FQ2 2014","FQ2 2014","Currency=INR","Period=FQ","BEST_FPERIOD_OVERRIDE=FQ","FILING_STATUS=OR","EQY_CONSOLIDATED=Y","Sort=A","Dates=H","DateFormat=P","Fill=—","Direction=H","UseDPDF=Y")</f>
        <v>#NAME?</v>
      </c>
      <c r="AF80" s="1" t="e">
        <f ca="1">_xll.BDH($C$78,"ACCOUNTS_PAYABLE_GROWTH_1YR","FQ2 2014","FQ2 2014","Currency=INR","Period=FQ","BEST_FPERIOD_OVERRIDE=FQ","FILING_STATUS=OR","EQY_CONSOLIDATED=Y","Sort=A","Dates=H","DateFormat=P","Fill=—","Direction=H","UseDPDF=Y")</f>
        <v>#NAME?</v>
      </c>
      <c r="AG80" s="1" t="e">
        <f ca="1">_xll.BDH($C$78,"SHORT_TERM_DEBT_1_YEAR_GROWTH","FQ2 2014","FQ2 2014","Currency=INR","Period=FQ","BEST_FPERIOD_OVERRIDE=FQ","FILING_STATUS=OR","EQY_CONSOLIDATED=Y","Sort=A","Dates=H","DateFormat=P","Fill=—","Direction=H","UseDPDF=Y")</f>
        <v>#NAME?</v>
      </c>
      <c r="AH80" s="1" t="e">
        <f ca="1">_xll.BDH($C$78,"TOTAL_DEBT_1_YEAR_GROWTH","FQ2 2014","FQ2 2014","Currency=INR","Period=FQ","BEST_FPERIOD_OVERRIDE=FQ","FILING_STATUS=OR","EQY_CONSOLIDATED=Y","Sort=A","Dates=H","DateFormat=P","Fill=—","Direction=H","UseDPDF=Y")</f>
        <v>#NAME?</v>
      </c>
      <c r="AI80" s="1" t="e">
        <f ca="1">_xll.BDH($C$78,"TOTAL_EQUITY_1_YEAR_GROWTH","FQ2 2014","FQ2 2014","Currency=INR","Period=FQ","BEST_FPERIOD_OVERRIDE=FQ","FILING_STATUS=OR","EQY_CONSOLIDATED=Y","Sort=A","Dates=H","DateFormat=P","Fill=—","Direction=H","UseDPDF=Y")</f>
        <v>#NAME?</v>
      </c>
      <c r="AJ80" s="1" t="e">
        <f ca="1">_xll.BDH($C$78,"GROWTH_IN_CAP","FQ2 2014","FQ2 2014","Currency=INR","Period=FQ","BEST_FPERIOD_OVERRIDE=FQ","FILING_STATUS=OR","EQY_CONSOLIDATED=Y","Sort=A","Dates=H","DateFormat=P","Fill=—","Direction=H","UseDPDF=Y")</f>
        <v>#NAME?</v>
      </c>
      <c r="AK80" s="1" t="e">
        <f ca="1">_xll.BDH($C$78,"BVPS_GROWTH","FQ2 2014","FQ2 2014","Currency=INR","Period=FQ","BEST_FPERIOD_OVERRIDE=FQ","FILING_STATUS=OR","EQY_CONSOLIDATED=Y","Sort=A","Dates=H","DateFormat=P","Fill=—","Direction=H","UseDPDF=Y")</f>
        <v>#NAME?</v>
      </c>
      <c r="AL80" s="1" t="e">
        <f ca="1">_xll.BDH($C$78,"CASH_FLOW_GROWTH","FQ2 2014","FQ2 2014","Currency=INR","Period=FQ","BEST_FPERIOD_OVERRIDE=FQ","FILING_STATUS=OR","EQY_CONSOLIDATED=Y","Sort=A","Dates=H","DateFormat=P","Fill=—","Direction=H","UseDPDF=Y")</f>
        <v>#NAME?</v>
      </c>
      <c r="AM80" s="1" t="e">
        <f ca="1">_xll.BDH($C$78,"GEO_GROW_NET_SALES","FQ2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80" s="1" t="e">
        <f ca="1">_xll.BDH($C$78,"GEO_GROW_EBITDA","FQ2 2014","FQ2 2014","Currency=INR","Period=FQ","BEST_FPERIOD_OVERRIDE=FQ","FILING_STATUS=OR","EQY_CONSOLIDATED=Y","FA_ADJUSTED=GAAP","Sort=A","Dates=H","DateFormat=P","Fill=—","Direction=H","UseDPDF=Y")</f>
        <v>#NAME?</v>
      </c>
      <c r="AO80" s="1" t="e">
        <f ca="1">_xll.BDH($C$78,"GEO_GROW_OPER_INC","FQ2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80" s="1" t="e">
        <f ca="1">_xll.BDH($C$78,"NET_INCOME_TO_COMMON_5_YR_GROWTH","FQ2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80" s="1" t="e">
        <f ca="1">_xll.BDH($C$78,"5Y_GEO_GROWTH_DILUTED_EPS","FQ2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80" s="1" t="e">
        <f ca="1">_xll.BDH($C$78,"GEO_GROW_DVD_PER_SH","FQ2 2014","FQ2 2014","Currency=INR","Period=FQ","BEST_FPERIOD_OVERRIDE=FQ","FILING_STATUS=OR","EQY_CONSOLIDATED=Y","Sort=A","Dates=H","DateFormat=P","Fill=—","Direction=H","UseDPDF=Y")</f>
        <v>#NAME?</v>
      </c>
      <c r="AS80" s="1" t="e">
        <f ca="1">_xll.BDH($C$78,"ACCOUNTS_RECEIVABLE_5_YR_GROWTH","FQ2 2014","FQ2 2014","Currency=INR","Period=FQ","BEST_FPERIOD_OVERRIDE=FQ","FILING_STATUS=OR","EQY_CONSOLIDATED=Y","Sort=A","Dates=H","DateFormat=P","Fill=—","Direction=H","UseDPDF=Y")</f>
        <v>#NAME?</v>
      </c>
      <c r="AT80" s="1" t="e">
        <f ca="1">_xll.BDH($C$78,"INVENTORY_5_YEAR_GROWTH","FQ2 2014","FQ2 2014","Currency=INR","Period=FQ","BEST_FPERIOD_OVERRIDE=FQ","FILING_STATUS=OR","EQY_CONSOLIDATED=Y","Sort=A","Dates=H","DateFormat=P","Fill=—","Direction=H","UseDPDF=Y")</f>
        <v>#NAME?</v>
      </c>
      <c r="AU80" s="1" t="e">
        <f ca="1">_xll.BDH($C$78,"NET_FIXED_ASSETS_5_YEAR_GROWTH","FQ2 2014","FQ2 2014","Currency=INR","Period=FQ","BEST_FPERIOD_OVERRIDE=FQ","FILING_STATUS=OR","EQY_CONSOLIDATED=Y","Sort=A","Dates=H","DateFormat=P","Fill=—","Direction=H","UseDPDF=Y")</f>
        <v>#NAME?</v>
      </c>
      <c r="AV80" s="1" t="e">
        <f ca="1">_xll.BDH($C$78,"GEO_GROW_TOT_ASSET","FQ2 2014","FQ2 2014","Currency=INR","Period=FQ","BEST_FPERIOD_OVERRIDE=FQ","FILING_STATUS=OR","EQY_CONSOLIDATED=Y","Sort=A","Dates=H","DateFormat=P","Fill=—","Direction=H","UseDPDF=Y")</f>
        <v>#NAME?</v>
      </c>
      <c r="AW80" s="1" t="e">
        <f ca="1">_xll.BDH($C$78,"MODIFIED_WORKING_CPTL_5YR_GRWTH","FQ2 2014","FQ2 2014","Currency=INR","Period=FQ","BEST_FPERIOD_OVERRIDE=FQ","FILING_STATUS=OR","EQY_CONSOLIDATED=Y","Sort=A","Dates=H","DateFormat=P","Fill=—","Direction=H","UseDPDF=Y")</f>
        <v>#NAME?</v>
      </c>
      <c r="AX80" s="1" t="e">
        <f ca="1">_xll.BDH($C$78,"WORKING_CAPITAL_5_YEAR_GROWTH","FQ2 2014","FQ2 2014","Currency=INR","Period=FQ","BEST_FPERIOD_OVERRIDE=FQ","FILING_STATUS=OR","EQY_CONSOLIDATED=Y","Sort=A","Dates=H","DateFormat=P","Fill=—","Direction=H","UseDPDF=Y")</f>
        <v>#NAME?</v>
      </c>
      <c r="AY80" s="1" t="e">
        <f ca="1">_xll.BDH($C$78,"ACCOUNTS_PAYABLE_5_YEAR_GROWTH","FQ2 2014","FQ2 2014","Currency=INR","Period=FQ","BEST_FPERIOD_OVERRIDE=FQ","FILING_STATUS=OR","EQY_CONSOLIDATED=Y","Sort=A","Dates=H","DateFormat=P","Fill=—","Direction=H","UseDPDF=Y")</f>
        <v>#NAME?</v>
      </c>
      <c r="AZ80" s="1" t="e">
        <f ca="1">_xll.BDH($C$78,"SHORT_TERM_DEBT_5_YEAR_GROWTH","FQ2 2014","FQ2 2014","Currency=INR","Period=FQ","BEST_FPERIOD_OVERRIDE=FQ","FILING_STATUS=OR","EQY_CONSOLIDATED=Y","Sort=A","Dates=H","DateFormat=P","Fill=—","Direction=H","UseDPDF=Y")</f>
        <v>#NAME?</v>
      </c>
      <c r="BA80" s="1" t="e">
        <f ca="1">_xll.BDH($C$78,"TOTAL_DEBT_5_YEAR_GROWTH","FQ2 2014","FQ2 2014","Currency=INR","Period=FQ","BEST_FPERIOD_OVERRIDE=FQ","FILING_STATUS=OR","EQY_CONSOLIDATED=Y","Sort=A","Dates=H","DateFormat=P","Fill=—","Direction=H","UseDPDF=Y")</f>
        <v>#NAME?</v>
      </c>
      <c r="BB80" s="1" t="e">
        <f ca="1">_xll.BDH($C$78,"GEO_GROW_TOT_SHRHLDR_EQY","FQ2 2014","FQ2 2014","Currency=INR","Period=FQ","BEST_FPERIOD_OVERRIDE=FQ","FILING_STATUS=OR","EQY_CONSOLIDATED=Y","Sort=A","Dates=H","DateFormat=P","Fill=—","Direction=H","UseDPDF=Y")</f>
        <v>#NAME?</v>
      </c>
      <c r="BC80" s="1" t="e">
        <f ca="1">_xll.BDH($C$78,"TOTAL_CAPITAL_5_YEAR_GROWTH","FQ2 2014","FQ2 2014","Currency=INR","Period=FQ","BEST_FPERIOD_OVERRIDE=FQ","FILING_STATUS=OR","EQY_CONSOLIDATED=Y","Sort=A","Dates=H","DateFormat=P","Fill=—","Direction=H","UseDPDF=Y")</f>
        <v>#NAME?</v>
      </c>
      <c r="BD80" s="1" t="e">
        <f ca="1">_xll.BDH($C$78,"GEO_GROW_BOOK_VAL","FQ2 2014","FQ2 2014","Currency=INR","Period=FQ","BEST_FPERIOD_OVERRIDE=FQ","FILING_STATUS=OR","EQY_CONSOLIDATED=Y","Sort=A","Dates=H","DateFormat=P","Fill=—","Direction=H","UseDPDF=Y")</f>
        <v>#NAME?</v>
      </c>
      <c r="BE80" s="1" t="e">
        <f ca="1">_xll.BDH($C$78,"GEO_GROW_CASH_OPER_ACT","FQ2 2014","FQ2 2014","Currency=INR","Period=FQ","BEST_FPERIOD_OVERRIDE=FQ","FILING_STATUS=OR","EQY_CONSOLIDATED=Y","Sort=A","Dates=H","DateFormat=P","Fill=—","Direction=H","UseDPDF=Y")</f>
        <v>#NAME?</v>
      </c>
      <c r="BF80" s="1" t="e">
        <f ca="1">_xll.BDH($C$78,"REVENUE_SEQUENTIAL_GROWTH","FQ2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80" s="1" t="e">
        <f ca="1">_xll.BDH($C$78,"EBITDA_SEQUENTIAL_GROWTH","FQ2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80" s="1" t="e">
        <f ca="1">_xll.BDH($C$78,"OPERATING_INCOME_SEQ_GROWTH","FQ2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80" s="1" t="e">
        <f ca="1">_xll.BDH($C$78,"NET_INCOME_TO_COMMON_SEQ_GROWTH","FQ2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80" s="1" t="e">
        <f ca="1">_xll.BDH($C$78,"EPS_DILUTED_SEQUENTIAL_GROWTH","FQ2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80" s="1" t="e">
        <f ca="1">_xll.BDH($C$78,"DPS_SEQUENTIAL_GROWTH","FQ2 2014","FQ2 2014","Currency=INR","Period=FQ","BEST_FPERIOD_OVERRIDE=FQ","FILING_STATUS=OR","EQY_CONSOLIDATED=Y","Sort=A","Dates=H","DateFormat=P","Fill=—","Direction=H","UseDPDF=Y")</f>
        <v>#NAME?</v>
      </c>
      <c r="BL80" s="1" t="e">
        <f ca="1">_xll.BDH($C$78,"ACCOUNTS_RECEIVABLE_SEQ_GROWTH","FQ2 2014","FQ2 2014","Currency=INR","Period=FQ","BEST_FPERIOD_OVERRIDE=FQ","FILING_STATUS=OR","EQY_CONSOLIDATED=Y","Sort=A","Dates=H","DateFormat=P","Fill=—","Direction=H","UseDPDF=Y")</f>
        <v>#NAME?</v>
      </c>
      <c r="BM80" s="1" t="e">
        <f ca="1">_xll.BDH($C$78,"INVENTORY_SEQUENTIAL_GROWTH","FQ2 2014","FQ2 2014","Currency=INR","Period=FQ","BEST_FPERIOD_OVERRIDE=FQ","FILING_STATUS=OR","EQY_CONSOLIDATED=Y","Sort=A","Dates=H","DateFormat=P","Fill=—","Direction=H","UseDPDF=Y")</f>
        <v>#NAME?</v>
      </c>
      <c r="BN80" s="1" t="e">
        <f ca="1">_xll.BDH($C$78,"FIXED_ASSETS_SEQUENTIAL_GROWTH","FQ2 2014","FQ2 2014","Currency=INR","Period=FQ","BEST_FPERIOD_OVERRIDE=FQ","FILING_STATUS=OR","EQY_CONSOLIDATED=Y","Sort=A","Dates=H","DateFormat=P","Fill=—","Direction=H","UseDPDF=Y")</f>
        <v>#NAME?</v>
      </c>
      <c r="BO80" s="1" t="e">
        <f ca="1">_xll.BDH($C$78,"TOTAL_ASSETS_SEQUENTIAL_GROWTH","FQ2 2014","FQ2 2014","Currency=INR","Period=FQ","BEST_FPERIOD_OVERRIDE=FQ","FILING_STATUS=OR","EQY_CONSOLIDATED=Y","Sort=A","Dates=H","DateFormat=P","Fill=—","Direction=H","UseDPDF=Y")</f>
        <v>#NAME?</v>
      </c>
      <c r="BP80" s="1" t="e">
        <f ca="1">_xll.BDH($C$78,"MODIFIED_WORKING_CPTL_SEQ_GRWTH","FQ2 2014","FQ2 2014","Currency=INR","Period=FQ","BEST_FPERIOD_OVERRIDE=FQ","FILING_STATUS=OR","EQY_CONSOLIDATED=Y","Sort=A","Dates=H","DateFormat=P","Fill=—","Direction=H","UseDPDF=Y")</f>
        <v>#NAME?</v>
      </c>
      <c r="BQ80" s="1" t="e">
        <f ca="1">_xll.BDH($C$78,"WORKING_CAPITAL_SEQ_GROWTH","FQ2 2014","FQ2 2014","Currency=INR","Period=FQ","BEST_FPERIOD_OVERRIDE=FQ","FILING_STATUS=OR","EQY_CONSOLIDATED=Y","Sort=A","Dates=H","DateFormat=P","Fill=—","Direction=H","UseDPDF=Y")</f>
        <v>#NAME?</v>
      </c>
      <c r="BR80" s="1" t="e">
        <f ca="1">_xll.BDH($C$78,"ACCOUNTS_PAYABLE_SEQ_GROWTH","FQ2 2014","FQ2 2014","Currency=INR","Period=FQ","BEST_FPERIOD_OVERRIDE=FQ","FILING_STATUS=OR","EQY_CONSOLIDATED=Y","Sort=A","Dates=H","DateFormat=P","Fill=—","Direction=H","UseDPDF=Y")</f>
        <v>#NAME?</v>
      </c>
      <c r="BS80" s="1" t="e">
        <f ca="1">_xll.BDH($C$78,"ST_DEBT_SEQUENTIAL_GROWTH","FQ2 2014","FQ2 2014","Currency=INR","Period=FQ","BEST_FPERIOD_OVERRIDE=FQ","FILING_STATUS=OR","EQY_CONSOLIDATED=Y","Sort=A","Dates=H","DateFormat=P","Fill=—","Direction=H","UseDPDF=Y")</f>
        <v>#NAME?</v>
      </c>
      <c r="BT80" s="1" t="e">
        <f ca="1">_xll.BDH($C$78,"TOTAL_DEBT_SEQUENTIAL_GROWTH","FQ2 2014","FQ2 2014","Currency=INR","Period=FQ","BEST_FPERIOD_OVERRIDE=FQ","FILING_STATUS=OR","EQY_CONSOLIDATED=Y","Sort=A","Dates=H","DateFormat=P","Fill=—","Direction=H","UseDPDF=Y")</f>
        <v>#NAME?</v>
      </c>
      <c r="BU80" s="1" t="e">
        <f ca="1">_xll.BDH($C$78,"TOTAL_EQUITY_SEQUENTIAL_GROWTH","FQ2 2014","FQ2 2014","Currency=INR","Period=FQ","BEST_FPERIOD_OVERRIDE=FQ","FILING_STATUS=OR","EQY_CONSOLIDATED=Y","Sort=A","Dates=H","DateFormat=P","Fill=—","Direction=H","UseDPDF=Y")</f>
        <v>#NAME?</v>
      </c>
      <c r="BV80" s="1" t="e">
        <f ca="1">_xll.BDH($C$78,"TOTAL_CAPITAL_SEQUENTIAL_GROWTH","FQ2 2014","FQ2 2014","Currency=INR","Period=FQ","BEST_FPERIOD_OVERRIDE=FQ","FILING_STATUS=OR","EQY_CONSOLIDATED=Y","Sort=A","Dates=H","DateFormat=P","Fill=—","Direction=H","UseDPDF=Y")</f>
        <v>#NAME?</v>
      </c>
      <c r="BW80" s="1" t="e">
        <f ca="1">_xll.BDH($C$78,"BPS_SEQUENTIAL_GROWTH","FQ2 2014","FQ2 2014","Currency=INR","Period=FQ","BEST_FPERIOD_OVERRIDE=FQ","FILING_STATUS=OR","EQY_CONSOLIDATED=Y","Sort=A","Dates=H","DateFormat=P","Fill=—","Direction=H","UseDPDF=Y")</f>
        <v>#NAME?</v>
      </c>
      <c r="BX80" s="1" t="e">
        <f ca="1">_xll.BDH($C$78,"CFO_SEQUENTIAL_GROWTH","FQ2 2014","FQ2 2014","Currency=INR","Period=FQ","BEST_FPERIOD_OVERRIDE=FQ","FILING_STATUS=OR","EQY_CONSOLIDATED=Y","Sort=A","Dates=H","DateFormat=P","Fill=—","Direction=H","UseDPDF=Y")</f>
        <v>#NAME?</v>
      </c>
      <c r="BY80" s="2" t="e">
        <f ca="1">_xll.BDH($C$78,"SHORT_AND_LONG_TERM_DEBT","FQ2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80" s="2" t="e">
        <f ca="1">_xll.BDH($C$78,"BS_ST_BORROW","FQ2 2014","FQ2 2014","Currency=INR","Period=FQ","BEST_FPERIOD_OVERRIDE=FQ","FILING_STATUS=OR","EQY_CONSOLIDATED=Y","SCALING_FORMAT=MLN","Sort=A","Dates=H","DateFormat=P","Fill=—","Direction=H","UseDPDF=Y")</f>
        <v>#NAME?</v>
      </c>
      <c r="CA80" s="2" t="e">
        <f ca="1">_xll.BDH($C$78,"BS_LT_BORROW","FQ2 2014","FQ2 2014","Currency=INR","Period=FQ","BEST_FPERIOD_OVERRIDE=FQ","FILING_STATUS=OR","EQY_CONSOLIDATED=Y","SCALING_FORMAT=MLN","Sort=A","Dates=H","DateFormat=P","Fill=—","Direction=H","UseDPDF=Y")</f>
        <v>#NAME?</v>
      </c>
      <c r="CB80" s="1" t="e">
        <f ca="1">_xll.BDH($C$78,"TOT_DEBT_TO_EBITDA","FQ2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80" s="1" t="e">
        <f ca="1">_xll.BDH($C$78,"NET_DEBT_TO_EBITDA","FQ2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80" s="1" t="e">
        <f ca="1">_xll.BDH($C$78,"TOTAL_DEBT_TO_EBIT","FQ2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80" s="1" t="e">
        <f ca="1">_xll.BDH($C$78,"NET_DEBT_TO_EBIT","FQ2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80" s="1" t="e">
        <f ca="1">_xll.BDH($C$78,"EBITDA_TO_INTEREST_EXPN","FQ2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80" s="1" t="e">
        <f ca="1">_xll.BDH($C$78,"COM_EQY_TO_TOT_ASSET","FQ2 2014","FQ2 2014","Currency=INR","Period=FQ","BEST_FPERIOD_OVERRIDE=FQ","FILING_STATUS=OR","EQY_CONSOLIDATED=Y","Sort=A","Dates=H","DateFormat=P","Fill=—","Direction=H","UseDPDF=Y")</f>
        <v>#NAME?</v>
      </c>
      <c r="CH80" s="1" t="e">
        <f ca="1">_xll.BDH($C$78,"LT_DEBT_TO_TOT_EQY","FQ2 2014","FQ2 2014","Currency=INR","Period=FQ","BEST_FPERIOD_OVERRIDE=FQ","FILING_STATUS=OR","EQY_CONSOLIDATED=Y","Sort=A","Dates=H","DateFormat=P","Fill=—","Direction=H","UseDPDF=Y")</f>
        <v>#NAME?</v>
      </c>
      <c r="CI80" s="1" t="e">
        <f ca="1">_xll.BDH($C$78,"LT_DEBT_TO_TOT_CAP","FQ2 2014","FQ2 2014","Currency=INR","Period=FQ","BEST_FPERIOD_OVERRIDE=FQ","FILING_STATUS=OR","EQY_CONSOLIDATED=Y","Sort=A","Dates=H","DateFormat=P","Fill=—","Direction=H","UseDPDF=Y")</f>
        <v>#NAME?</v>
      </c>
      <c r="CJ80" s="1" t="e">
        <f ca="1">_xll.BDH($C$78,"LT_DEBT_TO_TOT_ASSET","FQ2 2014","FQ2 2014","Currency=INR","Period=FQ","BEST_FPERIOD_OVERRIDE=FQ","FILING_STATUS=OR","EQY_CONSOLIDATED=Y","Sort=A","Dates=H","DateFormat=P","Fill=—","Direction=H","UseDPDF=Y")</f>
        <v>#NAME?</v>
      </c>
      <c r="CK80" s="1" t="e">
        <f ca="1">_xll.BDH($C$78,"TOT_DEBT_TO_TOT_EQY","FQ2 2014","FQ2 2014","Currency=INR","Period=FQ","BEST_FPERIOD_OVERRIDE=FQ","FILING_STATUS=OR","EQY_CONSOLIDATED=Y","Sort=A","Dates=H","DateFormat=P","Fill=—","Direction=H","UseDPDF=Y")</f>
        <v>#NAME?</v>
      </c>
      <c r="CL80" s="1" t="e">
        <f ca="1">_xll.BDH($C$78,"TOT_DEBT_TO_TOT_CAP","FQ2 2014","FQ2 2014","Currency=INR","Period=FQ","BEST_FPERIOD_OVERRIDE=FQ","FILING_STATUS=OR","EQY_CONSOLIDATED=Y","Sort=A","Dates=H","DateFormat=P","Fill=—","Direction=H","UseDPDF=Y")</f>
        <v>#NAME?</v>
      </c>
      <c r="CM80" s="1" t="e">
        <f ca="1">_xll.BDH($C$78,"TOT_DEBT_TO_TOT_ASSET","FQ2 2014","FQ2 2014","Currency=INR","Period=FQ","BEST_FPERIOD_OVERRIDE=FQ","FILING_STATUS=OR","EQY_CONSOLIDATED=Y","Sort=A","Dates=H","DateFormat=P","Fill=—","Direction=H","UseDPDF=Y")</f>
        <v>#NAME?</v>
      </c>
      <c r="CN80" s="1" t="e">
        <f ca="1">_xll.BDH($C$78,"NET_DEBT_TO_SHRHLDR_EQTY","FQ2 2014","FQ2 2014","Currency=INR","Period=FQ","BEST_FPERIOD_OVERRIDE=FQ","FILING_STATUS=OR","EQY_CONSOLIDATED=Y","Sort=A","Dates=H","DateFormat=P","Fill=—","Direction=H","UseDPDF=Y")</f>
        <v>#NAME?</v>
      </c>
      <c r="CO80" s="1" t="e">
        <f ca="1">_xll.BDH($C$78,"NET_DEBT_%_CAPITAL","FQ2 2014","FQ2 2014","Currency=INR","Period=FQ","BEST_FPERIOD_OVERRIDE=FQ","FILING_STATUS=OR","EQY_CONSOLIDATED=Y","Sort=A","Dates=H","DateFormat=P","Fill=—","Direction=H","UseDPDF=Y")</f>
        <v>#NAME?</v>
      </c>
      <c r="CP80" s="2" t="e">
        <f ca="1">_xll.BDH($C$78,"EBITDA","FQ2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80" s="2" t="e">
        <f ca="1">_xll.BDH($C$78,"EBITDA_AFTER_CAPEX","FQ2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80" s="2" t="e">
        <f ca="1">_xll.BDH($C$78,"IS_OPER_INC","FQ2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80" s="1" t="e">
        <f ca="1">_xll.BDH($C$78,"CASH_RATIO","FQ2 2014","FQ2 2014","Currency=INR","Period=FQ","BEST_FPERIOD_OVERRIDE=FQ","FILING_STATUS=OR","EQY_CONSOLIDATED=Y","Sort=A","Dates=H","DateFormat=P","Fill=—","Direction=H","UseDPDF=Y")</f>
        <v>#NAME?</v>
      </c>
      <c r="CT80" s="1" t="e">
        <f ca="1">_xll.BDH($C$78,"CUR_RATIO","FQ2 2014","FQ2 2014","Currency=INR","Period=FQ","BEST_FPERIOD_OVERRIDE=FQ","FILING_STATUS=OR","EQY_CONSOLIDATED=Y","Sort=A","Dates=H","DateFormat=P","Fill=—","Direction=H","UseDPDF=Y")</f>
        <v>#NAME?</v>
      </c>
      <c r="CU80" s="1" t="e">
        <f ca="1">_xll.BDH($C$78,"QUICK_RATIO","FQ2 2014","FQ2 2014","Currency=INR","Period=FQ","BEST_FPERIOD_OVERRIDE=FQ","FILING_STATUS=OR","EQY_CONSOLIDATED=Y","Sort=A","Dates=H","DateFormat=P","Fill=—","Direction=H","UseDPDF=Y")</f>
        <v>#NAME?</v>
      </c>
      <c r="CV80" s="1" t="e">
        <f ca="1">_xll.BDH($C$78,"ALTMAN_Z_SCORE","FQ2 2014","FQ2 2014","Currency=INR","Period=FQ","BEST_FPERIOD_OVERRIDE=FQ","FILING_STATUS=OR","EQY_CONSOLIDATED=Y","Sort=A","Dates=H","DateFormat=P","Fill=—","Direction=H","UseDPDF=Y")</f>
        <v>#NAME?</v>
      </c>
      <c r="CW80" s="3" t="e">
        <f ca="1">_xll.BDH($C$78,"ACCT_RCV_TURN","FQ2 2014","FQ2 2014","Currency=INR","Period=FQ","BEST_FPERIOD_OVERRIDE=FQ","FILING_STATUS=OR","EQY_CONSOLIDATED=Y","FA_ADJUSTED=GAAP","Sort=A","Dates=H","DateFormat=P","Fill=—","Direction=H","UseDPDF=Y")</f>
        <v>#NAME?</v>
      </c>
      <c r="CX80" s="1" t="e">
        <f ca="1">_xll.BDH($C$78,"ACCT_RCV_DAYS","FQ2 2014","FQ2 2014","Currency=INR","Period=FQ","BEST_FPERIOD_OVERRIDE=FQ","FILING_STATUS=OR","EQY_CONSOLIDATED=Y","FA_ADJUSTED=GAAP","Sort=A","Dates=H","DateFormat=P","Fill=—","Direction=H","UseDPDF=Y")</f>
        <v>#NAME?</v>
      </c>
      <c r="CY80" s="3" t="e">
        <f ca="1">_xll.BDH($C$78,"INVENT_TURN","FQ2 2014","FQ2 2014","Currency=INR","Period=FQ","BEST_FPERIOD_OVERRIDE=FQ","FILING_STATUS=OR","EQY_CONSOLIDATED=Y","FA_ADJUSTED=GAAP","Sort=A","Dates=H","DateFormat=P","Fill=—","Direction=H","UseDPDF=Y")</f>
        <v>#NAME?</v>
      </c>
      <c r="CZ80" s="1" t="e">
        <f ca="1">_xll.BDH($C$78,"INVENT_DAYS","FQ2 2014","FQ2 2014","Currency=INR","Period=FQ","BEST_FPERIOD_OVERRIDE=FQ","FILING_STATUS=OR","EQY_CONSOLIDATED=Y","FA_ADJUSTED=GAAP","Sort=A","Dates=H","DateFormat=P","Fill=—","Direction=H","UseDPDF=Y")</f>
        <v>#NAME?</v>
      </c>
      <c r="DA80" s="3" t="e">
        <f ca="1">_xll.BDH($C$78,"ACCOUNTS_PAYABLE_TURNOVER","FQ2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80" s="1" t="e">
        <f ca="1">_xll.BDH($C$78,"ACCOUNTS_PAYABLE_TURNOVER_DAYS","FQ2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80" s="3" t="e">
        <f ca="1">_xll.BDH($C$78,"CASH_CONVERSION_CYCLE","FQ2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80" s="3" t="e">
        <f ca="1">_xll.BDH($C$78,"INV_TO_CASH_DAYS","FQ2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80" s="4" t="e">
        <f ca="1">_xll.BDH($C$78,"BS_INVENTORIES","FQ2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80" s="2" t="e">
        <f ca="1">_xll.BDH($C$78,"INVTRY_RAW_MATERIALS","FQ2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80" s="2" t="e">
        <f ca="1">_xll.BDH($C$78,"INVTRY_IN_PROGRESS","FQ2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80" s="2" t="e">
        <f ca="1">_xll.BDH($C$78,"INVTRY_FINISHED_GOODS","FQ2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80" s="2" t="e">
        <f ca="1">_xll.BDH($C$78,"BS_OTHER_INV","FQ2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81" spans="1:113" x14ac:dyDescent="0.3">
      <c r="A81" s="6"/>
      <c r="B81" s="6"/>
      <c r="C81" s="6"/>
      <c r="D81" s="6"/>
      <c r="E81" t="s">
        <v>6</v>
      </c>
      <c r="F81" t="e">
        <f ca="1">_xll.BDH($C$78,"RETURN_COM_EQY","FQ3 2014","FQ3 2014","Currency=INR","Period=FQ","BEST_FPERIOD_OVERRIDE=FQ","FILING_STATUS=OR","EQY_CONSOLIDATED=Y","FA_ADJUSTED=GAAP","Sort=A","Dates=H","DateFormat=P","Fill=—","Direction=H","UseDPDF=Y")</f>
        <v>#NAME?</v>
      </c>
      <c r="G81" t="e">
        <f ca="1">_xll.BDH($C$78,"RETURN_ON_ASSET","FQ3 2014","FQ3 2014","Currency=INR","Period=FQ","BEST_FPERIOD_OVERRIDE=FQ","FILING_STATUS=OR","EQY_CONSOLIDATED=Y","FA_ADJUSTED=GAAP","Sort=A","Dates=H","DateFormat=P","Fill=—","Direction=H","UseDPDF=Y")</f>
        <v>#NAME?</v>
      </c>
      <c r="H81" t="e">
        <f ca="1">_xll.BDH($C$78,"RETURN_ON_CAP","FQ3 2014","FQ3 2014","Currency=INR","Period=FQ","BEST_FPERIOD_OVERRIDE=FQ","FILING_STATUS=OR","EQY_CONSOLIDATED=Y","FA_ADJUSTED=GAAP","Sort=A","Dates=H","DateFormat=P","Fill=—","Direction=H","UseDPDF=Y")</f>
        <v>#NAME?</v>
      </c>
      <c r="I81" t="e">
        <f ca="1">_xll.BDH($C$78,"RETURN_ON_INV_CAPITAL","FQ3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81" t="e">
        <f ca="1">_xll.BDH($C$78,"EBITDA_TO_REVENUE","FQ3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81" t="e">
        <f ca="1">_xll.BDH($C$78,"OPER_MARGIN","FQ3 2014","FQ3 2014","Currency=INR","Period=FQ","BEST_FPERIOD_OVERRIDE=FQ","FILING_STATUS=OR","EQY_CONSOLIDATED=Y","FA_ADJUSTED=GAAP","Sort=A","Dates=H","DateFormat=P","Fill=—","Direction=H","UseDPDF=Y")</f>
        <v>#NAME?</v>
      </c>
      <c r="L81" t="e">
        <f ca="1">_xll.BDH($C$78,"INCREMENTAL_OPERATING_MARGIN","FQ3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81" t="e">
        <f ca="1">_xll.BDH($C$78,"PRETAX_INC_TO_NET_SALES","FQ3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81" t="e">
        <f ca="1">_xll.BDH($C$78,"INC_BEF_XO_ITEMS_TO_NET_SALES","FQ3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81" t="e">
        <f ca="1">_xll.BDH($C$78,"PROF_MARGIN","FQ3 2014","FQ3 2014","Currency=INR","Period=FQ","BEST_FPERIOD_OVERRIDE=FQ","FILING_STATUS=OR","EQY_CONSOLIDATED=Y","FA_ADJUSTED=GAAP","Sort=A","Dates=H","DateFormat=P","Fill=—","Direction=H","UseDPDF=Y")</f>
        <v>#NAME?</v>
      </c>
      <c r="P81" t="e">
        <f ca="1">_xll.BDH($C$78,"NET_INCOME_TO_COMMON_MARGIN","FQ3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81" t="e">
        <f ca="1">_xll.BDH($C$78,"EFF_TAX_RATE","FQ3 2014","FQ3 2014","Currency=INR","Period=FQ","BEST_FPERIOD_OVERRIDE=FQ","FILING_STATUS=OR","EQY_CONSOLIDATED=Y","FA_ADJUSTED=GAAP","Sort=A","Dates=H","DateFormat=P","Fill=—","Direction=H","UseDPDF=Y")</f>
        <v>#NAME?</v>
      </c>
      <c r="R81" t="e">
        <f ca="1">_xll.BDH($C$78,"DVD_PAYOUT_RATIO","FQ3 2014","FQ3 2014","Currency=INR","Period=FQ","BEST_FPERIOD_OVERRIDE=FQ","FILING_STATUS=OR","EQY_CONSOLIDATED=Y","FA_ADJUSTED=GAAP","Sort=A","Dates=H","DateFormat=P","Fill=—","Direction=H","UseDPDF=Y")</f>
        <v>#NAME?</v>
      </c>
      <c r="S81" t="e">
        <f ca="1">_xll.BDH($C$78,"SUSTAIN_GROWTH_RT","FQ3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81" s="1" t="e">
        <f ca="1">_xll.BDH($C$78,"SALES_GROWTH","FQ3 2014","FQ3 2014","Currency=INR","Period=FQ","BEST_FPERIOD_OVERRIDE=FQ","FILING_STATUS=OR","EQY_CONSOLIDATED=Y","FA_ADJUSTED=GAAP","Sort=A","Dates=H","DateFormat=P","Fill=—","Direction=H","UseDPDF=Y")</f>
        <v>#NAME?</v>
      </c>
      <c r="U81" s="1" t="e">
        <f ca="1">_xll.BDH($C$78,"EBITDA_GROWTH","FQ3 2014","FQ3 2014","Currency=INR","Period=FQ","BEST_FPERIOD_OVERRIDE=FQ","FILING_STATUS=OR","EQY_CONSOLIDATED=Y","FA_ADJUSTED=GAAP","Sort=A","Dates=H","DateFormat=P","Fill=—","Direction=H","UseDPDF=Y")</f>
        <v>#NAME?</v>
      </c>
      <c r="V81" s="1" t="e">
        <f ca="1">_xll.BDH($C$78,"OPER_INC_GROWTH","FQ3 2014","FQ3 2014","Currency=INR","Period=FQ","BEST_FPERIOD_OVERRIDE=FQ","FILING_STATUS=OR","EQY_CONSOLIDATED=Y","FA_ADJUSTED=GAAP","Sort=A","Dates=H","DateFormat=P","Fill=—","Direction=H","UseDPDF=Y")</f>
        <v>#NAME?</v>
      </c>
      <c r="W81" s="1" t="e">
        <f ca="1">_xll.BDH($C$78,"EARN_FOR_COM_GROWTH","FQ3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81" s="1" t="e">
        <f ca="1">_xll.BDH($C$78,"DILUTED_EPS_AFT_XO_ITEMS_GROWTH","FQ3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81" s="1" t="e">
        <f ca="1">_xll.BDH($C$78,"DIVIDEND_PER_SHARE_1_YEAR_GROWTH","FQ3 2014","FQ3 2014","Currency=INR","Period=FQ","BEST_FPERIOD_OVERRIDE=FQ","FILING_STATUS=OR","EQY_CONSOLIDATED=Y","Sort=A","Dates=H","DateFormat=P","Fill=—","Direction=H","UseDPDF=Y")</f>
        <v>#NAME?</v>
      </c>
      <c r="Z81" s="1" t="e">
        <f ca="1">_xll.BDH($C$78,"ACCOUNTS_RECEIVABLE_GROWTH","FQ3 2014","FQ3 2014","Currency=INR","Period=FQ","BEST_FPERIOD_OVERRIDE=FQ","FILING_STATUS=OR","EQY_CONSOLIDATED=Y","Sort=A","Dates=H","DateFormat=P","Fill=—","Direction=H","UseDPDF=Y")</f>
        <v>#NAME?</v>
      </c>
      <c r="AA81" s="1" t="e">
        <f ca="1">_xll.BDH($C$78,"INVENTORY_GROWTH","FQ3 2014","FQ3 2014","Currency=INR","Period=FQ","BEST_FPERIOD_OVERRIDE=FQ","FILING_STATUS=OR","EQY_CONSOLIDATED=Y","Sort=A","Dates=H","DateFormat=P","Fill=—","Direction=H","UseDPDF=Y")</f>
        <v>#NAME?</v>
      </c>
      <c r="AB81" s="1" t="e">
        <f ca="1">_xll.BDH($C$78,"NET_FIXED_ASSETS_1_YEAR_GROWTH","FQ3 2014","FQ3 2014","Currency=INR","Period=FQ","BEST_FPERIOD_OVERRIDE=FQ","FILING_STATUS=OR","EQY_CONSOLIDATED=Y","Sort=A","Dates=H","DateFormat=P","Fill=—","Direction=H","UseDPDF=Y")</f>
        <v>#NAME?</v>
      </c>
      <c r="AC81" s="1" t="e">
        <f ca="1">_xll.BDH($C$78,"ASSET_GROWTH","FQ3 2014","FQ3 2014","Currency=INR","Period=FQ","BEST_FPERIOD_OVERRIDE=FQ","FILING_STATUS=OR","EQY_CONSOLIDATED=Y","Sort=A","Dates=H","DateFormat=P","Fill=—","Direction=H","UseDPDF=Y")</f>
        <v>#NAME?</v>
      </c>
      <c r="AD81" s="1" t="e">
        <f ca="1">_xll.BDH($C$78,"MODIFIED_WORK_CAP_GROWTH","FQ3 2014","FQ3 2014","Currency=INR","Period=FQ","BEST_FPERIOD_OVERRIDE=FQ","FILING_STATUS=OR","EQY_CONSOLIDATED=Y","Sort=A","Dates=H","DateFormat=P","Fill=—","Direction=H","UseDPDF=Y")</f>
        <v>#NAME?</v>
      </c>
      <c r="AE81" s="1" t="e">
        <f ca="1">_xll.BDH($C$78,"WORK_CAP_GROWTH","FQ3 2014","FQ3 2014","Currency=INR","Period=FQ","BEST_FPERIOD_OVERRIDE=FQ","FILING_STATUS=OR","EQY_CONSOLIDATED=Y","Sort=A","Dates=H","DateFormat=P","Fill=—","Direction=H","UseDPDF=Y")</f>
        <v>#NAME?</v>
      </c>
      <c r="AF81" s="1" t="e">
        <f ca="1">_xll.BDH($C$78,"ACCOUNTS_PAYABLE_GROWTH_1YR","FQ3 2014","FQ3 2014","Currency=INR","Period=FQ","BEST_FPERIOD_OVERRIDE=FQ","FILING_STATUS=OR","EQY_CONSOLIDATED=Y","Sort=A","Dates=H","DateFormat=P","Fill=—","Direction=H","UseDPDF=Y")</f>
        <v>#NAME?</v>
      </c>
      <c r="AG81" s="1" t="e">
        <f ca="1">_xll.BDH($C$78,"SHORT_TERM_DEBT_1_YEAR_GROWTH","FQ3 2014","FQ3 2014","Currency=INR","Period=FQ","BEST_FPERIOD_OVERRIDE=FQ","FILING_STATUS=OR","EQY_CONSOLIDATED=Y","Sort=A","Dates=H","DateFormat=P","Fill=—","Direction=H","UseDPDF=Y")</f>
        <v>#NAME?</v>
      </c>
      <c r="AH81" s="1" t="e">
        <f ca="1">_xll.BDH($C$78,"TOTAL_DEBT_1_YEAR_GROWTH","FQ3 2014","FQ3 2014","Currency=INR","Period=FQ","BEST_FPERIOD_OVERRIDE=FQ","FILING_STATUS=OR","EQY_CONSOLIDATED=Y","Sort=A","Dates=H","DateFormat=P","Fill=—","Direction=H","UseDPDF=Y")</f>
        <v>#NAME?</v>
      </c>
      <c r="AI81" s="1" t="e">
        <f ca="1">_xll.BDH($C$78,"TOTAL_EQUITY_1_YEAR_GROWTH","FQ3 2014","FQ3 2014","Currency=INR","Period=FQ","BEST_FPERIOD_OVERRIDE=FQ","FILING_STATUS=OR","EQY_CONSOLIDATED=Y","Sort=A","Dates=H","DateFormat=P","Fill=—","Direction=H","UseDPDF=Y")</f>
        <v>#NAME?</v>
      </c>
      <c r="AJ81" s="1" t="e">
        <f ca="1">_xll.BDH($C$78,"GROWTH_IN_CAP","FQ3 2014","FQ3 2014","Currency=INR","Period=FQ","BEST_FPERIOD_OVERRIDE=FQ","FILING_STATUS=OR","EQY_CONSOLIDATED=Y","Sort=A","Dates=H","DateFormat=P","Fill=—","Direction=H","UseDPDF=Y")</f>
        <v>#NAME?</v>
      </c>
      <c r="AK81" s="1" t="e">
        <f ca="1">_xll.BDH($C$78,"BVPS_GROWTH","FQ3 2014","FQ3 2014","Currency=INR","Period=FQ","BEST_FPERIOD_OVERRIDE=FQ","FILING_STATUS=OR","EQY_CONSOLIDATED=Y","Sort=A","Dates=H","DateFormat=P","Fill=—","Direction=H","UseDPDF=Y")</f>
        <v>#NAME?</v>
      </c>
      <c r="AL81" s="1" t="e">
        <f ca="1">_xll.BDH($C$78,"CASH_FLOW_GROWTH","FQ3 2014","FQ3 2014","Currency=INR","Period=FQ","BEST_FPERIOD_OVERRIDE=FQ","FILING_STATUS=OR","EQY_CONSOLIDATED=Y","Sort=A","Dates=H","DateFormat=P","Fill=—","Direction=H","UseDPDF=Y")</f>
        <v>#NAME?</v>
      </c>
      <c r="AM81" s="1" t="e">
        <f ca="1">_xll.BDH($C$78,"GEO_GROW_NET_SALES","FQ3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81" s="1" t="e">
        <f ca="1">_xll.BDH($C$78,"GEO_GROW_EBITDA","FQ3 2014","FQ3 2014","Currency=INR","Period=FQ","BEST_FPERIOD_OVERRIDE=FQ","FILING_STATUS=OR","EQY_CONSOLIDATED=Y","FA_ADJUSTED=GAAP","Sort=A","Dates=H","DateFormat=P","Fill=—","Direction=H","UseDPDF=Y")</f>
        <v>#NAME?</v>
      </c>
      <c r="AO81" s="1" t="e">
        <f ca="1">_xll.BDH($C$78,"GEO_GROW_OPER_INC","FQ3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81" s="1" t="e">
        <f ca="1">_xll.BDH($C$78,"NET_INCOME_TO_COMMON_5_YR_GROWTH","FQ3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81" s="1" t="e">
        <f ca="1">_xll.BDH($C$78,"5Y_GEO_GROWTH_DILUTED_EPS","FQ3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81" s="1" t="e">
        <f ca="1">_xll.BDH($C$78,"GEO_GROW_DVD_PER_SH","FQ3 2014","FQ3 2014","Currency=INR","Period=FQ","BEST_FPERIOD_OVERRIDE=FQ","FILING_STATUS=OR","EQY_CONSOLIDATED=Y","Sort=A","Dates=H","DateFormat=P","Fill=—","Direction=H","UseDPDF=Y")</f>
        <v>#NAME?</v>
      </c>
      <c r="AS81" s="1" t="e">
        <f ca="1">_xll.BDH($C$78,"ACCOUNTS_RECEIVABLE_5_YR_GROWTH","FQ3 2014","FQ3 2014","Currency=INR","Period=FQ","BEST_FPERIOD_OVERRIDE=FQ","FILING_STATUS=OR","EQY_CONSOLIDATED=Y","Sort=A","Dates=H","DateFormat=P","Fill=—","Direction=H","UseDPDF=Y")</f>
        <v>#NAME?</v>
      </c>
      <c r="AT81" s="1" t="e">
        <f ca="1">_xll.BDH($C$78,"INVENTORY_5_YEAR_GROWTH","FQ3 2014","FQ3 2014","Currency=INR","Period=FQ","BEST_FPERIOD_OVERRIDE=FQ","FILING_STATUS=OR","EQY_CONSOLIDATED=Y","Sort=A","Dates=H","DateFormat=P","Fill=—","Direction=H","UseDPDF=Y")</f>
        <v>#NAME?</v>
      </c>
      <c r="AU81" s="1" t="e">
        <f ca="1">_xll.BDH($C$78,"NET_FIXED_ASSETS_5_YEAR_GROWTH","FQ3 2014","FQ3 2014","Currency=INR","Period=FQ","BEST_FPERIOD_OVERRIDE=FQ","FILING_STATUS=OR","EQY_CONSOLIDATED=Y","Sort=A","Dates=H","DateFormat=P","Fill=—","Direction=H","UseDPDF=Y")</f>
        <v>#NAME?</v>
      </c>
      <c r="AV81" s="1" t="e">
        <f ca="1">_xll.BDH($C$78,"GEO_GROW_TOT_ASSET","FQ3 2014","FQ3 2014","Currency=INR","Period=FQ","BEST_FPERIOD_OVERRIDE=FQ","FILING_STATUS=OR","EQY_CONSOLIDATED=Y","Sort=A","Dates=H","DateFormat=P","Fill=—","Direction=H","UseDPDF=Y")</f>
        <v>#NAME?</v>
      </c>
      <c r="AW81" s="1" t="e">
        <f ca="1">_xll.BDH($C$78,"MODIFIED_WORKING_CPTL_5YR_GRWTH","FQ3 2014","FQ3 2014","Currency=INR","Period=FQ","BEST_FPERIOD_OVERRIDE=FQ","FILING_STATUS=OR","EQY_CONSOLIDATED=Y","Sort=A","Dates=H","DateFormat=P","Fill=—","Direction=H","UseDPDF=Y")</f>
        <v>#NAME?</v>
      </c>
      <c r="AX81" s="1" t="e">
        <f ca="1">_xll.BDH($C$78,"WORKING_CAPITAL_5_YEAR_GROWTH","FQ3 2014","FQ3 2014","Currency=INR","Period=FQ","BEST_FPERIOD_OVERRIDE=FQ","FILING_STATUS=OR","EQY_CONSOLIDATED=Y","Sort=A","Dates=H","DateFormat=P","Fill=—","Direction=H","UseDPDF=Y")</f>
        <v>#NAME?</v>
      </c>
      <c r="AY81" s="1" t="e">
        <f ca="1">_xll.BDH($C$78,"ACCOUNTS_PAYABLE_5_YEAR_GROWTH","FQ3 2014","FQ3 2014","Currency=INR","Period=FQ","BEST_FPERIOD_OVERRIDE=FQ","FILING_STATUS=OR","EQY_CONSOLIDATED=Y","Sort=A","Dates=H","DateFormat=P","Fill=—","Direction=H","UseDPDF=Y")</f>
        <v>#NAME?</v>
      </c>
      <c r="AZ81" s="1" t="e">
        <f ca="1">_xll.BDH($C$78,"SHORT_TERM_DEBT_5_YEAR_GROWTH","FQ3 2014","FQ3 2014","Currency=INR","Period=FQ","BEST_FPERIOD_OVERRIDE=FQ","FILING_STATUS=OR","EQY_CONSOLIDATED=Y","Sort=A","Dates=H","DateFormat=P","Fill=—","Direction=H","UseDPDF=Y")</f>
        <v>#NAME?</v>
      </c>
      <c r="BA81" s="1" t="e">
        <f ca="1">_xll.BDH($C$78,"TOTAL_DEBT_5_YEAR_GROWTH","FQ3 2014","FQ3 2014","Currency=INR","Period=FQ","BEST_FPERIOD_OVERRIDE=FQ","FILING_STATUS=OR","EQY_CONSOLIDATED=Y","Sort=A","Dates=H","DateFormat=P","Fill=—","Direction=H","UseDPDF=Y")</f>
        <v>#NAME?</v>
      </c>
      <c r="BB81" s="1" t="e">
        <f ca="1">_xll.BDH($C$78,"GEO_GROW_TOT_SHRHLDR_EQY","FQ3 2014","FQ3 2014","Currency=INR","Period=FQ","BEST_FPERIOD_OVERRIDE=FQ","FILING_STATUS=OR","EQY_CONSOLIDATED=Y","Sort=A","Dates=H","DateFormat=P","Fill=—","Direction=H","UseDPDF=Y")</f>
        <v>#NAME?</v>
      </c>
      <c r="BC81" s="1" t="e">
        <f ca="1">_xll.BDH($C$78,"TOTAL_CAPITAL_5_YEAR_GROWTH","FQ3 2014","FQ3 2014","Currency=INR","Period=FQ","BEST_FPERIOD_OVERRIDE=FQ","FILING_STATUS=OR","EQY_CONSOLIDATED=Y","Sort=A","Dates=H","DateFormat=P","Fill=—","Direction=H","UseDPDF=Y")</f>
        <v>#NAME?</v>
      </c>
      <c r="BD81" s="1" t="e">
        <f ca="1">_xll.BDH($C$78,"GEO_GROW_BOOK_VAL","FQ3 2014","FQ3 2014","Currency=INR","Period=FQ","BEST_FPERIOD_OVERRIDE=FQ","FILING_STATUS=OR","EQY_CONSOLIDATED=Y","Sort=A","Dates=H","DateFormat=P","Fill=—","Direction=H","UseDPDF=Y")</f>
        <v>#NAME?</v>
      </c>
      <c r="BE81" s="1" t="e">
        <f ca="1">_xll.BDH($C$78,"GEO_GROW_CASH_OPER_ACT","FQ3 2014","FQ3 2014","Currency=INR","Period=FQ","BEST_FPERIOD_OVERRIDE=FQ","FILING_STATUS=OR","EQY_CONSOLIDATED=Y","Sort=A","Dates=H","DateFormat=P","Fill=—","Direction=H","UseDPDF=Y")</f>
        <v>#NAME?</v>
      </c>
      <c r="BF81" s="1" t="e">
        <f ca="1">_xll.BDH($C$78,"REVENUE_SEQUENTIAL_GROWTH","FQ3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81" s="1" t="e">
        <f ca="1">_xll.BDH($C$78,"EBITDA_SEQUENTIAL_GROWTH","FQ3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81" s="1" t="e">
        <f ca="1">_xll.BDH($C$78,"OPERATING_INCOME_SEQ_GROWTH","FQ3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81" s="1" t="e">
        <f ca="1">_xll.BDH($C$78,"NET_INCOME_TO_COMMON_SEQ_GROWTH","FQ3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81" s="1" t="e">
        <f ca="1">_xll.BDH($C$78,"EPS_DILUTED_SEQUENTIAL_GROWTH","FQ3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81" s="1" t="e">
        <f ca="1">_xll.BDH($C$78,"DPS_SEQUENTIAL_GROWTH","FQ3 2014","FQ3 2014","Currency=INR","Period=FQ","BEST_FPERIOD_OVERRIDE=FQ","FILING_STATUS=OR","EQY_CONSOLIDATED=Y","Sort=A","Dates=H","DateFormat=P","Fill=—","Direction=H","UseDPDF=Y")</f>
        <v>#NAME?</v>
      </c>
      <c r="BL81" s="1" t="e">
        <f ca="1">_xll.BDH($C$78,"ACCOUNTS_RECEIVABLE_SEQ_GROWTH","FQ3 2014","FQ3 2014","Currency=INR","Period=FQ","BEST_FPERIOD_OVERRIDE=FQ","FILING_STATUS=OR","EQY_CONSOLIDATED=Y","Sort=A","Dates=H","DateFormat=P","Fill=—","Direction=H","UseDPDF=Y")</f>
        <v>#NAME?</v>
      </c>
      <c r="BM81" s="1" t="e">
        <f ca="1">_xll.BDH($C$78,"INVENTORY_SEQUENTIAL_GROWTH","FQ3 2014","FQ3 2014","Currency=INR","Period=FQ","BEST_FPERIOD_OVERRIDE=FQ","FILING_STATUS=OR","EQY_CONSOLIDATED=Y","Sort=A","Dates=H","DateFormat=P","Fill=—","Direction=H","UseDPDF=Y")</f>
        <v>#NAME?</v>
      </c>
      <c r="BN81" s="1" t="e">
        <f ca="1">_xll.BDH($C$78,"FIXED_ASSETS_SEQUENTIAL_GROWTH","FQ3 2014","FQ3 2014","Currency=INR","Period=FQ","BEST_FPERIOD_OVERRIDE=FQ","FILING_STATUS=OR","EQY_CONSOLIDATED=Y","Sort=A","Dates=H","DateFormat=P","Fill=—","Direction=H","UseDPDF=Y")</f>
        <v>#NAME?</v>
      </c>
      <c r="BO81" s="1" t="e">
        <f ca="1">_xll.BDH($C$78,"TOTAL_ASSETS_SEQUENTIAL_GROWTH","FQ3 2014","FQ3 2014","Currency=INR","Period=FQ","BEST_FPERIOD_OVERRIDE=FQ","FILING_STATUS=OR","EQY_CONSOLIDATED=Y","Sort=A","Dates=H","DateFormat=P","Fill=—","Direction=H","UseDPDF=Y")</f>
        <v>#NAME?</v>
      </c>
      <c r="BP81" s="1" t="e">
        <f ca="1">_xll.BDH($C$78,"MODIFIED_WORKING_CPTL_SEQ_GRWTH","FQ3 2014","FQ3 2014","Currency=INR","Period=FQ","BEST_FPERIOD_OVERRIDE=FQ","FILING_STATUS=OR","EQY_CONSOLIDATED=Y","Sort=A","Dates=H","DateFormat=P","Fill=—","Direction=H","UseDPDF=Y")</f>
        <v>#NAME?</v>
      </c>
      <c r="BQ81" s="1" t="e">
        <f ca="1">_xll.BDH($C$78,"WORKING_CAPITAL_SEQ_GROWTH","FQ3 2014","FQ3 2014","Currency=INR","Period=FQ","BEST_FPERIOD_OVERRIDE=FQ","FILING_STATUS=OR","EQY_CONSOLIDATED=Y","Sort=A","Dates=H","DateFormat=P","Fill=—","Direction=H","UseDPDF=Y")</f>
        <v>#NAME?</v>
      </c>
      <c r="BR81" s="1" t="e">
        <f ca="1">_xll.BDH($C$78,"ACCOUNTS_PAYABLE_SEQ_GROWTH","FQ3 2014","FQ3 2014","Currency=INR","Period=FQ","BEST_FPERIOD_OVERRIDE=FQ","FILING_STATUS=OR","EQY_CONSOLIDATED=Y","Sort=A","Dates=H","DateFormat=P","Fill=—","Direction=H","UseDPDF=Y")</f>
        <v>#NAME?</v>
      </c>
      <c r="BS81" s="1" t="e">
        <f ca="1">_xll.BDH($C$78,"ST_DEBT_SEQUENTIAL_GROWTH","FQ3 2014","FQ3 2014","Currency=INR","Period=FQ","BEST_FPERIOD_OVERRIDE=FQ","FILING_STATUS=OR","EQY_CONSOLIDATED=Y","Sort=A","Dates=H","DateFormat=P","Fill=—","Direction=H","UseDPDF=Y")</f>
        <v>#NAME?</v>
      </c>
      <c r="BT81" s="1" t="e">
        <f ca="1">_xll.BDH($C$78,"TOTAL_DEBT_SEQUENTIAL_GROWTH","FQ3 2014","FQ3 2014","Currency=INR","Period=FQ","BEST_FPERIOD_OVERRIDE=FQ","FILING_STATUS=OR","EQY_CONSOLIDATED=Y","Sort=A","Dates=H","DateFormat=P","Fill=—","Direction=H","UseDPDF=Y")</f>
        <v>#NAME?</v>
      </c>
      <c r="BU81" s="1" t="e">
        <f ca="1">_xll.BDH($C$78,"TOTAL_EQUITY_SEQUENTIAL_GROWTH","FQ3 2014","FQ3 2014","Currency=INR","Period=FQ","BEST_FPERIOD_OVERRIDE=FQ","FILING_STATUS=OR","EQY_CONSOLIDATED=Y","Sort=A","Dates=H","DateFormat=P","Fill=—","Direction=H","UseDPDF=Y")</f>
        <v>#NAME?</v>
      </c>
      <c r="BV81" s="1" t="e">
        <f ca="1">_xll.BDH($C$78,"TOTAL_CAPITAL_SEQUENTIAL_GROWTH","FQ3 2014","FQ3 2014","Currency=INR","Period=FQ","BEST_FPERIOD_OVERRIDE=FQ","FILING_STATUS=OR","EQY_CONSOLIDATED=Y","Sort=A","Dates=H","DateFormat=P","Fill=—","Direction=H","UseDPDF=Y")</f>
        <v>#NAME?</v>
      </c>
      <c r="BW81" s="1" t="e">
        <f ca="1">_xll.BDH($C$78,"BPS_SEQUENTIAL_GROWTH","FQ3 2014","FQ3 2014","Currency=INR","Period=FQ","BEST_FPERIOD_OVERRIDE=FQ","FILING_STATUS=OR","EQY_CONSOLIDATED=Y","Sort=A","Dates=H","DateFormat=P","Fill=—","Direction=H","UseDPDF=Y")</f>
        <v>#NAME?</v>
      </c>
      <c r="BX81" s="1" t="e">
        <f ca="1">_xll.BDH($C$78,"CFO_SEQUENTIAL_GROWTH","FQ3 2014","FQ3 2014","Currency=INR","Period=FQ","BEST_FPERIOD_OVERRIDE=FQ","FILING_STATUS=OR","EQY_CONSOLIDATED=Y","Sort=A","Dates=H","DateFormat=P","Fill=—","Direction=H","UseDPDF=Y")</f>
        <v>#NAME?</v>
      </c>
      <c r="BY81" s="2" t="e">
        <f ca="1">_xll.BDH($C$78,"SHORT_AND_LONG_TERM_DEBT","FQ3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81" s="2" t="e">
        <f ca="1">_xll.BDH($C$78,"BS_ST_BORROW","FQ3 2014","FQ3 2014","Currency=INR","Period=FQ","BEST_FPERIOD_OVERRIDE=FQ","FILING_STATUS=OR","EQY_CONSOLIDATED=Y","SCALING_FORMAT=MLN","Sort=A","Dates=H","DateFormat=P","Fill=—","Direction=H","UseDPDF=Y")</f>
        <v>#NAME?</v>
      </c>
      <c r="CA81" s="2" t="e">
        <f ca="1">_xll.BDH($C$78,"BS_LT_BORROW","FQ3 2014","FQ3 2014","Currency=INR","Period=FQ","BEST_FPERIOD_OVERRIDE=FQ","FILING_STATUS=OR","EQY_CONSOLIDATED=Y","SCALING_FORMAT=MLN","Sort=A","Dates=H","DateFormat=P","Fill=—","Direction=H","UseDPDF=Y")</f>
        <v>#NAME?</v>
      </c>
      <c r="CB81" s="1" t="e">
        <f ca="1">_xll.BDH($C$78,"TOT_DEBT_TO_EBITDA","FQ3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81" s="1" t="e">
        <f ca="1">_xll.BDH($C$78,"NET_DEBT_TO_EBITDA","FQ3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81" s="1" t="e">
        <f ca="1">_xll.BDH($C$78,"TOTAL_DEBT_TO_EBIT","FQ3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81" s="1" t="e">
        <f ca="1">_xll.BDH($C$78,"NET_DEBT_TO_EBIT","FQ3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81" s="1" t="e">
        <f ca="1">_xll.BDH($C$78,"EBITDA_TO_INTEREST_EXPN","FQ3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81" s="1" t="e">
        <f ca="1">_xll.BDH($C$78,"COM_EQY_TO_TOT_ASSET","FQ3 2014","FQ3 2014","Currency=INR","Period=FQ","BEST_FPERIOD_OVERRIDE=FQ","FILING_STATUS=OR","EQY_CONSOLIDATED=Y","Sort=A","Dates=H","DateFormat=P","Fill=—","Direction=H","UseDPDF=Y")</f>
        <v>#NAME?</v>
      </c>
      <c r="CH81" s="1" t="e">
        <f ca="1">_xll.BDH($C$78,"LT_DEBT_TO_TOT_EQY","FQ3 2014","FQ3 2014","Currency=INR","Period=FQ","BEST_FPERIOD_OVERRIDE=FQ","FILING_STATUS=OR","EQY_CONSOLIDATED=Y","Sort=A","Dates=H","DateFormat=P","Fill=—","Direction=H","UseDPDF=Y")</f>
        <v>#NAME?</v>
      </c>
      <c r="CI81" s="1" t="e">
        <f ca="1">_xll.BDH($C$78,"LT_DEBT_TO_TOT_CAP","FQ3 2014","FQ3 2014","Currency=INR","Period=FQ","BEST_FPERIOD_OVERRIDE=FQ","FILING_STATUS=OR","EQY_CONSOLIDATED=Y","Sort=A","Dates=H","DateFormat=P","Fill=—","Direction=H","UseDPDF=Y")</f>
        <v>#NAME?</v>
      </c>
      <c r="CJ81" s="1" t="e">
        <f ca="1">_xll.BDH($C$78,"LT_DEBT_TO_TOT_ASSET","FQ3 2014","FQ3 2014","Currency=INR","Period=FQ","BEST_FPERIOD_OVERRIDE=FQ","FILING_STATUS=OR","EQY_CONSOLIDATED=Y","Sort=A","Dates=H","DateFormat=P","Fill=—","Direction=H","UseDPDF=Y")</f>
        <v>#NAME?</v>
      </c>
      <c r="CK81" s="1" t="e">
        <f ca="1">_xll.BDH($C$78,"TOT_DEBT_TO_TOT_EQY","FQ3 2014","FQ3 2014","Currency=INR","Period=FQ","BEST_FPERIOD_OVERRIDE=FQ","FILING_STATUS=OR","EQY_CONSOLIDATED=Y","Sort=A","Dates=H","DateFormat=P","Fill=—","Direction=H","UseDPDF=Y")</f>
        <v>#NAME?</v>
      </c>
      <c r="CL81" s="1" t="e">
        <f ca="1">_xll.BDH($C$78,"TOT_DEBT_TO_TOT_CAP","FQ3 2014","FQ3 2014","Currency=INR","Period=FQ","BEST_FPERIOD_OVERRIDE=FQ","FILING_STATUS=OR","EQY_CONSOLIDATED=Y","Sort=A","Dates=H","DateFormat=P","Fill=—","Direction=H","UseDPDF=Y")</f>
        <v>#NAME?</v>
      </c>
      <c r="CM81" s="1" t="e">
        <f ca="1">_xll.BDH($C$78,"TOT_DEBT_TO_TOT_ASSET","FQ3 2014","FQ3 2014","Currency=INR","Period=FQ","BEST_FPERIOD_OVERRIDE=FQ","FILING_STATUS=OR","EQY_CONSOLIDATED=Y","Sort=A","Dates=H","DateFormat=P","Fill=—","Direction=H","UseDPDF=Y")</f>
        <v>#NAME?</v>
      </c>
      <c r="CN81" s="1" t="e">
        <f ca="1">_xll.BDH($C$78,"NET_DEBT_TO_SHRHLDR_EQTY","FQ3 2014","FQ3 2014","Currency=INR","Period=FQ","BEST_FPERIOD_OVERRIDE=FQ","FILING_STATUS=OR","EQY_CONSOLIDATED=Y","Sort=A","Dates=H","DateFormat=P","Fill=—","Direction=H","UseDPDF=Y")</f>
        <v>#NAME?</v>
      </c>
      <c r="CO81" s="1" t="e">
        <f ca="1">_xll.BDH($C$78,"NET_DEBT_%_CAPITAL","FQ3 2014","FQ3 2014","Currency=INR","Period=FQ","BEST_FPERIOD_OVERRIDE=FQ","FILING_STATUS=OR","EQY_CONSOLIDATED=Y","Sort=A","Dates=H","DateFormat=P","Fill=—","Direction=H","UseDPDF=Y")</f>
        <v>#NAME?</v>
      </c>
      <c r="CP81" s="2" t="e">
        <f ca="1">_xll.BDH($C$78,"EBITDA","FQ3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81" s="2" t="e">
        <f ca="1">_xll.BDH($C$78,"EBITDA_AFTER_CAPEX","FQ3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81" s="2" t="e">
        <f ca="1">_xll.BDH($C$78,"IS_OPER_INC","FQ3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81" s="1" t="e">
        <f ca="1">_xll.BDH($C$78,"CASH_RATIO","FQ3 2014","FQ3 2014","Currency=INR","Period=FQ","BEST_FPERIOD_OVERRIDE=FQ","FILING_STATUS=OR","EQY_CONSOLIDATED=Y","Sort=A","Dates=H","DateFormat=P","Fill=—","Direction=H","UseDPDF=Y")</f>
        <v>#NAME?</v>
      </c>
      <c r="CT81" s="1" t="e">
        <f ca="1">_xll.BDH($C$78,"CUR_RATIO","FQ3 2014","FQ3 2014","Currency=INR","Period=FQ","BEST_FPERIOD_OVERRIDE=FQ","FILING_STATUS=OR","EQY_CONSOLIDATED=Y","Sort=A","Dates=H","DateFormat=P","Fill=—","Direction=H","UseDPDF=Y")</f>
        <v>#NAME?</v>
      </c>
      <c r="CU81" s="1" t="e">
        <f ca="1">_xll.BDH($C$78,"QUICK_RATIO","FQ3 2014","FQ3 2014","Currency=INR","Period=FQ","BEST_FPERIOD_OVERRIDE=FQ","FILING_STATUS=OR","EQY_CONSOLIDATED=Y","Sort=A","Dates=H","DateFormat=P","Fill=—","Direction=H","UseDPDF=Y")</f>
        <v>#NAME?</v>
      </c>
      <c r="CV81" s="1" t="e">
        <f ca="1">_xll.BDH($C$78,"ALTMAN_Z_SCORE","FQ3 2014","FQ3 2014","Currency=INR","Period=FQ","BEST_FPERIOD_OVERRIDE=FQ","FILING_STATUS=OR","EQY_CONSOLIDATED=Y","Sort=A","Dates=H","DateFormat=P","Fill=—","Direction=H","UseDPDF=Y")</f>
        <v>#NAME?</v>
      </c>
      <c r="CW81" s="3" t="e">
        <f ca="1">_xll.BDH($C$78,"ACCT_RCV_TURN","FQ3 2014","FQ3 2014","Currency=INR","Period=FQ","BEST_FPERIOD_OVERRIDE=FQ","FILING_STATUS=OR","EQY_CONSOLIDATED=Y","FA_ADJUSTED=GAAP","Sort=A","Dates=H","DateFormat=P","Fill=—","Direction=H","UseDPDF=Y")</f>
        <v>#NAME?</v>
      </c>
      <c r="CX81" s="1" t="e">
        <f ca="1">_xll.BDH($C$78,"ACCT_RCV_DAYS","FQ3 2014","FQ3 2014","Currency=INR","Period=FQ","BEST_FPERIOD_OVERRIDE=FQ","FILING_STATUS=OR","EQY_CONSOLIDATED=Y","FA_ADJUSTED=GAAP","Sort=A","Dates=H","DateFormat=P","Fill=—","Direction=H","UseDPDF=Y")</f>
        <v>#NAME?</v>
      </c>
      <c r="CY81" s="3" t="e">
        <f ca="1">_xll.BDH($C$78,"INVENT_TURN","FQ3 2014","FQ3 2014","Currency=INR","Period=FQ","BEST_FPERIOD_OVERRIDE=FQ","FILING_STATUS=OR","EQY_CONSOLIDATED=Y","FA_ADJUSTED=GAAP","Sort=A","Dates=H","DateFormat=P","Fill=—","Direction=H","UseDPDF=Y")</f>
        <v>#NAME?</v>
      </c>
      <c r="CZ81" s="1" t="e">
        <f ca="1">_xll.BDH($C$78,"INVENT_DAYS","FQ3 2014","FQ3 2014","Currency=INR","Period=FQ","BEST_FPERIOD_OVERRIDE=FQ","FILING_STATUS=OR","EQY_CONSOLIDATED=Y","FA_ADJUSTED=GAAP","Sort=A","Dates=H","DateFormat=P","Fill=—","Direction=H","UseDPDF=Y")</f>
        <v>#NAME?</v>
      </c>
      <c r="DA81" s="3" t="e">
        <f ca="1">_xll.BDH($C$78,"ACCOUNTS_PAYABLE_TURNOVER","FQ3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81" s="1" t="e">
        <f ca="1">_xll.BDH($C$78,"ACCOUNTS_PAYABLE_TURNOVER_DAYS","FQ3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81" s="3" t="e">
        <f ca="1">_xll.BDH($C$78,"CASH_CONVERSION_CYCLE","FQ3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81" s="3" t="e">
        <f ca="1">_xll.BDH($C$78,"INV_TO_CASH_DAYS","FQ3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81" s="4" t="e">
        <f ca="1">_xll.BDH($C$78,"BS_INVENTORIES","FQ3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81" s="2" t="e">
        <f ca="1">_xll.BDH($C$78,"INVTRY_RAW_MATERIALS","FQ3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81" s="2" t="e">
        <f ca="1">_xll.BDH($C$78,"INVTRY_IN_PROGRESS","FQ3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81" s="2" t="e">
        <f ca="1">_xll.BDH($C$78,"INVTRY_FINISHED_GOODS","FQ3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81" s="2" t="e">
        <f ca="1">_xll.BDH($C$78,"BS_OTHER_INV","FQ3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82" spans="1:113" x14ac:dyDescent="0.3">
      <c r="A82" s="6"/>
      <c r="B82" s="6"/>
      <c r="C82" s="6"/>
      <c r="D82" s="6"/>
      <c r="E82" t="s">
        <v>7</v>
      </c>
      <c r="F82" t="e">
        <f ca="1">_xll.BDH($C$78,"RETURN_COM_EQY","FQ4 2014","FQ4 2014","Currency=INR","Period=FQ","BEST_FPERIOD_OVERRIDE=FQ","FILING_STATUS=OR","EQY_CONSOLIDATED=Y","FA_ADJUSTED=GAAP","Sort=A","Dates=H","DateFormat=P","Fill=—","Direction=H","UseDPDF=Y")</f>
        <v>#NAME?</v>
      </c>
      <c r="G82" t="e">
        <f ca="1">_xll.BDH($C$78,"RETURN_ON_ASSET","FQ4 2014","FQ4 2014","Currency=INR","Period=FQ","BEST_FPERIOD_OVERRIDE=FQ","FILING_STATUS=OR","EQY_CONSOLIDATED=Y","FA_ADJUSTED=GAAP","Sort=A","Dates=H","DateFormat=P","Fill=—","Direction=H","UseDPDF=Y")</f>
        <v>#NAME?</v>
      </c>
      <c r="H82" t="e">
        <f ca="1">_xll.BDH($C$78,"RETURN_ON_CAP","FQ4 2014","FQ4 2014","Currency=INR","Period=FQ","BEST_FPERIOD_OVERRIDE=FQ","FILING_STATUS=OR","EQY_CONSOLIDATED=Y","FA_ADJUSTED=GAAP","Sort=A","Dates=H","DateFormat=P","Fill=—","Direction=H","UseDPDF=Y")</f>
        <v>#NAME?</v>
      </c>
      <c r="I82" t="e">
        <f ca="1">_xll.BDH($C$78,"RETURN_ON_INV_CAPITAL","FQ4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82" t="e">
        <f ca="1">_xll.BDH($C$78,"EBITDA_TO_REVENUE","FQ4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82" t="e">
        <f ca="1">_xll.BDH($C$78,"OPER_MARGIN","FQ4 2014","FQ4 2014","Currency=INR","Period=FQ","BEST_FPERIOD_OVERRIDE=FQ","FILING_STATUS=OR","EQY_CONSOLIDATED=Y","FA_ADJUSTED=GAAP","Sort=A","Dates=H","DateFormat=P","Fill=—","Direction=H","UseDPDF=Y")</f>
        <v>#NAME?</v>
      </c>
      <c r="L82" t="e">
        <f ca="1">_xll.BDH($C$78,"INCREMENTAL_OPERATING_MARGIN","FQ4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82" t="e">
        <f ca="1">_xll.BDH($C$78,"PRETAX_INC_TO_NET_SALES","FQ4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82" t="e">
        <f ca="1">_xll.BDH($C$78,"INC_BEF_XO_ITEMS_TO_NET_SALES","FQ4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82" t="e">
        <f ca="1">_xll.BDH($C$78,"PROF_MARGIN","FQ4 2014","FQ4 2014","Currency=INR","Period=FQ","BEST_FPERIOD_OVERRIDE=FQ","FILING_STATUS=OR","EQY_CONSOLIDATED=Y","FA_ADJUSTED=GAAP","Sort=A","Dates=H","DateFormat=P","Fill=—","Direction=H","UseDPDF=Y")</f>
        <v>#NAME?</v>
      </c>
      <c r="P82" t="e">
        <f ca="1">_xll.BDH($C$78,"NET_INCOME_TO_COMMON_MARGIN","FQ4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82" t="e">
        <f ca="1">_xll.BDH($C$78,"EFF_TAX_RATE","FQ4 2014","FQ4 2014","Currency=INR","Period=FQ","BEST_FPERIOD_OVERRIDE=FQ","FILING_STATUS=OR","EQY_CONSOLIDATED=Y","FA_ADJUSTED=GAAP","Sort=A","Dates=H","DateFormat=P","Fill=—","Direction=H","UseDPDF=Y")</f>
        <v>#NAME?</v>
      </c>
      <c r="R82" t="e">
        <f ca="1">_xll.BDH($C$78,"DVD_PAYOUT_RATIO","FQ4 2014","FQ4 2014","Currency=INR","Period=FQ","BEST_FPERIOD_OVERRIDE=FQ","FILING_STATUS=OR","EQY_CONSOLIDATED=Y","FA_ADJUSTED=GAAP","Sort=A","Dates=H","DateFormat=P","Fill=—","Direction=H","UseDPDF=Y")</f>
        <v>#NAME?</v>
      </c>
      <c r="S82" t="e">
        <f ca="1">_xll.BDH($C$78,"SUSTAIN_GROWTH_RT","FQ4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82" s="1" t="e">
        <f ca="1">_xll.BDH($C$78,"SALES_GROWTH","FQ4 2014","FQ4 2014","Currency=INR","Period=FQ","BEST_FPERIOD_OVERRIDE=FQ","FILING_STATUS=OR","EQY_CONSOLIDATED=Y","FA_ADJUSTED=GAAP","Sort=A","Dates=H","DateFormat=P","Fill=—","Direction=H","UseDPDF=Y")</f>
        <v>#NAME?</v>
      </c>
      <c r="U82" s="1" t="e">
        <f ca="1">_xll.BDH($C$78,"EBITDA_GROWTH","FQ4 2014","FQ4 2014","Currency=INR","Period=FQ","BEST_FPERIOD_OVERRIDE=FQ","FILING_STATUS=OR","EQY_CONSOLIDATED=Y","FA_ADJUSTED=GAAP","Sort=A","Dates=H","DateFormat=P","Fill=—","Direction=H","UseDPDF=Y")</f>
        <v>#NAME?</v>
      </c>
      <c r="V82" s="1" t="e">
        <f ca="1">_xll.BDH($C$78,"OPER_INC_GROWTH","FQ4 2014","FQ4 2014","Currency=INR","Period=FQ","BEST_FPERIOD_OVERRIDE=FQ","FILING_STATUS=OR","EQY_CONSOLIDATED=Y","FA_ADJUSTED=GAAP","Sort=A","Dates=H","DateFormat=P","Fill=—","Direction=H","UseDPDF=Y")</f>
        <v>#NAME?</v>
      </c>
      <c r="W82" s="1" t="e">
        <f ca="1">_xll.BDH($C$78,"EARN_FOR_COM_GROWTH","FQ4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82" s="1" t="e">
        <f ca="1">_xll.BDH($C$78,"DILUTED_EPS_AFT_XO_ITEMS_GROWTH","FQ4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82" s="1" t="e">
        <f ca="1">_xll.BDH($C$78,"DIVIDEND_PER_SHARE_1_YEAR_GROWTH","FQ4 2014","FQ4 2014","Currency=INR","Period=FQ","BEST_FPERIOD_OVERRIDE=FQ","FILING_STATUS=OR","EQY_CONSOLIDATED=Y","Sort=A","Dates=H","DateFormat=P","Fill=—","Direction=H","UseDPDF=Y")</f>
        <v>#NAME?</v>
      </c>
      <c r="Z82" s="1" t="e">
        <f ca="1">_xll.BDH($C$78,"ACCOUNTS_RECEIVABLE_GROWTH","FQ4 2014","FQ4 2014","Currency=INR","Period=FQ","BEST_FPERIOD_OVERRIDE=FQ","FILING_STATUS=OR","EQY_CONSOLIDATED=Y","Sort=A","Dates=H","DateFormat=P","Fill=—","Direction=H","UseDPDF=Y")</f>
        <v>#NAME?</v>
      </c>
      <c r="AA82" s="1" t="e">
        <f ca="1">_xll.BDH($C$78,"INVENTORY_GROWTH","FQ4 2014","FQ4 2014","Currency=INR","Period=FQ","BEST_FPERIOD_OVERRIDE=FQ","FILING_STATUS=OR","EQY_CONSOLIDATED=Y","Sort=A","Dates=H","DateFormat=P","Fill=—","Direction=H","UseDPDF=Y")</f>
        <v>#NAME?</v>
      </c>
      <c r="AB82" s="1" t="e">
        <f ca="1">_xll.BDH($C$78,"NET_FIXED_ASSETS_1_YEAR_GROWTH","FQ4 2014","FQ4 2014","Currency=INR","Period=FQ","BEST_FPERIOD_OVERRIDE=FQ","FILING_STATUS=OR","EQY_CONSOLIDATED=Y","Sort=A","Dates=H","DateFormat=P","Fill=—","Direction=H","UseDPDF=Y")</f>
        <v>#NAME?</v>
      </c>
      <c r="AC82" s="1" t="e">
        <f ca="1">_xll.BDH($C$78,"ASSET_GROWTH","FQ4 2014","FQ4 2014","Currency=INR","Period=FQ","BEST_FPERIOD_OVERRIDE=FQ","FILING_STATUS=OR","EQY_CONSOLIDATED=Y","Sort=A","Dates=H","DateFormat=P","Fill=—","Direction=H","UseDPDF=Y")</f>
        <v>#NAME?</v>
      </c>
      <c r="AD82" s="1" t="e">
        <f ca="1">_xll.BDH($C$78,"MODIFIED_WORK_CAP_GROWTH","FQ4 2014","FQ4 2014","Currency=INR","Period=FQ","BEST_FPERIOD_OVERRIDE=FQ","FILING_STATUS=OR","EQY_CONSOLIDATED=Y","Sort=A","Dates=H","DateFormat=P","Fill=—","Direction=H","UseDPDF=Y")</f>
        <v>#NAME?</v>
      </c>
      <c r="AE82" s="1" t="e">
        <f ca="1">_xll.BDH($C$78,"WORK_CAP_GROWTH","FQ4 2014","FQ4 2014","Currency=INR","Period=FQ","BEST_FPERIOD_OVERRIDE=FQ","FILING_STATUS=OR","EQY_CONSOLIDATED=Y","Sort=A","Dates=H","DateFormat=P","Fill=—","Direction=H","UseDPDF=Y")</f>
        <v>#NAME?</v>
      </c>
      <c r="AF82" s="1" t="e">
        <f ca="1">_xll.BDH($C$78,"ACCOUNTS_PAYABLE_GROWTH_1YR","FQ4 2014","FQ4 2014","Currency=INR","Period=FQ","BEST_FPERIOD_OVERRIDE=FQ","FILING_STATUS=OR","EQY_CONSOLIDATED=Y","Sort=A","Dates=H","DateFormat=P","Fill=—","Direction=H","UseDPDF=Y")</f>
        <v>#NAME?</v>
      </c>
      <c r="AG82" s="1" t="e">
        <f ca="1">_xll.BDH($C$78,"SHORT_TERM_DEBT_1_YEAR_GROWTH","FQ4 2014","FQ4 2014","Currency=INR","Period=FQ","BEST_FPERIOD_OVERRIDE=FQ","FILING_STATUS=OR","EQY_CONSOLIDATED=Y","Sort=A","Dates=H","DateFormat=P","Fill=—","Direction=H","UseDPDF=Y")</f>
        <v>#NAME?</v>
      </c>
      <c r="AH82" s="1" t="e">
        <f ca="1">_xll.BDH($C$78,"TOTAL_DEBT_1_YEAR_GROWTH","FQ4 2014","FQ4 2014","Currency=INR","Period=FQ","BEST_FPERIOD_OVERRIDE=FQ","FILING_STATUS=OR","EQY_CONSOLIDATED=Y","Sort=A","Dates=H","DateFormat=P","Fill=—","Direction=H","UseDPDF=Y")</f>
        <v>#NAME?</v>
      </c>
      <c r="AI82" s="1" t="e">
        <f ca="1">_xll.BDH($C$78,"TOTAL_EQUITY_1_YEAR_GROWTH","FQ4 2014","FQ4 2014","Currency=INR","Period=FQ","BEST_FPERIOD_OVERRIDE=FQ","FILING_STATUS=OR","EQY_CONSOLIDATED=Y","Sort=A","Dates=H","DateFormat=P","Fill=—","Direction=H","UseDPDF=Y")</f>
        <v>#NAME?</v>
      </c>
      <c r="AJ82" s="1" t="e">
        <f ca="1">_xll.BDH($C$78,"GROWTH_IN_CAP","FQ4 2014","FQ4 2014","Currency=INR","Period=FQ","BEST_FPERIOD_OVERRIDE=FQ","FILING_STATUS=OR","EQY_CONSOLIDATED=Y","Sort=A","Dates=H","DateFormat=P","Fill=—","Direction=H","UseDPDF=Y")</f>
        <v>#NAME?</v>
      </c>
      <c r="AK82" s="1" t="e">
        <f ca="1">_xll.BDH($C$78,"BVPS_GROWTH","FQ4 2014","FQ4 2014","Currency=INR","Period=FQ","BEST_FPERIOD_OVERRIDE=FQ","FILING_STATUS=OR","EQY_CONSOLIDATED=Y","Sort=A","Dates=H","DateFormat=P","Fill=—","Direction=H","UseDPDF=Y")</f>
        <v>#NAME?</v>
      </c>
      <c r="AL82" s="1" t="e">
        <f ca="1">_xll.BDH($C$78,"CASH_FLOW_GROWTH","FQ4 2014","FQ4 2014","Currency=INR","Period=FQ","BEST_FPERIOD_OVERRIDE=FQ","FILING_STATUS=OR","EQY_CONSOLIDATED=Y","Sort=A","Dates=H","DateFormat=P","Fill=—","Direction=H","UseDPDF=Y")</f>
        <v>#NAME?</v>
      </c>
      <c r="AM82" s="1" t="e">
        <f ca="1">_xll.BDH($C$78,"GEO_GROW_NET_SALES","FQ4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82" s="1" t="e">
        <f ca="1">_xll.BDH($C$78,"GEO_GROW_EBITDA","FQ4 2014","FQ4 2014","Currency=INR","Period=FQ","BEST_FPERIOD_OVERRIDE=FQ","FILING_STATUS=OR","EQY_CONSOLIDATED=Y","FA_ADJUSTED=GAAP","Sort=A","Dates=H","DateFormat=P","Fill=—","Direction=H","UseDPDF=Y")</f>
        <v>#NAME?</v>
      </c>
      <c r="AO82" s="1" t="e">
        <f ca="1">_xll.BDH($C$78,"GEO_GROW_OPER_INC","FQ4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82" s="1" t="e">
        <f ca="1">_xll.BDH($C$78,"NET_INCOME_TO_COMMON_5_YR_GROWTH","FQ4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82" s="1" t="e">
        <f ca="1">_xll.BDH($C$78,"5Y_GEO_GROWTH_DILUTED_EPS","FQ4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82" s="1" t="e">
        <f ca="1">_xll.BDH($C$78,"GEO_GROW_DVD_PER_SH","FQ4 2014","FQ4 2014","Currency=INR","Period=FQ","BEST_FPERIOD_OVERRIDE=FQ","FILING_STATUS=OR","EQY_CONSOLIDATED=Y","Sort=A","Dates=H","DateFormat=P","Fill=—","Direction=H","UseDPDF=Y")</f>
        <v>#NAME?</v>
      </c>
      <c r="AS82" s="1" t="e">
        <f ca="1">_xll.BDH($C$78,"ACCOUNTS_RECEIVABLE_5_YR_GROWTH","FQ4 2014","FQ4 2014","Currency=INR","Period=FQ","BEST_FPERIOD_OVERRIDE=FQ","FILING_STATUS=OR","EQY_CONSOLIDATED=Y","Sort=A","Dates=H","DateFormat=P","Fill=—","Direction=H","UseDPDF=Y")</f>
        <v>#NAME?</v>
      </c>
      <c r="AT82" s="1" t="e">
        <f ca="1">_xll.BDH($C$78,"INVENTORY_5_YEAR_GROWTH","FQ4 2014","FQ4 2014","Currency=INR","Period=FQ","BEST_FPERIOD_OVERRIDE=FQ","FILING_STATUS=OR","EQY_CONSOLIDATED=Y","Sort=A","Dates=H","DateFormat=P","Fill=—","Direction=H","UseDPDF=Y")</f>
        <v>#NAME?</v>
      </c>
      <c r="AU82" s="1" t="e">
        <f ca="1">_xll.BDH($C$78,"NET_FIXED_ASSETS_5_YEAR_GROWTH","FQ4 2014","FQ4 2014","Currency=INR","Period=FQ","BEST_FPERIOD_OVERRIDE=FQ","FILING_STATUS=OR","EQY_CONSOLIDATED=Y","Sort=A","Dates=H","DateFormat=P","Fill=—","Direction=H","UseDPDF=Y")</f>
        <v>#NAME?</v>
      </c>
      <c r="AV82" s="1" t="e">
        <f ca="1">_xll.BDH($C$78,"GEO_GROW_TOT_ASSET","FQ4 2014","FQ4 2014","Currency=INR","Period=FQ","BEST_FPERIOD_OVERRIDE=FQ","FILING_STATUS=OR","EQY_CONSOLIDATED=Y","Sort=A","Dates=H","DateFormat=P","Fill=—","Direction=H","UseDPDF=Y")</f>
        <v>#NAME?</v>
      </c>
      <c r="AW82" s="1" t="e">
        <f ca="1">_xll.BDH($C$78,"MODIFIED_WORKING_CPTL_5YR_GRWTH","FQ4 2014","FQ4 2014","Currency=INR","Period=FQ","BEST_FPERIOD_OVERRIDE=FQ","FILING_STATUS=OR","EQY_CONSOLIDATED=Y","Sort=A","Dates=H","DateFormat=P","Fill=—","Direction=H","UseDPDF=Y")</f>
        <v>#NAME?</v>
      </c>
      <c r="AX82" s="1" t="e">
        <f ca="1">_xll.BDH($C$78,"WORKING_CAPITAL_5_YEAR_GROWTH","FQ4 2014","FQ4 2014","Currency=INR","Period=FQ","BEST_FPERIOD_OVERRIDE=FQ","FILING_STATUS=OR","EQY_CONSOLIDATED=Y","Sort=A","Dates=H","DateFormat=P","Fill=—","Direction=H","UseDPDF=Y")</f>
        <v>#NAME?</v>
      </c>
      <c r="AY82" s="1" t="e">
        <f ca="1">_xll.BDH($C$78,"ACCOUNTS_PAYABLE_5_YEAR_GROWTH","FQ4 2014","FQ4 2014","Currency=INR","Period=FQ","BEST_FPERIOD_OVERRIDE=FQ","FILING_STATUS=OR","EQY_CONSOLIDATED=Y","Sort=A","Dates=H","DateFormat=P","Fill=—","Direction=H","UseDPDF=Y")</f>
        <v>#NAME?</v>
      </c>
      <c r="AZ82" s="1" t="e">
        <f ca="1">_xll.BDH($C$78,"SHORT_TERM_DEBT_5_YEAR_GROWTH","FQ4 2014","FQ4 2014","Currency=INR","Period=FQ","BEST_FPERIOD_OVERRIDE=FQ","FILING_STATUS=OR","EQY_CONSOLIDATED=Y","Sort=A","Dates=H","DateFormat=P","Fill=—","Direction=H","UseDPDF=Y")</f>
        <v>#NAME?</v>
      </c>
      <c r="BA82" s="1" t="e">
        <f ca="1">_xll.BDH($C$78,"TOTAL_DEBT_5_YEAR_GROWTH","FQ4 2014","FQ4 2014","Currency=INR","Period=FQ","BEST_FPERIOD_OVERRIDE=FQ","FILING_STATUS=OR","EQY_CONSOLIDATED=Y","Sort=A","Dates=H","DateFormat=P","Fill=—","Direction=H","UseDPDF=Y")</f>
        <v>#NAME?</v>
      </c>
      <c r="BB82" s="1" t="e">
        <f ca="1">_xll.BDH($C$78,"GEO_GROW_TOT_SHRHLDR_EQY","FQ4 2014","FQ4 2014","Currency=INR","Period=FQ","BEST_FPERIOD_OVERRIDE=FQ","FILING_STATUS=OR","EQY_CONSOLIDATED=Y","Sort=A","Dates=H","DateFormat=P","Fill=—","Direction=H","UseDPDF=Y")</f>
        <v>#NAME?</v>
      </c>
      <c r="BC82" s="1" t="e">
        <f ca="1">_xll.BDH($C$78,"TOTAL_CAPITAL_5_YEAR_GROWTH","FQ4 2014","FQ4 2014","Currency=INR","Period=FQ","BEST_FPERIOD_OVERRIDE=FQ","FILING_STATUS=OR","EQY_CONSOLIDATED=Y","Sort=A","Dates=H","DateFormat=P","Fill=—","Direction=H","UseDPDF=Y")</f>
        <v>#NAME?</v>
      </c>
      <c r="BD82" s="1" t="e">
        <f ca="1">_xll.BDH($C$78,"GEO_GROW_BOOK_VAL","FQ4 2014","FQ4 2014","Currency=INR","Period=FQ","BEST_FPERIOD_OVERRIDE=FQ","FILING_STATUS=OR","EQY_CONSOLIDATED=Y","Sort=A","Dates=H","DateFormat=P","Fill=—","Direction=H","UseDPDF=Y")</f>
        <v>#NAME?</v>
      </c>
      <c r="BE82" s="1" t="e">
        <f ca="1">_xll.BDH($C$78,"GEO_GROW_CASH_OPER_ACT","FQ4 2014","FQ4 2014","Currency=INR","Period=FQ","BEST_FPERIOD_OVERRIDE=FQ","FILING_STATUS=OR","EQY_CONSOLIDATED=Y","Sort=A","Dates=H","DateFormat=P","Fill=—","Direction=H","UseDPDF=Y")</f>
        <v>#NAME?</v>
      </c>
      <c r="BF82" s="1" t="e">
        <f ca="1">_xll.BDH($C$78,"REVENUE_SEQUENTIAL_GROWTH","FQ4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82" s="1" t="e">
        <f ca="1">_xll.BDH($C$78,"EBITDA_SEQUENTIAL_GROWTH","FQ4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82" s="1" t="e">
        <f ca="1">_xll.BDH($C$78,"OPERATING_INCOME_SEQ_GROWTH","FQ4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82" s="1" t="e">
        <f ca="1">_xll.BDH($C$78,"NET_INCOME_TO_COMMON_SEQ_GROWTH","FQ4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82" s="1" t="e">
        <f ca="1">_xll.BDH($C$78,"EPS_DILUTED_SEQUENTIAL_GROWTH","FQ4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82" s="1" t="e">
        <f ca="1">_xll.BDH($C$78,"DPS_SEQUENTIAL_GROWTH","FQ4 2014","FQ4 2014","Currency=INR","Period=FQ","BEST_FPERIOD_OVERRIDE=FQ","FILING_STATUS=OR","EQY_CONSOLIDATED=Y","Sort=A","Dates=H","DateFormat=P","Fill=—","Direction=H","UseDPDF=Y")</f>
        <v>#NAME?</v>
      </c>
      <c r="BL82" s="1" t="e">
        <f ca="1">_xll.BDH($C$78,"ACCOUNTS_RECEIVABLE_SEQ_GROWTH","FQ4 2014","FQ4 2014","Currency=INR","Period=FQ","BEST_FPERIOD_OVERRIDE=FQ","FILING_STATUS=OR","EQY_CONSOLIDATED=Y","Sort=A","Dates=H","DateFormat=P","Fill=—","Direction=H","UseDPDF=Y")</f>
        <v>#NAME?</v>
      </c>
      <c r="BM82" s="1" t="e">
        <f ca="1">_xll.BDH($C$78,"INVENTORY_SEQUENTIAL_GROWTH","FQ4 2014","FQ4 2014","Currency=INR","Period=FQ","BEST_FPERIOD_OVERRIDE=FQ","FILING_STATUS=OR","EQY_CONSOLIDATED=Y","Sort=A","Dates=H","DateFormat=P","Fill=—","Direction=H","UseDPDF=Y")</f>
        <v>#NAME?</v>
      </c>
      <c r="BN82" s="1" t="e">
        <f ca="1">_xll.BDH($C$78,"FIXED_ASSETS_SEQUENTIAL_GROWTH","FQ4 2014","FQ4 2014","Currency=INR","Period=FQ","BEST_FPERIOD_OVERRIDE=FQ","FILING_STATUS=OR","EQY_CONSOLIDATED=Y","Sort=A","Dates=H","DateFormat=P","Fill=—","Direction=H","UseDPDF=Y")</f>
        <v>#NAME?</v>
      </c>
      <c r="BO82" s="1" t="e">
        <f ca="1">_xll.BDH($C$78,"TOTAL_ASSETS_SEQUENTIAL_GROWTH","FQ4 2014","FQ4 2014","Currency=INR","Period=FQ","BEST_FPERIOD_OVERRIDE=FQ","FILING_STATUS=OR","EQY_CONSOLIDATED=Y","Sort=A","Dates=H","DateFormat=P","Fill=—","Direction=H","UseDPDF=Y")</f>
        <v>#NAME?</v>
      </c>
      <c r="BP82" s="1" t="e">
        <f ca="1">_xll.BDH($C$78,"MODIFIED_WORKING_CPTL_SEQ_GRWTH","FQ4 2014","FQ4 2014","Currency=INR","Period=FQ","BEST_FPERIOD_OVERRIDE=FQ","FILING_STATUS=OR","EQY_CONSOLIDATED=Y","Sort=A","Dates=H","DateFormat=P","Fill=—","Direction=H","UseDPDF=Y")</f>
        <v>#NAME?</v>
      </c>
      <c r="BQ82" s="1" t="e">
        <f ca="1">_xll.BDH($C$78,"WORKING_CAPITAL_SEQ_GROWTH","FQ4 2014","FQ4 2014","Currency=INR","Period=FQ","BEST_FPERIOD_OVERRIDE=FQ","FILING_STATUS=OR","EQY_CONSOLIDATED=Y","Sort=A","Dates=H","DateFormat=P","Fill=—","Direction=H","UseDPDF=Y")</f>
        <v>#NAME?</v>
      </c>
      <c r="BR82" s="1" t="e">
        <f ca="1">_xll.BDH($C$78,"ACCOUNTS_PAYABLE_SEQ_GROWTH","FQ4 2014","FQ4 2014","Currency=INR","Period=FQ","BEST_FPERIOD_OVERRIDE=FQ","FILING_STATUS=OR","EQY_CONSOLIDATED=Y","Sort=A","Dates=H","DateFormat=P","Fill=—","Direction=H","UseDPDF=Y")</f>
        <v>#NAME?</v>
      </c>
      <c r="BS82" s="1" t="e">
        <f ca="1">_xll.BDH($C$78,"ST_DEBT_SEQUENTIAL_GROWTH","FQ4 2014","FQ4 2014","Currency=INR","Period=FQ","BEST_FPERIOD_OVERRIDE=FQ","FILING_STATUS=OR","EQY_CONSOLIDATED=Y","Sort=A","Dates=H","DateFormat=P","Fill=—","Direction=H","UseDPDF=Y")</f>
        <v>#NAME?</v>
      </c>
      <c r="BT82" s="1" t="e">
        <f ca="1">_xll.BDH($C$78,"TOTAL_DEBT_SEQUENTIAL_GROWTH","FQ4 2014","FQ4 2014","Currency=INR","Period=FQ","BEST_FPERIOD_OVERRIDE=FQ","FILING_STATUS=OR","EQY_CONSOLIDATED=Y","Sort=A","Dates=H","DateFormat=P","Fill=—","Direction=H","UseDPDF=Y")</f>
        <v>#NAME?</v>
      </c>
      <c r="BU82" s="1" t="e">
        <f ca="1">_xll.BDH($C$78,"TOTAL_EQUITY_SEQUENTIAL_GROWTH","FQ4 2014","FQ4 2014","Currency=INR","Period=FQ","BEST_FPERIOD_OVERRIDE=FQ","FILING_STATUS=OR","EQY_CONSOLIDATED=Y","Sort=A","Dates=H","DateFormat=P","Fill=—","Direction=H","UseDPDF=Y")</f>
        <v>#NAME?</v>
      </c>
      <c r="BV82" s="1" t="e">
        <f ca="1">_xll.BDH($C$78,"TOTAL_CAPITAL_SEQUENTIAL_GROWTH","FQ4 2014","FQ4 2014","Currency=INR","Period=FQ","BEST_FPERIOD_OVERRIDE=FQ","FILING_STATUS=OR","EQY_CONSOLIDATED=Y","Sort=A","Dates=H","DateFormat=P","Fill=—","Direction=H","UseDPDF=Y")</f>
        <v>#NAME?</v>
      </c>
      <c r="BW82" s="1" t="e">
        <f ca="1">_xll.BDH($C$78,"BPS_SEQUENTIAL_GROWTH","FQ4 2014","FQ4 2014","Currency=INR","Period=FQ","BEST_FPERIOD_OVERRIDE=FQ","FILING_STATUS=OR","EQY_CONSOLIDATED=Y","Sort=A","Dates=H","DateFormat=P","Fill=—","Direction=H","UseDPDF=Y")</f>
        <v>#NAME?</v>
      </c>
      <c r="BX82" s="1" t="e">
        <f ca="1">_xll.BDH($C$78,"CFO_SEQUENTIAL_GROWTH","FQ4 2014","FQ4 2014","Currency=INR","Period=FQ","BEST_FPERIOD_OVERRIDE=FQ","FILING_STATUS=OR","EQY_CONSOLIDATED=Y","Sort=A","Dates=H","DateFormat=P","Fill=—","Direction=H","UseDPDF=Y")</f>
        <v>#NAME?</v>
      </c>
      <c r="BY82" s="2" t="e">
        <f ca="1">_xll.BDH($C$78,"SHORT_AND_LONG_TERM_DEBT","FQ4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82" s="2" t="e">
        <f ca="1">_xll.BDH($C$78,"BS_ST_BORROW","FQ4 2014","FQ4 2014","Currency=INR","Period=FQ","BEST_FPERIOD_OVERRIDE=FQ","FILING_STATUS=OR","EQY_CONSOLIDATED=Y","SCALING_FORMAT=MLN","Sort=A","Dates=H","DateFormat=P","Fill=—","Direction=H","UseDPDF=Y")</f>
        <v>#NAME?</v>
      </c>
      <c r="CA82" s="2" t="e">
        <f ca="1">_xll.BDH($C$78,"BS_LT_BORROW","FQ4 2014","FQ4 2014","Currency=INR","Period=FQ","BEST_FPERIOD_OVERRIDE=FQ","FILING_STATUS=OR","EQY_CONSOLIDATED=Y","SCALING_FORMAT=MLN","Sort=A","Dates=H","DateFormat=P","Fill=—","Direction=H","UseDPDF=Y")</f>
        <v>#NAME?</v>
      </c>
      <c r="CB82" s="1" t="e">
        <f ca="1">_xll.BDH($C$78,"TOT_DEBT_TO_EBITDA","FQ4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82" s="1" t="e">
        <f ca="1">_xll.BDH($C$78,"NET_DEBT_TO_EBITDA","FQ4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82" s="1" t="e">
        <f ca="1">_xll.BDH($C$78,"TOTAL_DEBT_TO_EBIT","FQ4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82" s="1" t="e">
        <f ca="1">_xll.BDH($C$78,"NET_DEBT_TO_EBIT","FQ4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82" s="1" t="e">
        <f ca="1">_xll.BDH($C$78,"EBITDA_TO_INTEREST_EXPN","FQ4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82" s="1" t="e">
        <f ca="1">_xll.BDH($C$78,"COM_EQY_TO_TOT_ASSET","FQ4 2014","FQ4 2014","Currency=INR","Period=FQ","BEST_FPERIOD_OVERRIDE=FQ","FILING_STATUS=OR","EQY_CONSOLIDATED=Y","Sort=A","Dates=H","DateFormat=P","Fill=—","Direction=H","UseDPDF=Y")</f>
        <v>#NAME?</v>
      </c>
      <c r="CH82" s="1" t="e">
        <f ca="1">_xll.BDH($C$78,"LT_DEBT_TO_TOT_EQY","FQ4 2014","FQ4 2014","Currency=INR","Period=FQ","BEST_FPERIOD_OVERRIDE=FQ","FILING_STATUS=OR","EQY_CONSOLIDATED=Y","Sort=A","Dates=H","DateFormat=P","Fill=—","Direction=H","UseDPDF=Y")</f>
        <v>#NAME?</v>
      </c>
      <c r="CI82" s="1" t="e">
        <f ca="1">_xll.BDH($C$78,"LT_DEBT_TO_TOT_CAP","FQ4 2014","FQ4 2014","Currency=INR","Period=FQ","BEST_FPERIOD_OVERRIDE=FQ","FILING_STATUS=OR","EQY_CONSOLIDATED=Y","Sort=A","Dates=H","DateFormat=P","Fill=—","Direction=H","UseDPDF=Y")</f>
        <v>#NAME?</v>
      </c>
      <c r="CJ82" s="1" t="e">
        <f ca="1">_xll.BDH($C$78,"LT_DEBT_TO_TOT_ASSET","FQ4 2014","FQ4 2014","Currency=INR","Period=FQ","BEST_FPERIOD_OVERRIDE=FQ","FILING_STATUS=OR","EQY_CONSOLIDATED=Y","Sort=A","Dates=H","DateFormat=P","Fill=—","Direction=H","UseDPDF=Y")</f>
        <v>#NAME?</v>
      </c>
      <c r="CK82" s="1" t="e">
        <f ca="1">_xll.BDH($C$78,"TOT_DEBT_TO_TOT_EQY","FQ4 2014","FQ4 2014","Currency=INR","Period=FQ","BEST_FPERIOD_OVERRIDE=FQ","FILING_STATUS=OR","EQY_CONSOLIDATED=Y","Sort=A","Dates=H","DateFormat=P","Fill=—","Direction=H","UseDPDF=Y")</f>
        <v>#NAME?</v>
      </c>
      <c r="CL82" s="1" t="e">
        <f ca="1">_xll.BDH($C$78,"TOT_DEBT_TO_TOT_CAP","FQ4 2014","FQ4 2014","Currency=INR","Period=FQ","BEST_FPERIOD_OVERRIDE=FQ","FILING_STATUS=OR","EQY_CONSOLIDATED=Y","Sort=A","Dates=H","DateFormat=P","Fill=—","Direction=H","UseDPDF=Y")</f>
        <v>#NAME?</v>
      </c>
      <c r="CM82" s="1" t="e">
        <f ca="1">_xll.BDH($C$78,"TOT_DEBT_TO_TOT_ASSET","FQ4 2014","FQ4 2014","Currency=INR","Period=FQ","BEST_FPERIOD_OVERRIDE=FQ","FILING_STATUS=OR","EQY_CONSOLIDATED=Y","Sort=A","Dates=H","DateFormat=P","Fill=—","Direction=H","UseDPDF=Y")</f>
        <v>#NAME?</v>
      </c>
      <c r="CN82" s="1" t="e">
        <f ca="1">_xll.BDH($C$78,"NET_DEBT_TO_SHRHLDR_EQTY","FQ4 2014","FQ4 2014","Currency=INR","Period=FQ","BEST_FPERIOD_OVERRIDE=FQ","FILING_STATUS=OR","EQY_CONSOLIDATED=Y","Sort=A","Dates=H","DateFormat=P","Fill=—","Direction=H","UseDPDF=Y")</f>
        <v>#NAME?</v>
      </c>
      <c r="CO82" s="1" t="e">
        <f ca="1">_xll.BDH($C$78,"NET_DEBT_%_CAPITAL","FQ4 2014","FQ4 2014","Currency=INR","Period=FQ","BEST_FPERIOD_OVERRIDE=FQ","FILING_STATUS=OR","EQY_CONSOLIDATED=Y","Sort=A","Dates=H","DateFormat=P","Fill=—","Direction=H","UseDPDF=Y")</f>
        <v>#NAME?</v>
      </c>
      <c r="CP82" s="2" t="e">
        <f ca="1">_xll.BDH($C$78,"EBITDA","FQ4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82" s="2" t="e">
        <f ca="1">_xll.BDH($C$78,"EBITDA_AFTER_CAPEX","FQ4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82" s="2" t="e">
        <f ca="1">_xll.BDH($C$78,"IS_OPER_INC","FQ4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82" s="1" t="e">
        <f ca="1">_xll.BDH($C$78,"CASH_RATIO","FQ4 2014","FQ4 2014","Currency=INR","Period=FQ","BEST_FPERIOD_OVERRIDE=FQ","FILING_STATUS=OR","EQY_CONSOLIDATED=Y","Sort=A","Dates=H","DateFormat=P","Fill=—","Direction=H","UseDPDF=Y")</f>
        <v>#NAME?</v>
      </c>
      <c r="CT82" s="1" t="e">
        <f ca="1">_xll.BDH($C$78,"CUR_RATIO","FQ4 2014","FQ4 2014","Currency=INR","Period=FQ","BEST_FPERIOD_OVERRIDE=FQ","FILING_STATUS=OR","EQY_CONSOLIDATED=Y","Sort=A","Dates=H","DateFormat=P","Fill=—","Direction=H","UseDPDF=Y")</f>
        <v>#NAME?</v>
      </c>
      <c r="CU82" s="1" t="e">
        <f ca="1">_xll.BDH($C$78,"QUICK_RATIO","FQ4 2014","FQ4 2014","Currency=INR","Period=FQ","BEST_FPERIOD_OVERRIDE=FQ","FILING_STATUS=OR","EQY_CONSOLIDATED=Y","Sort=A","Dates=H","DateFormat=P","Fill=—","Direction=H","UseDPDF=Y")</f>
        <v>#NAME?</v>
      </c>
      <c r="CV82" s="1" t="e">
        <f ca="1">_xll.BDH($C$78,"ALTMAN_Z_SCORE","FQ4 2014","FQ4 2014","Currency=INR","Period=FQ","BEST_FPERIOD_OVERRIDE=FQ","FILING_STATUS=OR","EQY_CONSOLIDATED=Y","Sort=A","Dates=H","DateFormat=P","Fill=—","Direction=H","UseDPDF=Y")</f>
        <v>#NAME?</v>
      </c>
      <c r="CW82" s="3" t="e">
        <f ca="1">_xll.BDH($C$78,"ACCT_RCV_TURN","FQ4 2014","FQ4 2014","Currency=INR","Period=FQ","BEST_FPERIOD_OVERRIDE=FQ","FILING_STATUS=OR","EQY_CONSOLIDATED=Y","FA_ADJUSTED=GAAP","Sort=A","Dates=H","DateFormat=P","Fill=—","Direction=H","UseDPDF=Y")</f>
        <v>#NAME?</v>
      </c>
      <c r="CX82" s="1" t="e">
        <f ca="1">_xll.BDH($C$78,"ACCT_RCV_DAYS","FQ4 2014","FQ4 2014","Currency=INR","Period=FQ","BEST_FPERIOD_OVERRIDE=FQ","FILING_STATUS=OR","EQY_CONSOLIDATED=Y","FA_ADJUSTED=GAAP","Sort=A","Dates=H","DateFormat=P","Fill=—","Direction=H","UseDPDF=Y")</f>
        <v>#NAME?</v>
      </c>
      <c r="CY82" s="3" t="e">
        <f ca="1">_xll.BDH($C$78,"INVENT_TURN","FQ4 2014","FQ4 2014","Currency=INR","Period=FQ","BEST_FPERIOD_OVERRIDE=FQ","FILING_STATUS=OR","EQY_CONSOLIDATED=Y","FA_ADJUSTED=GAAP","Sort=A","Dates=H","DateFormat=P","Fill=—","Direction=H","UseDPDF=Y")</f>
        <v>#NAME?</v>
      </c>
      <c r="CZ82" s="1" t="e">
        <f ca="1">_xll.BDH($C$78,"INVENT_DAYS","FQ4 2014","FQ4 2014","Currency=INR","Period=FQ","BEST_FPERIOD_OVERRIDE=FQ","FILING_STATUS=OR","EQY_CONSOLIDATED=Y","FA_ADJUSTED=GAAP","Sort=A","Dates=H","DateFormat=P","Fill=—","Direction=H","UseDPDF=Y")</f>
        <v>#NAME?</v>
      </c>
      <c r="DA82" s="3" t="e">
        <f ca="1">_xll.BDH($C$78,"ACCOUNTS_PAYABLE_TURNOVER","FQ4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82" s="1" t="e">
        <f ca="1">_xll.BDH($C$78,"ACCOUNTS_PAYABLE_TURNOVER_DAYS","FQ4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82" s="3" t="e">
        <f ca="1">_xll.BDH($C$78,"CASH_CONVERSION_CYCLE","FQ4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82" s="3" t="e">
        <f ca="1">_xll.BDH($C$78,"INV_TO_CASH_DAYS","FQ4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82" s="4" t="e">
        <f ca="1">_xll.BDH($C$78,"BS_INVENTORIES","FQ4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82" s="2" t="e">
        <f ca="1">_xll.BDH($C$78,"INVTRY_RAW_MATERIALS","FQ4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82" s="2" t="e">
        <f ca="1">_xll.BDH($C$78,"INVTRY_IN_PROGRESS","FQ4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82" s="2" t="e">
        <f ca="1">_xll.BDH($C$78,"INVTRY_FINISHED_GOODS","FQ4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82" s="2" t="e">
        <f ca="1">_xll.BDH($C$78,"BS_OTHER_INV","FQ4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83" spans="1:113" x14ac:dyDescent="0.3">
      <c r="A83" s="6"/>
      <c r="B83" s="6"/>
      <c r="C83" s="6"/>
      <c r="D83" s="6" t="s">
        <v>8</v>
      </c>
      <c r="E83" t="s">
        <v>3</v>
      </c>
      <c r="F83" t="e">
        <f ca="1">_xll.BDH($C$78,"RETURN_COM_EQY","FY 2015","FY 2015","Currency=INR","Period=FY","BEST_FPERIOD_OVERRIDE=FY","FILING_STATUS=OR","EQY_CONSOLIDATED=Y","FA_ADJUSTED=GAAP","Sort=A","Dates=H","DateFormat=P","Fill=—","Direction=H","UseDPDF=Y")</f>
        <v>#NAME?</v>
      </c>
      <c r="G83" t="e">
        <f ca="1">_xll.BDH($C$78,"RETURN_ON_ASSET","FY 2015","FY 2015","Currency=INR","Period=FY","BEST_FPERIOD_OVERRIDE=FY","FILING_STATUS=OR","EQY_CONSOLIDATED=Y","FA_ADJUSTED=GAAP","Sort=A","Dates=H","DateFormat=P","Fill=—","Direction=H","UseDPDF=Y")</f>
        <v>#NAME?</v>
      </c>
      <c r="H83" t="e">
        <f ca="1">_xll.BDH($C$78,"RETURN_ON_CAP","FY 2015","FY 2015","Currency=INR","Period=FY","BEST_FPERIOD_OVERRIDE=FY","FILING_STATUS=OR","EQY_CONSOLIDATED=Y","FA_ADJUSTED=GAAP","Sort=A","Dates=H","DateFormat=P","Fill=—","Direction=H","UseDPDF=Y")</f>
        <v>#NAME?</v>
      </c>
      <c r="I83" t="e">
        <f ca="1">_xll.BDH($C$78,"RETURN_ON_INV_CAPITAL","FY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83" t="e">
        <f ca="1">_xll.BDH($C$78,"EBITDA_TO_REVENUE","FY 2015","FY 2015","Currency=INR","Period=FY","BEST_FPERIOD_OVERRIDE=FY","FILING_STATUS=OR","EQY_CONSOLIDATED=Y","FA_ADJUSTED=GAAP","Sort=A","Dates=H","DateFormat=P","Fill=—","Direction=H","UseDPDF=Y")</f>
        <v>#NAME?</v>
      </c>
      <c r="K83" t="e">
        <f ca="1">_xll.BDH($C$78,"OPER_MARGIN","FY 2015","FY 2015","Currency=INR","Period=FY","BEST_FPERIOD_OVERRIDE=FY","FILING_STATUS=OR","EQY_CONSOLIDATED=Y","FA_ADJUSTED=GAAP","Sort=A","Dates=H","DateFormat=P","Fill=—","Direction=H","UseDPDF=Y")</f>
        <v>#NAME?</v>
      </c>
      <c r="L83" t="e">
        <f ca="1">_xll.BDH($C$78,"INCREMENTAL_OPERATING_MARGIN","FY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83" t="e">
        <f ca="1">_xll.BDH($C$78,"PRETAX_INC_TO_NET_SALES","FY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83" t="e">
        <f ca="1">_xll.BDH($C$78,"INC_BEF_XO_ITEMS_TO_NET_SALES","FY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83" t="e">
        <f ca="1">_xll.BDH($C$78,"PROF_MARGIN","FY 2015","FY 2015","Currency=INR","Period=FY","BEST_FPERIOD_OVERRIDE=FY","FILING_STATUS=OR","EQY_CONSOLIDATED=Y","FA_ADJUSTED=GAAP","Sort=A","Dates=H","DateFormat=P","Fill=—","Direction=H","UseDPDF=Y")</f>
        <v>#NAME?</v>
      </c>
      <c r="P83" t="e">
        <f ca="1">_xll.BDH($C$78,"NET_INCOME_TO_COMMON_MARGIN","FY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83" t="e">
        <f ca="1">_xll.BDH($C$78,"EFF_TAX_RATE","FY 2015","FY 2015","Currency=INR","Period=FY","BEST_FPERIOD_OVERRIDE=FY","FILING_STATUS=OR","EQY_CONSOLIDATED=Y","FA_ADJUSTED=GAAP","Sort=A","Dates=H","DateFormat=P","Fill=—","Direction=H","UseDPDF=Y")</f>
        <v>#NAME?</v>
      </c>
      <c r="R83" t="e">
        <f ca="1">_xll.BDH($C$78,"DVD_PAYOUT_RATIO","FY 2015","FY 2015","Currency=INR","Period=FY","BEST_FPERIOD_OVERRIDE=FY","FILING_STATUS=OR","EQY_CONSOLIDATED=Y","FA_ADJUSTED=GAAP","Sort=A","Dates=H","DateFormat=P","Fill=—","Direction=H","UseDPDF=Y")</f>
        <v>#NAME?</v>
      </c>
      <c r="S83" t="e">
        <f ca="1">_xll.BDH($C$78,"SUSTAIN_GROWTH_RT","FY 2015","FY 2015","Currency=INR","Period=FY","BEST_FPERIOD_OVERRIDE=FY","FILING_STATUS=OR","EQY_CONSOLIDATED=Y","FA_ADJUSTED=GAAP","Sort=A","Dates=H","DateFormat=P","Fill=—","Direction=H","UseDPDF=Y")</f>
        <v>#NAME?</v>
      </c>
      <c r="T83" s="1" t="e">
        <f ca="1">_xll.BDH($C$78,"SALES_GROWTH","FY 2015","FY 2015","Currency=INR","Period=FY","BEST_FPERIOD_OVERRIDE=FY","FILING_STATUS=OR","EQY_CONSOLIDATED=Y","FA_ADJUSTED=GAAP","Sort=A","Dates=H","DateFormat=P","Fill=—","Direction=H","UseDPDF=Y")</f>
        <v>#NAME?</v>
      </c>
      <c r="U83" s="1" t="e">
        <f ca="1">_xll.BDH($C$78,"EBITDA_GROWTH","FY 2015","FY 2015","Currency=INR","Period=FY","BEST_FPERIOD_OVERRIDE=FY","FILING_STATUS=OR","EQY_CONSOLIDATED=Y","FA_ADJUSTED=GAAP","Sort=A","Dates=H","DateFormat=P","Fill=—","Direction=H","UseDPDF=Y")</f>
        <v>#NAME?</v>
      </c>
      <c r="V83" s="1" t="e">
        <f ca="1">_xll.BDH($C$78,"OPER_INC_GROWTH","FY 2015","FY 2015","Currency=INR","Period=FY","BEST_FPERIOD_OVERRIDE=FY","FILING_STATUS=OR","EQY_CONSOLIDATED=Y","FA_ADJUSTED=GAAP","Sort=A","Dates=H","DateFormat=P","Fill=—","Direction=H","UseDPDF=Y")</f>
        <v>#NAME?</v>
      </c>
      <c r="W83" s="1" t="e">
        <f ca="1">_xll.BDH($C$78,"EARN_FOR_COM_GROWTH","FY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83" s="1" t="e">
        <f ca="1">_xll.BDH($C$78,"DILUTED_EPS_AFT_XO_ITEMS_GROWTH","FY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83" s="1" t="e">
        <f ca="1">_xll.BDH($C$78,"DIVIDEND_PER_SHARE_1_YEAR_GROWTH","FY 2015","FY 2015","Currency=INR","Period=FY","BEST_FPERIOD_OVERRIDE=FY","FILING_STATUS=OR","EQY_CONSOLIDATED=Y","Sort=A","Dates=H","DateFormat=P","Fill=—","Direction=H","UseDPDF=Y")</f>
        <v>#NAME?</v>
      </c>
      <c r="Z83" s="1" t="e">
        <f ca="1">_xll.BDH($C$78,"ACCOUNTS_RECEIVABLE_GROWTH","FY 2015","FY 2015","Currency=INR","Period=FY","BEST_FPERIOD_OVERRIDE=FY","FILING_STATUS=OR","EQY_CONSOLIDATED=Y","Sort=A","Dates=H","DateFormat=P","Fill=—","Direction=H","UseDPDF=Y")</f>
        <v>#NAME?</v>
      </c>
      <c r="AA83" s="1" t="e">
        <f ca="1">_xll.BDH($C$78,"INVENTORY_GROWTH","FY 2015","FY 2015","Currency=INR","Period=FY","BEST_FPERIOD_OVERRIDE=FY","FILING_STATUS=OR","EQY_CONSOLIDATED=Y","Sort=A","Dates=H","DateFormat=P","Fill=—","Direction=H","UseDPDF=Y")</f>
        <v>#NAME?</v>
      </c>
      <c r="AB83" s="1" t="e">
        <f ca="1">_xll.BDH($C$78,"NET_FIXED_ASSETS_1_YEAR_GROWTH","FY 2015","FY 2015","Currency=INR","Period=FY","BEST_FPERIOD_OVERRIDE=FY","FILING_STATUS=OR","EQY_CONSOLIDATED=Y","Sort=A","Dates=H","DateFormat=P","Fill=—","Direction=H","UseDPDF=Y")</f>
        <v>#NAME?</v>
      </c>
      <c r="AC83" s="1" t="e">
        <f ca="1">_xll.BDH($C$78,"ASSET_GROWTH","FY 2015","FY 2015","Currency=INR","Period=FY","BEST_FPERIOD_OVERRIDE=FY","FILING_STATUS=OR","EQY_CONSOLIDATED=Y","Sort=A","Dates=H","DateFormat=P","Fill=—","Direction=H","UseDPDF=Y")</f>
        <v>#NAME?</v>
      </c>
      <c r="AD83" s="1" t="e">
        <f ca="1">_xll.BDH($C$78,"MODIFIED_WORK_CAP_GROWTH","FY 2015","FY 2015","Currency=INR","Period=FY","BEST_FPERIOD_OVERRIDE=FY","FILING_STATUS=OR","EQY_CONSOLIDATED=Y","Sort=A","Dates=H","DateFormat=P","Fill=—","Direction=H","UseDPDF=Y")</f>
        <v>#NAME?</v>
      </c>
      <c r="AE83" s="1" t="e">
        <f ca="1">_xll.BDH($C$78,"WORK_CAP_GROWTH","FY 2015","FY 2015","Currency=INR","Period=FY","BEST_FPERIOD_OVERRIDE=FY","FILING_STATUS=OR","EQY_CONSOLIDATED=Y","Sort=A","Dates=H","DateFormat=P","Fill=—","Direction=H","UseDPDF=Y")</f>
        <v>#NAME?</v>
      </c>
      <c r="AF83" s="1" t="e">
        <f ca="1">_xll.BDH($C$78,"ACCOUNTS_PAYABLE_GROWTH_1YR","FY 2015","FY 2015","Currency=INR","Period=FY","BEST_FPERIOD_OVERRIDE=FY","FILING_STATUS=OR","EQY_CONSOLIDATED=Y","Sort=A","Dates=H","DateFormat=P","Fill=—","Direction=H","UseDPDF=Y")</f>
        <v>#NAME?</v>
      </c>
      <c r="AG83" s="1" t="e">
        <f ca="1">_xll.BDH($C$78,"SHORT_TERM_DEBT_1_YEAR_GROWTH","FY 2015","FY 2015","Currency=INR","Period=FY","BEST_FPERIOD_OVERRIDE=FY","FILING_STATUS=OR","EQY_CONSOLIDATED=Y","Sort=A","Dates=H","DateFormat=P","Fill=—","Direction=H","UseDPDF=Y")</f>
        <v>#NAME?</v>
      </c>
      <c r="AH83" s="1" t="e">
        <f ca="1">_xll.BDH($C$78,"TOTAL_DEBT_1_YEAR_GROWTH","FY 2015","FY 2015","Currency=INR","Period=FY","BEST_FPERIOD_OVERRIDE=FY","FILING_STATUS=OR","EQY_CONSOLIDATED=Y","Sort=A","Dates=H","DateFormat=P","Fill=—","Direction=H","UseDPDF=Y")</f>
        <v>#NAME?</v>
      </c>
      <c r="AI83" s="1" t="e">
        <f ca="1">_xll.BDH($C$78,"TOTAL_EQUITY_1_YEAR_GROWTH","FY 2015","FY 2015","Currency=INR","Period=FY","BEST_FPERIOD_OVERRIDE=FY","FILING_STATUS=OR","EQY_CONSOLIDATED=Y","Sort=A","Dates=H","DateFormat=P","Fill=—","Direction=H","UseDPDF=Y")</f>
        <v>#NAME?</v>
      </c>
      <c r="AJ83" s="1" t="e">
        <f ca="1">_xll.BDH($C$78,"GROWTH_IN_CAP","FY 2015","FY 2015","Currency=INR","Period=FY","BEST_FPERIOD_OVERRIDE=FY","FILING_STATUS=OR","EQY_CONSOLIDATED=Y","Sort=A","Dates=H","DateFormat=P","Fill=—","Direction=H","UseDPDF=Y")</f>
        <v>#NAME?</v>
      </c>
      <c r="AK83" s="1" t="e">
        <f ca="1">_xll.BDH($C$78,"BVPS_GROWTH","FY 2015","FY 2015","Currency=INR","Period=FY","BEST_FPERIOD_OVERRIDE=FY","FILING_STATUS=OR","EQY_CONSOLIDATED=Y","Sort=A","Dates=H","DateFormat=P","Fill=—","Direction=H","UseDPDF=Y")</f>
        <v>#NAME?</v>
      </c>
      <c r="AL83" s="1" t="e">
        <f ca="1">_xll.BDH($C$78,"CASH_FLOW_GROWTH","FY 2015","FY 2015","Currency=INR","Period=FY","BEST_FPERIOD_OVERRIDE=FY","FILING_STATUS=OR","EQY_CONSOLIDATED=Y","Sort=A","Dates=H","DateFormat=P","Fill=—","Direction=H","UseDPDF=Y")</f>
        <v>#NAME?</v>
      </c>
      <c r="AM83" s="1" t="e">
        <f ca="1">_xll.BDH($C$78,"GEO_GROW_NET_SALES","FY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83" s="1" t="e">
        <f ca="1">_xll.BDH($C$78,"GEO_GROW_EBITDA","FY 2015","FY 2015","Currency=INR","Period=FY","BEST_FPERIOD_OVERRIDE=FY","FILING_STATUS=OR","EQY_CONSOLIDATED=Y","FA_ADJUSTED=GAAP","Sort=A","Dates=H","DateFormat=P","Fill=—","Direction=H","UseDPDF=Y")</f>
        <v>#NAME?</v>
      </c>
      <c r="AO83" s="1" t="e">
        <f ca="1">_xll.BDH($C$78,"GEO_GROW_OPER_INC","FY 2015","FY 2015","Currency=INR","Period=FY","BEST_FPERIOD_OVERRIDE=FY","FILING_STATUS=OR","EQY_CONSOLIDATED=Y","FA_ADJUSTED=GAAP","Sort=A","Dates=H","DateFormat=P","Fill=—","Direction=H","UseDPDF=Y")</f>
        <v>#NAME?</v>
      </c>
      <c r="AP83" s="1" t="e">
        <f ca="1">_xll.BDH($C$78,"NET_INCOME_TO_COMMON_5_YR_GROWTH","FY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83" s="1" t="e">
        <f ca="1">_xll.BDH($C$78,"5Y_GEO_GROWTH_DILUTED_EPS","FY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83" s="1" t="e">
        <f ca="1">_xll.BDH($C$78,"GEO_GROW_DVD_PER_SH","FY 2015","FY 2015","Currency=INR","Period=FY","BEST_FPERIOD_OVERRIDE=FY","FILING_STATUS=OR","EQY_CONSOLIDATED=Y","Sort=A","Dates=H","DateFormat=P","Fill=—","Direction=H","UseDPDF=Y")</f>
        <v>#NAME?</v>
      </c>
      <c r="AS83" s="1" t="e">
        <f ca="1">_xll.BDH($C$78,"ACCOUNTS_RECEIVABLE_5_YR_GROWTH","FY 2015","FY 2015","Currency=INR","Period=FY","BEST_FPERIOD_OVERRIDE=FY","FILING_STATUS=OR","EQY_CONSOLIDATED=Y","Sort=A","Dates=H","DateFormat=P","Fill=—","Direction=H","UseDPDF=Y")</f>
        <v>#NAME?</v>
      </c>
      <c r="AT83" s="1" t="e">
        <f ca="1">_xll.BDH($C$78,"INVENTORY_5_YEAR_GROWTH","FY 2015","FY 2015","Currency=INR","Period=FY","BEST_FPERIOD_OVERRIDE=FY","FILING_STATUS=OR","EQY_CONSOLIDATED=Y","Sort=A","Dates=H","DateFormat=P","Fill=—","Direction=H","UseDPDF=Y")</f>
        <v>#NAME?</v>
      </c>
      <c r="AU83" s="1" t="e">
        <f ca="1">_xll.BDH($C$78,"NET_FIXED_ASSETS_5_YEAR_GROWTH","FY 2015","FY 2015","Currency=INR","Period=FY","BEST_FPERIOD_OVERRIDE=FY","FILING_STATUS=OR","EQY_CONSOLIDATED=Y","Sort=A","Dates=H","DateFormat=P","Fill=—","Direction=H","UseDPDF=Y")</f>
        <v>#NAME?</v>
      </c>
      <c r="AV83" s="1" t="e">
        <f ca="1">_xll.BDH($C$78,"GEO_GROW_TOT_ASSET","FY 2015","FY 2015","Currency=INR","Period=FY","BEST_FPERIOD_OVERRIDE=FY","FILING_STATUS=OR","EQY_CONSOLIDATED=Y","Sort=A","Dates=H","DateFormat=P","Fill=—","Direction=H","UseDPDF=Y")</f>
        <v>#NAME?</v>
      </c>
      <c r="AW83" s="1" t="e">
        <f ca="1">_xll.BDH($C$78,"MODIFIED_WORKING_CPTL_5YR_GRWTH","FY 2015","FY 2015","Currency=INR","Period=FY","BEST_FPERIOD_OVERRIDE=FY","FILING_STATUS=OR","EQY_CONSOLIDATED=Y","Sort=A","Dates=H","DateFormat=P","Fill=—","Direction=H","UseDPDF=Y")</f>
        <v>#NAME?</v>
      </c>
      <c r="AX83" s="1" t="e">
        <f ca="1">_xll.BDH($C$78,"WORKING_CAPITAL_5_YEAR_GROWTH","FY 2015","FY 2015","Currency=INR","Period=FY","BEST_FPERIOD_OVERRIDE=FY","FILING_STATUS=OR","EQY_CONSOLIDATED=Y","Sort=A","Dates=H","DateFormat=P","Fill=—","Direction=H","UseDPDF=Y")</f>
        <v>#NAME?</v>
      </c>
      <c r="AY83" s="1" t="e">
        <f ca="1">_xll.BDH($C$78,"ACCOUNTS_PAYABLE_5_YEAR_GROWTH","FY 2015","FY 2015","Currency=INR","Period=FY","BEST_FPERIOD_OVERRIDE=FY","FILING_STATUS=OR","EQY_CONSOLIDATED=Y","Sort=A","Dates=H","DateFormat=P","Fill=—","Direction=H","UseDPDF=Y")</f>
        <v>#NAME?</v>
      </c>
      <c r="AZ83" s="1" t="e">
        <f ca="1">_xll.BDH($C$78,"SHORT_TERM_DEBT_5_YEAR_GROWTH","FY 2015","FY 2015","Currency=INR","Period=FY","BEST_FPERIOD_OVERRIDE=FY","FILING_STATUS=OR","EQY_CONSOLIDATED=Y","Sort=A","Dates=H","DateFormat=P","Fill=—","Direction=H","UseDPDF=Y")</f>
        <v>#NAME?</v>
      </c>
      <c r="BA83" s="1" t="e">
        <f ca="1">_xll.BDH($C$78,"TOTAL_DEBT_5_YEAR_GROWTH","FY 2015","FY 2015","Currency=INR","Period=FY","BEST_FPERIOD_OVERRIDE=FY","FILING_STATUS=OR","EQY_CONSOLIDATED=Y","Sort=A","Dates=H","DateFormat=P","Fill=—","Direction=H","UseDPDF=Y")</f>
        <v>#NAME?</v>
      </c>
      <c r="BB83" s="1" t="e">
        <f ca="1">_xll.BDH($C$78,"GEO_GROW_TOT_SHRHLDR_EQY","FY 2015","FY 2015","Currency=INR","Period=FY","BEST_FPERIOD_OVERRIDE=FY","FILING_STATUS=OR","EQY_CONSOLIDATED=Y","Sort=A","Dates=H","DateFormat=P","Fill=—","Direction=H","UseDPDF=Y")</f>
        <v>#NAME?</v>
      </c>
      <c r="BC83" s="1" t="e">
        <f ca="1">_xll.BDH($C$78,"TOTAL_CAPITAL_5_YEAR_GROWTH","FY 2015","FY 2015","Currency=INR","Period=FY","BEST_FPERIOD_OVERRIDE=FY","FILING_STATUS=OR","EQY_CONSOLIDATED=Y","Sort=A","Dates=H","DateFormat=P","Fill=—","Direction=H","UseDPDF=Y")</f>
        <v>#NAME?</v>
      </c>
      <c r="BD83" s="1" t="e">
        <f ca="1">_xll.BDH($C$78,"GEO_GROW_BOOK_VAL","FY 2015","FY 2015","Currency=INR","Period=FY","BEST_FPERIOD_OVERRIDE=FY","FILING_STATUS=OR","EQY_CONSOLIDATED=Y","Sort=A","Dates=H","DateFormat=P","Fill=—","Direction=H","UseDPDF=Y")</f>
        <v>#NAME?</v>
      </c>
      <c r="BE83" s="1" t="e">
        <f ca="1">_xll.BDH($C$78,"GEO_GROW_CASH_OPER_ACT","FY 2015","FY 2015","Currency=INR","Period=FY","BEST_FPERIOD_OVERRIDE=FY","FILING_STATUS=OR","EQY_CONSOLIDATED=Y","Sort=A","Dates=H","DateFormat=P","Fill=—","Direction=H","UseDPDF=Y")</f>
        <v>#NAME?</v>
      </c>
      <c r="BF83" s="1" t="e">
        <f ca="1">_xll.BDH($C$78,"REVENUE_SEQUENTIAL_GROWTH","FY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83" s="1" t="e">
        <f ca="1">_xll.BDH($C$78,"EBITDA_SEQUENTIAL_GROWTH","FY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83" s="1" t="e">
        <f ca="1">_xll.BDH($C$78,"OPERATING_INCOME_SEQ_GROWTH","FY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83" s="1" t="e">
        <f ca="1">_xll.BDH($C$78,"NET_INCOME_TO_COMMON_SEQ_GROWTH","FY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83" s="1" t="e">
        <f ca="1">_xll.BDH($C$78,"EPS_DILUTED_SEQUENTIAL_GROWTH","FY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83" s="1" t="e">
        <f ca="1">_xll.BDH($C$78,"DPS_SEQUENTIAL_GROWTH","FY 2015","FY 2015","Currency=INR","Period=FY","BEST_FPERIOD_OVERRIDE=FY","FILING_STATUS=OR","EQY_CONSOLIDATED=Y","Sort=A","Dates=H","DateFormat=P","Fill=—","Direction=H","UseDPDF=Y")</f>
        <v>#NAME?</v>
      </c>
      <c r="BL83" s="1" t="e">
        <f ca="1">_xll.BDH($C$78,"ACCOUNTS_RECEIVABLE_SEQ_GROWTH","FY 2015","FY 2015","Currency=INR","Period=FY","BEST_FPERIOD_OVERRIDE=FY","FILING_STATUS=OR","EQY_CONSOLIDATED=Y","Sort=A","Dates=H","DateFormat=P","Fill=—","Direction=H","UseDPDF=Y")</f>
        <v>#NAME?</v>
      </c>
      <c r="BM83" s="1" t="e">
        <f ca="1">_xll.BDH($C$78,"INVENTORY_SEQUENTIAL_GROWTH","FY 2015","FY 2015","Currency=INR","Period=FY","BEST_FPERIOD_OVERRIDE=FY","FILING_STATUS=OR","EQY_CONSOLIDATED=Y","Sort=A","Dates=H","DateFormat=P","Fill=—","Direction=H","UseDPDF=Y")</f>
        <v>#NAME?</v>
      </c>
      <c r="BN83" s="1" t="e">
        <f ca="1">_xll.BDH($C$78,"FIXED_ASSETS_SEQUENTIAL_GROWTH","FY 2015","FY 2015","Currency=INR","Period=FY","BEST_FPERIOD_OVERRIDE=FY","FILING_STATUS=OR","EQY_CONSOLIDATED=Y","Sort=A","Dates=H","DateFormat=P","Fill=—","Direction=H","UseDPDF=Y")</f>
        <v>#NAME?</v>
      </c>
      <c r="BO83" s="1" t="e">
        <f ca="1">_xll.BDH($C$78,"TOTAL_ASSETS_SEQUENTIAL_GROWTH","FY 2015","FY 2015","Currency=INR","Period=FY","BEST_FPERIOD_OVERRIDE=FY","FILING_STATUS=OR","EQY_CONSOLIDATED=Y","Sort=A","Dates=H","DateFormat=P","Fill=—","Direction=H","UseDPDF=Y")</f>
        <v>#NAME?</v>
      </c>
      <c r="BP83" s="1" t="e">
        <f ca="1">_xll.BDH($C$78,"MODIFIED_WORKING_CPTL_SEQ_GRWTH","FY 2015","FY 2015","Currency=INR","Period=FY","BEST_FPERIOD_OVERRIDE=FY","FILING_STATUS=OR","EQY_CONSOLIDATED=Y","Sort=A","Dates=H","DateFormat=P","Fill=—","Direction=H","UseDPDF=Y")</f>
        <v>#NAME?</v>
      </c>
      <c r="BQ83" s="1" t="e">
        <f ca="1">_xll.BDH($C$78,"WORKING_CAPITAL_SEQ_GROWTH","FY 2015","FY 2015","Currency=INR","Period=FY","BEST_FPERIOD_OVERRIDE=FY","FILING_STATUS=OR","EQY_CONSOLIDATED=Y","Sort=A","Dates=H","DateFormat=P","Fill=—","Direction=H","UseDPDF=Y")</f>
        <v>#NAME?</v>
      </c>
      <c r="BR83" s="1" t="e">
        <f ca="1">_xll.BDH($C$78,"ACCOUNTS_PAYABLE_SEQ_GROWTH","FY 2015","FY 2015","Currency=INR","Period=FY","BEST_FPERIOD_OVERRIDE=FY","FILING_STATUS=OR","EQY_CONSOLIDATED=Y","Sort=A","Dates=H","DateFormat=P","Fill=—","Direction=H","UseDPDF=Y")</f>
        <v>#NAME?</v>
      </c>
      <c r="BS83" s="1" t="e">
        <f ca="1">_xll.BDH($C$78,"ST_DEBT_SEQUENTIAL_GROWTH","FY 2015","FY 2015","Currency=INR","Period=FY","BEST_FPERIOD_OVERRIDE=FY","FILING_STATUS=OR","EQY_CONSOLIDATED=Y","Sort=A","Dates=H","DateFormat=P","Fill=—","Direction=H","UseDPDF=Y")</f>
        <v>#NAME?</v>
      </c>
      <c r="BT83" s="1" t="e">
        <f ca="1">_xll.BDH($C$78,"TOTAL_DEBT_SEQUENTIAL_GROWTH","FY 2015","FY 2015","Currency=INR","Period=FY","BEST_FPERIOD_OVERRIDE=FY","FILING_STATUS=OR","EQY_CONSOLIDATED=Y","Sort=A","Dates=H","DateFormat=P","Fill=—","Direction=H","UseDPDF=Y")</f>
        <v>#NAME?</v>
      </c>
      <c r="BU83" s="1" t="e">
        <f ca="1">_xll.BDH($C$78,"TOTAL_EQUITY_SEQUENTIAL_GROWTH","FY 2015","FY 2015","Currency=INR","Period=FY","BEST_FPERIOD_OVERRIDE=FY","FILING_STATUS=OR","EQY_CONSOLIDATED=Y","Sort=A","Dates=H","DateFormat=P","Fill=—","Direction=H","UseDPDF=Y")</f>
        <v>#NAME?</v>
      </c>
      <c r="BV83" s="1" t="e">
        <f ca="1">_xll.BDH($C$78,"TOTAL_CAPITAL_SEQUENTIAL_GROWTH","FY 2015","FY 2015","Currency=INR","Period=FY","BEST_FPERIOD_OVERRIDE=FY","FILING_STATUS=OR","EQY_CONSOLIDATED=Y","Sort=A","Dates=H","DateFormat=P","Fill=—","Direction=H","UseDPDF=Y")</f>
        <v>#NAME?</v>
      </c>
      <c r="BW83" s="1" t="e">
        <f ca="1">_xll.BDH($C$78,"BPS_SEQUENTIAL_GROWTH","FY 2015","FY 2015","Currency=INR","Period=FY","BEST_FPERIOD_OVERRIDE=FY","FILING_STATUS=OR","EQY_CONSOLIDATED=Y","Sort=A","Dates=H","DateFormat=P","Fill=—","Direction=H","UseDPDF=Y")</f>
        <v>#NAME?</v>
      </c>
      <c r="BX83" s="1" t="e">
        <f ca="1">_xll.BDH($C$78,"CFO_SEQUENTIAL_GROWTH","FY 2015","FY 2015","Currency=INR","Period=FY","BEST_FPERIOD_OVERRIDE=FY","FILING_STATUS=OR","EQY_CONSOLIDATED=Y","Sort=A","Dates=H","DateFormat=P","Fill=—","Direction=H","UseDPDF=Y")</f>
        <v>#NAME?</v>
      </c>
      <c r="BY83" s="2" t="e">
        <f ca="1">_xll.BDH($C$78,"SHORT_AND_LONG_TERM_DEBT","FY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83" s="2" t="e">
        <f ca="1">_xll.BDH($C$78,"BS_ST_BORROW","FY 2015","FY 2015","Currency=INR","Period=FY","BEST_FPERIOD_OVERRIDE=FY","FILING_STATUS=OR","EQY_CONSOLIDATED=Y","SCALING_FORMAT=MLN","Sort=A","Dates=H","DateFormat=P","Fill=—","Direction=H","UseDPDF=Y")</f>
        <v>#NAME?</v>
      </c>
      <c r="CA83" s="2" t="e">
        <f ca="1">_xll.BDH($C$78,"BS_LT_BORROW","FY 2015","FY 2015","Currency=INR","Period=FY","BEST_FPERIOD_OVERRIDE=FY","FILING_STATUS=OR","EQY_CONSOLIDATED=Y","SCALING_FORMAT=MLN","Sort=A","Dates=H","DateFormat=P","Fill=—","Direction=H","UseDPDF=Y")</f>
        <v>#NAME?</v>
      </c>
      <c r="CB83" s="1" t="e">
        <f ca="1">_xll.BDH($C$78,"TOT_DEBT_TO_EBITDA","FY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83" s="1" t="e">
        <f ca="1">_xll.BDH($C$78,"NET_DEBT_TO_EBITDA","FY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83" s="1" t="e">
        <f ca="1">_xll.BDH($C$78,"TOTAL_DEBT_TO_EBIT","FY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83" s="1" t="e">
        <f ca="1">_xll.BDH($C$78,"NET_DEBT_TO_EBIT","FY 2015","FY 2015","Currency=INR","Period=FY","BEST_FPERIOD_OVERRIDE=FY","FILING_STATUS=OR","EQY_CONSOLIDATED=Y","FA_ADJUSTED=GAAP","Sort=A","Dates=H","DateFormat=P","Fill=—","Direction=H","UseDPDF=Y")</f>
        <v>#NAME?</v>
      </c>
      <c r="CF83" s="1" t="e">
        <f ca="1">_xll.BDH($C$78,"EBITDA_TO_INTEREST_EXPN","FY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83" s="1" t="e">
        <f ca="1">_xll.BDH($C$78,"COM_EQY_TO_TOT_ASSET","FY 2015","FY 2015","Currency=INR","Period=FY","BEST_FPERIOD_OVERRIDE=FY","FILING_STATUS=OR","EQY_CONSOLIDATED=Y","Sort=A","Dates=H","DateFormat=P","Fill=—","Direction=H","UseDPDF=Y")</f>
        <v>#NAME?</v>
      </c>
      <c r="CH83" s="1" t="e">
        <f ca="1">_xll.BDH($C$78,"LT_DEBT_TO_TOT_EQY","FY 2015","FY 2015","Currency=INR","Period=FY","BEST_FPERIOD_OVERRIDE=FY","FILING_STATUS=OR","EQY_CONSOLIDATED=Y","Sort=A","Dates=H","DateFormat=P","Fill=—","Direction=H","UseDPDF=Y")</f>
        <v>#NAME?</v>
      </c>
      <c r="CI83" s="1" t="e">
        <f ca="1">_xll.BDH($C$78,"LT_DEBT_TO_TOT_CAP","FY 2015","FY 2015","Currency=INR","Period=FY","BEST_FPERIOD_OVERRIDE=FY","FILING_STATUS=OR","EQY_CONSOLIDATED=Y","Sort=A","Dates=H","DateFormat=P","Fill=—","Direction=H","UseDPDF=Y")</f>
        <v>#NAME?</v>
      </c>
      <c r="CJ83" s="1" t="e">
        <f ca="1">_xll.BDH($C$78,"LT_DEBT_TO_TOT_ASSET","FY 2015","FY 2015","Currency=INR","Period=FY","BEST_FPERIOD_OVERRIDE=FY","FILING_STATUS=OR","EQY_CONSOLIDATED=Y","Sort=A","Dates=H","DateFormat=P","Fill=—","Direction=H","UseDPDF=Y")</f>
        <v>#NAME?</v>
      </c>
      <c r="CK83" s="1" t="e">
        <f ca="1">_xll.BDH($C$78,"TOT_DEBT_TO_TOT_EQY","FY 2015","FY 2015","Currency=INR","Period=FY","BEST_FPERIOD_OVERRIDE=FY","FILING_STATUS=OR","EQY_CONSOLIDATED=Y","Sort=A","Dates=H","DateFormat=P","Fill=—","Direction=H","UseDPDF=Y")</f>
        <v>#NAME?</v>
      </c>
      <c r="CL83" s="1" t="e">
        <f ca="1">_xll.BDH($C$78,"TOT_DEBT_TO_TOT_CAP","FY 2015","FY 2015","Currency=INR","Period=FY","BEST_FPERIOD_OVERRIDE=FY","FILING_STATUS=OR","EQY_CONSOLIDATED=Y","Sort=A","Dates=H","DateFormat=P","Fill=—","Direction=H","UseDPDF=Y")</f>
        <v>#NAME?</v>
      </c>
      <c r="CM83" s="1" t="e">
        <f ca="1">_xll.BDH($C$78,"TOT_DEBT_TO_TOT_ASSET","FY 2015","FY 2015","Currency=INR","Period=FY","BEST_FPERIOD_OVERRIDE=FY","FILING_STATUS=OR","EQY_CONSOLIDATED=Y","Sort=A","Dates=H","DateFormat=P","Fill=—","Direction=H","UseDPDF=Y")</f>
        <v>#NAME?</v>
      </c>
      <c r="CN83" s="1" t="e">
        <f ca="1">_xll.BDH($C$78,"NET_DEBT_TO_SHRHLDR_EQTY","FY 2015","FY 2015","Currency=INR","Period=FY","BEST_FPERIOD_OVERRIDE=FY","FILING_STATUS=OR","EQY_CONSOLIDATED=Y","Sort=A","Dates=H","DateFormat=P","Fill=—","Direction=H","UseDPDF=Y")</f>
        <v>#NAME?</v>
      </c>
      <c r="CO83" s="1" t="e">
        <f ca="1">_xll.BDH($C$78,"NET_DEBT_%_CAPITAL","FY 2015","FY 2015","Currency=INR","Period=FY","BEST_FPERIOD_OVERRIDE=FY","FILING_STATUS=OR","EQY_CONSOLIDATED=Y","Sort=A","Dates=H","DateFormat=P","Fill=—","Direction=H","UseDPDF=Y")</f>
        <v>#NAME?</v>
      </c>
      <c r="CP83" s="2" t="e">
        <f ca="1">_xll.BDH($C$78,"EBITDA","FY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83" s="2" t="e">
        <f ca="1">_xll.BDH($C$78,"EBITDA_AFTER_CAPEX","FY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83" s="2" t="e">
        <f ca="1">_xll.BDH($C$78,"IS_OPER_INC","FY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83" s="1" t="e">
        <f ca="1">_xll.BDH($C$78,"CASH_RATIO","FY 2015","FY 2015","Currency=INR","Period=FY","BEST_FPERIOD_OVERRIDE=FY","FILING_STATUS=OR","EQY_CONSOLIDATED=Y","Sort=A","Dates=H","DateFormat=P","Fill=—","Direction=H","UseDPDF=Y")</f>
        <v>#NAME?</v>
      </c>
      <c r="CT83" s="1" t="e">
        <f ca="1">_xll.BDH($C$78,"CUR_RATIO","FY 2015","FY 2015","Currency=INR","Period=FY","BEST_FPERIOD_OVERRIDE=FY","FILING_STATUS=OR","EQY_CONSOLIDATED=Y","Sort=A","Dates=H","DateFormat=P","Fill=—","Direction=H","UseDPDF=Y")</f>
        <v>#NAME?</v>
      </c>
      <c r="CU83" s="1" t="e">
        <f ca="1">_xll.BDH($C$78,"QUICK_RATIO","FY 2015","FY 2015","Currency=INR","Period=FY","BEST_FPERIOD_OVERRIDE=FY","FILING_STATUS=OR","EQY_CONSOLIDATED=Y","Sort=A","Dates=H","DateFormat=P","Fill=—","Direction=H","UseDPDF=Y")</f>
        <v>#NAME?</v>
      </c>
      <c r="CV83" s="1" t="e">
        <f ca="1">_xll.BDH($C$78,"ALTMAN_Z_SCORE","FY 2015","FY 2015","Currency=INR","Period=FY","BEST_FPERIOD_OVERRIDE=FY","FILING_STATUS=OR","EQY_CONSOLIDATED=Y","Sort=A","Dates=H","DateFormat=P","Fill=—","Direction=H","UseDPDF=Y")</f>
        <v>#NAME?</v>
      </c>
      <c r="CW83" s="3" t="e">
        <f ca="1">_xll.BDH($C$78,"ACCT_RCV_TURN","FY 2015","FY 2015","Currency=INR","Period=FY","BEST_FPERIOD_OVERRIDE=FY","FILING_STATUS=OR","EQY_CONSOLIDATED=Y","FA_ADJUSTED=GAAP","Sort=A","Dates=H","DateFormat=P","Fill=—","Direction=H","UseDPDF=Y")</f>
        <v>#NAME?</v>
      </c>
      <c r="CX83" s="1" t="e">
        <f ca="1">_xll.BDH($C$78,"ACCT_RCV_DAYS","FY 2015","FY 2015","Currency=INR","Period=FY","BEST_FPERIOD_OVERRIDE=FY","FILING_STATUS=OR","EQY_CONSOLIDATED=Y","FA_ADJUSTED=GAAP","Sort=A","Dates=H","DateFormat=P","Fill=—","Direction=H","UseDPDF=Y")</f>
        <v>#NAME?</v>
      </c>
      <c r="CY83" s="3" t="e">
        <f ca="1">_xll.BDH($C$78,"INVENT_TURN","FY 2015","FY 2015","Currency=INR","Period=FY","BEST_FPERIOD_OVERRIDE=FY","FILING_STATUS=OR","EQY_CONSOLIDATED=Y","FA_ADJUSTED=GAAP","Sort=A","Dates=H","DateFormat=P","Fill=—","Direction=H","UseDPDF=Y")</f>
        <v>#NAME?</v>
      </c>
      <c r="CZ83" s="1" t="e">
        <f ca="1">_xll.BDH($C$78,"INVENT_DAYS","FY 2015","FY 2015","Currency=INR","Period=FY","BEST_FPERIOD_OVERRIDE=FY","FILING_STATUS=OR","EQY_CONSOLIDATED=Y","FA_ADJUSTED=GAAP","Sort=A","Dates=H","DateFormat=P","Fill=—","Direction=H","UseDPDF=Y")</f>
        <v>#NAME?</v>
      </c>
      <c r="DA83" s="3" t="e">
        <f ca="1">_xll.BDH($C$78,"ACCOUNTS_PAYABLE_TURNOVER","FY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83" s="1" t="e">
        <f ca="1">_xll.BDH($C$78,"ACCOUNTS_PAYABLE_TURNOVER_DAYS","FY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83" s="3" t="e">
        <f ca="1">_xll.BDH($C$78,"CASH_CONVERSION_CYCLE","FY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83" s="3" t="e">
        <f ca="1">_xll.BDH($C$78,"INV_TO_CASH_DAYS","FY 2015","FY 2015","Currency=INR","Period=FY","BEST_FPERIOD_OVERRIDE=FY","FILING_STATUS=OR","EQY_CONSOLIDATED=Y","FA_ADJUSTED=GAAP","Sort=A","Dates=H","DateFormat=P","Fill=—","Direction=H","UseDPDF=Y")</f>
        <v>#NAME?</v>
      </c>
      <c r="DE83" s="4" t="e">
        <f ca="1">_xll.BDH($C$78,"BS_INVENTORIES","FY 2015","FY 2015","Currency=INR","Period=FY","BEST_FPERIOD_OVERRIDE=FY","FILING_STATUS=OR","EQY_CONSOLIDATED=Y","SCALING_FORMAT=MLN","Sort=A","Dates=H","DateFormat=P","Fill=—","Direction=H","UseDPDF=Y")</f>
        <v>#NAME?</v>
      </c>
      <c r="DF83" s="2" t="e">
        <f ca="1">_xll.BDH($C$78,"INVTRY_RAW_MATERIALS","FY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83" s="2" t="e">
        <f ca="1">_xll.BDH($C$78,"INVTRY_IN_PROGRESS","FY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83" s="2" t="e">
        <f ca="1">_xll.BDH($C$78,"INVTRY_FINISHED_GOODS","FY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83" s="2" t="e">
        <f ca="1">_xll.BDH($C$78,"BS_OTHER_INV","FY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84" spans="1:113" x14ac:dyDescent="0.3">
      <c r="A84" s="6"/>
      <c r="B84" s="6"/>
      <c r="C84" s="6"/>
      <c r="D84" s="6"/>
      <c r="E84" t="s">
        <v>4</v>
      </c>
      <c r="F84" t="e">
        <f ca="1">_xll.BDH($C$78,"RETURN_COM_EQY","FQ1 2015","FQ1 2015","Currency=INR","Period=FQ","BEST_FPERIOD_OVERRIDE=FQ","FILING_STATUS=OR","EQY_CONSOLIDATED=Y","FA_ADJUSTED=GAAP","Sort=A","Dates=H","DateFormat=P","Fill=—","Direction=H","UseDPDF=Y")</f>
        <v>#NAME?</v>
      </c>
      <c r="G84" t="e">
        <f ca="1">_xll.BDH($C$78,"RETURN_ON_ASSET","FQ1 2015","FQ1 2015","Currency=INR","Period=FQ","BEST_FPERIOD_OVERRIDE=FQ","FILING_STATUS=OR","EQY_CONSOLIDATED=Y","FA_ADJUSTED=GAAP","Sort=A","Dates=H","DateFormat=P","Fill=—","Direction=H","UseDPDF=Y")</f>
        <v>#NAME?</v>
      </c>
      <c r="H84" t="e">
        <f ca="1">_xll.BDH($C$78,"RETURN_ON_CAP","FQ1 2015","FQ1 2015","Currency=INR","Period=FQ","BEST_FPERIOD_OVERRIDE=FQ","FILING_STATUS=OR","EQY_CONSOLIDATED=Y","FA_ADJUSTED=GAAP","Sort=A","Dates=H","DateFormat=P","Fill=—","Direction=H","UseDPDF=Y")</f>
        <v>#NAME?</v>
      </c>
      <c r="I84" t="e">
        <f ca="1">_xll.BDH($C$78,"RETURN_ON_INV_CAPITAL","FQ1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84" t="e">
        <f ca="1">_xll.BDH($C$78,"EBITDA_TO_REVENUE","FQ1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84" t="e">
        <f ca="1">_xll.BDH($C$78,"OPER_MARGIN","FQ1 2015","FQ1 2015","Currency=INR","Period=FQ","BEST_FPERIOD_OVERRIDE=FQ","FILING_STATUS=OR","EQY_CONSOLIDATED=Y","FA_ADJUSTED=GAAP","Sort=A","Dates=H","DateFormat=P","Fill=—","Direction=H","UseDPDF=Y")</f>
        <v>#NAME?</v>
      </c>
      <c r="L84" t="e">
        <f ca="1">_xll.BDH($C$78,"INCREMENTAL_OPERATING_MARGIN","FQ1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84" t="e">
        <f ca="1">_xll.BDH($C$78,"PRETAX_INC_TO_NET_SALES","FQ1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84" t="e">
        <f ca="1">_xll.BDH($C$78,"INC_BEF_XO_ITEMS_TO_NET_SALES","FQ1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84" t="e">
        <f ca="1">_xll.BDH($C$78,"PROF_MARGIN","FQ1 2015","FQ1 2015","Currency=INR","Period=FQ","BEST_FPERIOD_OVERRIDE=FQ","FILING_STATUS=OR","EQY_CONSOLIDATED=Y","FA_ADJUSTED=GAAP","Sort=A","Dates=H","DateFormat=P","Fill=—","Direction=H","UseDPDF=Y")</f>
        <v>#NAME?</v>
      </c>
      <c r="P84" t="e">
        <f ca="1">_xll.BDH($C$78,"NET_INCOME_TO_COMMON_MARGIN","FQ1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84" t="e">
        <f ca="1">_xll.BDH($C$78,"EFF_TAX_RATE","FQ1 2015","FQ1 2015","Currency=INR","Period=FQ","BEST_FPERIOD_OVERRIDE=FQ","FILING_STATUS=OR","EQY_CONSOLIDATED=Y","FA_ADJUSTED=GAAP","Sort=A","Dates=H","DateFormat=P","Fill=—","Direction=H","UseDPDF=Y")</f>
        <v>#NAME?</v>
      </c>
      <c r="R84" t="e">
        <f ca="1">_xll.BDH($C$78,"DVD_PAYOUT_RATIO","FQ1 2015","FQ1 2015","Currency=INR","Period=FQ","BEST_FPERIOD_OVERRIDE=FQ","FILING_STATUS=OR","EQY_CONSOLIDATED=Y","FA_ADJUSTED=GAAP","Sort=A","Dates=H","DateFormat=P","Fill=—","Direction=H","UseDPDF=Y")</f>
        <v>#NAME?</v>
      </c>
      <c r="S84" t="e">
        <f ca="1">_xll.BDH($C$78,"SUSTAIN_GROWTH_RT","FQ1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84" s="1" t="e">
        <f ca="1">_xll.BDH($C$78,"SALES_GROWTH","FQ1 2015","FQ1 2015","Currency=INR","Period=FQ","BEST_FPERIOD_OVERRIDE=FQ","FILING_STATUS=OR","EQY_CONSOLIDATED=Y","FA_ADJUSTED=GAAP","Sort=A","Dates=H","DateFormat=P","Fill=—","Direction=H","UseDPDF=Y")</f>
        <v>#NAME?</v>
      </c>
      <c r="U84" s="1" t="e">
        <f ca="1">_xll.BDH($C$78,"EBITDA_GROWTH","FQ1 2015","FQ1 2015","Currency=INR","Period=FQ","BEST_FPERIOD_OVERRIDE=FQ","FILING_STATUS=OR","EQY_CONSOLIDATED=Y","FA_ADJUSTED=GAAP","Sort=A","Dates=H","DateFormat=P","Fill=—","Direction=H","UseDPDF=Y")</f>
        <v>#NAME?</v>
      </c>
      <c r="V84" s="1" t="e">
        <f ca="1">_xll.BDH($C$78,"OPER_INC_GROWTH","FQ1 2015","FQ1 2015","Currency=INR","Period=FQ","BEST_FPERIOD_OVERRIDE=FQ","FILING_STATUS=OR","EQY_CONSOLIDATED=Y","FA_ADJUSTED=GAAP","Sort=A","Dates=H","DateFormat=P","Fill=—","Direction=H","UseDPDF=Y")</f>
        <v>#NAME?</v>
      </c>
      <c r="W84" s="1" t="e">
        <f ca="1">_xll.BDH($C$78,"EARN_FOR_COM_GROWTH","FQ1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84" s="1" t="e">
        <f ca="1">_xll.BDH($C$78,"DILUTED_EPS_AFT_XO_ITEMS_GROWTH","FQ1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84" s="1" t="e">
        <f ca="1">_xll.BDH($C$78,"DIVIDEND_PER_SHARE_1_YEAR_GROWTH","FQ1 2015","FQ1 2015","Currency=INR","Period=FQ","BEST_FPERIOD_OVERRIDE=FQ","FILING_STATUS=OR","EQY_CONSOLIDATED=Y","Sort=A","Dates=H","DateFormat=P","Fill=—","Direction=H","UseDPDF=Y")</f>
        <v>#NAME?</v>
      </c>
      <c r="Z84" s="1" t="e">
        <f ca="1">_xll.BDH($C$78,"ACCOUNTS_RECEIVABLE_GROWTH","FQ1 2015","FQ1 2015","Currency=INR","Period=FQ","BEST_FPERIOD_OVERRIDE=FQ","FILING_STATUS=OR","EQY_CONSOLIDATED=Y","Sort=A","Dates=H","DateFormat=P","Fill=—","Direction=H","UseDPDF=Y")</f>
        <v>#NAME?</v>
      </c>
      <c r="AA84" s="1" t="e">
        <f ca="1">_xll.BDH($C$78,"INVENTORY_GROWTH","FQ1 2015","FQ1 2015","Currency=INR","Period=FQ","BEST_FPERIOD_OVERRIDE=FQ","FILING_STATUS=OR","EQY_CONSOLIDATED=Y","Sort=A","Dates=H","DateFormat=P","Fill=—","Direction=H","UseDPDF=Y")</f>
        <v>#NAME?</v>
      </c>
      <c r="AB84" s="1" t="e">
        <f ca="1">_xll.BDH($C$78,"NET_FIXED_ASSETS_1_YEAR_GROWTH","FQ1 2015","FQ1 2015","Currency=INR","Period=FQ","BEST_FPERIOD_OVERRIDE=FQ","FILING_STATUS=OR","EQY_CONSOLIDATED=Y","Sort=A","Dates=H","DateFormat=P","Fill=—","Direction=H","UseDPDF=Y")</f>
        <v>#NAME?</v>
      </c>
      <c r="AC84" s="1" t="e">
        <f ca="1">_xll.BDH($C$78,"ASSET_GROWTH","FQ1 2015","FQ1 2015","Currency=INR","Period=FQ","BEST_FPERIOD_OVERRIDE=FQ","FILING_STATUS=OR","EQY_CONSOLIDATED=Y","Sort=A","Dates=H","DateFormat=P","Fill=—","Direction=H","UseDPDF=Y")</f>
        <v>#NAME?</v>
      </c>
      <c r="AD84" s="1" t="e">
        <f ca="1">_xll.BDH($C$78,"MODIFIED_WORK_CAP_GROWTH","FQ1 2015","FQ1 2015","Currency=INR","Period=FQ","BEST_FPERIOD_OVERRIDE=FQ","FILING_STATUS=OR","EQY_CONSOLIDATED=Y","Sort=A","Dates=H","DateFormat=P","Fill=—","Direction=H","UseDPDF=Y")</f>
        <v>#NAME?</v>
      </c>
      <c r="AE84" s="1" t="e">
        <f ca="1">_xll.BDH($C$78,"WORK_CAP_GROWTH","FQ1 2015","FQ1 2015","Currency=INR","Period=FQ","BEST_FPERIOD_OVERRIDE=FQ","FILING_STATUS=OR","EQY_CONSOLIDATED=Y","Sort=A","Dates=H","DateFormat=P","Fill=—","Direction=H","UseDPDF=Y")</f>
        <v>#NAME?</v>
      </c>
      <c r="AF84" s="1" t="e">
        <f ca="1">_xll.BDH($C$78,"ACCOUNTS_PAYABLE_GROWTH_1YR","FQ1 2015","FQ1 2015","Currency=INR","Period=FQ","BEST_FPERIOD_OVERRIDE=FQ","FILING_STATUS=OR","EQY_CONSOLIDATED=Y","Sort=A","Dates=H","DateFormat=P","Fill=—","Direction=H","UseDPDF=Y")</f>
        <v>#NAME?</v>
      </c>
      <c r="AG84" s="1" t="e">
        <f ca="1">_xll.BDH($C$78,"SHORT_TERM_DEBT_1_YEAR_GROWTH","FQ1 2015","FQ1 2015","Currency=INR","Period=FQ","BEST_FPERIOD_OVERRIDE=FQ","FILING_STATUS=OR","EQY_CONSOLIDATED=Y","Sort=A","Dates=H","DateFormat=P","Fill=—","Direction=H","UseDPDF=Y")</f>
        <v>#NAME?</v>
      </c>
      <c r="AH84" s="1" t="e">
        <f ca="1">_xll.BDH($C$78,"TOTAL_DEBT_1_YEAR_GROWTH","FQ1 2015","FQ1 2015","Currency=INR","Period=FQ","BEST_FPERIOD_OVERRIDE=FQ","FILING_STATUS=OR","EQY_CONSOLIDATED=Y","Sort=A","Dates=H","DateFormat=P","Fill=—","Direction=H","UseDPDF=Y")</f>
        <v>#NAME?</v>
      </c>
      <c r="AI84" s="1" t="e">
        <f ca="1">_xll.BDH($C$78,"TOTAL_EQUITY_1_YEAR_GROWTH","FQ1 2015","FQ1 2015","Currency=INR","Period=FQ","BEST_FPERIOD_OVERRIDE=FQ","FILING_STATUS=OR","EQY_CONSOLIDATED=Y","Sort=A","Dates=H","DateFormat=P","Fill=—","Direction=H","UseDPDF=Y")</f>
        <v>#NAME?</v>
      </c>
      <c r="AJ84" s="1" t="e">
        <f ca="1">_xll.BDH($C$78,"GROWTH_IN_CAP","FQ1 2015","FQ1 2015","Currency=INR","Period=FQ","BEST_FPERIOD_OVERRIDE=FQ","FILING_STATUS=OR","EQY_CONSOLIDATED=Y","Sort=A","Dates=H","DateFormat=P","Fill=—","Direction=H","UseDPDF=Y")</f>
        <v>#NAME?</v>
      </c>
      <c r="AK84" s="1" t="e">
        <f ca="1">_xll.BDH($C$78,"BVPS_GROWTH","FQ1 2015","FQ1 2015","Currency=INR","Period=FQ","BEST_FPERIOD_OVERRIDE=FQ","FILING_STATUS=OR","EQY_CONSOLIDATED=Y","Sort=A","Dates=H","DateFormat=P","Fill=—","Direction=H","UseDPDF=Y")</f>
        <v>#NAME?</v>
      </c>
      <c r="AL84" s="1" t="e">
        <f ca="1">_xll.BDH($C$78,"CASH_FLOW_GROWTH","FQ1 2015","FQ1 2015","Currency=INR","Period=FQ","BEST_FPERIOD_OVERRIDE=FQ","FILING_STATUS=OR","EQY_CONSOLIDATED=Y","Sort=A","Dates=H","DateFormat=P","Fill=—","Direction=H","UseDPDF=Y")</f>
        <v>#NAME?</v>
      </c>
      <c r="AM84" s="1" t="e">
        <f ca="1">_xll.BDH($C$78,"GEO_GROW_NET_SALES","FQ1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84" s="1" t="e">
        <f ca="1">_xll.BDH($C$78,"GEO_GROW_EBITDA","FQ1 2015","FQ1 2015","Currency=INR","Period=FQ","BEST_FPERIOD_OVERRIDE=FQ","FILING_STATUS=OR","EQY_CONSOLIDATED=Y","FA_ADJUSTED=GAAP","Sort=A","Dates=H","DateFormat=P","Fill=—","Direction=H","UseDPDF=Y")</f>
        <v>#NAME?</v>
      </c>
      <c r="AO84" s="1" t="e">
        <f ca="1">_xll.BDH($C$78,"GEO_GROW_OPER_INC","FQ1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84" s="1" t="e">
        <f ca="1">_xll.BDH($C$78,"NET_INCOME_TO_COMMON_5_YR_GROWTH","FQ1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84" s="1" t="e">
        <f ca="1">_xll.BDH($C$78,"5Y_GEO_GROWTH_DILUTED_EPS","FQ1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84" s="1" t="e">
        <f ca="1">_xll.BDH($C$78,"GEO_GROW_DVD_PER_SH","FQ1 2015","FQ1 2015","Currency=INR","Period=FQ","BEST_FPERIOD_OVERRIDE=FQ","FILING_STATUS=OR","EQY_CONSOLIDATED=Y","Sort=A","Dates=H","DateFormat=P","Fill=—","Direction=H","UseDPDF=Y")</f>
        <v>#NAME?</v>
      </c>
      <c r="AS84" s="1" t="e">
        <f ca="1">_xll.BDH($C$78,"ACCOUNTS_RECEIVABLE_5_YR_GROWTH","FQ1 2015","FQ1 2015","Currency=INR","Period=FQ","BEST_FPERIOD_OVERRIDE=FQ","FILING_STATUS=OR","EQY_CONSOLIDATED=Y","Sort=A","Dates=H","DateFormat=P","Fill=—","Direction=H","UseDPDF=Y")</f>
        <v>#NAME?</v>
      </c>
      <c r="AT84" s="1" t="e">
        <f ca="1">_xll.BDH($C$78,"INVENTORY_5_YEAR_GROWTH","FQ1 2015","FQ1 2015","Currency=INR","Period=FQ","BEST_FPERIOD_OVERRIDE=FQ","FILING_STATUS=OR","EQY_CONSOLIDATED=Y","Sort=A","Dates=H","DateFormat=P","Fill=—","Direction=H","UseDPDF=Y")</f>
        <v>#NAME?</v>
      </c>
      <c r="AU84" s="1" t="e">
        <f ca="1">_xll.BDH($C$78,"NET_FIXED_ASSETS_5_YEAR_GROWTH","FQ1 2015","FQ1 2015","Currency=INR","Period=FQ","BEST_FPERIOD_OVERRIDE=FQ","FILING_STATUS=OR","EQY_CONSOLIDATED=Y","Sort=A","Dates=H","DateFormat=P","Fill=—","Direction=H","UseDPDF=Y")</f>
        <v>#NAME?</v>
      </c>
      <c r="AV84" s="1" t="e">
        <f ca="1">_xll.BDH($C$78,"GEO_GROW_TOT_ASSET","FQ1 2015","FQ1 2015","Currency=INR","Period=FQ","BEST_FPERIOD_OVERRIDE=FQ","FILING_STATUS=OR","EQY_CONSOLIDATED=Y","Sort=A","Dates=H","DateFormat=P","Fill=—","Direction=H","UseDPDF=Y")</f>
        <v>#NAME?</v>
      </c>
      <c r="AW84" s="1" t="e">
        <f ca="1">_xll.BDH($C$78,"MODIFIED_WORKING_CPTL_5YR_GRWTH","FQ1 2015","FQ1 2015","Currency=INR","Period=FQ","BEST_FPERIOD_OVERRIDE=FQ","FILING_STATUS=OR","EQY_CONSOLIDATED=Y","Sort=A","Dates=H","DateFormat=P","Fill=—","Direction=H","UseDPDF=Y")</f>
        <v>#NAME?</v>
      </c>
      <c r="AX84" s="1" t="e">
        <f ca="1">_xll.BDH($C$78,"WORKING_CAPITAL_5_YEAR_GROWTH","FQ1 2015","FQ1 2015","Currency=INR","Period=FQ","BEST_FPERIOD_OVERRIDE=FQ","FILING_STATUS=OR","EQY_CONSOLIDATED=Y","Sort=A","Dates=H","DateFormat=P","Fill=—","Direction=H","UseDPDF=Y")</f>
        <v>#NAME?</v>
      </c>
      <c r="AY84" s="1" t="e">
        <f ca="1">_xll.BDH($C$78,"ACCOUNTS_PAYABLE_5_YEAR_GROWTH","FQ1 2015","FQ1 2015","Currency=INR","Period=FQ","BEST_FPERIOD_OVERRIDE=FQ","FILING_STATUS=OR","EQY_CONSOLIDATED=Y","Sort=A","Dates=H","DateFormat=P","Fill=—","Direction=H","UseDPDF=Y")</f>
        <v>#NAME?</v>
      </c>
      <c r="AZ84" s="1" t="e">
        <f ca="1">_xll.BDH($C$78,"SHORT_TERM_DEBT_5_YEAR_GROWTH","FQ1 2015","FQ1 2015","Currency=INR","Period=FQ","BEST_FPERIOD_OVERRIDE=FQ","FILING_STATUS=OR","EQY_CONSOLIDATED=Y","Sort=A","Dates=H","DateFormat=P","Fill=—","Direction=H","UseDPDF=Y")</f>
        <v>#NAME?</v>
      </c>
      <c r="BA84" s="1" t="e">
        <f ca="1">_xll.BDH($C$78,"TOTAL_DEBT_5_YEAR_GROWTH","FQ1 2015","FQ1 2015","Currency=INR","Period=FQ","BEST_FPERIOD_OVERRIDE=FQ","FILING_STATUS=OR","EQY_CONSOLIDATED=Y","Sort=A","Dates=H","DateFormat=P","Fill=—","Direction=H","UseDPDF=Y")</f>
        <v>#NAME?</v>
      </c>
      <c r="BB84" s="1" t="e">
        <f ca="1">_xll.BDH($C$78,"GEO_GROW_TOT_SHRHLDR_EQY","FQ1 2015","FQ1 2015","Currency=INR","Period=FQ","BEST_FPERIOD_OVERRIDE=FQ","FILING_STATUS=OR","EQY_CONSOLIDATED=Y","Sort=A","Dates=H","DateFormat=P","Fill=—","Direction=H","UseDPDF=Y")</f>
        <v>#NAME?</v>
      </c>
      <c r="BC84" s="1" t="e">
        <f ca="1">_xll.BDH($C$78,"TOTAL_CAPITAL_5_YEAR_GROWTH","FQ1 2015","FQ1 2015","Currency=INR","Period=FQ","BEST_FPERIOD_OVERRIDE=FQ","FILING_STATUS=OR","EQY_CONSOLIDATED=Y","Sort=A","Dates=H","DateFormat=P","Fill=—","Direction=H","UseDPDF=Y")</f>
        <v>#NAME?</v>
      </c>
      <c r="BD84" s="1" t="e">
        <f ca="1">_xll.BDH($C$78,"GEO_GROW_BOOK_VAL","FQ1 2015","FQ1 2015","Currency=INR","Period=FQ","BEST_FPERIOD_OVERRIDE=FQ","FILING_STATUS=OR","EQY_CONSOLIDATED=Y","Sort=A","Dates=H","DateFormat=P","Fill=—","Direction=H","UseDPDF=Y")</f>
        <v>#NAME?</v>
      </c>
      <c r="BE84" s="1" t="e">
        <f ca="1">_xll.BDH($C$78,"GEO_GROW_CASH_OPER_ACT","FQ1 2015","FQ1 2015","Currency=INR","Period=FQ","BEST_FPERIOD_OVERRIDE=FQ","FILING_STATUS=OR","EQY_CONSOLIDATED=Y","Sort=A","Dates=H","DateFormat=P","Fill=—","Direction=H","UseDPDF=Y")</f>
        <v>#NAME?</v>
      </c>
      <c r="BF84" s="1" t="e">
        <f ca="1">_xll.BDH($C$78,"REVENUE_SEQUENTIAL_GROWTH","FQ1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84" s="1" t="e">
        <f ca="1">_xll.BDH($C$78,"EBITDA_SEQUENTIAL_GROWTH","FQ1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84" s="1" t="e">
        <f ca="1">_xll.BDH($C$78,"OPERATING_INCOME_SEQ_GROWTH","FQ1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84" s="1" t="e">
        <f ca="1">_xll.BDH($C$78,"NET_INCOME_TO_COMMON_SEQ_GROWTH","FQ1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84" s="1" t="e">
        <f ca="1">_xll.BDH($C$78,"EPS_DILUTED_SEQUENTIAL_GROWTH","FQ1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84" s="1" t="e">
        <f ca="1">_xll.BDH($C$78,"DPS_SEQUENTIAL_GROWTH","FQ1 2015","FQ1 2015","Currency=INR","Period=FQ","BEST_FPERIOD_OVERRIDE=FQ","FILING_STATUS=OR","EQY_CONSOLIDATED=Y","Sort=A","Dates=H","DateFormat=P","Fill=—","Direction=H","UseDPDF=Y")</f>
        <v>#NAME?</v>
      </c>
      <c r="BL84" s="1" t="e">
        <f ca="1">_xll.BDH($C$78,"ACCOUNTS_RECEIVABLE_SEQ_GROWTH","FQ1 2015","FQ1 2015","Currency=INR","Period=FQ","BEST_FPERIOD_OVERRIDE=FQ","FILING_STATUS=OR","EQY_CONSOLIDATED=Y","Sort=A","Dates=H","DateFormat=P","Fill=—","Direction=H","UseDPDF=Y")</f>
        <v>#NAME?</v>
      </c>
      <c r="BM84" s="1" t="e">
        <f ca="1">_xll.BDH($C$78,"INVENTORY_SEQUENTIAL_GROWTH","FQ1 2015","FQ1 2015","Currency=INR","Period=FQ","BEST_FPERIOD_OVERRIDE=FQ","FILING_STATUS=OR","EQY_CONSOLIDATED=Y","Sort=A","Dates=H","DateFormat=P","Fill=—","Direction=H","UseDPDF=Y")</f>
        <v>#NAME?</v>
      </c>
      <c r="BN84" s="1" t="e">
        <f ca="1">_xll.BDH($C$78,"FIXED_ASSETS_SEQUENTIAL_GROWTH","FQ1 2015","FQ1 2015","Currency=INR","Period=FQ","BEST_FPERIOD_OVERRIDE=FQ","FILING_STATUS=OR","EQY_CONSOLIDATED=Y","Sort=A","Dates=H","DateFormat=P","Fill=—","Direction=H","UseDPDF=Y")</f>
        <v>#NAME?</v>
      </c>
      <c r="BO84" s="1" t="e">
        <f ca="1">_xll.BDH($C$78,"TOTAL_ASSETS_SEQUENTIAL_GROWTH","FQ1 2015","FQ1 2015","Currency=INR","Period=FQ","BEST_FPERIOD_OVERRIDE=FQ","FILING_STATUS=OR","EQY_CONSOLIDATED=Y","Sort=A","Dates=H","DateFormat=P","Fill=—","Direction=H","UseDPDF=Y")</f>
        <v>#NAME?</v>
      </c>
      <c r="BP84" s="1" t="e">
        <f ca="1">_xll.BDH($C$78,"MODIFIED_WORKING_CPTL_SEQ_GRWTH","FQ1 2015","FQ1 2015","Currency=INR","Period=FQ","BEST_FPERIOD_OVERRIDE=FQ","FILING_STATUS=OR","EQY_CONSOLIDATED=Y","Sort=A","Dates=H","DateFormat=P","Fill=—","Direction=H","UseDPDF=Y")</f>
        <v>#NAME?</v>
      </c>
      <c r="BQ84" s="1" t="e">
        <f ca="1">_xll.BDH($C$78,"WORKING_CAPITAL_SEQ_GROWTH","FQ1 2015","FQ1 2015","Currency=INR","Period=FQ","BEST_FPERIOD_OVERRIDE=FQ","FILING_STATUS=OR","EQY_CONSOLIDATED=Y","Sort=A","Dates=H","DateFormat=P","Fill=—","Direction=H","UseDPDF=Y")</f>
        <v>#NAME?</v>
      </c>
      <c r="BR84" s="1" t="e">
        <f ca="1">_xll.BDH($C$78,"ACCOUNTS_PAYABLE_SEQ_GROWTH","FQ1 2015","FQ1 2015","Currency=INR","Period=FQ","BEST_FPERIOD_OVERRIDE=FQ","FILING_STATUS=OR","EQY_CONSOLIDATED=Y","Sort=A","Dates=H","DateFormat=P","Fill=—","Direction=H","UseDPDF=Y")</f>
        <v>#NAME?</v>
      </c>
      <c r="BS84" s="1" t="e">
        <f ca="1">_xll.BDH($C$78,"ST_DEBT_SEQUENTIAL_GROWTH","FQ1 2015","FQ1 2015","Currency=INR","Period=FQ","BEST_FPERIOD_OVERRIDE=FQ","FILING_STATUS=OR","EQY_CONSOLIDATED=Y","Sort=A","Dates=H","DateFormat=P","Fill=—","Direction=H","UseDPDF=Y")</f>
        <v>#NAME?</v>
      </c>
      <c r="BT84" s="1" t="e">
        <f ca="1">_xll.BDH($C$78,"TOTAL_DEBT_SEQUENTIAL_GROWTH","FQ1 2015","FQ1 2015","Currency=INR","Period=FQ","BEST_FPERIOD_OVERRIDE=FQ","FILING_STATUS=OR","EQY_CONSOLIDATED=Y","Sort=A","Dates=H","DateFormat=P","Fill=—","Direction=H","UseDPDF=Y")</f>
        <v>#NAME?</v>
      </c>
      <c r="BU84" s="1" t="e">
        <f ca="1">_xll.BDH($C$78,"TOTAL_EQUITY_SEQUENTIAL_GROWTH","FQ1 2015","FQ1 2015","Currency=INR","Period=FQ","BEST_FPERIOD_OVERRIDE=FQ","FILING_STATUS=OR","EQY_CONSOLIDATED=Y","Sort=A","Dates=H","DateFormat=P","Fill=—","Direction=H","UseDPDF=Y")</f>
        <v>#NAME?</v>
      </c>
      <c r="BV84" s="1" t="e">
        <f ca="1">_xll.BDH($C$78,"TOTAL_CAPITAL_SEQUENTIAL_GROWTH","FQ1 2015","FQ1 2015","Currency=INR","Period=FQ","BEST_FPERIOD_OVERRIDE=FQ","FILING_STATUS=OR","EQY_CONSOLIDATED=Y","Sort=A","Dates=H","DateFormat=P","Fill=—","Direction=H","UseDPDF=Y")</f>
        <v>#NAME?</v>
      </c>
      <c r="BW84" s="1" t="e">
        <f ca="1">_xll.BDH($C$78,"BPS_SEQUENTIAL_GROWTH","FQ1 2015","FQ1 2015","Currency=INR","Period=FQ","BEST_FPERIOD_OVERRIDE=FQ","FILING_STATUS=OR","EQY_CONSOLIDATED=Y","Sort=A","Dates=H","DateFormat=P","Fill=—","Direction=H","UseDPDF=Y")</f>
        <v>#NAME?</v>
      </c>
      <c r="BX84" s="1" t="e">
        <f ca="1">_xll.BDH($C$78,"CFO_SEQUENTIAL_GROWTH","FQ1 2015","FQ1 2015","Currency=INR","Period=FQ","BEST_FPERIOD_OVERRIDE=FQ","FILING_STATUS=OR","EQY_CONSOLIDATED=Y","Sort=A","Dates=H","DateFormat=P","Fill=—","Direction=H","UseDPDF=Y")</f>
        <v>#NAME?</v>
      </c>
      <c r="BY84" s="2" t="e">
        <f ca="1">_xll.BDH($C$78,"SHORT_AND_LONG_TERM_DEBT","FQ1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84" s="2" t="e">
        <f ca="1">_xll.BDH($C$78,"BS_ST_BORROW","FQ1 2015","FQ1 2015","Currency=INR","Period=FQ","BEST_FPERIOD_OVERRIDE=FQ","FILING_STATUS=OR","EQY_CONSOLIDATED=Y","SCALING_FORMAT=MLN","Sort=A","Dates=H","DateFormat=P","Fill=—","Direction=H","UseDPDF=Y")</f>
        <v>#NAME?</v>
      </c>
      <c r="CA84" s="2" t="e">
        <f ca="1">_xll.BDH($C$78,"BS_LT_BORROW","FQ1 2015","FQ1 2015","Currency=INR","Period=FQ","BEST_FPERIOD_OVERRIDE=FQ","FILING_STATUS=OR","EQY_CONSOLIDATED=Y","SCALING_FORMAT=MLN","Sort=A","Dates=H","DateFormat=P","Fill=—","Direction=H","UseDPDF=Y")</f>
        <v>#NAME?</v>
      </c>
      <c r="CB84" s="1" t="e">
        <f ca="1">_xll.BDH($C$78,"TOT_DEBT_TO_EBITDA","FQ1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84" s="1" t="e">
        <f ca="1">_xll.BDH($C$78,"NET_DEBT_TO_EBITDA","FQ1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84" s="1" t="e">
        <f ca="1">_xll.BDH($C$78,"TOTAL_DEBT_TO_EBIT","FQ1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84" s="1" t="e">
        <f ca="1">_xll.BDH($C$78,"NET_DEBT_TO_EBIT","FQ1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84" s="1" t="e">
        <f ca="1">_xll.BDH($C$78,"EBITDA_TO_INTEREST_EXPN","FQ1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84" s="1" t="e">
        <f ca="1">_xll.BDH($C$78,"COM_EQY_TO_TOT_ASSET","FQ1 2015","FQ1 2015","Currency=INR","Period=FQ","BEST_FPERIOD_OVERRIDE=FQ","FILING_STATUS=OR","EQY_CONSOLIDATED=Y","Sort=A","Dates=H","DateFormat=P","Fill=—","Direction=H","UseDPDF=Y")</f>
        <v>#NAME?</v>
      </c>
      <c r="CH84" s="1" t="e">
        <f ca="1">_xll.BDH($C$78,"LT_DEBT_TO_TOT_EQY","FQ1 2015","FQ1 2015","Currency=INR","Period=FQ","BEST_FPERIOD_OVERRIDE=FQ","FILING_STATUS=OR","EQY_CONSOLIDATED=Y","Sort=A","Dates=H","DateFormat=P","Fill=—","Direction=H","UseDPDF=Y")</f>
        <v>#NAME?</v>
      </c>
      <c r="CI84" s="1" t="e">
        <f ca="1">_xll.BDH($C$78,"LT_DEBT_TO_TOT_CAP","FQ1 2015","FQ1 2015","Currency=INR","Period=FQ","BEST_FPERIOD_OVERRIDE=FQ","FILING_STATUS=OR","EQY_CONSOLIDATED=Y","Sort=A","Dates=H","DateFormat=P","Fill=—","Direction=H","UseDPDF=Y")</f>
        <v>#NAME?</v>
      </c>
      <c r="CJ84" s="1" t="e">
        <f ca="1">_xll.BDH($C$78,"LT_DEBT_TO_TOT_ASSET","FQ1 2015","FQ1 2015","Currency=INR","Period=FQ","BEST_FPERIOD_OVERRIDE=FQ","FILING_STATUS=OR","EQY_CONSOLIDATED=Y","Sort=A","Dates=H","DateFormat=P","Fill=—","Direction=H","UseDPDF=Y")</f>
        <v>#NAME?</v>
      </c>
      <c r="CK84" s="1" t="e">
        <f ca="1">_xll.BDH($C$78,"TOT_DEBT_TO_TOT_EQY","FQ1 2015","FQ1 2015","Currency=INR","Period=FQ","BEST_FPERIOD_OVERRIDE=FQ","FILING_STATUS=OR","EQY_CONSOLIDATED=Y","Sort=A","Dates=H","DateFormat=P","Fill=—","Direction=H","UseDPDF=Y")</f>
        <v>#NAME?</v>
      </c>
      <c r="CL84" s="1" t="e">
        <f ca="1">_xll.BDH($C$78,"TOT_DEBT_TO_TOT_CAP","FQ1 2015","FQ1 2015","Currency=INR","Period=FQ","BEST_FPERIOD_OVERRIDE=FQ","FILING_STATUS=OR","EQY_CONSOLIDATED=Y","Sort=A","Dates=H","DateFormat=P","Fill=—","Direction=H","UseDPDF=Y")</f>
        <v>#NAME?</v>
      </c>
      <c r="CM84" s="1" t="e">
        <f ca="1">_xll.BDH($C$78,"TOT_DEBT_TO_TOT_ASSET","FQ1 2015","FQ1 2015","Currency=INR","Period=FQ","BEST_FPERIOD_OVERRIDE=FQ","FILING_STATUS=OR","EQY_CONSOLIDATED=Y","Sort=A","Dates=H","DateFormat=P","Fill=—","Direction=H","UseDPDF=Y")</f>
        <v>#NAME?</v>
      </c>
      <c r="CN84" s="1" t="e">
        <f ca="1">_xll.BDH($C$78,"NET_DEBT_TO_SHRHLDR_EQTY","FQ1 2015","FQ1 2015","Currency=INR","Period=FQ","BEST_FPERIOD_OVERRIDE=FQ","FILING_STATUS=OR","EQY_CONSOLIDATED=Y","Sort=A","Dates=H","DateFormat=P","Fill=—","Direction=H","UseDPDF=Y")</f>
        <v>#NAME?</v>
      </c>
      <c r="CO84" s="1" t="e">
        <f ca="1">_xll.BDH($C$78,"NET_DEBT_%_CAPITAL","FQ1 2015","FQ1 2015","Currency=INR","Period=FQ","BEST_FPERIOD_OVERRIDE=FQ","FILING_STATUS=OR","EQY_CONSOLIDATED=Y","Sort=A","Dates=H","DateFormat=P","Fill=—","Direction=H","UseDPDF=Y")</f>
        <v>#NAME?</v>
      </c>
      <c r="CP84" s="2" t="e">
        <f ca="1">_xll.BDH($C$78,"EBITDA","FQ1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84" s="2" t="e">
        <f ca="1">_xll.BDH($C$78,"EBITDA_AFTER_CAPEX","FQ1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84" s="2" t="e">
        <f ca="1">_xll.BDH($C$78,"IS_OPER_INC","FQ1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84" s="1" t="e">
        <f ca="1">_xll.BDH($C$78,"CASH_RATIO","FQ1 2015","FQ1 2015","Currency=INR","Period=FQ","BEST_FPERIOD_OVERRIDE=FQ","FILING_STATUS=OR","EQY_CONSOLIDATED=Y","Sort=A","Dates=H","DateFormat=P","Fill=—","Direction=H","UseDPDF=Y")</f>
        <v>#NAME?</v>
      </c>
      <c r="CT84" s="1" t="e">
        <f ca="1">_xll.BDH($C$78,"CUR_RATIO","FQ1 2015","FQ1 2015","Currency=INR","Period=FQ","BEST_FPERIOD_OVERRIDE=FQ","FILING_STATUS=OR","EQY_CONSOLIDATED=Y","Sort=A","Dates=H","DateFormat=P","Fill=—","Direction=H","UseDPDF=Y")</f>
        <v>#NAME?</v>
      </c>
      <c r="CU84" s="1" t="e">
        <f ca="1">_xll.BDH($C$78,"QUICK_RATIO","FQ1 2015","FQ1 2015","Currency=INR","Period=FQ","BEST_FPERIOD_OVERRIDE=FQ","FILING_STATUS=OR","EQY_CONSOLIDATED=Y","Sort=A","Dates=H","DateFormat=P","Fill=—","Direction=H","UseDPDF=Y")</f>
        <v>#NAME?</v>
      </c>
      <c r="CV84" s="1" t="e">
        <f ca="1">_xll.BDH($C$78,"ALTMAN_Z_SCORE","FQ1 2015","FQ1 2015","Currency=INR","Period=FQ","BEST_FPERIOD_OVERRIDE=FQ","FILING_STATUS=OR","EQY_CONSOLIDATED=Y","Sort=A","Dates=H","DateFormat=P","Fill=—","Direction=H","UseDPDF=Y")</f>
        <v>#NAME?</v>
      </c>
      <c r="CW84" s="3" t="e">
        <f ca="1">_xll.BDH($C$78,"ACCT_RCV_TURN","FQ1 2015","FQ1 2015","Currency=INR","Period=FQ","BEST_FPERIOD_OVERRIDE=FQ","FILING_STATUS=OR","EQY_CONSOLIDATED=Y","FA_ADJUSTED=GAAP","Sort=A","Dates=H","DateFormat=P","Fill=—","Direction=H","UseDPDF=Y")</f>
        <v>#NAME?</v>
      </c>
      <c r="CX84" s="1" t="e">
        <f ca="1">_xll.BDH($C$78,"ACCT_RCV_DAYS","FQ1 2015","FQ1 2015","Currency=INR","Period=FQ","BEST_FPERIOD_OVERRIDE=FQ","FILING_STATUS=OR","EQY_CONSOLIDATED=Y","FA_ADJUSTED=GAAP","Sort=A","Dates=H","DateFormat=P","Fill=—","Direction=H","UseDPDF=Y")</f>
        <v>#NAME?</v>
      </c>
      <c r="CY84" s="3" t="e">
        <f ca="1">_xll.BDH($C$78,"INVENT_TURN","FQ1 2015","FQ1 2015","Currency=INR","Period=FQ","BEST_FPERIOD_OVERRIDE=FQ","FILING_STATUS=OR","EQY_CONSOLIDATED=Y","FA_ADJUSTED=GAAP","Sort=A","Dates=H","DateFormat=P","Fill=—","Direction=H","UseDPDF=Y")</f>
        <v>#NAME?</v>
      </c>
      <c r="CZ84" s="1" t="e">
        <f ca="1">_xll.BDH($C$78,"INVENT_DAYS","FQ1 2015","FQ1 2015","Currency=INR","Period=FQ","BEST_FPERIOD_OVERRIDE=FQ","FILING_STATUS=OR","EQY_CONSOLIDATED=Y","FA_ADJUSTED=GAAP","Sort=A","Dates=H","DateFormat=P","Fill=—","Direction=H","UseDPDF=Y")</f>
        <v>#NAME?</v>
      </c>
      <c r="DA84" s="3" t="e">
        <f ca="1">_xll.BDH($C$78,"ACCOUNTS_PAYABLE_TURNOVER","FQ1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84" s="1" t="e">
        <f ca="1">_xll.BDH($C$78,"ACCOUNTS_PAYABLE_TURNOVER_DAYS","FQ1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84" s="3" t="e">
        <f ca="1">_xll.BDH($C$78,"CASH_CONVERSION_CYCLE","FQ1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84" s="3" t="e">
        <f ca="1">_xll.BDH($C$78,"INV_TO_CASH_DAYS","FQ1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84" s="4" t="e">
        <f ca="1">_xll.BDH($C$78,"BS_INVENTORIES","FQ1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84" s="2" t="e">
        <f ca="1">_xll.BDH($C$78,"INVTRY_RAW_MATERIALS","FQ1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84" s="2" t="e">
        <f ca="1">_xll.BDH($C$78,"INVTRY_IN_PROGRESS","FQ1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84" s="2" t="e">
        <f ca="1">_xll.BDH($C$78,"INVTRY_FINISHED_GOODS","FQ1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84" s="2" t="e">
        <f ca="1">_xll.BDH($C$78,"BS_OTHER_INV","FQ1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85" spans="1:113" x14ac:dyDescent="0.3">
      <c r="A85" s="6"/>
      <c r="B85" s="6"/>
      <c r="C85" s="6"/>
      <c r="D85" s="6"/>
      <c r="E85" t="s">
        <v>5</v>
      </c>
      <c r="F85" t="e">
        <f ca="1">_xll.BDH($C$78,"RETURN_COM_EQY","FQ2 2015","FQ2 2015","Currency=INR","Period=FQ","BEST_FPERIOD_OVERRIDE=FQ","FILING_STATUS=OR","EQY_CONSOLIDATED=Y","FA_ADJUSTED=GAAP","Sort=A","Dates=H","DateFormat=P","Fill=—","Direction=H","UseDPDF=Y")</f>
        <v>#NAME?</v>
      </c>
      <c r="G85" t="e">
        <f ca="1">_xll.BDH($C$78,"RETURN_ON_ASSET","FQ2 2015","FQ2 2015","Currency=INR","Period=FQ","BEST_FPERIOD_OVERRIDE=FQ","FILING_STATUS=OR","EQY_CONSOLIDATED=Y","FA_ADJUSTED=GAAP","Sort=A","Dates=H","DateFormat=P","Fill=—","Direction=H","UseDPDF=Y")</f>
        <v>#NAME?</v>
      </c>
      <c r="H85" t="e">
        <f ca="1">_xll.BDH($C$78,"RETURN_ON_CAP","FQ2 2015","FQ2 2015","Currency=INR","Period=FQ","BEST_FPERIOD_OVERRIDE=FQ","FILING_STATUS=OR","EQY_CONSOLIDATED=Y","FA_ADJUSTED=GAAP","Sort=A","Dates=H","DateFormat=P","Fill=—","Direction=H","UseDPDF=Y")</f>
        <v>#NAME?</v>
      </c>
      <c r="I85" t="e">
        <f ca="1">_xll.BDH($C$78,"RETURN_ON_INV_CAPITAL","FQ2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85" t="e">
        <f ca="1">_xll.BDH($C$78,"EBITDA_TO_REVENUE","FQ2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85" t="e">
        <f ca="1">_xll.BDH($C$78,"OPER_MARGIN","FQ2 2015","FQ2 2015","Currency=INR","Period=FQ","BEST_FPERIOD_OVERRIDE=FQ","FILING_STATUS=OR","EQY_CONSOLIDATED=Y","FA_ADJUSTED=GAAP","Sort=A","Dates=H","DateFormat=P","Fill=—","Direction=H","UseDPDF=Y")</f>
        <v>#NAME?</v>
      </c>
      <c r="L85" t="e">
        <f ca="1">_xll.BDH($C$78,"INCREMENTAL_OPERATING_MARGIN","FQ2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85" t="e">
        <f ca="1">_xll.BDH($C$78,"PRETAX_INC_TO_NET_SALES","FQ2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85" t="e">
        <f ca="1">_xll.BDH($C$78,"INC_BEF_XO_ITEMS_TO_NET_SALES","FQ2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85" t="e">
        <f ca="1">_xll.BDH($C$78,"PROF_MARGIN","FQ2 2015","FQ2 2015","Currency=INR","Period=FQ","BEST_FPERIOD_OVERRIDE=FQ","FILING_STATUS=OR","EQY_CONSOLIDATED=Y","FA_ADJUSTED=GAAP","Sort=A","Dates=H","DateFormat=P","Fill=—","Direction=H","UseDPDF=Y")</f>
        <v>#NAME?</v>
      </c>
      <c r="P85" t="e">
        <f ca="1">_xll.BDH($C$78,"NET_INCOME_TO_COMMON_MARGIN","FQ2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85" t="e">
        <f ca="1">_xll.BDH($C$78,"EFF_TAX_RATE","FQ2 2015","FQ2 2015","Currency=INR","Period=FQ","BEST_FPERIOD_OVERRIDE=FQ","FILING_STATUS=OR","EQY_CONSOLIDATED=Y","FA_ADJUSTED=GAAP","Sort=A","Dates=H","DateFormat=P","Fill=—","Direction=H","UseDPDF=Y")</f>
        <v>#NAME?</v>
      </c>
      <c r="R85" t="e">
        <f ca="1">_xll.BDH($C$78,"DVD_PAYOUT_RATIO","FQ2 2015","FQ2 2015","Currency=INR","Period=FQ","BEST_FPERIOD_OVERRIDE=FQ","FILING_STATUS=OR","EQY_CONSOLIDATED=Y","FA_ADJUSTED=GAAP","Sort=A","Dates=H","DateFormat=P","Fill=—","Direction=H","UseDPDF=Y")</f>
        <v>#NAME?</v>
      </c>
      <c r="S85" t="e">
        <f ca="1">_xll.BDH($C$78,"SUSTAIN_GROWTH_RT","FQ2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85" s="1" t="e">
        <f ca="1">_xll.BDH($C$78,"SALES_GROWTH","FQ2 2015","FQ2 2015","Currency=INR","Period=FQ","BEST_FPERIOD_OVERRIDE=FQ","FILING_STATUS=OR","EQY_CONSOLIDATED=Y","FA_ADJUSTED=GAAP","Sort=A","Dates=H","DateFormat=P","Fill=—","Direction=H","UseDPDF=Y")</f>
        <v>#NAME?</v>
      </c>
      <c r="U85" s="1" t="e">
        <f ca="1">_xll.BDH($C$78,"EBITDA_GROWTH","FQ2 2015","FQ2 2015","Currency=INR","Period=FQ","BEST_FPERIOD_OVERRIDE=FQ","FILING_STATUS=OR","EQY_CONSOLIDATED=Y","FA_ADJUSTED=GAAP","Sort=A","Dates=H","DateFormat=P","Fill=—","Direction=H","UseDPDF=Y")</f>
        <v>#NAME?</v>
      </c>
      <c r="V85" s="1" t="e">
        <f ca="1">_xll.BDH($C$78,"OPER_INC_GROWTH","FQ2 2015","FQ2 2015","Currency=INR","Period=FQ","BEST_FPERIOD_OVERRIDE=FQ","FILING_STATUS=OR","EQY_CONSOLIDATED=Y","FA_ADJUSTED=GAAP","Sort=A","Dates=H","DateFormat=P","Fill=—","Direction=H","UseDPDF=Y")</f>
        <v>#NAME?</v>
      </c>
      <c r="W85" s="1" t="e">
        <f ca="1">_xll.BDH($C$78,"EARN_FOR_COM_GROWTH","FQ2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85" s="1" t="e">
        <f ca="1">_xll.BDH($C$78,"DILUTED_EPS_AFT_XO_ITEMS_GROWTH","FQ2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85" s="1" t="e">
        <f ca="1">_xll.BDH($C$78,"DIVIDEND_PER_SHARE_1_YEAR_GROWTH","FQ2 2015","FQ2 2015","Currency=INR","Period=FQ","BEST_FPERIOD_OVERRIDE=FQ","FILING_STATUS=OR","EQY_CONSOLIDATED=Y","Sort=A","Dates=H","DateFormat=P","Fill=—","Direction=H","UseDPDF=Y")</f>
        <v>#NAME?</v>
      </c>
      <c r="Z85" s="1" t="e">
        <f ca="1">_xll.BDH($C$78,"ACCOUNTS_RECEIVABLE_GROWTH","FQ2 2015","FQ2 2015","Currency=INR","Period=FQ","BEST_FPERIOD_OVERRIDE=FQ","FILING_STATUS=OR","EQY_CONSOLIDATED=Y","Sort=A","Dates=H","DateFormat=P","Fill=—","Direction=H","UseDPDF=Y")</f>
        <v>#NAME?</v>
      </c>
      <c r="AA85" s="1" t="e">
        <f ca="1">_xll.BDH($C$78,"INVENTORY_GROWTH","FQ2 2015","FQ2 2015","Currency=INR","Period=FQ","BEST_FPERIOD_OVERRIDE=FQ","FILING_STATUS=OR","EQY_CONSOLIDATED=Y","Sort=A","Dates=H","DateFormat=P","Fill=—","Direction=H","UseDPDF=Y")</f>
        <v>#NAME?</v>
      </c>
      <c r="AB85" s="1" t="e">
        <f ca="1">_xll.BDH($C$78,"NET_FIXED_ASSETS_1_YEAR_GROWTH","FQ2 2015","FQ2 2015","Currency=INR","Period=FQ","BEST_FPERIOD_OVERRIDE=FQ","FILING_STATUS=OR","EQY_CONSOLIDATED=Y","Sort=A","Dates=H","DateFormat=P","Fill=—","Direction=H","UseDPDF=Y")</f>
        <v>#NAME?</v>
      </c>
      <c r="AC85" s="1" t="e">
        <f ca="1">_xll.BDH($C$78,"ASSET_GROWTH","FQ2 2015","FQ2 2015","Currency=INR","Period=FQ","BEST_FPERIOD_OVERRIDE=FQ","FILING_STATUS=OR","EQY_CONSOLIDATED=Y","Sort=A","Dates=H","DateFormat=P","Fill=—","Direction=H","UseDPDF=Y")</f>
        <v>#NAME?</v>
      </c>
      <c r="AD85" s="1" t="e">
        <f ca="1">_xll.BDH($C$78,"MODIFIED_WORK_CAP_GROWTH","FQ2 2015","FQ2 2015","Currency=INR","Period=FQ","BEST_FPERIOD_OVERRIDE=FQ","FILING_STATUS=OR","EQY_CONSOLIDATED=Y","Sort=A","Dates=H","DateFormat=P","Fill=—","Direction=H","UseDPDF=Y")</f>
        <v>#NAME?</v>
      </c>
      <c r="AE85" s="1" t="e">
        <f ca="1">_xll.BDH($C$78,"WORK_CAP_GROWTH","FQ2 2015","FQ2 2015","Currency=INR","Period=FQ","BEST_FPERIOD_OVERRIDE=FQ","FILING_STATUS=OR","EQY_CONSOLIDATED=Y","Sort=A","Dates=H","DateFormat=P","Fill=—","Direction=H","UseDPDF=Y")</f>
        <v>#NAME?</v>
      </c>
      <c r="AF85" s="1" t="e">
        <f ca="1">_xll.BDH($C$78,"ACCOUNTS_PAYABLE_GROWTH_1YR","FQ2 2015","FQ2 2015","Currency=INR","Period=FQ","BEST_FPERIOD_OVERRIDE=FQ","FILING_STATUS=OR","EQY_CONSOLIDATED=Y","Sort=A","Dates=H","DateFormat=P","Fill=—","Direction=H","UseDPDF=Y")</f>
        <v>#NAME?</v>
      </c>
      <c r="AG85" s="1" t="e">
        <f ca="1">_xll.BDH($C$78,"SHORT_TERM_DEBT_1_YEAR_GROWTH","FQ2 2015","FQ2 2015","Currency=INR","Period=FQ","BEST_FPERIOD_OVERRIDE=FQ","FILING_STATUS=OR","EQY_CONSOLIDATED=Y","Sort=A","Dates=H","DateFormat=P","Fill=—","Direction=H","UseDPDF=Y")</f>
        <v>#NAME?</v>
      </c>
      <c r="AH85" s="1" t="e">
        <f ca="1">_xll.BDH($C$78,"TOTAL_DEBT_1_YEAR_GROWTH","FQ2 2015","FQ2 2015","Currency=INR","Period=FQ","BEST_FPERIOD_OVERRIDE=FQ","FILING_STATUS=OR","EQY_CONSOLIDATED=Y","Sort=A","Dates=H","DateFormat=P","Fill=—","Direction=H","UseDPDF=Y")</f>
        <v>#NAME?</v>
      </c>
      <c r="AI85" s="1" t="e">
        <f ca="1">_xll.BDH($C$78,"TOTAL_EQUITY_1_YEAR_GROWTH","FQ2 2015","FQ2 2015","Currency=INR","Period=FQ","BEST_FPERIOD_OVERRIDE=FQ","FILING_STATUS=OR","EQY_CONSOLIDATED=Y","Sort=A","Dates=H","DateFormat=P","Fill=—","Direction=H","UseDPDF=Y")</f>
        <v>#NAME?</v>
      </c>
      <c r="AJ85" s="1" t="e">
        <f ca="1">_xll.BDH($C$78,"GROWTH_IN_CAP","FQ2 2015","FQ2 2015","Currency=INR","Period=FQ","BEST_FPERIOD_OVERRIDE=FQ","FILING_STATUS=OR","EQY_CONSOLIDATED=Y","Sort=A","Dates=H","DateFormat=P","Fill=—","Direction=H","UseDPDF=Y")</f>
        <v>#NAME?</v>
      </c>
      <c r="AK85" s="1" t="e">
        <f ca="1">_xll.BDH($C$78,"BVPS_GROWTH","FQ2 2015","FQ2 2015","Currency=INR","Period=FQ","BEST_FPERIOD_OVERRIDE=FQ","FILING_STATUS=OR","EQY_CONSOLIDATED=Y","Sort=A","Dates=H","DateFormat=P","Fill=—","Direction=H","UseDPDF=Y")</f>
        <v>#NAME?</v>
      </c>
      <c r="AL85" s="1" t="e">
        <f ca="1">_xll.BDH($C$78,"CASH_FLOW_GROWTH","FQ2 2015","FQ2 2015","Currency=INR","Period=FQ","BEST_FPERIOD_OVERRIDE=FQ","FILING_STATUS=OR","EQY_CONSOLIDATED=Y","Sort=A","Dates=H","DateFormat=P","Fill=—","Direction=H","UseDPDF=Y")</f>
        <v>#NAME?</v>
      </c>
      <c r="AM85" s="1" t="e">
        <f ca="1">_xll.BDH($C$78,"GEO_GROW_NET_SALES","FQ2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85" s="1" t="e">
        <f ca="1">_xll.BDH($C$78,"GEO_GROW_EBITDA","FQ2 2015","FQ2 2015","Currency=INR","Period=FQ","BEST_FPERIOD_OVERRIDE=FQ","FILING_STATUS=OR","EQY_CONSOLIDATED=Y","FA_ADJUSTED=GAAP","Sort=A","Dates=H","DateFormat=P","Fill=—","Direction=H","UseDPDF=Y")</f>
        <v>#NAME?</v>
      </c>
      <c r="AO85" s="1" t="e">
        <f ca="1">_xll.BDH($C$78,"GEO_GROW_OPER_INC","FQ2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85" s="1" t="e">
        <f ca="1">_xll.BDH($C$78,"NET_INCOME_TO_COMMON_5_YR_GROWTH","FQ2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85" s="1" t="e">
        <f ca="1">_xll.BDH($C$78,"5Y_GEO_GROWTH_DILUTED_EPS","FQ2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85" s="1" t="e">
        <f ca="1">_xll.BDH($C$78,"GEO_GROW_DVD_PER_SH","FQ2 2015","FQ2 2015","Currency=INR","Period=FQ","BEST_FPERIOD_OVERRIDE=FQ","FILING_STATUS=OR","EQY_CONSOLIDATED=Y","Sort=A","Dates=H","DateFormat=P","Fill=—","Direction=H","UseDPDF=Y")</f>
        <v>#NAME?</v>
      </c>
      <c r="AS85" s="1" t="e">
        <f ca="1">_xll.BDH($C$78,"ACCOUNTS_RECEIVABLE_5_YR_GROWTH","FQ2 2015","FQ2 2015","Currency=INR","Period=FQ","BEST_FPERIOD_OVERRIDE=FQ","FILING_STATUS=OR","EQY_CONSOLIDATED=Y","Sort=A","Dates=H","DateFormat=P","Fill=—","Direction=H","UseDPDF=Y")</f>
        <v>#NAME?</v>
      </c>
      <c r="AT85" s="1" t="e">
        <f ca="1">_xll.BDH($C$78,"INVENTORY_5_YEAR_GROWTH","FQ2 2015","FQ2 2015","Currency=INR","Period=FQ","BEST_FPERIOD_OVERRIDE=FQ","FILING_STATUS=OR","EQY_CONSOLIDATED=Y","Sort=A","Dates=H","DateFormat=P","Fill=—","Direction=H","UseDPDF=Y")</f>
        <v>#NAME?</v>
      </c>
      <c r="AU85" s="1" t="e">
        <f ca="1">_xll.BDH($C$78,"NET_FIXED_ASSETS_5_YEAR_GROWTH","FQ2 2015","FQ2 2015","Currency=INR","Period=FQ","BEST_FPERIOD_OVERRIDE=FQ","FILING_STATUS=OR","EQY_CONSOLIDATED=Y","Sort=A","Dates=H","DateFormat=P","Fill=—","Direction=H","UseDPDF=Y")</f>
        <v>#NAME?</v>
      </c>
      <c r="AV85" s="1" t="e">
        <f ca="1">_xll.BDH($C$78,"GEO_GROW_TOT_ASSET","FQ2 2015","FQ2 2015","Currency=INR","Period=FQ","BEST_FPERIOD_OVERRIDE=FQ","FILING_STATUS=OR","EQY_CONSOLIDATED=Y","Sort=A","Dates=H","DateFormat=P","Fill=—","Direction=H","UseDPDF=Y")</f>
        <v>#NAME?</v>
      </c>
      <c r="AW85" s="1" t="e">
        <f ca="1">_xll.BDH($C$78,"MODIFIED_WORKING_CPTL_5YR_GRWTH","FQ2 2015","FQ2 2015","Currency=INR","Period=FQ","BEST_FPERIOD_OVERRIDE=FQ","FILING_STATUS=OR","EQY_CONSOLIDATED=Y","Sort=A","Dates=H","DateFormat=P","Fill=—","Direction=H","UseDPDF=Y")</f>
        <v>#NAME?</v>
      </c>
      <c r="AX85" s="1" t="e">
        <f ca="1">_xll.BDH($C$78,"WORKING_CAPITAL_5_YEAR_GROWTH","FQ2 2015","FQ2 2015","Currency=INR","Period=FQ","BEST_FPERIOD_OVERRIDE=FQ","FILING_STATUS=OR","EQY_CONSOLIDATED=Y","Sort=A","Dates=H","DateFormat=P","Fill=—","Direction=H","UseDPDF=Y")</f>
        <v>#NAME?</v>
      </c>
      <c r="AY85" s="1" t="e">
        <f ca="1">_xll.BDH($C$78,"ACCOUNTS_PAYABLE_5_YEAR_GROWTH","FQ2 2015","FQ2 2015","Currency=INR","Period=FQ","BEST_FPERIOD_OVERRIDE=FQ","FILING_STATUS=OR","EQY_CONSOLIDATED=Y","Sort=A","Dates=H","DateFormat=P","Fill=—","Direction=H","UseDPDF=Y")</f>
        <v>#NAME?</v>
      </c>
      <c r="AZ85" s="1" t="e">
        <f ca="1">_xll.BDH($C$78,"SHORT_TERM_DEBT_5_YEAR_GROWTH","FQ2 2015","FQ2 2015","Currency=INR","Period=FQ","BEST_FPERIOD_OVERRIDE=FQ","FILING_STATUS=OR","EQY_CONSOLIDATED=Y","Sort=A","Dates=H","DateFormat=P","Fill=—","Direction=H","UseDPDF=Y")</f>
        <v>#NAME?</v>
      </c>
      <c r="BA85" s="1" t="e">
        <f ca="1">_xll.BDH($C$78,"TOTAL_DEBT_5_YEAR_GROWTH","FQ2 2015","FQ2 2015","Currency=INR","Period=FQ","BEST_FPERIOD_OVERRIDE=FQ","FILING_STATUS=OR","EQY_CONSOLIDATED=Y","Sort=A","Dates=H","DateFormat=P","Fill=—","Direction=H","UseDPDF=Y")</f>
        <v>#NAME?</v>
      </c>
      <c r="BB85" s="1" t="e">
        <f ca="1">_xll.BDH($C$78,"GEO_GROW_TOT_SHRHLDR_EQY","FQ2 2015","FQ2 2015","Currency=INR","Period=FQ","BEST_FPERIOD_OVERRIDE=FQ","FILING_STATUS=OR","EQY_CONSOLIDATED=Y","Sort=A","Dates=H","DateFormat=P","Fill=—","Direction=H","UseDPDF=Y")</f>
        <v>#NAME?</v>
      </c>
      <c r="BC85" s="1" t="e">
        <f ca="1">_xll.BDH($C$78,"TOTAL_CAPITAL_5_YEAR_GROWTH","FQ2 2015","FQ2 2015","Currency=INR","Period=FQ","BEST_FPERIOD_OVERRIDE=FQ","FILING_STATUS=OR","EQY_CONSOLIDATED=Y","Sort=A","Dates=H","DateFormat=P","Fill=—","Direction=H","UseDPDF=Y")</f>
        <v>#NAME?</v>
      </c>
      <c r="BD85" s="1" t="e">
        <f ca="1">_xll.BDH($C$78,"GEO_GROW_BOOK_VAL","FQ2 2015","FQ2 2015","Currency=INR","Period=FQ","BEST_FPERIOD_OVERRIDE=FQ","FILING_STATUS=OR","EQY_CONSOLIDATED=Y","Sort=A","Dates=H","DateFormat=P","Fill=—","Direction=H","UseDPDF=Y")</f>
        <v>#NAME?</v>
      </c>
      <c r="BE85" s="1" t="e">
        <f ca="1">_xll.BDH($C$78,"GEO_GROW_CASH_OPER_ACT","FQ2 2015","FQ2 2015","Currency=INR","Period=FQ","BEST_FPERIOD_OVERRIDE=FQ","FILING_STATUS=OR","EQY_CONSOLIDATED=Y","Sort=A","Dates=H","DateFormat=P","Fill=—","Direction=H","UseDPDF=Y")</f>
        <v>#NAME?</v>
      </c>
      <c r="BF85" s="1" t="e">
        <f ca="1">_xll.BDH($C$78,"REVENUE_SEQUENTIAL_GROWTH","FQ2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85" s="1" t="e">
        <f ca="1">_xll.BDH($C$78,"EBITDA_SEQUENTIAL_GROWTH","FQ2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85" s="1" t="e">
        <f ca="1">_xll.BDH($C$78,"OPERATING_INCOME_SEQ_GROWTH","FQ2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85" s="1" t="e">
        <f ca="1">_xll.BDH($C$78,"NET_INCOME_TO_COMMON_SEQ_GROWTH","FQ2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85" s="1" t="e">
        <f ca="1">_xll.BDH($C$78,"EPS_DILUTED_SEQUENTIAL_GROWTH","FQ2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85" s="1" t="e">
        <f ca="1">_xll.BDH($C$78,"DPS_SEQUENTIAL_GROWTH","FQ2 2015","FQ2 2015","Currency=INR","Period=FQ","BEST_FPERIOD_OVERRIDE=FQ","FILING_STATUS=OR","EQY_CONSOLIDATED=Y","Sort=A","Dates=H","DateFormat=P","Fill=—","Direction=H","UseDPDF=Y")</f>
        <v>#NAME?</v>
      </c>
      <c r="BL85" s="1" t="e">
        <f ca="1">_xll.BDH($C$78,"ACCOUNTS_RECEIVABLE_SEQ_GROWTH","FQ2 2015","FQ2 2015","Currency=INR","Period=FQ","BEST_FPERIOD_OVERRIDE=FQ","FILING_STATUS=OR","EQY_CONSOLIDATED=Y","Sort=A","Dates=H","DateFormat=P","Fill=—","Direction=H","UseDPDF=Y")</f>
        <v>#NAME?</v>
      </c>
      <c r="BM85" s="1" t="e">
        <f ca="1">_xll.BDH($C$78,"INVENTORY_SEQUENTIAL_GROWTH","FQ2 2015","FQ2 2015","Currency=INR","Period=FQ","BEST_FPERIOD_OVERRIDE=FQ","FILING_STATUS=OR","EQY_CONSOLIDATED=Y","Sort=A","Dates=H","DateFormat=P","Fill=—","Direction=H","UseDPDF=Y")</f>
        <v>#NAME?</v>
      </c>
      <c r="BN85" s="1" t="e">
        <f ca="1">_xll.BDH($C$78,"FIXED_ASSETS_SEQUENTIAL_GROWTH","FQ2 2015","FQ2 2015","Currency=INR","Period=FQ","BEST_FPERIOD_OVERRIDE=FQ","FILING_STATUS=OR","EQY_CONSOLIDATED=Y","Sort=A","Dates=H","DateFormat=P","Fill=—","Direction=H","UseDPDF=Y")</f>
        <v>#NAME?</v>
      </c>
      <c r="BO85" s="1" t="e">
        <f ca="1">_xll.BDH($C$78,"TOTAL_ASSETS_SEQUENTIAL_GROWTH","FQ2 2015","FQ2 2015","Currency=INR","Period=FQ","BEST_FPERIOD_OVERRIDE=FQ","FILING_STATUS=OR","EQY_CONSOLIDATED=Y","Sort=A","Dates=H","DateFormat=P","Fill=—","Direction=H","UseDPDF=Y")</f>
        <v>#NAME?</v>
      </c>
      <c r="BP85" s="1" t="e">
        <f ca="1">_xll.BDH($C$78,"MODIFIED_WORKING_CPTL_SEQ_GRWTH","FQ2 2015","FQ2 2015","Currency=INR","Period=FQ","BEST_FPERIOD_OVERRIDE=FQ","FILING_STATUS=OR","EQY_CONSOLIDATED=Y","Sort=A","Dates=H","DateFormat=P","Fill=—","Direction=H","UseDPDF=Y")</f>
        <v>#NAME?</v>
      </c>
      <c r="BQ85" s="1" t="e">
        <f ca="1">_xll.BDH($C$78,"WORKING_CAPITAL_SEQ_GROWTH","FQ2 2015","FQ2 2015","Currency=INR","Period=FQ","BEST_FPERIOD_OVERRIDE=FQ","FILING_STATUS=OR","EQY_CONSOLIDATED=Y","Sort=A","Dates=H","DateFormat=P","Fill=—","Direction=H","UseDPDF=Y")</f>
        <v>#NAME?</v>
      </c>
      <c r="BR85" s="1" t="e">
        <f ca="1">_xll.BDH($C$78,"ACCOUNTS_PAYABLE_SEQ_GROWTH","FQ2 2015","FQ2 2015","Currency=INR","Period=FQ","BEST_FPERIOD_OVERRIDE=FQ","FILING_STATUS=OR","EQY_CONSOLIDATED=Y","Sort=A","Dates=H","DateFormat=P","Fill=—","Direction=H","UseDPDF=Y")</f>
        <v>#NAME?</v>
      </c>
      <c r="BS85" s="1" t="e">
        <f ca="1">_xll.BDH($C$78,"ST_DEBT_SEQUENTIAL_GROWTH","FQ2 2015","FQ2 2015","Currency=INR","Period=FQ","BEST_FPERIOD_OVERRIDE=FQ","FILING_STATUS=OR","EQY_CONSOLIDATED=Y","Sort=A","Dates=H","DateFormat=P","Fill=—","Direction=H","UseDPDF=Y")</f>
        <v>#NAME?</v>
      </c>
      <c r="BT85" s="1" t="e">
        <f ca="1">_xll.BDH($C$78,"TOTAL_DEBT_SEQUENTIAL_GROWTH","FQ2 2015","FQ2 2015","Currency=INR","Period=FQ","BEST_FPERIOD_OVERRIDE=FQ","FILING_STATUS=OR","EQY_CONSOLIDATED=Y","Sort=A","Dates=H","DateFormat=P","Fill=—","Direction=H","UseDPDF=Y")</f>
        <v>#NAME?</v>
      </c>
      <c r="BU85" s="1" t="e">
        <f ca="1">_xll.BDH($C$78,"TOTAL_EQUITY_SEQUENTIAL_GROWTH","FQ2 2015","FQ2 2015","Currency=INR","Period=FQ","BEST_FPERIOD_OVERRIDE=FQ","FILING_STATUS=OR","EQY_CONSOLIDATED=Y","Sort=A","Dates=H","DateFormat=P","Fill=—","Direction=H","UseDPDF=Y")</f>
        <v>#NAME?</v>
      </c>
      <c r="BV85" s="1" t="e">
        <f ca="1">_xll.BDH($C$78,"TOTAL_CAPITAL_SEQUENTIAL_GROWTH","FQ2 2015","FQ2 2015","Currency=INR","Period=FQ","BEST_FPERIOD_OVERRIDE=FQ","FILING_STATUS=OR","EQY_CONSOLIDATED=Y","Sort=A","Dates=H","DateFormat=P","Fill=—","Direction=H","UseDPDF=Y")</f>
        <v>#NAME?</v>
      </c>
      <c r="BW85" s="1" t="e">
        <f ca="1">_xll.BDH($C$78,"BPS_SEQUENTIAL_GROWTH","FQ2 2015","FQ2 2015","Currency=INR","Period=FQ","BEST_FPERIOD_OVERRIDE=FQ","FILING_STATUS=OR","EQY_CONSOLIDATED=Y","Sort=A","Dates=H","DateFormat=P","Fill=—","Direction=H","UseDPDF=Y")</f>
        <v>#NAME?</v>
      </c>
      <c r="BX85" s="1" t="e">
        <f ca="1">_xll.BDH($C$78,"CFO_SEQUENTIAL_GROWTH","FQ2 2015","FQ2 2015","Currency=INR","Period=FQ","BEST_FPERIOD_OVERRIDE=FQ","FILING_STATUS=OR","EQY_CONSOLIDATED=Y","Sort=A","Dates=H","DateFormat=P","Fill=—","Direction=H","UseDPDF=Y")</f>
        <v>#NAME?</v>
      </c>
      <c r="BY85" s="2" t="e">
        <f ca="1">_xll.BDH($C$78,"SHORT_AND_LONG_TERM_DEBT","FQ2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85" s="2" t="e">
        <f ca="1">_xll.BDH($C$78,"BS_ST_BORROW","FQ2 2015","FQ2 2015","Currency=INR","Period=FQ","BEST_FPERIOD_OVERRIDE=FQ","FILING_STATUS=OR","EQY_CONSOLIDATED=Y","SCALING_FORMAT=MLN","Sort=A","Dates=H","DateFormat=P","Fill=—","Direction=H","UseDPDF=Y")</f>
        <v>#NAME?</v>
      </c>
      <c r="CA85" s="2" t="e">
        <f ca="1">_xll.BDH($C$78,"BS_LT_BORROW","FQ2 2015","FQ2 2015","Currency=INR","Period=FQ","BEST_FPERIOD_OVERRIDE=FQ","FILING_STATUS=OR","EQY_CONSOLIDATED=Y","SCALING_FORMAT=MLN","Sort=A","Dates=H","DateFormat=P","Fill=—","Direction=H","UseDPDF=Y")</f>
        <v>#NAME?</v>
      </c>
      <c r="CB85" s="1" t="e">
        <f ca="1">_xll.BDH($C$78,"TOT_DEBT_TO_EBITDA","FQ2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85" s="1" t="e">
        <f ca="1">_xll.BDH($C$78,"NET_DEBT_TO_EBITDA","FQ2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85" s="1" t="e">
        <f ca="1">_xll.BDH($C$78,"TOTAL_DEBT_TO_EBIT","FQ2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85" s="1" t="e">
        <f ca="1">_xll.BDH($C$78,"NET_DEBT_TO_EBIT","FQ2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85" s="1" t="e">
        <f ca="1">_xll.BDH($C$78,"EBITDA_TO_INTEREST_EXPN","FQ2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85" s="1" t="e">
        <f ca="1">_xll.BDH($C$78,"COM_EQY_TO_TOT_ASSET","FQ2 2015","FQ2 2015","Currency=INR","Period=FQ","BEST_FPERIOD_OVERRIDE=FQ","FILING_STATUS=OR","EQY_CONSOLIDATED=Y","Sort=A","Dates=H","DateFormat=P","Fill=—","Direction=H","UseDPDF=Y")</f>
        <v>#NAME?</v>
      </c>
      <c r="CH85" s="1" t="e">
        <f ca="1">_xll.BDH($C$78,"LT_DEBT_TO_TOT_EQY","FQ2 2015","FQ2 2015","Currency=INR","Period=FQ","BEST_FPERIOD_OVERRIDE=FQ","FILING_STATUS=OR","EQY_CONSOLIDATED=Y","Sort=A","Dates=H","DateFormat=P","Fill=—","Direction=H","UseDPDF=Y")</f>
        <v>#NAME?</v>
      </c>
      <c r="CI85" s="1" t="e">
        <f ca="1">_xll.BDH($C$78,"LT_DEBT_TO_TOT_CAP","FQ2 2015","FQ2 2015","Currency=INR","Period=FQ","BEST_FPERIOD_OVERRIDE=FQ","FILING_STATUS=OR","EQY_CONSOLIDATED=Y","Sort=A","Dates=H","DateFormat=P","Fill=—","Direction=H","UseDPDF=Y")</f>
        <v>#NAME?</v>
      </c>
      <c r="CJ85" s="1" t="e">
        <f ca="1">_xll.BDH($C$78,"LT_DEBT_TO_TOT_ASSET","FQ2 2015","FQ2 2015","Currency=INR","Period=FQ","BEST_FPERIOD_OVERRIDE=FQ","FILING_STATUS=OR","EQY_CONSOLIDATED=Y","Sort=A","Dates=H","DateFormat=P","Fill=—","Direction=H","UseDPDF=Y")</f>
        <v>#NAME?</v>
      </c>
      <c r="CK85" s="1" t="e">
        <f ca="1">_xll.BDH($C$78,"TOT_DEBT_TO_TOT_EQY","FQ2 2015","FQ2 2015","Currency=INR","Period=FQ","BEST_FPERIOD_OVERRIDE=FQ","FILING_STATUS=OR","EQY_CONSOLIDATED=Y","Sort=A","Dates=H","DateFormat=P","Fill=—","Direction=H","UseDPDF=Y")</f>
        <v>#NAME?</v>
      </c>
      <c r="CL85" s="1" t="e">
        <f ca="1">_xll.BDH($C$78,"TOT_DEBT_TO_TOT_CAP","FQ2 2015","FQ2 2015","Currency=INR","Period=FQ","BEST_FPERIOD_OVERRIDE=FQ","FILING_STATUS=OR","EQY_CONSOLIDATED=Y","Sort=A","Dates=H","DateFormat=P","Fill=—","Direction=H","UseDPDF=Y")</f>
        <v>#NAME?</v>
      </c>
      <c r="CM85" s="1" t="e">
        <f ca="1">_xll.BDH($C$78,"TOT_DEBT_TO_TOT_ASSET","FQ2 2015","FQ2 2015","Currency=INR","Period=FQ","BEST_FPERIOD_OVERRIDE=FQ","FILING_STATUS=OR","EQY_CONSOLIDATED=Y","Sort=A","Dates=H","DateFormat=P","Fill=—","Direction=H","UseDPDF=Y")</f>
        <v>#NAME?</v>
      </c>
      <c r="CN85" s="1" t="e">
        <f ca="1">_xll.BDH($C$78,"NET_DEBT_TO_SHRHLDR_EQTY","FQ2 2015","FQ2 2015","Currency=INR","Period=FQ","BEST_FPERIOD_OVERRIDE=FQ","FILING_STATUS=OR","EQY_CONSOLIDATED=Y","Sort=A","Dates=H","DateFormat=P","Fill=—","Direction=H","UseDPDF=Y")</f>
        <v>#NAME?</v>
      </c>
      <c r="CO85" s="1" t="e">
        <f ca="1">_xll.BDH($C$78,"NET_DEBT_%_CAPITAL","FQ2 2015","FQ2 2015","Currency=INR","Period=FQ","BEST_FPERIOD_OVERRIDE=FQ","FILING_STATUS=OR","EQY_CONSOLIDATED=Y","Sort=A","Dates=H","DateFormat=P","Fill=—","Direction=H","UseDPDF=Y")</f>
        <v>#NAME?</v>
      </c>
      <c r="CP85" s="2" t="e">
        <f ca="1">_xll.BDH($C$78,"EBITDA","FQ2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85" s="2" t="e">
        <f ca="1">_xll.BDH($C$78,"EBITDA_AFTER_CAPEX","FQ2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85" s="2" t="e">
        <f ca="1">_xll.BDH($C$78,"IS_OPER_INC","FQ2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85" s="1" t="e">
        <f ca="1">_xll.BDH($C$78,"CASH_RATIO","FQ2 2015","FQ2 2015","Currency=INR","Period=FQ","BEST_FPERIOD_OVERRIDE=FQ","FILING_STATUS=OR","EQY_CONSOLIDATED=Y","Sort=A","Dates=H","DateFormat=P","Fill=—","Direction=H","UseDPDF=Y")</f>
        <v>#NAME?</v>
      </c>
      <c r="CT85" s="1" t="e">
        <f ca="1">_xll.BDH($C$78,"CUR_RATIO","FQ2 2015","FQ2 2015","Currency=INR","Period=FQ","BEST_FPERIOD_OVERRIDE=FQ","FILING_STATUS=OR","EQY_CONSOLIDATED=Y","Sort=A","Dates=H","DateFormat=P","Fill=—","Direction=H","UseDPDF=Y")</f>
        <v>#NAME?</v>
      </c>
      <c r="CU85" s="1" t="e">
        <f ca="1">_xll.BDH($C$78,"QUICK_RATIO","FQ2 2015","FQ2 2015","Currency=INR","Period=FQ","BEST_FPERIOD_OVERRIDE=FQ","FILING_STATUS=OR","EQY_CONSOLIDATED=Y","Sort=A","Dates=H","DateFormat=P","Fill=—","Direction=H","UseDPDF=Y")</f>
        <v>#NAME?</v>
      </c>
      <c r="CV85" s="1" t="e">
        <f ca="1">_xll.BDH($C$78,"ALTMAN_Z_SCORE","FQ2 2015","FQ2 2015","Currency=INR","Period=FQ","BEST_FPERIOD_OVERRIDE=FQ","FILING_STATUS=OR","EQY_CONSOLIDATED=Y","Sort=A","Dates=H","DateFormat=P","Fill=—","Direction=H","UseDPDF=Y")</f>
        <v>#NAME?</v>
      </c>
      <c r="CW85" s="3" t="e">
        <f ca="1">_xll.BDH($C$78,"ACCT_RCV_TURN","FQ2 2015","FQ2 2015","Currency=INR","Period=FQ","BEST_FPERIOD_OVERRIDE=FQ","FILING_STATUS=OR","EQY_CONSOLIDATED=Y","FA_ADJUSTED=GAAP","Sort=A","Dates=H","DateFormat=P","Fill=—","Direction=H","UseDPDF=Y")</f>
        <v>#NAME?</v>
      </c>
      <c r="CX85" s="1" t="e">
        <f ca="1">_xll.BDH($C$78,"ACCT_RCV_DAYS","FQ2 2015","FQ2 2015","Currency=INR","Period=FQ","BEST_FPERIOD_OVERRIDE=FQ","FILING_STATUS=OR","EQY_CONSOLIDATED=Y","FA_ADJUSTED=GAAP","Sort=A","Dates=H","DateFormat=P","Fill=—","Direction=H","UseDPDF=Y")</f>
        <v>#NAME?</v>
      </c>
      <c r="CY85" s="3" t="e">
        <f ca="1">_xll.BDH($C$78,"INVENT_TURN","FQ2 2015","FQ2 2015","Currency=INR","Period=FQ","BEST_FPERIOD_OVERRIDE=FQ","FILING_STATUS=OR","EQY_CONSOLIDATED=Y","FA_ADJUSTED=GAAP","Sort=A","Dates=H","DateFormat=P","Fill=—","Direction=H","UseDPDF=Y")</f>
        <v>#NAME?</v>
      </c>
      <c r="CZ85" s="1" t="e">
        <f ca="1">_xll.BDH($C$78,"INVENT_DAYS","FQ2 2015","FQ2 2015","Currency=INR","Period=FQ","BEST_FPERIOD_OVERRIDE=FQ","FILING_STATUS=OR","EQY_CONSOLIDATED=Y","FA_ADJUSTED=GAAP","Sort=A","Dates=H","DateFormat=P","Fill=—","Direction=H","UseDPDF=Y")</f>
        <v>#NAME?</v>
      </c>
      <c r="DA85" s="3" t="e">
        <f ca="1">_xll.BDH($C$78,"ACCOUNTS_PAYABLE_TURNOVER","FQ2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85" s="1" t="e">
        <f ca="1">_xll.BDH($C$78,"ACCOUNTS_PAYABLE_TURNOVER_DAYS","FQ2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85" s="3" t="e">
        <f ca="1">_xll.BDH($C$78,"CASH_CONVERSION_CYCLE","FQ2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85" s="3" t="e">
        <f ca="1">_xll.BDH($C$78,"INV_TO_CASH_DAYS","FQ2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85" s="4" t="e">
        <f ca="1">_xll.BDH($C$78,"BS_INVENTORIES","FQ2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85" s="2" t="e">
        <f ca="1">_xll.BDH($C$78,"INVTRY_RAW_MATERIALS","FQ2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85" s="2" t="e">
        <f ca="1">_xll.BDH($C$78,"INVTRY_IN_PROGRESS","FQ2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85" s="2" t="e">
        <f ca="1">_xll.BDH($C$78,"INVTRY_FINISHED_GOODS","FQ2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85" s="2" t="e">
        <f ca="1">_xll.BDH($C$78,"BS_OTHER_INV","FQ2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86" spans="1:113" x14ac:dyDescent="0.3">
      <c r="A86" s="6"/>
      <c r="B86" s="6"/>
      <c r="C86" s="6"/>
      <c r="D86" s="6"/>
      <c r="E86" t="s">
        <v>6</v>
      </c>
      <c r="F86" t="e">
        <f ca="1">_xll.BDH($C$78,"RETURN_COM_EQY","FQ3 2015","FQ3 2015","Currency=INR","Period=FQ","BEST_FPERIOD_OVERRIDE=FQ","FILING_STATUS=OR","EQY_CONSOLIDATED=Y","FA_ADJUSTED=GAAP","Sort=A","Dates=H","DateFormat=P","Fill=—","Direction=H","UseDPDF=Y")</f>
        <v>#NAME?</v>
      </c>
      <c r="G86" t="e">
        <f ca="1">_xll.BDH($C$78,"RETURN_ON_ASSET","FQ3 2015","FQ3 2015","Currency=INR","Period=FQ","BEST_FPERIOD_OVERRIDE=FQ","FILING_STATUS=OR","EQY_CONSOLIDATED=Y","FA_ADJUSTED=GAAP","Sort=A","Dates=H","DateFormat=P","Fill=—","Direction=H","UseDPDF=Y")</f>
        <v>#NAME?</v>
      </c>
      <c r="H86" t="e">
        <f ca="1">_xll.BDH($C$78,"RETURN_ON_CAP","FQ3 2015","FQ3 2015","Currency=INR","Period=FQ","BEST_FPERIOD_OVERRIDE=FQ","FILING_STATUS=OR","EQY_CONSOLIDATED=Y","FA_ADJUSTED=GAAP","Sort=A","Dates=H","DateFormat=P","Fill=—","Direction=H","UseDPDF=Y")</f>
        <v>#NAME?</v>
      </c>
      <c r="I86" t="e">
        <f ca="1">_xll.BDH($C$78,"RETURN_ON_INV_CAPITAL","FQ3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86" t="e">
        <f ca="1">_xll.BDH($C$78,"EBITDA_TO_REVENUE","FQ3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86" t="e">
        <f ca="1">_xll.BDH($C$78,"OPER_MARGIN","FQ3 2015","FQ3 2015","Currency=INR","Period=FQ","BEST_FPERIOD_OVERRIDE=FQ","FILING_STATUS=OR","EQY_CONSOLIDATED=Y","FA_ADJUSTED=GAAP","Sort=A","Dates=H","DateFormat=P","Fill=—","Direction=H","UseDPDF=Y")</f>
        <v>#NAME?</v>
      </c>
      <c r="L86" t="e">
        <f ca="1">_xll.BDH($C$78,"INCREMENTAL_OPERATING_MARGIN","FQ3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86" t="e">
        <f ca="1">_xll.BDH($C$78,"PRETAX_INC_TO_NET_SALES","FQ3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86" t="e">
        <f ca="1">_xll.BDH($C$78,"INC_BEF_XO_ITEMS_TO_NET_SALES","FQ3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86" t="e">
        <f ca="1">_xll.BDH($C$78,"PROF_MARGIN","FQ3 2015","FQ3 2015","Currency=INR","Period=FQ","BEST_FPERIOD_OVERRIDE=FQ","FILING_STATUS=OR","EQY_CONSOLIDATED=Y","FA_ADJUSTED=GAAP","Sort=A","Dates=H","DateFormat=P","Fill=—","Direction=H","UseDPDF=Y")</f>
        <v>#NAME?</v>
      </c>
      <c r="P86" t="e">
        <f ca="1">_xll.BDH($C$78,"NET_INCOME_TO_COMMON_MARGIN","FQ3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86" t="e">
        <f ca="1">_xll.BDH($C$78,"EFF_TAX_RATE","FQ3 2015","FQ3 2015","Currency=INR","Period=FQ","BEST_FPERIOD_OVERRIDE=FQ","FILING_STATUS=OR","EQY_CONSOLIDATED=Y","FA_ADJUSTED=GAAP","Sort=A","Dates=H","DateFormat=P","Fill=—","Direction=H","UseDPDF=Y")</f>
        <v>#NAME?</v>
      </c>
      <c r="R86" t="e">
        <f ca="1">_xll.BDH($C$78,"DVD_PAYOUT_RATIO","FQ3 2015","FQ3 2015","Currency=INR","Period=FQ","BEST_FPERIOD_OVERRIDE=FQ","FILING_STATUS=OR","EQY_CONSOLIDATED=Y","FA_ADJUSTED=GAAP","Sort=A","Dates=H","DateFormat=P","Fill=—","Direction=H","UseDPDF=Y")</f>
        <v>#NAME?</v>
      </c>
      <c r="S86" t="e">
        <f ca="1">_xll.BDH($C$78,"SUSTAIN_GROWTH_RT","FQ3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86" s="1" t="e">
        <f ca="1">_xll.BDH($C$78,"SALES_GROWTH","FQ3 2015","FQ3 2015","Currency=INR","Period=FQ","BEST_FPERIOD_OVERRIDE=FQ","FILING_STATUS=OR","EQY_CONSOLIDATED=Y","FA_ADJUSTED=GAAP","Sort=A","Dates=H","DateFormat=P","Fill=—","Direction=H","UseDPDF=Y")</f>
        <v>#NAME?</v>
      </c>
      <c r="U86" s="1" t="e">
        <f ca="1">_xll.BDH($C$78,"EBITDA_GROWTH","FQ3 2015","FQ3 2015","Currency=INR","Period=FQ","BEST_FPERIOD_OVERRIDE=FQ","FILING_STATUS=OR","EQY_CONSOLIDATED=Y","FA_ADJUSTED=GAAP","Sort=A","Dates=H","DateFormat=P","Fill=—","Direction=H","UseDPDF=Y")</f>
        <v>#NAME?</v>
      </c>
      <c r="V86" s="1" t="e">
        <f ca="1">_xll.BDH($C$78,"OPER_INC_GROWTH","FQ3 2015","FQ3 2015","Currency=INR","Period=FQ","BEST_FPERIOD_OVERRIDE=FQ","FILING_STATUS=OR","EQY_CONSOLIDATED=Y","FA_ADJUSTED=GAAP","Sort=A","Dates=H","DateFormat=P","Fill=—","Direction=H","UseDPDF=Y")</f>
        <v>#NAME?</v>
      </c>
      <c r="W86" s="1" t="e">
        <f ca="1">_xll.BDH($C$78,"EARN_FOR_COM_GROWTH","FQ3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86" s="1" t="e">
        <f ca="1">_xll.BDH($C$78,"DILUTED_EPS_AFT_XO_ITEMS_GROWTH","FQ3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86" s="1" t="e">
        <f ca="1">_xll.BDH($C$78,"DIVIDEND_PER_SHARE_1_YEAR_GROWTH","FQ3 2015","FQ3 2015","Currency=INR","Period=FQ","BEST_FPERIOD_OVERRIDE=FQ","FILING_STATUS=OR","EQY_CONSOLIDATED=Y","Sort=A","Dates=H","DateFormat=P","Fill=—","Direction=H","UseDPDF=Y")</f>
        <v>#NAME?</v>
      </c>
      <c r="Z86" s="1" t="e">
        <f ca="1">_xll.BDH($C$78,"ACCOUNTS_RECEIVABLE_GROWTH","FQ3 2015","FQ3 2015","Currency=INR","Period=FQ","BEST_FPERIOD_OVERRIDE=FQ","FILING_STATUS=OR","EQY_CONSOLIDATED=Y","Sort=A","Dates=H","DateFormat=P","Fill=—","Direction=H","UseDPDF=Y")</f>
        <v>#NAME?</v>
      </c>
      <c r="AA86" s="1" t="e">
        <f ca="1">_xll.BDH($C$78,"INVENTORY_GROWTH","FQ3 2015","FQ3 2015","Currency=INR","Period=FQ","BEST_FPERIOD_OVERRIDE=FQ","FILING_STATUS=OR","EQY_CONSOLIDATED=Y","Sort=A","Dates=H","DateFormat=P","Fill=—","Direction=H","UseDPDF=Y")</f>
        <v>#NAME?</v>
      </c>
      <c r="AB86" s="1" t="e">
        <f ca="1">_xll.BDH($C$78,"NET_FIXED_ASSETS_1_YEAR_GROWTH","FQ3 2015","FQ3 2015","Currency=INR","Period=FQ","BEST_FPERIOD_OVERRIDE=FQ","FILING_STATUS=OR","EQY_CONSOLIDATED=Y","Sort=A","Dates=H","DateFormat=P","Fill=—","Direction=H","UseDPDF=Y")</f>
        <v>#NAME?</v>
      </c>
      <c r="AC86" s="1" t="e">
        <f ca="1">_xll.BDH($C$78,"ASSET_GROWTH","FQ3 2015","FQ3 2015","Currency=INR","Period=FQ","BEST_FPERIOD_OVERRIDE=FQ","FILING_STATUS=OR","EQY_CONSOLIDATED=Y","Sort=A","Dates=H","DateFormat=P","Fill=—","Direction=H","UseDPDF=Y")</f>
        <v>#NAME?</v>
      </c>
      <c r="AD86" s="1" t="e">
        <f ca="1">_xll.BDH($C$78,"MODIFIED_WORK_CAP_GROWTH","FQ3 2015","FQ3 2015","Currency=INR","Period=FQ","BEST_FPERIOD_OVERRIDE=FQ","FILING_STATUS=OR","EQY_CONSOLIDATED=Y","Sort=A","Dates=H","DateFormat=P","Fill=—","Direction=H","UseDPDF=Y")</f>
        <v>#NAME?</v>
      </c>
      <c r="AE86" s="1" t="e">
        <f ca="1">_xll.BDH($C$78,"WORK_CAP_GROWTH","FQ3 2015","FQ3 2015","Currency=INR","Period=FQ","BEST_FPERIOD_OVERRIDE=FQ","FILING_STATUS=OR","EQY_CONSOLIDATED=Y","Sort=A","Dates=H","DateFormat=P","Fill=—","Direction=H","UseDPDF=Y")</f>
        <v>#NAME?</v>
      </c>
      <c r="AF86" s="1" t="e">
        <f ca="1">_xll.BDH($C$78,"ACCOUNTS_PAYABLE_GROWTH_1YR","FQ3 2015","FQ3 2015","Currency=INR","Period=FQ","BEST_FPERIOD_OVERRIDE=FQ","FILING_STATUS=OR","EQY_CONSOLIDATED=Y","Sort=A","Dates=H","DateFormat=P","Fill=—","Direction=H","UseDPDF=Y")</f>
        <v>#NAME?</v>
      </c>
      <c r="AG86" s="1" t="e">
        <f ca="1">_xll.BDH($C$78,"SHORT_TERM_DEBT_1_YEAR_GROWTH","FQ3 2015","FQ3 2015","Currency=INR","Period=FQ","BEST_FPERIOD_OVERRIDE=FQ","FILING_STATUS=OR","EQY_CONSOLIDATED=Y","Sort=A","Dates=H","DateFormat=P","Fill=—","Direction=H","UseDPDF=Y")</f>
        <v>#NAME?</v>
      </c>
      <c r="AH86" s="1" t="e">
        <f ca="1">_xll.BDH($C$78,"TOTAL_DEBT_1_YEAR_GROWTH","FQ3 2015","FQ3 2015","Currency=INR","Period=FQ","BEST_FPERIOD_OVERRIDE=FQ","FILING_STATUS=OR","EQY_CONSOLIDATED=Y","Sort=A","Dates=H","DateFormat=P","Fill=—","Direction=H","UseDPDF=Y")</f>
        <v>#NAME?</v>
      </c>
      <c r="AI86" s="1" t="e">
        <f ca="1">_xll.BDH($C$78,"TOTAL_EQUITY_1_YEAR_GROWTH","FQ3 2015","FQ3 2015","Currency=INR","Period=FQ","BEST_FPERIOD_OVERRIDE=FQ","FILING_STATUS=OR","EQY_CONSOLIDATED=Y","Sort=A","Dates=H","DateFormat=P","Fill=—","Direction=H","UseDPDF=Y")</f>
        <v>#NAME?</v>
      </c>
      <c r="AJ86" s="1" t="e">
        <f ca="1">_xll.BDH($C$78,"GROWTH_IN_CAP","FQ3 2015","FQ3 2015","Currency=INR","Period=FQ","BEST_FPERIOD_OVERRIDE=FQ","FILING_STATUS=OR","EQY_CONSOLIDATED=Y","Sort=A","Dates=H","DateFormat=P","Fill=—","Direction=H","UseDPDF=Y")</f>
        <v>#NAME?</v>
      </c>
      <c r="AK86" s="1" t="e">
        <f ca="1">_xll.BDH($C$78,"BVPS_GROWTH","FQ3 2015","FQ3 2015","Currency=INR","Period=FQ","BEST_FPERIOD_OVERRIDE=FQ","FILING_STATUS=OR","EQY_CONSOLIDATED=Y","Sort=A","Dates=H","DateFormat=P","Fill=—","Direction=H","UseDPDF=Y")</f>
        <v>#NAME?</v>
      </c>
      <c r="AL86" s="1" t="e">
        <f ca="1">_xll.BDH($C$78,"CASH_FLOW_GROWTH","FQ3 2015","FQ3 2015","Currency=INR","Period=FQ","BEST_FPERIOD_OVERRIDE=FQ","FILING_STATUS=OR","EQY_CONSOLIDATED=Y","Sort=A","Dates=H","DateFormat=P","Fill=—","Direction=H","UseDPDF=Y")</f>
        <v>#NAME?</v>
      </c>
      <c r="AM86" s="1" t="e">
        <f ca="1">_xll.BDH($C$78,"GEO_GROW_NET_SALES","FQ3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86" s="1" t="e">
        <f ca="1">_xll.BDH($C$78,"GEO_GROW_EBITDA","FQ3 2015","FQ3 2015","Currency=INR","Period=FQ","BEST_FPERIOD_OVERRIDE=FQ","FILING_STATUS=OR","EQY_CONSOLIDATED=Y","FA_ADJUSTED=GAAP","Sort=A","Dates=H","DateFormat=P","Fill=—","Direction=H","UseDPDF=Y")</f>
        <v>#NAME?</v>
      </c>
      <c r="AO86" s="1" t="e">
        <f ca="1">_xll.BDH($C$78,"GEO_GROW_OPER_INC","FQ3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86" s="1" t="e">
        <f ca="1">_xll.BDH($C$78,"NET_INCOME_TO_COMMON_5_YR_GROWTH","FQ3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86" s="1" t="e">
        <f ca="1">_xll.BDH($C$78,"5Y_GEO_GROWTH_DILUTED_EPS","FQ3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86" s="1" t="e">
        <f ca="1">_xll.BDH($C$78,"GEO_GROW_DVD_PER_SH","FQ3 2015","FQ3 2015","Currency=INR","Period=FQ","BEST_FPERIOD_OVERRIDE=FQ","FILING_STATUS=OR","EQY_CONSOLIDATED=Y","Sort=A","Dates=H","DateFormat=P","Fill=—","Direction=H","UseDPDF=Y")</f>
        <v>#NAME?</v>
      </c>
      <c r="AS86" s="1" t="e">
        <f ca="1">_xll.BDH($C$78,"ACCOUNTS_RECEIVABLE_5_YR_GROWTH","FQ3 2015","FQ3 2015","Currency=INR","Period=FQ","BEST_FPERIOD_OVERRIDE=FQ","FILING_STATUS=OR","EQY_CONSOLIDATED=Y","Sort=A","Dates=H","DateFormat=P","Fill=—","Direction=H","UseDPDF=Y")</f>
        <v>#NAME?</v>
      </c>
      <c r="AT86" s="1" t="e">
        <f ca="1">_xll.BDH($C$78,"INVENTORY_5_YEAR_GROWTH","FQ3 2015","FQ3 2015","Currency=INR","Period=FQ","BEST_FPERIOD_OVERRIDE=FQ","FILING_STATUS=OR","EQY_CONSOLIDATED=Y","Sort=A","Dates=H","DateFormat=P","Fill=—","Direction=H","UseDPDF=Y")</f>
        <v>#NAME?</v>
      </c>
      <c r="AU86" s="1" t="e">
        <f ca="1">_xll.BDH($C$78,"NET_FIXED_ASSETS_5_YEAR_GROWTH","FQ3 2015","FQ3 2015","Currency=INR","Period=FQ","BEST_FPERIOD_OVERRIDE=FQ","FILING_STATUS=OR","EQY_CONSOLIDATED=Y","Sort=A","Dates=H","DateFormat=P","Fill=—","Direction=H","UseDPDF=Y")</f>
        <v>#NAME?</v>
      </c>
      <c r="AV86" s="1" t="e">
        <f ca="1">_xll.BDH($C$78,"GEO_GROW_TOT_ASSET","FQ3 2015","FQ3 2015","Currency=INR","Period=FQ","BEST_FPERIOD_OVERRIDE=FQ","FILING_STATUS=OR","EQY_CONSOLIDATED=Y","Sort=A","Dates=H","DateFormat=P","Fill=—","Direction=H","UseDPDF=Y")</f>
        <v>#NAME?</v>
      </c>
      <c r="AW86" s="1" t="e">
        <f ca="1">_xll.BDH($C$78,"MODIFIED_WORKING_CPTL_5YR_GRWTH","FQ3 2015","FQ3 2015","Currency=INR","Period=FQ","BEST_FPERIOD_OVERRIDE=FQ","FILING_STATUS=OR","EQY_CONSOLIDATED=Y","Sort=A","Dates=H","DateFormat=P","Fill=—","Direction=H","UseDPDF=Y")</f>
        <v>#NAME?</v>
      </c>
      <c r="AX86" s="1" t="e">
        <f ca="1">_xll.BDH($C$78,"WORKING_CAPITAL_5_YEAR_GROWTH","FQ3 2015","FQ3 2015","Currency=INR","Period=FQ","BEST_FPERIOD_OVERRIDE=FQ","FILING_STATUS=OR","EQY_CONSOLIDATED=Y","Sort=A","Dates=H","DateFormat=P","Fill=—","Direction=H","UseDPDF=Y")</f>
        <v>#NAME?</v>
      </c>
      <c r="AY86" s="1" t="e">
        <f ca="1">_xll.BDH($C$78,"ACCOUNTS_PAYABLE_5_YEAR_GROWTH","FQ3 2015","FQ3 2015","Currency=INR","Period=FQ","BEST_FPERIOD_OVERRIDE=FQ","FILING_STATUS=OR","EQY_CONSOLIDATED=Y","Sort=A","Dates=H","DateFormat=P","Fill=—","Direction=H","UseDPDF=Y")</f>
        <v>#NAME?</v>
      </c>
      <c r="AZ86" s="1" t="e">
        <f ca="1">_xll.BDH($C$78,"SHORT_TERM_DEBT_5_YEAR_GROWTH","FQ3 2015","FQ3 2015","Currency=INR","Period=FQ","BEST_FPERIOD_OVERRIDE=FQ","FILING_STATUS=OR","EQY_CONSOLIDATED=Y","Sort=A","Dates=H","DateFormat=P","Fill=—","Direction=H","UseDPDF=Y")</f>
        <v>#NAME?</v>
      </c>
      <c r="BA86" s="1" t="e">
        <f ca="1">_xll.BDH($C$78,"TOTAL_DEBT_5_YEAR_GROWTH","FQ3 2015","FQ3 2015","Currency=INR","Period=FQ","BEST_FPERIOD_OVERRIDE=FQ","FILING_STATUS=OR","EQY_CONSOLIDATED=Y","Sort=A","Dates=H","DateFormat=P","Fill=—","Direction=H","UseDPDF=Y")</f>
        <v>#NAME?</v>
      </c>
      <c r="BB86" s="1" t="e">
        <f ca="1">_xll.BDH($C$78,"GEO_GROW_TOT_SHRHLDR_EQY","FQ3 2015","FQ3 2015","Currency=INR","Period=FQ","BEST_FPERIOD_OVERRIDE=FQ","FILING_STATUS=OR","EQY_CONSOLIDATED=Y","Sort=A","Dates=H","DateFormat=P","Fill=—","Direction=H","UseDPDF=Y")</f>
        <v>#NAME?</v>
      </c>
      <c r="BC86" s="1" t="e">
        <f ca="1">_xll.BDH($C$78,"TOTAL_CAPITAL_5_YEAR_GROWTH","FQ3 2015","FQ3 2015","Currency=INR","Period=FQ","BEST_FPERIOD_OVERRIDE=FQ","FILING_STATUS=OR","EQY_CONSOLIDATED=Y","Sort=A","Dates=H","DateFormat=P","Fill=—","Direction=H","UseDPDF=Y")</f>
        <v>#NAME?</v>
      </c>
      <c r="BD86" s="1" t="e">
        <f ca="1">_xll.BDH($C$78,"GEO_GROW_BOOK_VAL","FQ3 2015","FQ3 2015","Currency=INR","Period=FQ","BEST_FPERIOD_OVERRIDE=FQ","FILING_STATUS=OR","EQY_CONSOLIDATED=Y","Sort=A","Dates=H","DateFormat=P","Fill=—","Direction=H","UseDPDF=Y")</f>
        <v>#NAME?</v>
      </c>
      <c r="BE86" s="1" t="e">
        <f ca="1">_xll.BDH($C$78,"GEO_GROW_CASH_OPER_ACT","FQ3 2015","FQ3 2015","Currency=INR","Period=FQ","BEST_FPERIOD_OVERRIDE=FQ","FILING_STATUS=OR","EQY_CONSOLIDATED=Y","Sort=A","Dates=H","DateFormat=P","Fill=—","Direction=H","UseDPDF=Y")</f>
        <v>#NAME?</v>
      </c>
      <c r="BF86" s="1" t="e">
        <f ca="1">_xll.BDH($C$78,"REVENUE_SEQUENTIAL_GROWTH","FQ3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86" s="1" t="e">
        <f ca="1">_xll.BDH($C$78,"EBITDA_SEQUENTIAL_GROWTH","FQ3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86" s="1" t="e">
        <f ca="1">_xll.BDH($C$78,"OPERATING_INCOME_SEQ_GROWTH","FQ3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86" s="1" t="e">
        <f ca="1">_xll.BDH($C$78,"NET_INCOME_TO_COMMON_SEQ_GROWTH","FQ3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86" s="1" t="e">
        <f ca="1">_xll.BDH($C$78,"EPS_DILUTED_SEQUENTIAL_GROWTH","FQ3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86" s="1" t="e">
        <f ca="1">_xll.BDH($C$78,"DPS_SEQUENTIAL_GROWTH","FQ3 2015","FQ3 2015","Currency=INR","Period=FQ","BEST_FPERIOD_OVERRIDE=FQ","FILING_STATUS=OR","EQY_CONSOLIDATED=Y","Sort=A","Dates=H","DateFormat=P","Fill=—","Direction=H","UseDPDF=Y")</f>
        <v>#NAME?</v>
      </c>
      <c r="BL86" s="1" t="e">
        <f ca="1">_xll.BDH($C$78,"ACCOUNTS_RECEIVABLE_SEQ_GROWTH","FQ3 2015","FQ3 2015","Currency=INR","Period=FQ","BEST_FPERIOD_OVERRIDE=FQ","FILING_STATUS=OR","EQY_CONSOLIDATED=Y","Sort=A","Dates=H","DateFormat=P","Fill=—","Direction=H","UseDPDF=Y")</f>
        <v>#NAME?</v>
      </c>
      <c r="BM86" s="1" t="e">
        <f ca="1">_xll.BDH($C$78,"INVENTORY_SEQUENTIAL_GROWTH","FQ3 2015","FQ3 2015","Currency=INR","Period=FQ","BEST_FPERIOD_OVERRIDE=FQ","FILING_STATUS=OR","EQY_CONSOLIDATED=Y","Sort=A","Dates=H","DateFormat=P","Fill=—","Direction=H","UseDPDF=Y")</f>
        <v>#NAME?</v>
      </c>
      <c r="BN86" s="1" t="e">
        <f ca="1">_xll.BDH($C$78,"FIXED_ASSETS_SEQUENTIAL_GROWTH","FQ3 2015","FQ3 2015","Currency=INR","Period=FQ","BEST_FPERIOD_OVERRIDE=FQ","FILING_STATUS=OR","EQY_CONSOLIDATED=Y","Sort=A","Dates=H","DateFormat=P","Fill=—","Direction=H","UseDPDF=Y")</f>
        <v>#NAME?</v>
      </c>
      <c r="BO86" s="1" t="e">
        <f ca="1">_xll.BDH($C$78,"TOTAL_ASSETS_SEQUENTIAL_GROWTH","FQ3 2015","FQ3 2015","Currency=INR","Period=FQ","BEST_FPERIOD_OVERRIDE=FQ","FILING_STATUS=OR","EQY_CONSOLIDATED=Y","Sort=A","Dates=H","DateFormat=P","Fill=—","Direction=H","UseDPDF=Y")</f>
        <v>#NAME?</v>
      </c>
      <c r="BP86" s="1" t="e">
        <f ca="1">_xll.BDH($C$78,"MODIFIED_WORKING_CPTL_SEQ_GRWTH","FQ3 2015","FQ3 2015","Currency=INR","Period=FQ","BEST_FPERIOD_OVERRIDE=FQ","FILING_STATUS=OR","EQY_CONSOLIDATED=Y","Sort=A","Dates=H","DateFormat=P","Fill=—","Direction=H","UseDPDF=Y")</f>
        <v>#NAME?</v>
      </c>
      <c r="BQ86" s="1" t="e">
        <f ca="1">_xll.BDH($C$78,"WORKING_CAPITAL_SEQ_GROWTH","FQ3 2015","FQ3 2015","Currency=INR","Period=FQ","BEST_FPERIOD_OVERRIDE=FQ","FILING_STATUS=OR","EQY_CONSOLIDATED=Y","Sort=A","Dates=H","DateFormat=P","Fill=—","Direction=H","UseDPDF=Y")</f>
        <v>#NAME?</v>
      </c>
      <c r="BR86" s="1" t="e">
        <f ca="1">_xll.BDH($C$78,"ACCOUNTS_PAYABLE_SEQ_GROWTH","FQ3 2015","FQ3 2015","Currency=INR","Period=FQ","BEST_FPERIOD_OVERRIDE=FQ","FILING_STATUS=OR","EQY_CONSOLIDATED=Y","Sort=A","Dates=H","DateFormat=P","Fill=—","Direction=H","UseDPDF=Y")</f>
        <v>#NAME?</v>
      </c>
      <c r="BS86" s="1" t="e">
        <f ca="1">_xll.BDH($C$78,"ST_DEBT_SEQUENTIAL_GROWTH","FQ3 2015","FQ3 2015","Currency=INR","Period=FQ","BEST_FPERIOD_OVERRIDE=FQ","FILING_STATUS=OR","EQY_CONSOLIDATED=Y","Sort=A","Dates=H","DateFormat=P","Fill=—","Direction=H","UseDPDF=Y")</f>
        <v>#NAME?</v>
      </c>
      <c r="BT86" s="1" t="e">
        <f ca="1">_xll.BDH($C$78,"TOTAL_DEBT_SEQUENTIAL_GROWTH","FQ3 2015","FQ3 2015","Currency=INR","Period=FQ","BEST_FPERIOD_OVERRIDE=FQ","FILING_STATUS=OR","EQY_CONSOLIDATED=Y","Sort=A","Dates=H","DateFormat=P","Fill=—","Direction=H","UseDPDF=Y")</f>
        <v>#NAME?</v>
      </c>
      <c r="BU86" s="1" t="e">
        <f ca="1">_xll.BDH($C$78,"TOTAL_EQUITY_SEQUENTIAL_GROWTH","FQ3 2015","FQ3 2015","Currency=INR","Period=FQ","BEST_FPERIOD_OVERRIDE=FQ","FILING_STATUS=OR","EQY_CONSOLIDATED=Y","Sort=A","Dates=H","DateFormat=P","Fill=—","Direction=H","UseDPDF=Y")</f>
        <v>#NAME?</v>
      </c>
      <c r="BV86" s="1" t="e">
        <f ca="1">_xll.BDH($C$78,"TOTAL_CAPITAL_SEQUENTIAL_GROWTH","FQ3 2015","FQ3 2015","Currency=INR","Period=FQ","BEST_FPERIOD_OVERRIDE=FQ","FILING_STATUS=OR","EQY_CONSOLIDATED=Y","Sort=A","Dates=H","DateFormat=P","Fill=—","Direction=H","UseDPDF=Y")</f>
        <v>#NAME?</v>
      </c>
      <c r="BW86" s="1" t="e">
        <f ca="1">_xll.BDH($C$78,"BPS_SEQUENTIAL_GROWTH","FQ3 2015","FQ3 2015","Currency=INR","Period=FQ","BEST_FPERIOD_OVERRIDE=FQ","FILING_STATUS=OR","EQY_CONSOLIDATED=Y","Sort=A","Dates=H","DateFormat=P","Fill=—","Direction=H","UseDPDF=Y")</f>
        <v>#NAME?</v>
      </c>
      <c r="BX86" s="1" t="e">
        <f ca="1">_xll.BDH($C$78,"CFO_SEQUENTIAL_GROWTH","FQ3 2015","FQ3 2015","Currency=INR","Period=FQ","BEST_FPERIOD_OVERRIDE=FQ","FILING_STATUS=OR","EQY_CONSOLIDATED=Y","Sort=A","Dates=H","DateFormat=P","Fill=—","Direction=H","UseDPDF=Y")</f>
        <v>#NAME?</v>
      </c>
      <c r="BY86" s="2" t="e">
        <f ca="1">_xll.BDH($C$78,"SHORT_AND_LONG_TERM_DEBT","FQ3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86" s="2" t="e">
        <f ca="1">_xll.BDH($C$78,"BS_ST_BORROW","FQ3 2015","FQ3 2015","Currency=INR","Period=FQ","BEST_FPERIOD_OVERRIDE=FQ","FILING_STATUS=OR","EQY_CONSOLIDATED=Y","SCALING_FORMAT=MLN","Sort=A","Dates=H","DateFormat=P","Fill=—","Direction=H","UseDPDF=Y")</f>
        <v>#NAME?</v>
      </c>
      <c r="CA86" s="2" t="e">
        <f ca="1">_xll.BDH($C$78,"BS_LT_BORROW","FQ3 2015","FQ3 2015","Currency=INR","Period=FQ","BEST_FPERIOD_OVERRIDE=FQ","FILING_STATUS=OR","EQY_CONSOLIDATED=Y","SCALING_FORMAT=MLN","Sort=A","Dates=H","DateFormat=P","Fill=—","Direction=H","UseDPDF=Y")</f>
        <v>#NAME?</v>
      </c>
      <c r="CB86" s="1" t="e">
        <f ca="1">_xll.BDH($C$78,"TOT_DEBT_TO_EBITDA","FQ3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86" s="1" t="e">
        <f ca="1">_xll.BDH($C$78,"NET_DEBT_TO_EBITDA","FQ3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86" s="1" t="e">
        <f ca="1">_xll.BDH($C$78,"TOTAL_DEBT_TO_EBIT","FQ3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86" s="1" t="e">
        <f ca="1">_xll.BDH($C$78,"NET_DEBT_TO_EBIT","FQ3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86" s="1" t="e">
        <f ca="1">_xll.BDH($C$78,"EBITDA_TO_INTEREST_EXPN","FQ3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86" s="1" t="e">
        <f ca="1">_xll.BDH($C$78,"COM_EQY_TO_TOT_ASSET","FQ3 2015","FQ3 2015","Currency=INR","Period=FQ","BEST_FPERIOD_OVERRIDE=FQ","FILING_STATUS=OR","EQY_CONSOLIDATED=Y","Sort=A","Dates=H","DateFormat=P","Fill=—","Direction=H","UseDPDF=Y")</f>
        <v>#NAME?</v>
      </c>
      <c r="CH86" s="1" t="e">
        <f ca="1">_xll.BDH($C$78,"LT_DEBT_TO_TOT_EQY","FQ3 2015","FQ3 2015","Currency=INR","Period=FQ","BEST_FPERIOD_OVERRIDE=FQ","FILING_STATUS=OR","EQY_CONSOLIDATED=Y","Sort=A","Dates=H","DateFormat=P","Fill=—","Direction=H","UseDPDF=Y")</f>
        <v>#NAME?</v>
      </c>
      <c r="CI86" s="1" t="e">
        <f ca="1">_xll.BDH($C$78,"LT_DEBT_TO_TOT_CAP","FQ3 2015","FQ3 2015","Currency=INR","Period=FQ","BEST_FPERIOD_OVERRIDE=FQ","FILING_STATUS=OR","EQY_CONSOLIDATED=Y","Sort=A","Dates=H","DateFormat=P","Fill=—","Direction=H","UseDPDF=Y")</f>
        <v>#NAME?</v>
      </c>
      <c r="CJ86" s="1" t="e">
        <f ca="1">_xll.BDH($C$78,"LT_DEBT_TO_TOT_ASSET","FQ3 2015","FQ3 2015","Currency=INR","Period=FQ","BEST_FPERIOD_OVERRIDE=FQ","FILING_STATUS=OR","EQY_CONSOLIDATED=Y","Sort=A","Dates=H","DateFormat=P","Fill=—","Direction=H","UseDPDF=Y")</f>
        <v>#NAME?</v>
      </c>
      <c r="CK86" s="1" t="e">
        <f ca="1">_xll.BDH($C$78,"TOT_DEBT_TO_TOT_EQY","FQ3 2015","FQ3 2015","Currency=INR","Period=FQ","BEST_FPERIOD_OVERRIDE=FQ","FILING_STATUS=OR","EQY_CONSOLIDATED=Y","Sort=A","Dates=H","DateFormat=P","Fill=—","Direction=H","UseDPDF=Y")</f>
        <v>#NAME?</v>
      </c>
      <c r="CL86" s="1" t="e">
        <f ca="1">_xll.BDH($C$78,"TOT_DEBT_TO_TOT_CAP","FQ3 2015","FQ3 2015","Currency=INR","Period=FQ","BEST_FPERIOD_OVERRIDE=FQ","FILING_STATUS=OR","EQY_CONSOLIDATED=Y","Sort=A","Dates=H","DateFormat=P","Fill=—","Direction=H","UseDPDF=Y")</f>
        <v>#NAME?</v>
      </c>
      <c r="CM86" s="1" t="e">
        <f ca="1">_xll.BDH($C$78,"TOT_DEBT_TO_TOT_ASSET","FQ3 2015","FQ3 2015","Currency=INR","Period=FQ","BEST_FPERIOD_OVERRIDE=FQ","FILING_STATUS=OR","EQY_CONSOLIDATED=Y","Sort=A","Dates=H","DateFormat=P","Fill=—","Direction=H","UseDPDF=Y")</f>
        <v>#NAME?</v>
      </c>
      <c r="CN86" s="1" t="e">
        <f ca="1">_xll.BDH($C$78,"NET_DEBT_TO_SHRHLDR_EQTY","FQ3 2015","FQ3 2015","Currency=INR","Period=FQ","BEST_FPERIOD_OVERRIDE=FQ","FILING_STATUS=OR","EQY_CONSOLIDATED=Y","Sort=A","Dates=H","DateFormat=P","Fill=—","Direction=H","UseDPDF=Y")</f>
        <v>#NAME?</v>
      </c>
      <c r="CO86" s="1" t="e">
        <f ca="1">_xll.BDH($C$78,"NET_DEBT_%_CAPITAL","FQ3 2015","FQ3 2015","Currency=INR","Period=FQ","BEST_FPERIOD_OVERRIDE=FQ","FILING_STATUS=OR","EQY_CONSOLIDATED=Y","Sort=A","Dates=H","DateFormat=P","Fill=—","Direction=H","UseDPDF=Y")</f>
        <v>#NAME?</v>
      </c>
      <c r="CP86" s="2" t="e">
        <f ca="1">_xll.BDH($C$78,"EBITDA","FQ3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86" s="2" t="e">
        <f ca="1">_xll.BDH($C$78,"EBITDA_AFTER_CAPEX","FQ3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86" s="2" t="e">
        <f ca="1">_xll.BDH($C$78,"IS_OPER_INC","FQ3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86" s="1" t="e">
        <f ca="1">_xll.BDH($C$78,"CASH_RATIO","FQ3 2015","FQ3 2015","Currency=INR","Period=FQ","BEST_FPERIOD_OVERRIDE=FQ","FILING_STATUS=OR","EQY_CONSOLIDATED=Y","Sort=A","Dates=H","DateFormat=P","Fill=—","Direction=H","UseDPDF=Y")</f>
        <v>#NAME?</v>
      </c>
      <c r="CT86" s="1" t="e">
        <f ca="1">_xll.BDH($C$78,"CUR_RATIO","FQ3 2015","FQ3 2015","Currency=INR","Period=FQ","BEST_FPERIOD_OVERRIDE=FQ","FILING_STATUS=OR","EQY_CONSOLIDATED=Y","Sort=A","Dates=H","DateFormat=P","Fill=—","Direction=H","UseDPDF=Y")</f>
        <v>#NAME?</v>
      </c>
      <c r="CU86" s="1" t="e">
        <f ca="1">_xll.BDH($C$78,"QUICK_RATIO","FQ3 2015","FQ3 2015","Currency=INR","Period=FQ","BEST_FPERIOD_OVERRIDE=FQ","FILING_STATUS=OR","EQY_CONSOLIDATED=Y","Sort=A","Dates=H","DateFormat=P","Fill=—","Direction=H","UseDPDF=Y")</f>
        <v>#NAME?</v>
      </c>
      <c r="CV86" s="1" t="e">
        <f ca="1">_xll.BDH($C$78,"ALTMAN_Z_SCORE","FQ3 2015","FQ3 2015","Currency=INR","Period=FQ","BEST_FPERIOD_OVERRIDE=FQ","FILING_STATUS=OR","EQY_CONSOLIDATED=Y","Sort=A","Dates=H","DateFormat=P","Fill=—","Direction=H","UseDPDF=Y")</f>
        <v>#NAME?</v>
      </c>
      <c r="CW86" s="3" t="e">
        <f ca="1">_xll.BDH($C$78,"ACCT_RCV_TURN","FQ3 2015","FQ3 2015","Currency=INR","Period=FQ","BEST_FPERIOD_OVERRIDE=FQ","FILING_STATUS=OR","EQY_CONSOLIDATED=Y","FA_ADJUSTED=GAAP","Sort=A","Dates=H","DateFormat=P","Fill=—","Direction=H","UseDPDF=Y")</f>
        <v>#NAME?</v>
      </c>
      <c r="CX86" s="1" t="e">
        <f ca="1">_xll.BDH($C$78,"ACCT_RCV_DAYS","FQ3 2015","FQ3 2015","Currency=INR","Period=FQ","BEST_FPERIOD_OVERRIDE=FQ","FILING_STATUS=OR","EQY_CONSOLIDATED=Y","FA_ADJUSTED=GAAP","Sort=A","Dates=H","DateFormat=P","Fill=—","Direction=H","UseDPDF=Y")</f>
        <v>#NAME?</v>
      </c>
      <c r="CY86" s="3" t="e">
        <f ca="1">_xll.BDH($C$78,"INVENT_TURN","FQ3 2015","FQ3 2015","Currency=INR","Period=FQ","BEST_FPERIOD_OVERRIDE=FQ","FILING_STATUS=OR","EQY_CONSOLIDATED=Y","FA_ADJUSTED=GAAP","Sort=A","Dates=H","DateFormat=P","Fill=—","Direction=H","UseDPDF=Y")</f>
        <v>#NAME?</v>
      </c>
      <c r="CZ86" s="1" t="e">
        <f ca="1">_xll.BDH($C$78,"INVENT_DAYS","FQ3 2015","FQ3 2015","Currency=INR","Period=FQ","BEST_FPERIOD_OVERRIDE=FQ","FILING_STATUS=OR","EQY_CONSOLIDATED=Y","FA_ADJUSTED=GAAP","Sort=A","Dates=H","DateFormat=P","Fill=—","Direction=H","UseDPDF=Y")</f>
        <v>#NAME?</v>
      </c>
      <c r="DA86" s="3" t="e">
        <f ca="1">_xll.BDH($C$78,"ACCOUNTS_PAYABLE_TURNOVER","FQ3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86" s="1" t="e">
        <f ca="1">_xll.BDH($C$78,"ACCOUNTS_PAYABLE_TURNOVER_DAYS","FQ3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86" s="3" t="e">
        <f ca="1">_xll.BDH($C$78,"CASH_CONVERSION_CYCLE","FQ3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86" s="3" t="e">
        <f ca="1">_xll.BDH($C$78,"INV_TO_CASH_DAYS","FQ3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86" s="4" t="e">
        <f ca="1">_xll.BDH($C$78,"BS_INVENTORIES","FQ3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86" s="2" t="e">
        <f ca="1">_xll.BDH($C$78,"INVTRY_RAW_MATERIALS","FQ3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86" s="2" t="e">
        <f ca="1">_xll.BDH($C$78,"INVTRY_IN_PROGRESS","FQ3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86" s="2" t="e">
        <f ca="1">_xll.BDH($C$78,"INVTRY_FINISHED_GOODS","FQ3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86" s="2" t="e">
        <f ca="1">_xll.BDH($C$78,"BS_OTHER_INV","FQ3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87" spans="1:113" x14ac:dyDescent="0.3">
      <c r="A87" s="6"/>
      <c r="B87" s="6"/>
      <c r="C87" s="6"/>
      <c r="D87" s="6"/>
      <c r="E87" t="s">
        <v>7</v>
      </c>
      <c r="F87" t="e">
        <f ca="1">_xll.BDH($C$78,"RETURN_COM_EQY","FQ4 2015","FQ4 2015","Currency=INR","Period=FQ","BEST_FPERIOD_OVERRIDE=FQ","FILING_STATUS=OR","EQY_CONSOLIDATED=Y","FA_ADJUSTED=GAAP","Sort=A","Dates=H","DateFormat=P","Fill=—","Direction=H","UseDPDF=Y")</f>
        <v>#NAME?</v>
      </c>
      <c r="G87" t="e">
        <f ca="1">_xll.BDH($C$78,"RETURN_ON_ASSET","FQ4 2015","FQ4 2015","Currency=INR","Period=FQ","BEST_FPERIOD_OVERRIDE=FQ","FILING_STATUS=OR","EQY_CONSOLIDATED=Y","FA_ADJUSTED=GAAP","Sort=A","Dates=H","DateFormat=P","Fill=—","Direction=H","UseDPDF=Y")</f>
        <v>#NAME?</v>
      </c>
      <c r="H87" t="e">
        <f ca="1">_xll.BDH($C$78,"RETURN_ON_CAP","FQ4 2015","FQ4 2015","Currency=INR","Period=FQ","BEST_FPERIOD_OVERRIDE=FQ","FILING_STATUS=OR","EQY_CONSOLIDATED=Y","FA_ADJUSTED=GAAP","Sort=A","Dates=H","DateFormat=P","Fill=—","Direction=H","UseDPDF=Y")</f>
        <v>#NAME?</v>
      </c>
      <c r="I87" t="e">
        <f ca="1">_xll.BDH($C$78,"RETURN_ON_INV_CAPITAL","FQ4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87" t="e">
        <f ca="1">_xll.BDH($C$78,"EBITDA_TO_REVENUE","FQ4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87" t="e">
        <f ca="1">_xll.BDH($C$78,"OPER_MARGIN","FQ4 2015","FQ4 2015","Currency=INR","Period=FQ","BEST_FPERIOD_OVERRIDE=FQ","FILING_STATUS=OR","EQY_CONSOLIDATED=Y","FA_ADJUSTED=GAAP","Sort=A","Dates=H","DateFormat=P","Fill=—","Direction=H","UseDPDF=Y")</f>
        <v>#NAME?</v>
      </c>
      <c r="L87" t="e">
        <f ca="1">_xll.BDH($C$78,"INCREMENTAL_OPERATING_MARGIN","FQ4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87" t="e">
        <f ca="1">_xll.BDH($C$78,"PRETAX_INC_TO_NET_SALES","FQ4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87" t="e">
        <f ca="1">_xll.BDH($C$78,"INC_BEF_XO_ITEMS_TO_NET_SALES","FQ4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87" t="e">
        <f ca="1">_xll.BDH($C$78,"PROF_MARGIN","FQ4 2015","FQ4 2015","Currency=INR","Period=FQ","BEST_FPERIOD_OVERRIDE=FQ","FILING_STATUS=OR","EQY_CONSOLIDATED=Y","FA_ADJUSTED=GAAP","Sort=A","Dates=H","DateFormat=P","Fill=—","Direction=H","UseDPDF=Y")</f>
        <v>#NAME?</v>
      </c>
      <c r="P87" t="e">
        <f ca="1">_xll.BDH($C$78,"NET_INCOME_TO_COMMON_MARGIN","FQ4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87" t="e">
        <f ca="1">_xll.BDH($C$78,"EFF_TAX_RATE","FQ4 2015","FQ4 2015","Currency=INR","Period=FQ","BEST_FPERIOD_OVERRIDE=FQ","FILING_STATUS=OR","EQY_CONSOLIDATED=Y","FA_ADJUSTED=GAAP","Sort=A","Dates=H","DateFormat=P","Fill=—","Direction=H","UseDPDF=Y")</f>
        <v>#NAME?</v>
      </c>
      <c r="R87" t="e">
        <f ca="1">_xll.BDH($C$78,"DVD_PAYOUT_RATIO","FQ4 2015","FQ4 2015","Currency=INR","Period=FQ","BEST_FPERIOD_OVERRIDE=FQ","FILING_STATUS=OR","EQY_CONSOLIDATED=Y","FA_ADJUSTED=GAAP","Sort=A","Dates=H","DateFormat=P","Fill=—","Direction=H","UseDPDF=Y")</f>
        <v>#NAME?</v>
      </c>
      <c r="S87" t="e">
        <f ca="1">_xll.BDH($C$78,"SUSTAIN_GROWTH_RT","FQ4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87" s="1" t="e">
        <f ca="1">_xll.BDH($C$78,"SALES_GROWTH","FQ4 2015","FQ4 2015","Currency=INR","Period=FQ","BEST_FPERIOD_OVERRIDE=FQ","FILING_STATUS=OR","EQY_CONSOLIDATED=Y","FA_ADJUSTED=GAAP","Sort=A","Dates=H","DateFormat=P","Fill=—","Direction=H","UseDPDF=Y")</f>
        <v>#NAME?</v>
      </c>
      <c r="U87" s="1" t="e">
        <f ca="1">_xll.BDH($C$78,"EBITDA_GROWTH","FQ4 2015","FQ4 2015","Currency=INR","Period=FQ","BEST_FPERIOD_OVERRIDE=FQ","FILING_STATUS=OR","EQY_CONSOLIDATED=Y","FA_ADJUSTED=GAAP","Sort=A","Dates=H","DateFormat=P","Fill=—","Direction=H","UseDPDF=Y")</f>
        <v>#NAME?</v>
      </c>
      <c r="V87" s="1" t="e">
        <f ca="1">_xll.BDH($C$78,"OPER_INC_GROWTH","FQ4 2015","FQ4 2015","Currency=INR","Period=FQ","BEST_FPERIOD_OVERRIDE=FQ","FILING_STATUS=OR","EQY_CONSOLIDATED=Y","FA_ADJUSTED=GAAP","Sort=A","Dates=H","DateFormat=P","Fill=—","Direction=H","UseDPDF=Y")</f>
        <v>#NAME?</v>
      </c>
      <c r="W87" s="1" t="e">
        <f ca="1">_xll.BDH($C$78,"EARN_FOR_COM_GROWTH","FQ4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87" s="1" t="e">
        <f ca="1">_xll.BDH($C$78,"DILUTED_EPS_AFT_XO_ITEMS_GROWTH","FQ4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87" s="1" t="e">
        <f ca="1">_xll.BDH($C$78,"DIVIDEND_PER_SHARE_1_YEAR_GROWTH","FQ4 2015","FQ4 2015","Currency=INR","Period=FQ","BEST_FPERIOD_OVERRIDE=FQ","FILING_STATUS=OR","EQY_CONSOLIDATED=Y","Sort=A","Dates=H","DateFormat=P","Fill=—","Direction=H","UseDPDF=Y")</f>
        <v>#NAME?</v>
      </c>
      <c r="Z87" s="1" t="e">
        <f ca="1">_xll.BDH($C$78,"ACCOUNTS_RECEIVABLE_GROWTH","FQ4 2015","FQ4 2015","Currency=INR","Period=FQ","BEST_FPERIOD_OVERRIDE=FQ","FILING_STATUS=OR","EQY_CONSOLIDATED=Y","Sort=A","Dates=H","DateFormat=P","Fill=—","Direction=H","UseDPDF=Y")</f>
        <v>#NAME?</v>
      </c>
      <c r="AA87" s="1" t="e">
        <f ca="1">_xll.BDH($C$78,"INVENTORY_GROWTH","FQ4 2015","FQ4 2015","Currency=INR","Period=FQ","BEST_FPERIOD_OVERRIDE=FQ","FILING_STATUS=OR","EQY_CONSOLIDATED=Y","Sort=A","Dates=H","DateFormat=P","Fill=—","Direction=H","UseDPDF=Y")</f>
        <v>#NAME?</v>
      </c>
      <c r="AB87" s="1" t="e">
        <f ca="1">_xll.BDH($C$78,"NET_FIXED_ASSETS_1_YEAR_GROWTH","FQ4 2015","FQ4 2015","Currency=INR","Period=FQ","BEST_FPERIOD_OVERRIDE=FQ","FILING_STATUS=OR","EQY_CONSOLIDATED=Y","Sort=A","Dates=H","DateFormat=P","Fill=—","Direction=H","UseDPDF=Y")</f>
        <v>#NAME?</v>
      </c>
      <c r="AC87" s="1" t="e">
        <f ca="1">_xll.BDH($C$78,"ASSET_GROWTH","FQ4 2015","FQ4 2015","Currency=INR","Period=FQ","BEST_FPERIOD_OVERRIDE=FQ","FILING_STATUS=OR","EQY_CONSOLIDATED=Y","Sort=A","Dates=H","DateFormat=P","Fill=—","Direction=H","UseDPDF=Y")</f>
        <v>#NAME?</v>
      </c>
      <c r="AD87" s="1" t="e">
        <f ca="1">_xll.BDH($C$78,"MODIFIED_WORK_CAP_GROWTH","FQ4 2015","FQ4 2015","Currency=INR","Period=FQ","BEST_FPERIOD_OVERRIDE=FQ","FILING_STATUS=OR","EQY_CONSOLIDATED=Y","Sort=A","Dates=H","DateFormat=P","Fill=—","Direction=H","UseDPDF=Y")</f>
        <v>#NAME?</v>
      </c>
      <c r="AE87" s="1" t="e">
        <f ca="1">_xll.BDH($C$78,"WORK_CAP_GROWTH","FQ4 2015","FQ4 2015","Currency=INR","Period=FQ","BEST_FPERIOD_OVERRIDE=FQ","FILING_STATUS=OR","EQY_CONSOLIDATED=Y","Sort=A","Dates=H","DateFormat=P","Fill=—","Direction=H","UseDPDF=Y")</f>
        <v>#NAME?</v>
      </c>
      <c r="AF87" s="1" t="e">
        <f ca="1">_xll.BDH($C$78,"ACCOUNTS_PAYABLE_GROWTH_1YR","FQ4 2015","FQ4 2015","Currency=INR","Period=FQ","BEST_FPERIOD_OVERRIDE=FQ","FILING_STATUS=OR","EQY_CONSOLIDATED=Y","Sort=A","Dates=H","DateFormat=P","Fill=—","Direction=H","UseDPDF=Y")</f>
        <v>#NAME?</v>
      </c>
      <c r="AG87" s="1" t="e">
        <f ca="1">_xll.BDH($C$78,"SHORT_TERM_DEBT_1_YEAR_GROWTH","FQ4 2015","FQ4 2015","Currency=INR","Period=FQ","BEST_FPERIOD_OVERRIDE=FQ","FILING_STATUS=OR","EQY_CONSOLIDATED=Y","Sort=A","Dates=H","DateFormat=P","Fill=—","Direction=H","UseDPDF=Y")</f>
        <v>#NAME?</v>
      </c>
      <c r="AH87" s="1" t="e">
        <f ca="1">_xll.BDH($C$78,"TOTAL_DEBT_1_YEAR_GROWTH","FQ4 2015","FQ4 2015","Currency=INR","Period=FQ","BEST_FPERIOD_OVERRIDE=FQ","FILING_STATUS=OR","EQY_CONSOLIDATED=Y","Sort=A","Dates=H","DateFormat=P","Fill=—","Direction=H","UseDPDF=Y")</f>
        <v>#NAME?</v>
      </c>
      <c r="AI87" s="1" t="e">
        <f ca="1">_xll.BDH($C$78,"TOTAL_EQUITY_1_YEAR_GROWTH","FQ4 2015","FQ4 2015","Currency=INR","Period=FQ","BEST_FPERIOD_OVERRIDE=FQ","FILING_STATUS=OR","EQY_CONSOLIDATED=Y","Sort=A","Dates=H","DateFormat=P","Fill=—","Direction=H","UseDPDF=Y")</f>
        <v>#NAME?</v>
      </c>
      <c r="AJ87" s="1" t="e">
        <f ca="1">_xll.BDH($C$78,"GROWTH_IN_CAP","FQ4 2015","FQ4 2015","Currency=INR","Period=FQ","BEST_FPERIOD_OVERRIDE=FQ","FILING_STATUS=OR","EQY_CONSOLIDATED=Y","Sort=A","Dates=H","DateFormat=P","Fill=—","Direction=H","UseDPDF=Y")</f>
        <v>#NAME?</v>
      </c>
      <c r="AK87" s="1" t="e">
        <f ca="1">_xll.BDH($C$78,"BVPS_GROWTH","FQ4 2015","FQ4 2015","Currency=INR","Period=FQ","BEST_FPERIOD_OVERRIDE=FQ","FILING_STATUS=OR","EQY_CONSOLIDATED=Y","Sort=A","Dates=H","DateFormat=P","Fill=—","Direction=H","UseDPDF=Y")</f>
        <v>#NAME?</v>
      </c>
      <c r="AL87" s="1" t="e">
        <f ca="1">_xll.BDH($C$78,"CASH_FLOW_GROWTH","FQ4 2015","FQ4 2015","Currency=INR","Period=FQ","BEST_FPERIOD_OVERRIDE=FQ","FILING_STATUS=OR","EQY_CONSOLIDATED=Y","Sort=A","Dates=H","DateFormat=P","Fill=—","Direction=H","UseDPDF=Y")</f>
        <v>#NAME?</v>
      </c>
      <c r="AM87" s="1" t="e">
        <f ca="1">_xll.BDH($C$78,"GEO_GROW_NET_SALES","FQ4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87" s="1" t="e">
        <f ca="1">_xll.BDH($C$78,"GEO_GROW_EBITDA","FQ4 2015","FQ4 2015","Currency=INR","Period=FQ","BEST_FPERIOD_OVERRIDE=FQ","FILING_STATUS=OR","EQY_CONSOLIDATED=Y","FA_ADJUSTED=GAAP","Sort=A","Dates=H","DateFormat=P","Fill=—","Direction=H","UseDPDF=Y")</f>
        <v>#NAME?</v>
      </c>
      <c r="AO87" s="1" t="e">
        <f ca="1">_xll.BDH($C$78,"GEO_GROW_OPER_INC","FQ4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87" s="1" t="e">
        <f ca="1">_xll.BDH($C$78,"NET_INCOME_TO_COMMON_5_YR_GROWTH","FQ4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87" s="1" t="e">
        <f ca="1">_xll.BDH($C$78,"5Y_GEO_GROWTH_DILUTED_EPS","FQ4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87" s="1" t="e">
        <f ca="1">_xll.BDH($C$78,"GEO_GROW_DVD_PER_SH","FQ4 2015","FQ4 2015","Currency=INR","Period=FQ","BEST_FPERIOD_OVERRIDE=FQ","FILING_STATUS=OR","EQY_CONSOLIDATED=Y","Sort=A","Dates=H","DateFormat=P","Fill=—","Direction=H","UseDPDF=Y")</f>
        <v>#NAME?</v>
      </c>
      <c r="AS87" s="1" t="e">
        <f ca="1">_xll.BDH($C$78,"ACCOUNTS_RECEIVABLE_5_YR_GROWTH","FQ4 2015","FQ4 2015","Currency=INR","Period=FQ","BEST_FPERIOD_OVERRIDE=FQ","FILING_STATUS=OR","EQY_CONSOLIDATED=Y","Sort=A","Dates=H","DateFormat=P","Fill=—","Direction=H","UseDPDF=Y")</f>
        <v>#NAME?</v>
      </c>
      <c r="AT87" s="1" t="e">
        <f ca="1">_xll.BDH($C$78,"INVENTORY_5_YEAR_GROWTH","FQ4 2015","FQ4 2015","Currency=INR","Period=FQ","BEST_FPERIOD_OVERRIDE=FQ","FILING_STATUS=OR","EQY_CONSOLIDATED=Y","Sort=A","Dates=H","DateFormat=P","Fill=—","Direction=H","UseDPDF=Y")</f>
        <v>#NAME?</v>
      </c>
      <c r="AU87" s="1" t="e">
        <f ca="1">_xll.BDH($C$78,"NET_FIXED_ASSETS_5_YEAR_GROWTH","FQ4 2015","FQ4 2015","Currency=INR","Period=FQ","BEST_FPERIOD_OVERRIDE=FQ","FILING_STATUS=OR","EQY_CONSOLIDATED=Y","Sort=A","Dates=H","DateFormat=P","Fill=—","Direction=H","UseDPDF=Y")</f>
        <v>#NAME?</v>
      </c>
      <c r="AV87" s="1" t="e">
        <f ca="1">_xll.BDH($C$78,"GEO_GROW_TOT_ASSET","FQ4 2015","FQ4 2015","Currency=INR","Period=FQ","BEST_FPERIOD_OVERRIDE=FQ","FILING_STATUS=OR","EQY_CONSOLIDATED=Y","Sort=A","Dates=H","DateFormat=P","Fill=—","Direction=H","UseDPDF=Y")</f>
        <v>#NAME?</v>
      </c>
      <c r="AW87" s="1" t="e">
        <f ca="1">_xll.BDH($C$78,"MODIFIED_WORKING_CPTL_5YR_GRWTH","FQ4 2015","FQ4 2015","Currency=INR","Period=FQ","BEST_FPERIOD_OVERRIDE=FQ","FILING_STATUS=OR","EQY_CONSOLIDATED=Y","Sort=A","Dates=H","DateFormat=P","Fill=—","Direction=H","UseDPDF=Y")</f>
        <v>#NAME?</v>
      </c>
      <c r="AX87" s="1" t="e">
        <f ca="1">_xll.BDH($C$78,"WORKING_CAPITAL_5_YEAR_GROWTH","FQ4 2015","FQ4 2015","Currency=INR","Period=FQ","BEST_FPERIOD_OVERRIDE=FQ","FILING_STATUS=OR","EQY_CONSOLIDATED=Y","Sort=A","Dates=H","DateFormat=P","Fill=—","Direction=H","UseDPDF=Y")</f>
        <v>#NAME?</v>
      </c>
      <c r="AY87" s="1" t="e">
        <f ca="1">_xll.BDH($C$78,"ACCOUNTS_PAYABLE_5_YEAR_GROWTH","FQ4 2015","FQ4 2015","Currency=INR","Period=FQ","BEST_FPERIOD_OVERRIDE=FQ","FILING_STATUS=OR","EQY_CONSOLIDATED=Y","Sort=A","Dates=H","DateFormat=P","Fill=—","Direction=H","UseDPDF=Y")</f>
        <v>#NAME?</v>
      </c>
      <c r="AZ87" s="1" t="e">
        <f ca="1">_xll.BDH($C$78,"SHORT_TERM_DEBT_5_YEAR_GROWTH","FQ4 2015","FQ4 2015","Currency=INR","Period=FQ","BEST_FPERIOD_OVERRIDE=FQ","FILING_STATUS=OR","EQY_CONSOLIDATED=Y","Sort=A","Dates=H","DateFormat=P","Fill=—","Direction=H","UseDPDF=Y")</f>
        <v>#NAME?</v>
      </c>
      <c r="BA87" s="1" t="e">
        <f ca="1">_xll.BDH($C$78,"TOTAL_DEBT_5_YEAR_GROWTH","FQ4 2015","FQ4 2015","Currency=INR","Period=FQ","BEST_FPERIOD_OVERRIDE=FQ","FILING_STATUS=OR","EQY_CONSOLIDATED=Y","Sort=A","Dates=H","DateFormat=P","Fill=—","Direction=H","UseDPDF=Y")</f>
        <v>#NAME?</v>
      </c>
      <c r="BB87" s="1" t="e">
        <f ca="1">_xll.BDH($C$78,"GEO_GROW_TOT_SHRHLDR_EQY","FQ4 2015","FQ4 2015","Currency=INR","Period=FQ","BEST_FPERIOD_OVERRIDE=FQ","FILING_STATUS=OR","EQY_CONSOLIDATED=Y","Sort=A","Dates=H","DateFormat=P","Fill=—","Direction=H","UseDPDF=Y")</f>
        <v>#NAME?</v>
      </c>
      <c r="BC87" s="1" t="e">
        <f ca="1">_xll.BDH($C$78,"TOTAL_CAPITAL_5_YEAR_GROWTH","FQ4 2015","FQ4 2015","Currency=INR","Period=FQ","BEST_FPERIOD_OVERRIDE=FQ","FILING_STATUS=OR","EQY_CONSOLIDATED=Y","Sort=A","Dates=H","DateFormat=P","Fill=—","Direction=H","UseDPDF=Y")</f>
        <v>#NAME?</v>
      </c>
      <c r="BD87" s="1" t="e">
        <f ca="1">_xll.BDH($C$78,"GEO_GROW_BOOK_VAL","FQ4 2015","FQ4 2015","Currency=INR","Period=FQ","BEST_FPERIOD_OVERRIDE=FQ","FILING_STATUS=OR","EQY_CONSOLIDATED=Y","Sort=A","Dates=H","DateFormat=P","Fill=—","Direction=H","UseDPDF=Y")</f>
        <v>#NAME?</v>
      </c>
      <c r="BE87" s="1" t="e">
        <f ca="1">_xll.BDH($C$78,"GEO_GROW_CASH_OPER_ACT","FQ4 2015","FQ4 2015","Currency=INR","Period=FQ","BEST_FPERIOD_OVERRIDE=FQ","FILING_STATUS=OR","EQY_CONSOLIDATED=Y","Sort=A","Dates=H","DateFormat=P","Fill=—","Direction=H","UseDPDF=Y")</f>
        <v>#NAME?</v>
      </c>
      <c r="BF87" s="1" t="e">
        <f ca="1">_xll.BDH($C$78,"REVENUE_SEQUENTIAL_GROWTH","FQ4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87" s="1" t="e">
        <f ca="1">_xll.BDH($C$78,"EBITDA_SEQUENTIAL_GROWTH","FQ4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87" s="1" t="e">
        <f ca="1">_xll.BDH($C$78,"OPERATING_INCOME_SEQ_GROWTH","FQ4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87" s="1" t="e">
        <f ca="1">_xll.BDH($C$78,"NET_INCOME_TO_COMMON_SEQ_GROWTH","FQ4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87" s="1" t="e">
        <f ca="1">_xll.BDH($C$78,"EPS_DILUTED_SEQUENTIAL_GROWTH","FQ4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87" s="1" t="e">
        <f ca="1">_xll.BDH($C$78,"DPS_SEQUENTIAL_GROWTH","FQ4 2015","FQ4 2015","Currency=INR","Period=FQ","BEST_FPERIOD_OVERRIDE=FQ","FILING_STATUS=OR","EQY_CONSOLIDATED=Y","Sort=A","Dates=H","DateFormat=P","Fill=—","Direction=H","UseDPDF=Y")</f>
        <v>#NAME?</v>
      </c>
      <c r="BL87" s="1" t="e">
        <f ca="1">_xll.BDH($C$78,"ACCOUNTS_RECEIVABLE_SEQ_GROWTH","FQ4 2015","FQ4 2015","Currency=INR","Period=FQ","BEST_FPERIOD_OVERRIDE=FQ","FILING_STATUS=OR","EQY_CONSOLIDATED=Y","Sort=A","Dates=H","DateFormat=P","Fill=—","Direction=H","UseDPDF=Y")</f>
        <v>#NAME?</v>
      </c>
      <c r="BM87" s="1" t="e">
        <f ca="1">_xll.BDH($C$78,"INVENTORY_SEQUENTIAL_GROWTH","FQ4 2015","FQ4 2015","Currency=INR","Period=FQ","BEST_FPERIOD_OVERRIDE=FQ","FILING_STATUS=OR","EQY_CONSOLIDATED=Y","Sort=A","Dates=H","DateFormat=P","Fill=—","Direction=H","UseDPDF=Y")</f>
        <v>#NAME?</v>
      </c>
      <c r="BN87" s="1" t="e">
        <f ca="1">_xll.BDH($C$78,"FIXED_ASSETS_SEQUENTIAL_GROWTH","FQ4 2015","FQ4 2015","Currency=INR","Period=FQ","BEST_FPERIOD_OVERRIDE=FQ","FILING_STATUS=OR","EQY_CONSOLIDATED=Y","Sort=A","Dates=H","DateFormat=P","Fill=—","Direction=H","UseDPDF=Y")</f>
        <v>#NAME?</v>
      </c>
      <c r="BO87" s="1" t="e">
        <f ca="1">_xll.BDH($C$78,"TOTAL_ASSETS_SEQUENTIAL_GROWTH","FQ4 2015","FQ4 2015","Currency=INR","Period=FQ","BEST_FPERIOD_OVERRIDE=FQ","FILING_STATUS=OR","EQY_CONSOLIDATED=Y","Sort=A","Dates=H","DateFormat=P","Fill=—","Direction=H","UseDPDF=Y")</f>
        <v>#NAME?</v>
      </c>
      <c r="BP87" s="1" t="e">
        <f ca="1">_xll.BDH($C$78,"MODIFIED_WORKING_CPTL_SEQ_GRWTH","FQ4 2015","FQ4 2015","Currency=INR","Period=FQ","BEST_FPERIOD_OVERRIDE=FQ","FILING_STATUS=OR","EQY_CONSOLIDATED=Y","Sort=A","Dates=H","DateFormat=P","Fill=—","Direction=H","UseDPDF=Y")</f>
        <v>#NAME?</v>
      </c>
      <c r="BQ87" s="1" t="e">
        <f ca="1">_xll.BDH($C$78,"WORKING_CAPITAL_SEQ_GROWTH","FQ4 2015","FQ4 2015","Currency=INR","Period=FQ","BEST_FPERIOD_OVERRIDE=FQ","FILING_STATUS=OR","EQY_CONSOLIDATED=Y","Sort=A","Dates=H","DateFormat=P","Fill=—","Direction=H","UseDPDF=Y")</f>
        <v>#NAME?</v>
      </c>
      <c r="BR87" s="1" t="e">
        <f ca="1">_xll.BDH($C$78,"ACCOUNTS_PAYABLE_SEQ_GROWTH","FQ4 2015","FQ4 2015","Currency=INR","Period=FQ","BEST_FPERIOD_OVERRIDE=FQ","FILING_STATUS=OR","EQY_CONSOLIDATED=Y","Sort=A","Dates=H","DateFormat=P","Fill=—","Direction=H","UseDPDF=Y")</f>
        <v>#NAME?</v>
      </c>
      <c r="BS87" s="1" t="e">
        <f ca="1">_xll.BDH($C$78,"ST_DEBT_SEQUENTIAL_GROWTH","FQ4 2015","FQ4 2015","Currency=INR","Period=FQ","BEST_FPERIOD_OVERRIDE=FQ","FILING_STATUS=OR","EQY_CONSOLIDATED=Y","Sort=A","Dates=H","DateFormat=P","Fill=—","Direction=H","UseDPDF=Y")</f>
        <v>#NAME?</v>
      </c>
      <c r="BT87" s="1" t="e">
        <f ca="1">_xll.BDH($C$78,"TOTAL_DEBT_SEQUENTIAL_GROWTH","FQ4 2015","FQ4 2015","Currency=INR","Period=FQ","BEST_FPERIOD_OVERRIDE=FQ","FILING_STATUS=OR","EQY_CONSOLIDATED=Y","Sort=A","Dates=H","DateFormat=P","Fill=—","Direction=H","UseDPDF=Y")</f>
        <v>#NAME?</v>
      </c>
      <c r="BU87" s="1" t="e">
        <f ca="1">_xll.BDH($C$78,"TOTAL_EQUITY_SEQUENTIAL_GROWTH","FQ4 2015","FQ4 2015","Currency=INR","Period=FQ","BEST_FPERIOD_OVERRIDE=FQ","FILING_STATUS=OR","EQY_CONSOLIDATED=Y","Sort=A","Dates=H","DateFormat=P","Fill=—","Direction=H","UseDPDF=Y")</f>
        <v>#NAME?</v>
      </c>
      <c r="BV87" s="1" t="e">
        <f ca="1">_xll.BDH($C$78,"TOTAL_CAPITAL_SEQUENTIAL_GROWTH","FQ4 2015","FQ4 2015","Currency=INR","Period=FQ","BEST_FPERIOD_OVERRIDE=FQ","FILING_STATUS=OR","EQY_CONSOLIDATED=Y","Sort=A","Dates=H","DateFormat=P","Fill=—","Direction=H","UseDPDF=Y")</f>
        <v>#NAME?</v>
      </c>
      <c r="BW87" s="1" t="e">
        <f ca="1">_xll.BDH($C$78,"BPS_SEQUENTIAL_GROWTH","FQ4 2015","FQ4 2015","Currency=INR","Period=FQ","BEST_FPERIOD_OVERRIDE=FQ","FILING_STATUS=OR","EQY_CONSOLIDATED=Y","Sort=A","Dates=H","DateFormat=P","Fill=—","Direction=H","UseDPDF=Y")</f>
        <v>#NAME?</v>
      </c>
      <c r="BX87" s="1" t="e">
        <f ca="1">_xll.BDH($C$78,"CFO_SEQUENTIAL_GROWTH","FQ4 2015","FQ4 2015","Currency=INR","Period=FQ","BEST_FPERIOD_OVERRIDE=FQ","FILING_STATUS=OR","EQY_CONSOLIDATED=Y","Sort=A","Dates=H","DateFormat=P","Fill=—","Direction=H","UseDPDF=Y")</f>
        <v>#NAME?</v>
      </c>
      <c r="BY87" s="2" t="e">
        <f ca="1">_xll.BDH($C$78,"SHORT_AND_LONG_TERM_DEBT","FQ4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87" s="2" t="e">
        <f ca="1">_xll.BDH($C$78,"BS_ST_BORROW","FQ4 2015","FQ4 2015","Currency=INR","Period=FQ","BEST_FPERIOD_OVERRIDE=FQ","FILING_STATUS=OR","EQY_CONSOLIDATED=Y","SCALING_FORMAT=MLN","Sort=A","Dates=H","DateFormat=P","Fill=—","Direction=H","UseDPDF=Y")</f>
        <v>#NAME?</v>
      </c>
      <c r="CA87" s="2" t="e">
        <f ca="1">_xll.BDH($C$78,"BS_LT_BORROW","FQ4 2015","FQ4 2015","Currency=INR","Period=FQ","BEST_FPERIOD_OVERRIDE=FQ","FILING_STATUS=OR","EQY_CONSOLIDATED=Y","SCALING_FORMAT=MLN","Sort=A","Dates=H","DateFormat=P","Fill=—","Direction=H","UseDPDF=Y")</f>
        <v>#NAME?</v>
      </c>
      <c r="CB87" s="1" t="e">
        <f ca="1">_xll.BDH($C$78,"TOT_DEBT_TO_EBITDA","FQ4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87" s="1" t="e">
        <f ca="1">_xll.BDH($C$78,"NET_DEBT_TO_EBITDA","FQ4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87" s="1" t="e">
        <f ca="1">_xll.BDH($C$78,"TOTAL_DEBT_TO_EBIT","FQ4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87" s="1" t="e">
        <f ca="1">_xll.BDH($C$78,"NET_DEBT_TO_EBIT","FQ4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87" s="1" t="e">
        <f ca="1">_xll.BDH($C$78,"EBITDA_TO_INTEREST_EXPN","FQ4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87" s="1" t="e">
        <f ca="1">_xll.BDH($C$78,"COM_EQY_TO_TOT_ASSET","FQ4 2015","FQ4 2015","Currency=INR","Period=FQ","BEST_FPERIOD_OVERRIDE=FQ","FILING_STATUS=OR","EQY_CONSOLIDATED=Y","Sort=A","Dates=H","DateFormat=P","Fill=—","Direction=H","UseDPDF=Y")</f>
        <v>#NAME?</v>
      </c>
      <c r="CH87" s="1" t="e">
        <f ca="1">_xll.BDH($C$78,"LT_DEBT_TO_TOT_EQY","FQ4 2015","FQ4 2015","Currency=INR","Period=FQ","BEST_FPERIOD_OVERRIDE=FQ","FILING_STATUS=OR","EQY_CONSOLIDATED=Y","Sort=A","Dates=H","DateFormat=P","Fill=—","Direction=H","UseDPDF=Y")</f>
        <v>#NAME?</v>
      </c>
      <c r="CI87" s="1" t="e">
        <f ca="1">_xll.BDH($C$78,"LT_DEBT_TO_TOT_CAP","FQ4 2015","FQ4 2015","Currency=INR","Period=FQ","BEST_FPERIOD_OVERRIDE=FQ","FILING_STATUS=OR","EQY_CONSOLIDATED=Y","Sort=A","Dates=H","DateFormat=P","Fill=—","Direction=H","UseDPDF=Y")</f>
        <v>#NAME?</v>
      </c>
      <c r="CJ87" s="1" t="e">
        <f ca="1">_xll.BDH($C$78,"LT_DEBT_TO_TOT_ASSET","FQ4 2015","FQ4 2015","Currency=INR","Period=FQ","BEST_FPERIOD_OVERRIDE=FQ","FILING_STATUS=OR","EQY_CONSOLIDATED=Y","Sort=A","Dates=H","DateFormat=P","Fill=—","Direction=H","UseDPDF=Y")</f>
        <v>#NAME?</v>
      </c>
      <c r="CK87" s="1" t="e">
        <f ca="1">_xll.BDH($C$78,"TOT_DEBT_TO_TOT_EQY","FQ4 2015","FQ4 2015","Currency=INR","Period=FQ","BEST_FPERIOD_OVERRIDE=FQ","FILING_STATUS=OR","EQY_CONSOLIDATED=Y","Sort=A","Dates=H","DateFormat=P","Fill=—","Direction=H","UseDPDF=Y")</f>
        <v>#NAME?</v>
      </c>
      <c r="CL87" s="1" t="e">
        <f ca="1">_xll.BDH($C$78,"TOT_DEBT_TO_TOT_CAP","FQ4 2015","FQ4 2015","Currency=INR","Period=FQ","BEST_FPERIOD_OVERRIDE=FQ","FILING_STATUS=OR","EQY_CONSOLIDATED=Y","Sort=A","Dates=H","DateFormat=P","Fill=—","Direction=H","UseDPDF=Y")</f>
        <v>#NAME?</v>
      </c>
      <c r="CM87" s="1" t="e">
        <f ca="1">_xll.BDH($C$78,"TOT_DEBT_TO_TOT_ASSET","FQ4 2015","FQ4 2015","Currency=INR","Period=FQ","BEST_FPERIOD_OVERRIDE=FQ","FILING_STATUS=OR","EQY_CONSOLIDATED=Y","Sort=A","Dates=H","DateFormat=P","Fill=—","Direction=H","UseDPDF=Y")</f>
        <v>#NAME?</v>
      </c>
      <c r="CN87" s="1" t="e">
        <f ca="1">_xll.BDH($C$78,"NET_DEBT_TO_SHRHLDR_EQTY","FQ4 2015","FQ4 2015","Currency=INR","Period=FQ","BEST_FPERIOD_OVERRIDE=FQ","FILING_STATUS=OR","EQY_CONSOLIDATED=Y","Sort=A","Dates=H","DateFormat=P","Fill=—","Direction=H","UseDPDF=Y")</f>
        <v>#NAME?</v>
      </c>
      <c r="CO87" s="1" t="e">
        <f ca="1">_xll.BDH($C$78,"NET_DEBT_%_CAPITAL","FQ4 2015","FQ4 2015","Currency=INR","Period=FQ","BEST_FPERIOD_OVERRIDE=FQ","FILING_STATUS=OR","EQY_CONSOLIDATED=Y","Sort=A","Dates=H","DateFormat=P","Fill=—","Direction=H","UseDPDF=Y")</f>
        <v>#NAME?</v>
      </c>
      <c r="CP87" s="2" t="e">
        <f ca="1">_xll.BDH($C$78,"EBITDA","FQ4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87" s="2" t="e">
        <f ca="1">_xll.BDH($C$78,"EBITDA_AFTER_CAPEX","FQ4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87" s="2" t="e">
        <f ca="1">_xll.BDH($C$78,"IS_OPER_INC","FQ4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87" s="1" t="e">
        <f ca="1">_xll.BDH($C$78,"CASH_RATIO","FQ4 2015","FQ4 2015","Currency=INR","Period=FQ","BEST_FPERIOD_OVERRIDE=FQ","FILING_STATUS=OR","EQY_CONSOLIDATED=Y","Sort=A","Dates=H","DateFormat=P","Fill=—","Direction=H","UseDPDF=Y")</f>
        <v>#NAME?</v>
      </c>
      <c r="CT87" s="1" t="e">
        <f ca="1">_xll.BDH($C$78,"CUR_RATIO","FQ4 2015","FQ4 2015","Currency=INR","Period=FQ","BEST_FPERIOD_OVERRIDE=FQ","FILING_STATUS=OR","EQY_CONSOLIDATED=Y","Sort=A","Dates=H","DateFormat=P","Fill=—","Direction=H","UseDPDF=Y")</f>
        <v>#NAME?</v>
      </c>
      <c r="CU87" s="1" t="e">
        <f ca="1">_xll.BDH($C$78,"QUICK_RATIO","FQ4 2015","FQ4 2015","Currency=INR","Period=FQ","BEST_FPERIOD_OVERRIDE=FQ","FILING_STATUS=OR","EQY_CONSOLIDATED=Y","Sort=A","Dates=H","DateFormat=P","Fill=—","Direction=H","UseDPDF=Y")</f>
        <v>#NAME?</v>
      </c>
      <c r="CV87" s="1" t="e">
        <f ca="1">_xll.BDH($C$78,"ALTMAN_Z_SCORE","FQ4 2015","FQ4 2015","Currency=INR","Period=FQ","BEST_FPERIOD_OVERRIDE=FQ","FILING_STATUS=OR","EQY_CONSOLIDATED=Y","Sort=A","Dates=H","DateFormat=P","Fill=—","Direction=H","UseDPDF=Y")</f>
        <v>#NAME?</v>
      </c>
      <c r="CW87" s="3" t="e">
        <f ca="1">_xll.BDH($C$78,"ACCT_RCV_TURN","FQ4 2015","FQ4 2015","Currency=INR","Period=FQ","BEST_FPERIOD_OVERRIDE=FQ","FILING_STATUS=OR","EQY_CONSOLIDATED=Y","FA_ADJUSTED=GAAP","Sort=A","Dates=H","DateFormat=P","Fill=—","Direction=H","UseDPDF=Y")</f>
        <v>#NAME?</v>
      </c>
      <c r="CX87" s="1" t="e">
        <f ca="1">_xll.BDH($C$78,"ACCT_RCV_DAYS","FQ4 2015","FQ4 2015","Currency=INR","Period=FQ","BEST_FPERIOD_OVERRIDE=FQ","FILING_STATUS=OR","EQY_CONSOLIDATED=Y","FA_ADJUSTED=GAAP","Sort=A","Dates=H","DateFormat=P","Fill=—","Direction=H","UseDPDF=Y")</f>
        <v>#NAME?</v>
      </c>
      <c r="CY87" s="3" t="e">
        <f ca="1">_xll.BDH($C$78,"INVENT_TURN","FQ4 2015","FQ4 2015","Currency=INR","Period=FQ","BEST_FPERIOD_OVERRIDE=FQ","FILING_STATUS=OR","EQY_CONSOLIDATED=Y","FA_ADJUSTED=GAAP","Sort=A","Dates=H","DateFormat=P","Fill=—","Direction=H","UseDPDF=Y")</f>
        <v>#NAME?</v>
      </c>
      <c r="CZ87" s="1" t="e">
        <f ca="1">_xll.BDH($C$78,"INVENT_DAYS","FQ4 2015","FQ4 2015","Currency=INR","Period=FQ","BEST_FPERIOD_OVERRIDE=FQ","FILING_STATUS=OR","EQY_CONSOLIDATED=Y","FA_ADJUSTED=GAAP","Sort=A","Dates=H","DateFormat=P","Fill=—","Direction=H","UseDPDF=Y")</f>
        <v>#NAME?</v>
      </c>
      <c r="DA87" s="3" t="e">
        <f ca="1">_xll.BDH($C$78,"ACCOUNTS_PAYABLE_TURNOVER","FQ4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87" s="1" t="e">
        <f ca="1">_xll.BDH($C$78,"ACCOUNTS_PAYABLE_TURNOVER_DAYS","FQ4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87" s="3" t="e">
        <f ca="1">_xll.BDH($C$78,"CASH_CONVERSION_CYCLE","FQ4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87" s="3" t="e">
        <f ca="1">_xll.BDH($C$78,"INV_TO_CASH_DAYS","FQ4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87" s="4" t="e">
        <f ca="1">_xll.BDH($C$78,"BS_INVENTORIES","FQ4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87" s="2" t="e">
        <f ca="1">_xll.BDH($C$78,"INVTRY_RAW_MATERIALS","FQ4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87" s="2" t="e">
        <f ca="1">_xll.BDH($C$78,"INVTRY_IN_PROGRESS","FQ4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87" s="2" t="e">
        <f ca="1">_xll.BDH($C$78,"INVTRY_FINISHED_GOODS","FQ4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87" s="2" t="e">
        <f ca="1">_xll.BDH($C$78,"BS_OTHER_INV","FQ4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88" spans="1:113" x14ac:dyDescent="0.3">
      <c r="A88" s="6"/>
      <c r="B88" s="6"/>
      <c r="C88" s="6"/>
      <c r="D88" s="6" t="s">
        <v>9</v>
      </c>
      <c r="E88" t="s">
        <v>3</v>
      </c>
      <c r="F88" t="e">
        <f ca="1">_xll.BDH($C$78,"RETURN_COM_EQY","FY 2016","FY 2016","Currency=INR","Period=FY","BEST_FPERIOD_OVERRIDE=FY","FILING_STATUS=OR","EQY_CONSOLIDATED=Y","FA_ADJUSTED=GAAP","Sort=A","Dates=H","DateFormat=P","Fill=—","Direction=H","UseDPDF=Y")</f>
        <v>#NAME?</v>
      </c>
      <c r="G88" t="e">
        <f ca="1">_xll.BDH($C$78,"RETURN_ON_ASSET","FY 2016","FY 2016","Currency=INR","Period=FY","BEST_FPERIOD_OVERRIDE=FY","FILING_STATUS=OR","EQY_CONSOLIDATED=Y","FA_ADJUSTED=GAAP","Sort=A","Dates=H","DateFormat=P","Fill=—","Direction=H","UseDPDF=Y")</f>
        <v>#NAME?</v>
      </c>
      <c r="H88" t="e">
        <f ca="1">_xll.BDH($C$78,"RETURN_ON_CAP","FY 2016","FY 2016","Currency=INR","Period=FY","BEST_FPERIOD_OVERRIDE=FY","FILING_STATUS=OR","EQY_CONSOLIDATED=Y","FA_ADJUSTED=GAAP","Sort=A","Dates=H","DateFormat=P","Fill=—","Direction=H","UseDPDF=Y")</f>
        <v>#NAME?</v>
      </c>
      <c r="I88" t="e">
        <f ca="1">_xll.BDH($C$78,"RETURN_ON_INV_CAPITAL","FY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88" t="e">
        <f ca="1">_xll.BDH($C$78,"EBITDA_TO_REVENUE","FY 2016","FY 2016","Currency=INR","Period=FY","BEST_FPERIOD_OVERRIDE=FY","FILING_STATUS=OR","EQY_CONSOLIDATED=Y","FA_ADJUSTED=GAAP","Sort=A","Dates=H","DateFormat=P","Fill=—","Direction=H","UseDPDF=Y")</f>
        <v>#NAME?</v>
      </c>
      <c r="K88" t="e">
        <f ca="1">_xll.BDH($C$78,"OPER_MARGIN","FY 2016","FY 2016","Currency=INR","Period=FY","BEST_FPERIOD_OVERRIDE=FY","FILING_STATUS=OR","EQY_CONSOLIDATED=Y","FA_ADJUSTED=GAAP","Sort=A","Dates=H","DateFormat=P","Fill=—","Direction=H","UseDPDF=Y")</f>
        <v>#NAME?</v>
      </c>
      <c r="L88" t="e">
        <f ca="1">_xll.BDH($C$78,"INCREMENTAL_OPERATING_MARGIN","FY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88" t="e">
        <f ca="1">_xll.BDH($C$78,"PRETAX_INC_TO_NET_SALES","FY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88" t="e">
        <f ca="1">_xll.BDH($C$78,"INC_BEF_XO_ITEMS_TO_NET_SALES","FY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88" t="e">
        <f ca="1">_xll.BDH($C$78,"PROF_MARGIN","FY 2016","FY 2016","Currency=INR","Period=FY","BEST_FPERIOD_OVERRIDE=FY","FILING_STATUS=OR","EQY_CONSOLIDATED=Y","FA_ADJUSTED=GAAP","Sort=A","Dates=H","DateFormat=P","Fill=—","Direction=H","UseDPDF=Y")</f>
        <v>#NAME?</v>
      </c>
      <c r="P88" t="e">
        <f ca="1">_xll.BDH($C$78,"NET_INCOME_TO_COMMON_MARGIN","FY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88" t="e">
        <f ca="1">_xll.BDH($C$78,"EFF_TAX_RATE","FY 2016","FY 2016","Currency=INR","Period=FY","BEST_FPERIOD_OVERRIDE=FY","FILING_STATUS=OR","EQY_CONSOLIDATED=Y","FA_ADJUSTED=GAAP","Sort=A","Dates=H","DateFormat=P","Fill=—","Direction=H","UseDPDF=Y")</f>
        <v>#NAME?</v>
      </c>
      <c r="R88" t="e">
        <f ca="1">_xll.BDH($C$78,"DVD_PAYOUT_RATIO","FY 2016","FY 2016","Currency=INR","Period=FY","BEST_FPERIOD_OVERRIDE=FY","FILING_STATUS=OR","EQY_CONSOLIDATED=Y","FA_ADJUSTED=GAAP","Sort=A","Dates=H","DateFormat=P","Fill=—","Direction=H","UseDPDF=Y")</f>
        <v>#NAME?</v>
      </c>
      <c r="S88" t="e">
        <f ca="1">_xll.BDH($C$78,"SUSTAIN_GROWTH_RT","FY 2016","FY 2016","Currency=INR","Period=FY","BEST_FPERIOD_OVERRIDE=FY","FILING_STATUS=OR","EQY_CONSOLIDATED=Y","FA_ADJUSTED=GAAP","Sort=A","Dates=H","DateFormat=P","Fill=—","Direction=H","UseDPDF=Y")</f>
        <v>#NAME?</v>
      </c>
      <c r="T88" s="1" t="e">
        <f ca="1">_xll.BDH($C$78,"SALES_GROWTH","FY 2016","FY 2016","Currency=INR","Period=FY","BEST_FPERIOD_OVERRIDE=FY","FILING_STATUS=OR","EQY_CONSOLIDATED=Y","FA_ADJUSTED=GAAP","Sort=A","Dates=H","DateFormat=P","Fill=—","Direction=H","UseDPDF=Y")</f>
        <v>#NAME?</v>
      </c>
      <c r="U88" s="1" t="e">
        <f ca="1">_xll.BDH($C$78,"EBITDA_GROWTH","FY 2016","FY 2016","Currency=INR","Period=FY","BEST_FPERIOD_OVERRIDE=FY","FILING_STATUS=OR","EQY_CONSOLIDATED=Y","FA_ADJUSTED=GAAP","Sort=A","Dates=H","DateFormat=P","Fill=—","Direction=H","UseDPDF=Y")</f>
        <v>#NAME?</v>
      </c>
      <c r="V88" s="1" t="e">
        <f ca="1">_xll.BDH($C$78,"OPER_INC_GROWTH","FY 2016","FY 2016","Currency=INR","Period=FY","BEST_FPERIOD_OVERRIDE=FY","FILING_STATUS=OR","EQY_CONSOLIDATED=Y","FA_ADJUSTED=GAAP","Sort=A","Dates=H","DateFormat=P","Fill=—","Direction=H","UseDPDF=Y")</f>
        <v>#NAME?</v>
      </c>
      <c r="W88" s="1" t="e">
        <f ca="1">_xll.BDH($C$78,"EARN_FOR_COM_GROWTH","FY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88" s="1" t="e">
        <f ca="1">_xll.BDH($C$78,"DILUTED_EPS_AFT_XO_ITEMS_GROWTH","FY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88" s="1" t="e">
        <f ca="1">_xll.BDH($C$78,"DIVIDEND_PER_SHARE_1_YEAR_GROWTH","FY 2016","FY 2016","Currency=INR","Period=FY","BEST_FPERIOD_OVERRIDE=FY","FILING_STATUS=OR","EQY_CONSOLIDATED=Y","Sort=A","Dates=H","DateFormat=P","Fill=—","Direction=H","UseDPDF=Y")</f>
        <v>#NAME?</v>
      </c>
      <c r="Z88" s="1" t="e">
        <f ca="1">_xll.BDH($C$78,"ACCOUNTS_RECEIVABLE_GROWTH","FY 2016","FY 2016","Currency=INR","Period=FY","BEST_FPERIOD_OVERRIDE=FY","FILING_STATUS=OR","EQY_CONSOLIDATED=Y","Sort=A","Dates=H","DateFormat=P","Fill=—","Direction=H","UseDPDF=Y")</f>
        <v>#NAME?</v>
      </c>
      <c r="AA88" s="1" t="e">
        <f ca="1">_xll.BDH($C$78,"INVENTORY_GROWTH","FY 2016","FY 2016","Currency=INR","Period=FY","BEST_FPERIOD_OVERRIDE=FY","FILING_STATUS=OR","EQY_CONSOLIDATED=Y","Sort=A","Dates=H","DateFormat=P","Fill=—","Direction=H","UseDPDF=Y")</f>
        <v>#NAME?</v>
      </c>
      <c r="AB88" s="1" t="e">
        <f ca="1">_xll.BDH($C$78,"NET_FIXED_ASSETS_1_YEAR_GROWTH","FY 2016","FY 2016","Currency=INR","Period=FY","BEST_FPERIOD_OVERRIDE=FY","FILING_STATUS=OR","EQY_CONSOLIDATED=Y","Sort=A","Dates=H","DateFormat=P","Fill=—","Direction=H","UseDPDF=Y")</f>
        <v>#NAME?</v>
      </c>
      <c r="AC88" s="1" t="e">
        <f ca="1">_xll.BDH($C$78,"ASSET_GROWTH","FY 2016","FY 2016","Currency=INR","Period=FY","BEST_FPERIOD_OVERRIDE=FY","FILING_STATUS=OR","EQY_CONSOLIDATED=Y","Sort=A","Dates=H","DateFormat=P","Fill=—","Direction=H","UseDPDF=Y")</f>
        <v>#NAME?</v>
      </c>
      <c r="AD88" s="1" t="e">
        <f ca="1">_xll.BDH($C$78,"MODIFIED_WORK_CAP_GROWTH","FY 2016","FY 2016","Currency=INR","Period=FY","BEST_FPERIOD_OVERRIDE=FY","FILING_STATUS=OR","EQY_CONSOLIDATED=Y","Sort=A","Dates=H","DateFormat=P","Fill=—","Direction=H","UseDPDF=Y")</f>
        <v>#NAME?</v>
      </c>
      <c r="AE88" s="1" t="e">
        <f ca="1">_xll.BDH($C$78,"WORK_CAP_GROWTH","FY 2016","FY 2016","Currency=INR","Period=FY","BEST_FPERIOD_OVERRIDE=FY","FILING_STATUS=OR","EQY_CONSOLIDATED=Y","Sort=A","Dates=H","DateFormat=P","Fill=—","Direction=H","UseDPDF=Y")</f>
        <v>#NAME?</v>
      </c>
      <c r="AF88" s="1" t="e">
        <f ca="1">_xll.BDH($C$78,"ACCOUNTS_PAYABLE_GROWTH_1YR","FY 2016","FY 2016","Currency=INR","Period=FY","BEST_FPERIOD_OVERRIDE=FY","FILING_STATUS=OR","EQY_CONSOLIDATED=Y","Sort=A","Dates=H","DateFormat=P","Fill=—","Direction=H","UseDPDF=Y")</f>
        <v>#NAME?</v>
      </c>
      <c r="AG88" s="1" t="e">
        <f ca="1">_xll.BDH($C$78,"SHORT_TERM_DEBT_1_YEAR_GROWTH","FY 2016","FY 2016","Currency=INR","Period=FY","BEST_FPERIOD_OVERRIDE=FY","FILING_STATUS=OR","EQY_CONSOLIDATED=Y","Sort=A","Dates=H","DateFormat=P","Fill=—","Direction=H","UseDPDF=Y")</f>
        <v>#NAME?</v>
      </c>
      <c r="AH88" s="1" t="e">
        <f ca="1">_xll.BDH($C$78,"TOTAL_DEBT_1_YEAR_GROWTH","FY 2016","FY 2016","Currency=INR","Period=FY","BEST_FPERIOD_OVERRIDE=FY","FILING_STATUS=OR","EQY_CONSOLIDATED=Y","Sort=A","Dates=H","DateFormat=P","Fill=—","Direction=H","UseDPDF=Y")</f>
        <v>#NAME?</v>
      </c>
      <c r="AI88" s="1" t="e">
        <f ca="1">_xll.BDH($C$78,"TOTAL_EQUITY_1_YEAR_GROWTH","FY 2016","FY 2016","Currency=INR","Period=FY","BEST_FPERIOD_OVERRIDE=FY","FILING_STATUS=OR","EQY_CONSOLIDATED=Y","Sort=A","Dates=H","DateFormat=P","Fill=—","Direction=H","UseDPDF=Y")</f>
        <v>#NAME?</v>
      </c>
      <c r="AJ88" s="1" t="e">
        <f ca="1">_xll.BDH($C$78,"GROWTH_IN_CAP","FY 2016","FY 2016","Currency=INR","Period=FY","BEST_FPERIOD_OVERRIDE=FY","FILING_STATUS=OR","EQY_CONSOLIDATED=Y","Sort=A","Dates=H","DateFormat=P","Fill=—","Direction=H","UseDPDF=Y")</f>
        <v>#NAME?</v>
      </c>
      <c r="AK88" s="1" t="e">
        <f ca="1">_xll.BDH($C$78,"BVPS_GROWTH","FY 2016","FY 2016","Currency=INR","Period=FY","BEST_FPERIOD_OVERRIDE=FY","FILING_STATUS=OR","EQY_CONSOLIDATED=Y","Sort=A","Dates=H","DateFormat=P","Fill=—","Direction=H","UseDPDF=Y")</f>
        <v>#NAME?</v>
      </c>
      <c r="AL88" s="1" t="e">
        <f ca="1">_xll.BDH($C$78,"CASH_FLOW_GROWTH","FY 2016","FY 2016","Currency=INR","Period=FY","BEST_FPERIOD_OVERRIDE=FY","FILING_STATUS=OR","EQY_CONSOLIDATED=Y","Sort=A","Dates=H","DateFormat=P","Fill=—","Direction=H","UseDPDF=Y")</f>
        <v>#NAME?</v>
      </c>
      <c r="AM88" s="1" t="e">
        <f ca="1">_xll.BDH($C$78,"GEO_GROW_NET_SALES","FY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88" s="1" t="e">
        <f ca="1">_xll.BDH($C$78,"GEO_GROW_EBITDA","FY 2016","FY 2016","Currency=INR","Period=FY","BEST_FPERIOD_OVERRIDE=FY","FILING_STATUS=OR","EQY_CONSOLIDATED=Y","FA_ADJUSTED=GAAP","Sort=A","Dates=H","DateFormat=P","Fill=—","Direction=H","UseDPDF=Y")</f>
        <v>#NAME?</v>
      </c>
      <c r="AO88" s="1" t="e">
        <f ca="1">_xll.BDH($C$78,"GEO_GROW_OPER_INC","FY 2016","FY 2016","Currency=INR","Period=FY","BEST_FPERIOD_OVERRIDE=FY","FILING_STATUS=OR","EQY_CONSOLIDATED=Y","FA_ADJUSTED=GAAP","Sort=A","Dates=H","DateFormat=P","Fill=—","Direction=H","UseDPDF=Y")</f>
        <v>#NAME?</v>
      </c>
      <c r="AP88" s="1" t="e">
        <f ca="1">_xll.BDH($C$78,"NET_INCOME_TO_COMMON_5_YR_GROWTH","FY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88" s="1" t="e">
        <f ca="1">_xll.BDH($C$78,"5Y_GEO_GROWTH_DILUTED_EPS","FY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88" s="1" t="e">
        <f ca="1">_xll.BDH($C$78,"GEO_GROW_DVD_PER_SH","FY 2016","FY 2016","Currency=INR","Period=FY","BEST_FPERIOD_OVERRIDE=FY","FILING_STATUS=OR","EQY_CONSOLIDATED=Y","Sort=A","Dates=H","DateFormat=P","Fill=—","Direction=H","UseDPDF=Y")</f>
        <v>#NAME?</v>
      </c>
      <c r="AS88" s="1" t="e">
        <f ca="1">_xll.BDH($C$78,"ACCOUNTS_RECEIVABLE_5_YR_GROWTH","FY 2016","FY 2016","Currency=INR","Period=FY","BEST_FPERIOD_OVERRIDE=FY","FILING_STATUS=OR","EQY_CONSOLIDATED=Y","Sort=A","Dates=H","DateFormat=P","Fill=—","Direction=H","UseDPDF=Y")</f>
        <v>#NAME?</v>
      </c>
      <c r="AT88" s="1" t="e">
        <f ca="1">_xll.BDH($C$78,"INVENTORY_5_YEAR_GROWTH","FY 2016","FY 2016","Currency=INR","Period=FY","BEST_FPERIOD_OVERRIDE=FY","FILING_STATUS=OR","EQY_CONSOLIDATED=Y","Sort=A","Dates=H","DateFormat=P","Fill=—","Direction=H","UseDPDF=Y")</f>
        <v>#NAME?</v>
      </c>
      <c r="AU88" s="1" t="e">
        <f ca="1">_xll.BDH($C$78,"NET_FIXED_ASSETS_5_YEAR_GROWTH","FY 2016","FY 2016","Currency=INR","Period=FY","BEST_FPERIOD_OVERRIDE=FY","FILING_STATUS=OR","EQY_CONSOLIDATED=Y","Sort=A","Dates=H","DateFormat=P","Fill=—","Direction=H","UseDPDF=Y")</f>
        <v>#NAME?</v>
      </c>
      <c r="AV88" s="1" t="e">
        <f ca="1">_xll.BDH($C$78,"GEO_GROW_TOT_ASSET","FY 2016","FY 2016","Currency=INR","Period=FY","BEST_FPERIOD_OVERRIDE=FY","FILING_STATUS=OR","EQY_CONSOLIDATED=Y","Sort=A","Dates=H","DateFormat=P","Fill=—","Direction=H","UseDPDF=Y")</f>
        <v>#NAME?</v>
      </c>
      <c r="AW88" s="1" t="e">
        <f ca="1">_xll.BDH($C$78,"MODIFIED_WORKING_CPTL_5YR_GRWTH","FY 2016","FY 2016","Currency=INR","Period=FY","BEST_FPERIOD_OVERRIDE=FY","FILING_STATUS=OR","EQY_CONSOLIDATED=Y","Sort=A","Dates=H","DateFormat=P","Fill=—","Direction=H","UseDPDF=Y")</f>
        <v>#NAME?</v>
      </c>
      <c r="AX88" s="1" t="e">
        <f ca="1">_xll.BDH($C$78,"WORKING_CAPITAL_5_YEAR_GROWTH","FY 2016","FY 2016","Currency=INR","Period=FY","BEST_FPERIOD_OVERRIDE=FY","FILING_STATUS=OR","EQY_CONSOLIDATED=Y","Sort=A","Dates=H","DateFormat=P","Fill=—","Direction=H","UseDPDF=Y")</f>
        <v>#NAME?</v>
      </c>
      <c r="AY88" s="1" t="e">
        <f ca="1">_xll.BDH($C$78,"ACCOUNTS_PAYABLE_5_YEAR_GROWTH","FY 2016","FY 2016","Currency=INR","Period=FY","BEST_FPERIOD_OVERRIDE=FY","FILING_STATUS=OR","EQY_CONSOLIDATED=Y","Sort=A","Dates=H","DateFormat=P","Fill=—","Direction=H","UseDPDF=Y")</f>
        <v>#NAME?</v>
      </c>
      <c r="AZ88" s="1" t="e">
        <f ca="1">_xll.BDH($C$78,"SHORT_TERM_DEBT_5_YEAR_GROWTH","FY 2016","FY 2016","Currency=INR","Period=FY","BEST_FPERIOD_OVERRIDE=FY","FILING_STATUS=OR","EQY_CONSOLIDATED=Y","Sort=A","Dates=H","DateFormat=P","Fill=—","Direction=H","UseDPDF=Y")</f>
        <v>#NAME?</v>
      </c>
      <c r="BA88" s="1" t="e">
        <f ca="1">_xll.BDH($C$78,"TOTAL_DEBT_5_YEAR_GROWTH","FY 2016","FY 2016","Currency=INR","Period=FY","BEST_FPERIOD_OVERRIDE=FY","FILING_STATUS=OR","EQY_CONSOLIDATED=Y","Sort=A","Dates=H","DateFormat=P","Fill=—","Direction=H","UseDPDF=Y")</f>
        <v>#NAME?</v>
      </c>
      <c r="BB88" s="1" t="e">
        <f ca="1">_xll.BDH($C$78,"GEO_GROW_TOT_SHRHLDR_EQY","FY 2016","FY 2016","Currency=INR","Period=FY","BEST_FPERIOD_OVERRIDE=FY","FILING_STATUS=OR","EQY_CONSOLIDATED=Y","Sort=A","Dates=H","DateFormat=P","Fill=—","Direction=H","UseDPDF=Y")</f>
        <v>#NAME?</v>
      </c>
      <c r="BC88" s="1" t="e">
        <f ca="1">_xll.BDH($C$78,"TOTAL_CAPITAL_5_YEAR_GROWTH","FY 2016","FY 2016","Currency=INR","Period=FY","BEST_FPERIOD_OVERRIDE=FY","FILING_STATUS=OR","EQY_CONSOLIDATED=Y","Sort=A","Dates=H","DateFormat=P","Fill=—","Direction=H","UseDPDF=Y")</f>
        <v>#NAME?</v>
      </c>
      <c r="BD88" s="1" t="e">
        <f ca="1">_xll.BDH($C$78,"GEO_GROW_BOOK_VAL","FY 2016","FY 2016","Currency=INR","Period=FY","BEST_FPERIOD_OVERRIDE=FY","FILING_STATUS=OR","EQY_CONSOLIDATED=Y","Sort=A","Dates=H","DateFormat=P","Fill=—","Direction=H","UseDPDF=Y")</f>
        <v>#NAME?</v>
      </c>
      <c r="BE88" s="1" t="e">
        <f ca="1">_xll.BDH($C$78,"GEO_GROW_CASH_OPER_ACT","FY 2016","FY 2016","Currency=INR","Period=FY","BEST_FPERIOD_OVERRIDE=FY","FILING_STATUS=OR","EQY_CONSOLIDATED=Y","Sort=A","Dates=H","DateFormat=P","Fill=—","Direction=H","UseDPDF=Y")</f>
        <v>#NAME?</v>
      </c>
      <c r="BF88" s="1" t="e">
        <f ca="1">_xll.BDH($C$78,"REVENUE_SEQUENTIAL_GROWTH","FY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88" s="1" t="e">
        <f ca="1">_xll.BDH($C$78,"EBITDA_SEQUENTIAL_GROWTH","FY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88" s="1" t="e">
        <f ca="1">_xll.BDH($C$78,"OPERATING_INCOME_SEQ_GROWTH","FY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88" s="1" t="e">
        <f ca="1">_xll.BDH($C$78,"NET_INCOME_TO_COMMON_SEQ_GROWTH","FY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88" s="1" t="e">
        <f ca="1">_xll.BDH($C$78,"EPS_DILUTED_SEQUENTIAL_GROWTH","FY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88" s="1" t="e">
        <f ca="1">_xll.BDH($C$78,"DPS_SEQUENTIAL_GROWTH","FY 2016","FY 2016","Currency=INR","Period=FY","BEST_FPERIOD_OVERRIDE=FY","FILING_STATUS=OR","EQY_CONSOLIDATED=Y","Sort=A","Dates=H","DateFormat=P","Fill=—","Direction=H","UseDPDF=Y")</f>
        <v>#NAME?</v>
      </c>
      <c r="BL88" s="1" t="e">
        <f ca="1">_xll.BDH($C$78,"ACCOUNTS_RECEIVABLE_SEQ_GROWTH","FY 2016","FY 2016","Currency=INR","Period=FY","BEST_FPERIOD_OVERRIDE=FY","FILING_STATUS=OR","EQY_CONSOLIDATED=Y","Sort=A","Dates=H","DateFormat=P","Fill=—","Direction=H","UseDPDF=Y")</f>
        <v>#NAME?</v>
      </c>
      <c r="BM88" s="1" t="e">
        <f ca="1">_xll.BDH($C$78,"INVENTORY_SEQUENTIAL_GROWTH","FY 2016","FY 2016","Currency=INR","Period=FY","BEST_FPERIOD_OVERRIDE=FY","FILING_STATUS=OR","EQY_CONSOLIDATED=Y","Sort=A","Dates=H","DateFormat=P","Fill=—","Direction=H","UseDPDF=Y")</f>
        <v>#NAME?</v>
      </c>
      <c r="BN88" s="1" t="e">
        <f ca="1">_xll.BDH($C$78,"FIXED_ASSETS_SEQUENTIAL_GROWTH","FY 2016","FY 2016","Currency=INR","Period=FY","BEST_FPERIOD_OVERRIDE=FY","FILING_STATUS=OR","EQY_CONSOLIDATED=Y","Sort=A","Dates=H","DateFormat=P","Fill=—","Direction=H","UseDPDF=Y")</f>
        <v>#NAME?</v>
      </c>
      <c r="BO88" s="1" t="e">
        <f ca="1">_xll.BDH($C$78,"TOTAL_ASSETS_SEQUENTIAL_GROWTH","FY 2016","FY 2016","Currency=INR","Period=FY","BEST_FPERIOD_OVERRIDE=FY","FILING_STATUS=OR","EQY_CONSOLIDATED=Y","Sort=A","Dates=H","DateFormat=P","Fill=—","Direction=H","UseDPDF=Y")</f>
        <v>#NAME?</v>
      </c>
      <c r="BP88" s="1" t="e">
        <f ca="1">_xll.BDH($C$78,"MODIFIED_WORKING_CPTL_SEQ_GRWTH","FY 2016","FY 2016","Currency=INR","Period=FY","BEST_FPERIOD_OVERRIDE=FY","FILING_STATUS=OR","EQY_CONSOLIDATED=Y","Sort=A","Dates=H","DateFormat=P","Fill=—","Direction=H","UseDPDF=Y")</f>
        <v>#NAME?</v>
      </c>
      <c r="BQ88" s="1" t="e">
        <f ca="1">_xll.BDH($C$78,"WORKING_CAPITAL_SEQ_GROWTH","FY 2016","FY 2016","Currency=INR","Period=FY","BEST_FPERIOD_OVERRIDE=FY","FILING_STATUS=OR","EQY_CONSOLIDATED=Y","Sort=A","Dates=H","DateFormat=P","Fill=—","Direction=H","UseDPDF=Y")</f>
        <v>#NAME?</v>
      </c>
      <c r="BR88" s="1" t="e">
        <f ca="1">_xll.BDH($C$78,"ACCOUNTS_PAYABLE_SEQ_GROWTH","FY 2016","FY 2016","Currency=INR","Period=FY","BEST_FPERIOD_OVERRIDE=FY","FILING_STATUS=OR","EQY_CONSOLIDATED=Y","Sort=A","Dates=H","DateFormat=P","Fill=—","Direction=H","UseDPDF=Y")</f>
        <v>#NAME?</v>
      </c>
      <c r="BS88" s="1" t="e">
        <f ca="1">_xll.BDH($C$78,"ST_DEBT_SEQUENTIAL_GROWTH","FY 2016","FY 2016","Currency=INR","Period=FY","BEST_FPERIOD_OVERRIDE=FY","FILING_STATUS=OR","EQY_CONSOLIDATED=Y","Sort=A","Dates=H","DateFormat=P","Fill=—","Direction=H","UseDPDF=Y")</f>
        <v>#NAME?</v>
      </c>
      <c r="BT88" s="1" t="e">
        <f ca="1">_xll.BDH($C$78,"TOTAL_DEBT_SEQUENTIAL_GROWTH","FY 2016","FY 2016","Currency=INR","Period=FY","BEST_FPERIOD_OVERRIDE=FY","FILING_STATUS=OR","EQY_CONSOLIDATED=Y","Sort=A","Dates=H","DateFormat=P","Fill=—","Direction=H","UseDPDF=Y")</f>
        <v>#NAME?</v>
      </c>
      <c r="BU88" s="1" t="e">
        <f ca="1">_xll.BDH($C$78,"TOTAL_EQUITY_SEQUENTIAL_GROWTH","FY 2016","FY 2016","Currency=INR","Period=FY","BEST_FPERIOD_OVERRIDE=FY","FILING_STATUS=OR","EQY_CONSOLIDATED=Y","Sort=A","Dates=H","DateFormat=P","Fill=—","Direction=H","UseDPDF=Y")</f>
        <v>#NAME?</v>
      </c>
      <c r="BV88" s="1" t="e">
        <f ca="1">_xll.BDH($C$78,"TOTAL_CAPITAL_SEQUENTIAL_GROWTH","FY 2016","FY 2016","Currency=INR","Period=FY","BEST_FPERIOD_OVERRIDE=FY","FILING_STATUS=OR","EQY_CONSOLIDATED=Y","Sort=A","Dates=H","DateFormat=P","Fill=—","Direction=H","UseDPDF=Y")</f>
        <v>#NAME?</v>
      </c>
      <c r="BW88" s="1" t="e">
        <f ca="1">_xll.BDH($C$78,"BPS_SEQUENTIAL_GROWTH","FY 2016","FY 2016","Currency=INR","Period=FY","BEST_FPERIOD_OVERRIDE=FY","FILING_STATUS=OR","EQY_CONSOLIDATED=Y","Sort=A","Dates=H","DateFormat=P","Fill=—","Direction=H","UseDPDF=Y")</f>
        <v>#NAME?</v>
      </c>
      <c r="BX88" s="1" t="e">
        <f ca="1">_xll.BDH($C$78,"CFO_SEQUENTIAL_GROWTH","FY 2016","FY 2016","Currency=INR","Period=FY","BEST_FPERIOD_OVERRIDE=FY","FILING_STATUS=OR","EQY_CONSOLIDATED=Y","Sort=A","Dates=H","DateFormat=P","Fill=—","Direction=H","UseDPDF=Y")</f>
        <v>#NAME?</v>
      </c>
      <c r="BY88" s="2" t="e">
        <f ca="1">_xll.BDH($C$78,"SHORT_AND_LONG_TERM_DEBT","FY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88" s="2" t="e">
        <f ca="1">_xll.BDH($C$78,"BS_ST_BORROW","FY 2016","FY 2016","Currency=INR","Period=FY","BEST_FPERIOD_OVERRIDE=FY","FILING_STATUS=OR","EQY_CONSOLIDATED=Y","SCALING_FORMAT=MLN","Sort=A","Dates=H","DateFormat=P","Fill=—","Direction=H","UseDPDF=Y")</f>
        <v>#NAME?</v>
      </c>
      <c r="CA88" s="2" t="e">
        <f ca="1">_xll.BDH($C$78,"BS_LT_BORROW","FY 2016","FY 2016","Currency=INR","Period=FY","BEST_FPERIOD_OVERRIDE=FY","FILING_STATUS=OR","EQY_CONSOLIDATED=Y","SCALING_FORMAT=MLN","Sort=A","Dates=H","DateFormat=P","Fill=—","Direction=H","UseDPDF=Y")</f>
        <v>#NAME?</v>
      </c>
      <c r="CB88" s="1" t="e">
        <f ca="1">_xll.BDH($C$78,"TOT_DEBT_TO_EBITDA","FY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88" s="1" t="e">
        <f ca="1">_xll.BDH($C$78,"NET_DEBT_TO_EBITDA","FY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88" s="1" t="e">
        <f ca="1">_xll.BDH($C$78,"TOTAL_DEBT_TO_EBIT","FY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88" s="1" t="e">
        <f ca="1">_xll.BDH($C$78,"NET_DEBT_TO_EBIT","FY 2016","FY 2016","Currency=INR","Period=FY","BEST_FPERIOD_OVERRIDE=FY","FILING_STATUS=OR","EQY_CONSOLIDATED=Y","FA_ADJUSTED=GAAP","Sort=A","Dates=H","DateFormat=P","Fill=—","Direction=H","UseDPDF=Y")</f>
        <v>#NAME?</v>
      </c>
      <c r="CF88" s="1" t="e">
        <f ca="1">_xll.BDH($C$78,"EBITDA_TO_INTEREST_EXPN","FY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88" s="1" t="e">
        <f ca="1">_xll.BDH($C$78,"COM_EQY_TO_TOT_ASSET","FY 2016","FY 2016","Currency=INR","Period=FY","BEST_FPERIOD_OVERRIDE=FY","FILING_STATUS=OR","EQY_CONSOLIDATED=Y","Sort=A","Dates=H","DateFormat=P","Fill=—","Direction=H","UseDPDF=Y")</f>
        <v>#NAME?</v>
      </c>
      <c r="CH88" s="1" t="e">
        <f ca="1">_xll.BDH($C$78,"LT_DEBT_TO_TOT_EQY","FY 2016","FY 2016","Currency=INR","Period=FY","BEST_FPERIOD_OVERRIDE=FY","FILING_STATUS=OR","EQY_CONSOLIDATED=Y","Sort=A","Dates=H","DateFormat=P","Fill=—","Direction=H","UseDPDF=Y")</f>
        <v>#NAME?</v>
      </c>
      <c r="CI88" s="1" t="e">
        <f ca="1">_xll.BDH($C$78,"LT_DEBT_TO_TOT_CAP","FY 2016","FY 2016","Currency=INR","Period=FY","BEST_FPERIOD_OVERRIDE=FY","FILING_STATUS=OR","EQY_CONSOLIDATED=Y","Sort=A","Dates=H","DateFormat=P","Fill=—","Direction=H","UseDPDF=Y")</f>
        <v>#NAME?</v>
      </c>
      <c r="CJ88" s="1" t="e">
        <f ca="1">_xll.BDH($C$78,"LT_DEBT_TO_TOT_ASSET","FY 2016","FY 2016","Currency=INR","Period=FY","BEST_FPERIOD_OVERRIDE=FY","FILING_STATUS=OR","EQY_CONSOLIDATED=Y","Sort=A","Dates=H","DateFormat=P","Fill=—","Direction=H","UseDPDF=Y")</f>
        <v>#NAME?</v>
      </c>
      <c r="CK88" s="1" t="e">
        <f ca="1">_xll.BDH($C$78,"TOT_DEBT_TO_TOT_EQY","FY 2016","FY 2016","Currency=INR","Period=FY","BEST_FPERIOD_OVERRIDE=FY","FILING_STATUS=OR","EQY_CONSOLIDATED=Y","Sort=A","Dates=H","DateFormat=P","Fill=—","Direction=H","UseDPDF=Y")</f>
        <v>#NAME?</v>
      </c>
      <c r="CL88" s="1" t="e">
        <f ca="1">_xll.BDH($C$78,"TOT_DEBT_TO_TOT_CAP","FY 2016","FY 2016","Currency=INR","Period=FY","BEST_FPERIOD_OVERRIDE=FY","FILING_STATUS=OR","EQY_CONSOLIDATED=Y","Sort=A","Dates=H","DateFormat=P","Fill=—","Direction=H","UseDPDF=Y")</f>
        <v>#NAME?</v>
      </c>
      <c r="CM88" s="1" t="e">
        <f ca="1">_xll.BDH($C$78,"TOT_DEBT_TO_TOT_ASSET","FY 2016","FY 2016","Currency=INR","Period=FY","BEST_FPERIOD_OVERRIDE=FY","FILING_STATUS=OR","EQY_CONSOLIDATED=Y","Sort=A","Dates=H","DateFormat=P","Fill=—","Direction=H","UseDPDF=Y")</f>
        <v>#NAME?</v>
      </c>
      <c r="CN88" s="1" t="e">
        <f ca="1">_xll.BDH($C$78,"NET_DEBT_TO_SHRHLDR_EQTY","FY 2016","FY 2016","Currency=INR","Period=FY","BEST_FPERIOD_OVERRIDE=FY","FILING_STATUS=OR","EQY_CONSOLIDATED=Y","Sort=A","Dates=H","DateFormat=P","Fill=—","Direction=H","UseDPDF=Y")</f>
        <v>#NAME?</v>
      </c>
      <c r="CO88" s="1" t="e">
        <f ca="1">_xll.BDH($C$78,"NET_DEBT_%_CAPITAL","FY 2016","FY 2016","Currency=INR","Period=FY","BEST_FPERIOD_OVERRIDE=FY","FILING_STATUS=OR","EQY_CONSOLIDATED=Y","Sort=A","Dates=H","DateFormat=P","Fill=—","Direction=H","UseDPDF=Y")</f>
        <v>#NAME?</v>
      </c>
      <c r="CP88" s="2" t="e">
        <f ca="1">_xll.BDH($C$78,"EBITDA","FY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88" s="2" t="e">
        <f ca="1">_xll.BDH($C$78,"EBITDA_AFTER_CAPEX","FY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88" s="2" t="e">
        <f ca="1">_xll.BDH($C$78,"IS_OPER_INC","FY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88" s="1" t="e">
        <f ca="1">_xll.BDH($C$78,"CASH_RATIO","FY 2016","FY 2016","Currency=INR","Period=FY","BEST_FPERIOD_OVERRIDE=FY","FILING_STATUS=OR","EQY_CONSOLIDATED=Y","Sort=A","Dates=H","DateFormat=P","Fill=—","Direction=H","UseDPDF=Y")</f>
        <v>#NAME?</v>
      </c>
      <c r="CT88" s="1" t="e">
        <f ca="1">_xll.BDH($C$78,"CUR_RATIO","FY 2016","FY 2016","Currency=INR","Period=FY","BEST_FPERIOD_OVERRIDE=FY","FILING_STATUS=OR","EQY_CONSOLIDATED=Y","Sort=A","Dates=H","DateFormat=P","Fill=—","Direction=H","UseDPDF=Y")</f>
        <v>#NAME?</v>
      </c>
      <c r="CU88" s="1" t="e">
        <f ca="1">_xll.BDH($C$78,"QUICK_RATIO","FY 2016","FY 2016","Currency=INR","Period=FY","BEST_FPERIOD_OVERRIDE=FY","FILING_STATUS=OR","EQY_CONSOLIDATED=Y","Sort=A","Dates=H","DateFormat=P","Fill=—","Direction=H","UseDPDF=Y")</f>
        <v>#NAME?</v>
      </c>
      <c r="CV88" s="1" t="e">
        <f ca="1">_xll.BDH($C$78,"ALTMAN_Z_SCORE","FY 2016","FY 2016","Currency=INR","Period=FY","BEST_FPERIOD_OVERRIDE=FY","FILING_STATUS=OR","EQY_CONSOLIDATED=Y","Sort=A","Dates=H","DateFormat=P","Fill=—","Direction=H","UseDPDF=Y")</f>
        <v>#NAME?</v>
      </c>
      <c r="CW88" s="3" t="e">
        <f ca="1">_xll.BDH($C$78,"ACCT_RCV_TURN","FY 2016","FY 2016","Currency=INR","Period=FY","BEST_FPERIOD_OVERRIDE=FY","FILING_STATUS=OR","EQY_CONSOLIDATED=Y","FA_ADJUSTED=GAAP","Sort=A","Dates=H","DateFormat=P","Fill=—","Direction=H","UseDPDF=Y")</f>
        <v>#NAME?</v>
      </c>
      <c r="CX88" s="1" t="e">
        <f ca="1">_xll.BDH($C$78,"ACCT_RCV_DAYS","FY 2016","FY 2016","Currency=INR","Period=FY","BEST_FPERIOD_OVERRIDE=FY","FILING_STATUS=OR","EQY_CONSOLIDATED=Y","FA_ADJUSTED=GAAP","Sort=A","Dates=H","DateFormat=P","Fill=—","Direction=H","UseDPDF=Y")</f>
        <v>#NAME?</v>
      </c>
      <c r="CY88" s="3" t="e">
        <f ca="1">_xll.BDH($C$78,"INVENT_TURN","FY 2016","FY 2016","Currency=INR","Period=FY","BEST_FPERIOD_OVERRIDE=FY","FILING_STATUS=OR","EQY_CONSOLIDATED=Y","FA_ADJUSTED=GAAP","Sort=A","Dates=H","DateFormat=P","Fill=—","Direction=H","UseDPDF=Y")</f>
        <v>#NAME?</v>
      </c>
      <c r="CZ88" s="1" t="e">
        <f ca="1">_xll.BDH($C$78,"INVENT_DAYS","FY 2016","FY 2016","Currency=INR","Period=FY","BEST_FPERIOD_OVERRIDE=FY","FILING_STATUS=OR","EQY_CONSOLIDATED=Y","FA_ADJUSTED=GAAP","Sort=A","Dates=H","DateFormat=P","Fill=—","Direction=H","UseDPDF=Y")</f>
        <v>#NAME?</v>
      </c>
      <c r="DA88" s="3" t="e">
        <f ca="1">_xll.BDH($C$78,"ACCOUNTS_PAYABLE_TURNOVER","FY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88" s="1" t="e">
        <f ca="1">_xll.BDH($C$78,"ACCOUNTS_PAYABLE_TURNOVER_DAYS","FY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88" s="3" t="e">
        <f ca="1">_xll.BDH($C$78,"CASH_CONVERSION_CYCLE","FY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88" s="3" t="e">
        <f ca="1">_xll.BDH($C$78,"INV_TO_CASH_DAYS","FY 2016","FY 2016","Currency=INR","Period=FY","BEST_FPERIOD_OVERRIDE=FY","FILING_STATUS=OR","EQY_CONSOLIDATED=Y","FA_ADJUSTED=GAAP","Sort=A","Dates=H","DateFormat=P","Fill=—","Direction=H","UseDPDF=Y")</f>
        <v>#NAME?</v>
      </c>
      <c r="DE88" s="4" t="e">
        <f ca="1">_xll.BDH($C$78,"BS_INVENTORIES","FY 2016","FY 2016","Currency=INR","Period=FY","BEST_FPERIOD_OVERRIDE=FY","FILING_STATUS=OR","EQY_CONSOLIDATED=Y","SCALING_FORMAT=MLN","Sort=A","Dates=H","DateFormat=P","Fill=—","Direction=H","UseDPDF=Y")</f>
        <v>#NAME?</v>
      </c>
      <c r="DF88" s="2" t="e">
        <f ca="1">_xll.BDH($C$78,"INVTRY_RAW_MATERIALS","FY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88" s="2" t="e">
        <f ca="1">_xll.BDH($C$78,"INVTRY_IN_PROGRESS","FY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88" s="2" t="e">
        <f ca="1">_xll.BDH($C$78,"INVTRY_FINISHED_GOODS","FY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88" s="2" t="e">
        <f ca="1">_xll.BDH($C$78,"BS_OTHER_INV","FY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89" spans="1:113" x14ac:dyDescent="0.3">
      <c r="A89" s="6"/>
      <c r="B89" s="6"/>
      <c r="C89" s="6"/>
      <c r="D89" s="6"/>
      <c r="E89" t="s">
        <v>4</v>
      </c>
      <c r="F89" t="e">
        <f ca="1">_xll.BDH($C$78,"RETURN_COM_EQY","FQ1 2016","FQ1 2016","Currency=INR","Period=FQ","BEST_FPERIOD_OVERRIDE=FQ","FILING_STATUS=OR","EQY_CONSOLIDATED=Y","FA_ADJUSTED=GAAP","Sort=A","Dates=H","DateFormat=P","Fill=—","Direction=H","UseDPDF=Y")</f>
        <v>#NAME?</v>
      </c>
      <c r="G89" t="e">
        <f ca="1">_xll.BDH($C$78,"RETURN_ON_ASSET","FQ1 2016","FQ1 2016","Currency=INR","Period=FQ","BEST_FPERIOD_OVERRIDE=FQ","FILING_STATUS=OR","EQY_CONSOLIDATED=Y","FA_ADJUSTED=GAAP","Sort=A","Dates=H","DateFormat=P","Fill=—","Direction=H","UseDPDF=Y")</f>
        <v>#NAME?</v>
      </c>
      <c r="H89" t="e">
        <f ca="1">_xll.BDH($C$78,"RETURN_ON_CAP","FQ1 2016","FQ1 2016","Currency=INR","Period=FQ","BEST_FPERIOD_OVERRIDE=FQ","FILING_STATUS=OR","EQY_CONSOLIDATED=Y","FA_ADJUSTED=GAAP","Sort=A","Dates=H","DateFormat=P","Fill=—","Direction=H","UseDPDF=Y")</f>
        <v>#NAME?</v>
      </c>
      <c r="I89" t="e">
        <f ca="1">_xll.BDH($C$78,"RETURN_ON_INV_CAPITAL","FQ1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89" t="e">
        <f ca="1">_xll.BDH($C$78,"EBITDA_TO_REVENUE","FQ1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89" t="e">
        <f ca="1">_xll.BDH($C$78,"OPER_MARGIN","FQ1 2016","FQ1 2016","Currency=INR","Period=FQ","BEST_FPERIOD_OVERRIDE=FQ","FILING_STATUS=OR","EQY_CONSOLIDATED=Y","FA_ADJUSTED=GAAP","Sort=A","Dates=H","DateFormat=P","Fill=—","Direction=H","UseDPDF=Y")</f>
        <v>#NAME?</v>
      </c>
      <c r="L89" t="e">
        <f ca="1">_xll.BDH($C$78,"INCREMENTAL_OPERATING_MARGIN","FQ1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89" t="e">
        <f ca="1">_xll.BDH($C$78,"PRETAX_INC_TO_NET_SALES","FQ1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89" t="e">
        <f ca="1">_xll.BDH($C$78,"INC_BEF_XO_ITEMS_TO_NET_SALES","FQ1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89" t="e">
        <f ca="1">_xll.BDH($C$78,"PROF_MARGIN","FQ1 2016","FQ1 2016","Currency=INR","Period=FQ","BEST_FPERIOD_OVERRIDE=FQ","FILING_STATUS=OR","EQY_CONSOLIDATED=Y","FA_ADJUSTED=GAAP","Sort=A","Dates=H","DateFormat=P","Fill=—","Direction=H","UseDPDF=Y")</f>
        <v>#NAME?</v>
      </c>
      <c r="P89" t="e">
        <f ca="1">_xll.BDH($C$78,"NET_INCOME_TO_COMMON_MARGIN","FQ1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89" t="e">
        <f ca="1">_xll.BDH($C$78,"EFF_TAX_RATE","FQ1 2016","FQ1 2016","Currency=INR","Period=FQ","BEST_FPERIOD_OVERRIDE=FQ","FILING_STATUS=OR","EQY_CONSOLIDATED=Y","FA_ADJUSTED=GAAP","Sort=A","Dates=H","DateFormat=P","Fill=—","Direction=H","UseDPDF=Y")</f>
        <v>#NAME?</v>
      </c>
      <c r="R89" t="e">
        <f ca="1">_xll.BDH($C$78,"DVD_PAYOUT_RATIO","FQ1 2016","FQ1 2016","Currency=INR","Period=FQ","BEST_FPERIOD_OVERRIDE=FQ","FILING_STATUS=OR","EQY_CONSOLIDATED=Y","FA_ADJUSTED=GAAP","Sort=A","Dates=H","DateFormat=P","Fill=—","Direction=H","UseDPDF=Y")</f>
        <v>#NAME?</v>
      </c>
      <c r="S89" t="e">
        <f ca="1">_xll.BDH($C$78,"SUSTAIN_GROWTH_RT","FQ1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89" s="1" t="e">
        <f ca="1">_xll.BDH($C$78,"SALES_GROWTH","FQ1 2016","FQ1 2016","Currency=INR","Period=FQ","BEST_FPERIOD_OVERRIDE=FQ","FILING_STATUS=OR","EQY_CONSOLIDATED=Y","FA_ADJUSTED=GAAP","Sort=A","Dates=H","DateFormat=P","Fill=—","Direction=H","UseDPDF=Y")</f>
        <v>#NAME?</v>
      </c>
      <c r="U89" s="1" t="e">
        <f ca="1">_xll.BDH($C$78,"EBITDA_GROWTH","FQ1 2016","FQ1 2016","Currency=INR","Period=FQ","BEST_FPERIOD_OVERRIDE=FQ","FILING_STATUS=OR","EQY_CONSOLIDATED=Y","FA_ADJUSTED=GAAP","Sort=A","Dates=H","DateFormat=P","Fill=—","Direction=H","UseDPDF=Y")</f>
        <v>#NAME?</v>
      </c>
      <c r="V89" s="1" t="e">
        <f ca="1">_xll.BDH($C$78,"OPER_INC_GROWTH","FQ1 2016","FQ1 2016","Currency=INR","Period=FQ","BEST_FPERIOD_OVERRIDE=FQ","FILING_STATUS=OR","EQY_CONSOLIDATED=Y","FA_ADJUSTED=GAAP","Sort=A","Dates=H","DateFormat=P","Fill=—","Direction=H","UseDPDF=Y")</f>
        <v>#NAME?</v>
      </c>
      <c r="W89" s="1" t="e">
        <f ca="1">_xll.BDH($C$78,"EARN_FOR_COM_GROWTH","FQ1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89" s="1" t="e">
        <f ca="1">_xll.BDH($C$78,"DILUTED_EPS_AFT_XO_ITEMS_GROWTH","FQ1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89" s="1" t="e">
        <f ca="1">_xll.BDH($C$78,"DIVIDEND_PER_SHARE_1_YEAR_GROWTH","FQ1 2016","FQ1 2016","Currency=INR","Period=FQ","BEST_FPERIOD_OVERRIDE=FQ","FILING_STATUS=OR","EQY_CONSOLIDATED=Y","Sort=A","Dates=H","DateFormat=P","Fill=—","Direction=H","UseDPDF=Y")</f>
        <v>#NAME?</v>
      </c>
      <c r="Z89" s="1" t="e">
        <f ca="1">_xll.BDH($C$78,"ACCOUNTS_RECEIVABLE_GROWTH","FQ1 2016","FQ1 2016","Currency=INR","Period=FQ","BEST_FPERIOD_OVERRIDE=FQ","FILING_STATUS=OR","EQY_CONSOLIDATED=Y","Sort=A","Dates=H","DateFormat=P","Fill=—","Direction=H","UseDPDF=Y")</f>
        <v>#NAME?</v>
      </c>
      <c r="AA89" s="1" t="e">
        <f ca="1">_xll.BDH($C$78,"INVENTORY_GROWTH","FQ1 2016","FQ1 2016","Currency=INR","Period=FQ","BEST_FPERIOD_OVERRIDE=FQ","FILING_STATUS=OR","EQY_CONSOLIDATED=Y","Sort=A","Dates=H","DateFormat=P","Fill=—","Direction=H","UseDPDF=Y")</f>
        <v>#NAME?</v>
      </c>
      <c r="AB89" s="1" t="e">
        <f ca="1">_xll.BDH($C$78,"NET_FIXED_ASSETS_1_YEAR_GROWTH","FQ1 2016","FQ1 2016","Currency=INR","Period=FQ","BEST_FPERIOD_OVERRIDE=FQ","FILING_STATUS=OR","EQY_CONSOLIDATED=Y","Sort=A","Dates=H","DateFormat=P","Fill=—","Direction=H","UseDPDF=Y")</f>
        <v>#NAME?</v>
      </c>
      <c r="AC89" s="1" t="e">
        <f ca="1">_xll.BDH($C$78,"ASSET_GROWTH","FQ1 2016","FQ1 2016","Currency=INR","Period=FQ","BEST_FPERIOD_OVERRIDE=FQ","FILING_STATUS=OR","EQY_CONSOLIDATED=Y","Sort=A","Dates=H","DateFormat=P","Fill=—","Direction=H","UseDPDF=Y")</f>
        <v>#NAME?</v>
      </c>
      <c r="AD89" s="1" t="e">
        <f ca="1">_xll.BDH($C$78,"MODIFIED_WORK_CAP_GROWTH","FQ1 2016","FQ1 2016","Currency=INR","Period=FQ","BEST_FPERIOD_OVERRIDE=FQ","FILING_STATUS=OR","EQY_CONSOLIDATED=Y","Sort=A","Dates=H","DateFormat=P","Fill=—","Direction=H","UseDPDF=Y")</f>
        <v>#NAME?</v>
      </c>
      <c r="AE89" s="1" t="e">
        <f ca="1">_xll.BDH($C$78,"WORK_CAP_GROWTH","FQ1 2016","FQ1 2016","Currency=INR","Period=FQ","BEST_FPERIOD_OVERRIDE=FQ","FILING_STATUS=OR","EQY_CONSOLIDATED=Y","Sort=A","Dates=H","DateFormat=P","Fill=—","Direction=H","UseDPDF=Y")</f>
        <v>#NAME?</v>
      </c>
      <c r="AF89" s="1" t="e">
        <f ca="1">_xll.BDH($C$78,"ACCOUNTS_PAYABLE_GROWTH_1YR","FQ1 2016","FQ1 2016","Currency=INR","Period=FQ","BEST_FPERIOD_OVERRIDE=FQ","FILING_STATUS=OR","EQY_CONSOLIDATED=Y","Sort=A","Dates=H","DateFormat=P","Fill=—","Direction=H","UseDPDF=Y")</f>
        <v>#NAME?</v>
      </c>
      <c r="AG89" s="1" t="e">
        <f ca="1">_xll.BDH($C$78,"SHORT_TERM_DEBT_1_YEAR_GROWTH","FQ1 2016","FQ1 2016","Currency=INR","Period=FQ","BEST_FPERIOD_OVERRIDE=FQ","FILING_STATUS=OR","EQY_CONSOLIDATED=Y","Sort=A","Dates=H","DateFormat=P","Fill=—","Direction=H","UseDPDF=Y")</f>
        <v>#NAME?</v>
      </c>
      <c r="AH89" s="1" t="e">
        <f ca="1">_xll.BDH($C$78,"TOTAL_DEBT_1_YEAR_GROWTH","FQ1 2016","FQ1 2016","Currency=INR","Period=FQ","BEST_FPERIOD_OVERRIDE=FQ","FILING_STATUS=OR","EQY_CONSOLIDATED=Y","Sort=A","Dates=H","DateFormat=P","Fill=—","Direction=H","UseDPDF=Y")</f>
        <v>#NAME?</v>
      </c>
      <c r="AI89" s="1" t="e">
        <f ca="1">_xll.BDH($C$78,"TOTAL_EQUITY_1_YEAR_GROWTH","FQ1 2016","FQ1 2016","Currency=INR","Period=FQ","BEST_FPERIOD_OVERRIDE=FQ","FILING_STATUS=OR","EQY_CONSOLIDATED=Y","Sort=A","Dates=H","DateFormat=P","Fill=—","Direction=H","UseDPDF=Y")</f>
        <v>#NAME?</v>
      </c>
      <c r="AJ89" s="1" t="e">
        <f ca="1">_xll.BDH($C$78,"GROWTH_IN_CAP","FQ1 2016","FQ1 2016","Currency=INR","Period=FQ","BEST_FPERIOD_OVERRIDE=FQ","FILING_STATUS=OR","EQY_CONSOLIDATED=Y","Sort=A","Dates=H","DateFormat=P","Fill=—","Direction=H","UseDPDF=Y")</f>
        <v>#NAME?</v>
      </c>
      <c r="AK89" s="1" t="e">
        <f ca="1">_xll.BDH($C$78,"BVPS_GROWTH","FQ1 2016","FQ1 2016","Currency=INR","Period=FQ","BEST_FPERIOD_OVERRIDE=FQ","FILING_STATUS=OR","EQY_CONSOLIDATED=Y","Sort=A","Dates=H","DateFormat=P","Fill=—","Direction=H","UseDPDF=Y")</f>
        <v>#NAME?</v>
      </c>
      <c r="AL89" s="1" t="e">
        <f ca="1">_xll.BDH($C$78,"CASH_FLOW_GROWTH","FQ1 2016","FQ1 2016","Currency=INR","Period=FQ","BEST_FPERIOD_OVERRIDE=FQ","FILING_STATUS=OR","EQY_CONSOLIDATED=Y","Sort=A","Dates=H","DateFormat=P","Fill=—","Direction=H","UseDPDF=Y")</f>
        <v>#NAME?</v>
      </c>
      <c r="AM89" s="1" t="e">
        <f ca="1">_xll.BDH($C$78,"GEO_GROW_NET_SALES","FQ1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89" s="1" t="e">
        <f ca="1">_xll.BDH($C$78,"GEO_GROW_EBITDA","FQ1 2016","FQ1 2016","Currency=INR","Period=FQ","BEST_FPERIOD_OVERRIDE=FQ","FILING_STATUS=OR","EQY_CONSOLIDATED=Y","FA_ADJUSTED=GAAP","Sort=A","Dates=H","DateFormat=P","Fill=—","Direction=H","UseDPDF=Y")</f>
        <v>#NAME?</v>
      </c>
      <c r="AO89" s="1" t="e">
        <f ca="1">_xll.BDH($C$78,"GEO_GROW_OPER_INC","FQ1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89" s="1" t="e">
        <f ca="1">_xll.BDH($C$78,"NET_INCOME_TO_COMMON_5_YR_GROWTH","FQ1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89" s="1" t="e">
        <f ca="1">_xll.BDH($C$78,"5Y_GEO_GROWTH_DILUTED_EPS","FQ1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89" s="1" t="e">
        <f ca="1">_xll.BDH($C$78,"GEO_GROW_DVD_PER_SH","FQ1 2016","FQ1 2016","Currency=INR","Period=FQ","BEST_FPERIOD_OVERRIDE=FQ","FILING_STATUS=OR","EQY_CONSOLIDATED=Y","Sort=A","Dates=H","DateFormat=P","Fill=—","Direction=H","UseDPDF=Y")</f>
        <v>#NAME?</v>
      </c>
      <c r="AS89" s="1" t="e">
        <f ca="1">_xll.BDH($C$78,"ACCOUNTS_RECEIVABLE_5_YR_GROWTH","FQ1 2016","FQ1 2016","Currency=INR","Period=FQ","BEST_FPERIOD_OVERRIDE=FQ","FILING_STATUS=OR","EQY_CONSOLIDATED=Y","Sort=A","Dates=H","DateFormat=P","Fill=—","Direction=H","UseDPDF=Y")</f>
        <v>#NAME?</v>
      </c>
      <c r="AT89" s="1" t="e">
        <f ca="1">_xll.BDH($C$78,"INVENTORY_5_YEAR_GROWTH","FQ1 2016","FQ1 2016","Currency=INR","Period=FQ","BEST_FPERIOD_OVERRIDE=FQ","FILING_STATUS=OR","EQY_CONSOLIDATED=Y","Sort=A","Dates=H","DateFormat=P","Fill=—","Direction=H","UseDPDF=Y")</f>
        <v>#NAME?</v>
      </c>
      <c r="AU89" s="1" t="e">
        <f ca="1">_xll.BDH($C$78,"NET_FIXED_ASSETS_5_YEAR_GROWTH","FQ1 2016","FQ1 2016","Currency=INR","Period=FQ","BEST_FPERIOD_OVERRIDE=FQ","FILING_STATUS=OR","EQY_CONSOLIDATED=Y","Sort=A","Dates=H","DateFormat=P","Fill=—","Direction=H","UseDPDF=Y")</f>
        <v>#NAME?</v>
      </c>
      <c r="AV89" s="1" t="e">
        <f ca="1">_xll.BDH($C$78,"GEO_GROW_TOT_ASSET","FQ1 2016","FQ1 2016","Currency=INR","Period=FQ","BEST_FPERIOD_OVERRIDE=FQ","FILING_STATUS=OR","EQY_CONSOLIDATED=Y","Sort=A","Dates=H","DateFormat=P","Fill=—","Direction=H","UseDPDF=Y")</f>
        <v>#NAME?</v>
      </c>
      <c r="AW89" s="1" t="e">
        <f ca="1">_xll.BDH($C$78,"MODIFIED_WORKING_CPTL_5YR_GRWTH","FQ1 2016","FQ1 2016","Currency=INR","Period=FQ","BEST_FPERIOD_OVERRIDE=FQ","FILING_STATUS=OR","EQY_CONSOLIDATED=Y","Sort=A","Dates=H","DateFormat=P","Fill=—","Direction=H","UseDPDF=Y")</f>
        <v>#NAME?</v>
      </c>
      <c r="AX89" s="1" t="e">
        <f ca="1">_xll.BDH($C$78,"WORKING_CAPITAL_5_YEAR_GROWTH","FQ1 2016","FQ1 2016","Currency=INR","Period=FQ","BEST_FPERIOD_OVERRIDE=FQ","FILING_STATUS=OR","EQY_CONSOLIDATED=Y","Sort=A","Dates=H","DateFormat=P","Fill=—","Direction=H","UseDPDF=Y")</f>
        <v>#NAME?</v>
      </c>
      <c r="AY89" s="1" t="e">
        <f ca="1">_xll.BDH($C$78,"ACCOUNTS_PAYABLE_5_YEAR_GROWTH","FQ1 2016","FQ1 2016","Currency=INR","Period=FQ","BEST_FPERIOD_OVERRIDE=FQ","FILING_STATUS=OR","EQY_CONSOLIDATED=Y","Sort=A","Dates=H","DateFormat=P","Fill=—","Direction=H","UseDPDF=Y")</f>
        <v>#NAME?</v>
      </c>
      <c r="AZ89" s="1" t="e">
        <f ca="1">_xll.BDH($C$78,"SHORT_TERM_DEBT_5_YEAR_GROWTH","FQ1 2016","FQ1 2016","Currency=INR","Period=FQ","BEST_FPERIOD_OVERRIDE=FQ","FILING_STATUS=OR","EQY_CONSOLIDATED=Y","Sort=A","Dates=H","DateFormat=P","Fill=—","Direction=H","UseDPDF=Y")</f>
        <v>#NAME?</v>
      </c>
      <c r="BA89" s="1" t="e">
        <f ca="1">_xll.BDH($C$78,"TOTAL_DEBT_5_YEAR_GROWTH","FQ1 2016","FQ1 2016","Currency=INR","Period=FQ","BEST_FPERIOD_OVERRIDE=FQ","FILING_STATUS=OR","EQY_CONSOLIDATED=Y","Sort=A","Dates=H","DateFormat=P","Fill=—","Direction=H","UseDPDF=Y")</f>
        <v>#NAME?</v>
      </c>
      <c r="BB89" s="1" t="e">
        <f ca="1">_xll.BDH($C$78,"GEO_GROW_TOT_SHRHLDR_EQY","FQ1 2016","FQ1 2016","Currency=INR","Period=FQ","BEST_FPERIOD_OVERRIDE=FQ","FILING_STATUS=OR","EQY_CONSOLIDATED=Y","Sort=A","Dates=H","DateFormat=P","Fill=—","Direction=H","UseDPDF=Y")</f>
        <v>#NAME?</v>
      </c>
      <c r="BC89" s="1" t="e">
        <f ca="1">_xll.BDH($C$78,"TOTAL_CAPITAL_5_YEAR_GROWTH","FQ1 2016","FQ1 2016","Currency=INR","Period=FQ","BEST_FPERIOD_OVERRIDE=FQ","FILING_STATUS=OR","EQY_CONSOLIDATED=Y","Sort=A","Dates=H","DateFormat=P","Fill=—","Direction=H","UseDPDF=Y")</f>
        <v>#NAME?</v>
      </c>
      <c r="BD89" s="1" t="e">
        <f ca="1">_xll.BDH($C$78,"GEO_GROW_BOOK_VAL","FQ1 2016","FQ1 2016","Currency=INR","Period=FQ","BEST_FPERIOD_OVERRIDE=FQ","FILING_STATUS=OR","EQY_CONSOLIDATED=Y","Sort=A","Dates=H","DateFormat=P","Fill=—","Direction=H","UseDPDF=Y")</f>
        <v>#NAME?</v>
      </c>
      <c r="BE89" s="1" t="e">
        <f ca="1">_xll.BDH($C$78,"GEO_GROW_CASH_OPER_ACT","FQ1 2016","FQ1 2016","Currency=INR","Period=FQ","BEST_FPERIOD_OVERRIDE=FQ","FILING_STATUS=OR","EQY_CONSOLIDATED=Y","Sort=A","Dates=H","DateFormat=P","Fill=—","Direction=H","UseDPDF=Y")</f>
        <v>#NAME?</v>
      </c>
      <c r="BF89" s="1" t="e">
        <f ca="1">_xll.BDH($C$78,"REVENUE_SEQUENTIAL_GROWTH","FQ1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89" s="1" t="e">
        <f ca="1">_xll.BDH($C$78,"EBITDA_SEQUENTIAL_GROWTH","FQ1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89" s="1" t="e">
        <f ca="1">_xll.BDH($C$78,"OPERATING_INCOME_SEQ_GROWTH","FQ1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89" s="1" t="e">
        <f ca="1">_xll.BDH($C$78,"NET_INCOME_TO_COMMON_SEQ_GROWTH","FQ1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89" s="1" t="e">
        <f ca="1">_xll.BDH($C$78,"EPS_DILUTED_SEQUENTIAL_GROWTH","FQ1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89" s="1" t="e">
        <f ca="1">_xll.BDH($C$78,"DPS_SEQUENTIAL_GROWTH","FQ1 2016","FQ1 2016","Currency=INR","Period=FQ","BEST_FPERIOD_OVERRIDE=FQ","FILING_STATUS=OR","EQY_CONSOLIDATED=Y","Sort=A","Dates=H","DateFormat=P","Fill=—","Direction=H","UseDPDF=Y")</f>
        <v>#NAME?</v>
      </c>
      <c r="BL89" s="1" t="e">
        <f ca="1">_xll.BDH($C$78,"ACCOUNTS_RECEIVABLE_SEQ_GROWTH","FQ1 2016","FQ1 2016","Currency=INR","Period=FQ","BEST_FPERIOD_OVERRIDE=FQ","FILING_STATUS=OR","EQY_CONSOLIDATED=Y","Sort=A","Dates=H","DateFormat=P","Fill=—","Direction=H","UseDPDF=Y")</f>
        <v>#NAME?</v>
      </c>
      <c r="BM89" s="1" t="e">
        <f ca="1">_xll.BDH($C$78,"INVENTORY_SEQUENTIAL_GROWTH","FQ1 2016","FQ1 2016","Currency=INR","Period=FQ","BEST_FPERIOD_OVERRIDE=FQ","FILING_STATUS=OR","EQY_CONSOLIDATED=Y","Sort=A","Dates=H","DateFormat=P","Fill=—","Direction=H","UseDPDF=Y")</f>
        <v>#NAME?</v>
      </c>
      <c r="BN89" s="1" t="e">
        <f ca="1">_xll.BDH($C$78,"FIXED_ASSETS_SEQUENTIAL_GROWTH","FQ1 2016","FQ1 2016","Currency=INR","Period=FQ","BEST_FPERIOD_OVERRIDE=FQ","FILING_STATUS=OR","EQY_CONSOLIDATED=Y","Sort=A","Dates=H","DateFormat=P","Fill=—","Direction=H","UseDPDF=Y")</f>
        <v>#NAME?</v>
      </c>
      <c r="BO89" s="1" t="e">
        <f ca="1">_xll.BDH($C$78,"TOTAL_ASSETS_SEQUENTIAL_GROWTH","FQ1 2016","FQ1 2016","Currency=INR","Period=FQ","BEST_FPERIOD_OVERRIDE=FQ","FILING_STATUS=OR","EQY_CONSOLIDATED=Y","Sort=A","Dates=H","DateFormat=P","Fill=—","Direction=H","UseDPDF=Y")</f>
        <v>#NAME?</v>
      </c>
      <c r="BP89" s="1" t="e">
        <f ca="1">_xll.BDH($C$78,"MODIFIED_WORKING_CPTL_SEQ_GRWTH","FQ1 2016","FQ1 2016","Currency=INR","Period=FQ","BEST_FPERIOD_OVERRIDE=FQ","FILING_STATUS=OR","EQY_CONSOLIDATED=Y","Sort=A","Dates=H","DateFormat=P","Fill=—","Direction=H","UseDPDF=Y")</f>
        <v>#NAME?</v>
      </c>
      <c r="BQ89" s="1" t="e">
        <f ca="1">_xll.BDH($C$78,"WORKING_CAPITAL_SEQ_GROWTH","FQ1 2016","FQ1 2016","Currency=INR","Period=FQ","BEST_FPERIOD_OVERRIDE=FQ","FILING_STATUS=OR","EQY_CONSOLIDATED=Y","Sort=A","Dates=H","DateFormat=P","Fill=—","Direction=H","UseDPDF=Y")</f>
        <v>#NAME?</v>
      </c>
      <c r="BR89" s="1" t="e">
        <f ca="1">_xll.BDH($C$78,"ACCOUNTS_PAYABLE_SEQ_GROWTH","FQ1 2016","FQ1 2016","Currency=INR","Period=FQ","BEST_FPERIOD_OVERRIDE=FQ","FILING_STATUS=OR","EQY_CONSOLIDATED=Y","Sort=A","Dates=H","DateFormat=P","Fill=—","Direction=H","UseDPDF=Y")</f>
        <v>#NAME?</v>
      </c>
      <c r="BS89" s="1" t="e">
        <f ca="1">_xll.BDH($C$78,"ST_DEBT_SEQUENTIAL_GROWTH","FQ1 2016","FQ1 2016","Currency=INR","Period=FQ","BEST_FPERIOD_OVERRIDE=FQ","FILING_STATUS=OR","EQY_CONSOLIDATED=Y","Sort=A","Dates=H","DateFormat=P","Fill=—","Direction=H","UseDPDF=Y")</f>
        <v>#NAME?</v>
      </c>
      <c r="BT89" s="1" t="e">
        <f ca="1">_xll.BDH($C$78,"TOTAL_DEBT_SEQUENTIAL_GROWTH","FQ1 2016","FQ1 2016","Currency=INR","Period=FQ","BEST_FPERIOD_OVERRIDE=FQ","FILING_STATUS=OR","EQY_CONSOLIDATED=Y","Sort=A","Dates=H","DateFormat=P","Fill=—","Direction=H","UseDPDF=Y")</f>
        <v>#NAME?</v>
      </c>
      <c r="BU89" s="1" t="e">
        <f ca="1">_xll.BDH($C$78,"TOTAL_EQUITY_SEQUENTIAL_GROWTH","FQ1 2016","FQ1 2016","Currency=INR","Period=FQ","BEST_FPERIOD_OVERRIDE=FQ","FILING_STATUS=OR","EQY_CONSOLIDATED=Y","Sort=A","Dates=H","DateFormat=P","Fill=—","Direction=H","UseDPDF=Y")</f>
        <v>#NAME?</v>
      </c>
      <c r="BV89" s="1" t="e">
        <f ca="1">_xll.BDH($C$78,"TOTAL_CAPITAL_SEQUENTIAL_GROWTH","FQ1 2016","FQ1 2016","Currency=INR","Period=FQ","BEST_FPERIOD_OVERRIDE=FQ","FILING_STATUS=OR","EQY_CONSOLIDATED=Y","Sort=A","Dates=H","DateFormat=P","Fill=—","Direction=H","UseDPDF=Y")</f>
        <v>#NAME?</v>
      </c>
      <c r="BW89" s="1" t="e">
        <f ca="1">_xll.BDH($C$78,"BPS_SEQUENTIAL_GROWTH","FQ1 2016","FQ1 2016","Currency=INR","Period=FQ","BEST_FPERIOD_OVERRIDE=FQ","FILING_STATUS=OR","EQY_CONSOLIDATED=Y","Sort=A","Dates=H","DateFormat=P","Fill=—","Direction=H","UseDPDF=Y")</f>
        <v>#NAME?</v>
      </c>
      <c r="BX89" s="1" t="e">
        <f ca="1">_xll.BDH($C$78,"CFO_SEQUENTIAL_GROWTH","FQ1 2016","FQ1 2016","Currency=INR","Period=FQ","BEST_FPERIOD_OVERRIDE=FQ","FILING_STATUS=OR","EQY_CONSOLIDATED=Y","Sort=A","Dates=H","DateFormat=P","Fill=—","Direction=H","UseDPDF=Y")</f>
        <v>#NAME?</v>
      </c>
      <c r="BY89" s="2" t="e">
        <f ca="1">_xll.BDH($C$78,"SHORT_AND_LONG_TERM_DEBT","FQ1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89" s="2" t="e">
        <f ca="1">_xll.BDH($C$78,"BS_ST_BORROW","FQ1 2016","FQ1 2016","Currency=INR","Period=FQ","BEST_FPERIOD_OVERRIDE=FQ","FILING_STATUS=OR","EQY_CONSOLIDATED=Y","SCALING_FORMAT=MLN","Sort=A","Dates=H","DateFormat=P","Fill=—","Direction=H","UseDPDF=Y")</f>
        <v>#NAME?</v>
      </c>
      <c r="CA89" s="2" t="e">
        <f ca="1">_xll.BDH($C$78,"BS_LT_BORROW","FQ1 2016","FQ1 2016","Currency=INR","Period=FQ","BEST_FPERIOD_OVERRIDE=FQ","FILING_STATUS=OR","EQY_CONSOLIDATED=Y","SCALING_FORMAT=MLN","Sort=A","Dates=H","DateFormat=P","Fill=—","Direction=H","UseDPDF=Y")</f>
        <v>#NAME?</v>
      </c>
      <c r="CB89" s="1" t="e">
        <f ca="1">_xll.BDH($C$78,"TOT_DEBT_TO_EBITDA","FQ1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89" s="1" t="e">
        <f ca="1">_xll.BDH($C$78,"NET_DEBT_TO_EBITDA","FQ1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89" s="1" t="e">
        <f ca="1">_xll.BDH($C$78,"TOTAL_DEBT_TO_EBIT","FQ1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89" s="1" t="e">
        <f ca="1">_xll.BDH($C$78,"NET_DEBT_TO_EBIT","FQ1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89" s="1" t="e">
        <f ca="1">_xll.BDH($C$78,"EBITDA_TO_INTEREST_EXPN","FQ1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89" s="1" t="e">
        <f ca="1">_xll.BDH($C$78,"COM_EQY_TO_TOT_ASSET","FQ1 2016","FQ1 2016","Currency=INR","Period=FQ","BEST_FPERIOD_OVERRIDE=FQ","FILING_STATUS=OR","EQY_CONSOLIDATED=Y","Sort=A","Dates=H","DateFormat=P","Fill=—","Direction=H","UseDPDF=Y")</f>
        <v>#NAME?</v>
      </c>
      <c r="CH89" s="1" t="e">
        <f ca="1">_xll.BDH($C$78,"LT_DEBT_TO_TOT_EQY","FQ1 2016","FQ1 2016","Currency=INR","Period=FQ","BEST_FPERIOD_OVERRIDE=FQ","FILING_STATUS=OR","EQY_CONSOLIDATED=Y","Sort=A","Dates=H","DateFormat=P","Fill=—","Direction=H","UseDPDF=Y")</f>
        <v>#NAME?</v>
      </c>
      <c r="CI89" s="1" t="e">
        <f ca="1">_xll.BDH($C$78,"LT_DEBT_TO_TOT_CAP","FQ1 2016","FQ1 2016","Currency=INR","Period=FQ","BEST_FPERIOD_OVERRIDE=FQ","FILING_STATUS=OR","EQY_CONSOLIDATED=Y","Sort=A","Dates=H","DateFormat=P","Fill=—","Direction=H","UseDPDF=Y")</f>
        <v>#NAME?</v>
      </c>
      <c r="CJ89" s="1" t="e">
        <f ca="1">_xll.BDH($C$78,"LT_DEBT_TO_TOT_ASSET","FQ1 2016","FQ1 2016","Currency=INR","Period=FQ","BEST_FPERIOD_OVERRIDE=FQ","FILING_STATUS=OR","EQY_CONSOLIDATED=Y","Sort=A","Dates=H","DateFormat=P","Fill=—","Direction=H","UseDPDF=Y")</f>
        <v>#NAME?</v>
      </c>
      <c r="CK89" s="1" t="e">
        <f ca="1">_xll.BDH($C$78,"TOT_DEBT_TO_TOT_EQY","FQ1 2016","FQ1 2016","Currency=INR","Period=FQ","BEST_FPERIOD_OVERRIDE=FQ","FILING_STATUS=OR","EQY_CONSOLIDATED=Y","Sort=A","Dates=H","DateFormat=P","Fill=—","Direction=H","UseDPDF=Y")</f>
        <v>#NAME?</v>
      </c>
      <c r="CL89" s="1" t="e">
        <f ca="1">_xll.BDH($C$78,"TOT_DEBT_TO_TOT_CAP","FQ1 2016","FQ1 2016","Currency=INR","Period=FQ","BEST_FPERIOD_OVERRIDE=FQ","FILING_STATUS=OR","EQY_CONSOLIDATED=Y","Sort=A","Dates=H","DateFormat=P","Fill=—","Direction=H","UseDPDF=Y")</f>
        <v>#NAME?</v>
      </c>
      <c r="CM89" s="1" t="e">
        <f ca="1">_xll.BDH($C$78,"TOT_DEBT_TO_TOT_ASSET","FQ1 2016","FQ1 2016","Currency=INR","Period=FQ","BEST_FPERIOD_OVERRIDE=FQ","FILING_STATUS=OR","EQY_CONSOLIDATED=Y","Sort=A","Dates=H","DateFormat=P","Fill=—","Direction=H","UseDPDF=Y")</f>
        <v>#NAME?</v>
      </c>
      <c r="CN89" s="1" t="e">
        <f ca="1">_xll.BDH($C$78,"NET_DEBT_TO_SHRHLDR_EQTY","FQ1 2016","FQ1 2016","Currency=INR","Period=FQ","BEST_FPERIOD_OVERRIDE=FQ","FILING_STATUS=OR","EQY_CONSOLIDATED=Y","Sort=A","Dates=H","DateFormat=P","Fill=—","Direction=H","UseDPDF=Y")</f>
        <v>#NAME?</v>
      </c>
      <c r="CO89" s="1" t="e">
        <f ca="1">_xll.BDH($C$78,"NET_DEBT_%_CAPITAL","FQ1 2016","FQ1 2016","Currency=INR","Period=FQ","BEST_FPERIOD_OVERRIDE=FQ","FILING_STATUS=OR","EQY_CONSOLIDATED=Y","Sort=A","Dates=H","DateFormat=P","Fill=—","Direction=H","UseDPDF=Y")</f>
        <v>#NAME?</v>
      </c>
      <c r="CP89" s="2" t="e">
        <f ca="1">_xll.BDH($C$78,"EBITDA","FQ1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89" s="2" t="e">
        <f ca="1">_xll.BDH($C$78,"EBITDA_AFTER_CAPEX","FQ1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89" s="2" t="e">
        <f ca="1">_xll.BDH($C$78,"IS_OPER_INC","FQ1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89" s="1" t="e">
        <f ca="1">_xll.BDH($C$78,"CASH_RATIO","FQ1 2016","FQ1 2016","Currency=INR","Period=FQ","BEST_FPERIOD_OVERRIDE=FQ","FILING_STATUS=OR","EQY_CONSOLIDATED=Y","Sort=A","Dates=H","DateFormat=P","Fill=—","Direction=H","UseDPDF=Y")</f>
        <v>#NAME?</v>
      </c>
      <c r="CT89" s="1" t="e">
        <f ca="1">_xll.BDH($C$78,"CUR_RATIO","FQ1 2016","FQ1 2016","Currency=INR","Period=FQ","BEST_FPERIOD_OVERRIDE=FQ","FILING_STATUS=OR","EQY_CONSOLIDATED=Y","Sort=A","Dates=H","DateFormat=P","Fill=—","Direction=H","UseDPDF=Y")</f>
        <v>#NAME?</v>
      </c>
      <c r="CU89" s="1" t="e">
        <f ca="1">_xll.BDH($C$78,"QUICK_RATIO","FQ1 2016","FQ1 2016","Currency=INR","Period=FQ","BEST_FPERIOD_OVERRIDE=FQ","FILING_STATUS=OR","EQY_CONSOLIDATED=Y","Sort=A","Dates=H","DateFormat=P","Fill=—","Direction=H","UseDPDF=Y")</f>
        <v>#NAME?</v>
      </c>
      <c r="CV89" s="1" t="e">
        <f ca="1">_xll.BDH($C$78,"ALTMAN_Z_SCORE","FQ1 2016","FQ1 2016","Currency=INR","Period=FQ","BEST_FPERIOD_OVERRIDE=FQ","FILING_STATUS=OR","EQY_CONSOLIDATED=Y","Sort=A","Dates=H","DateFormat=P","Fill=—","Direction=H","UseDPDF=Y")</f>
        <v>#NAME?</v>
      </c>
      <c r="CW89" s="3" t="e">
        <f ca="1">_xll.BDH($C$78,"ACCT_RCV_TURN","FQ1 2016","FQ1 2016","Currency=INR","Period=FQ","BEST_FPERIOD_OVERRIDE=FQ","FILING_STATUS=OR","EQY_CONSOLIDATED=Y","FA_ADJUSTED=GAAP","Sort=A","Dates=H","DateFormat=P","Fill=—","Direction=H","UseDPDF=Y")</f>
        <v>#NAME?</v>
      </c>
      <c r="CX89" s="1" t="e">
        <f ca="1">_xll.BDH($C$78,"ACCT_RCV_DAYS","FQ1 2016","FQ1 2016","Currency=INR","Period=FQ","BEST_FPERIOD_OVERRIDE=FQ","FILING_STATUS=OR","EQY_CONSOLIDATED=Y","FA_ADJUSTED=GAAP","Sort=A","Dates=H","DateFormat=P","Fill=—","Direction=H","UseDPDF=Y")</f>
        <v>#NAME?</v>
      </c>
      <c r="CY89" s="3" t="e">
        <f ca="1">_xll.BDH($C$78,"INVENT_TURN","FQ1 2016","FQ1 2016","Currency=INR","Period=FQ","BEST_FPERIOD_OVERRIDE=FQ","FILING_STATUS=OR","EQY_CONSOLIDATED=Y","FA_ADJUSTED=GAAP","Sort=A","Dates=H","DateFormat=P","Fill=—","Direction=H","UseDPDF=Y")</f>
        <v>#NAME?</v>
      </c>
      <c r="CZ89" s="1" t="e">
        <f ca="1">_xll.BDH($C$78,"INVENT_DAYS","FQ1 2016","FQ1 2016","Currency=INR","Period=FQ","BEST_FPERIOD_OVERRIDE=FQ","FILING_STATUS=OR","EQY_CONSOLIDATED=Y","FA_ADJUSTED=GAAP","Sort=A","Dates=H","DateFormat=P","Fill=—","Direction=H","UseDPDF=Y")</f>
        <v>#NAME?</v>
      </c>
      <c r="DA89" s="3" t="e">
        <f ca="1">_xll.BDH($C$78,"ACCOUNTS_PAYABLE_TURNOVER","FQ1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89" s="1" t="e">
        <f ca="1">_xll.BDH($C$78,"ACCOUNTS_PAYABLE_TURNOVER_DAYS","FQ1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89" s="3" t="e">
        <f ca="1">_xll.BDH($C$78,"CASH_CONVERSION_CYCLE","FQ1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89" s="3" t="e">
        <f ca="1">_xll.BDH($C$78,"INV_TO_CASH_DAYS","FQ1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89" s="4" t="e">
        <f ca="1">_xll.BDH($C$78,"BS_INVENTORIES","FQ1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89" s="2" t="e">
        <f ca="1">_xll.BDH($C$78,"INVTRY_RAW_MATERIALS","FQ1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89" s="2" t="e">
        <f ca="1">_xll.BDH($C$78,"INVTRY_IN_PROGRESS","FQ1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89" s="2" t="e">
        <f ca="1">_xll.BDH($C$78,"INVTRY_FINISHED_GOODS","FQ1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89" s="2" t="e">
        <f ca="1">_xll.BDH($C$78,"BS_OTHER_INV","FQ1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90" spans="1:113" x14ac:dyDescent="0.3">
      <c r="A90" s="6"/>
      <c r="B90" s="6"/>
      <c r="C90" s="6"/>
      <c r="D90" s="6"/>
      <c r="E90" t="s">
        <v>5</v>
      </c>
      <c r="F90" t="e">
        <f ca="1">_xll.BDH($C$78,"RETURN_COM_EQY","FQ2 2016","FQ2 2016","Currency=INR","Period=FQ","BEST_FPERIOD_OVERRIDE=FQ","FILING_STATUS=OR","EQY_CONSOLIDATED=Y","FA_ADJUSTED=GAAP","Sort=A","Dates=H","DateFormat=P","Fill=—","Direction=H","UseDPDF=Y")</f>
        <v>#NAME?</v>
      </c>
      <c r="G90" t="e">
        <f ca="1">_xll.BDH($C$78,"RETURN_ON_ASSET","FQ2 2016","FQ2 2016","Currency=INR","Period=FQ","BEST_FPERIOD_OVERRIDE=FQ","FILING_STATUS=OR","EQY_CONSOLIDATED=Y","FA_ADJUSTED=GAAP","Sort=A","Dates=H","DateFormat=P","Fill=—","Direction=H","UseDPDF=Y")</f>
        <v>#NAME?</v>
      </c>
      <c r="H90" t="e">
        <f ca="1">_xll.BDH($C$78,"RETURN_ON_CAP","FQ2 2016","FQ2 2016","Currency=INR","Period=FQ","BEST_FPERIOD_OVERRIDE=FQ","FILING_STATUS=OR","EQY_CONSOLIDATED=Y","FA_ADJUSTED=GAAP","Sort=A","Dates=H","DateFormat=P","Fill=—","Direction=H","UseDPDF=Y")</f>
        <v>#NAME?</v>
      </c>
      <c r="I90" t="e">
        <f ca="1">_xll.BDH($C$78,"RETURN_ON_INV_CAPITAL","FQ2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90" t="e">
        <f ca="1">_xll.BDH($C$78,"EBITDA_TO_REVENUE","FQ2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90" t="e">
        <f ca="1">_xll.BDH($C$78,"OPER_MARGIN","FQ2 2016","FQ2 2016","Currency=INR","Period=FQ","BEST_FPERIOD_OVERRIDE=FQ","FILING_STATUS=OR","EQY_CONSOLIDATED=Y","FA_ADJUSTED=GAAP","Sort=A","Dates=H","DateFormat=P","Fill=—","Direction=H","UseDPDF=Y")</f>
        <v>#NAME?</v>
      </c>
      <c r="L90" t="e">
        <f ca="1">_xll.BDH($C$78,"INCREMENTAL_OPERATING_MARGIN","FQ2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90" t="e">
        <f ca="1">_xll.BDH($C$78,"PRETAX_INC_TO_NET_SALES","FQ2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90" t="e">
        <f ca="1">_xll.BDH($C$78,"INC_BEF_XO_ITEMS_TO_NET_SALES","FQ2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90" t="e">
        <f ca="1">_xll.BDH($C$78,"PROF_MARGIN","FQ2 2016","FQ2 2016","Currency=INR","Period=FQ","BEST_FPERIOD_OVERRIDE=FQ","FILING_STATUS=OR","EQY_CONSOLIDATED=Y","FA_ADJUSTED=GAAP","Sort=A","Dates=H","DateFormat=P","Fill=—","Direction=H","UseDPDF=Y")</f>
        <v>#NAME?</v>
      </c>
      <c r="P90" t="e">
        <f ca="1">_xll.BDH($C$78,"NET_INCOME_TO_COMMON_MARGIN","FQ2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90" t="e">
        <f ca="1">_xll.BDH($C$78,"EFF_TAX_RATE","FQ2 2016","FQ2 2016","Currency=INR","Period=FQ","BEST_FPERIOD_OVERRIDE=FQ","FILING_STATUS=OR","EQY_CONSOLIDATED=Y","FA_ADJUSTED=GAAP","Sort=A","Dates=H","DateFormat=P","Fill=—","Direction=H","UseDPDF=Y")</f>
        <v>#NAME?</v>
      </c>
      <c r="R90" t="e">
        <f ca="1">_xll.BDH($C$78,"DVD_PAYOUT_RATIO","FQ2 2016","FQ2 2016","Currency=INR","Period=FQ","BEST_FPERIOD_OVERRIDE=FQ","FILING_STATUS=OR","EQY_CONSOLIDATED=Y","FA_ADJUSTED=GAAP","Sort=A","Dates=H","DateFormat=P","Fill=—","Direction=H","UseDPDF=Y")</f>
        <v>#NAME?</v>
      </c>
      <c r="S90" t="e">
        <f ca="1">_xll.BDH($C$78,"SUSTAIN_GROWTH_RT","FQ2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90" s="1" t="e">
        <f ca="1">_xll.BDH($C$78,"SALES_GROWTH","FQ2 2016","FQ2 2016","Currency=INR","Period=FQ","BEST_FPERIOD_OVERRIDE=FQ","FILING_STATUS=OR","EQY_CONSOLIDATED=Y","FA_ADJUSTED=GAAP","Sort=A","Dates=H","DateFormat=P","Fill=—","Direction=H","UseDPDF=Y")</f>
        <v>#NAME?</v>
      </c>
      <c r="U90" s="1" t="e">
        <f ca="1">_xll.BDH($C$78,"EBITDA_GROWTH","FQ2 2016","FQ2 2016","Currency=INR","Period=FQ","BEST_FPERIOD_OVERRIDE=FQ","FILING_STATUS=OR","EQY_CONSOLIDATED=Y","FA_ADJUSTED=GAAP","Sort=A","Dates=H","DateFormat=P","Fill=—","Direction=H","UseDPDF=Y")</f>
        <v>#NAME?</v>
      </c>
      <c r="V90" s="1" t="e">
        <f ca="1">_xll.BDH($C$78,"OPER_INC_GROWTH","FQ2 2016","FQ2 2016","Currency=INR","Period=FQ","BEST_FPERIOD_OVERRIDE=FQ","FILING_STATUS=OR","EQY_CONSOLIDATED=Y","FA_ADJUSTED=GAAP","Sort=A","Dates=H","DateFormat=P","Fill=—","Direction=H","UseDPDF=Y")</f>
        <v>#NAME?</v>
      </c>
      <c r="W90" s="1" t="e">
        <f ca="1">_xll.BDH($C$78,"EARN_FOR_COM_GROWTH","FQ2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90" s="1" t="e">
        <f ca="1">_xll.BDH($C$78,"DILUTED_EPS_AFT_XO_ITEMS_GROWTH","FQ2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90" s="1" t="e">
        <f ca="1">_xll.BDH($C$78,"DIVIDEND_PER_SHARE_1_YEAR_GROWTH","FQ2 2016","FQ2 2016","Currency=INR","Period=FQ","BEST_FPERIOD_OVERRIDE=FQ","FILING_STATUS=OR","EQY_CONSOLIDATED=Y","Sort=A","Dates=H","DateFormat=P","Fill=—","Direction=H","UseDPDF=Y")</f>
        <v>#NAME?</v>
      </c>
      <c r="Z90" s="1" t="e">
        <f ca="1">_xll.BDH($C$78,"ACCOUNTS_RECEIVABLE_GROWTH","FQ2 2016","FQ2 2016","Currency=INR","Period=FQ","BEST_FPERIOD_OVERRIDE=FQ","FILING_STATUS=OR","EQY_CONSOLIDATED=Y","Sort=A","Dates=H","DateFormat=P","Fill=—","Direction=H","UseDPDF=Y")</f>
        <v>#NAME?</v>
      </c>
      <c r="AA90" s="1" t="e">
        <f ca="1">_xll.BDH($C$78,"INVENTORY_GROWTH","FQ2 2016","FQ2 2016","Currency=INR","Period=FQ","BEST_FPERIOD_OVERRIDE=FQ","FILING_STATUS=OR","EQY_CONSOLIDATED=Y","Sort=A","Dates=H","DateFormat=P","Fill=—","Direction=H","UseDPDF=Y")</f>
        <v>#NAME?</v>
      </c>
      <c r="AB90" s="1" t="e">
        <f ca="1">_xll.BDH($C$78,"NET_FIXED_ASSETS_1_YEAR_GROWTH","FQ2 2016","FQ2 2016","Currency=INR","Period=FQ","BEST_FPERIOD_OVERRIDE=FQ","FILING_STATUS=OR","EQY_CONSOLIDATED=Y","Sort=A","Dates=H","DateFormat=P","Fill=—","Direction=H","UseDPDF=Y")</f>
        <v>#NAME?</v>
      </c>
      <c r="AC90" s="1" t="e">
        <f ca="1">_xll.BDH($C$78,"ASSET_GROWTH","FQ2 2016","FQ2 2016","Currency=INR","Period=FQ","BEST_FPERIOD_OVERRIDE=FQ","FILING_STATUS=OR","EQY_CONSOLIDATED=Y","Sort=A","Dates=H","DateFormat=P","Fill=—","Direction=H","UseDPDF=Y")</f>
        <v>#NAME?</v>
      </c>
      <c r="AD90" s="1" t="e">
        <f ca="1">_xll.BDH($C$78,"MODIFIED_WORK_CAP_GROWTH","FQ2 2016","FQ2 2016","Currency=INR","Period=FQ","BEST_FPERIOD_OVERRIDE=FQ","FILING_STATUS=OR","EQY_CONSOLIDATED=Y","Sort=A","Dates=H","DateFormat=P","Fill=—","Direction=H","UseDPDF=Y")</f>
        <v>#NAME?</v>
      </c>
      <c r="AE90" s="1" t="e">
        <f ca="1">_xll.BDH($C$78,"WORK_CAP_GROWTH","FQ2 2016","FQ2 2016","Currency=INR","Period=FQ","BEST_FPERIOD_OVERRIDE=FQ","FILING_STATUS=OR","EQY_CONSOLIDATED=Y","Sort=A","Dates=H","DateFormat=P","Fill=—","Direction=H","UseDPDF=Y")</f>
        <v>#NAME?</v>
      </c>
      <c r="AF90" s="1" t="e">
        <f ca="1">_xll.BDH($C$78,"ACCOUNTS_PAYABLE_GROWTH_1YR","FQ2 2016","FQ2 2016","Currency=INR","Period=FQ","BEST_FPERIOD_OVERRIDE=FQ","FILING_STATUS=OR","EQY_CONSOLIDATED=Y","Sort=A","Dates=H","DateFormat=P","Fill=—","Direction=H","UseDPDF=Y")</f>
        <v>#NAME?</v>
      </c>
      <c r="AG90" s="1" t="e">
        <f ca="1">_xll.BDH($C$78,"SHORT_TERM_DEBT_1_YEAR_GROWTH","FQ2 2016","FQ2 2016","Currency=INR","Period=FQ","BEST_FPERIOD_OVERRIDE=FQ","FILING_STATUS=OR","EQY_CONSOLIDATED=Y","Sort=A","Dates=H","DateFormat=P","Fill=—","Direction=H","UseDPDF=Y")</f>
        <v>#NAME?</v>
      </c>
      <c r="AH90" s="1" t="e">
        <f ca="1">_xll.BDH($C$78,"TOTAL_DEBT_1_YEAR_GROWTH","FQ2 2016","FQ2 2016","Currency=INR","Period=FQ","BEST_FPERIOD_OVERRIDE=FQ","FILING_STATUS=OR","EQY_CONSOLIDATED=Y","Sort=A","Dates=H","DateFormat=P","Fill=—","Direction=H","UseDPDF=Y")</f>
        <v>#NAME?</v>
      </c>
      <c r="AI90" s="1" t="e">
        <f ca="1">_xll.BDH($C$78,"TOTAL_EQUITY_1_YEAR_GROWTH","FQ2 2016","FQ2 2016","Currency=INR","Period=FQ","BEST_FPERIOD_OVERRIDE=FQ","FILING_STATUS=OR","EQY_CONSOLIDATED=Y","Sort=A","Dates=H","DateFormat=P","Fill=—","Direction=H","UseDPDF=Y")</f>
        <v>#NAME?</v>
      </c>
      <c r="AJ90" s="1" t="e">
        <f ca="1">_xll.BDH($C$78,"GROWTH_IN_CAP","FQ2 2016","FQ2 2016","Currency=INR","Period=FQ","BEST_FPERIOD_OVERRIDE=FQ","FILING_STATUS=OR","EQY_CONSOLIDATED=Y","Sort=A","Dates=H","DateFormat=P","Fill=—","Direction=H","UseDPDF=Y")</f>
        <v>#NAME?</v>
      </c>
      <c r="AK90" s="1" t="e">
        <f ca="1">_xll.BDH($C$78,"BVPS_GROWTH","FQ2 2016","FQ2 2016","Currency=INR","Period=FQ","BEST_FPERIOD_OVERRIDE=FQ","FILING_STATUS=OR","EQY_CONSOLIDATED=Y","Sort=A","Dates=H","DateFormat=P","Fill=—","Direction=H","UseDPDF=Y")</f>
        <v>#NAME?</v>
      </c>
      <c r="AL90" s="1" t="e">
        <f ca="1">_xll.BDH($C$78,"CASH_FLOW_GROWTH","FQ2 2016","FQ2 2016","Currency=INR","Period=FQ","BEST_FPERIOD_OVERRIDE=FQ","FILING_STATUS=OR","EQY_CONSOLIDATED=Y","Sort=A","Dates=H","DateFormat=P","Fill=—","Direction=H","UseDPDF=Y")</f>
        <v>#NAME?</v>
      </c>
      <c r="AM90" s="1" t="e">
        <f ca="1">_xll.BDH($C$78,"GEO_GROW_NET_SALES","FQ2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90" s="1" t="e">
        <f ca="1">_xll.BDH($C$78,"GEO_GROW_EBITDA","FQ2 2016","FQ2 2016","Currency=INR","Period=FQ","BEST_FPERIOD_OVERRIDE=FQ","FILING_STATUS=OR","EQY_CONSOLIDATED=Y","FA_ADJUSTED=GAAP","Sort=A","Dates=H","DateFormat=P","Fill=—","Direction=H","UseDPDF=Y")</f>
        <v>#NAME?</v>
      </c>
      <c r="AO90" s="1" t="e">
        <f ca="1">_xll.BDH($C$78,"GEO_GROW_OPER_INC","FQ2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90" s="1" t="e">
        <f ca="1">_xll.BDH($C$78,"NET_INCOME_TO_COMMON_5_YR_GROWTH","FQ2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90" s="1" t="e">
        <f ca="1">_xll.BDH($C$78,"5Y_GEO_GROWTH_DILUTED_EPS","FQ2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90" s="1" t="e">
        <f ca="1">_xll.BDH($C$78,"GEO_GROW_DVD_PER_SH","FQ2 2016","FQ2 2016","Currency=INR","Period=FQ","BEST_FPERIOD_OVERRIDE=FQ","FILING_STATUS=OR","EQY_CONSOLIDATED=Y","Sort=A","Dates=H","DateFormat=P","Fill=—","Direction=H","UseDPDF=Y")</f>
        <v>#NAME?</v>
      </c>
      <c r="AS90" s="1" t="e">
        <f ca="1">_xll.BDH($C$78,"ACCOUNTS_RECEIVABLE_5_YR_GROWTH","FQ2 2016","FQ2 2016","Currency=INR","Period=FQ","BEST_FPERIOD_OVERRIDE=FQ","FILING_STATUS=OR","EQY_CONSOLIDATED=Y","Sort=A","Dates=H","DateFormat=P","Fill=—","Direction=H","UseDPDF=Y")</f>
        <v>#NAME?</v>
      </c>
      <c r="AT90" s="1" t="e">
        <f ca="1">_xll.BDH($C$78,"INVENTORY_5_YEAR_GROWTH","FQ2 2016","FQ2 2016","Currency=INR","Period=FQ","BEST_FPERIOD_OVERRIDE=FQ","FILING_STATUS=OR","EQY_CONSOLIDATED=Y","Sort=A","Dates=H","DateFormat=P","Fill=—","Direction=H","UseDPDF=Y")</f>
        <v>#NAME?</v>
      </c>
      <c r="AU90" s="1" t="e">
        <f ca="1">_xll.BDH($C$78,"NET_FIXED_ASSETS_5_YEAR_GROWTH","FQ2 2016","FQ2 2016","Currency=INR","Period=FQ","BEST_FPERIOD_OVERRIDE=FQ","FILING_STATUS=OR","EQY_CONSOLIDATED=Y","Sort=A","Dates=H","DateFormat=P","Fill=—","Direction=H","UseDPDF=Y")</f>
        <v>#NAME?</v>
      </c>
      <c r="AV90" s="1" t="e">
        <f ca="1">_xll.BDH($C$78,"GEO_GROW_TOT_ASSET","FQ2 2016","FQ2 2016","Currency=INR","Period=FQ","BEST_FPERIOD_OVERRIDE=FQ","FILING_STATUS=OR","EQY_CONSOLIDATED=Y","Sort=A","Dates=H","DateFormat=P","Fill=—","Direction=H","UseDPDF=Y")</f>
        <v>#NAME?</v>
      </c>
      <c r="AW90" s="1" t="e">
        <f ca="1">_xll.BDH($C$78,"MODIFIED_WORKING_CPTL_5YR_GRWTH","FQ2 2016","FQ2 2016","Currency=INR","Period=FQ","BEST_FPERIOD_OVERRIDE=FQ","FILING_STATUS=OR","EQY_CONSOLIDATED=Y","Sort=A","Dates=H","DateFormat=P","Fill=—","Direction=H","UseDPDF=Y")</f>
        <v>#NAME?</v>
      </c>
      <c r="AX90" s="1" t="e">
        <f ca="1">_xll.BDH($C$78,"WORKING_CAPITAL_5_YEAR_GROWTH","FQ2 2016","FQ2 2016","Currency=INR","Period=FQ","BEST_FPERIOD_OVERRIDE=FQ","FILING_STATUS=OR","EQY_CONSOLIDATED=Y","Sort=A","Dates=H","DateFormat=P","Fill=—","Direction=H","UseDPDF=Y")</f>
        <v>#NAME?</v>
      </c>
      <c r="AY90" s="1" t="e">
        <f ca="1">_xll.BDH($C$78,"ACCOUNTS_PAYABLE_5_YEAR_GROWTH","FQ2 2016","FQ2 2016","Currency=INR","Period=FQ","BEST_FPERIOD_OVERRIDE=FQ","FILING_STATUS=OR","EQY_CONSOLIDATED=Y","Sort=A","Dates=H","DateFormat=P","Fill=—","Direction=H","UseDPDF=Y")</f>
        <v>#NAME?</v>
      </c>
      <c r="AZ90" s="1" t="e">
        <f ca="1">_xll.BDH($C$78,"SHORT_TERM_DEBT_5_YEAR_GROWTH","FQ2 2016","FQ2 2016","Currency=INR","Period=FQ","BEST_FPERIOD_OVERRIDE=FQ","FILING_STATUS=OR","EQY_CONSOLIDATED=Y","Sort=A","Dates=H","DateFormat=P","Fill=—","Direction=H","UseDPDF=Y")</f>
        <v>#NAME?</v>
      </c>
      <c r="BA90" s="1" t="e">
        <f ca="1">_xll.BDH($C$78,"TOTAL_DEBT_5_YEAR_GROWTH","FQ2 2016","FQ2 2016","Currency=INR","Period=FQ","BEST_FPERIOD_OVERRIDE=FQ","FILING_STATUS=OR","EQY_CONSOLIDATED=Y","Sort=A","Dates=H","DateFormat=P","Fill=—","Direction=H","UseDPDF=Y")</f>
        <v>#NAME?</v>
      </c>
      <c r="BB90" s="1" t="e">
        <f ca="1">_xll.BDH($C$78,"GEO_GROW_TOT_SHRHLDR_EQY","FQ2 2016","FQ2 2016","Currency=INR","Period=FQ","BEST_FPERIOD_OVERRIDE=FQ","FILING_STATUS=OR","EQY_CONSOLIDATED=Y","Sort=A","Dates=H","DateFormat=P","Fill=—","Direction=H","UseDPDF=Y")</f>
        <v>#NAME?</v>
      </c>
      <c r="BC90" s="1" t="e">
        <f ca="1">_xll.BDH($C$78,"TOTAL_CAPITAL_5_YEAR_GROWTH","FQ2 2016","FQ2 2016","Currency=INR","Period=FQ","BEST_FPERIOD_OVERRIDE=FQ","FILING_STATUS=OR","EQY_CONSOLIDATED=Y","Sort=A","Dates=H","DateFormat=P","Fill=—","Direction=H","UseDPDF=Y")</f>
        <v>#NAME?</v>
      </c>
      <c r="BD90" s="1" t="e">
        <f ca="1">_xll.BDH($C$78,"GEO_GROW_BOOK_VAL","FQ2 2016","FQ2 2016","Currency=INR","Period=FQ","BEST_FPERIOD_OVERRIDE=FQ","FILING_STATUS=OR","EQY_CONSOLIDATED=Y","Sort=A","Dates=H","DateFormat=P","Fill=—","Direction=H","UseDPDF=Y")</f>
        <v>#NAME?</v>
      </c>
      <c r="BE90" s="1" t="e">
        <f ca="1">_xll.BDH($C$78,"GEO_GROW_CASH_OPER_ACT","FQ2 2016","FQ2 2016","Currency=INR","Period=FQ","BEST_FPERIOD_OVERRIDE=FQ","FILING_STATUS=OR","EQY_CONSOLIDATED=Y","Sort=A","Dates=H","DateFormat=P","Fill=—","Direction=H","UseDPDF=Y")</f>
        <v>#NAME?</v>
      </c>
      <c r="BF90" s="1" t="e">
        <f ca="1">_xll.BDH($C$78,"REVENUE_SEQUENTIAL_GROWTH","FQ2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90" s="1" t="e">
        <f ca="1">_xll.BDH($C$78,"EBITDA_SEQUENTIAL_GROWTH","FQ2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90" s="1" t="e">
        <f ca="1">_xll.BDH($C$78,"OPERATING_INCOME_SEQ_GROWTH","FQ2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90" s="1" t="e">
        <f ca="1">_xll.BDH($C$78,"NET_INCOME_TO_COMMON_SEQ_GROWTH","FQ2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90" s="1" t="e">
        <f ca="1">_xll.BDH($C$78,"EPS_DILUTED_SEQUENTIAL_GROWTH","FQ2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90" s="1" t="e">
        <f ca="1">_xll.BDH($C$78,"DPS_SEQUENTIAL_GROWTH","FQ2 2016","FQ2 2016","Currency=INR","Period=FQ","BEST_FPERIOD_OVERRIDE=FQ","FILING_STATUS=OR","EQY_CONSOLIDATED=Y","Sort=A","Dates=H","DateFormat=P","Fill=—","Direction=H","UseDPDF=Y")</f>
        <v>#NAME?</v>
      </c>
      <c r="BL90" s="1" t="e">
        <f ca="1">_xll.BDH($C$78,"ACCOUNTS_RECEIVABLE_SEQ_GROWTH","FQ2 2016","FQ2 2016","Currency=INR","Period=FQ","BEST_FPERIOD_OVERRIDE=FQ","FILING_STATUS=OR","EQY_CONSOLIDATED=Y","Sort=A","Dates=H","DateFormat=P","Fill=—","Direction=H","UseDPDF=Y")</f>
        <v>#NAME?</v>
      </c>
      <c r="BM90" s="1" t="e">
        <f ca="1">_xll.BDH($C$78,"INVENTORY_SEQUENTIAL_GROWTH","FQ2 2016","FQ2 2016","Currency=INR","Period=FQ","BEST_FPERIOD_OVERRIDE=FQ","FILING_STATUS=OR","EQY_CONSOLIDATED=Y","Sort=A","Dates=H","DateFormat=P","Fill=—","Direction=H","UseDPDF=Y")</f>
        <v>#NAME?</v>
      </c>
      <c r="BN90" s="1" t="e">
        <f ca="1">_xll.BDH($C$78,"FIXED_ASSETS_SEQUENTIAL_GROWTH","FQ2 2016","FQ2 2016","Currency=INR","Period=FQ","BEST_FPERIOD_OVERRIDE=FQ","FILING_STATUS=OR","EQY_CONSOLIDATED=Y","Sort=A","Dates=H","DateFormat=P","Fill=—","Direction=H","UseDPDF=Y")</f>
        <v>#NAME?</v>
      </c>
      <c r="BO90" s="1" t="e">
        <f ca="1">_xll.BDH($C$78,"TOTAL_ASSETS_SEQUENTIAL_GROWTH","FQ2 2016","FQ2 2016","Currency=INR","Period=FQ","BEST_FPERIOD_OVERRIDE=FQ","FILING_STATUS=OR","EQY_CONSOLIDATED=Y","Sort=A","Dates=H","DateFormat=P","Fill=—","Direction=H","UseDPDF=Y")</f>
        <v>#NAME?</v>
      </c>
      <c r="BP90" s="1" t="e">
        <f ca="1">_xll.BDH($C$78,"MODIFIED_WORKING_CPTL_SEQ_GRWTH","FQ2 2016","FQ2 2016","Currency=INR","Period=FQ","BEST_FPERIOD_OVERRIDE=FQ","FILING_STATUS=OR","EQY_CONSOLIDATED=Y","Sort=A","Dates=H","DateFormat=P","Fill=—","Direction=H","UseDPDF=Y")</f>
        <v>#NAME?</v>
      </c>
      <c r="BQ90" s="1" t="e">
        <f ca="1">_xll.BDH($C$78,"WORKING_CAPITAL_SEQ_GROWTH","FQ2 2016","FQ2 2016","Currency=INR","Period=FQ","BEST_FPERIOD_OVERRIDE=FQ","FILING_STATUS=OR","EQY_CONSOLIDATED=Y","Sort=A","Dates=H","DateFormat=P","Fill=—","Direction=H","UseDPDF=Y")</f>
        <v>#NAME?</v>
      </c>
      <c r="BR90" s="1" t="e">
        <f ca="1">_xll.BDH($C$78,"ACCOUNTS_PAYABLE_SEQ_GROWTH","FQ2 2016","FQ2 2016","Currency=INR","Period=FQ","BEST_FPERIOD_OVERRIDE=FQ","FILING_STATUS=OR","EQY_CONSOLIDATED=Y","Sort=A","Dates=H","DateFormat=P","Fill=—","Direction=H","UseDPDF=Y")</f>
        <v>#NAME?</v>
      </c>
      <c r="BS90" s="1" t="e">
        <f ca="1">_xll.BDH($C$78,"ST_DEBT_SEQUENTIAL_GROWTH","FQ2 2016","FQ2 2016","Currency=INR","Period=FQ","BEST_FPERIOD_OVERRIDE=FQ","FILING_STATUS=OR","EQY_CONSOLIDATED=Y","Sort=A","Dates=H","DateFormat=P","Fill=—","Direction=H","UseDPDF=Y")</f>
        <v>#NAME?</v>
      </c>
      <c r="BT90" s="1" t="e">
        <f ca="1">_xll.BDH($C$78,"TOTAL_DEBT_SEQUENTIAL_GROWTH","FQ2 2016","FQ2 2016","Currency=INR","Period=FQ","BEST_FPERIOD_OVERRIDE=FQ","FILING_STATUS=OR","EQY_CONSOLIDATED=Y","Sort=A","Dates=H","DateFormat=P","Fill=—","Direction=H","UseDPDF=Y")</f>
        <v>#NAME?</v>
      </c>
      <c r="BU90" s="1" t="e">
        <f ca="1">_xll.BDH($C$78,"TOTAL_EQUITY_SEQUENTIAL_GROWTH","FQ2 2016","FQ2 2016","Currency=INR","Period=FQ","BEST_FPERIOD_OVERRIDE=FQ","FILING_STATUS=OR","EQY_CONSOLIDATED=Y","Sort=A","Dates=H","DateFormat=P","Fill=—","Direction=H","UseDPDF=Y")</f>
        <v>#NAME?</v>
      </c>
      <c r="BV90" s="1" t="e">
        <f ca="1">_xll.BDH($C$78,"TOTAL_CAPITAL_SEQUENTIAL_GROWTH","FQ2 2016","FQ2 2016","Currency=INR","Period=FQ","BEST_FPERIOD_OVERRIDE=FQ","FILING_STATUS=OR","EQY_CONSOLIDATED=Y","Sort=A","Dates=H","DateFormat=P","Fill=—","Direction=H","UseDPDF=Y")</f>
        <v>#NAME?</v>
      </c>
      <c r="BW90" s="1" t="e">
        <f ca="1">_xll.BDH($C$78,"BPS_SEQUENTIAL_GROWTH","FQ2 2016","FQ2 2016","Currency=INR","Period=FQ","BEST_FPERIOD_OVERRIDE=FQ","FILING_STATUS=OR","EQY_CONSOLIDATED=Y","Sort=A","Dates=H","DateFormat=P","Fill=—","Direction=H","UseDPDF=Y")</f>
        <v>#NAME?</v>
      </c>
      <c r="BX90" s="1" t="e">
        <f ca="1">_xll.BDH($C$78,"CFO_SEQUENTIAL_GROWTH","FQ2 2016","FQ2 2016","Currency=INR","Period=FQ","BEST_FPERIOD_OVERRIDE=FQ","FILING_STATUS=OR","EQY_CONSOLIDATED=Y","Sort=A","Dates=H","DateFormat=P","Fill=—","Direction=H","UseDPDF=Y")</f>
        <v>#NAME?</v>
      </c>
      <c r="BY90" s="2" t="e">
        <f ca="1">_xll.BDH($C$78,"SHORT_AND_LONG_TERM_DEBT","FQ2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90" s="2" t="e">
        <f ca="1">_xll.BDH($C$78,"BS_ST_BORROW","FQ2 2016","FQ2 2016","Currency=INR","Period=FQ","BEST_FPERIOD_OVERRIDE=FQ","FILING_STATUS=OR","EQY_CONSOLIDATED=Y","SCALING_FORMAT=MLN","Sort=A","Dates=H","DateFormat=P","Fill=—","Direction=H","UseDPDF=Y")</f>
        <v>#NAME?</v>
      </c>
      <c r="CA90" s="2" t="e">
        <f ca="1">_xll.BDH($C$78,"BS_LT_BORROW","FQ2 2016","FQ2 2016","Currency=INR","Period=FQ","BEST_FPERIOD_OVERRIDE=FQ","FILING_STATUS=OR","EQY_CONSOLIDATED=Y","SCALING_FORMAT=MLN","Sort=A","Dates=H","DateFormat=P","Fill=—","Direction=H","UseDPDF=Y")</f>
        <v>#NAME?</v>
      </c>
      <c r="CB90" s="1" t="e">
        <f ca="1">_xll.BDH($C$78,"TOT_DEBT_TO_EBITDA","FQ2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90" s="1" t="e">
        <f ca="1">_xll.BDH($C$78,"NET_DEBT_TO_EBITDA","FQ2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90" s="1" t="e">
        <f ca="1">_xll.BDH($C$78,"TOTAL_DEBT_TO_EBIT","FQ2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90" s="1" t="e">
        <f ca="1">_xll.BDH($C$78,"NET_DEBT_TO_EBIT","FQ2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90" s="1" t="e">
        <f ca="1">_xll.BDH($C$78,"EBITDA_TO_INTEREST_EXPN","FQ2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90" s="1" t="e">
        <f ca="1">_xll.BDH($C$78,"COM_EQY_TO_TOT_ASSET","FQ2 2016","FQ2 2016","Currency=INR","Period=FQ","BEST_FPERIOD_OVERRIDE=FQ","FILING_STATUS=OR","EQY_CONSOLIDATED=Y","Sort=A","Dates=H","DateFormat=P","Fill=—","Direction=H","UseDPDF=Y")</f>
        <v>#NAME?</v>
      </c>
      <c r="CH90" s="1" t="e">
        <f ca="1">_xll.BDH($C$78,"LT_DEBT_TO_TOT_EQY","FQ2 2016","FQ2 2016","Currency=INR","Period=FQ","BEST_FPERIOD_OVERRIDE=FQ","FILING_STATUS=OR","EQY_CONSOLIDATED=Y","Sort=A","Dates=H","DateFormat=P","Fill=—","Direction=H","UseDPDF=Y")</f>
        <v>#NAME?</v>
      </c>
      <c r="CI90" s="1" t="e">
        <f ca="1">_xll.BDH($C$78,"LT_DEBT_TO_TOT_CAP","FQ2 2016","FQ2 2016","Currency=INR","Period=FQ","BEST_FPERIOD_OVERRIDE=FQ","FILING_STATUS=OR","EQY_CONSOLIDATED=Y","Sort=A","Dates=H","DateFormat=P","Fill=—","Direction=H","UseDPDF=Y")</f>
        <v>#NAME?</v>
      </c>
      <c r="CJ90" s="1" t="e">
        <f ca="1">_xll.BDH($C$78,"LT_DEBT_TO_TOT_ASSET","FQ2 2016","FQ2 2016","Currency=INR","Period=FQ","BEST_FPERIOD_OVERRIDE=FQ","FILING_STATUS=OR","EQY_CONSOLIDATED=Y","Sort=A","Dates=H","DateFormat=P","Fill=—","Direction=H","UseDPDF=Y")</f>
        <v>#NAME?</v>
      </c>
      <c r="CK90" s="1" t="e">
        <f ca="1">_xll.BDH($C$78,"TOT_DEBT_TO_TOT_EQY","FQ2 2016","FQ2 2016","Currency=INR","Period=FQ","BEST_FPERIOD_OVERRIDE=FQ","FILING_STATUS=OR","EQY_CONSOLIDATED=Y","Sort=A","Dates=H","DateFormat=P","Fill=—","Direction=H","UseDPDF=Y")</f>
        <v>#NAME?</v>
      </c>
      <c r="CL90" s="1" t="e">
        <f ca="1">_xll.BDH($C$78,"TOT_DEBT_TO_TOT_CAP","FQ2 2016","FQ2 2016","Currency=INR","Period=FQ","BEST_FPERIOD_OVERRIDE=FQ","FILING_STATUS=OR","EQY_CONSOLIDATED=Y","Sort=A","Dates=H","DateFormat=P","Fill=—","Direction=H","UseDPDF=Y")</f>
        <v>#NAME?</v>
      </c>
      <c r="CM90" s="1" t="e">
        <f ca="1">_xll.BDH($C$78,"TOT_DEBT_TO_TOT_ASSET","FQ2 2016","FQ2 2016","Currency=INR","Period=FQ","BEST_FPERIOD_OVERRIDE=FQ","FILING_STATUS=OR","EQY_CONSOLIDATED=Y","Sort=A","Dates=H","DateFormat=P","Fill=—","Direction=H","UseDPDF=Y")</f>
        <v>#NAME?</v>
      </c>
      <c r="CN90" s="1" t="e">
        <f ca="1">_xll.BDH($C$78,"NET_DEBT_TO_SHRHLDR_EQTY","FQ2 2016","FQ2 2016","Currency=INR","Period=FQ","BEST_FPERIOD_OVERRIDE=FQ","FILING_STATUS=OR","EQY_CONSOLIDATED=Y","Sort=A","Dates=H","DateFormat=P","Fill=—","Direction=H","UseDPDF=Y")</f>
        <v>#NAME?</v>
      </c>
      <c r="CO90" s="1" t="e">
        <f ca="1">_xll.BDH($C$78,"NET_DEBT_%_CAPITAL","FQ2 2016","FQ2 2016","Currency=INR","Period=FQ","BEST_FPERIOD_OVERRIDE=FQ","FILING_STATUS=OR","EQY_CONSOLIDATED=Y","Sort=A","Dates=H","DateFormat=P","Fill=—","Direction=H","UseDPDF=Y")</f>
        <v>#NAME?</v>
      </c>
      <c r="CP90" s="2" t="e">
        <f ca="1">_xll.BDH($C$78,"EBITDA","FQ2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90" s="2" t="e">
        <f ca="1">_xll.BDH($C$78,"EBITDA_AFTER_CAPEX","FQ2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90" s="2" t="e">
        <f ca="1">_xll.BDH($C$78,"IS_OPER_INC","FQ2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90" s="1" t="e">
        <f ca="1">_xll.BDH($C$78,"CASH_RATIO","FQ2 2016","FQ2 2016","Currency=INR","Period=FQ","BEST_FPERIOD_OVERRIDE=FQ","FILING_STATUS=OR","EQY_CONSOLIDATED=Y","Sort=A","Dates=H","DateFormat=P","Fill=—","Direction=H","UseDPDF=Y")</f>
        <v>#NAME?</v>
      </c>
      <c r="CT90" s="1" t="e">
        <f ca="1">_xll.BDH($C$78,"CUR_RATIO","FQ2 2016","FQ2 2016","Currency=INR","Period=FQ","BEST_FPERIOD_OVERRIDE=FQ","FILING_STATUS=OR","EQY_CONSOLIDATED=Y","Sort=A","Dates=H","DateFormat=P","Fill=—","Direction=H","UseDPDF=Y")</f>
        <v>#NAME?</v>
      </c>
      <c r="CU90" s="1" t="e">
        <f ca="1">_xll.BDH($C$78,"QUICK_RATIO","FQ2 2016","FQ2 2016","Currency=INR","Period=FQ","BEST_FPERIOD_OVERRIDE=FQ","FILING_STATUS=OR","EQY_CONSOLIDATED=Y","Sort=A","Dates=H","DateFormat=P","Fill=—","Direction=H","UseDPDF=Y")</f>
        <v>#NAME?</v>
      </c>
      <c r="CV90" s="1" t="e">
        <f ca="1">_xll.BDH($C$78,"ALTMAN_Z_SCORE","FQ2 2016","FQ2 2016","Currency=INR","Period=FQ","BEST_FPERIOD_OVERRIDE=FQ","FILING_STATUS=OR","EQY_CONSOLIDATED=Y","Sort=A","Dates=H","DateFormat=P","Fill=—","Direction=H","UseDPDF=Y")</f>
        <v>#NAME?</v>
      </c>
      <c r="CW90" s="3" t="e">
        <f ca="1">_xll.BDH($C$78,"ACCT_RCV_TURN","FQ2 2016","FQ2 2016","Currency=INR","Period=FQ","BEST_FPERIOD_OVERRIDE=FQ","FILING_STATUS=OR","EQY_CONSOLIDATED=Y","FA_ADJUSTED=GAAP","Sort=A","Dates=H","DateFormat=P","Fill=—","Direction=H","UseDPDF=Y")</f>
        <v>#NAME?</v>
      </c>
      <c r="CX90" s="1" t="e">
        <f ca="1">_xll.BDH($C$78,"ACCT_RCV_DAYS","FQ2 2016","FQ2 2016","Currency=INR","Period=FQ","BEST_FPERIOD_OVERRIDE=FQ","FILING_STATUS=OR","EQY_CONSOLIDATED=Y","FA_ADJUSTED=GAAP","Sort=A","Dates=H","DateFormat=P","Fill=—","Direction=H","UseDPDF=Y")</f>
        <v>#NAME?</v>
      </c>
      <c r="CY90" s="3" t="e">
        <f ca="1">_xll.BDH($C$78,"INVENT_TURN","FQ2 2016","FQ2 2016","Currency=INR","Period=FQ","BEST_FPERIOD_OVERRIDE=FQ","FILING_STATUS=OR","EQY_CONSOLIDATED=Y","FA_ADJUSTED=GAAP","Sort=A","Dates=H","DateFormat=P","Fill=—","Direction=H","UseDPDF=Y")</f>
        <v>#NAME?</v>
      </c>
      <c r="CZ90" s="1" t="e">
        <f ca="1">_xll.BDH($C$78,"INVENT_DAYS","FQ2 2016","FQ2 2016","Currency=INR","Period=FQ","BEST_FPERIOD_OVERRIDE=FQ","FILING_STATUS=OR","EQY_CONSOLIDATED=Y","FA_ADJUSTED=GAAP","Sort=A","Dates=H","DateFormat=P","Fill=—","Direction=H","UseDPDF=Y")</f>
        <v>#NAME?</v>
      </c>
      <c r="DA90" s="3" t="e">
        <f ca="1">_xll.BDH($C$78,"ACCOUNTS_PAYABLE_TURNOVER","FQ2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90" s="1" t="e">
        <f ca="1">_xll.BDH($C$78,"ACCOUNTS_PAYABLE_TURNOVER_DAYS","FQ2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90" s="3" t="e">
        <f ca="1">_xll.BDH($C$78,"CASH_CONVERSION_CYCLE","FQ2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90" s="3" t="e">
        <f ca="1">_xll.BDH($C$78,"INV_TO_CASH_DAYS","FQ2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90" s="4" t="e">
        <f ca="1">_xll.BDH($C$78,"BS_INVENTORIES","FQ2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90" s="2" t="e">
        <f ca="1">_xll.BDH($C$78,"INVTRY_RAW_MATERIALS","FQ2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90" s="2" t="e">
        <f ca="1">_xll.BDH($C$78,"INVTRY_IN_PROGRESS","FQ2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90" s="2" t="e">
        <f ca="1">_xll.BDH($C$78,"INVTRY_FINISHED_GOODS","FQ2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90" s="2" t="e">
        <f ca="1">_xll.BDH($C$78,"BS_OTHER_INV","FQ2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91" spans="1:113" x14ac:dyDescent="0.3">
      <c r="A91" s="6"/>
      <c r="B91" s="6"/>
      <c r="C91" s="6"/>
      <c r="D91" s="6"/>
      <c r="E91" t="s">
        <v>6</v>
      </c>
      <c r="F91" t="e">
        <f ca="1">_xll.BDH($C$78,"RETURN_COM_EQY","FQ3 2016","FQ3 2016","Currency=INR","Period=FQ","BEST_FPERIOD_OVERRIDE=FQ","FILING_STATUS=OR","EQY_CONSOLIDATED=Y","FA_ADJUSTED=GAAP","Sort=A","Dates=H","DateFormat=P","Fill=—","Direction=H","UseDPDF=Y")</f>
        <v>#NAME?</v>
      </c>
      <c r="G91" t="e">
        <f ca="1">_xll.BDH($C$78,"RETURN_ON_ASSET","FQ3 2016","FQ3 2016","Currency=INR","Period=FQ","BEST_FPERIOD_OVERRIDE=FQ","FILING_STATUS=OR","EQY_CONSOLIDATED=Y","FA_ADJUSTED=GAAP","Sort=A","Dates=H","DateFormat=P","Fill=—","Direction=H","UseDPDF=Y")</f>
        <v>#NAME?</v>
      </c>
      <c r="H91" t="e">
        <f ca="1">_xll.BDH($C$78,"RETURN_ON_CAP","FQ3 2016","FQ3 2016","Currency=INR","Period=FQ","BEST_FPERIOD_OVERRIDE=FQ","FILING_STATUS=OR","EQY_CONSOLIDATED=Y","FA_ADJUSTED=GAAP","Sort=A","Dates=H","DateFormat=P","Fill=—","Direction=H","UseDPDF=Y")</f>
        <v>#NAME?</v>
      </c>
      <c r="I91" t="e">
        <f ca="1">_xll.BDH($C$78,"RETURN_ON_INV_CAPITAL","FQ3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91" t="e">
        <f ca="1">_xll.BDH($C$78,"EBITDA_TO_REVENUE","FQ3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91" t="e">
        <f ca="1">_xll.BDH($C$78,"OPER_MARGIN","FQ3 2016","FQ3 2016","Currency=INR","Period=FQ","BEST_FPERIOD_OVERRIDE=FQ","FILING_STATUS=OR","EQY_CONSOLIDATED=Y","FA_ADJUSTED=GAAP","Sort=A","Dates=H","DateFormat=P","Fill=—","Direction=H","UseDPDF=Y")</f>
        <v>#NAME?</v>
      </c>
      <c r="L91" t="e">
        <f ca="1">_xll.BDH($C$78,"INCREMENTAL_OPERATING_MARGIN","FQ3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91" t="e">
        <f ca="1">_xll.BDH($C$78,"PRETAX_INC_TO_NET_SALES","FQ3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91" t="e">
        <f ca="1">_xll.BDH($C$78,"INC_BEF_XO_ITEMS_TO_NET_SALES","FQ3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91" t="e">
        <f ca="1">_xll.BDH($C$78,"PROF_MARGIN","FQ3 2016","FQ3 2016","Currency=INR","Period=FQ","BEST_FPERIOD_OVERRIDE=FQ","FILING_STATUS=OR","EQY_CONSOLIDATED=Y","FA_ADJUSTED=GAAP","Sort=A","Dates=H","DateFormat=P","Fill=—","Direction=H","UseDPDF=Y")</f>
        <v>#NAME?</v>
      </c>
      <c r="P91" t="e">
        <f ca="1">_xll.BDH($C$78,"NET_INCOME_TO_COMMON_MARGIN","FQ3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91" t="e">
        <f ca="1">_xll.BDH($C$78,"EFF_TAX_RATE","FQ3 2016","FQ3 2016","Currency=INR","Period=FQ","BEST_FPERIOD_OVERRIDE=FQ","FILING_STATUS=OR","EQY_CONSOLIDATED=Y","FA_ADJUSTED=GAAP","Sort=A","Dates=H","DateFormat=P","Fill=—","Direction=H","UseDPDF=Y")</f>
        <v>#NAME?</v>
      </c>
      <c r="R91" t="e">
        <f ca="1">_xll.BDH($C$78,"DVD_PAYOUT_RATIO","FQ3 2016","FQ3 2016","Currency=INR","Period=FQ","BEST_FPERIOD_OVERRIDE=FQ","FILING_STATUS=OR","EQY_CONSOLIDATED=Y","FA_ADJUSTED=GAAP","Sort=A","Dates=H","DateFormat=P","Fill=—","Direction=H","UseDPDF=Y")</f>
        <v>#NAME?</v>
      </c>
      <c r="S91" t="e">
        <f ca="1">_xll.BDH($C$78,"SUSTAIN_GROWTH_RT","FQ3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91" s="1" t="e">
        <f ca="1">_xll.BDH($C$78,"SALES_GROWTH","FQ3 2016","FQ3 2016","Currency=INR","Period=FQ","BEST_FPERIOD_OVERRIDE=FQ","FILING_STATUS=OR","EQY_CONSOLIDATED=Y","FA_ADJUSTED=GAAP","Sort=A","Dates=H","DateFormat=P","Fill=—","Direction=H","UseDPDF=Y")</f>
        <v>#NAME?</v>
      </c>
      <c r="U91" s="1" t="e">
        <f ca="1">_xll.BDH($C$78,"EBITDA_GROWTH","FQ3 2016","FQ3 2016","Currency=INR","Period=FQ","BEST_FPERIOD_OVERRIDE=FQ","FILING_STATUS=OR","EQY_CONSOLIDATED=Y","FA_ADJUSTED=GAAP","Sort=A","Dates=H","DateFormat=P","Fill=—","Direction=H","UseDPDF=Y")</f>
        <v>#NAME?</v>
      </c>
      <c r="V91" s="1" t="e">
        <f ca="1">_xll.BDH($C$78,"OPER_INC_GROWTH","FQ3 2016","FQ3 2016","Currency=INR","Period=FQ","BEST_FPERIOD_OVERRIDE=FQ","FILING_STATUS=OR","EQY_CONSOLIDATED=Y","FA_ADJUSTED=GAAP","Sort=A","Dates=H","DateFormat=P","Fill=—","Direction=H","UseDPDF=Y")</f>
        <v>#NAME?</v>
      </c>
      <c r="W91" s="1" t="e">
        <f ca="1">_xll.BDH($C$78,"EARN_FOR_COM_GROWTH","FQ3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91" s="1" t="e">
        <f ca="1">_xll.BDH($C$78,"DILUTED_EPS_AFT_XO_ITEMS_GROWTH","FQ3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91" s="1" t="e">
        <f ca="1">_xll.BDH($C$78,"DIVIDEND_PER_SHARE_1_YEAR_GROWTH","FQ3 2016","FQ3 2016","Currency=INR","Period=FQ","BEST_FPERIOD_OVERRIDE=FQ","FILING_STATUS=OR","EQY_CONSOLIDATED=Y","Sort=A","Dates=H","DateFormat=P","Fill=—","Direction=H","UseDPDF=Y")</f>
        <v>#NAME?</v>
      </c>
      <c r="Z91" s="1" t="e">
        <f ca="1">_xll.BDH($C$78,"ACCOUNTS_RECEIVABLE_GROWTH","FQ3 2016","FQ3 2016","Currency=INR","Period=FQ","BEST_FPERIOD_OVERRIDE=FQ","FILING_STATUS=OR","EQY_CONSOLIDATED=Y","Sort=A","Dates=H","DateFormat=P","Fill=—","Direction=H","UseDPDF=Y")</f>
        <v>#NAME?</v>
      </c>
      <c r="AA91" s="1" t="e">
        <f ca="1">_xll.BDH($C$78,"INVENTORY_GROWTH","FQ3 2016","FQ3 2016","Currency=INR","Period=FQ","BEST_FPERIOD_OVERRIDE=FQ","FILING_STATUS=OR","EQY_CONSOLIDATED=Y","Sort=A","Dates=H","DateFormat=P","Fill=—","Direction=H","UseDPDF=Y")</f>
        <v>#NAME?</v>
      </c>
      <c r="AB91" s="1" t="e">
        <f ca="1">_xll.BDH($C$78,"NET_FIXED_ASSETS_1_YEAR_GROWTH","FQ3 2016","FQ3 2016","Currency=INR","Period=FQ","BEST_FPERIOD_OVERRIDE=FQ","FILING_STATUS=OR","EQY_CONSOLIDATED=Y","Sort=A","Dates=H","DateFormat=P","Fill=—","Direction=H","UseDPDF=Y")</f>
        <v>#NAME?</v>
      </c>
      <c r="AC91" s="1" t="e">
        <f ca="1">_xll.BDH($C$78,"ASSET_GROWTH","FQ3 2016","FQ3 2016","Currency=INR","Period=FQ","BEST_FPERIOD_OVERRIDE=FQ","FILING_STATUS=OR","EQY_CONSOLIDATED=Y","Sort=A","Dates=H","DateFormat=P","Fill=—","Direction=H","UseDPDF=Y")</f>
        <v>#NAME?</v>
      </c>
      <c r="AD91" s="1" t="e">
        <f ca="1">_xll.BDH($C$78,"MODIFIED_WORK_CAP_GROWTH","FQ3 2016","FQ3 2016","Currency=INR","Period=FQ","BEST_FPERIOD_OVERRIDE=FQ","FILING_STATUS=OR","EQY_CONSOLIDATED=Y","Sort=A","Dates=H","DateFormat=P","Fill=—","Direction=H","UseDPDF=Y")</f>
        <v>#NAME?</v>
      </c>
      <c r="AE91" s="1" t="e">
        <f ca="1">_xll.BDH($C$78,"WORK_CAP_GROWTH","FQ3 2016","FQ3 2016","Currency=INR","Period=FQ","BEST_FPERIOD_OVERRIDE=FQ","FILING_STATUS=OR","EQY_CONSOLIDATED=Y","Sort=A","Dates=H","DateFormat=P","Fill=—","Direction=H","UseDPDF=Y")</f>
        <v>#NAME?</v>
      </c>
      <c r="AF91" s="1" t="e">
        <f ca="1">_xll.BDH($C$78,"ACCOUNTS_PAYABLE_GROWTH_1YR","FQ3 2016","FQ3 2016","Currency=INR","Period=FQ","BEST_FPERIOD_OVERRIDE=FQ","FILING_STATUS=OR","EQY_CONSOLIDATED=Y","Sort=A","Dates=H","DateFormat=P","Fill=—","Direction=H","UseDPDF=Y")</f>
        <v>#NAME?</v>
      </c>
      <c r="AG91" s="1" t="e">
        <f ca="1">_xll.BDH($C$78,"SHORT_TERM_DEBT_1_YEAR_GROWTH","FQ3 2016","FQ3 2016","Currency=INR","Period=FQ","BEST_FPERIOD_OVERRIDE=FQ","FILING_STATUS=OR","EQY_CONSOLIDATED=Y","Sort=A","Dates=H","DateFormat=P","Fill=—","Direction=H","UseDPDF=Y")</f>
        <v>#NAME?</v>
      </c>
      <c r="AH91" s="1" t="e">
        <f ca="1">_xll.BDH($C$78,"TOTAL_DEBT_1_YEAR_GROWTH","FQ3 2016","FQ3 2016","Currency=INR","Period=FQ","BEST_FPERIOD_OVERRIDE=FQ","FILING_STATUS=OR","EQY_CONSOLIDATED=Y","Sort=A","Dates=H","DateFormat=P","Fill=—","Direction=H","UseDPDF=Y")</f>
        <v>#NAME?</v>
      </c>
      <c r="AI91" s="1" t="e">
        <f ca="1">_xll.BDH($C$78,"TOTAL_EQUITY_1_YEAR_GROWTH","FQ3 2016","FQ3 2016","Currency=INR","Period=FQ","BEST_FPERIOD_OVERRIDE=FQ","FILING_STATUS=OR","EQY_CONSOLIDATED=Y","Sort=A","Dates=H","DateFormat=P","Fill=—","Direction=H","UseDPDF=Y")</f>
        <v>#NAME?</v>
      </c>
      <c r="AJ91" s="1" t="e">
        <f ca="1">_xll.BDH($C$78,"GROWTH_IN_CAP","FQ3 2016","FQ3 2016","Currency=INR","Period=FQ","BEST_FPERIOD_OVERRIDE=FQ","FILING_STATUS=OR","EQY_CONSOLIDATED=Y","Sort=A","Dates=H","DateFormat=P","Fill=—","Direction=H","UseDPDF=Y")</f>
        <v>#NAME?</v>
      </c>
      <c r="AK91" s="1" t="e">
        <f ca="1">_xll.BDH($C$78,"BVPS_GROWTH","FQ3 2016","FQ3 2016","Currency=INR","Period=FQ","BEST_FPERIOD_OVERRIDE=FQ","FILING_STATUS=OR","EQY_CONSOLIDATED=Y","Sort=A","Dates=H","DateFormat=P","Fill=—","Direction=H","UseDPDF=Y")</f>
        <v>#NAME?</v>
      </c>
      <c r="AL91" s="1" t="e">
        <f ca="1">_xll.BDH($C$78,"CASH_FLOW_GROWTH","FQ3 2016","FQ3 2016","Currency=INR","Period=FQ","BEST_FPERIOD_OVERRIDE=FQ","FILING_STATUS=OR","EQY_CONSOLIDATED=Y","Sort=A","Dates=H","DateFormat=P","Fill=—","Direction=H","UseDPDF=Y")</f>
        <v>#NAME?</v>
      </c>
      <c r="AM91" s="1" t="e">
        <f ca="1">_xll.BDH($C$78,"GEO_GROW_NET_SALES","FQ3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91" s="1" t="e">
        <f ca="1">_xll.BDH($C$78,"GEO_GROW_EBITDA","FQ3 2016","FQ3 2016","Currency=INR","Period=FQ","BEST_FPERIOD_OVERRIDE=FQ","FILING_STATUS=OR","EQY_CONSOLIDATED=Y","FA_ADJUSTED=GAAP","Sort=A","Dates=H","DateFormat=P","Fill=—","Direction=H","UseDPDF=Y")</f>
        <v>#NAME?</v>
      </c>
      <c r="AO91" s="1" t="e">
        <f ca="1">_xll.BDH($C$78,"GEO_GROW_OPER_INC","FQ3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91" s="1" t="e">
        <f ca="1">_xll.BDH($C$78,"NET_INCOME_TO_COMMON_5_YR_GROWTH","FQ3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91" s="1" t="e">
        <f ca="1">_xll.BDH($C$78,"5Y_GEO_GROWTH_DILUTED_EPS","FQ3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91" s="1" t="e">
        <f ca="1">_xll.BDH($C$78,"GEO_GROW_DVD_PER_SH","FQ3 2016","FQ3 2016","Currency=INR","Period=FQ","BEST_FPERIOD_OVERRIDE=FQ","FILING_STATUS=OR","EQY_CONSOLIDATED=Y","Sort=A","Dates=H","DateFormat=P","Fill=—","Direction=H","UseDPDF=Y")</f>
        <v>#NAME?</v>
      </c>
      <c r="AS91" s="1" t="e">
        <f ca="1">_xll.BDH($C$78,"ACCOUNTS_RECEIVABLE_5_YR_GROWTH","FQ3 2016","FQ3 2016","Currency=INR","Period=FQ","BEST_FPERIOD_OVERRIDE=FQ","FILING_STATUS=OR","EQY_CONSOLIDATED=Y","Sort=A","Dates=H","DateFormat=P","Fill=—","Direction=H","UseDPDF=Y")</f>
        <v>#NAME?</v>
      </c>
      <c r="AT91" s="1" t="e">
        <f ca="1">_xll.BDH($C$78,"INVENTORY_5_YEAR_GROWTH","FQ3 2016","FQ3 2016","Currency=INR","Period=FQ","BEST_FPERIOD_OVERRIDE=FQ","FILING_STATUS=OR","EQY_CONSOLIDATED=Y","Sort=A","Dates=H","DateFormat=P","Fill=—","Direction=H","UseDPDF=Y")</f>
        <v>#NAME?</v>
      </c>
      <c r="AU91" s="1" t="e">
        <f ca="1">_xll.BDH($C$78,"NET_FIXED_ASSETS_5_YEAR_GROWTH","FQ3 2016","FQ3 2016","Currency=INR","Period=FQ","BEST_FPERIOD_OVERRIDE=FQ","FILING_STATUS=OR","EQY_CONSOLIDATED=Y","Sort=A","Dates=H","DateFormat=P","Fill=—","Direction=H","UseDPDF=Y")</f>
        <v>#NAME?</v>
      </c>
      <c r="AV91" s="1" t="e">
        <f ca="1">_xll.BDH($C$78,"GEO_GROW_TOT_ASSET","FQ3 2016","FQ3 2016","Currency=INR","Period=FQ","BEST_FPERIOD_OVERRIDE=FQ","FILING_STATUS=OR","EQY_CONSOLIDATED=Y","Sort=A","Dates=H","DateFormat=P","Fill=—","Direction=H","UseDPDF=Y")</f>
        <v>#NAME?</v>
      </c>
      <c r="AW91" s="1" t="e">
        <f ca="1">_xll.BDH($C$78,"MODIFIED_WORKING_CPTL_5YR_GRWTH","FQ3 2016","FQ3 2016","Currency=INR","Period=FQ","BEST_FPERIOD_OVERRIDE=FQ","FILING_STATUS=OR","EQY_CONSOLIDATED=Y","Sort=A","Dates=H","DateFormat=P","Fill=—","Direction=H","UseDPDF=Y")</f>
        <v>#NAME?</v>
      </c>
      <c r="AX91" s="1" t="e">
        <f ca="1">_xll.BDH($C$78,"WORKING_CAPITAL_5_YEAR_GROWTH","FQ3 2016","FQ3 2016","Currency=INR","Period=FQ","BEST_FPERIOD_OVERRIDE=FQ","FILING_STATUS=OR","EQY_CONSOLIDATED=Y","Sort=A","Dates=H","DateFormat=P","Fill=—","Direction=H","UseDPDF=Y")</f>
        <v>#NAME?</v>
      </c>
      <c r="AY91" s="1" t="e">
        <f ca="1">_xll.BDH($C$78,"ACCOUNTS_PAYABLE_5_YEAR_GROWTH","FQ3 2016","FQ3 2016","Currency=INR","Period=FQ","BEST_FPERIOD_OVERRIDE=FQ","FILING_STATUS=OR","EQY_CONSOLIDATED=Y","Sort=A","Dates=H","DateFormat=P","Fill=—","Direction=H","UseDPDF=Y")</f>
        <v>#NAME?</v>
      </c>
      <c r="AZ91" s="1" t="e">
        <f ca="1">_xll.BDH($C$78,"SHORT_TERM_DEBT_5_YEAR_GROWTH","FQ3 2016","FQ3 2016","Currency=INR","Period=FQ","BEST_FPERIOD_OVERRIDE=FQ","FILING_STATUS=OR","EQY_CONSOLIDATED=Y","Sort=A","Dates=H","DateFormat=P","Fill=—","Direction=H","UseDPDF=Y")</f>
        <v>#NAME?</v>
      </c>
      <c r="BA91" s="1" t="e">
        <f ca="1">_xll.BDH($C$78,"TOTAL_DEBT_5_YEAR_GROWTH","FQ3 2016","FQ3 2016","Currency=INR","Period=FQ","BEST_FPERIOD_OVERRIDE=FQ","FILING_STATUS=OR","EQY_CONSOLIDATED=Y","Sort=A","Dates=H","DateFormat=P","Fill=—","Direction=H","UseDPDF=Y")</f>
        <v>#NAME?</v>
      </c>
      <c r="BB91" s="1" t="e">
        <f ca="1">_xll.BDH($C$78,"GEO_GROW_TOT_SHRHLDR_EQY","FQ3 2016","FQ3 2016","Currency=INR","Period=FQ","BEST_FPERIOD_OVERRIDE=FQ","FILING_STATUS=OR","EQY_CONSOLIDATED=Y","Sort=A","Dates=H","DateFormat=P","Fill=—","Direction=H","UseDPDF=Y")</f>
        <v>#NAME?</v>
      </c>
      <c r="BC91" s="1" t="e">
        <f ca="1">_xll.BDH($C$78,"TOTAL_CAPITAL_5_YEAR_GROWTH","FQ3 2016","FQ3 2016","Currency=INR","Period=FQ","BEST_FPERIOD_OVERRIDE=FQ","FILING_STATUS=OR","EQY_CONSOLIDATED=Y","Sort=A","Dates=H","DateFormat=P","Fill=—","Direction=H","UseDPDF=Y")</f>
        <v>#NAME?</v>
      </c>
      <c r="BD91" s="1" t="e">
        <f ca="1">_xll.BDH($C$78,"GEO_GROW_BOOK_VAL","FQ3 2016","FQ3 2016","Currency=INR","Period=FQ","BEST_FPERIOD_OVERRIDE=FQ","FILING_STATUS=OR","EQY_CONSOLIDATED=Y","Sort=A","Dates=H","DateFormat=P","Fill=—","Direction=H","UseDPDF=Y")</f>
        <v>#NAME?</v>
      </c>
      <c r="BE91" s="1" t="e">
        <f ca="1">_xll.BDH($C$78,"GEO_GROW_CASH_OPER_ACT","FQ3 2016","FQ3 2016","Currency=INR","Period=FQ","BEST_FPERIOD_OVERRIDE=FQ","FILING_STATUS=OR","EQY_CONSOLIDATED=Y","Sort=A","Dates=H","DateFormat=P","Fill=—","Direction=H","UseDPDF=Y")</f>
        <v>#NAME?</v>
      </c>
      <c r="BF91" s="1" t="e">
        <f ca="1">_xll.BDH($C$78,"REVENUE_SEQUENTIAL_GROWTH","FQ3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91" s="1" t="e">
        <f ca="1">_xll.BDH($C$78,"EBITDA_SEQUENTIAL_GROWTH","FQ3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91" s="1" t="e">
        <f ca="1">_xll.BDH($C$78,"OPERATING_INCOME_SEQ_GROWTH","FQ3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91" s="1" t="e">
        <f ca="1">_xll.BDH($C$78,"NET_INCOME_TO_COMMON_SEQ_GROWTH","FQ3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91" s="1" t="e">
        <f ca="1">_xll.BDH($C$78,"EPS_DILUTED_SEQUENTIAL_GROWTH","FQ3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91" s="1" t="e">
        <f ca="1">_xll.BDH($C$78,"DPS_SEQUENTIAL_GROWTH","FQ3 2016","FQ3 2016","Currency=INR","Period=FQ","BEST_FPERIOD_OVERRIDE=FQ","FILING_STATUS=OR","EQY_CONSOLIDATED=Y","Sort=A","Dates=H","DateFormat=P","Fill=—","Direction=H","UseDPDF=Y")</f>
        <v>#NAME?</v>
      </c>
      <c r="BL91" s="1" t="e">
        <f ca="1">_xll.BDH($C$78,"ACCOUNTS_RECEIVABLE_SEQ_GROWTH","FQ3 2016","FQ3 2016","Currency=INR","Period=FQ","BEST_FPERIOD_OVERRIDE=FQ","FILING_STATUS=OR","EQY_CONSOLIDATED=Y","Sort=A","Dates=H","DateFormat=P","Fill=—","Direction=H","UseDPDF=Y")</f>
        <v>#NAME?</v>
      </c>
      <c r="BM91" s="1" t="e">
        <f ca="1">_xll.BDH($C$78,"INVENTORY_SEQUENTIAL_GROWTH","FQ3 2016","FQ3 2016","Currency=INR","Period=FQ","BEST_FPERIOD_OVERRIDE=FQ","FILING_STATUS=OR","EQY_CONSOLIDATED=Y","Sort=A","Dates=H","DateFormat=P","Fill=—","Direction=H","UseDPDF=Y")</f>
        <v>#NAME?</v>
      </c>
      <c r="BN91" s="1" t="e">
        <f ca="1">_xll.BDH($C$78,"FIXED_ASSETS_SEQUENTIAL_GROWTH","FQ3 2016","FQ3 2016","Currency=INR","Period=FQ","BEST_FPERIOD_OVERRIDE=FQ","FILING_STATUS=OR","EQY_CONSOLIDATED=Y","Sort=A","Dates=H","DateFormat=P","Fill=—","Direction=H","UseDPDF=Y")</f>
        <v>#NAME?</v>
      </c>
      <c r="BO91" s="1" t="e">
        <f ca="1">_xll.BDH($C$78,"TOTAL_ASSETS_SEQUENTIAL_GROWTH","FQ3 2016","FQ3 2016","Currency=INR","Period=FQ","BEST_FPERIOD_OVERRIDE=FQ","FILING_STATUS=OR","EQY_CONSOLIDATED=Y","Sort=A","Dates=H","DateFormat=P","Fill=—","Direction=H","UseDPDF=Y")</f>
        <v>#NAME?</v>
      </c>
      <c r="BP91" s="1" t="e">
        <f ca="1">_xll.BDH($C$78,"MODIFIED_WORKING_CPTL_SEQ_GRWTH","FQ3 2016","FQ3 2016","Currency=INR","Period=FQ","BEST_FPERIOD_OVERRIDE=FQ","FILING_STATUS=OR","EQY_CONSOLIDATED=Y","Sort=A","Dates=H","DateFormat=P","Fill=—","Direction=H","UseDPDF=Y")</f>
        <v>#NAME?</v>
      </c>
      <c r="BQ91" s="1" t="e">
        <f ca="1">_xll.BDH($C$78,"WORKING_CAPITAL_SEQ_GROWTH","FQ3 2016","FQ3 2016","Currency=INR","Period=FQ","BEST_FPERIOD_OVERRIDE=FQ","FILING_STATUS=OR","EQY_CONSOLIDATED=Y","Sort=A","Dates=H","DateFormat=P","Fill=—","Direction=H","UseDPDF=Y")</f>
        <v>#NAME?</v>
      </c>
      <c r="BR91" s="1" t="e">
        <f ca="1">_xll.BDH($C$78,"ACCOUNTS_PAYABLE_SEQ_GROWTH","FQ3 2016","FQ3 2016","Currency=INR","Period=FQ","BEST_FPERIOD_OVERRIDE=FQ","FILING_STATUS=OR","EQY_CONSOLIDATED=Y","Sort=A","Dates=H","DateFormat=P","Fill=—","Direction=H","UseDPDF=Y")</f>
        <v>#NAME?</v>
      </c>
      <c r="BS91" s="1" t="e">
        <f ca="1">_xll.BDH($C$78,"ST_DEBT_SEQUENTIAL_GROWTH","FQ3 2016","FQ3 2016","Currency=INR","Period=FQ","BEST_FPERIOD_OVERRIDE=FQ","FILING_STATUS=OR","EQY_CONSOLIDATED=Y","Sort=A","Dates=H","DateFormat=P","Fill=—","Direction=H","UseDPDF=Y")</f>
        <v>#NAME?</v>
      </c>
      <c r="BT91" s="1" t="e">
        <f ca="1">_xll.BDH($C$78,"TOTAL_DEBT_SEQUENTIAL_GROWTH","FQ3 2016","FQ3 2016","Currency=INR","Period=FQ","BEST_FPERIOD_OVERRIDE=FQ","FILING_STATUS=OR","EQY_CONSOLIDATED=Y","Sort=A","Dates=H","DateFormat=P","Fill=—","Direction=H","UseDPDF=Y")</f>
        <v>#NAME?</v>
      </c>
      <c r="BU91" s="1" t="e">
        <f ca="1">_xll.BDH($C$78,"TOTAL_EQUITY_SEQUENTIAL_GROWTH","FQ3 2016","FQ3 2016","Currency=INR","Period=FQ","BEST_FPERIOD_OVERRIDE=FQ","FILING_STATUS=OR","EQY_CONSOLIDATED=Y","Sort=A","Dates=H","DateFormat=P","Fill=—","Direction=H","UseDPDF=Y")</f>
        <v>#NAME?</v>
      </c>
      <c r="BV91" s="1" t="e">
        <f ca="1">_xll.BDH($C$78,"TOTAL_CAPITAL_SEQUENTIAL_GROWTH","FQ3 2016","FQ3 2016","Currency=INR","Period=FQ","BEST_FPERIOD_OVERRIDE=FQ","FILING_STATUS=OR","EQY_CONSOLIDATED=Y","Sort=A","Dates=H","DateFormat=P","Fill=—","Direction=H","UseDPDF=Y")</f>
        <v>#NAME?</v>
      </c>
      <c r="BW91" s="1" t="e">
        <f ca="1">_xll.BDH($C$78,"BPS_SEQUENTIAL_GROWTH","FQ3 2016","FQ3 2016","Currency=INR","Period=FQ","BEST_FPERIOD_OVERRIDE=FQ","FILING_STATUS=OR","EQY_CONSOLIDATED=Y","Sort=A","Dates=H","DateFormat=P","Fill=—","Direction=H","UseDPDF=Y")</f>
        <v>#NAME?</v>
      </c>
      <c r="BX91" s="1" t="e">
        <f ca="1">_xll.BDH($C$78,"CFO_SEQUENTIAL_GROWTH","FQ3 2016","FQ3 2016","Currency=INR","Period=FQ","BEST_FPERIOD_OVERRIDE=FQ","FILING_STATUS=OR","EQY_CONSOLIDATED=Y","Sort=A","Dates=H","DateFormat=P","Fill=—","Direction=H","UseDPDF=Y")</f>
        <v>#NAME?</v>
      </c>
      <c r="BY91" s="2" t="e">
        <f ca="1">_xll.BDH($C$78,"SHORT_AND_LONG_TERM_DEBT","FQ3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91" s="2" t="e">
        <f ca="1">_xll.BDH($C$78,"BS_ST_BORROW","FQ3 2016","FQ3 2016","Currency=INR","Period=FQ","BEST_FPERIOD_OVERRIDE=FQ","FILING_STATUS=OR","EQY_CONSOLIDATED=Y","SCALING_FORMAT=MLN","Sort=A","Dates=H","DateFormat=P","Fill=—","Direction=H","UseDPDF=Y")</f>
        <v>#NAME?</v>
      </c>
      <c r="CA91" s="2" t="e">
        <f ca="1">_xll.BDH($C$78,"BS_LT_BORROW","FQ3 2016","FQ3 2016","Currency=INR","Period=FQ","BEST_FPERIOD_OVERRIDE=FQ","FILING_STATUS=OR","EQY_CONSOLIDATED=Y","SCALING_FORMAT=MLN","Sort=A","Dates=H","DateFormat=P","Fill=—","Direction=H","UseDPDF=Y")</f>
        <v>#NAME?</v>
      </c>
      <c r="CB91" s="1" t="e">
        <f ca="1">_xll.BDH($C$78,"TOT_DEBT_TO_EBITDA","FQ3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91" s="1" t="e">
        <f ca="1">_xll.BDH($C$78,"NET_DEBT_TO_EBITDA","FQ3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91" s="1" t="e">
        <f ca="1">_xll.BDH($C$78,"TOTAL_DEBT_TO_EBIT","FQ3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91" s="1" t="e">
        <f ca="1">_xll.BDH($C$78,"NET_DEBT_TO_EBIT","FQ3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91" s="1" t="e">
        <f ca="1">_xll.BDH($C$78,"EBITDA_TO_INTEREST_EXPN","FQ3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91" s="1" t="e">
        <f ca="1">_xll.BDH($C$78,"COM_EQY_TO_TOT_ASSET","FQ3 2016","FQ3 2016","Currency=INR","Period=FQ","BEST_FPERIOD_OVERRIDE=FQ","FILING_STATUS=OR","EQY_CONSOLIDATED=Y","Sort=A","Dates=H","DateFormat=P","Fill=—","Direction=H","UseDPDF=Y")</f>
        <v>#NAME?</v>
      </c>
      <c r="CH91" s="1" t="e">
        <f ca="1">_xll.BDH($C$78,"LT_DEBT_TO_TOT_EQY","FQ3 2016","FQ3 2016","Currency=INR","Period=FQ","BEST_FPERIOD_OVERRIDE=FQ","FILING_STATUS=OR","EQY_CONSOLIDATED=Y","Sort=A","Dates=H","DateFormat=P","Fill=—","Direction=H","UseDPDF=Y")</f>
        <v>#NAME?</v>
      </c>
      <c r="CI91" s="1" t="e">
        <f ca="1">_xll.BDH($C$78,"LT_DEBT_TO_TOT_CAP","FQ3 2016","FQ3 2016","Currency=INR","Period=FQ","BEST_FPERIOD_OVERRIDE=FQ","FILING_STATUS=OR","EQY_CONSOLIDATED=Y","Sort=A","Dates=H","DateFormat=P","Fill=—","Direction=H","UseDPDF=Y")</f>
        <v>#NAME?</v>
      </c>
      <c r="CJ91" s="1" t="e">
        <f ca="1">_xll.BDH($C$78,"LT_DEBT_TO_TOT_ASSET","FQ3 2016","FQ3 2016","Currency=INR","Period=FQ","BEST_FPERIOD_OVERRIDE=FQ","FILING_STATUS=OR","EQY_CONSOLIDATED=Y","Sort=A","Dates=H","DateFormat=P","Fill=—","Direction=H","UseDPDF=Y")</f>
        <v>#NAME?</v>
      </c>
      <c r="CK91" s="1" t="e">
        <f ca="1">_xll.BDH($C$78,"TOT_DEBT_TO_TOT_EQY","FQ3 2016","FQ3 2016","Currency=INR","Period=FQ","BEST_FPERIOD_OVERRIDE=FQ","FILING_STATUS=OR","EQY_CONSOLIDATED=Y","Sort=A","Dates=H","DateFormat=P","Fill=—","Direction=H","UseDPDF=Y")</f>
        <v>#NAME?</v>
      </c>
      <c r="CL91" s="1" t="e">
        <f ca="1">_xll.BDH($C$78,"TOT_DEBT_TO_TOT_CAP","FQ3 2016","FQ3 2016","Currency=INR","Period=FQ","BEST_FPERIOD_OVERRIDE=FQ","FILING_STATUS=OR","EQY_CONSOLIDATED=Y","Sort=A","Dates=H","DateFormat=P","Fill=—","Direction=H","UseDPDF=Y")</f>
        <v>#NAME?</v>
      </c>
      <c r="CM91" s="1" t="e">
        <f ca="1">_xll.BDH($C$78,"TOT_DEBT_TO_TOT_ASSET","FQ3 2016","FQ3 2016","Currency=INR","Period=FQ","BEST_FPERIOD_OVERRIDE=FQ","FILING_STATUS=OR","EQY_CONSOLIDATED=Y","Sort=A","Dates=H","DateFormat=P","Fill=—","Direction=H","UseDPDF=Y")</f>
        <v>#NAME?</v>
      </c>
      <c r="CN91" s="1" t="e">
        <f ca="1">_xll.BDH($C$78,"NET_DEBT_TO_SHRHLDR_EQTY","FQ3 2016","FQ3 2016","Currency=INR","Period=FQ","BEST_FPERIOD_OVERRIDE=FQ","FILING_STATUS=OR","EQY_CONSOLIDATED=Y","Sort=A","Dates=H","DateFormat=P","Fill=—","Direction=H","UseDPDF=Y")</f>
        <v>#NAME?</v>
      </c>
      <c r="CO91" s="1" t="e">
        <f ca="1">_xll.BDH($C$78,"NET_DEBT_%_CAPITAL","FQ3 2016","FQ3 2016","Currency=INR","Period=FQ","BEST_FPERIOD_OVERRIDE=FQ","FILING_STATUS=OR","EQY_CONSOLIDATED=Y","Sort=A","Dates=H","DateFormat=P","Fill=—","Direction=H","UseDPDF=Y")</f>
        <v>#NAME?</v>
      </c>
      <c r="CP91" s="2" t="e">
        <f ca="1">_xll.BDH($C$78,"EBITDA","FQ3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91" s="2" t="e">
        <f ca="1">_xll.BDH($C$78,"EBITDA_AFTER_CAPEX","FQ3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91" s="2" t="e">
        <f ca="1">_xll.BDH($C$78,"IS_OPER_INC","FQ3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91" s="1" t="e">
        <f ca="1">_xll.BDH($C$78,"CASH_RATIO","FQ3 2016","FQ3 2016","Currency=INR","Period=FQ","BEST_FPERIOD_OVERRIDE=FQ","FILING_STATUS=OR","EQY_CONSOLIDATED=Y","Sort=A","Dates=H","DateFormat=P","Fill=—","Direction=H","UseDPDF=Y")</f>
        <v>#NAME?</v>
      </c>
      <c r="CT91" s="1" t="e">
        <f ca="1">_xll.BDH($C$78,"CUR_RATIO","FQ3 2016","FQ3 2016","Currency=INR","Period=FQ","BEST_FPERIOD_OVERRIDE=FQ","FILING_STATUS=OR","EQY_CONSOLIDATED=Y","Sort=A","Dates=H","DateFormat=P","Fill=—","Direction=H","UseDPDF=Y")</f>
        <v>#NAME?</v>
      </c>
      <c r="CU91" s="1" t="e">
        <f ca="1">_xll.BDH($C$78,"QUICK_RATIO","FQ3 2016","FQ3 2016","Currency=INR","Period=FQ","BEST_FPERIOD_OVERRIDE=FQ","FILING_STATUS=OR","EQY_CONSOLIDATED=Y","Sort=A","Dates=H","DateFormat=P","Fill=—","Direction=H","UseDPDF=Y")</f>
        <v>#NAME?</v>
      </c>
      <c r="CV91" s="1" t="e">
        <f ca="1">_xll.BDH($C$78,"ALTMAN_Z_SCORE","FQ3 2016","FQ3 2016","Currency=INR","Period=FQ","BEST_FPERIOD_OVERRIDE=FQ","FILING_STATUS=OR","EQY_CONSOLIDATED=Y","Sort=A","Dates=H","DateFormat=P","Fill=—","Direction=H","UseDPDF=Y")</f>
        <v>#NAME?</v>
      </c>
      <c r="CW91" s="3" t="e">
        <f ca="1">_xll.BDH($C$78,"ACCT_RCV_TURN","FQ3 2016","FQ3 2016","Currency=INR","Period=FQ","BEST_FPERIOD_OVERRIDE=FQ","FILING_STATUS=OR","EQY_CONSOLIDATED=Y","FA_ADJUSTED=GAAP","Sort=A","Dates=H","DateFormat=P","Fill=—","Direction=H","UseDPDF=Y")</f>
        <v>#NAME?</v>
      </c>
      <c r="CX91" s="1" t="e">
        <f ca="1">_xll.BDH($C$78,"ACCT_RCV_DAYS","FQ3 2016","FQ3 2016","Currency=INR","Period=FQ","BEST_FPERIOD_OVERRIDE=FQ","FILING_STATUS=OR","EQY_CONSOLIDATED=Y","FA_ADJUSTED=GAAP","Sort=A","Dates=H","DateFormat=P","Fill=—","Direction=H","UseDPDF=Y")</f>
        <v>#NAME?</v>
      </c>
      <c r="CY91" s="3" t="e">
        <f ca="1">_xll.BDH($C$78,"INVENT_TURN","FQ3 2016","FQ3 2016","Currency=INR","Period=FQ","BEST_FPERIOD_OVERRIDE=FQ","FILING_STATUS=OR","EQY_CONSOLIDATED=Y","FA_ADJUSTED=GAAP","Sort=A","Dates=H","DateFormat=P","Fill=—","Direction=H","UseDPDF=Y")</f>
        <v>#NAME?</v>
      </c>
      <c r="CZ91" s="1" t="e">
        <f ca="1">_xll.BDH($C$78,"INVENT_DAYS","FQ3 2016","FQ3 2016","Currency=INR","Period=FQ","BEST_FPERIOD_OVERRIDE=FQ","FILING_STATUS=OR","EQY_CONSOLIDATED=Y","FA_ADJUSTED=GAAP","Sort=A","Dates=H","DateFormat=P","Fill=—","Direction=H","UseDPDF=Y")</f>
        <v>#NAME?</v>
      </c>
      <c r="DA91" s="3" t="e">
        <f ca="1">_xll.BDH($C$78,"ACCOUNTS_PAYABLE_TURNOVER","FQ3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91" s="1" t="e">
        <f ca="1">_xll.BDH($C$78,"ACCOUNTS_PAYABLE_TURNOVER_DAYS","FQ3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91" s="3" t="e">
        <f ca="1">_xll.BDH($C$78,"CASH_CONVERSION_CYCLE","FQ3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91" s="3" t="e">
        <f ca="1">_xll.BDH($C$78,"INV_TO_CASH_DAYS","FQ3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91" s="4" t="e">
        <f ca="1">_xll.BDH($C$78,"BS_INVENTORIES","FQ3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91" s="2" t="e">
        <f ca="1">_xll.BDH($C$78,"INVTRY_RAW_MATERIALS","FQ3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91" s="2" t="e">
        <f ca="1">_xll.BDH($C$78,"INVTRY_IN_PROGRESS","FQ3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91" s="2" t="e">
        <f ca="1">_xll.BDH($C$78,"INVTRY_FINISHED_GOODS","FQ3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91" s="2" t="e">
        <f ca="1">_xll.BDH($C$78,"BS_OTHER_INV","FQ3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92" spans="1:113" x14ac:dyDescent="0.3">
      <c r="A92" s="6"/>
      <c r="B92" s="6"/>
      <c r="C92" s="6"/>
      <c r="D92" s="6"/>
      <c r="E92" t="s">
        <v>7</v>
      </c>
      <c r="F92" t="e">
        <f ca="1">_xll.BDH($C$78,"RETURN_COM_EQY","FQ4 2016","FQ4 2016","Currency=INR","Period=FQ","BEST_FPERIOD_OVERRIDE=FQ","FILING_STATUS=OR","EQY_CONSOLIDATED=Y","FA_ADJUSTED=GAAP","Sort=A","Dates=H","DateFormat=P","Fill=—","Direction=H","UseDPDF=Y")</f>
        <v>#NAME?</v>
      </c>
      <c r="G92" t="e">
        <f ca="1">_xll.BDH($C$78,"RETURN_ON_ASSET","FQ4 2016","FQ4 2016","Currency=INR","Period=FQ","BEST_FPERIOD_OVERRIDE=FQ","FILING_STATUS=OR","EQY_CONSOLIDATED=Y","FA_ADJUSTED=GAAP","Sort=A","Dates=H","DateFormat=P","Fill=—","Direction=H","UseDPDF=Y")</f>
        <v>#NAME?</v>
      </c>
      <c r="H92" t="e">
        <f ca="1">_xll.BDH($C$78,"RETURN_ON_CAP","FQ4 2016","FQ4 2016","Currency=INR","Period=FQ","BEST_FPERIOD_OVERRIDE=FQ","FILING_STATUS=OR","EQY_CONSOLIDATED=Y","FA_ADJUSTED=GAAP","Sort=A","Dates=H","DateFormat=P","Fill=—","Direction=H","UseDPDF=Y")</f>
        <v>#NAME?</v>
      </c>
      <c r="I92" t="e">
        <f ca="1">_xll.BDH($C$78,"RETURN_ON_INV_CAPITAL","FQ4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92" t="e">
        <f ca="1">_xll.BDH($C$78,"EBITDA_TO_REVENUE","FQ4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92" t="e">
        <f ca="1">_xll.BDH($C$78,"OPER_MARGIN","FQ4 2016","FQ4 2016","Currency=INR","Period=FQ","BEST_FPERIOD_OVERRIDE=FQ","FILING_STATUS=OR","EQY_CONSOLIDATED=Y","FA_ADJUSTED=GAAP","Sort=A","Dates=H","DateFormat=P","Fill=—","Direction=H","UseDPDF=Y")</f>
        <v>#NAME?</v>
      </c>
      <c r="L92" t="e">
        <f ca="1">_xll.BDH($C$78,"INCREMENTAL_OPERATING_MARGIN","FQ4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92" t="e">
        <f ca="1">_xll.BDH($C$78,"PRETAX_INC_TO_NET_SALES","FQ4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92" t="e">
        <f ca="1">_xll.BDH($C$78,"INC_BEF_XO_ITEMS_TO_NET_SALES","FQ4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92" t="e">
        <f ca="1">_xll.BDH($C$78,"PROF_MARGIN","FQ4 2016","FQ4 2016","Currency=INR","Period=FQ","BEST_FPERIOD_OVERRIDE=FQ","FILING_STATUS=OR","EQY_CONSOLIDATED=Y","FA_ADJUSTED=GAAP","Sort=A","Dates=H","DateFormat=P","Fill=—","Direction=H","UseDPDF=Y")</f>
        <v>#NAME?</v>
      </c>
      <c r="P92" t="e">
        <f ca="1">_xll.BDH($C$78,"NET_INCOME_TO_COMMON_MARGIN","FQ4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92" t="e">
        <f ca="1">_xll.BDH($C$78,"EFF_TAX_RATE","FQ4 2016","FQ4 2016","Currency=INR","Period=FQ","BEST_FPERIOD_OVERRIDE=FQ","FILING_STATUS=OR","EQY_CONSOLIDATED=Y","FA_ADJUSTED=GAAP","Sort=A","Dates=H","DateFormat=P","Fill=—","Direction=H","UseDPDF=Y")</f>
        <v>#NAME?</v>
      </c>
      <c r="R92" t="e">
        <f ca="1">_xll.BDH($C$78,"DVD_PAYOUT_RATIO","FQ4 2016","FQ4 2016","Currency=INR","Period=FQ","BEST_FPERIOD_OVERRIDE=FQ","FILING_STATUS=OR","EQY_CONSOLIDATED=Y","FA_ADJUSTED=GAAP","Sort=A","Dates=H","DateFormat=P","Fill=—","Direction=H","UseDPDF=Y")</f>
        <v>#NAME?</v>
      </c>
      <c r="S92" t="e">
        <f ca="1">_xll.BDH($C$78,"SUSTAIN_GROWTH_RT","FQ4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92" s="1" t="e">
        <f ca="1">_xll.BDH($C$78,"SALES_GROWTH","FQ4 2016","FQ4 2016","Currency=INR","Period=FQ","BEST_FPERIOD_OVERRIDE=FQ","FILING_STATUS=OR","EQY_CONSOLIDATED=Y","FA_ADJUSTED=GAAP","Sort=A","Dates=H","DateFormat=P","Fill=—","Direction=H","UseDPDF=Y")</f>
        <v>#NAME?</v>
      </c>
      <c r="U92" s="1" t="e">
        <f ca="1">_xll.BDH($C$78,"EBITDA_GROWTH","FQ4 2016","FQ4 2016","Currency=INR","Period=FQ","BEST_FPERIOD_OVERRIDE=FQ","FILING_STATUS=OR","EQY_CONSOLIDATED=Y","FA_ADJUSTED=GAAP","Sort=A","Dates=H","DateFormat=P","Fill=—","Direction=H","UseDPDF=Y")</f>
        <v>#NAME?</v>
      </c>
      <c r="V92" s="1" t="e">
        <f ca="1">_xll.BDH($C$78,"OPER_INC_GROWTH","FQ4 2016","FQ4 2016","Currency=INR","Period=FQ","BEST_FPERIOD_OVERRIDE=FQ","FILING_STATUS=OR","EQY_CONSOLIDATED=Y","FA_ADJUSTED=GAAP","Sort=A","Dates=H","DateFormat=P","Fill=—","Direction=H","UseDPDF=Y")</f>
        <v>#NAME?</v>
      </c>
      <c r="W92" s="1" t="e">
        <f ca="1">_xll.BDH($C$78,"EARN_FOR_COM_GROWTH","FQ4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92" s="1" t="e">
        <f ca="1">_xll.BDH($C$78,"DILUTED_EPS_AFT_XO_ITEMS_GROWTH","FQ4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92" s="1" t="e">
        <f ca="1">_xll.BDH($C$78,"DIVIDEND_PER_SHARE_1_YEAR_GROWTH","FQ4 2016","FQ4 2016","Currency=INR","Period=FQ","BEST_FPERIOD_OVERRIDE=FQ","FILING_STATUS=OR","EQY_CONSOLIDATED=Y","Sort=A","Dates=H","DateFormat=P","Fill=—","Direction=H","UseDPDF=Y")</f>
        <v>#NAME?</v>
      </c>
      <c r="Z92" s="1" t="e">
        <f ca="1">_xll.BDH($C$78,"ACCOUNTS_RECEIVABLE_GROWTH","FQ4 2016","FQ4 2016","Currency=INR","Period=FQ","BEST_FPERIOD_OVERRIDE=FQ","FILING_STATUS=OR","EQY_CONSOLIDATED=Y","Sort=A","Dates=H","DateFormat=P","Fill=—","Direction=H","UseDPDF=Y")</f>
        <v>#NAME?</v>
      </c>
      <c r="AA92" s="1" t="e">
        <f ca="1">_xll.BDH($C$78,"INVENTORY_GROWTH","FQ4 2016","FQ4 2016","Currency=INR","Period=FQ","BEST_FPERIOD_OVERRIDE=FQ","FILING_STATUS=OR","EQY_CONSOLIDATED=Y","Sort=A","Dates=H","DateFormat=P","Fill=—","Direction=H","UseDPDF=Y")</f>
        <v>#NAME?</v>
      </c>
      <c r="AB92" s="1" t="e">
        <f ca="1">_xll.BDH($C$78,"NET_FIXED_ASSETS_1_YEAR_GROWTH","FQ4 2016","FQ4 2016","Currency=INR","Period=FQ","BEST_FPERIOD_OVERRIDE=FQ","FILING_STATUS=OR","EQY_CONSOLIDATED=Y","Sort=A","Dates=H","DateFormat=P","Fill=—","Direction=H","UseDPDF=Y")</f>
        <v>#NAME?</v>
      </c>
      <c r="AC92" s="1" t="e">
        <f ca="1">_xll.BDH($C$78,"ASSET_GROWTH","FQ4 2016","FQ4 2016","Currency=INR","Period=FQ","BEST_FPERIOD_OVERRIDE=FQ","FILING_STATUS=OR","EQY_CONSOLIDATED=Y","Sort=A","Dates=H","DateFormat=P","Fill=—","Direction=H","UseDPDF=Y")</f>
        <v>#NAME?</v>
      </c>
      <c r="AD92" s="1" t="e">
        <f ca="1">_xll.BDH($C$78,"MODIFIED_WORK_CAP_GROWTH","FQ4 2016","FQ4 2016","Currency=INR","Period=FQ","BEST_FPERIOD_OVERRIDE=FQ","FILING_STATUS=OR","EQY_CONSOLIDATED=Y","Sort=A","Dates=H","DateFormat=P","Fill=—","Direction=H","UseDPDF=Y")</f>
        <v>#NAME?</v>
      </c>
      <c r="AE92" s="1" t="e">
        <f ca="1">_xll.BDH($C$78,"WORK_CAP_GROWTH","FQ4 2016","FQ4 2016","Currency=INR","Period=FQ","BEST_FPERIOD_OVERRIDE=FQ","FILING_STATUS=OR","EQY_CONSOLIDATED=Y","Sort=A","Dates=H","DateFormat=P","Fill=—","Direction=H","UseDPDF=Y")</f>
        <v>#NAME?</v>
      </c>
      <c r="AF92" s="1" t="e">
        <f ca="1">_xll.BDH($C$78,"ACCOUNTS_PAYABLE_GROWTH_1YR","FQ4 2016","FQ4 2016","Currency=INR","Period=FQ","BEST_FPERIOD_OVERRIDE=FQ","FILING_STATUS=OR","EQY_CONSOLIDATED=Y","Sort=A","Dates=H","DateFormat=P","Fill=—","Direction=H","UseDPDF=Y")</f>
        <v>#NAME?</v>
      </c>
      <c r="AG92" s="1" t="e">
        <f ca="1">_xll.BDH($C$78,"SHORT_TERM_DEBT_1_YEAR_GROWTH","FQ4 2016","FQ4 2016","Currency=INR","Period=FQ","BEST_FPERIOD_OVERRIDE=FQ","FILING_STATUS=OR","EQY_CONSOLIDATED=Y","Sort=A","Dates=H","DateFormat=P","Fill=—","Direction=H","UseDPDF=Y")</f>
        <v>#NAME?</v>
      </c>
      <c r="AH92" s="1" t="e">
        <f ca="1">_xll.BDH($C$78,"TOTAL_DEBT_1_YEAR_GROWTH","FQ4 2016","FQ4 2016","Currency=INR","Period=FQ","BEST_FPERIOD_OVERRIDE=FQ","FILING_STATUS=OR","EQY_CONSOLIDATED=Y","Sort=A","Dates=H","DateFormat=P","Fill=—","Direction=H","UseDPDF=Y")</f>
        <v>#NAME?</v>
      </c>
      <c r="AI92" s="1" t="e">
        <f ca="1">_xll.BDH($C$78,"TOTAL_EQUITY_1_YEAR_GROWTH","FQ4 2016","FQ4 2016","Currency=INR","Period=FQ","BEST_FPERIOD_OVERRIDE=FQ","FILING_STATUS=OR","EQY_CONSOLIDATED=Y","Sort=A","Dates=H","DateFormat=P","Fill=—","Direction=H","UseDPDF=Y")</f>
        <v>#NAME?</v>
      </c>
      <c r="AJ92" s="1" t="e">
        <f ca="1">_xll.BDH($C$78,"GROWTH_IN_CAP","FQ4 2016","FQ4 2016","Currency=INR","Period=FQ","BEST_FPERIOD_OVERRIDE=FQ","FILING_STATUS=OR","EQY_CONSOLIDATED=Y","Sort=A","Dates=H","DateFormat=P","Fill=—","Direction=H","UseDPDF=Y")</f>
        <v>#NAME?</v>
      </c>
      <c r="AK92" s="1" t="e">
        <f ca="1">_xll.BDH($C$78,"BVPS_GROWTH","FQ4 2016","FQ4 2016","Currency=INR","Period=FQ","BEST_FPERIOD_OVERRIDE=FQ","FILING_STATUS=OR","EQY_CONSOLIDATED=Y","Sort=A","Dates=H","DateFormat=P","Fill=—","Direction=H","UseDPDF=Y")</f>
        <v>#NAME?</v>
      </c>
      <c r="AL92" s="1" t="e">
        <f ca="1">_xll.BDH($C$78,"CASH_FLOW_GROWTH","FQ4 2016","FQ4 2016","Currency=INR","Period=FQ","BEST_FPERIOD_OVERRIDE=FQ","FILING_STATUS=OR","EQY_CONSOLIDATED=Y","Sort=A","Dates=H","DateFormat=P","Fill=—","Direction=H","UseDPDF=Y")</f>
        <v>#NAME?</v>
      </c>
      <c r="AM92" s="1" t="e">
        <f ca="1">_xll.BDH($C$78,"GEO_GROW_NET_SALES","FQ4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92" s="1" t="e">
        <f ca="1">_xll.BDH($C$78,"GEO_GROW_EBITDA","FQ4 2016","FQ4 2016","Currency=INR","Period=FQ","BEST_FPERIOD_OVERRIDE=FQ","FILING_STATUS=OR","EQY_CONSOLIDATED=Y","FA_ADJUSTED=GAAP","Sort=A","Dates=H","DateFormat=P","Fill=—","Direction=H","UseDPDF=Y")</f>
        <v>#NAME?</v>
      </c>
      <c r="AO92" s="1" t="e">
        <f ca="1">_xll.BDH($C$78,"GEO_GROW_OPER_INC","FQ4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92" s="1" t="e">
        <f ca="1">_xll.BDH($C$78,"NET_INCOME_TO_COMMON_5_YR_GROWTH","FQ4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92" s="1" t="e">
        <f ca="1">_xll.BDH($C$78,"5Y_GEO_GROWTH_DILUTED_EPS","FQ4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92" s="1" t="e">
        <f ca="1">_xll.BDH($C$78,"GEO_GROW_DVD_PER_SH","FQ4 2016","FQ4 2016","Currency=INR","Period=FQ","BEST_FPERIOD_OVERRIDE=FQ","FILING_STATUS=OR","EQY_CONSOLIDATED=Y","Sort=A","Dates=H","DateFormat=P","Fill=—","Direction=H","UseDPDF=Y")</f>
        <v>#NAME?</v>
      </c>
      <c r="AS92" s="1" t="e">
        <f ca="1">_xll.BDH($C$78,"ACCOUNTS_RECEIVABLE_5_YR_GROWTH","FQ4 2016","FQ4 2016","Currency=INR","Period=FQ","BEST_FPERIOD_OVERRIDE=FQ","FILING_STATUS=OR","EQY_CONSOLIDATED=Y","Sort=A","Dates=H","DateFormat=P","Fill=—","Direction=H","UseDPDF=Y")</f>
        <v>#NAME?</v>
      </c>
      <c r="AT92" s="1" t="e">
        <f ca="1">_xll.BDH($C$78,"INVENTORY_5_YEAR_GROWTH","FQ4 2016","FQ4 2016","Currency=INR","Period=FQ","BEST_FPERIOD_OVERRIDE=FQ","FILING_STATUS=OR","EQY_CONSOLIDATED=Y","Sort=A","Dates=H","DateFormat=P","Fill=—","Direction=H","UseDPDF=Y")</f>
        <v>#NAME?</v>
      </c>
      <c r="AU92" s="1" t="e">
        <f ca="1">_xll.BDH($C$78,"NET_FIXED_ASSETS_5_YEAR_GROWTH","FQ4 2016","FQ4 2016","Currency=INR","Period=FQ","BEST_FPERIOD_OVERRIDE=FQ","FILING_STATUS=OR","EQY_CONSOLIDATED=Y","Sort=A","Dates=H","DateFormat=P","Fill=—","Direction=H","UseDPDF=Y")</f>
        <v>#NAME?</v>
      </c>
      <c r="AV92" s="1" t="e">
        <f ca="1">_xll.BDH($C$78,"GEO_GROW_TOT_ASSET","FQ4 2016","FQ4 2016","Currency=INR","Period=FQ","BEST_FPERIOD_OVERRIDE=FQ","FILING_STATUS=OR","EQY_CONSOLIDATED=Y","Sort=A","Dates=H","DateFormat=P","Fill=—","Direction=H","UseDPDF=Y")</f>
        <v>#NAME?</v>
      </c>
      <c r="AW92" s="1" t="e">
        <f ca="1">_xll.BDH($C$78,"MODIFIED_WORKING_CPTL_5YR_GRWTH","FQ4 2016","FQ4 2016","Currency=INR","Period=FQ","BEST_FPERIOD_OVERRIDE=FQ","FILING_STATUS=OR","EQY_CONSOLIDATED=Y","Sort=A","Dates=H","DateFormat=P","Fill=—","Direction=H","UseDPDF=Y")</f>
        <v>#NAME?</v>
      </c>
      <c r="AX92" s="1" t="e">
        <f ca="1">_xll.BDH($C$78,"WORKING_CAPITAL_5_YEAR_GROWTH","FQ4 2016","FQ4 2016","Currency=INR","Period=FQ","BEST_FPERIOD_OVERRIDE=FQ","FILING_STATUS=OR","EQY_CONSOLIDATED=Y","Sort=A","Dates=H","DateFormat=P","Fill=—","Direction=H","UseDPDF=Y")</f>
        <v>#NAME?</v>
      </c>
      <c r="AY92" s="1" t="e">
        <f ca="1">_xll.BDH($C$78,"ACCOUNTS_PAYABLE_5_YEAR_GROWTH","FQ4 2016","FQ4 2016","Currency=INR","Period=FQ","BEST_FPERIOD_OVERRIDE=FQ","FILING_STATUS=OR","EQY_CONSOLIDATED=Y","Sort=A","Dates=H","DateFormat=P","Fill=—","Direction=H","UseDPDF=Y")</f>
        <v>#NAME?</v>
      </c>
      <c r="AZ92" s="1" t="e">
        <f ca="1">_xll.BDH($C$78,"SHORT_TERM_DEBT_5_YEAR_GROWTH","FQ4 2016","FQ4 2016","Currency=INR","Period=FQ","BEST_FPERIOD_OVERRIDE=FQ","FILING_STATUS=OR","EQY_CONSOLIDATED=Y","Sort=A","Dates=H","DateFormat=P","Fill=—","Direction=H","UseDPDF=Y")</f>
        <v>#NAME?</v>
      </c>
      <c r="BA92" s="1" t="e">
        <f ca="1">_xll.BDH($C$78,"TOTAL_DEBT_5_YEAR_GROWTH","FQ4 2016","FQ4 2016","Currency=INR","Period=FQ","BEST_FPERIOD_OVERRIDE=FQ","FILING_STATUS=OR","EQY_CONSOLIDATED=Y","Sort=A","Dates=H","DateFormat=P","Fill=—","Direction=H","UseDPDF=Y")</f>
        <v>#NAME?</v>
      </c>
      <c r="BB92" s="1" t="e">
        <f ca="1">_xll.BDH($C$78,"GEO_GROW_TOT_SHRHLDR_EQY","FQ4 2016","FQ4 2016","Currency=INR","Period=FQ","BEST_FPERIOD_OVERRIDE=FQ","FILING_STATUS=OR","EQY_CONSOLIDATED=Y","Sort=A","Dates=H","DateFormat=P","Fill=—","Direction=H","UseDPDF=Y")</f>
        <v>#NAME?</v>
      </c>
      <c r="BC92" s="1" t="e">
        <f ca="1">_xll.BDH($C$78,"TOTAL_CAPITAL_5_YEAR_GROWTH","FQ4 2016","FQ4 2016","Currency=INR","Period=FQ","BEST_FPERIOD_OVERRIDE=FQ","FILING_STATUS=OR","EQY_CONSOLIDATED=Y","Sort=A","Dates=H","DateFormat=P","Fill=—","Direction=H","UseDPDF=Y")</f>
        <v>#NAME?</v>
      </c>
      <c r="BD92" s="1" t="e">
        <f ca="1">_xll.BDH($C$78,"GEO_GROW_BOOK_VAL","FQ4 2016","FQ4 2016","Currency=INR","Period=FQ","BEST_FPERIOD_OVERRIDE=FQ","FILING_STATUS=OR","EQY_CONSOLIDATED=Y","Sort=A","Dates=H","DateFormat=P","Fill=—","Direction=H","UseDPDF=Y")</f>
        <v>#NAME?</v>
      </c>
      <c r="BE92" s="1" t="e">
        <f ca="1">_xll.BDH($C$78,"GEO_GROW_CASH_OPER_ACT","FQ4 2016","FQ4 2016","Currency=INR","Period=FQ","BEST_FPERIOD_OVERRIDE=FQ","FILING_STATUS=OR","EQY_CONSOLIDATED=Y","Sort=A","Dates=H","DateFormat=P","Fill=—","Direction=H","UseDPDF=Y")</f>
        <v>#NAME?</v>
      </c>
      <c r="BF92" s="1" t="e">
        <f ca="1">_xll.BDH($C$78,"REVENUE_SEQUENTIAL_GROWTH","FQ4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92" s="1" t="e">
        <f ca="1">_xll.BDH($C$78,"EBITDA_SEQUENTIAL_GROWTH","FQ4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92" s="1" t="e">
        <f ca="1">_xll.BDH($C$78,"OPERATING_INCOME_SEQ_GROWTH","FQ4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92" s="1" t="e">
        <f ca="1">_xll.BDH($C$78,"NET_INCOME_TO_COMMON_SEQ_GROWTH","FQ4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92" s="1" t="e">
        <f ca="1">_xll.BDH($C$78,"EPS_DILUTED_SEQUENTIAL_GROWTH","FQ4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92" s="1" t="e">
        <f ca="1">_xll.BDH($C$78,"DPS_SEQUENTIAL_GROWTH","FQ4 2016","FQ4 2016","Currency=INR","Period=FQ","BEST_FPERIOD_OVERRIDE=FQ","FILING_STATUS=OR","EQY_CONSOLIDATED=Y","Sort=A","Dates=H","DateFormat=P","Fill=—","Direction=H","UseDPDF=Y")</f>
        <v>#NAME?</v>
      </c>
      <c r="BL92" s="1" t="e">
        <f ca="1">_xll.BDH($C$78,"ACCOUNTS_RECEIVABLE_SEQ_GROWTH","FQ4 2016","FQ4 2016","Currency=INR","Period=FQ","BEST_FPERIOD_OVERRIDE=FQ","FILING_STATUS=OR","EQY_CONSOLIDATED=Y","Sort=A","Dates=H","DateFormat=P","Fill=—","Direction=H","UseDPDF=Y")</f>
        <v>#NAME?</v>
      </c>
      <c r="BM92" s="1" t="e">
        <f ca="1">_xll.BDH($C$78,"INVENTORY_SEQUENTIAL_GROWTH","FQ4 2016","FQ4 2016","Currency=INR","Period=FQ","BEST_FPERIOD_OVERRIDE=FQ","FILING_STATUS=OR","EQY_CONSOLIDATED=Y","Sort=A","Dates=H","DateFormat=P","Fill=—","Direction=H","UseDPDF=Y")</f>
        <v>#NAME?</v>
      </c>
      <c r="BN92" s="1" t="e">
        <f ca="1">_xll.BDH($C$78,"FIXED_ASSETS_SEQUENTIAL_GROWTH","FQ4 2016","FQ4 2016","Currency=INR","Period=FQ","BEST_FPERIOD_OVERRIDE=FQ","FILING_STATUS=OR","EQY_CONSOLIDATED=Y","Sort=A","Dates=H","DateFormat=P","Fill=—","Direction=H","UseDPDF=Y")</f>
        <v>#NAME?</v>
      </c>
      <c r="BO92" s="1" t="e">
        <f ca="1">_xll.BDH($C$78,"TOTAL_ASSETS_SEQUENTIAL_GROWTH","FQ4 2016","FQ4 2016","Currency=INR","Period=FQ","BEST_FPERIOD_OVERRIDE=FQ","FILING_STATUS=OR","EQY_CONSOLIDATED=Y","Sort=A","Dates=H","DateFormat=P","Fill=—","Direction=H","UseDPDF=Y")</f>
        <v>#NAME?</v>
      </c>
      <c r="BP92" s="1" t="e">
        <f ca="1">_xll.BDH($C$78,"MODIFIED_WORKING_CPTL_SEQ_GRWTH","FQ4 2016","FQ4 2016","Currency=INR","Period=FQ","BEST_FPERIOD_OVERRIDE=FQ","FILING_STATUS=OR","EQY_CONSOLIDATED=Y","Sort=A","Dates=H","DateFormat=P","Fill=—","Direction=H","UseDPDF=Y")</f>
        <v>#NAME?</v>
      </c>
      <c r="BQ92" s="1" t="e">
        <f ca="1">_xll.BDH($C$78,"WORKING_CAPITAL_SEQ_GROWTH","FQ4 2016","FQ4 2016","Currency=INR","Period=FQ","BEST_FPERIOD_OVERRIDE=FQ","FILING_STATUS=OR","EQY_CONSOLIDATED=Y","Sort=A","Dates=H","DateFormat=P","Fill=—","Direction=H","UseDPDF=Y")</f>
        <v>#NAME?</v>
      </c>
      <c r="BR92" s="1" t="e">
        <f ca="1">_xll.BDH($C$78,"ACCOUNTS_PAYABLE_SEQ_GROWTH","FQ4 2016","FQ4 2016","Currency=INR","Period=FQ","BEST_FPERIOD_OVERRIDE=FQ","FILING_STATUS=OR","EQY_CONSOLIDATED=Y","Sort=A","Dates=H","DateFormat=P","Fill=—","Direction=H","UseDPDF=Y")</f>
        <v>#NAME?</v>
      </c>
      <c r="BS92" s="1" t="e">
        <f ca="1">_xll.BDH($C$78,"ST_DEBT_SEQUENTIAL_GROWTH","FQ4 2016","FQ4 2016","Currency=INR","Period=FQ","BEST_FPERIOD_OVERRIDE=FQ","FILING_STATUS=OR","EQY_CONSOLIDATED=Y","Sort=A","Dates=H","DateFormat=P","Fill=—","Direction=H","UseDPDF=Y")</f>
        <v>#NAME?</v>
      </c>
      <c r="BT92" s="1" t="e">
        <f ca="1">_xll.BDH($C$78,"TOTAL_DEBT_SEQUENTIAL_GROWTH","FQ4 2016","FQ4 2016","Currency=INR","Period=FQ","BEST_FPERIOD_OVERRIDE=FQ","FILING_STATUS=OR","EQY_CONSOLIDATED=Y","Sort=A","Dates=H","DateFormat=P","Fill=—","Direction=H","UseDPDF=Y")</f>
        <v>#NAME?</v>
      </c>
      <c r="BU92" s="1" t="e">
        <f ca="1">_xll.BDH($C$78,"TOTAL_EQUITY_SEQUENTIAL_GROWTH","FQ4 2016","FQ4 2016","Currency=INR","Period=FQ","BEST_FPERIOD_OVERRIDE=FQ","FILING_STATUS=OR","EQY_CONSOLIDATED=Y","Sort=A","Dates=H","DateFormat=P","Fill=—","Direction=H","UseDPDF=Y")</f>
        <v>#NAME?</v>
      </c>
      <c r="BV92" s="1" t="e">
        <f ca="1">_xll.BDH($C$78,"TOTAL_CAPITAL_SEQUENTIAL_GROWTH","FQ4 2016","FQ4 2016","Currency=INR","Period=FQ","BEST_FPERIOD_OVERRIDE=FQ","FILING_STATUS=OR","EQY_CONSOLIDATED=Y","Sort=A","Dates=H","DateFormat=P","Fill=—","Direction=H","UseDPDF=Y")</f>
        <v>#NAME?</v>
      </c>
      <c r="BW92" s="1" t="e">
        <f ca="1">_xll.BDH($C$78,"BPS_SEQUENTIAL_GROWTH","FQ4 2016","FQ4 2016","Currency=INR","Period=FQ","BEST_FPERIOD_OVERRIDE=FQ","FILING_STATUS=OR","EQY_CONSOLIDATED=Y","Sort=A","Dates=H","DateFormat=P","Fill=—","Direction=H","UseDPDF=Y")</f>
        <v>#NAME?</v>
      </c>
      <c r="BX92" s="1" t="e">
        <f ca="1">_xll.BDH($C$78,"CFO_SEQUENTIAL_GROWTH","FQ4 2016","FQ4 2016","Currency=INR","Period=FQ","BEST_FPERIOD_OVERRIDE=FQ","FILING_STATUS=OR","EQY_CONSOLIDATED=Y","Sort=A","Dates=H","DateFormat=P","Fill=—","Direction=H","UseDPDF=Y")</f>
        <v>#NAME?</v>
      </c>
      <c r="BY92" s="2" t="e">
        <f ca="1">_xll.BDH($C$78,"SHORT_AND_LONG_TERM_DEBT","FQ4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92" s="2" t="e">
        <f ca="1">_xll.BDH($C$78,"BS_ST_BORROW","FQ4 2016","FQ4 2016","Currency=INR","Period=FQ","BEST_FPERIOD_OVERRIDE=FQ","FILING_STATUS=OR","EQY_CONSOLIDATED=Y","SCALING_FORMAT=MLN","Sort=A","Dates=H","DateFormat=P","Fill=—","Direction=H","UseDPDF=Y")</f>
        <v>#NAME?</v>
      </c>
      <c r="CA92" s="2" t="e">
        <f ca="1">_xll.BDH($C$78,"BS_LT_BORROW","FQ4 2016","FQ4 2016","Currency=INR","Period=FQ","BEST_FPERIOD_OVERRIDE=FQ","FILING_STATUS=OR","EQY_CONSOLIDATED=Y","SCALING_FORMAT=MLN","Sort=A","Dates=H","DateFormat=P","Fill=—","Direction=H","UseDPDF=Y")</f>
        <v>#NAME?</v>
      </c>
      <c r="CB92" s="1" t="e">
        <f ca="1">_xll.BDH($C$78,"TOT_DEBT_TO_EBITDA","FQ4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92" s="1" t="e">
        <f ca="1">_xll.BDH($C$78,"NET_DEBT_TO_EBITDA","FQ4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92" s="1" t="e">
        <f ca="1">_xll.BDH($C$78,"TOTAL_DEBT_TO_EBIT","FQ4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92" s="1" t="e">
        <f ca="1">_xll.BDH($C$78,"NET_DEBT_TO_EBIT","FQ4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92" s="1" t="e">
        <f ca="1">_xll.BDH($C$78,"EBITDA_TO_INTEREST_EXPN","FQ4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92" s="1" t="e">
        <f ca="1">_xll.BDH($C$78,"COM_EQY_TO_TOT_ASSET","FQ4 2016","FQ4 2016","Currency=INR","Period=FQ","BEST_FPERIOD_OVERRIDE=FQ","FILING_STATUS=OR","EQY_CONSOLIDATED=Y","Sort=A","Dates=H","DateFormat=P","Fill=—","Direction=H","UseDPDF=Y")</f>
        <v>#NAME?</v>
      </c>
      <c r="CH92" s="1" t="e">
        <f ca="1">_xll.BDH($C$78,"LT_DEBT_TO_TOT_EQY","FQ4 2016","FQ4 2016","Currency=INR","Period=FQ","BEST_FPERIOD_OVERRIDE=FQ","FILING_STATUS=OR","EQY_CONSOLIDATED=Y","Sort=A","Dates=H","DateFormat=P","Fill=—","Direction=H","UseDPDF=Y")</f>
        <v>#NAME?</v>
      </c>
      <c r="CI92" s="1" t="e">
        <f ca="1">_xll.BDH($C$78,"LT_DEBT_TO_TOT_CAP","FQ4 2016","FQ4 2016","Currency=INR","Period=FQ","BEST_FPERIOD_OVERRIDE=FQ","FILING_STATUS=OR","EQY_CONSOLIDATED=Y","Sort=A","Dates=H","DateFormat=P","Fill=—","Direction=H","UseDPDF=Y")</f>
        <v>#NAME?</v>
      </c>
      <c r="CJ92" s="1" t="e">
        <f ca="1">_xll.BDH($C$78,"LT_DEBT_TO_TOT_ASSET","FQ4 2016","FQ4 2016","Currency=INR","Period=FQ","BEST_FPERIOD_OVERRIDE=FQ","FILING_STATUS=OR","EQY_CONSOLIDATED=Y","Sort=A","Dates=H","DateFormat=P","Fill=—","Direction=H","UseDPDF=Y")</f>
        <v>#NAME?</v>
      </c>
      <c r="CK92" s="1" t="e">
        <f ca="1">_xll.BDH($C$78,"TOT_DEBT_TO_TOT_EQY","FQ4 2016","FQ4 2016","Currency=INR","Period=FQ","BEST_FPERIOD_OVERRIDE=FQ","FILING_STATUS=OR","EQY_CONSOLIDATED=Y","Sort=A","Dates=H","DateFormat=P","Fill=—","Direction=H","UseDPDF=Y")</f>
        <v>#NAME?</v>
      </c>
      <c r="CL92" s="1" t="e">
        <f ca="1">_xll.BDH($C$78,"TOT_DEBT_TO_TOT_CAP","FQ4 2016","FQ4 2016","Currency=INR","Period=FQ","BEST_FPERIOD_OVERRIDE=FQ","FILING_STATUS=OR","EQY_CONSOLIDATED=Y","Sort=A","Dates=H","DateFormat=P","Fill=—","Direction=H","UseDPDF=Y")</f>
        <v>#NAME?</v>
      </c>
      <c r="CM92" s="1" t="e">
        <f ca="1">_xll.BDH($C$78,"TOT_DEBT_TO_TOT_ASSET","FQ4 2016","FQ4 2016","Currency=INR","Period=FQ","BEST_FPERIOD_OVERRIDE=FQ","FILING_STATUS=OR","EQY_CONSOLIDATED=Y","Sort=A","Dates=H","DateFormat=P","Fill=—","Direction=H","UseDPDF=Y")</f>
        <v>#NAME?</v>
      </c>
      <c r="CN92" s="1" t="e">
        <f ca="1">_xll.BDH($C$78,"NET_DEBT_TO_SHRHLDR_EQTY","FQ4 2016","FQ4 2016","Currency=INR","Period=FQ","BEST_FPERIOD_OVERRIDE=FQ","FILING_STATUS=OR","EQY_CONSOLIDATED=Y","Sort=A","Dates=H","DateFormat=P","Fill=—","Direction=H","UseDPDF=Y")</f>
        <v>#NAME?</v>
      </c>
      <c r="CO92" s="1" t="e">
        <f ca="1">_xll.BDH($C$78,"NET_DEBT_%_CAPITAL","FQ4 2016","FQ4 2016","Currency=INR","Period=FQ","BEST_FPERIOD_OVERRIDE=FQ","FILING_STATUS=OR","EQY_CONSOLIDATED=Y","Sort=A","Dates=H","DateFormat=P","Fill=—","Direction=H","UseDPDF=Y")</f>
        <v>#NAME?</v>
      </c>
      <c r="CP92" s="2" t="e">
        <f ca="1">_xll.BDH($C$78,"EBITDA","FQ4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92" s="2" t="e">
        <f ca="1">_xll.BDH($C$78,"EBITDA_AFTER_CAPEX","FQ4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92" s="2" t="e">
        <f ca="1">_xll.BDH($C$78,"IS_OPER_INC","FQ4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92" s="1" t="e">
        <f ca="1">_xll.BDH($C$78,"CASH_RATIO","FQ4 2016","FQ4 2016","Currency=INR","Period=FQ","BEST_FPERIOD_OVERRIDE=FQ","FILING_STATUS=OR","EQY_CONSOLIDATED=Y","Sort=A","Dates=H","DateFormat=P","Fill=—","Direction=H","UseDPDF=Y")</f>
        <v>#NAME?</v>
      </c>
      <c r="CT92" s="1" t="e">
        <f ca="1">_xll.BDH($C$78,"CUR_RATIO","FQ4 2016","FQ4 2016","Currency=INR","Period=FQ","BEST_FPERIOD_OVERRIDE=FQ","FILING_STATUS=OR","EQY_CONSOLIDATED=Y","Sort=A","Dates=H","DateFormat=P","Fill=—","Direction=H","UseDPDF=Y")</f>
        <v>#NAME?</v>
      </c>
      <c r="CU92" s="1" t="e">
        <f ca="1">_xll.BDH($C$78,"QUICK_RATIO","FQ4 2016","FQ4 2016","Currency=INR","Period=FQ","BEST_FPERIOD_OVERRIDE=FQ","FILING_STATUS=OR","EQY_CONSOLIDATED=Y","Sort=A","Dates=H","DateFormat=P","Fill=—","Direction=H","UseDPDF=Y")</f>
        <v>#NAME?</v>
      </c>
      <c r="CV92" s="1" t="e">
        <f ca="1">_xll.BDH($C$78,"ALTMAN_Z_SCORE","FQ4 2016","FQ4 2016","Currency=INR","Period=FQ","BEST_FPERIOD_OVERRIDE=FQ","FILING_STATUS=OR","EQY_CONSOLIDATED=Y","Sort=A","Dates=H","DateFormat=P","Fill=—","Direction=H","UseDPDF=Y")</f>
        <v>#NAME?</v>
      </c>
      <c r="CW92" s="3" t="e">
        <f ca="1">_xll.BDH($C$78,"ACCT_RCV_TURN","FQ4 2016","FQ4 2016","Currency=INR","Period=FQ","BEST_FPERIOD_OVERRIDE=FQ","FILING_STATUS=OR","EQY_CONSOLIDATED=Y","FA_ADJUSTED=GAAP","Sort=A","Dates=H","DateFormat=P","Fill=—","Direction=H","UseDPDF=Y")</f>
        <v>#NAME?</v>
      </c>
      <c r="CX92" s="1" t="e">
        <f ca="1">_xll.BDH($C$78,"ACCT_RCV_DAYS","FQ4 2016","FQ4 2016","Currency=INR","Period=FQ","BEST_FPERIOD_OVERRIDE=FQ","FILING_STATUS=OR","EQY_CONSOLIDATED=Y","FA_ADJUSTED=GAAP","Sort=A","Dates=H","DateFormat=P","Fill=—","Direction=H","UseDPDF=Y")</f>
        <v>#NAME?</v>
      </c>
      <c r="CY92" s="3" t="e">
        <f ca="1">_xll.BDH($C$78,"INVENT_TURN","FQ4 2016","FQ4 2016","Currency=INR","Period=FQ","BEST_FPERIOD_OVERRIDE=FQ","FILING_STATUS=OR","EQY_CONSOLIDATED=Y","FA_ADJUSTED=GAAP","Sort=A","Dates=H","DateFormat=P","Fill=—","Direction=H","UseDPDF=Y")</f>
        <v>#NAME?</v>
      </c>
      <c r="CZ92" s="1" t="e">
        <f ca="1">_xll.BDH($C$78,"INVENT_DAYS","FQ4 2016","FQ4 2016","Currency=INR","Period=FQ","BEST_FPERIOD_OVERRIDE=FQ","FILING_STATUS=OR","EQY_CONSOLIDATED=Y","FA_ADJUSTED=GAAP","Sort=A","Dates=H","DateFormat=P","Fill=—","Direction=H","UseDPDF=Y")</f>
        <v>#NAME?</v>
      </c>
      <c r="DA92" s="3" t="e">
        <f ca="1">_xll.BDH($C$78,"ACCOUNTS_PAYABLE_TURNOVER","FQ4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92" s="1" t="e">
        <f ca="1">_xll.BDH($C$78,"ACCOUNTS_PAYABLE_TURNOVER_DAYS","FQ4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92" s="3" t="e">
        <f ca="1">_xll.BDH($C$78,"CASH_CONVERSION_CYCLE","FQ4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92" s="3" t="e">
        <f ca="1">_xll.BDH($C$78,"INV_TO_CASH_DAYS","FQ4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92" s="4" t="e">
        <f ca="1">_xll.BDH($C$78,"BS_INVENTORIES","FQ4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92" s="2" t="e">
        <f ca="1">_xll.BDH($C$78,"INVTRY_RAW_MATERIALS","FQ4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92" s="2" t="e">
        <f ca="1">_xll.BDH($C$78,"INVTRY_IN_PROGRESS","FQ4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92" s="2" t="e">
        <f ca="1">_xll.BDH($C$78,"INVTRY_FINISHED_GOODS","FQ4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92" s="2" t="e">
        <f ca="1">_xll.BDH($C$78,"BS_OTHER_INV","FQ4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93" spans="1:113" x14ac:dyDescent="0.3">
      <c r="A93" s="6"/>
      <c r="B93" s="6"/>
      <c r="C93" s="6"/>
      <c r="D93" s="6" t="s">
        <v>10</v>
      </c>
      <c r="E93" t="s">
        <v>3</v>
      </c>
      <c r="F93" t="e">
        <f ca="1">_xll.BDH($C$78,"RETURN_COM_EQY","FY 2017","FY 2017","Currency=INR","Period=FY","BEST_FPERIOD_OVERRIDE=FY","FILING_STATUS=OR","EQY_CONSOLIDATED=Y","FA_ADJUSTED=GAAP","Sort=A","Dates=H","DateFormat=P","Fill=—","Direction=H","UseDPDF=Y")</f>
        <v>#NAME?</v>
      </c>
      <c r="G93" t="e">
        <f ca="1">_xll.BDH($C$78,"RETURN_ON_ASSET","FY 2017","FY 2017","Currency=INR","Period=FY","BEST_FPERIOD_OVERRIDE=FY","FILING_STATUS=OR","EQY_CONSOLIDATED=Y","FA_ADJUSTED=GAAP","Sort=A","Dates=H","DateFormat=P","Fill=—","Direction=H","UseDPDF=Y")</f>
        <v>#NAME?</v>
      </c>
      <c r="H93" t="e">
        <f ca="1">_xll.BDH($C$78,"RETURN_ON_CAP","FY 2017","FY 2017","Currency=INR","Period=FY","BEST_FPERIOD_OVERRIDE=FY","FILING_STATUS=OR","EQY_CONSOLIDATED=Y","FA_ADJUSTED=GAAP","Sort=A","Dates=H","DateFormat=P","Fill=—","Direction=H","UseDPDF=Y")</f>
        <v>#NAME?</v>
      </c>
      <c r="I93" t="e">
        <f ca="1">_xll.BDH($C$78,"RETURN_ON_INV_CAPITAL","FY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93" t="e">
        <f ca="1">_xll.BDH($C$78,"EBITDA_TO_REVENUE","FY 2017","FY 2017","Currency=INR","Period=FY","BEST_FPERIOD_OVERRIDE=FY","FILING_STATUS=OR","EQY_CONSOLIDATED=Y","FA_ADJUSTED=GAAP","Sort=A","Dates=H","DateFormat=P","Fill=—","Direction=H","UseDPDF=Y")</f>
        <v>#NAME?</v>
      </c>
      <c r="K93" t="e">
        <f ca="1">_xll.BDH($C$78,"OPER_MARGIN","FY 2017","FY 2017","Currency=INR","Period=FY","BEST_FPERIOD_OVERRIDE=FY","FILING_STATUS=OR","EQY_CONSOLIDATED=Y","FA_ADJUSTED=GAAP","Sort=A","Dates=H","DateFormat=P","Fill=—","Direction=H","UseDPDF=Y")</f>
        <v>#NAME?</v>
      </c>
      <c r="L93" t="e">
        <f ca="1">_xll.BDH($C$78,"INCREMENTAL_OPERATING_MARGIN","FY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93" t="e">
        <f ca="1">_xll.BDH($C$78,"PRETAX_INC_TO_NET_SALES","FY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93" t="e">
        <f ca="1">_xll.BDH($C$78,"INC_BEF_XO_ITEMS_TO_NET_SALES","FY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93" t="e">
        <f ca="1">_xll.BDH($C$78,"PROF_MARGIN","FY 2017","FY 2017","Currency=INR","Period=FY","BEST_FPERIOD_OVERRIDE=FY","FILING_STATUS=OR","EQY_CONSOLIDATED=Y","FA_ADJUSTED=GAAP","Sort=A","Dates=H","DateFormat=P","Fill=—","Direction=H","UseDPDF=Y")</f>
        <v>#NAME?</v>
      </c>
      <c r="P93" t="e">
        <f ca="1">_xll.BDH($C$78,"NET_INCOME_TO_COMMON_MARGIN","FY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93" t="e">
        <f ca="1">_xll.BDH($C$78,"EFF_TAX_RATE","FY 2017","FY 2017","Currency=INR","Period=FY","BEST_FPERIOD_OVERRIDE=FY","FILING_STATUS=OR","EQY_CONSOLIDATED=Y","FA_ADJUSTED=GAAP","Sort=A","Dates=H","DateFormat=P","Fill=—","Direction=H","UseDPDF=Y")</f>
        <v>#NAME?</v>
      </c>
      <c r="R93" t="e">
        <f ca="1">_xll.BDH($C$78,"DVD_PAYOUT_RATIO","FY 2017","FY 2017","Currency=INR","Period=FY","BEST_FPERIOD_OVERRIDE=FY","FILING_STATUS=OR","EQY_CONSOLIDATED=Y","FA_ADJUSTED=GAAP","Sort=A","Dates=H","DateFormat=P","Fill=—","Direction=H","UseDPDF=Y")</f>
        <v>#NAME?</v>
      </c>
      <c r="S93" t="e">
        <f ca="1">_xll.BDH($C$78,"SUSTAIN_GROWTH_RT","FY 2017","FY 2017","Currency=INR","Period=FY","BEST_FPERIOD_OVERRIDE=FY","FILING_STATUS=OR","EQY_CONSOLIDATED=Y","FA_ADJUSTED=GAAP","Sort=A","Dates=H","DateFormat=P","Fill=—","Direction=H","UseDPDF=Y")</f>
        <v>#NAME?</v>
      </c>
      <c r="T93" s="1" t="e">
        <f ca="1">_xll.BDH($C$78,"SALES_GROWTH","FY 2017","FY 2017","Currency=INR","Period=FY","BEST_FPERIOD_OVERRIDE=FY","FILING_STATUS=OR","EQY_CONSOLIDATED=Y","FA_ADJUSTED=GAAP","Sort=A","Dates=H","DateFormat=P","Fill=—","Direction=H","UseDPDF=Y")</f>
        <v>#NAME?</v>
      </c>
      <c r="U93" s="1" t="e">
        <f ca="1">_xll.BDH($C$78,"EBITDA_GROWTH","FY 2017","FY 2017","Currency=INR","Period=FY","BEST_FPERIOD_OVERRIDE=FY","FILING_STATUS=OR","EQY_CONSOLIDATED=Y","FA_ADJUSTED=GAAP","Sort=A","Dates=H","DateFormat=P","Fill=—","Direction=H","UseDPDF=Y")</f>
        <v>#NAME?</v>
      </c>
      <c r="V93" s="1" t="e">
        <f ca="1">_xll.BDH($C$78,"OPER_INC_GROWTH","FY 2017","FY 2017","Currency=INR","Period=FY","BEST_FPERIOD_OVERRIDE=FY","FILING_STATUS=OR","EQY_CONSOLIDATED=Y","FA_ADJUSTED=GAAP","Sort=A","Dates=H","DateFormat=P","Fill=—","Direction=H","UseDPDF=Y")</f>
        <v>#NAME?</v>
      </c>
      <c r="W93" s="1" t="e">
        <f ca="1">_xll.BDH($C$78,"EARN_FOR_COM_GROWTH","FY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93" s="1" t="e">
        <f ca="1">_xll.BDH($C$78,"DILUTED_EPS_AFT_XO_ITEMS_GROWTH","FY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93" s="1" t="e">
        <f ca="1">_xll.BDH($C$78,"DIVIDEND_PER_SHARE_1_YEAR_GROWTH","FY 2017","FY 2017","Currency=INR","Period=FY","BEST_FPERIOD_OVERRIDE=FY","FILING_STATUS=OR","EQY_CONSOLIDATED=Y","Sort=A","Dates=H","DateFormat=P","Fill=—","Direction=H","UseDPDF=Y")</f>
        <v>#NAME?</v>
      </c>
      <c r="Z93" s="1" t="e">
        <f ca="1">_xll.BDH($C$78,"ACCOUNTS_RECEIVABLE_GROWTH","FY 2017","FY 2017","Currency=INR","Period=FY","BEST_FPERIOD_OVERRIDE=FY","FILING_STATUS=OR","EQY_CONSOLIDATED=Y","Sort=A","Dates=H","DateFormat=P","Fill=—","Direction=H","UseDPDF=Y")</f>
        <v>#NAME?</v>
      </c>
      <c r="AA93" s="1" t="e">
        <f ca="1">_xll.BDH($C$78,"INVENTORY_GROWTH","FY 2017","FY 2017","Currency=INR","Period=FY","BEST_FPERIOD_OVERRIDE=FY","FILING_STATUS=OR","EQY_CONSOLIDATED=Y","Sort=A","Dates=H","DateFormat=P","Fill=—","Direction=H","UseDPDF=Y")</f>
        <v>#NAME?</v>
      </c>
      <c r="AB93" s="1" t="e">
        <f ca="1">_xll.BDH($C$78,"NET_FIXED_ASSETS_1_YEAR_GROWTH","FY 2017","FY 2017","Currency=INR","Period=FY","BEST_FPERIOD_OVERRIDE=FY","FILING_STATUS=OR","EQY_CONSOLIDATED=Y","Sort=A","Dates=H","DateFormat=P","Fill=—","Direction=H","UseDPDF=Y")</f>
        <v>#NAME?</v>
      </c>
      <c r="AC93" s="1" t="e">
        <f ca="1">_xll.BDH($C$78,"ASSET_GROWTH","FY 2017","FY 2017","Currency=INR","Period=FY","BEST_FPERIOD_OVERRIDE=FY","FILING_STATUS=OR","EQY_CONSOLIDATED=Y","Sort=A","Dates=H","DateFormat=P","Fill=—","Direction=H","UseDPDF=Y")</f>
        <v>#NAME?</v>
      </c>
      <c r="AD93" s="1" t="e">
        <f ca="1">_xll.BDH($C$78,"MODIFIED_WORK_CAP_GROWTH","FY 2017","FY 2017","Currency=INR","Period=FY","BEST_FPERIOD_OVERRIDE=FY","FILING_STATUS=OR","EQY_CONSOLIDATED=Y","Sort=A","Dates=H","DateFormat=P","Fill=—","Direction=H","UseDPDF=Y")</f>
        <v>#NAME?</v>
      </c>
      <c r="AE93" s="1" t="e">
        <f ca="1">_xll.BDH($C$78,"WORK_CAP_GROWTH","FY 2017","FY 2017","Currency=INR","Period=FY","BEST_FPERIOD_OVERRIDE=FY","FILING_STATUS=OR","EQY_CONSOLIDATED=Y","Sort=A","Dates=H","DateFormat=P","Fill=—","Direction=H","UseDPDF=Y")</f>
        <v>#NAME?</v>
      </c>
      <c r="AF93" s="1" t="e">
        <f ca="1">_xll.BDH($C$78,"ACCOUNTS_PAYABLE_GROWTH_1YR","FY 2017","FY 2017","Currency=INR","Period=FY","BEST_FPERIOD_OVERRIDE=FY","FILING_STATUS=OR","EQY_CONSOLIDATED=Y","Sort=A","Dates=H","DateFormat=P","Fill=—","Direction=H","UseDPDF=Y")</f>
        <v>#NAME?</v>
      </c>
      <c r="AG93" s="1" t="e">
        <f ca="1">_xll.BDH($C$78,"SHORT_TERM_DEBT_1_YEAR_GROWTH","FY 2017","FY 2017","Currency=INR","Period=FY","BEST_FPERIOD_OVERRIDE=FY","FILING_STATUS=OR","EQY_CONSOLIDATED=Y","Sort=A","Dates=H","DateFormat=P","Fill=—","Direction=H","UseDPDF=Y")</f>
        <v>#NAME?</v>
      </c>
      <c r="AH93" s="1" t="e">
        <f ca="1">_xll.BDH($C$78,"TOTAL_DEBT_1_YEAR_GROWTH","FY 2017","FY 2017","Currency=INR","Period=FY","BEST_FPERIOD_OVERRIDE=FY","FILING_STATUS=OR","EQY_CONSOLIDATED=Y","Sort=A","Dates=H","DateFormat=P","Fill=—","Direction=H","UseDPDF=Y")</f>
        <v>#NAME?</v>
      </c>
      <c r="AI93" s="1" t="e">
        <f ca="1">_xll.BDH($C$78,"TOTAL_EQUITY_1_YEAR_GROWTH","FY 2017","FY 2017","Currency=INR","Period=FY","BEST_FPERIOD_OVERRIDE=FY","FILING_STATUS=OR","EQY_CONSOLIDATED=Y","Sort=A","Dates=H","DateFormat=P","Fill=—","Direction=H","UseDPDF=Y")</f>
        <v>#NAME?</v>
      </c>
      <c r="AJ93" s="1" t="e">
        <f ca="1">_xll.BDH($C$78,"GROWTH_IN_CAP","FY 2017","FY 2017","Currency=INR","Period=FY","BEST_FPERIOD_OVERRIDE=FY","FILING_STATUS=OR","EQY_CONSOLIDATED=Y","Sort=A","Dates=H","DateFormat=P","Fill=—","Direction=H","UseDPDF=Y")</f>
        <v>#NAME?</v>
      </c>
      <c r="AK93" s="1" t="e">
        <f ca="1">_xll.BDH($C$78,"BVPS_GROWTH","FY 2017","FY 2017","Currency=INR","Period=FY","BEST_FPERIOD_OVERRIDE=FY","FILING_STATUS=OR","EQY_CONSOLIDATED=Y","Sort=A","Dates=H","DateFormat=P","Fill=—","Direction=H","UseDPDF=Y")</f>
        <v>#NAME?</v>
      </c>
      <c r="AL93" s="1" t="e">
        <f ca="1">_xll.BDH($C$78,"CASH_FLOW_GROWTH","FY 2017","FY 2017","Currency=INR","Period=FY","BEST_FPERIOD_OVERRIDE=FY","FILING_STATUS=OR","EQY_CONSOLIDATED=Y","Sort=A","Dates=H","DateFormat=P","Fill=—","Direction=H","UseDPDF=Y")</f>
        <v>#NAME?</v>
      </c>
      <c r="AM93" s="1" t="e">
        <f ca="1">_xll.BDH($C$78,"GEO_GROW_NET_SALES","FY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93" s="1" t="e">
        <f ca="1">_xll.BDH($C$78,"GEO_GROW_EBITDA","FY 2017","FY 2017","Currency=INR","Period=FY","BEST_FPERIOD_OVERRIDE=FY","FILING_STATUS=OR","EQY_CONSOLIDATED=Y","FA_ADJUSTED=GAAP","Sort=A","Dates=H","DateFormat=P","Fill=—","Direction=H","UseDPDF=Y")</f>
        <v>#NAME?</v>
      </c>
      <c r="AO93" s="1" t="e">
        <f ca="1">_xll.BDH($C$78,"GEO_GROW_OPER_INC","FY 2017","FY 2017","Currency=INR","Period=FY","BEST_FPERIOD_OVERRIDE=FY","FILING_STATUS=OR","EQY_CONSOLIDATED=Y","FA_ADJUSTED=GAAP","Sort=A","Dates=H","DateFormat=P","Fill=—","Direction=H","UseDPDF=Y")</f>
        <v>#NAME?</v>
      </c>
      <c r="AP93" s="1" t="e">
        <f ca="1">_xll.BDH($C$78,"NET_INCOME_TO_COMMON_5_YR_GROWTH","FY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93" s="1" t="e">
        <f ca="1">_xll.BDH($C$78,"5Y_GEO_GROWTH_DILUTED_EPS","FY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93" s="1" t="e">
        <f ca="1">_xll.BDH($C$78,"GEO_GROW_DVD_PER_SH","FY 2017","FY 2017","Currency=INR","Period=FY","BEST_FPERIOD_OVERRIDE=FY","FILING_STATUS=OR","EQY_CONSOLIDATED=Y","Sort=A","Dates=H","DateFormat=P","Fill=—","Direction=H","UseDPDF=Y")</f>
        <v>#NAME?</v>
      </c>
      <c r="AS93" s="1" t="e">
        <f ca="1">_xll.BDH($C$78,"ACCOUNTS_RECEIVABLE_5_YR_GROWTH","FY 2017","FY 2017","Currency=INR","Period=FY","BEST_FPERIOD_OVERRIDE=FY","FILING_STATUS=OR","EQY_CONSOLIDATED=Y","Sort=A","Dates=H","DateFormat=P","Fill=—","Direction=H","UseDPDF=Y")</f>
        <v>#NAME?</v>
      </c>
      <c r="AT93" s="1" t="e">
        <f ca="1">_xll.BDH($C$78,"INVENTORY_5_YEAR_GROWTH","FY 2017","FY 2017","Currency=INR","Period=FY","BEST_FPERIOD_OVERRIDE=FY","FILING_STATUS=OR","EQY_CONSOLIDATED=Y","Sort=A","Dates=H","DateFormat=P","Fill=—","Direction=H","UseDPDF=Y")</f>
        <v>#NAME?</v>
      </c>
      <c r="AU93" s="1" t="e">
        <f ca="1">_xll.BDH($C$78,"NET_FIXED_ASSETS_5_YEAR_GROWTH","FY 2017","FY 2017","Currency=INR","Period=FY","BEST_FPERIOD_OVERRIDE=FY","FILING_STATUS=OR","EQY_CONSOLIDATED=Y","Sort=A","Dates=H","DateFormat=P","Fill=—","Direction=H","UseDPDF=Y")</f>
        <v>#NAME?</v>
      </c>
      <c r="AV93" s="1" t="e">
        <f ca="1">_xll.BDH($C$78,"GEO_GROW_TOT_ASSET","FY 2017","FY 2017","Currency=INR","Period=FY","BEST_FPERIOD_OVERRIDE=FY","FILING_STATUS=OR","EQY_CONSOLIDATED=Y","Sort=A","Dates=H","DateFormat=P","Fill=—","Direction=H","UseDPDF=Y")</f>
        <v>#NAME?</v>
      </c>
      <c r="AW93" s="1" t="e">
        <f ca="1">_xll.BDH($C$78,"MODIFIED_WORKING_CPTL_5YR_GRWTH","FY 2017","FY 2017","Currency=INR","Period=FY","BEST_FPERIOD_OVERRIDE=FY","FILING_STATUS=OR","EQY_CONSOLIDATED=Y","Sort=A","Dates=H","DateFormat=P","Fill=—","Direction=H","UseDPDF=Y")</f>
        <v>#NAME?</v>
      </c>
      <c r="AX93" s="1" t="e">
        <f ca="1">_xll.BDH($C$78,"WORKING_CAPITAL_5_YEAR_GROWTH","FY 2017","FY 2017","Currency=INR","Period=FY","BEST_FPERIOD_OVERRIDE=FY","FILING_STATUS=OR","EQY_CONSOLIDATED=Y","Sort=A","Dates=H","DateFormat=P","Fill=—","Direction=H","UseDPDF=Y")</f>
        <v>#NAME?</v>
      </c>
      <c r="AY93" s="1" t="e">
        <f ca="1">_xll.BDH($C$78,"ACCOUNTS_PAYABLE_5_YEAR_GROWTH","FY 2017","FY 2017","Currency=INR","Period=FY","BEST_FPERIOD_OVERRIDE=FY","FILING_STATUS=OR","EQY_CONSOLIDATED=Y","Sort=A","Dates=H","DateFormat=P","Fill=—","Direction=H","UseDPDF=Y")</f>
        <v>#NAME?</v>
      </c>
      <c r="AZ93" s="1" t="e">
        <f ca="1">_xll.BDH($C$78,"SHORT_TERM_DEBT_5_YEAR_GROWTH","FY 2017","FY 2017","Currency=INR","Period=FY","BEST_FPERIOD_OVERRIDE=FY","FILING_STATUS=OR","EQY_CONSOLIDATED=Y","Sort=A","Dates=H","DateFormat=P","Fill=—","Direction=H","UseDPDF=Y")</f>
        <v>#NAME?</v>
      </c>
      <c r="BA93" s="1" t="e">
        <f ca="1">_xll.BDH($C$78,"TOTAL_DEBT_5_YEAR_GROWTH","FY 2017","FY 2017","Currency=INR","Period=FY","BEST_FPERIOD_OVERRIDE=FY","FILING_STATUS=OR","EQY_CONSOLIDATED=Y","Sort=A","Dates=H","DateFormat=P","Fill=—","Direction=H","UseDPDF=Y")</f>
        <v>#NAME?</v>
      </c>
      <c r="BB93" s="1" t="e">
        <f ca="1">_xll.BDH($C$78,"GEO_GROW_TOT_SHRHLDR_EQY","FY 2017","FY 2017","Currency=INR","Period=FY","BEST_FPERIOD_OVERRIDE=FY","FILING_STATUS=OR","EQY_CONSOLIDATED=Y","Sort=A","Dates=H","DateFormat=P","Fill=—","Direction=H","UseDPDF=Y")</f>
        <v>#NAME?</v>
      </c>
      <c r="BC93" s="1" t="e">
        <f ca="1">_xll.BDH($C$78,"TOTAL_CAPITAL_5_YEAR_GROWTH","FY 2017","FY 2017","Currency=INR","Period=FY","BEST_FPERIOD_OVERRIDE=FY","FILING_STATUS=OR","EQY_CONSOLIDATED=Y","Sort=A","Dates=H","DateFormat=P","Fill=—","Direction=H","UseDPDF=Y")</f>
        <v>#NAME?</v>
      </c>
      <c r="BD93" s="1" t="e">
        <f ca="1">_xll.BDH($C$78,"GEO_GROW_BOOK_VAL","FY 2017","FY 2017","Currency=INR","Period=FY","BEST_FPERIOD_OVERRIDE=FY","FILING_STATUS=OR","EQY_CONSOLIDATED=Y","Sort=A","Dates=H","DateFormat=P","Fill=—","Direction=H","UseDPDF=Y")</f>
        <v>#NAME?</v>
      </c>
      <c r="BE93" s="1" t="e">
        <f ca="1">_xll.BDH($C$78,"GEO_GROW_CASH_OPER_ACT","FY 2017","FY 2017","Currency=INR","Period=FY","BEST_FPERIOD_OVERRIDE=FY","FILING_STATUS=OR","EQY_CONSOLIDATED=Y","Sort=A","Dates=H","DateFormat=P","Fill=—","Direction=H","UseDPDF=Y")</f>
        <v>#NAME?</v>
      </c>
      <c r="BF93" s="1" t="e">
        <f ca="1">_xll.BDH($C$78,"REVENUE_SEQUENTIAL_GROWTH","FY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93" s="1" t="e">
        <f ca="1">_xll.BDH($C$78,"EBITDA_SEQUENTIAL_GROWTH","FY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93" s="1" t="e">
        <f ca="1">_xll.BDH($C$78,"OPERATING_INCOME_SEQ_GROWTH","FY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93" s="1" t="e">
        <f ca="1">_xll.BDH($C$78,"NET_INCOME_TO_COMMON_SEQ_GROWTH","FY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93" s="1" t="e">
        <f ca="1">_xll.BDH($C$78,"EPS_DILUTED_SEQUENTIAL_GROWTH","FY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93" s="1" t="e">
        <f ca="1">_xll.BDH($C$78,"DPS_SEQUENTIAL_GROWTH","FY 2017","FY 2017","Currency=INR","Period=FY","BEST_FPERIOD_OVERRIDE=FY","FILING_STATUS=OR","EQY_CONSOLIDATED=Y","Sort=A","Dates=H","DateFormat=P","Fill=—","Direction=H","UseDPDF=Y")</f>
        <v>#NAME?</v>
      </c>
      <c r="BL93" s="1" t="e">
        <f ca="1">_xll.BDH($C$78,"ACCOUNTS_RECEIVABLE_SEQ_GROWTH","FY 2017","FY 2017","Currency=INR","Period=FY","BEST_FPERIOD_OVERRIDE=FY","FILING_STATUS=OR","EQY_CONSOLIDATED=Y","Sort=A","Dates=H","DateFormat=P","Fill=—","Direction=H","UseDPDF=Y")</f>
        <v>#NAME?</v>
      </c>
      <c r="BM93" s="1" t="e">
        <f ca="1">_xll.BDH($C$78,"INVENTORY_SEQUENTIAL_GROWTH","FY 2017","FY 2017","Currency=INR","Period=FY","BEST_FPERIOD_OVERRIDE=FY","FILING_STATUS=OR","EQY_CONSOLIDATED=Y","Sort=A","Dates=H","DateFormat=P","Fill=—","Direction=H","UseDPDF=Y")</f>
        <v>#NAME?</v>
      </c>
      <c r="BN93" s="1" t="e">
        <f ca="1">_xll.BDH($C$78,"FIXED_ASSETS_SEQUENTIAL_GROWTH","FY 2017","FY 2017","Currency=INR","Period=FY","BEST_FPERIOD_OVERRIDE=FY","FILING_STATUS=OR","EQY_CONSOLIDATED=Y","Sort=A","Dates=H","DateFormat=P","Fill=—","Direction=H","UseDPDF=Y")</f>
        <v>#NAME?</v>
      </c>
      <c r="BO93" s="1" t="e">
        <f ca="1">_xll.BDH($C$78,"TOTAL_ASSETS_SEQUENTIAL_GROWTH","FY 2017","FY 2017","Currency=INR","Period=FY","BEST_FPERIOD_OVERRIDE=FY","FILING_STATUS=OR","EQY_CONSOLIDATED=Y","Sort=A","Dates=H","DateFormat=P","Fill=—","Direction=H","UseDPDF=Y")</f>
        <v>#NAME?</v>
      </c>
      <c r="BP93" s="1" t="e">
        <f ca="1">_xll.BDH($C$78,"MODIFIED_WORKING_CPTL_SEQ_GRWTH","FY 2017","FY 2017","Currency=INR","Period=FY","BEST_FPERIOD_OVERRIDE=FY","FILING_STATUS=OR","EQY_CONSOLIDATED=Y","Sort=A","Dates=H","DateFormat=P","Fill=—","Direction=H","UseDPDF=Y")</f>
        <v>#NAME?</v>
      </c>
      <c r="BQ93" s="1" t="e">
        <f ca="1">_xll.BDH($C$78,"WORKING_CAPITAL_SEQ_GROWTH","FY 2017","FY 2017","Currency=INR","Period=FY","BEST_FPERIOD_OVERRIDE=FY","FILING_STATUS=OR","EQY_CONSOLIDATED=Y","Sort=A","Dates=H","DateFormat=P","Fill=—","Direction=H","UseDPDF=Y")</f>
        <v>#NAME?</v>
      </c>
      <c r="BR93" s="1" t="e">
        <f ca="1">_xll.BDH($C$78,"ACCOUNTS_PAYABLE_SEQ_GROWTH","FY 2017","FY 2017","Currency=INR","Period=FY","BEST_FPERIOD_OVERRIDE=FY","FILING_STATUS=OR","EQY_CONSOLIDATED=Y","Sort=A","Dates=H","DateFormat=P","Fill=—","Direction=H","UseDPDF=Y")</f>
        <v>#NAME?</v>
      </c>
      <c r="BS93" s="1" t="e">
        <f ca="1">_xll.BDH($C$78,"ST_DEBT_SEQUENTIAL_GROWTH","FY 2017","FY 2017","Currency=INR","Period=FY","BEST_FPERIOD_OVERRIDE=FY","FILING_STATUS=OR","EQY_CONSOLIDATED=Y","Sort=A","Dates=H","DateFormat=P","Fill=—","Direction=H","UseDPDF=Y")</f>
        <v>#NAME?</v>
      </c>
      <c r="BT93" s="1" t="e">
        <f ca="1">_xll.BDH($C$78,"TOTAL_DEBT_SEQUENTIAL_GROWTH","FY 2017","FY 2017","Currency=INR","Period=FY","BEST_FPERIOD_OVERRIDE=FY","FILING_STATUS=OR","EQY_CONSOLIDATED=Y","Sort=A","Dates=H","DateFormat=P","Fill=—","Direction=H","UseDPDF=Y")</f>
        <v>#NAME?</v>
      </c>
      <c r="BU93" s="1" t="e">
        <f ca="1">_xll.BDH($C$78,"TOTAL_EQUITY_SEQUENTIAL_GROWTH","FY 2017","FY 2017","Currency=INR","Period=FY","BEST_FPERIOD_OVERRIDE=FY","FILING_STATUS=OR","EQY_CONSOLIDATED=Y","Sort=A","Dates=H","DateFormat=P","Fill=—","Direction=H","UseDPDF=Y")</f>
        <v>#NAME?</v>
      </c>
      <c r="BV93" s="1" t="e">
        <f ca="1">_xll.BDH($C$78,"TOTAL_CAPITAL_SEQUENTIAL_GROWTH","FY 2017","FY 2017","Currency=INR","Period=FY","BEST_FPERIOD_OVERRIDE=FY","FILING_STATUS=OR","EQY_CONSOLIDATED=Y","Sort=A","Dates=H","DateFormat=P","Fill=—","Direction=H","UseDPDF=Y")</f>
        <v>#NAME?</v>
      </c>
      <c r="BW93" s="1" t="e">
        <f ca="1">_xll.BDH($C$78,"BPS_SEQUENTIAL_GROWTH","FY 2017","FY 2017","Currency=INR","Period=FY","BEST_FPERIOD_OVERRIDE=FY","FILING_STATUS=OR","EQY_CONSOLIDATED=Y","Sort=A","Dates=H","DateFormat=P","Fill=—","Direction=H","UseDPDF=Y")</f>
        <v>#NAME?</v>
      </c>
      <c r="BX93" s="1" t="e">
        <f ca="1">_xll.BDH($C$78,"CFO_SEQUENTIAL_GROWTH","FY 2017","FY 2017","Currency=INR","Period=FY","BEST_FPERIOD_OVERRIDE=FY","FILING_STATUS=OR","EQY_CONSOLIDATED=Y","Sort=A","Dates=H","DateFormat=P","Fill=—","Direction=H","UseDPDF=Y")</f>
        <v>#NAME?</v>
      </c>
      <c r="BY93" s="2" t="e">
        <f ca="1">_xll.BDH($C$78,"SHORT_AND_LONG_TERM_DEBT","FY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93" s="2" t="e">
        <f ca="1">_xll.BDH($C$78,"BS_ST_BORROW","FY 2017","FY 2017","Currency=INR","Period=FY","BEST_FPERIOD_OVERRIDE=FY","FILING_STATUS=OR","EQY_CONSOLIDATED=Y","SCALING_FORMAT=MLN","Sort=A","Dates=H","DateFormat=P","Fill=—","Direction=H","UseDPDF=Y")</f>
        <v>#NAME?</v>
      </c>
      <c r="CA93" s="2" t="e">
        <f ca="1">_xll.BDH($C$78,"BS_LT_BORROW","FY 2017","FY 2017","Currency=INR","Period=FY","BEST_FPERIOD_OVERRIDE=FY","FILING_STATUS=OR","EQY_CONSOLIDATED=Y","SCALING_FORMAT=MLN","Sort=A","Dates=H","DateFormat=P","Fill=—","Direction=H","UseDPDF=Y")</f>
        <v>#NAME?</v>
      </c>
      <c r="CB93" s="1" t="e">
        <f ca="1">_xll.BDH($C$78,"TOT_DEBT_TO_EBITDA","FY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93" s="1" t="e">
        <f ca="1">_xll.BDH($C$78,"NET_DEBT_TO_EBITDA","FY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93" s="1" t="e">
        <f ca="1">_xll.BDH($C$78,"TOTAL_DEBT_TO_EBIT","FY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93" s="1" t="e">
        <f ca="1">_xll.BDH($C$78,"NET_DEBT_TO_EBIT","FY 2017","FY 2017","Currency=INR","Period=FY","BEST_FPERIOD_OVERRIDE=FY","FILING_STATUS=OR","EQY_CONSOLIDATED=Y","FA_ADJUSTED=GAAP","Sort=A","Dates=H","DateFormat=P","Fill=—","Direction=H","UseDPDF=Y")</f>
        <v>#NAME?</v>
      </c>
      <c r="CF93" s="1" t="e">
        <f ca="1">_xll.BDH($C$78,"EBITDA_TO_INTEREST_EXPN","FY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93" s="1" t="e">
        <f ca="1">_xll.BDH($C$78,"COM_EQY_TO_TOT_ASSET","FY 2017","FY 2017","Currency=INR","Period=FY","BEST_FPERIOD_OVERRIDE=FY","FILING_STATUS=OR","EQY_CONSOLIDATED=Y","Sort=A","Dates=H","DateFormat=P","Fill=—","Direction=H","UseDPDF=Y")</f>
        <v>#NAME?</v>
      </c>
      <c r="CH93" s="1" t="e">
        <f ca="1">_xll.BDH($C$78,"LT_DEBT_TO_TOT_EQY","FY 2017","FY 2017","Currency=INR","Period=FY","BEST_FPERIOD_OVERRIDE=FY","FILING_STATUS=OR","EQY_CONSOLIDATED=Y","Sort=A","Dates=H","DateFormat=P","Fill=—","Direction=H","UseDPDF=Y")</f>
        <v>#NAME?</v>
      </c>
      <c r="CI93" s="1" t="e">
        <f ca="1">_xll.BDH($C$78,"LT_DEBT_TO_TOT_CAP","FY 2017","FY 2017","Currency=INR","Period=FY","BEST_FPERIOD_OVERRIDE=FY","FILING_STATUS=OR","EQY_CONSOLIDATED=Y","Sort=A","Dates=H","DateFormat=P","Fill=—","Direction=H","UseDPDF=Y")</f>
        <v>#NAME?</v>
      </c>
      <c r="CJ93" s="1" t="e">
        <f ca="1">_xll.BDH($C$78,"LT_DEBT_TO_TOT_ASSET","FY 2017","FY 2017","Currency=INR","Period=FY","BEST_FPERIOD_OVERRIDE=FY","FILING_STATUS=OR","EQY_CONSOLIDATED=Y","Sort=A","Dates=H","DateFormat=P","Fill=—","Direction=H","UseDPDF=Y")</f>
        <v>#NAME?</v>
      </c>
      <c r="CK93" s="1" t="e">
        <f ca="1">_xll.BDH($C$78,"TOT_DEBT_TO_TOT_EQY","FY 2017","FY 2017","Currency=INR","Period=FY","BEST_FPERIOD_OVERRIDE=FY","FILING_STATUS=OR","EQY_CONSOLIDATED=Y","Sort=A","Dates=H","DateFormat=P","Fill=—","Direction=H","UseDPDF=Y")</f>
        <v>#NAME?</v>
      </c>
      <c r="CL93" s="1" t="e">
        <f ca="1">_xll.BDH($C$78,"TOT_DEBT_TO_TOT_CAP","FY 2017","FY 2017","Currency=INR","Period=FY","BEST_FPERIOD_OVERRIDE=FY","FILING_STATUS=OR","EQY_CONSOLIDATED=Y","Sort=A","Dates=H","DateFormat=P","Fill=—","Direction=H","UseDPDF=Y")</f>
        <v>#NAME?</v>
      </c>
      <c r="CM93" s="1" t="e">
        <f ca="1">_xll.BDH($C$78,"TOT_DEBT_TO_TOT_ASSET","FY 2017","FY 2017","Currency=INR","Period=FY","BEST_FPERIOD_OVERRIDE=FY","FILING_STATUS=OR","EQY_CONSOLIDATED=Y","Sort=A","Dates=H","DateFormat=P","Fill=—","Direction=H","UseDPDF=Y")</f>
        <v>#NAME?</v>
      </c>
      <c r="CN93" s="1" t="e">
        <f ca="1">_xll.BDH($C$78,"NET_DEBT_TO_SHRHLDR_EQTY","FY 2017","FY 2017","Currency=INR","Period=FY","BEST_FPERIOD_OVERRIDE=FY","FILING_STATUS=OR","EQY_CONSOLIDATED=Y","Sort=A","Dates=H","DateFormat=P","Fill=—","Direction=H","UseDPDF=Y")</f>
        <v>#NAME?</v>
      </c>
      <c r="CO93" s="1" t="e">
        <f ca="1">_xll.BDH($C$78,"NET_DEBT_%_CAPITAL","FY 2017","FY 2017","Currency=INR","Period=FY","BEST_FPERIOD_OVERRIDE=FY","FILING_STATUS=OR","EQY_CONSOLIDATED=Y","Sort=A","Dates=H","DateFormat=P","Fill=—","Direction=H","UseDPDF=Y")</f>
        <v>#NAME?</v>
      </c>
      <c r="CP93" s="2" t="e">
        <f ca="1">_xll.BDH($C$78,"EBITDA","FY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93" s="2" t="e">
        <f ca="1">_xll.BDH($C$78,"EBITDA_AFTER_CAPEX","FY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93" s="2" t="e">
        <f ca="1">_xll.BDH($C$78,"IS_OPER_INC","FY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93" s="1" t="e">
        <f ca="1">_xll.BDH($C$78,"CASH_RATIO","FY 2017","FY 2017","Currency=INR","Period=FY","BEST_FPERIOD_OVERRIDE=FY","FILING_STATUS=OR","EQY_CONSOLIDATED=Y","Sort=A","Dates=H","DateFormat=P","Fill=—","Direction=H","UseDPDF=Y")</f>
        <v>#NAME?</v>
      </c>
      <c r="CT93" s="1" t="e">
        <f ca="1">_xll.BDH($C$78,"CUR_RATIO","FY 2017","FY 2017","Currency=INR","Period=FY","BEST_FPERIOD_OVERRIDE=FY","FILING_STATUS=OR","EQY_CONSOLIDATED=Y","Sort=A","Dates=H","DateFormat=P","Fill=—","Direction=H","UseDPDF=Y")</f>
        <v>#NAME?</v>
      </c>
      <c r="CU93" s="1" t="e">
        <f ca="1">_xll.BDH($C$78,"QUICK_RATIO","FY 2017","FY 2017","Currency=INR","Period=FY","BEST_FPERIOD_OVERRIDE=FY","FILING_STATUS=OR","EQY_CONSOLIDATED=Y","Sort=A","Dates=H","DateFormat=P","Fill=—","Direction=H","UseDPDF=Y")</f>
        <v>#NAME?</v>
      </c>
      <c r="CV93" s="1" t="e">
        <f ca="1">_xll.BDH($C$78,"ALTMAN_Z_SCORE","FY 2017","FY 2017","Currency=INR","Period=FY","BEST_FPERIOD_OVERRIDE=FY","FILING_STATUS=OR","EQY_CONSOLIDATED=Y","Sort=A","Dates=H","DateFormat=P","Fill=—","Direction=H","UseDPDF=Y")</f>
        <v>#NAME?</v>
      </c>
      <c r="CW93" s="3" t="e">
        <f ca="1">_xll.BDH($C$78,"ACCT_RCV_TURN","FY 2017","FY 2017","Currency=INR","Period=FY","BEST_FPERIOD_OVERRIDE=FY","FILING_STATUS=OR","EQY_CONSOLIDATED=Y","FA_ADJUSTED=GAAP","Sort=A","Dates=H","DateFormat=P","Fill=—","Direction=H","UseDPDF=Y")</f>
        <v>#NAME?</v>
      </c>
      <c r="CX93" s="1" t="e">
        <f ca="1">_xll.BDH($C$78,"ACCT_RCV_DAYS","FY 2017","FY 2017","Currency=INR","Period=FY","BEST_FPERIOD_OVERRIDE=FY","FILING_STATUS=OR","EQY_CONSOLIDATED=Y","FA_ADJUSTED=GAAP","Sort=A","Dates=H","DateFormat=P","Fill=—","Direction=H","UseDPDF=Y")</f>
        <v>#NAME?</v>
      </c>
      <c r="CY93" s="3" t="e">
        <f ca="1">_xll.BDH($C$78,"INVENT_TURN","FY 2017","FY 2017","Currency=INR","Period=FY","BEST_FPERIOD_OVERRIDE=FY","FILING_STATUS=OR","EQY_CONSOLIDATED=Y","FA_ADJUSTED=GAAP","Sort=A","Dates=H","DateFormat=P","Fill=—","Direction=H","UseDPDF=Y")</f>
        <v>#NAME?</v>
      </c>
      <c r="CZ93" s="1" t="e">
        <f ca="1">_xll.BDH($C$78,"INVENT_DAYS","FY 2017","FY 2017","Currency=INR","Period=FY","BEST_FPERIOD_OVERRIDE=FY","FILING_STATUS=OR","EQY_CONSOLIDATED=Y","FA_ADJUSTED=GAAP","Sort=A","Dates=H","DateFormat=P","Fill=—","Direction=H","UseDPDF=Y")</f>
        <v>#NAME?</v>
      </c>
      <c r="DA93" s="3" t="e">
        <f ca="1">_xll.BDH($C$78,"ACCOUNTS_PAYABLE_TURNOVER","FY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93" s="1" t="e">
        <f ca="1">_xll.BDH($C$78,"ACCOUNTS_PAYABLE_TURNOVER_DAYS","FY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93" s="3" t="e">
        <f ca="1">_xll.BDH($C$78,"CASH_CONVERSION_CYCLE","FY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93" s="3" t="e">
        <f ca="1">_xll.BDH($C$78,"INV_TO_CASH_DAYS","FY 2017","FY 2017","Currency=INR","Period=FY","BEST_FPERIOD_OVERRIDE=FY","FILING_STATUS=OR","EQY_CONSOLIDATED=Y","FA_ADJUSTED=GAAP","Sort=A","Dates=H","DateFormat=P","Fill=—","Direction=H","UseDPDF=Y")</f>
        <v>#NAME?</v>
      </c>
      <c r="DE93" s="4" t="e">
        <f ca="1">_xll.BDH($C$78,"BS_INVENTORIES","FY 2017","FY 2017","Currency=INR","Period=FY","BEST_FPERIOD_OVERRIDE=FY","FILING_STATUS=OR","EQY_CONSOLIDATED=Y","SCALING_FORMAT=MLN","Sort=A","Dates=H","DateFormat=P","Fill=—","Direction=H","UseDPDF=Y")</f>
        <v>#NAME?</v>
      </c>
      <c r="DF93" s="2" t="e">
        <f ca="1">_xll.BDH($C$78,"INVTRY_RAW_MATERIALS","FY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93" s="2" t="e">
        <f ca="1">_xll.BDH($C$78,"INVTRY_IN_PROGRESS","FY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93" s="2" t="e">
        <f ca="1">_xll.BDH($C$78,"INVTRY_FINISHED_GOODS","FY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93" s="2" t="e">
        <f ca="1">_xll.BDH($C$78,"BS_OTHER_INV","FY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94" spans="1:113" x14ac:dyDescent="0.3">
      <c r="A94" s="6"/>
      <c r="B94" s="6"/>
      <c r="C94" s="6"/>
      <c r="D94" s="6"/>
      <c r="E94" t="s">
        <v>4</v>
      </c>
      <c r="F94" t="e">
        <f ca="1">_xll.BDH($C$78,"RETURN_COM_EQY","FQ1 2017","FQ1 2017","Currency=INR","Period=FQ","BEST_FPERIOD_OVERRIDE=FQ","FILING_STATUS=OR","EQY_CONSOLIDATED=Y","FA_ADJUSTED=GAAP","Sort=A","Dates=H","DateFormat=P","Fill=—","Direction=H","UseDPDF=Y")</f>
        <v>#NAME?</v>
      </c>
      <c r="G94" t="e">
        <f ca="1">_xll.BDH($C$78,"RETURN_ON_ASSET","FQ1 2017","FQ1 2017","Currency=INR","Period=FQ","BEST_FPERIOD_OVERRIDE=FQ","FILING_STATUS=OR","EQY_CONSOLIDATED=Y","FA_ADJUSTED=GAAP","Sort=A","Dates=H","DateFormat=P","Fill=—","Direction=H","UseDPDF=Y")</f>
        <v>#NAME?</v>
      </c>
      <c r="H94" t="e">
        <f ca="1">_xll.BDH($C$78,"RETURN_ON_CAP","FQ1 2017","FQ1 2017","Currency=INR","Period=FQ","BEST_FPERIOD_OVERRIDE=FQ","FILING_STATUS=OR","EQY_CONSOLIDATED=Y","FA_ADJUSTED=GAAP","Sort=A","Dates=H","DateFormat=P","Fill=—","Direction=H","UseDPDF=Y")</f>
        <v>#NAME?</v>
      </c>
      <c r="I94" t="e">
        <f ca="1">_xll.BDH($C$78,"RETURN_ON_INV_CAPITAL","FQ1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94" t="e">
        <f ca="1">_xll.BDH($C$78,"EBITDA_TO_REVENUE","FQ1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94" t="e">
        <f ca="1">_xll.BDH($C$78,"OPER_MARGIN","FQ1 2017","FQ1 2017","Currency=INR","Period=FQ","BEST_FPERIOD_OVERRIDE=FQ","FILING_STATUS=OR","EQY_CONSOLIDATED=Y","FA_ADJUSTED=GAAP","Sort=A","Dates=H","DateFormat=P","Fill=—","Direction=H","UseDPDF=Y")</f>
        <v>#NAME?</v>
      </c>
      <c r="L94" t="e">
        <f ca="1">_xll.BDH($C$78,"INCREMENTAL_OPERATING_MARGIN","FQ1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94" t="e">
        <f ca="1">_xll.BDH($C$78,"PRETAX_INC_TO_NET_SALES","FQ1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94" t="e">
        <f ca="1">_xll.BDH($C$78,"INC_BEF_XO_ITEMS_TO_NET_SALES","FQ1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94" t="e">
        <f ca="1">_xll.BDH($C$78,"PROF_MARGIN","FQ1 2017","FQ1 2017","Currency=INR","Period=FQ","BEST_FPERIOD_OVERRIDE=FQ","FILING_STATUS=OR","EQY_CONSOLIDATED=Y","FA_ADJUSTED=GAAP","Sort=A","Dates=H","DateFormat=P","Fill=—","Direction=H","UseDPDF=Y")</f>
        <v>#NAME?</v>
      </c>
      <c r="P94" t="e">
        <f ca="1">_xll.BDH($C$78,"NET_INCOME_TO_COMMON_MARGIN","FQ1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94" t="e">
        <f ca="1">_xll.BDH($C$78,"EFF_TAX_RATE","FQ1 2017","FQ1 2017","Currency=INR","Period=FQ","BEST_FPERIOD_OVERRIDE=FQ","FILING_STATUS=OR","EQY_CONSOLIDATED=Y","FA_ADJUSTED=GAAP","Sort=A","Dates=H","DateFormat=P","Fill=—","Direction=H","UseDPDF=Y")</f>
        <v>#NAME?</v>
      </c>
      <c r="R94" t="e">
        <f ca="1">_xll.BDH($C$78,"DVD_PAYOUT_RATIO","FQ1 2017","FQ1 2017","Currency=INR","Period=FQ","BEST_FPERIOD_OVERRIDE=FQ","FILING_STATUS=OR","EQY_CONSOLIDATED=Y","FA_ADJUSTED=GAAP","Sort=A","Dates=H","DateFormat=P","Fill=—","Direction=H","UseDPDF=Y")</f>
        <v>#NAME?</v>
      </c>
      <c r="S94" t="e">
        <f ca="1">_xll.BDH($C$78,"SUSTAIN_GROWTH_RT","FQ1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94" s="1" t="e">
        <f ca="1">_xll.BDH($C$78,"SALES_GROWTH","FQ1 2017","FQ1 2017","Currency=INR","Period=FQ","BEST_FPERIOD_OVERRIDE=FQ","FILING_STATUS=OR","EQY_CONSOLIDATED=Y","FA_ADJUSTED=GAAP","Sort=A","Dates=H","DateFormat=P","Fill=—","Direction=H","UseDPDF=Y")</f>
        <v>#NAME?</v>
      </c>
      <c r="U94" s="1" t="e">
        <f ca="1">_xll.BDH($C$78,"EBITDA_GROWTH","FQ1 2017","FQ1 2017","Currency=INR","Period=FQ","BEST_FPERIOD_OVERRIDE=FQ","FILING_STATUS=OR","EQY_CONSOLIDATED=Y","FA_ADJUSTED=GAAP","Sort=A","Dates=H","DateFormat=P","Fill=—","Direction=H","UseDPDF=Y")</f>
        <v>#NAME?</v>
      </c>
      <c r="V94" s="1" t="e">
        <f ca="1">_xll.BDH($C$78,"OPER_INC_GROWTH","FQ1 2017","FQ1 2017","Currency=INR","Period=FQ","BEST_FPERIOD_OVERRIDE=FQ","FILING_STATUS=OR","EQY_CONSOLIDATED=Y","FA_ADJUSTED=GAAP","Sort=A","Dates=H","DateFormat=P","Fill=—","Direction=H","UseDPDF=Y")</f>
        <v>#NAME?</v>
      </c>
      <c r="W94" s="1" t="e">
        <f ca="1">_xll.BDH($C$78,"EARN_FOR_COM_GROWTH","FQ1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94" s="1" t="e">
        <f ca="1">_xll.BDH($C$78,"DILUTED_EPS_AFT_XO_ITEMS_GROWTH","FQ1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94" s="1" t="e">
        <f ca="1">_xll.BDH($C$78,"DIVIDEND_PER_SHARE_1_YEAR_GROWTH","FQ1 2017","FQ1 2017","Currency=INR","Period=FQ","BEST_FPERIOD_OVERRIDE=FQ","FILING_STATUS=OR","EQY_CONSOLIDATED=Y","Sort=A","Dates=H","DateFormat=P","Fill=—","Direction=H","UseDPDF=Y")</f>
        <v>#NAME?</v>
      </c>
      <c r="Z94" s="1" t="e">
        <f ca="1">_xll.BDH($C$78,"ACCOUNTS_RECEIVABLE_GROWTH","FQ1 2017","FQ1 2017","Currency=INR","Period=FQ","BEST_FPERIOD_OVERRIDE=FQ","FILING_STATUS=OR","EQY_CONSOLIDATED=Y","Sort=A","Dates=H","DateFormat=P","Fill=—","Direction=H","UseDPDF=Y")</f>
        <v>#NAME?</v>
      </c>
      <c r="AA94" s="1" t="e">
        <f ca="1">_xll.BDH($C$78,"INVENTORY_GROWTH","FQ1 2017","FQ1 2017","Currency=INR","Period=FQ","BEST_FPERIOD_OVERRIDE=FQ","FILING_STATUS=OR","EQY_CONSOLIDATED=Y","Sort=A","Dates=H","DateFormat=P","Fill=—","Direction=H","UseDPDF=Y")</f>
        <v>#NAME?</v>
      </c>
      <c r="AB94" s="1" t="e">
        <f ca="1">_xll.BDH($C$78,"NET_FIXED_ASSETS_1_YEAR_GROWTH","FQ1 2017","FQ1 2017","Currency=INR","Period=FQ","BEST_FPERIOD_OVERRIDE=FQ","FILING_STATUS=OR","EQY_CONSOLIDATED=Y","Sort=A","Dates=H","DateFormat=P","Fill=—","Direction=H","UseDPDF=Y")</f>
        <v>#NAME?</v>
      </c>
      <c r="AC94" s="1" t="e">
        <f ca="1">_xll.BDH($C$78,"ASSET_GROWTH","FQ1 2017","FQ1 2017","Currency=INR","Period=FQ","BEST_FPERIOD_OVERRIDE=FQ","FILING_STATUS=OR","EQY_CONSOLIDATED=Y","Sort=A","Dates=H","DateFormat=P","Fill=—","Direction=H","UseDPDF=Y")</f>
        <v>#NAME?</v>
      </c>
      <c r="AD94" s="1" t="e">
        <f ca="1">_xll.BDH($C$78,"MODIFIED_WORK_CAP_GROWTH","FQ1 2017","FQ1 2017","Currency=INR","Period=FQ","BEST_FPERIOD_OVERRIDE=FQ","FILING_STATUS=OR","EQY_CONSOLIDATED=Y","Sort=A","Dates=H","DateFormat=P","Fill=—","Direction=H","UseDPDF=Y")</f>
        <v>#NAME?</v>
      </c>
      <c r="AE94" s="1" t="e">
        <f ca="1">_xll.BDH($C$78,"WORK_CAP_GROWTH","FQ1 2017","FQ1 2017","Currency=INR","Period=FQ","BEST_FPERIOD_OVERRIDE=FQ","FILING_STATUS=OR","EQY_CONSOLIDATED=Y","Sort=A","Dates=H","DateFormat=P","Fill=—","Direction=H","UseDPDF=Y")</f>
        <v>#NAME?</v>
      </c>
      <c r="AF94" s="1" t="e">
        <f ca="1">_xll.BDH($C$78,"ACCOUNTS_PAYABLE_GROWTH_1YR","FQ1 2017","FQ1 2017","Currency=INR","Period=FQ","BEST_FPERIOD_OVERRIDE=FQ","FILING_STATUS=OR","EQY_CONSOLIDATED=Y","Sort=A","Dates=H","DateFormat=P","Fill=—","Direction=H","UseDPDF=Y")</f>
        <v>#NAME?</v>
      </c>
      <c r="AG94" s="1" t="e">
        <f ca="1">_xll.BDH($C$78,"SHORT_TERM_DEBT_1_YEAR_GROWTH","FQ1 2017","FQ1 2017","Currency=INR","Period=FQ","BEST_FPERIOD_OVERRIDE=FQ","FILING_STATUS=OR","EQY_CONSOLIDATED=Y","Sort=A","Dates=H","DateFormat=P","Fill=—","Direction=H","UseDPDF=Y")</f>
        <v>#NAME?</v>
      </c>
      <c r="AH94" s="1" t="e">
        <f ca="1">_xll.BDH($C$78,"TOTAL_DEBT_1_YEAR_GROWTH","FQ1 2017","FQ1 2017","Currency=INR","Period=FQ","BEST_FPERIOD_OVERRIDE=FQ","FILING_STATUS=OR","EQY_CONSOLIDATED=Y","Sort=A","Dates=H","DateFormat=P","Fill=—","Direction=H","UseDPDF=Y")</f>
        <v>#NAME?</v>
      </c>
      <c r="AI94" s="1" t="e">
        <f ca="1">_xll.BDH($C$78,"TOTAL_EQUITY_1_YEAR_GROWTH","FQ1 2017","FQ1 2017","Currency=INR","Period=FQ","BEST_FPERIOD_OVERRIDE=FQ","FILING_STATUS=OR","EQY_CONSOLIDATED=Y","Sort=A","Dates=H","DateFormat=P","Fill=—","Direction=H","UseDPDF=Y")</f>
        <v>#NAME?</v>
      </c>
      <c r="AJ94" s="1" t="e">
        <f ca="1">_xll.BDH($C$78,"GROWTH_IN_CAP","FQ1 2017","FQ1 2017","Currency=INR","Period=FQ","BEST_FPERIOD_OVERRIDE=FQ","FILING_STATUS=OR","EQY_CONSOLIDATED=Y","Sort=A","Dates=H","DateFormat=P","Fill=—","Direction=H","UseDPDF=Y")</f>
        <v>#NAME?</v>
      </c>
      <c r="AK94" s="1" t="e">
        <f ca="1">_xll.BDH($C$78,"BVPS_GROWTH","FQ1 2017","FQ1 2017","Currency=INR","Period=FQ","BEST_FPERIOD_OVERRIDE=FQ","FILING_STATUS=OR","EQY_CONSOLIDATED=Y","Sort=A","Dates=H","DateFormat=P","Fill=—","Direction=H","UseDPDF=Y")</f>
        <v>#NAME?</v>
      </c>
      <c r="AL94" s="1" t="e">
        <f ca="1">_xll.BDH($C$78,"CASH_FLOW_GROWTH","FQ1 2017","FQ1 2017","Currency=INR","Period=FQ","BEST_FPERIOD_OVERRIDE=FQ","FILING_STATUS=OR","EQY_CONSOLIDATED=Y","Sort=A","Dates=H","DateFormat=P","Fill=—","Direction=H","UseDPDF=Y")</f>
        <v>#NAME?</v>
      </c>
      <c r="AM94" s="1" t="e">
        <f ca="1">_xll.BDH($C$78,"GEO_GROW_NET_SALES","FQ1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94" s="1" t="e">
        <f ca="1">_xll.BDH($C$78,"GEO_GROW_EBITDA","FQ1 2017","FQ1 2017","Currency=INR","Period=FQ","BEST_FPERIOD_OVERRIDE=FQ","FILING_STATUS=OR","EQY_CONSOLIDATED=Y","FA_ADJUSTED=GAAP","Sort=A","Dates=H","DateFormat=P","Fill=—","Direction=H","UseDPDF=Y")</f>
        <v>#NAME?</v>
      </c>
      <c r="AO94" s="1" t="e">
        <f ca="1">_xll.BDH($C$78,"GEO_GROW_OPER_INC","FQ1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94" s="1" t="e">
        <f ca="1">_xll.BDH($C$78,"NET_INCOME_TO_COMMON_5_YR_GROWTH","FQ1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94" s="1" t="e">
        <f ca="1">_xll.BDH($C$78,"5Y_GEO_GROWTH_DILUTED_EPS","FQ1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94" s="1" t="e">
        <f ca="1">_xll.BDH($C$78,"GEO_GROW_DVD_PER_SH","FQ1 2017","FQ1 2017","Currency=INR","Period=FQ","BEST_FPERIOD_OVERRIDE=FQ","FILING_STATUS=OR","EQY_CONSOLIDATED=Y","Sort=A","Dates=H","DateFormat=P","Fill=—","Direction=H","UseDPDF=Y")</f>
        <v>#NAME?</v>
      </c>
      <c r="AS94" s="1" t="e">
        <f ca="1">_xll.BDH($C$78,"ACCOUNTS_RECEIVABLE_5_YR_GROWTH","FQ1 2017","FQ1 2017","Currency=INR","Period=FQ","BEST_FPERIOD_OVERRIDE=FQ","FILING_STATUS=OR","EQY_CONSOLIDATED=Y","Sort=A","Dates=H","DateFormat=P","Fill=—","Direction=H","UseDPDF=Y")</f>
        <v>#NAME?</v>
      </c>
      <c r="AT94" s="1" t="e">
        <f ca="1">_xll.BDH($C$78,"INVENTORY_5_YEAR_GROWTH","FQ1 2017","FQ1 2017","Currency=INR","Period=FQ","BEST_FPERIOD_OVERRIDE=FQ","FILING_STATUS=OR","EQY_CONSOLIDATED=Y","Sort=A","Dates=H","DateFormat=P","Fill=—","Direction=H","UseDPDF=Y")</f>
        <v>#NAME?</v>
      </c>
      <c r="AU94" s="1" t="e">
        <f ca="1">_xll.BDH($C$78,"NET_FIXED_ASSETS_5_YEAR_GROWTH","FQ1 2017","FQ1 2017","Currency=INR","Period=FQ","BEST_FPERIOD_OVERRIDE=FQ","FILING_STATUS=OR","EQY_CONSOLIDATED=Y","Sort=A","Dates=H","DateFormat=P","Fill=—","Direction=H","UseDPDF=Y")</f>
        <v>#NAME?</v>
      </c>
      <c r="AV94" s="1" t="e">
        <f ca="1">_xll.BDH($C$78,"GEO_GROW_TOT_ASSET","FQ1 2017","FQ1 2017","Currency=INR","Period=FQ","BEST_FPERIOD_OVERRIDE=FQ","FILING_STATUS=OR","EQY_CONSOLIDATED=Y","Sort=A","Dates=H","DateFormat=P","Fill=—","Direction=H","UseDPDF=Y")</f>
        <v>#NAME?</v>
      </c>
      <c r="AW94" s="1" t="e">
        <f ca="1">_xll.BDH($C$78,"MODIFIED_WORKING_CPTL_5YR_GRWTH","FQ1 2017","FQ1 2017","Currency=INR","Period=FQ","BEST_FPERIOD_OVERRIDE=FQ","FILING_STATUS=OR","EQY_CONSOLIDATED=Y","Sort=A","Dates=H","DateFormat=P","Fill=—","Direction=H","UseDPDF=Y")</f>
        <v>#NAME?</v>
      </c>
      <c r="AX94" s="1" t="e">
        <f ca="1">_xll.BDH($C$78,"WORKING_CAPITAL_5_YEAR_GROWTH","FQ1 2017","FQ1 2017","Currency=INR","Period=FQ","BEST_FPERIOD_OVERRIDE=FQ","FILING_STATUS=OR","EQY_CONSOLIDATED=Y","Sort=A","Dates=H","DateFormat=P","Fill=—","Direction=H","UseDPDF=Y")</f>
        <v>#NAME?</v>
      </c>
      <c r="AY94" s="1" t="e">
        <f ca="1">_xll.BDH($C$78,"ACCOUNTS_PAYABLE_5_YEAR_GROWTH","FQ1 2017","FQ1 2017","Currency=INR","Period=FQ","BEST_FPERIOD_OVERRIDE=FQ","FILING_STATUS=OR","EQY_CONSOLIDATED=Y","Sort=A","Dates=H","DateFormat=P","Fill=—","Direction=H","UseDPDF=Y")</f>
        <v>#NAME?</v>
      </c>
      <c r="AZ94" s="1" t="e">
        <f ca="1">_xll.BDH($C$78,"SHORT_TERM_DEBT_5_YEAR_GROWTH","FQ1 2017","FQ1 2017","Currency=INR","Period=FQ","BEST_FPERIOD_OVERRIDE=FQ","FILING_STATUS=OR","EQY_CONSOLIDATED=Y","Sort=A","Dates=H","DateFormat=P","Fill=—","Direction=H","UseDPDF=Y")</f>
        <v>#NAME?</v>
      </c>
      <c r="BA94" s="1" t="e">
        <f ca="1">_xll.BDH($C$78,"TOTAL_DEBT_5_YEAR_GROWTH","FQ1 2017","FQ1 2017","Currency=INR","Period=FQ","BEST_FPERIOD_OVERRIDE=FQ","FILING_STATUS=OR","EQY_CONSOLIDATED=Y","Sort=A","Dates=H","DateFormat=P","Fill=—","Direction=H","UseDPDF=Y")</f>
        <v>#NAME?</v>
      </c>
      <c r="BB94" s="1" t="e">
        <f ca="1">_xll.BDH($C$78,"GEO_GROW_TOT_SHRHLDR_EQY","FQ1 2017","FQ1 2017","Currency=INR","Period=FQ","BEST_FPERIOD_OVERRIDE=FQ","FILING_STATUS=OR","EQY_CONSOLIDATED=Y","Sort=A","Dates=H","DateFormat=P","Fill=—","Direction=H","UseDPDF=Y")</f>
        <v>#NAME?</v>
      </c>
      <c r="BC94" s="1" t="e">
        <f ca="1">_xll.BDH($C$78,"TOTAL_CAPITAL_5_YEAR_GROWTH","FQ1 2017","FQ1 2017","Currency=INR","Period=FQ","BEST_FPERIOD_OVERRIDE=FQ","FILING_STATUS=OR","EQY_CONSOLIDATED=Y","Sort=A","Dates=H","DateFormat=P","Fill=—","Direction=H","UseDPDF=Y")</f>
        <v>#NAME?</v>
      </c>
      <c r="BD94" s="1" t="e">
        <f ca="1">_xll.BDH($C$78,"GEO_GROW_BOOK_VAL","FQ1 2017","FQ1 2017","Currency=INR","Period=FQ","BEST_FPERIOD_OVERRIDE=FQ","FILING_STATUS=OR","EQY_CONSOLIDATED=Y","Sort=A","Dates=H","DateFormat=P","Fill=—","Direction=H","UseDPDF=Y")</f>
        <v>#NAME?</v>
      </c>
      <c r="BE94" s="1" t="e">
        <f ca="1">_xll.BDH($C$78,"GEO_GROW_CASH_OPER_ACT","FQ1 2017","FQ1 2017","Currency=INR","Period=FQ","BEST_FPERIOD_OVERRIDE=FQ","FILING_STATUS=OR","EQY_CONSOLIDATED=Y","Sort=A","Dates=H","DateFormat=P","Fill=—","Direction=H","UseDPDF=Y")</f>
        <v>#NAME?</v>
      </c>
      <c r="BF94" s="1" t="e">
        <f ca="1">_xll.BDH($C$78,"REVENUE_SEQUENTIAL_GROWTH","FQ1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94" s="1" t="e">
        <f ca="1">_xll.BDH($C$78,"EBITDA_SEQUENTIAL_GROWTH","FQ1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94" s="1" t="e">
        <f ca="1">_xll.BDH($C$78,"OPERATING_INCOME_SEQ_GROWTH","FQ1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94" s="1" t="e">
        <f ca="1">_xll.BDH($C$78,"NET_INCOME_TO_COMMON_SEQ_GROWTH","FQ1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94" s="1" t="e">
        <f ca="1">_xll.BDH($C$78,"EPS_DILUTED_SEQUENTIAL_GROWTH","FQ1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94" s="1" t="e">
        <f ca="1">_xll.BDH($C$78,"DPS_SEQUENTIAL_GROWTH","FQ1 2017","FQ1 2017","Currency=INR","Period=FQ","BEST_FPERIOD_OVERRIDE=FQ","FILING_STATUS=OR","EQY_CONSOLIDATED=Y","Sort=A","Dates=H","DateFormat=P","Fill=—","Direction=H","UseDPDF=Y")</f>
        <v>#NAME?</v>
      </c>
      <c r="BL94" s="1" t="e">
        <f ca="1">_xll.BDH($C$78,"ACCOUNTS_RECEIVABLE_SEQ_GROWTH","FQ1 2017","FQ1 2017","Currency=INR","Period=FQ","BEST_FPERIOD_OVERRIDE=FQ","FILING_STATUS=OR","EQY_CONSOLIDATED=Y","Sort=A","Dates=H","DateFormat=P","Fill=—","Direction=H","UseDPDF=Y")</f>
        <v>#NAME?</v>
      </c>
      <c r="BM94" s="1" t="e">
        <f ca="1">_xll.BDH($C$78,"INVENTORY_SEQUENTIAL_GROWTH","FQ1 2017","FQ1 2017","Currency=INR","Period=FQ","BEST_FPERIOD_OVERRIDE=FQ","FILING_STATUS=OR","EQY_CONSOLIDATED=Y","Sort=A","Dates=H","DateFormat=P","Fill=—","Direction=H","UseDPDF=Y")</f>
        <v>#NAME?</v>
      </c>
      <c r="BN94" s="1" t="e">
        <f ca="1">_xll.BDH($C$78,"FIXED_ASSETS_SEQUENTIAL_GROWTH","FQ1 2017","FQ1 2017","Currency=INR","Period=FQ","BEST_FPERIOD_OVERRIDE=FQ","FILING_STATUS=OR","EQY_CONSOLIDATED=Y","Sort=A","Dates=H","DateFormat=P","Fill=—","Direction=H","UseDPDF=Y")</f>
        <v>#NAME?</v>
      </c>
      <c r="BO94" s="1" t="e">
        <f ca="1">_xll.BDH($C$78,"TOTAL_ASSETS_SEQUENTIAL_GROWTH","FQ1 2017","FQ1 2017","Currency=INR","Period=FQ","BEST_FPERIOD_OVERRIDE=FQ","FILING_STATUS=OR","EQY_CONSOLIDATED=Y","Sort=A","Dates=H","DateFormat=P","Fill=—","Direction=H","UseDPDF=Y")</f>
        <v>#NAME?</v>
      </c>
      <c r="BP94" s="1" t="e">
        <f ca="1">_xll.BDH($C$78,"MODIFIED_WORKING_CPTL_SEQ_GRWTH","FQ1 2017","FQ1 2017","Currency=INR","Period=FQ","BEST_FPERIOD_OVERRIDE=FQ","FILING_STATUS=OR","EQY_CONSOLIDATED=Y","Sort=A","Dates=H","DateFormat=P","Fill=—","Direction=H","UseDPDF=Y")</f>
        <v>#NAME?</v>
      </c>
      <c r="BQ94" s="1" t="e">
        <f ca="1">_xll.BDH($C$78,"WORKING_CAPITAL_SEQ_GROWTH","FQ1 2017","FQ1 2017","Currency=INR","Period=FQ","BEST_FPERIOD_OVERRIDE=FQ","FILING_STATUS=OR","EQY_CONSOLIDATED=Y","Sort=A","Dates=H","DateFormat=P","Fill=—","Direction=H","UseDPDF=Y")</f>
        <v>#NAME?</v>
      </c>
      <c r="BR94" s="1" t="e">
        <f ca="1">_xll.BDH($C$78,"ACCOUNTS_PAYABLE_SEQ_GROWTH","FQ1 2017","FQ1 2017","Currency=INR","Period=FQ","BEST_FPERIOD_OVERRIDE=FQ","FILING_STATUS=OR","EQY_CONSOLIDATED=Y","Sort=A","Dates=H","DateFormat=P","Fill=—","Direction=H","UseDPDF=Y")</f>
        <v>#NAME?</v>
      </c>
      <c r="BS94" s="1" t="e">
        <f ca="1">_xll.BDH($C$78,"ST_DEBT_SEQUENTIAL_GROWTH","FQ1 2017","FQ1 2017","Currency=INR","Period=FQ","BEST_FPERIOD_OVERRIDE=FQ","FILING_STATUS=OR","EQY_CONSOLIDATED=Y","Sort=A","Dates=H","DateFormat=P","Fill=—","Direction=H","UseDPDF=Y")</f>
        <v>#NAME?</v>
      </c>
      <c r="BT94" s="1" t="e">
        <f ca="1">_xll.BDH($C$78,"TOTAL_DEBT_SEQUENTIAL_GROWTH","FQ1 2017","FQ1 2017","Currency=INR","Period=FQ","BEST_FPERIOD_OVERRIDE=FQ","FILING_STATUS=OR","EQY_CONSOLIDATED=Y","Sort=A","Dates=H","DateFormat=P","Fill=—","Direction=H","UseDPDF=Y")</f>
        <v>#NAME?</v>
      </c>
      <c r="BU94" s="1" t="e">
        <f ca="1">_xll.BDH($C$78,"TOTAL_EQUITY_SEQUENTIAL_GROWTH","FQ1 2017","FQ1 2017","Currency=INR","Period=FQ","BEST_FPERIOD_OVERRIDE=FQ","FILING_STATUS=OR","EQY_CONSOLIDATED=Y","Sort=A","Dates=H","DateFormat=P","Fill=—","Direction=H","UseDPDF=Y")</f>
        <v>#NAME?</v>
      </c>
      <c r="BV94" s="1" t="e">
        <f ca="1">_xll.BDH($C$78,"TOTAL_CAPITAL_SEQUENTIAL_GROWTH","FQ1 2017","FQ1 2017","Currency=INR","Period=FQ","BEST_FPERIOD_OVERRIDE=FQ","FILING_STATUS=OR","EQY_CONSOLIDATED=Y","Sort=A","Dates=H","DateFormat=P","Fill=—","Direction=H","UseDPDF=Y")</f>
        <v>#NAME?</v>
      </c>
      <c r="BW94" s="1" t="e">
        <f ca="1">_xll.BDH($C$78,"BPS_SEQUENTIAL_GROWTH","FQ1 2017","FQ1 2017","Currency=INR","Period=FQ","BEST_FPERIOD_OVERRIDE=FQ","FILING_STATUS=OR","EQY_CONSOLIDATED=Y","Sort=A","Dates=H","DateFormat=P","Fill=—","Direction=H","UseDPDF=Y")</f>
        <v>#NAME?</v>
      </c>
      <c r="BX94" s="1" t="e">
        <f ca="1">_xll.BDH($C$78,"CFO_SEQUENTIAL_GROWTH","FQ1 2017","FQ1 2017","Currency=INR","Period=FQ","BEST_FPERIOD_OVERRIDE=FQ","FILING_STATUS=OR","EQY_CONSOLIDATED=Y","Sort=A","Dates=H","DateFormat=P","Fill=—","Direction=H","UseDPDF=Y")</f>
        <v>#NAME?</v>
      </c>
      <c r="BY94" s="2" t="e">
        <f ca="1">_xll.BDH($C$78,"SHORT_AND_LONG_TERM_DEBT","FQ1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94" s="2" t="e">
        <f ca="1">_xll.BDH($C$78,"BS_ST_BORROW","FQ1 2017","FQ1 2017","Currency=INR","Period=FQ","BEST_FPERIOD_OVERRIDE=FQ","FILING_STATUS=OR","EQY_CONSOLIDATED=Y","SCALING_FORMAT=MLN","Sort=A","Dates=H","DateFormat=P","Fill=—","Direction=H","UseDPDF=Y")</f>
        <v>#NAME?</v>
      </c>
      <c r="CA94" s="2" t="e">
        <f ca="1">_xll.BDH($C$78,"BS_LT_BORROW","FQ1 2017","FQ1 2017","Currency=INR","Period=FQ","BEST_FPERIOD_OVERRIDE=FQ","FILING_STATUS=OR","EQY_CONSOLIDATED=Y","SCALING_FORMAT=MLN","Sort=A","Dates=H","DateFormat=P","Fill=—","Direction=H","UseDPDF=Y")</f>
        <v>#NAME?</v>
      </c>
      <c r="CB94" s="1" t="e">
        <f ca="1">_xll.BDH($C$78,"TOT_DEBT_TO_EBITDA","FQ1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94" s="1" t="e">
        <f ca="1">_xll.BDH($C$78,"NET_DEBT_TO_EBITDA","FQ1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94" s="1" t="e">
        <f ca="1">_xll.BDH($C$78,"TOTAL_DEBT_TO_EBIT","FQ1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94" s="1" t="e">
        <f ca="1">_xll.BDH($C$78,"NET_DEBT_TO_EBIT","FQ1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94" s="1" t="e">
        <f ca="1">_xll.BDH($C$78,"EBITDA_TO_INTEREST_EXPN","FQ1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94" s="1" t="e">
        <f ca="1">_xll.BDH($C$78,"COM_EQY_TO_TOT_ASSET","FQ1 2017","FQ1 2017","Currency=INR","Period=FQ","BEST_FPERIOD_OVERRIDE=FQ","FILING_STATUS=OR","EQY_CONSOLIDATED=Y","Sort=A","Dates=H","DateFormat=P","Fill=—","Direction=H","UseDPDF=Y")</f>
        <v>#NAME?</v>
      </c>
      <c r="CH94" s="1" t="e">
        <f ca="1">_xll.BDH($C$78,"LT_DEBT_TO_TOT_EQY","FQ1 2017","FQ1 2017","Currency=INR","Period=FQ","BEST_FPERIOD_OVERRIDE=FQ","FILING_STATUS=OR","EQY_CONSOLIDATED=Y","Sort=A","Dates=H","DateFormat=P","Fill=—","Direction=H","UseDPDF=Y")</f>
        <v>#NAME?</v>
      </c>
      <c r="CI94" s="1" t="e">
        <f ca="1">_xll.BDH($C$78,"LT_DEBT_TO_TOT_CAP","FQ1 2017","FQ1 2017","Currency=INR","Period=FQ","BEST_FPERIOD_OVERRIDE=FQ","FILING_STATUS=OR","EQY_CONSOLIDATED=Y","Sort=A","Dates=H","DateFormat=P","Fill=—","Direction=H","UseDPDF=Y")</f>
        <v>#NAME?</v>
      </c>
      <c r="CJ94" s="1" t="e">
        <f ca="1">_xll.BDH($C$78,"LT_DEBT_TO_TOT_ASSET","FQ1 2017","FQ1 2017","Currency=INR","Period=FQ","BEST_FPERIOD_OVERRIDE=FQ","FILING_STATUS=OR","EQY_CONSOLIDATED=Y","Sort=A","Dates=H","DateFormat=P","Fill=—","Direction=H","UseDPDF=Y")</f>
        <v>#NAME?</v>
      </c>
      <c r="CK94" s="1" t="e">
        <f ca="1">_xll.BDH($C$78,"TOT_DEBT_TO_TOT_EQY","FQ1 2017","FQ1 2017","Currency=INR","Period=FQ","BEST_FPERIOD_OVERRIDE=FQ","FILING_STATUS=OR","EQY_CONSOLIDATED=Y","Sort=A","Dates=H","DateFormat=P","Fill=—","Direction=H","UseDPDF=Y")</f>
        <v>#NAME?</v>
      </c>
      <c r="CL94" s="1" t="e">
        <f ca="1">_xll.BDH($C$78,"TOT_DEBT_TO_TOT_CAP","FQ1 2017","FQ1 2017","Currency=INR","Period=FQ","BEST_FPERIOD_OVERRIDE=FQ","FILING_STATUS=OR","EQY_CONSOLIDATED=Y","Sort=A","Dates=H","DateFormat=P","Fill=—","Direction=H","UseDPDF=Y")</f>
        <v>#NAME?</v>
      </c>
      <c r="CM94" s="1" t="e">
        <f ca="1">_xll.BDH($C$78,"TOT_DEBT_TO_TOT_ASSET","FQ1 2017","FQ1 2017","Currency=INR","Period=FQ","BEST_FPERIOD_OVERRIDE=FQ","FILING_STATUS=OR","EQY_CONSOLIDATED=Y","Sort=A","Dates=H","DateFormat=P","Fill=—","Direction=H","UseDPDF=Y")</f>
        <v>#NAME?</v>
      </c>
      <c r="CN94" s="1" t="e">
        <f ca="1">_xll.BDH($C$78,"NET_DEBT_TO_SHRHLDR_EQTY","FQ1 2017","FQ1 2017","Currency=INR","Period=FQ","BEST_FPERIOD_OVERRIDE=FQ","FILING_STATUS=OR","EQY_CONSOLIDATED=Y","Sort=A","Dates=H","DateFormat=P","Fill=—","Direction=H","UseDPDF=Y")</f>
        <v>#NAME?</v>
      </c>
      <c r="CO94" s="1" t="e">
        <f ca="1">_xll.BDH($C$78,"NET_DEBT_%_CAPITAL","FQ1 2017","FQ1 2017","Currency=INR","Period=FQ","BEST_FPERIOD_OVERRIDE=FQ","FILING_STATUS=OR","EQY_CONSOLIDATED=Y","Sort=A","Dates=H","DateFormat=P","Fill=—","Direction=H","UseDPDF=Y")</f>
        <v>#NAME?</v>
      </c>
      <c r="CP94" s="2" t="e">
        <f ca="1">_xll.BDH($C$78,"EBITDA","FQ1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94" s="2" t="e">
        <f ca="1">_xll.BDH($C$78,"EBITDA_AFTER_CAPEX","FQ1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94" s="2" t="e">
        <f ca="1">_xll.BDH($C$78,"IS_OPER_INC","FQ1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94" s="1" t="e">
        <f ca="1">_xll.BDH($C$78,"CASH_RATIO","FQ1 2017","FQ1 2017","Currency=INR","Period=FQ","BEST_FPERIOD_OVERRIDE=FQ","FILING_STATUS=OR","EQY_CONSOLIDATED=Y","Sort=A","Dates=H","DateFormat=P","Fill=—","Direction=H","UseDPDF=Y")</f>
        <v>#NAME?</v>
      </c>
      <c r="CT94" s="1" t="e">
        <f ca="1">_xll.BDH($C$78,"CUR_RATIO","FQ1 2017","FQ1 2017","Currency=INR","Period=FQ","BEST_FPERIOD_OVERRIDE=FQ","FILING_STATUS=OR","EQY_CONSOLIDATED=Y","Sort=A","Dates=H","DateFormat=P","Fill=—","Direction=H","UseDPDF=Y")</f>
        <v>#NAME?</v>
      </c>
      <c r="CU94" s="1" t="e">
        <f ca="1">_xll.BDH($C$78,"QUICK_RATIO","FQ1 2017","FQ1 2017","Currency=INR","Period=FQ","BEST_FPERIOD_OVERRIDE=FQ","FILING_STATUS=OR","EQY_CONSOLIDATED=Y","Sort=A","Dates=H","DateFormat=P","Fill=—","Direction=H","UseDPDF=Y")</f>
        <v>#NAME?</v>
      </c>
      <c r="CV94" s="1" t="e">
        <f ca="1">_xll.BDH($C$78,"ALTMAN_Z_SCORE","FQ1 2017","FQ1 2017","Currency=INR","Period=FQ","BEST_FPERIOD_OVERRIDE=FQ","FILING_STATUS=OR","EQY_CONSOLIDATED=Y","Sort=A","Dates=H","DateFormat=P","Fill=—","Direction=H","UseDPDF=Y")</f>
        <v>#NAME?</v>
      </c>
      <c r="CW94" s="3" t="e">
        <f ca="1">_xll.BDH($C$78,"ACCT_RCV_TURN","FQ1 2017","FQ1 2017","Currency=INR","Period=FQ","BEST_FPERIOD_OVERRIDE=FQ","FILING_STATUS=OR","EQY_CONSOLIDATED=Y","FA_ADJUSTED=GAAP","Sort=A","Dates=H","DateFormat=P","Fill=—","Direction=H","UseDPDF=Y")</f>
        <v>#NAME?</v>
      </c>
      <c r="CX94" s="1" t="e">
        <f ca="1">_xll.BDH($C$78,"ACCT_RCV_DAYS","FQ1 2017","FQ1 2017","Currency=INR","Period=FQ","BEST_FPERIOD_OVERRIDE=FQ","FILING_STATUS=OR","EQY_CONSOLIDATED=Y","FA_ADJUSTED=GAAP","Sort=A","Dates=H","DateFormat=P","Fill=—","Direction=H","UseDPDF=Y")</f>
        <v>#NAME?</v>
      </c>
      <c r="CY94" s="3" t="e">
        <f ca="1">_xll.BDH($C$78,"INVENT_TURN","FQ1 2017","FQ1 2017","Currency=INR","Period=FQ","BEST_FPERIOD_OVERRIDE=FQ","FILING_STATUS=OR","EQY_CONSOLIDATED=Y","FA_ADJUSTED=GAAP","Sort=A","Dates=H","DateFormat=P","Fill=—","Direction=H","UseDPDF=Y")</f>
        <v>#NAME?</v>
      </c>
      <c r="CZ94" s="1" t="e">
        <f ca="1">_xll.BDH($C$78,"INVENT_DAYS","FQ1 2017","FQ1 2017","Currency=INR","Period=FQ","BEST_FPERIOD_OVERRIDE=FQ","FILING_STATUS=OR","EQY_CONSOLIDATED=Y","FA_ADJUSTED=GAAP","Sort=A","Dates=H","DateFormat=P","Fill=—","Direction=H","UseDPDF=Y")</f>
        <v>#NAME?</v>
      </c>
      <c r="DA94" s="3" t="e">
        <f ca="1">_xll.BDH($C$78,"ACCOUNTS_PAYABLE_TURNOVER","FQ1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94" s="1" t="e">
        <f ca="1">_xll.BDH($C$78,"ACCOUNTS_PAYABLE_TURNOVER_DAYS","FQ1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94" s="3" t="e">
        <f ca="1">_xll.BDH($C$78,"CASH_CONVERSION_CYCLE","FQ1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94" s="3" t="e">
        <f ca="1">_xll.BDH($C$78,"INV_TO_CASH_DAYS","FQ1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94" s="4" t="e">
        <f ca="1">_xll.BDH($C$78,"BS_INVENTORIES","FQ1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94" s="2" t="e">
        <f ca="1">_xll.BDH($C$78,"INVTRY_RAW_MATERIALS","FQ1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94" s="2" t="e">
        <f ca="1">_xll.BDH($C$78,"INVTRY_IN_PROGRESS","FQ1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94" s="2" t="e">
        <f ca="1">_xll.BDH($C$78,"INVTRY_FINISHED_GOODS","FQ1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94" s="2" t="e">
        <f ca="1">_xll.BDH($C$78,"BS_OTHER_INV","FQ1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95" spans="1:113" x14ac:dyDescent="0.3">
      <c r="A95" s="6"/>
      <c r="B95" s="6"/>
      <c r="C95" s="6"/>
      <c r="D95" s="6"/>
      <c r="E95" t="s">
        <v>5</v>
      </c>
      <c r="F95" t="e">
        <f ca="1">_xll.BDH($C$78,"RETURN_COM_EQY","FQ2 2017","FQ2 2017","Currency=INR","Period=FQ","BEST_FPERIOD_OVERRIDE=FQ","FILING_STATUS=OR","EQY_CONSOLIDATED=Y","FA_ADJUSTED=GAAP","Sort=A","Dates=H","DateFormat=P","Fill=—","Direction=H","UseDPDF=Y")</f>
        <v>#NAME?</v>
      </c>
      <c r="G95" t="e">
        <f ca="1">_xll.BDH($C$78,"RETURN_ON_ASSET","FQ2 2017","FQ2 2017","Currency=INR","Period=FQ","BEST_FPERIOD_OVERRIDE=FQ","FILING_STATUS=OR","EQY_CONSOLIDATED=Y","FA_ADJUSTED=GAAP","Sort=A","Dates=H","DateFormat=P","Fill=—","Direction=H","UseDPDF=Y")</f>
        <v>#NAME?</v>
      </c>
      <c r="H95" t="e">
        <f ca="1">_xll.BDH($C$78,"RETURN_ON_CAP","FQ2 2017","FQ2 2017","Currency=INR","Period=FQ","BEST_FPERIOD_OVERRIDE=FQ","FILING_STATUS=OR","EQY_CONSOLIDATED=Y","FA_ADJUSTED=GAAP","Sort=A","Dates=H","DateFormat=P","Fill=—","Direction=H","UseDPDF=Y")</f>
        <v>#NAME?</v>
      </c>
      <c r="I95" t="e">
        <f ca="1">_xll.BDH($C$78,"RETURN_ON_INV_CAPITAL","FQ2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95" t="e">
        <f ca="1">_xll.BDH($C$78,"EBITDA_TO_REVENUE","FQ2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95" t="e">
        <f ca="1">_xll.BDH($C$78,"OPER_MARGIN","FQ2 2017","FQ2 2017","Currency=INR","Period=FQ","BEST_FPERIOD_OVERRIDE=FQ","FILING_STATUS=OR","EQY_CONSOLIDATED=Y","FA_ADJUSTED=GAAP","Sort=A","Dates=H","DateFormat=P","Fill=—","Direction=H","UseDPDF=Y")</f>
        <v>#NAME?</v>
      </c>
      <c r="L95" t="e">
        <f ca="1">_xll.BDH($C$78,"INCREMENTAL_OPERATING_MARGIN","FQ2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95" t="e">
        <f ca="1">_xll.BDH($C$78,"PRETAX_INC_TO_NET_SALES","FQ2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95" t="e">
        <f ca="1">_xll.BDH($C$78,"INC_BEF_XO_ITEMS_TO_NET_SALES","FQ2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95" t="e">
        <f ca="1">_xll.BDH($C$78,"PROF_MARGIN","FQ2 2017","FQ2 2017","Currency=INR","Period=FQ","BEST_FPERIOD_OVERRIDE=FQ","FILING_STATUS=OR","EQY_CONSOLIDATED=Y","FA_ADJUSTED=GAAP","Sort=A","Dates=H","DateFormat=P","Fill=—","Direction=H","UseDPDF=Y")</f>
        <v>#NAME?</v>
      </c>
      <c r="P95" t="e">
        <f ca="1">_xll.BDH($C$78,"NET_INCOME_TO_COMMON_MARGIN","FQ2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95" t="e">
        <f ca="1">_xll.BDH($C$78,"EFF_TAX_RATE","FQ2 2017","FQ2 2017","Currency=INR","Period=FQ","BEST_FPERIOD_OVERRIDE=FQ","FILING_STATUS=OR","EQY_CONSOLIDATED=Y","FA_ADJUSTED=GAAP","Sort=A","Dates=H","DateFormat=P","Fill=—","Direction=H","UseDPDF=Y")</f>
        <v>#NAME?</v>
      </c>
      <c r="R95" t="e">
        <f ca="1">_xll.BDH($C$78,"DVD_PAYOUT_RATIO","FQ2 2017","FQ2 2017","Currency=INR","Period=FQ","BEST_FPERIOD_OVERRIDE=FQ","FILING_STATUS=OR","EQY_CONSOLIDATED=Y","FA_ADJUSTED=GAAP","Sort=A","Dates=H","DateFormat=P","Fill=—","Direction=H","UseDPDF=Y")</f>
        <v>#NAME?</v>
      </c>
      <c r="S95" t="e">
        <f ca="1">_xll.BDH($C$78,"SUSTAIN_GROWTH_RT","FQ2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95" s="1" t="e">
        <f ca="1">_xll.BDH($C$78,"SALES_GROWTH","FQ2 2017","FQ2 2017","Currency=INR","Period=FQ","BEST_FPERIOD_OVERRIDE=FQ","FILING_STATUS=OR","EQY_CONSOLIDATED=Y","FA_ADJUSTED=GAAP","Sort=A","Dates=H","DateFormat=P","Fill=—","Direction=H","UseDPDF=Y")</f>
        <v>#NAME?</v>
      </c>
      <c r="U95" s="1" t="e">
        <f ca="1">_xll.BDH($C$78,"EBITDA_GROWTH","FQ2 2017","FQ2 2017","Currency=INR","Period=FQ","BEST_FPERIOD_OVERRIDE=FQ","FILING_STATUS=OR","EQY_CONSOLIDATED=Y","FA_ADJUSTED=GAAP","Sort=A","Dates=H","DateFormat=P","Fill=—","Direction=H","UseDPDF=Y")</f>
        <v>#NAME?</v>
      </c>
      <c r="V95" s="1" t="e">
        <f ca="1">_xll.BDH($C$78,"OPER_INC_GROWTH","FQ2 2017","FQ2 2017","Currency=INR","Period=FQ","BEST_FPERIOD_OVERRIDE=FQ","FILING_STATUS=OR","EQY_CONSOLIDATED=Y","FA_ADJUSTED=GAAP","Sort=A","Dates=H","DateFormat=P","Fill=—","Direction=H","UseDPDF=Y")</f>
        <v>#NAME?</v>
      </c>
      <c r="W95" s="1" t="e">
        <f ca="1">_xll.BDH($C$78,"EARN_FOR_COM_GROWTH","FQ2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95" s="1" t="e">
        <f ca="1">_xll.BDH($C$78,"DILUTED_EPS_AFT_XO_ITEMS_GROWTH","FQ2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95" s="1" t="e">
        <f ca="1">_xll.BDH($C$78,"DIVIDEND_PER_SHARE_1_YEAR_GROWTH","FQ2 2017","FQ2 2017","Currency=INR","Period=FQ","BEST_FPERIOD_OVERRIDE=FQ","FILING_STATUS=OR","EQY_CONSOLIDATED=Y","Sort=A","Dates=H","DateFormat=P","Fill=—","Direction=H","UseDPDF=Y")</f>
        <v>#NAME?</v>
      </c>
      <c r="Z95" s="1" t="e">
        <f ca="1">_xll.BDH($C$78,"ACCOUNTS_RECEIVABLE_GROWTH","FQ2 2017","FQ2 2017","Currency=INR","Period=FQ","BEST_FPERIOD_OVERRIDE=FQ","FILING_STATUS=OR","EQY_CONSOLIDATED=Y","Sort=A","Dates=H","DateFormat=P","Fill=—","Direction=H","UseDPDF=Y")</f>
        <v>#NAME?</v>
      </c>
      <c r="AA95" s="1" t="e">
        <f ca="1">_xll.BDH($C$78,"INVENTORY_GROWTH","FQ2 2017","FQ2 2017","Currency=INR","Period=FQ","BEST_FPERIOD_OVERRIDE=FQ","FILING_STATUS=OR","EQY_CONSOLIDATED=Y","Sort=A","Dates=H","DateFormat=P","Fill=—","Direction=H","UseDPDF=Y")</f>
        <v>#NAME?</v>
      </c>
      <c r="AB95" s="1" t="e">
        <f ca="1">_xll.BDH($C$78,"NET_FIXED_ASSETS_1_YEAR_GROWTH","FQ2 2017","FQ2 2017","Currency=INR","Period=FQ","BEST_FPERIOD_OVERRIDE=FQ","FILING_STATUS=OR","EQY_CONSOLIDATED=Y","Sort=A","Dates=H","DateFormat=P","Fill=—","Direction=H","UseDPDF=Y")</f>
        <v>#NAME?</v>
      </c>
      <c r="AC95" s="1" t="e">
        <f ca="1">_xll.BDH($C$78,"ASSET_GROWTH","FQ2 2017","FQ2 2017","Currency=INR","Period=FQ","BEST_FPERIOD_OVERRIDE=FQ","FILING_STATUS=OR","EQY_CONSOLIDATED=Y","Sort=A","Dates=H","DateFormat=P","Fill=—","Direction=H","UseDPDF=Y")</f>
        <v>#NAME?</v>
      </c>
      <c r="AD95" s="1" t="e">
        <f ca="1">_xll.BDH($C$78,"MODIFIED_WORK_CAP_GROWTH","FQ2 2017","FQ2 2017","Currency=INR","Period=FQ","BEST_FPERIOD_OVERRIDE=FQ","FILING_STATUS=OR","EQY_CONSOLIDATED=Y","Sort=A","Dates=H","DateFormat=P","Fill=—","Direction=H","UseDPDF=Y")</f>
        <v>#NAME?</v>
      </c>
      <c r="AE95" s="1" t="e">
        <f ca="1">_xll.BDH($C$78,"WORK_CAP_GROWTH","FQ2 2017","FQ2 2017","Currency=INR","Period=FQ","BEST_FPERIOD_OVERRIDE=FQ","FILING_STATUS=OR","EQY_CONSOLIDATED=Y","Sort=A","Dates=H","DateFormat=P","Fill=—","Direction=H","UseDPDF=Y")</f>
        <v>#NAME?</v>
      </c>
      <c r="AF95" s="1" t="e">
        <f ca="1">_xll.BDH($C$78,"ACCOUNTS_PAYABLE_GROWTH_1YR","FQ2 2017","FQ2 2017","Currency=INR","Period=FQ","BEST_FPERIOD_OVERRIDE=FQ","FILING_STATUS=OR","EQY_CONSOLIDATED=Y","Sort=A","Dates=H","DateFormat=P","Fill=—","Direction=H","UseDPDF=Y")</f>
        <v>#NAME?</v>
      </c>
      <c r="AG95" s="1" t="e">
        <f ca="1">_xll.BDH($C$78,"SHORT_TERM_DEBT_1_YEAR_GROWTH","FQ2 2017","FQ2 2017","Currency=INR","Period=FQ","BEST_FPERIOD_OVERRIDE=FQ","FILING_STATUS=OR","EQY_CONSOLIDATED=Y","Sort=A","Dates=H","DateFormat=P","Fill=—","Direction=H","UseDPDF=Y")</f>
        <v>#NAME?</v>
      </c>
      <c r="AH95" s="1" t="e">
        <f ca="1">_xll.BDH($C$78,"TOTAL_DEBT_1_YEAR_GROWTH","FQ2 2017","FQ2 2017","Currency=INR","Period=FQ","BEST_FPERIOD_OVERRIDE=FQ","FILING_STATUS=OR","EQY_CONSOLIDATED=Y","Sort=A","Dates=H","DateFormat=P","Fill=—","Direction=H","UseDPDF=Y")</f>
        <v>#NAME?</v>
      </c>
      <c r="AI95" s="1" t="e">
        <f ca="1">_xll.BDH($C$78,"TOTAL_EQUITY_1_YEAR_GROWTH","FQ2 2017","FQ2 2017","Currency=INR","Period=FQ","BEST_FPERIOD_OVERRIDE=FQ","FILING_STATUS=OR","EQY_CONSOLIDATED=Y","Sort=A","Dates=H","DateFormat=P","Fill=—","Direction=H","UseDPDF=Y")</f>
        <v>#NAME?</v>
      </c>
      <c r="AJ95" s="1" t="e">
        <f ca="1">_xll.BDH($C$78,"GROWTH_IN_CAP","FQ2 2017","FQ2 2017","Currency=INR","Period=FQ","BEST_FPERIOD_OVERRIDE=FQ","FILING_STATUS=OR","EQY_CONSOLIDATED=Y","Sort=A","Dates=H","DateFormat=P","Fill=—","Direction=H","UseDPDF=Y")</f>
        <v>#NAME?</v>
      </c>
      <c r="AK95" s="1" t="e">
        <f ca="1">_xll.BDH($C$78,"BVPS_GROWTH","FQ2 2017","FQ2 2017","Currency=INR","Period=FQ","BEST_FPERIOD_OVERRIDE=FQ","FILING_STATUS=OR","EQY_CONSOLIDATED=Y","Sort=A","Dates=H","DateFormat=P","Fill=—","Direction=H","UseDPDF=Y")</f>
        <v>#NAME?</v>
      </c>
      <c r="AL95" s="1" t="e">
        <f ca="1">_xll.BDH($C$78,"CASH_FLOW_GROWTH","FQ2 2017","FQ2 2017","Currency=INR","Period=FQ","BEST_FPERIOD_OVERRIDE=FQ","FILING_STATUS=OR","EQY_CONSOLIDATED=Y","Sort=A","Dates=H","DateFormat=P","Fill=—","Direction=H","UseDPDF=Y")</f>
        <v>#NAME?</v>
      </c>
      <c r="AM95" s="1" t="e">
        <f ca="1">_xll.BDH($C$78,"GEO_GROW_NET_SALES","FQ2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95" s="1" t="e">
        <f ca="1">_xll.BDH($C$78,"GEO_GROW_EBITDA","FQ2 2017","FQ2 2017","Currency=INR","Period=FQ","BEST_FPERIOD_OVERRIDE=FQ","FILING_STATUS=OR","EQY_CONSOLIDATED=Y","FA_ADJUSTED=GAAP","Sort=A","Dates=H","DateFormat=P","Fill=—","Direction=H","UseDPDF=Y")</f>
        <v>#NAME?</v>
      </c>
      <c r="AO95" s="1" t="e">
        <f ca="1">_xll.BDH($C$78,"GEO_GROW_OPER_INC","FQ2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95" s="1" t="e">
        <f ca="1">_xll.BDH($C$78,"NET_INCOME_TO_COMMON_5_YR_GROWTH","FQ2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95" s="1" t="e">
        <f ca="1">_xll.BDH($C$78,"5Y_GEO_GROWTH_DILUTED_EPS","FQ2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95" s="1" t="e">
        <f ca="1">_xll.BDH($C$78,"GEO_GROW_DVD_PER_SH","FQ2 2017","FQ2 2017","Currency=INR","Period=FQ","BEST_FPERIOD_OVERRIDE=FQ","FILING_STATUS=OR","EQY_CONSOLIDATED=Y","Sort=A","Dates=H","DateFormat=P","Fill=—","Direction=H","UseDPDF=Y")</f>
        <v>#NAME?</v>
      </c>
      <c r="AS95" s="1" t="e">
        <f ca="1">_xll.BDH($C$78,"ACCOUNTS_RECEIVABLE_5_YR_GROWTH","FQ2 2017","FQ2 2017","Currency=INR","Period=FQ","BEST_FPERIOD_OVERRIDE=FQ","FILING_STATUS=OR","EQY_CONSOLIDATED=Y","Sort=A","Dates=H","DateFormat=P","Fill=—","Direction=H","UseDPDF=Y")</f>
        <v>#NAME?</v>
      </c>
      <c r="AT95" s="1" t="e">
        <f ca="1">_xll.BDH($C$78,"INVENTORY_5_YEAR_GROWTH","FQ2 2017","FQ2 2017","Currency=INR","Period=FQ","BEST_FPERIOD_OVERRIDE=FQ","FILING_STATUS=OR","EQY_CONSOLIDATED=Y","Sort=A","Dates=H","DateFormat=P","Fill=—","Direction=H","UseDPDF=Y")</f>
        <v>#NAME?</v>
      </c>
      <c r="AU95" s="1" t="e">
        <f ca="1">_xll.BDH($C$78,"NET_FIXED_ASSETS_5_YEAR_GROWTH","FQ2 2017","FQ2 2017","Currency=INR","Period=FQ","BEST_FPERIOD_OVERRIDE=FQ","FILING_STATUS=OR","EQY_CONSOLIDATED=Y","Sort=A","Dates=H","DateFormat=P","Fill=—","Direction=H","UseDPDF=Y")</f>
        <v>#NAME?</v>
      </c>
      <c r="AV95" s="1" t="e">
        <f ca="1">_xll.BDH($C$78,"GEO_GROW_TOT_ASSET","FQ2 2017","FQ2 2017","Currency=INR","Period=FQ","BEST_FPERIOD_OVERRIDE=FQ","FILING_STATUS=OR","EQY_CONSOLIDATED=Y","Sort=A","Dates=H","DateFormat=P","Fill=—","Direction=H","UseDPDF=Y")</f>
        <v>#NAME?</v>
      </c>
      <c r="AW95" s="1" t="e">
        <f ca="1">_xll.BDH($C$78,"MODIFIED_WORKING_CPTL_5YR_GRWTH","FQ2 2017","FQ2 2017","Currency=INR","Period=FQ","BEST_FPERIOD_OVERRIDE=FQ","FILING_STATUS=OR","EQY_CONSOLIDATED=Y","Sort=A","Dates=H","DateFormat=P","Fill=—","Direction=H","UseDPDF=Y")</f>
        <v>#NAME?</v>
      </c>
      <c r="AX95" s="1" t="e">
        <f ca="1">_xll.BDH($C$78,"WORKING_CAPITAL_5_YEAR_GROWTH","FQ2 2017","FQ2 2017","Currency=INR","Period=FQ","BEST_FPERIOD_OVERRIDE=FQ","FILING_STATUS=OR","EQY_CONSOLIDATED=Y","Sort=A","Dates=H","DateFormat=P","Fill=—","Direction=H","UseDPDF=Y")</f>
        <v>#NAME?</v>
      </c>
      <c r="AY95" s="1" t="e">
        <f ca="1">_xll.BDH($C$78,"ACCOUNTS_PAYABLE_5_YEAR_GROWTH","FQ2 2017","FQ2 2017","Currency=INR","Period=FQ","BEST_FPERIOD_OVERRIDE=FQ","FILING_STATUS=OR","EQY_CONSOLIDATED=Y","Sort=A","Dates=H","DateFormat=P","Fill=—","Direction=H","UseDPDF=Y")</f>
        <v>#NAME?</v>
      </c>
      <c r="AZ95" s="1" t="e">
        <f ca="1">_xll.BDH($C$78,"SHORT_TERM_DEBT_5_YEAR_GROWTH","FQ2 2017","FQ2 2017","Currency=INR","Period=FQ","BEST_FPERIOD_OVERRIDE=FQ","FILING_STATUS=OR","EQY_CONSOLIDATED=Y","Sort=A","Dates=H","DateFormat=P","Fill=—","Direction=H","UseDPDF=Y")</f>
        <v>#NAME?</v>
      </c>
      <c r="BA95" s="1" t="e">
        <f ca="1">_xll.BDH($C$78,"TOTAL_DEBT_5_YEAR_GROWTH","FQ2 2017","FQ2 2017","Currency=INR","Period=FQ","BEST_FPERIOD_OVERRIDE=FQ","FILING_STATUS=OR","EQY_CONSOLIDATED=Y","Sort=A","Dates=H","DateFormat=P","Fill=—","Direction=H","UseDPDF=Y")</f>
        <v>#NAME?</v>
      </c>
      <c r="BB95" s="1" t="e">
        <f ca="1">_xll.BDH($C$78,"GEO_GROW_TOT_SHRHLDR_EQY","FQ2 2017","FQ2 2017","Currency=INR","Period=FQ","BEST_FPERIOD_OVERRIDE=FQ","FILING_STATUS=OR","EQY_CONSOLIDATED=Y","Sort=A","Dates=H","DateFormat=P","Fill=—","Direction=H","UseDPDF=Y")</f>
        <v>#NAME?</v>
      </c>
      <c r="BC95" s="1" t="e">
        <f ca="1">_xll.BDH($C$78,"TOTAL_CAPITAL_5_YEAR_GROWTH","FQ2 2017","FQ2 2017","Currency=INR","Period=FQ","BEST_FPERIOD_OVERRIDE=FQ","FILING_STATUS=OR","EQY_CONSOLIDATED=Y","Sort=A","Dates=H","DateFormat=P","Fill=—","Direction=H","UseDPDF=Y")</f>
        <v>#NAME?</v>
      </c>
      <c r="BD95" s="1" t="e">
        <f ca="1">_xll.BDH($C$78,"GEO_GROW_BOOK_VAL","FQ2 2017","FQ2 2017","Currency=INR","Period=FQ","BEST_FPERIOD_OVERRIDE=FQ","FILING_STATUS=OR","EQY_CONSOLIDATED=Y","Sort=A","Dates=H","DateFormat=P","Fill=—","Direction=H","UseDPDF=Y")</f>
        <v>#NAME?</v>
      </c>
      <c r="BE95" s="1" t="e">
        <f ca="1">_xll.BDH($C$78,"GEO_GROW_CASH_OPER_ACT","FQ2 2017","FQ2 2017","Currency=INR","Period=FQ","BEST_FPERIOD_OVERRIDE=FQ","FILING_STATUS=OR","EQY_CONSOLIDATED=Y","Sort=A","Dates=H","DateFormat=P","Fill=—","Direction=H","UseDPDF=Y")</f>
        <v>#NAME?</v>
      </c>
      <c r="BF95" s="1" t="e">
        <f ca="1">_xll.BDH($C$78,"REVENUE_SEQUENTIAL_GROWTH","FQ2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95" s="1" t="e">
        <f ca="1">_xll.BDH($C$78,"EBITDA_SEQUENTIAL_GROWTH","FQ2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95" s="1" t="e">
        <f ca="1">_xll.BDH($C$78,"OPERATING_INCOME_SEQ_GROWTH","FQ2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95" s="1" t="e">
        <f ca="1">_xll.BDH($C$78,"NET_INCOME_TO_COMMON_SEQ_GROWTH","FQ2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95" s="1" t="e">
        <f ca="1">_xll.BDH($C$78,"EPS_DILUTED_SEQUENTIAL_GROWTH","FQ2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95" s="1" t="e">
        <f ca="1">_xll.BDH($C$78,"DPS_SEQUENTIAL_GROWTH","FQ2 2017","FQ2 2017","Currency=INR","Period=FQ","BEST_FPERIOD_OVERRIDE=FQ","FILING_STATUS=OR","EQY_CONSOLIDATED=Y","Sort=A","Dates=H","DateFormat=P","Fill=—","Direction=H","UseDPDF=Y")</f>
        <v>#NAME?</v>
      </c>
      <c r="BL95" s="1" t="e">
        <f ca="1">_xll.BDH($C$78,"ACCOUNTS_RECEIVABLE_SEQ_GROWTH","FQ2 2017","FQ2 2017","Currency=INR","Period=FQ","BEST_FPERIOD_OVERRIDE=FQ","FILING_STATUS=OR","EQY_CONSOLIDATED=Y","Sort=A","Dates=H","DateFormat=P","Fill=—","Direction=H","UseDPDF=Y")</f>
        <v>#NAME?</v>
      </c>
      <c r="BM95" s="1" t="e">
        <f ca="1">_xll.BDH($C$78,"INVENTORY_SEQUENTIAL_GROWTH","FQ2 2017","FQ2 2017","Currency=INR","Period=FQ","BEST_FPERIOD_OVERRIDE=FQ","FILING_STATUS=OR","EQY_CONSOLIDATED=Y","Sort=A","Dates=H","DateFormat=P","Fill=—","Direction=H","UseDPDF=Y")</f>
        <v>#NAME?</v>
      </c>
      <c r="BN95" s="1" t="e">
        <f ca="1">_xll.BDH($C$78,"FIXED_ASSETS_SEQUENTIAL_GROWTH","FQ2 2017","FQ2 2017","Currency=INR","Period=FQ","BEST_FPERIOD_OVERRIDE=FQ","FILING_STATUS=OR","EQY_CONSOLIDATED=Y","Sort=A","Dates=H","DateFormat=P","Fill=—","Direction=H","UseDPDF=Y")</f>
        <v>#NAME?</v>
      </c>
      <c r="BO95" s="1" t="e">
        <f ca="1">_xll.BDH($C$78,"TOTAL_ASSETS_SEQUENTIAL_GROWTH","FQ2 2017","FQ2 2017","Currency=INR","Period=FQ","BEST_FPERIOD_OVERRIDE=FQ","FILING_STATUS=OR","EQY_CONSOLIDATED=Y","Sort=A","Dates=H","DateFormat=P","Fill=—","Direction=H","UseDPDF=Y")</f>
        <v>#NAME?</v>
      </c>
      <c r="BP95" s="1" t="e">
        <f ca="1">_xll.BDH($C$78,"MODIFIED_WORKING_CPTL_SEQ_GRWTH","FQ2 2017","FQ2 2017","Currency=INR","Period=FQ","BEST_FPERIOD_OVERRIDE=FQ","FILING_STATUS=OR","EQY_CONSOLIDATED=Y","Sort=A","Dates=H","DateFormat=P","Fill=—","Direction=H","UseDPDF=Y")</f>
        <v>#NAME?</v>
      </c>
      <c r="BQ95" s="1" t="e">
        <f ca="1">_xll.BDH($C$78,"WORKING_CAPITAL_SEQ_GROWTH","FQ2 2017","FQ2 2017","Currency=INR","Period=FQ","BEST_FPERIOD_OVERRIDE=FQ","FILING_STATUS=OR","EQY_CONSOLIDATED=Y","Sort=A","Dates=H","DateFormat=P","Fill=—","Direction=H","UseDPDF=Y")</f>
        <v>#NAME?</v>
      </c>
      <c r="BR95" s="1" t="e">
        <f ca="1">_xll.BDH($C$78,"ACCOUNTS_PAYABLE_SEQ_GROWTH","FQ2 2017","FQ2 2017","Currency=INR","Period=FQ","BEST_FPERIOD_OVERRIDE=FQ","FILING_STATUS=OR","EQY_CONSOLIDATED=Y","Sort=A","Dates=H","DateFormat=P","Fill=—","Direction=H","UseDPDF=Y")</f>
        <v>#NAME?</v>
      </c>
      <c r="BS95" s="1" t="e">
        <f ca="1">_xll.BDH($C$78,"ST_DEBT_SEQUENTIAL_GROWTH","FQ2 2017","FQ2 2017","Currency=INR","Period=FQ","BEST_FPERIOD_OVERRIDE=FQ","FILING_STATUS=OR","EQY_CONSOLIDATED=Y","Sort=A","Dates=H","DateFormat=P","Fill=—","Direction=H","UseDPDF=Y")</f>
        <v>#NAME?</v>
      </c>
      <c r="BT95" s="1" t="e">
        <f ca="1">_xll.BDH($C$78,"TOTAL_DEBT_SEQUENTIAL_GROWTH","FQ2 2017","FQ2 2017","Currency=INR","Period=FQ","BEST_FPERIOD_OVERRIDE=FQ","FILING_STATUS=OR","EQY_CONSOLIDATED=Y","Sort=A","Dates=H","DateFormat=P","Fill=—","Direction=H","UseDPDF=Y")</f>
        <v>#NAME?</v>
      </c>
      <c r="BU95" s="1" t="e">
        <f ca="1">_xll.BDH($C$78,"TOTAL_EQUITY_SEQUENTIAL_GROWTH","FQ2 2017","FQ2 2017","Currency=INR","Period=FQ","BEST_FPERIOD_OVERRIDE=FQ","FILING_STATUS=OR","EQY_CONSOLIDATED=Y","Sort=A","Dates=H","DateFormat=P","Fill=—","Direction=H","UseDPDF=Y")</f>
        <v>#NAME?</v>
      </c>
      <c r="BV95" s="1" t="e">
        <f ca="1">_xll.BDH($C$78,"TOTAL_CAPITAL_SEQUENTIAL_GROWTH","FQ2 2017","FQ2 2017","Currency=INR","Period=FQ","BEST_FPERIOD_OVERRIDE=FQ","FILING_STATUS=OR","EQY_CONSOLIDATED=Y","Sort=A","Dates=H","DateFormat=P","Fill=—","Direction=H","UseDPDF=Y")</f>
        <v>#NAME?</v>
      </c>
      <c r="BW95" s="1" t="e">
        <f ca="1">_xll.BDH($C$78,"BPS_SEQUENTIAL_GROWTH","FQ2 2017","FQ2 2017","Currency=INR","Period=FQ","BEST_FPERIOD_OVERRIDE=FQ","FILING_STATUS=OR","EQY_CONSOLIDATED=Y","Sort=A","Dates=H","DateFormat=P","Fill=—","Direction=H","UseDPDF=Y")</f>
        <v>#NAME?</v>
      </c>
      <c r="BX95" s="1" t="e">
        <f ca="1">_xll.BDH($C$78,"CFO_SEQUENTIAL_GROWTH","FQ2 2017","FQ2 2017","Currency=INR","Period=FQ","BEST_FPERIOD_OVERRIDE=FQ","FILING_STATUS=OR","EQY_CONSOLIDATED=Y","Sort=A","Dates=H","DateFormat=P","Fill=—","Direction=H","UseDPDF=Y")</f>
        <v>#NAME?</v>
      </c>
      <c r="BY95" s="2" t="e">
        <f ca="1">_xll.BDH($C$78,"SHORT_AND_LONG_TERM_DEBT","FQ2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95" s="2" t="e">
        <f ca="1">_xll.BDH($C$78,"BS_ST_BORROW","FQ2 2017","FQ2 2017","Currency=INR","Period=FQ","BEST_FPERIOD_OVERRIDE=FQ","FILING_STATUS=OR","EQY_CONSOLIDATED=Y","SCALING_FORMAT=MLN","Sort=A","Dates=H","DateFormat=P","Fill=—","Direction=H","UseDPDF=Y")</f>
        <v>#NAME?</v>
      </c>
      <c r="CA95" s="2" t="e">
        <f ca="1">_xll.BDH($C$78,"BS_LT_BORROW","FQ2 2017","FQ2 2017","Currency=INR","Period=FQ","BEST_FPERIOD_OVERRIDE=FQ","FILING_STATUS=OR","EQY_CONSOLIDATED=Y","SCALING_FORMAT=MLN","Sort=A","Dates=H","DateFormat=P","Fill=—","Direction=H","UseDPDF=Y")</f>
        <v>#NAME?</v>
      </c>
      <c r="CB95" s="1" t="e">
        <f ca="1">_xll.BDH($C$78,"TOT_DEBT_TO_EBITDA","FQ2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95" s="1" t="e">
        <f ca="1">_xll.BDH($C$78,"NET_DEBT_TO_EBITDA","FQ2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95" s="1" t="e">
        <f ca="1">_xll.BDH($C$78,"TOTAL_DEBT_TO_EBIT","FQ2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95" s="1" t="e">
        <f ca="1">_xll.BDH($C$78,"NET_DEBT_TO_EBIT","FQ2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95" s="1" t="e">
        <f ca="1">_xll.BDH($C$78,"EBITDA_TO_INTEREST_EXPN","FQ2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95" s="1" t="e">
        <f ca="1">_xll.BDH($C$78,"COM_EQY_TO_TOT_ASSET","FQ2 2017","FQ2 2017","Currency=INR","Period=FQ","BEST_FPERIOD_OVERRIDE=FQ","FILING_STATUS=OR","EQY_CONSOLIDATED=Y","Sort=A","Dates=H","DateFormat=P","Fill=—","Direction=H","UseDPDF=Y")</f>
        <v>#NAME?</v>
      </c>
      <c r="CH95" s="1" t="e">
        <f ca="1">_xll.BDH($C$78,"LT_DEBT_TO_TOT_EQY","FQ2 2017","FQ2 2017","Currency=INR","Period=FQ","BEST_FPERIOD_OVERRIDE=FQ","FILING_STATUS=OR","EQY_CONSOLIDATED=Y","Sort=A","Dates=H","DateFormat=P","Fill=—","Direction=H","UseDPDF=Y")</f>
        <v>#NAME?</v>
      </c>
      <c r="CI95" s="1" t="e">
        <f ca="1">_xll.BDH($C$78,"LT_DEBT_TO_TOT_CAP","FQ2 2017","FQ2 2017","Currency=INR","Period=FQ","BEST_FPERIOD_OVERRIDE=FQ","FILING_STATUS=OR","EQY_CONSOLIDATED=Y","Sort=A","Dates=H","DateFormat=P","Fill=—","Direction=H","UseDPDF=Y")</f>
        <v>#NAME?</v>
      </c>
      <c r="CJ95" s="1" t="e">
        <f ca="1">_xll.BDH($C$78,"LT_DEBT_TO_TOT_ASSET","FQ2 2017","FQ2 2017","Currency=INR","Period=FQ","BEST_FPERIOD_OVERRIDE=FQ","FILING_STATUS=OR","EQY_CONSOLIDATED=Y","Sort=A","Dates=H","DateFormat=P","Fill=—","Direction=H","UseDPDF=Y")</f>
        <v>#NAME?</v>
      </c>
      <c r="CK95" s="1" t="e">
        <f ca="1">_xll.BDH($C$78,"TOT_DEBT_TO_TOT_EQY","FQ2 2017","FQ2 2017","Currency=INR","Period=FQ","BEST_FPERIOD_OVERRIDE=FQ","FILING_STATUS=OR","EQY_CONSOLIDATED=Y","Sort=A","Dates=H","DateFormat=P","Fill=—","Direction=H","UseDPDF=Y")</f>
        <v>#NAME?</v>
      </c>
      <c r="CL95" s="1" t="e">
        <f ca="1">_xll.BDH($C$78,"TOT_DEBT_TO_TOT_CAP","FQ2 2017","FQ2 2017","Currency=INR","Period=FQ","BEST_FPERIOD_OVERRIDE=FQ","FILING_STATUS=OR","EQY_CONSOLIDATED=Y","Sort=A","Dates=H","DateFormat=P","Fill=—","Direction=H","UseDPDF=Y")</f>
        <v>#NAME?</v>
      </c>
      <c r="CM95" s="1" t="e">
        <f ca="1">_xll.BDH($C$78,"TOT_DEBT_TO_TOT_ASSET","FQ2 2017","FQ2 2017","Currency=INR","Period=FQ","BEST_FPERIOD_OVERRIDE=FQ","FILING_STATUS=OR","EQY_CONSOLIDATED=Y","Sort=A","Dates=H","DateFormat=P","Fill=—","Direction=H","UseDPDF=Y")</f>
        <v>#NAME?</v>
      </c>
      <c r="CN95" s="1" t="e">
        <f ca="1">_xll.BDH($C$78,"NET_DEBT_TO_SHRHLDR_EQTY","FQ2 2017","FQ2 2017","Currency=INR","Period=FQ","BEST_FPERIOD_OVERRIDE=FQ","FILING_STATUS=OR","EQY_CONSOLIDATED=Y","Sort=A","Dates=H","DateFormat=P","Fill=—","Direction=H","UseDPDF=Y")</f>
        <v>#NAME?</v>
      </c>
      <c r="CO95" s="1" t="e">
        <f ca="1">_xll.BDH($C$78,"NET_DEBT_%_CAPITAL","FQ2 2017","FQ2 2017","Currency=INR","Period=FQ","BEST_FPERIOD_OVERRIDE=FQ","FILING_STATUS=OR","EQY_CONSOLIDATED=Y","Sort=A","Dates=H","DateFormat=P","Fill=—","Direction=H","UseDPDF=Y")</f>
        <v>#NAME?</v>
      </c>
      <c r="CP95" s="2" t="e">
        <f ca="1">_xll.BDH($C$78,"EBITDA","FQ2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95" s="2" t="e">
        <f ca="1">_xll.BDH($C$78,"EBITDA_AFTER_CAPEX","FQ2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95" s="2" t="e">
        <f ca="1">_xll.BDH($C$78,"IS_OPER_INC","FQ2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95" s="1" t="e">
        <f ca="1">_xll.BDH($C$78,"CASH_RATIO","FQ2 2017","FQ2 2017","Currency=INR","Period=FQ","BEST_FPERIOD_OVERRIDE=FQ","FILING_STATUS=OR","EQY_CONSOLIDATED=Y","Sort=A","Dates=H","DateFormat=P","Fill=—","Direction=H","UseDPDF=Y")</f>
        <v>#NAME?</v>
      </c>
      <c r="CT95" s="1" t="e">
        <f ca="1">_xll.BDH($C$78,"CUR_RATIO","FQ2 2017","FQ2 2017","Currency=INR","Period=FQ","BEST_FPERIOD_OVERRIDE=FQ","FILING_STATUS=OR","EQY_CONSOLIDATED=Y","Sort=A","Dates=H","DateFormat=P","Fill=—","Direction=H","UseDPDF=Y")</f>
        <v>#NAME?</v>
      </c>
      <c r="CU95" s="1" t="e">
        <f ca="1">_xll.BDH($C$78,"QUICK_RATIO","FQ2 2017","FQ2 2017","Currency=INR","Period=FQ","BEST_FPERIOD_OVERRIDE=FQ","FILING_STATUS=OR","EQY_CONSOLIDATED=Y","Sort=A","Dates=H","DateFormat=P","Fill=—","Direction=H","UseDPDF=Y")</f>
        <v>#NAME?</v>
      </c>
      <c r="CV95" s="1" t="e">
        <f ca="1">_xll.BDH($C$78,"ALTMAN_Z_SCORE","FQ2 2017","FQ2 2017","Currency=INR","Period=FQ","BEST_FPERIOD_OVERRIDE=FQ","FILING_STATUS=OR","EQY_CONSOLIDATED=Y","Sort=A","Dates=H","DateFormat=P","Fill=—","Direction=H","UseDPDF=Y")</f>
        <v>#NAME?</v>
      </c>
      <c r="CW95" s="3" t="e">
        <f ca="1">_xll.BDH($C$78,"ACCT_RCV_TURN","FQ2 2017","FQ2 2017","Currency=INR","Period=FQ","BEST_FPERIOD_OVERRIDE=FQ","FILING_STATUS=OR","EQY_CONSOLIDATED=Y","FA_ADJUSTED=GAAP","Sort=A","Dates=H","DateFormat=P","Fill=—","Direction=H","UseDPDF=Y")</f>
        <v>#NAME?</v>
      </c>
      <c r="CX95" s="1" t="e">
        <f ca="1">_xll.BDH($C$78,"ACCT_RCV_DAYS","FQ2 2017","FQ2 2017","Currency=INR","Period=FQ","BEST_FPERIOD_OVERRIDE=FQ","FILING_STATUS=OR","EQY_CONSOLIDATED=Y","FA_ADJUSTED=GAAP","Sort=A","Dates=H","DateFormat=P","Fill=—","Direction=H","UseDPDF=Y")</f>
        <v>#NAME?</v>
      </c>
      <c r="CY95" s="3" t="e">
        <f ca="1">_xll.BDH($C$78,"INVENT_TURN","FQ2 2017","FQ2 2017","Currency=INR","Period=FQ","BEST_FPERIOD_OVERRIDE=FQ","FILING_STATUS=OR","EQY_CONSOLIDATED=Y","FA_ADJUSTED=GAAP","Sort=A","Dates=H","DateFormat=P","Fill=—","Direction=H","UseDPDF=Y")</f>
        <v>#NAME?</v>
      </c>
      <c r="CZ95" s="1" t="e">
        <f ca="1">_xll.BDH($C$78,"INVENT_DAYS","FQ2 2017","FQ2 2017","Currency=INR","Period=FQ","BEST_FPERIOD_OVERRIDE=FQ","FILING_STATUS=OR","EQY_CONSOLIDATED=Y","FA_ADJUSTED=GAAP","Sort=A","Dates=H","DateFormat=P","Fill=—","Direction=H","UseDPDF=Y")</f>
        <v>#NAME?</v>
      </c>
      <c r="DA95" s="3" t="e">
        <f ca="1">_xll.BDH($C$78,"ACCOUNTS_PAYABLE_TURNOVER","FQ2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95" s="1" t="e">
        <f ca="1">_xll.BDH($C$78,"ACCOUNTS_PAYABLE_TURNOVER_DAYS","FQ2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95" s="3" t="e">
        <f ca="1">_xll.BDH($C$78,"CASH_CONVERSION_CYCLE","FQ2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95" s="3" t="e">
        <f ca="1">_xll.BDH($C$78,"INV_TO_CASH_DAYS","FQ2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95" s="4" t="e">
        <f ca="1">_xll.BDH($C$78,"BS_INVENTORIES","FQ2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95" s="2" t="e">
        <f ca="1">_xll.BDH($C$78,"INVTRY_RAW_MATERIALS","FQ2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95" s="2" t="e">
        <f ca="1">_xll.BDH($C$78,"INVTRY_IN_PROGRESS","FQ2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95" s="2" t="e">
        <f ca="1">_xll.BDH($C$78,"INVTRY_FINISHED_GOODS","FQ2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95" s="2" t="e">
        <f ca="1">_xll.BDH($C$78,"BS_OTHER_INV","FQ2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96" spans="1:113" x14ac:dyDescent="0.3">
      <c r="A96" s="6"/>
      <c r="B96" s="6"/>
      <c r="C96" s="6"/>
      <c r="D96" s="6"/>
      <c r="E96" t="s">
        <v>6</v>
      </c>
      <c r="F96" t="e">
        <f ca="1">_xll.BDH($C$78,"RETURN_COM_EQY","FQ3 2017","FQ3 2017","Currency=INR","Period=FQ","BEST_FPERIOD_OVERRIDE=FQ","FILING_STATUS=OR","EQY_CONSOLIDATED=Y","FA_ADJUSTED=GAAP","Sort=A","Dates=H","DateFormat=P","Fill=—","Direction=H","UseDPDF=Y")</f>
        <v>#NAME?</v>
      </c>
      <c r="G96" t="e">
        <f ca="1">_xll.BDH($C$78,"RETURN_ON_ASSET","FQ3 2017","FQ3 2017","Currency=INR","Period=FQ","BEST_FPERIOD_OVERRIDE=FQ","FILING_STATUS=OR","EQY_CONSOLIDATED=Y","FA_ADJUSTED=GAAP","Sort=A","Dates=H","DateFormat=P","Fill=—","Direction=H","UseDPDF=Y")</f>
        <v>#NAME?</v>
      </c>
      <c r="H96" t="e">
        <f ca="1">_xll.BDH($C$78,"RETURN_ON_CAP","FQ3 2017","FQ3 2017","Currency=INR","Period=FQ","BEST_FPERIOD_OVERRIDE=FQ","FILING_STATUS=OR","EQY_CONSOLIDATED=Y","FA_ADJUSTED=GAAP","Sort=A","Dates=H","DateFormat=P","Fill=—","Direction=H","UseDPDF=Y")</f>
        <v>#NAME?</v>
      </c>
      <c r="I96" t="e">
        <f ca="1">_xll.BDH($C$78,"RETURN_ON_INV_CAPITAL","FQ3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96" t="e">
        <f ca="1">_xll.BDH($C$78,"EBITDA_TO_REVENUE","FQ3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96" t="e">
        <f ca="1">_xll.BDH($C$78,"OPER_MARGIN","FQ3 2017","FQ3 2017","Currency=INR","Period=FQ","BEST_FPERIOD_OVERRIDE=FQ","FILING_STATUS=OR","EQY_CONSOLIDATED=Y","FA_ADJUSTED=GAAP","Sort=A","Dates=H","DateFormat=P","Fill=—","Direction=H","UseDPDF=Y")</f>
        <v>#NAME?</v>
      </c>
      <c r="L96" t="e">
        <f ca="1">_xll.BDH($C$78,"INCREMENTAL_OPERATING_MARGIN","FQ3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96" t="e">
        <f ca="1">_xll.BDH($C$78,"PRETAX_INC_TO_NET_SALES","FQ3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96" t="e">
        <f ca="1">_xll.BDH($C$78,"INC_BEF_XO_ITEMS_TO_NET_SALES","FQ3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96" t="e">
        <f ca="1">_xll.BDH($C$78,"PROF_MARGIN","FQ3 2017","FQ3 2017","Currency=INR","Period=FQ","BEST_FPERIOD_OVERRIDE=FQ","FILING_STATUS=OR","EQY_CONSOLIDATED=Y","FA_ADJUSTED=GAAP","Sort=A","Dates=H","DateFormat=P","Fill=—","Direction=H","UseDPDF=Y")</f>
        <v>#NAME?</v>
      </c>
      <c r="P96" t="e">
        <f ca="1">_xll.BDH($C$78,"NET_INCOME_TO_COMMON_MARGIN","FQ3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96" t="e">
        <f ca="1">_xll.BDH($C$78,"EFF_TAX_RATE","FQ3 2017","FQ3 2017","Currency=INR","Period=FQ","BEST_FPERIOD_OVERRIDE=FQ","FILING_STATUS=OR","EQY_CONSOLIDATED=Y","FA_ADJUSTED=GAAP","Sort=A","Dates=H","DateFormat=P","Fill=—","Direction=H","UseDPDF=Y")</f>
        <v>#NAME?</v>
      </c>
      <c r="R96" t="e">
        <f ca="1">_xll.BDH($C$78,"DVD_PAYOUT_RATIO","FQ3 2017","FQ3 2017","Currency=INR","Period=FQ","BEST_FPERIOD_OVERRIDE=FQ","FILING_STATUS=OR","EQY_CONSOLIDATED=Y","FA_ADJUSTED=GAAP","Sort=A","Dates=H","DateFormat=P","Fill=—","Direction=H","UseDPDF=Y")</f>
        <v>#NAME?</v>
      </c>
      <c r="S96" t="e">
        <f ca="1">_xll.BDH($C$78,"SUSTAIN_GROWTH_RT","FQ3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96" s="1" t="e">
        <f ca="1">_xll.BDH($C$78,"SALES_GROWTH","FQ3 2017","FQ3 2017","Currency=INR","Period=FQ","BEST_FPERIOD_OVERRIDE=FQ","FILING_STATUS=OR","EQY_CONSOLIDATED=Y","FA_ADJUSTED=GAAP","Sort=A","Dates=H","DateFormat=P","Fill=—","Direction=H","UseDPDF=Y")</f>
        <v>#NAME?</v>
      </c>
      <c r="U96" s="1" t="e">
        <f ca="1">_xll.BDH($C$78,"EBITDA_GROWTH","FQ3 2017","FQ3 2017","Currency=INR","Period=FQ","BEST_FPERIOD_OVERRIDE=FQ","FILING_STATUS=OR","EQY_CONSOLIDATED=Y","FA_ADJUSTED=GAAP","Sort=A","Dates=H","DateFormat=P","Fill=—","Direction=H","UseDPDF=Y")</f>
        <v>#NAME?</v>
      </c>
      <c r="V96" s="1" t="e">
        <f ca="1">_xll.BDH($C$78,"OPER_INC_GROWTH","FQ3 2017","FQ3 2017","Currency=INR","Period=FQ","BEST_FPERIOD_OVERRIDE=FQ","FILING_STATUS=OR","EQY_CONSOLIDATED=Y","FA_ADJUSTED=GAAP","Sort=A","Dates=H","DateFormat=P","Fill=—","Direction=H","UseDPDF=Y")</f>
        <v>#NAME?</v>
      </c>
      <c r="W96" s="1" t="e">
        <f ca="1">_xll.BDH($C$78,"EARN_FOR_COM_GROWTH","FQ3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96" s="1" t="e">
        <f ca="1">_xll.BDH($C$78,"DILUTED_EPS_AFT_XO_ITEMS_GROWTH","FQ3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96" s="1" t="e">
        <f ca="1">_xll.BDH($C$78,"DIVIDEND_PER_SHARE_1_YEAR_GROWTH","FQ3 2017","FQ3 2017","Currency=INR","Period=FQ","BEST_FPERIOD_OVERRIDE=FQ","FILING_STATUS=OR","EQY_CONSOLIDATED=Y","Sort=A","Dates=H","DateFormat=P","Fill=—","Direction=H","UseDPDF=Y")</f>
        <v>#NAME?</v>
      </c>
      <c r="Z96" s="1" t="e">
        <f ca="1">_xll.BDH($C$78,"ACCOUNTS_RECEIVABLE_GROWTH","FQ3 2017","FQ3 2017","Currency=INR","Period=FQ","BEST_FPERIOD_OVERRIDE=FQ","FILING_STATUS=OR","EQY_CONSOLIDATED=Y","Sort=A","Dates=H","DateFormat=P","Fill=—","Direction=H","UseDPDF=Y")</f>
        <v>#NAME?</v>
      </c>
      <c r="AA96" s="1" t="e">
        <f ca="1">_xll.BDH($C$78,"INVENTORY_GROWTH","FQ3 2017","FQ3 2017","Currency=INR","Period=FQ","BEST_FPERIOD_OVERRIDE=FQ","FILING_STATUS=OR","EQY_CONSOLIDATED=Y","Sort=A","Dates=H","DateFormat=P","Fill=—","Direction=H","UseDPDF=Y")</f>
        <v>#NAME?</v>
      </c>
      <c r="AB96" s="1" t="e">
        <f ca="1">_xll.BDH($C$78,"NET_FIXED_ASSETS_1_YEAR_GROWTH","FQ3 2017","FQ3 2017","Currency=INR","Period=FQ","BEST_FPERIOD_OVERRIDE=FQ","FILING_STATUS=OR","EQY_CONSOLIDATED=Y","Sort=A","Dates=H","DateFormat=P","Fill=—","Direction=H","UseDPDF=Y")</f>
        <v>#NAME?</v>
      </c>
      <c r="AC96" s="1" t="e">
        <f ca="1">_xll.BDH($C$78,"ASSET_GROWTH","FQ3 2017","FQ3 2017","Currency=INR","Period=FQ","BEST_FPERIOD_OVERRIDE=FQ","FILING_STATUS=OR","EQY_CONSOLIDATED=Y","Sort=A","Dates=H","DateFormat=P","Fill=—","Direction=H","UseDPDF=Y")</f>
        <v>#NAME?</v>
      </c>
      <c r="AD96" s="1" t="e">
        <f ca="1">_xll.BDH($C$78,"MODIFIED_WORK_CAP_GROWTH","FQ3 2017","FQ3 2017","Currency=INR","Period=FQ","BEST_FPERIOD_OVERRIDE=FQ","FILING_STATUS=OR","EQY_CONSOLIDATED=Y","Sort=A","Dates=H","DateFormat=P","Fill=—","Direction=H","UseDPDF=Y")</f>
        <v>#NAME?</v>
      </c>
      <c r="AE96" s="1" t="e">
        <f ca="1">_xll.BDH($C$78,"WORK_CAP_GROWTH","FQ3 2017","FQ3 2017","Currency=INR","Period=FQ","BEST_FPERIOD_OVERRIDE=FQ","FILING_STATUS=OR","EQY_CONSOLIDATED=Y","Sort=A","Dates=H","DateFormat=P","Fill=—","Direction=H","UseDPDF=Y")</f>
        <v>#NAME?</v>
      </c>
      <c r="AF96" s="1" t="e">
        <f ca="1">_xll.BDH($C$78,"ACCOUNTS_PAYABLE_GROWTH_1YR","FQ3 2017","FQ3 2017","Currency=INR","Period=FQ","BEST_FPERIOD_OVERRIDE=FQ","FILING_STATUS=OR","EQY_CONSOLIDATED=Y","Sort=A","Dates=H","DateFormat=P","Fill=—","Direction=H","UseDPDF=Y")</f>
        <v>#NAME?</v>
      </c>
      <c r="AG96" s="1" t="e">
        <f ca="1">_xll.BDH($C$78,"SHORT_TERM_DEBT_1_YEAR_GROWTH","FQ3 2017","FQ3 2017","Currency=INR","Period=FQ","BEST_FPERIOD_OVERRIDE=FQ","FILING_STATUS=OR","EQY_CONSOLIDATED=Y","Sort=A","Dates=H","DateFormat=P","Fill=—","Direction=H","UseDPDF=Y")</f>
        <v>#NAME?</v>
      </c>
      <c r="AH96" s="1" t="e">
        <f ca="1">_xll.BDH($C$78,"TOTAL_DEBT_1_YEAR_GROWTH","FQ3 2017","FQ3 2017","Currency=INR","Period=FQ","BEST_FPERIOD_OVERRIDE=FQ","FILING_STATUS=OR","EQY_CONSOLIDATED=Y","Sort=A","Dates=H","DateFormat=P","Fill=—","Direction=H","UseDPDF=Y")</f>
        <v>#NAME?</v>
      </c>
      <c r="AI96" s="1" t="e">
        <f ca="1">_xll.BDH($C$78,"TOTAL_EQUITY_1_YEAR_GROWTH","FQ3 2017","FQ3 2017","Currency=INR","Period=FQ","BEST_FPERIOD_OVERRIDE=FQ","FILING_STATUS=OR","EQY_CONSOLIDATED=Y","Sort=A","Dates=H","DateFormat=P","Fill=—","Direction=H","UseDPDF=Y")</f>
        <v>#NAME?</v>
      </c>
      <c r="AJ96" s="1" t="e">
        <f ca="1">_xll.BDH($C$78,"GROWTH_IN_CAP","FQ3 2017","FQ3 2017","Currency=INR","Period=FQ","BEST_FPERIOD_OVERRIDE=FQ","FILING_STATUS=OR","EQY_CONSOLIDATED=Y","Sort=A","Dates=H","DateFormat=P","Fill=—","Direction=H","UseDPDF=Y")</f>
        <v>#NAME?</v>
      </c>
      <c r="AK96" s="1" t="e">
        <f ca="1">_xll.BDH($C$78,"BVPS_GROWTH","FQ3 2017","FQ3 2017","Currency=INR","Period=FQ","BEST_FPERIOD_OVERRIDE=FQ","FILING_STATUS=OR","EQY_CONSOLIDATED=Y","Sort=A","Dates=H","DateFormat=P","Fill=—","Direction=H","UseDPDF=Y")</f>
        <v>#NAME?</v>
      </c>
      <c r="AL96" s="1" t="e">
        <f ca="1">_xll.BDH($C$78,"CASH_FLOW_GROWTH","FQ3 2017","FQ3 2017","Currency=INR","Period=FQ","BEST_FPERIOD_OVERRIDE=FQ","FILING_STATUS=OR","EQY_CONSOLIDATED=Y","Sort=A","Dates=H","DateFormat=P","Fill=—","Direction=H","UseDPDF=Y")</f>
        <v>#NAME?</v>
      </c>
      <c r="AM96" s="1" t="e">
        <f ca="1">_xll.BDH($C$78,"GEO_GROW_NET_SALES","FQ3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96" s="1" t="e">
        <f ca="1">_xll.BDH($C$78,"GEO_GROW_EBITDA","FQ3 2017","FQ3 2017","Currency=INR","Period=FQ","BEST_FPERIOD_OVERRIDE=FQ","FILING_STATUS=OR","EQY_CONSOLIDATED=Y","FA_ADJUSTED=GAAP","Sort=A","Dates=H","DateFormat=P","Fill=—","Direction=H","UseDPDF=Y")</f>
        <v>#NAME?</v>
      </c>
      <c r="AO96" s="1" t="e">
        <f ca="1">_xll.BDH($C$78,"GEO_GROW_OPER_INC","FQ3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96" s="1" t="e">
        <f ca="1">_xll.BDH($C$78,"NET_INCOME_TO_COMMON_5_YR_GROWTH","FQ3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96" s="1" t="e">
        <f ca="1">_xll.BDH($C$78,"5Y_GEO_GROWTH_DILUTED_EPS","FQ3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96" s="1" t="e">
        <f ca="1">_xll.BDH($C$78,"GEO_GROW_DVD_PER_SH","FQ3 2017","FQ3 2017","Currency=INR","Period=FQ","BEST_FPERIOD_OVERRIDE=FQ","FILING_STATUS=OR","EQY_CONSOLIDATED=Y","Sort=A","Dates=H","DateFormat=P","Fill=—","Direction=H","UseDPDF=Y")</f>
        <v>#NAME?</v>
      </c>
      <c r="AS96" s="1" t="e">
        <f ca="1">_xll.BDH($C$78,"ACCOUNTS_RECEIVABLE_5_YR_GROWTH","FQ3 2017","FQ3 2017","Currency=INR","Period=FQ","BEST_FPERIOD_OVERRIDE=FQ","FILING_STATUS=OR","EQY_CONSOLIDATED=Y","Sort=A","Dates=H","DateFormat=P","Fill=—","Direction=H","UseDPDF=Y")</f>
        <v>#NAME?</v>
      </c>
      <c r="AT96" s="1" t="e">
        <f ca="1">_xll.BDH($C$78,"INVENTORY_5_YEAR_GROWTH","FQ3 2017","FQ3 2017","Currency=INR","Period=FQ","BEST_FPERIOD_OVERRIDE=FQ","FILING_STATUS=OR","EQY_CONSOLIDATED=Y","Sort=A","Dates=H","DateFormat=P","Fill=—","Direction=H","UseDPDF=Y")</f>
        <v>#NAME?</v>
      </c>
      <c r="AU96" s="1" t="e">
        <f ca="1">_xll.BDH($C$78,"NET_FIXED_ASSETS_5_YEAR_GROWTH","FQ3 2017","FQ3 2017","Currency=INR","Period=FQ","BEST_FPERIOD_OVERRIDE=FQ","FILING_STATUS=OR","EQY_CONSOLIDATED=Y","Sort=A","Dates=H","DateFormat=P","Fill=—","Direction=H","UseDPDF=Y")</f>
        <v>#NAME?</v>
      </c>
      <c r="AV96" s="1" t="e">
        <f ca="1">_xll.BDH($C$78,"GEO_GROW_TOT_ASSET","FQ3 2017","FQ3 2017","Currency=INR","Period=FQ","BEST_FPERIOD_OVERRIDE=FQ","FILING_STATUS=OR","EQY_CONSOLIDATED=Y","Sort=A","Dates=H","DateFormat=P","Fill=—","Direction=H","UseDPDF=Y")</f>
        <v>#NAME?</v>
      </c>
      <c r="AW96" s="1" t="e">
        <f ca="1">_xll.BDH($C$78,"MODIFIED_WORKING_CPTL_5YR_GRWTH","FQ3 2017","FQ3 2017","Currency=INR","Period=FQ","BEST_FPERIOD_OVERRIDE=FQ","FILING_STATUS=OR","EQY_CONSOLIDATED=Y","Sort=A","Dates=H","DateFormat=P","Fill=—","Direction=H","UseDPDF=Y")</f>
        <v>#NAME?</v>
      </c>
      <c r="AX96" s="1" t="e">
        <f ca="1">_xll.BDH($C$78,"WORKING_CAPITAL_5_YEAR_GROWTH","FQ3 2017","FQ3 2017","Currency=INR","Period=FQ","BEST_FPERIOD_OVERRIDE=FQ","FILING_STATUS=OR","EQY_CONSOLIDATED=Y","Sort=A","Dates=H","DateFormat=P","Fill=—","Direction=H","UseDPDF=Y")</f>
        <v>#NAME?</v>
      </c>
      <c r="AY96" s="1" t="e">
        <f ca="1">_xll.BDH($C$78,"ACCOUNTS_PAYABLE_5_YEAR_GROWTH","FQ3 2017","FQ3 2017","Currency=INR","Period=FQ","BEST_FPERIOD_OVERRIDE=FQ","FILING_STATUS=OR","EQY_CONSOLIDATED=Y","Sort=A","Dates=H","DateFormat=P","Fill=—","Direction=H","UseDPDF=Y")</f>
        <v>#NAME?</v>
      </c>
      <c r="AZ96" s="1" t="e">
        <f ca="1">_xll.BDH($C$78,"SHORT_TERM_DEBT_5_YEAR_GROWTH","FQ3 2017","FQ3 2017","Currency=INR","Period=FQ","BEST_FPERIOD_OVERRIDE=FQ","FILING_STATUS=OR","EQY_CONSOLIDATED=Y","Sort=A","Dates=H","DateFormat=P","Fill=—","Direction=H","UseDPDF=Y")</f>
        <v>#NAME?</v>
      </c>
      <c r="BA96" s="1" t="e">
        <f ca="1">_xll.BDH($C$78,"TOTAL_DEBT_5_YEAR_GROWTH","FQ3 2017","FQ3 2017","Currency=INR","Period=FQ","BEST_FPERIOD_OVERRIDE=FQ","FILING_STATUS=OR","EQY_CONSOLIDATED=Y","Sort=A","Dates=H","DateFormat=P","Fill=—","Direction=H","UseDPDF=Y")</f>
        <v>#NAME?</v>
      </c>
      <c r="BB96" s="1" t="e">
        <f ca="1">_xll.BDH($C$78,"GEO_GROW_TOT_SHRHLDR_EQY","FQ3 2017","FQ3 2017","Currency=INR","Period=FQ","BEST_FPERIOD_OVERRIDE=FQ","FILING_STATUS=OR","EQY_CONSOLIDATED=Y","Sort=A","Dates=H","DateFormat=P","Fill=—","Direction=H","UseDPDF=Y")</f>
        <v>#NAME?</v>
      </c>
      <c r="BC96" s="1" t="e">
        <f ca="1">_xll.BDH($C$78,"TOTAL_CAPITAL_5_YEAR_GROWTH","FQ3 2017","FQ3 2017","Currency=INR","Period=FQ","BEST_FPERIOD_OVERRIDE=FQ","FILING_STATUS=OR","EQY_CONSOLIDATED=Y","Sort=A","Dates=H","DateFormat=P","Fill=—","Direction=H","UseDPDF=Y")</f>
        <v>#NAME?</v>
      </c>
      <c r="BD96" s="1" t="e">
        <f ca="1">_xll.BDH($C$78,"GEO_GROW_BOOK_VAL","FQ3 2017","FQ3 2017","Currency=INR","Period=FQ","BEST_FPERIOD_OVERRIDE=FQ","FILING_STATUS=OR","EQY_CONSOLIDATED=Y","Sort=A","Dates=H","DateFormat=P","Fill=—","Direction=H","UseDPDF=Y")</f>
        <v>#NAME?</v>
      </c>
      <c r="BE96" s="1" t="e">
        <f ca="1">_xll.BDH($C$78,"GEO_GROW_CASH_OPER_ACT","FQ3 2017","FQ3 2017","Currency=INR","Period=FQ","BEST_FPERIOD_OVERRIDE=FQ","FILING_STATUS=OR","EQY_CONSOLIDATED=Y","Sort=A","Dates=H","DateFormat=P","Fill=—","Direction=H","UseDPDF=Y")</f>
        <v>#NAME?</v>
      </c>
      <c r="BF96" s="1" t="e">
        <f ca="1">_xll.BDH($C$78,"REVENUE_SEQUENTIAL_GROWTH","FQ3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96" s="1" t="e">
        <f ca="1">_xll.BDH($C$78,"EBITDA_SEQUENTIAL_GROWTH","FQ3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96" s="1" t="e">
        <f ca="1">_xll.BDH($C$78,"OPERATING_INCOME_SEQ_GROWTH","FQ3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96" s="1" t="e">
        <f ca="1">_xll.BDH($C$78,"NET_INCOME_TO_COMMON_SEQ_GROWTH","FQ3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96" s="1" t="e">
        <f ca="1">_xll.BDH($C$78,"EPS_DILUTED_SEQUENTIAL_GROWTH","FQ3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96" s="1" t="e">
        <f ca="1">_xll.BDH($C$78,"DPS_SEQUENTIAL_GROWTH","FQ3 2017","FQ3 2017","Currency=INR","Period=FQ","BEST_FPERIOD_OVERRIDE=FQ","FILING_STATUS=OR","EQY_CONSOLIDATED=Y","Sort=A","Dates=H","DateFormat=P","Fill=—","Direction=H","UseDPDF=Y")</f>
        <v>#NAME?</v>
      </c>
      <c r="BL96" s="1" t="e">
        <f ca="1">_xll.BDH($C$78,"ACCOUNTS_RECEIVABLE_SEQ_GROWTH","FQ3 2017","FQ3 2017","Currency=INR","Period=FQ","BEST_FPERIOD_OVERRIDE=FQ","FILING_STATUS=OR","EQY_CONSOLIDATED=Y","Sort=A","Dates=H","DateFormat=P","Fill=—","Direction=H","UseDPDF=Y")</f>
        <v>#NAME?</v>
      </c>
      <c r="BM96" s="1" t="e">
        <f ca="1">_xll.BDH($C$78,"INVENTORY_SEQUENTIAL_GROWTH","FQ3 2017","FQ3 2017","Currency=INR","Period=FQ","BEST_FPERIOD_OVERRIDE=FQ","FILING_STATUS=OR","EQY_CONSOLIDATED=Y","Sort=A","Dates=H","DateFormat=P","Fill=—","Direction=H","UseDPDF=Y")</f>
        <v>#NAME?</v>
      </c>
      <c r="BN96" s="1" t="e">
        <f ca="1">_xll.BDH($C$78,"FIXED_ASSETS_SEQUENTIAL_GROWTH","FQ3 2017","FQ3 2017","Currency=INR","Period=FQ","BEST_FPERIOD_OVERRIDE=FQ","FILING_STATUS=OR","EQY_CONSOLIDATED=Y","Sort=A","Dates=H","DateFormat=P","Fill=—","Direction=H","UseDPDF=Y")</f>
        <v>#NAME?</v>
      </c>
      <c r="BO96" s="1" t="e">
        <f ca="1">_xll.BDH($C$78,"TOTAL_ASSETS_SEQUENTIAL_GROWTH","FQ3 2017","FQ3 2017","Currency=INR","Period=FQ","BEST_FPERIOD_OVERRIDE=FQ","FILING_STATUS=OR","EQY_CONSOLIDATED=Y","Sort=A","Dates=H","DateFormat=P","Fill=—","Direction=H","UseDPDF=Y")</f>
        <v>#NAME?</v>
      </c>
      <c r="BP96" s="1" t="e">
        <f ca="1">_xll.BDH($C$78,"MODIFIED_WORKING_CPTL_SEQ_GRWTH","FQ3 2017","FQ3 2017","Currency=INR","Period=FQ","BEST_FPERIOD_OVERRIDE=FQ","FILING_STATUS=OR","EQY_CONSOLIDATED=Y","Sort=A","Dates=H","DateFormat=P","Fill=—","Direction=H","UseDPDF=Y")</f>
        <v>#NAME?</v>
      </c>
      <c r="BQ96" s="1" t="e">
        <f ca="1">_xll.BDH($C$78,"WORKING_CAPITAL_SEQ_GROWTH","FQ3 2017","FQ3 2017","Currency=INR","Period=FQ","BEST_FPERIOD_OVERRIDE=FQ","FILING_STATUS=OR","EQY_CONSOLIDATED=Y","Sort=A","Dates=H","DateFormat=P","Fill=—","Direction=H","UseDPDF=Y")</f>
        <v>#NAME?</v>
      </c>
      <c r="BR96" s="1" t="e">
        <f ca="1">_xll.BDH($C$78,"ACCOUNTS_PAYABLE_SEQ_GROWTH","FQ3 2017","FQ3 2017","Currency=INR","Period=FQ","BEST_FPERIOD_OVERRIDE=FQ","FILING_STATUS=OR","EQY_CONSOLIDATED=Y","Sort=A","Dates=H","DateFormat=P","Fill=—","Direction=H","UseDPDF=Y")</f>
        <v>#NAME?</v>
      </c>
      <c r="BS96" s="1" t="e">
        <f ca="1">_xll.BDH($C$78,"ST_DEBT_SEQUENTIAL_GROWTH","FQ3 2017","FQ3 2017","Currency=INR","Period=FQ","BEST_FPERIOD_OVERRIDE=FQ","FILING_STATUS=OR","EQY_CONSOLIDATED=Y","Sort=A","Dates=H","DateFormat=P","Fill=—","Direction=H","UseDPDF=Y")</f>
        <v>#NAME?</v>
      </c>
      <c r="BT96" s="1" t="e">
        <f ca="1">_xll.BDH($C$78,"TOTAL_DEBT_SEQUENTIAL_GROWTH","FQ3 2017","FQ3 2017","Currency=INR","Period=FQ","BEST_FPERIOD_OVERRIDE=FQ","FILING_STATUS=OR","EQY_CONSOLIDATED=Y","Sort=A","Dates=H","DateFormat=P","Fill=—","Direction=H","UseDPDF=Y")</f>
        <v>#NAME?</v>
      </c>
      <c r="BU96" s="1" t="e">
        <f ca="1">_xll.BDH($C$78,"TOTAL_EQUITY_SEQUENTIAL_GROWTH","FQ3 2017","FQ3 2017","Currency=INR","Period=FQ","BEST_FPERIOD_OVERRIDE=FQ","FILING_STATUS=OR","EQY_CONSOLIDATED=Y","Sort=A","Dates=H","DateFormat=P","Fill=—","Direction=H","UseDPDF=Y")</f>
        <v>#NAME?</v>
      </c>
      <c r="BV96" s="1" t="e">
        <f ca="1">_xll.BDH($C$78,"TOTAL_CAPITAL_SEQUENTIAL_GROWTH","FQ3 2017","FQ3 2017","Currency=INR","Period=FQ","BEST_FPERIOD_OVERRIDE=FQ","FILING_STATUS=OR","EQY_CONSOLIDATED=Y","Sort=A","Dates=H","DateFormat=P","Fill=—","Direction=H","UseDPDF=Y")</f>
        <v>#NAME?</v>
      </c>
      <c r="BW96" s="1" t="e">
        <f ca="1">_xll.BDH($C$78,"BPS_SEQUENTIAL_GROWTH","FQ3 2017","FQ3 2017","Currency=INR","Period=FQ","BEST_FPERIOD_OVERRIDE=FQ","FILING_STATUS=OR","EQY_CONSOLIDATED=Y","Sort=A","Dates=H","DateFormat=P","Fill=—","Direction=H","UseDPDF=Y")</f>
        <v>#NAME?</v>
      </c>
      <c r="BX96" s="1" t="e">
        <f ca="1">_xll.BDH($C$78,"CFO_SEQUENTIAL_GROWTH","FQ3 2017","FQ3 2017","Currency=INR","Period=FQ","BEST_FPERIOD_OVERRIDE=FQ","FILING_STATUS=OR","EQY_CONSOLIDATED=Y","Sort=A","Dates=H","DateFormat=P","Fill=—","Direction=H","UseDPDF=Y")</f>
        <v>#NAME?</v>
      </c>
      <c r="BY96" s="2" t="e">
        <f ca="1">_xll.BDH($C$78,"SHORT_AND_LONG_TERM_DEBT","FQ3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96" s="2" t="e">
        <f ca="1">_xll.BDH($C$78,"BS_ST_BORROW","FQ3 2017","FQ3 2017","Currency=INR","Period=FQ","BEST_FPERIOD_OVERRIDE=FQ","FILING_STATUS=OR","EQY_CONSOLIDATED=Y","SCALING_FORMAT=MLN","Sort=A","Dates=H","DateFormat=P","Fill=—","Direction=H","UseDPDF=Y")</f>
        <v>#NAME?</v>
      </c>
      <c r="CA96" s="2" t="e">
        <f ca="1">_xll.BDH($C$78,"BS_LT_BORROW","FQ3 2017","FQ3 2017","Currency=INR","Period=FQ","BEST_FPERIOD_OVERRIDE=FQ","FILING_STATUS=OR","EQY_CONSOLIDATED=Y","SCALING_FORMAT=MLN","Sort=A","Dates=H","DateFormat=P","Fill=—","Direction=H","UseDPDF=Y")</f>
        <v>#NAME?</v>
      </c>
      <c r="CB96" s="1" t="e">
        <f ca="1">_xll.BDH($C$78,"TOT_DEBT_TO_EBITDA","FQ3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96" s="1" t="e">
        <f ca="1">_xll.BDH($C$78,"NET_DEBT_TO_EBITDA","FQ3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96" s="1" t="e">
        <f ca="1">_xll.BDH($C$78,"TOTAL_DEBT_TO_EBIT","FQ3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96" s="1" t="e">
        <f ca="1">_xll.BDH($C$78,"NET_DEBT_TO_EBIT","FQ3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96" s="1" t="e">
        <f ca="1">_xll.BDH($C$78,"EBITDA_TO_INTEREST_EXPN","FQ3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96" s="1" t="e">
        <f ca="1">_xll.BDH($C$78,"COM_EQY_TO_TOT_ASSET","FQ3 2017","FQ3 2017","Currency=INR","Period=FQ","BEST_FPERIOD_OVERRIDE=FQ","FILING_STATUS=OR","EQY_CONSOLIDATED=Y","Sort=A","Dates=H","DateFormat=P","Fill=—","Direction=H","UseDPDF=Y")</f>
        <v>#NAME?</v>
      </c>
      <c r="CH96" s="1" t="e">
        <f ca="1">_xll.BDH($C$78,"LT_DEBT_TO_TOT_EQY","FQ3 2017","FQ3 2017","Currency=INR","Period=FQ","BEST_FPERIOD_OVERRIDE=FQ","FILING_STATUS=OR","EQY_CONSOLIDATED=Y","Sort=A","Dates=H","DateFormat=P","Fill=—","Direction=H","UseDPDF=Y")</f>
        <v>#NAME?</v>
      </c>
      <c r="CI96" s="1" t="e">
        <f ca="1">_xll.BDH($C$78,"LT_DEBT_TO_TOT_CAP","FQ3 2017","FQ3 2017","Currency=INR","Period=FQ","BEST_FPERIOD_OVERRIDE=FQ","FILING_STATUS=OR","EQY_CONSOLIDATED=Y","Sort=A","Dates=H","DateFormat=P","Fill=—","Direction=H","UseDPDF=Y")</f>
        <v>#NAME?</v>
      </c>
      <c r="CJ96" s="1" t="e">
        <f ca="1">_xll.BDH($C$78,"LT_DEBT_TO_TOT_ASSET","FQ3 2017","FQ3 2017","Currency=INR","Period=FQ","BEST_FPERIOD_OVERRIDE=FQ","FILING_STATUS=OR","EQY_CONSOLIDATED=Y","Sort=A","Dates=H","DateFormat=P","Fill=—","Direction=H","UseDPDF=Y")</f>
        <v>#NAME?</v>
      </c>
      <c r="CK96" s="1" t="e">
        <f ca="1">_xll.BDH($C$78,"TOT_DEBT_TO_TOT_EQY","FQ3 2017","FQ3 2017","Currency=INR","Period=FQ","BEST_FPERIOD_OVERRIDE=FQ","FILING_STATUS=OR","EQY_CONSOLIDATED=Y","Sort=A","Dates=H","DateFormat=P","Fill=—","Direction=H","UseDPDF=Y")</f>
        <v>#NAME?</v>
      </c>
      <c r="CL96" s="1" t="e">
        <f ca="1">_xll.BDH($C$78,"TOT_DEBT_TO_TOT_CAP","FQ3 2017","FQ3 2017","Currency=INR","Period=FQ","BEST_FPERIOD_OVERRIDE=FQ","FILING_STATUS=OR","EQY_CONSOLIDATED=Y","Sort=A","Dates=H","DateFormat=P","Fill=—","Direction=H","UseDPDF=Y")</f>
        <v>#NAME?</v>
      </c>
      <c r="CM96" s="1" t="e">
        <f ca="1">_xll.BDH($C$78,"TOT_DEBT_TO_TOT_ASSET","FQ3 2017","FQ3 2017","Currency=INR","Period=FQ","BEST_FPERIOD_OVERRIDE=FQ","FILING_STATUS=OR","EQY_CONSOLIDATED=Y","Sort=A","Dates=H","DateFormat=P","Fill=—","Direction=H","UseDPDF=Y")</f>
        <v>#NAME?</v>
      </c>
      <c r="CN96" s="1" t="e">
        <f ca="1">_xll.BDH($C$78,"NET_DEBT_TO_SHRHLDR_EQTY","FQ3 2017","FQ3 2017","Currency=INR","Period=FQ","BEST_FPERIOD_OVERRIDE=FQ","FILING_STATUS=OR","EQY_CONSOLIDATED=Y","Sort=A","Dates=H","DateFormat=P","Fill=—","Direction=H","UseDPDF=Y")</f>
        <v>#NAME?</v>
      </c>
      <c r="CO96" s="1" t="e">
        <f ca="1">_xll.BDH($C$78,"NET_DEBT_%_CAPITAL","FQ3 2017","FQ3 2017","Currency=INR","Period=FQ","BEST_FPERIOD_OVERRIDE=FQ","FILING_STATUS=OR","EQY_CONSOLIDATED=Y","Sort=A","Dates=H","DateFormat=P","Fill=—","Direction=H","UseDPDF=Y")</f>
        <v>#NAME?</v>
      </c>
      <c r="CP96" s="2" t="e">
        <f ca="1">_xll.BDH($C$78,"EBITDA","FQ3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96" s="2" t="e">
        <f ca="1">_xll.BDH($C$78,"EBITDA_AFTER_CAPEX","FQ3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96" s="2" t="e">
        <f ca="1">_xll.BDH($C$78,"IS_OPER_INC","FQ3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96" s="1" t="e">
        <f ca="1">_xll.BDH($C$78,"CASH_RATIO","FQ3 2017","FQ3 2017","Currency=INR","Period=FQ","BEST_FPERIOD_OVERRIDE=FQ","FILING_STATUS=OR","EQY_CONSOLIDATED=Y","Sort=A","Dates=H","DateFormat=P","Fill=—","Direction=H","UseDPDF=Y")</f>
        <v>#NAME?</v>
      </c>
      <c r="CT96" s="1" t="e">
        <f ca="1">_xll.BDH($C$78,"CUR_RATIO","FQ3 2017","FQ3 2017","Currency=INR","Period=FQ","BEST_FPERIOD_OVERRIDE=FQ","FILING_STATUS=OR","EQY_CONSOLIDATED=Y","Sort=A","Dates=H","DateFormat=P","Fill=—","Direction=H","UseDPDF=Y")</f>
        <v>#NAME?</v>
      </c>
      <c r="CU96" s="1" t="e">
        <f ca="1">_xll.BDH($C$78,"QUICK_RATIO","FQ3 2017","FQ3 2017","Currency=INR","Period=FQ","BEST_FPERIOD_OVERRIDE=FQ","FILING_STATUS=OR","EQY_CONSOLIDATED=Y","Sort=A","Dates=H","DateFormat=P","Fill=—","Direction=H","UseDPDF=Y")</f>
        <v>#NAME?</v>
      </c>
      <c r="CV96" s="1" t="e">
        <f ca="1">_xll.BDH($C$78,"ALTMAN_Z_SCORE","FQ3 2017","FQ3 2017","Currency=INR","Period=FQ","BEST_FPERIOD_OVERRIDE=FQ","FILING_STATUS=OR","EQY_CONSOLIDATED=Y","Sort=A","Dates=H","DateFormat=P","Fill=—","Direction=H","UseDPDF=Y")</f>
        <v>#NAME?</v>
      </c>
      <c r="CW96" s="3" t="e">
        <f ca="1">_xll.BDH($C$78,"ACCT_RCV_TURN","FQ3 2017","FQ3 2017","Currency=INR","Period=FQ","BEST_FPERIOD_OVERRIDE=FQ","FILING_STATUS=OR","EQY_CONSOLIDATED=Y","FA_ADJUSTED=GAAP","Sort=A","Dates=H","DateFormat=P","Fill=—","Direction=H","UseDPDF=Y")</f>
        <v>#NAME?</v>
      </c>
      <c r="CX96" s="1" t="e">
        <f ca="1">_xll.BDH($C$78,"ACCT_RCV_DAYS","FQ3 2017","FQ3 2017","Currency=INR","Period=FQ","BEST_FPERIOD_OVERRIDE=FQ","FILING_STATUS=OR","EQY_CONSOLIDATED=Y","FA_ADJUSTED=GAAP","Sort=A","Dates=H","DateFormat=P","Fill=—","Direction=H","UseDPDF=Y")</f>
        <v>#NAME?</v>
      </c>
      <c r="CY96" s="3" t="e">
        <f ca="1">_xll.BDH($C$78,"INVENT_TURN","FQ3 2017","FQ3 2017","Currency=INR","Period=FQ","BEST_FPERIOD_OVERRIDE=FQ","FILING_STATUS=OR","EQY_CONSOLIDATED=Y","FA_ADJUSTED=GAAP","Sort=A","Dates=H","DateFormat=P","Fill=—","Direction=H","UseDPDF=Y")</f>
        <v>#NAME?</v>
      </c>
      <c r="CZ96" s="1" t="e">
        <f ca="1">_xll.BDH($C$78,"INVENT_DAYS","FQ3 2017","FQ3 2017","Currency=INR","Period=FQ","BEST_FPERIOD_OVERRIDE=FQ","FILING_STATUS=OR","EQY_CONSOLIDATED=Y","FA_ADJUSTED=GAAP","Sort=A","Dates=H","DateFormat=P","Fill=—","Direction=H","UseDPDF=Y")</f>
        <v>#NAME?</v>
      </c>
      <c r="DA96" s="3" t="e">
        <f ca="1">_xll.BDH($C$78,"ACCOUNTS_PAYABLE_TURNOVER","FQ3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96" s="1" t="e">
        <f ca="1">_xll.BDH($C$78,"ACCOUNTS_PAYABLE_TURNOVER_DAYS","FQ3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96" s="3" t="e">
        <f ca="1">_xll.BDH($C$78,"CASH_CONVERSION_CYCLE","FQ3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96" s="3" t="e">
        <f ca="1">_xll.BDH($C$78,"INV_TO_CASH_DAYS","FQ3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96" s="4" t="e">
        <f ca="1">_xll.BDH($C$78,"BS_INVENTORIES","FQ3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96" s="2" t="e">
        <f ca="1">_xll.BDH($C$78,"INVTRY_RAW_MATERIALS","FQ3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96" s="2" t="e">
        <f ca="1">_xll.BDH($C$78,"INVTRY_IN_PROGRESS","FQ3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96" s="2" t="e">
        <f ca="1">_xll.BDH($C$78,"INVTRY_FINISHED_GOODS","FQ3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96" s="2" t="e">
        <f ca="1">_xll.BDH($C$78,"BS_OTHER_INV","FQ3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97" spans="1:113" x14ac:dyDescent="0.3">
      <c r="A97" s="6"/>
      <c r="B97" s="6"/>
      <c r="C97" s="6"/>
      <c r="D97" s="6"/>
      <c r="E97" t="s">
        <v>7</v>
      </c>
      <c r="F97" t="e">
        <f ca="1">_xll.BDH($C$78,"RETURN_COM_EQY","FQ4 2017","FQ4 2017","Currency=INR","Period=FQ","BEST_FPERIOD_OVERRIDE=FQ","FILING_STATUS=OR","EQY_CONSOLIDATED=Y","FA_ADJUSTED=GAAP","Sort=A","Dates=H","DateFormat=P","Fill=—","Direction=H","UseDPDF=Y")</f>
        <v>#NAME?</v>
      </c>
      <c r="G97" t="e">
        <f ca="1">_xll.BDH($C$78,"RETURN_ON_ASSET","FQ4 2017","FQ4 2017","Currency=INR","Period=FQ","BEST_FPERIOD_OVERRIDE=FQ","FILING_STATUS=OR","EQY_CONSOLIDATED=Y","FA_ADJUSTED=GAAP","Sort=A","Dates=H","DateFormat=P","Fill=—","Direction=H","UseDPDF=Y")</f>
        <v>#NAME?</v>
      </c>
      <c r="H97" t="e">
        <f ca="1">_xll.BDH($C$78,"RETURN_ON_CAP","FQ4 2017","FQ4 2017","Currency=INR","Period=FQ","BEST_FPERIOD_OVERRIDE=FQ","FILING_STATUS=OR","EQY_CONSOLIDATED=Y","FA_ADJUSTED=GAAP","Sort=A","Dates=H","DateFormat=P","Fill=—","Direction=H","UseDPDF=Y")</f>
        <v>#NAME?</v>
      </c>
      <c r="I97" t="e">
        <f ca="1">_xll.BDH($C$78,"RETURN_ON_INV_CAPITAL","FQ4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97" t="e">
        <f ca="1">_xll.BDH($C$78,"EBITDA_TO_REVENUE","FQ4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97" t="e">
        <f ca="1">_xll.BDH($C$78,"OPER_MARGIN","FQ4 2017","FQ4 2017","Currency=INR","Period=FQ","BEST_FPERIOD_OVERRIDE=FQ","FILING_STATUS=OR","EQY_CONSOLIDATED=Y","FA_ADJUSTED=GAAP","Sort=A","Dates=H","DateFormat=P","Fill=—","Direction=H","UseDPDF=Y")</f>
        <v>#NAME?</v>
      </c>
      <c r="L97" t="e">
        <f ca="1">_xll.BDH($C$78,"INCREMENTAL_OPERATING_MARGIN","FQ4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97" t="e">
        <f ca="1">_xll.BDH($C$78,"PRETAX_INC_TO_NET_SALES","FQ4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97" t="e">
        <f ca="1">_xll.BDH($C$78,"INC_BEF_XO_ITEMS_TO_NET_SALES","FQ4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97" t="e">
        <f ca="1">_xll.BDH($C$78,"PROF_MARGIN","FQ4 2017","FQ4 2017","Currency=INR","Period=FQ","BEST_FPERIOD_OVERRIDE=FQ","FILING_STATUS=OR","EQY_CONSOLIDATED=Y","FA_ADJUSTED=GAAP","Sort=A","Dates=H","DateFormat=P","Fill=—","Direction=H","UseDPDF=Y")</f>
        <v>#NAME?</v>
      </c>
      <c r="P97" t="e">
        <f ca="1">_xll.BDH($C$78,"NET_INCOME_TO_COMMON_MARGIN","FQ4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97" t="e">
        <f ca="1">_xll.BDH($C$78,"EFF_TAX_RATE","FQ4 2017","FQ4 2017","Currency=INR","Period=FQ","BEST_FPERIOD_OVERRIDE=FQ","FILING_STATUS=OR","EQY_CONSOLIDATED=Y","FA_ADJUSTED=GAAP","Sort=A","Dates=H","DateFormat=P","Fill=—","Direction=H","UseDPDF=Y")</f>
        <v>#NAME?</v>
      </c>
      <c r="R97" t="e">
        <f ca="1">_xll.BDH($C$78,"DVD_PAYOUT_RATIO","FQ4 2017","FQ4 2017","Currency=INR","Period=FQ","BEST_FPERIOD_OVERRIDE=FQ","FILING_STATUS=OR","EQY_CONSOLIDATED=Y","FA_ADJUSTED=GAAP","Sort=A","Dates=H","DateFormat=P","Fill=—","Direction=H","UseDPDF=Y")</f>
        <v>#NAME?</v>
      </c>
      <c r="S97" t="e">
        <f ca="1">_xll.BDH($C$78,"SUSTAIN_GROWTH_RT","FQ4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97" s="1" t="e">
        <f ca="1">_xll.BDH($C$78,"SALES_GROWTH","FQ4 2017","FQ4 2017","Currency=INR","Period=FQ","BEST_FPERIOD_OVERRIDE=FQ","FILING_STATUS=OR","EQY_CONSOLIDATED=Y","FA_ADJUSTED=GAAP","Sort=A","Dates=H","DateFormat=P","Fill=—","Direction=H","UseDPDF=Y")</f>
        <v>#NAME?</v>
      </c>
      <c r="U97" s="1" t="e">
        <f ca="1">_xll.BDH($C$78,"EBITDA_GROWTH","FQ4 2017","FQ4 2017","Currency=INR","Period=FQ","BEST_FPERIOD_OVERRIDE=FQ","FILING_STATUS=OR","EQY_CONSOLIDATED=Y","FA_ADJUSTED=GAAP","Sort=A","Dates=H","DateFormat=P","Fill=—","Direction=H","UseDPDF=Y")</f>
        <v>#NAME?</v>
      </c>
      <c r="V97" s="1" t="e">
        <f ca="1">_xll.BDH($C$78,"OPER_INC_GROWTH","FQ4 2017","FQ4 2017","Currency=INR","Period=FQ","BEST_FPERIOD_OVERRIDE=FQ","FILING_STATUS=OR","EQY_CONSOLIDATED=Y","FA_ADJUSTED=GAAP","Sort=A","Dates=H","DateFormat=P","Fill=—","Direction=H","UseDPDF=Y")</f>
        <v>#NAME?</v>
      </c>
      <c r="W97" s="1" t="e">
        <f ca="1">_xll.BDH($C$78,"EARN_FOR_COM_GROWTH","FQ4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97" s="1" t="e">
        <f ca="1">_xll.BDH($C$78,"DILUTED_EPS_AFT_XO_ITEMS_GROWTH","FQ4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97" s="1" t="e">
        <f ca="1">_xll.BDH($C$78,"DIVIDEND_PER_SHARE_1_YEAR_GROWTH","FQ4 2017","FQ4 2017","Currency=INR","Period=FQ","BEST_FPERIOD_OVERRIDE=FQ","FILING_STATUS=OR","EQY_CONSOLIDATED=Y","Sort=A","Dates=H","DateFormat=P","Fill=—","Direction=H","UseDPDF=Y")</f>
        <v>#NAME?</v>
      </c>
      <c r="Z97" s="1" t="e">
        <f ca="1">_xll.BDH($C$78,"ACCOUNTS_RECEIVABLE_GROWTH","FQ4 2017","FQ4 2017","Currency=INR","Period=FQ","BEST_FPERIOD_OVERRIDE=FQ","FILING_STATUS=OR","EQY_CONSOLIDATED=Y","Sort=A","Dates=H","DateFormat=P","Fill=—","Direction=H","UseDPDF=Y")</f>
        <v>#NAME?</v>
      </c>
      <c r="AA97" s="1" t="e">
        <f ca="1">_xll.BDH($C$78,"INVENTORY_GROWTH","FQ4 2017","FQ4 2017","Currency=INR","Period=FQ","BEST_FPERIOD_OVERRIDE=FQ","FILING_STATUS=OR","EQY_CONSOLIDATED=Y","Sort=A","Dates=H","DateFormat=P","Fill=—","Direction=H","UseDPDF=Y")</f>
        <v>#NAME?</v>
      </c>
      <c r="AB97" s="1" t="e">
        <f ca="1">_xll.BDH($C$78,"NET_FIXED_ASSETS_1_YEAR_GROWTH","FQ4 2017","FQ4 2017","Currency=INR","Period=FQ","BEST_FPERIOD_OVERRIDE=FQ","FILING_STATUS=OR","EQY_CONSOLIDATED=Y","Sort=A","Dates=H","DateFormat=P","Fill=—","Direction=H","UseDPDF=Y")</f>
        <v>#NAME?</v>
      </c>
      <c r="AC97" s="1" t="e">
        <f ca="1">_xll.BDH($C$78,"ASSET_GROWTH","FQ4 2017","FQ4 2017","Currency=INR","Period=FQ","BEST_FPERIOD_OVERRIDE=FQ","FILING_STATUS=OR","EQY_CONSOLIDATED=Y","Sort=A","Dates=H","DateFormat=P","Fill=—","Direction=H","UseDPDF=Y")</f>
        <v>#NAME?</v>
      </c>
      <c r="AD97" s="1" t="e">
        <f ca="1">_xll.BDH($C$78,"MODIFIED_WORK_CAP_GROWTH","FQ4 2017","FQ4 2017","Currency=INR","Period=FQ","BEST_FPERIOD_OVERRIDE=FQ","FILING_STATUS=OR","EQY_CONSOLIDATED=Y","Sort=A","Dates=H","DateFormat=P","Fill=—","Direction=H","UseDPDF=Y")</f>
        <v>#NAME?</v>
      </c>
      <c r="AE97" s="1" t="e">
        <f ca="1">_xll.BDH($C$78,"WORK_CAP_GROWTH","FQ4 2017","FQ4 2017","Currency=INR","Period=FQ","BEST_FPERIOD_OVERRIDE=FQ","FILING_STATUS=OR","EQY_CONSOLIDATED=Y","Sort=A","Dates=H","DateFormat=P","Fill=—","Direction=H","UseDPDF=Y")</f>
        <v>#NAME?</v>
      </c>
      <c r="AF97" s="1" t="e">
        <f ca="1">_xll.BDH($C$78,"ACCOUNTS_PAYABLE_GROWTH_1YR","FQ4 2017","FQ4 2017","Currency=INR","Period=FQ","BEST_FPERIOD_OVERRIDE=FQ","FILING_STATUS=OR","EQY_CONSOLIDATED=Y","Sort=A","Dates=H","DateFormat=P","Fill=—","Direction=H","UseDPDF=Y")</f>
        <v>#NAME?</v>
      </c>
      <c r="AG97" s="1" t="e">
        <f ca="1">_xll.BDH($C$78,"SHORT_TERM_DEBT_1_YEAR_GROWTH","FQ4 2017","FQ4 2017","Currency=INR","Period=FQ","BEST_FPERIOD_OVERRIDE=FQ","FILING_STATUS=OR","EQY_CONSOLIDATED=Y","Sort=A","Dates=H","DateFormat=P","Fill=—","Direction=H","UseDPDF=Y")</f>
        <v>#NAME?</v>
      </c>
      <c r="AH97" s="1" t="e">
        <f ca="1">_xll.BDH($C$78,"TOTAL_DEBT_1_YEAR_GROWTH","FQ4 2017","FQ4 2017","Currency=INR","Period=FQ","BEST_FPERIOD_OVERRIDE=FQ","FILING_STATUS=OR","EQY_CONSOLIDATED=Y","Sort=A","Dates=H","DateFormat=P","Fill=—","Direction=H","UseDPDF=Y")</f>
        <v>#NAME?</v>
      </c>
      <c r="AI97" s="1" t="e">
        <f ca="1">_xll.BDH($C$78,"TOTAL_EQUITY_1_YEAR_GROWTH","FQ4 2017","FQ4 2017","Currency=INR","Period=FQ","BEST_FPERIOD_OVERRIDE=FQ","FILING_STATUS=OR","EQY_CONSOLIDATED=Y","Sort=A","Dates=H","DateFormat=P","Fill=—","Direction=H","UseDPDF=Y")</f>
        <v>#NAME?</v>
      </c>
      <c r="AJ97" s="1" t="e">
        <f ca="1">_xll.BDH($C$78,"GROWTH_IN_CAP","FQ4 2017","FQ4 2017","Currency=INR","Period=FQ","BEST_FPERIOD_OVERRIDE=FQ","FILING_STATUS=OR","EQY_CONSOLIDATED=Y","Sort=A","Dates=H","DateFormat=P","Fill=—","Direction=H","UseDPDF=Y")</f>
        <v>#NAME?</v>
      </c>
      <c r="AK97" s="1" t="e">
        <f ca="1">_xll.BDH($C$78,"BVPS_GROWTH","FQ4 2017","FQ4 2017","Currency=INR","Period=FQ","BEST_FPERIOD_OVERRIDE=FQ","FILING_STATUS=OR","EQY_CONSOLIDATED=Y","Sort=A","Dates=H","DateFormat=P","Fill=—","Direction=H","UseDPDF=Y")</f>
        <v>#NAME?</v>
      </c>
      <c r="AL97" s="1" t="e">
        <f ca="1">_xll.BDH($C$78,"CASH_FLOW_GROWTH","FQ4 2017","FQ4 2017","Currency=INR","Period=FQ","BEST_FPERIOD_OVERRIDE=FQ","FILING_STATUS=OR","EQY_CONSOLIDATED=Y","Sort=A","Dates=H","DateFormat=P","Fill=—","Direction=H","UseDPDF=Y")</f>
        <v>#NAME?</v>
      </c>
      <c r="AM97" s="1" t="e">
        <f ca="1">_xll.BDH($C$78,"GEO_GROW_NET_SALES","FQ4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97" s="1" t="e">
        <f ca="1">_xll.BDH($C$78,"GEO_GROW_EBITDA","FQ4 2017","FQ4 2017","Currency=INR","Period=FQ","BEST_FPERIOD_OVERRIDE=FQ","FILING_STATUS=OR","EQY_CONSOLIDATED=Y","FA_ADJUSTED=GAAP","Sort=A","Dates=H","DateFormat=P","Fill=—","Direction=H","UseDPDF=Y")</f>
        <v>#NAME?</v>
      </c>
      <c r="AO97" s="1" t="e">
        <f ca="1">_xll.BDH($C$78,"GEO_GROW_OPER_INC","FQ4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97" s="1" t="e">
        <f ca="1">_xll.BDH($C$78,"NET_INCOME_TO_COMMON_5_YR_GROWTH","FQ4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97" s="1" t="e">
        <f ca="1">_xll.BDH($C$78,"5Y_GEO_GROWTH_DILUTED_EPS","FQ4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97" s="1" t="e">
        <f ca="1">_xll.BDH($C$78,"GEO_GROW_DVD_PER_SH","FQ4 2017","FQ4 2017","Currency=INR","Period=FQ","BEST_FPERIOD_OVERRIDE=FQ","FILING_STATUS=OR","EQY_CONSOLIDATED=Y","Sort=A","Dates=H","DateFormat=P","Fill=—","Direction=H","UseDPDF=Y")</f>
        <v>#NAME?</v>
      </c>
      <c r="AS97" s="1" t="e">
        <f ca="1">_xll.BDH($C$78,"ACCOUNTS_RECEIVABLE_5_YR_GROWTH","FQ4 2017","FQ4 2017","Currency=INR","Period=FQ","BEST_FPERIOD_OVERRIDE=FQ","FILING_STATUS=OR","EQY_CONSOLIDATED=Y","Sort=A","Dates=H","DateFormat=P","Fill=—","Direction=H","UseDPDF=Y")</f>
        <v>#NAME?</v>
      </c>
      <c r="AT97" s="1" t="e">
        <f ca="1">_xll.BDH($C$78,"INVENTORY_5_YEAR_GROWTH","FQ4 2017","FQ4 2017","Currency=INR","Period=FQ","BEST_FPERIOD_OVERRIDE=FQ","FILING_STATUS=OR","EQY_CONSOLIDATED=Y","Sort=A","Dates=H","DateFormat=P","Fill=—","Direction=H","UseDPDF=Y")</f>
        <v>#NAME?</v>
      </c>
      <c r="AU97" s="1" t="e">
        <f ca="1">_xll.BDH($C$78,"NET_FIXED_ASSETS_5_YEAR_GROWTH","FQ4 2017","FQ4 2017","Currency=INR","Period=FQ","BEST_FPERIOD_OVERRIDE=FQ","FILING_STATUS=OR","EQY_CONSOLIDATED=Y","Sort=A","Dates=H","DateFormat=P","Fill=—","Direction=H","UseDPDF=Y")</f>
        <v>#NAME?</v>
      </c>
      <c r="AV97" s="1" t="e">
        <f ca="1">_xll.BDH($C$78,"GEO_GROW_TOT_ASSET","FQ4 2017","FQ4 2017","Currency=INR","Period=FQ","BEST_FPERIOD_OVERRIDE=FQ","FILING_STATUS=OR","EQY_CONSOLIDATED=Y","Sort=A","Dates=H","DateFormat=P","Fill=—","Direction=H","UseDPDF=Y")</f>
        <v>#NAME?</v>
      </c>
      <c r="AW97" s="1" t="e">
        <f ca="1">_xll.BDH($C$78,"MODIFIED_WORKING_CPTL_5YR_GRWTH","FQ4 2017","FQ4 2017","Currency=INR","Period=FQ","BEST_FPERIOD_OVERRIDE=FQ","FILING_STATUS=OR","EQY_CONSOLIDATED=Y","Sort=A","Dates=H","DateFormat=P","Fill=—","Direction=H","UseDPDF=Y")</f>
        <v>#NAME?</v>
      </c>
      <c r="AX97" s="1" t="e">
        <f ca="1">_xll.BDH($C$78,"WORKING_CAPITAL_5_YEAR_GROWTH","FQ4 2017","FQ4 2017","Currency=INR","Period=FQ","BEST_FPERIOD_OVERRIDE=FQ","FILING_STATUS=OR","EQY_CONSOLIDATED=Y","Sort=A","Dates=H","DateFormat=P","Fill=—","Direction=H","UseDPDF=Y")</f>
        <v>#NAME?</v>
      </c>
      <c r="AY97" s="1" t="e">
        <f ca="1">_xll.BDH($C$78,"ACCOUNTS_PAYABLE_5_YEAR_GROWTH","FQ4 2017","FQ4 2017","Currency=INR","Period=FQ","BEST_FPERIOD_OVERRIDE=FQ","FILING_STATUS=OR","EQY_CONSOLIDATED=Y","Sort=A","Dates=H","DateFormat=P","Fill=—","Direction=H","UseDPDF=Y")</f>
        <v>#NAME?</v>
      </c>
      <c r="AZ97" s="1" t="e">
        <f ca="1">_xll.BDH($C$78,"SHORT_TERM_DEBT_5_YEAR_GROWTH","FQ4 2017","FQ4 2017","Currency=INR","Period=FQ","BEST_FPERIOD_OVERRIDE=FQ","FILING_STATUS=OR","EQY_CONSOLIDATED=Y","Sort=A","Dates=H","DateFormat=P","Fill=—","Direction=H","UseDPDF=Y")</f>
        <v>#NAME?</v>
      </c>
      <c r="BA97" s="1" t="e">
        <f ca="1">_xll.BDH($C$78,"TOTAL_DEBT_5_YEAR_GROWTH","FQ4 2017","FQ4 2017","Currency=INR","Period=FQ","BEST_FPERIOD_OVERRIDE=FQ","FILING_STATUS=OR","EQY_CONSOLIDATED=Y","Sort=A","Dates=H","DateFormat=P","Fill=—","Direction=H","UseDPDF=Y")</f>
        <v>#NAME?</v>
      </c>
      <c r="BB97" s="1" t="e">
        <f ca="1">_xll.BDH($C$78,"GEO_GROW_TOT_SHRHLDR_EQY","FQ4 2017","FQ4 2017","Currency=INR","Period=FQ","BEST_FPERIOD_OVERRIDE=FQ","FILING_STATUS=OR","EQY_CONSOLIDATED=Y","Sort=A","Dates=H","DateFormat=P","Fill=—","Direction=H","UseDPDF=Y")</f>
        <v>#NAME?</v>
      </c>
      <c r="BC97" s="1" t="e">
        <f ca="1">_xll.BDH($C$78,"TOTAL_CAPITAL_5_YEAR_GROWTH","FQ4 2017","FQ4 2017","Currency=INR","Period=FQ","BEST_FPERIOD_OVERRIDE=FQ","FILING_STATUS=OR","EQY_CONSOLIDATED=Y","Sort=A","Dates=H","DateFormat=P","Fill=—","Direction=H","UseDPDF=Y")</f>
        <v>#NAME?</v>
      </c>
      <c r="BD97" s="1" t="e">
        <f ca="1">_xll.BDH($C$78,"GEO_GROW_BOOK_VAL","FQ4 2017","FQ4 2017","Currency=INR","Period=FQ","BEST_FPERIOD_OVERRIDE=FQ","FILING_STATUS=OR","EQY_CONSOLIDATED=Y","Sort=A","Dates=H","DateFormat=P","Fill=—","Direction=H","UseDPDF=Y")</f>
        <v>#NAME?</v>
      </c>
      <c r="BE97" s="1" t="e">
        <f ca="1">_xll.BDH($C$78,"GEO_GROW_CASH_OPER_ACT","FQ4 2017","FQ4 2017","Currency=INR","Period=FQ","BEST_FPERIOD_OVERRIDE=FQ","FILING_STATUS=OR","EQY_CONSOLIDATED=Y","Sort=A","Dates=H","DateFormat=P","Fill=—","Direction=H","UseDPDF=Y")</f>
        <v>#NAME?</v>
      </c>
      <c r="BF97" s="1" t="e">
        <f ca="1">_xll.BDH($C$78,"REVENUE_SEQUENTIAL_GROWTH","FQ4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97" s="1" t="e">
        <f ca="1">_xll.BDH($C$78,"EBITDA_SEQUENTIAL_GROWTH","FQ4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97" s="1" t="e">
        <f ca="1">_xll.BDH($C$78,"OPERATING_INCOME_SEQ_GROWTH","FQ4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97" s="1" t="e">
        <f ca="1">_xll.BDH($C$78,"NET_INCOME_TO_COMMON_SEQ_GROWTH","FQ4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97" s="1" t="e">
        <f ca="1">_xll.BDH($C$78,"EPS_DILUTED_SEQUENTIAL_GROWTH","FQ4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97" s="1" t="e">
        <f ca="1">_xll.BDH($C$78,"DPS_SEQUENTIAL_GROWTH","FQ4 2017","FQ4 2017","Currency=INR","Period=FQ","BEST_FPERIOD_OVERRIDE=FQ","FILING_STATUS=OR","EQY_CONSOLIDATED=Y","Sort=A","Dates=H","DateFormat=P","Fill=—","Direction=H","UseDPDF=Y")</f>
        <v>#NAME?</v>
      </c>
      <c r="BL97" s="1" t="e">
        <f ca="1">_xll.BDH($C$78,"ACCOUNTS_RECEIVABLE_SEQ_GROWTH","FQ4 2017","FQ4 2017","Currency=INR","Period=FQ","BEST_FPERIOD_OVERRIDE=FQ","FILING_STATUS=OR","EQY_CONSOLIDATED=Y","Sort=A","Dates=H","DateFormat=P","Fill=—","Direction=H","UseDPDF=Y")</f>
        <v>#NAME?</v>
      </c>
      <c r="BM97" s="1" t="e">
        <f ca="1">_xll.BDH($C$78,"INVENTORY_SEQUENTIAL_GROWTH","FQ4 2017","FQ4 2017","Currency=INR","Period=FQ","BEST_FPERIOD_OVERRIDE=FQ","FILING_STATUS=OR","EQY_CONSOLIDATED=Y","Sort=A","Dates=H","DateFormat=P","Fill=—","Direction=H","UseDPDF=Y")</f>
        <v>#NAME?</v>
      </c>
      <c r="BN97" s="1" t="e">
        <f ca="1">_xll.BDH($C$78,"FIXED_ASSETS_SEQUENTIAL_GROWTH","FQ4 2017","FQ4 2017","Currency=INR","Period=FQ","BEST_FPERIOD_OVERRIDE=FQ","FILING_STATUS=OR","EQY_CONSOLIDATED=Y","Sort=A","Dates=H","DateFormat=P","Fill=—","Direction=H","UseDPDF=Y")</f>
        <v>#NAME?</v>
      </c>
      <c r="BO97" s="1" t="e">
        <f ca="1">_xll.BDH($C$78,"TOTAL_ASSETS_SEQUENTIAL_GROWTH","FQ4 2017","FQ4 2017","Currency=INR","Period=FQ","BEST_FPERIOD_OVERRIDE=FQ","FILING_STATUS=OR","EQY_CONSOLIDATED=Y","Sort=A","Dates=H","DateFormat=P","Fill=—","Direction=H","UseDPDF=Y")</f>
        <v>#NAME?</v>
      </c>
      <c r="BP97" s="1" t="e">
        <f ca="1">_xll.BDH($C$78,"MODIFIED_WORKING_CPTL_SEQ_GRWTH","FQ4 2017","FQ4 2017","Currency=INR","Period=FQ","BEST_FPERIOD_OVERRIDE=FQ","FILING_STATUS=OR","EQY_CONSOLIDATED=Y","Sort=A","Dates=H","DateFormat=P","Fill=—","Direction=H","UseDPDF=Y")</f>
        <v>#NAME?</v>
      </c>
      <c r="BQ97" s="1" t="e">
        <f ca="1">_xll.BDH($C$78,"WORKING_CAPITAL_SEQ_GROWTH","FQ4 2017","FQ4 2017","Currency=INR","Period=FQ","BEST_FPERIOD_OVERRIDE=FQ","FILING_STATUS=OR","EQY_CONSOLIDATED=Y","Sort=A","Dates=H","DateFormat=P","Fill=—","Direction=H","UseDPDF=Y")</f>
        <v>#NAME?</v>
      </c>
      <c r="BR97" s="1" t="e">
        <f ca="1">_xll.BDH($C$78,"ACCOUNTS_PAYABLE_SEQ_GROWTH","FQ4 2017","FQ4 2017","Currency=INR","Period=FQ","BEST_FPERIOD_OVERRIDE=FQ","FILING_STATUS=OR","EQY_CONSOLIDATED=Y","Sort=A","Dates=H","DateFormat=P","Fill=—","Direction=H","UseDPDF=Y")</f>
        <v>#NAME?</v>
      </c>
      <c r="BS97" s="1" t="e">
        <f ca="1">_xll.BDH($C$78,"ST_DEBT_SEQUENTIAL_GROWTH","FQ4 2017","FQ4 2017","Currency=INR","Period=FQ","BEST_FPERIOD_OVERRIDE=FQ","FILING_STATUS=OR","EQY_CONSOLIDATED=Y","Sort=A","Dates=H","DateFormat=P","Fill=—","Direction=H","UseDPDF=Y")</f>
        <v>#NAME?</v>
      </c>
      <c r="BT97" s="1" t="e">
        <f ca="1">_xll.BDH($C$78,"TOTAL_DEBT_SEQUENTIAL_GROWTH","FQ4 2017","FQ4 2017","Currency=INR","Period=FQ","BEST_FPERIOD_OVERRIDE=FQ","FILING_STATUS=OR","EQY_CONSOLIDATED=Y","Sort=A","Dates=H","DateFormat=P","Fill=—","Direction=H","UseDPDF=Y")</f>
        <v>#NAME?</v>
      </c>
      <c r="BU97" s="1" t="e">
        <f ca="1">_xll.BDH($C$78,"TOTAL_EQUITY_SEQUENTIAL_GROWTH","FQ4 2017","FQ4 2017","Currency=INR","Period=FQ","BEST_FPERIOD_OVERRIDE=FQ","FILING_STATUS=OR","EQY_CONSOLIDATED=Y","Sort=A","Dates=H","DateFormat=P","Fill=—","Direction=H","UseDPDF=Y")</f>
        <v>#NAME?</v>
      </c>
      <c r="BV97" s="1" t="e">
        <f ca="1">_xll.BDH($C$78,"TOTAL_CAPITAL_SEQUENTIAL_GROWTH","FQ4 2017","FQ4 2017","Currency=INR","Period=FQ","BEST_FPERIOD_OVERRIDE=FQ","FILING_STATUS=OR","EQY_CONSOLIDATED=Y","Sort=A","Dates=H","DateFormat=P","Fill=—","Direction=H","UseDPDF=Y")</f>
        <v>#NAME?</v>
      </c>
      <c r="BW97" s="1" t="e">
        <f ca="1">_xll.BDH($C$78,"BPS_SEQUENTIAL_GROWTH","FQ4 2017","FQ4 2017","Currency=INR","Period=FQ","BEST_FPERIOD_OVERRIDE=FQ","FILING_STATUS=OR","EQY_CONSOLIDATED=Y","Sort=A","Dates=H","DateFormat=P","Fill=—","Direction=H","UseDPDF=Y")</f>
        <v>#NAME?</v>
      </c>
      <c r="BX97" s="1" t="e">
        <f ca="1">_xll.BDH($C$78,"CFO_SEQUENTIAL_GROWTH","FQ4 2017","FQ4 2017","Currency=INR","Period=FQ","BEST_FPERIOD_OVERRIDE=FQ","FILING_STATUS=OR","EQY_CONSOLIDATED=Y","Sort=A","Dates=H","DateFormat=P","Fill=—","Direction=H","UseDPDF=Y")</f>
        <v>#NAME?</v>
      </c>
      <c r="BY97" s="2" t="e">
        <f ca="1">_xll.BDH($C$78,"SHORT_AND_LONG_TERM_DEBT","FQ4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97" s="2" t="e">
        <f ca="1">_xll.BDH($C$78,"BS_ST_BORROW","FQ4 2017","FQ4 2017","Currency=INR","Period=FQ","BEST_FPERIOD_OVERRIDE=FQ","FILING_STATUS=OR","EQY_CONSOLIDATED=Y","SCALING_FORMAT=MLN","Sort=A","Dates=H","DateFormat=P","Fill=—","Direction=H","UseDPDF=Y")</f>
        <v>#NAME?</v>
      </c>
      <c r="CA97" s="2" t="e">
        <f ca="1">_xll.BDH($C$78,"BS_LT_BORROW","FQ4 2017","FQ4 2017","Currency=INR","Period=FQ","BEST_FPERIOD_OVERRIDE=FQ","FILING_STATUS=OR","EQY_CONSOLIDATED=Y","SCALING_FORMAT=MLN","Sort=A","Dates=H","DateFormat=P","Fill=—","Direction=H","UseDPDF=Y")</f>
        <v>#NAME?</v>
      </c>
      <c r="CB97" s="1" t="e">
        <f ca="1">_xll.BDH($C$78,"TOT_DEBT_TO_EBITDA","FQ4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97" s="1" t="e">
        <f ca="1">_xll.BDH($C$78,"NET_DEBT_TO_EBITDA","FQ4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97" s="1" t="e">
        <f ca="1">_xll.BDH($C$78,"TOTAL_DEBT_TO_EBIT","FQ4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97" s="1" t="e">
        <f ca="1">_xll.BDH($C$78,"NET_DEBT_TO_EBIT","FQ4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97" s="1" t="e">
        <f ca="1">_xll.BDH($C$78,"EBITDA_TO_INTEREST_EXPN","FQ4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97" s="1" t="e">
        <f ca="1">_xll.BDH($C$78,"COM_EQY_TO_TOT_ASSET","FQ4 2017","FQ4 2017","Currency=INR","Period=FQ","BEST_FPERIOD_OVERRIDE=FQ","FILING_STATUS=OR","EQY_CONSOLIDATED=Y","Sort=A","Dates=H","DateFormat=P","Fill=—","Direction=H","UseDPDF=Y")</f>
        <v>#NAME?</v>
      </c>
      <c r="CH97" s="1" t="e">
        <f ca="1">_xll.BDH($C$78,"LT_DEBT_TO_TOT_EQY","FQ4 2017","FQ4 2017","Currency=INR","Period=FQ","BEST_FPERIOD_OVERRIDE=FQ","FILING_STATUS=OR","EQY_CONSOLIDATED=Y","Sort=A","Dates=H","DateFormat=P","Fill=—","Direction=H","UseDPDF=Y")</f>
        <v>#NAME?</v>
      </c>
      <c r="CI97" s="1" t="e">
        <f ca="1">_xll.BDH($C$78,"LT_DEBT_TO_TOT_CAP","FQ4 2017","FQ4 2017","Currency=INR","Period=FQ","BEST_FPERIOD_OVERRIDE=FQ","FILING_STATUS=OR","EQY_CONSOLIDATED=Y","Sort=A","Dates=H","DateFormat=P","Fill=—","Direction=H","UseDPDF=Y")</f>
        <v>#NAME?</v>
      </c>
      <c r="CJ97" s="1" t="e">
        <f ca="1">_xll.BDH($C$78,"LT_DEBT_TO_TOT_ASSET","FQ4 2017","FQ4 2017","Currency=INR","Period=FQ","BEST_FPERIOD_OVERRIDE=FQ","FILING_STATUS=OR","EQY_CONSOLIDATED=Y","Sort=A","Dates=H","DateFormat=P","Fill=—","Direction=H","UseDPDF=Y")</f>
        <v>#NAME?</v>
      </c>
      <c r="CK97" s="1" t="e">
        <f ca="1">_xll.BDH($C$78,"TOT_DEBT_TO_TOT_EQY","FQ4 2017","FQ4 2017","Currency=INR","Period=FQ","BEST_FPERIOD_OVERRIDE=FQ","FILING_STATUS=OR","EQY_CONSOLIDATED=Y","Sort=A","Dates=H","DateFormat=P","Fill=—","Direction=H","UseDPDF=Y")</f>
        <v>#NAME?</v>
      </c>
      <c r="CL97" s="1" t="e">
        <f ca="1">_xll.BDH($C$78,"TOT_DEBT_TO_TOT_CAP","FQ4 2017","FQ4 2017","Currency=INR","Period=FQ","BEST_FPERIOD_OVERRIDE=FQ","FILING_STATUS=OR","EQY_CONSOLIDATED=Y","Sort=A","Dates=H","DateFormat=P","Fill=—","Direction=H","UseDPDF=Y")</f>
        <v>#NAME?</v>
      </c>
      <c r="CM97" s="1" t="e">
        <f ca="1">_xll.BDH($C$78,"TOT_DEBT_TO_TOT_ASSET","FQ4 2017","FQ4 2017","Currency=INR","Period=FQ","BEST_FPERIOD_OVERRIDE=FQ","FILING_STATUS=OR","EQY_CONSOLIDATED=Y","Sort=A","Dates=H","DateFormat=P","Fill=—","Direction=H","UseDPDF=Y")</f>
        <v>#NAME?</v>
      </c>
      <c r="CN97" s="1" t="e">
        <f ca="1">_xll.BDH($C$78,"NET_DEBT_TO_SHRHLDR_EQTY","FQ4 2017","FQ4 2017","Currency=INR","Period=FQ","BEST_FPERIOD_OVERRIDE=FQ","FILING_STATUS=OR","EQY_CONSOLIDATED=Y","Sort=A","Dates=H","DateFormat=P","Fill=—","Direction=H","UseDPDF=Y")</f>
        <v>#NAME?</v>
      </c>
      <c r="CO97" s="1" t="e">
        <f ca="1">_xll.BDH($C$78,"NET_DEBT_%_CAPITAL","FQ4 2017","FQ4 2017","Currency=INR","Period=FQ","BEST_FPERIOD_OVERRIDE=FQ","FILING_STATUS=OR","EQY_CONSOLIDATED=Y","Sort=A","Dates=H","DateFormat=P","Fill=—","Direction=H","UseDPDF=Y")</f>
        <v>#NAME?</v>
      </c>
      <c r="CP97" s="2" t="e">
        <f ca="1">_xll.BDH($C$78,"EBITDA","FQ4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97" s="2" t="e">
        <f ca="1">_xll.BDH($C$78,"EBITDA_AFTER_CAPEX","FQ4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97" s="2" t="e">
        <f ca="1">_xll.BDH($C$78,"IS_OPER_INC","FQ4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97" s="1" t="e">
        <f ca="1">_xll.BDH($C$78,"CASH_RATIO","FQ4 2017","FQ4 2017","Currency=INR","Period=FQ","BEST_FPERIOD_OVERRIDE=FQ","FILING_STATUS=OR","EQY_CONSOLIDATED=Y","Sort=A","Dates=H","DateFormat=P","Fill=—","Direction=H","UseDPDF=Y")</f>
        <v>#NAME?</v>
      </c>
      <c r="CT97" s="1" t="e">
        <f ca="1">_xll.BDH($C$78,"CUR_RATIO","FQ4 2017","FQ4 2017","Currency=INR","Period=FQ","BEST_FPERIOD_OVERRIDE=FQ","FILING_STATUS=OR","EQY_CONSOLIDATED=Y","Sort=A","Dates=H","DateFormat=P","Fill=—","Direction=H","UseDPDF=Y")</f>
        <v>#NAME?</v>
      </c>
      <c r="CU97" s="1" t="e">
        <f ca="1">_xll.BDH($C$78,"QUICK_RATIO","FQ4 2017","FQ4 2017","Currency=INR","Period=FQ","BEST_FPERIOD_OVERRIDE=FQ","FILING_STATUS=OR","EQY_CONSOLIDATED=Y","Sort=A","Dates=H","DateFormat=P","Fill=—","Direction=H","UseDPDF=Y")</f>
        <v>#NAME?</v>
      </c>
      <c r="CV97" s="1" t="e">
        <f ca="1">_xll.BDH($C$78,"ALTMAN_Z_SCORE","FQ4 2017","FQ4 2017","Currency=INR","Period=FQ","BEST_FPERIOD_OVERRIDE=FQ","FILING_STATUS=OR","EQY_CONSOLIDATED=Y","Sort=A","Dates=H","DateFormat=P","Fill=—","Direction=H","UseDPDF=Y")</f>
        <v>#NAME?</v>
      </c>
      <c r="CW97" s="3" t="e">
        <f ca="1">_xll.BDH($C$78,"ACCT_RCV_TURN","FQ4 2017","FQ4 2017","Currency=INR","Period=FQ","BEST_FPERIOD_OVERRIDE=FQ","FILING_STATUS=OR","EQY_CONSOLIDATED=Y","FA_ADJUSTED=GAAP","Sort=A","Dates=H","DateFormat=P","Fill=—","Direction=H","UseDPDF=Y")</f>
        <v>#NAME?</v>
      </c>
      <c r="CX97" s="1" t="e">
        <f ca="1">_xll.BDH($C$78,"ACCT_RCV_DAYS","FQ4 2017","FQ4 2017","Currency=INR","Period=FQ","BEST_FPERIOD_OVERRIDE=FQ","FILING_STATUS=OR","EQY_CONSOLIDATED=Y","FA_ADJUSTED=GAAP","Sort=A","Dates=H","DateFormat=P","Fill=—","Direction=H","UseDPDF=Y")</f>
        <v>#NAME?</v>
      </c>
      <c r="CY97" s="3" t="e">
        <f ca="1">_xll.BDH($C$78,"INVENT_TURN","FQ4 2017","FQ4 2017","Currency=INR","Period=FQ","BEST_FPERIOD_OVERRIDE=FQ","FILING_STATUS=OR","EQY_CONSOLIDATED=Y","FA_ADJUSTED=GAAP","Sort=A","Dates=H","DateFormat=P","Fill=—","Direction=H","UseDPDF=Y")</f>
        <v>#NAME?</v>
      </c>
      <c r="CZ97" s="1" t="e">
        <f ca="1">_xll.BDH($C$78,"INVENT_DAYS","FQ4 2017","FQ4 2017","Currency=INR","Period=FQ","BEST_FPERIOD_OVERRIDE=FQ","FILING_STATUS=OR","EQY_CONSOLIDATED=Y","FA_ADJUSTED=GAAP","Sort=A","Dates=H","DateFormat=P","Fill=—","Direction=H","UseDPDF=Y")</f>
        <v>#NAME?</v>
      </c>
      <c r="DA97" s="3" t="e">
        <f ca="1">_xll.BDH($C$78,"ACCOUNTS_PAYABLE_TURNOVER","FQ4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97" s="1" t="e">
        <f ca="1">_xll.BDH($C$78,"ACCOUNTS_PAYABLE_TURNOVER_DAYS","FQ4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97" s="3" t="e">
        <f ca="1">_xll.BDH($C$78,"CASH_CONVERSION_CYCLE","FQ4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97" s="3" t="e">
        <f ca="1">_xll.BDH($C$78,"INV_TO_CASH_DAYS","FQ4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97" s="4" t="e">
        <f ca="1">_xll.BDH($C$78,"BS_INVENTORIES","FQ4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97" s="2" t="e">
        <f ca="1">_xll.BDH($C$78,"INVTRY_RAW_MATERIALS","FQ4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97" s="2" t="e">
        <f ca="1">_xll.BDH($C$78,"INVTRY_IN_PROGRESS","FQ4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97" s="2" t="e">
        <f ca="1">_xll.BDH($C$78,"INVTRY_FINISHED_GOODS","FQ4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97" s="2" t="e">
        <f ca="1">_xll.BDH($C$78,"BS_OTHER_INV","FQ4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98" spans="1:113" x14ac:dyDescent="0.3">
      <c r="A98" s="6"/>
      <c r="B98" s="6"/>
      <c r="C98" s="6"/>
      <c r="D98" s="6" t="s">
        <v>11</v>
      </c>
      <c r="E98" t="s">
        <v>3</v>
      </c>
      <c r="F98" t="e">
        <f ca="1">_xll.BDH($C$78,"RETURN_COM_EQY","FY 2018","FY 2018","Currency=INR","Period=FY","BEST_FPERIOD_OVERRIDE=FY","FILING_STATUS=OR","EQY_CONSOLIDATED=Y","FA_ADJUSTED=GAAP","Sort=A","Dates=H","DateFormat=P","Fill=—","Direction=H","UseDPDF=Y")</f>
        <v>#NAME?</v>
      </c>
      <c r="G98" t="e">
        <f ca="1">_xll.BDH($C$78,"RETURN_ON_ASSET","FY 2018","FY 2018","Currency=INR","Period=FY","BEST_FPERIOD_OVERRIDE=FY","FILING_STATUS=OR","EQY_CONSOLIDATED=Y","FA_ADJUSTED=GAAP","Sort=A","Dates=H","DateFormat=P","Fill=—","Direction=H","UseDPDF=Y")</f>
        <v>#NAME?</v>
      </c>
      <c r="H98" t="e">
        <f ca="1">_xll.BDH($C$78,"RETURN_ON_CAP","FY 2018","FY 2018","Currency=INR","Period=FY","BEST_FPERIOD_OVERRIDE=FY","FILING_STATUS=OR","EQY_CONSOLIDATED=Y","FA_ADJUSTED=GAAP","Sort=A","Dates=H","DateFormat=P","Fill=—","Direction=H","UseDPDF=Y")</f>
        <v>#NAME?</v>
      </c>
      <c r="I98" t="e">
        <f ca="1">_xll.BDH($C$78,"RETURN_ON_INV_CAPITAL","FY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98" t="e">
        <f ca="1">_xll.BDH($C$78,"EBITDA_TO_REVENUE","FY 2018","FY 2018","Currency=INR","Period=FY","BEST_FPERIOD_OVERRIDE=FY","FILING_STATUS=OR","EQY_CONSOLIDATED=Y","FA_ADJUSTED=GAAP","Sort=A","Dates=H","DateFormat=P","Fill=—","Direction=H","UseDPDF=Y")</f>
        <v>#NAME?</v>
      </c>
      <c r="K98" t="e">
        <f ca="1">_xll.BDH($C$78,"OPER_MARGIN","FY 2018","FY 2018","Currency=INR","Period=FY","BEST_FPERIOD_OVERRIDE=FY","FILING_STATUS=OR","EQY_CONSOLIDATED=Y","FA_ADJUSTED=GAAP","Sort=A","Dates=H","DateFormat=P","Fill=—","Direction=H","UseDPDF=Y")</f>
        <v>#NAME?</v>
      </c>
      <c r="L98" t="e">
        <f ca="1">_xll.BDH($C$78,"INCREMENTAL_OPERATING_MARGIN","FY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98" t="e">
        <f ca="1">_xll.BDH($C$78,"PRETAX_INC_TO_NET_SALES","FY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98" t="e">
        <f ca="1">_xll.BDH($C$78,"INC_BEF_XO_ITEMS_TO_NET_SALES","FY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98" t="e">
        <f ca="1">_xll.BDH($C$78,"PROF_MARGIN","FY 2018","FY 2018","Currency=INR","Period=FY","BEST_FPERIOD_OVERRIDE=FY","FILING_STATUS=OR","EQY_CONSOLIDATED=Y","FA_ADJUSTED=GAAP","Sort=A","Dates=H","DateFormat=P","Fill=—","Direction=H","UseDPDF=Y")</f>
        <v>#NAME?</v>
      </c>
      <c r="P98" t="e">
        <f ca="1">_xll.BDH($C$78,"NET_INCOME_TO_COMMON_MARGIN","FY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98" t="e">
        <f ca="1">_xll.BDH($C$78,"EFF_TAX_RATE","FY 2018","FY 2018","Currency=INR","Period=FY","BEST_FPERIOD_OVERRIDE=FY","FILING_STATUS=OR","EQY_CONSOLIDATED=Y","FA_ADJUSTED=GAAP","Sort=A","Dates=H","DateFormat=P","Fill=—","Direction=H","UseDPDF=Y")</f>
        <v>#NAME?</v>
      </c>
      <c r="R98" t="e">
        <f ca="1">_xll.BDH($C$78,"DVD_PAYOUT_RATIO","FY 2018","FY 2018","Currency=INR","Period=FY","BEST_FPERIOD_OVERRIDE=FY","FILING_STATUS=OR","EQY_CONSOLIDATED=Y","FA_ADJUSTED=GAAP","Sort=A","Dates=H","DateFormat=P","Fill=—","Direction=H","UseDPDF=Y")</f>
        <v>#NAME?</v>
      </c>
      <c r="S98" t="e">
        <f ca="1">_xll.BDH($C$78,"SUSTAIN_GROWTH_RT","FY 2018","FY 2018","Currency=INR","Period=FY","BEST_FPERIOD_OVERRIDE=FY","FILING_STATUS=OR","EQY_CONSOLIDATED=Y","FA_ADJUSTED=GAAP","Sort=A","Dates=H","DateFormat=P","Fill=—","Direction=H","UseDPDF=Y")</f>
        <v>#NAME?</v>
      </c>
      <c r="T98" s="1" t="e">
        <f ca="1">_xll.BDH($C$78,"SALES_GROWTH","FY 2018","FY 2018","Currency=INR","Period=FY","BEST_FPERIOD_OVERRIDE=FY","FILING_STATUS=OR","EQY_CONSOLIDATED=Y","FA_ADJUSTED=GAAP","Sort=A","Dates=H","DateFormat=P","Fill=—","Direction=H","UseDPDF=Y")</f>
        <v>#NAME?</v>
      </c>
      <c r="U98" s="1" t="e">
        <f ca="1">_xll.BDH($C$78,"EBITDA_GROWTH","FY 2018","FY 2018","Currency=INR","Period=FY","BEST_FPERIOD_OVERRIDE=FY","FILING_STATUS=OR","EQY_CONSOLIDATED=Y","FA_ADJUSTED=GAAP","Sort=A","Dates=H","DateFormat=P","Fill=—","Direction=H","UseDPDF=Y")</f>
        <v>#NAME?</v>
      </c>
      <c r="V98" s="1" t="e">
        <f ca="1">_xll.BDH($C$78,"OPER_INC_GROWTH","FY 2018","FY 2018","Currency=INR","Period=FY","BEST_FPERIOD_OVERRIDE=FY","FILING_STATUS=OR","EQY_CONSOLIDATED=Y","FA_ADJUSTED=GAAP","Sort=A","Dates=H","DateFormat=P","Fill=—","Direction=H","UseDPDF=Y")</f>
        <v>#NAME?</v>
      </c>
      <c r="W98" s="1" t="e">
        <f ca="1">_xll.BDH($C$78,"EARN_FOR_COM_GROWTH","FY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98" s="1" t="e">
        <f ca="1">_xll.BDH($C$78,"DILUTED_EPS_AFT_XO_ITEMS_GROWTH","FY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98" s="1" t="e">
        <f ca="1">_xll.BDH($C$78,"DIVIDEND_PER_SHARE_1_YEAR_GROWTH","FY 2018","FY 2018","Currency=INR","Period=FY","BEST_FPERIOD_OVERRIDE=FY","FILING_STATUS=OR","EQY_CONSOLIDATED=Y","Sort=A","Dates=H","DateFormat=P","Fill=—","Direction=H","UseDPDF=Y")</f>
        <v>#NAME?</v>
      </c>
      <c r="Z98" s="1" t="e">
        <f ca="1">_xll.BDH($C$78,"ACCOUNTS_RECEIVABLE_GROWTH","FY 2018","FY 2018","Currency=INR","Period=FY","BEST_FPERIOD_OVERRIDE=FY","FILING_STATUS=OR","EQY_CONSOLIDATED=Y","Sort=A","Dates=H","DateFormat=P","Fill=—","Direction=H","UseDPDF=Y")</f>
        <v>#NAME?</v>
      </c>
      <c r="AA98" s="1" t="e">
        <f ca="1">_xll.BDH($C$78,"INVENTORY_GROWTH","FY 2018","FY 2018","Currency=INR","Period=FY","BEST_FPERIOD_OVERRIDE=FY","FILING_STATUS=OR","EQY_CONSOLIDATED=Y","Sort=A","Dates=H","DateFormat=P","Fill=—","Direction=H","UseDPDF=Y")</f>
        <v>#NAME?</v>
      </c>
      <c r="AB98" s="1" t="e">
        <f ca="1">_xll.BDH($C$78,"NET_FIXED_ASSETS_1_YEAR_GROWTH","FY 2018","FY 2018","Currency=INR","Period=FY","BEST_FPERIOD_OVERRIDE=FY","FILING_STATUS=OR","EQY_CONSOLIDATED=Y","Sort=A","Dates=H","DateFormat=P","Fill=—","Direction=H","UseDPDF=Y")</f>
        <v>#NAME?</v>
      </c>
      <c r="AC98" s="1" t="e">
        <f ca="1">_xll.BDH($C$78,"ASSET_GROWTH","FY 2018","FY 2018","Currency=INR","Period=FY","BEST_FPERIOD_OVERRIDE=FY","FILING_STATUS=OR","EQY_CONSOLIDATED=Y","Sort=A","Dates=H","DateFormat=P","Fill=—","Direction=H","UseDPDF=Y")</f>
        <v>#NAME?</v>
      </c>
      <c r="AD98" s="1" t="e">
        <f ca="1">_xll.BDH($C$78,"MODIFIED_WORK_CAP_GROWTH","FY 2018","FY 2018","Currency=INR","Period=FY","BEST_FPERIOD_OVERRIDE=FY","FILING_STATUS=OR","EQY_CONSOLIDATED=Y","Sort=A","Dates=H","DateFormat=P","Fill=—","Direction=H","UseDPDF=Y")</f>
        <v>#NAME?</v>
      </c>
      <c r="AE98" s="1" t="e">
        <f ca="1">_xll.BDH($C$78,"WORK_CAP_GROWTH","FY 2018","FY 2018","Currency=INR","Period=FY","BEST_FPERIOD_OVERRIDE=FY","FILING_STATUS=OR","EQY_CONSOLIDATED=Y","Sort=A","Dates=H","DateFormat=P","Fill=—","Direction=H","UseDPDF=Y")</f>
        <v>#NAME?</v>
      </c>
      <c r="AF98" s="1" t="e">
        <f ca="1">_xll.BDH($C$78,"ACCOUNTS_PAYABLE_GROWTH_1YR","FY 2018","FY 2018","Currency=INR","Period=FY","BEST_FPERIOD_OVERRIDE=FY","FILING_STATUS=OR","EQY_CONSOLIDATED=Y","Sort=A","Dates=H","DateFormat=P","Fill=—","Direction=H","UseDPDF=Y")</f>
        <v>#NAME?</v>
      </c>
      <c r="AG98" s="1" t="e">
        <f ca="1">_xll.BDH($C$78,"SHORT_TERM_DEBT_1_YEAR_GROWTH","FY 2018","FY 2018","Currency=INR","Period=FY","BEST_FPERIOD_OVERRIDE=FY","FILING_STATUS=OR","EQY_CONSOLIDATED=Y","Sort=A","Dates=H","DateFormat=P","Fill=—","Direction=H","UseDPDF=Y")</f>
        <v>#NAME?</v>
      </c>
      <c r="AH98" s="1" t="e">
        <f ca="1">_xll.BDH($C$78,"TOTAL_DEBT_1_YEAR_GROWTH","FY 2018","FY 2018","Currency=INR","Period=FY","BEST_FPERIOD_OVERRIDE=FY","FILING_STATUS=OR","EQY_CONSOLIDATED=Y","Sort=A","Dates=H","DateFormat=P","Fill=—","Direction=H","UseDPDF=Y")</f>
        <v>#NAME?</v>
      </c>
      <c r="AI98" s="1" t="e">
        <f ca="1">_xll.BDH($C$78,"TOTAL_EQUITY_1_YEAR_GROWTH","FY 2018","FY 2018","Currency=INR","Period=FY","BEST_FPERIOD_OVERRIDE=FY","FILING_STATUS=OR","EQY_CONSOLIDATED=Y","Sort=A","Dates=H","DateFormat=P","Fill=—","Direction=H","UseDPDF=Y")</f>
        <v>#NAME?</v>
      </c>
      <c r="AJ98" s="1" t="e">
        <f ca="1">_xll.BDH($C$78,"GROWTH_IN_CAP","FY 2018","FY 2018","Currency=INR","Period=FY","BEST_FPERIOD_OVERRIDE=FY","FILING_STATUS=OR","EQY_CONSOLIDATED=Y","Sort=A","Dates=H","DateFormat=P","Fill=—","Direction=H","UseDPDF=Y")</f>
        <v>#NAME?</v>
      </c>
      <c r="AK98" s="1" t="e">
        <f ca="1">_xll.BDH($C$78,"BVPS_GROWTH","FY 2018","FY 2018","Currency=INR","Period=FY","BEST_FPERIOD_OVERRIDE=FY","FILING_STATUS=OR","EQY_CONSOLIDATED=Y","Sort=A","Dates=H","DateFormat=P","Fill=—","Direction=H","UseDPDF=Y")</f>
        <v>#NAME?</v>
      </c>
      <c r="AL98" s="1" t="e">
        <f ca="1">_xll.BDH($C$78,"CASH_FLOW_GROWTH","FY 2018","FY 2018","Currency=INR","Period=FY","BEST_FPERIOD_OVERRIDE=FY","FILING_STATUS=OR","EQY_CONSOLIDATED=Y","Sort=A","Dates=H","DateFormat=P","Fill=—","Direction=H","UseDPDF=Y")</f>
        <v>#NAME?</v>
      </c>
      <c r="AM98" s="1" t="e">
        <f ca="1">_xll.BDH($C$78,"GEO_GROW_NET_SALES","FY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98" s="1" t="e">
        <f ca="1">_xll.BDH($C$78,"GEO_GROW_EBITDA","FY 2018","FY 2018","Currency=INR","Period=FY","BEST_FPERIOD_OVERRIDE=FY","FILING_STATUS=OR","EQY_CONSOLIDATED=Y","FA_ADJUSTED=GAAP","Sort=A","Dates=H","DateFormat=P","Fill=—","Direction=H","UseDPDF=Y")</f>
        <v>#NAME?</v>
      </c>
      <c r="AO98" s="1" t="e">
        <f ca="1">_xll.BDH($C$78,"GEO_GROW_OPER_INC","FY 2018","FY 2018","Currency=INR","Period=FY","BEST_FPERIOD_OVERRIDE=FY","FILING_STATUS=OR","EQY_CONSOLIDATED=Y","FA_ADJUSTED=GAAP","Sort=A","Dates=H","DateFormat=P","Fill=—","Direction=H","UseDPDF=Y")</f>
        <v>#NAME?</v>
      </c>
      <c r="AP98" s="1" t="e">
        <f ca="1">_xll.BDH($C$78,"NET_INCOME_TO_COMMON_5_YR_GROWTH","FY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98" s="1" t="e">
        <f ca="1">_xll.BDH($C$78,"5Y_GEO_GROWTH_DILUTED_EPS","FY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98" s="1" t="e">
        <f ca="1">_xll.BDH($C$78,"GEO_GROW_DVD_PER_SH","FY 2018","FY 2018","Currency=INR","Period=FY","BEST_FPERIOD_OVERRIDE=FY","FILING_STATUS=OR","EQY_CONSOLIDATED=Y","Sort=A","Dates=H","DateFormat=P","Fill=—","Direction=H","UseDPDF=Y")</f>
        <v>#NAME?</v>
      </c>
      <c r="AS98" s="1" t="e">
        <f ca="1">_xll.BDH($C$78,"ACCOUNTS_RECEIVABLE_5_YR_GROWTH","FY 2018","FY 2018","Currency=INR","Period=FY","BEST_FPERIOD_OVERRIDE=FY","FILING_STATUS=OR","EQY_CONSOLIDATED=Y","Sort=A","Dates=H","DateFormat=P","Fill=—","Direction=H","UseDPDF=Y")</f>
        <v>#NAME?</v>
      </c>
      <c r="AT98" s="1" t="e">
        <f ca="1">_xll.BDH($C$78,"INVENTORY_5_YEAR_GROWTH","FY 2018","FY 2018","Currency=INR","Period=FY","BEST_FPERIOD_OVERRIDE=FY","FILING_STATUS=OR","EQY_CONSOLIDATED=Y","Sort=A","Dates=H","DateFormat=P","Fill=—","Direction=H","UseDPDF=Y")</f>
        <v>#NAME?</v>
      </c>
      <c r="AU98" s="1" t="e">
        <f ca="1">_xll.BDH($C$78,"NET_FIXED_ASSETS_5_YEAR_GROWTH","FY 2018","FY 2018","Currency=INR","Period=FY","BEST_FPERIOD_OVERRIDE=FY","FILING_STATUS=OR","EQY_CONSOLIDATED=Y","Sort=A","Dates=H","DateFormat=P","Fill=—","Direction=H","UseDPDF=Y")</f>
        <v>#NAME?</v>
      </c>
      <c r="AV98" s="1" t="e">
        <f ca="1">_xll.BDH($C$78,"GEO_GROW_TOT_ASSET","FY 2018","FY 2018","Currency=INR","Period=FY","BEST_FPERIOD_OVERRIDE=FY","FILING_STATUS=OR","EQY_CONSOLIDATED=Y","Sort=A","Dates=H","DateFormat=P","Fill=—","Direction=H","UseDPDF=Y")</f>
        <v>#NAME?</v>
      </c>
      <c r="AW98" s="1" t="e">
        <f ca="1">_xll.BDH($C$78,"MODIFIED_WORKING_CPTL_5YR_GRWTH","FY 2018","FY 2018","Currency=INR","Period=FY","BEST_FPERIOD_OVERRIDE=FY","FILING_STATUS=OR","EQY_CONSOLIDATED=Y","Sort=A","Dates=H","DateFormat=P","Fill=—","Direction=H","UseDPDF=Y")</f>
        <v>#NAME?</v>
      </c>
      <c r="AX98" s="1" t="e">
        <f ca="1">_xll.BDH($C$78,"WORKING_CAPITAL_5_YEAR_GROWTH","FY 2018","FY 2018","Currency=INR","Period=FY","BEST_FPERIOD_OVERRIDE=FY","FILING_STATUS=OR","EQY_CONSOLIDATED=Y","Sort=A","Dates=H","DateFormat=P","Fill=—","Direction=H","UseDPDF=Y")</f>
        <v>#NAME?</v>
      </c>
      <c r="AY98" s="1" t="e">
        <f ca="1">_xll.BDH($C$78,"ACCOUNTS_PAYABLE_5_YEAR_GROWTH","FY 2018","FY 2018","Currency=INR","Period=FY","BEST_FPERIOD_OVERRIDE=FY","FILING_STATUS=OR","EQY_CONSOLIDATED=Y","Sort=A","Dates=H","DateFormat=P","Fill=—","Direction=H","UseDPDF=Y")</f>
        <v>#NAME?</v>
      </c>
      <c r="AZ98" s="1" t="e">
        <f ca="1">_xll.BDH($C$78,"SHORT_TERM_DEBT_5_YEAR_GROWTH","FY 2018","FY 2018","Currency=INR","Period=FY","BEST_FPERIOD_OVERRIDE=FY","FILING_STATUS=OR","EQY_CONSOLIDATED=Y","Sort=A","Dates=H","DateFormat=P","Fill=—","Direction=H","UseDPDF=Y")</f>
        <v>#NAME?</v>
      </c>
      <c r="BA98" s="1" t="e">
        <f ca="1">_xll.BDH($C$78,"TOTAL_DEBT_5_YEAR_GROWTH","FY 2018","FY 2018","Currency=INR","Period=FY","BEST_FPERIOD_OVERRIDE=FY","FILING_STATUS=OR","EQY_CONSOLIDATED=Y","Sort=A","Dates=H","DateFormat=P","Fill=—","Direction=H","UseDPDF=Y")</f>
        <v>#NAME?</v>
      </c>
      <c r="BB98" s="1" t="e">
        <f ca="1">_xll.BDH($C$78,"GEO_GROW_TOT_SHRHLDR_EQY","FY 2018","FY 2018","Currency=INR","Period=FY","BEST_FPERIOD_OVERRIDE=FY","FILING_STATUS=OR","EQY_CONSOLIDATED=Y","Sort=A","Dates=H","DateFormat=P","Fill=—","Direction=H","UseDPDF=Y")</f>
        <v>#NAME?</v>
      </c>
      <c r="BC98" s="1" t="e">
        <f ca="1">_xll.BDH($C$78,"TOTAL_CAPITAL_5_YEAR_GROWTH","FY 2018","FY 2018","Currency=INR","Period=FY","BEST_FPERIOD_OVERRIDE=FY","FILING_STATUS=OR","EQY_CONSOLIDATED=Y","Sort=A","Dates=H","DateFormat=P","Fill=—","Direction=H","UseDPDF=Y")</f>
        <v>#NAME?</v>
      </c>
      <c r="BD98" s="1" t="e">
        <f ca="1">_xll.BDH($C$78,"GEO_GROW_BOOK_VAL","FY 2018","FY 2018","Currency=INR","Period=FY","BEST_FPERIOD_OVERRIDE=FY","FILING_STATUS=OR","EQY_CONSOLIDATED=Y","Sort=A","Dates=H","DateFormat=P","Fill=—","Direction=H","UseDPDF=Y")</f>
        <v>#NAME?</v>
      </c>
      <c r="BE98" s="1" t="e">
        <f ca="1">_xll.BDH($C$78,"GEO_GROW_CASH_OPER_ACT","FY 2018","FY 2018","Currency=INR","Period=FY","BEST_FPERIOD_OVERRIDE=FY","FILING_STATUS=OR","EQY_CONSOLIDATED=Y","Sort=A","Dates=H","DateFormat=P","Fill=—","Direction=H","UseDPDF=Y")</f>
        <v>#NAME?</v>
      </c>
      <c r="BF98" s="1" t="e">
        <f ca="1">_xll.BDH($C$78,"REVENUE_SEQUENTIAL_GROWTH","FY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98" s="1" t="e">
        <f ca="1">_xll.BDH($C$78,"EBITDA_SEQUENTIAL_GROWTH","FY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98" s="1" t="e">
        <f ca="1">_xll.BDH($C$78,"OPERATING_INCOME_SEQ_GROWTH","FY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98" s="1" t="e">
        <f ca="1">_xll.BDH($C$78,"NET_INCOME_TO_COMMON_SEQ_GROWTH","FY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98" s="1" t="e">
        <f ca="1">_xll.BDH($C$78,"EPS_DILUTED_SEQUENTIAL_GROWTH","FY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98" s="1" t="e">
        <f ca="1">_xll.BDH($C$78,"DPS_SEQUENTIAL_GROWTH","FY 2018","FY 2018","Currency=INR","Period=FY","BEST_FPERIOD_OVERRIDE=FY","FILING_STATUS=OR","EQY_CONSOLIDATED=Y","Sort=A","Dates=H","DateFormat=P","Fill=—","Direction=H","UseDPDF=Y")</f>
        <v>#NAME?</v>
      </c>
      <c r="BL98" s="1" t="e">
        <f ca="1">_xll.BDH($C$78,"ACCOUNTS_RECEIVABLE_SEQ_GROWTH","FY 2018","FY 2018","Currency=INR","Period=FY","BEST_FPERIOD_OVERRIDE=FY","FILING_STATUS=OR","EQY_CONSOLIDATED=Y","Sort=A","Dates=H","DateFormat=P","Fill=—","Direction=H","UseDPDF=Y")</f>
        <v>#NAME?</v>
      </c>
      <c r="BM98" s="1" t="e">
        <f ca="1">_xll.BDH($C$78,"INVENTORY_SEQUENTIAL_GROWTH","FY 2018","FY 2018","Currency=INR","Period=FY","BEST_FPERIOD_OVERRIDE=FY","FILING_STATUS=OR","EQY_CONSOLIDATED=Y","Sort=A","Dates=H","DateFormat=P","Fill=—","Direction=H","UseDPDF=Y")</f>
        <v>#NAME?</v>
      </c>
      <c r="BN98" s="1" t="e">
        <f ca="1">_xll.BDH($C$78,"FIXED_ASSETS_SEQUENTIAL_GROWTH","FY 2018","FY 2018","Currency=INR","Period=FY","BEST_FPERIOD_OVERRIDE=FY","FILING_STATUS=OR","EQY_CONSOLIDATED=Y","Sort=A","Dates=H","DateFormat=P","Fill=—","Direction=H","UseDPDF=Y")</f>
        <v>#NAME?</v>
      </c>
      <c r="BO98" s="1" t="e">
        <f ca="1">_xll.BDH($C$78,"TOTAL_ASSETS_SEQUENTIAL_GROWTH","FY 2018","FY 2018","Currency=INR","Period=FY","BEST_FPERIOD_OVERRIDE=FY","FILING_STATUS=OR","EQY_CONSOLIDATED=Y","Sort=A","Dates=H","DateFormat=P","Fill=—","Direction=H","UseDPDF=Y")</f>
        <v>#NAME?</v>
      </c>
      <c r="BP98" s="1" t="e">
        <f ca="1">_xll.BDH($C$78,"MODIFIED_WORKING_CPTL_SEQ_GRWTH","FY 2018","FY 2018","Currency=INR","Period=FY","BEST_FPERIOD_OVERRIDE=FY","FILING_STATUS=OR","EQY_CONSOLIDATED=Y","Sort=A","Dates=H","DateFormat=P","Fill=—","Direction=H","UseDPDF=Y")</f>
        <v>#NAME?</v>
      </c>
      <c r="BQ98" s="1" t="e">
        <f ca="1">_xll.BDH($C$78,"WORKING_CAPITAL_SEQ_GROWTH","FY 2018","FY 2018","Currency=INR","Period=FY","BEST_FPERIOD_OVERRIDE=FY","FILING_STATUS=OR","EQY_CONSOLIDATED=Y","Sort=A","Dates=H","DateFormat=P","Fill=—","Direction=H","UseDPDF=Y")</f>
        <v>#NAME?</v>
      </c>
      <c r="BR98" s="1" t="e">
        <f ca="1">_xll.BDH($C$78,"ACCOUNTS_PAYABLE_SEQ_GROWTH","FY 2018","FY 2018","Currency=INR","Period=FY","BEST_FPERIOD_OVERRIDE=FY","FILING_STATUS=OR","EQY_CONSOLIDATED=Y","Sort=A","Dates=H","DateFormat=P","Fill=—","Direction=H","UseDPDF=Y")</f>
        <v>#NAME?</v>
      </c>
      <c r="BS98" s="1" t="e">
        <f ca="1">_xll.BDH($C$78,"ST_DEBT_SEQUENTIAL_GROWTH","FY 2018","FY 2018","Currency=INR","Period=FY","BEST_FPERIOD_OVERRIDE=FY","FILING_STATUS=OR","EQY_CONSOLIDATED=Y","Sort=A","Dates=H","DateFormat=P","Fill=—","Direction=H","UseDPDF=Y")</f>
        <v>#NAME?</v>
      </c>
      <c r="BT98" s="1" t="e">
        <f ca="1">_xll.BDH($C$78,"TOTAL_DEBT_SEQUENTIAL_GROWTH","FY 2018","FY 2018","Currency=INR","Period=FY","BEST_FPERIOD_OVERRIDE=FY","FILING_STATUS=OR","EQY_CONSOLIDATED=Y","Sort=A","Dates=H","DateFormat=P","Fill=—","Direction=H","UseDPDF=Y")</f>
        <v>#NAME?</v>
      </c>
      <c r="BU98" s="1" t="e">
        <f ca="1">_xll.BDH($C$78,"TOTAL_EQUITY_SEQUENTIAL_GROWTH","FY 2018","FY 2018","Currency=INR","Period=FY","BEST_FPERIOD_OVERRIDE=FY","FILING_STATUS=OR","EQY_CONSOLIDATED=Y","Sort=A","Dates=H","DateFormat=P","Fill=—","Direction=H","UseDPDF=Y")</f>
        <v>#NAME?</v>
      </c>
      <c r="BV98" s="1" t="e">
        <f ca="1">_xll.BDH($C$78,"TOTAL_CAPITAL_SEQUENTIAL_GROWTH","FY 2018","FY 2018","Currency=INR","Period=FY","BEST_FPERIOD_OVERRIDE=FY","FILING_STATUS=OR","EQY_CONSOLIDATED=Y","Sort=A","Dates=H","DateFormat=P","Fill=—","Direction=H","UseDPDF=Y")</f>
        <v>#NAME?</v>
      </c>
      <c r="BW98" s="1" t="e">
        <f ca="1">_xll.BDH($C$78,"BPS_SEQUENTIAL_GROWTH","FY 2018","FY 2018","Currency=INR","Period=FY","BEST_FPERIOD_OVERRIDE=FY","FILING_STATUS=OR","EQY_CONSOLIDATED=Y","Sort=A","Dates=H","DateFormat=P","Fill=—","Direction=H","UseDPDF=Y")</f>
        <v>#NAME?</v>
      </c>
      <c r="BX98" s="1" t="e">
        <f ca="1">_xll.BDH($C$78,"CFO_SEQUENTIAL_GROWTH","FY 2018","FY 2018","Currency=INR","Period=FY","BEST_FPERIOD_OVERRIDE=FY","FILING_STATUS=OR","EQY_CONSOLIDATED=Y","Sort=A","Dates=H","DateFormat=P","Fill=—","Direction=H","UseDPDF=Y")</f>
        <v>#NAME?</v>
      </c>
      <c r="BY98" s="2" t="e">
        <f ca="1">_xll.BDH($C$78,"SHORT_AND_LONG_TERM_DEBT","FY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98" s="2" t="e">
        <f ca="1">_xll.BDH($C$78,"BS_ST_BORROW","FY 2018","FY 2018","Currency=INR","Period=FY","BEST_FPERIOD_OVERRIDE=FY","FILING_STATUS=OR","EQY_CONSOLIDATED=Y","SCALING_FORMAT=MLN","Sort=A","Dates=H","DateFormat=P","Fill=—","Direction=H","UseDPDF=Y")</f>
        <v>#NAME?</v>
      </c>
      <c r="CA98" s="2" t="e">
        <f ca="1">_xll.BDH($C$78,"BS_LT_BORROW","FY 2018","FY 2018","Currency=INR","Period=FY","BEST_FPERIOD_OVERRIDE=FY","FILING_STATUS=OR","EQY_CONSOLIDATED=Y","SCALING_FORMAT=MLN","Sort=A","Dates=H","DateFormat=P","Fill=—","Direction=H","UseDPDF=Y")</f>
        <v>#NAME?</v>
      </c>
      <c r="CB98" s="1" t="e">
        <f ca="1">_xll.BDH($C$78,"TOT_DEBT_TO_EBITDA","FY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98" s="1" t="e">
        <f ca="1">_xll.BDH($C$78,"NET_DEBT_TO_EBITDA","FY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98" s="1" t="e">
        <f ca="1">_xll.BDH($C$78,"TOTAL_DEBT_TO_EBIT","FY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98" s="1" t="e">
        <f ca="1">_xll.BDH($C$78,"NET_DEBT_TO_EBIT","FY 2018","FY 2018","Currency=INR","Period=FY","BEST_FPERIOD_OVERRIDE=FY","FILING_STATUS=OR","EQY_CONSOLIDATED=Y","FA_ADJUSTED=GAAP","Sort=A","Dates=H","DateFormat=P","Fill=—","Direction=H","UseDPDF=Y")</f>
        <v>#NAME?</v>
      </c>
      <c r="CF98" s="1" t="e">
        <f ca="1">_xll.BDH($C$78,"EBITDA_TO_INTEREST_EXPN","FY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98" s="1" t="e">
        <f ca="1">_xll.BDH($C$78,"COM_EQY_TO_TOT_ASSET","FY 2018","FY 2018","Currency=INR","Period=FY","BEST_FPERIOD_OVERRIDE=FY","FILING_STATUS=OR","EQY_CONSOLIDATED=Y","Sort=A","Dates=H","DateFormat=P","Fill=—","Direction=H","UseDPDF=Y")</f>
        <v>#NAME?</v>
      </c>
      <c r="CH98" s="1" t="e">
        <f ca="1">_xll.BDH($C$78,"LT_DEBT_TO_TOT_EQY","FY 2018","FY 2018","Currency=INR","Period=FY","BEST_FPERIOD_OVERRIDE=FY","FILING_STATUS=OR","EQY_CONSOLIDATED=Y","Sort=A","Dates=H","DateFormat=P","Fill=—","Direction=H","UseDPDF=Y")</f>
        <v>#NAME?</v>
      </c>
      <c r="CI98" s="1" t="e">
        <f ca="1">_xll.BDH($C$78,"LT_DEBT_TO_TOT_CAP","FY 2018","FY 2018","Currency=INR","Period=FY","BEST_FPERIOD_OVERRIDE=FY","FILING_STATUS=OR","EQY_CONSOLIDATED=Y","Sort=A","Dates=H","DateFormat=P","Fill=—","Direction=H","UseDPDF=Y")</f>
        <v>#NAME?</v>
      </c>
      <c r="CJ98" s="1" t="e">
        <f ca="1">_xll.BDH($C$78,"LT_DEBT_TO_TOT_ASSET","FY 2018","FY 2018","Currency=INR","Period=FY","BEST_FPERIOD_OVERRIDE=FY","FILING_STATUS=OR","EQY_CONSOLIDATED=Y","Sort=A","Dates=H","DateFormat=P","Fill=—","Direction=H","UseDPDF=Y")</f>
        <v>#NAME?</v>
      </c>
      <c r="CK98" s="1" t="e">
        <f ca="1">_xll.BDH($C$78,"TOT_DEBT_TO_TOT_EQY","FY 2018","FY 2018","Currency=INR","Period=FY","BEST_FPERIOD_OVERRIDE=FY","FILING_STATUS=OR","EQY_CONSOLIDATED=Y","Sort=A","Dates=H","DateFormat=P","Fill=—","Direction=H","UseDPDF=Y")</f>
        <v>#NAME?</v>
      </c>
      <c r="CL98" s="1" t="e">
        <f ca="1">_xll.BDH($C$78,"TOT_DEBT_TO_TOT_CAP","FY 2018","FY 2018","Currency=INR","Period=FY","BEST_FPERIOD_OVERRIDE=FY","FILING_STATUS=OR","EQY_CONSOLIDATED=Y","Sort=A","Dates=H","DateFormat=P","Fill=—","Direction=H","UseDPDF=Y")</f>
        <v>#NAME?</v>
      </c>
      <c r="CM98" s="1" t="e">
        <f ca="1">_xll.BDH($C$78,"TOT_DEBT_TO_TOT_ASSET","FY 2018","FY 2018","Currency=INR","Period=FY","BEST_FPERIOD_OVERRIDE=FY","FILING_STATUS=OR","EQY_CONSOLIDATED=Y","Sort=A","Dates=H","DateFormat=P","Fill=—","Direction=H","UseDPDF=Y")</f>
        <v>#NAME?</v>
      </c>
      <c r="CN98" s="1" t="e">
        <f ca="1">_xll.BDH($C$78,"NET_DEBT_TO_SHRHLDR_EQTY","FY 2018","FY 2018","Currency=INR","Period=FY","BEST_FPERIOD_OVERRIDE=FY","FILING_STATUS=OR","EQY_CONSOLIDATED=Y","Sort=A","Dates=H","DateFormat=P","Fill=—","Direction=H","UseDPDF=Y")</f>
        <v>#NAME?</v>
      </c>
      <c r="CO98" s="1" t="e">
        <f ca="1">_xll.BDH($C$78,"NET_DEBT_%_CAPITAL","FY 2018","FY 2018","Currency=INR","Period=FY","BEST_FPERIOD_OVERRIDE=FY","FILING_STATUS=OR","EQY_CONSOLIDATED=Y","Sort=A","Dates=H","DateFormat=P","Fill=—","Direction=H","UseDPDF=Y")</f>
        <v>#NAME?</v>
      </c>
      <c r="CP98" s="2" t="e">
        <f ca="1">_xll.BDH($C$78,"EBITDA","FY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98" s="2" t="e">
        <f ca="1">_xll.BDH($C$78,"EBITDA_AFTER_CAPEX","FY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98" s="2" t="e">
        <f ca="1">_xll.BDH($C$78,"IS_OPER_INC","FY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98" s="1" t="e">
        <f ca="1">_xll.BDH($C$78,"CASH_RATIO","FY 2018","FY 2018","Currency=INR","Period=FY","BEST_FPERIOD_OVERRIDE=FY","FILING_STATUS=OR","EQY_CONSOLIDATED=Y","Sort=A","Dates=H","DateFormat=P","Fill=—","Direction=H","UseDPDF=Y")</f>
        <v>#NAME?</v>
      </c>
      <c r="CT98" s="1" t="e">
        <f ca="1">_xll.BDH($C$78,"CUR_RATIO","FY 2018","FY 2018","Currency=INR","Period=FY","BEST_FPERIOD_OVERRIDE=FY","FILING_STATUS=OR","EQY_CONSOLIDATED=Y","Sort=A","Dates=H","DateFormat=P","Fill=—","Direction=H","UseDPDF=Y")</f>
        <v>#NAME?</v>
      </c>
      <c r="CU98" s="1" t="e">
        <f ca="1">_xll.BDH($C$78,"QUICK_RATIO","FY 2018","FY 2018","Currency=INR","Period=FY","BEST_FPERIOD_OVERRIDE=FY","FILING_STATUS=OR","EQY_CONSOLIDATED=Y","Sort=A","Dates=H","DateFormat=P","Fill=—","Direction=H","UseDPDF=Y")</f>
        <v>#NAME?</v>
      </c>
      <c r="CV98" s="1" t="e">
        <f ca="1">_xll.BDH($C$78,"ALTMAN_Z_SCORE","FY 2018","FY 2018","Currency=INR","Period=FY","BEST_FPERIOD_OVERRIDE=FY","FILING_STATUS=OR","EQY_CONSOLIDATED=Y","Sort=A","Dates=H","DateFormat=P","Fill=—","Direction=H","UseDPDF=Y")</f>
        <v>#NAME?</v>
      </c>
      <c r="CW98" s="3" t="e">
        <f ca="1">_xll.BDH($C$78,"ACCT_RCV_TURN","FY 2018","FY 2018","Currency=INR","Period=FY","BEST_FPERIOD_OVERRIDE=FY","FILING_STATUS=OR","EQY_CONSOLIDATED=Y","FA_ADJUSTED=GAAP","Sort=A","Dates=H","DateFormat=P","Fill=—","Direction=H","UseDPDF=Y")</f>
        <v>#NAME?</v>
      </c>
      <c r="CX98" s="1" t="e">
        <f ca="1">_xll.BDH($C$78,"ACCT_RCV_DAYS","FY 2018","FY 2018","Currency=INR","Period=FY","BEST_FPERIOD_OVERRIDE=FY","FILING_STATUS=OR","EQY_CONSOLIDATED=Y","FA_ADJUSTED=GAAP","Sort=A","Dates=H","DateFormat=P","Fill=—","Direction=H","UseDPDF=Y")</f>
        <v>#NAME?</v>
      </c>
      <c r="CY98" s="3" t="e">
        <f ca="1">_xll.BDH($C$78,"INVENT_TURN","FY 2018","FY 2018","Currency=INR","Period=FY","BEST_FPERIOD_OVERRIDE=FY","FILING_STATUS=OR","EQY_CONSOLIDATED=Y","FA_ADJUSTED=GAAP","Sort=A","Dates=H","DateFormat=P","Fill=—","Direction=H","UseDPDF=Y")</f>
        <v>#NAME?</v>
      </c>
      <c r="CZ98" s="1" t="e">
        <f ca="1">_xll.BDH($C$78,"INVENT_DAYS","FY 2018","FY 2018","Currency=INR","Period=FY","BEST_FPERIOD_OVERRIDE=FY","FILING_STATUS=OR","EQY_CONSOLIDATED=Y","FA_ADJUSTED=GAAP","Sort=A","Dates=H","DateFormat=P","Fill=—","Direction=H","UseDPDF=Y")</f>
        <v>#NAME?</v>
      </c>
      <c r="DA98" s="3" t="e">
        <f ca="1">_xll.BDH($C$78,"ACCOUNTS_PAYABLE_TURNOVER","FY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98" s="1" t="e">
        <f ca="1">_xll.BDH($C$78,"ACCOUNTS_PAYABLE_TURNOVER_DAYS","FY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98" s="3" t="e">
        <f ca="1">_xll.BDH($C$78,"CASH_CONVERSION_CYCLE","FY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98" s="3" t="e">
        <f ca="1">_xll.BDH($C$78,"INV_TO_CASH_DAYS","FY 2018","FY 2018","Currency=INR","Period=FY","BEST_FPERIOD_OVERRIDE=FY","FILING_STATUS=OR","EQY_CONSOLIDATED=Y","FA_ADJUSTED=GAAP","Sort=A","Dates=H","DateFormat=P","Fill=—","Direction=H","UseDPDF=Y")</f>
        <v>#NAME?</v>
      </c>
      <c r="DE98" s="4" t="e">
        <f ca="1">_xll.BDH($C$78,"BS_INVENTORIES","FY 2018","FY 2018","Currency=INR","Period=FY","BEST_FPERIOD_OVERRIDE=FY","FILING_STATUS=OR","EQY_CONSOLIDATED=Y","SCALING_FORMAT=MLN","Sort=A","Dates=H","DateFormat=P","Fill=—","Direction=H","UseDPDF=Y")</f>
        <v>#NAME?</v>
      </c>
      <c r="DF98" s="2" t="e">
        <f ca="1">_xll.BDH($C$78,"INVTRY_RAW_MATERIALS","FY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98" s="2" t="e">
        <f ca="1">_xll.BDH($C$78,"INVTRY_IN_PROGRESS","FY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98" s="2" t="e">
        <f ca="1">_xll.BDH($C$78,"INVTRY_FINISHED_GOODS","FY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98" s="2" t="e">
        <f ca="1">_xll.BDH($C$78,"BS_OTHER_INV","FY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99" spans="1:113" x14ac:dyDescent="0.3">
      <c r="A99" s="6"/>
      <c r="B99" s="6"/>
      <c r="C99" s="6"/>
      <c r="D99" s="6"/>
      <c r="E99" t="s">
        <v>4</v>
      </c>
      <c r="F99" t="e">
        <f ca="1">_xll.BDH($C$78,"RETURN_COM_EQY","FQ1 2018","FQ1 2018","Currency=INR","Period=FQ","BEST_FPERIOD_OVERRIDE=FQ","FILING_STATUS=OR","EQY_CONSOLIDATED=Y","FA_ADJUSTED=GAAP","Sort=A","Dates=H","DateFormat=P","Fill=—","Direction=H","UseDPDF=Y")</f>
        <v>#NAME?</v>
      </c>
      <c r="G99" t="e">
        <f ca="1">_xll.BDH($C$78,"RETURN_ON_ASSET","FQ1 2018","FQ1 2018","Currency=INR","Period=FQ","BEST_FPERIOD_OVERRIDE=FQ","FILING_STATUS=OR","EQY_CONSOLIDATED=Y","FA_ADJUSTED=GAAP","Sort=A","Dates=H","DateFormat=P","Fill=—","Direction=H","UseDPDF=Y")</f>
        <v>#NAME?</v>
      </c>
      <c r="H99" t="e">
        <f ca="1">_xll.BDH($C$78,"RETURN_ON_CAP","FQ1 2018","FQ1 2018","Currency=INR","Period=FQ","BEST_FPERIOD_OVERRIDE=FQ","FILING_STATUS=OR","EQY_CONSOLIDATED=Y","FA_ADJUSTED=GAAP","Sort=A","Dates=H","DateFormat=P","Fill=—","Direction=H","UseDPDF=Y")</f>
        <v>#NAME?</v>
      </c>
      <c r="I99" t="e">
        <f ca="1">_xll.BDH($C$78,"RETURN_ON_INV_CAPITAL","FQ1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99" t="e">
        <f ca="1">_xll.BDH($C$78,"EBITDA_TO_REVENUE","FQ1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99" t="e">
        <f ca="1">_xll.BDH($C$78,"OPER_MARGIN","FQ1 2018","FQ1 2018","Currency=INR","Period=FQ","BEST_FPERIOD_OVERRIDE=FQ","FILING_STATUS=OR","EQY_CONSOLIDATED=Y","FA_ADJUSTED=GAAP","Sort=A","Dates=H","DateFormat=P","Fill=—","Direction=H","UseDPDF=Y")</f>
        <v>#NAME?</v>
      </c>
      <c r="L99" t="e">
        <f ca="1">_xll.BDH($C$78,"INCREMENTAL_OPERATING_MARGIN","FQ1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99" t="e">
        <f ca="1">_xll.BDH($C$78,"PRETAX_INC_TO_NET_SALES","FQ1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99" t="e">
        <f ca="1">_xll.BDH($C$78,"INC_BEF_XO_ITEMS_TO_NET_SALES","FQ1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99" t="e">
        <f ca="1">_xll.BDH($C$78,"PROF_MARGIN","FQ1 2018","FQ1 2018","Currency=INR","Period=FQ","BEST_FPERIOD_OVERRIDE=FQ","FILING_STATUS=OR","EQY_CONSOLIDATED=Y","FA_ADJUSTED=GAAP","Sort=A","Dates=H","DateFormat=P","Fill=—","Direction=H","UseDPDF=Y")</f>
        <v>#NAME?</v>
      </c>
      <c r="P99" t="e">
        <f ca="1">_xll.BDH($C$78,"NET_INCOME_TO_COMMON_MARGIN","FQ1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99" t="e">
        <f ca="1">_xll.BDH($C$78,"EFF_TAX_RATE","FQ1 2018","FQ1 2018","Currency=INR","Period=FQ","BEST_FPERIOD_OVERRIDE=FQ","FILING_STATUS=OR","EQY_CONSOLIDATED=Y","FA_ADJUSTED=GAAP","Sort=A","Dates=H","DateFormat=P","Fill=—","Direction=H","UseDPDF=Y")</f>
        <v>#NAME?</v>
      </c>
      <c r="R99" t="e">
        <f ca="1">_xll.BDH($C$78,"DVD_PAYOUT_RATIO","FQ1 2018","FQ1 2018","Currency=INR","Period=FQ","BEST_FPERIOD_OVERRIDE=FQ","FILING_STATUS=OR","EQY_CONSOLIDATED=Y","FA_ADJUSTED=GAAP","Sort=A","Dates=H","DateFormat=P","Fill=—","Direction=H","UseDPDF=Y")</f>
        <v>#NAME?</v>
      </c>
      <c r="S99" t="e">
        <f ca="1">_xll.BDH($C$78,"SUSTAIN_GROWTH_RT","FQ1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99" s="1" t="e">
        <f ca="1">_xll.BDH($C$78,"SALES_GROWTH","FQ1 2018","FQ1 2018","Currency=INR","Period=FQ","BEST_FPERIOD_OVERRIDE=FQ","FILING_STATUS=OR","EQY_CONSOLIDATED=Y","FA_ADJUSTED=GAAP","Sort=A","Dates=H","DateFormat=P","Fill=—","Direction=H","UseDPDF=Y")</f>
        <v>#NAME?</v>
      </c>
      <c r="U99" s="1" t="e">
        <f ca="1">_xll.BDH($C$78,"EBITDA_GROWTH","FQ1 2018","FQ1 2018","Currency=INR","Period=FQ","BEST_FPERIOD_OVERRIDE=FQ","FILING_STATUS=OR","EQY_CONSOLIDATED=Y","FA_ADJUSTED=GAAP","Sort=A","Dates=H","DateFormat=P","Fill=—","Direction=H","UseDPDF=Y")</f>
        <v>#NAME?</v>
      </c>
      <c r="V99" s="1" t="e">
        <f ca="1">_xll.BDH($C$78,"OPER_INC_GROWTH","FQ1 2018","FQ1 2018","Currency=INR","Period=FQ","BEST_FPERIOD_OVERRIDE=FQ","FILING_STATUS=OR","EQY_CONSOLIDATED=Y","FA_ADJUSTED=GAAP","Sort=A","Dates=H","DateFormat=P","Fill=—","Direction=H","UseDPDF=Y")</f>
        <v>#NAME?</v>
      </c>
      <c r="W99" s="1" t="e">
        <f ca="1">_xll.BDH($C$78,"EARN_FOR_COM_GROWTH","FQ1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99" s="1" t="e">
        <f ca="1">_xll.BDH($C$78,"DILUTED_EPS_AFT_XO_ITEMS_GROWTH","FQ1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99" s="1" t="e">
        <f ca="1">_xll.BDH($C$78,"DIVIDEND_PER_SHARE_1_YEAR_GROWTH","FQ1 2018","FQ1 2018","Currency=INR","Period=FQ","BEST_FPERIOD_OVERRIDE=FQ","FILING_STATUS=OR","EQY_CONSOLIDATED=Y","Sort=A","Dates=H","DateFormat=P","Fill=—","Direction=H","UseDPDF=Y")</f>
        <v>#NAME?</v>
      </c>
      <c r="Z99" s="1" t="e">
        <f ca="1">_xll.BDH($C$78,"ACCOUNTS_RECEIVABLE_GROWTH","FQ1 2018","FQ1 2018","Currency=INR","Period=FQ","BEST_FPERIOD_OVERRIDE=FQ","FILING_STATUS=OR","EQY_CONSOLIDATED=Y","Sort=A","Dates=H","DateFormat=P","Fill=—","Direction=H","UseDPDF=Y")</f>
        <v>#NAME?</v>
      </c>
      <c r="AA99" s="1" t="e">
        <f ca="1">_xll.BDH($C$78,"INVENTORY_GROWTH","FQ1 2018","FQ1 2018","Currency=INR","Period=FQ","BEST_FPERIOD_OVERRIDE=FQ","FILING_STATUS=OR","EQY_CONSOLIDATED=Y","Sort=A","Dates=H","DateFormat=P","Fill=—","Direction=H","UseDPDF=Y")</f>
        <v>#NAME?</v>
      </c>
      <c r="AB99" s="1" t="e">
        <f ca="1">_xll.BDH($C$78,"NET_FIXED_ASSETS_1_YEAR_GROWTH","FQ1 2018","FQ1 2018","Currency=INR","Period=FQ","BEST_FPERIOD_OVERRIDE=FQ","FILING_STATUS=OR","EQY_CONSOLIDATED=Y","Sort=A","Dates=H","DateFormat=P","Fill=—","Direction=H","UseDPDF=Y")</f>
        <v>#NAME?</v>
      </c>
      <c r="AC99" s="1" t="e">
        <f ca="1">_xll.BDH($C$78,"ASSET_GROWTH","FQ1 2018","FQ1 2018","Currency=INR","Period=FQ","BEST_FPERIOD_OVERRIDE=FQ","FILING_STATUS=OR","EQY_CONSOLIDATED=Y","Sort=A","Dates=H","DateFormat=P","Fill=—","Direction=H","UseDPDF=Y")</f>
        <v>#NAME?</v>
      </c>
      <c r="AD99" s="1" t="e">
        <f ca="1">_xll.BDH($C$78,"MODIFIED_WORK_CAP_GROWTH","FQ1 2018","FQ1 2018","Currency=INR","Period=FQ","BEST_FPERIOD_OVERRIDE=FQ","FILING_STATUS=OR","EQY_CONSOLIDATED=Y","Sort=A","Dates=H","DateFormat=P","Fill=—","Direction=H","UseDPDF=Y")</f>
        <v>#NAME?</v>
      </c>
      <c r="AE99" s="1" t="e">
        <f ca="1">_xll.BDH($C$78,"WORK_CAP_GROWTH","FQ1 2018","FQ1 2018","Currency=INR","Period=FQ","BEST_FPERIOD_OVERRIDE=FQ","FILING_STATUS=OR","EQY_CONSOLIDATED=Y","Sort=A","Dates=H","DateFormat=P","Fill=—","Direction=H","UseDPDF=Y")</f>
        <v>#NAME?</v>
      </c>
      <c r="AF99" s="1" t="e">
        <f ca="1">_xll.BDH($C$78,"ACCOUNTS_PAYABLE_GROWTH_1YR","FQ1 2018","FQ1 2018","Currency=INR","Period=FQ","BEST_FPERIOD_OVERRIDE=FQ","FILING_STATUS=OR","EQY_CONSOLIDATED=Y","Sort=A","Dates=H","DateFormat=P","Fill=—","Direction=H","UseDPDF=Y")</f>
        <v>#NAME?</v>
      </c>
      <c r="AG99" s="1" t="e">
        <f ca="1">_xll.BDH($C$78,"SHORT_TERM_DEBT_1_YEAR_GROWTH","FQ1 2018","FQ1 2018","Currency=INR","Period=FQ","BEST_FPERIOD_OVERRIDE=FQ","FILING_STATUS=OR","EQY_CONSOLIDATED=Y","Sort=A","Dates=H","DateFormat=P","Fill=—","Direction=H","UseDPDF=Y")</f>
        <v>#NAME?</v>
      </c>
      <c r="AH99" s="1" t="e">
        <f ca="1">_xll.BDH($C$78,"TOTAL_DEBT_1_YEAR_GROWTH","FQ1 2018","FQ1 2018","Currency=INR","Period=FQ","BEST_FPERIOD_OVERRIDE=FQ","FILING_STATUS=OR","EQY_CONSOLIDATED=Y","Sort=A","Dates=H","DateFormat=P","Fill=—","Direction=H","UseDPDF=Y")</f>
        <v>#NAME?</v>
      </c>
      <c r="AI99" s="1" t="e">
        <f ca="1">_xll.BDH($C$78,"TOTAL_EQUITY_1_YEAR_GROWTH","FQ1 2018","FQ1 2018","Currency=INR","Period=FQ","BEST_FPERIOD_OVERRIDE=FQ","FILING_STATUS=OR","EQY_CONSOLIDATED=Y","Sort=A","Dates=H","DateFormat=P","Fill=—","Direction=H","UseDPDF=Y")</f>
        <v>#NAME?</v>
      </c>
      <c r="AJ99" s="1" t="e">
        <f ca="1">_xll.BDH($C$78,"GROWTH_IN_CAP","FQ1 2018","FQ1 2018","Currency=INR","Period=FQ","BEST_FPERIOD_OVERRIDE=FQ","FILING_STATUS=OR","EQY_CONSOLIDATED=Y","Sort=A","Dates=H","DateFormat=P","Fill=—","Direction=H","UseDPDF=Y")</f>
        <v>#NAME?</v>
      </c>
      <c r="AK99" s="1" t="e">
        <f ca="1">_xll.BDH($C$78,"BVPS_GROWTH","FQ1 2018","FQ1 2018","Currency=INR","Period=FQ","BEST_FPERIOD_OVERRIDE=FQ","FILING_STATUS=OR","EQY_CONSOLIDATED=Y","Sort=A","Dates=H","DateFormat=P","Fill=—","Direction=H","UseDPDF=Y")</f>
        <v>#NAME?</v>
      </c>
      <c r="AL99" s="1" t="e">
        <f ca="1">_xll.BDH($C$78,"CASH_FLOW_GROWTH","FQ1 2018","FQ1 2018","Currency=INR","Period=FQ","BEST_FPERIOD_OVERRIDE=FQ","FILING_STATUS=OR","EQY_CONSOLIDATED=Y","Sort=A","Dates=H","DateFormat=P","Fill=—","Direction=H","UseDPDF=Y")</f>
        <v>#NAME?</v>
      </c>
      <c r="AM99" s="1" t="e">
        <f ca="1">_xll.BDH($C$78,"GEO_GROW_NET_SALES","FQ1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99" s="1" t="e">
        <f ca="1">_xll.BDH($C$78,"GEO_GROW_EBITDA","FQ1 2018","FQ1 2018","Currency=INR","Period=FQ","BEST_FPERIOD_OVERRIDE=FQ","FILING_STATUS=OR","EQY_CONSOLIDATED=Y","FA_ADJUSTED=GAAP","Sort=A","Dates=H","DateFormat=P","Fill=—","Direction=H","UseDPDF=Y")</f>
        <v>#NAME?</v>
      </c>
      <c r="AO99" s="1" t="e">
        <f ca="1">_xll.BDH($C$78,"GEO_GROW_OPER_INC","FQ1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99" s="1" t="e">
        <f ca="1">_xll.BDH($C$78,"NET_INCOME_TO_COMMON_5_YR_GROWTH","FQ1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99" s="1" t="e">
        <f ca="1">_xll.BDH($C$78,"5Y_GEO_GROWTH_DILUTED_EPS","FQ1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99" s="1" t="e">
        <f ca="1">_xll.BDH($C$78,"GEO_GROW_DVD_PER_SH","FQ1 2018","FQ1 2018","Currency=INR","Period=FQ","BEST_FPERIOD_OVERRIDE=FQ","FILING_STATUS=OR","EQY_CONSOLIDATED=Y","Sort=A","Dates=H","DateFormat=P","Fill=—","Direction=H","UseDPDF=Y")</f>
        <v>#NAME?</v>
      </c>
      <c r="AS99" s="1" t="e">
        <f ca="1">_xll.BDH($C$78,"ACCOUNTS_RECEIVABLE_5_YR_GROWTH","FQ1 2018","FQ1 2018","Currency=INR","Period=FQ","BEST_FPERIOD_OVERRIDE=FQ","FILING_STATUS=OR","EQY_CONSOLIDATED=Y","Sort=A","Dates=H","DateFormat=P","Fill=—","Direction=H","UseDPDF=Y")</f>
        <v>#NAME?</v>
      </c>
      <c r="AT99" s="1" t="e">
        <f ca="1">_xll.BDH($C$78,"INVENTORY_5_YEAR_GROWTH","FQ1 2018","FQ1 2018","Currency=INR","Period=FQ","BEST_FPERIOD_OVERRIDE=FQ","FILING_STATUS=OR","EQY_CONSOLIDATED=Y","Sort=A","Dates=H","DateFormat=P","Fill=—","Direction=H","UseDPDF=Y")</f>
        <v>#NAME?</v>
      </c>
      <c r="AU99" s="1" t="e">
        <f ca="1">_xll.BDH($C$78,"NET_FIXED_ASSETS_5_YEAR_GROWTH","FQ1 2018","FQ1 2018","Currency=INR","Period=FQ","BEST_FPERIOD_OVERRIDE=FQ","FILING_STATUS=OR","EQY_CONSOLIDATED=Y","Sort=A","Dates=H","DateFormat=P","Fill=—","Direction=H","UseDPDF=Y")</f>
        <v>#NAME?</v>
      </c>
      <c r="AV99" s="1" t="e">
        <f ca="1">_xll.BDH($C$78,"GEO_GROW_TOT_ASSET","FQ1 2018","FQ1 2018","Currency=INR","Period=FQ","BEST_FPERIOD_OVERRIDE=FQ","FILING_STATUS=OR","EQY_CONSOLIDATED=Y","Sort=A","Dates=H","DateFormat=P","Fill=—","Direction=H","UseDPDF=Y")</f>
        <v>#NAME?</v>
      </c>
      <c r="AW99" s="1" t="e">
        <f ca="1">_xll.BDH($C$78,"MODIFIED_WORKING_CPTL_5YR_GRWTH","FQ1 2018","FQ1 2018","Currency=INR","Period=FQ","BEST_FPERIOD_OVERRIDE=FQ","FILING_STATUS=OR","EQY_CONSOLIDATED=Y","Sort=A","Dates=H","DateFormat=P","Fill=—","Direction=H","UseDPDF=Y")</f>
        <v>#NAME?</v>
      </c>
      <c r="AX99" s="1" t="e">
        <f ca="1">_xll.BDH($C$78,"WORKING_CAPITAL_5_YEAR_GROWTH","FQ1 2018","FQ1 2018","Currency=INR","Period=FQ","BEST_FPERIOD_OVERRIDE=FQ","FILING_STATUS=OR","EQY_CONSOLIDATED=Y","Sort=A","Dates=H","DateFormat=P","Fill=—","Direction=H","UseDPDF=Y")</f>
        <v>#NAME?</v>
      </c>
      <c r="AY99" s="1" t="e">
        <f ca="1">_xll.BDH($C$78,"ACCOUNTS_PAYABLE_5_YEAR_GROWTH","FQ1 2018","FQ1 2018","Currency=INR","Period=FQ","BEST_FPERIOD_OVERRIDE=FQ","FILING_STATUS=OR","EQY_CONSOLIDATED=Y","Sort=A","Dates=H","DateFormat=P","Fill=—","Direction=H","UseDPDF=Y")</f>
        <v>#NAME?</v>
      </c>
      <c r="AZ99" s="1" t="e">
        <f ca="1">_xll.BDH($C$78,"SHORT_TERM_DEBT_5_YEAR_GROWTH","FQ1 2018","FQ1 2018","Currency=INR","Period=FQ","BEST_FPERIOD_OVERRIDE=FQ","FILING_STATUS=OR","EQY_CONSOLIDATED=Y","Sort=A","Dates=H","DateFormat=P","Fill=—","Direction=H","UseDPDF=Y")</f>
        <v>#NAME?</v>
      </c>
      <c r="BA99" s="1" t="e">
        <f ca="1">_xll.BDH($C$78,"TOTAL_DEBT_5_YEAR_GROWTH","FQ1 2018","FQ1 2018","Currency=INR","Period=FQ","BEST_FPERIOD_OVERRIDE=FQ","FILING_STATUS=OR","EQY_CONSOLIDATED=Y","Sort=A","Dates=H","DateFormat=P","Fill=—","Direction=H","UseDPDF=Y")</f>
        <v>#NAME?</v>
      </c>
      <c r="BB99" s="1" t="e">
        <f ca="1">_xll.BDH($C$78,"GEO_GROW_TOT_SHRHLDR_EQY","FQ1 2018","FQ1 2018","Currency=INR","Period=FQ","BEST_FPERIOD_OVERRIDE=FQ","FILING_STATUS=OR","EQY_CONSOLIDATED=Y","Sort=A","Dates=H","DateFormat=P","Fill=—","Direction=H","UseDPDF=Y")</f>
        <v>#NAME?</v>
      </c>
      <c r="BC99" s="1" t="e">
        <f ca="1">_xll.BDH($C$78,"TOTAL_CAPITAL_5_YEAR_GROWTH","FQ1 2018","FQ1 2018","Currency=INR","Period=FQ","BEST_FPERIOD_OVERRIDE=FQ","FILING_STATUS=OR","EQY_CONSOLIDATED=Y","Sort=A","Dates=H","DateFormat=P","Fill=—","Direction=H","UseDPDF=Y")</f>
        <v>#NAME?</v>
      </c>
      <c r="BD99" s="1" t="e">
        <f ca="1">_xll.BDH($C$78,"GEO_GROW_BOOK_VAL","FQ1 2018","FQ1 2018","Currency=INR","Period=FQ","BEST_FPERIOD_OVERRIDE=FQ","FILING_STATUS=OR","EQY_CONSOLIDATED=Y","Sort=A","Dates=H","DateFormat=P","Fill=—","Direction=H","UseDPDF=Y")</f>
        <v>#NAME?</v>
      </c>
      <c r="BE99" s="1" t="e">
        <f ca="1">_xll.BDH($C$78,"GEO_GROW_CASH_OPER_ACT","FQ1 2018","FQ1 2018","Currency=INR","Period=FQ","BEST_FPERIOD_OVERRIDE=FQ","FILING_STATUS=OR","EQY_CONSOLIDATED=Y","Sort=A","Dates=H","DateFormat=P","Fill=—","Direction=H","UseDPDF=Y")</f>
        <v>#NAME?</v>
      </c>
      <c r="BF99" s="1" t="e">
        <f ca="1">_xll.BDH($C$78,"REVENUE_SEQUENTIAL_GROWTH","FQ1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99" s="1" t="e">
        <f ca="1">_xll.BDH($C$78,"EBITDA_SEQUENTIAL_GROWTH","FQ1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99" s="1" t="e">
        <f ca="1">_xll.BDH($C$78,"OPERATING_INCOME_SEQ_GROWTH","FQ1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99" s="1" t="e">
        <f ca="1">_xll.BDH($C$78,"NET_INCOME_TO_COMMON_SEQ_GROWTH","FQ1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99" s="1" t="e">
        <f ca="1">_xll.BDH($C$78,"EPS_DILUTED_SEQUENTIAL_GROWTH","FQ1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99" s="1" t="e">
        <f ca="1">_xll.BDH($C$78,"DPS_SEQUENTIAL_GROWTH","FQ1 2018","FQ1 2018","Currency=INR","Period=FQ","BEST_FPERIOD_OVERRIDE=FQ","FILING_STATUS=OR","EQY_CONSOLIDATED=Y","Sort=A","Dates=H","DateFormat=P","Fill=—","Direction=H","UseDPDF=Y")</f>
        <v>#NAME?</v>
      </c>
      <c r="BL99" s="1" t="e">
        <f ca="1">_xll.BDH($C$78,"ACCOUNTS_RECEIVABLE_SEQ_GROWTH","FQ1 2018","FQ1 2018","Currency=INR","Period=FQ","BEST_FPERIOD_OVERRIDE=FQ","FILING_STATUS=OR","EQY_CONSOLIDATED=Y","Sort=A","Dates=H","DateFormat=P","Fill=—","Direction=H","UseDPDF=Y")</f>
        <v>#NAME?</v>
      </c>
      <c r="BM99" s="1" t="e">
        <f ca="1">_xll.BDH($C$78,"INVENTORY_SEQUENTIAL_GROWTH","FQ1 2018","FQ1 2018","Currency=INR","Period=FQ","BEST_FPERIOD_OVERRIDE=FQ","FILING_STATUS=OR","EQY_CONSOLIDATED=Y","Sort=A","Dates=H","DateFormat=P","Fill=—","Direction=H","UseDPDF=Y")</f>
        <v>#NAME?</v>
      </c>
      <c r="BN99" s="1" t="e">
        <f ca="1">_xll.BDH($C$78,"FIXED_ASSETS_SEQUENTIAL_GROWTH","FQ1 2018","FQ1 2018","Currency=INR","Period=FQ","BEST_FPERIOD_OVERRIDE=FQ","FILING_STATUS=OR","EQY_CONSOLIDATED=Y","Sort=A","Dates=H","DateFormat=P","Fill=—","Direction=H","UseDPDF=Y")</f>
        <v>#NAME?</v>
      </c>
      <c r="BO99" s="1" t="e">
        <f ca="1">_xll.BDH($C$78,"TOTAL_ASSETS_SEQUENTIAL_GROWTH","FQ1 2018","FQ1 2018","Currency=INR","Period=FQ","BEST_FPERIOD_OVERRIDE=FQ","FILING_STATUS=OR","EQY_CONSOLIDATED=Y","Sort=A","Dates=H","DateFormat=P","Fill=—","Direction=H","UseDPDF=Y")</f>
        <v>#NAME?</v>
      </c>
      <c r="BP99" s="1" t="e">
        <f ca="1">_xll.BDH($C$78,"MODIFIED_WORKING_CPTL_SEQ_GRWTH","FQ1 2018","FQ1 2018","Currency=INR","Period=FQ","BEST_FPERIOD_OVERRIDE=FQ","FILING_STATUS=OR","EQY_CONSOLIDATED=Y","Sort=A","Dates=H","DateFormat=P","Fill=—","Direction=H","UseDPDF=Y")</f>
        <v>#NAME?</v>
      </c>
      <c r="BQ99" s="1" t="e">
        <f ca="1">_xll.BDH($C$78,"WORKING_CAPITAL_SEQ_GROWTH","FQ1 2018","FQ1 2018","Currency=INR","Period=FQ","BEST_FPERIOD_OVERRIDE=FQ","FILING_STATUS=OR","EQY_CONSOLIDATED=Y","Sort=A","Dates=H","DateFormat=P","Fill=—","Direction=H","UseDPDF=Y")</f>
        <v>#NAME?</v>
      </c>
      <c r="BR99" s="1" t="e">
        <f ca="1">_xll.BDH($C$78,"ACCOUNTS_PAYABLE_SEQ_GROWTH","FQ1 2018","FQ1 2018","Currency=INR","Period=FQ","BEST_FPERIOD_OVERRIDE=FQ","FILING_STATUS=OR","EQY_CONSOLIDATED=Y","Sort=A","Dates=H","DateFormat=P","Fill=—","Direction=H","UseDPDF=Y")</f>
        <v>#NAME?</v>
      </c>
      <c r="BS99" s="1" t="e">
        <f ca="1">_xll.BDH($C$78,"ST_DEBT_SEQUENTIAL_GROWTH","FQ1 2018","FQ1 2018","Currency=INR","Period=FQ","BEST_FPERIOD_OVERRIDE=FQ","FILING_STATUS=OR","EQY_CONSOLIDATED=Y","Sort=A","Dates=H","DateFormat=P","Fill=—","Direction=H","UseDPDF=Y")</f>
        <v>#NAME?</v>
      </c>
      <c r="BT99" s="1" t="e">
        <f ca="1">_xll.BDH($C$78,"TOTAL_DEBT_SEQUENTIAL_GROWTH","FQ1 2018","FQ1 2018","Currency=INR","Period=FQ","BEST_FPERIOD_OVERRIDE=FQ","FILING_STATUS=OR","EQY_CONSOLIDATED=Y","Sort=A","Dates=H","DateFormat=P","Fill=—","Direction=H","UseDPDF=Y")</f>
        <v>#NAME?</v>
      </c>
      <c r="BU99" s="1" t="e">
        <f ca="1">_xll.BDH($C$78,"TOTAL_EQUITY_SEQUENTIAL_GROWTH","FQ1 2018","FQ1 2018","Currency=INR","Period=FQ","BEST_FPERIOD_OVERRIDE=FQ","FILING_STATUS=OR","EQY_CONSOLIDATED=Y","Sort=A","Dates=H","DateFormat=P","Fill=—","Direction=H","UseDPDF=Y")</f>
        <v>#NAME?</v>
      </c>
      <c r="BV99" s="1" t="e">
        <f ca="1">_xll.BDH($C$78,"TOTAL_CAPITAL_SEQUENTIAL_GROWTH","FQ1 2018","FQ1 2018","Currency=INR","Period=FQ","BEST_FPERIOD_OVERRIDE=FQ","FILING_STATUS=OR","EQY_CONSOLIDATED=Y","Sort=A","Dates=H","DateFormat=P","Fill=—","Direction=H","UseDPDF=Y")</f>
        <v>#NAME?</v>
      </c>
      <c r="BW99" s="1" t="e">
        <f ca="1">_xll.BDH($C$78,"BPS_SEQUENTIAL_GROWTH","FQ1 2018","FQ1 2018","Currency=INR","Period=FQ","BEST_FPERIOD_OVERRIDE=FQ","FILING_STATUS=OR","EQY_CONSOLIDATED=Y","Sort=A","Dates=H","DateFormat=P","Fill=—","Direction=H","UseDPDF=Y")</f>
        <v>#NAME?</v>
      </c>
      <c r="BX99" s="1" t="e">
        <f ca="1">_xll.BDH($C$78,"CFO_SEQUENTIAL_GROWTH","FQ1 2018","FQ1 2018","Currency=INR","Period=FQ","BEST_FPERIOD_OVERRIDE=FQ","FILING_STATUS=OR","EQY_CONSOLIDATED=Y","Sort=A","Dates=H","DateFormat=P","Fill=—","Direction=H","UseDPDF=Y")</f>
        <v>#NAME?</v>
      </c>
      <c r="BY99" s="2" t="e">
        <f ca="1">_xll.BDH($C$78,"SHORT_AND_LONG_TERM_DEBT","FQ1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99" s="2" t="e">
        <f ca="1">_xll.BDH($C$78,"BS_ST_BORROW","FQ1 2018","FQ1 2018","Currency=INR","Period=FQ","BEST_FPERIOD_OVERRIDE=FQ","FILING_STATUS=OR","EQY_CONSOLIDATED=Y","SCALING_FORMAT=MLN","Sort=A","Dates=H","DateFormat=P","Fill=—","Direction=H","UseDPDF=Y")</f>
        <v>#NAME?</v>
      </c>
      <c r="CA99" s="2" t="e">
        <f ca="1">_xll.BDH($C$78,"BS_LT_BORROW","FQ1 2018","FQ1 2018","Currency=INR","Period=FQ","BEST_FPERIOD_OVERRIDE=FQ","FILING_STATUS=OR","EQY_CONSOLIDATED=Y","SCALING_FORMAT=MLN","Sort=A","Dates=H","DateFormat=P","Fill=—","Direction=H","UseDPDF=Y")</f>
        <v>#NAME?</v>
      </c>
      <c r="CB99" s="1" t="e">
        <f ca="1">_xll.BDH($C$78,"TOT_DEBT_TO_EBITDA","FQ1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99" s="1" t="e">
        <f ca="1">_xll.BDH($C$78,"NET_DEBT_TO_EBITDA","FQ1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99" s="1" t="e">
        <f ca="1">_xll.BDH($C$78,"TOTAL_DEBT_TO_EBIT","FQ1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99" s="1" t="e">
        <f ca="1">_xll.BDH($C$78,"NET_DEBT_TO_EBIT","FQ1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99" s="1" t="e">
        <f ca="1">_xll.BDH($C$78,"EBITDA_TO_INTEREST_EXPN","FQ1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99" s="1" t="e">
        <f ca="1">_xll.BDH($C$78,"COM_EQY_TO_TOT_ASSET","FQ1 2018","FQ1 2018","Currency=INR","Period=FQ","BEST_FPERIOD_OVERRIDE=FQ","FILING_STATUS=OR","EQY_CONSOLIDATED=Y","Sort=A","Dates=H","DateFormat=P","Fill=—","Direction=H","UseDPDF=Y")</f>
        <v>#NAME?</v>
      </c>
      <c r="CH99" s="1" t="e">
        <f ca="1">_xll.BDH($C$78,"LT_DEBT_TO_TOT_EQY","FQ1 2018","FQ1 2018","Currency=INR","Period=FQ","BEST_FPERIOD_OVERRIDE=FQ","FILING_STATUS=OR","EQY_CONSOLIDATED=Y","Sort=A","Dates=H","DateFormat=P","Fill=—","Direction=H","UseDPDF=Y")</f>
        <v>#NAME?</v>
      </c>
      <c r="CI99" s="1" t="e">
        <f ca="1">_xll.BDH($C$78,"LT_DEBT_TO_TOT_CAP","FQ1 2018","FQ1 2018","Currency=INR","Period=FQ","BEST_FPERIOD_OVERRIDE=FQ","FILING_STATUS=OR","EQY_CONSOLIDATED=Y","Sort=A","Dates=H","DateFormat=P","Fill=—","Direction=H","UseDPDF=Y")</f>
        <v>#NAME?</v>
      </c>
      <c r="CJ99" s="1" t="e">
        <f ca="1">_xll.BDH($C$78,"LT_DEBT_TO_TOT_ASSET","FQ1 2018","FQ1 2018","Currency=INR","Period=FQ","BEST_FPERIOD_OVERRIDE=FQ","FILING_STATUS=OR","EQY_CONSOLIDATED=Y","Sort=A","Dates=H","DateFormat=P","Fill=—","Direction=H","UseDPDF=Y")</f>
        <v>#NAME?</v>
      </c>
      <c r="CK99" s="1" t="e">
        <f ca="1">_xll.BDH($C$78,"TOT_DEBT_TO_TOT_EQY","FQ1 2018","FQ1 2018","Currency=INR","Period=FQ","BEST_FPERIOD_OVERRIDE=FQ","FILING_STATUS=OR","EQY_CONSOLIDATED=Y","Sort=A","Dates=H","DateFormat=P","Fill=—","Direction=H","UseDPDF=Y")</f>
        <v>#NAME?</v>
      </c>
      <c r="CL99" s="1" t="e">
        <f ca="1">_xll.BDH($C$78,"TOT_DEBT_TO_TOT_CAP","FQ1 2018","FQ1 2018","Currency=INR","Period=FQ","BEST_FPERIOD_OVERRIDE=FQ","FILING_STATUS=OR","EQY_CONSOLIDATED=Y","Sort=A","Dates=H","DateFormat=P","Fill=—","Direction=H","UseDPDF=Y")</f>
        <v>#NAME?</v>
      </c>
      <c r="CM99" s="1" t="e">
        <f ca="1">_xll.BDH($C$78,"TOT_DEBT_TO_TOT_ASSET","FQ1 2018","FQ1 2018","Currency=INR","Period=FQ","BEST_FPERIOD_OVERRIDE=FQ","FILING_STATUS=OR","EQY_CONSOLIDATED=Y","Sort=A","Dates=H","DateFormat=P","Fill=—","Direction=H","UseDPDF=Y")</f>
        <v>#NAME?</v>
      </c>
      <c r="CN99" s="1" t="e">
        <f ca="1">_xll.BDH($C$78,"NET_DEBT_TO_SHRHLDR_EQTY","FQ1 2018","FQ1 2018","Currency=INR","Period=FQ","BEST_FPERIOD_OVERRIDE=FQ","FILING_STATUS=OR","EQY_CONSOLIDATED=Y","Sort=A","Dates=H","DateFormat=P","Fill=—","Direction=H","UseDPDF=Y")</f>
        <v>#NAME?</v>
      </c>
      <c r="CO99" s="1" t="e">
        <f ca="1">_xll.BDH($C$78,"NET_DEBT_%_CAPITAL","FQ1 2018","FQ1 2018","Currency=INR","Period=FQ","BEST_FPERIOD_OVERRIDE=FQ","FILING_STATUS=OR","EQY_CONSOLIDATED=Y","Sort=A","Dates=H","DateFormat=P","Fill=—","Direction=H","UseDPDF=Y")</f>
        <v>#NAME?</v>
      </c>
      <c r="CP99" s="2" t="e">
        <f ca="1">_xll.BDH($C$78,"EBITDA","FQ1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99" s="2" t="e">
        <f ca="1">_xll.BDH($C$78,"EBITDA_AFTER_CAPEX","FQ1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99" s="2" t="e">
        <f ca="1">_xll.BDH($C$78,"IS_OPER_INC","FQ1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99" s="1" t="e">
        <f ca="1">_xll.BDH($C$78,"CASH_RATIO","FQ1 2018","FQ1 2018","Currency=INR","Period=FQ","BEST_FPERIOD_OVERRIDE=FQ","FILING_STATUS=OR","EQY_CONSOLIDATED=Y","Sort=A","Dates=H","DateFormat=P","Fill=—","Direction=H","UseDPDF=Y")</f>
        <v>#NAME?</v>
      </c>
      <c r="CT99" s="1" t="e">
        <f ca="1">_xll.BDH($C$78,"CUR_RATIO","FQ1 2018","FQ1 2018","Currency=INR","Period=FQ","BEST_FPERIOD_OVERRIDE=FQ","FILING_STATUS=OR","EQY_CONSOLIDATED=Y","Sort=A","Dates=H","DateFormat=P","Fill=—","Direction=H","UseDPDF=Y")</f>
        <v>#NAME?</v>
      </c>
      <c r="CU99" s="1" t="e">
        <f ca="1">_xll.BDH($C$78,"QUICK_RATIO","FQ1 2018","FQ1 2018","Currency=INR","Period=FQ","BEST_FPERIOD_OVERRIDE=FQ","FILING_STATUS=OR","EQY_CONSOLIDATED=Y","Sort=A","Dates=H","DateFormat=P","Fill=—","Direction=H","UseDPDF=Y")</f>
        <v>#NAME?</v>
      </c>
      <c r="CV99" s="1" t="e">
        <f ca="1">_xll.BDH($C$78,"ALTMAN_Z_SCORE","FQ1 2018","FQ1 2018","Currency=INR","Period=FQ","BEST_FPERIOD_OVERRIDE=FQ","FILING_STATUS=OR","EQY_CONSOLIDATED=Y","Sort=A","Dates=H","DateFormat=P","Fill=—","Direction=H","UseDPDF=Y")</f>
        <v>#NAME?</v>
      </c>
      <c r="CW99" s="3" t="e">
        <f ca="1">_xll.BDH($C$78,"ACCT_RCV_TURN","FQ1 2018","FQ1 2018","Currency=INR","Period=FQ","BEST_FPERIOD_OVERRIDE=FQ","FILING_STATUS=OR","EQY_CONSOLIDATED=Y","FA_ADJUSTED=GAAP","Sort=A","Dates=H","DateFormat=P","Fill=—","Direction=H","UseDPDF=Y")</f>
        <v>#NAME?</v>
      </c>
      <c r="CX99" s="1" t="e">
        <f ca="1">_xll.BDH($C$78,"ACCT_RCV_DAYS","FQ1 2018","FQ1 2018","Currency=INR","Period=FQ","BEST_FPERIOD_OVERRIDE=FQ","FILING_STATUS=OR","EQY_CONSOLIDATED=Y","FA_ADJUSTED=GAAP","Sort=A","Dates=H","DateFormat=P","Fill=—","Direction=H","UseDPDF=Y")</f>
        <v>#NAME?</v>
      </c>
      <c r="CY99" s="3" t="e">
        <f ca="1">_xll.BDH($C$78,"INVENT_TURN","FQ1 2018","FQ1 2018","Currency=INR","Period=FQ","BEST_FPERIOD_OVERRIDE=FQ","FILING_STATUS=OR","EQY_CONSOLIDATED=Y","FA_ADJUSTED=GAAP","Sort=A","Dates=H","DateFormat=P","Fill=—","Direction=H","UseDPDF=Y")</f>
        <v>#NAME?</v>
      </c>
      <c r="CZ99" s="1" t="e">
        <f ca="1">_xll.BDH($C$78,"INVENT_DAYS","FQ1 2018","FQ1 2018","Currency=INR","Period=FQ","BEST_FPERIOD_OVERRIDE=FQ","FILING_STATUS=OR","EQY_CONSOLIDATED=Y","FA_ADJUSTED=GAAP","Sort=A","Dates=H","DateFormat=P","Fill=—","Direction=H","UseDPDF=Y")</f>
        <v>#NAME?</v>
      </c>
      <c r="DA99" s="3" t="e">
        <f ca="1">_xll.BDH($C$78,"ACCOUNTS_PAYABLE_TURNOVER","FQ1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99" s="1" t="e">
        <f ca="1">_xll.BDH($C$78,"ACCOUNTS_PAYABLE_TURNOVER_DAYS","FQ1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99" s="3" t="e">
        <f ca="1">_xll.BDH($C$78,"CASH_CONVERSION_CYCLE","FQ1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99" s="3" t="e">
        <f ca="1">_xll.BDH($C$78,"INV_TO_CASH_DAYS","FQ1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99" s="4" t="e">
        <f ca="1">_xll.BDH($C$78,"BS_INVENTORIES","FQ1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99" s="2" t="e">
        <f ca="1">_xll.BDH($C$78,"INVTRY_RAW_MATERIALS","FQ1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99" s="2" t="e">
        <f ca="1">_xll.BDH($C$78,"INVTRY_IN_PROGRESS","FQ1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99" s="2" t="e">
        <f ca="1">_xll.BDH($C$78,"INVTRY_FINISHED_GOODS","FQ1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99" s="2" t="e">
        <f ca="1">_xll.BDH($C$78,"BS_OTHER_INV","FQ1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00" spans="1:113" x14ac:dyDescent="0.3">
      <c r="A100" s="6"/>
      <c r="B100" s="6"/>
      <c r="C100" s="6"/>
      <c r="D100" s="6"/>
      <c r="E100" t="s">
        <v>5</v>
      </c>
      <c r="F100" t="e">
        <f ca="1">_xll.BDH($C$78,"RETURN_COM_EQY","FQ2 2018","FQ2 2018","Currency=INR","Period=FQ","BEST_FPERIOD_OVERRIDE=FQ","FILING_STATUS=OR","EQY_CONSOLIDATED=Y","FA_ADJUSTED=GAAP","Sort=A","Dates=H","DateFormat=P","Fill=—","Direction=H","UseDPDF=Y")</f>
        <v>#NAME?</v>
      </c>
      <c r="G100" t="e">
        <f ca="1">_xll.BDH($C$78,"RETURN_ON_ASSET","FQ2 2018","FQ2 2018","Currency=INR","Period=FQ","BEST_FPERIOD_OVERRIDE=FQ","FILING_STATUS=OR","EQY_CONSOLIDATED=Y","FA_ADJUSTED=GAAP","Sort=A","Dates=H","DateFormat=P","Fill=—","Direction=H","UseDPDF=Y")</f>
        <v>#NAME?</v>
      </c>
      <c r="H100" t="e">
        <f ca="1">_xll.BDH($C$78,"RETURN_ON_CAP","FQ2 2018","FQ2 2018","Currency=INR","Period=FQ","BEST_FPERIOD_OVERRIDE=FQ","FILING_STATUS=OR","EQY_CONSOLIDATED=Y","FA_ADJUSTED=GAAP","Sort=A","Dates=H","DateFormat=P","Fill=—","Direction=H","UseDPDF=Y")</f>
        <v>#NAME?</v>
      </c>
      <c r="I100" t="e">
        <f ca="1">_xll.BDH($C$78,"RETURN_ON_INV_CAPITAL","FQ2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00" t="e">
        <f ca="1">_xll.BDH($C$78,"EBITDA_TO_REVENUE","FQ2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100" t="e">
        <f ca="1">_xll.BDH($C$78,"OPER_MARGIN","FQ2 2018","FQ2 2018","Currency=INR","Period=FQ","BEST_FPERIOD_OVERRIDE=FQ","FILING_STATUS=OR","EQY_CONSOLIDATED=Y","FA_ADJUSTED=GAAP","Sort=A","Dates=H","DateFormat=P","Fill=—","Direction=H","UseDPDF=Y")</f>
        <v>#NAME?</v>
      </c>
      <c r="L100" t="e">
        <f ca="1">_xll.BDH($C$78,"INCREMENTAL_OPERATING_MARGIN","FQ2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00" t="e">
        <f ca="1">_xll.BDH($C$78,"PRETAX_INC_TO_NET_SALES","FQ2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00" t="e">
        <f ca="1">_xll.BDH($C$78,"INC_BEF_XO_ITEMS_TO_NET_SALES","FQ2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00" t="e">
        <f ca="1">_xll.BDH($C$78,"PROF_MARGIN","FQ2 2018","FQ2 2018","Currency=INR","Period=FQ","BEST_FPERIOD_OVERRIDE=FQ","FILING_STATUS=OR","EQY_CONSOLIDATED=Y","FA_ADJUSTED=GAAP","Sort=A","Dates=H","DateFormat=P","Fill=—","Direction=H","UseDPDF=Y")</f>
        <v>#NAME?</v>
      </c>
      <c r="P100" t="e">
        <f ca="1">_xll.BDH($C$78,"NET_INCOME_TO_COMMON_MARGIN","FQ2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00" t="e">
        <f ca="1">_xll.BDH($C$78,"EFF_TAX_RATE","FQ2 2018","FQ2 2018","Currency=INR","Period=FQ","BEST_FPERIOD_OVERRIDE=FQ","FILING_STATUS=OR","EQY_CONSOLIDATED=Y","FA_ADJUSTED=GAAP","Sort=A","Dates=H","DateFormat=P","Fill=—","Direction=H","UseDPDF=Y")</f>
        <v>#NAME?</v>
      </c>
      <c r="R100" t="e">
        <f ca="1">_xll.BDH($C$78,"DVD_PAYOUT_RATIO","FQ2 2018","FQ2 2018","Currency=INR","Period=FQ","BEST_FPERIOD_OVERRIDE=FQ","FILING_STATUS=OR","EQY_CONSOLIDATED=Y","FA_ADJUSTED=GAAP","Sort=A","Dates=H","DateFormat=P","Fill=—","Direction=H","UseDPDF=Y")</f>
        <v>#NAME?</v>
      </c>
      <c r="S100" t="e">
        <f ca="1">_xll.BDH($C$78,"SUSTAIN_GROWTH_RT","FQ2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100" s="1" t="e">
        <f ca="1">_xll.BDH($C$78,"SALES_GROWTH","FQ2 2018","FQ2 2018","Currency=INR","Period=FQ","BEST_FPERIOD_OVERRIDE=FQ","FILING_STATUS=OR","EQY_CONSOLIDATED=Y","FA_ADJUSTED=GAAP","Sort=A","Dates=H","DateFormat=P","Fill=—","Direction=H","UseDPDF=Y")</f>
        <v>#NAME?</v>
      </c>
      <c r="U100" s="1" t="e">
        <f ca="1">_xll.BDH($C$78,"EBITDA_GROWTH","FQ2 2018","FQ2 2018","Currency=INR","Period=FQ","BEST_FPERIOD_OVERRIDE=FQ","FILING_STATUS=OR","EQY_CONSOLIDATED=Y","FA_ADJUSTED=GAAP","Sort=A","Dates=H","DateFormat=P","Fill=—","Direction=H","UseDPDF=Y")</f>
        <v>#NAME?</v>
      </c>
      <c r="V100" s="1" t="e">
        <f ca="1">_xll.BDH($C$78,"OPER_INC_GROWTH","FQ2 2018","FQ2 2018","Currency=INR","Period=FQ","BEST_FPERIOD_OVERRIDE=FQ","FILING_STATUS=OR","EQY_CONSOLIDATED=Y","FA_ADJUSTED=GAAP","Sort=A","Dates=H","DateFormat=P","Fill=—","Direction=H","UseDPDF=Y")</f>
        <v>#NAME?</v>
      </c>
      <c r="W100" s="1" t="e">
        <f ca="1">_xll.BDH($C$78,"EARN_FOR_COM_GROWTH","FQ2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00" s="1" t="e">
        <f ca="1">_xll.BDH($C$78,"DILUTED_EPS_AFT_XO_ITEMS_GROWTH","FQ2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00" s="1" t="e">
        <f ca="1">_xll.BDH($C$78,"DIVIDEND_PER_SHARE_1_YEAR_GROWTH","FQ2 2018","FQ2 2018","Currency=INR","Period=FQ","BEST_FPERIOD_OVERRIDE=FQ","FILING_STATUS=OR","EQY_CONSOLIDATED=Y","Sort=A","Dates=H","DateFormat=P","Fill=—","Direction=H","UseDPDF=Y")</f>
        <v>#NAME?</v>
      </c>
      <c r="Z100" s="1" t="e">
        <f ca="1">_xll.BDH($C$78,"ACCOUNTS_RECEIVABLE_GROWTH","FQ2 2018","FQ2 2018","Currency=INR","Period=FQ","BEST_FPERIOD_OVERRIDE=FQ","FILING_STATUS=OR","EQY_CONSOLIDATED=Y","Sort=A","Dates=H","DateFormat=P","Fill=—","Direction=H","UseDPDF=Y")</f>
        <v>#NAME?</v>
      </c>
      <c r="AA100" s="1" t="e">
        <f ca="1">_xll.BDH($C$78,"INVENTORY_GROWTH","FQ2 2018","FQ2 2018","Currency=INR","Period=FQ","BEST_FPERIOD_OVERRIDE=FQ","FILING_STATUS=OR","EQY_CONSOLIDATED=Y","Sort=A","Dates=H","DateFormat=P","Fill=—","Direction=H","UseDPDF=Y")</f>
        <v>#NAME?</v>
      </c>
      <c r="AB100" s="1" t="e">
        <f ca="1">_xll.BDH($C$78,"NET_FIXED_ASSETS_1_YEAR_GROWTH","FQ2 2018","FQ2 2018","Currency=INR","Period=FQ","BEST_FPERIOD_OVERRIDE=FQ","FILING_STATUS=OR","EQY_CONSOLIDATED=Y","Sort=A","Dates=H","DateFormat=P","Fill=—","Direction=H","UseDPDF=Y")</f>
        <v>#NAME?</v>
      </c>
      <c r="AC100" s="1" t="e">
        <f ca="1">_xll.BDH($C$78,"ASSET_GROWTH","FQ2 2018","FQ2 2018","Currency=INR","Period=FQ","BEST_FPERIOD_OVERRIDE=FQ","FILING_STATUS=OR","EQY_CONSOLIDATED=Y","Sort=A","Dates=H","DateFormat=P","Fill=—","Direction=H","UseDPDF=Y")</f>
        <v>#NAME?</v>
      </c>
      <c r="AD100" s="1" t="e">
        <f ca="1">_xll.BDH($C$78,"MODIFIED_WORK_CAP_GROWTH","FQ2 2018","FQ2 2018","Currency=INR","Period=FQ","BEST_FPERIOD_OVERRIDE=FQ","FILING_STATUS=OR","EQY_CONSOLIDATED=Y","Sort=A","Dates=H","DateFormat=P","Fill=—","Direction=H","UseDPDF=Y")</f>
        <v>#NAME?</v>
      </c>
      <c r="AE100" s="1" t="e">
        <f ca="1">_xll.BDH($C$78,"WORK_CAP_GROWTH","FQ2 2018","FQ2 2018","Currency=INR","Period=FQ","BEST_FPERIOD_OVERRIDE=FQ","FILING_STATUS=OR","EQY_CONSOLIDATED=Y","Sort=A","Dates=H","DateFormat=P","Fill=—","Direction=H","UseDPDF=Y")</f>
        <v>#NAME?</v>
      </c>
      <c r="AF100" s="1" t="e">
        <f ca="1">_xll.BDH($C$78,"ACCOUNTS_PAYABLE_GROWTH_1YR","FQ2 2018","FQ2 2018","Currency=INR","Period=FQ","BEST_FPERIOD_OVERRIDE=FQ","FILING_STATUS=OR","EQY_CONSOLIDATED=Y","Sort=A","Dates=H","DateFormat=P","Fill=—","Direction=H","UseDPDF=Y")</f>
        <v>#NAME?</v>
      </c>
      <c r="AG100" s="1" t="e">
        <f ca="1">_xll.BDH($C$78,"SHORT_TERM_DEBT_1_YEAR_GROWTH","FQ2 2018","FQ2 2018","Currency=INR","Period=FQ","BEST_FPERIOD_OVERRIDE=FQ","FILING_STATUS=OR","EQY_CONSOLIDATED=Y","Sort=A","Dates=H","DateFormat=P","Fill=—","Direction=H","UseDPDF=Y")</f>
        <v>#NAME?</v>
      </c>
      <c r="AH100" s="1" t="e">
        <f ca="1">_xll.BDH($C$78,"TOTAL_DEBT_1_YEAR_GROWTH","FQ2 2018","FQ2 2018","Currency=INR","Period=FQ","BEST_FPERIOD_OVERRIDE=FQ","FILING_STATUS=OR","EQY_CONSOLIDATED=Y","Sort=A","Dates=H","DateFormat=P","Fill=—","Direction=H","UseDPDF=Y")</f>
        <v>#NAME?</v>
      </c>
      <c r="AI100" s="1" t="e">
        <f ca="1">_xll.BDH($C$78,"TOTAL_EQUITY_1_YEAR_GROWTH","FQ2 2018","FQ2 2018","Currency=INR","Period=FQ","BEST_FPERIOD_OVERRIDE=FQ","FILING_STATUS=OR","EQY_CONSOLIDATED=Y","Sort=A","Dates=H","DateFormat=P","Fill=—","Direction=H","UseDPDF=Y")</f>
        <v>#NAME?</v>
      </c>
      <c r="AJ100" s="1" t="e">
        <f ca="1">_xll.BDH($C$78,"GROWTH_IN_CAP","FQ2 2018","FQ2 2018","Currency=INR","Period=FQ","BEST_FPERIOD_OVERRIDE=FQ","FILING_STATUS=OR","EQY_CONSOLIDATED=Y","Sort=A","Dates=H","DateFormat=P","Fill=—","Direction=H","UseDPDF=Y")</f>
        <v>#NAME?</v>
      </c>
      <c r="AK100" s="1" t="e">
        <f ca="1">_xll.BDH($C$78,"BVPS_GROWTH","FQ2 2018","FQ2 2018","Currency=INR","Period=FQ","BEST_FPERIOD_OVERRIDE=FQ","FILING_STATUS=OR","EQY_CONSOLIDATED=Y","Sort=A","Dates=H","DateFormat=P","Fill=—","Direction=H","UseDPDF=Y")</f>
        <v>#NAME?</v>
      </c>
      <c r="AL100" s="1" t="e">
        <f ca="1">_xll.BDH($C$78,"CASH_FLOW_GROWTH","FQ2 2018","FQ2 2018","Currency=INR","Period=FQ","BEST_FPERIOD_OVERRIDE=FQ","FILING_STATUS=OR","EQY_CONSOLIDATED=Y","Sort=A","Dates=H","DateFormat=P","Fill=—","Direction=H","UseDPDF=Y")</f>
        <v>#NAME?</v>
      </c>
      <c r="AM100" s="1" t="e">
        <f ca="1">_xll.BDH($C$78,"GEO_GROW_NET_SALES","FQ2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00" s="1" t="e">
        <f ca="1">_xll.BDH($C$78,"GEO_GROW_EBITDA","FQ2 2018","FQ2 2018","Currency=INR","Period=FQ","BEST_FPERIOD_OVERRIDE=FQ","FILING_STATUS=OR","EQY_CONSOLIDATED=Y","FA_ADJUSTED=GAAP","Sort=A","Dates=H","DateFormat=P","Fill=—","Direction=H","UseDPDF=Y")</f>
        <v>#NAME?</v>
      </c>
      <c r="AO100" s="1" t="e">
        <f ca="1">_xll.BDH($C$78,"GEO_GROW_OPER_INC","FQ2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00" s="1" t="e">
        <f ca="1">_xll.BDH($C$78,"NET_INCOME_TO_COMMON_5_YR_GROWTH","FQ2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00" s="1" t="e">
        <f ca="1">_xll.BDH($C$78,"5Y_GEO_GROWTH_DILUTED_EPS","FQ2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00" s="1" t="e">
        <f ca="1">_xll.BDH($C$78,"GEO_GROW_DVD_PER_SH","FQ2 2018","FQ2 2018","Currency=INR","Period=FQ","BEST_FPERIOD_OVERRIDE=FQ","FILING_STATUS=OR","EQY_CONSOLIDATED=Y","Sort=A","Dates=H","DateFormat=P","Fill=—","Direction=H","UseDPDF=Y")</f>
        <v>#NAME?</v>
      </c>
      <c r="AS100" s="1" t="e">
        <f ca="1">_xll.BDH($C$78,"ACCOUNTS_RECEIVABLE_5_YR_GROWTH","FQ2 2018","FQ2 2018","Currency=INR","Period=FQ","BEST_FPERIOD_OVERRIDE=FQ","FILING_STATUS=OR","EQY_CONSOLIDATED=Y","Sort=A","Dates=H","DateFormat=P","Fill=—","Direction=H","UseDPDF=Y")</f>
        <v>#NAME?</v>
      </c>
      <c r="AT100" s="1" t="e">
        <f ca="1">_xll.BDH($C$78,"INVENTORY_5_YEAR_GROWTH","FQ2 2018","FQ2 2018","Currency=INR","Period=FQ","BEST_FPERIOD_OVERRIDE=FQ","FILING_STATUS=OR","EQY_CONSOLIDATED=Y","Sort=A","Dates=H","DateFormat=P","Fill=—","Direction=H","UseDPDF=Y")</f>
        <v>#NAME?</v>
      </c>
      <c r="AU100" s="1" t="e">
        <f ca="1">_xll.BDH($C$78,"NET_FIXED_ASSETS_5_YEAR_GROWTH","FQ2 2018","FQ2 2018","Currency=INR","Period=FQ","BEST_FPERIOD_OVERRIDE=FQ","FILING_STATUS=OR","EQY_CONSOLIDATED=Y","Sort=A","Dates=H","DateFormat=P","Fill=—","Direction=H","UseDPDF=Y")</f>
        <v>#NAME?</v>
      </c>
      <c r="AV100" s="1" t="e">
        <f ca="1">_xll.BDH($C$78,"GEO_GROW_TOT_ASSET","FQ2 2018","FQ2 2018","Currency=INR","Period=FQ","BEST_FPERIOD_OVERRIDE=FQ","FILING_STATUS=OR","EQY_CONSOLIDATED=Y","Sort=A","Dates=H","DateFormat=P","Fill=—","Direction=H","UseDPDF=Y")</f>
        <v>#NAME?</v>
      </c>
      <c r="AW100" s="1" t="e">
        <f ca="1">_xll.BDH($C$78,"MODIFIED_WORKING_CPTL_5YR_GRWTH","FQ2 2018","FQ2 2018","Currency=INR","Period=FQ","BEST_FPERIOD_OVERRIDE=FQ","FILING_STATUS=OR","EQY_CONSOLIDATED=Y","Sort=A","Dates=H","DateFormat=P","Fill=—","Direction=H","UseDPDF=Y")</f>
        <v>#NAME?</v>
      </c>
      <c r="AX100" s="1" t="e">
        <f ca="1">_xll.BDH($C$78,"WORKING_CAPITAL_5_YEAR_GROWTH","FQ2 2018","FQ2 2018","Currency=INR","Period=FQ","BEST_FPERIOD_OVERRIDE=FQ","FILING_STATUS=OR","EQY_CONSOLIDATED=Y","Sort=A","Dates=H","DateFormat=P","Fill=—","Direction=H","UseDPDF=Y")</f>
        <v>#NAME?</v>
      </c>
      <c r="AY100" s="1" t="e">
        <f ca="1">_xll.BDH($C$78,"ACCOUNTS_PAYABLE_5_YEAR_GROWTH","FQ2 2018","FQ2 2018","Currency=INR","Period=FQ","BEST_FPERIOD_OVERRIDE=FQ","FILING_STATUS=OR","EQY_CONSOLIDATED=Y","Sort=A","Dates=H","DateFormat=P","Fill=—","Direction=H","UseDPDF=Y")</f>
        <v>#NAME?</v>
      </c>
      <c r="AZ100" s="1" t="e">
        <f ca="1">_xll.BDH($C$78,"SHORT_TERM_DEBT_5_YEAR_GROWTH","FQ2 2018","FQ2 2018","Currency=INR","Period=FQ","BEST_FPERIOD_OVERRIDE=FQ","FILING_STATUS=OR","EQY_CONSOLIDATED=Y","Sort=A","Dates=H","DateFormat=P","Fill=—","Direction=H","UseDPDF=Y")</f>
        <v>#NAME?</v>
      </c>
      <c r="BA100" s="1" t="e">
        <f ca="1">_xll.BDH($C$78,"TOTAL_DEBT_5_YEAR_GROWTH","FQ2 2018","FQ2 2018","Currency=INR","Period=FQ","BEST_FPERIOD_OVERRIDE=FQ","FILING_STATUS=OR","EQY_CONSOLIDATED=Y","Sort=A","Dates=H","DateFormat=P","Fill=—","Direction=H","UseDPDF=Y")</f>
        <v>#NAME?</v>
      </c>
      <c r="BB100" s="1" t="e">
        <f ca="1">_xll.BDH($C$78,"GEO_GROW_TOT_SHRHLDR_EQY","FQ2 2018","FQ2 2018","Currency=INR","Period=FQ","BEST_FPERIOD_OVERRIDE=FQ","FILING_STATUS=OR","EQY_CONSOLIDATED=Y","Sort=A","Dates=H","DateFormat=P","Fill=—","Direction=H","UseDPDF=Y")</f>
        <v>#NAME?</v>
      </c>
      <c r="BC100" s="1" t="e">
        <f ca="1">_xll.BDH($C$78,"TOTAL_CAPITAL_5_YEAR_GROWTH","FQ2 2018","FQ2 2018","Currency=INR","Period=FQ","BEST_FPERIOD_OVERRIDE=FQ","FILING_STATUS=OR","EQY_CONSOLIDATED=Y","Sort=A","Dates=H","DateFormat=P","Fill=—","Direction=H","UseDPDF=Y")</f>
        <v>#NAME?</v>
      </c>
      <c r="BD100" s="1" t="e">
        <f ca="1">_xll.BDH($C$78,"GEO_GROW_BOOK_VAL","FQ2 2018","FQ2 2018","Currency=INR","Period=FQ","BEST_FPERIOD_OVERRIDE=FQ","FILING_STATUS=OR","EQY_CONSOLIDATED=Y","Sort=A","Dates=H","DateFormat=P","Fill=—","Direction=H","UseDPDF=Y")</f>
        <v>#NAME?</v>
      </c>
      <c r="BE100" s="1" t="e">
        <f ca="1">_xll.BDH($C$78,"GEO_GROW_CASH_OPER_ACT","FQ2 2018","FQ2 2018","Currency=INR","Period=FQ","BEST_FPERIOD_OVERRIDE=FQ","FILING_STATUS=OR","EQY_CONSOLIDATED=Y","Sort=A","Dates=H","DateFormat=P","Fill=—","Direction=H","UseDPDF=Y")</f>
        <v>#NAME?</v>
      </c>
      <c r="BF100" s="1" t="e">
        <f ca="1">_xll.BDH($C$78,"REVENUE_SEQUENTIAL_GROWTH","FQ2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00" s="1" t="e">
        <f ca="1">_xll.BDH($C$78,"EBITDA_SEQUENTIAL_GROWTH","FQ2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00" s="1" t="e">
        <f ca="1">_xll.BDH($C$78,"OPERATING_INCOME_SEQ_GROWTH","FQ2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00" s="1" t="e">
        <f ca="1">_xll.BDH($C$78,"NET_INCOME_TO_COMMON_SEQ_GROWTH","FQ2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00" s="1" t="e">
        <f ca="1">_xll.BDH($C$78,"EPS_DILUTED_SEQUENTIAL_GROWTH","FQ2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00" s="1" t="e">
        <f ca="1">_xll.BDH($C$78,"DPS_SEQUENTIAL_GROWTH","FQ2 2018","FQ2 2018","Currency=INR","Period=FQ","BEST_FPERIOD_OVERRIDE=FQ","FILING_STATUS=OR","EQY_CONSOLIDATED=Y","Sort=A","Dates=H","DateFormat=P","Fill=—","Direction=H","UseDPDF=Y")</f>
        <v>#NAME?</v>
      </c>
      <c r="BL100" s="1" t="e">
        <f ca="1">_xll.BDH($C$78,"ACCOUNTS_RECEIVABLE_SEQ_GROWTH","FQ2 2018","FQ2 2018","Currency=INR","Period=FQ","BEST_FPERIOD_OVERRIDE=FQ","FILING_STATUS=OR","EQY_CONSOLIDATED=Y","Sort=A","Dates=H","DateFormat=P","Fill=—","Direction=H","UseDPDF=Y")</f>
        <v>#NAME?</v>
      </c>
      <c r="BM100" s="1" t="e">
        <f ca="1">_xll.BDH($C$78,"INVENTORY_SEQUENTIAL_GROWTH","FQ2 2018","FQ2 2018","Currency=INR","Period=FQ","BEST_FPERIOD_OVERRIDE=FQ","FILING_STATUS=OR","EQY_CONSOLIDATED=Y","Sort=A","Dates=H","DateFormat=P","Fill=—","Direction=H","UseDPDF=Y")</f>
        <v>#NAME?</v>
      </c>
      <c r="BN100" s="1" t="e">
        <f ca="1">_xll.BDH($C$78,"FIXED_ASSETS_SEQUENTIAL_GROWTH","FQ2 2018","FQ2 2018","Currency=INR","Period=FQ","BEST_FPERIOD_OVERRIDE=FQ","FILING_STATUS=OR","EQY_CONSOLIDATED=Y","Sort=A","Dates=H","DateFormat=P","Fill=—","Direction=H","UseDPDF=Y")</f>
        <v>#NAME?</v>
      </c>
      <c r="BO100" s="1" t="e">
        <f ca="1">_xll.BDH($C$78,"TOTAL_ASSETS_SEQUENTIAL_GROWTH","FQ2 2018","FQ2 2018","Currency=INR","Period=FQ","BEST_FPERIOD_OVERRIDE=FQ","FILING_STATUS=OR","EQY_CONSOLIDATED=Y","Sort=A","Dates=H","DateFormat=P","Fill=—","Direction=H","UseDPDF=Y")</f>
        <v>#NAME?</v>
      </c>
      <c r="BP100" s="1" t="e">
        <f ca="1">_xll.BDH($C$78,"MODIFIED_WORKING_CPTL_SEQ_GRWTH","FQ2 2018","FQ2 2018","Currency=INR","Period=FQ","BEST_FPERIOD_OVERRIDE=FQ","FILING_STATUS=OR","EQY_CONSOLIDATED=Y","Sort=A","Dates=H","DateFormat=P","Fill=—","Direction=H","UseDPDF=Y")</f>
        <v>#NAME?</v>
      </c>
      <c r="BQ100" s="1" t="e">
        <f ca="1">_xll.BDH($C$78,"WORKING_CAPITAL_SEQ_GROWTH","FQ2 2018","FQ2 2018","Currency=INR","Period=FQ","BEST_FPERIOD_OVERRIDE=FQ","FILING_STATUS=OR","EQY_CONSOLIDATED=Y","Sort=A","Dates=H","DateFormat=P","Fill=—","Direction=H","UseDPDF=Y")</f>
        <v>#NAME?</v>
      </c>
      <c r="BR100" s="1" t="e">
        <f ca="1">_xll.BDH($C$78,"ACCOUNTS_PAYABLE_SEQ_GROWTH","FQ2 2018","FQ2 2018","Currency=INR","Period=FQ","BEST_FPERIOD_OVERRIDE=FQ","FILING_STATUS=OR","EQY_CONSOLIDATED=Y","Sort=A","Dates=H","DateFormat=P","Fill=—","Direction=H","UseDPDF=Y")</f>
        <v>#NAME?</v>
      </c>
      <c r="BS100" s="1" t="e">
        <f ca="1">_xll.BDH($C$78,"ST_DEBT_SEQUENTIAL_GROWTH","FQ2 2018","FQ2 2018","Currency=INR","Period=FQ","BEST_FPERIOD_OVERRIDE=FQ","FILING_STATUS=OR","EQY_CONSOLIDATED=Y","Sort=A","Dates=H","DateFormat=P","Fill=—","Direction=H","UseDPDF=Y")</f>
        <v>#NAME?</v>
      </c>
      <c r="BT100" s="1" t="e">
        <f ca="1">_xll.BDH($C$78,"TOTAL_DEBT_SEQUENTIAL_GROWTH","FQ2 2018","FQ2 2018","Currency=INR","Period=FQ","BEST_FPERIOD_OVERRIDE=FQ","FILING_STATUS=OR","EQY_CONSOLIDATED=Y","Sort=A","Dates=H","DateFormat=P","Fill=—","Direction=H","UseDPDF=Y")</f>
        <v>#NAME?</v>
      </c>
      <c r="BU100" s="1" t="e">
        <f ca="1">_xll.BDH($C$78,"TOTAL_EQUITY_SEQUENTIAL_GROWTH","FQ2 2018","FQ2 2018","Currency=INR","Period=FQ","BEST_FPERIOD_OVERRIDE=FQ","FILING_STATUS=OR","EQY_CONSOLIDATED=Y","Sort=A","Dates=H","DateFormat=P","Fill=—","Direction=H","UseDPDF=Y")</f>
        <v>#NAME?</v>
      </c>
      <c r="BV100" s="1" t="e">
        <f ca="1">_xll.BDH($C$78,"TOTAL_CAPITAL_SEQUENTIAL_GROWTH","FQ2 2018","FQ2 2018","Currency=INR","Period=FQ","BEST_FPERIOD_OVERRIDE=FQ","FILING_STATUS=OR","EQY_CONSOLIDATED=Y","Sort=A","Dates=H","DateFormat=P","Fill=—","Direction=H","UseDPDF=Y")</f>
        <v>#NAME?</v>
      </c>
      <c r="BW100" s="1" t="e">
        <f ca="1">_xll.BDH($C$78,"BPS_SEQUENTIAL_GROWTH","FQ2 2018","FQ2 2018","Currency=INR","Period=FQ","BEST_FPERIOD_OVERRIDE=FQ","FILING_STATUS=OR","EQY_CONSOLIDATED=Y","Sort=A","Dates=H","DateFormat=P","Fill=—","Direction=H","UseDPDF=Y")</f>
        <v>#NAME?</v>
      </c>
      <c r="BX100" s="1" t="e">
        <f ca="1">_xll.BDH($C$78,"CFO_SEQUENTIAL_GROWTH","FQ2 2018","FQ2 2018","Currency=INR","Period=FQ","BEST_FPERIOD_OVERRIDE=FQ","FILING_STATUS=OR","EQY_CONSOLIDATED=Y","Sort=A","Dates=H","DateFormat=P","Fill=—","Direction=H","UseDPDF=Y")</f>
        <v>#NAME?</v>
      </c>
      <c r="BY100" s="2" t="e">
        <f ca="1">_xll.BDH($C$78,"SHORT_AND_LONG_TERM_DEBT","FQ2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00" s="2" t="e">
        <f ca="1">_xll.BDH($C$78,"BS_ST_BORROW","FQ2 2018","FQ2 2018","Currency=INR","Period=FQ","BEST_FPERIOD_OVERRIDE=FQ","FILING_STATUS=OR","EQY_CONSOLIDATED=Y","SCALING_FORMAT=MLN","Sort=A","Dates=H","DateFormat=P","Fill=—","Direction=H","UseDPDF=Y")</f>
        <v>#NAME?</v>
      </c>
      <c r="CA100" s="2" t="e">
        <f ca="1">_xll.BDH($C$78,"BS_LT_BORROW","FQ2 2018","FQ2 2018","Currency=INR","Period=FQ","BEST_FPERIOD_OVERRIDE=FQ","FILING_STATUS=OR","EQY_CONSOLIDATED=Y","SCALING_FORMAT=MLN","Sort=A","Dates=H","DateFormat=P","Fill=—","Direction=H","UseDPDF=Y")</f>
        <v>#NAME?</v>
      </c>
      <c r="CB100" s="1" t="e">
        <f ca="1">_xll.BDH($C$78,"TOT_DEBT_TO_EBITDA","FQ2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00" s="1" t="e">
        <f ca="1">_xll.BDH($C$78,"NET_DEBT_TO_EBITDA","FQ2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00" s="1" t="e">
        <f ca="1">_xll.BDH($C$78,"TOTAL_DEBT_TO_EBIT","FQ2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00" s="1" t="e">
        <f ca="1">_xll.BDH($C$78,"NET_DEBT_TO_EBIT","FQ2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100" s="1" t="e">
        <f ca="1">_xll.BDH($C$78,"EBITDA_TO_INTEREST_EXPN","FQ2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00" s="1" t="e">
        <f ca="1">_xll.BDH($C$78,"COM_EQY_TO_TOT_ASSET","FQ2 2018","FQ2 2018","Currency=INR","Period=FQ","BEST_FPERIOD_OVERRIDE=FQ","FILING_STATUS=OR","EQY_CONSOLIDATED=Y","Sort=A","Dates=H","DateFormat=P","Fill=—","Direction=H","UseDPDF=Y")</f>
        <v>#NAME?</v>
      </c>
      <c r="CH100" s="1" t="e">
        <f ca="1">_xll.BDH($C$78,"LT_DEBT_TO_TOT_EQY","FQ2 2018","FQ2 2018","Currency=INR","Period=FQ","BEST_FPERIOD_OVERRIDE=FQ","FILING_STATUS=OR","EQY_CONSOLIDATED=Y","Sort=A","Dates=H","DateFormat=P","Fill=—","Direction=H","UseDPDF=Y")</f>
        <v>#NAME?</v>
      </c>
      <c r="CI100" s="1" t="e">
        <f ca="1">_xll.BDH($C$78,"LT_DEBT_TO_TOT_CAP","FQ2 2018","FQ2 2018","Currency=INR","Period=FQ","BEST_FPERIOD_OVERRIDE=FQ","FILING_STATUS=OR","EQY_CONSOLIDATED=Y","Sort=A","Dates=H","DateFormat=P","Fill=—","Direction=H","UseDPDF=Y")</f>
        <v>#NAME?</v>
      </c>
      <c r="CJ100" s="1" t="e">
        <f ca="1">_xll.BDH($C$78,"LT_DEBT_TO_TOT_ASSET","FQ2 2018","FQ2 2018","Currency=INR","Period=FQ","BEST_FPERIOD_OVERRIDE=FQ","FILING_STATUS=OR","EQY_CONSOLIDATED=Y","Sort=A","Dates=H","DateFormat=P","Fill=—","Direction=H","UseDPDF=Y")</f>
        <v>#NAME?</v>
      </c>
      <c r="CK100" s="1" t="e">
        <f ca="1">_xll.BDH($C$78,"TOT_DEBT_TO_TOT_EQY","FQ2 2018","FQ2 2018","Currency=INR","Period=FQ","BEST_FPERIOD_OVERRIDE=FQ","FILING_STATUS=OR","EQY_CONSOLIDATED=Y","Sort=A","Dates=H","DateFormat=P","Fill=—","Direction=H","UseDPDF=Y")</f>
        <v>#NAME?</v>
      </c>
      <c r="CL100" s="1" t="e">
        <f ca="1">_xll.BDH($C$78,"TOT_DEBT_TO_TOT_CAP","FQ2 2018","FQ2 2018","Currency=INR","Period=FQ","BEST_FPERIOD_OVERRIDE=FQ","FILING_STATUS=OR","EQY_CONSOLIDATED=Y","Sort=A","Dates=H","DateFormat=P","Fill=—","Direction=H","UseDPDF=Y")</f>
        <v>#NAME?</v>
      </c>
      <c r="CM100" s="1" t="e">
        <f ca="1">_xll.BDH($C$78,"TOT_DEBT_TO_TOT_ASSET","FQ2 2018","FQ2 2018","Currency=INR","Period=FQ","BEST_FPERIOD_OVERRIDE=FQ","FILING_STATUS=OR","EQY_CONSOLIDATED=Y","Sort=A","Dates=H","DateFormat=P","Fill=—","Direction=H","UseDPDF=Y")</f>
        <v>#NAME?</v>
      </c>
      <c r="CN100" s="1" t="e">
        <f ca="1">_xll.BDH($C$78,"NET_DEBT_TO_SHRHLDR_EQTY","FQ2 2018","FQ2 2018","Currency=INR","Period=FQ","BEST_FPERIOD_OVERRIDE=FQ","FILING_STATUS=OR","EQY_CONSOLIDATED=Y","Sort=A","Dates=H","DateFormat=P","Fill=—","Direction=H","UseDPDF=Y")</f>
        <v>#NAME?</v>
      </c>
      <c r="CO100" s="1" t="e">
        <f ca="1">_xll.BDH($C$78,"NET_DEBT_%_CAPITAL","FQ2 2018","FQ2 2018","Currency=INR","Period=FQ","BEST_FPERIOD_OVERRIDE=FQ","FILING_STATUS=OR","EQY_CONSOLIDATED=Y","Sort=A","Dates=H","DateFormat=P","Fill=—","Direction=H","UseDPDF=Y")</f>
        <v>#NAME?</v>
      </c>
      <c r="CP100" s="2" t="e">
        <f ca="1">_xll.BDH($C$78,"EBITDA","FQ2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00" s="2" t="e">
        <f ca="1">_xll.BDH($C$78,"EBITDA_AFTER_CAPEX","FQ2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00" s="2" t="e">
        <f ca="1">_xll.BDH($C$78,"IS_OPER_INC","FQ2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00" s="1" t="e">
        <f ca="1">_xll.BDH($C$78,"CASH_RATIO","FQ2 2018","FQ2 2018","Currency=INR","Period=FQ","BEST_FPERIOD_OVERRIDE=FQ","FILING_STATUS=OR","EQY_CONSOLIDATED=Y","Sort=A","Dates=H","DateFormat=P","Fill=—","Direction=H","UseDPDF=Y")</f>
        <v>#NAME?</v>
      </c>
      <c r="CT100" s="1" t="e">
        <f ca="1">_xll.BDH($C$78,"CUR_RATIO","FQ2 2018","FQ2 2018","Currency=INR","Period=FQ","BEST_FPERIOD_OVERRIDE=FQ","FILING_STATUS=OR","EQY_CONSOLIDATED=Y","Sort=A","Dates=H","DateFormat=P","Fill=—","Direction=H","UseDPDF=Y")</f>
        <v>#NAME?</v>
      </c>
      <c r="CU100" s="1" t="e">
        <f ca="1">_xll.BDH($C$78,"QUICK_RATIO","FQ2 2018","FQ2 2018","Currency=INR","Period=FQ","BEST_FPERIOD_OVERRIDE=FQ","FILING_STATUS=OR","EQY_CONSOLIDATED=Y","Sort=A","Dates=H","DateFormat=P","Fill=—","Direction=H","UseDPDF=Y")</f>
        <v>#NAME?</v>
      </c>
      <c r="CV100" s="1" t="e">
        <f ca="1">_xll.BDH($C$78,"ALTMAN_Z_SCORE","FQ2 2018","FQ2 2018","Currency=INR","Period=FQ","BEST_FPERIOD_OVERRIDE=FQ","FILING_STATUS=OR","EQY_CONSOLIDATED=Y","Sort=A","Dates=H","DateFormat=P","Fill=—","Direction=H","UseDPDF=Y")</f>
        <v>#NAME?</v>
      </c>
      <c r="CW100" s="3" t="e">
        <f ca="1">_xll.BDH($C$78,"ACCT_RCV_TURN","FQ2 2018","FQ2 2018","Currency=INR","Period=FQ","BEST_FPERIOD_OVERRIDE=FQ","FILING_STATUS=OR","EQY_CONSOLIDATED=Y","FA_ADJUSTED=GAAP","Sort=A","Dates=H","DateFormat=P","Fill=—","Direction=H","UseDPDF=Y")</f>
        <v>#NAME?</v>
      </c>
      <c r="CX100" s="1" t="e">
        <f ca="1">_xll.BDH($C$78,"ACCT_RCV_DAYS","FQ2 2018","FQ2 2018","Currency=INR","Period=FQ","BEST_FPERIOD_OVERRIDE=FQ","FILING_STATUS=OR","EQY_CONSOLIDATED=Y","FA_ADJUSTED=GAAP","Sort=A","Dates=H","DateFormat=P","Fill=—","Direction=H","UseDPDF=Y")</f>
        <v>#NAME?</v>
      </c>
      <c r="CY100" s="3" t="e">
        <f ca="1">_xll.BDH($C$78,"INVENT_TURN","FQ2 2018","FQ2 2018","Currency=INR","Period=FQ","BEST_FPERIOD_OVERRIDE=FQ","FILING_STATUS=OR","EQY_CONSOLIDATED=Y","FA_ADJUSTED=GAAP","Sort=A","Dates=H","DateFormat=P","Fill=—","Direction=H","UseDPDF=Y")</f>
        <v>#NAME?</v>
      </c>
      <c r="CZ100" s="1" t="e">
        <f ca="1">_xll.BDH($C$78,"INVENT_DAYS","FQ2 2018","FQ2 2018","Currency=INR","Period=FQ","BEST_FPERIOD_OVERRIDE=FQ","FILING_STATUS=OR","EQY_CONSOLIDATED=Y","FA_ADJUSTED=GAAP","Sort=A","Dates=H","DateFormat=P","Fill=—","Direction=H","UseDPDF=Y")</f>
        <v>#NAME?</v>
      </c>
      <c r="DA100" s="3" t="e">
        <f ca="1">_xll.BDH($C$78,"ACCOUNTS_PAYABLE_TURNOVER","FQ2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00" s="1" t="e">
        <f ca="1">_xll.BDH($C$78,"ACCOUNTS_PAYABLE_TURNOVER_DAYS","FQ2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00" s="3" t="e">
        <f ca="1">_xll.BDH($C$78,"CASH_CONVERSION_CYCLE","FQ2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00" s="3" t="e">
        <f ca="1">_xll.BDH($C$78,"INV_TO_CASH_DAYS","FQ2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100" s="4" t="e">
        <f ca="1">_xll.BDH($C$78,"BS_INVENTORIES","FQ2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100" s="2" t="e">
        <f ca="1">_xll.BDH($C$78,"INVTRY_RAW_MATERIALS","FQ2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00" s="2" t="e">
        <f ca="1">_xll.BDH($C$78,"INVTRY_IN_PROGRESS","FQ2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00" s="2" t="e">
        <f ca="1">_xll.BDH($C$78,"INVTRY_FINISHED_GOODS","FQ2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00" s="2" t="e">
        <f ca="1">_xll.BDH($C$78,"BS_OTHER_INV","FQ2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01" spans="1:113" x14ac:dyDescent="0.3">
      <c r="A101" s="6"/>
      <c r="B101" s="6"/>
      <c r="C101" s="6"/>
      <c r="D101" s="6"/>
      <c r="E101" t="s">
        <v>6</v>
      </c>
      <c r="F101" t="e">
        <f ca="1">_xll.BDH($C$78,"RETURN_COM_EQY","FQ3 2018","FQ3 2018","Currency=INR","Period=FQ","BEST_FPERIOD_OVERRIDE=FQ","FILING_STATUS=OR","EQY_CONSOLIDATED=Y","FA_ADJUSTED=GAAP","Sort=A","Dates=H","DateFormat=P","Fill=—","Direction=H","UseDPDF=Y")</f>
        <v>#NAME?</v>
      </c>
      <c r="G101" t="e">
        <f ca="1">_xll.BDH($C$78,"RETURN_ON_ASSET","FQ3 2018","FQ3 2018","Currency=INR","Period=FQ","BEST_FPERIOD_OVERRIDE=FQ","FILING_STATUS=OR","EQY_CONSOLIDATED=Y","FA_ADJUSTED=GAAP","Sort=A","Dates=H","DateFormat=P","Fill=—","Direction=H","UseDPDF=Y")</f>
        <v>#NAME?</v>
      </c>
      <c r="H101" t="e">
        <f ca="1">_xll.BDH($C$78,"RETURN_ON_CAP","FQ3 2018","FQ3 2018","Currency=INR","Period=FQ","BEST_FPERIOD_OVERRIDE=FQ","FILING_STATUS=OR","EQY_CONSOLIDATED=Y","FA_ADJUSTED=GAAP","Sort=A","Dates=H","DateFormat=P","Fill=—","Direction=H","UseDPDF=Y")</f>
        <v>#NAME?</v>
      </c>
      <c r="I101" t="e">
        <f ca="1">_xll.BDH($C$78,"RETURN_ON_INV_CAPITAL","FQ3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01" t="e">
        <f ca="1">_xll.BDH($C$78,"EBITDA_TO_REVENUE","FQ3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101" t="e">
        <f ca="1">_xll.BDH($C$78,"OPER_MARGIN","FQ3 2018","FQ3 2018","Currency=INR","Period=FQ","BEST_FPERIOD_OVERRIDE=FQ","FILING_STATUS=OR","EQY_CONSOLIDATED=Y","FA_ADJUSTED=GAAP","Sort=A","Dates=H","DateFormat=P","Fill=—","Direction=H","UseDPDF=Y")</f>
        <v>#NAME?</v>
      </c>
      <c r="L101" t="e">
        <f ca="1">_xll.BDH($C$78,"INCREMENTAL_OPERATING_MARGIN","FQ3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01" t="e">
        <f ca="1">_xll.BDH($C$78,"PRETAX_INC_TO_NET_SALES","FQ3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01" t="e">
        <f ca="1">_xll.BDH($C$78,"INC_BEF_XO_ITEMS_TO_NET_SALES","FQ3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01" t="e">
        <f ca="1">_xll.BDH($C$78,"PROF_MARGIN","FQ3 2018","FQ3 2018","Currency=INR","Period=FQ","BEST_FPERIOD_OVERRIDE=FQ","FILING_STATUS=OR","EQY_CONSOLIDATED=Y","FA_ADJUSTED=GAAP","Sort=A","Dates=H","DateFormat=P","Fill=—","Direction=H","UseDPDF=Y")</f>
        <v>#NAME?</v>
      </c>
      <c r="P101" t="e">
        <f ca="1">_xll.BDH($C$78,"NET_INCOME_TO_COMMON_MARGIN","FQ3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01" t="e">
        <f ca="1">_xll.BDH($C$78,"EFF_TAX_RATE","FQ3 2018","FQ3 2018","Currency=INR","Period=FQ","BEST_FPERIOD_OVERRIDE=FQ","FILING_STATUS=OR","EQY_CONSOLIDATED=Y","FA_ADJUSTED=GAAP","Sort=A","Dates=H","DateFormat=P","Fill=—","Direction=H","UseDPDF=Y")</f>
        <v>#NAME?</v>
      </c>
      <c r="R101" t="e">
        <f ca="1">_xll.BDH($C$78,"DVD_PAYOUT_RATIO","FQ3 2018","FQ3 2018","Currency=INR","Period=FQ","BEST_FPERIOD_OVERRIDE=FQ","FILING_STATUS=OR","EQY_CONSOLIDATED=Y","FA_ADJUSTED=GAAP","Sort=A","Dates=H","DateFormat=P","Fill=—","Direction=H","UseDPDF=Y")</f>
        <v>#NAME?</v>
      </c>
      <c r="S101" t="e">
        <f ca="1">_xll.BDH($C$78,"SUSTAIN_GROWTH_RT","FQ3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101" s="1" t="e">
        <f ca="1">_xll.BDH($C$78,"SALES_GROWTH","FQ3 2018","FQ3 2018","Currency=INR","Period=FQ","BEST_FPERIOD_OVERRIDE=FQ","FILING_STATUS=OR","EQY_CONSOLIDATED=Y","FA_ADJUSTED=GAAP","Sort=A","Dates=H","DateFormat=P","Fill=—","Direction=H","UseDPDF=Y")</f>
        <v>#NAME?</v>
      </c>
      <c r="U101" s="1" t="e">
        <f ca="1">_xll.BDH($C$78,"EBITDA_GROWTH","FQ3 2018","FQ3 2018","Currency=INR","Period=FQ","BEST_FPERIOD_OVERRIDE=FQ","FILING_STATUS=OR","EQY_CONSOLIDATED=Y","FA_ADJUSTED=GAAP","Sort=A","Dates=H","DateFormat=P","Fill=—","Direction=H","UseDPDF=Y")</f>
        <v>#NAME?</v>
      </c>
      <c r="V101" s="1" t="e">
        <f ca="1">_xll.BDH($C$78,"OPER_INC_GROWTH","FQ3 2018","FQ3 2018","Currency=INR","Period=FQ","BEST_FPERIOD_OVERRIDE=FQ","FILING_STATUS=OR","EQY_CONSOLIDATED=Y","FA_ADJUSTED=GAAP","Sort=A","Dates=H","DateFormat=P","Fill=—","Direction=H","UseDPDF=Y")</f>
        <v>#NAME?</v>
      </c>
      <c r="W101" s="1" t="e">
        <f ca="1">_xll.BDH($C$78,"EARN_FOR_COM_GROWTH","FQ3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01" s="1" t="e">
        <f ca="1">_xll.BDH($C$78,"DILUTED_EPS_AFT_XO_ITEMS_GROWTH","FQ3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01" s="1" t="e">
        <f ca="1">_xll.BDH($C$78,"DIVIDEND_PER_SHARE_1_YEAR_GROWTH","FQ3 2018","FQ3 2018","Currency=INR","Period=FQ","BEST_FPERIOD_OVERRIDE=FQ","FILING_STATUS=OR","EQY_CONSOLIDATED=Y","Sort=A","Dates=H","DateFormat=P","Fill=—","Direction=H","UseDPDF=Y")</f>
        <v>#NAME?</v>
      </c>
      <c r="Z101" s="1" t="e">
        <f ca="1">_xll.BDH($C$78,"ACCOUNTS_RECEIVABLE_GROWTH","FQ3 2018","FQ3 2018","Currency=INR","Period=FQ","BEST_FPERIOD_OVERRIDE=FQ","FILING_STATUS=OR","EQY_CONSOLIDATED=Y","Sort=A","Dates=H","DateFormat=P","Fill=—","Direction=H","UseDPDF=Y")</f>
        <v>#NAME?</v>
      </c>
      <c r="AA101" s="1" t="e">
        <f ca="1">_xll.BDH($C$78,"INVENTORY_GROWTH","FQ3 2018","FQ3 2018","Currency=INR","Period=FQ","BEST_FPERIOD_OVERRIDE=FQ","FILING_STATUS=OR","EQY_CONSOLIDATED=Y","Sort=A","Dates=H","DateFormat=P","Fill=—","Direction=H","UseDPDF=Y")</f>
        <v>#NAME?</v>
      </c>
      <c r="AB101" s="1" t="e">
        <f ca="1">_xll.BDH($C$78,"NET_FIXED_ASSETS_1_YEAR_GROWTH","FQ3 2018","FQ3 2018","Currency=INR","Period=FQ","BEST_FPERIOD_OVERRIDE=FQ","FILING_STATUS=OR","EQY_CONSOLIDATED=Y","Sort=A","Dates=H","DateFormat=P","Fill=—","Direction=H","UseDPDF=Y")</f>
        <v>#NAME?</v>
      </c>
      <c r="AC101" s="1" t="e">
        <f ca="1">_xll.BDH($C$78,"ASSET_GROWTH","FQ3 2018","FQ3 2018","Currency=INR","Period=FQ","BEST_FPERIOD_OVERRIDE=FQ","FILING_STATUS=OR","EQY_CONSOLIDATED=Y","Sort=A","Dates=H","DateFormat=P","Fill=—","Direction=H","UseDPDF=Y")</f>
        <v>#NAME?</v>
      </c>
      <c r="AD101" s="1" t="e">
        <f ca="1">_xll.BDH($C$78,"MODIFIED_WORK_CAP_GROWTH","FQ3 2018","FQ3 2018","Currency=INR","Period=FQ","BEST_FPERIOD_OVERRIDE=FQ","FILING_STATUS=OR","EQY_CONSOLIDATED=Y","Sort=A","Dates=H","DateFormat=P","Fill=—","Direction=H","UseDPDF=Y")</f>
        <v>#NAME?</v>
      </c>
      <c r="AE101" s="1" t="e">
        <f ca="1">_xll.BDH($C$78,"WORK_CAP_GROWTH","FQ3 2018","FQ3 2018","Currency=INR","Period=FQ","BEST_FPERIOD_OVERRIDE=FQ","FILING_STATUS=OR","EQY_CONSOLIDATED=Y","Sort=A","Dates=H","DateFormat=P","Fill=—","Direction=H","UseDPDF=Y")</f>
        <v>#NAME?</v>
      </c>
      <c r="AF101" s="1" t="e">
        <f ca="1">_xll.BDH($C$78,"ACCOUNTS_PAYABLE_GROWTH_1YR","FQ3 2018","FQ3 2018","Currency=INR","Period=FQ","BEST_FPERIOD_OVERRIDE=FQ","FILING_STATUS=OR","EQY_CONSOLIDATED=Y","Sort=A","Dates=H","DateFormat=P","Fill=—","Direction=H","UseDPDF=Y")</f>
        <v>#NAME?</v>
      </c>
      <c r="AG101" s="1" t="e">
        <f ca="1">_xll.BDH($C$78,"SHORT_TERM_DEBT_1_YEAR_GROWTH","FQ3 2018","FQ3 2018","Currency=INR","Period=FQ","BEST_FPERIOD_OVERRIDE=FQ","FILING_STATUS=OR","EQY_CONSOLIDATED=Y","Sort=A","Dates=H","DateFormat=P","Fill=—","Direction=H","UseDPDF=Y")</f>
        <v>#NAME?</v>
      </c>
      <c r="AH101" s="1" t="e">
        <f ca="1">_xll.BDH($C$78,"TOTAL_DEBT_1_YEAR_GROWTH","FQ3 2018","FQ3 2018","Currency=INR","Period=FQ","BEST_FPERIOD_OVERRIDE=FQ","FILING_STATUS=OR","EQY_CONSOLIDATED=Y","Sort=A","Dates=H","DateFormat=P","Fill=—","Direction=H","UseDPDF=Y")</f>
        <v>#NAME?</v>
      </c>
      <c r="AI101" s="1" t="e">
        <f ca="1">_xll.BDH($C$78,"TOTAL_EQUITY_1_YEAR_GROWTH","FQ3 2018","FQ3 2018","Currency=INR","Period=FQ","BEST_FPERIOD_OVERRIDE=FQ","FILING_STATUS=OR","EQY_CONSOLIDATED=Y","Sort=A","Dates=H","DateFormat=P","Fill=—","Direction=H","UseDPDF=Y")</f>
        <v>#NAME?</v>
      </c>
      <c r="AJ101" s="1" t="e">
        <f ca="1">_xll.BDH($C$78,"GROWTH_IN_CAP","FQ3 2018","FQ3 2018","Currency=INR","Period=FQ","BEST_FPERIOD_OVERRIDE=FQ","FILING_STATUS=OR","EQY_CONSOLIDATED=Y","Sort=A","Dates=H","DateFormat=P","Fill=—","Direction=H","UseDPDF=Y")</f>
        <v>#NAME?</v>
      </c>
      <c r="AK101" s="1" t="e">
        <f ca="1">_xll.BDH($C$78,"BVPS_GROWTH","FQ3 2018","FQ3 2018","Currency=INR","Period=FQ","BEST_FPERIOD_OVERRIDE=FQ","FILING_STATUS=OR","EQY_CONSOLIDATED=Y","Sort=A","Dates=H","DateFormat=P","Fill=—","Direction=H","UseDPDF=Y")</f>
        <v>#NAME?</v>
      </c>
      <c r="AL101" s="1" t="e">
        <f ca="1">_xll.BDH($C$78,"CASH_FLOW_GROWTH","FQ3 2018","FQ3 2018","Currency=INR","Period=FQ","BEST_FPERIOD_OVERRIDE=FQ","FILING_STATUS=OR","EQY_CONSOLIDATED=Y","Sort=A","Dates=H","DateFormat=P","Fill=—","Direction=H","UseDPDF=Y")</f>
        <v>#NAME?</v>
      </c>
      <c r="AM101" s="1" t="e">
        <f ca="1">_xll.BDH($C$78,"GEO_GROW_NET_SALES","FQ3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01" s="1" t="e">
        <f ca="1">_xll.BDH($C$78,"GEO_GROW_EBITDA","FQ3 2018","FQ3 2018","Currency=INR","Period=FQ","BEST_FPERIOD_OVERRIDE=FQ","FILING_STATUS=OR","EQY_CONSOLIDATED=Y","FA_ADJUSTED=GAAP","Sort=A","Dates=H","DateFormat=P","Fill=—","Direction=H","UseDPDF=Y")</f>
        <v>#NAME?</v>
      </c>
      <c r="AO101" s="1" t="e">
        <f ca="1">_xll.BDH($C$78,"GEO_GROW_OPER_INC","FQ3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01" s="1" t="e">
        <f ca="1">_xll.BDH($C$78,"NET_INCOME_TO_COMMON_5_YR_GROWTH","FQ3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01" s="1" t="e">
        <f ca="1">_xll.BDH($C$78,"5Y_GEO_GROWTH_DILUTED_EPS","FQ3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01" s="1" t="e">
        <f ca="1">_xll.BDH($C$78,"GEO_GROW_DVD_PER_SH","FQ3 2018","FQ3 2018","Currency=INR","Period=FQ","BEST_FPERIOD_OVERRIDE=FQ","FILING_STATUS=OR","EQY_CONSOLIDATED=Y","Sort=A","Dates=H","DateFormat=P","Fill=—","Direction=H","UseDPDF=Y")</f>
        <v>#NAME?</v>
      </c>
      <c r="AS101" s="1" t="e">
        <f ca="1">_xll.BDH($C$78,"ACCOUNTS_RECEIVABLE_5_YR_GROWTH","FQ3 2018","FQ3 2018","Currency=INR","Period=FQ","BEST_FPERIOD_OVERRIDE=FQ","FILING_STATUS=OR","EQY_CONSOLIDATED=Y","Sort=A","Dates=H","DateFormat=P","Fill=—","Direction=H","UseDPDF=Y")</f>
        <v>#NAME?</v>
      </c>
      <c r="AT101" s="1" t="e">
        <f ca="1">_xll.BDH($C$78,"INVENTORY_5_YEAR_GROWTH","FQ3 2018","FQ3 2018","Currency=INR","Period=FQ","BEST_FPERIOD_OVERRIDE=FQ","FILING_STATUS=OR","EQY_CONSOLIDATED=Y","Sort=A","Dates=H","DateFormat=P","Fill=—","Direction=H","UseDPDF=Y")</f>
        <v>#NAME?</v>
      </c>
      <c r="AU101" s="1" t="e">
        <f ca="1">_xll.BDH($C$78,"NET_FIXED_ASSETS_5_YEAR_GROWTH","FQ3 2018","FQ3 2018","Currency=INR","Period=FQ","BEST_FPERIOD_OVERRIDE=FQ","FILING_STATUS=OR","EQY_CONSOLIDATED=Y","Sort=A","Dates=H","DateFormat=P","Fill=—","Direction=H","UseDPDF=Y")</f>
        <v>#NAME?</v>
      </c>
      <c r="AV101" s="1" t="e">
        <f ca="1">_xll.BDH($C$78,"GEO_GROW_TOT_ASSET","FQ3 2018","FQ3 2018","Currency=INR","Period=FQ","BEST_FPERIOD_OVERRIDE=FQ","FILING_STATUS=OR","EQY_CONSOLIDATED=Y","Sort=A","Dates=H","DateFormat=P","Fill=—","Direction=H","UseDPDF=Y")</f>
        <v>#NAME?</v>
      </c>
      <c r="AW101" s="1" t="e">
        <f ca="1">_xll.BDH($C$78,"MODIFIED_WORKING_CPTL_5YR_GRWTH","FQ3 2018","FQ3 2018","Currency=INR","Period=FQ","BEST_FPERIOD_OVERRIDE=FQ","FILING_STATUS=OR","EQY_CONSOLIDATED=Y","Sort=A","Dates=H","DateFormat=P","Fill=—","Direction=H","UseDPDF=Y")</f>
        <v>#NAME?</v>
      </c>
      <c r="AX101" s="1" t="e">
        <f ca="1">_xll.BDH($C$78,"WORKING_CAPITAL_5_YEAR_GROWTH","FQ3 2018","FQ3 2018","Currency=INR","Period=FQ","BEST_FPERIOD_OVERRIDE=FQ","FILING_STATUS=OR","EQY_CONSOLIDATED=Y","Sort=A","Dates=H","DateFormat=P","Fill=—","Direction=H","UseDPDF=Y")</f>
        <v>#NAME?</v>
      </c>
      <c r="AY101" s="1" t="e">
        <f ca="1">_xll.BDH($C$78,"ACCOUNTS_PAYABLE_5_YEAR_GROWTH","FQ3 2018","FQ3 2018","Currency=INR","Period=FQ","BEST_FPERIOD_OVERRIDE=FQ","FILING_STATUS=OR","EQY_CONSOLIDATED=Y","Sort=A","Dates=H","DateFormat=P","Fill=—","Direction=H","UseDPDF=Y")</f>
        <v>#NAME?</v>
      </c>
      <c r="AZ101" s="1" t="e">
        <f ca="1">_xll.BDH($C$78,"SHORT_TERM_DEBT_5_YEAR_GROWTH","FQ3 2018","FQ3 2018","Currency=INR","Period=FQ","BEST_FPERIOD_OVERRIDE=FQ","FILING_STATUS=OR","EQY_CONSOLIDATED=Y","Sort=A","Dates=H","DateFormat=P","Fill=—","Direction=H","UseDPDF=Y")</f>
        <v>#NAME?</v>
      </c>
      <c r="BA101" s="1" t="e">
        <f ca="1">_xll.BDH($C$78,"TOTAL_DEBT_5_YEAR_GROWTH","FQ3 2018","FQ3 2018","Currency=INR","Period=FQ","BEST_FPERIOD_OVERRIDE=FQ","FILING_STATUS=OR","EQY_CONSOLIDATED=Y","Sort=A","Dates=H","DateFormat=P","Fill=—","Direction=H","UseDPDF=Y")</f>
        <v>#NAME?</v>
      </c>
      <c r="BB101" s="1" t="e">
        <f ca="1">_xll.BDH($C$78,"GEO_GROW_TOT_SHRHLDR_EQY","FQ3 2018","FQ3 2018","Currency=INR","Period=FQ","BEST_FPERIOD_OVERRIDE=FQ","FILING_STATUS=OR","EQY_CONSOLIDATED=Y","Sort=A","Dates=H","DateFormat=P","Fill=—","Direction=H","UseDPDF=Y")</f>
        <v>#NAME?</v>
      </c>
      <c r="BC101" s="1" t="e">
        <f ca="1">_xll.BDH($C$78,"TOTAL_CAPITAL_5_YEAR_GROWTH","FQ3 2018","FQ3 2018","Currency=INR","Period=FQ","BEST_FPERIOD_OVERRIDE=FQ","FILING_STATUS=OR","EQY_CONSOLIDATED=Y","Sort=A","Dates=H","DateFormat=P","Fill=—","Direction=H","UseDPDF=Y")</f>
        <v>#NAME?</v>
      </c>
      <c r="BD101" s="1" t="e">
        <f ca="1">_xll.BDH($C$78,"GEO_GROW_BOOK_VAL","FQ3 2018","FQ3 2018","Currency=INR","Period=FQ","BEST_FPERIOD_OVERRIDE=FQ","FILING_STATUS=OR","EQY_CONSOLIDATED=Y","Sort=A","Dates=H","DateFormat=P","Fill=—","Direction=H","UseDPDF=Y")</f>
        <v>#NAME?</v>
      </c>
      <c r="BE101" s="1" t="e">
        <f ca="1">_xll.BDH($C$78,"GEO_GROW_CASH_OPER_ACT","FQ3 2018","FQ3 2018","Currency=INR","Period=FQ","BEST_FPERIOD_OVERRIDE=FQ","FILING_STATUS=OR","EQY_CONSOLIDATED=Y","Sort=A","Dates=H","DateFormat=P","Fill=—","Direction=H","UseDPDF=Y")</f>
        <v>#NAME?</v>
      </c>
      <c r="BF101" s="1" t="e">
        <f ca="1">_xll.BDH($C$78,"REVENUE_SEQUENTIAL_GROWTH","FQ3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01" s="1" t="e">
        <f ca="1">_xll.BDH($C$78,"EBITDA_SEQUENTIAL_GROWTH","FQ3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01" s="1" t="e">
        <f ca="1">_xll.BDH($C$78,"OPERATING_INCOME_SEQ_GROWTH","FQ3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01" s="1" t="e">
        <f ca="1">_xll.BDH($C$78,"NET_INCOME_TO_COMMON_SEQ_GROWTH","FQ3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01" s="1" t="e">
        <f ca="1">_xll.BDH($C$78,"EPS_DILUTED_SEQUENTIAL_GROWTH","FQ3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01" s="1" t="e">
        <f ca="1">_xll.BDH($C$78,"DPS_SEQUENTIAL_GROWTH","FQ3 2018","FQ3 2018","Currency=INR","Period=FQ","BEST_FPERIOD_OVERRIDE=FQ","FILING_STATUS=OR","EQY_CONSOLIDATED=Y","Sort=A","Dates=H","DateFormat=P","Fill=—","Direction=H","UseDPDF=Y")</f>
        <v>#NAME?</v>
      </c>
      <c r="BL101" s="1" t="e">
        <f ca="1">_xll.BDH($C$78,"ACCOUNTS_RECEIVABLE_SEQ_GROWTH","FQ3 2018","FQ3 2018","Currency=INR","Period=FQ","BEST_FPERIOD_OVERRIDE=FQ","FILING_STATUS=OR","EQY_CONSOLIDATED=Y","Sort=A","Dates=H","DateFormat=P","Fill=—","Direction=H","UseDPDF=Y")</f>
        <v>#NAME?</v>
      </c>
      <c r="BM101" s="1" t="e">
        <f ca="1">_xll.BDH($C$78,"INVENTORY_SEQUENTIAL_GROWTH","FQ3 2018","FQ3 2018","Currency=INR","Period=FQ","BEST_FPERIOD_OVERRIDE=FQ","FILING_STATUS=OR","EQY_CONSOLIDATED=Y","Sort=A","Dates=H","DateFormat=P","Fill=—","Direction=H","UseDPDF=Y")</f>
        <v>#NAME?</v>
      </c>
      <c r="BN101" s="1" t="e">
        <f ca="1">_xll.BDH($C$78,"FIXED_ASSETS_SEQUENTIAL_GROWTH","FQ3 2018","FQ3 2018","Currency=INR","Period=FQ","BEST_FPERIOD_OVERRIDE=FQ","FILING_STATUS=OR","EQY_CONSOLIDATED=Y","Sort=A","Dates=H","DateFormat=P","Fill=—","Direction=H","UseDPDF=Y")</f>
        <v>#NAME?</v>
      </c>
      <c r="BO101" s="1" t="e">
        <f ca="1">_xll.BDH($C$78,"TOTAL_ASSETS_SEQUENTIAL_GROWTH","FQ3 2018","FQ3 2018","Currency=INR","Period=FQ","BEST_FPERIOD_OVERRIDE=FQ","FILING_STATUS=OR","EQY_CONSOLIDATED=Y","Sort=A","Dates=H","DateFormat=P","Fill=—","Direction=H","UseDPDF=Y")</f>
        <v>#NAME?</v>
      </c>
      <c r="BP101" s="1" t="e">
        <f ca="1">_xll.BDH($C$78,"MODIFIED_WORKING_CPTL_SEQ_GRWTH","FQ3 2018","FQ3 2018","Currency=INR","Period=FQ","BEST_FPERIOD_OVERRIDE=FQ","FILING_STATUS=OR","EQY_CONSOLIDATED=Y","Sort=A","Dates=H","DateFormat=P","Fill=—","Direction=H","UseDPDF=Y")</f>
        <v>#NAME?</v>
      </c>
      <c r="BQ101" s="1" t="e">
        <f ca="1">_xll.BDH($C$78,"WORKING_CAPITAL_SEQ_GROWTH","FQ3 2018","FQ3 2018","Currency=INR","Period=FQ","BEST_FPERIOD_OVERRIDE=FQ","FILING_STATUS=OR","EQY_CONSOLIDATED=Y","Sort=A","Dates=H","DateFormat=P","Fill=—","Direction=H","UseDPDF=Y")</f>
        <v>#NAME?</v>
      </c>
      <c r="BR101" s="1" t="e">
        <f ca="1">_xll.BDH($C$78,"ACCOUNTS_PAYABLE_SEQ_GROWTH","FQ3 2018","FQ3 2018","Currency=INR","Period=FQ","BEST_FPERIOD_OVERRIDE=FQ","FILING_STATUS=OR","EQY_CONSOLIDATED=Y","Sort=A","Dates=H","DateFormat=P","Fill=—","Direction=H","UseDPDF=Y")</f>
        <v>#NAME?</v>
      </c>
      <c r="BS101" s="1" t="e">
        <f ca="1">_xll.BDH($C$78,"ST_DEBT_SEQUENTIAL_GROWTH","FQ3 2018","FQ3 2018","Currency=INR","Period=FQ","BEST_FPERIOD_OVERRIDE=FQ","FILING_STATUS=OR","EQY_CONSOLIDATED=Y","Sort=A","Dates=H","DateFormat=P","Fill=—","Direction=H","UseDPDF=Y")</f>
        <v>#NAME?</v>
      </c>
      <c r="BT101" s="1" t="e">
        <f ca="1">_xll.BDH($C$78,"TOTAL_DEBT_SEQUENTIAL_GROWTH","FQ3 2018","FQ3 2018","Currency=INR","Period=FQ","BEST_FPERIOD_OVERRIDE=FQ","FILING_STATUS=OR","EQY_CONSOLIDATED=Y","Sort=A","Dates=H","DateFormat=P","Fill=—","Direction=H","UseDPDF=Y")</f>
        <v>#NAME?</v>
      </c>
      <c r="BU101" s="1" t="e">
        <f ca="1">_xll.BDH($C$78,"TOTAL_EQUITY_SEQUENTIAL_GROWTH","FQ3 2018","FQ3 2018","Currency=INR","Period=FQ","BEST_FPERIOD_OVERRIDE=FQ","FILING_STATUS=OR","EQY_CONSOLIDATED=Y","Sort=A","Dates=H","DateFormat=P","Fill=—","Direction=H","UseDPDF=Y")</f>
        <v>#NAME?</v>
      </c>
      <c r="BV101" s="1" t="e">
        <f ca="1">_xll.BDH($C$78,"TOTAL_CAPITAL_SEQUENTIAL_GROWTH","FQ3 2018","FQ3 2018","Currency=INR","Period=FQ","BEST_FPERIOD_OVERRIDE=FQ","FILING_STATUS=OR","EQY_CONSOLIDATED=Y","Sort=A","Dates=H","DateFormat=P","Fill=—","Direction=H","UseDPDF=Y")</f>
        <v>#NAME?</v>
      </c>
      <c r="BW101" s="1" t="e">
        <f ca="1">_xll.BDH($C$78,"BPS_SEQUENTIAL_GROWTH","FQ3 2018","FQ3 2018","Currency=INR","Period=FQ","BEST_FPERIOD_OVERRIDE=FQ","FILING_STATUS=OR","EQY_CONSOLIDATED=Y","Sort=A","Dates=H","DateFormat=P","Fill=—","Direction=H","UseDPDF=Y")</f>
        <v>#NAME?</v>
      </c>
      <c r="BX101" s="1" t="e">
        <f ca="1">_xll.BDH($C$78,"CFO_SEQUENTIAL_GROWTH","FQ3 2018","FQ3 2018","Currency=INR","Period=FQ","BEST_FPERIOD_OVERRIDE=FQ","FILING_STATUS=OR","EQY_CONSOLIDATED=Y","Sort=A","Dates=H","DateFormat=P","Fill=—","Direction=H","UseDPDF=Y")</f>
        <v>#NAME?</v>
      </c>
      <c r="BY101" s="2" t="e">
        <f ca="1">_xll.BDH($C$78,"SHORT_AND_LONG_TERM_DEBT","FQ3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01" s="2" t="e">
        <f ca="1">_xll.BDH($C$78,"BS_ST_BORROW","FQ3 2018","FQ3 2018","Currency=INR","Period=FQ","BEST_FPERIOD_OVERRIDE=FQ","FILING_STATUS=OR","EQY_CONSOLIDATED=Y","SCALING_FORMAT=MLN","Sort=A","Dates=H","DateFormat=P","Fill=—","Direction=H","UseDPDF=Y")</f>
        <v>#NAME?</v>
      </c>
      <c r="CA101" s="2" t="e">
        <f ca="1">_xll.BDH($C$78,"BS_LT_BORROW","FQ3 2018","FQ3 2018","Currency=INR","Period=FQ","BEST_FPERIOD_OVERRIDE=FQ","FILING_STATUS=OR","EQY_CONSOLIDATED=Y","SCALING_FORMAT=MLN","Sort=A","Dates=H","DateFormat=P","Fill=—","Direction=H","UseDPDF=Y")</f>
        <v>#NAME?</v>
      </c>
      <c r="CB101" s="1" t="e">
        <f ca="1">_xll.BDH($C$78,"TOT_DEBT_TO_EBITDA","FQ3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01" s="1" t="e">
        <f ca="1">_xll.BDH($C$78,"NET_DEBT_TO_EBITDA","FQ3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01" s="1" t="e">
        <f ca="1">_xll.BDH($C$78,"TOTAL_DEBT_TO_EBIT","FQ3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01" s="1" t="e">
        <f ca="1">_xll.BDH($C$78,"NET_DEBT_TO_EBIT","FQ3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101" s="1" t="e">
        <f ca="1">_xll.BDH($C$78,"EBITDA_TO_INTEREST_EXPN","FQ3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01" s="1" t="e">
        <f ca="1">_xll.BDH($C$78,"COM_EQY_TO_TOT_ASSET","FQ3 2018","FQ3 2018","Currency=INR","Period=FQ","BEST_FPERIOD_OVERRIDE=FQ","FILING_STATUS=OR","EQY_CONSOLIDATED=Y","Sort=A","Dates=H","DateFormat=P","Fill=—","Direction=H","UseDPDF=Y")</f>
        <v>#NAME?</v>
      </c>
      <c r="CH101" s="1" t="e">
        <f ca="1">_xll.BDH($C$78,"LT_DEBT_TO_TOT_EQY","FQ3 2018","FQ3 2018","Currency=INR","Period=FQ","BEST_FPERIOD_OVERRIDE=FQ","FILING_STATUS=OR","EQY_CONSOLIDATED=Y","Sort=A","Dates=H","DateFormat=P","Fill=—","Direction=H","UseDPDF=Y")</f>
        <v>#NAME?</v>
      </c>
      <c r="CI101" s="1" t="e">
        <f ca="1">_xll.BDH($C$78,"LT_DEBT_TO_TOT_CAP","FQ3 2018","FQ3 2018","Currency=INR","Period=FQ","BEST_FPERIOD_OVERRIDE=FQ","FILING_STATUS=OR","EQY_CONSOLIDATED=Y","Sort=A","Dates=H","DateFormat=P","Fill=—","Direction=H","UseDPDF=Y")</f>
        <v>#NAME?</v>
      </c>
      <c r="CJ101" s="1" t="e">
        <f ca="1">_xll.BDH($C$78,"LT_DEBT_TO_TOT_ASSET","FQ3 2018","FQ3 2018","Currency=INR","Period=FQ","BEST_FPERIOD_OVERRIDE=FQ","FILING_STATUS=OR","EQY_CONSOLIDATED=Y","Sort=A","Dates=H","DateFormat=P","Fill=—","Direction=H","UseDPDF=Y")</f>
        <v>#NAME?</v>
      </c>
      <c r="CK101" s="1" t="e">
        <f ca="1">_xll.BDH($C$78,"TOT_DEBT_TO_TOT_EQY","FQ3 2018","FQ3 2018","Currency=INR","Period=FQ","BEST_FPERIOD_OVERRIDE=FQ","FILING_STATUS=OR","EQY_CONSOLIDATED=Y","Sort=A","Dates=H","DateFormat=P","Fill=—","Direction=H","UseDPDF=Y")</f>
        <v>#NAME?</v>
      </c>
      <c r="CL101" s="1" t="e">
        <f ca="1">_xll.BDH($C$78,"TOT_DEBT_TO_TOT_CAP","FQ3 2018","FQ3 2018","Currency=INR","Period=FQ","BEST_FPERIOD_OVERRIDE=FQ","FILING_STATUS=OR","EQY_CONSOLIDATED=Y","Sort=A","Dates=H","DateFormat=P","Fill=—","Direction=H","UseDPDF=Y")</f>
        <v>#NAME?</v>
      </c>
      <c r="CM101" s="1" t="e">
        <f ca="1">_xll.BDH($C$78,"TOT_DEBT_TO_TOT_ASSET","FQ3 2018","FQ3 2018","Currency=INR","Period=FQ","BEST_FPERIOD_OVERRIDE=FQ","FILING_STATUS=OR","EQY_CONSOLIDATED=Y","Sort=A","Dates=H","DateFormat=P","Fill=—","Direction=H","UseDPDF=Y")</f>
        <v>#NAME?</v>
      </c>
      <c r="CN101" s="1" t="e">
        <f ca="1">_xll.BDH($C$78,"NET_DEBT_TO_SHRHLDR_EQTY","FQ3 2018","FQ3 2018","Currency=INR","Period=FQ","BEST_FPERIOD_OVERRIDE=FQ","FILING_STATUS=OR","EQY_CONSOLIDATED=Y","Sort=A","Dates=H","DateFormat=P","Fill=—","Direction=H","UseDPDF=Y")</f>
        <v>#NAME?</v>
      </c>
      <c r="CO101" s="1" t="e">
        <f ca="1">_xll.BDH($C$78,"NET_DEBT_%_CAPITAL","FQ3 2018","FQ3 2018","Currency=INR","Period=FQ","BEST_FPERIOD_OVERRIDE=FQ","FILING_STATUS=OR","EQY_CONSOLIDATED=Y","Sort=A","Dates=H","DateFormat=P","Fill=—","Direction=H","UseDPDF=Y")</f>
        <v>#NAME?</v>
      </c>
      <c r="CP101" s="2" t="e">
        <f ca="1">_xll.BDH($C$78,"EBITDA","FQ3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01" s="2" t="e">
        <f ca="1">_xll.BDH($C$78,"EBITDA_AFTER_CAPEX","FQ3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01" s="2" t="e">
        <f ca="1">_xll.BDH($C$78,"IS_OPER_INC","FQ3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01" s="1" t="e">
        <f ca="1">_xll.BDH($C$78,"CASH_RATIO","FQ3 2018","FQ3 2018","Currency=INR","Period=FQ","BEST_FPERIOD_OVERRIDE=FQ","FILING_STATUS=OR","EQY_CONSOLIDATED=Y","Sort=A","Dates=H","DateFormat=P","Fill=—","Direction=H","UseDPDF=Y")</f>
        <v>#NAME?</v>
      </c>
      <c r="CT101" s="1" t="e">
        <f ca="1">_xll.BDH($C$78,"CUR_RATIO","FQ3 2018","FQ3 2018","Currency=INR","Period=FQ","BEST_FPERIOD_OVERRIDE=FQ","FILING_STATUS=OR","EQY_CONSOLIDATED=Y","Sort=A","Dates=H","DateFormat=P","Fill=—","Direction=H","UseDPDF=Y")</f>
        <v>#NAME?</v>
      </c>
      <c r="CU101" s="1" t="e">
        <f ca="1">_xll.BDH($C$78,"QUICK_RATIO","FQ3 2018","FQ3 2018","Currency=INR","Period=FQ","BEST_FPERIOD_OVERRIDE=FQ","FILING_STATUS=OR","EQY_CONSOLIDATED=Y","Sort=A","Dates=H","DateFormat=P","Fill=—","Direction=H","UseDPDF=Y")</f>
        <v>#NAME?</v>
      </c>
      <c r="CV101" s="1" t="e">
        <f ca="1">_xll.BDH($C$78,"ALTMAN_Z_SCORE","FQ3 2018","FQ3 2018","Currency=INR","Period=FQ","BEST_FPERIOD_OVERRIDE=FQ","FILING_STATUS=OR","EQY_CONSOLIDATED=Y","Sort=A","Dates=H","DateFormat=P","Fill=—","Direction=H","UseDPDF=Y")</f>
        <v>#NAME?</v>
      </c>
      <c r="CW101" s="3" t="e">
        <f ca="1">_xll.BDH($C$78,"ACCT_RCV_TURN","FQ3 2018","FQ3 2018","Currency=INR","Period=FQ","BEST_FPERIOD_OVERRIDE=FQ","FILING_STATUS=OR","EQY_CONSOLIDATED=Y","FA_ADJUSTED=GAAP","Sort=A","Dates=H","DateFormat=P","Fill=—","Direction=H","UseDPDF=Y")</f>
        <v>#NAME?</v>
      </c>
      <c r="CX101" s="1" t="e">
        <f ca="1">_xll.BDH($C$78,"ACCT_RCV_DAYS","FQ3 2018","FQ3 2018","Currency=INR","Period=FQ","BEST_FPERIOD_OVERRIDE=FQ","FILING_STATUS=OR","EQY_CONSOLIDATED=Y","FA_ADJUSTED=GAAP","Sort=A","Dates=H","DateFormat=P","Fill=—","Direction=H","UseDPDF=Y")</f>
        <v>#NAME?</v>
      </c>
      <c r="CY101" s="3" t="e">
        <f ca="1">_xll.BDH($C$78,"INVENT_TURN","FQ3 2018","FQ3 2018","Currency=INR","Period=FQ","BEST_FPERIOD_OVERRIDE=FQ","FILING_STATUS=OR","EQY_CONSOLIDATED=Y","FA_ADJUSTED=GAAP","Sort=A","Dates=H","DateFormat=P","Fill=—","Direction=H","UseDPDF=Y")</f>
        <v>#NAME?</v>
      </c>
      <c r="CZ101" s="1" t="e">
        <f ca="1">_xll.BDH($C$78,"INVENT_DAYS","FQ3 2018","FQ3 2018","Currency=INR","Period=FQ","BEST_FPERIOD_OVERRIDE=FQ","FILING_STATUS=OR","EQY_CONSOLIDATED=Y","FA_ADJUSTED=GAAP","Sort=A","Dates=H","DateFormat=P","Fill=—","Direction=H","UseDPDF=Y")</f>
        <v>#NAME?</v>
      </c>
      <c r="DA101" s="3" t="e">
        <f ca="1">_xll.BDH($C$78,"ACCOUNTS_PAYABLE_TURNOVER","FQ3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01" s="1" t="e">
        <f ca="1">_xll.BDH($C$78,"ACCOUNTS_PAYABLE_TURNOVER_DAYS","FQ3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01" s="3" t="e">
        <f ca="1">_xll.BDH($C$78,"CASH_CONVERSION_CYCLE","FQ3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01" s="3" t="e">
        <f ca="1">_xll.BDH($C$78,"INV_TO_CASH_DAYS","FQ3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101" s="4" t="e">
        <f ca="1">_xll.BDH($C$78,"BS_INVENTORIES","FQ3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101" s="2" t="e">
        <f ca="1">_xll.BDH($C$78,"INVTRY_RAW_MATERIALS","FQ3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01" s="2" t="e">
        <f ca="1">_xll.BDH($C$78,"INVTRY_IN_PROGRESS","FQ3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01" s="2" t="e">
        <f ca="1">_xll.BDH($C$78,"INVTRY_FINISHED_GOODS","FQ3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01" s="2" t="e">
        <f ca="1">_xll.BDH($C$78,"BS_OTHER_INV","FQ3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02" spans="1:113" x14ac:dyDescent="0.3">
      <c r="A102" s="6"/>
      <c r="B102" s="6"/>
      <c r="C102" s="6"/>
      <c r="D102" s="6"/>
      <c r="E102" t="s">
        <v>7</v>
      </c>
      <c r="F102" t="e">
        <f ca="1">_xll.BDH($C$78,"RETURN_COM_EQY","FQ4 2018","FQ4 2018","Currency=INR","Period=FQ","BEST_FPERIOD_OVERRIDE=FQ","FILING_STATUS=OR","EQY_CONSOLIDATED=Y","FA_ADJUSTED=GAAP","Sort=A","Dates=H","DateFormat=P","Fill=—","Direction=H","UseDPDF=Y")</f>
        <v>#NAME?</v>
      </c>
      <c r="G102" t="e">
        <f ca="1">_xll.BDH($C$78,"RETURN_ON_ASSET","FQ4 2018","FQ4 2018","Currency=INR","Period=FQ","BEST_FPERIOD_OVERRIDE=FQ","FILING_STATUS=OR","EQY_CONSOLIDATED=Y","FA_ADJUSTED=GAAP","Sort=A","Dates=H","DateFormat=P","Fill=—","Direction=H","UseDPDF=Y")</f>
        <v>#NAME?</v>
      </c>
      <c r="H102" t="e">
        <f ca="1">_xll.BDH($C$78,"RETURN_ON_CAP","FQ4 2018","FQ4 2018","Currency=INR","Period=FQ","BEST_FPERIOD_OVERRIDE=FQ","FILING_STATUS=OR","EQY_CONSOLIDATED=Y","FA_ADJUSTED=GAAP","Sort=A","Dates=H","DateFormat=P","Fill=—","Direction=H","UseDPDF=Y")</f>
        <v>#NAME?</v>
      </c>
      <c r="I102" t="e">
        <f ca="1">_xll.BDH($C$78,"RETURN_ON_INV_CAPITAL","FQ4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02" t="e">
        <f ca="1">_xll.BDH($C$78,"EBITDA_TO_REVENUE","FQ4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102" t="e">
        <f ca="1">_xll.BDH($C$78,"OPER_MARGIN","FQ4 2018","FQ4 2018","Currency=INR","Period=FQ","BEST_FPERIOD_OVERRIDE=FQ","FILING_STATUS=OR","EQY_CONSOLIDATED=Y","FA_ADJUSTED=GAAP","Sort=A","Dates=H","DateFormat=P","Fill=—","Direction=H","UseDPDF=Y")</f>
        <v>#NAME?</v>
      </c>
      <c r="L102" t="e">
        <f ca="1">_xll.BDH($C$78,"INCREMENTAL_OPERATING_MARGIN","FQ4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02" t="e">
        <f ca="1">_xll.BDH($C$78,"PRETAX_INC_TO_NET_SALES","FQ4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02" t="e">
        <f ca="1">_xll.BDH($C$78,"INC_BEF_XO_ITEMS_TO_NET_SALES","FQ4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02" t="e">
        <f ca="1">_xll.BDH($C$78,"PROF_MARGIN","FQ4 2018","FQ4 2018","Currency=INR","Period=FQ","BEST_FPERIOD_OVERRIDE=FQ","FILING_STATUS=OR","EQY_CONSOLIDATED=Y","FA_ADJUSTED=GAAP","Sort=A","Dates=H","DateFormat=P","Fill=—","Direction=H","UseDPDF=Y")</f>
        <v>#NAME?</v>
      </c>
      <c r="P102" t="e">
        <f ca="1">_xll.BDH($C$78,"NET_INCOME_TO_COMMON_MARGIN","FQ4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02" t="e">
        <f ca="1">_xll.BDH($C$78,"EFF_TAX_RATE","FQ4 2018","FQ4 2018","Currency=INR","Period=FQ","BEST_FPERIOD_OVERRIDE=FQ","FILING_STATUS=OR","EQY_CONSOLIDATED=Y","FA_ADJUSTED=GAAP","Sort=A","Dates=H","DateFormat=P","Fill=—","Direction=H","UseDPDF=Y")</f>
        <v>#NAME?</v>
      </c>
      <c r="R102" t="e">
        <f ca="1">_xll.BDH($C$78,"DVD_PAYOUT_RATIO","FQ4 2018","FQ4 2018","Currency=INR","Period=FQ","BEST_FPERIOD_OVERRIDE=FQ","FILING_STATUS=OR","EQY_CONSOLIDATED=Y","FA_ADJUSTED=GAAP","Sort=A","Dates=H","DateFormat=P","Fill=—","Direction=H","UseDPDF=Y")</f>
        <v>#NAME?</v>
      </c>
      <c r="S102" t="e">
        <f ca="1">_xll.BDH($C$78,"SUSTAIN_GROWTH_RT","FQ4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102" s="1" t="e">
        <f ca="1">_xll.BDH($C$78,"SALES_GROWTH","FQ4 2018","FQ4 2018","Currency=INR","Period=FQ","BEST_FPERIOD_OVERRIDE=FQ","FILING_STATUS=OR","EQY_CONSOLIDATED=Y","FA_ADJUSTED=GAAP","Sort=A","Dates=H","DateFormat=P","Fill=—","Direction=H","UseDPDF=Y")</f>
        <v>#NAME?</v>
      </c>
      <c r="U102" s="1" t="e">
        <f ca="1">_xll.BDH($C$78,"EBITDA_GROWTH","FQ4 2018","FQ4 2018","Currency=INR","Period=FQ","BEST_FPERIOD_OVERRIDE=FQ","FILING_STATUS=OR","EQY_CONSOLIDATED=Y","FA_ADJUSTED=GAAP","Sort=A","Dates=H","DateFormat=P","Fill=—","Direction=H","UseDPDF=Y")</f>
        <v>#NAME?</v>
      </c>
      <c r="V102" s="1" t="e">
        <f ca="1">_xll.BDH($C$78,"OPER_INC_GROWTH","FQ4 2018","FQ4 2018","Currency=INR","Period=FQ","BEST_FPERIOD_OVERRIDE=FQ","FILING_STATUS=OR","EQY_CONSOLIDATED=Y","FA_ADJUSTED=GAAP","Sort=A","Dates=H","DateFormat=P","Fill=—","Direction=H","UseDPDF=Y")</f>
        <v>#NAME?</v>
      </c>
      <c r="W102" s="1" t="e">
        <f ca="1">_xll.BDH($C$78,"EARN_FOR_COM_GROWTH","FQ4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02" s="1" t="e">
        <f ca="1">_xll.BDH($C$78,"DILUTED_EPS_AFT_XO_ITEMS_GROWTH","FQ4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02" s="1" t="e">
        <f ca="1">_xll.BDH($C$78,"DIVIDEND_PER_SHARE_1_YEAR_GROWTH","FQ4 2018","FQ4 2018","Currency=INR","Period=FQ","BEST_FPERIOD_OVERRIDE=FQ","FILING_STATUS=OR","EQY_CONSOLIDATED=Y","Sort=A","Dates=H","DateFormat=P","Fill=—","Direction=H","UseDPDF=Y")</f>
        <v>#NAME?</v>
      </c>
      <c r="Z102" s="1" t="e">
        <f ca="1">_xll.BDH($C$78,"ACCOUNTS_RECEIVABLE_GROWTH","FQ4 2018","FQ4 2018","Currency=INR","Period=FQ","BEST_FPERIOD_OVERRIDE=FQ","FILING_STATUS=OR","EQY_CONSOLIDATED=Y","Sort=A","Dates=H","DateFormat=P","Fill=—","Direction=H","UseDPDF=Y")</f>
        <v>#NAME?</v>
      </c>
      <c r="AA102" s="1" t="e">
        <f ca="1">_xll.BDH($C$78,"INVENTORY_GROWTH","FQ4 2018","FQ4 2018","Currency=INR","Period=FQ","BEST_FPERIOD_OVERRIDE=FQ","FILING_STATUS=OR","EQY_CONSOLIDATED=Y","Sort=A","Dates=H","DateFormat=P","Fill=—","Direction=H","UseDPDF=Y")</f>
        <v>#NAME?</v>
      </c>
      <c r="AB102" s="1" t="e">
        <f ca="1">_xll.BDH($C$78,"NET_FIXED_ASSETS_1_YEAR_GROWTH","FQ4 2018","FQ4 2018","Currency=INR","Period=FQ","BEST_FPERIOD_OVERRIDE=FQ","FILING_STATUS=OR","EQY_CONSOLIDATED=Y","Sort=A","Dates=H","DateFormat=P","Fill=—","Direction=H","UseDPDF=Y")</f>
        <v>#NAME?</v>
      </c>
      <c r="AC102" s="1" t="e">
        <f ca="1">_xll.BDH($C$78,"ASSET_GROWTH","FQ4 2018","FQ4 2018","Currency=INR","Period=FQ","BEST_FPERIOD_OVERRIDE=FQ","FILING_STATUS=OR","EQY_CONSOLIDATED=Y","Sort=A","Dates=H","DateFormat=P","Fill=—","Direction=H","UseDPDF=Y")</f>
        <v>#NAME?</v>
      </c>
      <c r="AD102" s="1" t="e">
        <f ca="1">_xll.BDH($C$78,"MODIFIED_WORK_CAP_GROWTH","FQ4 2018","FQ4 2018","Currency=INR","Period=FQ","BEST_FPERIOD_OVERRIDE=FQ","FILING_STATUS=OR","EQY_CONSOLIDATED=Y","Sort=A","Dates=H","DateFormat=P","Fill=—","Direction=H","UseDPDF=Y")</f>
        <v>#NAME?</v>
      </c>
      <c r="AE102" s="1" t="e">
        <f ca="1">_xll.BDH($C$78,"WORK_CAP_GROWTH","FQ4 2018","FQ4 2018","Currency=INR","Period=FQ","BEST_FPERIOD_OVERRIDE=FQ","FILING_STATUS=OR","EQY_CONSOLIDATED=Y","Sort=A","Dates=H","DateFormat=P","Fill=—","Direction=H","UseDPDF=Y")</f>
        <v>#NAME?</v>
      </c>
      <c r="AF102" s="1" t="e">
        <f ca="1">_xll.BDH($C$78,"ACCOUNTS_PAYABLE_GROWTH_1YR","FQ4 2018","FQ4 2018","Currency=INR","Period=FQ","BEST_FPERIOD_OVERRIDE=FQ","FILING_STATUS=OR","EQY_CONSOLIDATED=Y","Sort=A","Dates=H","DateFormat=P","Fill=—","Direction=H","UseDPDF=Y")</f>
        <v>#NAME?</v>
      </c>
      <c r="AG102" s="1" t="e">
        <f ca="1">_xll.BDH($C$78,"SHORT_TERM_DEBT_1_YEAR_GROWTH","FQ4 2018","FQ4 2018","Currency=INR","Period=FQ","BEST_FPERIOD_OVERRIDE=FQ","FILING_STATUS=OR","EQY_CONSOLIDATED=Y","Sort=A","Dates=H","DateFormat=P","Fill=—","Direction=H","UseDPDF=Y")</f>
        <v>#NAME?</v>
      </c>
      <c r="AH102" s="1" t="e">
        <f ca="1">_xll.BDH($C$78,"TOTAL_DEBT_1_YEAR_GROWTH","FQ4 2018","FQ4 2018","Currency=INR","Period=FQ","BEST_FPERIOD_OVERRIDE=FQ","FILING_STATUS=OR","EQY_CONSOLIDATED=Y","Sort=A","Dates=H","DateFormat=P","Fill=—","Direction=H","UseDPDF=Y")</f>
        <v>#NAME?</v>
      </c>
      <c r="AI102" s="1" t="e">
        <f ca="1">_xll.BDH($C$78,"TOTAL_EQUITY_1_YEAR_GROWTH","FQ4 2018","FQ4 2018","Currency=INR","Period=FQ","BEST_FPERIOD_OVERRIDE=FQ","FILING_STATUS=OR","EQY_CONSOLIDATED=Y","Sort=A","Dates=H","DateFormat=P","Fill=—","Direction=H","UseDPDF=Y")</f>
        <v>#NAME?</v>
      </c>
      <c r="AJ102" s="1" t="e">
        <f ca="1">_xll.BDH($C$78,"GROWTH_IN_CAP","FQ4 2018","FQ4 2018","Currency=INR","Period=FQ","BEST_FPERIOD_OVERRIDE=FQ","FILING_STATUS=OR","EQY_CONSOLIDATED=Y","Sort=A","Dates=H","DateFormat=P","Fill=—","Direction=H","UseDPDF=Y")</f>
        <v>#NAME?</v>
      </c>
      <c r="AK102" s="1" t="e">
        <f ca="1">_xll.BDH($C$78,"BVPS_GROWTH","FQ4 2018","FQ4 2018","Currency=INR","Period=FQ","BEST_FPERIOD_OVERRIDE=FQ","FILING_STATUS=OR","EQY_CONSOLIDATED=Y","Sort=A","Dates=H","DateFormat=P","Fill=—","Direction=H","UseDPDF=Y")</f>
        <v>#NAME?</v>
      </c>
      <c r="AL102" s="1" t="e">
        <f ca="1">_xll.BDH($C$78,"CASH_FLOW_GROWTH","FQ4 2018","FQ4 2018","Currency=INR","Period=FQ","BEST_FPERIOD_OVERRIDE=FQ","FILING_STATUS=OR","EQY_CONSOLIDATED=Y","Sort=A","Dates=H","DateFormat=P","Fill=—","Direction=H","UseDPDF=Y")</f>
        <v>#NAME?</v>
      </c>
      <c r="AM102" s="1" t="e">
        <f ca="1">_xll.BDH($C$78,"GEO_GROW_NET_SALES","FQ4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02" s="1" t="e">
        <f ca="1">_xll.BDH($C$78,"GEO_GROW_EBITDA","FQ4 2018","FQ4 2018","Currency=INR","Period=FQ","BEST_FPERIOD_OVERRIDE=FQ","FILING_STATUS=OR","EQY_CONSOLIDATED=Y","FA_ADJUSTED=GAAP","Sort=A","Dates=H","DateFormat=P","Fill=—","Direction=H","UseDPDF=Y")</f>
        <v>#NAME?</v>
      </c>
      <c r="AO102" s="1" t="e">
        <f ca="1">_xll.BDH($C$78,"GEO_GROW_OPER_INC","FQ4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02" s="1" t="e">
        <f ca="1">_xll.BDH($C$78,"NET_INCOME_TO_COMMON_5_YR_GROWTH","FQ4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02" s="1" t="e">
        <f ca="1">_xll.BDH($C$78,"5Y_GEO_GROWTH_DILUTED_EPS","FQ4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02" s="1" t="e">
        <f ca="1">_xll.BDH($C$78,"GEO_GROW_DVD_PER_SH","FQ4 2018","FQ4 2018","Currency=INR","Period=FQ","BEST_FPERIOD_OVERRIDE=FQ","FILING_STATUS=OR","EQY_CONSOLIDATED=Y","Sort=A","Dates=H","DateFormat=P","Fill=—","Direction=H","UseDPDF=Y")</f>
        <v>#NAME?</v>
      </c>
      <c r="AS102" s="1" t="e">
        <f ca="1">_xll.BDH($C$78,"ACCOUNTS_RECEIVABLE_5_YR_GROWTH","FQ4 2018","FQ4 2018","Currency=INR","Period=FQ","BEST_FPERIOD_OVERRIDE=FQ","FILING_STATUS=OR","EQY_CONSOLIDATED=Y","Sort=A","Dates=H","DateFormat=P","Fill=—","Direction=H","UseDPDF=Y")</f>
        <v>#NAME?</v>
      </c>
      <c r="AT102" s="1" t="e">
        <f ca="1">_xll.BDH($C$78,"INVENTORY_5_YEAR_GROWTH","FQ4 2018","FQ4 2018","Currency=INR","Period=FQ","BEST_FPERIOD_OVERRIDE=FQ","FILING_STATUS=OR","EQY_CONSOLIDATED=Y","Sort=A","Dates=H","DateFormat=P","Fill=—","Direction=H","UseDPDF=Y")</f>
        <v>#NAME?</v>
      </c>
      <c r="AU102" s="1" t="e">
        <f ca="1">_xll.BDH($C$78,"NET_FIXED_ASSETS_5_YEAR_GROWTH","FQ4 2018","FQ4 2018","Currency=INR","Period=FQ","BEST_FPERIOD_OVERRIDE=FQ","FILING_STATUS=OR","EQY_CONSOLIDATED=Y","Sort=A","Dates=H","DateFormat=P","Fill=—","Direction=H","UseDPDF=Y")</f>
        <v>#NAME?</v>
      </c>
      <c r="AV102" s="1" t="e">
        <f ca="1">_xll.BDH($C$78,"GEO_GROW_TOT_ASSET","FQ4 2018","FQ4 2018","Currency=INR","Period=FQ","BEST_FPERIOD_OVERRIDE=FQ","FILING_STATUS=OR","EQY_CONSOLIDATED=Y","Sort=A","Dates=H","DateFormat=P","Fill=—","Direction=H","UseDPDF=Y")</f>
        <v>#NAME?</v>
      </c>
      <c r="AW102" s="1" t="e">
        <f ca="1">_xll.BDH($C$78,"MODIFIED_WORKING_CPTL_5YR_GRWTH","FQ4 2018","FQ4 2018","Currency=INR","Period=FQ","BEST_FPERIOD_OVERRIDE=FQ","FILING_STATUS=OR","EQY_CONSOLIDATED=Y","Sort=A","Dates=H","DateFormat=P","Fill=—","Direction=H","UseDPDF=Y")</f>
        <v>#NAME?</v>
      </c>
      <c r="AX102" s="1" t="e">
        <f ca="1">_xll.BDH($C$78,"WORKING_CAPITAL_5_YEAR_GROWTH","FQ4 2018","FQ4 2018","Currency=INR","Period=FQ","BEST_FPERIOD_OVERRIDE=FQ","FILING_STATUS=OR","EQY_CONSOLIDATED=Y","Sort=A","Dates=H","DateFormat=P","Fill=—","Direction=H","UseDPDF=Y")</f>
        <v>#NAME?</v>
      </c>
      <c r="AY102" s="1" t="e">
        <f ca="1">_xll.BDH($C$78,"ACCOUNTS_PAYABLE_5_YEAR_GROWTH","FQ4 2018","FQ4 2018","Currency=INR","Period=FQ","BEST_FPERIOD_OVERRIDE=FQ","FILING_STATUS=OR","EQY_CONSOLIDATED=Y","Sort=A","Dates=H","DateFormat=P","Fill=—","Direction=H","UseDPDF=Y")</f>
        <v>#NAME?</v>
      </c>
      <c r="AZ102" s="1" t="e">
        <f ca="1">_xll.BDH($C$78,"SHORT_TERM_DEBT_5_YEAR_GROWTH","FQ4 2018","FQ4 2018","Currency=INR","Period=FQ","BEST_FPERIOD_OVERRIDE=FQ","FILING_STATUS=OR","EQY_CONSOLIDATED=Y","Sort=A","Dates=H","DateFormat=P","Fill=—","Direction=H","UseDPDF=Y")</f>
        <v>#NAME?</v>
      </c>
      <c r="BA102" s="1" t="e">
        <f ca="1">_xll.BDH($C$78,"TOTAL_DEBT_5_YEAR_GROWTH","FQ4 2018","FQ4 2018","Currency=INR","Period=FQ","BEST_FPERIOD_OVERRIDE=FQ","FILING_STATUS=OR","EQY_CONSOLIDATED=Y","Sort=A","Dates=H","DateFormat=P","Fill=—","Direction=H","UseDPDF=Y")</f>
        <v>#NAME?</v>
      </c>
      <c r="BB102" s="1" t="e">
        <f ca="1">_xll.BDH($C$78,"GEO_GROW_TOT_SHRHLDR_EQY","FQ4 2018","FQ4 2018","Currency=INR","Period=FQ","BEST_FPERIOD_OVERRIDE=FQ","FILING_STATUS=OR","EQY_CONSOLIDATED=Y","Sort=A","Dates=H","DateFormat=P","Fill=—","Direction=H","UseDPDF=Y")</f>
        <v>#NAME?</v>
      </c>
      <c r="BC102" s="1" t="e">
        <f ca="1">_xll.BDH($C$78,"TOTAL_CAPITAL_5_YEAR_GROWTH","FQ4 2018","FQ4 2018","Currency=INR","Period=FQ","BEST_FPERIOD_OVERRIDE=FQ","FILING_STATUS=OR","EQY_CONSOLIDATED=Y","Sort=A","Dates=H","DateFormat=P","Fill=—","Direction=H","UseDPDF=Y")</f>
        <v>#NAME?</v>
      </c>
      <c r="BD102" s="1" t="e">
        <f ca="1">_xll.BDH($C$78,"GEO_GROW_BOOK_VAL","FQ4 2018","FQ4 2018","Currency=INR","Period=FQ","BEST_FPERIOD_OVERRIDE=FQ","FILING_STATUS=OR","EQY_CONSOLIDATED=Y","Sort=A","Dates=H","DateFormat=P","Fill=—","Direction=H","UseDPDF=Y")</f>
        <v>#NAME?</v>
      </c>
      <c r="BE102" s="1" t="e">
        <f ca="1">_xll.BDH($C$78,"GEO_GROW_CASH_OPER_ACT","FQ4 2018","FQ4 2018","Currency=INR","Period=FQ","BEST_FPERIOD_OVERRIDE=FQ","FILING_STATUS=OR","EQY_CONSOLIDATED=Y","Sort=A","Dates=H","DateFormat=P","Fill=—","Direction=H","UseDPDF=Y")</f>
        <v>#NAME?</v>
      </c>
      <c r="BF102" s="1" t="e">
        <f ca="1">_xll.BDH($C$78,"REVENUE_SEQUENTIAL_GROWTH","FQ4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02" s="1" t="e">
        <f ca="1">_xll.BDH($C$78,"EBITDA_SEQUENTIAL_GROWTH","FQ4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02" s="1" t="e">
        <f ca="1">_xll.BDH($C$78,"OPERATING_INCOME_SEQ_GROWTH","FQ4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02" s="1" t="e">
        <f ca="1">_xll.BDH($C$78,"NET_INCOME_TO_COMMON_SEQ_GROWTH","FQ4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02" s="1" t="e">
        <f ca="1">_xll.BDH($C$78,"EPS_DILUTED_SEQUENTIAL_GROWTH","FQ4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02" s="1" t="e">
        <f ca="1">_xll.BDH($C$78,"DPS_SEQUENTIAL_GROWTH","FQ4 2018","FQ4 2018","Currency=INR","Period=FQ","BEST_FPERIOD_OVERRIDE=FQ","FILING_STATUS=OR","EQY_CONSOLIDATED=Y","Sort=A","Dates=H","DateFormat=P","Fill=—","Direction=H","UseDPDF=Y")</f>
        <v>#NAME?</v>
      </c>
      <c r="BL102" s="1" t="e">
        <f ca="1">_xll.BDH($C$78,"ACCOUNTS_RECEIVABLE_SEQ_GROWTH","FQ4 2018","FQ4 2018","Currency=INR","Period=FQ","BEST_FPERIOD_OVERRIDE=FQ","FILING_STATUS=OR","EQY_CONSOLIDATED=Y","Sort=A","Dates=H","DateFormat=P","Fill=—","Direction=H","UseDPDF=Y")</f>
        <v>#NAME?</v>
      </c>
      <c r="BM102" s="1" t="e">
        <f ca="1">_xll.BDH($C$78,"INVENTORY_SEQUENTIAL_GROWTH","FQ4 2018","FQ4 2018","Currency=INR","Period=FQ","BEST_FPERIOD_OVERRIDE=FQ","FILING_STATUS=OR","EQY_CONSOLIDATED=Y","Sort=A","Dates=H","DateFormat=P","Fill=—","Direction=H","UseDPDF=Y")</f>
        <v>#NAME?</v>
      </c>
      <c r="BN102" s="1" t="e">
        <f ca="1">_xll.BDH($C$78,"FIXED_ASSETS_SEQUENTIAL_GROWTH","FQ4 2018","FQ4 2018","Currency=INR","Period=FQ","BEST_FPERIOD_OVERRIDE=FQ","FILING_STATUS=OR","EQY_CONSOLIDATED=Y","Sort=A","Dates=H","DateFormat=P","Fill=—","Direction=H","UseDPDF=Y")</f>
        <v>#NAME?</v>
      </c>
      <c r="BO102" s="1" t="e">
        <f ca="1">_xll.BDH($C$78,"TOTAL_ASSETS_SEQUENTIAL_GROWTH","FQ4 2018","FQ4 2018","Currency=INR","Period=FQ","BEST_FPERIOD_OVERRIDE=FQ","FILING_STATUS=OR","EQY_CONSOLIDATED=Y","Sort=A","Dates=H","DateFormat=P","Fill=—","Direction=H","UseDPDF=Y")</f>
        <v>#NAME?</v>
      </c>
      <c r="BP102" s="1" t="e">
        <f ca="1">_xll.BDH($C$78,"MODIFIED_WORKING_CPTL_SEQ_GRWTH","FQ4 2018","FQ4 2018","Currency=INR","Period=FQ","BEST_FPERIOD_OVERRIDE=FQ","FILING_STATUS=OR","EQY_CONSOLIDATED=Y","Sort=A","Dates=H","DateFormat=P","Fill=—","Direction=H","UseDPDF=Y")</f>
        <v>#NAME?</v>
      </c>
      <c r="BQ102" s="1" t="e">
        <f ca="1">_xll.BDH($C$78,"WORKING_CAPITAL_SEQ_GROWTH","FQ4 2018","FQ4 2018","Currency=INR","Period=FQ","BEST_FPERIOD_OVERRIDE=FQ","FILING_STATUS=OR","EQY_CONSOLIDATED=Y","Sort=A","Dates=H","DateFormat=P","Fill=—","Direction=H","UseDPDF=Y")</f>
        <v>#NAME?</v>
      </c>
      <c r="BR102" s="1" t="e">
        <f ca="1">_xll.BDH($C$78,"ACCOUNTS_PAYABLE_SEQ_GROWTH","FQ4 2018","FQ4 2018","Currency=INR","Period=FQ","BEST_FPERIOD_OVERRIDE=FQ","FILING_STATUS=OR","EQY_CONSOLIDATED=Y","Sort=A","Dates=H","DateFormat=P","Fill=—","Direction=H","UseDPDF=Y")</f>
        <v>#NAME?</v>
      </c>
      <c r="BS102" s="1" t="e">
        <f ca="1">_xll.BDH($C$78,"ST_DEBT_SEQUENTIAL_GROWTH","FQ4 2018","FQ4 2018","Currency=INR","Period=FQ","BEST_FPERIOD_OVERRIDE=FQ","FILING_STATUS=OR","EQY_CONSOLIDATED=Y","Sort=A","Dates=H","DateFormat=P","Fill=—","Direction=H","UseDPDF=Y")</f>
        <v>#NAME?</v>
      </c>
      <c r="BT102" s="1" t="e">
        <f ca="1">_xll.BDH($C$78,"TOTAL_DEBT_SEQUENTIAL_GROWTH","FQ4 2018","FQ4 2018","Currency=INR","Period=FQ","BEST_FPERIOD_OVERRIDE=FQ","FILING_STATUS=OR","EQY_CONSOLIDATED=Y","Sort=A","Dates=H","DateFormat=P","Fill=—","Direction=H","UseDPDF=Y")</f>
        <v>#NAME?</v>
      </c>
      <c r="BU102" s="1" t="e">
        <f ca="1">_xll.BDH($C$78,"TOTAL_EQUITY_SEQUENTIAL_GROWTH","FQ4 2018","FQ4 2018","Currency=INR","Period=FQ","BEST_FPERIOD_OVERRIDE=FQ","FILING_STATUS=OR","EQY_CONSOLIDATED=Y","Sort=A","Dates=H","DateFormat=P","Fill=—","Direction=H","UseDPDF=Y")</f>
        <v>#NAME?</v>
      </c>
      <c r="BV102" s="1" t="e">
        <f ca="1">_xll.BDH($C$78,"TOTAL_CAPITAL_SEQUENTIAL_GROWTH","FQ4 2018","FQ4 2018","Currency=INR","Period=FQ","BEST_FPERIOD_OVERRIDE=FQ","FILING_STATUS=OR","EQY_CONSOLIDATED=Y","Sort=A","Dates=H","DateFormat=P","Fill=—","Direction=H","UseDPDF=Y")</f>
        <v>#NAME?</v>
      </c>
      <c r="BW102" s="1" t="e">
        <f ca="1">_xll.BDH($C$78,"BPS_SEQUENTIAL_GROWTH","FQ4 2018","FQ4 2018","Currency=INR","Period=FQ","BEST_FPERIOD_OVERRIDE=FQ","FILING_STATUS=OR","EQY_CONSOLIDATED=Y","Sort=A","Dates=H","DateFormat=P","Fill=—","Direction=H","UseDPDF=Y")</f>
        <v>#NAME?</v>
      </c>
      <c r="BX102" s="1" t="e">
        <f ca="1">_xll.BDH($C$78,"CFO_SEQUENTIAL_GROWTH","FQ4 2018","FQ4 2018","Currency=INR","Period=FQ","BEST_FPERIOD_OVERRIDE=FQ","FILING_STATUS=OR","EQY_CONSOLIDATED=Y","Sort=A","Dates=H","DateFormat=P","Fill=—","Direction=H","UseDPDF=Y")</f>
        <v>#NAME?</v>
      </c>
      <c r="BY102" s="2" t="e">
        <f ca="1">_xll.BDH($C$78,"SHORT_AND_LONG_TERM_DEBT","FQ4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02" s="2" t="e">
        <f ca="1">_xll.BDH($C$78,"BS_ST_BORROW","FQ4 2018","FQ4 2018","Currency=INR","Period=FQ","BEST_FPERIOD_OVERRIDE=FQ","FILING_STATUS=OR","EQY_CONSOLIDATED=Y","SCALING_FORMAT=MLN","Sort=A","Dates=H","DateFormat=P","Fill=—","Direction=H","UseDPDF=Y")</f>
        <v>#NAME?</v>
      </c>
      <c r="CA102" s="2" t="e">
        <f ca="1">_xll.BDH($C$78,"BS_LT_BORROW","FQ4 2018","FQ4 2018","Currency=INR","Period=FQ","BEST_FPERIOD_OVERRIDE=FQ","FILING_STATUS=OR","EQY_CONSOLIDATED=Y","SCALING_FORMAT=MLN","Sort=A","Dates=H","DateFormat=P","Fill=—","Direction=H","UseDPDF=Y")</f>
        <v>#NAME?</v>
      </c>
      <c r="CB102" s="1" t="e">
        <f ca="1">_xll.BDH($C$78,"TOT_DEBT_TO_EBITDA","FQ4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02" s="1" t="e">
        <f ca="1">_xll.BDH($C$78,"NET_DEBT_TO_EBITDA","FQ4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02" s="1" t="e">
        <f ca="1">_xll.BDH($C$78,"TOTAL_DEBT_TO_EBIT","FQ4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02" s="1" t="e">
        <f ca="1">_xll.BDH($C$78,"NET_DEBT_TO_EBIT","FQ4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102" s="1" t="e">
        <f ca="1">_xll.BDH($C$78,"EBITDA_TO_INTEREST_EXPN","FQ4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02" s="1" t="e">
        <f ca="1">_xll.BDH($C$78,"COM_EQY_TO_TOT_ASSET","FQ4 2018","FQ4 2018","Currency=INR","Period=FQ","BEST_FPERIOD_OVERRIDE=FQ","FILING_STATUS=OR","EQY_CONSOLIDATED=Y","Sort=A","Dates=H","DateFormat=P","Fill=—","Direction=H","UseDPDF=Y")</f>
        <v>#NAME?</v>
      </c>
      <c r="CH102" s="1" t="e">
        <f ca="1">_xll.BDH($C$78,"LT_DEBT_TO_TOT_EQY","FQ4 2018","FQ4 2018","Currency=INR","Period=FQ","BEST_FPERIOD_OVERRIDE=FQ","FILING_STATUS=OR","EQY_CONSOLIDATED=Y","Sort=A","Dates=H","DateFormat=P","Fill=—","Direction=H","UseDPDF=Y")</f>
        <v>#NAME?</v>
      </c>
      <c r="CI102" s="1" t="e">
        <f ca="1">_xll.BDH($C$78,"LT_DEBT_TO_TOT_CAP","FQ4 2018","FQ4 2018","Currency=INR","Period=FQ","BEST_FPERIOD_OVERRIDE=FQ","FILING_STATUS=OR","EQY_CONSOLIDATED=Y","Sort=A","Dates=H","DateFormat=P","Fill=—","Direction=H","UseDPDF=Y")</f>
        <v>#NAME?</v>
      </c>
      <c r="CJ102" s="1" t="e">
        <f ca="1">_xll.BDH($C$78,"LT_DEBT_TO_TOT_ASSET","FQ4 2018","FQ4 2018","Currency=INR","Period=FQ","BEST_FPERIOD_OVERRIDE=FQ","FILING_STATUS=OR","EQY_CONSOLIDATED=Y","Sort=A","Dates=H","DateFormat=P","Fill=—","Direction=H","UseDPDF=Y")</f>
        <v>#NAME?</v>
      </c>
      <c r="CK102" s="1" t="e">
        <f ca="1">_xll.BDH($C$78,"TOT_DEBT_TO_TOT_EQY","FQ4 2018","FQ4 2018","Currency=INR","Period=FQ","BEST_FPERIOD_OVERRIDE=FQ","FILING_STATUS=OR","EQY_CONSOLIDATED=Y","Sort=A","Dates=H","DateFormat=P","Fill=—","Direction=H","UseDPDF=Y")</f>
        <v>#NAME?</v>
      </c>
      <c r="CL102" s="1" t="e">
        <f ca="1">_xll.BDH($C$78,"TOT_DEBT_TO_TOT_CAP","FQ4 2018","FQ4 2018","Currency=INR","Period=FQ","BEST_FPERIOD_OVERRIDE=FQ","FILING_STATUS=OR","EQY_CONSOLIDATED=Y","Sort=A","Dates=H","DateFormat=P","Fill=—","Direction=H","UseDPDF=Y")</f>
        <v>#NAME?</v>
      </c>
      <c r="CM102" s="1" t="e">
        <f ca="1">_xll.BDH($C$78,"TOT_DEBT_TO_TOT_ASSET","FQ4 2018","FQ4 2018","Currency=INR","Period=FQ","BEST_FPERIOD_OVERRIDE=FQ","FILING_STATUS=OR","EQY_CONSOLIDATED=Y","Sort=A","Dates=H","DateFormat=P","Fill=—","Direction=H","UseDPDF=Y")</f>
        <v>#NAME?</v>
      </c>
      <c r="CN102" s="1" t="e">
        <f ca="1">_xll.BDH($C$78,"NET_DEBT_TO_SHRHLDR_EQTY","FQ4 2018","FQ4 2018","Currency=INR","Period=FQ","BEST_FPERIOD_OVERRIDE=FQ","FILING_STATUS=OR","EQY_CONSOLIDATED=Y","Sort=A","Dates=H","DateFormat=P","Fill=—","Direction=H","UseDPDF=Y")</f>
        <v>#NAME?</v>
      </c>
      <c r="CO102" s="1" t="e">
        <f ca="1">_xll.BDH($C$78,"NET_DEBT_%_CAPITAL","FQ4 2018","FQ4 2018","Currency=INR","Period=FQ","BEST_FPERIOD_OVERRIDE=FQ","FILING_STATUS=OR","EQY_CONSOLIDATED=Y","Sort=A","Dates=H","DateFormat=P","Fill=—","Direction=H","UseDPDF=Y")</f>
        <v>#NAME?</v>
      </c>
      <c r="CP102" s="2" t="e">
        <f ca="1">_xll.BDH($C$78,"EBITDA","FQ4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02" s="2" t="e">
        <f ca="1">_xll.BDH($C$78,"EBITDA_AFTER_CAPEX","FQ4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02" s="2" t="e">
        <f ca="1">_xll.BDH($C$78,"IS_OPER_INC","FQ4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02" s="1" t="e">
        <f ca="1">_xll.BDH($C$78,"CASH_RATIO","FQ4 2018","FQ4 2018","Currency=INR","Period=FQ","BEST_FPERIOD_OVERRIDE=FQ","FILING_STATUS=OR","EQY_CONSOLIDATED=Y","Sort=A","Dates=H","DateFormat=P","Fill=—","Direction=H","UseDPDF=Y")</f>
        <v>#NAME?</v>
      </c>
      <c r="CT102" s="1" t="e">
        <f ca="1">_xll.BDH($C$78,"CUR_RATIO","FQ4 2018","FQ4 2018","Currency=INR","Period=FQ","BEST_FPERIOD_OVERRIDE=FQ","FILING_STATUS=OR","EQY_CONSOLIDATED=Y","Sort=A","Dates=H","DateFormat=P","Fill=—","Direction=H","UseDPDF=Y")</f>
        <v>#NAME?</v>
      </c>
      <c r="CU102" s="1" t="e">
        <f ca="1">_xll.BDH($C$78,"QUICK_RATIO","FQ4 2018","FQ4 2018","Currency=INR","Period=FQ","BEST_FPERIOD_OVERRIDE=FQ","FILING_STATUS=OR","EQY_CONSOLIDATED=Y","Sort=A","Dates=H","DateFormat=P","Fill=—","Direction=H","UseDPDF=Y")</f>
        <v>#NAME?</v>
      </c>
      <c r="CV102" s="1" t="e">
        <f ca="1">_xll.BDH($C$78,"ALTMAN_Z_SCORE","FQ4 2018","FQ4 2018","Currency=INR","Period=FQ","BEST_FPERIOD_OVERRIDE=FQ","FILING_STATUS=OR","EQY_CONSOLIDATED=Y","Sort=A","Dates=H","DateFormat=P","Fill=—","Direction=H","UseDPDF=Y")</f>
        <v>#NAME?</v>
      </c>
      <c r="CW102" s="3" t="e">
        <f ca="1">_xll.BDH($C$78,"ACCT_RCV_TURN","FQ4 2018","FQ4 2018","Currency=INR","Period=FQ","BEST_FPERIOD_OVERRIDE=FQ","FILING_STATUS=OR","EQY_CONSOLIDATED=Y","FA_ADJUSTED=GAAP","Sort=A","Dates=H","DateFormat=P","Fill=—","Direction=H","UseDPDF=Y")</f>
        <v>#NAME?</v>
      </c>
      <c r="CX102" s="1" t="e">
        <f ca="1">_xll.BDH($C$78,"ACCT_RCV_DAYS","FQ4 2018","FQ4 2018","Currency=INR","Period=FQ","BEST_FPERIOD_OVERRIDE=FQ","FILING_STATUS=OR","EQY_CONSOLIDATED=Y","FA_ADJUSTED=GAAP","Sort=A","Dates=H","DateFormat=P","Fill=—","Direction=H","UseDPDF=Y")</f>
        <v>#NAME?</v>
      </c>
      <c r="CY102" s="3" t="e">
        <f ca="1">_xll.BDH($C$78,"INVENT_TURN","FQ4 2018","FQ4 2018","Currency=INR","Period=FQ","BEST_FPERIOD_OVERRIDE=FQ","FILING_STATUS=OR","EQY_CONSOLIDATED=Y","FA_ADJUSTED=GAAP","Sort=A","Dates=H","DateFormat=P","Fill=—","Direction=H","UseDPDF=Y")</f>
        <v>#NAME?</v>
      </c>
      <c r="CZ102" s="1" t="e">
        <f ca="1">_xll.BDH($C$78,"INVENT_DAYS","FQ4 2018","FQ4 2018","Currency=INR","Period=FQ","BEST_FPERIOD_OVERRIDE=FQ","FILING_STATUS=OR","EQY_CONSOLIDATED=Y","FA_ADJUSTED=GAAP","Sort=A","Dates=H","DateFormat=P","Fill=—","Direction=H","UseDPDF=Y")</f>
        <v>#NAME?</v>
      </c>
      <c r="DA102" s="3" t="e">
        <f ca="1">_xll.BDH($C$78,"ACCOUNTS_PAYABLE_TURNOVER","FQ4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02" s="1" t="e">
        <f ca="1">_xll.BDH($C$78,"ACCOUNTS_PAYABLE_TURNOVER_DAYS","FQ4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02" s="3" t="e">
        <f ca="1">_xll.BDH($C$78,"CASH_CONVERSION_CYCLE","FQ4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02" s="3" t="e">
        <f ca="1">_xll.BDH($C$78,"INV_TO_CASH_DAYS","FQ4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102" s="4" t="e">
        <f ca="1">_xll.BDH($C$78,"BS_INVENTORIES","FQ4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102" s="2" t="e">
        <f ca="1">_xll.BDH($C$78,"INVTRY_RAW_MATERIALS","FQ4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02" s="2" t="e">
        <f ca="1">_xll.BDH($C$78,"INVTRY_IN_PROGRESS","FQ4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02" s="2" t="e">
        <f ca="1">_xll.BDH($C$78,"INVTRY_FINISHED_GOODS","FQ4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02" s="2" t="e">
        <f ca="1">_xll.BDH($C$78,"BS_OTHER_INV","FQ4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03" spans="1:113" x14ac:dyDescent="0.3">
      <c r="A103" s="6">
        <v>55</v>
      </c>
      <c r="B103" s="6" t="s">
        <v>18</v>
      </c>
      <c r="C103" s="6" t="s">
        <v>19</v>
      </c>
      <c r="D103" s="6" t="s">
        <v>2</v>
      </c>
      <c r="E103" t="s">
        <v>3</v>
      </c>
      <c r="F103" t="e">
        <f ca="1">_xll.BDH($C$103,"RETURN_COM_EQY","FY 2014","FY 2014","Currency=INR","Period=FY","BEST_FPERIOD_OVERRIDE=FY","FILING_STATUS=OR","EQY_CONSOLIDATED=Y","FA_ADJUSTED=GAAP","Sort=A","Dates=H","DateFormat=P","Fill=—","Direction=H","UseDPDF=Y")</f>
        <v>#NAME?</v>
      </c>
      <c r="G103" t="e">
        <f ca="1">_xll.BDH($C$103,"RETURN_ON_ASSET","FY 2014","FY 2014","Currency=INR","Period=FY","BEST_FPERIOD_OVERRIDE=FY","FILING_STATUS=OR","EQY_CONSOLIDATED=Y","FA_ADJUSTED=GAAP","Sort=A","Dates=H","DateFormat=P","Fill=—","Direction=H","UseDPDF=Y")</f>
        <v>#NAME?</v>
      </c>
      <c r="H103" t="e">
        <f ca="1">_xll.BDH($C$103,"RETURN_ON_CAP","FY 2014","FY 2014","Currency=INR","Period=FY","BEST_FPERIOD_OVERRIDE=FY","FILING_STATUS=OR","EQY_CONSOLIDATED=Y","FA_ADJUSTED=GAAP","Sort=A","Dates=H","DateFormat=P","Fill=—","Direction=H","UseDPDF=Y")</f>
        <v>#NAME?</v>
      </c>
      <c r="I103" t="e">
        <f ca="1">_xll.BDH($C$103,"RETURN_ON_INV_CAPITAL","FY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03" t="e">
        <f ca="1">_xll.BDH($C$103,"EBITDA_TO_REVENUE","FY 2014","FY 2014","Currency=INR","Period=FY","BEST_FPERIOD_OVERRIDE=FY","FILING_STATUS=OR","EQY_CONSOLIDATED=Y","FA_ADJUSTED=GAAP","Sort=A","Dates=H","DateFormat=P","Fill=—","Direction=H","UseDPDF=Y")</f>
        <v>#NAME?</v>
      </c>
      <c r="K103" t="e">
        <f ca="1">_xll.BDH($C$103,"OPER_MARGIN","FY 2014","FY 2014","Currency=INR","Period=FY","BEST_FPERIOD_OVERRIDE=FY","FILING_STATUS=OR","EQY_CONSOLIDATED=Y","FA_ADJUSTED=GAAP","Sort=A","Dates=H","DateFormat=P","Fill=—","Direction=H","UseDPDF=Y")</f>
        <v>#NAME?</v>
      </c>
      <c r="L103" t="e">
        <f ca="1">_xll.BDH($C$103,"INCREMENTAL_OPERATING_MARGIN","FY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03" t="e">
        <f ca="1">_xll.BDH($C$103,"PRETAX_INC_TO_NET_SALES","FY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03" t="e">
        <f ca="1">_xll.BDH($C$103,"INC_BEF_XO_ITEMS_TO_NET_SALES","FY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03" t="e">
        <f ca="1">_xll.BDH($C$103,"PROF_MARGIN","FY 2014","FY 2014","Currency=INR","Period=FY","BEST_FPERIOD_OVERRIDE=FY","FILING_STATUS=OR","EQY_CONSOLIDATED=Y","FA_ADJUSTED=GAAP","Sort=A","Dates=H","DateFormat=P","Fill=—","Direction=H","UseDPDF=Y")</f>
        <v>#NAME?</v>
      </c>
      <c r="P103" t="e">
        <f ca="1">_xll.BDH($C$103,"NET_INCOME_TO_COMMON_MARGIN","FY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03" t="e">
        <f ca="1">_xll.BDH($C$103,"EFF_TAX_RATE","FY 2014","FY 2014","Currency=INR","Period=FY","BEST_FPERIOD_OVERRIDE=FY","FILING_STATUS=OR","EQY_CONSOLIDATED=Y","FA_ADJUSTED=GAAP","Sort=A","Dates=H","DateFormat=P","Fill=—","Direction=H","UseDPDF=Y")</f>
        <v>#NAME?</v>
      </c>
      <c r="R103" t="e">
        <f ca="1">_xll.BDH($C$103,"DVD_PAYOUT_RATIO","FY 2014","FY 2014","Currency=INR","Period=FY","BEST_FPERIOD_OVERRIDE=FY","FILING_STATUS=OR","EQY_CONSOLIDATED=Y","FA_ADJUSTED=GAAP","Sort=A","Dates=H","DateFormat=P","Fill=—","Direction=H","UseDPDF=Y")</f>
        <v>#NAME?</v>
      </c>
      <c r="S103" t="e">
        <f ca="1">_xll.BDH($C$103,"SUSTAIN_GROWTH_RT","FY 2014","FY 2014","Currency=INR","Period=FY","BEST_FPERIOD_OVERRIDE=FY","FILING_STATUS=OR","EQY_CONSOLIDATED=Y","FA_ADJUSTED=GAAP","Sort=A","Dates=H","DateFormat=P","Fill=—","Direction=H","UseDPDF=Y")</f>
        <v>#NAME?</v>
      </c>
      <c r="T103" s="1" t="e">
        <f ca="1">_xll.BDH($C$103,"SALES_GROWTH","FY 2014","FY 2014","Currency=INR","Period=FY","BEST_FPERIOD_OVERRIDE=FY","FILING_STATUS=OR","EQY_CONSOLIDATED=Y","FA_ADJUSTED=GAAP","Sort=A","Dates=H","DateFormat=P","Fill=—","Direction=H","UseDPDF=Y")</f>
        <v>#NAME?</v>
      </c>
      <c r="U103" s="1" t="e">
        <f ca="1">_xll.BDH($C$103,"EBITDA_GROWTH","FY 2014","FY 2014","Currency=INR","Period=FY","BEST_FPERIOD_OVERRIDE=FY","FILING_STATUS=OR","EQY_CONSOLIDATED=Y","FA_ADJUSTED=GAAP","Sort=A","Dates=H","DateFormat=P","Fill=—","Direction=H","UseDPDF=Y")</f>
        <v>#NAME?</v>
      </c>
      <c r="V103" s="1" t="e">
        <f ca="1">_xll.BDH($C$103,"OPER_INC_GROWTH","FY 2014","FY 2014","Currency=INR","Period=FY","BEST_FPERIOD_OVERRIDE=FY","FILING_STATUS=OR","EQY_CONSOLIDATED=Y","FA_ADJUSTED=GAAP","Sort=A","Dates=H","DateFormat=P","Fill=—","Direction=H","UseDPDF=Y")</f>
        <v>#NAME?</v>
      </c>
      <c r="W103" s="1" t="e">
        <f ca="1">_xll.BDH($C$103,"EARN_FOR_COM_GROWTH","FY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103" s="1" t="e">
        <f ca="1">_xll.BDH($C$103,"DILUTED_EPS_AFT_XO_ITEMS_GROWTH","FY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03" s="1" t="e">
        <f ca="1">_xll.BDH($C$103,"DIVIDEND_PER_SHARE_1_YEAR_GROWTH","FY 2014","FY 2014","Currency=INR","Period=FY","BEST_FPERIOD_OVERRIDE=FY","FILING_STATUS=OR","EQY_CONSOLIDATED=Y","Sort=A","Dates=H","DateFormat=P","Fill=—","Direction=H","UseDPDF=Y")</f>
        <v>#NAME?</v>
      </c>
      <c r="Z103" s="1" t="e">
        <f ca="1">_xll.BDH($C$103,"ACCOUNTS_RECEIVABLE_GROWTH","FY 2014","FY 2014","Currency=INR","Period=FY","BEST_FPERIOD_OVERRIDE=FY","FILING_STATUS=OR","EQY_CONSOLIDATED=Y","Sort=A","Dates=H","DateFormat=P","Fill=—","Direction=H","UseDPDF=Y")</f>
        <v>#NAME?</v>
      </c>
      <c r="AA103" s="1" t="e">
        <f ca="1">_xll.BDH($C$103,"INVENTORY_GROWTH","FY 2014","FY 2014","Currency=INR","Period=FY","BEST_FPERIOD_OVERRIDE=FY","FILING_STATUS=OR","EQY_CONSOLIDATED=Y","Sort=A","Dates=H","DateFormat=P","Fill=—","Direction=H","UseDPDF=Y")</f>
        <v>#NAME?</v>
      </c>
      <c r="AB103" s="1" t="e">
        <f ca="1">_xll.BDH($C$103,"NET_FIXED_ASSETS_1_YEAR_GROWTH","FY 2014","FY 2014","Currency=INR","Period=FY","BEST_FPERIOD_OVERRIDE=FY","FILING_STATUS=OR","EQY_CONSOLIDATED=Y","Sort=A","Dates=H","DateFormat=P","Fill=—","Direction=H","UseDPDF=Y")</f>
        <v>#NAME?</v>
      </c>
      <c r="AC103" s="1" t="e">
        <f ca="1">_xll.BDH($C$103,"ASSET_GROWTH","FY 2014","FY 2014","Currency=INR","Period=FY","BEST_FPERIOD_OVERRIDE=FY","FILING_STATUS=OR","EQY_CONSOLIDATED=Y","Sort=A","Dates=H","DateFormat=P","Fill=—","Direction=H","UseDPDF=Y")</f>
        <v>#NAME?</v>
      </c>
      <c r="AD103" s="1" t="e">
        <f ca="1">_xll.BDH($C$103,"MODIFIED_WORK_CAP_GROWTH","FY 2014","FY 2014","Currency=INR","Period=FY","BEST_FPERIOD_OVERRIDE=FY","FILING_STATUS=OR","EQY_CONSOLIDATED=Y","Sort=A","Dates=H","DateFormat=P","Fill=—","Direction=H","UseDPDF=Y")</f>
        <v>#NAME?</v>
      </c>
      <c r="AE103" s="1" t="e">
        <f ca="1">_xll.BDH($C$103,"WORK_CAP_GROWTH","FY 2014","FY 2014","Currency=INR","Period=FY","BEST_FPERIOD_OVERRIDE=FY","FILING_STATUS=OR","EQY_CONSOLIDATED=Y","Sort=A","Dates=H","DateFormat=P","Fill=—","Direction=H","UseDPDF=Y")</f>
        <v>#NAME?</v>
      </c>
      <c r="AF103" s="1" t="e">
        <f ca="1">_xll.BDH($C$103,"ACCOUNTS_PAYABLE_GROWTH_1YR","FY 2014","FY 2014","Currency=INR","Period=FY","BEST_FPERIOD_OVERRIDE=FY","FILING_STATUS=OR","EQY_CONSOLIDATED=Y","Sort=A","Dates=H","DateFormat=P","Fill=—","Direction=H","UseDPDF=Y")</f>
        <v>#NAME?</v>
      </c>
      <c r="AG103" s="1" t="e">
        <f ca="1">_xll.BDH($C$103,"SHORT_TERM_DEBT_1_YEAR_GROWTH","FY 2014","FY 2014","Currency=INR","Period=FY","BEST_FPERIOD_OVERRIDE=FY","FILING_STATUS=OR","EQY_CONSOLIDATED=Y","Sort=A","Dates=H","DateFormat=P","Fill=—","Direction=H","UseDPDF=Y")</f>
        <v>#NAME?</v>
      </c>
      <c r="AH103" s="1" t="e">
        <f ca="1">_xll.BDH($C$103,"TOTAL_DEBT_1_YEAR_GROWTH","FY 2014","FY 2014","Currency=INR","Period=FY","BEST_FPERIOD_OVERRIDE=FY","FILING_STATUS=OR","EQY_CONSOLIDATED=Y","Sort=A","Dates=H","DateFormat=P","Fill=—","Direction=H","UseDPDF=Y")</f>
        <v>#NAME?</v>
      </c>
      <c r="AI103" s="1" t="e">
        <f ca="1">_xll.BDH($C$103,"TOTAL_EQUITY_1_YEAR_GROWTH","FY 2014","FY 2014","Currency=INR","Period=FY","BEST_FPERIOD_OVERRIDE=FY","FILING_STATUS=OR","EQY_CONSOLIDATED=Y","Sort=A","Dates=H","DateFormat=P","Fill=—","Direction=H","UseDPDF=Y")</f>
        <v>#NAME?</v>
      </c>
      <c r="AJ103" s="1" t="e">
        <f ca="1">_xll.BDH($C$103,"GROWTH_IN_CAP","FY 2014","FY 2014","Currency=INR","Period=FY","BEST_FPERIOD_OVERRIDE=FY","FILING_STATUS=OR","EQY_CONSOLIDATED=Y","Sort=A","Dates=H","DateFormat=P","Fill=—","Direction=H","UseDPDF=Y")</f>
        <v>#NAME?</v>
      </c>
      <c r="AK103" s="1" t="e">
        <f ca="1">_xll.BDH($C$103,"BVPS_GROWTH","FY 2014","FY 2014","Currency=INR","Period=FY","BEST_FPERIOD_OVERRIDE=FY","FILING_STATUS=OR","EQY_CONSOLIDATED=Y","Sort=A","Dates=H","DateFormat=P","Fill=—","Direction=H","UseDPDF=Y")</f>
        <v>#NAME?</v>
      </c>
      <c r="AL103" s="1" t="e">
        <f ca="1">_xll.BDH($C$103,"CASH_FLOW_GROWTH","FY 2014","FY 2014","Currency=INR","Period=FY","BEST_FPERIOD_OVERRIDE=FY","FILING_STATUS=OR","EQY_CONSOLIDATED=Y","Sort=A","Dates=H","DateFormat=P","Fill=—","Direction=H","UseDPDF=Y")</f>
        <v>#NAME?</v>
      </c>
      <c r="AM103" s="1" t="e">
        <f ca="1">_xll.BDH($C$103,"GEO_GROW_NET_SALES","FY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103" s="1" t="e">
        <f ca="1">_xll.BDH($C$103,"GEO_GROW_EBITDA","FY 2014","FY 2014","Currency=INR","Period=FY","BEST_FPERIOD_OVERRIDE=FY","FILING_STATUS=OR","EQY_CONSOLIDATED=Y","FA_ADJUSTED=GAAP","Sort=A","Dates=H","DateFormat=P","Fill=—","Direction=H","UseDPDF=Y")</f>
        <v>#NAME?</v>
      </c>
      <c r="AO103" s="1" t="e">
        <f ca="1">_xll.BDH($C$103,"GEO_GROW_OPER_INC","FY 2014","FY 2014","Currency=INR","Period=FY","BEST_FPERIOD_OVERRIDE=FY","FILING_STATUS=OR","EQY_CONSOLIDATED=Y","FA_ADJUSTED=GAAP","Sort=A","Dates=H","DateFormat=P","Fill=—","Direction=H","UseDPDF=Y")</f>
        <v>#NAME?</v>
      </c>
      <c r="AP103" s="1" t="e">
        <f ca="1">_xll.BDH($C$103,"NET_INCOME_TO_COMMON_5_YR_GROWTH","FY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03" s="1" t="e">
        <f ca="1">_xll.BDH($C$103,"5Y_GEO_GROWTH_DILUTED_EPS","FY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03" s="1" t="e">
        <f ca="1">_xll.BDH($C$103,"GEO_GROW_DVD_PER_SH","FY 2014","FY 2014","Currency=INR","Period=FY","BEST_FPERIOD_OVERRIDE=FY","FILING_STATUS=OR","EQY_CONSOLIDATED=Y","Sort=A","Dates=H","DateFormat=P","Fill=—","Direction=H","UseDPDF=Y")</f>
        <v>#NAME?</v>
      </c>
      <c r="AS103" s="1" t="e">
        <f ca="1">_xll.BDH($C$103,"ACCOUNTS_RECEIVABLE_5_YR_GROWTH","FY 2014","FY 2014","Currency=INR","Period=FY","BEST_FPERIOD_OVERRIDE=FY","FILING_STATUS=OR","EQY_CONSOLIDATED=Y","Sort=A","Dates=H","DateFormat=P","Fill=—","Direction=H","UseDPDF=Y")</f>
        <v>#NAME?</v>
      </c>
      <c r="AT103" s="1" t="e">
        <f ca="1">_xll.BDH($C$103,"INVENTORY_5_YEAR_GROWTH","FY 2014","FY 2014","Currency=INR","Period=FY","BEST_FPERIOD_OVERRIDE=FY","FILING_STATUS=OR","EQY_CONSOLIDATED=Y","Sort=A","Dates=H","DateFormat=P","Fill=—","Direction=H","UseDPDF=Y")</f>
        <v>#NAME?</v>
      </c>
      <c r="AU103" s="1" t="e">
        <f ca="1">_xll.BDH($C$103,"NET_FIXED_ASSETS_5_YEAR_GROWTH","FY 2014","FY 2014","Currency=INR","Period=FY","BEST_FPERIOD_OVERRIDE=FY","FILING_STATUS=OR","EQY_CONSOLIDATED=Y","Sort=A","Dates=H","DateFormat=P","Fill=—","Direction=H","UseDPDF=Y")</f>
        <v>#NAME?</v>
      </c>
      <c r="AV103" s="1" t="e">
        <f ca="1">_xll.BDH($C$103,"GEO_GROW_TOT_ASSET","FY 2014","FY 2014","Currency=INR","Period=FY","BEST_FPERIOD_OVERRIDE=FY","FILING_STATUS=OR","EQY_CONSOLIDATED=Y","Sort=A","Dates=H","DateFormat=P","Fill=—","Direction=H","UseDPDF=Y")</f>
        <v>#NAME?</v>
      </c>
      <c r="AW103" s="1" t="e">
        <f ca="1">_xll.BDH($C$103,"MODIFIED_WORKING_CPTL_5YR_GRWTH","FY 2014","FY 2014","Currency=INR","Period=FY","BEST_FPERIOD_OVERRIDE=FY","FILING_STATUS=OR","EQY_CONSOLIDATED=Y","Sort=A","Dates=H","DateFormat=P","Fill=—","Direction=H","UseDPDF=Y")</f>
        <v>#NAME?</v>
      </c>
      <c r="AX103" s="1" t="e">
        <f ca="1">_xll.BDH($C$103,"WORKING_CAPITAL_5_YEAR_GROWTH","FY 2014","FY 2014","Currency=INR","Period=FY","BEST_FPERIOD_OVERRIDE=FY","FILING_STATUS=OR","EQY_CONSOLIDATED=Y","Sort=A","Dates=H","DateFormat=P","Fill=—","Direction=H","UseDPDF=Y")</f>
        <v>#NAME?</v>
      </c>
      <c r="AY103" s="1" t="e">
        <f ca="1">_xll.BDH($C$103,"ACCOUNTS_PAYABLE_5_YEAR_GROWTH","FY 2014","FY 2014","Currency=INR","Period=FY","BEST_FPERIOD_OVERRIDE=FY","FILING_STATUS=OR","EQY_CONSOLIDATED=Y","Sort=A","Dates=H","DateFormat=P","Fill=—","Direction=H","UseDPDF=Y")</f>
        <v>#NAME?</v>
      </c>
      <c r="AZ103" s="1" t="e">
        <f ca="1">_xll.BDH($C$103,"SHORT_TERM_DEBT_5_YEAR_GROWTH","FY 2014","FY 2014","Currency=INR","Period=FY","BEST_FPERIOD_OVERRIDE=FY","FILING_STATUS=OR","EQY_CONSOLIDATED=Y","Sort=A","Dates=H","DateFormat=P","Fill=—","Direction=H","UseDPDF=Y")</f>
        <v>#NAME?</v>
      </c>
      <c r="BA103" s="1" t="e">
        <f ca="1">_xll.BDH($C$103,"TOTAL_DEBT_5_YEAR_GROWTH","FY 2014","FY 2014","Currency=INR","Period=FY","BEST_FPERIOD_OVERRIDE=FY","FILING_STATUS=OR","EQY_CONSOLIDATED=Y","Sort=A","Dates=H","DateFormat=P","Fill=—","Direction=H","UseDPDF=Y")</f>
        <v>#NAME?</v>
      </c>
      <c r="BB103" s="1" t="e">
        <f ca="1">_xll.BDH($C$103,"GEO_GROW_TOT_SHRHLDR_EQY","FY 2014","FY 2014","Currency=INR","Period=FY","BEST_FPERIOD_OVERRIDE=FY","FILING_STATUS=OR","EQY_CONSOLIDATED=Y","Sort=A","Dates=H","DateFormat=P","Fill=—","Direction=H","UseDPDF=Y")</f>
        <v>#NAME?</v>
      </c>
      <c r="BC103" s="1" t="e">
        <f ca="1">_xll.BDH($C$103,"TOTAL_CAPITAL_5_YEAR_GROWTH","FY 2014","FY 2014","Currency=INR","Period=FY","BEST_FPERIOD_OVERRIDE=FY","FILING_STATUS=OR","EQY_CONSOLIDATED=Y","Sort=A","Dates=H","DateFormat=P","Fill=—","Direction=H","UseDPDF=Y")</f>
        <v>#NAME?</v>
      </c>
      <c r="BD103" s="1" t="e">
        <f ca="1">_xll.BDH($C$103,"GEO_GROW_BOOK_VAL","FY 2014","FY 2014","Currency=INR","Period=FY","BEST_FPERIOD_OVERRIDE=FY","FILING_STATUS=OR","EQY_CONSOLIDATED=Y","Sort=A","Dates=H","DateFormat=P","Fill=—","Direction=H","UseDPDF=Y")</f>
        <v>#NAME?</v>
      </c>
      <c r="BE103" s="1" t="e">
        <f ca="1">_xll.BDH($C$103,"GEO_GROW_CASH_OPER_ACT","FY 2014","FY 2014","Currency=INR","Period=FY","BEST_FPERIOD_OVERRIDE=FY","FILING_STATUS=OR","EQY_CONSOLIDATED=Y","Sort=A","Dates=H","DateFormat=P","Fill=—","Direction=H","UseDPDF=Y")</f>
        <v>#NAME?</v>
      </c>
      <c r="BF103" s="1" t="e">
        <f ca="1">_xll.BDH($C$103,"REVENUE_SEQUENTIAL_GROWTH","FY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03" s="1" t="e">
        <f ca="1">_xll.BDH($C$103,"EBITDA_SEQUENTIAL_GROWTH","FY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03" s="1" t="e">
        <f ca="1">_xll.BDH($C$103,"OPERATING_INCOME_SEQ_GROWTH","FY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03" s="1" t="e">
        <f ca="1">_xll.BDH($C$103,"NET_INCOME_TO_COMMON_SEQ_GROWTH","FY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03" s="1" t="e">
        <f ca="1">_xll.BDH($C$103,"EPS_DILUTED_SEQUENTIAL_GROWTH","FY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03" s="1" t="e">
        <f ca="1">_xll.BDH($C$103,"DPS_SEQUENTIAL_GROWTH","FY 2014","FY 2014","Currency=INR","Period=FY","BEST_FPERIOD_OVERRIDE=FY","FILING_STATUS=OR","EQY_CONSOLIDATED=Y","Sort=A","Dates=H","DateFormat=P","Fill=—","Direction=H","UseDPDF=Y")</f>
        <v>#NAME?</v>
      </c>
      <c r="BL103" s="1" t="e">
        <f ca="1">_xll.BDH($C$103,"ACCOUNTS_RECEIVABLE_SEQ_GROWTH","FY 2014","FY 2014","Currency=INR","Period=FY","BEST_FPERIOD_OVERRIDE=FY","FILING_STATUS=OR","EQY_CONSOLIDATED=Y","Sort=A","Dates=H","DateFormat=P","Fill=—","Direction=H","UseDPDF=Y")</f>
        <v>#NAME?</v>
      </c>
      <c r="BM103" s="1" t="e">
        <f ca="1">_xll.BDH($C$103,"INVENTORY_SEQUENTIAL_GROWTH","FY 2014","FY 2014","Currency=INR","Period=FY","BEST_FPERIOD_OVERRIDE=FY","FILING_STATUS=OR","EQY_CONSOLIDATED=Y","Sort=A","Dates=H","DateFormat=P","Fill=—","Direction=H","UseDPDF=Y")</f>
        <v>#NAME?</v>
      </c>
      <c r="BN103" s="1" t="e">
        <f ca="1">_xll.BDH($C$103,"FIXED_ASSETS_SEQUENTIAL_GROWTH","FY 2014","FY 2014","Currency=INR","Period=FY","BEST_FPERIOD_OVERRIDE=FY","FILING_STATUS=OR","EQY_CONSOLIDATED=Y","Sort=A","Dates=H","DateFormat=P","Fill=—","Direction=H","UseDPDF=Y")</f>
        <v>#NAME?</v>
      </c>
      <c r="BO103" s="1" t="e">
        <f ca="1">_xll.BDH($C$103,"TOTAL_ASSETS_SEQUENTIAL_GROWTH","FY 2014","FY 2014","Currency=INR","Period=FY","BEST_FPERIOD_OVERRIDE=FY","FILING_STATUS=OR","EQY_CONSOLIDATED=Y","Sort=A","Dates=H","DateFormat=P","Fill=—","Direction=H","UseDPDF=Y")</f>
        <v>#NAME?</v>
      </c>
      <c r="BP103" s="1" t="e">
        <f ca="1">_xll.BDH($C$103,"MODIFIED_WORKING_CPTL_SEQ_GRWTH","FY 2014","FY 2014","Currency=INR","Period=FY","BEST_FPERIOD_OVERRIDE=FY","FILING_STATUS=OR","EQY_CONSOLIDATED=Y","Sort=A","Dates=H","DateFormat=P","Fill=—","Direction=H","UseDPDF=Y")</f>
        <v>#NAME?</v>
      </c>
      <c r="BQ103" s="1" t="e">
        <f ca="1">_xll.BDH($C$103,"WORKING_CAPITAL_SEQ_GROWTH","FY 2014","FY 2014","Currency=INR","Period=FY","BEST_FPERIOD_OVERRIDE=FY","FILING_STATUS=OR","EQY_CONSOLIDATED=Y","Sort=A","Dates=H","DateFormat=P","Fill=—","Direction=H","UseDPDF=Y")</f>
        <v>#NAME?</v>
      </c>
      <c r="BR103" s="1" t="e">
        <f ca="1">_xll.BDH($C$103,"ACCOUNTS_PAYABLE_SEQ_GROWTH","FY 2014","FY 2014","Currency=INR","Period=FY","BEST_FPERIOD_OVERRIDE=FY","FILING_STATUS=OR","EQY_CONSOLIDATED=Y","Sort=A","Dates=H","DateFormat=P","Fill=—","Direction=H","UseDPDF=Y")</f>
        <v>#NAME?</v>
      </c>
      <c r="BS103" s="1" t="e">
        <f ca="1">_xll.BDH($C$103,"ST_DEBT_SEQUENTIAL_GROWTH","FY 2014","FY 2014","Currency=INR","Period=FY","BEST_FPERIOD_OVERRIDE=FY","FILING_STATUS=OR","EQY_CONSOLIDATED=Y","Sort=A","Dates=H","DateFormat=P","Fill=—","Direction=H","UseDPDF=Y")</f>
        <v>#NAME?</v>
      </c>
      <c r="BT103" s="1" t="e">
        <f ca="1">_xll.BDH($C$103,"TOTAL_DEBT_SEQUENTIAL_GROWTH","FY 2014","FY 2014","Currency=INR","Period=FY","BEST_FPERIOD_OVERRIDE=FY","FILING_STATUS=OR","EQY_CONSOLIDATED=Y","Sort=A","Dates=H","DateFormat=P","Fill=—","Direction=H","UseDPDF=Y")</f>
        <v>#NAME?</v>
      </c>
      <c r="BU103" s="1" t="e">
        <f ca="1">_xll.BDH($C$103,"TOTAL_EQUITY_SEQUENTIAL_GROWTH","FY 2014","FY 2014","Currency=INR","Period=FY","BEST_FPERIOD_OVERRIDE=FY","FILING_STATUS=OR","EQY_CONSOLIDATED=Y","Sort=A","Dates=H","DateFormat=P","Fill=—","Direction=H","UseDPDF=Y")</f>
        <v>#NAME?</v>
      </c>
      <c r="BV103" s="1" t="e">
        <f ca="1">_xll.BDH($C$103,"TOTAL_CAPITAL_SEQUENTIAL_GROWTH","FY 2014","FY 2014","Currency=INR","Period=FY","BEST_FPERIOD_OVERRIDE=FY","FILING_STATUS=OR","EQY_CONSOLIDATED=Y","Sort=A","Dates=H","DateFormat=P","Fill=—","Direction=H","UseDPDF=Y")</f>
        <v>#NAME?</v>
      </c>
      <c r="BW103" s="1" t="e">
        <f ca="1">_xll.BDH($C$103,"BPS_SEQUENTIAL_GROWTH","FY 2014","FY 2014","Currency=INR","Period=FY","BEST_FPERIOD_OVERRIDE=FY","FILING_STATUS=OR","EQY_CONSOLIDATED=Y","Sort=A","Dates=H","DateFormat=P","Fill=—","Direction=H","UseDPDF=Y")</f>
        <v>#NAME?</v>
      </c>
      <c r="BX103" s="1" t="e">
        <f ca="1">_xll.BDH($C$103,"CFO_SEQUENTIAL_GROWTH","FY 2014","FY 2014","Currency=INR","Period=FY","BEST_FPERIOD_OVERRIDE=FY","FILING_STATUS=OR","EQY_CONSOLIDATED=Y","Sort=A","Dates=H","DateFormat=P","Fill=—","Direction=H","UseDPDF=Y")</f>
        <v>#NAME?</v>
      </c>
      <c r="BY103" s="2" t="e">
        <f ca="1">_xll.BDH($C$103,"SHORT_AND_LONG_TERM_DEBT","FY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03" s="2" t="e">
        <f ca="1">_xll.BDH($C$103,"BS_ST_BORROW","FY 2014","FY 2014","Currency=INR","Period=FY","BEST_FPERIOD_OVERRIDE=FY","FILING_STATUS=OR","EQY_CONSOLIDATED=Y","SCALING_FORMAT=MLN","Sort=A","Dates=H","DateFormat=P","Fill=—","Direction=H","UseDPDF=Y")</f>
        <v>#NAME?</v>
      </c>
      <c r="CA103" s="2" t="e">
        <f ca="1">_xll.BDH($C$103,"BS_LT_BORROW","FY 2014","FY 2014","Currency=INR","Period=FY","BEST_FPERIOD_OVERRIDE=FY","FILING_STATUS=OR","EQY_CONSOLIDATED=Y","SCALING_FORMAT=MLN","Sort=A","Dates=H","DateFormat=P","Fill=—","Direction=H","UseDPDF=Y")</f>
        <v>#NAME?</v>
      </c>
      <c r="CB103" s="1" t="e">
        <f ca="1">_xll.BDH($C$103,"TOT_DEBT_TO_EBITDA","FY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103" s="1" t="e">
        <f ca="1">_xll.BDH($C$103,"NET_DEBT_TO_EBITDA","FY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103" s="1" t="e">
        <f ca="1">_xll.BDH($C$103,"TOTAL_DEBT_TO_EBIT","FY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103" s="1" t="e">
        <f ca="1">_xll.BDH($C$103,"NET_DEBT_TO_EBIT","FY 2014","FY 2014","Currency=INR","Period=FY","BEST_FPERIOD_OVERRIDE=FY","FILING_STATUS=OR","EQY_CONSOLIDATED=Y","FA_ADJUSTED=GAAP","Sort=A","Dates=H","DateFormat=P","Fill=—","Direction=H","UseDPDF=Y")</f>
        <v>#NAME?</v>
      </c>
      <c r="CF103" s="1" t="e">
        <f ca="1">_xll.BDH($C$103,"EBITDA_TO_INTEREST_EXPN","FY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03" s="1" t="e">
        <f ca="1">_xll.BDH($C$103,"COM_EQY_TO_TOT_ASSET","FY 2014","FY 2014","Currency=INR","Period=FY","BEST_FPERIOD_OVERRIDE=FY","FILING_STATUS=OR","EQY_CONSOLIDATED=Y","Sort=A","Dates=H","DateFormat=P","Fill=—","Direction=H","UseDPDF=Y")</f>
        <v>#NAME?</v>
      </c>
      <c r="CH103" s="1" t="e">
        <f ca="1">_xll.BDH($C$103,"LT_DEBT_TO_TOT_EQY","FY 2014","FY 2014","Currency=INR","Period=FY","BEST_FPERIOD_OVERRIDE=FY","FILING_STATUS=OR","EQY_CONSOLIDATED=Y","Sort=A","Dates=H","DateFormat=P","Fill=—","Direction=H","UseDPDF=Y")</f>
        <v>#NAME?</v>
      </c>
      <c r="CI103" s="1" t="e">
        <f ca="1">_xll.BDH($C$103,"LT_DEBT_TO_TOT_CAP","FY 2014","FY 2014","Currency=INR","Period=FY","BEST_FPERIOD_OVERRIDE=FY","FILING_STATUS=OR","EQY_CONSOLIDATED=Y","Sort=A","Dates=H","DateFormat=P","Fill=—","Direction=H","UseDPDF=Y")</f>
        <v>#NAME?</v>
      </c>
      <c r="CJ103" s="1" t="e">
        <f ca="1">_xll.BDH($C$103,"LT_DEBT_TO_TOT_ASSET","FY 2014","FY 2014","Currency=INR","Period=FY","BEST_FPERIOD_OVERRIDE=FY","FILING_STATUS=OR","EQY_CONSOLIDATED=Y","Sort=A","Dates=H","DateFormat=P","Fill=—","Direction=H","UseDPDF=Y")</f>
        <v>#NAME?</v>
      </c>
      <c r="CK103" s="1" t="e">
        <f ca="1">_xll.BDH($C$103,"TOT_DEBT_TO_TOT_EQY","FY 2014","FY 2014","Currency=INR","Period=FY","BEST_FPERIOD_OVERRIDE=FY","FILING_STATUS=OR","EQY_CONSOLIDATED=Y","Sort=A","Dates=H","DateFormat=P","Fill=—","Direction=H","UseDPDF=Y")</f>
        <v>#NAME?</v>
      </c>
      <c r="CL103" s="1" t="e">
        <f ca="1">_xll.BDH($C$103,"TOT_DEBT_TO_TOT_CAP","FY 2014","FY 2014","Currency=INR","Period=FY","BEST_FPERIOD_OVERRIDE=FY","FILING_STATUS=OR","EQY_CONSOLIDATED=Y","Sort=A","Dates=H","DateFormat=P","Fill=—","Direction=H","UseDPDF=Y")</f>
        <v>#NAME?</v>
      </c>
      <c r="CM103" s="1" t="e">
        <f ca="1">_xll.BDH($C$103,"TOT_DEBT_TO_TOT_ASSET","FY 2014","FY 2014","Currency=INR","Period=FY","BEST_FPERIOD_OVERRIDE=FY","FILING_STATUS=OR","EQY_CONSOLIDATED=Y","Sort=A","Dates=H","DateFormat=P","Fill=—","Direction=H","UseDPDF=Y")</f>
        <v>#NAME?</v>
      </c>
      <c r="CN103" s="1" t="e">
        <f ca="1">_xll.BDH($C$103,"NET_DEBT_TO_SHRHLDR_EQTY","FY 2014","FY 2014","Currency=INR","Period=FY","BEST_FPERIOD_OVERRIDE=FY","FILING_STATUS=OR","EQY_CONSOLIDATED=Y","Sort=A","Dates=H","DateFormat=P","Fill=—","Direction=H","UseDPDF=Y")</f>
        <v>#NAME?</v>
      </c>
      <c r="CO103" s="1" t="e">
        <f ca="1">_xll.BDH($C$103,"NET_DEBT_%_CAPITAL","FY 2014","FY 2014","Currency=INR","Period=FY","BEST_FPERIOD_OVERRIDE=FY","FILING_STATUS=OR","EQY_CONSOLIDATED=Y","Sort=A","Dates=H","DateFormat=P","Fill=—","Direction=H","UseDPDF=Y")</f>
        <v>#NAME?</v>
      </c>
      <c r="CP103" s="2" t="e">
        <f ca="1">_xll.BDH($C$103,"EBITDA","FY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03" s="2" t="e">
        <f ca="1">_xll.BDH($C$103,"EBITDA_AFTER_CAPEX","FY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03" s="2" t="e">
        <f ca="1">_xll.BDH($C$103,"IS_OPER_INC","FY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03" s="1" t="e">
        <f ca="1">_xll.BDH($C$103,"CASH_RATIO","FY 2014","FY 2014","Currency=INR","Period=FY","BEST_FPERIOD_OVERRIDE=FY","FILING_STATUS=OR","EQY_CONSOLIDATED=Y","Sort=A","Dates=H","DateFormat=P","Fill=—","Direction=H","UseDPDF=Y")</f>
        <v>#NAME?</v>
      </c>
      <c r="CT103" s="1" t="e">
        <f ca="1">_xll.BDH($C$103,"CUR_RATIO","FY 2014","FY 2014","Currency=INR","Period=FY","BEST_FPERIOD_OVERRIDE=FY","FILING_STATUS=OR","EQY_CONSOLIDATED=Y","Sort=A","Dates=H","DateFormat=P","Fill=—","Direction=H","UseDPDF=Y")</f>
        <v>#NAME?</v>
      </c>
      <c r="CU103" s="1" t="e">
        <f ca="1">_xll.BDH($C$103,"QUICK_RATIO","FY 2014","FY 2014","Currency=INR","Period=FY","BEST_FPERIOD_OVERRIDE=FY","FILING_STATUS=OR","EQY_CONSOLIDATED=Y","Sort=A","Dates=H","DateFormat=P","Fill=—","Direction=H","UseDPDF=Y")</f>
        <v>#NAME?</v>
      </c>
      <c r="CV103" s="1" t="e">
        <f ca="1">_xll.BDH($C$103,"ALTMAN_Z_SCORE","FY 2014","FY 2014","Currency=INR","Period=FY","BEST_FPERIOD_OVERRIDE=FY","FILING_STATUS=OR","EQY_CONSOLIDATED=Y","Sort=A","Dates=H","DateFormat=P","Fill=—","Direction=H","UseDPDF=Y")</f>
        <v>#NAME?</v>
      </c>
      <c r="CW103" s="3" t="e">
        <f ca="1">_xll.BDH($C$103,"ACCT_RCV_TURN","FY 2014","FY 2014","Currency=INR","Period=FY","BEST_FPERIOD_OVERRIDE=FY","FILING_STATUS=OR","EQY_CONSOLIDATED=Y","FA_ADJUSTED=GAAP","Sort=A","Dates=H","DateFormat=P","Fill=—","Direction=H","UseDPDF=Y")</f>
        <v>#NAME?</v>
      </c>
      <c r="CX103" s="1" t="e">
        <f ca="1">_xll.BDH($C$103,"ACCT_RCV_DAYS","FY 2014","FY 2014","Currency=INR","Period=FY","BEST_FPERIOD_OVERRIDE=FY","FILING_STATUS=OR","EQY_CONSOLIDATED=Y","FA_ADJUSTED=GAAP","Sort=A","Dates=H","DateFormat=P","Fill=—","Direction=H","UseDPDF=Y")</f>
        <v>#NAME?</v>
      </c>
      <c r="CY103" s="3" t="e">
        <f ca="1">_xll.BDH($C$103,"INVENT_TURN","FY 2014","FY 2014","Currency=INR","Period=FY","BEST_FPERIOD_OVERRIDE=FY","FILING_STATUS=OR","EQY_CONSOLIDATED=Y","FA_ADJUSTED=GAAP","Sort=A","Dates=H","DateFormat=P","Fill=—","Direction=H","UseDPDF=Y")</f>
        <v>#NAME?</v>
      </c>
      <c r="CZ103" s="1" t="e">
        <f ca="1">_xll.BDH($C$103,"INVENT_DAYS","FY 2014","FY 2014","Currency=INR","Period=FY","BEST_FPERIOD_OVERRIDE=FY","FILING_STATUS=OR","EQY_CONSOLIDATED=Y","FA_ADJUSTED=GAAP","Sort=A","Dates=H","DateFormat=P","Fill=—","Direction=H","UseDPDF=Y")</f>
        <v>#NAME?</v>
      </c>
      <c r="DA103" s="3" t="e">
        <f ca="1">_xll.BDH($C$103,"ACCOUNTS_PAYABLE_TURNOVER","FY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03" s="1" t="e">
        <f ca="1">_xll.BDH($C$103,"ACCOUNTS_PAYABLE_TURNOVER_DAYS","FY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03" s="3" t="e">
        <f ca="1">_xll.BDH($C$103,"CASH_CONVERSION_CYCLE","FY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03" s="3" t="e">
        <f ca="1">_xll.BDH($C$103,"INV_TO_CASH_DAYS","FY 2014","FY 2014","Currency=INR","Period=FY","BEST_FPERIOD_OVERRIDE=FY","FILING_STATUS=OR","EQY_CONSOLIDATED=Y","FA_ADJUSTED=GAAP","Sort=A","Dates=H","DateFormat=P","Fill=—","Direction=H","UseDPDF=Y")</f>
        <v>#NAME?</v>
      </c>
      <c r="DE103" s="4" t="e">
        <f ca="1">_xll.BDH($C$103,"BS_INVENTORIES","FY 2014","FY 2014","Currency=INR","Period=FY","BEST_FPERIOD_OVERRIDE=FY","FILING_STATUS=OR","EQY_CONSOLIDATED=Y","SCALING_FORMAT=MLN","Sort=A","Dates=H","DateFormat=P","Fill=—","Direction=H","UseDPDF=Y")</f>
        <v>#NAME?</v>
      </c>
      <c r="DF103" s="2" t="e">
        <f ca="1">_xll.BDH($C$103,"INVTRY_RAW_MATERIALS","FY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03" s="2" t="e">
        <f ca="1">_xll.BDH($C$103,"INVTRY_IN_PROGRESS","FY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03" s="2" t="e">
        <f ca="1">_xll.BDH($C$103,"INVTRY_FINISHED_GOODS","FY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03" s="2" t="e">
        <f ca="1">_xll.BDH($C$103,"BS_OTHER_INV","FY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04" spans="1:113" x14ac:dyDescent="0.3">
      <c r="A104" s="6"/>
      <c r="B104" s="6"/>
      <c r="C104" s="6"/>
      <c r="D104" s="6"/>
      <c r="E104" t="s">
        <v>4</v>
      </c>
      <c r="F104" t="e">
        <f ca="1">_xll.BDH($C$103,"RETURN_COM_EQY","FQ1 2014","FQ1 2014","Currency=INR","Period=FQ","BEST_FPERIOD_OVERRIDE=FQ","FILING_STATUS=OR","EQY_CONSOLIDATED=Y","FA_ADJUSTED=GAAP","Sort=A","Dates=H","DateFormat=P","Fill=—","Direction=H","UseDPDF=Y")</f>
        <v>#NAME?</v>
      </c>
      <c r="G104" t="e">
        <f ca="1">_xll.BDH($C$103,"RETURN_ON_ASSET","FQ1 2014","FQ1 2014","Currency=INR","Period=FQ","BEST_FPERIOD_OVERRIDE=FQ","FILING_STATUS=OR","EQY_CONSOLIDATED=Y","FA_ADJUSTED=GAAP","Sort=A","Dates=H","DateFormat=P","Fill=—","Direction=H","UseDPDF=Y")</f>
        <v>#NAME?</v>
      </c>
      <c r="H104" t="e">
        <f ca="1">_xll.BDH($C$103,"RETURN_ON_CAP","FQ1 2014","FQ1 2014","Currency=INR","Period=FQ","BEST_FPERIOD_OVERRIDE=FQ","FILING_STATUS=OR","EQY_CONSOLIDATED=Y","FA_ADJUSTED=GAAP","Sort=A","Dates=H","DateFormat=P","Fill=—","Direction=H","UseDPDF=Y")</f>
        <v>#NAME?</v>
      </c>
      <c r="I104" t="e">
        <f ca="1">_xll.BDH($C$103,"RETURN_ON_INV_CAPITAL","FQ1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04" t="e">
        <f ca="1">_xll.BDH($C$103,"EBITDA_TO_REVENUE","FQ1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104" t="e">
        <f ca="1">_xll.BDH($C$103,"OPER_MARGIN","FQ1 2014","FQ1 2014","Currency=INR","Period=FQ","BEST_FPERIOD_OVERRIDE=FQ","FILING_STATUS=OR","EQY_CONSOLIDATED=Y","FA_ADJUSTED=GAAP","Sort=A","Dates=H","DateFormat=P","Fill=—","Direction=H","UseDPDF=Y")</f>
        <v>#NAME?</v>
      </c>
      <c r="L104" t="e">
        <f ca="1">_xll.BDH($C$103,"INCREMENTAL_OPERATING_MARGIN","FQ1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04" t="e">
        <f ca="1">_xll.BDH($C$103,"PRETAX_INC_TO_NET_SALES","FQ1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04" t="e">
        <f ca="1">_xll.BDH($C$103,"INC_BEF_XO_ITEMS_TO_NET_SALES","FQ1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04" t="e">
        <f ca="1">_xll.BDH($C$103,"PROF_MARGIN","FQ1 2014","FQ1 2014","Currency=INR","Period=FQ","BEST_FPERIOD_OVERRIDE=FQ","FILING_STATUS=OR","EQY_CONSOLIDATED=Y","FA_ADJUSTED=GAAP","Sort=A","Dates=H","DateFormat=P","Fill=—","Direction=H","UseDPDF=Y")</f>
        <v>#NAME?</v>
      </c>
      <c r="P104" t="e">
        <f ca="1">_xll.BDH($C$103,"NET_INCOME_TO_COMMON_MARGIN","FQ1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04" t="e">
        <f ca="1">_xll.BDH($C$103,"EFF_TAX_RATE","FQ1 2014","FQ1 2014","Currency=INR","Period=FQ","BEST_FPERIOD_OVERRIDE=FQ","FILING_STATUS=OR","EQY_CONSOLIDATED=Y","FA_ADJUSTED=GAAP","Sort=A","Dates=H","DateFormat=P","Fill=—","Direction=H","UseDPDF=Y")</f>
        <v>#NAME?</v>
      </c>
      <c r="R104" t="e">
        <f ca="1">_xll.BDH($C$103,"DVD_PAYOUT_RATIO","FQ1 2014","FQ1 2014","Currency=INR","Period=FQ","BEST_FPERIOD_OVERRIDE=FQ","FILING_STATUS=OR","EQY_CONSOLIDATED=Y","FA_ADJUSTED=GAAP","Sort=A","Dates=H","DateFormat=P","Fill=—","Direction=H","UseDPDF=Y")</f>
        <v>#NAME?</v>
      </c>
      <c r="S104" t="e">
        <f ca="1">_xll.BDH($C$103,"SUSTAIN_GROWTH_RT","FQ1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104" s="1" t="e">
        <f ca="1">_xll.BDH($C$103,"SALES_GROWTH","FQ1 2014","FQ1 2014","Currency=INR","Period=FQ","BEST_FPERIOD_OVERRIDE=FQ","FILING_STATUS=OR","EQY_CONSOLIDATED=Y","FA_ADJUSTED=GAAP","Sort=A","Dates=H","DateFormat=P","Fill=—","Direction=H","UseDPDF=Y")</f>
        <v>#NAME?</v>
      </c>
      <c r="U104" s="1" t="e">
        <f ca="1">_xll.BDH($C$103,"EBITDA_GROWTH","FQ1 2014","FQ1 2014","Currency=INR","Period=FQ","BEST_FPERIOD_OVERRIDE=FQ","FILING_STATUS=OR","EQY_CONSOLIDATED=Y","FA_ADJUSTED=GAAP","Sort=A","Dates=H","DateFormat=P","Fill=—","Direction=H","UseDPDF=Y")</f>
        <v>#NAME?</v>
      </c>
      <c r="V104" s="1" t="e">
        <f ca="1">_xll.BDH($C$103,"OPER_INC_GROWTH","FQ1 2014","FQ1 2014","Currency=INR","Period=FQ","BEST_FPERIOD_OVERRIDE=FQ","FILING_STATUS=OR","EQY_CONSOLIDATED=Y","FA_ADJUSTED=GAAP","Sort=A","Dates=H","DateFormat=P","Fill=—","Direction=H","UseDPDF=Y")</f>
        <v>#NAME?</v>
      </c>
      <c r="W104" s="1" t="e">
        <f ca="1">_xll.BDH($C$103,"EARN_FOR_COM_GROWTH","FQ1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04" s="1" t="e">
        <f ca="1">_xll.BDH($C$103,"DILUTED_EPS_AFT_XO_ITEMS_GROWTH","FQ1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04" s="1" t="e">
        <f ca="1">_xll.BDH($C$103,"DIVIDEND_PER_SHARE_1_YEAR_GROWTH","FQ1 2014","FQ1 2014","Currency=INR","Period=FQ","BEST_FPERIOD_OVERRIDE=FQ","FILING_STATUS=OR","EQY_CONSOLIDATED=Y","Sort=A","Dates=H","DateFormat=P","Fill=—","Direction=H","UseDPDF=Y")</f>
        <v>#NAME?</v>
      </c>
      <c r="Z104" s="1" t="e">
        <f ca="1">_xll.BDH($C$103,"ACCOUNTS_RECEIVABLE_GROWTH","FQ1 2014","FQ1 2014","Currency=INR","Period=FQ","BEST_FPERIOD_OVERRIDE=FQ","FILING_STATUS=OR","EQY_CONSOLIDATED=Y","Sort=A","Dates=H","DateFormat=P","Fill=—","Direction=H","UseDPDF=Y")</f>
        <v>#NAME?</v>
      </c>
      <c r="AA104" s="1" t="e">
        <f ca="1">_xll.BDH($C$103,"INVENTORY_GROWTH","FQ1 2014","FQ1 2014","Currency=INR","Period=FQ","BEST_FPERIOD_OVERRIDE=FQ","FILING_STATUS=OR","EQY_CONSOLIDATED=Y","Sort=A","Dates=H","DateFormat=P","Fill=—","Direction=H","UseDPDF=Y")</f>
        <v>#NAME?</v>
      </c>
      <c r="AB104" s="1" t="e">
        <f ca="1">_xll.BDH($C$103,"NET_FIXED_ASSETS_1_YEAR_GROWTH","FQ1 2014","FQ1 2014","Currency=INR","Period=FQ","BEST_FPERIOD_OVERRIDE=FQ","FILING_STATUS=OR","EQY_CONSOLIDATED=Y","Sort=A","Dates=H","DateFormat=P","Fill=—","Direction=H","UseDPDF=Y")</f>
        <v>#NAME?</v>
      </c>
      <c r="AC104" s="1" t="e">
        <f ca="1">_xll.BDH($C$103,"ASSET_GROWTH","FQ1 2014","FQ1 2014","Currency=INR","Period=FQ","BEST_FPERIOD_OVERRIDE=FQ","FILING_STATUS=OR","EQY_CONSOLIDATED=Y","Sort=A","Dates=H","DateFormat=P","Fill=—","Direction=H","UseDPDF=Y")</f>
        <v>#NAME?</v>
      </c>
      <c r="AD104" s="1" t="e">
        <f ca="1">_xll.BDH($C$103,"MODIFIED_WORK_CAP_GROWTH","FQ1 2014","FQ1 2014","Currency=INR","Period=FQ","BEST_FPERIOD_OVERRIDE=FQ","FILING_STATUS=OR","EQY_CONSOLIDATED=Y","Sort=A","Dates=H","DateFormat=P","Fill=—","Direction=H","UseDPDF=Y")</f>
        <v>#NAME?</v>
      </c>
      <c r="AE104" s="1" t="e">
        <f ca="1">_xll.BDH($C$103,"WORK_CAP_GROWTH","FQ1 2014","FQ1 2014","Currency=INR","Period=FQ","BEST_FPERIOD_OVERRIDE=FQ","FILING_STATUS=OR","EQY_CONSOLIDATED=Y","Sort=A","Dates=H","DateFormat=P","Fill=—","Direction=H","UseDPDF=Y")</f>
        <v>#NAME?</v>
      </c>
      <c r="AF104" s="1" t="e">
        <f ca="1">_xll.BDH($C$103,"ACCOUNTS_PAYABLE_GROWTH_1YR","FQ1 2014","FQ1 2014","Currency=INR","Period=FQ","BEST_FPERIOD_OVERRIDE=FQ","FILING_STATUS=OR","EQY_CONSOLIDATED=Y","Sort=A","Dates=H","DateFormat=P","Fill=—","Direction=H","UseDPDF=Y")</f>
        <v>#NAME?</v>
      </c>
      <c r="AG104" s="1" t="e">
        <f ca="1">_xll.BDH($C$103,"SHORT_TERM_DEBT_1_YEAR_GROWTH","FQ1 2014","FQ1 2014","Currency=INR","Period=FQ","BEST_FPERIOD_OVERRIDE=FQ","FILING_STATUS=OR","EQY_CONSOLIDATED=Y","Sort=A","Dates=H","DateFormat=P","Fill=—","Direction=H","UseDPDF=Y")</f>
        <v>#NAME?</v>
      </c>
      <c r="AH104" s="1" t="e">
        <f ca="1">_xll.BDH($C$103,"TOTAL_DEBT_1_YEAR_GROWTH","FQ1 2014","FQ1 2014","Currency=INR","Period=FQ","BEST_FPERIOD_OVERRIDE=FQ","FILING_STATUS=OR","EQY_CONSOLIDATED=Y","Sort=A","Dates=H","DateFormat=P","Fill=—","Direction=H","UseDPDF=Y")</f>
        <v>#NAME?</v>
      </c>
      <c r="AI104" s="1" t="e">
        <f ca="1">_xll.BDH($C$103,"TOTAL_EQUITY_1_YEAR_GROWTH","FQ1 2014","FQ1 2014","Currency=INR","Period=FQ","BEST_FPERIOD_OVERRIDE=FQ","FILING_STATUS=OR","EQY_CONSOLIDATED=Y","Sort=A","Dates=H","DateFormat=P","Fill=—","Direction=H","UseDPDF=Y")</f>
        <v>#NAME?</v>
      </c>
      <c r="AJ104" s="1" t="e">
        <f ca="1">_xll.BDH($C$103,"GROWTH_IN_CAP","FQ1 2014","FQ1 2014","Currency=INR","Period=FQ","BEST_FPERIOD_OVERRIDE=FQ","FILING_STATUS=OR","EQY_CONSOLIDATED=Y","Sort=A","Dates=H","DateFormat=P","Fill=—","Direction=H","UseDPDF=Y")</f>
        <v>#NAME?</v>
      </c>
      <c r="AK104" s="1" t="e">
        <f ca="1">_xll.BDH($C$103,"BVPS_GROWTH","FQ1 2014","FQ1 2014","Currency=INR","Period=FQ","BEST_FPERIOD_OVERRIDE=FQ","FILING_STATUS=OR","EQY_CONSOLIDATED=Y","Sort=A","Dates=H","DateFormat=P","Fill=—","Direction=H","UseDPDF=Y")</f>
        <v>#NAME?</v>
      </c>
      <c r="AL104" s="1" t="e">
        <f ca="1">_xll.BDH($C$103,"CASH_FLOW_GROWTH","FQ1 2014","FQ1 2014","Currency=INR","Period=FQ","BEST_FPERIOD_OVERRIDE=FQ","FILING_STATUS=OR","EQY_CONSOLIDATED=Y","Sort=A","Dates=H","DateFormat=P","Fill=—","Direction=H","UseDPDF=Y")</f>
        <v>#NAME?</v>
      </c>
      <c r="AM104" s="1" t="e">
        <f ca="1">_xll.BDH($C$103,"GEO_GROW_NET_SALES","FQ1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04" s="1" t="e">
        <f ca="1">_xll.BDH($C$103,"GEO_GROW_EBITDA","FQ1 2014","FQ1 2014","Currency=INR","Period=FQ","BEST_FPERIOD_OVERRIDE=FQ","FILING_STATUS=OR","EQY_CONSOLIDATED=Y","FA_ADJUSTED=GAAP","Sort=A","Dates=H","DateFormat=P","Fill=—","Direction=H","UseDPDF=Y")</f>
        <v>#NAME?</v>
      </c>
      <c r="AO104" s="1" t="e">
        <f ca="1">_xll.BDH($C$103,"GEO_GROW_OPER_INC","FQ1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04" s="1" t="e">
        <f ca="1">_xll.BDH($C$103,"NET_INCOME_TO_COMMON_5_YR_GROWTH","FQ1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04" s="1" t="e">
        <f ca="1">_xll.BDH($C$103,"5Y_GEO_GROWTH_DILUTED_EPS","FQ1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04" s="1" t="e">
        <f ca="1">_xll.BDH($C$103,"GEO_GROW_DVD_PER_SH","FQ1 2014","FQ1 2014","Currency=INR","Period=FQ","BEST_FPERIOD_OVERRIDE=FQ","FILING_STATUS=OR","EQY_CONSOLIDATED=Y","Sort=A","Dates=H","DateFormat=P","Fill=—","Direction=H","UseDPDF=Y")</f>
        <v>#NAME?</v>
      </c>
      <c r="AS104" s="1" t="e">
        <f ca="1">_xll.BDH($C$103,"ACCOUNTS_RECEIVABLE_5_YR_GROWTH","FQ1 2014","FQ1 2014","Currency=INR","Period=FQ","BEST_FPERIOD_OVERRIDE=FQ","FILING_STATUS=OR","EQY_CONSOLIDATED=Y","Sort=A","Dates=H","DateFormat=P","Fill=—","Direction=H","UseDPDF=Y")</f>
        <v>#NAME?</v>
      </c>
      <c r="AT104" s="1" t="e">
        <f ca="1">_xll.BDH($C$103,"INVENTORY_5_YEAR_GROWTH","FQ1 2014","FQ1 2014","Currency=INR","Period=FQ","BEST_FPERIOD_OVERRIDE=FQ","FILING_STATUS=OR","EQY_CONSOLIDATED=Y","Sort=A","Dates=H","DateFormat=P","Fill=—","Direction=H","UseDPDF=Y")</f>
        <v>#NAME?</v>
      </c>
      <c r="AU104" s="1" t="e">
        <f ca="1">_xll.BDH($C$103,"NET_FIXED_ASSETS_5_YEAR_GROWTH","FQ1 2014","FQ1 2014","Currency=INR","Period=FQ","BEST_FPERIOD_OVERRIDE=FQ","FILING_STATUS=OR","EQY_CONSOLIDATED=Y","Sort=A","Dates=H","DateFormat=P","Fill=—","Direction=H","UseDPDF=Y")</f>
        <v>#NAME?</v>
      </c>
      <c r="AV104" s="1" t="e">
        <f ca="1">_xll.BDH($C$103,"GEO_GROW_TOT_ASSET","FQ1 2014","FQ1 2014","Currency=INR","Period=FQ","BEST_FPERIOD_OVERRIDE=FQ","FILING_STATUS=OR","EQY_CONSOLIDATED=Y","Sort=A","Dates=H","DateFormat=P","Fill=—","Direction=H","UseDPDF=Y")</f>
        <v>#NAME?</v>
      </c>
      <c r="AW104" s="1" t="e">
        <f ca="1">_xll.BDH($C$103,"MODIFIED_WORKING_CPTL_5YR_GRWTH","FQ1 2014","FQ1 2014","Currency=INR","Period=FQ","BEST_FPERIOD_OVERRIDE=FQ","FILING_STATUS=OR","EQY_CONSOLIDATED=Y","Sort=A","Dates=H","DateFormat=P","Fill=—","Direction=H","UseDPDF=Y")</f>
        <v>#NAME?</v>
      </c>
      <c r="AX104" s="1" t="e">
        <f ca="1">_xll.BDH($C$103,"WORKING_CAPITAL_5_YEAR_GROWTH","FQ1 2014","FQ1 2014","Currency=INR","Period=FQ","BEST_FPERIOD_OVERRIDE=FQ","FILING_STATUS=OR","EQY_CONSOLIDATED=Y","Sort=A","Dates=H","DateFormat=P","Fill=—","Direction=H","UseDPDF=Y")</f>
        <v>#NAME?</v>
      </c>
      <c r="AY104" s="1" t="e">
        <f ca="1">_xll.BDH($C$103,"ACCOUNTS_PAYABLE_5_YEAR_GROWTH","FQ1 2014","FQ1 2014","Currency=INR","Period=FQ","BEST_FPERIOD_OVERRIDE=FQ","FILING_STATUS=OR","EQY_CONSOLIDATED=Y","Sort=A","Dates=H","DateFormat=P","Fill=—","Direction=H","UseDPDF=Y")</f>
        <v>#NAME?</v>
      </c>
      <c r="AZ104" s="1" t="e">
        <f ca="1">_xll.BDH($C$103,"SHORT_TERM_DEBT_5_YEAR_GROWTH","FQ1 2014","FQ1 2014","Currency=INR","Period=FQ","BEST_FPERIOD_OVERRIDE=FQ","FILING_STATUS=OR","EQY_CONSOLIDATED=Y","Sort=A","Dates=H","DateFormat=P","Fill=—","Direction=H","UseDPDF=Y")</f>
        <v>#NAME?</v>
      </c>
      <c r="BA104" s="1" t="e">
        <f ca="1">_xll.BDH($C$103,"TOTAL_DEBT_5_YEAR_GROWTH","FQ1 2014","FQ1 2014","Currency=INR","Period=FQ","BEST_FPERIOD_OVERRIDE=FQ","FILING_STATUS=OR","EQY_CONSOLIDATED=Y","Sort=A","Dates=H","DateFormat=P","Fill=—","Direction=H","UseDPDF=Y")</f>
        <v>#NAME?</v>
      </c>
      <c r="BB104" s="1" t="e">
        <f ca="1">_xll.BDH($C$103,"GEO_GROW_TOT_SHRHLDR_EQY","FQ1 2014","FQ1 2014","Currency=INR","Period=FQ","BEST_FPERIOD_OVERRIDE=FQ","FILING_STATUS=OR","EQY_CONSOLIDATED=Y","Sort=A","Dates=H","DateFormat=P","Fill=—","Direction=H","UseDPDF=Y")</f>
        <v>#NAME?</v>
      </c>
      <c r="BC104" s="1" t="e">
        <f ca="1">_xll.BDH($C$103,"TOTAL_CAPITAL_5_YEAR_GROWTH","FQ1 2014","FQ1 2014","Currency=INR","Period=FQ","BEST_FPERIOD_OVERRIDE=FQ","FILING_STATUS=OR","EQY_CONSOLIDATED=Y","Sort=A","Dates=H","DateFormat=P","Fill=—","Direction=H","UseDPDF=Y")</f>
        <v>#NAME?</v>
      </c>
      <c r="BD104" s="1" t="e">
        <f ca="1">_xll.BDH($C$103,"GEO_GROW_BOOK_VAL","FQ1 2014","FQ1 2014","Currency=INR","Period=FQ","BEST_FPERIOD_OVERRIDE=FQ","FILING_STATUS=OR","EQY_CONSOLIDATED=Y","Sort=A","Dates=H","DateFormat=P","Fill=—","Direction=H","UseDPDF=Y")</f>
        <v>#NAME?</v>
      </c>
      <c r="BE104" s="1" t="e">
        <f ca="1">_xll.BDH($C$103,"GEO_GROW_CASH_OPER_ACT","FQ1 2014","FQ1 2014","Currency=INR","Period=FQ","BEST_FPERIOD_OVERRIDE=FQ","FILING_STATUS=OR","EQY_CONSOLIDATED=Y","Sort=A","Dates=H","DateFormat=P","Fill=—","Direction=H","UseDPDF=Y")</f>
        <v>#NAME?</v>
      </c>
      <c r="BF104" s="1" t="e">
        <f ca="1">_xll.BDH($C$103,"REVENUE_SEQUENTIAL_GROWTH","FQ1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04" s="1" t="e">
        <f ca="1">_xll.BDH($C$103,"EBITDA_SEQUENTIAL_GROWTH","FQ1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04" s="1" t="e">
        <f ca="1">_xll.BDH($C$103,"OPERATING_INCOME_SEQ_GROWTH","FQ1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04" s="1" t="e">
        <f ca="1">_xll.BDH($C$103,"NET_INCOME_TO_COMMON_SEQ_GROWTH","FQ1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04" s="1" t="e">
        <f ca="1">_xll.BDH($C$103,"EPS_DILUTED_SEQUENTIAL_GROWTH","FQ1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04" s="1" t="e">
        <f ca="1">_xll.BDH($C$103,"DPS_SEQUENTIAL_GROWTH","FQ1 2014","FQ1 2014","Currency=INR","Period=FQ","BEST_FPERIOD_OVERRIDE=FQ","FILING_STATUS=OR","EQY_CONSOLIDATED=Y","Sort=A","Dates=H","DateFormat=P","Fill=—","Direction=H","UseDPDF=Y")</f>
        <v>#NAME?</v>
      </c>
      <c r="BL104" s="1" t="e">
        <f ca="1">_xll.BDH($C$103,"ACCOUNTS_RECEIVABLE_SEQ_GROWTH","FQ1 2014","FQ1 2014","Currency=INR","Period=FQ","BEST_FPERIOD_OVERRIDE=FQ","FILING_STATUS=OR","EQY_CONSOLIDATED=Y","Sort=A","Dates=H","DateFormat=P","Fill=—","Direction=H","UseDPDF=Y")</f>
        <v>#NAME?</v>
      </c>
      <c r="BM104" s="1" t="e">
        <f ca="1">_xll.BDH($C$103,"INVENTORY_SEQUENTIAL_GROWTH","FQ1 2014","FQ1 2014","Currency=INR","Period=FQ","BEST_FPERIOD_OVERRIDE=FQ","FILING_STATUS=OR","EQY_CONSOLIDATED=Y","Sort=A","Dates=H","DateFormat=P","Fill=—","Direction=H","UseDPDF=Y")</f>
        <v>#NAME?</v>
      </c>
      <c r="BN104" s="1" t="e">
        <f ca="1">_xll.BDH($C$103,"FIXED_ASSETS_SEQUENTIAL_GROWTH","FQ1 2014","FQ1 2014","Currency=INR","Period=FQ","BEST_FPERIOD_OVERRIDE=FQ","FILING_STATUS=OR","EQY_CONSOLIDATED=Y","Sort=A","Dates=H","DateFormat=P","Fill=—","Direction=H","UseDPDF=Y")</f>
        <v>#NAME?</v>
      </c>
      <c r="BO104" s="1" t="e">
        <f ca="1">_xll.BDH($C$103,"TOTAL_ASSETS_SEQUENTIAL_GROWTH","FQ1 2014","FQ1 2014","Currency=INR","Period=FQ","BEST_FPERIOD_OVERRIDE=FQ","FILING_STATUS=OR","EQY_CONSOLIDATED=Y","Sort=A","Dates=H","DateFormat=P","Fill=—","Direction=H","UseDPDF=Y")</f>
        <v>#NAME?</v>
      </c>
      <c r="BP104" s="1" t="e">
        <f ca="1">_xll.BDH($C$103,"MODIFIED_WORKING_CPTL_SEQ_GRWTH","FQ1 2014","FQ1 2014","Currency=INR","Period=FQ","BEST_FPERIOD_OVERRIDE=FQ","FILING_STATUS=OR","EQY_CONSOLIDATED=Y","Sort=A","Dates=H","DateFormat=P","Fill=—","Direction=H","UseDPDF=Y")</f>
        <v>#NAME?</v>
      </c>
      <c r="BQ104" s="1" t="e">
        <f ca="1">_xll.BDH($C$103,"WORKING_CAPITAL_SEQ_GROWTH","FQ1 2014","FQ1 2014","Currency=INR","Period=FQ","BEST_FPERIOD_OVERRIDE=FQ","FILING_STATUS=OR","EQY_CONSOLIDATED=Y","Sort=A","Dates=H","DateFormat=P","Fill=—","Direction=H","UseDPDF=Y")</f>
        <v>#NAME?</v>
      </c>
      <c r="BR104" s="1" t="e">
        <f ca="1">_xll.BDH($C$103,"ACCOUNTS_PAYABLE_SEQ_GROWTH","FQ1 2014","FQ1 2014","Currency=INR","Period=FQ","BEST_FPERIOD_OVERRIDE=FQ","FILING_STATUS=OR","EQY_CONSOLIDATED=Y","Sort=A","Dates=H","DateFormat=P","Fill=—","Direction=H","UseDPDF=Y")</f>
        <v>#NAME?</v>
      </c>
      <c r="BS104" s="1" t="e">
        <f ca="1">_xll.BDH($C$103,"ST_DEBT_SEQUENTIAL_GROWTH","FQ1 2014","FQ1 2014","Currency=INR","Period=FQ","BEST_FPERIOD_OVERRIDE=FQ","FILING_STATUS=OR","EQY_CONSOLIDATED=Y","Sort=A","Dates=H","DateFormat=P","Fill=—","Direction=H","UseDPDF=Y")</f>
        <v>#NAME?</v>
      </c>
      <c r="BT104" s="1" t="e">
        <f ca="1">_xll.BDH($C$103,"TOTAL_DEBT_SEQUENTIAL_GROWTH","FQ1 2014","FQ1 2014","Currency=INR","Period=FQ","BEST_FPERIOD_OVERRIDE=FQ","FILING_STATUS=OR","EQY_CONSOLIDATED=Y","Sort=A","Dates=H","DateFormat=P","Fill=—","Direction=H","UseDPDF=Y")</f>
        <v>#NAME?</v>
      </c>
      <c r="BU104" s="1" t="e">
        <f ca="1">_xll.BDH($C$103,"TOTAL_EQUITY_SEQUENTIAL_GROWTH","FQ1 2014","FQ1 2014","Currency=INR","Period=FQ","BEST_FPERIOD_OVERRIDE=FQ","FILING_STATUS=OR","EQY_CONSOLIDATED=Y","Sort=A","Dates=H","DateFormat=P","Fill=—","Direction=H","UseDPDF=Y")</f>
        <v>#NAME?</v>
      </c>
      <c r="BV104" s="1" t="e">
        <f ca="1">_xll.BDH($C$103,"TOTAL_CAPITAL_SEQUENTIAL_GROWTH","FQ1 2014","FQ1 2014","Currency=INR","Period=FQ","BEST_FPERIOD_OVERRIDE=FQ","FILING_STATUS=OR","EQY_CONSOLIDATED=Y","Sort=A","Dates=H","DateFormat=P","Fill=—","Direction=H","UseDPDF=Y")</f>
        <v>#NAME?</v>
      </c>
      <c r="BW104" s="1" t="e">
        <f ca="1">_xll.BDH($C$103,"BPS_SEQUENTIAL_GROWTH","FQ1 2014","FQ1 2014","Currency=INR","Period=FQ","BEST_FPERIOD_OVERRIDE=FQ","FILING_STATUS=OR","EQY_CONSOLIDATED=Y","Sort=A","Dates=H","DateFormat=P","Fill=—","Direction=H","UseDPDF=Y")</f>
        <v>#NAME?</v>
      </c>
      <c r="BX104" s="1" t="e">
        <f ca="1">_xll.BDH($C$103,"CFO_SEQUENTIAL_GROWTH","FQ1 2014","FQ1 2014","Currency=INR","Period=FQ","BEST_FPERIOD_OVERRIDE=FQ","FILING_STATUS=OR","EQY_CONSOLIDATED=Y","Sort=A","Dates=H","DateFormat=P","Fill=—","Direction=H","UseDPDF=Y")</f>
        <v>#NAME?</v>
      </c>
      <c r="BY104" s="2" t="e">
        <f ca="1">_xll.BDH($C$103,"SHORT_AND_LONG_TERM_DEBT","FQ1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04" s="2" t="e">
        <f ca="1">_xll.BDH($C$103,"BS_ST_BORROW","FQ1 2014","FQ1 2014","Currency=INR","Period=FQ","BEST_FPERIOD_OVERRIDE=FQ","FILING_STATUS=OR","EQY_CONSOLIDATED=Y","SCALING_FORMAT=MLN","Sort=A","Dates=H","DateFormat=P","Fill=—","Direction=H","UseDPDF=Y")</f>
        <v>#NAME?</v>
      </c>
      <c r="CA104" s="2" t="e">
        <f ca="1">_xll.BDH($C$103,"BS_LT_BORROW","FQ1 2014","FQ1 2014","Currency=INR","Period=FQ","BEST_FPERIOD_OVERRIDE=FQ","FILING_STATUS=OR","EQY_CONSOLIDATED=Y","SCALING_FORMAT=MLN","Sort=A","Dates=H","DateFormat=P","Fill=—","Direction=H","UseDPDF=Y")</f>
        <v>#NAME?</v>
      </c>
      <c r="CB104" s="1" t="e">
        <f ca="1">_xll.BDH($C$103,"TOT_DEBT_TO_EBITDA","FQ1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04" s="1" t="e">
        <f ca="1">_xll.BDH($C$103,"NET_DEBT_TO_EBITDA","FQ1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04" s="1" t="e">
        <f ca="1">_xll.BDH($C$103,"TOTAL_DEBT_TO_EBIT","FQ1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04" s="1" t="e">
        <f ca="1">_xll.BDH($C$103,"NET_DEBT_TO_EBIT","FQ1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104" s="1" t="e">
        <f ca="1">_xll.BDH($C$103,"EBITDA_TO_INTEREST_EXPN","FQ1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04" s="1" t="e">
        <f ca="1">_xll.BDH($C$103,"COM_EQY_TO_TOT_ASSET","FQ1 2014","FQ1 2014","Currency=INR","Period=FQ","BEST_FPERIOD_OVERRIDE=FQ","FILING_STATUS=OR","EQY_CONSOLIDATED=Y","Sort=A","Dates=H","DateFormat=P","Fill=—","Direction=H","UseDPDF=Y")</f>
        <v>#NAME?</v>
      </c>
      <c r="CH104" s="1" t="e">
        <f ca="1">_xll.BDH($C$103,"LT_DEBT_TO_TOT_EQY","FQ1 2014","FQ1 2014","Currency=INR","Period=FQ","BEST_FPERIOD_OVERRIDE=FQ","FILING_STATUS=OR","EQY_CONSOLIDATED=Y","Sort=A","Dates=H","DateFormat=P","Fill=—","Direction=H","UseDPDF=Y")</f>
        <v>#NAME?</v>
      </c>
      <c r="CI104" s="1" t="e">
        <f ca="1">_xll.BDH($C$103,"LT_DEBT_TO_TOT_CAP","FQ1 2014","FQ1 2014","Currency=INR","Period=FQ","BEST_FPERIOD_OVERRIDE=FQ","FILING_STATUS=OR","EQY_CONSOLIDATED=Y","Sort=A","Dates=H","DateFormat=P","Fill=—","Direction=H","UseDPDF=Y")</f>
        <v>#NAME?</v>
      </c>
      <c r="CJ104" s="1" t="e">
        <f ca="1">_xll.BDH($C$103,"LT_DEBT_TO_TOT_ASSET","FQ1 2014","FQ1 2014","Currency=INR","Period=FQ","BEST_FPERIOD_OVERRIDE=FQ","FILING_STATUS=OR","EQY_CONSOLIDATED=Y","Sort=A","Dates=H","DateFormat=P","Fill=—","Direction=H","UseDPDF=Y")</f>
        <v>#NAME?</v>
      </c>
      <c r="CK104" s="1" t="e">
        <f ca="1">_xll.BDH($C$103,"TOT_DEBT_TO_TOT_EQY","FQ1 2014","FQ1 2014","Currency=INR","Period=FQ","BEST_FPERIOD_OVERRIDE=FQ","FILING_STATUS=OR","EQY_CONSOLIDATED=Y","Sort=A","Dates=H","DateFormat=P","Fill=—","Direction=H","UseDPDF=Y")</f>
        <v>#NAME?</v>
      </c>
      <c r="CL104" s="1" t="e">
        <f ca="1">_xll.BDH($C$103,"TOT_DEBT_TO_TOT_CAP","FQ1 2014","FQ1 2014","Currency=INR","Period=FQ","BEST_FPERIOD_OVERRIDE=FQ","FILING_STATUS=OR","EQY_CONSOLIDATED=Y","Sort=A","Dates=H","DateFormat=P","Fill=—","Direction=H","UseDPDF=Y")</f>
        <v>#NAME?</v>
      </c>
      <c r="CM104" s="1" t="e">
        <f ca="1">_xll.BDH($C$103,"TOT_DEBT_TO_TOT_ASSET","FQ1 2014","FQ1 2014","Currency=INR","Period=FQ","BEST_FPERIOD_OVERRIDE=FQ","FILING_STATUS=OR","EQY_CONSOLIDATED=Y","Sort=A","Dates=H","DateFormat=P","Fill=—","Direction=H","UseDPDF=Y")</f>
        <v>#NAME?</v>
      </c>
      <c r="CN104" s="1" t="e">
        <f ca="1">_xll.BDH($C$103,"NET_DEBT_TO_SHRHLDR_EQTY","FQ1 2014","FQ1 2014","Currency=INR","Period=FQ","BEST_FPERIOD_OVERRIDE=FQ","FILING_STATUS=OR","EQY_CONSOLIDATED=Y","Sort=A","Dates=H","DateFormat=P","Fill=—","Direction=H","UseDPDF=Y")</f>
        <v>#NAME?</v>
      </c>
      <c r="CO104" s="1" t="e">
        <f ca="1">_xll.BDH($C$103,"NET_DEBT_%_CAPITAL","FQ1 2014","FQ1 2014","Currency=INR","Period=FQ","BEST_FPERIOD_OVERRIDE=FQ","FILING_STATUS=OR","EQY_CONSOLIDATED=Y","Sort=A","Dates=H","DateFormat=P","Fill=—","Direction=H","UseDPDF=Y")</f>
        <v>#NAME?</v>
      </c>
      <c r="CP104" s="2" t="e">
        <f ca="1">_xll.BDH($C$103,"EBITDA","FQ1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04" s="2" t="e">
        <f ca="1">_xll.BDH($C$103,"EBITDA_AFTER_CAPEX","FQ1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04" s="2" t="e">
        <f ca="1">_xll.BDH($C$103,"IS_OPER_INC","FQ1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04" s="1" t="e">
        <f ca="1">_xll.BDH($C$103,"CASH_RATIO","FQ1 2014","FQ1 2014","Currency=INR","Period=FQ","BEST_FPERIOD_OVERRIDE=FQ","FILING_STATUS=OR","EQY_CONSOLIDATED=Y","Sort=A","Dates=H","DateFormat=P","Fill=—","Direction=H","UseDPDF=Y")</f>
        <v>#NAME?</v>
      </c>
      <c r="CT104" s="1" t="e">
        <f ca="1">_xll.BDH($C$103,"CUR_RATIO","FQ1 2014","FQ1 2014","Currency=INR","Period=FQ","BEST_FPERIOD_OVERRIDE=FQ","FILING_STATUS=OR","EQY_CONSOLIDATED=Y","Sort=A","Dates=H","DateFormat=P","Fill=—","Direction=H","UseDPDF=Y")</f>
        <v>#NAME?</v>
      </c>
      <c r="CU104" s="1" t="e">
        <f ca="1">_xll.BDH($C$103,"QUICK_RATIO","FQ1 2014","FQ1 2014","Currency=INR","Period=FQ","BEST_FPERIOD_OVERRIDE=FQ","FILING_STATUS=OR","EQY_CONSOLIDATED=Y","Sort=A","Dates=H","DateFormat=P","Fill=—","Direction=H","UseDPDF=Y")</f>
        <v>#NAME?</v>
      </c>
      <c r="CV104" s="1" t="e">
        <f ca="1">_xll.BDH($C$103,"ALTMAN_Z_SCORE","FQ1 2014","FQ1 2014","Currency=INR","Period=FQ","BEST_FPERIOD_OVERRIDE=FQ","FILING_STATUS=OR","EQY_CONSOLIDATED=Y","Sort=A","Dates=H","DateFormat=P","Fill=—","Direction=H","UseDPDF=Y")</f>
        <v>#NAME?</v>
      </c>
      <c r="CW104" s="3" t="e">
        <f ca="1">_xll.BDH($C$103,"ACCT_RCV_TURN","FQ1 2014","FQ1 2014","Currency=INR","Period=FQ","BEST_FPERIOD_OVERRIDE=FQ","FILING_STATUS=OR","EQY_CONSOLIDATED=Y","FA_ADJUSTED=GAAP","Sort=A","Dates=H","DateFormat=P","Fill=—","Direction=H","UseDPDF=Y")</f>
        <v>#NAME?</v>
      </c>
      <c r="CX104" s="1" t="e">
        <f ca="1">_xll.BDH($C$103,"ACCT_RCV_DAYS","FQ1 2014","FQ1 2014","Currency=INR","Period=FQ","BEST_FPERIOD_OVERRIDE=FQ","FILING_STATUS=OR","EQY_CONSOLIDATED=Y","FA_ADJUSTED=GAAP","Sort=A","Dates=H","DateFormat=P","Fill=—","Direction=H","UseDPDF=Y")</f>
        <v>#NAME?</v>
      </c>
      <c r="CY104" s="3" t="e">
        <f ca="1">_xll.BDH($C$103,"INVENT_TURN","FQ1 2014","FQ1 2014","Currency=INR","Period=FQ","BEST_FPERIOD_OVERRIDE=FQ","FILING_STATUS=OR","EQY_CONSOLIDATED=Y","FA_ADJUSTED=GAAP","Sort=A","Dates=H","DateFormat=P","Fill=—","Direction=H","UseDPDF=Y")</f>
        <v>#NAME?</v>
      </c>
      <c r="CZ104" s="1" t="e">
        <f ca="1">_xll.BDH($C$103,"INVENT_DAYS","FQ1 2014","FQ1 2014","Currency=INR","Period=FQ","BEST_FPERIOD_OVERRIDE=FQ","FILING_STATUS=OR","EQY_CONSOLIDATED=Y","FA_ADJUSTED=GAAP","Sort=A","Dates=H","DateFormat=P","Fill=—","Direction=H","UseDPDF=Y")</f>
        <v>#NAME?</v>
      </c>
      <c r="DA104" s="3" t="e">
        <f ca="1">_xll.BDH($C$103,"ACCOUNTS_PAYABLE_TURNOVER","FQ1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04" s="1" t="e">
        <f ca="1">_xll.BDH($C$103,"ACCOUNTS_PAYABLE_TURNOVER_DAYS","FQ1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04" s="3" t="e">
        <f ca="1">_xll.BDH($C$103,"CASH_CONVERSION_CYCLE","FQ1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04" s="3" t="e">
        <f ca="1">_xll.BDH($C$103,"INV_TO_CASH_DAYS","FQ1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104" s="4" t="e">
        <f ca="1">_xll.BDH($C$103,"BS_INVENTORIES","FQ1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104" s="2" t="e">
        <f ca="1">_xll.BDH($C$103,"INVTRY_RAW_MATERIALS","FQ1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04" s="2" t="e">
        <f ca="1">_xll.BDH($C$103,"INVTRY_IN_PROGRESS","FQ1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04" s="2" t="e">
        <f ca="1">_xll.BDH($C$103,"INVTRY_FINISHED_GOODS","FQ1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04" s="2" t="e">
        <f ca="1">_xll.BDH($C$103,"BS_OTHER_INV","FQ1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05" spans="1:113" x14ac:dyDescent="0.3">
      <c r="A105" s="6"/>
      <c r="B105" s="6"/>
      <c r="C105" s="6"/>
      <c r="D105" s="6"/>
      <c r="E105" t="s">
        <v>5</v>
      </c>
      <c r="F105" t="e">
        <f ca="1">_xll.BDH($C$103,"RETURN_COM_EQY","FQ2 2014","FQ2 2014","Currency=INR","Period=FQ","BEST_FPERIOD_OVERRIDE=FQ","FILING_STATUS=OR","EQY_CONSOLIDATED=Y","FA_ADJUSTED=GAAP","Sort=A","Dates=H","DateFormat=P","Fill=—","Direction=H","UseDPDF=Y")</f>
        <v>#NAME?</v>
      </c>
      <c r="G105" t="e">
        <f ca="1">_xll.BDH($C$103,"RETURN_ON_ASSET","FQ2 2014","FQ2 2014","Currency=INR","Period=FQ","BEST_FPERIOD_OVERRIDE=FQ","FILING_STATUS=OR","EQY_CONSOLIDATED=Y","FA_ADJUSTED=GAAP","Sort=A","Dates=H","DateFormat=P","Fill=—","Direction=H","UseDPDF=Y")</f>
        <v>#NAME?</v>
      </c>
      <c r="H105" t="e">
        <f ca="1">_xll.BDH($C$103,"RETURN_ON_CAP","FQ2 2014","FQ2 2014","Currency=INR","Period=FQ","BEST_FPERIOD_OVERRIDE=FQ","FILING_STATUS=OR","EQY_CONSOLIDATED=Y","FA_ADJUSTED=GAAP","Sort=A","Dates=H","DateFormat=P","Fill=—","Direction=H","UseDPDF=Y")</f>
        <v>#NAME?</v>
      </c>
      <c r="I105" t="e">
        <f ca="1">_xll.BDH($C$103,"RETURN_ON_INV_CAPITAL","FQ2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05" t="e">
        <f ca="1">_xll.BDH($C$103,"EBITDA_TO_REVENUE","FQ2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105" t="e">
        <f ca="1">_xll.BDH($C$103,"OPER_MARGIN","FQ2 2014","FQ2 2014","Currency=INR","Period=FQ","BEST_FPERIOD_OVERRIDE=FQ","FILING_STATUS=OR","EQY_CONSOLIDATED=Y","FA_ADJUSTED=GAAP","Sort=A","Dates=H","DateFormat=P","Fill=—","Direction=H","UseDPDF=Y")</f>
        <v>#NAME?</v>
      </c>
      <c r="L105" t="e">
        <f ca="1">_xll.BDH($C$103,"INCREMENTAL_OPERATING_MARGIN","FQ2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05" t="e">
        <f ca="1">_xll.BDH($C$103,"PRETAX_INC_TO_NET_SALES","FQ2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05" t="e">
        <f ca="1">_xll.BDH($C$103,"INC_BEF_XO_ITEMS_TO_NET_SALES","FQ2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05" t="e">
        <f ca="1">_xll.BDH($C$103,"PROF_MARGIN","FQ2 2014","FQ2 2014","Currency=INR","Period=FQ","BEST_FPERIOD_OVERRIDE=FQ","FILING_STATUS=OR","EQY_CONSOLIDATED=Y","FA_ADJUSTED=GAAP","Sort=A","Dates=H","DateFormat=P","Fill=—","Direction=H","UseDPDF=Y")</f>
        <v>#NAME?</v>
      </c>
      <c r="P105" t="e">
        <f ca="1">_xll.BDH($C$103,"NET_INCOME_TO_COMMON_MARGIN","FQ2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05" t="e">
        <f ca="1">_xll.BDH($C$103,"EFF_TAX_RATE","FQ2 2014","FQ2 2014","Currency=INR","Period=FQ","BEST_FPERIOD_OVERRIDE=FQ","FILING_STATUS=OR","EQY_CONSOLIDATED=Y","FA_ADJUSTED=GAAP","Sort=A","Dates=H","DateFormat=P","Fill=—","Direction=H","UseDPDF=Y")</f>
        <v>#NAME?</v>
      </c>
      <c r="R105" t="e">
        <f ca="1">_xll.BDH($C$103,"DVD_PAYOUT_RATIO","FQ2 2014","FQ2 2014","Currency=INR","Period=FQ","BEST_FPERIOD_OVERRIDE=FQ","FILING_STATUS=OR","EQY_CONSOLIDATED=Y","FA_ADJUSTED=GAAP","Sort=A","Dates=H","DateFormat=P","Fill=—","Direction=H","UseDPDF=Y")</f>
        <v>#NAME?</v>
      </c>
      <c r="S105" t="e">
        <f ca="1">_xll.BDH($C$103,"SUSTAIN_GROWTH_RT","FQ2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105" s="1" t="e">
        <f ca="1">_xll.BDH($C$103,"SALES_GROWTH","FQ2 2014","FQ2 2014","Currency=INR","Period=FQ","BEST_FPERIOD_OVERRIDE=FQ","FILING_STATUS=OR","EQY_CONSOLIDATED=Y","FA_ADJUSTED=GAAP","Sort=A","Dates=H","DateFormat=P","Fill=—","Direction=H","UseDPDF=Y")</f>
        <v>#NAME?</v>
      </c>
      <c r="U105" s="1" t="e">
        <f ca="1">_xll.BDH($C$103,"EBITDA_GROWTH","FQ2 2014","FQ2 2014","Currency=INR","Period=FQ","BEST_FPERIOD_OVERRIDE=FQ","FILING_STATUS=OR","EQY_CONSOLIDATED=Y","FA_ADJUSTED=GAAP","Sort=A","Dates=H","DateFormat=P","Fill=—","Direction=H","UseDPDF=Y")</f>
        <v>#NAME?</v>
      </c>
      <c r="V105" s="1" t="e">
        <f ca="1">_xll.BDH($C$103,"OPER_INC_GROWTH","FQ2 2014","FQ2 2014","Currency=INR","Period=FQ","BEST_FPERIOD_OVERRIDE=FQ","FILING_STATUS=OR","EQY_CONSOLIDATED=Y","FA_ADJUSTED=GAAP","Sort=A","Dates=H","DateFormat=P","Fill=—","Direction=H","UseDPDF=Y")</f>
        <v>#NAME?</v>
      </c>
      <c r="W105" s="1" t="e">
        <f ca="1">_xll.BDH($C$103,"EARN_FOR_COM_GROWTH","FQ2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05" s="1" t="e">
        <f ca="1">_xll.BDH($C$103,"DILUTED_EPS_AFT_XO_ITEMS_GROWTH","FQ2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05" s="1" t="e">
        <f ca="1">_xll.BDH($C$103,"DIVIDEND_PER_SHARE_1_YEAR_GROWTH","FQ2 2014","FQ2 2014","Currency=INR","Period=FQ","BEST_FPERIOD_OVERRIDE=FQ","FILING_STATUS=OR","EQY_CONSOLIDATED=Y","Sort=A","Dates=H","DateFormat=P","Fill=—","Direction=H","UseDPDF=Y")</f>
        <v>#NAME?</v>
      </c>
      <c r="Z105" s="1" t="e">
        <f ca="1">_xll.BDH($C$103,"ACCOUNTS_RECEIVABLE_GROWTH","FQ2 2014","FQ2 2014","Currency=INR","Period=FQ","BEST_FPERIOD_OVERRIDE=FQ","FILING_STATUS=OR","EQY_CONSOLIDATED=Y","Sort=A","Dates=H","DateFormat=P","Fill=—","Direction=H","UseDPDF=Y")</f>
        <v>#NAME?</v>
      </c>
      <c r="AA105" s="1" t="e">
        <f ca="1">_xll.BDH($C$103,"INVENTORY_GROWTH","FQ2 2014","FQ2 2014","Currency=INR","Period=FQ","BEST_FPERIOD_OVERRIDE=FQ","FILING_STATUS=OR","EQY_CONSOLIDATED=Y","Sort=A","Dates=H","DateFormat=P","Fill=—","Direction=H","UseDPDF=Y")</f>
        <v>#NAME?</v>
      </c>
      <c r="AB105" s="1" t="e">
        <f ca="1">_xll.BDH($C$103,"NET_FIXED_ASSETS_1_YEAR_GROWTH","FQ2 2014","FQ2 2014","Currency=INR","Period=FQ","BEST_FPERIOD_OVERRIDE=FQ","FILING_STATUS=OR","EQY_CONSOLIDATED=Y","Sort=A","Dates=H","DateFormat=P","Fill=—","Direction=H","UseDPDF=Y")</f>
        <v>#NAME?</v>
      </c>
      <c r="AC105" s="1" t="e">
        <f ca="1">_xll.BDH($C$103,"ASSET_GROWTH","FQ2 2014","FQ2 2014","Currency=INR","Period=FQ","BEST_FPERIOD_OVERRIDE=FQ","FILING_STATUS=OR","EQY_CONSOLIDATED=Y","Sort=A","Dates=H","DateFormat=P","Fill=—","Direction=H","UseDPDF=Y")</f>
        <v>#NAME?</v>
      </c>
      <c r="AD105" s="1" t="e">
        <f ca="1">_xll.BDH($C$103,"MODIFIED_WORK_CAP_GROWTH","FQ2 2014","FQ2 2014","Currency=INR","Period=FQ","BEST_FPERIOD_OVERRIDE=FQ","FILING_STATUS=OR","EQY_CONSOLIDATED=Y","Sort=A","Dates=H","DateFormat=P","Fill=—","Direction=H","UseDPDF=Y")</f>
        <v>#NAME?</v>
      </c>
      <c r="AE105" s="1" t="e">
        <f ca="1">_xll.BDH($C$103,"WORK_CAP_GROWTH","FQ2 2014","FQ2 2014","Currency=INR","Period=FQ","BEST_FPERIOD_OVERRIDE=FQ","FILING_STATUS=OR","EQY_CONSOLIDATED=Y","Sort=A","Dates=H","DateFormat=P","Fill=—","Direction=H","UseDPDF=Y")</f>
        <v>#NAME?</v>
      </c>
      <c r="AF105" s="1" t="e">
        <f ca="1">_xll.BDH($C$103,"ACCOUNTS_PAYABLE_GROWTH_1YR","FQ2 2014","FQ2 2014","Currency=INR","Period=FQ","BEST_FPERIOD_OVERRIDE=FQ","FILING_STATUS=OR","EQY_CONSOLIDATED=Y","Sort=A","Dates=H","DateFormat=P","Fill=—","Direction=H","UseDPDF=Y")</f>
        <v>#NAME?</v>
      </c>
      <c r="AG105" s="1" t="e">
        <f ca="1">_xll.BDH($C$103,"SHORT_TERM_DEBT_1_YEAR_GROWTH","FQ2 2014","FQ2 2014","Currency=INR","Period=FQ","BEST_FPERIOD_OVERRIDE=FQ","FILING_STATUS=OR","EQY_CONSOLIDATED=Y","Sort=A","Dates=H","DateFormat=P","Fill=—","Direction=H","UseDPDF=Y")</f>
        <v>#NAME?</v>
      </c>
      <c r="AH105" s="1" t="e">
        <f ca="1">_xll.BDH($C$103,"TOTAL_DEBT_1_YEAR_GROWTH","FQ2 2014","FQ2 2014","Currency=INR","Period=FQ","BEST_FPERIOD_OVERRIDE=FQ","FILING_STATUS=OR","EQY_CONSOLIDATED=Y","Sort=A","Dates=H","DateFormat=P","Fill=—","Direction=H","UseDPDF=Y")</f>
        <v>#NAME?</v>
      </c>
      <c r="AI105" s="1" t="e">
        <f ca="1">_xll.BDH($C$103,"TOTAL_EQUITY_1_YEAR_GROWTH","FQ2 2014","FQ2 2014","Currency=INR","Period=FQ","BEST_FPERIOD_OVERRIDE=FQ","FILING_STATUS=OR","EQY_CONSOLIDATED=Y","Sort=A","Dates=H","DateFormat=P","Fill=—","Direction=H","UseDPDF=Y")</f>
        <v>#NAME?</v>
      </c>
      <c r="AJ105" s="1" t="e">
        <f ca="1">_xll.BDH($C$103,"GROWTH_IN_CAP","FQ2 2014","FQ2 2014","Currency=INR","Period=FQ","BEST_FPERIOD_OVERRIDE=FQ","FILING_STATUS=OR","EQY_CONSOLIDATED=Y","Sort=A","Dates=H","DateFormat=P","Fill=—","Direction=H","UseDPDF=Y")</f>
        <v>#NAME?</v>
      </c>
      <c r="AK105" s="1" t="e">
        <f ca="1">_xll.BDH($C$103,"BVPS_GROWTH","FQ2 2014","FQ2 2014","Currency=INR","Period=FQ","BEST_FPERIOD_OVERRIDE=FQ","FILING_STATUS=OR","EQY_CONSOLIDATED=Y","Sort=A","Dates=H","DateFormat=P","Fill=—","Direction=H","UseDPDF=Y")</f>
        <v>#NAME?</v>
      </c>
      <c r="AL105" s="1" t="e">
        <f ca="1">_xll.BDH($C$103,"CASH_FLOW_GROWTH","FQ2 2014","FQ2 2014","Currency=INR","Period=FQ","BEST_FPERIOD_OVERRIDE=FQ","FILING_STATUS=OR","EQY_CONSOLIDATED=Y","Sort=A","Dates=H","DateFormat=P","Fill=—","Direction=H","UseDPDF=Y")</f>
        <v>#NAME?</v>
      </c>
      <c r="AM105" s="1" t="e">
        <f ca="1">_xll.BDH($C$103,"GEO_GROW_NET_SALES","FQ2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05" s="1" t="e">
        <f ca="1">_xll.BDH($C$103,"GEO_GROW_EBITDA","FQ2 2014","FQ2 2014","Currency=INR","Period=FQ","BEST_FPERIOD_OVERRIDE=FQ","FILING_STATUS=OR","EQY_CONSOLIDATED=Y","FA_ADJUSTED=GAAP","Sort=A","Dates=H","DateFormat=P","Fill=—","Direction=H","UseDPDF=Y")</f>
        <v>#NAME?</v>
      </c>
      <c r="AO105" s="1" t="e">
        <f ca="1">_xll.BDH($C$103,"GEO_GROW_OPER_INC","FQ2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05" s="1" t="e">
        <f ca="1">_xll.BDH($C$103,"NET_INCOME_TO_COMMON_5_YR_GROWTH","FQ2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05" s="1" t="e">
        <f ca="1">_xll.BDH($C$103,"5Y_GEO_GROWTH_DILUTED_EPS","FQ2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05" s="1" t="e">
        <f ca="1">_xll.BDH($C$103,"GEO_GROW_DVD_PER_SH","FQ2 2014","FQ2 2014","Currency=INR","Period=FQ","BEST_FPERIOD_OVERRIDE=FQ","FILING_STATUS=OR","EQY_CONSOLIDATED=Y","Sort=A","Dates=H","DateFormat=P","Fill=—","Direction=H","UseDPDF=Y")</f>
        <v>#NAME?</v>
      </c>
      <c r="AS105" s="1" t="e">
        <f ca="1">_xll.BDH($C$103,"ACCOUNTS_RECEIVABLE_5_YR_GROWTH","FQ2 2014","FQ2 2014","Currency=INR","Period=FQ","BEST_FPERIOD_OVERRIDE=FQ","FILING_STATUS=OR","EQY_CONSOLIDATED=Y","Sort=A","Dates=H","DateFormat=P","Fill=—","Direction=H","UseDPDF=Y")</f>
        <v>#NAME?</v>
      </c>
      <c r="AT105" s="1" t="e">
        <f ca="1">_xll.BDH($C$103,"INVENTORY_5_YEAR_GROWTH","FQ2 2014","FQ2 2014","Currency=INR","Period=FQ","BEST_FPERIOD_OVERRIDE=FQ","FILING_STATUS=OR","EQY_CONSOLIDATED=Y","Sort=A","Dates=H","DateFormat=P","Fill=—","Direction=H","UseDPDF=Y")</f>
        <v>#NAME?</v>
      </c>
      <c r="AU105" s="1" t="e">
        <f ca="1">_xll.BDH($C$103,"NET_FIXED_ASSETS_5_YEAR_GROWTH","FQ2 2014","FQ2 2014","Currency=INR","Period=FQ","BEST_FPERIOD_OVERRIDE=FQ","FILING_STATUS=OR","EQY_CONSOLIDATED=Y","Sort=A","Dates=H","DateFormat=P","Fill=—","Direction=H","UseDPDF=Y")</f>
        <v>#NAME?</v>
      </c>
      <c r="AV105" s="1" t="e">
        <f ca="1">_xll.BDH($C$103,"GEO_GROW_TOT_ASSET","FQ2 2014","FQ2 2014","Currency=INR","Period=FQ","BEST_FPERIOD_OVERRIDE=FQ","FILING_STATUS=OR","EQY_CONSOLIDATED=Y","Sort=A","Dates=H","DateFormat=P","Fill=—","Direction=H","UseDPDF=Y")</f>
        <v>#NAME?</v>
      </c>
      <c r="AW105" s="1" t="e">
        <f ca="1">_xll.BDH($C$103,"MODIFIED_WORKING_CPTL_5YR_GRWTH","FQ2 2014","FQ2 2014","Currency=INR","Period=FQ","BEST_FPERIOD_OVERRIDE=FQ","FILING_STATUS=OR","EQY_CONSOLIDATED=Y","Sort=A","Dates=H","DateFormat=P","Fill=—","Direction=H","UseDPDF=Y")</f>
        <v>#NAME?</v>
      </c>
      <c r="AX105" s="1" t="e">
        <f ca="1">_xll.BDH($C$103,"WORKING_CAPITAL_5_YEAR_GROWTH","FQ2 2014","FQ2 2014","Currency=INR","Period=FQ","BEST_FPERIOD_OVERRIDE=FQ","FILING_STATUS=OR","EQY_CONSOLIDATED=Y","Sort=A","Dates=H","DateFormat=P","Fill=—","Direction=H","UseDPDF=Y")</f>
        <v>#NAME?</v>
      </c>
      <c r="AY105" s="1" t="e">
        <f ca="1">_xll.BDH($C$103,"ACCOUNTS_PAYABLE_5_YEAR_GROWTH","FQ2 2014","FQ2 2014","Currency=INR","Period=FQ","BEST_FPERIOD_OVERRIDE=FQ","FILING_STATUS=OR","EQY_CONSOLIDATED=Y","Sort=A","Dates=H","DateFormat=P","Fill=—","Direction=H","UseDPDF=Y")</f>
        <v>#NAME?</v>
      </c>
      <c r="AZ105" s="1" t="e">
        <f ca="1">_xll.BDH($C$103,"SHORT_TERM_DEBT_5_YEAR_GROWTH","FQ2 2014","FQ2 2014","Currency=INR","Period=FQ","BEST_FPERIOD_OVERRIDE=FQ","FILING_STATUS=OR","EQY_CONSOLIDATED=Y","Sort=A","Dates=H","DateFormat=P","Fill=—","Direction=H","UseDPDF=Y")</f>
        <v>#NAME?</v>
      </c>
      <c r="BA105" s="1" t="e">
        <f ca="1">_xll.BDH($C$103,"TOTAL_DEBT_5_YEAR_GROWTH","FQ2 2014","FQ2 2014","Currency=INR","Period=FQ","BEST_FPERIOD_OVERRIDE=FQ","FILING_STATUS=OR","EQY_CONSOLIDATED=Y","Sort=A","Dates=H","DateFormat=P","Fill=—","Direction=H","UseDPDF=Y")</f>
        <v>#NAME?</v>
      </c>
      <c r="BB105" s="1" t="e">
        <f ca="1">_xll.BDH($C$103,"GEO_GROW_TOT_SHRHLDR_EQY","FQ2 2014","FQ2 2014","Currency=INR","Period=FQ","BEST_FPERIOD_OVERRIDE=FQ","FILING_STATUS=OR","EQY_CONSOLIDATED=Y","Sort=A","Dates=H","DateFormat=P","Fill=—","Direction=H","UseDPDF=Y")</f>
        <v>#NAME?</v>
      </c>
      <c r="BC105" s="1" t="e">
        <f ca="1">_xll.BDH($C$103,"TOTAL_CAPITAL_5_YEAR_GROWTH","FQ2 2014","FQ2 2014","Currency=INR","Period=FQ","BEST_FPERIOD_OVERRIDE=FQ","FILING_STATUS=OR","EQY_CONSOLIDATED=Y","Sort=A","Dates=H","DateFormat=P","Fill=—","Direction=H","UseDPDF=Y")</f>
        <v>#NAME?</v>
      </c>
      <c r="BD105" s="1" t="e">
        <f ca="1">_xll.BDH($C$103,"GEO_GROW_BOOK_VAL","FQ2 2014","FQ2 2014","Currency=INR","Period=FQ","BEST_FPERIOD_OVERRIDE=FQ","FILING_STATUS=OR","EQY_CONSOLIDATED=Y","Sort=A","Dates=H","DateFormat=P","Fill=—","Direction=H","UseDPDF=Y")</f>
        <v>#NAME?</v>
      </c>
      <c r="BE105" s="1" t="e">
        <f ca="1">_xll.BDH($C$103,"GEO_GROW_CASH_OPER_ACT","FQ2 2014","FQ2 2014","Currency=INR","Period=FQ","BEST_FPERIOD_OVERRIDE=FQ","FILING_STATUS=OR","EQY_CONSOLIDATED=Y","Sort=A","Dates=H","DateFormat=P","Fill=—","Direction=H","UseDPDF=Y")</f>
        <v>#NAME?</v>
      </c>
      <c r="BF105" s="1" t="e">
        <f ca="1">_xll.BDH($C$103,"REVENUE_SEQUENTIAL_GROWTH","FQ2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05" s="1" t="e">
        <f ca="1">_xll.BDH($C$103,"EBITDA_SEQUENTIAL_GROWTH","FQ2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05" s="1" t="e">
        <f ca="1">_xll.BDH($C$103,"OPERATING_INCOME_SEQ_GROWTH","FQ2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05" s="1" t="e">
        <f ca="1">_xll.BDH($C$103,"NET_INCOME_TO_COMMON_SEQ_GROWTH","FQ2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05" s="1" t="e">
        <f ca="1">_xll.BDH($C$103,"EPS_DILUTED_SEQUENTIAL_GROWTH","FQ2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05" s="1" t="e">
        <f ca="1">_xll.BDH($C$103,"DPS_SEQUENTIAL_GROWTH","FQ2 2014","FQ2 2014","Currency=INR","Period=FQ","BEST_FPERIOD_OVERRIDE=FQ","FILING_STATUS=OR","EQY_CONSOLIDATED=Y","Sort=A","Dates=H","DateFormat=P","Fill=—","Direction=H","UseDPDF=Y")</f>
        <v>#NAME?</v>
      </c>
      <c r="BL105" s="1" t="e">
        <f ca="1">_xll.BDH($C$103,"ACCOUNTS_RECEIVABLE_SEQ_GROWTH","FQ2 2014","FQ2 2014","Currency=INR","Period=FQ","BEST_FPERIOD_OVERRIDE=FQ","FILING_STATUS=OR","EQY_CONSOLIDATED=Y","Sort=A","Dates=H","DateFormat=P","Fill=—","Direction=H","UseDPDF=Y")</f>
        <v>#NAME?</v>
      </c>
      <c r="BM105" s="1" t="e">
        <f ca="1">_xll.BDH($C$103,"INVENTORY_SEQUENTIAL_GROWTH","FQ2 2014","FQ2 2014","Currency=INR","Period=FQ","BEST_FPERIOD_OVERRIDE=FQ","FILING_STATUS=OR","EQY_CONSOLIDATED=Y","Sort=A","Dates=H","DateFormat=P","Fill=—","Direction=H","UseDPDF=Y")</f>
        <v>#NAME?</v>
      </c>
      <c r="BN105" s="1" t="e">
        <f ca="1">_xll.BDH($C$103,"FIXED_ASSETS_SEQUENTIAL_GROWTH","FQ2 2014","FQ2 2014","Currency=INR","Period=FQ","BEST_FPERIOD_OVERRIDE=FQ","FILING_STATUS=OR","EQY_CONSOLIDATED=Y","Sort=A","Dates=H","DateFormat=P","Fill=—","Direction=H","UseDPDF=Y")</f>
        <v>#NAME?</v>
      </c>
      <c r="BO105" s="1" t="e">
        <f ca="1">_xll.BDH($C$103,"TOTAL_ASSETS_SEQUENTIAL_GROWTH","FQ2 2014","FQ2 2014","Currency=INR","Period=FQ","BEST_FPERIOD_OVERRIDE=FQ","FILING_STATUS=OR","EQY_CONSOLIDATED=Y","Sort=A","Dates=H","DateFormat=P","Fill=—","Direction=H","UseDPDF=Y")</f>
        <v>#NAME?</v>
      </c>
      <c r="BP105" s="1" t="e">
        <f ca="1">_xll.BDH($C$103,"MODIFIED_WORKING_CPTL_SEQ_GRWTH","FQ2 2014","FQ2 2014","Currency=INR","Period=FQ","BEST_FPERIOD_OVERRIDE=FQ","FILING_STATUS=OR","EQY_CONSOLIDATED=Y","Sort=A","Dates=H","DateFormat=P","Fill=—","Direction=H","UseDPDF=Y")</f>
        <v>#NAME?</v>
      </c>
      <c r="BQ105" s="1" t="e">
        <f ca="1">_xll.BDH($C$103,"WORKING_CAPITAL_SEQ_GROWTH","FQ2 2014","FQ2 2014","Currency=INR","Period=FQ","BEST_FPERIOD_OVERRIDE=FQ","FILING_STATUS=OR","EQY_CONSOLIDATED=Y","Sort=A","Dates=H","DateFormat=P","Fill=—","Direction=H","UseDPDF=Y")</f>
        <v>#NAME?</v>
      </c>
      <c r="BR105" s="1" t="e">
        <f ca="1">_xll.BDH($C$103,"ACCOUNTS_PAYABLE_SEQ_GROWTH","FQ2 2014","FQ2 2014","Currency=INR","Period=FQ","BEST_FPERIOD_OVERRIDE=FQ","FILING_STATUS=OR","EQY_CONSOLIDATED=Y","Sort=A","Dates=H","DateFormat=P","Fill=—","Direction=H","UseDPDF=Y")</f>
        <v>#NAME?</v>
      </c>
      <c r="BS105" s="1" t="e">
        <f ca="1">_xll.BDH($C$103,"ST_DEBT_SEQUENTIAL_GROWTH","FQ2 2014","FQ2 2014","Currency=INR","Period=FQ","BEST_FPERIOD_OVERRIDE=FQ","FILING_STATUS=OR","EQY_CONSOLIDATED=Y","Sort=A","Dates=H","DateFormat=P","Fill=—","Direction=H","UseDPDF=Y")</f>
        <v>#NAME?</v>
      </c>
      <c r="BT105" s="1" t="e">
        <f ca="1">_xll.BDH($C$103,"TOTAL_DEBT_SEQUENTIAL_GROWTH","FQ2 2014","FQ2 2014","Currency=INR","Period=FQ","BEST_FPERIOD_OVERRIDE=FQ","FILING_STATUS=OR","EQY_CONSOLIDATED=Y","Sort=A","Dates=H","DateFormat=P","Fill=—","Direction=H","UseDPDF=Y")</f>
        <v>#NAME?</v>
      </c>
      <c r="BU105" s="1" t="e">
        <f ca="1">_xll.BDH($C$103,"TOTAL_EQUITY_SEQUENTIAL_GROWTH","FQ2 2014","FQ2 2014","Currency=INR","Period=FQ","BEST_FPERIOD_OVERRIDE=FQ","FILING_STATUS=OR","EQY_CONSOLIDATED=Y","Sort=A","Dates=H","DateFormat=P","Fill=—","Direction=H","UseDPDF=Y")</f>
        <v>#NAME?</v>
      </c>
      <c r="BV105" s="1" t="e">
        <f ca="1">_xll.BDH($C$103,"TOTAL_CAPITAL_SEQUENTIAL_GROWTH","FQ2 2014","FQ2 2014","Currency=INR","Period=FQ","BEST_FPERIOD_OVERRIDE=FQ","FILING_STATUS=OR","EQY_CONSOLIDATED=Y","Sort=A","Dates=H","DateFormat=P","Fill=—","Direction=H","UseDPDF=Y")</f>
        <v>#NAME?</v>
      </c>
      <c r="BW105" s="1" t="e">
        <f ca="1">_xll.BDH($C$103,"BPS_SEQUENTIAL_GROWTH","FQ2 2014","FQ2 2014","Currency=INR","Period=FQ","BEST_FPERIOD_OVERRIDE=FQ","FILING_STATUS=OR","EQY_CONSOLIDATED=Y","Sort=A","Dates=H","DateFormat=P","Fill=—","Direction=H","UseDPDF=Y")</f>
        <v>#NAME?</v>
      </c>
      <c r="BX105" s="1" t="e">
        <f ca="1">_xll.BDH($C$103,"CFO_SEQUENTIAL_GROWTH","FQ2 2014","FQ2 2014","Currency=INR","Period=FQ","BEST_FPERIOD_OVERRIDE=FQ","FILING_STATUS=OR","EQY_CONSOLIDATED=Y","Sort=A","Dates=H","DateFormat=P","Fill=—","Direction=H","UseDPDF=Y")</f>
        <v>#NAME?</v>
      </c>
      <c r="BY105" s="2" t="e">
        <f ca="1">_xll.BDH($C$103,"SHORT_AND_LONG_TERM_DEBT","FQ2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05" s="2" t="e">
        <f ca="1">_xll.BDH($C$103,"BS_ST_BORROW","FQ2 2014","FQ2 2014","Currency=INR","Period=FQ","BEST_FPERIOD_OVERRIDE=FQ","FILING_STATUS=OR","EQY_CONSOLIDATED=Y","SCALING_FORMAT=MLN","Sort=A","Dates=H","DateFormat=P","Fill=—","Direction=H","UseDPDF=Y")</f>
        <v>#NAME?</v>
      </c>
      <c r="CA105" s="2" t="e">
        <f ca="1">_xll.BDH($C$103,"BS_LT_BORROW","FQ2 2014","FQ2 2014","Currency=INR","Period=FQ","BEST_FPERIOD_OVERRIDE=FQ","FILING_STATUS=OR","EQY_CONSOLIDATED=Y","SCALING_FORMAT=MLN","Sort=A","Dates=H","DateFormat=P","Fill=—","Direction=H","UseDPDF=Y")</f>
        <v>#NAME?</v>
      </c>
      <c r="CB105" s="1" t="e">
        <f ca="1">_xll.BDH($C$103,"TOT_DEBT_TO_EBITDA","FQ2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05" s="1" t="e">
        <f ca="1">_xll.BDH($C$103,"NET_DEBT_TO_EBITDA","FQ2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05" s="1" t="e">
        <f ca="1">_xll.BDH($C$103,"TOTAL_DEBT_TO_EBIT","FQ2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05" s="1" t="e">
        <f ca="1">_xll.BDH($C$103,"NET_DEBT_TO_EBIT","FQ2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105" s="1" t="e">
        <f ca="1">_xll.BDH($C$103,"EBITDA_TO_INTEREST_EXPN","FQ2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05" s="1" t="e">
        <f ca="1">_xll.BDH($C$103,"COM_EQY_TO_TOT_ASSET","FQ2 2014","FQ2 2014","Currency=INR","Period=FQ","BEST_FPERIOD_OVERRIDE=FQ","FILING_STATUS=OR","EQY_CONSOLIDATED=Y","Sort=A","Dates=H","DateFormat=P","Fill=—","Direction=H","UseDPDF=Y")</f>
        <v>#NAME?</v>
      </c>
      <c r="CH105" s="1" t="e">
        <f ca="1">_xll.BDH($C$103,"LT_DEBT_TO_TOT_EQY","FQ2 2014","FQ2 2014","Currency=INR","Period=FQ","BEST_FPERIOD_OVERRIDE=FQ","FILING_STATUS=OR","EQY_CONSOLIDATED=Y","Sort=A","Dates=H","DateFormat=P","Fill=—","Direction=H","UseDPDF=Y")</f>
        <v>#NAME?</v>
      </c>
      <c r="CI105" s="1" t="e">
        <f ca="1">_xll.BDH($C$103,"LT_DEBT_TO_TOT_CAP","FQ2 2014","FQ2 2014","Currency=INR","Period=FQ","BEST_FPERIOD_OVERRIDE=FQ","FILING_STATUS=OR","EQY_CONSOLIDATED=Y","Sort=A","Dates=H","DateFormat=P","Fill=—","Direction=H","UseDPDF=Y")</f>
        <v>#NAME?</v>
      </c>
      <c r="CJ105" s="1" t="e">
        <f ca="1">_xll.BDH($C$103,"LT_DEBT_TO_TOT_ASSET","FQ2 2014","FQ2 2014","Currency=INR","Period=FQ","BEST_FPERIOD_OVERRIDE=FQ","FILING_STATUS=OR","EQY_CONSOLIDATED=Y","Sort=A","Dates=H","DateFormat=P","Fill=—","Direction=H","UseDPDF=Y")</f>
        <v>#NAME?</v>
      </c>
      <c r="CK105" s="1" t="e">
        <f ca="1">_xll.BDH($C$103,"TOT_DEBT_TO_TOT_EQY","FQ2 2014","FQ2 2014","Currency=INR","Period=FQ","BEST_FPERIOD_OVERRIDE=FQ","FILING_STATUS=OR","EQY_CONSOLIDATED=Y","Sort=A","Dates=H","DateFormat=P","Fill=—","Direction=H","UseDPDF=Y")</f>
        <v>#NAME?</v>
      </c>
      <c r="CL105" s="1" t="e">
        <f ca="1">_xll.BDH($C$103,"TOT_DEBT_TO_TOT_CAP","FQ2 2014","FQ2 2014","Currency=INR","Period=FQ","BEST_FPERIOD_OVERRIDE=FQ","FILING_STATUS=OR","EQY_CONSOLIDATED=Y","Sort=A","Dates=H","DateFormat=P","Fill=—","Direction=H","UseDPDF=Y")</f>
        <v>#NAME?</v>
      </c>
      <c r="CM105" s="1" t="e">
        <f ca="1">_xll.BDH($C$103,"TOT_DEBT_TO_TOT_ASSET","FQ2 2014","FQ2 2014","Currency=INR","Period=FQ","BEST_FPERIOD_OVERRIDE=FQ","FILING_STATUS=OR","EQY_CONSOLIDATED=Y","Sort=A","Dates=H","DateFormat=P","Fill=—","Direction=H","UseDPDF=Y")</f>
        <v>#NAME?</v>
      </c>
      <c r="CN105" s="1" t="e">
        <f ca="1">_xll.BDH($C$103,"NET_DEBT_TO_SHRHLDR_EQTY","FQ2 2014","FQ2 2014","Currency=INR","Period=FQ","BEST_FPERIOD_OVERRIDE=FQ","FILING_STATUS=OR","EQY_CONSOLIDATED=Y","Sort=A","Dates=H","DateFormat=P","Fill=—","Direction=H","UseDPDF=Y")</f>
        <v>#NAME?</v>
      </c>
      <c r="CO105" s="1" t="e">
        <f ca="1">_xll.BDH($C$103,"NET_DEBT_%_CAPITAL","FQ2 2014","FQ2 2014","Currency=INR","Period=FQ","BEST_FPERIOD_OVERRIDE=FQ","FILING_STATUS=OR","EQY_CONSOLIDATED=Y","Sort=A","Dates=H","DateFormat=P","Fill=—","Direction=H","UseDPDF=Y")</f>
        <v>#NAME?</v>
      </c>
      <c r="CP105" s="2" t="e">
        <f ca="1">_xll.BDH($C$103,"EBITDA","FQ2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05" s="2" t="e">
        <f ca="1">_xll.BDH($C$103,"EBITDA_AFTER_CAPEX","FQ2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05" s="2" t="e">
        <f ca="1">_xll.BDH($C$103,"IS_OPER_INC","FQ2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05" s="1" t="e">
        <f ca="1">_xll.BDH($C$103,"CASH_RATIO","FQ2 2014","FQ2 2014","Currency=INR","Period=FQ","BEST_FPERIOD_OVERRIDE=FQ","FILING_STATUS=OR","EQY_CONSOLIDATED=Y","Sort=A","Dates=H","DateFormat=P","Fill=—","Direction=H","UseDPDF=Y")</f>
        <v>#NAME?</v>
      </c>
      <c r="CT105" s="1" t="e">
        <f ca="1">_xll.BDH($C$103,"CUR_RATIO","FQ2 2014","FQ2 2014","Currency=INR","Period=FQ","BEST_FPERIOD_OVERRIDE=FQ","FILING_STATUS=OR","EQY_CONSOLIDATED=Y","Sort=A","Dates=H","DateFormat=P","Fill=—","Direction=H","UseDPDF=Y")</f>
        <v>#NAME?</v>
      </c>
      <c r="CU105" s="1" t="e">
        <f ca="1">_xll.BDH($C$103,"QUICK_RATIO","FQ2 2014","FQ2 2014","Currency=INR","Period=FQ","BEST_FPERIOD_OVERRIDE=FQ","FILING_STATUS=OR","EQY_CONSOLIDATED=Y","Sort=A","Dates=H","DateFormat=P","Fill=—","Direction=H","UseDPDF=Y")</f>
        <v>#NAME?</v>
      </c>
      <c r="CV105" s="1" t="e">
        <f ca="1">_xll.BDH($C$103,"ALTMAN_Z_SCORE","FQ2 2014","FQ2 2014","Currency=INR","Period=FQ","BEST_FPERIOD_OVERRIDE=FQ","FILING_STATUS=OR","EQY_CONSOLIDATED=Y","Sort=A","Dates=H","DateFormat=P","Fill=—","Direction=H","UseDPDF=Y")</f>
        <v>#NAME?</v>
      </c>
      <c r="CW105" s="3" t="e">
        <f ca="1">_xll.BDH($C$103,"ACCT_RCV_TURN","FQ2 2014","FQ2 2014","Currency=INR","Period=FQ","BEST_FPERIOD_OVERRIDE=FQ","FILING_STATUS=OR","EQY_CONSOLIDATED=Y","FA_ADJUSTED=GAAP","Sort=A","Dates=H","DateFormat=P","Fill=—","Direction=H","UseDPDF=Y")</f>
        <v>#NAME?</v>
      </c>
      <c r="CX105" s="1" t="e">
        <f ca="1">_xll.BDH($C$103,"ACCT_RCV_DAYS","FQ2 2014","FQ2 2014","Currency=INR","Period=FQ","BEST_FPERIOD_OVERRIDE=FQ","FILING_STATUS=OR","EQY_CONSOLIDATED=Y","FA_ADJUSTED=GAAP","Sort=A","Dates=H","DateFormat=P","Fill=—","Direction=H","UseDPDF=Y")</f>
        <v>#NAME?</v>
      </c>
      <c r="CY105" s="3" t="e">
        <f ca="1">_xll.BDH($C$103,"INVENT_TURN","FQ2 2014","FQ2 2014","Currency=INR","Period=FQ","BEST_FPERIOD_OVERRIDE=FQ","FILING_STATUS=OR","EQY_CONSOLIDATED=Y","FA_ADJUSTED=GAAP","Sort=A","Dates=H","DateFormat=P","Fill=—","Direction=H","UseDPDF=Y")</f>
        <v>#NAME?</v>
      </c>
      <c r="CZ105" s="1" t="e">
        <f ca="1">_xll.BDH($C$103,"INVENT_DAYS","FQ2 2014","FQ2 2014","Currency=INR","Period=FQ","BEST_FPERIOD_OVERRIDE=FQ","FILING_STATUS=OR","EQY_CONSOLIDATED=Y","FA_ADJUSTED=GAAP","Sort=A","Dates=H","DateFormat=P","Fill=—","Direction=H","UseDPDF=Y")</f>
        <v>#NAME?</v>
      </c>
      <c r="DA105" s="3" t="e">
        <f ca="1">_xll.BDH($C$103,"ACCOUNTS_PAYABLE_TURNOVER","FQ2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05" s="1" t="e">
        <f ca="1">_xll.BDH($C$103,"ACCOUNTS_PAYABLE_TURNOVER_DAYS","FQ2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05" s="3" t="e">
        <f ca="1">_xll.BDH($C$103,"CASH_CONVERSION_CYCLE","FQ2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05" s="3" t="e">
        <f ca="1">_xll.BDH($C$103,"INV_TO_CASH_DAYS","FQ2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105" s="4" t="e">
        <f ca="1">_xll.BDH($C$103,"BS_INVENTORIES","FQ2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105" s="2" t="e">
        <f ca="1">_xll.BDH($C$103,"INVTRY_RAW_MATERIALS","FQ2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05" s="2" t="e">
        <f ca="1">_xll.BDH($C$103,"INVTRY_IN_PROGRESS","FQ2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05" s="2" t="e">
        <f ca="1">_xll.BDH($C$103,"INVTRY_FINISHED_GOODS","FQ2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05" s="2" t="e">
        <f ca="1">_xll.BDH($C$103,"BS_OTHER_INV","FQ2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06" spans="1:113" x14ac:dyDescent="0.3">
      <c r="A106" s="6"/>
      <c r="B106" s="6"/>
      <c r="C106" s="6"/>
      <c r="D106" s="6"/>
      <c r="E106" t="s">
        <v>6</v>
      </c>
      <c r="F106" t="e">
        <f ca="1">_xll.BDH($C$103,"RETURN_COM_EQY","FQ3 2014","FQ3 2014","Currency=INR","Period=FQ","BEST_FPERIOD_OVERRIDE=FQ","FILING_STATUS=OR","EQY_CONSOLIDATED=Y","FA_ADJUSTED=GAAP","Sort=A","Dates=H","DateFormat=P","Fill=—","Direction=H","UseDPDF=Y")</f>
        <v>#NAME?</v>
      </c>
      <c r="G106" t="e">
        <f ca="1">_xll.BDH($C$103,"RETURN_ON_ASSET","FQ3 2014","FQ3 2014","Currency=INR","Period=FQ","BEST_FPERIOD_OVERRIDE=FQ","FILING_STATUS=OR","EQY_CONSOLIDATED=Y","FA_ADJUSTED=GAAP","Sort=A","Dates=H","DateFormat=P","Fill=—","Direction=H","UseDPDF=Y")</f>
        <v>#NAME?</v>
      </c>
      <c r="H106" t="e">
        <f ca="1">_xll.BDH($C$103,"RETURN_ON_CAP","FQ3 2014","FQ3 2014","Currency=INR","Period=FQ","BEST_FPERIOD_OVERRIDE=FQ","FILING_STATUS=OR","EQY_CONSOLIDATED=Y","FA_ADJUSTED=GAAP","Sort=A","Dates=H","DateFormat=P","Fill=—","Direction=H","UseDPDF=Y")</f>
        <v>#NAME?</v>
      </c>
      <c r="I106" t="e">
        <f ca="1">_xll.BDH($C$103,"RETURN_ON_INV_CAPITAL","FQ3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06" t="e">
        <f ca="1">_xll.BDH($C$103,"EBITDA_TO_REVENUE","FQ3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106" t="e">
        <f ca="1">_xll.BDH($C$103,"OPER_MARGIN","FQ3 2014","FQ3 2014","Currency=INR","Period=FQ","BEST_FPERIOD_OVERRIDE=FQ","FILING_STATUS=OR","EQY_CONSOLIDATED=Y","FA_ADJUSTED=GAAP","Sort=A","Dates=H","DateFormat=P","Fill=—","Direction=H","UseDPDF=Y")</f>
        <v>#NAME?</v>
      </c>
      <c r="L106" t="e">
        <f ca="1">_xll.BDH($C$103,"INCREMENTAL_OPERATING_MARGIN","FQ3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06" t="e">
        <f ca="1">_xll.BDH($C$103,"PRETAX_INC_TO_NET_SALES","FQ3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06" t="e">
        <f ca="1">_xll.BDH($C$103,"INC_BEF_XO_ITEMS_TO_NET_SALES","FQ3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06" t="e">
        <f ca="1">_xll.BDH($C$103,"PROF_MARGIN","FQ3 2014","FQ3 2014","Currency=INR","Period=FQ","BEST_FPERIOD_OVERRIDE=FQ","FILING_STATUS=OR","EQY_CONSOLIDATED=Y","FA_ADJUSTED=GAAP","Sort=A","Dates=H","DateFormat=P","Fill=—","Direction=H","UseDPDF=Y")</f>
        <v>#NAME?</v>
      </c>
      <c r="P106" t="e">
        <f ca="1">_xll.BDH($C$103,"NET_INCOME_TO_COMMON_MARGIN","FQ3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06" t="e">
        <f ca="1">_xll.BDH($C$103,"EFF_TAX_RATE","FQ3 2014","FQ3 2014","Currency=INR","Period=FQ","BEST_FPERIOD_OVERRIDE=FQ","FILING_STATUS=OR","EQY_CONSOLIDATED=Y","FA_ADJUSTED=GAAP","Sort=A","Dates=H","DateFormat=P","Fill=—","Direction=H","UseDPDF=Y")</f>
        <v>#NAME?</v>
      </c>
      <c r="R106" t="e">
        <f ca="1">_xll.BDH($C$103,"DVD_PAYOUT_RATIO","FQ3 2014","FQ3 2014","Currency=INR","Period=FQ","BEST_FPERIOD_OVERRIDE=FQ","FILING_STATUS=OR","EQY_CONSOLIDATED=Y","FA_ADJUSTED=GAAP","Sort=A","Dates=H","DateFormat=P","Fill=—","Direction=H","UseDPDF=Y")</f>
        <v>#NAME?</v>
      </c>
      <c r="S106" t="e">
        <f ca="1">_xll.BDH($C$103,"SUSTAIN_GROWTH_RT","FQ3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106" s="1" t="e">
        <f ca="1">_xll.BDH($C$103,"SALES_GROWTH","FQ3 2014","FQ3 2014","Currency=INR","Period=FQ","BEST_FPERIOD_OVERRIDE=FQ","FILING_STATUS=OR","EQY_CONSOLIDATED=Y","FA_ADJUSTED=GAAP","Sort=A","Dates=H","DateFormat=P","Fill=—","Direction=H","UseDPDF=Y")</f>
        <v>#NAME?</v>
      </c>
      <c r="U106" s="1" t="e">
        <f ca="1">_xll.BDH($C$103,"EBITDA_GROWTH","FQ3 2014","FQ3 2014","Currency=INR","Period=FQ","BEST_FPERIOD_OVERRIDE=FQ","FILING_STATUS=OR","EQY_CONSOLIDATED=Y","FA_ADJUSTED=GAAP","Sort=A","Dates=H","DateFormat=P","Fill=—","Direction=H","UseDPDF=Y")</f>
        <v>#NAME?</v>
      </c>
      <c r="V106" s="1" t="e">
        <f ca="1">_xll.BDH($C$103,"OPER_INC_GROWTH","FQ3 2014","FQ3 2014","Currency=INR","Period=FQ","BEST_FPERIOD_OVERRIDE=FQ","FILING_STATUS=OR","EQY_CONSOLIDATED=Y","FA_ADJUSTED=GAAP","Sort=A","Dates=H","DateFormat=P","Fill=—","Direction=H","UseDPDF=Y")</f>
        <v>#NAME?</v>
      </c>
      <c r="W106" s="1" t="e">
        <f ca="1">_xll.BDH($C$103,"EARN_FOR_COM_GROWTH","FQ3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06" s="1" t="e">
        <f ca="1">_xll.BDH($C$103,"DILUTED_EPS_AFT_XO_ITEMS_GROWTH","FQ3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06" s="1" t="e">
        <f ca="1">_xll.BDH($C$103,"DIVIDEND_PER_SHARE_1_YEAR_GROWTH","FQ3 2014","FQ3 2014","Currency=INR","Period=FQ","BEST_FPERIOD_OVERRIDE=FQ","FILING_STATUS=OR","EQY_CONSOLIDATED=Y","Sort=A","Dates=H","DateFormat=P","Fill=—","Direction=H","UseDPDF=Y")</f>
        <v>#NAME?</v>
      </c>
      <c r="Z106" s="1" t="e">
        <f ca="1">_xll.BDH($C$103,"ACCOUNTS_RECEIVABLE_GROWTH","FQ3 2014","FQ3 2014","Currency=INR","Period=FQ","BEST_FPERIOD_OVERRIDE=FQ","FILING_STATUS=OR","EQY_CONSOLIDATED=Y","Sort=A","Dates=H","DateFormat=P","Fill=—","Direction=H","UseDPDF=Y")</f>
        <v>#NAME?</v>
      </c>
      <c r="AA106" s="1" t="e">
        <f ca="1">_xll.BDH($C$103,"INVENTORY_GROWTH","FQ3 2014","FQ3 2014","Currency=INR","Period=FQ","BEST_FPERIOD_OVERRIDE=FQ","FILING_STATUS=OR","EQY_CONSOLIDATED=Y","Sort=A","Dates=H","DateFormat=P","Fill=—","Direction=H","UseDPDF=Y")</f>
        <v>#NAME?</v>
      </c>
      <c r="AB106" s="1" t="e">
        <f ca="1">_xll.BDH($C$103,"NET_FIXED_ASSETS_1_YEAR_GROWTH","FQ3 2014","FQ3 2014","Currency=INR","Period=FQ","BEST_FPERIOD_OVERRIDE=FQ","FILING_STATUS=OR","EQY_CONSOLIDATED=Y","Sort=A","Dates=H","DateFormat=P","Fill=—","Direction=H","UseDPDF=Y")</f>
        <v>#NAME?</v>
      </c>
      <c r="AC106" s="1" t="e">
        <f ca="1">_xll.BDH($C$103,"ASSET_GROWTH","FQ3 2014","FQ3 2014","Currency=INR","Period=FQ","BEST_FPERIOD_OVERRIDE=FQ","FILING_STATUS=OR","EQY_CONSOLIDATED=Y","Sort=A","Dates=H","DateFormat=P","Fill=—","Direction=H","UseDPDF=Y")</f>
        <v>#NAME?</v>
      </c>
      <c r="AD106" s="1" t="e">
        <f ca="1">_xll.BDH($C$103,"MODIFIED_WORK_CAP_GROWTH","FQ3 2014","FQ3 2014","Currency=INR","Period=FQ","BEST_FPERIOD_OVERRIDE=FQ","FILING_STATUS=OR","EQY_CONSOLIDATED=Y","Sort=A","Dates=H","DateFormat=P","Fill=—","Direction=H","UseDPDF=Y")</f>
        <v>#NAME?</v>
      </c>
      <c r="AE106" s="1" t="e">
        <f ca="1">_xll.BDH($C$103,"WORK_CAP_GROWTH","FQ3 2014","FQ3 2014","Currency=INR","Period=FQ","BEST_FPERIOD_OVERRIDE=FQ","FILING_STATUS=OR","EQY_CONSOLIDATED=Y","Sort=A","Dates=H","DateFormat=P","Fill=—","Direction=H","UseDPDF=Y")</f>
        <v>#NAME?</v>
      </c>
      <c r="AF106" s="1" t="e">
        <f ca="1">_xll.BDH($C$103,"ACCOUNTS_PAYABLE_GROWTH_1YR","FQ3 2014","FQ3 2014","Currency=INR","Period=FQ","BEST_FPERIOD_OVERRIDE=FQ","FILING_STATUS=OR","EQY_CONSOLIDATED=Y","Sort=A","Dates=H","DateFormat=P","Fill=—","Direction=H","UseDPDF=Y")</f>
        <v>#NAME?</v>
      </c>
      <c r="AG106" s="1" t="e">
        <f ca="1">_xll.BDH($C$103,"SHORT_TERM_DEBT_1_YEAR_GROWTH","FQ3 2014","FQ3 2014","Currency=INR","Period=FQ","BEST_FPERIOD_OVERRIDE=FQ","FILING_STATUS=OR","EQY_CONSOLIDATED=Y","Sort=A","Dates=H","DateFormat=P","Fill=—","Direction=H","UseDPDF=Y")</f>
        <v>#NAME?</v>
      </c>
      <c r="AH106" s="1" t="e">
        <f ca="1">_xll.BDH($C$103,"TOTAL_DEBT_1_YEAR_GROWTH","FQ3 2014","FQ3 2014","Currency=INR","Period=FQ","BEST_FPERIOD_OVERRIDE=FQ","FILING_STATUS=OR","EQY_CONSOLIDATED=Y","Sort=A","Dates=H","DateFormat=P","Fill=—","Direction=H","UseDPDF=Y")</f>
        <v>#NAME?</v>
      </c>
      <c r="AI106" s="1" t="e">
        <f ca="1">_xll.BDH($C$103,"TOTAL_EQUITY_1_YEAR_GROWTH","FQ3 2014","FQ3 2014","Currency=INR","Period=FQ","BEST_FPERIOD_OVERRIDE=FQ","FILING_STATUS=OR","EQY_CONSOLIDATED=Y","Sort=A","Dates=H","DateFormat=P","Fill=—","Direction=H","UseDPDF=Y")</f>
        <v>#NAME?</v>
      </c>
      <c r="AJ106" s="1" t="e">
        <f ca="1">_xll.BDH($C$103,"GROWTH_IN_CAP","FQ3 2014","FQ3 2014","Currency=INR","Period=FQ","BEST_FPERIOD_OVERRIDE=FQ","FILING_STATUS=OR","EQY_CONSOLIDATED=Y","Sort=A","Dates=H","DateFormat=P","Fill=—","Direction=H","UseDPDF=Y")</f>
        <v>#NAME?</v>
      </c>
      <c r="AK106" s="1" t="e">
        <f ca="1">_xll.BDH($C$103,"BVPS_GROWTH","FQ3 2014","FQ3 2014","Currency=INR","Period=FQ","BEST_FPERIOD_OVERRIDE=FQ","FILING_STATUS=OR","EQY_CONSOLIDATED=Y","Sort=A","Dates=H","DateFormat=P","Fill=—","Direction=H","UseDPDF=Y")</f>
        <v>#NAME?</v>
      </c>
      <c r="AL106" s="1" t="e">
        <f ca="1">_xll.BDH($C$103,"CASH_FLOW_GROWTH","FQ3 2014","FQ3 2014","Currency=INR","Period=FQ","BEST_FPERIOD_OVERRIDE=FQ","FILING_STATUS=OR","EQY_CONSOLIDATED=Y","Sort=A","Dates=H","DateFormat=P","Fill=—","Direction=H","UseDPDF=Y")</f>
        <v>#NAME?</v>
      </c>
      <c r="AM106" s="1" t="e">
        <f ca="1">_xll.BDH($C$103,"GEO_GROW_NET_SALES","FQ3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06" s="1" t="e">
        <f ca="1">_xll.BDH($C$103,"GEO_GROW_EBITDA","FQ3 2014","FQ3 2014","Currency=INR","Period=FQ","BEST_FPERIOD_OVERRIDE=FQ","FILING_STATUS=OR","EQY_CONSOLIDATED=Y","FA_ADJUSTED=GAAP","Sort=A","Dates=H","DateFormat=P","Fill=—","Direction=H","UseDPDF=Y")</f>
        <v>#NAME?</v>
      </c>
      <c r="AO106" s="1" t="e">
        <f ca="1">_xll.BDH($C$103,"GEO_GROW_OPER_INC","FQ3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06" s="1" t="e">
        <f ca="1">_xll.BDH($C$103,"NET_INCOME_TO_COMMON_5_YR_GROWTH","FQ3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06" s="1" t="e">
        <f ca="1">_xll.BDH($C$103,"5Y_GEO_GROWTH_DILUTED_EPS","FQ3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06" s="1" t="e">
        <f ca="1">_xll.BDH($C$103,"GEO_GROW_DVD_PER_SH","FQ3 2014","FQ3 2014","Currency=INR","Period=FQ","BEST_FPERIOD_OVERRIDE=FQ","FILING_STATUS=OR","EQY_CONSOLIDATED=Y","Sort=A","Dates=H","DateFormat=P","Fill=—","Direction=H","UseDPDF=Y")</f>
        <v>#NAME?</v>
      </c>
      <c r="AS106" s="1" t="e">
        <f ca="1">_xll.BDH($C$103,"ACCOUNTS_RECEIVABLE_5_YR_GROWTH","FQ3 2014","FQ3 2014","Currency=INR","Period=FQ","BEST_FPERIOD_OVERRIDE=FQ","FILING_STATUS=OR","EQY_CONSOLIDATED=Y","Sort=A","Dates=H","DateFormat=P","Fill=—","Direction=H","UseDPDF=Y")</f>
        <v>#NAME?</v>
      </c>
      <c r="AT106" s="1" t="e">
        <f ca="1">_xll.BDH($C$103,"INVENTORY_5_YEAR_GROWTH","FQ3 2014","FQ3 2014","Currency=INR","Period=FQ","BEST_FPERIOD_OVERRIDE=FQ","FILING_STATUS=OR","EQY_CONSOLIDATED=Y","Sort=A","Dates=H","DateFormat=P","Fill=—","Direction=H","UseDPDF=Y")</f>
        <v>#NAME?</v>
      </c>
      <c r="AU106" s="1" t="e">
        <f ca="1">_xll.BDH($C$103,"NET_FIXED_ASSETS_5_YEAR_GROWTH","FQ3 2014","FQ3 2014","Currency=INR","Period=FQ","BEST_FPERIOD_OVERRIDE=FQ","FILING_STATUS=OR","EQY_CONSOLIDATED=Y","Sort=A","Dates=H","DateFormat=P","Fill=—","Direction=H","UseDPDF=Y")</f>
        <v>#NAME?</v>
      </c>
      <c r="AV106" s="1" t="e">
        <f ca="1">_xll.BDH($C$103,"GEO_GROW_TOT_ASSET","FQ3 2014","FQ3 2014","Currency=INR","Period=FQ","BEST_FPERIOD_OVERRIDE=FQ","FILING_STATUS=OR","EQY_CONSOLIDATED=Y","Sort=A","Dates=H","DateFormat=P","Fill=—","Direction=H","UseDPDF=Y")</f>
        <v>#NAME?</v>
      </c>
      <c r="AW106" s="1" t="e">
        <f ca="1">_xll.BDH($C$103,"MODIFIED_WORKING_CPTL_5YR_GRWTH","FQ3 2014","FQ3 2014","Currency=INR","Period=FQ","BEST_FPERIOD_OVERRIDE=FQ","FILING_STATUS=OR","EQY_CONSOLIDATED=Y","Sort=A","Dates=H","DateFormat=P","Fill=—","Direction=H","UseDPDF=Y")</f>
        <v>#NAME?</v>
      </c>
      <c r="AX106" s="1" t="e">
        <f ca="1">_xll.BDH($C$103,"WORKING_CAPITAL_5_YEAR_GROWTH","FQ3 2014","FQ3 2014","Currency=INR","Period=FQ","BEST_FPERIOD_OVERRIDE=FQ","FILING_STATUS=OR","EQY_CONSOLIDATED=Y","Sort=A","Dates=H","DateFormat=P","Fill=—","Direction=H","UseDPDF=Y")</f>
        <v>#NAME?</v>
      </c>
      <c r="AY106" s="1" t="e">
        <f ca="1">_xll.BDH($C$103,"ACCOUNTS_PAYABLE_5_YEAR_GROWTH","FQ3 2014","FQ3 2014","Currency=INR","Period=FQ","BEST_FPERIOD_OVERRIDE=FQ","FILING_STATUS=OR","EQY_CONSOLIDATED=Y","Sort=A","Dates=H","DateFormat=P","Fill=—","Direction=H","UseDPDF=Y")</f>
        <v>#NAME?</v>
      </c>
      <c r="AZ106" s="1" t="e">
        <f ca="1">_xll.BDH($C$103,"SHORT_TERM_DEBT_5_YEAR_GROWTH","FQ3 2014","FQ3 2014","Currency=INR","Period=FQ","BEST_FPERIOD_OVERRIDE=FQ","FILING_STATUS=OR","EQY_CONSOLIDATED=Y","Sort=A","Dates=H","DateFormat=P","Fill=—","Direction=H","UseDPDF=Y")</f>
        <v>#NAME?</v>
      </c>
      <c r="BA106" s="1" t="e">
        <f ca="1">_xll.BDH($C$103,"TOTAL_DEBT_5_YEAR_GROWTH","FQ3 2014","FQ3 2014","Currency=INR","Period=FQ","BEST_FPERIOD_OVERRIDE=FQ","FILING_STATUS=OR","EQY_CONSOLIDATED=Y","Sort=A","Dates=H","DateFormat=P","Fill=—","Direction=H","UseDPDF=Y")</f>
        <v>#NAME?</v>
      </c>
      <c r="BB106" s="1" t="e">
        <f ca="1">_xll.BDH($C$103,"GEO_GROW_TOT_SHRHLDR_EQY","FQ3 2014","FQ3 2014","Currency=INR","Period=FQ","BEST_FPERIOD_OVERRIDE=FQ","FILING_STATUS=OR","EQY_CONSOLIDATED=Y","Sort=A","Dates=H","DateFormat=P","Fill=—","Direction=H","UseDPDF=Y")</f>
        <v>#NAME?</v>
      </c>
      <c r="BC106" s="1" t="e">
        <f ca="1">_xll.BDH($C$103,"TOTAL_CAPITAL_5_YEAR_GROWTH","FQ3 2014","FQ3 2014","Currency=INR","Period=FQ","BEST_FPERIOD_OVERRIDE=FQ","FILING_STATUS=OR","EQY_CONSOLIDATED=Y","Sort=A","Dates=H","DateFormat=P","Fill=—","Direction=H","UseDPDF=Y")</f>
        <v>#NAME?</v>
      </c>
      <c r="BD106" s="1" t="e">
        <f ca="1">_xll.BDH($C$103,"GEO_GROW_BOOK_VAL","FQ3 2014","FQ3 2014","Currency=INR","Period=FQ","BEST_FPERIOD_OVERRIDE=FQ","FILING_STATUS=OR","EQY_CONSOLIDATED=Y","Sort=A","Dates=H","DateFormat=P","Fill=—","Direction=H","UseDPDF=Y")</f>
        <v>#NAME?</v>
      </c>
      <c r="BE106" s="1" t="e">
        <f ca="1">_xll.BDH($C$103,"GEO_GROW_CASH_OPER_ACT","FQ3 2014","FQ3 2014","Currency=INR","Period=FQ","BEST_FPERIOD_OVERRIDE=FQ","FILING_STATUS=OR","EQY_CONSOLIDATED=Y","Sort=A","Dates=H","DateFormat=P","Fill=—","Direction=H","UseDPDF=Y")</f>
        <v>#NAME?</v>
      </c>
      <c r="BF106" s="1" t="e">
        <f ca="1">_xll.BDH($C$103,"REVENUE_SEQUENTIAL_GROWTH","FQ3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06" s="1" t="e">
        <f ca="1">_xll.BDH($C$103,"EBITDA_SEQUENTIAL_GROWTH","FQ3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06" s="1" t="e">
        <f ca="1">_xll.BDH($C$103,"OPERATING_INCOME_SEQ_GROWTH","FQ3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06" s="1" t="e">
        <f ca="1">_xll.BDH($C$103,"NET_INCOME_TO_COMMON_SEQ_GROWTH","FQ3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06" s="1" t="e">
        <f ca="1">_xll.BDH($C$103,"EPS_DILUTED_SEQUENTIAL_GROWTH","FQ3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06" s="1" t="e">
        <f ca="1">_xll.BDH($C$103,"DPS_SEQUENTIAL_GROWTH","FQ3 2014","FQ3 2014","Currency=INR","Period=FQ","BEST_FPERIOD_OVERRIDE=FQ","FILING_STATUS=OR","EQY_CONSOLIDATED=Y","Sort=A","Dates=H","DateFormat=P","Fill=—","Direction=H","UseDPDF=Y")</f>
        <v>#NAME?</v>
      </c>
      <c r="BL106" s="1" t="e">
        <f ca="1">_xll.BDH($C$103,"ACCOUNTS_RECEIVABLE_SEQ_GROWTH","FQ3 2014","FQ3 2014","Currency=INR","Period=FQ","BEST_FPERIOD_OVERRIDE=FQ","FILING_STATUS=OR","EQY_CONSOLIDATED=Y","Sort=A","Dates=H","DateFormat=P","Fill=—","Direction=H","UseDPDF=Y")</f>
        <v>#NAME?</v>
      </c>
      <c r="BM106" s="1" t="e">
        <f ca="1">_xll.BDH($C$103,"INVENTORY_SEQUENTIAL_GROWTH","FQ3 2014","FQ3 2014","Currency=INR","Period=FQ","BEST_FPERIOD_OVERRIDE=FQ","FILING_STATUS=OR","EQY_CONSOLIDATED=Y","Sort=A","Dates=H","DateFormat=P","Fill=—","Direction=H","UseDPDF=Y")</f>
        <v>#NAME?</v>
      </c>
      <c r="BN106" s="1" t="e">
        <f ca="1">_xll.BDH($C$103,"FIXED_ASSETS_SEQUENTIAL_GROWTH","FQ3 2014","FQ3 2014","Currency=INR","Period=FQ","BEST_FPERIOD_OVERRIDE=FQ","FILING_STATUS=OR","EQY_CONSOLIDATED=Y","Sort=A","Dates=H","DateFormat=P","Fill=—","Direction=H","UseDPDF=Y")</f>
        <v>#NAME?</v>
      </c>
      <c r="BO106" s="1" t="e">
        <f ca="1">_xll.BDH($C$103,"TOTAL_ASSETS_SEQUENTIAL_GROWTH","FQ3 2014","FQ3 2014","Currency=INR","Period=FQ","BEST_FPERIOD_OVERRIDE=FQ","FILING_STATUS=OR","EQY_CONSOLIDATED=Y","Sort=A","Dates=H","DateFormat=P","Fill=—","Direction=H","UseDPDF=Y")</f>
        <v>#NAME?</v>
      </c>
      <c r="BP106" s="1" t="e">
        <f ca="1">_xll.BDH($C$103,"MODIFIED_WORKING_CPTL_SEQ_GRWTH","FQ3 2014","FQ3 2014","Currency=INR","Period=FQ","BEST_FPERIOD_OVERRIDE=FQ","FILING_STATUS=OR","EQY_CONSOLIDATED=Y","Sort=A","Dates=H","DateFormat=P","Fill=—","Direction=H","UseDPDF=Y")</f>
        <v>#NAME?</v>
      </c>
      <c r="BQ106" s="1" t="e">
        <f ca="1">_xll.BDH($C$103,"WORKING_CAPITAL_SEQ_GROWTH","FQ3 2014","FQ3 2014","Currency=INR","Period=FQ","BEST_FPERIOD_OVERRIDE=FQ","FILING_STATUS=OR","EQY_CONSOLIDATED=Y","Sort=A","Dates=H","DateFormat=P","Fill=—","Direction=H","UseDPDF=Y")</f>
        <v>#NAME?</v>
      </c>
      <c r="BR106" s="1" t="e">
        <f ca="1">_xll.BDH($C$103,"ACCOUNTS_PAYABLE_SEQ_GROWTH","FQ3 2014","FQ3 2014","Currency=INR","Period=FQ","BEST_FPERIOD_OVERRIDE=FQ","FILING_STATUS=OR","EQY_CONSOLIDATED=Y","Sort=A","Dates=H","DateFormat=P","Fill=—","Direction=H","UseDPDF=Y")</f>
        <v>#NAME?</v>
      </c>
      <c r="BS106" s="1" t="e">
        <f ca="1">_xll.BDH($C$103,"ST_DEBT_SEQUENTIAL_GROWTH","FQ3 2014","FQ3 2014","Currency=INR","Period=FQ","BEST_FPERIOD_OVERRIDE=FQ","FILING_STATUS=OR","EQY_CONSOLIDATED=Y","Sort=A","Dates=H","DateFormat=P","Fill=—","Direction=H","UseDPDF=Y")</f>
        <v>#NAME?</v>
      </c>
      <c r="BT106" s="1" t="e">
        <f ca="1">_xll.BDH($C$103,"TOTAL_DEBT_SEQUENTIAL_GROWTH","FQ3 2014","FQ3 2014","Currency=INR","Period=FQ","BEST_FPERIOD_OVERRIDE=FQ","FILING_STATUS=OR","EQY_CONSOLIDATED=Y","Sort=A","Dates=H","DateFormat=P","Fill=—","Direction=H","UseDPDF=Y")</f>
        <v>#NAME?</v>
      </c>
      <c r="BU106" s="1" t="e">
        <f ca="1">_xll.BDH($C$103,"TOTAL_EQUITY_SEQUENTIAL_GROWTH","FQ3 2014","FQ3 2014","Currency=INR","Period=FQ","BEST_FPERIOD_OVERRIDE=FQ","FILING_STATUS=OR","EQY_CONSOLIDATED=Y","Sort=A","Dates=H","DateFormat=P","Fill=—","Direction=H","UseDPDF=Y")</f>
        <v>#NAME?</v>
      </c>
      <c r="BV106" s="1" t="e">
        <f ca="1">_xll.BDH($C$103,"TOTAL_CAPITAL_SEQUENTIAL_GROWTH","FQ3 2014","FQ3 2014","Currency=INR","Period=FQ","BEST_FPERIOD_OVERRIDE=FQ","FILING_STATUS=OR","EQY_CONSOLIDATED=Y","Sort=A","Dates=H","DateFormat=P","Fill=—","Direction=H","UseDPDF=Y")</f>
        <v>#NAME?</v>
      </c>
      <c r="BW106" s="1" t="e">
        <f ca="1">_xll.BDH($C$103,"BPS_SEQUENTIAL_GROWTH","FQ3 2014","FQ3 2014","Currency=INR","Period=FQ","BEST_FPERIOD_OVERRIDE=FQ","FILING_STATUS=OR","EQY_CONSOLIDATED=Y","Sort=A","Dates=H","DateFormat=P","Fill=—","Direction=H","UseDPDF=Y")</f>
        <v>#NAME?</v>
      </c>
      <c r="BX106" s="1" t="e">
        <f ca="1">_xll.BDH($C$103,"CFO_SEQUENTIAL_GROWTH","FQ3 2014","FQ3 2014","Currency=INR","Period=FQ","BEST_FPERIOD_OVERRIDE=FQ","FILING_STATUS=OR","EQY_CONSOLIDATED=Y","Sort=A","Dates=H","DateFormat=P","Fill=—","Direction=H","UseDPDF=Y")</f>
        <v>#NAME?</v>
      </c>
      <c r="BY106" s="2" t="e">
        <f ca="1">_xll.BDH($C$103,"SHORT_AND_LONG_TERM_DEBT","FQ3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06" s="2" t="e">
        <f ca="1">_xll.BDH($C$103,"BS_ST_BORROW","FQ3 2014","FQ3 2014","Currency=INR","Period=FQ","BEST_FPERIOD_OVERRIDE=FQ","FILING_STATUS=OR","EQY_CONSOLIDATED=Y","SCALING_FORMAT=MLN","Sort=A","Dates=H","DateFormat=P","Fill=—","Direction=H","UseDPDF=Y")</f>
        <v>#NAME?</v>
      </c>
      <c r="CA106" s="2" t="e">
        <f ca="1">_xll.BDH($C$103,"BS_LT_BORROW","FQ3 2014","FQ3 2014","Currency=INR","Period=FQ","BEST_FPERIOD_OVERRIDE=FQ","FILING_STATUS=OR","EQY_CONSOLIDATED=Y","SCALING_FORMAT=MLN","Sort=A","Dates=H","DateFormat=P","Fill=—","Direction=H","UseDPDF=Y")</f>
        <v>#NAME?</v>
      </c>
      <c r="CB106" s="1" t="e">
        <f ca="1">_xll.BDH($C$103,"TOT_DEBT_TO_EBITDA","FQ3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06" s="1" t="e">
        <f ca="1">_xll.BDH($C$103,"NET_DEBT_TO_EBITDA","FQ3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06" s="1" t="e">
        <f ca="1">_xll.BDH($C$103,"TOTAL_DEBT_TO_EBIT","FQ3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06" s="1" t="e">
        <f ca="1">_xll.BDH($C$103,"NET_DEBT_TO_EBIT","FQ3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106" s="1" t="e">
        <f ca="1">_xll.BDH($C$103,"EBITDA_TO_INTEREST_EXPN","FQ3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06" s="1" t="e">
        <f ca="1">_xll.BDH($C$103,"COM_EQY_TO_TOT_ASSET","FQ3 2014","FQ3 2014","Currency=INR","Period=FQ","BEST_FPERIOD_OVERRIDE=FQ","FILING_STATUS=OR","EQY_CONSOLIDATED=Y","Sort=A","Dates=H","DateFormat=P","Fill=—","Direction=H","UseDPDF=Y")</f>
        <v>#NAME?</v>
      </c>
      <c r="CH106" s="1" t="e">
        <f ca="1">_xll.BDH($C$103,"LT_DEBT_TO_TOT_EQY","FQ3 2014","FQ3 2014","Currency=INR","Period=FQ","BEST_FPERIOD_OVERRIDE=FQ","FILING_STATUS=OR","EQY_CONSOLIDATED=Y","Sort=A","Dates=H","DateFormat=P","Fill=—","Direction=H","UseDPDF=Y")</f>
        <v>#NAME?</v>
      </c>
      <c r="CI106" s="1" t="e">
        <f ca="1">_xll.BDH($C$103,"LT_DEBT_TO_TOT_CAP","FQ3 2014","FQ3 2014","Currency=INR","Period=FQ","BEST_FPERIOD_OVERRIDE=FQ","FILING_STATUS=OR","EQY_CONSOLIDATED=Y","Sort=A","Dates=H","DateFormat=P","Fill=—","Direction=H","UseDPDF=Y")</f>
        <v>#NAME?</v>
      </c>
      <c r="CJ106" s="1" t="e">
        <f ca="1">_xll.BDH($C$103,"LT_DEBT_TO_TOT_ASSET","FQ3 2014","FQ3 2014","Currency=INR","Period=FQ","BEST_FPERIOD_OVERRIDE=FQ","FILING_STATUS=OR","EQY_CONSOLIDATED=Y","Sort=A","Dates=H","DateFormat=P","Fill=—","Direction=H","UseDPDF=Y")</f>
        <v>#NAME?</v>
      </c>
      <c r="CK106" s="1" t="e">
        <f ca="1">_xll.BDH($C$103,"TOT_DEBT_TO_TOT_EQY","FQ3 2014","FQ3 2014","Currency=INR","Period=FQ","BEST_FPERIOD_OVERRIDE=FQ","FILING_STATUS=OR","EQY_CONSOLIDATED=Y","Sort=A","Dates=H","DateFormat=P","Fill=—","Direction=H","UseDPDF=Y")</f>
        <v>#NAME?</v>
      </c>
      <c r="CL106" s="1" t="e">
        <f ca="1">_xll.BDH($C$103,"TOT_DEBT_TO_TOT_CAP","FQ3 2014","FQ3 2014","Currency=INR","Period=FQ","BEST_FPERIOD_OVERRIDE=FQ","FILING_STATUS=OR","EQY_CONSOLIDATED=Y","Sort=A","Dates=H","DateFormat=P","Fill=—","Direction=H","UseDPDF=Y")</f>
        <v>#NAME?</v>
      </c>
      <c r="CM106" s="1" t="e">
        <f ca="1">_xll.BDH($C$103,"TOT_DEBT_TO_TOT_ASSET","FQ3 2014","FQ3 2014","Currency=INR","Period=FQ","BEST_FPERIOD_OVERRIDE=FQ","FILING_STATUS=OR","EQY_CONSOLIDATED=Y","Sort=A","Dates=H","DateFormat=P","Fill=—","Direction=H","UseDPDF=Y")</f>
        <v>#NAME?</v>
      </c>
      <c r="CN106" s="1" t="e">
        <f ca="1">_xll.BDH($C$103,"NET_DEBT_TO_SHRHLDR_EQTY","FQ3 2014","FQ3 2014","Currency=INR","Period=FQ","BEST_FPERIOD_OVERRIDE=FQ","FILING_STATUS=OR","EQY_CONSOLIDATED=Y","Sort=A","Dates=H","DateFormat=P","Fill=—","Direction=H","UseDPDF=Y")</f>
        <v>#NAME?</v>
      </c>
      <c r="CO106" s="1" t="e">
        <f ca="1">_xll.BDH($C$103,"NET_DEBT_%_CAPITAL","FQ3 2014","FQ3 2014","Currency=INR","Period=FQ","BEST_FPERIOD_OVERRIDE=FQ","FILING_STATUS=OR","EQY_CONSOLIDATED=Y","Sort=A","Dates=H","DateFormat=P","Fill=—","Direction=H","UseDPDF=Y")</f>
        <v>#NAME?</v>
      </c>
      <c r="CP106" s="2" t="e">
        <f ca="1">_xll.BDH($C$103,"EBITDA","FQ3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06" s="2" t="e">
        <f ca="1">_xll.BDH($C$103,"EBITDA_AFTER_CAPEX","FQ3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06" s="2" t="e">
        <f ca="1">_xll.BDH($C$103,"IS_OPER_INC","FQ3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06" s="1" t="e">
        <f ca="1">_xll.BDH($C$103,"CASH_RATIO","FQ3 2014","FQ3 2014","Currency=INR","Period=FQ","BEST_FPERIOD_OVERRIDE=FQ","FILING_STATUS=OR","EQY_CONSOLIDATED=Y","Sort=A","Dates=H","DateFormat=P","Fill=—","Direction=H","UseDPDF=Y")</f>
        <v>#NAME?</v>
      </c>
      <c r="CT106" s="1" t="e">
        <f ca="1">_xll.BDH($C$103,"CUR_RATIO","FQ3 2014","FQ3 2014","Currency=INR","Period=FQ","BEST_FPERIOD_OVERRIDE=FQ","FILING_STATUS=OR","EQY_CONSOLIDATED=Y","Sort=A","Dates=H","DateFormat=P","Fill=—","Direction=H","UseDPDF=Y")</f>
        <v>#NAME?</v>
      </c>
      <c r="CU106" s="1" t="e">
        <f ca="1">_xll.BDH($C$103,"QUICK_RATIO","FQ3 2014","FQ3 2014","Currency=INR","Period=FQ","BEST_FPERIOD_OVERRIDE=FQ","FILING_STATUS=OR","EQY_CONSOLIDATED=Y","Sort=A","Dates=H","DateFormat=P","Fill=—","Direction=H","UseDPDF=Y")</f>
        <v>#NAME?</v>
      </c>
      <c r="CV106" s="1" t="e">
        <f ca="1">_xll.BDH($C$103,"ALTMAN_Z_SCORE","FQ3 2014","FQ3 2014","Currency=INR","Period=FQ","BEST_FPERIOD_OVERRIDE=FQ","FILING_STATUS=OR","EQY_CONSOLIDATED=Y","Sort=A","Dates=H","DateFormat=P","Fill=—","Direction=H","UseDPDF=Y")</f>
        <v>#NAME?</v>
      </c>
      <c r="CW106" s="3" t="e">
        <f ca="1">_xll.BDH($C$103,"ACCT_RCV_TURN","FQ3 2014","FQ3 2014","Currency=INR","Period=FQ","BEST_FPERIOD_OVERRIDE=FQ","FILING_STATUS=OR","EQY_CONSOLIDATED=Y","FA_ADJUSTED=GAAP","Sort=A","Dates=H","DateFormat=P","Fill=—","Direction=H","UseDPDF=Y")</f>
        <v>#NAME?</v>
      </c>
      <c r="CX106" s="1" t="e">
        <f ca="1">_xll.BDH($C$103,"ACCT_RCV_DAYS","FQ3 2014","FQ3 2014","Currency=INR","Period=FQ","BEST_FPERIOD_OVERRIDE=FQ","FILING_STATUS=OR","EQY_CONSOLIDATED=Y","FA_ADJUSTED=GAAP","Sort=A","Dates=H","DateFormat=P","Fill=—","Direction=H","UseDPDF=Y")</f>
        <v>#NAME?</v>
      </c>
      <c r="CY106" s="3" t="e">
        <f ca="1">_xll.BDH($C$103,"INVENT_TURN","FQ3 2014","FQ3 2014","Currency=INR","Period=FQ","BEST_FPERIOD_OVERRIDE=FQ","FILING_STATUS=OR","EQY_CONSOLIDATED=Y","FA_ADJUSTED=GAAP","Sort=A","Dates=H","DateFormat=P","Fill=—","Direction=H","UseDPDF=Y")</f>
        <v>#NAME?</v>
      </c>
      <c r="CZ106" s="1" t="e">
        <f ca="1">_xll.BDH($C$103,"INVENT_DAYS","FQ3 2014","FQ3 2014","Currency=INR","Period=FQ","BEST_FPERIOD_OVERRIDE=FQ","FILING_STATUS=OR","EQY_CONSOLIDATED=Y","FA_ADJUSTED=GAAP","Sort=A","Dates=H","DateFormat=P","Fill=—","Direction=H","UseDPDF=Y")</f>
        <v>#NAME?</v>
      </c>
      <c r="DA106" s="3" t="e">
        <f ca="1">_xll.BDH($C$103,"ACCOUNTS_PAYABLE_TURNOVER","FQ3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06" s="1" t="e">
        <f ca="1">_xll.BDH($C$103,"ACCOUNTS_PAYABLE_TURNOVER_DAYS","FQ3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06" s="3" t="e">
        <f ca="1">_xll.BDH($C$103,"CASH_CONVERSION_CYCLE","FQ3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06" s="3" t="e">
        <f ca="1">_xll.BDH($C$103,"INV_TO_CASH_DAYS","FQ3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106" s="4" t="e">
        <f ca="1">_xll.BDH($C$103,"BS_INVENTORIES","FQ3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106" s="2" t="e">
        <f ca="1">_xll.BDH($C$103,"INVTRY_RAW_MATERIALS","FQ3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06" s="2" t="e">
        <f ca="1">_xll.BDH($C$103,"INVTRY_IN_PROGRESS","FQ3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06" s="2" t="e">
        <f ca="1">_xll.BDH($C$103,"INVTRY_FINISHED_GOODS","FQ3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06" s="2" t="e">
        <f ca="1">_xll.BDH($C$103,"BS_OTHER_INV","FQ3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07" spans="1:113" x14ac:dyDescent="0.3">
      <c r="A107" s="6"/>
      <c r="B107" s="6"/>
      <c r="C107" s="6"/>
      <c r="D107" s="6"/>
      <c r="E107" t="s">
        <v>7</v>
      </c>
      <c r="F107" t="e">
        <f ca="1">_xll.BDH($C$103,"RETURN_COM_EQY","FQ4 2014","FQ4 2014","Currency=INR","Period=FQ","BEST_FPERIOD_OVERRIDE=FQ","FILING_STATUS=OR","EQY_CONSOLIDATED=Y","FA_ADJUSTED=GAAP","Sort=A","Dates=H","DateFormat=P","Fill=—","Direction=H","UseDPDF=Y")</f>
        <v>#NAME?</v>
      </c>
      <c r="G107" t="e">
        <f ca="1">_xll.BDH($C$103,"RETURN_ON_ASSET","FQ4 2014","FQ4 2014","Currency=INR","Period=FQ","BEST_FPERIOD_OVERRIDE=FQ","FILING_STATUS=OR","EQY_CONSOLIDATED=Y","FA_ADJUSTED=GAAP","Sort=A","Dates=H","DateFormat=P","Fill=—","Direction=H","UseDPDF=Y")</f>
        <v>#NAME?</v>
      </c>
      <c r="H107" t="e">
        <f ca="1">_xll.BDH($C$103,"RETURN_ON_CAP","FQ4 2014","FQ4 2014","Currency=INR","Period=FQ","BEST_FPERIOD_OVERRIDE=FQ","FILING_STATUS=OR","EQY_CONSOLIDATED=Y","FA_ADJUSTED=GAAP","Sort=A","Dates=H","DateFormat=P","Fill=—","Direction=H","UseDPDF=Y")</f>
        <v>#NAME?</v>
      </c>
      <c r="I107" t="e">
        <f ca="1">_xll.BDH($C$103,"RETURN_ON_INV_CAPITAL","FQ4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07" t="e">
        <f ca="1">_xll.BDH($C$103,"EBITDA_TO_REVENUE","FQ4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107" t="e">
        <f ca="1">_xll.BDH($C$103,"OPER_MARGIN","FQ4 2014","FQ4 2014","Currency=INR","Period=FQ","BEST_FPERIOD_OVERRIDE=FQ","FILING_STATUS=OR","EQY_CONSOLIDATED=Y","FA_ADJUSTED=GAAP","Sort=A","Dates=H","DateFormat=P","Fill=—","Direction=H","UseDPDF=Y")</f>
        <v>#NAME?</v>
      </c>
      <c r="L107" t="e">
        <f ca="1">_xll.BDH($C$103,"INCREMENTAL_OPERATING_MARGIN","FQ4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07" t="e">
        <f ca="1">_xll.BDH($C$103,"PRETAX_INC_TO_NET_SALES","FQ4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07" t="e">
        <f ca="1">_xll.BDH($C$103,"INC_BEF_XO_ITEMS_TO_NET_SALES","FQ4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07" t="e">
        <f ca="1">_xll.BDH($C$103,"PROF_MARGIN","FQ4 2014","FQ4 2014","Currency=INR","Period=FQ","BEST_FPERIOD_OVERRIDE=FQ","FILING_STATUS=OR","EQY_CONSOLIDATED=Y","FA_ADJUSTED=GAAP","Sort=A","Dates=H","DateFormat=P","Fill=—","Direction=H","UseDPDF=Y")</f>
        <v>#NAME?</v>
      </c>
      <c r="P107" t="e">
        <f ca="1">_xll.BDH($C$103,"NET_INCOME_TO_COMMON_MARGIN","FQ4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07" t="e">
        <f ca="1">_xll.BDH($C$103,"EFF_TAX_RATE","FQ4 2014","FQ4 2014","Currency=INR","Period=FQ","BEST_FPERIOD_OVERRIDE=FQ","FILING_STATUS=OR","EQY_CONSOLIDATED=Y","FA_ADJUSTED=GAAP","Sort=A","Dates=H","DateFormat=P","Fill=—","Direction=H","UseDPDF=Y")</f>
        <v>#NAME?</v>
      </c>
      <c r="R107" t="e">
        <f ca="1">_xll.BDH($C$103,"DVD_PAYOUT_RATIO","FQ4 2014","FQ4 2014","Currency=INR","Period=FQ","BEST_FPERIOD_OVERRIDE=FQ","FILING_STATUS=OR","EQY_CONSOLIDATED=Y","FA_ADJUSTED=GAAP","Sort=A","Dates=H","DateFormat=P","Fill=—","Direction=H","UseDPDF=Y")</f>
        <v>#NAME?</v>
      </c>
      <c r="S107" t="e">
        <f ca="1">_xll.BDH($C$103,"SUSTAIN_GROWTH_RT","FQ4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107" s="1" t="e">
        <f ca="1">_xll.BDH($C$103,"SALES_GROWTH","FQ4 2014","FQ4 2014","Currency=INR","Period=FQ","BEST_FPERIOD_OVERRIDE=FQ","FILING_STATUS=OR","EQY_CONSOLIDATED=Y","FA_ADJUSTED=GAAP","Sort=A","Dates=H","DateFormat=P","Fill=—","Direction=H","UseDPDF=Y")</f>
        <v>#NAME?</v>
      </c>
      <c r="U107" s="1" t="e">
        <f ca="1">_xll.BDH($C$103,"EBITDA_GROWTH","FQ4 2014","FQ4 2014","Currency=INR","Period=FQ","BEST_FPERIOD_OVERRIDE=FQ","FILING_STATUS=OR","EQY_CONSOLIDATED=Y","FA_ADJUSTED=GAAP","Sort=A","Dates=H","DateFormat=P","Fill=—","Direction=H","UseDPDF=Y")</f>
        <v>#NAME?</v>
      </c>
      <c r="V107" s="1" t="e">
        <f ca="1">_xll.BDH($C$103,"OPER_INC_GROWTH","FQ4 2014","FQ4 2014","Currency=INR","Period=FQ","BEST_FPERIOD_OVERRIDE=FQ","FILING_STATUS=OR","EQY_CONSOLIDATED=Y","FA_ADJUSTED=GAAP","Sort=A","Dates=H","DateFormat=P","Fill=—","Direction=H","UseDPDF=Y")</f>
        <v>#NAME?</v>
      </c>
      <c r="W107" s="1" t="e">
        <f ca="1">_xll.BDH($C$103,"EARN_FOR_COM_GROWTH","FQ4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07" s="1" t="e">
        <f ca="1">_xll.BDH($C$103,"DILUTED_EPS_AFT_XO_ITEMS_GROWTH","FQ4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07" s="1" t="e">
        <f ca="1">_xll.BDH($C$103,"DIVIDEND_PER_SHARE_1_YEAR_GROWTH","FQ4 2014","FQ4 2014","Currency=INR","Period=FQ","BEST_FPERIOD_OVERRIDE=FQ","FILING_STATUS=OR","EQY_CONSOLIDATED=Y","Sort=A","Dates=H","DateFormat=P","Fill=—","Direction=H","UseDPDF=Y")</f>
        <v>#NAME?</v>
      </c>
      <c r="Z107" s="1" t="e">
        <f ca="1">_xll.BDH($C$103,"ACCOUNTS_RECEIVABLE_GROWTH","FQ4 2014","FQ4 2014","Currency=INR","Period=FQ","BEST_FPERIOD_OVERRIDE=FQ","FILING_STATUS=OR","EQY_CONSOLIDATED=Y","Sort=A","Dates=H","DateFormat=P","Fill=—","Direction=H","UseDPDF=Y")</f>
        <v>#NAME?</v>
      </c>
      <c r="AA107" s="1" t="e">
        <f ca="1">_xll.BDH($C$103,"INVENTORY_GROWTH","FQ4 2014","FQ4 2014","Currency=INR","Period=FQ","BEST_FPERIOD_OVERRIDE=FQ","FILING_STATUS=OR","EQY_CONSOLIDATED=Y","Sort=A","Dates=H","DateFormat=P","Fill=—","Direction=H","UseDPDF=Y")</f>
        <v>#NAME?</v>
      </c>
      <c r="AB107" s="1" t="e">
        <f ca="1">_xll.BDH($C$103,"NET_FIXED_ASSETS_1_YEAR_GROWTH","FQ4 2014","FQ4 2014","Currency=INR","Period=FQ","BEST_FPERIOD_OVERRIDE=FQ","FILING_STATUS=OR","EQY_CONSOLIDATED=Y","Sort=A","Dates=H","DateFormat=P","Fill=—","Direction=H","UseDPDF=Y")</f>
        <v>#NAME?</v>
      </c>
      <c r="AC107" s="1" t="e">
        <f ca="1">_xll.BDH($C$103,"ASSET_GROWTH","FQ4 2014","FQ4 2014","Currency=INR","Period=FQ","BEST_FPERIOD_OVERRIDE=FQ","FILING_STATUS=OR","EQY_CONSOLIDATED=Y","Sort=A","Dates=H","DateFormat=P","Fill=—","Direction=H","UseDPDF=Y")</f>
        <v>#NAME?</v>
      </c>
      <c r="AD107" s="1" t="e">
        <f ca="1">_xll.BDH($C$103,"MODIFIED_WORK_CAP_GROWTH","FQ4 2014","FQ4 2014","Currency=INR","Period=FQ","BEST_FPERIOD_OVERRIDE=FQ","FILING_STATUS=OR","EQY_CONSOLIDATED=Y","Sort=A","Dates=H","DateFormat=P","Fill=—","Direction=H","UseDPDF=Y")</f>
        <v>#NAME?</v>
      </c>
      <c r="AE107" s="1" t="e">
        <f ca="1">_xll.BDH($C$103,"WORK_CAP_GROWTH","FQ4 2014","FQ4 2014","Currency=INR","Period=FQ","BEST_FPERIOD_OVERRIDE=FQ","FILING_STATUS=OR","EQY_CONSOLIDATED=Y","Sort=A","Dates=H","DateFormat=P","Fill=—","Direction=H","UseDPDF=Y")</f>
        <v>#NAME?</v>
      </c>
      <c r="AF107" s="1" t="e">
        <f ca="1">_xll.BDH($C$103,"ACCOUNTS_PAYABLE_GROWTH_1YR","FQ4 2014","FQ4 2014","Currency=INR","Period=FQ","BEST_FPERIOD_OVERRIDE=FQ","FILING_STATUS=OR","EQY_CONSOLIDATED=Y","Sort=A","Dates=H","DateFormat=P","Fill=—","Direction=H","UseDPDF=Y")</f>
        <v>#NAME?</v>
      </c>
      <c r="AG107" s="1" t="e">
        <f ca="1">_xll.BDH($C$103,"SHORT_TERM_DEBT_1_YEAR_GROWTH","FQ4 2014","FQ4 2014","Currency=INR","Period=FQ","BEST_FPERIOD_OVERRIDE=FQ","FILING_STATUS=OR","EQY_CONSOLIDATED=Y","Sort=A","Dates=H","DateFormat=P","Fill=—","Direction=H","UseDPDF=Y")</f>
        <v>#NAME?</v>
      </c>
      <c r="AH107" s="1" t="e">
        <f ca="1">_xll.BDH($C$103,"TOTAL_DEBT_1_YEAR_GROWTH","FQ4 2014","FQ4 2014","Currency=INR","Period=FQ","BEST_FPERIOD_OVERRIDE=FQ","FILING_STATUS=OR","EQY_CONSOLIDATED=Y","Sort=A","Dates=H","DateFormat=P","Fill=—","Direction=H","UseDPDF=Y")</f>
        <v>#NAME?</v>
      </c>
      <c r="AI107" s="1" t="e">
        <f ca="1">_xll.BDH($C$103,"TOTAL_EQUITY_1_YEAR_GROWTH","FQ4 2014","FQ4 2014","Currency=INR","Period=FQ","BEST_FPERIOD_OVERRIDE=FQ","FILING_STATUS=OR","EQY_CONSOLIDATED=Y","Sort=A","Dates=H","DateFormat=P","Fill=—","Direction=H","UseDPDF=Y")</f>
        <v>#NAME?</v>
      </c>
      <c r="AJ107" s="1" t="e">
        <f ca="1">_xll.BDH($C$103,"GROWTH_IN_CAP","FQ4 2014","FQ4 2014","Currency=INR","Period=FQ","BEST_FPERIOD_OVERRIDE=FQ","FILING_STATUS=OR","EQY_CONSOLIDATED=Y","Sort=A","Dates=H","DateFormat=P","Fill=—","Direction=H","UseDPDF=Y")</f>
        <v>#NAME?</v>
      </c>
      <c r="AK107" s="1" t="e">
        <f ca="1">_xll.BDH($C$103,"BVPS_GROWTH","FQ4 2014","FQ4 2014","Currency=INR","Period=FQ","BEST_FPERIOD_OVERRIDE=FQ","FILING_STATUS=OR","EQY_CONSOLIDATED=Y","Sort=A","Dates=H","DateFormat=P","Fill=—","Direction=H","UseDPDF=Y")</f>
        <v>#NAME?</v>
      </c>
      <c r="AL107" s="1" t="e">
        <f ca="1">_xll.BDH($C$103,"CASH_FLOW_GROWTH","FQ4 2014","FQ4 2014","Currency=INR","Period=FQ","BEST_FPERIOD_OVERRIDE=FQ","FILING_STATUS=OR","EQY_CONSOLIDATED=Y","Sort=A","Dates=H","DateFormat=P","Fill=—","Direction=H","UseDPDF=Y")</f>
        <v>#NAME?</v>
      </c>
      <c r="AM107" s="1" t="e">
        <f ca="1">_xll.BDH($C$103,"GEO_GROW_NET_SALES","FQ4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07" s="1" t="e">
        <f ca="1">_xll.BDH($C$103,"GEO_GROW_EBITDA","FQ4 2014","FQ4 2014","Currency=INR","Period=FQ","BEST_FPERIOD_OVERRIDE=FQ","FILING_STATUS=OR","EQY_CONSOLIDATED=Y","FA_ADJUSTED=GAAP","Sort=A","Dates=H","DateFormat=P","Fill=—","Direction=H","UseDPDF=Y")</f>
        <v>#NAME?</v>
      </c>
      <c r="AO107" s="1" t="e">
        <f ca="1">_xll.BDH($C$103,"GEO_GROW_OPER_INC","FQ4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07" s="1" t="e">
        <f ca="1">_xll.BDH($C$103,"NET_INCOME_TO_COMMON_5_YR_GROWTH","FQ4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07" s="1" t="e">
        <f ca="1">_xll.BDH($C$103,"5Y_GEO_GROWTH_DILUTED_EPS","FQ4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07" s="1" t="e">
        <f ca="1">_xll.BDH($C$103,"GEO_GROW_DVD_PER_SH","FQ4 2014","FQ4 2014","Currency=INR","Period=FQ","BEST_FPERIOD_OVERRIDE=FQ","FILING_STATUS=OR","EQY_CONSOLIDATED=Y","Sort=A","Dates=H","DateFormat=P","Fill=—","Direction=H","UseDPDF=Y")</f>
        <v>#NAME?</v>
      </c>
      <c r="AS107" s="1" t="e">
        <f ca="1">_xll.BDH($C$103,"ACCOUNTS_RECEIVABLE_5_YR_GROWTH","FQ4 2014","FQ4 2014","Currency=INR","Period=FQ","BEST_FPERIOD_OVERRIDE=FQ","FILING_STATUS=OR","EQY_CONSOLIDATED=Y","Sort=A","Dates=H","DateFormat=P","Fill=—","Direction=H","UseDPDF=Y")</f>
        <v>#NAME?</v>
      </c>
      <c r="AT107" s="1" t="e">
        <f ca="1">_xll.BDH($C$103,"INVENTORY_5_YEAR_GROWTH","FQ4 2014","FQ4 2014","Currency=INR","Period=FQ","BEST_FPERIOD_OVERRIDE=FQ","FILING_STATUS=OR","EQY_CONSOLIDATED=Y","Sort=A","Dates=H","DateFormat=P","Fill=—","Direction=H","UseDPDF=Y")</f>
        <v>#NAME?</v>
      </c>
      <c r="AU107" s="1" t="e">
        <f ca="1">_xll.BDH($C$103,"NET_FIXED_ASSETS_5_YEAR_GROWTH","FQ4 2014","FQ4 2014","Currency=INR","Period=FQ","BEST_FPERIOD_OVERRIDE=FQ","FILING_STATUS=OR","EQY_CONSOLIDATED=Y","Sort=A","Dates=H","DateFormat=P","Fill=—","Direction=H","UseDPDF=Y")</f>
        <v>#NAME?</v>
      </c>
      <c r="AV107" s="1" t="e">
        <f ca="1">_xll.BDH($C$103,"GEO_GROW_TOT_ASSET","FQ4 2014","FQ4 2014","Currency=INR","Period=FQ","BEST_FPERIOD_OVERRIDE=FQ","FILING_STATUS=OR","EQY_CONSOLIDATED=Y","Sort=A","Dates=H","DateFormat=P","Fill=—","Direction=H","UseDPDF=Y")</f>
        <v>#NAME?</v>
      </c>
      <c r="AW107" s="1" t="e">
        <f ca="1">_xll.BDH($C$103,"MODIFIED_WORKING_CPTL_5YR_GRWTH","FQ4 2014","FQ4 2014","Currency=INR","Period=FQ","BEST_FPERIOD_OVERRIDE=FQ","FILING_STATUS=OR","EQY_CONSOLIDATED=Y","Sort=A","Dates=H","DateFormat=P","Fill=—","Direction=H","UseDPDF=Y")</f>
        <v>#NAME?</v>
      </c>
      <c r="AX107" s="1" t="e">
        <f ca="1">_xll.BDH($C$103,"WORKING_CAPITAL_5_YEAR_GROWTH","FQ4 2014","FQ4 2014","Currency=INR","Period=FQ","BEST_FPERIOD_OVERRIDE=FQ","FILING_STATUS=OR","EQY_CONSOLIDATED=Y","Sort=A","Dates=H","DateFormat=P","Fill=—","Direction=H","UseDPDF=Y")</f>
        <v>#NAME?</v>
      </c>
      <c r="AY107" s="1" t="e">
        <f ca="1">_xll.BDH($C$103,"ACCOUNTS_PAYABLE_5_YEAR_GROWTH","FQ4 2014","FQ4 2014","Currency=INR","Period=FQ","BEST_FPERIOD_OVERRIDE=FQ","FILING_STATUS=OR","EQY_CONSOLIDATED=Y","Sort=A","Dates=H","DateFormat=P","Fill=—","Direction=H","UseDPDF=Y")</f>
        <v>#NAME?</v>
      </c>
      <c r="AZ107" s="1" t="e">
        <f ca="1">_xll.BDH($C$103,"SHORT_TERM_DEBT_5_YEAR_GROWTH","FQ4 2014","FQ4 2014","Currency=INR","Period=FQ","BEST_FPERIOD_OVERRIDE=FQ","FILING_STATUS=OR","EQY_CONSOLIDATED=Y","Sort=A","Dates=H","DateFormat=P","Fill=—","Direction=H","UseDPDF=Y")</f>
        <v>#NAME?</v>
      </c>
      <c r="BA107" s="1" t="e">
        <f ca="1">_xll.BDH($C$103,"TOTAL_DEBT_5_YEAR_GROWTH","FQ4 2014","FQ4 2014","Currency=INR","Period=FQ","BEST_FPERIOD_OVERRIDE=FQ","FILING_STATUS=OR","EQY_CONSOLIDATED=Y","Sort=A","Dates=H","DateFormat=P","Fill=—","Direction=H","UseDPDF=Y")</f>
        <v>#NAME?</v>
      </c>
      <c r="BB107" s="1" t="e">
        <f ca="1">_xll.BDH($C$103,"GEO_GROW_TOT_SHRHLDR_EQY","FQ4 2014","FQ4 2014","Currency=INR","Period=FQ","BEST_FPERIOD_OVERRIDE=FQ","FILING_STATUS=OR","EQY_CONSOLIDATED=Y","Sort=A","Dates=H","DateFormat=P","Fill=—","Direction=H","UseDPDF=Y")</f>
        <v>#NAME?</v>
      </c>
      <c r="BC107" s="1" t="e">
        <f ca="1">_xll.BDH($C$103,"TOTAL_CAPITAL_5_YEAR_GROWTH","FQ4 2014","FQ4 2014","Currency=INR","Period=FQ","BEST_FPERIOD_OVERRIDE=FQ","FILING_STATUS=OR","EQY_CONSOLIDATED=Y","Sort=A","Dates=H","DateFormat=P","Fill=—","Direction=H","UseDPDF=Y")</f>
        <v>#NAME?</v>
      </c>
      <c r="BD107" s="1" t="e">
        <f ca="1">_xll.BDH($C$103,"GEO_GROW_BOOK_VAL","FQ4 2014","FQ4 2014","Currency=INR","Period=FQ","BEST_FPERIOD_OVERRIDE=FQ","FILING_STATUS=OR","EQY_CONSOLIDATED=Y","Sort=A","Dates=H","DateFormat=P","Fill=—","Direction=H","UseDPDF=Y")</f>
        <v>#NAME?</v>
      </c>
      <c r="BE107" s="1" t="e">
        <f ca="1">_xll.BDH($C$103,"GEO_GROW_CASH_OPER_ACT","FQ4 2014","FQ4 2014","Currency=INR","Period=FQ","BEST_FPERIOD_OVERRIDE=FQ","FILING_STATUS=OR","EQY_CONSOLIDATED=Y","Sort=A","Dates=H","DateFormat=P","Fill=—","Direction=H","UseDPDF=Y")</f>
        <v>#NAME?</v>
      </c>
      <c r="BF107" s="1" t="e">
        <f ca="1">_xll.BDH($C$103,"REVENUE_SEQUENTIAL_GROWTH","FQ4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07" s="1" t="e">
        <f ca="1">_xll.BDH($C$103,"EBITDA_SEQUENTIAL_GROWTH","FQ4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07" s="1" t="e">
        <f ca="1">_xll.BDH($C$103,"OPERATING_INCOME_SEQ_GROWTH","FQ4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07" s="1" t="e">
        <f ca="1">_xll.BDH($C$103,"NET_INCOME_TO_COMMON_SEQ_GROWTH","FQ4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07" s="1" t="e">
        <f ca="1">_xll.BDH($C$103,"EPS_DILUTED_SEQUENTIAL_GROWTH","FQ4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07" s="1" t="e">
        <f ca="1">_xll.BDH($C$103,"DPS_SEQUENTIAL_GROWTH","FQ4 2014","FQ4 2014","Currency=INR","Period=FQ","BEST_FPERIOD_OVERRIDE=FQ","FILING_STATUS=OR","EQY_CONSOLIDATED=Y","Sort=A","Dates=H","DateFormat=P","Fill=—","Direction=H","UseDPDF=Y")</f>
        <v>#NAME?</v>
      </c>
      <c r="BL107" s="1" t="e">
        <f ca="1">_xll.BDH($C$103,"ACCOUNTS_RECEIVABLE_SEQ_GROWTH","FQ4 2014","FQ4 2014","Currency=INR","Period=FQ","BEST_FPERIOD_OVERRIDE=FQ","FILING_STATUS=OR","EQY_CONSOLIDATED=Y","Sort=A","Dates=H","DateFormat=P","Fill=—","Direction=H","UseDPDF=Y")</f>
        <v>#NAME?</v>
      </c>
      <c r="BM107" s="1" t="e">
        <f ca="1">_xll.BDH($C$103,"INVENTORY_SEQUENTIAL_GROWTH","FQ4 2014","FQ4 2014","Currency=INR","Period=FQ","BEST_FPERIOD_OVERRIDE=FQ","FILING_STATUS=OR","EQY_CONSOLIDATED=Y","Sort=A","Dates=H","DateFormat=P","Fill=—","Direction=H","UseDPDF=Y")</f>
        <v>#NAME?</v>
      </c>
      <c r="BN107" s="1" t="e">
        <f ca="1">_xll.BDH($C$103,"FIXED_ASSETS_SEQUENTIAL_GROWTH","FQ4 2014","FQ4 2014","Currency=INR","Period=FQ","BEST_FPERIOD_OVERRIDE=FQ","FILING_STATUS=OR","EQY_CONSOLIDATED=Y","Sort=A","Dates=H","DateFormat=P","Fill=—","Direction=H","UseDPDF=Y")</f>
        <v>#NAME?</v>
      </c>
      <c r="BO107" s="1" t="e">
        <f ca="1">_xll.BDH($C$103,"TOTAL_ASSETS_SEQUENTIAL_GROWTH","FQ4 2014","FQ4 2014","Currency=INR","Period=FQ","BEST_FPERIOD_OVERRIDE=FQ","FILING_STATUS=OR","EQY_CONSOLIDATED=Y","Sort=A","Dates=H","DateFormat=P","Fill=—","Direction=H","UseDPDF=Y")</f>
        <v>#NAME?</v>
      </c>
      <c r="BP107" s="1" t="e">
        <f ca="1">_xll.BDH($C$103,"MODIFIED_WORKING_CPTL_SEQ_GRWTH","FQ4 2014","FQ4 2014","Currency=INR","Period=FQ","BEST_FPERIOD_OVERRIDE=FQ","FILING_STATUS=OR","EQY_CONSOLIDATED=Y","Sort=A","Dates=H","DateFormat=P","Fill=—","Direction=H","UseDPDF=Y")</f>
        <v>#NAME?</v>
      </c>
      <c r="BQ107" s="1" t="e">
        <f ca="1">_xll.BDH($C$103,"WORKING_CAPITAL_SEQ_GROWTH","FQ4 2014","FQ4 2014","Currency=INR","Period=FQ","BEST_FPERIOD_OVERRIDE=FQ","FILING_STATUS=OR","EQY_CONSOLIDATED=Y","Sort=A","Dates=H","DateFormat=P","Fill=—","Direction=H","UseDPDF=Y")</f>
        <v>#NAME?</v>
      </c>
      <c r="BR107" s="1" t="e">
        <f ca="1">_xll.BDH($C$103,"ACCOUNTS_PAYABLE_SEQ_GROWTH","FQ4 2014","FQ4 2014","Currency=INR","Period=FQ","BEST_FPERIOD_OVERRIDE=FQ","FILING_STATUS=OR","EQY_CONSOLIDATED=Y","Sort=A","Dates=H","DateFormat=P","Fill=—","Direction=H","UseDPDF=Y")</f>
        <v>#NAME?</v>
      </c>
      <c r="BS107" s="1" t="e">
        <f ca="1">_xll.BDH($C$103,"ST_DEBT_SEQUENTIAL_GROWTH","FQ4 2014","FQ4 2014","Currency=INR","Period=FQ","BEST_FPERIOD_OVERRIDE=FQ","FILING_STATUS=OR","EQY_CONSOLIDATED=Y","Sort=A","Dates=H","DateFormat=P","Fill=—","Direction=H","UseDPDF=Y")</f>
        <v>#NAME?</v>
      </c>
      <c r="BT107" s="1" t="e">
        <f ca="1">_xll.BDH($C$103,"TOTAL_DEBT_SEQUENTIAL_GROWTH","FQ4 2014","FQ4 2014","Currency=INR","Period=FQ","BEST_FPERIOD_OVERRIDE=FQ","FILING_STATUS=OR","EQY_CONSOLIDATED=Y","Sort=A","Dates=H","DateFormat=P","Fill=—","Direction=H","UseDPDF=Y")</f>
        <v>#NAME?</v>
      </c>
      <c r="BU107" s="1" t="e">
        <f ca="1">_xll.BDH($C$103,"TOTAL_EQUITY_SEQUENTIAL_GROWTH","FQ4 2014","FQ4 2014","Currency=INR","Period=FQ","BEST_FPERIOD_OVERRIDE=FQ","FILING_STATUS=OR","EQY_CONSOLIDATED=Y","Sort=A","Dates=H","DateFormat=P","Fill=—","Direction=H","UseDPDF=Y")</f>
        <v>#NAME?</v>
      </c>
      <c r="BV107" s="1" t="e">
        <f ca="1">_xll.BDH($C$103,"TOTAL_CAPITAL_SEQUENTIAL_GROWTH","FQ4 2014","FQ4 2014","Currency=INR","Period=FQ","BEST_FPERIOD_OVERRIDE=FQ","FILING_STATUS=OR","EQY_CONSOLIDATED=Y","Sort=A","Dates=H","DateFormat=P","Fill=—","Direction=H","UseDPDF=Y")</f>
        <v>#NAME?</v>
      </c>
      <c r="BW107" s="1" t="e">
        <f ca="1">_xll.BDH($C$103,"BPS_SEQUENTIAL_GROWTH","FQ4 2014","FQ4 2014","Currency=INR","Period=FQ","BEST_FPERIOD_OVERRIDE=FQ","FILING_STATUS=OR","EQY_CONSOLIDATED=Y","Sort=A","Dates=H","DateFormat=P","Fill=—","Direction=H","UseDPDF=Y")</f>
        <v>#NAME?</v>
      </c>
      <c r="BX107" s="1" t="e">
        <f ca="1">_xll.BDH($C$103,"CFO_SEQUENTIAL_GROWTH","FQ4 2014","FQ4 2014","Currency=INR","Period=FQ","BEST_FPERIOD_OVERRIDE=FQ","FILING_STATUS=OR","EQY_CONSOLIDATED=Y","Sort=A","Dates=H","DateFormat=P","Fill=—","Direction=H","UseDPDF=Y")</f>
        <v>#NAME?</v>
      </c>
      <c r="BY107" s="2" t="e">
        <f ca="1">_xll.BDH($C$103,"SHORT_AND_LONG_TERM_DEBT","FQ4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07" s="2" t="e">
        <f ca="1">_xll.BDH($C$103,"BS_ST_BORROW","FQ4 2014","FQ4 2014","Currency=INR","Period=FQ","BEST_FPERIOD_OVERRIDE=FQ","FILING_STATUS=OR","EQY_CONSOLIDATED=Y","SCALING_FORMAT=MLN","Sort=A","Dates=H","DateFormat=P","Fill=—","Direction=H","UseDPDF=Y")</f>
        <v>#NAME?</v>
      </c>
      <c r="CA107" s="2" t="e">
        <f ca="1">_xll.BDH($C$103,"BS_LT_BORROW","FQ4 2014","FQ4 2014","Currency=INR","Period=FQ","BEST_FPERIOD_OVERRIDE=FQ","FILING_STATUS=OR","EQY_CONSOLIDATED=Y","SCALING_FORMAT=MLN","Sort=A","Dates=H","DateFormat=P","Fill=—","Direction=H","UseDPDF=Y")</f>
        <v>#NAME?</v>
      </c>
      <c r="CB107" s="1" t="e">
        <f ca="1">_xll.BDH($C$103,"TOT_DEBT_TO_EBITDA","FQ4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07" s="1" t="e">
        <f ca="1">_xll.BDH($C$103,"NET_DEBT_TO_EBITDA","FQ4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07" s="1" t="e">
        <f ca="1">_xll.BDH($C$103,"TOTAL_DEBT_TO_EBIT","FQ4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07" s="1" t="e">
        <f ca="1">_xll.BDH($C$103,"NET_DEBT_TO_EBIT","FQ4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107" s="1" t="e">
        <f ca="1">_xll.BDH($C$103,"EBITDA_TO_INTEREST_EXPN","FQ4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07" s="1" t="e">
        <f ca="1">_xll.BDH($C$103,"COM_EQY_TO_TOT_ASSET","FQ4 2014","FQ4 2014","Currency=INR","Period=FQ","BEST_FPERIOD_OVERRIDE=FQ","FILING_STATUS=OR","EQY_CONSOLIDATED=Y","Sort=A","Dates=H","DateFormat=P","Fill=—","Direction=H","UseDPDF=Y")</f>
        <v>#NAME?</v>
      </c>
      <c r="CH107" s="1" t="e">
        <f ca="1">_xll.BDH($C$103,"LT_DEBT_TO_TOT_EQY","FQ4 2014","FQ4 2014","Currency=INR","Period=FQ","BEST_FPERIOD_OVERRIDE=FQ","FILING_STATUS=OR","EQY_CONSOLIDATED=Y","Sort=A","Dates=H","DateFormat=P","Fill=—","Direction=H","UseDPDF=Y")</f>
        <v>#NAME?</v>
      </c>
      <c r="CI107" s="1" t="e">
        <f ca="1">_xll.BDH($C$103,"LT_DEBT_TO_TOT_CAP","FQ4 2014","FQ4 2014","Currency=INR","Period=FQ","BEST_FPERIOD_OVERRIDE=FQ","FILING_STATUS=OR","EQY_CONSOLIDATED=Y","Sort=A","Dates=H","DateFormat=P","Fill=—","Direction=H","UseDPDF=Y")</f>
        <v>#NAME?</v>
      </c>
      <c r="CJ107" s="1" t="e">
        <f ca="1">_xll.BDH($C$103,"LT_DEBT_TO_TOT_ASSET","FQ4 2014","FQ4 2014","Currency=INR","Period=FQ","BEST_FPERIOD_OVERRIDE=FQ","FILING_STATUS=OR","EQY_CONSOLIDATED=Y","Sort=A","Dates=H","DateFormat=P","Fill=—","Direction=H","UseDPDF=Y")</f>
        <v>#NAME?</v>
      </c>
      <c r="CK107" s="1" t="e">
        <f ca="1">_xll.BDH($C$103,"TOT_DEBT_TO_TOT_EQY","FQ4 2014","FQ4 2014","Currency=INR","Period=FQ","BEST_FPERIOD_OVERRIDE=FQ","FILING_STATUS=OR","EQY_CONSOLIDATED=Y","Sort=A","Dates=H","DateFormat=P","Fill=—","Direction=H","UseDPDF=Y")</f>
        <v>#NAME?</v>
      </c>
      <c r="CL107" s="1" t="e">
        <f ca="1">_xll.BDH($C$103,"TOT_DEBT_TO_TOT_CAP","FQ4 2014","FQ4 2014","Currency=INR","Period=FQ","BEST_FPERIOD_OVERRIDE=FQ","FILING_STATUS=OR","EQY_CONSOLIDATED=Y","Sort=A","Dates=H","DateFormat=P","Fill=—","Direction=H","UseDPDF=Y")</f>
        <v>#NAME?</v>
      </c>
      <c r="CM107" s="1" t="e">
        <f ca="1">_xll.BDH($C$103,"TOT_DEBT_TO_TOT_ASSET","FQ4 2014","FQ4 2014","Currency=INR","Period=FQ","BEST_FPERIOD_OVERRIDE=FQ","FILING_STATUS=OR","EQY_CONSOLIDATED=Y","Sort=A","Dates=H","DateFormat=P","Fill=—","Direction=H","UseDPDF=Y")</f>
        <v>#NAME?</v>
      </c>
      <c r="CN107" s="1" t="e">
        <f ca="1">_xll.BDH($C$103,"NET_DEBT_TO_SHRHLDR_EQTY","FQ4 2014","FQ4 2014","Currency=INR","Period=FQ","BEST_FPERIOD_OVERRIDE=FQ","FILING_STATUS=OR","EQY_CONSOLIDATED=Y","Sort=A","Dates=H","DateFormat=P","Fill=—","Direction=H","UseDPDF=Y")</f>
        <v>#NAME?</v>
      </c>
      <c r="CO107" s="1" t="e">
        <f ca="1">_xll.BDH($C$103,"NET_DEBT_%_CAPITAL","FQ4 2014","FQ4 2014","Currency=INR","Period=FQ","BEST_FPERIOD_OVERRIDE=FQ","FILING_STATUS=OR","EQY_CONSOLIDATED=Y","Sort=A","Dates=H","DateFormat=P","Fill=—","Direction=H","UseDPDF=Y")</f>
        <v>#NAME?</v>
      </c>
      <c r="CP107" s="2" t="e">
        <f ca="1">_xll.BDH($C$103,"EBITDA","FQ4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07" s="2" t="e">
        <f ca="1">_xll.BDH($C$103,"EBITDA_AFTER_CAPEX","FQ4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07" s="2" t="e">
        <f ca="1">_xll.BDH($C$103,"IS_OPER_INC","FQ4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07" s="1" t="e">
        <f ca="1">_xll.BDH($C$103,"CASH_RATIO","FQ4 2014","FQ4 2014","Currency=INR","Period=FQ","BEST_FPERIOD_OVERRIDE=FQ","FILING_STATUS=OR","EQY_CONSOLIDATED=Y","Sort=A","Dates=H","DateFormat=P","Fill=—","Direction=H","UseDPDF=Y")</f>
        <v>#NAME?</v>
      </c>
      <c r="CT107" s="1" t="e">
        <f ca="1">_xll.BDH($C$103,"CUR_RATIO","FQ4 2014","FQ4 2014","Currency=INR","Period=FQ","BEST_FPERIOD_OVERRIDE=FQ","FILING_STATUS=OR","EQY_CONSOLIDATED=Y","Sort=A","Dates=H","DateFormat=P","Fill=—","Direction=H","UseDPDF=Y")</f>
        <v>#NAME?</v>
      </c>
      <c r="CU107" s="1" t="e">
        <f ca="1">_xll.BDH($C$103,"QUICK_RATIO","FQ4 2014","FQ4 2014","Currency=INR","Period=FQ","BEST_FPERIOD_OVERRIDE=FQ","FILING_STATUS=OR","EQY_CONSOLIDATED=Y","Sort=A","Dates=H","DateFormat=P","Fill=—","Direction=H","UseDPDF=Y")</f>
        <v>#NAME?</v>
      </c>
      <c r="CV107" s="1" t="e">
        <f ca="1">_xll.BDH($C$103,"ALTMAN_Z_SCORE","FQ4 2014","FQ4 2014","Currency=INR","Period=FQ","BEST_FPERIOD_OVERRIDE=FQ","FILING_STATUS=OR","EQY_CONSOLIDATED=Y","Sort=A","Dates=H","DateFormat=P","Fill=—","Direction=H","UseDPDF=Y")</f>
        <v>#NAME?</v>
      </c>
      <c r="CW107" s="3" t="e">
        <f ca="1">_xll.BDH($C$103,"ACCT_RCV_TURN","FQ4 2014","FQ4 2014","Currency=INR","Period=FQ","BEST_FPERIOD_OVERRIDE=FQ","FILING_STATUS=OR","EQY_CONSOLIDATED=Y","FA_ADJUSTED=GAAP","Sort=A","Dates=H","DateFormat=P","Fill=—","Direction=H","UseDPDF=Y")</f>
        <v>#NAME?</v>
      </c>
      <c r="CX107" s="1" t="e">
        <f ca="1">_xll.BDH($C$103,"ACCT_RCV_DAYS","FQ4 2014","FQ4 2014","Currency=INR","Period=FQ","BEST_FPERIOD_OVERRIDE=FQ","FILING_STATUS=OR","EQY_CONSOLIDATED=Y","FA_ADJUSTED=GAAP","Sort=A","Dates=H","DateFormat=P","Fill=—","Direction=H","UseDPDF=Y")</f>
        <v>#NAME?</v>
      </c>
      <c r="CY107" s="3" t="e">
        <f ca="1">_xll.BDH($C$103,"INVENT_TURN","FQ4 2014","FQ4 2014","Currency=INR","Period=FQ","BEST_FPERIOD_OVERRIDE=FQ","FILING_STATUS=OR","EQY_CONSOLIDATED=Y","FA_ADJUSTED=GAAP","Sort=A","Dates=H","DateFormat=P","Fill=—","Direction=H","UseDPDF=Y")</f>
        <v>#NAME?</v>
      </c>
      <c r="CZ107" s="1" t="e">
        <f ca="1">_xll.BDH($C$103,"INVENT_DAYS","FQ4 2014","FQ4 2014","Currency=INR","Period=FQ","BEST_FPERIOD_OVERRIDE=FQ","FILING_STATUS=OR","EQY_CONSOLIDATED=Y","FA_ADJUSTED=GAAP","Sort=A","Dates=H","DateFormat=P","Fill=—","Direction=H","UseDPDF=Y")</f>
        <v>#NAME?</v>
      </c>
      <c r="DA107" s="3" t="e">
        <f ca="1">_xll.BDH($C$103,"ACCOUNTS_PAYABLE_TURNOVER","FQ4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07" s="1" t="e">
        <f ca="1">_xll.BDH($C$103,"ACCOUNTS_PAYABLE_TURNOVER_DAYS","FQ4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07" s="3" t="e">
        <f ca="1">_xll.BDH($C$103,"CASH_CONVERSION_CYCLE","FQ4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07" s="3" t="e">
        <f ca="1">_xll.BDH($C$103,"INV_TO_CASH_DAYS","FQ4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107" s="4" t="e">
        <f ca="1">_xll.BDH($C$103,"BS_INVENTORIES","FQ4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107" s="2" t="e">
        <f ca="1">_xll.BDH($C$103,"INVTRY_RAW_MATERIALS","FQ4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07" s="2" t="e">
        <f ca="1">_xll.BDH($C$103,"INVTRY_IN_PROGRESS","FQ4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07" s="2" t="e">
        <f ca="1">_xll.BDH($C$103,"INVTRY_FINISHED_GOODS","FQ4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07" s="2" t="e">
        <f ca="1">_xll.BDH($C$103,"BS_OTHER_INV","FQ4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08" spans="1:113" x14ac:dyDescent="0.3">
      <c r="A108" s="6"/>
      <c r="B108" s="6"/>
      <c r="C108" s="6"/>
      <c r="D108" s="6" t="s">
        <v>8</v>
      </c>
      <c r="E108" t="s">
        <v>3</v>
      </c>
      <c r="F108" t="e">
        <f ca="1">_xll.BDH($C$103,"RETURN_COM_EQY","FY 2015","FY 2015","Currency=INR","Period=FY","BEST_FPERIOD_OVERRIDE=FY","FILING_STATUS=OR","EQY_CONSOLIDATED=Y","FA_ADJUSTED=GAAP","Sort=A","Dates=H","DateFormat=P","Fill=—","Direction=H","UseDPDF=Y")</f>
        <v>#NAME?</v>
      </c>
      <c r="G108" t="e">
        <f ca="1">_xll.BDH($C$103,"RETURN_ON_ASSET","FY 2015","FY 2015","Currency=INR","Period=FY","BEST_FPERIOD_OVERRIDE=FY","FILING_STATUS=OR","EQY_CONSOLIDATED=Y","FA_ADJUSTED=GAAP","Sort=A","Dates=H","DateFormat=P","Fill=—","Direction=H","UseDPDF=Y")</f>
        <v>#NAME?</v>
      </c>
      <c r="H108" t="e">
        <f ca="1">_xll.BDH($C$103,"RETURN_ON_CAP","FY 2015","FY 2015","Currency=INR","Period=FY","BEST_FPERIOD_OVERRIDE=FY","FILING_STATUS=OR","EQY_CONSOLIDATED=Y","FA_ADJUSTED=GAAP","Sort=A","Dates=H","DateFormat=P","Fill=—","Direction=H","UseDPDF=Y")</f>
        <v>#NAME?</v>
      </c>
      <c r="I108" t="e">
        <f ca="1">_xll.BDH($C$103,"RETURN_ON_INV_CAPITAL","FY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08" t="e">
        <f ca="1">_xll.BDH($C$103,"EBITDA_TO_REVENUE","FY 2015","FY 2015","Currency=INR","Period=FY","BEST_FPERIOD_OVERRIDE=FY","FILING_STATUS=OR","EQY_CONSOLIDATED=Y","FA_ADJUSTED=GAAP","Sort=A","Dates=H","DateFormat=P","Fill=—","Direction=H","UseDPDF=Y")</f>
        <v>#NAME?</v>
      </c>
      <c r="K108" t="e">
        <f ca="1">_xll.BDH($C$103,"OPER_MARGIN","FY 2015","FY 2015","Currency=INR","Period=FY","BEST_FPERIOD_OVERRIDE=FY","FILING_STATUS=OR","EQY_CONSOLIDATED=Y","FA_ADJUSTED=GAAP","Sort=A","Dates=H","DateFormat=P","Fill=—","Direction=H","UseDPDF=Y")</f>
        <v>#NAME?</v>
      </c>
      <c r="L108" t="e">
        <f ca="1">_xll.BDH($C$103,"INCREMENTAL_OPERATING_MARGIN","FY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08" t="e">
        <f ca="1">_xll.BDH($C$103,"PRETAX_INC_TO_NET_SALES","FY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08" t="e">
        <f ca="1">_xll.BDH($C$103,"INC_BEF_XO_ITEMS_TO_NET_SALES","FY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08" t="e">
        <f ca="1">_xll.BDH($C$103,"PROF_MARGIN","FY 2015","FY 2015","Currency=INR","Period=FY","BEST_FPERIOD_OVERRIDE=FY","FILING_STATUS=OR","EQY_CONSOLIDATED=Y","FA_ADJUSTED=GAAP","Sort=A","Dates=H","DateFormat=P","Fill=—","Direction=H","UseDPDF=Y")</f>
        <v>#NAME?</v>
      </c>
      <c r="P108" t="e">
        <f ca="1">_xll.BDH($C$103,"NET_INCOME_TO_COMMON_MARGIN","FY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08" t="e">
        <f ca="1">_xll.BDH($C$103,"EFF_TAX_RATE","FY 2015","FY 2015","Currency=INR","Period=FY","BEST_FPERIOD_OVERRIDE=FY","FILING_STATUS=OR","EQY_CONSOLIDATED=Y","FA_ADJUSTED=GAAP","Sort=A","Dates=H","DateFormat=P","Fill=—","Direction=H","UseDPDF=Y")</f>
        <v>#NAME?</v>
      </c>
      <c r="R108" t="e">
        <f ca="1">_xll.BDH($C$103,"DVD_PAYOUT_RATIO","FY 2015","FY 2015","Currency=INR","Period=FY","BEST_FPERIOD_OVERRIDE=FY","FILING_STATUS=OR","EQY_CONSOLIDATED=Y","FA_ADJUSTED=GAAP","Sort=A","Dates=H","DateFormat=P","Fill=—","Direction=H","UseDPDF=Y")</f>
        <v>#NAME?</v>
      </c>
      <c r="S108" t="e">
        <f ca="1">_xll.BDH($C$103,"SUSTAIN_GROWTH_RT","FY 2015","FY 2015","Currency=INR","Period=FY","BEST_FPERIOD_OVERRIDE=FY","FILING_STATUS=OR","EQY_CONSOLIDATED=Y","FA_ADJUSTED=GAAP","Sort=A","Dates=H","DateFormat=P","Fill=—","Direction=H","UseDPDF=Y")</f>
        <v>#NAME?</v>
      </c>
      <c r="T108" s="1" t="e">
        <f ca="1">_xll.BDH($C$103,"SALES_GROWTH","FY 2015","FY 2015","Currency=INR","Period=FY","BEST_FPERIOD_OVERRIDE=FY","FILING_STATUS=OR","EQY_CONSOLIDATED=Y","FA_ADJUSTED=GAAP","Sort=A","Dates=H","DateFormat=P","Fill=—","Direction=H","UseDPDF=Y")</f>
        <v>#NAME?</v>
      </c>
      <c r="U108" s="1" t="e">
        <f ca="1">_xll.BDH($C$103,"EBITDA_GROWTH","FY 2015","FY 2015","Currency=INR","Period=FY","BEST_FPERIOD_OVERRIDE=FY","FILING_STATUS=OR","EQY_CONSOLIDATED=Y","FA_ADJUSTED=GAAP","Sort=A","Dates=H","DateFormat=P","Fill=—","Direction=H","UseDPDF=Y")</f>
        <v>#NAME?</v>
      </c>
      <c r="V108" s="1" t="e">
        <f ca="1">_xll.BDH($C$103,"OPER_INC_GROWTH","FY 2015","FY 2015","Currency=INR","Period=FY","BEST_FPERIOD_OVERRIDE=FY","FILING_STATUS=OR","EQY_CONSOLIDATED=Y","FA_ADJUSTED=GAAP","Sort=A","Dates=H","DateFormat=P","Fill=—","Direction=H","UseDPDF=Y")</f>
        <v>#NAME?</v>
      </c>
      <c r="W108" s="1" t="e">
        <f ca="1">_xll.BDH($C$103,"EARN_FOR_COM_GROWTH","FY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108" s="1" t="e">
        <f ca="1">_xll.BDH($C$103,"DILUTED_EPS_AFT_XO_ITEMS_GROWTH","FY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08" s="1" t="e">
        <f ca="1">_xll.BDH($C$103,"DIVIDEND_PER_SHARE_1_YEAR_GROWTH","FY 2015","FY 2015","Currency=INR","Period=FY","BEST_FPERIOD_OVERRIDE=FY","FILING_STATUS=OR","EQY_CONSOLIDATED=Y","Sort=A","Dates=H","DateFormat=P","Fill=—","Direction=H","UseDPDF=Y")</f>
        <v>#NAME?</v>
      </c>
      <c r="Z108" s="1" t="e">
        <f ca="1">_xll.BDH($C$103,"ACCOUNTS_RECEIVABLE_GROWTH","FY 2015","FY 2015","Currency=INR","Period=FY","BEST_FPERIOD_OVERRIDE=FY","FILING_STATUS=OR","EQY_CONSOLIDATED=Y","Sort=A","Dates=H","DateFormat=P","Fill=—","Direction=H","UseDPDF=Y")</f>
        <v>#NAME?</v>
      </c>
      <c r="AA108" s="1" t="e">
        <f ca="1">_xll.BDH($C$103,"INVENTORY_GROWTH","FY 2015","FY 2015","Currency=INR","Period=FY","BEST_FPERIOD_OVERRIDE=FY","FILING_STATUS=OR","EQY_CONSOLIDATED=Y","Sort=A","Dates=H","DateFormat=P","Fill=—","Direction=H","UseDPDF=Y")</f>
        <v>#NAME?</v>
      </c>
      <c r="AB108" s="1" t="e">
        <f ca="1">_xll.BDH($C$103,"NET_FIXED_ASSETS_1_YEAR_GROWTH","FY 2015","FY 2015","Currency=INR","Period=FY","BEST_FPERIOD_OVERRIDE=FY","FILING_STATUS=OR","EQY_CONSOLIDATED=Y","Sort=A","Dates=H","DateFormat=P","Fill=—","Direction=H","UseDPDF=Y")</f>
        <v>#NAME?</v>
      </c>
      <c r="AC108" s="1" t="e">
        <f ca="1">_xll.BDH($C$103,"ASSET_GROWTH","FY 2015","FY 2015","Currency=INR","Period=FY","BEST_FPERIOD_OVERRIDE=FY","FILING_STATUS=OR","EQY_CONSOLIDATED=Y","Sort=A","Dates=H","DateFormat=P","Fill=—","Direction=H","UseDPDF=Y")</f>
        <v>#NAME?</v>
      </c>
      <c r="AD108" s="1" t="e">
        <f ca="1">_xll.BDH($C$103,"MODIFIED_WORK_CAP_GROWTH","FY 2015","FY 2015","Currency=INR","Period=FY","BEST_FPERIOD_OVERRIDE=FY","FILING_STATUS=OR","EQY_CONSOLIDATED=Y","Sort=A","Dates=H","DateFormat=P","Fill=—","Direction=H","UseDPDF=Y")</f>
        <v>#NAME?</v>
      </c>
      <c r="AE108" s="1" t="e">
        <f ca="1">_xll.BDH($C$103,"WORK_CAP_GROWTH","FY 2015","FY 2015","Currency=INR","Period=FY","BEST_FPERIOD_OVERRIDE=FY","FILING_STATUS=OR","EQY_CONSOLIDATED=Y","Sort=A","Dates=H","DateFormat=P","Fill=—","Direction=H","UseDPDF=Y")</f>
        <v>#NAME?</v>
      </c>
      <c r="AF108" s="1" t="e">
        <f ca="1">_xll.BDH($C$103,"ACCOUNTS_PAYABLE_GROWTH_1YR","FY 2015","FY 2015","Currency=INR","Period=FY","BEST_FPERIOD_OVERRIDE=FY","FILING_STATUS=OR","EQY_CONSOLIDATED=Y","Sort=A","Dates=H","DateFormat=P","Fill=—","Direction=H","UseDPDF=Y")</f>
        <v>#NAME?</v>
      </c>
      <c r="AG108" s="1" t="e">
        <f ca="1">_xll.BDH($C$103,"SHORT_TERM_DEBT_1_YEAR_GROWTH","FY 2015","FY 2015","Currency=INR","Period=FY","BEST_FPERIOD_OVERRIDE=FY","FILING_STATUS=OR","EQY_CONSOLIDATED=Y","Sort=A","Dates=H","DateFormat=P","Fill=—","Direction=H","UseDPDF=Y")</f>
        <v>#NAME?</v>
      </c>
      <c r="AH108" s="1" t="e">
        <f ca="1">_xll.BDH($C$103,"TOTAL_DEBT_1_YEAR_GROWTH","FY 2015","FY 2015","Currency=INR","Period=FY","BEST_FPERIOD_OVERRIDE=FY","FILING_STATUS=OR","EQY_CONSOLIDATED=Y","Sort=A","Dates=H","DateFormat=P","Fill=—","Direction=H","UseDPDF=Y")</f>
        <v>#NAME?</v>
      </c>
      <c r="AI108" s="1" t="e">
        <f ca="1">_xll.BDH($C$103,"TOTAL_EQUITY_1_YEAR_GROWTH","FY 2015","FY 2015","Currency=INR","Period=FY","BEST_FPERIOD_OVERRIDE=FY","FILING_STATUS=OR","EQY_CONSOLIDATED=Y","Sort=A","Dates=H","DateFormat=P","Fill=—","Direction=H","UseDPDF=Y")</f>
        <v>#NAME?</v>
      </c>
      <c r="AJ108" s="1" t="e">
        <f ca="1">_xll.BDH($C$103,"GROWTH_IN_CAP","FY 2015","FY 2015","Currency=INR","Period=FY","BEST_FPERIOD_OVERRIDE=FY","FILING_STATUS=OR","EQY_CONSOLIDATED=Y","Sort=A","Dates=H","DateFormat=P","Fill=—","Direction=H","UseDPDF=Y")</f>
        <v>#NAME?</v>
      </c>
      <c r="AK108" s="1" t="e">
        <f ca="1">_xll.BDH($C$103,"BVPS_GROWTH","FY 2015","FY 2015","Currency=INR","Period=FY","BEST_FPERIOD_OVERRIDE=FY","FILING_STATUS=OR","EQY_CONSOLIDATED=Y","Sort=A","Dates=H","DateFormat=P","Fill=—","Direction=H","UseDPDF=Y")</f>
        <v>#NAME?</v>
      </c>
      <c r="AL108" s="1" t="e">
        <f ca="1">_xll.BDH($C$103,"CASH_FLOW_GROWTH","FY 2015","FY 2015","Currency=INR","Period=FY","BEST_FPERIOD_OVERRIDE=FY","FILING_STATUS=OR","EQY_CONSOLIDATED=Y","Sort=A","Dates=H","DateFormat=P","Fill=—","Direction=H","UseDPDF=Y")</f>
        <v>#NAME?</v>
      </c>
      <c r="AM108" s="1" t="e">
        <f ca="1">_xll.BDH($C$103,"GEO_GROW_NET_SALES","FY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108" s="1" t="e">
        <f ca="1">_xll.BDH($C$103,"GEO_GROW_EBITDA","FY 2015","FY 2015","Currency=INR","Period=FY","BEST_FPERIOD_OVERRIDE=FY","FILING_STATUS=OR","EQY_CONSOLIDATED=Y","FA_ADJUSTED=GAAP","Sort=A","Dates=H","DateFormat=P","Fill=—","Direction=H","UseDPDF=Y")</f>
        <v>#NAME?</v>
      </c>
      <c r="AO108" s="1" t="e">
        <f ca="1">_xll.BDH($C$103,"GEO_GROW_OPER_INC","FY 2015","FY 2015","Currency=INR","Period=FY","BEST_FPERIOD_OVERRIDE=FY","FILING_STATUS=OR","EQY_CONSOLIDATED=Y","FA_ADJUSTED=GAAP","Sort=A","Dates=H","DateFormat=P","Fill=—","Direction=H","UseDPDF=Y")</f>
        <v>#NAME?</v>
      </c>
      <c r="AP108" s="1" t="e">
        <f ca="1">_xll.BDH($C$103,"NET_INCOME_TO_COMMON_5_YR_GROWTH","FY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08" s="1" t="e">
        <f ca="1">_xll.BDH($C$103,"5Y_GEO_GROWTH_DILUTED_EPS","FY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08" s="1" t="e">
        <f ca="1">_xll.BDH($C$103,"GEO_GROW_DVD_PER_SH","FY 2015","FY 2015","Currency=INR","Period=FY","BEST_FPERIOD_OVERRIDE=FY","FILING_STATUS=OR","EQY_CONSOLIDATED=Y","Sort=A","Dates=H","DateFormat=P","Fill=—","Direction=H","UseDPDF=Y")</f>
        <v>#NAME?</v>
      </c>
      <c r="AS108" s="1" t="e">
        <f ca="1">_xll.BDH($C$103,"ACCOUNTS_RECEIVABLE_5_YR_GROWTH","FY 2015","FY 2015","Currency=INR","Period=FY","BEST_FPERIOD_OVERRIDE=FY","FILING_STATUS=OR","EQY_CONSOLIDATED=Y","Sort=A","Dates=H","DateFormat=P","Fill=—","Direction=H","UseDPDF=Y")</f>
        <v>#NAME?</v>
      </c>
      <c r="AT108" s="1" t="e">
        <f ca="1">_xll.BDH($C$103,"INVENTORY_5_YEAR_GROWTH","FY 2015","FY 2015","Currency=INR","Period=FY","BEST_FPERIOD_OVERRIDE=FY","FILING_STATUS=OR","EQY_CONSOLIDATED=Y","Sort=A","Dates=H","DateFormat=P","Fill=—","Direction=H","UseDPDF=Y")</f>
        <v>#NAME?</v>
      </c>
      <c r="AU108" s="1" t="e">
        <f ca="1">_xll.BDH($C$103,"NET_FIXED_ASSETS_5_YEAR_GROWTH","FY 2015","FY 2015","Currency=INR","Period=FY","BEST_FPERIOD_OVERRIDE=FY","FILING_STATUS=OR","EQY_CONSOLIDATED=Y","Sort=A","Dates=H","DateFormat=P","Fill=—","Direction=H","UseDPDF=Y")</f>
        <v>#NAME?</v>
      </c>
      <c r="AV108" s="1" t="e">
        <f ca="1">_xll.BDH($C$103,"GEO_GROW_TOT_ASSET","FY 2015","FY 2015","Currency=INR","Period=FY","BEST_FPERIOD_OVERRIDE=FY","FILING_STATUS=OR","EQY_CONSOLIDATED=Y","Sort=A","Dates=H","DateFormat=P","Fill=—","Direction=H","UseDPDF=Y")</f>
        <v>#NAME?</v>
      </c>
      <c r="AW108" s="1" t="e">
        <f ca="1">_xll.BDH($C$103,"MODIFIED_WORKING_CPTL_5YR_GRWTH","FY 2015","FY 2015","Currency=INR","Period=FY","BEST_FPERIOD_OVERRIDE=FY","FILING_STATUS=OR","EQY_CONSOLIDATED=Y","Sort=A","Dates=H","DateFormat=P","Fill=—","Direction=H","UseDPDF=Y")</f>
        <v>#NAME?</v>
      </c>
      <c r="AX108" s="1" t="e">
        <f ca="1">_xll.BDH($C$103,"WORKING_CAPITAL_5_YEAR_GROWTH","FY 2015","FY 2015","Currency=INR","Period=FY","BEST_FPERIOD_OVERRIDE=FY","FILING_STATUS=OR","EQY_CONSOLIDATED=Y","Sort=A","Dates=H","DateFormat=P","Fill=—","Direction=H","UseDPDF=Y")</f>
        <v>#NAME?</v>
      </c>
      <c r="AY108" s="1" t="e">
        <f ca="1">_xll.BDH($C$103,"ACCOUNTS_PAYABLE_5_YEAR_GROWTH","FY 2015","FY 2015","Currency=INR","Period=FY","BEST_FPERIOD_OVERRIDE=FY","FILING_STATUS=OR","EQY_CONSOLIDATED=Y","Sort=A","Dates=H","DateFormat=P","Fill=—","Direction=H","UseDPDF=Y")</f>
        <v>#NAME?</v>
      </c>
      <c r="AZ108" s="1" t="e">
        <f ca="1">_xll.BDH($C$103,"SHORT_TERM_DEBT_5_YEAR_GROWTH","FY 2015","FY 2015","Currency=INR","Period=FY","BEST_FPERIOD_OVERRIDE=FY","FILING_STATUS=OR","EQY_CONSOLIDATED=Y","Sort=A","Dates=H","DateFormat=P","Fill=—","Direction=H","UseDPDF=Y")</f>
        <v>#NAME?</v>
      </c>
      <c r="BA108" s="1" t="e">
        <f ca="1">_xll.BDH($C$103,"TOTAL_DEBT_5_YEAR_GROWTH","FY 2015","FY 2015","Currency=INR","Period=FY","BEST_FPERIOD_OVERRIDE=FY","FILING_STATUS=OR","EQY_CONSOLIDATED=Y","Sort=A","Dates=H","DateFormat=P","Fill=—","Direction=H","UseDPDF=Y")</f>
        <v>#NAME?</v>
      </c>
      <c r="BB108" s="1" t="e">
        <f ca="1">_xll.BDH($C$103,"GEO_GROW_TOT_SHRHLDR_EQY","FY 2015","FY 2015","Currency=INR","Period=FY","BEST_FPERIOD_OVERRIDE=FY","FILING_STATUS=OR","EQY_CONSOLIDATED=Y","Sort=A","Dates=H","DateFormat=P","Fill=—","Direction=H","UseDPDF=Y")</f>
        <v>#NAME?</v>
      </c>
      <c r="BC108" s="1" t="e">
        <f ca="1">_xll.BDH($C$103,"TOTAL_CAPITAL_5_YEAR_GROWTH","FY 2015","FY 2015","Currency=INR","Period=FY","BEST_FPERIOD_OVERRIDE=FY","FILING_STATUS=OR","EQY_CONSOLIDATED=Y","Sort=A","Dates=H","DateFormat=P","Fill=—","Direction=H","UseDPDF=Y")</f>
        <v>#NAME?</v>
      </c>
      <c r="BD108" s="1" t="e">
        <f ca="1">_xll.BDH($C$103,"GEO_GROW_BOOK_VAL","FY 2015","FY 2015","Currency=INR","Period=FY","BEST_FPERIOD_OVERRIDE=FY","FILING_STATUS=OR","EQY_CONSOLIDATED=Y","Sort=A","Dates=H","DateFormat=P","Fill=—","Direction=H","UseDPDF=Y")</f>
        <v>#NAME?</v>
      </c>
      <c r="BE108" s="1" t="e">
        <f ca="1">_xll.BDH($C$103,"GEO_GROW_CASH_OPER_ACT","FY 2015","FY 2015","Currency=INR","Period=FY","BEST_FPERIOD_OVERRIDE=FY","FILING_STATUS=OR","EQY_CONSOLIDATED=Y","Sort=A","Dates=H","DateFormat=P","Fill=—","Direction=H","UseDPDF=Y")</f>
        <v>#NAME?</v>
      </c>
      <c r="BF108" s="1" t="e">
        <f ca="1">_xll.BDH($C$103,"REVENUE_SEQUENTIAL_GROWTH","FY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08" s="1" t="e">
        <f ca="1">_xll.BDH($C$103,"EBITDA_SEQUENTIAL_GROWTH","FY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08" s="1" t="e">
        <f ca="1">_xll.BDH($C$103,"OPERATING_INCOME_SEQ_GROWTH","FY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08" s="1" t="e">
        <f ca="1">_xll.BDH($C$103,"NET_INCOME_TO_COMMON_SEQ_GROWTH","FY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08" s="1" t="e">
        <f ca="1">_xll.BDH($C$103,"EPS_DILUTED_SEQUENTIAL_GROWTH","FY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08" s="1" t="e">
        <f ca="1">_xll.BDH($C$103,"DPS_SEQUENTIAL_GROWTH","FY 2015","FY 2015","Currency=INR","Period=FY","BEST_FPERIOD_OVERRIDE=FY","FILING_STATUS=OR","EQY_CONSOLIDATED=Y","Sort=A","Dates=H","DateFormat=P","Fill=—","Direction=H","UseDPDF=Y")</f>
        <v>#NAME?</v>
      </c>
      <c r="BL108" s="1" t="e">
        <f ca="1">_xll.BDH($C$103,"ACCOUNTS_RECEIVABLE_SEQ_GROWTH","FY 2015","FY 2015","Currency=INR","Period=FY","BEST_FPERIOD_OVERRIDE=FY","FILING_STATUS=OR","EQY_CONSOLIDATED=Y","Sort=A","Dates=H","DateFormat=P","Fill=—","Direction=H","UseDPDF=Y")</f>
        <v>#NAME?</v>
      </c>
      <c r="BM108" s="1" t="e">
        <f ca="1">_xll.BDH($C$103,"INVENTORY_SEQUENTIAL_GROWTH","FY 2015","FY 2015","Currency=INR","Period=FY","BEST_FPERIOD_OVERRIDE=FY","FILING_STATUS=OR","EQY_CONSOLIDATED=Y","Sort=A","Dates=H","DateFormat=P","Fill=—","Direction=H","UseDPDF=Y")</f>
        <v>#NAME?</v>
      </c>
      <c r="BN108" s="1" t="e">
        <f ca="1">_xll.BDH($C$103,"FIXED_ASSETS_SEQUENTIAL_GROWTH","FY 2015","FY 2015","Currency=INR","Period=FY","BEST_FPERIOD_OVERRIDE=FY","FILING_STATUS=OR","EQY_CONSOLIDATED=Y","Sort=A","Dates=H","DateFormat=P","Fill=—","Direction=H","UseDPDF=Y")</f>
        <v>#NAME?</v>
      </c>
      <c r="BO108" s="1" t="e">
        <f ca="1">_xll.BDH($C$103,"TOTAL_ASSETS_SEQUENTIAL_GROWTH","FY 2015","FY 2015","Currency=INR","Period=FY","BEST_FPERIOD_OVERRIDE=FY","FILING_STATUS=OR","EQY_CONSOLIDATED=Y","Sort=A","Dates=H","DateFormat=P","Fill=—","Direction=H","UseDPDF=Y")</f>
        <v>#NAME?</v>
      </c>
      <c r="BP108" s="1" t="e">
        <f ca="1">_xll.BDH($C$103,"MODIFIED_WORKING_CPTL_SEQ_GRWTH","FY 2015","FY 2015","Currency=INR","Period=FY","BEST_FPERIOD_OVERRIDE=FY","FILING_STATUS=OR","EQY_CONSOLIDATED=Y","Sort=A","Dates=H","DateFormat=P","Fill=—","Direction=H","UseDPDF=Y")</f>
        <v>#NAME?</v>
      </c>
      <c r="BQ108" s="1" t="e">
        <f ca="1">_xll.BDH($C$103,"WORKING_CAPITAL_SEQ_GROWTH","FY 2015","FY 2015","Currency=INR","Period=FY","BEST_FPERIOD_OVERRIDE=FY","FILING_STATUS=OR","EQY_CONSOLIDATED=Y","Sort=A","Dates=H","DateFormat=P","Fill=—","Direction=H","UseDPDF=Y")</f>
        <v>#NAME?</v>
      </c>
      <c r="BR108" s="1" t="e">
        <f ca="1">_xll.BDH($C$103,"ACCOUNTS_PAYABLE_SEQ_GROWTH","FY 2015","FY 2015","Currency=INR","Period=FY","BEST_FPERIOD_OVERRIDE=FY","FILING_STATUS=OR","EQY_CONSOLIDATED=Y","Sort=A","Dates=H","DateFormat=P","Fill=—","Direction=H","UseDPDF=Y")</f>
        <v>#NAME?</v>
      </c>
      <c r="BS108" s="1" t="e">
        <f ca="1">_xll.BDH($C$103,"ST_DEBT_SEQUENTIAL_GROWTH","FY 2015","FY 2015","Currency=INR","Period=FY","BEST_FPERIOD_OVERRIDE=FY","FILING_STATUS=OR","EQY_CONSOLIDATED=Y","Sort=A","Dates=H","DateFormat=P","Fill=—","Direction=H","UseDPDF=Y")</f>
        <v>#NAME?</v>
      </c>
      <c r="BT108" s="1" t="e">
        <f ca="1">_xll.BDH($C$103,"TOTAL_DEBT_SEQUENTIAL_GROWTH","FY 2015","FY 2015","Currency=INR","Period=FY","BEST_FPERIOD_OVERRIDE=FY","FILING_STATUS=OR","EQY_CONSOLIDATED=Y","Sort=A","Dates=H","DateFormat=P","Fill=—","Direction=H","UseDPDF=Y")</f>
        <v>#NAME?</v>
      </c>
      <c r="BU108" s="1" t="e">
        <f ca="1">_xll.BDH($C$103,"TOTAL_EQUITY_SEQUENTIAL_GROWTH","FY 2015","FY 2015","Currency=INR","Period=FY","BEST_FPERIOD_OVERRIDE=FY","FILING_STATUS=OR","EQY_CONSOLIDATED=Y","Sort=A","Dates=H","DateFormat=P","Fill=—","Direction=H","UseDPDF=Y")</f>
        <v>#NAME?</v>
      </c>
      <c r="BV108" s="1" t="e">
        <f ca="1">_xll.BDH($C$103,"TOTAL_CAPITAL_SEQUENTIAL_GROWTH","FY 2015","FY 2015","Currency=INR","Period=FY","BEST_FPERIOD_OVERRIDE=FY","FILING_STATUS=OR","EQY_CONSOLIDATED=Y","Sort=A","Dates=H","DateFormat=P","Fill=—","Direction=H","UseDPDF=Y")</f>
        <v>#NAME?</v>
      </c>
      <c r="BW108" s="1" t="e">
        <f ca="1">_xll.BDH($C$103,"BPS_SEQUENTIAL_GROWTH","FY 2015","FY 2015","Currency=INR","Period=FY","BEST_FPERIOD_OVERRIDE=FY","FILING_STATUS=OR","EQY_CONSOLIDATED=Y","Sort=A","Dates=H","DateFormat=P","Fill=—","Direction=H","UseDPDF=Y")</f>
        <v>#NAME?</v>
      </c>
      <c r="BX108" s="1" t="e">
        <f ca="1">_xll.BDH($C$103,"CFO_SEQUENTIAL_GROWTH","FY 2015","FY 2015","Currency=INR","Period=FY","BEST_FPERIOD_OVERRIDE=FY","FILING_STATUS=OR","EQY_CONSOLIDATED=Y","Sort=A","Dates=H","DateFormat=P","Fill=—","Direction=H","UseDPDF=Y")</f>
        <v>#NAME?</v>
      </c>
      <c r="BY108" s="2" t="e">
        <f ca="1">_xll.BDH($C$103,"SHORT_AND_LONG_TERM_DEBT","FY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08" s="2" t="e">
        <f ca="1">_xll.BDH($C$103,"BS_ST_BORROW","FY 2015","FY 2015","Currency=INR","Period=FY","BEST_FPERIOD_OVERRIDE=FY","FILING_STATUS=OR","EQY_CONSOLIDATED=Y","SCALING_FORMAT=MLN","Sort=A","Dates=H","DateFormat=P","Fill=—","Direction=H","UseDPDF=Y")</f>
        <v>#NAME?</v>
      </c>
      <c r="CA108" s="2" t="e">
        <f ca="1">_xll.BDH($C$103,"BS_LT_BORROW","FY 2015","FY 2015","Currency=INR","Period=FY","BEST_FPERIOD_OVERRIDE=FY","FILING_STATUS=OR","EQY_CONSOLIDATED=Y","SCALING_FORMAT=MLN","Sort=A","Dates=H","DateFormat=P","Fill=—","Direction=H","UseDPDF=Y")</f>
        <v>#NAME?</v>
      </c>
      <c r="CB108" s="1" t="e">
        <f ca="1">_xll.BDH($C$103,"TOT_DEBT_TO_EBITDA","FY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108" s="1" t="e">
        <f ca="1">_xll.BDH($C$103,"NET_DEBT_TO_EBITDA","FY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108" s="1" t="e">
        <f ca="1">_xll.BDH($C$103,"TOTAL_DEBT_TO_EBIT","FY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108" s="1" t="e">
        <f ca="1">_xll.BDH($C$103,"NET_DEBT_TO_EBIT","FY 2015","FY 2015","Currency=INR","Period=FY","BEST_FPERIOD_OVERRIDE=FY","FILING_STATUS=OR","EQY_CONSOLIDATED=Y","FA_ADJUSTED=GAAP","Sort=A","Dates=H","DateFormat=P","Fill=—","Direction=H","UseDPDF=Y")</f>
        <v>#NAME?</v>
      </c>
      <c r="CF108" s="1" t="e">
        <f ca="1">_xll.BDH($C$103,"EBITDA_TO_INTEREST_EXPN","FY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08" s="1" t="e">
        <f ca="1">_xll.BDH($C$103,"COM_EQY_TO_TOT_ASSET","FY 2015","FY 2015","Currency=INR","Period=FY","BEST_FPERIOD_OVERRIDE=FY","FILING_STATUS=OR","EQY_CONSOLIDATED=Y","Sort=A","Dates=H","DateFormat=P","Fill=—","Direction=H","UseDPDF=Y")</f>
        <v>#NAME?</v>
      </c>
      <c r="CH108" s="1" t="e">
        <f ca="1">_xll.BDH($C$103,"LT_DEBT_TO_TOT_EQY","FY 2015","FY 2015","Currency=INR","Period=FY","BEST_FPERIOD_OVERRIDE=FY","FILING_STATUS=OR","EQY_CONSOLIDATED=Y","Sort=A","Dates=H","DateFormat=P","Fill=—","Direction=H","UseDPDF=Y")</f>
        <v>#NAME?</v>
      </c>
      <c r="CI108" s="1" t="e">
        <f ca="1">_xll.BDH($C$103,"LT_DEBT_TO_TOT_CAP","FY 2015","FY 2015","Currency=INR","Period=FY","BEST_FPERIOD_OVERRIDE=FY","FILING_STATUS=OR","EQY_CONSOLIDATED=Y","Sort=A","Dates=H","DateFormat=P","Fill=—","Direction=H","UseDPDF=Y")</f>
        <v>#NAME?</v>
      </c>
      <c r="CJ108" s="1" t="e">
        <f ca="1">_xll.BDH($C$103,"LT_DEBT_TO_TOT_ASSET","FY 2015","FY 2015","Currency=INR","Period=FY","BEST_FPERIOD_OVERRIDE=FY","FILING_STATUS=OR","EQY_CONSOLIDATED=Y","Sort=A","Dates=H","DateFormat=P","Fill=—","Direction=H","UseDPDF=Y")</f>
        <v>#NAME?</v>
      </c>
      <c r="CK108" s="1" t="e">
        <f ca="1">_xll.BDH($C$103,"TOT_DEBT_TO_TOT_EQY","FY 2015","FY 2015","Currency=INR","Period=FY","BEST_FPERIOD_OVERRIDE=FY","FILING_STATUS=OR","EQY_CONSOLIDATED=Y","Sort=A","Dates=H","DateFormat=P","Fill=—","Direction=H","UseDPDF=Y")</f>
        <v>#NAME?</v>
      </c>
      <c r="CL108" s="1" t="e">
        <f ca="1">_xll.BDH($C$103,"TOT_DEBT_TO_TOT_CAP","FY 2015","FY 2015","Currency=INR","Period=FY","BEST_FPERIOD_OVERRIDE=FY","FILING_STATUS=OR","EQY_CONSOLIDATED=Y","Sort=A","Dates=H","DateFormat=P","Fill=—","Direction=H","UseDPDF=Y")</f>
        <v>#NAME?</v>
      </c>
      <c r="CM108" s="1" t="e">
        <f ca="1">_xll.BDH($C$103,"TOT_DEBT_TO_TOT_ASSET","FY 2015","FY 2015","Currency=INR","Period=FY","BEST_FPERIOD_OVERRIDE=FY","FILING_STATUS=OR","EQY_CONSOLIDATED=Y","Sort=A","Dates=H","DateFormat=P","Fill=—","Direction=H","UseDPDF=Y")</f>
        <v>#NAME?</v>
      </c>
      <c r="CN108" s="1" t="e">
        <f ca="1">_xll.BDH($C$103,"NET_DEBT_TO_SHRHLDR_EQTY","FY 2015","FY 2015","Currency=INR","Period=FY","BEST_FPERIOD_OVERRIDE=FY","FILING_STATUS=OR","EQY_CONSOLIDATED=Y","Sort=A","Dates=H","DateFormat=P","Fill=—","Direction=H","UseDPDF=Y")</f>
        <v>#NAME?</v>
      </c>
      <c r="CO108" s="1" t="e">
        <f ca="1">_xll.BDH($C$103,"NET_DEBT_%_CAPITAL","FY 2015","FY 2015","Currency=INR","Period=FY","BEST_FPERIOD_OVERRIDE=FY","FILING_STATUS=OR","EQY_CONSOLIDATED=Y","Sort=A","Dates=H","DateFormat=P","Fill=—","Direction=H","UseDPDF=Y")</f>
        <v>#NAME?</v>
      </c>
      <c r="CP108" s="2" t="e">
        <f ca="1">_xll.BDH($C$103,"EBITDA","FY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08" s="2" t="e">
        <f ca="1">_xll.BDH($C$103,"EBITDA_AFTER_CAPEX","FY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08" s="2" t="e">
        <f ca="1">_xll.BDH($C$103,"IS_OPER_INC","FY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08" s="1" t="e">
        <f ca="1">_xll.BDH($C$103,"CASH_RATIO","FY 2015","FY 2015","Currency=INR","Period=FY","BEST_FPERIOD_OVERRIDE=FY","FILING_STATUS=OR","EQY_CONSOLIDATED=Y","Sort=A","Dates=H","DateFormat=P","Fill=—","Direction=H","UseDPDF=Y")</f>
        <v>#NAME?</v>
      </c>
      <c r="CT108" s="1" t="e">
        <f ca="1">_xll.BDH($C$103,"CUR_RATIO","FY 2015","FY 2015","Currency=INR","Period=FY","BEST_FPERIOD_OVERRIDE=FY","FILING_STATUS=OR","EQY_CONSOLIDATED=Y","Sort=A","Dates=H","DateFormat=P","Fill=—","Direction=H","UseDPDF=Y")</f>
        <v>#NAME?</v>
      </c>
      <c r="CU108" s="1" t="e">
        <f ca="1">_xll.BDH($C$103,"QUICK_RATIO","FY 2015","FY 2015","Currency=INR","Period=FY","BEST_FPERIOD_OVERRIDE=FY","FILING_STATUS=OR","EQY_CONSOLIDATED=Y","Sort=A","Dates=H","DateFormat=P","Fill=—","Direction=H","UseDPDF=Y")</f>
        <v>#NAME?</v>
      </c>
      <c r="CV108" s="1" t="e">
        <f ca="1">_xll.BDH($C$103,"ALTMAN_Z_SCORE","FY 2015","FY 2015","Currency=INR","Period=FY","BEST_FPERIOD_OVERRIDE=FY","FILING_STATUS=OR","EQY_CONSOLIDATED=Y","Sort=A","Dates=H","DateFormat=P","Fill=—","Direction=H","UseDPDF=Y")</f>
        <v>#NAME?</v>
      </c>
      <c r="CW108" s="3" t="e">
        <f ca="1">_xll.BDH($C$103,"ACCT_RCV_TURN","FY 2015","FY 2015","Currency=INR","Period=FY","BEST_FPERIOD_OVERRIDE=FY","FILING_STATUS=OR","EQY_CONSOLIDATED=Y","FA_ADJUSTED=GAAP","Sort=A","Dates=H","DateFormat=P","Fill=—","Direction=H","UseDPDF=Y")</f>
        <v>#NAME?</v>
      </c>
      <c r="CX108" s="1" t="e">
        <f ca="1">_xll.BDH($C$103,"ACCT_RCV_DAYS","FY 2015","FY 2015","Currency=INR","Period=FY","BEST_FPERIOD_OVERRIDE=FY","FILING_STATUS=OR","EQY_CONSOLIDATED=Y","FA_ADJUSTED=GAAP","Sort=A","Dates=H","DateFormat=P","Fill=—","Direction=H","UseDPDF=Y")</f>
        <v>#NAME?</v>
      </c>
      <c r="CY108" s="3" t="e">
        <f ca="1">_xll.BDH($C$103,"INVENT_TURN","FY 2015","FY 2015","Currency=INR","Period=FY","BEST_FPERIOD_OVERRIDE=FY","FILING_STATUS=OR","EQY_CONSOLIDATED=Y","FA_ADJUSTED=GAAP","Sort=A","Dates=H","DateFormat=P","Fill=—","Direction=H","UseDPDF=Y")</f>
        <v>#NAME?</v>
      </c>
      <c r="CZ108" s="1" t="e">
        <f ca="1">_xll.BDH($C$103,"INVENT_DAYS","FY 2015","FY 2015","Currency=INR","Period=FY","BEST_FPERIOD_OVERRIDE=FY","FILING_STATUS=OR","EQY_CONSOLIDATED=Y","FA_ADJUSTED=GAAP","Sort=A","Dates=H","DateFormat=P","Fill=—","Direction=H","UseDPDF=Y")</f>
        <v>#NAME?</v>
      </c>
      <c r="DA108" s="3" t="e">
        <f ca="1">_xll.BDH($C$103,"ACCOUNTS_PAYABLE_TURNOVER","FY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08" s="1" t="e">
        <f ca="1">_xll.BDH($C$103,"ACCOUNTS_PAYABLE_TURNOVER_DAYS","FY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08" s="3" t="e">
        <f ca="1">_xll.BDH($C$103,"CASH_CONVERSION_CYCLE","FY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08" s="3" t="e">
        <f ca="1">_xll.BDH($C$103,"INV_TO_CASH_DAYS","FY 2015","FY 2015","Currency=INR","Period=FY","BEST_FPERIOD_OVERRIDE=FY","FILING_STATUS=OR","EQY_CONSOLIDATED=Y","FA_ADJUSTED=GAAP","Sort=A","Dates=H","DateFormat=P","Fill=—","Direction=H","UseDPDF=Y")</f>
        <v>#NAME?</v>
      </c>
      <c r="DE108" s="4" t="e">
        <f ca="1">_xll.BDH($C$103,"BS_INVENTORIES","FY 2015","FY 2015","Currency=INR","Period=FY","BEST_FPERIOD_OVERRIDE=FY","FILING_STATUS=OR","EQY_CONSOLIDATED=Y","SCALING_FORMAT=MLN","Sort=A","Dates=H","DateFormat=P","Fill=—","Direction=H","UseDPDF=Y")</f>
        <v>#NAME?</v>
      </c>
      <c r="DF108" s="2" t="e">
        <f ca="1">_xll.BDH($C$103,"INVTRY_RAW_MATERIALS","FY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08" s="2" t="e">
        <f ca="1">_xll.BDH($C$103,"INVTRY_IN_PROGRESS","FY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08" s="2" t="e">
        <f ca="1">_xll.BDH($C$103,"INVTRY_FINISHED_GOODS","FY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08" s="2" t="e">
        <f ca="1">_xll.BDH($C$103,"BS_OTHER_INV","FY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09" spans="1:113" x14ac:dyDescent="0.3">
      <c r="A109" s="6"/>
      <c r="B109" s="6"/>
      <c r="C109" s="6"/>
      <c r="D109" s="6"/>
      <c r="E109" t="s">
        <v>4</v>
      </c>
      <c r="F109" t="e">
        <f ca="1">_xll.BDH($C$103,"RETURN_COM_EQY","FQ1 2015","FQ1 2015","Currency=INR","Period=FQ","BEST_FPERIOD_OVERRIDE=FQ","FILING_STATUS=OR","EQY_CONSOLIDATED=Y","FA_ADJUSTED=GAAP","Sort=A","Dates=H","DateFormat=P","Fill=—","Direction=H","UseDPDF=Y")</f>
        <v>#NAME?</v>
      </c>
      <c r="G109" t="e">
        <f ca="1">_xll.BDH($C$103,"RETURN_ON_ASSET","FQ1 2015","FQ1 2015","Currency=INR","Period=FQ","BEST_FPERIOD_OVERRIDE=FQ","FILING_STATUS=OR","EQY_CONSOLIDATED=Y","FA_ADJUSTED=GAAP","Sort=A","Dates=H","DateFormat=P","Fill=—","Direction=H","UseDPDF=Y")</f>
        <v>#NAME?</v>
      </c>
      <c r="H109" t="e">
        <f ca="1">_xll.BDH($C$103,"RETURN_ON_CAP","FQ1 2015","FQ1 2015","Currency=INR","Period=FQ","BEST_FPERIOD_OVERRIDE=FQ","FILING_STATUS=OR","EQY_CONSOLIDATED=Y","FA_ADJUSTED=GAAP","Sort=A","Dates=H","DateFormat=P","Fill=—","Direction=H","UseDPDF=Y")</f>
        <v>#NAME?</v>
      </c>
      <c r="I109" t="e">
        <f ca="1">_xll.BDH($C$103,"RETURN_ON_INV_CAPITAL","FQ1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09" t="e">
        <f ca="1">_xll.BDH($C$103,"EBITDA_TO_REVENUE","FQ1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109" t="e">
        <f ca="1">_xll.BDH($C$103,"OPER_MARGIN","FQ1 2015","FQ1 2015","Currency=INR","Period=FQ","BEST_FPERIOD_OVERRIDE=FQ","FILING_STATUS=OR","EQY_CONSOLIDATED=Y","FA_ADJUSTED=GAAP","Sort=A","Dates=H","DateFormat=P","Fill=—","Direction=H","UseDPDF=Y")</f>
        <v>#NAME?</v>
      </c>
      <c r="L109" t="e">
        <f ca="1">_xll.BDH($C$103,"INCREMENTAL_OPERATING_MARGIN","FQ1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09" t="e">
        <f ca="1">_xll.BDH($C$103,"PRETAX_INC_TO_NET_SALES","FQ1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09" t="e">
        <f ca="1">_xll.BDH($C$103,"INC_BEF_XO_ITEMS_TO_NET_SALES","FQ1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09" t="e">
        <f ca="1">_xll.BDH($C$103,"PROF_MARGIN","FQ1 2015","FQ1 2015","Currency=INR","Period=FQ","BEST_FPERIOD_OVERRIDE=FQ","FILING_STATUS=OR","EQY_CONSOLIDATED=Y","FA_ADJUSTED=GAAP","Sort=A","Dates=H","DateFormat=P","Fill=—","Direction=H","UseDPDF=Y")</f>
        <v>#NAME?</v>
      </c>
      <c r="P109" t="e">
        <f ca="1">_xll.BDH($C$103,"NET_INCOME_TO_COMMON_MARGIN","FQ1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09" t="e">
        <f ca="1">_xll.BDH($C$103,"EFF_TAX_RATE","FQ1 2015","FQ1 2015","Currency=INR","Period=FQ","BEST_FPERIOD_OVERRIDE=FQ","FILING_STATUS=OR","EQY_CONSOLIDATED=Y","FA_ADJUSTED=GAAP","Sort=A","Dates=H","DateFormat=P","Fill=—","Direction=H","UseDPDF=Y")</f>
        <v>#NAME?</v>
      </c>
      <c r="R109" t="e">
        <f ca="1">_xll.BDH($C$103,"DVD_PAYOUT_RATIO","FQ1 2015","FQ1 2015","Currency=INR","Period=FQ","BEST_FPERIOD_OVERRIDE=FQ","FILING_STATUS=OR","EQY_CONSOLIDATED=Y","FA_ADJUSTED=GAAP","Sort=A","Dates=H","DateFormat=P","Fill=—","Direction=H","UseDPDF=Y")</f>
        <v>#NAME?</v>
      </c>
      <c r="S109" t="e">
        <f ca="1">_xll.BDH($C$103,"SUSTAIN_GROWTH_RT","FQ1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109" s="1" t="e">
        <f ca="1">_xll.BDH($C$103,"SALES_GROWTH","FQ1 2015","FQ1 2015","Currency=INR","Period=FQ","BEST_FPERIOD_OVERRIDE=FQ","FILING_STATUS=OR","EQY_CONSOLIDATED=Y","FA_ADJUSTED=GAAP","Sort=A","Dates=H","DateFormat=P","Fill=—","Direction=H","UseDPDF=Y")</f>
        <v>#NAME?</v>
      </c>
      <c r="U109" s="1" t="e">
        <f ca="1">_xll.BDH($C$103,"EBITDA_GROWTH","FQ1 2015","FQ1 2015","Currency=INR","Period=FQ","BEST_FPERIOD_OVERRIDE=FQ","FILING_STATUS=OR","EQY_CONSOLIDATED=Y","FA_ADJUSTED=GAAP","Sort=A","Dates=H","DateFormat=P","Fill=—","Direction=H","UseDPDF=Y")</f>
        <v>#NAME?</v>
      </c>
      <c r="V109" s="1" t="e">
        <f ca="1">_xll.BDH($C$103,"OPER_INC_GROWTH","FQ1 2015","FQ1 2015","Currency=INR","Period=FQ","BEST_FPERIOD_OVERRIDE=FQ","FILING_STATUS=OR","EQY_CONSOLIDATED=Y","FA_ADJUSTED=GAAP","Sort=A","Dates=H","DateFormat=P","Fill=—","Direction=H","UseDPDF=Y")</f>
        <v>#NAME?</v>
      </c>
      <c r="W109" s="1" t="e">
        <f ca="1">_xll.BDH($C$103,"EARN_FOR_COM_GROWTH","FQ1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09" s="1" t="e">
        <f ca="1">_xll.BDH($C$103,"DILUTED_EPS_AFT_XO_ITEMS_GROWTH","FQ1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09" s="1" t="e">
        <f ca="1">_xll.BDH($C$103,"DIVIDEND_PER_SHARE_1_YEAR_GROWTH","FQ1 2015","FQ1 2015","Currency=INR","Period=FQ","BEST_FPERIOD_OVERRIDE=FQ","FILING_STATUS=OR","EQY_CONSOLIDATED=Y","Sort=A","Dates=H","DateFormat=P","Fill=—","Direction=H","UseDPDF=Y")</f>
        <v>#NAME?</v>
      </c>
      <c r="Z109" s="1" t="e">
        <f ca="1">_xll.BDH($C$103,"ACCOUNTS_RECEIVABLE_GROWTH","FQ1 2015","FQ1 2015","Currency=INR","Period=FQ","BEST_FPERIOD_OVERRIDE=FQ","FILING_STATUS=OR","EQY_CONSOLIDATED=Y","Sort=A","Dates=H","DateFormat=P","Fill=—","Direction=H","UseDPDF=Y")</f>
        <v>#NAME?</v>
      </c>
      <c r="AA109" s="1" t="e">
        <f ca="1">_xll.BDH($C$103,"INVENTORY_GROWTH","FQ1 2015","FQ1 2015","Currency=INR","Period=FQ","BEST_FPERIOD_OVERRIDE=FQ","FILING_STATUS=OR","EQY_CONSOLIDATED=Y","Sort=A","Dates=H","DateFormat=P","Fill=—","Direction=H","UseDPDF=Y")</f>
        <v>#NAME?</v>
      </c>
      <c r="AB109" s="1" t="e">
        <f ca="1">_xll.BDH($C$103,"NET_FIXED_ASSETS_1_YEAR_GROWTH","FQ1 2015","FQ1 2015","Currency=INR","Period=FQ","BEST_FPERIOD_OVERRIDE=FQ","FILING_STATUS=OR","EQY_CONSOLIDATED=Y","Sort=A","Dates=H","DateFormat=P","Fill=—","Direction=H","UseDPDF=Y")</f>
        <v>#NAME?</v>
      </c>
      <c r="AC109" s="1" t="e">
        <f ca="1">_xll.BDH($C$103,"ASSET_GROWTH","FQ1 2015","FQ1 2015","Currency=INR","Period=FQ","BEST_FPERIOD_OVERRIDE=FQ","FILING_STATUS=OR","EQY_CONSOLIDATED=Y","Sort=A","Dates=H","DateFormat=P","Fill=—","Direction=H","UseDPDF=Y")</f>
        <v>#NAME?</v>
      </c>
      <c r="AD109" s="1" t="e">
        <f ca="1">_xll.BDH($C$103,"MODIFIED_WORK_CAP_GROWTH","FQ1 2015","FQ1 2015","Currency=INR","Period=FQ","BEST_FPERIOD_OVERRIDE=FQ","FILING_STATUS=OR","EQY_CONSOLIDATED=Y","Sort=A","Dates=H","DateFormat=P","Fill=—","Direction=H","UseDPDF=Y")</f>
        <v>#NAME?</v>
      </c>
      <c r="AE109" s="1" t="e">
        <f ca="1">_xll.BDH($C$103,"WORK_CAP_GROWTH","FQ1 2015","FQ1 2015","Currency=INR","Period=FQ","BEST_FPERIOD_OVERRIDE=FQ","FILING_STATUS=OR","EQY_CONSOLIDATED=Y","Sort=A","Dates=H","DateFormat=P","Fill=—","Direction=H","UseDPDF=Y")</f>
        <v>#NAME?</v>
      </c>
      <c r="AF109" s="1" t="e">
        <f ca="1">_xll.BDH($C$103,"ACCOUNTS_PAYABLE_GROWTH_1YR","FQ1 2015","FQ1 2015","Currency=INR","Period=FQ","BEST_FPERIOD_OVERRIDE=FQ","FILING_STATUS=OR","EQY_CONSOLIDATED=Y","Sort=A","Dates=H","DateFormat=P","Fill=—","Direction=H","UseDPDF=Y")</f>
        <v>#NAME?</v>
      </c>
      <c r="AG109" s="1" t="e">
        <f ca="1">_xll.BDH($C$103,"SHORT_TERM_DEBT_1_YEAR_GROWTH","FQ1 2015","FQ1 2015","Currency=INR","Period=FQ","BEST_FPERIOD_OVERRIDE=FQ","FILING_STATUS=OR","EQY_CONSOLIDATED=Y","Sort=A","Dates=H","DateFormat=P","Fill=—","Direction=H","UseDPDF=Y")</f>
        <v>#NAME?</v>
      </c>
      <c r="AH109" s="1" t="e">
        <f ca="1">_xll.BDH($C$103,"TOTAL_DEBT_1_YEAR_GROWTH","FQ1 2015","FQ1 2015","Currency=INR","Period=FQ","BEST_FPERIOD_OVERRIDE=FQ","FILING_STATUS=OR","EQY_CONSOLIDATED=Y","Sort=A","Dates=H","DateFormat=P","Fill=—","Direction=H","UseDPDF=Y")</f>
        <v>#NAME?</v>
      </c>
      <c r="AI109" s="1" t="e">
        <f ca="1">_xll.BDH($C$103,"TOTAL_EQUITY_1_YEAR_GROWTH","FQ1 2015","FQ1 2015","Currency=INR","Period=FQ","BEST_FPERIOD_OVERRIDE=FQ","FILING_STATUS=OR","EQY_CONSOLIDATED=Y","Sort=A","Dates=H","DateFormat=P","Fill=—","Direction=H","UseDPDF=Y")</f>
        <v>#NAME?</v>
      </c>
      <c r="AJ109" s="1" t="e">
        <f ca="1">_xll.BDH($C$103,"GROWTH_IN_CAP","FQ1 2015","FQ1 2015","Currency=INR","Period=FQ","BEST_FPERIOD_OVERRIDE=FQ","FILING_STATUS=OR","EQY_CONSOLIDATED=Y","Sort=A","Dates=H","DateFormat=P","Fill=—","Direction=H","UseDPDF=Y")</f>
        <v>#NAME?</v>
      </c>
      <c r="AK109" s="1" t="e">
        <f ca="1">_xll.BDH($C$103,"BVPS_GROWTH","FQ1 2015","FQ1 2015","Currency=INR","Period=FQ","BEST_FPERIOD_OVERRIDE=FQ","FILING_STATUS=OR","EQY_CONSOLIDATED=Y","Sort=A","Dates=H","DateFormat=P","Fill=—","Direction=H","UseDPDF=Y")</f>
        <v>#NAME?</v>
      </c>
      <c r="AL109" s="1" t="e">
        <f ca="1">_xll.BDH($C$103,"CASH_FLOW_GROWTH","FQ1 2015","FQ1 2015","Currency=INR","Period=FQ","BEST_FPERIOD_OVERRIDE=FQ","FILING_STATUS=OR","EQY_CONSOLIDATED=Y","Sort=A","Dates=H","DateFormat=P","Fill=—","Direction=H","UseDPDF=Y")</f>
        <v>#NAME?</v>
      </c>
      <c r="AM109" s="1" t="e">
        <f ca="1">_xll.BDH($C$103,"GEO_GROW_NET_SALES","FQ1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09" s="1" t="e">
        <f ca="1">_xll.BDH($C$103,"GEO_GROW_EBITDA","FQ1 2015","FQ1 2015","Currency=INR","Period=FQ","BEST_FPERIOD_OVERRIDE=FQ","FILING_STATUS=OR","EQY_CONSOLIDATED=Y","FA_ADJUSTED=GAAP","Sort=A","Dates=H","DateFormat=P","Fill=—","Direction=H","UseDPDF=Y")</f>
        <v>#NAME?</v>
      </c>
      <c r="AO109" s="1" t="e">
        <f ca="1">_xll.BDH($C$103,"GEO_GROW_OPER_INC","FQ1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09" s="1" t="e">
        <f ca="1">_xll.BDH($C$103,"NET_INCOME_TO_COMMON_5_YR_GROWTH","FQ1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09" s="1" t="e">
        <f ca="1">_xll.BDH($C$103,"5Y_GEO_GROWTH_DILUTED_EPS","FQ1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09" s="1" t="e">
        <f ca="1">_xll.BDH($C$103,"GEO_GROW_DVD_PER_SH","FQ1 2015","FQ1 2015","Currency=INR","Period=FQ","BEST_FPERIOD_OVERRIDE=FQ","FILING_STATUS=OR","EQY_CONSOLIDATED=Y","Sort=A","Dates=H","DateFormat=P","Fill=—","Direction=H","UseDPDF=Y")</f>
        <v>#NAME?</v>
      </c>
      <c r="AS109" s="1" t="e">
        <f ca="1">_xll.BDH($C$103,"ACCOUNTS_RECEIVABLE_5_YR_GROWTH","FQ1 2015","FQ1 2015","Currency=INR","Period=FQ","BEST_FPERIOD_OVERRIDE=FQ","FILING_STATUS=OR","EQY_CONSOLIDATED=Y","Sort=A","Dates=H","DateFormat=P","Fill=—","Direction=H","UseDPDF=Y")</f>
        <v>#NAME?</v>
      </c>
      <c r="AT109" s="1" t="e">
        <f ca="1">_xll.BDH($C$103,"INVENTORY_5_YEAR_GROWTH","FQ1 2015","FQ1 2015","Currency=INR","Period=FQ","BEST_FPERIOD_OVERRIDE=FQ","FILING_STATUS=OR","EQY_CONSOLIDATED=Y","Sort=A","Dates=H","DateFormat=P","Fill=—","Direction=H","UseDPDF=Y")</f>
        <v>#NAME?</v>
      </c>
      <c r="AU109" s="1" t="e">
        <f ca="1">_xll.BDH($C$103,"NET_FIXED_ASSETS_5_YEAR_GROWTH","FQ1 2015","FQ1 2015","Currency=INR","Period=FQ","BEST_FPERIOD_OVERRIDE=FQ","FILING_STATUS=OR","EQY_CONSOLIDATED=Y","Sort=A","Dates=H","DateFormat=P","Fill=—","Direction=H","UseDPDF=Y")</f>
        <v>#NAME?</v>
      </c>
      <c r="AV109" s="1" t="e">
        <f ca="1">_xll.BDH($C$103,"GEO_GROW_TOT_ASSET","FQ1 2015","FQ1 2015","Currency=INR","Period=FQ","BEST_FPERIOD_OVERRIDE=FQ","FILING_STATUS=OR","EQY_CONSOLIDATED=Y","Sort=A","Dates=H","DateFormat=P","Fill=—","Direction=H","UseDPDF=Y")</f>
        <v>#NAME?</v>
      </c>
      <c r="AW109" s="1" t="e">
        <f ca="1">_xll.BDH($C$103,"MODIFIED_WORKING_CPTL_5YR_GRWTH","FQ1 2015","FQ1 2015","Currency=INR","Period=FQ","BEST_FPERIOD_OVERRIDE=FQ","FILING_STATUS=OR","EQY_CONSOLIDATED=Y","Sort=A","Dates=H","DateFormat=P","Fill=—","Direction=H","UseDPDF=Y")</f>
        <v>#NAME?</v>
      </c>
      <c r="AX109" s="1" t="e">
        <f ca="1">_xll.BDH($C$103,"WORKING_CAPITAL_5_YEAR_GROWTH","FQ1 2015","FQ1 2015","Currency=INR","Period=FQ","BEST_FPERIOD_OVERRIDE=FQ","FILING_STATUS=OR","EQY_CONSOLIDATED=Y","Sort=A","Dates=H","DateFormat=P","Fill=—","Direction=H","UseDPDF=Y")</f>
        <v>#NAME?</v>
      </c>
      <c r="AY109" s="1" t="e">
        <f ca="1">_xll.BDH($C$103,"ACCOUNTS_PAYABLE_5_YEAR_GROWTH","FQ1 2015","FQ1 2015","Currency=INR","Period=FQ","BEST_FPERIOD_OVERRIDE=FQ","FILING_STATUS=OR","EQY_CONSOLIDATED=Y","Sort=A","Dates=H","DateFormat=P","Fill=—","Direction=H","UseDPDF=Y")</f>
        <v>#NAME?</v>
      </c>
      <c r="AZ109" s="1" t="e">
        <f ca="1">_xll.BDH($C$103,"SHORT_TERM_DEBT_5_YEAR_GROWTH","FQ1 2015","FQ1 2015","Currency=INR","Period=FQ","BEST_FPERIOD_OVERRIDE=FQ","FILING_STATUS=OR","EQY_CONSOLIDATED=Y","Sort=A","Dates=H","DateFormat=P","Fill=—","Direction=H","UseDPDF=Y")</f>
        <v>#NAME?</v>
      </c>
      <c r="BA109" s="1" t="e">
        <f ca="1">_xll.BDH($C$103,"TOTAL_DEBT_5_YEAR_GROWTH","FQ1 2015","FQ1 2015","Currency=INR","Period=FQ","BEST_FPERIOD_OVERRIDE=FQ","FILING_STATUS=OR","EQY_CONSOLIDATED=Y","Sort=A","Dates=H","DateFormat=P","Fill=—","Direction=H","UseDPDF=Y")</f>
        <v>#NAME?</v>
      </c>
      <c r="BB109" s="1" t="e">
        <f ca="1">_xll.BDH($C$103,"GEO_GROW_TOT_SHRHLDR_EQY","FQ1 2015","FQ1 2015","Currency=INR","Period=FQ","BEST_FPERIOD_OVERRIDE=FQ","FILING_STATUS=OR","EQY_CONSOLIDATED=Y","Sort=A","Dates=H","DateFormat=P","Fill=—","Direction=H","UseDPDF=Y")</f>
        <v>#NAME?</v>
      </c>
      <c r="BC109" s="1" t="e">
        <f ca="1">_xll.BDH($C$103,"TOTAL_CAPITAL_5_YEAR_GROWTH","FQ1 2015","FQ1 2015","Currency=INR","Period=FQ","BEST_FPERIOD_OVERRIDE=FQ","FILING_STATUS=OR","EQY_CONSOLIDATED=Y","Sort=A","Dates=H","DateFormat=P","Fill=—","Direction=H","UseDPDF=Y")</f>
        <v>#NAME?</v>
      </c>
      <c r="BD109" s="1" t="e">
        <f ca="1">_xll.BDH($C$103,"GEO_GROW_BOOK_VAL","FQ1 2015","FQ1 2015","Currency=INR","Period=FQ","BEST_FPERIOD_OVERRIDE=FQ","FILING_STATUS=OR","EQY_CONSOLIDATED=Y","Sort=A","Dates=H","DateFormat=P","Fill=—","Direction=H","UseDPDF=Y")</f>
        <v>#NAME?</v>
      </c>
      <c r="BE109" s="1" t="e">
        <f ca="1">_xll.BDH($C$103,"GEO_GROW_CASH_OPER_ACT","FQ1 2015","FQ1 2015","Currency=INR","Period=FQ","BEST_FPERIOD_OVERRIDE=FQ","FILING_STATUS=OR","EQY_CONSOLIDATED=Y","Sort=A","Dates=H","DateFormat=P","Fill=—","Direction=H","UseDPDF=Y")</f>
        <v>#NAME?</v>
      </c>
      <c r="BF109" s="1" t="e">
        <f ca="1">_xll.BDH($C$103,"REVENUE_SEQUENTIAL_GROWTH","FQ1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09" s="1" t="e">
        <f ca="1">_xll.BDH($C$103,"EBITDA_SEQUENTIAL_GROWTH","FQ1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09" s="1" t="e">
        <f ca="1">_xll.BDH($C$103,"OPERATING_INCOME_SEQ_GROWTH","FQ1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09" s="1" t="e">
        <f ca="1">_xll.BDH($C$103,"NET_INCOME_TO_COMMON_SEQ_GROWTH","FQ1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09" s="1" t="e">
        <f ca="1">_xll.BDH($C$103,"EPS_DILUTED_SEQUENTIAL_GROWTH","FQ1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09" s="1" t="e">
        <f ca="1">_xll.BDH($C$103,"DPS_SEQUENTIAL_GROWTH","FQ1 2015","FQ1 2015","Currency=INR","Period=FQ","BEST_FPERIOD_OVERRIDE=FQ","FILING_STATUS=OR","EQY_CONSOLIDATED=Y","Sort=A","Dates=H","DateFormat=P","Fill=—","Direction=H","UseDPDF=Y")</f>
        <v>#NAME?</v>
      </c>
      <c r="BL109" s="1" t="e">
        <f ca="1">_xll.BDH($C$103,"ACCOUNTS_RECEIVABLE_SEQ_GROWTH","FQ1 2015","FQ1 2015","Currency=INR","Period=FQ","BEST_FPERIOD_OVERRIDE=FQ","FILING_STATUS=OR","EQY_CONSOLIDATED=Y","Sort=A","Dates=H","DateFormat=P","Fill=—","Direction=H","UseDPDF=Y")</f>
        <v>#NAME?</v>
      </c>
      <c r="BM109" s="1" t="e">
        <f ca="1">_xll.BDH($C$103,"INVENTORY_SEQUENTIAL_GROWTH","FQ1 2015","FQ1 2015","Currency=INR","Period=FQ","BEST_FPERIOD_OVERRIDE=FQ","FILING_STATUS=OR","EQY_CONSOLIDATED=Y","Sort=A","Dates=H","DateFormat=P","Fill=—","Direction=H","UseDPDF=Y")</f>
        <v>#NAME?</v>
      </c>
      <c r="BN109" s="1" t="e">
        <f ca="1">_xll.BDH($C$103,"FIXED_ASSETS_SEQUENTIAL_GROWTH","FQ1 2015","FQ1 2015","Currency=INR","Period=FQ","BEST_FPERIOD_OVERRIDE=FQ","FILING_STATUS=OR","EQY_CONSOLIDATED=Y","Sort=A","Dates=H","DateFormat=P","Fill=—","Direction=H","UseDPDF=Y")</f>
        <v>#NAME?</v>
      </c>
      <c r="BO109" s="1" t="e">
        <f ca="1">_xll.BDH($C$103,"TOTAL_ASSETS_SEQUENTIAL_GROWTH","FQ1 2015","FQ1 2015","Currency=INR","Period=FQ","BEST_FPERIOD_OVERRIDE=FQ","FILING_STATUS=OR","EQY_CONSOLIDATED=Y","Sort=A","Dates=H","DateFormat=P","Fill=—","Direction=H","UseDPDF=Y")</f>
        <v>#NAME?</v>
      </c>
      <c r="BP109" s="1" t="e">
        <f ca="1">_xll.BDH($C$103,"MODIFIED_WORKING_CPTL_SEQ_GRWTH","FQ1 2015","FQ1 2015","Currency=INR","Period=FQ","BEST_FPERIOD_OVERRIDE=FQ","FILING_STATUS=OR","EQY_CONSOLIDATED=Y","Sort=A","Dates=H","DateFormat=P","Fill=—","Direction=H","UseDPDF=Y")</f>
        <v>#NAME?</v>
      </c>
      <c r="BQ109" s="1" t="e">
        <f ca="1">_xll.BDH($C$103,"WORKING_CAPITAL_SEQ_GROWTH","FQ1 2015","FQ1 2015","Currency=INR","Period=FQ","BEST_FPERIOD_OVERRIDE=FQ","FILING_STATUS=OR","EQY_CONSOLIDATED=Y","Sort=A","Dates=H","DateFormat=P","Fill=—","Direction=H","UseDPDF=Y")</f>
        <v>#NAME?</v>
      </c>
      <c r="BR109" s="1" t="e">
        <f ca="1">_xll.BDH($C$103,"ACCOUNTS_PAYABLE_SEQ_GROWTH","FQ1 2015","FQ1 2015","Currency=INR","Period=FQ","BEST_FPERIOD_OVERRIDE=FQ","FILING_STATUS=OR","EQY_CONSOLIDATED=Y","Sort=A","Dates=H","DateFormat=P","Fill=—","Direction=H","UseDPDF=Y")</f>
        <v>#NAME?</v>
      </c>
      <c r="BS109" s="1" t="e">
        <f ca="1">_xll.BDH($C$103,"ST_DEBT_SEQUENTIAL_GROWTH","FQ1 2015","FQ1 2015","Currency=INR","Period=FQ","BEST_FPERIOD_OVERRIDE=FQ","FILING_STATUS=OR","EQY_CONSOLIDATED=Y","Sort=A","Dates=H","DateFormat=P","Fill=—","Direction=H","UseDPDF=Y")</f>
        <v>#NAME?</v>
      </c>
      <c r="BT109" s="1" t="e">
        <f ca="1">_xll.BDH($C$103,"TOTAL_DEBT_SEQUENTIAL_GROWTH","FQ1 2015","FQ1 2015","Currency=INR","Period=FQ","BEST_FPERIOD_OVERRIDE=FQ","FILING_STATUS=OR","EQY_CONSOLIDATED=Y","Sort=A","Dates=H","DateFormat=P","Fill=—","Direction=H","UseDPDF=Y")</f>
        <v>#NAME?</v>
      </c>
      <c r="BU109" s="1" t="e">
        <f ca="1">_xll.BDH($C$103,"TOTAL_EQUITY_SEQUENTIAL_GROWTH","FQ1 2015","FQ1 2015","Currency=INR","Period=FQ","BEST_FPERIOD_OVERRIDE=FQ","FILING_STATUS=OR","EQY_CONSOLIDATED=Y","Sort=A","Dates=H","DateFormat=P","Fill=—","Direction=H","UseDPDF=Y")</f>
        <v>#NAME?</v>
      </c>
      <c r="BV109" s="1" t="e">
        <f ca="1">_xll.BDH($C$103,"TOTAL_CAPITAL_SEQUENTIAL_GROWTH","FQ1 2015","FQ1 2015","Currency=INR","Period=FQ","BEST_FPERIOD_OVERRIDE=FQ","FILING_STATUS=OR","EQY_CONSOLIDATED=Y","Sort=A","Dates=H","DateFormat=P","Fill=—","Direction=H","UseDPDF=Y")</f>
        <v>#NAME?</v>
      </c>
      <c r="BW109" s="1" t="e">
        <f ca="1">_xll.BDH($C$103,"BPS_SEQUENTIAL_GROWTH","FQ1 2015","FQ1 2015","Currency=INR","Period=FQ","BEST_FPERIOD_OVERRIDE=FQ","FILING_STATUS=OR","EQY_CONSOLIDATED=Y","Sort=A","Dates=H","DateFormat=P","Fill=—","Direction=H","UseDPDF=Y")</f>
        <v>#NAME?</v>
      </c>
      <c r="BX109" s="1" t="e">
        <f ca="1">_xll.BDH($C$103,"CFO_SEQUENTIAL_GROWTH","FQ1 2015","FQ1 2015","Currency=INR","Period=FQ","BEST_FPERIOD_OVERRIDE=FQ","FILING_STATUS=OR","EQY_CONSOLIDATED=Y","Sort=A","Dates=H","DateFormat=P","Fill=—","Direction=H","UseDPDF=Y")</f>
        <v>#NAME?</v>
      </c>
      <c r="BY109" s="2" t="e">
        <f ca="1">_xll.BDH($C$103,"SHORT_AND_LONG_TERM_DEBT","FQ1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09" s="2" t="e">
        <f ca="1">_xll.BDH($C$103,"BS_ST_BORROW","FQ1 2015","FQ1 2015","Currency=INR","Period=FQ","BEST_FPERIOD_OVERRIDE=FQ","FILING_STATUS=OR","EQY_CONSOLIDATED=Y","SCALING_FORMAT=MLN","Sort=A","Dates=H","DateFormat=P","Fill=—","Direction=H","UseDPDF=Y")</f>
        <v>#NAME?</v>
      </c>
      <c r="CA109" s="2" t="e">
        <f ca="1">_xll.BDH($C$103,"BS_LT_BORROW","FQ1 2015","FQ1 2015","Currency=INR","Period=FQ","BEST_FPERIOD_OVERRIDE=FQ","FILING_STATUS=OR","EQY_CONSOLIDATED=Y","SCALING_FORMAT=MLN","Sort=A","Dates=H","DateFormat=P","Fill=—","Direction=H","UseDPDF=Y")</f>
        <v>#NAME?</v>
      </c>
      <c r="CB109" s="1" t="e">
        <f ca="1">_xll.BDH($C$103,"TOT_DEBT_TO_EBITDA","FQ1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09" s="1" t="e">
        <f ca="1">_xll.BDH($C$103,"NET_DEBT_TO_EBITDA","FQ1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09" s="1" t="e">
        <f ca="1">_xll.BDH($C$103,"TOTAL_DEBT_TO_EBIT","FQ1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09" s="1" t="e">
        <f ca="1">_xll.BDH($C$103,"NET_DEBT_TO_EBIT","FQ1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109" s="1" t="e">
        <f ca="1">_xll.BDH($C$103,"EBITDA_TO_INTEREST_EXPN","FQ1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09" s="1" t="e">
        <f ca="1">_xll.BDH($C$103,"COM_EQY_TO_TOT_ASSET","FQ1 2015","FQ1 2015","Currency=INR","Period=FQ","BEST_FPERIOD_OVERRIDE=FQ","FILING_STATUS=OR","EQY_CONSOLIDATED=Y","Sort=A","Dates=H","DateFormat=P","Fill=—","Direction=H","UseDPDF=Y")</f>
        <v>#NAME?</v>
      </c>
      <c r="CH109" s="1" t="e">
        <f ca="1">_xll.BDH($C$103,"LT_DEBT_TO_TOT_EQY","FQ1 2015","FQ1 2015","Currency=INR","Period=FQ","BEST_FPERIOD_OVERRIDE=FQ","FILING_STATUS=OR","EQY_CONSOLIDATED=Y","Sort=A","Dates=H","DateFormat=P","Fill=—","Direction=H","UseDPDF=Y")</f>
        <v>#NAME?</v>
      </c>
      <c r="CI109" s="1" t="e">
        <f ca="1">_xll.BDH($C$103,"LT_DEBT_TO_TOT_CAP","FQ1 2015","FQ1 2015","Currency=INR","Period=FQ","BEST_FPERIOD_OVERRIDE=FQ","FILING_STATUS=OR","EQY_CONSOLIDATED=Y","Sort=A","Dates=H","DateFormat=P","Fill=—","Direction=H","UseDPDF=Y")</f>
        <v>#NAME?</v>
      </c>
      <c r="CJ109" s="1" t="e">
        <f ca="1">_xll.BDH($C$103,"LT_DEBT_TO_TOT_ASSET","FQ1 2015","FQ1 2015","Currency=INR","Period=FQ","BEST_FPERIOD_OVERRIDE=FQ","FILING_STATUS=OR","EQY_CONSOLIDATED=Y","Sort=A","Dates=H","DateFormat=P","Fill=—","Direction=H","UseDPDF=Y")</f>
        <v>#NAME?</v>
      </c>
      <c r="CK109" s="1" t="e">
        <f ca="1">_xll.BDH($C$103,"TOT_DEBT_TO_TOT_EQY","FQ1 2015","FQ1 2015","Currency=INR","Period=FQ","BEST_FPERIOD_OVERRIDE=FQ","FILING_STATUS=OR","EQY_CONSOLIDATED=Y","Sort=A","Dates=H","DateFormat=P","Fill=—","Direction=H","UseDPDF=Y")</f>
        <v>#NAME?</v>
      </c>
      <c r="CL109" s="1" t="e">
        <f ca="1">_xll.BDH($C$103,"TOT_DEBT_TO_TOT_CAP","FQ1 2015","FQ1 2015","Currency=INR","Period=FQ","BEST_FPERIOD_OVERRIDE=FQ","FILING_STATUS=OR","EQY_CONSOLIDATED=Y","Sort=A","Dates=H","DateFormat=P","Fill=—","Direction=H","UseDPDF=Y")</f>
        <v>#NAME?</v>
      </c>
      <c r="CM109" s="1" t="e">
        <f ca="1">_xll.BDH($C$103,"TOT_DEBT_TO_TOT_ASSET","FQ1 2015","FQ1 2015","Currency=INR","Period=FQ","BEST_FPERIOD_OVERRIDE=FQ","FILING_STATUS=OR","EQY_CONSOLIDATED=Y","Sort=A","Dates=H","DateFormat=P","Fill=—","Direction=H","UseDPDF=Y")</f>
        <v>#NAME?</v>
      </c>
      <c r="CN109" s="1" t="e">
        <f ca="1">_xll.BDH($C$103,"NET_DEBT_TO_SHRHLDR_EQTY","FQ1 2015","FQ1 2015","Currency=INR","Period=FQ","BEST_FPERIOD_OVERRIDE=FQ","FILING_STATUS=OR","EQY_CONSOLIDATED=Y","Sort=A","Dates=H","DateFormat=P","Fill=—","Direction=H","UseDPDF=Y")</f>
        <v>#NAME?</v>
      </c>
      <c r="CO109" s="1" t="e">
        <f ca="1">_xll.BDH($C$103,"NET_DEBT_%_CAPITAL","FQ1 2015","FQ1 2015","Currency=INR","Period=FQ","BEST_FPERIOD_OVERRIDE=FQ","FILING_STATUS=OR","EQY_CONSOLIDATED=Y","Sort=A","Dates=H","DateFormat=P","Fill=—","Direction=H","UseDPDF=Y")</f>
        <v>#NAME?</v>
      </c>
      <c r="CP109" s="2" t="e">
        <f ca="1">_xll.BDH($C$103,"EBITDA","FQ1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09" s="2" t="e">
        <f ca="1">_xll.BDH($C$103,"EBITDA_AFTER_CAPEX","FQ1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09" s="2" t="e">
        <f ca="1">_xll.BDH($C$103,"IS_OPER_INC","FQ1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09" s="1" t="e">
        <f ca="1">_xll.BDH($C$103,"CASH_RATIO","FQ1 2015","FQ1 2015","Currency=INR","Period=FQ","BEST_FPERIOD_OVERRIDE=FQ","FILING_STATUS=OR","EQY_CONSOLIDATED=Y","Sort=A","Dates=H","DateFormat=P","Fill=—","Direction=H","UseDPDF=Y")</f>
        <v>#NAME?</v>
      </c>
      <c r="CT109" s="1" t="e">
        <f ca="1">_xll.BDH($C$103,"CUR_RATIO","FQ1 2015","FQ1 2015","Currency=INR","Period=FQ","BEST_FPERIOD_OVERRIDE=FQ","FILING_STATUS=OR","EQY_CONSOLIDATED=Y","Sort=A","Dates=H","DateFormat=P","Fill=—","Direction=H","UseDPDF=Y")</f>
        <v>#NAME?</v>
      </c>
      <c r="CU109" s="1" t="e">
        <f ca="1">_xll.BDH($C$103,"QUICK_RATIO","FQ1 2015","FQ1 2015","Currency=INR","Period=FQ","BEST_FPERIOD_OVERRIDE=FQ","FILING_STATUS=OR","EQY_CONSOLIDATED=Y","Sort=A","Dates=H","DateFormat=P","Fill=—","Direction=H","UseDPDF=Y")</f>
        <v>#NAME?</v>
      </c>
      <c r="CV109" s="1" t="e">
        <f ca="1">_xll.BDH($C$103,"ALTMAN_Z_SCORE","FQ1 2015","FQ1 2015","Currency=INR","Period=FQ","BEST_FPERIOD_OVERRIDE=FQ","FILING_STATUS=OR","EQY_CONSOLIDATED=Y","Sort=A","Dates=H","DateFormat=P","Fill=—","Direction=H","UseDPDF=Y")</f>
        <v>#NAME?</v>
      </c>
      <c r="CW109" s="3" t="e">
        <f ca="1">_xll.BDH($C$103,"ACCT_RCV_TURN","FQ1 2015","FQ1 2015","Currency=INR","Period=FQ","BEST_FPERIOD_OVERRIDE=FQ","FILING_STATUS=OR","EQY_CONSOLIDATED=Y","FA_ADJUSTED=GAAP","Sort=A","Dates=H","DateFormat=P","Fill=—","Direction=H","UseDPDF=Y")</f>
        <v>#NAME?</v>
      </c>
      <c r="CX109" s="1" t="e">
        <f ca="1">_xll.BDH($C$103,"ACCT_RCV_DAYS","FQ1 2015","FQ1 2015","Currency=INR","Period=FQ","BEST_FPERIOD_OVERRIDE=FQ","FILING_STATUS=OR","EQY_CONSOLIDATED=Y","FA_ADJUSTED=GAAP","Sort=A","Dates=H","DateFormat=P","Fill=—","Direction=H","UseDPDF=Y")</f>
        <v>#NAME?</v>
      </c>
      <c r="CY109" s="3" t="e">
        <f ca="1">_xll.BDH($C$103,"INVENT_TURN","FQ1 2015","FQ1 2015","Currency=INR","Period=FQ","BEST_FPERIOD_OVERRIDE=FQ","FILING_STATUS=OR","EQY_CONSOLIDATED=Y","FA_ADJUSTED=GAAP","Sort=A","Dates=H","DateFormat=P","Fill=—","Direction=H","UseDPDF=Y")</f>
        <v>#NAME?</v>
      </c>
      <c r="CZ109" s="1" t="e">
        <f ca="1">_xll.BDH($C$103,"INVENT_DAYS","FQ1 2015","FQ1 2015","Currency=INR","Period=FQ","BEST_FPERIOD_OVERRIDE=FQ","FILING_STATUS=OR","EQY_CONSOLIDATED=Y","FA_ADJUSTED=GAAP","Sort=A","Dates=H","DateFormat=P","Fill=—","Direction=H","UseDPDF=Y")</f>
        <v>#NAME?</v>
      </c>
      <c r="DA109" s="3" t="e">
        <f ca="1">_xll.BDH($C$103,"ACCOUNTS_PAYABLE_TURNOVER","FQ1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09" s="1" t="e">
        <f ca="1">_xll.BDH($C$103,"ACCOUNTS_PAYABLE_TURNOVER_DAYS","FQ1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09" s="3" t="e">
        <f ca="1">_xll.BDH($C$103,"CASH_CONVERSION_CYCLE","FQ1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09" s="3" t="e">
        <f ca="1">_xll.BDH($C$103,"INV_TO_CASH_DAYS","FQ1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109" s="4" t="e">
        <f ca="1">_xll.BDH($C$103,"BS_INVENTORIES","FQ1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109" s="2" t="e">
        <f ca="1">_xll.BDH($C$103,"INVTRY_RAW_MATERIALS","FQ1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09" s="2" t="e">
        <f ca="1">_xll.BDH($C$103,"INVTRY_IN_PROGRESS","FQ1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09" s="2" t="e">
        <f ca="1">_xll.BDH($C$103,"INVTRY_FINISHED_GOODS","FQ1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09" s="2" t="e">
        <f ca="1">_xll.BDH($C$103,"BS_OTHER_INV","FQ1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10" spans="1:113" x14ac:dyDescent="0.3">
      <c r="A110" s="6"/>
      <c r="B110" s="6"/>
      <c r="C110" s="6"/>
      <c r="D110" s="6"/>
      <c r="E110" t="s">
        <v>5</v>
      </c>
      <c r="F110" t="e">
        <f ca="1">_xll.BDH($C$103,"RETURN_COM_EQY","FQ2 2015","FQ2 2015","Currency=INR","Period=FQ","BEST_FPERIOD_OVERRIDE=FQ","FILING_STATUS=OR","EQY_CONSOLIDATED=Y","FA_ADJUSTED=GAAP","Sort=A","Dates=H","DateFormat=P","Fill=—","Direction=H","UseDPDF=Y")</f>
        <v>#NAME?</v>
      </c>
      <c r="G110" t="e">
        <f ca="1">_xll.BDH($C$103,"RETURN_ON_ASSET","FQ2 2015","FQ2 2015","Currency=INR","Period=FQ","BEST_FPERIOD_OVERRIDE=FQ","FILING_STATUS=OR","EQY_CONSOLIDATED=Y","FA_ADJUSTED=GAAP","Sort=A","Dates=H","DateFormat=P","Fill=—","Direction=H","UseDPDF=Y")</f>
        <v>#NAME?</v>
      </c>
      <c r="H110" t="e">
        <f ca="1">_xll.BDH($C$103,"RETURN_ON_CAP","FQ2 2015","FQ2 2015","Currency=INR","Period=FQ","BEST_FPERIOD_OVERRIDE=FQ","FILING_STATUS=OR","EQY_CONSOLIDATED=Y","FA_ADJUSTED=GAAP","Sort=A","Dates=H","DateFormat=P","Fill=—","Direction=H","UseDPDF=Y")</f>
        <v>#NAME?</v>
      </c>
      <c r="I110" t="e">
        <f ca="1">_xll.BDH($C$103,"RETURN_ON_INV_CAPITAL","FQ2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10" t="e">
        <f ca="1">_xll.BDH($C$103,"EBITDA_TO_REVENUE","FQ2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110" t="e">
        <f ca="1">_xll.BDH($C$103,"OPER_MARGIN","FQ2 2015","FQ2 2015","Currency=INR","Period=FQ","BEST_FPERIOD_OVERRIDE=FQ","FILING_STATUS=OR","EQY_CONSOLIDATED=Y","FA_ADJUSTED=GAAP","Sort=A","Dates=H","DateFormat=P","Fill=—","Direction=H","UseDPDF=Y")</f>
        <v>#NAME?</v>
      </c>
      <c r="L110" t="e">
        <f ca="1">_xll.BDH($C$103,"INCREMENTAL_OPERATING_MARGIN","FQ2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10" t="e">
        <f ca="1">_xll.BDH($C$103,"PRETAX_INC_TO_NET_SALES","FQ2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10" t="e">
        <f ca="1">_xll.BDH($C$103,"INC_BEF_XO_ITEMS_TO_NET_SALES","FQ2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10" t="e">
        <f ca="1">_xll.BDH($C$103,"PROF_MARGIN","FQ2 2015","FQ2 2015","Currency=INR","Period=FQ","BEST_FPERIOD_OVERRIDE=FQ","FILING_STATUS=OR","EQY_CONSOLIDATED=Y","FA_ADJUSTED=GAAP","Sort=A","Dates=H","DateFormat=P","Fill=—","Direction=H","UseDPDF=Y")</f>
        <v>#NAME?</v>
      </c>
      <c r="P110" t="e">
        <f ca="1">_xll.BDH($C$103,"NET_INCOME_TO_COMMON_MARGIN","FQ2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10" t="e">
        <f ca="1">_xll.BDH($C$103,"EFF_TAX_RATE","FQ2 2015","FQ2 2015","Currency=INR","Period=FQ","BEST_FPERIOD_OVERRIDE=FQ","FILING_STATUS=OR","EQY_CONSOLIDATED=Y","FA_ADJUSTED=GAAP","Sort=A","Dates=H","DateFormat=P","Fill=—","Direction=H","UseDPDF=Y")</f>
        <v>#NAME?</v>
      </c>
      <c r="R110" t="e">
        <f ca="1">_xll.BDH($C$103,"DVD_PAYOUT_RATIO","FQ2 2015","FQ2 2015","Currency=INR","Period=FQ","BEST_FPERIOD_OVERRIDE=FQ","FILING_STATUS=OR","EQY_CONSOLIDATED=Y","FA_ADJUSTED=GAAP","Sort=A","Dates=H","DateFormat=P","Fill=—","Direction=H","UseDPDF=Y")</f>
        <v>#NAME?</v>
      </c>
      <c r="S110" t="e">
        <f ca="1">_xll.BDH($C$103,"SUSTAIN_GROWTH_RT","FQ2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110" s="1" t="e">
        <f ca="1">_xll.BDH($C$103,"SALES_GROWTH","FQ2 2015","FQ2 2015","Currency=INR","Period=FQ","BEST_FPERIOD_OVERRIDE=FQ","FILING_STATUS=OR","EQY_CONSOLIDATED=Y","FA_ADJUSTED=GAAP","Sort=A","Dates=H","DateFormat=P","Fill=—","Direction=H","UseDPDF=Y")</f>
        <v>#NAME?</v>
      </c>
      <c r="U110" s="1" t="e">
        <f ca="1">_xll.BDH($C$103,"EBITDA_GROWTH","FQ2 2015","FQ2 2015","Currency=INR","Period=FQ","BEST_FPERIOD_OVERRIDE=FQ","FILING_STATUS=OR","EQY_CONSOLIDATED=Y","FA_ADJUSTED=GAAP","Sort=A","Dates=H","DateFormat=P","Fill=—","Direction=H","UseDPDF=Y")</f>
        <v>#NAME?</v>
      </c>
      <c r="V110" s="1" t="e">
        <f ca="1">_xll.BDH($C$103,"OPER_INC_GROWTH","FQ2 2015","FQ2 2015","Currency=INR","Period=FQ","BEST_FPERIOD_OVERRIDE=FQ","FILING_STATUS=OR","EQY_CONSOLIDATED=Y","FA_ADJUSTED=GAAP","Sort=A","Dates=H","DateFormat=P","Fill=—","Direction=H","UseDPDF=Y")</f>
        <v>#NAME?</v>
      </c>
      <c r="W110" s="1" t="e">
        <f ca="1">_xll.BDH($C$103,"EARN_FOR_COM_GROWTH","FQ2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10" s="1" t="e">
        <f ca="1">_xll.BDH($C$103,"DILUTED_EPS_AFT_XO_ITEMS_GROWTH","FQ2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10" s="1" t="e">
        <f ca="1">_xll.BDH($C$103,"DIVIDEND_PER_SHARE_1_YEAR_GROWTH","FQ2 2015","FQ2 2015","Currency=INR","Period=FQ","BEST_FPERIOD_OVERRIDE=FQ","FILING_STATUS=OR","EQY_CONSOLIDATED=Y","Sort=A","Dates=H","DateFormat=P","Fill=—","Direction=H","UseDPDF=Y")</f>
        <v>#NAME?</v>
      </c>
      <c r="Z110" s="1" t="e">
        <f ca="1">_xll.BDH($C$103,"ACCOUNTS_RECEIVABLE_GROWTH","FQ2 2015","FQ2 2015","Currency=INR","Period=FQ","BEST_FPERIOD_OVERRIDE=FQ","FILING_STATUS=OR","EQY_CONSOLIDATED=Y","Sort=A","Dates=H","DateFormat=P","Fill=—","Direction=H","UseDPDF=Y")</f>
        <v>#NAME?</v>
      </c>
      <c r="AA110" s="1" t="e">
        <f ca="1">_xll.BDH($C$103,"INVENTORY_GROWTH","FQ2 2015","FQ2 2015","Currency=INR","Period=FQ","BEST_FPERIOD_OVERRIDE=FQ","FILING_STATUS=OR","EQY_CONSOLIDATED=Y","Sort=A","Dates=H","DateFormat=P","Fill=—","Direction=H","UseDPDF=Y")</f>
        <v>#NAME?</v>
      </c>
      <c r="AB110" s="1" t="e">
        <f ca="1">_xll.BDH($C$103,"NET_FIXED_ASSETS_1_YEAR_GROWTH","FQ2 2015","FQ2 2015","Currency=INR","Period=FQ","BEST_FPERIOD_OVERRIDE=FQ","FILING_STATUS=OR","EQY_CONSOLIDATED=Y","Sort=A","Dates=H","DateFormat=P","Fill=—","Direction=H","UseDPDF=Y")</f>
        <v>#NAME?</v>
      </c>
      <c r="AC110" s="1" t="e">
        <f ca="1">_xll.BDH($C$103,"ASSET_GROWTH","FQ2 2015","FQ2 2015","Currency=INR","Period=FQ","BEST_FPERIOD_OVERRIDE=FQ","FILING_STATUS=OR","EQY_CONSOLIDATED=Y","Sort=A","Dates=H","DateFormat=P","Fill=—","Direction=H","UseDPDF=Y")</f>
        <v>#NAME?</v>
      </c>
      <c r="AD110" s="1" t="e">
        <f ca="1">_xll.BDH($C$103,"MODIFIED_WORK_CAP_GROWTH","FQ2 2015","FQ2 2015","Currency=INR","Period=FQ","BEST_FPERIOD_OVERRIDE=FQ","FILING_STATUS=OR","EQY_CONSOLIDATED=Y","Sort=A","Dates=H","DateFormat=P","Fill=—","Direction=H","UseDPDF=Y")</f>
        <v>#NAME?</v>
      </c>
      <c r="AE110" s="1" t="e">
        <f ca="1">_xll.BDH($C$103,"WORK_CAP_GROWTH","FQ2 2015","FQ2 2015","Currency=INR","Period=FQ","BEST_FPERIOD_OVERRIDE=FQ","FILING_STATUS=OR","EQY_CONSOLIDATED=Y","Sort=A","Dates=H","DateFormat=P","Fill=—","Direction=H","UseDPDF=Y")</f>
        <v>#NAME?</v>
      </c>
      <c r="AF110" s="1" t="e">
        <f ca="1">_xll.BDH($C$103,"ACCOUNTS_PAYABLE_GROWTH_1YR","FQ2 2015","FQ2 2015","Currency=INR","Period=FQ","BEST_FPERIOD_OVERRIDE=FQ","FILING_STATUS=OR","EQY_CONSOLIDATED=Y","Sort=A","Dates=H","DateFormat=P","Fill=—","Direction=H","UseDPDF=Y")</f>
        <v>#NAME?</v>
      </c>
      <c r="AG110" s="1" t="e">
        <f ca="1">_xll.BDH($C$103,"SHORT_TERM_DEBT_1_YEAR_GROWTH","FQ2 2015","FQ2 2015","Currency=INR","Period=FQ","BEST_FPERIOD_OVERRIDE=FQ","FILING_STATUS=OR","EQY_CONSOLIDATED=Y","Sort=A","Dates=H","DateFormat=P","Fill=—","Direction=H","UseDPDF=Y")</f>
        <v>#NAME?</v>
      </c>
      <c r="AH110" s="1" t="e">
        <f ca="1">_xll.BDH($C$103,"TOTAL_DEBT_1_YEAR_GROWTH","FQ2 2015","FQ2 2015","Currency=INR","Period=FQ","BEST_FPERIOD_OVERRIDE=FQ","FILING_STATUS=OR","EQY_CONSOLIDATED=Y","Sort=A","Dates=H","DateFormat=P","Fill=—","Direction=H","UseDPDF=Y")</f>
        <v>#NAME?</v>
      </c>
      <c r="AI110" s="1" t="e">
        <f ca="1">_xll.BDH($C$103,"TOTAL_EQUITY_1_YEAR_GROWTH","FQ2 2015","FQ2 2015","Currency=INR","Period=FQ","BEST_FPERIOD_OVERRIDE=FQ","FILING_STATUS=OR","EQY_CONSOLIDATED=Y","Sort=A","Dates=H","DateFormat=P","Fill=—","Direction=H","UseDPDF=Y")</f>
        <v>#NAME?</v>
      </c>
      <c r="AJ110" s="1" t="e">
        <f ca="1">_xll.BDH($C$103,"GROWTH_IN_CAP","FQ2 2015","FQ2 2015","Currency=INR","Period=FQ","BEST_FPERIOD_OVERRIDE=FQ","FILING_STATUS=OR","EQY_CONSOLIDATED=Y","Sort=A","Dates=H","DateFormat=P","Fill=—","Direction=H","UseDPDF=Y")</f>
        <v>#NAME?</v>
      </c>
      <c r="AK110" s="1" t="e">
        <f ca="1">_xll.BDH($C$103,"BVPS_GROWTH","FQ2 2015","FQ2 2015","Currency=INR","Period=FQ","BEST_FPERIOD_OVERRIDE=FQ","FILING_STATUS=OR","EQY_CONSOLIDATED=Y","Sort=A","Dates=H","DateFormat=P","Fill=—","Direction=H","UseDPDF=Y")</f>
        <v>#NAME?</v>
      </c>
      <c r="AL110" s="1" t="e">
        <f ca="1">_xll.BDH($C$103,"CASH_FLOW_GROWTH","FQ2 2015","FQ2 2015","Currency=INR","Period=FQ","BEST_FPERIOD_OVERRIDE=FQ","FILING_STATUS=OR","EQY_CONSOLIDATED=Y","Sort=A","Dates=H","DateFormat=P","Fill=—","Direction=H","UseDPDF=Y")</f>
        <v>#NAME?</v>
      </c>
      <c r="AM110" s="1" t="e">
        <f ca="1">_xll.BDH($C$103,"GEO_GROW_NET_SALES","FQ2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10" s="1" t="e">
        <f ca="1">_xll.BDH($C$103,"GEO_GROW_EBITDA","FQ2 2015","FQ2 2015","Currency=INR","Period=FQ","BEST_FPERIOD_OVERRIDE=FQ","FILING_STATUS=OR","EQY_CONSOLIDATED=Y","FA_ADJUSTED=GAAP","Sort=A","Dates=H","DateFormat=P","Fill=—","Direction=H","UseDPDF=Y")</f>
        <v>#NAME?</v>
      </c>
      <c r="AO110" s="1" t="e">
        <f ca="1">_xll.BDH($C$103,"GEO_GROW_OPER_INC","FQ2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10" s="1" t="e">
        <f ca="1">_xll.BDH($C$103,"NET_INCOME_TO_COMMON_5_YR_GROWTH","FQ2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10" s="1" t="e">
        <f ca="1">_xll.BDH($C$103,"5Y_GEO_GROWTH_DILUTED_EPS","FQ2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10" s="1" t="e">
        <f ca="1">_xll.BDH($C$103,"GEO_GROW_DVD_PER_SH","FQ2 2015","FQ2 2015","Currency=INR","Period=FQ","BEST_FPERIOD_OVERRIDE=FQ","FILING_STATUS=OR","EQY_CONSOLIDATED=Y","Sort=A","Dates=H","DateFormat=P","Fill=—","Direction=H","UseDPDF=Y")</f>
        <v>#NAME?</v>
      </c>
      <c r="AS110" s="1" t="e">
        <f ca="1">_xll.BDH($C$103,"ACCOUNTS_RECEIVABLE_5_YR_GROWTH","FQ2 2015","FQ2 2015","Currency=INR","Period=FQ","BEST_FPERIOD_OVERRIDE=FQ","FILING_STATUS=OR","EQY_CONSOLIDATED=Y","Sort=A","Dates=H","DateFormat=P","Fill=—","Direction=H","UseDPDF=Y")</f>
        <v>#NAME?</v>
      </c>
      <c r="AT110" s="1" t="e">
        <f ca="1">_xll.BDH($C$103,"INVENTORY_5_YEAR_GROWTH","FQ2 2015","FQ2 2015","Currency=INR","Period=FQ","BEST_FPERIOD_OVERRIDE=FQ","FILING_STATUS=OR","EQY_CONSOLIDATED=Y","Sort=A","Dates=H","DateFormat=P","Fill=—","Direction=H","UseDPDF=Y")</f>
        <v>#NAME?</v>
      </c>
      <c r="AU110" s="1" t="e">
        <f ca="1">_xll.BDH($C$103,"NET_FIXED_ASSETS_5_YEAR_GROWTH","FQ2 2015","FQ2 2015","Currency=INR","Period=FQ","BEST_FPERIOD_OVERRIDE=FQ","FILING_STATUS=OR","EQY_CONSOLIDATED=Y","Sort=A","Dates=H","DateFormat=P","Fill=—","Direction=H","UseDPDF=Y")</f>
        <v>#NAME?</v>
      </c>
      <c r="AV110" s="1" t="e">
        <f ca="1">_xll.BDH($C$103,"GEO_GROW_TOT_ASSET","FQ2 2015","FQ2 2015","Currency=INR","Period=FQ","BEST_FPERIOD_OVERRIDE=FQ","FILING_STATUS=OR","EQY_CONSOLIDATED=Y","Sort=A","Dates=H","DateFormat=P","Fill=—","Direction=H","UseDPDF=Y")</f>
        <v>#NAME?</v>
      </c>
      <c r="AW110" s="1" t="e">
        <f ca="1">_xll.BDH($C$103,"MODIFIED_WORKING_CPTL_5YR_GRWTH","FQ2 2015","FQ2 2015","Currency=INR","Period=FQ","BEST_FPERIOD_OVERRIDE=FQ","FILING_STATUS=OR","EQY_CONSOLIDATED=Y","Sort=A","Dates=H","DateFormat=P","Fill=—","Direction=H","UseDPDF=Y")</f>
        <v>#NAME?</v>
      </c>
      <c r="AX110" s="1" t="e">
        <f ca="1">_xll.BDH($C$103,"WORKING_CAPITAL_5_YEAR_GROWTH","FQ2 2015","FQ2 2015","Currency=INR","Period=FQ","BEST_FPERIOD_OVERRIDE=FQ","FILING_STATUS=OR","EQY_CONSOLIDATED=Y","Sort=A","Dates=H","DateFormat=P","Fill=—","Direction=H","UseDPDF=Y")</f>
        <v>#NAME?</v>
      </c>
      <c r="AY110" s="1" t="e">
        <f ca="1">_xll.BDH($C$103,"ACCOUNTS_PAYABLE_5_YEAR_GROWTH","FQ2 2015","FQ2 2015","Currency=INR","Period=FQ","BEST_FPERIOD_OVERRIDE=FQ","FILING_STATUS=OR","EQY_CONSOLIDATED=Y","Sort=A","Dates=H","DateFormat=P","Fill=—","Direction=H","UseDPDF=Y")</f>
        <v>#NAME?</v>
      </c>
      <c r="AZ110" s="1" t="e">
        <f ca="1">_xll.BDH($C$103,"SHORT_TERM_DEBT_5_YEAR_GROWTH","FQ2 2015","FQ2 2015","Currency=INR","Period=FQ","BEST_FPERIOD_OVERRIDE=FQ","FILING_STATUS=OR","EQY_CONSOLIDATED=Y","Sort=A","Dates=H","DateFormat=P","Fill=—","Direction=H","UseDPDF=Y")</f>
        <v>#NAME?</v>
      </c>
      <c r="BA110" s="1" t="e">
        <f ca="1">_xll.BDH($C$103,"TOTAL_DEBT_5_YEAR_GROWTH","FQ2 2015","FQ2 2015","Currency=INR","Period=FQ","BEST_FPERIOD_OVERRIDE=FQ","FILING_STATUS=OR","EQY_CONSOLIDATED=Y","Sort=A","Dates=H","DateFormat=P","Fill=—","Direction=H","UseDPDF=Y")</f>
        <v>#NAME?</v>
      </c>
      <c r="BB110" s="1" t="e">
        <f ca="1">_xll.BDH($C$103,"GEO_GROW_TOT_SHRHLDR_EQY","FQ2 2015","FQ2 2015","Currency=INR","Period=FQ","BEST_FPERIOD_OVERRIDE=FQ","FILING_STATUS=OR","EQY_CONSOLIDATED=Y","Sort=A","Dates=H","DateFormat=P","Fill=—","Direction=H","UseDPDF=Y")</f>
        <v>#NAME?</v>
      </c>
      <c r="BC110" s="1" t="e">
        <f ca="1">_xll.BDH($C$103,"TOTAL_CAPITAL_5_YEAR_GROWTH","FQ2 2015","FQ2 2015","Currency=INR","Period=FQ","BEST_FPERIOD_OVERRIDE=FQ","FILING_STATUS=OR","EQY_CONSOLIDATED=Y","Sort=A","Dates=H","DateFormat=P","Fill=—","Direction=H","UseDPDF=Y")</f>
        <v>#NAME?</v>
      </c>
      <c r="BD110" s="1" t="e">
        <f ca="1">_xll.BDH($C$103,"GEO_GROW_BOOK_VAL","FQ2 2015","FQ2 2015","Currency=INR","Period=FQ","BEST_FPERIOD_OVERRIDE=FQ","FILING_STATUS=OR","EQY_CONSOLIDATED=Y","Sort=A","Dates=H","DateFormat=P","Fill=—","Direction=H","UseDPDF=Y")</f>
        <v>#NAME?</v>
      </c>
      <c r="BE110" s="1" t="e">
        <f ca="1">_xll.BDH($C$103,"GEO_GROW_CASH_OPER_ACT","FQ2 2015","FQ2 2015","Currency=INR","Period=FQ","BEST_FPERIOD_OVERRIDE=FQ","FILING_STATUS=OR","EQY_CONSOLIDATED=Y","Sort=A","Dates=H","DateFormat=P","Fill=—","Direction=H","UseDPDF=Y")</f>
        <v>#NAME?</v>
      </c>
      <c r="BF110" s="1" t="e">
        <f ca="1">_xll.BDH($C$103,"REVENUE_SEQUENTIAL_GROWTH","FQ2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10" s="1" t="e">
        <f ca="1">_xll.BDH($C$103,"EBITDA_SEQUENTIAL_GROWTH","FQ2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10" s="1" t="e">
        <f ca="1">_xll.BDH($C$103,"OPERATING_INCOME_SEQ_GROWTH","FQ2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10" s="1" t="e">
        <f ca="1">_xll.BDH($C$103,"NET_INCOME_TO_COMMON_SEQ_GROWTH","FQ2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10" s="1" t="e">
        <f ca="1">_xll.BDH($C$103,"EPS_DILUTED_SEQUENTIAL_GROWTH","FQ2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10" s="1" t="e">
        <f ca="1">_xll.BDH($C$103,"DPS_SEQUENTIAL_GROWTH","FQ2 2015","FQ2 2015","Currency=INR","Period=FQ","BEST_FPERIOD_OVERRIDE=FQ","FILING_STATUS=OR","EQY_CONSOLIDATED=Y","Sort=A","Dates=H","DateFormat=P","Fill=—","Direction=H","UseDPDF=Y")</f>
        <v>#NAME?</v>
      </c>
      <c r="BL110" s="1" t="e">
        <f ca="1">_xll.BDH($C$103,"ACCOUNTS_RECEIVABLE_SEQ_GROWTH","FQ2 2015","FQ2 2015","Currency=INR","Period=FQ","BEST_FPERIOD_OVERRIDE=FQ","FILING_STATUS=OR","EQY_CONSOLIDATED=Y","Sort=A","Dates=H","DateFormat=P","Fill=—","Direction=H","UseDPDF=Y")</f>
        <v>#NAME?</v>
      </c>
      <c r="BM110" s="1" t="e">
        <f ca="1">_xll.BDH($C$103,"INVENTORY_SEQUENTIAL_GROWTH","FQ2 2015","FQ2 2015","Currency=INR","Period=FQ","BEST_FPERIOD_OVERRIDE=FQ","FILING_STATUS=OR","EQY_CONSOLIDATED=Y","Sort=A","Dates=H","DateFormat=P","Fill=—","Direction=H","UseDPDF=Y")</f>
        <v>#NAME?</v>
      </c>
      <c r="BN110" s="1" t="e">
        <f ca="1">_xll.BDH($C$103,"FIXED_ASSETS_SEQUENTIAL_GROWTH","FQ2 2015","FQ2 2015","Currency=INR","Period=FQ","BEST_FPERIOD_OVERRIDE=FQ","FILING_STATUS=OR","EQY_CONSOLIDATED=Y","Sort=A","Dates=H","DateFormat=P","Fill=—","Direction=H","UseDPDF=Y")</f>
        <v>#NAME?</v>
      </c>
      <c r="BO110" s="1" t="e">
        <f ca="1">_xll.BDH($C$103,"TOTAL_ASSETS_SEQUENTIAL_GROWTH","FQ2 2015","FQ2 2015","Currency=INR","Period=FQ","BEST_FPERIOD_OVERRIDE=FQ","FILING_STATUS=OR","EQY_CONSOLIDATED=Y","Sort=A","Dates=H","DateFormat=P","Fill=—","Direction=H","UseDPDF=Y")</f>
        <v>#NAME?</v>
      </c>
      <c r="BP110" s="1" t="e">
        <f ca="1">_xll.BDH($C$103,"MODIFIED_WORKING_CPTL_SEQ_GRWTH","FQ2 2015","FQ2 2015","Currency=INR","Period=FQ","BEST_FPERIOD_OVERRIDE=FQ","FILING_STATUS=OR","EQY_CONSOLIDATED=Y","Sort=A","Dates=H","DateFormat=P","Fill=—","Direction=H","UseDPDF=Y")</f>
        <v>#NAME?</v>
      </c>
      <c r="BQ110" s="1" t="e">
        <f ca="1">_xll.BDH($C$103,"WORKING_CAPITAL_SEQ_GROWTH","FQ2 2015","FQ2 2015","Currency=INR","Period=FQ","BEST_FPERIOD_OVERRIDE=FQ","FILING_STATUS=OR","EQY_CONSOLIDATED=Y","Sort=A","Dates=H","DateFormat=P","Fill=—","Direction=H","UseDPDF=Y")</f>
        <v>#NAME?</v>
      </c>
      <c r="BR110" s="1" t="e">
        <f ca="1">_xll.BDH($C$103,"ACCOUNTS_PAYABLE_SEQ_GROWTH","FQ2 2015","FQ2 2015","Currency=INR","Period=FQ","BEST_FPERIOD_OVERRIDE=FQ","FILING_STATUS=OR","EQY_CONSOLIDATED=Y","Sort=A","Dates=H","DateFormat=P","Fill=—","Direction=H","UseDPDF=Y")</f>
        <v>#NAME?</v>
      </c>
      <c r="BS110" s="1" t="e">
        <f ca="1">_xll.BDH($C$103,"ST_DEBT_SEQUENTIAL_GROWTH","FQ2 2015","FQ2 2015","Currency=INR","Period=FQ","BEST_FPERIOD_OVERRIDE=FQ","FILING_STATUS=OR","EQY_CONSOLIDATED=Y","Sort=A","Dates=H","DateFormat=P","Fill=—","Direction=H","UseDPDF=Y")</f>
        <v>#NAME?</v>
      </c>
      <c r="BT110" s="1" t="e">
        <f ca="1">_xll.BDH($C$103,"TOTAL_DEBT_SEQUENTIAL_GROWTH","FQ2 2015","FQ2 2015","Currency=INR","Period=FQ","BEST_FPERIOD_OVERRIDE=FQ","FILING_STATUS=OR","EQY_CONSOLIDATED=Y","Sort=A","Dates=H","DateFormat=P","Fill=—","Direction=H","UseDPDF=Y")</f>
        <v>#NAME?</v>
      </c>
      <c r="BU110" s="1" t="e">
        <f ca="1">_xll.BDH($C$103,"TOTAL_EQUITY_SEQUENTIAL_GROWTH","FQ2 2015","FQ2 2015","Currency=INR","Period=FQ","BEST_FPERIOD_OVERRIDE=FQ","FILING_STATUS=OR","EQY_CONSOLIDATED=Y","Sort=A","Dates=H","DateFormat=P","Fill=—","Direction=H","UseDPDF=Y")</f>
        <v>#NAME?</v>
      </c>
      <c r="BV110" s="1" t="e">
        <f ca="1">_xll.BDH($C$103,"TOTAL_CAPITAL_SEQUENTIAL_GROWTH","FQ2 2015","FQ2 2015","Currency=INR","Period=FQ","BEST_FPERIOD_OVERRIDE=FQ","FILING_STATUS=OR","EQY_CONSOLIDATED=Y","Sort=A","Dates=H","DateFormat=P","Fill=—","Direction=H","UseDPDF=Y")</f>
        <v>#NAME?</v>
      </c>
      <c r="BW110" s="1" t="e">
        <f ca="1">_xll.BDH($C$103,"BPS_SEQUENTIAL_GROWTH","FQ2 2015","FQ2 2015","Currency=INR","Period=FQ","BEST_FPERIOD_OVERRIDE=FQ","FILING_STATUS=OR","EQY_CONSOLIDATED=Y","Sort=A","Dates=H","DateFormat=P","Fill=—","Direction=H","UseDPDF=Y")</f>
        <v>#NAME?</v>
      </c>
      <c r="BX110" s="1" t="e">
        <f ca="1">_xll.BDH($C$103,"CFO_SEQUENTIAL_GROWTH","FQ2 2015","FQ2 2015","Currency=INR","Period=FQ","BEST_FPERIOD_OVERRIDE=FQ","FILING_STATUS=OR","EQY_CONSOLIDATED=Y","Sort=A","Dates=H","DateFormat=P","Fill=—","Direction=H","UseDPDF=Y")</f>
        <v>#NAME?</v>
      </c>
      <c r="BY110" s="2" t="e">
        <f ca="1">_xll.BDH($C$103,"SHORT_AND_LONG_TERM_DEBT","FQ2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10" s="2" t="e">
        <f ca="1">_xll.BDH($C$103,"BS_ST_BORROW","FQ2 2015","FQ2 2015","Currency=INR","Period=FQ","BEST_FPERIOD_OVERRIDE=FQ","FILING_STATUS=OR","EQY_CONSOLIDATED=Y","SCALING_FORMAT=MLN","Sort=A","Dates=H","DateFormat=P","Fill=—","Direction=H","UseDPDF=Y")</f>
        <v>#NAME?</v>
      </c>
      <c r="CA110" s="2" t="e">
        <f ca="1">_xll.BDH($C$103,"BS_LT_BORROW","FQ2 2015","FQ2 2015","Currency=INR","Period=FQ","BEST_FPERIOD_OVERRIDE=FQ","FILING_STATUS=OR","EQY_CONSOLIDATED=Y","SCALING_FORMAT=MLN","Sort=A","Dates=H","DateFormat=P","Fill=—","Direction=H","UseDPDF=Y")</f>
        <v>#NAME?</v>
      </c>
      <c r="CB110" s="1" t="e">
        <f ca="1">_xll.BDH($C$103,"TOT_DEBT_TO_EBITDA","FQ2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10" s="1" t="e">
        <f ca="1">_xll.BDH($C$103,"NET_DEBT_TO_EBITDA","FQ2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10" s="1" t="e">
        <f ca="1">_xll.BDH($C$103,"TOTAL_DEBT_TO_EBIT","FQ2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10" s="1" t="e">
        <f ca="1">_xll.BDH($C$103,"NET_DEBT_TO_EBIT","FQ2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110" s="1" t="e">
        <f ca="1">_xll.BDH($C$103,"EBITDA_TO_INTEREST_EXPN","FQ2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10" s="1" t="e">
        <f ca="1">_xll.BDH($C$103,"COM_EQY_TO_TOT_ASSET","FQ2 2015","FQ2 2015","Currency=INR","Period=FQ","BEST_FPERIOD_OVERRIDE=FQ","FILING_STATUS=OR","EQY_CONSOLIDATED=Y","Sort=A","Dates=H","DateFormat=P","Fill=—","Direction=H","UseDPDF=Y")</f>
        <v>#NAME?</v>
      </c>
      <c r="CH110" s="1" t="e">
        <f ca="1">_xll.BDH($C$103,"LT_DEBT_TO_TOT_EQY","FQ2 2015","FQ2 2015","Currency=INR","Period=FQ","BEST_FPERIOD_OVERRIDE=FQ","FILING_STATUS=OR","EQY_CONSOLIDATED=Y","Sort=A","Dates=H","DateFormat=P","Fill=—","Direction=H","UseDPDF=Y")</f>
        <v>#NAME?</v>
      </c>
      <c r="CI110" s="1" t="e">
        <f ca="1">_xll.BDH($C$103,"LT_DEBT_TO_TOT_CAP","FQ2 2015","FQ2 2015","Currency=INR","Period=FQ","BEST_FPERIOD_OVERRIDE=FQ","FILING_STATUS=OR","EQY_CONSOLIDATED=Y","Sort=A","Dates=H","DateFormat=P","Fill=—","Direction=H","UseDPDF=Y")</f>
        <v>#NAME?</v>
      </c>
      <c r="CJ110" s="1" t="e">
        <f ca="1">_xll.BDH($C$103,"LT_DEBT_TO_TOT_ASSET","FQ2 2015","FQ2 2015","Currency=INR","Period=FQ","BEST_FPERIOD_OVERRIDE=FQ","FILING_STATUS=OR","EQY_CONSOLIDATED=Y","Sort=A","Dates=H","DateFormat=P","Fill=—","Direction=H","UseDPDF=Y")</f>
        <v>#NAME?</v>
      </c>
      <c r="CK110" s="1" t="e">
        <f ca="1">_xll.BDH($C$103,"TOT_DEBT_TO_TOT_EQY","FQ2 2015","FQ2 2015","Currency=INR","Period=FQ","BEST_FPERIOD_OVERRIDE=FQ","FILING_STATUS=OR","EQY_CONSOLIDATED=Y","Sort=A","Dates=H","DateFormat=P","Fill=—","Direction=H","UseDPDF=Y")</f>
        <v>#NAME?</v>
      </c>
      <c r="CL110" s="1" t="e">
        <f ca="1">_xll.BDH($C$103,"TOT_DEBT_TO_TOT_CAP","FQ2 2015","FQ2 2015","Currency=INR","Period=FQ","BEST_FPERIOD_OVERRIDE=FQ","FILING_STATUS=OR","EQY_CONSOLIDATED=Y","Sort=A","Dates=H","DateFormat=P","Fill=—","Direction=H","UseDPDF=Y")</f>
        <v>#NAME?</v>
      </c>
      <c r="CM110" s="1" t="e">
        <f ca="1">_xll.BDH($C$103,"TOT_DEBT_TO_TOT_ASSET","FQ2 2015","FQ2 2015","Currency=INR","Period=FQ","BEST_FPERIOD_OVERRIDE=FQ","FILING_STATUS=OR","EQY_CONSOLIDATED=Y","Sort=A","Dates=H","DateFormat=P","Fill=—","Direction=H","UseDPDF=Y")</f>
        <v>#NAME?</v>
      </c>
      <c r="CN110" s="1" t="e">
        <f ca="1">_xll.BDH($C$103,"NET_DEBT_TO_SHRHLDR_EQTY","FQ2 2015","FQ2 2015","Currency=INR","Period=FQ","BEST_FPERIOD_OVERRIDE=FQ","FILING_STATUS=OR","EQY_CONSOLIDATED=Y","Sort=A","Dates=H","DateFormat=P","Fill=—","Direction=H","UseDPDF=Y")</f>
        <v>#NAME?</v>
      </c>
      <c r="CO110" s="1" t="e">
        <f ca="1">_xll.BDH($C$103,"NET_DEBT_%_CAPITAL","FQ2 2015","FQ2 2015","Currency=INR","Period=FQ","BEST_FPERIOD_OVERRIDE=FQ","FILING_STATUS=OR","EQY_CONSOLIDATED=Y","Sort=A","Dates=H","DateFormat=P","Fill=—","Direction=H","UseDPDF=Y")</f>
        <v>#NAME?</v>
      </c>
      <c r="CP110" s="2" t="e">
        <f ca="1">_xll.BDH($C$103,"EBITDA","FQ2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10" s="2" t="e">
        <f ca="1">_xll.BDH($C$103,"EBITDA_AFTER_CAPEX","FQ2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10" s="2" t="e">
        <f ca="1">_xll.BDH($C$103,"IS_OPER_INC","FQ2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10" s="1" t="e">
        <f ca="1">_xll.BDH($C$103,"CASH_RATIO","FQ2 2015","FQ2 2015","Currency=INR","Period=FQ","BEST_FPERIOD_OVERRIDE=FQ","FILING_STATUS=OR","EQY_CONSOLIDATED=Y","Sort=A","Dates=H","DateFormat=P","Fill=—","Direction=H","UseDPDF=Y")</f>
        <v>#NAME?</v>
      </c>
      <c r="CT110" s="1" t="e">
        <f ca="1">_xll.BDH($C$103,"CUR_RATIO","FQ2 2015","FQ2 2015","Currency=INR","Period=FQ","BEST_FPERIOD_OVERRIDE=FQ","FILING_STATUS=OR","EQY_CONSOLIDATED=Y","Sort=A","Dates=H","DateFormat=P","Fill=—","Direction=H","UseDPDF=Y")</f>
        <v>#NAME?</v>
      </c>
      <c r="CU110" s="1" t="e">
        <f ca="1">_xll.BDH($C$103,"QUICK_RATIO","FQ2 2015","FQ2 2015","Currency=INR","Period=FQ","BEST_FPERIOD_OVERRIDE=FQ","FILING_STATUS=OR","EQY_CONSOLIDATED=Y","Sort=A","Dates=H","DateFormat=P","Fill=—","Direction=H","UseDPDF=Y")</f>
        <v>#NAME?</v>
      </c>
      <c r="CV110" s="1" t="e">
        <f ca="1">_xll.BDH($C$103,"ALTMAN_Z_SCORE","FQ2 2015","FQ2 2015","Currency=INR","Period=FQ","BEST_FPERIOD_OVERRIDE=FQ","FILING_STATUS=OR","EQY_CONSOLIDATED=Y","Sort=A","Dates=H","DateFormat=P","Fill=—","Direction=H","UseDPDF=Y")</f>
        <v>#NAME?</v>
      </c>
      <c r="CW110" s="3" t="e">
        <f ca="1">_xll.BDH($C$103,"ACCT_RCV_TURN","FQ2 2015","FQ2 2015","Currency=INR","Period=FQ","BEST_FPERIOD_OVERRIDE=FQ","FILING_STATUS=OR","EQY_CONSOLIDATED=Y","FA_ADJUSTED=GAAP","Sort=A","Dates=H","DateFormat=P","Fill=—","Direction=H","UseDPDF=Y")</f>
        <v>#NAME?</v>
      </c>
      <c r="CX110" s="1" t="e">
        <f ca="1">_xll.BDH($C$103,"ACCT_RCV_DAYS","FQ2 2015","FQ2 2015","Currency=INR","Period=FQ","BEST_FPERIOD_OVERRIDE=FQ","FILING_STATUS=OR","EQY_CONSOLIDATED=Y","FA_ADJUSTED=GAAP","Sort=A","Dates=H","DateFormat=P","Fill=—","Direction=H","UseDPDF=Y")</f>
        <v>#NAME?</v>
      </c>
      <c r="CY110" s="3" t="e">
        <f ca="1">_xll.BDH($C$103,"INVENT_TURN","FQ2 2015","FQ2 2015","Currency=INR","Period=FQ","BEST_FPERIOD_OVERRIDE=FQ","FILING_STATUS=OR","EQY_CONSOLIDATED=Y","FA_ADJUSTED=GAAP","Sort=A","Dates=H","DateFormat=P","Fill=—","Direction=H","UseDPDF=Y")</f>
        <v>#NAME?</v>
      </c>
      <c r="CZ110" s="1" t="e">
        <f ca="1">_xll.BDH($C$103,"INVENT_DAYS","FQ2 2015","FQ2 2015","Currency=INR","Period=FQ","BEST_FPERIOD_OVERRIDE=FQ","FILING_STATUS=OR","EQY_CONSOLIDATED=Y","FA_ADJUSTED=GAAP","Sort=A","Dates=H","DateFormat=P","Fill=—","Direction=H","UseDPDF=Y")</f>
        <v>#NAME?</v>
      </c>
      <c r="DA110" s="3" t="e">
        <f ca="1">_xll.BDH($C$103,"ACCOUNTS_PAYABLE_TURNOVER","FQ2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10" s="1" t="e">
        <f ca="1">_xll.BDH($C$103,"ACCOUNTS_PAYABLE_TURNOVER_DAYS","FQ2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10" s="3" t="e">
        <f ca="1">_xll.BDH($C$103,"CASH_CONVERSION_CYCLE","FQ2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10" s="3" t="e">
        <f ca="1">_xll.BDH($C$103,"INV_TO_CASH_DAYS","FQ2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110" s="4" t="e">
        <f ca="1">_xll.BDH($C$103,"BS_INVENTORIES","FQ2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110" s="2" t="e">
        <f ca="1">_xll.BDH($C$103,"INVTRY_RAW_MATERIALS","FQ2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10" s="2" t="e">
        <f ca="1">_xll.BDH($C$103,"INVTRY_IN_PROGRESS","FQ2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10" s="2" t="e">
        <f ca="1">_xll.BDH($C$103,"INVTRY_FINISHED_GOODS","FQ2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10" s="2" t="e">
        <f ca="1">_xll.BDH($C$103,"BS_OTHER_INV","FQ2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11" spans="1:113" x14ac:dyDescent="0.3">
      <c r="A111" s="6"/>
      <c r="B111" s="6"/>
      <c r="C111" s="6"/>
      <c r="D111" s="6"/>
      <c r="E111" t="s">
        <v>6</v>
      </c>
      <c r="F111" t="e">
        <f ca="1">_xll.BDH($C$103,"RETURN_COM_EQY","FQ3 2015","FQ3 2015","Currency=INR","Period=FQ","BEST_FPERIOD_OVERRIDE=FQ","FILING_STATUS=OR","EQY_CONSOLIDATED=Y","FA_ADJUSTED=GAAP","Sort=A","Dates=H","DateFormat=P","Fill=—","Direction=H","UseDPDF=Y")</f>
        <v>#NAME?</v>
      </c>
      <c r="G111" t="e">
        <f ca="1">_xll.BDH($C$103,"RETURN_ON_ASSET","FQ3 2015","FQ3 2015","Currency=INR","Period=FQ","BEST_FPERIOD_OVERRIDE=FQ","FILING_STATUS=OR","EQY_CONSOLIDATED=Y","FA_ADJUSTED=GAAP","Sort=A","Dates=H","DateFormat=P","Fill=—","Direction=H","UseDPDF=Y")</f>
        <v>#NAME?</v>
      </c>
      <c r="H111" t="e">
        <f ca="1">_xll.BDH($C$103,"RETURN_ON_CAP","FQ3 2015","FQ3 2015","Currency=INR","Period=FQ","BEST_FPERIOD_OVERRIDE=FQ","FILING_STATUS=OR","EQY_CONSOLIDATED=Y","FA_ADJUSTED=GAAP","Sort=A","Dates=H","DateFormat=P","Fill=—","Direction=H","UseDPDF=Y")</f>
        <v>#NAME?</v>
      </c>
      <c r="I111" t="e">
        <f ca="1">_xll.BDH($C$103,"RETURN_ON_INV_CAPITAL","FQ3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11" t="e">
        <f ca="1">_xll.BDH($C$103,"EBITDA_TO_REVENUE","FQ3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111" t="e">
        <f ca="1">_xll.BDH($C$103,"OPER_MARGIN","FQ3 2015","FQ3 2015","Currency=INR","Period=FQ","BEST_FPERIOD_OVERRIDE=FQ","FILING_STATUS=OR","EQY_CONSOLIDATED=Y","FA_ADJUSTED=GAAP","Sort=A","Dates=H","DateFormat=P","Fill=—","Direction=H","UseDPDF=Y")</f>
        <v>#NAME?</v>
      </c>
      <c r="L111" t="e">
        <f ca="1">_xll.BDH($C$103,"INCREMENTAL_OPERATING_MARGIN","FQ3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11" t="e">
        <f ca="1">_xll.BDH($C$103,"PRETAX_INC_TO_NET_SALES","FQ3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11" t="e">
        <f ca="1">_xll.BDH($C$103,"INC_BEF_XO_ITEMS_TO_NET_SALES","FQ3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11" t="e">
        <f ca="1">_xll.BDH($C$103,"PROF_MARGIN","FQ3 2015","FQ3 2015","Currency=INR","Period=FQ","BEST_FPERIOD_OVERRIDE=FQ","FILING_STATUS=OR","EQY_CONSOLIDATED=Y","FA_ADJUSTED=GAAP","Sort=A","Dates=H","DateFormat=P","Fill=—","Direction=H","UseDPDF=Y")</f>
        <v>#NAME?</v>
      </c>
      <c r="P111" t="e">
        <f ca="1">_xll.BDH($C$103,"NET_INCOME_TO_COMMON_MARGIN","FQ3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11" t="e">
        <f ca="1">_xll.BDH($C$103,"EFF_TAX_RATE","FQ3 2015","FQ3 2015","Currency=INR","Period=FQ","BEST_FPERIOD_OVERRIDE=FQ","FILING_STATUS=OR","EQY_CONSOLIDATED=Y","FA_ADJUSTED=GAAP","Sort=A","Dates=H","DateFormat=P","Fill=—","Direction=H","UseDPDF=Y")</f>
        <v>#NAME?</v>
      </c>
      <c r="R111" t="e">
        <f ca="1">_xll.BDH($C$103,"DVD_PAYOUT_RATIO","FQ3 2015","FQ3 2015","Currency=INR","Period=FQ","BEST_FPERIOD_OVERRIDE=FQ","FILING_STATUS=OR","EQY_CONSOLIDATED=Y","FA_ADJUSTED=GAAP","Sort=A","Dates=H","DateFormat=P","Fill=—","Direction=H","UseDPDF=Y")</f>
        <v>#NAME?</v>
      </c>
      <c r="S111" t="e">
        <f ca="1">_xll.BDH($C$103,"SUSTAIN_GROWTH_RT","FQ3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111" s="1" t="e">
        <f ca="1">_xll.BDH($C$103,"SALES_GROWTH","FQ3 2015","FQ3 2015","Currency=INR","Period=FQ","BEST_FPERIOD_OVERRIDE=FQ","FILING_STATUS=OR","EQY_CONSOLIDATED=Y","FA_ADJUSTED=GAAP","Sort=A","Dates=H","DateFormat=P","Fill=—","Direction=H","UseDPDF=Y")</f>
        <v>#NAME?</v>
      </c>
      <c r="U111" s="1" t="e">
        <f ca="1">_xll.BDH($C$103,"EBITDA_GROWTH","FQ3 2015","FQ3 2015","Currency=INR","Period=FQ","BEST_FPERIOD_OVERRIDE=FQ","FILING_STATUS=OR","EQY_CONSOLIDATED=Y","FA_ADJUSTED=GAAP","Sort=A","Dates=H","DateFormat=P","Fill=—","Direction=H","UseDPDF=Y")</f>
        <v>#NAME?</v>
      </c>
      <c r="V111" s="1" t="e">
        <f ca="1">_xll.BDH($C$103,"OPER_INC_GROWTH","FQ3 2015","FQ3 2015","Currency=INR","Period=FQ","BEST_FPERIOD_OVERRIDE=FQ","FILING_STATUS=OR","EQY_CONSOLIDATED=Y","FA_ADJUSTED=GAAP","Sort=A","Dates=H","DateFormat=P","Fill=—","Direction=H","UseDPDF=Y")</f>
        <v>#NAME?</v>
      </c>
      <c r="W111" s="1" t="e">
        <f ca="1">_xll.BDH($C$103,"EARN_FOR_COM_GROWTH","FQ3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11" s="1" t="e">
        <f ca="1">_xll.BDH($C$103,"DILUTED_EPS_AFT_XO_ITEMS_GROWTH","FQ3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11" s="1" t="e">
        <f ca="1">_xll.BDH($C$103,"DIVIDEND_PER_SHARE_1_YEAR_GROWTH","FQ3 2015","FQ3 2015","Currency=INR","Period=FQ","BEST_FPERIOD_OVERRIDE=FQ","FILING_STATUS=OR","EQY_CONSOLIDATED=Y","Sort=A","Dates=H","DateFormat=P","Fill=—","Direction=H","UseDPDF=Y")</f>
        <v>#NAME?</v>
      </c>
      <c r="Z111" s="1" t="e">
        <f ca="1">_xll.BDH($C$103,"ACCOUNTS_RECEIVABLE_GROWTH","FQ3 2015","FQ3 2015","Currency=INR","Period=FQ","BEST_FPERIOD_OVERRIDE=FQ","FILING_STATUS=OR","EQY_CONSOLIDATED=Y","Sort=A","Dates=H","DateFormat=P","Fill=—","Direction=H","UseDPDF=Y")</f>
        <v>#NAME?</v>
      </c>
      <c r="AA111" s="1" t="e">
        <f ca="1">_xll.BDH($C$103,"INVENTORY_GROWTH","FQ3 2015","FQ3 2015","Currency=INR","Period=FQ","BEST_FPERIOD_OVERRIDE=FQ","FILING_STATUS=OR","EQY_CONSOLIDATED=Y","Sort=A","Dates=H","DateFormat=P","Fill=—","Direction=H","UseDPDF=Y")</f>
        <v>#NAME?</v>
      </c>
      <c r="AB111" s="1" t="e">
        <f ca="1">_xll.BDH($C$103,"NET_FIXED_ASSETS_1_YEAR_GROWTH","FQ3 2015","FQ3 2015","Currency=INR","Period=FQ","BEST_FPERIOD_OVERRIDE=FQ","FILING_STATUS=OR","EQY_CONSOLIDATED=Y","Sort=A","Dates=H","DateFormat=P","Fill=—","Direction=H","UseDPDF=Y")</f>
        <v>#NAME?</v>
      </c>
      <c r="AC111" s="1" t="e">
        <f ca="1">_xll.BDH($C$103,"ASSET_GROWTH","FQ3 2015","FQ3 2015","Currency=INR","Period=FQ","BEST_FPERIOD_OVERRIDE=FQ","FILING_STATUS=OR","EQY_CONSOLIDATED=Y","Sort=A","Dates=H","DateFormat=P","Fill=—","Direction=H","UseDPDF=Y")</f>
        <v>#NAME?</v>
      </c>
      <c r="AD111" s="1" t="e">
        <f ca="1">_xll.BDH($C$103,"MODIFIED_WORK_CAP_GROWTH","FQ3 2015","FQ3 2015","Currency=INR","Period=FQ","BEST_FPERIOD_OVERRIDE=FQ","FILING_STATUS=OR","EQY_CONSOLIDATED=Y","Sort=A","Dates=H","DateFormat=P","Fill=—","Direction=H","UseDPDF=Y")</f>
        <v>#NAME?</v>
      </c>
      <c r="AE111" s="1" t="e">
        <f ca="1">_xll.BDH($C$103,"WORK_CAP_GROWTH","FQ3 2015","FQ3 2015","Currency=INR","Period=FQ","BEST_FPERIOD_OVERRIDE=FQ","FILING_STATUS=OR","EQY_CONSOLIDATED=Y","Sort=A","Dates=H","DateFormat=P","Fill=—","Direction=H","UseDPDF=Y")</f>
        <v>#NAME?</v>
      </c>
      <c r="AF111" s="1" t="e">
        <f ca="1">_xll.BDH($C$103,"ACCOUNTS_PAYABLE_GROWTH_1YR","FQ3 2015","FQ3 2015","Currency=INR","Period=FQ","BEST_FPERIOD_OVERRIDE=FQ","FILING_STATUS=OR","EQY_CONSOLIDATED=Y","Sort=A","Dates=H","DateFormat=P","Fill=—","Direction=H","UseDPDF=Y")</f>
        <v>#NAME?</v>
      </c>
      <c r="AG111" s="1" t="e">
        <f ca="1">_xll.BDH($C$103,"SHORT_TERM_DEBT_1_YEAR_GROWTH","FQ3 2015","FQ3 2015","Currency=INR","Period=FQ","BEST_FPERIOD_OVERRIDE=FQ","FILING_STATUS=OR","EQY_CONSOLIDATED=Y","Sort=A","Dates=H","DateFormat=P","Fill=—","Direction=H","UseDPDF=Y")</f>
        <v>#NAME?</v>
      </c>
      <c r="AH111" s="1" t="e">
        <f ca="1">_xll.BDH($C$103,"TOTAL_DEBT_1_YEAR_GROWTH","FQ3 2015","FQ3 2015","Currency=INR","Period=FQ","BEST_FPERIOD_OVERRIDE=FQ","FILING_STATUS=OR","EQY_CONSOLIDATED=Y","Sort=A","Dates=H","DateFormat=P","Fill=—","Direction=H","UseDPDF=Y")</f>
        <v>#NAME?</v>
      </c>
      <c r="AI111" s="1" t="e">
        <f ca="1">_xll.BDH($C$103,"TOTAL_EQUITY_1_YEAR_GROWTH","FQ3 2015","FQ3 2015","Currency=INR","Period=FQ","BEST_FPERIOD_OVERRIDE=FQ","FILING_STATUS=OR","EQY_CONSOLIDATED=Y","Sort=A","Dates=H","DateFormat=P","Fill=—","Direction=H","UseDPDF=Y")</f>
        <v>#NAME?</v>
      </c>
      <c r="AJ111" s="1" t="e">
        <f ca="1">_xll.BDH($C$103,"GROWTH_IN_CAP","FQ3 2015","FQ3 2015","Currency=INR","Period=FQ","BEST_FPERIOD_OVERRIDE=FQ","FILING_STATUS=OR","EQY_CONSOLIDATED=Y","Sort=A","Dates=H","DateFormat=P","Fill=—","Direction=H","UseDPDF=Y")</f>
        <v>#NAME?</v>
      </c>
      <c r="AK111" s="1" t="e">
        <f ca="1">_xll.BDH($C$103,"BVPS_GROWTH","FQ3 2015","FQ3 2015","Currency=INR","Period=FQ","BEST_FPERIOD_OVERRIDE=FQ","FILING_STATUS=OR","EQY_CONSOLIDATED=Y","Sort=A","Dates=H","DateFormat=P","Fill=—","Direction=H","UseDPDF=Y")</f>
        <v>#NAME?</v>
      </c>
      <c r="AL111" s="1" t="e">
        <f ca="1">_xll.BDH($C$103,"CASH_FLOW_GROWTH","FQ3 2015","FQ3 2015","Currency=INR","Period=FQ","BEST_FPERIOD_OVERRIDE=FQ","FILING_STATUS=OR","EQY_CONSOLIDATED=Y","Sort=A","Dates=H","DateFormat=P","Fill=—","Direction=H","UseDPDF=Y")</f>
        <v>#NAME?</v>
      </c>
      <c r="AM111" s="1" t="e">
        <f ca="1">_xll.BDH($C$103,"GEO_GROW_NET_SALES","FQ3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11" s="1" t="e">
        <f ca="1">_xll.BDH($C$103,"GEO_GROW_EBITDA","FQ3 2015","FQ3 2015","Currency=INR","Period=FQ","BEST_FPERIOD_OVERRIDE=FQ","FILING_STATUS=OR","EQY_CONSOLIDATED=Y","FA_ADJUSTED=GAAP","Sort=A","Dates=H","DateFormat=P","Fill=—","Direction=H","UseDPDF=Y")</f>
        <v>#NAME?</v>
      </c>
      <c r="AO111" s="1" t="e">
        <f ca="1">_xll.BDH($C$103,"GEO_GROW_OPER_INC","FQ3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11" s="1" t="e">
        <f ca="1">_xll.BDH($C$103,"NET_INCOME_TO_COMMON_5_YR_GROWTH","FQ3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11" s="1" t="e">
        <f ca="1">_xll.BDH($C$103,"5Y_GEO_GROWTH_DILUTED_EPS","FQ3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11" s="1" t="e">
        <f ca="1">_xll.BDH($C$103,"GEO_GROW_DVD_PER_SH","FQ3 2015","FQ3 2015","Currency=INR","Period=FQ","BEST_FPERIOD_OVERRIDE=FQ","FILING_STATUS=OR","EQY_CONSOLIDATED=Y","Sort=A","Dates=H","DateFormat=P","Fill=—","Direction=H","UseDPDF=Y")</f>
        <v>#NAME?</v>
      </c>
      <c r="AS111" s="1" t="e">
        <f ca="1">_xll.BDH($C$103,"ACCOUNTS_RECEIVABLE_5_YR_GROWTH","FQ3 2015","FQ3 2015","Currency=INR","Period=FQ","BEST_FPERIOD_OVERRIDE=FQ","FILING_STATUS=OR","EQY_CONSOLIDATED=Y","Sort=A","Dates=H","DateFormat=P","Fill=—","Direction=H","UseDPDF=Y")</f>
        <v>#NAME?</v>
      </c>
      <c r="AT111" s="1" t="e">
        <f ca="1">_xll.BDH($C$103,"INVENTORY_5_YEAR_GROWTH","FQ3 2015","FQ3 2015","Currency=INR","Period=FQ","BEST_FPERIOD_OVERRIDE=FQ","FILING_STATUS=OR","EQY_CONSOLIDATED=Y","Sort=A","Dates=H","DateFormat=P","Fill=—","Direction=H","UseDPDF=Y")</f>
        <v>#NAME?</v>
      </c>
      <c r="AU111" s="1" t="e">
        <f ca="1">_xll.BDH($C$103,"NET_FIXED_ASSETS_5_YEAR_GROWTH","FQ3 2015","FQ3 2015","Currency=INR","Period=FQ","BEST_FPERIOD_OVERRIDE=FQ","FILING_STATUS=OR","EQY_CONSOLIDATED=Y","Sort=A","Dates=H","DateFormat=P","Fill=—","Direction=H","UseDPDF=Y")</f>
        <v>#NAME?</v>
      </c>
      <c r="AV111" s="1" t="e">
        <f ca="1">_xll.BDH($C$103,"GEO_GROW_TOT_ASSET","FQ3 2015","FQ3 2015","Currency=INR","Period=FQ","BEST_FPERIOD_OVERRIDE=FQ","FILING_STATUS=OR","EQY_CONSOLIDATED=Y","Sort=A","Dates=H","DateFormat=P","Fill=—","Direction=H","UseDPDF=Y")</f>
        <v>#NAME?</v>
      </c>
      <c r="AW111" s="1" t="e">
        <f ca="1">_xll.BDH($C$103,"MODIFIED_WORKING_CPTL_5YR_GRWTH","FQ3 2015","FQ3 2015","Currency=INR","Period=FQ","BEST_FPERIOD_OVERRIDE=FQ","FILING_STATUS=OR","EQY_CONSOLIDATED=Y","Sort=A","Dates=H","DateFormat=P","Fill=—","Direction=H","UseDPDF=Y")</f>
        <v>#NAME?</v>
      </c>
      <c r="AX111" s="1" t="e">
        <f ca="1">_xll.BDH($C$103,"WORKING_CAPITAL_5_YEAR_GROWTH","FQ3 2015","FQ3 2015","Currency=INR","Period=FQ","BEST_FPERIOD_OVERRIDE=FQ","FILING_STATUS=OR","EQY_CONSOLIDATED=Y","Sort=A","Dates=H","DateFormat=P","Fill=—","Direction=H","UseDPDF=Y")</f>
        <v>#NAME?</v>
      </c>
      <c r="AY111" s="1" t="e">
        <f ca="1">_xll.BDH($C$103,"ACCOUNTS_PAYABLE_5_YEAR_GROWTH","FQ3 2015","FQ3 2015","Currency=INR","Period=FQ","BEST_FPERIOD_OVERRIDE=FQ","FILING_STATUS=OR","EQY_CONSOLIDATED=Y","Sort=A","Dates=H","DateFormat=P","Fill=—","Direction=H","UseDPDF=Y")</f>
        <v>#NAME?</v>
      </c>
      <c r="AZ111" s="1" t="e">
        <f ca="1">_xll.BDH($C$103,"SHORT_TERM_DEBT_5_YEAR_GROWTH","FQ3 2015","FQ3 2015","Currency=INR","Period=FQ","BEST_FPERIOD_OVERRIDE=FQ","FILING_STATUS=OR","EQY_CONSOLIDATED=Y","Sort=A","Dates=H","DateFormat=P","Fill=—","Direction=H","UseDPDF=Y")</f>
        <v>#NAME?</v>
      </c>
      <c r="BA111" s="1" t="e">
        <f ca="1">_xll.BDH($C$103,"TOTAL_DEBT_5_YEAR_GROWTH","FQ3 2015","FQ3 2015","Currency=INR","Period=FQ","BEST_FPERIOD_OVERRIDE=FQ","FILING_STATUS=OR","EQY_CONSOLIDATED=Y","Sort=A","Dates=H","DateFormat=P","Fill=—","Direction=H","UseDPDF=Y")</f>
        <v>#NAME?</v>
      </c>
      <c r="BB111" s="1" t="e">
        <f ca="1">_xll.BDH($C$103,"GEO_GROW_TOT_SHRHLDR_EQY","FQ3 2015","FQ3 2015","Currency=INR","Period=FQ","BEST_FPERIOD_OVERRIDE=FQ","FILING_STATUS=OR","EQY_CONSOLIDATED=Y","Sort=A","Dates=H","DateFormat=P","Fill=—","Direction=H","UseDPDF=Y")</f>
        <v>#NAME?</v>
      </c>
      <c r="BC111" s="1" t="e">
        <f ca="1">_xll.BDH($C$103,"TOTAL_CAPITAL_5_YEAR_GROWTH","FQ3 2015","FQ3 2015","Currency=INR","Period=FQ","BEST_FPERIOD_OVERRIDE=FQ","FILING_STATUS=OR","EQY_CONSOLIDATED=Y","Sort=A","Dates=H","DateFormat=P","Fill=—","Direction=H","UseDPDF=Y")</f>
        <v>#NAME?</v>
      </c>
      <c r="BD111" s="1" t="e">
        <f ca="1">_xll.BDH($C$103,"GEO_GROW_BOOK_VAL","FQ3 2015","FQ3 2015","Currency=INR","Period=FQ","BEST_FPERIOD_OVERRIDE=FQ","FILING_STATUS=OR","EQY_CONSOLIDATED=Y","Sort=A","Dates=H","DateFormat=P","Fill=—","Direction=H","UseDPDF=Y")</f>
        <v>#NAME?</v>
      </c>
      <c r="BE111" s="1" t="e">
        <f ca="1">_xll.BDH($C$103,"GEO_GROW_CASH_OPER_ACT","FQ3 2015","FQ3 2015","Currency=INR","Period=FQ","BEST_FPERIOD_OVERRIDE=FQ","FILING_STATUS=OR","EQY_CONSOLIDATED=Y","Sort=A","Dates=H","DateFormat=P","Fill=—","Direction=H","UseDPDF=Y")</f>
        <v>#NAME?</v>
      </c>
      <c r="BF111" s="1" t="e">
        <f ca="1">_xll.BDH($C$103,"REVENUE_SEQUENTIAL_GROWTH","FQ3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11" s="1" t="e">
        <f ca="1">_xll.BDH($C$103,"EBITDA_SEQUENTIAL_GROWTH","FQ3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11" s="1" t="e">
        <f ca="1">_xll.BDH($C$103,"OPERATING_INCOME_SEQ_GROWTH","FQ3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11" s="1" t="e">
        <f ca="1">_xll.BDH($C$103,"NET_INCOME_TO_COMMON_SEQ_GROWTH","FQ3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11" s="1" t="e">
        <f ca="1">_xll.BDH($C$103,"EPS_DILUTED_SEQUENTIAL_GROWTH","FQ3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11" s="1" t="e">
        <f ca="1">_xll.BDH($C$103,"DPS_SEQUENTIAL_GROWTH","FQ3 2015","FQ3 2015","Currency=INR","Period=FQ","BEST_FPERIOD_OVERRIDE=FQ","FILING_STATUS=OR","EQY_CONSOLIDATED=Y","Sort=A","Dates=H","DateFormat=P","Fill=—","Direction=H","UseDPDF=Y")</f>
        <v>#NAME?</v>
      </c>
      <c r="BL111" s="1" t="e">
        <f ca="1">_xll.BDH($C$103,"ACCOUNTS_RECEIVABLE_SEQ_GROWTH","FQ3 2015","FQ3 2015","Currency=INR","Period=FQ","BEST_FPERIOD_OVERRIDE=FQ","FILING_STATUS=OR","EQY_CONSOLIDATED=Y","Sort=A","Dates=H","DateFormat=P","Fill=—","Direction=H","UseDPDF=Y")</f>
        <v>#NAME?</v>
      </c>
      <c r="BM111" s="1" t="e">
        <f ca="1">_xll.BDH($C$103,"INVENTORY_SEQUENTIAL_GROWTH","FQ3 2015","FQ3 2015","Currency=INR","Period=FQ","BEST_FPERIOD_OVERRIDE=FQ","FILING_STATUS=OR","EQY_CONSOLIDATED=Y","Sort=A","Dates=H","DateFormat=P","Fill=—","Direction=H","UseDPDF=Y")</f>
        <v>#NAME?</v>
      </c>
      <c r="BN111" s="1" t="e">
        <f ca="1">_xll.BDH($C$103,"FIXED_ASSETS_SEQUENTIAL_GROWTH","FQ3 2015","FQ3 2015","Currency=INR","Period=FQ","BEST_FPERIOD_OVERRIDE=FQ","FILING_STATUS=OR","EQY_CONSOLIDATED=Y","Sort=A","Dates=H","DateFormat=P","Fill=—","Direction=H","UseDPDF=Y")</f>
        <v>#NAME?</v>
      </c>
      <c r="BO111" s="1" t="e">
        <f ca="1">_xll.BDH($C$103,"TOTAL_ASSETS_SEQUENTIAL_GROWTH","FQ3 2015","FQ3 2015","Currency=INR","Period=FQ","BEST_FPERIOD_OVERRIDE=FQ","FILING_STATUS=OR","EQY_CONSOLIDATED=Y","Sort=A","Dates=H","DateFormat=P","Fill=—","Direction=H","UseDPDF=Y")</f>
        <v>#NAME?</v>
      </c>
      <c r="BP111" s="1" t="e">
        <f ca="1">_xll.BDH($C$103,"MODIFIED_WORKING_CPTL_SEQ_GRWTH","FQ3 2015","FQ3 2015","Currency=INR","Period=FQ","BEST_FPERIOD_OVERRIDE=FQ","FILING_STATUS=OR","EQY_CONSOLIDATED=Y","Sort=A","Dates=H","DateFormat=P","Fill=—","Direction=H","UseDPDF=Y")</f>
        <v>#NAME?</v>
      </c>
      <c r="BQ111" s="1" t="e">
        <f ca="1">_xll.BDH($C$103,"WORKING_CAPITAL_SEQ_GROWTH","FQ3 2015","FQ3 2015","Currency=INR","Period=FQ","BEST_FPERIOD_OVERRIDE=FQ","FILING_STATUS=OR","EQY_CONSOLIDATED=Y","Sort=A","Dates=H","DateFormat=P","Fill=—","Direction=H","UseDPDF=Y")</f>
        <v>#NAME?</v>
      </c>
      <c r="BR111" s="1" t="e">
        <f ca="1">_xll.BDH($C$103,"ACCOUNTS_PAYABLE_SEQ_GROWTH","FQ3 2015","FQ3 2015","Currency=INR","Period=FQ","BEST_FPERIOD_OVERRIDE=FQ","FILING_STATUS=OR","EQY_CONSOLIDATED=Y","Sort=A","Dates=H","DateFormat=P","Fill=—","Direction=H","UseDPDF=Y")</f>
        <v>#NAME?</v>
      </c>
      <c r="BS111" s="1" t="e">
        <f ca="1">_xll.BDH($C$103,"ST_DEBT_SEQUENTIAL_GROWTH","FQ3 2015","FQ3 2015","Currency=INR","Period=FQ","BEST_FPERIOD_OVERRIDE=FQ","FILING_STATUS=OR","EQY_CONSOLIDATED=Y","Sort=A","Dates=H","DateFormat=P","Fill=—","Direction=H","UseDPDF=Y")</f>
        <v>#NAME?</v>
      </c>
      <c r="BT111" s="1" t="e">
        <f ca="1">_xll.BDH($C$103,"TOTAL_DEBT_SEQUENTIAL_GROWTH","FQ3 2015","FQ3 2015","Currency=INR","Period=FQ","BEST_FPERIOD_OVERRIDE=FQ","FILING_STATUS=OR","EQY_CONSOLIDATED=Y","Sort=A","Dates=H","DateFormat=P","Fill=—","Direction=H","UseDPDF=Y")</f>
        <v>#NAME?</v>
      </c>
      <c r="BU111" s="1" t="e">
        <f ca="1">_xll.BDH($C$103,"TOTAL_EQUITY_SEQUENTIAL_GROWTH","FQ3 2015","FQ3 2015","Currency=INR","Period=FQ","BEST_FPERIOD_OVERRIDE=FQ","FILING_STATUS=OR","EQY_CONSOLIDATED=Y","Sort=A","Dates=H","DateFormat=P","Fill=—","Direction=H","UseDPDF=Y")</f>
        <v>#NAME?</v>
      </c>
      <c r="BV111" s="1" t="e">
        <f ca="1">_xll.BDH($C$103,"TOTAL_CAPITAL_SEQUENTIAL_GROWTH","FQ3 2015","FQ3 2015","Currency=INR","Period=FQ","BEST_FPERIOD_OVERRIDE=FQ","FILING_STATUS=OR","EQY_CONSOLIDATED=Y","Sort=A","Dates=H","DateFormat=P","Fill=—","Direction=H","UseDPDF=Y")</f>
        <v>#NAME?</v>
      </c>
      <c r="BW111" s="1" t="e">
        <f ca="1">_xll.BDH($C$103,"BPS_SEQUENTIAL_GROWTH","FQ3 2015","FQ3 2015","Currency=INR","Period=FQ","BEST_FPERIOD_OVERRIDE=FQ","FILING_STATUS=OR","EQY_CONSOLIDATED=Y","Sort=A","Dates=H","DateFormat=P","Fill=—","Direction=H","UseDPDF=Y")</f>
        <v>#NAME?</v>
      </c>
      <c r="BX111" s="1" t="e">
        <f ca="1">_xll.BDH($C$103,"CFO_SEQUENTIAL_GROWTH","FQ3 2015","FQ3 2015","Currency=INR","Period=FQ","BEST_FPERIOD_OVERRIDE=FQ","FILING_STATUS=OR","EQY_CONSOLIDATED=Y","Sort=A","Dates=H","DateFormat=P","Fill=—","Direction=H","UseDPDF=Y")</f>
        <v>#NAME?</v>
      </c>
      <c r="BY111" s="2" t="e">
        <f ca="1">_xll.BDH($C$103,"SHORT_AND_LONG_TERM_DEBT","FQ3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11" s="2" t="e">
        <f ca="1">_xll.BDH($C$103,"BS_ST_BORROW","FQ3 2015","FQ3 2015","Currency=INR","Period=FQ","BEST_FPERIOD_OVERRIDE=FQ","FILING_STATUS=OR","EQY_CONSOLIDATED=Y","SCALING_FORMAT=MLN","Sort=A","Dates=H","DateFormat=P","Fill=—","Direction=H","UseDPDF=Y")</f>
        <v>#NAME?</v>
      </c>
      <c r="CA111" s="2" t="e">
        <f ca="1">_xll.BDH($C$103,"BS_LT_BORROW","FQ3 2015","FQ3 2015","Currency=INR","Period=FQ","BEST_FPERIOD_OVERRIDE=FQ","FILING_STATUS=OR","EQY_CONSOLIDATED=Y","SCALING_FORMAT=MLN","Sort=A","Dates=H","DateFormat=P","Fill=—","Direction=H","UseDPDF=Y")</f>
        <v>#NAME?</v>
      </c>
      <c r="CB111" s="1" t="e">
        <f ca="1">_xll.BDH($C$103,"TOT_DEBT_TO_EBITDA","FQ3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11" s="1" t="e">
        <f ca="1">_xll.BDH($C$103,"NET_DEBT_TO_EBITDA","FQ3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11" s="1" t="e">
        <f ca="1">_xll.BDH($C$103,"TOTAL_DEBT_TO_EBIT","FQ3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11" s="1" t="e">
        <f ca="1">_xll.BDH($C$103,"NET_DEBT_TO_EBIT","FQ3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111" s="1" t="e">
        <f ca="1">_xll.BDH($C$103,"EBITDA_TO_INTEREST_EXPN","FQ3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11" s="1" t="e">
        <f ca="1">_xll.BDH($C$103,"COM_EQY_TO_TOT_ASSET","FQ3 2015","FQ3 2015","Currency=INR","Period=FQ","BEST_FPERIOD_OVERRIDE=FQ","FILING_STATUS=OR","EQY_CONSOLIDATED=Y","Sort=A","Dates=H","DateFormat=P","Fill=—","Direction=H","UseDPDF=Y")</f>
        <v>#NAME?</v>
      </c>
      <c r="CH111" s="1" t="e">
        <f ca="1">_xll.BDH($C$103,"LT_DEBT_TO_TOT_EQY","FQ3 2015","FQ3 2015","Currency=INR","Period=FQ","BEST_FPERIOD_OVERRIDE=FQ","FILING_STATUS=OR","EQY_CONSOLIDATED=Y","Sort=A","Dates=H","DateFormat=P","Fill=—","Direction=H","UseDPDF=Y")</f>
        <v>#NAME?</v>
      </c>
      <c r="CI111" s="1" t="e">
        <f ca="1">_xll.BDH($C$103,"LT_DEBT_TO_TOT_CAP","FQ3 2015","FQ3 2015","Currency=INR","Period=FQ","BEST_FPERIOD_OVERRIDE=FQ","FILING_STATUS=OR","EQY_CONSOLIDATED=Y","Sort=A","Dates=H","DateFormat=P","Fill=—","Direction=H","UseDPDF=Y")</f>
        <v>#NAME?</v>
      </c>
      <c r="CJ111" s="1" t="e">
        <f ca="1">_xll.BDH($C$103,"LT_DEBT_TO_TOT_ASSET","FQ3 2015","FQ3 2015","Currency=INR","Period=FQ","BEST_FPERIOD_OVERRIDE=FQ","FILING_STATUS=OR","EQY_CONSOLIDATED=Y","Sort=A","Dates=H","DateFormat=P","Fill=—","Direction=H","UseDPDF=Y")</f>
        <v>#NAME?</v>
      </c>
      <c r="CK111" s="1" t="e">
        <f ca="1">_xll.BDH($C$103,"TOT_DEBT_TO_TOT_EQY","FQ3 2015","FQ3 2015","Currency=INR","Period=FQ","BEST_FPERIOD_OVERRIDE=FQ","FILING_STATUS=OR","EQY_CONSOLIDATED=Y","Sort=A","Dates=H","DateFormat=P","Fill=—","Direction=H","UseDPDF=Y")</f>
        <v>#NAME?</v>
      </c>
      <c r="CL111" s="1" t="e">
        <f ca="1">_xll.BDH($C$103,"TOT_DEBT_TO_TOT_CAP","FQ3 2015","FQ3 2015","Currency=INR","Period=FQ","BEST_FPERIOD_OVERRIDE=FQ","FILING_STATUS=OR","EQY_CONSOLIDATED=Y","Sort=A","Dates=H","DateFormat=P","Fill=—","Direction=H","UseDPDF=Y")</f>
        <v>#NAME?</v>
      </c>
      <c r="CM111" s="1" t="e">
        <f ca="1">_xll.BDH($C$103,"TOT_DEBT_TO_TOT_ASSET","FQ3 2015","FQ3 2015","Currency=INR","Period=FQ","BEST_FPERIOD_OVERRIDE=FQ","FILING_STATUS=OR","EQY_CONSOLIDATED=Y","Sort=A","Dates=H","DateFormat=P","Fill=—","Direction=H","UseDPDF=Y")</f>
        <v>#NAME?</v>
      </c>
      <c r="CN111" s="1" t="e">
        <f ca="1">_xll.BDH($C$103,"NET_DEBT_TO_SHRHLDR_EQTY","FQ3 2015","FQ3 2015","Currency=INR","Period=FQ","BEST_FPERIOD_OVERRIDE=FQ","FILING_STATUS=OR","EQY_CONSOLIDATED=Y","Sort=A","Dates=H","DateFormat=P","Fill=—","Direction=H","UseDPDF=Y")</f>
        <v>#NAME?</v>
      </c>
      <c r="CO111" s="1" t="e">
        <f ca="1">_xll.BDH($C$103,"NET_DEBT_%_CAPITAL","FQ3 2015","FQ3 2015","Currency=INR","Period=FQ","BEST_FPERIOD_OVERRIDE=FQ","FILING_STATUS=OR","EQY_CONSOLIDATED=Y","Sort=A","Dates=H","DateFormat=P","Fill=—","Direction=H","UseDPDF=Y")</f>
        <v>#NAME?</v>
      </c>
      <c r="CP111" s="2" t="e">
        <f ca="1">_xll.BDH($C$103,"EBITDA","FQ3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11" s="2" t="e">
        <f ca="1">_xll.BDH($C$103,"EBITDA_AFTER_CAPEX","FQ3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11" s="2" t="e">
        <f ca="1">_xll.BDH($C$103,"IS_OPER_INC","FQ3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11" s="1" t="e">
        <f ca="1">_xll.BDH($C$103,"CASH_RATIO","FQ3 2015","FQ3 2015","Currency=INR","Period=FQ","BEST_FPERIOD_OVERRIDE=FQ","FILING_STATUS=OR","EQY_CONSOLIDATED=Y","Sort=A","Dates=H","DateFormat=P","Fill=—","Direction=H","UseDPDF=Y")</f>
        <v>#NAME?</v>
      </c>
      <c r="CT111" s="1" t="e">
        <f ca="1">_xll.BDH($C$103,"CUR_RATIO","FQ3 2015","FQ3 2015","Currency=INR","Period=FQ","BEST_FPERIOD_OVERRIDE=FQ","FILING_STATUS=OR","EQY_CONSOLIDATED=Y","Sort=A","Dates=H","DateFormat=P","Fill=—","Direction=H","UseDPDF=Y")</f>
        <v>#NAME?</v>
      </c>
      <c r="CU111" s="1" t="e">
        <f ca="1">_xll.BDH($C$103,"QUICK_RATIO","FQ3 2015","FQ3 2015","Currency=INR","Period=FQ","BEST_FPERIOD_OVERRIDE=FQ","FILING_STATUS=OR","EQY_CONSOLIDATED=Y","Sort=A","Dates=H","DateFormat=P","Fill=—","Direction=H","UseDPDF=Y")</f>
        <v>#NAME?</v>
      </c>
      <c r="CV111" s="1" t="e">
        <f ca="1">_xll.BDH($C$103,"ALTMAN_Z_SCORE","FQ3 2015","FQ3 2015","Currency=INR","Period=FQ","BEST_FPERIOD_OVERRIDE=FQ","FILING_STATUS=OR","EQY_CONSOLIDATED=Y","Sort=A","Dates=H","DateFormat=P","Fill=—","Direction=H","UseDPDF=Y")</f>
        <v>#NAME?</v>
      </c>
      <c r="CW111" s="3" t="e">
        <f ca="1">_xll.BDH($C$103,"ACCT_RCV_TURN","FQ3 2015","FQ3 2015","Currency=INR","Period=FQ","BEST_FPERIOD_OVERRIDE=FQ","FILING_STATUS=OR","EQY_CONSOLIDATED=Y","FA_ADJUSTED=GAAP","Sort=A","Dates=H","DateFormat=P","Fill=—","Direction=H","UseDPDF=Y")</f>
        <v>#NAME?</v>
      </c>
      <c r="CX111" s="1" t="e">
        <f ca="1">_xll.BDH($C$103,"ACCT_RCV_DAYS","FQ3 2015","FQ3 2015","Currency=INR","Period=FQ","BEST_FPERIOD_OVERRIDE=FQ","FILING_STATUS=OR","EQY_CONSOLIDATED=Y","FA_ADJUSTED=GAAP","Sort=A","Dates=H","DateFormat=P","Fill=—","Direction=H","UseDPDF=Y")</f>
        <v>#NAME?</v>
      </c>
      <c r="CY111" s="3" t="e">
        <f ca="1">_xll.BDH($C$103,"INVENT_TURN","FQ3 2015","FQ3 2015","Currency=INR","Period=FQ","BEST_FPERIOD_OVERRIDE=FQ","FILING_STATUS=OR","EQY_CONSOLIDATED=Y","FA_ADJUSTED=GAAP","Sort=A","Dates=H","DateFormat=P","Fill=—","Direction=H","UseDPDF=Y")</f>
        <v>#NAME?</v>
      </c>
      <c r="CZ111" s="1" t="e">
        <f ca="1">_xll.BDH($C$103,"INVENT_DAYS","FQ3 2015","FQ3 2015","Currency=INR","Period=FQ","BEST_FPERIOD_OVERRIDE=FQ","FILING_STATUS=OR","EQY_CONSOLIDATED=Y","FA_ADJUSTED=GAAP","Sort=A","Dates=H","DateFormat=P","Fill=—","Direction=H","UseDPDF=Y")</f>
        <v>#NAME?</v>
      </c>
      <c r="DA111" s="3" t="e">
        <f ca="1">_xll.BDH($C$103,"ACCOUNTS_PAYABLE_TURNOVER","FQ3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11" s="1" t="e">
        <f ca="1">_xll.BDH($C$103,"ACCOUNTS_PAYABLE_TURNOVER_DAYS","FQ3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11" s="3" t="e">
        <f ca="1">_xll.BDH($C$103,"CASH_CONVERSION_CYCLE","FQ3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11" s="3" t="e">
        <f ca="1">_xll.BDH($C$103,"INV_TO_CASH_DAYS","FQ3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111" s="4" t="e">
        <f ca="1">_xll.BDH($C$103,"BS_INVENTORIES","FQ3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111" s="2" t="e">
        <f ca="1">_xll.BDH($C$103,"INVTRY_RAW_MATERIALS","FQ3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11" s="2" t="e">
        <f ca="1">_xll.BDH($C$103,"INVTRY_IN_PROGRESS","FQ3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11" s="2" t="e">
        <f ca="1">_xll.BDH($C$103,"INVTRY_FINISHED_GOODS","FQ3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11" s="2" t="e">
        <f ca="1">_xll.BDH($C$103,"BS_OTHER_INV","FQ3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12" spans="1:113" x14ac:dyDescent="0.3">
      <c r="A112" s="6"/>
      <c r="B112" s="6"/>
      <c r="C112" s="6"/>
      <c r="D112" s="6"/>
      <c r="E112" t="s">
        <v>7</v>
      </c>
      <c r="F112" t="e">
        <f ca="1">_xll.BDH($C$103,"RETURN_COM_EQY","FQ4 2015","FQ4 2015","Currency=INR","Period=FQ","BEST_FPERIOD_OVERRIDE=FQ","FILING_STATUS=OR","EQY_CONSOLIDATED=Y","FA_ADJUSTED=GAAP","Sort=A","Dates=H","DateFormat=P","Fill=—","Direction=H","UseDPDF=Y")</f>
        <v>#NAME?</v>
      </c>
      <c r="G112" t="e">
        <f ca="1">_xll.BDH($C$103,"RETURN_ON_ASSET","FQ4 2015","FQ4 2015","Currency=INR","Period=FQ","BEST_FPERIOD_OVERRIDE=FQ","FILING_STATUS=OR","EQY_CONSOLIDATED=Y","FA_ADJUSTED=GAAP","Sort=A","Dates=H","DateFormat=P","Fill=—","Direction=H","UseDPDF=Y")</f>
        <v>#NAME?</v>
      </c>
      <c r="H112" t="e">
        <f ca="1">_xll.BDH($C$103,"RETURN_ON_CAP","FQ4 2015","FQ4 2015","Currency=INR","Period=FQ","BEST_FPERIOD_OVERRIDE=FQ","FILING_STATUS=OR","EQY_CONSOLIDATED=Y","FA_ADJUSTED=GAAP","Sort=A","Dates=H","DateFormat=P","Fill=—","Direction=H","UseDPDF=Y")</f>
        <v>#NAME?</v>
      </c>
      <c r="I112" t="e">
        <f ca="1">_xll.BDH($C$103,"RETURN_ON_INV_CAPITAL","FQ4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12" t="e">
        <f ca="1">_xll.BDH($C$103,"EBITDA_TO_REVENUE","FQ4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112" t="e">
        <f ca="1">_xll.BDH($C$103,"OPER_MARGIN","FQ4 2015","FQ4 2015","Currency=INR","Period=FQ","BEST_FPERIOD_OVERRIDE=FQ","FILING_STATUS=OR","EQY_CONSOLIDATED=Y","FA_ADJUSTED=GAAP","Sort=A","Dates=H","DateFormat=P","Fill=—","Direction=H","UseDPDF=Y")</f>
        <v>#NAME?</v>
      </c>
      <c r="L112" t="e">
        <f ca="1">_xll.BDH($C$103,"INCREMENTAL_OPERATING_MARGIN","FQ4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12" t="e">
        <f ca="1">_xll.BDH($C$103,"PRETAX_INC_TO_NET_SALES","FQ4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12" t="e">
        <f ca="1">_xll.BDH($C$103,"INC_BEF_XO_ITEMS_TO_NET_SALES","FQ4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12" t="e">
        <f ca="1">_xll.BDH($C$103,"PROF_MARGIN","FQ4 2015","FQ4 2015","Currency=INR","Period=FQ","BEST_FPERIOD_OVERRIDE=FQ","FILING_STATUS=OR","EQY_CONSOLIDATED=Y","FA_ADJUSTED=GAAP","Sort=A","Dates=H","DateFormat=P","Fill=—","Direction=H","UseDPDF=Y")</f>
        <v>#NAME?</v>
      </c>
      <c r="P112" t="e">
        <f ca="1">_xll.BDH($C$103,"NET_INCOME_TO_COMMON_MARGIN","FQ4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12" t="e">
        <f ca="1">_xll.BDH($C$103,"EFF_TAX_RATE","FQ4 2015","FQ4 2015","Currency=INR","Period=FQ","BEST_FPERIOD_OVERRIDE=FQ","FILING_STATUS=OR","EQY_CONSOLIDATED=Y","FA_ADJUSTED=GAAP","Sort=A","Dates=H","DateFormat=P","Fill=—","Direction=H","UseDPDF=Y")</f>
        <v>#NAME?</v>
      </c>
      <c r="R112" t="e">
        <f ca="1">_xll.BDH($C$103,"DVD_PAYOUT_RATIO","FQ4 2015","FQ4 2015","Currency=INR","Period=FQ","BEST_FPERIOD_OVERRIDE=FQ","FILING_STATUS=OR","EQY_CONSOLIDATED=Y","FA_ADJUSTED=GAAP","Sort=A","Dates=H","DateFormat=P","Fill=—","Direction=H","UseDPDF=Y")</f>
        <v>#NAME?</v>
      </c>
      <c r="S112" t="e">
        <f ca="1">_xll.BDH($C$103,"SUSTAIN_GROWTH_RT","FQ4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112" s="1" t="e">
        <f ca="1">_xll.BDH($C$103,"SALES_GROWTH","FQ4 2015","FQ4 2015","Currency=INR","Period=FQ","BEST_FPERIOD_OVERRIDE=FQ","FILING_STATUS=OR","EQY_CONSOLIDATED=Y","FA_ADJUSTED=GAAP","Sort=A","Dates=H","DateFormat=P","Fill=—","Direction=H","UseDPDF=Y")</f>
        <v>#NAME?</v>
      </c>
      <c r="U112" s="1" t="e">
        <f ca="1">_xll.BDH($C$103,"EBITDA_GROWTH","FQ4 2015","FQ4 2015","Currency=INR","Period=FQ","BEST_FPERIOD_OVERRIDE=FQ","FILING_STATUS=OR","EQY_CONSOLIDATED=Y","FA_ADJUSTED=GAAP","Sort=A","Dates=H","DateFormat=P","Fill=—","Direction=H","UseDPDF=Y")</f>
        <v>#NAME?</v>
      </c>
      <c r="V112" s="1" t="e">
        <f ca="1">_xll.BDH($C$103,"OPER_INC_GROWTH","FQ4 2015","FQ4 2015","Currency=INR","Period=FQ","BEST_FPERIOD_OVERRIDE=FQ","FILING_STATUS=OR","EQY_CONSOLIDATED=Y","FA_ADJUSTED=GAAP","Sort=A","Dates=H","DateFormat=P","Fill=—","Direction=H","UseDPDF=Y")</f>
        <v>#NAME?</v>
      </c>
      <c r="W112" s="1" t="e">
        <f ca="1">_xll.BDH($C$103,"EARN_FOR_COM_GROWTH","FQ4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12" s="1" t="e">
        <f ca="1">_xll.BDH($C$103,"DILUTED_EPS_AFT_XO_ITEMS_GROWTH","FQ4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12" s="1" t="e">
        <f ca="1">_xll.BDH($C$103,"DIVIDEND_PER_SHARE_1_YEAR_GROWTH","FQ4 2015","FQ4 2015","Currency=INR","Period=FQ","BEST_FPERIOD_OVERRIDE=FQ","FILING_STATUS=OR","EQY_CONSOLIDATED=Y","Sort=A","Dates=H","DateFormat=P","Fill=—","Direction=H","UseDPDF=Y")</f>
        <v>#NAME?</v>
      </c>
      <c r="Z112" s="1" t="e">
        <f ca="1">_xll.BDH($C$103,"ACCOUNTS_RECEIVABLE_GROWTH","FQ4 2015","FQ4 2015","Currency=INR","Period=FQ","BEST_FPERIOD_OVERRIDE=FQ","FILING_STATUS=OR","EQY_CONSOLIDATED=Y","Sort=A","Dates=H","DateFormat=P","Fill=—","Direction=H","UseDPDF=Y")</f>
        <v>#NAME?</v>
      </c>
      <c r="AA112" s="1" t="e">
        <f ca="1">_xll.BDH($C$103,"INVENTORY_GROWTH","FQ4 2015","FQ4 2015","Currency=INR","Period=FQ","BEST_FPERIOD_OVERRIDE=FQ","FILING_STATUS=OR","EQY_CONSOLIDATED=Y","Sort=A","Dates=H","DateFormat=P","Fill=—","Direction=H","UseDPDF=Y")</f>
        <v>#NAME?</v>
      </c>
      <c r="AB112" s="1" t="e">
        <f ca="1">_xll.BDH($C$103,"NET_FIXED_ASSETS_1_YEAR_GROWTH","FQ4 2015","FQ4 2015","Currency=INR","Period=FQ","BEST_FPERIOD_OVERRIDE=FQ","FILING_STATUS=OR","EQY_CONSOLIDATED=Y","Sort=A","Dates=H","DateFormat=P","Fill=—","Direction=H","UseDPDF=Y")</f>
        <v>#NAME?</v>
      </c>
      <c r="AC112" s="1" t="e">
        <f ca="1">_xll.BDH($C$103,"ASSET_GROWTH","FQ4 2015","FQ4 2015","Currency=INR","Period=FQ","BEST_FPERIOD_OVERRIDE=FQ","FILING_STATUS=OR","EQY_CONSOLIDATED=Y","Sort=A","Dates=H","DateFormat=P","Fill=—","Direction=H","UseDPDF=Y")</f>
        <v>#NAME?</v>
      </c>
      <c r="AD112" s="1" t="e">
        <f ca="1">_xll.BDH($C$103,"MODIFIED_WORK_CAP_GROWTH","FQ4 2015","FQ4 2015","Currency=INR","Period=FQ","BEST_FPERIOD_OVERRIDE=FQ","FILING_STATUS=OR","EQY_CONSOLIDATED=Y","Sort=A","Dates=H","DateFormat=P","Fill=—","Direction=H","UseDPDF=Y")</f>
        <v>#NAME?</v>
      </c>
      <c r="AE112" s="1" t="e">
        <f ca="1">_xll.BDH($C$103,"WORK_CAP_GROWTH","FQ4 2015","FQ4 2015","Currency=INR","Period=FQ","BEST_FPERIOD_OVERRIDE=FQ","FILING_STATUS=OR","EQY_CONSOLIDATED=Y","Sort=A","Dates=H","DateFormat=P","Fill=—","Direction=H","UseDPDF=Y")</f>
        <v>#NAME?</v>
      </c>
      <c r="AF112" s="1" t="e">
        <f ca="1">_xll.BDH($C$103,"ACCOUNTS_PAYABLE_GROWTH_1YR","FQ4 2015","FQ4 2015","Currency=INR","Period=FQ","BEST_FPERIOD_OVERRIDE=FQ","FILING_STATUS=OR","EQY_CONSOLIDATED=Y","Sort=A","Dates=H","DateFormat=P","Fill=—","Direction=H","UseDPDF=Y")</f>
        <v>#NAME?</v>
      </c>
      <c r="AG112" s="1" t="e">
        <f ca="1">_xll.BDH($C$103,"SHORT_TERM_DEBT_1_YEAR_GROWTH","FQ4 2015","FQ4 2015","Currency=INR","Period=FQ","BEST_FPERIOD_OVERRIDE=FQ","FILING_STATUS=OR","EQY_CONSOLIDATED=Y","Sort=A","Dates=H","DateFormat=P","Fill=—","Direction=H","UseDPDF=Y")</f>
        <v>#NAME?</v>
      </c>
      <c r="AH112" s="1" t="e">
        <f ca="1">_xll.BDH($C$103,"TOTAL_DEBT_1_YEAR_GROWTH","FQ4 2015","FQ4 2015","Currency=INR","Period=FQ","BEST_FPERIOD_OVERRIDE=FQ","FILING_STATUS=OR","EQY_CONSOLIDATED=Y","Sort=A","Dates=H","DateFormat=P","Fill=—","Direction=H","UseDPDF=Y")</f>
        <v>#NAME?</v>
      </c>
      <c r="AI112" s="1" t="e">
        <f ca="1">_xll.BDH($C$103,"TOTAL_EQUITY_1_YEAR_GROWTH","FQ4 2015","FQ4 2015","Currency=INR","Period=FQ","BEST_FPERIOD_OVERRIDE=FQ","FILING_STATUS=OR","EQY_CONSOLIDATED=Y","Sort=A","Dates=H","DateFormat=P","Fill=—","Direction=H","UseDPDF=Y")</f>
        <v>#NAME?</v>
      </c>
      <c r="AJ112" s="1" t="e">
        <f ca="1">_xll.BDH($C$103,"GROWTH_IN_CAP","FQ4 2015","FQ4 2015","Currency=INR","Period=FQ","BEST_FPERIOD_OVERRIDE=FQ","FILING_STATUS=OR","EQY_CONSOLIDATED=Y","Sort=A","Dates=H","DateFormat=P","Fill=—","Direction=H","UseDPDF=Y")</f>
        <v>#NAME?</v>
      </c>
      <c r="AK112" s="1" t="e">
        <f ca="1">_xll.BDH($C$103,"BVPS_GROWTH","FQ4 2015","FQ4 2015","Currency=INR","Period=FQ","BEST_FPERIOD_OVERRIDE=FQ","FILING_STATUS=OR","EQY_CONSOLIDATED=Y","Sort=A","Dates=H","DateFormat=P","Fill=—","Direction=H","UseDPDF=Y")</f>
        <v>#NAME?</v>
      </c>
      <c r="AL112" s="1" t="e">
        <f ca="1">_xll.BDH($C$103,"CASH_FLOW_GROWTH","FQ4 2015","FQ4 2015","Currency=INR","Period=FQ","BEST_FPERIOD_OVERRIDE=FQ","FILING_STATUS=OR","EQY_CONSOLIDATED=Y","Sort=A","Dates=H","DateFormat=P","Fill=—","Direction=H","UseDPDF=Y")</f>
        <v>#NAME?</v>
      </c>
      <c r="AM112" s="1" t="e">
        <f ca="1">_xll.BDH($C$103,"GEO_GROW_NET_SALES","FQ4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12" s="1" t="e">
        <f ca="1">_xll.BDH($C$103,"GEO_GROW_EBITDA","FQ4 2015","FQ4 2015","Currency=INR","Period=FQ","BEST_FPERIOD_OVERRIDE=FQ","FILING_STATUS=OR","EQY_CONSOLIDATED=Y","FA_ADJUSTED=GAAP","Sort=A","Dates=H","DateFormat=P","Fill=—","Direction=H","UseDPDF=Y")</f>
        <v>#NAME?</v>
      </c>
      <c r="AO112" s="1" t="e">
        <f ca="1">_xll.BDH($C$103,"GEO_GROW_OPER_INC","FQ4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12" s="1" t="e">
        <f ca="1">_xll.BDH($C$103,"NET_INCOME_TO_COMMON_5_YR_GROWTH","FQ4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12" s="1" t="e">
        <f ca="1">_xll.BDH($C$103,"5Y_GEO_GROWTH_DILUTED_EPS","FQ4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12" s="1" t="e">
        <f ca="1">_xll.BDH($C$103,"GEO_GROW_DVD_PER_SH","FQ4 2015","FQ4 2015","Currency=INR","Period=FQ","BEST_FPERIOD_OVERRIDE=FQ","FILING_STATUS=OR","EQY_CONSOLIDATED=Y","Sort=A","Dates=H","DateFormat=P","Fill=—","Direction=H","UseDPDF=Y")</f>
        <v>#NAME?</v>
      </c>
      <c r="AS112" s="1" t="e">
        <f ca="1">_xll.BDH($C$103,"ACCOUNTS_RECEIVABLE_5_YR_GROWTH","FQ4 2015","FQ4 2015","Currency=INR","Period=FQ","BEST_FPERIOD_OVERRIDE=FQ","FILING_STATUS=OR","EQY_CONSOLIDATED=Y","Sort=A","Dates=H","DateFormat=P","Fill=—","Direction=H","UseDPDF=Y")</f>
        <v>#NAME?</v>
      </c>
      <c r="AT112" s="1" t="e">
        <f ca="1">_xll.BDH($C$103,"INVENTORY_5_YEAR_GROWTH","FQ4 2015","FQ4 2015","Currency=INR","Period=FQ","BEST_FPERIOD_OVERRIDE=FQ","FILING_STATUS=OR","EQY_CONSOLIDATED=Y","Sort=A","Dates=H","DateFormat=P","Fill=—","Direction=H","UseDPDF=Y")</f>
        <v>#NAME?</v>
      </c>
      <c r="AU112" s="1" t="e">
        <f ca="1">_xll.BDH($C$103,"NET_FIXED_ASSETS_5_YEAR_GROWTH","FQ4 2015","FQ4 2015","Currency=INR","Period=FQ","BEST_FPERIOD_OVERRIDE=FQ","FILING_STATUS=OR","EQY_CONSOLIDATED=Y","Sort=A","Dates=H","DateFormat=P","Fill=—","Direction=H","UseDPDF=Y")</f>
        <v>#NAME?</v>
      </c>
      <c r="AV112" s="1" t="e">
        <f ca="1">_xll.BDH($C$103,"GEO_GROW_TOT_ASSET","FQ4 2015","FQ4 2015","Currency=INR","Period=FQ","BEST_FPERIOD_OVERRIDE=FQ","FILING_STATUS=OR","EQY_CONSOLIDATED=Y","Sort=A","Dates=H","DateFormat=P","Fill=—","Direction=H","UseDPDF=Y")</f>
        <v>#NAME?</v>
      </c>
      <c r="AW112" s="1" t="e">
        <f ca="1">_xll.BDH($C$103,"MODIFIED_WORKING_CPTL_5YR_GRWTH","FQ4 2015","FQ4 2015","Currency=INR","Period=FQ","BEST_FPERIOD_OVERRIDE=FQ","FILING_STATUS=OR","EQY_CONSOLIDATED=Y","Sort=A","Dates=H","DateFormat=P","Fill=—","Direction=H","UseDPDF=Y")</f>
        <v>#NAME?</v>
      </c>
      <c r="AX112" s="1" t="e">
        <f ca="1">_xll.BDH($C$103,"WORKING_CAPITAL_5_YEAR_GROWTH","FQ4 2015","FQ4 2015","Currency=INR","Period=FQ","BEST_FPERIOD_OVERRIDE=FQ","FILING_STATUS=OR","EQY_CONSOLIDATED=Y","Sort=A","Dates=H","DateFormat=P","Fill=—","Direction=H","UseDPDF=Y")</f>
        <v>#NAME?</v>
      </c>
      <c r="AY112" s="1" t="e">
        <f ca="1">_xll.BDH($C$103,"ACCOUNTS_PAYABLE_5_YEAR_GROWTH","FQ4 2015","FQ4 2015","Currency=INR","Period=FQ","BEST_FPERIOD_OVERRIDE=FQ","FILING_STATUS=OR","EQY_CONSOLIDATED=Y","Sort=A","Dates=H","DateFormat=P","Fill=—","Direction=H","UseDPDF=Y")</f>
        <v>#NAME?</v>
      </c>
      <c r="AZ112" s="1" t="e">
        <f ca="1">_xll.BDH($C$103,"SHORT_TERM_DEBT_5_YEAR_GROWTH","FQ4 2015","FQ4 2015","Currency=INR","Period=FQ","BEST_FPERIOD_OVERRIDE=FQ","FILING_STATUS=OR","EQY_CONSOLIDATED=Y","Sort=A","Dates=H","DateFormat=P","Fill=—","Direction=H","UseDPDF=Y")</f>
        <v>#NAME?</v>
      </c>
      <c r="BA112" s="1" t="e">
        <f ca="1">_xll.BDH($C$103,"TOTAL_DEBT_5_YEAR_GROWTH","FQ4 2015","FQ4 2015","Currency=INR","Period=FQ","BEST_FPERIOD_OVERRIDE=FQ","FILING_STATUS=OR","EQY_CONSOLIDATED=Y","Sort=A","Dates=H","DateFormat=P","Fill=—","Direction=H","UseDPDF=Y")</f>
        <v>#NAME?</v>
      </c>
      <c r="BB112" s="1" t="e">
        <f ca="1">_xll.BDH($C$103,"GEO_GROW_TOT_SHRHLDR_EQY","FQ4 2015","FQ4 2015","Currency=INR","Period=FQ","BEST_FPERIOD_OVERRIDE=FQ","FILING_STATUS=OR","EQY_CONSOLIDATED=Y","Sort=A","Dates=H","DateFormat=P","Fill=—","Direction=H","UseDPDF=Y")</f>
        <v>#NAME?</v>
      </c>
      <c r="BC112" s="1" t="e">
        <f ca="1">_xll.BDH($C$103,"TOTAL_CAPITAL_5_YEAR_GROWTH","FQ4 2015","FQ4 2015","Currency=INR","Period=FQ","BEST_FPERIOD_OVERRIDE=FQ","FILING_STATUS=OR","EQY_CONSOLIDATED=Y","Sort=A","Dates=H","DateFormat=P","Fill=—","Direction=H","UseDPDF=Y")</f>
        <v>#NAME?</v>
      </c>
      <c r="BD112" s="1" t="e">
        <f ca="1">_xll.BDH($C$103,"GEO_GROW_BOOK_VAL","FQ4 2015","FQ4 2015","Currency=INR","Period=FQ","BEST_FPERIOD_OVERRIDE=FQ","FILING_STATUS=OR","EQY_CONSOLIDATED=Y","Sort=A","Dates=H","DateFormat=P","Fill=—","Direction=H","UseDPDF=Y")</f>
        <v>#NAME?</v>
      </c>
      <c r="BE112" s="1" t="e">
        <f ca="1">_xll.BDH($C$103,"GEO_GROW_CASH_OPER_ACT","FQ4 2015","FQ4 2015","Currency=INR","Period=FQ","BEST_FPERIOD_OVERRIDE=FQ","FILING_STATUS=OR","EQY_CONSOLIDATED=Y","Sort=A","Dates=H","DateFormat=P","Fill=—","Direction=H","UseDPDF=Y")</f>
        <v>#NAME?</v>
      </c>
      <c r="BF112" s="1" t="e">
        <f ca="1">_xll.BDH($C$103,"REVENUE_SEQUENTIAL_GROWTH","FQ4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12" s="1" t="e">
        <f ca="1">_xll.BDH($C$103,"EBITDA_SEQUENTIAL_GROWTH","FQ4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12" s="1" t="e">
        <f ca="1">_xll.BDH($C$103,"OPERATING_INCOME_SEQ_GROWTH","FQ4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12" s="1" t="e">
        <f ca="1">_xll.BDH($C$103,"NET_INCOME_TO_COMMON_SEQ_GROWTH","FQ4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12" s="1" t="e">
        <f ca="1">_xll.BDH($C$103,"EPS_DILUTED_SEQUENTIAL_GROWTH","FQ4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12" s="1" t="e">
        <f ca="1">_xll.BDH($C$103,"DPS_SEQUENTIAL_GROWTH","FQ4 2015","FQ4 2015","Currency=INR","Period=FQ","BEST_FPERIOD_OVERRIDE=FQ","FILING_STATUS=OR","EQY_CONSOLIDATED=Y","Sort=A","Dates=H","DateFormat=P","Fill=—","Direction=H","UseDPDF=Y")</f>
        <v>#NAME?</v>
      </c>
      <c r="BL112" s="1" t="e">
        <f ca="1">_xll.BDH($C$103,"ACCOUNTS_RECEIVABLE_SEQ_GROWTH","FQ4 2015","FQ4 2015","Currency=INR","Period=FQ","BEST_FPERIOD_OVERRIDE=FQ","FILING_STATUS=OR","EQY_CONSOLIDATED=Y","Sort=A","Dates=H","DateFormat=P","Fill=—","Direction=H","UseDPDF=Y")</f>
        <v>#NAME?</v>
      </c>
      <c r="BM112" s="1" t="e">
        <f ca="1">_xll.BDH($C$103,"INVENTORY_SEQUENTIAL_GROWTH","FQ4 2015","FQ4 2015","Currency=INR","Period=FQ","BEST_FPERIOD_OVERRIDE=FQ","FILING_STATUS=OR","EQY_CONSOLIDATED=Y","Sort=A","Dates=H","DateFormat=P","Fill=—","Direction=H","UseDPDF=Y")</f>
        <v>#NAME?</v>
      </c>
      <c r="BN112" s="1" t="e">
        <f ca="1">_xll.BDH($C$103,"FIXED_ASSETS_SEQUENTIAL_GROWTH","FQ4 2015","FQ4 2015","Currency=INR","Period=FQ","BEST_FPERIOD_OVERRIDE=FQ","FILING_STATUS=OR","EQY_CONSOLIDATED=Y","Sort=A","Dates=H","DateFormat=P","Fill=—","Direction=H","UseDPDF=Y")</f>
        <v>#NAME?</v>
      </c>
      <c r="BO112" s="1" t="e">
        <f ca="1">_xll.BDH($C$103,"TOTAL_ASSETS_SEQUENTIAL_GROWTH","FQ4 2015","FQ4 2015","Currency=INR","Period=FQ","BEST_FPERIOD_OVERRIDE=FQ","FILING_STATUS=OR","EQY_CONSOLIDATED=Y","Sort=A","Dates=H","DateFormat=P","Fill=—","Direction=H","UseDPDF=Y")</f>
        <v>#NAME?</v>
      </c>
      <c r="BP112" s="1" t="e">
        <f ca="1">_xll.BDH($C$103,"MODIFIED_WORKING_CPTL_SEQ_GRWTH","FQ4 2015","FQ4 2015","Currency=INR","Period=FQ","BEST_FPERIOD_OVERRIDE=FQ","FILING_STATUS=OR","EQY_CONSOLIDATED=Y","Sort=A","Dates=H","DateFormat=P","Fill=—","Direction=H","UseDPDF=Y")</f>
        <v>#NAME?</v>
      </c>
      <c r="BQ112" s="1" t="e">
        <f ca="1">_xll.BDH($C$103,"WORKING_CAPITAL_SEQ_GROWTH","FQ4 2015","FQ4 2015","Currency=INR","Period=FQ","BEST_FPERIOD_OVERRIDE=FQ","FILING_STATUS=OR","EQY_CONSOLIDATED=Y","Sort=A","Dates=H","DateFormat=P","Fill=—","Direction=H","UseDPDF=Y")</f>
        <v>#NAME?</v>
      </c>
      <c r="BR112" s="1" t="e">
        <f ca="1">_xll.BDH($C$103,"ACCOUNTS_PAYABLE_SEQ_GROWTH","FQ4 2015","FQ4 2015","Currency=INR","Period=FQ","BEST_FPERIOD_OVERRIDE=FQ","FILING_STATUS=OR","EQY_CONSOLIDATED=Y","Sort=A","Dates=H","DateFormat=P","Fill=—","Direction=H","UseDPDF=Y")</f>
        <v>#NAME?</v>
      </c>
      <c r="BS112" s="1" t="e">
        <f ca="1">_xll.BDH($C$103,"ST_DEBT_SEQUENTIAL_GROWTH","FQ4 2015","FQ4 2015","Currency=INR","Period=FQ","BEST_FPERIOD_OVERRIDE=FQ","FILING_STATUS=OR","EQY_CONSOLIDATED=Y","Sort=A","Dates=H","DateFormat=P","Fill=—","Direction=H","UseDPDF=Y")</f>
        <v>#NAME?</v>
      </c>
      <c r="BT112" s="1" t="e">
        <f ca="1">_xll.BDH($C$103,"TOTAL_DEBT_SEQUENTIAL_GROWTH","FQ4 2015","FQ4 2015","Currency=INR","Period=FQ","BEST_FPERIOD_OVERRIDE=FQ","FILING_STATUS=OR","EQY_CONSOLIDATED=Y","Sort=A","Dates=H","DateFormat=P","Fill=—","Direction=H","UseDPDF=Y")</f>
        <v>#NAME?</v>
      </c>
      <c r="BU112" s="1" t="e">
        <f ca="1">_xll.BDH($C$103,"TOTAL_EQUITY_SEQUENTIAL_GROWTH","FQ4 2015","FQ4 2015","Currency=INR","Period=FQ","BEST_FPERIOD_OVERRIDE=FQ","FILING_STATUS=OR","EQY_CONSOLIDATED=Y","Sort=A","Dates=H","DateFormat=P","Fill=—","Direction=H","UseDPDF=Y")</f>
        <v>#NAME?</v>
      </c>
      <c r="BV112" s="1" t="e">
        <f ca="1">_xll.BDH($C$103,"TOTAL_CAPITAL_SEQUENTIAL_GROWTH","FQ4 2015","FQ4 2015","Currency=INR","Period=FQ","BEST_FPERIOD_OVERRIDE=FQ","FILING_STATUS=OR","EQY_CONSOLIDATED=Y","Sort=A","Dates=H","DateFormat=P","Fill=—","Direction=H","UseDPDF=Y")</f>
        <v>#NAME?</v>
      </c>
      <c r="BW112" s="1" t="e">
        <f ca="1">_xll.BDH($C$103,"BPS_SEQUENTIAL_GROWTH","FQ4 2015","FQ4 2015","Currency=INR","Period=FQ","BEST_FPERIOD_OVERRIDE=FQ","FILING_STATUS=OR","EQY_CONSOLIDATED=Y","Sort=A","Dates=H","DateFormat=P","Fill=—","Direction=H","UseDPDF=Y")</f>
        <v>#NAME?</v>
      </c>
      <c r="BX112" s="1" t="e">
        <f ca="1">_xll.BDH($C$103,"CFO_SEQUENTIAL_GROWTH","FQ4 2015","FQ4 2015","Currency=INR","Period=FQ","BEST_FPERIOD_OVERRIDE=FQ","FILING_STATUS=OR","EQY_CONSOLIDATED=Y","Sort=A","Dates=H","DateFormat=P","Fill=—","Direction=H","UseDPDF=Y")</f>
        <v>#NAME?</v>
      </c>
      <c r="BY112" s="2" t="e">
        <f ca="1">_xll.BDH($C$103,"SHORT_AND_LONG_TERM_DEBT","FQ4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12" s="2" t="e">
        <f ca="1">_xll.BDH($C$103,"BS_ST_BORROW","FQ4 2015","FQ4 2015","Currency=INR","Period=FQ","BEST_FPERIOD_OVERRIDE=FQ","FILING_STATUS=OR","EQY_CONSOLIDATED=Y","SCALING_FORMAT=MLN","Sort=A","Dates=H","DateFormat=P","Fill=—","Direction=H","UseDPDF=Y")</f>
        <v>#NAME?</v>
      </c>
      <c r="CA112" s="2" t="e">
        <f ca="1">_xll.BDH($C$103,"BS_LT_BORROW","FQ4 2015","FQ4 2015","Currency=INR","Period=FQ","BEST_FPERIOD_OVERRIDE=FQ","FILING_STATUS=OR","EQY_CONSOLIDATED=Y","SCALING_FORMAT=MLN","Sort=A","Dates=H","DateFormat=P","Fill=—","Direction=H","UseDPDF=Y")</f>
        <v>#NAME?</v>
      </c>
      <c r="CB112" s="1" t="e">
        <f ca="1">_xll.BDH($C$103,"TOT_DEBT_TO_EBITDA","FQ4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12" s="1" t="e">
        <f ca="1">_xll.BDH($C$103,"NET_DEBT_TO_EBITDA","FQ4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12" s="1" t="e">
        <f ca="1">_xll.BDH($C$103,"TOTAL_DEBT_TO_EBIT","FQ4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12" s="1" t="e">
        <f ca="1">_xll.BDH($C$103,"NET_DEBT_TO_EBIT","FQ4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112" s="1" t="e">
        <f ca="1">_xll.BDH($C$103,"EBITDA_TO_INTEREST_EXPN","FQ4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12" s="1" t="e">
        <f ca="1">_xll.BDH($C$103,"COM_EQY_TO_TOT_ASSET","FQ4 2015","FQ4 2015","Currency=INR","Period=FQ","BEST_FPERIOD_OVERRIDE=FQ","FILING_STATUS=OR","EQY_CONSOLIDATED=Y","Sort=A","Dates=H","DateFormat=P","Fill=—","Direction=H","UseDPDF=Y")</f>
        <v>#NAME?</v>
      </c>
      <c r="CH112" s="1" t="e">
        <f ca="1">_xll.BDH($C$103,"LT_DEBT_TO_TOT_EQY","FQ4 2015","FQ4 2015","Currency=INR","Period=FQ","BEST_FPERIOD_OVERRIDE=FQ","FILING_STATUS=OR","EQY_CONSOLIDATED=Y","Sort=A","Dates=H","DateFormat=P","Fill=—","Direction=H","UseDPDF=Y")</f>
        <v>#NAME?</v>
      </c>
      <c r="CI112" s="1" t="e">
        <f ca="1">_xll.BDH($C$103,"LT_DEBT_TO_TOT_CAP","FQ4 2015","FQ4 2015","Currency=INR","Period=FQ","BEST_FPERIOD_OVERRIDE=FQ","FILING_STATUS=OR","EQY_CONSOLIDATED=Y","Sort=A","Dates=H","DateFormat=P","Fill=—","Direction=H","UseDPDF=Y")</f>
        <v>#NAME?</v>
      </c>
      <c r="CJ112" s="1" t="e">
        <f ca="1">_xll.BDH($C$103,"LT_DEBT_TO_TOT_ASSET","FQ4 2015","FQ4 2015","Currency=INR","Period=FQ","BEST_FPERIOD_OVERRIDE=FQ","FILING_STATUS=OR","EQY_CONSOLIDATED=Y","Sort=A","Dates=H","DateFormat=P","Fill=—","Direction=H","UseDPDF=Y")</f>
        <v>#NAME?</v>
      </c>
      <c r="CK112" s="1" t="e">
        <f ca="1">_xll.BDH($C$103,"TOT_DEBT_TO_TOT_EQY","FQ4 2015","FQ4 2015","Currency=INR","Period=FQ","BEST_FPERIOD_OVERRIDE=FQ","FILING_STATUS=OR","EQY_CONSOLIDATED=Y","Sort=A","Dates=H","DateFormat=P","Fill=—","Direction=H","UseDPDF=Y")</f>
        <v>#NAME?</v>
      </c>
      <c r="CL112" s="1" t="e">
        <f ca="1">_xll.BDH($C$103,"TOT_DEBT_TO_TOT_CAP","FQ4 2015","FQ4 2015","Currency=INR","Period=FQ","BEST_FPERIOD_OVERRIDE=FQ","FILING_STATUS=OR","EQY_CONSOLIDATED=Y","Sort=A","Dates=H","DateFormat=P","Fill=—","Direction=H","UseDPDF=Y")</f>
        <v>#NAME?</v>
      </c>
      <c r="CM112" s="1" t="e">
        <f ca="1">_xll.BDH($C$103,"TOT_DEBT_TO_TOT_ASSET","FQ4 2015","FQ4 2015","Currency=INR","Period=FQ","BEST_FPERIOD_OVERRIDE=FQ","FILING_STATUS=OR","EQY_CONSOLIDATED=Y","Sort=A","Dates=H","DateFormat=P","Fill=—","Direction=H","UseDPDF=Y")</f>
        <v>#NAME?</v>
      </c>
      <c r="CN112" s="1" t="e">
        <f ca="1">_xll.BDH($C$103,"NET_DEBT_TO_SHRHLDR_EQTY","FQ4 2015","FQ4 2015","Currency=INR","Period=FQ","BEST_FPERIOD_OVERRIDE=FQ","FILING_STATUS=OR","EQY_CONSOLIDATED=Y","Sort=A","Dates=H","DateFormat=P","Fill=—","Direction=H","UseDPDF=Y")</f>
        <v>#NAME?</v>
      </c>
      <c r="CO112" s="1" t="e">
        <f ca="1">_xll.BDH($C$103,"NET_DEBT_%_CAPITAL","FQ4 2015","FQ4 2015","Currency=INR","Period=FQ","BEST_FPERIOD_OVERRIDE=FQ","FILING_STATUS=OR","EQY_CONSOLIDATED=Y","Sort=A","Dates=H","DateFormat=P","Fill=—","Direction=H","UseDPDF=Y")</f>
        <v>#NAME?</v>
      </c>
      <c r="CP112" s="2" t="e">
        <f ca="1">_xll.BDH($C$103,"EBITDA","FQ4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12" s="2" t="e">
        <f ca="1">_xll.BDH($C$103,"EBITDA_AFTER_CAPEX","FQ4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12" s="2" t="e">
        <f ca="1">_xll.BDH($C$103,"IS_OPER_INC","FQ4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12" s="1" t="e">
        <f ca="1">_xll.BDH($C$103,"CASH_RATIO","FQ4 2015","FQ4 2015","Currency=INR","Period=FQ","BEST_FPERIOD_OVERRIDE=FQ","FILING_STATUS=OR","EQY_CONSOLIDATED=Y","Sort=A","Dates=H","DateFormat=P","Fill=—","Direction=H","UseDPDF=Y")</f>
        <v>#NAME?</v>
      </c>
      <c r="CT112" s="1" t="e">
        <f ca="1">_xll.BDH($C$103,"CUR_RATIO","FQ4 2015","FQ4 2015","Currency=INR","Period=FQ","BEST_FPERIOD_OVERRIDE=FQ","FILING_STATUS=OR","EQY_CONSOLIDATED=Y","Sort=A","Dates=H","DateFormat=P","Fill=—","Direction=H","UseDPDF=Y")</f>
        <v>#NAME?</v>
      </c>
      <c r="CU112" s="1" t="e">
        <f ca="1">_xll.BDH($C$103,"QUICK_RATIO","FQ4 2015","FQ4 2015","Currency=INR","Period=FQ","BEST_FPERIOD_OVERRIDE=FQ","FILING_STATUS=OR","EQY_CONSOLIDATED=Y","Sort=A","Dates=H","DateFormat=P","Fill=—","Direction=H","UseDPDF=Y")</f>
        <v>#NAME?</v>
      </c>
      <c r="CV112" s="1" t="e">
        <f ca="1">_xll.BDH($C$103,"ALTMAN_Z_SCORE","FQ4 2015","FQ4 2015","Currency=INR","Period=FQ","BEST_FPERIOD_OVERRIDE=FQ","FILING_STATUS=OR","EQY_CONSOLIDATED=Y","Sort=A","Dates=H","DateFormat=P","Fill=—","Direction=H","UseDPDF=Y")</f>
        <v>#NAME?</v>
      </c>
      <c r="CW112" s="3" t="e">
        <f ca="1">_xll.BDH($C$103,"ACCT_RCV_TURN","FQ4 2015","FQ4 2015","Currency=INR","Period=FQ","BEST_FPERIOD_OVERRIDE=FQ","FILING_STATUS=OR","EQY_CONSOLIDATED=Y","FA_ADJUSTED=GAAP","Sort=A","Dates=H","DateFormat=P","Fill=—","Direction=H","UseDPDF=Y")</f>
        <v>#NAME?</v>
      </c>
      <c r="CX112" s="1" t="e">
        <f ca="1">_xll.BDH($C$103,"ACCT_RCV_DAYS","FQ4 2015","FQ4 2015","Currency=INR","Period=FQ","BEST_FPERIOD_OVERRIDE=FQ","FILING_STATUS=OR","EQY_CONSOLIDATED=Y","FA_ADJUSTED=GAAP","Sort=A","Dates=H","DateFormat=P","Fill=—","Direction=H","UseDPDF=Y")</f>
        <v>#NAME?</v>
      </c>
      <c r="CY112" s="3" t="e">
        <f ca="1">_xll.BDH($C$103,"INVENT_TURN","FQ4 2015","FQ4 2015","Currency=INR","Period=FQ","BEST_FPERIOD_OVERRIDE=FQ","FILING_STATUS=OR","EQY_CONSOLIDATED=Y","FA_ADJUSTED=GAAP","Sort=A","Dates=H","DateFormat=P","Fill=—","Direction=H","UseDPDF=Y")</f>
        <v>#NAME?</v>
      </c>
      <c r="CZ112" s="1" t="e">
        <f ca="1">_xll.BDH($C$103,"INVENT_DAYS","FQ4 2015","FQ4 2015","Currency=INR","Period=FQ","BEST_FPERIOD_OVERRIDE=FQ","FILING_STATUS=OR","EQY_CONSOLIDATED=Y","FA_ADJUSTED=GAAP","Sort=A","Dates=H","DateFormat=P","Fill=—","Direction=H","UseDPDF=Y")</f>
        <v>#NAME?</v>
      </c>
      <c r="DA112" s="3" t="e">
        <f ca="1">_xll.BDH($C$103,"ACCOUNTS_PAYABLE_TURNOVER","FQ4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12" s="1" t="e">
        <f ca="1">_xll.BDH($C$103,"ACCOUNTS_PAYABLE_TURNOVER_DAYS","FQ4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12" s="3" t="e">
        <f ca="1">_xll.BDH($C$103,"CASH_CONVERSION_CYCLE","FQ4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12" s="3" t="e">
        <f ca="1">_xll.BDH($C$103,"INV_TO_CASH_DAYS","FQ4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112" s="4" t="e">
        <f ca="1">_xll.BDH($C$103,"BS_INVENTORIES","FQ4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112" s="2" t="e">
        <f ca="1">_xll.BDH($C$103,"INVTRY_RAW_MATERIALS","FQ4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12" s="2" t="e">
        <f ca="1">_xll.BDH($C$103,"INVTRY_IN_PROGRESS","FQ4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12" s="2" t="e">
        <f ca="1">_xll.BDH($C$103,"INVTRY_FINISHED_GOODS","FQ4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12" s="2" t="e">
        <f ca="1">_xll.BDH($C$103,"BS_OTHER_INV","FQ4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13" spans="1:113" x14ac:dyDescent="0.3">
      <c r="A113" s="6"/>
      <c r="B113" s="6"/>
      <c r="C113" s="6"/>
      <c r="D113" s="6" t="s">
        <v>9</v>
      </c>
      <c r="E113" t="s">
        <v>3</v>
      </c>
      <c r="F113" t="e">
        <f ca="1">_xll.BDH($C$103,"RETURN_COM_EQY","FY 2016","FY 2016","Currency=INR","Period=FY","BEST_FPERIOD_OVERRIDE=FY","FILING_STATUS=OR","EQY_CONSOLIDATED=Y","FA_ADJUSTED=GAAP","Sort=A","Dates=H","DateFormat=P","Fill=—","Direction=H","UseDPDF=Y")</f>
        <v>#NAME?</v>
      </c>
      <c r="G113" t="e">
        <f ca="1">_xll.BDH($C$103,"RETURN_ON_ASSET","FY 2016","FY 2016","Currency=INR","Period=FY","BEST_FPERIOD_OVERRIDE=FY","FILING_STATUS=OR","EQY_CONSOLIDATED=Y","FA_ADJUSTED=GAAP","Sort=A","Dates=H","DateFormat=P","Fill=—","Direction=H","UseDPDF=Y")</f>
        <v>#NAME?</v>
      </c>
      <c r="H113" t="e">
        <f ca="1">_xll.BDH($C$103,"RETURN_ON_CAP","FY 2016","FY 2016","Currency=INR","Period=FY","BEST_FPERIOD_OVERRIDE=FY","FILING_STATUS=OR","EQY_CONSOLIDATED=Y","FA_ADJUSTED=GAAP","Sort=A","Dates=H","DateFormat=P","Fill=—","Direction=H","UseDPDF=Y")</f>
        <v>#NAME?</v>
      </c>
      <c r="I113" t="e">
        <f ca="1">_xll.BDH($C$103,"RETURN_ON_INV_CAPITAL","FY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13" t="e">
        <f ca="1">_xll.BDH($C$103,"EBITDA_TO_REVENUE","FY 2016","FY 2016","Currency=INR","Period=FY","BEST_FPERIOD_OVERRIDE=FY","FILING_STATUS=OR","EQY_CONSOLIDATED=Y","FA_ADJUSTED=GAAP","Sort=A","Dates=H","DateFormat=P","Fill=—","Direction=H","UseDPDF=Y")</f>
        <v>#NAME?</v>
      </c>
      <c r="K113" t="e">
        <f ca="1">_xll.BDH($C$103,"OPER_MARGIN","FY 2016","FY 2016","Currency=INR","Period=FY","BEST_FPERIOD_OVERRIDE=FY","FILING_STATUS=OR","EQY_CONSOLIDATED=Y","FA_ADJUSTED=GAAP","Sort=A","Dates=H","DateFormat=P","Fill=—","Direction=H","UseDPDF=Y")</f>
        <v>#NAME?</v>
      </c>
      <c r="L113" t="e">
        <f ca="1">_xll.BDH($C$103,"INCREMENTAL_OPERATING_MARGIN","FY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13" t="e">
        <f ca="1">_xll.BDH($C$103,"PRETAX_INC_TO_NET_SALES","FY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13" t="e">
        <f ca="1">_xll.BDH($C$103,"INC_BEF_XO_ITEMS_TO_NET_SALES","FY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13" t="e">
        <f ca="1">_xll.BDH($C$103,"PROF_MARGIN","FY 2016","FY 2016","Currency=INR","Period=FY","BEST_FPERIOD_OVERRIDE=FY","FILING_STATUS=OR","EQY_CONSOLIDATED=Y","FA_ADJUSTED=GAAP","Sort=A","Dates=H","DateFormat=P","Fill=—","Direction=H","UseDPDF=Y")</f>
        <v>#NAME?</v>
      </c>
      <c r="P113" t="e">
        <f ca="1">_xll.BDH($C$103,"NET_INCOME_TO_COMMON_MARGIN","FY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13" t="e">
        <f ca="1">_xll.BDH($C$103,"EFF_TAX_RATE","FY 2016","FY 2016","Currency=INR","Period=FY","BEST_FPERIOD_OVERRIDE=FY","FILING_STATUS=OR","EQY_CONSOLIDATED=Y","FA_ADJUSTED=GAAP","Sort=A","Dates=H","DateFormat=P","Fill=—","Direction=H","UseDPDF=Y")</f>
        <v>#NAME?</v>
      </c>
      <c r="R113" t="e">
        <f ca="1">_xll.BDH($C$103,"DVD_PAYOUT_RATIO","FY 2016","FY 2016","Currency=INR","Period=FY","BEST_FPERIOD_OVERRIDE=FY","FILING_STATUS=OR","EQY_CONSOLIDATED=Y","FA_ADJUSTED=GAAP","Sort=A","Dates=H","DateFormat=P","Fill=—","Direction=H","UseDPDF=Y")</f>
        <v>#NAME?</v>
      </c>
      <c r="S113" t="e">
        <f ca="1">_xll.BDH($C$103,"SUSTAIN_GROWTH_RT","FY 2016","FY 2016","Currency=INR","Period=FY","BEST_FPERIOD_OVERRIDE=FY","FILING_STATUS=OR","EQY_CONSOLIDATED=Y","FA_ADJUSTED=GAAP","Sort=A","Dates=H","DateFormat=P","Fill=—","Direction=H","UseDPDF=Y")</f>
        <v>#NAME?</v>
      </c>
      <c r="T113" s="1" t="e">
        <f ca="1">_xll.BDH($C$103,"SALES_GROWTH","FY 2016","FY 2016","Currency=INR","Period=FY","BEST_FPERIOD_OVERRIDE=FY","FILING_STATUS=OR","EQY_CONSOLIDATED=Y","FA_ADJUSTED=GAAP","Sort=A","Dates=H","DateFormat=P","Fill=—","Direction=H","UseDPDF=Y")</f>
        <v>#NAME?</v>
      </c>
      <c r="U113" s="1" t="e">
        <f ca="1">_xll.BDH($C$103,"EBITDA_GROWTH","FY 2016","FY 2016","Currency=INR","Period=FY","BEST_FPERIOD_OVERRIDE=FY","FILING_STATUS=OR","EQY_CONSOLIDATED=Y","FA_ADJUSTED=GAAP","Sort=A","Dates=H","DateFormat=P","Fill=—","Direction=H","UseDPDF=Y")</f>
        <v>#NAME?</v>
      </c>
      <c r="V113" s="1" t="e">
        <f ca="1">_xll.BDH($C$103,"OPER_INC_GROWTH","FY 2016","FY 2016","Currency=INR","Period=FY","BEST_FPERIOD_OVERRIDE=FY","FILING_STATUS=OR","EQY_CONSOLIDATED=Y","FA_ADJUSTED=GAAP","Sort=A","Dates=H","DateFormat=P","Fill=—","Direction=H","UseDPDF=Y")</f>
        <v>#NAME?</v>
      </c>
      <c r="W113" s="1" t="e">
        <f ca="1">_xll.BDH($C$103,"EARN_FOR_COM_GROWTH","FY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113" s="1" t="e">
        <f ca="1">_xll.BDH($C$103,"DILUTED_EPS_AFT_XO_ITEMS_GROWTH","FY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13" s="1" t="e">
        <f ca="1">_xll.BDH($C$103,"DIVIDEND_PER_SHARE_1_YEAR_GROWTH","FY 2016","FY 2016","Currency=INR","Period=FY","BEST_FPERIOD_OVERRIDE=FY","FILING_STATUS=OR","EQY_CONSOLIDATED=Y","Sort=A","Dates=H","DateFormat=P","Fill=—","Direction=H","UseDPDF=Y")</f>
        <v>#NAME?</v>
      </c>
      <c r="Z113" s="1" t="e">
        <f ca="1">_xll.BDH($C$103,"ACCOUNTS_RECEIVABLE_GROWTH","FY 2016","FY 2016","Currency=INR","Period=FY","BEST_FPERIOD_OVERRIDE=FY","FILING_STATUS=OR","EQY_CONSOLIDATED=Y","Sort=A","Dates=H","DateFormat=P","Fill=—","Direction=H","UseDPDF=Y")</f>
        <v>#NAME?</v>
      </c>
      <c r="AA113" s="1" t="e">
        <f ca="1">_xll.BDH($C$103,"INVENTORY_GROWTH","FY 2016","FY 2016","Currency=INR","Period=FY","BEST_FPERIOD_OVERRIDE=FY","FILING_STATUS=OR","EQY_CONSOLIDATED=Y","Sort=A","Dates=H","DateFormat=P","Fill=—","Direction=H","UseDPDF=Y")</f>
        <v>#NAME?</v>
      </c>
      <c r="AB113" s="1" t="e">
        <f ca="1">_xll.BDH($C$103,"NET_FIXED_ASSETS_1_YEAR_GROWTH","FY 2016","FY 2016","Currency=INR","Period=FY","BEST_FPERIOD_OVERRIDE=FY","FILING_STATUS=OR","EQY_CONSOLIDATED=Y","Sort=A","Dates=H","DateFormat=P","Fill=—","Direction=H","UseDPDF=Y")</f>
        <v>#NAME?</v>
      </c>
      <c r="AC113" s="1" t="e">
        <f ca="1">_xll.BDH($C$103,"ASSET_GROWTH","FY 2016","FY 2016","Currency=INR","Period=FY","BEST_FPERIOD_OVERRIDE=FY","FILING_STATUS=OR","EQY_CONSOLIDATED=Y","Sort=A","Dates=H","DateFormat=P","Fill=—","Direction=H","UseDPDF=Y")</f>
        <v>#NAME?</v>
      </c>
      <c r="AD113" s="1" t="e">
        <f ca="1">_xll.BDH($C$103,"MODIFIED_WORK_CAP_GROWTH","FY 2016","FY 2016","Currency=INR","Period=FY","BEST_FPERIOD_OVERRIDE=FY","FILING_STATUS=OR","EQY_CONSOLIDATED=Y","Sort=A","Dates=H","DateFormat=P","Fill=—","Direction=H","UseDPDF=Y")</f>
        <v>#NAME?</v>
      </c>
      <c r="AE113" s="1" t="e">
        <f ca="1">_xll.BDH($C$103,"WORK_CAP_GROWTH","FY 2016","FY 2016","Currency=INR","Period=FY","BEST_FPERIOD_OVERRIDE=FY","FILING_STATUS=OR","EQY_CONSOLIDATED=Y","Sort=A","Dates=H","DateFormat=P","Fill=—","Direction=H","UseDPDF=Y")</f>
        <v>#NAME?</v>
      </c>
      <c r="AF113" s="1" t="e">
        <f ca="1">_xll.BDH($C$103,"ACCOUNTS_PAYABLE_GROWTH_1YR","FY 2016","FY 2016","Currency=INR","Period=FY","BEST_FPERIOD_OVERRIDE=FY","FILING_STATUS=OR","EQY_CONSOLIDATED=Y","Sort=A","Dates=H","DateFormat=P","Fill=—","Direction=H","UseDPDF=Y")</f>
        <v>#NAME?</v>
      </c>
      <c r="AG113" s="1" t="e">
        <f ca="1">_xll.BDH($C$103,"SHORT_TERM_DEBT_1_YEAR_GROWTH","FY 2016","FY 2016","Currency=INR","Period=FY","BEST_FPERIOD_OVERRIDE=FY","FILING_STATUS=OR","EQY_CONSOLIDATED=Y","Sort=A","Dates=H","DateFormat=P","Fill=—","Direction=H","UseDPDF=Y")</f>
        <v>#NAME?</v>
      </c>
      <c r="AH113" s="1" t="e">
        <f ca="1">_xll.BDH($C$103,"TOTAL_DEBT_1_YEAR_GROWTH","FY 2016","FY 2016","Currency=INR","Period=FY","BEST_FPERIOD_OVERRIDE=FY","FILING_STATUS=OR","EQY_CONSOLIDATED=Y","Sort=A","Dates=H","DateFormat=P","Fill=—","Direction=H","UseDPDF=Y")</f>
        <v>#NAME?</v>
      </c>
      <c r="AI113" s="1" t="e">
        <f ca="1">_xll.BDH($C$103,"TOTAL_EQUITY_1_YEAR_GROWTH","FY 2016","FY 2016","Currency=INR","Period=FY","BEST_FPERIOD_OVERRIDE=FY","FILING_STATUS=OR","EQY_CONSOLIDATED=Y","Sort=A","Dates=H","DateFormat=P","Fill=—","Direction=H","UseDPDF=Y")</f>
        <v>#NAME?</v>
      </c>
      <c r="AJ113" s="1" t="e">
        <f ca="1">_xll.BDH($C$103,"GROWTH_IN_CAP","FY 2016","FY 2016","Currency=INR","Period=FY","BEST_FPERIOD_OVERRIDE=FY","FILING_STATUS=OR","EQY_CONSOLIDATED=Y","Sort=A","Dates=H","DateFormat=P","Fill=—","Direction=H","UseDPDF=Y")</f>
        <v>#NAME?</v>
      </c>
      <c r="AK113" s="1" t="e">
        <f ca="1">_xll.BDH($C$103,"BVPS_GROWTH","FY 2016","FY 2016","Currency=INR","Period=FY","BEST_FPERIOD_OVERRIDE=FY","FILING_STATUS=OR","EQY_CONSOLIDATED=Y","Sort=A","Dates=H","DateFormat=P","Fill=—","Direction=H","UseDPDF=Y")</f>
        <v>#NAME?</v>
      </c>
      <c r="AL113" s="1" t="e">
        <f ca="1">_xll.BDH($C$103,"CASH_FLOW_GROWTH","FY 2016","FY 2016","Currency=INR","Period=FY","BEST_FPERIOD_OVERRIDE=FY","FILING_STATUS=OR","EQY_CONSOLIDATED=Y","Sort=A","Dates=H","DateFormat=P","Fill=—","Direction=H","UseDPDF=Y")</f>
        <v>#NAME?</v>
      </c>
      <c r="AM113" s="1" t="e">
        <f ca="1">_xll.BDH($C$103,"GEO_GROW_NET_SALES","FY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113" s="1" t="e">
        <f ca="1">_xll.BDH($C$103,"GEO_GROW_EBITDA","FY 2016","FY 2016","Currency=INR","Period=FY","BEST_FPERIOD_OVERRIDE=FY","FILING_STATUS=OR","EQY_CONSOLIDATED=Y","FA_ADJUSTED=GAAP","Sort=A","Dates=H","DateFormat=P","Fill=—","Direction=H","UseDPDF=Y")</f>
        <v>#NAME?</v>
      </c>
      <c r="AO113" s="1" t="e">
        <f ca="1">_xll.BDH($C$103,"GEO_GROW_OPER_INC","FY 2016","FY 2016","Currency=INR","Period=FY","BEST_FPERIOD_OVERRIDE=FY","FILING_STATUS=OR","EQY_CONSOLIDATED=Y","FA_ADJUSTED=GAAP","Sort=A","Dates=H","DateFormat=P","Fill=—","Direction=H","UseDPDF=Y")</f>
        <v>#NAME?</v>
      </c>
      <c r="AP113" s="1" t="e">
        <f ca="1">_xll.BDH($C$103,"NET_INCOME_TO_COMMON_5_YR_GROWTH","FY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13" s="1" t="e">
        <f ca="1">_xll.BDH($C$103,"5Y_GEO_GROWTH_DILUTED_EPS","FY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13" s="1" t="e">
        <f ca="1">_xll.BDH($C$103,"GEO_GROW_DVD_PER_SH","FY 2016","FY 2016","Currency=INR","Period=FY","BEST_FPERIOD_OVERRIDE=FY","FILING_STATUS=OR","EQY_CONSOLIDATED=Y","Sort=A","Dates=H","DateFormat=P","Fill=—","Direction=H","UseDPDF=Y")</f>
        <v>#NAME?</v>
      </c>
      <c r="AS113" s="1" t="e">
        <f ca="1">_xll.BDH($C$103,"ACCOUNTS_RECEIVABLE_5_YR_GROWTH","FY 2016","FY 2016","Currency=INR","Period=FY","BEST_FPERIOD_OVERRIDE=FY","FILING_STATUS=OR","EQY_CONSOLIDATED=Y","Sort=A","Dates=H","DateFormat=P","Fill=—","Direction=H","UseDPDF=Y")</f>
        <v>#NAME?</v>
      </c>
      <c r="AT113" s="1" t="e">
        <f ca="1">_xll.BDH($C$103,"INVENTORY_5_YEAR_GROWTH","FY 2016","FY 2016","Currency=INR","Period=FY","BEST_FPERIOD_OVERRIDE=FY","FILING_STATUS=OR","EQY_CONSOLIDATED=Y","Sort=A","Dates=H","DateFormat=P","Fill=—","Direction=H","UseDPDF=Y")</f>
        <v>#NAME?</v>
      </c>
      <c r="AU113" s="1" t="e">
        <f ca="1">_xll.BDH($C$103,"NET_FIXED_ASSETS_5_YEAR_GROWTH","FY 2016","FY 2016","Currency=INR","Period=FY","BEST_FPERIOD_OVERRIDE=FY","FILING_STATUS=OR","EQY_CONSOLIDATED=Y","Sort=A","Dates=H","DateFormat=P","Fill=—","Direction=H","UseDPDF=Y")</f>
        <v>#NAME?</v>
      </c>
      <c r="AV113" s="1" t="e">
        <f ca="1">_xll.BDH($C$103,"GEO_GROW_TOT_ASSET","FY 2016","FY 2016","Currency=INR","Period=FY","BEST_FPERIOD_OVERRIDE=FY","FILING_STATUS=OR","EQY_CONSOLIDATED=Y","Sort=A","Dates=H","DateFormat=P","Fill=—","Direction=H","UseDPDF=Y")</f>
        <v>#NAME?</v>
      </c>
      <c r="AW113" s="1" t="e">
        <f ca="1">_xll.BDH($C$103,"MODIFIED_WORKING_CPTL_5YR_GRWTH","FY 2016","FY 2016","Currency=INR","Period=FY","BEST_FPERIOD_OVERRIDE=FY","FILING_STATUS=OR","EQY_CONSOLIDATED=Y","Sort=A","Dates=H","DateFormat=P","Fill=—","Direction=H","UseDPDF=Y")</f>
        <v>#NAME?</v>
      </c>
      <c r="AX113" s="1" t="e">
        <f ca="1">_xll.BDH($C$103,"WORKING_CAPITAL_5_YEAR_GROWTH","FY 2016","FY 2016","Currency=INR","Period=FY","BEST_FPERIOD_OVERRIDE=FY","FILING_STATUS=OR","EQY_CONSOLIDATED=Y","Sort=A","Dates=H","DateFormat=P","Fill=—","Direction=H","UseDPDF=Y")</f>
        <v>#NAME?</v>
      </c>
      <c r="AY113" s="1" t="e">
        <f ca="1">_xll.BDH($C$103,"ACCOUNTS_PAYABLE_5_YEAR_GROWTH","FY 2016","FY 2016","Currency=INR","Period=FY","BEST_FPERIOD_OVERRIDE=FY","FILING_STATUS=OR","EQY_CONSOLIDATED=Y","Sort=A","Dates=H","DateFormat=P","Fill=—","Direction=H","UseDPDF=Y")</f>
        <v>#NAME?</v>
      </c>
      <c r="AZ113" s="1" t="e">
        <f ca="1">_xll.BDH($C$103,"SHORT_TERM_DEBT_5_YEAR_GROWTH","FY 2016","FY 2016","Currency=INR","Period=FY","BEST_FPERIOD_OVERRIDE=FY","FILING_STATUS=OR","EQY_CONSOLIDATED=Y","Sort=A","Dates=H","DateFormat=P","Fill=—","Direction=H","UseDPDF=Y")</f>
        <v>#NAME?</v>
      </c>
      <c r="BA113" s="1" t="e">
        <f ca="1">_xll.BDH($C$103,"TOTAL_DEBT_5_YEAR_GROWTH","FY 2016","FY 2016","Currency=INR","Period=FY","BEST_FPERIOD_OVERRIDE=FY","FILING_STATUS=OR","EQY_CONSOLIDATED=Y","Sort=A","Dates=H","DateFormat=P","Fill=—","Direction=H","UseDPDF=Y")</f>
        <v>#NAME?</v>
      </c>
      <c r="BB113" s="1" t="e">
        <f ca="1">_xll.BDH($C$103,"GEO_GROW_TOT_SHRHLDR_EQY","FY 2016","FY 2016","Currency=INR","Period=FY","BEST_FPERIOD_OVERRIDE=FY","FILING_STATUS=OR","EQY_CONSOLIDATED=Y","Sort=A","Dates=H","DateFormat=P","Fill=—","Direction=H","UseDPDF=Y")</f>
        <v>#NAME?</v>
      </c>
      <c r="BC113" s="1" t="e">
        <f ca="1">_xll.BDH($C$103,"TOTAL_CAPITAL_5_YEAR_GROWTH","FY 2016","FY 2016","Currency=INR","Period=FY","BEST_FPERIOD_OVERRIDE=FY","FILING_STATUS=OR","EQY_CONSOLIDATED=Y","Sort=A","Dates=H","DateFormat=P","Fill=—","Direction=H","UseDPDF=Y")</f>
        <v>#NAME?</v>
      </c>
      <c r="BD113" s="1" t="e">
        <f ca="1">_xll.BDH($C$103,"GEO_GROW_BOOK_VAL","FY 2016","FY 2016","Currency=INR","Period=FY","BEST_FPERIOD_OVERRIDE=FY","FILING_STATUS=OR","EQY_CONSOLIDATED=Y","Sort=A","Dates=H","DateFormat=P","Fill=—","Direction=H","UseDPDF=Y")</f>
        <v>#NAME?</v>
      </c>
      <c r="BE113" s="1" t="e">
        <f ca="1">_xll.BDH($C$103,"GEO_GROW_CASH_OPER_ACT","FY 2016","FY 2016","Currency=INR","Period=FY","BEST_FPERIOD_OVERRIDE=FY","FILING_STATUS=OR","EQY_CONSOLIDATED=Y","Sort=A","Dates=H","DateFormat=P","Fill=—","Direction=H","UseDPDF=Y")</f>
        <v>#NAME?</v>
      </c>
      <c r="BF113" s="1" t="e">
        <f ca="1">_xll.BDH($C$103,"REVENUE_SEQUENTIAL_GROWTH","FY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13" s="1" t="e">
        <f ca="1">_xll.BDH($C$103,"EBITDA_SEQUENTIAL_GROWTH","FY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13" s="1" t="e">
        <f ca="1">_xll.BDH($C$103,"OPERATING_INCOME_SEQ_GROWTH","FY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13" s="1" t="e">
        <f ca="1">_xll.BDH($C$103,"NET_INCOME_TO_COMMON_SEQ_GROWTH","FY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13" s="1" t="e">
        <f ca="1">_xll.BDH($C$103,"EPS_DILUTED_SEQUENTIAL_GROWTH","FY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13" s="1" t="e">
        <f ca="1">_xll.BDH($C$103,"DPS_SEQUENTIAL_GROWTH","FY 2016","FY 2016","Currency=INR","Period=FY","BEST_FPERIOD_OVERRIDE=FY","FILING_STATUS=OR","EQY_CONSOLIDATED=Y","Sort=A","Dates=H","DateFormat=P","Fill=—","Direction=H","UseDPDF=Y")</f>
        <v>#NAME?</v>
      </c>
      <c r="BL113" s="1" t="e">
        <f ca="1">_xll.BDH($C$103,"ACCOUNTS_RECEIVABLE_SEQ_GROWTH","FY 2016","FY 2016","Currency=INR","Period=FY","BEST_FPERIOD_OVERRIDE=FY","FILING_STATUS=OR","EQY_CONSOLIDATED=Y","Sort=A","Dates=H","DateFormat=P","Fill=—","Direction=H","UseDPDF=Y")</f>
        <v>#NAME?</v>
      </c>
      <c r="BM113" s="1" t="e">
        <f ca="1">_xll.BDH($C$103,"INVENTORY_SEQUENTIAL_GROWTH","FY 2016","FY 2016","Currency=INR","Period=FY","BEST_FPERIOD_OVERRIDE=FY","FILING_STATUS=OR","EQY_CONSOLIDATED=Y","Sort=A","Dates=H","DateFormat=P","Fill=—","Direction=H","UseDPDF=Y")</f>
        <v>#NAME?</v>
      </c>
      <c r="BN113" s="1" t="e">
        <f ca="1">_xll.BDH($C$103,"FIXED_ASSETS_SEQUENTIAL_GROWTH","FY 2016","FY 2016","Currency=INR","Period=FY","BEST_FPERIOD_OVERRIDE=FY","FILING_STATUS=OR","EQY_CONSOLIDATED=Y","Sort=A","Dates=H","DateFormat=P","Fill=—","Direction=H","UseDPDF=Y")</f>
        <v>#NAME?</v>
      </c>
      <c r="BO113" s="1" t="e">
        <f ca="1">_xll.BDH($C$103,"TOTAL_ASSETS_SEQUENTIAL_GROWTH","FY 2016","FY 2016","Currency=INR","Period=FY","BEST_FPERIOD_OVERRIDE=FY","FILING_STATUS=OR","EQY_CONSOLIDATED=Y","Sort=A","Dates=H","DateFormat=P","Fill=—","Direction=H","UseDPDF=Y")</f>
        <v>#NAME?</v>
      </c>
      <c r="BP113" s="1" t="e">
        <f ca="1">_xll.BDH($C$103,"MODIFIED_WORKING_CPTL_SEQ_GRWTH","FY 2016","FY 2016","Currency=INR","Period=FY","BEST_FPERIOD_OVERRIDE=FY","FILING_STATUS=OR","EQY_CONSOLIDATED=Y","Sort=A","Dates=H","DateFormat=P","Fill=—","Direction=H","UseDPDF=Y")</f>
        <v>#NAME?</v>
      </c>
      <c r="BQ113" s="1" t="e">
        <f ca="1">_xll.BDH($C$103,"WORKING_CAPITAL_SEQ_GROWTH","FY 2016","FY 2016","Currency=INR","Period=FY","BEST_FPERIOD_OVERRIDE=FY","FILING_STATUS=OR","EQY_CONSOLIDATED=Y","Sort=A","Dates=H","DateFormat=P","Fill=—","Direction=H","UseDPDF=Y")</f>
        <v>#NAME?</v>
      </c>
      <c r="BR113" s="1" t="e">
        <f ca="1">_xll.BDH($C$103,"ACCOUNTS_PAYABLE_SEQ_GROWTH","FY 2016","FY 2016","Currency=INR","Period=FY","BEST_FPERIOD_OVERRIDE=FY","FILING_STATUS=OR","EQY_CONSOLIDATED=Y","Sort=A","Dates=H","DateFormat=P","Fill=—","Direction=H","UseDPDF=Y")</f>
        <v>#NAME?</v>
      </c>
      <c r="BS113" s="1" t="e">
        <f ca="1">_xll.BDH($C$103,"ST_DEBT_SEQUENTIAL_GROWTH","FY 2016","FY 2016","Currency=INR","Period=FY","BEST_FPERIOD_OVERRIDE=FY","FILING_STATUS=OR","EQY_CONSOLIDATED=Y","Sort=A","Dates=H","DateFormat=P","Fill=—","Direction=H","UseDPDF=Y")</f>
        <v>#NAME?</v>
      </c>
      <c r="BT113" s="1" t="e">
        <f ca="1">_xll.BDH($C$103,"TOTAL_DEBT_SEQUENTIAL_GROWTH","FY 2016","FY 2016","Currency=INR","Period=FY","BEST_FPERIOD_OVERRIDE=FY","FILING_STATUS=OR","EQY_CONSOLIDATED=Y","Sort=A","Dates=H","DateFormat=P","Fill=—","Direction=H","UseDPDF=Y")</f>
        <v>#NAME?</v>
      </c>
      <c r="BU113" s="1" t="e">
        <f ca="1">_xll.BDH($C$103,"TOTAL_EQUITY_SEQUENTIAL_GROWTH","FY 2016","FY 2016","Currency=INR","Period=FY","BEST_FPERIOD_OVERRIDE=FY","FILING_STATUS=OR","EQY_CONSOLIDATED=Y","Sort=A","Dates=H","DateFormat=P","Fill=—","Direction=H","UseDPDF=Y")</f>
        <v>#NAME?</v>
      </c>
      <c r="BV113" s="1" t="e">
        <f ca="1">_xll.BDH($C$103,"TOTAL_CAPITAL_SEQUENTIAL_GROWTH","FY 2016","FY 2016","Currency=INR","Period=FY","BEST_FPERIOD_OVERRIDE=FY","FILING_STATUS=OR","EQY_CONSOLIDATED=Y","Sort=A","Dates=H","DateFormat=P","Fill=—","Direction=H","UseDPDF=Y")</f>
        <v>#NAME?</v>
      </c>
      <c r="BW113" s="1" t="e">
        <f ca="1">_xll.BDH($C$103,"BPS_SEQUENTIAL_GROWTH","FY 2016","FY 2016","Currency=INR","Period=FY","BEST_FPERIOD_OVERRIDE=FY","FILING_STATUS=OR","EQY_CONSOLIDATED=Y","Sort=A","Dates=H","DateFormat=P","Fill=—","Direction=H","UseDPDF=Y")</f>
        <v>#NAME?</v>
      </c>
      <c r="BX113" s="1" t="e">
        <f ca="1">_xll.BDH($C$103,"CFO_SEQUENTIAL_GROWTH","FY 2016","FY 2016","Currency=INR","Period=FY","BEST_FPERIOD_OVERRIDE=FY","FILING_STATUS=OR","EQY_CONSOLIDATED=Y","Sort=A","Dates=H","DateFormat=P","Fill=—","Direction=H","UseDPDF=Y")</f>
        <v>#NAME?</v>
      </c>
      <c r="BY113" s="2" t="e">
        <f ca="1">_xll.BDH($C$103,"SHORT_AND_LONG_TERM_DEBT","FY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13" s="2" t="e">
        <f ca="1">_xll.BDH($C$103,"BS_ST_BORROW","FY 2016","FY 2016","Currency=INR","Period=FY","BEST_FPERIOD_OVERRIDE=FY","FILING_STATUS=OR","EQY_CONSOLIDATED=Y","SCALING_FORMAT=MLN","Sort=A","Dates=H","DateFormat=P","Fill=—","Direction=H","UseDPDF=Y")</f>
        <v>#NAME?</v>
      </c>
      <c r="CA113" s="2" t="e">
        <f ca="1">_xll.BDH($C$103,"BS_LT_BORROW","FY 2016","FY 2016","Currency=INR","Period=FY","BEST_FPERIOD_OVERRIDE=FY","FILING_STATUS=OR","EQY_CONSOLIDATED=Y","SCALING_FORMAT=MLN","Sort=A","Dates=H","DateFormat=P","Fill=—","Direction=H","UseDPDF=Y")</f>
        <v>#NAME?</v>
      </c>
      <c r="CB113" s="1" t="e">
        <f ca="1">_xll.BDH($C$103,"TOT_DEBT_TO_EBITDA","FY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113" s="1" t="e">
        <f ca="1">_xll.BDH($C$103,"NET_DEBT_TO_EBITDA","FY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113" s="1" t="e">
        <f ca="1">_xll.BDH($C$103,"TOTAL_DEBT_TO_EBIT","FY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113" s="1" t="e">
        <f ca="1">_xll.BDH($C$103,"NET_DEBT_TO_EBIT","FY 2016","FY 2016","Currency=INR","Period=FY","BEST_FPERIOD_OVERRIDE=FY","FILING_STATUS=OR","EQY_CONSOLIDATED=Y","FA_ADJUSTED=GAAP","Sort=A","Dates=H","DateFormat=P","Fill=—","Direction=H","UseDPDF=Y")</f>
        <v>#NAME?</v>
      </c>
      <c r="CF113" s="1" t="e">
        <f ca="1">_xll.BDH($C$103,"EBITDA_TO_INTEREST_EXPN","FY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13" s="1" t="e">
        <f ca="1">_xll.BDH($C$103,"COM_EQY_TO_TOT_ASSET","FY 2016","FY 2016","Currency=INR","Period=FY","BEST_FPERIOD_OVERRIDE=FY","FILING_STATUS=OR","EQY_CONSOLIDATED=Y","Sort=A","Dates=H","DateFormat=P","Fill=—","Direction=H","UseDPDF=Y")</f>
        <v>#NAME?</v>
      </c>
      <c r="CH113" s="1" t="e">
        <f ca="1">_xll.BDH($C$103,"LT_DEBT_TO_TOT_EQY","FY 2016","FY 2016","Currency=INR","Period=FY","BEST_FPERIOD_OVERRIDE=FY","FILING_STATUS=OR","EQY_CONSOLIDATED=Y","Sort=A","Dates=H","DateFormat=P","Fill=—","Direction=H","UseDPDF=Y")</f>
        <v>#NAME?</v>
      </c>
      <c r="CI113" s="1" t="e">
        <f ca="1">_xll.BDH($C$103,"LT_DEBT_TO_TOT_CAP","FY 2016","FY 2016","Currency=INR","Period=FY","BEST_FPERIOD_OVERRIDE=FY","FILING_STATUS=OR","EQY_CONSOLIDATED=Y","Sort=A","Dates=H","DateFormat=P","Fill=—","Direction=H","UseDPDF=Y")</f>
        <v>#NAME?</v>
      </c>
      <c r="CJ113" s="1" t="e">
        <f ca="1">_xll.BDH($C$103,"LT_DEBT_TO_TOT_ASSET","FY 2016","FY 2016","Currency=INR","Period=FY","BEST_FPERIOD_OVERRIDE=FY","FILING_STATUS=OR","EQY_CONSOLIDATED=Y","Sort=A","Dates=H","DateFormat=P","Fill=—","Direction=H","UseDPDF=Y")</f>
        <v>#NAME?</v>
      </c>
      <c r="CK113" s="1" t="e">
        <f ca="1">_xll.BDH($C$103,"TOT_DEBT_TO_TOT_EQY","FY 2016","FY 2016","Currency=INR","Period=FY","BEST_FPERIOD_OVERRIDE=FY","FILING_STATUS=OR","EQY_CONSOLIDATED=Y","Sort=A","Dates=H","DateFormat=P","Fill=—","Direction=H","UseDPDF=Y")</f>
        <v>#NAME?</v>
      </c>
      <c r="CL113" s="1" t="e">
        <f ca="1">_xll.BDH($C$103,"TOT_DEBT_TO_TOT_CAP","FY 2016","FY 2016","Currency=INR","Period=FY","BEST_FPERIOD_OVERRIDE=FY","FILING_STATUS=OR","EQY_CONSOLIDATED=Y","Sort=A","Dates=H","DateFormat=P","Fill=—","Direction=H","UseDPDF=Y")</f>
        <v>#NAME?</v>
      </c>
      <c r="CM113" s="1" t="e">
        <f ca="1">_xll.BDH($C$103,"TOT_DEBT_TO_TOT_ASSET","FY 2016","FY 2016","Currency=INR","Period=FY","BEST_FPERIOD_OVERRIDE=FY","FILING_STATUS=OR","EQY_CONSOLIDATED=Y","Sort=A","Dates=H","DateFormat=P","Fill=—","Direction=H","UseDPDF=Y")</f>
        <v>#NAME?</v>
      </c>
      <c r="CN113" s="1" t="e">
        <f ca="1">_xll.BDH($C$103,"NET_DEBT_TO_SHRHLDR_EQTY","FY 2016","FY 2016","Currency=INR","Period=FY","BEST_FPERIOD_OVERRIDE=FY","FILING_STATUS=OR","EQY_CONSOLIDATED=Y","Sort=A","Dates=H","DateFormat=P","Fill=—","Direction=H","UseDPDF=Y")</f>
        <v>#NAME?</v>
      </c>
      <c r="CO113" s="1" t="e">
        <f ca="1">_xll.BDH($C$103,"NET_DEBT_%_CAPITAL","FY 2016","FY 2016","Currency=INR","Period=FY","BEST_FPERIOD_OVERRIDE=FY","FILING_STATUS=OR","EQY_CONSOLIDATED=Y","Sort=A","Dates=H","DateFormat=P","Fill=—","Direction=H","UseDPDF=Y")</f>
        <v>#NAME?</v>
      </c>
      <c r="CP113" s="2" t="e">
        <f ca="1">_xll.BDH($C$103,"EBITDA","FY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13" s="2" t="e">
        <f ca="1">_xll.BDH($C$103,"EBITDA_AFTER_CAPEX","FY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13" s="2" t="e">
        <f ca="1">_xll.BDH($C$103,"IS_OPER_INC","FY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13" s="1" t="e">
        <f ca="1">_xll.BDH($C$103,"CASH_RATIO","FY 2016","FY 2016","Currency=INR","Period=FY","BEST_FPERIOD_OVERRIDE=FY","FILING_STATUS=OR","EQY_CONSOLIDATED=Y","Sort=A","Dates=H","DateFormat=P","Fill=—","Direction=H","UseDPDF=Y")</f>
        <v>#NAME?</v>
      </c>
      <c r="CT113" s="1" t="e">
        <f ca="1">_xll.BDH($C$103,"CUR_RATIO","FY 2016","FY 2016","Currency=INR","Period=FY","BEST_FPERIOD_OVERRIDE=FY","FILING_STATUS=OR","EQY_CONSOLIDATED=Y","Sort=A","Dates=H","DateFormat=P","Fill=—","Direction=H","UseDPDF=Y")</f>
        <v>#NAME?</v>
      </c>
      <c r="CU113" s="1" t="e">
        <f ca="1">_xll.BDH($C$103,"QUICK_RATIO","FY 2016","FY 2016","Currency=INR","Period=FY","BEST_FPERIOD_OVERRIDE=FY","FILING_STATUS=OR","EQY_CONSOLIDATED=Y","Sort=A","Dates=H","DateFormat=P","Fill=—","Direction=H","UseDPDF=Y")</f>
        <v>#NAME?</v>
      </c>
      <c r="CV113" s="1" t="e">
        <f ca="1">_xll.BDH($C$103,"ALTMAN_Z_SCORE","FY 2016","FY 2016","Currency=INR","Period=FY","BEST_FPERIOD_OVERRIDE=FY","FILING_STATUS=OR","EQY_CONSOLIDATED=Y","Sort=A","Dates=H","DateFormat=P","Fill=—","Direction=H","UseDPDF=Y")</f>
        <v>#NAME?</v>
      </c>
      <c r="CW113" s="3" t="e">
        <f ca="1">_xll.BDH($C$103,"ACCT_RCV_TURN","FY 2016","FY 2016","Currency=INR","Period=FY","BEST_FPERIOD_OVERRIDE=FY","FILING_STATUS=OR","EQY_CONSOLIDATED=Y","FA_ADJUSTED=GAAP","Sort=A","Dates=H","DateFormat=P","Fill=—","Direction=H","UseDPDF=Y")</f>
        <v>#NAME?</v>
      </c>
      <c r="CX113" s="1" t="e">
        <f ca="1">_xll.BDH($C$103,"ACCT_RCV_DAYS","FY 2016","FY 2016","Currency=INR","Period=FY","BEST_FPERIOD_OVERRIDE=FY","FILING_STATUS=OR","EQY_CONSOLIDATED=Y","FA_ADJUSTED=GAAP","Sort=A","Dates=H","DateFormat=P","Fill=—","Direction=H","UseDPDF=Y")</f>
        <v>#NAME?</v>
      </c>
      <c r="CY113" s="3" t="e">
        <f ca="1">_xll.BDH($C$103,"INVENT_TURN","FY 2016","FY 2016","Currency=INR","Period=FY","BEST_FPERIOD_OVERRIDE=FY","FILING_STATUS=OR","EQY_CONSOLIDATED=Y","FA_ADJUSTED=GAAP","Sort=A","Dates=H","DateFormat=P","Fill=—","Direction=H","UseDPDF=Y")</f>
        <v>#NAME?</v>
      </c>
      <c r="CZ113" s="1" t="e">
        <f ca="1">_xll.BDH($C$103,"INVENT_DAYS","FY 2016","FY 2016","Currency=INR","Period=FY","BEST_FPERIOD_OVERRIDE=FY","FILING_STATUS=OR","EQY_CONSOLIDATED=Y","FA_ADJUSTED=GAAP","Sort=A","Dates=H","DateFormat=P","Fill=—","Direction=H","UseDPDF=Y")</f>
        <v>#NAME?</v>
      </c>
      <c r="DA113" s="3" t="e">
        <f ca="1">_xll.BDH($C$103,"ACCOUNTS_PAYABLE_TURNOVER","FY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13" s="1" t="e">
        <f ca="1">_xll.BDH($C$103,"ACCOUNTS_PAYABLE_TURNOVER_DAYS","FY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13" s="3" t="e">
        <f ca="1">_xll.BDH($C$103,"CASH_CONVERSION_CYCLE","FY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13" s="3" t="e">
        <f ca="1">_xll.BDH($C$103,"INV_TO_CASH_DAYS","FY 2016","FY 2016","Currency=INR","Period=FY","BEST_FPERIOD_OVERRIDE=FY","FILING_STATUS=OR","EQY_CONSOLIDATED=Y","FA_ADJUSTED=GAAP","Sort=A","Dates=H","DateFormat=P","Fill=—","Direction=H","UseDPDF=Y")</f>
        <v>#NAME?</v>
      </c>
      <c r="DE113" s="4" t="e">
        <f ca="1">_xll.BDH($C$103,"BS_INVENTORIES","FY 2016","FY 2016","Currency=INR","Period=FY","BEST_FPERIOD_OVERRIDE=FY","FILING_STATUS=OR","EQY_CONSOLIDATED=Y","SCALING_FORMAT=MLN","Sort=A","Dates=H","DateFormat=P","Fill=—","Direction=H","UseDPDF=Y")</f>
        <v>#NAME?</v>
      </c>
      <c r="DF113" s="2" t="e">
        <f ca="1">_xll.BDH($C$103,"INVTRY_RAW_MATERIALS","FY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13" s="2" t="e">
        <f ca="1">_xll.BDH($C$103,"INVTRY_IN_PROGRESS","FY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13" s="2" t="e">
        <f ca="1">_xll.BDH($C$103,"INVTRY_FINISHED_GOODS","FY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13" s="2" t="e">
        <f ca="1">_xll.BDH($C$103,"BS_OTHER_INV","FY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14" spans="1:113" x14ac:dyDescent="0.3">
      <c r="A114" s="6"/>
      <c r="B114" s="6"/>
      <c r="C114" s="6"/>
      <c r="D114" s="6"/>
      <c r="E114" t="s">
        <v>4</v>
      </c>
      <c r="F114" t="e">
        <f ca="1">_xll.BDH($C$103,"RETURN_COM_EQY","FQ1 2016","FQ1 2016","Currency=INR","Period=FQ","BEST_FPERIOD_OVERRIDE=FQ","FILING_STATUS=OR","EQY_CONSOLIDATED=Y","FA_ADJUSTED=GAAP","Sort=A","Dates=H","DateFormat=P","Fill=—","Direction=H","UseDPDF=Y")</f>
        <v>#NAME?</v>
      </c>
      <c r="G114" t="e">
        <f ca="1">_xll.BDH($C$103,"RETURN_ON_ASSET","FQ1 2016","FQ1 2016","Currency=INR","Period=FQ","BEST_FPERIOD_OVERRIDE=FQ","FILING_STATUS=OR","EQY_CONSOLIDATED=Y","FA_ADJUSTED=GAAP","Sort=A","Dates=H","DateFormat=P","Fill=—","Direction=H","UseDPDF=Y")</f>
        <v>#NAME?</v>
      </c>
      <c r="H114" t="e">
        <f ca="1">_xll.BDH($C$103,"RETURN_ON_CAP","FQ1 2016","FQ1 2016","Currency=INR","Period=FQ","BEST_FPERIOD_OVERRIDE=FQ","FILING_STATUS=OR","EQY_CONSOLIDATED=Y","FA_ADJUSTED=GAAP","Sort=A","Dates=H","DateFormat=P","Fill=—","Direction=H","UseDPDF=Y")</f>
        <v>#NAME?</v>
      </c>
      <c r="I114" t="e">
        <f ca="1">_xll.BDH($C$103,"RETURN_ON_INV_CAPITAL","FQ1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14" t="e">
        <f ca="1">_xll.BDH($C$103,"EBITDA_TO_REVENUE","FQ1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114" t="e">
        <f ca="1">_xll.BDH($C$103,"OPER_MARGIN","FQ1 2016","FQ1 2016","Currency=INR","Period=FQ","BEST_FPERIOD_OVERRIDE=FQ","FILING_STATUS=OR","EQY_CONSOLIDATED=Y","FA_ADJUSTED=GAAP","Sort=A","Dates=H","DateFormat=P","Fill=—","Direction=H","UseDPDF=Y")</f>
        <v>#NAME?</v>
      </c>
      <c r="L114" t="e">
        <f ca="1">_xll.BDH($C$103,"INCREMENTAL_OPERATING_MARGIN","FQ1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14" t="e">
        <f ca="1">_xll.BDH($C$103,"PRETAX_INC_TO_NET_SALES","FQ1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14" t="e">
        <f ca="1">_xll.BDH($C$103,"INC_BEF_XO_ITEMS_TO_NET_SALES","FQ1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14" t="e">
        <f ca="1">_xll.BDH($C$103,"PROF_MARGIN","FQ1 2016","FQ1 2016","Currency=INR","Period=FQ","BEST_FPERIOD_OVERRIDE=FQ","FILING_STATUS=OR","EQY_CONSOLIDATED=Y","FA_ADJUSTED=GAAP","Sort=A","Dates=H","DateFormat=P","Fill=—","Direction=H","UseDPDF=Y")</f>
        <v>#NAME?</v>
      </c>
      <c r="P114" t="e">
        <f ca="1">_xll.BDH($C$103,"NET_INCOME_TO_COMMON_MARGIN","FQ1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14" t="e">
        <f ca="1">_xll.BDH($C$103,"EFF_TAX_RATE","FQ1 2016","FQ1 2016","Currency=INR","Period=FQ","BEST_FPERIOD_OVERRIDE=FQ","FILING_STATUS=OR","EQY_CONSOLIDATED=Y","FA_ADJUSTED=GAAP","Sort=A","Dates=H","DateFormat=P","Fill=—","Direction=H","UseDPDF=Y")</f>
        <v>#NAME?</v>
      </c>
      <c r="R114" t="e">
        <f ca="1">_xll.BDH($C$103,"DVD_PAYOUT_RATIO","FQ1 2016","FQ1 2016","Currency=INR","Period=FQ","BEST_FPERIOD_OVERRIDE=FQ","FILING_STATUS=OR","EQY_CONSOLIDATED=Y","FA_ADJUSTED=GAAP","Sort=A","Dates=H","DateFormat=P","Fill=—","Direction=H","UseDPDF=Y")</f>
        <v>#NAME?</v>
      </c>
      <c r="S114" t="e">
        <f ca="1">_xll.BDH($C$103,"SUSTAIN_GROWTH_RT","FQ1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114" s="1" t="e">
        <f ca="1">_xll.BDH($C$103,"SALES_GROWTH","FQ1 2016","FQ1 2016","Currency=INR","Period=FQ","BEST_FPERIOD_OVERRIDE=FQ","FILING_STATUS=OR","EQY_CONSOLIDATED=Y","FA_ADJUSTED=GAAP","Sort=A","Dates=H","DateFormat=P","Fill=—","Direction=H","UseDPDF=Y")</f>
        <v>#NAME?</v>
      </c>
      <c r="U114" s="1" t="e">
        <f ca="1">_xll.BDH($C$103,"EBITDA_GROWTH","FQ1 2016","FQ1 2016","Currency=INR","Period=FQ","BEST_FPERIOD_OVERRIDE=FQ","FILING_STATUS=OR","EQY_CONSOLIDATED=Y","FA_ADJUSTED=GAAP","Sort=A","Dates=H","DateFormat=P","Fill=—","Direction=H","UseDPDF=Y")</f>
        <v>#NAME?</v>
      </c>
      <c r="V114" s="1" t="e">
        <f ca="1">_xll.BDH($C$103,"OPER_INC_GROWTH","FQ1 2016","FQ1 2016","Currency=INR","Period=FQ","BEST_FPERIOD_OVERRIDE=FQ","FILING_STATUS=OR","EQY_CONSOLIDATED=Y","FA_ADJUSTED=GAAP","Sort=A","Dates=H","DateFormat=P","Fill=—","Direction=H","UseDPDF=Y")</f>
        <v>#NAME?</v>
      </c>
      <c r="W114" s="1" t="e">
        <f ca="1">_xll.BDH($C$103,"EARN_FOR_COM_GROWTH","FQ1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14" s="1" t="e">
        <f ca="1">_xll.BDH($C$103,"DILUTED_EPS_AFT_XO_ITEMS_GROWTH","FQ1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14" s="1" t="e">
        <f ca="1">_xll.BDH($C$103,"DIVIDEND_PER_SHARE_1_YEAR_GROWTH","FQ1 2016","FQ1 2016","Currency=INR","Period=FQ","BEST_FPERIOD_OVERRIDE=FQ","FILING_STATUS=OR","EQY_CONSOLIDATED=Y","Sort=A","Dates=H","DateFormat=P","Fill=—","Direction=H","UseDPDF=Y")</f>
        <v>#NAME?</v>
      </c>
      <c r="Z114" s="1" t="e">
        <f ca="1">_xll.BDH($C$103,"ACCOUNTS_RECEIVABLE_GROWTH","FQ1 2016","FQ1 2016","Currency=INR","Period=FQ","BEST_FPERIOD_OVERRIDE=FQ","FILING_STATUS=OR","EQY_CONSOLIDATED=Y","Sort=A","Dates=H","DateFormat=P","Fill=—","Direction=H","UseDPDF=Y")</f>
        <v>#NAME?</v>
      </c>
      <c r="AA114" s="1" t="e">
        <f ca="1">_xll.BDH($C$103,"INVENTORY_GROWTH","FQ1 2016","FQ1 2016","Currency=INR","Period=FQ","BEST_FPERIOD_OVERRIDE=FQ","FILING_STATUS=OR","EQY_CONSOLIDATED=Y","Sort=A","Dates=H","DateFormat=P","Fill=—","Direction=H","UseDPDF=Y")</f>
        <v>#NAME?</v>
      </c>
      <c r="AB114" s="1" t="e">
        <f ca="1">_xll.BDH($C$103,"NET_FIXED_ASSETS_1_YEAR_GROWTH","FQ1 2016","FQ1 2016","Currency=INR","Period=FQ","BEST_FPERIOD_OVERRIDE=FQ","FILING_STATUS=OR","EQY_CONSOLIDATED=Y","Sort=A","Dates=H","DateFormat=P","Fill=—","Direction=H","UseDPDF=Y")</f>
        <v>#NAME?</v>
      </c>
      <c r="AC114" s="1" t="e">
        <f ca="1">_xll.BDH($C$103,"ASSET_GROWTH","FQ1 2016","FQ1 2016","Currency=INR","Period=FQ","BEST_FPERIOD_OVERRIDE=FQ","FILING_STATUS=OR","EQY_CONSOLIDATED=Y","Sort=A","Dates=H","DateFormat=P","Fill=—","Direction=H","UseDPDF=Y")</f>
        <v>#NAME?</v>
      </c>
      <c r="AD114" s="1" t="e">
        <f ca="1">_xll.BDH($C$103,"MODIFIED_WORK_CAP_GROWTH","FQ1 2016","FQ1 2016","Currency=INR","Period=FQ","BEST_FPERIOD_OVERRIDE=FQ","FILING_STATUS=OR","EQY_CONSOLIDATED=Y","Sort=A","Dates=H","DateFormat=P","Fill=—","Direction=H","UseDPDF=Y")</f>
        <v>#NAME?</v>
      </c>
      <c r="AE114" s="1" t="e">
        <f ca="1">_xll.BDH($C$103,"WORK_CAP_GROWTH","FQ1 2016","FQ1 2016","Currency=INR","Period=FQ","BEST_FPERIOD_OVERRIDE=FQ","FILING_STATUS=OR","EQY_CONSOLIDATED=Y","Sort=A","Dates=H","DateFormat=P","Fill=—","Direction=H","UseDPDF=Y")</f>
        <v>#NAME?</v>
      </c>
      <c r="AF114" s="1" t="e">
        <f ca="1">_xll.BDH($C$103,"ACCOUNTS_PAYABLE_GROWTH_1YR","FQ1 2016","FQ1 2016","Currency=INR","Period=FQ","BEST_FPERIOD_OVERRIDE=FQ","FILING_STATUS=OR","EQY_CONSOLIDATED=Y","Sort=A","Dates=H","DateFormat=P","Fill=—","Direction=H","UseDPDF=Y")</f>
        <v>#NAME?</v>
      </c>
      <c r="AG114" s="1" t="e">
        <f ca="1">_xll.BDH($C$103,"SHORT_TERM_DEBT_1_YEAR_GROWTH","FQ1 2016","FQ1 2016","Currency=INR","Period=FQ","BEST_FPERIOD_OVERRIDE=FQ","FILING_STATUS=OR","EQY_CONSOLIDATED=Y","Sort=A","Dates=H","DateFormat=P","Fill=—","Direction=H","UseDPDF=Y")</f>
        <v>#NAME?</v>
      </c>
      <c r="AH114" s="1" t="e">
        <f ca="1">_xll.BDH($C$103,"TOTAL_DEBT_1_YEAR_GROWTH","FQ1 2016","FQ1 2016","Currency=INR","Period=FQ","BEST_FPERIOD_OVERRIDE=FQ","FILING_STATUS=OR","EQY_CONSOLIDATED=Y","Sort=A","Dates=H","DateFormat=P","Fill=—","Direction=H","UseDPDF=Y")</f>
        <v>#NAME?</v>
      </c>
      <c r="AI114" s="1" t="e">
        <f ca="1">_xll.BDH($C$103,"TOTAL_EQUITY_1_YEAR_GROWTH","FQ1 2016","FQ1 2016","Currency=INR","Period=FQ","BEST_FPERIOD_OVERRIDE=FQ","FILING_STATUS=OR","EQY_CONSOLIDATED=Y","Sort=A","Dates=H","DateFormat=P","Fill=—","Direction=H","UseDPDF=Y")</f>
        <v>#NAME?</v>
      </c>
      <c r="AJ114" s="1" t="e">
        <f ca="1">_xll.BDH($C$103,"GROWTH_IN_CAP","FQ1 2016","FQ1 2016","Currency=INR","Period=FQ","BEST_FPERIOD_OVERRIDE=FQ","FILING_STATUS=OR","EQY_CONSOLIDATED=Y","Sort=A","Dates=H","DateFormat=P","Fill=—","Direction=H","UseDPDF=Y")</f>
        <v>#NAME?</v>
      </c>
      <c r="AK114" s="1" t="e">
        <f ca="1">_xll.BDH($C$103,"BVPS_GROWTH","FQ1 2016","FQ1 2016","Currency=INR","Period=FQ","BEST_FPERIOD_OVERRIDE=FQ","FILING_STATUS=OR","EQY_CONSOLIDATED=Y","Sort=A","Dates=H","DateFormat=P","Fill=—","Direction=H","UseDPDF=Y")</f>
        <v>#NAME?</v>
      </c>
      <c r="AL114" s="1" t="e">
        <f ca="1">_xll.BDH($C$103,"CASH_FLOW_GROWTH","FQ1 2016","FQ1 2016","Currency=INR","Period=FQ","BEST_FPERIOD_OVERRIDE=FQ","FILING_STATUS=OR","EQY_CONSOLIDATED=Y","Sort=A","Dates=H","DateFormat=P","Fill=—","Direction=H","UseDPDF=Y")</f>
        <v>#NAME?</v>
      </c>
      <c r="AM114" s="1" t="e">
        <f ca="1">_xll.BDH($C$103,"GEO_GROW_NET_SALES","FQ1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14" s="1" t="e">
        <f ca="1">_xll.BDH($C$103,"GEO_GROW_EBITDA","FQ1 2016","FQ1 2016","Currency=INR","Period=FQ","BEST_FPERIOD_OVERRIDE=FQ","FILING_STATUS=OR","EQY_CONSOLIDATED=Y","FA_ADJUSTED=GAAP","Sort=A","Dates=H","DateFormat=P","Fill=—","Direction=H","UseDPDF=Y")</f>
        <v>#NAME?</v>
      </c>
      <c r="AO114" s="1" t="e">
        <f ca="1">_xll.BDH($C$103,"GEO_GROW_OPER_INC","FQ1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14" s="1" t="e">
        <f ca="1">_xll.BDH($C$103,"NET_INCOME_TO_COMMON_5_YR_GROWTH","FQ1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14" s="1" t="e">
        <f ca="1">_xll.BDH($C$103,"5Y_GEO_GROWTH_DILUTED_EPS","FQ1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14" s="1" t="e">
        <f ca="1">_xll.BDH($C$103,"GEO_GROW_DVD_PER_SH","FQ1 2016","FQ1 2016","Currency=INR","Period=FQ","BEST_FPERIOD_OVERRIDE=FQ","FILING_STATUS=OR","EQY_CONSOLIDATED=Y","Sort=A","Dates=H","DateFormat=P","Fill=—","Direction=H","UseDPDF=Y")</f>
        <v>#NAME?</v>
      </c>
      <c r="AS114" s="1" t="e">
        <f ca="1">_xll.BDH($C$103,"ACCOUNTS_RECEIVABLE_5_YR_GROWTH","FQ1 2016","FQ1 2016","Currency=INR","Period=FQ","BEST_FPERIOD_OVERRIDE=FQ","FILING_STATUS=OR","EQY_CONSOLIDATED=Y","Sort=A","Dates=H","DateFormat=P","Fill=—","Direction=H","UseDPDF=Y")</f>
        <v>#NAME?</v>
      </c>
      <c r="AT114" s="1" t="e">
        <f ca="1">_xll.BDH($C$103,"INVENTORY_5_YEAR_GROWTH","FQ1 2016","FQ1 2016","Currency=INR","Period=FQ","BEST_FPERIOD_OVERRIDE=FQ","FILING_STATUS=OR","EQY_CONSOLIDATED=Y","Sort=A","Dates=H","DateFormat=P","Fill=—","Direction=H","UseDPDF=Y")</f>
        <v>#NAME?</v>
      </c>
      <c r="AU114" s="1" t="e">
        <f ca="1">_xll.BDH($C$103,"NET_FIXED_ASSETS_5_YEAR_GROWTH","FQ1 2016","FQ1 2016","Currency=INR","Period=FQ","BEST_FPERIOD_OVERRIDE=FQ","FILING_STATUS=OR","EQY_CONSOLIDATED=Y","Sort=A","Dates=H","DateFormat=P","Fill=—","Direction=H","UseDPDF=Y")</f>
        <v>#NAME?</v>
      </c>
      <c r="AV114" s="1" t="e">
        <f ca="1">_xll.BDH($C$103,"GEO_GROW_TOT_ASSET","FQ1 2016","FQ1 2016","Currency=INR","Period=FQ","BEST_FPERIOD_OVERRIDE=FQ","FILING_STATUS=OR","EQY_CONSOLIDATED=Y","Sort=A","Dates=H","DateFormat=P","Fill=—","Direction=H","UseDPDF=Y")</f>
        <v>#NAME?</v>
      </c>
      <c r="AW114" s="1" t="e">
        <f ca="1">_xll.BDH($C$103,"MODIFIED_WORKING_CPTL_5YR_GRWTH","FQ1 2016","FQ1 2016","Currency=INR","Period=FQ","BEST_FPERIOD_OVERRIDE=FQ","FILING_STATUS=OR","EQY_CONSOLIDATED=Y","Sort=A","Dates=H","DateFormat=P","Fill=—","Direction=H","UseDPDF=Y")</f>
        <v>#NAME?</v>
      </c>
      <c r="AX114" s="1" t="e">
        <f ca="1">_xll.BDH($C$103,"WORKING_CAPITAL_5_YEAR_GROWTH","FQ1 2016","FQ1 2016","Currency=INR","Period=FQ","BEST_FPERIOD_OVERRIDE=FQ","FILING_STATUS=OR","EQY_CONSOLIDATED=Y","Sort=A","Dates=H","DateFormat=P","Fill=—","Direction=H","UseDPDF=Y")</f>
        <v>#NAME?</v>
      </c>
      <c r="AY114" s="1" t="e">
        <f ca="1">_xll.BDH($C$103,"ACCOUNTS_PAYABLE_5_YEAR_GROWTH","FQ1 2016","FQ1 2016","Currency=INR","Period=FQ","BEST_FPERIOD_OVERRIDE=FQ","FILING_STATUS=OR","EQY_CONSOLIDATED=Y","Sort=A","Dates=H","DateFormat=P","Fill=—","Direction=H","UseDPDF=Y")</f>
        <v>#NAME?</v>
      </c>
      <c r="AZ114" s="1" t="e">
        <f ca="1">_xll.BDH($C$103,"SHORT_TERM_DEBT_5_YEAR_GROWTH","FQ1 2016","FQ1 2016","Currency=INR","Period=FQ","BEST_FPERIOD_OVERRIDE=FQ","FILING_STATUS=OR","EQY_CONSOLIDATED=Y","Sort=A","Dates=H","DateFormat=P","Fill=—","Direction=H","UseDPDF=Y")</f>
        <v>#NAME?</v>
      </c>
      <c r="BA114" s="1" t="e">
        <f ca="1">_xll.BDH($C$103,"TOTAL_DEBT_5_YEAR_GROWTH","FQ1 2016","FQ1 2016","Currency=INR","Period=FQ","BEST_FPERIOD_OVERRIDE=FQ","FILING_STATUS=OR","EQY_CONSOLIDATED=Y","Sort=A","Dates=H","DateFormat=P","Fill=—","Direction=H","UseDPDF=Y")</f>
        <v>#NAME?</v>
      </c>
      <c r="BB114" s="1" t="e">
        <f ca="1">_xll.BDH($C$103,"GEO_GROW_TOT_SHRHLDR_EQY","FQ1 2016","FQ1 2016","Currency=INR","Period=FQ","BEST_FPERIOD_OVERRIDE=FQ","FILING_STATUS=OR","EQY_CONSOLIDATED=Y","Sort=A","Dates=H","DateFormat=P","Fill=—","Direction=H","UseDPDF=Y")</f>
        <v>#NAME?</v>
      </c>
      <c r="BC114" s="1" t="e">
        <f ca="1">_xll.BDH($C$103,"TOTAL_CAPITAL_5_YEAR_GROWTH","FQ1 2016","FQ1 2016","Currency=INR","Period=FQ","BEST_FPERIOD_OVERRIDE=FQ","FILING_STATUS=OR","EQY_CONSOLIDATED=Y","Sort=A","Dates=H","DateFormat=P","Fill=—","Direction=H","UseDPDF=Y")</f>
        <v>#NAME?</v>
      </c>
      <c r="BD114" s="1" t="e">
        <f ca="1">_xll.BDH($C$103,"GEO_GROW_BOOK_VAL","FQ1 2016","FQ1 2016","Currency=INR","Period=FQ","BEST_FPERIOD_OVERRIDE=FQ","FILING_STATUS=OR","EQY_CONSOLIDATED=Y","Sort=A","Dates=H","DateFormat=P","Fill=—","Direction=H","UseDPDF=Y")</f>
        <v>#NAME?</v>
      </c>
      <c r="BE114" s="1" t="e">
        <f ca="1">_xll.BDH($C$103,"GEO_GROW_CASH_OPER_ACT","FQ1 2016","FQ1 2016","Currency=INR","Period=FQ","BEST_FPERIOD_OVERRIDE=FQ","FILING_STATUS=OR","EQY_CONSOLIDATED=Y","Sort=A","Dates=H","DateFormat=P","Fill=—","Direction=H","UseDPDF=Y")</f>
        <v>#NAME?</v>
      </c>
      <c r="BF114" s="1" t="e">
        <f ca="1">_xll.BDH($C$103,"REVENUE_SEQUENTIAL_GROWTH","FQ1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14" s="1" t="e">
        <f ca="1">_xll.BDH($C$103,"EBITDA_SEQUENTIAL_GROWTH","FQ1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14" s="1" t="e">
        <f ca="1">_xll.BDH($C$103,"OPERATING_INCOME_SEQ_GROWTH","FQ1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14" s="1" t="e">
        <f ca="1">_xll.BDH($C$103,"NET_INCOME_TO_COMMON_SEQ_GROWTH","FQ1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14" s="1" t="e">
        <f ca="1">_xll.BDH($C$103,"EPS_DILUTED_SEQUENTIAL_GROWTH","FQ1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14" s="1" t="e">
        <f ca="1">_xll.BDH($C$103,"DPS_SEQUENTIAL_GROWTH","FQ1 2016","FQ1 2016","Currency=INR","Period=FQ","BEST_FPERIOD_OVERRIDE=FQ","FILING_STATUS=OR","EQY_CONSOLIDATED=Y","Sort=A","Dates=H","DateFormat=P","Fill=—","Direction=H","UseDPDF=Y")</f>
        <v>#NAME?</v>
      </c>
      <c r="BL114" s="1" t="e">
        <f ca="1">_xll.BDH($C$103,"ACCOUNTS_RECEIVABLE_SEQ_GROWTH","FQ1 2016","FQ1 2016","Currency=INR","Period=FQ","BEST_FPERIOD_OVERRIDE=FQ","FILING_STATUS=OR","EQY_CONSOLIDATED=Y","Sort=A","Dates=H","DateFormat=P","Fill=—","Direction=H","UseDPDF=Y")</f>
        <v>#NAME?</v>
      </c>
      <c r="BM114" s="1" t="e">
        <f ca="1">_xll.BDH($C$103,"INVENTORY_SEQUENTIAL_GROWTH","FQ1 2016","FQ1 2016","Currency=INR","Period=FQ","BEST_FPERIOD_OVERRIDE=FQ","FILING_STATUS=OR","EQY_CONSOLIDATED=Y","Sort=A","Dates=H","DateFormat=P","Fill=—","Direction=H","UseDPDF=Y")</f>
        <v>#NAME?</v>
      </c>
      <c r="BN114" s="1" t="e">
        <f ca="1">_xll.BDH($C$103,"FIXED_ASSETS_SEQUENTIAL_GROWTH","FQ1 2016","FQ1 2016","Currency=INR","Period=FQ","BEST_FPERIOD_OVERRIDE=FQ","FILING_STATUS=OR","EQY_CONSOLIDATED=Y","Sort=A","Dates=H","DateFormat=P","Fill=—","Direction=H","UseDPDF=Y")</f>
        <v>#NAME?</v>
      </c>
      <c r="BO114" s="1" t="e">
        <f ca="1">_xll.BDH($C$103,"TOTAL_ASSETS_SEQUENTIAL_GROWTH","FQ1 2016","FQ1 2016","Currency=INR","Period=FQ","BEST_FPERIOD_OVERRIDE=FQ","FILING_STATUS=OR","EQY_CONSOLIDATED=Y","Sort=A","Dates=H","DateFormat=P","Fill=—","Direction=H","UseDPDF=Y")</f>
        <v>#NAME?</v>
      </c>
      <c r="BP114" s="1" t="e">
        <f ca="1">_xll.BDH($C$103,"MODIFIED_WORKING_CPTL_SEQ_GRWTH","FQ1 2016","FQ1 2016","Currency=INR","Period=FQ","BEST_FPERIOD_OVERRIDE=FQ","FILING_STATUS=OR","EQY_CONSOLIDATED=Y","Sort=A","Dates=H","DateFormat=P","Fill=—","Direction=H","UseDPDF=Y")</f>
        <v>#NAME?</v>
      </c>
      <c r="BQ114" s="1" t="e">
        <f ca="1">_xll.BDH($C$103,"WORKING_CAPITAL_SEQ_GROWTH","FQ1 2016","FQ1 2016","Currency=INR","Period=FQ","BEST_FPERIOD_OVERRIDE=FQ","FILING_STATUS=OR","EQY_CONSOLIDATED=Y","Sort=A","Dates=H","DateFormat=P","Fill=—","Direction=H","UseDPDF=Y")</f>
        <v>#NAME?</v>
      </c>
      <c r="BR114" s="1" t="e">
        <f ca="1">_xll.BDH($C$103,"ACCOUNTS_PAYABLE_SEQ_GROWTH","FQ1 2016","FQ1 2016","Currency=INR","Period=FQ","BEST_FPERIOD_OVERRIDE=FQ","FILING_STATUS=OR","EQY_CONSOLIDATED=Y","Sort=A","Dates=H","DateFormat=P","Fill=—","Direction=H","UseDPDF=Y")</f>
        <v>#NAME?</v>
      </c>
      <c r="BS114" s="1" t="e">
        <f ca="1">_xll.BDH($C$103,"ST_DEBT_SEQUENTIAL_GROWTH","FQ1 2016","FQ1 2016","Currency=INR","Period=FQ","BEST_FPERIOD_OVERRIDE=FQ","FILING_STATUS=OR","EQY_CONSOLIDATED=Y","Sort=A","Dates=H","DateFormat=P","Fill=—","Direction=H","UseDPDF=Y")</f>
        <v>#NAME?</v>
      </c>
      <c r="BT114" s="1" t="e">
        <f ca="1">_xll.BDH($C$103,"TOTAL_DEBT_SEQUENTIAL_GROWTH","FQ1 2016","FQ1 2016","Currency=INR","Period=FQ","BEST_FPERIOD_OVERRIDE=FQ","FILING_STATUS=OR","EQY_CONSOLIDATED=Y","Sort=A","Dates=H","DateFormat=P","Fill=—","Direction=H","UseDPDF=Y")</f>
        <v>#NAME?</v>
      </c>
      <c r="BU114" s="1" t="e">
        <f ca="1">_xll.BDH($C$103,"TOTAL_EQUITY_SEQUENTIAL_GROWTH","FQ1 2016","FQ1 2016","Currency=INR","Period=FQ","BEST_FPERIOD_OVERRIDE=FQ","FILING_STATUS=OR","EQY_CONSOLIDATED=Y","Sort=A","Dates=H","DateFormat=P","Fill=—","Direction=H","UseDPDF=Y")</f>
        <v>#NAME?</v>
      </c>
      <c r="BV114" s="1" t="e">
        <f ca="1">_xll.BDH($C$103,"TOTAL_CAPITAL_SEQUENTIAL_GROWTH","FQ1 2016","FQ1 2016","Currency=INR","Period=FQ","BEST_FPERIOD_OVERRIDE=FQ","FILING_STATUS=OR","EQY_CONSOLIDATED=Y","Sort=A","Dates=H","DateFormat=P","Fill=—","Direction=H","UseDPDF=Y")</f>
        <v>#NAME?</v>
      </c>
      <c r="BW114" s="1" t="e">
        <f ca="1">_xll.BDH($C$103,"BPS_SEQUENTIAL_GROWTH","FQ1 2016","FQ1 2016","Currency=INR","Period=FQ","BEST_FPERIOD_OVERRIDE=FQ","FILING_STATUS=OR","EQY_CONSOLIDATED=Y","Sort=A","Dates=H","DateFormat=P","Fill=—","Direction=H","UseDPDF=Y")</f>
        <v>#NAME?</v>
      </c>
      <c r="BX114" s="1" t="e">
        <f ca="1">_xll.BDH($C$103,"CFO_SEQUENTIAL_GROWTH","FQ1 2016","FQ1 2016","Currency=INR","Period=FQ","BEST_FPERIOD_OVERRIDE=FQ","FILING_STATUS=OR","EQY_CONSOLIDATED=Y","Sort=A","Dates=H","DateFormat=P","Fill=—","Direction=H","UseDPDF=Y")</f>
        <v>#NAME?</v>
      </c>
      <c r="BY114" s="2" t="e">
        <f ca="1">_xll.BDH($C$103,"SHORT_AND_LONG_TERM_DEBT","FQ1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14" s="2" t="e">
        <f ca="1">_xll.BDH($C$103,"BS_ST_BORROW","FQ1 2016","FQ1 2016","Currency=INR","Period=FQ","BEST_FPERIOD_OVERRIDE=FQ","FILING_STATUS=OR","EQY_CONSOLIDATED=Y","SCALING_FORMAT=MLN","Sort=A","Dates=H","DateFormat=P","Fill=—","Direction=H","UseDPDF=Y")</f>
        <v>#NAME?</v>
      </c>
      <c r="CA114" s="2" t="e">
        <f ca="1">_xll.BDH($C$103,"BS_LT_BORROW","FQ1 2016","FQ1 2016","Currency=INR","Period=FQ","BEST_FPERIOD_OVERRIDE=FQ","FILING_STATUS=OR","EQY_CONSOLIDATED=Y","SCALING_FORMAT=MLN","Sort=A","Dates=H","DateFormat=P","Fill=—","Direction=H","UseDPDF=Y")</f>
        <v>#NAME?</v>
      </c>
      <c r="CB114" s="1" t="e">
        <f ca="1">_xll.BDH($C$103,"TOT_DEBT_TO_EBITDA","FQ1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14" s="1" t="e">
        <f ca="1">_xll.BDH($C$103,"NET_DEBT_TO_EBITDA","FQ1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14" s="1" t="e">
        <f ca="1">_xll.BDH($C$103,"TOTAL_DEBT_TO_EBIT","FQ1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14" s="1" t="e">
        <f ca="1">_xll.BDH($C$103,"NET_DEBT_TO_EBIT","FQ1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114" s="1" t="e">
        <f ca="1">_xll.BDH($C$103,"EBITDA_TO_INTEREST_EXPN","FQ1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14" s="1" t="e">
        <f ca="1">_xll.BDH($C$103,"COM_EQY_TO_TOT_ASSET","FQ1 2016","FQ1 2016","Currency=INR","Period=FQ","BEST_FPERIOD_OVERRIDE=FQ","FILING_STATUS=OR","EQY_CONSOLIDATED=Y","Sort=A","Dates=H","DateFormat=P","Fill=—","Direction=H","UseDPDF=Y")</f>
        <v>#NAME?</v>
      </c>
      <c r="CH114" s="1" t="e">
        <f ca="1">_xll.BDH($C$103,"LT_DEBT_TO_TOT_EQY","FQ1 2016","FQ1 2016","Currency=INR","Period=FQ","BEST_FPERIOD_OVERRIDE=FQ","FILING_STATUS=OR","EQY_CONSOLIDATED=Y","Sort=A","Dates=H","DateFormat=P","Fill=—","Direction=H","UseDPDF=Y")</f>
        <v>#NAME?</v>
      </c>
      <c r="CI114" s="1" t="e">
        <f ca="1">_xll.BDH($C$103,"LT_DEBT_TO_TOT_CAP","FQ1 2016","FQ1 2016","Currency=INR","Period=FQ","BEST_FPERIOD_OVERRIDE=FQ","FILING_STATUS=OR","EQY_CONSOLIDATED=Y","Sort=A","Dates=H","DateFormat=P","Fill=—","Direction=H","UseDPDF=Y")</f>
        <v>#NAME?</v>
      </c>
      <c r="CJ114" s="1" t="e">
        <f ca="1">_xll.BDH($C$103,"LT_DEBT_TO_TOT_ASSET","FQ1 2016","FQ1 2016","Currency=INR","Period=FQ","BEST_FPERIOD_OVERRIDE=FQ","FILING_STATUS=OR","EQY_CONSOLIDATED=Y","Sort=A","Dates=H","DateFormat=P","Fill=—","Direction=H","UseDPDF=Y")</f>
        <v>#NAME?</v>
      </c>
      <c r="CK114" s="1" t="e">
        <f ca="1">_xll.BDH($C$103,"TOT_DEBT_TO_TOT_EQY","FQ1 2016","FQ1 2016","Currency=INR","Period=FQ","BEST_FPERIOD_OVERRIDE=FQ","FILING_STATUS=OR","EQY_CONSOLIDATED=Y","Sort=A","Dates=H","DateFormat=P","Fill=—","Direction=H","UseDPDF=Y")</f>
        <v>#NAME?</v>
      </c>
      <c r="CL114" s="1" t="e">
        <f ca="1">_xll.BDH($C$103,"TOT_DEBT_TO_TOT_CAP","FQ1 2016","FQ1 2016","Currency=INR","Period=FQ","BEST_FPERIOD_OVERRIDE=FQ","FILING_STATUS=OR","EQY_CONSOLIDATED=Y","Sort=A","Dates=H","DateFormat=P","Fill=—","Direction=H","UseDPDF=Y")</f>
        <v>#NAME?</v>
      </c>
      <c r="CM114" s="1" t="e">
        <f ca="1">_xll.BDH($C$103,"TOT_DEBT_TO_TOT_ASSET","FQ1 2016","FQ1 2016","Currency=INR","Period=FQ","BEST_FPERIOD_OVERRIDE=FQ","FILING_STATUS=OR","EQY_CONSOLIDATED=Y","Sort=A","Dates=H","DateFormat=P","Fill=—","Direction=H","UseDPDF=Y")</f>
        <v>#NAME?</v>
      </c>
      <c r="CN114" s="1" t="e">
        <f ca="1">_xll.BDH($C$103,"NET_DEBT_TO_SHRHLDR_EQTY","FQ1 2016","FQ1 2016","Currency=INR","Period=FQ","BEST_FPERIOD_OVERRIDE=FQ","FILING_STATUS=OR","EQY_CONSOLIDATED=Y","Sort=A","Dates=H","DateFormat=P","Fill=—","Direction=H","UseDPDF=Y")</f>
        <v>#NAME?</v>
      </c>
      <c r="CO114" s="1" t="e">
        <f ca="1">_xll.BDH($C$103,"NET_DEBT_%_CAPITAL","FQ1 2016","FQ1 2016","Currency=INR","Period=FQ","BEST_FPERIOD_OVERRIDE=FQ","FILING_STATUS=OR","EQY_CONSOLIDATED=Y","Sort=A","Dates=H","DateFormat=P","Fill=—","Direction=H","UseDPDF=Y")</f>
        <v>#NAME?</v>
      </c>
      <c r="CP114" s="2" t="e">
        <f ca="1">_xll.BDH($C$103,"EBITDA","FQ1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14" s="2" t="e">
        <f ca="1">_xll.BDH($C$103,"EBITDA_AFTER_CAPEX","FQ1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14" s="2" t="e">
        <f ca="1">_xll.BDH($C$103,"IS_OPER_INC","FQ1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14" s="1" t="e">
        <f ca="1">_xll.BDH($C$103,"CASH_RATIO","FQ1 2016","FQ1 2016","Currency=INR","Period=FQ","BEST_FPERIOD_OVERRIDE=FQ","FILING_STATUS=OR","EQY_CONSOLIDATED=Y","Sort=A","Dates=H","DateFormat=P","Fill=—","Direction=H","UseDPDF=Y")</f>
        <v>#NAME?</v>
      </c>
      <c r="CT114" s="1" t="e">
        <f ca="1">_xll.BDH($C$103,"CUR_RATIO","FQ1 2016","FQ1 2016","Currency=INR","Period=FQ","BEST_FPERIOD_OVERRIDE=FQ","FILING_STATUS=OR","EQY_CONSOLIDATED=Y","Sort=A","Dates=H","DateFormat=P","Fill=—","Direction=H","UseDPDF=Y")</f>
        <v>#NAME?</v>
      </c>
      <c r="CU114" s="1" t="e">
        <f ca="1">_xll.BDH($C$103,"QUICK_RATIO","FQ1 2016","FQ1 2016","Currency=INR","Period=FQ","BEST_FPERIOD_OVERRIDE=FQ","FILING_STATUS=OR","EQY_CONSOLIDATED=Y","Sort=A","Dates=H","DateFormat=P","Fill=—","Direction=H","UseDPDF=Y")</f>
        <v>#NAME?</v>
      </c>
      <c r="CV114" s="1" t="e">
        <f ca="1">_xll.BDH($C$103,"ALTMAN_Z_SCORE","FQ1 2016","FQ1 2016","Currency=INR","Period=FQ","BEST_FPERIOD_OVERRIDE=FQ","FILING_STATUS=OR","EQY_CONSOLIDATED=Y","Sort=A","Dates=H","DateFormat=P","Fill=—","Direction=H","UseDPDF=Y")</f>
        <v>#NAME?</v>
      </c>
      <c r="CW114" s="3" t="e">
        <f ca="1">_xll.BDH($C$103,"ACCT_RCV_TURN","FQ1 2016","FQ1 2016","Currency=INR","Period=FQ","BEST_FPERIOD_OVERRIDE=FQ","FILING_STATUS=OR","EQY_CONSOLIDATED=Y","FA_ADJUSTED=GAAP","Sort=A","Dates=H","DateFormat=P","Fill=—","Direction=H","UseDPDF=Y")</f>
        <v>#NAME?</v>
      </c>
      <c r="CX114" s="1" t="e">
        <f ca="1">_xll.BDH($C$103,"ACCT_RCV_DAYS","FQ1 2016","FQ1 2016","Currency=INR","Period=FQ","BEST_FPERIOD_OVERRIDE=FQ","FILING_STATUS=OR","EQY_CONSOLIDATED=Y","FA_ADJUSTED=GAAP","Sort=A","Dates=H","DateFormat=P","Fill=—","Direction=H","UseDPDF=Y")</f>
        <v>#NAME?</v>
      </c>
      <c r="CY114" s="3" t="e">
        <f ca="1">_xll.BDH($C$103,"INVENT_TURN","FQ1 2016","FQ1 2016","Currency=INR","Period=FQ","BEST_FPERIOD_OVERRIDE=FQ","FILING_STATUS=OR","EQY_CONSOLIDATED=Y","FA_ADJUSTED=GAAP","Sort=A","Dates=H","DateFormat=P","Fill=—","Direction=H","UseDPDF=Y")</f>
        <v>#NAME?</v>
      </c>
      <c r="CZ114" s="1" t="e">
        <f ca="1">_xll.BDH($C$103,"INVENT_DAYS","FQ1 2016","FQ1 2016","Currency=INR","Period=FQ","BEST_FPERIOD_OVERRIDE=FQ","FILING_STATUS=OR","EQY_CONSOLIDATED=Y","FA_ADJUSTED=GAAP","Sort=A","Dates=H","DateFormat=P","Fill=—","Direction=H","UseDPDF=Y")</f>
        <v>#NAME?</v>
      </c>
      <c r="DA114" s="3" t="e">
        <f ca="1">_xll.BDH($C$103,"ACCOUNTS_PAYABLE_TURNOVER","FQ1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14" s="1" t="e">
        <f ca="1">_xll.BDH($C$103,"ACCOUNTS_PAYABLE_TURNOVER_DAYS","FQ1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14" s="3" t="e">
        <f ca="1">_xll.BDH($C$103,"CASH_CONVERSION_CYCLE","FQ1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14" s="3" t="e">
        <f ca="1">_xll.BDH($C$103,"INV_TO_CASH_DAYS","FQ1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114" s="4" t="e">
        <f ca="1">_xll.BDH($C$103,"BS_INVENTORIES","FQ1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114" s="2" t="e">
        <f ca="1">_xll.BDH($C$103,"INVTRY_RAW_MATERIALS","FQ1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14" s="2" t="e">
        <f ca="1">_xll.BDH($C$103,"INVTRY_IN_PROGRESS","FQ1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14" s="2" t="e">
        <f ca="1">_xll.BDH($C$103,"INVTRY_FINISHED_GOODS","FQ1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14" s="2" t="e">
        <f ca="1">_xll.BDH($C$103,"BS_OTHER_INV","FQ1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15" spans="1:113" x14ac:dyDescent="0.3">
      <c r="A115" s="6"/>
      <c r="B115" s="6"/>
      <c r="C115" s="6"/>
      <c r="D115" s="6"/>
      <c r="E115" t="s">
        <v>5</v>
      </c>
      <c r="F115" t="e">
        <f ca="1">_xll.BDH($C$103,"RETURN_COM_EQY","FQ2 2016","FQ2 2016","Currency=INR","Period=FQ","BEST_FPERIOD_OVERRIDE=FQ","FILING_STATUS=OR","EQY_CONSOLIDATED=Y","FA_ADJUSTED=GAAP","Sort=A","Dates=H","DateFormat=P","Fill=—","Direction=H","UseDPDF=Y")</f>
        <v>#NAME?</v>
      </c>
      <c r="G115" t="e">
        <f ca="1">_xll.BDH($C$103,"RETURN_ON_ASSET","FQ2 2016","FQ2 2016","Currency=INR","Period=FQ","BEST_FPERIOD_OVERRIDE=FQ","FILING_STATUS=OR","EQY_CONSOLIDATED=Y","FA_ADJUSTED=GAAP","Sort=A","Dates=H","DateFormat=P","Fill=—","Direction=H","UseDPDF=Y")</f>
        <v>#NAME?</v>
      </c>
      <c r="H115" t="e">
        <f ca="1">_xll.BDH($C$103,"RETURN_ON_CAP","FQ2 2016","FQ2 2016","Currency=INR","Period=FQ","BEST_FPERIOD_OVERRIDE=FQ","FILING_STATUS=OR","EQY_CONSOLIDATED=Y","FA_ADJUSTED=GAAP","Sort=A","Dates=H","DateFormat=P","Fill=—","Direction=H","UseDPDF=Y")</f>
        <v>#NAME?</v>
      </c>
      <c r="I115" t="e">
        <f ca="1">_xll.BDH($C$103,"RETURN_ON_INV_CAPITAL","FQ2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15" t="e">
        <f ca="1">_xll.BDH($C$103,"EBITDA_TO_REVENUE","FQ2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115" t="e">
        <f ca="1">_xll.BDH($C$103,"OPER_MARGIN","FQ2 2016","FQ2 2016","Currency=INR","Period=FQ","BEST_FPERIOD_OVERRIDE=FQ","FILING_STATUS=OR","EQY_CONSOLIDATED=Y","FA_ADJUSTED=GAAP","Sort=A","Dates=H","DateFormat=P","Fill=—","Direction=H","UseDPDF=Y")</f>
        <v>#NAME?</v>
      </c>
      <c r="L115" t="e">
        <f ca="1">_xll.BDH($C$103,"INCREMENTAL_OPERATING_MARGIN","FQ2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15" t="e">
        <f ca="1">_xll.BDH($C$103,"PRETAX_INC_TO_NET_SALES","FQ2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15" t="e">
        <f ca="1">_xll.BDH($C$103,"INC_BEF_XO_ITEMS_TO_NET_SALES","FQ2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15" t="e">
        <f ca="1">_xll.BDH($C$103,"PROF_MARGIN","FQ2 2016","FQ2 2016","Currency=INR","Period=FQ","BEST_FPERIOD_OVERRIDE=FQ","FILING_STATUS=OR","EQY_CONSOLIDATED=Y","FA_ADJUSTED=GAAP","Sort=A","Dates=H","DateFormat=P","Fill=—","Direction=H","UseDPDF=Y")</f>
        <v>#NAME?</v>
      </c>
      <c r="P115" t="e">
        <f ca="1">_xll.BDH($C$103,"NET_INCOME_TO_COMMON_MARGIN","FQ2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15" t="e">
        <f ca="1">_xll.BDH($C$103,"EFF_TAX_RATE","FQ2 2016","FQ2 2016","Currency=INR","Period=FQ","BEST_FPERIOD_OVERRIDE=FQ","FILING_STATUS=OR","EQY_CONSOLIDATED=Y","FA_ADJUSTED=GAAP","Sort=A","Dates=H","DateFormat=P","Fill=—","Direction=H","UseDPDF=Y")</f>
        <v>#NAME?</v>
      </c>
      <c r="R115" t="e">
        <f ca="1">_xll.BDH($C$103,"DVD_PAYOUT_RATIO","FQ2 2016","FQ2 2016","Currency=INR","Period=FQ","BEST_FPERIOD_OVERRIDE=FQ","FILING_STATUS=OR","EQY_CONSOLIDATED=Y","FA_ADJUSTED=GAAP","Sort=A","Dates=H","DateFormat=P","Fill=—","Direction=H","UseDPDF=Y")</f>
        <v>#NAME?</v>
      </c>
      <c r="S115" t="e">
        <f ca="1">_xll.BDH($C$103,"SUSTAIN_GROWTH_RT","FQ2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115" s="1" t="e">
        <f ca="1">_xll.BDH($C$103,"SALES_GROWTH","FQ2 2016","FQ2 2016","Currency=INR","Period=FQ","BEST_FPERIOD_OVERRIDE=FQ","FILING_STATUS=OR","EQY_CONSOLIDATED=Y","FA_ADJUSTED=GAAP","Sort=A","Dates=H","DateFormat=P","Fill=—","Direction=H","UseDPDF=Y")</f>
        <v>#NAME?</v>
      </c>
      <c r="U115" s="1" t="e">
        <f ca="1">_xll.BDH($C$103,"EBITDA_GROWTH","FQ2 2016","FQ2 2016","Currency=INR","Period=FQ","BEST_FPERIOD_OVERRIDE=FQ","FILING_STATUS=OR","EQY_CONSOLIDATED=Y","FA_ADJUSTED=GAAP","Sort=A","Dates=H","DateFormat=P","Fill=—","Direction=H","UseDPDF=Y")</f>
        <v>#NAME?</v>
      </c>
      <c r="V115" s="1" t="e">
        <f ca="1">_xll.BDH($C$103,"OPER_INC_GROWTH","FQ2 2016","FQ2 2016","Currency=INR","Period=FQ","BEST_FPERIOD_OVERRIDE=FQ","FILING_STATUS=OR","EQY_CONSOLIDATED=Y","FA_ADJUSTED=GAAP","Sort=A","Dates=H","DateFormat=P","Fill=—","Direction=H","UseDPDF=Y")</f>
        <v>#NAME?</v>
      </c>
      <c r="W115" s="1" t="e">
        <f ca="1">_xll.BDH($C$103,"EARN_FOR_COM_GROWTH","FQ2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15" s="1" t="e">
        <f ca="1">_xll.BDH($C$103,"DILUTED_EPS_AFT_XO_ITEMS_GROWTH","FQ2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15" s="1" t="e">
        <f ca="1">_xll.BDH($C$103,"DIVIDEND_PER_SHARE_1_YEAR_GROWTH","FQ2 2016","FQ2 2016","Currency=INR","Period=FQ","BEST_FPERIOD_OVERRIDE=FQ","FILING_STATUS=OR","EQY_CONSOLIDATED=Y","Sort=A","Dates=H","DateFormat=P","Fill=—","Direction=H","UseDPDF=Y")</f>
        <v>#NAME?</v>
      </c>
      <c r="Z115" s="1" t="e">
        <f ca="1">_xll.BDH($C$103,"ACCOUNTS_RECEIVABLE_GROWTH","FQ2 2016","FQ2 2016","Currency=INR","Period=FQ","BEST_FPERIOD_OVERRIDE=FQ","FILING_STATUS=OR","EQY_CONSOLIDATED=Y","Sort=A","Dates=H","DateFormat=P","Fill=—","Direction=H","UseDPDF=Y")</f>
        <v>#NAME?</v>
      </c>
      <c r="AA115" s="1" t="e">
        <f ca="1">_xll.BDH($C$103,"INVENTORY_GROWTH","FQ2 2016","FQ2 2016","Currency=INR","Period=FQ","BEST_FPERIOD_OVERRIDE=FQ","FILING_STATUS=OR","EQY_CONSOLIDATED=Y","Sort=A","Dates=H","DateFormat=P","Fill=—","Direction=H","UseDPDF=Y")</f>
        <v>#NAME?</v>
      </c>
      <c r="AB115" s="1" t="e">
        <f ca="1">_xll.BDH($C$103,"NET_FIXED_ASSETS_1_YEAR_GROWTH","FQ2 2016","FQ2 2016","Currency=INR","Period=FQ","BEST_FPERIOD_OVERRIDE=FQ","FILING_STATUS=OR","EQY_CONSOLIDATED=Y","Sort=A","Dates=H","DateFormat=P","Fill=—","Direction=H","UseDPDF=Y")</f>
        <v>#NAME?</v>
      </c>
      <c r="AC115" s="1" t="e">
        <f ca="1">_xll.BDH($C$103,"ASSET_GROWTH","FQ2 2016","FQ2 2016","Currency=INR","Period=FQ","BEST_FPERIOD_OVERRIDE=FQ","FILING_STATUS=OR","EQY_CONSOLIDATED=Y","Sort=A","Dates=H","DateFormat=P","Fill=—","Direction=H","UseDPDF=Y")</f>
        <v>#NAME?</v>
      </c>
      <c r="AD115" s="1" t="e">
        <f ca="1">_xll.BDH($C$103,"MODIFIED_WORK_CAP_GROWTH","FQ2 2016","FQ2 2016","Currency=INR","Period=FQ","BEST_FPERIOD_OVERRIDE=FQ","FILING_STATUS=OR","EQY_CONSOLIDATED=Y","Sort=A","Dates=H","DateFormat=P","Fill=—","Direction=H","UseDPDF=Y")</f>
        <v>#NAME?</v>
      </c>
      <c r="AE115" s="1" t="e">
        <f ca="1">_xll.BDH($C$103,"WORK_CAP_GROWTH","FQ2 2016","FQ2 2016","Currency=INR","Period=FQ","BEST_FPERIOD_OVERRIDE=FQ","FILING_STATUS=OR","EQY_CONSOLIDATED=Y","Sort=A","Dates=H","DateFormat=P","Fill=—","Direction=H","UseDPDF=Y")</f>
        <v>#NAME?</v>
      </c>
      <c r="AF115" s="1" t="e">
        <f ca="1">_xll.BDH($C$103,"ACCOUNTS_PAYABLE_GROWTH_1YR","FQ2 2016","FQ2 2016","Currency=INR","Period=FQ","BEST_FPERIOD_OVERRIDE=FQ","FILING_STATUS=OR","EQY_CONSOLIDATED=Y","Sort=A","Dates=H","DateFormat=P","Fill=—","Direction=H","UseDPDF=Y")</f>
        <v>#NAME?</v>
      </c>
      <c r="AG115" s="1" t="e">
        <f ca="1">_xll.BDH($C$103,"SHORT_TERM_DEBT_1_YEAR_GROWTH","FQ2 2016","FQ2 2016","Currency=INR","Period=FQ","BEST_FPERIOD_OVERRIDE=FQ","FILING_STATUS=OR","EQY_CONSOLIDATED=Y","Sort=A","Dates=H","DateFormat=P","Fill=—","Direction=H","UseDPDF=Y")</f>
        <v>#NAME?</v>
      </c>
      <c r="AH115" s="1" t="e">
        <f ca="1">_xll.BDH($C$103,"TOTAL_DEBT_1_YEAR_GROWTH","FQ2 2016","FQ2 2016","Currency=INR","Period=FQ","BEST_FPERIOD_OVERRIDE=FQ","FILING_STATUS=OR","EQY_CONSOLIDATED=Y","Sort=A","Dates=H","DateFormat=P","Fill=—","Direction=H","UseDPDF=Y")</f>
        <v>#NAME?</v>
      </c>
      <c r="AI115" s="1" t="e">
        <f ca="1">_xll.BDH($C$103,"TOTAL_EQUITY_1_YEAR_GROWTH","FQ2 2016","FQ2 2016","Currency=INR","Period=FQ","BEST_FPERIOD_OVERRIDE=FQ","FILING_STATUS=OR","EQY_CONSOLIDATED=Y","Sort=A","Dates=H","DateFormat=P","Fill=—","Direction=H","UseDPDF=Y")</f>
        <v>#NAME?</v>
      </c>
      <c r="AJ115" s="1" t="e">
        <f ca="1">_xll.BDH($C$103,"GROWTH_IN_CAP","FQ2 2016","FQ2 2016","Currency=INR","Period=FQ","BEST_FPERIOD_OVERRIDE=FQ","FILING_STATUS=OR","EQY_CONSOLIDATED=Y","Sort=A","Dates=H","DateFormat=P","Fill=—","Direction=H","UseDPDF=Y")</f>
        <v>#NAME?</v>
      </c>
      <c r="AK115" s="1" t="e">
        <f ca="1">_xll.BDH($C$103,"BVPS_GROWTH","FQ2 2016","FQ2 2016","Currency=INR","Period=FQ","BEST_FPERIOD_OVERRIDE=FQ","FILING_STATUS=OR","EQY_CONSOLIDATED=Y","Sort=A","Dates=H","DateFormat=P","Fill=—","Direction=H","UseDPDF=Y")</f>
        <v>#NAME?</v>
      </c>
      <c r="AL115" s="1" t="e">
        <f ca="1">_xll.BDH($C$103,"CASH_FLOW_GROWTH","FQ2 2016","FQ2 2016","Currency=INR","Period=FQ","BEST_FPERIOD_OVERRIDE=FQ","FILING_STATUS=OR","EQY_CONSOLIDATED=Y","Sort=A","Dates=H","DateFormat=P","Fill=—","Direction=H","UseDPDF=Y")</f>
        <v>#NAME?</v>
      </c>
      <c r="AM115" s="1" t="e">
        <f ca="1">_xll.BDH($C$103,"GEO_GROW_NET_SALES","FQ2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15" s="1" t="e">
        <f ca="1">_xll.BDH($C$103,"GEO_GROW_EBITDA","FQ2 2016","FQ2 2016","Currency=INR","Period=FQ","BEST_FPERIOD_OVERRIDE=FQ","FILING_STATUS=OR","EQY_CONSOLIDATED=Y","FA_ADJUSTED=GAAP","Sort=A","Dates=H","DateFormat=P","Fill=—","Direction=H","UseDPDF=Y")</f>
        <v>#NAME?</v>
      </c>
      <c r="AO115" s="1" t="e">
        <f ca="1">_xll.BDH($C$103,"GEO_GROW_OPER_INC","FQ2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15" s="1" t="e">
        <f ca="1">_xll.BDH($C$103,"NET_INCOME_TO_COMMON_5_YR_GROWTH","FQ2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15" s="1" t="e">
        <f ca="1">_xll.BDH($C$103,"5Y_GEO_GROWTH_DILUTED_EPS","FQ2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15" s="1" t="e">
        <f ca="1">_xll.BDH($C$103,"GEO_GROW_DVD_PER_SH","FQ2 2016","FQ2 2016","Currency=INR","Period=FQ","BEST_FPERIOD_OVERRIDE=FQ","FILING_STATUS=OR","EQY_CONSOLIDATED=Y","Sort=A","Dates=H","DateFormat=P","Fill=—","Direction=H","UseDPDF=Y")</f>
        <v>#NAME?</v>
      </c>
      <c r="AS115" s="1" t="e">
        <f ca="1">_xll.BDH($C$103,"ACCOUNTS_RECEIVABLE_5_YR_GROWTH","FQ2 2016","FQ2 2016","Currency=INR","Period=FQ","BEST_FPERIOD_OVERRIDE=FQ","FILING_STATUS=OR","EQY_CONSOLIDATED=Y","Sort=A","Dates=H","DateFormat=P","Fill=—","Direction=H","UseDPDF=Y")</f>
        <v>#NAME?</v>
      </c>
      <c r="AT115" s="1" t="e">
        <f ca="1">_xll.BDH($C$103,"INVENTORY_5_YEAR_GROWTH","FQ2 2016","FQ2 2016","Currency=INR","Period=FQ","BEST_FPERIOD_OVERRIDE=FQ","FILING_STATUS=OR","EQY_CONSOLIDATED=Y","Sort=A","Dates=H","DateFormat=P","Fill=—","Direction=H","UseDPDF=Y")</f>
        <v>#NAME?</v>
      </c>
      <c r="AU115" s="1" t="e">
        <f ca="1">_xll.BDH($C$103,"NET_FIXED_ASSETS_5_YEAR_GROWTH","FQ2 2016","FQ2 2016","Currency=INR","Period=FQ","BEST_FPERIOD_OVERRIDE=FQ","FILING_STATUS=OR","EQY_CONSOLIDATED=Y","Sort=A","Dates=H","DateFormat=P","Fill=—","Direction=H","UseDPDF=Y")</f>
        <v>#NAME?</v>
      </c>
      <c r="AV115" s="1" t="e">
        <f ca="1">_xll.BDH($C$103,"GEO_GROW_TOT_ASSET","FQ2 2016","FQ2 2016","Currency=INR","Period=FQ","BEST_FPERIOD_OVERRIDE=FQ","FILING_STATUS=OR","EQY_CONSOLIDATED=Y","Sort=A","Dates=H","DateFormat=P","Fill=—","Direction=H","UseDPDF=Y")</f>
        <v>#NAME?</v>
      </c>
      <c r="AW115" s="1" t="e">
        <f ca="1">_xll.BDH($C$103,"MODIFIED_WORKING_CPTL_5YR_GRWTH","FQ2 2016","FQ2 2016","Currency=INR","Period=FQ","BEST_FPERIOD_OVERRIDE=FQ","FILING_STATUS=OR","EQY_CONSOLIDATED=Y","Sort=A","Dates=H","DateFormat=P","Fill=—","Direction=H","UseDPDF=Y")</f>
        <v>#NAME?</v>
      </c>
      <c r="AX115" s="1" t="e">
        <f ca="1">_xll.BDH($C$103,"WORKING_CAPITAL_5_YEAR_GROWTH","FQ2 2016","FQ2 2016","Currency=INR","Period=FQ","BEST_FPERIOD_OVERRIDE=FQ","FILING_STATUS=OR","EQY_CONSOLIDATED=Y","Sort=A","Dates=H","DateFormat=P","Fill=—","Direction=H","UseDPDF=Y")</f>
        <v>#NAME?</v>
      </c>
      <c r="AY115" s="1" t="e">
        <f ca="1">_xll.BDH($C$103,"ACCOUNTS_PAYABLE_5_YEAR_GROWTH","FQ2 2016","FQ2 2016","Currency=INR","Period=FQ","BEST_FPERIOD_OVERRIDE=FQ","FILING_STATUS=OR","EQY_CONSOLIDATED=Y","Sort=A","Dates=H","DateFormat=P","Fill=—","Direction=H","UseDPDF=Y")</f>
        <v>#NAME?</v>
      </c>
      <c r="AZ115" s="1" t="e">
        <f ca="1">_xll.BDH($C$103,"SHORT_TERM_DEBT_5_YEAR_GROWTH","FQ2 2016","FQ2 2016","Currency=INR","Period=FQ","BEST_FPERIOD_OVERRIDE=FQ","FILING_STATUS=OR","EQY_CONSOLIDATED=Y","Sort=A","Dates=H","DateFormat=P","Fill=—","Direction=H","UseDPDF=Y")</f>
        <v>#NAME?</v>
      </c>
      <c r="BA115" s="1" t="e">
        <f ca="1">_xll.BDH($C$103,"TOTAL_DEBT_5_YEAR_GROWTH","FQ2 2016","FQ2 2016","Currency=INR","Period=FQ","BEST_FPERIOD_OVERRIDE=FQ","FILING_STATUS=OR","EQY_CONSOLIDATED=Y","Sort=A","Dates=H","DateFormat=P","Fill=—","Direction=H","UseDPDF=Y")</f>
        <v>#NAME?</v>
      </c>
      <c r="BB115" s="1" t="e">
        <f ca="1">_xll.BDH($C$103,"GEO_GROW_TOT_SHRHLDR_EQY","FQ2 2016","FQ2 2016","Currency=INR","Period=FQ","BEST_FPERIOD_OVERRIDE=FQ","FILING_STATUS=OR","EQY_CONSOLIDATED=Y","Sort=A","Dates=H","DateFormat=P","Fill=—","Direction=H","UseDPDF=Y")</f>
        <v>#NAME?</v>
      </c>
      <c r="BC115" s="1" t="e">
        <f ca="1">_xll.BDH($C$103,"TOTAL_CAPITAL_5_YEAR_GROWTH","FQ2 2016","FQ2 2016","Currency=INR","Period=FQ","BEST_FPERIOD_OVERRIDE=FQ","FILING_STATUS=OR","EQY_CONSOLIDATED=Y","Sort=A","Dates=H","DateFormat=P","Fill=—","Direction=H","UseDPDF=Y")</f>
        <v>#NAME?</v>
      </c>
      <c r="BD115" s="1" t="e">
        <f ca="1">_xll.BDH($C$103,"GEO_GROW_BOOK_VAL","FQ2 2016","FQ2 2016","Currency=INR","Period=FQ","BEST_FPERIOD_OVERRIDE=FQ","FILING_STATUS=OR","EQY_CONSOLIDATED=Y","Sort=A","Dates=H","DateFormat=P","Fill=—","Direction=H","UseDPDF=Y")</f>
        <v>#NAME?</v>
      </c>
      <c r="BE115" s="1" t="e">
        <f ca="1">_xll.BDH($C$103,"GEO_GROW_CASH_OPER_ACT","FQ2 2016","FQ2 2016","Currency=INR","Period=FQ","BEST_FPERIOD_OVERRIDE=FQ","FILING_STATUS=OR","EQY_CONSOLIDATED=Y","Sort=A","Dates=H","DateFormat=P","Fill=—","Direction=H","UseDPDF=Y")</f>
        <v>#NAME?</v>
      </c>
      <c r="BF115" s="1" t="e">
        <f ca="1">_xll.BDH($C$103,"REVENUE_SEQUENTIAL_GROWTH","FQ2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15" s="1" t="e">
        <f ca="1">_xll.BDH($C$103,"EBITDA_SEQUENTIAL_GROWTH","FQ2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15" s="1" t="e">
        <f ca="1">_xll.BDH($C$103,"OPERATING_INCOME_SEQ_GROWTH","FQ2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15" s="1" t="e">
        <f ca="1">_xll.BDH($C$103,"NET_INCOME_TO_COMMON_SEQ_GROWTH","FQ2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15" s="1" t="e">
        <f ca="1">_xll.BDH($C$103,"EPS_DILUTED_SEQUENTIAL_GROWTH","FQ2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15" s="1" t="e">
        <f ca="1">_xll.BDH($C$103,"DPS_SEQUENTIAL_GROWTH","FQ2 2016","FQ2 2016","Currency=INR","Period=FQ","BEST_FPERIOD_OVERRIDE=FQ","FILING_STATUS=OR","EQY_CONSOLIDATED=Y","Sort=A","Dates=H","DateFormat=P","Fill=—","Direction=H","UseDPDF=Y")</f>
        <v>#NAME?</v>
      </c>
      <c r="BL115" s="1" t="e">
        <f ca="1">_xll.BDH($C$103,"ACCOUNTS_RECEIVABLE_SEQ_GROWTH","FQ2 2016","FQ2 2016","Currency=INR","Period=FQ","BEST_FPERIOD_OVERRIDE=FQ","FILING_STATUS=OR","EQY_CONSOLIDATED=Y","Sort=A","Dates=H","DateFormat=P","Fill=—","Direction=H","UseDPDF=Y")</f>
        <v>#NAME?</v>
      </c>
      <c r="BM115" s="1" t="e">
        <f ca="1">_xll.BDH($C$103,"INVENTORY_SEQUENTIAL_GROWTH","FQ2 2016","FQ2 2016","Currency=INR","Period=FQ","BEST_FPERIOD_OVERRIDE=FQ","FILING_STATUS=OR","EQY_CONSOLIDATED=Y","Sort=A","Dates=H","DateFormat=P","Fill=—","Direction=H","UseDPDF=Y")</f>
        <v>#NAME?</v>
      </c>
      <c r="BN115" s="1" t="e">
        <f ca="1">_xll.BDH($C$103,"FIXED_ASSETS_SEQUENTIAL_GROWTH","FQ2 2016","FQ2 2016","Currency=INR","Period=FQ","BEST_FPERIOD_OVERRIDE=FQ","FILING_STATUS=OR","EQY_CONSOLIDATED=Y","Sort=A","Dates=H","DateFormat=P","Fill=—","Direction=H","UseDPDF=Y")</f>
        <v>#NAME?</v>
      </c>
      <c r="BO115" s="1" t="e">
        <f ca="1">_xll.BDH($C$103,"TOTAL_ASSETS_SEQUENTIAL_GROWTH","FQ2 2016","FQ2 2016","Currency=INR","Period=FQ","BEST_FPERIOD_OVERRIDE=FQ","FILING_STATUS=OR","EQY_CONSOLIDATED=Y","Sort=A","Dates=H","DateFormat=P","Fill=—","Direction=H","UseDPDF=Y")</f>
        <v>#NAME?</v>
      </c>
      <c r="BP115" s="1" t="e">
        <f ca="1">_xll.BDH($C$103,"MODIFIED_WORKING_CPTL_SEQ_GRWTH","FQ2 2016","FQ2 2016","Currency=INR","Period=FQ","BEST_FPERIOD_OVERRIDE=FQ","FILING_STATUS=OR","EQY_CONSOLIDATED=Y","Sort=A","Dates=H","DateFormat=P","Fill=—","Direction=H","UseDPDF=Y")</f>
        <v>#NAME?</v>
      </c>
      <c r="BQ115" s="1" t="e">
        <f ca="1">_xll.BDH($C$103,"WORKING_CAPITAL_SEQ_GROWTH","FQ2 2016","FQ2 2016","Currency=INR","Period=FQ","BEST_FPERIOD_OVERRIDE=FQ","FILING_STATUS=OR","EQY_CONSOLIDATED=Y","Sort=A","Dates=H","DateFormat=P","Fill=—","Direction=H","UseDPDF=Y")</f>
        <v>#NAME?</v>
      </c>
      <c r="BR115" s="1" t="e">
        <f ca="1">_xll.BDH($C$103,"ACCOUNTS_PAYABLE_SEQ_GROWTH","FQ2 2016","FQ2 2016","Currency=INR","Period=FQ","BEST_FPERIOD_OVERRIDE=FQ","FILING_STATUS=OR","EQY_CONSOLIDATED=Y","Sort=A","Dates=H","DateFormat=P","Fill=—","Direction=H","UseDPDF=Y")</f>
        <v>#NAME?</v>
      </c>
      <c r="BS115" s="1" t="e">
        <f ca="1">_xll.BDH($C$103,"ST_DEBT_SEQUENTIAL_GROWTH","FQ2 2016","FQ2 2016","Currency=INR","Period=FQ","BEST_FPERIOD_OVERRIDE=FQ","FILING_STATUS=OR","EQY_CONSOLIDATED=Y","Sort=A","Dates=H","DateFormat=P","Fill=—","Direction=H","UseDPDF=Y")</f>
        <v>#NAME?</v>
      </c>
      <c r="BT115" s="1" t="e">
        <f ca="1">_xll.BDH($C$103,"TOTAL_DEBT_SEQUENTIAL_GROWTH","FQ2 2016","FQ2 2016","Currency=INR","Period=FQ","BEST_FPERIOD_OVERRIDE=FQ","FILING_STATUS=OR","EQY_CONSOLIDATED=Y","Sort=A","Dates=H","DateFormat=P","Fill=—","Direction=H","UseDPDF=Y")</f>
        <v>#NAME?</v>
      </c>
      <c r="BU115" s="1" t="e">
        <f ca="1">_xll.BDH($C$103,"TOTAL_EQUITY_SEQUENTIAL_GROWTH","FQ2 2016","FQ2 2016","Currency=INR","Period=FQ","BEST_FPERIOD_OVERRIDE=FQ","FILING_STATUS=OR","EQY_CONSOLIDATED=Y","Sort=A","Dates=H","DateFormat=P","Fill=—","Direction=H","UseDPDF=Y")</f>
        <v>#NAME?</v>
      </c>
      <c r="BV115" s="1" t="e">
        <f ca="1">_xll.BDH($C$103,"TOTAL_CAPITAL_SEQUENTIAL_GROWTH","FQ2 2016","FQ2 2016","Currency=INR","Period=FQ","BEST_FPERIOD_OVERRIDE=FQ","FILING_STATUS=OR","EQY_CONSOLIDATED=Y","Sort=A","Dates=H","DateFormat=P","Fill=—","Direction=H","UseDPDF=Y")</f>
        <v>#NAME?</v>
      </c>
      <c r="BW115" s="1" t="e">
        <f ca="1">_xll.BDH($C$103,"BPS_SEQUENTIAL_GROWTH","FQ2 2016","FQ2 2016","Currency=INR","Period=FQ","BEST_FPERIOD_OVERRIDE=FQ","FILING_STATUS=OR","EQY_CONSOLIDATED=Y","Sort=A","Dates=H","DateFormat=P","Fill=—","Direction=H","UseDPDF=Y")</f>
        <v>#NAME?</v>
      </c>
      <c r="BX115" s="1" t="e">
        <f ca="1">_xll.BDH($C$103,"CFO_SEQUENTIAL_GROWTH","FQ2 2016","FQ2 2016","Currency=INR","Period=FQ","BEST_FPERIOD_OVERRIDE=FQ","FILING_STATUS=OR","EQY_CONSOLIDATED=Y","Sort=A","Dates=H","DateFormat=P","Fill=—","Direction=H","UseDPDF=Y")</f>
        <v>#NAME?</v>
      </c>
      <c r="BY115" s="2" t="e">
        <f ca="1">_xll.BDH($C$103,"SHORT_AND_LONG_TERM_DEBT","FQ2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15" s="2" t="e">
        <f ca="1">_xll.BDH($C$103,"BS_ST_BORROW","FQ2 2016","FQ2 2016","Currency=INR","Period=FQ","BEST_FPERIOD_OVERRIDE=FQ","FILING_STATUS=OR","EQY_CONSOLIDATED=Y","SCALING_FORMAT=MLN","Sort=A","Dates=H","DateFormat=P","Fill=—","Direction=H","UseDPDF=Y")</f>
        <v>#NAME?</v>
      </c>
      <c r="CA115" s="2" t="e">
        <f ca="1">_xll.BDH($C$103,"BS_LT_BORROW","FQ2 2016","FQ2 2016","Currency=INR","Period=FQ","BEST_FPERIOD_OVERRIDE=FQ","FILING_STATUS=OR","EQY_CONSOLIDATED=Y","SCALING_FORMAT=MLN","Sort=A","Dates=H","DateFormat=P","Fill=—","Direction=H","UseDPDF=Y")</f>
        <v>#NAME?</v>
      </c>
      <c r="CB115" s="1" t="e">
        <f ca="1">_xll.BDH($C$103,"TOT_DEBT_TO_EBITDA","FQ2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15" s="1" t="e">
        <f ca="1">_xll.BDH($C$103,"NET_DEBT_TO_EBITDA","FQ2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15" s="1" t="e">
        <f ca="1">_xll.BDH($C$103,"TOTAL_DEBT_TO_EBIT","FQ2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15" s="1" t="e">
        <f ca="1">_xll.BDH($C$103,"NET_DEBT_TO_EBIT","FQ2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115" s="1" t="e">
        <f ca="1">_xll.BDH($C$103,"EBITDA_TO_INTEREST_EXPN","FQ2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15" s="1" t="e">
        <f ca="1">_xll.BDH($C$103,"COM_EQY_TO_TOT_ASSET","FQ2 2016","FQ2 2016","Currency=INR","Period=FQ","BEST_FPERIOD_OVERRIDE=FQ","FILING_STATUS=OR","EQY_CONSOLIDATED=Y","Sort=A","Dates=H","DateFormat=P","Fill=—","Direction=H","UseDPDF=Y")</f>
        <v>#NAME?</v>
      </c>
      <c r="CH115" s="1" t="e">
        <f ca="1">_xll.BDH($C$103,"LT_DEBT_TO_TOT_EQY","FQ2 2016","FQ2 2016","Currency=INR","Period=FQ","BEST_FPERIOD_OVERRIDE=FQ","FILING_STATUS=OR","EQY_CONSOLIDATED=Y","Sort=A","Dates=H","DateFormat=P","Fill=—","Direction=H","UseDPDF=Y")</f>
        <v>#NAME?</v>
      </c>
      <c r="CI115" s="1" t="e">
        <f ca="1">_xll.BDH($C$103,"LT_DEBT_TO_TOT_CAP","FQ2 2016","FQ2 2016","Currency=INR","Period=FQ","BEST_FPERIOD_OVERRIDE=FQ","FILING_STATUS=OR","EQY_CONSOLIDATED=Y","Sort=A","Dates=H","DateFormat=P","Fill=—","Direction=H","UseDPDF=Y")</f>
        <v>#NAME?</v>
      </c>
      <c r="CJ115" s="1" t="e">
        <f ca="1">_xll.BDH($C$103,"LT_DEBT_TO_TOT_ASSET","FQ2 2016","FQ2 2016","Currency=INR","Period=FQ","BEST_FPERIOD_OVERRIDE=FQ","FILING_STATUS=OR","EQY_CONSOLIDATED=Y","Sort=A","Dates=H","DateFormat=P","Fill=—","Direction=H","UseDPDF=Y")</f>
        <v>#NAME?</v>
      </c>
      <c r="CK115" s="1" t="e">
        <f ca="1">_xll.BDH($C$103,"TOT_DEBT_TO_TOT_EQY","FQ2 2016","FQ2 2016","Currency=INR","Period=FQ","BEST_FPERIOD_OVERRIDE=FQ","FILING_STATUS=OR","EQY_CONSOLIDATED=Y","Sort=A","Dates=H","DateFormat=P","Fill=—","Direction=H","UseDPDF=Y")</f>
        <v>#NAME?</v>
      </c>
      <c r="CL115" s="1" t="e">
        <f ca="1">_xll.BDH($C$103,"TOT_DEBT_TO_TOT_CAP","FQ2 2016","FQ2 2016","Currency=INR","Period=FQ","BEST_FPERIOD_OVERRIDE=FQ","FILING_STATUS=OR","EQY_CONSOLIDATED=Y","Sort=A","Dates=H","DateFormat=P","Fill=—","Direction=H","UseDPDF=Y")</f>
        <v>#NAME?</v>
      </c>
      <c r="CM115" s="1" t="e">
        <f ca="1">_xll.BDH($C$103,"TOT_DEBT_TO_TOT_ASSET","FQ2 2016","FQ2 2016","Currency=INR","Period=FQ","BEST_FPERIOD_OVERRIDE=FQ","FILING_STATUS=OR","EQY_CONSOLIDATED=Y","Sort=A","Dates=H","DateFormat=P","Fill=—","Direction=H","UseDPDF=Y")</f>
        <v>#NAME?</v>
      </c>
      <c r="CN115" s="1" t="e">
        <f ca="1">_xll.BDH($C$103,"NET_DEBT_TO_SHRHLDR_EQTY","FQ2 2016","FQ2 2016","Currency=INR","Period=FQ","BEST_FPERIOD_OVERRIDE=FQ","FILING_STATUS=OR","EQY_CONSOLIDATED=Y","Sort=A","Dates=H","DateFormat=P","Fill=—","Direction=H","UseDPDF=Y")</f>
        <v>#NAME?</v>
      </c>
      <c r="CO115" s="1" t="e">
        <f ca="1">_xll.BDH($C$103,"NET_DEBT_%_CAPITAL","FQ2 2016","FQ2 2016","Currency=INR","Period=FQ","BEST_FPERIOD_OVERRIDE=FQ","FILING_STATUS=OR","EQY_CONSOLIDATED=Y","Sort=A","Dates=H","DateFormat=P","Fill=—","Direction=H","UseDPDF=Y")</f>
        <v>#NAME?</v>
      </c>
      <c r="CP115" s="2" t="e">
        <f ca="1">_xll.BDH($C$103,"EBITDA","FQ2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15" s="2" t="e">
        <f ca="1">_xll.BDH($C$103,"EBITDA_AFTER_CAPEX","FQ2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15" s="2" t="e">
        <f ca="1">_xll.BDH($C$103,"IS_OPER_INC","FQ2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15" s="1" t="e">
        <f ca="1">_xll.BDH($C$103,"CASH_RATIO","FQ2 2016","FQ2 2016","Currency=INR","Period=FQ","BEST_FPERIOD_OVERRIDE=FQ","FILING_STATUS=OR","EQY_CONSOLIDATED=Y","Sort=A","Dates=H","DateFormat=P","Fill=—","Direction=H","UseDPDF=Y")</f>
        <v>#NAME?</v>
      </c>
      <c r="CT115" s="1" t="e">
        <f ca="1">_xll.BDH($C$103,"CUR_RATIO","FQ2 2016","FQ2 2016","Currency=INR","Period=FQ","BEST_FPERIOD_OVERRIDE=FQ","FILING_STATUS=OR","EQY_CONSOLIDATED=Y","Sort=A","Dates=H","DateFormat=P","Fill=—","Direction=H","UseDPDF=Y")</f>
        <v>#NAME?</v>
      </c>
      <c r="CU115" s="1" t="e">
        <f ca="1">_xll.BDH($C$103,"QUICK_RATIO","FQ2 2016","FQ2 2016","Currency=INR","Period=FQ","BEST_FPERIOD_OVERRIDE=FQ","FILING_STATUS=OR","EQY_CONSOLIDATED=Y","Sort=A","Dates=H","DateFormat=P","Fill=—","Direction=H","UseDPDF=Y")</f>
        <v>#NAME?</v>
      </c>
      <c r="CV115" s="1" t="e">
        <f ca="1">_xll.BDH($C$103,"ALTMAN_Z_SCORE","FQ2 2016","FQ2 2016","Currency=INR","Period=FQ","BEST_FPERIOD_OVERRIDE=FQ","FILING_STATUS=OR","EQY_CONSOLIDATED=Y","Sort=A","Dates=H","DateFormat=P","Fill=—","Direction=H","UseDPDF=Y")</f>
        <v>#NAME?</v>
      </c>
      <c r="CW115" s="3" t="e">
        <f ca="1">_xll.BDH($C$103,"ACCT_RCV_TURN","FQ2 2016","FQ2 2016","Currency=INR","Period=FQ","BEST_FPERIOD_OVERRIDE=FQ","FILING_STATUS=OR","EQY_CONSOLIDATED=Y","FA_ADJUSTED=GAAP","Sort=A","Dates=H","DateFormat=P","Fill=—","Direction=H","UseDPDF=Y")</f>
        <v>#NAME?</v>
      </c>
      <c r="CX115" s="1" t="e">
        <f ca="1">_xll.BDH($C$103,"ACCT_RCV_DAYS","FQ2 2016","FQ2 2016","Currency=INR","Period=FQ","BEST_FPERIOD_OVERRIDE=FQ","FILING_STATUS=OR","EQY_CONSOLIDATED=Y","FA_ADJUSTED=GAAP","Sort=A","Dates=H","DateFormat=P","Fill=—","Direction=H","UseDPDF=Y")</f>
        <v>#NAME?</v>
      </c>
      <c r="CY115" s="3" t="e">
        <f ca="1">_xll.BDH($C$103,"INVENT_TURN","FQ2 2016","FQ2 2016","Currency=INR","Period=FQ","BEST_FPERIOD_OVERRIDE=FQ","FILING_STATUS=OR","EQY_CONSOLIDATED=Y","FA_ADJUSTED=GAAP","Sort=A","Dates=H","DateFormat=P","Fill=—","Direction=H","UseDPDF=Y")</f>
        <v>#NAME?</v>
      </c>
      <c r="CZ115" s="1" t="e">
        <f ca="1">_xll.BDH($C$103,"INVENT_DAYS","FQ2 2016","FQ2 2016","Currency=INR","Period=FQ","BEST_FPERIOD_OVERRIDE=FQ","FILING_STATUS=OR","EQY_CONSOLIDATED=Y","FA_ADJUSTED=GAAP","Sort=A","Dates=H","DateFormat=P","Fill=—","Direction=H","UseDPDF=Y")</f>
        <v>#NAME?</v>
      </c>
      <c r="DA115" s="3" t="e">
        <f ca="1">_xll.BDH($C$103,"ACCOUNTS_PAYABLE_TURNOVER","FQ2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15" s="1" t="e">
        <f ca="1">_xll.BDH($C$103,"ACCOUNTS_PAYABLE_TURNOVER_DAYS","FQ2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15" s="3" t="e">
        <f ca="1">_xll.BDH($C$103,"CASH_CONVERSION_CYCLE","FQ2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15" s="3" t="e">
        <f ca="1">_xll.BDH($C$103,"INV_TO_CASH_DAYS","FQ2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115" s="4" t="e">
        <f ca="1">_xll.BDH($C$103,"BS_INVENTORIES","FQ2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115" s="2" t="e">
        <f ca="1">_xll.BDH($C$103,"INVTRY_RAW_MATERIALS","FQ2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15" s="2" t="e">
        <f ca="1">_xll.BDH($C$103,"INVTRY_IN_PROGRESS","FQ2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15" s="2" t="e">
        <f ca="1">_xll.BDH($C$103,"INVTRY_FINISHED_GOODS","FQ2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15" s="2" t="e">
        <f ca="1">_xll.BDH($C$103,"BS_OTHER_INV","FQ2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16" spans="1:113" x14ac:dyDescent="0.3">
      <c r="A116" s="6"/>
      <c r="B116" s="6"/>
      <c r="C116" s="6"/>
      <c r="D116" s="6"/>
      <c r="E116" t="s">
        <v>6</v>
      </c>
      <c r="F116" t="e">
        <f ca="1">_xll.BDH($C$103,"RETURN_COM_EQY","FQ3 2016","FQ3 2016","Currency=INR","Period=FQ","BEST_FPERIOD_OVERRIDE=FQ","FILING_STATUS=OR","EQY_CONSOLIDATED=Y","FA_ADJUSTED=GAAP","Sort=A","Dates=H","DateFormat=P","Fill=—","Direction=H","UseDPDF=Y")</f>
        <v>#NAME?</v>
      </c>
      <c r="G116" t="e">
        <f ca="1">_xll.BDH($C$103,"RETURN_ON_ASSET","FQ3 2016","FQ3 2016","Currency=INR","Period=FQ","BEST_FPERIOD_OVERRIDE=FQ","FILING_STATUS=OR","EQY_CONSOLIDATED=Y","FA_ADJUSTED=GAAP","Sort=A","Dates=H","DateFormat=P","Fill=—","Direction=H","UseDPDF=Y")</f>
        <v>#NAME?</v>
      </c>
      <c r="H116" t="e">
        <f ca="1">_xll.BDH($C$103,"RETURN_ON_CAP","FQ3 2016","FQ3 2016","Currency=INR","Period=FQ","BEST_FPERIOD_OVERRIDE=FQ","FILING_STATUS=OR","EQY_CONSOLIDATED=Y","FA_ADJUSTED=GAAP","Sort=A","Dates=H","DateFormat=P","Fill=—","Direction=H","UseDPDF=Y")</f>
        <v>#NAME?</v>
      </c>
      <c r="I116" t="e">
        <f ca="1">_xll.BDH($C$103,"RETURN_ON_INV_CAPITAL","FQ3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16" t="e">
        <f ca="1">_xll.BDH($C$103,"EBITDA_TO_REVENUE","FQ3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116" t="e">
        <f ca="1">_xll.BDH($C$103,"OPER_MARGIN","FQ3 2016","FQ3 2016","Currency=INR","Period=FQ","BEST_FPERIOD_OVERRIDE=FQ","FILING_STATUS=OR","EQY_CONSOLIDATED=Y","FA_ADJUSTED=GAAP","Sort=A","Dates=H","DateFormat=P","Fill=—","Direction=H","UseDPDF=Y")</f>
        <v>#NAME?</v>
      </c>
      <c r="L116" t="e">
        <f ca="1">_xll.BDH($C$103,"INCREMENTAL_OPERATING_MARGIN","FQ3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16" t="e">
        <f ca="1">_xll.BDH($C$103,"PRETAX_INC_TO_NET_SALES","FQ3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16" t="e">
        <f ca="1">_xll.BDH($C$103,"INC_BEF_XO_ITEMS_TO_NET_SALES","FQ3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16" t="e">
        <f ca="1">_xll.BDH($C$103,"PROF_MARGIN","FQ3 2016","FQ3 2016","Currency=INR","Period=FQ","BEST_FPERIOD_OVERRIDE=FQ","FILING_STATUS=OR","EQY_CONSOLIDATED=Y","FA_ADJUSTED=GAAP","Sort=A","Dates=H","DateFormat=P","Fill=—","Direction=H","UseDPDF=Y")</f>
        <v>#NAME?</v>
      </c>
      <c r="P116" t="e">
        <f ca="1">_xll.BDH($C$103,"NET_INCOME_TO_COMMON_MARGIN","FQ3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16" t="e">
        <f ca="1">_xll.BDH($C$103,"EFF_TAX_RATE","FQ3 2016","FQ3 2016","Currency=INR","Period=FQ","BEST_FPERIOD_OVERRIDE=FQ","FILING_STATUS=OR","EQY_CONSOLIDATED=Y","FA_ADJUSTED=GAAP","Sort=A","Dates=H","DateFormat=P","Fill=—","Direction=H","UseDPDF=Y")</f>
        <v>#NAME?</v>
      </c>
      <c r="R116" t="e">
        <f ca="1">_xll.BDH($C$103,"DVD_PAYOUT_RATIO","FQ3 2016","FQ3 2016","Currency=INR","Period=FQ","BEST_FPERIOD_OVERRIDE=FQ","FILING_STATUS=OR","EQY_CONSOLIDATED=Y","FA_ADJUSTED=GAAP","Sort=A","Dates=H","DateFormat=P","Fill=—","Direction=H","UseDPDF=Y")</f>
        <v>#NAME?</v>
      </c>
      <c r="S116" t="e">
        <f ca="1">_xll.BDH($C$103,"SUSTAIN_GROWTH_RT","FQ3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116" s="1" t="e">
        <f ca="1">_xll.BDH($C$103,"SALES_GROWTH","FQ3 2016","FQ3 2016","Currency=INR","Period=FQ","BEST_FPERIOD_OVERRIDE=FQ","FILING_STATUS=OR","EQY_CONSOLIDATED=Y","FA_ADJUSTED=GAAP","Sort=A","Dates=H","DateFormat=P","Fill=—","Direction=H","UseDPDF=Y")</f>
        <v>#NAME?</v>
      </c>
      <c r="U116" s="1" t="e">
        <f ca="1">_xll.BDH($C$103,"EBITDA_GROWTH","FQ3 2016","FQ3 2016","Currency=INR","Period=FQ","BEST_FPERIOD_OVERRIDE=FQ","FILING_STATUS=OR","EQY_CONSOLIDATED=Y","FA_ADJUSTED=GAAP","Sort=A","Dates=H","DateFormat=P","Fill=—","Direction=H","UseDPDF=Y")</f>
        <v>#NAME?</v>
      </c>
      <c r="V116" s="1" t="e">
        <f ca="1">_xll.BDH($C$103,"OPER_INC_GROWTH","FQ3 2016","FQ3 2016","Currency=INR","Period=FQ","BEST_FPERIOD_OVERRIDE=FQ","FILING_STATUS=OR","EQY_CONSOLIDATED=Y","FA_ADJUSTED=GAAP","Sort=A","Dates=H","DateFormat=P","Fill=—","Direction=H","UseDPDF=Y")</f>
        <v>#NAME?</v>
      </c>
      <c r="W116" s="1" t="e">
        <f ca="1">_xll.BDH($C$103,"EARN_FOR_COM_GROWTH","FQ3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16" s="1" t="e">
        <f ca="1">_xll.BDH($C$103,"DILUTED_EPS_AFT_XO_ITEMS_GROWTH","FQ3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16" s="1" t="e">
        <f ca="1">_xll.BDH($C$103,"DIVIDEND_PER_SHARE_1_YEAR_GROWTH","FQ3 2016","FQ3 2016","Currency=INR","Period=FQ","BEST_FPERIOD_OVERRIDE=FQ","FILING_STATUS=OR","EQY_CONSOLIDATED=Y","Sort=A","Dates=H","DateFormat=P","Fill=—","Direction=H","UseDPDF=Y")</f>
        <v>#NAME?</v>
      </c>
      <c r="Z116" s="1" t="e">
        <f ca="1">_xll.BDH($C$103,"ACCOUNTS_RECEIVABLE_GROWTH","FQ3 2016","FQ3 2016","Currency=INR","Period=FQ","BEST_FPERIOD_OVERRIDE=FQ","FILING_STATUS=OR","EQY_CONSOLIDATED=Y","Sort=A","Dates=H","DateFormat=P","Fill=—","Direction=H","UseDPDF=Y")</f>
        <v>#NAME?</v>
      </c>
      <c r="AA116" s="1" t="e">
        <f ca="1">_xll.BDH($C$103,"INVENTORY_GROWTH","FQ3 2016","FQ3 2016","Currency=INR","Period=FQ","BEST_FPERIOD_OVERRIDE=FQ","FILING_STATUS=OR","EQY_CONSOLIDATED=Y","Sort=A","Dates=H","DateFormat=P","Fill=—","Direction=H","UseDPDF=Y")</f>
        <v>#NAME?</v>
      </c>
      <c r="AB116" s="1" t="e">
        <f ca="1">_xll.BDH($C$103,"NET_FIXED_ASSETS_1_YEAR_GROWTH","FQ3 2016","FQ3 2016","Currency=INR","Period=FQ","BEST_FPERIOD_OVERRIDE=FQ","FILING_STATUS=OR","EQY_CONSOLIDATED=Y","Sort=A","Dates=H","DateFormat=P","Fill=—","Direction=H","UseDPDF=Y")</f>
        <v>#NAME?</v>
      </c>
      <c r="AC116" s="1" t="e">
        <f ca="1">_xll.BDH($C$103,"ASSET_GROWTH","FQ3 2016","FQ3 2016","Currency=INR","Period=FQ","BEST_FPERIOD_OVERRIDE=FQ","FILING_STATUS=OR","EQY_CONSOLIDATED=Y","Sort=A","Dates=H","DateFormat=P","Fill=—","Direction=H","UseDPDF=Y")</f>
        <v>#NAME?</v>
      </c>
      <c r="AD116" s="1" t="e">
        <f ca="1">_xll.BDH($C$103,"MODIFIED_WORK_CAP_GROWTH","FQ3 2016","FQ3 2016","Currency=INR","Period=FQ","BEST_FPERIOD_OVERRIDE=FQ","FILING_STATUS=OR","EQY_CONSOLIDATED=Y","Sort=A","Dates=H","DateFormat=P","Fill=—","Direction=H","UseDPDF=Y")</f>
        <v>#NAME?</v>
      </c>
      <c r="AE116" s="1" t="e">
        <f ca="1">_xll.BDH($C$103,"WORK_CAP_GROWTH","FQ3 2016","FQ3 2016","Currency=INR","Period=FQ","BEST_FPERIOD_OVERRIDE=FQ","FILING_STATUS=OR","EQY_CONSOLIDATED=Y","Sort=A","Dates=H","DateFormat=P","Fill=—","Direction=H","UseDPDF=Y")</f>
        <v>#NAME?</v>
      </c>
      <c r="AF116" s="1" t="e">
        <f ca="1">_xll.BDH($C$103,"ACCOUNTS_PAYABLE_GROWTH_1YR","FQ3 2016","FQ3 2016","Currency=INR","Period=FQ","BEST_FPERIOD_OVERRIDE=FQ","FILING_STATUS=OR","EQY_CONSOLIDATED=Y","Sort=A","Dates=H","DateFormat=P","Fill=—","Direction=H","UseDPDF=Y")</f>
        <v>#NAME?</v>
      </c>
      <c r="AG116" s="1" t="e">
        <f ca="1">_xll.BDH($C$103,"SHORT_TERM_DEBT_1_YEAR_GROWTH","FQ3 2016","FQ3 2016","Currency=INR","Period=FQ","BEST_FPERIOD_OVERRIDE=FQ","FILING_STATUS=OR","EQY_CONSOLIDATED=Y","Sort=A","Dates=H","DateFormat=P","Fill=—","Direction=H","UseDPDF=Y")</f>
        <v>#NAME?</v>
      </c>
      <c r="AH116" s="1" t="e">
        <f ca="1">_xll.BDH($C$103,"TOTAL_DEBT_1_YEAR_GROWTH","FQ3 2016","FQ3 2016","Currency=INR","Period=FQ","BEST_FPERIOD_OVERRIDE=FQ","FILING_STATUS=OR","EQY_CONSOLIDATED=Y","Sort=A","Dates=H","DateFormat=P","Fill=—","Direction=H","UseDPDF=Y")</f>
        <v>#NAME?</v>
      </c>
      <c r="AI116" s="1" t="e">
        <f ca="1">_xll.BDH($C$103,"TOTAL_EQUITY_1_YEAR_GROWTH","FQ3 2016","FQ3 2016","Currency=INR","Period=FQ","BEST_FPERIOD_OVERRIDE=FQ","FILING_STATUS=OR","EQY_CONSOLIDATED=Y","Sort=A","Dates=H","DateFormat=P","Fill=—","Direction=H","UseDPDF=Y")</f>
        <v>#NAME?</v>
      </c>
      <c r="AJ116" s="1" t="e">
        <f ca="1">_xll.BDH($C$103,"GROWTH_IN_CAP","FQ3 2016","FQ3 2016","Currency=INR","Period=FQ","BEST_FPERIOD_OVERRIDE=FQ","FILING_STATUS=OR","EQY_CONSOLIDATED=Y","Sort=A","Dates=H","DateFormat=P","Fill=—","Direction=H","UseDPDF=Y")</f>
        <v>#NAME?</v>
      </c>
      <c r="AK116" s="1" t="e">
        <f ca="1">_xll.BDH($C$103,"BVPS_GROWTH","FQ3 2016","FQ3 2016","Currency=INR","Period=FQ","BEST_FPERIOD_OVERRIDE=FQ","FILING_STATUS=OR","EQY_CONSOLIDATED=Y","Sort=A","Dates=H","DateFormat=P","Fill=—","Direction=H","UseDPDF=Y")</f>
        <v>#NAME?</v>
      </c>
      <c r="AL116" s="1" t="e">
        <f ca="1">_xll.BDH($C$103,"CASH_FLOW_GROWTH","FQ3 2016","FQ3 2016","Currency=INR","Period=FQ","BEST_FPERIOD_OVERRIDE=FQ","FILING_STATUS=OR","EQY_CONSOLIDATED=Y","Sort=A","Dates=H","DateFormat=P","Fill=—","Direction=H","UseDPDF=Y")</f>
        <v>#NAME?</v>
      </c>
      <c r="AM116" s="1" t="e">
        <f ca="1">_xll.BDH($C$103,"GEO_GROW_NET_SALES","FQ3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16" s="1" t="e">
        <f ca="1">_xll.BDH($C$103,"GEO_GROW_EBITDA","FQ3 2016","FQ3 2016","Currency=INR","Period=FQ","BEST_FPERIOD_OVERRIDE=FQ","FILING_STATUS=OR","EQY_CONSOLIDATED=Y","FA_ADJUSTED=GAAP","Sort=A","Dates=H","DateFormat=P","Fill=—","Direction=H","UseDPDF=Y")</f>
        <v>#NAME?</v>
      </c>
      <c r="AO116" s="1" t="e">
        <f ca="1">_xll.BDH($C$103,"GEO_GROW_OPER_INC","FQ3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16" s="1" t="e">
        <f ca="1">_xll.BDH($C$103,"NET_INCOME_TO_COMMON_5_YR_GROWTH","FQ3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16" s="1" t="e">
        <f ca="1">_xll.BDH($C$103,"5Y_GEO_GROWTH_DILUTED_EPS","FQ3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16" s="1" t="e">
        <f ca="1">_xll.BDH($C$103,"GEO_GROW_DVD_PER_SH","FQ3 2016","FQ3 2016","Currency=INR","Period=FQ","BEST_FPERIOD_OVERRIDE=FQ","FILING_STATUS=OR","EQY_CONSOLIDATED=Y","Sort=A","Dates=H","DateFormat=P","Fill=—","Direction=H","UseDPDF=Y")</f>
        <v>#NAME?</v>
      </c>
      <c r="AS116" s="1" t="e">
        <f ca="1">_xll.BDH($C$103,"ACCOUNTS_RECEIVABLE_5_YR_GROWTH","FQ3 2016","FQ3 2016","Currency=INR","Period=FQ","BEST_FPERIOD_OVERRIDE=FQ","FILING_STATUS=OR","EQY_CONSOLIDATED=Y","Sort=A","Dates=H","DateFormat=P","Fill=—","Direction=H","UseDPDF=Y")</f>
        <v>#NAME?</v>
      </c>
      <c r="AT116" s="1" t="e">
        <f ca="1">_xll.BDH($C$103,"INVENTORY_5_YEAR_GROWTH","FQ3 2016","FQ3 2016","Currency=INR","Period=FQ","BEST_FPERIOD_OVERRIDE=FQ","FILING_STATUS=OR","EQY_CONSOLIDATED=Y","Sort=A","Dates=H","DateFormat=P","Fill=—","Direction=H","UseDPDF=Y")</f>
        <v>#NAME?</v>
      </c>
      <c r="AU116" s="1" t="e">
        <f ca="1">_xll.BDH($C$103,"NET_FIXED_ASSETS_5_YEAR_GROWTH","FQ3 2016","FQ3 2016","Currency=INR","Period=FQ","BEST_FPERIOD_OVERRIDE=FQ","FILING_STATUS=OR","EQY_CONSOLIDATED=Y","Sort=A","Dates=H","DateFormat=P","Fill=—","Direction=H","UseDPDF=Y")</f>
        <v>#NAME?</v>
      </c>
      <c r="AV116" s="1" t="e">
        <f ca="1">_xll.BDH($C$103,"GEO_GROW_TOT_ASSET","FQ3 2016","FQ3 2016","Currency=INR","Period=FQ","BEST_FPERIOD_OVERRIDE=FQ","FILING_STATUS=OR","EQY_CONSOLIDATED=Y","Sort=A","Dates=H","DateFormat=P","Fill=—","Direction=H","UseDPDF=Y")</f>
        <v>#NAME?</v>
      </c>
      <c r="AW116" s="1" t="e">
        <f ca="1">_xll.BDH($C$103,"MODIFIED_WORKING_CPTL_5YR_GRWTH","FQ3 2016","FQ3 2016","Currency=INR","Period=FQ","BEST_FPERIOD_OVERRIDE=FQ","FILING_STATUS=OR","EQY_CONSOLIDATED=Y","Sort=A","Dates=H","DateFormat=P","Fill=—","Direction=H","UseDPDF=Y")</f>
        <v>#NAME?</v>
      </c>
      <c r="AX116" s="1" t="e">
        <f ca="1">_xll.BDH($C$103,"WORKING_CAPITAL_5_YEAR_GROWTH","FQ3 2016","FQ3 2016","Currency=INR","Period=FQ","BEST_FPERIOD_OVERRIDE=FQ","FILING_STATUS=OR","EQY_CONSOLIDATED=Y","Sort=A","Dates=H","DateFormat=P","Fill=—","Direction=H","UseDPDF=Y")</f>
        <v>#NAME?</v>
      </c>
      <c r="AY116" s="1" t="e">
        <f ca="1">_xll.BDH($C$103,"ACCOUNTS_PAYABLE_5_YEAR_GROWTH","FQ3 2016","FQ3 2016","Currency=INR","Period=FQ","BEST_FPERIOD_OVERRIDE=FQ","FILING_STATUS=OR","EQY_CONSOLIDATED=Y","Sort=A","Dates=H","DateFormat=P","Fill=—","Direction=H","UseDPDF=Y")</f>
        <v>#NAME?</v>
      </c>
      <c r="AZ116" s="1" t="e">
        <f ca="1">_xll.BDH($C$103,"SHORT_TERM_DEBT_5_YEAR_GROWTH","FQ3 2016","FQ3 2016","Currency=INR","Period=FQ","BEST_FPERIOD_OVERRIDE=FQ","FILING_STATUS=OR","EQY_CONSOLIDATED=Y","Sort=A","Dates=H","DateFormat=P","Fill=—","Direction=H","UseDPDF=Y")</f>
        <v>#NAME?</v>
      </c>
      <c r="BA116" s="1" t="e">
        <f ca="1">_xll.BDH($C$103,"TOTAL_DEBT_5_YEAR_GROWTH","FQ3 2016","FQ3 2016","Currency=INR","Period=FQ","BEST_FPERIOD_OVERRIDE=FQ","FILING_STATUS=OR","EQY_CONSOLIDATED=Y","Sort=A","Dates=H","DateFormat=P","Fill=—","Direction=H","UseDPDF=Y")</f>
        <v>#NAME?</v>
      </c>
      <c r="BB116" s="1" t="e">
        <f ca="1">_xll.BDH($C$103,"GEO_GROW_TOT_SHRHLDR_EQY","FQ3 2016","FQ3 2016","Currency=INR","Period=FQ","BEST_FPERIOD_OVERRIDE=FQ","FILING_STATUS=OR","EQY_CONSOLIDATED=Y","Sort=A","Dates=H","DateFormat=P","Fill=—","Direction=H","UseDPDF=Y")</f>
        <v>#NAME?</v>
      </c>
      <c r="BC116" s="1" t="e">
        <f ca="1">_xll.BDH($C$103,"TOTAL_CAPITAL_5_YEAR_GROWTH","FQ3 2016","FQ3 2016","Currency=INR","Period=FQ","BEST_FPERIOD_OVERRIDE=FQ","FILING_STATUS=OR","EQY_CONSOLIDATED=Y","Sort=A","Dates=H","DateFormat=P","Fill=—","Direction=H","UseDPDF=Y")</f>
        <v>#NAME?</v>
      </c>
      <c r="BD116" s="1" t="e">
        <f ca="1">_xll.BDH($C$103,"GEO_GROW_BOOK_VAL","FQ3 2016","FQ3 2016","Currency=INR","Period=FQ","BEST_FPERIOD_OVERRIDE=FQ","FILING_STATUS=OR","EQY_CONSOLIDATED=Y","Sort=A","Dates=H","DateFormat=P","Fill=—","Direction=H","UseDPDF=Y")</f>
        <v>#NAME?</v>
      </c>
      <c r="BE116" s="1" t="e">
        <f ca="1">_xll.BDH($C$103,"GEO_GROW_CASH_OPER_ACT","FQ3 2016","FQ3 2016","Currency=INR","Period=FQ","BEST_FPERIOD_OVERRIDE=FQ","FILING_STATUS=OR","EQY_CONSOLIDATED=Y","Sort=A","Dates=H","DateFormat=P","Fill=—","Direction=H","UseDPDF=Y")</f>
        <v>#NAME?</v>
      </c>
      <c r="BF116" s="1" t="e">
        <f ca="1">_xll.BDH($C$103,"REVENUE_SEQUENTIAL_GROWTH","FQ3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16" s="1" t="e">
        <f ca="1">_xll.BDH($C$103,"EBITDA_SEQUENTIAL_GROWTH","FQ3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16" s="1" t="e">
        <f ca="1">_xll.BDH($C$103,"OPERATING_INCOME_SEQ_GROWTH","FQ3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16" s="1" t="e">
        <f ca="1">_xll.BDH($C$103,"NET_INCOME_TO_COMMON_SEQ_GROWTH","FQ3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16" s="1" t="e">
        <f ca="1">_xll.BDH($C$103,"EPS_DILUTED_SEQUENTIAL_GROWTH","FQ3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16" s="1" t="e">
        <f ca="1">_xll.BDH($C$103,"DPS_SEQUENTIAL_GROWTH","FQ3 2016","FQ3 2016","Currency=INR","Period=FQ","BEST_FPERIOD_OVERRIDE=FQ","FILING_STATUS=OR","EQY_CONSOLIDATED=Y","Sort=A","Dates=H","DateFormat=P","Fill=—","Direction=H","UseDPDF=Y")</f>
        <v>#NAME?</v>
      </c>
      <c r="BL116" s="1" t="e">
        <f ca="1">_xll.BDH($C$103,"ACCOUNTS_RECEIVABLE_SEQ_GROWTH","FQ3 2016","FQ3 2016","Currency=INR","Period=FQ","BEST_FPERIOD_OVERRIDE=FQ","FILING_STATUS=OR","EQY_CONSOLIDATED=Y","Sort=A","Dates=H","DateFormat=P","Fill=—","Direction=H","UseDPDF=Y")</f>
        <v>#NAME?</v>
      </c>
      <c r="BM116" s="1" t="e">
        <f ca="1">_xll.BDH($C$103,"INVENTORY_SEQUENTIAL_GROWTH","FQ3 2016","FQ3 2016","Currency=INR","Period=FQ","BEST_FPERIOD_OVERRIDE=FQ","FILING_STATUS=OR","EQY_CONSOLIDATED=Y","Sort=A","Dates=H","DateFormat=P","Fill=—","Direction=H","UseDPDF=Y")</f>
        <v>#NAME?</v>
      </c>
      <c r="BN116" s="1" t="e">
        <f ca="1">_xll.BDH($C$103,"FIXED_ASSETS_SEQUENTIAL_GROWTH","FQ3 2016","FQ3 2016","Currency=INR","Period=FQ","BEST_FPERIOD_OVERRIDE=FQ","FILING_STATUS=OR","EQY_CONSOLIDATED=Y","Sort=A","Dates=H","DateFormat=P","Fill=—","Direction=H","UseDPDF=Y")</f>
        <v>#NAME?</v>
      </c>
      <c r="BO116" s="1" t="e">
        <f ca="1">_xll.BDH($C$103,"TOTAL_ASSETS_SEQUENTIAL_GROWTH","FQ3 2016","FQ3 2016","Currency=INR","Period=FQ","BEST_FPERIOD_OVERRIDE=FQ","FILING_STATUS=OR","EQY_CONSOLIDATED=Y","Sort=A","Dates=H","DateFormat=P","Fill=—","Direction=H","UseDPDF=Y")</f>
        <v>#NAME?</v>
      </c>
      <c r="BP116" s="1" t="e">
        <f ca="1">_xll.BDH($C$103,"MODIFIED_WORKING_CPTL_SEQ_GRWTH","FQ3 2016","FQ3 2016","Currency=INR","Period=FQ","BEST_FPERIOD_OVERRIDE=FQ","FILING_STATUS=OR","EQY_CONSOLIDATED=Y","Sort=A","Dates=H","DateFormat=P","Fill=—","Direction=H","UseDPDF=Y")</f>
        <v>#NAME?</v>
      </c>
      <c r="BQ116" s="1" t="e">
        <f ca="1">_xll.BDH($C$103,"WORKING_CAPITAL_SEQ_GROWTH","FQ3 2016","FQ3 2016","Currency=INR","Period=FQ","BEST_FPERIOD_OVERRIDE=FQ","FILING_STATUS=OR","EQY_CONSOLIDATED=Y","Sort=A","Dates=H","DateFormat=P","Fill=—","Direction=H","UseDPDF=Y")</f>
        <v>#NAME?</v>
      </c>
      <c r="BR116" s="1" t="e">
        <f ca="1">_xll.BDH($C$103,"ACCOUNTS_PAYABLE_SEQ_GROWTH","FQ3 2016","FQ3 2016","Currency=INR","Period=FQ","BEST_FPERIOD_OVERRIDE=FQ","FILING_STATUS=OR","EQY_CONSOLIDATED=Y","Sort=A","Dates=H","DateFormat=P","Fill=—","Direction=H","UseDPDF=Y")</f>
        <v>#NAME?</v>
      </c>
      <c r="BS116" s="1" t="e">
        <f ca="1">_xll.BDH($C$103,"ST_DEBT_SEQUENTIAL_GROWTH","FQ3 2016","FQ3 2016","Currency=INR","Period=FQ","BEST_FPERIOD_OVERRIDE=FQ","FILING_STATUS=OR","EQY_CONSOLIDATED=Y","Sort=A","Dates=H","DateFormat=P","Fill=—","Direction=H","UseDPDF=Y")</f>
        <v>#NAME?</v>
      </c>
      <c r="BT116" s="1" t="e">
        <f ca="1">_xll.BDH($C$103,"TOTAL_DEBT_SEQUENTIAL_GROWTH","FQ3 2016","FQ3 2016","Currency=INR","Period=FQ","BEST_FPERIOD_OVERRIDE=FQ","FILING_STATUS=OR","EQY_CONSOLIDATED=Y","Sort=A","Dates=H","DateFormat=P","Fill=—","Direction=H","UseDPDF=Y")</f>
        <v>#NAME?</v>
      </c>
      <c r="BU116" s="1" t="e">
        <f ca="1">_xll.BDH($C$103,"TOTAL_EQUITY_SEQUENTIAL_GROWTH","FQ3 2016","FQ3 2016","Currency=INR","Period=FQ","BEST_FPERIOD_OVERRIDE=FQ","FILING_STATUS=OR","EQY_CONSOLIDATED=Y","Sort=A","Dates=H","DateFormat=P","Fill=—","Direction=H","UseDPDF=Y")</f>
        <v>#NAME?</v>
      </c>
      <c r="BV116" s="1" t="e">
        <f ca="1">_xll.BDH($C$103,"TOTAL_CAPITAL_SEQUENTIAL_GROWTH","FQ3 2016","FQ3 2016","Currency=INR","Period=FQ","BEST_FPERIOD_OVERRIDE=FQ","FILING_STATUS=OR","EQY_CONSOLIDATED=Y","Sort=A","Dates=H","DateFormat=P","Fill=—","Direction=H","UseDPDF=Y")</f>
        <v>#NAME?</v>
      </c>
      <c r="BW116" s="1" t="e">
        <f ca="1">_xll.BDH($C$103,"BPS_SEQUENTIAL_GROWTH","FQ3 2016","FQ3 2016","Currency=INR","Period=FQ","BEST_FPERIOD_OVERRIDE=FQ","FILING_STATUS=OR","EQY_CONSOLIDATED=Y","Sort=A","Dates=H","DateFormat=P","Fill=—","Direction=H","UseDPDF=Y")</f>
        <v>#NAME?</v>
      </c>
      <c r="BX116" s="1" t="e">
        <f ca="1">_xll.BDH($C$103,"CFO_SEQUENTIAL_GROWTH","FQ3 2016","FQ3 2016","Currency=INR","Period=FQ","BEST_FPERIOD_OVERRIDE=FQ","FILING_STATUS=OR","EQY_CONSOLIDATED=Y","Sort=A","Dates=H","DateFormat=P","Fill=—","Direction=H","UseDPDF=Y")</f>
        <v>#NAME?</v>
      </c>
      <c r="BY116" s="2" t="e">
        <f ca="1">_xll.BDH($C$103,"SHORT_AND_LONG_TERM_DEBT","FQ3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16" s="2" t="e">
        <f ca="1">_xll.BDH($C$103,"BS_ST_BORROW","FQ3 2016","FQ3 2016","Currency=INR","Period=FQ","BEST_FPERIOD_OVERRIDE=FQ","FILING_STATUS=OR","EQY_CONSOLIDATED=Y","SCALING_FORMAT=MLN","Sort=A","Dates=H","DateFormat=P","Fill=—","Direction=H","UseDPDF=Y")</f>
        <v>#NAME?</v>
      </c>
      <c r="CA116" s="2" t="e">
        <f ca="1">_xll.BDH($C$103,"BS_LT_BORROW","FQ3 2016","FQ3 2016","Currency=INR","Period=FQ","BEST_FPERIOD_OVERRIDE=FQ","FILING_STATUS=OR","EQY_CONSOLIDATED=Y","SCALING_FORMAT=MLN","Sort=A","Dates=H","DateFormat=P","Fill=—","Direction=H","UseDPDF=Y")</f>
        <v>#NAME?</v>
      </c>
      <c r="CB116" s="1" t="e">
        <f ca="1">_xll.BDH($C$103,"TOT_DEBT_TO_EBITDA","FQ3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16" s="1" t="e">
        <f ca="1">_xll.BDH($C$103,"NET_DEBT_TO_EBITDA","FQ3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16" s="1" t="e">
        <f ca="1">_xll.BDH($C$103,"TOTAL_DEBT_TO_EBIT","FQ3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16" s="1" t="e">
        <f ca="1">_xll.BDH($C$103,"NET_DEBT_TO_EBIT","FQ3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116" s="1" t="e">
        <f ca="1">_xll.BDH($C$103,"EBITDA_TO_INTEREST_EXPN","FQ3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16" s="1" t="e">
        <f ca="1">_xll.BDH($C$103,"COM_EQY_TO_TOT_ASSET","FQ3 2016","FQ3 2016","Currency=INR","Period=FQ","BEST_FPERIOD_OVERRIDE=FQ","FILING_STATUS=OR","EQY_CONSOLIDATED=Y","Sort=A","Dates=H","DateFormat=P","Fill=—","Direction=H","UseDPDF=Y")</f>
        <v>#NAME?</v>
      </c>
      <c r="CH116" s="1" t="e">
        <f ca="1">_xll.BDH($C$103,"LT_DEBT_TO_TOT_EQY","FQ3 2016","FQ3 2016","Currency=INR","Period=FQ","BEST_FPERIOD_OVERRIDE=FQ","FILING_STATUS=OR","EQY_CONSOLIDATED=Y","Sort=A","Dates=H","DateFormat=P","Fill=—","Direction=H","UseDPDF=Y")</f>
        <v>#NAME?</v>
      </c>
      <c r="CI116" s="1" t="e">
        <f ca="1">_xll.BDH($C$103,"LT_DEBT_TO_TOT_CAP","FQ3 2016","FQ3 2016","Currency=INR","Period=FQ","BEST_FPERIOD_OVERRIDE=FQ","FILING_STATUS=OR","EQY_CONSOLIDATED=Y","Sort=A","Dates=H","DateFormat=P","Fill=—","Direction=H","UseDPDF=Y")</f>
        <v>#NAME?</v>
      </c>
      <c r="CJ116" s="1" t="e">
        <f ca="1">_xll.BDH($C$103,"LT_DEBT_TO_TOT_ASSET","FQ3 2016","FQ3 2016","Currency=INR","Period=FQ","BEST_FPERIOD_OVERRIDE=FQ","FILING_STATUS=OR","EQY_CONSOLIDATED=Y","Sort=A","Dates=H","DateFormat=P","Fill=—","Direction=H","UseDPDF=Y")</f>
        <v>#NAME?</v>
      </c>
      <c r="CK116" s="1" t="e">
        <f ca="1">_xll.BDH($C$103,"TOT_DEBT_TO_TOT_EQY","FQ3 2016","FQ3 2016","Currency=INR","Period=FQ","BEST_FPERIOD_OVERRIDE=FQ","FILING_STATUS=OR","EQY_CONSOLIDATED=Y","Sort=A","Dates=H","DateFormat=P","Fill=—","Direction=H","UseDPDF=Y")</f>
        <v>#NAME?</v>
      </c>
      <c r="CL116" s="1" t="e">
        <f ca="1">_xll.BDH($C$103,"TOT_DEBT_TO_TOT_CAP","FQ3 2016","FQ3 2016","Currency=INR","Period=FQ","BEST_FPERIOD_OVERRIDE=FQ","FILING_STATUS=OR","EQY_CONSOLIDATED=Y","Sort=A","Dates=H","DateFormat=P","Fill=—","Direction=H","UseDPDF=Y")</f>
        <v>#NAME?</v>
      </c>
      <c r="CM116" s="1" t="e">
        <f ca="1">_xll.BDH($C$103,"TOT_DEBT_TO_TOT_ASSET","FQ3 2016","FQ3 2016","Currency=INR","Period=FQ","BEST_FPERIOD_OVERRIDE=FQ","FILING_STATUS=OR","EQY_CONSOLIDATED=Y","Sort=A","Dates=H","DateFormat=P","Fill=—","Direction=H","UseDPDF=Y")</f>
        <v>#NAME?</v>
      </c>
      <c r="CN116" s="1" t="e">
        <f ca="1">_xll.BDH($C$103,"NET_DEBT_TO_SHRHLDR_EQTY","FQ3 2016","FQ3 2016","Currency=INR","Period=FQ","BEST_FPERIOD_OVERRIDE=FQ","FILING_STATUS=OR","EQY_CONSOLIDATED=Y","Sort=A","Dates=H","DateFormat=P","Fill=—","Direction=H","UseDPDF=Y")</f>
        <v>#NAME?</v>
      </c>
      <c r="CO116" s="1" t="e">
        <f ca="1">_xll.BDH($C$103,"NET_DEBT_%_CAPITAL","FQ3 2016","FQ3 2016","Currency=INR","Period=FQ","BEST_FPERIOD_OVERRIDE=FQ","FILING_STATUS=OR","EQY_CONSOLIDATED=Y","Sort=A","Dates=H","DateFormat=P","Fill=—","Direction=H","UseDPDF=Y")</f>
        <v>#NAME?</v>
      </c>
      <c r="CP116" s="2" t="e">
        <f ca="1">_xll.BDH($C$103,"EBITDA","FQ3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16" s="2" t="e">
        <f ca="1">_xll.BDH($C$103,"EBITDA_AFTER_CAPEX","FQ3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16" s="2" t="e">
        <f ca="1">_xll.BDH($C$103,"IS_OPER_INC","FQ3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16" s="1" t="e">
        <f ca="1">_xll.BDH($C$103,"CASH_RATIO","FQ3 2016","FQ3 2016","Currency=INR","Period=FQ","BEST_FPERIOD_OVERRIDE=FQ","FILING_STATUS=OR","EQY_CONSOLIDATED=Y","Sort=A","Dates=H","DateFormat=P","Fill=—","Direction=H","UseDPDF=Y")</f>
        <v>#NAME?</v>
      </c>
      <c r="CT116" s="1" t="e">
        <f ca="1">_xll.BDH($C$103,"CUR_RATIO","FQ3 2016","FQ3 2016","Currency=INR","Period=FQ","BEST_FPERIOD_OVERRIDE=FQ","FILING_STATUS=OR","EQY_CONSOLIDATED=Y","Sort=A","Dates=H","DateFormat=P","Fill=—","Direction=H","UseDPDF=Y")</f>
        <v>#NAME?</v>
      </c>
      <c r="CU116" s="1" t="e">
        <f ca="1">_xll.BDH($C$103,"QUICK_RATIO","FQ3 2016","FQ3 2016","Currency=INR","Period=FQ","BEST_FPERIOD_OVERRIDE=FQ","FILING_STATUS=OR","EQY_CONSOLIDATED=Y","Sort=A","Dates=H","DateFormat=P","Fill=—","Direction=H","UseDPDF=Y")</f>
        <v>#NAME?</v>
      </c>
      <c r="CV116" s="1" t="e">
        <f ca="1">_xll.BDH($C$103,"ALTMAN_Z_SCORE","FQ3 2016","FQ3 2016","Currency=INR","Period=FQ","BEST_FPERIOD_OVERRIDE=FQ","FILING_STATUS=OR","EQY_CONSOLIDATED=Y","Sort=A","Dates=H","DateFormat=P","Fill=—","Direction=H","UseDPDF=Y")</f>
        <v>#NAME?</v>
      </c>
      <c r="CW116" s="3" t="e">
        <f ca="1">_xll.BDH($C$103,"ACCT_RCV_TURN","FQ3 2016","FQ3 2016","Currency=INR","Period=FQ","BEST_FPERIOD_OVERRIDE=FQ","FILING_STATUS=OR","EQY_CONSOLIDATED=Y","FA_ADJUSTED=GAAP","Sort=A","Dates=H","DateFormat=P","Fill=—","Direction=H","UseDPDF=Y")</f>
        <v>#NAME?</v>
      </c>
      <c r="CX116" s="1" t="e">
        <f ca="1">_xll.BDH($C$103,"ACCT_RCV_DAYS","FQ3 2016","FQ3 2016","Currency=INR","Period=FQ","BEST_FPERIOD_OVERRIDE=FQ","FILING_STATUS=OR","EQY_CONSOLIDATED=Y","FA_ADJUSTED=GAAP","Sort=A","Dates=H","DateFormat=P","Fill=—","Direction=H","UseDPDF=Y")</f>
        <v>#NAME?</v>
      </c>
      <c r="CY116" s="3" t="e">
        <f ca="1">_xll.BDH($C$103,"INVENT_TURN","FQ3 2016","FQ3 2016","Currency=INR","Period=FQ","BEST_FPERIOD_OVERRIDE=FQ","FILING_STATUS=OR","EQY_CONSOLIDATED=Y","FA_ADJUSTED=GAAP","Sort=A","Dates=H","DateFormat=P","Fill=—","Direction=H","UseDPDF=Y")</f>
        <v>#NAME?</v>
      </c>
      <c r="CZ116" s="1" t="e">
        <f ca="1">_xll.BDH($C$103,"INVENT_DAYS","FQ3 2016","FQ3 2016","Currency=INR","Period=FQ","BEST_FPERIOD_OVERRIDE=FQ","FILING_STATUS=OR","EQY_CONSOLIDATED=Y","FA_ADJUSTED=GAAP","Sort=A","Dates=H","DateFormat=P","Fill=—","Direction=H","UseDPDF=Y")</f>
        <v>#NAME?</v>
      </c>
      <c r="DA116" s="3" t="e">
        <f ca="1">_xll.BDH($C$103,"ACCOUNTS_PAYABLE_TURNOVER","FQ3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16" s="1" t="e">
        <f ca="1">_xll.BDH($C$103,"ACCOUNTS_PAYABLE_TURNOVER_DAYS","FQ3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16" s="3" t="e">
        <f ca="1">_xll.BDH($C$103,"CASH_CONVERSION_CYCLE","FQ3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16" s="3" t="e">
        <f ca="1">_xll.BDH($C$103,"INV_TO_CASH_DAYS","FQ3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116" s="4" t="e">
        <f ca="1">_xll.BDH($C$103,"BS_INVENTORIES","FQ3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116" s="2" t="e">
        <f ca="1">_xll.BDH($C$103,"INVTRY_RAW_MATERIALS","FQ3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16" s="2" t="e">
        <f ca="1">_xll.BDH($C$103,"INVTRY_IN_PROGRESS","FQ3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16" s="2" t="e">
        <f ca="1">_xll.BDH($C$103,"INVTRY_FINISHED_GOODS","FQ3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16" s="2" t="e">
        <f ca="1">_xll.BDH($C$103,"BS_OTHER_INV","FQ3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17" spans="1:113" x14ac:dyDescent="0.3">
      <c r="A117" s="6"/>
      <c r="B117" s="6"/>
      <c r="C117" s="6"/>
      <c r="D117" s="6"/>
      <c r="E117" t="s">
        <v>7</v>
      </c>
      <c r="F117" t="e">
        <f ca="1">_xll.BDH($C$103,"RETURN_COM_EQY","FQ4 2016","FQ4 2016","Currency=INR","Period=FQ","BEST_FPERIOD_OVERRIDE=FQ","FILING_STATUS=OR","EQY_CONSOLIDATED=Y","FA_ADJUSTED=GAAP","Sort=A","Dates=H","DateFormat=P","Fill=—","Direction=H","UseDPDF=Y")</f>
        <v>#NAME?</v>
      </c>
      <c r="G117" t="e">
        <f ca="1">_xll.BDH($C$103,"RETURN_ON_ASSET","FQ4 2016","FQ4 2016","Currency=INR","Period=FQ","BEST_FPERIOD_OVERRIDE=FQ","FILING_STATUS=OR","EQY_CONSOLIDATED=Y","FA_ADJUSTED=GAAP","Sort=A","Dates=H","DateFormat=P","Fill=—","Direction=H","UseDPDF=Y")</f>
        <v>#NAME?</v>
      </c>
      <c r="H117" t="e">
        <f ca="1">_xll.BDH($C$103,"RETURN_ON_CAP","FQ4 2016","FQ4 2016","Currency=INR","Period=FQ","BEST_FPERIOD_OVERRIDE=FQ","FILING_STATUS=OR","EQY_CONSOLIDATED=Y","FA_ADJUSTED=GAAP","Sort=A","Dates=H","DateFormat=P","Fill=—","Direction=H","UseDPDF=Y")</f>
        <v>#NAME?</v>
      </c>
      <c r="I117" t="e">
        <f ca="1">_xll.BDH($C$103,"RETURN_ON_INV_CAPITAL","FQ4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17" t="e">
        <f ca="1">_xll.BDH($C$103,"EBITDA_TO_REVENUE","FQ4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117" t="e">
        <f ca="1">_xll.BDH($C$103,"OPER_MARGIN","FQ4 2016","FQ4 2016","Currency=INR","Period=FQ","BEST_FPERIOD_OVERRIDE=FQ","FILING_STATUS=OR","EQY_CONSOLIDATED=Y","FA_ADJUSTED=GAAP","Sort=A","Dates=H","DateFormat=P","Fill=—","Direction=H","UseDPDF=Y")</f>
        <v>#NAME?</v>
      </c>
      <c r="L117" t="e">
        <f ca="1">_xll.BDH($C$103,"INCREMENTAL_OPERATING_MARGIN","FQ4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17" t="e">
        <f ca="1">_xll.BDH($C$103,"PRETAX_INC_TO_NET_SALES","FQ4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17" t="e">
        <f ca="1">_xll.BDH($C$103,"INC_BEF_XO_ITEMS_TO_NET_SALES","FQ4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17" t="e">
        <f ca="1">_xll.BDH($C$103,"PROF_MARGIN","FQ4 2016","FQ4 2016","Currency=INR","Period=FQ","BEST_FPERIOD_OVERRIDE=FQ","FILING_STATUS=OR","EQY_CONSOLIDATED=Y","FA_ADJUSTED=GAAP","Sort=A","Dates=H","DateFormat=P","Fill=—","Direction=H","UseDPDF=Y")</f>
        <v>#NAME?</v>
      </c>
      <c r="P117" t="e">
        <f ca="1">_xll.BDH($C$103,"NET_INCOME_TO_COMMON_MARGIN","FQ4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17" t="e">
        <f ca="1">_xll.BDH($C$103,"EFF_TAX_RATE","FQ4 2016","FQ4 2016","Currency=INR","Period=FQ","BEST_FPERIOD_OVERRIDE=FQ","FILING_STATUS=OR","EQY_CONSOLIDATED=Y","FA_ADJUSTED=GAAP","Sort=A","Dates=H","DateFormat=P","Fill=—","Direction=H","UseDPDF=Y")</f>
        <v>#NAME?</v>
      </c>
      <c r="R117" t="e">
        <f ca="1">_xll.BDH($C$103,"DVD_PAYOUT_RATIO","FQ4 2016","FQ4 2016","Currency=INR","Period=FQ","BEST_FPERIOD_OVERRIDE=FQ","FILING_STATUS=OR","EQY_CONSOLIDATED=Y","FA_ADJUSTED=GAAP","Sort=A","Dates=H","DateFormat=P","Fill=—","Direction=H","UseDPDF=Y")</f>
        <v>#NAME?</v>
      </c>
      <c r="S117" t="e">
        <f ca="1">_xll.BDH($C$103,"SUSTAIN_GROWTH_RT","FQ4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117" s="1" t="e">
        <f ca="1">_xll.BDH($C$103,"SALES_GROWTH","FQ4 2016","FQ4 2016","Currency=INR","Period=FQ","BEST_FPERIOD_OVERRIDE=FQ","FILING_STATUS=OR","EQY_CONSOLIDATED=Y","FA_ADJUSTED=GAAP","Sort=A","Dates=H","DateFormat=P","Fill=—","Direction=H","UseDPDF=Y")</f>
        <v>#NAME?</v>
      </c>
      <c r="U117" s="1" t="e">
        <f ca="1">_xll.BDH($C$103,"EBITDA_GROWTH","FQ4 2016","FQ4 2016","Currency=INR","Period=FQ","BEST_FPERIOD_OVERRIDE=FQ","FILING_STATUS=OR","EQY_CONSOLIDATED=Y","FA_ADJUSTED=GAAP","Sort=A","Dates=H","DateFormat=P","Fill=—","Direction=H","UseDPDF=Y")</f>
        <v>#NAME?</v>
      </c>
      <c r="V117" s="1" t="e">
        <f ca="1">_xll.BDH($C$103,"OPER_INC_GROWTH","FQ4 2016","FQ4 2016","Currency=INR","Period=FQ","BEST_FPERIOD_OVERRIDE=FQ","FILING_STATUS=OR","EQY_CONSOLIDATED=Y","FA_ADJUSTED=GAAP","Sort=A","Dates=H","DateFormat=P","Fill=—","Direction=H","UseDPDF=Y")</f>
        <v>#NAME?</v>
      </c>
      <c r="W117" s="1" t="e">
        <f ca="1">_xll.BDH($C$103,"EARN_FOR_COM_GROWTH","FQ4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17" s="1" t="e">
        <f ca="1">_xll.BDH($C$103,"DILUTED_EPS_AFT_XO_ITEMS_GROWTH","FQ4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17" s="1" t="e">
        <f ca="1">_xll.BDH($C$103,"DIVIDEND_PER_SHARE_1_YEAR_GROWTH","FQ4 2016","FQ4 2016","Currency=INR","Period=FQ","BEST_FPERIOD_OVERRIDE=FQ","FILING_STATUS=OR","EQY_CONSOLIDATED=Y","Sort=A","Dates=H","DateFormat=P","Fill=—","Direction=H","UseDPDF=Y")</f>
        <v>#NAME?</v>
      </c>
      <c r="Z117" s="1" t="e">
        <f ca="1">_xll.BDH($C$103,"ACCOUNTS_RECEIVABLE_GROWTH","FQ4 2016","FQ4 2016","Currency=INR","Period=FQ","BEST_FPERIOD_OVERRIDE=FQ","FILING_STATUS=OR","EQY_CONSOLIDATED=Y","Sort=A","Dates=H","DateFormat=P","Fill=—","Direction=H","UseDPDF=Y")</f>
        <v>#NAME?</v>
      </c>
      <c r="AA117" s="1" t="e">
        <f ca="1">_xll.BDH($C$103,"INVENTORY_GROWTH","FQ4 2016","FQ4 2016","Currency=INR","Period=FQ","BEST_FPERIOD_OVERRIDE=FQ","FILING_STATUS=OR","EQY_CONSOLIDATED=Y","Sort=A","Dates=H","DateFormat=P","Fill=—","Direction=H","UseDPDF=Y")</f>
        <v>#NAME?</v>
      </c>
      <c r="AB117" s="1" t="e">
        <f ca="1">_xll.BDH($C$103,"NET_FIXED_ASSETS_1_YEAR_GROWTH","FQ4 2016","FQ4 2016","Currency=INR","Period=FQ","BEST_FPERIOD_OVERRIDE=FQ","FILING_STATUS=OR","EQY_CONSOLIDATED=Y","Sort=A","Dates=H","DateFormat=P","Fill=—","Direction=H","UseDPDF=Y")</f>
        <v>#NAME?</v>
      </c>
      <c r="AC117" s="1" t="e">
        <f ca="1">_xll.BDH($C$103,"ASSET_GROWTH","FQ4 2016","FQ4 2016","Currency=INR","Period=FQ","BEST_FPERIOD_OVERRIDE=FQ","FILING_STATUS=OR","EQY_CONSOLIDATED=Y","Sort=A","Dates=H","DateFormat=P","Fill=—","Direction=H","UseDPDF=Y")</f>
        <v>#NAME?</v>
      </c>
      <c r="AD117" s="1" t="e">
        <f ca="1">_xll.BDH($C$103,"MODIFIED_WORK_CAP_GROWTH","FQ4 2016","FQ4 2016","Currency=INR","Period=FQ","BEST_FPERIOD_OVERRIDE=FQ","FILING_STATUS=OR","EQY_CONSOLIDATED=Y","Sort=A","Dates=H","DateFormat=P","Fill=—","Direction=H","UseDPDF=Y")</f>
        <v>#NAME?</v>
      </c>
      <c r="AE117" s="1" t="e">
        <f ca="1">_xll.BDH($C$103,"WORK_CAP_GROWTH","FQ4 2016","FQ4 2016","Currency=INR","Period=FQ","BEST_FPERIOD_OVERRIDE=FQ","FILING_STATUS=OR","EQY_CONSOLIDATED=Y","Sort=A","Dates=H","DateFormat=P","Fill=—","Direction=H","UseDPDF=Y")</f>
        <v>#NAME?</v>
      </c>
      <c r="AF117" s="1" t="e">
        <f ca="1">_xll.BDH($C$103,"ACCOUNTS_PAYABLE_GROWTH_1YR","FQ4 2016","FQ4 2016","Currency=INR","Period=FQ","BEST_FPERIOD_OVERRIDE=FQ","FILING_STATUS=OR","EQY_CONSOLIDATED=Y","Sort=A","Dates=H","DateFormat=P","Fill=—","Direction=H","UseDPDF=Y")</f>
        <v>#NAME?</v>
      </c>
      <c r="AG117" s="1" t="e">
        <f ca="1">_xll.BDH($C$103,"SHORT_TERM_DEBT_1_YEAR_GROWTH","FQ4 2016","FQ4 2016","Currency=INR","Period=FQ","BEST_FPERIOD_OVERRIDE=FQ","FILING_STATUS=OR","EQY_CONSOLIDATED=Y","Sort=A","Dates=H","DateFormat=P","Fill=—","Direction=H","UseDPDF=Y")</f>
        <v>#NAME?</v>
      </c>
      <c r="AH117" s="1" t="e">
        <f ca="1">_xll.BDH($C$103,"TOTAL_DEBT_1_YEAR_GROWTH","FQ4 2016","FQ4 2016","Currency=INR","Period=FQ","BEST_FPERIOD_OVERRIDE=FQ","FILING_STATUS=OR","EQY_CONSOLIDATED=Y","Sort=A","Dates=H","DateFormat=P","Fill=—","Direction=H","UseDPDF=Y")</f>
        <v>#NAME?</v>
      </c>
      <c r="AI117" s="1" t="e">
        <f ca="1">_xll.BDH($C$103,"TOTAL_EQUITY_1_YEAR_GROWTH","FQ4 2016","FQ4 2016","Currency=INR","Period=FQ","BEST_FPERIOD_OVERRIDE=FQ","FILING_STATUS=OR","EQY_CONSOLIDATED=Y","Sort=A","Dates=H","DateFormat=P","Fill=—","Direction=H","UseDPDF=Y")</f>
        <v>#NAME?</v>
      </c>
      <c r="AJ117" s="1" t="e">
        <f ca="1">_xll.BDH($C$103,"GROWTH_IN_CAP","FQ4 2016","FQ4 2016","Currency=INR","Period=FQ","BEST_FPERIOD_OVERRIDE=FQ","FILING_STATUS=OR","EQY_CONSOLIDATED=Y","Sort=A","Dates=H","DateFormat=P","Fill=—","Direction=H","UseDPDF=Y")</f>
        <v>#NAME?</v>
      </c>
      <c r="AK117" s="1" t="e">
        <f ca="1">_xll.BDH($C$103,"BVPS_GROWTH","FQ4 2016","FQ4 2016","Currency=INR","Period=FQ","BEST_FPERIOD_OVERRIDE=FQ","FILING_STATUS=OR","EQY_CONSOLIDATED=Y","Sort=A","Dates=H","DateFormat=P","Fill=—","Direction=H","UseDPDF=Y")</f>
        <v>#NAME?</v>
      </c>
      <c r="AL117" s="1" t="e">
        <f ca="1">_xll.BDH($C$103,"CASH_FLOW_GROWTH","FQ4 2016","FQ4 2016","Currency=INR","Period=FQ","BEST_FPERIOD_OVERRIDE=FQ","FILING_STATUS=OR","EQY_CONSOLIDATED=Y","Sort=A","Dates=H","DateFormat=P","Fill=—","Direction=H","UseDPDF=Y")</f>
        <v>#NAME?</v>
      </c>
      <c r="AM117" s="1" t="e">
        <f ca="1">_xll.BDH($C$103,"GEO_GROW_NET_SALES","FQ4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17" s="1" t="e">
        <f ca="1">_xll.BDH($C$103,"GEO_GROW_EBITDA","FQ4 2016","FQ4 2016","Currency=INR","Period=FQ","BEST_FPERIOD_OVERRIDE=FQ","FILING_STATUS=OR","EQY_CONSOLIDATED=Y","FA_ADJUSTED=GAAP","Sort=A","Dates=H","DateFormat=P","Fill=—","Direction=H","UseDPDF=Y")</f>
        <v>#NAME?</v>
      </c>
      <c r="AO117" s="1" t="e">
        <f ca="1">_xll.BDH($C$103,"GEO_GROW_OPER_INC","FQ4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17" s="1" t="e">
        <f ca="1">_xll.BDH($C$103,"NET_INCOME_TO_COMMON_5_YR_GROWTH","FQ4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17" s="1" t="e">
        <f ca="1">_xll.BDH($C$103,"5Y_GEO_GROWTH_DILUTED_EPS","FQ4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17" s="1" t="e">
        <f ca="1">_xll.BDH($C$103,"GEO_GROW_DVD_PER_SH","FQ4 2016","FQ4 2016","Currency=INR","Period=FQ","BEST_FPERIOD_OVERRIDE=FQ","FILING_STATUS=OR","EQY_CONSOLIDATED=Y","Sort=A","Dates=H","DateFormat=P","Fill=—","Direction=H","UseDPDF=Y")</f>
        <v>#NAME?</v>
      </c>
      <c r="AS117" s="1" t="e">
        <f ca="1">_xll.BDH($C$103,"ACCOUNTS_RECEIVABLE_5_YR_GROWTH","FQ4 2016","FQ4 2016","Currency=INR","Period=FQ","BEST_FPERIOD_OVERRIDE=FQ","FILING_STATUS=OR","EQY_CONSOLIDATED=Y","Sort=A","Dates=H","DateFormat=P","Fill=—","Direction=H","UseDPDF=Y")</f>
        <v>#NAME?</v>
      </c>
      <c r="AT117" s="1" t="e">
        <f ca="1">_xll.BDH($C$103,"INVENTORY_5_YEAR_GROWTH","FQ4 2016","FQ4 2016","Currency=INR","Period=FQ","BEST_FPERIOD_OVERRIDE=FQ","FILING_STATUS=OR","EQY_CONSOLIDATED=Y","Sort=A","Dates=H","DateFormat=P","Fill=—","Direction=H","UseDPDF=Y")</f>
        <v>#NAME?</v>
      </c>
      <c r="AU117" s="1" t="e">
        <f ca="1">_xll.BDH($C$103,"NET_FIXED_ASSETS_5_YEAR_GROWTH","FQ4 2016","FQ4 2016","Currency=INR","Period=FQ","BEST_FPERIOD_OVERRIDE=FQ","FILING_STATUS=OR","EQY_CONSOLIDATED=Y","Sort=A","Dates=H","DateFormat=P","Fill=—","Direction=H","UseDPDF=Y")</f>
        <v>#NAME?</v>
      </c>
      <c r="AV117" s="1" t="e">
        <f ca="1">_xll.BDH($C$103,"GEO_GROW_TOT_ASSET","FQ4 2016","FQ4 2016","Currency=INR","Period=FQ","BEST_FPERIOD_OVERRIDE=FQ","FILING_STATUS=OR","EQY_CONSOLIDATED=Y","Sort=A","Dates=H","DateFormat=P","Fill=—","Direction=H","UseDPDF=Y")</f>
        <v>#NAME?</v>
      </c>
      <c r="AW117" s="1" t="e">
        <f ca="1">_xll.BDH($C$103,"MODIFIED_WORKING_CPTL_5YR_GRWTH","FQ4 2016","FQ4 2016","Currency=INR","Period=FQ","BEST_FPERIOD_OVERRIDE=FQ","FILING_STATUS=OR","EQY_CONSOLIDATED=Y","Sort=A","Dates=H","DateFormat=P","Fill=—","Direction=H","UseDPDF=Y")</f>
        <v>#NAME?</v>
      </c>
      <c r="AX117" s="1" t="e">
        <f ca="1">_xll.BDH($C$103,"WORKING_CAPITAL_5_YEAR_GROWTH","FQ4 2016","FQ4 2016","Currency=INR","Period=FQ","BEST_FPERIOD_OVERRIDE=FQ","FILING_STATUS=OR","EQY_CONSOLIDATED=Y","Sort=A","Dates=H","DateFormat=P","Fill=—","Direction=H","UseDPDF=Y")</f>
        <v>#NAME?</v>
      </c>
      <c r="AY117" s="1" t="e">
        <f ca="1">_xll.BDH($C$103,"ACCOUNTS_PAYABLE_5_YEAR_GROWTH","FQ4 2016","FQ4 2016","Currency=INR","Period=FQ","BEST_FPERIOD_OVERRIDE=FQ","FILING_STATUS=OR","EQY_CONSOLIDATED=Y","Sort=A","Dates=H","DateFormat=P","Fill=—","Direction=H","UseDPDF=Y")</f>
        <v>#NAME?</v>
      </c>
      <c r="AZ117" s="1" t="e">
        <f ca="1">_xll.BDH($C$103,"SHORT_TERM_DEBT_5_YEAR_GROWTH","FQ4 2016","FQ4 2016","Currency=INR","Period=FQ","BEST_FPERIOD_OVERRIDE=FQ","FILING_STATUS=OR","EQY_CONSOLIDATED=Y","Sort=A","Dates=H","DateFormat=P","Fill=—","Direction=H","UseDPDF=Y")</f>
        <v>#NAME?</v>
      </c>
      <c r="BA117" s="1" t="e">
        <f ca="1">_xll.BDH($C$103,"TOTAL_DEBT_5_YEAR_GROWTH","FQ4 2016","FQ4 2016","Currency=INR","Period=FQ","BEST_FPERIOD_OVERRIDE=FQ","FILING_STATUS=OR","EQY_CONSOLIDATED=Y","Sort=A","Dates=H","DateFormat=P","Fill=—","Direction=H","UseDPDF=Y")</f>
        <v>#NAME?</v>
      </c>
      <c r="BB117" s="1" t="e">
        <f ca="1">_xll.BDH($C$103,"GEO_GROW_TOT_SHRHLDR_EQY","FQ4 2016","FQ4 2016","Currency=INR","Period=FQ","BEST_FPERIOD_OVERRIDE=FQ","FILING_STATUS=OR","EQY_CONSOLIDATED=Y","Sort=A","Dates=H","DateFormat=P","Fill=—","Direction=H","UseDPDF=Y")</f>
        <v>#NAME?</v>
      </c>
      <c r="BC117" s="1" t="e">
        <f ca="1">_xll.BDH($C$103,"TOTAL_CAPITAL_5_YEAR_GROWTH","FQ4 2016","FQ4 2016","Currency=INR","Period=FQ","BEST_FPERIOD_OVERRIDE=FQ","FILING_STATUS=OR","EQY_CONSOLIDATED=Y","Sort=A","Dates=H","DateFormat=P","Fill=—","Direction=H","UseDPDF=Y")</f>
        <v>#NAME?</v>
      </c>
      <c r="BD117" s="1" t="e">
        <f ca="1">_xll.BDH($C$103,"GEO_GROW_BOOK_VAL","FQ4 2016","FQ4 2016","Currency=INR","Period=FQ","BEST_FPERIOD_OVERRIDE=FQ","FILING_STATUS=OR","EQY_CONSOLIDATED=Y","Sort=A","Dates=H","DateFormat=P","Fill=—","Direction=H","UseDPDF=Y")</f>
        <v>#NAME?</v>
      </c>
      <c r="BE117" s="1" t="e">
        <f ca="1">_xll.BDH($C$103,"GEO_GROW_CASH_OPER_ACT","FQ4 2016","FQ4 2016","Currency=INR","Period=FQ","BEST_FPERIOD_OVERRIDE=FQ","FILING_STATUS=OR","EQY_CONSOLIDATED=Y","Sort=A","Dates=H","DateFormat=P","Fill=—","Direction=H","UseDPDF=Y")</f>
        <v>#NAME?</v>
      </c>
      <c r="BF117" s="1" t="e">
        <f ca="1">_xll.BDH($C$103,"REVENUE_SEQUENTIAL_GROWTH","FQ4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17" s="1" t="e">
        <f ca="1">_xll.BDH($C$103,"EBITDA_SEQUENTIAL_GROWTH","FQ4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17" s="1" t="e">
        <f ca="1">_xll.BDH($C$103,"OPERATING_INCOME_SEQ_GROWTH","FQ4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17" s="1" t="e">
        <f ca="1">_xll.BDH($C$103,"NET_INCOME_TO_COMMON_SEQ_GROWTH","FQ4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17" s="1" t="e">
        <f ca="1">_xll.BDH($C$103,"EPS_DILUTED_SEQUENTIAL_GROWTH","FQ4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17" s="1" t="e">
        <f ca="1">_xll.BDH($C$103,"DPS_SEQUENTIAL_GROWTH","FQ4 2016","FQ4 2016","Currency=INR","Period=FQ","BEST_FPERIOD_OVERRIDE=FQ","FILING_STATUS=OR","EQY_CONSOLIDATED=Y","Sort=A","Dates=H","DateFormat=P","Fill=—","Direction=H","UseDPDF=Y")</f>
        <v>#NAME?</v>
      </c>
      <c r="BL117" s="1" t="e">
        <f ca="1">_xll.BDH($C$103,"ACCOUNTS_RECEIVABLE_SEQ_GROWTH","FQ4 2016","FQ4 2016","Currency=INR","Period=FQ","BEST_FPERIOD_OVERRIDE=FQ","FILING_STATUS=OR","EQY_CONSOLIDATED=Y","Sort=A","Dates=H","DateFormat=P","Fill=—","Direction=H","UseDPDF=Y")</f>
        <v>#NAME?</v>
      </c>
      <c r="BM117" s="1" t="e">
        <f ca="1">_xll.BDH($C$103,"INVENTORY_SEQUENTIAL_GROWTH","FQ4 2016","FQ4 2016","Currency=INR","Period=FQ","BEST_FPERIOD_OVERRIDE=FQ","FILING_STATUS=OR","EQY_CONSOLIDATED=Y","Sort=A","Dates=H","DateFormat=P","Fill=—","Direction=H","UseDPDF=Y")</f>
        <v>#NAME?</v>
      </c>
      <c r="BN117" s="1" t="e">
        <f ca="1">_xll.BDH($C$103,"FIXED_ASSETS_SEQUENTIAL_GROWTH","FQ4 2016","FQ4 2016","Currency=INR","Period=FQ","BEST_FPERIOD_OVERRIDE=FQ","FILING_STATUS=OR","EQY_CONSOLIDATED=Y","Sort=A","Dates=H","DateFormat=P","Fill=—","Direction=H","UseDPDF=Y")</f>
        <v>#NAME?</v>
      </c>
      <c r="BO117" s="1" t="e">
        <f ca="1">_xll.BDH($C$103,"TOTAL_ASSETS_SEQUENTIAL_GROWTH","FQ4 2016","FQ4 2016","Currency=INR","Period=FQ","BEST_FPERIOD_OVERRIDE=FQ","FILING_STATUS=OR","EQY_CONSOLIDATED=Y","Sort=A","Dates=H","DateFormat=P","Fill=—","Direction=H","UseDPDF=Y")</f>
        <v>#NAME?</v>
      </c>
      <c r="BP117" s="1" t="e">
        <f ca="1">_xll.BDH($C$103,"MODIFIED_WORKING_CPTL_SEQ_GRWTH","FQ4 2016","FQ4 2016","Currency=INR","Period=FQ","BEST_FPERIOD_OVERRIDE=FQ","FILING_STATUS=OR","EQY_CONSOLIDATED=Y","Sort=A","Dates=H","DateFormat=P","Fill=—","Direction=H","UseDPDF=Y")</f>
        <v>#NAME?</v>
      </c>
      <c r="BQ117" s="1" t="e">
        <f ca="1">_xll.BDH($C$103,"WORKING_CAPITAL_SEQ_GROWTH","FQ4 2016","FQ4 2016","Currency=INR","Period=FQ","BEST_FPERIOD_OVERRIDE=FQ","FILING_STATUS=OR","EQY_CONSOLIDATED=Y","Sort=A","Dates=H","DateFormat=P","Fill=—","Direction=H","UseDPDF=Y")</f>
        <v>#NAME?</v>
      </c>
      <c r="BR117" s="1" t="e">
        <f ca="1">_xll.BDH($C$103,"ACCOUNTS_PAYABLE_SEQ_GROWTH","FQ4 2016","FQ4 2016","Currency=INR","Period=FQ","BEST_FPERIOD_OVERRIDE=FQ","FILING_STATUS=OR","EQY_CONSOLIDATED=Y","Sort=A","Dates=H","DateFormat=P","Fill=—","Direction=H","UseDPDF=Y")</f>
        <v>#NAME?</v>
      </c>
      <c r="BS117" s="1" t="e">
        <f ca="1">_xll.BDH($C$103,"ST_DEBT_SEQUENTIAL_GROWTH","FQ4 2016","FQ4 2016","Currency=INR","Period=FQ","BEST_FPERIOD_OVERRIDE=FQ","FILING_STATUS=OR","EQY_CONSOLIDATED=Y","Sort=A","Dates=H","DateFormat=P","Fill=—","Direction=H","UseDPDF=Y")</f>
        <v>#NAME?</v>
      </c>
      <c r="BT117" s="1" t="e">
        <f ca="1">_xll.BDH($C$103,"TOTAL_DEBT_SEQUENTIAL_GROWTH","FQ4 2016","FQ4 2016","Currency=INR","Period=FQ","BEST_FPERIOD_OVERRIDE=FQ","FILING_STATUS=OR","EQY_CONSOLIDATED=Y","Sort=A","Dates=H","DateFormat=P","Fill=—","Direction=H","UseDPDF=Y")</f>
        <v>#NAME?</v>
      </c>
      <c r="BU117" s="1" t="e">
        <f ca="1">_xll.BDH($C$103,"TOTAL_EQUITY_SEQUENTIAL_GROWTH","FQ4 2016","FQ4 2016","Currency=INR","Period=FQ","BEST_FPERIOD_OVERRIDE=FQ","FILING_STATUS=OR","EQY_CONSOLIDATED=Y","Sort=A","Dates=H","DateFormat=P","Fill=—","Direction=H","UseDPDF=Y")</f>
        <v>#NAME?</v>
      </c>
      <c r="BV117" s="1" t="e">
        <f ca="1">_xll.BDH($C$103,"TOTAL_CAPITAL_SEQUENTIAL_GROWTH","FQ4 2016","FQ4 2016","Currency=INR","Period=FQ","BEST_FPERIOD_OVERRIDE=FQ","FILING_STATUS=OR","EQY_CONSOLIDATED=Y","Sort=A","Dates=H","DateFormat=P","Fill=—","Direction=H","UseDPDF=Y")</f>
        <v>#NAME?</v>
      </c>
      <c r="BW117" s="1" t="e">
        <f ca="1">_xll.BDH($C$103,"BPS_SEQUENTIAL_GROWTH","FQ4 2016","FQ4 2016","Currency=INR","Period=FQ","BEST_FPERIOD_OVERRIDE=FQ","FILING_STATUS=OR","EQY_CONSOLIDATED=Y","Sort=A","Dates=H","DateFormat=P","Fill=—","Direction=H","UseDPDF=Y")</f>
        <v>#NAME?</v>
      </c>
      <c r="BX117" s="1" t="e">
        <f ca="1">_xll.BDH($C$103,"CFO_SEQUENTIAL_GROWTH","FQ4 2016","FQ4 2016","Currency=INR","Period=FQ","BEST_FPERIOD_OVERRIDE=FQ","FILING_STATUS=OR","EQY_CONSOLIDATED=Y","Sort=A","Dates=H","DateFormat=P","Fill=—","Direction=H","UseDPDF=Y")</f>
        <v>#NAME?</v>
      </c>
      <c r="BY117" s="2" t="e">
        <f ca="1">_xll.BDH($C$103,"SHORT_AND_LONG_TERM_DEBT","FQ4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17" s="2" t="e">
        <f ca="1">_xll.BDH($C$103,"BS_ST_BORROW","FQ4 2016","FQ4 2016","Currency=INR","Period=FQ","BEST_FPERIOD_OVERRIDE=FQ","FILING_STATUS=OR","EQY_CONSOLIDATED=Y","SCALING_FORMAT=MLN","Sort=A","Dates=H","DateFormat=P","Fill=—","Direction=H","UseDPDF=Y")</f>
        <v>#NAME?</v>
      </c>
      <c r="CA117" s="2" t="e">
        <f ca="1">_xll.BDH($C$103,"BS_LT_BORROW","FQ4 2016","FQ4 2016","Currency=INR","Period=FQ","BEST_FPERIOD_OVERRIDE=FQ","FILING_STATUS=OR","EQY_CONSOLIDATED=Y","SCALING_FORMAT=MLN","Sort=A","Dates=H","DateFormat=P","Fill=—","Direction=H","UseDPDF=Y")</f>
        <v>#NAME?</v>
      </c>
      <c r="CB117" s="1" t="e">
        <f ca="1">_xll.BDH($C$103,"TOT_DEBT_TO_EBITDA","FQ4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17" s="1" t="e">
        <f ca="1">_xll.BDH($C$103,"NET_DEBT_TO_EBITDA","FQ4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17" s="1" t="e">
        <f ca="1">_xll.BDH($C$103,"TOTAL_DEBT_TO_EBIT","FQ4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17" s="1" t="e">
        <f ca="1">_xll.BDH($C$103,"NET_DEBT_TO_EBIT","FQ4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117" s="1" t="e">
        <f ca="1">_xll.BDH($C$103,"EBITDA_TO_INTEREST_EXPN","FQ4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17" s="1" t="e">
        <f ca="1">_xll.BDH($C$103,"COM_EQY_TO_TOT_ASSET","FQ4 2016","FQ4 2016","Currency=INR","Period=FQ","BEST_FPERIOD_OVERRIDE=FQ","FILING_STATUS=OR","EQY_CONSOLIDATED=Y","Sort=A","Dates=H","DateFormat=P","Fill=—","Direction=H","UseDPDF=Y")</f>
        <v>#NAME?</v>
      </c>
      <c r="CH117" s="1" t="e">
        <f ca="1">_xll.BDH($C$103,"LT_DEBT_TO_TOT_EQY","FQ4 2016","FQ4 2016","Currency=INR","Period=FQ","BEST_FPERIOD_OVERRIDE=FQ","FILING_STATUS=OR","EQY_CONSOLIDATED=Y","Sort=A","Dates=H","DateFormat=P","Fill=—","Direction=H","UseDPDF=Y")</f>
        <v>#NAME?</v>
      </c>
      <c r="CI117" s="1" t="e">
        <f ca="1">_xll.BDH($C$103,"LT_DEBT_TO_TOT_CAP","FQ4 2016","FQ4 2016","Currency=INR","Period=FQ","BEST_FPERIOD_OVERRIDE=FQ","FILING_STATUS=OR","EQY_CONSOLIDATED=Y","Sort=A","Dates=H","DateFormat=P","Fill=—","Direction=H","UseDPDF=Y")</f>
        <v>#NAME?</v>
      </c>
      <c r="CJ117" s="1" t="e">
        <f ca="1">_xll.BDH($C$103,"LT_DEBT_TO_TOT_ASSET","FQ4 2016","FQ4 2016","Currency=INR","Period=FQ","BEST_FPERIOD_OVERRIDE=FQ","FILING_STATUS=OR","EQY_CONSOLIDATED=Y","Sort=A","Dates=H","DateFormat=P","Fill=—","Direction=H","UseDPDF=Y")</f>
        <v>#NAME?</v>
      </c>
      <c r="CK117" s="1" t="e">
        <f ca="1">_xll.BDH($C$103,"TOT_DEBT_TO_TOT_EQY","FQ4 2016","FQ4 2016","Currency=INR","Period=FQ","BEST_FPERIOD_OVERRIDE=FQ","FILING_STATUS=OR","EQY_CONSOLIDATED=Y","Sort=A","Dates=H","DateFormat=P","Fill=—","Direction=H","UseDPDF=Y")</f>
        <v>#NAME?</v>
      </c>
      <c r="CL117" s="1" t="e">
        <f ca="1">_xll.BDH($C$103,"TOT_DEBT_TO_TOT_CAP","FQ4 2016","FQ4 2016","Currency=INR","Period=FQ","BEST_FPERIOD_OVERRIDE=FQ","FILING_STATUS=OR","EQY_CONSOLIDATED=Y","Sort=A","Dates=H","DateFormat=P","Fill=—","Direction=H","UseDPDF=Y")</f>
        <v>#NAME?</v>
      </c>
      <c r="CM117" s="1" t="e">
        <f ca="1">_xll.BDH($C$103,"TOT_DEBT_TO_TOT_ASSET","FQ4 2016","FQ4 2016","Currency=INR","Period=FQ","BEST_FPERIOD_OVERRIDE=FQ","FILING_STATUS=OR","EQY_CONSOLIDATED=Y","Sort=A","Dates=H","DateFormat=P","Fill=—","Direction=H","UseDPDF=Y")</f>
        <v>#NAME?</v>
      </c>
      <c r="CN117" s="1" t="e">
        <f ca="1">_xll.BDH($C$103,"NET_DEBT_TO_SHRHLDR_EQTY","FQ4 2016","FQ4 2016","Currency=INR","Period=FQ","BEST_FPERIOD_OVERRIDE=FQ","FILING_STATUS=OR","EQY_CONSOLIDATED=Y","Sort=A","Dates=H","DateFormat=P","Fill=—","Direction=H","UseDPDF=Y")</f>
        <v>#NAME?</v>
      </c>
      <c r="CO117" s="1" t="e">
        <f ca="1">_xll.BDH($C$103,"NET_DEBT_%_CAPITAL","FQ4 2016","FQ4 2016","Currency=INR","Period=FQ","BEST_FPERIOD_OVERRIDE=FQ","FILING_STATUS=OR","EQY_CONSOLIDATED=Y","Sort=A","Dates=H","DateFormat=P","Fill=—","Direction=H","UseDPDF=Y")</f>
        <v>#NAME?</v>
      </c>
      <c r="CP117" s="2" t="e">
        <f ca="1">_xll.BDH($C$103,"EBITDA","FQ4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17" s="2" t="e">
        <f ca="1">_xll.BDH($C$103,"EBITDA_AFTER_CAPEX","FQ4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17" s="2" t="e">
        <f ca="1">_xll.BDH($C$103,"IS_OPER_INC","FQ4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17" s="1" t="e">
        <f ca="1">_xll.BDH($C$103,"CASH_RATIO","FQ4 2016","FQ4 2016","Currency=INR","Period=FQ","BEST_FPERIOD_OVERRIDE=FQ","FILING_STATUS=OR","EQY_CONSOLIDATED=Y","Sort=A","Dates=H","DateFormat=P","Fill=—","Direction=H","UseDPDF=Y")</f>
        <v>#NAME?</v>
      </c>
      <c r="CT117" s="1" t="e">
        <f ca="1">_xll.BDH($C$103,"CUR_RATIO","FQ4 2016","FQ4 2016","Currency=INR","Period=FQ","BEST_FPERIOD_OVERRIDE=FQ","FILING_STATUS=OR","EQY_CONSOLIDATED=Y","Sort=A","Dates=H","DateFormat=P","Fill=—","Direction=H","UseDPDF=Y")</f>
        <v>#NAME?</v>
      </c>
      <c r="CU117" s="1" t="e">
        <f ca="1">_xll.BDH($C$103,"QUICK_RATIO","FQ4 2016","FQ4 2016","Currency=INR","Period=FQ","BEST_FPERIOD_OVERRIDE=FQ","FILING_STATUS=OR","EQY_CONSOLIDATED=Y","Sort=A","Dates=H","DateFormat=P","Fill=—","Direction=H","UseDPDF=Y")</f>
        <v>#NAME?</v>
      </c>
      <c r="CV117" s="1" t="e">
        <f ca="1">_xll.BDH($C$103,"ALTMAN_Z_SCORE","FQ4 2016","FQ4 2016","Currency=INR","Period=FQ","BEST_FPERIOD_OVERRIDE=FQ","FILING_STATUS=OR","EQY_CONSOLIDATED=Y","Sort=A","Dates=H","DateFormat=P","Fill=—","Direction=H","UseDPDF=Y")</f>
        <v>#NAME?</v>
      </c>
      <c r="CW117" s="3" t="e">
        <f ca="1">_xll.BDH($C$103,"ACCT_RCV_TURN","FQ4 2016","FQ4 2016","Currency=INR","Period=FQ","BEST_FPERIOD_OVERRIDE=FQ","FILING_STATUS=OR","EQY_CONSOLIDATED=Y","FA_ADJUSTED=GAAP","Sort=A","Dates=H","DateFormat=P","Fill=—","Direction=H","UseDPDF=Y")</f>
        <v>#NAME?</v>
      </c>
      <c r="CX117" s="1" t="e">
        <f ca="1">_xll.BDH($C$103,"ACCT_RCV_DAYS","FQ4 2016","FQ4 2016","Currency=INR","Period=FQ","BEST_FPERIOD_OVERRIDE=FQ","FILING_STATUS=OR","EQY_CONSOLIDATED=Y","FA_ADJUSTED=GAAP","Sort=A","Dates=H","DateFormat=P","Fill=—","Direction=H","UseDPDF=Y")</f>
        <v>#NAME?</v>
      </c>
      <c r="CY117" s="3" t="e">
        <f ca="1">_xll.BDH($C$103,"INVENT_TURN","FQ4 2016","FQ4 2016","Currency=INR","Period=FQ","BEST_FPERIOD_OVERRIDE=FQ","FILING_STATUS=OR","EQY_CONSOLIDATED=Y","FA_ADJUSTED=GAAP","Sort=A","Dates=H","DateFormat=P","Fill=—","Direction=H","UseDPDF=Y")</f>
        <v>#NAME?</v>
      </c>
      <c r="CZ117" s="1" t="e">
        <f ca="1">_xll.BDH($C$103,"INVENT_DAYS","FQ4 2016","FQ4 2016","Currency=INR","Period=FQ","BEST_FPERIOD_OVERRIDE=FQ","FILING_STATUS=OR","EQY_CONSOLIDATED=Y","FA_ADJUSTED=GAAP","Sort=A","Dates=H","DateFormat=P","Fill=—","Direction=H","UseDPDF=Y")</f>
        <v>#NAME?</v>
      </c>
      <c r="DA117" s="3" t="e">
        <f ca="1">_xll.BDH($C$103,"ACCOUNTS_PAYABLE_TURNOVER","FQ4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17" s="1" t="e">
        <f ca="1">_xll.BDH($C$103,"ACCOUNTS_PAYABLE_TURNOVER_DAYS","FQ4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17" s="3" t="e">
        <f ca="1">_xll.BDH($C$103,"CASH_CONVERSION_CYCLE","FQ4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17" s="3" t="e">
        <f ca="1">_xll.BDH($C$103,"INV_TO_CASH_DAYS","FQ4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117" s="4" t="e">
        <f ca="1">_xll.BDH($C$103,"BS_INVENTORIES","FQ4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117" s="2" t="e">
        <f ca="1">_xll.BDH($C$103,"INVTRY_RAW_MATERIALS","FQ4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17" s="2" t="e">
        <f ca="1">_xll.BDH($C$103,"INVTRY_IN_PROGRESS","FQ4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17" s="2" t="e">
        <f ca="1">_xll.BDH($C$103,"INVTRY_FINISHED_GOODS","FQ4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17" s="2" t="e">
        <f ca="1">_xll.BDH($C$103,"BS_OTHER_INV","FQ4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18" spans="1:113" x14ac:dyDescent="0.3">
      <c r="A118" s="6"/>
      <c r="B118" s="6"/>
      <c r="C118" s="6"/>
      <c r="D118" s="6" t="s">
        <v>10</v>
      </c>
      <c r="E118" t="s">
        <v>3</v>
      </c>
      <c r="F118" t="e">
        <f ca="1">_xll.BDH($C$103,"RETURN_COM_EQY","FY 2017","FY 2017","Currency=INR","Period=FY","BEST_FPERIOD_OVERRIDE=FY","FILING_STATUS=OR","EQY_CONSOLIDATED=Y","FA_ADJUSTED=GAAP","Sort=A","Dates=H","DateFormat=P","Fill=—","Direction=H","UseDPDF=Y")</f>
        <v>#NAME?</v>
      </c>
      <c r="G118" t="e">
        <f ca="1">_xll.BDH($C$103,"RETURN_ON_ASSET","FY 2017","FY 2017","Currency=INR","Period=FY","BEST_FPERIOD_OVERRIDE=FY","FILING_STATUS=OR","EQY_CONSOLIDATED=Y","FA_ADJUSTED=GAAP","Sort=A","Dates=H","DateFormat=P","Fill=—","Direction=H","UseDPDF=Y")</f>
        <v>#NAME?</v>
      </c>
      <c r="H118" t="e">
        <f ca="1">_xll.BDH($C$103,"RETURN_ON_CAP","FY 2017","FY 2017","Currency=INR","Period=FY","BEST_FPERIOD_OVERRIDE=FY","FILING_STATUS=OR","EQY_CONSOLIDATED=Y","FA_ADJUSTED=GAAP","Sort=A","Dates=H","DateFormat=P","Fill=—","Direction=H","UseDPDF=Y")</f>
        <v>#NAME?</v>
      </c>
      <c r="I118" t="e">
        <f ca="1">_xll.BDH($C$103,"RETURN_ON_INV_CAPITAL","FY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18" t="e">
        <f ca="1">_xll.BDH($C$103,"EBITDA_TO_REVENUE","FY 2017","FY 2017","Currency=INR","Period=FY","BEST_FPERIOD_OVERRIDE=FY","FILING_STATUS=OR","EQY_CONSOLIDATED=Y","FA_ADJUSTED=GAAP","Sort=A","Dates=H","DateFormat=P","Fill=—","Direction=H","UseDPDF=Y")</f>
        <v>#NAME?</v>
      </c>
      <c r="K118" t="e">
        <f ca="1">_xll.BDH($C$103,"OPER_MARGIN","FY 2017","FY 2017","Currency=INR","Period=FY","BEST_FPERIOD_OVERRIDE=FY","FILING_STATUS=OR","EQY_CONSOLIDATED=Y","FA_ADJUSTED=GAAP","Sort=A","Dates=H","DateFormat=P","Fill=—","Direction=H","UseDPDF=Y")</f>
        <v>#NAME?</v>
      </c>
      <c r="L118" t="e">
        <f ca="1">_xll.BDH($C$103,"INCREMENTAL_OPERATING_MARGIN","FY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18" t="e">
        <f ca="1">_xll.BDH($C$103,"PRETAX_INC_TO_NET_SALES","FY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18" t="e">
        <f ca="1">_xll.BDH($C$103,"INC_BEF_XO_ITEMS_TO_NET_SALES","FY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18" t="e">
        <f ca="1">_xll.BDH($C$103,"PROF_MARGIN","FY 2017","FY 2017","Currency=INR","Period=FY","BEST_FPERIOD_OVERRIDE=FY","FILING_STATUS=OR","EQY_CONSOLIDATED=Y","FA_ADJUSTED=GAAP","Sort=A","Dates=H","DateFormat=P","Fill=—","Direction=H","UseDPDF=Y")</f>
        <v>#NAME?</v>
      </c>
      <c r="P118" t="e">
        <f ca="1">_xll.BDH($C$103,"NET_INCOME_TO_COMMON_MARGIN","FY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18" t="e">
        <f ca="1">_xll.BDH($C$103,"EFF_TAX_RATE","FY 2017","FY 2017","Currency=INR","Period=FY","BEST_FPERIOD_OVERRIDE=FY","FILING_STATUS=OR","EQY_CONSOLIDATED=Y","FA_ADJUSTED=GAAP","Sort=A","Dates=H","DateFormat=P","Fill=—","Direction=H","UseDPDF=Y")</f>
        <v>#NAME?</v>
      </c>
      <c r="R118" t="e">
        <f ca="1">_xll.BDH($C$103,"DVD_PAYOUT_RATIO","FY 2017","FY 2017","Currency=INR","Period=FY","BEST_FPERIOD_OVERRIDE=FY","FILING_STATUS=OR","EQY_CONSOLIDATED=Y","FA_ADJUSTED=GAAP","Sort=A","Dates=H","DateFormat=P","Fill=—","Direction=H","UseDPDF=Y")</f>
        <v>#NAME?</v>
      </c>
      <c r="S118" t="e">
        <f ca="1">_xll.BDH($C$103,"SUSTAIN_GROWTH_RT","FY 2017","FY 2017","Currency=INR","Period=FY","BEST_FPERIOD_OVERRIDE=FY","FILING_STATUS=OR","EQY_CONSOLIDATED=Y","FA_ADJUSTED=GAAP","Sort=A","Dates=H","DateFormat=P","Fill=—","Direction=H","UseDPDF=Y")</f>
        <v>#NAME?</v>
      </c>
      <c r="T118" s="1" t="e">
        <f ca="1">_xll.BDH($C$103,"SALES_GROWTH","FY 2017","FY 2017","Currency=INR","Period=FY","BEST_FPERIOD_OVERRIDE=FY","FILING_STATUS=OR","EQY_CONSOLIDATED=Y","FA_ADJUSTED=GAAP","Sort=A","Dates=H","DateFormat=P","Fill=—","Direction=H","UseDPDF=Y")</f>
        <v>#NAME?</v>
      </c>
      <c r="U118" s="1" t="e">
        <f ca="1">_xll.BDH($C$103,"EBITDA_GROWTH","FY 2017","FY 2017","Currency=INR","Period=FY","BEST_FPERIOD_OVERRIDE=FY","FILING_STATUS=OR","EQY_CONSOLIDATED=Y","FA_ADJUSTED=GAAP","Sort=A","Dates=H","DateFormat=P","Fill=—","Direction=H","UseDPDF=Y")</f>
        <v>#NAME?</v>
      </c>
      <c r="V118" s="1" t="e">
        <f ca="1">_xll.BDH($C$103,"OPER_INC_GROWTH","FY 2017","FY 2017","Currency=INR","Period=FY","BEST_FPERIOD_OVERRIDE=FY","FILING_STATUS=OR","EQY_CONSOLIDATED=Y","FA_ADJUSTED=GAAP","Sort=A","Dates=H","DateFormat=P","Fill=—","Direction=H","UseDPDF=Y")</f>
        <v>#NAME?</v>
      </c>
      <c r="W118" s="1" t="e">
        <f ca="1">_xll.BDH($C$103,"EARN_FOR_COM_GROWTH","FY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118" s="1" t="e">
        <f ca="1">_xll.BDH($C$103,"DILUTED_EPS_AFT_XO_ITEMS_GROWTH","FY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18" s="1" t="e">
        <f ca="1">_xll.BDH($C$103,"DIVIDEND_PER_SHARE_1_YEAR_GROWTH","FY 2017","FY 2017","Currency=INR","Period=FY","BEST_FPERIOD_OVERRIDE=FY","FILING_STATUS=OR","EQY_CONSOLIDATED=Y","Sort=A","Dates=H","DateFormat=P","Fill=—","Direction=H","UseDPDF=Y")</f>
        <v>#NAME?</v>
      </c>
      <c r="Z118" s="1" t="e">
        <f ca="1">_xll.BDH($C$103,"ACCOUNTS_RECEIVABLE_GROWTH","FY 2017","FY 2017","Currency=INR","Period=FY","BEST_FPERIOD_OVERRIDE=FY","FILING_STATUS=OR","EQY_CONSOLIDATED=Y","Sort=A","Dates=H","DateFormat=P","Fill=—","Direction=H","UseDPDF=Y")</f>
        <v>#NAME?</v>
      </c>
      <c r="AA118" s="1" t="e">
        <f ca="1">_xll.BDH($C$103,"INVENTORY_GROWTH","FY 2017","FY 2017","Currency=INR","Period=FY","BEST_FPERIOD_OVERRIDE=FY","FILING_STATUS=OR","EQY_CONSOLIDATED=Y","Sort=A","Dates=H","DateFormat=P","Fill=—","Direction=H","UseDPDF=Y")</f>
        <v>#NAME?</v>
      </c>
      <c r="AB118" s="1" t="e">
        <f ca="1">_xll.BDH($C$103,"NET_FIXED_ASSETS_1_YEAR_GROWTH","FY 2017","FY 2017","Currency=INR","Period=FY","BEST_FPERIOD_OVERRIDE=FY","FILING_STATUS=OR","EQY_CONSOLIDATED=Y","Sort=A","Dates=H","DateFormat=P","Fill=—","Direction=H","UseDPDF=Y")</f>
        <v>#NAME?</v>
      </c>
      <c r="AC118" s="1" t="e">
        <f ca="1">_xll.BDH($C$103,"ASSET_GROWTH","FY 2017","FY 2017","Currency=INR","Period=FY","BEST_FPERIOD_OVERRIDE=FY","FILING_STATUS=OR","EQY_CONSOLIDATED=Y","Sort=A","Dates=H","DateFormat=P","Fill=—","Direction=H","UseDPDF=Y")</f>
        <v>#NAME?</v>
      </c>
      <c r="AD118" s="1" t="e">
        <f ca="1">_xll.BDH($C$103,"MODIFIED_WORK_CAP_GROWTH","FY 2017","FY 2017","Currency=INR","Period=FY","BEST_FPERIOD_OVERRIDE=FY","FILING_STATUS=OR","EQY_CONSOLIDATED=Y","Sort=A","Dates=H","DateFormat=P","Fill=—","Direction=H","UseDPDF=Y")</f>
        <v>#NAME?</v>
      </c>
      <c r="AE118" s="1" t="e">
        <f ca="1">_xll.BDH($C$103,"WORK_CAP_GROWTH","FY 2017","FY 2017","Currency=INR","Period=FY","BEST_FPERIOD_OVERRIDE=FY","FILING_STATUS=OR","EQY_CONSOLIDATED=Y","Sort=A","Dates=H","DateFormat=P","Fill=—","Direction=H","UseDPDF=Y")</f>
        <v>#NAME?</v>
      </c>
      <c r="AF118" s="1" t="e">
        <f ca="1">_xll.BDH($C$103,"ACCOUNTS_PAYABLE_GROWTH_1YR","FY 2017","FY 2017","Currency=INR","Period=FY","BEST_FPERIOD_OVERRIDE=FY","FILING_STATUS=OR","EQY_CONSOLIDATED=Y","Sort=A","Dates=H","DateFormat=P","Fill=—","Direction=H","UseDPDF=Y")</f>
        <v>#NAME?</v>
      </c>
      <c r="AG118" s="1" t="e">
        <f ca="1">_xll.BDH($C$103,"SHORT_TERM_DEBT_1_YEAR_GROWTH","FY 2017","FY 2017","Currency=INR","Period=FY","BEST_FPERIOD_OVERRIDE=FY","FILING_STATUS=OR","EQY_CONSOLIDATED=Y","Sort=A","Dates=H","DateFormat=P","Fill=—","Direction=H","UseDPDF=Y")</f>
        <v>#NAME?</v>
      </c>
      <c r="AH118" s="1" t="e">
        <f ca="1">_xll.BDH($C$103,"TOTAL_DEBT_1_YEAR_GROWTH","FY 2017","FY 2017","Currency=INR","Period=FY","BEST_FPERIOD_OVERRIDE=FY","FILING_STATUS=OR","EQY_CONSOLIDATED=Y","Sort=A","Dates=H","DateFormat=P","Fill=—","Direction=H","UseDPDF=Y")</f>
        <v>#NAME?</v>
      </c>
      <c r="AI118" s="1" t="e">
        <f ca="1">_xll.BDH($C$103,"TOTAL_EQUITY_1_YEAR_GROWTH","FY 2017","FY 2017","Currency=INR","Period=FY","BEST_FPERIOD_OVERRIDE=FY","FILING_STATUS=OR","EQY_CONSOLIDATED=Y","Sort=A","Dates=H","DateFormat=P","Fill=—","Direction=H","UseDPDF=Y")</f>
        <v>#NAME?</v>
      </c>
      <c r="AJ118" s="1" t="e">
        <f ca="1">_xll.BDH($C$103,"GROWTH_IN_CAP","FY 2017","FY 2017","Currency=INR","Period=FY","BEST_FPERIOD_OVERRIDE=FY","FILING_STATUS=OR","EQY_CONSOLIDATED=Y","Sort=A","Dates=H","DateFormat=P","Fill=—","Direction=H","UseDPDF=Y")</f>
        <v>#NAME?</v>
      </c>
      <c r="AK118" s="1" t="e">
        <f ca="1">_xll.BDH($C$103,"BVPS_GROWTH","FY 2017","FY 2017","Currency=INR","Period=FY","BEST_FPERIOD_OVERRIDE=FY","FILING_STATUS=OR","EQY_CONSOLIDATED=Y","Sort=A","Dates=H","DateFormat=P","Fill=—","Direction=H","UseDPDF=Y")</f>
        <v>#NAME?</v>
      </c>
      <c r="AL118" s="1" t="e">
        <f ca="1">_xll.BDH($C$103,"CASH_FLOW_GROWTH","FY 2017","FY 2017","Currency=INR","Period=FY","BEST_FPERIOD_OVERRIDE=FY","FILING_STATUS=OR","EQY_CONSOLIDATED=Y","Sort=A","Dates=H","DateFormat=P","Fill=—","Direction=H","UseDPDF=Y")</f>
        <v>#NAME?</v>
      </c>
      <c r="AM118" s="1" t="e">
        <f ca="1">_xll.BDH($C$103,"GEO_GROW_NET_SALES","FY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118" s="1" t="e">
        <f ca="1">_xll.BDH($C$103,"GEO_GROW_EBITDA","FY 2017","FY 2017","Currency=INR","Period=FY","BEST_FPERIOD_OVERRIDE=FY","FILING_STATUS=OR","EQY_CONSOLIDATED=Y","FA_ADJUSTED=GAAP","Sort=A","Dates=H","DateFormat=P","Fill=—","Direction=H","UseDPDF=Y")</f>
        <v>#NAME?</v>
      </c>
      <c r="AO118" s="1" t="e">
        <f ca="1">_xll.BDH($C$103,"GEO_GROW_OPER_INC","FY 2017","FY 2017","Currency=INR","Period=FY","BEST_FPERIOD_OVERRIDE=FY","FILING_STATUS=OR","EQY_CONSOLIDATED=Y","FA_ADJUSTED=GAAP","Sort=A","Dates=H","DateFormat=P","Fill=—","Direction=H","UseDPDF=Y")</f>
        <v>#NAME?</v>
      </c>
      <c r="AP118" s="1" t="e">
        <f ca="1">_xll.BDH($C$103,"NET_INCOME_TO_COMMON_5_YR_GROWTH","FY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18" s="1" t="e">
        <f ca="1">_xll.BDH($C$103,"5Y_GEO_GROWTH_DILUTED_EPS","FY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18" s="1" t="e">
        <f ca="1">_xll.BDH($C$103,"GEO_GROW_DVD_PER_SH","FY 2017","FY 2017","Currency=INR","Period=FY","BEST_FPERIOD_OVERRIDE=FY","FILING_STATUS=OR","EQY_CONSOLIDATED=Y","Sort=A","Dates=H","DateFormat=P","Fill=—","Direction=H","UseDPDF=Y")</f>
        <v>#NAME?</v>
      </c>
      <c r="AS118" s="1" t="e">
        <f ca="1">_xll.BDH($C$103,"ACCOUNTS_RECEIVABLE_5_YR_GROWTH","FY 2017","FY 2017","Currency=INR","Period=FY","BEST_FPERIOD_OVERRIDE=FY","FILING_STATUS=OR","EQY_CONSOLIDATED=Y","Sort=A","Dates=H","DateFormat=P","Fill=—","Direction=H","UseDPDF=Y")</f>
        <v>#NAME?</v>
      </c>
      <c r="AT118" s="1" t="e">
        <f ca="1">_xll.BDH($C$103,"INVENTORY_5_YEAR_GROWTH","FY 2017","FY 2017","Currency=INR","Period=FY","BEST_FPERIOD_OVERRIDE=FY","FILING_STATUS=OR","EQY_CONSOLIDATED=Y","Sort=A","Dates=H","DateFormat=P","Fill=—","Direction=H","UseDPDF=Y")</f>
        <v>#NAME?</v>
      </c>
      <c r="AU118" s="1" t="e">
        <f ca="1">_xll.BDH($C$103,"NET_FIXED_ASSETS_5_YEAR_GROWTH","FY 2017","FY 2017","Currency=INR","Period=FY","BEST_FPERIOD_OVERRIDE=FY","FILING_STATUS=OR","EQY_CONSOLIDATED=Y","Sort=A","Dates=H","DateFormat=P","Fill=—","Direction=H","UseDPDF=Y")</f>
        <v>#NAME?</v>
      </c>
      <c r="AV118" s="1" t="e">
        <f ca="1">_xll.BDH($C$103,"GEO_GROW_TOT_ASSET","FY 2017","FY 2017","Currency=INR","Period=FY","BEST_FPERIOD_OVERRIDE=FY","FILING_STATUS=OR","EQY_CONSOLIDATED=Y","Sort=A","Dates=H","DateFormat=P","Fill=—","Direction=H","UseDPDF=Y")</f>
        <v>#NAME?</v>
      </c>
      <c r="AW118" s="1" t="e">
        <f ca="1">_xll.BDH($C$103,"MODIFIED_WORKING_CPTL_5YR_GRWTH","FY 2017","FY 2017","Currency=INR","Period=FY","BEST_FPERIOD_OVERRIDE=FY","FILING_STATUS=OR","EQY_CONSOLIDATED=Y","Sort=A","Dates=H","DateFormat=P","Fill=—","Direction=H","UseDPDF=Y")</f>
        <v>#NAME?</v>
      </c>
      <c r="AX118" s="1" t="e">
        <f ca="1">_xll.BDH($C$103,"WORKING_CAPITAL_5_YEAR_GROWTH","FY 2017","FY 2017","Currency=INR","Period=FY","BEST_FPERIOD_OVERRIDE=FY","FILING_STATUS=OR","EQY_CONSOLIDATED=Y","Sort=A","Dates=H","DateFormat=P","Fill=—","Direction=H","UseDPDF=Y")</f>
        <v>#NAME?</v>
      </c>
      <c r="AY118" s="1" t="e">
        <f ca="1">_xll.BDH($C$103,"ACCOUNTS_PAYABLE_5_YEAR_GROWTH","FY 2017","FY 2017","Currency=INR","Period=FY","BEST_FPERIOD_OVERRIDE=FY","FILING_STATUS=OR","EQY_CONSOLIDATED=Y","Sort=A","Dates=H","DateFormat=P","Fill=—","Direction=H","UseDPDF=Y")</f>
        <v>#NAME?</v>
      </c>
      <c r="AZ118" s="1" t="e">
        <f ca="1">_xll.BDH($C$103,"SHORT_TERM_DEBT_5_YEAR_GROWTH","FY 2017","FY 2017","Currency=INR","Period=FY","BEST_FPERIOD_OVERRIDE=FY","FILING_STATUS=OR","EQY_CONSOLIDATED=Y","Sort=A","Dates=H","DateFormat=P","Fill=—","Direction=H","UseDPDF=Y")</f>
        <v>#NAME?</v>
      </c>
      <c r="BA118" s="1" t="e">
        <f ca="1">_xll.BDH($C$103,"TOTAL_DEBT_5_YEAR_GROWTH","FY 2017","FY 2017","Currency=INR","Period=FY","BEST_FPERIOD_OVERRIDE=FY","FILING_STATUS=OR","EQY_CONSOLIDATED=Y","Sort=A","Dates=H","DateFormat=P","Fill=—","Direction=H","UseDPDF=Y")</f>
        <v>#NAME?</v>
      </c>
      <c r="BB118" s="1" t="e">
        <f ca="1">_xll.BDH($C$103,"GEO_GROW_TOT_SHRHLDR_EQY","FY 2017","FY 2017","Currency=INR","Period=FY","BEST_FPERIOD_OVERRIDE=FY","FILING_STATUS=OR","EQY_CONSOLIDATED=Y","Sort=A","Dates=H","DateFormat=P","Fill=—","Direction=H","UseDPDF=Y")</f>
        <v>#NAME?</v>
      </c>
      <c r="BC118" s="1" t="e">
        <f ca="1">_xll.BDH($C$103,"TOTAL_CAPITAL_5_YEAR_GROWTH","FY 2017","FY 2017","Currency=INR","Period=FY","BEST_FPERIOD_OVERRIDE=FY","FILING_STATUS=OR","EQY_CONSOLIDATED=Y","Sort=A","Dates=H","DateFormat=P","Fill=—","Direction=H","UseDPDF=Y")</f>
        <v>#NAME?</v>
      </c>
      <c r="BD118" s="1" t="e">
        <f ca="1">_xll.BDH($C$103,"GEO_GROW_BOOK_VAL","FY 2017","FY 2017","Currency=INR","Period=FY","BEST_FPERIOD_OVERRIDE=FY","FILING_STATUS=OR","EQY_CONSOLIDATED=Y","Sort=A","Dates=H","DateFormat=P","Fill=—","Direction=H","UseDPDF=Y")</f>
        <v>#NAME?</v>
      </c>
      <c r="BE118" s="1" t="e">
        <f ca="1">_xll.BDH($C$103,"GEO_GROW_CASH_OPER_ACT","FY 2017","FY 2017","Currency=INR","Period=FY","BEST_FPERIOD_OVERRIDE=FY","FILING_STATUS=OR","EQY_CONSOLIDATED=Y","Sort=A","Dates=H","DateFormat=P","Fill=—","Direction=H","UseDPDF=Y")</f>
        <v>#NAME?</v>
      </c>
      <c r="BF118" s="1" t="e">
        <f ca="1">_xll.BDH($C$103,"REVENUE_SEQUENTIAL_GROWTH","FY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18" s="1" t="e">
        <f ca="1">_xll.BDH($C$103,"EBITDA_SEQUENTIAL_GROWTH","FY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18" s="1" t="e">
        <f ca="1">_xll.BDH($C$103,"OPERATING_INCOME_SEQ_GROWTH","FY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18" s="1" t="e">
        <f ca="1">_xll.BDH($C$103,"NET_INCOME_TO_COMMON_SEQ_GROWTH","FY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18" s="1" t="e">
        <f ca="1">_xll.BDH($C$103,"EPS_DILUTED_SEQUENTIAL_GROWTH","FY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18" s="1" t="e">
        <f ca="1">_xll.BDH($C$103,"DPS_SEQUENTIAL_GROWTH","FY 2017","FY 2017","Currency=INR","Period=FY","BEST_FPERIOD_OVERRIDE=FY","FILING_STATUS=OR","EQY_CONSOLIDATED=Y","Sort=A","Dates=H","DateFormat=P","Fill=—","Direction=H","UseDPDF=Y")</f>
        <v>#NAME?</v>
      </c>
      <c r="BL118" s="1" t="e">
        <f ca="1">_xll.BDH($C$103,"ACCOUNTS_RECEIVABLE_SEQ_GROWTH","FY 2017","FY 2017","Currency=INR","Period=FY","BEST_FPERIOD_OVERRIDE=FY","FILING_STATUS=OR","EQY_CONSOLIDATED=Y","Sort=A","Dates=H","DateFormat=P","Fill=—","Direction=H","UseDPDF=Y")</f>
        <v>#NAME?</v>
      </c>
      <c r="BM118" s="1" t="e">
        <f ca="1">_xll.BDH($C$103,"INVENTORY_SEQUENTIAL_GROWTH","FY 2017","FY 2017","Currency=INR","Period=FY","BEST_FPERIOD_OVERRIDE=FY","FILING_STATUS=OR","EQY_CONSOLIDATED=Y","Sort=A","Dates=H","DateFormat=P","Fill=—","Direction=H","UseDPDF=Y")</f>
        <v>#NAME?</v>
      </c>
      <c r="BN118" s="1" t="e">
        <f ca="1">_xll.BDH($C$103,"FIXED_ASSETS_SEQUENTIAL_GROWTH","FY 2017","FY 2017","Currency=INR","Period=FY","BEST_FPERIOD_OVERRIDE=FY","FILING_STATUS=OR","EQY_CONSOLIDATED=Y","Sort=A","Dates=H","DateFormat=P","Fill=—","Direction=H","UseDPDF=Y")</f>
        <v>#NAME?</v>
      </c>
      <c r="BO118" s="1" t="e">
        <f ca="1">_xll.BDH($C$103,"TOTAL_ASSETS_SEQUENTIAL_GROWTH","FY 2017","FY 2017","Currency=INR","Period=FY","BEST_FPERIOD_OVERRIDE=FY","FILING_STATUS=OR","EQY_CONSOLIDATED=Y","Sort=A","Dates=H","DateFormat=P","Fill=—","Direction=H","UseDPDF=Y")</f>
        <v>#NAME?</v>
      </c>
      <c r="BP118" s="1" t="e">
        <f ca="1">_xll.BDH($C$103,"MODIFIED_WORKING_CPTL_SEQ_GRWTH","FY 2017","FY 2017","Currency=INR","Period=FY","BEST_FPERIOD_OVERRIDE=FY","FILING_STATUS=OR","EQY_CONSOLIDATED=Y","Sort=A","Dates=H","DateFormat=P","Fill=—","Direction=H","UseDPDF=Y")</f>
        <v>#NAME?</v>
      </c>
      <c r="BQ118" s="1" t="e">
        <f ca="1">_xll.BDH($C$103,"WORKING_CAPITAL_SEQ_GROWTH","FY 2017","FY 2017","Currency=INR","Period=FY","BEST_FPERIOD_OVERRIDE=FY","FILING_STATUS=OR","EQY_CONSOLIDATED=Y","Sort=A","Dates=H","DateFormat=P","Fill=—","Direction=H","UseDPDF=Y")</f>
        <v>#NAME?</v>
      </c>
      <c r="BR118" s="1" t="e">
        <f ca="1">_xll.BDH($C$103,"ACCOUNTS_PAYABLE_SEQ_GROWTH","FY 2017","FY 2017","Currency=INR","Period=FY","BEST_FPERIOD_OVERRIDE=FY","FILING_STATUS=OR","EQY_CONSOLIDATED=Y","Sort=A","Dates=H","DateFormat=P","Fill=—","Direction=H","UseDPDF=Y")</f>
        <v>#NAME?</v>
      </c>
      <c r="BS118" s="1" t="e">
        <f ca="1">_xll.BDH($C$103,"ST_DEBT_SEQUENTIAL_GROWTH","FY 2017","FY 2017","Currency=INR","Period=FY","BEST_FPERIOD_OVERRIDE=FY","FILING_STATUS=OR","EQY_CONSOLIDATED=Y","Sort=A","Dates=H","DateFormat=P","Fill=—","Direction=H","UseDPDF=Y")</f>
        <v>#NAME?</v>
      </c>
      <c r="BT118" s="1" t="e">
        <f ca="1">_xll.BDH($C$103,"TOTAL_DEBT_SEQUENTIAL_GROWTH","FY 2017","FY 2017","Currency=INR","Period=FY","BEST_FPERIOD_OVERRIDE=FY","FILING_STATUS=OR","EQY_CONSOLIDATED=Y","Sort=A","Dates=H","DateFormat=P","Fill=—","Direction=H","UseDPDF=Y")</f>
        <v>#NAME?</v>
      </c>
      <c r="BU118" s="1" t="e">
        <f ca="1">_xll.BDH($C$103,"TOTAL_EQUITY_SEQUENTIAL_GROWTH","FY 2017","FY 2017","Currency=INR","Period=FY","BEST_FPERIOD_OVERRIDE=FY","FILING_STATUS=OR","EQY_CONSOLIDATED=Y","Sort=A","Dates=H","DateFormat=P","Fill=—","Direction=H","UseDPDF=Y")</f>
        <v>#NAME?</v>
      </c>
      <c r="BV118" s="1" t="e">
        <f ca="1">_xll.BDH($C$103,"TOTAL_CAPITAL_SEQUENTIAL_GROWTH","FY 2017","FY 2017","Currency=INR","Period=FY","BEST_FPERIOD_OVERRIDE=FY","FILING_STATUS=OR","EQY_CONSOLIDATED=Y","Sort=A","Dates=H","DateFormat=P","Fill=—","Direction=H","UseDPDF=Y")</f>
        <v>#NAME?</v>
      </c>
      <c r="BW118" s="1" t="e">
        <f ca="1">_xll.BDH($C$103,"BPS_SEQUENTIAL_GROWTH","FY 2017","FY 2017","Currency=INR","Period=FY","BEST_FPERIOD_OVERRIDE=FY","FILING_STATUS=OR","EQY_CONSOLIDATED=Y","Sort=A","Dates=H","DateFormat=P","Fill=—","Direction=H","UseDPDF=Y")</f>
        <v>#NAME?</v>
      </c>
      <c r="BX118" s="1" t="e">
        <f ca="1">_xll.BDH($C$103,"CFO_SEQUENTIAL_GROWTH","FY 2017","FY 2017","Currency=INR","Period=FY","BEST_FPERIOD_OVERRIDE=FY","FILING_STATUS=OR","EQY_CONSOLIDATED=Y","Sort=A","Dates=H","DateFormat=P","Fill=—","Direction=H","UseDPDF=Y")</f>
        <v>#NAME?</v>
      </c>
      <c r="BY118" s="2" t="e">
        <f ca="1">_xll.BDH($C$103,"SHORT_AND_LONG_TERM_DEBT","FY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18" s="2" t="e">
        <f ca="1">_xll.BDH($C$103,"BS_ST_BORROW","FY 2017","FY 2017","Currency=INR","Period=FY","BEST_FPERIOD_OVERRIDE=FY","FILING_STATUS=OR","EQY_CONSOLIDATED=Y","SCALING_FORMAT=MLN","Sort=A","Dates=H","DateFormat=P","Fill=—","Direction=H","UseDPDF=Y")</f>
        <v>#NAME?</v>
      </c>
      <c r="CA118" s="2" t="e">
        <f ca="1">_xll.BDH($C$103,"BS_LT_BORROW","FY 2017","FY 2017","Currency=INR","Period=FY","BEST_FPERIOD_OVERRIDE=FY","FILING_STATUS=OR","EQY_CONSOLIDATED=Y","SCALING_FORMAT=MLN","Sort=A","Dates=H","DateFormat=P","Fill=—","Direction=H","UseDPDF=Y")</f>
        <v>#NAME?</v>
      </c>
      <c r="CB118" s="1" t="e">
        <f ca="1">_xll.BDH($C$103,"TOT_DEBT_TO_EBITDA","FY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118" s="1" t="e">
        <f ca="1">_xll.BDH($C$103,"NET_DEBT_TO_EBITDA","FY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118" s="1" t="e">
        <f ca="1">_xll.BDH($C$103,"TOTAL_DEBT_TO_EBIT","FY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118" s="1" t="e">
        <f ca="1">_xll.BDH($C$103,"NET_DEBT_TO_EBIT","FY 2017","FY 2017","Currency=INR","Period=FY","BEST_FPERIOD_OVERRIDE=FY","FILING_STATUS=OR","EQY_CONSOLIDATED=Y","FA_ADJUSTED=GAAP","Sort=A","Dates=H","DateFormat=P","Fill=—","Direction=H","UseDPDF=Y")</f>
        <v>#NAME?</v>
      </c>
      <c r="CF118" s="1" t="e">
        <f ca="1">_xll.BDH($C$103,"EBITDA_TO_INTEREST_EXPN","FY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18" s="1" t="e">
        <f ca="1">_xll.BDH($C$103,"COM_EQY_TO_TOT_ASSET","FY 2017","FY 2017","Currency=INR","Period=FY","BEST_FPERIOD_OVERRIDE=FY","FILING_STATUS=OR","EQY_CONSOLIDATED=Y","Sort=A","Dates=H","DateFormat=P","Fill=—","Direction=H","UseDPDF=Y")</f>
        <v>#NAME?</v>
      </c>
      <c r="CH118" s="1" t="e">
        <f ca="1">_xll.BDH($C$103,"LT_DEBT_TO_TOT_EQY","FY 2017","FY 2017","Currency=INR","Period=FY","BEST_FPERIOD_OVERRIDE=FY","FILING_STATUS=OR","EQY_CONSOLIDATED=Y","Sort=A","Dates=H","DateFormat=P","Fill=—","Direction=H","UseDPDF=Y")</f>
        <v>#NAME?</v>
      </c>
      <c r="CI118" s="1" t="e">
        <f ca="1">_xll.BDH($C$103,"LT_DEBT_TO_TOT_CAP","FY 2017","FY 2017","Currency=INR","Period=FY","BEST_FPERIOD_OVERRIDE=FY","FILING_STATUS=OR","EQY_CONSOLIDATED=Y","Sort=A","Dates=H","DateFormat=P","Fill=—","Direction=H","UseDPDF=Y")</f>
        <v>#NAME?</v>
      </c>
      <c r="CJ118" s="1" t="e">
        <f ca="1">_xll.BDH($C$103,"LT_DEBT_TO_TOT_ASSET","FY 2017","FY 2017","Currency=INR","Period=FY","BEST_FPERIOD_OVERRIDE=FY","FILING_STATUS=OR","EQY_CONSOLIDATED=Y","Sort=A","Dates=H","DateFormat=P","Fill=—","Direction=H","UseDPDF=Y")</f>
        <v>#NAME?</v>
      </c>
      <c r="CK118" s="1" t="e">
        <f ca="1">_xll.BDH($C$103,"TOT_DEBT_TO_TOT_EQY","FY 2017","FY 2017","Currency=INR","Period=FY","BEST_FPERIOD_OVERRIDE=FY","FILING_STATUS=OR","EQY_CONSOLIDATED=Y","Sort=A","Dates=H","DateFormat=P","Fill=—","Direction=H","UseDPDF=Y")</f>
        <v>#NAME?</v>
      </c>
      <c r="CL118" s="1" t="e">
        <f ca="1">_xll.BDH($C$103,"TOT_DEBT_TO_TOT_CAP","FY 2017","FY 2017","Currency=INR","Period=FY","BEST_FPERIOD_OVERRIDE=FY","FILING_STATUS=OR","EQY_CONSOLIDATED=Y","Sort=A","Dates=H","DateFormat=P","Fill=—","Direction=H","UseDPDF=Y")</f>
        <v>#NAME?</v>
      </c>
      <c r="CM118" s="1" t="e">
        <f ca="1">_xll.BDH($C$103,"TOT_DEBT_TO_TOT_ASSET","FY 2017","FY 2017","Currency=INR","Period=FY","BEST_FPERIOD_OVERRIDE=FY","FILING_STATUS=OR","EQY_CONSOLIDATED=Y","Sort=A","Dates=H","DateFormat=P","Fill=—","Direction=H","UseDPDF=Y")</f>
        <v>#NAME?</v>
      </c>
      <c r="CN118" s="1" t="e">
        <f ca="1">_xll.BDH($C$103,"NET_DEBT_TO_SHRHLDR_EQTY","FY 2017","FY 2017","Currency=INR","Period=FY","BEST_FPERIOD_OVERRIDE=FY","FILING_STATUS=OR","EQY_CONSOLIDATED=Y","Sort=A","Dates=H","DateFormat=P","Fill=—","Direction=H","UseDPDF=Y")</f>
        <v>#NAME?</v>
      </c>
      <c r="CO118" s="1" t="e">
        <f ca="1">_xll.BDH($C$103,"NET_DEBT_%_CAPITAL","FY 2017","FY 2017","Currency=INR","Period=FY","BEST_FPERIOD_OVERRIDE=FY","FILING_STATUS=OR","EQY_CONSOLIDATED=Y","Sort=A","Dates=H","DateFormat=P","Fill=—","Direction=H","UseDPDF=Y")</f>
        <v>#NAME?</v>
      </c>
      <c r="CP118" s="2" t="e">
        <f ca="1">_xll.BDH($C$103,"EBITDA","FY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18" s="2" t="e">
        <f ca="1">_xll.BDH($C$103,"EBITDA_AFTER_CAPEX","FY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18" s="2" t="e">
        <f ca="1">_xll.BDH($C$103,"IS_OPER_INC","FY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18" s="1" t="e">
        <f ca="1">_xll.BDH($C$103,"CASH_RATIO","FY 2017","FY 2017","Currency=INR","Period=FY","BEST_FPERIOD_OVERRIDE=FY","FILING_STATUS=OR","EQY_CONSOLIDATED=Y","Sort=A","Dates=H","DateFormat=P","Fill=—","Direction=H","UseDPDF=Y")</f>
        <v>#NAME?</v>
      </c>
      <c r="CT118" s="1" t="e">
        <f ca="1">_xll.BDH($C$103,"CUR_RATIO","FY 2017","FY 2017","Currency=INR","Period=FY","BEST_FPERIOD_OVERRIDE=FY","FILING_STATUS=OR","EQY_CONSOLIDATED=Y","Sort=A","Dates=H","DateFormat=P","Fill=—","Direction=H","UseDPDF=Y")</f>
        <v>#NAME?</v>
      </c>
      <c r="CU118" s="1" t="e">
        <f ca="1">_xll.BDH($C$103,"QUICK_RATIO","FY 2017","FY 2017","Currency=INR","Period=FY","BEST_FPERIOD_OVERRIDE=FY","FILING_STATUS=OR","EQY_CONSOLIDATED=Y","Sort=A","Dates=H","DateFormat=P","Fill=—","Direction=H","UseDPDF=Y")</f>
        <v>#NAME?</v>
      </c>
      <c r="CV118" s="1" t="e">
        <f ca="1">_xll.BDH($C$103,"ALTMAN_Z_SCORE","FY 2017","FY 2017","Currency=INR","Period=FY","BEST_FPERIOD_OVERRIDE=FY","FILING_STATUS=OR","EQY_CONSOLIDATED=Y","Sort=A","Dates=H","DateFormat=P","Fill=—","Direction=H","UseDPDF=Y")</f>
        <v>#NAME?</v>
      </c>
      <c r="CW118" s="3" t="e">
        <f ca="1">_xll.BDH($C$103,"ACCT_RCV_TURN","FY 2017","FY 2017","Currency=INR","Period=FY","BEST_FPERIOD_OVERRIDE=FY","FILING_STATUS=OR","EQY_CONSOLIDATED=Y","FA_ADJUSTED=GAAP","Sort=A","Dates=H","DateFormat=P","Fill=—","Direction=H","UseDPDF=Y")</f>
        <v>#NAME?</v>
      </c>
      <c r="CX118" s="1" t="e">
        <f ca="1">_xll.BDH($C$103,"ACCT_RCV_DAYS","FY 2017","FY 2017","Currency=INR","Period=FY","BEST_FPERIOD_OVERRIDE=FY","FILING_STATUS=OR","EQY_CONSOLIDATED=Y","FA_ADJUSTED=GAAP","Sort=A","Dates=H","DateFormat=P","Fill=—","Direction=H","UseDPDF=Y")</f>
        <v>#NAME?</v>
      </c>
      <c r="CY118" s="3" t="e">
        <f ca="1">_xll.BDH($C$103,"INVENT_TURN","FY 2017","FY 2017","Currency=INR","Period=FY","BEST_FPERIOD_OVERRIDE=FY","FILING_STATUS=OR","EQY_CONSOLIDATED=Y","FA_ADJUSTED=GAAP","Sort=A","Dates=H","DateFormat=P","Fill=—","Direction=H","UseDPDF=Y")</f>
        <v>#NAME?</v>
      </c>
      <c r="CZ118" s="1" t="e">
        <f ca="1">_xll.BDH($C$103,"INVENT_DAYS","FY 2017","FY 2017","Currency=INR","Period=FY","BEST_FPERIOD_OVERRIDE=FY","FILING_STATUS=OR","EQY_CONSOLIDATED=Y","FA_ADJUSTED=GAAP","Sort=A","Dates=H","DateFormat=P","Fill=—","Direction=H","UseDPDF=Y")</f>
        <v>#NAME?</v>
      </c>
      <c r="DA118" s="3" t="e">
        <f ca="1">_xll.BDH($C$103,"ACCOUNTS_PAYABLE_TURNOVER","FY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18" s="1" t="e">
        <f ca="1">_xll.BDH($C$103,"ACCOUNTS_PAYABLE_TURNOVER_DAYS","FY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18" s="3" t="e">
        <f ca="1">_xll.BDH($C$103,"CASH_CONVERSION_CYCLE","FY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18" s="3" t="e">
        <f ca="1">_xll.BDH($C$103,"INV_TO_CASH_DAYS","FY 2017","FY 2017","Currency=INR","Period=FY","BEST_FPERIOD_OVERRIDE=FY","FILING_STATUS=OR","EQY_CONSOLIDATED=Y","FA_ADJUSTED=GAAP","Sort=A","Dates=H","DateFormat=P","Fill=—","Direction=H","UseDPDF=Y")</f>
        <v>#NAME?</v>
      </c>
      <c r="DE118" s="4" t="e">
        <f ca="1">_xll.BDH($C$103,"BS_INVENTORIES","FY 2017","FY 2017","Currency=INR","Period=FY","BEST_FPERIOD_OVERRIDE=FY","FILING_STATUS=OR","EQY_CONSOLIDATED=Y","SCALING_FORMAT=MLN","Sort=A","Dates=H","DateFormat=P","Fill=—","Direction=H","UseDPDF=Y")</f>
        <v>#NAME?</v>
      </c>
      <c r="DF118" s="2" t="e">
        <f ca="1">_xll.BDH($C$103,"INVTRY_RAW_MATERIALS","FY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18" s="2" t="e">
        <f ca="1">_xll.BDH($C$103,"INVTRY_IN_PROGRESS","FY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18" s="2" t="e">
        <f ca="1">_xll.BDH($C$103,"INVTRY_FINISHED_GOODS","FY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18" s="2" t="e">
        <f ca="1">_xll.BDH($C$103,"BS_OTHER_INV","FY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19" spans="1:113" x14ac:dyDescent="0.3">
      <c r="A119" s="6"/>
      <c r="B119" s="6"/>
      <c r="C119" s="6"/>
      <c r="D119" s="6"/>
      <c r="E119" t="s">
        <v>4</v>
      </c>
      <c r="F119" t="e">
        <f ca="1">_xll.BDH($C$103,"RETURN_COM_EQY","FQ1 2017","FQ1 2017","Currency=INR","Period=FQ","BEST_FPERIOD_OVERRIDE=FQ","FILING_STATUS=OR","EQY_CONSOLIDATED=Y","FA_ADJUSTED=GAAP","Sort=A","Dates=H","DateFormat=P","Fill=—","Direction=H","UseDPDF=Y")</f>
        <v>#NAME?</v>
      </c>
      <c r="G119" t="e">
        <f ca="1">_xll.BDH($C$103,"RETURN_ON_ASSET","FQ1 2017","FQ1 2017","Currency=INR","Period=FQ","BEST_FPERIOD_OVERRIDE=FQ","FILING_STATUS=OR","EQY_CONSOLIDATED=Y","FA_ADJUSTED=GAAP","Sort=A","Dates=H","DateFormat=P","Fill=—","Direction=H","UseDPDF=Y")</f>
        <v>#NAME?</v>
      </c>
      <c r="H119" t="e">
        <f ca="1">_xll.BDH($C$103,"RETURN_ON_CAP","FQ1 2017","FQ1 2017","Currency=INR","Period=FQ","BEST_FPERIOD_OVERRIDE=FQ","FILING_STATUS=OR","EQY_CONSOLIDATED=Y","FA_ADJUSTED=GAAP","Sort=A","Dates=H","DateFormat=P","Fill=—","Direction=H","UseDPDF=Y")</f>
        <v>#NAME?</v>
      </c>
      <c r="I119" t="e">
        <f ca="1">_xll.BDH($C$103,"RETURN_ON_INV_CAPITAL","FQ1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19" t="e">
        <f ca="1">_xll.BDH($C$103,"EBITDA_TO_REVENUE","FQ1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119" t="e">
        <f ca="1">_xll.BDH($C$103,"OPER_MARGIN","FQ1 2017","FQ1 2017","Currency=INR","Period=FQ","BEST_FPERIOD_OVERRIDE=FQ","FILING_STATUS=OR","EQY_CONSOLIDATED=Y","FA_ADJUSTED=GAAP","Sort=A","Dates=H","DateFormat=P","Fill=—","Direction=H","UseDPDF=Y")</f>
        <v>#NAME?</v>
      </c>
      <c r="L119" t="e">
        <f ca="1">_xll.BDH($C$103,"INCREMENTAL_OPERATING_MARGIN","FQ1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19" t="e">
        <f ca="1">_xll.BDH($C$103,"PRETAX_INC_TO_NET_SALES","FQ1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19" t="e">
        <f ca="1">_xll.BDH($C$103,"INC_BEF_XO_ITEMS_TO_NET_SALES","FQ1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19" t="e">
        <f ca="1">_xll.BDH($C$103,"PROF_MARGIN","FQ1 2017","FQ1 2017","Currency=INR","Period=FQ","BEST_FPERIOD_OVERRIDE=FQ","FILING_STATUS=OR","EQY_CONSOLIDATED=Y","FA_ADJUSTED=GAAP","Sort=A","Dates=H","DateFormat=P","Fill=—","Direction=H","UseDPDF=Y")</f>
        <v>#NAME?</v>
      </c>
      <c r="P119" t="e">
        <f ca="1">_xll.BDH($C$103,"NET_INCOME_TO_COMMON_MARGIN","FQ1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19" t="e">
        <f ca="1">_xll.BDH($C$103,"EFF_TAX_RATE","FQ1 2017","FQ1 2017","Currency=INR","Period=FQ","BEST_FPERIOD_OVERRIDE=FQ","FILING_STATUS=OR","EQY_CONSOLIDATED=Y","FA_ADJUSTED=GAAP","Sort=A","Dates=H","DateFormat=P","Fill=—","Direction=H","UseDPDF=Y")</f>
        <v>#NAME?</v>
      </c>
      <c r="R119" t="e">
        <f ca="1">_xll.BDH($C$103,"DVD_PAYOUT_RATIO","FQ1 2017","FQ1 2017","Currency=INR","Period=FQ","BEST_FPERIOD_OVERRIDE=FQ","FILING_STATUS=OR","EQY_CONSOLIDATED=Y","FA_ADJUSTED=GAAP","Sort=A","Dates=H","DateFormat=P","Fill=—","Direction=H","UseDPDF=Y")</f>
        <v>#NAME?</v>
      </c>
      <c r="S119" t="e">
        <f ca="1">_xll.BDH($C$103,"SUSTAIN_GROWTH_RT","FQ1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119" s="1" t="e">
        <f ca="1">_xll.BDH($C$103,"SALES_GROWTH","FQ1 2017","FQ1 2017","Currency=INR","Period=FQ","BEST_FPERIOD_OVERRIDE=FQ","FILING_STATUS=OR","EQY_CONSOLIDATED=Y","FA_ADJUSTED=GAAP","Sort=A","Dates=H","DateFormat=P","Fill=—","Direction=H","UseDPDF=Y")</f>
        <v>#NAME?</v>
      </c>
      <c r="U119" s="1" t="e">
        <f ca="1">_xll.BDH($C$103,"EBITDA_GROWTH","FQ1 2017","FQ1 2017","Currency=INR","Period=FQ","BEST_FPERIOD_OVERRIDE=FQ","FILING_STATUS=OR","EQY_CONSOLIDATED=Y","FA_ADJUSTED=GAAP","Sort=A","Dates=H","DateFormat=P","Fill=—","Direction=H","UseDPDF=Y")</f>
        <v>#NAME?</v>
      </c>
      <c r="V119" s="1" t="e">
        <f ca="1">_xll.BDH($C$103,"OPER_INC_GROWTH","FQ1 2017","FQ1 2017","Currency=INR","Period=FQ","BEST_FPERIOD_OVERRIDE=FQ","FILING_STATUS=OR","EQY_CONSOLIDATED=Y","FA_ADJUSTED=GAAP","Sort=A","Dates=H","DateFormat=P","Fill=—","Direction=H","UseDPDF=Y")</f>
        <v>#NAME?</v>
      </c>
      <c r="W119" s="1" t="e">
        <f ca="1">_xll.BDH($C$103,"EARN_FOR_COM_GROWTH","FQ1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19" s="1" t="e">
        <f ca="1">_xll.BDH($C$103,"DILUTED_EPS_AFT_XO_ITEMS_GROWTH","FQ1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19" s="1" t="e">
        <f ca="1">_xll.BDH($C$103,"DIVIDEND_PER_SHARE_1_YEAR_GROWTH","FQ1 2017","FQ1 2017","Currency=INR","Period=FQ","BEST_FPERIOD_OVERRIDE=FQ","FILING_STATUS=OR","EQY_CONSOLIDATED=Y","Sort=A","Dates=H","DateFormat=P","Fill=—","Direction=H","UseDPDF=Y")</f>
        <v>#NAME?</v>
      </c>
      <c r="Z119" s="1" t="e">
        <f ca="1">_xll.BDH($C$103,"ACCOUNTS_RECEIVABLE_GROWTH","FQ1 2017","FQ1 2017","Currency=INR","Period=FQ","BEST_FPERIOD_OVERRIDE=FQ","FILING_STATUS=OR","EQY_CONSOLIDATED=Y","Sort=A","Dates=H","DateFormat=P","Fill=—","Direction=H","UseDPDF=Y")</f>
        <v>#NAME?</v>
      </c>
      <c r="AA119" s="1" t="e">
        <f ca="1">_xll.BDH($C$103,"INVENTORY_GROWTH","FQ1 2017","FQ1 2017","Currency=INR","Period=FQ","BEST_FPERIOD_OVERRIDE=FQ","FILING_STATUS=OR","EQY_CONSOLIDATED=Y","Sort=A","Dates=H","DateFormat=P","Fill=—","Direction=H","UseDPDF=Y")</f>
        <v>#NAME?</v>
      </c>
      <c r="AB119" s="1" t="e">
        <f ca="1">_xll.BDH($C$103,"NET_FIXED_ASSETS_1_YEAR_GROWTH","FQ1 2017","FQ1 2017","Currency=INR","Period=FQ","BEST_FPERIOD_OVERRIDE=FQ","FILING_STATUS=OR","EQY_CONSOLIDATED=Y","Sort=A","Dates=H","DateFormat=P","Fill=—","Direction=H","UseDPDF=Y")</f>
        <v>#NAME?</v>
      </c>
      <c r="AC119" s="1" t="e">
        <f ca="1">_xll.BDH($C$103,"ASSET_GROWTH","FQ1 2017","FQ1 2017","Currency=INR","Period=FQ","BEST_FPERIOD_OVERRIDE=FQ","FILING_STATUS=OR","EQY_CONSOLIDATED=Y","Sort=A","Dates=H","DateFormat=P","Fill=—","Direction=H","UseDPDF=Y")</f>
        <v>#NAME?</v>
      </c>
      <c r="AD119" s="1" t="e">
        <f ca="1">_xll.BDH($C$103,"MODIFIED_WORK_CAP_GROWTH","FQ1 2017","FQ1 2017","Currency=INR","Period=FQ","BEST_FPERIOD_OVERRIDE=FQ","FILING_STATUS=OR","EQY_CONSOLIDATED=Y","Sort=A","Dates=H","DateFormat=P","Fill=—","Direction=H","UseDPDF=Y")</f>
        <v>#NAME?</v>
      </c>
      <c r="AE119" s="1" t="e">
        <f ca="1">_xll.BDH($C$103,"WORK_CAP_GROWTH","FQ1 2017","FQ1 2017","Currency=INR","Period=FQ","BEST_FPERIOD_OVERRIDE=FQ","FILING_STATUS=OR","EQY_CONSOLIDATED=Y","Sort=A","Dates=H","DateFormat=P","Fill=—","Direction=H","UseDPDF=Y")</f>
        <v>#NAME?</v>
      </c>
      <c r="AF119" s="1" t="e">
        <f ca="1">_xll.BDH($C$103,"ACCOUNTS_PAYABLE_GROWTH_1YR","FQ1 2017","FQ1 2017","Currency=INR","Period=FQ","BEST_FPERIOD_OVERRIDE=FQ","FILING_STATUS=OR","EQY_CONSOLIDATED=Y","Sort=A","Dates=H","DateFormat=P","Fill=—","Direction=H","UseDPDF=Y")</f>
        <v>#NAME?</v>
      </c>
      <c r="AG119" s="1" t="e">
        <f ca="1">_xll.BDH($C$103,"SHORT_TERM_DEBT_1_YEAR_GROWTH","FQ1 2017","FQ1 2017","Currency=INR","Period=FQ","BEST_FPERIOD_OVERRIDE=FQ","FILING_STATUS=OR","EQY_CONSOLIDATED=Y","Sort=A","Dates=H","DateFormat=P","Fill=—","Direction=H","UseDPDF=Y")</f>
        <v>#NAME?</v>
      </c>
      <c r="AH119" s="1" t="e">
        <f ca="1">_xll.BDH($C$103,"TOTAL_DEBT_1_YEAR_GROWTH","FQ1 2017","FQ1 2017","Currency=INR","Period=FQ","BEST_FPERIOD_OVERRIDE=FQ","FILING_STATUS=OR","EQY_CONSOLIDATED=Y","Sort=A","Dates=H","DateFormat=P","Fill=—","Direction=H","UseDPDF=Y")</f>
        <v>#NAME?</v>
      </c>
      <c r="AI119" s="1" t="e">
        <f ca="1">_xll.BDH($C$103,"TOTAL_EQUITY_1_YEAR_GROWTH","FQ1 2017","FQ1 2017","Currency=INR","Period=FQ","BEST_FPERIOD_OVERRIDE=FQ","FILING_STATUS=OR","EQY_CONSOLIDATED=Y","Sort=A","Dates=H","DateFormat=P","Fill=—","Direction=H","UseDPDF=Y")</f>
        <v>#NAME?</v>
      </c>
      <c r="AJ119" s="1" t="e">
        <f ca="1">_xll.BDH($C$103,"GROWTH_IN_CAP","FQ1 2017","FQ1 2017","Currency=INR","Period=FQ","BEST_FPERIOD_OVERRIDE=FQ","FILING_STATUS=OR","EQY_CONSOLIDATED=Y","Sort=A","Dates=H","DateFormat=P","Fill=—","Direction=H","UseDPDF=Y")</f>
        <v>#NAME?</v>
      </c>
      <c r="AK119" s="1" t="e">
        <f ca="1">_xll.BDH($C$103,"BVPS_GROWTH","FQ1 2017","FQ1 2017","Currency=INR","Period=FQ","BEST_FPERIOD_OVERRIDE=FQ","FILING_STATUS=OR","EQY_CONSOLIDATED=Y","Sort=A","Dates=H","DateFormat=P","Fill=—","Direction=H","UseDPDF=Y")</f>
        <v>#NAME?</v>
      </c>
      <c r="AL119" s="1" t="e">
        <f ca="1">_xll.BDH($C$103,"CASH_FLOW_GROWTH","FQ1 2017","FQ1 2017","Currency=INR","Period=FQ","BEST_FPERIOD_OVERRIDE=FQ","FILING_STATUS=OR","EQY_CONSOLIDATED=Y","Sort=A","Dates=H","DateFormat=P","Fill=—","Direction=H","UseDPDF=Y")</f>
        <v>#NAME?</v>
      </c>
      <c r="AM119" s="1" t="e">
        <f ca="1">_xll.BDH($C$103,"GEO_GROW_NET_SALES","FQ1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19" s="1" t="e">
        <f ca="1">_xll.BDH($C$103,"GEO_GROW_EBITDA","FQ1 2017","FQ1 2017","Currency=INR","Period=FQ","BEST_FPERIOD_OVERRIDE=FQ","FILING_STATUS=OR","EQY_CONSOLIDATED=Y","FA_ADJUSTED=GAAP","Sort=A","Dates=H","DateFormat=P","Fill=—","Direction=H","UseDPDF=Y")</f>
        <v>#NAME?</v>
      </c>
      <c r="AO119" s="1" t="e">
        <f ca="1">_xll.BDH($C$103,"GEO_GROW_OPER_INC","FQ1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19" s="1" t="e">
        <f ca="1">_xll.BDH($C$103,"NET_INCOME_TO_COMMON_5_YR_GROWTH","FQ1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19" s="1" t="e">
        <f ca="1">_xll.BDH($C$103,"5Y_GEO_GROWTH_DILUTED_EPS","FQ1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19" s="1" t="e">
        <f ca="1">_xll.BDH($C$103,"GEO_GROW_DVD_PER_SH","FQ1 2017","FQ1 2017","Currency=INR","Period=FQ","BEST_FPERIOD_OVERRIDE=FQ","FILING_STATUS=OR","EQY_CONSOLIDATED=Y","Sort=A","Dates=H","DateFormat=P","Fill=—","Direction=H","UseDPDF=Y")</f>
        <v>#NAME?</v>
      </c>
      <c r="AS119" s="1" t="e">
        <f ca="1">_xll.BDH($C$103,"ACCOUNTS_RECEIVABLE_5_YR_GROWTH","FQ1 2017","FQ1 2017","Currency=INR","Period=FQ","BEST_FPERIOD_OVERRIDE=FQ","FILING_STATUS=OR","EQY_CONSOLIDATED=Y","Sort=A","Dates=H","DateFormat=P","Fill=—","Direction=H","UseDPDF=Y")</f>
        <v>#NAME?</v>
      </c>
      <c r="AT119" s="1" t="e">
        <f ca="1">_xll.BDH($C$103,"INVENTORY_5_YEAR_GROWTH","FQ1 2017","FQ1 2017","Currency=INR","Period=FQ","BEST_FPERIOD_OVERRIDE=FQ","FILING_STATUS=OR","EQY_CONSOLIDATED=Y","Sort=A","Dates=H","DateFormat=P","Fill=—","Direction=H","UseDPDF=Y")</f>
        <v>#NAME?</v>
      </c>
      <c r="AU119" s="1" t="e">
        <f ca="1">_xll.BDH($C$103,"NET_FIXED_ASSETS_5_YEAR_GROWTH","FQ1 2017","FQ1 2017","Currency=INR","Period=FQ","BEST_FPERIOD_OVERRIDE=FQ","FILING_STATUS=OR","EQY_CONSOLIDATED=Y","Sort=A","Dates=H","DateFormat=P","Fill=—","Direction=H","UseDPDF=Y")</f>
        <v>#NAME?</v>
      </c>
      <c r="AV119" s="1" t="e">
        <f ca="1">_xll.BDH($C$103,"GEO_GROW_TOT_ASSET","FQ1 2017","FQ1 2017","Currency=INR","Period=FQ","BEST_FPERIOD_OVERRIDE=FQ","FILING_STATUS=OR","EQY_CONSOLIDATED=Y","Sort=A","Dates=H","DateFormat=P","Fill=—","Direction=H","UseDPDF=Y")</f>
        <v>#NAME?</v>
      </c>
      <c r="AW119" s="1" t="e">
        <f ca="1">_xll.BDH($C$103,"MODIFIED_WORKING_CPTL_5YR_GRWTH","FQ1 2017","FQ1 2017","Currency=INR","Period=FQ","BEST_FPERIOD_OVERRIDE=FQ","FILING_STATUS=OR","EQY_CONSOLIDATED=Y","Sort=A","Dates=H","DateFormat=P","Fill=—","Direction=H","UseDPDF=Y")</f>
        <v>#NAME?</v>
      </c>
      <c r="AX119" s="1" t="e">
        <f ca="1">_xll.BDH($C$103,"WORKING_CAPITAL_5_YEAR_GROWTH","FQ1 2017","FQ1 2017","Currency=INR","Period=FQ","BEST_FPERIOD_OVERRIDE=FQ","FILING_STATUS=OR","EQY_CONSOLIDATED=Y","Sort=A","Dates=H","DateFormat=P","Fill=—","Direction=H","UseDPDF=Y")</f>
        <v>#NAME?</v>
      </c>
      <c r="AY119" s="1" t="e">
        <f ca="1">_xll.BDH($C$103,"ACCOUNTS_PAYABLE_5_YEAR_GROWTH","FQ1 2017","FQ1 2017","Currency=INR","Period=FQ","BEST_FPERIOD_OVERRIDE=FQ","FILING_STATUS=OR","EQY_CONSOLIDATED=Y","Sort=A","Dates=H","DateFormat=P","Fill=—","Direction=H","UseDPDF=Y")</f>
        <v>#NAME?</v>
      </c>
      <c r="AZ119" s="1" t="e">
        <f ca="1">_xll.BDH($C$103,"SHORT_TERM_DEBT_5_YEAR_GROWTH","FQ1 2017","FQ1 2017","Currency=INR","Period=FQ","BEST_FPERIOD_OVERRIDE=FQ","FILING_STATUS=OR","EQY_CONSOLIDATED=Y","Sort=A","Dates=H","DateFormat=P","Fill=—","Direction=H","UseDPDF=Y")</f>
        <v>#NAME?</v>
      </c>
      <c r="BA119" s="1" t="e">
        <f ca="1">_xll.BDH($C$103,"TOTAL_DEBT_5_YEAR_GROWTH","FQ1 2017","FQ1 2017","Currency=INR","Period=FQ","BEST_FPERIOD_OVERRIDE=FQ","FILING_STATUS=OR","EQY_CONSOLIDATED=Y","Sort=A","Dates=H","DateFormat=P","Fill=—","Direction=H","UseDPDF=Y")</f>
        <v>#NAME?</v>
      </c>
      <c r="BB119" s="1" t="e">
        <f ca="1">_xll.BDH($C$103,"GEO_GROW_TOT_SHRHLDR_EQY","FQ1 2017","FQ1 2017","Currency=INR","Period=FQ","BEST_FPERIOD_OVERRIDE=FQ","FILING_STATUS=OR","EQY_CONSOLIDATED=Y","Sort=A","Dates=H","DateFormat=P","Fill=—","Direction=H","UseDPDF=Y")</f>
        <v>#NAME?</v>
      </c>
      <c r="BC119" s="1" t="e">
        <f ca="1">_xll.BDH($C$103,"TOTAL_CAPITAL_5_YEAR_GROWTH","FQ1 2017","FQ1 2017","Currency=INR","Period=FQ","BEST_FPERIOD_OVERRIDE=FQ","FILING_STATUS=OR","EQY_CONSOLIDATED=Y","Sort=A","Dates=H","DateFormat=P","Fill=—","Direction=H","UseDPDF=Y")</f>
        <v>#NAME?</v>
      </c>
      <c r="BD119" s="1" t="e">
        <f ca="1">_xll.BDH($C$103,"GEO_GROW_BOOK_VAL","FQ1 2017","FQ1 2017","Currency=INR","Period=FQ","BEST_FPERIOD_OVERRIDE=FQ","FILING_STATUS=OR","EQY_CONSOLIDATED=Y","Sort=A","Dates=H","DateFormat=P","Fill=—","Direction=H","UseDPDF=Y")</f>
        <v>#NAME?</v>
      </c>
      <c r="BE119" s="1" t="e">
        <f ca="1">_xll.BDH($C$103,"GEO_GROW_CASH_OPER_ACT","FQ1 2017","FQ1 2017","Currency=INR","Period=FQ","BEST_FPERIOD_OVERRIDE=FQ","FILING_STATUS=OR","EQY_CONSOLIDATED=Y","Sort=A","Dates=H","DateFormat=P","Fill=—","Direction=H","UseDPDF=Y")</f>
        <v>#NAME?</v>
      </c>
      <c r="BF119" s="1" t="e">
        <f ca="1">_xll.BDH($C$103,"REVENUE_SEQUENTIAL_GROWTH","FQ1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19" s="1" t="e">
        <f ca="1">_xll.BDH($C$103,"EBITDA_SEQUENTIAL_GROWTH","FQ1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19" s="1" t="e">
        <f ca="1">_xll.BDH($C$103,"OPERATING_INCOME_SEQ_GROWTH","FQ1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19" s="1" t="e">
        <f ca="1">_xll.BDH($C$103,"NET_INCOME_TO_COMMON_SEQ_GROWTH","FQ1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19" s="1" t="e">
        <f ca="1">_xll.BDH($C$103,"EPS_DILUTED_SEQUENTIAL_GROWTH","FQ1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19" s="1" t="e">
        <f ca="1">_xll.BDH($C$103,"DPS_SEQUENTIAL_GROWTH","FQ1 2017","FQ1 2017","Currency=INR","Period=FQ","BEST_FPERIOD_OVERRIDE=FQ","FILING_STATUS=OR","EQY_CONSOLIDATED=Y","Sort=A","Dates=H","DateFormat=P","Fill=—","Direction=H","UseDPDF=Y")</f>
        <v>#NAME?</v>
      </c>
      <c r="BL119" s="1" t="e">
        <f ca="1">_xll.BDH($C$103,"ACCOUNTS_RECEIVABLE_SEQ_GROWTH","FQ1 2017","FQ1 2017","Currency=INR","Period=FQ","BEST_FPERIOD_OVERRIDE=FQ","FILING_STATUS=OR","EQY_CONSOLIDATED=Y","Sort=A","Dates=H","DateFormat=P","Fill=—","Direction=H","UseDPDF=Y")</f>
        <v>#NAME?</v>
      </c>
      <c r="BM119" s="1" t="e">
        <f ca="1">_xll.BDH($C$103,"INVENTORY_SEQUENTIAL_GROWTH","FQ1 2017","FQ1 2017","Currency=INR","Period=FQ","BEST_FPERIOD_OVERRIDE=FQ","FILING_STATUS=OR","EQY_CONSOLIDATED=Y","Sort=A","Dates=H","DateFormat=P","Fill=—","Direction=H","UseDPDF=Y")</f>
        <v>#NAME?</v>
      </c>
      <c r="BN119" s="1" t="e">
        <f ca="1">_xll.BDH($C$103,"FIXED_ASSETS_SEQUENTIAL_GROWTH","FQ1 2017","FQ1 2017","Currency=INR","Period=FQ","BEST_FPERIOD_OVERRIDE=FQ","FILING_STATUS=OR","EQY_CONSOLIDATED=Y","Sort=A","Dates=H","DateFormat=P","Fill=—","Direction=H","UseDPDF=Y")</f>
        <v>#NAME?</v>
      </c>
      <c r="BO119" s="1" t="e">
        <f ca="1">_xll.BDH($C$103,"TOTAL_ASSETS_SEQUENTIAL_GROWTH","FQ1 2017","FQ1 2017","Currency=INR","Period=FQ","BEST_FPERIOD_OVERRIDE=FQ","FILING_STATUS=OR","EQY_CONSOLIDATED=Y","Sort=A","Dates=H","DateFormat=P","Fill=—","Direction=H","UseDPDF=Y")</f>
        <v>#NAME?</v>
      </c>
      <c r="BP119" s="1" t="e">
        <f ca="1">_xll.BDH($C$103,"MODIFIED_WORKING_CPTL_SEQ_GRWTH","FQ1 2017","FQ1 2017","Currency=INR","Period=FQ","BEST_FPERIOD_OVERRIDE=FQ","FILING_STATUS=OR","EQY_CONSOLIDATED=Y","Sort=A","Dates=H","DateFormat=P","Fill=—","Direction=H","UseDPDF=Y")</f>
        <v>#NAME?</v>
      </c>
      <c r="BQ119" s="1" t="e">
        <f ca="1">_xll.BDH($C$103,"WORKING_CAPITAL_SEQ_GROWTH","FQ1 2017","FQ1 2017","Currency=INR","Period=FQ","BEST_FPERIOD_OVERRIDE=FQ","FILING_STATUS=OR","EQY_CONSOLIDATED=Y","Sort=A","Dates=H","DateFormat=P","Fill=—","Direction=H","UseDPDF=Y")</f>
        <v>#NAME?</v>
      </c>
      <c r="BR119" s="1" t="e">
        <f ca="1">_xll.BDH($C$103,"ACCOUNTS_PAYABLE_SEQ_GROWTH","FQ1 2017","FQ1 2017","Currency=INR","Period=FQ","BEST_FPERIOD_OVERRIDE=FQ","FILING_STATUS=OR","EQY_CONSOLIDATED=Y","Sort=A","Dates=H","DateFormat=P","Fill=—","Direction=H","UseDPDF=Y")</f>
        <v>#NAME?</v>
      </c>
      <c r="BS119" s="1" t="e">
        <f ca="1">_xll.BDH($C$103,"ST_DEBT_SEQUENTIAL_GROWTH","FQ1 2017","FQ1 2017","Currency=INR","Period=FQ","BEST_FPERIOD_OVERRIDE=FQ","FILING_STATUS=OR","EQY_CONSOLIDATED=Y","Sort=A","Dates=H","DateFormat=P","Fill=—","Direction=H","UseDPDF=Y")</f>
        <v>#NAME?</v>
      </c>
      <c r="BT119" s="1" t="e">
        <f ca="1">_xll.BDH($C$103,"TOTAL_DEBT_SEQUENTIAL_GROWTH","FQ1 2017","FQ1 2017","Currency=INR","Period=FQ","BEST_FPERIOD_OVERRIDE=FQ","FILING_STATUS=OR","EQY_CONSOLIDATED=Y","Sort=A","Dates=H","DateFormat=P","Fill=—","Direction=H","UseDPDF=Y")</f>
        <v>#NAME?</v>
      </c>
      <c r="BU119" s="1" t="e">
        <f ca="1">_xll.BDH($C$103,"TOTAL_EQUITY_SEQUENTIAL_GROWTH","FQ1 2017","FQ1 2017","Currency=INR","Period=FQ","BEST_FPERIOD_OVERRIDE=FQ","FILING_STATUS=OR","EQY_CONSOLIDATED=Y","Sort=A","Dates=H","DateFormat=P","Fill=—","Direction=H","UseDPDF=Y")</f>
        <v>#NAME?</v>
      </c>
      <c r="BV119" s="1" t="e">
        <f ca="1">_xll.BDH($C$103,"TOTAL_CAPITAL_SEQUENTIAL_GROWTH","FQ1 2017","FQ1 2017","Currency=INR","Period=FQ","BEST_FPERIOD_OVERRIDE=FQ","FILING_STATUS=OR","EQY_CONSOLIDATED=Y","Sort=A","Dates=H","DateFormat=P","Fill=—","Direction=H","UseDPDF=Y")</f>
        <v>#NAME?</v>
      </c>
      <c r="BW119" s="1" t="e">
        <f ca="1">_xll.BDH($C$103,"BPS_SEQUENTIAL_GROWTH","FQ1 2017","FQ1 2017","Currency=INR","Period=FQ","BEST_FPERIOD_OVERRIDE=FQ","FILING_STATUS=OR","EQY_CONSOLIDATED=Y","Sort=A","Dates=H","DateFormat=P","Fill=—","Direction=H","UseDPDF=Y")</f>
        <v>#NAME?</v>
      </c>
      <c r="BX119" s="1" t="e">
        <f ca="1">_xll.BDH($C$103,"CFO_SEQUENTIAL_GROWTH","FQ1 2017","FQ1 2017","Currency=INR","Period=FQ","BEST_FPERIOD_OVERRIDE=FQ","FILING_STATUS=OR","EQY_CONSOLIDATED=Y","Sort=A","Dates=H","DateFormat=P","Fill=—","Direction=H","UseDPDF=Y")</f>
        <v>#NAME?</v>
      </c>
      <c r="BY119" s="2" t="e">
        <f ca="1">_xll.BDH($C$103,"SHORT_AND_LONG_TERM_DEBT","FQ1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19" s="2" t="e">
        <f ca="1">_xll.BDH($C$103,"BS_ST_BORROW","FQ1 2017","FQ1 2017","Currency=INR","Period=FQ","BEST_FPERIOD_OVERRIDE=FQ","FILING_STATUS=OR","EQY_CONSOLIDATED=Y","SCALING_FORMAT=MLN","Sort=A","Dates=H","DateFormat=P","Fill=—","Direction=H","UseDPDF=Y")</f>
        <v>#NAME?</v>
      </c>
      <c r="CA119" s="2" t="e">
        <f ca="1">_xll.BDH($C$103,"BS_LT_BORROW","FQ1 2017","FQ1 2017","Currency=INR","Period=FQ","BEST_FPERIOD_OVERRIDE=FQ","FILING_STATUS=OR","EQY_CONSOLIDATED=Y","SCALING_FORMAT=MLN","Sort=A","Dates=H","DateFormat=P","Fill=—","Direction=H","UseDPDF=Y")</f>
        <v>#NAME?</v>
      </c>
      <c r="CB119" s="1" t="e">
        <f ca="1">_xll.BDH($C$103,"TOT_DEBT_TO_EBITDA","FQ1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19" s="1" t="e">
        <f ca="1">_xll.BDH($C$103,"NET_DEBT_TO_EBITDA","FQ1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19" s="1" t="e">
        <f ca="1">_xll.BDH($C$103,"TOTAL_DEBT_TO_EBIT","FQ1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19" s="1" t="e">
        <f ca="1">_xll.BDH($C$103,"NET_DEBT_TO_EBIT","FQ1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119" s="1" t="e">
        <f ca="1">_xll.BDH($C$103,"EBITDA_TO_INTEREST_EXPN","FQ1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19" s="1" t="e">
        <f ca="1">_xll.BDH($C$103,"COM_EQY_TO_TOT_ASSET","FQ1 2017","FQ1 2017","Currency=INR","Period=FQ","BEST_FPERIOD_OVERRIDE=FQ","FILING_STATUS=OR","EQY_CONSOLIDATED=Y","Sort=A","Dates=H","DateFormat=P","Fill=—","Direction=H","UseDPDF=Y")</f>
        <v>#NAME?</v>
      </c>
      <c r="CH119" s="1" t="e">
        <f ca="1">_xll.BDH($C$103,"LT_DEBT_TO_TOT_EQY","FQ1 2017","FQ1 2017","Currency=INR","Period=FQ","BEST_FPERIOD_OVERRIDE=FQ","FILING_STATUS=OR","EQY_CONSOLIDATED=Y","Sort=A","Dates=H","DateFormat=P","Fill=—","Direction=H","UseDPDF=Y")</f>
        <v>#NAME?</v>
      </c>
      <c r="CI119" s="1" t="e">
        <f ca="1">_xll.BDH($C$103,"LT_DEBT_TO_TOT_CAP","FQ1 2017","FQ1 2017","Currency=INR","Period=FQ","BEST_FPERIOD_OVERRIDE=FQ","FILING_STATUS=OR","EQY_CONSOLIDATED=Y","Sort=A","Dates=H","DateFormat=P","Fill=—","Direction=H","UseDPDF=Y")</f>
        <v>#NAME?</v>
      </c>
      <c r="CJ119" s="1" t="e">
        <f ca="1">_xll.BDH($C$103,"LT_DEBT_TO_TOT_ASSET","FQ1 2017","FQ1 2017","Currency=INR","Period=FQ","BEST_FPERIOD_OVERRIDE=FQ","FILING_STATUS=OR","EQY_CONSOLIDATED=Y","Sort=A","Dates=H","DateFormat=P","Fill=—","Direction=H","UseDPDF=Y")</f>
        <v>#NAME?</v>
      </c>
      <c r="CK119" s="1" t="e">
        <f ca="1">_xll.BDH($C$103,"TOT_DEBT_TO_TOT_EQY","FQ1 2017","FQ1 2017","Currency=INR","Period=FQ","BEST_FPERIOD_OVERRIDE=FQ","FILING_STATUS=OR","EQY_CONSOLIDATED=Y","Sort=A","Dates=H","DateFormat=P","Fill=—","Direction=H","UseDPDF=Y")</f>
        <v>#NAME?</v>
      </c>
      <c r="CL119" s="1" t="e">
        <f ca="1">_xll.BDH($C$103,"TOT_DEBT_TO_TOT_CAP","FQ1 2017","FQ1 2017","Currency=INR","Period=FQ","BEST_FPERIOD_OVERRIDE=FQ","FILING_STATUS=OR","EQY_CONSOLIDATED=Y","Sort=A","Dates=H","DateFormat=P","Fill=—","Direction=H","UseDPDF=Y")</f>
        <v>#NAME?</v>
      </c>
      <c r="CM119" s="1" t="e">
        <f ca="1">_xll.BDH($C$103,"TOT_DEBT_TO_TOT_ASSET","FQ1 2017","FQ1 2017","Currency=INR","Period=FQ","BEST_FPERIOD_OVERRIDE=FQ","FILING_STATUS=OR","EQY_CONSOLIDATED=Y","Sort=A","Dates=H","DateFormat=P","Fill=—","Direction=H","UseDPDF=Y")</f>
        <v>#NAME?</v>
      </c>
      <c r="CN119" s="1" t="e">
        <f ca="1">_xll.BDH($C$103,"NET_DEBT_TO_SHRHLDR_EQTY","FQ1 2017","FQ1 2017","Currency=INR","Period=FQ","BEST_FPERIOD_OVERRIDE=FQ","FILING_STATUS=OR","EQY_CONSOLIDATED=Y","Sort=A","Dates=H","DateFormat=P","Fill=—","Direction=H","UseDPDF=Y")</f>
        <v>#NAME?</v>
      </c>
      <c r="CO119" s="1" t="e">
        <f ca="1">_xll.BDH($C$103,"NET_DEBT_%_CAPITAL","FQ1 2017","FQ1 2017","Currency=INR","Period=FQ","BEST_FPERIOD_OVERRIDE=FQ","FILING_STATUS=OR","EQY_CONSOLIDATED=Y","Sort=A","Dates=H","DateFormat=P","Fill=—","Direction=H","UseDPDF=Y")</f>
        <v>#NAME?</v>
      </c>
      <c r="CP119" s="2" t="e">
        <f ca="1">_xll.BDH($C$103,"EBITDA","FQ1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19" s="2" t="e">
        <f ca="1">_xll.BDH($C$103,"EBITDA_AFTER_CAPEX","FQ1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19" s="2" t="e">
        <f ca="1">_xll.BDH($C$103,"IS_OPER_INC","FQ1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19" s="1" t="e">
        <f ca="1">_xll.BDH($C$103,"CASH_RATIO","FQ1 2017","FQ1 2017","Currency=INR","Period=FQ","BEST_FPERIOD_OVERRIDE=FQ","FILING_STATUS=OR","EQY_CONSOLIDATED=Y","Sort=A","Dates=H","DateFormat=P","Fill=—","Direction=H","UseDPDF=Y")</f>
        <v>#NAME?</v>
      </c>
      <c r="CT119" s="1" t="e">
        <f ca="1">_xll.BDH($C$103,"CUR_RATIO","FQ1 2017","FQ1 2017","Currency=INR","Period=FQ","BEST_FPERIOD_OVERRIDE=FQ","FILING_STATUS=OR","EQY_CONSOLIDATED=Y","Sort=A","Dates=H","DateFormat=P","Fill=—","Direction=H","UseDPDF=Y")</f>
        <v>#NAME?</v>
      </c>
      <c r="CU119" s="1" t="e">
        <f ca="1">_xll.BDH($C$103,"QUICK_RATIO","FQ1 2017","FQ1 2017","Currency=INR","Period=FQ","BEST_FPERIOD_OVERRIDE=FQ","FILING_STATUS=OR","EQY_CONSOLIDATED=Y","Sort=A","Dates=H","DateFormat=P","Fill=—","Direction=H","UseDPDF=Y")</f>
        <v>#NAME?</v>
      </c>
      <c r="CV119" s="1" t="e">
        <f ca="1">_xll.BDH($C$103,"ALTMAN_Z_SCORE","FQ1 2017","FQ1 2017","Currency=INR","Period=FQ","BEST_FPERIOD_OVERRIDE=FQ","FILING_STATUS=OR","EQY_CONSOLIDATED=Y","Sort=A","Dates=H","DateFormat=P","Fill=—","Direction=H","UseDPDF=Y")</f>
        <v>#NAME?</v>
      </c>
      <c r="CW119" s="3" t="e">
        <f ca="1">_xll.BDH($C$103,"ACCT_RCV_TURN","FQ1 2017","FQ1 2017","Currency=INR","Period=FQ","BEST_FPERIOD_OVERRIDE=FQ","FILING_STATUS=OR","EQY_CONSOLIDATED=Y","FA_ADJUSTED=GAAP","Sort=A","Dates=H","DateFormat=P","Fill=—","Direction=H","UseDPDF=Y")</f>
        <v>#NAME?</v>
      </c>
      <c r="CX119" s="1" t="e">
        <f ca="1">_xll.BDH($C$103,"ACCT_RCV_DAYS","FQ1 2017","FQ1 2017","Currency=INR","Period=FQ","BEST_FPERIOD_OVERRIDE=FQ","FILING_STATUS=OR","EQY_CONSOLIDATED=Y","FA_ADJUSTED=GAAP","Sort=A","Dates=H","DateFormat=P","Fill=—","Direction=H","UseDPDF=Y")</f>
        <v>#NAME?</v>
      </c>
      <c r="CY119" s="3" t="e">
        <f ca="1">_xll.BDH($C$103,"INVENT_TURN","FQ1 2017","FQ1 2017","Currency=INR","Period=FQ","BEST_FPERIOD_OVERRIDE=FQ","FILING_STATUS=OR","EQY_CONSOLIDATED=Y","FA_ADJUSTED=GAAP","Sort=A","Dates=H","DateFormat=P","Fill=—","Direction=H","UseDPDF=Y")</f>
        <v>#NAME?</v>
      </c>
      <c r="CZ119" s="1" t="e">
        <f ca="1">_xll.BDH($C$103,"INVENT_DAYS","FQ1 2017","FQ1 2017","Currency=INR","Period=FQ","BEST_FPERIOD_OVERRIDE=FQ","FILING_STATUS=OR","EQY_CONSOLIDATED=Y","FA_ADJUSTED=GAAP","Sort=A","Dates=H","DateFormat=P","Fill=—","Direction=H","UseDPDF=Y")</f>
        <v>#NAME?</v>
      </c>
      <c r="DA119" s="3" t="e">
        <f ca="1">_xll.BDH($C$103,"ACCOUNTS_PAYABLE_TURNOVER","FQ1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19" s="1" t="e">
        <f ca="1">_xll.BDH($C$103,"ACCOUNTS_PAYABLE_TURNOVER_DAYS","FQ1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19" s="3" t="e">
        <f ca="1">_xll.BDH($C$103,"CASH_CONVERSION_CYCLE","FQ1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19" s="3" t="e">
        <f ca="1">_xll.BDH($C$103,"INV_TO_CASH_DAYS","FQ1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119" s="4" t="e">
        <f ca="1">_xll.BDH($C$103,"BS_INVENTORIES","FQ1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119" s="2" t="e">
        <f ca="1">_xll.BDH($C$103,"INVTRY_RAW_MATERIALS","FQ1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19" s="2" t="e">
        <f ca="1">_xll.BDH($C$103,"INVTRY_IN_PROGRESS","FQ1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19" s="2" t="e">
        <f ca="1">_xll.BDH($C$103,"INVTRY_FINISHED_GOODS","FQ1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19" s="2" t="e">
        <f ca="1">_xll.BDH($C$103,"BS_OTHER_INV","FQ1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20" spans="1:113" x14ac:dyDescent="0.3">
      <c r="A120" s="6"/>
      <c r="B120" s="6"/>
      <c r="C120" s="6"/>
      <c r="D120" s="6"/>
      <c r="E120" t="s">
        <v>5</v>
      </c>
      <c r="F120" t="e">
        <f ca="1">_xll.BDH($C$103,"RETURN_COM_EQY","FQ2 2017","FQ2 2017","Currency=INR","Period=FQ","BEST_FPERIOD_OVERRIDE=FQ","FILING_STATUS=OR","EQY_CONSOLIDATED=Y","FA_ADJUSTED=GAAP","Sort=A","Dates=H","DateFormat=P","Fill=—","Direction=H","UseDPDF=Y")</f>
        <v>#NAME?</v>
      </c>
      <c r="G120" t="e">
        <f ca="1">_xll.BDH($C$103,"RETURN_ON_ASSET","FQ2 2017","FQ2 2017","Currency=INR","Period=FQ","BEST_FPERIOD_OVERRIDE=FQ","FILING_STATUS=OR","EQY_CONSOLIDATED=Y","FA_ADJUSTED=GAAP","Sort=A","Dates=H","DateFormat=P","Fill=—","Direction=H","UseDPDF=Y")</f>
        <v>#NAME?</v>
      </c>
      <c r="H120" t="e">
        <f ca="1">_xll.BDH($C$103,"RETURN_ON_CAP","FQ2 2017","FQ2 2017","Currency=INR","Period=FQ","BEST_FPERIOD_OVERRIDE=FQ","FILING_STATUS=OR","EQY_CONSOLIDATED=Y","FA_ADJUSTED=GAAP","Sort=A","Dates=H","DateFormat=P","Fill=—","Direction=H","UseDPDF=Y")</f>
        <v>#NAME?</v>
      </c>
      <c r="I120" t="e">
        <f ca="1">_xll.BDH($C$103,"RETURN_ON_INV_CAPITAL","FQ2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20" t="e">
        <f ca="1">_xll.BDH($C$103,"EBITDA_TO_REVENUE","FQ2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120" t="e">
        <f ca="1">_xll.BDH($C$103,"OPER_MARGIN","FQ2 2017","FQ2 2017","Currency=INR","Period=FQ","BEST_FPERIOD_OVERRIDE=FQ","FILING_STATUS=OR","EQY_CONSOLIDATED=Y","FA_ADJUSTED=GAAP","Sort=A","Dates=H","DateFormat=P","Fill=—","Direction=H","UseDPDF=Y")</f>
        <v>#NAME?</v>
      </c>
      <c r="L120" t="e">
        <f ca="1">_xll.BDH($C$103,"INCREMENTAL_OPERATING_MARGIN","FQ2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20" t="e">
        <f ca="1">_xll.BDH($C$103,"PRETAX_INC_TO_NET_SALES","FQ2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20" t="e">
        <f ca="1">_xll.BDH($C$103,"INC_BEF_XO_ITEMS_TO_NET_SALES","FQ2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20" t="e">
        <f ca="1">_xll.BDH($C$103,"PROF_MARGIN","FQ2 2017","FQ2 2017","Currency=INR","Period=FQ","BEST_FPERIOD_OVERRIDE=FQ","FILING_STATUS=OR","EQY_CONSOLIDATED=Y","FA_ADJUSTED=GAAP","Sort=A","Dates=H","DateFormat=P","Fill=—","Direction=H","UseDPDF=Y")</f>
        <v>#NAME?</v>
      </c>
      <c r="P120" t="e">
        <f ca="1">_xll.BDH($C$103,"NET_INCOME_TO_COMMON_MARGIN","FQ2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20" t="e">
        <f ca="1">_xll.BDH($C$103,"EFF_TAX_RATE","FQ2 2017","FQ2 2017","Currency=INR","Period=FQ","BEST_FPERIOD_OVERRIDE=FQ","FILING_STATUS=OR","EQY_CONSOLIDATED=Y","FA_ADJUSTED=GAAP","Sort=A","Dates=H","DateFormat=P","Fill=—","Direction=H","UseDPDF=Y")</f>
        <v>#NAME?</v>
      </c>
      <c r="R120" t="e">
        <f ca="1">_xll.BDH($C$103,"DVD_PAYOUT_RATIO","FQ2 2017","FQ2 2017","Currency=INR","Period=FQ","BEST_FPERIOD_OVERRIDE=FQ","FILING_STATUS=OR","EQY_CONSOLIDATED=Y","FA_ADJUSTED=GAAP","Sort=A","Dates=H","DateFormat=P","Fill=—","Direction=H","UseDPDF=Y")</f>
        <v>#NAME?</v>
      </c>
      <c r="S120" t="e">
        <f ca="1">_xll.BDH($C$103,"SUSTAIN_GROWTH_RT","FQ2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120" s="1" t="e">
        <f ca="1">_xll.BDH($C$103,"SALES_GROWTH","FQ2 2017","FQ2 2017","Currency=INR","Period=FQ","BEST_FPERIOD_OVERRIDE=FQ","FILING_STATUS=OR","EQY_CONSOLIDATED=Y","FA_ADJUSTED=GAAP","Sort=A","Dates=H","DateFormat=P","Fill=—","Direction=H","UseDPDF=Y")</f>
        <v>#NAME?</v>
      </c>
      <c r="U120" s="1" t="e">
        <f ca="1">_xll.BDH($C$103,"EBITDA_GROWTH","FQ2 2017","FQ2 2017","Currency=INR","Period=FQ","BEST_FPERIOD_OVERRIDE=FQ","FILING_STATUS=OR","EQY_CONSOLIDATED=Y","FA_ADJUSTED=GAAP","Sort=A","Dates=H","DateFormat=P","Fill=—","Direction=H","UseDPDF=Y")</f>
        <v>#NAME?</v>
      </c>
      <c r="V120" s="1" t="e">
        <f ca="1">_xll.BDH($C$103,"OPER_INC_GROWTH","FQ2 2017","FQ2 2017","Currency=INR","Period=FQ","BEST_FPERIOD_OVERRIDE=FQ","FILING_STATUS=OR","EQY_CONSOLIDATED=Y","FA_ADJUSTED=GAAP","Sort=A","Dates=H","DateFormat=P","Fill=—","Direction=H","UseDPDF=Y")</f>
        <v>#NAME?</v>
      </c>
      <c r="W120" s="1" t="e">
        <f ca="1">_xll.BDH($C$103,"EARN_FOR_COM_GROWTH","FQ2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20" s="1" t="e">
        <f ca="1">_xll.BDH($C$103,"DILUTED_EPS_AFT_XO_ITEMS_GROWTH","FQ2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20" s="1" t="e">
        <f ca="1">_xll.BDH($C$103,"DIVIDEND_PER_SHARE_1_YEAR_GROWTH","FQ2 2017","FQ2 2017","Currency=INR","Period=FQ","BEST_FPERIOD_OVERRIDE=FQ","FILING_STATUS=OR","EQY_CONSOLIDATED=Y","Sort=A","Dates=H","DateFormat=P","Fill=—","Direction=H","UseDPDF=Y")</f>
        <v>#NAME?</v>
      </c>
      <c r="Z120" s="1" t="e">
        <f ca="1">_xll.BDH($C$103,"ACCOUNTS_RECEIVABLE_GROWTH","FQ2 2017","FQ2 2017","Currency=INR","Period=FQ","BEST_FPERIOD_OVERRIDE=FQ","FILING_STATUS=OR","EQY_CONSOLIDATED=Y","Sort=A","Dates=H","DateFormat=P","Fill=—","Direction=H","UseDPDF=Y")</f>
        <v>#NAME?</v>
      </c>
      <c r="AA120" s="1" t="e">
        <f ca="1">_xll.BDH($C$103,"INVENTORY_GROWTH","FQ2 2017","FQ2 2017","Currency=INR","Period=FQ","BEST_FPERIOD_OVERRIDE=FQ","FILING_STATUS=OR","EQY_CONSOLIDATED=Y","Sort=A","Dates=H","DateFormat=P","Fill=—","Direction=H","UseDPDF=Y")</f>
        <v>#NAME?</v>
      </c>
      <c r="AB120" s="1" t="e">
        <f ca="1">_xll.BDH($C$103,"NET_FIXED_ASSETS_1_YEAR_GROWTH","FQ2 2017","FQ2 2017","Currency=INR","Period=FQ","BEST_FPERIOD_OVERRIDE=FQ","FILING_STATUS=OR","EQY_CONSOLIDATED=Y","Sort=A","Dates=H","DateFormat=P","Fill=—","Direction=H","UseDPDF=Y")</f>
        <v>#NAME?</v>
      </c>
      <c r="AC120" s="1" t="e">
        <f ca="1">_xll.BDH($C$103,"ASSET_GROWTH","FQ2 2017","FQ2 2017","Currency=INR","Period=FQ","BEST_FPERIOD_OVERRIDE=FQ","FILING_STATUS=OR","EQY_CONSOLIDATED=Y","Sort=A","Dates=H","DateFormat=P","Fill=—","Direction=H","UseDPDF=Y")</f>
        <v>#NAME?</v>
      </c>
      <c r="AD120" s="1" t="e">
        <f ca="1">_xll.BDH($C$103,"MODIFIED_WORK_CAP_GROWTH","FQ2 2017","FQ2 2017","Currency=INR","Period=FQ","BEST_FPERIOD_OVERRIDE=FQ","FILING_STATUS=OR","EQY_CONSOLIDATED=Y","Sort=A","Dates=H","DateFormat=P","Fill=—","Direction=H","UseDPDF=Y")</f>
        <v>#NAME?</v>
      </c>
      <c r="AE120" s="1" t="e">
        <f ca="1">_xll.BDH($C$103,"WORK_CAP_GROWTH","FQ2 2017","FQ2 2017","Currency=INR","Period=FQ","BEST_FPERIOD_OVERRIDE=FQ","FILING_STATUS=OR","EQY_CONSOLIDATED=Y","Sort=A","Dates=H","DateFormat=P","Fill=—","Direction=H","UseDPDF=Y")</f>
        <v>#NAME?</v>
      </c>
      <c r="AF120" s="1" t="e">
        <f ca="1">_xll.BDH($C$103,"ACCOUNTS_PAYABLE_GROWTH_1YR","FQ2 2017","FQ2 2017","Currency=INR","Period=FQ","BEST_FPERIOD_OVERRIDE=FQ","FILING_STATUS=OR","EQY_CONSOLIDATED=Y","Sort=A","Dates=H","DateFormat=P","Fill=—","Direction=H","UseDPDF=Y")</f>
        <v>#NAME?</v>
      </c>
      <c r="AG120" s="1" t="e">
        <f ca="1">_xll.BDH($C$103,"SHORT_TERM_DEBT_1_YEAR_GROWTH","FQ2 2017","FQ2 2017","Currency=INR","Period=FQ","BEST_FPERIOD_OVERRIDE=FQ","FILING_STATUS=OR","EQY_CONSOLIDATED=Y","Sort=A","Dates=H","DateFormat=P","Fill=—","Direction=H","UseDPDF=Y")</f>
        <v>#NAME?</v>
      </c>
      <c r="AH120" s="1" t="e">
        <f ca="1">_xll.BDH($C$103,"TOTAL_DEBT_1_YEAR_GROWTH","FQ2 2017","FQ2 2017","Currency=INR","Period=FQ","BEST_FPERIOD_OVERRIDE=FQ","FILING_STATUS=OR","EQY_CONSOLIDATED=Y","Sort=A","Dates=H","DateFormat=P","Fill=—","Direction=H","UseDPDF=Y")</f>
        <v>#NAME?</v>
      </c>
      <c r="AI120" s="1" t="e">
        <f ca="1">_xll.BDH($C$103,"TOTAL_EQUITY_1_YEAR_GROWTH","FQ2 2017","FQ2 2017","Currency=INR","Period=FQ","BEST_FPERIOD_OVERRIDE=FQ","FILING_STATUS=OR","EQY_CONSOLIDATED=Y","Sort=A","Dates=H","DateFormat=P","Fill=—","Direction=H","UseDPDF=Y")</f>
        <v>#NAME?</v>
      </c>
      <c r="AJ120" s="1" t="e">
        <f ca="1">_xll.BDH($C$103,"GROWTH_IN_CAP","FQ2 2017","FQ2 2017","Currency=INR","Period=FQ","BEST_FPERIOD_OVERRIDE=FQ","FILING_STATUS=OR","EQY_CONSOLIDATED=Y","Sort=A","Dates=H","DateFormat=P","Fill=—","Direction=H","UseDPDF=Y")</f>
        <v>#NAME?</v>
      </c>
      <c r="AK120" s="1" t="e">
        <f ca="1">_xll.BDH($C$103,"BVPS_GROWTH","FQ2 2017","FQ2 2017","Currency=INR","Period=FQ","BEST_FPERIOD_OVERRIDE=FQ","FILING_STATUS=OR","EQY_CONSOLIDATED=Y","Sort=A","Dates=H","DateFormat=P","Fill=—","Direction=H","UseDPDF=Y")</f>
        <v>#NAME?</v>
      </c>
      <c r="AL120" s="1" t="e">
        <f ca="1">_xll.BDH($C$103,"CASH_FLOW_GROWTH","FQ2 2017","FQ2 2017","Currency=INR","Period=FQ","BEST_FPERIOD_OVERRIDE=FQ","FILING_STATUS=OR","EQY_CONSOLIDATED=Y","Sort=A","Dates=H","DateFormat=P","Fill=—","Direction=H","UseDPDF=Y")</f>
        <v>#NAME?</v>
      </c>
      <c r="AM120" s="1" t="e">
        <f ca="1">_xll.BDH($C$103,"GEO_GROW_NET_SALES","FQ2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20" s="1" t="e">
        <f ca="1">_xll.BDH($C$103,"GEO_GROW_EBITDA","FQ2 2017","FQ2 2017","Currency=INR","Period=FQ","BEST_FPERIOD_OVERRIDE=FQ","FILING_STATUS=OR","EQY_CONSOLIDATED=Y","FA_ADJUSTED=GAAP","Sort=A","Dates=H","DateFormat=P","Fill=—","Direction=H","UseDPDF=Y")</f>
        <v>#NAME?</v>
      </c>
      <c r="AO120" s="1" t="e">
        <f ca="1">_xll.BDH($C$103,"GEO_GROW_OPER_INC","FQ2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20" s="1" t="e">
        <f ca="1">_xll.BDH($C$103,"NET_INCOME_TO_COMMON_5_YR_GROWTH","FQ2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20" s="1" t="e">
        <f ca="1">_xll.BDH($C$103,"5Y_GEO_GROWTH_DILUTED_EPS","FQ2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20" s="1" t="e">
        <f ca="1">_xll.BDH($C$103,"GEO_GROW_DVD_PER_SH","FQ2 2017","FQ2 2017","Currency=INR","Period=FQ","BEST_FPERIOD_OVERRIDE=FQ","FILING_STATUS=OR","EQY_CONSOLIDATED=Y","Sort=A","Dates=H","DateFormat=P","Fill=—","Direction=H","UseDPDF=Y")</f>
        <v>#NAME?</v>
      </c>
      <c r="AS120" s="1" t="e">
        <f ca="1">_xll.BDH($C$103,"ACCOUNTS_RECEIVABLE_5_YR_GROWTH","FQ2 2017","FQ2 2017","Currency=INR","Period=FQ","BEST_FPERIOD_OVERRIDE=FQ","FILING_STATUS=OR","EQY_CONSOLIDATED=Y","Sort=A","Dates=H","DateFormat=P","Fill=—","Direction=H","UseDPDF=Y")</f>
        <v>#NAME?</v>
      </c>
      <c r="AT120" s="1" t="e">
        <f ca="1">_xll.BDH($C$103,"INVENTORY_5_YEAR_GROWTH","FQ2 2017","FQ2 2017","Currency=INR","Period=FQ","BEST_FPERIOD_OVERRIDE=FQ","FILING_STATUS=OR","EQY_CONSOLIDATED=Y","Sort=A","Dates=H","DateFormat=P","Fill=—","Direction=H","UseDPDF=Y")</f>
        <v>#NAME?</v>
      </c>
      <c r="AU120" s="1" t="e">
        <f ca="1">_xll.BDH($C$103,"NET_FIXED_ASSETS_5_YEAR_GROWTH","FQ2 2017","FQ2 2017","Currency=INR","Period=FQ","BEST_FPERIOD_OVERRIDE=FQ","FILING_STATUS=OR","EQY_CONSOLIDATED=Y","Sort=A","Dates=H","DateFormat=P","Fill=—","Direction=H","UseDPDF=Y")</f>
        <v>#NAME?</v>
      </c>
      <c r="AV120" s="1" t="e">
        <f ca="1">_xll.BDH($C$103,"GEO_GROW_TOT_ASSET","FQ2 2017","FQ2 2017","Currency=INR","Period=FQ","BEST_FPERIOD_OVERRIDE=FQ","FILING_STATUS=OR","EQY_CONSOLIDATED=Y","Sort=A","Dates=H","DateFormat=P","Fill=—","Direction=H","UseDPDF=Y")</f>
        <v>#NAME?</v>
      </c>
      <c r="AW120" s="1" t="e">
        <f ca="1">_xll.BDH($C$103,"MODIFIED_WORKING_CPTL_5YR_GRWTH","FQ2 2017","FQ2 2017","Currency=INR","Period=FQ","BEST_FPERIOD_OVERRIDE=FQ","FILING_STATUS=OR","EQY_CONSOLIDATED=Y","Sort=A","Dates=H","DateFormat=P","Fill=—","Direction=H","UseDPDF=Y")</f>
        <v>#NAME?</v>
      </c>
      <c r="AX120" s="1" t="e">
        <f ca="1">_xll.BDH($C$103,"WORKING_CAPITAL_5_YEAR_GROWTH","FQ2 2017","FQ2 2017","Currency=INR","Period=FQ","BEST_FPERIOD_OVERRIDE=FQ","FILING_STATUS=OR","EQY_CONSOLIDATED=Y","Sort=A","Dates=H","DateFormat=P","Fill=—","Direction=H","UseDPDF=Y")</f>
        <v>#NAME?</v>
      </c>
      <c r="AY120" s="1" t="e">
        <f ca="1">_xll.BDH($C$103,"ACCOUNTS_PAYABLE_5_YEAR_GROWTH","FQ2 2017","FQ2 2017","Currency=INR","Period=FQ","BEST_FPERIOD_OVERRIDE=FQ","FILING_STATUS=OR","EQY_CONSOLIDATED=Y","Sort=A","Dates=H","DateFormat=P","Fill=—","Direction=H","UseDPDF=Y")</f>
        <v>#NAME?</v>
      </c>
      <c r="AZ120" s="1" t="e">
        <f ca="1">_xll.BDH($C$103,"SHORT_TERM_DEBT_5_YEAR_GROWTH","FQ2 2017","FQ2 2017","Currency=INR","Period=FQ","BEST_FPERIOD_OVERRIDE=FQ","FILING_STATUS=OR","EQY_CONSOLIDATED=Y","Sort=A","Dates=H","DateFormat=P","Fill=—","Direction=H","UseDPDF=Y")</f>
        <v>#NAME?</v>
      </c>
      <c r="BA120" s="1" t="e">
        <f ca="1">_xll.BDH($C$103,"TOTAL_DEBT_5_YEAR_GROWTH","FQ2 2017","FQ2 2017","Currency=INR","Period=FQ","BEST_FPERIOD_OVERRIDE=FQ","FILING_STATUS=OR","EQY_CONSOLIDATED=Y","Sort=A","Dates=H","DateFormat=P","Fill=—","Direction=H","UseDPDF=Y")</f>
        <v>#NAME?</v>
      </c>
      <c r="BB120" s="1" t="e">
        <f ca="1">_xll.BDH($C$103,"GEO_GROW_TOT_SHRHLDR_EQY","FQ2 2017","FQ2 2017","Currency=INR","Period=FQ","BEST_FPERIOD_OVERRIDE=FQ","FILING_STATUS=OR","EQY_CONSOLIDATED=Y","Sort=A","Dates=H","DateFormat=P","Fill=—","Direction=H","UseDPDF=Y")</f>
        <v>#NAME?</v>
      </c>
      <c r="BC120" s="1" t="e">
        <f ca="1">_xll.BDH($C$103,"TOTAL_CAPITAL_5_YEAR_GROWTH","FQ2 2017","FQ2 2017","Currency=INR","Period=FQ","BEST_FPERIOD_OVERRIDE=FQ","FILING_STATUS=OR","EQY_CONSOLIDATED=Y","Sort=A","Dates=H","DateFormat=P","Fill=—","Direction=H","UseDPDF=Y")</f>
        <v>#NAME?</v>
      </c>
      <c r="BD120" s="1" t="e">
        <f ca="1">_xll.BDH($C$103,"GEO_GROW_BOOK_VAL","FQ2 2017","FQ2 2017","Currency=INR","Period=FQ","BEST_FPERIOD_OVERRIDE=FQ","FILING_STATUS=OR","EQY_CONSOLIDATED=Y","Sort=A","Dates=H","DateFormat=P","Fill=—","Direction=H","UseDPDF=Y")</f>
        <v>#NAME?</v>
      </c>
      <c r="BE120" s="1" t="e">
        <f ca="1">_xll.BDH($C$103,"GEO_GROW_CASH_OPER_ACT","FQ2 2017","FQ2 2017","Currency=INR","Period=FQ","BEST_FPERIOD_OVERRIDE=FQ","FILING_STATUS=OR","EQY_CONSOLIDATED=Y","Sort=A","Dates=H","DateFormat=P","Fill=—","Direction=H","UseDPDF=Y")</f>
        <v>#NAME?</v>
      </c>
      <c r="BF120" s="1" t="e">
        <f ca="1">_xll.BDH($C$103,"REVENUE_SEQUENTIAL_GROWTH","FQ2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20" s="1" t="e">
        <f ca="1">_xll.BDH($C$103,"EBITDA_SEQUENTIAL_GROWTH","FQ2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20" s="1" t="e">
        <f ca="1">_xll.BDH($C$103,"OPERATING_INCOME_SEQ_GROWTH","FQ2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20" s="1" t="e">
        <f ca="1">_xll.BDH($C$103,"NET_INCOME_TO_COMMON_SEQ_GROWTH","FQ2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20" s="1" t="e">
        <f ca="1">_xll.BDH($C$103,"EPS_DILUTED_SEQUENTIAL_GROWTH","FQ2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20" s="1" t="e">
        <f ca="1">_xll.BDH($C$103,"DPS_SEQUENTIAL_GROWTH","FQ2 2017","FQ2 2017","Currency=INR","Period=FQ","BEST_FPERIOD_OVERRIDE=FQ","FILING_STATUS=OR","EQY_CONSOLIDATED=Y","Sort=A","Dates=H","DateFormat=P","Fill=—","Direction=H","UseDPDF=Y")</f>
        <v>#NAME?</v>
      </c>
      <c r="BL120" s="1" t="e">
        <f ca="1">_xll.BDH($C$103,"ACCOUNTS_RECEIVABLE_SEQ_GROWTH","FQ2 2017","FQ2 2017","Currency=INR","Period=FQ","BEST_FPERIOD_OVERRIDE=FQ","FILING_STATUS=OR","EQY_CONSOLIDATED=Y","Sort=A","Dates=H","DateFormat=P","Fill=—","Direction=H","UseDPDF=Y")</f>
        <v>#NAME?</v>
      </c>
      <c r="BM120" s="1" t="e">
        <f ca="1">_xll.BDH($C$103,"INVENTORY_SEQUENTIAL_GROWTH","FQ2 2017","FQ2 2017","Currency=INR","Period=FQ","BEST_FPERIOD_OVERRIDE=FQ","FILING_STATUS=OR","EQY_CONSOLIDATED=Y","Sort=A","Dates=H","DateFormat=P","Fill=—","Direction=H","UseDPDF=Y")</f>
        <v>#NAME?</v>
      </c>
      <c r="BN120" s="1" t="e">
        <f ca="1">_xll.BDH($C$103,"FIXED_ASSETS_SEQUENTIAL_GROWTH","FQ2 2017","FQ2 2017","Currency=INR","Period=FQ","BEST_FPERIOD_OVERRIDE=FQ","FILING_STATUS=OR","EQY_CONSOLIDATED=Y","Sort=A","Dates=H","DateFormat=P","Fill=—","Direction=H","UseDPDF=Y")</f>
        <v>#NAME?</v>
      </c>
      <c r="BO120" s="1" t="e">
        <f ca="1">_xll.BDH($C$103,"TOTAL_ASSETS_SEQUENTIAL_GROWTH","FQ2 2017","FQ2 2017","Currency=INR","Period=FQ","BEST_FPERIOD_OVERRIDE=FQ","FILING_STATUS=OR","EQY_CONSOLIDATED=Y","Sort=A","Dates=H","DateFormat=P","Fill=—","Direction=H","UseDPDF=Y")</f>
        <v>#NAME?</v>
      </c>
      <c r="BP120" s="1" t="e">
        <f ca="1">_xll.BDH($C$103,"MODIFIED_WORKING_CPTL_SEQ_GRWTH","FQ2 2017","FQ2 2017","Currency=INR","Period=FQ","BEST_FPERIOD_OVERRIDE=FQ","FILING_STATUS=OR","EQY_CONSOLIDATED=Y","Sort=A","Dates=H","DateFormat=P","Fill=—","Direction=H","UseDPDF=Y")</f>
        <v>#NAME?</v>
      </c>
      <c r="BQ120" s="1" t="e">
        <f ca="1">_xll.BDH($C$103,"WORKING_CAPITAL_SEQ_GROWTH","FQ2 2017","FQ2 2017","Currency=INR","Period=FQ","BEST_FPERIOD_OVERRIDE=FQ","FILING_STATUS=OR","EQY_CONSOLIDATED=Y","Sort=A","Dates=H","DateFormat=P","Fill=—","Direction=H","UseDPDF=Y")</f>
        <v>#NAME?</v>
      </c>
      <c r="BR120" s="1" t="e">
        <f ca="1">_xll.BDH($C$103,"ACCOUNTS_PAYABLE_SEQ_GROWTH","FQ2 2017","FQ2 2017","Currency=INR","Period=FQ","BEST_FPERIOD_OVERRIDE=FQ","FILING_STATUS=OR","EQY_CONSOLIDATED=Y","Sort=A","Dates=H","DateFormat=P","Fill=—","Direction=H","UseDPDF=Y")</f>
        <v>#NAME?</v>
      </c>
      <c r="BS120" s="1" t="e">
        <f ca="1">_xll.BDH($C$103,"ST_DEBT_SEQUENTIAL_GROWTH","FQ2 2017","FQ2 2017","Currency=INR","Period=FQ","BEST_FPERIOD_OVERRIDE=FQ","FILING_STATUS=OR","EQY_CONSOLIDATED=Y","Sort=A","Dates=H","DateFormat=P","Fill=—","Direction=H","UseDPDF=Y")</f>
        <v>#NAME?</v>
      </c>
      <c r="BT120" s="1" t="e">
        <f ca="1">_xll.BDH($C$103,"TOTAL_DEBT_SEQUENTIAL_GROWTH","FQ2 2017","FQ2 2017","Currency=INR","Period=FQ","BEST_FPERIOD_OVERRIDE=FQ","FILING_STATUS=OR","EQY_CONSOLIDATED=Y","Sort=A","Dates=H","DateFormat=P","Fill=—","Direction=H","UseDPDF=Y")</f>
        <v>#NAME?</v>
      </c>
      <c r="BU120" s="1" t="e">
        <f ca="1">_xll.BDH($C$103,"TOTAL_EQUITY_SEQUENTIAL_GROWTH","FQ2 2017","FQ2 2017","Currency=INR","Period=FQ","BEST_FPERIOD_OVERRIDE=FQ","FILING_STATUS=OR","EQY_CONSOLIDATED=Y","Sort=A","Dates=H","DateFormat=P","Fill=—","Direction=H","UseDPDF=Y")</f>
        <v>#NAME?</v>
      </c>
      <c r="BV120" s="1" t="e">
        <f ca="1">_xll.BDH($C$103,"TOTAL_CAPITAL_SEQUENTIAL_GROWTH","FQ2 2017","FQ2 2017","Currency=INR","Period=FQ","BEST_FPERIOD_OVERRIDE=FQ","FILING_STATUS=OR","EQY_CONSOLIDATED=Y","Sort=A","Dates=H","DateFormat=P","Fill=—","Direction=H","UseDPDF=Y")</f>
        <v>#NAME?</v>
      </c>
      <c r="BW120" s="1" t="e">
        <f ca="1">_xll.BDH($C$103,"BPS_SEQUENTIAL_GROWTH","FQ2 2017","FQ2 2017","Currency=INR","Period=FQ","BEST_FPERIOD_OVERRIDE=FQ","FILING_STATUS=OR","EQY_CONSOLIDATED=Y","Sort=A","Dates=H","DateFormat=P","Fill=—","Direction=H","UseDPDF=Y")</f>
        <v>#NAME?</v>
      </c>
      <c r="BX120" s="1" t="e">
        <f ca="1">_xll.BDH($C$103,"CFO_SEQUENTIAL_GROWTH","FQ2 2017","FQ2 2017","Currency=INR","Period=FQ","BEST_FPERIOD_OVERRIDE=FQ","FILING_STATUS=OR","EQY_CONSOLIDATED=Y","Sort=A","Dates=H","DateFormat=P","Fill=—","Direction=H","UseDPDF=Y")</f>
        <v>#NAME?</v>
      </c>
      <c r="BY120" s="2" t="e">
        <f ca="1">_xll.BDH($C$103,"SHORT_AND_LONG_TERM_DEBT","FQ2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20" s="2" t="e">
        <f ca="1">_xll.BDH($C$103,"BS_ST_BORROW","FQ2 2017","FQ2 2017","Currency=INR","Period=FQ","BEST_FPERIOD_OVERRIDE=FQ","FILING_STATUS=OR","EQY_CONSOLIDATED=Y","SCALING_FORMAT=MLN","Sort=A","Dates=H","DateFormat=P","Fill=—","Direction=H","UseDPDF=Y")</f>
        <v>#NAME?</v>
      </c>
      <c r="CA120" s="2" t="e">
        <f ca="1">_xll.BDH($C$103,"BS_LT_BORROW","FQ2 2017","FQ2 2017","Currency=INR","Period=FQ","BEST_FPERIOD_OVERRIDE=FQ","FILING_STATUS=OR","EQY_CONSOLIDATED=Y","SCALING_FORMAT=MLN","Sort=A","Dates=H","DateFormat=P","Fill=—","Direction=H","UseDPDF=Y")</f>
        <v>#NAME?</v>
      </c>
      <c r="CB120" s="1" t="e">
        <f ca="1">_xll.BDH($C$103,"TOT_DEBT_TO_EBITDA","FQ2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20" s="1" t="e">
        <f ca="1">_xll.BDH($C$103,"NET_DEBT_TO_EBITDA","FQ2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20" s="1" t="e">
        <f ca="1">_xll.BDH($C$103,"TOTAL_DEBT_TO_EBIT","FQ2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20" s="1" t="e">
        <f ca="1">_xll.BDH($C$103,"NET_DEBT_TO_EBIT","FQ2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120" s="1" t="e">
        <f ca="1">_xll.BDH($C$103,"EBITDA_TO_INTEREST_EXPN","FQ2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20" s="1" t="e">
        <f ca="1">_xll.BDH($C$103,"COM_EQY_TO_TOT_ASSET","FQ2 2017","FQ2 2017","Currency=INR","Period=FQ","BEST_FPERIOD_OVERRIDE=FQ","FILING_STATUS=OR","EQY_CONSOLIDATED=Y","Sort=A","Dates=H","DateFormat=P","Fill=—","Direction=H","UseDPDF=Y")</f>
        <v>#NAME?</v>
      </c>
      <c r="CH120" s="1" t="e">
        <f ca="1">_xll.BDH($C$103,"LT_DEBT_TO_TOT_EQY","FQ2 2017","FQ2 2017","Currency=INR","Period=FQ","BEST_FPERIOD_OVERRIDE=FQ","FILING_STATUS=OR","EQY_CONSOLIDATED=Y","Sort=A","Dates=H","DateFormat=P","Fill=—","Direction=H","UseDPDF=Y")</f>
        <v>#NAME?</v>
      </c>
      <c r="CI120" s="1" t="e">
        <f ca="1">_xll.BDH($C$103,"LT_DEBT_TO_TOT_CAP","FQ2 2017","FQ2 2017","Currency=INR","Period=FQ","BEST_FPERIOD_OVERRIDE=FQ","FILING_STATUS=OR","EQY_CONSOLIDATED=Y","Sort=A","Dates=H","DateFormat=P","Fill=—","Direction=H","UseDPDF=Y")</f>
        <v>#NAME?</v>
      </c>
      <c r="CJ120" s="1" t="e">
        <f ca="1">_xll.BDH($C$103,"LT_DEBT_TO_TOT_ASSET","FQ2 2017","FQ2 2017","Currency=INR","Period=FQ","BEST_FPERIOD_OVERRIDE=FQ","FILING_STATUS=OR","EQY_CONSOLIDATED=Y","Sort=A","Dates=H","DateFormat=P","Fill=—","Direction=H","UseDPDF=Y")</f>
        <v>#NAME?</v>
      </c>
      <c r="CK120" s="1" t="e">
        <f ca="1">_xll.BDH($C$103,"TOT_DEBT_TO_TOT_EQY","FQ2 2017","FQ2 2017","Currency=INR","Period=FQ","BEST_FPERIOD_OVERRIDE=FQ","FILING_STATUS=OR","EQY_CONSOLIDATED=Y","Sort=A","Dates=H","DateFormat=P","Fill=—","Direction=H","UseDPDF=Y")</f>
        <v>#NAME?</v>
      </c>
      <c r="CL120" s="1" t="e">
        <f ca="1">_xll.BDH($C$103,"TOT_DEBT_TO_TOT_CAP","FQ2 2017","FQ2 2017","Currency=INR","Period=FQ","BEST_FPERIOD_OVERRIDE=FQ","FILING_STATUS=OR","EQY_CONSOLIDATED=Y","Sort=A","Dates=H","DateFormat=P","Fill=—","Direction=H","UseDPDF=Y")</f>
        <v>#NAME?</v>
      </c>
      <c r="CM120" s="1" t="e">
        <f ca="1">_xll.BDH($C$103,"TOT_DEBT_TO_TOT_ASSET","FQ2 2017","FQ2 2017","Currency=INR","Period=FQ","BEST_FPERIOD_OVERRIDE=FQ","FILING_STATUS=OR","EQY_CONSOLIDATED=Y","Sort=A","Dates=H","DateFormat=P","Fill=—","Direction=H","UseDPDF=Y")</f>
        <v>#NAME?</v>
      </c>
      <c r="CN120" s="1" t="e">
        <f ca="1">_xll.BDH($C$103,"NET_DEBT_TO_SHRHLDR_EQTY","FQ2 2017","FQ2 2017","Currency=INR","Period=FQ","BEST_FPERIOD_OVERRIDE=FQ","FILING_STATUS=OR","EQY_CONSOLIDATED=Y","Sort=A","Dates=H","DateFormat=P","Fill=—","Direction=H","UseDPDF=Y")</f>
        <v>#NAME?</v>
      </c>
      <c r="CO120" s="1" t="e">
        <f ca="1">_xll.BDH($C$103,"NET_DEBT_%_CAPITAL","FQ2 2017","FQ2 2017","Currency=INR","Period=FQ","BEST_FPERIOD_OVERRIDE=FQ","FILING_STATUS=OR","EQY_CONSOLIDATED=Y","Sort=A","Dates=H","DateFormat=P","Fill=—","Direction=H","UseDPDF=Y")</f>
        <v>#NAME?</v>
      </c>
      <c r="CP120" s="2" t="e">
        <f ca="1">_xll.BDH($C$103,"EBITDA","FQ2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20" s="2" t="e">
        <f ca="1">_xll.BDH($C$103,"EBITDA_AFTER_CAPEX","FQ2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20" s="2" t="e">
        <f ca="1">_xll.BDH($C$103,"IS_OPER_INC","FQ2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20" s="1" t="e">
        <f ca="1">_xll.BDH($C$103,"CASH_RATIO","FQ2 2017","FQ2 2017","Currency=INR","Period=FQ","BEST_FPERIOD_OVERRIDE=FQ","FILING_STATUS=OR","EQY_CONSOLIDATED=Y","Sort=A","Dates=H","DateFormat=P","Fill=—","Direction=H","UseDPDF=Y")</f>
        <v>#NAME?</v>
      </c>
      <c r="CT120" s="1" t="e">
        <f ca="1">_xll.BDH($C$103,"CUR_RATIO","FQ2 2017","FQ2 2017","Currency=INR","Period=FQ","BEST_FPERIOD_OVERRIDE=FQ","FILING_STATUS=OR","EQY_CONSOLIDATED=Y","Sort=A","Dates=H","DateFormat=P","Fill=—","Direction=H","UseDPDF=Y")</f>
        <v>#NAME?</v>
      </c>
      <c r="CU120" s="1" t="e">
        <f ca="1">_xll.BDH($C$103,"QUICK_RATIO","FQ2 2017","FQ2 2017","Currency=INR","Period=FQ","BEST_FPERIOD_OVERRIDE=FQ","FILING_STATUS=OR","EQY_CONSOLIDATED=Y","Sort=A","Dates=H","DateFormat=P","Fill=—","Direction=H","UseDPDF=Y")</f>
        <v>#NAME?</v>
      </c>
      <c r="CV120" s="1" t="e">
        <f ca="1">_xll.BDH($C$103,"ALTMAN_Z_SCORE","FQ2 2017","FQ2 2017","Currency=INR","Period=FQ","BEST_FPERIOD_OVERRIDE=FQ","FILING_STATUS=OR","EQY_CONSOLIDATED=Y","Sort=A","Dates=H","DateFormat=P","Fill=—","Direction=H","UseDPDF=Y")</f>
        <v>#NAME?</v>
      </c>
      <c r="CW120" s="3" t="e">
        <f ca="1">_xll.BDH($C$103,"ACCT_RCV_TURN","FQ2 2017","FQ2 2017","Currency=INR","Period=FQ","BEST_FPERIOD_OVERRIDE=FQ","FILING_STATUS=OR","EQY_CONSOLIDATED=Y","FA_ADJUSTED=GAAP","Sort=A","Dates=H","DateFormat=P","Fill=—","Direction=H","UseDPDF=Y")</f>
        <v>#NAME?</v>
      </c>
      <c r="CX120" s="1" t="e">
        <f ca="1">_xll.BDH($C$103,"ACCT_RCV_DAYS","FQ2 2017","FQ2 2017","Currency=INR","Period=FQ","BEST_FPERIOD_OVERRIDE=FQ","FILING_STATUS=OR","EQY_CONSOLIDATED=Y","FA_ADJUSTED=GAAP","Sort=A","Dates=H","DateFormat=P","Fill=—","Direction=H","UseDPDF=Y")</f>
        <v>#NAME?</v>
      </c>
      <c r="CY120" s="3" t="e">
        <f ca="1">_xll.BDH($C$103,"INVENT_TURN","FQ2 2017","FQ2 2017","Currency=INR","Period=FQ","BEST_FPERIOD_OVERRIDE=FQ","FILING_STATUS=OR","EQY_CONSOLIDATED=Y","FA_ADJUSTED=GAAP","Sort=A","Dates=H","DateFormat=P","Fill=—","Direction=H","UseDPDF=Y")</f>
        <v>#NAME?</v>
      </c>
      <c r="CZ120" s="1" t="e">
        <f ca="1">_xll.BDH($C$103,"INVENT_DAYS","FQ2 2017","FQ2 2017","Currency=INR","Period=FQ","BEST_FPERIOD_OVERRIDE=FQ","FILING_STATUS=OR","EQY_CONSOLIDATED=Y","FA_ADJUSTED=GAAP","Sort=A","Dates=H","DateFormat=P","Fill=—","Direction=H","UseDPDF=Y")</f>
        <v>#NAME?</v>
      </c>
      <c r="DA120" s="3" t="e">
        <f ca="1">_xll.BDH($C$103,"ACCOUNTS_PAYABLE_TURNOVER","FQ2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20" s="1" t="e">
        <f ca="1">_xll.BDH($C$103,"ACCOUNTS_PAYABLE_TURNOVER_DAYS","FQ2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20" s="3" t="e">
        <f ca="1">_xll.BDH($C$103,"CASH_CONVERSION_CYCLE","FQ2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20" s="3" t="e">
        <f ca="1">_xll.BDH($C$103,"INV_TO_CASH_DAYS","FQ2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120" s="4" t="e">
        <f ca="1">_xll.BDH($C$103,"BS_INVENTORIES","FQ2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120" s="2" t="e">
        <f ca="1">_xll.BDH($C$103,"INVTRY_RAW_MATERIALS","FQ2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20" s="2" t="e">
        <f ca="1">_xll.BDH($C$103,"INVTRY_IN_PROGRESS","FQ2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20" s="2" t="e">
        <f ca="1">_xll.BDH($C$103,"INVTRY_FINISHED_GOODS","FQ2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20" s="2" t="e">
        <f ca="1">_xll.BDH($C$103,"BS_OTHER_INV","FQ2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21" spans="1:113" x14ac:dyDescent="0.3">
      <c r="A121" s="6"/>
      <c r="B121" s="6"/>
      <c r="C121" s="6"/>
      <c r="D121" s="6"/>
      <c r="E121" t="s">
        <v>6</v>
      </c>
      <c r="F121" t="e">
        <f ca="1">_xll.BDH($C$103,"RETURN_COM_EQY","FQ3 2017","FQ3 2017","Currency=INR","Period=FQ","BEST_FPERIOD_OVERRIDE=FQ","FILING_STATUS=OR","EQY_CONSOLIDATED=Y","FA_ADJUSTED=GAAP","Sort=A","Dates=H","DateFormat=P","Fill=—","Direction=H","UseDPDF=Y")</f>
        <v>#NAME?</v>
      </c>
      <c r="G121" t="e">
        <f ca="1">_xll.BDH($C$103,"RETURN_ON_ASSET","FQ3 2017","FQ3 2017","Currency=INR","Period=FQ","BEST_FPERIOD_OVERRIDE=FQ","FILING_STATUS=OR","EQY_CONSOLIDATED=Y","FA_ADJUSTED=GAAP","Sort=A","Dates=H","DateFormat=P","Fill=—","Direction=H","UseDPDF=Y")</f>
        <v>#NAME?</v>
      </c>
      <c r="H121" t="e">
        <f ca="1">_xll.BDH($C$103,"RETURN_ON_CAP","FQ3 2017","FQ3 2017","Currency=INR","Period=FQ","BEST_FPERIOD_OVERRIDE=FQ","FILING_STATUS=OR","EQY_CONSOLIDATED=Y","FA_ADJUSTED=GAAP","Sort=A","Dates=H","DateFormat=P","Fill=—","Direction=H","UseDPDF=Y")</f>
        <v>#NAME?</v>
      </c>
      <c r="I121" t="e">
        <f ca="1">_xll.BDH($C$103,"RETURN_ON_INV_CAPITAL","FQ3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21" t="e">
        <f ca="1">_xll.BDH($C$103,"EBITDA_TO_REVENUE","FQ3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121" t="e">
        <f ca="1">_xll.BDH($C$103,"OPER_MARGIN","FQ3 2017","FQ3 2017","Currency=INR","Period=FQ","BEST_FPERIOD_OVERRIDE=FQ","FILING_STATUS=OR","EQY_CONSOLIDATED=Y","FA_ADJUSTED=GAAP","Sort=A","Dates=H","DateFormat=P","Fill=—","Direction=H","UseDPDF=Y")</f>
        <v>#NAME?</v>
      </c>
      <c r="L121" t="e">
        <f ca="1">_xll.BDH($C$103,"INCREMENTAL_OPERATING_MARGIN","FQ3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21" t="e">
        <f ca="1">_xll.BDH($C$103,"PRETAX_INC_TO_NET_SALES","FQ3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21" t="e">
        <f ca="1">_xll.BDH($C$103,"INC_BEF_XO_ITEMS_TO_NET_SALES","FQ3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21" t="e">
        <f ca="1">_xll.BDH($C$103,"PROF_MARGIN","FQ3 2017","FQ3 2017","Currency=INR","Period=FQ","BEST_FPERIOD_OVERRIDE=FQ","FILING_STATUS=OR","EQY_CONSOLIDATED=Y","FA_ADJUSTED=GAAP","Sort=A","Dates=H","DateFormat=P","Fill=—","Direction=H","UseDPDF=Y")</f>
        <v>#NAME?</v>
      </c>
      <c r="P121" t="e">
        <f ca="1">_xll.BDH($C$103,"NET_INCOME_TO_COMMON_MARGIN","FQ3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21" t="e">
        <f ca="1">_xll.BDH($C$103,"EFF_TAX_RATE","FQ3 2017","FQ3 2017","Currency=INR","Period=FQ","BEST_FPERIOD_OVERRIDE=FQ","FILING_STATUS=OR","EQY_CONSOLIDATED=Y","FA_ADJUSTED=GAAP","Sort=A","Dates=H","DateFormat=P","Fill=—","Direction=H","UseDPDF=Y")</f>
        <v>#NAME?</v>
      </c>
      <c r="R121" t="e">
        <f ca="1">_xll.BDH($C$103,"DVD_PAYOUT_RATIO","FQ3 2017","FQ3 2017","Currency=INR","Period=FQ","BEST_FPERIOD_OVERRIDE=FQ","FILING_STATUS=OR","EQY_CONSOLIDATED=Y","FA_ADJUSTED=GAAP","Sort=A","Dates=H","DateFormat=P","Fill=—","Direction=H","UseDPDF=Y")</f>
        <v>#NAME?</v>
      </c>
      <c r="S121" t="e">
        <f ca="1">_xll.BDH($C$103,"SUSTAIN_GROWTH_RT","FQ3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121" s="1" t="e">
        <f ca="1">_xll.BDH($C$103,"SALES_GROWTH","FQ3 2017","FQ3 2017","Currency=INR","Period=FQ","BEST_FPERIOD_OVERRIDE=FQ","FILING_STATUS=OR","EQY_CONSOLIDATED=Y","FA_ADJUSTED=GAAP","Sort=A","Dates=H","DateFormat=P","Fill=—","Direction=H","UseDPDF=Y")</f>
        <v>#NAME?</v>
      </c>
      <c r="U121" s="1" t="e">
        <f ca="1">_xll.BDH($C$103,"EBITDA_GROWTH","FQ3 2017","FQ3 2017","Currency=INR","Period=FQ","BEST_FPERIOD_OVERRIDE=FQ","FILING_STATUS=OR","EQY_CONSOLIDATED=Y","FA_ADJUSTED=GAAP","Sort=A","Dates=H","DateFormat=P","Fill=—","Direction=H","UseDPDF=Y")</f>
        <v>#NAME?</v>
      </c>
      <c r="V121" s="1" t="e">
        <f ca="1">_xll.BDH($C$103,"OPER_INC_GROWTH","FQ3 2017","FQ3 2017","Currency=INR","Period=FQ","BEST_FPERIOD_OVERRIDE=FQ","FILING_STATUS=OR","EQY_CONSOLIDATED=Y","FA_ADJUSTED=GAAP","Sort=A","Dates=H","DateFormat=P","Fill=—","Direction=H","UseDPDF=Y")</f>
        <v>#NAME?</v>
      </c>
      <c r="W121" s="1" t="e">
        <f ca="1">_xll.BDH($C$103,"EARN_FOR_COM_GROWTH","FQ3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21" s="1" t="e">
        <f ca="1">_xll.BDH($C$103,"DILUTED_EPS_AFT_XO_ITEMS_GROWTH","FQ3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21" s="1" t="e">
        <f ca="1">_xll.BDH($C$103,"DIVIDEND_PER_SHARE_1_YEAR_GROWTH","FQ3 2017","FQ3 2017","Currency=INR","Period=FQ","BEST_FPERIOD_OVERRIDE=FQ","FILING_STATUS=OR","EQY_CONSOLIDATED=Y","Sort=A","Dates=H","DateFormat=P","Fill=—","Direction=H","UseDPDF=Y")</f>
        <v>#NAME?</v>
      </c>
      <c r="Z121" s="1" t="e">
        <f ca="1">_xll.BDH($C$103,"ACCOUNTS_RECEIVABLE_GROWTH","FQ3 2017","FQ3 2017","Currency=INR","Period=FQ","BEST_FPERIOD_OVERRIDE=FQ","FILING_STATUS=OR","EQY_CONSOLIDATED=Y","Sort=A","Dates=H","DateFormat=P","Fill=—","Direction=H","UseDPDF=Y")</f>
        <v>#NAME?</v>
      </c>
      <c r="AA121" s="1" t="e">
        <f ca="1">_xll.BDH($C$103,"INVENTORY_GROWTH","FQ3 2017","FQ3 2017","Currency=INR","Period=FQ","BEST_FPERIOD_OVERRIDE=FQ","FILING_STATUS=OR","EQY_CONSOLIDATED=Y","Sort=A","Dates=H","DateFormat=P","Fill=—","Direction=H","UseDPDF=Y")</f>
        <v>#NAME?</v>
      </c>
      <c r="AB121" s="1" t="e">
        <f ca="1">_xll.BDH($C$103,"NET_FIXED_ASSETS_1_YEAR_GROWTH","FQ3 2017","FQ3 2017","Currency=INR","Period=FQ","BEST_FPERIOD_OVERRIDE=FQ","FILING_STATUS=OR","EQY_CONSOLIDATED=Y","Sort=A","Dates=H","DateFormat=P","Fill=—","Direction=H","UseDPDF=Y")</f>
        <v>#NAME?</v>
      </c>
      <c r="AC121" s="1" t="e">
        <f ca="1">_xll.BDH($C$103,"ASSET_GROWTH","FQ3 2017","FQ3 2017","Currency=INR","Period=FQ","BEST_FPERIOD_OVERRIDE=FQ","FILING_STATUS=OR","EQY_CONSOLIDATED=Y","Sort=A","Dates=H","DateFormat=P","Fill=—","Direction=H","UseDPDF=Y")</f>
        <v>#NAME?</v>
      </c>
      <c r="AD121" s="1" t="e">
        <f ca="1">_xll.BDH($C$103,"MODIFIED_WORK_CAP_GROWTH","FQ3 2017","FQ3 2017","Currency=INR","Period=FQ","BEST_FPERIOD_OVERRIDE=FQ","FILING_STATUS=OR","EQY_CONSOLIDATED=Y","Sort=A","Dates=H","DateFormat=P","Fill=—","Direction=H","UseDPDF=Y")</f>
        <v>#NAME?</v>
      </c>
      <c r="AE121" s="1" t="e">
        <f ca="1">_xll.BDH($C$103,"WORK_CAP_GROWTH","FQ3 2017","FQ3 2017","Currency=INR","Period=FQ","BEST_FPERIOD_OVERRIDE=FQ","FILING_STATUS=OR","EQY_CONSOLIDATED=Y","Sort=A","Dates=H","DateFormat=P","Fill=—","Direction=H","UseDPDF=Y")</f>
        <v>#NAME?</v>
      </c>
      <c r="AF121" s="1" t="e">
        <f ca="1">_xll.BDH($C$103,"ACCOUNTS_PAYABLE_GROWTH_1YR","FQ3 2017","FQ3 2017","Currency=INR","Period=FQ","BEST_FPERIOD_OVERRIDE=FQ","FILING_STATUS=OR","EQY_CONSOLIDATED=Y","Sort=A","Dates=H","DateFormat=P","Fill=—","Direction=H","UseDPDF=Y")</f>
        <v>#NAME?</v>
      </c>
      <c r="AG121" s="1" t="e">
        <f ca="1">_xll.BDH($C$103,"SHORT_TERM_DEBT_1_YEAR_GROWTH","FQ3 2017","FQ3 2017","Currency=INR","Period=FQ","BEST_FPERIOD_OVERRIDE=FQ","FILING_STATUS=OR","EQY_CONSOLIDATED=Y","Sort=A","Dates=H","DateFormat=P","Fill=—","Direction=H","UseDPDF=Y")</f>
        <v>#NAME?</v>
      </c>
      <c r="AH121" s="1" t="e">
        <f ca="1">_xll.BDH($C$103,"TOTAL_DEBT_1_YEAR_GROWTH","FQ3 2017","FQ3 2017","Currency=INR","Period=FQ","BEST_FPERIOD_OVERRIDE=FQ","FILING_STATUS=OR","EQY_CONSOLIDATED=Y","Sort=A","Dates=H","DateFormat=P","Fill=—","Direction=H","UseDPDF=Y")</f>
        <v>#NAME?</v>
      </c>
      <c r="AI121" s="1" t="e">
        <f ca="1">_xll.BDH($C$103,"TOTAL_EQUITY_1_YEAR_GROWTH","FQ3 2017","FQ3 2017","Currency=INR","Period=FQ","BEST_FPERIOD_OVERRIDE=FQ","FILING_STATUS=OR","EQY_CONSOLIDATED=Y","Sort=A","Dates=H","DateFormat=P","Fill=—","Direction=H","UseDPDF=Y")</f>
        <v>#NAME?</v>
      </c>
      <c r="AJ121" s="1" t="e">
        <f ca="1">_xll.BDH($C$103,"GROWTH_IN_CAP","FQ3 2017","FQ3 2017","Currency=INR","Period=FQ","BEST_FPERIOD_OVERRIDE=FQ","FILING_STATUS=OR","EQY_CONSOLIDATED=Y","Sort=A","Dates=H","DateFormat=P","Fill=—","Direction=H","UseDPDF=Y")</f>
        <v>#NAME?</v>
      </c>
      <c r="AK121" s="1" t="e">
        <f ca="1">_xll.BDH($C$103,"BVPS_GROWTH","FQ3 2017","FQ3 2017","Currency=INR","Period=FQ","BEST_FPERIOD_OVERRIDE=FQ","FILING_STATUS=OR","EQY_CONSOLIDATED=Y","Sort=A","Dates=H","DateFormat=P","Fill=—","Direction=H","UseDPDF=Y")</f>
        <v>#NAME?</v>
      </c>
      <c r="AL121" s="1" t="e">
        <f ca="1">_xll.BDH($C$103,"CASH_FLOW_GROWTH","FQ3 2017","FQ3 2017","Currency=INR","Period=FQ","BEST_FPERIOD_OVERRIDE=FQ","FILING_STATUS=OR","EQY_CONSOLIDATED=Y","Sort=A","Dates=H","DateFormat=P","Fill=—","Direction=H","UseDPDF=Y")</f>
        <v>#NAME?</v>
      </c>
      <c r="AM121" s="1" t="e">
        <f ca="1">_xll.BDH($C$103,"GEO_GROW_NET_SALES","FQ3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21" s="1" t="e">
        <f ca="1">_xll.BDH($C$103,"GEO_GROW_EBITDA","FQ3 2017","FQ3 2017","Currency=INR","Period=FQ","BEST_FPERIOD_OVERRIDE=FQ","FILING_STATUS=OR","EQY_CONSOLIDATED=Y","FA_ADJUSTED=GAAP","Sort=A","Dates=H","DateFormat=P","Fill=—","Direction=H","UseDPDF=Y")</f>
        <v>#NAME?</v>
      </c>
      <c r="AO121" s="1" t="e">
        <f ca="1">_xll.BDH($C$103,"GEO_GROW_OPER_INC","FQ3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21" s="1" t="e">
        <f ca="1">_xll.BDH($C$103,"NET_INCOME_TO_COMMON_5_YR_GROWTH","FQ3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21" s="1" t="e">
        <f ca="1">_xll.BDH($C$103,"5Y_GEO_GROWTH_DILUTED_EPS","FQ3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21" s="1" t="e">
        <f ca="1">_xll.BDH($C$103,"GEO_GROW_DVD_PER_SH","FQ3 2017","FQ3 2017","Currency=INR","Period=FQ","BEST_FPERIOD_OVERRIDE=FQ","FILING_STATUS=OR","EQY_CONSOLIDATED=Y","Sort=A","Dates=H","DateFormat=P","Fill=—","Direction=H","UseDPDF=Y")</f>
        <v>#NAME?</v>
      </c>
      <c r="AS121" s="1" t="e">
        <f ca="1">_xll.BDH($C$103,"ACCOUNTS_RECEIVABLE_5_YR_GROWTH","FQ3 2017","FQ3 2017","Currency=INR","Period=FQ","BEST_FPERIOD_OVERRIDE=FQ","FILING_STATUS=OR","EQY_CONSOLIDATED=Y","Sort=A","Dates=H","DateFormat=P","Fill=—","Direction=H","UseDPDF=Y")</f>
        <v>#NAME?</v>
      </c>
      <c r="AT121" s="1" t="e">
        <f ca="1">_xll.BDH($C$103,"INVENTORY_5_YEAR_GROWTH","FQ3 2017","FQ3 2017","Currency=INR","Period=FQ","BEST_FPERIOD_OVERRIDE=FQ","FILING_STATUS=OR","EQY_CONSOLIDATED=Y","Sort=A","Dates=H","DateFormat=P","Fill=—","Direction=H","UseDPDF=Y")</f>
        <v>#NAME?</v>
      </c>
      <c r="AU121" s="1" t="e">
        <f ca="1">_xll.BDH($C$103,"NET_FIXED_ASSETS_5_YEAR_GROWTH","FQ3 2017","FQ3 2017","Currency=INR","Period=FQ","BEST_FPERIOD_OVERRIDE=FQ","FILING_STATUS=OR","EQY_CONSOLIDATED=Y","Sort=A","Dates=H","DateFormat=P","Fill=—","Direction=H","UseDPDF=Y")</f>
        <v>#NAME?</v>
      </c>
      <c r="AV121" s="1" t="e">
        <f ca="1">_xll.BDH($C$103,"GEO_GROW_TOT_ASSET","FQ3 2017","FQ3 2017","Currency=INR","Period=FQ","BEST_FPERIOD_OVERRIDE=FQ","FILING_STATUS=OR","EQY_CONSOLIDATED=Y","Sort=A","Dates=H","DateFormat=P","Fill=—","Direction=H","UseDPDF=Y")</f>
        <v>#NAME?</v>
      </c>
      <c r="AW121" s="1" t="e">
        <f ca="1">_xll.BDH($C$103,"MODIFIED_WORKING_CPTL_5YR_GRWTH","FQ3 2017","FQ3 2017","Currency=INR","Period=FQ","BEST_FPERIOD_OVERRIDE=FQ","FILING_STATUS=OR","EQY_CONSOLIDATED=Y","Sort=A","Dates=H","DateFormat=P","Fill=—","Direction=H","UseDPDF=Y")</f>
        <v>#NAME?</v>
      </c>
      <c r="AX121" s="1" t="e">
        <f ca="1">_xll.BDH($C$103,"WORKING_CAPITAL_5_YEAR_GROWTH","FQ3 2017","FQ3 2017","Currency=INR","Period=FQ","BEST_FPERIOD_OVERRIDE=FQ","FILING_STATUS=OR","EQY_CONSOLIDATED=Y","Sort=A","Dates=H","DateFormat=P","Fill=—","Direction=H","UseDPDF=Y")</f>
        <v>#NAME?</v>
      </c>
      <c r="AY121" s="1" t="e">
        <f ca="1">_xll.BDH($C$103,"ACCOUNTS_PAYABLE_5_YEAR_GROWTH","FQ3 2017","FQ3 2017","Currency=INR","Period=FQ","BEST_FPERIOD_OVERRIDE=FQ","FILING_STATUS=OR","EQY_CONSOLIDATED=Y","Sort=A","Dates=H","DateFormat=P","Fill=—","Direction=H","UseDPDF=Y")</f>
        <v>#NAME?</v>
      </c>
      <c r="AZ121" s="1" t="e">
        <f ca="1">_xll.BDH($C$103,"SHORT_TERM_DEBT_5_YEAR_GROWTH","FQ3 2017","FQ3 2017","Currency=INR","Period=FQ","BEST_FPERIOD_OVERRIDE=FQ","FILING_STATUS=OR","EQY_CONSOLIDATED=Y","Sort=A","Dates=H","DateFormat=P","Fill=—","Direction=H","UseDPDF=Y")</f>
        <v>#NAME?</v>
      </c>
      <c r="BA121" s="1" t="e">
        <f ca="1">_xll.BDH($C$103,"TOTAL_DEBT_5_YEAR_GROWTH","FQ3 2017","FQ3 2017","Currency=INR","Period=FQ","BEST_FPERIOD_OVERRIDE=FQ","FILING_STATUS=OR","EQY_CONSOLIDATED=Y","Sort=A","Dates=H","DateFormat=P","Fill=—","Direction=H","UseDPDF=Y")</f>
        <v>#NAME?</v>
      </c>
      <c r="BB121" s="1" t="e">
        <f ca="1">_xll.BDH($C$103,"GEO_GROW_TOT_SHRHLDR_EQY","FQ3 2017","FQ3 2017","Currency=INR","Period=FQ","BEST_FPERIOD_OVERRIDE=FQ","FILING_STATUS=OR","EQY_CONSOLIDATED=Y","Sort=A","Dates=H","DateFormat=P","Fill=—","Direction=H","UseDPDF=Y")</f>
        <v>#NAME?</v>
      </c>
      <c r="BC121" s="1" t="e">
        <f ca="1">_xll.BDH($C$103,"TOTAL_CAPITAL_5_YEAR_GROWTH","FQ3 2017","FQ3 2017","Currency=INR","Period=FQ","BEST_FPERIOD_OVERRIDE=FQ","FILING_STATUS=OR","EQY_CONSOLIDATED=Y","Sort=A","Dates=H","DateFormat=P","Fill=—","Direction=H","UseDPDF=Y")</f>
        <v>#NAME?</v>
      </c>
      <c r="BD121" s="1" t="e">
        <f ca="1">_xll.BDH($C$103,"GEO_GROW_BOOK_VAL","FQ3 2017","FQ3 2017","Currency=INR","Period=FQ","BEST_FPERIOD_OVERRIDE=FQ","FILING_STATUS=OR","EQY_CONSOLIDATED=Y","Sort=A","Dates=H","DateFormat=P","Fill=—","Direction=H","UseDPDF=Y")</f>
        <v>#NAME?</v>
      </c>
      <c r="BE121" s="1" t="e">
        <f ca="1">_xll.BDH($C$103,"GEO_GROW_CASH_OPER_ACT","FQ3 2017","FQ3 2017","Currency=INR","Period=FQ","BEST_FPERIOD_OVERRIDE=FQ","FILING_STATUS=OR","EQY_CONSOLIDATED=Y","Sort=A","Dates=H","DateFormat=P","Fill=—","Direction=H","UseDPDF=Y")</f>
        <v>#NAME?</v>
      </c>
      <c r="BF121" s="1" t="e">
        <f ca="1">_xll.BDH($C$103,"REVENUE_SEQUENTIAL_GROWTH","FQ3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21" s="1" t="e">
        <f ca="1">_xll.BDH($C$103,"EBITDA_SEQUENTIAL_GROWTH","FQ3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21" s="1" t="e">
        <f ca="1">_xll.BDH($C$103,"OPERATING_INCOME_SEQ_GROWTH","FQ3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21" s="1" t="e">
        <f ca="1">_xll.BDH($C$103,"NET_INCOME_TO_COMMON_SEQ_GROWTH","FQ3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21" s="1" t="e">
        <f ca="1">_xll.BDH($C$103,"EPS_DILUTED_SEQUENTIAL_GROWTH","FQ3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21" s="1" t="e">
        <f ca="1">_xll.BDH($C$103,"DPS_SEQUENTIAL_GROWTH","FQ3 2017","FQ3 2017","Currency=INR","Period=FQ","BEST_FPERIOD_OVERRIDE=FQ","FILING_STATUS=OR","EQY_CONSOLIDATED=Y","Sort=A","Dates=H","DateFormat=P","Fill=—","Direction=H","UseDPDF=Y")</f>
        <v>#NAME?</v>
      </c>
      <c r="BL121" s="1" t="e">
        <f ca="1">_xll.BDH($C$103,"ACCOUNTS_RECEIVABLE_SEQ_GROWTH","FQ3 2017","FQ3 2017","Currency=INR","Period=FQ","BEST_FPERIOD_OVERRIDE=FQ","FILING_STATUS=OR","EQY_CONSOLIDATED=Y","Sort=A","Dates=H","DateFormat=P","Fill=—","Direction=H","UseDPDF=Y")</f>
        <v>#NAME?</v>
      </c>
      <c r="BM121" s="1" t="e">
        <f ca="1">_xll.BDH($C$103,"INVENTORY_SEQUENTIAL_GROWTH","FQ3 2017","FQ3 2017","Currency=INR","Period=FQ","BEST_FPERIOD_OVERRIDE=FQ","FILING_STATUS=OR","EQY_CONSOLIDATED=Y","Sort=A","Dates=H","DateFormat=P","Fill=—","Direction=H","UseDPDF=Y")</f>
        <v>#NAME?</v>
      </c>
      <c r="BN121" s="1" t="e">
        <f ca="1">_xll.BDH($C$103,"FIXED_ASSETS_SEQUENTIAL_GROWTH","FQ3 2017","FQ3 2017","Currency=INR","Period=FQ","BEST_FPERIOD_OVERRIDE=FQ","FILING_STATUS=OR","EQY_CONSOLIDATED=Y","Sort=A","Dates=H","DateFormat=P","Fill=—","Direction=H","UseDPDF=Y")</f>
        <v>#NAME?</v>
      </c>
      <c r="BO121" s="1" t="e">
        <f ca="1">_xll.BDH($C$103,"TOTAL_ASSETS_SEQUENTIAL_GROWTH","FQ3 2017","FQ3 2017","Currency=INR","Period=FQ","BEST_FPERIOD_OVERRIDE=FQ","FILING_STATUS=OR","EQY_CONSOLIDATED=Y","Sort=A","Dates=H","DateFormat=P","Fill=—","Direction=H","UseDPDF=Y")</f>
        <v>#NAME?</v>
      </c>
      <c r="BP121" s="1" t="e">
        <f ca="1">_xll.BDH($C$103,"MODIFIED_WORKING_CPTL_SEQ_GRWTH","FQ3 2017","FQ3 2017","Currency=INR","Period=FQ","BEST_FPERIOD_OVERRIDE=FQ","FILING_STATUS=OR","EQY_CONSOLIDATED=Y","Sort=A","Dates=H","DateFormat=P","Fill=—","Direction=H","UseDPDF=Y")</f>
        <v>#NAME?</v>
      </c>
      <c r="BQ121" s="1" t="e">
        <f ca="1">_xll.BDH($C$103,"WORKING_CAPITAL_SEQ_GROWTH","FQ3 2017","FQ3 2017","Currency=INR","Period=FQ","BEST_FPERIOD_OVERRIDE=FQ","FILING_STATUS=OR","EQY_CONSOLIDATED=Y","Sort=A","Dates=H","DateFormat=P","Fill=—","Direction=H","UseDPDF=Y")</f>
        <v>#NAME?</v>
      </c>
      <c r="BR121" s="1" t="e">
        <f ca="1">_xll.BDH($C$103,"ACCOUNTS_PAYABLE_SEQ_GROWTH","FQ3 2017","FQ3 2017","Currency=INR","Period=FQ","BEST_FPERIOD_OVERRIDE=FQ","FILING_STATUS=OR","EQY_CONSOLIDATED=Y","Sort=A","Dates=H","DateFormat=P","Fill=—","Direction=H","UseDPDF=Y")</f>
        <v>#NAME?</v>
      </c>
      <c r="BS121" s="1" t="e">
        <f ca="1">_xll.BDH($C$103,"ST_DEBT_SEQUENTIAL_GROWTH","FQ3 2017","FQ3 2017","Currency=INR","Period=FQ","BEST_FPERIOD_OVERRIDE=FQ","FILING_STATUS=OR","EQY_CONSOLIDATED=Y","Sort=A","Dates=H","DateFormat=P","Fill=—","Direction=H","UseDPDF=Y")</f>
        <v>#NAME?</v>
      </c>
      <c r="BT121" s="1" t="e">
        <f ca="1">_xll.BDH($C$103,"TOTAL_DEBT_SEQUENTIAL_GROWTH","FQ3 2017","FQ3 2017","Currency=INR","Period=FQ","BEST_FPERIOD_OVERRIDE=FQ","FILING_STATUS=OR","EQY_CONSOLIDATED=Y","Sort=A","Dates=H","DateFormat=P","Fill=—","Direction=H","UseDPDF=Y")</f>
        <v>#NAME?</v>
      </c>
      <c r="BU121" s="1" t="e">
        <f ca="1">_xll.BDH($C$103,"TOTAL_EQUITY_SEQUENTIAL_GROWTH","FQ3 2017","FQ3 2017","Currency=INR","Period=FQ","BEST_FPERIOD_OVERRIDE=FQ","FILING_STATUS=OR","EQY_CONSOLIDATED=Y","Sort=A","Dates=H","DateFormat=P","Fill=—","Direction=H","UseDPDF=Y")</f>
        <v>#NAME?</v>
      </c>
      <c r="BV121" s="1" t="e">
        <f ca="1">_xll.BDH($C$103,"TOTAL_CAPITAL_SEQUENTIAL_GROWTH","FQ3 2017","FQ3 2017","Currency=INR","Period=FQ","BEST_FPERIOD_OVERRIDE=FQ","FILING_STATUS=OR","EQY_CONSOLIDATED=Y","Sort=A","Dates=H","DateFormat=P","Fill=—","Direction=H","UseDPDF=Y")</f>
        <v>#NAME?</v>
      </c>
      <c r="BW121" s="1" t="e">
        <f ca="1">_xll.BDH($C$103,"BPS_SEQUENTIAL_GROWTH","FQ3 2017","FQ3 2017","Currency=INR","Period=FQ","BEST_FPERIOD_OVERRIDE=FQ","FILING_STATUS=OR","EQY_CONSOLIDATED=Y","Sort=A","Dates=H","DateFormat=P","Fill=—","Direction=H","UseDPDF=Y")</f>
        <v>#NAME?</v>
      </c>
      <c r="BX121" s="1" t="e">
        <f ca="1">_xll.BDH($C$103,"CFO_SEQUENTIAL_GROWTH","FQ3 2017","FQ3 2017","Currency=INR","Period=FQ","BEST_FPERIOD_OVERRIDE=FQ","FILING_STATUS=OR","EQY_CONSOLIDATED=Y","Sort=A","Dates=H","DateFormat=P","Fill=—","Direction=H","UseDPDF=Y")</f>
        <v>#NAME?</v>
      </c>
      <c r="BY121" s="2" t="e">
        <f ca="1">_xll.BDH($C$103,"SHORT_AND_LONG_TERM_DEBT","FQ3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21" s="2" t="e">
        <f ca="1">_xll.BDH($C$103,"BS_ST_BORROW","FQ3 2017","FQ3 2017","Currency=INR","Period=FQ","BEST_FPERIOD_OVERRIDE=FQ","FILING_STATUS=OR","EQY_CONSOLIDATED=Y","SCALING_FORMAT=MLN","Sort=A","Dates=H","DateFormat=P","Fill=—","Direction=H","UseDPDF=Y")</f>
        <v>#NAME?</v>
      </c>
      <c r="CA121" s="2" t="e">
        <f ca="1">_xll.BDH($C$103,"BS_LT_BORROW","FQ3 2017","FQ3 2017","Currency=INR","Period=FQ","BEST_FPERIOD_OVERRIDE=FQ","FILING_STATUS=OR","EQY_CONSOLIDATED=Y","SCALING_FORMAT=MLN","Sort=A","Dates=H","DateFormat=P","Fill=—","Direction=H","UseDPDF=Y")</f>
        <v>#NAME?</v>
      </c>
      <c r="CB121" s="1" t="e">
        <f ca="1">_xll.BDH($C$103,"TOT_DEBT_TO_EBITDA","FQ3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21" s="1" t="e">
        <f ca="1">_xll.BDH($C$103,"NET_DEBT_TO_EBITDA","FQ3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21" s="1" t="e">
        <f ca="1">_xll.BDH($C$103,"TOTAL_DEBT_TO_EBIT","FQ3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21" s="1" t="e">
        <f ca="1">_xll.BDH($C$103,"NET_DEBT_TO_EBIT","FQ3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121" s="1" t="e">
        <f ca="1">_xll.BDH($C$103,"EBITDA_TO_INTEREST_EXPN","FQ3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21" s="1" t="e">
        <f ca="1">_xll.BDH($C$103,"COM_EQY_TO_TOT_ASSET","FQ3 2017","FQ3 2017","Currency=INR","Period=FQ","BEST_FPERIOD_OVERRIDE=FQ","FILING_STATUS=OR","EQY_CONSOLIDATED=Y","Sort=A","Dates=H","DateFormat=P","Fill=—","Direction=H","UseDPDF=Y")</f>
        <v>#NAME?</v>
      </c>
      <c r="CH121" s="1" t="e">
        <f ca="1">_xll.BDH($C$103,"LT_DEBT_TO_TOT_EQY","FQ3 2017","FQ3 2017","Currency=INR","Period=FQ","BEST_FPERIOD_OVERRIDE=FQ","FILING_STATUS=OR","EQY_CONSOLIDATED=Y","Sort=A","Dates=H","DateFormat=P","Fill=—","Direction=H","UseDPDF=Y")</f>
        <v>#NAME?</v>
      </c>
      <c r="CI121" s="1" t="e">
        <f ca="1">_xll.BDH($C$103,"LT_DEBT_TO_TOT_CAP","FQ3 2017","FQ3 2017","Currency=INR","Period=FQ","BEST_FPERIOD_OVERRIDE=FQ","FILING_STATUS=OR","EQY_CONSOLIDATED=Y","Sort=A","Dates=H","DateFormat=P","Fill=—","Direction=H","UseDPDF=Y")</f>
        <v>#NAME?</v>
      </c>
      <c r="CJ121" s="1" t="e">
        <f ca="1">_xll.BDH($C$103,"LT_DEBT_TO_TOT_ASSET","FQ3 2017","FQ3 2017","Currency=INR","Period=FQ","BEST_FPERIOD_OVERRIDE=FQ","FILING_STATUS=OR","EQY_CONSOLIDATED=Y","Sort=A","Dates=H","DateFormat=P","Fill=—","Direction=H","UseDPDF=Y")</f>
        <v>#NAME?</v>
      </c>
      <c r="CK121" s="1" t="e">
        <f ca="1">_xll.BDH($C$103,"TOT_DEBT_TO_TOT_EQY","FQ3 2017","FQ3 2017","Currency=INR","Period=FQ","BEST_FPERIOD_OVERRIDE=FQ","FILING_STATUS=OR","EQY_CONSOLIDATED=Y","Sort=A","Dates=H","DateFormat=P","Fill=—","Direction=H","UseDPDF=Y")</f>
        <v>#NAME?</v>
      </c>
      <c r="CL121" s="1" t="e">
        <f ca="1">_xll.BDH($C$103,"TOT_DEBT_TO_TOT_CAP","FQ3 2017","FQ3 2017","Currency=INR","Period=FQ","BEST_FPERIOD_OVERRIDE=FQ","FILING_STATUS=OR","EQY_CONSOLIDATED=Y","Sort=A","Dates=H","DateFormat=P","Fill=—","Direction=H","UseDPDF=Y")</f>
        <v>#NAME?</v>
      </c>
      <c r="CM121" s="1" t="e">
        <f ca="1">_xll.BDH($C$103,"TOT_DEBT_TO_TOT_ASSET","FQ3 2017","FQ3 2017","Currency=INR","Period=FQ","BEST_FPERIOD_OVERRIDE=FQ","FILING_STATUS=OR","EQY_CONSOLIDATED=Y","Sort=A","Dates=H","DateFormat=P","Fill=—","Direction=H","UseDPDF=Y")</f>
        <v>#NAME?</v>
      </c>
      <c r="CN121" s="1" t="e">
        <f ca="1">_xll.BDH($C$103,"NET_DEBT_TO_SHRHLDR_EQTY","FQ3 2017","FQ3 2017","Currency=INR","Period=FQ","BEST_FPERIOD_OVERRIDE=FQ","FILING_STATUS=OR","EQY_CONSOLIDATED=Y","Sort=A","Dates=H","DateFormat=P","Fill=—","Direction=H","UseDPDF=Y")</f>
        <v>#NAME?</v>
      </c>
      <c r="CO121" s="1" t="e">
        <f ca="1">_xll.BDH($C$103,"NET_DEBT_%_CAPITAL","FQ3 2017","FQ3 2017","Currency=INR","Period=FQ","BEST_FPERIOD_OVERRIDE=FQ","FILING_STATUS=OR","EQY_CONSOLIDATED=Y","Sort=A","Dates=H","DateFormat=P","Fill=—","Direction=H","UseDPDF=Y")</f>
        <v>#NAME?</v>
      </c>
      <c r="CP121" s="2" t="e">
        <f ca="1">_xll.BDH($C$103,"EBITDA","FQ3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21" s="2" t="e">
        <f ca="1">_xll.BDH($C$103,"EBITDA_AFTER_CAPEX","FQ3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21" s="2" t="e">
        <f ca="1">_xll.BDH($C$103,"IS_OPER_INC","FQ3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21" s="1" t="e">
        <f ca="1">_xll.BDH($C$103,"CASH_RATIO","FQ3 2017","FQ3 2017","Currency=INR","Period=FQ","BEST_FPERIOD_OVERRIDE=FQ","FILING_STATUS=OR","EQY_CONSOLIDATED=Y","Sort=A","Dates=H","DateFormat=P","Fill=—","Direction=H","UseDPDF=Y")</f>
        <v>#NAME?</v>
      </c>
      <c r="CT121" s="1" t="e">
        <f ca="1">_xll.BDH($C$103,"CUR_RATIO","FQ3 2017","FQ3 2017","Currency=INR","Period=FQ","BEST_FPERIOD_OVERRIDE=FQ","FILING_STATUS=OR","EQY_CONSOLIDATED=Y","Sort=A","Dates=H","DateFormat=P","Fill=—","Direction=H","UseDPDF=Y")</f>
        <v>#NAME?</v>
      </c>
      <c r="CU121" s="1" t="e">
        <f ca="1">_xll.BDH($C$103,"QUICK_RATIO","FQ3 2017","FQ3 2017","Currency=INR","Period=FQ","BEST_FPERIOD_OVERRIDE=FQ","FILING_STATUS=OR","EQY_CONSOLIDATED=Y","Sort=A","Dates=H","DateFormat=P","Fill=—","Direction=H","UseDPDF=Y")</f>
        <v>#NAME?</v>
      </c>
      <c r="CV121" s="1" t="e">
        <f ca="1">_xll.BDH($C$103,"ALTMAN_Z_SCORE","FQ3 2017","FQ3 2017","Currency=INR","Period=FQ","BEST_FPERIOD_OVERRIDE=FQ","FILING_STATUS=OR","EQY_CONSOLIDATED=Y","Sort=A","Dates=H","DateFormat=P","Fill=—","Direction=H","UseDPDF=Y")</f>
        <v>#NAME?</v>
      </c>
      <c r="CW121" s="3" t="e">
        <f ca="1">_xll.BDH($C$103,"ACCT_RCV_TURN","FQ3 2017","FQ3 2017","Currency=INR","Period=FQ","BEST_FPERIOD_OVERRIDE=FQ","FILING_STATUS=OR","EQY_CONSOLIDATED=Y","FA_ADJUSTED=GAAP","Sort=A","Dates=H","DateFormat=P","Fill=—","Direction=H","UseDPDF=Y")</f>
        <v>#NAME?</v>
      </c>
      <c r="CX121" s="1" t="e">
        <f ca="1">_xll.BDH($C$103,"ACCT_RCV_DAYS","FQ3 2017","FQ3 2017","Currency=INR","Period=FQ","BEST_FPERIOD_OVERRIDE=FQ","FILING_STATUS=OR","EQY_CONSOLIDATED=Y","FA_ADJUSTED=GAAP","Sort=A","Dates=H","DateFormat=P","Fill=—","Direction=H","UseDPDF=Y")</f>
        <v>#NAME?</v>
      </c>
      <c r="CY121" s="3" t="e">
        <f ca="1">_xll.BDH($C$103,"INVENT_TURN","FQ3 2017","FQ3 2017","Currency=INR","Period=FQ","BEST_FPERIOD_OVERRIDE=FQ","FILING_STATUS=OR","EQY_CONSOLIDATED=Y","FA_ADJUSTED=GAAP","Sort=A","Dates=H","DateFormat=P","Fill=—","Direction=H","UseDPDF=Y")</f>
        <v>#NAME?</v>
      </c>
      <c r="CZ121" s="1" t="e">
        <f ca="1">_xll.BDH($C$103,"INVENT_DAYS","FQ3 2017","FQ3 2017","Currency=INR","Period=FQ","BEST_FPERIOD_OVERRIDE=FQ","FILING_STATUS=OR","EQY_CONSOLIDATED=Y","FA_ADJUSTED=GAAP","Sort=A","Dates=H","DateFormat=P","Fill=—","Direction=H","UseDPDF=Y")</f>
        <v>#NAME?</v>
      </c>
      <c r="DA121" s="3" t="e">
        <f ca="1">_xll.BDH($C$103,"ACCOUNTS_PAYABLE_TURNOVER","FQ3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21" s="1" t="e">
        <f ca="1">_xll.BDH($C$103,"ACCOUNTS_PAYABLE_TURNOVER_DAYS","FQ3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21" s="3" t="e">
        <f ca="1">_xll.BDH($C$103,"CASH_CONVERSION_CYCLE","FQ3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21" s="3" t="e">
        <f ca="1">_xll.BDH($C$103,"INV_TO_CASH_DAYS","FQ3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121" s="4" t="e">
        <f ca="1">_xll.BDH($C$103,"BS_INVENTORIES","FQ3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121" s="2" t="e">
        <f ca="1">_xll.BDH($C$103,"INVTRY_RAW_MATERIALS","FQ3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21" s="2" t="e">
        <f ca="1">_xll.BDH($C$103,"INVTRY_IN_PROGRESS","FQ3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21" s="2" t="e">
        <f ca="1">_xll.BDH($C$103,"INVTRY_FINISHED_GOODS","FQ3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21" s="2" t="e">
        <f ca="1">_xll.BDH($C$103,"BS_OTHER_INV","FQ3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22" spans="1:113" x14ac:dyDescent="0.3">
      <c r="A122" s="6"/>
      <c r="B122" s="6"/>
      <c r="C122" s="6"/>
      <c r="D122" s="6"/>
      <c r="E122" t="s">
        <v>7</v>
      </c>
      <c r="F122" t="e">
        <f ca="1">_xll.BDH($C$103,"RETURN_COM_EQY","FQ4 2017","FQ4 2017","Currency=INR","Period=FQ","BEST_FPERIOD_OVERRIDE=FQ","FILING_STATUS=OR","EQY_CONSOLIDATED=Y","FA_ADJUSTED=GAAP","Sort=A","Dates=H","DateFormat=P","Fill=—","Direction=H","UseDPDF=Y")</f>
        <v>#NAME?</v>
      </c>
      <c r="G122" t="e">
        <f ca="1">_xll.BDH($C$103,"RETURN_ON_ASSET","FQ4 2017","FQ4 2017","Currency=INR","Period=FQ","BEST_FPERIOD_OVERRIDE=FQ","FILING_STATUS=OR","EQY_CONSOLIDATED=Y","FA_ADJUSTED=GAAP","Sort=A","Dates=H","DateFormat=P","Fill=—","Direction=H","UseDPDF=Y")</f>
        <v>#NAME?</v>
      </c>
      <c r="H122" t="e">
        <f ca="1">_xll.BDH($C$103,"RETURN_ON_CAP","FQ4 2017","FQ4 2017","Currency=INR","Period=FQ","BEST_FPERIOD_OVERRIDE=FQ","FILING_STATUS=OR","EQY_CONSOLIDATED=Y","FA_ADJUSTED=GAAP","Sort=A","Dates=H","DateFormat=P","Fill=—","Direction=H","UseDPDF=Y")</f>
        <v>#NAME?</v>
      </c>
      <c r="I122" t="e">
        <f ca="1">_xll.BDH($C$103,"RETURN_ON_INV_CAPITAL","FQ4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22" t="e">
        <f ca="1">_xll.BDH($C$103,"EBITDA_TO_REVENUE","FQ4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122" t="e">
        <f ca="1">_xll.BDH($C$103,"OPER_MARGIN","FQ4 2017","FQ4 2017","Currency=INR","Period=FQ","BEST_FPERIOD_OVERRIDE=FQ","FILING_STATUS=OR","EQY_CONSOLIDATED=Y","FA_ADJUSTED=GAAP","Sort=A","Dates=H","DateFormat=P","Fill=—","Direction=H","UseDPDF=Y")</f>
        <v>#NAME?</v>
      </c>
      <c r="L122" t="e">
        <f ca="1">_xll.BDH($C$103,"INCREMENTAL_OPERATING_MARGIN","FQ4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22" t="e">
        <f ca="1">_xll.BDH($C$103,"PRETAX_INC_TO_NET_SALES","FQ4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22" t="e">
        <f ca="1">_xll.BDH($C$103,"INC_BEF_XO_ITEMS_TO_NET_SALES","FQ4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22" t="e">
        <f ca="1">_xll.BDH($C$103,"PROF_MARGIN","FQ4 2017","FQ4 2017","Currency=INR","Period=FQ","BEST_FPERIOD_OVERRIDE=FQ","FILING_STATUS=OR","EQY_CONSOLIDATED=Y","FA_ADJUSTED=GAAP","Sort=A","Dates=H","DateFormat=P","Fill=—","Direction=H","UseDPDF=Y")</f>
        <v>#NAME?</v>
      </c>
      <c r="P122" t="e">
        <f ca="1">_xll.BDH($C$103,"NET_INCOME_TO_COMMON_MARGIN","FQ4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22" t="e">
        <f ca="1">_xll.BDH($C$103,"EFF_TAX_RATE","FQ4 2017","FQ4 2017","Currency=INR","Period=FQ","BEST_FPERIOD_OVERRIDE=FQ","FILING_STATUS=OR","EQY_CONSOLIDATED=Y","FA_ADJUSTED=GAAP","Sort=A","Dates=H","DateFormat=P","Fill=—","Direction=H","UseDPDF=Y")</f>
        <v>#NAME?</v>
      </c>
      <c r="R122" t="e">
        <f ca="1">_xll.BDH($C$103,"DVD_PAYOUT_RATIO","FQ4 2017","FQ4 2017","Currency=INR","Period=FQ","BEST_FPERIOD_OVERRIDE=FQ","FILING_STATUS=OR","EQY_CONSOLIDATED=Y","FA_ADJUSTED=GAAP","Sort=A","Dates=H","DateFormat=P","Fill=—","Direction=H","UseDPDF=Y")</f>
        <v>#NAME?</v>
      </c>
      <c r="S122" t="e">
        <f ca="1">_xll.BDH($C$103,"SUSTAIN_GROWTH_RT","FQ4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122" s="1" t="e">
        <f ca="1">_xll.BDH($C$103,"SALES_GROWTH","FQ4 2017","FQ4 2017","Currency=INR","Period=FQ","BEST_FPERIOD_OVERRIDE=FQ","FILING_STATUS=OR","EQY_CONSOLIDATED=Y","FA_ADJUSTED=GAAP","Sort=A","Dates=H","DateFormat=P","Fill=—","Direction=H","UseDPDF=Y")</f>
        <v>#NAME?</v>
      </c>
      <c r="U122" s="1" t="e">
        <f ca="1">_xll.BDH($C$103,"EBITDA_GROWTH","FQ4 2017","FQ4 2017","Currency=INR","Period=FQ","BEST_FPERIOD_OVERRIDE=FQ","FILING_STATUS=OR","EQY_CONSOLIDATED=Y","FA_ADJUSTED=GAAP","Sort=A","Dates=H","DateFormat=P","Fill=—","Direction=H","UseDPDF=Y")</f>
        <v>#NAME?</v>
      </c>
      <c r="V122" s="1" t="e">
        <f ca="1">_xll.BDH($C$103,"OPER_INC_GROWTH","FQ4 2017","FQ4 2017","Currency=INR","Period=FQ","BEST_FPERIOD_OVERRIDE=FQ","FILING_STATUS=OR","EQY_CONSOLIDATED=Y","FA_ADJUSTED=GAAP","Sort=A","Dates=H","DateFormat=P","Fill=—","Direction=H","UseDPDF=Y")</f>
        <v>#NAME?</v>
      </c>
      <c r="W122" s="1" t="e">
        <f ca="1">_xll.BDH($C$103,"EARN_FOR_COM_GROWTH","FQ4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22" s="1" t="e">
        <f ca="1">_xll.BDH($C$103,"DILUTED_EPS_AFT_XO_ITEMS_GROWTH","FQ4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22" s="1" t="e">
        <f ca="1">_xll.BDH($C$103,"DIVIDEND_PER_SHARE_1_YEAR_GROWTH","FQ4 2017","FQ4 2017","Currency=INR","Period=FQ","BEST_FPERIOD_OVERRIDE=FQ","FILING_STATUS=OR","EQY_CONSOLIDATED=Y","Sort=A","Dates=H","DateFormat=P","Fill=—","Direction=H","UseDPDF=Y")</f>
        <v>#NAME?</v>
      </c>
      <c r="Z122" s="1" t="e">
        <f ca="1">_xll.BDH($C$103,"ACCOUNTS_RECEIVABLE_GROWTH","FQ4 2017","FQ4 2017","Currency=INR","Period=FQ","BEST_FPERIOD_OVERRIDE=FQ","FILING_STATUS=OR","EQY_CONSOLIDATED=Y","Sort=A","Dates=H","DateFormat=P","Fill=—","Direction=H","UseDPDF=Y")</f>
        <v>#NAME?</v>
      </c>
      <c r="AA122" s="1" t="e">
        <f ca="1">_xll.BDH($C$103,"INVENTORY_GROWTH","FQ4 2017","FQ4 2017","Currency=INR","Period=FQ","BEST_FPERIOD_OVERRIDE=FQ","FILING_STATUS=OR","EQY_CONSOLIDATED=Y","Sort=A","Dates=H","DateFormat=P","Fill=—","Direction=H","UseDPDF=Y")</f>
        <v>#NAME?</v>
      </c>
      <c r="AB122" s="1" t="e">
        <f ca="1">_xll.BDH($C$103,"NET_FIXED_ASSETS_1_YEAR_GROWTH","FQ4 2017","FQ4 2017","Currency=INR","Period=FQ","BEST_FPERIOD_OVERRIDE=FQ","FILING_STATUS=OR","EQY_CONSOLIDATED=Y","Sort=A","Dates=H","DateFormat=P","Fill=—","Direction=H","UseDPDF=Y")</f>
        <v>#NAME?</v>
      </c>
      <c r="AC122" s="1" t="e">
        <f ca="1">_xll.BDH($C$103,"ASSET_GROWTH","FQ4 2017","FQ4 2017","Currency=INR","Period=FQ","BEST_FPERIOD_OVERRIDE=FQ","FILING_STATUS=OR","EQY_CONSOLIDATED=Y","Sort=A","Dates=H","DateFormat=P","Fill=—","Direction=H","UseDPDF=Y")</f>
        <v>#NAME?</v>
      </c>
      <c r="AD122" s="1" t="e">
        <f ca="1">_xll.BDH($C$103,"MODIFIED_WORK_CAP_GROWTH","FQ4 2017","FQ4 2017","Currency=INR","Period=FQ","BEST_FPERIOD_OVERRIDE=FQ","FILING_STATUS=OR","EQY_CONSOLIDATED=Y","Sort=A","Dates=H","DateFormat=P","Fill=—","Direction=H","UseDPDF=Y")</f>
        <v>#NAME?</v>
      </c>
      <c r="AE122" s="1" t="e">
        <f ca="1">_xll.BDH($C$103,"WORK_CAP_GROWTH","FQ4 2017","FQ4 2017","Currency=INR","Period=FQ","BEST_FPERIOD_OVERRIDE=FQ","FILING_STATUS=OR","EQY_CONSOLIDATED=Y","Sort=A","Dates=H","DateFormat=P","Fill=—","Direction=H","UseDPDF=Y")</f>
        <v>#NAME?</v>
      </c>
      <c r="AF122" s="1" t="e">
        <f ca="1">_xll.BDH($C$103,"ACCOUNTS_PAYABLE_GROWTH_1YR","FQ4 2017","FQ4 2017","Currency=INR","Period=FQ","BEST_FPERIOD_OVERRIDE=FQ","FILING_STATUS=OR","EQY_CONSOLIDATED=Y","Sort=A","Dates=H","DateFormat=P","Fill=—","Direction=H","UseDPDF=Y")</f>
        <v>#NAME?</v>
      </c>
      <c r="AG122" s="1" t="e">
        <f ca="1">_xll.BDH($C$103,"SHORT_TERM_DEBT_1_YEAR_GROWTH","FQ4 2017","FQ4 2017","Currency=INR","Period=FQ","BEST_FPERIOD_OVERRIDE=FQ","FILING_STATUS=OR","EQY_CONSOLIDATED=Y","Sort=A","Dates=H","DateFormat=P","Fill=—","Direction=H","UseDPDF=Y")</f>
        <v>#NAME?</v>
      </c>
      <c r="AH122" s="1" t="e">
        <f ca="1">_xll.BDH($C$103,"TOTAL_DEBT_1_YEAR_GROWTH","FQ4 2017","FQ4 2017","Currency=INR","Period=FQ","BEST_FPERIOD_OVERRIDE=FQ","FILING_STATUS=OR","EQY_CONSOLIDATED=Y","Sort=A","Dates=H","DateFormat=P","Fill=—","Direction=H","UseDPDF=Y")</f>
        <v>#NAME?</v>
      </c>
      <c r="AI122" s="1" t="e">
        <f ca="1">_xll.BDH($C$103,"TOTAL_EQUITY_1_YEAR_GROWTH","FQ4 2017","FQ4 2017","Currency=INR","Period=FQ","BEST_FPERIOD_OVERRIDE=FQ","FILING_STATUS=OR","EQY_CONSOLIDATED=Y","Sort=A","Dates=H","DateFormat=P","Fill=—","Direction=H","UseDPDF=Y")</f>
        <v>#NAME?</v>
      </c>
      <c r="AJ122" s="1" t="e">
        <f ca="1">_xll.BDH($C$103,"GROWTH_IN_CAP","FQ4 2017","FQ4 2017","Currency=INR","Period=FQ","BEST_FPERIOD_OVERRIDE=FQ","FILING_STATUS=OR","EQY_CONSOLIDATED=Y","Sort=A","Dates=H","DateFormat=P","Fill=—","Direction=H","UseDPDF=Y")</f>
        <v>#NAME?</v>
      </c>
      <c r="AK122" s="1" t="e">
        <f ca="1">_xll.BDH($C$103,"BVPS_GROWTH","FQ4 2017","FQ4 2017","Currency=INR","Period=FQ","BEST_FPERIOD_OVERRIDE=FQ","FILING_STATUS=OR","EQY_CONSOLIDATED=Y","Sort=A","Dates=H","DateFormat=P","Fill=—","Direction=H","UseDPDF=Y")</f>
        <v>#NAME?</v>
      </c>
      <c r="AL122" s="1" t="e">
        <f ca="1">_xll.BDH($C$103,"CASH_FLOW_GROWTH","FQ4 2017","FQ4 2017","Currency=INR","Period=FQ","BEST_FPERIOD_OVERRIDE=FQ","FILING_STATUS=OR","EQY_CONSOLIDATED=Y","Sort=A","Dates=H","DateFormat=P","Fill=—","Direction=H","UseDPDF=Y")</f>
        <v>#NAME?</v>
      </c>
      <c r="AM122" s="1" t="e">
        <f ca="1">_xll.BDH($C$103,"GEO_GROW_NET_SALES","FQ4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22" s="1" t="e">
        <f ca="1">_xll.BDH($C$103,"GEO_GROW_EBITDA","FQ4 2017","FQ4 2017","Currency=INR","Period=FQ","BEST_FPERIOD_OVERRIDE=FQ","FILING_STATUS=OR","EQY_CONSOLIDATED=Y","FA_ADJUSTED=GAAP","Sort=A","Dates=H","DateFormat=P","Fill=—","Direction=H","UseDPDF=Y")</f>
        <v>#NAME?</v>
      </c>
      <c r="AO122" s="1" t="e">
        <f ca="1">_xll.BDH($C$103,"GEO_GROW_OPER_INC","FQ4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22" s="1" t="e">
        <f ca="1">_xll.BDH($C$103,"NET_INCOME_TO_COMMON_5_YR_GROWTH","FQ4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22" s="1" t="e">
        <f ca="1">_xll.BDH($C$103,"5Y_GEO_GROWTH_DILUTED_EPS","FQ4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22" s="1" t="e">
        <f ca="1">_xll.BDH($C$103,"GEO_GROW_DVD_PER_SH","FQ4 2017","FQ4 2017","Currency=INR","Period=FQ","BEST_FPERIOD_OVERRIDE=FQ","FILING_STATUS=OR","EQY_CONSOLIDATED=Y","Sort=A","Dates=H","DateFormat=P","Fill=—","Direction=H","UseDPDF=Y")</f>
        <v>#NAME?</v>
      </c>
      <c r="AS122" s="1" t="e">
        <f ca="1">_xll.BDH($C$103,"ACCOUNTS_RECEIVABLE_5_YR_GROWTH","FQ4 2017","FQ4 2017","Currency=INR","Period=FQ","BEST_FPERIOD_OVERRIDE=FQ","FILING_STATUS=OR","EQY_CONSOLIDATED=Y","Sort=A","Dates=H","DateFormat=P","Fill=—","Direction=H","UseDPDF=Y")</f>
        <v>#NAME?</v>
      </c>
      <c r="AT122" s="1" t="e">
        <f ca="1">_xll.BDH($C$103,"INVENTORY_5_YEAR_GROWTH","FQ4 2017","FQ4 2017","Currency=INR","Period=FQ","BEST_FPERIOD_OVERRIDE=FQ","FILING_STATUS=OR","EQY_CONSOLIDATED=Y","Sort=A","Dates=H","DateFormat=P","Fill=—","Direction=H","UseDPDF=Y")</f>
        <v>#NAME?</v>
      </c>
      <c r="AU122" s="1" t="e">
        <f ca="1">_xll.BDH($C$103,"NET_FIXED_ASSETS_5_YEAR_GROWTH","FQ4 2017","FQ4 2017","Currency=INR","Period=FQ","BEST_FPERIOD_OVERRIDE=FQ","FILING_STATUS=OR","EQY_CONSOLIDATED=Y","Sort=A","Dates=H","DateFormat=P","Fill=—","Direction=H","UseDPDF=Y")</f>
        <v>#NAME?</v>
      </c>
      <c r="AV122" s="1" t="e">
        <f ca="1">_xll.BDH($C$103,"GEO_GROW_TOT_ASSET","FQ4 2017","FQ4 2017","Currency=INR","Period=FQ","BEST_FPERIOD_OVERRIDE=FQ","FILING_STATUS=OR","EQY_CONSOLIDATED=Y","Sort=A","Dates=H","DateFormat=P","Fill=—","Direction=H","UseDPDF=Y")</f>
        <v>#NAME?</v>
      </c>
      <c r="AW122" s="1" t="e">
        <f ca="1">_xll.BDH($C$103,"MODIFIED_WORKING_CPTL_5YR_GRWTH","FQ4 2017","FQ4 2017","Currency=INR","Period=FQ","BEST_FPERIOD_OVERRIDE=FQ","FILING_STATUS=OR","EQY_CONSOLIDATED=Y","Sort=A","Dates=H","DateFormat=P","Fill=—","Direction=H","UseDPDF=Y")</f>
        <v>#NAME?</v>
      </c>
      <c r="AX122" s="1" t="e">
        <f ca="1">_xll.BDH($C$103,"WORKING_CAPITAL_5_YEAR_GROWTH","FQ4 2017","FQ4 2017","Currency=INR","Period=FQ","BEST_FPERIOD_OVERRIDE=FQ","FILING_STATUS=OR","EQY_CONSOLIDATED=Y","Sort=A","Dates=H","DateFormat=P","Fill=—","Direction=H","UseDPDF=Y")</f>
        <v>#NAME?</v>
      </c>
      <c r="AY122" s="1" t="e">
        <f ca="1">_xll.BDH($C$103,"ACCOUNTS_PAYABLE_5_YEAR_GROWTH","FQ4 2017","FQ4 2017","Currency=INR","Period=FQ","BEST_FPERIOD_OVERRIDE=FQ","FILING_STATUS=OR","EQY_CONSOLIDATED=Y","Sort=A","Dates=H","DateFormat=P","Fill=—","Direction=H","UseDPDF=Y")</f>
        <v>#NAME?</v>
      </c>
      <c r="AZ122" s="1" t="e">
        <f ca="1">_xll.BDH($C$103,"SHORT_TERM_DEBT_5_YEAR_GROWTH","FQ4 2017","FQ4 2017","Currency=INR","Period=FQ","BEST_FPERIOD_OVERRIDE=FQ","FILING_STATUS=OR","EQY_CONSOLIDATED=Y","Sort=A","Dates=H","DateFormat=P","Fill=—","Direction=H","UseDPDF=Y")</f>
        <v>#NAME?</v>
      </c>
      <c r="BA122" s="1" t="e">
        <f ca="1">_xll.BDH($C$103,"TOTAL_DEBT_5_YEAR_GROWTH","FQ4 2017","FQ4 2017","Currency=INR","Period=FQ","BEST_FPERIOD_OVERRIDE=FQ","FILING_STATUS=OR","EQY_CONSOLIDATED=Y","Sort=A","Dates=H","DateFormat=P","Fill=—","Direction=H","UseDPDF=Y")</f>
        <v>#NAME?</v>
      </c>
      <c r="BB122" s="1" t="e">
        <f ca="1">_xll.BDH($C$103,"GEO_GROW_TOT_SHRHLDR_EQY","FQ4 2017","FQ4 2017","Currency=INR","Period=FQ","BEST_FPERIOD_OVERRIDE=FQ","FILING_STATUS=OR","EQY_CONSOLIDATED=Y","Sort=A","Dates=H","DateFormat=P","Fill=—","Direction=H","UseDPDF=Y")</f>
        <v>#NAME?</v>
      </c>
      <c r="BC122" s="1" t="e">
        <f ca="1">_xll.BDH($C$103,"TOTAL_CAPITAL_5_YEAR_GROWTH","FQ4 2017","FQ4 2017","Currency=INR","Period=FQ","BEST_FPERIOD_OVERRIDE=FQ","FILING_STATUS=OR","EQY_CONSOLIDATED=Y","Sort=A","Dates=H","DateFormat=P","Fill=—","Direction=H","UseDPDF=Y")</f>
        <v>#NAME?</v>
      </c>
      <c r="BD122" s="1" t="e">
        <f ca="1">_xll.BDH($C$103,"GEO_GROW_BOOK_VAL","FQ4 2017","FQ4 2017","Currency=INR","Period=FQ","BEST_FPERIOD_OVERRIDE=FQ","FILING_STATUS=OR","EQY_CONSOLIDATED=Y","Sort=A","Dates=H","DateFormat=P","Fill=—","Direction=H","UseDPDF=Y")</f>
        <v>#NAME?</v>
      </c>
      <c r="BE122" s="1" t="e">
        <f ca="1">_xll.BDH($C$103,"GEO_GROW_CASH_OPER_ACT","FQ4 2017","FQ4 2017","Currency=INR","Period=FQ","BEST_FPERIOD_OVERRIDE=FQ","FILING_STATUS=OR","EQY_CONSOLIDATED=Y","Sort=A","Dates=H","DateFormat=P","Fill=—","Direction=H","UseDPDF=Y")</f>
        <v>#NAME?</v>
      </c>
      <c r="BF122" s="1" t="e">
        <f ca="1">_xll.BDH($C$103,"REVENUE_SEQUENTIAL_GROWTH","FQ4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22" s="1" t="e">
        <f ca="1">_xll.BDH($C$103,"EBITDA_SEQUENTIAL_GROWTH","FQ4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22" s="1" t="e">
        <f ca="1">_xll.BDH($C$103,"OPERATING_INCOME_SEQ_GROWTH","FQ4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22" s="1" t="e">
        <f ca="1">_xll.BDH($C$103,"NET_INCOME_TO_COMMON_SEQ_GROWTH","FQ4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22" s="1" t="e">
        <f ca="1">_xll.BDH($C$103,"EPS_DILUTED_SEQUENTIAL_GROWTH","FQ4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22" s="1" t="e">
        <f ca="1">_xll.BDH($C$103,"DPS_SEQUENTIAL_GROWTH","FQ4 2017","FQ4 2017","Currency=INR","Period=FQ","BEST_FPERIOD_OVERRIDE=FQ","FILING_STATUS=OR","EQY_CONSOLIDATED=Y","Sort=A","Dates=H","DateFormat=P","Fill=—","Direction=H","UseDPDF=Y")</f>
        <v>#NAME?</v>
      </c>
      <c r="BL122" s="1" t="e">
        <f ca="1">_xll.BDH($C$103,"ACCOUNTS_RECEIVABLE_SEQ_GROWTH","FQ4 2017","FQ4 2017","Currency=INR","Period=FQ","BEST_FPERIOD_OVERRIDE=FQ","FILING_STATUS=OR","EQY_CONSOLIDATED=Y","Sort=A","Dates=H","DateFormat=P","Fill=—","Direction=H","UseDPDF=Y")</f>
        <v>#NAME?</v>
      </c>
      <c r="BM122" s="1" t="e">
        <f ca="1">_xll.BDH($C$103,"INVENTORY_SEQUENTIAL_GROWTH","FQ4 2017","FQ4 2017","Currency=INR","Period=FQ","BEST_FPERIOD_OVERRIDE=FQ","FILING_STATUS=OR","EQY_CONSOLIDATED=Y","Sort=A","Dates=H","DateFormat=P","Fill=—","Direction=H","UseDPDF=Y")</f>
        <v>#NAME?</v>
      </c>
      <c r="BN122" s="1" t="e">
        <f ca="1">_xll.BDH($C$103,"FIXED_ASSETS_SEQUENTIAL_GROWTH","FQ4 2017","FQ4 2017","Currency=INR","Period=FQ","BEST_FPERIOD_OVERRIDE=FQ","FILING_STATUS=OR","EQY_CONSOLIDATED=Y","Sort=A","Dates=H","DateFormat=P","Fill=—","Direction=H","UseDPDF=Y")</f>
        <v>#NAME?</v>
      </c>
      <c r="BO122" s="1" t="e">
        <f ca="1">_xll.BDH($C$103,"TOTAL_ASSETS_SEQUENTIAL_GROWTH","FQ4 2017","FQ4 2017","Currency=INR","Period=FQ","BEST_FPERIOD_OVERRIDE=FQ","FILING_STATUS=OR","EQY_CONSOLIDATED=Y","Sort=A","Dates=H","DateFormat=P","Fill=—","Direction=H","UseDPDF=Y")</f>
        <v>#NAME?</v>
      </c>
      <c r="BP122" s="1" t="e">
        <f ca="1">_xll.BDH($C$103,"MODIFIED_WORKING_CPTL_SEQ_GRWTH","FQ4 2017","FQ4 2017","Currency=INR","Period=FQ","BEST_FPERIOD_OVERRIDE=FQ","FILING_STATUS=OR","EQY_CONSOLIDATED=Y","Sort=A","Dates=H","DateFormat=P","Fill=—","Direction=H","UseDPDF=Y")</f>
        <v>#NAME?</v>
      </c>
      <c r="BQ122" s="1" t="e">
        <f ca="1">_xll.BDH($C$103,"WORKING_CAPITAL_SEQ_GROWTH","FQ4 2017","FQ4 2017","Currency=INR","Period=FQ","BEST_FPERIOD_OVERRIDE=FQ","FILING_STATUS=OR","EQY_CONSOLIDATED=Y","Sort=A","Dates=H","DateFormat=P","Fill=—","Direction=H","UseDPDF=Y")</f>
        <v>#NAME?</v>
      </c>
      <c r="BR122" s="1" t="e">
        <f ca="1">_xll.BDH($C$103,"ACCOUNTS_PAYABLE_SEQ_GROWTH","FQ4 2017","FQ4 2017","Currency=INR","Period=FQ","BEST_FPERIOD_OVERRIDE=FQ","FILING_STATUS=OR","EQY_CONSOLIDATED=Y","Sort=A","Dates=H","DateFormat=P","Fill=—","Direction=H","UseDPDF=Y")</f>
        <v>#NAME?</v>
      </c>
      <c r="BS122" s="1" t="e">
        <f ca="1">_xll.BDH($C$103,"ST_DEBT_SEQUENTIAL_GROWTH","FQ4 2017","FQ4 2017","Currency=INR","Period=FQ","BEST_FPERIOD_OVERRIDE=FQ","FILING_STATUS=OR","EQY_CONSOLIDATED=Y","Sort=A","Dates=H","DateFormat=P","Fill=—","Direction=H","UseDPDF=Y")</f>
        <v>#NAME?</v>
      </c>
      <c r="BT122" s="1" t="e">
        <f ca="1">_xll.BDH($C$103,"TOTAL_DEBT_SEQUENTIAL_GROWTH","FQ4 2017","FQ4 2017","Currency=INR","Period=FQ","BEST_FPERIOD_OVERRIDE=FQ","FILING_STATUS=OR","EQY_CONSOLIDATED=Y","Sort=A","Dates=H","DateFormat=P","Fill=—","Direction=H","UseDPDF=Y")</f>
        <v>#NAME?</v>
      </c>
      <c r="BU122" s="1" t="e">
        <f ca="1">_xll.BDH($C$103,"TOTAL_EQUITY_SEQUENTIAL_GROWTH","FQ4 2017","FQ4 2017","Currency=INR","Period=FQ","BEST_FPERIOD_OVERRIDE=FQ","FILING_STATUS=OR","EQY_CONSOLIDATED=Y","Sort=A","Dates=H","DateFormat=P","Fill=—","Direction=H","UseDPDF=Y")</f>
        <v>#NAME?</v>
      </c>
      <c r="BV122" s="1" t="e">
        <f ca="1">_xll.BDH($C$103,"TOTAL_CAPITAL_SEQUENTIAL_GROWTH","FQ4 2017","FQ4 2017","Currency=INR","Period=FQ","BEST_FPERIOD_OVERRIDE=FQ","FILING_STATUS=OR","EQY_CONSOLIDATED=Y","Sort=A","Dates=H","DateFormat=P","Fill=—","Direction=H","UseDPDF=Y")</f>
        <v>#NAME?</v>
      </c>
      <c r="BW122" s="1" t="e">
        <f ca="1">_xll.BDH($C$103,"BPS_SEQUENTIAL_GROWTH","FQ4 2017","FQ4 2017","Currency=INR","Period=FQ","BEST_FPERIOD_OVERRIDE=FQ","FILING_STATUS=OR","EQY_CONSOLIDATED=Y","Sort=A","Dates=H","DateFormat=P","Fill=—","Direction=H","UseDPDF=Y")</f>
        <v>#NAME?</v>
      </c>
      <c r="BX122" s="1" t="e">
        <f ca="1">_xll.BDH($C$103,"CFO_SEQUENTIAL_GROWTH","FQ4 2017","FQ4 2017","Currency=INR","Period=FQ","BEST_FPERIOD_OVERRIDE=FQ","FILING_STATUS=OR","EQY_CONSOLIDATED=Y","Sort=A","Dates=H","DateFormat=P","Fill=—","Direction=H","UseDPDF=Y")</f>
        <v>#NAME?</v>
      </c>
      <c r="BY122" s="2" t="e">
        <f ca="1">_xll.BDH($C$103,"SHORT_AND_LONG_TERM_DEBT","FQ4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22" s="2" t="e">
        <f ca="1">_xll.BDH($C$103,"BS_ST_BORROW","FQ4 2017","FQ4 2017","Currency=INR","Period=FQ","BEST_FPERIOD_OVERRIDE=FQ","FILING_STATUS=OR","EQY_CONSOLIDATED=Y","SCALING_FORMAT=MLN","Sort=A","Dates=H","DateFormat=P","Fill=—","Direction=H","UseDPDF=Y")</f>
        <v>#NAME?</v>
      </c>
      <c r="CA122" s="2" t="e">
        <f ca="1">_xll.BDH($C$103,"BS_LT_BORROW","FQ4 2017","FQ4 2017","Currency=INR","Period=FQ","BEST_FPERIOD_OVERRIDE=FQ","FILING_STATUS=OR","EQY_CONSOLIDATED=Y","SCALING_FORMAT=MLN","Sort=A","Dates=H","DateFormat=P","Fill=—","Direction=H","UseDPDF=Y")</f>
        <v>#NAME?</v>
      </c>
      <c r="CB122" s="1" t="e">
        <f ca="1">_xll.BDH($C$103,"TOT_DEBT_TO_EBITDA","FQ4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22" s="1" t="e">
        <f ca="1">_xll.BDH($C$103,"NET_DEBT_TO_EBITDA","FQ4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22" s="1" t="e">
        <f ca="1">_xll.BDH($C$103,"TOTAL_DEBT_TO_EBIT","FQ4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22" s="1" t="e">
        <f ca="1">_xll.BDH($C$103,"NET_DEBT_TO_EBIT","FQ4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122" s="1" t="e">
        <f ca="1">_xll.BDH($C$103,"EBITDA_TO_INTEREST_EXPN","FQ4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22" s="1" t="e">
        <f ca="1">_xll.BDH($C$103,"COM_EQY_TO_TOT_ASSET","FQ4 2017","FQ4 2017","Currency=INR","Period=FQ","BEST_FPERIOD_OVERRIDE=FQ","FILING_STATUS=OR","EQY_CONSOLIDATED=Y","Sort=A","Dates=H","DateFormat=P","Fill=—","Direction=H","UseDPDF=Y")</f>
        <v>#NAME?</v>
      </c>
      <c r="CH122" s="1" t="e">
        <f ca="1">_xll.BDH($C$103,"LT_DEBT_TO_TOT_EQY","FQ4 2017","FQ4 2017","Currency=INR","Period=FQ","BEST_FPERIOD_OVERRIDE=FQ","FILING_STATUS=OR","EQY_CONSOLIDATED=Y","Sort=A","Dates=H","DateFormat=P","Fill=—","Direction=H","UseDPDF=Y")</f>
        <v>#NAME?</v>
      </c>
      <c r="CI122" s="1" t="e">
        <f ca="1">_xll.BDH($C$103,"LT_DEBT_TO_TOT_CAP","FQ4 2017","FQ4 2017","Currency=INR","Period=FQ","BEST_FPERIOD_OVERRIDE=FQ","FILING_STATUS=OR","EQY_CONSOLIDATED=Y","Sort=A","Dates=H","DateFormat=P","Fill=—","Direction=H","UseDPDF=Y")</f>
        <v>#NAME?</v>
      </c>
      <c r="CJ122" s="1" t="e">
        <f ca="1">_xll.BDH($C$103,"LT_DEBT_TO_TOT_ASSET","FQ4 2017","FQ4 2017","Currency=INR","Period=FQ","BEST_FPERIOD_OVERRIDE=FQ","FILING_STATUS=OR","EQY_CONSOLIDATED=Y","Sort=A","Dates=H","DateFormat=P","Fill=—","Direction=H","UseDPDF=Y")</f>
        <v>#NAME?</v>
      </c>
      <c r="CK122" s="1" t="e">
        <f ca="1">_xll.BDH($C$103,"TOT_DEBT_TO_TOT_EQY","FQ4 2017","FQ4 2017","Currency=INR","Period=FQ","BEST_FPERIOD_OVERRIDE=FQ","FILING_STATUS=OR","EQY_CONSOLIDATED=Y","Sort=A","Dates=H","DateFormat=P","Fill=—","Direction=H","UseDPDF=Y")</f>
        <v>#NAME?</v>
      </c>
      <c r="CL122" s="1" t="e">
        <f ca="1">_xll.BDH($C$103,"TOT_DEBT_TO_TOT_CAP","FQ4 2017","FQ4 2017","Currency=INR","Period=FQ","BEST_FPERIOD_OVERRIDE=FQ","FILING_STATUS=OR","EQY_CONSOLIDATED=Y","Sort=A","Dates=H","DateFormat=P","Fill=—","Direction=H","UseDPDF=Y")</f>
        <v>#NAME?</v>
      </c>
      <c r="CM122" s="1" t="e">
        <f ca="1">_xll.BDH($C$103,"TOT_DEBT_TO_TOT_ASSET","FQ4 2017","FQ4 2017","Currency=INR","Period=FQ","BEST_FPERIOD_OVERRIDE=FQ","FILING_STATUS=OR","EQY_CONSOLIDATED=Y","Sort=A","Dates=H","DateFormat=P","Fill=—","Direction=H","UseDPDF=Y")</f>
        <v>#NAME?</v>
      </c>
      <c r="CN122" s="1" t="e">
        <f ca="1">_xll.BDH($C$103,"NET_DEBT_TO_SHRHLDR_EQTY","FQ4 2017","FQ4 2017","Currency=INR","Period=FQ","BEST_FPERIOD_OVERRIDE=FQ","FILING_STATUS=OR","EQY_CONSOLIDATED=Y","Sort=A","Dates=H","DateFormat=P","Fill=—","Direction=H","UseDPDF=Y")</f>
        <v>#NAME?</v>
      </c>
      <c r="CO122" s="1" t="e">
        <f ca="1">_xll.BDH($C$103,"NET_DEBT_%_CAPITAL","FQ4 2017","FQ4 2017","Currency=INR","Period=FQ","BEST_FPERIOD_OVERRIDE=FQ","FILING_STATUS=OR","EQY_CONSOLIDATED=Y","Sort=A","Dates=H","DateFormat=P","Fill=—","Direction=H","UseDPDF=Y")</f>
        <v>#NAME?</v>
      </c>
      <c r="CP122" s="2" t="e">
        <f ca="1">_xll.BDH($C$103,"EBITDA","FQ4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22" s="2" t="e">
        <f ca="1">_xll.BDH($C$103,"EBITDA_AFTER_CAPEX","FQ4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22" s="2" t="e">
        <f ca="1">_xll.BDH($C$103,"IS_OPER_INC","FQ4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22" s="1" t="e">
        <f ca="1">_xll.BDH($C$103,"CASH_RATIO","FQ4 2017","FQ4 2017","Currency=INR","Period=FQ","BEST_FPERIOD_OVERRIDE=FQ","FILING_STATUS=OR","EQY_CONSOLIDATED=Y","Sort=A","Dates=H","DateFormat=P","Fill=—","Direction=H","UseDPDF=Y")</f>
        <v>#NAME?</v>
      </c>
      <c r="CT122" s="1" t="e">
        <f ca="1">_xll.BDH($C$103,"CUR_RATIO","FQ4 2017","FQ4 2017","Currency=INR","Period=FQ","BEST_FPERIOD_OVERRIDE=FQ","FILING_STATUS=OR","EQY_CONSOLIDATED=Y","Sort=A","Dates=H","DateFormat=P","Fill=—","Direction=H","UseDPDF=Y")</f>
        <v>#NAME?</v>
      </c>
      <c r="CU122" s="1" t="e">
        <f ca="1">_xll.BDH($C$103,"QUICK_RATIO","FQ4 2017","FQ4 2017","Currency=INR","Period=FQ","BEST_FPERIOD_OVERRIDE=FQ","FILING_STATUS=OR","EQY_CONSOLIDATED=Y","Sort=A","Dates=H","DateFormat=P","Fill=—","Direction=H","UseDPDF=Y")</f>
        <v>#NAME?</v>
      </c>
      <c r="CV122" s="1" t="e">
        <f ca="1">_xll.BDH($C$103,"ALTMAN_Z_SCORE","FQ4 2017","FQ4 2017","Currency=INR","Period=FQ","BEST_FPERIOD_OVERRIDE=FQ","FILING_STATUS=OR","EQY_CONSOLIDATED=Y","Sort=A","Dates=H","DateFormat=P","Fill=—","Direction=H","UseDPDF=Y")</f>
        <v>#NAME?</v>
      </c>
      <c r="CW122" s="3" t="e">
        <f ca="1">_xll.BDH($C$103,"ACCT_RCV_TURN","FQ4 2017","FQ4 2017","Currency=INR","Period=FQ","BEST_FPERIOD_OVERRIDE=FQ","FILING_STATUS=OR","EQY_CONSOLIDATED=Y","FA_ADJUSTED=GAAP","Sort=A","Dates=H","DateFormat=P","Fill=—","Direction=H","UseDPDF=Y")</f>
        <v>#NAME?</v>
      </c>
      <c r="CX122" s="1" t="e">
        <f ca="1">_xll.BDH($C$103,"ACCT_RCV_DAYS","FQ4 2017","FQ4 2017","Currency=INR","Period=FQ","BEST_FPERIOD_OVERRIDE=FQ","FILING_STATUS=OR","EQY_CONSOLIDATED=Y","FA_ADJUSTED=GAAP","Sort=A","Dates=H","DateFormat=P","Fill=—","Direction=H","UseDPDF=Y")</f>
        <v>#NAME?</v>
      </c>
      <c r="CY122" s="3" t="e">
        <f ca="1">_xll.BDH($C$103,"INVENT_TURN","FQ4 2017","FQ4 2017","Currency=INR","Period=FQ","BEST_FPERIOD_OVERRIDE=FQ","FILING_STATUS=OR","EQY_CONSOLIDATED=Y","FA_ADJUSTED=GAAP","Sort=A","Dates=H","DateFormat=P","Fill=—","Direction=H","UseDPDF=Y")</f>
        <v>#NAME?</v>
      </c>
      <c r="CZ122" s="1" t="e">
        <f ca="1">_xll.BDH($C$103,"INVENT_DAYS","FQ4 2017","FQ4 2017","Currency=INR","Period=FQ","BEST_FPERIOD_OVERRIDE=FQ","FILING_STATUS=OR","EQY_CONSOLIDATED=Y","FA_ADJUSTED=GAAP","Sort=A","Dates=H","DateFormat=P","Fill=—","Direction=H","UseDPDF=Y")</f>
        <v>#NAME?</v>
      </c>
      <c r="DA122" s="3" t="e">
        <f ca="1">_xll.BDH($C$103,"ACCOUNTS_PAYABLE_TURNOVER","FQ4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22" s="1" t="e">
        <f ca="1">_xll.BDH($C$103,"ACCOUNTS_PAYABLE_TURNOVER_DAYS","FQ4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22" s="3" t="e">
        <f ca="1">_xll.BDH($C$103,"CASH_CONVERSION_CYCLE","FQ4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22" s="3" t="e">
        <f ca="1">_xll.BDH($C$103,"INV_TO_CASH_DAYS","FQ4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122" s="4" t="e">
        <f ca="1">_xll.BDH($C$103,"BS_INVENTORIES","FQ4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122" s="2" t="e">
        <f ca="1">_xll.BDH($C$103,"INVTRY_RAW_MATERIALS","FQ4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22" s="2" t="e">
        <f ca="1">_xll.BDH($C$103,"INVTRY_IN_PROGRESS","FQ4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22" s="2" t="e">
        <f ca="1">_xll.BDH($C$103,"INVTRY_FINISHED_GOODS","FQ4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22" s="2" t="e">
        <f ca="1">_xll.BDH($C$103,"BS_OTHER_INV","FQ4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23" spans="1:113" x14ac:dyDescent="0.3">
      <c r="A123" s="6"/>
      <c r="B123" s="6"/>
      <c r="C123" s="6"/>
      <c r="D123" s="6" t="s">
        <v>11</v>
      </c>
      <c r="E123" t="s">
        <v>3</v>
      </c>
      <c r="F123" t="e">
        <f ca="1">_xll.BDH($C$103,"RETURN_COM_EQY","FY 2018","FY 2018","Currency=INR","Period=FY","BEST_FPERIOD_OVERRIDE=FY","FILING_STATUS=OR","EQY_CONSOLIDATED=Y","FA_ADJUSTED=GAAP","Sort=A","Dates=H","DateFormat=P","Fill=—","Direction=H","UseDPDF=Y")</f>
        <v>#NAME?</v>
      </c>
      <c r="G123" t="e">
        <f ca="1">_xll.BDH($C$103,"RETURN_ON_ASSET","FY 2018","FY 2018","Currency=INR","Period=FY","BEST_FPERIOD_OVERRIDE=FY","FILING_STATUS=OR","EQY_CONSOLIDATED=Y","FA_ADJUSTED=GAAP","Sort=A","Dates=H","DateFormat=P","Fill=—","Direction=H","UseDPDF=Y")</f>
        <v>#NAME?</v>
      </c>
      <c r="H123" t="e">
        <f ca="1">_xll.BDH($C$103,"RETURN_ON_CAP","FY 2018","FY 2018","Currency=INR","Period=FY","BEST_FPERIOD_OVERRIDE=FY","FILING_STATUS=OR","EQY_CONSOLIDATED=Y","FA_ADJUSTED=GAAP","Sort=A","Dates=H","DateFormat=P","Fill=—","Direction=H","UseDPDF=Y")</f>
        <v>#NAME?</v>
      </c>
      <c r="I123" t="e">
        <f ca="1">_xll.BDH($C$103,"RETURN_ON_INV_CAPITAL","FY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23" t="e">
        <f ca="1">_xll.BDH($C$103,"EBITDA_TO_REVENUE","FY 2018","FY 2018","Currency=INR","Period=FY","BEST_FPERIOD_OVERRIDE=FY","FILING_STATUS=OR","EQY_CONSOLIDATED=Y","FA_ADJUSTED=GAAP","Sort=A","Dates=H","DateFormat=P","Fill=—","Direction=H","UseDPDF=Y")</f>
        <v>#NAME?</v>
      </c>
      <c r="K123" t="e">
        <f ca="1">_xll.BDH($C$103,"OPER_MARGIN","FY 2018","FY 2018","Currency=INR","Period=FY","BEST_FPERIOD_OVERRIDE=FY","FILING_STATUS=OR","EQY_CONSOLIDATED=Y","FA_ADJUSTED=GAAP","Sort=A","Dates=H","DateFormat=P","Fill=—","Direction=H","UseDPDF=Y")</f>
        <v>#NAME?</v>
      </c>
      <c r="L123" t="e">
        <f ca="1">_xll.BDH($C$103,"INCREMENTAL_OPERATING_MARGIN","FY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23" t="e">
        <f ca="1">_xll.BDH($C$103,"PRETAX_INC_TO_NET_SALES","FY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23" t="e">
        <f ca="1">_xll.BDH($C$103,"INC_BEF_XO_ITEMS_TO_NET_SALES","FY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23" t="e">
        <f ca="1">_xll.BDH($C$103,"PROF_MARGIN","FY 2018","FY 2018","Currency=INR","Period=FY","BEST_FPERIOD_OVERRIDE=FY","FILING_STATUS=OR","EQY_CONSOLIDATED=Y","FA_ADJUSTED=GAAP","Sort=A","Dates=H","DateFormat=P","Fill=—","Direction=H","UseDPDF=Y")</f>
        <v>#NAME?</v>
      </c>
      <c r="P123" t="e">
        <f ca="1">_xll.BDH($C$103,"NET_INCOME_TO_COMMON_MARGIN","FY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23" t="e">
        <f ca="1">_xll.BDH($C$103,"EFF_TAX_RATE","FY 2018","FY 2018","Currency=INR","Period=FY","BEST_FPERIOD_OVERRIDE=FY","FILING_STATUS=OR","EQY_CONSOLIDATED=Y","FA_ADJUSTED=GAAP","Sort=A","Dates=H","DateFormat=P","Fill=—","Direction=H","UseDPDF=Y")</f>
        <v>#NAME?</v>
      </c>
      <c r="R123" t="e">
        <f ca="1">_xll.BDH($C$103,"DVD_PAYOUT_RATIO","FY 2018","FY 2018","Currency=INR","Period=FY","BEST_FPERIOD_OVERRIDE=FY","FILING_STATUS=OR","EQY_CONSOLIDATED=Y","FA_ADJUSTED=GAAP","Sort=A","Dates=H","DateFormat=P","Fill=—","Direction=H","UseDPDF=Y")</f>
        <v>#NAME?</v>
      </c>
      <c r="S123" t="e">
        <f ca="1">_xll.BDH($C$103,"SUSTAIN_GROWTH_RT","FY 2018","FY 2018","Currency=INR","Period=FY","BEST_FPERIOD_OVERRIDE=FY","FILING_STATUS=OR","EQY_CONSOLIDATED=Y","FA_ADJUSTED=GAAP","Sort=A","Dates=H","DateFormat=P","Fill=—","Direction=H","UseDPDF=Y")</f>
        <v>#NAME?</v>
      </c>
      <c r="T123" s="1" t="e">
        <f ca="1">_xll.BDH($C$103,"SALES_GROWTH","FY 2018","FY 2018","Currency=INR","Period=FY","BEST_FPERIOD_OVERRIDE=FY","FILING_STATUS=OR","EQY_CONSOLIDATED=Y","FA_ADJUSTED=GAAP","Sort=A","Dates=H","DateFormat=P","Fill=—","Direction=H","UseDPDF=Y")</f>
        <v>#NAME?</v>
      </c>
      <c r="U123" s="1" t="e">
        <f ca="1">_xll.BDH($C$103,"EBITDA_GROWTH","FY 2018","FY 2018","Currency=INR","Period=FY","BEST_FPERIOD_OVERRIDE=FY","FILING_STATUS=OR","EQY_CONSOLIDATED=Y","FA_ADJUSTED=GAAP","Sort=A","Dates=H","DateFormat=P","Fill=—","Direction=H","UseDPDF=Y")</f>
        <v>#NAME?</v>
      </c>
      <c r="V123" s="1" t="e">
        <f ca="1">_xll.BDH($C$103,"OPER_INC_GROWTH","FY 2018","FY 2018","Currency=INR","Period=FY","BEST_FPERIOD_OVERRIDE=FY","FILING_STATUS=OR","EQY_CONSOLIDATED=Y","FA_ADJUSTED=GAAP","Sort=A","Dates=H","DateFormat=P","Fill=—","Direction=H","UseDPDF=Y")</f>
        <v>#NAME?</v>
      </c>
      <c r="W123" s="1" t="e">
        <f ca="1">_xll.BDH($C$103,"EARN_FOR_COM_GROWTH","FY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123" s="1" t="e">
        <f ca="1">_xll.BDH($C$103,"DILUTED_EPS_AFT_XO_ITEMS_GROWTH","FY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23" s="1" t="e">
        <f ca="1">_xll.BDH($C$103,"DIVIDEND_PER_SHARE_1_YEAR_GROWTH","FY 2018","FY 2018","Currency=INR","Period=FY","BEST_FPERIOD_OVERRIDE=FY","FILING_STATUS=OR","EQY_CONSOLIDATED=Y","Sort=A","Dates=H","DateFormat=P","Fill=—","Direction=H","UseDPDF=Y")</f>
        <v>#NAME?</v>
      </c>
      <c r="Z123" s="1" t="e">
        <f ca="1">_xll.BDH($C$103,"ACCOUNTS_RECEIVABLE_GROWTH","FY 2018","FY 2018","Currency=INR","Period=FY","BEST_FPERIOD_OVERRIDE=FY","FILING_STATUS=OR","EQY_CONSOLIDATED=Y","Sort=A","Dates=H","DateFormat=P","Fill=—","Direction=H","UseDPDF=Y")</f>
        <v>#NAME?</v>
      </c>
      <c r="AA123" s="1" t="e">
        <f ca="1">_xll.BDH($C$103,"INVENTORY_GROWTH","FY 2018","FY 2018","Currency=INR","Period=FY","BEST_FPERIOD_OVERRIDE=FY","FILING_STATUS=OR","EQY_CONSOLIDATED=Y","Sort=A","Dates=H","DateFormat=P","Fill=—","Direction=H","UseDPDF=Y")</f>
        <v>#NAME?</v>
      </c>
      <c r="AB123" s="1" t="e">
        <f ca="1">_xll.BDH($C$103,"NET_FIXED_ASSETS_1_YEAR_GROWTH","FY 2018","FY 2018","Currency=INR","Period=FY","BEST_FPERIOD_OVERRIDE=FY","FILING_STATUS=OR","EQY_CONSOLIDATED=Y","Sort=A","Dates=H","DateFormat=P","Fill=—","Direction=H","UseDPDF=Y")</f>
        <v>#NAME?</v>
      </c>
      <c r="AC123" s="1" t="e">
        <f ca="1">_xll.BDH($C$103,"ASSET_GROWTH","FY 2018","FY 2018","Currency=INR","Period=FY","BEST_FPERIOD_OVERRIDE=FY","FILING_STATUS=OR","EQY_CONSOLIDATED=Y","Sort=A","Dates=H","DateFormat=P","Fill=—","Direction=H","UseDPDF=Y")</f>
        <v>#NAME?</v>
      </c>
      <c r="AD123" s="1" t="e">
        <f ca="1">_xll.BDH($C$103,"MODIFIED_WORK_CAP_GROWTH","FY 2018","FY 2018","Currency=INR","Period=FY","BEST_FPERIOD_OVERRIDE=FY","FILING_STATUS=OR","EQY_CONSOLIDATED=Y","Sort=A","Dates=H","DateFormat=P","Fill=—","Direction=H","UseDPDF=Y")</f>
        <v>#NAME?</v>
      </c>
      <c r="AE123" s="1" t="e">
        <f ca="1">_xll.BDH($C$103,"WORK_CAP_GROWTH","FY 2018","FY 2018","Currency=INR","Period=FY","BEST_FPERIOD_OVERRIDE=FY","FILING_STATUS=OR","EQY_CONSOLIDATED=Y","Sort=A","Dates=H","DateFormat=P","Fill=—","Direction=H","UseDPDF=Y")</f>
        <v>#NAME?</v>
      </c>
      <c r="AF123" s="1" t="e">
        <f ca="1">_xll.BDH($C$103,"ACCOUNTS_PAYABLE_GROWTH_1YR","FY 2018","FY 2018","Currency=INR","Period=FY","BEST_FPERIOD_OVERRIDE=FY","FILING_STATUS=OR","EQY_CONSOLIDATED=Y","Sort=A","Dates=H","DateFormat=P","Fill=—","Direction=H","UseDPDF=Y")</f>
        <v>#NAME?</v>
      </c>
      <c r="AG123" s="1" t="e">
        <f ca="1">_xll.BDH($C$103,"SHORT_TERM_DEBT_1_YEAR_GROWTH","FY 2018","FY 2018","Currency=INR","Period=FY","BEST_FPERIOD_OVERRIDE=FY","FILING_STATUS=OR","EQY_CONSOLIDATED=Y","Sort=A","Dates=H","DateFormat=P","Fill=—","Direction=H","UseDPDF=Y")</f>
        <v>#NAME?</v>
      </c>
      <c r="AH123" s="1" t="e">
        <f ca="1">_xll.BDH($C$103,"TOTAL_DEBT_1_YEAR_GROWTH","FY 2018","FY 2018","Currency=INR","Period=FY","BEST_FPERIOD_OVERRIDE=FY","FILING_STATUS=OR","EQY_CONSOLIDATED=Y","Sort=A","Dates=H","DateFormat=P","Fill=—","Direction=H","UseDPDF=Y")</f>
        <v>#NAME?</v>
      </c>
      <c r="AI123" s="1" t="e">
        <f ca="1">_xll.BDH($C$103,"TOTAL_EQUITY_1_YEAR_GROWTH","FY 2018","FY 2018","Currency=INR","Period=FY","BEST_FPERIOD_OVERRIDE=FY","FILING_STATUS=OR","EQY_CONSOLIDATED=Y","Sort=A","Dates=H","DateFormat=P","Fill=—","Direction=H","UseDPDF=Y")</f>
        <v>#NAME?</v>
      </c>
      <c r="AJ123" s="1" t="e">
        <f ca="1">_xll.BDH($C$103,"GROWTH_IN_CAP","FY 2018","FY 2018","Currency=INR","Period=FY","BEST_FPERIOD_OVERRIDE=FY","FILING_STATUS=OR","EQY_CONSOLIDATED=Y","Sort=A","Dates=H","DateFormat=P","Fill=—","Direction=H","UseDPDF=Y")</f>
        <v>#NAME?</v>
      </c>
      <c r="AK123" s="1" t="e">
        <f ca="1">_xll.BDH($C$103,"BVPS_GROWTH","FY 2018","FY 2018","Currency=INR","Period=FY","BEST_FPERIOD_OVERRIDE=FY","FILING_STATUS=OR","EQY_CONSOLIDATED=Y","Sort=A","Dates=H","DateFormat=P","Fill=—","Direction=H","UseDPDF=Y")</f>
        <v>#NAME?</v>
      </c>
      <c r="AL123" s="1" t="e">
        <f ca="1">_xll.BDH($C$103,"CASH_FLOW_GROWTH","FY 2018","FY 2018","Currency=INR","Period=FY","BEST_FPERIOD_OVERRIDE=FY","FILING_STATUS=OR","EQY_CONSOLIDATED=Y","Sort=A","Dates=H","DateFormat=P","Fill=—","Direction=H","UseDPDF=Y")</f>
        <v>#NAME?</v>
      </c>
      <c r="AM123" s="1" t="e">
        <f ca="1">_xll.BDH($C$103,"GEO_GROW_NET_SALES","FY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123" s="1" t="e">
        <f ca="1">_xll.BDH($C$103,"GEO_GROW_EBITDA","FY 2018","FY 2018","Currency=INR","Period=FY","BEST_FPERIOD_OVERRIDE=FY","FILING_STATUS=OR","EQY_CONSOLIDATED=Y","FA_ADJUSTED=GAAP","Sort=A","Dates=H","DateFormat=P","Fill=—","Direction=H","UseDPDF=Y")</f>
        <v>#NAME?</v>
      </c>
      <c r="AO123" s="1" t="e">
        <f ca="1">_xll.BDH($C$103,"GEO_GROW_OPER_INC","FY 2018","FY 2018","Currency=INR","Period=FY","BEST_FPERIOD_OVERRIDE=FY","FILING_STATUS=OR","EQY_CONSOLIDATED=Y","FA_ADJUSTED=GAAP","Sort=A","Dates=H","DateFormat=P","Fill=—","Direction=H","UseDPDF=Y")</f>
        <v>#NAME?</v>
      </c>
      <c r="AP123" s="1" t="e">
        <f ca="1">_xll.BDH($C$103,"NET_INCOME_TO_COMMON_5_YR_GROWTH","FY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23" s="1" t="e">
        <f ca="1">_xll.BDH($C$103,"5Y_GEO_GROWTH_DILUTED_EPS","FY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23" s="1" t="e">
        <f ca="1">_xll.BDH($C$103,"GEO_GROW_DVD_PER_SH","FY 2018","FY 2018","Currency=INR","Period=FY","BEST_FPERIOD_OVERRIDE=FY","FILING_STATUS=OR","EQY_CONSOLIDATED=Y","Sort=A","Dates=H","DateFormat=P","Fill=—","Direction=H","UseDPDF=Y")</f>
        <v>#NAME?</v>
      </c>
      <c r="AS123" s="1" t="e">
        <f ca="1">_xll.BDH($C$103,"ACCOUNTS_RECEIVABLE_5_YR_GROWTH","FY 2018","FY 2018","Currency=INR","Period=FY","BEST_FPERIOD_OVERRIDE=FY","FILING_STATUS=OR","EQY_CONSOLIDATED=Y","Sort=A","Dates=H","DateFormat=P","Fill=—","Direction=H","UseDPDF=Y")</f>
        <v>#NAME?</v>
      </c>
      <c r="AT123" s="1" t="e">
        <f ca="1">_xll.BDH($C$103,"INVENTORY_5_YEAR_GROWTH","FY 2018","FY 2018","Currency=INR","Period=FY","BEST_FPERIOD_OVERRIDE=FY","FILING_STATUS=OR","EQY_CONSOLIDATED=Y","Sort=A","Dates=H","DateFormat=P","Fill=—","Direction=H","UseDPDF=Y")</f>
        <v>#NAME?</v>
      </c>
      <c r="AU123" s="1" t="e">
        <f ca="1">_xll.BDH($C$103,"NET_FIXED_ASSETS_5_YEAR_GROWTH","FY 2018","FY 2018","Currency=INR","Period=FY","BEST_FPERIOD_OVERRIDE=FY","FILING_STATUS=OR","EQY_CONSOLIDATED=Y","Sort=A","Dates=H","DateFormat=P","Fill=—","Direction=H","UseDPDF=Y")</f>
        <v>#NAME?</v>
      </c>
      <c r="AV123" s="1" t="e">
        <f ca="1">_xll.BDH($C$103,"GEO_GROW_TOT_ASSET","FY 2018","FY 2018","Currency=INR","Period=FY","BEST_FPERIOD_OVERRIDE=FY","FILING_STATUS=OR","EQY_CONSOLIDATED=Y","Sort=A","Dates=H","DateFormat=P","Fill=—","Direction=H","UseDPDF=Y")</f>
        <v>#NAME?</v>
      </c>
      <c r="AW123" s="1" t="e">
        <f ca="1">_xll.BDH($C$103,"MODIFIED_WORKING_CPTL_5YR_GRWTH","FY 2018","FY 2018","Currency=INR","Period=FY","BEST_FPERIOD_OVERRIDE=FY","FILING_STATUS=OR","EQY_CONSOLIDATED=Y","Sort=A","Dates=H","DateFormat=P","Fill=—","Direction=H","UseDPDF=Y")</f>
        <v>#NAME?</v>
      </c>
      <c r="AX123" s="1" t="e">
        <f ca="1">_xll.BDH($C$103,"WORKING_CAPITAL_5_YEAR_GROWTH","FY 2018","FY 2018","Currency=INR","Period=FY","BEST_FPERIOD_OVERRIDE=FY","FILING_STATUS=OR","EQY_CONSOLIDATED=Y","Sort=A","Dates=H","DateFormat=P","Fill=—","Direction=H","UseDPDF=Y")</f>
        <v>#NAME?</v>
      </c>
      <c r="AY123" s="1" t="e">
        <f ca="1">_xll.BDH($C$103,"ACCOUNTS_PAYABLE_5_YEAR_GROWTH","FY 2018","FY 2018","Currency=INR","Period=FY","BEST_FPERIOD_OVERRIDE=FY","FILING_STATUS=OR","EQY_CONSOLIDATED=Y","Sort=A","Dates=H","DateFormat=P","Fill=—","Direction=H","UseDPDF=Y")</f>
        <v>#NAME?</v>
      </c>
      <c r="AZ123" s="1" t="e">
        <f ca="1">_xll.BDH($C$103,"SHORT_TERM_DEBT_5_YEAR_GROWTH","FY 2018","FY 2018","Currency=INR","Period=FY","BEST_FPERIOD_OVERRIDE=FY","FILING_STATUS=OR","EQY_CONSOLIDATED=Y","Sort=A","Dates=H","DateFormat=P","Fill=—","Direction=H","UseDPDF=Y")</f>
        <v>#NAME?</v>
      </c>
      <c r="BA123" s="1" t="e">
        <f ca="1">_xll.BDH($C$103,"TOTAL_DEBT_5_YEAR_GROWTH","FY 2018","FY 2018","Currency=INR","Period=FY","BEST_FPERIOD_OVERRIDE=FY","FILING_STATUS=OR","EQY_CONSOLIDATED=Y","Sort=A","Dates=H","DateFormat=P","Fill=—","Direction=H","UseDPDF=Y")</f>
        <v>#NAME?</v>
      </c>
      <c r="BB123" s="1" t="e">
        <f ca="1">_xll.BDH($C$103,"GEO_GROW_TOT_SHRHLDR_EQY","FY 2018","FY 2018","Currency=INR","Period=FY","BEST_FPERIOD_OVERRIDE=FY","FILING_STATUS=OR","EQY_CONSOLIDATED=Y","Sort=A","Dates=H","DateFormat=P","Fill=—","Direction=H","UseDPDF=Y")</f>
        <v>#NAME?</v>
      </c>
      <c r="BC123" s="1" t="e">
        <f ca="1">_xll.BDH($C$103,"TOTAL_CAPITAL_5_YEAR_GROWTH","FY 2018","FY 2018","Currency=INR","Period=FY","BEST_FPERIOD_OVERRIDE=FY","FILING_STATUS=OR","EQY_CONSOLIDATED=Y","Sort=A","Dates=H","DateFormat=P","Fill=—","Direction=H","UseDPDF=Y")</f>
        <v>#NAME?</v>
      </c>
      <c r="BD123" s="1" t="e">
        <f ca="1">_xll.BDH($C$103,"GEO_GROW_BOOK_VAL","FY 2018","FY 2018","Currency=INR","Period=FY","BEST_FPERIOD_OVERRIDE=FY","FILING_STATUS=OR","EQY_CONSOLIDATED=Y","Sort=A","Dates=H","DateFormat=P","Fill=—","Direction=H","UseDPDF=Y")</f>
        <v>#NAME?</v>
      </c>
      <c r="BE123" s="1" t="e">
        <f ca="1">_xll.BDH($C$103,"GEO_GROW_CASH_OPER_ACT","FY 2018","FY 2018","Currency=INR","Period=FY","BEST_FPERIOD_OVERRIDE=FY","FILING_STATUS=OR","EQY_CONSOLIDATED=Y","Sort=A","Dates=H","DateFormat=P","Fill=—","Direction=H","UseDPDF=Y")</f>
        <v>#NAME?</v>
      </c>
      <c r="BF123" s="1" t="e">
        <f ca="1">_xll.BDH($C$103,"REVENUE_SEQUENTIAL_GROWTH","FY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23" s="1" t="e">
        <f ca="1">_xll.BDH($C$103,"EBITDA_SEQUENTIAL_GROWTH","FY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23" s="1" t="e">
        <f ca="1">_xll.BDH($C$103,"OPERATING_INCOME_SEQ_GROWTH","FY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23" s="1" t="e">
        <f ca="1">_xll.BDH($C$103,"NET_INCOME_TO_COMMON_SEQ_GROWTH","FY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23" s="1" t="e">
        <f ca="1">_xll.BDH($C$103,"EPS_DILUTED_SEQUENTIAL_GROWTH","FY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23" s="1" t="e">
        <f ca="1">_xll.BDH($C$103,"DPS_SEQUENTIAL_GROWTH","FY 2018","FY 2018","Currency=INR","Period=FY","BEST_FPERIOD_OVERRIDE=FY","FILING_STATUS=OR","EQY_CONSOLIDATED=Y","Sort=A","Dates=H","DateFormat=P","Fill=—","Direction=H","UseDPDF=Y")</f>
        <v>#NAME?</v>
      </c>
      <c r="BL123" s="1" t="e">
        <f ca="1">_xll.BDH($C$103,"ACCOUNTS_RECEIVABLE_SEQ_GROWTH","FY 2018","FY 2018","Currency=INR","Period=FY","BEST_FPERIOD_OVERRIDE=FY","FILING_STATUS=OR","EQY_CONSOLIDATED=Y","Sort=A","Dates=H","DateFormat=P","Fill=—","Direction=H","UseDPDF=Y")</f>
        <v>#NAME?</v>
      </c>
      <c r="BM123" s="1" t="e">
        <f ca="1">_xll.BDH($C$103,"INVENTORY_SEQUENTIAL_GROWTH","FY 2018","FY 2018","Currency=INR","Period=FY","BEST_FPERIOD_OVERRIDE=FY","FILING_STATUS=OR","EQY_CONSOLIDATED=Y","Sort=A","Dates=H","DateFormat=P","Fill=—","Direction=H","UseDPDF=Y")</f>
        <v>#NAME?</v>
      </c>
      <c r="BN123" s="1" t="e">
        <f ca="1">_xll.BDH($C$103,"FIXED_ASSETS_SEQUENTIAL_GROWTH","FY 2018","FY 2018","Currency=INR","Period=FY","BEST_FPERIOD_OVERRIDE=FY","FILING_STATUS=OR","EQY_CONSOLIDATED=Y","Sort=A","Dates=H","DateFormat=P","Fill=—","Direction=H","UseDPDF=Y")</f>
        <v>#NAME?</v>
      </c>
      <c r="BO123" s="1" t="e">
        <f ca="1">_xll.BDH($C$103,"TOTAL_ASSETS_SEQUENTIAL_GROWTH","FY 2018","FY 2018","Currency=INR","Period=FY","BEST_FPERIOD_OVERRIDE=FY","FILING_STATUS=OR","EQY_CONSOLIDATED=Y","Sort=A","Dates=H","DateFormat=P","Fill=—","Direction=H","UseDPDF=Y")</f>
        <v>#NAME?</v>
      </c>
      <c r="BP123" s="1" t="e">
        <f ca="1">_xll.BDH($C$103,"MODIFIED_WORKING_CPTL_SEQ_GRWTH","FY 2018","FY 2018","Currency=INR","Period=FY","BEST_FPERIOD_OVERRIDE=FY","FILING_STATUS=OR","EQY_CONSOLIDATED=Y","Sort=A","Dates=H","DateFormat=P","Fill=—","Direction=H","UseDPDF=Y")</f>
        <v>#NAME?</v>
      </c>
      <c r="BQ123" s="1" t="e">
        <f ca="1">_xll.BDH($C$103,"WORKING_CAPITAL_SEQ_GROWTH","FY 2018","FY 2018","Currency=INR","Period=FY","BEST_FPERIOD_OVERRIDE=FY","FILING_STATUS=OR","EQY_CONSOLIDATED=Y","Sort=A","Dates=H","DateFormat=P","Fill=—","Direction=H","UseDPDF=Y")</f>
        <v>#NAME?</v>
      </c>
      <c r="BR123" s="1" t="e">
        <f ca="1">_xll.BDH($C$103,"ACCOUNTS_PAYABLE_SEQ_GROWTH","FY 2018","FY 2018","Currency=INR","Period=FY","BEST_FPERIOD_OVERRIDE=FY","FILING_STATUS=OR","EQY_CONSOLIDATED=Y","Sort=A","Dates=H","DateFormat=P","Fill=—","Direction=H","UseDPDF=Y")</f>
        <v>#NAME?</v>
      </c>
      <c r="BS123" s="1" t="e">
        <f ca="1">_xll.BDH($C$103,"ST_DEBT_SEQUENTIAL_GROWTH","FY 2018","FY 2018","Currency=INR","Period=FY","BEST_FPERIOD_OVERRIDE=FY","FILING_STATUS=OR","EQY_CONSOLIDATED=Y","Sort=A","Dates=H","DateFormat=P","Fill=—","Direction=H","UseDPDF=Y")</f>
        <v>#NAME?</v>
      </c>
      <c r="BT123" s="1" t="e">
        <f ca="1">_xll.BDH($C$103,"TOTAL_DEBT_SEQUENTIAL_GROWTH","FY 2018","FY 2018","Currency=INR","Period=FY","BEST_FPERIOD_OVERRIDE=FY","FILING_STATUS=OR","EQY_CONSOLIDATED=Y","Sort=A","Dates=H","DateFormat=P","Fill=—","Direction=H","UseDPDF=Y")</f>
        <v>#NAME?</v>
      </c>
      <c r="BU123" s="1" t="e">
        <f ca="1">_xll.BDH($C$103,"TOTAL_EQUITY_SEQUENTIAL_GROWTH","FY 2018","FY 2018","Currency=INR","Period=FY","BEST_FPERIOD_OVERRIDE=FY","FILING_STATUS=OR","EQY_CONSOLIDATED=Y","Sort=A","Dates=H","DateFormat=P","Fill=—","Direction=H","UseDPDF=Y")</f>
        <v>#NAME?</v>
      </c>
      <c r="BV123" s="1" t="e">
        <f ca="1">_xll.BDH($C$103,"TOTAL_CAPITAL_SEQUENTIAL_GROWTH","FY 2018","FY 2018","Currency=INR","Period=FY","BEST_FPERIOD_OVERRIDE=FY","FILING_STATUS=OR","EQY_CONSOLIDATED=Y","Sort=A","Dates=H","DateFormat=P","Fill=—","Direction=H","UseDPDF=Y")</f>
        <v>#NAME?</v>
      </c>
      <c r="BW123" s="1" t="e">
        <f ca="1">_xll.BDH($C$103,"BPS_SEQUENTIAL_GROWTH","FY 2018","FY 2018","Currency=INR","Period=FY","BEST_FPERIOD_OVERRIDE=FY","FILING_STATUS=OR","EQY_CONSOLIDATED=Y","Sort=A","Dates=H","DateFormat=P","Fill=—","Direction=H","UseDPDF=Y")</f>
        <v>#NAME?</v>
      </c>
      <c r="BX123" s="1" t="e">
        <f ca="1">_xll.BDH($C$103,"CFO_SEQUENTIAL_GROWTH","FY 2018","FY 2018","Currency=INR","Period=FY","BEST_FPERIOD_OVERRIDE=FY","FILING_STATUS=OR","EQY_CONSOLIDATED=Y","Sort=A","Dates=H","DateFormat=P","Fill=—","Direction=H","UseDPDF=Y")</f>
        <v>#NAME?</v>
      </c>
      <c r="BY123" s="2" t="e">
        <f ca="1">_xll.BDH($C$103,"SHORT_AND_LONG_TERM_DEBT","FY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23" s="2" t="e">
        <f ca="1">_xll.BDH($C$103,"BS_ST_BORROW","FY 2018","FY 2018","Currency=INR","Period=FY","BEST_FPERIOD_OVERRIDE=FY","FILING_STATUS=OR","EQY_CONSOLIDATED=Y","SCALING_FORMAT=MLN","Sort=A","Dates=H","DateFormat=P","Fill=—","Direction=H","UseDPDF=Y")</f>
        <v>#NAME?</v>
      </c>
      <c r="CA123" s="2" t="e">
        <f ca="1">_xll.BDH($C$103,"BS_LT_BORROW","FY 2018","FY 2018","Currency=INR","Period=FY","BEST_FPERIOD_OVERRIDE=FY","FILING_STATUS=OR","EQY_CONSOLIDATED=Y","SCALING_FORMAT=MLN","Sort=A","Dates=H","DateFormat=P","Fill=—","Direction=H","UseDPDF=Y")</f>
        <v>#NAME?</v>
      </c>
      <c r="CB123" s="1" t="e">
        <f ca="1">_xll.BDH($C$103,"TOT_DEBT_TO_EBITDA","FY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123" s="1" t="e">
        <f ca="1">_xll.BDH($C$103,"NET_DEBT_TO_EBITDA","FY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123" s="1" t="e">
        <f ca="1">_xll.BDH($C$103,"TOTAL_DEBT_TO_EBIT","FY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123" s="1" t="e">
        <f ca="1">_xll.BDH($C$103,"NET_DEBT_TO_EBIT","FY 2018","FY 2018","Currency=INR","Period=FY","BEST_FPERIOD_OVERRIDE=FY","FILING_STATUS=OR","EQY_CONSOLIDATED=Y","FA_ADJUSTED=GAAP","Sort=A","Dates=H","DateFormat=P","Fill=—","Direction=H","UseDPDF=Y")</f>
        <v>#NAME?</v>
      </c>
      <c r="CF123" s="1" t="e">
        <f ca="1">_xll.BDH($C$103,"EBITDA_TO_INTEREST_EXPN","FY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23" s="1" t="e">
        <f ca="1">_xll.BDH($C$103,"COM_EQY_TO_TOT_ASSET","FY 2018","FY 2018","Currency=INR","Period=FY","BEST_FPERIOD_OVERRIDE=FY","FILING_STATUS=OR","EQY_CONSOLIDATED=Y","Sort=A","Dates=H","DateFormat=P","Fill=—","Direction=H","UseDPDF=Y")</f>
        <v>#NAME?</v>
      </c>
      <c r="CH123" s="1" t="e">
        <f ca="1">_xll.BDH($C$103,"LT_DEBT_TO_TOT_EQY","FY 2018","FY 2018","Currency=INR","Period=FY","BEST_FPERIOD_OVERRIDE=FY","FILING_STATUS=OR","EQY_CONSOLIDATED=Y","Sort=A","Dates=H","DateFormat=P","Fill=—","Direction=H","UseDPDF=Y")</f>
        <v>#NAME?</v>
      </c>
      <c r="CI123" s="1" t="e">
        <f ca="1">_xll.BDH($C$103,"LT_DEBT_TO_TOT_CAP","FY 2018","FY 2018","Currency=INR","Period=FY","BEST_FPERIOD_OVERRIDE=FY","FILING_STATUS=OR","EQY_CONSOLIDATED=Y","Sort=A","Dates=H","DateFormat=P","Fill=—","Direction=H","UseDPDF=Y")</f>
        <v>#NAME?</v>
      </c>
      <c r="CJ123" s="1" t="e">
        <f ca="1">_xll.BDH($C$103,"LT_DEBT_TO_TOT_ASSET","FY 2018","FY 2018","Currency=INR","Period=FY","BEST_FPERIOD_OVERRIDE=FY","FILING_STATUS=OR","EQY_CONSOLIDATED=Y","Sort=A","Dates=H","DateFormat=P","Fill=—","Direction=H","UseDPDF=Y")</f>
        <v>#NAME?</v>
      </c>
      <c r="CK123" s="1" t="e">
        <f ca="1">_xll.BDH($C$103,"TOT_DEBT_TO_TOT_EQY","FY 2018","FY 2018","Currency=INR","Period=FY","BEST_FPERIOD_OVERRIDE=FY","FILING_STATUS=OR","EQY_CONSOLIDATED=Y","Sort=A","Dates=H","DateFormat=P","Fill=—","Direction=H","UseDPDF=Y")</f>
        <v>#NAME?</v>
      </c>
      <c r="CL123" s="1" t="e">
        <f ca="1">_xll.BDH($C$103,"TOT_DEBT_TO_TOT_CAP","FY 2018","FY 2018","Currency=INR","Period=FY","BEST_FPERIOD_OVERRIDE=FY","FILING_STATUS=OR","EQY_CONSOLIDATED=Y","Sort=A","Dates=H","DateFormat=P","Fill=—","Direction=H","UseDPDF=Y")</f>
        <v>#NAME?</v>
      </c>
      <c r="CM123" s="1" t="e">
        <f ca="1">_xll.BDH($C$103,"TOT_DEBT_TO_TOT_ASSET","FY 2018","FY 2018","Currency=INR","Period=FY","BEST_FPERIOD_OVERRIDE=FY","FILING_STATUS=OR","EQY_CONSOLIDATED=Y","Sort=A","Dates=H","DateFormat=P","Fill=—","Direction=H","UseDPDF=Y")</f>
        <v>#NAME?</v>
      </c>
      <c r="CN123" s="1" t="e">
        <f ca="1">_xll.BDH($C$103,"NET_DEBT_TO_SHRHLDR_EQTY","FY 2018","FY 2018","Currency=INR","Period=FY","BEST_FPERIOD_OVERRIDE=FY","FILING_STATUS=OR","EQY_CONSOLIDATED=Y","Sort=A","Dates=H","DateFormat=P","Fill=—","Direction=H","UseDPDF=Y")</f>
        <v>#NAME?</v>
      </c>
      <c r="CO123" s="1" t="e">
        <f ca="1">_xll.BDH($C$103,"NET_DEBT_%_CAPITAL","FY 2018","FY 2018","Currency=INR","Period=FY","BEST_FPERIOD_OVERRIDE=FY","FILING_STATUS=OR","EQY_CONSOLIDATED=Y","Sort=A","Dates=H","DateFormat=P","Fill=—","Direction=H","UseDPDF=Y")</f>
        <v>#NAME?</v>
      </c>
      <c r="CP123" s="2" t="e">
        <f ca="1">_xll.BDH($C$103,"EBITDA","FY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23" s="2" t="e">
        <f ca="1">_xll.BDH($C$103,"EBITDA_AFTER_CAPEX","FY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23" s="2" t="e">
        <f ca="1">_xll.BDH($C$103,"IS_OPER_INC","FY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23" s="1" t="e">
        <f ca="1">_xll.BDH($C$103,"CASH_RATIO","FY 2018","FY 2018","Currency=INR","Period=FY","BEST_FPERIOD_OVERRIDE=FY","FILING_STATUS=OR","EQY_CONSOLIDATED=Y","Sort=A","Dates=H","DateFormat=P","Fill=—","Direction=H","UseDPDF=Y")</f>
        <v>#NAME?</v>
      </c>
      <c r="CT123" s="1" t="e">
        <f ca="1">_xll.BDH($C$103,"CUR_RATIO","FY 2018","FY 2018","Currency=INR","Period=FY","BEST_FPERIOD_OVERRIDE=FY","FILING_STATUS=OR","EQY_CONSOLIDATED=Y","Sort=A","Dates=H","DateFormat=P","Fill=—","Direction=H","UseDPDF=Y")</f>
        <v>#NAME?</v>
      </c>
      <c r="CU123" s="1" t="e">
        <f ca="1">_xll.BDH($C$103,"QUICK_RATIO","FY 2018","FY 2018","Currency=INR","Period=FY","BEST_FPERIOD_OVERRIDE=FY","FILING_STATUS=OR","EQY_CONSOLIDATED=Y","Sort=A","Dates=H","DateFormat=P","Fill=—","Direction=H","UseDPDF=Y")</f>
        <v>#NAME?</v>
      </c>
      <c r="CV123" s="1" t="e">
        <f ca="1">_xll.BDH($C$103,"ALTMAN_Z_SCORE","FY 2018","FY 2018","Currency=INR","Period=FY","BEST_FPERIOD_OVERRIDE=FY","FILING_STATUS=OR","EQY_CONSOLIDATED=Y","Sort=A","Dates=H","DateFormat=P","Fill=—","Direction=H","UseDPDF=Y")</f>
        <v>#NAME?</v>
      </c>
      <c r="CW123" s="3" t="e">
        <f ca="1">_xll.BDH($C$103,"ACCT_RCV_TURN","FY 2018","FY 2018","Currency=INR","Period=FY","BEST_FPERIOD_OVERRIDE=FY","FILING_STATUS=OR","EQY_CONSOLIDATED=Y","FA_ADJUSTED=GAAP","Sort=A","Dates=H","DateFormat=P","Fill=—","Direction=H","UseDPDF=Y")</f>
        <v>#NAME?</v>
      </c>
      <c r="CX123" s="1" t="e">
        <f ca="1">_xll.BDH($C$103,"ACCT_RCV_DAYS","FY 2018","FY 2018","Currency=INR","Period=FY","BEST_FPERIOD_OVERRIDE=FY","FILING_STATUS=OR","EQY_CONSOLIDATED=Y","FA_ADJUSTED=GAAP","Sort=A","Dates=H","DateFormat=P","Fill=—","Direction=H","UseDPDF=Y")</f>
        <v>#NAME?</v>
      </c>
      <c r="CY123" s="3" t="e">
        <f ca="1">_xll.BDH($C$103,"INVENT_TURN","FY 2018","FY 2018","Currency=INR","Period=FY","BEST_FPERIOD_OVERRIDE=FY","FILING_STATUS=OR","EQY_CONSOLIDATED=Y","FA_ADJUSTED=GAAP","Sort=A","Dates=H","DateFormat=P","Fill=—","Direction=H","UseDPDF=Y")</f>
        <v>#NAME?</v>
      </c>
      <c r="CZ123" s="1" t="e">
        <f ca="1">_xll.BDH($C$103,"INVENT_DAYS","FY 2018","FY 2018","Currency=INR","Period=FY","BEST_FPERIOD_OVERRIDE=FY","FILING_STATUS=OR","EQY_CONSOLIDATED=Y","FA_ADJUSTED=GAAP","Sort=A","Dates=H","DateFormat=P","Fill=—","Direction=H","UseDPDF=Y")</f>
        <v>#NAME?</v>
      </c>
      <c r="DA123" s="3" t="e">
        <f ca="1">_xll.BDH($C$103,"ACCOUNTS_PAYABLE_TURNOVER","FY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23" s="1" t="e">
        <f ca="1">_xll.BDH($C$103,"ACCOUNTS_PAYABLE_TURNOVER_DAYS","FY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23" s="3" t="e">
        <f ca="1">_xll.BDH($C$103,"CASH_CONVERSION_CYCLE","FY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23" s="3" t="e">
        <f ca="1">_xll.BDH($C$103,"INV_TO_CASH_DAYS","FY 2018","FY 2018","Currency=INR","Period=FY","BEST_FPERIOD_OVERRIDE=FY","FILING_STATUS=OR","EQY_CONSOLIDATED=Y","FA_ADJUSTED=GAAP","Sort=A","Dates=H","DateFormat=P","Fill=—","Direction=H","UseDPDF=Y")</f>
        <v>#NAME?</v>
      </c>
      <c r="DE123" s="4" t="e">
        <f ca="1">_xll.BDH($C$103,"BS_INVENTORIES","FY 2018","FY 2018","Currency=INR","Period=FY","BEST_FPERIOD_OVERRIDE=FY","FILING_STATUS=OR","EQY_CONSOLIDATED=Y","SCALING_FORMAT=MLN","Sort=A","Dates=H","DateFormat=P","Fill=—","Direction=H","UseDPDF=Y")</f>
        <v>#NAME?</v>
      </c>
      <c r="DF123" s="2" t="e">
        <f ca="1">_xll.BDH($C$103,"INVTRY_RAW_MATERIALS","FY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23" s="2" t="e">
        <f ca="1">_xll.BDH($C$103,"INVTRY_IN_PROGRESS","FY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23" s="2" t="e">
        <f ca="1">_xll.BDH($C$103,"INVTRY_FINISHED_GOODS","FY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23" s="2" t="e">
        <f ca="1">_xll.BDH($C$103,"BS_OTHER_INV","FY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24" spans="1:113" x14ac:dyDescent="0.3">
      <c r="A124" s="6"/>
      <c r="B124" s="6"/>
      <c r="C124" s="6"/>
      <c r="D124" s="6"/>
      <c r="E124" t="s">
        <v>4</v>
      </c>
      <c r="F124" t="e">
        <f ca="1">_xll.BDH($C$103,"RETURN_COM_EQY","FQ1 2018","FQ1 2018","Currency=INR","Period=FQ","BEST_FPERIOD_OVERRIDE=FQ","FILING_STATUS=OR","EQY_CONSOLIDATED=Y","FA_ADJUSTED=GAAP","Sort=A","Dates=H","DateFormat=P","Fill=—","Direction=H","UseDPDF=Y")</f>
        <v>#NAME?</v>
      </c>
      <c r="G124" t="e">
        <f ca="1">_xll.BDH($C$103,"RETURN_ON_ASSET","FQ1 2018","FQ1 2018","Currency=INR","Period=FQ","BEST_FPERIOD_OVERRIDE=FQ","FILING_STATUS=OR","EQY_CONSOLIDATED=Y","FA_ADJUSTED=GAAP","Sort=A","Dates=H","DateFormat=P","Fill=—","Direction=H","UseDPDF=Y")</f>
        <v>#NAME?</v>
      </c>
      <c r="H124" t="e">
        <f ca="1">_xll.BDH($C$103,"RETURN_ON_CAP","FQ1 2018","FQ1 2018","Currency=INR","Period=FQ","BEST_FPERIOD_OVERRIDE=FQ","FILING_STATUS=OR","EQY_CONSOLIDATED=Y","FA_ADJUSTED=GAAP","Sort=A","Dates=H","DateFormat=P","Fill=—","Direction=H","UseDPDF=Y")</f>
        <v>#NAME?</v>
      </c>
      <c r="I124" t="e">
        <f ca="1">_xll.BDH($C$103,"RETURN_ON_INV_CAPITAL","FQ1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24" t="e">
        <f ca="1">_xll.BDH($C$103,"EBITDA_TO_REVENUE","FQ1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124" t="e">
        <f ca="1">_xll.BDH($C$103,"OPER_MARGIN","FQ1 2018","FQ1 2018","Currency=INR","Period=FQ","BEST_FPERIOD_OVERRIDE=FQ","FILING_STATUS=OR","EQY_CONSOLIDATED=Y","FA_ADJUSTED=GAAP","Sort=A","Dates=H","DateFormat=P","Fill=—","Direction=H","UseDPDF=Y")</f>
        <v>#NAME?</v>
      </c>
      <c r="L124" t="e">
        <f ca="1">_xll.BDH($C$103,"INCREMENTAL_OPERATING_MARGIN","FQ1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24" t="e">
        <f ca="1">_xll.BDH($C$103,"PRETAX_INC_TO_NET_SALES","FQ1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24" t="e">
        <f ca="1">_xll.BDH($C$103,"INC_BEF_XO_ITEMS_TO_NET_SALES","FQ1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24" t="e">
        <f ca="1">_xll.BDH($C$103,"PROF_MARGIN","FQ1 2018","FQ1 2018","Currency=INR","Period=FQ","BEST_FPERIOD_OVERRIDE=FQ","FILING_STATUS=OR","EQY_CONSOLIDATED=Y","FA_ADJUSTED=GAAP","Sort=A","Dates=H","DateFormat=P","Fill=—","Direction=H","UseDPDF=Y")</f>
        <v>#NAME?</v>
      </c>
      <c r="P124" t="e">
        <f ca="1">_xll.BDH($C$103,"NET_INCOME_TO_COMMON_MARGIN","FQ1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24" t="e">
        <f ca="1">_xll.BDH($C$103,"EFF_TAX_RATE","FQ1 2018","FQ1 2018","Currency=INR","Period=FQ","BEST_FPERIOD_OVERRIDE=FQ","FILING_STATUS=OR","EQY_CONSOLIDATED=Y","FA_ADJUSTED=GAAP","Sort=A","Dates=H","DateFormat=P","Fill=—","Direction=H","UseDPDF=Y")</f>
        <v>#NAME?</v>
      </c>
      <c r="R124" t="e">
        <f ca="1">_xll.BDH($C$103,"DVD_PAYOUT_RATIO","FQ1 2018","FQ1 2018","Currency=INR","Period=FQ","BEST_FPERIOD_OVERRIDE=FQ","FILING_STATUS=OR","EQY_CONSOLIDATED=Y","FA_ADJUSTED=GAAP","Sort=A","Dates=H","DateFormat=P","Fill=—","Direction=H","UseDPDF=Y")</f>
        <v>#NAME?</v>
      </c>
      <c r="S124" t="e">
        <f ca="1">_xll.BDH($C$103,"SUSTAIN_GROWTH_RT","FQ1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124" s="1" t="e">
        <f ca="1">_xll.BDH($C$103,"SALES_GROWTH","FQ1 2018","FQ1 2018","Currency=INR","Period=FQ","BEST_FPERIOD_OVERRIDE=FQ","FILING_STATUS=OR","EQY_CONSOLIDATED=Y","FA_ADJUSTED=GAAP","Sort=A","Dates=H","DateFormat=P","Fill=—","Direction=H","UseDPDF=Y")</f>
        <v>#NAME?</v>
      </c>
      <c r="U124" s="1" t="e">
        <f ca="1">_xll.BDH($C$103,"EBITDA_GROWTH","FQ1 2018","FQ1 2018","Currency=INR","Period=FQ","BEST_FPERIOD_OVERRIDE=FQ","FILING_STATUS=OR","EQY_CONSOLIDATED=Y","FA_ADJUSTED=GAAP","Sort=A","Dates=H","DateFormat=P","Fill=—","Direction=H","UseDPDF=Y")</f>
        <v>#NAME?</v>
      </c>
      <c r="V124" s="1" t="e">
        <f ca="1">_xll.BDH($C$103,"OPER_INC_GROWTH","FQ1 2018","FQ1 2018","Currency=INR","Period=FQ","BEST_FPERIOD_OVERRIDE=FQ","FILING_STATUS=OR","EQY_CONSOLIDATED=Y","FA_ADJUSTED=GAAP","Sort=A","Dates=H","DateFormat=P","Fill=—","Direction=H","UseDPDF=Y")</f>
        <v>#NAME?</v>
      </c>
      <c r="W124" s="1" t="e">
        <f ca="1">_xll.BDH($C$103,"EARN_FOR_COM_GROWTH","FQ1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24" s="1" t="e">
        <f ca="1">_xll.BDH($C$103,"DILUTED_EPS_AFT_XO_ITEMS_GROWTH","FQ1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24" s="1" t="e">
        <f ca="1">_xll.BDH($C$103,"DIVIDEND_PER_SHARE_1_YEAR_GROWTH","FQ1 2018","FQ1 2018","Currency=INR","Period=FQ","BEST_FPERIOD_OVERRIDE=FQ","FILING_STATUS=OR","EQY_CONSOLIDATED=Y","Sort=A","Dates=H","DateFormat=P","Fill=—","Direction=H","UseDPDF=Y")</f>
        <v>#NAME?</v>
      </c>
      <c r="Z124" s="1" t="e">
        <f ca="1">_xll.BDH($C$103,"ACCOUNTS_RECEIVABLE_GROWTH","FQ1 2018","FQ1 2018","Currency=INR","Period=FQ","BEST_FPERIOD_OVERRIDE=FQ","FILING_STATUS=OR","EQY_CONSOLIDATED=Y","Sort=A","Dates=H","DateFormat=P","Fill=—","Direction=H","UseDPDF=Y")</f>
        <v>#NAME?</v>
      </c>
      <c r="AA124" s="1" t="e">
        <f ca="1">_xll.BDH($C$103,"INVENTORY_GROWTH","FQ1 2018","FQ1 2018","Currency=INR","Period=FQ","BEST_FPERIOD_OVERRIDE=FQ","FILING_STATUS=OR","EQY_CONSOLIDATED=Y","Sort=A","Dates=H","DateFormat=P","Fill=—","Direction=H","UseDPDF=Y")</f>
        <v>#NAME?</v>
      </c>
      <c r="AB124" s="1" t="e">
        <f ca="1">_xll.BDH($C$103,"NET_FIXED_ASSETS_1_YEAR_GROWTH","FQ1 2018","FQ1 2018","Currency=INR","Period=FQ","BEST_FPERIOD_OVERRIDE=FQ","FILING_STATUS=OR","EQY_CONSOLIDATED=Y","Sort=A","Dates=H","DateFormat=P","Fill=—","Direction=H","UseDPDF=Y")</f>
        <v>#NAME?</v>
      </c>
      <c r="AC124" s="1" t="e">
        <f ca="1">_xll.BDH($C$103,"ASSET_GROWTH","FQ1 2018","FQ1 2018","Currency=INR","Period=FQ","BEST_FPERIOD_OVERRIDE=FQ","FILING_STATUS=OR","EQY_CONSOLIDATED=Y","Sort=A","Dates=H","DateFormat=P","Fill=—","Direction=H","UseDPDF=Y")</f>
        <v>#NAME?</v>
      </c>
      <c r="AD124" s="1" t="e">
        <f ca="1">_xll.BDH($C$103,"MODIFIED_WORK_CAP_GROWTH","FQ1 2018","FQ1 2018","Currency=INR","Period=FQ","BEST_FPERIOD_OVERRIDE=FQ","FILING_STATUS=OR","EQY_CONSOLIDATED=Y","Sort=A","Dates=H","DateFormat=P","Fill=—","Direction=H","UseDPDF=Y")</f>
        <v>#NAME?</v>
      </c>
      <c r="AE124" s="1" t="e">
        <f ca="1">_xll.BDH($C$103,"WORK_CAP_GROWTH","FQ1 2018","FQ1 2018","Currency=INR","Period=FQ","BEST_FPERIOD_OVERRIDE=FQ","FILING_STATUS=OR","EQY_CONSOLIDATED=Y","Sort=A","Dates=H","DateFormat=P","Fill=—","Direction=H","UseDPDF=Y")</f>
        <v>#NAME?</v>
      </c>
      <c r="AF124" s="1" t="e">
        <f ca="1">_xll.BDH($C$103,"ACCOUNTS_PAYABLE_GROWTH_1YR","FQ1 2018","FQ1 2018","Currency=INR","Period=FQ","BEST_FPERIOD_OVERRIDE=FQ","FILING_STATUS=OR","EQY_CONSOLIDATED=Y","Sort=A","Dates=H","DateFormat=P","Fill=—","Direction=H","UseDPDF=Y")</f>
        <v>#NAME?</v>
      </c>
      <c r="AG124" s="1" t="e">
        <f ca="1">_xll.BDH($C$103,"SHORT_TERM_DEBT_1_YEAR_GROWTH","FQ1 2018","FQ1 2018","Currency=INR","Period=FQ","BEST_FPERIOD_OVERRIDE=FQ","FILING_STATUS=OR","EQY_CONSOLIDATED=Y","Sort=A","Dates=H","DateFormat=P","Fill=—","Direction=H","UseDPDF=Y")</f>
        <v>#NAME?</v>
      </c>
      <c r="AH124" s="1" t="e">
        <f ca="1">_xll.BDH($C$103,"TOTAL_DEBT_1_YEAR_GROWTH","FQ1 2018","FQ1 2018","Currency=INR","Period=FQ","BEST_FPERIOD_OVERRIDE=FQ","FILING_STATUS=OR","EQY_CONSOLIDATED=Y","Sort=A","Dates=H","DateFormat=P","Fill=—","Direction=H","UseDPDF=Y")</f>
        <v>#NAME?</v>
      </c>
      <c r="AI124" s="1" t="e">
        <f ca="1">_xll.BDH($C$103,"TOTAL_EQUITY_1_YEAR_GROWTH","FQ1 2018","FQ1 2018","Currency=INR","Period=FQ","BEST_FPERIOD_OVERRIDE=FQ","FILING_STATUS=OR","EQY_CONSOLIDATED=Y","Sort=A","Dates=H","DateFormat=P","Fill=—","Direction=H","UseDPDF=Y")</f>
        <v>#NAME?</v>
      </c>
      <c r="AJ124" s="1" t="e">
        <f ca="1">_xll.BDH($C$103,"GROWTH_IN_CAP","FQ1 2018","FQ1 2018","Currency=INR","Period=FQ","BEST_FPERIOD_OVERRIDE=FQ","FILING_STATUS=OR","EQY_CONSOLIDATED=Y","Sort=A","Dates=H","DateFormat=P","Fill=—","Direction=H","UseDPDF=Y")</f>
        <v>#NAME?</v>
      </c>
      <c r="AK124" s="1" t="e">
        <f ca="1">_xll.BDH($C$103,"BVPS_GROWTH","FQ1 2018","FQ1 2018","Currency=INR","Period=FQ","BEST_FPERIOD_OVERRIDE=FQ","FILING_STATUS=OR","EQY_CONSOLIDATED=Y","Sort=A","Dates=H","DateFormat=P","Fill=—","Direction=H","UseDPDF=Y")</f>
        <v>#NAME?</v>
      </c>
      <c r="AL124" s="1" t="e">
        <f ca="1">_xll.BDH($C$103,"CASH_FLOW_GROWTH","FQ1 2018","FQ1 2018","Currency=INR","Period=FQ","BEST_FPERIOD_OVERRIDE=FQ","FILING_STATUS=OR","EQY_CONSOLIDATED=Y","Sort=A","Dates=H","DateFormat=P","Fill=—","Direction=H","UseDPDF=Y")</f>
        <v>#NAME?</v>
      </c>
      <c r="AM124" s="1" t="e">
        <f ca="1">_xll.BDH($C$103,"GEO_GROW_NET_SALES","FQ1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24" s="1" t="e">
        <f ca="1">_xll.BDH($C$103,"GEO_GROW_EBITDA","FQ1 2018","FQ1 2018","Currency=INR","Period=FQ","BEST_FPERIOD_OVERRIDE=FQ","FILING_STATUS=OR","EQY_CONSOLIDATED=Y","FA_ADJUSTED=GAAP","Sort=A","Dates=H","DateFormat=P","Fill=—","Direction=H","UseDPDF=Y")</f>
        <v>#NAME?</v>
      </c>
      <c r="AO124" s="1" t="e">
        <f ca="1">_xll.BDH($C$103,"GEO_GROW_OPER_INC","FQ1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24" s="1" t="e">
        <f ca="1">_xll.BDH($C$103,"NET_INCOME_TO_COMMON_5_YR_GROWTH","FQ1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24" s="1" t="e">
        <f ca="1">_xll.BDH($C$103,"5Y_GEO_GROWTH_DILUTED_EPS","FQ1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24" s="1" t="e">
        <f ca="1">_xll.BDH($C$103,"GEO_GROW_DVD_PER_SH","FQ1 2018","FQ1 2018","Currency=INR","Period=FQ","BEST_FPERIOD_OVERRIDE=FQ","FILING_STATUS=OR","EQY_CONSOLIDATED=Y","Sort=A","Dates=H","DateFormat=P","Fill=—","Direction=H","UseDPDF=Y")</f>
        <v>#NAME?</v>
      </c>
      <c r="AS124" s="1" t="e">
        <f ca="1">_xll.BDH($C$103,"ACCOUNTS_RECEIVABLE_5_YR_GROWTH","FQ1 2018","FQ1 2018","Currency=INR","Period=FQ","BEST_FPERIOD_OVERRIDE=FQ","FILING_STATUS=OR","EQY_CONSOLIDATED=Y","Sort=A","Dates=H","DateFormat=P","Fill=—","Direction=H","UseDPDF=Y")</f>
        <v>#NAME?</v>
      </c>
      <c r="AT124" s="1" t="e">
        <f ca="1">_xll.BDH($C$103,"INVENTORY_5_YEAR_GROWTH","FQ1 2018","FQ1 2018","Currency=INR","Period=FQ","BEST_FPERIOD_OVERRIDE=FQ","FILING_STATUS=OR","EQY_CONSOLIDATED=Y","Sort=A","Dates=H","DateFormat=P","Fill=—","Direction=H","UseDPDF=Y")</f>
        <v>#NAME?</v>
      </c>
      <c r="AU124" s="1" t="e">
        <f ca="1">_xll.BDH($C$103,"NET_FIXED_ASSETS_5_YEAR_GROWTH","FQ1 2018","FQ1 2018","Currency=INR","Period=FQ","BEST_FPERIOD_OVERRIDE=FQ","FILING_STATUS=OR","EQY_CONSOLIDATED=Y","Sort=A","Dates=H","DateFormat=P","Fill=—","Direction=H","UseDPDF=Y")</f>
        <v>#NAME?</v>
      </c>
      <c r="AV124" s="1" t="e">
        <f ca="1">_xll.BDH($C$103,"GEO_GROW_TOT_ASSET","FQ1 2018","FQ1 2018","Currency=INR","Period=FQ","BEST_FPERIOD_OVERRIDE=FQ","FILING_STATUS=OR","EQY_CONSOLIDATED=Y","Sort=A","Dates=H","DateFormat=P","Fill=—","Direction=H","UseDPDF=Y")</f>
        <v>#NAME?</v>
      </c>
      <c r="AW124" s="1" t="e">
        <f ca="1">_xll.BDH($C$103,"MODIFIED_WORKING_CPTL_5YR_GRWTH","FQ1 2018","FQ1 2018","Currency=INR","Period=FQ","BEST_FPERIOD_OVERRIDE=FQ","FILING_STATUS=OR","EQY_CONSOLIDATED=Y","Sort=A","Dates=H","DateFormat=P","Fill=—","Direction=H","UseDPDF=Y")</f>
        <v>#NAME?</v>
      </c>
      <c r="AX124" s="1" t="e">
        <f ca="1">_xll.BDH($C$103,"WORKING_CAPITAL_5_YEAR_GROWTH","FQ1 2018","FQ1 2018","Currency=INR","Period=FQ","BEST_FPERIOD_OVERRIDE=FQ","FILING_STATUS=OR","EQY_CONSOLIDATED=Y","Sort=A","Dates=H","DateFormat=P","Fill=—","Direction=H","UseDPDF=Y")</f>
        <v>#NAME?</v>
      </c>
      <c r="AY124" s="1" t="e">
        <f ca="1">_xll.BDH($C$103,"ACCOUNTS_PAYABLE_5_YEAR_GROWTH","FQ1 2018","FQ1 2018","Currency=INR","Period=FQ","BEST_FPERIOD_OVERRIDE=FQ","FILING_STATUS=OR","EQY_CONSOLIDATED=Y","Sort=A","Dates=H","DateFormat=P","Fill=—","Direction=H","UseDPDF=Y")</f>
        <v>#NAME?</v>
      </c>
      <c r="AZ124" s="1" t="e">
        <f ca="1">_xll.BDH($C$103,"SHORT_TERM_DEBT_5_YEAR_GROWTH","FQ1 2018","FQ1 2018","Currency=INR","Period=FQ","BEST_FPERIOD_OVERRIDE=FQ","FILING_STATUS=OR","EQY_CONSOLIDATED=Y","Sort=A","Dates=H","DateFormat=P","Fill=—","Direction=H","UseDPDF=Y")</f>
        <v>#NAME?</v>
      </c>
      <c r="BA124" s="1" t="e">
        <f ca="1">_xll.BDH($C$103,"TOTAL_DEBT_5_YEAR_GROWTH","FQ1 2018","FQ1 2018","Currency=INR","Period=FQ","BEST_FPERIOD_OVERRIDE=FQ","FILING_STATUS=OR","EQY_CONSOLIDATED=Y","Sort=A","Dates=H","DateFormat=P","Fill=—","Direction=H","UseDPDF=Y")</f>
        <v>#NAME?</v>
      </c>
      <c r="BB124" s="1" t="e">
        <f ca="1">_xll.BDH($C$103,"GEO_GROW_TOT_SHRHLDR_EQY","FQ1 2018","FQ1 2018","Currency=INR","Period=FQ","BEST_FPERIOD_OVERRIDE=FQ","FILING_STATUS=OR","EQY_CONSOLIDATED=Y","Sort=A","Dates=H","DateFormat=P","Fill=—","Direction=H","UseDPDF=Y")</f>
        <v>#NAME?</v>
      </c>
      <c r="BC124" s="1" t="e">
        <f ca="1">_xll.BDH($C$103,"TOTAL_CAPITAL_5_YEAR_GROWTH","FQ1 2018","FQ1 2018","Currency=INR","Period=FQ","BEST_FPERIOD_OVERRIDE=FQ","FILING_STATUS=OR","EQY_CONSOLIDATED=Y","Sort=A","Dates=H","DateFormat=P","Fill=—","Direction=H","UseDPDF=Y")</f>
        <v>#NAME?</v>
      </c>
      <c r="BD124" s="1" t="e">
        <f ca="1">_xll.BDH($C$103,"GEO_GROW_BOOK_VAL","FQ1 2018","FQ1 2018","Currency=INR","Period=FQ","BEST_FPERIOD_OVERRIDE=FQ","FILING_STATUS=OR","EQY_CONSOLIDATED=Y","Sort=A","Dates=H","DateFormat=P","Fill=—","Direction=H","UseDPDF=Y")</f>
        <v>#NAME?</v>
      </c>
      <c r="BE124" s="1" t="e">
        <f ca="1">_xll.BDH($C$103,"GEO_GROW_CASH_OPER_ACT","FQ1 2018","FQ1 2018","Currency=INR","Period=FQ","BEST_FPERIOD_OVERRIDE=FQ","FILING_STATUS=OR","EQY_CONSOLIDATED=Y","Sort=A","Dates=H","DateFormat=P","Fill=—","Direction=H","UseDPDF=Y")</f>
        <v>#NAME?</v>
      </c>
      <c r="BF124" s="1" t="e">
        <f ca="1">_xll.BDH($C$103,"REVENUE_SEQUENTIAL_GROWTH","FQ1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24" s="1" t="e">
        <f ca="1">_xll.BDH($C$103,"EBITDA_SEQUENTIAL_GROWTH","FQ1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24" s="1" t="e">
        <f ca="1">_xll.BDH($C$103,"OPERATING_INCOME_SEQ_GROWTH","FQ1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24" s="1" t="e">
        <f ca="1">_xll.BDH($C$103,"NET_INCOME_TO_COMMON_SEQ_GROWTH","FQ1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24" s="1" t="e">
        <f ca="1">_xll.BDH($C$103,"EPS_DILUTED_SEQUENTIAL_GROWTH","FQ1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24" s="1" t="e">
        <f ca="1">_xll.BDH($C$103,"DPS_SEQUENTIAL_GROWTH","FQ1 2018","FQ1 2018","Currency=INR","Period=FQ","BEST_FPERIOD_OVERRIDE=FQ","FILING_STATUS=OR","EQY_CONSOLIDATED=Y","Sort=A","Dates=H","DateFormat=P","Fill=—","Direction=H","UseDPDF=Y")</f>
        <v>#NAME?</v>
      </c>
      <c r="BL124" s="1" t="e">
        <f ca="1">_xll.BDH($C$103,"ACCOUNTS_RECEIVABLE_SEQ_GROWTH","FQ1 2018","FQ1 2018","Currency=INR","Period=FQ","BEST_FPERIOD_OVERRIDE=FQ","FILING_STATUS=OR","EQY_CONSOLIDATED=Y","Sort=A","Dates=H","DateFormat=P","Fill=—","Direction=H","UseDPDF=Y")</f>
        <v>#NAME?</v>
      </c>
      <c r="BM124" s="1" t="e">
        <f ca="1">_xll.BDH($C$103,"INVENTORY_SEQUENTIAL_GROWTH","FQ1 2018","FQ1 2018","Currency=INR","Period=FQ","BEST_FPERIOD_OVERRIDE=FQ","FILING_STATUS=OR","EQY_CONSOLIDATED=Y","Sort=A","Dates=H","DateFormat=P","Fill=—","Direction=H","UseDPDF=Y")</f>
        <v>#NAME?</v>
      </c>
      <c r="BN124" s="1" t="e">
        <f ca="1">_xll.BDH($C$103,"FIXED_ASSETS_SEQUENTIAL_GROWTH","FQ1 2018","FQ1 2018","Currency=INR","Period=FQ","BEST_FPERIOD_OVERRIDE=FQ","FILING_STATUS=OR","EQY_CONSOLIDATED=Y","Sort=A","Dates=H","DateFormat=P","Fill=—","Direction=H","UseDPDF=Y")</f>
        <v>#NAME?</v>
      </c>
      <c r="BO124" s="1" t="e">
        <f ca="1">_xll.BDH($C$103,"TOTAL_ASSETS_SEQUENTIAL_GROWTH","FQ1 2018","FQ1 2018","Currency=INR","Period=FQ","BEST_FPERIOD_OVERRIDE=FQ","FILING_STATUS=OR","EQY_CONSOLIDATED=Y","Sort=A","Dates=H","DateFormat=P","Fill=—","Direction=H","UseDPDF=Y")</f>
        <v>#NAME?</v>
      </c>
      <c r="BP124" s="1" t="e">
        <f ca="1">_xll.BDH($C$103,"MODIFIED_WORKING_CPTL_SEQ_GRWTH","FQ1 2018","FQ1 2018","Currency=INR","Period=FQ","BEST_FPERIOD_OVERRIDE=FQ","FILING_STATUS=OR","EQY_CONSOLIDATED=Y","Sort=A","Dates=H","DateFormat=P","Fill=—","Direction=H","UseDPDF=Y")</f>
        <v>#NAME?</v>
      </c>
      <c r="BQ124" s="1" t="e">
        <f ca="1">_xll.BDH($C$103,"WORKING_CAPITAL_SEQ_GROWTH","FQ1 2018","FQ1 2018","Currency=INR","Period=FQ","BEST_FPERIOD_OVERRIDE=FQ","FILING_STATUS=OR","EQY_CONSOLIDATED=Y","Sort=A","Dates=H","DateFormat=P","Fill=—","Direction=H","UseDPDF=Y")</f>
        <v>#NAME?</v>
      </c>
      <c r="BR124" s="1" t="e">
        <f ca="1">_xll.BDH($C$103,"ACCOUNTS_PAYABLE_SEQ_GROWTH","FQ1 2018","FQ1 2018","Currency=INR","Period=FQ","BEST_FPERIOD_OVERRIDE=FQ","FILING_STATUS=OR","EQY_CONSOLIDATED=Y","Sort=A","Dates=H","DateFormat=P","Fill=—","Direction=H","UseDPDF=Y")</f>
        <v>#NAME?</v>
      </c>
      <c r="BS124" s="1" t="e">
        <f ca="1">_xll.BDH($C$103,"ST_DEBT_SEQUENTIAL_GROWTH","FQ1 2018","FQ1 2018","Currency=INR","Period=FQ","BEST_FPERIOD_OVERRIDE=FQ","FILING_STATUS=OR","EQY_CONSOLIDATED=Y","Sort=A","Dates=H","DateFormat=P","Fill=—","Direction=H","UseDPDF=Y")</f>
        <v>#NAME?</v>
      </c>
      <c r="BT124" s="1" t="e">
        <f ca="1">_xll.BDH($C$103,"TOTAL_DEBT_SEQUENTIAL_GROWTH","FQ1 2018","FQ1 2018","Currency=INR","Period=FQ","BEST_FPERIOD_OVERRIDE=FQ","FILING_STATUS=OR","EQY_CONSOLIDATED=Y","Sort=A","Dates=H","DateFormat=P","Fill=—","Direction=H","UseDPDF=Y")</f>
        <v>#NAME?</v>
      </c>
      <c r="BU124" s="1" t="e">
        <f ca="1">_xll.BDH($C$103,"TOTAL_EQUITY_SEQUENTIAL_GROWTH","FQ1 2018","FQ1 2018","Currency=INR","Period=FQ","BEST_FPERIOD_OVERRIDE=FQ","FILING_STATUS=OR","EQY_CONSOLIDATED=Y","Sort=A","Dates=H","DateFormat=P","Fill=—","Direction=H","UseDPDF=Y")</f>
        <v>#NAME?</v>
      </c>
      <c r="BV124" s="1" t="e">
        <f ca="1">_xll.BDH($C$103,"TOTAL_CAPITAL_SEQUENTIAL_GROWTH","FQ1 2018","FQ1 2018","Currency=INR","Period=FQ","BEST_FPERIOD_OVERRIDE=FQ","FILING_STATUS=OR","EQY_CONSOLIDATED=Y","Sort=A","Dates=H","DateFormat=P","Fill=—","Direction=H","UseDPDF=Y")</f>
        <v>#NAME?</v>
      </c>
      <c r="BW124" s="1" t="e">
        <f ca="1">_xll.BDH($C$103,"BPS_SEQUENTIAL_GROWTH","FQ1 2018","FQ1 2018","Currency=INR","Period=FQ","BEST_FPERIOD_OVERRIDE=FQ","FILING_STATUS=OR","EQY_CONSOLIDATED=Y","Sort=A","Dates=H","DateFormat=P","Fill=—","Direction=H","UseDPDF=Y")</f>
        <v>#NAME?</v>
      </c>
      <c r="BX124" s="1" t="e">
        <f ca="1">_xll.BDH($C$103,"CFO_SEQUENTIAL_GROWTH","FQ1 2018","FQ1 2018","Currency=INR","Period=FQ","BEST_FPERIOD_OVERRIDE=FQ","FILING_STATUS=OR","EQY_CONSOLIDATED=Y","Sort=A","Dates=H","DateFormat=P","Fill=—","Direction=H","UseDPDF=Y")</f>
        <v>#NAME?</v>
      </c>
      <c r="BY124" s="2" t="e">
        <f ca="1">_xll.BDH($C$103,"SHORT_AND_LONG_TERM_DEBT","FQ1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24" s="2" t="e">
        <f ca="1">_xll.BDH($C$103,"BS_ST_BORROW","FQ1 2018","FQ1 2018","Currency=INR","Period=FQ","BEST_FPERIOD_OVERRIDE=FQ","FILING_STATUS=OR","EQY_CONSOLIDATED=Y","SCALING_FORMAT=MLN","Sort=A","Dates=H","DateFormat=P","Fill=—","Direction=H","UseDPDF=Y")</f>
        <v>#NAME?</v>
      </c>
      <c r="CA124" s="2" t="e">
        <f ca="1">_xll.BDH($C$103,"BS_LT_BORROW","FQ1 2018","FQ1 2018","Currency=INR","Period=FQ","BEST_FPERIOD_OVERRIDE=FQ","FILING_STATUS=OR","EQY_CONSOLIDATED=Y","SCALING_FORMAT=MLN","Sort=A","Dates=H","DateFormat=P","Fill=—","Direction=H","UseDPDF=Y")</f>
        <v>#NAME?</v>
      </c>
      <c r="CB124" s="1" t="e">
        <f ca="1">_xll.BDH($C$103,"TOT_DEBT_TO_EBITDA","FQ1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24" s="1" t="e">
        <f ca="1">_xll.BDH($C$103,"NET_DEBT_TO_EBITDA","FQ1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24" s="1" t="e">
        <f ca="1">_xll.BDH($C$103,"TOTAL_DEBT_TO_EBIT","FQ1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24" s="1" t="e">
        <f ca="1">_xll.BDH($C$103,"NET_DEBT_TO_EBIT","FQ1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124" s="1" t="e">
        <f ca="1">_xll.BDH($C$103,"EBITDA_TO_INTEREST_EXPN","FQ1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24" s="1" t="e">
        <f ca="1">_xll.BDH($C$103,"COM_EQY_TO_TOT_ASSET","FQ1 2018","FQ1 2018","Currency=INR","Period=FQ","BEST_FPERIOD_OVERRIDE=FQ","FILING_STATUS=OR","EQY_CONSOLIDATED=Y","Sort=A","Dates=H","DateFormat=P","Fill=—","Direction=H","UseDPDF=Y")</f>
        <v>#NAME?</v>
      </c>
      <c r="CH124" s="1" t="e">
        <f ca="1">_xll.BDH($C$103,"LT_DEBT_TO_TOT_EQY","FQ1 2018","FQ1 2018","Currency=INR","Period=FQ","BEST_FPERIOD_OVERRIDE=FQ","FILING_STATUS=OR","EQY_CONSOLIDATED=Y","Sort=A","Dates=H","DateFormat=P","Fill=—","Direction=H","UseDPDF=Y")</f>
        <v>#NAME?</v>
      </c>
      <c r="CI124" s="1" t="e">
        <f ca="1">_xll.BDH($C$103,"LT_DEBT_TO_TOT_CAP","FQ1 2018","FQ1 2018","Currency=INR","Period=FQ","BEST_FPERIOD_OVERRIDE=FQ","FILING_STATUS=OR","EQY_CONSOLIDATED=Y","Sort=A","Dates=H","DateFormat=P","Fill=—","Direction=H","UseDPDF=Y")</f>
        <v>#NAME?</v>
      </c>
      <c r="CJ124" s="1" t="e">
        <f ca="1">_xll.BDH($C$103,"LT_DEBT_TO_TOT_ASSET","FQ1 2018","FQ1 2018","Currency=INR","Period=FQ","BEST_FPERIOD_OVERRIDE=FQ","FILING_STATUS=OR","EQY_CONSOLIDATED=Y","Sort=A","Dates=H","DateFormat=P","Fill=—","Direction=H","UseDPDF=Y")</f>
        <v>#NAME?</v>
      </c>
      <c r="CK124" s="1" t="e">
        <f ca="1">_xll.BDH($C$103,"TOT_DEBT_TO_TOT_EQY","FQ1 2018","FQ1 2018","Currency=INR","Period=FQ","BEST_FPERIOD_OVERRIDE=FQ","FILING_STATUS=OR","EQY_CONSOLIDATED=Y","Sort=A","Dates=H","DateFormat=P","Fill=—","Direction=H","UseDPDF=Y")</f>
        <v>#NAME?</v>
      </c>
      <c r="CL124" s="1" t="e">
        <f ca="1">_xll.BDH($C$103,"TOT_DEBT_TO_TOT_CAP","FQ1 2018","FQ1 2018","Currency=INR","Period=FQ","BEST_FPERIOD_OVERRIDE=FQ","FILING_STATUS=OR","EQY_CONSOLIDATED=Y","Sort=A","Dates=H","DateFormat=P","Fill=—","Direction=H","UseDPDF=Y")</f>
        <v>#NAME?</v>
      </c>
      <c r="CM124" s="1" t="e">
        <f ca="1">_xll.BDH($C$103,"TOT_DEBT_TO_TOT_ASSET","FQ1 2018","FQ1 2018","Currency=INR","Period=FQ","BEST_FPERIOD_OVERRIDE=FQ","FILING_STATUS=OR","EQY_CONSOLIDATED=Y","Sort=A","Dates=H","DateFormat=P","Fill=—","Direction=H","UseDPDF=Y")</f>
        <v>#NAME?</v>
      </c>
      <c r="CN124" s="1" t="e">
        <f ca="1">_xll.BDH($C$103,"NET_DEBT_TO_SHRHLDR_EQTY","FQ1 2018","FQ1 2018","Currency=INR","Period=FQ","BEST_FPERIOD_OVERRIDE=FQ","FILING_STATUS=OR","EQY_CONSOLIDATED=Y","Sort=A","Dates=H","DateFormat=P","Fill=—","Direction=H","UseDPDF=Y")</f>
        <v>#NAME?</v>
      </c>
      <c r="CO124" s="1" t="e">
        <f ca="1">_xll.BDH($C$103,"NET_DEBT_%_CAPITAL","FQ1 2018","FQ1 2018","Currency=INR","Period=FQ","BEST_FPERIOD_OVERRIDE=FQ","FILING_STATUS=OR","EQY_CONSOLIDATED=Y","Sort=A","Dates=H","DateFormat=P","Fill=—","Direction=H","UseDPDF=Y")</f>
        <v>#NAME?</v>
      </c>
      <c r="CP124" s="2" t="e">
        <f ca="1">_xll.BDH($C$103,"EBITDA","FQ1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24" s="2" t="e">
        <f ca="1">_xll.BDH($C$103,"EBITDA_AFTER_CAPEX","FQ1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24" s="2" t="e">
        <f ca="1">_xll.BDH($C$103,"IS_OPER_INC","FQ1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24" s="1" t="e">
        <f ca="1">_xll.BDH($C$103,"CASH_RATIO","FQ1 2018","FQ1 2018","Currency=INR","Period=FQ","BEST_FPERIOD_OVERRIDE=FQ","FILING_STATUS=OR","EQY_CONSOLIDATED=Y","Sort=A","Dates=H","DateFormat=P","Fill=—","Direction=H","UseDPDF=Y")</f>
        <v>#NAME?</v>
      </c>
      <c r="CT124" s="1" t="e">
        <f ca="1">_xll.BDH($C$103,"CUR_RATIO","FQ1 2018","FQ1 2018","Currency=INR","Period=FQ","BEST_FPERIOD_OVERRIDE=FQ","FILING_STATUS=OR","EQY_CONSOLIDATED=Y","Sort=A","Dates=H","DateFormat=P","Fill=—","Direction=H","UseDPDF=Y")</f>
        <v>#NAME?</v>
      </c>
      <c r="CU124" s="1" t="e">
        <f ca="1">_xll.BDH($C$103,"QUICK_RATIO","FQ1 2018","FQ1 2018","Currency=INR","Period=FQ","BEST_FPERIOD_OVERRIDE=FQ","FILING_STATUS=OR","EQY_CONSOLIDATED=Y","Sort=A","Dates=H","DateFormat=P","Fill=—","Direction=H","UseDPDF=Y")</f>
        <v>#NAME?</v>
      </c>
      <c r="CV124" s="1" t="e">
        <f ca="1">_xll.BDH($C$103,"ALTMAN_Z_SCORE","FQ1 2018","FQ1 2018","Currency=INR","Period=FQ","BEST_FPERIOD_OVERRIDE=FQ","FILING_STATUS=OR","EQY_CONSOLIDATED=Y","Sort=A","Dates=H","DateFormat=P","Fill=—","Direction=H","UseDPDF=Y")</f>
        <v>#NAME?</v>
      </c>
      <c r="CW124" s="3" t="e">
        <f ca="1">_xll.BDH($C$103,"ACCT_RCV_TURN","FQ1 2018","FQ1 2018","Currency=INR","Period=FQ","BEST_FPERIOD_OVERRIDE=FQ","FILING_STATUS=OR","EQY_CONSOLIDATED=Y","FA_ADJUSTED=GAAP","Sort=A","Dates=H","DateFormat=P","Fill=—","Direction=H","UseDPDF=Y")</f>
        <v>#NAME?</v>
      </c>
      <c r="CX124" s="1" t="e">
        <f ca="1">_xll.BDH($C$103,"ACCT_RCV_DAYS","FQ1 2018","FQ1 2018","Currency=INR","Period=FQ","BEST_FPERIOD_OVERRIDE=FQ","FILING_STATUS=OR","EQY_CONSOLIDATED=Y","FA_ADJUSTED=GAAP","Sort=A","Dates=H","DateFormat=P","Fill=—","Direction=H","UseDPDF=Y")</f>
        <v>#NAME?</v>
      </c>
      <c r="CY124" s="3" t="e">
        <f ca="1">_xll.BDH($C$103,"INVENT_TURN","FQ1 2018","FQ1 2018","Currency=INR","Period=FQ","BEST_FPERIOD_OVERRIDE=FQ","FILING_STATUS=OR","EQY_CONSOLIDATED=Y","FA_ADJUSTED=GAAP","Sort=A","Dates=H","DateFormat=P","Fill=—","Direction=H","UseDPDF=Y")</f>
        <v>#NAME?</v>
      </c>
      <c r="CZ124" s="1" t="e">
        <f ca="1">_xll.BDH($C$103,"INVENT_DAYS","FQ1 2018","FQ1 2018","Currency=INR","Period=FQ","BEST_FPERIOD_OVERRIDE=FQ","FILING_STATUS=OR","EQY_CONSOLIDATED=Y","FA_ADJUSTED=GAAP","Sort=A","Dates=H","DateFormat=P","Fill=—","Direction=H","UseDPDF=Y")</f>
        <v>#NAME?</v>
      </c>
      <c r="DA124" s="3" t="e">
        <f ca="1">_xll.BDH($C$103,"ACCOUNTS_PAYABLE_TURNOVER","FQ1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24" s="1" t="e">
        <f ca="1">_xll.BDH($C$103,"ACCOUNTS_PAYABLE_TURNOVER_DAYS","FQ1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24" s="3" t="e">
        <f ca="1">_xll.BDH($C$103,"CASH_CONVERSION_CYCLE","FQ1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24" s="3" t="e">
        <f ca="1">_xll.BDH($C$103,"INV_TO_CASH_DAYS","FQ1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124" s="4" t="e">
        <f ca="1">_xll.BDH($C$103,"BS_INVENTORIES","FQ1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124" s="2" t="e">
        <f ca="1">_xll.BDH($C$103,"INVTRY_RAW_MATERIALS","FQ1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24" s="2" t="e">
        <f ca="1">_xll.BDH($C$103,"INVTRY_IN_PROGRESS","FQ1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24" s="2" t="e">
        <f ca="1">_xll.BDH($C$103,"INVTRY_FINISHED_GOODS","FQ1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24" s="2" t="e">
        <f ca="1">_xll.BDH($C$103,"BS_OTHER_INV","FQ1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25" spans="1:113" x14ac:dyDescent="0.3">
      <c r="A125" s="6"/>
      <c r="B125" s="6"/>
      <c r="C125" s="6"/>
      <c r="D125" s="6"/>
      <c r="E125" t="s">
        <v>5</v>
      </c>
      <c r="F125" t="e">
        <f ca="1">_xll.BDH($C$103,"RETURN_COM_EQY","FQ2 2018","FQ2 2018","Currency=INR","Period=FQ","BEST_FPERIOD_OVERRIDE=FQ","FILING_STATUS=OR","EQY_CONSOLIDATED=Y","FA_ADJUSTED=GAAP","Sort=A","Dates=H","DateFormat=P","Fill=—","Direction=H","UseDPDF=Y")</f>
        <v>#NAME?</v>
      </c>
      <c r="G125" t="e">
        <f ca="1">_xll.BDH($C$103,"RETURN_ON_ASSET","FQ2 2018","FQ2 2018","Currency=INR","Period=FQ","BEST_FPERIOD_OVERRIDE=FQ","FILING_STATUS=OR","EQY_CONSOLIDATED=Y","FA_ADJUSTED=GAAP","Sort=A","Dates=H","DateFormat=P","Fill=—","Direction=H","UseDPDF=Y")</f>
        <v>#NAME?</v>
      </c>
      <c r="H125" t="e">
        <f ca="1">_xll.BDH($C$103,"RETURN_ON_CAP","FQ2 2018","FQ2 2018","Currency=INR","Period=FQ","BEST_FPERIOD_OVERRIDE=FQ","FILING_STATUS=OR","EQY_CONSOLIDATED=Y","FA_ADJUSTED=GAAP","Sort=A","Dates=H","DateFormat=P","Fill=—","Direction=H","UseDPDF=Y")</f>
        <v>#NAME?</v>
      </c>
      <c r="I125" t="e">
        <f ca="1">_xll.BDH($C$103,"RETURN_ON_INV_CAPITAL","FQ2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25" t="e">
        <f ca="1">_xll.BDH($C$103,"EBITDA_TO_REVENUE","FQ2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125" t="e">
        <f ca="1">_xll.BDH($C$103,"OPER_MARGIN","FQ2 2018","FQ2 2018","Currency=INR","Period=FQ","BEST_FPERIOD_OVERRIDE=FQ","FILING_STATUS=OR","EQY_CONSOLIDATED=Y","FA_ADJUSTED=GAAP","Sort=A","Dates=H","DateFormat=P","Fill=—","Direction=H","UseDPDF=Y")</f>
        <v>#NAME?</v>
      </c>
      <c r="L125" t="e">
        <f ca="1">_xll.BDH($C$103,"INCREMENTAL_OPERATING_MARGIN","FQ2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25" t="e">
        <f ca="1">_xll.BDH($C$103,"PRETAX_INC_TO_NET_SALES","FQ2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25" t="e">
        <f ca="1">_xll.BDH($C$103,"INC_BEF_XO_ITEMS_TO_NET_SALES","FQ2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25" t="e">
        <f ca="1">_xll.BDH($C$103,"PROF_MARGIN","FQ2 2018","FQ2 2018","Currency=INR","Period=FQ","BEST_FPERIOD_OVERRIDE=FQ","FILING_STATUS=OR","EQY_CONSOLIDATED=Y","FA_ADJUSTED=GAAP","Sort=A","Dates=H","DateFormat=P","Fill=—","Direction=H","UseDPDF=Y")</f>
        <v>#NAME?</v>
      </c>
      <c r="P125" t="e">
        <f ca="1">_xll.BDH($C$103,"NET_INCOME_TO_COMMON_MARGIN","FQ2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25" t="e">
        <f ca="1">_xll.BDH($C$103,"EFF_TAX_RATE","FQ2 2018","FQ2 2018","Currency=INR","Period=FQ","BEST_FPERIOD_OVERRIDE=FQ","FILING_STATUS=OR","EQY_CONSOLIDATED=Y","FA_ADJUSTED=GAAP","Sort=A","Dates=H","DateFormat=P","Fill=—","Direction=H","UseDPDF=Y")</f>
        <v>#NAME?</v>
      </c>
      <c r="R125" t="e">
        <f ca="1">_xll.BDH($C$103,"DVD_PAYOUT_RATIO","FQ2 2018","FQ2 2018","Currency=INR","Period=FQ","BEST_FPERIOD_OVERRIDE=FQ","FILING_STATUS=OR","EQY_CONSOLIDATED=Y","FA_ADJUSTED=GAAP","Sort=A","Dates=H","DateFormat=P","Fill=—","Direction=H","UseDPDF=Y")</f>
        <v>#NAME?</v>
      </c>
      <c r="S125" t="e">
        <f ca="1">_xll.BDH($C$103,"SUSTAIN_GROWTH_RT","FQ2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125" s="1" t="e">
        <f ca="1">_xll.BDH($C$103,"SALES_GROWTH","FQ2 2018","FQ2 2018","Currency=INR","Period=FQ","BEST_FPERIOD_OVERRIDE=FQ","FILING_STATUS=OR","EQY_CONSOLIDATED=Y","FA_ADJUSTED=GAAP","Sort=A","Dates=H","DateFormat=P","Fill=—","Direction=H","UseDPDF=Y")</f>
        <v>#NAME?</v>
      </c>
      <c r="U125" s="1" t="e">
        <f ca="1">_xll.BDH($C$103,"EBITDA_GROWTH","FQ2 2018","FQ2 2018","Currency=INR","Period=FQ","BEST_FPERIOD_OVERRIDE=FQ","FILING_STATUS=OR","EQY_CONSOLIDATED=Y","FA_ADJUSTED=GAAP","Sort=A","Dates=H","DateFormat=P","Fill=—","Direction=H","UseDPDF=Y")</f>
        <v>#NAME?</v>
      </c>
      <c r="V125" s="1" t="e">
        <f ca="1">_xll.BDH($C$103,"OPER_INC_GROWTH","FQ2 2018","FQ2 2018","Currency=INR","Period=FQ","BEST_FPERIOD_OVERRIDE=FQ","FILING_STATUS=OR","EQY_CONSOLIDATED=Y","FA_ADJUSTED=GAAP","Sort=A","Dates=H","DateFormat=P","Fill=—","Direction=H","UseDPDF=Y")</f>
        <v>#NAME?</v>
      </c>
      <c r="W125" s="1" t="e">
        <f ca="1">_xll.BDH($C$103,"EARN_FOR_COM_GROWTH","FQ2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25" s="1" t="e">
        <f ca="1">_xll.BDH($C$103,"DILUTED_EPS_AFT_XO_ITEMS_GROWTH","FQ2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25" s="1" t="e">
        <f ca="1">_xll.BDH($C$103,"DIVIDEND_PER_SHARE_1_YEAR_GROWTH","FQ2 2018","FQ2 2018","Currency=INR","Period=FQ","BEST_FPERIOD_OVERRIDE=FQ","FILING_STATUS=OR","EQY_CONSOLIDATED=Y","Sort=A","Dates=H","DateFormat=P","Fill=—","Direction=H","UseDPDF=Y")</f>
        <v>#NAME?</v>
      </c>
      <c r="Z125" s="1" t="e">
        <f ca="1">_xll.BDH($C$103,"ACCOUNTS_RECEIVABLE_GROWTH","FQ2 2018","FQ2 2018","Currency=INR","Period=FQ","BEST_FPERIOD_OVERRIDE=FQ","FILING_STATUS=OR","EQY_CONSOLIDATED=Y","Sort=A","Dates=H","DateFormat=P","Fill=—","Direction=H","UseDPDF=Y")</f>
        <v>#NAME?</v>
      </c>
      <c r="AA125" s="1" t="e">
        <f ca="1">_xll.BDH($C$103,"INVENTORY_GROWTH","FQ2 2018","FQ2 2018","Currency=INR","Period=FQ","BEST_FPERIOD_OVERRIDE=FQ","FILING_STATUS=OR","EQY_CONSOLIDATED=Y","Sort=A","Dates=H","DateFormat=P","Fill=—","Direction=H","UseDPDF=Y")</f>
        <v>#NAME?</v>
      </c>
      <c r="AB125" s="1" t="e">
        <f ca="1">_xll.BDH($C$103,"NET_FIXED_ASSETS_1_YEAR_GROWTH","FQ2 2018","FQ2 2018","Currency=INR","Period=FQ","BEST_FPERIOD_OVERRIDE=FQ","FILING_STATUS=OR","EQY_CONSOLIDATED=Y","Sort=A","Dates=H","DateFormat=P","Fill=—","Direction=H","UseDPDF=Y")</f>
        <v>#NAME?</v>
      </c>
      <c r="AC125" s="1" t="e">
        <f ca="1">_xll.BDH($C$103,"ASSET_GROWTH","FQ2 2018","FQ2 2018","Currency=INR","Period=FQ","BEST_FPERIOD_OVERRIDE=FQ","FILING_STATUS=OR","EQY_CONSOLIDATED=Y","Sort=A","Dates=H","DateFormat=P","Fill=—","Direction=H","UseDPDF=Y")</f>
        <v>#NAME?</v>
      </c>
      <c r="AD125" s="1" t="e">
        <f ca="1">_xll.BDH($C$103,"MODIFIED_WORK_CAP_GROWTH","FQ2 2018","FQ2 2018","Currency=INR","Period=FQ","BEST_FPERIOD_OVERRIDE=FQ","FILING_STATUS=OR","EQY_CONSOLIDATED=Y","Sort=A","Dates=H","DateFormat=P","Fill=—","Direction=H","UseDPDF=Y")</f>
        <v>#NAME?</v>
      </c>
      <c r="AE125" s="1" t="e">
        <f ca="1">_xll.BDH($C$103,"WORK_CAP_GROWTH","FQ2 2018","FQ2 2018","Currency=INR","Period=FQ","BEST_FPERIOD_OVERRIDE=FQ","FILING_STATUS=OR","EQY_CONSOLIDATED=Y","Sort=A","Dates=H","DateFormat=P","Fill=—","Direction=H","UseDPDF=Y")</f>
        <v>#NAME?</v>
      </c>
      <c r="AF125" s="1" t="e">
        <f ca="1">_xll.BDH($C$103,"ACCOUNTS_PAYABLE_GROWTH_1YR","FQ2 2018","FQ2 2018","Currency=INR","Period=FQ","BEST_FPERIOD_OVERRIDE=FQ","FILING_STATUS=OR","EQY_CONSOLIDATED=Y","Sort=A","Dates=H","DateFormat=P","Fill=—","Direction=H","UseDPDF=Y")</f>
        <v>#NAME?</v>
      </c>
      <c r="AG125" s="1" t="e">
        <f ca="1">_xll.BDH($C$103,"SHORT_TERM_DEBT_1_YEAR_GROWTH","FQ2 2018","FQ2 2018","Currency=INR","Period=FQ","BEST_FPERIOD_OVERRIDE=FQ","FILING_STATUS=OR","EQY_CONSOLIDATED=Y","Sort=A","Dates=H","DateFormat=P","Fill=—","Direction=H","UseDPDF=Y")</f>
        <v>#NAME?</v>
      </c>
      <c r="AH125" s="1" t="e">
        <f ca="1">_xll.BDH($C$103,"TOTAL_DEBT_1_YEAR_GROWTH","FQ2 2018","FQ2 2018","Currency=INR","Period=FQ","BEST_FPERIOD_OVERRIDE=FQ","FILING_STATUS=OR","EQY_CONSOLIDATED=Y","Sort=A","Dates=H","DateFormat=P","Fill=—","Direction=H","UseDPDF=Y")</f>
        <v>#NAME?</v>
      </c>
      <c r="AI125" s="1" t="e">
        <f ca="1">_xll.BDH($C$103,"TOTAL_EQUITY_1_YEAR_GROWTH","FQ2 2018","FQ2 2018","Currency=INR","Period=FQ","BEST_FPERIOD_OVERRIDE=FQ","FILING_STATUS=OR","EQY_CONSOLIDATED=Y","Sort=A","Dates=H","DateFormat=P","Fill=—","Direction=H","UseDPDF=Y")</f>
        <v>#NAME?</v>
      </c>
      <c r="AJ125" s="1" t="e">
        <f ca="1">_xll.BDH($C$103,"GROWTH_IN_CAP","FQ2 2018","FQ2 2018","Currency=INR","Period=FQ","BEST_FPERIOD_OVERRIDE=FQ","FILING_STATUS=OR","EQY_CONSOLIDATED=Y","Sort=A","Dates=H","DateFormat=P","Fill=—","Direction=H","UseDPDF=Y")</f>
        <v>#NAME?</v>
      </c>
      <c r="AK125" s="1" t="e">
        <f ca="1">_xll.BDH($C$103,"BVPS_GROWTH","FQ2 2018","FQ2 2018","Currency=INR","Period=FQ","BEST_FPERIOD_OVERRIDE=FQ","FILING_STATUS=OR","EQY_CONSOLIDATED=Y","Sort=A","Dates=H","DateFormat=P","Fill=—","Direction=H","UseDPDF=Y")</f>
        <v>#NAME?</v>
      </c>
      <c r="AL125" s="1" t="e">
        <f ca="1">_xll.BDH($C$103,"CASH_FLOW_GROWTH","FQ2 2018","FQ2 2018","Currency=INR","Period=FQ","BEST_FPERIOD_OVERRIDE=FQ","FILING_STATUS=OR","EQY_CONSOLIDATED=Y","Sort=A","Dates=H","DateFormat=P","Fill=—","Direction=H","UseDPDF=Y")</f>
        <v>#NAME?</v>
      </c>
      <c r="AM125" s="1" t="e">
        <f ca="1">_xll.BDH($C$103,"GEO_GROW_NET_SALES","FQ2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25" s="1" t="e">
        <f ca="1">_xll.BDH($C$103,"GEO_GROW_EBITDA","FQ2 2018","FQ2 2018","Currency=INR","Period=FQ","BEST_FPERIOD_OVERRIDE=FQ","FILING_STATUS=OR","EQY_CONSOLIDATED=Y","FA_ADJUSTED=GAAP","Sort=A","Dates=H","DateFormat=P","Fill=—","Direction=H","UseDPDF=Y")</f>
        <v>#NAME?</v>
      </c>
      <c r="AO125" s="1" t="e">
        <f ca="1">_xll.BDH($C$103,"GEO_GROW_OPER_INC","FQ2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25" s="1" t="e">
        <f ca="1">_xll.BDH($C$103,"NET_INCOME_TO_COMMON_5_YR_GROWTH","FQ2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25" s="1" t="e">
        <f ca="1">_xll.BDH($C$103,"5Y_GEO_GROWTH_DILUTED_EPS","FQ2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25" s="1" t="e">
        <f ca="1">_xll.BDH($C$103,"GEO_GROW_DVD_PER_SH","FQ2 2018","FQ2 2018","Currency=INR","Period=FQ","BEST_FPERIOD_OVERRIDE=FQ","FILING_STATUS=OR","EQY_CONSOLIDATED=Y","Sort=A","Dates=H","DateFormat=P","Fill=—","Direction=H","UseDPDF=Y")</f>
        <v>#NAME?</v>
      </c>
      <c r="AS125" s="1" t="e">
        <f ca="1">_xll.BDH($C$103,"ACCOUNTS_RECEIVABLE_5_YR_GROWTH","FQ2 2018","FQ2 2018","Currency=INR","Period=FQ","BEST_FPERIOD_OVERRIDE=FQ","FILING_STATUS=OR","EQY_CONSOLIDATED=Y","Sort=A","Dates=H","DateFormat=P","Fill=—","Direction=H","UseDPDF=Y")</f>
        <v>#NAME?</v>
      </c>
      <c r="AT125" s="1" t="e">
        <f ca="1">_xll.BDH($C$103,"INVENTORY_5_YEAR_GROWTH","FQ2 2018","FQ2 2018","Currency=INR","Period=FQ","BEST_FPERIOD_OVERRIDE=FQ","FILING_STATUS=OR","EQY_CONSOLIDATED=Y","Sort=A","Dates=H","DateFormat=P","Fill=—","Direction=H","UseDPDF=Y")</f>
        <v>#NAME?</v>
      </c>
      <c r="AU125" s="1" t="e">
        <f ca="1">_xll.BDH($C$103,"NET_FIXED_ASSETS_5_YEAR_GROWTH","FQ2 2018","FQ2 2018","Currency=INR","Period=FQ","BEST_FPERIOD_OVERRIDE=FQ","FILING_STATUS=OR","EQY_CONSOLIDATED=Y","Sort=A","Dates=H","DateFormat=P","Fill=—","Direction=H","UseDPDF=Y")</f>
        <v>#NAME?</v>
      </c>
      <c r="AV125" s="1" t="e">
        <f ca="1">_xll.BDH($C$103,"GEO_GROW_TOT_ASSET","FQ2 2018","FQ2 2018","Currency=INR","Period=FQ","BEST_FPERIOD_OVERRIDE=FQ","FILING_STATUS=OR","EQY_CONSOLIDATED=Y","Sort=A","Dates=H","DateFormat=P","Fill=—","Direction=H","UseDPDF=Y")</f>
        <v>#NAME?</v>
      </c>
      <c r="AW125" s="1" t="e">
        <f ca="1">_xll.BDH($C$103,"MODIFIED_WORKING_CPTL_5YR_GRWTH","FQ2 2018","FQ2 2018","Currency=INR","Period=FQ","BEST_FPERIOD_OVERRIDE=FQ","FILING_STATUS=OR","EQY_CONSOLIDATED=Y","Sort=A","Dates=H","DateFormat=P","Fill=—","Direction=H","UseDPDF=Y")</f>
        <v>#NAME?</v>
      </c>
      <c r="AX125" s="1" t="e">
        <f ca="1">_xll.BDH($C$103,"WORKING_CAPITAL_5_YEAR_GROWTH","FQ2 2018","FQ2 2018","Currency=INR","Period=FQ","BEST_FPERIOD_OVERRIDE=FQ","FILING_STATUS=OR","EQY_CONSOLIDATED=Y","Sort=A","Dates=H","DateFormat=P","Fill=—","Direction=H","UseDPDF=Y")</f>
        <v>#NAME?</v>
      </c>
      <c r="AY125" s="1" t="e">
        <f ca="1">_xll.BDH($C$103,"ACCOUNTS_PAYABLE_5_YEAR_GROWTH","FQ2 2018","FQ2 2018","Currency=INR","Period=FQ","BEST_FPERIOD_OVERRIDE=FQ","FILING_STATUS=OR","EQY_CONSOLIDATED=Y","Sort=A","Dates=H","DateFormat=P","Fill=—","Direction=H","UseDPDF=Y")</f>
        <v>#NAME?</v>
      </c>
      <c r="AZ125" s="1" t="e">
        <f ca="1">_xll.BDH($C$103,"SHORT_TERM_DEBT_5_YEAR_GROWTH","FQ2 2018","FQ2 2018","Currency=INR","Period=FQ","BEST_FPERIOD_OVERRIDE=FQ","FILING_STATUS=OR","EQY_CONSOLIDATED=Y","Sort=A","Dates=H","DateFormat=P","Fill=—","Direction=H","UseDPDF=Y")</f>
        <v>#NAME?</v>
      </c>
      <c r="BA125" s="1" t="e">
        <f ca="1">_xll.BDH($C$103,"TOTAL_DEBT_5_YEAR_GROWTH","FQ2 2018","FQ2 2018","Currency=INR","Period=FQ","BEST_FPERIOD_OVERRIDE=FQ","FILING_STATUS=OR","EQY_CONSOLIDATED=Y","Sort=A","Dates=H","DateFormat=P","Fill=—","Direction=H","UseDPDF=Y")</f>
        <v>#NAME?</v>
      </c>
      <c r="BB125" s="1" t="e">
        <f ca="1">_xll.BDH($C$103,"GEO_GROW_TOT_SHRHLDR_EQY","FQ2 2018","FQ2 2018","Currency=INR","Period=FQ","BEST_FPERIOD_OVERRIDE=FQ","FILING_STATUS=OR","EQY_CONSOLIDATED=Y","Sort=A","Dates=H","DateFormat=P","Fill=—","Direction=H","UseDPDF=Y")</f>
        <v>#NAME?</v>
      </c>
      <c r="BC125" s="1" t="e">
        <f ca="1">_xll.BDH($C$103,"TOTAL_CAPITAL_5_YEAR_GROWTH","FQ2 2018","FQ2 2018","Currency=INR","Period=FQ","BEST_FPERIOD_OVERRIDE=FQ","FILING_STATUS=OR","EQY_CONSOLIDATED=Y","Sort=A","Dates=H","DateFormat=P","Fill=—","Direction=H","UseDPDF=Y")</f>
        <v>#NAME?</v>
      </c>
      <c r="BD125" s="1" t="e">
        <f ca="1">_xll.BDH($C$103,"GEO_GROW_BOOK_VAL","FQ2 2018","FQ2 2018","Currency=INR","Period=FQ","BEST_FPERIOD_OVERRIDE=FQ","FILING_STATUS=OR","EQY_CONSOLIDATED=Y","Sort=A","Dates=H","DateFormat=P","Fill=—","Direction=H","UseDPDF=Y")</f>
        <v>#NAME?</v>
      </c>
      <c r="BE125" s="1" t="e">
        <f ca="1">_xll.BDH($C$103,"GEO_GROW_CASH_OPER_ACT","FQ2 2018","FQ2 2018","Currency=INR","Period=FQ","BEST_FPERIOD_OVERRIDE=FQ","FILING_STATUS=OR","EQY_CONSOLIDATED=Y","Sort=A","Dates=H","DateFormat=P","Fill=—","Direction=H","UseDPDF=Y")</f>
        <v>#NAME?</v>
      </c>
      <c r="BF125" s="1" t="e">
        <f ca="1">_xll.BDH($C$103,"REVENUE_SEQUENTIAL_GROWTH","FQ2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25" s="1" t="e">
        <f ca="1">_xll.BDH($C$103,"EBITDA_SEQUENTIAL_GROWTH","FQ2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25" s="1" t="e">
        <f ca="1">_xll.BDH($C$103,"OPERATING_INCOME_SEQ_GROWTH","FQ2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25" s="1" t="e">
        <f ca="1">_xll.BDH($C$103,"NET_INCOME_TO_COMMON_SEQ_GROWTH","FQ2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25" s="1" t="e">
        <f ca="1">_xll.BDH($C$103,"EPS_DILUTED_SEQUENTIAL_GROWTH","FQ2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25" s="1" t="e">
        <f ca="1">_xll.BDH($C$103,"DPS_SEQUENTIAL_GROWTH","FQ2 2018","FQ2 2018","Currency=INR","Period=FQ","BEST_FPERIOD_OVERRIDE=FQ","FILING_STATUS=OR","EQY_CONSOLIDATED=Y","Sort=A","Dates=H","DateFormat=P","Fill=—","Direction=H","UseDPDF=Y")</f>
        <v>#NAME?</v>
      </c>
      <c r="BL125" s="1" t="e">
        <f ca="1">_xll.BDH($C$103,"ACCOUNTS_RECEIVABLE_SEQ_GROWTH","FQ2 2018","FQ2 2018","Currency=INR","Period=FQ","BEST_FPERIOD_OVERRIDE=FQ","FILING_STATUS=OR","EQY_CONSOLIDATED=Y","Sort=A","Dates=H","DateFormat=P","Fill=—","Direction=H","UseDPDF=Y")</f>
        <v>#NAME?</v>
      </c>
      <c r="BM125" s="1" t="e">
        <f ca="1">_xll.BDH($C$103,"INVENTORY_SEQUENTIAL_GROWTH","FQ2 2018","FQ2 2018","Currency=INR","Period=FQ","BEST_FPERIOD_OVERRIDE=FQ","FILING_STATUS=OR","EQY_CONSOLIDATED=Y","Sort=A","Dates=H","DateFormat=P","Fill=—","Direction=H","UseDPDF=Y")</f>
        <v>#NAME?</v>
      </c>
      <c r="BN125" s="1" t="e">
        <f ca="1">_xll.BDH($C$103,"FIXED_ASSETS_SEQUENTIAL_GROWTH","FQ2 2018","FQ2 2018","Currency=INR","Period=FQ","BEST_FPERIOD_OVERRIDE=FQ","FILING_STATUS=OR","EQY_CONSOLIDATED=Y","Sort=A","Dates=H","DateFormat=P","Fill=—","Direction=H","UseDPDF=Y")</f>
        <v>#NAME?</v>
      </c>
      <c r="BO125" s="1" t="e">
        <f ca="1">_xll.BDH($C$103,"TOTAL_ASSETS_SEQUENTIAL_GROWTH","FQ2 2018","FQ2 2018","Currency=INR","Period=FQ","BEST_FPERIOD_OVERRIDE=FQ","FILING_STATUS=OR","EQY_CONSOLIDATED=Y","Sort=A","Dates=H","DateFormat=P","Fill=—","Direction=H","UseDPDF=Y")</f>
        <v>#NAME?</v>
      </c>
      <c r="BP125" s="1" t="e">
        <f ca="1">_xll.BDH($C$103,"MODIFIED_WORKING_CPTL_SEQ_GRWTH","FQ2 2018","FQ2 2018","Currency=INR","Period=FQ","BEST_FPERIOD_OVERRIDE=FQ","FILING_STATUS=OR","EQY_CONSOLIDATED=Y","Sort=A","Dates=H","DateFormat=P","Fill=—","Direction=H","UseDPDF=Y")</f>
        <v>#NAME?</v>
      </c>
      <c r="BQ125" s="1" t="e">
        <f ca="1">_xll.BDH($C$103,"WORKING_CAPITAL_SEQ_GROWTH","FQ2 2018","FQ2 2018","Currency=INR","Period=FQ","BEST_FPERIOD_OVERRIDE=FQ","FILING_STATUS=OR","EQY_CONSOLIDATED=Y","Sort=A","Dates=H","DateFormat=P","Fill=—","Direction=H","UseDPDF=Y")</f>
        <v>#NAME?</v>
      </c>
      <c r="BR125" s="1" t="e">
        <f ca="1">_xll.BDH($C$103,"ACCOUNTS_PAYABLE_SEQ_GROWTH","FQ2 2018","FQ2 2018","Currency=INR","Period=FQ","BEST_FPERIOD_OVERRIDE=FQ","FILING_STATUS=OR","EQY_CONSOLIDATED=Y","Sort=A","Dates=H","DateFormat=P","Fill=—","Direction=H","UseDPDF=Y")</f>
        <v>#NAME?</v>
      </c>
      <c r="BS125" s="1" t="e">
        <f ca="1">_xll.BDH($C$103,"ST_DEBT_SEQUENTIAL_GROWTH","FQ2 2018","FQ2 2018","Currency=INR","Period=FQ","BEST_FPERIOD_OVERRIDE=FQ","FILING_STATUS=OR","EQY_CONSOLIDATED=Y","Sort=A","Dates=H","DateFormat=P","Fill=—","Direction=H","UseDPDF=Y")</f>
        <v>#NAME?</v>
      </c>
      <c r="BT125" s="1" t="e">
        <f ca="1">_xll.BDH($C$103,"TOTAL_DEBT_SEQUENTIAL_GROWTH","FQ2 2018","FQ2 2018","Currency=INR","Period=FQ","BEST_FPERIOD_OVERRIDE=FQ","FILING_STATUS=OR","EQY_CONSOLIDATED=Y","Sort=A","Dates=H","DateFormat=P","Fill=—","Direction=H","UseDPDF=Y")</f>
        <v>#NAME?</v>
      </c>
      <c r="BU125" s="1" t="e">
        <f ca="1">_xll.BDH($C$103,"TOTAL_EQUITY_SEQUENTIAL_GROWTH","FQ2 2018","FQ2 2018","Currency=INR","Period=FQ","BEST_FPERIOD_OVERRIDE=FQ","FILING_STATUS=OR","EQY_CONSOLIDATED=Y","Sort=A","Dates=H","DateFormat=P","Fill=—","Direction=H","UseDPDF=Y")</f>
        <v>#NAME?</v>
      </c>
      <c r="BV125" s="1" t="e">
        <f ca="1">_xll.BDH($C$103,"TOTAL_CAPITAL_SEQUENTIAL_GROWTH","FQ2 2018","FQ2 2018","Currency=INR","Period=FQ","BEST_FPERIOD_OVERRIDE=FQ","FILING_STATUS=OR","EQY_CONSOLIDATED=Y","Sort=A","Dates=H","DateFormat=P","Fill=—","Direction=H","UseDPDF=Y")</f>
        <v>#NAME?</v>
      </c>
      <c r="BW125" s="1" t="e">
        <f ca="1">_xll.BDH($C$103,"BPS_SEQUENTIAL_GROWTH","FQ2 2018","FQ2 2018","Currency=INR","Period=FQ","BEST_FPERIOD_OVERRIDE=FQ","FILING_STATUS=OR","EQY_CONSOLIDATED=Y","Sort=A","Dates=H","DateFormat=P","Fill=—","Direction=H","UseDPDF=Y")</f>
        <v>#NAME?</v>
      </c>
      <c r="BX125" s="1" t="e">
        <f ca="1">_xll.BDH($C$103,"CFO_SEQUENTIAL_GROWTH","FQ2 2018","FQ2 2018","Currency=INR","Period=FQ","BEST_FPERIOD_OVERRIDE=FQ","FILING_STATUS=OR","EQY_CONSOLIDATED=Y","Sort=A","Dates=H","DateFormat=P","Fill=—","Direction=H","UseDPDF=Y")</f>
        <v>#NAME?</v>
      </c>
      <c r="BY125" s="2" t="e">
        <f ca="1">_xll.BDH($C$103,"SHORT_AND_LONG_TERM_DEBT","FQ2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25" s="2" t="e">
        <f ca="1">_xll.BDH($C$103,"BS_ST_BORROW","FQ2 2018","FQ2 2018","Currency=INR","Period=FQ","BEST_FPERIOD_OVERRIDE=FQ","FILING_STATUS=OR","EQY_CONSOLIDATED=Y","SCALING_FORMAT=MLN","Sort=A","Dates=H","DateFormat=P","Fill=—","Direction=H","UseDPDF=Y")</f>
        <v>#NAME?</v>
      </c>
      <c r="CA125" s="2" t="e">
        <f ca="1">_xll.BDH($C$103,"BS_LT_BORROW","FQ2 2018","FQ2 2018","Currency=INR","Period=FQ","BEST_FPERIOD_OVERRIDE=FQ","FILING_STATUS=OR","EQY_CONSOLIDATED=Y","SCALING_FORMAT=MLN","Sort=A","Dates=H","DateFormat=P","Fill=—","Direction=H","UseDPDF=Y")</f>
        <v>#NAME?</v>
      </c>
      <c r="CB125" s="1" t="e">
        <f ca="1">_xll.BDH($C$103,"TOT_DEBT_TO_EBITDA","FQ2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25" s="1" t="e">
        <f ca="1">_xll.BDH($C$103,"NET_DEBT_TO_EBITDA","FQ2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25" s="1" t="e">
        <f ca="1">_xll.BDH($C$103,"TOTAL_DEBT_TO_EBIT","FQ2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25" s="1" t="e">
        <f ca="1">_xll.BDH($C$103,"NET_DEBT_TO_EBIT","FQ2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125" s="1" t="e">
        <f ca="1">_xll.BDH($C$103,"EBITDA_TO_INTEREST_EXPN","FQ2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25" s="1" t="e">
        <f ca="1">_xll.BDH($C$103,"COM_EQY_TO_TOT_ASSET","FQ2 2018","FQ2 2018","Currency=INR","Period=FQ","BEST_FPERIOD_OVERRIDE=FQ","FILING_STATUS=OR","EQY_CONSOLIDATED=Y","Sort=A","Dates=H","DateFormat=P","Fill=—","Direction=H","UseDPDF=Y")</f>
        <v>#NAME?</v>
      </c>
      <c r="CH125" s="1" t="e">
        <f ca="1">_xll.BDH($C$103,"LT_DEBT_TO_TOT_EQY","FQ2 2018","FQ2 2018","Currency=INR","Period=FQ","BEST_FPERIOD_OVERRIDE=FQ","FILING_STATUS=OR","EQY_CONSOLIDATED=Y","Sort=A","Dates=H","DateFormat=P","Fill=—","Direction=H","UseDPDF=Y")</f>
        <v>#NAME?</v>
      </c>
      <c r="CI125" s="1" t="e">
        <f ca="1">_xll.BDH($C$103,"LT_DEBT_TO_TOT_CAP","FQ2 2018","FQ2 2018","Currency=INR","Period=FQ","BEST_FPERIOD_OVERRIDE=FQ","FILING_STATUS=OR","EQY_CONSOLIDATED=Y","Sort=A","Dates=H","DateFormat=P","Fill=—","Direction=H","UseDPDF=Y")</f>
        <v>#NAME?</v>
      </c>
      <c r="CJ125" s="1" t="e">
        <f ca="1">_xll.BDH($C$103,"LT_DEBT_TO_TOT_ASSET","FQ2 2018","FQ2 2018","Currency=INR","Period=FQ","BEST_FPERIOD_OVERRIDE=FQ","FILING_STATUS=OR","EQY_CONSOLIDATED=Y","Sort=A","Dates=H","DateFormat=P","Fill=—","Direction=H","UseDPDF=Y")</f>
        <v>#NAME?</v>
      </c>
      <c r="CK125" s="1" t="e">
        <f ca="1">_xll.BDH($C$103,"TOT_DEBT_TO_TOT_EQY","FQ2 2018","FQ2 2018","Currency=INR","Period=FQ","BEST_FPERIOD_OVERRIDE=FQ","FILING_STATUS=OR","EQY_CONSOLIDATED=Y","Sort=A","Dates=H","DateFormat=P","Fill=—","Direction=H","UseDPDF=Y")</f>
        <v>#NAME?</v>
      </c>
      <c r="CL125" s="1" t="e">
        <f ca="1">_xll.BDH($C$103,"TOT_DEBT_TO_TOT_CAP","FQ2 2018","FQ2 2018","Currency=INR","Period=FQ","BEST_FPERIOD_OVERRIDE=FQ","FILING_STATUS=OR","EQY_CONSOLIDATED=Y","Sort=A","Dates=H","DateFormat=P","Fill=—","Direction=H","UseDPDF=Y")</f>
        <v>#NAME?</v>
      </c>
      <c r="CM125" s="1" t="e">
        <f ca="1">_xll.BDH($C$103,"TOT_DEBT_TO_TOT_ASSET","FQ2 2018","FQ2 2018","Currency=INR","Period=FQ","BEST_FPERIOD_OVERRIDE=FQ","FILING_STATUS=OR","EQY_CONSOLIDATED=Y","Sort=A","Dates=H","DateFormat=P","Fill=—","Direction=H","UseDPDF=Y")</f>
        <v>#NAME?</v>
      </c>
      <c r="CN125" s="1" t="e">
        <f ca="1">_xll.BDH($C$103,"NET_DEBT_TO_SHRHLDR_EQTY","FQ2 2018","FQ2 2018","Currency=INR","Period=FQ","BEST_FPERIOD_OVERRIDE=FQ","FILING_STATUS=OR","EQY_CONSOLIDATED=Y","Sort=A","Dates=H","DateFormat=P","Fill=—","Direction=H","UseDPDF=Y")</f>
        <v>#NAME?</v>
      </c>
      <c r="CO125" s="1" t="e">
        <f ca="1">_xll.BDH($C$103,"NET_DEBT_%_CAPITAL","FQ2 2018","FQ2 2018","Currency=INR","Period=FQ","BEST_FPERIOD_OVERRIDE=FQ","FILING_STATUS=OR","EQY_CONSOLIDATED=Y","Sort=A","Dates=H","DateFormat=P","Fill=—","Direction=H","UseDPDF=Y")</f>
        <v>#NAME?</v>
      </c>
      <c r="CP125" s="2" t="e">
        <f ca="1">_xll.BDH($C$103,"EBITDA","FQ2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25" s="2" t="e">
        <f ca="1">_xll.BDH($C$103,"EBITDA_AFTER_CAPEX","FQ2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25" s="2" t="e">
        <f ca="1">_xll.BDH($C$103,"IS_OPER_INC","FQ2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25" s="1" t="e">
        <f ca="1">_xll.BDH($C$103,"CASH_RATIO","FQ2 2018","FQ2 2018","Currency=INR","Period=FQ","BEST_FPERIOD_OVERRIDE=FQ","FILING_STATUS=OR","EQY_CONSOLIDATED=Y","Sort=A","Dates=H","DateFormat=P","Fill=—","Direction=H","UseDPDF=Y")</f>
        <v>#NAME?</v>
      </c>
      <c r="CT125" s="1" t="e">
        <f ca="1">_xll.BDH($C$103,"CUR_RATIO","FQ2 2018","FQ2 2018","Currency=INR","Period=FQ","BEST_FPERIOD_OVERRIDE=FQ","FILING_STATUS=OR","EQY_CONSOLIDATED=Y","Sort=A","Dates=H","DateFormat=P","Fill=—","Direction=H","UseDPDF=Y")</f>
        <v>#NAME?</v>
      </c>
      <c r="CU125" s="1" t="e">
        <f ca="1">_xll.BDH($C$103,"QUICK_RATIO","FQ2 2018","FQ2 2018","Currency=INR","Period=FQ","BEST_FPERIOD_OVERRIDE=FQ","FILING_STATUS=OR","EQY_CONSOLIDATED=Y","Sort=A","Dates=H","DateFormat=P","Fill=—","Direction=H","UseDPDF=Y")</f>
        <v>#NAME?</v>
      </c>
      <c r="CV125" s="1" t="e">
        <f ca="1">_xll.BDH($C$103,"ALTMAN_Z_SCORE","FQ2 2018","FQ2 2018","Currency=INR","Period=FQ","BEST_FPERIOD_OVERRIDE=FQ","FILING_STATUS=OR","EQY_CONSOLIDATED=Y","Sort=A","Dates=H","DateFormat=P","Fill=—","Direction=H","UseDPDF=Y")</f>
        <v>#NAME?</v>
      </c>
      <c r="CW125" s="3" t="e">
        <f ca="1">_xll.BDH($C$103,"ACCT_RCV_TURN","FQ2 2018","FQ2 2018","Currency=INR","Period=FQ","BEST_FPERIOD_OVERRIDE=FQ","FILING_STATUS=OR","EQY_CONSOLIDATED=Y","FA_ADJUSTED=GAAP","Sort=A","Dates=H","DateFormat=P","Fill=—","Direction=H","UseDPDF=Y")</f>
        <v>#NAME?</v>
      </c>
      <c r="CX125" s="1" t="e">
        <f ca="1">_xll.BDH($C$103,"ACCT_RCV_DAYS","FQ2 2018","FQ2 2018","Currency=INR","Period=FQ","BEST_FPERIOD_OVERRIDE=FQ","FILING_STATUS=OR","EQY_CONSOLIDATED=Y","FA_ADJUSTED=GAAP","Sort=A","Dates=H","DateFormat=P","Fill=—","Direction=H","UseDPDF=Y")</f>
        <v>#NAME?</v>
      </c>
      <c r="CY125" s="3" t="e">
        <f ca="1">_xll.BDH($C$103,"INVENT_TURN","FQ2 2018","FQ2 2018","Currency=INR","Period=FQ","BEST_FPERIOD_OVERRIDE=FQ","FILING_STATUS=OR","EQY_CONSOLIDATED=Y","FA_ADJUSTED=GAAP","Sort=A","Dates=H","DateFormat=P","Fill=—","Direction=H","UseDPDF=Y")</f>
        <v>#NAME?</v>
      </c>
      <c r="CZ125" s="1" t="e">
        <f ca="1">_xll.BDH($C$103,"INVENT_DAYS","FQ2 2018","FQ2 2018","Currency=INR","Period=FQ","BEST_FPERIOD_OVERRIDE=FQ","FILING_STATUS=OR","EQY_CONSOLIDATED=Y","FA_ADJUSTED=GAAP","Sort=A","Dates=H","DateFormat=P","Fill=—","Direction=H","UseDPDF=Y")</f>
        <v>#NAME?</v>
      </c>
      <c r="DA125" s="3" t="e">
        <f ca="1">_xll.BDH($C$103,"ACCOUNTS_PAYABLE_TURNOVER","FQ2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25" s="1" t="e">
        <f ca="1">_xll.BDH($C$103,"ACCOUNTS_PAYABLE_TURNOVER_DAYS","FQ2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25" s="3" t="e">
        <f ca="1">_xll.BDH($C$103,"CASH_CONVERSION_CYCLE","FQ2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25" s="3" t="e">
        <f ca="1">_xll.BDH($C$103,"INV_TO_CASH_DAYS","FQ2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125" s="4" t="e">
        <f ca="1">_xll.BDH($C$103,"BS_INVENTORIES","FQ2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125" s="2" t="e">
        <f ca="1">_xll.BDH($C$103,"INVTRY_RAW_MATERIALS","FQ2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25" s="2" t="e">
        <f ca="1">_xll.BDH($C$103,"INVTRY_IN_PROGRESS","FQ2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25" s="2" t="e">
        <f ca="1">_xll.BDH($C$103,"INVTRY_FINISHED_GOODS","FQ2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25" s="2" t="e">
        <f ca="1">_xll.BDH($C$103,"BS_OTHER_INV","FQ2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26" spans="1:113" x14ac:dyDescent="0.3">
      <c r="A126" s="6"/>
      <c r="B126" s="6"/>
      <c r="C126" s="6"/>
      <c r="D126" s="6"/>
      <c r="E126" t="s">
        <v>6</v>
      </c>
      <c r="F126" t="e">
        <f ca="1">_xll.BDH($C$103,"RETURN_COM_EQY","FQ3 2018","FQ3 2018","Currency=INR","Period=FQ","BEST_FPERIOD_OVERRIDE=FQ","FILING_STATUS=OR","EQY_CONSOLIDATED=Y","FA_ADJUSTED=GAAP","Sort=A","Dates=H","DateFormat=P","Fill=—","Direction=H","UseDPDF=Y")</f>
        <v>#NAME?</v>
      </c>
      <c r="G126" t="e">
        <f ca="1">_xll.BDH($C$103,"RETURN_ON_ASSET","FQ3 2018","FQ3 2018","Currency=INR","Period=FQ","BEST_FPERIOD_OVERRIDE=FQ","FILING_STATUS=OR","EQY_CONSOLIDATED=Y","FA_ADJUSTED=GAAP","Sort=A","Dates=H","DateFormat=P","Fill=—","Direction=H","UseDPDF=Y")</f>
        <v>#NAME?</v>
      </c>
      <c r="H126" t="e">
        <f ca="1">_xll.BDH($C$103,"RETURN_ON_CAP","FQ3 2018","FQ3 2018","Currency=INR","Period=FQ","BEST_FPERIOD_OVERRIDE=FQ","FILING_STATUS=OR","EQY_CONSOLIDATED=Y","FA_ADJUSTED=GAAP","Sort=A","Dates=H","DateFormat=P","Fill=—","Direction=H","UseDPDF=Y")</f>
        <v>#NAME?</v>
      </c>
      <c r="I126" t="e">
        <f ca="1">_xll.BDH($C$103,"RETURN_ON_INV_CAPITAL","FQ3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26" t="e">
        <f ca="1">_xll.BDH($C$103,"EBITDA_TO_REVENUE","FQ3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126" t="e">
        <f ca="1">_xll.BDH($C$103,"OPER_MARGIN","FQ3 2018","FQ3 2018","Currency=INR","Period=FQ","BEST_FPERIOD_OVERRIDE=FQ","FILING_STATUS=OR","EQY_CONSOLIDATED=Y","FA_ADJUSTED=GAAP","Sort=A","Dates=H","DateFormat=P","Fill=—","Direction=H","UseDPDF=Y")</f>
        <v>#NAME?</v>
      </c>
      <c r="L126" t="e">
        <f ca="1">_xll.BDH($C$103,"INCREMENTAL_OPERATING_MARGIN","FQ3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26" t="e">
        <f ca="1">_xll.BDH($C$103,"PRETAX_INC_TO_NET_SALES","FQ3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26" t="e">
        <f ca="1">_xll.BDH($C$103,"INC_BEF_XO_ITEMS_TO_NET_SALES","FQ3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26" t="e">
        <f ca="1">_xll.BDH($C$103,"PROF_MARGIN","FQ3 2018","FQ3 2018","Currency=INR","Period=FQ","BEST_FPERIOD_OVERRIDE=FQ","FILING_STATUS=OR","EQY_CONSOLIDATED=Y","FA_ADJUSTED=GAAP","Sort=A","Dates=H","DateFormat=P","Fill=—","Direction=H","UseDPDF=Y")</f>
        <v>#NAME?</v>
      </c>
      <c r="P126" t="e">
        <f ca="1">_xll.BDH($C$103,"NET_INCOME_TO_COMMON_MARGIN","FQ3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26" t="e">
        <f ca="1">_xll.BDH($C$103,"EFF_TAX_RATE","FQ3 2018","FQ3 2018","Currency=INR","Period=FQ","BEST_FPERIOD_OVERRIDE=FQ","FILING_STATUS=OR","EQY_CONSOLIDATED=Y","FA_ADJUSTED=GAAP","Sort=A","Dates=H","DateFormat=P","Fill=—","Direction=H","UseDPDF=Y")</f>
        <v>#NAME?</v>
      </c>
      <c r="R126" t="e">
        <f ca="1">_xll.BDH($C$103,"DVD_PAYOUT_RATIO","FQ3 2018","FQ3 2018","Currency=INR","Period=FQ","BEST_FPERIOD_OVERRIDE=FQ","FILING_STATUS=OR","EQY_CONSOLIDATED=Y","FA_ADJUSTED=GAAP","Sort=A","Dates=H","DateFormat=P","Fill=—","Direction=H","UseDPDF=Y")</f>
        <v>#NAME?</v>
      </c>
      <c r="S126" t="e">
        <f ca="1">_xll.BDH($C$103,"SUSTAIN_GROWTH_RT","FQ3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126" s="1" t="e">
        <f ca="1">_xll.BDH($C$103,"SALES_GROWTH","FQ3 2018","FQ3 2018","Currency=INR","Period=FQ","BEST_FPERIOD_OVERRIDE=FQ","FILING_STATUS=OR","EQY_CONSOLIDATED=Y","FA_ADJUSTED=GAAP","Sort=A","Dates=H","DateFormat=P","Fill=—","Direction=H","UseDPDF=Y")</f>
        <v>#NAME?</v>
      </c>
      <c r="U126" s="1" t="e">
        <f ca="1">_xll.BDH($C$103,"EBITDA_GROWTH","FQ3 2018","FQ3 2018","Currency=INR","Period=FQ","BEST_FPERIOD_OVERRIDE=FQ","FILING_STATUS=OR","EQY_CONSOLIDATED=Y","FA_ADJUSTED=GAAP","Sort=A","Dates=H","DateFormat=P","Fill=—","Direction=H","UseDPDF=Y")</f>
        <v>#NAME?</v>
      </c>
      <c r="V126" s="1" t="e">
        <f ca="1">_xll.BDH($C$103,"OPER_INC_GROWTH","FQ3 2018","FQ3 2018","Currency=INR","Period=FQ","BEST_FPERIOD_OVERRIDE=FQ","FILING_STATUS=OR","EQY_CONSOLIDATED=Y","FA_ADJUSTED=GAAP","Sort=A","Dates=H","DateFormat=P","Fill=—","Direction=H","UseDPDF=Y")</f>
        <v>#NAME?</v>
      </c>
      <c r="W126" s="1" t="e">
        <f ca="1">_xll.BDH($C$103,"EARN_FOR_COM_GROWTH","FQ3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26" s="1" t="e">
        <f ca="1">_xll.BDH($C$103,"DILUTED_EPS_AFT_XO_ITEMS_GROWTH","FQ3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26" s="1" t="e">
        <f ca="1">_xll.BDH($C$103,"DIVIDEND_PER_SHARE_1_YEAR_GROWTH","FQ3 2018","FQ3 2018","Currency=INR","Period=FQ","BEST_FPERIOD_OVERRIDE=FQ","FILING_STATUS=OR","EQY_CONSOLIDATED=Y","Sort=A","Dates=H","DateFormat=P","Fill=—","Direction=H","UseDPDF=Y")</f>
        <v>#NAME?</v>
      </c>
      <c r="Z126" s="1" t="e">
        <f ca="1">_xll.BDH($C$103,"ACCOUNTS_RECEIVABLE_GROWTH","FQ3 2018","FQ3 2018","Currency=INR","Period=FQ","BEST_FPERIOD_OVERRIDE=FQ","FILING_STATUS=OR","EQY_CONSOLIDATED=Y","Sort=A","Dates=H","DateFormat=P","Fill=—","Direction=H","UseDPDF=Y")</f>
        <v>#NAME?</v>
      </c>
      <c r="AA126" s="1" t="e">
        <f ca="1">_xll.BDH($C$103,"INVENTORY_GROWTH","FQ3 2018","FQ3 2018","Currency=INR","Period=FQ","BEST_FPERIOD_OVERRIDE=FQ","FILING_STATUS=OR","EQY_CONSOLIDATED=Y","Sort=A","Dates=H","DateFormat=P","Fill=—","Direction=H","UseDPDF=Y")</f>
        <v>#NAME?</v>
      </c>
      <c r="AB126" s="1" t="e">
        <f ca="1">_xll.BDH($C$103,"NET_FIXED_ASSETS_1_YEAR_GROWTH","FQ3 2018","FQ3 2018","Currency=INR","Period=FQ","BEST_FPERIOD_OVERRIDE=FQ","FILING_STATUS=OR","EQY_CONSOLIDATED=Y","Sort=A","Dates=H","DateFormat=P","Fill=—","Direction=H","UseDPDF=Y")</f>
        <v>#NAME?</v>
      </c>
      <c r="AC126" s="1" t="e">
        <f ca="1">_xll.BDH($C$103,"ASSET_GROWTH","FQ3 2018","FQ3 2018","Currency=INR","Period=FQ","BEST_FPERIOD_OVERRIDE=FQ","FILING_STATUS=OR","EQY_CONSOLIDATED=Y","Sort=A","Dates=H","DateFormat=P","Fill=—","Direction=H","UseDPDF=Y")</f>
        <v>#NAME?</v>
      </c>
      <c r="AD126" s="1" t="e">
        <f ca="1">_xll.BDH($C$103,"MODIFIED_WORK_CAP_GROWTH","FQ3 2018","FQ3 2018","Currency=INR","Period=FQ","BEST_FPERIOD_OVERRIDE=FQ","FILING_STATUS=OR","EQY_CONSOLIDATED=Y","Sort=A","Dates=H","DateFormat=P","Fill=—","Direction=H","UseDPDF=Y")</f>
        <v>#NAME?</v>
      </c>
      <c r="AE126" s="1" t="e">
        <f ca="1">_xll.BDH($C$103,"WORK_CAP_GROWTH","FQ3 2018","FQ3 2018","Currency=INR","Period=FQ","BEST_FPERIOD_OVERRIDE=FQ","FILING_STATUS=OR","EQY_CONSOLIDATED=Y","Sort=A","Dates=H","DateFormat=P","Fill=—","Direction=H","UseDPDF=Y")</f>
        <v>#NAME?</v>
      </c>
      <c r="AF126" s="1" t="e">
        <f ca="1">_xll.BDH($C$103,"ACCOUNTS_PAYABLE_GROWTH_1YR","FQ3 2018","FQ3 2018","Currency=INR","Period=FQ","BEST_FPERIOD_OVERRIDE=FQ","FILING_STATUS=OR","EQY_CONSOLIDATED=Y","Sort=A","Dates=H","DateFormat=P","Fill=—","Direction=H","UseDPDF=Y")</f>
        <v>#NAME?</v>
      </c>
      <c r="AG126" s="1" t="e">
        <f ca="1">_xll.BDH($C$103,"SHORT_TERM_DEBT_1_YEAR_GROWTH","FQ3 2018","FQ3 2018","Currency=INR","Period=FQ","BEST_FPERIOD_OVERRIDE=FQ","FILING_STATUS=OR","EQY_CONSOLIDATED=Y","Sort=A","Dates=H","DateFormat=P","Fill=—","Direction=H","UseDPDF=Y")</f>
        <v>#NAME?</v>
      </c>
      <c r="AH126" s="1" t="e">
        <f ca="1">_xll.BDH($C$103,"TOTAL_DEBT_1_YEAR_GROWTH","FQ3 2018","FQ3 2018","Currency=INR","Period=FQ","BEST_FPERIOD_OVERRIDE=FQ","FILING_STATUS=OR","EQY_CONSOLIDATED=Y","Sort=A","Dates=H","DateFormat=P","Fill=—","Direction=H","UseDPDF=Y")</f>
        <v>#NAME?</v>
      </c>
      <c r="AI126" s="1" t="e">
        <f ca="1">_xll.BDH($C$103,"TOTAL_EQUITY_1_YEAR_GROWTH","FQ3 2018","FQ3 2018","Currency=INR","Period=FQ","BEST_FPERIOD_OVERRIDE=FQ","FILING_STATUS=OR","EQY_CONSOLIDATED=Y","Sort=A","Dates=H","DateFormat=P","Fill=—","Direction=H","UseDPDF=Y")</f>
        <v>#NAME?</v>
      </c>
      <c r="AJ126" s="1" t="e">
        <f ca="1">_xll.BDH($C$103,"GROWTH_IN_CAP","FQ3 2018","FQ3 2018","Currency=INR","Period=FQ","BEST_FPERIOD_OVERRIDE=FQ","FILING_STATUS=OR","EQY_CONSOLIDATED=Y","Sort=A","Dates=H","DateFormat=P","Fill=—","Direction=H","UseDPDF=Y")</f>
        <v>#NAME?</v>
      </c>
      <c r="AK126" s="1" t="e">
        <f ca="1">_xll.BDH($C$103,"BVPS_GROWTH","FQ3 2018","FQ3 2018","Currency=INR","Period=FQ","BEST_FPERIOD_OVERRIDE=FQ","FILING_STATUS=OR","EQY_CONSOLIDATED=Y","Sort=A","Dates=H","DateFormat=P","Fill=—","Direction=H","UseDPDF=Y")</f>
        <v>#NAME?</v>
      </c>
      <c r="AL126" s="1" t="e">
        <f ca="1">_xll.BDH($C$103,"CASH_FLOW_GROWTH","FQ3 2018","FQ3 2018","Currency=INR","Period=FQ","BEST_FPERIOD_OVERRIDE=FQ","FILING_STATUS=OR","EQY_CONSOLIDATED=Y","Sort=A","Dates=H","DateFormat=P","Fill=—","Direction=H","UseDPDF=Y")</f>
        <v>#NAME?</v>
      </c>
      <c r="AM126" s="1" t="e">
        <f ca="1">_xll.BDH($C$103,"GEO_GROW_NET_SALES","FQ3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26" s="1" t="e">
        <f ca="1">_xll.BDH($C$103,"GEO_GROW_EBITDA","FQ3 2018","FQ3 2018","Currency=INR","Period=FQ","BEST_FPERIOD_OVERRIDE=FQ","FILING_STATUS=OR","EQY_CONSOLIDATED=Y","FA_ADJUSTED=GAAP","Sort=A","Dates=H","DateFormat=P","Fill=—","Direction=H","UseDPDF=Y")</f>
        <v>#NAME?</v>
      </c>
      <c r="AO126" s="1" t="e">
        <f ca="1">_xll.BDH($C$103,"GEO_GROW_OPER_INC","FQ3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26" s="1" t="e">
        <f ca="1">_xll.BDH($C$103,"NET_INCOME_TO_COMMON_5_YR_GROWTH","FQ3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26" s="1" t="e">
        <f ca="1">_xll.BDH($C$103,"5Y_GEO_GROWTH_DILUTED_EPS","FQ3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26" s="1" t="e">
        <f ca="1">_xll.BDH($C$103,"GEO_GROW_DVD_PER_SH","FQ3 2018","FQ3 2018","Currency=INR","Period=FQ","BEST_FPERIOD_OVERRIDE=FQ","FILING_STATUS=OR","EQY_CONSOLIDATED=Y","Sort=A","Dates=H","DateFormat=P","Fill=—","Direction=H","UseDPDF=Y")</f>
        <v>#NAME?</v>
      </c>
      <c r="AS126" s="1" t="e">
        <f ca="1">_xll.BDH($C$103,"ACCOUNTS_RECEIVABLE_5_YR_GROWTH","FQ3 2018","FQ3 2018","Currency=INR","Period=FQ","BEST_FPERIOD_OVERRIDE=FQ","FILING_STATUS=OR","EQY_CONSOLIDATED=Y","Sort=A","Dates=H","DateFormat=P","Fill=—","Direction=H","UseDPDF=Y")</f>
        <v>#NAME?</v>
      </c>
      <c r="AT126" s="1" t="e">
        <f ca="1">_xll.BDH($C$103,"INVENTORY_5_YEAR_GROWTH","FQ3 2018","FQ3 2018","Currency=INR","Period=FQ","BEST_FPERIOD_OVERRIDE=FQ","FILING_STATUS=OR","EQY_CONSOLIDATED=Y","Sort=A","Dates=H","DateFormat=P","Fill=—","Direction=H","UseDPDF=Y")</f>
        <v>#NAME?</v>
      </c>
      <c r="AU126" s="1" t="e">
        <f ca="1">_xll.BDH($C$103,"NET_FIXED_ASSETS_5_YEAR_GROWTH","FQ3 2018","FQ3 2018","Currency=INR","Period=FQ","BEST_FPERIOD_OVERRIDE=FQ","FILING_STATUS=OR","EQY_CONSOLIDATED=Y","Sort=A","Dates=H","DateFormat=P","Fill=—","Direction=H","UseDPDF=Y")</f>
        <v>#NAME?</v>
      </c>
      <c r="AV126" s="1" t="e">
        <f ca="1">_xll.BDH($C$103,"GEO_GROW_TOT_ASSET","FQ3 2018","FQ3 2018","Currency=INR","Period=FQ","BEST_FPERIOD_OVERRIDE=FQ","FILING_STATUS=OR","EQY_CONSOLIDATED=Y","Sort=A","Dates=H","DateFormat=P","Fill=—","Direction=H","UseDPDF=Y")</f>
        <v>#NAME?</v>
      </c>
      <c r="AW126" s="1" t="e">
        <f ca="1">_xll.BDH($C$103,"MODIFIED_WORKING_CPTL_5YR_GRWTH","FQ3 2018","FQ3 2018","Currency=INR","Period=FQ","BEST_FPERIOD_OVERRIDE=FQ","FILING_STATUS=OR","EQY_CONSOLIDATED=Y","Sort=A","Dates=H","DateFormat=P","Fill=—","Direction=H","UseDPDF=Y")</f>
        <v>#NAME?</v>
      </c>
      <c r="AX126" s="1" t="e">
        <f ca="1">_xll.BDH($C$103,"WORKING_CAPITAL_5_YEAR_GROWTH","FQ3 2018","FQ3 2018","Currency=INR","Period=FQ","BEST_FPERIOD_OVERRIDE=FQ","FILING_STATUS=OR","EQY_CONSOLIDATED=Y","Sort=A","Dates=H","DateFormat=P","Fill=—","Direction=H","UseDPDF=Y")</f>
        <v>#NAME?</v>
      </c>
      <c r="AY126" s="1" t="e">
        <f ca="1">_xll.BDH($C$103,"ACCOUNTS_PAYABLE_5_YEAR_GROWTH","FQ3 2018","FQ3 2018","Currency=INR","Period=FQ","BEST_FPERIOD_OVERRIDE=FQ","FILING_STATUS=OR","EQY_CONSOLIDATED=Y","Sort=A","Dates=H","DateFormat=P","Fill=—","Direction=H","UseDPDF=Y")</f>
        <v>#NAME?</v>
      </c>
      <c r="AZ126" s="1" t="e">
        <f ca="1">_xll.BDH($C$103,"SHORT_TERM_DEBT_5_YEAR_GROWTH","FQ3 2018","FQ3 2018","Currency=INR","Period=FQ","BEST_FPERIOD_OVERRIDE=FQ","FILING_STATUS=OR","EQY_CONSOLIDATED=Y","Sort=A","Dates=H","DateFormat=P","Fill=—","Direction=H","UseDPDF=Y")</f>
        <v>#NAME?</v>
      </c>
      <c r="BA126" s="1" t="e">
        <f ca="1">_xll.BDH($C$103,"TOTAL_DEBT_5_YEAR_GROWTH","FQ3 2018","FQ3 2018","Currency=INR","Period=FQ","BEST_FPERIOD_OVERRIDE=FQ","FILING_STATUS=OR","EQY_CONSOLIDATED=Y","Sort=A","Dates=H","DateFormat=P","Fill=—","Direction=H","UseDPDF=Y")</f>
        <v>#NAME?</v>
      </c>
      <c r="BB126" s="1" t="e">
        <f ca="1">_xll.BDH($C$103,"GEO_GROW_TOT_SHRHLDR_EQY","FQ3 2018","FQ3 2018","Currency=INR","Period=FQ","BEST_FPERIOD_OVERRIDE=FQ","FILING_STATUS=OR","EQY_CONSOLIDATED=Y","Sort=A","Dates=H","DateFormat=P","Fill=—","Direction=H","UseDPDF=Y")</f>
        <v>#NAME?</v>
      </c>
      <c r="BC126" s="1" t="e">
        <f ca="1">_xll.BDH($C$103,"TOTAL_CAPITAL_5_YEAR_GROWTH","FQ3 2018","FQ3 2018","Currency=INR","Period=FQ","BEST_FPERIOD_OVERRIDE=FQ","FILING_STATUS=OR","EQY_CONSOLIDATED=Y","Sort=A","Dates=H","DateFormat=P","Fill=—","Direction=H","UseDPDF=Y")</f>
        <v>#NAME?</v>
      </c>
      <c r="BD126" s="1" t="e">
        <f ca="1">_xll.BDH($C$103,"GEO_GROW_BOOK_VAL","FQ3 2018","FQ3 2018","Currency=INR","Period=FQ","BEST_FPERIOD_OVERRIDE=FQ","FILING_STATUS=OR","EQY_CONSOLIDATED=Y","Sort=A","Dates=H","DateFormat=P","Fill=—","Direction=H","UseDPDF=Y")</f>
        <v>#NAME?</v>
      </c>
      <c r="BE126" s="1" t="e">
        <f ca="1">_xll.BDH($C$103,"GEO_GROW_CASH_OPER_ACT","FQ3 2018","FQ3 2018","Currency=INR","Period=FQ","BEST_FPERIOD_OVERRIDE=FQ","FILING_STATUS=OR","EQY_CONSOLIDATED=Y","Sort=A","Dates=H","DateFormat=P","Fill=—","Direction=H","UseDPDF=Y")</f>
        <v>#NAME?</v>
      </c>
      <c r="BF126" s="1" t="e">
        <f ca="1">_xll.BDH($C$103,"REVENUE_SEQUENTIAL_GROWTH","FQ3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26" s="1" t="e">
        <f ca="1">_xll.BDH($C$103,"EBITDA_SEQUENTIAL_GROWTH","FQ3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26" s="1" t="e">
        <f ca="1">_xll.BDH($C$103,"OPERATING_INCOME_SEQ_GROWTH","FQ3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26" s="1" t="e">
        <f ca="1">_xll.BDH($C$103,"NET_INCOME_TO_COMMON_SEQ_GROWTH","FQ3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26" s="1" t="e">
        <f ca="1">_xll.BDH($C$103,"EPS_DILUTED_SEQUENTIAL_GROWTH","FQ3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26" s="1" t="e">
        <f ca="1">_xll.BDH($C$103,"DPS_SEQUENTIAL_GROWTH","FQ3 2018","FQ3 2018","Currency=INR","Period=FQ","BEST_FPERIOD_OVERRIDE=FQ","FILING_STATUS=OR","EQY_CONSOLIDATED=Y","Sort=A","Dates=H","DateFormat=P","Fill=—","Direction=H","UseDPDF=Y")</f>
        <v>#NAME?</v>
      </c>
      <c r="BL126" s="1" t="e">
        <f ca="1">_xll.BDH($C$103,"ACCOUNTS_RECEIVABLE_SEQ_GROWTH","FQ3 2018","FQ3 2018","Currency=INR","Period=FQ","BEST_FPERIOD_OVERRIDE=FQ","FILING_STATUS=OR","EQY_CONSOLIDATED=Y","Sort=A","Dates=H","DateFormat=P","Fill=—","Direction=H","UseDPDF=Y")</f>
        <v>#NAME?</v>
      </c>
      <c r="BM126" s="1" t="e">
        <f ca="1">_xll.BDH($C$103,"INVENTORY_SEQUENTIAL_GROWTH","FQ3 2018","FQ3 2018","Currency=INR","Period=FQ","BEST_FPERIOD_OVERRIDE=FQ","FILING_STATUS=OR","EQY_CONSOLIDATED=Y","Sort=A","Dates=H","DateFormat=P","Fill=—","Direction=H","UseDPDF=Y")</f>
        <v>#NAME?</v>
      </c>
      <c r="BN126" s="1" t="e">
        <f ca="1">_xll.BDH($C$103,"FIXED_ASSETS_SEQUENTIAL_GROWTH","FQ3 2018","FQ3 2018","Currency=INR","Period=FQ","BEST_FPERIOD_OVERRIDE=FQ","FILING_STATUS=OR","EQY_CONSOLIDATED=Y","Sort=A","Dates=H","DateFormat=P","Fill=—","Direction=H","UseDPDF=Y")</f>
        <v>#NAME?</v>
      </c>
      <c r="BO126" s="1" t="e">
        <f ca="1">_xll.BDH($C$103,"TOTAL_ASSETS_SEQUENTIAL_GROWTH","FQ3 2018","FQ3 2018","Currency=INR","Period=FQ","BEST_FPERIOD_OVERRIDE=FQ","FILING_STATUS=OR","EQY_CONSOLIDATED=Y","Sort=A","Dates=H","DateFormat=P","Fill=—","Direction=H","UseDPDF=Y")</f>
        <v>#NAME?</v>
      </c>
      <c r="BP126" s="1" t="e">
        <f ca="1">_xll.BDH($C$103,"MODIFIED_WORKING_CPTL_SEQ_GRWTH","FQ3 2018","FQ3 2018","Currency=INR","Period=FQ","BEST_FPERIOD_OVERRIDE=FQ","FILING_STATUS=OR","EQY_CONSOLIDATED=Y","Sort=A","Dates=H","DateFormat=P","Fill=—","Direction=H","UseDPDF=Y")</f>
        <v>#NAME?</v>
      </c>
      <c r="BQ126" s="1" t="e">
        <f ca="1">_xll.BDH($C$103,"WORKING_CAPITAL_SEQ_GROWTH","FQ3 2018","FQ3 2018","Currency=INR","Period=FQ","BEST_FPERIOD_OVERRIDE=FQ","FILING_STATUS=OR","EQY_CONSOLIDATED=Y","Sort=A","Dates=H","DateFormat=P","Fill=—","Direction=H","UseDPDF=Y")</f>
        <v>#NAME?</v>
      </c>
      <c r="BR126" s="1" t="e">
        <f ca="1">_xll.BDH($C$103,"ACCOUNTS_PAYABLE_SEQ_GROWTH","FQ3 2018","FQ3 2018","Currency=INR","Period=FQ","BEST_FPERIOD_OVERRIDE=FQ","FILING_STATUS=OR","EQY_CONSOLIDATED=Y","Sort=A","Dates=H","DateFormat=P","Fill=—","Direction=H","UseDPDF=Y")</f>
        <v>#NAME?</v>
      </c>
      <c r="BS126" s="1" t="e">
        <f ca="1">_xll.BDH($C$103,"ST_DEBT_SEQUENTIAL_GROWTH","FQ3 2018","FQ3 2018","Currency=INR","Period=FQ","BEST_FPERIOD_OVERRIDE=FQ","FILING_STATUS=OR","EQY_CONSOLIDATED=Y","Sort=A","Dates=H","DateFormat=P","Fill=—","Direction=H","UseDPDF=Y")</f>
        <v>#NAME?</v>
      </c>
      <c r="BT126" s="1" t="e">
        <f ca="1">_xll.BDH($C$103,"TOTAL_DEBT_SEQUENTIAL_GROWTH","FQ3 2018","FQ3 2018","Currency=INR","Period=FQ","BEST_FPERIOD_OVERRIDE=FQ","FILING_STATUS=OR","EQY_CONSOLIDATED=Y","Sort=A","Dates=H","DateFormat=P","Fill=—","Direction=H","UseDPDF=Y")</f>
        <v>#NAME?</v>
      </c>
      <c r="BU126" s="1" t="e">
        <f ca="1">_xll.BDH($C$103,"TOTAL_EQUITY_SEQUENTIAL_GROWTH","FQ3 2018","FQ3 2018","Currency=INR","Period=FQ","BEST_FPERIOD_OVERRIDE=FQ","FILING_STATUS=OR","EQY_CONSOLIDATED=Y","Sort=A","Dates=H","DateFormat=P","Fill=—","Direction=H","UseDPDF=Y")</f>
        <v>#NAME?</v>
      </c>
      <c r="BV126" s="1" t="e">
        <f ca="1">_xll.BDH($C$103,"TOTAL_CAPITAL_SEQUENTIAL_GROWTH","FQ3 2018","FQ3 2018","Currency=INR","Period=FQ","BEST_FPERIOD_OVERRIDE=FQ","FILING_STATUS=OR","EQY_CONSOLIDATED=Y","Sort=A","Dates=H","DateFormat=P","Fill=—","Direction=H","UseDPDF=Y")</f>
        <v>#NAME?</v>
      </c>
      <c r="BW126" s="1" t="e">
        <f ca="1">_xll.BDH($C$103,"BPS_SEQUENTIAL_GROWTH","FQ3 2018","FQ3 2018","Currency=INR","Period=FQ","BEST_FPERIOD_OVERRIDE=FQ","FILING_STATUS=OR","EQY_CONSOLIDATED=Y","Sort=A","Dates=H","DateFormat=P","Fill=—","Direction=H","UseDPDF=Y")</f>
        <v>#NAME?</v>
      </c>
      <c r="BX126" s="1" t="e">
        <f ca="1">_xll.BDH($C$103,"CFO_SEQUENTIAL_GROWTH","FQ3 2018","FQ3 2018","Currency=INR","Period=FQ","BEST_FPERIOD_OVERRIDE=FQ","FILING_STATUS=OR","EQY_CONSOLIDATED=Y","Sort=A","Dates=H","DateFormat=P","Fill=—","Direction=H","UseDPDF=Y")</f>
        <v>#NAME?</v>
      </c>
      <c r="BY126" s="2" t="e">
        <f ca="1">_xll.BDH($C$103,"SHORT_AND_LONG_TERM_DEBT","FQ3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26" s="2" t="e">
        <f ca="1">_xll.BDH($C$103,"BS_ST_BORROW","FQ3 2018","FQ3 2018","Currency=INR","Period=FQ","BEST_FPERIOD_OVERRIDE=FQ","FILING_STATUS=OR","EQY_CONSOLIDATED=Y","SCALING_FORMAT=MLN","Sort=A","Dates=H","DateFormat=P","Fill=—","Direction=H","UseDPDF=Y")</f>
        <v>#NAME?</v>
      </c>
      <c r="CA126" s="2" t="e">
        <f ca="1">_xll.BDH($C$103,"BS_LT_BORROW","FQ3 2018","FQ3 2018","Currency=INR","Period=FQ","BEST_FPERIOD_OVERRIDE=FQ","FILING_STATUS=OR","EQY_CONSOLIDATED=Y","SCALING_FORMAT=MLN","Sort=A","Dates=H","DateFormat=P","Fill=—","Direction=H","UseDPDF=Y")</f>
        <v>#NAME?</v>
      </c>
      <c r="CB126" s="1" t="e">
        <f ca="1">_xll.BDH($C$103,"TOT_DEBT_TO_EBITDA","FQ3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26" s="1" t="e">
        <f ca="1">_xll.BDH($C$103,"NET_DEBT_TO_EBITDA","FQ3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26" s="1" t="e">
        <f ca="1">_xll.BDH($C$103,"TOTAL_DEBT_TO_EBIT","FQ3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26" s="1" t="e">
        <f ca="1">_xll.BDH($C$103,"NET_DEBT_TO_EBIT","FQ3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126" s="1" t="e">
        <f ca="1">_xll.BDH($C$103,"EBITDA_TO_INTEREST_EXPN","FQ3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26" s="1" t="e">
        <f ca="1">_xll.BDH($C$103,"COM_EQY_TO_TOT_ASSET","FQ3 2018","FQ3 2018","Currency=INR","Period=FQ","BEST_FPERIOD_OVERRIDE=FQ","FILING_STATUS=OR","EQY_CONSOLIDATED=Y","Sort=A","Dates=H","DateFormat=P","Fill=—","Direction=H","UseDPDF=Y")</f>
        <v>#NAME?</v>
      </c>
      <c r="CH126" s="1" t="e">
        <f ca="1">_xll.BDH($C$103,"LT_DEBT_TO_TOT_EQY","FQ3 2018","FQ3 2018","Currency=INR","Period=FQ","BEST_FPERIOD_OVERRIDE=FQ","FILING_STATUS=OR","EQY_CONSOLIDATED=Y","Sort=A","Dates=H","DateFormat=P","Fill=—","Direction=H","UseDPDF=Y")</f>
        <v>#NAME?</v>
      </c>
      <c r="CI126" s="1" t="e">
        <f ca="1">_xll.BDH($C$103,"LT_DEBT_TO_TOT_CAP","FQ3 2018","FQ3 2018","Currency=INR","Period=FQ","BEST_FPERIOD_OVERRIDE=FQ","FILING_STATUS=OR","EQY_CONSOLIDATED=Y","Sort=A","Dates=H","DateFormat=P","Fill=—","Direction=H","UseDPDF=Y")</f>
        <v>#NAME?</v>
      </c>
      <c r="CJ126" s="1" t="e">
        <f ca="1">_xll.BDH($C$103,"LT_DEBT_TO_TOT_ASSET","FQ3 2018","FQ3 2018","Currency=INR","Period=FQ","BEST_FPERIOD_OVERRIDE=FQ","FILING_STATUS=OR","EQY_CONSOLIDATED=Y","Sort=A","Dates=H","DateFormat=P","Fill=—","Direction=H","UseDPDF=Y")</f>
        <v>#NAME?</v>
      </c>
      <c r="CK126" s="1" t="e">
        <f ca="1">_xll.BDH($C$103,"TOT_DEBT_TO_TOT_EQY","FQ3 2018","FQ3 2018","Currency=INR","Period=FQ","BEST_FPERIOD_OVERRIDE=FQ","FILING_STATUS=OR","EQY_CONSOLIDATED=Y","Sort=A","Dates=H","DateFormat=P","Fill=—","Direction=H","UseDPDF=Y")</f>
        <v>#NAME?</v>
      </c>
      <c r="CL126" s="1" t="e">
        <f ca="1">_xll.BDH($C$103,"TOT_DEBT_TO_TOT_CAP","FQ3 2018","FQ3 2018","Currency=INR","Period=FQ","BEST_FPERIOD_OVERRIDE=FQ","FILING_STATUS=OR","EQY_CONSOLIDATED=Y","Sort=A","Dates=H","DateFormat=P","Fill=—","Direction=H","UseDPDF=Y")</f>
        <v>#NAME?</v>
      </c>
      <c r="CM126" s="1" t="e">
        <f ca="1">_xll.BDH($C$103,"TOT_DEBT_TO_TOT_ASSET","FQ3 2018","FQ3 2018","Currency=INR","Period=FQ","BEST_FPERIOD_OVERRIDE=FQ","FILING_STATUS=OR","EQY_CONSOLIDATED=Y","Sort=A","Dates=H","DateFormat=P","Fill=—","Direction=H","UseDPDF=Y")</f>
        <v>#NAME?</v>
      </c>
      <c r="CN126" s="1" t="e">
        <f ca="1">_xll.BDH($C$103,"NET_DEBT_TO_SHRHLDR_EQTY","FQ3 2018","FQ3 2018","Currency=INR","Period=FQ","BEST_FPERIOD_OVERRIDE=FQ","FILING_STATUS=OR","EQY_CONSOLIDATED=Y","Sort=A","Dates=H","DateFormat=P","Fill=—","Direction=H","UseDPDF=Y")</f>
        <v>#NAME?</v>
      </c>
      <c r="CO126" s="1" t="e">
        <f ca="1">_xll.BDH($C$103,"NET_DEBT_%_CAPITAL","FQ3 2018","FQ3 2018","Currency=INR","Period=FQ","BEST_FPERIOD_OVERRIDE=FQ","FILING_STATUS=OR","EQY_CONSOLIDATED=Y","Sort=A","Dates=H","DateFormat=P","Fill=—","Direction=H","UseDPDF=Y")</f>
        <v>#NAME?</v>
      </c>
      <c r="CP126" s="2" t="e">
        <f ca="1">_xll.BDH($C$103,"EBITDA","FQ3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26" s="2" t="e">
        <f ca="1">_xll.BDH($C$103,"EBITDA_AFTER_CAPEX","FQ3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26" s="2" t="e">
        <f ca="1">_xll.BDH($C$103,"IS_OPER_INC","FQ3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26" s="1" t="e">
        <f ca="1">_xll.BDH($C$103,"CASH_RATIO","FQ3 2018","FQ3 2018","Currency=INR","Period=FQ","BEST_FPERIOD_OVERRIDE=FQ","FILING_STATUS=OR","EQY_CONSOLIDATED=Y","Sort=A","Dates=H","DateFormat=P","Fill=—","Direction=H","UseDPDF=Y")</f>
        <v>#NAME?</v>
      </c>
      <c r="CT126" s="1" t="e">
        <f ca="1">_xll.BDH($C$103,"CUR_RATIO","FQ3 2018","FQ3 2018","Currency=INR","Period=FQ","BEST_FPERIOD_OVERRIDE=FQ","FILING_STATUS=OR","EQY_CONSOLIDATED=Y","Sort=A","Dates=H","DateFormat=P","Fill=—","Direction=H","UseDPDF=Y")</f>
        <v>#NAME?</v>
      </c>
      <c r="CU126" s="1" t="e">
        <f ca="1">_xll.BDH($C$103,"QUICK_RATIO","FQ3 2018","FQ3 2018","Currency=INR","Period=FQ","BEST_FPERIOD_OVERRIDE=FQ","FILING_STATUS=OR","EQY_CONSOLIDATED=Y","Sort=A","Dates=H","DateFormat=P","Fill=—","Direction=H","UseDPDF=Y")</f>
        <v>#NAME?</v>
      </c>
      <c r="CV126" s="1" t="e">
        <f ca="1">_xll.BDH($C$103,"ALTMAN_Z_SCORE","FQ3 2018","FQ3 2018","Currency=INR","Period=FQ","BEST_FPERIOD_OVERRIDE=FQ","FILING_STATUS=OR","EQY_CONSOLIDATED=Y","Sort=A","Dates=H","DateFormat=P","Fill=—","Direction=H","UseDPDF=Y")</f>
        <v>#NAME?</v>
      </c>
      <c r="CW126" s="3" t="e">
        <f ca="1">_xll.BDH($C$103,"ACCT_RCV_TURN","FQ3 2018","FQ3 2018","Currency=INR","Period=FQ","BEST_FPERIOD_OVERRIDE=FQ","FILING_STATUS=OR","EQY_CONSOLIDATED=Y","FA_ADJUSTED=GAAP","Sort=A","Dates=H","DateFormat=P","Fill=—","Direction=H","UseDPDF=Y")</f>
        <v>#NAME?</v>
      </c>
      <c r="CX126" s="1" t="e">
        <f ca="1">_xll.BDH($C$103,"ACCT_RCV_DAYS","FQ3 2018","FQ3 2018","Currency=INR","Period=FQ","BEST_FPERIOD_OVERRIDE=FQ","FILING_STATUS=OR","EQY_CONSOLIDATED=Y","FA_ADJUSTED=GAAP","Sort=A","Dates=H","DateFormat=P","Fill=—","Direction=H","UseDPDF=Y")</f>
        <v>#NAME?</v>
      </c>
      <c r="CY126" s="3" t="e">
        <f ca="1">_xll.BDH($C$103,"INVENT_TURN","FQ3 2018","FQ3 2018","Currency=INR","Period=FQ","BEST_FPERIOD_OVERRIDE=FQ","FILING_STATUS=OR","EQY_CONSOLIDATED=Y","FA_ADJUSTED=GAAP","Sort=A","Dates=H","DateFormat=P","Fill=—","Direction=H","UseDPDF=Y")</f>
        <v>#NAME?</v>
      </c>
      <c r="CZ126" s="1" t="e">
        <f ca="1">_xll.BDH($C$103,"INVENT_DAYS","FQ3 2018","FQ3 2018","Currency=INR","Period=FQ","BEST_FPERIOD_OVERRIDE=FQ","FILING_STATUS=OR","EQY_CONSOLIDATED=Y","FA_ADJUSTED=GAAP","Sort=A","Dates=H","DateFormat=P","Fill=—","Direction=H","UseDPDF=Y")</f>
        <v>#NAME?</v>
      </c>
      <c r="DA126" s="3" t="e">
        <f ca="1">_xll.BDH($C$103,"ACCOUNTS_PAYABLE_TURNOVER","FQ3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26" s="1" t="e">
        <f ca="1">_xll.BDH($C$103,"ACCOUNTS_PAYABLE_TURNOVER_DAYS","FQ3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26" s="3" t="e">
        <f ca="1">_xll.BDH($C$103,"CASH_CONVERSION_CYCLE","FQ3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26" s="3" t="e">
        <f ca="1">_xll.BDH($C$103,"INV_TO_CASH_DAYS","FQ3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126" s="4" t="e">
        <f ca="1">_xll.BDH($C$103,"BS_INVENTORIES","FQ3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126" s="2" t="e">
        <f ca="1">_xll.BDH($C$103,"INVTRY_RAW_MATERIALS","FQ3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26" s="2" t="e">
        <f ca="1">_xll.BDH($C$103,"INVTRY_IN_PROGRESS","FQ3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26" s="2" t="e">
        <f ca="1">_xll.BDH($C$103,"INVTRY_FINISHED_GOODS","FQ3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26" s="2" t="e">
        <f ca="1">_xll.BDH($C$103,"BS_OTHER_INV","FQ3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27" spans="1:113" x14ac:dyDescent="0.3">
      <c r="A127" s="6"/>
      <c r="B127" s="6"/>
      <c r="C127" s="6"/>
      <c r="D127" s="6"/>
      <c r="E127" t="s">
        <v>7</v>
      </c>
      <c r="F127" t="e">
        <f ca="1">_xll.BDH($C$103,"RETURN_COM_EQY","FQ4 2018","FQ4 2018","Currency=INR","Period=FQ","BEST_FPERIOD_OVERRIDE=FQ","FILING_STATUS=OR","EQY_CONSOLIDATED=Y","FA_ADJUSTED=GAAP","Sort=A","Dates=H","DateFormat=P","Fill=—","Direction=H","UseDPDF=Y")</f>
        <v>#NAME?</v>
      </c>
      <c r="G127" t="e">
        <f ca="1">_xll.BDH($C$103,"RETURN_ON_ASSET","FQ4 2018","FQ4 2018","Currency=INR","Period=FQ","BEST_FPERIOD_OVERRIDE=FQ","FILING_STATUS=OR","EQY_CONSOLIDATED=Y","FA_ADJUSTED=GAAP","Sort=A","Dates=H","DateFormat=P","Fill=—","Direction=H","UseDPDF=Y")</f>
        <v>#NAME?</v>
      </c>
      <c r="H127" t="e">
        <f ca="1">_xll.BDH($C$103,"RETURN_ON_CAP","FQ4 2018","FQ4 2018","Currency=INR","Period=FQ","BEST_FPERIOD_OVERRIDE=FQ","FILING_STATUS=OR","EQY_CONSOLIDATED=Y","FA_ADJUSTED=GAAP","Sort=A","Dates=H","DateFormat=P","Fill=—","Direction=H","UseDPDF=Y")</f>
        <v>#NAME?</v>
      </c>
      <c r="I127" t="e">
        <f ca="1">_xll.BDH($C$103,"RETURN_ON_INV_CAPITAL","FQ4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27" t="e">
        <f ca="1">_xll.BDH($C$103,"EBITDA_TO_REVENUE","FQ4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127" t="e">
        <f ca="1">_xll.BDH($C$103,"OPER_MARGIN","FQ4 2018","FQ4 2018","Currency=INR","Period=FQ","BEST_FPERIOD_OVERRIDE=FQ","FILING_STATUS=OR","EQY_CONSOLIDATED=Y","FA_ADJUSTED=GAAP","Sort=A","Dates=H","DateFormat=P","Fill=—","Direction=H","UseDPDF=Y")</f>
        <v>#NAME?</v>
      </c>
      <c r="L127" t="e">
        <f ca="1">_xll.BDH($C$103,"INCREMENTAL_OPERATING_MARGIN","FQ4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27" t="e">
        <f ca="1">_xll.BDH($C$103,"PRETAX_INC_TO_NET_SALES","FQ4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27" t="e">
        <f ca="1">_xll.BDH($C$103,"INC_BEF_XO_ITEMS_TO_NET_SALES","FQ4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27" t="e">
        <f ca="1">_xll.BDH($C$103,"PROF_MARGIN","FQ4 2018","FQ4 2018","Currency=INR","Period=FQ","BEST_FPERIOD_OVERRIDE=FQ","FILING_STATUS=OR","EQY_CONSOLIDATED=Y","FA_ADJUSTED=GAAP","Sort=A","Dates=H","DateFormat=P","Fill=—","Direction=H","UseDPDF=Y")</f>
        <v>#NAME?</v>
      </c>
      <c r="P127" t="e">
        <f ca="1">_xll.BDH($C$103,"NET_INCOME_TO_COMMON_MARGIN","FQ4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27" t="e">
        <f ca="1">_xll.BDH($C$103,"EFF_TAX_RATE","FQ4 2018","FQ4 2018","Currency=INR","Period=FQ","BEST_FPERIOD_OVERRIDE=FQ","FILING_STATUS=OR","EQY_CONSOLIDATED=Y","FA_ADJUSTED=GAAP","Sort=A","Dates=H","DateFormat=P","Fill=—","Direction=H","UseDPDF=Y")</f>
        <v>#NAME?</v>
      </c>
      <c r="R127" t="e">
        <f ca="1">_xll.BDH($C$103,"DVD_PAYOUT_RATIO","FQ4 2018","FQ4 2018","Currency=INR","Period=FQ","BEST_FPERIOD_OVERRIDE=FQ","FILING_STATUS=OR","EQY_CONSOLIDATED=Y","FA_ADJUSTED=GAAP","Sort=A","Dates=H","DateFormat=P","Fill=—","Direction=H","UseDPDF=Y")</f>
        <v>#NAME?</v>
      </c>
      <c r="S127" t="e">
        <f ca="1">_xll.BDH($C$103,"SUSTAIN_GROWTH_RT","FQ4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127" s="1" t="e">
        <f ca="1">_xll.BDH($C$103,"SALES_GROWTH","FQ4 2018","FQ4 2018","Currency=INR","Period=FQ","BEST_FPERIOD_OVERRIDE=FQ","FILING_STATUS=OR","EQY_CONSOLIDATED=Y","FA_ADJUSTED=GAAP","Sort=A","Dates=H","DateFormat=P","Fill=—","Direction=H","UseDPDF=Y")</f>
        <v>#NAME?</v>
      </c>
      <c r="U127" s="1" t="e">
        <f ca="1">_xll.BDH($C$103,"EBITDA_GROWTH","FQ4 2018","FQ4 2018","Currency=INR","Period=FQ","BEST_FPERIOD_OVERRIDE=FQ","FILING_STATUS=OR","EQY_CONSOLIDATED=Y","FA_ADJUSTED=GAAP","Sort=A","Dates=H","DateFormat=P","Fill=—","Direction=H","UseDPDF=Y")</f>
        <v>#NAME?</v>
      </c>
      <c r="V127" s="1" t="e">
        <f ca="1">_xll.BDH($C$103,"OPER_INC_GROWTH","FQ4 2018","FQ4 2018","Currency=INR","Period=FQ","BEST_FPERIOD_OVERRIDE=FQ","FILING_STATUS=OR","EQY_CONSOLIDATED=Y","FA_ADJUSTED=GAAP","Sort=A","Dates=H","DateFormat=P","Fill=—","Direction=H","UseDPDF=Y")</f>
        <v>#NAME?</v>
      </c>
      <c r="W127" s="1" t="e">
        <f ca="1">_xll.BDH($C$103,"EARN_FOR_COM_GROWTH","FQ4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27" s="1" t="e">
        <f ca="1">_xll.BDH($C$103,"DILUTED_EPS_AFT_XO_ITEMS_GROWTH","FQ4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27" s="1" t="e">
        <f ca="1">_xll.BDH($C$103,"DIVIDEND_PER_SHARE_1_YEAR_GROWTH","FQ4 2018","FQ4 2018","Currency=INR","Period=FQ","BEST_FPERIOD_OVERRIDE=FQ","FILING_STATUS=OR","EQY_CONSOLIDATED=Y","Sort=A","Dates=H","DateFormat=P","Fill=—","Direction=H","UseDPDF=Y")</f>
        <v>#NAME?</v>
      </c>
      <c r="Z127" s="1" t="e">
        <f ca="1">_xll.BDH($C$103,"ACCOUNTS_RECEIVABLE_GROWTH","FQ4 2018","FQ4 2018","Currency=INR","Period=FQ","BEST_FPERIOD_OVERRIDE=FQ","FILING_STATUS=OR","EQY_CONSOLIDATED=Y","Sort=A","Dates=H","DateFormat=P","Fill=—","Direction=H","UseDPDF=Y")</f>
        <v>#NAME?</v>
      </c>
      <c r="AA127" s="1" t="e">
        <f ca="1">_xll.BDH($C$103,"INVENTORY_GROWTH","FQ4 2018","FQ4 2018","Currency=INR","Period=FQ","BEST_FPERIOD_OVERRIDE=FQ","FILING_STATUS=OR","EQY_CONSOLIDATED=Y","Sort=A","Dates=H","DateFormat=P","Fill=—","Direction=H","UseDPDF=Y")</f>
        <v>#NAME?</v>
      </c>
      <c r="AB127" s="1" t="e">
        <f ca="1">_xll.BDH($C$103,"NET_FIXED_ASSETS_1_YEAR_GROWTH","FQ4 2018","FQ4 2018","Currency=INR","Period=FQ","BEST_FPERIOD_OVERRIDE=FQ","FILING_STATUS=OR","EQY_CONSOLIDATED=Y","Sort=A","Dates=H","DateFormat=P","Fill=—","Direction=H","UseDPDF=Y")</f>
        <v>#NAME?</v>
      </c>
      <c r="AC127" s="1" t="e">
        <f ca="1">_xll.BDH($C$103,"ASSET_GROWTH","FQ4 2018","FQ4 2018","Currency=INR","Period=FQ","BEST_FPERIOD_OVERRIDE=FQ","FILING_STATUS=OR","EQY_CONSOLIDATED=Y","Sort=A","Dates=H","DateFormat=P","Fill=—","Direction=H","UseDPDF=Y")</f>
        <v>#NAME?</v>
      </c>
      <c r="AD127" s="1" t="e">
        <f ca="1">_xll.BDH($C$103,"MODIFIED_WORK_CAP_GROWTH","FQ4 2018","FQ4 2018","Currency=INR","Period=FQ","BEST_FPERIOD_OVERRIDE=FQ","FILING_STATUS=OR","EQY_CONSOLIDATED=Y","Sort=A","Dates=H","DateFormat=P","Fill=—","Direction=H","UseDPDF=Y")</f>
        <v>#NAME?</v>
      </c>
      <c r="AE127" s="1" t="e">
        <f ca="1">_xll.BDH($C$103,"WORK_CAP_GROWTH","FQ4 2018","FQ4 2018","Currency=INR","Period=FQ","BEST_FPERIOD_OVERRIDE=FQ","FILING_STATUS=OR","EQY_CONSOLIDATED=Y","Sort=A","Dates=H","DateFormat=P","Fill=—","Direction=H","UseDPDF=Y")</f>
        <v>#NAME?</v>
      </c>
      <c r="AF127" s="1" t="e">
        <f ca="1">_xll.BDH($C$103,"ACCOUNTS_PAYABLE_GROWTH_1YR","FQ4 2018","FQ4 2018","Currency=INR","Period=FQ","BEST_FPERIOD_OVERRIDE=FQ","FILING_STATUS=OR","EQY_CONSOLIDATED=Y","Sort=A","Dates=H","DateFormat=P","Fill=—","Direction=H","UseDPDF=Y")</f>
        <v>#NAME?</v>
      </c>
      <c r="AG127" s="1" t="e">
        <f ca="1">_xll.BDH($C$103,"SHORT_TERM_DEBT_1_YEAR_GROWTH","FQ4 2018","FQ4 2018","Currency=INR","Period=FQ","BEST_FPERIOD_OVERRIDE=FQ","FILING_STATUS=OR","EQY_CONSOLIDATED=Y","Sort=A","Dates=H","DateFormat=P","Fill=—","Direction=H","UseDPDF=Y")</f>
        <v>#NAME?</v>
      </c>
      <c r="AH127" s="1" t="e">
        <f ca="1">_xll.BDH($C$103,"TOTAL_DEBT_1_YEAR_GROWTH","FQ4 2018","FQ4 2018","Currency=INR","Period=FQ","BEST_FPERIOD_OVERRIDE=FQ","FILING_STATUS=OR","EQY_CONSOLIDATED=Y","Sort=A","Dates=H","DateFormat=P","Fill=—","Direction=H","UseDPDF=Y")</f>
        <v>#NAME?</v>
      </c>
      <c r="AI127" s="1" t="e">
        <f ca="1">_xll.BDH($C$103,"TOTAL_EQUITY_1_YEAR_GROWTH","FQ4 2018","FQ4 2018","Currency=INR","Period=FQ","BEST_FPERIOD_OVERRIDE=FQ","FILING_STATUS=OR","EQY_CONSOLIDATED=Y","Sort=A","Dates=H","DateFormat=P","Fill=—","Direction=H","UseDPDF=Y")</f>
        <v>#NAME?</v>
      </c>
      <c r="AJ127" s="1" t="e">
        <f ca="1">_xll.BDH($C$103,"GROWTH_IN_CAP","FQ4 2018","FQ4 2018","Currency=INR","Period=FQ","BEST_FPERIOD_OVERRIDE=FQ","FILING_STATUS=OR","EQY_CONSOLIDATED=Y","Sort=A","Dates=H","DateFormat=P","Fill=—","Direction=H","UseDPDF=Y")</f>
        <v>#NAME?</v>
      </c>
      <c r="AK127" s="1" t="e">
        <f ca="1">_xll.BDH($C$103,"BVPS_GROWTH","FQ4 2018","FQ4 2018","Currency=INR","Period=FQ","BEST_FPERIOD_OVERRIDE=FQ","FILING_STATUS=OR","EQY_CONSOLIDATED=Y","Sort=A","Dates=H","DateFormat=P","Fill=—","Direction=H","UseDPDF=Y")</f>
        <v>#NAME?</v>
      </c>
      <c r="AL127" s="1" t="e">
        <f ca="1">_xll.BDH($C$103,"CASH_FLOW_GROWTH","FQ4 2018","FQ4 2018","Currency=INR","Period=FQ","BEST_FPERIOD_OVERRIDE=FQ","FILING_STATUS=OR","EQY_CONSOLIDATED=Y","Sort=A","Dates=H","DateFormat=P","Fill=—","Direction=H","UseDPDF=Y")</f>
        <v>#NAME?</v>
      </c>
      <c r="AM127" s="1" t="e">
        <f ca="1">_xll.BDH($C$103,"GEO_GROW_NET_SALES","FQ4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27" s="1" t="e">
        <f ca="1">_xll.BDH($C$103,"GEO_GROW_EBITDA","FQ4 2018","FQ4 2018","Currency=INR","Period=FQ","BEST_FPERIOD_OVERRIDE=FQ","FILING_STATUS=OR","EQY_CONSOLIDATED=Y","FA_ADJUSTED=GAAP","Sort=A","Dates=H","DateFormat=P","Fill=—","Direction=H","UseDPDF=Y")</f>
        <v>#NAME?</v>
      </c>
      <c r="AO127" s="1" t="e">
        <f ca="1">_xll.BDH($C$103,"GEO_GROW_OPER_INC","FQ4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27" s="1" t="e">
        <f ca="1">_xll.BDH($C$103,"NET_INCOME_TO_COMMON_5_YR_GROWTH","FQ4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27" s="1" t="e">
        <f ca="1">_xll.BDH($C$103,"5Y_GEO_GROWTH_DILUTED_EPS","FQ4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27" s="1" t="e">
        <f ca="1">_xll.BDH($C$103,"GEO_GROW_DVD_PER_SH","FQ4 2018","FQ4 2018","Currency=INR","Period=FQ","BEST_FPERIOD_OVERRIDE=FQ","FILING_STATUS=OR","EQY_CONSOLIDATED=Y","Sort=A","Dates=H","DateFormat=P","Fill=—","Direction=H","UseDPDF=Y")</f>
        <v>#NAME?</v>
      </c>
      <c r="AS127" s="1" t="e">
        <f ca="1">_xll.BDH($C$103,"ACCOUNTS_RECEIVABLE_5_YR_GROWTH","FQ4 2018","FQ4 2018","Currency=INR","Period=FQ","BEST_FPERIOD_OVERRIDE=FQ","FILING_STATUS=OR","EQY_CONSOLIDATED=Y","Sort=A","Dates=H","DateFormat=P","Fill=—","Direction=H","UseDPDF=Y")</f>
        <v>#NAME?</v>
      </c>
      <c r="AT127" s="1" t="e">
        <f ca="1">_xll.BDH($C$103,"INVENTORY_5_YEAR_GROWTH","FQ4 2018","FQ4 2018","Currency=INR","Period=FQ","BEST_FPERIOD_OVERRIDE=FQ","FILING_STATUS=OR","EQY_CONSOLIDATED=Y","Sort=A","Dates=H","DateFormat=P","Fill=—","Direction=H","UseDPDF=Y")</f>
        <v>#NAME?</v>
      </c>
      <c r="AU127" s="1" t="e">
        <f ca="1">_xll.BDH($C$103,"NET_FIXED_ASSETS_5_YEAR_GROWTH","FQ4 2018","FQ4 2018","Currency=INR","Period=FQ","BEST_FPERIOD_OVERRIDE=FQ","FILING_STATUS=OR","EQY_CONSOLIDATED=Y","Sort=A","Dates=H","DateFormat=P","Fill=—","Direction=H","UseDPDF=Y")</f>
        <v>#NAME?</v>
      </c>
      <c r="AV127" s="1" t="e">
        <f ca="1">_xll.BDH($C$103,"GEO_GROW_TOT_ASSET","FQ4 2018","FQ4 2018","Currency=INR","Period=FQ","BEST_FPERIOD_OVERRIDE=FQ","FILING_STATUS=OR","EQY_CONSOLIDATED=Y","Sort=A","Dates=H","DateFormat=P","Fill=—","Direction=H","UseDPDF=Y")</f>
        <v>#NAME?</v>
      </c>
      <c r="AW127" s="1" t="e">
        <f ca="1">_xll.BDH($C$103,"MODIFIED_WORKING_CPTL_5YR_GRWTH","FQ4 2018","FQ4 2018","Currency=INR","Period=FQ","BEST_FPERIOD_OVERRIDE=FQ","FILING_STATUS=OR","EQY_CONSOLIDATED=Y","Sort=A","Dates=H","DateFormat=P","Fill=—","Direction=H","UseDPDF=Y")</f>
        <v>#NAME?</v>
      </c>
      <c r="AX127" s="1" t="e">
        <f ca="1">_xll.BDH($C$103,"WORKING_CAPITAL_5_YEAR_GROWTH","FQ4 2018","FQ4 2018","Currency=INR","Period=FQ","BEST_FPERIOD_OVERRIDE=FQ","FILING_STATUS=OR","EQY_CONSOLIDATED=Y","Sort=A","Dates=H","DateFormat=P","Fill=—","Direction=H","UseDPDF=Y")</f>
        <v>#NAME?</v>
      </c>
      <c r="AY127" s="1" t="e">
        <f ca="1">_xll.BDH($C$103,"ACCOUNTS_PAYABLE_5_YEAR_GROWTH","FQ4 2018","FQ4 2018","Currency=INR","Period=FQ","BEST_FPERIOD_OVERRIDE=FQ","FILING_STATUS=OR","EQY_CONSOLIDATED=Y","Sort=A","Dates=H","DateFormat=P","Fill=—","Direction=H","UseDPDF=Y")</f>
        <v>#NAME?</v>
      </c>
      <c r="AZ127" s="1" t="e">
        <f ca="1">_xll.BDH($C$103,"SHORT_TERM_DEBT_5_YEAR_GROWTH","FQ4 2018","FQ4 2018","Currency=INR","Period=FQ","BEST_FPERIOD_OVERRIDE=FQ","FILING_STATUS=OR","EQY_CONSOLIDATED=Y","Sort=A","Dates=H","DateFormat=P","Fill=—","Direction=H","UseDPDF=Y")</f>
        <v>#NAME?</v>
      </c>
      <c r="BA127" s="1" t="e">
        <f ca="1">_xll.BDH($C$103,"TOTAL_DEBT_5_YEAR_GROWTH","FQ4 2018","FQ4 2018","Currency=INR","Period=FQ","BEST_FPERIOD_OVERRIDE=FQ","FILING_STATUS=OR","EQY_CONSOLIDATED=Y","Sort=A","Dates=H","DateFormat=P","Fill=—","Direction=H","UseDPDF=Y")</f>
        <v>#NAME?</v>
      </c>
      <c r="BB127" s="1" t="e">
        <f ca="1">_xll.BDH($C$103,"GEO_GROW_TOT_SHRHLDR_EQY","FQ4 2018","FQ4 2018","Currency=INR","Period=FQ","BEST_FPERIOD_OVERRIDE=FQ","FILING_STATUS=OR","EQY_CONSOLIDATED=Y","Sort=A","Dates=H","DateFormat=P","Fill=—","Direction=H","UseDPDF=Y")</f>
        <v>#NAME?</v>
      </c>
      <c r="BC127" s="1" t="e">
        <f ca="1">_xll.BDH($C$103,"TOTAL_CAPITAL_5_YEAR_GROWTH","FQ4 2018","FQ4 2018","Currency=INR","Period=FQ","BEST_FPERIOD_OVERRIDE=FQ","FILING_STATUS=OR","EQY_CONSOLIDATED=Y","Sort=A","Dates=H","DateFormat=P","Fill=—","Direction=H","UseDPDF=Y")</f>
        <v>#NAME?</v>
      </c>
      <c r="BD127" s="1" t="e">
        <f ca="1">_xll.BDH($C$103,"GEO_GROW_BOOK_VAL","FQ4 2018","FQ4 2018","Currency=INR","Period=FQ","BEST_FPERIOD_OVERRIDE=FQ","FILING_STATUS=OR","EQY_CONSOLIDATED=Y","Sort=A","Dates=H","DateFormat=P","Fill=—","Direction=H","UseDPDF=Y")</f>
        <v>#NAME?</v>
      </c>
      <c r="BE127" s="1" t="e">
        <f ca="1">_xll.BDH($C$103,"GEO_GROW_CASH_OPER_ACT","FQ4 2018","FQ4 2018","Currency=INR","Period=FQ","BEST_FPERIOD_OVERRIDE=FQ","FILING_STATUS=OR","EQY_CONSOLIDATED=Y","Sort=A","Dates=H","DateFormat=P","Fill=—","Direction=H","UseDPDF=Y")</f>
        <v>#NAME?</v>
      </c>
      <c r="BF127" s="1" t="e">
        <f ca="1">_xll.BDH($C$103,"REVENUE_SEQUENTIAL_GROWTH","FQ4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27" s="1" t="e">
        <f ca="1">_xll.BDH($C$103,"EBITDA_SEQUENTIAL_GROWTH","FQ4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27" s="1" t="e">
        <f ca="1">_xll.BDH($C$103,"OPERATING_INCOME_SEQ_GROWTH","FQ4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27" s="1" t="e">
        <f ca="1">_xll.BDH($C$103,"NET_INCOME_TO_COMMON_SEQ_GROWTH","FQ4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27" s="1" t="e">
        <f ca="1">_xll.BDH($C$103,"EPS_DILUTED_SEQUENTIAL_GROWTH","FQ4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27" s="1" t="e">
        <f ca="1">_xll.BDH($C$103,"DPS_SEQUENTIAL_GROWTH","FQ4 2018","FQ4 2018","Currency=INR","Period=FQ","BEST_FPERIOD_OVERRIDE=FQ","FILING_STATUS=OR","EQY_CONSOLIDATED=Y","Sort=A","Dates=H","DateFormat=P","Fill=—","Direction=H","UseDPDF=Y")</f>
        <v>#NAME?</v>
      </c>
      <c r="BL127" s="1" t="e">
        <f ca="1">_xll.BDH($C$103,"ACCOUNTS_RECEIVABLE_SEQ_GROWTH","FQ4 2018","FQ4 2018","Currency=INR","Period=FQ","BEST_FPERIOD_OVERRIDE=FQ","FILING_STATUS=OR","EQY_CONSOLIDATED=Y","Sort=A","Dates=H","DateFormat=P","Fill=—","Direction=H","UseDPDF=Y")</f>
        <v>#NAME?</v>
      </c>
      <c r="BM127" s="1" t="e">
        <f ca="1">_xll.BDH($C$103,"INVENTORY_SEQUENTIAL_GROWTH","FQ4 2018","FQ4 2018","Currency=INR","Period=FQ","BEST_FPERIOD_OVERRIDE=FQ","FILING_STATUS=OR","EQY_CONSOLIDATED=Y","Sort=A","Dates=H","DateFormat=P","Fill=—","Direction=H","UseDPDF=Y")</f>
        <v>#NAME?</v>
      </c>
      <c r="BN127" s="1" t="e">
        <f ca="1">_xll.BDH($C$103,"FIXED_ASSETS_SEQUENTIAL_GROWTH","FQ4 2018","FQ4 2018","Currency=INR","Period=FQ","BEST_FPERIOD_OVERRIDE=FQ","FILING_STATUS=OR","EQY_CONSOLIDATED=Y","Sort=A","Dates=H","DateFormat=P","Fill=—","Direction=H","UseDPDF=Y")</f>
        <v>#NAME?</v>
      </c>
      <c r="BO127" s="1" t="e">
        <f ca="1">_xll.BDH($C$103,"TOTAL_ASSETS_SEQUENTIAL_GROWTH","FQ4 2018","FQ4 2018","Currency=INR","Period=FQ","BEST_FPERIOD_OVERRIDE=FQ","FILING_STATUS=OR","EQY_CONSOLIDATED=Y","Sort=A","Dates=H","DateFormat=P","Fill=—","Direction=H","UseDPDF=Y")</f>
        <v>#NAME?</v>
      </c>
      <c r="BP127" s="1" t="e">
        <f ca="1">_xll.BDH($C$103,"MODIFIED_WORKING_CPTL_SEQ_GRWTH","FQ4 2018","FQ4 2018","Currency=INR","Period=FQ","BEST_FPERIOD_OVERRIDE=FQ","FILING_STATUS=OR","EQY_CONSOLIDATED=Y","Sort=A","Dates=H","DateFormat=P","Fill=—","Direction=H","UseDPDF=Y")</f>
        <v>#NAME?</v>
      </c>
      <c r="BQ127" s="1" t="e">
        <f ca="1">_xll.BDH($C$103,"WORKING_CAPITAL_SEQ_GROWTH","FQ4 2018","FQ4 2018","Currency=INR","Period=FQ","BEST_FPERIOD_OVERRIDE=FQ","FILING_STATUS=OR","EQY_CONSOLIDATED=Y","Sort=A","Dates=H","DateFormat=P","Fill=—","Direction=H","UseDPDF=Y")</f>
        <v>#NAME?</v>
      </c>
      <c r="BR127" s="1" t="e">
        <f ca="1">_xll.BDH($C$103,"ACCOUNTS_PAYABLE_SEQ_GROWTH","FQ4 2018","FQ4 2018","Currency=INR","Period=FQ","BEST_FPERIOD_OVERRIDE=FQ","FILING_STATUS=OR","EQY_CONSOLIDATED=Y","Sort=A","Dates=H","DateFormat=P","Fill=—","Direction=H","UseDPDF=Y")</f>
        <v>#NAME?</v>
      </c>
      <c r="BS127" s="1" t="e">
        <f ca="1">_xll.BDH($C$103,"ST_DEBT_SEQUENTIAL_GROWTH","FQ4 2018","FQ4 2018","Currency=INR","Period=FQ","BEST_FPERIOD_OVERRIDE=FQ","FILING_STATUS=OR","EQY_CONSOLIDATED=Y","Sort=A","Dates=H","DateFormat=P","Fill=—","Direction=H","UseDPDF=Y")</f>
        <v>#NAME?</v>
      </c>
      <c r="BT127" s="1" t="e">
        <f ca="1">_xll.BDH($C$103,"TOTAL_DEBT_SEQUENTIAL_GROWTH","FQ4 2018","FQ4 2018","Currency=INR","Period=FQ","BEST_FPERIOD_OVERRIDE=FQ","FILING_STATUS=OR","EQY_CONSOLIDATED=Y","Sort=A","Dates=H","DateFormat=P","Fill=—","Direction=H","UseDPDF=Y")</f>
        <v>#NAME?</v>
      </c>
      <c r="BU127" s="1" t="e">
        <f ca="1">_xll.BDH($C$103,"TOTAL_EQUITY_SEQUENTIAL_GROWTH","FQ4 2018","FQ4 2018","Currency=INR","Period=FQ","BEST_FPERIOD_OVERRIDE=FQ","FILING_STATUS=OR","EQY_CONSOLIDATED=Y","Sort=A","Dates=H","DateFormat=P","Fill=—","Direction=H","UseDPDF=Y")</f>
        <v>#NAME?</v>
      </c>
      <c r="BV127" s="1" t="e">
        <f ca="1">_xll.BDH($C$103,"TOTAL_CAPITAL_SEQUENTIAL_GROWTH","FQ4 2018","FQ4 2018","Currency=INR","Period=FQ","BEST_FPERIOD_OVERRIDE=FQ","FILING_STATUS=OR","EQY_CONSOLIDATED=Y","Sort=A","Dates=H","DateFormat=P","Fill=—","Direction=H","UseDPDF=Y")</f>
        <v>#NAME?</v>
      </c>
      <c r="BW127" s="1" t="e">
        <f ca="1">_xll.BDH($C$103,"BPS_SEQUENTIAL_GROWTH","FQ4 2018","FQ4 2018","Currency=INR","Period=FQ","BEST_FPERIOD_OVERRIDE=FQ","FILING_STATUS=OR","EQY_CONSOLIDATED=Y","Sort=A","Dates=H","DateFormat=P","Fill=—","Direction=H","UseDPDF=Y")</f>
        <v>#NAME?</v>
      </c>
      <c r="BX127" s="1" t="e">
        <f ca="1">_xll.BDH($C$103,"CFO_SEQUENTIAL_GROWTH","FQ4 2018","FQ4 2018","Currency=INR","Period=FQ","BEST_FPERIOD_OVERRIDE=FQ","FILING_STATUS=OR","EQY_CONSOLIDATED=Y","Sort=A","Dates=H","DateFormat=P","Fill=—","Direction=H","UseDPDF=Y")</f>
        <v>#NAME?</v>
      </c>
      <c r="BY127" s="2" t="e">
        <f ca="1">_xll.BDH($C$103,"SHORT_AND_LONG_TERM_DEBT","FQ4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27" s="2" t="e">
        <f ca="1">_xll.BDH($C$103,"BS_ST_BORROW","FQ4 2018","FQ4 2018","Currency=INR","Period=FQ","BEST_FPERIOD_OVERRIDE=FQ","FILING_STATUS=OR","EQY_CONSOLIDATED=Y","SCALING_FORMAT=MLN","Sort=A","Dates=H","DateFormat=P","Fill=—","Direction=H","UseDPDF=Y")</f>
        <v>#NAME?</v>
      </c>
      <c r="CA127" s="2" t="e">
        <f ca="1">_xll.BDH($C$103,"BS_LT_BORROW","FQ4 2018","FQ4 2018","Currency=INR","Period=FQ","BEST_FPERIOD_OVERRIDE=FQ","FILING_STATUS=OR","EQY_CONSOLIDATED=Y","SCALING_FORMAT=MLN","Sort=A","Dates=H","DateFormat=P","Fill=—","Direction=H","UseDPDF=Y")</f>
        <v>#NAME?</v>
      </c>
      <c r="CB127" s="1" t="e">
        <f ca="1">_xll.BDH($C$103,"TOT_DEBT_TO_EBITDA","FQ4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27" s="1" t="e">
        <f ca="1">_xll.BDH($C$103,"NET_DEBT_TO_EBITDA","FQ4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27" s="1" t="e">
        <f ca="1">_xll.BDH($C$103,"TOTAL_DEBT_TO_EBIT","FQ4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27" s="1" t="e">
        <f ca="1">_xll.BDH($C$103,"NET_DEBT_TO_EBIT","FQ4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127" s="1" t="e">
        <f ca="1">_xll.BDH($C$103,"EBITDA_TO_INTEREST_EXPN","FQ4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27" s="1" t="e">
        <f ca="1">_xll.BDH($C$103,"COM_EQY_TO_TOT_ASSET","FQ4 2018","FQ4 2018","Currency=INR","Period=FQ","BEST_FPERIOD_OVERRIDE=FQ","FILING_STATUS=OR","EQY_CONSOLIDATED=Y","Sort=A","Dates=H","DateFormat=P","Fill=—","Direction=H","UseDPDF=Y")</f>
        <v>#NAME?</v>
      </c>
      <c r="CH127" s="1" t="e">
        <f ca="1">_xll.BDH($C$103,"LT_DEBT_TO_TOT_EQY","FQ4 2018","FQ4 2018","Currency=INR","Period=FQ","BEST_FPERIOD_OVERRIDE=FQ","FILING_STATUS=OR","EQY_CONSOLIDATED=Y","Sort=A","Dates=H","DateFormat=P","Fill=—","Direction=H","UseDPDF=Y")</f>
        <v>#NAME?</v>
      </c>
      <c r="CI127" s="1" t="e">
        <f ca="1">_xll.BDH($C$103,"LT_DEBT_TO_TOT_CAP","FQ4 2018","FQ4 2018","Currency=INR","Period=FQ","BEST_FPERIOD_OVERRIDE=FQ","FILING_STATUS=OR","EQY_CONSOLIDATED=Y","Sort=A","Dates=H","DateFormat=P","Fill=—","Direction=H","UseDPDF=Y")</f>
        <v>#NAME?</v>
      </c>
      <c r="CJ127" s="1" t="e">
        <f ca="1">_xll.BDH($C$103,"LT_DEBT_TO_TOT_ASSET","FQ4 2018","FQ4 2018","Currency=INR","Period=FQ","BEST_FPERIOD_OVERRIDE=FQ","FILING_STATUS=OR","EQY_CONSOLIDATED=Y","Sort=A","Dates=H","DateFormat=P","Fill=—","Direction=H","UseDPDF=Y")</f>
        <v>#NAME?</v>
      </c>
      <c r="CK127" s="1" t="e">
        <f ca="1">_xll.BDH($C$103,"TOT_DEBT_TO_TOT_EQY","FQ4 2018","FQ4 2018","Currency=INR","Period=FQ","BEST_FPERIOD_OVERRIDE=FQ","FILING_STATUS=OR","EQY_CONSOLIDATED=Y","Sort=A","Dates=H","DateFormat=P","Fill=—","Direction=H","UseDPDF=Y")</f>
        <v>#NAME?</v>
      </c>
      <c r="CL127" s="1" t="e">
        <f ca="1">_xll.BDH($C$103,"TOT_DEBT_TO_TOT_CAP","FQ4 2018","FQ4 2018","Currency=INR","Period=FQ","BEST_FPERIOD_OVERRIDE=FQ","FILING_STATUS=OR","EQY_CONSOLIDATED=Y","Sort=A","Dates=H","DateFormat=P","Fill=—","Direction=H","UseDPDF=Y")</f>
        <v>#NAME?</v>
      </c>
      <c r="CM127" s="1" t="e">
        <f ca="1">_xll.BDH($C$103,"TOT_DEBT_TO_TOT_ASSET","FQ4 2018","FQ4 2018","Currency=INR","Period=FQ","BEST_FPERIOD_OVERRIDE=FQ","FILING_STATUS=OR","EQY_CONSOLIDATED=Y","Sort=A","Dates=H","DateFormat=P","Fill=—","Direction=H","UseDPDF=Y")</f>
        <v>#NAME?</v>
      </c>
      <c r="CN127" s="1" t="e">
        <f ca="1">_xll.BDH($C$103,"NET_DEBT_TO_SHRHLDR_EQTY","FQ4 2018","FQ4 2018","Currency=INR","Period=FQ","BEST_FPERIOD_OVERRIDE=FQ","FILING_STATUS=OR","EQY_CONSOLIDATED=Y","Sort=A","Dates=H","DateFormat=P","Fill=—","Direction=H","UseDPDF=Y")</f>
        <v>#NAME?</v>
      </c>
      <c r="CO127" s="1" t="e">
        <f ca="1">_xll.BDH($C$103,"NET_DEBT_%_CAPITAL","FQ4 2018","FQ4 2018","Currency=INR","Period=FQ","BEST_FPERIOD_OVERRIDE=FQ","FILING_STATUS=OR","EQY_CONSOLIDATED=Y","Sort=A","Dates=H","DateFormat=P","Fill=—","Direction=H","UseDPDF=Y")</f>
        <v>#NAME?</v>
      </c>
      <c r="CP127" s="2" t="e">
        <f ca="1">_xll.BDH($C$103,"EBITDA","FQ4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27" s="2" t="e">
        <f ca="1">_xll.BDH($C$103,"EBITDA_AFTER_CAPEX","FQ4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27" s="2" t="e">
        <f ca="1">_xll.BDH($C$103,"IS_OPER_INC","FQ4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27" s="1" t="e">
        <f ca="1">_xll.BDH($C$103,"CASH_RATIO","FQ4 2018","FQ4 2018","Currency=INR","Period=FQ","BEST_FPERIOD_OVERRIDE=FQ","FILING_STATUS=OR","EQY_CONSOLIDATED=Y","Sort=A","Dates=H","DateFormat=P","Fill=—","Direction=H","UseDPDF=Y")</f>
        <v>#NAME?</v>
      </c>
      <c r="CT127" s="1" t="e">
        <f ca="1">_xll.BDH($C$103,"CUR_RATIO","FQ4 2018","FQ4 2018","Currency=INR","Period=FQ","BEST_FPERIOD_OVERRIDE=FQ","FILING_STATUS=OR","EQY_CONSOLIDATED=Y","Sort=A","Dates=H","DateFormat=P","Fill=—","Direction=H","UseDPDF=Y")</f>
        <v>#NAME?</v>
      </c>
      <c r="CU127" s="1" t="e">
        <f ca="1">_xll.BDH($C$103,"QUICK_RATIO","FQ4 2018","FQ4 2018","Currency=INR","Period=FQ","BEST_FPERIOD_OVERRIDE=FQ","FILING_STATUS=OR","EQY_CONSOLIDATED=Y","Sort=A","Dates=H","DateFormat=P","Fill=—","Direction=H","UseDPDF=Y")</f>
        <v>#NAME?</v>
      </c>
      <c r="CV127" s="1" t="e">
        <f ca="1">_xll.BDH($C$103,"ALTMAN_Z_SCORE","FQ4 2018","FQ4 2018","Currency=INR","Period=FQ","BEST_FPERIOD_OVERRIDE=FQ","FILING_STATUS=OR","EQY_CONSOLIDATED=Y","Sort=A","Dates=H","DateFormat=P","Fill=—","Direction=H","UseDPDF=Y")</f>
        <v>#NAME?</v>
      </c>
      <c r="CW127" s="3" t="e">
        <f ca="1">_xll.BDH($C$103,"ACCT_RCV_TURN","FQ4 2018","FQ4 2018","Currency=INR","Period=FQ","BEST_FPERIOD_OVERRIDE=FQ","FILING_STATUS=OR","EQY_CONSOLIDATED=Y","FA_ADJUSTED=GAAP","Sort=A","Dates=H","DateFormat=P","Fill=—","Direction=H","UseDPDF=Y")</f>
        <v>#NAME?</v>
      </c>
      <c r="CX127" s="1" t="e">
        <f ca="1">_xll.BDH($C$103,"ACCT_RCV_DAYS","FQ4 2018","FQ4 2018","Currency=INR","Period=FQ","BEST_FPERIOD_OVERRIDE=FQ","FILING_STATUS=OR","EQY_CONSOLIDATED=Y","FA_ADJUSTED=GAAP","Sort=A","Dates=H","DateFormat=P","Fill=—","Direction=H","UseDPDF=Y")</f>
        <v>#NAME?</v>
      </c>
      <c r="CY127" s="3" t="e">
        <f ca="1">_xll.BDH($C$103,"INVENT_TURN","FQ4 2018","FQ4 2018","Currency=INR","Period=FQ","BEST_FPERIOD_OVERRIDE=FQ","FILING_STATUS=OR","EQY_CONSOLIDATED=Y","FA_ADJUSTED=GAAP","Sort=A","Dates=H","DateFormat=P","Fill=—","Direction=H","UseDPDF=Y")</f>
        <v>#NAME?</v>
      </c>
      <c r="CZ127" s="1" t="e">
        <f ca="1">_xll.BDH($C$103,"INVENT_DAYS","FQ4 2018","FQ4 2018","Currency=INR","Period=FQ","BEST_FPERIOD_OVERRIDE=FQ","FILING_STATUS=OR","EQY_CONSOLIDATED=Y","FA_ADJUSTED=GAAP","Sort=A","Dates=H","DateFormat=P","Fill=—","Direction=H","UseDPDF=Y")</f>
        <v>#NAME?</v>
      </c>
      <c r="DA127" s="3" t="e">
        <f ca="1">_xll.BDH($C$103,"ACCOUNTS_PAYABLE_TURNOVER","FQ4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27" s="1" t="e">
        <f ca="1">_xll.BDH($C$103,"ACCOUNTS_PAYABLE_TURNOVER_DAYS","FQ4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27" s="3" t="e">
        <f ca="1">_xll.BDH($C$103,"CASH_CONVERSION_CYCLE","FQ4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27" s="3" t="e">
        <f ca="1">_xll.BDH($C$103,"INV_TO_CASH_DAYS","FQ4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127" s="4" t="e">
        <f ca="1">_xll.BDH($C$103,"BS_INVENTORIES","FQ4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127" s="2" t="e">
        <f ca="1">_xll.BDH($C$103,"INVTRY_RAW_MATERIALS","FQ4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27" s="2" t="e">
        <f ca="1">_xll.BDH($C$103,"INVTRY_IN_PROGRESS","FQ4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27" s="2" t="e">
        <f ca="1">_xll.BDH($C$103,"INVTRY_FINISHED_GOODS","FQ4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27" s="2" t="e">
        <f ca="1">_xll.BDH($C$103,"BS_OTHER_INV","FQ4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28" spans="1:113" x14ac:dyDescent="0.3">
      <c r="A128" s="6">
        <v>56</v>
      </c>
      <c r="B128" s="6" t="s">
        <v>20</v>
      </c>
      <c r="C128" s="6" t="s">
        <v>21</v>
      </c>
      <c r="D128" s="6" t="s">
        <v>2</v>
      </c>
      <c r="E128" t="s">
        <v>3</v>
      </c>
      <c r="F128" t="e">
        <f ca="1">_xll.BDH($C$128,"RETURN_COM_EQY","FY 2014","FY 2014","Currency=INR","Period=FY","BEST_FPERIOD_OVERRIDE=FY","FILING_STATUS=OR","EQY_CONSOLIDATED=Y","FA_ADJUSTED=GAAP","Sort=A","Dates=H","DateFormat=P","Fill=—","Direction=H","UseDPDF=Y")</f>
        <v>#NAME?</v>
      </c>
      <c r="G128" t="e">
        <f ca="1">_xll.BDH($C$128,"RETURN_ON_ASSET","FY 2014","FY 2014","Currency=INR","Period=FY","BEST_FPERIOD_OVERRIDE=FY","FILING_STATUS=OR","EQY_CONSOLIDATED=Y","FA_ADJUSTED=GAAP","Sort=A","Dates=H","DateFormat=P","Fill=—","Direction=H","UseDPDF=Y")</f>
        <v>#NAME?</v>
      </c>
      <c r="H128" t="e">
        <f ca="1">_xll.BDH($C$128,"RETURN_ON_CAP","FY 2014","FY 2014","Currency=INR","Period=FY","BEST_FPERIOD_OVERRIDE=FY","FILING_STATUS=OR","EQY_CONSOLIDATED=Y","FA_ADJUSTED=GAAP","Sort=A","Dates=H","DateFormat=P","Fill=—","Direction=H","UseDPDF=Y")</f>
        <v>#NAME?</v>
      </c>
      <c r="I128" t="e">
        <f ca="1">_xll.BDH($C$128,"RETURN_ON_INV_CAPITAL","FY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28" t="e">
        <f ca="1">_xll.BDH($C$128,"EBITDA_TO_REVENUE","FY 2014","FY 2014","Currency=INR","Period=FY","BEST_FPERIOD_OVERRIDE=FY","FILING_STATUS=OR","EQY_CONSOLIDATED=Y","FA_ADJUSTED=GAAP","Sort=A","Dates=H","DateFormat=P","Fill=—","Direction=H","UseDPDF=Y")</f>
        <v>#NAME?</v>
      </c>
      <c r="K128" t="e">
        <f ca="1">_xll.BDH($C$128,"OPER_MARGIN","FY 2014","FY 2014","Currency=INR","Period=FY","BEST_FPERIOD_OVERRIDE=FY","FILING_STATUS=OR","EQY_CONSOLIDATED=Y","FA_ADJUSTED=GAAP","Sort=A","Dates=H","DateFormat=P","Fill=—","Direction=H","UseDPDF=Y")</f>
        <v>#NAME?</v>
      </c>
      <c r="L128" t="e">
        <f ca="1">_xll.BDH($C$128,"INCREMENTAL_OPERATING_MARGIN","FY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28" t="e">
        <f ca="1">_xll.BDH($C$128,"PRETAX_INC_TO_NET_SALES","FY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28" t="e">
        <f ca="1">_xll.BDH($C$128,"INC_BEF_XO_ITEMS_TO_NET_SALES","FY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28" t="e">
        <f ca="1">_xll.BDH($C$128,"PROF_MARGIN","FY 2014","FY 2014","Currency=INR","Period=FY","BEST_FPERIOD_OVERRIDE=FY","FILING_STATUS=OR","EQY_CONSOLIDATED=Y","FA_ADJUSTED=GAAP","Sort=A","Dates=H","DateFormat=P","Fill=—","Direction=H","UseDPDF=Y")</f>
        <v>#NAME?</v>
      </c>
      <c r="P128" t="e">
        <f ca="1">_xll.BDH($C$128,"NET_INCOME_TO_COMMON_MARGIN","FY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28" t="e">
        <f ca="1">_xll.BDH($C$128,"EFF_TAX_RATE","FY 2014","FY 2014","Currency=INR","Period=FY","BEST_FPERIOD_OVERRIDE=FY","FILING_STATUS=OR","EQY_CONSOLIDATED=Y","FA_ADJUSTED=GAAP","Sort=A","Dates=H","DateFormat=P","Fill=—","Direction=H","UseDPDF=Y")</f>
        <v>#NAME?</v>
      </c>
      <c r="R128" t="e">
        <f ca="1">_xll.BDH($C$128,"DVD_PAYOUT_RATIO","FY 2014","FY 2014","Currency=INR","Period=FY","BEST_FPERIOD_OVERRIDE=FY","FILING_STATUS=OR","EQY_CONSOLIDATED=Y","FA_ADJUSTED=GAAP","Sort=A","Dates=H","DateFormat=P","Fill=—","Direction=H","UseDPDF=Y")</f>
        <v>#NAME?</v>
      </c>
      <c r="S128" t="e">
        <f ca="1">_xll.BDH($C$128,"SUSTAIN_GROWTH_RT","FY 2014","FY 2014","Currency=INR","Period=FY","BEST_FPERIOD_OVERRIDE=FY","FILING_STATUS=OR","EQY_CONSOLIDATED=Y","FA_ADJUSTED=GAAP","Sort=A","Dates=H","DateFormat=P","Fill=—","Direction=H","UseDPDF=Y")</f>
        <v>#NAME?</v>
      </c>
      <c r="T128" s="1" t="e">
        <f ca="1">_xll.BDH($C$128,"SALES_GROWTH","FY 2014","FY 2014","Currency=INR","Period=FY","BEST_FPERIOD_OVERRIDE=FY","FILING_STATUS=OR","EQY_CONSOLIDATED=Y","FA_ADJUSTED=GAAP","Sort=A","Dates=H","DateFormat=P","Fill=—","Direction=H","UseDPDF=Y")</f>
        <v>#NAME?</v>
      </c>
      <c r="U128" s="1" t="e">
        <f ca="1">_xll.BDH($C$128,"EBITDA_GROWTH","FY 2014","FY 2014","Currency=INR","Period=FY","BEST_FPERIOD_OVERRIDE=FY","FILING_STATUS=OR","EQY_CONSOLIDATED=Y","FA_ADJUSTED=GAAP","Sort=A","Dates=H","DateFormat=P","Fill=—","Direction=H","UseDPDF=Y")</f>
        <v>#NAME?</v>
      </c>
      <c r="V128" s="1" t="e">
        <f ca="1">_xll.BDH($C$128,"OPER_INC_GROWTH","FY 2014","FY 2014","Currency=INR","Period=FY","BEST_FPERIOD_OVERRIDE=FY","FILING_STATUS=OR","EQY_CONSOLIDATED=Y","FA_ADJUSTED=GAAP","Sort=A","Dates=H","DateFormat=P","Fill=—","Direction=H","UseDPDF=Y")</f>
        <v>#NAME?</v>
      </c>
      <c r="W128" s="1" t="e">
        <f ca="1">_xll.BDH($C$128,"EARN_FOR_COM_GROWTH","FY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128" s="1" t="e">
        <f ca="1">_xll.BDH($C$128,"DILUTED_EPS_AFT_XO_ITEMS_GROWTH","FY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28" s="1" t="e">
        <f ca="1">_xll.BDH($C$128,"DIVIDEND_PER_SHARE_1_YEAR_GROWTH","FY 2014","FY 2014","Currency=INR","Period=FY","BEST_FPERIOD_OVERRIDE=FY","FILING_STATUS=OR","EQY_CONSOLIDATED=Y","Sort=A","Dates=H","DateFormat=P","Fill=—","Direction=H","UseDPDF=Y")</f>
        <v>#NAME?</v>
      </c>
      <c r="Z128" s="1" t="e">
        <f ca="1">_xll.BDH($C$128,"ACCOUNTS_RECEIVABLE_GROWTH","FY 2014","FY 2014","Currency=INR","Period=FY","BEST_FPERIOD_OVERRIDE=FY","FILING_STATUS=OR","EQY_CONSOLIDATED=Y","Sort=A","Dates=H","DateFormat=P","Fill=—","Direction=H","UseDPDF=Y")</f>
        <v>#NAME?</v>
      </c>
      <c r="AA128" s="1" t="e">
        <f ca="1">_xll.BDH($C$128,"INVENTORY_GROWTH","FY 2014","FY 2014","Currency=INR","Period=FY","BEST_FPERIOD_OVERRIDE=FY","FILING_STATUS=OR","EQY_CONSOLIDATED=Y","Sort=A","Dates=H","DateFormat=P","Fill=—","Direction=H","UseDPDF=Y")</f>
        <v>#NAME?</v>
      </c>
      <c r="AB128" s="1" t="e">
        <f ca="1">_xll.BDH($C$128,"NET_FIXED_ASSETS_1_YEAR_GROWTH","FY 2014","FY 2014","Currency=INR","Period=FY","BEST_FPERIOD_OVERRIDE=FY","FILING_STATUS=OR","EQY_CONSOLIDATED=Y","Sort=A","Dates=H","DateFormat=P","Fill=—","Direction=H","UseDPDF=Y")</f>
        <v>#NAME?</v>
      </c>
      <c r="AC128" s="1" t="e">
        <f ca="1">_xll.BDH($C$128,"ASSET_GROWTH","FY 2014","FY 2014","Currency=INR","Period=FY","BEST_FPERIOD_OVERRIDE=FY","FILING_STATUS=OR","EQY_CONSOLIDATED=Y","Sort=A","Dates=H","DateFormat=P","Fill=—","Direction=H","UseDPDF=Y")</f>
        <v>#NAME?</v>
      </c>
      <c r="AD128" s="1" t="e">
        <f ca="1">_xll.BDH($C$128,"MODIFIED_WORK_CAP_GROWTH","FY 2014","FY 2014","Currency=INR","Period=FY","BEST_FPERIOD_OVERRIDE=FY","FILING_STATUS=OR","EQY_CONSOLIDATED=Y","Sort=A","Dates=H","DateFormat=P","Fill=—","Direction=H","UseDPDF=Y")</f>
        <v>#NAME?</v>
      </c>
      <c r="AE128" s="1" t="e">
        <f ca="1">_xll.BDH($C$128,"WORK_CAP_GROWTH","FY 2014","FY 2014","Currency=INR","Period=FY","BEST_FPERIOD_OVERRIDE=FY","FILING_STATUS=OR","EQY_CONSOLIDATED=Y","Sort=A","Dates=H","DateFormat=P","Fill=—","Direction=H","UseDPDF=Y")</f>
        <v>#NAME?</v>
      </c>
      <c r="AF128" s="1" t="e">
        <f ca="1">_xll.BDH($C$128,"ACCOUNTS_PAYABLE_GROWTH_1YR","FY 2014","FY 2014","Currency=INR","Period=FY","BEST_FPERIOD_OVERRIDE=FY","FILING_STATUS=OR","EQY_CONSOLIDATED=Y","Sort=A","Dates=H","DateFormat=P","Fill=—","Direction=H","UseDPDF=Y")</f>
        <v>#NAME?</v>
      </c>
      <c r="AG128" s="1" t="e">
        <f ca="1">_xll.BDH($C$128,"SHORT_TERM_DEBT_1_YEAR_GROWTH","FY 2014","FY 2014","Currency=INR","Period=FY","BEST_FPERIOD_OVERRIDE=FY","FILING_STATUS=OR","EQY_CONSOLIDATED=Y","Sort=A","Dates=H","DateFormat=P","Fill=—","Direction=H","UseDPDF=Y")</f>
        <v>#NAME?</v>
      </c>
      <c r="AH128" s="1" t="e">
        <f ca="1">_xll.BDH($C$128,"TOTAL_DEBT_1_YEAR_GROWTH","FY 2014","FY 2014","Currency=INR","Period=FY","BEST_FPERIOD_OVERRIDE=FY","FILING_STATUS=OR","EQY_CONSOLIDATED=Y","Sort=A","Dates=H","DateFormat=P","Fill=—","Direction=H","UseDPDF=Y")</f>
        <v>#NAME?</v>
      </c>
      <c r="AI128" s="1" t="e">
        <f ca="1">_xll.BDH($C$128,"TOTAL_EQUITY_1_YEAR_GROWTH","FY 2014","FY 2014","Currency=INR","Period=FY","BEST_FPERIOD_OVERRIDE=FY","FILING_STATUS=OR","EQY_CONSOLIDATED=Y","Sort=A","Dates=H","DateFormat=P","Fill=—","Direction=H","UseDPDF=Y")</f>
        <v>#NAME?</v>
      </c>
      <c r="AJ128" s="1" t="e">
        <f ca="1">_xll.BDH($C$128,"GROWTH_IN_CAP","FY 2014","FY 2014","Currency=INR","Period=FY","BEST_FPERIOD_OVERRIDE=FY","FILING_STATUS=OR","EQY_CONSOLIDATED=Y","Sort=A","Dates=H","DateFormat=P","Fill=—","Direction=H","UseDPDF=Y")</f>
        <v>#NAME?</v>
      </c>
      <c r="AK128" s="1" t="e">
        <f ca="1">_xll.BDH($C$128,"BVPS_GROWTH","FY 2014","FY 2014","Currency=INR","Period=FY","BEST_FPERIOD_OVERRIDE=FY","FILING_STATUS=OR","EQY_CONSOLIDATED=Y","Sort=A","Dates=H","DateFormat=P","Fill=—","Direction=H","UseDPDF=Y")</f>
        <v>#NAME?</v>
      </c>
      <c r="AL128" s="1" t="e">
        <f ca="1">_xll.BDH($C$128,"CASH_FLOW_GROWTH","FY 2014","FY 2014","Currency=INR","Period=FY","BEST_FPERIOD_OVERRIDE=FY","FILING_STATUS=OR","EQY_CONSOLIDATED=Y","Sort=A","Dates=H","DateFormat=P","Fill=—","Direction=H","UseDPDF=Y")</f>
        <v>#NAME?</v>
      </c>
      <c r="AM128" s="1" t="e">
        <f ca="1">_xll.BDH($C$128,"GEO_GROW_NET_SALES","FY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128" s="1" t="e">
        <f ca="1">_xll.BDH($C$128,"GEO_GROW_EBITDA","FY 2014","FY 2014","Currency=INR","Period=FY","BEST_FPERIOD_OVERRIDE=FY","FILING_STATUS=OR","EQY_CONSOLIDATED=Y","FA_ADJUSTED=GAAP","Sort=A","Dates=H","DateFormat=P","Fill=—","Direction=H","UseDPDF=Y")</f>
        <v>#NAME?</v>
      </c>
      <c r="AO128" s="1" t="e">
        <f ca="1">_xll.BDH($C$128,"GEO_GROW_OPER_INC","FY 2014","FY 2014","Currency=INR","Period=FY","BEST_FPERIOD_OVERRIDE=FY","FILING_STATUS=OR","EQY_CONSOLIDATED=Y","FA_ADJUSTED=GAAP","Sort=A","Dates=H","DateFormat=P","Fill=—","Direction=H","UseDPDF=Y")</f>
        <v>#NAME?</v>
      </c>
      <c r="AP128" s="1" t="e">
        <f ca="1">_xll.BDH($C$128,"NET_INCOME_TO_COMMON_5_YR_GROWTH","FY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28" s="1" t="e">
        <f ca="1">_xll.BDH($C$128,"5Y_GEO_GROWTH_DILUTED_EPS","FY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28" s="1" t="e">
        <f ca="1">_xll.BDH($C$128,"GEO_GROW_DVD_PER_SH","FY 2014","FY 2014","Currency=INR","Period=FY","BEST_FPERIOD_OVERRIDE=FY","FILING_STATUS=OR","EQY_CONSOLIDATED=Y","Sort=A","Dates=H","DateFormat=P","Fill=—","Direction=H","UseDPDF=Y")</f>
        <v>#NAME?</v>
      </c>
      <c r="AS128" s="1" t="e">
        <f ca="1">_xll.BDH($C$128,"ACCOUNTS_RECEIVABLE_5_YR_GROWTH","FY 2014","FY 2014","Currency=INR","Period=FY","BEST_FPERIOD_OVERRIDE=FY","FILING_STATUS=OR","EQY_CONSOLIDATED=Y","Sort=A","Dates=H","DateFormat=P","Fill=—","Direction=H","UseDPDF=Y")</f>
        <v>#NAME?</v>
      </c>
      <c r="AT128" s="1" t="e">
        <f ca="1">_xll.BDH($C$128,"INVENTORY_5_YEAR_GROWTH","FY 2014","FY 2014","Currency=INR","Period=FY","BEST_FPERIOD_OVERRIDE=FY","FILING_STATUS=OR","EQY_CONSOLIDATED=Y","Sort=A","Dates=H","DateFormat=P","Fill=—","Direction=H","UseDPDF=Y")</f>
        <v>#NAME?</v>
      </c>
      <c r="AU128" s="1" t="e">
        <f ca="1">_xll.BDH($C$128,"NET_FIXED_ASSETS_5_YEAR_GROWTH","FY 2014","FY 2014","Currency=INR","Period=FY","BEST_FPERIOD_OVERRIDE=FY","FILING_STATUS=OR","EQY_CONSOLIDATED=Y","Sort=A","Dates=H","DateFormat=P","Fill=—","Direction=H","UseDPDF=Y")</f>
        <v>#NAME?</v>
      </c>
      <c r="AV128" s="1" t="e">
        <f ca="1">_xll.BDH($C$128,"GEO_GROW_TOT_ASSET","FY 2014","FY 2014","Currency=INR","Period=FY","BEST_FPERIOD_OVERRIDE=FY","FILING_STATUS=OR","EQY_CONSOLIDATED=Y","Sort=A","Dates=H","DateFormat=P","Fill=—","Direction=H","UseDPDF=Y")</f>
        <v>#NAME?</v>
      </c>
      <c r="AW128" s="1" t="e">
        <f ca="1">_xll.BDH($C$128,"MODIFIED_WORKING_CPTL_5YR_GRWTH","FY 2014","FY 2014","Currency=INR","Period=FY","BEST_FPERIOD_OVERRIDE=FY","FILING_STATUS=OR","EQY_CONSOLIDATED=Y","Sort=A","Dates=H","DateFormat=P","Fill=—","Direction=H","UseDPDF=Y")</f>
        <v>#NAME?</v>
      </c>
      <c r="AX128" s="1" t="e">
        <f ca="1">_xll.BDH($C$128,"WORKING_CAPITAL_5_YEAR_GROWTH","FY 2014","FY 2014","Currency=INR","Period=FY","BEST_FPERIOD_OVERRIDE=FY","FILING_STATUS=OR","EQY_CONSOLIDATED=Y","Sort=A","Dates=H","DateFormat=P","Fill=—","Direction=H","UseDPDF=Y")</f>
        <v>#NAME?</v>
      </c>
      <c r="AY128" s="1" t="e">
        <f ca="1">_xll.BDH($C$128,"ACCOUNTS_PAYABLE_5_YEAR_GROWTH","FY 2014","FY 2014","Currency=INR","Period=FY","BEST_FPERIOD_OVERRIDE=FY","FILING_STATUS=OR","EQY_CONSOLIDATED=Y","Sort=A","Dates=H","DateFormat=P","Fill=—","Direction=H","UseDPDF=Y")</f>
        <v>#NAME?</v>
      </c>
      <c r="AZ128" s="1" t="e">
        <f ca="1">_xll.BDH($C$128,"SHORT_TERM_DEBT_5_YEAR_GROWTH","FY 2014","FY 2014","Currency=INR","Period=FY","BEST_FPERIOD_OVERRIDE=FY","FILING_STATUS=OR","EQY_CONSOLIDATED=Y","Sort=A","Dates=H","DateFormat=P","Fill=—","Direction=H","UseDPDF=Y")</f>
        <v>#NAME?</v>
      </c>
      <c r="BA128" s="1" t="e">
        <f ca="1">_xll.BDH($C$128,"TOTAL_DEBT_5_YEAR_GROWTH","FY 2014","FY 2014","Currency=INR","Period=FY","BEST_FPERIOD_OVERRIDE=FY","FILING_STATUS=OR","EQY_CONSOLIDATED=Y","Sort=A","Dates=H","DateFormat=P","Fill=—","Direction=H","UseDPDF=Y")</f>
        <v>#NAME?</v>
      </c>
      <c r="BB128" s="1" t="e">
        <f ca="1">_xll.BDH($C$128,"GEO_GROW_TOT_SHRHLDR_EQY","FY 2014","FY 2014","Currency=INR","Period=FY","BEST_FPERIOD_OVERRIDE=FY","FILING_STATUS=OR","EQY_CONSOLIDATED=Y","Sort=A","Dates=H","DateFormat=P","Fill=—","Direction=H","UseDPDF=Y")</f>
        <v>#NAME?</v>
      </c>
      <c r="BC128" s="1" t="e">
        <f ca="1">_xll.BDH($C$128,"TOTAL_CAPITAL_5_YEAR_GROWTH","FY 2014","FY 2014","Currency=INR","Period=FY","BEST_FPERIOD_OVERRIDE=FY","FILING_STATUS=OR","EQY_CONSOLIDATED=Y","Sort=A","Dates=H","DateFormat=P","Fill=—","Direction=H","UseDPDF=Y")</f>
        <v>#NAME?</v>
      </c>
      <c r="BD128" s="1" t="e">
        <f ca="1">_xll.BDH($C$128,"GEO_GROW_BOOK_VAL","FY 2014","FY 2014","Currency=INR","Period=FY","BEST_FPERIOD_OVERRIDE=FY","FILING_STATUS=OR","EQY_CONSOLIDATED=Y","Sort=A","Dates=H","DateFormat=P","Fill=—","Direction=H","UseDPDF=Y")</f>
        <v>#NAME?</v>
      </c>
      <c r="BE128" s="1" t="e">
        <f ca="1">_xll.BDH($C$128,"GEO_GROW_CASH_OPER_ACT","FY 2014","FY 2014","Currency=INR","Period=FY","BEST_FPERIOD_OVERRIDE=FY","FILING_STATUS=OR","EQY_CONSOLIDATED=Y","Sort=A","Dates=H","DateFormat=P","Fill=—","Direction=H","UseDPDF=Y")</f>
        <v>#NAME?</v>
      </c>
      <c r="BF128" s="1" t="e">
        <f ca="1">_xll.BDH($C$128,"REVENUE_SEQUENTIAL_GROWTH","FY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28" s="1" t="e">
        <f ca="1">_xll.BDH($C$128,"EBITDA_SEQUENTIAL_GROWTH","FY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28" s="1" t="e">
        <f ca="1">_xll.BDH($C$128,"OPERATING_INCOME_SEQ_GROWTH","FY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28" s="1" t="e">
        <f ca="1">_xll.BDH($C$128,"NET_INCOME_TO_COMMON_SEQ_GROWTH","FY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28" s="1" t="e">
        <f ca="1">_xll.BDH($C$128,"EPS_DILUTED_SEQUENTIAL_GROWTH","FY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28" s="1" t="e">
        <f ca="1">_xll.BDH($C$128,"DPS_SEQUENTIAL_GROWTH","FY 2014","FY 2014","Currency=INR","Period=FY","BEST_FPERIOD_OVERRIDE=FY","FILING_STATUS=OR","EQY_CONSOLIDATED=Y","Sort=A","Dates=H","DateFormat=P","Fill=—","Direction=H","UseDPDF=Y")</f>
        <v>#NAME?</v>
      </c>
      <c r="BL128" s="1" t="e">
        <f ca="1">_xll.BDH($C$128,"ACCOUNTS_RECEIVABLE_SEQ_GROWTH","FY 2014","FY 2014","Currency=INR","Period=FY","BEST_FPERIOD_OVERRIDE=FY","FILING_STATUS=OR","EQY_CONSOLIDATED=Y","Sort=A","Dates=H","DateFormat=P","Fill=—","Direction=H","UseDPDF=Y")</f>
        <v>#NAME?</v>
      </c>
      <c r="BM128" s="1" t="e">
        <f ca="1">_xll.BDH($C$128,"INVENTORY_SEQUENTIAL_GROWTH","FY 2014","FY 2014","Currency=INR","Period=FY","BEST_FPERIOD_OVERRIDE=FY","FILING_STATUS=OR","EQY_CONSOLIDATED=Y","Sort=A","Dates=H","DateFormat=P","Fill=—","Direction=H","UseDPDF=Y")</f>
        <v>#NAME?</v>
      </c>
      <c r="BN128" s="1" t="e">
        <f ca="1">_xll.BDH($C$128,"FIXED_ASSETS_SEQUENTIAL_GROWTH","FY 2014","FY 2014","Currency=INR","Period=FY","BEST_FPERIOD_OVERRIDE=FY","FILING_STATUS=OR","EQY_CONSOLIDATED=Y","Sort=A","Dates=H","DateFormat=P","Fill=—","Direction=H","UseDPDF=Y")</f>
        <v>#NAME?</v>
      </c>
      <c r="BO128" s="1" t="e">
        <f ca="1">_xll.BDH($C$128,"TOTAL_ASSETS_SEQUENTIAL_GROWTH","FY 2014","FY 2014","Currency=INR","Period=FY","BEST_FPERIOD_OVERRIDE=FY","FILING_STATUS=OR","EQY_CONSOLIDATED=Y","Sort=A","Dates=H","DateFormat=P","Fill=—","Direction=H","UseDPDF=Y")</f>
        <v>#NAME?</v>
      </c>
      <c r="BP128" s="1" t="e">
        <f ca="1">_xll.BDH($C$128,"MODIFIED_WORKING_CPTL_SEQ_GRWTH","FY 2014","FY 2014","Currency=INR","Period=FY","BEST_FPERIOD_OVERRIDE=FY","FILING_STATUS=OR","EQY_CONSOLIDATED=Y","Sort=A","Dates=H","DateFormat=P","Fill=—","Direction=H","UseDPDF=Y")</f>
        <v>#NAME?</v>
      </c>
      <c r="BQ128" s="1" t="e">
        <f ca="1">_xll.BDH($C$128,"WORKING_CAPITAL_SEQ_GROWTH","FY 2014","FY 2014","Currency=INR","Period=FY","BEST_FPERIOD_OVERRIDE=FY","FILING_STATUS=OR","EQY_CONSOLIDATED=Y","Sort=A","Dates=H","DateFormat=P","Fill=—","Direction=H","UseDPDF=Y")</f>
        <v>#NAME?</v>
      </c>
      <c r="BR128" s="1" t="e">
        <f ca="1">_xll.BDH($C$128,"ACCOUNTS_PAYABLE_SEQ_GROWTH","FY 2014","FY 2014","Currency=INR","Period=FY","BEST_FPERIOD_OVERRIDE=FY","FILING_STATUS=OR","EQY_CONSOLIDATED=Y","Sort=A","Dates=H","DateFormat=P","Fill=—","Direction=H","UseDPDF=Y")</f>
        <v>#NAME?</v>
      </c>
      <c r="BS128" s="1" t="e">
        <f ca="1">_xll.BDH($C$128,"ST_DEBT_SEQUENTIAL_GROWTH","FY 2014","FY 2014","Currency=INR","Period=FY","BEST_FPERIOD_OVERRIDE=FY","FILING_STATUS=OR","EQY_CONSOLIDATED=Y","Sort=A","Dates=H","DateFormat=P","Fill=—","Direction=H","UseDPDF=Y")</f>
        <v>#NAME?</v>
      </c>
      <c r="BT128" s="1" t="e">
        <f ca="1">_xll.BDH($C$128,"TOTAL_DEBT_SEQUENTIAL_GROWTH","FY 2014","FY 2014","Currency=INR","Period=FY","BEST_FPERIOD_OVERRIDE=FY","FILING_STATUS=OR","EQY_CONSOLIDATED=Y","Sort=A","Dates=H","DateFormat=P","Fill=—","Direction=H","UseDPDF=Y")</f>
        <v>#NAME?</v>
      </c>
      <c r="BU128" s="1" t="e">
        <f ca="1">_xll.BDH($C$128,"TOTAL_EQUITY_SEQUENTIAL_GROWTH","FY 2014","FY 2014","Currency=INR","Period=FY","BEST_FPERIOD_OVERRIDE=FY","FILING_STATUS=OR","EQY_CONSOLIDATED=Y","Sort=A","Dates=H","DateFormat=P","Fill=—","Direction=H","UseDPDF=Y")</f>
        <v>#NAME?</v>
      </c>
      <c r="BV128" s="1" t="e">
        <f ca="1">_xll.BDH($C$128,"TOTAL_CAPITAL_SEQUENTIAL_GROWTH","FY 2014","FY 2014","Currency=INR","Period=FY","BEST_FPERIOD_OVERRIDE=FY","FILING_STATUS=OR","EQY_CONSOLIDATED=Y","Sort=A","Dates=H","DateFormat=P","Fill=—","Direction=H","UseDPDF=Y")</f>
        <v>#NAME?</v>
      </c>
      <c r="BW128" s="1" t="e">
        <f ca="1">_xll.BDH($C$128,"BPS_SEQUENTIAL_GROWTH","FY 2014","FY 2014","Currency=INR","Period=FY","BEST_FPERIOD_OVERRIDE=FY","FILING_STATUS=OR","EQY_CONSOLIDATED=Y","Sort=A","Dates=H","DateFormat=P","Fill=—","Direction=H","UseDPDF=Y")</f>
        <v>#NAME?</v>
      </c>
      <c r="BX128" s="1" t="e">
        <f ca="1">_xll.BDH($C$128,"CFO_SEQUENTIAL_GROWTH","FY 2014","FY 2014","Currency=INR","Period=FY","BEST_FPERIOD_OVERRIDE=FY","FILING_STATUS=OR","EQY_CONSOLIDATED=Y","Sort=A","Dates=H","DateFormat=P","Fill=—","Direction=H","UseDPDF=Y")</f>
        <v>#NAME?</v>
      </c>
      <c r="BY128" s="2" t="e">
        <f ca="1">_xll.BDH($C$128,"SHORT_AND_LONG_TERM_DEBT","FY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28" s="2" t="e">
        <f ca="1">_xll.BDH($C$128,"BS_ST_BORROW","FY 2014","FY 2014","Currency=INR","Period=FY","BEST_FPERIOD_OVERRIDE=FY","FILING_STATUS=OR","EQY_CONSOLIDATED=Y","SCALING_FORMAT=MLN","Sort=A","Dates=H","DateFormat=P","Fill=—","Direction=H","UseDPDF=Y")</f>
        <v>#NAME?</v>
      </c>
      <c r="CA128" s="2" t="e">
        <f ca="1">_xll.BDH($C$128,"BS_LT_BORROW","FY 2014","FY 2014","Currency=INR","Period=FY","BEST_FPERIOD_OVERRIDE=FY","FILING_STATUS=OR","EQY_CONSOLIDATED=Y","SCALING_FORMAT=MLN","Sort=A","Dates=H","DateFormat=P","Fill=—","Direction=H","UseDPDF=Y")</f>
        <v>#NAME?</v>
      </c>
      <c r="CB128" s="1" t="e">
        <f ca="1">_xll.BDH($C$128,"TOT_DEBT_TO_EBITDA","FY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128" s="1" t="e">
        <f ca="1">_xll.BDH($C$128,"NET_DEBT_TO_EBITDA","FY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128" s="1" t="e">
        <f ca="1">_xll.BDH($C$128,"TOTAL_DEBT_TO_EBIT","FY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128" s="1" t="e">
        <f ca="1">_xll.BDH($C$128,"NET_DEBT_TO_EBIT","FY 2014","FY 2014","Currency=INR","Period=FY","BEST_FPERIOD_OVERRIDE=FY","FILING_STATUS=OR","EQY_CONSOLIDATED=Y","FA_ADJUSTED=GAAP","Sort=A","Dates=H","DateFormat=P","Fill=—","Direction=H","UseDPDF=Y")</f>
        <v>#NAME?</v>
      </c>
      <c r="CF128" s="1" t="e">
        <f ca="1">_xll.BDH($C$128,"EBITDA_TO_INTEREST_EXPN","FY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28" s="1" t="e">
        <f ca="1">_xll.BDH($C$128,"COM_EQY_TO_TOT_ASSET","FY 2014","FY 2014","Currency=INR","Period=FY","BEST_FPERIOD_OVERRIDE=FY","FILING_STATUS=OR","EQY_CONSOLIDATED=Y","Sort=A","Dates=H","DateFormat=P","Fill=—","Direction=H","UseDPDF=Y")</f>
        <v>#NAME?</v>
      </c>
      <c r="CH128" s="1" t="e">
        <f ca="1">_xll.BDH($C$128,"LT_DEBT_TO_TOT_EQY","FY 2014","FY 2014","Currency=INR","Period=FY","BEST_FPERIOD_OVERRIDE=FY","FILING_STATUS=OR","EQY_CONSOLIDATED=Y","Sort=A","Dates=H","DateFormat=P","Fill=—","Direction=H","UseDPDF=Y")</f>
        <v>#NAME?</v>
      </c>
      <c r="CI128" s="1" t="e">
        <f ca="1">_xll.BDH($C$128,"LT_DEBT_TO_TOT_CAP","FY 2014","FY 2014","Currency=INR","Period=FY","BEST_FPERIOD_OVERRIDE=FY","FILING_STATUS=OR","EQY_CONSOLIDATED=Y","Sort=A","Dates=H","DateFormat=P","Fill=—","Direction=H","UseDPDF=Y")</f>
        <v>#NAME?</v>
      </c>
      <c r="CJ128" s="1" t="e">
        <f ca="1">_xll.BDH($C$128,"LT_DEBT_TO_TOT_ASSET","FY 2014","FY 2014","Currency=INR","Period=FY","BEST_FPERIOD_OVERRIDE=FY","FILING_STATUS=OR","EQY_CONSOLIDATED=Y","Sort=A","Dates=H","DateFormat=P","Fill=—","Direction=H","UseDPDF=Y")</f>
        <v>#NAME?</v>
      </c>
      <c r="CK128" s="1" t="e">
        <f ca="1">_xll.BDH($C$128,"TOT_DEBT_TO_TOT_EQY","FY 2014","FY 2014","Currency=INR","Period=FY","BEST_FPERIOD_OVERRIDE=FY","FILING_STATUS=OR","EQY_CONSOLIDATED=Y","Sort=A","Dates=H","DateFormat=P","Fill=—","Direction=H","UseDPDF=Y")</f>
        <v>#NAME?</v>
      </c>
      <c r="CL128" s="1" t="e">
        <f ca="1">_xll.BDH($C$128,"TOT_DEBT_TO_TOT_CAP","FY 2014","FY 2014","Currency=INR","Period=FY","BEST_FPERIOD_OVERRIDE=FY","FILING_STATUS=OR","EQY_CONSOLIDATED=Y","Sort=A","Dates=H","DateFormat=P","Fill=—","Direction=H","UseDPDF=Y")</f>
        <v>#NAME?</v>
      </c>
      <c r="CM128" s="1" t="e">
        <f ca="1">_xll.BDH($C$128,"TOT_DEBT_TO_TOT_ASSET","FY 2014","FY 2014","Currency=INR","Period=FY","BEST_FPERIOD_OVERRIDE=FY","FILING_STATUS=OR","EQY_CONSOLIDATED=Y","Sort=A","Dates=H","DateFormat=P","Fill=—","Direction=H","UseDPDF=Y")</f>
        <v>#NAME?</v>
      </c>
      <c r="CN128" s="1" t="e">
        <f ca="1">_xll.BDH($C$128,"NET_DEBT_TO_SHRHLDR_EQTY","FY 2014","FY 2014","Currency=INR","Period=FY","BEST_FPERIOD_OVERRIDE=FY","FILING_STATUS=OR","EQY_CONSOLIDATED=Y","Sort=A","Dates=H","DateFormat=P","Fill=—","Direction=H","UseDPDF=Y")</f>
        <v>#NAME?</v>
      </c>
      <c r="CO128" s="1" t="e">
        <f ca="1">_xll.BDH($C$128,"NET_DEBT_%_CAPITAL","FY 2014","FY 2014","Currency=INR","Period=FY","BEST_FPERIOD_OVERRIDE=FY","FILING_STATUS=OR","EQY_CONSOLIDATED=Y","Sort=A","Dates=H","DateFormat=P","Fill=—","Direction=H","UseDPDF=Y")</f>
        <v>#NAME?</v>
      </c>
      <c r="CP128" s="2" t="e">
        <f ca="1">_xll.BDH($C$128,"EBITDA","FY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28" s="2" t="e">
        <f ca="1">_xll.BDH($C$128,"EBITDA_AFTER_CAPEX","FY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28" s="2" t="e">
        <f ca="1">_xll.BDH($C$128,"IS_OPER_INC","FY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28" s="1" t="e">
        <f ca="1">_xll.BDH($C$128,"CASH_RATIO","FY 2014","FY 2014","Currency=INR","Period=FY","BEST_FPERIOD_OVERRIDE=FY","FILING_STATUS=OR","EQY_CONSOLIDATED=Y","Sort=A","Dates=H","DateFormat=P","Fill=—","Direction=H","UseDPDF=Y")</f>
        <v>#NAME?</v>
      </c>
      <c r="CT128" s="1" t="e">
        <f ca="1">_xll.BDH($C$128,"CUR_RATIO","FY 2014","FY 2014","Currency=INR","Period=FY","BEST_FPERIOD_OVERRIDE=FY","FILING_STATUS=OR","EQY_CONSOLIDATED=Y","Sort=A","Dates=H","DateFormat=P","Fill=—","Direction=H","UseDPDF=Y")</f>
        <v>#NAME?</v>
      </c>
      <c r="CU128" s="1" t="e">
        <f ca="1">_xll.BDH($C$128,"QUICK_RATIO","FY 2014","FY 2014","Currency=INR","Period=FY","BEST_FPERIOD_OVERRIDE=FY","FILING_STATUS=OR","EQY_CONSOLIDATED=Y","Sort=A","Dates=H","DateFormat=P","Fill=—","Direction=H","UseDPDF=Y")</f>
        <v>#NAME?</v>
      </c>
      <c r="CV128" s="1" t="e">
        <f ca="1">_xll.BDH($C$128,"ALTMAN_Z_SCORE","FY 2014","FY 2014","Currency=INR","Period=FY","BEST_FPERIOD_OVERRIDE=FY","FILING_STATUS=OR","EQY_CONSOLIDATED=Y","Sort=A","Dates=H","DateFormat=P","Fill=—","Direction=H","UseDPDF=Y")</f>
        <v>#NAME?</v>
      </c>
      <c r="CW128" s="3" t="e">
        <f ca="1">_xll.BDH($C$128,"ACCT_RCV_TURN","FY 2014","FY 2014","Currency=INR","Period=FY","BEST_FPERIOD_OVERRIDE=FY","FILING_STATUS=OR","EQY_CONSOLIDATED=Y","FA_ADJUSTED=GAAP","Sort=A","Dates=H","DateFormat=P","Fill=—","Direction=H","UseDPDF=Y")</f>
        <v>#NAME?</v>
      </c>
      <c r="CX128" s="1" t="e">
        <f ca="1">_xll.BDH($C$128,"ACCT_RCV_DAYS","FY 2014","FY 2014","Currency=INR","Period=FY","BEST_FPERIOD_OVERRIDE=FY","FILING_STATUS=OR","EQY_CONSOLIDATED=Y","FA_ADJUSTED=GAAP","Sort=A","Dates=H","DateFormat=P","Fill=—","Direction=H","UseDPDF=Y")</f>
        <v>#NAME?</v>
      </c>
      <c r="CY128" s="3" t="e">
        <f ca="1">_xll.BDH($C$128,"INVENT_TURN","FY 2014","FY 2014","Currency=INR","Period=FY","BEST_FPERIOD_OVERRIDE=FY","FILING_STATUS=OR","EQY_CONSOLIDATED=Y","FA_ADJUSTED=GAAP","Sort=A","Dates=H","DateFormat=P","Fill=—","Direction=H","UseDPDF=Y")</f>
        <v>#NAME?</v>
      </c>
      <c r="CZ128" s="1" t="e">
        <f ca="1">_xll.BDH($C$128,"INVENT_DAYS","FY 2014","FY 2014","Currency=INR","Period=FY","BEST_FPERIOD_OVERRIDE=FY","FILING_STATUS=OR","EQY_CONSOLIDATED=Y","FA_ADJUSTED=GAAP","Sort=A","Dates=H","DateFormat=P","Fill=—","Direction=H","UseDPDF=Y")</f>
        <v>#NAME?</v>
      </c>
      <c r="DA128" s="3" t="e">
        <f ca="1">_xll.BDH($C$128,"ACCOUNTS_PAYABLE_TURNOVER","FY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28" s="1" t="e">
        <f ca="1">_xll.BDH($C$128,"ACCOUNTS_PAYABLE_TURNOVER_DAYS","FY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28" s="3" t="e">
        <f ca="1">_xll.BDH($C$128,"CASH_CONVERSION_CYCLE","FY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28" s="3" t="e">
        <f ca="1">_xll.BDH($C$128,"INV_TO_CASH_DAYS","FY 2014","FY 2014","Currency=INR","Period=FY","BEST_FPERIOD_OVERRIDE=FY","FILING_STATUS=OR","EQY_CONSOLIDATED=Y","FA_ADJUSTED=GAAP","Sort=A","Dates=H","DateFormat=P","Fill=—","Direction=H","UseDPDF=Y")</f>
        <v>#NAME?</v>
      </c>
      <c r="DE128" s="4" t="e">
        <f ca="1">_xll.BDH($C$128,"BS_INVENTORIES","FY 2014","FY 2014","Currency=INR","Period=FY","BEST_FPERIOD_OVERRIDE=FY","FILING_STATUS=OR","EQY_CONSOLIDATED=Y","SCALING_FORMAT=MLN","Sort=A","Dates=H","DateFormat=P","Fill=—","Direction=H","UseDPDF=Y")</f>
        <v>#NAME?</v>
      </c>
      <c r="DF128" s="2" t="e">
        <f ca="1">_xll.BDH($C$128,"INVTRY_RAW_MATERIALS","FY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28" s="2" t="e">
        <f ca="1">_xll.BDH($C$128,"INVTRY_IN_PROGRESS","FY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28" s="2" t="e">
        <f ca="1">_xll.BDH($C$128,"INVTRY_FINISHED_GOODS","FY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28" s="2" t="e">
        <f ca="1">_xll.BDH($C$128,"BS_OTHER_INV","FY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29" spans="1:113" x14ac:dyDescent="0.3">
      <c r="A129" s="6"/>
      <c r="B129" s="6"/>
      <c r="C129" s="6"/>
      <c r="D129" s="6"/>
      <c r="E129" t="s">
        <v>4</v>
      </c>
      <c r="F129" t="e">
        <f ca="1">_xll.BDH($C$128,"RETURN_COM_EQY","FQ1 2014","FQ1 2014","Currency=INR","Period=FQ","BEST_FPERIOD_OVERRIDE=FQ","FILING_STATUS=OR","EQY_CONSOLIDATED=Y","FA_ADJUSTED=GAAP","Sort=A","Dates=H","DateFormat=P","Fill=—","Direction=H","UseDPDF=Y")</f>
        <v>#NAME?</v>
      </c>
      <c r="G129" t="e">
        <f ca="1">_xll.BDH($C$128,"RETURN_ON_ASSET","FQ1 2014","FQ1 2014","Currency=INR","Period=FQ","BEST_FPERIOD_OVERRIDE=FQ","FILING_STATUS=OR","EQY_CONSOLIDATED=Y","FA_ADJUSTED=GAAP","Sort=A","Dates=H","DateFormat=P","Fill=—","Direction=H","UseDPDF=Y")</f>
        <v>#NAME?</v>
      </c>
      <c r="H129" t="e">
        <f ca="1">_xll.BDH($C$128,"RETURN_ON_CAP","FQ1 2014","FQ1 2014","Currency=INR","Period=FQ","BEST_FPERIOD_OVERRIDE=FQ","FILING_STATUS=OR","EQY_CONSOLIDATED=Y","FA_ADJUSTED=GAAP","Sort=A","Dates=H","DateFormat=P","Fill=—","Direction=H","UseDPDF=Y")</f>
        <v>#NAME?</v>
      </c>
      <c r="I129" t="e">
        <f ca="1">_xll.BDH($C$128,"RETURN_ON_INV_CAPITAL","FQ1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29" t="e">
        <f ca="1">_xll.BDH($C$128,"EBITDA_TO_REVENUE","FQ1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129" t="e">
        <f ca="1">_xll.BDH($C$128,"OPER_MARGIN","FQ1 2014","FQ1 2014","Currency=INR","Period=FQ","BEST_FPERIOD_OVERRIDE=FQ","FILING_STATUS=OR","EQY_CONSOLIDATED=Y","FA_ADJUSTED=GAAP","Sort=A","Dates=H","DateFormat=P","Fill=—","Direction=H","UseDPDF=Y")</f>
        <v>#NAME?</v>
      </c>
      <c r="L129" t="e">
        <f ca="1">_xll.BDH($C$128,"INCREMENTAL_OPERATING_MARGIN","FQ1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29" t="e">
        <f ca="1">_xll.BDH($C$128,"PRETAX_INC_TO_NET_SALES","FQ1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29" t="e">
        <f ca="1">_xll.BDH($C$128,"INC_BEF_XO_ITEMS_TO_NET_SALES","FQ1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29" t="e">
        <f ca="1">_xll.BDH($C$128,"PROF_MARGIN","FQ1 2014","FQ1 2014","Currency=INR","Period=FQ","BEST_FPERIOD_OVERRIDE=FQ","FILING_STATUS=OR","EQY_CONSOLIDATED=Y","FA_ADJUSTED=GAAP","Sort=A","Dates=H","DateFormat=P","Fill=—","Direction=H","UseDPDF=Y")</f>
        <v>#NAME?</v>
      </c>
      <c r="P129" t="e">
        <f ca="1">_xll.BDH($C$128,"NET_INCOME_TO_COMMON_MARGIN","FQ1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29" t="e">
        <f ca="1">_xll.BDH($C$128,"EFF_TAX_RATE","FQ1 2014","FQ1 2014","Currency=INR","Period=FQ","BEST_FPERIOD_OVERRIDE=FQ","FILING_STATUS=OR","EQY_CONSOLIDATED=Y","FA_ADJUSTED=GAAP","Sort=A","Dates=H","DateFormat=P","Fill=—","Direction=H","UseDPDF=Y")</f>
        <v>#NAME?</v>
      </c>
      <c r="R129" t="e">
        <f ca="1">_xll.BDH($C$128,"DVD_PAYOUT_RATIO","FQ1 2014","FQ1 2014","Currency=INR","Period=FQ","BEST_FPERIOD_OVERRIDE=FQ","FILING_STATUS=OR","EQY_CONSOLIDATED=Y","FA_ADJUSTED=GAAP","Sort=A","Dates=H","DateFormat=P","Fill=—","Direction=H","UseDPDF=Y")</f>
        <v>#NAME?</v>
      </c>
      <c r="S129" t="e">
        <f ca="1">_xll.BDH($C$128,"SUSTAIN_GROWTH_RT","FQ1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129" s="1" t="e">
        <f ca="1">_xll.BDH($C$128,"SALES_GROWTH","FQ1 2014","FQ1 2014","Currency=INR","Period=FQ","BEST_FPERIOD_OVERRIDE=FQ","FILING_STATUS=OR","EQY_CONSOLIDATED=Y","FA_ADJUSTED=GAAP","Sort=A","Dates=H","DateFormat=P","Fill=—","Direction=H","UseDPDF=Y")</f>
        <v>#NAME?</v>
      </c>
      <c r="U129" s="1" t="e">
        <f ca="1">_xll.BDH($C$128,"EBITDA_GROWTH","FQ1 2014","FQ1 2014","Currency=INR","Period=FQ","BEST_FPERIOD_OVERRIDE=FQ","FILING_STATUS=OR","EQY_CONSOLIDATED=Y","FA_ADJUSTED=GAAP","Sort=A","Dates=H","DateFormat=P","Fill=—","Direction=H","UseDPDF=Y")</f>
        <v>#NAME?</v>
      </c>
      <c r="V129" s="1" t="e">
        <f ca="1">_xll.BDH($C$128,"OPER_INC_GROWTH","FQ1 2014","FQ1 2014","Currency=INR","Period=FQ","BEST_FPERIOD_OVERRIDE=FQ","FILING_STATUS=OR","EQY_CONSOLIDATED=Y","FA_ADJUSTED=GAAP","Sort=A","Dates=H","DateFormat=P","Fill=—","Direction=H","UseDPDF=Y")</f>
        <v>#NAME?</v>
      </c>
      <c r="W129" s="1" t="e">
        <f ca="1">_xll.BDH($C$128,"EARN_FOR_COM_GROWTH","FQ1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29" s="1" t="e">
        <f ca="1">_xll.BDH($C$128,"DILUTED_EPS_AFT_XO_ITEMS_GROWTH","FQ1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29" s="1" t="e">
        <f ca="1">_xll.BDH($C$128,"DIVIDEND_PER_SHARE_1_YEAR_GROWTH","FQ1 2014","FQ1 2014","Currency=INR","Period=FQ","BEST_FPERIOD_OVERRIDE=FQ","FILING_STATUS=OR","EQY_CONSOLIDATED=Y","Sort=A","Dates=H","DateFormat=P","Fill=—","Direction=H","UseDPDF=Y")</f>
        <v>#NAME?</v>
      </c>
      <c r="Z129" s="1" t="e">
        <f ca="1">_xll.BDH($C$128,"ACCOUNTS_RECEIVABLE_GROWTH","FQ1 2014","FQ1 2014","Currency=INR","Period=FQ","BEST_FPERIOD_OVERRIDE=FQ","FILING_STATUS=OR","EQY_CONSOLIDATED=Y","Sort=A","Dates=H","DateFormat=P","Fill=—","Direction=H","UseDPDF=Y")</f>
        <v>#NAME?</v>
      </c>
      <c r="AA129" s="1" t="e">
        <f ca="1">_xll.BDH($C$128,"INVENTORY_GROWTH","FQ1 2014","FQ1 2014","Currency=INR","Period=FQ","BEST_FPERIOD_OVERRIDE=FQ","FILING_STATUS=OR","EQY_CONSOLIDATED=Y","Sort=A","Dates=H","DateFormat=P","Fill=—","Direction=H","UseDPDF=Y")</f>
        <v>#NAME?</v>
      </c>
      <c r="AB129" s="1" t="e">
        <f ca="1">_xll.BDH($C$128,"NET_FIXED_ASSETS_1_YEAR_GROWTH","FQ1 2014","FQ1 2014","Currency=INR","Period=FQ","BEST_FPERIOD_OVERRIDE=FQ","FILING_STATUS=OR","EQY_CONSOLIDATED=Y","Sort=A","Dates=H","DateFormat=P","Fill=—","Direction=H","UseDPDF=Y")</f>
        <v>#NAME?</v>
      </c>
      <c r="AC129" s="1" t="e">
        <f ca="1">_xll.BDH($C$128,"ASSET_GROWTH","FQ1 2014","FQ1 2014","Currency=INR","Period=FQ","BEST_FPERIOD_OVERRIDE=FQ","FILING_STATUS=OR","EQY_CONSOLIDATED=Y","Sort=A","Dates=H","DateFormat=P","Fill=—","Direction=H","UseDPDF=Y")</f>
        <v>#NAME?</v>
      </c>
      <c r="AD129" s="1" t="e">
        <f ca="1">_xll.BDH($C$128,"MODIFIED_WORK_CAP_GROWTH","FQ1 2014","FQ1 2014","Currency=INR","Period=FQ","BEST_FPERIOD_OVERRIDE=FQ","FILING_STATUS=OR","EQY_CONSOLIDATED=Y","Sort=A","Dates=H","DateFormat=P","Fill=—","Direction=H","UseDPDF=Y")</f>
        <v>#NAME?</v>
      </c>
      <c r="AE129" s="1" t="e">
        <f ca="1">_xll.BDH($C$128,"WORK_CAP_GROWTH","FQ1 2014","FQ1 2014","Currency=INR","Period=FQ","BEST_FPERIOD_OVERRIDE=FQ","FILING_STATUS=OR","EQY_CONSOLIDATED=Y","Sort=A","Dates=H","DateFormat=P","Fill=—","Direction=H","UseDPDF=Y")</f>
        <v>#NAME?</v>
      </c>
      <c r="AF129" s="1" t="e">
        <f ca="1">_xll.BDH($C$128,"ACCOUNTS_PAYABLE_GROWTH_1YR","FQ1 2014","FQ1 2014","Currency=INR","Period=FQ","BEST_FPERIOD_OVERRIDE=FQ","FILING_STATUS=OR","EQY_CONSOLIDATED=Y","Sort=A","Dates=H","DateFormat=P","Fill=—","Direction=H","UseDPDF=Y")</f>
        <v>#NAME?</v>
      </c>
      <c r="AG129" s="1" t="e">
        <f ca="1">_xll.BDH($C$128,"SHORT_TERM_DEBT_1_YEAR_GROWTH","FQ1 2014","FQ1 2014","Currency=INR","Period=FQ","BEST_FPERIOD_OVERRIDE=FQ","FILING_STATUS=OR","EQY_CONSOLIDATED=Y","Sort=A","Dates=H","DateFormat=P","Fill=—","Direction=H","UseDPDF=Y")</f>
        <v>#NAME?</v>
      </c>
      <c r="AH129" s="1" t="e">
        <f ca="1">_xll.BDH($C$128,"TOTAL_DEBT_1_YEAR_GROWTH","FQ1 2014","FQ1 2014","Currency=INR","Period=FQ","BEST_FPERIOD_OVERRIDE=FQ","FILING_STATUS=OR","EQY_CONSOLIDATED=Y","Sort=A","Dates=H","DateFormat=P","Fill=—","Direction=H","UseDPDF=Y")</f>
        <v>#NAME?</v>
      </c>
      <c r="AI129" s="1" t="e">
        <f ca="1">_xll.BDH($C$128,"TOTAL_EQUITY_1_YEAR_GROWTH","FQ1 2014","FQ1 2014","Currency=INR","Period=FQ","BEST_FPERIOD_OVERRIDE=FQ","FILING_STATUS=OR","EQY_CONSOLIDATED=Y","Sort=A","Dates=H","DateFormat=P","Fill=—","Direction=H","UseDPDF=Y")</f>
        <v>#NAME?</v>
      </c>
      <c r="AJ129" s="1" t="e">
        <f ca="1">_xll.BDH($C$128,"GROWTH_IN_CAP","FQ1 2014","FQ1 2014","Currency=INR","Period=FQ","BEST_FPERIOD_OVERRIDE=FQ","FILING_STATUS=OR","EQY_CONSOLIDATED=Y","Sort=A","Dates=H","DateFormat=P","Fill=—","Direction=H","UseDPDF=Y")</f>
        <v>#NAME?</v>
      </c>
      <c r="AK129" s="1" t="e">
        <f ca="1">_xll.BDH($C$128,"BVPS_GROWTH","FQ1 2014","FQ1 2014","Currency=INR","Period=FQ","BEST_FPERIOD_OVERRIDE=FQ","FILING_STATUS=OR","EQY_CONSOLIDATED=Y","Sort=A","Dates=H","DateFormat=P","Fill=—","Direction=H","UseDPDF=Y")</f>
        <v>#NAME?</v>
      </c>
      <c r="AL129" s="1" t="e">
        <f ca="1">_xll.BDH($C$128,"CASH_FLOW_GROWTH","FQ1 2014","FQ1 2014","Currency=INR","Period=FQ","BEST_FPERIOD_OVERRIDE=FQ","FILING_STATUS=OR","EQY_CONSOLIDATED=Y","Sort=A","Dates=H","DateFormat=P","Fill=—","Direction=H","UseDPDF=Y")</f>
        <v>#NAME?</v>
      </c>
      <c r="AM129" s="1" t="e">
        <f ca="1">_xll.BDH($C$128,"GEO_GROW_NET_SALES","FQ1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29" s="1" t="e">
        <f ca="1">_xll.BDH($C$128,"GEO_GROW_EBITDA","FQ1 2014","FQ1 2014","Currency=INR","Period=FQ","BEST_FPERIOD_OVERRIDE=FQ","FILING_STATUS=OR","EQY_CONSOLIDATED=Y","FA_ADJUSTED=GAAP","Sort=A","Dates=H","DateFormat=P","Fill=—","Direction=H","UseDPDF=Y")</f>
        <v>#NAME?</v>
      </c>
      <c r="AO129" s="1" t="e">
        <f ca="1">_xll.BDH($C$128,"GEO_GROW_OPER_INC","FQ1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29" s="1" t="e">
        <f ca="1">_xll.BDH($C$128,"NET_INCOME_TO_COMMON_5_YR_GROWTH","FQ1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29" s="1" t="e">
        <f ca="1">_xll.BDH($C$128,"5Y_GEO_GROWTH_DILUTED_EPS","FQ1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29" s="1" t="e">
        <f ca="1">_xll.BDH($C$128,"GEO_GROW_DVD_PER_SH","FQ1 2014","FQ1 2014","Currency=INR","Period=FQ","BEST_FPERIOD_OVERRIDE=FQ","FILING_STATUS=OR","EQY_CONSOLIDATED=Y","Sort=A","Dates=H","DateFormat=P","Fill=—","Direction=H","UseDPDF=Y")</f>
        <v>#NAME?</v>
      </c>
      <c r="AS129" s="1" t="e">
        <f ca="1">_xll.BDH($C$128,"ACCOUNTS_RECEIVABLE_5_YR_GROWTH","FQ1 2014","FQ1 2014","Currency=INR","Period=FQ","BEST_FPERIOD_OVERRIDE=FQ","FILING_STATUS=OR","EQY_CONSOLIDATED=Y","Sort=A","Dates=H","DateFormat=P","Fill=—","Direction=H","UseDPDF=Y")</f>
        <v>#NAME?</v>
      </c>
      <c r="AT129" s="1" t="e">
        <f ca="1">_xll.BDH($C$128,"INVENTORY_5_YEAR_GROWTH","FQ1 2014","FQ1 2014","Currency=INR","Period=FQ","BEST_FPERIOD_OVERRIDE=FQ","FILING_STATUS=OR","EQY_CONSOLIDATED=Y","Sort=A","Dates=H","DateFormat=P","Fill=—","Direction=H","UseDPDF=Y")</f>
        <v>#NAME?</v>
      </c>
      <c r="AU129" s="1" t="e">
        <f ca="1">_xll.BDH($C$128,"NET_FIXED_ASSETS_5_YEAR_GROWTH","FQ1 2014","FQ1 2014","Currency=INR","Period=FQ","BEST_FPERIOD_OVERRIDE=FQ","FILING_STATUS=OR","EQY_CONSOLIDATED=Y","Sort=A","Dates=H","DateFormat=P","Fill=—","Direction=H","UseDPDF=Y")</f>
        <v>#NAME?</v>
      </c>
      <c r="AV129" s="1" t="e">
        <f ca="1">_xll.BDH($C$128,"GEO_GROW_TOT_ASSET","FQ1 2014","FQ1 2014","Currency=INR","Period=FQ","BEST_FPERIOD_OVERRIDE=FQ","FILING_STATUS=OR","EQY_CONSOLIDATED=Y","Sort=A","Dates=H","DateFormat=P","Fill=—","Direction=H","UseDPDF=Y")</f>
        <v>#NAME?</v>
      </c>
      <c r="AW129" s="1" t="e">
        <f ca="1">_xll.BDH($C$128,"MODIFIED_WORKING_CPTL_5YR_GRWTH","FQ1 2014","FQ1 2014","Currency=INR","Period=FQ","BEST_FPERIOD_OVERRIDE=FQ","FILING_STATUS=OR","EQY_CONSOLIDATED=Y","Sort=A","Dates=H","DateFormat=P","Fill=—","Direction=H","UseDPDF=Y")</f>
        <v>#NAME?</v>
      </c>
      <c r="AX129" s="1" t="e">
        <f ca="1">_xll.BDH($C$128,"WORKING_CAPITAL_5_YEAR_GROWTH","FQ1 2014","FQ1 2014","Currency=INR","Period=FQ","BEST_FPERIOD_OVERRIDE=FQ","FILING_STATUS=OR","EQY_CONSOLIDATED=Y","Sort=A","Dates=H","DateFormat=P","Fill=—","Direction=H","UseDPDF=Y")</f>
        <v>#NAME?</v>
      </c>
      <c r="AY129" s="1" t="e">
        <f ca="1">_xll.BDH($C$128,"ACCOUNTS_PAYABLE_5_YEAR_GROWTH","FQ1 2014","FQ1 2014","Currency=INR","Period=FQ","BEST_FPERIOD_OVERRIDE=FQ","FILING_STATUS=OR","EQY_CONSOLIDATED=Y","Sort=A","Dates=H","DateFormat=P","Fill=—","Direction=H","UseDPDF=Y")</f>
        <v>#NAME?</v>
      </c>
      <c r="AZ129" s="1" t="e">
        <f ca="1">_xll.BDH($C$128,"SHORT_TERM_DEBT_5_YEAR_GROWTH","FQ1 2014","FQ1 2014","Currency=INR","Period=FQ","BEST_FPERIOD_OVERRIDE=FQ","FILING_STATUS=OR","EQY_CONSOLIDATED=Y","Sort=A","Dates=H","DateFormat=P","Fill=—","Direction=H","UseDPDF=Y")</f>
        <v>#NAME?</v>
      </c>
      <c r="BA129" s="1" t="e">
        <f ca="1">_xll.BDH($C$128,"TOTAL_DEBT_5_YEAR_GROWTH","FQ1 2014","FQ1 2014","Currency=INR","Period=FQ","BEST_FPERIOD_OVERRIDE=FQ","FILING_STATUS=OR","EQY_CONSOLIDATED=Y","Sort=A","Dates=H","DateFormat=P","Fill=—","Direction=H","UseDPDF=Y")</f>
        <v>#NAME?</v>
      </c>
      <c r="BB129" s="1" t="e">
        <f ca="1">_xll.BDH($C$128,"GEO_GROW_TOT_SHRHLDR_EQY","FQ1 2014","FQ1 2014","Currency=INR","Period=FQ","BEST_FPERIOD_OVERRIDE=FQ","FILING_STATUS=OR","EQY_CONSOLIDATED=Y","Sort=A","Dates=H","DateFormat=P","Fill=—","Direction=H","UseDPDF=Y")</f>
        <v>#NAME?</v>
      </c>
      <c r="BC129" s="1" t="e">
        <f ca="1">_xll.BDH($C$128,"TOTAL_CAPITAL_5_YEAR_GROWTH","FQ1 2014","FQ1 2014","Currency=INR","Period=FQ","BEST_FPERIOD_OVERRIDE=FQ","FILING_STATUS=OR","EQY_CONSOLIDATED=Y","Sort=A","Dates=H","DateFormat=P","Fill=—","Direction=H","UseDPDF=Y")</f>
        <v>#NAME?</v>
      </c>
      <c r="BD129" s="1" t="e">
        <f ca="1">_xll.BDH($C$128,"GEO_GROW_BOOK_VAL","FQ1 2014","FQ1 2014","Currency=INR","Period=FQ","BEST_FPERIOD_OVERRIDE=FQ","FILING_STATUS=OR","EQY_CONSOLIDATED=Y","Sort=A","Dates=H","DateFormat=P","Fill=—","Direction=H","UseDPDF=Y")</f>
        <v>#NAME?</v>
      </c>
      <c r="BE129" s="1" t="e">
        <f ca="1">_xll.BDH($C$128,"GEO_GROW_CASH_OPER_ACT","FQ1 2014","FQ1 2014","Currency=INR","Period=FQ","BEST_FPERIOD_OVERRIDE=FQ","FILING_STATUS=OR","EQY_CONSOLIDATED=Y","Sort=A","Dates=H","DateFormat=P","Fill=—","Direction=H","UseDPDF=Y")</f>
        <v>#NAME?</v>
      </c>
      <c r="BF129" s="1" t="e">
        <f ca="1">_xll.BDH($C$128,"REVENUE_SEQUENTIAL_GROWTH","FQ1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29" s="1" t="e">
        <f ca="1">_xll.BDH($C$128,"EBITDA_SEQUENTIAL_GROWTH","FQ1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29" s="1" t="e">
        <f ca="1">_xll.BDH($C$128,"OPERATING_INCOME_SEQ_GROWTH","FQ1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29" s="1" t="e">
        <f ca="1">_xll.BDH($C$128,"NET_INCOME_TO_COMMON_SEQ_GROWTH","FQ1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29" s="1" t="e">
        <f ca="1">_xll.BDH($C$128,"EPS_DILUTED_SEQUENTIAL_GROWTH","FQ1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29" s="1" t="e">
        <f ca="1">_xll.BDH($C$128,"DPS_SEQUENTIAL_GROWTH","FQ1 2014","FQ1 2014","Currency=INR","Period=FQ","BEST_FPERIOD_OVERRIDE=FQ","FILING_STATUS=OR","EQY_CONSOLIDATED=Y","Sort=A","Dates=H","DateFormat=P","Fill=—","Direction=H","UseDPDF=Y")</f>
        <v>#NAME?</v>
      </c>
      <c r="BL129" s="1" t="e">
        <f ca="1">_xll.BDH($C$128,"ACCOUNTS_RECEIVABLE_SEQ_GROWTH","FQ1 2014","FQ1 2014","Currency=INR","Period=FQ","BEST_FPERIOD_OVERRIDE=FQ","FILING_STATUS=OR","EQY_CONSOLIDATED=Y","Sort=A","Dates=H","DateFormat=P","Fill=—","Direction=H","UseDPDF=Y")</f>
        <v>#NAME?</v>
      </c>
      <c r="BM129" s="1" t="e">
        <f ca="1">_xll.BDH($C$128,"INVENTORY_SEQUENTIAL_GROWTH","FQ1 2014","FQ1 2014","Currency=INR","Period=FQ","BEST_FPERIOD_OVERRIDE=FQ","FILING_STATUS=OR","EQY_CONSOLIDATED=Y","Sort=A","Dates=H","DateFormat=P","Fill=—","Direction=H","UseDPDF=Y")</f>
        <v>#NAME?</v>
      </c>
      <c r="BN129" s="1" t="e">
        <f ca="1">_xll.BDH($C$128,"FIXED_ASSETS_SEQUENTIAL_GROWTH","FQ1 2014","FQ1 2014","Currency=INR","Period=FQ","BEST_FPERIOD_OVERRIDE=FQ","FILING_STATUS=OR","EQY_CONSOLIDATED=Y","Sort=A","Dates=H","DateFormat=P","Fill=—","Direction=H","UseDPDF=Y")</f>
        <v>#NAME?</v>
      </c>
      <c r="BO129" s="1" t="e">
        <f ca="1">_xll.BDH($C$128,"TOTAL_ASSETS_SEQUENTIAL_GROWTH","FQ1 2014","FQ1 2014","Currency=INR","Period=FQ","BEST_FPERIOD_OVERRIDE=FQ","FILING_STATUS=OR","EQY_CONSOLIDATED=Y","Sort=A","Dates=H","DateFormat=P","Fill=—","Direction=H","UseDPDF=Y")</f>
        <v>#NAME?</v>
      </c>
      <c r="BP129" s="1" t="e">
        <f ca="1">_xll.BDH($C$128,"MODIFIED_WORKING_CPTL_SEQ_GRWTH","FQ1 2014","FQ1 2014","Currency=INR","Period=FQ","BEST_FPERIOD_OVERRIDE=FQ","FILING_STATUS=OR","EQY_CONSOLIDATED=Y","Sort=A","Dates=H","DateFormat=P","Fill=—","Direction=H","UseDPDF=Y")</f>
        <v>#NAME?</v>
      </c>
      <c r="BQ129" s="1" t="e">
        <f ca="1">_xll.BDH($C$128,"WORKING_CAPITAL_SEQ_GROWTH","FQ1 2014","FQ1 2014","Currency=INR","Period=FQ","BEST_FPERIOD_OVERRIDE=FQ","FILING_STATUS=OR","EQY_CONSOLIDATED=Y","Sort=A","Dates=H","DateFormat=P","Fill=—","Direction=H","UseDPDF=Y")</f>
        <v>#NAME?</v>
      </c>
      <c r="BR129" s="1" t="e">
        <f ca="1">_xll.BDH($C$128,"ACCOUNTS_PAYABLE_SEQ_GROWTH","FQ1 2014","FQ1 2014","Currency=INR","Period=FQ","BEST_FPERIOD_OVERRIDE=FQ","FILING_STATUS=OR","EQY_CONSOLIDATED=Y","Sort=A","Dates=H","DateFormat=P","Fill=—","Direction=H","UseDPDF=Y")</f>
        <v>#NAME?</v>
      </c>
      <c r="BS129" s="1" t="e">
        <f ca="1">_xll.BDH($C$128,"ST_DEBT_SEQUENTIAL_GROWTH","FQ1 2014","FQ1 2014","Currency=INR","Period=FQ","BEST_FPERIOD_OVERRIDE=FQ","FILING_STATUS=OR","EQY_CONSOLIDATED=Y","Sort=A","Dates=H","DateFormat=P","Fill=—","Direction=H","UseDPDF=Y")</f>
        <v>#NAME?</v>
      </c>
      <c r="BT129" s="1" t="e">
        <f ca="1">_xll.BDH($C$128,"TOTAL_DEBT_SEQUENTIAL_GROWTH","FQ1 2014","FQ1 2014","Currency=INR","Period=FQ","BEST_FPERIOD_OVERRIDE=FQ","FILING_STATUS=OR","EQY_CONSOLIDATED=Y","Sort=A","Dates=H","DateFormat=P","Fill=—","Direction=H","UseDPDF=Y")</f>
        <v>#NAME?</v>
      </c>
      <c r="BU129" s="1" t="e">
        <f ca="1">_xll.BDH($C$128,"TOTAL_EQUITY_SEQUENTIAL_GROWTH","FQ1 2014","FQ1 2014","Currency=INR","Period=FQ","BEST_FPERIOD_OVERRIDE=FQ","FILING_STATUS=OR","EQY_CONSOLIDATED=Y","Sort=A","Dates=H","DateFormat=P","Fill=—","Direction=H","UseDPDF=Y")</f>
        <v>#NAME?</v>
      </c>
      <c r="BV129" s="1" t="e">
        <f ca="1">_xll.BDH($C$128,"TOTAL_CAPITAL_SEQUENTIAL_GROWTH","FQ1 2014","FQ1 2014","Currency=INR","Period=FQ","BEST_FPERIOD_OVERRIDE=FQ","FILING_STATUS=OR","EQY_CONSOLIDATED=Y","Sort=A","Dates=H","DateFormat=P","Fill=—","Direction=H","UseDPDF=Y")</f>
        <v>#NAME?</v>
      </c>
      <c r="BW129" s="1" t="e">
        <f ca="1">_xll.BDH($C$128,"BPS_SEQUENTIAL_GROWTH","FQ1 2014","FQ1 2014","Currency=INR","Period=FQ","BEST_FPERIOD_OVERRIDE=FQ","FILING_STATUS=OR","EQY_CONSOLIDATED=Y","Sort=A","Dates=H","DateFormat=P","Fill=—","Direction=H","UseDPDF=Y")</f>
        <v>#NAME?</v>
      </c>
      <c r="BX129" s="1" t="e">
        <f ca="1">_xll.BDH($C$128,"CFO_SEQUENTIAL_GROWTH","FQ1 2014","FQ1 2014","Currency=INR","Period=FQ","BEST_FPERIOD_OVERRIDE=FQ","FILING_STATUS=OR","EQY_CONSOLIDATED=Y","Sort=A","Dates=H","DateFormat=P","Fill=—","Direction=H","UseDPDF=Y")</f>
        <v>#NAME?</v>
      </c>
      <c r="BY129" s="2" t="e">
        <f ca="1">_xll.BDH($C$128,"SHORT_AND_LONG_TERM_DEBT","FQ1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29" s="2" t="e">
        <f ca="1">_xll.BDH($C$128,"BS_ST_BORROW","FQ1 2014","FQ1 2014","Currency=INR","Period=FQ","BEST_FPERIOD_OVERRIDE=FQ","FILING_STATUS=OR","EQY_CONSOLIDATED=Y","SCALING_FORMAT=MLN","Sort=A","Dates=H","DateFormat=P","Fill=—","Direction=H","UseDPDF=Y")</f>
        <v>#NAME?</v>
      </c>
      <c r="CA129" s="2" t="e">
        <f ca="1">_xll.BDH($C$128,"BS_LT_BORROW","FQ1 2014","FQ1 2014","Currency=INR","Period=FQ","BEST_FPERIOD_OVERRIDE=FQ","FILING_STATUS=OR","EQY_CONSOLIDATED=Y","SCALING_FORMAT=MLN","Sort=A","Dates=H","DateFormat=P","Fill=—","Direction=H","UseDPDF=Y")</f>
        <v>#NAME?</v>
      </c>
      <c r="CB129" s="1" t="e">
        <f ca="1">_xll.BDH($C$128,"TOT_DEBT_TO_EBITDA","FQ1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29" s="1" t="e">
        <f ca="1">_xll.BDH($C$128,"NET_DEBT_TO_EBITDA","FQ1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29" s="1" t="e">
        <f ca="1">_xll.BDH($C$128,"TOTAL_DEBT_TO_EBIT","FQ1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29" s="1" t="e">
        <f ca="1">_xll.BDH($C$128,"NET_DEBT_TO_EBIT","FQ1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129" s="1" t="e">
        <f ca="1">_xll.BDH($C$128,"EBITDA_TO_INTEREST_EXPN","FQ1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29" s="1" t="e">
        <f ca="1">_xll.BDH($C$128,"COM_EQY_TO_TOT_ASSET","FQ1 2014","FQ1 2014","Currency=INR","Period=FQ","BEST_FPERIOD_OVERRIDE=FQ","FILING_STATUS=OR","EQY_CONSOLIDATED=Y","Sort=A","Dates=H","DateFormat=P","Fill=—","Direction=H","UseDPDF=Y")</f>
        <v>#NAME?</v>
      </c>
      <c r="CH129" s="1" t="e">
        <f ca="1">_xll.BDH($C$128,"LT_DEBT_TO_TOT_EQY","FQ1 2014","FQ1 2014","Currency=INR","Period=FQ","BEST_FPERIOD_OVERRIDE=FQ","FILING_STATUS=OR","EQY_CONSOLIDATED=Y","Sort=A","Dates=H","DateFormat=P","Fill=—","Direction=H","UseDPDF=Y")</f>
        <v>#NAME?</v>
      </c>
      <c r="CI129" s="1" t="e">
        <f ca="1">_xll.BDH($C$128,"LT_DEBT_TO_TOT_CAP","FQ1 2014","FQ1 2014","Currency=INR","Period=FQ","BEST_FPERIOD_OVERRIDE=FQ","FILING_STATUS=OR","EQY_CONSOLIDATED=Y","Sort=A","Dates=H","DateFormat=P","Fill=—","Direction=H","UseDPDF=Y")</f>
        <v>#NAME?</v>
      </c>
      <c r="CJ129" s="1" t="e">
        <f ca="1">_xll.BDH($C$128,"LT_DEBT_TO_TOT_ASSET","FQ1 2014","FQ1 2014","Currency=INR","Period=FQ","BEST_FPERIOD_OVERRIDE=FQ","FILING_STATUS=OR","EQY_CONSOLIDATED=Y","Sort=A","Dates=H","DateFormat=P","Fill=—","Direction=H","UseDPDF=Y")</f>
        <v>#NAME?</v>
      </c>
      <c r="CK129" s="1" t="e">
        <f ca="1">_xll.BDH($C$128,"TOT_DEBT_TO_TOT_EQY","FQ1 2014","FQ1 2014","Currency=INR","Period=FQ","BEST_FPERIOD_OVERRIDE=FQ","FILING_STATUS=OR","EQY_CONSOLIDATED=Y","Sort=A","Dates=H","DateFormat=P","Fill=—","Direction=H","UseDPDF=Y")</f>
        <v>#NAME?</v>
      </c>
      <c r="CL129" s="1" t="e">
        <f ca="1">_xll.BDH($C$128,"TOT_DEBT_TO_TOT_CAP","FQ1 2014","FQ1 2014","Currency=INR","Period=FQ","BEST_FPERIOD_OVERRIDE=FQ","FILING_STATUS=OR","EQY_CONSOLIDATED=Y","Sort=A","Dates=H","DateFormat=P","Fill=—","Direction=H","UseDPDF=Y")</f>
        <v>#NAME?</v>
      </c>
      <c r="CM129" s="1" t="e">
        <f ca="1">_xll.BDH($C$128,"TOT_DEBT_TO_TOT_ASSET","FQ1 2014","FQ1 2014","Currency=INR","Period=FQ","BEST_FPERIOD_OVERRIDE=FQ","FILING_STATUS=OR","EQY_CONSOLIDATED=Y","Sort=A","Dates=H","DateFormat=P","Fill=—","Direction=H","UseDPDF=Y")</f>
        <v>#NAME?</v>
      </c>
      <c r="CN129" s="1" t="e">
        <f ca="1">_xll.BDH($C$128,"NET_DEBT_TO_SHRHLDR_EQTY","FQ1 2014","FQ1 2014","Currency=INR","Period=FQ","BEST_FPERIOD_OVERRIDE=FQ","FILING_STATUS=OR","EQY_CONSOLIDATED=Y","Sort=A","Dates=H","DateFormat=P","Fill=—","Direction=H","UseDPDF=Y")</f>
        <v>#NAME?</v>
      </c>
      <c r="CO129" s="1" t="e">
        <f ca="1">_xll.BDH($C$128,"NET_DEBT_%_CAPITAL","FQ1 2014","FQ1 2014","Currency=INR","Period=FQ","BEST_FPERIOD_OVERRIDE=FQ","FILING_STATUS=OR","EQY_CONSOLIDATED=Y","Sort=A","Dates=H","DateFormat=P","Fill=—","Direction=H","UseDPDF=Y")</f>
        <v>#NAME?</v>
      </c>
      <c r="CP129" s="2" t="e">
        <f ca="1">_xll.BDH($C$128,"EBITDA","FQ1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29" s="2" t="e">
        <f ca="1">_xll.BDH($C$128,"EBITDA_AFTER_CAPEX","FQ1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29" s="2" t="e">
        <f ca="1">_xll.BDH($C$128,"IS_OPER_INC","FQ1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29" s="1" t="e">
        <f ca="1">_xll.BDH($C$128,"CASH_RATIO","FQ1 2014","FQ1 2014","Currency=INR","Period=FQ","BEST_FPERIOD_OVERRIDE=FQ","FILING_STATUS=OR","EQY_CONSOLIDATED=Y","Sort=A","Dates=H","DateFormat=P","Fill=—","Direction=H","UseDPDF=Y")</f>
        <v>#NAME?</v>
      </c>
      <c r="CT129" s="1" t="e">
        <f ca="1">_xll.BDH($C$128,"CUR_RATIO","FQ1 2014","FQ1 2014","Currency=INR","Period=FQ","BEST_FPERIOD_OVERRIDE=FQ","FILING_STATUS=OR","EQY_CONSOLIDATED=Y","Sort=A","Dates=H","DateFormat=P","Fill=—","Direction=H","UseDPDF=Y")</f>
        <v>#NAME?</v>
      </c>
      <c r="CU129" s="1" t="e">
        <f ca="1">_xll.BDH($C$128,"QUICK_RATIO","FQ1 2014","FQ1 2014","Currency=INR","Period=FQ","BEST_FPERIOD_OVERRIDE=FQ","FILING_STATUS=OR","EQY_CONSOLIDATED=Y","Sort=A","Dates=H","DateFormat=P","Fill=—","Direction=H","UseDPDF=Y")</f>
        <v>#NAME?</v>
      </c>
      <c r="CV129" s="1" t="e">
        <f ca="1">_xll.BDH($C$128,"ALTMAN_Z_SCORE","FQ1 2014","FQ1 2014","Currency=INR","Period=FQ","BEST_FPERIOD_OVERRIDE=FQ","FILING_STATUS=OR","EQY_CONSOLIDATED=Y","Sort=A","Dates=H","DateFormat=P","Fill=—","Direction=H","UseDPDF=Y")</f>
        <v>#NAME?</v>
      </c>
      <c r="CW129" s="3" t="e">
        <f ca="1">_xll.BDH($C$128,"ACCT_RCV_TURN","FQ1 2014","FQ1 2014","Currency=INR","Period=FQ","BEST_FPERIOD_OVERRIDE=FQ","FILING_STATUS=OR","EQY_CONSOLIDATED=Y","FA_ADJUSTED=GAAP","Sort=A","Dates=H","DateFormat=P","Fill=—","Direction=H","UseDPDF=Y")</f>
        <v>#NAME?</v>
      </c>
      <c r="CX129" s="1" t="e">
        <f ca="1">_xll.BDH($C$128,"ACCT_RCV_DAYS","FQ1 2014","FQ1 2014","Currency=INR","Period=FQ","BEST_FPERIOD_OVERRIDE=FQ","FILING_STATUS=OR","EQY_CONSOLIDATED=Y","FA_ADJUSTED=GAAP","Sort=A","Dates=H","DateFormat=P","Fill=—","Direction=H","UseDPDF=Y")</f>
        <v>#NAME?</v>
      </c>
      <c r="CY129" s="3" t="e">
        <f ca="1">_xll.BDH($C$128,"INVENT_TURN","FQ1 2014","FQ1 2014","Currency=INR","Period=FQ","BEST_FPERIOD_OVERRIDE=FQ","FILING_STATUS=OR","EQY_CONSOLIDATED=Y","FA_ADJUSTED=GAAP","Sort=A","Dates=H","DateFormat=P","Fill=—","Direction=H","UseDPDF=Y")</f>
        <v>#NAME?</v>
      </c>
      <c r="CZ129" s="1" t="e">
        <f ca="1">_xll.BDH($C$128,"INVENT_DAYS","FQ1 2014","FQ1 2014","Currency=INR","Period=FQ","BEST_FPERIOD_OVERRIDE=FQ","FILING_STATUS=OR","EQY_CONSOLIDATED=Y","FA_ADJUSTED=GAAP","Sort=A","Dates=H","DateFormat=P","Fill=—","Direction=H","UseDPDF=Y")</f>
        <v>#NAME?</v>
      </c>
      <c r="DA129" s="3" t="e">
        <f ca="1">_xll.BDH($C$128,"ACCOUNTS_PAYABLE_TURNOVER","FQ1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29" s="1" t="e">
        <f ca="1">_xll.BDH($C$128,"ACCOUNTS_PAYABLE_TURNOVER_DAYS","FQ1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29" s="3" t="e">
        <f ca="1">_xll.BDH($C$128,"CASH_CONVERSION_CYCLE","FQ1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29" s="3" t="e">
        <f ca="1">_xll.BDH($C$128,"INV_TO_CASH_DAYS","FQ1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129" s="4" t="e">
        <f ca="1">_xll.BDH($C$128,"BS_INVENTORIES","FQ1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129" s="2" t="e">
        <f ca="1">_xll.BDH($C$128,"INVTRY_RAW_MATERIALS","FQ1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29" s="2" t="e">
        <f ca="1">_xll.BDH($C$128,"INVTRY_IN_PROGRESS","FQ1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29" s="2" t="e">
        <f ca="1">_xll.BDH($C$128,"INVTRY_FINISHED_GOODS","FQ1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29" s="2" t="e">
        <f ca="1">_xll.BDH($C$128,"BS_OTHER_INV","FQ1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30" spans="1:113" x14ac:dyDescent="0.3">
      <c r="A130" s="6"/>
      <c r="B130" s="6"/>
      <c r="C130" s="6"/>
      <c r="D130" s="6"/>
      <c r="E130" t="s">
        <v>5</v>
      </c>
      <c r="F130" t="e">
        <f ca="1">_xll.BDH($C$128,"RETURN_COM_EQY","FQ2 2014","FQ2 2014","Currency=INR","Period=FQ","BEST_FPERIOD_OVERRIDE=FQ","FILING_STATUS=OR","EQY_CONSOLIDATED=Y","FA_ADJUSTED=GAAP","Sort=A","Dates=H","DateFormat=P","Fill=—","Direction=H","UseDPDF=Y")</f>
        <v>#NAME?</v>
      </c>
      <c r="G130" t="e">
        <f ca="1">_xll.BDH($C$128,"RETURN_ON_ASSET","FQ2 2014","FQ2 2014","Currency=INR","Period=FQ","BEST_FPERIOD_OVERRIDE=FQ","FILING_STATUS=OR","EQY_CONSOLIDATED=Y","FA_ADJUSTED=GAAP","Sort=A","Dates=H","DateFormat=P","Fill=—","Direction=H","UseDPDF=Y")</f>
        <v>#NAME?</v>
      </c>
      <c r="H130" t="e">
        <f ca="1">_xll.BDH($C$128,"RETURN_ON_CAP","FQ2 2014","FQ2 2014","Currency=INR","Period=FQ","BEST_FPERIOD_OVERRIDE=FQ","FILING_STATUS=OR","EQY_CONSOLIDATED=Y","FA_ADJUSTED=GAAP","Sort=A","Dates=H","DateFormat=P","Fill=—","Direction=H","UseDPDF=Y")</f>
        <v>#NAME?</v>
      </c>
      <c r="I130" t="e">
        <f ca="1">_xll.BDH($C$128,"RETURN_ON_INV_CAPITAL","FQ2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30" t="e">
        <f ca="1">_xll.BDH($C$128,"EBITDA_TO_REVENUE","FQ2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130" t="e">
        <f ca="1">_xll.BDH($C$128,"OPER_MARGIN","FQ2 2014","FQ2 2014","Currency=INR","Period=FQ","BEST_FPERIOD_OVERRIDE=FQ","FILING_STATUS=OR","EQY_CONSOLIDATED=Y","FA_ADJUSTED=GAAP","Sort=A","Dates=H","DateFormat=P","Fill=—","Direction=H","UseDPDF=Y")</f>
        <v>#NAME?</v>
      </c>
      <c r="L130" t="e">
        <f ca="1">_xll.BDH($C$128,"INCREMENTAL_OPERATING_MARGIN","FQ2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30" t="e">
        <f ca="1">_xll.BDH($C$128,"PRETAX_INC_TO_NET_SALES","FQ2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30" t="e">
        <f ca="1">_xll.BDH($C$128,"INC_BEF_XO_ITEMS_TO_NET_SALES","FQ2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30" t="e">
        <f ca="1">_xll.BDH($C$128,"PROF_MARGIN","FQ2 2014","FQ2 2014","Currency=INR","Period=FQ","BEST_FPERIOD_OVERRIDE=FQ","FILING_STATUS=OR","EQY_CONSOLIDATED=Y","FA_ADJUSTED=GAAP","Sort=A","Dates=H","DateFormat=P","Fill=—","Direction=H","UseDPDF=Y")</f>
        <v>#NAME?</v>
      </c>
      <c r="P130" t="e">
        <f ca="1">_xll.BDH($C$128,"NET_INCOME_TO_COMMON_MARGIN","FQ2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30" t="e">
        <f ca="1">_xll.BDH($C$128,"EFF_TAX_RATE","FQ2 2014","FQ2 2014","Currency=INR","Period=FQ","BEST_FPERIOD_OVERRIDE=FQ","FILING_STATUS=OR","EQY_CONSOLIDATED=Y","FA_ADJUSTED=GAAP","Sort=A","Dates=H","DateFormat=P","Fill=—","Direction=H","UseDPDF=Y")</f>
        <v>#NAME?</v>
      </c>
      <c r="R130" t="e">
        <f ca="1">_xll.BDH($C$128,"DVD_PAYOUT_RATIO","FQ2 2014","FQ2 2014","Currency=INR","Period=FQ","BEST_FPERIOD_OVERRIDE=FQ","FILING_STATUS=OR","EQY_CONSOLIDATED=Y","FA_ADJUSTED=GAAP","Sort=A","Dates=H","DateFormat=P","Fill=—","Direction=H","UseDPDF=Y")</f>
        <v>#NAME?</v>
      </c>
      <c r="S130" t="e">
        <f ca="1">_xll.BDH($C$128,"SUSTAIN_GROWTH_RT","FQ2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130" s="1" t="e">
        <f ca="1">_xll.BDH($C$128,"SALES_GROWTH","FQ2 2014","FQ2 2014","Currency=INR","Period=FQ","BEST_FPERIOD_OVERRIDE=FQ","FILING_STATUS=OR","EQY_CONSOLIDATED=Y","FA_ADJUSTED=GAAP","Sort=A","Dates=H","DateFormat=P","Fill=—","Direction=H","UseDPDF=Y")</f>
        <v>#NAME?</v>
      </c>
      <c r="U130" s="1" t="e">
        <f ca="1">_xll.BDH($C$128,"EBITDA_GROWTH","FQ2 2014","FQ2 2014","Currency=INR","Period=FQ","BEST_FPERIOD_OVERRIDE=FQ","FILING_STATUS=OR","EQY_CONSOLIDATED=Y","FA_ADJUSTED=GAAP","Sort=A","Dates=H","DateFormat=P","Fill=—","Direction=H","UseDPDF=Y")</f>
        <v>#NAME?</v>
      </c>
      <c r="V130" s="1" t="e">
        <f ca="1">_xll.BDH($C$128,"OPER_INC_GROWTH","FQ2 2014","FQ2 2014","Currency=INR","Period=FQ","BEST_FPERIOD_OVERRIDE=FQ","FILING_STATUS=OR","EQY_CONSOLIDATED=Y","FA_ADJUSTED=GAAP","Sort=A","Dates=H","DateFormat=P","Fill=—","Direction=H","UseDPDF=Y")</f>
        <v>#NAME?</v>
      </c>
      <c r="W130" s="1" t="e">
        <f ca="1">_xll.BDH($C$128,"EARN_FOR_COM_GROWTH","FQ2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30" s="1" t="e">
        <f ca="1">_xll.BDH($C$128,"DILUTED_EPS_AFT_XO_ITEMS_GROWTH","FQ2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30" s="1" t="e">
        <f ca="1">_xll.BDH($C$128,"DIVIDEND_PER_SHARE_1_YEAR_GROWTH","FQ2 2014","FQ2 2014","Currency=INR","Period=FQ","BEST_FPERIOD_OVERRIDE=FQ","FILING_STATUS=OR","EQY_CONSOLIDATED=Y","Sort=A","Dates=H","DateFormat=P","Fill=—","Direction=H","UseDPDF=Y")</f>
        <v>#NAME?</v>
      </c>
      <c r="Z130" s="1" t="e">
        <f ca="1">_xll.BDH($C$128,"ACCOUNTS_RECEIVABLE_GROWTH","FQ2 2014","FQ2 2014","Currency=INR","Period=FQ","BEST_FPERIOD_OVERRIDE=FQ","FILING_STATUS=OR","EQY_CONSOLIDATED=Y","Sort=A","Dates=H","DateFormat=P","Fill=—","Direction=H","UseDPDF=Y")</f>
        <v>#NAME?</v>
      </c>
      <c r="AA130" s="1" t="e">
        <f ca="1">_xll.BDH($C$128,"INVENTORY_GROWTH","FQ2 2014","FQ2 2014","Currency=INR","Period=FQ","BEST_FPERIOD_OVERRIDE=FQ","FILING_STATUS=OR","EQY_CONSOLIDATED=Y","Sort=A","Dates=H","DateFormat=P","Fill=—","Direction=H","UseDPDF=Y")</f>
        <v>#NAME?</v>
      </c>
      <c r="AB130" s="1" t="e">
        <f ca="1">_xll.BDH($C$128,"NET_FIXED_ASSETS_1_YEAR_GROWTH","FQ2 2014","FQ2 2014","Currency=INR","Period=FQ","BEST_FPERIOD_OVERRIDE=FQ","FILING_STATUS=OR","EQY_CONSOLIDATED=Y","Sort=A","Dates=H","DateFormat=P","Fill=—","Direction=H","UseDPDF=Y")</f>
        <v>#NAME?</v>
      </c>
      <c r="AC130" s="1" t="e">
        <f ca="1">_xll.BDH($C$128,"ASSET_GROWTH","FQ2 2014","FQ2 2014","Currency=INR","Period=FQ","BEST_FPERIOD_OVERRIDE=FQ","FILING_STATUS=OR","EQY_CONSOLIDATED=Y","Sort=A","Dates=H","DateFormat=P","Fill=—","Direction=H","UseDPDF=Y")</f>
        <v>#NAME?</v>
      </c>
      <c r="AD130" s="1" t="e">
        <f ca="1">_xll.BDH($C$128,"MODIFIED_WORK_CAP_GROWTH","FQ2 2014","FQ2 2014","Currency=INR","Period=FQ","BEST_FPERIOD_OVERRIDE=FQ","FILING_STATUS=OR","EQY_CONSOLIDATED=Y","Sort=A","Dates=H","DateFormat=P","Fill=—","Direction=H","UseDPDF=Y")</f>
        <v>#NAME?</v>
      </c>
      <c r="AE130" s="1" t="e">
        <f ca="1">_xll.BDH($C$128,"WORK_CAP_GROWTH","FQ2 2014","FQ2 2014","Currency=INR","Period=FQ","BEST_FPERIOD_OVERRIDE=FQ","FILING_STATUS=OR","EQY_CONSOLIDATED=Y","Sort=A","Dates=H","DateFormat=P","Fill=—","Direction=H","UseDPDF=Y")</f>
        <v>#NAME?</v>
      </c>
      <c r="AF130" s="1" t="e">
        <f ca="1">_xll.BDH($C$128,"ACCOUNTS_PAYABLE_GROWTH_1YR","FQ2 2014","FQ2 2014","Currency=INR","Period=FQ","BEST_FPERIOD_OVERRIDE=FQ","FILING_STATUS=OR","EQY_CONSOLIDATED=Y","Sort=A","Dates=H","DateFormat=P","Fill=—","Direction=H","UseDPDF=Y")</f>
        <v>#NAME?</v>
      </c>
      <c r="AG130" s="1" t="e">
        <f ca="1">_xll.BDH($C$128,"SHORT_TERM_DEBT_1_YEAR_GROWTH","FQ2 2014","FQ2 2014","Currency=INR","Period=FQ","BEST_FPERIOD_OVERRIDE=FQ","FILING_STATUS=OR","EQY_CONSOLIDATED=Y","Sort=A","Dates=H","DateFormat=P","Fill=—","Direction=H","UseDPDF=Y")</f>
        <v>#NAME?</v>
      </c>
      <c r="AH130" s="1" t="e">
        <f ca="1">_xll.BDH($C$128,"TOTAL_DEBT_1_YEAR_GROWTH","FQ2 2014","FQ2 2014","Currency=INR","Period=FQ","BEST_FPERIOD_OVERRIDE=FQ","FILING_STATUS=OR","EQY_CONSOLIDATED=Y","Sort=A","Dates=H","DateFormat=P","Fill=—","Direction=H","UseDPDF=Y")</f>
        <v>#NAME?</v>
      </c>
      <c r="AI130" s="1" t="e">
        <f ca="1">_xll.BDH($C$128,"TOTAL_EQUITY_1_YEAR_GROWTH","FQ2 2014","FQ2 2014","Currency=INR","Period=FQ","BEST_FPERIOD_OVERRIDE=FQ","FILING_STATUS=OR","EQY_CONSOLIDATED=Y","Sort=A","Dates=H","DateFormat=P","Fill=—","Direction=H","UseDPDF=Y")</f>
        <v>#NAME?</v>
      </c>
      <c r="AJ130" s="1" t="e">
        <f ca="1">_xll.BDH($C$128,"GROWTH_IN_CAP","FQ2 2014","FQ2 2014","Currency=INR","Period=FQ","BEST_FPERIOD_OVERRIDE=FQ","FILING_STATUS=OR","EQY_CONSOLIDATED=Y","Sort=A","Dates=H","DateFormat=P","Fill=—","Direction=H","UseDPDF=Y")</f>
        <v>#NAME?</v>
      </c>
      <c r="AK130" s="1" t="e">
        <f ca="1">_xll.BDH($C$128,"BVPS_GROWTH","FQ2 2014","FQ2 2014","Currency=INR","Period=FQ","BEST_FPERIOD_OVERRIDE=FQ","FILING_STATUS=OR","EQY_CONSOLIDATED=Y","Sort=A","Dates=H","DateFormat=P","Fill=—","Direction=H","UseDPDF=Y")</f>
        <v>#NAME?</v>
      </c>
      <c r="AL130" s="1" t="e">
        <f ca="1">_xll.BDH($C$128,"CASH_FLOW_GROWTH","FQ2 2014","FQ2 2014","Currency=INR","Period=FQ","BEST_FPERIOD_OVERRIDE=FQ","FILING_STATUS=OR","EQY_CONSOLIDATED=Y","Sort=A","Dates=H","DateFormat=P","Fill=—","Direction=H","UseDPDF=Y")</f>
        <v>#NAME?</v>
      </c>
      <c r="AM130" s="1" t="e">
        <f ca="1">_xll.BDH($C$128,"GEO_GROW_NET_SALES","FQ2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30" s="1" t="e">
        <f ca="1">_xll.BDH($C$128,"GEO_GROW_EBITDA","FQ2 2014","FQ2 2014","Currency=INR","Period=FQ","BEST_FPERIOD_OVERRIDE=FQ","FILING_STATUS=OR","EQY_CONSOLIDATED=Y","FA_ADJUSTED=GAAP","Sort=A","Dates=H","DateFormat=P","Fill=—","Direction=H","UseDPDF=Y")</f>
        <v>#NAME?</v>
      </c>
      <c r="AO130" s="1" t="e">
        <f ca="1">_xll.BDH($C$128,"GEO_GROW_OPER_INC","FQ2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30" s="1" t="e">
        <f ca="1">_xll.BDH($C$128,"NET_INCOME_TO_COMMON_5_YR_GROWTH","FQ2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30" s="1" t="e">
        <f ca="1">_xll.BDH($C$128,"5Y_GEO_GROWTH_DILUTED_EPS","FQ2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30" s="1" t="e">
        <f ca="1">_xll.BDH($C$128,"GEO_GROW_DVD_PER_SH","FQ2 2014","FQ2 2014","Currency=INR","Period=FQ","BEST_FPERIOD_OVERRIDE=FQ","FILING_STATUS=OR","EQY_CONSOLIDATED=Y","Sort=A","Dates=H","DateFormat=P","Fill=—","Direction=H","UseDPDF=Y")</f>
        <v>#NAME?</v>
      </c>
      <c r="AS130" s="1" t="e">
        <f ca="1">_xll.BDH($C$128,"ACCOUNTS_RECEIVABLE_5_YR_GROWTH","FQ2 2014","FQ2 2014","Currency=INR","Period=FQ","BEST_FPERIOD_OVERRIDE=FQ","FILING_STATUS=OR","EQY_CONSOLIDATED=Y","Sort=A","Dates=H","DateFormat=P","Fill=—","Direction=H","UseDPDF=Y")</f>
        <v>#NAME?</v>
      </c>
      <c r="AT130" s="1" t="e">
        <f ca="1">_xll.BDH($C$128,"INVENTORY_5_YEAR_GROWTH","FQ2 2014","FQ2 2014","Currency=INR","Period=FQ","BEST_FPERIOD_OVERRIDE=FQ","FILING_STATUS=OR","EQY_CONSOLIDATED=Y","Sort=A","Dates=H","DateFormat=P","Fill=—","Direction=H","UseDPDF=Y")</f>
        <v>#NAME?</v>
      </c>
      <c r="AU130" s="1" t="e">
        <f ca="1">_xll.BDH($C$128,"NET_FIXED_ASSETS_5_YEAR_GROWTH","FQ2 2014","FQ2 2014","Currency=INR","Period=FQ","BEST_FPERIOD_OVERRIDE=FQ","FILING_STATUS=OR","EQY_CONSOLIDATED=Y","Sort=A","Dates=H","DateFormat=P","Fill=—","Direction=H","UseDPDF=Y")</f>
        <v>#NAME?</v>
      </c>
      <c r="AV130" s="1" t="e">
        <f ca="1">_xll.BDH($C$128,"GEO_GROW_TOT_ASSET","FQ2 2014","FQ2 2014","Currency=INR","Period=FQ","BEST_FPERIOD_OVERRIDE=FQ","FILING_STATUS=OR","EQY_CONSOLIDATED=Y","Sort=A","Dates=H","DateFormat=P","Fill=—","Direction=H","UseDPDF=Y")</f>
        <v>#NAME?</v>
      </c>
      <c r="AW130" s="1" t="e">
        <f ca="1">_xll.BDH($C$128,"MODIFIED_WORKING_CPTL_5YR_GRWTH","FQ2 2014","FQ2 2014","Currency=INR","Period=FQ","BEST_FPERIOD_OVERRIDE=FQ","FILING_STATUS=OR","EQY_CONSOLIDATED=Y","Sort=A","Dates=H","DateFormat=P","Fill=—","Direction=H","UseDPDF=Y")</f>
        <v>#NAME?</v>
      </c>
      <c r="AX130" s="1" t="e">
        <f ca="1">_xll.BDH($C$128,"WORKING_CAPITAL_5_YEAR_GROWTH","FQ2 2014","FQ2 2014","Currency=INR","Period=FQ","BEST_FPERIOD_OVERRIDE=FQ","FILING_STATUS=OR","EQY_CONSOLIDATED=Y","Sort=A","Dates=H","DateFormat=P","Fill=—","Direction=H","UseDPDF=Y")</f>
        <v>#NAME?</v>
      </c>
      <c r="AY130" s="1" t="e">
        <f ca="1">_xll.BDH($C$128,"ACCOUNTS_PAYABLE_5_YEAR_GROWTH","FQ2 2014","FQ2 2014","Currency=INR","Period=FQ","BEST_FPERIOD_OVERRIDE=FQ","FILING_STATUS=OR","EQY_CONSOLIDATED=Y","Sort=A","Dates=H","DateFormat=P","Fill=—","Direction=H","UseDPDF=Y")</f>
        <v>#NAME?</v>
      </c>
      <c r="AZ130" s="1" t="e">
        <f ca="1">_xll.BDH($C$128,"SHORT_TERM_DEBT_5_YEAR_GROWTH","FQ2 2014","FQ2 2014","Currency=INR","Period=FQ","BEST_FPERIOD_OVERRIDE=FQ","FILING_STATUS=OR","EQY_CONSOLIDATED=Y","Sort=A","Dates=H","DateFormat=P","Fill=—","Direction=H","UseDPDF=Y")</f>
        <v>#NAME?</v>
      </c>
      <c r="BA130" s="1" t="e">
        <f ca="1">_xll.BDH($C$128,"TOTAL_DEBT_5_YEAR_GROWTH","FQ2 2014","FQ2 2014","Currency=INR","Period=FQ","BEST_FPERIOD_OVERRIDE=FQ","FILING_STATUS=OR","EQY_CONSOLIDATED=Y","Sort=A","Dates=H","DateFormat=P","Fill=—","Direction=H","UseDPDF=Y")</f>
        <v>#NAME?</v>
      </c>
      <c r="BB130" s="1" t="e">
        <f ca="1">_xll.BDH($C$128,"GEO_GROW_TOT_SHRHLDR_EQY","FQ2 2014","FQ2 2014","Currency=INR","Period=FQ","BEST_FPERIOD_OVERRIDE=FQ","FILING_STATUS=OR","EQY_CONSOLIDATED=Y","Sort=A","Dates=H","DateFormat=P","Fill=—","Direction=H","UseDPDF=Y")</f>
        <v>#NAME?</v>
      </c>
      <c r="BC130" s="1" t="e">
        <f ca="1">_xll.BDH($C$128,"TOTAL_CAPITAL_5_YEAR_GROWTH","FQ2 2014","FQ2 2014","Currency=INR","Period=FQ","BEST_FPERIOD_OVERRIDE=FQ","FILING_STATUS=OR","EQY_CONSOLIDATED=Y","Sort=A","Dates=H","DateFormat=P","Fill=—","Direction=H","UseDPDF=Y")</f>
        <v>#NAME?</v>
      </c>
      <c r="BD130" s="1" t="e">
        <f ca="1">_xll.BDH($C$128,"GEO_GROW_BOOK_VAL","FQ2 2014","FQ2 2014","Currency=INR","Period=FQ","BEST_FPERIOD_OVERRIDE=FQ","FILING_STATUS=OR","EQY_CONSOLIDATED=Y","Sort=A","Dates=H","DateFormat=P","Fill=—","Direction=H","UseDPDF=Y")</f>
        <v>#NAME?</v>
      </c>
      <c r="BE130" s="1" t="e">
        <f ca="1">_xll.BDH($C$128,"GEO_GROW_CASH_OPER_ACT","FQ2 2014","FQ2 2014","Currency=INR","Period=FQ","BEST_FPERIOD_OVERRIDE=FQ","FILING_STATUS=OR","EQY_CONSOLIDATED=Y","Sort=A","Dates=H","DateFormat=P","Fill=—","Direction=H","UseDPDF=Y")</f>
        <v>#NAME?</v>
      </c>
      <c r="BF130" s="1" t="e">
        <f ca="1">_xll.BDH($C$128,"REVENUE_SEQUENTIAL_GROWTH","FQ2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30" s="1" t="e">
        <f ca="1">_xll.BDH($C$128,"EBITDA_SEQUENTIAL_GROWTH","FQ2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30" s="1" t="e">
        <f ca="1">_xll.BDH($C$128,"OPERATING_INCOME_SEQ_GROWTH","FQ2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30" s="1" t="e">
        <f ca="1">_xll.BDH($C$128,"NET_INCOME_TO_COMMON_SEQ_GROWTH","FQ2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30" s="1" t="e">
        <f ca="1">_xll.BDH($C$128,"EPS_DILUTED_SEQUENTIAL_GROWTH","FQ2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30" s="1" t="e">
        <f ca="1">_xll.BDH($C$128,"DPS_SEQUENTIAL_GROWTH","FQ2 2014","FQ2 2014","Currency=INR","Period=FQ","BEST_FPERIOD_OVERRIDE=FQ","FILING_STATUS=OR","EQY_CONSOLIDATED=Y","Sort=A","Dates=H","DateFormat=P","Fill=—","Direction=H","UseDPDF=Y")</f>
        <v>#NAME?</v>
      </c>
      <c r="BL130" s="1" t="e">
        <f ca="1">_xll.BDH($C$128,"ACCOUNTS_RECEIVABLE_SEQ_GROWTH","FQ2 2014","FQ2 2014","Currency=INR","Period=FQ","BEST_FPERIOD_OVERRIDE=FQ","FILING_STATUS=OR","EQY_CONSOLIDATED=Y","Sort=A","Dates=H","DateFormat=P","Fill=—","Direction=H","UseDPDF=Y")</f>
        <v>#NAME?</v>
      </c>
      <c r="BM130" s="1" t="e">
        <f ca="1">_xll.BDH($C$128,"INVENTORY_SEQUENTIAL_GROWTH","FQ2 2014","FQ2 2014","Currency=INR","Period=FQ","BEST_FPERIOD_OVERRIDE=FQ","FILING_STATUS=OR","EQY_CONSOLIDATED=Y","Sort=A","Dates=H","DateFormat=P","Fill=—","Direction=H","UseDPDF=Y")</f>
        <v>#NAME?</v>
      </c>
      <c r="BN130" s="1" t="e">
        <f ca="1">_xll.BDH($C$128,"FIXED_ASSETS_SEQUENTIAL_GROWTH","FQ2 2014","FQ2 2014","Currency=INR","Period=FQ","BEST_FPERIOD_OVERRIDE=FQ","FILING_STATUS=OR","EQY_CONSOLIDATED=Y","Sort=A","Dates=H","DateFormat=P","Fill=—","Direction=H","UseDPDF=Y")</f>
        <v>#NAME?</v>
      </c>
      <c r="BO130" s="1" t="e">
        <f ca="1">_xll.BDH($C$128,"TOTAL_ASSETS_SEQUENTIAL_GROWTH","FQ2 2014","FQ2 2014","Currency=INR","Period=FQ","BEST_FPERIOD_OVERRIDE=FQ","FILING_STATUS=OR","EQY_CONSOLIDATED=Y","Sort=A","Dates=H","DateFormat=P","Fill=—","Direction=H","UseDPDF=Y")</f>
        <v>#NAME?</v>
      </c>
      <c r="BP130" s="1" t="e">
        <f ca="1">_xll.BDH($C$128,"MODIFIED_WORKING_CPTL_SEQ_GRWTH","FQ2 2014","FQ2 2014","Currency=INR","Period=FQ","BEST_FPERIOD_OVERRIDE=FQ","FILING_STATUS=OR","EQY_CONSOLIDATED=Y","Sort=A","Dates=H","DateFormat=P","Fill=—","Direction=H","UseDPDF=Y")</f>
        <v>#NAME?</v>
      </c>
      <c r="BQ130" s="1" t="e">
        <f ca="1">_xll.BDH($C$128,"WORKING_CAPITAL_SEQ_GROWTH","FQ2 2014","FQ2 2014","Currency=INR","Period=FQ","BEST_FPERIOD_OVERRIDE=FQ","FILING_STATUS=OR","EQY_CONSOLIDATED=Y","Sort=A","Dates=H","DateFormat=P","Fill=—","Direction=H","UseDPDF=Y")</f>
        <v>#NAME?</v>
      </c>
      <c r="BR130" s="1" t="e">
        <f ca="1">_xll.BDH($C$128,"ACCOUNTS_PAYABLE_SEQ_GROWTH","FQ2 2014","FQ2 2014","Currency=INR","Period=FQ","BEST_FPERIOD_OVERRIDE=FQ","FILING_STATUS=OR","EQY_CONSOLIDATED=Y","Sort=A","Dates=H","DateFormat=P","Fill=—","Direction=H","UseDPDF=Y")</f>
        <v>#NAME?</v>
      </c>
      <c r="BS130" s="1" t="e">
        <f ca="1">_xll.BDH($C$128,"ST_DEBT_SEQUENTIAL_GROWTH","FQ2 2014","FQ2 2014","Currency=INR","Period=FQ","BEST_FPERIOD_OVERRIDE=FQ","FILING_STATUS=OR","EQY_CONSOLIDATED=Y","Sort=A","Dates=H","DateFormat=P","Fill=—","Direction=H","UseDPDF=Y")</f>
        <v>#NAME?</v>
      </c>
      <c r="BT130" s="1" t="e">
        <f ca="1">_xll.BDH($C$128,"TOTAL_DEBT_SEQUENTIAL_GROWTH","FQ2 2014","FQ2 2014","Currency=INR","Period=FQ","BEST_FPERIOD_OVERRIDE=FQ","FILING_STATUS=OR","EQY_CONSOLIDATED=Y","Sort=A","Dates=H","DateFormat=P","Fill=—","Direction=H","UseDPDF=Y")</f>
        <v>#NAME?</v>
      </c>
      <c r="BU130" s="1" t="e">
        <f ca="1">_xll.BDH($C$128,"TOTAL_EQUITY_SEQUENTIAL_GROWTH","FQ2 2014","FQ2 2014","Currency=INR","Period=FQ","BEST_FPERIOD_OVERRIDE=FQ","FILING_STATUS=OR","EQY_CONSOLIDATED=Y","Sort=A","Dates=H","DateFormat=P","Fill=—","Direction=H","UseDPDF=Y")</f>
        <v>#NAME?</v>
      </c>
      <c r="BV130" s="1" t="e">
        <f ca="1">_xll.BDH($C$128,"TOTAL_CAPITAL_SEQUENTIAL_GROWTH","FQ2 2014","FQ2 2014","Currency=INR","Period=FQ","BEST_FPERIOD_OVERRIDE=FQ","FILING_STATUS=OR","EQY_CONSOLIDATED=Y","Sort=A","Dates=H","DateFormat=P","Fill=—","Direction=H","UseDPDF=Y")</f>
        <v>#NAME?</v>
      </c>
      <c r="BW130" s="1" t="e">
        <f ca="1">_xll.BDH($C$128,"BPS_SEQUENTIAL_GROWTH","FQ2 2014","FQ2 2014","Currency=INR","Period=FQ","BEST_FPERIOD_OVERRIDE=FQ","FILING_STATUS=OR","EQY_CONSOLIDATED=Y","Sort=A","Dates=H","DateFormat=P","Fill=—","Direction=H","UseDPDF=Y")</f>
        <v>#NAME?</v>
      </c>
      <c r="BX130" s="1" t="e">
        <f ca="1">_xll.BDH($C$128,"CFO_SEQUENTIAL_GROWTH","FQ2 2014","FQ2 2014","Currency=INR","Period=FQ","BEST_FPERIOD_OVERRIDE=FQ","FILING_STATUS=OR","EQY_CONSOLIDATED=Y","Sort=A","Dates=H","DateFormat=P","Fill=—","Direction=H","UseDPDF=Y")</f>
        <v>#NAME?</v>
      </c>
      <c r="BY130" s="2" t="e">
        <f ca="1">_xll.BDH($C$128,"SHORT_AND_LONG_TERM_DEBT","FQ2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30" s="2" t="e">
        <f ca="1">_xll.BDH($C$128,"BS_ST_BORROW","FQ2 2014","FQ2 2014","Currency=INR","Period=FQ","BEST_FPERIOD_OVERRIDE=FQ","FILING_STATUS=OR","EQY_CONSOLIDATED=Y","SCALING_FORMAT=MLN","Sort=A","Dates=H","DateFormat=P","Fill=—","Direction=H","UseDPDF=Y")</f>
        <v>#NAME?</v>
      </c>
      <c r="CA130" s="2" t="e">
        <f ca="1">_xll.BDH($C$128,"BS_LT_BORROW","FQ2 2014","FQ2 2014","Currency=INR","Period=FQ","BEST_FPERIOD_OVERRIDE=FQ","FILING_STATUS=OR","EQY_CONSOLIDATED=Y","SCALING_FORMAT=MLN","Sort=A","Dates=H","DateFormat=P","Fill=—","Direction=H","UseDPDF=Y")</f>
        <v>#NAME?</v>
      </c>
      <c r="CB130" s="1" t="e">
        <f ca="1">_xll.BDH($C$128,"TOT_DEBT_TO_EBITDA","FQ2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30" s="1" t="e">
        <f ca="1">_xll.BDH($C$128,"NET_DEBT_TO_EBITDA","FQ2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30" s="1" t="e">
        <f ca="1">_xll.BDH($C$128,"TOTAL_DEBT_TO_EBIT","FQ2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30" s="1" t="e">
        <f ca="1">_xll.BDH($C$128,"NET_DEBT_TO_EBIT","FQ2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130" s="1" t="e">
        <f ca="1">_xll.BDH($C$128,"EBITDA_TO_INTEREST_EXPN","FQ2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30" s="1" t="e">
        <f ca="1">_xll.BDH($C$128,"COM_EQY_TO_TOT_ASSET","FQ2 2014","FQ2 2014","Currency=INR","Period=FQ","BEST_FPERIOD_OVERRIDE=FQ","FILING_STATUS=OR","EQY_CONSOLIDATED=Y","Sort=A","Dates=H","DateFormat=P","Fill=—","Direction=H","UseDPDF=Y")</f>
        <v>#NAME?</v>
      </c>
      <c r="CH130" s="1" t="e">
        <f ca="1">_xll.BDH($C$128,"LT_DEBT_TO_TOT_EQY","FQ2 2014","FQ2 2014","Currency=INR","Period=FQ","BEST_FPERIOD_OVERRIDE=FQ","FILING_STATUS=OR","EQY_CONSOLIDATED=Y","Sort=A","Dates=H","DateFormat=P","Fill=—","Direction=H","UseDPDF=Y")</f>
        <v>#NAME?</v>
      </c>
      <c r="CI130" s="1" t="e">
        <f ca="1">_xll.BDH($C$128,"LT_DEBT_TO_TOT_CAP","FQ2 2014","FQ2 2014","Currency=INR","Period=FQ","BEST_FPERIOD_OVERRIDE=FQ","FILING_STATUS=OR","EQY_CONSOLIDATED=Y","Sort=A","Dates=H","DateFormat=P","Fill=—","Direction=H","UseDPDF=Y")</f>
        <v>#NAME?</v>
      </c>
      <c r="CJ130" s="1" t="e">
        <f ca="1">_xll.BDH($C$128,"LT_DEBT_TO_TOT_ASSET","FQ2 2014","FQ2 2014","Currency=INR","Period=FQ","BEST_FPERIOD_OVERRIDE=FQ","FILING_STATUS=OR","EQY_CONSOLIDATED=Y","Sort=A","Dates=H","DateFormat=P","Fill=—","Direction=H","UseDPDF=Y")</f>
        <v>#NAME?</v>
      </c>
      <c r="CK130" s="1" t="e">
        <f ca="1">_xll.BDH($C$128,"TOT_DEBT_TO_TOT_EQY","FQ2 2014","FQ2 2014","Currency=INR","Period=FQ","BEST_FPERIOD_OVERRIDE=FQ","FILING_STATUS=OR","EQY_CONSOLIDATED=Y","Sort=A","Dates=H","DateFormat=P","Fill=—","Direction=H","UseDPDF=Y")</f>
        <v>#NAME?</v>
      </c>
      <c r="CL130" s="1" t="e">
        <f ca="1">_xll.BDH($C$128,"TOT_DEBT_TO_TOT_CAP","FQ2 2014","FQ2 2014","Currency=INR","Period=FQ","BEST_FPERIOD_OVERRIDE=FQ","FILING_STATUS=OR","EQY_CONSOLIDATED=Y","Sort=A","Dates=H","DateFormat=P","Fill=—","Direction=H","UseDPDF=Y")</f>
        <v>#NAME?</v>
      </c>
      <c r="CM130" s="1" t="e">
        <f ca="1">_xll.BDH($C$128,"TOT_DEBT_TO_TOT_ASSET","FQ2 2014","FQ2 2014","Currency=INR","Period=FQ","BEST_FPERIOD_OVERRIDE=FQ","FILING_STATUS=OR","EQY_CONSOLIDATED=Y","Sort=A","Dates=H","DateFormat=P","Fill=—","Direction=H","UseDPDF=Y")</f>
        <v>#NAME?</v>
      </c>
      <c r="CN130" s="1" t="e">
        <f ca="1">_xll.BDH($C$128,"NET_DEBT_TO_SHRHLDR_EQTY","FQ2 2014","FQ2 2014","Currency=INR","Period=FQ","BEST_FPERIOD_OVERRIDE=FQ","FILING_STATUS=OR","EQY_CONSOLIDATED=Y","Sort=A","Dates=H","DateFormat=P","Fill=—","Direction=H","UseDPDF=Y")</f>
        <v>#NAME?</v>
      </c>
      <c r="CO130" s="1" t="e">
        <f ca="1">_xll.BDH($C$128,"NET_DEBT_%_CAPITAL","FQ2 2014","FQ2 2014","Currency=INR","Period=FQ","BEST_FPERIOD_OVERRIDE=FQ","FILING_STATUS=OR","EQY_CONSOLIDATED=Y","Sort=A","Dates=H","DateFormat=P","Fill=—","Direction=H","UseDPDF=Y")</f>
        <v>#NAME?</v>
      </c>
      <c r="CP130" s="2" t="e">
        <f ca="1">_xll.BDH($C$128,"EBITDA","FQ2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30" s="2" t="e">
        <f ca="1">_xll.BDH($C$128,"EBITDA_AFTER_CAPEX","FQ2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30" s="2" t="e">
        <f ca="1">_xll.BDH($C$128,"IS_OPER_INC","FQ2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30" s="1" t="e">
        <f ca="1">_xll.BDH($C$128,"CASH_RATIO","FQ2 2014","FQ2 2014","Currency=INR","Period=FQ","BEST_FPERIOD_OVERRIDE=FQ","FILING_STATUS=OR","EQY_CONSOLIDATED=Y","Sort=A","Dates=H","DateFormat=P","Fill=—","Direction=H","UseDPDF=Y")</f>
        <v>#NAME?</v>
      </c>
      <c r="CT130" s="1" t="e">
        <f ca="1">_xll.BDH($C$128,"CUR_RATIO","FQ2 2014","FQ2 2014","Currency=INR","Period=FQ","BEST_FPERIOD_OVERRIDE=FQ","FILING_STATUS=OR","EQY_CONSOLIDATED=Y","Sort=A","Dates=H","DateFormat=P","Fill=—","Direction=H","UseDPDF=Y")</f>
        <v>#NAME?</v>
      </c>
      <c r="CU130" s="1" t="e">
        <f ca="1">_xll.BDH($C$128,"QUICK_RATIO","FQ2 2014","FQ2 2014","Currency=INR","Period=FQ","BEST_FPERIOD_OVERRIDE=FQ","FILING_STATUS=OR","EQY_CONSOLIDATED=Y","Sort=A","Dates=H","DateFormat=P","Fill=—","Direction=H","UseDPDF=Y")</f>
        <v>#NAME?</v>
      </c>
      <c r="CV130" s="1" t="e">
        <f ca="1">_xll.BDH($C$128,"ALTMAN_Z_SCORE","FQ2 2014","FQ2 2014","Currency=INR","Period=FQ","BEST_FPERIOD_OVERRIDE=FQ","FILING_STATUS=OR","EQY_CONSOLIDATED=Y","Sort=A","Dates=H","DateFormat=P","Fill=—","Direction=H","UseDPDF=Y")</f>
        <v>#NAME?</v>
      </c>
      <c r="CW130" s="3" t="e">
        <f ca="1">_xll.BDH($C$128,"ACCT_RCV_TURN","FQ2 2014","FQ2 2014","Currency=INR","Period=FQ","BEST_FPERIOD_OVERRIDE=FQ","FILING_STATUS=OR","EQY_CONSOLIDATED=Y","FA_ADJUSTED=GAAP","Sort=A","Dates=H","DateFormat=P","Fill=—","Direction=H","UseDPDF=Y")</f>
        <v>#NAME?</v>
      </c>
      <c r="CX130" s="1" t="e">
        <f ca="1">_xll.BDH($C$128,"ACCT_RCV_DAYS","FQ2 2014","FQ2 2014","Currency=INR","Period=FQ","BEST_FPERIOD_OVERRIDE=FQ","FILING_STATUS=OR","EQY_CONSOLIDATED=Y","FA_ADJUSTED=GAAP","Sort=A","Dates=H","DateFormat=P","Fill=—","Direction=H","UseDPDF=Y")</f>
        <v>#NAME?</v>
      </c>
      <c r="CY130" s="3" t="e">
        <f ca="1">_xll.BDH($C$128,"INVENT_TURN","FQ2 2014","FQ2 2014","Currency=INR","Period=FQ","BEST_FPERIOD_OVERRIDE=FQ","FILING_STATUS=OR","EQY_CONSOLIDATED=Y","FA_ADJUSTED=GAAP","Sort=A","Dates=H","DateFormat=P","Fill=—","Direction=H","UseDPDF=Y")</f>
        <v>#NAME?</v>
      </c>
      <c r="CZ130" s="1" t="e">
        <f ca="1">_xll.BDH($C$128,"INVENT_DAYS","FQ2 2014","FQ2 2014","Currency=INR","Period=FQ","BEST_FPERIOD_OVERRIDE=FQ","FILING_STATUS=OR","EQY_CONSOLIDATED=Y","FA_ADJUSTED=GAAP","Sort=A","Dates=H","DateFormat=P","Fill=—","Direction=H","UseDPDF=Y")</f>
        <v>#NAME?</v>
      </c>
      <c r="DA130" s="3" t="e">
        <f ca="1">_xll.BDH($C$128,"ACCOUNTS_PAYABLE_TURNOVER","FQ2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30" s="1" t="e">
        <f ca="1">_xll.BDH($C$128,"ACCOUNTS_PAYABLE_TURNOVER_DAYS","FQ2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30" s="3" t="e">
        <f ca="1">_xll.BDH($C$128,"CASH_CONVERSION_CYCLE","FQ2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30" s="3" t="e">
        <f ca="1">_xll.BDH($C$128,"INV_TO_CASH_DAYS","FQ2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130" s="4" t="e">
        <f ca="1">_xll.BDH($C$128,"BS_INVENTORIES","FQ2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130" s="2" t="e">
        <f ca="1">_xll.BDH($C$128,"INVTRY_RAW_MATERIALS","FQ2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30" s="2" t="e">
        <f ca="1">_xll.BDH($C$128,"INVTRY_IN_PROGRESS","FQ2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30" s="2" t="e">
        <f ca="1">_xll.BDH($C$128,"INVTRY_FINISHED_GOODS","FQ2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30" s="2" t="e">
        <f ca="1">_xll.BDH($C$128,"BS_OTHER_INV","FQ2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31" spans="1:113" x14ac:dyDescent="0.3">
      <c r="A131" s="6"/>
      <c r="B131" s="6"/>
      <c r="C131" s="6"/>
      <c r="D131" s="6"/>
      <c r="E131" t="s">
        <v>6</v>
      </c>
      <c r="F131" t="e">
        <f ca="1">_xll.BDH($C$128,"RETURN_COM_EQY","FQ3 2014","FQ3 2014","Currency=INR","Period=FQ","BEST_FPERIOD_OVERRIDE=FQ","FILING_STATUS=OR","EQY_CONSOLIDATED=Y","FA_ADJUSTED=GAAP","Sort=A","Dates=H","DateFormat=P","Fill=—","Direction=H","UseDPDF=Y")</f>
        <v>#NAME?</v>
      </c>
      <c r="G131" t="e">
        <f ca="1">_xll.BDH($C$128,"RETURN_ON_ASSET","FQ3 2014","FQ3 2014","Currency=INR","Period=FQ","BEST_FPERIOD_OVERRIDE=FQ","FILING_STATUS=OR","EQY_CONSOLIDATED=Y","FA_ADJUSTED=GAAP","Sort=A","Dates=H","DateFormat=P","Fill=—","Direction=H","UseDPDF=Y")</f>
        <v>#NAME?</v>
      </c>
      <c r="H131" t="e">
        <f ca="1">_xll.BDH($C$128,"RETURN_ON_CAP","FQ3 2014","FQ3 2014","Currency=INR","Period=FQ","BEST_FPERIOD_OVERRIDE=FQ","FILING_STATUS=OR","EQY_CONSOLIDATED=Y","FA_ADJUSTED=GAAP","Sort=A","Dates=H","DateFormat=P","Fill=—","Direction=H","UseDPDF=Y")</f>
        <v>#NAME?</v>
      </c>
      <c r="I131" t="e">
        <f ca="1">_xll.BDH($C$128,"RETURN_ON_INV_CAPITAL","FQ3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31" t="e">
        <f ca="1">_xll.BDH($C$128,"EBITDA_TO_REVENUE","FQ3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131" t="e">
        <f ca="1">_xll.BDH($C$128,"OPER_MARGIN","FQ3 2014","FQ3 2014","Currency=INR","Period=FQ","BEST_FPERIOD_OVERRIDE=FQ","FILING_STATUS=OR","EQY_CONSOLIDATED=Y","FA_ADJUSTED=GAAP","Sort=A","Dates=H","DateFormat=P","Fill=—","Direction=H","UseDPDF=Y")</f>
        <v>#NAME?</v>
      </c>
      <c r="L131" t="e">
        <f ca="1">_xll.BDH($C$128,"INCREMENTAL_OPERATING_MARGIN","FQ3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31" t="e">
        <f ca="1">_xll.BDH($C$128,"PRETAX_INC_TO_NET_SALES","FQ3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31" t="e">
        <f ca="1">_xll.BDH($C$128,"INC_BEF_XO_ITEMS_TO_NET_SALES","FQ3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31" t="e">
        <f ca="1">_xll.BDH($C$128,"PROF_MARGIN","FQ3 2014","FQ3 2014","Currency=INR","Period=FQ","BEST_FPERIOD_OVERRIDE=FQ","FILING_STATUS=OR","EQY_CONSOLIDATED=Y","FA_ADJUSTED=GAAP","Sort=A","Dates=H","DateFormat=P","Fill=—","Direction=H","UseDPDF=Y")</f>
        <v>#NAME?</v>
      </c>
      <c r="P131" t="e">
        <f ca="1">_xll.BDH($C$128,"NET_INCOME_TO_COMMON_MARGIN","FQ3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31" t="e">
        <f ca="1">_xll.BDH($C$128,"EFF_TAX_RATE","FQ3 2014","FQ3 2014","Currency=INR","Period=FQ","BEST_FPERIOD_OVERRIDE=FQ","FILING_STATUS=OR","EQY_CONSOLIDATED=Y","FA_ADJUSTED=GAAP","Sort=A","Dates=H","DateFormat=P","Fill=—","Direction=H","UseDPDF=Y")</f>
        <v>#NAME?</v>
      </c>
      <c r="R131" t="e">
        <f ca="1">_xll.BDH($C$128,"DVD_PAYOUT_RATIO","FQ3 2014","FQ3 2014","Currency=INR","Period=FQ","BEST_FPERIOD_OVERRIDE=FQ","FILING_STATUS=OR","EQY_CONSOLIDATED=Y","FA_ADJUSTED=GAAP","Sort=A","Dates=H","DateFormat=P","Fill=—","Direction=H","UseDPDF=Y")</f>
        <v>#NAME?</v>
      </c>
      <c r="S131" t="e">
        <f ca="1">_xll.BDH($C$128,"SUSTAIN_GROWTH_RT","FQ3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131" s="1" t="e">
        <f ca="1">_xll.BDH($C$128,"SALES_GROWTH","FQ3 2014","FQ3 2014","Currency=INR","Period=FQ","BEST_FPERIOD_OVERRIDE=FQ","FILING_STATUS=OR","EQY_CONSOLIDATED=Y","FA_ADJUSTED=GAAP","Sort=A","Dates=H","DateFormat=P","Fill=—","Direction=H","UseDPDF=Y")</f>
        <v>#NAME?</v>
      </c>
      <c r="U131" s="1" t="e">
        <f ca="1">_xll.BDH($C$128,"EBITDA_GROWTH","FQ3 2014","FQ3 2014","Currency=INR","Period=FQ","BEST_FPERIOD_OVERRIDE=FQ","FILING_STATUS=OR","EQY_CONSOLIDATED=Y","FA_ADJUSTED=GAAP","Sort=A","Dates=H","DateFormat=P","Fill=—","Direction=H","UseDPDF=Y")</f>
        <v>#NAME?</v>
      </c>
      <c r="V131" s="1" t="e">
        <f ca="1">_xll.BDH($C$128,"OPER_INC_GROWTH","FQ3 2014","FQ3 2014","Currency=INR","Period=FQ","BEST_FPERIOD_OVERRIDE=FQ","FILING_STATUS=OR","EQY_CONSOLIDATED=Y","FA_ADJUSTED=GAAP","Sort=A","Dates=H","DateFormat=P","Fill=—","Direction=H","UseDPDF=Y")</f>
        <v>#NAME?</v>
      </c>
      <c r="W131" s="1" t="e">
        <f ca="1">_xll.BDH($C$128,"EARN_FOR_COM_GROWTH","FQ3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31" s="1" t="e">
        <f ca="1">_xll.BDH($C$128,"DILUTED_EPS_AFT_XO_ITEMS_GROWTH","FQ3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31" s="1" t="e">
        <f ca="1">_xll.BDH($C$128,"DIVIDEND_PER_SHARE_1_YEAR_GROWTH","FQ3 2014","FQ3 2014","Currency=INR","Period=FQ","BEST_FPERIOD_OVERRIDE=FQ","FILING_STATUS=OR","EQY_CONSOLIDATED=Y","Sort=A","Dates=H","DateFormat=P","Fill=—","Direction=H","UseDPDF=Y")</f>
        <v>#NAME?</v>
      </c>
      <c r="Z131" s="1" t="e">
        <f ca="1">_xll.BDH($C$128,"ACCOUNTS_RECEIVABLE_GROWTH","FQ3 2014","FQ3 2014","Currency=INR","Period=FQ","BEST_FPERIOD_OVERRIDE=FQ","FILING_STATUS=OR","EQY_CONSOLIDATED=Y","Sort=A","Dates=H","DateFormat=P","Fill=—","Direction=H","UseDPDF=Y")</f>
        <v>#NAME?</v>
      </c>
      <c r="AA131" s="1" t="e">
        <f ca="1">_xll.BDH($C$128,"INVENTORY_GROWTH","FQ3 2014","FQ3 2014","Currency=INR","Period=FQ","BEST_FPERIOD_OVERRIDE=FQ","FILING_STATUS=OR","EQY_CONSOLIDATED=Y","Sort=A","Dates=H","DateFormat=P","Fill=—","Direction=H","UseDPDF=Y")</f>
        <v>#NAME?</v>
      </c>
      <c r="AB131" s="1" t="e">
        <f ca="1">_xll.BDH($C$128,"NET_FIXED_ASSETS_1_YEAR_GROWTH","FQ3 2014","FQ3 2014","Currency=INR","Period=FQ","BEST_FPERIOD_OVERRIDE=FQ","FILING_STATUS=OR","EQY_CONSOLIDATED=Y","Sort=A","Dates=H","DateFormat=P","Fill=—","Direction=H","UseDPDF=Y")</f>
        <v>#NAME?</v>
      </c>
      <c r="AC131" s="1" t="e">
        <f ca="1">_xll.BDH($C$128,"ASSET_GROWTH","FQ3 2014","FQ3 2014","Currency=INR","Period=FQ","BEST_FPERIOD_OVERRIDE=FQ","FILING_STATUS=OR","EQY_CONSOLIDATED=Y","Sort=A","Dates=H","DateFormat=P","Fill=—","Direction=H","UseDPDF=Y")</f>
        <v>#NAME?</v>
      </c>
      <c r="AD131" s="1" t="e">
        <f ca="1">_xll.BDH($C$128,"MODIFIED_WORK_CAP_GROWTH","FQ3 2014","FQ3 2014","Currency=INR","Period=FQ","BEST_FPERIOD_OVERRIDE=FQ","FILING_STATUS=OR","EQY_CONSOLIDATED=Y","Sort=A","Dates=H","DateFormat=P","Fill=—","Direction=H","UseDPDF=Y")</f>
        <v>#NAME?</v>
      </c>
      <c r="AE131" s="1" t="e">
        <f ca="1">_xll.BDH($C$128,"WORK_CAP_GROWTH","FQ3 2014","FQ3 2014","Currency=INR","Period=FQ","BEST_FPERIOD_OVERRIDE=FQ","FILING_STATUS=OR","EQY_CONSOLIDATED=Y","Sort=A","Dates=H","DateFormat=P","Fill=—","Direction=H","UseDPDF=Y")</f>
        <v>#NAME?</v>
      </c>
      <c r="AF131" s="1" t="e">
        <f ca="1">_xll.BDH($C$128,"ACCOUNTS_PAYABLE_GROWTH_1YR","FQ3 2014","FQ3 2014","Currency=INR","Period=FQ","BEST_FPERIOD_OVERRIDE=FQ","FILING_STATUS=OR","EQY_CONSOLIDATED=Y","Sort=A","Dates=H","DateFormat=P","Fill=—","Direction=H","UseDPDF=Y")</f>
        <v>#NAME?</v>
      </c>
      <c r="AG131" s="1" t="e">
        <f ca="1">_xll.BDH($C$128,"SHORT_TERM_DEBT_1_YEAR_GROWTH","FQ3 2014","FQ3 2014","Currency=INR","Period=FQ","BEST_FPERIOD_OVERRIDE=FQ","FILING_STATUS=OR","EQY_CONSOLIDATED=Y","Sort=A","Dates=H","DateFormat=P","Fill=—","Direction=H","UseDPDF=Y")</f>
        <v>#NAME?</v>
      </c>
      <c r="AH131" s="1" t="e">
        <f ca="1">_xll.BDH($C$128,"TOTAL_DEBT_1_YEAR_GROWTH","FQ3 2014","FQ3 2014","Currency=INR","Period=FQ","BEST_FPERIOD_OVERRIDE=FQ","FILING_STATUS=OR","EQY_CONSOLIDATED=Y","Sort=A","Dates=H","DateFormat=P","Fill=—","Direction=H","UseDPDF=Y")</f>
        <v>#NAME?</v>
      </c>
      <c r="AI131" s="1" t="e">
        <f ca="1">_xll.BDH($C$128,"TOTAL_EQUITY_1_YEAR_GROWTH","FQ3 2014","FQ3 2014","Currency=INR","Period=FQ","BEST_FPERIOD_OVERRIDE=FQ","FILING_STATUS=OR","EQY_CONSOLIDATED=Y","Sort=A","Dates=H","DateFormat=P","Fill=—","Direction=H","UseDPDF=Y")</f>
        <v>#NAME?</v>
      </c>
      <c r="AJ131" s="1" t="e">
        <f ca="1">_xll.BDH($C$128,"GROWTH_IN_CAP","FQ3 2014","FQ3 2014","Currency=INR","Period=FQ","BEST_FPERIOD_OVERRIDE=FQ","FILING_STATUS=OR","EQY_CONSOLIDATED=Y","Sort=A","Dates=H","DateFormat=P","Fill=—","Direction=H","UseDPDF=Y")</f>
        <v>#NAME?</v>
      </c>
      <c r="AK131" s="1" t="e">
        <f ca="1">_xll.BDH($C$128,"BVPS_GROWTH","FQ3 2014","FQ3 2014","Currency=INR","Period=FQ","BEST_FPERIOD_OVERRIDE=FQ","FILING_STATUS=OR","EQY_CONSOLIDATED=Y","Sort=A","Dates=H","DateFormat=P","Fill=—","Direction=H","UseDPDF=Y")</f>
        <v>#NAME?</v>
      </c>
      <c r="AL131" s="1" t="e">
        <f ca="1">_xll.BDH($C$128,"CASH_FLOW_GROWTH","FQ3 2014","FQ3 2014","Currency=INR","Period=FQ","BEST_FPERIOD_OVERRIDE=FQ","FILING_STATUS=OR","EQY_CONSOLIDATED=Y","Sort=A","Dates=H","DateFormat=P","Fill=—","Direction=H","UseDPDF=Y")</f>
        <v>#NAME?</v>
      </c>
      <c r="AM131" s="1" t="e">
        <f ca="1">_xll.BDH($C$128,"GEO_GROW_NET_SALES","FQ3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31" s="1" t="e">
        <f ca="1">_xll.BDH($C$128,"GEO_GROW_EBITDA","FQ3 2014","FQ3 2014","Currency=INR","Period=FQ","BEST_FPERIOD_OVERRIDE=FQ","FILING_STATUS=OR","EQY_CONSOLIDATED=Y","FA_ADJUSTED=GAAP","Sort=A","Dates=H","DateFormat=P","Fill=—","Direction=H","UseDPDF=Y")</f>
        <v>#NAME?</v>
      </c>
      <c r="AO131" s="1" t="e">
        <f ca="1">_xll.BDH($C$128,"GEO_GROW_OPER_INC","FQ3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31" s="1" t="e">
        <f ca="1">_xll.BDH($C$128,"NET_INCOME_TO_COMMON_5_YR_GROWTH","FQ3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31" s="1" t="e">
        <f ca="1">_xll.BDH($C$128,"5Y_GEO_GROWTH_DILUTED_EPS","FQ3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31" s="1" t="e">
        <f ca="1">_xll.BDH($C$128,"GEO_GROW_DVD_PER_SH","FQ3 2014","FQ3 2014","Currency=INR","Period=FQ","BEST_FPERIOD_OVERRIDE=FQ","FILING_STATUS=OR","EQY_CONSOLIDATED=Y","Sort=A","Dates=H","DateFormat=P","Fill=—","Direction=H","UseDPDF=Y")</f>
        <v>#NAME?</v>
      </c>
      <c r="AS131" s="1" t="e">
        <f ca="1">_xll.BDH($C$128,"ACCOUNTS_RECEIVABLE_5_YR_GROWTH","FQ3 2014","FQ3 2014","Currency=INR","Period=FQ","BEST_FPERIOD_OVERRIDE=FQ","FILING_STATUS=OR","EQY_CONSOLIDATED=Y","Sort=A","Dates=H","DateFormat=P","Fill=—","Direction=H","UseDPDF=Y")</f>
        <v>#NAME?</v>
      </c>
      <c r="AT131" s="1" t="e">
        <f ca="1">_xll.BDH($C$128,"INVENTORY_5_YEAR_GROWTH","FQ3 2014","FQ3 2014","Currency=INR","Period=FQ","BEST_FPERIOD_OVERRIDE=FQ","FILING_STATUS=OR","EQY_CONSOLIDATED=Y","Sort=A","Dates=H","DateFormat=P","Fill=—","Direction=H","UseDPDF=Y")</f>
        <v>#NAME?</v>
      </c>
      <c r="AU131" s="1" t="e">
        <f ca="1">_xll.BDH($C$128,"NET_FIXED_ASSETS_5_YEAR_GROWTH","FQ3 2014","FQ3 2014","Currency=INR","Period=FQ","BEST_FPERIOD_OVERRIDE=FQ","FILING_STATUS=OR","EQY_CONSOLIDATED=Y","Sort=A","Dates=H","DateFormat=P","Fill=—","Direction=H","UseDPDF=Y")</f>
        <v>#NAME?</v>
      </c>
      <c r="AV131" s="1" t="e">
        <f ca="1">_xll.BDH($C$128,"GEO_GROW_TOT_ASSET","FQ3 2014","FQ3 2014","Currency=INR","Period=FQ","BEST_FPERIOD_OVERRIDE=FQ","FILING_STATUS=OR","EQY_CONSOLIDATED=Y","Sort=A","Dates=H","DateFormat=P","Fill=—","Direction=H","UseDPDF=Y")</f>
        <v>#NAME?</v>
      </c>
      <c r="AW131" s="1" t="e">
        <f ca="1">_xll.BDH($C$128,"MODIFIED_WORKING_CPTL_5YR_GRWTH","FQ3 2014","FQ3 2014","Currency=INR","Period=FQ","BEST_FPERIOD_OVERRIDE=FQ","FILING_STATUS=OR","EQY_CONSOLIDATED=Y","Sort=A","Dates=H","DateFormat=P","Fill=—","Direction=H","UseDPDF=Y")</f>
        <v>#NAME?</v>
      </c>
      <c r="AX131" s="1" t="e">
        <f ca="1">_xll.BDH($C$128,"WORKING_CAPITAL_5_YEAR_GROWTH","FQ3 2014","FQ3 2014","Currency=INR","Period=FQ","BEST_FPERIOD_OVERRIDE=FQ","FILING_STATUS=OR","EQY_CONSOLIDATED=Y","Sort=A","Dates=H","DateFormat=P","Fill=—","Direction=H","UseDPDF=Y")</f>
        <v>#NAME?</v>
      </c>
      <c r="AY131" s="1" t="e">
        <f ca="1">_xll.BDH($C$128,"ACCOUNTS_PAYABLE_5_YEAR_GROWTH","FQ3 2014","FQ3 2014","Currency=INR","Period=FQ","BEST_FPERIOD_OVERRIDE=FQ","FILING_STATUS=OR","EQY_CONSOLIDATED=Y","Sort=A","Dates=H","DateFormat=P","Fill=—","Direction=H","UseDPDF=Y")</f>
        <v>#NAME?</v>
      </c>
      <c r="AZ131" s="1" t="e">
        <f ca="1">_xll.BDH($C$128,"SHORT_TERM_DEBT_5_YEAR_GROWTH","FQ3 2014","FQ3 2014","Currency=INR","Period=FQ","BEST_FPERIOD_OVERRIDE=FQ","FILING_STATUS=OR","EQY_CONSOLIDATED=Y","Sort=A","Dates=H","DateFormat=P","Fill=—","Direction=H","UseDPDF=Y")</f>
        <v>#NAME?</v>
      </c>
      <c r="BA131" s="1" t="e">
        <f ca="1">_xll.BDH($C$128,"TOTAL_DEBT_5_YEAR_GROWTH","FQ3 2014","FQ3 2014","Currency=INR","Period=FQ","BEST_FPERIOD_OVERRIDE=FQ","FILING_STATUS=OR","EQY_CONSOLIDATED=Y","Sort=A","Dates=H","DateFormat=P","Fill=—","Direction=H","UseDPDF=Y")</f>
        <v>#NAME?</v>
      </c>
      <c r="BB131" s="1" t="e">
        <f ca="1">_xll.BDH($C$128,"GEO_GROW_TOT_SHRHLDR_EQY","FQ3 2014","FQ3 2014","Currency=INR","Period=FQ","BEST_FPERIOD_OVERRIDE=FQ","FILING_STATUS=OR","EQY_CONSOLIDATED=Y","Sort=A","Dates=H","DateFormat=P","Fill=—","Direction=H","UseDPDF=Y")</f>
        <v>#NAME?</v>
      </c>
      <c r="BC131" s="1" t="e">
        <f ca="1">_xll.BDH($C$128,"TOTAL_CAPITAL_5_YEAR_GROWTH","FQ3 2014","FQ3 2014","Currency=INR","Period=FQ","BEST_FPERIOD_OVERRIDE=FQ","FILING_STATUS=OR","EQY_CONSOLIDATED=Y","Sort=A","Dates=H","DateFormat=P","Fill=—","Direction=H","UseDPDF=Y")</f>
        <v>#NAME?</v>
      </c>
      <c r="BD131" s="1" t="e">
        <f ca="1">_xll.BDH($C$128,"GEO_GROW_BOOK_VAL","FQ3 2014","FQ3 2014","Currency=INR","Period=FQ","BEST_FPERIOD_OVERRIDE=FQ","FILING_STATUS=OR","EQY_CONSOLIDATED=Y","Sort=A","Dates=H","DateFormat=P","Fill=—","Direction=H","UseDPDF=Y")</f>
        <v>#NAME?</v>
      </c>
      <c r="BE131" s="1" t="e">
        <f ca="1">_xll.BDH($C$128,"GEO_GROW_CASH_OPER_ACT","FQ3 2014","FQ3 2014","Currency=INR","Period=FQ","BEST_FPERIOD_OVERRIDE=FQ","FILING_STATUS=OR","EQY_CONSOLIDATED=Y","Sort=A","Dates=H","DateFormat=P","Fill=—","Direction=H","UseDPDF=Y")</f>
        <v>#NAME?</v>
      </c>
      <c r="BF131" s="1" t="e">
        <f ca="1">_xll.BDH($C$128,"REVENUE_SEQUENTIAL_GROWTH","FQ3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31" s="1" t="e">
        <f ca="1">_xll.BDH($C$128,"EBITDA_SEQUENTIAL_GROWTH","FQ3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31" s="1" t="e">
        <f ca="1">_xll.BDH($C$128,"OPERATING_INCOME_SEQ_GROWTH","FQ3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31" s="1" t="e">
        <f ca="1">_xll.BDH($C$128,"NET_INCOME_TO_COMMON_SEQ_GROWTH","FQ3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31" s="1" t="e">
        <f ca="1">_xll.BDH($C$128,"EPS_DILUTED_SEQUENTIAL_GROWTH","FQ3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31" s="1" t="e">
        <f ca="1">_xll.BDH($C$128,"DPS_SEQUENTIAL_GROWTH","FQ3 2014","FQ3 2014","Currency=INR","Period=FQ","BEST_FPERIOD_OVERRIDE=FQ","FILING_STATUS=OR","EQY_CONSOLIDATED=Y","Sort=A","Dates=H","DateFormat=P","Fill=—","Direction=H","UseDPDF=Y")</f>
        <v>#NAME?</v>
      </c>
      <c r="BL131" s="1" t="e">
        <f ca="1">_xll.BDH($C$128,"ACCOUNTS_RECEIVABLE_SEQ_GROWTH","FQ3 2014","FQ3 2014","Currency=INR","Period=FQ","BEST_FPERIOD_OVERRIDE=FQ","FILING_STATUS=OR","EQY_CONSOLIDATED=Y","Sort=A","Dates=H","DateFormat=P","Fill=—","Direction=H","UseDPDF=Y")</f>
        <v>#NAME?</v>
      </c>
      <c r="BM131" s="1" t="e">
        <f ca="1">_xll.BDH($C$128,"INVENTORY_SEQUENTIAL_GROWTH","FQ3 2014","FQ3 2014","Currency=INR","Period=FQ","BEST_FPERIOD_OVERRIDE=FQ","FILING_STATUS=OR","EQY_CONSOLIDATED=Y","Sort=A","Dates=H","DateFormat=P","Fill=—","Direction=H","UseDPDF=Y")</f>
        <v>#NAME?</v>
      </c>
      <c r="BN131" s="1" t="e">
        <f ca="1">_xll.BDH($C$128,"FIXED_ASSETS_SEQUENTIAL_GROWTH","FQ3 2014","FQ3 2014","Currency=INR","Period=FQ","BEST_FPERIOD_OVERRIDE=FQ","FILING_STATUS=OR","EQY_CONSOLIDATED=Y","Sort=A","Dates=H","DateFormat=P","Fill=—","Direction=H","UseDPDF=Y")</f>
        <v>#NAME?</v>
      </c>
      <c r="BO131" s="1" t="e">
        <f ca="1">_xll.BDH($C$128,"TOTAL_ASSETS_SEQUENTIAL_GROWTH","FQ3 2014","FQ3 2014","Currency=INR","Period=FQ","BEST_FPERIOD_OVERRIDE=FQ","FILING_STATUS=OR","EQY_CONSOLIDATED=Y","Sort=A","Dates=H","DateFormat=P","Fill=—","Direction=H","UseDPDF=Y")</f>
        <v>#NAME?</v>
      </c>
      <c r="BP131" s="1" t="e">
        <f ca="1">_xll.BDH($C$128,"MODIFIED_WORKING_CPTL_SEQ_GRWTH","FQ3 2014","FQ3 2014","Currency=INR","Period=FQ","BEST_FPERIOD_OVERRIDE=FQ","FILING_STATUS=OR","EQY_CONSOLIDATED=Y","Sort=A","Dates=H","DateFormat=P","Fill=—","Direction=H","UseDPDF=Y")</f>
        <v>#NAME?</v>
      </c>
      <c r="BQ131" s="1" t="e">
        <f ca="1">_xll.BDH($C$128,"WORKING_CAPITAL_SEQ_GROWTH","FQ3 2014","FQ3 2014","Currency=INR","Period=FQ","BEST_FPERIOD_OVERRIDE=FQ","FILING_STATUS=OR","EQY_CONSOLIDATED=Y","Sort=A","Dates=H","DateFormat=P","Fill=—","Direction=H","UseDPDF=Y")</f>
        <v>#NAME?</v>
      </c>
      <c r="BR131" s="1" t="e">
        <f ca="1">_xll.BDH($C$128,"ACCOUNTS_PAYABLE_SEQ_GROWTH","FQ3 2014","FQ3 2014","Currency=INR","Period=FQ","BEST_FPERIOD_OVERRIDE=FQ","FILING_STATUS=OR","EQY_CONSOLIDATED=Y","Sort=A","Dates=H","DateFormat=P","Fill=—","Direction=H","UseDPDF=Y")</f>
        <v>#NAME?</v>
      </c>
      <c r="BS131" s="1" t="e">
        <f ca="1">_xll.BDH($C$128,"ST_DEBT_SEQUENTIAL_GROWTH","FQ3 2014","FQ3 2014","Currency=INR","Period=FQ","BEST_FPERIOD_OVERRIDE=FQ","FILING_STATUS=OR","EQY_CONSOLIDATED=Y","Sort=A","Dates=H","DateFormat=P","Fill=—","Direction=H","UseDPDF=Y")</f>
        <v>#NAME?</v>
      </c>
      <c r="BT131" s="1" t="e">
        <f ca="1">_xll.BDH($C$128,"TOTAL_DEBT_SEQUENTIAL_GROWTH","FQ3 2014","FQ3 2014","Currency=INR","Period=FQ","BEST_FPERIOD_OVERRIDE=FQ","FILING_STATUS=OR","EQY_CONSOLIDATED=Y","Sort=A","Dates=H","DateFormat=P","Fill=—","Direction=H","UseDPDF=Y")</f>
        <v>#NAME?</v>
      </c>
      <c r="BU131" s="1" t="e">
        <f ca="1">_xll.BDH($C$128,"TOTAL_EQUITY_SEQUENTIAL_GROWTH","FQ3 2014","FQ3 2014","Currency=INR","Period=FQ","BEST_FPERIOD_OVERRIDE=FQ","FILING_STATUS=OR","EQY_CONSOLIDATED=Y","Sort=A","Dates=H","DateFormat=P","Fill=—","Direction=H","UseDPDF=Y")</f>
        <v>#NAME?</v>
      </c>
      <c r="BV131" s="1" t="e">
        <f ca="1">_xll.BDH($C$128,"TOTAL_CAPITAL_SEQUENTIAL_GROWTH","FQ3 2014","FQ3 2014","Currency=INR","Period=FQ","BEST_FPERIOD_OVERRIDE=FQ","FILING_STATUS=OR","EQY_CONSOLIDATED=Y","Sort=A","Dates=H","DateFormat=P","Fill=—","Direction=H","UseDPDF=Y")</f>
        <v>#NAME?</v>
      </c>
      <c r="BW131" s="1" t="e">
        <f ca="1">_xll.BDH($C$128,"BPS_SEQUENTIAL_GROWTH","FQ3 2014","FQ3 2014","Currency=INR","Period=FQ","BEST_FPERIOD_OVERRIDE=FQ","FILING_STATUS=OR","EQY_CONSOLIDATED=Y","Sort=A","Dates=H","DateFormat=P","Fill=—","Direction=H","UseDPDF=Y")</f>
        <v>#NAME?</v>
      </c>
      <c r="BX131" s="1" t="e">
        <f ca="1">_xll.BDH($C$128,"CFO_SEQUENTIAL_GROWTH","FQ3 2014","FQ3 2014","Currency=INR","Period=FQ","BEST_FPERIOD_OVERRIDE=FQ","FILING_STATUS=OR","EQY_CONSOLIDATED=Y","Sort=A","Dates=H","DateFormat=P","Fill=—","Direction=H","UseDPDF=Y")</f>
        <v>#NAME?</v>
      </c>
      <c r="BY131" s="2" t="e">
        <f ca="1">_xll.BDH($C$128,"SHORT_AND_LONG_TERM_DEBT","FQ3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31" s="2" t="e">
        <f ca="1">_xll.BDH($C$128,"BS_ST_BORROW","FQ3 2014","FQ3 2014","Currency=INR","Period=FQ","BEST_FPERIOD_OVERRIDE=FQ","FILING_STATUS=OR","EQY_CONSOLIDATED=Y","SCALING_FORMAT=MLN","Sort=A","Dates=H","DateFormat=P","Fill=—","Direction=H","UseDPDF=Y")</f>
        <v>#NAME?</v>
      </c>
      <c r="CA131" s="2" t="e">
        <f ca="1">_xll.BDH($C$128,"BS_LT_BORROW","FQ3 2014","FQ3 2014","Currency=INR","Period=FQ","BEST_FPERIOD_OVERRIDE=FQ","FILING_STATUS=OR","EQY_CONSOLIDATED=Y","SCALING_FORMAT=MLN","Sort=A","Dates=H","DateFormat=P","Fill=—","Direction=H","UseDPDF=Y")</f>
        <v>#NAME?</v>
      </c>
      <c r="CB131" s="1" t="e">
        <f ca="1">_xll.BDH($C$128,"TOT_DEBT_TO_EBITDA","FQ3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31" s="1" t="e">
        <f ca="1">_xll.BDH($C$128,"NET_DEBT_TO_EBITDA","FQ3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31" s="1" t="e">
        <f ca="1">_xll.BDH($C$128,"TOTAL_DEBT_TO_EBIT","FQ3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31" s="1" t="e">
        <f ca="1">_xll.BDH($C$128,"NET_DEBT_TO_EBIT","FQ3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131" s="1" t="e">
        <f ca="1">_xll.BDH($C$128,"EBITDA_TO_INTEREST_EXPN","FQ3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31" s="1" t="e">
        <f ca="1">_xll.BDH($C$128,"COM_EQY_TO_TOT_ASSET","FQ3 2014","FQ3 2014","Currency=INR","Period=FQ","BEST_FPERIOD_OVERRIDE=FQ","FILING_STATUS=OR","EQY_CONSOLIDATED=Y","Sort=A","Dates=H","DateFormat=P","Fill=—","Direction=H","UseDPDF=Y")</f>
        <v>#NAME?</v>
      </c>
      <c r="CH131" s="1" t="e">
        <f ca="1">_xll.BDH($C$128,"LT_DEBT_TO_TOT_EQY","FQ3 2014","FQ3 2014","Currency=INR","Period=FQ","BEST_FPERIOD_OVERRIDE=FQ","FILING_STATUS=OR","EQY_CONSOLIDATED=Y","Sort=A","Dates=H","DateFormat=P","Fill=—","Direction=H","UseDPDF=Y")</f>
        <v>#NAME?</v>
      </c>
      <c r="CI131" s="1" t="e">
        <f ca="1">_xll.BDH($C$128,"LT_DEBT_TO_TOT_CAP","FQ3 2014","FQ3 2014","Currency=INR","Period=FQ","BEST_FPERIOD_OVERRIDE=FQ","FILING_STATUS=OR","EQY_CONSOLIDATED=Y","Sort=A","Dates=H","DateFormat=P","Fill=—","Direction=H","UseDPDF=Y")</f>
        <v>#NAME?</v>
      </c>
      <c r="CJ131" s="1" t="e">
        <f ca="1">_xll.BDH($C$128,"LT_DEBT_TO_TOT_ASSET","FQ3 2014","FQ3 2014","Currency=INR","Period=FQ","BEST_FPERIOD_OVERRIDE=FQ","FILING_STATUS=OR","EQY_CONSOLIDATED=Y","Sort=A","Dates=H","DateFormat=P","Fill=—","Direction=H","UseDPDF=Y")</f>
        <v>#NAME?</v>
      </c>
      <c r="CK131" s="1" t="e">
        <f ca="1">_xll.BDH($C$128,"TOT_DEBT_TO_TOT_EQY","FQ3 2014","FQ3 2014","Currency=INR","Period=FQ","BEST_FPERIOD_OVERRIDE=FQ","FILING_STATUS=OR","EQY_CONSOLIDATED=Y","Sort=A","Dates=H","DateFormat=P","Fill=—","Direction=H","UseDPDF=Y")</f>
        <v>#NAME?</v>
      </c>
      <c r="CL131" s="1" t="e">
        <f ca="1">_xll.BDH($C$128,"TOT_DEBT_TO_TOT_CAP","FQ3 2014","FQ3 2014","Currency=INR","Period=FQ","BEST_FPERIOD_OVERRIDE=FQ","FILING_STATUS=OR","EQY_CONSOLIDATED=Y","Sort=A","Dates=H","DateFormat=P","Fill=—","Direction=H","UseDPDF=Y")</f>
        <v>#NAME?</v>
      </c>
      <c r="CM131" s="1" t="e">
        <f ca="1">_xll.BDH($C$128,"TOT_DEBT_TO_TOT_ASSET","FQ3 2014","FQ3 2014","Currency=INR","Period=FQ","BEST_FPERIOD_OVERRIDE=FQ","FILING_STATUS=OR","EQY_CONSOLIDATED=Y","Sort=A","Dates=H","DateFormat=P","Fill=—","Direction=H","UseDPDF=Y")</f>
        <v>#NAME?</v>
      </c>
      <c r="CN131" s="1" t="e">
        <f ca="1">_xll.BDH($C$128,"NET_DEBT_TO_SHRHLDR_EQTY","FQ3 2014","FQ3 2014","Currency=INR","Period=FQ","BEST_FPERIOD_OVERRIDE=FQ","FILING_STATUS=OR","EQY_CONSOLIDATED=Y","Sort=A","Dates=H","DateFormat=P","Fill=—","Direction=H","UseDPDF=Y")</f>
        <v>#NAME?</v>
      </c>
      <c r="CO131" s="1" t="e">
        <f ca="1">_xll.BDH($C$128,"NET_DEBT_%_CAPITAL","FQ3 2014","FQ3 2014","Currency=INR","Period=FQ","BEST_FPERIOD_OVERRIDE=FQ","FILING_STATUS=OR","EQY_CONSOLIDATED=Y","Sort=A","Dates=H","DateFormat=P","Fill=—","Direction=H","UseDPDF=Y")</f>
        <v>#NAME?</v>
      </c>
      <c r="CP131" s="2" t="e">
        <f ca="1">_xll.BDH($C$128,"EBITDA","FQ3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31" s="2" t="e">
        <f ca="1">_xll.BDH($C$128,"EBITDA_AFTER_CAPEX","FQ3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31" s="2" t="e">
        <f ca="1">_xll.BDH($C$128,"IS_OPER_INC","FQ3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31" s="1" t="e">
        <f ca="1">_xll.BDH($C$128,"CASH_RATIO","FQ3 2014","FQ3 2014","Currency=INR","Period=FQ","BEST_FPERIOD_OVERRIDE=FQ","FILING_STATUS=OR","EQY_CONSOLIDATED=Y","Sort=A","Dates=H","DateFormat=P","Fill=—","Direction=H","UseDPDF=Y")</f>
        <v>#NAME?</v>
      </c>
      <c r="CT131" s="1" t="e">
        <f ca="1">_xll.BDH($C$128,"CUR_RATIO","FQ3 2014","FQ3 2014","Currency=INR","Period=FQ","BEST_FPERIOD_OVERRIDE=FQ","FILING_STATUS=OR","EQY_CONSOLIDATED=Y","Sort=A","Dates=H","DateFormat=P","Fill=—","Direction=H","UseDPDF=Y")</f>
        <v>#NAME?</v>
      </c>
      <c r="CU131" s="1" t="e">
        <f ca="1">_xll.BDH($C$128,"QUICK_RATIO","FQ3 2014","FQ3 2014","Currency=INR","Period=FQ","BEST_FPERIOD_OVERRIDE=FQ","FILING_STATUS=OR","EQY_CONSOLIDATED=Y","Sort=A","Dates=H","DateFormat=P","Fill=—","Direction=H","UseDPDF=Y")</f>
        <v>#NAME?</v>
      </c>
      <c r="CV131" s="1" t="e">
        <f ca="1">_xll.BDH($C$128,"ALTMAN_Z_SCORE","FQ3 2014","FQ3 2014","Currency=INR","Period=FQ","BEST_FPERIOD_OVERRIDE=FQ","FILING_STATUS=OR","EQY_CONSOLIDATED=Y","Sort=A","Dates=H","DateFormat=P","Fill=—","Direction=H","UseDPDF=Y")</f>
        <v>#NAME?</v>
      </c>
      <c r="CW131" s="3" t="e">
        <f ca="1">_xll.BDH($C$128,"ACCT_RCV_TURN","FQ3 2014","FQ3 2014","Currency=INR","Period=FQ","BEST_FPERIOD_OVERRIDE=FQ","FILING_STATUS=OR","EQY_CONSOLIDATED=Y","FA_ADJUSTED=GAAP","Sort=A","Dates=H","DateFormat=P","Fill=—","Direction=H","UseDPDF=Y")</f>
        <v>#NAME?</v>
      </c>
      <c r="CX131" s="1" t="e">
        <f ca="1">_xll.BDH($C$128,"ACCT_RCV_DAYS","FQ3 2014","FQ3 2014","Currency=INR","Period=FQ","BEST_FPERIOD_OVERRIDE=FQ","FILING_STATUS=OR","EQY_CONSOLIDATED=Y","FA_ADJUSTED=GAAP","Sort=A","Dates=H","DateFormat=P","Fill=—","Direction=H","UseDPDF=Y")</f>
        <v>#NAME?</v>
      </c>
      <c r="CY131" s="3" t="e">
        <f ca="1">_xll.BDH($C$128,"INVENT_TURN","FQ3 2014","FQ3 2014","Currency=INR","Period=FQ","BEST_FPERIOD_OVERRIDE=FQ","FILING_STATUS=OR","EQY_CONSOLIDATED=Y","FA_ADJUSTED=GAAP","Sort=A","Dates=H","DateFormat=P","Fill=—","Direction=H","UseDPDF=Y")</f>
        <v>#NAME?</v>
      </c>
      <c r="CZ131" s="1" t="e">
        <f ca="1">_xll.BDH($C$128,"INVENT_DAYS","FQ3 2014","FQ3 2014","Currency=INR","Period=FQ","BEST_FPERIOD_OVERRIDE=FQ","FILING_STATUS=OR","EQY_CONSOLIDATED=Y","FA_ADJUSTED=GAAP","Sort=A","Dates=H","DateFormat=P","Fill=—","Direction=H","UseDPDF=Y")</f>
        <v>#NAME?</v>
      </c>
      <c r="DA131" s="3" t="e">
        <f ca="1">_xll.BDH($C$128,"ACCOUNTS_PAYABLE_TURNOVER","FQ3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31" s="1" t="e">
        <f ca="1">_xll.BDH($C$128,"ACCOUNTS_PAYABLE_TURNOVER_DAYS","FQ3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31" s="3" t="e">
        <f ca="1">_xll.BDH($C$128,"CASH_CONVERSION_CYCLE","FQ3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31" s="3" t="e">
        <f ca="1">_xll.BDH($C$128,"INV_TO_CASH_DAYS","FQ3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131" s="4" t="e">
        <f ca="1">_xll.BDH($C$128,"BS_INVENTORIES","FQ3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131" s="2" t="e">
        <f ca="1">_xll.BDH($C$128,"INVTRY_RAW_MATERIALS","FQ3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31" s="2" t="e">
        <f ca="1">_xll.BDH($C$128,"INVTRY_IN_PROGRESS","FQ3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31" s="2" t="e">
        <f ca="1">_xll.BDH($C$128,"INVTRY_FINISHED_GOODS","FQ3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31" s="2" t="e">
        <f ca="1">_xll.BDH($C$128,"BS_OTHER_INV","FQ3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32" spans="1:113" x14ac:dyDescent="0.3">
      <c r="A132" s="6"/>
      <c r="B132" s="6"/>
      <c r="C132" s="6"/>
      <c r="D132" s="6"/>
      <c r="E132" t="s">
        <v>7</v>
      </c>
      <c r="F132" t="e">
        <f ca="1">_xll.BDH($C$128,"RETURN_COM_EQY","FQ4 2014","FQ4 2014","Currency=INR","Period=FQ","BEST_FPERIOD_OVERRIDE=FQ","FILING_STATUS=OR","EQY_CONSOLIDATED=Y","FA_ADJUSTED=GAAP","Sort=A","Dates=H","DateFormat=P","Fill=—","Direction=H","UseDPDF=Y")</f>
        <v>#NAME?</v>
      </c>
      <c r="G132" t="e">
        <f ca="1">_xll.BDH($C$128,"RETURN_ON_ASSET","FQ4 2014","FQ4 2014","Currency=INR","Period=FQ","BEST_FPERIOD_OVERRIDE=FQ","FILING_STATUS=OR","EQY_CONSOLIDATED=Y","FA_ADJUSTED=GAAP","Sort=A","Dates=H","DateFormat=P","Fill=—","Direction=H","UseDPDF=Y")</f>
        <v>#NAME?</v>
      </c>
      <c r="H132" t="e">
        <f ca="1">_xll.BDH($C$128,"RETURN_ON_CAP","FQ4 2014","FQ4 2014","Currency=INR","Period=FQ","BEST_FPERIOD_OVERRIDE=FQ","FILING_STATUS=OR","EQY_CONSOLIDATED=Y","FA_ADJUSTED=GAAP","Sort=A","Dates=H","DateFormat=P","Fill=—","Direction=H","UseDPDF=Y")</f>
        <v>#NAME?</v>
      </c>
      <c r="I132" t="e">
        <f ca="1">_xll.BDH($C$128,"RETURN_ON_INV_CAPITAL","FQ4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32" t="e">
        <f ca="1">_xll.BDH($C$128,"EBITDA_TO_REVENUE","FQ4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132" t="e">
        <f ca="1">_xll.BDH($C$128,"OPER_MARGIN","FQ4 2014","FQ4 2014","Currency=INR","Period=FQ","BEST_FPERIOD_OVERRIDE=FQ","FILING_STATUS=OR","EQY_CONSOLIDATED=Y","FA_ADJUSTED=GAAP","Sort=A","Dates=H","DateFormat=P","Fill=—","Direction=H","UseDPDF=Y")</f>
        <v>#NAME?</v>
      </c>
      <c r="L132" t="e">
        <f ca="1">_xll.BDH($C$128,"INCREMENTAL_OPERATING_MARGIN","FQ4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32" t="e">
        <f ca="1">_xll.BDH($C$128,"PRETAX_INC_TO_NET_SALES","FQ4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32" t="e">
        <f ca="1">_xll.BDH($C$128,"INC_BEF_XO_ITEMS_TO_NET_SALES","FQ4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32" t="e">
        <f ca="1">_xll.BDH($C$128,"PROF_MARGIN","FQ4 2014","FQ4 2014","Currency=INR","Period=FQ","BEST_FPERIOD_OVERRIDE=FQ","FILING_STATUS=OR","EQY_CONSOLIDATED=Y","FA_ADJUSTED=GAAP","Sort=A","Dates=H","DateFormat=P","Fill=—","Direction=H","UseDPDF=Y")</f>
        <v>#NAME?</v>
      </c>
      <c r="P132" t="e">
        <f ca="1">_xll.BDH($C$128,"NET_INCOME_TO_COMMON_MARGIN","FQ4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32" t="e">
        <f ca="1">_xll.BDH($C$128,"EFF_TAX_RATE","FQ4 2014","FQ4 2014","Currency=INR","Period=FQ","BEST_FPERIOD_OVERRIDE=FQ","FILING_STATUS=OR","EQY_CONSOLIDATED=Y","FA_ADJUSTED=GAAP","Sort=A","Dates=H","DateFormat=P","Fill=—","Direction=H","UseDPDF=Y")</f>
        <v>#NAME?</v>
      </c>
      <c r="R132" t="e">
        <f ca="1">_xll.BDH($C$128,"DVD_PAYOUT_RATIO","FQ4 2014","FQ4 2014","Currency=INR","Period=FQ","BEST_FPERIOD_OVERRIDE=FQ","FILING_STATUS=OR","EQY_CONSOLIDATED=Y","FA_ADJUSTED=GAAP","Sort=A","Dates=H","DateFormat=P","Fill=—","Direction=H","UseDPDF=Y")</f>
        <v>#NAME?</v>
      </c>
      <c r="S132" t="e">
        <f ca="1">_xll.BDH($C$128,"SUSTAIN_GROWTH_RT","FQ4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132" s="1" t="e">
        <f ca="1">_xll.BDH($C$128,"SALES_GROWTH","FQ4 2014","FQ4 2014","Currency=INR","Period=FQ","BEST_FPERIOD_OVERRIDE=FQ","FILING_STATUS=OR","EQY_CONSOLIDATED=Y","FA_ADJUSTED=GAAP","Sort=A","Dates=H","DateFormat=P","Fill=—","Direction=H","UseDPDF=Y")</f>
        <v>#NAME?</v>
      </c>
      <c r="U132" s="1" t="e">
        <f ca="1">_xll.BDH($C$128,"EBITDA_GROWTH","FQ4 2014","FQ4 2014","Currency=INR","Period=FQ","BEST_FPERIOD_OVERRIDE=FQ","FILING_STATUS=OR","EQY_CONSOLIDATED=Y","FA_ADJUSTED=GAAP","Sort=A","Dates=H","DateFormat=P","Fill=—","Direction=H","UseDPDF=Y")</f>
        <v>#NAME?</v>
      </c>
      <c r="V132" s="1" t="e">
        <f ca="1">_xll.BDH($C$128,"OPER_INC_GROWTH","FQ4 2014","FQ4 2014","Currency=INR","Period=FQ","BEST_FPERIOD_OVERRIDE=FQ","FILING_STATUS=OR","EQY_CONSOLIDATED=Y","FA_ADJUSTED=GAAP","Sort=A","Dates=H","DateFormat=P","Fill=—","Direction=H","UseDPDF=Y")</f>
        <v>#NAME?</v>
      </c>
      <c r="W132" s="1" t="e">
        <f ca="1">_xll.BDH($C$128,"EARN_FOR_COM_GROWTH","FQ4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32" s="1" t="e">
        <f ca="1">_xll.BDH($C$128,"DILUTED_EPS_AFT_XO_ITEMS_GROWTH","FQ4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32" s="1" t="e">
        <f ca="1">_xll.BDH($C$128,"DIVIDEND_PER_SHARE_1_YEAR_GROWTH","FQ4 2014","FQ4 2014","Currency=INR","Period=FQ","BEST_FPERIOD_OVERRIDE=FQ","FILING_STATUS=OR","EQY_CONSOLIDATED=Y","Sort=A","Dates=H","DateFormat=P","Fill=—","Direction=H","UseDPDF=Y")</f>
        <v>#NAME?</v>
      </c>
      <c r="Z132" s="1" t="e">
        <f ca="1">_xll.BDH($C$128,"ACCOUNTS_RECEIVABLE_GROWTH","FQ4 2014","FQ4 2014","Currency=INR","Period=FQ","BEST_FPERIOD_OVERRIDE=FQ","FILING_STATUS=OR","EQY_CONSOLIDATED=Y","Sort=A","Dates=H","DateFormat=P","Fill=—","Direction=H","UseDPDF=Y")</f>
        <v>#NAME?</v>
      </c>
      <c r="AA132" s="1" t="e">
        <f ca="1">_xll.BDH($C$128,"INVENTORY_GROWTH","FQ4 2014","FQ4 2014","Currency=INR","Period=FQ","BEST_FPERIOD_OVERRIDE=FQ","FILING_STATUS=OR","EQY_CONSOLIDATED=Y","Sort=A","Dates=H","DateFormat=P","Fill=—","Direction=H","UseDPDF=Y")</f>
        <v>#NAME?</v>
      </c>
      <c r="AB132" s="1" t="e">
        <f ca="1">_xll.BDH($C$128,"NET_FIXED_ASSETS_1_YEAR_GROWTH","FQ4 2014","FQ4 2014","Currency=INR","Period=FQ","BEST_FPERIOD_OVERRIDE=FQ","FILING_STATUS=OR","EQY_CONSOLIDATED=Y","Sort=A","Dates=H","DateFormat=P","Fill=—","Direction=H","UseDPDF=Y")</f>
        <v>#NAME?</v>
      </c>
      <c r="AC132" s="1" t="e">
        <f ca="1">_xll.BDH($C$128,"ASSET_GROWTH","FQ4 2014","FQ4 2014","Currency=INR","Period=FQ","BEST_FPERIOD_OVERRIDE=FQ","FILING_STATUS=OR","EQY_CONSOLIDATED=Y","Sort=A","Dates=H","DateFormat=P","Fill=—","Direction=H","UseDPDF=Y")</f>
        <v>#NAME?</v>
      </c>
      <c r="AD132" s="1" t="e">
        <f ca="1">_xll.BDH($C$128,"MODIFIED_WORK_CAP_GROWTH","FQ4 2014","FQ4 2014","Currency=INR","Period=FQ","BEST_FPERIOD_OVERRIDE=FQ","FILING_STATUS=OR","EQY_CONSOLIDATED=Y","Sort=A","Dates=H","DateFormat=P","Fill=—","Direction=H","UseDPDF=Y")</f>
        <v>#NAME?</v>
      </c>
      <c r="AE132" s="1" t="e">
        <f ca="1">_xll.BDH($C$128,"WORK_CAP_GROWTH","FQ4 2014","FQ4 2014","Currency=INR","Period=FQ","BEST_FPERIOD_OVERRIDE=FQ","FILING_STATUS=OR","EQY_CONSOLIDATED=Y","Sort=A","Dates=H","DateFormat=P","Fill=—","Direction=H","UseDPDF=Y")</f>
        <v>#NAME?</v>
      </c>
      <c r="AF132" s="1" t="e">
        <f ca="1">_xll.BDH($C$128,"ACCOUNTS_PAYABLE_GROWTH_1YR","FQ4 2014","FQ4 2014","Currency=INR","Period=FQ","BEST_FPERIOD_OVERRIDE=FQ","FILING_STATUS=OR","EQY_CONSOLIDATED=Y","Sort=A","Dates=H","DateFormat=P","Fill=—","Direction=H","UseDPDF=Y")</f>
        <v>#NAME?</v>
      </c>
      <c r="AG132" s="1" t="e">
        <f ca="1">_xll.BDH($C$128,"SHORT_TERM_DEBT_1_YEAR_GROWTH","FQ4 2014","FQ4 2014","Currency=INR","Period=FQ","BEST_FPERIOD_OVERRIDE=FQ","FILING_STATUS=OR","EQY_CONSOLIDATED=Y","Sort=A","Dates=H","DateFormat=P","Fill=—","Direction=H","UseDPDF=Y")</f>
        <v>#NAME?</v>
      </c>
      <c r="AH132" s="1" t="e">
        <f ca="1">_xll.BDH($C$128,"TOTAL_DEBT_1_YEAR_GROWTH","FQ4 2014","FQ4 2014","Currency=INR","Period=FQ","BEST_FPERIOD_OVERRIDE=FQ","FILING_STATUS=OR","EQY_CONSOLIDATED=Y","Sort=A","Dates=H","DateFormat=P","Fill=—","Direction=H","UseDPDF=Y")</f>
        <v>#NAME?</v>
      </c>
      <c r="AI132" s="1" t="e">
        <f ca="1">_xll.BDH($C$128,"TOTAL_EQUITY_1_YEAR_GROWTH","FQ4 2014","FQ4 2014","Currency=INR","Period=FQ","BEST_FPERIOD_OVERRIDE=FQ","FILING_STATUS=OR","EQY_CONSOLIDATED=Y","Sort=A","Dates=H","DateFormat=P","Fill=—","Direction=H","UseDPDF=Y")</f>
        <v>#NAME?</v>
      </c>
      <c r="AJ132" s="1" t="e">
        <f ca="1">_xll.BDH($C$128,"GROWTH_IN_CAP","FQ4 2014","FQ4 2014","Currency=INR","Period=FQ","BEST_FPERIOD_OVERRIDE=FQ","FILING_STATUS=OR","EQY_CONSOLIDATED=Y","Sort=A","Dates=H","DateFormat=P","Fill=—","Direction=H","UseDPDF=Y")</f>
        <v>#NAME?</v>
      </c>
      <c r="AK132" s="1" t="e">
        <f ca="1">_xll.BDH($C$128,"BVPS_GROWTH","FQ4 2014","FQ4 2014","Currency=INR","Period=FQ","BEST_FPERIOD_OVERRIDE=FQ","FILING_STATUS=OR","EQY_CONSOLIDATED=Y","Sort=A","Dates=H","DateFormat=P","Fill=—","Direction=H","UseDPDF=Y")</f>
        <v>#NAME?</v>
      </c>
      <c r="AL132" s="1" t="e">
        <f ca="1">_xll.BDH($C$128,"CASH_FLOW_GROWTH","FQ4 2014","FQ4 2014","Currency=INR","Period=FQ","BEST_FPERIOD_OVERRIDE=FQ","FILING_STATUS=OR","EQY_CONSOLIDATED=Y","Sort=A","Dates=H","DateFormat=P","Fill=—","Direction=H","UseDPDF=Y")</f>
        <v>#NAME?</v>
      </c>
      <c r="AM132" s="1" t="e">
        <f ca="1">_xll.BDH($C$128,"GEO_GROW_NET_SALES","FQ4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32" s="1" t="e">
        <f ca="1">_xll.BDH($C$128,"GEO_GROW_EBITDA","FQ4 2014","FQ4 2014","Currency=INR","Period=FQ","BEST_FPERIOD_OVERRIDE=FQ","FILING_STATUS=OR","EQY_CONSOLIDATED=Y","FA_ADJUSTED=GAAP","Sort=A","Dates=H","DateFormat=P","Fill=—","Direction=H","UseDPDF=Y")</f>
        <v>#NAME?</v>
      </c>
      <c r="AO132" s="1" t="e">
        <f ca="1">_xll.BDH($C$128,"GEO_GROW_OPER_INC","FQ4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32" s="1" t="e">
        <f ca="1">_xll.BDH($C$128,"NET_INCOME_TO_COMMON_5_YR_GROWTH","FQ4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32" s="1" t="e">
        <f ca="1">_xll.BDH($C$128,"5Y_GEO_GROWTH_DILUTED_EPS","FQ4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32" s="1" t="e">
        <f ca="1">_xll.BDH($C$128,"GEO_GROW_DVD_PER_SH","FQ4 2014","FQ4 2014","Currency=INR","Period=FQ","BEST_FPERIOD_OVERRIDE=FQ","FILING_STATUS=OR","EQY_CONSOLIDATED=Y","Sort=A","Dates=H","DateFormat=P","Fill=—","Direction=H","UseDPDF=Y")</f>
        <v>#NAME?</v>
      </c>
      <c r="AS132" s="1" t="e">
        <f ca="1">_xll.BDH($C$128,"ACCOUNTS_RECEIVABLE_5_YR_GROWTH","FQ4 2014","FQ4 2014","Currency=INR","Period=FQ","BEST_FPERIOD_OVERRIDE=FQ","FILING_STATUS=OR","EQY_CONSOLIDATED=Y","Sort=A","Dates=H","DateFormat=P","Fill=—","Direction=H","UseDPDF=Y")</f>
        <v>#NAME?</v>
      </c>
      <c r="AT132" s="1" t="e">
        <f ca="1">_xll.BDH($C$128,"INVENTORY_5_YEAR_GROWTH","FQ4 2014","FQ4 2014","Currency=INR","Period=FQ","BEST_FPERIOD_OVERRIDE=FQ","FILING_STATUS=OR","EQY_CONSOLIDATED=Y","Sort=A","Dates=H","DateFormat=P","Fill=—","Direction=H","UseDPDF=Y")</f>
        <v>#NAME?</v>
      </c>
      <c r="AU132" s="1" t="e">
        <f ca="1">_xll.BDH($C$128,"NET_FIXED_ASSETS_5_YEAR_GROWTH","FQ4 2014","FQ4 2014","Currency=INR","Period=FQ","BEST_FPERIOD_OVERRIDE=FQ","FILING_STATUS=OR","EQY_CONSOLIDATED=Y","Sort=A","Dates=H","DateFormat=P","Fill=—","Direction=H","UseDPDF=Y")</f>
        <v>#NAME?</v>
      </c>
      <c r="AV132" s="1" t="e">
        <f ca="1">_xll.BDH($C$128,"GEO_GROW_TOT_ASSET","FQ4 2014","FQ4 2014","Currency=INR","Period=FQ","BEST_FPERIOD_OVERRIDE=FQ","FILING_STATUS=OR","EQY_CONSOLIDATED=Y","Sort=A","Dates=H","DateFormat=P","Fill=—","Direction=H","UseDPDF=Y")</f>
        <v>#NAME?</v>
      </c>
      <c r="AW132" s="1" t="e">
        <f ca="1">_xll.BDH($C$128,"MODIFIED_WORKING_CPTL_5YR_GRWTH","FQ4 2014","FQ4 2014","Currency=INR","Period=FQ","BEST_FPERIOD_OVERRIDE=FQ","FILING_STATUS=OR","EQY_CONSOLIDATED=Y","Sort=A","Dates=H","DateFormat=P","Fill=—","Direction=H","UseDPDF=Y")</f>
        <v>#NAME?</v>
      </c>
      <c r="AX132" s="1" t="e">
        <f ca="1">_xll.BDH($C$128,"WORKING_CAPITAL_5_YEAR_GROWTH","FQ4 2014","FQ4 2014","Currency=INR","Period=FQ","BEST_FPERIOD_OVERRIDE=FQ","FILING_STATUS=OR","EQY_CONSOLIDATED=Y","Sort=A","Dates=H","DateFormat=P","Fill=—","Direction=H","UseDPDF=Y")</f>
        <v>#NAME?</v>
      </c>
      <c r="AY132" s="1" t="e">
        <f ca="1">_xll.BDH($C$128,"ACCOUNTS_PAYABLE_5_YEAR_GROWTH","FQ4 2014","FQ4 2014","Currency=INR","Period=FQ","BEST_FPERIOD_OVERRIDE=FQ","FILING_STATUS=OR","EQY_CONSOLIDATED=Y","Sort=A","Dates=H","DateFormat=P","Fill=—","Direction=H","UseDPDF=Y")</f>
        <v>#NAME?</v>
      </c>
      <c r="AZ132" s="1" t="e">
        <f ca="1">_xll.BDH($C$128,"SHORT_TERM_DEBT_5_YEAR_GROWTH","FQ4 2014","FQ4 2014","Currency=INR","Period=FQ","BEST_FPERIOD_OVERRIDE=FQ","FILING_STATUS=OR","EQY_CONSOLIDATED=Y","Sort=A","Dates=H","DateFormat=P","Fill=—","Direction=H","UseDPDF=Y")</f>
        <v>#NAME?</v>
      </c>
      <c r="BA132" s="1" t="e">
        <f ca="1">_xll.BDH($C$128,"TOTAL_DEBT_5_YEAR_GROWTH","FQ4 2014","FQ4 2014","Currency=INR","Period=FQ","BEST_FPERIOD_OVERRIDE=FQ","FILING_STATUS=OR","EQY_CONSOLIDATED=Y","Sort=A","Dates=H","DateFormat=P","Fill=—","Direction=H","UseDPDF=Y")</f>
        <v>#NAME?</v>
      </c>
      <c r="BB132" s="1" t="e">
        <f ca="1">_xll.BDH($C$128,"GEO_GROW_TOT_SHRHLDR_EQY","FQ4 2014","FQ4 2014","Currency=INR","Period=FQ","BEST_FPERIOD_OVERRIDE=FQ","FILING_STATUS=OR","EQY_CONSOLIDATED=Y","Sort=A","Dates=H","DateFormat=P","Fill=—","Direction=H","UseDPDF=Y")</f>
        <v>#NAME?</v>
      </c>
      <c r="BC132" s="1" t="e">
        <f ca="1">_xll.BDH($C$128,"TOTAL_CAPITAL_5_YEAR_GROWTH","FQ4 2014","FQ4 2014","Currency=INR","Period=FQ","BEST_FPERIOD_OVERRIDE=FQ","FILING_STATUS=OR","EQY_CONSOLIDATED=Y","Sort=A","Dates=H","DateFormat=P","Fill=—","Direction=H","UseDPDF=Y")</f>
        <v>#NAME?</v>
      </c>
      <c r="BD132" s="1" t="e">
        <f ca="1">_xll.BDH($C$128,"GEO_GROW_BOOK_VAL","FQ4 2014","FQ4 2014","Currency=INR","Period=FQ","BEST_FPERIOD_OVERRIDE=FQ","FILING_STATUS=OR","EQY_CONSOLIDATED=Y","Sort=A","Dates=H","DateFormat=P","Fill=—","Direction=H","UseDPDF=Y")</f>
        <v>#NAME?</v>
      </c>
      <c r="BE132" s="1" t="e">
        <f ca="1">_xll.BDH($C$128,"GEO_GROW_CASH_OPER_ACT","FQ4 2014","FQ4 2014","Currency=INR","Period=FQ","BEST_FPERIOD_OVERRIDE=FQ","FILING_STATUS=OR","EQY_CONSOLIDATED=Y","Sort=A","Dates=H","DateFormat=P","Fill=—","Direction=H","UseDPDF=Y")</f>
        <v>#NAME?</v>
      </c>
      <c r="BF132" s="1" t="e">
        <f ca="1">_xll.BDH($C$128,"REVENUE_SEQUENTIAL_GROWTH","FQ4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32" s="1" t="e">
        <f ca="1">_xll.BDH($C$128,"EBITDA_SEQUENTIAL_GROWTH","FQ4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32" s="1" t="e">
        <f ca="1">_xll.BDH($C$128,"OPERATING_INCOME_SEQ_GROWTH","FQ4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32" s="1" t="e">
        <f ca="1">_xll.BDH($C$128,"NET_INCOME_TO_COMMON_SEQ_GROWTH","FQ4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32" s="1" t="e">
        <f ca="1">_xll.BDH($C$128,"EPS_DILUTED_SEQUENTIAL_GROWTH","FQ4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32" s="1" t="e">
        <f ca="1">_xll.BDH($C$128,"DPS_SEQUENTIAL_GROWTH","FQ4 2014","FQ4 2014","Currency=INR","Period=FQ","BEST_FPERIOD_OVERRIDE=FQ","FILING_STATUS=OR","EQY_CONSOLIDATED=Y","Sort=A","Dates=H","DateFormat=P","Fill=—","Direction=H","UseDPDF=Y")</f>
        <v>#NAME?</v>
      </c>
      <c r="BL132" s="1" t="e">
        <f ca="1">_xll.BDH($C$128,"ACCOUNTS_RECEIVABLE_SEQ_GROWTH","FQ4 2014","FQ4 2014","Currency=INR","Period=FQ","BEST_FPERIOD_OVERRIDE=FQ","FILING_STATUS=OR","EQY_CONSOLIDATED=Y","Sort=A","Dates=H","DateFormat=P","Fill=—","Direction=H","UseDPDF=Y")</f>
        <v>#NAME?</v>
      </c>
      <c r="BM132" s="1" t="e">
        <f ca="1">_xll.BDH($C$128,"INVENTORY_SEQUENTIAL_GROWTH","FQ4 2014","FQ4 2014","Currency=INR","Period=FQ","BEST_FPERIOD_OVERRIDE=FQ","FILING_STATUS=OR","EQY_CONSOLIDATED=Y","Sort=A","Dates=H","DateFormat=P","Fill=—","Direction=H","UseDPDF=Y")</f>
        <v>#NAME?</v>
      </c>
      <c r="BN132" s="1" t="e">
        <f ca="1">_xll.BDH($C$128,"FIXED_ASSETS_SEQUENTIAL_GROWTH","FQ4 2014","FQ4 2014","Currency=INR","Period=FQ","BEST_FPERIOD_OVERRIDE=FQ","FILING_STATUS=OR","EQY_CONSOLIDATED=Y","Sort=A","Dates=H","DateFormat=P","Fill=—","Direction=H","UseDPDF=Y")</f>
        <v>#NAME?</v>
      </c>
      <c r="BO132" s="1" t="e">
        <f ca="1">_xll.BDH($C$128,"TOTAL_ASSETS_SEQUENTIAL_GROWTH","FQ4 2014","FQ4 2014","Currency=INR","Period=FQ","BEST_FPERIOD_OVERRIDE=FQ","FILING_STATUS=OR","EQY_CONSOLIDATED=Y","Sort=A","Dates=H","DateFormat=P","Fill=—","Direction=H","UseDPDF=Y")</f>
        <v>#NAME?</v>
      </c>
      <c r="BP132" s="1" t="e">
        <f ca="1">_xll.BDH($C$128,"MODIFIED_WORKING_CPTL_SEQ_GRWTH","FQ4 2014","FQ4 2014","Currency=INR","Period=FQ","BEST_FPERIOD_OVERRIDE=FQ","FILING_STATUS=OR","EQY_CONSOLIDATED=Y","Sort=A","Dates=H","DateFormat=P","Fill=—","Direction=H","UseDPDF=Y")</f>
        <v>#NAME?</v>
      </c>
      <c r="BQ132" s="1" t="e">
        <f ca="1">_xll.BDH($C$128,"WORKING_CAPITAL_SEQ_GROWTH","FQ4 2014","FQ4 2014","Currency=INR","Period=FQ","BEST_FPERIOD_OVERRIDE=FQ","FILING_STATUS=OR","EQY_CONSOLIDATED=Y","Sort=A","Dates=H","DateFormat=P","Fill=—","Direction=H","UseDPDF=Y")</f>
        <v>#NAME?</v>
      </c>
      <c r="BR132" s="1" t="e">
        <f ca="1">_xll.BDH($C$128,"ACCOUNTS_PAYABLE_SEQ_GROWTH","FQ4 2014","FQ4 2014","Currency=INR","Period=FQ","BEST_FPERIOD_OVERRIDE=FQ","FILING_STATUS=OR","EQY_CONSOLIDATED=Y","Sort=A","Dates=H","DateFormat=P","Fill=—","Direction=H","UseDPDF=Y")</f>
        <v>#NAME?</v>
      </c>
      <c r="BS132" s="1" t="e">
        <f ca="1">_xll.BDH($C$128,"ST_DEBT_SEQUENTIAL_GROWTH","FQ4 2014","FQ4 2014","Currency=INR","Period=FQ","BEST_FPERIOD_OVERRIDE=FQ","FILING_STATUS=OR","EQY_CONSOLIDATED=Y","Sort=A","Dates=H","DateFormat=P","Fill=—","Direction=H","UseDPDF=Y")</f>
        <v>#NAME?</v>
      </c>
      <c r="BT132" s="1" t="e">
        <f ca="1">_xll.BDH($C$128,"TOTAL_DEBT_SEQUENTIAL_GROWTH","FQ4 2014","FQ4 2014","Currency=INR","Period=FQ","BEST_FPERIOD_OVERRIDE=FQ","FILING_STATUS=OR","EQY_CONSOLIDATED=Y","Sort=A","Dates=H","DateFormat=P","Fill=—","Direction=H","UseDPDF=Y")</f>
        <v>#NAME?</v>
      </c>
      <c r="BU132" s="1" t="e">
        <f ca="1">_xll.BDH($C$128,"TOTAL_EQUITY_SEQUENTIAL_GROWTH","FQ4 2014","FQ4 2014","Currency=INR","Period=FQ","BEST_FPERIOD_OVERRIDE=FQ","FILING_STATUS=OR","EQY_CONSOLIDATED=Y","Sort=A","Dates=H","DateFormat=P","Fill=—","Direction=H","UseDPDF=Y")</f>
        <v>#NAME?</v>
      </c>
      <c r="BV132" s="1" t="e">
        <f ca="1">_xll.BDH($C$128,"TOTAL_CAPITAL_SEQUENTIAL_GROWTH","FQ4 2014","FQ4 2014","Currency=INR","Period=FQ","BEST_FPERIOD_OVERRIDE=FQ","FILING_STATUS=OR","EQY_CONSOLIDATED=Y","Sort=A","Dates=H","DateFormat=P","Fill=—","Direction=H","UseDPDF=Y")</f>
        <v>#NAME?</v>
      </c>
      <c r="BW132" s="1" t="e">
        <f ca="1">_xll.BDH($C$128,"BPS_SEQUENTIAL_GROWTH","FQ4 2014","FQ4 2014","Currency=INR","Period=FQ","BEST_FPERIOD_OVERRIDE=FQ","FILING_STATUS=OR","EQY_CONSOLIDATED=Y","Sort=A","Dates=H","DateFormat=P","Fill=—","Direction=H","UseDPDF=Y")</f>
        <v>#NAME?</v>
      </c>
      <c r="BX132" s="1" t="e">
        <f ca="1">_xll.BDH($C$128,"CFO_SEQUENTIAL_GROWTH","FQ4 2014","FQ4 2014","Currency=INR","Period=FQ","BEST_FPERIOD_OVERRIDE=FQ","FILING_STATUS=OR","EQY_CONSOLIDATED=Y","Sort=A","Dates=H","DateFormat=P","Fill=—","Direction=H","UseDPDF=Y")</f>
        <v>#NAME?</v>
      </c>
      <c r="BY132" s="2" t="e">
        <f ca="1">_xll.BDH($C$128,"SHORT_AND_LONG_TERM_DEBT","FQ4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32" s="2" t="e">
        <f ca="1">_xll.BDH($C$128,"BS_ST_BORROW","FQ4 2014","FQ4 2014","Currency=INR","Period=FQ","BEST_FPERIOD_OVERRIDE=FQ","FILING_STATUS=OR","EQY_CONSOLIDATED=Y","SCALING_FORMAT=MLN","Sort=A","Dates=H","DateFormat=P","Fill=—","Direction=H","UseDPDF=Y")</f>
        <v>#NAME?</v>
      </c>
      <c r="CA132" s="2" t="e">
        <f ca="1">_xll.BDH($C$128,"BS_LT_BORROW","FQ4 2014","FQ4 2014","Currency=INR","Period=FQ","BEST_FPERIOD_OVERRIDE=FQ","FILING_STATUS=OR","EQY_CONSOLIDATED=Y","SCALING_FORMAT=MLN","Sort=A","Dates=H","DateFormat=P","Fill=—","Direction=H","UseDPDF=Y")</f>
        <v>#NAME?</v>
      </c>
      <c r="CB132" s="1" t="e">
        <f ca="1">_xll.BDH($C$128,"TOT_DEBT_TO_EBITDA","FQ4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32" s="1" t="e">
        <f ca="1">_xll.BDH($C$128,"NET_DEBT_TO_EBITDA","FQ4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32" s="1" t="e">
        <f ca="1">_xll.BDH($C$128,"TOTAL_DEBT_TO_EBIT","FQ4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32" s="1" t="e">
        <f ca="1">_xll.BDH($C$128,"NET_DEBT_TO_EBIT","FQ4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132" s="1" t="e">
        <f ca="1">_xll.BDH($C$128,"EBITDA_TO_INTEREST_EXPN","FQ4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32" s="1" t="e">
        <f ca="1">_xll.BDH($C$128,"COM_EQY_TO_TOT_ASSET","FQ4 2014","FQ4 2014","Currency=INR","Period=FQ","BEST_FPERIOD_OVERRIDE=FQ","FILING_STATUS=OR","EQY_CONSOLIDATED=Y","Sort=A","Dates=H","DateFormat=P","Fill=—","Direction=H","UseDPDF=Y")</f>
        <v>#NAME?</v>
      </c>
      <c r="CH132" s="1" t="e">
        <f ca="1">_xll.BDH($C$128,"LT_DEBT_TO_TOT_EQY","FQ4 2014","FQ4 2014","Currency=INR","Period=FQ","BEST_FPERIOD_OVERRIDE=FQ","FILING_STATUS=OR","EQY_CONSOLIDATED=Y","Sort=A","Dates=H","DateFormat=P","Fill=—","Direction=H","UseDPDF=Y")</f>
        <v>#NAME?</v>
      </c>
      <c r="CI132" s="1" t="e">
        <f ca="1">_xll.BDH($C$128,"LT_DEBT_TO_TOT_CAP","FQ4 2014","FQ4 2014","Currency=INR","Period=FQ","BEST_FPERIOD_OVERRIDE=FQ","FILING_STATUS=OR","EQY_CONSOLIDATED=Y","Sort=A","Dates=H","DateFormat=P","Fill=—","Direction=H","UseDPDF=Y")</f>
        <v>#NAME?</v>
      </c>
      <c r="CJ132" s="1" t="e">
        <f ca="1">_xll.BDH($C$128,"LT_DEBT_TO_TOT_ASSET","FQ4 2014","FQ4 2014","Currency=INR","Period=FQ","BEST_FPERIOD_OVERRIDE=FQ","FILING_STATUS=OR","EQY_CONSOLIDATED=Y","Sort=A","Dates=H","DateFormat=P","Fill=—","Direction=H","UseDPDF=Y")</f>
        <v>#NAME?</v>
      </c>
      <c r="CK132" s="1" t="e">
        <f ca="1">_xll.BDH($C$128,"TOT_DEBT_TO_TOT_EQY","FQ4 2014","FQ4 2014","Currency=INR","Period=FQ","BEST_FPERIOD_OVERRIDE=FQ","FILING_STATUS=OR","EQY_CONSOLIDATED=Y","Sort=A","Dates=H","DateFormat=P","Fill=—","Direction=H","UseDPDF=Y")</f>
        <v>#NAME?</v>
      </c>
      <c r="CL132" s="1" t="e">
        <f ca="1">_xll.BDH($C$128,"TOT_DEBT_TO_TOT_CAP","FQ4 2014","FQ4 2014","Currency=INR","Period=FQ","BEST_FPERIOD_OVERRIDE=FQ","FILING_STATUS=OR","EQY_CONSOLIDATED=Y","Sort=A","Dates=H","DateFormat=P","Fill=—","Direction=H","UseDPDF=Y")</f>
        <v>#NAME?</v>
      </c>
      <c r="CM132" s="1" t="e">
        <f ca="1">_xll.BDH($C$128,"TOT_DEBT_TO_TOT_ASSET","FQ4 2014","FQ4 2014","Currency=INR","Period=FQ","BEST_FPERIOD_OVERRIDE=FQ","FILING_STATUS=OR","EQY_CONSOLIDATED=Y","Sort=A","Dates=H","DateFormat=P","Fill=—","Direction=H","UseDPDF=Y")</f>
        <v>#NAME?</v>
      </c>
      <c r="CN132" s="1" t="e">
        <f ca="1">_xll.BDH($C$128,"NET_DEBT_TO_SHRHLDR_EQTY","FQ4 2014","FQ4 2014","Currency=INR","Period=FQ","BEST_FPERIOD_OVERRIDE=FQ","FILING_STATUS=OR","EQY_CONSOLIDATED=Y","Sort=A","Dates=H","DateFormat=P","Fill=—","Direction=H","UseDPDF=Y")</f>
        <v>#NAME?</v>
      </c>
      <c r="CO132" s="1" t="e">
        <f ca="1">_xll.BDH($C$128,"NET_DEBT_%_CAPITAL","FQ4 2014","FQ4 2014","Currency=INR","Period=FQ","BEST_FPERIOD_OVERRIDE=FQ","FILING_STATUS=OR","EQY_CONSOLIDATED=Y","Sort=A","Dates=H","DateFormat=P","Fill=—","Direction=H","UseDPDF=Y")</f>
        <v>#NAME?</v>
      </c>
      <c r="CP132" s="2" t="e">
        <f ca="1">_xll.BDH($C$128,"EBITDA","FQ4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32" s="2" t="e">
        <f ca="1">_xll.BDH($C$128,"EBITDA_AFTER_CAPEX","FQ4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32" s="2" t="e">
        <f ca="1">_xll.BDH($C$128,"IS_OPER_INC","FQ4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32" s="1" t="e">
        <f ca="1">_xll.BDH($C$128,"CASH_RATIO","FQ4 2014","FQ4 2014","Currency=INR","Period=FQ","BEST_FPERIOD_OVERRIDE=FQ","FILING_STATUS=OR","EQY_CONSOLIDATED=Y","Sort=A","Dates=H","DateFormat=P","Fill=—","Direction=H","UseDPDF=Y")</f>
        <v>#NAME?</v>
      </c>
      <c r="CT132" s="1" t="e">
        <f ca="1">_xll.BDH($C$128,"CUR_RATIO","FQ4 2014","FQ4 2014","Currency=INR","Period=FQ","BEST_FPERIOD_OVERRIDE=FQ","FILING_STATUS=OR","EQY_CONSOLIDATED=Y","Sort=A","Dates=H","DateFormat=P","Fill=—","Direction=H","UseDPDF=Y")</f>
        <v>#NAME?</v>
      </c>
      <c r="CU132" s="1" t="e">
        <f ca="1">_xll.BDH($C$128,"QUICK_RATIO","FQ4 2014","FQ4 2014","Currency=INR","Period=FQ","BEST_FPERIOD_OVERRIDE=FQ","FILING_STATUS=OR","EQY_CONSOLIDATED=Y","Sort=A","Dates=H","DateFormat=P","Fill=—","Direction=H","UseDPDF=Y")</f>
        <v>#NAME?</v>
      </c>
      <c r="CV132" s="1" t="e">
        <f ca="1">_xll.BDH($C$128,"ALTMAN_Z_SCORE","FQ4 2014","FQ4 2014","Currency=INR","Period=FQ","BEST_FPERIOD_OVERRIDE=FQ","FILING_STATUS=OR","EQY_CONSOLIDATED=Y","Sort=A","Dates=H","DateFormat=P","Fill=—","Direction=H","UseDPDF=Y")</f>
        <v>#NAME?</v>
      </c>
      <c r="CW132" s="3" t="e">
        <f ca="1">_xll.BDH($C$128,"ACCT_RCV_TURN","FQ4 2014","FQ4 2014","Currency=INR","Period=FQ","BEST_FPERIOD_OVERRIDE=FQ","FILING_STATUS=OR","EQY_CONSOLIDATED=Y","FA_ADJUSTED=GAAP","Sort=A","Dates=H","DateFormat=P","Fill=—","Direction=H","UseDPDF=Y")</f>
        <v>#NAME?</v>
      </c>
      <c r="CX132" s="1" t="e">
        <f ca="1">_xll.BDH($C$128,"ACCT_RCV_DAYS","FQ4 2014","FQ4 2014","Currency=INR","Period=FQ","BEST_FPERIOD_OVERRIDE=FQ","FILING_STATUS=OR","EQY_CONSOLIDATED=Y","FA_ADJUSTED=GAAP","Sort=A","Dates=H","DateFormat=P","Fill=—","Direction=H","UseDPDF=Y")</f>
        <v>#NAME?</v>
      </c>
      <c r="CY132" s="3" t="e">
        <f ca="1">_xll.BDH($C$128,"INVENT_TURN","FQ4 2014","FQ4 2014","Currency=INR","Period=FQ","BEST_FPERIOD_OVERRIDE=FQ","FILING_STATUS=OR","EQY_CONSOLIDATED=Y","FA_ADJUSTED=GAAP","Sort=A","Dates=H","DateFormat=P","Fill=—","Direction=H","UseDPDF=Y")</f>
        <v>#NAME?</v>
      </c>
      <c r="CZ132" s="1" t="e">
        <f ca="1">_xll.BDH($C$128,"INVENT_DAYS","FQ4 2014","FQ4 2014","Currency=INR","Period=FQ","BEST_FPERIOD_OVERRIDE=FQ","FILING_STATUS=OR","EQY_CONSOLIDATED=Y","FA_ADJUSTED=GAAP","Sort=A","Dates=H","DateFormat=P","Fill=—","Direction=H","UseDPDF=Y")</f>
        <v>#NAME?</v>
      </c>
      <c r="DA132" s="3" t="e">
        <f ca="1">_xll.BDH($C$128,"ACCOUNTS_PAYABLE_TURNOVER","FQ4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32" s="1" t="e">
        <f ca="1">_xll.BDH($C$128,"ACCOUNTS_PAYABLE_TURNOVER_DAYS","FQ4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32" s="3" t="e">
        <f ca="1">_xll.BDH($C$128,"CASH_CONVERSION_CYCLE","FQ4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32" s="3" t="e">
        <f ca="1">_xll.BDH($C$128,"INV_TO_CASH_DAYS","FQ4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132" s="4" t="e">
        <f ca="1">_xll.BDH($C$128,"BS_INVENTORIES","FQ4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132" s="2" t="e">
        <f ca="1">_xll.BDH($C$128,"INVTRY_RAW_MATERIALS","FQ4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32" s="2" t="e">
        <f ca="1">_xll.BDH($C$128,"INVTRY_IN_PROGRESS","FQ4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32" s="2" t="e">
        <f ca="1">_xll.BDH($C$128,"INVTRY_FINISHED_GOODS","FQ4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32" s="2" t="e">
        <f ca="1">_xll.BDH($C$128,"BS_OTHER_INV","FQ4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33" spans="1:113" x14ac:dyDescent="0.3">
      <c r="A133" s="6"/>
      <c r="B133" s="6"/>
      <c r="C133" s="6"/>
      <c r="D133" s="6" t="s">
        <v>8</v>
      </c>
      <c r="E133" t="s">
        <v>3</v>
      </c>
      <c r="F133" t="e">
        <f ca="1">_xll.BDH($C$128,"RETURN_COM_EQY","FY 2015","FY 2015","Currency=INR","Period=FY","BEST_FPERIOD_OVERRIDE=FY","FILING_STATUS=OR","EQY_CONSOLIDATED=Y","FA_ADJUSTED=GAAP","Sort=A","Dates=H","DateFormat=P","Fill=—","Direction=H","UseDPDF=Y")</f>
        <v>#NAME?</v>
      </c>
      <c r="G133" t="e">
        <f ca="1">_xll.BDH($C$128,"RETURN_ON_ASSET","FY 2015","FY 2015","Currency=INR","Period=FY","BEST_FPERIOD_OVERRIDE=FY","FILING_STATUS=OR","EQY_CONSOLIDATED=Y","FA_ADJUSTED=GAAP","Sort=A","Dates=H","DateFormat=P","Fill=—","Direction=H","UseDPDF=Y")</f>
        <v>#NAME?</v>
      </c>
      <c r="H133" t="e">
        <f ca="1">_xll.BDH($C$128,"RETURN_ON_CAP","FY 2015","FY 2015","Currency=INR","Period=FY","BEST_FPERIOD_OVERRIDE=FY","FILING_STATUS=OR","EQY_CONSOLIDATED=Y","FA_ADJUSTED=GAAP","Sort=A","Dates=H","DateFormat=P","Fill=—","Direction=H","UseDPDF=Y")</f>
        <v>#NAME?</v>
      </c>
      <c r="I133" t="e">
        <f ca="1">_xll.BDH($C$128,"RETURN_ON_INV_CAPITAL","FY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33" t="e">
        <f ca="1">_xll.BDH($C$128,"EBITDA_TO_REVENUE","FY 2015","FY 2015","Currency=INR","Period=FY","BEST_FPERIOD_OVERRIDE=FY","FILING_STATUS=OR","EQY_CONSOLIDATED=Y","FA_ADJUSTED=GAAP","Sort=A","Dates=H","DateFormat=P","Fill=—","Direction=H","UseDPDF=Y")</f>
        <v>#NAME?</v>
      </c>
      <c r="K133" t="e">
        <f ca="1">_xll.BDH($C$128,"OPER_MARGIN","FY 2015","FY 2015","Currency=INR","Period=FY","BEST_FPERIOD_OVERRIDE=FY","FILING_STATUS=OR","EQY_CONSOLIDATED=Y","FA_ADJUSTED=GAAP","Sort=A","Dates=H","DateFormat=P","Fill=—","Direction=H","UseDPDF=Y")</f>
        <v>#NAME?</v>
      </c>
      <c r="L133" t="e">
        <f ca="1">_xll.BDH($C$128,"INCREMENTAL_OPERATING_MARGIN","FY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33" t="e">
        <f ca="1">_xll.BDH($C$128,"PRETAX_INC_TO_NET_SALES","FY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33" t="e">
        <f ca="1">_xll.BDH($C$128,"INC_BEF_XO_ITEMS_TO_NET_SALES","FY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33" t="e">
        <f ca="1">_xll.BDH($C$128,"PROF_MARGIN","FY 2015","FY 2015","Currency=INR","Period=FY","BEST_FPERIOD_OVERRIDE=FY","FILING_STATUS=OR","EQY_CONSOLIDATED=Y","FA_ADJUSTED=GAAP","Sort=A","Dates=H","DateFormat=P","Fill=—","Direction=H","UseDPDF=Y")</f>
        <v>#NAME?</v>
      </c>
      <c r="P133" t="e">
        <f ca="1">_xll.BDH($C$128,"NET_INCOME_TO_COMMON_MARGIN","FY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33" t="e">
        <f ca="1">_xll.BDH($C$128,"EFF_TAX_RATE","FY 2015","FY 2015","Currency=INR","Period=FY","BEST_FPERIOD_OVERRIDE=FY","FILING_STATUS=OR","EQY_CONSOLIDATED=Y","FA_ADJUSTED=GAAP","Sort=A","Dates=H","DateFormat=P","Fill=—","Direction=H","UseDPDF=Y")</f>
        <v>#NAME?</v>
      </c>
      <c r="R133" t="e">
        <f ca="1">_xll.BDH($C$128,"DVD_PAYOUT_RATIO","FY 2015","FY 2015","Currency=INR","Period=FY","BEST_FPERIOD_OVERRIDE=FY","FILING_STATUS=OR","EQY_CONSOLIDATED=Y","FA_ADJUSTED=GAAP","Sort=A","Dates=H","DateFormat=P","Fill=—","Direction=H","UseDPDF=Y")</f>
        <v>#NAME?</v>
      </c>
      <c r="S133" t="e">
        <f ca="1">_xll.BDH($C$128,"SUSTAIN_GROWTH_RT","FY 2015","FY 2015","Currency=INR","Period=FY","BEST_FPERIOD_OVERRIDE=FY","FILING_STATUS=OR","EQY_CONSOLIDATED=Y","FA_ADJUSTED=GAAP","Sort=A","Dates=H","DateFormat=P","Fill=—","Direction=H","UseDPDF=Y")</f>
        <v>#NAME?</v>
      </c>
      <c r="T133" s="1" t="e">
        <f ca="1">_xll.BDH($C$128,"SALES_GROWTH","FY 2015","FY 2015","Currency=INR","Period=FY","BEST_FPERIOD_OVERRIDE=FY","FILING_STATUS=OR","EQY_CONSOLIDATED=Y","FA_ADJUSTED=GAAP","Sort=A","Dates=H","DateFormat=P","Fill=—","Direction=H","UseDPDF=Y")</f>
        <v>#NAME?</v>
      </c>
      <c r="U133" s="1" t="e">
        <f ca="1">_xll.BDH($C$128,"EBITDA_GROWTH","FY 2015","FY 2015","Currency=INR","Period=FY","BEST_FPERIOD_OVERRIDE=FY","FILING_STATUS=OR","EQY_CONSOLIDATED=Y","FA_ADJUSTED=GAAP","Sort=A","Dates=H","DateFormat=P","Fill=—","Direction=H","UseDPDF=Y")</f>
        <v>#NAME?</v>
      </c>
      <c r="V133" s="1" t="e">
        <f ca="1">_xll.BDH($C$128,"OPER_INC_GROWTH","FY 2015","FY 2015","Currency=INR","Period=FY","BEST_FPERIOD_OVERRIDE=FY","FILING_STATUS=OR","EQY_CONSOLIDATED=Y","FA_ADJUSTED=GAAP","Sort=A","Dates=H","DateFormat=P","Fill=—","Direction=H","UseDPDF=Y")</f>
        <v>#NAME?</v>
      </c>
      <c r="W133" s="1" t="e">
        <f ca="1">_xll.BDH($C$128,"EARN_FOR_COM_GROWTH","FY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133" s="1" t="e">
        <f ca="1">_xll.BDH($C$128,"DILUTED_EPS_AFT_XO_ITEMS_GROWTH","FY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33" s="1" t="e">
        <f ca="1">_xll.BDH($C$128,"DIVIDEND_PER_SHARE_1_YEAR_GROWTH","FY 2015","FY 2015","Currency=INR","Period=FY","BEST_FPERIOD_OVERRIDE=FY","FILING_STATUS=OR","EQY_CONSOLIDATED=Y","Sort=A","Dates=H","DateFormat=P","Fill=—","Direction=H","UseDPDF=Y")</f>
        <v>#NAME?</v>
      </c>
      <c r="Z133" s="1" t="e">
        <f ca="1">_xll.BDH($C$128,"ACCOUNTS_RECEIVABLE_GROWTH","FY 2015","FY 2015","Currency=INR","Period=FY","BEST_FPERIOD_OVERRIDE=FY","FILING_STATUS=OR","EQY_CONSOLIDATED=Y","Sort=A","Dates=H","DateFormat=P","Fill=—","Direction=H","UseDPDF=Y")</f>
        <v>#NAME?</v>
      </c>
      <c r="AA133" s="1" t="e">
        <f ca="1">_xll.BDH($C$128,"INVENTORY_GROWTH","FY 2015","FY 2015","Currency=INR","Period=FY","BEST_FPERIOD_OVERRIDE=FY","FILING_STATUS=OR","EQY_CONSOLIDATED=Y","Sort=A","Dates=H","DateFormat=P","Fill=—","Direction=H","UseDPDF=Y")</f>
        <v>#NAME?</v>
      </c>
      <c r="AB133" s="1" t="e">
        <f ca="1">_xll.BDH($C$128,"NET_FIXED_ASSETS_1_YEAR_GROWTH","FY 2015","FY 2015","Currency=INR","Period=FY","BEST_FPERIOD_OVERRIDE=FY","FILING_STATUS=OR","EQY_CONSOLIDATED=Y","Sort=A","Dates=H","DateFormat=P","Fill=—","Direction=H","UseDPDF=Y")</f>
        <v>#NAME?</v>
      </c>
      <c r="AC133" s="1" t="e">
        <f ca="1">_xll.BDH($C$128,"ASSET_GROWTH","FY 2015","FY 2015","Currency=INR","Period=FY","BEST_FPERIOD_OVERRIDE=FY","FILING_STATUS=OR","EQY_CONSOLIDATED=Y","Sort=A","Dates=H","DateFormat=P","Fill=—","Direction=H","UseDPDF=Y")</f>
        <v>#NAME?</v>
      </c>
      <c r="AD133" s="1" t="e">
        <f ca="1">_xll.BDH($C$128,"MODIFIED_WORK_CAP_GROWTH","FY 2015","FY 2015","Currency=INR","Period=FY","BEST_FPERIOD_OVERRIDE=FY","FILING_STATUS=OR","EQY_CONSOLIDATED=Y","Sort=A","Dates=H","DateFormat=P","Fill=—","Direction=H","UseDPDF=Y")</f>
        <v>#NAME?</v>
      </c>
      <c r="AE133" s="1" t="e">
        <f ca="1">_xll.BDH($C$128,"WORK_CAP_GROWTH","FY 2015","FY 2015","Currency=INR","Period=FY","BEST_FPERIOD_OVERRIDE=FY","FILING_STATUS=OR","EQY_CONSOLIDATED=Y","Sort=A","Dates=H","DateFormat=P","Fill=—","Direction=H","UseDPDF=Y")</f>
        <v>#NAME?</v>
      </c>
      <c r="AF133" s="1" t="e">
        <f ca="1">_xll.BDH($C$128,"ACCOUNTS_PAYABLE_GROWTH_1YR","FY 2015","FY 2015","Currency=INR","Period=FY","BEST_FPERIOD_OVERRIDE=FY","FILING_STATUS=OR","EQY_CONSOLIDATED=Y","Sort=A","Dates=H","DateFormat=P","Fill=—","Direction=H","UseDPDF=Y")</f>
        <v>#NAME?</v>
      </c>
      <c r="AG133" s="1" t="e">
        <f ca="1">_xll.BDH($C$128,"SHORT_TERM_DEBT_1_YEAR_GROWTH","FY 2015","FY 2015","Currency=INR","Period=FY","BEST_FPERIOD_OVERRIDE=FY","FILING_STATUS=OR","EQY_CONSOLIDATED=Y","Sort=A","Dates=H","DateFormat=P","Fill=—","Direction=H","UseDPDF=Y")</f>
        <v>#NAME?</v>
      </c>
      <c r="AH133" s="1" t="e">
        <f ca="1">_xll.BDH($C$128,"TOTAL_DEBT_1_YEAR_GROWTH","FY 2015","FY 2015","Currency=INR","Period=FY","BEST_FPERIOD_OVERRIDE=FY","FILING_STATUS=OR","EQY_CONSOLIDATED=Y","Sort=A","Dates=H","DateFormat=P","Fill=—","Direction=H","UseDPDF=Y")</f>
        <v>#NAME?</v>
      </c>
      <c r="AI133" s="1" t="e">
        <f ca="1">_xll.BDH($C$128,"TOTAL_EQUITY_1_YEAR_GROWTH","FY 2015","FY 2015","Currency=INR","Period=FY","BEST_FPERIOD_OVERRIDE=FY","FILING_STATUS=OR","EQY_CONSOLIDATED=Y","Sort=A","Dates=H","DateFormat=P","Fill=—","Direction=H","UseDPDF=Y")</f>
        <v>#NAME?</v>
      </c>
      <c r="AJ133" s="1" t="e">
        <f ca="1">_xll.BDH($C$128,"GROWTH_IN_CAP","FY 2015","FY 2015","Currency=INR","Period=FY","BEST_FPERIOD_OVERRIDE=FY","FILING_STATUS=OR","EQY_CONSOLIDATED=Y","Sort=A","Dates=H","DateFormat=P","Fill=—","Direction=H","UseDPDF=Y")</f>
        <v>#NAME?</v>
      </c>
      <c r="AK133" s="1" t="e">
        <f ca="1">_xll.BDH($C$128,"BVPS_GROWTH","FY 2015","FY 2015","Currency=INR","Period=FY","BEST_FPERIOD_OVERRIDE=FY","FILING_STATUS=OR","EQY_CONSOLIDATED=Y","Sort=A","Dates=H","DateFormat=P","Fill=—","Direction=H","UseDPDF=Y")</f>
        <v>#NAME?</v>
      </c>
      <c r="AL133" s="1" t="e">
        <f ca="1">_xll.BDH($C$128,"CASH_FLOW_GROWTH","FY 2015","FY 2015","Currency=INR","Period=FY","BEST_FPERIOD_OVERRIDE=FY","FILING_STATUS=OR","EQY_CONSOLIDATED=Y","Sort=A","Dates=H","DateFormat=P","Fill=—","Direction=H","UseDPDF=Y")</f>
        <v>#NAME?</v>
      </c>
      <c r="AM133" s="1" t="e">
        <f ca="1">_xll.BDH($C$128,"GEO_GROW_NET_SALES","FY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133" s="1" t="e">
        <f ca="1">_xll.BDH($C$128,"GEO_GROW_EBITDA","FY 2015","FY 2015","Currency=INR","Period=FY","BEST_FPERIOD_OVERRIDE=FY","FILING_STATUS=OR","EQY_CONSOLIDATED=Y","FA_ADJUSTED=GAAP","Sort=A","Dates=H","DateFormat=P","Fill=—","Direction=H","UseDPDF=Y")</f>
        <v>#NAME?</v>
      </c>
      <c r="AO133" s="1" t="e">
        <f ca="1">_xll.BDH($C$128,"GEO_GROW_OPER_INC","FY 2015","FY 2015","Currency=INR","Period=FY","BEST_FPERIOD_OVERRIDE=FY","FILING_STATUS=OR","EQY_CONSOLIDATED=Y","FA_ADJUSTED=GAAP","Sort=A","Dates=H","DateFormat=P","Fill=—","Direction=H","UseDPDF=Y")</f>
        <v>#NAME?</v>
      </c>
      <c r="AP133" s="1" t="e">
        <f ca="1">_xll.BDH($C$128,"NET_INCOME_TO_COMMON_5_YR_GROWTH","FY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33" s="1" t="e">
        <f ca="1">_xll.BDH($C$128,"5Y_GEO_GROWTH_DILUTED_EPS","FY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33" s="1" t="e">
        <f ca="1">_xll.BDH($C$128,"GEO_GROW_DVD_PER_SH","FY 2015","FY 2015","Currency=INR","Period=FY","BEST_FPERIOD_OVERRIDE=FY","FILING_STATUS=OR","EQY_CONSOLIDATED=Y","Sort=A","Dates=H","DateFormat=P","Fill=—","Direction=H","UseDPDF=Y")</f>
        <v>#NAME?</v>
      </c>
      <c r="AS133" s="1" t="e">
        <f ca="1">_xll.BDH($C$128,"ACCOUNTS_RECEIVABLE_5_YR_GROWTH","FY 2015","FY 2015","Currency=INR","Period=FY","BEST_FPERIOD_OVERRIDE=FY","FILING_STATUS=OR","EQY_CONSOLIDATED=Y","Sort=A","Dates=H","DateFormat=P","Fill=—","Direction=H","UseDPDF=Y")</f>
        <v>#NAME?</v>
      </c>
      <c r="AT133" s="1" t="e">
        <f ca="1">_xll.BDH($C$128,"INVENTORY_5_YEAR_GROWTH","FY 2015","FY 2015","Currency=INR","Period=FY","BEST_FPERIOD_OVERRIDE=FY","FILING_STATUS=OR","EQY_CONSOLIDATED=Y","Sort=A","Dates=H","DateFormat=P","Fill=—","Direction=H","UseDPDF=Y")</f>
        <v>#NAME?</v>
      </c>
      <c r="AU133" s="1" t="e">
        <f ca="1">_xll.BDH($C$128,"NET_FIXED_ASSETS_5_YEAR_GROWTH","FY 2015","FY 2015","Currency=INR","Period=FY","BEST_FPERIOD_OVERRIDE=FY","FILING_STATUS=OR","EQY_CONSOLIDATED=Y","Sort=A","Dates=H","DateFormat=P","Fill=—","Direction=H","UseDPDF=Y")</f>
        <v>#NAME?</v>
      </c>
      <c r="AV133" s="1" t="e">
        <f ca="1">_xll.BDH($C$128,"GEO_GROW_TOT_ASSET","FY 2015","FY 2015","Currency=INR","Period=FY","BEST_FPERIOD_OVERRIDE=FY","FILING_STATUS=OR","EQY_CONSOLIDATED=Y","Sort=A","Dates=H","DateFormat=P","Fill=—","Direction=H","UseDPDF=Y")</f>
        <v>#NAME?</v>
      </c>
      <c r="AW133" s="1" t="e">
        <f ca="1">_xll.BDH($C$128,"MODIFIED_WORKING_CPTL_5YR_GRWTH","FY 2015","FY 2015","Currency=INR","Period=FY","BEST_FPERIOD_OVERRIDE=FY","FILING_STATUS=OR","EQY_CONSOLIDATED=Y","Sort=A","Dates=H","DateFormat=P","Fill=—","Direction=H","UseDPDF=Y")</f>
        <v>#NAME?</v>
      </c>
      <c r="AX133" s="1" t="e">
        <f ca="1">_xll.BDH($C$128,"WORKING_CAPITAL_5_YEAR_GROWTH","FY 2015","FY 2015","Currency=INR","Period=FY","BEST_FPERIOD_OVERRIDE=FY","FILING_STATUS=OR","EQY_CONSOLIDATED=Y","Sort=A","Dates=H","DateFormat=P","Fill=—","Direction=H","UseDPDF=Y")</f>
        <v>#NAME?</v>
      </c>
      <c r="AY133" s="1" t="e">
        <f ca="1">_xll.BDH($C$128,"ACCOUNTS_PAYABLE_5_YEAR_GROWTH","FY 2015","FY 2015","Currency=INR","Period=FY","BEST_FPERIOD_OVERRIDE=FY","FILING_STATUS=OR","EQY_CONSOLIDATED=Y","Sort=A","Dates=H","DateFormat=P","Fill=—","Direction=H","UseDPDF=Y")</f>
        <v>#NAME?</v>
      </c>
      <c r="AZ133" s="1" t="e">
        <f ca="1">_xll.BDH($C$128,"SHORT_TERM_DEBT_5_YEAR_GROWTH","FY 2015","FY 2015","Currency=INR","Period=FY","BEST_FPERIOD_OVERRIDE=FY","FILING_STATUS=OR","EQY_CONSOLIDATED=Y","Sort=A","Dates=H","DateFormat=P","Fill=—","Direction=H","UseDPDF=Y")</f>
        <v>#NAME?</v>
      </c>
      <c r="BA133" s="1" t="e">
        <f ca="1">_xll.BDH($C$128,"TOTAL_DEBT_5_YEAR_GROWTH","FY 2015","FY 2015","Currency=INR","Period=FY","BEST_FPERIOD_OVERRIDE=FY","FILING_STATUS=OR","EQY_CONSOLIDATED=Y","Sort=A","Dates=H","DateFormat=P","Fill=—","Direction=H","UseDPDF=Y")</f>
        <v>#NAME?</v>
      </c>
      <c r="BB133" s="1" t="e">
        <f ca="1">_xll.BDH($C$128,"GEO_GROW_TOT_SHRHLDR_EQY","FY 2015","FY 2015","Currency=INR","Period=FY","BEST_FPERIOD_OVERRIDE=FY","FILING_STATUS=OR","EQY_CONSOLIDATED=Y","Sort=A","Dates=H","DateFormat=P","Fill=—","Direction=H","UseDPDF=Y")</f>
        <v>#NAME?</v>
      </c>
      <c r="BC133" s="1" t="e">
        <f ca="1">_xll.BDH($C$128,"TOTAL_CAPITAL_5_YEAR_GROWTH","FY 2015","FY 2015","Currency=INR","Period=FY","BEST_FPERIOD_OVERRIDE=FY","FILING_STATUS=OR","EQY_CONSOLIDATED=Y","Sort=A","Dates=H","DateFormat=P","Fill=—","Direction=H","UseDPDF=Y")</f>
        <v>#NAME?</v>
      </c>
      <c r="BD133" s="1" t="e">
        <f ca="1">_xll.BDH($C$128,"GEO_GROW_BOOK_VAL","FY 2015","FY 2015","Currency=INR","Period=FY","BEST_FPERIOD_OVERRIDE=FY","FILING_STATUS=OR","EQY_CONSOLIDATED=Y","Sort=A","Dates=H","DateFormat=P","Fill=—","Direction=H","UseDPDF=Y")</f>
        <v>#NAME?</v>
      </c>
      <c r="BE133" s="1" t="e">
        <f ca="1">_xll.BDH($C$128,"GEO_GROW_CASH_OPER_ACT","FY 2015","FY 2015","Currency=INR","Period=FY","BEST_FPERIOD_OVERRIDE=FY","FILING_STATUS=OR","EQY_CONSOLIDATED=Y","Sort=A","Dates=H","DateFormat=P","Fill=—","Direction=H","UseDPDF=Y")</f>
        <v>#NAME?</v>
      </c>
      <c r="BF133" s="1" t="e">
        <f ca="1">_xll.BDH($C$128,"REVENUE_SEQUENTIAL_GROWTH","FY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33" s="1" t="e">
        <f ca="1">_xll.BDH($C$128,"EBITDA_SEQUENTIAL_GROWTH","FY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33" s="1" t="e">
        <f ca="1">_xll.BDH($C$128,"OPERATING_INCOME_SEQ_GROWTH","FY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33" s="1" t="e">
        <f ca="1">_xll.BDH($C$128,"NET_INCOME_TO_COMMON_SEQ_GROWTH","FY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33" s="1" t="e">
        <f ca="1">_xll.BDH($C$128,"EPS_DILUTED_SEQUENTIAL_GROWTH","FY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33" s="1" t="e">
        <f ca="1">_xll.BDH($C$128,"DPS_SEQUENTIAL_GROWTH","FY 2015","FY 2015","Currency=INR","Period=FY","BEST_FPERIOD_OVERRIDE=FY","FILING_STATUS=OR","EQY_CONSOLIDATED=Y","Sort=A","Dates=H","DateFormat=P","Fill=—","Direction=H","UseDPDF=Y")</f>
        <v>#NAME?</v>
      </c>
      <c r="BL133" s="1" t="e">
        <f ca="1">_xll.BDH($C$128,"ACCOUNTS_RECEIVABLE_SEQ_GROWTH","FY 2015","FY 2015","Currency=INR","Period=FY","BEST_FPERIOD_OVERRIDE=FY","FILING_STATUS=OR","EQY_CONSOLIDATED=Y","Sort=A","Dates=H","DateFormat=P","Fill=—","Direction=H","UseDPDF=Y")</f>
        <v>#NAME?</v>
      </c>
      <c r="BM133" s="1" t="e">
        <f ca="1">_xll.BDH($C$128,"INVENTORY_SEQUENTIAL_GROWTH","FY 2015","FY 2015","Currency=INR","Period=FY","BEST_FPERIOD_OVERRIDE=FY","FILING_STATUS=OR","EQY_CONSOLIDATED=Y","Sort=A","Dates=H","DateFormat=P","Fill=—","Direction=H","UseDPDF=Y")</f>
        <v>#NAME?</v>
      </c>
      <c r="BN133" s="1" t="e">
        <f ca="1">_xll.BDH($C$128,"FIXED_ASSETS_SEQUENTIAL_GROWTH","FY 2015","FY 2015","Currency=INR","Period=FY","BEST_FPERIOD_OVERRIDE=FY","FILING_STATUS=OR","EQY_CONSOLIDATED=Y","Sort=A","Dates=H","DateFormat=P","Fill=—","Direction=H","UseDPDF=Y")</f>
        <v>#NAME?</v>
      </c>
      <c r="BO133" s="1" t="e">
        <f ca="1">_xll.BDH($C$128,"TOTAL_ASSETS_SEQUENTIAL_GROWTH","FY 2015","FY 2015","Currency=INR","Period=FY","BEST_FPERIOD_OVERRIDE=FY","FILING_STATUS=OR","EQY_CONSOLIDATED=Y","Sort=A","Dates=H","DateFormat=P","Fill=—","Direction=H","UseDPDF=Y")</f>
        <v>#NAME?</v>
      </c>
      <c r="BP133" s="1" t="e">
        <f ca="1">_xll.BDH($C$128,"MODIFIED_WORKING_CPTL_SEQ_GRWTH","FY 2015","FY 2015","Currency=INR","Period=FY","BEST_FPERIOD_OVERRIDE=FY","FILING_STATUS=OR","EQY_CONSOLIDATED=Y","Sort=A","Dates=H","DateFormat=P","Fill=—","Direction=H","UseDPDF=Y")</f>
        <v>#NAME?</v>
      </c>
      <c r="BQ133" s="1" t="e">
        <f ca="1">_xll.BDH($C$128,"WORKING_CAPITAL_SEQ_GROWTH","FY 2015","FY 2015","Currency=INR","Period=FY","BEST_FPERIOD_OVERRIDE=FY","FILING_STATUS=OR","EQY_CONSOLIDATED=Y","Sort=A","Dates=H","DateFormat=P","Fill=—","Direction=H","UseDPDF=Y")</f>
        <v>#NAME?</v>
      </c>
      <c r="BR133" s="1" t="e">
        <f ca="1">_xll.BDH($C$128,"ACCOUNTS_PAYABLE_SEQ_GROWTH","FY 2015","FY 2015","Currency=INR","Period=FY","BEST_FPERIOD_OVERRIDE=FY","FILING_STATUS=OR","EQY_CONSOLIDATED=Y","Sort=A","Dates=H","DateFormat=P","Fill=—","Direction=H","UseDPDF=Y")</f>
        <v>#NAME?</v>
      </c>
      <c r="BS133" s="1" t="e">
        <f ca="1">_xll.BDH($C$128,"ST_DEBT_SEQUENTIAL_GROWTH","FY 2015","FY 2015","Currency=INR","Period=FY","BEST_FPERIOD_OVERRIDE=FY","FILING_STATUS=OR","EQY_CONSOLIDATED=Y","Sort=A","Dates=H","DateFormat=P","Fill=—","Direction=H","UseDPDF=Y")</f>
        <v>#NAME?</v>
      </c>
      <c r="BT133" s="1" t="e">
        <f ca="1">_xll.BDH($C$128,"TOTAL_DEBT_SEQUENTIAL_GROWTH","FY 2015","FY 2015","Currency=INR","Period=FY","BEST_FPERIOD_OVERRIDE=FY","FILING_STATUS=OR","EQY_CONSOLIDATED=Y","Sort=A","Dates=H","DateFormat=P","Fill=—","Direction=H","UseDPDF=Y")</f>
        <v>#NAME?</v>
      </c>
      <c r="BU133" s="1" t="e">
        <f ca="1">_xll.BDH($C$128,"TOTAL_EQUITY_SEQUENTIAL_GROWTH","FY 2015","FY 2015","Currency=INR","Period=FY","BEST_FPERIOD_OVERRIDE=FY","FILING_STATUS=OR","EQY_CONSOLIDATED=Y","Sort=A","Dates=H","DateFormat=P","Fill=—","Direction=H","UseDPDF=Y")</f>
        <v>#NAME?</v>
      </c>
      <c r="BV133" s="1" t="e">
        <f ca="1">_xll.BDH($C$128,"TOTAL_CAPITAL_SEQUENTIAL_GROWTH","FY 2015","FY 2015","Currency=INR","Period=FY","BEST_FPERIOD_OVERRIDE=FY","FILING_STATUS=OR","EQY_CONSOLIDATED=Y","Sort=A","Dates=H","DateFormat=P","Fill=—","Direction=H","UseDPDF=Y")</f>
        <v>#NAME?</v>
      </c>
      <c r="BW133" s="1" t="e">
        <f ca="1">_xll.BDH($C$128,"BPS_SEQUENTIAL_GROWTH","FY 2015","FY 2015","Currency=INR","Period=FY","BEST_FPERIOD_OVERRIDE=FY","FILING_STATUS=OR","EQY_CONSOLIDATED=Y","Sort=A","Dates=H","DateFormat=P","Fill=—","Direction=H","UseDPDF=Y")</f>
        <v>#NAME?</v>
      </c>
      <c r="BX133" s="1" t="e">
        <f ca="1">_xll.BDH($C$128,"CFO_SEQUENTIAL_GROWTH","FY 2015","FY 2015","Currency=INR","Period=FY","BEST_FPERIOD_OVERRIDE=FY","FILING_STATUS=OR","EQY_CONSOLIDATED=Y","Sort=A","Dates=H","DateFormat=P","Fill=—","Direction=H","UseDPDF=Y")</f>
        <v>#NAME?</v>
      </c>
      <c r="BY133" s="2" t="e">
        <f ca="1">_xll.BDH($C$128,"SHORT_AND_LONG_TERM_DEBT","FY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33" s="2" t="e">
        <f ca="1">_xll.BDH($C$128,"BS_ST_BORROW","FY 2015","FY 2015","Currency=INR","Period=FY","BEST_FPERIOD_OVERRIDE=FY","FILING_STATUS=OR","EQY_CONSOLIDATED=Y","SCALING_FORMAT=MLN","Sort=A","Dates=H","DateFormat=P","Fill=—","Direction=H","UseDPDF=Y")</f>
        <v>#NAME?</v>
      </c>
      <c r="CA133" s="2" t="e">
        <f ca="1">_xll.BDH($C$128,"BS_LT_BORROW","FY 2015","FY 2015","Currency=INR","Period=FY","BEST_FPERIOD_OVERRIDE=FY","FILING_STATUS=OR","EQY_CONSOLIDATED=Y","SCALING_FORMAT=MLN","Sort=A","Dates=H","DateFormat=P","Fill=—","Direction=H","UseDPDF=Y")</f>
        <v>#NAME?</v>
      </c>
      <c r="CB133" s="1" t="e">
        <f ca="1">_xll.BDH($C$128,"TOT_DEBT_TO_EBITDA","FY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133" s="1" t="e">
        <f ca="1">_xll.BDH($C$128,"NET_DEBT_TO_EBITDA","FY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133" s="1" t="e">
        <f ca="1">_xll.BDH($C$128,"TOTAL_DEBT_TO_EBIT","FY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133" s="1" t="e">
        <f ca="1">_xll.BDH($C$128,"NET_DEBT_TO_EBIT","FY 2015","FY 2015","Currency=INR","Period=FY","BEST_FPERIOD_OVERRIDE=FY","FILING_STATUS=OR","EQY_CONSOLIDATED=Y","FA_ADJUSTED=GAAP","Sort=A","Dates=H","DateFormat=P","Fill=—","Direction=H","UseDPDF=Y")</f>
        <v>#NAME?</v>
      </c>
      <c r="CF133" s="1" t="e">
        <f ca="1">_xll.BDH($C$128,"EBITDA_TO_INTEREST_EXPN","FY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33" s="1" t="e">
        <f ca="1">_xll.BDH($C$128,"COM_EQY_TO_TOT_ASSET","FY 2015","FY 2015","Currency=INR","Period=FY","BEST_FPERIOD_OVERRIDE=FY","FILING_STATUS=OR","EQY_CONSOLIDATED=Y","Sort=A","Dates=H","DateFormat=P","Fill=—","Direction=H","UseDPDF=Y")</f>
        <v>#NAME?</v>
      </c>
      <c r="CH133" s="1" t="e">
        <f ca="1">_xll.BDH($C$128,"LT_DEBT_TO_TOT_EQY","FY 2015","FY 2015","Currency=INR","Period=FY","BEST_FPERIOD_OVERRIDE=FY","FILING_STATUS=OR","EQY_CONSOLIDATED=Y","Sort=A","Dates=H","DateFormat=P","Fill=—","Direction=H","UseDPDF=Y")</f>
        <v>#NAME?</v>
      </c>
      <c r="CI133" s="1" t="e">
        <f ca="1">_xll.BDH($C$128,"LT_DEBT_TO_TOT_CAP","FY 2015","FY 2015","Currency=INR","Period=FY","BEST_FPERIOD_OVERRIDE=FY","FILING_STATUS=OR","EQY_CONSOLIDATED=Y","Sort=A","Dates=H","DateFormat=P","Fill=—","Direction=H","UseDPDF=Y")</f>
        <v>#NAME?</v>
      </c>
      <c r="CJ133" s="1" t="e">
        <f ca="1">_xll.BDH($C$128,"LT_DEBT_TO_TOT_ASSET","FY 2015","FY 2015","Currency=INR","Period=FY","BEST_FPERIOD_OVERRIDE=FY","FILING_STATUS=OR","EQY_CONSOLIDATED=Y","Sort=A","Dates=H","DateFormat=P","Fill=—","Direction=H","UseDPDF=Y")</f>
        <v>#NAME?</v>
      </c>
      <c r="CK133" s="1" t="e">
        <f ca="1">_xll.BDH($C$128,"TOT_DEBT_TO_TOT_EQY","FY 2015","FY 2015","Currency=INR","Period=FY","BEST_FPERIOD_OVERRIDE=FY","FILING_STATUS=OR","EQY_CONSOLIDATED=Y","Sort=A","Dates=H","DateFormat=P","Fill=—","Direction=H","UseDPDF=Y")</f>
        <v>#NAME?</v>
      </c>
      <c r="CL133" s="1" t="e">
        <f ca="1">_xll.BDH($C$128,"TOT_DEBT_TO_TOT_CAP","FY 2015","FY 2015","Currency=INR","Period=FY","BEST_FPERIOD_OVERRIDE=FY","FILING_STATUS=OR","EQY_CONSOLIDATED=Y","Sort=A","Dates=H","DateFormat=P","Fill=—","Direction=H","UseDPDF=Y")</f>
        <v>#NAME?</v>
      </c>
      <c r="CM133" s="1" t="e">
        <f ca="1">_xll.BDH($C$128,"TOT_DEBT_TO_TOT_ASSET","FY 2015","FY 2015","Currency=INR","Period=FY","BEST_FPERIOD_OVERRIDE=FY","FILING_STATUS=OR","EQY_CONSOLIDATED=Y","Sort=A","Dates=H","DateFormat=P","Fill=—","Direction=H","UseDPDF=Y")</f>
        <v>#NAME?</v>
      </c>
      <c r="CN133" s="1" t="e">
        <f ca="1">_xll.BDH($C$128,"NET_DEBT_TO_SHRHLDR_EQTY","FY 2015","FY 2015","Currency=INR","Period=FY","BEST_FPERIOD_OVERRIDE=FY","FILING_STATUS=OR","EQY_CONSOLIDATED=Y","Sort=A","Dates=H","DateFormat=P","Fill=—","Direction=H","UseDPDF=Y")</f>
        <v>#NAME?</v>
      </c>
      <c r="CO133" s="1" t="e">
        <f ca="1">_xll.BDH($C$128,"NET_DEBT_%_CAPITAL","FY 2015","FY 2015","Currency=INR","Period=FY","BEST_FPERIOD_OVERRIDE=FY","FILING_STATUS=OR","EQY_CONSOLIDATED=Y","Sort=A","Dates=H","DateFormat=P","Fill=—","Direction=H","UseDPDF=Y")</f>
        <v>#NAME?</v>
      </c>
      <c r="CP133" s="2" t="e">
        <f ca="1">_xll.BDH($C$128,"EBITDA","FY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33" s="2" t="e">
        <f ca="1">_xll.BDH($C$128,"EBITDA_AFTER_CAPEX","FY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33" s="2" t="e">
        <f ca="1">_xll.BDH($C$128,"IS_OPER_INC","FY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33" s="1" t="e">
        <f ca="1">_xll.BDH($C$128,"CASH_RATIO","FY 2015","FY 2015","Currency=INR","Period=FY","BEST_FPERIOD_OVERRIDE=FY","FILING_STATUS=OR","EQY_CONSOLIDATED=Y","Sort=A","Dates=H","DateFormat=P","Fill=—","Direction=H","UseDPDF=Y")</f>
        <v>#NAME?</v>
      </c>
      <c r="CT133" s="1" t="e">
        <f ca="1">_xll.BDH($C$128,"CUR_RATIO","FY 2015","FY 2015","Currency=INR","Period=FY","BEST_FPERIOD_OVERRIDE=FY","FILING_STATUS=OR","EQY_CONSOLIDATED=Y","Sort=A","Dates=H","DateFormat=P","Fill=—","Direction=H","UseDPDF=Y")</f>
        <v>#NAME?</v>
      </c>
      <c r="CU133" s="1" t="e">
        <f ca="1">_xll.BDH($C$128,"QUICK_RATIO","FY 2015","FY 2015","Currency=INR","Period=FY","BEST_FPERIOD_OVERRIDE=FY","FILING_STATUS=OR","EQY_CONSOLIDATED=Y","Sort=A","Dates=H","DateFormat=P","Fill=—","Direction=H","UseDPDF=Y")</f>
        <v>#NAME?</v>
      </c>
      <c r="CV133" s="1" t="e">
        <f ca="1">_xll.BDH($C$128,"ALTMAN_Z_SCORE","FY 2015","FY 2015","Currency=INR","Period=FY","BEST_FPERIOD_OVERRIDE=FY","FILING_STATUS=OR","EQY_CONSOLIDATED=Y","Sort=A","Dates=H","DateFormat=P","Fill=—","Direction=H","UseDPDF=Y")</f>
        <v>#NAME?</v>
      </c>
      <c r="CW133" s="3" t="e">
        <f ca="1">_xll.BDH($C$128,"ACCT_RCV_TURN","FY 2015","FY 2015","Currency=INR","Period=FY","BEST_FPERIOD_OVERRIDE=FY","FILING_STATUS=OR","EQY_CONSOLIDATED=Y","FA_ADJUSTED=GAAP","Sort=A","Dates=H","DateFormat=P","Fill=—","Direction=H","UseDPDF=Y")</f>
        <v>#NAME?</v>
      </c>
      <c r="CX133" s="1" t="e">
        <f ca="1">_xll.BDH($C$128,"ACCT_RCV_DAYS","FY 2015","FY 2015","Currency=INR","Period=FY","BEST_FPERIOD_OVERRIDE=FY","FILING_STATUS=OR","EQY_CONSOLIDATED=Y","FA_ADJUSTED=GAAP","Sort=A","Dates=H","DateFormat=P","Fill=—","Direction=H","UseDPDF=Y")</f>
        <v>#NAME?</v>
      </c>
      <c r="CY133" s="3" t="e">
        <f ca="1">_xll.BDH($C$128,"INVENT_TURN","FY 2015","FY 2015","Currency=INR","Period=FY","BEST_FPERIOD_OVERRIDE=FY","FILING_STATUS=OR","EQY_CONSOLIDATED=Y","FA_ADJUSTED=GAAP","Sort=A","Dates=H","DateFormat=P","Fill=—","Direction=H","UseDPDF=Y")</f>
        <v>#NAME?</v>
      </c>
      <c r="CZ133" s="1" t="e">
        <f ca="1">_xll.BDH($C$128,"INVENT_DAYS","FY 2015","FY 2015","Currency=INR","Period=FY","BEST_FPERIOD_OVERRIDE=FY","FILING_STATUS=OR","EQY_CONSOLIDATED=Y","FA_ADJUSTED=GAAP","Sort=A","Dates=H","DateFormat=P","Fill=—","Direction=H","UseDPDF=Y")</f>
        <v>#NAME?</v>
      </c>
      <c r="DA133" s="3" t="e">
        <f ca="1">_xll.BDH($C$128,"ACCOUNTS_PAYABLE_TURNOVER","FY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33" s="1" t="e">
        <f ca="1">_xll.BDH($C$128,"ACCOUNTS_PAYABLE_TURNOVER_DAYS","FY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33" s="3" t="e">
        <f ca="1">_xll.BDH($C$128,"CASH_CONVERSION_CYCLE","FY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33" s="3" t="e">
        <f ca="1">_xll.BDH($C$128,"INV_TO_CASH_DAYS","FY 2015","FY 2015","Currency=INR","Period=FY","BEST_FPERIOD_OVERRIDE=FY","FILING_STATUS=OR","EQY_CONSOLIDATED=Y","FA_ADJUSTED=GAAP","Sort=A","Dates=H","DateFormat=P","Fill=—","Direction=H","UseDPDF=Y")</f>
        <v>#NAME?</v>
      </c>
      <c r="DE133" s="4" t="e">
        <f ca="1">_xll.BDH($C$128,"BS_INVENTORIES","FY 2015","FY 2015","Currency=INR","Period=FY","BEST_FPERIOD_OVERRIDE=FY","FILING_STATUS=OR","EQY_CONSOLIDATED=Y","SCALING_FORMAT=MLN","Sort=A","Dates=H","DateFormat=P","Fill=—","Direction=H","UseDPDF=Y")</f>
        <v>#NAME?</v>
      </c>
      <c r="DF133" s="2" t="e">
        <f ca="1">_xll.BDH($C$128,"INVTRY_RAW_MATERIALS","FY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33" s="2" t="e">
        <f ca="1">_xll.BDH($C$128,"INVTRY_IN_PROGRESS","FY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33" s="2" t="e">
        <f ca="1">_xll.BDH($C$128,"INVTRY_FINISHED_GOODS","FY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33" s="2" t="e">
        <f ca="1">_xll.BDH($C$128,"BS_OTHER_INV","FY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34" spans="1:113" x14ac:dyDescent="0.3">
      <c r="A134" s="6"/>
      <c r="B134" s="6"/>
      <c r="C134" s="6"/>
      <c r="D134" s="6"/>
      <c r="E134" t="s">
        <v>4</v>
      </c>
      <c r="F134" t="e">
        <f ca="1">_xll.BDH($C$128,"RETURN_COM_EQY","FQ1 2015","FQ1 2015","Currency=INR","Period=FQ","BEST_FPERIOD_OVERRIDE=FQ","FILING_STATUS=OR","EQY_CONSOLIDATED=Y","FA_ADJUSTED=GAAP","Sort=A","Dates=H","DateFormat=P","Fill=—","Direction=H","UseDPDF=Y")</f>
        <v>#NAME?</v>
      </c>
      <c r="G134" t="e">
        <f ca="1">_xll.BDH($C$128,"RETURN_ON_ASSET","FQ1 2015","FQ1 2015","Currency=INR","Period=FQ","BEST_FPERIOD_OVERRIDE=FQ","FILING_STATUS=OR","EQY_CONSOLIDATED=Y","FA_ADJUSTED=GAAP","Sort=A","Dates=H","DateFormat=P","Fill=—","Direction=H","UseDPDF=Y")</f>
        <v>#NAME?</v>
      </c>
      <c r="H134" t="e">
        <f ca="1">_xll.BDH($C$128,"RETURN_ON_CAP","FQ1 2015","FQ1 2015","Currency=INR","Period=FQ","BEST_FPERIOD_OVERRIDE=FQ","FILING_STATUS=OR","EQY_CONSOLIDATED=Y","FA_ADJUSTED=GAAP","Sort=A","Dates=H","DateFormat=P","Fill=—","Direction=H","UseDPDF=Y")</f>
        <v>#NAME?</v>
      </c>
      <c r="I134" t="e">
        <f ca="1">_xll.BDH($C$128,"RETURN_ON_INV_CAPITAL","FQ1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34" t="e">
        <f ca="1">_xll.BDH($C$128,"EBITDA_TO_REVENUE","FQ1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134" t="e">
        <f ca="1">_xll.BDH($C$128,"OPER_MARGIN","FQ1 2015","FQ1 2015","Currency=INR","Period=FQ","BEST_FPERIOD_OVERRIDE=FQ","FILING_STATUS=OR","EQY_CONSOLIDATED=Y","FA_ADJUSTED=GAAP","Sort=A","Dates=H","DateFormat=P","Fill=—","Direction=H","UseDPDF=Y")</f>
        <v>#NAME?</v>
      </c>
      <c r="L134" t="e">
        <f ca="1">_xll.BDH($C$128,"INCREMENTAL_OPERATING_MARGIN","FQ1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34" t="e">
        <f ca="1">_xll.BDH($C$128,"PRETAX_INC_TO_NET_SALES","FQ1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34" t="e">
        <f ca="1">_xll.BDH($C$128,"INC_BEF_XO_ITEMS_TO_NET_SALES","FQ1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34" t="e">
        <f ca="1">_xll.BDH($C$128,"PROF_MARGIN","FQ1 2015","FQ1 2015","Currency=INR","Period=FQ","BEST_FPERIOD_OVERRIDE=FQ","FILING_STATUS=OR","EQY_CONSOLIDATED=Y","FA_ADJUSTED=GAAP","Sort=A","Dates=H","DateFormat=P","Fill=—","Direction=H","UseDPDF=Y")</f>
        <v>#NAME?</v>
      </c>
      <c r="P134" t="e">
        <f ca="1">_xll.BDH($C$128,"NET_INCOME_TO_COMMON_MARGIN","FQ1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34" t="e">
        <f ca="1">_xll.BDH($C$128,"EFF_TAX_RATE","FQ1 2015","FQ1 2015","Currency=INR","Period=FQ","BEST_FPERIOD_OVERRIDE=FQ","FILING_STATUS=OR","EQY_CONSOLIDATED=Y","FA_ADJUSTED=GAAP","Sort=A","Dates=H","DateFormat=P","Fill=—","Direction=H","UseDPDF=Y")</f>
        <v>#NAME?</v>
      </c>
      <c r="R134" t="e">
        <f ca="1">_xll.BDH($C$128,"DVD_PAYOUT_RATIO","FQ1 2015","FQ1 2015","Currency=INR","Period=FQ","BEST_FPERIOD_OVERRIDE=FQ","FILING_STATUS=OR","EQY_CONSOLIDATED=Y","FA_ADJUSTED=GAAP","Sort=A","Dates=H","DateFormat=P","Fill=—","Direction=H","UseDPDF=Y")</f>
        <v>#NAME?</v>
      </c>
      <c r="S134" t="e">
        <f ca="1">_xll.BDH($C$128,"SUSTAIN_GROWTH_RT","FQ1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134" s="1" t="e">
        <f ca="1">_xll.BDH($C$128,"SALES_GROWTH","FQ1 2015","FQ1 2015","Currency=INR","Period=FQ","BEST_FPERIOD_OVERRIDE=FQ","FILING_STATUS=OR","EQY_CONSOLIDATED=Y","FA_ADJUSTED=GAAP","Sort=A","Dates=H","DateFormat=P","Fill=—","Direction=H","UseDPDF=Y")</f>
        <v>#NAME?</v>
      </c>
      <c r="U134" s="1" t="e">
        <f ca="1">_xll.BDH($C$128,"EBITDA_GROWTH","FQ1 2015","FQ1 2015","Currency=INR","Period=FQ","BEST_FPERIOD_OVERRIDE=FQ","FILING_STATUS=OR","EQY_CONSOLIDATED=Y","FA_ADJUSTED=GAAP","Sort=A","Dates=H","DateFormat=P","Fill=—","Direction=H","UseDPDF=Y")</f>
        <v>#NAME?</v>
      </c>
      <c r="V134" s="1" t="e">
        <f ca="1">_xll.BDH($C$128,"OPER_INC_GROWTH","FQ1 2015","FQ1 2015","Currency=INR","Period=FQ","BEST_FPERIOD_OVERRIDE=FQ","FILING_STATUS=OR","EQY_CONSOLIDATED=Y","FA_ADJUSTED=GAAP","Sort=A","Dates=H","DateFormat=P","Fill=—","Direction=H","UseDPDF=Y")</f>
        <v>#NAME?</v>
      </c>
      <c r="W134" s="1" t="e">
        <f ca="1">_xll.BDH($C$128,"EARN_FOR_COM_GROWTH","FQ1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34" s="1" t="e">
        <f ca="1">_xll.BDH($C$128,"DILUTED_EPS_AFT_XO_ITEMS_GROWTH","FQ1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34" s="1" t="e">
        <f ca="1">_xll.BDH($C$128,"DIVIDEND_PER_SHARE_1_YEAR_GROWTH","FQ1 2015","FQ1 2015","Currency=INR","Period=FQ","BEST_FPERIOD_OVERRIDE=FQ","FILING_STATUS=OR","EQY_CONSOLIDATED=Y","Sort=A","Dates=H","DateFormat=P","Fill=—","Direction=H","UseDPDF=Y")</f>
        <v>#NAME?</v>
      </c>
      <c r="Z134" s="1" t="e">
        <f ca="1">_xll.BDH($C$128,"ACCOUNTS_RECEIVABLE_GROWTH","FQ1 2015","FQ1 2015","Currency=INR","Period=FQ","BEST_FPERIOD_OVERRIDE=FQ","FILING_STATUS=OR","EQY_CONSOLIDATED=Y","Sort=A","Dates=H","DateFormat=P","Fill=—","Direction=H","UseDPDF=Y")</f>
        <v>#NAME?</v>
      </c>
      <c r="AA134" s="1" t="e">
        <f ca="1">_xll.BDH($C$128,"INVENTORY_GROWTH","FQ1 2015","FQ1 2015","Currency=INR","Period=FQ","BEST_FPERIOD_OVERRIDE=FQ","FILING_STATUS=OR","EQY_CONSOLIDATED=Y","Sort=A","Dates=H","DateFormat=P","Fill=—","Direction=H","UseDPDF=Y")</f>
        <v>#NAME?</v>
      </c>
      <c r="AB134" s="1" t="e">
        <f ca="1">_xll.BDH($C$128,"NET_FIXED_ASSETS_1_YEAR_GROWTH","FQ1 2015","FQ1 2015","Currency=INR","Period=FQ","BEST_FPERIOD_OVERRIDE=FQ","FILING_STATUS=OR","EQY_CONSOLIDATED=Y","Sort=A","Dates=H","DateFormat=P","Fill=—","Direction=H","UseDPDF=Y")</f>
        <v>#NAME?</v>
      </c>
      <c r="AC134" s="1" t="e">
        <f ca="1">_xll.BDH($C$128,"ASSET_GROWTH","FQ1 2015","FQ1 2015","Currency=INR","Period=FQ","BEST_FPERIOD_OVERRIDE=FQ","FILING_STATUS=OR","EQY_CONSOLIDATED=Y","Sort=A","Dates=H","DateFormat=P","Fill=—","Direction=H","UseDPDF=Y")</f>
        <v>#NAME?</v>
      </c>
      <c r="AD134" s="1" t="e">
        <f ca="1">_xll.BDH($C$128,"MODIFIED_WORK_CAP_GROWTH","FQ1 2015","FQ1 2015","Currency=INR","Period=FQ","BEST_FPERIOD_OVERRIDE=FQ","FILING_STATUS=OR","EQY_CONSOLIDATED=Y","Sort=A","Dates=H","DateFormat=P","Fill=—","Direction=H","UseDPDF=Y")</f>
        <v>#NAME?</v>
      </c>
      <c r="AE134" s="1" t="e">
        <f ca="1">_xll.BDH($C$128,"WORK_CAP_GROWTH","FQ1 2015","FQ1 2015","Currency=INR","Period=FQ","BEST_FPERIOD_OVERRIDE=FQ","FILING_STATUS=OR","EQY_CONSOLIDATED=Y","Sort=A","Dates=H","DateFormat=P","Fill=—","Direction=H","UseDPDF=Y")</f>
        <v>#NAME?</v>
      </c>
      <c r="AF134" s="1" t="e">
        <f ca="1">_xll.BDH($C$128,"ACCOUNTS_PAYABLE_GROWTH_1YR","FQ1 2015","FQ1 2015","Currency=INR","Period=FQ","BEST_FPERIOD_OVERRIDE=FQ","FILING_STATUS=OR","EQY_CONSOLIDATED=Y","Sort=A","Dates=H","DateFormat=P","Fill=—","Direction=H","UseDPDF=Y")</f>
        <v>#NAME?</v>
      </c>
      <c r="AG134" s="1" t="e">
        <f ca="1">_xll.BDH($C$128,"SHORT_TERM_DEBT_1_YEAR_GROWTH","FQ1 2015","FQ1 2015","Currency=INR","Period=FQ","BEST_FPERIOD_OVERRIDE=FQ","FILING_STATUS=OR","EQY_CONSOLIDATED=Y","Sort=A","Dates=H","DateFormat=P","Fill=—","Direction=H","UseDPDF=Y")</f>
        <v>#NAME?</v>
      </c>
      <c r="AH134" s="1" t="e">
        <f ca="1">_xll.BDH($C$128,"TOTAL_DEBT_1_YEAR_GROWTH","FQ1 2015","FQ1 2015","Currency=INR","Period=FQ","BEST_FPERIOD_OVERRIDE=FQ","FILING_STATUS=OR","EQY_CONSOLIDATED=Y","Sort=A","Dates=H","DateFormat=P","Fill=—","Direction=H","UseDPDF=Y")</f>
        <v>#NAME?</v>
      </c>
      <c r="AI134" s="1" t="e">
        <f ca="1">_xll.BDH($C$128,"TOTAL_EQUITY_1_YEAR_GROWTH","FQ1 2015","FQ1 2015","Currency=INR","Period=FQ","BEST_FPERIOD_OVERRIDE=FQ","FILING_STATUS=OR","EQY_CONSOLIDATED=Y","Sort=A","Dates=H","DateFormat=P","Fill=—","Direction=H","UseDPDF=Y")</f>
        <v>#NAME?</v>
      </c>
      <c r="AJ134" s="1" t="e">
        <f ca="1">_xll.BDH($C$128,"GROWTH_IN_CAP","FQ1 2015","FQ1 2015","Currency=INR","Period=FQ","BEST_FPERIOD_OVERRIDE=FQ","FILING_STATUS=OR","EQY_CONSOLIDATED=Y","Sort=A","Dates=H","DateFormat=P","Fill=—","Direction=H","UseDPDF=Y")</f>
        <v>#NAME?</v>
      </c>
      <c r="AK134" s="1" t="e">
        <f ca="1">_xll.BDH($C$128,"BVPS_GROWTH","FQ1 2015","FQ1 2015","Currency=INR","Period=FQ","BEST_FPERIOD_OVERRIDE=FQ","FILING_STATUS=OR","EQY_CONSOLIDATED=Y","Sort=A","Dates=H","DateFormat=P","Fill=—","Direction=H","UseDPDF=Y")</f>
        <v>#NAME?</v>
      </c>
      <c r="AL134" s="1" t="e">
        <f ca="1">_xll.BDH($C$128,"CASH_FLOW_GROWTH","FQ1 2015","FQ1 2015","Currency=INR","Period=FQ","BEST_FPERIOD_OVERRIDE=FQ","FILING_STATUS=OR","EQY_CONSOLIDATED=Y","Sort=A","Dates=H","DateFormat=P","Fill=—","Direction=H","UseDPDF=Y")</f>
        <v>#NAME?</v>
      </c>
      <c r="AM134" s="1" t="e">
        <f ca="1">_xll.BDH($C$128,"GEO_GROW_NET_SALES","FQ1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34" s="1" t="e">
        <f ca="1">_xll.BDH($C$128,"GEO_GROW_EBITDA","FQ1 2015","FQ1 2015","Currency=INR","Period=FQ","BEST_FPERIOD_OVERRIDE=FQ","FILING_STATUS=OR","EQY_CONSOLIDATED=Y","FA_ADJUSTED=GAAP","Sort=A","Dates=H","DateFormat=P","Fill=—","Direction=H","UseDPDF=Y")</f>
        <v>#NAME?</v>
      </c>
      <c r="AO134" s="1" t="e">
        <f ca="1">_xll.BDH($C$128,"GEO_GROW_OPER_INC","FQ1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34" s="1" t="e">
        <f ca="1">_xll.BDH($C$128,"NET_INCOME_TO_COMMON_5_YR_GROWTH","FQ1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34" s="1" t="e">
        <f ca="1">_xll.BDH($C$128,"5Y_GEO_GROWTH_DILUTED_EPS","FQ1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34" s="1" t="e">
        <f ca="1">_xll.BDH($C$128,"GEO_GROW_DVD_PER_SH","FQ1 2015","FQ1 2015","Currency=INR","Period=FQ","BEST_FPERIOD_OVERRIDE=FQ","FILING_STATUS=OR","EQY_CONSOLIDATED=Y","Sort=A","Dates=H","DateFormat=P","Fill=—","Direction=H","UseDPDF=Y")</f>
        <v>#NAME?</v>
      </c>
      <c r="AS134" s="1" t="e">
        <f ca="1">_xll.BDH($C$128,"ACCOUNTS_RECEIVABLE_5_YR_GROWTH","FQ1 2015","FQ1 2015","Currency=INR","Period=FQ","BEST_FPERIOD_OVERRIDE=FQ","FILING_STATUS=OR","EQY_CONSOLIDATED=Y","Sort=A","Dates=H","DateFormat=P","Fill=—","Direction=H","UseDPDF=Y")</f>
        <v>#NAME?</v>
      </c>
      <c r="AT134" s="1" t="e">
        <f ca="1">_xll.BDH($C$128,"INVENTORY_5_YEAR_GROWTH","FQ1 2015","FQ1 2015","Currency=INR","Period=FQ","BEST_FPERIOD_OVERRIDE=FQ","FILING_STATUS=OR","EQY_CONSOLIDATED=Y","Sort=A","Dates=H","DateFormat=P","Fill=—","Direction=H","UseDPDF=Y")</f>
        <v>#NAME?</v>
      </c>
      <c r="AU134" s="1" t="e">
        <f ca="1">_xll.BDH($C$128,"NET_FIXED_ASSETS_5_YEAR_GROWTH","FQ1 2015","FQ1 2015","Currency=INR","Period=FQ","BEST_FPERIOD_OVERRIDE=FQ","FILING_STATUS=OR","EQY_CONSOLIDATED=Y","Sort=A","Dates=H","DateFormat=P","Fill=—","Direction=H","UseDPDF=Y")</f>
        <v>#NAME?</v>
      </c>
      <c r="AV134" s="1" t="e">
        <f ca="1">_xll.BDH($C$128,"GEO_GROW_TOT_ASSET","FQ1 2015","FQ1 2015","Currency=INR","Period=FQ","BEST_FPERIOD_OVERRIDE=FQ","FILING_STATUS=OR","EQY_CONSOLIDATED=Y","Sort=A","Dates=H","DateFormat=P","Fill=—","Direction=H","UseDPDF=Y")</f>
        <v>#NAME?</v>
      </c>
      <c r="AW134" s="1" t="e">
        <f ca="1">_xll.BDH($C$128,"MODIFIED_WORKING_CPTL_5YR_GRWTH","FQ1 2015","FQ1 2015","Currency=INR","Period=FQ","BEST_FPERIOD_OVERRIDE=FQ","FILING_STATUS=OR","EQY_CONSOLIDATED=Y","Sort=A","Dates=H","DateFormat=P","Fill=—","Direction=H","UseDPDF=Y")</f>
        <v>#NAME?</v>
      </c>
      <c r="AX134" s="1" t="e">
        <f ca="1">_xll.BDH($C$128,"WORKING_CAPITAL_5_YEAR_GROWTH","FQ1 2015","FQ1 2015","Currency=INR","Period=FQ","BEST_FPERIOD_OVERRIDE=FQ","FILING_STATUS=OR","EQY_CONSOLIDATED=Y","Sort=A","Dates=H","DateFormat=P","Fill=—","Direction=H","UseDPDF=Y")</f>
        <v>#NAME?</v>
      </c>
      <c r="AY134" s="1" t="e">
        <f ca="1">_xll.BDH($C$128,"ACCOUNTS_PAYABLE_5_YEAR_GROWTH","FQ1 2015","FQ1 2015","Currency=INR","Period=FQ","BEST_FPERIOD_OVERRIDE=FQ","FILING_STATUS=OR","EQY_CONSOLIDATED=Y","Sort=A","Dates=H","DateFormat=P","Fill=—","Direction=H","UseDPDF=Y")</f>
        <v>#NAME?</v>
      </c>
      <c r="AZ134" s="1" t="e">
        <f ca="1">_xll.BDH($C$128,"SHORT_TERM_DEBT_5_YEAR_GROWTH","FQ1 2015","FQ1 2015","Currency=INR","Period=FQ","BEST_FPERIOD_OVERRIDE=FQ","FILING_STATUS=OR","EQY_CONSOLIDATED=Y","Sort=A","Dates=H","DateFormat=P","Fill=—","Direction=H","UseDPDF=Y")</f>
        <v>#NAME?</v>
      </c>
      <c r="BA134" s="1" t="e">
        <f ca="1">_xll.BDH($C$128,"TOTAL_DEBT_5_YEAR_GROWTH","FQ1 2015","FQ1 2015","Currency=INR","Period=FQ","BEST_FPERIOD_OVERRIDE=FQ","FILING_STATUS=OR","EQY_CONSOLIDATED=Y","Sort=A","Dates=H","DateFormat=P","Fill=—","Direction=H","UseDPDF=Y")</f>
        <v>#NAME?</v>
      </c>
      <c r="BB134" s="1" t="e">
        <f ca="1">_xll.BDH($C$128,"GEO_GROW_TOT_SHRHLDR_EQY","FQ1 2015","FQ1 2015","Currency=INR","Period=FQ","BEST_FPERIOD_OVERRIDE=FQ","FILING_STATUS=OR","EQY_CONSOLIDATED=Y","Sort=A","Dates=H","DateFormat=P","Fill=—","Direction=H","UseDPDF=Y")</f>
        <v>#NAME?</v>
      </c>
      <c r="BC134" s="1" t="e">
        <f ca="1">_xll.BDH($C$128,"TOTAL_CAPITAL_5_YEAR_GROWTH","FQ1 2015","FQ1 2015","Currency=INR","Period=FQ","BEST_FPERIOD_OVERRIDE=FQ","FILING_STATUS=OR","EQY_CONSOLIDATED=Y","Sort=A","Dates=H","DateFormat=P","Fill=—","Direction=H","UseDPDF=Y")</f>
        <v>#NAME?</v>
      </c>
      <c r="BD134" s="1" t="e">
        <f ca="1">_xll.BDH($C$128,"GEO_GROW_BOOK_VAL","FQ1 2015","FQ1 2015","Currency=INR","Period=FQ","BEST_FPERIOD_OVERRIDE=FQ","FILING_STATUS=OR","EQY_CONSOLIDATED=Y","Sort=A","Dates=H","DateFormat=P","Fill=—","Direction=H","UseDPDF=Y")</f>
        <v>#NAME?</v>
      </c>
      <c r="BE134" s="1" t="e">
        <f ca="1">_xll.BDH($C$128,"GEO_GROW_CASH_OPER_ACT","FQ1 2015","FQ1 2015","Currency=INR","Period=FQ","BEST_FPERIOD_OVERRIDE=FQ","FILING_STATUS=OR","EQY_CONSOLIDATED=Y","Sort=A","Dates=H","DateFormat=P","Fill=—","Direction=H","UseDPDF=Y")</f>
        <v>#NAME?</v>
      </c>
      <c r="BF134" s="1" t="e">
        <f ca="1">_xll.BDH($C$128,"REVENUE_SEQUENTIAL_GROWTH","FQ1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34" s="1" t="e">
        <f ca="1">_xll.BDH($C$128,"EBITDA_SEQUENTIAL_GROWTH","FQ1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34" s="1" t="e">
        <f ca="1">_xll.BDH($C$128,"OPERATING_INCOME_SEQ_GROWTH","FQ1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34" s="1" t="e">
        <f ca="1">_xll.BDH($C$128,"NET_INCOME_TO_COMMON_SEQ_GROWTH","FQ1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34" s="1" t="e">
        <f ca="1">_xll.BDH($C$128,"EPS_DILUTED_SEQUENTIAL_GROWTH","FQ1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34" s="1" t="e">
        <f ca="1">_xll.BDH($C$128,"DPS_SEQUENTIAL_GROWTH","FQ1 2015","FQ1 2015","Currency=INR","Period=FQ","BEST_FPERIOD_OVERRIDE=FQ","FILING_STATUS=OR","EQY_CONSOLIDATED=Y","Sort=A","Dates=H","DateFormat=P","Fill=—","Direction=H","UseDPDF=Y")</f>
        <v>#NAME?</v>
      </c>
      <c r="BL134" s="1" t="e">
        <f ca="1">_xll.BDH($C$128,"ACCOUNTS_RECEIVABLE_SEQ_GROWTH","FQ1 2015","FQ1 2015","Currency=INR","Period=FQ","BEST_FPERIOD_OVERRIDE=FQ","FILING_STATUS=OR","EQY_CONSOLIDATED=Y","Sort=A","Dates=H","DateFormat=P","Fill=—","Direction=H","UseDPDF=Y")</f>
        <v>#NAME?</v>
      </c>
      <c r="BM134" s="1" t="e">
        <f ca="1">_xll.BDH($C$128,"INVENTORY_SEQUENTIAL_GROWTH","FQ1 2015","FQ1 2015","Currency=INR","Period=FQ","BEST_FPERIOD_OVERRIDE=FQ","FILING_STATUS=OR","EQY_CONSOLIDATED=Y","Sort=A","Dates=H","DateFormat=P","Fill=—","Direction=H","UseDPDF=Y")</f>
        <v>#NAME?</v>
      </c>
      <c r="BN134" s="1" t="e">
        <f ca="1">_xll.BDH($C$128,"FIXED_ASSETS_SEQUENTIAL_GROWTH","FQ1 2015","FQ1 2015","Currency=INR","Period=FQ","BEST_FPERIOD_OVERRIDE=FQ","FILING_STATUS=OR","EQY_CONSOLIDATED=Y","Sort=A","Dates=H","DateFormat=P","Fill=—","Direction=H","UseDPDF=Y")</f>
        <v>#NAME?</v>
      </c>
      <c r="BO134" s="1" t="e">
        <f ca="1">_xll.BDH($C$128,"TOTAL_ASSETS_SEQUENTIAL_GROWTH","FQ1 2015","FQ1 2015","Currency=INR","Period=FQ","BEST_FPERIOD_OVERRIDE=FQ","FILING_STATUS=OR","EQY_CONSOLIDATED=Y","Sort=A","Dates=H","DateFormat=P","Fill=—","Direction=H","UseDPDF=Y")</f>
        <v>#NAME?</v>
      </c>
      <c r="BP134" s="1" t="e">
        <f ca="1">_xll.BDH($C$128,"MODIFIED_WORKING_CPTL_SEQ_GRWTH","FQ1 2015","FQ1 2015","Currency=INR","Period=FQ","BEST_FPERIOD_OVERRIDE=FQ","FILING_STATUS=OR","EQY_CONSOLIDATED=Y","Sort=A","Dates=H","DateFormat=P","Fill=—","Direction=H","UseDPDF=Y")</f>
        <v>#NAME?</v>
      </c>
      <c r="BQ134" s="1" t="e">
        <f ca="1">_xll.BDH($C$128,"WORKING_CAPITAL_SEQ_GROWTH","FQ1 2015","FQ1 2015","Currency=INR","Period=FQ","BEST_FPERIOD_OVERRIDE=FQ","FILING_STATUS=OR","EQY_CONSOLIDATED=Y","Sort=A","Dates=H","DateFormat=P","Fill=—","Direction=H","UseDPDF=Y")</f>
        <v>#NAME?</v>
      </c>
      <c r="BR134" s="1" t="e">
        <f ca="1">_xll.BDH($C$128,"ACCOUNTS_PAYABLE_SEQ_GROWTH","FQ1 2015","FQ1 2015","Currency=INR","Period=FQ","BEST_FPERIOD_OVERRIDE=FQ","FILING_STATUS=OR","EQY_CONSOLIDATED=Y","Sort=A","Dates=H","DateFormat=P","Fill=—","Direction=H","UseDPDF=Y")</f>
        <v>#NAME?</v>
      </c>
      <c r="BS134" s="1" t="e">
        <f ca="1">_xll.BDH($C$128,"ST_DEBT_SEQUENTIAL_GROWTH","FQ1 2015","FQ1 2015","Currency=INR","Period=FQ","BEST_FPERIOD_OVERRIDE=FQ","FILING_STATUS=OR","EQY_CONSOLIDATED=Y","Sort=A","Dates=H","DateFormat=P","Fill=—","Direction=H","UseDPDF=Y")</f>
        <v>#NAME?</v>
      </c>
      <c r="BT134" s="1" t="e">
        <f ca="1">_xll.BDH($C$128,"TOTAL_DEBT_SEQUENTIAL_GROWTH","FQ1 2015","FQ1 2015","Currency=INR","Period=FQ","BEST_FPERIOD_OVERRIDE=FQ","FILING_STATUS=OR","EQY_CONSOLIDATED=Y","Sort=A","Dates=H","DateFormat=P","Fill=—","Direction=H","UseDPDF=Y")</f>
        <v>#NAME?</v>
      </c>
      <c r="BU134" s="1" t="e">
        <f ca="1">_xll.BDH($C$128,"TOTAL_EQUITY_SEQUENTIAL_GROWTH","FQ1 2015","FQ1 2015","Currency=INR","Period=FQ","BEST_FPERIOD_OVERRIDE=FQ","FILING_STATUS=OR","EQY_CONSOLIDATED=Y","Sort=A","Dates=H","DateFormat=P","Fill=—","Direction=H","UseDPDF=Y")</f>
        <v>#NAME?</v>
      </c>
      <c r="BV134" s="1" t="e">
        <f ca="1">_xll.BDH($C$128,"TOTAL_CAPITAL_SEQUENTIAL_GROWTH","FQ1 2015","FQ1 2015","Currency=INR","Period=FQ","BEST_FPERIOD_OVERRIDE=FQ","FILING_STATUS=OR","EQY_CONSOLIDATED=Y","Sort=A","Dates=H","DateFormat=P","Fill=—","Direction=H","UseDPDF=Y")</f>
        <v>#NAME?</v>
      </c>
      <c r="BW134" s="1" t="e">
        <f ca="1">_xll.BDH($C$128,"BPS_SEQUENTIAL_GROWTH","FQ1 2015","FQ1 2015","Currency=INR","Period=FQ","BEST_FPERIOD_OVERRIDE=FQ","FILING_STATUS=OR","EQY_CONSOLIDATED=Y","Sort=A","Dates=H","DateFormat=P","Fill=—","Direction=H","UseDPDF=Y")</f>
        <v>#NAME?</v>
      </c>
      <c r="BX134" s="1" t="e">
        <f ca="1">_xll.BDH($C$128,"CFO_SEQUENTIAL_GROWTH","FQ1 2015","FQ1 2015","Currency=INR","Period=FQ","BEST_FPERIOD_OVERRIDE=FQ","FILING_STATUS=OR","EQY_CONSOLIDATED=Y","Sort=A","Dates=H","DateFormat=P","Fill=—","Direction=H","UseDPDF=Y")</f>
        <v>#NAME?</v>
      </c>
      <c r="BY134" s="2" t="e">
        <f ca="1">_xll.BDH($C$128,"SHORT_AND_LONG_TERM_DEBT","FQ1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34" s="2" t="e">
        <f ca="1">_xll.BDH($C$128,"BS_ST_BORROW","FQ1 2015","FQ1 2015","Currency=INR","Period=FQ","BEST_FPERIOD_OVERRIDE=FQ","FILING_STATUS=OR","EQY_CONSOLIDATED=Y","SCALING_FORMAT=MLN","Sort=A","Dates=H","DateFormat=P","Fill=—","Direction=H","UseDPDF=Y")</f>
        <v>#NAME?</v>
      </c>
      <c r="CA134" s="2" t="e">
        <f ca="1">_xll.BDH($C$128,"BS_LT_BORROW","FQ1 2015","FQ1 2015","Currency=INR","Period=FQ","BEST_FPERIOD_OVERRIDE=FQ","FILING_STATUS=OR","EQY_CONSOLIDATED=Y","SCALING_FORMAT=MLN","Sort=A","Dates=H","DateFormat=P","Fill=—","Direction=H","UseDPDF=Y")</f>
        <v>#NAME?</v>
      </c>
      <c r="CB134" s="1" t="e">
        <f ca="1">_xll.BDH($C$128,"TOT_DEBT_TO_EBITDA","FQ1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34" s="1" t="e">
        <f ca="1">_xll.BDH($C$128,"NET_DEBT_TO_EBITDA","FQ1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34" s="1" t="e">
        <f ca="1">_xll.BDH($C$128,"TOTAL_DEBT_TO_EBIT","FQ1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34" s="1" t="e">
        <f ca="1">_xll.BDH($C$128,"NET_DEBT_TO_EBIT","FQ1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134" s="1" t="e">
        <f ca="1">_xll.BDH($C$128,"EBITDA_TO_INTEREST_EXPN","FQ1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34" s="1" t="e">
        <f ca="1">_xll.BDH($C$128,"COM_EQY_TO_TOT_ASSET","FQ1 2015","FQ1 2015","Currency=INR","Period=FQ","BEST_FPERIOD_OVERRIDE=FQ","FILING_STATUS=OR","EQY_CONSOLIDATED=Y","Sort=A","Dates=H","DateFormat=P","Fill=—","Direction=H","UseDPDF=Y")</f>
        <v>#NAME?</v>
      </c>
      <c r="CH134" s="1" t="e">
        <f ca="1">_xll.BDH($C$128,"LT_DEBT_TO_TOT_EQY","FQ1 2015","FQ1 2015","Currency=INR","Period=FQ","BEST_FPERIOD_OVERRIDE=FQ","FILING_STATUS=OR","EQY_CONSOLIDATED=Y","Sort=A","Dates=H","DateFormat=P","Fill=—","Direction=H","UseDPDF=Y")</f>
        <v>#NAME?</v>
      </c>
      <c r="CI134" s="1" t="e">
        <f ca="1">_xll.BDH($C$128,"LT_DEBT_TO_TOT_CAP","FQ1 2015","FQ1 2015","Currency=INR","Period=FQ","BEST_FPERIOD_OVERRIDE=FQ","FILING_STATUS=OR","EQY_CONSOLIDATED=Y","Sort=A","Dates=H","DateFormat=P","Fill=—","Direction=H","UseDPDF=Y")</f>
        <v>#NAME?</v>
      </c>
      <c r="CJ134" s="1" t="e">
        <f ca="1">_xll.BDH($C$128,"LT_DEBT_TO_TOT_ASSET","FQ1 2015","FQ1 2015","Currency=INR","Period=FQ","BEST_FPERIOD_OVERRIDE=FQ","FILING_STATUS=OR","EQY_CONSOLIDATED=Y","Sort=A","Dates=H","DateFormat=P","Fill=—","Direction=H","UseDPDF=Y")</f>
        <v>#NAME?</v>
      </c>
      <c r="CK134" s="1" t="e">
        <f ca="1">_xll.BDH($C$128,"TOT_DEBT_TO_TOT_EQY","FQ1 2015","FQ1 2015","Currency=INR","Period=FQ","BEST_FPERIOD_OVERRIDE=FQ","FILING_STATUS=OR","EQY_CONSOLIDATED=Y","Sort=A","Dates=H","DateFormat=P","Fill=—","Direction=H","UseDPDF=Y")</f>
        <v>#NAME?</v>
      </c>
      <c r="CL134" s="1" t="e">
        <f ca="1">_xll.BDH($C$128,"TOT_DEBT_TO_TOT_CAP","FQ1 2015","FQ1 2015","Currency=INR","Period=FQ","BEST_FPERIOD_OVERRIDE=FQ","FILING_STATUS=OR","EQY_CONSOLIDATED=Y","Sort=A","Dates=H","DateFormat=P","Fill=—","Direction=H","UseDPDF=Y")</f>
        <v>#NAME?</v>
      </c>
      <c r="CM134" s="1" t="e">
        <f ca="1">_xll.BDH($C$128,"TOT_DEBT_TO_TOT_ASSET","FQ1 2015","FQ1 2015","Currency=INR","Period=FQ","BEST_FPERIOD_OVERRIDE=FQ","FILING_STATUS=OR","EQY_CONSOLIDATED=Y","Sort=A","Dates=H","DateFormat=P","Fill=—","Direction=H","UseDPDF=Y")</f>
        <v>#NAME?</v>
      </c>
      <c r="CN134" s="1" t="e">
        <f ca="1">_xll.BDH($C$128,"NET_DEBT_TO_SHRHLDR_EQTY","FQ1 2015","FQ1 2015","Currency=INR","Period=FQ","BEST_FPERIOD_OVERRIDE=FQ","FILING_STATUS=OR","EQY_CONSOLIDATED=Y","Sort=A","Dates=H","DateFormat=P","Fill=—","Direction=H","UseDPDF=Y")</f>
        <v>#NAME?</v>
      </c>
      <c r="CO134" s="1" t="e">
        <f ca="1">_xll.BDH($C$128,"NET_DEBT_%_CAPITAL","FQ1 2015","FQ1 2015","Currency=INR","Period=FQ","BEST_FPERIOD_OVERRIDE=FQ","FILING_STATUS=OR","EQY_CONSOLIDATED=Y","Sort=A","Dates=H","DateFormat=P","Fill=—","Direction=H","UseDPDF=Y")</f>
        <v>#NAME?</v>
      </c>
      <c r="CP134" s="2" t="e">
        <f ca="1">_xll.BDH($C$128,"EBITDA","FQ1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34" s="2" t="e">
        <f ca="1">_xll.BDH($C$128,"EBITDA_AFTER_CAPEX","FQ1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34" s="2" t="e">
        <f ca="1">_xll.BDH($C$128,"IS_OPER_INC","FQ1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34" s="1" t="e">
        <f ca="1">_xll.BDH($C$128,"CASH_RATIO","FQ1 2015","FQ1 2015","Currency=INR","Period=FQ","BEST_FPERIOD_OVERRIDE=FQ","FILING_STATUS=OR","EQY_CONSOLIDATED=Y","Sort=A","Dates=H","DateFormat=P","Fill=—","Direction=H","UseDPDF=Y")</f>
        <v>#NAME?</v>
      </c>
      <c r="CT134" s="1" t="e">
        <f ca="1">_xll.BDH($C$128,"CUR_RATIO","FQ1 2015","FQ1 2015","Currency=INR","Period=FQ","BEST_FPERIOD_OVERRIDE=FQ","FILING_STATUS=OR","EQY_CONSOLIDATED=Y","Sort=A","Dates=H","DateFormat=P","Fill=—","Direction=H","UseDPDF=Y")</f>
        <v>#NAME?</v>
      </c>
      <c r="CU134" s="1" t="e">
        <f ca="1">_xll.BDH($C$128,"QUICK_RATIO","FQ1 2015","FQ1 2015","Currency=INR","Period=FQ","BEST_FPERIOD_OVERRIDE=FQ","FILING_STATUS=OR","EQY_CONSOLIDATED=Y","Sort=A","Dates=H","DateFormat=P","Fill=—","Direction=H","UseDPDF=Y")</f>
        <v>#NAME?</v>
      </c>
      <c r="CV134" s="1" t="e">
        <f ca="1">_xll.BDH($C$128,"ALTMAN_Z_SCORE","FQ1 2015","FQ1 2015","Currency=INR","Period=FQ","BEST_FPERIOD_OVERRIDE=FQ","FILING_STATUS=OR","EQY_CONSOLIDATED=Y","Sort=A","Dates=H","DateFormat=P","Fill=—","Direction=H","UseDPDF=Y")</f>
        <v>#NAME?</v>
      </c>
      <c r="CW134" s="3" t="e">
        <f ca="1">_xll.BDH($C$128,"ACCT_RCV_TURN","FQ1 2015","FQ1 2015","Currency=INR","Period=FQ","BEST_FPERIOD_OVERRIDE=FQ","FILING_STATUS=OR","EQY_CONSOLIDATED=Y","FA_ADJUSTED=GAAP","Sort=A","Dates=H","DateFormat=P","Fill=—","Direction=H","UseDPDF=Y")</f>
        <v>#NAME?</v>
      </c>
      <c r="CX134" s="1" t="e">
        <f ca="1">_xll.BDH($C$128,"ACCT_RCV_DAYS","FQ1 2015","FQ1 2015","Currency=INR","Period=FQ","BEST_FPERIOD_OVERRIDE=FQ","FILING_STATUS=OR","EQY_CONSOLIDATED=Y","FA_ADJUSTED=GAAP","Sort=A","Dates=H","DateFormat=P","Fill=—","Direction=H","UseDPDF=Y")</f>
        <v>#NAME?</v>
      </c>
      <c r="CY134" s="3" t="e">
        <f ca="1">_xll.BDH($C$128,"INVENT_TURN","FQ1 2015","FQ1 2015","Currency=INR","Period=FQ","BEST_FPERIOD_OVERRIDE=FQ","FILING_STATUS=OR","EQY_CONSOLIDATED=Y","FA_ADJUSTED=GAAP","Sort=A","Dates=H","DateFormat=P","Fill=—","Direction=H","UseDPDF=Y")</f>
        <v>#NAME?</v>
      </c>
      <c r="CZ134" s="1" t="e">
        <f ca="1">_xll.BDH($C$128,"INVENT_DAYS","FQ1 2015","FQ1 2015","Currency=INR","Period=FQ","BEST_FPERIOD_OVERRIDE=FQ","FILING_STATUS=OR","EQY_CONSOLIDATED=Y","FA_ADJUSTED=GAAP","Sort=A","Dates=H","DateFormat=P","Fill=—","Direction=H","UseDPDF=Y")</f>
        <v>#NAME?</v>
      </c>
      <c r="DA134" s="3" t="e">
        <f ca="1">_xll.BDH($C$128,"ACCOUNTS_PAYABLE_TURNOVER","FQ1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34" s="1" t="e">
        <f ca="1">_xll.BDH($C$128,"ACCOUNTS_PAYABLE_TURNOVER_DAYS","FQ1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34" s="3" t="e">
        <f ca="1">_xll.BDH($C$128,"CASH_CONVERSION_CYCLE","FQ1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34" s="3" t="e">
        <f ca="1">_xll.BDH($C$128,"INV_TO_CASH_DAYS","FQ1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134" s="4" t="e">
        <f ca="1">_xll.BDH($C$128,"BS_INVENTORIES","FQ1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134" s="2" t="e">
        <f ca="1">_xll.BDH($C$128,"INVTRY_RAW_MATERIALS","FQ1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34" s="2" t="e">
        <f ca="1">_xll.BDH($C$128,"INVTRY_IN_PROGRESS","FQ1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34" s="2" t="e">
        <f ca="1">_xll.BDH($C$128,"INVTRY_FINISHED_GOODS","FQ1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34" s="2" t="e">
        <f ca="1">_xll.BDH($C$128,"BS_OTHER_INV","FQ1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35" spans="1:113" x14ac:dyDescent="0.3">
      <c r="A135" s="6"/>
      <c r="B135" s="6"/>
      <c r="C135" s="6"/>
      <c r="D135" s="6"/>
      <c r="E135" t="s">
        <v>5</v>
      </c>
      <c r="F135" t="e">
        <f ca="1">_xll.BDH($C$128,"RETURN_COM_EQY","FQ2 2015","FQ2 2015","Currency=INR","Period=FQ","BEST_FPERIOD_OVERRIDE=FQ","FILING_STATUS=OR","EQY_CONSOLIDATED=Y","FA_ADJUSTED=GAAP","Sort=A","Dates=H","DateFormat=P","Fill=—","Direction=H","UseDPDF=Y")</f>
        <v>#NAME?</v>
      </c>
      <c r="G135" t="e">
        <f ca="1">_xll.BDH($C$128,"RETURN_ON_ASSET","FQ2 2015","FQ2 2015","Currency=INR","Period=FQ","BEST_FPERIOD_OVERRIDE=FQ","FILING_STATUS=OR","EQY_CONSOLIDATED=Y","FA_ADJUSTED=GAAP","Sort=A","Dates=H","DateFormat=P","Fill=—","Direction=H","UseDPDF=Y")</f>
        <v>#NAME?</v>
      </c>
      <c r="H135" t="e">
        <f ca="1">_xll.BDH($C$128,"RETURN_ON_CAP","FQ2 2015","FQ2 2015","Currency=INR","Period=FQ","BEST_FPERIOD_OVERRIDE=FQ","FILING_STATUS=OR","EQY_CONSOLIDATED=Y","FA_ADJUSTED=GAAP","Sort=A","Dates=H","DateFormat=P","Fill=—","Direction=H","UseDPDF=Y")</f>
        <v>#NAME?</v>
      </c>
      <c r="I135" t="e">
        <f ca="1">_xll.BDH($C$128,"RETURN_ON_INV_CAPITAL","FQ2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35" t="e">
        <f ca="1">_xll.BDH($C$128,"EBITDA_TO_REVENUE","FQ2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135" t="e">
        <f ca="1">_xll.BDH($C$128,"OPER_MARGIN","FQ2 2015","FQ2 2015","Currency=INR","Period=FQ","BEST_FPERIOD_OVERRIDE=FQ","FILING_STATUS=OR","EQY_CONSOLIDATED=Y","FA_ADJUSTED=GAAP","Sort=A","Dates=H","DateFormat=P","Fill=—","Direction=H","UseDPDF=Y")</f>
        <v>#NAME?</v>
      </c>
      <c r="L135" t="e">
        <f ca="1">_xll.BDH($C$128,"INCREMENTAL_OPERATING_MARGIN","FQ2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35" t="e">
        <f ca="1">_xll.BDH($C$128,"PRETAX_INC_TO_NET_SALES","FQ2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35" t="e">
        <f ca="1">_xll.BDH($C$128,"INC_BEF_XO_ITEMS_TO_NET_SALES","FQ2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35" t="e">
        <f ca="1">_xll.BDH($C$128,"PROF_MARGIN","FQ2 2015","FQ2 2015","Currency=INR","Period=FQ","BEST_FPERIOD_OVERRIDE=FQ","FILING_STATUS=OR","EQY_CONSOLIDATED=Y","FA_ADJUSTED=GAAP","Sort=A","Dates=H","DateFormat=P","Fill=—","Direction=H","UseDPDF=Y")</f>
        <v>#NAME?</v>
      </c>
      <c r="P135" t="e">
        <f ca="1">_xll.BDH($C$128,"NET_INCOME_TO_COMMON_MARGIN","FQ2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35" t="e">
        <f ca="1">_xll.BDH($C$128,"EFF_TAX_RATE","FQ2 2015","FQ2 2015","Currency=INR","Period=FQ","BEST_FPERIOD_OVERRIDE=FQ","FILING_STATUS=OR","EQY_CONSOLIDATED=Y","FA_ADJUSTED=GAAP","Sort=A","Dates=H","DateFormat=P","Fill=—","Direction=H","UseDPDF=Y")</f>
        <v>#NAME?</v>
      </c>
      <c r="R135" t="e">
        <f ca="1">_xll.BDH($C$128,"DVD_PAYOUT_RATIO","FQ2 2015","FQ2 2015","Currency=INR","Period=FQ","BEST_FPERIOD_OVERRIDE=FQ","FILING_STATUS=OR","EQY_CONSOLIDATED=Y","FA_ADJUSTED=GAAP","Sort=A","Dates=H","DateFormat=P","Fill=—","Direction=H","UseDPDF=Y")</f>
        <v>#NAME?</v>
      </c>
      <c r="S135" t="e">
        <f ca="1">_xll.BDH($C$128,"SUSTAIN_GROWTH_RT","FQ2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135" s="1" t="e">
        <f ca="1">_xll.BDH($C$128,"SALES_GROWTH","FQ2 2015","FQ2 2015","Currency=INR","Period=FQ","BEST_FPERIOD_OVERRIDE=FQ","FILING_STATUS=OR","EQY_CONSOLIDATED=Y","FA_ADJUSTED=GAAP","Sort=A","Dates=H","DateFormat=P","Fill=—","Direction=H","UseDPDF=Y")</f>
        <v>#NAME?</v>
      </c>
      <c r="U135" s="1" t="e">
        <f ca="1">_xll.BDH($C$128,"EBITDA_GROWTH","FQ2 2015","FQ2 2015","Currency=INR","Period=FQ","BEST_FPERIOD_OVERRIDE=FQ","FILING_STATUS=OR","EQY_CONSOLIDATED=Y","FA_ADJUSTED=GAAP","Sort=A","Dates=H","DateFormat=P","Fill=—","Direction=H","UseDPDF=Y")</f>
        <v>#NAME?</v>
      </c>
      <c r="V135" s="1" t="e">
        <f ca="1">_xll.BDH($C$128,"OPER_INC_GROWTH","FQ2 2015","FQ2 2015","Currency=INR","Period=FQ","BEST_FPERIOD_OVERRIDE=FQ","FILING_STATUS=OR","EQY_CONSOLIDATED=Y","FA_ADJUSTED=GAAP","Sort=A","Dates=H","DateFormat=P","Fill=—","Direction=H","UseDPDF=Y")</f>
        <v>#NAME?</v>
      </c>
      <c r="W135" s="1" t="e">
        <f ca="1">_xll.BDH($C$128,"EARN_FOR_COM_GROWTH","FQ2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35" s="1" t="e">
        <f ca="1">_xll.BDH($C$128,"DILUTED_EPS_AFT_XO_ITEMS_GROWTH","FQ2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35" s="1" t="e">
        <f ca="1">_xll.BDH($C$128,"DIVIDEND_PER_SHARE_1_YEAR_GROWTH","FQ2 2015","FQ2 2015","Currency=INR","Period=FQ","BEST_FPERIOD_OVERRIDE=FQ","FILING_STATUS=OR","EQY_CONSOLIDATED=Y","Sort=A","Dates=H","DateFormat=P","Fill=—","Direction=H","UseDPDF=Y")</f>
        <v>#NAME?</v>
      </c>
      <c r="Z135" s="1" t="e">
        <f ca="1">_xll.BDH($C$128,"ACCOUNTS_RECEIVABLE_GROWTH","FQ2 2015","FQ2 2015","Currency=INR","Period=FQ","BEST_FPERIOD_OVERRIDE=FQ","FILING_STATUS=OR","EQY_CONSOLIDATED=Y","Sort=A","Dates=H","DateFormat=P","Fill=—","Direction=H","UseDPDF=Y")</f>
        <v>#NAME?</v>
      </c>
      <c r="AA135" s="1" t="e">
        <f ca="1">_xll.BDH($C$128,"INVENTORY_GROWTH","FQ2 2015","FQ2 2015","Currency=INR","Period=FQ","BEST_FPERIOD_OVERRIDE=FQ","FILING_STATUS=OR","EQY_CONSOLIDATED=Y","Sort=A","Dates=H","DateFormat=P","Fill=—","Direction=H","UseDPDF=Y")</f>
        <v>#NAME?</v>
      </c>
      <c r="AB135" s="1" t="e">
        <f ca="1">_xll.BDH($C$128,"NET_FIXED_ASSETS_1_YEAR_GROWTH","FQ2 2015","FQ2 2015","Currency=INR","Period=FQ","BEST_FPERIOD_OVERRIDE=FQ","FILING_STATUS=OR","EQY_CONSOLIDATED=Y","Sort=A","Dates=H","DateFormat=P","Fill=—","Direction=H","UseDPDF=Y")</f>
        <v>#NAME?</v>
      </c>
      <c r="AC135" s="1" t="e">
        <f ca="1">_xll.BDH($C$128,"ASSET_GROWTH","FQ2 2015","FQ2 2015","Currency=INR","Period=FQ","BEST_FPERIOD_OVERRIDE=FQ","FILING_STATUS=OR","EQY_CONSOLIDATED=Y","Sort=A","Dates=H","DateFormat=P","Fill=—","Direction=H","UseDPDF=Y")</f>
        <v>#NAME?</v>
      </c>
      <c r="AD135" s="1" t="e">
        <f ca="1">_xll.BDH($C$128,"MODIFIED_WORK_CAP_GROWTH","FQ2 2015","FQ2 2015","Currency=INR","Period=FQ","BEST_FPERIOD_OVERRIDE=FQ","FILING_STATUS=OR","EQY_CONSOLIDATED=Y","Sort=A","Dates=H","DateFormat=P","Fill=—","Direction=H","UseDPDF=Y")</f>
        <v>#NAME?</v>
      </c>
      <c r="AE135" s="1" t="e">
        <f ca="1">_xll.BDH($C$128,"WORK_CAP_GROWTH","FQ2 2015","FQ2 2015","Currency=INR","Period=FQ","BEST_FPERIOD_OVERRIDE=FQ","FILING_STATUS=OR","EQY_CONSOLIDATED=Y","Sort=A","Dates=H","DateFormat=P","Fill=—","Direction=H","UseDPDF=Y")</f>
        <v>#NAME?</v>
      </c>
      <c r="AF135" s="1" t="e">
        <f ca="1">_xll.BDH($C$128,"ACCOUNTS_PAYABLE_GROWTH_1YR","FQ2 2015","FQ2 2015","Currency=INR","Period=FQ","BEST_FPERIOD_OVERRIDE=FQ","FILING_STATUS=OR","EQY_CONSOLIDATED=Y","Sort=A","Dates=H","DateFormat=P","Fill=—","Direction=H","UseDPDF=Y")</f>
        <v>#NAME?</v>
      </c>
      <c r="AG135" s="1" t="e">
        <f ca="1">_xll.BDH($C$128,"SHORT_TERM_DEBT_1_YEAR_GROWTH","FQ2 2015","FQ2 2015","Currency=INR","Period=FQ","BEST_FPERIOD_OVERRIDE=FQ","FILING_STATUS=OR","EQY_CONSOLIDATED=Y","Sort=A","Dates=H","DateFormat=P","Fill=—","Direction=H","UseDPDF=Y")</f>
        <v>#NAME?</v>
      </c>
      <c r="AH135" s="1" t="e">
        <f ca="1">_xll.BDH($C$128,"TOTAL_DEBT_1_YEAR_GROWTH","FQ2 2015","FQ2 2015","Currency=INR","Period=FQ","BEST_FPERIOD_OVERRIDE=FQ","FILING_STATUS=OR","EQY_CONSOLIDATED=Y","Sort=A","Dates=H","DateFormat=P","Fill=—","Direction=H","UseDPDF=Y")</f>
        <v>#NAME?</v>
      </c>
      <c r="AI135" s="1" t="e">
        <f ca="1">_xll.BDH($C$128,"TOTAL_EQUITY_1_YEAR_GROWTH","FQ2 2015","FQ2 2015","Currency=INR","Period=FQ","BEST_FPERIOD_OVERRIDE=FQ","FILING_STATUS=OR","EQY_CONSOLIDATED=Y","Sort=A","Dates=H","DateFormat=P","Fill=—","Direction=H","UseDPDF=Y")</f>
        <v>#NAME?</v>
      </c>
      <c r="AJ135" s="1" t="e">
        <f ca="1">_xll.BDH($C$128,"GROWTH_IN_CAP","FQ2 2015","FQ2 2015","Currency=INR","Period=FQ","BEST_FPERIOD_OVERRIDE=FQ","FILING_STATUS=OR","EQY_CONSOLIDATED=Y","Sort=A","Dates=H","DateFormat=P","Fill=—","Direction=H","UseDPDF=Y")</f>
        <v>#NAME?</v>
      </c>
      <c r="AK135" s="1" t="e">
        <f ca="1">_xll.BDH($C$128,"BVPS_GROWTH","FQ2 2015","FQ2 2015","Currency=INR","Period=FQ","BEST_FPERIOD_OVERRIDE=FQ","FILING_STATUS=OR","EQY_CONSOLIDATED=Y","Sort=A","Dates=H","DateFormat=P","Fill=—","Direction=H","UseDPDF=Y")</f>
        <v>#NAME?</v>
      </c>
      <c r="AL135" s="1" t="e">
        <f ca="1">_xll.BDH($C$128,"CASH_FLOW_GROWTH","FQ2 2015","FQ2 2015","Currency=INR","Period=FQ","BEST_FPERIOD_OVERRIDE=FQ","FILING_STATUS=OR","EQY_CONSOLIDATED=Y","Sort=A","Dates=H","DateFormat=P","Fill=—","Direction=H","UseDPDF=Y")</f>
        <v>#NAME?</v>
      </c>
      <c r="AM135" s="1" t="e">
        <f ca="1">_xll.BDH($C$128,"GEO_GROW_NET_SALES","FQ2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35" s="1" t="e">
        <f ca="1">_xll.BDH($C$128,"GEO_GROW_EBITDA","FQ2 2015","FQ2 2015","Currency=INR","Period=FQ","BEST_FPERIOD_OVERRIDE=FQ","FILING_STATUS=OR","EQY_CONSOLIDATED=Y","FA_ADJUSTED=GAAP","Sort=A","Dates=H","DateFormat=P","Fill=—","Direction=H","UseDPDF=Y")</f>
        <v>#NAME?</v>
      </c>
      <c r="AO135" s="1" t="e">
        <f ca="1">_xll.BDH($C$128,"GEO_GROW_OPER_INC","FQ2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35" s="1" t="e">
        <f ca="1">_xll.BDH($C$128,"NET_INCOME_TO_COMMON_5_YR_GROWTH","FQ2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35" s="1" t="e">
        <f ca="1">_xll.BDH($C$128,"5Y_GEO_GROWTH_DILUTED_EPS","FQ2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35" s="1" t="e">
        <f ca="1">_xll.BDH($C$128,"GEO_GROW_DVD_PER_SH","FQ2 2015","FQ2 2015","Currency=INR","Period=FQ","BEST_FPERIOD_OVERRIDE=FQ","FILING_STATUS=OR","EQY_CONSOLIDATED=Y","Sort=A","Dates=H","DateFormat=P","Fill=—","Direction=H","UseDPDF=Y")</f>
        <v>#NAME?</v>
      </c>
      <c r="AS135" s="1" t="e">
        <f ca="1">_xll.BDH($C$128,"ACCOUNTS_RECEIVABLE_5_YR_GROWTH","FQ2 2015","FQ2 2015","Currency=INR","Period=FQ","BEST_FPERIOD_OVERRIDE=FQ","FILING_STATUS=OR","EQY_CONSOLIDATED=Y","Sort=A","Dates=H","DateFormat=P","Fill=—","Direction=H","UseDPDF=Y")</f>
        <v>#NAME?</v>
      </c>
      <c r="AT135" s="1" t="e">
        <f ca="1">_xll.BDH($C$128,"INVENTORY_5_YEAR_GROWTH","FQ2 2015","FQ2 2015","Currency=INR","Period=FQ","BEST_FPERIOD_OVERRIDE=FQ","FILING_STATUS=OR","EQY_CONSOLIDATED=Y","Sort=A","Dates=H","DateFormat=P","Fill=—","Direction=H","UseDPDF=Y")</f>
        <v>#NAME?</v>
      </c>
      <c r="AU135" s="1" t="e">
        <f ca="1">_xll.BDH($C$128,"NET_FIXED_ASSETS_5_YEAR_GROWTH","FQ2 2015","FQ2 2015","Currency=INR","Period=FQ","BEST_FPERIOD_OVERRIDE=FQ","FILING_STATUS=OR","EQY_CONSOLIDATED=Y","Sort=A","Dates=H","DateFormat=P","Fill=—","Direction=H","UseDPDF=Y")</f>
        <v>#NAME?</v>
      </c>
      <c r="AV135" s="1" t="e">
        <f ca="1">_xll.BDH($C$128,"GEO_GROW_TOT_ASSET","FQ2 2015","FQ2 2015","Currency=INR","Period=FQ","BEST_FPERIOD_OVERRIDE=FQ","FILING_STATUS=OR","EQY_CONSOLIDATED=Y","Sort=A","Dates=H","DateFormat=P","Fill=—","Direction=H","UseDPDF=Y")</f>
        <v>#NAME?</v>
      </c>
      <c r="AW135" s="1" t="e">
        <f ca="1">_xll.BDH($C$128,"MODIFIED_WORKING_CPTL_5YR_GRWTH","FQ2 2015","FQ2 2015","Currency=INR","Period=FQ","BEST_FPERIOD_OVERRIDE=FQ","FILING_STATUS=OR","EQY_CONSOLIDATED=Y","Sort=A","Dates=H","DateFormat=P","Fill=—","Direction=H","UseDPDF=Y")</f>
        <v>#NAME?</v>
      </c>
      <c r="AX135" s="1" t="e">
        <f ca="1">_xll.BDH($C$128,"WORKING_CAPITAL_5_YEAR_GROWTH","FQ2 2015","FQ2 2015","Currency=INR","Period=FQ","BEST_FPERIOD_OVERRIDE=FQ","FILING_STATUS=OR","EQY_CONSOLIDATED=Y","Sort=A","Dates=H","DateFormat=P","Fill=—","Direction=H","UseDPDF=Y")</f>
        <v>#NAME?</v>
      </c>
      <c r="AY135" s="1" t="e">
        <f ca="1">_xll.BDH($C$128,"ACCOUNTS_PAYABLE_5_YEAR_GROWTH","FQ2 2015","FQ2 2015","Currency=INR","Period=FQ","BEST_FPERIOD_OVERRIDE=FQ","FILING_STATUS=OR","EQY_CONSOLIDATED=Y","Sort=A","Dates=H","DateFormat=P","Fill=—","Direction=H","UseDPDF=Y")</f>
        <v>#NAME?</v>
      </c>
      <c r="AZ135" s="1" t="e">
        <f ca="1">_xll.BDH($C$128,"SHORT_TERM_DEBT_5_YEAR_GROWTH","FQ2 2015","FQ2 2015","Currency=INR","Period=FQ","BEST_FPERIOD_OVERRIDE=FQ","FILING_STATUS=OR","EQY_CONSOLIDATED=Y","Sort=A","Dates=H","DateFormat=P","Fill=—","Direction=H","UseDPDF=Y")</f>
        <v>#NAME?</v>
      </c>
      <c r="BA135" s="1" t="e">
        <f ca="1">_xll.BDH($C$128,"TOTAL_DEBT_5_YEAR_GROWTH","FQ2 2015","FQ2 2015","Currency=INR","Period=FQ","BEST_FPERIOD_OVERRIDE=FQ","FILING_STATUS=OR","EQY_CONSOLIDATED=Y","Sort=A","Dates=H","DateFormat=P","Fill=—","Direction=H","UseDPDF=Y")</f>
        <v>#NAME?</v>
      </c>
      <c r="BB135" s="1" t="e">
        <f ca="1">_xll.BDH($C$128,"GEO_GROW_TOT_SHRHLDR_EQY","FQ2 2015","FQ2 2015","Currency=INR","Period=FQ","BEST_FPERIOD_OVERRIDE=FQ","FILING_STATUS=OR","EQY_CONSOLIDATED=Y","Sort=A","Dates=H","DateFormat=P","Fill=—","Direction=H","UseDPDF=Y")</f>
        <v>#NAME?</v>
      </c>
      <c r="BC135" s="1" t="e">
        <f ca="1">_xll.BDH($C$128,"TOTAL_CAPITAL_5_YEAR_GROWTH","FQ2 2015","FQ2 2015","Currency=INR","Period=FQ","BEST_FPERIOD_OVERRIDE=FQ","FILING_STATUS=OR","EQY_CONSOLIDATED=Y","Sort=A","Dates=H","DateFormat=P","Fill=—","Direction=H","UseDPDF=Y")</f>
        <v>#NAME?</v>
      </c>
      <c r="BD135" s="1" t="e">
        <f ca="1">_xll.BDH($C$128,"GEO_GROW_BOOK_VAL","FQ2 2015","FQ2 2015","Currency=INR","Period=FQ","BEST_FPERIOD_OVERRIDE=FQ","FILING_STATUS=OR","EQY_CONSOLIDATED=Y","Sort=A","Dates=H","DateFormat=P","Fill=—","Direction=H","UseDPDF=Y")</f>
        <v>#NAME?</v>
      </c>
      <c r="BE135" s="1" t="e">
        <f ca="1">_xll.BDH($C$128,"GEO_GROW_CASH_OPER_ACT","FQ2 2015","FQ2 2015","Currency=INR","Period=FQ","BEST_FPERIOD_OVERRIDE=FQ","FILING_STATUS=OR","EQY_CONSOLIDATED=Y","Sort=A","Dates=H","DateFormat=P","Fill=—","Direction=H","UseDPDF=Y")</f>
        <v>#NAME?</v>
      </c>
      <c r="BF135" s="1" t="e">
        <f ca="1">_xll.BDH($C$128,"REVENUE_SEQUENTIAL_GROWTH","FQ2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35" s="1" t="e">
        <f ca="1">_xll.BDH($C$128,"EBITDA_SEQUENTIAL_GROWTH","FQ2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35" s="1" t="e">
        <f ca="1">_xll.BDH($C$128,"OPERATING_INCOME_SEQ_GROWTH","FQ2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35" s="1" t="e">
        <f ca="1">_xll.BDH($C$128,"NET_INCOME_TO_COMMON_SEQ_GROWTH","FQ2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35" s="1" t="e">
        <f ca="1">_xll.BDH($C$128,"EPS_DILUTED_SEQUENTIAL_GROWTH","FQ2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35" s="1" t="e">
        <f ca="1">_xll.BDH($C$128,"DPS_SEQUENTIAL_GROWTH","FQ2 2015","FQ2 2015","Currency=INR","Period=FQ","BEST_FPERIOD_OVERRIDE=FQ","FILING_STATUS=OR","EQY_CONSOLIDATED=Y","Sort=A","Dates=H","DateFormat=P","Fill=—","Direction=H","UseDPDF=Y")</f>
        <v>#NAME?</v>
      </c>
      <c r="BL135" s="1" t="e">
        <f ca="1">_xll.BDH($C$128,"ACCOUNTS_RECEIVABLE_SEQ_GROWTH","FQ2 2015","FQ2 2015","Currency=INR","Period=FQ","BEST_FPERIOD_OVERRIDE=FQ","FILING_STATUS=OR","EQY_CONSOLIDATED=Y","Sort=A","Dates=H","DateFormat=P","Fill=—","Direction=H","UseDPDF=Y")</f>
        <v>#NAME?</v>
      </c>
      <c r="BM135" s="1" t="e">
        <f ca="1">_xll.BDH($C$128,"INVENTORY_SEQUENTIAL_GROWTH","FQ2 2015","FQ2 2015","Currency=INR","Period=FQ","BEST_FPERIOD_OVERRIDE=FQ","FILING_STATUS=OR","EQY_CONSOLIDATED=Y","Sort=A","Dates=H","DateFormat=P","Fill=—","Direction=H","UseDPDF=Y")</f>
        <v>#NAME?</v>
      </c>
      <c r="BN135" s="1" t="e">
        <f ca="1">_xll.BDH($C$128,"FIXED_ASSETS_SEQUENTIAL_GROWTH","FQ2 2015","FQ2 2015","Currency=INR","Period=FQ","BEST_FPERIOD_OVERRIDE=FQ","FILING_STATUS=OR","EQY_CONSOLIDATED=Y","Sort=A","Dates=H","DateFormat=P","Fill=—","Direction=H","UseDPDF=Y")</f>
        <v>#NAME?</v>
      </c>
      <c r="BO135" s="1" t="e">
        <f ca="1">_xll.BDH($C$128,"TOTAL_ASSETS_SEQUENTIAL_GROWTH","FQ2 2015","FQ2 2015","Currency=INR","Period=FQ","BEST_FPERIOD_OVERRIDE=FQ","FILING_STATUS=OR","EQY_CONSOLIDATED=Y","Sort=A","Dates=H","DateFormat=P","Fill=—","Direction=H","UseDPDF=Y")</f>
        <v>#NAME?</v>
      </c>
      <c r="BP135" s="1" t="e">
        <f ca="1">_xll.BDH($C$128,"MODIFIED_WORKING_CPTL_SEQ_GRWTH","FQ2 2015","FQ2 2015","Currency=INR","Period=FQ","BEST_FPERIOD_OVERRIDE=FQ","FILING_STATUS=OR","EQY_CONSOLIDATED=Y","Sort=A","Dates=H","DateFormat=P","Fill=—","Direction=H","UseDPDF=Y")</f>
        <v>#NAME?</v>
      </c>
      <c r="BQ135" s="1" t="e">
        <f ca="1">_xll.BDH($C$128,"WORKING_CAPITAL_SEQ_GROWTH","FQ2 2015","FQ2 2015","Currency=INR","Period=FQ","BEST_FPERIOD_OVERRIDE=FQ","FILING_STATUS=OR","EQY_CONSOLIDATED=Y","Sort=A","Dates=H","DateFormat=P","Fill=—","Direction=H","UseDPDF=Y")</f>
        <v>#NAME?</v>
      </c>
      <c r="BR135" s="1" t="e">
        <f ca="1">_xll.BDH($C$128,"ACCOUNTS_PAYABLE_SEQ_GROWTH","FQ2 2015","FQ2 2015","Currency=INR","Period=FQ","BEST_FPERIOD_OVERRIDE=FQ","FILING_STATUS=OR","EQY_CONSOLIDATED=Y","Sort=A","Dates=H","DateFormat=P","Fill=—","Direction=H","UseDPDF=Y")</f>
        <v>#NAME?</v>
      </c>
      <c r="BS135" s="1" t="e">
        <f ca="1">_xll.BDH($C$128,"ST_DEBT_SEQUENTIAL_GROWTH","FQ2 2015","FQ2 2015","Currency=INR","Period=FQ","BEST_FPERIOD_OVERRIDE=FQ","FILING_STATUS=OR","EQY_CONSOLIDATED=Y","Sort=A","Dates=H","DateFormat=P","Fill=—","Direction=H","UseDPDF=Y")</f>
        <v>#NAME?</v>
      </c>
      <c r="BT135" s="1" t="e">
        <f ca="1">_xll.BDH($C$128,"TOTAL_DEBT_SEQUENTIAL_GROWTH","FQ2 2015","FQ2 2015","Currency=INR","Period=FQ","BEST_FPERIOD_OVERRIDE=FQ","FILING_STATUS=OR","EQY_CONSOLIDATED=Y","Sort=A","Dates=H","DateFormat=P","Fill=—","Direction=H","UseDPDF=Y")</f>
        <v>#NAME?</v>
      </c>
      <c r="BU135" s="1" t="e">
        <f ca="1">_xll.BDH($C$128,"TOTAL_EQUITY_SEQUENTIAL_GROWTH","FQ2 2015","FQ2 2015","Currency=INR","Period=FQ","BEST_FPERIOD_OVERRIDE=FQ","FILING_STATUS=OR","EQY_CONSOLIDATED=Y","Sort=A","Dates=H","DateFormat=P","Fill=—","Direction=H","UseDPDF=Y")</f>
        <v>#NAME?</v>
      </c>
      <c r="BV135" s="1" t="e">
        <f ca="1">_xll.BDH($C$128,"TOTAL_CAPITAL_SEQUENTIAL_GROWTH","FQ2 2015","FQ2 2015","Currency=INR","Period=FQ","BEST_FPERIOD_OVERRIDE=FQ","FILING_STATUS=OR","EQY_CONSOLIDATED=Y","Sort=A","Dates=H","DateFormat=P","Fill=—","Direction=H","UseDPDF=Y")</f>
        <v>#NAME?</v>
      </c>
      <c r="BW135" s="1" t="e">
        <f ca="1">_xll.BDH($C$128,"BPS_SEQUENTIAL_GROWTH","FQ2 2015","FQ2 2015","Currency=INR","Period=FQ","BEST_FPERIOD_OVERRIDE=FQ","FILING_STATUS=OR","EQY_CONSOLIDATED=Y","Sort=A","Dates=H","DateFormat=P","Fill=—","Direction=H","UseDPDF=Y")</f>
        <v>#NAME?</v>
      </c>
      <c r="BX135" s="1" t="e">
        <f ca="1">_xll.BDH($C$128,"CFO_SEQUENTIAL_GROWTH","FQ2 2015","FQ2 2015","Currency=INR","Period=FQ","BEST_FPERIOD_OVERRIDE=FQ","FILING_STATUS=OR","EQY_CONSOLIDATED=Y","Sort=A","Dates=H","DateFormat=P","Fill=—","Direction=H","UseDPDF=Y")</f>
        <v>#NAME?</v>
      </c>
      <c r="BY135" s="2" t="e">
        <f ca="1">_xll.BDH($C$128,"SHORT_AND_LONG_TERM_DEBT","FQ2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35" s="2" t="e">
        <f ca="1">_xll.BDH($C$128,"BS_ST_BORROW","FQ2 2015","FQ2 2015","Currency=INR","Period=FQ","BEST_FPERIOD_OVERRIDE=FQ","FILING_STATUS=OR","EQY_CONSOLIDATED=Y","SCALING_FORMAT=MLN","Sort=A","Dates=H","DateFormat=P","Fill=—","Direction=H","UseDPDF=Y")</f>
        <v>#NAME?</v>
      </c>
      <c r="CA135" s="2" t="e">
        <f ca="1">_xll.BDH($C$128,"BS_LT_BORROW","FQ2 2015","FQ2 2015","Currency=INR","Period=FQ","BEST_FPERIOD_OVERRIDE=FQ","FILING_STATUS=OR","EQY_CONSOLIDATED=Y","SCALING_FORMAT=MLN","Sort=A","Dates=H","DateFormat=P","Fill=—","Direction=H","UseDPDF=Y")</f>
        <v>#NAME?</v>
      </c>
      <c r="CB135" s="1" t="e">
        <f ca="1">_xll.BDH($C$128,"TOT_DEBT_TO_EBITDA","FQ2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35" s="1" t="e">
        <f ca="1">_xll.BDH($C$128,"NET_DEBT_TO_EBITDA","FQ2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35" s="1" t="e">
        <f ca="1">_xll.BDH($C$128,"TOTAL_DEBT_TO_EBIT","FQ2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35" s="1" t="e">
        <f ca="1">_xll.BDH($C$128,"NET_DEBT_TO_EBIT","FQ2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135" s="1" t="e">
        <f ca="1">_xll.BDH($C$128,"EBITDA_TO_INTEREST_EXPN","FQ2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35" s="1" t="e">
        <f ca="1">_xll.BDH($C$128,"COM_EQY_TO_TOT_ASSET","FQ2 2015","FQ2 2015","Currency=INR","Period=FQ","BEST_FPERIOD_OVERRIDE=FQ","FILING_STATUS=OR","EQY_CONSOLIDATED=Y","Sort=A","Dates=H","DateFormat=P","Fill=—","Direction=H","UseDPDF=Y")</f>
        <v>#NAME?</v>
      </c>
      <c r="CH135" s="1" t="e">
        <f ca="1">_xll.BDH($C$128,"LT_DEBT_TO_TOT_EQY","FQ2 2015","FQ2 2015","Currency=INR","Period=FQ","BEST_FPERIOD_OVERRIDE=FQ","FILING_STATUS=OR","EQY_CONSOLIDATED=Y","Sort=A","Dates=H","DateFormat=P","Fill=—","Direction=H","UseDPDF=Y")</f>
        <v>#NAME?</v>
      </c>
      <c r="CI135" s="1" t="e">
        <f ca="1">_xll.BDH($C$128,"LT_DEBT_TO_TOT_CAP","FQ2 2015","FQ2 2015","Currency=INR","Period=FQ","BEST_FPERIOD_OVERRIDE=FQ","FILING_STATUS=OR","EQY_CONSOLIDATED=Y","Sort=A","Dates=H","DateFormat=P","Fill=—","Direction=H","UseDPDF=Y")</f>
        <v>#NAME?</v>
      </c>
      <c r="CJ135" s="1" t="e">
        <f ca="1">_xll.BDH($C$128,"LT_DEBT_TO_TOT_ASSET","FQ2 2015","FQ2 2015","Currency=INR","Period=FQ","BEST_FPERIOD_OVERRIDE=FQ","FILING_STATUS=OR","EQY_CONSOLIDATED=Y","Sort=A","Dates=H","DateFormat=P","Fill=—","Direction=H","UseDPDF=Y")</f>
        <v>#NAME?</v>
      </c>
      <c r="CK135" s="1" t="e">
        <f ca="1">_xll.BDH($C$128,"TOT_DEBT_TO_TOT_EQY","FQ2 2015","FQ2 2015","Currency=INR","Period=FQ","BEST_FPERIOD_OVERRIDE=FQ","FILING_STATUS=OR","EQY_CONSOLIDATED=Y","Sort=A","Dates=H","DateFormat=P","Fill=—","Direction=H","UseDPDF=Y")</f>
        <v>#NAME?</v>
      </c>
      <c r="CL135" s="1" t="e">
        <f ca="1">_xll.BDH($C$128,"TOT_DEBT_TO_TOT_CAP","FQ2 2015","FQ2 2015","Currency=INR","Period=FQ","BEST_FPERIOD_OVERRIDE=FQ","FILING_STATUS=OR","EQY_CONSOLIDATED=Y","Sort=A","Dates=H","DateFormat=P","Fill=—","Direction=H","UseDPDF=Y")</f>
        <v>#NAME?</v>
      </c>
      <c r="CM135" s="1" t="e">
        <f ca="1">_xll.BDH($C$128,"TOT_DEBT_TO_TOT_ASSET","FQ2 2015","FQ2 2015","Currency=INR","Period=FQ","BEST_FPERIOD_OVERRIDE=FQ","FILING_STATUS=OR","EQY_CONSOLIDATED=Y","Sort=A","Dates=H","DateFormat=P","Fill=—","Direction=H","UseDPDF=Y")</f>
        <v>#NAME?</v>
      </c>
      <c r="CN135" s="1" t="e">
        <f ca="1">_xll.BDH($C$128,"NET_DEBT_TO_SHRHLDR_EQTY","FQ2 2015","FQ2 2015","Currency=INR","Period=FQ","BEST_FPERIOD_OVERRIDE=FQ","FILING_STATUS=OR","EQY_CONSOLIDATED=Y","Sort=A","Dates=H","DateFormat=P","Fill=—","Direction=H","UseDPDF=Y")</f>
        <v>#NAME?</v>
      </c>
      <c r="CO135" s="1" t="e">
        <f ca="1">_xll.BDH($C$128,"NET_DEBT_%_CAPITAL","FQ2 2015","FQ2 2015","Currency=INR","Period=FQ","BEST_FPERIOD_OVERRIDE=FQ","FILING_STATUS=OR","EQY_CONSOLIDATED=Y","Sort=A","Dates=H","DateFormat=P","Fill=—","Direction=H","UseDPDF=Y")</f>
        <v>#NAME?</v>
      </c>
      <c r="CP135" s="2" t="e">
        <f ca="1">_xll.BDH($C$128,"EBITDA","FQ2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35" s="2" t="e">
        <f ca="1">_xll.BDH($C$128,"EBITDA_AFTER_CAPEX","FQ2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35" s="2" t="e">
        <f ca="1">_xll.BDH($C$128,"IS_OPER_INC","FQ2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35" s="1" t="e">
        <f ca="1">_xll.BDH($C$128,"CASH_RATIO","FQ2 2015","FQ2 2015","Currency=INR","Period=FQ","BEST_FPERIOD_OVERRIDE=FQ","FILING_STATUS=OR","EQY_CONSOLIDATED=Y","Sort=A","Dates=H","DateFormat=P","Fill=—","Direction=H","UseDPDF=Y")</f>
        <v>#NAME?</v>
      </c>
      <c r="CT135" s="1" t="e">
        <f ca="1">_xll.BDH($C$128,"CUR_RATIO","FQ2 2015","FQ2 2015","Currency=INR","Period=FQ","BEST_FPERIOD_OVERRIDE=FQ","FILING_STATUS=OR","EQY_CONSOLIDATED=Y","Sort=A","Dates=H","DateFormat=P","Fill=—","Direction=H","UseDPDF=Y")</f>
        <v>#NAME?</v>
      </c>
      <c r="CU135" s="1" t="e">
        <f ca="1">_xll.BDH($C$128,"QUICK_RATIO","FQ2 2015","FQ2 2015","Currency=INR","Period=FQ","BEST_FPERIOD_OVERRIDE=FQ","FILING_STATUS=OR","EQY_CONSOLIDATED=Y","Sort=A","Dates=H","DateFormat=P","Fill=—","Direction=H","UseDPDF=Y")</f>
        <v>#NAME?</v>
      </c>
      <c r="CV135" s="1" t="e">
        <f ca="1">_xll.BDH($C$128,"ALTMAN_Z_SCORE","FQ2 2015","FQ2 2015","Currency=INR","Period=FQ","BEST_FPERIOD_OVERRIDE=FQ","FILING_STATUS=OR","EQY_CONSOLIDATED=Y","Sort=A","Dates=H","DateFormat=P","Fill=—","Direction=H","UseDPDF=Y")</f>
        <v>#NAME?</v>
      </c>
      <c r="CW135" s="3" t="e">
        <f ca="1">_xll.BDH($C$128,"ACCT_RCV_TURN","FQ2 2015","FQ2 2015","Currency=INR","Period=FQ","BEST_FPERIOD_OVERRIDE=FQ","FILING_STATUS=OR","EQY_CONSOLIDATED=Y","FA_ADJUSTED=GAAP","Sort=A","Dates=H","DateFormat=P","Fill=—","Direction=H","UseDPDF=Y")</f>
        <v>#NAME?</v>
      </c>
      <c r="CX135" s="1" t="e">
        <f ca="1">_xll.BDH($C$128,"ACCT_RCV_DAYS","FQ2 2015","FQ2 2015","Currency=INR","Period=FQ","BEST_FPERIOD_OVERRIDE=FQ","FILING_STATUS=OR","EQY_CONSOLIDATED=Y","FA_ADJUSTED=GAAP","Sort=A","Dates=H","DateFormat=P","Fill=—","Direction=H","UseDPDF=Y")</f>
        <v>#NAME?</v>
      </c>
      <c r="CY135" s="3" t="e">
        <f ca="1">_xll.BDH($C$128,"INVENT_TURN","FQ2 2015","FQ2 2015","Currency=INR","Period=FQ","BEST_FPERIOD_OVERRIDE=FQ","FILING_STATUS=OR","EQY_CONSOLIDATED=Y","FA_ADJUSTED=GAAP","Sort=A","Dates=H","DateFormat=P","Fill=—","Direction=H","UseDPDF=Y")</f>
        <v>#NAME?</v>
      </c>
      <c r="CZ135" s="1" t="e">
        <f ca="1">_xll.BDH($C$128,"INVENT_DAYS","FQ2 2015","FQ2 2015","Currency=INR","Period=FQ","BEST_FPERIOD_OVERRIDE=FQ","FILING_STATUS=OR","EQY_CONSOLIDATED=Y","FA_ADJUSTED=GAAP","Sort=A","Dates=H","DateFormat=P","Fill=—","Direction=H","UseDPDF=Y")</f>
        <v>#NAME?</v>
      </c>
      <c r="DA135" s="3" t="e">
        <f ca="1">_xll.BDH($C$128,"ACCOUNTS_PAYABLE_TURNOVER","FQ2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35" s="1" t="e">
        <f ca="1">_xll.BDH($C$128,"ACCOUNTS_PAYABLE_TURNOVER_DAYS","FQ2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35" s="3" t="e">
        <f ca="1">_xll.BDH($C$128,"CASH_CONVERSION_CYCLE","FQ2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35" s="3" t="e">
        <f ca="1">_xll.BDH($C$128,"INV_TO_CASH_DAYS","FQ2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135" s="4" t="e">
        <f ca="1">_xll.BDH($C$128,"BS_INVENTORIES","FQ2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135" s="2" t="e">
        <f ca="1">_xll.BDH($C$128,"INVTRY_RAW_MATERIALS","FQ2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35" s="2" t="e">
        <f ca="1">_xll.BDH($C$128,"INVTRY_IN_PROGRESS","FQ2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35" s="2" t="e">
        <f ca="1">_xll.BDH($C$128,"INVTRY_FINISHED_GOODS","FQ2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35" s="2" t="e">
        <f ca="1">_xll.BDH($C$128,"BS_OTHER_INV","FQ2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36" spans="1:113" x14ac:dyDescent="0.3">
      <c r="A136" s="6"/>
      <c r="B136" s="6"/>
      <c r="C136" s="6"/>
      <c r="D136" s="6"/>
      <c r="E136" t="s">
        <v>6</v>
      </c>
      <c r="F136" t="e">
        <f ca="1">_xll.BDH($C$128,"RETURN_COM_EQY","FQ3 2015","FQ3 2015","Currency=INR","Period=FQ","BEST_FPERIOD_OVERRIDE=FQ","FILING_STATUS=OR","EQY_CONSOLIDATED=Y","FA_ADJUSTED=GAAP","Sort=A","Dates=H","DateFormat=P","Fill=—","Direction=H","UseDPDF=Y")</f>
        <v>#NAME?</v>
      </c>
      <c r="G136" t="e">
        <f ca="1">_xll.BDH($C$128,"RETURN_ON_ASSET","FQ3 2015","FQ3 2015","Currency=INR","Period=FQ","BEST_FPERIOD_OVERRIDE=FQ","FILING_STATUS=OR","EQY_CONSOLIDATED=Y","FA_ADJUSTED=GAAP","Sort=A","Dates=H","DateFormat=P","Fill=—","Direction=H","UseDPDF=Y")</f>
        <v>#NAME?</v>
      </c>
      <c r="H136" t="e">
        <f ca="1">_xll.BDH($C$128,"RETURN_ON_CAP","FQ3 2015","FQ3 2015","Currency=INR","Period=FQ","BEST_FPERIOD_OVERRIDE=FQ","FILING_STATUS=OR","EQY_CONSOLIDATED=Y","FA_ADJUSTED=GAAP","Sort=A","Dates=H","DateFormat=P","Fill=—","Direction=H","UseDPDF=Y")</f>
        <v>#NAME?</v>
      </c>
      <c r="I136" t="e">
        <f ca="1">_xll.BDH($C$128,"RETURN_ON_INV_CAPITAL","FQ3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36" t="e">
        <f ca="1">_xll.BDH($C$128,"EBITDA_TO_REVENUE","FQ3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136" t="e">
        <f ca="1">_xll.BDH($C$128,"OPER_MARGIN","FQ3 2015","FQ3 2015","Currency=INR","Period=FQ","BEST_FPERIOD_OVERRIDE=FQ","FILING_STATUS=OR","EQY_CONSOLIDATED=Y","FA_ADJUSTED=GAAP","Sort=A","Dates=H","DateFormat=P","Fill=—","Direction=H","UseDPDF=Y")</f>
        <v>#NAME?</v>
      </c>
      <c r="L136" t="e">
        <f ca="1">_xll.BDH($C$128,"INCREMENTAL_OPERATING_MARGIN","FQ3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36" t="e">
        <f ca="1">_xll.BDH($C$128,"PRETAX_INC_TO_NET_SALES","FQ3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36" t="e">
        <f ca="1">_xll.BDH($C$128,"INC_BEF_XO_ITEMS_TO_NET_SALES","FQ3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36" t="e">
        <f ca="1">_xll.BDH($C$128,"PROF_MARGIN","FQ3 2015","FQ3 2015","Currency=INR","Period=FQ","BEST_FPERIOD_OVERRIDE=FQ","FILING_STATUS=OR","EQY_CONSOLIDATED=Y","FA_ADJUSTED=GAAP","Sort=A","Dates=H","DateFormat=P","Fill=—","Direction=H","UseDPDF=Y")</f>
        <v>#NAME?</v>
      </c>
      <c r="P136" t="e">
        <f ca="1">_xll.BDH($C$128,"NET_INCOME_TO_COMMON_MARGIN","FQ3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36" t="e">
        <f ca="1">_xll.BDH($C$128,"EFF_TAX_RATE","FQ3 2015","FQ3 2015","Currency=INR","Period=FQ","BEST_FPERIOD_OVERRIDE=FQ","FILING_STATUS=OR","EQY_CONSOLIDATED=Y","FA_ADJUSTED=GAAP","Sort=A","Dates=H","DateFormat=P","Fill=—","Direction=H","UseDPDF=Y")</f>
        <v>#NAME?</v>
      </c>
      <c r="R136" t="e">
        <f ca="1">_xll.BDH($C$128,"DVD_PAYOUT_RATIO","FQ3 2015","FQ3 2015","Currency=INR","Period=FQ","BEST_FPERIOD_OVERRIDE=FQ","FILING_STATUS=OR","EQY_CONSOLIDATED=Y","FA_ADJUSTED=GAAP","Sort=A","Dates=H","DateFormat=P","Fill=—","Direction=H","UseDPDF=Y")</f>
        <v>#NAME?</v>
      </c>
      <c r="S136" t="e">
        <f ca="1">_xll.BDH($C$128,"SUSTAIN_GROWTH_RT","FQ3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136" s="1" t="e">
        <f ca="1">_xll.BDH($C$128,"SALES_GROWTH","FQ3 2015","FQ3 2015","Currency=INR","Period=FQ","BEST_FPERIOD_OVERRIDE=FQ","FILING_STATUS=OR","EQY_CONSOLIDATED=Y","FA_ADJUSTED=GAAP","Sort=A","Dates=H","DateFormat=P","Fill=—","Direction=H","UseDPDF=Y")</f>
        <v>#NAME?</v>
      </c>
      <c r="U136" s="1" t="e">
        <f ca="1">_xll.BDH($C$128,"EBITDA_GROWTH","FQ3 2015","FQ3 2015","Currency=INR","Period=FQ","BEST_FPERIOD_OVERRIDE=FQ","FILING_STATUS=OR","EQY_CONSOLIDATED=Y","FA_ADJUSTED=GAAP","Sort=A","Dates=H","DateFormat=P","Fill=—","Direction=H","UseDPDF=Y")</f>
        <v>#NAME?</v>
      </c>
      <c r="V136" s="1" t="e">
        <f ca="1">_xll.BDH($C$128,"OPER_INC_GROWTH","FQ3 2015","FQ3 2015","Currency=INR","Period=FQ","BEST_FPERIOD_OVERRIDE=FQ","FILING_STATUS=OR","EQY_CONSOLIDATED=Y","FA_ADJUSTED=GAAP","Sort=A","Dates=H","DateFormat=P","Fill=—","Direction=H","UseDPDF=Y")</f>
        <v>#NAME?</v>
      </c>
      <c r="W136" s="1" t="e">
        <f ca="1">_xll.BDH($C$128,"EARN_FOR_COM_GROWTH","FQ3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36" s="1" t="e">
        <f ca="1">_xll.BDH($C$128,"DILUTED_EPS_AFT_XO_ITEMS_GROWTH","FQ3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36" s="1" t="e">
        <f ca="1">_xll.BDH($C$128,"DIVIDEND_PER_SHARE_1_YEAR_GROWTH","FQ3 2015","FQ3 2015","Currency=INR","Period=FQ","BEST_FPERIOD_OVERRIDE=FQ","FILING_STATUS=OR","EQY_CONSOLIDATED=Y","Sort=A","Dates=H","DateFormat=P","Fill=—","Direction=H","UseDPDF=Y")</f>
        <v>#NAME?</v>
      </c>
      <c r="Z136" s="1" t="e">
        <f ca="1">_xll.BDH($C$128,"ACCOUNTS_RECEIVABLE_GROWTH","FQ3 2015","FQ3 2015","Currency=INR","Period=FQ","BEST_FPERIOD_OVERRIDE=FQ","FILING_STATUS=OR","EQY_CONSOLIDATED=Y","Sort=A","Dates=H","DateFormat=P","Fill=—","Direction=H","UseDPDF=Y")</f>
        <v>#NAME?</v>
      </c>
      <c r="AA136" s="1" t="e">
        <f ca="1">_xll.BDH($C$128,"INVENTORY_GROWTH","FQ3 2015","FQ3 2015","Currency=INR","Period=FQ","BEST_FPERIOD_OVERRIDE=FQ","FILING_STATUS=OR","EQY_CONSOLIDATED=Y","Sort=A","Dates=H","DateFormat=P","Fill=—","Direction=H","UseDPDF=Y")</f>
        <v>#NAME?</v>
      </c>
      <c r="AB136" s="1" t="e">
        <f ca="1">_xll.BDH($C$128,"NET_FIXED_ASSETS_1_YEAR_GROWTH","FQ3 2015","FQ3 2015","Currency=INR","Period=FQ","BEST_FPERIOD_OVERRIDE=FQ","FILING_STATUS=OR","EQY_CONSOLIDATED=Y","Sort=A","Dates=H","DateFormat=P","Fill=—","Direction=H","UseDPDF=Y")</f>
        <v>#NAME?</v>
      </c>
      <c r="AC136" s="1" t="e">
        <f ca="1">_xll.BDH($C$128,"ASSET_GROWTH","FQ3 2015","FQ3 2015","Currency=INR","Period=FQ","BEST_FPERIOD_OVERRIDE=FQ","FILING_STATUS=OR","EQY_CONSOLIDATED=Y","Sort=A","Dates=H","DateFormat=P","Fill=—","Direction=H","UseDPDF=Y")</f>
        <v>#NAME?</v>
      </c>
      <c r="AD136" s="1" t="e">
        <f ca="1">_xll.BDH($C$128,"MODIFIED_WORK_CAP_GROWTH","FQ3 2015","FQ3 2015","Currency=INR","Period=FQ","BEST_FPERIOD_OVERRIDE=FQ","FILING_STATUS=OR","EQY_CONSOLIDATED=Y","Sort=A","Dates=H","DateFormat=P","Fill=—","Direction=H","UseDPDF=Y")</f>
        <v>#NAME?</v>
      </c>
      <c r="AE136" s="1" t="e">
        <f ca="1">_xll.BDH($C$128,"WORK_CAP_GROWTH","FQ3 2015","FQ3 2015","Currency=INR","Period=FQ","BEST_FPERIOD_OVERRIDE=FQ","FILING_STATUS=OR","EQY_CONSOLIDATED=Y","Sort=A","Dates=H","DateFormat=P","Fill=—","Direction=H","UseDPDF=Y")</f>
        <v>#NAME?</v>
      </c>
      <c r="AF136" s="1" t="e">
        <f ca="1">_xll.BDH($C$128,"ACCOUNTS_PAYABLE_GROWTH_1YR","FQ3 2015","FQ3 2015","Currency=INR","Period=FQ","BEST_FPERIOD_OVERRIDE=FQ","FILING_STATUS=OR","EQY_CONSOLIDATED=Y","Sort=A","Dates=H","DateFormat=P","Fill=—","Direction=H","UseDPDF=Y")</f>
        <v>#NAME?</v>
      </c>
      <c r="AG136" s="1" t="e">
        <f ca="1">_xll.BDH($C$128,"SHORT_TERM_DEBT_1_YEAR_GROWTH","FQ3 2015","FQ3 2015","Currency=INR","Period=FQ","BEST_FPERIOD_OVERRIDE=FQ","FILING_STATUS=OR","EQY_CONSOLIDATED=Y","Sort=A","Dates=H","DateFormat=P","Fill=—","Direction=H","UseDPDF=Y")</f>
        <v>#NAME?</v>
      </c>
      <c r="AH136" s="1" t="e">
        <f ca="1">_xll.BDH($C$128,"TOTAL_DEBT_1_YEAR_GROWTH","FQ3 2015","FQ3 2015","Currency=INR","Period=FQ","BEST_FPERIOD_OVERRIDE=FQ","FILING_STATUS=OR","EQY_CONSOLIDATED=Y","Sort=A","Dates=H","DateFormat=P","Fill=—","Direction=H","UseDPDF=Y")</f>
        <v>#NAME?</v>
      </c>
      <c r="AI136" s="1" t="e">
        <f ca="1">_xll.BDH($C$128,"TOTAL_EQUITY_1_YEAR_GROWTH","FQ3 2015","FQ3 2015","Currency=INR","Period=FQ","BEST_FPERIOD_OVERRIDE=FQ","FILING_STATUS=OR","EQY_CONSOLIDATED=Y","Sort=A","Dates=H","DateFormat=P","Fill=—","Direction=H","UseDPDF=Y")</f>
        <v>#NAME?</v>
      </c>
      <c r="AJ136" s="1" t="e">
        <f ca="1">_xll.BDH($C$128,"GROWTH_IN_CAP","FQ3 2015","FQ3 2015","Currency=INR","Period=FQ","BEST_FPERIOD_OVERRIDE=FQ","FILING_STATUS=OR","EQY_CONSOLIDATED=Y","Sort=A","Dates=H","DateFormat=P","Fill=—","Direction=H","UseDPDF=Y")</f>
        <v>#NAME?</v>
      </c>
      <c r="AK136" s="1" t="e">
        <f ca="1">_xll.BDH($C$128,"BVPS_GROWTH","FQ3 2015","FQ3 2015","Currency=INR","Period=FQ","BEST_FPERIOD_OVERRIDE=FQ","FILING_STATUS=OR","EQY_CONSOLIDATED=Y","Sort=A","Dates=H","DateFormat=P","Fill=—","Direction=H","UseDPDF=Y")</f>
        <v>#NAME?</v>
      </c>
      <c r="AL136" s="1" t="e">
        <f ca="1">_xll.BDH($C$128,"CASH_FLOW_GROWTH","FQ3 2015","FQ3 2015","Currency=INR","Period=FQ","BEST_FPERIOD_OVERRIDE=FQ","FILING_STATUS=OR","EQY_CONSOLIDATED=Y","Sort=A","Dates=H","DateFormat=P","Fill=—","Direction=H","UseDPDF=Y")</f>
        <v>#NAME?</v>
      </c>
      <c r="AM136" s="1" t="e">
        <f ca="1">_xll.BDH($C$128,"GEO_GROW_NET_SALES","FQ3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36" s="1" t="e">
        <f ca="1">_xll.BDH($C$128,"GEO_GROW_EBITDA","FQ3 2015","FQ3 2015","Currency=INR","Period=FQ","BEST_FPERIOD_OVERRIDE=FQ","FILING_STATUS=OR","EQY_CONSOLIDATED=Y","FA_ADJUSTED=GAAP","Sort=A","Dates=H","DateFormat=P","Fill=—","Direction=H","UseDPDF=Y")</f>
        <v>#NAME?</v>
      </c>
      <c r="AO136" s="1" t="e">
        <f ca="1">_xll.BDH($C$128,"GEO_GROW_OPER_INC","FQ3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36" s="1" t="e">
        <f ca="1">_xll.BDH($C$128,"NET_INCOME_TO_COMMON_5_YR_GROWTH","FQ3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36" s="1" t="e">
        <f ca="1">_xll.BDH($C$128,"5Y_GEO_GROWTH_DILUTED_EPS","FQ3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36" s="1" t="e">
        <f ca="1">_xll.BDH($C$128,"GEO_GROW_DVD_PER_SH","FQ3 2015","FQ3 2015","Currency=INR","Period=FQ","BEST_FPERIOD_OVERRIDE=FQ","FILING_STATUS=OR","EQY_CONSOLIDATED=Y","Sort=A","Dates=H","DateFormat=P","Fill=—","Direction=H","UseDPDF=Y")</f>
        <v>#NAME?</v>
      </c>
      <c r="AS136" s="1" t="e">
        <f ca="1">_xll.BDH($C$128,"ACCOUNTS_RECEIVABLE_5_YR_GROWTH","FQ3 2015","FQ3 2015","Currency=INR","Period=FQ","BEST_FPERIOD_OVERRIDE=FQ","FILING_STATUS=OR","EQY_CONSOLIDATED=Y","Sort=A","Dates=H","DateFormat=P","Fill=—","Direction=H","UseDPDF=Y")</f>
        <v>#NAME?</v>
      </c>
      <c r="AT136" s="1" t="e">
        <f ca="1">_xll.BDH($C$128,"INVENTORY_5_YEAR_GROWTH","FQ3 2015","FQ3 2015","Currency=INR","Period=FQ","BEST_FPERIOD_OVERRIDE=FQ","FILING_STATUS=OR","EQY_CONSOLIDATED=Y","Sort=A","Dates=H","DateFormat=P","Fill=—","Direction=H","UseDPDF=Y")</f>
        <v>#NAME?</v>
      </c>
      <c r="AU136" s="1" t="e">
        <f ca="1">_xll.BDH($C$128,"NET_FIXED_ASSETS_5_YEAR_GROWTH","FQ3 2015","FQ3 2015","Currency=INR","Period=FQ","BEST_FPERIOD_OVERRIDE=FQ","FILING_STATUS=OR","EQY_CONSOLIDATED=Y","Sort=A","Dates=H","DateFormat=P","Fill=—","Direction=H","UseDPDF=Y")</f>
        <v>#NAME?</v>
      </c>
      <c r="AV136" s="1" t="e">
        <f ca="1">_xll.BDH($C$128,"GEO_GROW_TOT_ASSET","FQ3 2015","FQ3 2015","Currency=INR","Period=FQ","BEST_FPERIOD_OVERRIDE=FQ","FILING_STATUS=OR","EQY_CONSOLIDATED=Y","Sort=A","Dates=H","DateFormat=P","Fill=—","Direction=H","UseDPDF=Y")</f>
        <v>#NAME?</v>
      </c>
      <c r="AW136" s="1" t="e">
        <f ca="1">_xll.BDH($C$128,"MODIFIED_WORKING_CPTL_5YR_GRWTH","FQ3 2015","FQ3 2015","Currency=INR","Period=FQ","BEST_FPERIOD_OVERRIDE=FQ","FILING_STATUS=OR","EQY_CONSOLIDATED=Y","Sort=A","Dates=H","DateFormat=P","Fill=—","Direction=H","UseDPDF=Y")</f>
        <v>#NAME?</v>
      </c>
      <c r="AX136" s="1" t="e">
        <f ca="1">_xll.BDH($C$128,"WORKING_CAPITAL_5_YEAR_GROWTH","FQ3 2015","FQ3 2015","Currency=INR","Period=FQ","BEST_FPERIOD_OVERRIDE=FQ","FILING_STATUS=OR","EQY_CONSOLIDATED=Y","Sort=A","Dates=H","DateFormat=P","Fill=—","Direction=H","UseDPDF=Y")</f>
        <v>#NAME?</v>
      </c>
      <c r="AY136" s="1" t="e">
        <f ca="1">_xll.BDH($C$128,"ACCOUNTS_PAYABLE_5_YEAR_GROWTH","FQ3 2015","FQ3 2015","Currency=INR","Period=FQ","BEST_FPERIOD_OVERRIDE=FQ","FILING_STATUS=OR","EQY_CONSOLIDATED=Y","Sort=A","Dates=H","DateFormat=P","Fill=—","Direction=H","UseDPDF=Y")</f>
        <v>#NAME?</v>
      </c>
      <c r="AZ136" s="1" t="e">
        <f ca="1">_xll.BDH($C$128,"SHORT_TERM_DEBT_5_YEAR_GROWTH","FQ3 2015","FQ3 2015","Currency=INR","Period=FQ","BEST_FPERIOD_OVERRIDE=FQ","FILING_STATUS=OR","EQY_CONSOLIDATED=Y","Sort=A","Dates=H","DateFormat=P","Fill=—","Direction=H","UseDPDF=Y")</f>
        <v>#NAME?</v>
      </c>
      <c r="BA136" s="1" t="e">
        <f ca="1">_xll.BDH($C$128,"TOTAL_DEBT_5_YEAR_GROWTH","FQ3 2015","FQ3 2015","Currency=INR","Period=FQ","BEST_FPERIOD_OVERRIDE=FQ","FILING_STATUS=OR","EQY_CONSOLIDATED=Y","Sort=A","Dates=H","DateFormat=P","Fill=—","Direction=H","UseDPDF=Y")</f>
        <v>#NAME?</v>
      </c>
      <c r="BB136" s="1" t="e">
        <f ca="1">_xll.BDH($C$128,"GEO_GROW_TOT_SHRHLDR_EQY","FQ3 2015","FQ3 2015","Currency=INR","Period=FQ","BEST_FPERIOD_OVERRIDE=FQ","FILING_STATUS=OR","EQY_CONSOLIDATED=Y","Sort=A","Dates=H","DateFormat=P","Fill=—","Direction=H","UseDPDF=Y")</f>
        <v>#NAME?</v>
      </c>
      <c r="BC136" s="1" t="e">
        <f ca="1">_xll.BDH($C$128,"TOTAL_CAPITAL_5_YEAR_GROWTH","FQ3 2015","FQ3 2015","Currency=INR","Period=FQ","BEST_FPERIOD_OVERRIDE=FQ","FILING_STATUS=OR","EQY_CONSOLIDATED=Y","Sort=A","Dates=H","DateFormat=P","Fill=—","Direction=H","UseDPDF=Y")</f>
        <v>#NAME?</v>
      </c>
      <c r="BD136" s="1" t="e">
        <f ca="1">_xll.BDH($C$128,"GEO_GROW_BOOK_VAL","FQ3 2015","FQ3 2015","Currency=INR","Period=FQ","BEST_FPERIOD_OVERRIDE=FQ","FILING_STATUS=OR","EQY_CONSOLIDATED=Y","Sort=A","Dates=H","DateFormat=P","Fill=—","Direction=H","UseDPDF=Y")</f>
        <v>#NAME?</v>
      </c>
      <c r="BE136" s="1" t="e">
        <f ca="1">_xll.BDH($C$128,"GEO_GROW_CASH_OPER_ACT","FQ3 2015","FQ3 2015","Currency=INR","Period=FQ","BEST_FPERIOD_OVERRIDE=FQ","FILING_STATUS=OR","EQY_CONSOLIDATED=Y","Sort=A","Dates=H","DateFormat=P","Fill=—","Direction=H","UseDPDF=Y")</f>
        <v>#NAME?</v>
      </c>
      <c r="BF136" s="1" t="e">
        <f ca="1">_xll.BDH($C$128,"REVENUE_SEQUENTIAL_GROWTH","FQ3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36" s="1" t="e">
        <f ca="1">_xll.BDH($C$128,"EBITDA_SEQUENTIAL_GROWTH","FQ3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36" s="1" t="e">
        <f ca="1">_xll.BDH($C$128,"OPERATING_INCOME_SEQ_GROWTH","FQ3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36" s="1" t="e">
        <f ca="1">_xll.BDH($C$128,"NET_INCOME_TO_COMMON_SEQ_GROWTH","FQ3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36" s="1" t="e">
        <f ca="1">_xll.BDH($C$128,"EPS_DILUTED_SEQUENTIAL_GROWTH","FQ3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36" s="1" t="e">
        <f ca="1">_xll.BDH($C$128,"DPS_SEQUENTIAL_GROWTH","FQ3 2015","FQ3 2015","Currency=INR","Period=FQ","BEST_FPERIOD_OVERRIDE=FQ","FILING_STATUS=OR","EQY_CONSOLIDATED=Y","Sort=A","Dates=H","DateFormat=P","Fill=—","Direction=H","UseDPDF=Y")</f>
        <v>#NAME?</v>
      </c>
      <c r="BL136" s="1" t="e">
        <f ca="1">_xll.BDH($C$128,"ACCOUNTS_RECEIVABLE_SEQ_GROWTH","FQ3 2015","FQ3 2015","Currency=INR","Period=FQ","BEST_FPERIOD_OVERRIDE=FQ","FILING_STATUS=OR","EQY_CONSOLIDATED=Y","Sort=A","Dates=H","DateFormat=P","Fill=—","Direction=H","UseDPDF=Y")</f>
        <v>#NAME?</v>
      </c>
      <c r="BM136" s="1" t="e">
        <f ca="1">_xll.BDH($C$128,"INVENTORY_SEQUENTIAL_GROWTH","FQ3 2015","FQ3 2015","Currency=INR","Period=FQ","BEST_FPERIOD_OVERRIDE=FQ","FILING_STATUS=OR","EQY_CONSOLIDATED=Y","Sort=A","Dates=H","DateFormat=P","Fill=—","Direction=H","UseDPDF=Y")</f>
        <v>#NAME?</v>
      </c>
      <c r="BN136" s="1" t="e">
        <f ca="1">_xll.BDH($C$128,"FIXED_ASSETS_SEQUENTIAL_GROWTH","FQ3 2015","FQ3 2015","Currency=INR","Period=FQ","BEST_FPERIOD_OVERRIDE=FQ","FILING_STATUS=OR","EQY_CONSOLIDATED=Y","Sort=A","Dates=H","DateFormat=P","Fill=—","Direction=H","UseDPDF=Y")</f>
        <v>#NAME?</v>
      </c>
      <c r="BO136" s="1" t="e">
        <f ca="1">_xll.BDH($C$128,"TOTAL_ASSETS_SEQUENTIAL_GROWTH","FQ3 2015","FQ3 2015","Currency=INR","Period=FQ","BEST_FPERIOD_OVERRIDE=FQ","FILING_STATUS=OR","EQY_CONSOLIDATED=Y","Sort=A","Dates=H","DateFormat=P","Fill=—","Direction=H","UseDPDF=Y")</f>
        <v>#NAME?</v>
      </c>
      <c r="BP136" s="1" t="e">
        <f ca="1">_xll.BDH($C$128,"MODIFIED_WORKING_CPTL_SEQ_GRWTH","FQ3 2015","FQ3 2015","Currency=INR","Period=FQ","BEST_FPERIOD_OVERRIDE=FQ","FILING_STATUS=OR","EQY_CONSOLIDATED=Y","Sort=A","Dates=H","DateFormat=P","Fill=—","Direction=H","UseDPDF=Y")</f>
        <v>#NAME?</v>
      </c>
      <c r="BQ136" s="1" t="e">
        <f ca="1">_xll.BDH($C$128,"WORKING_CAPITAL_SEQ_GROWTH","FQ3 2015","FQ3 2015","Currency=INR","Period=FQ","BEST_FPERIOD_OVERRIDE=FQ","FILING_STATUS=OR","EQY_CONSOLIDATED=Y","Sort=A","Dates=H","DateFormat=P","Fill=—","Direction=H","UseDPDF=Y")</f>
        <v>#NAME?</v>
      </c>
      <c r="BR136" s="1" t="e">
        <f ca="1">_xll.BDH($C$128,"ACCOUNTS_PAYABLE_SEQ_GROWTH","FQ3 2015","FQ3 2015","Currency=INR","Period=FQ","BEST_FPERIOD_OVERRIDE=FQ","FILING_STATUS=OR","EQY_CONSOLIDATED=Y","Sort=A","Dates=H","DateFormat=P","Fill=—","Direction=H","UseDPDF=Y")</f>
        <v>#NAME?</v>
      </c>
      <c r="BS136" s="1" t="e">
        <f ca="1">_xll.BDH($C$128,"ST_DEBT_SEQUENTIAL_GROWTH","FQ3 2015","FQ3 2015","Currency=INR","Period=FQ","BEST_FPERIOD_OVERRIDE=FQ","FILING_STATUS=OR","EQY_CONSOLIDATED=Y","Sort=A","Dates=H","DateFormat=P","Fill=—","Direction=H","UseDPDF=Y")</f>
        <v>#NAME?</v>
      </c>
      <c r="BT136" s="1" t="e">
        <f ca="1">_xll.BDH($C$128,"TOTAL_DEBT_SEQUENTIAL_GROWTH","FQ3 2015","FQ3 2015","Currency=INR","Period=FQ","BEST_FPERIOD_OVERRIDE=FQ","FILING_STATUS=OR","EQY_CONSOLIDATED=Y","Sort=A","Dates=H","DateFormat=P","Fill=—","Direction=H","UseDPDF=Y")</f>
        <v>#NAME?</v>
      </c>
      <c r="BU136" s="1" t="e">
        <f ca="1">_xll.BDH($C$128,"TOTAL_EQUITY_SEQUENTIAL_GROWTH","FQ3 2015","FQ3 2015","Currency=INR","Period=FQ","BEST_FPERIOD_OVERRIDE=FQ","FILING_STATUS=OR","EQY_CONSOLIDATED=Y","Sort=A","Dates=H","DateFormat=P","Fill=—","Direction=H","UseDPDF=Y")</f>
        <v>#NAME?</v>
      </c>
      <c r="BV136" s="1" t="e">
        <f ca="1">_xll.BDH($C$128,"TOTAL_CAPITAL_SEQUENTIAL_GROWTH","FQ3 2015","FQ3 2015","Currency=INR","Period=FQ","BEST_FPERIOD_OVERRIDE=FQ","FILING_STATUS=OR","EQY_CONSOLIDATED=Y","Sort=A","Dates=H","DateFormat=P","Fill=—","Direction=H","UseDPDF=Y")</f>
        <v>#NAME?</v>
      </c>
      <c r="BW136" s="1" t="e">
        <f ca="1">_xll.BDH($C$128,"BPS_SEQUENTIAL_GROWTH","FQ3 2015","FQ3 2015","Currency=INR","Period=FQ","BEST_FPERIOD_OVERRIDE=FQ","FILING_STATUS=OR","EQY_CONSOLIDATED=Y","Sort=A","Dates=H","DateFormat=P","Fill=—","Direction=H","UseDPDF=Y")</f>
        <v>#NAME?</v>
      </c>
      <c r="BX136" s="1" t="e">
        <f ca="1">_xll.BDH($C$128,"CFO_SEQUENTIAL_GROWTH","FQ3 2015","FQ3 2015","Currency=INR","Period=FQ","BEST_FPERIOD_OVERRIDE=FQ","FILING_STATUS=OR","EQY_CONSOLIDATED=Y","Sort=A","Dates=H","DateFormat=P","Fill=—","Direction=H","UseDPDF=Y")</f>
        <v>#NAME?</v>
      </c>
      <c r="BY136" s="2" t="e">
        <f ca="1">_xll.BDH($C$128,"SHORT_AND_LONG_TERM_DEBT","FQ3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36" s="2" t="e">
        <f ca="1">_xll.BDH($C$128,"BS_ST_BORROW","FQ3 2015","FQ3 2015","Currency=INR","Period=FQ","BEST_FPERIOD_OVERRIDE=FQ","FILING_STATUS=OR","EQY_CONSOLIDATED=Y","SCALING_FORMAT=MLN","Sort=A","Dates=H","DateFormat=P","Fill=—","Direction=H","UseDPDF=Y")</f>
        <v>#NAME?</v>
      </c>
      <c r="CA136" s="2" t="e">
        <f ca="1">_xll.BDH($C$128,"BS_LT_BORROW","FQ3 2015","FQ3 2015","Currency=INR","Period=FQ","BEST_FPERIOD_OVERRIDE=FQ","FILING_STATUS=OR","EQY_CONSOLIDATED=Y","SCALING_FORMAT=MLN","Sort=A","Dates=H","DateFormat=P","Fill=—","Direction=H","UseDPDF=Y")</f>
        <v>#NAME?</v>
      </c>
      <c r="CB136" s="1" t="e">
        <f ca="1">_xll.BDH($C$128,"TOT_DEBT_TO_EBITDA","FQ3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36" s="1" t="e">
        <f ca="1">_xll.BDH($C$128,"NET_DEBT_TO_EBITDA","FQ3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36" s="1" t="e">
        <f ca="1">_xll.BDH($C$128,"TOTAL_DEBT_TO_EBIT","FQ3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36" s="1" t="e">
        <f ca="1">_xll.BDH($C$128,"NET_DEBT_TO_EBIT","FQ3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136" s="1" t="e">
        <f ca="1">_xll.BDH($C$128,"EBITDA_TO_INTEREST_EXPN","FQ3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36" s="1" t="e">
        <f ca="1">_xll.BDH($C$128,"COM_EQY_TO_TOT_ASSET","FQ3 2015","FQ3 2015","Currency=INR","Period=FQ","BEST_FPERIOD_OVERRIDE=FQ","FILING_STATUS=OR","EQY_CONSOLIDATED=Y","Sort=A","Dates=H","DateFormat=P","Fill=—","Direction=H","UseDPDF=Y")</f>
        <v>#NAME?</v>
      </c>
      <c r="CH136" s="1" t="e">
        <f ca="1">_xll.BDH($C$128,"LT_DEBT_TO_TOT_EQY","FQ3 2015","FQ3 2015","Currency=INR","Period=FQ","BEST_FPERIOD_OVERRIDE=FQ","FILING_STATUS=OR","EQY_CONSOLIDATED=Y","Sort=A","Dates=H","DateFormat=P","Fill=—","Direction=H","UseDPDF=Y")</f>
        <v>#NAME?</v>
      </c>
      <c r="CI136" s="1" t="e">
        <f ca="1">_xll.BDH($C$128,"LT_DEBT_TO_TOT_CAP","FQ3 2015","FQ3 2015","Currency=INR","Period=FQ","BEST_FPERIOD_OVERRIDE=FQ","FILING_STATUS=OR","EQY_CONSOLIDATED=Y","Sort=A","Dates=H","DateFormat=P","Fill=—","Direction=H","UseDPDF=Y")</f>
        <v>#NAME?</v>
      </c>
      <c r="CJ136" s="1" t="e">
        <f ca="1">_xll.BDH($C$128,"LT_DEBT_TO_TOT_ASSET","FQ3 2015","FQ3 2015","Currency=INR","Period=FQ","BEST_FPERIOD_OVERRIDE=FQ","FILING_STATUS=OR","EQY_CONSOLIDATED=Y","Sort=A","Dates=H","DateFormat=P","Fill=—","Direction=H","UseDPDF=Y")</f>
        <v>#NAME?</v>
      </c>
      <c r="CK136" s="1" t="e">
        <f ca="1">_xll.BDH($C$128,"TOT_DEBT_TO_TOT_EQY","FQ3 2015","FQ3 2015","Currency=INR","Period=FQ","BEST_FPERIOD_OVERRIDE=FQ","FILING_STATUS=OR","EQY_CONSOLIDATED=Y","Sort=A","Dates=H","DateFormat=P","Fill=—","Direction=H","UseDPDF=Y")</f>
        <v>#NAME?</v>
      </c>
      <c r="CL136" s="1" t="e">
        <f ca="1">_xll.BDH($C$128,"TOT_DEBT_TO_TOT_CAP","FQ3 2015","FQ3 2015","Currency=INR","Period=FQ","BEST_FPERIOD_OVERRIDE=FQ","FILING_STATUS=OR","EQY_CONSOLIDATED=Y","Sort=A","Dates=H","DateFormat=P","Fill=—","Direction=H","UseDPDF=Y")</f>
        <v>#NAME?</v>
      </c>
      <c r="CM136" s="1" t="e">
        <f ca="1">_xll.BDH($C$128,"TOT_DEBT_TO_TOT_ASSET","FQ3 2015","FQ3 2015","Currency=INR","Period=FQ","BEST_FPERIOD_OVERRIDE=FQ","FILING_STATUS=OR","EQY_CONSOLIDATED=Y","Sort=A","Dates=H","DateFormat=P","Fill=—","Direction=H","UseDPDF=Y")</f>
        <v>#NAME?</v>
      </c>
      <c r="CN136" s="1" t="e">
        <f ca="1">_xll.BDH($C$128,"NET_DEBT_TO_SHRHLDR_EQTY","FQ3 2015","FQ3 2015","Currency=INR","Period=FQ","BEST_FPERIOD_OVERRIDE=FQ","FILING_STATUS=OR","EQY_CONSOLIDATED=Y","Sort=A","Dates=H","DateFormat=P","Fill=—","Direction=H","UseDPDF=Y")</f>
        <v>#NAME?</v>
      </c>
      <c r="CO136" s="1" t="e">
        <f ca="1">_xll.BDH($C$128,"NET_DEBT_%_CAPITAL","FQ3 2015","FQ3 2015","Currency=INR","Period=FQ","BEST_FPERIOD_OVERRIDE=FQ","FILING_STATUS=OR","EQY_CONSOLIDATED=Y","Sort=A","Dates=H","DateFormat=P","Fill=—","Direction=H","UseDPDF=Y")</f>
        <v>#NAME?</v>
      </c>
      <c r="CP136" s="2" t="e">
        <f ca="1">_xll.BDH($C$128,"EBITDA","FQ3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36" s="2" t="e">
        <f ca="1">_xll.BDH($C$128,"EBITDA_AFTER_CAPEX","FQ3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36" s="2" t="e">
        <f ca="1">_xll.BDH($C$128,"IS_OPER_INC","FQ3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36" s="1" t="e">
        <f ca="1">_xll.BDH($C$128,"CASH_RATIO","FQ3 2015","FQ3 2015","Currency=INR","Period=FQ","BEST_FPERIOD_OVERRIDE=FQ","FILING_STATUS=OR","EQY_CONSOLIDATED=Y","Sort=A","Dates=H","DateFormat=P","Fill=—","Direction=H","UseDPDF=Y")</f>
        <v>#NAME?</v>
      </c>
      <c r="CT136" s="1" t="e">
        <f ca="1">_xll.BDH($C$128,"CUR_RATIO","FQ3 2015","FQ3 2015","Currency=INR","Period=FQ","BEST_FPERIOD_OVERRIDE=FQ","FILING_STATUS=OR","EQY_CONSOLIDATED=Y","Sort=A","Dates=H","DateFormat=P","Fill=—","Direction=H","UseDPDF=Y")</f>
        <v>#NAME?</v>
      </c>
      <c r="CU136" s="1" t="e">
        <f ca="1">_xll.BDH($C$128,"QUICK_RATIO","FQ3 2015","FQ3 2015","Currency=INR","Period=FQ","BEST_FPERIOD_OVERRIDE=FQ","FILING_STATUS=OR","EQY_CONSOLIDATED=Y","Sort=A","Dates=H","DateFormat=P","Fill=—","Direction=H","UseDPDF=Y")</f>
        <v>#NAME?</v>
      </c>
      <c r="CV136" s="1" t="e">
        <f ca="1">_xll.BDH($C$128,"ALTMAN_Z_SCORE","FQ3 2015","FQ3 2015","Currency=INR","Period=FQ","BEST_FPERIOD_OVERRIDE=FQ","FILING_STATUS=OR","EQY_CONSOLIDATED=Y","Sort=A","Dates=H","DateFormat=P","Fill=—","Direction=H","UseDPDF=Y")</f>
        <v>#NAME?</v>
      </c>
      <c r="CW136" s="3" t="e">
        <f ca="1">_xll.BDH($C$128,"ACCT_RCV_TURN","FQ3 2015","FQ3 2015","Currency=INR","Period=FQ","BEST_FPERIOD_OVERRIDE=FQ","FILING_STATUS=OR","EQY_CONSOLIDATED=Y","FA_ADJUSTED=GAAP","Sort=A","Dates=H","DateFormat=P","Fill=—","Direction=H","UseDPDF=Y")</f>
        <v>#NAME?</v>
      </c>
      <c r="CX136" s="1" t="e">
        <f ca="1">_xll.BDH($C$128,"ACCT_RCV_DAYS","FQ3 2015","FQ3 2015","Currency=INR","Period=FQ","BEST_FPERIOD_OVERRIDE=FQ","FILING_STATUS=OR","EQY_CONSOLIDATED=Y","FA_ADJUSTED=GAAP","Sort=A","Dates=H","DateFormat=P","Fill=—","Direction=H","UseDPDF=Y")</f>
        <v>#NAME?</v>
      </c>
      <c r="CY136" s="3" t="e">
        <f ca="1">_xll.BDH($C$128,"INVENT_TURN","FQ3 2015","FQ3 2015","Currency=INR","Period=FQ","BEST_FPERIOD_OVERRIDE=FQ","FILING_STATUS=OR","EQY_CONSOLIDATED=Y","FA_ADJUSTED=GAAP","Sort=A","Dates=H","DateFormat=P","Fill=—","Direction=H","UseDPDF=Y")</f>
        <v>#NAME?</v>
      </c>
      <c r="CZ136" s="1" t="e">
        <f ca="1">_xll.BDH($C$128,"INVENT_DAYS","FQ3 2015","FQ3 2015","Currency=INR","Period=FQ","BEST_FPERIOD_OVERRIDE=FQ","FILING_STATUS=OR","EQY_CONSOLIDATED=Y","FA_ADJUSTED=GAAP","Sort=A","Dates=H","DateFormat=P","Fill=—","Direction=H","UseDPDF=Y")</f>
        <v>#NAME?</v>
      </c>
      <c r="DA136" s="3" t="e">
        <f ca="1">_xll.BDH($C$128,"ACCOUNTS_PAYABLE_TURNOVER","FQ3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36" s="1" t="e">
        <f ca="1">_xll.BDH($C$128,"ACCOUNTS_PAYABLE_TURNOVER_DAYS","FQ3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36" s="3" t="e">
        <f ca="1">_xll.BDH($C$128,"CASH_CONVERSION_CYCLE","FQ3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36" s="3" t="e">
        <f ca="1">_xll.BDH($C$128,"INV_TO_CASH_DAYS","FQ3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136" s="4" t="e">
        <f ca="1">_xll.BDH($C$128,"BS_INVENTORIES","FQ3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136" s="2" t="e">
        <f ca="1">_xll.BDH($C$128,"INVTRY_RAW_MATERIALS","FQ3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36" s="2" t="e">
        <f ca="1">_xll.BDH($C$128,"INVTRY_IN_PROGRESS","FQ3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36" s="2" t="e">
        <f ca="1">_xll.BDH($C$128,"INVTRY_FINISHED_GOODS","FQ3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36" s="2" t="e">
        <f ca="1">_xll.BDH($C$128,"BS_OTHER_INV","FQ3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37" spans="1:113" x14ac:dyDescent="0.3">
      <c r="A137" s="6"/>
      <c r="B137" s="6"/>
      <c r="C137" s="6"/>
      <c r="D137" s="6"/>
      <c r="E137" t="s">
        <v>7</v>
      </c>
      <c r="F137" t="e">
        <f ca="1">_xll.BDH($C$128,"RETURN_COM_EQY","FQ4 2015","FQ4 2015","Currency=INR","Period=FQ","BEST_FPERIOD_OVERRIDE=FQ","FILING_STATUS=OR","EQY_CONSOLIDATED=Y","FA_ADJUSTED=GAAP","Sort=A","Dates=H","DateFormat=P","Fill=—","Direction=H","UseDPDF=Y")</f>
        <v>#NAME?</v>
      </c>
      <c r="G137" t="e">
        <f ca="1">_xll.BDH($C$128,"RETURN_ON_ASSET","FQ4 2015","FQ4 2015","Currency=INR","Period=FQ","BEST_FPERIOD_OVERRIDE=FQ","FILING_STATUS=OR","EQY_CONSOLIDATED=Y","FA_ADJUSTED=GAAP","Sort=A","Dates=H","DateFormat=P","Fill=—","Direction=H","UseDPDF=Y")</f>
        <v>#NAME?</v>
      </c>
      <c r="H137" t="e">
        <f ca="1">_xll.BDH($C$128,"RETURN_ON_CAP","FQ4 2015","FQ4 2015","Currency=INR","Period=FQ","BEST_FPERIOD_OVERRIDE=FQ","FILING_STATUS=OR","EQY_CONSOLIDATED=Y","FA_ADJUSTED=GAAP","Sort=A","Dates=H","DateFormat=P","Fill=—","Direction=H","UseDPDF=Y")</f>
        <v>#NAME?</v>
      </c>
      <c r="I137" t="e">
        <f ca="1">_xll.BDH($C$128,"RETURN_ON_INV_CAPITAL","FQ4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37" t="e">
        <f ca="1">_xll.BDH($C$128,"EBITDA_TO_REVENUE","FQ4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137" t="e">
        <f ca="1">_xll.BDH($C$128,"OPER_MARGIN","FQ4 2015","FQ4 2015","Currency=INR","Period=FQ","BEST_FPERIOD_OVERRIDE=FQ","FILING_STATUS=OR","EQY_CONSOLIDATED=Y","FA_ADJUSTED=GAAP","Sort=A","Dates=H","DateFormat=P","Fill=—","Direction=H","UseDPDF=Y")</f>
        <v>#NAME?</v>
      </c>
      <c r="L137" t="e">
        <f ca="1">_xll.BDH($C$128,"INCREMENTAL_OPERATING_MARGIN","FQ4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37" t="e">
        <f ca="1">_xll.BDH($C$128,"PRETAX_INC_TO_NET_SALES","FQ4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37" t="e">
        <f ca="1">_xll.BDH($C$128,"INC_BEF_XO_ITEMS_TO_NET_SALES","FQ4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37" t="e">
        <f ca="1">_xll.BDH($C$128,"PROF_MARGIN","FQ4 2015","FQ4 2015","Currency=INR","Period=FQ","BEST_FPERIOD_OVERRIDE=FQ","FILING_STATUS=OR","EQY_CONSOLIDATED=Y","FA_ADJUSTED=GAAP","Sort=A","Dates=H","DateFormat=P","Fill=—","Direction=H","UseDPDF=Y")</f>
        <v>#NAME?</v>
      </c>
      <c r="P137" t="e">
        <f ca="1">_xll.BDH($C$128,"NET_INCOME_TO_COMMON_MARGIN","FQ4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37" t="e">
        <f ca="1">_xll.BDH($C$128,"EFF_TAX_RATE","FQ4 2015","FQ4 2015","Currency=INR","Period=FQ","BEST_FPERIOD_OVERRIDE=FQ","FILING_STATUS=OR","EQY_CONSOLIDATED=Y","FA_ADJUSTED=GAAP","Sort=A","Dates=H","DateFormat=P","Fill=—","Direction=H","UseDPDF=Y")</f>
        <v>#NAME?</v>
      </c>
      <c r="R137" t="e">
        <f ca="1">_xll.BDH($C$128,"DVD_PAYOUT_RATIO","FQ4 2015","FQ4 2015","Currency=INR","Period=FQ","BEST_FPERIOD_OVERRIDE=FQ","FILING_STATUS=OR","EQY_CONSOLIDATED=Y","FA_ADJUSTED=GAAP","Sort=A","Dates=H","DateFormat=P","Fill=—","Direction=H","UseDPDF=Y")</f>
        <v>#NAME?</v>
      </c>
      <c r="S137" t="e">
        <f ca="1">_xll.BDH($C$128,"SUSTAIN_GROWTH_RT","FQ4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137" s="1" t="e">
        <f ca="1">_xll.BDH($C$128,"SALES_GROWTH","FQ4 2015","FQ4 2015","Currency=INR","Period=FQ","BEST_FPERIOD_OVERRIDE=FQ","FILING_STATUS=OR","EQY_CONSOLIDATED=Y","FA_ADJUSTED=GAAP","Sort=A","Dates=H","DateFormat=P","Fill=—","Direction=H","UseDPDF=Y")</f>
        <v>#NAME?</v>
      </c>
      <c r="U137" s="1" t="e">
        <f ca="1">_xll.BDH($C$128,"EBITDA_GROWTH","FQ4 2015","FQ4 2015","Currency=INR","Period=FQ","BEST_FPERIOD_OVERRIDE=FQ","FILING_STATUS=OR","EQY_CONSOLIDATED=Y","FA_ADJUSTED=GAAP","Sort=A","Dates=H","DateFormat=P","Fill=—","Direction=H","UseDPDF=Y")</f>
        <v>#NAME?</v>
      </c>
      <c r="V137" s="1" t="e">
        <f ca="1">_xll.BDH($C$128,"OPER_INC_GROWTH","FQ4 2015","FQ4 2015","Currency=INR","Period=FQ","BEST_FPERIOD_OVERRIDE=FQ","FILING_STATUS=OR","EQY_CONSOLIDATED=Y","FA_ADJUSTED=GAAP","Sort=A","Dates=H","DateFormat=P","Fill=—","Direction=H","UseDPDF=Y")</f>
        <v>#NAME?</v>
      </c>
      <c r="W137" s="1" t="e">
        <f ca="1">_xll.BDH($C$128,"EARN_FOR_COM_GROWTH","FQ4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37" s="1" t="e">
        <f ca="1">_xll.BDH($C$128,"DILUTED_EPS_AFT_XO_ITEMS_GROWTH","FQ4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37" s="1" t="e">
        <f ca="1">_xll.BDH($C$128,"DIVIDEND_PER_SHARE_1_YEAR_GROWTH","FQ4 2015","FQ4 2015","Currency=INR","Period=FQ","BEST_FPERIOD_OVERRIDE=FQ","FILING_STATUS=OR","EQY_CONSOLIDATED=Y","Sort=A","Dates=H","DateFormat=P","Fill=—","Direction=H","UseDPDF=Y")</f>
        <v>#NAME?</v>
      </c>
      <c r="Z137" s="1" t="e">
        <f ca="1">_xll.BDH($C$128,"ACCOUNTS_RECEIVABLE_GROWTH","FQ4 2015","FQ4 2015","Currency=INR","Period=FQ","BEST_FPERIOD_OVERRIDE=FQ","FILING_STATUS=OR","EQY_CONSOLIDATED=Y","Sort=A","Dates=H","DateFormat=P","Fill=—","Direction=H","UseDPDF=Y")</f>
        <v>#NAME?</v>
      </c>
      <c r="AA137" s="1" t="e">
        <f ca="1">_xll.BDH($C$128,"INVENTORY_GROWTH","FQ4 2015","FQ4 2015","Currency=INR","Period=FQ","BEST_FPERIOD_OVERRIDE=FQ","FILING_STATUS=OR","EQY_CONSOLIDATED=Y","Sort=A","Dates=H","DateFormat=P","Fill=—","Direction=H","UseDPDF=Y")</f>
        <v>#NAME?</v>
      </c>
      <c r="AB137" s="1" t="e">
        <f ca="1">_xll.BDH($C$128,"NET_FIXED_ASSETS_1_YEAR_GROWTH","FQ4 2015","FQ4 2015","Currency=INR","Period=FQ","BEST_FPERIOD_OVERRIDE=FQ","FILING_STATUS=OR","EQY_CONSOLIDATED=Y","Sort=A","Dates=H","DateFormat=P","Fill=—","Direction=H","UseDPDF=Y")</f>
        <v>#NAME?</v>
      </c>
      <c r="AC137" s="1" t="e">
        <f ca="1">_xll.BDH($C$128,"ASSET_GROWTH","FQ4 2015","FQ4 2015","Currency=INR","Period=FQ","BEST_FPERIOD_OVERRIDE=FQ","FILING_STATUS=OR","EQY_CONSOLIDATED=Y","Sort=A","Dates=H","DateFormat=P","Fill=—","Direction=H","UseDPDF=Y")</f>
        <v>#NAME?</v>
      </c>
      <c r="AD137" s="1" t="e">
        <f ca="1">_xll.BDH($C$128,"MODIFIED_WORK_CAP_GROWTH","FQ4 2015","FQ4 2015","Currency=INR","Period=FQ","BEST_FPERIOD_OVERRIDE=FQ","FILING_STATUS=OR","EQY_CONSOLIDATED=Y","Sort=A","Dates=H","DateFormat=P","Fill=—","Direction=H","UseDPDF=Y")</f>
        <v>#NAME?</v>
      </c>
      <c r="AE137" s="1" t="e">
        <f ca="1">_xll.BDH($C$128,"WORK_CAP_GROWTH","FQ4 2015","FQ4 2015","Currency=INR","Period=FQ","BEST_FPERIOD_OVERRIDE=FQ","FILING_STATUS=OR","EQY_CONSOLIDATED=Y","Sort=A","Dates=H","DateFormat=P","Fill=—","Direction=H","UseDPDF=Y")</f>
        <v>#NAME?</v>
      </c>
      <c r="AF137" s="1" t="e">
        <f ca="1">_xll.BDH($C$128,"ACCOUNTS_PAYABLE_GROWTH_1YR","FQ4 2015","FQ4 2015","Currency=INR","Period=FQ","BEST_FPERIOD_OVERRIDE=FQ","FILING_STATUS=OR","EQY_CONSOLIDATED=Y","Sort=A","Dates=H","DateFormat=P","Fill=—","Direction=H","UseDPDF=Y")</f>
        <v>#NAME?</v>
      </c>
      <c r="AG137" s="1" t="e">
        <f ca="1">_xll.BDH($C$128,"SHORT_TERM_DEBT_1_YEAR_GROWTH","FQ4 2015","FQ4 2015","Currency=INR","Period=FQ","BEST_FPERIOD_OVERRIDE=FQ","FILING_STATUS=OR","EQY_CONSOLIDATED=Y","Sort=A","Dates=H","DateFormat=P","Fill=—","Direction=H","UseDPDF=Y")</f>
        <v>#NAME?</v>
      </c>
      <c r="AH137" s="1" t="e">
        <f ca="1">_xll.BDH($C$128,"TOTAL_DEBT_1_YEAR_GROWTH","FQ4 2015","FQ4 2015","Currency=INR","Period=FQ","BEST_FPERIOD_OVERRIDE=FQ","FILING_STATUS=OR","EQY_CONSOLIDATED=Y","Sort=A","Dates=H","DateFormat=P","Fill=—","Direction=H","UseDPDF=Y")</f>
        <v>#NAME?</v>
      </c>
      <c r="AI137" s="1" t="e">
        <f ca="1">_xll.BDH($C$128,"TOTAL_EQUITY_1_YEAR_GROWTH","FQ4 2015","FQ4 2015","Currency=INR","Period=FQ","BEST_FPERIOD_OVERRIDE=FQ","FILING_STATUS=OR","EQY_CONSOLIDATED=Y","Sort=A","Dates=H","DateFormat=P","Fill=—","Direction=H","UseDPDF=Y")</f>
        <v>#NAME?</v>
      </c>
      <c r="AJ137" s="1" t="e">
        <f ca="1">_xll.BDH($C$128,"GROWTH_IN_CAP","FQ4 2015","FQ4 2015","Currency=INR","Period=FQ","BEST_FPERIOD_OVERRIDE=FQ","FILING_STATUS=OR","EQY_CONSOLIDATED=Y","Sort=A","Dates=H","DateFormat=P","Fill=—","Direction=H","UseDPDF=Y")</f>
        <v>#NAME?</v>
      </c>
      <c r="AK137" s="1" t="e">
        <f ca="1">_xll.BDH($C$128,"BVPS_GROWTH","FQ4 2015","FQ4 2015","Currency=INR","Period=FQ","BEST_FPERIOD_OVERRIDE=FQ","FILING_STATUS=OR","EQY_CONSOLIDATED=Y","Sort=A","Dates=H","DateFormat=P","Fill=—","Direction=H","UseDPDF=Y")</f>
        <v>#NAME?</v>
      </c>
      <c r="AL137" s="1" t="e">
        <f ca="1">_xll.BDH($C$128,"CASH_FLOW_GROWTH","FQ4 2015","FQ4 2015","Currency=INR","Period=FQ","BEST_FPERIOD_OVERRIDE=FQ","FILING_STATUS=OR","EQY_CONSOLIDATED=Y","Sort=A","Dates=H","DateFormat=P","Fill=—","Direction=H","UseDPDF=Y")</f>
        <v>#NAME?</v>
      </c>
      <c r="AM137" s="1" t="e">
        <f ca="1">_xll.BDH($C$128,"GEO_GROW_NET_SALES","FQ4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37" s="1" t="e">
        <f ca="1">_xll.BDH($C$128,"GEO_GROW_EBITDA","FQ4 2015","FQ4 2015","Currency=INR","Period=FQ","BEST_FPERIOD_OVERRIDE=FQ","FILING_STATUS=OR","EQY_CONSOLIDATED=Y","FA_ADJUSTED=GAAP","Sort=A","Dates=H","DateFormat=P","Fill=—","Direction=H","UseDPDF=Y")</f>
        <v>#NAME?</v>
      </c>
      <c r="AO137" s="1" t="e">
        <f ca="1">_xll.BDH($C$128,"GEO_GROW_OPER_INC","FQ4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37" s="1" t="e">
        <f ca="1">_xll.BDH($C$128,"NET_INCOME_TO_COMMON_5_YR_GROWTH","FQ4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37" s="1" t="e">
        <f ca="1">_xll.BDH($C$128,"5Y_GEO_GROWTH_DILUTED_EPS","FQ4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37" s="1" t="e">
        <f ca="1">_xll.BDH($C$128,"GEO_GROW_DVD_PER_SH","FQ4 2015","FQ4 2015","Currency=INR","Period=FQ","BEST_FPERIOD_OVERRIDE=FQ","FILING_STATUS=OR","EQY_CONSOLIDATED=Y","Sort=A","Dates=H","DateFormat=P","Fill=—","Direction=H","UseDPDF=Y")</f>
        <v>#NAME?</v>
      </c>
      <c r="AS137" s="1" t="e">
        <f ca="1">_xll.BDH($C$128,"ACCOUNTS_RECEIVABLE_5_YR_GROWTH","FQ4 2015","FQ4 2015","Currency=INR","Period=FQ","BEST_FPERIOD_OVERRIDE=FQ","FILING_STATUS=OR","EQY_CONSOLIDATED=Y","Sort=A","Dates=H","DateFormat=P","Fill=—","Direction=H","UseDPDF=Y")</f>
        <v>#NAME?</v>
      </c>
      <c r="AT137" s="1" t="e">
        <f ca="1">_xll.BDH($C$128,"INVENTORY_5_YEAR_GROWTH","FQ4 2015","FQ4 2015","Currency=INR","Period=FQ","BEST_FPERIOD_OVERRIDE=FQ","FILING_STATUS=OR","EQY_CONSOLIDATED=Y","Sort=A","Dates=H","DateFormat=P","Fill=—","Direction=H","UseDPDF=Y")</f>
        <v>#NAME?</v>
      </c>
      <c r="AU137" s="1" t="e">
        <f ca="1">_xll.BDH($C$128,"NET_FIXED_ASSETS_5_YEAR_GROWTH","FQ4 2015","FQ4 2015","Currency=INR","Period=FQ","BEST_FPERIOD_OVERRIDE=FQ","FILING_STATUS=OR","EQY_CONSOLIDATED=Y","Sort=A","Dates=H","DateFormat=P","Fill=—","Direction=H","UseDPDF=Y")</f>
        <v>#NAME?</v>
      </c>
      <c r="AV137" s="1" t="e">
        <f ca="1">_xll.BDH($C$128,"GEO_GROW_TOT_ASSET","FQ4 2015","FQ4 2015","Currency=INR","Period=FQ","BEST_FPERIOD_OVERRIDE=FQ","FILING_STATUS=OR","EQY_CONSOLIDATED=Y","Sort=A","Dates=H","DateFormat=P","Fill=—","Direction=H","UseDPDF=Y")</f>
        <v>#NAME?</v>
      </c>
      <c r="AW137" s="1" t="e">
        <f ca="1">_xll.BDH($C$128,"MODIFIED_WORKING_CPTL_5YR_GRWTH","FQ4 2015","FQ4 2015","Currency=INR","Period=FQ","BEST_FPERIOD_OVERRIDE=FQ","FILING_STATUS=OR","EQY_CONSOLIDATED=Y","Sort=A","Dates=H","DateFormat=P","Fill=—","Direction=H","UseDPDF=Y")</f>
        <v>#NAME?</v>
      </c>
      <c r="AX137" s="1" t="e">
        <f ca="1">_xll.BDH($C$128,"WORKING_CAPITAL_5_YEAR_GROWTH","FQ4 2015","FQ4 2015","Currency=INR","Period=FQ","BEST_FPERIOD_OVERRIDE=FQ","FILING_STATUS=OR","EQY_CONSOLIDATED=Y","Sort=A","Dates=H","DateFormat=P","Fill=—","Direction=H","UseDPDF=Y")</f>
        <v>#NAME?</v>
      </c>
      <c r="AY137" s="1" t="e">
        <f ca="1">_xll.BDH($C$128,"ACCOUNTS_PAYABLE_5_YEAR_GROWTH","FQ4 2015","FQ4 2015","Currency=INR","Period=FQ","BEST_FPERIOD_OVERRIDE=FQ","FILING_STATUS=OR","EQY_CONSOLIDATED=Y","Sort=A","Dates=H","DateFormat=P","Fill=—","Direction=H","UseDPDF=Y")</f>
        <v>#NAME?</v>
      </c>
      <c r="AZ137" s="1" t="e">
        <f ca="1">_xll.BDH($C$128,"SHORT_TERM_DEBT_5_YEAR_GROWTH","FQ4 2015","FQ4 2015","Currency=INR","Period=FQ","BEST_FPERIOD_OVERRIDE=FQ","FILING_STATUS=OR","EQY_CONSOLIDATED=Y","Sort=A","Dates=H","DateFormat=P","Fill=—","Direction=H","UseDPDF=Y")</f>
        <v>#NAME?</v>
      </c>
      <c r="BA137" s="1" t="e">
        <f ca="1">_xll.BDH($C$128,"TOTAL_DEBT_5_YEAR_GROWTH","FQ4 2015","FQ4 2015","Currency=INR","Period=FQ","BEST_FPERIOD_OVERRIDE=FQ","FILING_STATUS=OR","EQY_CONSOLIDATED=Y","Sort=A","Dates=H","DateFormat=P","Fill=—","Direction=H","UseDPDF=Y")</f>
        <v>#NAME?</v>
      </c>
      <c r="BB137" s="1" t="e">
        <f ca="1">_xll.BDH($C$128,"GEO_GROW_TOT_SHRHLDR_EQY","FQ4 2015","FQ4 2015","Currency=INR","Period=FQ","BEST_FPERIOD_OVERRIDE=FQ","FILING_STATUS=OR","EQY_CONSOLIDATED=Y","Sort=A","Dates=H","DateFormat=P","Fill=—","Direction=H","UseDPDF=Y")</f>
        <v>#NAME?</v>
      </c>
      <c r="BC137" s="1" t="e">
        <f ca="1">_xll.BDH($C$128,"TOTAL_CAPITAL_5_YEAR_GROWTH","FQ4 2015","FQ4 2015","Currency=INR","Period=FQ","BEST_FPERIOD_OVERRIDE=FQ","FILING_STATUS=OR","EQY_CONSOLIDATED=Y","Sort=A","Dates=H","DateFormat=P","Fill=—","Direction=H","UseDPDF=Y")</f>
        <v>#NAME?</v>
      </c>
      <c r="BD137" s="1" t="e">
        <f ca="1">_xll.BDH($C$128,"GEO_GROW_BOOK_VAL","FQ4 2015","FQ4 2015","Currency=INR","Period=FQ","BEST_FPERIOD_OVERRIDE=FQ","FILING_STATUS=OR","EQY_CONSOLIDATED=Y","Sort=A","Dates=H","DateFormat=P","Fill=—","Direction=H","UseDPDF=Y")</f>
        <v>#NAME?</v>
      </c>
      <c r="BE137" s="1" t="e">
        <f ca="1">_xll.BDH($C$128,"GEO_GROW_CASH_OPER_ACT","FQ4 2015","FQ4 2015","Currency=INR","Period=FQ","BEST_FPERIOD_OVERRIDE=FQ","FILING_STATUS=OR","EQY_CONSOLIDATED=Y","Sort=A","Dates=H","DateFormat=P","Fill=—","Direction=H","UseDPDF=Y")</f>
        <v>#NAME?</v>
      </c>
      <c r="BF137" s="1" t="e">
        <f ca="1">_xll.BDH($C$128,"REVENUE_SEQUENTIAL_GROWTH","FQ4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37" s="1" t="e">
        <f ca="1">_xll.BDH($C$128,"EBITDA_SEQUENTIAL_GROWTH","FQ4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37" s="1" t="e">
        <f ca="1">_xll.BDH($C$128,"OPERATING_INCOME_SEQ_GROWTH","FQ4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37" s="1" t="e">
        <f ca="1">_xll.BDH($C$128,"NET_INCOME_TO_COMMON_SEQ_GROWTH","FQ4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37" s="1" t="e">
        <f ca="1">_xll.BDH($C$128,"EPS_DILUTED_SEQUENTIAL_GROWTH","FQ4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37" s="1" t="e">
        <f ca="1">_xll.BDH($C$128,"DPS_SEQUENTIAL_GROWTH","FQ4 2015","FQ4 2015","Currency=INR","Period=FQ","BEST_FPERIOD_OVERRIDE=FQ","FILING_STATUS=OR","EQY_CONSOLIDATED=Y","Sort=A","Dates=H","DateFormat=P","Fill=—","Direction=H","UseDPDF=Y")</f>
        <v>#NAME?</v>
      </c>
      <c r="BL137" s="1" t="e">
        <f ca="1">_xll.BDH($C$128,"ACCOUNTS_RECEIVABLE_SEQ_GROWTH","FQ4 2015","FQ4 2015","Currency=INR","Period=FQ","BEST_FPERIOD_OVERRIDE=FQ","FILING_STATUS=OR","EQY_CONSOLIDATED=Y","Sort=A","Dates=H","DateFormat=P","Fill=—","Direction=H","UseDPDF=Y")</f>
        <v>#NAME?</v>
      </c>
      <c r="BM137" s="1" t="e">
        <f ca="1">_xll.BDH($C$128,"INVENTORY_SEQUENTIAL_GROWTH","FQ4 2015","FQ4 2015","Currency=INR","Period=FQ","BEST_FPERIOD_OVERRIDE=FQ","FILING_STATUS=OR","EQY_CONSOLIDATED=Y","Sort=A","Dates=H","DateFormat=P","Fill=—","Direction=H","UseDPDF=Y")</f>
        <v>#NAME?</v>
      </c>
      <c r="BN137" s="1" t="e">
        <f ca="1">_xll.BDH($C$128,"FIXED_ASSETS_SEQUENTIAL_GROWTH","FQ4 2015","FQ4 2015","Currency=INR","Period=FQ","BEST_FPERIOD_OVERRIDE=FQ","FILING_STATUS=OR","EQY_CONSOLIDATED=Y","Sort=A","Dates=H","DateFormat=P","Fill=—","Direction=H","UseDPDF=Y")</f>
        <v>#NAME?</v>
      </c>
      <c r="BO137" s="1" t="e">
        <f ca="1">_xll.BDH($C$128,"TOTAL_ASSETS_SEQUENTIAL_GROWTH","FQ4 2015","FQ4 2015","Currency=INR","Period=FQ","BEST_FPERIOD_OVERRIDE=FQ","FILING_STATUS=OR","EQY_CONSOLIDATED=Y","Sort=A","Dates=H","DateFormat=P","Fill=—","Direction=H","UseDPDF=Y")</f>
        <v>#NAME?</v>
      </c>
      <c r="BP137" s="1" t="e">
        <f ca="1">_xll.BDH($C$128,"MODIFIED_WORKING_CPTL_SEQ_GRWTH","FQ4 2015","FQ4 2015","Currency=INR","Period=FQ","BEST_FPERIOD_OVERRIDE=FQ","FILING_STATUS=OR","EQY_CONSOLIDATED=Y","Sort=A","Dates=H","DateFormat=P","Fill=—","Direction=H","UseDPDF=Y")</f>
        <v>#NAME?</v>
      </c>
      <c r="BQ137" s="1" t="e">
        <f ca="1">_xll.BDH($C$128,"WORKING_CAPITAL_SEQ_GROWTH","FQ4 2015","FQ4 2015","Currency=INR","Period=FQ","BEST_FPERIOD_OVERRIDE=FQ","FILING_STATUS=OR","EQY_CONSOLIDATED=Y","Sort=A","Dates=H","DateFormat=P","Fill=—","Direction=H","UseDPDF=Y")</f>
        <v>#NAME?</v>
      </c>
      <c r="BR137" s="1" t="e">
        <f ca="1">_xll.BDH($C$128,"ACCOUNTS_PAYABLE_SEQ_GROWTH","FQ4 2015","FQ4 2015","Currency=INR","Period=FQ","BEST_FPERIOD_OVERRIDE=FQ","FILING_STATUS=OR","EQY_CONSOLIDATED=Y","Sort=A","Dates=H","DateFormat=P","Fill=—","Direction=H","UseDPDF=Y")</f>
        <v>#NAME?</v>
      </c>
      <c r="BS137" s="1" t="e">
        <f ca="1">_xll.BDH($C$128,"ST_DEBT_SEQUENTIAL_GROWTH","FQ4 2015","FQ4 2015","Currency=INR","Period=FQ","BEST_FPERIOD_OVERRIDE=FQ","FILING_STATUS=OR","EQY_CONSOLIDATED=Y","Sort=A","Dates=H","DateFormat=P","Fill=—","Direction=H","UseDPDF=Y")</f>
        <v>#NAME?</v>
      </c>
      <c r="BT137" s="1" t="e">
        <f ca="1">_xll.BDH($C$128,"TOTAL_DEBT_SEQUENTIAL_GROWTH","FQ4 2015","FQ4 2015","Currency=INR","Period=FQ","BEST_FPERIOD_OVERRIDE=FQ","FILING_STATUS=OR","EQY_CONSOLIDATED=Y","Sort=A","Dates=H","DateFormat=P","Fill=—","Direction=H","UseDPDF=Y")</f>
        <v>#NAME?</v>
      </c>
      <c r="BU137" s="1" t="e">
        <f ca="1">_xll.BDH($C$128,"TOTAL_EQUITY_SEQUENTIAL_GROWTH","FQ4 2015","FQ4 2015","Currency=INR","Period=FQ","BEST_FPERIOD_OVERRIDE=FQ","FILING_STATUS=OR","EQY_CONSOLIDATED=Y","Sort=A","Dates=H","DateFormat=P","Fill=—","Direction=H","UseDPDF=Y")</f>
        <v>#NAME?</v>
      </c>
      <c r="BV137" s="1" t="e">
        <f ca="1">_xll.BDH($C$128,"TOTAL_CAPITAL_SEQUENTIAL_GROWTH","FQ4 2015","FQ4 2015","Currency=INR","Period=FQ","BEST_FPERIOD_OVERRIDE=FQ","FILING_STATUS=OR","EQY_CONSOLIDATED=Y","Sort=A","Dates=H","DateFormat=P","Fill=—","Direction=H","UseDPDF=Y")</f>
        <v>#NAME?</v>
      </c>
      <c r="BW137" s="1" t="e">
        <f ca="1">_xll.BDH($C$128,"BPS_SEQUENTIAL_GROWTH","FQ4 2015","FQ4 2015","Currency=INR","Period=FQ","BEST_FPERIOD_OVERRIDE=FQ","FILING_STATUS=OR","EQY_CONSOLIDATED=Y","Sort=A","Dates=H","DateFormat=P","Fill=—","Direction=H","UseDPDF=Y")</f>
        <v>#NAME?</v>
      </c>
      <c r="BX137" s="1" t="e">
        <f ca="1">_xll.BDH($C$128,"CFO_SEQUENTIAL_GROWTH","FQ4 2015","FQ4 2015","Currency=INR","Period=FQ","BEST_FPERIOD_OVERRIDE=FQ","FILING_STATUS=OR","EQY_CONSOLIDATED=Y","Sort=A","Dates=H","DateFormat=P","Fill=—","Direction=H","UseDPDF=Y")</f>
        <v>#NAME?</v>
      </c>
      <c r="BY137" s="2" t="e">
        <f ca="1">_xll.BDH($C$128,"SHORT_AND_LONG_TERM_DEBT","FQ4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37" s="2" t="e">
        <f ca="1">_xll.BDH($C$128,"BS_ST_BORROW","FQ4 2015","FQ4 2015","Currency=INR","Period=FQ","BEST_FPERIOD_OVERRIDE=FQ","FILING_STATUS=OR","EQY_CONSOLIDATED=Y","SCALING_FORMAT=MLN","Sort=A","Dates=H","DateFormat=P","Fill=—","Direction=H","UseDPDF=Y")</f>
        <v>#NAME?</v>
      </c>
      <c r="CA137" s="2" t="e">
        <f ca="1">_xll.BDH($C$128,"BS_LT_BORROW","FQ4 2015","FQ4 2015","Currency=INR","Period=FQ","BEST_FPERIOD_OVERRIDE=FQ","FILING_STATUS=OR","EQY_CONSOLIDATED=Y","SCALING_FORMAT=MLN","Sort=A","Dates=H","DateFormat=P","Fill=—","Direction=H","UseDPDF=Y")</f>
        <v>#NAME?</v>
      </c>
      <c r="CB137" s="1" t="e">
        <f ca="1">_xll.BDH($C$128,"TOT_DEBT_TO_EBITDA","FQ4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37" s="1" t="e">
        <f ca="1">_xll.BDH($C$128,"NET_DEBT_TO_EBITDA","FQ4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37" s="1" t="e">
        <f ca="1">_xll.BDH($C$128,"TOTAL_DEBT_TO_EBIT","FQ4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37" s="1" t="e">
        <f ca="1">_xll.BDH($C$128,"NET_DEBT_TO_EBIT","FQ4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137" s="1" t="e">
        <f ca="1">_xll.BDH($C$128,"EBITDA_TO_INTEREST_EXPN","FQ4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37" s="1" t="e">
        <f ca="1">_xll.BDH($C$128,"COM_EQY_TO_TOT_ASSET","FQ4 2015","FQ4 2015","Currency=INR","Period=FQ","BEST_FPERIOD_OVERRIDE=FQ","FILING_STATUS=OR","EQY_CONSOLIDATED=Y","Sort=A","Dates=H","DateFormat=P","Fill=—","Direction=H","UseDPDF=Y")</f>
        <v>#NAME?</v>
      </c>
      <c r="CH137" s="1" t="e">
        <f ca="1">_xll.BDH($C$128,"LT_DEBT_TO_TOT_EQY","FQ4 2015","FQ4 2015","Currency=INR","Period=FQ","BEST_FPERIOD_OVERRIDE=FQ","FILING_STATUS=OR","EQY_CONSOLIDATED=Y","Sort=A","Dates=H","DateFormat=P","Fill=—","Direction=H","UseDPDF=Y")</f>
        <v>#NAME?</v>
      </c>
      <c r="CI137" s="1" t="e">
        <f ca="1">_xll.BDH($C$128,"LT_DEBT_TO_TOT_CAP","FQ4 2015","FQ4 2015","Currency=INR","Period=FQ","BEST_FPERIOD_OVERRIDE=FQ","FILING_STATUS=OR","EQY_CONSOLIDATED=Y","Sort=A","Dates=H","DateFormat=P","Fill=—","Direction=H","UseDPDF=Y")</f>
        <v>#NAME?</v>
      </c>
      <c r="CJ137" s="1" t="e">
        <f ca="1">_xll.BDH($C$128,"LT_DEBT_TO_TOT_ASSET","FQ4 2015","FQ4 2015","Currency=INR","Period=FQ","BEST_FPERIOD_OVERRIDE=FQ","FILING_STATUS=OR","EQY_CONSOLIDATED=Y","Sort=A","Dates=H","DateFormat=P","Fill=—","Direction=H","UseDPDF=Y")</f>
        <v>#NAME?</v>
      </c>
      <c r="CK137" s="1" t="e">
        <f ca="1">_xll.BDH($C$128,"TOT_DEBT_TO_TOT_EQY","FQ4 2015","FQ4 2015","Currency=INR","Period=FQ","BEST_FPERIOD_OVERRIDE=FQ","FILING_STATUS=OR","EQY_CONSOLIDATED=Y","Sort=A","Dates=H","DateFormat=P","Fill=—","Direction=H","UseDPDF=Y")</f>
        <v>#NAME?</v>
      </c>
      <c r="CL137" s="1" t="e">
        <f ca="1">_xll.BDH($C$128,"TOT_DEBT_TO_TOT_CAP","FQ4 2015","FQ4 2015","Currency=INR","Period=FQ","BEST_FPERIOD_OVERRIDE=FQ","FILING_STATUS=OR","EQY_CONSOLIDATED=Y","Sort=A","Dates=H","DateFormat=P","Fill=—","Direction=H","UseDPDF=Y")</f>
        <v>#NAME?</v>
      </c>
      <c r="CM137" s="1" t="e">
        <f ca="1">_xll.BDH($C$128,"TOT_DEBT_TO_TOT_ASSET","FQ4 2015","FQ4 2015","Currency=INR","Period=FQ","BEST_FPERIOD_OVERRIDE=FQ","FILING_STATUS=OR","EQY_CONSOLIDATED=Y","Sort=A","Dates=H","DateFormat=P","Fill=—","Direction=H","UseDPDF=Y")</f>
        <v>#NAME?</v>
      </c>
      <c r="CN137" s="1" t="e">
        <f ca="1">_xll.BDH($C$128,"NET_DEBT_TO_SHRHLDR_EQTY","FQ4 2015","FQ4 2015","Currency=INR","Period=FQ","BEST_FPERIOD_OVERRIDE=FQ","FILING_STATUS=OR","EQY_CONSOLIDATED=Y","Sort=A","Dates=H","DateFormat=P","Fill=—","Direction=H","UseDPDF=Y")</f>
        <v>#NAME?</v>
      </c>
      <c r="CO137" s="1" t="e">
        <f ca="1">_xll.BDH($C$128,"NET_DEBT_%_CAPITAL","FQ4 2015","FQ4 2015","Currency=INR","Period=FQ","BEST_FPERIOD_OVERRIDE=FQ","FILING_STATUS=OR","EQY_CONSOLIDATED=Y","Sort=A","Dates=H","DateFormat=P","Fill=—","Direction=H","UseDPDF=Y")</f>
        <v>#NAME?</v>
      </c>
      <c r="CP137" s="2" t="e">
        <f ca="1">_xll.BDH($C$128,"EBITDA","FQ4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37" s="2" t="e">
        <f ca="1">_xll.BDH($C$128,"EBITDA_AFTER_CAPEX","FQ4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37" s="2" t="e">
        <f ca="1">_xll.BDH($C$128,"IS_OPER_INC","FQ4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37" s="1" t="e">
        <f ca="1">_xll.BDH($C$128,"CASH_RATIO","FQ4 2015","FQ4 2015","Currency=INR","Period=FQ","BEST_FPERIOD_OVERRIDE=FQ","FILING_STATUS=OR","EQY_CONSOLIDATED=Y","Sort=A","Dates=H","DateFormat=P","Fill=—","Direction=H","UseDPDF=Y")</f>
        <v>#NAME?</v>
      </c>
      <c r="CT137" s="1" t="e">
        <f ca="1">_xll.BDH($C$128,"CUR_RATIO","FQ4 2015","FQ4 2015","Currency=INR","Period=FQ","BEST_FPERIOD_OVERRIDE=FQ","FILING_STATUS=OR","EQY_CONSOLIDATED=Y","Sort=A","Dates=H","DateFormat=P","Fill=—","Direction=H","UseDPDF=Y")</f>
        <v>#NAME?</v>
      </c>
      <c r="CU137" s="1" t="e">
        <f ca="1">_xll.BDH($C$128,"QUICK_RATIO","FQ4 2015","FQ4 2015","Currency=INR","Period=FQ","BEST_FPERIOD_OVERRIDE=FQ","FILING_STATUS=OR","EQY_CONSOLIDATED=Y","Sort=A","Dates=H","DateFormat=P","Fill=—","Direction=H","UseDPDF=Y")</f>
        <v>#NAME?</v>
      </c>
      <c r="CV137" s="1" t="e">
        <f ca="1">_xll.BDH($C$128,"ALTMAN_Z_SCORE","FQ4 2015","FQ4 2015","Currency=INR","Period=FQ","BEST_FPERIOD_OVERRIDE=FQ","FILING_STATUS=OR","EQY_CONSOLIDATED=Y","Sort=A","Dates=H","DateFormat=P","Fill=—","Direction=H","UseDPDF=Y")</f>
        <v>#NAME?</v>
      </c>
      <c r="CW137" s="3" t="e">
        <f ca="1">_xll.BDH($C$128,"ACCT_RCV_TURN","FQ4 2015","FQ4 2015","Currency=INR","Period=FQ","BEST_FPERIOD_OVERRIDE=FQ","FILING_STATUS=OR","EQY_CONSOLIDATED=Y","FA_ADJUSTED=GAAP","Sort=A","Dates=H","DateFormat=P","Fill=—","Direction=H","UseDPDF=Y")</f>
        <v>#NAME?</v>
      </c>
      <c r="CX137" s="1" t="e">
        <f ca="1">_xll.BDH($C$128,"ACCT_RCV_DAYS","FQ4 2015","FQ4 2015","Currency=INR","Period=FQ","BEST_FPERIOD_OVERRIDE=FQ","FILING_STATUS=OR","EQY_CONSOLIDATED=Y","FA_ADJUSTED=GAAP","Sort=A","Dates=H","DateFormat=P","Fill=—","Direction=H","UseDPDF=Y")</f>
        <v>#NAME?</v>
      </c>
      <c r="CY137" s="3" t="e">
        <f ca="1">_xll.BDH($C$128,"INVENT_TURN","FQ4 2015","FQ4 2015","Currency=INR","Period=FQ","BEST_FPERIOD_OVERRIDE=FQ","FILING_STATUS=OR","EQY_CONSOLIDATED=Y","FA_ADJUSTED=GAAP","Sort=A","Dates=H","DateFormat=P","Fill=—","Direction=H","UseDPDF=Y")</f>
        <v>#NAME?</v>
      </c>
      <c r="CZ137" s="1" t="e">
        <f ca="1">_xll.BDH($C$128,"INVENT_DAYS","FQ4 2015","FQ4 2015","Currency=INR","Period=FQ","BEST_FPERIOD_OVERRIDE=FQ","FILING_STATUS=OR","EQY_CONSOLIDATED=Y","FA_ADJUSTED=GAAP","Sort=A","Dates=H","DateFormat=P","Fill=—","Direction=H","UseDPDF=Y")</f>
        <v>#NAME?</v>
      </c>
      <c r="DA137" s="3" t="e">
        <f ca="1">_xll.BDH($C$128,"ACCOUNTS_PAYABLE_TURNOVER","FQ4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37" s="1" t="e">
        <f ca="1">_xll.BDH($C$128,"ACCOUNTS_PAYABLE_TURNOVER_DAYS","FQ4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37" s="3" t="e">
        <f ca="1">_xll.BDH($C$128,"CASH_CONVERSION_CYCLE","FQ4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37" s="3" t="e">
        <f ca="1">_xll.BDH($C$128,"INV_TO_CASH_DAYS","FQ4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137" s="4" t="e">
        <f ca="1">_xll.BDH($C$128,"BS_INVENTORIES","FQ4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137" s="2" t="e">
        <f ca="1">_xll.BDH($C$128,"INVTRY_RAW_MATERIALS","FQ4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37" s="2" t="e">
        <f ca="1">_xll.BDH($C$128,"INVTRY_IN_PROGRESS","FQ4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37" s="2" t="e">
        <f ca="1">_xll.BDH($C$128,"INVTRY_FINISHED_GOODS","FQ4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37" s="2" t="e">
        <f ca="1">_xll.BDH($C$128,"BS_OTHER_INV","FQ4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38" spans="1:113" x14ac:dyDescent="0.3">
      <c r="A138" s="6"/>
      <c r="B138" s="6"/>
      <c r="C138" s="6"/>
      <c r="D138" s="6" t="s">
        <v>9</v>
      </c>
      <c r="E138" t="s">
        <v>3</v>
      </c>
      <c r="F138" t="e">
        <f ca="1">_xll.BDH($C$128,"RETURN_COM_EQY","FY 2016","FY 2016","Currency=INR","Period=FY","BEST_FPERIOD_OVERRIDE=FY","FILING_STATUS=OR","EQY_CONSOLIDATED=Y","FA_ADJUSTED=GAAP","Sort=A","Dates=H","DateFormat=P","Fill=—","Direction=H","UseDPDF=Y")</f>
        <v>#NAME?</v>
      </c>
      <c r="G138" t="e">
        <f ca="1">_xll.BDH($C$128,"RETURN_ON_ASSET","FY 2016","FY 2016","Currency=INR","Period=FY","BEST_FPERIOD_OVERRIDE=FY","FILING_STATUS=OR","EQY_CONSOLIDATED=Y","FA_ADJUSTED=GAAP","Sort=A","Dates=H","DateFormat=P","Fill=—","Direction=H","UseDPDF=Y")</f>
        <v>#NAME?</v>
      </c>
      <c r="H138" t="e">
        <f ca="1">_xll.BDH($C$128,"RETURN_ON_CAP","FY 2016","FY 2016","Currency=INR","Period=FY","BEST_FPERIOD_OVERRIDE=FY","FILING_STATUS=OR","EQY_CONSOLIDATED=Y","FA_ADJUSTED=GAAP","Sort=A","Dates=H","DateFormat=P","Fill=—","Direction=H","UseDPDF=Y")</f>
        <v>#NAME?</v>
      </c>
      <c r="I138" t="e">
        <f ca="1">_xll.BDH($C$128,"RETURN_ON_INV_CAPITAL","FY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38" t="e">
        <f ca="1">_xll.BDH($C$128,"EBITDA_TO_REVENUE","FY 2016","FY 2016","Currency=INR","Period=FY","BEST_FPERIOD_OVERRIDE=FY","FILING_STATUS=OR","EQY_CONSOLIDATED=Y","FA_ADJUSTED=GAAP","Sort=A","Dates=H","DateFormat=P","Fill=—","Direction=H","UseDPDF=Y")</f>
        <v>#NAME?</v>
      </c>
      <c r="K138" t="e">
        <f ca="1">_xll.BDH($C$128,"OPER_MARGIN","FY 2016","FY 2016","Currency=INR","Period=FY","BEST_FPERIOD_OVERRIDE=FY","FILING_STATUS=OR","EQY_CONSOLIDATED=Y","FA_ADJUSTED=GAAP","Sort=A","Dates=H","DateFormat=P","Fill=—","Direction=H","UseDPDF=Y")</f>
        <v>#NAME?</v>
      </c>
      <c r="L138" t="e">
        <f ca="1">_xll.BDH($C$128,"INCREMENTAL_OPERATING_MARGIN","FY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38" t="e">
        <f ca="1">_xll.BDH($C$128,"PRETAX_INC_TO_NET_SALES","FY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38" t="e">
        <f ca="1">_xll.BDH($C$128,"INC_BEF_XO_ITEMS_TO_NET_SALES","FY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38" t="e">
        <f ca="1">_xll.BDH($C$128,"PROF_MARGIN","FY 2016","FY 2016","Currency=INR","Period=FY","BEST_FPERIOD_OVERRIDE=FY","FILING_STATUS=OR","EQY_CONSOLIDATED=Y","FA_ADJUSTED=GAAP","Sort=A","Dates=H","DateFormat=P","Fill=—","Direction=H","UseDPDF=Y")</f>
        <v>#NAME?</v>
      </c>
      <c r="P138" t="e">
        <f ca="1">_xll.BDH($C$128,"NET_INCOME_TO_COMMON_MARGIN","FY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38" t="e">
        <f ca="1">_xll.BDH($C$128,"EFF_TAX_RATE","FY 2016","FY 2016","Currency=INR","Period=FY","BEST_FPERIOD_OVERRIDE=FY","FILING_STATUS=OR","EQY_CONSOLIDATED=Y","FA_ADJUSTED=GAAP","Sort=A","Dates=H","DateFormat=P","Fill=—","Direction=H","UseDPDF=Y")</f>
        <v>#NAME?</v>
      </c>
      <c r="R138" t="e">
        <f ca="1">_xll.BDH($C$128,"DVD_PAYOUT_RATIO","FY 2016","FY 2016","Currency=INR","Period=FY","BEST_FPERIOD_OVERRIDE=FY","FILING_STATUS=OR","EQY_CONSOLIDATED=Y","FA_ADJUSTED=GAAP","Sort=A","Dates=H","DateFormat=P","Fill=—","Direction=H","UseDPDF=Y")</f>
        <v>#NAME?</v>
      </c>
      <c r="S138" t="e">
        <f ca="1">_xll.BDH($C$128,"SUSTAIN_GROWTH_RT","FY 2016","FY 2016","Currency=INR","Period=FY","BEST_FPERIOD_OVERRIDE=FY","FILING_STATUS=OR","EQY_CONSOLIDATED=Y","FA_ADJUSTED=GAAP","Sort=A","Dates=H","DateFormat=P","Fill=—","Direction=H","UseDPDF=Y")</f>
        <v>#NAME?</v>
      </c>
      <c r="T138" s="1" t="e">
        <f ca="1">_xll.BDH($C$128,"SALES_GROWTH","FY 2016","FY 2016","Currency=INR","Period=FY","BEST_FPERIOD_OVERRIDE=FY","FILING_STATUS=OR","EQY_CONSOLIDATED=Y","FA_ADJUSTED=GAAP","Sort=A","Dates=H","DateFormat=P","Fill=—","Direction=H","UseDPDF=Y")</f>
        <v>#NAME?</v>
      </c>
      <c r="U138" s="1" t="e">
        <f ca="1">_xll.BDH($C$128,"EBITDA_GROWTH","FY 2016","FY 2016","Currency=INR","Period=FY","BEST_FPERIOD_OVERRIDE=FY","FILING_STATUS=OR","EQY_CONSOLIDATED=Y","FA_ADJUSTED=GAAP","Sort=A","Dates=H","DateFormat=P","Fill=—","Direction=H","UseDPDF=Y")</f>
        <v>#NAME?</v>
      </c>
      <c r="V138" s="1" t="e">
        <f ca="1">_xll.BDH($C$128,"OPER_INC_GROWTH","FY 2016","FY 2016","Currency=INR","Period=FY","BEST_FPERIOD_OVERRIDE=FY","FILING_STATUS=OR","EQY_CONSOLIDATED=Y","FA_ADJUSTED=GAAP","Sort=A","Dates=H","DateFormat=P","Fill=—","Direction=H","UseDPDF=Y")</f>
        <v>#NAME?</v>
      </c>
      <c r="W138" s="1" t="e">
        <f ca="1">_xll.BDH($C$128,"EARN_FOR_COM_GROWTH","FY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138" s="1" t="e">
        <f ca="1">_xll.BDH($C$128,"DILUTED_EPS_AFT_XO_ITEMS_GROWTH","FY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38" s="1" t="e">
        <f ca="1">_xll.BDH($C$128,"DIVIDEND_PER_SHARE_1_YEAR_GROWTH","FY 2016","FY 2016","Currency=INR","Period=FY","BEST_FPERIOD_OVERRIDE=FY","FILING_STATUS=OR","EQY_CONSOLIDATED=Y","Sort=A","Dates=H","DateFormat=P","Fill=—","Direction=H","UseDPDF=Y")</f>
        <v>#NAME?</v>
      </c>
      <c r="Z138" s="1" t="e">
        <f ca="1">_xll.BDH($C$128,"ACCOUNTS_RECEIVABLE_GROWTH","FY 2016","FY 2016","Currency=INR","Period=FY","BEST_FPERIOD_OVERRIDE=FY","FILING_STATUS=OR","EQY_CONSOLIDATED=Y","Sort=A","Dates=H","DateFormat=P","Fill=—","Direction=H","UseDPDF=Y")</f>
        <v>#NAME?</v>
      </c>
      <c r="AA138" s="1" t="e">
        <f ca="1">_xll.BDH($C$128,"INVENTORY_GROWTH","FY 2016","FY 2016","Currency=INR","Period=FY","BEST_FPERIOD_OVERRIDE=FY","FILING_STATUS=OR","EQY_CONSOLIDATED=Y","Sort=A","Dates=H","DateFormat=P","Fill=—","Direction=H","UseDPDF=Y")</f>
        <v>#NAME?</v>
      </c>
      <c r="AB138" s="1" t="e">
        <f ca="1">_xll.BDH($C$128,"NET_FIXED_ASSETS_1_YEAR_GROWTH","FY 2016","FY 2016","Currency=INR","Period=FY","BEST_FPERIOD_OVERRIDE=FY","FILING_STATUS=OR","EQY_CONSOLIDATED=Y","Sort=A","Dates=H","DateFormat=P","Fill=—","Direction=H","UseDPDF=Y")</f>
        <v>#NAME?</v>
      </c>
      <c r="AC138" s="1" t="e">
        <f ca="1">_xll.BDH($C$128,"ASSET_GROWTH","FY 2016","FY 2016","Currency=INR","Period=FY","BEST_FPERIOD_OVERRIDE=FY","FILING_STATUS=OR","EQY_CONSOLIDATED=Y","Sort=A","Dates=H","DateFormat=P","Fill=—","Direction=H","UseDPDF=Y")</f>
        <v>#NAME?</v>
      </c>
      <c r="AD138" s="1" t="e">
        <f ca="1">_xll.BDH($C$128,"MODIFIED_WORK_CAP_GROWTH","FY 2016","FY 2016","Currency=INR","Period=FY","BEST_FPERIOD_OVERRIDE=FY","FILING_STATUS=OR","EQY_CONSOLIDATED=Y","Sort=A","Dates=H","DateFormat=P","Fill=—","Direction=H","UseDPDF=Y")</f>
        <v>#NAME?</v>
      </c>
      <c r="AE138" s="1" t="e">
        <f ca="1">_xll.BDH($C$128,"WORK_CAP_GROWTH","FY 2016","FY 2016","Currency=INR","Period=FY","BEST_FPERIOD_OVERRIDE=FY","FILING_STATUS=OR","EQY_CONSOLIDATED=Y","Sort=A","Dates=H","DateFormat=P","Fill=—","Direction=H","UseDPDF=Y")</f>
        <v>#NAME?</v>
      </c>
      <c r="AF138" s="1" t="e">
        <f ca="1">_xll.BDH($C$128,"ACCOUNTS_PAYABLE_GROWTH_1YR","FY 2016","FY 2016","Currency=INR","Period=FY","BEST_FPERIOD_OVERRIDE=FY","FILING_STATUS=OR","EQY_CONSOLIDATED=Y","Sort=A","Dates=H","DateFormat=P","Fill=—","Direction=H","UseDPDF=Y")</f>
        <v>#NAME?</v>
      </c>
      <c r="AG138" s="1" t="e">
        <f ca="1">_xll.BDH($C$128,"SHORT_TERM_DEBT_1_YEAR_GROWTH","FY 2016","FY 2016","Currency=INR","Period=FY","BEST_FPERIOD_OVERRIDE=FY","FILING_STATUS=OR","EQY_CONSOLIDATED=Y","Sort=A","Dates=H","DateFormat=P","Fill=—","Direction=H","UseDPDF=Y")</f>
        <v>#NAME?</v>
      </c>
      <c r="AH138" s="1" t="e">
        <f ca="1">_xll.BDH($C$128,"TOTAL_DEBT_1_YEAR_GROWTH","FY 2016","FY 2016","Currency=INR","Period=FY","BEST_FPERIOD_OVERRIDE=FY","FILING_STATUS=OR","EQY_CONSOLIDATED=Y","Sort=A","Dates=H","DateFormat=P","Fill=—","Direction=H","UseDPDF=Y")</f>
        <v>#NAME?</v>
      </c>
      <c r="AI138" s="1" t="e">
        <f ca="1">_xll.BDH($C$128,"TOTAL_EQUITY_1_YEAR_GROWTH","FY 2016","FY 2016","Currency=INR","Period=FY","BEST_FPERIOD_OVERRIDE=FY","FILING_STATUS=OR","EQY_CONSOLIDATED=Y","Sort=A","Dates=H","DateFormat=P","Fill=—","Direction=H","UseDPDF=Y")</f>
        <v>#NAME?</v>
      </c>
      <c r="AJ138" s="1" t="e">
        <f ca="1">_xll.BDH($C$128,"GROWTH_IN_CAP","FY 2016","FY 2016","Currency=INR","Period=FY","BEST_FPERIOD_OVERRIDE=FY","FILING_STATUS=OR","EQY_CONSOLIDATED=Y","Sort=A","Dates=H","DateFormat=P","Fill=—","Direction=H","UseDPDF=Y")</f>
        <v>#NAME?</v>
      </c>
      <c r="AK138" s="1" t="e">
        <f ca="1">_xll.BDH($C$128,"BVPS_GROWTH","FY 2016","FY 2016","Currency=INR","Period=FY","BEST_FPERIOD_OVERRIDE=FY","FILING_STATUS=OR","EQY_CONSOLIDATED=Y","Sort=A","Dates=H","DateFormat=P","Fill=—","Direction=H","UseDPDF=Y")</f>
        <v>#NAME?</v>
      </c>
      <c r="AL138" s="1" t="e">
        <f ca="1">_xll.BDH($C$128,"CASH_FLOW_GROWTH","FY 2016","FY 2016","Currency=INR","Period=FY","BEST_FPERIOD_OVERRIDE=FY","FILING_STATUS=OR","EQY_CONSOLIDATED=Y","Sort=A","Dates=H","DateFormat=P","Fill=—","Direction=H","UseDPDF=Y")</f>
        <v>#NAME?</v>
      </c>
      <c r="AM138" s="1" t="e">
        <f ca="1">_xll.BDH($C$128,"GEO_GROW_NET_SALES","FY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138" s="1" t="e">
        <f ca="1">_xll.BDH($C$128,"GEO_GROW_EBITDA","FY 2016","FY 2016","Currency=INR","Period=FY","BEST_FPERIOD_OVERRIDE=FY","FILING_STATUS=OR","EQY_CONSOLIDATED=Y","FA_ADJUSTED=GAAP","Sort=A","Dates=H","DateFormat=P","Fill=—","Direction=H","UseDPDF=Y")</f>
        <v>#NAME?</v>
      </c>
      <c r="AO138" s="1" t="e">
        <f ca="1">_xll.BDH($C$128,"GEO_GROW_OPER_INC","FY 2016","FY 2016","Currency=INR","Period=FY","BEST_FPERIOD_OVERRIDE=FY","FILING_STATUS=OR","EQY_CONSOLIDATED=Y","FA_ADJUSTED=GAAP","Sort=A","Dates=H","DateFormat=P","Fill=—","Direction=H","UseDPDF=Y")</f>
        <v>#NAME?</v>
      </c>
      <c r="AP138" s="1" t="e">
        <f ca="1">_xll.BDH($C$128,"NET_INCOME_TO_COMMON_5_YR_GROWTH","FY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38" s="1" t="e">
        <f ca="1">_xll.BDH($C$128,"5Y_GEO_GROWTH_DILUTED_EPS","FY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38" s="1" t="e">
        <f ca="1">_xll.BDH($C$128,"GEO_GROW_DVD_PER_SH","FY 2016","FY 2016","Currency=INR","Period=FY","BEST_FPERIOD_OVERRIDE=FY","FILING_STATUS=OR","EQY_CONSOLIDATED=Y","Sort=A","Dates=H","DateFormat=P","Fill=—","Direction=H","UseDPDF=Y")</f>
        <v>#NAME?</v>
      </c>
      <c r="AS138" s="1" t="e">
        <f ca="1">_xll.BDH($C$128,"ACCOUNTS_RECEIVABLE_5_YR_GROWTH","FY 2016","FY 2016","Currency=INR","Period=FY","BEST_FPERIOD_OVERRIDE=FY","FILING_STATUS=OR","EQY_CONSOLIDATED=Y","Sort=A","Dates=H","DateFormat=P","Fill=—","Direction=H","UseDPDF=Y")</f>
        <v>#NAME?</v>
      </c>
      <c r="AT138" s="1" t="e">
        <f ca="1">_xll.BDH($C$128,"INVENTORY_5_YEAR_GROWTH","FY 2016","FY 2016","Currency=INR","Period=FY","BEST_FPERIOD_OVERRIDE=FY","FILING_STATUS=OR","EQY_CONSOLIDATED=Y","Sort=A","Dates=H","DateFormat=P","Fill=—","Direction=H","UseDPDF=Y")</f>
        <v>#NAME?</v>
      </c>
      <c r="AU138" s="1" t="e">
        <f ca="1">_xll.BDH($C$128,"NET_FIXED_ASSETS_5_YEAR_GROWTH","FY 2016","FY 2016","Currency=INR","Period=FY","BEST_FPERIOD_OVERRIDE=FY","FILING_STATUS=OR","EQY_CONSOLIDATED=Y","Sort=A","Dates=H","DateFormat=P","Fill=—","Direction=H","UseDPDF=Y")</f>
        <v>#NAME?</v>
      </c>
      <c r="AV138" s="1" t="e">
        <f ca="1">_xll.BDH($C$128,"GEO_GROW_TOT_ASSET","FY 2016","FY 2016","Currency=INR","Period=FY","BEST_FPERIOD_OVERRIDE=FY","FILING_STATUS=OR","EQY_CONSOLIDATED=Y","Sort=A","Dates=H","DateFormat=P","Fill=—","Direction=H","UseDPDF=Y")</f>
        <v>#NAME?</v>
      </c>
      <c r="AW138" s="1" t="e">
        <f ca="1">_xll.BDH($C$128,"MODIFIED_WORKING_CPTL_5YR_GRWTH","FY 2016","FY 2016","Currency=INR","Period=FY","BEST_FPERIOD_OVERRIDE=FY","FILING_STATUS=OR","EQY_CONSOLIDATED=Y","Sort=A","Dates=H","DateFormat=P","Fill=—","Direction=H","UseDPDF=Y")</f>
        <v>#NAME?</v>
      </c>
      <c r="AX138" s="1" t="e">
        <f ca="1">_xll.BDH($C$128,"WORKING_CAPITAL_5_YEAR_GROWTH","FY 2016","FY 2016","Currency=INR","Period=FY","BEST_FPERIOD_OVERRIDE=FY","FILING_STATUS=OR","EQY_CONSOLIDATED=Y","Sort=A","Dates=H","DateFormat=P","Fill=—","Direction=H","UseDPDF=Y")</f>
        <v>#NAME?</v>
      </c>
      <c r="AY138" s="1" t="e">
        <f ca="1">_xll.BDH($C$128,"ACCOUNTS_PAYABLE_5_YEAR_GROWTH","FY 2016","FY 2016","Currency=INR","Period=FY","BEST_FPERIOD_OVERRIDE=FY","FILING_STATUS=OR","EQY_CONSOLIDATED=Y","Sort=A","Dates=H","DateFormat=P","Fill=—","Direction=H","UseDPDF=Y")</f>
        <v>#NAME?</v>
      </c>
      <c r="AZ138" s="1" t="e">
        <f ca="1">_xll.BDH($C$128,"SHORT_TERM_DEBT_5_YEAR_GROWTH","FY 2016","FY 2016","Currency=INR","Period=FY","BEST_FPERIOD_OVERRIDE=FY","FILING_STATUS=OR","EQY_CONSOLIDATED=Y","Sort=A","Dates=H","DateFormat=P","Fill=—","Direction=H","UseDPDF=Y")</f>
        <v>#NAME?</v>
      </c>
      <c r="BA138" s="1" t="e">
        <f ca="1">_xll.BDH($C$128,"TOTAL_DEBT_5_YEAR_GROWTH","FY 2016","FY 2016","Currency=INR","Period=FY","BEST_FPERIOD_OVERRIDE=FY","FILING_STATUS=OR","EQY_CONSOLIDATED=Y","Sort=A","Dates=H","DateFormat=P","Fill=—","Direction=H","UseDPDF=Y")</f>
        <v>#NAME?</v>
      </c>
      <c r="BB138" s="1" t="e">
        <f ca="1">_xll.BDH($C$128,"GEO_GROW_TOT_SHRHLDR_EQY","FY 2016","FY 2016","Currency=INR","Period=FY","BEST_FPERIOD_OVERRIDE=FY","FILING_STATUS=OR","EQY_CONSOLIDATED=Y","Sort=A","Dates=H","DateFormat=P","Fill=—","Direction=H","UseDPDF=Y")</f>
        <v>#NAME?</v>
      </c>
      <c r="BC138" s="1" t="e">
        <f ca="1">_xll.BDH($C$128,"TOTAL_CAPITAL_5_YEAR_GROWTH","FY 2016","FY 2016","Currency=INR","Period=FY","BEST_FPERIOD_OVERRIDE=FY","FILING_STATUS=OR","EQY_CONSOLIDATED=Y","Sort=A","Dates=H","DateFormat=P","Fill=—","Direction=H","UseDPDF=Y")</f>
        <v>#NAME?</v>
      </c>
      <c r="BD138" s="1" t="e">
        <f ca="1">_xll.BDH($C$128,"GEO_GROW_BOOK_VAL","FY 2016","FY 2016","Currency=INR","Period=FY","BEST_FPERIOD_OVERRIDE=FY","FILING_STATUS=OR","EQY_CONSOLIDATED=Y","Sort=A","Dates=H","DateFormat=P","Fill=—","Direction=H","UseDPDF=Y")</f>
        <v>#NAME?</v>
      </c>
      <c r="BE138" s="1" t="e">
        <f ca="1">_xll.BDH($C$128,"GEO_GROW_CASH_OPER_ACT","FY 2016","FY 2016","Currency=INR","Period=FY","BEST_FPERIOD_OVERRIDE=FY","FILING_STATUS=OR","EQY_CONSOLIDATED=Y","Sort=A","Dates=H","DateFormat=P","Fill=—","Direction=H","UseDPDF=Y")</f>
        <v>#NAME?</v>
      </c>
      <c r="BF138" s="1" t="e">
        <f ca="1">_xll.BDH($C$128,"REVENUE_SEQUENTIAL_GROWTH","FY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38" s="1" t="e">
        <f ca="1">_xll.BDH($C$128,"EBITDA_SEQUENTIAL_GROWTH","FY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38" s="1" t="e">
        <f ca="1">_xll.BDH($C$128,"OPERATING_INCOME_SEQ_GROWTH","FY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38" s="1" t="e">
        <f ca="1">_xll.BDH($C$128,"NET_INCOME_TO_COMMON_SEQ_GROWTH","FY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38" s="1" t="e">
        <f ca="1">_xll.BDH($C$128,"EPS_DILUTED_SEQUENTIAL_GROWTH","FY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38" s="1" t="e">
        <f ca="1">_xll.BDH($C$128,"DPS_SEQUENTIAL_GROWTH","FY 2016","FY 2016","Currency=INR","Period=FY","BEST_FPERIOD_OVERRIDE=FY","FILING_STATUS=OR","EQY_CONSOLIDATED=Y","Sort=A","Dates=H","DateFormat=P","Fill=—","Direction=H","UseDPDF=Y")</f>
        <v>#NAME?</v>
      </c>
      <c r="BL138" s="1" t="e">
        <f ca="1">_xll.BDH($C$128,"ACCOUNTS_RECEIVABLE_SEQ_GROWTH","FY 2016","FY 2016","Currency=INR","Period=FY","BEST_FPERIOD_OVERRIDE=FY","FILING_STATUS=OR","EQY_CONSOLIDATED=Y","Sort=A","Dates=H","DateFormat=P","Fill=—","Direction=H","UseDPDF=Y")</f>
        <v>#NAME?</v>
      </c>
      <c r="BM138" s="1" t="e">
        <f ca="1">_xll.BDH($C$128,"INVENTORY_SEQUENTIAL_GROWTH","FY 2016","FY 2016","Currency=INR","Period=FY","BEST_FPERIOD_OVERRIDE=FY","FILING_STATUS=OR","EQY_CONSOLIDATED=Y","Sort=A","Dates=H","DateFormat=P","Fill=—","Direction=H","UseDPDF=Y")</f>
        <v>#NAME?</v>
      </c>
      <c r="BN138" s="1" t="e">
        <f ca="1">_xll.BDH($C$128,"FIXED_ASSETS_SEQUENTIAL_GROWTH","FY 2016","FY 2016","Currency=INR","Period=FY","BEST_FPERIOD_OVERRIDE=FY","FILING_STATUS=OR","EQY_CONSOLIDATED=Y","Sort=A","Dates=H","DateFormat=P","Fill=—","Direction=H","UseDPDF=Y")</f>
        <v>#NAME?</v>
      </c>
      <c r="BO138" s="1" t="e">
        <f ca="1">_xll.BDH($C$128,"TOTAL_ASSETS_SEQUENTIAL_GROWTH","FY 2016","FY 2016","Currency=INR","Period=FY","BEST_FPERIOD_OVERRIDE=FY","FILING_STATUS=OR","EQY_CONSOLIDATED=Y","Sort=A","Dates=H","DateFormat=P","Fill=—","Direction=H","UseDPDF=Y")</f>
        <v>#NAME?</v>
      </c>
      <c r="BP138" s="1" t="e">
        <f ca="1">_xll.BDH($C$128,"MODIFIED_WORKING_CPTL_SEQ_GRWTH","FY 2016","FY 2016","Currency=INR","Period=FY","BEST_FPERIOD_OVERRIDE=FY","FILING_STATUS=OR","EQY_CONSOLIDATED=Y","Sort=A","Dates=H","DateFormat=P","Fill=—","Direction=H","UseDPDF=Y")</f>
        <v>#NAME?</v>
      </c>
      <c r="BQ138" s="1" t="e">
        <f ca="1">_xll.BDH($C$128,"WORKING_CAPITAL_SEQ_GROWTH","FY 2016","FY 2016","Currency=INR","Period=FY","BEST_FPERIOD_OVERRIDE=FY","FILING_STATUS=OR","EQY_CONSOLIDATED=Y","Sort=A","Dates=H","DateFormat=P","Fill=—","Direction=H","UseDPDF=Y")</f>
        <v>#NAME?</v>
      </c>
      <c r="BR138" s="1" t="e">
        <f ca="1">_xll.BDH($C$128,"ACCOUNTS_PAYABLE_SEQ_GROWTH","FY 2016","FY 2016","Currency=INR","Period=FY","BEST_FPERIOD_OVERRIDE=FY","FILING_STATUS=OR","EQY_CONSOLIDATED=Y","Sort=A","Dates=H","DateFormat=P","Fill=—","Direction=H","UseDPDF=Y")</f>
        <v>#NAME?</v>
      </c>
      <c r="BS138" s="1" t="e">
        <f ca="1">_xll.BDH($C$128,"ST_DEBT_SEQUENTIAL_GROWTH","FY 2016","FY 2016","Currency=INR","Period=FY","BEST_FPERIOD_OVERRIDE=FY","FILING_STATUS=OR","EQY_CONSOLIDATED=Y","Sort=A","Dates=H","DateFormat=P","Fill=—","Direction=H","UseDPDF=Y")</f>
        <v>#NAME?</v>
      </c>
      <c r="BT138" s="1" t="e">
        <f ca="1">_xll.BDH($C$128,"TOTAL_DEBT_SEQUENTIAL_GROWTH","FY 2016","FY 2016","Currency=INR","Period=FY","BEST_FPERIOD_OVERRIDE=FY","FILING_STATUS=OR","EQY_CONSOLIDATED=Y","Sort=A","Dates=H","DateFormat=P","Fill=—","Direction=H","UseDPDF=Y")</f>
        <v>#NAME?</v>
      </c>
      <c r="BU138" s="1" t="e">
        <f ca="1">_xll.BDH($C$128,"TOTAL_EQUITY_SEQUENTIAL_GROWTH","FY 2016","FY 2016","Currency=INR","Period=FY","BEST_FPERIOD_OVERRIDE=FY","FILING_STATUS=OR","EQY_CONSOLIDATED=Y","Sort=A","Dates=H","DateFormat=P","Fill=—","Direction=H","UseDPDF=Y")</f>
        <v>#NAME?</v>
      </c>
      <c r="BV138" s="1" t="e">
        <f ca="1">_xll.BDH($C$128,"TOTAL_CAPITAL_SEQUENTIAL_GROWTH","FY 2016","FY 2016","Currency=INR","Period=FY","BEST_FPERIOD_OVERRIDE=FY","FILING_STATUS=OR","EQY_CONSOLIDATED=Y","Sort=A","Dates=H","DateFormat=P","Fill=—","Direction=H","UseDPDF=Y")</f>
        <v>#NAME?</v>
      </c>
      <c r="BW138" s="1" t="e">
        <f ca="1">_xll.BDH($C$128,"BPS_SEQUENTIAL_GROWTH","FY 2016","FY 2016","Currency=INR","Period=FY","BEST_FPERIOD_OVERRIDE=FY","FILING_STATUS=OR","EQY_CONSOLIDATED=Y","Sort=A","Dates=H","DateFormat=P","Fill=—","Direction=H","UseDPDF=Y")</f>
        <v>#NAME?</v>
      </c>
      <c r="BX138" s="1" t="e">
        <f ca="1">_xll.BDH($C$128,"CFO_SEQUENTIAL_GROWTH","FY 2016","FY 2016","Currency=INR","Period=FY","BEST_FPERIOD_OVERRIDE=FY","FILING_STATUS=OR","EQY_CONSOLIDATED=Y","Sort=A","Dates=H","DateFormat=P","Fill=—","Direction=H","UseDPDF=Y")</f>
        <v>#NAME?</v>
      </c>
      <c r="BY138" s="2" t="e">
        <f ca="1">_xll.BDH($C$128,"SHORT_AND_LONG_TERM_DEBT","FY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38" s="2" t="e">
        <f ca="1">_xll.BDH($C$128,"BS_ST_BORROW","FY 2016","FY 2016","Currency=INR","Period=FY","BEST_FPERIOD_OVERRIDE=FY","FILING_STATUS=OR","EQY_CONSOLIDATED=Y","SCALING_FORMAT=MLN","Sort=A","Dates=H","DateFormat=P","Fill=—","Direction=H","UseDPDF=Y")</f>
        <v>#NAME?</v>
      </c>
      <c r="CA138" s="2" t="e">
        <f ca="1">_xll.BDH($C$128,"BS_LT_BORROW","FY 2016","FY 2016","Currency=INR","Period=FY","BEST_FPERIOD_OVERRIDE=FY","FILING_STATUS=OR","EQY_CONSOLIDATED=Y","SCALING_FORMAT=MLN","Sort=A","Dates=H","DateFormat=P","Fill=—","Direction=H","UseDPDF=Y")</f>
        <v>#NAME?</v>
      </c>
      <c r="CB138" s="1" t="e">
        <f ca="1">_xll.BDH($C$128,"TOT_DEBT_TO_EBITDA","FY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138" s="1" t="e">
        <f ca="1">_xll.BDH($C$128,"NET_DEBT_TO_EBITDA","FY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138" s="1" t="e">
        <f ca="1">_xll.BDH($C$128,"TOTAL_DEBT_TO_EBIT","FY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138" s="1" t="e">
        <f ca="1">_xll.BDH($C$128,"NET_DEBT_TO_EBIT","FY 2016","FY 2016","Currency=INR","Period=FY","BEST_FPERIOD_OVERRIDE=FY","FILING_STATUS=OR","EQY_CONSOLIDATED=Y","FA_ADJUSTED=GAAP","Sort=A","Dates=H","DateFormat=P","Fill=—","Direction=H","UseDPDF=Y")</f>
        <v>#NAME?</v>
      </c>
      <c r="CF138" s="1" t="e">
        <f ca="1">_xll.BDH($C$128,"EBITDA_TO_INTEREST_EXPN","FY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38" s="1" t="e">
        <f ca="1">_xll.BDH($C$128,"COM_EQY_TO_TOT_ASSET","FY 2016","FY 2016","Currency=INR","Period=FY","BEST_FPERIOD_OVERRIDE=FY","FILING_STATUS=OR","EQY_CONSOLIDATED=Y","Sort=A","Dates=H","DateFormat=P","Fill=—","Direction=H","UseDPDF=Y")</f>
        <v>#NAME?</v>
      </c>
      <c r="CH138" s="1" t="e">
        <f ca="1">_xll.BDH($C$128,"LT_DEBT_TO_TOT_EQY","FY 2016","FY 2016","Currency=INR","Period=FY","BEST_FPERIOD_OVERRIDE=FY","FILING_STATUS=OR","EQY_CONSOLIDATED=Y","Sort=A","Dates=H","DateFormat=P","Fill=—","Direction=H","UseDPDF=Y")</f>
        <v>#NAME?</v>
      </c>
      <c r="CI138" s="1" t="e">
        <f ca="1">_xll.BDH($C$128,"LT_DEBT_TO_TOT_CAP","FY 2016","FY 2016","Currency=INR","Period=FY","BEST_FPERIOD_OVERRIDE=FY","FILING_STATUS=OR","EQY_CONSOLIDATED=Y","Sort=A","Dates=H","DateFormat=P","Fill=—","Direction=H","UseDPDF=Y")</f>
        <v>#NAME?</v>
      </c>
      <c r="CJ138" s="1" t="e">
        <f ca="1">_xll.BDH($C$128,"LT_DEBT_TO_TOT_ASSET","FY 2016","FY 2016","Currency=INR","Period=FY","BEST_FPERIOD_OVERRIDE=FY","FILING_STATUS=OR","EQY_CONSOLIDATED=Y","Sort=A","Dates=H","DateFormat=P","Fill=—","Direction=H","UseDPDF=Y")</f>
        <v>#NAME?</v>
      </c>
      <c r="CK138" s="1" t="e">
        <f ca="1">_xll.BDH($C$128,"TOT_DEBT_TO_TOT_EQY","FY 2016","FY 2016","Currency=INR","Period=FY","BEST_FPERIOD_OVERRIDE=FY","FILING_STATUS=OR","EQY_CONSOLIDATED=Y","Sort=A","Dates=H","DateFormat=P","Fill=—","Direction=H","UseDPDF=Y")</f>
        <v>#NAME?</v>
      </c>
      <c r="CL138" s="1" t="e">
        <f ca="1">_xll.BDH($C$128,"TOT_DEBT_TO_TOT_CAP","FY 2016","FY 2016","Currency=INR","Period=FY","BEST_FPERIOD_OVERRIDE=FY","FILING_STATUS=OR","EQY_CONSOLIDATED=Y","Sort=A","Dates=H","DateFormat=P","Fill=—","Direction=H","UseDPDF=Y")</f>
        <v>#NAME?</v>
      </c>
      <c r="CM138" s="1" t="e">
        <f ca="1">_xll.BDH($C$128,"TOT_DEBT_TO_TOT_ASSET","FY 2016","FY 2016","Currency=INR","Period=FY","BEST_FPERIOD_OVERRIDE=FY","FILING_STATUS=OR","EQY_CONSOLIDATED=Y","Sort=A","Dates=H","DateFormat=P","Fill=—","Direction=H","UseDPDF=Y")</f>
        <v>#NAME?</v>
      </c>
      <c r="CN138" s="1" t="e">
        <f ca="1">_xll.BDH($C$128,"NET_DEBT_TO_SHRHLDR_EQTY","FY 2016","FY 2016","Currency=INR","Period=FY","BEST_FPERIOD_OVERRIDE=FY","FILING_STATUS=OR","EQY_CONSOLIDATED=Y","Sort=A","Dates=H","DateFormat=P","Fill=—","Direction=H","UseDPDF=Y")</f>
        <v>#NAME?</v>
      </c>
      <c r="CO138" s="1" t="e">
        <f ca="1">_xll.BDH($C$128,"NET_DEBT_%_CAPITAL","FY 2016","FY 2016","Currency=INR","Period=FY","BEST_FPERIOD_OVERRIDE=FY","FILING_STATUS=OR","EQY_CONSOLIDATED=Y","Sort=A","Dates=H","DateFormat=P","Fill=—","Direction=H","UseDPDF=Y")</f>
        <v>#NAME?</v>
      </c>
      <c r="CP138" s="2" t="e">
        <f ca="1">_xll.BDH($C$128,"EBITDA","FY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38" s="2" t="e">
        <f ca="1">_xll.BDH($C$128,"EBITDA_AFTER_CAPEX","FY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38" s="2" t="e">
        <f ca="1">_xll.BDH($C$128,"IS_OPER_INC","FY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38" s="1" t="e">
        <f ca="1">_xll.BDH($C$128,"CASH_RATIO","FY 2016","FY 2016","Currency=INR","Period=FY","BEST_FPERIOD_OVERRIDE=FY","FILING_STATUS=OR","EQY_CONSOLIDATED=Y","Sort=A","Dates=H","DateFormat=P","Fill=—","Direction=H","UseDPDF=Y")</f>
        <v>#NAME?</v>
      </c>
      <c r="CT138" s="1" t="e">
        <f ca="1">_xll.BDH($C$128,"CUR_RATIO","FY 2016","FY 2016","Currency=INR","Period=FY","BEST_FPERIOD_OVERRIDE=FY","FILING_STATUS=OR","EQY_CONSOLIDATED=Y","Sort=A","Dates=H","DateFormat=P","Fill=—","Direction=H","UseDPDF=Y")</f>
        <v>#NAME?</v>
      </c>
      <c r="CU138" s="1" t="e">
        <f ca="1">_xll.BDH($C$128,"QUICK_RATIO","FY 2016","FY 2016","Currency=INR","Period=FY","BEST_FPERIOD_OVERRIDE=FY","FILING_STATUS=OR","EQY_CONSOLIDATED=Y","Sort=A","Dates=H","DateFormat=P","Fill=—","Direction=H","UseDPDF=Y")</f>
        <v>#NAME?</v>
      </c>
      <c r="CV138" s="1" t="e">
        <f ca="1">_xll.BDH($C$128,"ALTMAN_Z_SCORE","FY 2016","FY 2016","Currency=INR","Period=FY","BEST_FPERIOD_OVERRIDE=FY","FILING_STATUS=OR","EQY_CONSOLIDATED=Y","Sort=A","Dates=H","DateFormat=P","Fill=—","Direction=H","UseDPDF=Y")</f>
        <v>#NAME?</v>
      </c>
      <c r="CW138" s="3" t="e">
        <f ca="1">_xll.BDH($C$128,"ACCT_RCV_TURN","FY 2016","FY 2016","Currency=INR","Period=FY","BEST_FPERIOD_OVERRIDE=FY","FILING_STATUS=OR","EQY_CONSOLIDATED=Y","FA_ADJUSTED=GAAP","Sort=A","Dates=H","DateFormat=P","Fill=—","Direction=H","UseDPDF=Y")</f>
        <v>#NAME?</v>
      </c>
      <c r="CX138" s="1" t="e">
        <f ca="1">_xll.BDH($C$128,"ACCT_RCV_DAYS","FY 2016","FY 2016","Currency=INR","Period=FY","BEST_FPERIOD_OVERRIDE=FY","FILING_STATUS=OR","EQY_CONSOLIDATED=Y","FA_ADJUSTED=GAAP","Sort=A","Dates=H","DateFormat=P","Fill=—","Direction=H","UseDPDF=Y")</f>
        <v>#NAME?</v>
      </c>
      <c r="CY138" s="3" t="e">
        <f ca="1">_xll.BDH($C$128,"INVENT_TURN","FY 2016","FY 2016","Currency=INR","Period=FY","BEST_FPERIOD_OVERRIDE=FY","FILING_STATUS=OR","EQY_CONSOLIDATED=Y","FA_ADJUSTED=GAAP","Sort=A","Dates=H","DateFormat=P","Fill=—","Direction=H","UseDPDF=Y")</f>
        <v>#NAME?</v>
      </c>
      <c r="CZ138" s="1" t="e">
        <f ca="1">_xll.BDH($C$128,"INVENT_DAYS","FY 2016","FY 2016","Currency=INR","Period=FY","BEST_FPERIOD_OVERRIDE=FY","FILING_STATUS=OR","EQY_CONSOLIDATED=Y","FA_ADJUSTED=GAAP","Sort=A","Dates=H","DateFormat=P","Fill=—","Direction=H","UseDPDF=Y")</f>
        <v>#NAME?</v>
      </c>
      <c r="DA138" s="3" t="e">
        <f ca="1">_xll.BDH($C$128,"ACCOUNTS_PAYABLE_TURNOVER","FY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38" s="1" t="e">
        <f ca="1">_xll.BDH($C$128,"ACCOUNTS_PAYABLE_TURNOVER_DAYS","FY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38" s="3" t="e">
        <f ca="1">_xll.BDH($C$128,"CASH_CONVERSION_CYCLE","FY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38" s="3" t="e">
        <f ca="1">_xll.BDH($C$128,"INV_TO_CASH_DAYS","FY 2016","FY 2016","Currency=INR","Period=FY","BEST_FPERIOD_OVERRIDE=FY","FILING_STATUS=OR","EQY_CONSOLIDATED=Y","FA_ADJUSTED=GAAP","Sort=A","Dates=H","DateFormat=P","Fill=—","Direction=H","UseDPDF=Y")</f>
        <v>#NAME?</v>
      </c>
      <c r="DE138" s="4" t="e">
        <f ca="1">_xll.BDH($C$128,"BS_INVENTORIES","FY 2016","FY 2016","Currency=INR","Period=FY","BEST_FPERIOD_OVERRIDE=FY","FILING_STATUS=OR","EQY_CONSOLIDATED=Y","SCALING_FORMAT=MLN","Sort=A","Dates=H","DateFormat=P","Fill=—","Direction=H","UseDPDF=Y")</f>
        <v>#NAME?</v>
      </c>
      <c r="DF138" s="2" t="e">
        <f ca="1">_xll.BDH($C$128,"INVTRY_RAW_MATERIALS","FY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38" s="2" t="e">
        <f ca="1">_xll.BDH($C$128,"INVTRY_IN_PROGRESS","FY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38" s="2" t="e">
        <f ca="1">_xll.BDH($C$128,"INVTRY_FINISHED_GOODS","FY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38" s="2" t="e">
        <f ca="1">_xll.BDH($C$128,"BS_OTHER_INV","FY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39" spans="1:113" x14ac:dyDescent="0.3">
      <c r="A139" s="6"/>
      <c r="B139" s="6"/>
      <c r="C139" s="6"/>
      <c r="D139" s="6"/>
      <c r="E139" t="s">
        <v>4</v>
      </c>
      <c r="F139" t="e">
        <f ca="1">_xll.BDH($C$128,"RETURN_COM_EQY","FQ1 2016","FQ1 2016","Currency=INR","Period=FQ","BEST_FPERIOD_OVERRIDE=FQ","FILING_STATUS=OR","EQY_CONSOLIDATED=Y","FA_ADJUSTED=GAAP","Sort=A","Dates=H","DateFormat=P","Fill=—","Direction=H","UseDPDF=Y")</f>
        <v>#NAME?</v>
      </c>
      <c r="G139" t="e">
        <f ca="1">_xll.BDH($C$128,"RETURN_ON_ASSET","FQ1 2016","FQ1 2016","Currency=INR","Period=FQ","BEST_FPERIOD_OVERRIDE=FQ","FILING_STATUS=OR","EQY_CONSOLIDATED=Y","FA_ADJUSTED=GAAP","Sort=A","Dates=H","DateFormat=P","Fill=—","Direction=H","UseDPDF=Y")</f>
        <v>#NAME?</v>
      </c>
      <c r="H139" t="e">
        <f ca="1">_xll.BDH($C$128,"RETURN_ON_CAP","FQ1 2016","FQ1 2016","Currency=INR","Period=FQ","BEST_FPERIOD_OVERRIDE=FQ","FILING_STATUS=OR","EQY_CONSOLIDATED=Y","FA_ADJUSTED=GAAP","Sort=A","Dates=H","DateFormat=P","Fill=—","Direction=H","UseDPDF=Y")</f>
        <v>#NAME?</v>
      </c>
      <c r="I139" t="e">
        <f ca="1">_xll.BDH($C$128,"RETURN_ON_INV_CAPITAL","FQ1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39" t="e">
        <f ca="1">_xll.BDH($C$128,"EBITDA_TO_REVENUE","FQ1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139" t="e">
        <f ca="1">_xll.BDH($C$128,"OPER_MARGIN","FQ1 2016","FQ1 2016","Currency=INR","Period=FQ","BEST_FPERIOD_OVERRIDE=FQ","FILING_STATUS=OR","EQY_CONSOLIDATED=Y","FA_ADJUSTED=GAAP","Sort=A","Dates=H","DateFormat=P","Fill=—","Direction=H","UseDPDF=Y")</f>
        <v>#NAME?</v>
      </c>
      <c r="L139" t="e">
        <f ca="1">_xll.BDH($C$128,"INCREMENTAL_OPERATING_MARGIN","FQ1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39" t="e">
        <f ca="1">_xll.BDH($C$128,"PRETAX_INC_TO_NET_SALES","FQ1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39" t="e">
        <f ca="1">_xll.BDH($C$128,"INC_BEF_XO_ITEMS_TO_NET_SALES","FQ1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39" t="e">
        <f ca="1">_xll.BDH($C$128,"PROF_MARGIN","FQ1 2016","FQ1 2016","Currency=INR","Period=FQ","BEST_FPERIOD_OVERRIDE=FQ","FILING_STATUS=OR","EQY_CONSOLIDATED=Y","FA_ADJUSTED=GAAP","Sort=A","Dates=H","DateFormat=P","Fill=—","Direction=H","UseDPDF=Y")</f>
        <v>#NAME?</v>
      </c>
      <c r="P139" t="e">
        <f ca="1">_xll.BDH($C$128,"NET_INCOME_TO_COMMON_MARGIN","FQ1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39" t="e">
        <f ca="1">_xll.BDH($C$128,"EFF_TAX_RATE","FQ1 2016","FQ1 2016","Currency=INR","Period=FQ","BEST_FPERIOD_OVERRIDE=FQ","FILING_STATUS=OR","EQY_CONSOLIDATED=Y","FA_ADJUSTED=GAAP","Sort=A","Dates=H","DateFormat=P","Fill=—","Direction=H","UseDPDF=Y")</f>
        <v>#NAME?</v>
      </c>
      <c r="R139" t="e">
        <f ca="1">_xll.BDH($C$128,"DVD_PAYOUT_RATIO","FQ1 2016","FQ1 2016","Currency=INR","Period=FQ","BEST_FPERIOD_OVERRIDE=FQ","FILING_STATUS=OR","EQY_CONSOLIDATED=Y","FA_ADJUSTED=GAAP","Sort=A","Dates=H","DateFormat=P","Fill=—","Direction=H","UseDPDF=Y")</f>
        <v>#NAME?</v>
      </c>
      <c r="S139" t="e">
        <f ca="1">_xll.BDH($C$128,"SUSTAIN_GROWTH_RT","FQ1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139" s="1" t="e">
        <f ca="1">_xll.BDH($C$128,"SALES_GROWTH","FQ1 2016","FQ1 2016","Currency=INR","Period=FQ","BEST_FPERIOD_OVERRIDE=FQ","FILING_STATUS=OR","EQY_CONSOLIDATED=Y","FA_ADJUSTED=GAAP","Sort=A","Dates=H","DateFormat=P","Fill=—","Direction=H","UseDPDF=Y")</f>
        <v>#NAME?</v>
      </c>
      <c r="U139" s="1" t="e">
        <f ca="1">_xll.BDH($C$128,"EBITDA_GROWTH","FQ1 2016","FQ1 2016","Currency=INR","Period=FQ","BEST_FPERIOD_OVERRIDE=FQ","FILING_STATUS=OR","EQY_CONSOLIDATED=Y","FA_ADJUSTED=GAAP","Sort=A","Dates=H","DateFormat=P","Fill=—","Direction=H","UseDPDF=Y")</f>
        <v>#NAME?</v>
      </c>
      <c r="V139" s="1" t="e">
        <f ca="1">_xll.BDH($C$128,"OPER_INC_GROWTH","FQ1 2016","FQ1 2016","Currency=INR","Period=FQ","BEST_FPERIOD_OVERRIDE=FQ","FILING_STATUS=OR","EQY_CONSOLIDATED=Y","FA_ADJUSTED=GAAP","Sort=A","Dates=H","DateFormat=P","Fill=—","Direction=H","UseDPDF=Y")</f>
        <v>#NAME?</v>
      </c>
      <c r="W139" s="1" t="e">
        <f ca="1">_xll.BDH($C$128,"EARN_FOR_COM_GROWTH","FQ1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39" s="1" t="e">
        <f ca="1">_xll.BDH($C$128,"DILUTED_EPS_AFT_XO_ITEMS_GROWTH","FQ1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39" s="1" t="e">
        <f ca="1">_xll.BDH($C$128,"DIVIDEND_PER_SHARE_1_YEAR_GROWTH","FQ1 2016","FQ1 2016","Currency=INR","Period=FQ","BEST_FPERIOD_OVERRIDE=FQ","FILING_STATUS=OR","EQY_CONSOLIDATED=Y","Sort=A","Dates=H","DateFormat=P","Fill=—","Direction=H","UseDPDF=Y")</f>
        <v>#NAME?</v>
      </c>
      <c r="Z139" s="1" t="e">
        <f ca="1">_xll.BDH($C$128,"ACCOUNTS_RECEIVABLE_GROWTH","FQ1 2016","FQ1 2016","Currency=INR","Period=FQ","BEST_FPERIOD_OVERRIDE=FQ","FILING_STATUS=OR","EQY_CONSOLIDATED=Y","Sort=A","Dates=H","DateFormat=P","Fill=—","Direction=H","UseDPDF=Y")</f>
        <v>#NAME?</v>
      </c>
      <c r="AA139" s="1" t="e">
        <f ca="1">_xll.BDH($C$128,"INVENTORY_GROWTH","FQ1 2016","FQ1 2016","Currency=INR","Period=FQ","BEST_FPERIOD_OVERRIDE=FQ","FILING_STATUS=OR","EQY_CONSOLIDATED=Y","Sort=A","Dates=H","DateFormat=P","Fill=—","Direction=H","UseDPDF=Y")</f>
        <v>#NAME?</v>
      </c>
      <c r="AB139" s="1" t="e">
        <f ca="1">_xll.BDH($C$128,"NET_FIXED_ASSETS_1_YEAR_GROWTH","FQ1 2016","FQ1 2016","Currency=INR","Period=FQ","BEST_FPERIOD_OVERRIDE=FQ","FILING_STATUS=OR","EQY_CONSOLIDATED=Y","Sort=A","Dates=H","DateFormat=P","Fill=—","Direction=H","UseDPDF=Y")</f>
        <v>#NAME?</v>
      </c>
      <c r="AC139" s="1" t="e">
        <f ca="1">_xll.BDH($C$128,"ASSET_GROWTH","FQ1 2016","FQ1 2016","Currency=INR","Period=FQ","BEST_FPERIOD_OVERRIDE=FQ","FILING_STATUS=OR","EQY_CONSOLIDATED=Y","Sort=A","Dates=H","DateFormat=P","Fill=—","Direction=H","UseDPDF=Y")</f>
        <v>#NAME?</v>
      </c>
      <c r="AD139" s="1" t="e">
        <f ca="1">_xll.BDH($C$128,"MODIFIED_WORK_CAP_GROWTH","FQ1 2016","FQ1 2016","Currency=INR","Period=FQ","BEST_FPERIOD_OVERRIDE=FQ","FILING_STATUS=OR","EQY_CONSOLIDATED=Y","Sort=A","Dates=H","DateFormat=P","Fill=—","Direction=H","UseDPDF=Y")</f>
        <v>#NAME?</v>
      </c>
      <c r="AE139" s="1" t="e">
        <f ca="1">_xll.BDH($C$128,"WORK_CAP_GROWTH","FQ1 2016","FQ1 2016","Currency=INR","Period=FQ","BEST_FPERIOD_OVERRIDE=FQ","FILING_STATUS=OR","EQY_CONSOLIDATED=Y","Sort=A","Dates=H","DateFormat=P","Fill=—","Direction=H","UseDPDF=Y")</f>
        <v>#NAME?</v>
      </c>
      <c r="AF139" s="1" t="e">
        <f ca="1">_xll.BDH($C$128,"ACCOUNTS_PAYABLE_GROWTH_1YR","FQ1 2016","FQ1 2016","Currency=INR","Period=FQ","BEST_FPERIOD_OVERRIDE=FQ","FILING_STATUS=OR","EQY_CONSOLIDATED=Y","Sort=A","Dates=H","DateFormat=P","Fill=—","Direction=H","UseDPDF=Y")</f>
        <v>#NAME?</v>
      </c>
      <c r="AG139" s="1" t="e">
        <f ca="1">_xll.BDH($C$128,"SHORT_TERM_DEBT_1_YEAR_GROWTH","FQ1 2016","FQ1 2016","Currency=INR","Period=FQ","BEST_FPERIOD_OVERRIDE=FQ","FILING_STATUS=OR","EQY_CONSOLIDATED=Y","Sort=A","Dates=H","DateFormat=P","Fill=—","Direction=H","UseDPDF=Y")</f>
        <v>#NAME?</v>
      </c>
      <c r="AH139" s="1" t="e">
        <f ca="1">_xll.BDH($C$128,"TOTAL_DEBT_1_YEAR_GROWTH","FQ1 2016","FQ1 2016","Currency=INR","Period=FQ","BEST_FPERIOD_OVERRIDE=FQ","FILING_STATUS=OR","EQY_CONSOLIDATED=Y","Sort=A","Dates=H","DateFormat=P","Fill=—","Direction=H","UseDPDF=Y")</f>
        <v>#NAME?</v>
      </c>
      <c r="AI139" s="1" t="e">
        <f ca="1">_xll.BDH($C$128,"TOTAL_EQUITY_1_YEAR_GROWTH","FQ1 2016","FQ1 2016","Currency=INR","Period=FQ","BEST_FPERIOD_OVERRIDE=FQ","FILING_STATUS=OR","EQY_CONSOLIDATED=Y","Sort=A","Dates=H","DateFormat=P","Fill=—","Direction=H","UseDPDF=Y")</f>
        <v>#NAME?</v>
      </c>
      <c r="AJ139" s="1" t="e">
        <f ca="1">_xll.BDH($C$128,"GROWTH_IN_CAP","FQ1 2016","FQ1 2016","Currency=INR","Period=FQ","BEST_FPERIOD_OVERRIDE=FQ","FILING_STATUS=OR","EQY_CONSOLIDATED=Y","Sort=A","Dates=H","DateFormat=P","Fill=—","Direction=H","UseDPDF=Y")</f>
        <v>#NAME?</v>
      </c>
      <c r="AK139" s="1" t="e">
        <f ca="1">_xll.BDH($C$128,"BVPS_GROWTH","FQ1 2016","FQ1 2016","Currency=INR","Period=FQ","BEST_FPERIOD_OVERRIDE=FQ","FILING_STATUS=OR","EQY_CONSOLIDATED=Y","Sort=A","Dates=H","DateFormat=P","Fill=—","Direction=H","UseDPDF=Y")</f>
        <v>#NAME?</v>
      </c>
      <c r="AL139" s="1" t="e">
        <f ca="1">_xll.BDH($C$128,"CASH_FLOW_GROWTH","FQ1 2016","FQ1 2016","Currency=INR","Period=FQ","BEST_FPERIOD_OVERRIDE=FQ","FILING_STATUS=OR","EQY_CONSOLIDATED=Y","Sort=A","Dates=H","DateFormat=P","Fill=—","Direction=H","UseDPDF=Y")</f>
        <v>#NAME?</v>
      </c>
      <c r="AM139" s="1" t="e">
        <f ca="1">_xll.BDH($C$128,"GEO_GROW_NET_SALES","FQ1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39" s="1" t="e">
        <f ca="1">_xll.BDH($C$128,"GEO_GROW_EBITDA","FQ1 2016","FQ1 2016","Currency=INR","Period=FQ","BEST_FPERIOD_OVERRIDE=FQ","FILING_STATUS=OR","EQY_CONSOLIDATED=Y","FA_ADJUSTED=GAAP","Sort=A","Dates=H","DateFormat=P","Fill=—","Direction=H","UseDPDF=Y")</f>
        <v>#NAME?</v>
      </c>
      <c r="AO139" s="1" t="e">
        <f ca="1">_xll.BDH($C$128,"GEO_GROW_OPER_INC","FQ1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39" s="1" t="e">
        <f ca="1">_xll.BDH($C$128,"NET_INCOME_TO_COMMON_5_YR_GROWTH","FQ1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39" s="1" t="e">
        <f ca="1">_xll.BDH($C$128,"5Y_GEO_GROWTH_DILUTED_EPS","FQ1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39" s="1" t="e">
        <f ca="1">_xll.BDH($C$128,"GEO_GROW_DVD_PER_SH","FQ1 2016","FQ1 2016","Currency=INR","Period=FQ","BEST_FPERIOD_OVERRIDE=FQ","FILING_STATUS=OR","EQY_CONSOLIDATED=Y","Sort=A","Dates=H","DateFormat=P","Fill=—","Direction=H","UseDPDF=Y")</f>
        <v>#NAME?</v>
      </c>
      <c r="AS139" s="1" t="e">
        <f ca="1">_xll.BDH($C$128,"ACCOUNTS_RECEIVABLE_5_YR_GROWTH","FQ1 2016","FQ1 2016","Currency=INR","Period=FQ","BEST_FPERIOD_OVERRIDE=FQ","FILING_STATUS=OR","EQY_CONSOLIDATED=Y","Sort=A","Dates=H","DateFormat=P","Fill=—","Direction=H","UseDPDF=Y")</f>
        <v>#NAME?</v>
      </c>
      <c r="AT139" s="1" t="e">
        <f ca="1">_xll.BDH($C$128,"INVENTORY_5_YEAR_GROWTH","FQ1 2016","FQ1 2016","Currency=INR","Period=FQ","BEST_FPERIOD_OVERRIDE=FQ","FILING_STATUS=OR","EQY_CONSOLIDATED=Y","Sort=A","Dates=H","DateFormat=P","Fill=—","Direction=H","UseDPDF=Y")</f>
        <v>#NAME?</v>
      </c>
      <c r="AU139" s="1" t="e">
        <f ca="1">_xll.BDH($C$128,"NET_FIXED_ASSETS_5_YEAR_GROWTH","FQ1 2016","FQ1 2016","Currency=INR","Period=FQ","BEST_FPERIOD_OVERRIDE=FQ","FILING_STATUS=OR","EQY_CONSOLIDATED=Y","Sort=A","Dates=H","DateFormat=P","Fill=—","Direction=H","UseDPDF=Y")</f>
        <v>#NAME?</v>
      </c>
      <c r="AV139" s="1" t="e">
        <f ca="1">_xll.BDH($C$128,"GEO_GROW_TOT_ASSET","FQ1 2016","FQ1 2016","Currency=INR","Period=FQ","BEST_FPERIOD_OVERRIDE=FQ","FILING_STATUS=OR","EQY_CONSOLIDATED=Y","Sort=A","Dates=H","DateFormat=P","Fill=—","Direction=H","UseDPDF=Y")</f>
        <v>#NAME?</v>
      </c>
      <c r="AW139" s="1" t="e">
        <f ca="1">_xll.BDH($C$128,"MODIFIED_WORKING_CPTL_5YR_GRWTH","FQ1 2016","FQ1 2016","Currency=INR","Period=FQ","BEST_FPERIOD_OVERRIDE=FQ","FILING_STATUS=OR","EQY_CONSOLIDATED=Y","Sort=A","Dates=H","DateFormat=P","Fill=—","Direction=H","UseDPDF=Y")</f>
        <v>#NAME?</v>
      </c>
      <c r="AX139" s="1" t="e">
        <f ca="1">_xll.BDH($C$128,"WORKING_CAPITAL_5_YEAR_GROWTH","FQ1 2016","FQ1 2016","Currency=INR","Period=FQ","BEST_FPERIOD_OVERRIDE=FQ","FILING_STATUS=OR","EQY_CONSOLIDATED=Y","Sort=A","Dates=H","DateFormat=P","Fill=—","Direction=H","UseDPDF=Y")</f>
        <v>#NAME?</v>
      </c>
      <c r="AY139" s="1" t="e">
        <f ca="1">_xll.BDH($C$128,"ACCOUNTS_PAYABLE_5_YEAR_GROWTH","FQ1 2016","FQ1 2016","Currency=INR","Period=FQ","BEST_FPERIOD_OVERRIDE=FQ","FILING_STATUS=OR","EQY_CONSOLIDATED=Y","Sort=A","Dates=H","DateFormat=P","Fill=—","Direction=H","UseDPDF=Y")</f>
        <v>#NAME?</v>
      </c>
      <c r="AZ139" s="1" t="e">
        <f ca="1">_xll.BDH($C$128,"SHORT_TERM_DEBT_5_YEAR_GROWTH","FQ1 2016","FQ1 2016","Currency=INR","Period=FQ","BEST_FPERIOD_OVERRIDE=FQ","FILING_STATUS=OR","EQY_CONSOLIDATED=Y","Sort=A","Dates=H","DateFormat=P","Fill=—","Direction=H","UseDPDF=Y")</f>
        <v>#NAME?</v>
      </c>
      <c r="BA139" s="1" t="e">
        <f ca="1">_xll.BDH($C$128,"TOTAL_DEBT_5_YEAR_GROWTH","FQ1 2016","FQ1 2016","Currency=INR","Period=FQ","BEST_FPERIOD_OVERRIDE=FQ","FILING_STATUS=OR","EQY_CONSOLIDATED=Y","Sort=A","Dates=H","DateFormat=P","Fill=—","Direction=H","UseDPDF=Y")</f>
        <v>#NAME?</v>
      </c>
      <c r="BB139" s="1" t="e">
        <f ca="1">_xll.BDH($C$128,"GEO_GROW_TOT_SHRHLDR_EQY","FQ1 2016","FQ1 2016","Currency=INR","Period=FQ","BEST_FPERIOD_OVERRIDE=FQ","FILING_STATUS=OR","EQY_CONSOLIDATED=Y","Sort=A","Dates=H","DateFormat=P","Fill=—","Direction=H","UseDPDF=Y")</f>
        <v>#NAME?</v>
      </c>
      <c r="BC139" s="1" t="e">
        <f ca="1">_xll.BDH($C$128,"TOTAL_CAPITAL_5_YEAR_GROWTH","FQ1 2016","FQ1 2016","Currency=INR","Period=FQ","BEST_FPERIOD_OVERRIDE=FQ","FILING_STATUS=OR","EQY_CONSOLIDATED=Y","Sort=A","Dates=H","DateFormat=P","Fill=—","Direction=H","UseDPDF=Y")</f>
        <v>#NAME?</v>
      </c>
      <c r="BD139" s="1" t="e">
        <f ca="1">_xll.BDH($C$128,"GEO_GROW_BOOK_VAL","FQ1 2016","FQ1 2016","Currency=INR","Period=FQ","BEST_FPERIOD_OVERRIDE=FQ","FILING_STATUS=OR","EQY_CONSOLIDATED=Y","Sort=A","Dates=H","DateFormat=P","Fill=—","Direction=H","UseDPDF=Y")</f>
        <v>#NAME?</v>
      </c>
      <c r="BE139" s="1" t="e">
        <f ca="1">_xll.BDH($C$128,"GEO_GROW_CASH_OPER_ACT","FQ1 2016","FQ1 2016","Currency=INR","Period=FQ","BEST_FPERIOD_OVERRIDE=FQ","FILING_STATUS=OR","EQY_CONSOLIDATED=Y","Sort=A","Dates=H","DateFormat=P","Fill=—","Direction=H","UseDPDF=Y")</f>
        <v>#NAME?</v>
      </c>
      <c r="BF139" s="1" t="e">
        <f ca="1">_xll.BDH($C$128,"REVENUE_SEQUENTIAL_GROWTH","FQ1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39" s="1" t="e">
        <f ca="1">_xll.BDH($C$128,"EBITDA_SEQUENTIAL_GROWTH","FQ1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39" s="1" t="e">
        <f ca="1">_xll.BDH($C$128,"OPERATING_INCOME_SEQ_GROWTH","FQ1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39" s="1" t="e">
        <f ca="1">_xll.BDH($C$128,"NET_INCOME_TO_COMMON_SEQ_GROWTH","FQ1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39" s="1" t="e">
        <f ca="1">_xll.BDH($C$128,"EPS_DILUTED_SEQUENTIAL_GROWTH","FQ1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39" s="1" t="e">
        <f ca="1">_xll.BDH($C$128,"DPS_SEQUENTIAL_GROWTH","FQ1 2016","FQ1 2016","Currency=INR","Period=FQ","BEST_FPERIOD_OVERRIDE=FQ","FILING_STATUS=OR","EQY_CONSOLIDATED=Y","Sort=A","Dates=H","DateFormat=P","Fill=—","Direction=H","UseDPDF=Y")</f>
        <v>#NAME?</v>
      </c>
      <c r="BL139" s="1" t="e">
        <f ca="1">_xll.BDH($C$128,"ACCOUNTS_RECEIVABLE_SEQ_GROWTH","FQ1 2016","FQ1 2016","Currency=INR","Period=FQ","BEST_FPERIOD_OVERRIDE=FQ","FILING_STATUS=OR","EQY_CONSOLIDATED=Y","Sort=A","Dates=H","DateFormat=P","Fill=—","Direction=H","UseDPDF=Y")</f>
        <v>#NAME?</v>
      </c>
      <c r="BM139" s="1" t="e">
        <f ca="1">_xll.BDH($C$128,"INVENTORY_SEQUENTIAL_GROWTH","FQ1 2016","FQ1 2016","Currency=INR","Period=FQ","BEST_FPERIOD_OVERRIDE=FQ","FILING_STATUS=OR","EQY_CONSOLIDATED=Y","Sort=A","Dates=H","DateFormat=P","Fill=—","Direction=H","UseDPDF=Y")</f>
        <v>#NAME?</v>
      </c>
      <c r="BN139" s="1" t="e">
        <f ca="1">_xll.BDH($C$128,"FIXED_ASSETS_SEQUENTIAL_GROWTH","FQ1 2016","FQ1 2016","Currency=INR","Period=FQ","BEST_FPERIOD_OVERRIDE=FQ","FILING_STATUS=OR","EQY_CONSOLIDATED=Y","Sort=A","Dates=H","DateFormat=P","Fill=—","Direction=H","UseDPDF=Y")</f>
        <v>#NAME?</v>
      </c>
      <c r="BO139" s="1" t="e">
        <f ca="1">_xll.BDH($C$128,"TOTAL_ASSETS_SEQUENTIAL_GROWTH","FQ1 2016","FQ1 2016","Currency=INR","Period=FQ","BEST_FPERIOD_OVERRIDE=FQ","FILING_STATUS=OR","EQY_CONSOLIDATED=Y","Sort=A","Dates=H","DateFormat=P","Fill=—","Direction=H","UseDPDF=Y")</f>
        <v>#NAME?</v>
      </c>
      <c r="BP139" s="1" t="e">
        <f ca="1">_xll.BDH($C$128,"MODIFIED_WORKING_CPTL_SEQ_GRWTH","FQ1 2016","FQ1 2016","Currency=INR","Period=FQ","BEST_FPERIOD_OVERRIDE=FQ","FILING_STATUS=OR","EQY_CONSOLIDATED=Y","Sort=A","Dates=H","DateFormat=P","Fill=—","Direction=H","UseDPDF=Y")</f>
        <v>#NAME?</v>
      </c>
      <c r="BQ139" s="1" t="e">
        <f ca="1">_xll.BDH($C$128,"WORKING_CAPITAL_SEQ_GROWTH","FQ1 2016","FQ1 2016","Currency=INR","Period=FQ","BEST_FPERIOD_OVERRIDE=FQ","FILING_STATUS=OR","EQY_CONSOLIDATED=Y","Sort=A","Dates=H","DateFormat=P","Fill=—","Direction=H","UseDPDF=Y")</f>
        <v>#NAME?</v>
      </c>
      <c r="BR139" s="1" t="e">
        <f ca="1">_xll.BDH($C$128,"ACCOUNTS_PAYABLE_SEQ_GROWTH","FQ1 2016","FQ1 2016","Currency=INR","Period=FQ","BEST_FPERIOD_OVERRIDE=FQ","FILING_STATUS=OR","EQY_CONSOLIDATED=Y","Sort=A","Dates=H","DateFormat=P","Fill=—","Direction=H","UseDPDF=Y")</f>
        <v>#NAME?</v>
      </c>
      <c r="BS139" s="1" t="e">
        <f ca="1">_xll.BDH($C$128,"ST_DEBT_SEQUENTIAL_GROWTH","FQ1 2016","FQ1 2016","Currency=INR","Period=FQ","BEST_FPERIOD_OVERRIDE=FQ","FILING_STATUS=OR","EQY_CONSOLIDATED=Y","Sort=A","Dates=H","DateFormat=P","Fill=—","Direction=H","UseDPDF=Y")</f>
        <v>#NAME?</v>
      </c>
      <c r="BT139" s="1" t="e">
        <f ca="1">_xll.BDH($C$128,"TOTAL_DEBT_SEQUENTIAL_GROWTH","FQ1 2016","FQ1 2016","Currency=INR","Period=FQ","BEST_FPERIOD_OVERRIDE=FQ","FILING_STATUS=OR","EQY_CONSOLIDATED=Y","Sort=A","Dates=H","DateFormat=P","Fill=—","Direction=H","UseDPDF=Y")</f>
        <v>#NAME?</v>
      </c>
      <c r="BU139" s="1" t="e">
        <f ca="1">_xll.BDH($C$128,"TOTAL_EQUITY_SEQUENTIAL_GROWTH","FQ1 2016","FQ1 2016","Currency=INR","Period=FQ","BEST_FPERIOD_OVERRIDE=FQ","FILING_STATUS=OR","EQY_CONSOLIDATED=Y","Sort=A","Dates=H","DateFormat=P","Fill=—","Direction=H","UseDPDF=Y")</f>
        <v>#NAME?</v>
      </c>
      <c r="BV139" s="1" t="e">
        <f ca="1">_xll.BDH($C$128,"TOTAL_CAPITAL_SEQUENTIAL_GROWTH","FQ1 2016","FQ1 2016","Currency=INR","Period=FQ","BEST_FPERIOD_OVERRIDE=FQ","FILING_STATUS=OR","EQY_CONSOLIDATED=Y","Sort=A","Dates=H","DateFormat=P","Fill=—","Direction=H","UseDPDF=Y")</f>
        <v>#NAME?</v>
      </c>
      <c r="BW139" s="1" t="e">
        <f ca="1">_xll.BDH($C$128,"BPS_SEQUENTIAL_GROWTH","FQ1 2016","FQ1 2016","Currency=INR","Period=FQ","BEST_FPERIOD_OVERRIDE=FQ","FILING_STATUS=OR","EQY_CONSOLIDATED=Y","Sort=A","Dates=H","DateFormat=P","Fill=—","Direction=H","UseDPDF=Y")</f>
        <v>#NAME?</v>
      </c>
      <c r="BX139" s="1" t="e">
        <f ca="1">_xll.BDH($C$128,"CFO_SEQUENTIAL_GROWTH","FQ1 2016","FQ1 2016","Currency=INR","Period=FQ","BEST_FPERIOD_OVERRIDE=FQ","FILING_STATUS=OR","EQY_CONSOLIDATED=Y","Sort=A","Dates=H","DateFormat=P","Fill=—","Direction=H","UseDPDF=Y")</f>
        <v>#NAME?</v>
      </c>
      <c r="BY139" s="2" t="e">
        <f ca="1">_xll.BDH($C$128,"SHORT_AND_LONG_TERM_DEBT","FQ1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39" s="2" t="e">
        <f ca="1">_xll.BDH($C$128,"BS_ST_BORROW","FQ1 2016","FQ1 2016","Currency=INR","Period=FQ","BEST_FPERIOD_OVERRIDE=FQ","FILING_STATUS=OR","EQY_CONSOLIDATED=Y","SCALING_FORMAT=MLN","Sort=A","Dates=H","DateFormat=P","Fill=—","Direction=H","UseDPDF=Y")</f>
        <v>#NAME?</v>
      </c>
      <c r="CA139" s="2" t="e">
        <f ca="1">_xll.BDH($C$128,"BS_LT_BORROW","FQ1 2016","FQ1 2016","Currency=INR","Period=FQ","BEST_FPERIOD_OVERRIDE=FQ","FILING_STATUS=OR","EQY_CONSOLIDATED=Y","SCALING_FORMAT=MLN","Sort=A","Dates=H","DateFormat=P","Fill=—","Direction=H","UseDPDF=Y")</f>
        <v>#NAME?</v>
      </c>
      <c r="CB139" s="1" t="e">
        <f ca="1">_xll.BDH($C$128,"TOT_DEBT_TO_EBITDA","FQ1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39" s="1" t="e">
        <f ca="1">_xll.BDH($C$128,"NET_DEBT_TO_EBITDA","FQ1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39" s="1" t="e">
        <f ca="1">_xll.BDH($C$128,"TOTAL_DEBT_TO_EBIT","FQ1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39" s="1" t="e">
        <f ca="1">_xll.BDH($C$128,"NET_DEBT_TO_EBIT","FQ1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139" s="1" t="e">
        <f ca="1">_xll.BDH($C$128,"EBITDA_TO_INTEREST_EXPN","FQ1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39" s="1" t="e">
        <f ca="1">_xll.BDH($C$128,"COM_EQY_TO_TOT_ASSET","FQ1 2016","FQ1 2016","Currency=INR","Period=FQ","BEST_FPERIOD_OVERRIDE=FQ","FILING_STATUS=OR","EQY_CONSOLIDATED=Y","Sort=A","Dates=H","DateFormat=P","Fill=—","Direction=H","UseDPDF=Y")</f>
        <v>#NAME?</v>
      </c>
      <c r="CH139" s="1" t="e">
        <f ca="1">_xll.BDH($C$128,"LT_DEBT_TO_TOT_EQY","FQ1 2016","FQ1 2016","Currency=INR","Period=FQ","BEST_FPERIOD_OVERRIDE=FQ","FILING_STATUS=OR","EQY_CONSOLIDATED=Y","Sort=A","Dates=H","DateFormat=P","Fill=—","Direction=H","UseDPDF=Y")</f>
        <v>#NAME?</v>
      </c>
      <c r="CI139" s="1" t="e">
        <f ca="1">_xll.BDH($C$128,"LT_DEBT_TO_TOT_CAP","FQ1 2016","FQ1 2016","Currency=INR","Period=FQ","BEST_FPERIOD_OVERRIDE=FQ","FILING_STATUS=OR","EQY_CONSOLIDATED=Y","Sort=A","Dates=H","DateFormat=P","Fill=—","Direction=H","UseDPDF=Y")</f>
        <v>#NAME?</v>
      </c>
      <c r="CJ139" s="1" t="e">
        <f ca="1">_xll.BDH($C$128,"LT_DEBT_TO_TOT_ASSET","FQ1 2016","FQ1 2016","Currency=INR","Period=FQ","BEST_FPERIOD_OVERRIDE=FQ","FILING_STATUS=OR","EQY_CONSOLIDATED=Y","Sort=A","Dates=H","DateFormat=P","Fill=—","Direction=H","UseDPDF=Y")</f>
        <v>#NAME?</v>
      </c>
      <c r="CK139" s="1" t="e">
        <f ca="1">_xll.BDH($C$128,"TOT_DEBT_TO_TOT_EQY","FQ1 2016","FQ1 2016","Currency=INR","Period=FQ","BEST_FPERIOD_OVERRIDE=FQ","FILING_STATUS=OR","EQY_CONSOLIDATED=Y","Sort=A","Dates=H","DateFormat=P","Fill=—","Direction=H","UseDPDF=Y")</f>
        <v>#NAME?</v>
      </c>
      <c r="CL139" s="1" t="e">
        <f ca="1">_xll.BDH($C$128,"TOT_DEBT_TO_TOT_CAP","FQ1 2016","FQ1 2016","Currency=INR","Period=FQ","BEST_FPERIOD_OVERRIDE=FQ","FILING_STATUS=OR","EQY_CONSOLIDATED=Y","Sort=A","Dates=H","DateFormat=P","Fill=—","Direction=H","UseDPDF=Y")</f>
        <v>#NAME?</v>
      </c>
      <c r="CM139" s="1" t="e">
        <f ca="1">_xll.BDH($C$128,"TOT_DEBT_TO_TOT_ASSET","FQ1 2016","FQ1 2016","Currency=INR","Period=FQ","BEST_FPERIOD_OVERRIDE=FQ","FILING_STATUS=OR","EQY_CONSOLIDATED=Y","Sort=A","Dates=H","DateFormat=P","Fill=—","Direction=H","UseDPDF=Y")</f>
        <v>#NAME?</v>
      </c>
      <c r="CN139" s="1" t="e">
        <f ca="1">_xll.BDH($C$128,"NET_DEBT_TO_SHRHLDR_EQTY","FQ1 2016","FQ1 2016","Currency=INR","Period=FQ","BEST_FPERIOD_OVERRIDE=FQ","FILING_STATUS=OR","EQY_CONSOLIDATED=Y","Sort=A","Dates=H","DateFormat=P","Fill=—","Direction=H","UseDPDF=Y")</f>
        <v>#NAME?</v>
      </c>
      <c r="CO139" s="1" t="e">
        <f ca="1">_xll.BDH($C$128,"NET_DEBT_%_CAPITAL","FQ1 2016","FQ1 2016","Currency=INR","Period=FQ","BEST_FPERIOD_OVERRIDE=FQ","FILING_STATUS=OR","EQY_CONSOLIDATED=Y","Sort=A","Dates=H","DateFormat=P","Fill=—","Direction=H","UseDPDF=Y")</f>
        <v>#NAME?</v>
      </c>
      <c r="CP139" s="2" t="e">
        <f ca="1">_xll.BDH($C$128,"EBITDA","FQ1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39" s="2" t="e">
        <f ca="1">_xll.BDH($C$128,"EBITDA_AFTER_CAPEX","FQ1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39" s="2" t="e">
        <f ca="1">_xll.BDH($C$128,"IS_OPER_INC","FQ1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39" s="1" t="e">
        <f ca="1">_xll.BDH($C$128,"CASH_RATIO","FQ1 2016","FQ1 2016","Currency=INR","Period=FQ","BEST_FPERIOD_OVERRIDE=FQ","FILING_STATUS=OR","EQY_CONSOLIDATED=Y","Sort=A","Dates=H","DateFormat=P","Fill=—","Direction=H","UseDPDF=Y")</f>
        <v>#NAME?</v>
      </c>
      <c r="CT139" s="1" t="e">
        <f ca="1">_xll.BDH($C$128,"CUR_RATIO","FQ1 2016","FQ1 2016","Currency=INR","Period=FQ","BEST_FPERIOD_OVERRIDE=FQ","FILING_STATUS=OR","EQY_CONSOLIDATED=Y","Sort=A","Dates=H","DateFormat=P","Fill=—","Direction=H","UseDPDF=Y")</f>
        <v>#NAME?</v>
      </c>
      <c r="CU139" s="1" t="e">
        <f ca="1">_xll.BDH($C$128,"QUICK_RATIO","FQ1 2016","FQ1 2016","Currency=INR","Period=FQ","BEST_FPERIOD_OVERRIDE=FQ","FILING_STATUS=OR","EQY_CONSOLIDATED=Y","Sort=A","Dates=H","DateFormat=P","Fill=—","Direction=H","UseDPDF=Y")</f>
        <v>#NAME?</v>
      </c>
      <c r="CV139" s="1" t="e">
        <f ca="1">_xll.BDH($C$128,"ALTMAN_Z_SCORE","FQ1 2016","FQ1 2016","Currency=INR","Period=FQ","BEST_FPERIOD_OVERRIDE=FQ","FILING_STATUS=OR","EQY_CONSOLIDATED=Y","Sort=A","Dates=H","DateFormat=P","Fill=—","Direction=H","UseDPDF=Y")</f>
        <v>#NAME?</v>
      </c>
      <c r="CW139" s="3" t="e">
        <f ca="1">_xll.BDH($C$128,"ACCT_RCV_TURN","FQ1 2016","FQ1 2016","Currency=INR","Period=FQ","BEST_FPERIOD_OVERRIDE=FQ","FILING_STATUS=OR","EQY_CONSOLIDATED=Y","FA_ADJUSTED=GAAP","Sort=A","Dates=H","DateFormat=P","Fill=—","Direction=H","UseDPDF=Y")</f>
        <v>#NAME?</v>
      </c>
      <c r="CX139" s="1" t="e">
        <f ca="1">_xll.BDH($C$128,"ACCT_RCV_DAYS","FQ1 2016","FQ1 2016","Currency=INR","Period=FQ","BEST_FPERIOD_OVERRIDE=FQ","FILING_STATUS=OR","EQY_CONSOLIDATED=Y","FA_ADJUSTED=GAAP","Sort=A","Dates=H","DateFormat=P","Fill=—","Direction=H","UseDPDF=Y")</f>
        <v>#NAME?</v>
      </c>
      <c r="CY139" s="3" t="e">
        <f ca="1">_xll.BDH($C$128,"INVENT_TURN","FQ1 2016","FQ1 2016","Currency=INR","Period=FQ","BEST_FPERIOD_OVERRIDE=FQ","FILING_STATUS=OR","EQY_CONSOLIDATED=Y","FA_ADJUSTED=GAAP","Sort=A","Dates=H","DateFormat=P","Fill=—","Direction=H","UseDPDF=Y")</f>
        <v>#NAME?</v>
      </c>
      <c r="CZ139" s="1" t="e">
        <f ca="1">_xll.BDH($C$128,"INVENT_DAYS","FQ1 2016","FQ1 2016","Currency=INR","Period=FQ","BEST_FPERIOD_OVERRIDE=FQ","FILING_STATUS=OR","EQY_CONSOLIDATED=Y","FA_ADJUSTED=GAAP","Sort=A","Dates=H","DateFormat=P","Fill=—","Direction=H","UseDPDF=Y")</f>
        <v>#NAME?</v>
      </c>
      <c r="DA139" s="3" t="e">
        <f ca="1">_xll.BDH($C$128,"ACCOUNTS_PAYABLE_TURNOVER","FQ1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39" s="1" t="e">
        <f ca="1">_xll.BDH($C$128,"ACCOUNTS_PAYABLE_TURNOVER_DAYS","FQ1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39" s="3" t="e">
        <f ca="1">_xll.BDH($C$128,"CASH_CONVERSION_CYCLE","FQ1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39" s="3" t="e">
        <f ca="1">_xll.BDH($C$128,"INV_TO_CASH_DAYS","FQ1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139" s="4" t="e">
        <f ca="1">_xll.BDH($C$128,"BS_INVENTORIES","FQ1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139" s="2" t="e">
        <f ca="1">_xll.BDH($C$128,"INVTRY_RAW_MATERIALS","FQ1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39" s="2" t="e">
        <f ca="1">_xll.BDH($C$128,"INVTRY_IN_PROGRESS","FQ1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39" s="2" t="e">
        <f ca="1">_xll.BDH($C$128,"INVTRY_FINISHED_GOODS","FQ1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39" s="2" t="e">
        <f ca="1">_xll.BDH($C$128,"BS_OTHER_INV","FQ1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40" spans="1:113" x14ac:dyDescent="0.3">
      <c r="A140" s="6"/>
      <c r="B140" s="6"/>
      <c r="C140" s="6"/>
      <c r="D140" s="6"/>
      <c r="E140" t="s">
        <v>5</v>
      </c>
      <c r="F140" t="e">
        <f ca="1">_xll.BDH($C$128,"RETURN_COM_EQY","FQ2 2016","FQ2 2016","Currency=INR","Period=FQ","BEST_FPERIOD_OVERRIDE=FQ","FILING_STATUS=OR","EQY_CONSOLIDATED=Y","FA_ADJUSTED=GAAP","Sort=A","Dates=H","DateFormat=P","Fill=—","Direction=H","UseDPDF=Y")</f>
        <v>#NAME?</v>
      </c>
      <c r="G140" t="e">
        <f ca="1">_xll.BDH($C$128,"RETURN_ON_ASSET","FQ2 2016","FQ2 2016","Currency=INR","Period=FQ","BEST_FPERIOD_OVERRIDE=FQ","FILING_STATUS=OR","EQY_CONSOLIDATED=Y","FA_ADJUSTED=GAAP","Sort=A","Dates=H","DateFormat=P","Fill=—","Direction=H","UseDPDF=Y")</f>
        <v>#NAME?</v>
      </c>
      <c r="H140" t="e">
        <f ca="1">_xll.BDH($C$128,"RETURN_ON_CAP","FQ2 2016","FQ2 2016","Currency=INR","Period=FQ","BEST_FPERIOD_OVERRIDE=FQ","FILING_STATUS=OR","EQY_CONSOLIDATED=Y","FA_ADJUSTED=GAAP","Sort=A","Dates=H","DateFormat=P","Fill=—","Direction=H","UseDPDF=Y")</f>
        <v>#NAME?</v>
      </c>
      <c r="I140" t="e">
        <f ca="1">_xll.BDH($C$128,"RETURN_ON_INV_CAPITAL","FQ2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40" t="e">
        <f ca="1">_xll.BDH($C$128,"EBITDA_TO_REVENUE","FQ2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140" t="e">
        <f ca="1">_xll.BDH($C$128,"OPER_MARGIN","FQ2 2016","FQ2 2016","Currency=INR","Period=FQ","BEST_FPERIOD_OVERRIDE=FQ","FILING_STATUS=OR","EQY_CONSOLIDATED=Y","FA_ADJUSTED=GAAP","Sort=A","Dates=H","DateFormat=P","Fill=—","Direction=H","UseDPDF=Y")</f>
        <v>#NAME?</v>
      </c>
      <c r="L140" t="e">
        <f ca="1">_xll.BDH($C$128,"INCREMENTAL_OPERATING_MARGIN","FQ2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40" t="e">
        <f ca="1">_xll.BDH($C$128,"PRETAX_INC_TO_NET_SALES","FQ2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40" t="e">
        <f ca="1">_xll.BDH($C$128,"INC_BEF_XO_ITEMS_TO_NET_SALES","FQ2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40" t="e">
        <f ca="1">_xll.BDH($C$128,"PROF_MARGIN","FQ2 2016","FQ2 2016","Currency=INR","Period=FQ","BEST_FPERIOD_OVERRIDE=FQ","FILING_STATUS=OR","EQY_CONSOLIDATED=Y","FA_ADJUSTED=GAAP","Sort=A","Dates=H","DateFormat=P","Fill=—","Direction=H","UseDPDF=Y")</f>
        <v>#NAME?</v>
      </c>
      <c r="P140" t="e">
        <f ca="1">_xll.BDH($C$128,"NET_INCOME_TO_COMMON_MARGIN","FQ2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40" t="e">
        <f ca="1">_xll.BDH($C$128,"EFF_TAX_RATE","FQ2 2016","FQ2 2016","Currency=INR","Period=FQ","BEST_FPERIOD_OVERRIDE=FQ","FILING_STATUS=OR","EQY_CONSOLIDATED=Y","FA_ADJUSTED=GAAP","Sort=A","Dates=H","DateFormat=P","Fill=—","Direction=H","UseDPDF=Y")</f>
        <v>#NAME?</v>
      </c>
      <c r="R140" t="e">
        <f ca="1">_xll.BDH($C$128,"DVD_PAYOUT_RATIO","FQ2 2016","FQ2 2016","Currency=INR","Period=FQ","BEST_FPERIOD_OVERRIDE=FQ","FILING_STATUS=OR","EQY_CONSOLIDATED=Y","FA_ADJUSTED=GAAP","Sort=A","Dates=H","DateFormat=P","Fill=—","Direction=H","UseDPDF=Y")</f>
        <v>#NAME?</v>
      </c>
      <c r="S140" t="e">
        <f ca="1">_xll.BDH($C$128,"SUSTAIN_GROWTH_RT","FQ2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140" s="1" t="e">
        <f ca="1">_xll.BDH($C$128,"SALES_GROWTH","FQ2 2016","FQ2 2016","Currency=INR","Period=FQ","BEST_FPERIOD_OVERRIDE=FQ","FILING_STATUS=OR","EQY_CONSOLIDATED=Y","FA_ADJUSTED=GAAP","Sort=A","Dates=H","DateFormat=P","Fill=—","Direction=H","UseDPDF=Y")</f>
        <v>#NAME?</v>
      </c>
      <c r="U140" s="1" t="e">
        <f ca="1">_xll.BDH($C$128,"EBITDA_GROWTH","FQ2 2016","FQ2 2016","Currency=INR","Period=FQ","BEST_FPERIOD_OVERRIDE=FQ","FILING_STATUS=OR","EQY_CONSOLIDATED=Y","FA_ADJUSTED=GAAP","Sort=A","Dates=H","DateFormat=P","Fill=—","Direction=H","UseDPDF=Y")</f>
        <v>#NAME?</v>
      </c>
      <c r="V140" s="1" t="e">
        <f ca="1">_xll.BDH($C$128,"OPER_INC_GROWTH","FQ2 2016","FQ2 2016","Currency=INR","Period=FQ","BEST_FPERIOD_OVERRIDE=FQ","FILING_STATUS=OR","EQY_CONSOLIDATED=Y","FA_ADJUSTED=GAAP","Sort=A","Dates=H","DateFormat=P","Fill=—","Direction=H","UseDPDF=Y")</f>
        <v>#NAME?</v>
      </c>
      <c r="W140" s="1" t="e">
        <f ca="1">_xll.BDH($C$128,"EARN_FOR_COM_GROWTH","FQ2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40" s="1" t="e">
        <f ca="1">_xll.BDH($C$128,"DILUTED_EPS_AFT_XO_ITEMS_GROWTH","FQ2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40" s="1" t="e">
        <f ca="1">_xll.BDH($C$128,"DIVIDEND_PER_SHARE_1_YEAR_GROWTH","FQ2 2016","FQ2 2016","Currency=INR","Period=FQ","BEST_FPERIOD_OVERRIDE=FQ","FILING_STATUS=OR","EQY_CONSOLIDATED=Y","Sort=A","Dates=H","DateFormat=P","Fill=—","Direction=H","UseDPDF=Y")</f>
        <v>#NAME?</v>
      </c>
      <c r="Z140" s="1" t="e">
        <f ca="1">_xll.BDH($C$128,"ACCOUNTS_RECEIVABLE_GROWTH","FQ2 2016","FQ2 2016","Currency=INR","Period=FQ","BEST_FPERIOD_OVERRIDE=FQ","FILING_STATUS=OR","EQY_CONSOLIDATED=Y","Sort=A","Dates=H","DateFormat=P","Fill=—","Direction=H","UseDPDF=Y")</f>
        <v>#NAME?</v>
      </c>
      <c r="AA140" s="1" t="e">
        <f ca="1">_xll.BDH($C$128,"INVENTORY_GROWTH","FQ2 2016","FQ2 2016","Currency=INR","Period=FQ","BEST_FPERIOD_OVERRIDE=FQ","FILING_STATUS=OR","EQY_CONSOLIDATED=Y","Sort=A","Dates=H","DateFormat=P","Fill=—","Direction=H","UseDPDF=Y")</f>
        <v>#NAME?</v>
      </c>
      <c r="AB140" s="1" t="e">
        <f ca="1">_xll.BDH($C$128,"NET_FIXED_ASSETS_1_YEAR_GROWTH","FQ2 2016","FQ2 2016","Currency=INR","Period=FQ","BEST_FPERIOD_OVERRIDE=FQ","FILING_STATUS=OR","EQY_CONSOLIDATED=Y","Sort=A","Dates=H","DateFormat=P","Fill=—","Direction=H","UseDPDF=Y")</f>
        <v>#NAME?</v>
      </c>
      <c r="AC140" s="1" t="e">
        <f ca="1">_xll.BDH($C$128,"ASSET_GROWTH","FQ2 2016","FQ2 2016","Currency=INR","Period=FQ","BEST_FPERIOD_OVERRIDE=FQ","FILING_STATUS=OR","EQY_CONSOLIDATED=Y","Sort=A","Dates=H","DateFormat=P","Fill=—","Direction=H","UseDPDF=Y")</f>
        <v>#NAME?</v>
      </c>
      <c r="AD140" s="1" t="e">
        <f ca="1">_xll.BDH($C$128,"MODIFIED_WORK_CAP_GROWTH","FQ2 2016","FQ2 2016","Currency=INR","Period=FQ","BEST_FPERIOD_OVERRIDE=FQ","FILING_STATUS=OR","EQY_CONSOLIDATED=Y","Sort=A","Dates=H","DateFormat=P","Fill=—","Direction=H","UseDPDF=Y")</f>
        <v>#NAME?</v>
      </c>
      <c r="AE140" s="1" t="e">
        <f ca="1">_xll.BDH($C$128,"WORK_CAP_GROWTH","FQ2 2016","FQ2 2016","Currency=INR","Period=FQ","BEST_FPERIOD_OVERRIDE=FQ","FILING_STATUS=OR","EQY_CONSOLIDATED=Y","Sort=A","Dates=H","DateFormat=P","Fill=—","Direction=H","UseDPDF=Y")</f>
        <v>#NAME?</v>
      </c>
      <c r="AF140" s="1" t="e">
        <f ca="1">_xll.BDH($C$128,"ACCOUNTS_PAYABLE_GROWTH_1YR","FQ2 2016","FQ2 2016","Currency=INR","Period=FQ","BEST_FPERIOD_OVERRIDE=FQ","FILING_STATUS=OR","EQY_CONSOLIDATED=Y","Sort=A","Dates=H","DateFormat=P","Fill=—","Direction=H","UseDPDF=Y")</f>
        <v>#NAME?</v>
      </c>
      <c r="AG140" s="1" t="e">
        <f ca="1">_xll.BDH($C$128,"SHORT_TERM_DEBT_1_YEAR_GROWTH","FQ2 2016","FQ2 2016","Currency=INR","Period=FQ","BEST_FPERIOD_OVERRIDE=FQ","FILING_STATUS=OR","EQY_CONSOLIDATED=Y","Sort=A","Dates=H","DateFormat=P","Fill=—","Direction=H","UseDPDF=Y")</f>
        <v>#NAME?</v>
      </c>
      <c r="AH140" s="1" t="e">
        <f ca="1">_xll.BDH($C$128,"TOTAL_DEBT_1_YEAR_GROWTH","FQ2 2016","FQ2 2016","Currency=INR","Period=FQ","BEST_FPERIOD_OVERRIDE=FQ","FILING_STATUS=OR","EQY_CONSOLIDATED=Y","Sort=A","Dates=H","DateFormat=P","Fill=—","Direction=H","UseDPDF=Y")</f>
        <v>#NAME?</v>
      </c>
      <c r="AI140" s="1" t="e">
        <f ca="1">_xll.BDH($C$128,"TOTAL_EQUITY_1_YEAR_GROWTH","FQ2 2016","FQ2 2016","Currency=INR","Period=FQ","BEST_FPERIOD_OVERRIDE=FQ","FILING_STATUS=OR","EQY_CONSOLIDATED=Y","Sort=A","Dates=H","DateFormat=P","Fill=—","Direction=H","UseDPDF=Y")</f>
        <v>#NAME?</v>
      </c>
      <c r="AJ140" s="1" t="e">
        <f ca="1">_xll.BDH($C$128,"GROWTH_IN_CAP","FQ2 2016","FQ2 2016","Currency=INR","Period=FQ","BEST_FPERIOD_OVERRIDE=FQ","FILING_STATUS=OR","EQY_CONSOLIDATED=Y","Sort=A","Dates=H","DateFormat=P","Fill=—","Direction=H","UseDPDF=Y")</f>
        <v>#NAME?</v>
      </c>
      <c r="AK140" s="1" t="e">
        <f ca="1">_xll.BDH($C$128,"BVPS_GROWTH","FQ2 2016","FQ2 2016","Currency=INR","Period=FQ","BEST_FPERIOD_OVERRIDE=FQ","FILING_STATUS=OR","EQY_CONSOLIDATED=Y","Sort=A","Dates=H","DateFormat=P","Fill=—","Direction=H","UseDPDF=Y")</f>
        <v>#NAME?</v>
      </c>
      <c r="AL140" s="1" t="e">
        <f ca="1">_xll.BDH($C$128,"CASH_FLOW_GROWTH","FQ2 2016","FQ2 2016","Currency=INR","Period=FQ","BEST_FPERIOD_OVERRIDE=FQ","FILING_STATUS=OR","EQY_CONSOLIDATED=Y","Sort=A","Dates=H","DateFormat=P","Fill=—","Direction=H","UseDPDF=Y")</f>
        <v>#NAME?</v>
      </c>
      <c r="AM140" s="1" t="e">
        <f ca="1">_xll.BDH($C$128,"GEO_GROW_NET_SALES","FQ2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40" s="1" t="e">
        <f ca="1">_xll.BDH($C$128,"GEO_GROW_EBITDA","FQ2 2016","FQ2 2016","Currency=INR","Period=FQ","BEST_FPERIOD_OVERRIDE=FQ","FILING_STATUS=OR","EQY_CONSOLIDATED=Y","FA_ADJUSTED=GAAP","Sort=A","Dates=H","DateFormat=P","Fill=—","Direction=H","UseDPDF=Y")</f>
        <v>#NAME?</v>
      </c>
      <c r="AO140" s="1" t="e">
        <f ca="1">_xll.BDH($C$128,"GEO_GROW_OPER_INC","FQ2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40" s="1" t="e">
        <f ca="1">_xll.BDH($C$128,"NET_INCOME_TO_COMMON_5_YR_GROWTH","FQ2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40" s="1" t="e">
        <f ca="1">_xll.BDH($C$128,"5Y_GEO_GROWTH_DILUTED_EPS","FQ2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40" s="1" t="e">
        <f ca="1">_xll.BDH($C$128,"GEO_GROW_DVD_PER_SH","FQ2 2016","FQ2 2016","Currency=INR","Period=FQ","BEST_FPERIOD_OVERRIDE=FQ","FILING_STATUS=OR","EQY_CONSOLIDATED=Y","Sort=A","Dates=H","DateFormat=P","Fill=—","Direction=H","UseDPDF=Y")</f>
        <v>#NAME?</v>
      </c>
      <c r="AS140" s="1" t="e">
        <f ca="1">_xll.BDH($C$128,"ACCOUNTS_RECEIVABLE_5_YR_GROWTH","FQ2 2016","FQ2 2016","Currency=INR","Period=FQ","BEST_FPERIOD_OVERRIDE=FQ","FILING_STATUS=OR","EQY_CONSOLIDATED=Y","Sort=A","Dates=H","DateFormat=P","Fill=—","Direction=H","UseDPDF=Y")</f>
        <v>#NAME?</v>
      </c>
      <c r="AT140" s="1" t="e">
        <f ca="1">_xll.BDH($C$128,"INVENTORY_5_YEAR_GROWTH","FQ2 2016","FQ2 2016","Currency=INR","Period=FQ","BEST_FPERIOD_OVERRIDE=FQ","FILING_STATUS=OR","EQY_CONSOLIDATED=Y","Sort=A","Dates=H","DateFormat=P","Fill=—","Direction=H","UseDPDF=Y")</f>
        <v>#NAME?</v>
      </c>
      <c r="AU140" s="1" t="e">
        <f ca="1">_xll.BDH($C$128,"NET_FIXED_ASSETS_5_YEAR_GROWTH","FQ2 2016","FQ2 2016","Currency=INR","Period=FQ","BEST_FPERIOD_OVERRIDE=FQ","FILING_STATUS=OR","EQY_CONSOLIDATED=Y","Sort=A","Dates=H","DateFormat=P","Fill=—","Direction=H","UseDPDF=Y")</f>
        <v>#NAME?</v>
      </c>
      <c r="AV140" s="1" t="e">
        <f ca="1">_xll.BDH($C$128,"GEO_GROW_TOT_ASSET","FQ2 2016","FQ2 2016","Currency=INR","Period=FQ","BEST_FPERIOD_OVERRIDE=FQ","FILING_STATUS=OR","EQY_CONSOLIDATED=Y","Sort=A","Dates=H","DateFormat=P","Fill=—","Direction=H","UseDPDF=Y")</f>
        <v>#NAME?</v>
      </c>
      <c r="AW140" s="1" t="e">
        <f ca="1">_xll.BDH($C$128,"MODIFIED_WORKING_CPTL_5YR_GRWTH","FQ2 2016","FQ2 2016","Currency=INR","Period=FQ","BEST_FPERIOD_OVERRIDE=FQ","FILING_STATUS=OR","EQY_CONSOLIDATED=Y","Sort=A","Dates=H","DateFormat=P","Fill=—","Direction=H","UseDPDF=Y")</f>
        <v>#NAME?</v>
      </c>
      <c r="AX140" s="1" t="e">
        <f ca="1">_xll.BDH($C$128,"WORKING_CAPITAL_5_YEAR_GROWTH","FQ2 2016","FQ2 2016","Currency=INR","Period=FQ","BEST_FPERIOD_OVERRIDE=FQ","FILING_STATUS=OR","EQY_CONSOLIDATED=Y","Sort=A","Dates=H","DateFormat=P","Fill=—","Direction=H","UseDPDF=Y")</f>
        <v>#NAME?</v>
      </c>
      <c r="AY140" s="1" t="e">
        <f ca="1">_xll.BDH($C$128,"ACCOUNTS_PAYABLE_5_YEAR_GROWTH","FQ2 2016","FQ2 2016","Currency=INR","Period=FQ","BEST_FPERIOD_OVERRIDE=FQ","FILING_STATUS=OR","EQY_CONSOLIDATED=Y","Sort=A","Dates=H","DateFormat=P","Fill=—","Direction=H","UseDPDF=Y")</f>
        <v>#NAME?</v>
      </c>
      <c r="AZ140" s="1" t="e">
        <f ca="1">_xll.BDH($C$128,"SHORT_TERM_DEBT_5_YEAR_GROWTH","FQ2 2016","FQ2 2016","Currency=INR","Period=FQ","BEST_FPERIOD_OVERRIDE=FQ","FILING_STATUS=OR","EQY_CONSOLIDATED=Y","Sort=A","Dates=H","DateFormat=P","Fill=—","Direction=H","UseDPDF=Y")</f>
        <v>#NAME?</v>
      </c>
      <c r="BA140" s="1" t="e">
        <f ca="1">_xll.BDH($C$128,"TOTAL_DEBT_5_YEAR_GROWTH","FQ2 2016","FQ2 2016","Currency=INR","Period=FQ","BEST_FPERIOD_OVERRIDE=FQ","FILING_STATUS=OR","EQY_CONSOLIDATED=Y","Sort=A","Dates=H","DateFormat=P","Fill=—","Direction=H","UseDPDF=Y")</f>
        <v>#NAME?</v>
      </c>
      <c r="BB140" s="1" t="e">
        <f ca="1">_xll.BDH($C$128,"GEO_GROW_TOT_SHRHLDR_EQY","FQ2 2016","FQ2 2016","Currency=INR","Period=FQ","BEST_FPERIOD_OVERRIDE=FQ","FILING_STATUS=OR","EQY_CONSOLIDATED=Y","Sort=A","Dates=H","DateFormat=P","Fill=—","Direction=H","UseDPDF=Y")</f>
        <v>#NAME?</v>
      </c>
      <c r="BC140" s="1" t="e">
        <f ca="1">_xll.BDH($C$128,"TOTAL_CAPITAL_5_YEAR_GROWTH","FQ2 2016","FQ2 2016","Currency=INR","Period=FQ","BEST_FPERIOD_OVERRIDE=FQ","FILING_STATUS=OR","EQY_CONSOLIDATED=Y","Sort=A","Dates=H","DateFormat=P","Fill=—","Direction=H","UseDPDF=Y")</f>
        <v>#NAME?</v>
      </c>
      <c r="BD140" s="1" t="e">
        <f ca="1">_xll.BDH($C$128,"GEO_GROW_BOOK_VAL","FQ2 2016","FQ2 2016","Currency=INR","Period=FQ","BEST_FPERIOD_OVERRIDE=FQ","FILING_STATUS=OR","EQY_CONSOLIDATED=Y","Sort=A","Dates=H","DateFormat=P","Fill=—","Direction=H","UseDPDF=Y")</f>
        <v>#NAME?</v>
      </c>
      <c r="BE140" s="1" t="e">
        <f ca="1">_xll.BDH($C$128,"GEO_GROW_CASH_OPER_ACT","FQ2 2016","FQ2 2016","Currency=INR","Period=FQ","BEST_FPERIOD_OVERRIDE=FQ","FILING_STATUS=OR","EQY_CONSOLIDATED=Y","Sort=A","Dates=H","DateFormat=P","Fill=—","Direction=H","UseDPDF=Y")</f>
        <v>#NAME?</v>
      </c>
      <c r="BF140" s="1" t="e">
        <f ca="1">_xll.BDH($C$128,"REVENUE_SEQUENTIAL_GROWTH","FQ2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40" s="1" t="e">
        <f ca="1">_xll.BDH($C$128,"EBITDA_SEQUENTIAL_GROWTH","FQ2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40" s="1" t="e">
        <f ca="1">_xll.BDH($C$128,"OPERATING_INCOME_SEQ_GROWTH","FQ2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40" s="1" t="e">
        <f ca="1">_xll.BDH($C$128,"NET_INCOME_TO_COMMON_SEQ_GROWTH","FQ2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40" s="1" t="e">
        <f ca="1">_xll.BDH($C$128,"EPS_DILUTED_SEQUENTIAL_GROWTH","FQ2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40" s="1" t="e">
        <f ca="1">_xll.BDH($C$128,"DPS_SEQUENTIAL_GROWTH","FQ2 2016","FQ2 2016","Currency=INR","Period=FQ","BEST_FPERIOD_OVERRIDE=FQ","FILING_STATUS=OR","EQY_CONSOLIDATED=Y","Sort=A","Dates=H","DateFormat=P","Fill=—","Direction=H","UseDPDF=Y")</f>
        <v>#NAME?</v>
      </c>
      <c r="BL140" s="1" t="e">
        <f ca="1">_xll.BDH($C$128,"ACCOUNTS_RECEIVABLE_SEQ_GROWTH","FQ2 2016","FQ2 2016","Currency=INR","Period=FQ","BEST_FPERIOD_OVERRIDE=FQ","FILING_STATUS=OR","EQY_CONSOLIDATED=Y","Sort=A","Dates=H","DateFormat=P","Fill=—","Direction=H","UseDPDF=Y")</f>
        <v>#NAME?</v>
      </c>
      <c r="BM140" s="1" t="e">
        <f ca="1">_xll.BDH($C$128,"INVENTORY_SEQUENTIAL_GROWTH","FQ2 2016","FQ2 2016","Currency=INR","Period=FQ","BEST_FPERIOD_OVERRIDE=FQ","FILING_STATUS=OR","EQY_CONSOLIDATED=Y","Sort=A","Dates=H","DateFormat=P","Fill=—","Direction=H","UseDPDF=Y")</f>
        <v>#NAME?</v>
      </c>
      <c r="BN140" s="1" t="e">
        <f ca="1">_xll.BDH($C$128,"FIXED_ASSETS_SEQUENTIAL_GROWTH","FQ2 2016","FQ2 2016","Currency=INR","Period=FQ","BEST_FPERIOD_OVERRIDE=FQ","FILING_STATUS=OR","EQY_CONSOLIDATED=Y","Sort=A","Dates=H","DateFormat=P","Fill=—","Direction=H","UseDPDF=Y")</f>
        <v>#NAME?</v>
      </c>
      <c r="BO140" s="1" t="e">
        <f ca="1">_xll.BDH($C$128,"TOTAL_ASSETS_SEQUENTIAL_GROWTH","FQ2 2016","FQ2 2016","Currency=INR","Period=FQ","BEST_FPERIOD_OVERRIDE=FQ","FILING_STATUS=OR","EQY_CONSOLIDATED=Y","Sort=A","Dates=H","DateFormat=P","Fill=—","Direction=H","UseDPDF=Y")</f>
        <v>#NAME?</v>
      </c>
      <c r="BP140" s="1" t="e">
        <f ca="1">_xll.BDH($C$128,"MODIFIED_WORKING_CPTL_SEQ_GRWTH","FQ2 2016","FQ2 2016","Currency=INR","Period=FQ","BEST_FPERIOD_OVERRIDE=FQ","FILING_STATUS=OR","EQY_CONSOLIDATED=Y","Sort=A","Dates=H","DateFormat=P","Fill=—","Direction=H","UseDPDF=Y")</f>
        <v>#NAME?</v>
      </c>
      <c r="BQ140" s="1" t="e">
        <f ca="1">_xll.BDH($C$128,"WORKING_CAPITAL_SEQ_GROWTH","FQ2 2016","FQ2 2016","Currency=INR","Period=FQ","BEST_FPERIOD_OVERRIDE=FQ","FILING_STATUS=OR","EQY_CONSOLIDATED=Y","Sort=A","Dates=H","DateFormat=P","Fill=—","Direction=H","UseDPDF=Y")</f>
        <v>#NAME?</v>
      </c>
      <c r="BR140" s="1" t="e">
        <f ca="1">_xll.BDH($C$128,"ACCOUNTS_PAYABLE_SEQ_GROWTH","FQ2 2016","FQ2 2016","Currency=INR","Period=FQ","BEST_FPERIOD_OVERRIDE=FQ","FILING_STATUS=OR","EQY_CONSOLIDATED=Y","Sort=A","Dates=H","DateFormat=P","Fill=—","Direction=H","UseDPDF=Y")</f>
        <v>#NAME?</v>
      </c>
      <c r="BS140" s="1" t="e">
        <f ca="1">_xll.BDH($C$128,"ST_DEBT_SEQUENTIAL_GROWTH","FQ2 2016","FQ2 2016","Currency=INR","Period=FQ","BEST_FPERIOD_OVERRIDE=FQ","FILING_STATUS=OR","EQY_CONSOLIDATED=Y","Sort=A","Dates=H","DateFormat=P","Fill=—","Direction=H","UseDPDF=Y")</f>
        <v>#NAME?</v>
      </c>
      <c r="BT140" s="1" t="e">
        <f ca="1">_xll.BDH($C$128,"TOTAL_DEBT_SEQUENTIAL_GROWTH","FQ2 2016","FQ2 2016","Currency=INR","Period=FQ","BEST_FPERIOD_OVERRIDE=FQ","FILING_STATUS=OR","EQY_CONSOLIDATED=Y","Sort=A","Dates=H","DateFormat=P","Fill=—","Direction=H","UseDPDF=Y")</f>
        <v>#NAME?</v>
      </c>
      <c r="BU140" s="1" t="e">
        <f ca="1">_xll.BDH($C$128,"TOTAL_EQUITY_SEQUENTIAL_GROWTH","FQ2 2016","FQ2 2016","Currency=INR","Period=FQ","BEST_FPERIOD_OVERRIDE=FQ","FILING_STATUS=OR","EQY_CONSOLIDATED=Y","Sort=A","Dates=H","DateFormat=P","Fill=—","Direction=H","UseDPDF=Y")</f>
        <v>#NAME?</v>
      </c>
      <c r="BV140" s="1" t="e">
        <f ca="1">_xll.BDH($C$128,"TOTAL_CAPITAL_SEQUENTIAL_GROWTH","FQ2 2016","FQ2 2016","Currency=INR","Period=FQ","BEST_FPERIOD_OVERRIDE=FQ","FILING_STATUS=OR","EQY_CONSOLIDATED=Y","Sort=A","Dates=H","DateFormat=P","Fill=—","Direction=H","UseDPDF=Y")</f>
        <v>#NAME?</v>
      </c>
      <c r="BW140" s="1" t="e">
        <f ca="1">_xll.BDH($C$128,"BPS_SEQUENTIAL_GROWTH","FQ2 2016","FQ2 2016","Currency=INR","Period=FQ","BEST_FPERIOD_OVERRIDE=FQ","FILING_STATUS=OR","EQY_CONSOLIDATED=Y","Sort=A","Dates=H","DateFormat=P","Fill=—","Direction=H","UseDPDF=Y")</f>
        <v>#NAME?</v>
      </c>
      <c r="BX140" s="1" t="e">
        <f ca="1">_xll.BDH($C$128,"CFO_SEQUENTIAL_GROWTH","FQ2 2016","FQ2 2016","Currency=INR","Period=FQ","BEST_FPERIOD_OVERRIDE=FQ","FILING_STATUS=OR","EQY_CONSOLIDATED=Y","Sort=A","Dates=H","DateFormat=P","Fill=—","Direction=H","UseDPDF=Y")</f>
        <v>#NAME?</v>
      </c>
      <c r="BY140" s="2" t="e">
        <f ca="1">_xll.BDH($C$128,"SHORT_AND_LONG_TERM_DEBT","FQ2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40" s="2" t="e">
        <f ca="1">_xll.BDH($C$128,"BS_ST_BORROW","FQ2 2016","FQ2 2016","Currency=INR","Period=FQ","BEST_FPERIOD_OVERRIDE=FQ","FILING_STATUS=OR","EQY_CONSOLIDATED=Y","SCALING_FORMAT=MLN","Sort=A","Dates=H","DateFormat=P","Fill=—","Direction=H","UseDPDF=Y")</f>
        <v>#NAME?</v>
      </c>
      <c r="CA140" s="2" t="e">
        <f ca="1">_xll.BDH($C$128,"BS_LT_BORROW","FQ2 2016","FQ2 2016","Currency=INR","Period=FQ","BEST_FPERIOD_OVERRIDE=FQ","FILING_STATUS=OR","EQY_CONSOLIDATED=Y","SCALING_FORMAT=MLN","Sort=A","Dates=H","DateFormat=P","Fill=—","Direction=H","UseDPDF=Y")</f>
        <v>#NAME?</v>
      </c>
      <c r="CB140" s="1" t="e">
        <f ca="1">_xll.BDH($C$128,"TOT_DEBT_TO_EBITDA","FQ2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40" s="1" t="e">
        <f ca="1">_xll.BDH($C$128,"NET_DEBT_TO_EBITDA","FQ2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40" s="1" t="e">
        <f ca="1">_xll.BDH($C$128,"TOTAL_DEBT_TO_EBIT","FQ2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40" s="1" t="e">
        <f ca="1">_xll.BDH($C$128,"NET_DEBT_TO_EBIT","FQ2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140" s="1" t="e">
        <f ca="1">_xll.BDH($C$128,"EBITDA_TO_INTEREST_EXPN","FQ2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40" s="1" t="e">
        <f ca="1">_xll.BDH($C$128,"COM_EQY_TO_TOT_ASSET","FQ2 2016","FQ2 2016","Currency=INR","Period=FQ","BEST_FPERIOD_OVERRIDE=FQ","FILING_STATUS=OR","EQY_CONSOLIDATED=Y","Sort=A","Dates=H","DateFormat=P","Fill=—","Direction=H","UseDPDF=Y")</f>
        <v>#NAME?</v>
      </c>
      <c r="CH140" s="1" t="e">
        <f ca="1">_xll.BDH($C$128,"LT_DEBT_TO_TOT_EQY","FQ2 2016","FQ2 2016","Currency=INR","Period=FQ","BEST_FPERIOD_OVERRIDE=FQ","FILING_STATUS=OR","EQY_CONSOLIDATED=Y","Sort=A","Dates=H","DateFormat=P","Fill=—","Direction=H","UseDPDF=Y")</f>
        <v>#NAME?</v>
      </c>
      <c r="CI140" s="1" t="e">
        <f ca="1">_xll.BDH($C$128,"LT_DEBT_TO_TOT_CAP","FQ2 2016","FQ2 2016","Currency=INR","Period=FQ","BEST_FPERIOD_OVERRIDE=FQ","FILING_STATUS=OR","EQY_CONSOLIDATED=Y","Sort=A","Dates=H","DateFormat=P","Fill=—","Direction=H","UseDPDF=Y")</f>
        <v>#NAME?</v>
      </c>
      <c r="CJ140" s="1" t="e">
        <f ca="1">_xll.BDH($C$128,"LT_DEBT_TO_TOT_ASSET","FQ2 2016","FQ2 2016","Currency=INR","Period=FQ","BEST_FPERIOD_OVERRIDE=FQ","FILING_STATUS=OR","EQY_CONSOLIDATED=Y","Sort=A","Dates=H","DateFormat=P","Fill=—","Direction=H","UseDPDF=Y")</f>
        <v>#NAME?</v>
      </c>
      <c r="CK140" s="1" t="e">
        <f ca="1">_xll.BDH($C$128,"TOT_DEBT_TO_TOT_EQY","FQ2 2016","FQ2 2016","Currency=INR","Period=FQ","BEST_FPERIOD_OVERRIDE=FQ","FILING_STATUS=OR","EQY_CONSOLIDATED=Y","Sort=A","Dates=H","DateFormat=P","Fill=—","Direction=H","UseDPDF=Y")</f>
        <v>#NAME?</v>
      </c>
      <c r="CL140" s="1" t="e">
        <f ca="1">_xll.BDH($C$128,"TOT_DEBT_TO_TOT_CAP","FQ2 2016","FQ2 2016","Currency=INR","Period=FQ","BEST_FPERIOD_OVERRIDE=FQ","FILING_STATUS=OR","EQY_CONSOLIDATED=Y","Sort=A","Dates=H","DateFormat=P","Fill=—","Direction=H","UseDPDF=Y")</f>
        <v>#NAME?</v>
      </c>
      <c r="CM140" s="1" t="e">
        <f ca="1">_xll.BDH($C$128,"TOT_DEBT_TO_TOT_ASSET","FQ2 2016","FQ2 2016","Currency=INR","Period=FQ","BEST_FPERIOD_OVERRIDE=FQ","FILING_STATUS=OR","EQY_CONSOLIDATED=Y","Sort=A","Dates=H","DateFormat=P","Fill=—","Direction=H","UseDPDF=Y")</f>
        <v>#NAME?</v>
      </c>
      <c r="CN140" s="1" t="e">
        <f ca="1">_xll.BDH($C$128,"NET_DEBT_TO_SHRHLDR_EQTY","FQ2 2016","FQ2 2016","Currency=INR","Period=FQ","BEST_FPERIOD_OVERRIDE=FQ","FILING_STATUS=OR","EQY_CONSOLIDATED=Y","Sort=A","Dates=H","DateFormat=P","Fill=—","Direction=H","UseDPDF=Y")</f>
        <v>#NAME?</v>
      </c>
      <c r="CO140" s="1" t="e">
        <f ca="1">_xll.BDH($C$128,"NET_DEBT_%_CAPITAL","FQ2 2016","FQ2 2016","Currency=INR","Period=FQ","BEST_FPERIOD_OVERRIDE=FQ","FILING_STATUS=OR","EQY_CONSOLIDATED=Y","Sort=A","Dates=H","DateFormat=P","Fill=—","Direction=H","UseDPDF=Y")</f>
        <v>#NAME?</v>
      </c>
      <c r="CP140" s="2" t="e">
        <f ca="1">_xll.BDH($C$128,"EBITDA","FQ2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40" s="2" t="e">
        <f ca="1">_xll.BDH($C$128,"EBITDA_AFTER_CAPEX","FQ2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40" s="2" t="e">
        <f ca="1">_xll.BDH($C$128,"IS_OPER_INC","FQ2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40" s="1" t="e">
        <f ca="1">_xll.BDH($C$128,"CASH_RATIO","FQ2 2016","FQ2 2016","Currency=INR","Period=FQ","BEST_FPERIOD_OVERRIDE=FQ","FILING_STATUS=OR","EQY_CONSOLIDATED=Y","Sort=A","Dates=H","DateFormat=P","Fill=—","Direction=H","UseDPDF=Y")</f>
        <v>#NAME?</v>
      </c>
      <c r="CT140" s="1" t="e">
        <f ca="1">_xll.BDH($C$128,"CUR_RATIO","FQ2 2016","FQ2 2016","Currency=INR","Period=FQ","BEST_FPERIOD_OVERRIDE=FQ","FILING_STATUS=OR","EQY_CONSOLIDATED=Y","Sort=A","Dates=H","DateFormat=P","Fill=—","Direction=H","UseDPDF=Y")</f>
        <v>#NAME?</v>
      </c>
      <c r="CU140" s="1" t="e">
        <f ca="1">_xll.BDH($C$128,"QUICK_RATIO","FQ2 2016","FQ2 2016","Currency=INR","Period=FQ","BEST_FPERIOD_OVERRIDE=FQ","FILING_STATUS=OR","EQY_CONSOLIDATED=Y","Sort=A","Dates=H","DateFormat=P","Fill=—","Direction=H","UseDPDF=Y")</f>
        <v>#NAME?</v>
      </c>
      <c r="CV140" s="1" t="e">
        <f ca="1">_xll.BDH($C$128,"ALTMAN_Z_SCORE","FQ2 2016","FQ2 2016","Currency=INR","Period=FQ","BEST_FPERIOD_OVERRIDE=FQ","FILING_STATUS=OR","EQY_CONSOLIDATED=Y","Sort=A","Dates=H","DateFormat=P","Fill=—","Direction=H","UseDPDF=Y")</f>
        <v>#NAME?</v>
      </c>
      <c r="CW140" s="3" t="e">
        <f ca="1">_xll.BDH($C$128,"ACCT_RCV_TURN","FQ2 2016","FQ2 2016","Currency=INR","Period=FQ","BEST_FPERIOD_OVERRIDE=FQ","FILING_STATUS=OR","EQY_CONSOLIDATED=Y","FA_ADJUSTED=GAAP","Sort=A","Dates=H","DateFormat=P","Fill=—","Direction=H","UseDPDF=Y")</f>
        <v>#NAME?</v>
      </c>
      <c r="CX140" s="1" t="e">
        <f ca="1">_xll.BDH($C$128,"ACCT_RCV_DAYS","FQ2 2016","FQ2 2016","Currency=INR","Period=FQ","BEST_FPERIOD_OVERRIDE=FQ","FILING_STATUS=OR","EQY_CONSOLIDATED=Y","FA_ADJUSTED=GAAP","Sort=A","Dates=H","DateFormat=P","Fill=—","Direction=H","UseDPDF=Y")</f>
        <v>#NAME?</v>
      </c>
      <c r="CY140" s="3" t="e">
        <f ca="1">_xll.BDH($C$128,"INVENT_TURN","FQ2 2016","FQ2 2016","Currency=INR","Period=FQ","BEST_FPERIOD_OVERRIDE=FQ","FILING_STATUS=OR","EQY_CONSOLIDATED=Y","FA_ADJUSTED=GAAP","Sort=A","Dates=H","DateFormat=P","Fill=—","Direction=H","UseDPDF=Y")</f>
        <v>#NAME?</v>
      </c>
      <c r="CZ140" s="1" t="e">
        <f ca="1">_xll.BDH($C$128,"INVENT_DAYS","FQ2 2016","FQ2 2016","Currency=INR","Period=FQ","BEST_FPERIOD_OVERRIDE=FQ","FILING_STATUS=OR","EQY_CONSOLIDATED=Y","FA_ADJUSTED=GAAP","Sort=A","Dates=H","DateFormat=P","Fill=—","Direction=H","UseDPDF=Y")</f>
        <v>#NAME?</v>
      </c>
      <c r="DA140" s="3" t="e">
        <f ca="1">_xll.BDH($C$128,"ACCOUNTS_PAYABLE_TURNOVER","FQ2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40" s="1" t="e">
        <f ca="1">_xll.BDH($C$128,"ACCOUNTS_PAYABLE_TURNOVER_DAYS","FQ2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40" s="3" t="e">
        <f ca="1">_xll.BDH($C$128,"CASH_CONVERSION_CYCLE","FQ2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40" s="3" t="e">
        <f ca="1">_xll.BDH($C$128,"INV_TO_CASH_DAYS","FQ2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140" s="4" t="e">
        <f ca="1">_xll.BDH($C$128,"BS_INVENTORIES","FQ2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140" s="2" t="e">
        <f ca="1">_xll.BDH($C$128,"INVTRY_RAW_MATERIALS","FQ2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40" s="2" t="e">
        <f ca="1">_xll.BDH($C$128,"INVTRY_IN_PROGRESS","FQ2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40" s="2" t="e">
        <f ca="1">_xll.BDH($C$128,"INVTRY_FINISHED_GOODS","FQ2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40" s="2" t="e">
        <f ca="1">_xll.BDH($C$128,"BS_OTHER_INV","FQ2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41" spans="1:113" x14ac:dyDescent="0.3">
      <c r="A141" s="6"/>
      <c r="B141" s="6"/>
      <c r="C141" s="6"/>
      <c r="D141" s="6"/>
      <c r="E141" t="s">
        <v>6</v>
      </c>
      <c r="F141" t="e">
        <f ca="1">_xll.BDH($C$128,"RETURN_COM_EQY","FQ3 2016","FQ3 2016","Currency=INR","Period=FQ","BEST_FPERIOD_OVERRIDE=FQ","FILING_STATUS=OR","EQY_CONSOLIDATED=Y","FA_ADJUSTED=GAAP","Sort=A","Dates=H","DateFormat=P","Fill=—","Direction=H","UseDPDF=Y")</f>
        <v>#NAME?</v>
      </c>
      <c r="G141" t="e">
        <f ca="1">_xll.BDH($C$128,"RETURN_ON_ASSET","FQ3 2016","FQ3 2016","Currency=INR","Period=FQ","BEST_FPERIOD_OVERRIDE=FQ","FILING_STATUS=OR","EQY_CONSOLIDATED=Y","FA_ADJUSTED=GAAP","Sort=A","Dates=H","DateFormat=P","Fill=—","Direction=H","UseDPDF=Y")</f>
        <v>#NAME?</v>
      </c>
      <c r="H141" t="e">
        <f ca="1">_xll.BDH($C$128,"RETURN_ON_CAP","FQ3 2016","FQ3 2016","Currency=INR","Period=FQ","BEST_FPERIOD_OVERRIDE=FQ","FILING_STATUS=OR","EQY_CONSOLIDATED=Y","FA_ADJUSTED=GAAP","Sort=A","Dates=H","DateFormat=P","Fill=—","Direction=H","UseDPDF=Y")</f>
        <v>#NAME?</v>
      </c>
      <c r="I141" t="e">
        <f ca="1">_xll.BDH($C$128,"RETURN_ON_INV_CAPITAL","FQ3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41" t="e">
        <f ca="1">_xll.BDH($C$128,"EBITDA_TO_REVENUE","FQ3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141" t="e">
        <f ca="1">_xll.BDH($C$128,"OPER_MARGIN","FQ3 2016","FQ3 2016","Currency=INR","Period=FQ","BEST_FPERIOD_OVERRIDE=FQ","FILING_STATUS=OR","EQY_CONSOLIDATED=Y","FA_ADJUSTED=GAAP","Sort=A","Dates=H","DateFormat=P","Fill=—","Direction=H","UseDPDF=Y")</f>
        <v>#NAME?</v>
      </c>
      <c r="L141" t="e">
        <f ca="1">_xll.BDH($C$128,"INCREMENTAL_OPERATING_MARGIN","FQ3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41" t="e">
        <f ca="1">_xll.BDH($C$128,"PRETAX_INC_TO_NET_SALES","FQ3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41" t="e">
        <f ca="1">_xll.BDH($C$128,"INC_BEF_XO_ITEMS_TO_NET_SALES","FQ3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41" t="e">
        <f ca="1">_xll.BDH($C$128,"PROF_MARGIN","FQ3 2016","FQ3 2016","Currency=INR","Period=FQ","BEST_FPERIOD_OVERRIDE=FQ","FILING_STATUS=OR","EQY_CONSOLIDATED=Y","FA_ADJUSTED=GAAP","Sort=A","Dates=H","DateFormat=P","Fill=—","Direction=H","UseDPDF=Y")</f>
        <v>#NAME?</v>
      </c>
      <c r="P141" t="e">
        <f ca="1">_xll.BDH($C$128,"NET_INCOME_TO_COMMON_MARGIN","FQ3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41" t="e">
        <f ca="1">_xll.BDH($C$128,"EFF_TAX_RATE","FQ3 2016","FQ3 2016","Currency=INR","Period=FQ","BEST_FPERIOD_OVERRIDE=FQ","FILING_STATUS=OR","EQY_CONSOLIDATED=Y","FA_ADJUSTED=GAAP","Sort=A","Dates=H","DateFormat=P","Fill=—","Direction=H","UseDPDF=Y")</f>
        <v>#NAME?</v>
      </c>
      <c r="R141" t="e">
        <f ca="1">_xll.BDH($C$128,"DVD_PAYOUT_RATIO","FQ3 2016","FQ3 2016","Currency=INR","Period=FQ","BEST_FPERIOD_OVERRIDE=FQ","FILING_STATUS=OR","EQY_CONSOLIDATED=Y","FA_ADJUSTED=GAAP","Sort=A","Dates=H","DateFormat=P","Fill=—","Direction=H","UseDPDF=Y")</f>
        <v>#NAME?</v>
      </c>
      <c r="S141" t="e">
        <f ca="1">_xll.BDH($C$128,"SUSTAIN_GROWTH_RT","FQ3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141" s="1" t="e">
        <f ca="1">_xll.BDH($C$128,"SALES_GROWTH","FQ3 2016","FQ3 2016","Currency=INR","Period=FQ","BEST_FPERIOD_OVERRIDE=FQ","FILING_STATUS=OR","EQY_CONSOLIDATED=Y","FA_ADJUSTED=GAAP","Sort=A","Dates=H","DateFormat=P","Fill=—","Direction=H","UseDPDF=Y")</f>
        <v>#NAME?</v>
      </c>
      <c r="U141" s="1" t="e">
        <f ca="1">_xll.BDH($C$128,"EBITDA_GROWTH","FQ3 2016","FQ3 2016","Currency=INR","Period=FQ","BEST_FPERIOD_OVERRIDE=FQ","FILING_STATUS=OR","EQY_CONSOLIDATED=Y","FA_ADJUSTED=GAAP","Sort=A","Dates=H","DateFormat=P","Fill=—","Direction=H","UseDPDF=Y")</f>
        <v>#NAME?</v>
      </c>
      <c r="V141" s="1" t="e">
        <f ca="1">_xll.BDH($C$128,"OPER_INC_GROWTH","FQ3 2016","FQ3 2016","Currency=INR","Period=FQ","BEST_FPERIOD_OVERRIDE=FQ","FILING_STATUS=OR","EQY_CONSOLIDATED=Y","FA_ADJUSTED=GAAP","Sort=A","Dates=H","DateFormat=P","Fill=—","Direction=H","UseDPDF=Y")</f>
        <v>#NAME?</v>
      </c>
      <c r="W141" s="1" t="e">
        <f ca="1">_xll.BDH($C$128,"EARN_FOR_COM_GROWTH","FQ3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41" s="1" t="e">
        <f ca="1">_xll.BDH($C$128,"DILUTED_EPS_AFT_XO_ITEMS_GROWTH","FQ3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41" s="1" t="e">
        <f ca="1">_xll.BDH($C$128,"DIVIDEND_PER_SHARE_1_YEAR_GROWTH","FQ3 2016","FQ3 2016","Currency=INR","Period=FQ","BEST_FPERIOD_OVERRIDE=FQ","FILING_STATUS=OR","EQY_CONSOLIDATED=Y","Sort=A","Dates=H","DateFormat=P","Fill=—","Direction=H","UseDPDF=Y")</f>
        <v>#NAME?</v>
      </c>
      <c r="Z141" s="1" t="e">
        <f ca="1">_xll.BDH($C$128,"ACCOUNTS_RECEIVABLE_GROWTH","FQ3 2016","FQ3 2016","Currency=INR","Period=FQ","BEST_FPERIOD_OVERRIDE=FQ","FILING_STATUS=OR","EQY_CONSOLIDATED=Y","Sort=A","Dates=H","DateFormat=P","Fill=—","Direction=H","UseDPDF=Y")</f>
        <v>#NAME?</v>
      </c>
      <c r="AA141" s="1" t="e">
        <f ca="1">_xll.BDH($C$128,"INVENTORY_GROWTH","FQ3 2016","FQ3 2016","Currency=INR","Period=FQ","BEST_FPERIOD_OVERRIDE=FQ","FILING_STATUS=OR","EQY_CONSOLIDATED=Y","Sort=A","Dates=H","DateFormat=P","Fill=—","Direction=H","UseDPDF=Y")</f>
        <v>#NAME?</v>
      </c>
      <c r="AB141" s="1" t="e">
        <f ca="1">_xll.BDH($C$128,"NET_FIXED_ASSETS_1_YEAR_GROWTH","FQ3 2016","FQ3 2016","Currency=INR","Period=FQ","BEST_FPERIOD_OVERRIDE=FQ","FILING_STATUS=OR","EQY_CONSOLIDATED=Y","Sort=A","Dates=H","DateFormat=P","Fill=—","Direction=H","UseDPDF=Y")</f>
        <v>#NAME?</v>
      </c>
      <c r="AC141" s="1" t="e">
        <f ca="1">_xll.BDH($C$128,"ASSET_GROWTH","FQ3 2016","FQ3 2016","Currency=INR","Period=FQ","BEST_FPERIOD_OVERRIDE=FQ","FILING_STATUS=OR","EQY_CONSOLIDATED=Y","Sort=A","Dates=H","DateFormat=P","Fill=—","Direction=H","UseDPDF=Y")</f>
        <v>#NAME?</v>
      </c>
      <c r="AD141" s="1" t="e">
        <f ca="1">_xll.BDH($C$128,"MODIFIED_WORK_CAP_GROWTH","FQ3 2016","FQ3 2016","Currency=INR","Period=FQ","BEST_FPERIOD_OVERRIDE=FQ","FILING_STATUS=OR","EQY_CONSOLIDATED=Y","Sort=A","Dates=H","DateFormat=P","Fill=—","Direction=H","UseDPDF=Y")</f>
        <v>#NAME?</v>
      </c>
      <c r="AE141" s="1" t="e">
        <f ca="1">_xll.BDH($C$128,"WORK_CAP_GROWTH","FQ3 2016","FQ3 2016","Currency=INR","Period=FQ","BEST_FPERIOD_OVERRIDE=FQ","FILING_STATUS=OR","EQY_CONSOLIDATED=Y","Sort=A","Dates=H","DateFormat=P","Fill=—","Direction=H","UseDPDF=Y")</f>
        <v>#NAME?</v>
      </c>
      <c r="AF141" s="1" t="e">
        <f ca="1">_xll.BDH($C$128,"ACCOUNTS_PAYABLE_GROWTH_1YR","FQ3 2016","FQ3 2016","Currency=INR","Period=FQ","BEST_FPERIOD_OVERRIDE=FQ","FILING_STATUS=OR","EQY_CONSOLIDATED=Y","Sort=A","Dates=H","DateFormat=P","Fill=—","Direction=H","UseDPDF=Y")</f>
        <v>#NAME?</v>
      </c>
      <c r="AG141" s="1" t="e">
        <f ca="1">_xll.BDH($C$128,"SHORT_TERM_DEBT_1_YEAR_GROWTH","FQ3 2016","FQ3 2016","Currency=INR","Period=FQ","BEST_FPERIOD_OVERRIDE=FQ","FILING_STATUS=OR","EQY_CONSOLIDATED=Y","Sort=A","Dates=H","DateFormat=P","Fill=—","Direction=H","UseDPDF=Y")</f>
        <v>#NAME?</v>
      </c>
      <c r="AH141" s="1" t="e">
        <f ca="1">_xll.BDH($C$128,"TOTAL_DEBT_1_YEAR_GROWTH","FQ3 2016","FQ3 2016","Currency=INR","Period=FQ","BEST_FPERIOD_OVERRIDE=FQ","FILING_STATUS=OR","EQY_CONSOLIDATED=Y","Sort=A","Dates=H","DateFormat=P","Fill=—","Direction=H","UseDPDF=Y")</f>
        <v>#NAME?</v>
      </c>
      <c r="AI141" s="1" t="e">
        <f ca="1">_xll.BDH($C$128,"TOTAL_EQUITY_1_YEAR_GROWTH","FQ3 2016","FQ3 2016","Currency=INR","Period=FQ","BEST_FPERIOD_OVERRIDE=FQ","FILING_STATUS=OR","EQY_CONSOLIDATED=Y","Sort=A","Dates=H","DateFormat=P","Fill=—","Direction=H","UseDPDF=Y")</f>
        <v>#NAME?</v>
      </c>
      <c r="AJ141" s="1" t="e">
        <f ca="1">_xll.BDH($C$128,"GROWTH_IN_CAP","FQ3 2016","FQ3 2016","Currency=INR","Period=FQ","BEST_FPERIOD_OVERRIDE=FQ","FILING_STATUS=OR","EQY_CONSOLIDATED=Y","Sort=A","Dates=H","DateFormat=P","Fill=—","Direction=H","UseDPDF=Y")</f>
        <v>#NAME?</v>
      </c>
      <c r="AK141" s="1" t="e">
        <f ca="1">_xll.BDH($C$128,"BVPS_GROWTH","FQ3 2016","FQ3 2016","Currency=INR","Period=FQ","BEST_FPERIOD_OVERRIDE=FQ","FILING_STATUS=OR","EQY_CONSOLIDATED=Y","Sort=A","Dates=H","DateFormat=P","Fill=—","Direction=H","UseDPDF=Y")</f>
        <v>#NAME?</v>
      </c>
      <c r="AL141" s="1" t="e">
        <f ca="1">_xll.BDH($C$128,"CASH_FLOW_GROWTH","FQ3 2016","FQ3 2016","Currency=INR","Period=FQ","BEST_FPERIOD_OVERRIDE=FQ","FILING_STATUS=OR","EQY_CONSOLIDATED=Y","Sort=A","Dates=H","DateFormat=P","Fill=—","Direction=H","UseDPDF=Y")</f>
        <v>#NAME?</v>
      </c>
      <c r="AM141" s="1" t="e">
        <f ca="1">_xll.BDH($C$128,"GEO_GROW_NET_SALES","FQ3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41" s="1" t="e">
        <f ca="1">_xll.BDH($C$128,"GEO_GROW_EBITDA","FQ3 2016","FQ3 2016","Currency=INR","Period=FQ","BEST_FPERIOD_OVERRIDE=FQ","FILING_STATUS=OR","EQY_CONSOLIDATED=Y","FA_ADJUSTED=GAAP","Sort=A","Dates=H","DateFormat=P","Fill=—","Direction=H","UseDPDF=Y")</f>
        <v>#NAME?</v>
      </c>
      <c r="AO141" s="1" t="e">
        <f ca="1">_xll.BDH($C$128,"GEO_GROW_OPER_INC","FQ3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41" s="1" t="e">
        <f ca="1">_xll.BDH($C$128,"NET_INCOME_TO_COMMON_5_YR_GROWTH","FQ3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41" s="1" t="e">
        <f ca="1">_xll.BDH($C$128,"5Y_GEO_GROWTH_DILUTED_EPS","FQ3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41" s="1" t="e">
        <f ca="1">_xll.BDH($C$128,"GEO_GROW_DVD_PER_SH","FQ3 2016","FQ3 2016","Currency=INR","Period=FQ","BEST_FPERIOD_OVERRIDE=FQ","FILING_STATUS=OR","EQY_CONSOLIDATED=Y","Sort=A","Dates=H","DateFormat=P","Fill=—","Direction=H","UseDPDF=Y")</f>
        <v>#NAME?</v>
      </c>
      <c r="AS141" s="1" t="e">
        <f ca="1">_xll.BDH($C$128,"ACCOUNTS_RECEIVABLE_5_YR_GROWTH","FQ3 2016","FQ3 2016","Currency=INR","Period=FQ","BEST_FPERIOD_OVERRIDE=FQ","FILING_STATUS=OR","EQY_CONSOLIDATED=Y","Sort=A","Dates=H","DateFormat=P","Fill=—","Direction=H","UseDPDF=Y")</f>
        <v>#NAME?</v>
      </c>
      <c r="AT141" s="1" t="e">
        <f ca="1">_xll.BDH($C$128,"INVENTORY_5_YEAR_GROWTH","FQ3 2016","FQ3 2016","Currency=INR","Period=FQ","BEST_FPERIOD_OVERRIDE=FQ","FILING_STATUS=OR","EQY_CONSOLIDATED=Y","Sort=A","Dates=H","DateFormat=P","Fill=—","Direction=H","UseDPDF=Y")</f>
        <v>#NAME?</v>
      </c>
      <c r="AU141" s="1" t="e">
        <f ca="1">_xll.BDH($C$128,"NET_FIXED_ASSETS_5_YEAR_GROWTH","FQ3 2016","FQ3 2016","Currency=INR","Period=FQ","BEST_FPERIOD_OVERRIDE=FQ","FILING_STATUS=OR","EQY_CONSOLIDATED=Y","Sort=A","Dates=H","DateFormat=P","Fill=—","Direction=H","UseDPDF=Y")</f>
        <v>#NAME?</v>
      </c>
      <c r="AV141" s="1" t="e">
        <f ca="1">_xll.BDH($C$128,"GEO_GROW_TOT_ASSET","FQ3 2016","FQ3 2016","Currency=INR","Period=FQ","BEST_FPERIOD_OVERRIDE=FQ","FILING_STATUS=OR","EQY_CONSOLIDATED=Y","Sort=A","Dates=H","DateFormat=P","Fill=—","Direction=H","UseDPDF=Y")</f>
        <v>#NAME?</v>
      </c>
      <c r="AW141" s="1" t="e">
        <f ca="1">_xll.BDH($C$128,"MODIFIED_WORKING_CPTL_5YR_GRWTH","FQ3 2016","FQ3 2016","Currency=INR","Period=FQ","BEST_FPERIOD_OVERRIDE=FQ","FILING_STATUS=OR","EQY_CONSOLIDATED=Y","Sort=A","Dates=H","DateFormat=P","Fill=—","Direction=H","UseDPDF=Y")</f>
        <v>#NAME?</v>
      </c>
      <c r="AX141" s="1" t="e">
        <f ca="1">_xll.BDH($C$128,"WORKING_CAPITAL_5_YEAR_GROWTH","FQ3 2016","FQ3 2016","Currency=INR","Period=FQ","BEST_FPERIOD_OVERRIDE=FQ","FILING_STATUS=OR","EQY_CONSOLIDATED=Y","Sort=A","Dates=H","DateFormat=P","Fill=—","Direction=H","UseDPDF=Y")</f>
        <v>#NAME?</v>
      </c>
      <c r="AY141" s="1" t="e">
        <f ca="1">_xll.BDH($C$128,"ACCOUNTS_PAYABLE_5_YEAR_GROWTH","FQ3 2016","FQ3 2016","Currency=INR","Period=FQ","BEST_FPERIOD_OVERRIDE=FQ","FILING_STATUS=OR","EQY_CONSOLIDATED=Y","Sort=A","Dates=H","DateFormat=P","Fill=—","Direction=H","UseDPDF=Y")</f>
        <v>#NAME?</v>
      </c>
      <c r="AZ141" s="1" t="e">
        <f ca="1">_xll.BDH($C$128,"SHORT_TERM_DEBT_5_YEAR_GROWTH","FQ3 2016","FQ3 2016","Currency=INR","Period=FQ","BEST_FPERIOD_OVERRIDE=FQ","FILING_STATUS=OR","EQY_CONSOLIDATED=Y","Sort=A","Dates=H","DateFormat=P","Fill=—","Direction=H","UseDPDF=Y")</f>
        <v>#NAME?</v>
      </c>
      <c r="BA141" s="1" t="e">
        <f ca="1">_xll.BDH($C$128,"TOTAL_DEBT_5_YEAR_GROWTH","FQ3 2016","FQ3 2016","Currency=INR","Period=FQ","BEST_FPERIOD_OVERRIDE=FQ","FILING_STATUS=OR","EQY_CONSOLIDATED=Y","Sort=A","Dates=H","DateFormat=P","Fill=—","Direction=H","UseDPDF=Y")</f>
        <v>#NAME?</v>
      </c>
      <c r="BB141" s="1" t="e">
        <f ca="1">_xll.BDH($C$128,"GEO_GROW_TOT_SHRHLDR_EQY","FQ3 2016","FQ3 2016","Currency=INR","Period=FQ","BEST_FPERIOD_OVERRIDE=FQ","FILING_STATUS=OR","EQY_CONSOLIDATED=Y","Sort=A","Dates=H","DateFormat=P","Fill=—","Direction=H","UseDPDF=Y")</f>
        <v>#NAME?</v>
      </c>
      <c r="BC141" s="1" t="e">
        <f ca="1">_xll.BDH($C$128,"TOTAL_CAPITAL_5_YEAR_GROWTH","FQ3 2016","FQ3 2016","Currency=INR","Period=FQ","BEST_FPERIOD_OVERRIDE=FQ","FILING_STATUS=OR","EQY_CONSOLIDATED=Y","Sort=A","Dates=H","DateFormat=P","Fill=—","Direction=H","UseDPDF=Y")</f>
        <v>#NAME?</v>
      </c>
      <c r="BD141" s="1" t="e">
        <f ca="1">_xll.BDH($C$128,"GEO_GROW_BOOK_VAL","FQ3 2016","FQ3 2016","Currency=INR","Period=FQ","BEST_FPERIOD_OVERRIDE=FQ","FILING_STATUS=OR","EQY_CONSOLIDATED=Y","Sort=A","Dates=H","DateFormat=P","Fill=—","Direction=H","UseDPDF=Y")</f>
        <v>#NAME?</v>
      </c>
      <c r="BE141" s="1" t="e">
        <f ca="1">_xll.BDH($C$128,"GEO_GROW_CASH_OPER_ACT","FQ3 2016","FQ3 2016","Currency=INR","Period=FQ","BEST_FPERIOD_OVERRIDE=FQ","FILING_STATUS=OR","EQY_CONSOLIDATED=Y","Sort=A","Dates=H","DateFormat=P","Fill=—","Direction=H","UseDPDF=Y")</f>
        <v>#NAME?</v>
      </c>
      <c r="BF141" s="1" t="e">
        <f ca="1">_xll.BDH($C$128,"REVENUE_SEQUENTIAL_GROWTH","FQ3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41" s="1" t="e">
        <f ca="1">_xll.BDH($C$128,"EBITDA_SEQUENTIAL_GROWTH","FQ3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41" s="1" t="e">
        <f ca="1">_xll.BDH($C$128,"OPERATING_INCOME_SEQ_GROWTH","FQ3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41" s="1" t="e">
        <f ca="1">_xll.BDH($C$128,"NET_INCOME_TO_COMMON_SEQ_GROWTH","FQ3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41" s="1" t="e">
        <f ca="1">_xll.BDH($C$128,"EPS_DILUTED_SEQUENTIAL_GROWTH","FQ3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41" s="1" t="e">
        <f ca="1">_xll.BDH($C$128,"DPS_SEQUENTIAL_GROWTH","FQ3 2016","FQ3 2016","Currency=INR","Period=FQ","BEST_FPERIOD_OVERRIDE=FQ","FILING_STATUS=OR","EQY_CONSOLIDATED=Y","Sort=A","Dates=H","DateFormat=P","Fill=—","Direction=H","UseDPDF=Y")</f>
        <v>#NAME?</v>
      </c>
      <c r="BL141" s="1" t="e">
        <f ca="1">_xll.BDH($C$128,"ACCOUNTS_RECEIVABLE_SEQ_GROWTH","FQ3 2016","FQ3 2016","Currency=INR","Period=FQ","BEST_FPERIOD_OVERRIDE=FQ","FILING_STATUS=OR","EQY_CONSOLIDATED=Y","Sort=A","Dates=H","DateFormat=P","Fill=—","Direction=H","UseDPDF=Y")</f>
        <v>#NAME?</v>
      </c>
      <c r="BM141" s="1" t="e">
        <f ca="1">_xll.BDH($C$128,"INVENTORY_SEQUENTIAL_GROWTH","FQ3 2016","FQ3 2016","Currency=INR","Period=FQ","BEST_FPERIOD_OVERRIDE=FQ","FILING_STATUS=OR","EQY_CONSOLIDATED=Y","Sort=A","Dates=H","DateFormat=P","Fill=—","Direction=H","UseDPDF=Y")</f>
        <v>#NAME?</v>
      </c>
      <c r="BN141" s="1" t="e">
        <f ca="1">_xll.BDH($C$128,"FIXED_ASSETS_SEQUENTIAL_GROWTH","FQ3 2016","FQ3 2016","Currency=INR","Period=FQ","BEST_FPERIOD_OVERRIDE=FQ","FILING_STATUS=OR","EQY_CONSOLIDATED=Y","Sort=A","Dates=H","DateFormat=P","Fill=—","Direction=H","UseDPDF=Y")</f>
        <v>#NAME?</v>
      </c>
      <c r="BO141" s="1" t="e">
        <f ca="1">_xll.BDH($C$128,"TOTAL_ASSETS_SEQUENTIAL_GROWTH","FQ3 2016","FQ3 2016","Currency=INR","Period=FQ","BEST_FPERIOD_OVERRIDE=FQ","FILING_STATUS=OR","EQY_CONSOLIDATED=Y","Sort=A","Dates=H","DateFormat=P","Fill=—","Direction=H","UseDPDF=Y")</f>
        <v>#NAME?</v>
      </c>
      <c r="BP141" s="1" t="e">
        <f ca="1">_xll.BDH($C$128,"MODIFIED_WORKING_CPTL_SEQ_GRWTH","FQ3 2016","FQ3 2016","Currency=INR","Period=FQ","BEST_FPERIOD_OVERRIDE=FQ","FILING_STATUS=OR","EQY_CONSOLIDATED=Y","Sort=A","Dates=H","DateFormat=P","Fill=—","Direction=H","UseDPDF=Y")</f>
        <v>#NAME?</v>
      </c>
      <c r="BQ141" s="1" t="e">
        <f ca="1">_xll.BDH($C$128,"WORKING_CAPITAL_SEQ_GROWTH","FQ3 2016","FQ3 2016","Currency=INR","Period=FQ","BEST_FPERIOD_OVERRIDE=FQ","FILING_STATUS=OR","EQY_CONSOLIDATED=Y","Sort=A","Dates=H","DateFormat=P","Fill=—","Direction=H","UseDPDF=Y")</f>
        <v>#NAME?</v>
      </c>
      <c r="BR141" s="1" t="e">
        <f ca="1">_xll.BDH($C$128,"ACCOUNTS_PAYABLE_SEQ_GROWTH","FQ3 2016","FQ3 2016","Currency=INR","Period=FQ","BEST_FPERIOD_OVERRIDE=FQ","FILING_STATUS=OR","EQY_CONSOLIDATED=Y","Sort=A","Dates=H","DateFormat=P","Fill=—","Direction=H","UseDPDF=Y")</f>
        <v>#NAME?</v>
      </c>
      <c r="BS141" s="1" t="e">
        <f ca="1">_xll.BDH($C$128,"ST_DEBT_SEQUENTIAL_GROWTH","FQ3 2016","FQ3 2016","Currency=INR","Period=FQ","BEST_FPERIOD_OVERRIDE=FQ","FILING_STATUS=OR","EQY_CONSOLIDATED=Y","Sort=A","Dates=H","DateFormat=P","Fill=—","Direction=H","UseDPDF=Y")</f>
        <v>#NAME?</v>
      </c>
      <c r="BT141" s="1" t="e">
        <f ca="1">_xll.BDH($C$128,"TOTAL_DEBT_SEQUENTIAL_GROWTH","FQ3 2016","FQ3 2016","Currency=INR","Period=FQ","BEST_FPERIOD_OVERRIDE=FQ","FILING_STATUS=OR","EQY_CONSOLIDATED=Y","Sort=A","Dates=H","DateFormat=P","Fill=—","Direction=H","UseDPDF=Y")</f>
        <v>#NAME?</v>
      </c>
      <c r="BU141" s="1" t="e">
        <f ca="1">_xll.BDH($C$128,"TOTAL_EQUITY_SEQUENTIAL_GROWTH","FQ3 2016","FQ3 2016","Currency=INR","Period=FQ","BEST_FPERIOD_OVERRIDE=FQ","FILING_STATUS=OR","EQY_CONSOLIDATED=Y","Sort=A","Dates=H","DateFormat=P","Fill=—","Direction=H","UseDPDF=Y")</f>
        <v>#NAME?</v>
      </c>
      <c r="BV141" s="1" t="e">
        <f ca="1">_xll.BDH($C$128,"TOTAL_CAPITAL_SEQUENTIAL_GROWTH","FQ3 2016","FQ3 2016","Currency=INR","Period=FQ","BEST_FPERIOD_OVERRIDE=FQ","FILING_STATUS=OR","EQY_CONSOLIDATED=Y","Sort=A","Dates=H","DateFormat=P","Fill=—","Direction=H","UseDPDF=Y")</f>
        <v>#NAME?</v>
      </c>
      <c r="BW141" s="1" t="e">
        <f ca="1">_xll.BDH($C$128,"BPS_SEQUENTIAL_GROWTH","FQ3 2016","FQ3 2016","Currency=INR","Period=FQ","BEST_FPERIOD_OVERRIDE=FQ","FILING_STATUS=OR","EQY_CONSOLIDATED=Y","Sort=A","Dates=H","DateFormat=P","Fill=—","Direction=H","UseDPDF=Y")</f>
        <v>#NAME?</v>
      </c>
      <c r="BX141" s="1" t="e">
        <f ca="1">_xll.BDH($C$128,"CFO_SEQUENTIAL_GROWTH","FQ3 2016","FQ3 2016","Currency=INR","Period=FQ","BEST_FPERIOD_OVERRIDE=FQ","FILING_STATUS=OR","EQY_CONSOLIDATED=Y","Sort=A","Dates=H","DateFormat=P","Fill=—","Direction=H","UseDPDF=Y")</f>
        <v>#NAME?</v>
      </c>
      <c r="BY141" s="2" t="e">
        <f ca="1">_xll.BDH($C$128,"SHORT_AND_LONG_TERM_DEBT","FQ3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41" s="2" t="e">
        <f ca="1">_xll.BDH($C$128,"BS_ST_BORROW","FQ3 2016","FQ3 2016","Currency=INR","Period=FQ","BEST_FPERIOD_OVERRIDE=FQ","FILING_STATUS=OR","EQY_CONSOLIDATED=Y","SCALING_FORMAT=MLN","Sort=A","Dates=H","DateFormat=P","Fill=—","Direction=H","UseDPDF=Y")</f>
        <v>#NAME?</v>
      </c>
      <c r="CA141" s="2" t="e">
        <f ca="1">_xll.BDH($C$128,"BS_LT_BORROW","FQ3 2016","FQ3 2016","Currency=INR","Period=FQ","BEST_FPERIOD_OVERRIDE=FQ","FILING_STATUS=OR","EQY_CONSOLIDATED=Y","SCALING_FORMAT=MLN","Sort=A","Dates=H","DateFormat=P","Fill=—","Direction=H","UseDPDF=Y")</f>
        <v>#NAME?</v>
      </c>
      <c r="CB141" s="1" t="e">
        <f ca="1">_xll.BDH($C$128,"TOT_DEBT_TO_EBITDA","FQ3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41" s="1" t="e">
        <f ca="1">_xll.BDH($C$128,"NET_DEBT_TO_EBITDA","FQ3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41" s="1" t="e">
        <f ca="1">_xll.BDH($C$128,"TOTAL_DEBT_TO_EBIT","FQ3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41" s="1" t="e">
        <f ca="1">_xll.BDH($C$128,"NET_DEBT_TO_EBIT","FQ3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141" s="1" t="e">
        <f ca="1">_xll.BDH($C$128,"EBITDA_TO_INTEREST_EXPN","FQ3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41" s="1" t="e">
        <f ca="1">_xll.BDH($C$128,"COM_EQY_TO_TOT_ASSET","FQ3 2016","FQ3 2016","Currency=INR","Period=FQ","BEST_FPERIOD_OVERRIDE=FQ","FILING_STATUS=OR","EQY_CONSOLIDATED=Y","Sort=A","Dates=H","DateFormat=P","Fill=—","Direction=H","UseDPDF=Y")</f>
        <v>#NAME?</v>
      </c>
      <c r="CH141" s="1" t="e">
        <f ca="1">_xll.BDH($C$128,"LT_DEBT_TO_TOT_EQY","FQ3 2016","FQ3 2016","Currency=INR","Period=FQ","BEST_FPERIOD_OVERRIDE=FQ","FILING_STATUS=OR","EQY_CONSOLIDATED=Y","Sort=A","Dates=H","DateFormat=P","Fill=—","Direction=H","UseDPDF=Y")</f>
        <v>#NAME?</v>
      </c>
      <c r="CI141" s="1" t="e">
        <f ca="1">_xll.BDH($C$128,"LT_DEBT_TO_TOT_CAP","FQ3 2016","FQ3 2016","Currency=INR","Period=FQ","BEST_FPERIOD_OVERRIDE=FQ","FILING_STATUS=OR","EQY_CONSOLIDATED=Y","Sort=A","Dates=H","DateFormat=P","Fill=—","Direction=H","UseDPDF=Y")</f>
        <v>#NAME?</v>
      </c>
      <c r="CJ141" s="1" t="e">
        <f ca="1">_xll.BDH($C$128,"LT_DEBT_TO_TOT_ASSET","FQ3 2016","FQ3 2016","Currency=INR","Period=FQ","BEST_FPERIOD_OVERRIDE=FQ","FILING_STATUS=OR","EQY_CONSOLIDATED=Y","Sort=A","Dates=H","DateFormat=P","Fill=—","Direction=H","UseDPDF=Y")</f>
        <v>#NAME?</v>
      </c>
      <c r="CK141" s="1" t="e">
        <f ca="1">_xll.BDH($C$128,"TOT_DEBT_TO_TOT_EQY","FQ3 2016","FQ3 2016","Currency=INR","Period=FQ","BEST_FPERIOD_OVERRIDE=FQ","FILING_STATUS=OR","EQY_CONSOLIDATED=Y","Sort=A","Dates=H","DateFormat=P","Fill=—","Direction=H","UseDPDF=Y")</f>
        <v>#NAME?</v>
      </c>
      <c r="CL141" s="1" t="e">
        <f ca="1">_xll.BDH($C$128,"TOT_DEBT_TO_TOT_CAP","FQ3 2016","FQ3 2016","Currency=INR","Period=FQ","BEST_FPERIOD_OVERRIDE=FQ","FILING_STATUS=OR","EQY_CONSOLIDATED=Y","Sort=A","Dates=H","DateFormat=P","Fill=—","Direction=H","UseDPDF=Y")</f>
        <v>#NAME?</v>
      </c>
      <c r="CM141" s="1" t="e">
        <f ca="1">_xll.BDH($C$128,"TOT_DEBT_TO_TOT_ASSET","FQ3 2016","FQ3 2016","Currency=INR","Period=FQ","BEST_FPERIOD_OVERRIDE=FQ","FILING_STATUS=OR","EQY_CONSOLIDATED=Y","Sort=A","Dates=H","DateFormat=P","Fill=—","Direction=H","UseDPDF=Y")</f>
        <v>#NAME?</v>
      </c>
      <c r="CN141" s="1" t="e">
        <f ca="1">_xll.BDH($C$128,"NET_DEBT_TO_SHRHLDR_EQTY","FQ3 2016","FQ3 2016","Currency=INR","Period=FQ","BEST_FPERIOD_OVERRIDE=FQ","FILING_STATUS=OR","EQY_CONSOLIDATED=Y","Sort=A","Dates=H","DateFormat=P","Fill=—","Direction=H","UseDPDF=Y")</f>
        <v>#NAME?</v>
      </c>
      <c r="CO141" s="1" t="e">
        <f ca="1">_xll.BDH($C$128,"NET_DEBT_%_CAPITAL","FQ3 2016","FQ3 2016","Currency=INR","Period=FQ","BEST_FPERIOD_OVERRIDE=FQ","FILING_STATUS=OR","EQY_CONSOLIDATED=Y","Sort=A","Dates=H","DateFormat=P","Fill=—","Direction=H","UseDPDF=Y")</f>
        <v>#NAME?</v>
      </c>
      <c r="CP141" s="2" t="e">
        <f ca="1">_xll.BDH($C$128,"EBITDA","FQ3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41" s="2" t="e">
        <f ca="1">_xll.BDH($C$128,"EBITDA_AFTER_CAPEX","FQ3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41" s="2" t="e">
        <f ca="1">_xll.BDH($C$128,"IS_OPER_INC","FQ3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41" s="1" t="e">
        <f ca="1">_xll.BDH($C$128,"CASH_RATIO","FQ3 2016","FQ3 2016","Currency=INR","Period=FQ","BEST_FPERIOD_OVERRIDE=FQ","FILING_STATUS=OR","EQY_CONSOLIDATED=Y","Sort=A","Dates=H","DateFormat=P","Fill=—","Direction=H","UseDPDF=Y")</f>
        <v>#NAME?</v>
      </c>
      <c r="CT141" s="1" t="e">
        <f ca="1">_xll.BDH($C$128,"CUR_RATIO","FQ3 2016","FQ3 2016","Currency=INR","Period=FQ","BEST_FPERIOD_OVERRIDE=FQ","FILING_STATUS=OR","EQY_CONSOLIDATED=Y","Sort=A","Dates=H","DateFormat=P","Fill=—","Direction=H","UseDPDF=Y")</f>
        <v>#NAME?</v>
      </c>
      <c r="CU141" s="1" t="e">
        <f ca="1">_xll.BDH($C$128,"QUICK_RATIO","FQ3 2016","FQ3 2016","Currency=INR","Period=FQ","BEST_FPERIOD_OVERRIDE=FQ","FILING_STATUS=OR","EQY_CONSOLIDATED=Y","Sort=A","Dates=H","DateFormat=P","Fill=—","Direction=H","UseDPDF=Y")</f>
        <v>#NAME?</v>
      </c>
      <c r="CV141" s="1" t="e">
        <f ca="1">_xll.BDH($C$128,"ALTMAN_Z_SCORE","FQ3 2016","FQ3 2016","Currency=INR","Period=FQ","BEST_FPERIOD_OVERRIDE=FQ","FILING_STATUS=OR","EQY_CONSOLIDATED=Y","Sort=A","Dates=H","DateFormat=P","Fill=—","Direction=H","UseDPDF=Y")</f>
        <v>#NAME?</v>
      </c>
      <c r="CW141" s="3" t="e">
        <f ca="1">_xll.BDH($C$128,"ACCT_RCV_TURN","FQ3 2016","FQ3 2016","Currency=INR","Period=FQ","BEST_FPERIOD_OVERRIDE=FQ","FILING_STATUS=OR","EQY_CONSOLIDATED=Y","FA_ADJUSTED=GAAP","Sort=A","Dates=H","DateFormat=P","Fill=—","Direction=H","UseDPDF=Y")</f>
        <v>#NAME?</v>
      </c>
      <c r="CX141" s="1" t="e">
        <f ca="1">_xll.BDH($C$128,"ACCT_RCV_DAYS","FQ3 2016","FQ3 2016","Currency=INR","Period=FQ","BEST_FPERIOD_OVERRIDE=FQ","FILING_STATUS=OR","EQY_CONSOLIDATED=Y","FA_ADJUSTED=GAAP","Sort=A","Dates=H","DateFormat=P","Fill=—","Direction=H","UseDPDF=Y")</f>
        <v>#NAME?</v>
      </c>
      <c r="CY141" s="3" t="e">
        <f ca="1">_xll.BDH($C$128,"INVENT_TURN","FQ3 2016","FQ3 2016","Currency=INR","Period=FQ","BEST_FPERIOD_OVERRIDE=FQ","FILING_STATUS=OR","EQY_CONSOLIDATED=Y","FA_ADJUSTED=GAAP","Sort=A","Dates=H","DateFormat=P","Fill=—","Direction=H","UseDPDF=Y")</f>
        <v>#NAME?</v>
      </c>
      <c r="CZ141" s="1" t="e">
        <f ca="1">_xll.BDH($C$128,"INVENT_DAYS","FQ3 2016","FQ3 2016","Currency=INR","Period=FQ","BEST_FPERIOD_OVERRIDE=FQ","FILING_STATUS=OR","EQY_CONSOLIDATED=Y","FA_ADJUSTED=GAAP","Sort=A","Dates=H","DateFormat=P","Fill=—","Direction=H","UseDPDF=Y")</f>
        <v>#NAME?</v>
      </c>
      <c r="DA141" s="3" t="e">
        <f ca="1">_xll.BDH($C$128,"ACCOUNTS_PAYABLE_TURNOVER","FQ3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41" s="1" t="e">
        <f ca="1">_xll.BDH($C$128,"ACCOUNTS_PAYABLE_TURNOVER_DAYS","FQ3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41" s="3" t="e">
        <f ca="1">_xll.BDH($C$128,"CASH_CONVERSION_CYCLE","FQ3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41" s="3" t="e">
        <f ca="1">_xll.BDH($C$128,"INV_TO_CASH_DAYS","FQ3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141" s="4" t="e">
        <f ca="1">_xll.BDH($C$128,"BS_INVENTORIES","FQ3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141" s="2" t="e">
        <f ca="1">_xll.BDH($C$128,"INVTRY_RAW_MATERIALS","FQ3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41" s="2" t="e">
        <f ca="1">_xll.BDH($C$128,"INVTRY_IN_PROGRESS","FQ3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41" s="2" t="e">
        <f ca="1">_xll.BDH($C$128,"INVTRY_FINISHED_GOODS","FQ3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41" s="2" t="e">
        <f ca="1">_xll.BDH($C$128,"BS_OTHER_INV","FQ3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42" spans="1:113" x14ac:dyDescent="0.3">
      <c r="A142" s="6"/>
      <c r="B142" s="6"/>
      <c r="C142" s="6"/>
      <c r="D142" s="6"/>
      <c r="E142" t="s">
        <v>7</v>
      </c>
      <c r="F142" t="e">
        <f ca="1">_xll.BDH($C$128,"RETURN_COM_EQY","FQ4 2016","FQ4 2016","Currency=INR","Period=FQ","BEST_FPERIOD_OVERRIDE=FQ","FILING_STATUS=OR","EQY_CONSOLIDATED=Y","FA_ADJUSTED=GAAP","Sort=A","Dates=H","DateFormat=P","Fill=—","Direction=H","UseDPDF=Y")</f>
        <v>#NAME?</v>
      </c>
      <c r="G142" t="e">
        <f ca="1">_xll.BDH($C$128,"RETURN_ON_ASSET","FQ4 2016","FQ4 2016","Currency=INR","Period=FQ","BEST_FPERIOD_OVERRIDE=FQ","FILING_STATUS=OR","EQY_CONSOLIDATED=Y","FA_ADJUSTED=GAAP","Sort=A","Dates=H","DateFormat=P","Fill=—","Direction=H","UseDPDF=Y")</f>
        <v>#NAME?</v>
      </c>
      <c r="H142" t="e">
        <f ca="1">_xll.BDH($C$128,"RETURN_ON_CAP","FQ4 2016","FQ4 2016","Currency=INR","Period=FQ","BEST_FPERIOD_OVERRIDE=FQ","FILING_STATUS=OR","EQY_CONSOLIDATED=Y","FA_ADJUSTED=GAAP","Sort=A","Dates=H","DateFormat=P","Fill=—","Direction=H","UseDPDF=Y")</f>
        <v>#NAME?</v>
      </c>
      <c r="I142" t="e">
        <f ca="1">_xll.BDH($C$128,"RETURN_ON_INV_CAPITAL","FQ4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42" t="e">
        <f ca="1">_xll.BDH($C$128,"EBITDA_TO_REVENUE","FQ4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142" t="e">
        <f ca="1">_xll.BDH($C$128,"OPER_MARGIN","FQ4 2016","FQ4 2016","Currency=INR","Period=FQ","BEST_FPERIOD_OVERRIDE=FQ","FILING_STATUS=OR","EQY_CONSOLIDATED=Y","FA_ADJUSTED=GAAP","Sort=A","Dates=H","DateFormat=P","Fill=—","Direction=H","UseDPDF=Y")</f>
        <v>#NAME?</v>
      </c>
      <c r="L142" t="e">
        <f ca="1">_xll.BDH($C$128,"INCREMENTAL_OPERATING_MARGIN","FQ4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42" t="e">
        <f ca="1">_xll.BDH($C$128,"PRETAX_INC_TO_NET_SALES","FQ4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42" t="e">
        <f ca="1">_xll.BDH($C$128,"INC_BEF_XO_ITEMS_TO_NET_SALES","FQ4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42" t="e">
        <f ca="1">_xll.BDH($C$128,"PROF_MARGIN","FQ4 2016","FQ4 2016","Currency=INR","Period=FQ","BEST_FPERIOD_OVERRIDE=FQ","FILING_STATUS=OR","EQY_CONSOLIDATED=Y","FA_ADJUSTED=GAAP","Sort=A","Dates=H","DateFormat=P","Fill=—","Direction=H","UseDPDF=Y")</f>
        <v>#NAME?</v>
      </c>
      <c r="P142" t="e">
        <f ca="1">_xll.BDH($C$128,"NET_INCOME_TO_COMMON_MARGIN","FQ4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42" t="e">
        <f ca="1">_xll.BDH($C$128,"EFF_TAX_RATE","FQ4 2016","FQ4 2016","Currency=INR","Period=FQ","BEST_FPERIOD_OVERRIDE=FQ","FILING_STATUS=OR","EQY_CONSOLIDATED=Y","FA_ADJUSTED=GAAP","Sort=A","Dates=H","DateFormat=P","Fill=—","Direction=H","UseDPDF=Y")</f>
        <v>#NAME?</v>
      </c>
      <c r="R142" t="e">
        <f ca="1">_xll.BDH($C$128,"DVD_PAYOUT_RATIO","FQ4 2016","FQ4 2016","Currency=INR","Period=FQ","BEST_FPERIOD_OVERRIDE=FQ","FILING_STATUS=OR","EQY_CONSOLIDATED=Y","FA_ADJUSTED=GAAP","Sort=A","Dates=H","DateFormat=P","Fill=—","Direction=H","UseDPDF=Y")</f>
        <v>#NAME?</v>
      </c>
      <c r="S142" t="e">
        <f ca="1">_xll.BDH($C$128,"SUSTAIN_GROWTH_RT","FQ4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142" s="1" t="e">
        <f ca="1">_xll.BDH($C$128,"SALES_GROWTH","FQ4 2016","FQ4 2016","Currency=INR","Period=FQ","BEST_FPERIOD_OVERRIDE=FQ","FILING_STATUS=OR","EQY_CONSOLIDATED=Y","FA_ADJUSTED=GAAP","Sort=A","Dates=H","DateFormat=P","Fill=—","Direction=H","UseDPDF=Y")</f>
        <v>#NAME?</v>
      </c>
      <c r="U142" s="1" t="e">
        <f ca="1">_xll.BDH($C$128,"EBITDA_GROWTH","FQ4 2016","FQ4 2016","Currency=INR","Period=FQ","BEST_FPERIOD_OVERRIDE=FQ","FILING_STATUS=OR","EQY_CONSOLIDATED=Y","FA_ADJUSTED=GAAP","Sort=A","Dates=H","DateFormat=P","Fill=—","Direction=H","UseDPDF=Y")</f>
        <v>#NAME?</v>
      </c>
      <c r="V142" s="1" t="e">
        <f ca="1">_xll.BDH($C$128,"OPER_INC_GROWTH","FQ4 2016","FQ4 2016","Currency=INR","Period=FQ","BEST_FPERIOD_OVERRIDE=FQ","FILING_STATUS=OR","EQY_CONSOLIDATED=Y","FA_ADJUSTED=GAAP","Sort=A","Dates=H","DateFormat=P","Fill=—","Direction=H","UseDPDF=Y")</f>
        <v>#NAME?</v>
      </c>
      <c r="W142" s="1" t="e">
        <f ca="1">_xll.BDH($C$128,"EARN_FOR_COM_GROWTH","FQ4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42" s="1" t="e">
        <f ca="1">_xll.BDH($C$128,"DILUTED_EPS_AFT_XO_ITEMS_GROWTH","FQ4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42" s="1" t="e">
        <f ca="1">_xll.BDH($C$128,"DIVIDEND_PER_SHARE_1_YEAR_GROWTH","FQ4 2016","FQ4 2016","Currency=INR","Period=FQ","BEST_FPERIOD_OVERRIDE=FQ","FILING_STATUS=OR","EQY_CONSOLIDATED=Y","Sort=A","Dates=H","DateFormat=P","Fill=—","Direction=H","UseDPDF=Y")</f>
        <v>#NAME?</v>
      </c>
      <c r="Z142" s="1" t="e">
        <f ca="1">_xll.BDH($C$128,"ACCOUNTS_RECEIVABLE_GROWTH","FQ4 2016","FQ4 2016","Currency=INR","Period=FQ","BEST_FPERIOD_OVERRIDE=FQ","FILING_STATUS=OR","EQY_CONSOLIDATED=Y","Sort=A","Dates=H","DateFormat=P","Fill=—","Direction=H","UseDPDF=Y")</f>
        <v>#NAME?</v>
      </c>
      <c r="AA142" s="1" t="e">
        <f ca="1">_xll.BDH($C$128,"INVENTORY_GROWTH","FQ4 2016","FQ4 2016","Currency=INR","Period=FQ","BEST_FPERIOD_OVERRIDE=FQ","FILING_STATUS=OR","EQY_CONSOLIDATED=Y","Sort=A","Dates=H","DateFormat=P","Fill=—","Direction=H","UseDPDF=Y")</f>
        <v>#NAME?</v>
      </c>
      <c r="AB142" s="1" t="e">
        <f ca="1">_xll.BDH($C$128,"NET_FIXED_ASSETS_1_YEAR_GROWTH","FQ4 2016","FQ4 2016","Currency=INR","Period=FQ","BEST_FPERIOD_OVERRIDE=FQ","FILING_STATUS=OR","EQY_CONSOLIDATED=Y","Sort=A","Dates=H","DateFormat=P","Fill=—","Direction=H","UseDPDF=Y")</f>
        <v>#NAME?</v>
      </c>
      <c r="AC142" s="1" t="e">
        <f ca="1">_xll.BDH($C$128,"ASSET_GROWTH","FQ4 2016","FQ4 2016","Currency=INR","Period=FQ","BEST_FPERIOD_OVERRIDE=FQ","FILING_STATUS=OR","EQY_CONSOLIDATED=Y","Sort=A","Dates=H","DateFormat=P","Fill=—","Direction=H","UseDPDF=Y")</f>
        <v>#NAME?</v>
      </c>
      <c r="AD142" s="1" t="e">
        <f ca="1">_xll.BDH($C$128,"MODIFIED_WORK_CAP_GROWTH","FQ4 2016","FQ4 2016","Currency=INR","Period=FQ","BEST_FPERIOD_OVERRIDE=FQ","FILING_STATUS=OR","EQY_CONSOLIDATED=Y","Sort=A","Dates=H","DateFormat=P","Fill=—","Direction=H","UseDPDF=Y")</f>
        <v>#NAME?</v>
      </c>
      <c r="AE142" s="1" t="e">
        <f ca="1">_xll.BDH($C$128,"WORK_CAP_GROWTH","FQ4 2016","FQ4 2016","Currency=INR","Period=FQ","BEST_FPERIOD_OVERRIDE=FQ","FILING_STATUS=OR","EQY_CONSOLIDATED=Y","Sort=A","Dates=H","DateFormat=P","Fill=—","Direction=H","UseDPDF=Y")</f>
        <v>#NAME?</v>
      </c>
      <c r="AF142" s="1" t="e">
        <f ca="1">_xll.BDH($C$128,"ACCOUNTS_PAYABLE_GROWTH_1YR","FQ4 2016","FQ4 2016","Currency=INR","Period=FQ","BEST_FPERIOD_OVERRIDE=FQ","FILING_STATUS=OR","EQY_CONSOLIDATED=Y","Sort=A","Dates=H","DateFormat=P","Fill=—","Direction=H","UseDPDF=Y")</f>
        <v>#NAME?</v>
      </c>
      <c r="AG142" s="1" t="e">
        <f ca="1">_xll.BDH($C$128,"SHORT_TERM_DEBT_1_YEAR_GROWTH","FQ4 2016","FQ4 2016","Currency=INR","Period=FQ","BEST_FPERIOD_OVERRIDE=FQ","FILING_STATUS=OR","EQY_CONSOLIDATED=Y","Sort=A","Dates=H","DateFormat=P","Fill=—","Direction=H","UseDPDF=Y")</f>
        <v>#NAME?</v>
      </c>
      <c r="AH142" s="1" t="e">
        <f ca="1">_xll.BDH($C$128,"TOTAL_DEBT_1_YEAR_GROWTH","FQ4 2016","FQ4 2016","Currency=INR","Period=FQ","BEST_FPERIOD_OVERRIDE=FQ","FILING_STATUS=OR","EQY_CONSOLIDATED=Y","Sort=A","Dates=H","DateFormat=P","Fill=—","Direction=H","UseDPDF=Y")</f>
        <v>#NAME?</v>
      </c>
      <c r="AI142" s="1" t="e">
        <f ca="1">_xll.BDH($C$128,"TOTAL_EQUITY_1_YEAR_GROWTH","FQ4 2016","FQ4 2016","Currency=INR","Period=FQ","BEST_FPERIOD_OVERRIDE=FQ","FILING_STATUS=OR","EQY_CONSOLIDATED=Y","Sort=A","Dates=H","DateFormat=P","Fill=—","Direction=H","UseDPDF=Y")</f>
        <v>#NAME?</v>
      </c>
      <c r="AJ142" s="1" t="e">
        <f ca="1">_xll.BDH($C$128,"GROWTH_IN_CAP","FQ4 2016","FQ4 2016","Currency=INR","Period=FQ","BEST_FPERIOD_OVERRIDE=FQ","FILING_STATUS=OR","EQY_CONSOLIDATED=Y","Sort=A","Dates=H","DateFormat=P","Fill=—","Direction=H","UseDPDF=Y")</f>
        <v>#NAME?</v>
      </c>
      <c r="AK142" s="1" t="e">
        <f ca="1">_xll.BDH($C$128,"BVPS_GROWTH","FQ4 2016","FQ4 2016","Currency=INR","Period=FQ","BEST_FPERIOD_OVERRIDE=FQ","FILING_STATUS=OR","EQY_CONSOLIDATED=Y","Sort=A","Dates=H","DateFormat=P","Fill=—","Direction=H","UseDPDF=Y")</f>
        <v>#NAME?</v>
      </c>
      <c r="AL142" s="1" t="e">
        <f ca="1">_xll.BDH($C$128,"CASH_FLOW_GROWTH","FQ4 2016","FQ4 2016","Currency=INR","Period=FQ","BEST_FPERIOD_OVERRIDE=FQ","FILING_STATUS=OR","EQY_CONSOLIDATED=Y","Sort=A","Dates=H","DateFormat=P","Fill=—","Direction=H","UseDPDF=Y")</f>
        <v>#NAME?</v>
      </c>
      <c r="AM142" s="1" t="e">
        <f ca="1">_xll.BDH($C$128,"GEO_GROW_NET_SALES","FQ4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42" s="1" t="e">
        <f ca="1">_xll.BDH($C$128,"GEO_GROW_EBITDA","FQ4 2016","FQ4 2016","Currency=INR","Period=FQ","BEST_FPERIOD_OVERRIDE=FQ","FILING_STATUS=OR","EQY_CONSOLIDATED=Y","FA_ADJUSTED=GAAP","Sort=A","Dates=H","DateFormat=P","Fill=—","Direction=H","UseDPDF=Y")</f>
        <v>#NAME?</v>
      </c>
      <c r="AO142" s="1" t="e">
        <f ca="1">_xll.BDH($C$128,"GEO_GROW_OPER_INC","FQ4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42" s="1" t="e">
        <f ca="1">_xll.BDH($C$128,"NET_INCOME_TO_COMMON_5_YR_GROWTH","FQ4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42" s="1" t="e">
        <f ca="1">_xll.BDH($C$128,"5Y_GEO_GROWTH_DILUTED_EPS","FQ4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42" s="1" t="e">
        <f ca="1">_xll.BDH($C$128,"GEO_GROW_DVD_PER_SH","FQ4 2016","FQ4 2016","Currency=INR","Period=FQ","BEST_FPERIOD_OVERRIDE=FQ","FILING_STATUS=OR","EQY_CONSOLIDATED=Y","Sort=A","Dates=H","DateFormat=P","Fill=—","Direction=H","UseDPDF=Y")</f>
        <v>#NAME?</v>
      </c>
      <c r="AS142" s="1" t="e">
        <f ca="1">_xll.BDH($C$128,"ACCOUNTS_RECEIVABLE_5_YR_GROWTH","FQ4 2016","FQ4 2016","Currency=INR","Period=FQ","BEST_FPERIOD_OVERRIDE=FQ","FILING_STATUS=OR","EQY_CONSOLIDATED=Y","Sort=A","Dates=H","DateFormat=P","Fill=—","Direction=H","UseDPDF=Y")</f>
        <v>#NAME?</v>
      </c>
      <c r="AT142" s="1" t="e">
        <f ca="1">_xll.BDH($C$128,"INVENTORY_5_YEAR_GROWTH","FQ4 2016","FQ4 2016","Currency=INR","Period=FQ","BEST_FPERIOD_OVERRIDE=FQ","FILING_STATUS=OR","EQY_CONSOLIDATED=Y","Sort=A","Dates=H","DateFormat=P","Fill=—","Direction=H","UseDPDF=Y")</f>
        <v>#NAME?</v>
      </c>
      <c r="AU142" s="1" t="e">
        <f ca="1">_xll.BDH($C$128,"NET_FIXED_ASSETS_5_YEAR_GROWTH","FQ4 2016","FQ4 2016","Currency=INR","Period=FQ","BEST_FPERIOD_OVERRIDE=FQ","FILING_STATUS=OR","EQY_CONSOLIDATED=Y","Sort=A","Dates=H","DateFormat=P","Fill=—","Direction=H","UseDPDF=Y")</f>
        <v>#NAME?</v>
      </c>
      <c r="AV142" s="1" t="e">
        <f ca="1">_xll.BDH($C$128,"GEO_GROW_TOT_ASSET","FQ4 2016","FQ4 2016","Currency=INR","Period=FQ","BEST_FPERIOD_OVERRIDE=FQ","FILING_STATUS=OR","EQY_CONSOLIDATED=Y","Sort=A","Dates=H","DateFormat=P","Fill=—","Direction=H","UseDPDF=Y")</f>
        <v>#NAME?</v>
      </c>
      <c r="AW142" s="1" t="e">
        <f ca="1">_xll.BDH($C$128,"MODIFIED_WORKING_CPTL_5YR_GRWTH","FQ4 2016","FQ4 2016","Currency=INR","Period=FQ","BEST_FPERIOD_OVERRIDE=FQ","FILING_STATUS=OR","EQY_CONSOLIDATED=Y","Sort=A","Dates=H","DateFormat=P","Fill=—","Direction=H","UseDPDF=Y")</f>
        <v>#NAME?</v>
      </c>
      <c r="AX142" s="1" t="e">
        <f ca="1">_xll.BDH($C$128,"WORKING_CAPITAL_5_YEAR_GROWTH","FQ4 2016","FQ4 2016","Currency=INR","Period=FQ","BEST_FPERIOD_OVERRIDE=FQ","FILING_STATUS=OR","EQY_CONSOLIDATED=Y","Sort=A","Dates=H","DateFormat=P","Fill=—","Direction=H","UseDPDF=Y")</f>
        <v>#NAME?</v>
      </c>
      <c r="AY142" s="1" t="e">
        <f ca="1">_xll.BDH($C$128,"ACCOUNTS_PAYABLE_5_YEAR_GROWTH","FQ4 2016","FQ4 2016","Currency=INR","Period=FQ","BEST_FPERIOD_OVERRIDE=FQ","FILING_STATUS=OR","EQY_CONSOLIDATED=Y","Sort=A","Dates=H","DateFormat=P","Fill=—","Direction=H","UseDPDF=Y")</f>
        <v>#NAME?</v>
      </c>
      <c r="AZ142" s="1" t="e">
        <f ca="1">_xll.BDH($C$128,"SHORT_TERM_DEBT_5_YEAR_GROWTH","FQ4 2016","FQ4 2016","Currency=INR","Period=FQ","BEST_FPERIOD_OVERRIDE=FQ","FILING_STATUS=OR","EQY_CONSOLIDATED=Y","Sort=A","Dates=H","DateFormat=P","Fill=—","Direction=H","UseDPDF=Y")</f>
        <v>#NAME?</v>
      </c>
      <c r="BA142" s="1" t="e">
        <f ca="1">_xll.BDH($C$128,"TOTAL_DEBT_5_YEAR_GROWTH","FQ4 2016","FQ4 2016","Currency=INR","Period=FQ","BEST_FPERIOD_OVERRIDE=FQ","FILING_STATUS=OR","EQY_CONSOLIDATED=Y","Sort=A","Dates=H","DateFormat=P","Fill=—","Direction=H","UseDPDF=Y")</f>
        <v>#NAME?</v>
      </c>
      <c r="BB142" s="1" t="e">
        <f ca="1">_xll.BDH($C$128,"GEO_GROW_TOT_SHRHLDR_EQY","FQ4 2016","FQ4 2016","Currency=INR","Period=FQ","BEST_FPERIOD_OVERRIDE=FQ","FILING_STATUS=OR","EQY_CONSOLIDATED=Y","Sort=A","Dates=H","DateFormat=P","Fill=—","Direction=H","UseDPDF=Y")</f>
        <v>#NAME?</v>
      </c>
      <c r="BC142" s="1" t="e">
        <f ca="1">_xll.BDH($C$128,"TOTAL_CAPITAL_5_YEAR_GROWTH","FQ4 2016","FQ4 2016","Currency=INR","Period=FQ","BEST_FPERIOD_OVERRIDE=FQ","FILING_STATUS=OR","EQY_CONSOLIDATED=Y","Sort=A","Dates=H","DateFormat=P","Fill=—","Direction=H","UseDPDF=Y")</f>
        <v>#NAME?</v>
      </c>
      <c r="BD142" s="1" t="e">
        <f ca="1">_xll.BDH($C$128,"GEO_GROW_BOOK_VAL","FQ4 2016","FQ4 2016","Currency=INR","Period=FQ","BEST_FPERIOD_OVERRIDE=FQ","FILING_STATUS=OR","EQY_CONSOLIDATED=Y","Sort=A","Dates=H","DateFormat=P","Fill=—","Direction=H","UseDPDF=Y")</f>
        <v>#NAME?</v>
      </c>
      <c r="BE142" s="1" t="e">
        <f ca="1">_xll.BDH($C$128,"GEO_GROW_CASH_OPER_ACT","FQ4 2016","FQ4 2016","Currency=INR","Period=FQ","BEST_FPERIOD_OVERRIDE=FQ","FILING_STATUS=OR","EQY_CONSOLIDATED=Y","Sort=A","Dates=H","DateFormat=P","Fill=—","Direction=H","UseDPDF=Y")</f>
        <v>#NAME?</v>
      </c>
      <c r="BF142" s="1" t="e">
        <f ca="1">_xll.BDH($C$128,"REVENUE_SEQUENTIAL_GROWTH","FQ4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42" s="1" t="e">
        <f ca="1">_xll.BDH($C$128,"EBITDA_SEQUENTIAL_GROWTH","FQ4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42" s="1" t="e">
        <f ca="1">_xll.BDH($C$128,"OPERATING_INCOME_SEQ_GROWTH","FQ4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42" s="1" t="e">
        <f ca="1">_xll.BDH($C$128,"NET_INCOME_TO_COMMON_SEQ_GROWTH","FQ4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42" s="1" t="e">
        <f ca="1">_xll.BDH($C$128,"EPS_DILUTED_SEQUENTIAL_GROWTH","FQ4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42" s="1" t="e">
        <f ca="1">_xll.BDH($C$128,"DPS_SEQUENTIAL_GROWTH","FQ4 2016","FQ4 2016","Currency=INR","Period=FQ","BEST_FPERIOD_OVERRIDE=FQ","FILING_STATUS=OR","EQY_CONSOLIDATED=Y","Sort=A","Dates=H","DateFormat=P","Fill=—","Direction=H","UseDPDF=Y")</f>
        <v>#NAME?</v>
      </c>
      <c r="BL142" s="1" t="e">
        <f ca="1">_xll.BDH($C$128,"ACCOUNTS_RECEIVABLE_SEQ_GROWTH","FQ4 2016","FQ4 2016","Currency=INR","Period=FQ","BEST_FPERIOD_OVERRIDE=FQ","FILING_STATUS=OR","EQY_CONSOLIDATED=Y","Sort=A","Dates=H","DateFormat=P","Fill=—","Direction=H","UseDPDF=Y")</f>
        <v>#NAME?</v>
      </c>
      <c r="BM142" s="1" t="e">
        <f ca="1">_xll.BDH($C$128,"INVENTORY_SEQUENTIAL_GROWTH","FQ4 2016","FQ4 2016","Currency=INR","Period=FQ","BEST_FPERIOD_OVERRIDE=FQ","FILING_STATUS=OR","EQY_CONSOLIDATED=Y","Sort=A","Dates=H","DateFormat=P","Fill=—","Direction=H","UseDPDF=Y")</f>
        <v>#NAME?</v>
      </c>
      <c r="BN142" s="1" t="e">
        <f ca="1">_xll.BDH($C$128,"FIXED_ASSETS_SEQUENTIAL_GROWTH","FQ4 2016","FQ4 2016","Currency=INR","Period=FQ","BEST_FPERIOD_OVERRIDE=FQ","FILING_STATUS=OR","EQY_CONSOLIDATED=Y","Sort=A","Dates=H","DateFormat=P","Fill=—","Direction=H","UseDPDF=Y")</f>
        <v>#NAME?</v>
      </c>
      <c r="BO142" s="1" t="e">
        <f ca="1">_xll.BDH($C$128,"TOTAL_ASSETS_SEQUENTIAL_GROWTH","FQ4 2016","FQ4 2016","Currency=INR","Period=FQ","BEST_FPERIOD_OVERRIDE=FQ","FILING_STATUS=OR","EQY_CONSOLIDATED=Y","Sort=A","Dates=H","DateFormat=P","Fill=—","Direction=H","UseDPDF=Y")</f>
        <v>#NAME?</v>
      </c>
      <c r="BP142" s="1" t="e">
        <f ca="1">_xll.BDH($C$128,"MODIFIED_WORKING_CPTL_SEQ_GRWTH","FQ4 2016","FQ4 2016","Currency=INR","Period=FQ","BEST_FPERIOD_OVERRIDE=FQ","FILING_STATUS=OR","EQY_CONSOLIDATED=Y","Sort=A","Dates=H","DateFormat=P","Fill=—","Direction=H","UseDPDF=Y")</f>
        <v>#NAME?</v>
      </c>
      <c r="BQ142" s="1" t="e">
        <f ca="1">_xll.BDH($C$128,"WORKING_CAPITAL_SEQ_GROWTH","FQ4 2016","FQ4 2016","Currency=INR","Period=FQ","BEST_FPERIOD_OVERRIDE=FQ","FILING_STATUS=OR","EQY_CONSOLIDATED=Y","Sort=A","Dates=H","DateFormat=P","Fill=—","Direction=H","UseDPDF=Y")</f>
        <v>#NAME?</v>
      </c>
      <c r="BR142" s="1" t="e">
        <f ca="1">_xll.BDH($C$128,"ACCOUNTS_PAYABLE_SEQ_GROWTH","FQ4 2016","FQ4 2016","Currency=INR","Period=FQ","BEST_FPERIOD_OVERRIDE=FQ","FILING_STATUS=OR","EQY_CONSOLIDATED=Y","Sort=A","Dates=H","DateFormat=P","Fill=—","Direction=H","UseDPDF=Y")</f>
        <v>#NAME?</v>
      </c>
      <c r="BS142" s="1" t="e">
        <f ca="1">_xll.BDH($C$128,"ST_DEBT_SEQUENTIAL_GROWTH","FQ4 2016","FQ4 2016","Currency=INR","Period=FQ","BEST_FPERIOD_OVERRIDE=FQ","FILING_STATUS=OR","EQY_CONSOLIDATED=Y","Sort=A","Dates=H","DateFormat=P","Fill=—","Direction=H","UseDPDF=Y")</f>
        <v>#NAME?</v>
      </c>
      <c r="BT142" s="1" t="e">
        <f ca="1">_xll.BDH($C$128,"TOTAL_DEBT_SEQUENTIAL_GROWTH","FQ4 2016","FQ4 2016","Currency=INR","Period=FQ","BEST_FPERIOD_OVERRIDE=FQ","FILING_STATUS=OR","EQY_CONSOLIDATED=Y","Sort=A","Dates=H","DateFormat=P","Fill=—","Direction=H","UseDPDF=Y")</f>
        <v>#NAME?</v>
      </c>
      <c r="BU142" s="1" t="e">
        <f ca="1">_xll.BDH($C$128,"TOTAL_EQUITY_SEQUENTIAL_GROWTH","FQ4 2016","FQ4 2016","Currency=INR","Period=FQ","BEST_FPERIOD_OVERRIDE=FQ","FILING_STATUS=OR","EQY_CONSOLIDATED=Y","Sort=A","Dates=H","DateFormat=P","Fill=—","Direction=H","UseDPDF=Y")</f>
        <v>#NAME?</v>
      </c>
      <c r="BV142" s="1" t="e">
        <f ca="1">_xll.BDH($C$128,"TOTAL_CAPITAL_SEQUENTIAL_GROWTH","FQ4 2016","FQ4 2016","Currency=INR","Period=FQ","BEST_FPERIOD_OVERRIDE=FQ","FILING_STATUS=OR","EQY_CONSOLIDATED=Y","Sort=A","Dates=H","DateFormat=P","Fill=—","Direction=H","UseDPDF=Y")</f>
        <v>#NAME?</v>
      </c>
      <c r="BW142" s="1" t="e">
        <f ca="1">_xll.BDH($C$128,"BPS_SEQUENTIAL_GROWTH","FQ4 2016","FQ4 2016","Currency=INR","Period=FQ","BEST_FPERIOD_OVERRIDE=FQ","FILING_STATUS=OR","EQY_CONSOLIDATED=Y","Sort=A","Dates=H","DateFormat=P","Fill=—","Direction=H","UseDPDF=Y")</f>
        <v>#NAME?</v>
      </c>
      <c r="BX142" s="1" t="e">
        <f ca="1">_xll.BDH($C$128,"CFO_SEQUENTIAL_GROWTH","FQ4 2016","FQ4 2016","Currency=INR","Period=FQ","BEST_FPERIOD_OVERRIDE=FQ","FILING_STATUS=OR","EQY_CONSOLIDATED=Y","Sort=A","Dates=H","DateFormat=P","Fill=—","Direction=H","UseDPDF=Y")</f>
        <v>#NAME?</v>
      </c>
      <c r="BY142" s="2" t="e">
        <f ca="1">_xll.BDH($C$128,"SHORT_AND_LONG_TERM_DEBT","FQ4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42" s="2" t="e">
        <f ca="1">_xll.BDH($C$128,"BS_ST_BORROW","FQ4 2016","FQ4 2016","Currency=INR","Period=FQ","BEST_FPERIOD_OVERRIDE=FQ","FILING_STATUS=OR","EQY_CONSOLIDATED=Y","SCALING_FORMAT=MLN","Sort=A","Dates=H","DateFormat=P","Fill=—","Direction=H","UseDPDF=Y")</f>
        <v>#NAME?</v>
      </c>
      <c r="CA142" s="2" t="e">
        <f ca="1">_xll.BDH($C$128,"BS_LT_BORROW","FQ4 2016","FQ4 2016","Currency=INR","Period=FQ","BEST_FPERIOD_OVERRIDE=FQ","FILING_STATUS=OR","EQY_CONSOLIDATED=Y","SCALING_FORMAT=MLN","Sort=A","Dates=H","DateFormat=P","Fill=—","Direction=H","UseDPDF=Y")</f>
        <v>#NAME?</v>
      </c>
      <c r="CB142" s="1" t="e">
        <f ca="1">_xll.BDH($C$128,"TOT_DEBT_TO_EBITDA","FQ4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42" s="1" t="e">
        <f ca="1">_xll.BDH($C$128,"NET_DEBT_TO_EBITDA","FQ4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42" s="1" t="e">
        <f ca="1">_xll.BDH($C$128,"TOTAL_DEBT_TO_EBIT","FQ4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42" s="1" t="e">
        <f ca="1">_xll.BDH($C$128,"NET_DEBT_TO_EBIT","FQ4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142" s="1" t="e">
        <f ca="1">_xll.BDH($C$128,"EBITDA_TO_INTEREST_EXPN","FQ4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42" s="1" t="e">
        <f ca="1">_xll.BDH($C$128,"COM_EQY_TO_TOT_ASSET","FQ4 2016","FQ4 2016","Currency=INR","Period=FQ","BEST_FPERIOD_OVERRIDE=FQ","FILING_STATUS=OR","EQY_CONSOLIDATED=Y","Sort=A","Dates=H","DateFormat=P","Fill=—","Direction=H","UseDPDF=Y")</f>
        <v>#NAME?</v>
      </c>
      <c r="CH142" s="1" t="e">
        <f ca="1">_xll.BDH($C$128,"LT_DEBT_TO_TOT_EQY","FQ4 2016","FQ4 2016","Currency=INR","Period=FQ","BEST_FPERIOD_OVERRIDE=FQ","FILING_STATUS=OR","EQY_CONSOLIDATED=Y","Sort=A","Dates=H","DateFormat=P","Fill=—","Direction=H","UseDPDF=Y")</f>
        <v>#NAME?</v>
      </c>
      <c r="CI142" s="1" t="e">
        <f ca="1">_xll.BDH($C$128,"LT_DEBT_TO_TOT_CAP","FQ4 2016","FQ4 2016","Currency=INR","Period=FQ","BEST_FPERIOD_OVERRIDE=FQ","FILING_STATUS=OR","EQY_CONSOLIDATED=Y","Sort=A","Dates=H","DateFormat=P","Fill=—","Direction=H","UseDPDF=Y")</f>
        <v>#NAME?</v>
      </c>
      <c r="CJ142" s="1" t="e">
        <f ca="1">_xll.BDH($C$128,"LT_DEBT_TO_TOT_ASSET","FQ4 2016","FQ4 2016","Currency=INR","Period=FQ","BEST_FPERIOD_OVERRIDE=FQ","FILING_STATUS=OR","EQY_CONSOLIDATED=Y","Sort=A","Dates=H","DateFormat=P","Fill=—","Direction=H","UseDPDF=Y")</f>
        <v>#NAME?</v>
      </c>
      <c r="CK142" s="1" t="e">
        <f ca="1">_xll.BDH($C$128,"TOT_DEBT_TO_TOT_EQY","FQ4 2016","FQ4 2016","Currency=INR","Period=FQ","BEST_FPERIOD_OVERRIDE=FQ","FILING_STATUS=OR","EQY_CONSOLIDATED=Y","Sort=A","Dates=H","DateFormat=P","Fill=—","Direction=H","UseDPDF=Y")</f>
        <v>#NAME?</v>
      </c>
      <c r="CL142" s="1" t="e">
        <f ca="1">_xll.BDH($C$128,"TOT_DEBT_TO_TOT_CAP","FQ4 2016","FQ4 2016","Currency=INR","Period=FQ","BEST_FPERIOD_OVERRIDE=FQ","FILING_STATUS=OR","EQY_CONSOLIDATED=Y","Sort=A","Dates=H","DateFormat=P","Fill=—","Direction=H","UseDPDF=Y")</f>
        <v>#NAME?</v>
      </c>
      <c r="CM142" s="1" t="e">
        <f ca="1">_xll.BDH($C$128,"TOT_DEBT_TO_TOT_ASSET","FQ4 2016","FQ4 2016","Currency=INR","Period=FQ","BEST_FPERIOD_OVERRIDE=FQ","FILING_STATUS=OR","EQY_CONSOLIDATED=Y","Sort=A","Dates=H","DateFormat=P","Fill=—","Direction=H","UseDPDF=Y")</f>
        <v>#NAME?</v>
      </c>
      <c r="CN142" s="1" t="e">
        <f ca="1">_xll.BDH($C$128,"NET_DEBT_TO_SHRHLDR_EQTY","FQ4 2016","FQ4 2016","Currency=INR","Period=FQ","BEST_FPERIOD_OVERRIDE=FQ","FILING_STATUS=OR","EQY_CONSOLIDATED=Y","Sort=A","Dates=H","DateFormat=P","Fill=—","Direction=H","UseDPDF=Y")</f>
        <v>#NAME?</v>
      </c>
      <c r="CO142" s="1" t="e">
        <f ca="1">_xll.BDH($C$128,"NET_DEBT_%_CAPITAL","FQ4 2016","FQ4 2016","Currency=INR","Period=FQ","BEST_FPERIOD_OVERRIDE=FQ","FILING_STATUS=OR","EQY_CONSOLIDATED=Y","Sort=A","Dates=H","DateFormat=P","Fill=—","Direction=H","UseDPDF=Y")</f>
        <v>#NAME?</v>
      </c>
      <c r="CP142" s="2" t="e">
        <f ca="1">_xll.BDH($C$128,"EBITDA","FQ4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42" s="2" t="e">
        <f ca="1">_xll.BDH($C$128,"EBITDA_AFTER_CAPEX","FQ4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42" s="2" t="e">
        <f ca="1">_xll.BDH($C$128,"IS_OPER_INC","FQ4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42" s="1" t="e">
        <f ca="1">_xll.BDH($C$128,"CASH_RATIO","FQ4 2016","FQ4 2016","Currency=INR","Period=FQ","BEST_FPERIOD_OVERRIDE=FQ","FILING_STATUS=OR","EQY_CONSOLIDATED=Y","Sort=A","Dates=H","DateFormat=P","Fill=—","Direction=H","UseDPDF=Y")</f>
        <v>#NAME?</v>
      </c>
      <c r="CT142" s="1" t="e">
        <f ca="1">_xll.BDH($C$128,"CUR_RATIO","FQ4 2016","FQ4 2016","Currency=INR","Period=FQ","BEST_FPERIOD_OVERRIDE=FQ","FILING_STATUS=OR","EQY_CONSOLIDATED=Y","Sort=A","Dates=H","DateFormat=P","Fill=—","Direction=H","UseDPDF=Y")</f>
        <v>#NAME?</v>
      </c>
      <c r="CU142" s="1" t="e">
        <f ca="1">_xll.BDH($C$128,"QUICK_RATIO","FQ4 2016","FQ4 2016","Currency=INR","Period=FQ","BEST_FPERIOD_OVERRIDE=FQ","FILING_STATUS=OR","EQY_CONSOLIDATED=Y","Sort=A","Dates=H","DateFormat=P","Fill=—","Direction=H","UseDPDF=Y")</f>
        <v>#NAME?</v>
      </c>
      <c r="CV142" s="1" t="e">
        <f ca="1">_xll.BDH($C$128,"ALTMAN_Z_SCORE","FQ4 2016","FQ4 2016","Currency=INR","Period=FQ","BEST_FPERIOD_OVERRIDE=FQ","FILING_STATUS=OR","EQY_CONSOLIDATED=Y","Sort=A","Dates=H","DateFormat=P","Fill=—","Direction=H","UseDPDF=Y")</f>
        <v>#NAME?</v>
      </c>
      <c r="CW142" s="3" t="e">
        <f ca="1">_xll.BDH($C$128,"ACCT_RCV_TURN","FQ4 2016","FQ4 2016","Currency=INR","Period=FQ","BEST_FPERIOD_OVERRIDE=FQ","FILING_STATUS=OR","EQY_CONSOLIDATED=Y","FA_ADJUSTED=GAAP","Sort=A","Dates=H","DateFormat=P","Fill=—","Direction=H","UseDPDF=Y")</f>
        <v>#NAME?</v>
      </c>
      <c r="CX142" s="1" t="e">
        <f ca="1">_xll.BDH($C$128,"ACCT_RCV_DAYS","FQ4 2016","FQ4 2016","Currency=INR","Period=FQ","BEST_FPERIOD_OVERRIDE=FQ","FILING_STATUS=OR","EQY_CONSOLIDATED=Y","FA_ADJUSTED=GAAP","Sort=A","Dates=H","DateFormat=P","Fill=—","Direction=H","UseDPDF=Y")</f>
        <v>#NAME?</v>
      </c>
      <c r="CY142" s="3" t="e">
        <f ca="1">_xll.BDH($C$128,"INVENT_TURN","FQ4 2016","FQ4 2016","Currency=INR","Period=FQ","BEST_FPERIOD_OVERRIDE=FQ","FILING_STATUS=OR","EQY_CONSOLIDATED=Y","FA_ADJUSTED=GAAP","Sort=A","Dates=H","DateFormat=P","Fill=—","Direction=H","UseDPDF=Y")</f>
        <v>#NAME?</v>
      </c>
      <c r="CZ142" s="1" t="e">
        <f ca="1">_xll.BDH($C$128,"INVENT_DAYS","FQ4 2016","FQ4 2016","Currency=INR","Period=FQ","BEST_FPERIOD_OVERRIDE=FQ","FILING_STATUS=OR","EQY_CONSOLIDATED=Y","FA_ADJUSTED=GAAP","Sort=A","Dates=H","DateFormat=P","Fill=—","Direction=H","UseDPDF=Y")</f>
        <v>#NAME?</v>
      </c>
      <c r="DA142" s="3" t="e">
        <f ca="1">_xll.BDH($C$128,"ACCOUNTS_PAYABLE_TURNOVER","FQ4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42" s="1" t="e">
        <f ca="1">_xll.BDH($C$128,"ACCOUNTS_PAYABLE_TURNOVER_DAYS","FQ4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42" s="3" t="e">
        <f ca="1">_xll.BDH($C$128,"CASH_CONVERSION_CYCLE","FQ4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42" s="3" t="e">
        <f ca="1">_xll.BDH($C$128,"INV_TO_CASH_DAYS","FQ4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142" s="4" t="e">
        <f ca="1">_xll.BDH($C$128,"BS_INVENTORIES","FQ4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142" s="2" t="e">
        <f ca="1">_xll.BDH($C$128,"INVTRY_RAW_MATERIALS","FQ4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42" s="2" t="e">
        <f ca="1">_xll.BDH($C$128,"INVTRY_IN_PROGRESS","FQ4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42" s="2" t="e">
        <f ca="1">_xll.BDH($C$128,"INVTRY_FINISHED_GOODS","FQ4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42" s="2" t="e">
        <f ca="1">_xll.BDH($C$128,"BS_OTHER_INV","FQ4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43" spans="1:113" x14ac:dyDescent="0.3">
      <c r="A143" s="6"/>
      <c r="B143" s="6"/>
      <c r="C143" s="6"/>
      <c r="D143" s="6" t="s">
        <v>10</v>
      </c>
      <c r="E143" t="s">
        <v>3</v>
      </c>
      <c r="F143" t="e">
        <f ca="1">_xll.BDH($C$128,"RETURN_COM_EQY","FY 2017","FY 2017","Currency=INR","Period=FY","BEST_FPERIOD_OVERRIDE=FY","FILING_STATUS=OR","EQY_CONSOLIDATED=Y","FA_ADJUSTED=GAAP","Sort=A","Dates=H","DateFormat=P","Fill=—","Direction=H","UseDPDF=Y")</f>
        <v>#NAME?</v>
      </c>
      <c r="G143" t="e">
        <f ca="1">_xll.BDH($C$128,"RETURN_ON_ASSET","FY 2017","FY 2017","Currency=INR","Period=FY","BEST_FPERIOD_OVERRIDE=FY","FILING_STATUS=OR","EQY_CONSOLIDATED=Y","FA_ADJUSTED=GAAP","Sort=A","Dates=H","DateFormat=P","Fill=—","Direction=H","UseDPDF=Y")</f>
        <v>#NAME?</v>
      </c>
      <c r="H143" t="e">
        <f ca="1">_xll.BDH($C$128,"RETURN_ON_CAP","FY 2017","FY 2017","Currency=INR","Period=FY","BEST_FPERIOD_OVERRIDE=FY","FILING_STATUS=OR","EQY_CONSOLIDATED=Y","FA_ADJUSTED=GAAP","Sort=A","Dates=H","DateFormat=P","Fill=—","Direction=H","UseDPDF=Y")</f>
        <v>#NAME?</v>
      </c>
      <c r="I143" t="e">
        <f ca="1">_xll.BDH($C$128,"RETURN_ON_INV_CAPITAL","FY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43" t="e">
        <f ca="1">_xll.BDH($C$128,"EBITDA_TO_REVENUE","FY 2017","FY 2017","Currency=INR","Period=FY","BEST_FPERIOD_OVERRIDE=FY","FILING_STATUS=OR","EQY_CONSOLIDATED=Y","FA_ADJUSTED=GAAP","Sort=A","Dates=H","DateFormat=P","Fill=—","Direction=H","UseDPDF=Y")</f>
        <v>#NAME?</v>
      </c>
      <c r="K143" t="e">
        <f ca="1">_xll.BDH($C$128,"OPER_MARGIN","FY 2017","FY 2017","Currency=INR","Period=FY","BEST_FPERIOD_OVERRIDE=FY","FILING_STATUS=OR","EQY_CONSOLIDATED=Y","FA_ADJUSTED=GAAP","Sort=A","Dates=H","DateFormat=P","Fill=—","Direction=H","UseDPDF=Y")</f>
        <v>#NAME?</v>
      </c>
      <c r="L143" t="e">
        <f ca="1">_xll.BDH($C$128,"INCREMENTAL_OPERATING_MARGIN","FY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43" t="e">
        <f ca="1">_xll.BDH($C$128,"PRETAX_INC_TO_NET_SALES","FY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43" t="e">
        <f ca="1">_xll.BDH($C$128,"INC_BEF_XO_ITEMS_TO_NET_SALES","FY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43" t="e">
        <f ca="1">_xll.BDH($C$128,"PROF_MARGIN","FY 2017","FY 2017","Currency=INR","Period=FY","BEST_FPERIOD_OVERRIDE=FY","FILING_STATUS=OR","EQY_CONSOLIDATED=Y","FA_ADJUSTED=GAAP","Sort=A","Dates=H","DateFormat=P","Fill=—","Direction=H","UseDPDF=Y")</f>
        <v>#NAME?</v>
      </c>
      <c r="P143" t="e">
        <f ca="1">_xll.BDH($C$128,"NET_INCOME_TO_COMMON_MARGIN","FY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43" t="e">
        <f ca="1">_xll.BDH($C$128,"EFF_TAX_RATE","FY 2017","FY 2017","Currency=INR","Period=FY","BEST_FPERIOD_OVERRIDE=FY","FILING_STATUS=OR","EQY_CONSOLIDATED=Y","FA_ADJUSTED=GAAP","Sort=A","Dates=H","DateFormat=P","Fill=—","Direction=H","UseDPDF=Y")</f>
        <v>#NAME?</v>
      </c>
      <c r="R143" t="e">
        <f ca="1">_xll.BDH($C$128,"DVD_PAYOUT_RATIO","FY 2017","FY 2017","Currency=INR","Period=FY","BEST_FPERIOD_OVERRIDE=FY","FILING_STATUS=OR","EQY_CONSOLIDATED=Y","FA_ADJUSTED=GAAP","Sort=A","Dates=H","DateFormat=P","Fill=—","Direction=H","UseDPDF=Y")</f>
        <v>#NAME?</v>
      </c>
      <c r="S143" t="e">
        <f ca="1">_xll.BDH($C$128,"SUSTAIN_GROWTH_RT","FY 2017","FY 2017","Currency=INR","Period=FY","BEST_FPERIOD_OVERRIDE=FY","FILING_STATUS=OR","EQY_CONSOLIDATED=Y","FA_ADJUSTED=GAAP","Sort=A","Dates=H","DateFormat=P","Fill=—","Direction=H","UseDPDF=Y")</f>
        <v>#NAME?</v>
      </c>
      <c r="T143" s="1" t="e">
        <f ca="1">_xll.BDH($C$128,"SALES_GROWTH","FY 2017","FY 2017","Currency=INR","Period=FY","BEST_FPERIOD_OVERRIDE=FY","FILING_STATUS=OR","EQY_CONSOLIDATED=Y","FA_ADJUSTED=GAAP","Sort=A","Dates=H","DateFormat=P","Fill=—","Direction=H","UseDPDF=Y")</f>
        <v>#NAME?</v>
      </c>
      <c r="U143" s="1" t="e">
        <f ca="1">_xll.BDH($C$128,"EBITDA_GROWTH","FY 2017","FY 2017","Currency=INR","Period=FY","BEST_FPERIOD_OVERRIDE=FY","FILING_STATUS=OR","EQY_CONSOLIDATED=Y","FA_ADJUSTED=GAAP","Sort=A","Dates=H","DateFormat=P","Fill=—","Direction=H","UseDPDF=Y")</f>
        <v>#NAME?</v>
      </c>
      <c r="V143" s="1" t="e">
        <f ca="1">_xll.BDH($C$128,"OPER_INC_GROWTH","FY 2017","FY 2017","Currency=INR","Period=FY","BEST_FPERIOD_OVERRIDE=FY","FILING_STATUS=OR","EQY_CONSOLIDATED=Y","FA_ADJUSTED=GAAP","Sort=A","Dates=H","DateFormat=P","Fill=—","Direction=H","UseDPDF=Y")</f>
        <v>#NAME?</v>
      </c>
      <c r="W143" s="1" t="e">
        <f ca="1">_xll.BDH($C$128,"EARN_FOR_COM_GROWTH","FY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143" s="1" t="e">
        <f ca="1">_xll.BDH($C$128,"DILUTED_EPS_AFT_XO_ITEMS_GROWTH","FY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43" s="1" t="e">
        <f ca="1">_xll.BDH($C$128,"DIVIDEND_PER_SHARE_1_YEAR_GROWTH","FY 2017","FY 2017","Currency=INR","Period=FY","BEST_FPERIOD_OVERRIDE=FY","FILING_STATUS=OR","EQY_CONSOLIDATED=Y","Sort=A","Dates=H","DateFormat=P","Fill=—","Direction=H","UseDPDF=Y")</f>
        <v>#NAME?</v>
      </c>
      <c r="Z143" s="1" t="e">
        <f ca="1">_xll.BDH($C$128,"ACCOUNTS_RECEIVABLE_GROWTH","FY 2017","FY 2017","Currency=INR","Period=FY","BEST_FPERIOD_OVERRIDE=FY","FILING_STATUS=OR","EQY_CONSOLIDATED=Y","Sort=A","Dates=H","DateFormat=P","Fill=—","Direction=H","UseDPDF=Y")</f>
        <v>#NAME?</v>
      </c>
      <c r="AA143" s="1" t="e">
        <f ca="1">_xll.BDH($C$128,"INVENTORY_GROWTH","FY 2017","FY 2017","Currency=INR","Period=FY","BEST_FPERIOD_OVERRIDE=FY","FILING_STATUS=OR","EQY_CONSOLIDATED=Y","Sort=A","Dates=H","DateFormat=P","Fill=—","Direction=H","UseDPDF=Y")</f>
        <v>#NAME?</v>
      </c>
      <c r="AB143" s="1" t="e">
        <f ca="1">_xll.BDH($C$128,"NET_FIXED_ASSETS_1_YEAR_GROWTH","FY 2017","FY 2017","Currency=INR","Period=FY","BEST_FPERIOD_OVERRIDE=FY","FILING_STATUS=OR","EQY_CONSOLIDATED=Y","Sort=A","Dates=H","DateFormat=P","Fill=—","Direction=H","UseDPDF=Y")</f>
        <v>#NAME?</v>
      </c>
      <c r="AC143" s="1" t="e">
        <f ca="1">_xll.BDH($C$128,"ASSET_GROWTH","FY 2017","FY 2017","Currency=INR","Period=FY","BEST_FPERIOD_OVERRIDE=FY","FILING_STATUS=OR","EQY_CONSOLIDATED=Y","Sort=A","Dates=H","DateFormat=P","Fill=—","Direction=H","UseDPDF=Y")</f>
        <v>#NAME?</v>
      </c>
      <c r="AD143" s="1" t="e">
        <f ca="1">_xll.BDH($C$128,"MODIFIED_WORK_CAP_GROWTH","FY 2017","FY 2017","Currency=INR","Period=FY","BEST_FPERIOD_OVERRIDE=FY","FILING_STATUS=OR","EQY_CONSOLIDATED=Y","Sort=A","Dates=H","DateFormat=P","Fill=—","Direction=H","UseDPDF=Y")</f>
        <v>#NAME?</v>
      </c>
      <c r="AE143" s="1" t="e">
        <f ca="1">_xll.BDH($C$128,"WORK_CAP_GROWTH","FY 2017","FY 2017","Currency=INR","Period=FY","BEST_FPERIOD_OVERRIDE=FY","FILING_STATUS=OR","EQY_CONSOLIDATED=Y","Sort=A","Dates=H","DateFormat=P","Fill=—","Direction=H","UseDPDF=Y")</f>
        <v>#NAME?</v>
      </c>
      <c r="AF143" s="1" t="e">
        <f ca="1">_xll.BDH($C$128,"ACCOUNTS_PAYABLE_GROWTH_1YR","FY 2017","FY 2017","Currency=INR","Period=FY","BEST_FPERIOD_OVERRIDE=FY","FILING_STATUS=OR","EQY_CONSOLIDATED=Y","Sort=A","Dates=H","DateFormat=P","Fill=—","Direction=H","UseDPDF=Y")</f>
        <v>#NAME?</v>
      </c>
      <c r="AG143" s="1" t="e">
        <f ca="1">_xll.BDH($C$128,"SHORT_TERM_DEBT_1_YEAR_GROWTH","FY 2017","FY 2017","Currency=INR","Period=FY","BEST_FPERIOD_OVERRIDE=FY","FILING_STATUS=OR","EQY_CONSOLIDATED=Y","Sort=A","Dates=H","DateFormat=P","Fill=—","Direction=H","UseDPDF=Y")</f>
        <v>#NAME?</v>
      </c>
      <c r="AH143" s="1" t="e">
        <f ca="1">_xll.BDH($C$128,"TOTAL_DEBT_1_YEAR_GROWTH","FY 2017","FY 2017","Currency=INR","Period=FY","BEST_FPERIOD_OVERRIDE=FY","FILING_STATUS=OR","EQY_CONSOLIDATED=Y","Sort=A","Dates=H","DateFormat=P","Fill=—","Direction=H","UseDPDF=Y")</f>
        <v>#NAME?</v>
      </c>
      <c r="AI143" s="1" t="e">
        <f ca="1">_xll.BDH($C$128,"TOTAL_EQUITY_1_YEAR_GROWTH","FY 2017","FY 2017","Currency=INR","Period=FY","BEST_FPERIOD_OVERRIDE=FY","FILING_STATUS=OR","EQY_CONSOLIDATED=Y","Sort=A","Dates=H","DateFormat=P","Fill=—","Direction=H","UseDPDF=Y")</f>
        <v>#NAME?</v>
      </c>
      <c r="AJ143" s="1" t="e">
        <f ca="1">_xll.BDH($C$128,"GROWTH_IN_CAP","FY 2017","FY 2017","Currency=INR","Period=FY","BEST_FPERIOD_OVERRIDE=FY","FILING_STATUS=OR","EQY_CONSOLIDATED=Y","Sort=A","Dates=H","DateFormat=P","Fill=—","Direction=H","UseDPDF=Y")</f>
        <v>#NAME?</v>
      </c>
      <c r="AK143" s="1" t="e">
        <f ca="1">_xll.BDH($C$128,"BVPS_GROWTH","FY 2017","FY 2017","Currency=INR","Period=FY","BEST_FPERIOD_OVERRIDE=FY","FILING_STATUS=OR","EQY_CONSOLIDATED=Y","Sort=A","Dates=H","DateFormat=P","Fill=—","Direction=H","UseDPDF=Y")</f>
        <v>#NAME?</v>
      </c>
      <c r="AL143" s="1" t="e">
        <f ca="1">_xll.BDH($C$128,"CASH_FLOW_GROWTH","FY 2017","FY 2017","Currency=INR","Period=FY","BEST_FPERIOD_OVERRIDE=FY","FILING_STATUS=OR","EQY_CONSOLIDATED=Y","Sort=A","Dates=H","DateFormat=P","Fill=—","Direction=H","UseDPDF=Y")</f>
        <v>#NAME?</v>
      </c>
      <c r="AM143" s="1" t="e">
        <f ca="1">_xll.BDH($C$128,"GEO_GROW_NET_SALES","FY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143" s="1" t="e">
        <f ca="1">_xll.BDH($C$128,"GEO_GROW_EBITDA","FY 2017","FY 2017","Currency=INR","Period=FY","BEST_FPERIOD_OVERRIDE=FY","FILING_STATUS=OR","EQY_CONSOLIDATED=Y","FA_ADJUSTED=GAAP","Sort=A","Dates=H","DateFormat=P","Fill=—","Direction=H","UseDPDF=Y")</f>
        <v>#NAME?</v>
      </c>
      <c r="AO143" s="1" t="e">
        <f ca="1">_xll.BDH($C$128,"GEO_GROW_OPER_INC","FY 2017","FY 2017","Currency=INR","Period=FY","BEST_FPERIOD_OVERRIDE=FY","FILING_STATUS=OR","EQY_CONSOLIDATED=Y","FA_ADJUSTED=GAAP","Sort=A","Dates=H","DateFormat=P","Fill=—","Direction=H","UseDPDF=Y")</f>
        <v>#NAME?</v>
      </c>
      <c r="AP143" s="1" t="e">
        <f ca="1">_xll.BDH($C$128,"NET_INCOME_TO_COMMON_5_YR_GROWTH","FY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43" s="1" t="e">
        <f ca="1">_xll.BDH($C$128,"5Y_GEO_GROWTH_DILUTED_EPS","FY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43" s="1" t="e">
        <f ca="1">_xll.BDH($C$128,"GEO_GROW_DVD_PER_SH","FY 2017","FY 2017","Currency=INR","Period=FY","BEST_FPERIOD_OVERRIDE=FY","FILING_STATUS=OR","EQY_CONSOLIDATED=Y","Sort=A","Dates=H","DateFormat=P","Fill=—","Direction=H","UseDPDF=Y")</f>
        <v>#NAME?</v>
      </c>
      <c r="AS143" s="1" t="e">
        <f ca="1">_xll.BDH($C$128,"ACCOUNTS_RECEIVABLE_5_YR_GROWTH","FY 2017","FY 2017","Currency=INR","Period=FY","BEST_FPERIOD_OVERRIDE=FY","FILING_STATUS=OR","EQY_CONSOLIDATED=Y","Sort=A","Dates=H","DateFormat=P","Fill=—","Direction=H","UseDPDF=Y")</f>
        <v>#NAME?</v>
      </c>
      <c r="AT143" s="1" t="e">
        <f ca="1">_xll.BDH($C$128,"INVENTORY_5_YEAR_GROWTH","FY 2017","FY 2017","Currency=INR","Period=FY","BEST_FPERIOD_OVERRIDE=FY","FILING_STATUS=OR","EQY_CONSOLIDATED=Y","Sort=A","Dates=H","DateFormat=P","Fill=—","Direction=H","UseDPDF=Y")</f>
        <v>#NAME?</v>
      </c>
      <c r="AU143" s="1" t="e">
        <f ca="1">_xll.BDH($C$128,"NET_FIXED_ASSETS_5_YEAR_GROWTH","FY 2017","FY 2017","Currency=INR","Period=FY","BEST_FPERIOD_OVERRIDE=FY","FILING_STATUS=OR","EQY_CONSOLIDATED=Y","Sort=A","Dates=H","DateFormat=P","Fill=—","Direction=H","UseDPDF=Y")</f>
        <v>#NAME?</v>
      </c>
      <c r="AV143" s="1" t="e">
        <f ca="1">_xll.BDH($C$128,"GEO_GROW_TOT_ASSET","FY 2017","FY 2017","Currency=INR","Period=FY","BEST_FPERIOD_OVERRIDE=FY","FILING_STATUS=OR","EQY_CONSOLIDATED=Y","Sort=A","Dates=H","DateFormat=P","Fill=—","Direction=H","UseDPDF=Y")</f>
        <v>#NAME?</v>
      </c>
      <c r="AW143" s="1" t="e">
        <f ca="1">_xll.BDH($C$128,"MODIFIED_WORKING_CPTL_5YR_GRWTH","FY 2017","FY 2017","Currency=INR","Period=FY","BEST_FPERIOD_OVERRIDE=FY","FILING_STATUS=OR","EQY_CONSOLIDATED=Y","Sort=A","Dates=H","DateFormat=P","Fill=—","Direction=H","UseDPDF=Y")</f>
        <v>#NAME?</v>
      </c>
      <c r="AX143" s="1" t="e">
        <f ca="1">_xll.BDH($C$128,"WORKING_CAPITAL_5_YEAR_GROWTH","FY 2017","FY 2017","Currency=INR","Period=FY","BEST_FPERIOD_OVERRIDE=FY","FILING_STATUS=OR","EQY_CONSOLIDATED=Y","Sort=A","Dates=H","DateFormat=P","Fill=—","Direction=H","UseDPDF=Y")</f>
        <v>#NAME?</v>
      </c>
      <c r="AY143" s="1" t="e">
        <f ca="1">_xll.BDH($C$128,"ACCOUNTS_PAYABLE_5_YEAR_GROWTH","FY 2017","FY 2017","Currency=INR","Period=FY","BEST_FPERIOD_OVERRIDE=FY","FILING_STATUS=OR","EQY_CONSOLIDATED=Y","Sort=A","Dates=H","DateFormat=P","Fill=—","Direction=H","UseDPDF=Y")</f>
        <v>#NAME?</v>
      </c>
      <c r="AZ143" s="1" t="e">
        <f ca="1">_xll.BDH($C$128,"SHORT_TERM_DEBT_5_YEAR_GROWTH","FY 2017","FY 2017","Currency=INR","Period=FY","BEST_FPERIOD_OVERRIDE=FY","FILING_STATUS=OR","EQY_CONSOLIDATED=Y","Sort=A","Dates=H","DateFormat=P","Fill=—","Direction=H","UseDPDF=Y")</f>
        <v>#NAME?</v>
      </c>
      <c r="BA143" s="1" t="e">
        <f ca="1">_xll.BDH($C$128,"TOTAL_DEBT_5_YEAR_GROWTH","FY 2017","FY 2017","Currency=INR","Period=FY","BEST_FPERIOD_OVERRIDE=FY","FILING_STATUS=OR","EQY_CONSOLIDATED=Y","Sort=A","Dates=H","DateFormat=P","Fill=—","Direction=H","UseDPDF=Y")</f>
        <v>#NAME?</v>
      </c>
      <c r="BB143" s="1" t="e">
        <f ca="1">_xll.BDH($C$128,"GEO_GROW_TOT_SHRHLDR_EQY","FY 2017","FY 2017","Currency=INR","Period=FY","BEST_FPERIOD_OVERRIDE=FY","FILING_STATUS=OR","EQY_CONSOLIDATED=Y","Sort=A","Dates=H","DateFormat=P","Fill=—","Direction=H","UseDPDF=Y")</f>
        <v>#NAME?</v>
      </c>
      <c r="BC143" s="1" t="e">
        <f ca="1">_xll.BDH($C$128,"TOTAL_CAPITAL_5_YEAR_GROWTH","FY 2017","FY 2017","Currency=INR","Period=FY","BEST_FPERIOD_OVERRIDE=FY","FILING_STATUS=OR","EQY_CONSOLIDATED=Y","Sort=A","Dates=H","DateFormat=P","Fill=—","Direction=H","UseDPDF=Y")</f>
        <v>#NAME?</v>
      </c>
      <c r="BD143" s="1" t="e">
        <f ca="1">_xll.BDH($C$128,"GEO_GROW_BOOK_VAL","FY 2017","FY 2017","Currency=INR","Period=FY","BEST_FPERIOD_OVERRIDE=FY","FILING_STATUS=OR","EQY_CONSOLIDATED=Y","Sort=A","Dates=H","DateFormat=P","Fill=—","Direction=H","UseDPDF=Y")</f>
        <v>#NAME?</v>
      </c>
      <c r="BE143" s="1" t="e">
        <f ca="1">_xll.BDH($C$128,"GEO_GROW_CASH_OPER_ACT","FY 2017","FY 2017","Currency=INR","Period=FY","BEST_FPERIOD_OVERRIDE=FY","FILING_STATUS=OR","EQY_CONSOLIDATED=Y","Sort=A","Dates=H","DateFormat=P","Fill=—","Direction=H","UseDPDF=Y")</f>
        <v>#NAME?</v>
      </c>
      <c r="BF143" s="1" t="e">
        <f ca="1">_xll.BDH($C$128,"REVENUE_SEQUENTIAL_GROWTH","FY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43" s="1" t="e">
        <f ca="1">_xll.BDH($C$128,"EBITDA_SEQUENTIAL_GROWTH","FY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43" s="1" t="e">
        <f ca="1">_xll.BDH($C$128,"OPERATING_INCOME_SEQ_GROWTH","FY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43" s="1" t="e">
        <f ca="1">_xll.BDH($C$128,"NET_INCOME_TO_COMMON_SEQ_GROWTH","FY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43" s="1" t="e">
        <f ca="1">_xll.BDH($C$128,"EPS_DILUTED_SEQUENTIAL_GROWTH","FY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43" s="1" t="e">
        <f ca="1">_xll.BDH($C$128,"DPS_SEQUENTIAL_GROWTH","FY 2017","FY 2017","Currency=INR","Period=FY","BEST_FPERIOD_OVERRIDE=FY","FILING_STATUS=OR","EQY_CONSOLIDATED=Y","Sort=A","Dates=H","DateFormat=P","Fill=—","Direction=H","UseDPDF=Y")</f>
        <v>#NAME?</v>
      </c>
      <c r="BL143" s="1" t="e">
        <f ca="1">_xll.BDH($C$128,"ACCOUNTS_RECEIVABLE_SEQ_GROWTH","FY 2017","FY 2017","Currency=INR","Period=FY","BEST_FPERIOD_OVERRIDE=FY","FILING_STATUS=OR","EQY_CONSOLIDATED=Y","Sort=A","Dates=H","DateFormat=P","Fill=—","Direction=H","UseDPDF=Y")</f>
        <v>#NAME?</v>
      </c>
      <c r="BM143" s="1" t="e">
        <f ca="1">_xll.BDH($C$128,"INVENTORY_SEQUENTIAL_GROWTH","FY 2017","FY 2017","Currency=INR","Period=FY","BEST_FPERIOD_OVERRIDE=FY","FILING_STATUS=OR","EQY_CONSOLIDATED=Y","Sort=A","Dates=H","DateFormat=P","Fill=—","Direction=H","UseDPDF=Y")</f>
        <v>#NAME?</v>
      </c>
      <c r="BN143" s="1" t="e">
        <f ca="1">_xll.BDH($C$128,"FIXED_ASSETS_SEQUENTIAL_GROWTH","FY 2017","FY 2017","Currency=INR","Period=FY","BEST_FPERIOD_OVERRIDE=FY","FILING_STATUS=OR","EQY_CONSOLIDATED=Y","Sort=A","Dates=H","DateFormat=P","Fill=—","Direction=H","UseDPDF=Y")</f>
        <v>#NAME?</v>
      </c>
      <c r="BO143" s="1" t="e">
        <f ca="1">_xll.BDH($C$128,"TOTAL_ASSETS_SEQUENTIAL_GROWTH","FY 2017","FY 2017","Currency=INR","Period=FY","BEST_FPERIOD_OVERRIDE=FY","FILING_STATUS=OR","EQY_CONSOLIDATED=Y","Sort=A","Dates=H","DateFormat=P","Fill=—","Direction=H","UseDPDF=Y")</f>
        <v>#NAME?</v>
      </c>
      <c r="BP143" s="1" t="e">
        <f ca="1">_xll.BDH($C$128,"MODIFIED_WORKING_CPTL_SEQ_GRWTH","FY 2017","FY 2017","Currency=INR","Period=FY","BEST_FPERIOD_OVERRIDE=FY","FILING_STATUS=OR","EQY_CONSOLIDATED=Y","Sort=A","Dates=H","DateFormat=P","Fill=—","Direction=H","UseDPDF=Y")</f>
        <v>#NAME?</v>
      </c>
      <c r="BQ143" s="1" t="e">
        <f ca="1">_xll.BDH($C$128,"WORKING_CAPITAL_SEQ_GROWTH","FY 2017","FY 2017","Currency=INR","Period=FY","BEST_FPERIOD_OVERRIDE=FY","FILING_STATUS=OR","EQY_CONSOLIDATED=Y","Sort=A","Dates=H","DateFormat=P","Fill=—","Direction=H","UseDPDF=Y")</f>
        <v>#NAME?</v>
      </c>
      <c r="BR143" s="1" t="e">
        <f ca="1">_xll.BDH($C$128,"ACCOUNTS_PAYABLE_SEQ_GROWTH","FY 2017","FY 2017","Currency=INR","Period=FY","BEST_FPERIOD_OVERRIDE=FY","FILING_STATUS=OR","EQY_CONSOLIDATED=Y","Sort=A","Dates=H","DateFormat=P","Fill=—","Direction=H","UseDPDF=Y")</f>
        <v>#NAME?</v>
      </c>
      <c r="BS143" s="1" t="e">
        <f ca="1">_xll.BDH($C$128,"ST_DEBT_SEQUENTIAL_GROWTH","FY 2017","FY 2017","Currency=INR","Period=FY","BEST_FPERIOD_OVERRIDE=FY","FILING_STATUS=OR","EQY_CONSOLIDATED=Y","Sort=A","Dates=H","DateFormat=P","Fill=—","Direction=H","UseDPDF=Y")</f>
        <v>#NAME?</v>
      </c>
      <c r="BT143" s="1" t="e">
        <f ca="1">_xll.BDH($C$128,"TOTAL_DEBT_SEQUENTIAL_GROWTH","FY 2017","FY 2017","Currency=INR","Period=FY","BEST_FPERIOD_OVERRIDE=FY","FILING_STATUS=OR","EQY_CONSOLIDATED=Y","Sort=A","Dates=H","DateFormat=P","Fill=—","Direction=H","UseDPDF=Y")</f>
        <v>#NAME?</v>
      </c>
      <c r="BU143" s="1" t="e">
        <f ca="1">_xll.BDH($C$128,"TOTAL_EQUITY_SEQUENTIAL_GROWTH","FY 2017","FY 2017","Currency=INR","Period=FY","BEST_FPERIOD_OVERRIDE=FY","FILING_STATUS=OR","EQY_CONSOLIDATED=Y","Sort=A","Dates=H","DateFormat=P","Fill=—","Direction=H","UseDPDF=Y")</f>
        <v>#NAME?</v>
      </c>
      <c r="BV143" s="1" t="e">
        <f ca="1">_xll.BDH($C$128,"TOTAL_CAPITAL_SEQUENTIAL_GROWTH","FY 2017","FY 2017","Currency=INR","Period=FY","BEST_FPERIOD_OVERRIDE=FY","FILING_STATUS=OR","EQY_CONSOLIDATED=Y","Sort=A","Dates=H","DateFormat=P","Fill=—","Direction=H","UseDPDF=Y")</f>
        <v>#NAME?</v>
      </c>
      <c r="BW143" s="1" t="e">
        <f ca="1">_xll.BDH($C$128,"BPS_SEQUENTIAL_GROWTH","FY 2017","FY 2017","Currency=INR","Period=FY","BEST_FPERIOD_OVERRIDE=FY","FILING_STATUS=OR","EQY_CONSOLIDATED=Y","Sort=A","Dates=H","DateFormat=P","Fill=—","Direction=H","UseDPDF=Y")</f>
        <v>#NAME?</v>
      </c>
      <c r="BX143" s="1" t="e">
        <f ca="1">_xll.BDH($C$128,"CFO_SEQUENTIAL_GROWTH","FY 2017","FY 2017","Currency=INR","Period=FY","BEST_FPERIOD_OVERRIDE=FY","FILING_STATUS=OR","EQY_CONSOLIDATED=Y","Sort=A","Dates=H","DateFormat=P","Fill=—","Direction=H","UseDPDF=Y")</f>
        <v>#NAME?</v>
      </c>
      <c r="BY143" s="2" t="e">
        <f ca="1">_xll.BDH($C$128,"SHORT_AND_LONG_TERM_DEBT","FY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43" s="2" t="e">
        <f ca="1">_xll.BDH($C$128,"BS_ST_BORROW","FY 2017","FY 2017","Currency=INR","Period=FY","BEST_FPERIOD_OVERRIDE=FY","FILING_STATUS=OR","EQY_CONSOLIDATED=Y","SCALING_FORMAT=MLN","Sort=A","Dates=H","DateFormat=P","Fill=—","Direction=H","UseDPDF=Y")</f>
        <v>#NAME?</v>
      </c>
      <c r="CA143" s="2" t="e">
        <f ca="1">_xll.BDH($C$128,"BS_LT_BORROW","FY 2017","FY 2017","Currency=INR","Period=FY","BEST_FPERIOD_OVERRIDE=FY","FILING_STATUS=OR","EQY_CONSOLIDATED=Y","SCALING_FORMAT=MLN","Sort=A","Dates=H","DateFormat=P","Fill=—","Direction=H","UseDPDF=Y")</f>
        <v>#NAME?</v>
      </c>
      <c r="CB143" s="1" t="e">
        <f ca="1">_xll.BDH($C$128,"TOT_DEBT_TO_EBITDA","FY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143" s="1" t="e">
        <f ca="1">_xll.BDH($C$128,"NET_DEBT_TO_EBITDA","FY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143" s="1" t="e">
        <f ca="1">_xll.BDH($C$128,"TOTAL_DEBT_TO_EBIT","FY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143" s="1" t="e">
        <f ca="1">_xll.BDH($C$128,"NET_DEBT_TO_EBIT","FY 2017","FY 2017","Currency=INR","Period=FY","BEST_FPERIOD_OVERRIDE=FY","FILING_STATUS=OR","EQY_CONSOLIDATED=Y","FA_ADJUSTED=GAAP","Sort=A","Dates=H","DateFormat=P","Fill=—","Direction=H","UseDPDF=Y")</f>
        <v>#NAME?</v>
      </c>
      <c r="CF143" s="1" t="e">
        <f ca="1">_xll.BDH($C$128,"EBITDA_TO_INTEREST_EXPN","FY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43" s="1" t="e">
        <f ca="1">_xll.BDH($C$128,"COM_EQY_TO_TOT_ASSET","FY 2017","FY 2017","Currency=INR","Period=FY","BEST_FPERIOD_OVERRIDE=FY","FILING_STATUS=OR","EQY_CONSOLIDATED=Y","Sort=A","Dates=H","DateFormat=P","Fill=—","Direction=H","UseDPDF=Y")</f>
        <v>#NAME?</v>
      </c>
      <c r="CH143" s="1" t="e">
        <f ca="1">_xll.BDH($C$128,"LT_DEBT_TO_TOT_EQY","FY 2017","FY 2017","Currency=INR","Period=FY","BEST_FPERIOD_OVERRIDE=FY","FILING_STATUS=OR","EQY_CONSOLIDATED=Y","Sort=A","Dates=H","DateFormat=P","Fill=—","Direction=H","UseDPDF=Y")</f>
        <v>#NAME?</v>
      </c>
      <c r="CI143" s="1" t="e">
        <f ca="1">_xll.BDH($C$128,"LT_DEBT_TO_TOT_CAP","FY 2017","FY 2017","Currency=INR","Period=FY","BEST_FPERIOD_OVERRIDE=FY","FILING_STATUS=OR","EQY_CONSOLIDATED=Y","Sort=A","Dates=H","DateFormat=P","Fill=—","Direction=H","UseDPDF=Y")</f>
        <v>#NAME?</v>
      </c>
      <c r="CJ143" s="1" t="e">
        <f ca="1">_xll.BDH($C$128,"LT_DEBT_TO_TOT_ASSET","FY 2017","FY 2017","Currency=INR","Period=FY","BEST_FPERIOD_OVERRIDE=FY","FILING_STATUS=OR","EQY_CONSOLIDATED=Y","Sort=A","Dates=H","DateFormat=P","Fill=—","Direction=H","UseDPDF=Y")</f>
        <v>#NAME?</v>
      </c>
      <c r="CK143" s="1" t="e">
        <f ca="1">_xll.BDH($C$128,"TOT_DEBT_TO_TOT_EQY","FY 2017","FY 2017","Currency=INR","Period=FY","BEST_FPERIOD_OVERRIDE=FY","FILING_STATUS=OR","EQY_CONSOLIDATED=Y","Sort=A","Dates=H","DateFormat=P","Fill=—","Direction=H","UseDPDF=Y")</f>
        <v>#NAME?</v>
      </c>
      <c r="CL143" s="1" t="e">
        <f ca="1">_xll.BDH($C$128,"TOT_DEBT_TO_TOT_CAP","FY 2017","FY 2017","Currency=INR","Period=FY","BEST_FPERIOD_OVERRIDE=FY","FILING_STATUS=OR","EQY_CONSOLIDATED=Y","Sort=A","Dates=H","DateFormat=P","Fill=—","Direction=H","UseDPDF=Y")</f>
        <v>#NAME?</v>
      </c>
      <c r="CM143" s="1" t="e">
        <f ca="1">_xll.BDH($C$128,"TOT_DEBT_TO_TOT_ASSET","FY 2017","FY 2017","Currency=INR","Period=FY","BEST_FPERIOD_OVERRIDE=FY","FILING_STATUS=OR","EQY_CONSOLIDATED=Y","Sort=A","Dates=H","DateFormat=P","Fill=—","Direction=H","UseDPDF=Y")</f>
        <v>#NAME?</v>
      </c>
      <c r="CN143" s="1" t="e">
        <f ca="1">_xll.BDH($C$128,"NET_DEBT_TO_SHRHLDR_EQTY","FY 2017","FY 2017","Currency=INR","Period=FY","BEST_FPERIOD_OVERRIDE=FY","FILING_STATUS=OR","EQY_CONSOLIDATED=Y","Sort=A","Dates=H","DateFormat=P","Fill=—","Direction=H","UseDPDF=Y")</f>
        <v>#NAME?</v>
      </c>
      <c r="CO143" s="1" t="e">
        <f ca="1">_xll.BDH($C$128,"NET_DEBT_%_CAPITAL","FY 2017","FY 2017","Currency=INR","Period=FY","BEST_FPERIOD_OVERRIDE=FY","FILING_STATUS=OR","EQY_CONSOLIDATED=Y","Sort=A","Dates=H","DateFormat=P","Fill=—","Direction=H","UseDPDF=Y")</f>
        <v>#NAME?</v>
      </c>
      <c r="CP143" s="2" t="e">
        <f ca="1">_xll.BDH($C$128,"EBITDA","FY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43" s="2" t="e">
        <f ca="1">_xll.BDH($C$128,"EBITDA_AFTER_CAPEX","FY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43" s="2" t="e">
        <f ca="1">_xll.BDH($C$128,"IS_OPER_INC","FY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43" s="1" t="e">
        <f ca="1">_xll.BDH($C$128,"CASH_RATIO","FY 2017","FY 2017","Currency=INR","Period=FY","BEST_FPERIOD_OVERRIDE=FY","FILING_STATUS=OR","EQY_CONSOLIDATED=Y","Sort=A","Dates=H","DateFormat=P","Fill=—","Direction=H","UseDPDF=Y")</f>
        <v>#NAME?</v>
      </c>
      <c r="CT143" s="1" t="e">
        <f ca="1">_xll.BDH($C$128,"CUR_RATIO","FY 2017","FY 2017","Currency=INR","Period=FY","BEST_FPERIOD_OVERRIDE=FY","FILING_STATUS=OR","EQY_CONSOLIDATED=Y","Sort=A","Dates=H","DateFormat=P","Fill=—","Direction=H","UseDPDF=Y")</f>
        <v>#NAME?</v>
      </c>
      <c r="CU143" s="1" t="e">
        <f ca="1">_xll.BDH($C$128,"QUICK_RATIO","FY 2017","FY 2017","Currency=INR","Period=FY","BEST_FPERIOD_OVERRIDE=FY","FILING_STATUS=OR","EQY_CONSOLIDATED=Y","Sort=A","Dates=H","DateFormat=P","Fill=—","Direction=H","UseDPDF=Y")</f>
        <v>#NAME?</v>
      </c>
      <c r="CV143" s="1" t="e">
        <f ca="1">_xll.BDH($C$128,"ALTMAN_Z_SCORE","FY 2017","FY 2017","Currency=INR","Period=FY","BEST_FPERIOD_OVERRIDE=FY","FILING_STATUS=OR","EQY_CONSOLIDATED=Y","Sort=A","Dates=H","DateFormat=P","Fill=—","Direction=H","UseDPDF=Y")</f>
        <v>#NAME?</v>
      </c>
      <c r="CW143" s="3" t="e">
        <f ca="1">_xll.BDH($C$128,"ACCT_RCV_TURN","FY 2017","FY 2017","Currency=INR","Period=FY","BEST_FPERIOD_OVERRIDE=FY","FILING_STATUS=OR","EQY_CONSOLIDATED=Y","FA_ADJUSTED=GAAP","Sort=A","Dates=H","DateFormat=P","Fill=—","Direction=H","UseDPDF=Y")</f>
        <v>#NAME?</v>
      </c>
      <c r="CX143" s="1" t="e">
        <f ca="1">_xll.BDH($C$128,"ACCT_RCV_DAYS","FY 2017","FY 2017","Currency=INR","Period=FY","BEST_FPERIOD_OVERRIDE=FY","FILING_STATUS=OR","EQY_CONSOLIDATED=Y","FA_ADJUSTED=GAAP","Sort=A","Dates=H","DateFormat=P","Fill=—","Direction=H","UseDPDF=Y")</f>
        <v>#NAME?</v>
      </c>
      <c r="CY143" s="3" t="e">
        <f ca="1">_xll.BDH($C$128,"INVENT_TURN","FY 2017","FY 2017","Currency=INR","Period=FY","BEST_FPERIOD_OVERRIDE=FY","FILING_STATUS=OR","EQY_CONSOLIDATED=Y","FA_ADJUSTED=GAAP","Sort=A","Dates=H","DateFormat=P","Fill=—","Direction=H","UseDPDF=Y")</f>
        <v>#NAME?</v>
      </c>
      <c r="CZ143" s="1" t="e">
        <f ca="1">_xll.BDH($C$128,"INVENT_DAYS","FY 2017","FY 2017","Currency=INR","Period=FY","BEST_FPERIOD_OVERRIDE=FY","FILING_STATUS=OR","EQY_CONSOLIDATED=Y","FA_ADJUSTED=GAAP","Sort=A","Dates=H","DateFormat=P","Fill=—","Direction=H","UseDPDF=Y")</f>
        <v>#NAME?</v>
      </c>
      <c r="DA143" s="3" t="e">
        <f ca="1">_xll.BDH($C$128,"ACCOUNTS_PAYABLE_TURNOVER","FY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43" s="1" t="e">
        <f ca="1">_xll.BDH($C$128,"ACCOUNTS_PAYABLE_TURNOVER_DAYS","FY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43" s="3" t="e">
        <f ca="1">_xll.BDH($C$128,"CASH_CONVERSION_CYCLE","FY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43" s="3" t="e">
        <f ca="1">_xll.BDH($C$128,"INV_TO_CASH_DAYS","FY 2017","FY 2017","Currency=INR","Period=FY","BEST_FPERIOD_OVERRIDE=FY","FILING_STATUS=OR","EQY_CONSOLIDATED=Y","FA_ADJUSTED=GAAP","Sort=A","Dates=H","DateFormat=P","Fill=—","Direction=H","UseDPDF=Y")</f>
        <v>#NAME?</v>
      </c>
      <c r="DE143" s="4" t="e">
        <f ca="1">_xll.BDH($C$128,"BS_INVENTORIES","FY 2017","FY 2017","Currency=INR","Period=FY","BEST_FPERIOD_OVERRIDE=FY","FILING_STATUS=OR","EQY_CONSOLIDATED=Y","SCALING_FORMAT=MLN","Sort=A","Dates=H","DateFormat=P","Fill=—","Direction=H","UseDPDF=Y")</f>
        <v>#NAME?</v>
      </c>
      <c r="DF143" s="2" t="e">
        <f ca="1">_xll.BDH($C$128,"INVTRY_RAW_MATERIALS","FY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43" s="2" t="e">
        <f ca="1">_xll.BDH($C$128,"INVTRY_IN_PROGRESS","FY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43" s="2" t="e">
        <f ca="1">_xll.BDH($C$128,"INVTRY_FINISHED_GOODS","FY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43" s="2" t="e">
        <f ca="1">_xll.BDH($C$128,"BS_OTHER_INV","FY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44" spans="1:113" x14ac:dyDescent="0.3">
      <c r="A144" s="6"/>
      <c r="B144" s="6"/>
      <c r="C144" s="6"/>
      <c r="D144" s="6"/>
      <c r="E144" t="s">
        <v>4</v>
      </c>
      <c r="F144" t="e">
        <f ca="1">_xll.BDH($C$128,"RETURN_COM_EQY","FQ1 2017","FQ1 2017","Currency=INR","Period=FQ","BEST_FPERIOD_OVERRIDE=FQ","FILING_STATUS=OR","EQY_CONSOLIDATED=Y","FA_ADJUSTED=GAAP","Sort=A","Dates=H","DateFormat=P","Fill=—","Direction=H","UseDPDF=Y")</f>
        <v>#NAME?</v>
      </c>
      <c r="G144" t="e">
        <f ca="1">_xll.BDH($C$128,"RETURN_ON_ASSET","FQ1 2017","FQ1 2017","Currency=INR","Period=FQ","BEST_FPERIOD_OVERRIDE=FQ","FILING_STATUS=OR","EQY_CONSOLIDATED=Y","FA_ADJUSTED=GAAP","Sort=A","Dates=H","DateFormat=P","Fill=—","Direction=H","UseDPDF=Y")</f>
        <v>#NAME?</v>
      </c>
      <c r="H144" t="e">
        <f ca="1">_xll.BDH($C$128,"RETURN_ON_CAP","FQ1 2017","FQ1 2017","Currency=INR","Period=FQ","BEST_FPERIOD_OVERRIDE=FQ","FILING_STATUS=OR","EQY_CONSOLIDATED=Y","FA_ADJUSTED=GAAP","Sort=A","Dates=H","DateFormat=P","Fill=—","Direction=H","UseDPDF=Y")</f>
        <v>#NAME?</v>
      </c>
      <c r="I144" t="e">
        <f ca="1">_xll.BDH($C$128,"RETURN_ON_INV_CAPITAL","FQ1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44" t="e">
        <f ca="1">_xll.BDH($C$128,"EBITDA_TO_REVENUE","FQ1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144" t="e">
        <f ca="1">_xll.BDH($C$128,"OPER_MARGIN","FQ1 2017","FQ1 2017","Currency=INR","Period=FQ","BEST_FPERIOD_OVERRIDE=FQ","FILING_STATUS=OR","EQY_CONSOLIDATED=Y","FA_ADJUSTED=GAAP","Sort=A","Dates=H","DateFormat=P","Fill=—","Direction=H","UseDPDF=Y")</f>
        <v>#NAME?</v>
      </c>
      <c r="L144" t="e">
        <f ca="1">_xll.BDH($C$128,"INCREMENTAL_OPERATING_MARGIN","FQ1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44" t="e">
        <f ca="1">_xll.BDH($C$128,"PRETAX_INC_TO_NET_SALES","FQ1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44" t="e">
        <f ca="1">_xll.BDH($C$128,"INC_BEF_XO_ITEMS_TO_NET_SALES","FQ1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44" t="e">
        <f ca="1">_xll.BDH($C$128,"PROF_MARGIN","FQ1 2017","FQ1 2017","Currency=INR","Period=FQ","BEST_FPERIOD_OVERRIDE=FQ","FILING_STATUS=OR","EQY_CONSOLIDATED=Y","FA_ADJUSTED=GAAP","Sort=A","Dates=H","DateFormat=P","Fill=—","Direction=H","UseDPDF=Y")</f>
        <v>#NAME?</v>
      </c>
      <c r="P144" t="e">
        <f ca="1">_xll.BDH($C$128,"NET_INCOME_TO_COMMON_MARGIN","FQ1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44" t="e">
        <f ca="1">_xll.BDH($C$128,"EFF_TAX_RATE","FQ1 2017","FQ1 2017","Currency=INR","Period=FQ","BEST_FPERIOD_OVERRIDE=FQ","FILING_STATUS=OR","EQY_CONSOLIDATED=Y","FA_ADJUSTED=GAAP","Sort=A","Dates=H","DateFormat=P","Fill=—","Direction=H","UseDPDF=Y")</f>
        <v>#NAME?</v>
      </c>
      <c r="R144" t="e">
        <f ca="1">_xll.BDH($C$128,"DVD_PAYOUT_RATIO","FQ1 2017","FQ1 2017","Currency=INR","Period=FQ","BEST_FPERIOD_OVERRIDE=FQ","FILING_STATUS=OR","EQY_CONSOLIDATED=Y","FA_ADJUSTED=GAAP","Sort=A","Dates=H","DateFormat=P","Fill=—","Direction=H","UseDPDF=Y")</f>
        <v>#NAME?</v>
      </c>
      <c r="S144" t="e">
        <f ca="1">_xll.BDH($C$128,"SUSTAIN_GROWTH_RT","FQ1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144" s="1" t="e">
        <f ca="1">_xll.BDH($C$128,"SALES_GROWTH","FQ1 2017","FQ1 2017","Currency=INR","Period=FQ","BEST_FPERIOD_OVERRIDE=FQ","FILING_STATUS=OR","EQY_CONSOLIDATED=Y","FA_ADJUSTED=GAAP","Sort=A","Dates=H","DateFormat=P","Fill=—","Direction=H","UseDPDF=Y")</f>
        <v>#NAME?</v>
      </c>
      <c r="U144" s="1" t="e">
        <f ca="1">_xll.BDH($C$128,"EBITDA_GROWTH","FQ1 2017","FQ1 2017","Currency=INR","Period=FQ","BEST_FPERIOD_OVERRIDE=FQ","FILING_STATUS=OR","EQY_CONSOLIDATED=Y","FA_ADJUSTED=GAAP","Sort=A","Dates=H","DateFormat=P","Fill=—","Direction=H","UseDPDF=Y")</f>
        <v>#NAME?</v>
      </c>
      <c r="V144" s="1" t="e">
        <f ca="1">_xll.BDH($C$128,"OPER_INC_GROWTH","FQ1 2017","FQ1 2017","Currency=INR","Period=FQ","BEST_FPERIOD_OVERRIDE=FQ","FILING_STATUS=OR","EQY_CONSOLIDATED=Y","FA_ADJUSTED=GAAP","Sort=A","Dates=H","DateFormat=P","Fill=—","Direction=H","UseDPDF=Y")</f>
        <v>#NAME?</v>
      </c>
      <c r="W144" s="1" t="e">
        <f ca="1">_xll.BDH($C$128,"EARN_FOR_COM_GROWTH","FQ1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44" s="1" t="e">
        <f ca="1">_xll.BDH($C$128,"DILUTED_EPS_AFT_XO_ITEMS_GROWTH","FQ1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44" s="1" t="e">
        <f ca="1">_xll.BDH($C$128,"DIVIDEND_PER_SHARE_1_YEAR_GROWTH","FQ1 2017","FQ1 2017","Currency=INR","Period=FQ","BEST_FPERIOD_OVERRIDE=FQ","FILING_STATUS=OR","EQY_CONSOLIDATED=Y","Sort=A","Dates=H","DateFormat=P","Fill=—","Direction=H","UseDPDF=Y")</f>
        <v>#NAME?</v>
      </c>
      <c r="Z144" s="1" t="e">
        <f ca="1">_xll.BDH($C$128,"ACCOUNTS_RECEIVABLE_GROWTH","FQ1 2017","FQ1 2017","Currency=INR","Period=FQ","BEST_FPERIOD_OVERRIDE=FQ","FILING_STATUS=OR","EQY_CONSOLIDATED=Y","Sort=A","Dates=H","DateFormat=P","Fill=—","Direction=H","UseDPDF=Y")</f>
        <v>#NAME?</v>
      </c>
      <c r="AA144" s="1" t="e">
        <f ca="1">_xll.BDH($C$128,"INVENTORY_GROWTH","FQ1 2017","FQ1 2017","Currency=INR","Period=FQ","BEST_FPERIOD_OVERRIDE=FQ","FILING_STATUS=OR","EQY_CONSOLIDATED=Y","Sort=A","Dates=H","DateFormat=P","Fill=—","Direction=H","UseDPDF=Y")</f>
        <v>#NAME?</v>
      </c>
      <c r="AB144" s="1" t="e">
        <f ca="1">_xll.BDH($C$128,"NET_FIXED_ASSETS_1_YEAR_GROWTH","FQ1 2017","FQ1 2017","Currency=INR","Period=FQ","BEST_FPERIOD_OVERRIDE=FQ","FILING_STATUS=OR","EQY_CONSOLIDATED=Y","Sort=A","Dates=H","DateFormat=P","Fill=—","Direction=H","UseDPDF=Y")</f>
        <v>#NAME?</v>
      </c>
      <c r="AC144" s="1" t="e">
        <f ca="1">_xll.BDH($C$128,"ASSET_GROWTH","FQ1 2017","FQ1 2017","Currency=INR","Period=FQ","BEST_FPERIOD_OVERRIDE=FQ","FILING_STATUS=OR","EQY_CONSOLIDATED=Y","Sort=A","Dates=H","DateFormat=P","Fill=—","Direction=H","UseDPDF=Y")</f>
        <v>#NAME?</v>
      </c>
      <c r="AD144" s="1" t="e">
        <f ca="1">_xll.BDH($C$128,"MODIFIED_WORK_CAP_GROWTH","FQ1 2017","FQ1 2017","Currency=INR","Period=FQ","BEST_FPERIOD_OVERRIDE=FQ","FILING_STATUS=OR","EQY_CONSOLIDATED=Y","Sort=A","Dates=H","DateFormat=P","Fill=—","Direction=H","UseDPDF=Y")</f>
        <v>#NAME?</v>
      </c>
      <c r="AE144" s="1" t="e">
        <f ca="1">_xll.BDH($C$128,"WORK_CAP_GROWTH","FQ1 2017","FQ1 2017","Currency=INR","Period=FQ","BEST_FPERIOD_OVERRIDE=FQ","FILING_STATUS=OR","EQY_CONSOLIDATED=Y","Sort=A","Dates=H","DateFormat=P","Fill=—","Direction=H","UseDPDF=Y")</f>
        <v>#NAME?</v>
      </c>
      <c r="AF144" s="1" t="e">
        <f ca="1">_xll.BDH($C$128,"ACCOUNTS_PAYABLE_GROWTH_1YR","FQ1 2017","FQ1 2017","Currency=INR","Period=FQ","BEST_FPERIOD_OVERRIDE=FQ","FILING_STATUS=OR","EQY_CONSOLIDATED=Y","Sort=A","Dates=H","DateFormat=P","Fill=—","Direction=H","UseDPDF=Y")</f>
        <v>#NAME?</v>
      </c>
      <c r="AG144" s="1" t="e">
        <f ca="1">_xll.BDH($C$128,"SHORT_TERM_DEBT_1_YEAR_GROWTH","FQ1 2017","FQ1 2017","Currency=INR","Period=FQ","BEST_FPERIOD_OVERRIDE=FQ","FILING_STATUS=OR","EQY_CONSOLIDATED=Y","Sort=A","Dates=H","DateFormat=P","Fill=—","Direction=H","UseDPDF=Y")</f>
        <v>#NAME?</v>
      </c>
      <c r="AH144" s="1" t="e">
        <f ca="1">_xll.BDH($C$128,"TOTAL_DEBT_1_YEAR_GROWTH","FQ1 2017","FQ1 2017","Currency=INR","Period=FQ","BEST_FPERIOD_OVERRIDE=FQ","FILING_STATUS=OR","EQY_CONSOLIDATED=Y","Sort=A","Dates=H","DateFormat=P","Fill=—","Direction=H","UseDPDF=Y")</f>
        <v>#NAME?</v>
      </c>
      <c r="AI144" s="1" t="e">
        <f ca="1">_xll.BDH($C$128,"TOTAL_EQUITY_1_YEAR_GROWTH","FQ1 2017","FQ1 2017","Currency=INR","Period=FQ","BEST_FPERIOD_OVERRIDE=FQ","FILING_STATUS=OR","EQY_CONSOLIDATED=Y","Sort=A","Dates=H","DateFormat=P","Fill=—","Direction=H","UseDPDF=Y")</f>
        <v>#NAME?</v>
      </c>
      <c r="AJ144" s="1" t="e">
        <f ca="1">_xll.BDH($C$128,"GROWTH_IN_CAP","FQ1 2017","FQ1 2017","Currency=INR","Period=FQ","BEST_FPERIOD_OVERRIDE=FQ","FILING_STATUS=OR","EQY_CONSOLIDATED=Y","Sort=A","Dates=H","DateFormat=P","Fill=—","Direction=H","UseDPDF=Y")</f>
        <v>#NAME?</v>
      </c>
      <c r="AK144" s="1" t="e">
        <f ca="1">_xll.BDH($C$128,"BVPS_GROWTH","FQ1 2017","FQ1 2017","Currency=INR","Period=FQ","BEST_FPERIOD_OVERRIDE=FQ","FILING_STATUS=OR","EQY_CONSOLIDATED=Y","Sort=A","Dates=H","DateFormat=P","Fill=—","Direction=H","UseDPDF=Y")</f>
        <v>#NAME?</v>
      </c>
      <c r="AL144" s="1" t="e">
        <f ca="1">_xll.BDH($C$128,"CASH_FLOW_GROWTH","FQ1 2017","FQ1 2017","Currency=INR","Period=FQ","BEST_FPERIOD_OVERRIDE=FQ","FILING_STATUS=OR","EQY_CONSOLIDATED=Y","Sort=A","Dates=H","DateFormat=P","Fill=—","Direction=H","UseDPDF=Y")</f>
        <v>#NAME?</v>
      </c>
      <c r="AM144" s="1" t="e">
        <f ca="1">_xll.BDH($C$128,"GEO_GROW_NET_SALES","FQ1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44" s="1" t="e">
        <f ca="1">_xll.BDH($C$128,"GEO_GROW_EBITDA","FQ1 2017","FQ1 2017","Currency=INR","Period=FQ","BEST_FPERIOD_OVERRIDE=FQ","FILING_STATUS=OR","EQY_CONSOLIDATED=Y","FA_ADJUSTED=GAAP","Sort=A","Dates=H","DateFormat=P","Fill=—","Direction=H","UseDPDF=Y")</f>
        <v>#NAME?</v>
      </c>
      <c r="AO144" s="1" t="e">
        <f ca="1">_xll.BDH($C$128,"GEO_GROW_OPER_INC","FQ1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44" s="1" t="e">
        <f ca="1">_xll.BDH($C$128,"NET_INCOME_TO_COMMON_5_YR_GROWTH","FQ1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44" s="1" t="e">
        <f ca="1">_xll.BDH($C$128,"5Y_GEO_GROWTH_DILUTED_EPS","FQ1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44" s="1" t="e">
        <f ca="1">_xll.BDH($C$128,"GEO_GROW_DVD_PER_SH","FQ1 2017","FQ1 2017","Currency=INR","Period=FQ","BEST_FPERIOD_OVERRIDE=FQ","FILING_STATUS=OR","EQY_CONSOLIDATED=Y","Sort=A","Dates=H","DateFormat=P","Fill=—","Direction=H","UseDPDF=Y")</f>
        <v>#NAME?</v>
      </c>
      <c r="AS144" s="1" t="e">
        <f ca="1">_xll.BDH($C$128,"ACCOUNTS_RECEIVABLE_5_YR_GROWTH","FQ1 2017","FQ1 2017","Currency=INR","Period=FQ","BEST_FPERIOD_OVERRIDE=FQ","FILING_STATUS=OR","EQY_CONSOLIDATED=Y","Sort=A","Dates=H","DateFormat=P","Fill=—","Direction=H","UseDPDF=Y")</f>
        <v>#NAME?</v>
      </c>
      <c r="AT144" s="1" t="e">
        <f ca="1">_xll.BDH($C$128,"INVENTORY_5_YEAR_GROWTH","FQ1 2017","FQ1 2017","Currency=INR","Period=FQ","BEST_FPERIOD_OVERRIDE=FQ","FILING_STATUS=OR","EQY_CONSOLIDATED=Y","Sort=A","Dates=H","DateFormat=P","Fill=—","Direction=H","UseDPDF=Y")</f>
        <v>#NAME?</v>
      </c>
      <c r="AU144" s="1" t="e">
        <f ca="1">_xll.BDH($C$128,"NET_FIXED_ASSETS_5_YEAR_GROWTH","FQ1 2017","FQ1 2017","Currency=INR","Period=FQ","BEST_FPERIOD_OVERRIDE=FQ","FILING_STATUS=OR","EQY_CONSOLIDATED=Y","Sort=A","Dates=H","DateFormat=P","Fill=—","Direction=H","UseDPDF=Y")</f>
        <v>#NAME?</v>
      </c>
      <c r="AV144" s="1" t="e">
        <f ca="1">_xll.BDH($C$128,"GEO_GROW_TOT_ASSET","FQ1 2017","FQ1 2017","Currency=INR","Period=FQ","BEST_FPERIOD_OVERRIDE=FQ","FILING_STATUS=OR","EQY_CONSOLIDATED=Y","Sort=A","Dates=H","DateFormat=P","Fill=—","Direction=H","UseDPDF=Y")</f>
        <v>#NAME?</v>
      </c>
      <c r="AW144" s="1" t="e">
        <f ca="1">_xll.BDH($C$128,"MODIFIED_WORKING_CPTL_5YR_GRWTH","FQ1 2017","FQ1 2017","Currency=INR","Period=FQ","BEST_FPERIOD_OVERRIDE=FQ","FILING_STATUS=OR","EQY_CONSOLIDATED=Y","Sort=A","Dates=H","DateFormat=P","Fill=—","Direction=H","UseDPDF=Y")</f>
        <v>#NAME?</v>
      </c>
      <c r="AX144" s="1" t="e">
        <f ca="1">_xll.BDH($C$128,"WORKING_CAPITAL_5_YEAR_GROWTH","FQ1 2017","FQ1 2017","Currency=INR","Period=FQ","BEST_FPERIOD_OVERRIDE=FQ","FILING_STATUS=OR","EQY_CONSOLIDATED=Y","Sort=A","Dates=H","DateFormat=P","Fill=—","Direction=H","UseDPDF=Y")</f>
        <v>#NAME?</v>
      </c>
      <c r="AY144" s="1" t="e">
        <f ca="1">_xll.BDH($C$128,"ACCOUNTS_PAYABLE_5_YEAR_GROWTH","FQ1 2017","FQ1 2017","Currency=INR","Period=FQ","BEST_FPERIOD_OVERRIDE=FQ","FILING_STATUS=OR","EQY_CONSOLIDATED=Y","Sort=A","Dates=H","DateFormat=P","Fill=—","Direction=H","UseDPDF=Y")</f>
        <v>#NAME?</v>
      </c>
      <c r="AZ144" s="1" t="e">
        <f ca="1">_xll.BDH($C$128,"SHORT_TERM_DEBT_5_YEAR_GROWTH","FQ1 2017","FQ1 2017","Currency=INR","Period=FQ","BEST_FPERIOD_OVERRIDE=FQ","FILING_STATUS=OR","EQY_CONSOLIDATED=Y","Sort=A","Dates=H","DateFormat=P","Fill=—","Direction=H","UseDPDF=Y")</f>
        <v>#NAME?</v>
      </c>
      <c r="BA144" s="1" t="e">
        <f ca="1">_xll.BDH($C$128,"TOTAL_DEBT_5_YEAR_GROWTH","FQ1 2017","FQ1 2017","Currency=INR","Period=FQ","BEST_FPERIOD_OVERRIDE=FQ","FILING_STATUS=OR","EQY_CONSOLIDATED=Y","Sort=A","Dates=H","DateFormat=P","Fill=—","Direction=H","UseDPDF=Y")</f>
        <v>#NAME?</v>
      </c>
      <c r="BB144" s="1" t="e">
        <f ca="1">_xll.BDH($C$128,"GEO_GROW_TOT_SHRHLDR_EQY","FQ1 2017","FQ1 2017","Currency=INR","Period=FQ","BEST_FPERIOD_OVERRIDE=FQ","FILING_STATUS=OR","EQY_CONSOLIDATED=Y","Sort=A","Dates=H","DateFormat=P","Fill=—","Direction=H","UseDPDF=Y")</f>
        <v>#NAME?</v>
      </c>
      <c r="BC144" s="1" t="e">
        <f ca="1">_xll.BDH($C$128,"TOTAL_CAPITAL_5_YEAR_GROWTH","FQ1 2017","FQ1 2017","Currency=INR","Period=FQ","BEST_FPERIOD_OVERRIDE=FQ","FILING_STATUS=OR","EQY_CONSOLIDATED=Y","Sort=A","Dates=H","DateFormat=P","Fill=—","Direction=H","UseDPDF=Y")</f>
        <v>#NAME?</v>
      </c>
      <c r="BD144" s="1" t="e">
        <f ca="1">_xll.BDH($C$128,"GEO_GROW_BOOK_VAL","FQ1 2017","FQ1 2017","Currency=INR","Period=FQ","BEST_FPERIOD_OVERRIDE=FQ","FILING_STATUS=OR","EQY_CONSOLIDATED=Y","Sort=A","Dates=H","DateFormat=P","Fill=—","Direction=H","UseDPDF=Y")</f>
        <v>#NAME?</v>
      </c>
      <c r="BE144" s="1" t="e">
        <f ca="1">_xll.BDH($C$128,"GEO_GROW_CASH_OPER_ACT","FQ1 2017","FQ1 2017","Currency=INR","Period=FQ","BEST_FPERIOD_OVERRIDE=FQ","FILING_STATUS=OR","EQY_CONSOLIDATED=Y","Sort=A","Dates=H","DateFormat=P","Fill=—","Direction=H","UseDPDF=Y")</f>
        <v>#NAME?</v>
      </c>
      <c r="BF144" s="1" t="e">
        <f ca="1">_xll.BDH($C$128,"REVENUE_SEQUENTIAL_GROWTH","FQ1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44" s="1" t="e">
        <f ca="1">_xll.BDH($C$128,"EBITDA_SEQUENTIAL_GROWTH","FQ1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44" s="1" t="e">
        <f ca="1">_xll.BDH($C$128,"OPERATING_INCOME_SEQ_GROWTH","FQ1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44" s="1" t="e">
        <f ca="1">_xll.BDH($C$128,"NET_INCOME_TO_COMMON_SEQ_GROWTH","FQ1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44" s="1" t="e">
        <f ca="1">_xll.BDH($C$128,"EPS_DILUTED_SEQUENTIAL_GROWTH","FQ1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44" s="1" t="e">
        <f ca="1">_xll.BDH($C$128,"DPS_SEQUENTIAL_GROWTH","FQ1 2017","FQ1 2017","Currency=INR","Period=FQ","BEST_FPERIOD_OVERRIDE=FQ","FILING_STATUS=OR","EQY_CONSOLIDATED=Y","Sort=A","Dates=H","DateFormat=P","Fill=—","Direction=H","UseDPDF=Y")</f>
        <v>#NAME?</v>
      </c>
      <c r="BL144" s="1" t="e">
        <f ca="1">_xll.BDH($C$128,"ACCOUNTS_RECEIVABLE_SEQ_GROWTH","FQ1 2017","FQ1 2017","Currency=INR","Period=FQ","BEST_FPERIOD_OVERRIDE=FQ","FILING_STATUS=OR","EQY_CONSOLIDATED=Y","Sort=A","Dates=H","DateFormat=P","Fill=—","Direction=H","UseDPDF=Y")</f>
        <v>#NAME?</v>
      </c>
      <c r="BM144" s="1" t="e">
        <f ca="1">_xll.BDH($C$128,"INVENTORY_SEQUENTIAL_GROWTH","FQ1 2017","FQ1 2017","Currency=INR","Period=FQ","BEST_FPERIOD_OVERRIDE=FQ","FILING_STATUS=OR","EQY_CONSOLIDATED=Y","Sort=A","Dates=H","DateFormat=P","Fill=—","Direction=H","UseDPDF=Y")</f>
        <v>#NAME?</v>
      </c>
      <c r="BN144" s="1" t="e">
        <f ca="1">_xll.BDH($C$128,"FIXED_ASSETS_SEQUENTIAL_GROWTH","FQ1 2017","FQ1 2017","Currency=INR","Period=FQ","BEST_FPERIOD_OVERRIDE=FQ","FILING_STATUS=OR","EQY_CONSOLIDATED=Y","Sort=A","Dates=H","DateFormat=P","Fill=—","Direction=H","UseDPDF=Y")</f>
        <v>#NAME?</v>
      </c>
      <c r="BO144" s="1" t="e">
        <f ca="1">_xll.BDH($C$128,"TOTAL_ASSETS_SEQUENTIAL_GROWTH","FQ1 2017","FQ1 2017","Currency=INR","Period=FQ","BEST_FPERIOD_OVERRIDE=FQ","FILING_STATUS=OR","EQY_CONSOLIDATED=Y","Sort=A","Dates=H","DateFormat=P","Fill=—","Direction=H","UseDPDF=Y")</f>
        <v>#NAME?</v>
      </c>
      <c r="BP144" s="1" t="e">
        <f ca="1">_xll.BDH($C$128,"MODIFIED_WORKING_CPTL_SEQ_GRWTH","FQ1 2017","FQ1 2017","Currency=INR","Period=FQ","BEST_FPERIOD_OVERRIDE=FQ","FILING_STATUS=OR","EQY_CONSOLIDATED=Y","Sort=A","Dates=H","DateFormat=P","Fill=—","Direction=H","UseDPDF=Y")</f>
        <v>#NAME?</v>
      </c>
      <c r="BQ144" s="1" t="e">
        <f ca="1">_xll.BDH($C$128,"WORKING_CAPITAL_SEQ_GROWTH","FQ1 2017","FQ1 2017","Currency=INR","Period=FQ","BEST_FPERIOD_OVERRIDE=FQ","FILING_STATUS=OR","EQY_CONSOLIDATED=Y","Sort=A","Dates=H","DateFormat=P","Fill=—","Direction=H","UseDPDF=Y")</f>
        <v>#NAME?</v>
      </c>
      <c r="BR144" s="1" t="e">
        <f ca="1">_xll.BDH($C$128,"ACCOUNTS_PAYABLE_SEQ_GROWTH","FQ1 2017","FQ1 2017","Currency=INR","Period=FQ","BEST_FPERIOD_OVERRIDE=FQ","FILING_STATUS=OR","EQY_CONSOLIDATED=Y","Sort=A","Dates=H","DateFormat=P","Fill=—","Direction=H","UseDPDF=Y")</f>
        <v>#NAME?</v>
      </c>
      <c r="BS144" s="1" t="e">
        <f ca="1">_xll.BDH($C$128,"ST_DEBT_SEQUENTIAL_GROWTH","FQ1 2017","FQ1 2017","Currency=INR","Period=FQ","BEST_FPERIOD_OVERRIDE=FQ","FILING_STATUS=OR","EQY_CONSOLIDATED=Y","Sort=A","Dates=H","DateFormat=P","Fill=—","Direction=H","UseDPDF=Y")</f>
        <v>#NAME?</v>
      </c>
      <c r="BT144" s="1" t="e">
        <f ca="1">_xll.BDH($C$128,"TOTAL_DEBT_SEQUENTIAL_GROWTH","FQ1 2017","FQ1 2017","Currency=INR","Period=FQ","BEST_FPERIOD_OVERRIDE=FQ","FILING_STATUS=OR","EQY_CONSOLIDATED=Y","Sort=A","Dates=H","DateFormat=P","Fill=—","Direction=H","UseDPDF=Y")</f>
        <v>#NAME?</v>
      </c>
      <c r="BU144" s="1" t="e">
        <f ca="1">_xll.BDH($C$128,"TOTAL_EQUITY_SEQUENTIAL_GROWTH","FQ1 2017","FQ1 2017","Currency=INR","Period=FQ","BEST_FPERIOD_OVERRIDE=FQ","FILING_STATUS=OR","EQY_CONSOLIDATED=Y","Sort=A","Dates=H","DateFormat=P","Fill=—","Direction=H","UseDPDF=Y")</f>
        <v>#NAME?</v>
      </c>
      <c r="BV144" s="1" t="e">
        <f ca="1">_xll.BDH($C$128,"TOTAL_CAPITAL_SEQUENTIAL_GROWTH","FQ1 2017","FQ1 2017","Currency=INR","Period=FQ","BEST_FPERIOD_OVERRIDE=FQ","FILING_STATUS=OR","EQY_CONSOLIDATED=Y","Sort=A","Dates=H","DateFormat=P","Fill=—","Direction=H","UseDPDF=Y")</f>
        <v>#NAME?</v>
      </c>
      <c r="BW144" s="1" t="e">
        <f ca="1">_xll.BDH($C$128,"BPS_SEQUENTIAL_GROWTH","FQ1 2017","FQ1 2017","Currency=INR","Period=FQ","BEST_FPERIOD_OVERRIDE=FQ","FILING_STATUS=OR","EQY_CONSOLIDATED=Y","Sort=A","Dates=H","DateFormat=P","Fill=—","Direction=H","UseDPDF=Y")</f>
        <v>#NAME?</v>
      </c>
      <c r="BX144" s="1" t="e">
        <f ca="1">_xll.BDH($C$128,"CFO_SEQUENTIAL_GROWTH","FQ1 2017","FQ1 2017","Currency=INR","Period=FQ","BEST_FPERIOD_OVERRIDE=FQ","FILING_STATUS=OR","EQY_CONSOLIDATED=Y","Sort=A","Dates=H","DateFormat=P","Fill=—","Direction=H","UseDPDF=Y")</f>
        <v>#NAME?</v>
      </c>
      <c r="BY144" s="2" t="e">
        <f ca="1">_xll.BDH($C$128,"SHORT_AND_LONG_TERM_DEBT","FQ1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44" s="2" t="e">
        <f ca="1">_xll.BDH($C$128,"BS_ST_BORROW","FQ1 2017","FQ1 2017","Currency=INR","Period=FQ","BEST_FPERIOD_OVERRIDE=FQ","FILING_STATUS=OR","EQY_CONSOLIDATED=Y","SCALING_FORMAT=MLN","Sort=A","Dates=H","DateFormat=P","Fill=—","Direction=H","UseDPDF=Y")</f>
        <v>#NAME?</v>
      </c>
      <c r="CA144" s="2" t="e">
        <f ca="1">_xll.BDH($C$128,"BS_LT_BORROW","FQ1 2017","FQ1 2017","Currency=INR","Period=FQ","BEST_FPERIOD_OVERRIDE=FQ","FILING_STATUS=OR","EQY_CONSOLIDATED=Y","SCALING_FORMAT=MLN","Sort=A","Dates=H","DateFormat=P","Fill=—","Direction=H","UseDPDF=Y")</f>
        <v>#NAME?</v>
      </c>
      <c r="CB144" s="1" t="e">
        <f ca="1">_xll.BDH($C$128,"TOT_DEBT_TO_EBITDA","FQ1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44" s="1" t="e">
        <f ca="1">_xll.BDH($C$128,"NET_DEBT_TO_EBITDA","FQ1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44" s="1" t="e">
        <f ca="1">_xll.BDH($C$128,"TOTAL_DEBT_TO_EBIT","FQ1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44" s="1" t="e">
        <f ca="1">_xll.BDH($C$128,"NET_DEBT_TO_EBIT","FQ1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144" s="1" t="e">
        <f ca="1">_xll.BDH($C$128,"EBITDA_TO_INTEREST_EXPN","FQ1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44" s="1" t="e">
        <f ca="1">_xll.BDH($C$128,"COM_EQY_TO_TOT_ASSET","FQ1 2017","FQ1 2017","Currency=INR","Period=FQ","BEST_FPERIOD_OVERRIDE=FQ","FILING_STATUS=OR","EQY_CONSOLIDATED=Y","Sort=A","Dates=H","DateFormat=P","Fill=—","Direction=H","UseDPDF=Y")</f>
        <v>#NAME?</v>
      </c>
      <c r="CH144" s="1" t="e">
        <f ca="1">_xll.BDH($C$128,"LT_DEBT_TO_TOT_EQY","FQ1 2017","FQ1 2017","Currency=INR","Period=FQ","BEST_FPERIOD_OVERRIDE=FQ","FILING_STATUS=OR","EQY_CONSOLIDATED=Y","Sort=A","Dates=H","DateFormat=P","Fill=—","Direction=H","UseDPDF=Y")</f>
        <v>#NAME?</v>
      </c>
      <c r="CI144" s="1" t="e">
        <f ca="1">_xll.BDH($C$128,"LT_DEBT_TO_TOT_CAP","FQ1 2017","FQ1 2017","Currency=INR","Period=FQ","BEST_FPERIOD_OVERRIDE=FQ","FILING_STATUS=OR","EQY_CONSOLIDATED=Y","Sort=A","Dates=H","DateFormat=P","Fill=—","Direction=H","UseDPDF=Y")</f>
        <v>#NAME?</v>
      </c>
      <c r="CJ144" s="1" t="e">
        <f ca="1">_xll.BDH($C$128,"LT_DEBT_TO_TOT_ASSET","FQ1 2017","FQ1 2017","Currency=INR","Period=FQ","BEST_FPERIOD_OVERRIDE=FQ","FILING_STATUS=OR","EQY_CONSOLIDATED=Y","Sort=A","Dates=H","DateFormat=P","Fill=—","Direction=H","UseDPDF=Y")</f>
        <v>#NAME?</v>
      </c>
      <c r="CK144" s="1" t="e">
        <f ca="1">_xll.BDH($C$128,"TOT_DEBT_TO_TOT_EQY","FQ1 2017","FQ1 2017","Currency=INR","Period=FQ","BEST_FPERIOD_OVERRIDE=FQ","FILING_STATUS=OR","EQY_CONSOLIDATED=Y","Sort=A","Dates=H","DateFormat=P","Fill=—","Direction=H","UseDPDF=Y")</f>
        <v>#NAME?</v>
      </c>
      <c r="CL144" s="1" t="e">
        <f ca="1">_xll.BDH($C$128,"TOT_DEBT_TO_TOT_CAP","FQ1 2017","FQ1 2017","Currency=INR","Period=FQ","BEST_FPERIOD_OVERRIDE=FQ","FILING_STATUS=OR","EQY_CONSOLIDATED=Y","Sort=A","Dates=H","DateFormat=P","Fill=—","Direction=H","UseDPDF=Y")</f>
        <v>#NAME?</v>
      </c>
      <c r="CM144" s="1" t="e">
        <f ca="1">_xll.BDH($C$128,"TOT_DEBT_TO_TOT_ASSET","FQ1 2017","FQ1 2017","Currency=INR","Period=FQ","BEST_FPERIOD_OVERRIDE=FQ","FILING_STATUS=OR","EQY_CONSOLIDATED=Y","Sort=A","Dates=H","DateFormat=P","Fill=—","Direction=H","UseDPDF=Y")</f>
        <v>#NAME?</v>
      </c>
      <c r="CN144" s="1" t="e">
        <f ca="1">_xll.BDH($C$128,"NET_DEBT_TO_SHRHLDR_EQTY","FQ1 2017","FQ1 2017","Currency=INR","Period=FQ","BEST_FPERIOD_OVERRIDE=FQ","FILING_STATUS=OR","EQY_CONSOLIDATED=Y","Sort=A","Dates=H","DateFormat=P","Fill=—","Direction=H","UseDPDF=Y")</f>
        <v>#NAME?</v>
      </c>
      <c r="CO144" s="1" t="e">
        <f ca="1">_xll.BDH($C$128,"NET_DEBT_%_CAPITAL","FQ1 2017","FQ1 2017","Currency=INR","Period=FQ","BEST_FPERIOD_OVERRIDE=FQ","FILING_STATUS=OR","EQY_CONSOLIDATED=Y","Sort=A","Dates=H","DateFormat=P","Fill=—","Direction=H","UseDPDF=Y")</f>
        <v>#NAME?</v>
      </c>
      <c r="CP144" s="2" t="e">
        <f ca="1">_xll.BDH($C$128,"EBITDA","FQ1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44" s="2" t="e">
        <f ca="1">_xll.BDH($C$128,"EBITDA_AFTER_CAPEX","FQ1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44" s="2" t="e">
        <f ca="1">_xll.BDH($C$128,"IS_OPER_INC","FQ1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44" s="1" t="e">
        <f ca="1">_xll.BDH($C$128,"CASH_RATIO","FQ1 2017","FQ1 2017","Currency=INR","Period=FQ","BEST_FPERIOD_OVERRIDE=FQ","FILING_STATUS=OR","EQY_CONSOLIDATED=Y","Sort=A","Dates=H","DateFormat=P","Fill=—","Direction=H","UseDPDF=Y")</f>
        <v>#NAME?</v>
      </c>
      <c r="CT144" s="1" t="e">
        <f ca="1">_xll.BDH($C$128,"CUR_RATIO","FQ1 2017","FQ1 2017","Currency=INR","Period=FQ","BEST_FPERIOD_OVERRIDE=FQ","FILING_STATUS=OR","EQY_CONSOLIDATED=Y","Sort=A","Dates=H","DateFormat=P","Fill=—","Direction=H","UseDPDF=Y")</f>
        <v>#NAME?</v>
      </c>
      <c r="CU144" s="1" t="e">
        <f ca="1">_xll.BDH($C$128,"QUICK_RATIO","FQ1 2017","FQ1 2017","Currency=INR","Period=FQ","BEST_FPERIOD_OVERRIDE=FQ","FILING_STATUS=OR","EQY_CONSOLIDATED=Y","Sort=A","Dates=H","DateFormat=P","Fill=—","Direction=H","UseDPDF=Y")</f>
        <v>#NAME?</v>
      </c>
      <c r="CV144" s="1" t="e">
        <f ca="1">_xll.BDH($C$128,"ALTMAN_Z_SCORE","FQ1 2017","FQ1 2017","Currency=INR","Period=FQ","BEST_FPERIOD_OVERRIDE=FQ","FILING_STATUS=OR","EQY_CONSOLIDATED=Y","Sort=A","Dates=H","DateFormat=P","Fill=—","Direction=H","UseDPDF=Y")</f>
        <v>#NAME?</v>
      </c>
      <c r="CW144" s="3" t="e">
        <f ca="1">_xll.BDH($C$128,"ACCT_RCV_TURN","FQ1 2017","FQ1 2017","Currency=INR","Period=FQ","BEST_FPERIOD_OVERRIDE=FQ","FILING_STATUS=OR","EQY_CONSOLIDATED=Y","FA_ADJUSTED=GAAP","Sort=A","Dates=H","DateFormat=P","Fill=—","Direction=H","UseDPDF=Y")</f>
        <v>#NAME?</v>
      </c>
      <c r="CX144" s="1" t="e">
        <f ca="1">_xll.BDH($C$128,"ACCT_RCV_DAYS","FQ1 2017","FQ1 2017","Currency=INR","Period=FQ","BEST_FPERIOD_OVERRIDE=FQ","FILING_STATUS=OR","EQY_CONSOLIDATED=Y","FA_ADJUSTED=GAAP","Sort=A","Dates=H","DateFormat=P","Fill=—","Direction=H","UseDPDF=Y")</f>
        <v>#NAME?</v>
      </c>
      <c r="CY144" s="3" t="e">
        <f ca="1">_xll.BDH($C$128,"INVENT_TURN","FQ1 2017","FQ1 2017","Currency=INR","Period=FQ","BEST_FPERIOD_OVERRIDE=FQ","FILING_STATUS=OR","EQY_CONSOLIDATED=Y","FA_ADJUSTED=GAAP","Sort=A","Dates=H","DateFormat=P","Fill=—","Direction=H","UseDPDF=Y")</f>
        <v>#NAME?</v>
      </c>
      <c r="CZ144" s="1" t="e">
        <f ca="1">_xll.BDH($C$128,"INVENT_DAYS","FQ1 2017","FQ1 2017","Currency=INR","Period=FQ","BEST_FPERIOD_OVERRIDE=FQ","FILING_STATUS=OR","EQY_CONSOLIDATED=Y","FA_ADJUSTED=GAAP","Sort=A","Dates=H","DateFormat=P","Fill=—","Direction=H","UseDPDF=Y")</f>
        <v>#NAME?</v>
      </c>
      <c r="DA144" s="3" t="e">
        <f ca="1">_xll.BDH($C$128,"ACCOUNTS_PAYABLE_TURNOVER","FQ1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44" s="1" t="e">
        <f ca="1">_xll.BDH($C$128,"ACCOUNTS_PAYABLE_TURNOVER_DAYS","FQ1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44" s="3" t="e">
        <f ca="1">_xll.BDH($C$128,"CASH_CONVERSION_CYCLE","FQ1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44" s="3" t="e">
        <f ca="1">_xll.BDH($C$128,"INV_TO_CASH_DAYS","FQ1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144" s="4" t="e">
        <f ca="1">_xll.BDH($C$128,"BS_INVENTORIES","FQ1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144" s="2" t="e">
        <f ca="1">_xll.BDH($C$128,"INVTRY_RAW_MATERIALS","FQ1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44" s="2" t="e">
        <f ca="1">_xll.BDH($C$128,"INVTRY_IN_PROGRESS","FQ1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44" s="2" t="e">
        <f ca="1">_xll.BDH($C$128,"INVTRY_FINISHED_GOODS","FQ1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44" s="2" t="e">
        <f ca="1">_xll.BDH($C$128,"BS_OTHER_INV","FQ1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45" spans="1:113" x14ac:dyDescent="0.3">
      <c r="A145" s="6"/>
      <c r="B145" s="6"/>
      <c r="C145" s="6"/>
      <c r="D145" s="6"/>
      <c r="E145" t="s">
        <v>5</v>
      </c>
      <c r="F145" t="e">
        <f ca="1">_xll.BDH($C$128,"RETURN_COM_EQY","FQ2 2017","FQ2 2017","Currency=INR","Period=FQ","BEST_FPERIOD_OVERRIDE=FQ","FILING_STATUS=OR","EQY_CONSOLIDATED=Y","FA_ADJUSTED=GAAP","Sort=A","Dates=H","DateFormat=P","Fill=—","Direction=H","UseDPDF=Y")</f>
        <v>#NAME?</v>
      </c>
      <c r="G145" t="e">
        <f ca="1">_xll.BDH($C$128,"RETURN_ON_ASSET","FQ2 2017","FQ2 2017","Currency=INR","Period=FQ","BEST_FPERIOD_OVERRIDE=FQ","FILING_STATUS=OR","EQY_CONSOLIDATED=Y","FA_ADJUSTED=GAAP","Sort=A","Dates=H","DateFormat=P","Fill=—","Direction=H","UseDPDF=Y")</f>
        <v>#NAME?</v>
      </c>
      <c r="H145" t="e">
        <f ca="1">_xll.BDH($C$128,"RETURN_ON_CAP","FQ2 2017","FQ2 2017","Currency=INR","Period=FQ","BEST_FPERIOD_OVERRIDE=FQ","FILING_STATUS=OR","EQY_CONSOLIDATED=Y","FA_ADJUSTED=GAAP","Sort=A","Dates=H","DateFormat=P","Fill=—","Direction=H","UseDPDF=Y")</f>
        <v>#NAME?</v>
      </c>
      <c r="I145" t="e">
        <f ca="1">_xll.BDH($C$128,"RETURN_ON_INV_CAPITAL","FQ2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45" t="e">
        <f ca="1">_xll.BDH($C$128,"EBITDA_TO_REVENUE","FQ2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145" t="e">
        <f ca="1">_xll.BDH($C$128,"OPER_MARGIN","FQ2 2017","FQ2 2017","Currency=INR","Period=FQ","BEST_FPERIOD_OVERRIDE=FQ","FILING_STATUS=OR","EQY_CONSOLIDATED=Y","FA_ADJUSTED=GAAP","Sort=A","Dates=H","DateFormat=P","Fill=—","Direction=H","UseDPDF=Y")</f>
        <v>#NAME?</v>
      </c>
      <c r="L145" t="e">
        <f ca="1">_xll.BDH($C$128,"INCREMENTAL_OPERATING_MARGIN","FQ2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45" t="e">
        <f ca="1">_xll.BDH($C$128,"PRETAX_INC_TO_NET_SALES","FQ2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45" t="e">
        <f ca="1">_xll.BDH($C$128,"INC_BEF_XO_ITEMS_TO_NET_SALES","FQ2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45" t="e">
        <f ca="1">_xll.BDH($C$128,"PROF_MARGIN","FQ2 2017","FQ2 2017","Currency=INR","Period=FQ","BEST_FPERIOD_OVERRIDE=FQ","FILING_STATUS=OR","EQY_CONSOLIDATED=Y","FA_ADJUSTED=GAAP","Sort=A","Dates=H","DateFormat=P","Fill=—","Direction=H","UseDPDF=Y")</f>
        <v>#NAME?</v>
      </c>
      <c r="P145" t="e">
        <f ca="1">_xll.BDH($C$128,"NET_INCOME_TO_COMMON_MARGIN","FQ2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45" t="e">
        <f ca="1">_xll.BDH($C$128,"EFF_TAX_RATE","FQ2 2017","FQ2 2017","Currency=INR","Period=FQ","BEST_FPERIOD_OVERRIDE=FQ","FILING_STATUS=OR","EQY_CONSOLIDATED=Y","FA_ADJUSTED=GAAP","Sort=A","Dates=H","DateFormat=P","Fill=—","Direction=H","UseDPDF=Y")</f>
        <v>#NAME?</v>
      </c>
      <c r="R145" t="e">
        <f ca="1">_xll.BDH($C$128,"DVD_PAYOUT_RATIO","FQ2 2017","FQ2 2017","Currency=INR","Period=FQ","BEST_FPERIOD_OVERRIDE=FQ","FILING_STATUS=OR","EQY_CONSOLIDATED=Y","FA_ADJUSTED=GAAP","Sort=A","Dates=H","DateFormat=P","Fill=—","Direction=H","UseDPDF=Y")</f>
        <v>#NAME?</v>
      </c>
      <c r="S145" t="e">
        <f ca="1">_xll.BDH($C$128,"SUSTAIN_GROWTH_RT","FQ2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145" s="1" t="e">
        <f ca="1">_xll.BDH($C$128,"SALES_GROWTH","FQ2 2017","FQ2 2017","Currency=INR","Period=FQ","BEST_FPERIOD_OVERRIDE=FQ","FILING_STATUS=OR","EQY_CONSOLIDATED=Y","FA_ADJUSTED=GAAP","Sort=A","Dates=H","DateFormat=P","Fill=—","Direction=H","UseDPDF=Y")</f>
        <v>#NAME?</v>
      </c>
      <c r="U145" s="1" t="e">
        <f ca="1">_xll.BDH($C$128,"EBITDA_GROWTH","FQ2 2017","FQ2 2017","Currency=INR","Period=FQ","BEST_FPERIOD_OVERRIDE=FQ","FILING_STATUS=OR","EQY_CONSOLIDATED=Y","FA_ADJUSTED=GAAP","Sort=A","Dates=H","DateFormat=P","Fill=—","Direction=H","UseDPDF=Y")</f>
        <v>#NAME?</v>
      </c>
      <c r="V145" s="1" t="e">
        <f ca="1">_xll.BDH($C$128,"OPER_INC_GROWTH","FQ2 2017","FQ2 2017","Currency=INR","Period=FQ","BEST_FPERIOD_OVERRIDE=FQ","FILING_STATUS=OR","EQY_CONSOLIDATED=Y","FA_ADJUSTED=GAAP","Sort=A","Dates=H","DateFormat=P","Fill=—","Direction=H","UseDPDF=Y")</f>
        <v>#NAME?</v>
      </c>
      <c r="W145" s="1" t="e">
        <f ca="1">_xll.BDH($C$128,"EARN_FOR_COM_GROWTH","FQ2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45" s="1" t="e">
        <f ca="1">_xll.BDH($C$128,"DILUTED_EPS_AFT_XO_ITEMS_GROWTH","FQ2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45" s="1" t="e">
        <f ca="1">_xll.BDH($C$128,"DIVIDEND_PER_SHARE_1_YEAR_GROWTH","FQ2 2017","FQ2 2017","Currency=INR","Period=FQ","BEST_FPERIOD_OVERRIDE=FQ","FILING_STATUS=OR","EQY_CONSOLIDATED=Y","Sort=A","Dates=H","DateFormat=P","Fill=—","Direction=H","UseDPDF=Y")</f>
        <v>#NAME?</v>
      </c>
      <c r="Z145" s="1" t="e">
        <f ca="1">_xll.BDH($C$128,"ACCOUNTS_RECEIVABLE_GROWTH","FQ2 2017","FQ2 2017","Currency=INR","Period=FQ","BEST_FPERIOD_OVERRIDE=FQ","FILING_STATUS=OR","EQY_CONSOLIDATED=Y","Sort=A","Dates=H","DateFormat=P","Fill=—","Direction=H","UseDPDF=Y")</f>
        <v>#NAME?</v>
      </c>
      <c r="AA145" s="1" t="e">
        <f ca="1">_xll.BDH($C$128,"INVENTORY_GROWTH","FQ2 2017","FQ2 2017","Currency=INR","Period=FQ","BEST_FPERIOD_OVERRIDE=FQ","FILING_STATUS=OR","EQY_CONSOLIDATED=Y","Sort=A","Dates=H","DateFormat=P","Fill=—","Direction=H","UseDPDF=Y")</f>
        <v>#NAME?</v>
      </c>
      <c r="AB145" s="1" t="e">
        <f ca="1">_xll.BDH($C$128,"NET_FIXED_ASSETS_1_YEAR_GROWTH","FQ2 2017","FQ2 2017","Currency=INR","Period=FQ","BEST_FPERIOD_OVERRIDE=FQ","FILING_STATUS=OR","EQY_CONSOLIDATED=Y","Sort=A","Dates=H","DateFormat=P","Fill=—","Direction=H","UseDPDF=Y")</f>
        <v>#NAME?</v>
      </c>
      <c r="AC145" s="1" t="e">
        <f ca="1">_xll.BDH($C$128,"ASSET_GROWTH","FQ2 2017","FQ2 2017","Currency=INR","Period=FQ","BEST_FPERIOD_OVERRIDE=FQ","FILING_STATUS=OR","EQY_CONSOLIDATED=Y","Sort=A","Dates=H","DateFormat=P","Fill=—","Direction=H","UseDPDF=Y")</f>
        <v>#NAME?</v>
      </c>
      <c r="AD145" s="1" t="e">
        <f ca="1">_xll.BDH($C$128,"MODIFIED_WORK_CAP_GROWTH","FQ2 2017","FQ2 2017","Currency=INR","Period=FQ","BEST_FPERIOD_OVERRIDE=FQ","FILING_STATUS=OR","EQY_CONSOLIDATED=Y","Sort=A","Dates=H","DateFormat=P","Fill=—","Direction=H","UseDPDF=Y")</f>
        <v>#NAME?</v>
      </c>
      <c r="AE145" s="1" t="e">
        <f ca="1">_xll.BDH($C$128,"WORK_CAP_GROWTH","FQ2 2017","FQ2 2017","Currency=INR","Period=FQ","BEST_FPERIOD_OVERRIDE=FQ","FILING_STATUS=OR","EQY_CONSOLIDATED=Y","Sort=A","Dates=H","DateFormat=P","Fill=—","Direction=H","UseDPDF=Y")</f>
        <v>#NAME?</v>
      </c>
      <c r="AF145" s="1" t="e">
        <f ca="1">_xll.BDH($C$128,"ACCOUNTS_PAYABLE_GROWTH_1YR","FQ2 2017","FQ2 2017","Currency=INR","Period=FQ","BEST_FPERIOD_OVERRIDE=FQ","FILING_STATUS=OR","EQY_CONSOLIDATED=Y","Sort=A","Dates=H","DateFormat=P","Fill=—","Direction=H","UseDPDF=Y")</f>
        <v>#NAME?</v>
      </c>
      <c r="AG145" s="1" t="e">
        <f ca="1">_xll.BDH($C$128,"SHORT_TERM_DEBT_1_YEAR_GROWTH","FQ2 2017","FQ2 2017","Currency=INR","Period=FQ","BEST_FPERIOD_OVERRIDE=FQ","FILING_STATUS=OR","EQY_CONSOLIDATED=Y","Sort=A","Dates=H","DateFormat=P","Fill=—","Direction=H","UseDPDF=Y")</f>
        <v>#NAME?</v>
      </c>
      <c r="AH145" s="1" t="e">
        <f ca="1">_xll.BDH($C$128,"TOTAL_DEBT_1_YEAR_GROWTH","FQ2 2017","FQ2 2017","Currency=INR","Period=FQ","BEST_FPERIOD_OVERRIDE=FQ","FILING_STATUS=OR","EQY_CONSOLIDATED=Y","Sort=A","Dates=H","DateFormat=P","Fill=—","Direction=H","UseDPDF=Y")</f>
        <v>#NAME?</v>
      </c>
      <c r="AI145" s="1" t="e">
        <f ca="1">_xll.BDH($C$128,"TOTAL_EQUITY_1_YEAR_GROWTH","FQ2 2017","FQ2 2017","Currency=INR","Period=FQ","BEST_FPERIOD_OVERRIDE=FQ","FILING_STATUS=OR","EQY_CONSOLIDATED=Y","Sort=A","Dates=H","DateFormat=P","Fill=—","Direction=H","UseDPDF=Y")</f>
        <v>#NAME?</v>
      </c>
      <c r="AJ145" s="1" t="e">
        <f ca="1">_xll.BDH($C$128,"GROWTH_IN_CAP","FQ2 2017","FQ2 2017","Currency=INR","Period=FQ","BEST_FPERIOD_OVERRIDE=FQ","FILING_STATUS=OR","EQY_CONSOLIDATED=Y","Sort=A","Dates=H","DateFormat=P","Fill=—","Direction=H","UseDPDF=Y")</f>
        <v>#NAME?</v>
      </c>
      <c r="AK145" s="1" t="e">
        <f ca="1">_xll.BDH($C$128,"BVPS_GROWTH","FQ2 2017","FQ2 2017","Currency=INR","Period=FQ","BEST_FPERIOD_OVERRIDE=FQ","FILING_STATUS=OR","EQY_CONSOLIDATED=Y","Sort=A","Dates=H","DateFormat=P","Fill=—","Direction=H","UseDPDF=Y")</f>
        <v>#NAME?</v>
      </c>
      <c r="AL145" s="1" t="e">
        <f ca="1">_xll.BDH($C$128,"CASH_FLOW_GROWTH","FQ2 2017","FQ2 2017","Currency=INR","Period=FQ","BEST_FPERIOD_OVERRIDE=FQ","FILING_STATUS=OR","EQY_CONSOLIDATED=Y","Sort=A","Dates=H","DateFormat=P","Fill=—","Direction=H","UseDPDF=Y")</f>
        <v>#NAME?</v>
      </c>
      <c r="AM145" s="1" t="e">
        <f ca="1">_xll.BDH($C$128,"GEO_GROW_NET_SALES","FQ2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45" s="1" t="e">
        <f ca="1">_xll.BDH($C$128,"GEO_GROW_EBITDA","FQ2 2017","FQ2 2017","Currency=INR","Period=FQ","BEST_FPERIOD_OVERRIDE=FQ","FILING_STATUS=OR","EQY_CONSOLIDATED=Y","FA_ADJUSTED=GAAP","Sort=A","Dates=H","DateFormat=P","Fill=—","Direction=H","UseDPDF=Y")</f>
        <v>#NAME?</v>
      </c>
      <c r="AO145" s="1" t="e">
        <f ca="1">_xll.BDH($C$128,"GEO_GROW_OPER_INC","FQ2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45" s="1" t="e">
        <f ca="1">_xll.BDH($C$128,"NET_INCOME_TO_COMMON_5_YR_GROWTH","FQ2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45" s="1" t="e">
        <f ca="1">_xll.BDH($C$128,"5Y_GEO_GROWTH_DILUTED_EPS","FQ2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45" s="1" t="e">
        <f ca="1">_xll.BDH($C$128,"GEO_GROW_DVD_PER_SH","FQ2 2017","FQ2 2017","Currency=INR","Period=FQ","BEST_FPERIOD_OVERRIDE=FQ","FILING_STATUS=OR","EQY_CONSOLIDATED=Y","Sort=A","Dates=H","DateFormat=P","Fill=—","Direction=H","UseDPDF=Y")</f>
        <v>#NAME?</v>
      </c>
      <c r="AS145" s="1" t="e">
        <f ca="1">_xll.BDH($C$128,"ACCOUNTS_RECEIVABLE_5_YR_GROWTH","FQ2 2017","FQ2 2017","Currency=INR","Period=FQ","BEST_FPERIOD_OVERRIDE=FQ","FILING_STATUS=OR","EQY_CONSOLIDATED=Y","Sort=A","Dates=H","DateFormat=P","Fill=—","Direction=H","UseDPDF=Y")</f>
        <v>#NAME?</v>
      </c>
      <c r="AT145" s="1" t="e">
        <f ca="1">_xll.BDH($C$128,"INVENTORY_5_YEAR_GROWTH","FQ2 2017","FQ2 2017","Currency=INR","Period=FQ","BEST_FPERIOD_OVERRIDE=FQ","FILING_STATUS=OR","EQY_CONSOLIDATED=Y","Sort=A","Dates=H","DateFormat=P","Fill=—","Direction=H","UseDPDF=Y")</f>
        <v>#NAME?</v>
      </c>
      <c r="AU145" s="1" t="e">
        <f ca="1">_xll.BDH($C$128,"NET_FIXED_ASSETS_5_YEAR_GROWTH","FQ2 2017","FQ2 2017","Currency=INR","Period=FQ","BEST_FPERIOD_OVERRIDE=FQ","FILING_STATUS=OR","EQY_CONSOLIDATED=Y","Sort=A","Dates=H","DateFormat=P","Fill=—","Direction=H","UseDPDF=Y")</f>
        <v>#NAME?</v>
      </c>
      <c r="AV145" s="1" t="e">
        <f ca="1">_xll.BDH($C$128,"GEO_GROW_TOT_ASSET","FQ2 2017","FQ2 2017","Currency=INR","Period=FQ","BEST_FPERIOD_OVERRIDE=FQ","FILING_STATUS=OR","EQY_CONSOLIDATED=Y","Sort=A","Dates=H","DateFormat=P","Fill=—","Direction=H","UseDPDF=Y")</f>
        <v>#NAME?</v>
      </c>
      <c r="AW145" s="1" t="e">
        <f ca="1">_xll.BDH($C$128,"MODIFIED_WORKING_CPTL_5YR_GRWTH","FQ2 2017","FQ2 2017","Currency=INR","Period=FQ","BEST_FPERIOD_OVERRIDE=FQ","FILING_STATUS=OR","EQY_CONSOLIDATED=Y","Sort=A","Dates=H","DateFormat=P","Fill=—","Direction=H","UseDPDF=Y")</f>
        <v>#NAME?</v>
      </c>
      <c r="AX145" s="1" t="e">
        <f ca="1">_xll.BDH($C$128,"WORKING_CAPITAL_5_YEAR_GROWTH","FQ2 2017","FQ2 2017","Currency=INR","Period=FQ","BEST_FPERIOD_OVERRIDE=FQ","FILING_STATUS=OR","EQY_CONSOLIDATED=Y","Sort=A","Dates=H","DateFormat=P","Fill=—","Direction=H","UseDPDF=Y")</f>
        <v>#NAME?</v>
      </c>
      <c r="AY145" s="1" t="e">
        <f ca="1">_xll.BDH($C$128,"ACCOUNTS_PAYABLE_5_YEAR_GROWTH","FQ2 2017","FQ2 2017","Currency=INR","Period=FQ","BEST_FPERIOD_OVERRIDE=FQ","FILING_STATUS=OR","EQY_CONSOLIDATED=Y","Sort=A","Dates=H","DateFormat=P","Fill=—","Direction=H","UseDPDF=Y")</f>
        <v>#NAME?</v>
      </c>
      <c r="AZ145" s="1" t="e">
        <f ca="1">_xll.BDH($C$128,"SHORT_TERM_DEBT_5_YEAR_GROWTH","FQ2 2017","FQ2 2017","Currency=INR","Period=FQ","BEST_FPERIOD_OVERRIDE=FQ","FILING_STATUS=OR","EQY_CONSOLIDATED=Y","Sort=A","Dates=H","DateFormat=P","Fill=—","Direction=H","UseDPDF=Y")</f>
        <v>#NAME?</v>
      </c>
      <c r="BA145" s="1" t="e">
        <f ca="1">_xll.BDH($C$128,"TOTAL_DEBT_5_YEAR_GROWTH","FQ2 2017","FQ2 2017","Currency=INR","Period=FQ","BEST_FPERIOD_OVERRIDE=FQ","FILING_STATUS=OR","EQY_CONSOLIDATED=Y","Sort=A","Dates=H","DateFormat=P","Fill=—","Direction=H","UseDPDF=Y")</f>
        <v>#NAME?</v>
      </c>
      <c r="BB145" s="1" t="e">
        <f ca="1">_xll.BDH($C$128,"GEO_GROW_TOT_SHRHLDR_EQY","FQ2 2017","FQ2 2017","Currency=INR","Period=FQ","BEST_FPERIOD_OVERRIDE=FQ","FILING_STATUS=OR","EQY_CONSOLIDATED=Y","Sort=A","Dates=H","DateFormat=P","Fill=—","Direction=H","UseDPDF=Y")</f>
        <v>#NAME?</v>
      </c>
      <c r="BC145" s="1" t="e">
        <f ca="1">_xll.BDH($C$128,"TOTAL_CAPITAL_5_YEAR_GROWTH","FQ2 2017","FQ2 2017","Currency=INR","Period=FQ","BEST_FPERIOD_OVERRIDE=FQ","FILING_STATUS=OR","EQY_CONSOLIDATED=Y","Sort=A","Dates=H","DateFormat=P","Fill=—","Direction=H","UseDPDF=Y")</f>
        <v>#NAME?</v>
      </c>
      <c r="BD145" s="1" t="e">
        <f ca="1">_xll.BDH($C$128,"GEO_GROW_BOOK_VAL","FQ2 2017","FQ2 2017","Currency=INR","Period=FQ","BEST_FPERIOD_OVERRIDE=FQ","FILING_STATUS=OR","EQY_CONSOLIDATED=Y","Sort=A","Dates=H","DateFormat=P","Fill=—","Direction=H","UseDPDF=Y")</f>
        <v>#NAME?</v>
      </c>
      <c r="BE145" s="1" t="e">
        <f ca="1">_xll.BDH($C$128,"GEO_GROW_CASH_OPER_ACT","FQ2 2017","FQ2 2017","Currency=INR","Period=FQ","BEST_FPERIOD_OVERRIDE=FQ","FILING_STATUS=OR","EQY_CONSOLIDATED=Y","Sort=A","Dates=H","DateFormat=P","Fill=—","Direction=H","UseDPDF=Y")</f>
        <v>#NAME?</v>
      </c>
      <c r="BF145" s="1" t="e">
        <f ca="1">_xll.BDH($C$128,"REVENUE_SEQUENTIAL_GROWTH","FQ2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45" s="1" t="e">
        <f ca="1">_xll.BDH($C$128,"EBITDA_SEQUENTIAL_GROWTH","FQ2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45" s="1" t="e">
        <f ca="1">_xll.BDH($C$128,"OPERATING_INCOME_SEQ_GROWTH","FQ2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45" s="1" t="e">
        <f ca="1">_xll.BDH($C$128,"NET_INCOME_TO_COMMON_SEQ_GROWTH","FQ2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45" s="1" t="e">
        <f ca="1">_xll.BDH($C$128,"EPS_DILUTED_SEQUENTIAL_GROWTH","FQ2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45" s="1" t="e">
        <f ca="1">_xll.BDH($C$128,"DPS_SEQUENTIAL_GROWTH","FQ2 2017","FQ2 2017","Currency=INR","Period=FQ","BEST_FPERIOD_OVERRIDE=FQ","FILING_STATUS=OR","EQY_CONSOLIDATED=Y","Sort=A","Dates=H","DateFormat=P","Fill=—","Direction=H","UseDPDF=Y")</f>
        <v>#NAME?</v>
      </c>
      <c r="BL145" s="1" t="e">
        <f ca="1">_xll.BDH($C$128,"ACCOUNTS_RECEIVABLE_SEQ_GROWTH","FQ2 2017","FQ2 2017","Currency=INR","Period=FQ","BEST_FPERIOD_OVERRIDE=FQ","FILING_STATUS=OR","EQY_CONSOLIDATED=Y","Sort=A","Dates=H","DateFormat=P","Fill=—","Direction=H","UseDPDF=Y")</f>
        <v>#NAME?</v>
      </c>
      <c r="BM145" s="1" t="e">
        <f ca="1">_xll.BDH($C$128,"INVENTORY_SEQUENTIAL_GROWTH","FQ2 2017","FQ2 2017","Currency=INR","Period=FQ","BEST_FPERIOD_OVERRIDE=FQ","FILING_STATUS=OR","EQY_CONSOLIDATED=Y","Sort=A","Dates=H","DateFormat=P","Fill=—","Direction=H","UseDPDF=Y")</f>
        <v>#NAME?</v>
      </c>
      <c r="BN145" s="1" t="e">
        <f ca="1">_xll.BDH($C$128,"FIXED_ASSETS_SEQUENTIAL_GROWTH","FQ2 2017","FQ2 2017","Currency=INR","Period=FQ","BEST_FPERIOD_OVERRIDE=FQ","FILING_STATUS=OR","EQY_CONSOLIDATED=Y","Sort=A","Dates=H","DateFormat=P","Fill=—","Direction=H","UseDPDF=Y")</f>
        <v>#NAME?</v>
      </c>
      <c r="BO145" s="1" t="e">
        <f ca="1">_xll.BDH($C$128,"TOTAL_ASSETS_SEQUENTIAL_GROWTH","FQ2 2017","FQ2 2017","Currency=INR","Period=FQ","BEST_FPERIOD_OVERRIDE=FQ","FILING_STATUS=OR","EQY_CONSOLIDATED=Y","Sort=A","Dates=H","DateFormat=P","Fill=—","Direction=H","UseDPDF=Y")</f>
        <v>#NAME?</v>
      </c>
      <c r="BP145" s="1" t="e">
        <f ca="1">_xll.BDH($C$128,"MODIFIED_WORKING_CPTL_SEQ_GRWTH","FQ2 2017","FQ2 2017","Currency=INR","Period=FQ","BEST_FPERIOD_OVERRIDE=FQ","FILING_STATUS=OR","EQY_CONSOLIDATED=Y","Sort=A","Dates=H","DateFormat=P","Fill=—","Direction=H","UseDPDF=Y")</f>
        <v>#NAME?</v>
      </c>
      <c r="BQ145" s="1" t="e">
        <f ca="1">_xll.BDH($C$128,"WORKING_CAPITAL_SEQ_GROWTH","FQ2 2017","FQ2 2017","Currency=INR","Period=FQ","BEST_FPERIOD_OVERRIDE=FQ","FILING_STATUS=OR","EQY_CONSOLIDATED=Y","Sort=A","Dates=H","DateFormat=P","Fill=—","Direction=H","UseDPDF=Y")</f>
        <v>#NAME?</v>
      </c>
      <c r="BR145" s="1" t="e">
        <f ca="1">_xll.BDH($C$128,"ACCOUNTS_PAYABLE_SEQ_GROWTH","FQ2 2017","FQ2 2017","Currency=INR","Period=FQ","BEST_FPERIOD_OVERRIDE=FQ","FILING_STATUS=OR","EQY_CONSOLIDATED=Y","Sort=A","Dates=H","DateFormat=P","Fill=—","Direction=H","UseDPDF=Y")</f>
        <v>#NAME?</v>
      </c>
      <c r="BS145" s="1" t="e">
        <f ca="1">_xll.BDH($C$128,"ST_DEBT_SEQUENTIAL_GROWTH","FQ2 2017","FQ2 2017","Currency=INR","Period=FQ","BEST_FPERIOD_OVERRIDE=FQ","FILING_STATUS=OR","EQY_CONSOLIDATED=Y","Sort=A","Dates=H","DateFormat=P","Fill=—","Direction=H","UseDPDF=Y")</f>
        <v>#NAME?</v>
      </c>
      <c r="BT145" s="1" t="e">
        <f ca="1">_xll.BDH($C$128,"TOTAL_DEBT_SEQUENTIAL_GROWTH","FQ2 2017","FQ2 2017","Currency=INR","Period=FQ","BEST_FPERIOD_OVERRIDE=FQ","FILING_STATUS=OR","EQY_CONSOLIDATED=Y","Sort=A","Dates=H","DateFormat=P","Fill=—","Direction=H","UseDPDF=Y")</f>
        <v>#NAME?</v>
      </c>
      <c r="BU145" s="1" t="e">
        <f ca="1">_xll.BDH($C$128,"TOTAL_EQUITY_SEQUENTIAL_GROWTH","FQ2 2017","FQ2 2017","Currency=INR","Period=FQ","BEST_FPERIOD_OVERRIDE=FQ","FILING_STATUS=OR","EQY_CONSOLIDATED=Y","Sort=A","Dates=H","DateFormat=P","Fill=—","Direction=H","UseDPDF=Y")</f>
        <v>#NAME?</v>
      </c>
      <c r="BV145" s="1" t="e">
        <f ca="1">_xll.BDH($C$128,"TOTAL_CAPITAL_SEQUENTIAL_GROWTH","FQ2 2017","FQ2 2017","Currency=INR","Period=FQ","BEST_FPERIOD_OVERRIDE=FQ","FILING_STATUS=OR","EQY_CONSOLIDATED=Y","Sort=A","Dates=H","DateFormat=P","Fill=—","Direction=H","UseDPDF=Y")</f>
        <v>#NAME?</v>
      </c>
      <c r="BW145" s="1" t="e">
        <f ca="1">_xll.BDH($C$128,"BPS_SEQUENTIAL_GROWTH","FQ2 2017","FQ2 2017","Currency=INR","Period=FQ","BEST_FPERIOD_OVERRIDE=FQ","FILING_STATUS=OR","EQY_CONSOLIDATED=Y","Sort=A","Dates=H","DateFormat=P","Fill=—","Direction=H","UseDPDF=Y")</f>
        <v>#NAME?</v>
      </c>
      <c r="BX145" s="1" t="e">
        <f ca="1">_xll.BDH($C$128,"CFO_SEQUENTIAL_GROWTH","FQ2 2017","FQ2 2017","Currency=INR","Period=FQ","BEST_FPERIOD_OVERRIDE=FQ","FILING_STATUS=OR","EQY_CONSOLIDATED=Y","Sort=A","Dates=H","DateFormat=P","Fill=—","Direction=H","UseDPDF=Y")</f>
        <v>#NAME?</v>
      </c>
      <c r="BY145" s="2" t="e">
        <f ca="1">_xll.BDH($C$128,"SHORT_AND_LONG_TERM_DEBT","FQ2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45" s="2" t="e">
        <f ca="1">_xll.BDH($C$128,"BS_ST_BORROW","FQ2 2017","FQ2 2017","Currency=INR","Period=FQ","BEST_FPERIOD_OVERRIDE=FQ","FILING_STATUS=OR","EQY_CONSOLIDATED=Y","SCALING_FORMAT=MLN","Sort=A","Dates=H","DateFormat=P","Fill=—","Direction=H","UseDPDF=Y")</f>
        <v>#NAME?</v>
      </c>
      <c r="CA145" s="2" t="e">
        <f ca="1">_xll.BDH($C$128,"BS_LT_BORROW","FQ2 2017","FQ2 2017","Currency=INR","Period=FQ","BEST_FPERIOD_OVERRIDE=FQ","FILING_STATUS=OR","EQY_CONSOLIDATED=Y","SCALING_FORMAT=MLN","Sort=A","Dates=H","DateFormat=P","Fill=—","Direction=H","UseDPDF=Y")</f>
        <v>#NAME?</v>
      </c>
      <c r="CB145" s="1" t="e">
        <f ca="1">_xll.BDH($C$128,"TOT_DEBT_TO_EBITDA","FQ2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45" s="1" t="e">
        <f ca="1">_xll.BDH($C$128,"NET_DEBT_TO_EBITDA","FQ2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45" s="1" t="e">
        <f ca="1">_xll.BDH($C$128,"TOTAL_DEBT_TO_EBIT","FQ2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45" s="1" t="e">
        <f ca="1">_xll.BDH($C$128,"NET_DEBT_TO_EBIT","FQ2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145" s="1" t="e">
        <f ca="1">_xll.BDH($C$128,"EBITDA_TO_INTEREST_EXPN","FQ2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45" s="1" t="e">
        <f ca="1">_xll.BDH($C$128,"COM_EQY_TO_TOT_ASSET","FQ2 2017","FQ2 2017","Currency=INR","Period=FQ","BEST_FPERIOD_OVERRIDE=FQ","FILING_STATUS=OR","EQY_CONSOLIDATED=Y","Sort=A","Dates=H","DateFormat=P","Fill=—","Direction=H","UseDPDF=Y")</f>
        <v>#NAME?</v>
      </c>
      <c r="CH145" s="1" t="e">
        <f ca="1">_xll.BDH($C$128,"LT_DEBT_TO_TOT_EQY","FQ2 2017","FQ2 2017","Currency=INR","Period=FQ","BEST_FPERIOD_OVERRIDE=FQ","FILING_STATUS=OR","EQY_CONSOLIDATED=Y","Sort=A","Dates=H","DateFormat=P","Fill=—","Direction=H","UseDPDF=Y")</f>
        <v>#NAME?</v>
      </c>
      <c r="CI145" s="1" t="e">
        <f ca="1">_xll.BDH($C$128,"LT_DEBT_TO_TOT_CAP","FQ2 2017","FQ2 2017","Currency=INR","Period=FQ","BEST_FPERIOD_OVERRIDE=FQ","FILING_STATUS=OR","EQY_CONSOLIDATED=Y","Sort=A","Dates=H","DateFormat=P","Fill=—","Direction=H","UseDPDF=Y")</f>
        <v>#NAME?</v>
      </c>
      <c r="CJ145" s="1" t="e">
        <f ca="1">_xll.BDH($C$128,"LT_DEBT_TO_TOT_ASSET","FQ2 2017","FQ2 2017","Currency=INR","Period=FQ","BEST_FPERIOD_OVERRIDE=FQ","FILING_STATUS=OR","EQY_CONSOLIDATED=Y","Sort=A","Dates=H","DateFormat=P","Fill=—","Direction=H","UseDPDF=Y")</f>
        <v>#NAME?</v>
      </c>
      <c r="CK145" s="1" t="e">
        <f ca="1">_xll.BDH($C$128,"TOT_DEBT_TO_TOT_EQY","FQ2 2017","FQ2 2017","Currency=INR","Period=FQ","BEST_FPERIOD_OVERRIDE=FQ","FILING_STATUS=OR","EQY_CONSOLIDATED=Y","Sort=A","Dates=H","DateFormat=P","Fill=—","Direction=H","UseDPDF=Y")</f>
        <v>#NAME?</v>
      </c>
      <c r="CL145" s="1" t="e">
        <f ca="1">_xll.BDH($C$128,"TOT_DEBT_TO_TOT_CAP","FQ2 2017","FQ2 2017","Currency=INR","Period=FQ","BEST_FPERIOD_OVERRIDE=FQ","FILING_STATUS=OR","EQY_CONSOLIDATED=Y","Sort=A","Dates=H","DateFormat=P","Fill=—","Direction=H","UseDPDF=Y")</f>
        <v>#NAME?</v>
      </c>
      <c r="CM145" s="1" t="e">
        <f ca="1">_xll.BDH($C$128,"TOT_DEBT_TO_TOT_ASSET","FQ2 2017","FQ2 2017","Currency=INR","Period=FQ","BEST_FPERIOD_OVERRIDE=FQ","FILING_STATUS=OR","EQY_CONSOLIDATED=Y","Sort=A","Dates=H","DateFormat=P","Fill=—","Direction=H","UseDPDF=Y")</f>
        <v>#NAME?</v>
      </c>
      <c r="CN145" s="1" t="e">
        <f ca="1">_xll.BDH($C$128,"NET_DEBT_TO_SHRHLDR_EQTY","FQ2 2017","FQ2 2017","Currency=INR","Period=FQ","BEST_FPERIOD_OVERRIDE=FQ","FILING_STATUS=OR","EQY_CONSOLIDATED=Y","Sort=A","Dates=H","DateFormat=P","Fill=—","Direction=H","UseDPDF=Y")</f>
        <v>#NAME?</v>
      </c>
      <c r="CO145" s="1" t="e">
        <f ca="1">_xll.BDH($C$128,"NET_DEBT_%_CAPITAL","FQ2 2017","FQ2 2017","Currency=INR","Period=FQ","BEST_FPERIOD_OVERRIDE=FQ","FILING_STATUS=OR","EQY_CONSOLIDATED=Y","Sort=A","Dates=H","DateFormat=P","Fill=—","Direction=H","UseDPDF=Y")</f>
        <v>#NAME?</v>
      </c>
      <c r="CP145" s="2" t="e">
        <f ca="1">_xll.BDH($C$128,"EBITDA","FQ2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45" s="2" t="e">
        <f ca="1">_xll.BDH($C$128,"EBITDA_AFTER_CAPEX","FQ2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45" s="2" t="e">
        <f ca="1">_xll.BDH($C$128,"IS_OPER_INC","FQ2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45" s="1" t="e">
        <f ca="1">_xll.BDH($C$128,"CASH_RATIO","FQ2 2017","FQ2 2017","Currency=INR","Period=FQ","BEST_FPERIOD_OVERRIDE=FQ","FILING_STATUS=OR","EQY_CONSOLIDATED=Y","Sort=A","Dates=H","DateFormat=P","Fill=—","Direction=H","UseDPDF=Y")</f>
        <v>#NAME?</v>
      </c>
      <c r="CT145" s="1" t="e">
        <f ca="1">_xll.BDH($C$128,"CUR_RATIO","FQ2 2017","FQ2 2017","Currency=INR","Period=FQ","BEST_FPERIOD_OVERRIDE=FQ","FILING_STATUS=OR","EQY_CONSOLIDATED=Y","Sort=A","Dates=H","DateFormat=P","Fill=—","Direction=H","UseDPDF=Y")</f>
        <v>#NAME?</v>
      </c>
      <c r="CU145" s="1" t="e">
        <f ca="1">_xll.BDH($C$128,"QUICK_RATIO","FQ2 2017","FQ2 2017","Currency=INR","Period=FQ","BEST_FPERIOD_OVERRIDE=FQ","FILING_STATUS=OR","EQY_CONSOLIDATED=Y","Sort=A","Dates=H","DateFormat=P","Fill=—","Direction=H","UseDPDF=Y")</f>
        <v>#NAME?</v>
      </c>
      <c r="CV145" s="1" t="e">
        <f ca="1">_xll.BDH($C$128,"ALTMAN_Z_SCORE","FQ2 2017","FQ2 2017","Currency=INR","Period=FQ","BEST_FPERIOD_OVERRIDE=FQ","FILING_STATUS=OR","EQY_CONSOLIDATED=Y","Sort=A","Dates=H","DateFormat=P","Fill=—","Direction=H","UseDPDF=Y")</f>
        <v>#NAME?</v>
      </c>
      <c r="CW145" s="3" t="e">
        <f ca="1">_xll.BDH($C$128,"ACCT_RCV_TURN","FQ2 2017","FQ2 2017","Currency=INR","Period=FQ","BEST_FPERIOD_OVERRIDE=FQ","FILING_STATUS=OR","EQY_CONSOLIDATED=Y","FA_ADJUSTED=GAAP","Sort=A","Dates=H","DateFormat=P","Fill=—","Direction=H","UseDPDF=Y")</f>
        <v>#NAME?</v>
      </c>
      <c r="CX145" s="1" t="e">
        <f ca="1">_xll.BDH($C$128,"ACCT_RCV_DAYS","FQ2 2017","FQ2 2017","Currency=INR","Period=FQ","BEST_FPERIOD_OVERRIDE=FQ","FILING_STATUS=OR","EQY_CONSOLIDATED=Y","FA_ADJUSTED=GAAP","Sort=A","Dates=H","DateFormat=P","Fill=—","Direction=H","UseDPDF=Y")</f>
        <v>#NAME?</v>
      </c>
      <c r="CY145" s="3" t="e">
        <f ca="1">_xll.BDH($C$128,"INVENT_TURN","FQ2 2017","FQ2 2017","Currency=INR","Period=FQ","BEST_FPERIOD_OVERRIDE=FQ","FILING_STATUS=OR","EQY_CONSOLIDATED=Y","FA_ADJUSTED=GAAP","Sort=A","Dates=H","DateFormat=P","Fill=—","Direction=H","UseDPDF=Y")</f>
        <v>#NAME?</v>
      </c>
      <c r="CZ145" s="1" t="e">
        <f ca="1">_xll.BDH($C$128,"INVENT_DAYS","FQ2 2017","FQ2 2017","Currency=INR","Period=FQ","BEST_FPERIOD_OVERRIDE=FQ","FILING_STATUS=OR","EQY_CONSOLIDATED=Y","FA_ADJUSTED=GAAP","Sort=A","Dates=H","DateFormat=P","Fill=—","Direction=H","UseDPDF=Y")</f>
        <v>#NAME?</v>
      </c>
      <c r="DA145" s="3" t="e">
        <f ca="1">_xll.BDH($C$128,"ACCOUNTS_PAYABLE_TURNOVER","FQ2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45" s="1" t="e">
        <f ca="1">_xll.BDH($C$128,"ACCOUNTS_PAYABLE_TURNOVER_DAYS","FQ2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45" s="3" t="e">
        <f ca="1">_xll.BDH($C$128,"CASH_CONVERSION_CYCLE","FQ2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45" s="3" t="e">
        <f ca="1">_xll.BDH($C$128,"INV_TO_CASH_DAYS","FQ2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145" s="4" t="e">
        <f ca="1">_xll.BDH($C$128,"BS_INVENTORIES","FQ2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145" s="2" t="e">
        <f ca="1">_xll.BDH($C$128,"INVTRY_RAW_MATERIALS","FQ2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45" s="2" t="e">
        <f ca="1">_xll.BDH($C$128,"INVTRY_IN_PROGRESS","FQ2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45" s="2" t="e">
        <f ca="1">_xll.BDH($C$128,"INVTRY_FINISHED_GOODS","FQ2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45" s="2" t="e">
        <f ca="1">_xll.BDH($C$128,"BS_OTHER_INV","FQ2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46" spans="1:113" x14ac:dyDescent="0.3">
      <c r="A146" s="6"/>
      <c r="B146" s="6"/>
      <c r="C146" s="6"/>
      <c r="D146" s="6"/>
      <c r="E146" t="s">
        <v>6</v>
      </c>
      <c r="F146" t="e">
        <f ca="1">_xll.BDH($C$128,"RETURN_COM_EQY","FQ3 2017","FQ3 2017","Currency=INR","Period=FQ","BEST_FPERIOD_OVERRIDE=FQ","FILING_STATUS=OR","EQY_CONSOLIDATED=Y","FA_ADJUSTED=GAAP","Sort=A","Dates=H","DateFormat=P","Fill=—","Direction=H","UseDPDF=Y")</f>
        <v>#NAME?</v>
      </c>
      <c r="G146" t="e">
        <f ca="1">_xll.BDH($C$128,"RETURN_ON_ASSET","FQ3 2017","FQ3 2017","Currency=INR","Period=FQ","BEST_FPERIOD_OVERRIDE=FQ","FILING_STATUS=OR","EQY_CONSOLIDATED=Y","FA_ADJUSTED=GAAP","Sort=A","Dates=H","DateFormat=P","Fill=—","Direction=H","UseDPDF=Y")</f>
        <v>#NAME?</v>
      </c>
      <c r="H146" t="e">
        <f ca="1">_xll.BDH($C$128,"RETURN_ON_CAP","FQ3 2017","FQ3 2017","Currency=INR","Period=FQ","BEST_FPERIOD_OVERRIDE=FQ","FILING_STATUS=OR","EQY_CONSOLIDATED=Y","FA_ADJUSTED=GAAP","Sort=A","Dates=H","DateFormat=P","Fill=—","Direction=H","UseDPDF=Y")</f>
        <v>#NAME?</v>
      </c>
      <c r="I146" t="e">
        <f ca="1">_xll.BDH($C$128,"RETURN_ON_INV_CAPITAL","FQ3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46" t="e">
        <f ca="1">_xll.BDH($C$128,"EBITDA_TO_REVENUE","FQ3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146" t="e">
        <f ca="1">_xll.BDH($C$128,"OPER_MARGIN","FQ3 2017","FQ3 2017","Currency=INR","Period=FQ","BEST_FPERIOD_OVERRIDE=FQ","FILING_STATUS=OR","EQY_CONSOLIDATED=Y","FA_ADJUSTED=GAAP","Sort=A","Dates=H","DateFormat=P","Fill=—","Direction=H","UseDPDF=Y")</f>
        <v>#NAME?</v>
      </c>
      <c r="L146" t="e">
        <f ca="1">_xll.BDH($C$128,"INCREMENTAL_OPERATING_MARGIN","FQ3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46" t="e">
        <f ca="1">_xll.BDH($C$128,"PRETAX_INC_TO_NET_SALES","FQ3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46" t="e">
        <f ca="1">_xll.BDH($C$128,"INC_BEF_XO_ITEMS_TO_NET_SALES","FQ3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46" t="e">
        <f ca="1">_xll.BDH($C$128,"PROF_MARGIN","FQ3 2017","FQ3 2017","Currency=INR","Period=FQ","BEST_FPERIOD_OVERRIDE=FQ","FILING_STATUS=OR","EQY_CONSOLIDATED=Y","FA_ADJUSTED=GAAP","Sort=A","Dates=H","DateFormat=P","Fill=—","Direction=H","UseDPDF=Y")</f>
        <v>#NAME?</v>
      </c>
      <c r="P146" t="e">
        <f ca="1">_xll.BDH($C$128,"NET_INCOME_TO_COMMON_MARGIN","FQ3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46" t="e">
        <f ca="1">_xll.BDH($C$128,"EFF_TAX_RATE","FQ3 2017","FQ3 2017","Currency=INR","Period=FQ","BEST_FPERIOD_OVERRIDE=FQ","FILING_STATUS=OR","EQY_CONSOLIDATED=Y","FA_ADJUSTED=GAAP","Sort=A","Dates=H","DateFormat=P","Fill=—","Direction=H","UseDPDF=Y")</f>
        <v>#NAME?</v>
      </c>
      <c r="R146" t="e">
        <f ca="1">_xll.BDH($C$128,"DVD_PAYOUT_RATIO","FQ3 2017","FQ3 2017","Currency=INR","Period=FQ","BEST_FPERIOD_OVERRIDE=FQ","FILING_STATUS=OR","EQY_CONSOLIDATED=Y","FA_ADJUSTED=GAAP","Sort=A","Dates=H","DateFormat=P","Fill=—","Direction=H","UseDPDF=Y")</f>
        <v>#NAME?</v>
      </c>
      <c r="S146" t="e">
        <f ca="1">_xll.BDH($C$128,"SUSTAIN_GROWTH_RT","FQ3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146" s="1" t="e">
        <f ca="1">_xll.BDH($C$128,"SALES_GROWTH","FQ3 2017","FQ3 2017","Currency=INR","Period=FQ","BEST_FPERIOD_OVERRIDE=FQ","FILING_STATUS=OR","EQY_CONSOLIDATED=Y","FA_ADJUSTED=GAAP","Sort=A","Dates=H","DateFormat=P","Fill=—","Direction=H","UseDPDF=Y")</f>
        <v>#NAME?</v>
      </c>
      <c r="U146" s="1" t="e">
        <f ca="1">_xll.BDH($C$128,"EBITDA_GROWTH","FQ3 2017","FQ3 2017","Currency=INR","Period=FQ","BEST_FPERIOD_OVERRIDE=FQ","FILING_STATUS=OR","EQY_CONSOLIDATED=Y","FA_ADJUSTED=GAAP","Sort=A","Dates=H","DateFormat=P","Fill=—","Direction=H","UseDPDF=Y")</f>
        <v>#NAME?</v>
      </c>
      <c r="V146" s="1" t="e">
        <f ca="1">_xll.BDH($C$128,"OPER_INC_GROWTH","FQ3 2017","FQ3 2017","Currency=INR","Period=FQ","BEST_FPERIOD_OVERRIDE=FQ","FILING_STATUS=OR","EQY_CONSOLIDATED=Y","FA_ADJUSTED=GAAP","Sort=A","Dates=H","DateFormat=P","Fill=—","Direction=H","UseDPDF=Y")</f>
        <v>#NAME?</v>
      </c>
      <c r="W146" s="1" t="e">
        <f ca="1">_xll.BDH($C$128,"EARN_FOR_COM_GROWTH","FQ3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46" s="1" t="e">
        <f ca="1">_xll.BDH($C$128,"DILUTED_EPS_AFT_XO_ITEMS_GROWTH","FQ3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46" s="1" t="e">
        <f ca="1">_xll.BDH($C$128,"DIVIDEND_PER_SHARE_1_YEAR_GROWTH","FQ3 2017","FQ3 2017","Currency=INR","Period=FQ","BEST_FPERIOD_OVERRIDE=FQ","FILING_STATUS=OR","EQY_CONSOLIDATED=Y","Sort=A","Dates=H","DateFormat=P","Fill=—","Direction=H","UseDPDF=Y")</f>
        <v>#NAME?</v>
      </c>
      <c r="Z146" s="1" t="e">
        <f ca="1">_xll.BDH($C$128,"ACCOUNTS_RECEIVABLE_GROWTH","FQ3 2017","FQ3 2017","Currency=INR","Period=FQ","BEST_FPERIOD_OVERRIDE=FQ","FILING_STATUS=OR","EQY_CONSOLIDATED=Y","Sort=A","Dates=H","DateFormat=P","Fill=—","Direction=H","UseDPDF=Y")</f>
        <v>#NAME?</v>
      </c>
      <c r="AA146" s="1" t="e">
        <f ca="1">_xll.BDH($C$128,"INVENTORY_GROWTH","FQ3 2017","FQ3 2017","Currency=INR","Period=FQ","BEST_FPERIOD_OVERRIDE=FQ","FILING_STATUS=OR","EQY_CONSOLIDATED=Y","Sort=A","Dates=H","DateFormat=P","Fill=—","Direction=H","UseDPDF=Y")</f>
        <v>#NAME?</v>
      </c>
      <c r="AB146" s="1" t="e">
        <f ca="1">_xll.BDH($C$128,"NET_FIXED_ASSETS_1_YEAR_GROWTH","FQ3 2017","FQ3 2017","Currency=INR","Period=FQ","BEST_FPERIOD_OVERRIDE=FQ","FILING_STATUS=OR","EQY_CONSOLIDATED=Y","Sort=A","Dates=H","DateFormat=P","Fill=—","Direction=H","UseDPDF=Y")</f>
        <v>#NAME?</v>
      </c>
      <c r="AC146" s="1" t="e">
        <f ca="1">_xll.BDH($C$128,"ASSET_GROWTH","FQ3 2017","FQ3 2017","Currency=INR","Period=FQ","BEST_FPERIOD_OVERRIDE=FQ","FILING_STATUS=OR","EQY_CONSOLIDATED=Y","Sort=A","Dates=H","DateFormat=P","Fill=—","Direction=H","UseDPDF=Y")</f>
        <v>#NAME?</v>
      </c>
      <c r="AD146" s="1" t="e">
        <f ca="1">_xll.BDH($C$128,"MODIFIED_WORK_CAP_GROWTH","FQ3 2017","FQ3 2017","Currency=INR","Period=FQ","BEST_FPERIOD_OVERRIDE=FQ","FILING_STATUS=OR","EQY_CONSOLIDATED=Y","Sort=A","Dates=H","DateFormat=P","Fill=—","Direction=H","UseDPDF=Y")</f>
        <v>#NAME?</v>
      </c>
      <c r="AE146" s="1" t="e">
        <f ca="1">_xll.BDH($C$128,"WORK_CAP_GROWTH","FQ3 2017","FQ3 2017","Currency=INR","Period=FQ","BEST_FPERIOD_OVERRIDE=FQ","FILING_STATUS=OR","EQY_CONSOLIDATED=Y","Sort=A","Dates=H","DateFormat=P","Fill=—","Direction=H","UseDPDF=Y")</f>
        <v>#NAME?</v>
      </c>
      <c r="AF146" s="1" t="e">
        <f ca="1">_xll.BDH($C$128,"ACCOUNTS_PAYABLE_GROWTH_1YR","FQ3 2017","FQ3 2017","Currency=INR","Period=FQ","BEST_FPERIOD_OVERRIDE=FQ","FILING_STATUS=OR","EQY_CONSOLIDATED=Y","Sort=A","Dates=H","DateFormat=P","Fill=—","Direction=H","UseDPDF=Y")</f>
        <v>#NAME?</v>
      </c>
      <c r="AG146" s="1" t="e">
        <f ca="1">_xll.BDH($C$128,"SHORT_TERM_DEBT_1_YEAR_GROWTH","FQ3 2017","FQ3 2017","Currency=INR","Period=FQ","BEST_FPERIOD_OVERRIDE=FQ","FILING_STATUS=OR","EQY_CONSOLIDATED=Y","Sort=A","Dates=H","DateFormat=P","Fill=—","Direction=H","UseDPDF=Y")</f>
        <v>#NAME?</v>
      </c>
      <c r="AH146" s="1" t="e">
        <f ca="1">_xll.BDH($C$128,"TOTAL_DEBT_1_YEAR_GROWTH","FQ3 2017","FQ3 2017","Currency=INR","Period=FQ","BEST_FPERIOD_OVERRIDE=FQ","FILING_STATUS=OR","EQY_CONSOLIDATED=Y","Sort=A","Dates=H","DateFormat=P","Fill=—","Direction=H","UseDPDF=Y")</f>
        <v>#NAME?</v>
      </c>
      <c r="AI146" s="1" t="e">
        <f ca="1">_xll.BDH($C$128,"TOTAL_EQUITY_1_YEAR_GROWTH","FQ3 2017","FQ3 2017","Currency=INR","Period=FQ","BEST_FPERIOD_OVERRIDE=FQ","FILING_STATUS=OR","EQY_CONSOLIDATED=Y","Sort=A","Dates=H","DateFormat=P","Fill=—","Direction=H","UseDPDF=Y")</f>
        <v>#NAME?</v>
      </c>
      <c r="AJ146" s="1" t="e">
        <f ca="1">_xll.BDH($C$128,"GROWTH_IN_CAP","FQ3 2017","FQ3 2017","Currency=INR","Period=FQ","BEST_FPERIOD_OVERRIDE=FQ","FILING_STATUS=OR","EQY_CONSOLIDATED=Y","Sort=A","Dates=H","DateFormat=P","Fill=—","Direction=H","UseDPDF=Y")</f>
        <v>#NAME?</v>
      </c>
      <c r="AK146" s="1" t="e">
        <f ca="1">_xll.BDH($C$128,"BVPS_GROWTH","FQ3 2017","FQ3 2017","Currency=INR","Period=FQ","BEST_FPERIOD_OVERRIDE=FQ","FILING_STATUS=OR","EQY_CONSOLIDATED=Y","Sort=A","Dates=H","DateFormat=P","Fill=—","Direction=H","UseDPDF=Y")</f>
        <v>#NAME?</v>
      </c>
      <c r="AL146" s="1" t="e">
        <f ca="1">_xll.BDH($C$128,"CASH_FLOW_GROWTH","FQ3 2017","FQ3 2017","Currency=INR","Period=FQ","BEST_FPERIOD_OVERRIDE=FQ","FILING_STATUS=OR","EQY_CONSOLIDATED=Y","Sort=A","Dates=H","DateFormat=P","Fill=—","Direction=H","UseDPDF=Y")</f>
        <v>#NAME?</v>
      </c>
      <c r="AM146" s="1" t="e">
        <f ca="1">_xll.BDH($C$128,"GEO_GROW_NET_SALES","FQ3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46" s="1" t="e">
        <f ca="1">_xll.BDH($C$128,"GEO_GROW_EBITDA","FQ3 2017","FQ3 2017","Currency=INR","Period=FQ","BEST_FPERIOD_OVERRIDE=FQ","FILING_STATUS=OR","EQY_CONSOLIDATED=Y","FA_ADJUSTED=GAAP","Sort=A","Dates=H","DateFormat=P","Fill=—","Direction=H","UseDPDF=Y")</f>
        <v>#NAME?</v>
      </c>
      <c r="AO146" s="1" t="e">
        <f ca="1">_xll.BDH($C$128,"GEO_GROW_OPER_INC","FQ3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46" s="1" t="e">
        <f ca="1">_xll.BDH($C$128,"NET_INCOME_TO_COMMON_5_YR_GROWTH","FQ3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46" s="1" t="e">
        <f ca="1">_xll.BDH($C$128,"5Y_GEO_GROWTH_DILUTED_EPS","FQ3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46" s="1" t="e">
        <f ca="1">_xll.BDH($C$128,"GEO_GROW_DVD_PER_SH","FQ3 2017","FQ3 2017","Currency=INR","Period=FQ","BEST_FPERIOD_OVERRIDE=FQ","FILING_STATUS=OR","EQY_CONSOLIDATED=Y","Sort=A","Dates=H","DateFormat=P","Fill=—","Direction=H","UseDPDF=Y")</f>
        <v>#NAME?</v>
      </c>
      <c r="AS146" s="1" t="e">
        <f ca="1">_xll.BDH($C$128,"ACCOUNTS_RECEIVABLE_5_YR_GROWTH","FQ3 2017","FQ3 2017","Currency=INR","Period=FQ","BEST_FPERIOD_OVERRIDE=FQ","FILING_STATUS=OR","EQY_CONSOLIDATED=Y","Sort=A","Dates=H","DateFormat=P","Fill=—","Direction=H","UseDPDF=Y")</f>
        <v>#NAME?</v>
      </c>
      <c r="AT146" s="1" t="e">
        <f ca="1">_xll.BDH($C$128,"INVENTORY_5_YEAR_GROWTH","FQ3 2017","FQ3 2017","Currency=INR","Period=FQ","BEST_FPERIOD_OVERRIDE=FQ","FILING_STATUS=OR","EQY_CONSOLIDATED=Y","Sort=A","Dates=H","DateFormat=P","Fill=—","Direction=H","UseDPDF=Y")</f>
        <v>#NAME?</v>
      </c>
      <c r="AU146" s="1" t="e">
        <f ca="1">_xll.BDH($C$128,"NET_FIXED_ASSETS_5_YEAR_GROWTH","FQ3 2017","FQ3 2017","Currency=INR","Period=FQ","BEST_FPERIOD_OVERRIDE=FQ","FILING_STATUS=OR","EQY_CONSOLIDATED=Y","Sort=A","Dates=H","DateFormat=P","Fill=—","Direction=H","UseDPDF=Y")</f>
        <v>#NAME?</v>
      </c>
      <c r="AV146" s="1" t="e">
        <f ca="1">_xll.BDH($C$128,"GEO_GROW_TOT_ASSET","FQ3 2017","FQ3 2017","Currency=INR","Period=FQ","BEST_FPERIOD_OVERRIDE=FQ","FILING_STATUS=OR","EQY_CONSOLIDATED=Y","Sort=A","Dates=H","DateFormat=P","Fill=—","Direction=H","UseDPDF=Y")</f>
        <v>#NAME?</v>
      </c>
      <c r="AW146" s="1" t="e">
        <f ca="1">_xll.BDH($C$128,"MODIFIED_WORKING_CPTL_5YR_GRWTH","FQ3 2017","FQ3 2017","Currency=INR","Period=FQ","BEST_FPERIOD_OVERRIDE=FQ","FILING_STATUS=OR","EQY_CONSOLIDATED=Y","Sort=A","Dates=H","DateFormat=P","Fill=—","Direction=H","UseDPDF=Y")</f>
        <v>#NAME?</v>
      </c>
      <c r="AX146" s="1" t="e">
        <f ca="1">_xll.BDH($C$128,"WORKING_CAPITAL_5_YEAR_GROWTH","FQ3 2017","FQ3 2017","Currency=INR","Period=FQ","BEST_FPERIOD_OVERRIDE=FQ","FILING_STATUS=OR","EQY_CONSOLIDATED=Y","Sort=A","Dates=H","DateFormat=P","Fill=—","Direction=H","UseDPDF=Y")</f>
        <v>#NAME?</v>
      </c>
      <c r="AY146" s="1" t="e">
        <f ca="1">_xll.BDH($C$128,"ACCOUNTS_PAYABLE_5_YEAR_GROWTH","FQ3 2017","FQ3 2017","Currency=INR","Period=FQ","BEST_FPERIOD_OVERRIDE=FQ","FILING_STATUS=OR","EQY_CONSOLIDATED=Y","Sort=A","Dates=H","DateFormat=P","Fill=—","Direction=H","UseDPDF=Y")</f>
        <v>#NAME?</v>
      </c>
      <c r="AZ146" s="1" t="e">
        <f ca="1">_xll.BDH($C$128,"SHORT_TERM_DEBT_5_YEAR_GROWTH","FQ3 2017","FQ3 2017","Currency=INR","Period=FQ","BEST_FPERIOD_OVERRIDE=FQ","FILING_STATUS=OR","EQY_CONSOLIDATED=Y","Sort=A","Dates=H","DateFormat=P","Fill=—","Direction=H","UseDPDF=Y")</f>
        <v>#NAME?</v>
      </c>
      <c r="BA146" s="1" t="e">
        <f ca="1">_xll.BDH($C$128,"TOTAL_DEBT_5_YEAR_GROWTH","FQ3 2017","FQ3 2017","Currency=INR","Period=FQ","BEST_FPERIOD_OVERRIDE=FQ","FILING_STATUS=OR","EQY_CONSOLIDATED=Y","Sort=A","Dates=H","DateFormat=P","Fill=—","Direction=H","UseDPDF=Y")</f>
        <v>#NAME?</v>
      </c>
      <c r="BB146" s="1" t="e">
        <f ca="1">_xll.BDH($C$128,"GEO_GROW_TOT_SHRHLDR_EQY","FQ3 2017","FQ3 2017","Currency=INR","Period=FQ","BEST_FPERIOD_OVERRIDE=FQ","FILING_STATUS=OR","EQY_CONSOLIDATED=Y","Sort=A","Dates=H","DateFormat=P","Fill=—","Direction=H","UseDPDF=Y")</f>
        <v>#NAME?</v>
      </c>
      <c r="BC146" s="1" t="e">
        <f ca="1">_xll.BDH($C$128,"TOTAL_CAPITAL_5_YEAR_GROWTH","FQ3 2017","FQ3 2017","Currency=INR","Period=FQ","BEST_FPERIOD_OVERRIDE=FQ","FILING_STATUS=OR","EQY_CONSOLIDATED=Y","Sort=A","Dates=H","DateFormat=P","Fill=—","Direction=H","UseDPDF=Y")</f>
        <v>#NAME?</v>
      </c>
      <c r="BD146" s="1" t="e">
        <f ca="1">_xll.BDH($C$128,"GEO_GROW_BOOK_VAL","FQ3 2017","FQ3 2017","Currency=INR","Period=FQ","BEST_FPERIOD_OVERRIDE=FQ","FILING_STATUS=OR","EQY_CONSOLIDATED=Y","Sort=A","Dates=H","DateFormat=P","Fill=—","Direction=H","UseDPDF=Y")</f>
        <v>#NAME?</v>
      </c>
      <c r="BE146" s="1" t="e">
        <f ca="1">_xll.BDH($C$128,"GEO_GROW_CASH_OPER_ACT","FQ3 2017","FQ3 2017","Currency=INR","Period=FQ","BEST_FPERIOD_OVERRIDE=FQ","FILING_STATUS=OR","EQY_CONSOLIDATED=Y","Sort=A","Dates=H","DateFormat=P","Fill=—","Direction=H","UseDPDF=Y")</f>
        <v>#NAME?</v>
      </c>
      <c r="BF146" s="1" t="e">
        <f ca="1">_xll.BDH($C$128,"REVENUE_SEQUENTIAL_GROWTH","FQ3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46" s="1" t="e">
        <f ca="1">_xll.BDH($C$128,"EBITDA_SEQUENTIAL_GROWTH","FQ3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46" s="1" t="e">
        <f ca="1">_xll.BDH($C$128,"OPERATING_INCOME_SEQ_GROWTH","FQ3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46" s="1" t="e">
        <f ca="1">_xll.BDH($C$128,"NET_INCOME_TO_COMMON_SEQ_GROWTH","FQ3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46" s="1" t="e">
        <f ca="1">_xll.BDH($C$128,"EPS_DILUTED_SEQUENTIAL_GROWTH","FQ3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46" s="1" t="e">
        <f ca="1">_xll.BDH($C$128,"DPS_SEQUENTIAL_GROWTH","FQ3 2017","FQ3 2017","Currency=INR","Period=FQ","BEST_FPERIOD_OVERRIDE=FQ","FILING_STATUS=OR","EQY_CONSOLIDATED=Y","Sort=A","Dates=H","DateFormat=P","Fill=—","Direction=H","UseDPDF=Y")</f>
        <v>#NAME?</v>
      </c>
      <c r="BL146" s="1" t="e">
        <f ca="1">_xll.BDH($C$128,"ACCOUNTS_RECEIVABLE_SEQ_GROWTH","FQ3 2017","FQ3 2017","Currency=INR","Period=FQ","BEST_FPERIOD_OVERRIDE=FQ","FILING_STATUS=OR","EQY_CONSOLIDATED=Y","Sort=A","Dates=H","DateFormat=P","Fill=—","Direction=H","UseDPDF=Y")</f>
        <v>#NAME?</v>
      </c>
      <c r="BM146" s="1" t="e">
        <f ca="1">_xll.BDH($C$128,"INVENTORY_SEQUENTIAL_GROWTH","FQ3 2017","FQ3 2017","Currency=INR","Period=FQ","BEST_FPERIOD_OVERRIDE=FQ","FILING_STATUS=OR","EQY_CONSOLIDATED=Y","Sort=A","Dates=H","DateFormat=P","Fill=—","Direction=H","UseDPDF=Y")</f>
        <v>#NAME?</v>
      </c>
      <c r="BN146" s="1" t="e">
        <f ca="1">_xll.BDH($C$128,"FIXED_ASSETS_SEQUENTIAL_GROWTH","FQ3 2017","FQ3 2017","Currency=INR","Period=FQ","BEST_FPERIOD_OVERRIDE=FQ","FILING_STATUS=OR","EQY_CONSOLIDATED=Y","Sort=A","Dates=H","DateFormat=P","Fill=—","Direction=H","UseDPDF=Y")</f>
        <v>#NAME?</v>
      </c>
      <c r="BO146" s="1" t="e">
        <f ca="1">_xll.BDH($C$128,"TOTAL_ASSETS_SEQUENTIAL_GROWTH","FQ3 2017","FQ3 2017","Currency=INR","Period=FQ","BEST_FPERIOD_OVERRIDE=FQ","FILING_STATUS=OR","EQY_CONSOLIDATED=Y","Sort=A","Dates=H","DateFormat=P","Fill=—","Direction=H","UseDPDF=Y")</f>
        <v>#NAME?</v>
      </c>
      <c r="BP146" s="1" t="e">
        <f ca="1">_xll.BDH($C$128,"MODIFIED_WORKING_CPTL_SEQ_GRWTH","FQ3 2017","FQ3 2017","Currency=INR","Period=FQ","BEST_FPERIOD_OVERRIDE=FQ","FILING_STATUS=OR","EQY_CONSOLIDATED=Y","Sort=A","Dates=H","DateFormat=P","Fill=—","Direction=H","UseDPDF=Y")</f>
        <v>#NAME?</v>
      </c>
      <c r="BQ146" s="1" t="e">
        <f ca="1">_xll.BDH($C$128,"WORKING_CAPITAL_SEQ_GROWTH","FQ3 2017","FQ3 2017","Currency=INR","Period=FQ","BEST_FPERIOD_OVERRIDE=FQ","FILING_STATUS=OR","EQY_CONSOLIDATED=Y","Sort=A","Dates=H","DateFormat=P","Fill=—","Direction=H","UseDPDF=Y")</f>
        <v>#NAME?</v>
      </c>
      <c r="BR146" s="1" t="e">
        <f ca="1">_xll.BDH($C$128,"ACCOUNTS_PAYABLE_SEQ_GROWTH","FQ3 2017","FQ3 2017","Currency=INR","Period=FQ","BEST_FPERIOD_OVERRIDE=FQ","FILING_STATUS=OR","EQY_CONSOLIDATED=Y","Sort=A","Dates=H","DateFormat=P","Fill=—","Direction=H","UseDPDF=Y")</f>
        <v>#NAME?</v>
      </c>
      <c r="BS146" s="1" t="e">
        <f ca="1">_xll.BDH($C$128,"ST_DEBT_SEQUENTIAL_GROWTH","FQ3 2017","FQ3 2017","Currency=INR","Period=FQ","BEST_FPERIOD_OVERRIDE=FQ","FILING_STATUS=OR","EQY_CONSOLIDATED=Y","Sort=A","Dates=H","DateFormat=P","Fill=—","Direction=H","UseDPDF=Y")</f>
        <v>#NAME?</v>
      </c>
      <c r="BT146" s="1" t="e">
        <f ca="1">_xll.BDH($C$128,"TOTAL_DEBT_SEQUENTIAL_GROWTH","FQ3 2017","FQ3 2017","Currency=INR","Period=FQ","BEST_FPERIOD_OVERRIDE=FQ","FILING_STATUS=OR","EQY_CONSOLIDATED=Y","Sort=A","Dates=H","DateFormat=P","Fill=—","Direction=H","UseDPDF=Y")</f>
        <v>#NAME?</v>
      </c>
      <c r="BU146" s="1" t="e">
        <f ca="1">_xll.BDH($C$128,"TOTAL_EQUITY_SEQUENTIAL_GROWTH","FQ3 2017","FQ3 2017","Currency=INR","Period=FQ","BEST_FPERIOD_OVERRIDE=FQ","FILING_STATUS=OR","EQY_CONSOLIDATED=Y","Sort=A","Dates=H","DateFormat=P","Fill=—","Direction=H","UseDPDF=Y")</f>
        <v>#NAME?</v>
      </c>
      <c r="BV146" s="1" t="e">
        <f ca="1">_xll.BDH($C$128,"TOTAL_CAPITAL_SEQUENTIAL_GROWTH","FQ3 2017","FQ3 2017","Currency=INR","Period=FQ","BEST_FPERIOD_OVERRIDE=FQ","FILING_STATUS=OR","EQY_CONSOLIDATED=Y","Sort=A","Dates=H","DateFormat=P","Fill=—","Direction=H","UseDPDF=Y")</f>
        <v>#NAME?</v>
      </c>
      <c r="BW146" s="1" t="e">
        <f ca="1">_xll.BDH($C$128,"BPS_SEQUENTIAL_GROWTH","FQ3 2017","FQ3 2017","Currency=INR","Period=FQ","BEST_FPERIOD_OVERRIDE=FQ","FILING_STATUS=OR","EQY_CONSOLIDATED=Y","Sort=A","Dates=H","DateFormat=P","Fill=—","Direction=H","UseDPDF=Y")</f>
        <v>#NAME?</v>
      </c>
      <c r="BX146" s="1" t="e">
        <f ca="1">_xll.BDH($C$128,"CFO_SEQUENTIAL_GROWTH","FQ3 2017","FQ3 2017","Currency=INR","Period=FQ","BEST_FPERIOD_OVERRIDE=FQ","FILING_STATUS=OR","EQY_CONSOLIDATED=Y","Sort=A","Dates=H","DateFormat=P","Fill=—","Direction=H","UseDPDF=Y")</f>
        <v>#NAME?</v>
      </c>
      <c r="BY146" s="2" t="e">
        <f ca="1">_xll.BDH($C$128,"SHORT_AND_LONG_TERM_DEBT","FQ3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46" s="2" t="e">
        <f ca="1">_xll.BDH($C$128,"BS_ST_BORROW","FQ3 2017","FQ3 2017","Currency=INR","Period=FQ","BEST_FPERIOD_OVERRIDE=FQ","FILING_STATUS=OR","EQY_CONSOLIDATED=Y","SCALING_FORMAT=MLN","Sort=A","Dates=H","DateFormat=P","Fill=—","Direction=H","UseDPDF=Y")</f>
        <v>#NAME?</v>
      </c>
      <c r="CA146" s="2" t="e">
        <f ca="1">_xll.BDH($C$128,"BS_LT_BORROW","FQ3 2017","FQ3 2017","Currency=INR","Period=FQ","BEST_FPERIOD_OVERRIDE=FQ","FILING_STATUS=OR","EQY_CONSOLIDATED=Y","SCALING_FORMAT=MLN","Sort=A","Dates=H","DateFormat=P","Fill=—","Direction=H","UseDPDF=Y")</f>
        <v>#NAME?</v>
      </c>
      <c r="CB146" s="1" t="e">
        <f ca="1">_xll.BDH($C$128,"TOT_DEBT_TO_EBITDA","FQ3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46" s="1" t="e">
        <f ca="1">_xll.BDH($C$128,"NET_DEBT_TO_EBITDA","FQ3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46" s="1" t="e">
        <f ca="1">_xll.BDH($C$128,"TOTAL_DEBT_TO_EBIT","FQ3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46" s="1" t="e">
        <f ca="1">_xll.BDH($C$128,"NET_DEBT_TO_EBIT","FQ3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146" s="1" t="e">
        <f ca="1">_xll.BDH($C$128,"EBITDA_TO_INTEREST_EXPN","FQ3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46" s="1" t="e">
        <f ca="1">_xll.BDH($C$128,"COM_EQY_TO_TOT_ASSET","FQ3 2017","FQ3 2017","Currency=INR","Period=FQ","BEST_FPERIOD_OVERRIDE=FQ","FILING_STATUS=OR","EQY_CONSOLIDATED=Y","Sort=A","Dates=H","DateFormat=P","Fill=—","Direction=H","UseDPDF=Y")</f>
        <v>#NAME?</v>
      </c>
      <c r="CH146" s="1" t="e">
        <f ca="1">_xll.BDH($C$128,"LT_DEBT_TO_TOT_EQY","FQ3 2017","FQ3 2017","Currency=INR","Period=FQ","BEST_FPERIOD_OVERRIDE=FQ","FILING_STATUS=OR","EQY_CONSOLIDATED=Y","Sort=A","Dates=H","DateFormat=P","Fill=—","Direction=H","UseDPDF=Y")</f>
        <v>#NAME?</v>
      </c>
      <c r="CI146" s="1" t="e">
        <f ca="1">_xll.BDH($C$128,"LT_DEBT_TO_TOT_CAP","FQ3 2017","FQ3 2017","Currency=INR","Period=FQ","BEST_FPERIOD_OVERRIDE=FQ","FILING_STATUS=OR","EQY_CONSOLIDATED=Y","Sort=A","Dates=H","DateFormat=P","Fill=—","Direction=H","UseDPDF=Y")</f>
        <v>#NAME?</v>
      </c>
      <c r="CJ146" s="1" t="e">
        <f ca="1">_xll.BDH($C$128,"LT_DEBT_TO_TOT_ASSET","FQ3 2017","FQ3 2017","Currency=INR","Period=FQ","BEST_FPERIOD_OVERRIDE=FQ","FILING_STATUS=OR","EQY_CONSOLIDATED=Y","Sort=A","Dates=H","DateFormat=P","Fill=—","Direction=H","UseDPDF=Y")</f>
        <v>#NAME?</v>
      </c>
      <c r="CK146" s="1" t="e">
        <f ca="1">_xll.BDH($C$128,"TOT_DEBT_TO_TOT_EQY","FQ3 2017","FQ3 2017","Currency=INR","Period=FQ","BEST_FPERIOD_OVERRIDE=FQ","FILING_STATUS=OR","EQY_CONSOLIDATED=Y","Sort=A","Dates=H","DateFormat=P","Fill=—","Direction=H","UseDPDF=Y")</f>
        <v>#NAME?</v>
      </c>
      <c r="CL146" s="1" t="e">
        <f ca="1">_xll.BDH($C$128,"TOT_DEBT_TO_TOT_CAP","FQ3 2017","FQ3 2017","Currency=INR","Period=FQ","BEST_FPERIOD_OVERRIDE=FQ","FILING_STATUS=OR","EQY_CONSOLIDATED=Y","Sort=A","Dates=H","DateFormat=P","Fill=—","Direction=H","UseDPDF=Y")</f>
        <v>#NAME?</v>
      </c>
      <c r="CM146" s="1" t="e">
        <f ca="1">_xll.BDH($C$128,"TOT_DEBT_TO_TOT_ASSET","FQ3 2017","FQ3 2017","Currency=INR","Period=FQ","BEST_FPERIOD_OVERRIDE=FQ","FILING_STATUS=OR","EQY_CONSOLIDATED=Y","Sort=A","Dates=H","DateFormat=P","Fill=—","Direction=H","UseDPDF=Y")</f>
        <v>#NAME?</v>
      </c>
      <c r="CN146" s="1" t="e">
        <f ca="1">_xll.BDH($C$128,"NET_DEBT_TO_SHRHLDR_EQTY","FQ3 2017","FQ3 2017","Currency=INR","Period=FQ","BEST_FPERIOD_OVERRIDE=FQ","FILING_STATUS=OR","EQY_CONSOLIDATED=Y","Sort=A","Dates=H","DateFormat=P","Fill=—","Direction=H","UseDPDF=Y")</f>
        <v>#NAME?</v>
      </c>
      <c r="CO146" s="1" t="e">
        <f ca="1">_xll.BDH($C$128,"NET_DEBT_%_CAPITAL","FQ3 2017","FQ3 2017","Currency=INR","Period=FQ","BEST_FPERIOD_OVERRIDE=FQ","FILING_STATUS=OR","EQY_CONSOLIDATED=Y","Sort=A","Dates=H","DateFormat=P","Fill=—","Direction=H","UseDPDF=Y")</f>
        <v>#NAME?</v>
      </c>
      <c r="CP146" s="2" t="e">
        <f ca="1">_xll.BDH($C$128,"EBITDA","FQ3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46" s="2" t="e">
        <f ca="1">_xll.BDH($C$128,"EBITDA_AFTER_CAPEX","FQ3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46" s="2" t="e">
        <f ca="1">_xll.BDH($C$128,"IS_OPER_INC","FQ3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46" s="1" t="e">
        <f ca="1">_xll.BDH($C$128,"CASH_RATIO","FQ3 2017","FQ3 2017","Currency=INR","Period=FQ","BEST_FPERIOD_OVERRIDE=FQ","FILING_STATUS=OR","EQY_CONSOLIDATED=Y","Sort=A","Dates=H","DateFormat=P","Fill=—","Direction=H","UseDPDF=Y")</f>
        <v>#NAME?</v>
      </c>
      <c r="CT146" s="1" t="e">
        <f ca="1">_xll.BDH($C$128,"CUR_RATIO","FQ3 2017","FQ3 2017","Currency=INR","Period=FQ","BEST_FPERIOD_OVERRIDE=FQ","FILING_STATUS=OR","EQY_CONSOLIDATED=Y","Sort=A","Dates=H","DateFormat=P","Fill=—","Direction=H","UseDPDF=Y")</f>
        <v>#NAME?</v>
      </c>
      <c r="CU146" s="1" t="e">
        <f ca="1">_xll.BDH($C$128,"QUICK_RATIO","FQ3 2017","FQ3 2017","Currency=INR","Period=FQ","BEST_FPERIOD_OVERRIDE=FQ","FILING_STATUS=OR","EQY_CONSOLIDATED=Y","Sort=A","Dates=H","DateFormat=P","Fill=—","Direction=H","UseDPDF=Y")</f>
        <v>#NAME?</v>
      </c>
      <c r="CV146" s="1" t="e">
        <f ca="1">_xll.BDH($C$128,"ALTMAN_Z_SCORE","FQ3 2017","FQ3 2017","Currency=INR","Period=FQ","BEST_FPERIOD_OVERRIDE=FQ","FILING_STATUS=OR","EQY_CONSOLIDATED=Y","Sort=A","Dates=H","DateFormat=P","Fill=—","Direction=H","UseDPDF=Y")</f>
        <v>#NAME?</v>
      </c>
      <c r="CW146" s="3" t="e">
        <f ca="1">_xll.BDH($C$128,"ACCT_RCV_TURN","FQ3 2017","FQ3 2017","Currency=INR","Period=FQ","BEST_FPERIOD_OVERRIDE=FQ","FILING_STATUS=OR","EQY_CONSOLIDATED=Y","FA_ADJUSTED=GAAP","Sort=A","Dates=H","DateFormat=P","Fill=—","Direction=H","UseDPDF=Y")</f>
        <v>#NAME?</v>
      </c>
      <c r="CX146" s="1" t="e">
        <f ca="1">_xll.BDH($C$128,"ACCT_RCV_DAYS","FQ3 2017","FQ3 2017","Currency=INR","Period=FQ","BEST_FPERIOD_OVERRIDE=FQ","FILING_STATUS=OR","EQY_CONSOLIDATED=Y","FA_ADJUSTED=GAAP","Sort=A","Dates=H","DateFormat=P","Fill=—","Direction=H","UseDPDF=Y")</f>
        <v>#NAME?</v>
      </c>
      <c r="CY146" s="3" t="e">
        <f ca="1">_xll.BDH($C$128,"INVENT_TURN","FQ3 2017","FQ3 2017","Currency=INR","Period=FQ","BEST_FPERIOD_OVERRIDE=FQ","FILING_STATUS=OR","EQY_CONSOLIDATED=Y","FA_ADJUSTED=GAAP","Sort=A","Dates=H","DateFormat=P","Fill=—","Direction=H","UseDPDF=Y")</f>
        <v>#NAME?</v>
      </c>
      <c r="CZ146" s="1" t="e">
        <f ca="1">_xll.BDH($C$128,"INVENT_DAYS","FQ3 2017","FQ3 2017","Currency=INR","Period=FQ","BEST_FPERIOD_OVERRIDE=FQ","FILING_STATUS=OR","EQY_CONSOLIDATED=Y","FA_ADJUSTED=GAAP","Sort=A","Dates=H","DateFormat=P","Fill=—","Direction=H","UseDPDF=Y")</f>
        <v>#NAME?</v>
      </c>
      <c r="DA146" s="3" t="e">
        <f ca="1">_xll.BDH($C$128,"ACCOUNTS_PAYABLE_TURNOVER","FQ3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46" s="1" t="e">
        <f ca="1">_xll.BDH($C$128,"ACCOUNTS_PAYABLE_TURNOVER_DAYS","FQ3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46" s="3" t="e">
        <f ca="1">_xll.BDH($C$128,"CASH_CONVERSION_CYCLE","FQ3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46" s="3" t="e">
        <f ca="1">_xll.BDH($C$128,"INV_TO_CASH_DAYS","FQ3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146" s="4" t="e">
        <f ca="1">_xll.BDH($C$128,"BS_INVENTORIES","FQ3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146" s="2" t="e">
        <f ca="1">_xll.BDH($C$128,"INVTRY_RAW_MATERIALS","FQ3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46" s="2" t="e">
        <f ca="1">_xll.BDH($C$128,"INVTRY_IN_PROGRESS","FQ3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46" s="2" t="e">
        <f ca="1">_xll.BDH($C$128,"INVTRY_FINISHED_GOODS","FQ3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46" s="2" t="e">
        <f ca="1">_xll.BDH($C$128,"BS_OTHER_INV","FQ3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47" spans="1:113" x14ac:dyDescent="0.3">
      <c r="A147" s="6"/>
      <c r="B147" s="6"/>
      <c r="C147" s="6"/>
      <c r="D147" s="6"/>
      <c r="E147" t="s">
        <v>7</v>
      </c>
      <c r="F147" t="e">
        <f ca="1">_xll.BDH($C$128,"RETURN_COM_EQY","FQ4 2017","FQ4 2017","Currency=INR","Period=FQ","BEST_FPERIOD_OVERRIDE=FQ","FILING_STATUS=OR","EQY_CONSOLIDATED=Y","FA_ADJUSTED=GAAP","Sort=A","Dates=H","DateFormat=P","Fill=—","Direction=H","UseDPDF=Y")</f>
        <v>#NAME?</v>
      </c>
      <c r="G147" t="e">
        <f ca="1">_xll.BDH($C$128,"RETURN_ON_ASSET","FQ4 2017","FQ4 2017","Currency=INR","Period=FQ","BEST_FPERIOD_OVERRIDE=FQ","FILING_STATUS=OR","EQY_CONSOLIDATED=Y","FA_ADJUSTED=GAAP","Sort=A","Dates=H","DateFormat=P","Fill=—","Direction=H","UseDPDF=Y")</f>
        <v>#NAME?</v>
      </c>
      <c r="H147" t="e">
        <f ca="1">_xll.BDH($C$128,"RETURN_ON_CAP","FQ4 2017","FQ4 2017","Currency=INR","Period=FQ","BEST_FPERIOD_OVERRIDE=FQ","FILING_STATUS=OR","EQY_CONSOLIDATED=Y","FA_ADJUSTED=GAAP","Sort=A","Dates=H","DateFormat=P","Fill=—","Direction=H","UseDPDF=Y")</f>
        <v>#NAME?</v>
      </c>
      <c r="I147" t="e">
        <f ca="1">_xll.BDH($C$128,"RETURN_ON_INV_CAPITAL","FQ4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47" t="e">
        <f ca="1">_xll.BDH($C$128,"EBITDA_TO_REVENUE","FQ4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147" t="e">
        <f ca="1">_xll.BDH($C$128,"OPER_MARGIN","FQ4 2017","FQ4 2017","Currency=INR","Period=FQ","BEST_FPERIOD_OVERRIDE=FQ","FILING_STATUS=OR","EQY_CONSOLIDATED=Y","FA_ADJUSTED=GAAP","Sort=A","Dates=H","DateFormat=P","Fill=—","Direction=H","UseDPDF=Y")</f>
        <v>#NAME?</v>
      </c>
      <c r="L147" t="e">
        <f ca="1">_xll.BDH($C$128,"INCREMENTAL_OPERATING_MARGIN","FQ4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47" t="e">
        <f ca="1">_xll.BDH($C$128,"PRETAX_INC_TO_NET_SALES","FQ4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47" t="e">
        <f ca="1">_xll.BDH($C$128,"INC_BEF_XO_ITEMS_TO_NET_SALES","FQ4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47" t="e">
        <f ca="1">_xll.BDH($C$128,"PROF_MARGIN","FQ4 2017","FQ4 2017","Currency=INR","Period=FQ","BEST_FPERIOD_OVERRIDE=FQ","FILING_STATUS=OR","EQY_CONSOLIDATED=Y","FA_ADJUSTED=GAAP","Sort=A","Dates=H","DateFormat=P","Fill=—","Direction=H","UseDPDF=Y")</f>
        <v>#NAME?</v>
      </c>
      <c r="P147" t="e">
        <f ca="1">_xll.BDH($C$128,"NET_INCOME_TO_COMMON_MARGIN","FQ4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47" t="e">
        <f ca="1">_xll.BDH($C$128,"EFF_TAX_RATE","FQ4 2017","FQ4 2017","Currency=INR","Period=FQ","BEST_FPERIOD_OVERRIDE=FQ","FILING_STATUS=OR","EQY_CONSOLIDATED=Y","FA_ADJUSTED=GAAP","Sort=A","Dates=H","DateFormat=P","Fill=—","Direction=H","UseDPDF=Y")</f>
        <v>#NAME?</v>
      </c>
      <c r="R147" t="e">
        <f ca="1">_xll.BDH($C$128,"DVD_PAYOUT_RATIO","FQ4 2017","FQ4 2017","Currency=INR","Period=FQ","BEST_FPERIOD_OVERRIDE=FQ","FILING_STATUS=OR","EQY_CONSOLIDATED=Y","FA_ADJUSTED=GAAP","Sort=A","Dates=H","DateFormat=P","Fill=—","Direction=H","UseDPDF=Y")</f>
        <v>#NAME?</v>
      </c>
      <c r="S147" t="e">
        <f ca="1">_xll.BDH($C$128,"SUSTAIN_GROWTH_RT","FQ4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147" s="1" t="e">
        <f ca="1">_xll.BDH($C$128,"SALES_GROWTH","FQ4 2017","FQ4 2017","Currency=INR","Period=FQ","BEST_FPERIOD_OVERRIDE=FQ","FILING_STATUS=OR","EQY_CONSOLIDATED=Y","FA_ADJUSTED=GAAP","Sort=A","Dates=H","DateFormat=P","Fill=—","Direction=H","UseDPDF=Y")</f>
        <v>#NAME?</v>
      </c>
      <c r="U147" s="1" t="e">
        <f ca="1">_xll.BDH($C$128,"EBITDA_GROWTH","FQ4 2017","FQ4 2017","Currency=INR","Period=FQ","BEST_FPERIOD_OVERRIDE=FQ","FILING_STATUS=OR","EQY_CONSOLIDATED=Y","FA_ADJUSTED=GAAP","Sort=A","Dates=H","DateFormat=P","Fill=—","Direction=H","UseDPDF=Y")</f>
        <v>#NAME?</v>
      </c>
      <c r="V147" s="1" t="e">
        <f ca="1">_xll.BDH($C$128,"OPER_INC_GROWTH","FQ4 2017","FQ4 2017","Currency=INR","Period=FQ","BEST_FPERIOD_OVERRIDE=FQ","FILING_STATUS=OR","EQY_CONSOLIDATED=Y","FA_ADJUSTED=GAAP","Sort=A","Dates=H","DateFormat=P","Fill=—","Direction=H","UseDPDF=Y")</f>
        <v>#NAME?</v>
      </c>
      <c r="W147" s="1" t="e">
        <f ca="1">_xll.BDH($C$128,"EARN_FOR_COM_GROWTH","FQ4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47" s="1" t="e">
        <f ca="1">_xll.BDH($C$128,"DILUTED_EPS_AFT_XO_ITEMS_GROWTH","FQ4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47" s="1" t="e">
        <f ca="1">_xll.BDH($C$128,"DIVIDEND_PER_SHARE_1_YEAR_GROWTH","FQ4 2017","FQ4 2017","Currency=INR","Period=FQ","BEST_FPERIOD_OVERRIDE=FQ","FILING_STATUS=OR","EQY_CONSOLIDATED=Y","Sort=A","Dates=H","DateFormat=P","Fill=—","Direction=H","UseDPDF=Y")</f>
        <v>#NAME?</v>
      </c>
      <c r="Z147" s="1" t="e">
        <f ca="1">_xll.BDH($C$128,"ACCOUNTS_RECEIVABLE_GROWTH","FQ4 2017","FQ4 2017","Currency=INR","Period=FQ","BEST_FPERIOD_OVERRIDE=FQ","FILING_STATUS=OR","EQY_CONSOLIDATED=Y","Sort=A","Dates=H","DateFormat=P","Fill=—","Direction=H","UseDPDF=Y")</f>
        <v>#NAME?</v>
      </c>
      <c r="AA147" s="1" t="e">
        <f ca="1">_xll.BDH($C$128,"INVENTORY_GROWTH","FQ4 2017","FQ4 2017","Currency=INR","Period=FQ","BEST_FPERIOD_OVERRIDE=FQ","FILING_STATUS=OR","EQY_CONSOLIDATED=Y","Sort=A","Dates=H","DateFormat=P","Fill=—","Direction=H","UseDPDF=Y")</f>
        <v>#NAME?</v>
      </c>
      <c r="AB147" s="1" t="e">
        <f ca="1">_xll.BDH($C$128,"NET_FIXED_ASSETS_1_YEAR_GROWTH","FQ4 2017","FQ4 2017","Currency=INR","Period=FQ","BEST_FPERIOD_OVERRIDE=FQ","FILING_STATUS=OR","EQY_CONSOLIDATED=Y","Sort=A","Dates=H","DateFormat=P","Fill=—","Direction=H","UseDPDF=Y")</f>
        <v>#NAME?</v>
      </c>
      <c r="AC147" s="1" t="e">
        <f ca="1">_xll.BDH($C$128,"ASSET_GROWTH","FQ4 2017","FQ4 2017","Currency=INR","Period=FQ","BEST_FPERIOD_OVERRIDE=FQ","FILING_STATUS=OR","EQY_CONSOLIDATED=Y","Sort=A","Dates=H","DateFormat=P","Fill=—","Direction=H","UseDPDF=Y")</f>
        <v>#NAME?</v>
      </c>
      <c r="AD147" s="1" t="e">
        <f ca="1">_xll.BDH($C$128,"MODIFIED_WORK_CAP_GROWTH","FQ4 2017","FQ4 2017","Currency=INR","Period=FQ","BEST_FPERIOD_OVERRIDE=FQ","FILING_STATUS=OR","EQY_CONSOLIDATED=Y","Sort=A","Dates=H","DateFormat=P","Fill=—","Direction=H","UseDPDF=Y")</f>
        <v>#NAME?</v>
      </c>
      <c r="AE147" s="1" t="e">
        <f ca="1">_xll.BDH($C$128,"WORK_CAP_GROWTH","FQ4 2017","FQ4 2017","Currency=INR","Period=FQ","BEST_FPERIOD_OVERRIDE=FQ","FILING_STATUS=OR","EQY_CONSOLIDATED=Y","Sort=A","Dates=H","DateFormat=P","Fill=—","Direction=H","UseDPDF=Y")</f>
        <v>#NAME?</v>
      </c>
      <c r="AF147" s="1" t="e">
        <f ca="1">_xll.BDH($C$128,"ACCOUNTS_PAYABLE_GROWTH_1YR","FQ4 2017","FQ4 2017","Currency=INR","Period=FQ","BEST_FPERIOD_OVERRIDE=FQ","FILING_STATUS=OR","EQY_CONSOLIDATED=Y","Sort=A","Dates=H","DateFormat=P","Fill=—","Direction=H","UseDPDF=Y")</f>
        <v>#NAME?</v>
      </c>
      <c r="AG147" s="1" t="e">
        <f ca="1">_xll.BDH($C$128,"SHORT_TERM_DEBT_1_YEAR_GROWTH","FQ4 2017","FQ4 2017","Currency=INR","Period=FQ","BEST_FPERIOD_OVERRIDE=FQ","FILING_STATUS=OR","EQY_CONSOLIDATED=Y","Sort=A","Dates=H","DateFormat=P","Fill=—","Direction=H","UseDPDF=Y")</f>
        <v>#NAME?</v>
      </c>
      <c r="AH147" s="1" t="e">
        <f ca="1">_xll.BDH($C$128,"TOTAL_DEBT_1_YEAR_GROWTH","FQ4 2017","FQ4 2017","Currency=INR","Period=FQ","BEST_FPERIOD_OVERRIDE=FQ","FILING_STATUS=OR","EQY_CONSOLIDATED=Y","Sort=A","Dates=H","DateFormat=P","Fill=—","Direction=H","UseDPDF=Y")</f>
        <v>#NAME?</v>
      </c>
      <c r="AI147" s="1" t="e">
        <f ca="1">_xll.BDH($C$128,"TOTAL_EQUITY_1_YEAR_GROWTH","FQ4 2017","FQ4 2017","Currency=INR","Period=FQ","BEST_FPERIOD_OVERRIDE=FQ","FILING_STATUS=OR","EQY_CONSOLIDATED=Y","Sort=A","Dates=H","DateFormat=P","Fill=—","Direction=H","UseDPDF=Y")</f>
        <v>#NAME?</v>
      </c>
      <c r="AJ147" s="1" t="e">
        <f ca="1">_xll.BDH($C$128,"GROWTH_IN_CAP","FQ4 2017","FQ4 2017","Currency=INR","Period=FQ","BEST_FPERIOD_OVERRIDE=FQ","FILING_STATUS=OR","EQY_CONSOLIDATED=Y","Sort=A","Dates=H","DateFormat=P","Fill=—","Direction=H","UseDPDF=Y")</f>
        <v>#NAME?</v>
      </c>
      <c r="AK147" s="1" t="e">
        <f ca="1">_xll.BDH($C$128,"BVPS_GROWTH","FQ4 2017","FQ4 2017","Currency=INR","Period=FQ","BEST_FPERIOD_OVERRIDE=FQ","FILING_STATUS=OR","EQY_CONSOLIDATED=Y","Sort=A","Dates=H","DateFormat=P","Fill=—","Direction=H","UseDPDF=Y")</f>
        <v>#NAME?</v>
      </c>
      <c r="AL147" s="1" t="e">
        <f ca="1">_xll.BDH($C$128,"CASH_FLOW_GROWTH","FQ4 2017","FQ4 2017","Currency=INR","Period=FQ","BEST_FPERIOD_OVERRIDE=FQ","FILING_STATUS=OR","EQY_CONSOLIDATED=Y","Sort=A","Dates=H","DateFormat=P","Fill=—","Direction=H","UseDPDF=Y")</f>
        <v>#NAME?</v>
      </c>
      <c r="AM147" s="1" t="e">
        <f ca="1">_xll.BDH($C$128,"GEO_GROW_NET_SALES","FQ4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47" s="1" t="e">
        <f ca="1">_xll.BDH($C$128,"GEO_GROW_EBITDA","FQ4 2017","FQ4 2017","Currency=INR","Period=FQ","BEST_FPERIOD_OVERRIDE=FQ","FILING_STATUS=OR","EQY_CONSOLIDATED=Y","FA_ADJUSTED=GAAP","Sort=A","Dates=H","DateFormat=P","Fill=—","Direction=H","UseDPDF=Y")</f>
        <v>#NAME?</v>
      </c>
      <c r="AO147" s="1" t="e">
        <f ca="1">_xll.BDH($C$128,"GEO_GROW_OPER_INC","FQ4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47" s="1" t="e">
        <f ca="1">_xll.BDH($C$128,"NET_INCOME_TO_COMMON_5_YR_GROWTH","FQ4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47" s="1" t="e">
        <f ca="1">_xll.BDH($C$128,"5Y_GEO_GROWTH_DILUTED_EPS","FQ4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47" s="1" t="e">
        <f ca="1">_xll.BDH($C$128,"GEO_GROW_DVD_PER_SH","FQ4 2017","FQ4 2017","Currency=INR","Period=FQ","BEST_FPERIOD_OVERRIDE=FQ","FILING_STATUS=OR","EQY_CONSOLIDATED=Y","Sort=A","Dates=H","DateFormat=P","Fill=—","Direction=H","UseDPDF=Y")</f>
        <v>#NAME?</v>
      </c>
      <c r="AS147" s="1" t="e">
        <f ca="1">_xll.BDH($C$128,"ACCOUNTS_RECEIVABLE_5_YR_GROWTH","FQ4 2017","FQ4 2017","Currency=INR","Period=FQ","BEST_FPERIOD_OVERRIDE=FQ","FILING_STATUS=OR","EQY_CONSOLIDATED=Y","Sort=A","Dates=H","DateFormat=P","Fill=—","Direction=H","UseDPDF=Y")</f>
        <v>#NAME?</v>
      </c>
      <c r="AT147" s="1" t="e">
        <f ca="1">_xll.BDH($C$128,"INVENTORY_5_YEAR_GROWTH","FQ4 2017","FQ4 2017","Currency=INR","Period=FQ","BEST_FPERIOD_OVERRIDE=FQ","FILING_STATUS=OR","EQY_CONSOLIDATED=Y","Sort=A","Dates=H","DateFormat=P","Fill=—","Direction=H","UseDPDF=Y")</f>
        <v>#NAME?</v>
      </c>
      <c r="AU147" s="1" t="e">
        <f ca="1">_xll.BDH($C$128,"NET_FIXED_ASSETS_5_YEAR_GROWTH","FQ4 2017","FQ4 2017","Currency=INR","Period=FQ","BEST_FPERIOD_OVERRIDE=FQ","FILING_STATUS=OR","EQY_CONSOLIDATED=Y","Sort=A","Dates=H","DateFormat=P","Fill=—","Direction=H","UseDPDF=Y")</f>
        <v>#NAME?</v>
      </c>
      <c r="AV147" s="1" t="e">
        <f ca="1">_xll.BDH($C$128,"GEO_GROW_TOT_ASSET","FQ4 2017","FQ4 2017","Currency=INR","Period=FQ","BEST_FPERIOD_OVERRIDE=FQ","FILING_STATUS=OR","EQY_CONSOLIDATED=Y","Sort=A","Dates=H","DateFormat=P","Fill=—","Direction=H","UseDPDF=Y")</f>
        <v>#NAME?</v>
      </c>
      <c r="AW147" s="1" t="e">
        <f ca="1">_xll.BDH($C$128,"MODIFIED_WORKING_CPTL_5YR_GRWTH","FQ4 2017","FQ4 2017","Currency=INR","Period=FQ","BEST_FPERIOD_OVERRIDE=FQ","FILING_STATUS=OR","EQY_CONSOLIDATED=Y","Sort=A","Dates=H","DateFormat=P","Fill=—","Direction=H","UseDPDF=Y")</f>
        <v>#NAME?</v>
      </c>
      <c r="AX147" s="1" t="e">
        <f ca="1">_xll.BDH($C$128,"WORKING_CAPITAL_5_YEAR_GROWTH","FQ4 2017","FQ4 2017","Currency=INR","Period=FQ","BEST_FPERIOD_OVERRIDE=FQ","FILING_STATUS=OR","EQY_CONSOLIDATED=Y","Sort=A","Dates=H","DateFormat=P","Fill=—","Direction=H","UseDPDF=Y")</f>
        <v>#NAME?</v>
      </c>
      <c r="AY147" s="1" t="e">
        <f ca="1">_xll.BDH($C$128,"ACCOUNTS_PAYABLE_5_YEAR_GROWTH","FQ4 2017","FQ4 2017","Currency=INR","Period=FQ","BEST_FPERIOD_OVERRIDE=FQ","FILING_STATUS=OR","EQY_CONSOLIDATED=Y","Sort=A","Dates=H","DateFormat=P","Fill=—","Direction=H","UseDPDF=Y")</f>
        <v>#NAME?</v>
      </c>
      <c r="AZ147" s="1" t="e">
        <f ca="1">_xll.BDH($C$128,"SHORT_TERM_DEBT_5_YEAR_GROWTH","FQ4 2017","FQ4 2017","Currency=INR","Period=FQ","BEST_FPERIOD_OVERRIDE=FQ","FILING_STATUS=OR","EQY_CONSOLIDATED=Y","Sort=A","Dates=H","DateFormat=P","Fill=—","Direction=H","UseDPDF=Y")</f>
        <v>#NAME?</v>
      </c>
      <c r="BA147" s="1" t="e">
        <f ca="1">_xll.BDH($C$128,"TOTAL_DEBT_5_YEAR_GROWTH","FQ4 2017","FQ4 2017","Currency=INR","Period=FQ","BEST_FPERIOD_OVERRIDE=FQ","FILING_STATUS=OR","EQY_CONSOLIDATED=Y","Sort=A","Dates=H","DateFormat=P","Fill=—","Direction=H","UseDPDF=Y")</f>
        <v>#NAME?</v>
      </c>
      <c r="BB147" s="1" t="e">
        <f ca="1">_xll.BDH($C$128,"GEO_GROW_TOT_SHRHLDR_EQY","FQ4 2017","FQ4 2017","Currency=INR","Period=FQ","BEST_FPERIOD_OVERRIDE=FQ","FILING_STATUS=OR","EQY_CONSOLIDATED=Y","Sort=A","Dates=H","DateFormat=P","Fill=—","Direction=H","UseDPDF=Y")</f>
        <v>#NAME?</v>
      </c>
      <c r="BC147" s="1" t="e">
        <f ca="1">_xll.BDH($C$128,"TOTAL_CAPITAL_5_YEAR_GROWTH","FQ4 2017","FQ4 2017","Currency=INR","Period=FQ","BEST_FPERIOD_OVERRIDE=FQ","FILING_STATUS=OR","EQY_CONSOLIDATED=Y","Sort=A","Dates=H","DateFormat=P","Fill=—","Direction=H","UseDPDF=Y")</f>
        <v>#NAME?</v>
      </c>
      <c r="BD147" s="1" t="e">
        <f ca="1">_xll.BDH($C$128,"GEO_GROW_BOOK_VAL","FQ4 2017","FQ4 2017","Currency=INR","Period=FQ","BEST_FPERIOD_OVERRIDE=FQ","FILING_STATUS=OR","EQY_CONSOLIDATED=Y","Sort=A","Dates=H","DateFormat=P","Fill=—","Direction=H","UseDPDF=Y")</f>
        <v>#NAME?</v>
      </c>
      <c r="BE147" s="1" t="e">
        <f ca="1">_xll.BDH($C$128,"GEO_GROW_CASH_OPER_ACT","FQ4 2017","FQ4 2017","Currency=INR","Period=FQ","BEST_FPERIOD_OVERRIDE=FQ","FILING_STATUS=OR","EQY_CONSOLIDATED=Y","Sort=A","Dates=H","DateFormat=P","Fill=—","Direction=H","UseDPDF=Y")</f>
        <v>#NAME?</v>
      </c>
      <c r="BF147" s="1" t="e">
        <f ca="1">_xll.BDH($C$128,"REVENUE_SEQUENTIAL_GROWTH","FQ4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47" s="1" t="e">
        <f ca="1">_xll.BDH($C$128,"EBITDA_SEQUENTIAL_GROWTH","FQ4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47" s="1" t="e">
        <f ca="1">_xll.BDH($C$128,"OPERATING_INCOME_SEQ_GROWTH","FQ4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47" s="1" t="e">
        <f ca="1">_xll.BDH($C$128,"NET_INCOME_TO_COMMON_SEQ_GROWTH","FQ4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47" s="1" t="e">
        <f ca="1">_xll.BDH($C$128,"EPS_DILUTED_SEQUENTIAL_GROWTH","FQ4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47" s="1" t="e">
        <f ca="1">_xll.BDH($C$128,"DPS_SEQUENTIAL_GROWTH","FQ4 2017","FQ4 2017","Currency=INR","Period=FQ","BEST_FPERIOD_OVERRIDE=FQ","FILING_STATUS=OR","EQY_CONSOLIDATED=Y","Sort=A","Dates=H","DateFormat=P","Fill=—","Direction=H","UseDPDF=Y")</f>
        <v>#NAME?</v>
      </c>
      <c r="BL147" s="1" t="e">
        <f ca="1">_xll.BDH($C$128,"ACCOUNTS_RECEIVABLE_SEQ_GROWTH","FQ4 2017","FQ4 2017","Currency=INR","Period=FQ","BEST_FPERIOD_OVERRIDE=FQ","FILING_STATUS=OR","EQY_CONSOLIDATED=Y","Sort=A","Dates=H","DateFormat=P","Fill=—","Direction=H","UseDPDF=Y")</f>
        <v>#NAME?</v>
      </c>
      <c r="BM147" s="1" t="e">
        <f ca="1">_xll.BDH($C$128,"INVENTORY_SEQUENTIAL_GROWTH","FQ4 2017","FQ4 2017","Currency=INR","Period=FQ","BEST_FPERIOD_OVERRIDE=FQ","FILING_STATUS=OR","EQY_CONSOLIDATED=Y","Sort=A","Dates=H","DateFormat=P","Fill=—","Direction=H","UseDPDF=Y")</f>
        <v>#NAME?</v>
      </c>
      <c r="BN147" s="1" t="e">
        <f ca="1">_xll.BDH($C$128,"FIXED_ASSETS_SEQUENTIAL_GROWTH","FQ4 2017","FQ4 2017","Currency=INR","Period=FQ","BEST_FPERIOD_OVERRIDE=FQ","FILING_STATUS=OR","EQY_CONSOLIDATED=Y","Sort=A","Dates=H","DateFormat=P","Fill=—","Direction=H","UseDPDF=Y")</f>
        <v>#NAME?</v>
      </c>
      <c r="BO147" s="1" t="e">
        <f ca="1">_xll.BDH($C$128,"TOTAL_ASSETS_SEQUENTIAL_GROWTH","FQ4 2017","FQ4 2017","Currency=INR","Period=FQ","BEST_FPERIOD_OVERRIDE=FQ","FILING_STATUS=OR","EQY_CONSOLIDATED=Y","Sort=A","Dates=H","DateFormat=P","Fill=—","Direction=H","UseDPDF=Y")</f>
        <v>#NAME?</v>
      </c>
      <c r="BP147" s="1" t="e">
        <f ca="1">_xll.BDH($C$128,"MODIFIED_WORKING_CPTL_SEQ_GRWTH","FQ4 2017","FQ4 2017","Currency=INR","Period=FQ","BEST_FPERIOD_OVERRIDE=FQ","FILING_STATUS=OR","EQY_CONSOLIDATED=Y","Sort=A","Dates=H","DateFormat=P","Fill=—","Direction=H","UseDPDF=Y")</f>
        <v>#NAME?</v>
      </c>
      <c r="BQ147" s="1" t="e">
        <f ca="1">_xll.BDH($C$128,"WORKING_CAPITAL_SEQ_GROWTH","FQ4 2017","FQ4 2017","Currency=INR","Period=FQ","BEST_FPERIOD_OVERRIDE=FQ","FILING_STATUS=OR","EQY_CONSOLIDATED=Y","Sort=A","Dates=H","DateFormat=P","Fill=—","Direction=H","UseDPDF=Y")</f>
        <v>#NAME?</v>
      </c>
      <c r="BR147" s="1" t="e">
        <f ca="1">_xll.BDH($C$128,"ACCOUNTS_PAYABLE_SEQ_GROWTH","FQ4 2017","FQ4 2017","Currency=INR","Period=FQ","BEST_FPERIOD_OVERRIDE=FQ","FILING_STATUS=OR","EQY_CONSOLIDATED=Y","Sort=A","Dates=H","DateFormat=P","Fill=—","Direction=H","UseDPDF=Y")</f>
        <v>#NAME?</v>
      </c>
      <c r="BS147" s="1" t="e">
        <f ca="1">_xll.BDH($C$128,"ST_DEBT_SEQUENTIAL_GROWTH","FQ4 2017","FQ4 2017","Currency=INR","Period=FQ","BEST_FPERIOD_OVERRIDE=FQ","FILING_STATUS=OR","EQY_CONSOLIDATED=Y","Sort=A","Dates=H","DateFormat=P","Fill=—","Direction=H","UseDPDF=Y")</f>
        <v>#NAME?</v>
      </c>
      <c r="BT147" s="1" t="e">
        <f ca="1">_xll.BDH($C$128,"TOTAL_DEBT_SEQUENTIAL_GROWTH","FQ4 2017","FQ4 2017","Currency=INR","Period=FQ","BEST_FPERIOD_OVERRIDE=FQ","FILING_STATUS=OR","EQY_CONSOLIDATED=Y","Sort=A","Dates=H","DateFormat=P","Fill=—","Direction=H","UseDPDF=Y")</f>
        <v>#NAME?</v>
      </c>
      <c r="BU147" s="1" t="e">
        <f ca="1">_xll.BDH($C$128,"TOTAL_EQUITY_SEQUENTIAL_GROWTH","FQ4 2017","FQ4 2017","Currency=INR","Period=FQ","BEST_FPERIOD_OVERRIDE=FQ","FILING_STATUS=OR","EQY_CONSOLIDATED=Y","Sort=A","Dates=H","DateFormat=P","Fill=—","Direction=H","UseDPDF=Y")</f>
        <v>#NAME?</v>
      </c>
      <c r="BV147" s="1" t="e">
        <f ca="1">_xll.BDH($C$128,"TOTAL_CAPITAL_SEQUENTIAL_GROWTH","FQ4 2017","FQ4 2017","Currency=INR","Period=FQ","BEST_FPERIOD_OVERRIDE=FQ","FILING_STATUS=OR","EQY_CONSOLIDATED=Y","Sort=A","Dates=H","DateFormat=P","Fill=—","Direction=H","UseDPDF=Y")</f>
        <v>#NAME?</v>
      </c>
      <c r="BW147" s="1" t="e">
        <f ca="1">_xll.BDH($C$128,"BPS_SEQUENTIAL_GROWTH","FQ4 2017","FQ4 2017","Currency=INR","Period=FQ","BEST_FPERIOD_OVERRIDE=FQ","FILING_STATUS=OR","EQY_CONSOLIDATED=Y","Sort=A","Dates=H","DateFormat=P","Fill=—","Direction=H","UseDPDF=Y")</f>
        <v>#NAME?</v>
      </c>
      <c r="BX147" s="1" t="e">
        <f ca="1">_xll.BDH($C$128,"CFO_SEQUENTIAL_GROWTH","FQ4 2017","FQ4 2017","Currency=INR","Period=FQ","BEST_FPERIOD_OVERRIDE=FQ","FILING_STATUS=OR","EQY_CONSOLIDATED=Y","Sort=A","Dates=H","DateFormat=P","Fill=—","Direction=H","UseDPDF=Y")</f>
        <v>#NAME?</v>
      </c>
      <c r="BY147" s="2" t="e">
        <f ca="1">_xll.BDH($C$128,"SHORT_AND_LONG_TERM_DEBT","FQ4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47" s="2" t="e">
        <f ca="1">_xll.BDH($C$128,"BS_ST_BORROW","FQ4 2017","FQ4 2017","Currency=INR","Period=FQ","BEST_FPERIOD_OVERRIDE=FQ","FILING_STATUS=OR","EQY_CONSOLIDATED=Y","SCALING_FORMAT=MLN","Sort=A","Dates=H","DateFormat=P","Fill=—","Direction=H","UseDPDF=Y")</f>
        <v>#NAME?</v>
      </c>
      <c r="CA147" s="2" t="e">
        <f ca="1">_xll.BDH($C$128,"BS_LT_BORROW","FQ4 2017","FQ4 2017","Currency=INR","Period=FQ","BEST_FPERIOD_OVERRIDE=FQ","FILING_STATUS=OR","EQY_CONSOLIDATED=Y","SCALING_FORMAT=MLN","Sort=A","Dates=H","DateFormat=P","Fill=—","Direction=H","UseDPDF=Y")</f>
        <v>#NAME?</v>
      </c>
      <c r="CB147" s="1" t="e">
        <f ca="1">_xll.BDH($C$128,"TOT_DEBT_TO_EBITDA","FQ4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47" s="1" t="e">
        <f ca="1">_xll.BDH($C$128,"NET_DEBT_TO_EBITDA","FQ4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47" s="1" t="e">
        <f ca="1">_xll.BDH($C$128,"TOTAL_DEBT_TO_EBIT","FQ4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47" s="1" t="e">
        <f ca="1">_xll.BDH($C$128,"NET_DEBT_TO_EBIT","FQ4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147" s="1" t="e">
        <f ca="1">_xll.BDH($C$128,"EBITDA_TO_INTEREST_EXPN","FQ4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47" s="1" t="e">
        <f ca="1">_xll.BDH($C$128,"COM_EQY_TO_TOT_ASSET","FQ4 2017","FQ4 2017","Currency=INR","Period=FQ","BEST_FPERIOD_OVERRIDE=FQ","FILING_STATUS=OR","EQY_CONSOLIDATED=Y","Sort=A","Dates=H","DateFormat=P","Fill=—","Direction=H","UseDPDF=Y")</f>
        <v>#NAME?</v>
      </c>
      <c r="CH147" s="1" t="e">
        <f ca="1">_xll.BDH($C$128,"LT_DEBT_TO_TOT_EQY","FQ4 2017","FQ4 2017","Currency=INR","Period=FQ","BEST_FPERIOD_OVERRIDE=FQ","FILING_STATUS=OR","EQY_CONSOLIDATED=Y","Sort=A","Dates=H","DateFormat=P","Fill=—","Direction=H","UseDPDF=Y")</f>
        <v>#NAME?</v>
      </c>
      <c r="CI147" s="1" t="e">
        <f ca="1">_xll.BDH($C$128,"LT_DEBT_TO_TOT_CAP","FQ4 2017","FQ4 2017","Currency=INR","Period=FQ","BEST_FPERIOD_OVERRIDE=FQ","FILING_STATUS=OR","EQY_CONSOLIDATED=Y","Sort=A","Dates=H","DateFormat=P","Fill=—","Direction=H","UseDPDF=Y")</f>
        <v>#NAME?</v>
      </c>
      <c r="CJ147" s="1" t="e">
        <f ca="1">_xll.BDH($C$128,"LT_DEBT_TO_TOT_ASSET","FQ4 2017","FQ4 2017","Currency=INR","Period=FQ","BEST_FPERIOD_OVERRIDE=FQ","FILING_STATUS=OR","EQY_CONSOLIDATED=Y","Sort=A","Dates=H","DateFormat=P","Fill=—","Direction=H","UseDPDF=Y")</f>
        <v>#NAME?</v>
      </c>
      <c r="CK147" s="1" t="e">
        <f ca="1">_xll.BDH($C$128,"TOT_DEBT_TO_TOT_EQY","FQ4 2017","FQ4 2017","Currency=INR","Period=FQ","BEST_FPERIOD_OVERRIDE=FQ","FILING_STATUS=OR","EQY_CONSOLIDATED=Y","Sort=A","Dates=H","DateFormat=P","Fill=—","Direction=H","UseDPDF=Y")</f>
        <v>#NAME?</v>
      </c>
      <c r="CL147" s="1" t="e">
        <f ca="1">_xll.BDH($C$128,"TOT_DEBT_TO_TOT_CAP","FQ4 2017","FQ4 2017","Currency=INR","Period=FQ","BEST_FPERIOD_OVERRIDE=FQ","FILING_STATUS=OR","EQY_CONSOLIDATED=Y","Sort=A","Dates=H","DateFormat=P","Fill=—","Direction=H","UseDPDF=Y")</f>
        <v>#NAME?</v>
      </c>
      <c r="CM147" s="1" t="e">
        <f ca="1">_xll.BDH($C$128,"TOT_DEBT_TO_TOT_ASSET","FQ4 2017","FQ4 2017","Currency=INR","Period=FQ","BEST_FPERIOD_OVERRIDE=FQ","FILING_STATUS=OR","EQY_CONSOLIDATED=Y","Sort=A","Dates=H","DateFormat=P","Fill=—","Direction=H","UseDPDF=Y")</f>
        <v>#NAME?</v>
      </c>
      <c r="CN147" s="1" t="e">
        <f ca="1">_xll.BDH($C$128,"NET_DEBT_TO_SHRHLDR_EQTY","FQ4 2017","FQ4 2017","Currency=INR","Period=FQ","BEST_FPERIOD_OVERRIDE=FQ","FILING_STATUS=OR","EQY_CONSOLIDATED=Y","Sort=A","Dates=H","DateFormat=P","Fill=—","Direction=H","UseDPDF=Y")</f>
        <v>#NAME?</v>
      </c>
      <c r="CO147" s="1" t="e">
        <f ca="1">_xll.BDH($C$128,"NET_DEBT_%_CAPITAL","FQ4 2017","FQ4 2017","Currency=INR","Period=FQ","BEST_FPERIOD_OVERRIDE=FQ","FILING_STATUS=OR","EQY_CONSOLIDATED=Y","Sort=A","Dates=H","DateFormat=P","Fill=—","Direction=H","UseDPDF=Y")</f>
        <v>#NAME?</v>
      </c>
      <c r="CP147" s="2" t="e">
        <f ca="1">_xll.BDH($C$128,"EBITDA","FQ4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47" s="2" t="e">
        <f ca="1">_xll.BDH($C$128,"EBITDA_AFTER_CAPEX","FQ4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47" s="2" t="e">
        <f ca="1">_xll.BDH($C$128,"IS_OPER_INC","FQ4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47" s="1" t="e">
        <f ca="1">_xll.BDH($C$128,"CASH_RATIO","FQ4 2017","FQ4 2017","Currency=INR","Period=FQ","BEST_FPERIOD_OVERRIDE=FQ","FILING_STATUS=OR","EQY_CONSOLIDATED=Y","Sort=A","Dates=H","DateFormat=P","Fill=—","Direction=H","UseDPDF=Y")</f>
        <v>#NAME?</v>
      </c>
      <c r="CT147" s="1" t="e">
        <f ca="1">_xll.BDH($C$128,"CUR_RATIO","FQ4 2017","FQ4 2017","Currency=INR","Period=FQ","BEST_FPERIOD_OVERRIDE=FQ","FILING_STATUS=OR","EQY_CONSOLIDATED=Y","Sort=A","Dates=H","DateFormat=P","Fill=—","Direction=H","UseDPDF=Y")</f>
        <v>#NAME?</v>
      </c>
      <c r="CU147" s="1" t="e">
        <f ca="1">_xll.BDH($C$128,"QUICK_RATIO","FQ4 2017","FQ4 2017","Currency=INR","Period=FQ","BEST_FPERIOD_OVERRIDE=FQ","FILING_STATUS=OR","EQY_CONSOLIDATED=Y","Sort=A","Dates=H","DateFormat=P","Fill=—","Direction=H","UseDPDF=Y")</f>
        <v>#NAME?</v>
      </c>
      <c r="CV147" s="1" t="e">
        <f ca="1">_xll.BDH($C$128,"ALTMAN_Z_SCORE","FQ4 2017","FQ4 2017","Currency=INR","Period=FQ","BEST_FPERIOD_OVERRIDE=FQ","FILING_STATUS=OR","EQY_CONSOLIDATED=Y","Sort=A","Dates=H","DateFormat=P","Fill=—","Direction=H","UseDPDF=Y")</f>
        <v>#NAME?</v>
      </c>
      <c r="CW147" s="3" t="e">
        <f ca="1">_xll.BDH($C$128,"ACCT_RCV_TURN","FQ4 2017","FQ4 2017","Currency=INR","Period=FQ","BEST_FPERIOD_OVERRIDE=FQ","FILING_STATUS=OR","EQY_CONSOLIDATED=Y","FA_ADJUSTED=GAAP","Sort=A","Dates=H","DateFormat=P","Fill=—","Direction=H","UseDPDF=Y")</f>
        <v>#NAME?</v>
      </c>
      <c r="CX147" s="1" t="e">
        <f ca="1">_xll.BDH($C$128,"ACCT_RCV_DAYS","FQ4 2017","FQ4 2017","Currency=INR","Period=FQ","BEST_FPERIOD_OVERRIDE=FQ","FILING_STATUS=OR","EQY_CONSOLIDATED=Y","FA_ADJUSTED=GAAP","Sort=A","Dates=H","DateFormat=P","Fill=—","Direction=H","UseDPDF=Y")</f>
        <v>#NAME?</v>
      </c>
      <c r="CY147" s="3" t="e">
        <f ca="1">_xll.BDH($C$128,"INVENT_TURN","FQ4 2017","FQ4 2017","Currency=INR","Period=FQ","BEST_FPERIOD_OVERRIDE=FQ","FILING_STATUS=OR","EQY_CONSOLIDATED=Y","FA_ADJUSTED=GAAP","Sort=A","Dates=H","DateFormat=P","Fill=—","Direction=H","UseDPDF=Y")</f>
        <v>#NAME?</v>
      </c>
      <c r="CZ147" s="1" t="e">
        <f ca="1">_xll.BDH($C$128,"INVENT_DAYS","FQ4 2017","FQ4 2017","Currency=INR","Period=FQ","BEST_FPERIOD_OVERRIDE=FQ","FILING_STATUS=OR","EQY_CONSOLIDATED=Y","FA_ADJUSTED=GAAP","Sort=A","Dates=H","DateFormat=P","Fill=—","Direction=H","UseDPDF=Y")</f>
        <v>#NAME?</v>
      </c>
      <c r="DA147" s="3" t="e">
        <f ca="1">_xll.BDH($C$128,"ACCOUNTS_PAYABLE_TURNOVER","FQ4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47" s="1" t="e">
        <f ca="1">_xll.BDH($C$128,"ACCOUNTS_PAYABLE_TURNOVER_DAYS","FQ4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47" s="3" t="e">
        <f ca="1">_xll.BDH($C$128,"CASH_CONVERSION_CYCLE","FQ4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47" s="3" t="e">
        <f ca="1">_xll.BDH($C$128,"INV_TO_CASH_DAYS","FQ4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147" s="4" t="e">
        <f ca="1">_xll.BDH($C$128,"BS_INVENTORIES","FQ4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147" s="2" t="e">
        <f ca="1">_xll.BDH($C$128,"INVTRY_RAW_MATERIALS","FQ4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47" s="2" t="e">
        <f ca="1">_xll.BDH($C$128,"INVTRY_IN_PROGRESS","FQ4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47" s="2" t="e">
        <f ca="1">_xll.BDH($C$128,"INVTRY_FINISHED_GOODS","FQ4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47" s="2" t="e">
        <f ca="1">_xll.BDH($C$128,"BS_OTHER_INV","FQ4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48" spans="1:113" x14ac:dyDescent="0.3">
      <c r="A148" s="6"/>
      <c r="B148" s="6"/>
      <c r="C148" s="6"/>
      <c r="D148" s="6" t="s">
        <v>11</v>
      </c>
      <c r="E148" t="s">
        <v>3</v>
      </c>
      <c r="F148" t="e">
        <f ca="1">_xll.BDH($C$128,"RETURN_COM_EQY","FY 2018","FY 2018","Currency=INR","Period=FY","BEST_FPERIOD_OVERRIDE=FY","FILING_STATUS=OR","EQY_CONSOLIDATED=Y","FA_ADJUSTED=GAAP","Sort=A","Dates=H","DateFormat=P","Fill=—","Direction=H","UseDPDF=Y")</f>
        <v>#NAME?</v>
      </c>
      <c r="G148" t="e">
        <f ca="1">_xll.BDH($C$128,"RETURN_ON_ASSET","FY 2018","FY 2018","Currency=INR","Period=FY","BEST_FPERIOD_OVERRIDE=FY","FILING_STATUS=OR","EQY_CONSOLIDATED=Y","FA_ADJUSTED=GAAP","Sort=A","Dates=H","DateFormat=P","Fill=—","Direction=H","UseDPDF=Y")</f>
        <v>#NAME?</v>
      </c>
      <c r="H148" t="e">
        <f ca="1">_xll.BDH($C$128,"RETURN_ON_CAP","FY 2018","FY 2018","Currency=INR","Period=FY","BEST_FPERIOD_OVERRIDE=FY","FILING_STATUS=OR","EQY_CONSOLIDATED=Y","FA_ADJUSTED=GAAP","Sort=A","Dates=H","DateFormat=P","Fill=—","Direction=H","UseDPDF=Y")</f>
        <v>#NAME?</v>
      </c>
      <c r="I148" t="e">
        <f ca="1">_xll.BDH($C$128,"RETURN_ON_INV_CAPITAL","FY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48" t="e">
        <f ca="1">_xll.BDH($C$128,"EBITDA_TO_REVENUE","FY 2018","FY 2018","Currency=INR","Period=FY","BEST_FPERIOD_OVERRIDE=FY","FILING_STATUS=OR","EQY_CONSOLIDATED=Y","FA_ADJUSTED=GAAP","Sort=A","Dates=H","DateFormat=P","Fill=—","Direction=H","UseDPDF=Y")</f>
        <v>#NAME?</v>
      </c>
      <c r="K148" t="e">
        <f ca="1">_xll.BDH($C$128,"OPER_MARGIN","FY 2018","FY 2018","Currency=INR","Period=FY","BEST_FPERIOD_OVERRIDE=FY","FILING_STATUS=OR","EQY_CONSOLIDATED=Y","FA_ADJUSTED=GAAP","Sort=A","Dates=H","DateFormat=P","Fill=—","Direction=H","UseDPDF=Y")</f>
        <v>#NAME?</v>
      </c>
      <c r="L148" t="e">
        <f ca="1">_xll.BDH($C$128,"INCREMENTAL_OPERATING_MARGIN","FY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48" t="e">
        <f ca="1">_xll.BDH($C$128,"PRETAX_INC_TO_NET_SALES","FY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48" t="e">
        <f ca="1">_xll.BDH($C$128,"INC_BEF_XO_ITEMS_TO_NET_SALES","FY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48" t="e">
        <f ca="1">_xll.BDH($C$128,"PROF_MARGIN","FY 2018","FY 2018","Currency=INR","Period=FY","BEST_FPERIOD_OVERRIDE=FY","FILING_STATUS=OR","EQY_CONSOLIDATED=Y","FA_ADJUSTED=GAAP","Sort=A","Dates=H","DateFormat=P","Fill=—","Direction=H","UseDPDF=Y")</f>
        <v>#NAME?</v>
      </c>
      <c r="P148" t="e">
        <f ca="1">_xll.BDH($C$128,"NET_INCOME_TO_COMMON_MARGIN","FY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48" t="e">
        <f ca="1">_xll.BDH($C$128,"EFF_TAX_RATE","FY 2018","FY 2018","Currency=INR","Period=FY","BEST_FPERIOD_OVERRIDE=FY","FILING_STATUS=OR","EQY_CONSOLIDATED=Y","FA_ADJUSTED=GAAP","Sort=A","Dates=H","DateFormat=P","Fill=—","Direction=H","UseDPDF=Y")</f>
        <v>#NAME?</v>
      </c>
      <c r="R148" t="e">
        <f ca="1">_xll.BDH($C$128,"DVD_PAYOUT_RATIO","FY 2018","FY 2018","Currency=INR","Period=FY","BEST_FPERIOD_OVERRIDE=FY","FILING_STATUS=OR","EQY_CONSOLIDATED=Y","FA_ADJUSTED=GAAP","Sort=A","Dates=H","DateFormat=P","Fill=—","Direction=H","UseDPDF=Y")</f>
        <v>#NAME?</v>
      </c>
      <c r="S148" t="e">
        <f ca="1">_xll.BDH($C$128,"SUSTAIN_GROWTH_RT","FY 2018","FY 2018","Currency=INR","Period=FY","BEST_FPERIOD_OVERRIDE=FY","FILING_STATUS=OR","EQY_CONSOLIDATED=Y","FA_ADJUSTED=GAAP","Sort=A","Dates=H","DateFormat=P","Fill=—","Direction=H","UseDPDF=Y")</f>
        <v>#NAME?</v>
      </c>
      <c r="T148" s="1" t="e">
        <f ca="1">_xll.BDH($C$128,"SALES_GROWTH","FY 2018","FY 2018","Currency=INR","Period=FY","BEST_FPERIOD_OVERRIDE=FY","FILING_STATUS=OR","EQY_CONSOLIDATED=Y","FA_ADJUSTED=GAAP","Sort=A","Dates=H","DateFormat=P","Fill=—","Direction=H","UseDPDF=Y")</f>
        <v>#NAME?</v>
      </c>
      <c r="U148" s="1" t="e">
        <f ca="1">_xll.BDH($C$128,"EBITDA_GROWTH","FY 2018","FY 2018","Currency=INR","Period=FY","BEST_FPERIOD_OVERRIDE=FY","FILING_STATUS=OR","EQY_CONSOLIDATED=Y","FA_ADJUSTED=GAAP","Sort=A","Dates=H","DateFormat=P","Fill=—","Direction=H","UseDPDF=Y")</f>
        <v>#NAME?</v>
      </c>
      <c r="V148" s="1" t="e">
        <f ca="1">_xll.BDH($C$128,"OPER_INC_GROWTH","FY 2018","FY 2018","Currency=INR","Period=FY","BEST_FPERIOD_OVERRIDE=FY","FILING_STATUS=OR","EQY_CONSOLIDATED=Y","FA_ADJUSTED=GAAP","Sort=A","Dates=H","DateFormat=P","Fill=—","Direction=H","UseDPDF=Y")</f>
        <v>#NAME?</v>
      </c>
      <c r="W148" s="1" t="e">
        <f ca="1">_xll.BDH($C$128,"EARN_FOR_COM_GROWTH","FY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148" s="1" t="e">
        <f ca="1">_xll.BDH($C$128,"DILUTED_EPS_AFT_XO_ITEMS_GROWTH","FY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48" s="1" t="e">
        <f ca="1">_xll.BDH($C$128,"DIVIDEND_PER_SHARE_1_YEAR_GROWTH","FY 2018","FY 2018","Currency=INR","Period=FY","BEST_FPERIOD_OVERRIDE=FY","FILING_STATUS=OR","EQY_CONSOLIDATED=Y","Sort=A","Dates=H","DateFormat=P","Fill=—","Direction=H","UseDPDF=Y")</f>
        <v>#NAME?</v>
      </c>
      <c r="Z148" s="1" t="e">
        <f ca="1">_xll.BDH($C$128,"ACCOUNTS_RECEIVABLE_GROWTH","FY 2018","FY 2018","Currency=INR","Period=FY","BEST_FPERIOD_OVERRIDE=FY","FILING_STATUS=OR","EQY_CONSOLIDATED=Y","Sort=A","Dates=H","DateFormat=P","Fill=—","Direction=H","UseDPDF=Y")</f>
        <v>#NAME?</v>
      </c>
      <c r="AA148" s="1" t="e">
        <f ca="1">_xll.BDH($C$128,"INVENTORY_GROWTH","FY 2018","FY 2018","Currency=INR","Period=FY","BEST_FPERIOD_OVERRIDE=FY","FILING_STATUS=OR","EQY_CONSOLIDATED=Y","Sort=A","Dates=H","DateFormat=P","Fill=—","Direction=H","UseDPDF=Y")</f>
        <v>#NAME?</v>
      </c>
      <c r="AB148" s="1" t="e">
        <f ca="1">_xll.BDH($C$128,"NET_FIXED_ASSETS_1_YEAR_GROWTH","FY 2018","FY 2018","Currency=INR","Period=FY","BEST_FPERIOD_OVERRIDE=FY","FILING_STATUS=OR","EQY_CONSOLIDATED=Y","Sort=A","Dates=H","DateFormat=P","Fill=—","Direction=H","UseDPDF=Y")</f>
        <v>#NAME?</v>
      </c>
      <c r="AC148" s="1" t="e">
        <f ca="1">_xll.BDH($C$128,"ASSET_GROWTH","FY 2018","FY 2018","Currency=INR","Period=FY","BEST_FPERIOD_OVERRIDE=FY","FILING_STATUS=OR","EQY_CONSOLIDATED=Y","Sort=A","Dates=H","DateFormat=P","Fill=—","Direction=H","UseDPDF=Y")</f>
        <v>#NAME?</v>
      </c>
      <c r="AD148" s="1" t="e">
        <f ca="1">_xll.BDH($C$128,"MODIFIED_WORK_CAP_GROWTH","FY 2018","FY 2018","Currency=INR","Period=FY","BEST_FPERIOD_OVERRIDE=FY","FILING_STATUS=OR","EQY_CONSOLIDATED=Y","Sort=A","Dates=H","DateFormat=P","Fill=—","Direction=H","UseDPDF=Y")</f>
        <v>#NAME?</v>
      </c>
      <c r="AE148" s="1" t="e">
        <f ca="1">_xll.BDH($C$128,"WORK_CAP_GROWTH","FY 2018","FY 2018","Currency=INR","Period=FY","BEST_FPERIOD_OVERRIDE=FY","FILING_STATUS=OR","EQY_CONSOLIDATED=Y","Sort=A","Dates=H","DateFormat=P","Fill=—","Direction=H","UseDPDF=Y")</f>
        <v>#NAME?</v>
      </c>
      <c r="AF148" s="1" t="e">
        <f ca="1">_xll.BDH($C$128,"ACCOUNTS_PAYABLE_GROWTH_1YR","FY 2018","FY 2018","Currency=INR","Period=FY","BEST_FPERIOD_OVERRIDE=FY","FILING_STATUS=OR","EQY_CONSOLIDATED=Y","Sort=A","Dates=H","DateFormat=P","Fill=—","Direction=H","UseDPDF=Y")</f>
        <v>#NAME?</v>
      </c>
      <c r="AG148" s="1" t="e">
        <f ca="1">_xll.BDH($C$128,"SHORT_TERM_DEBT_1_YEAR_GROWTH","FY 2018","FY 2018","Currency=INR","Period=FY","BEST_FPERIOD_OVERRIDE=FY","FILING_STATUS=OR","EQY_CONSOLIDATED=Y","Sort=A","Dates=H","DateFormat=P","Fill=—","Direction=H","UseDPDF=Y")</f>
        <v>#NAME?</v>
      </c>
      <c r="AH148" s="1" t="e">
        <f ca="1">_xll.BDH($C$128,"TOTAL_DEBT_1_YEAR_GROWTH","FY 2018","FY 2018","Currency=INR","Period=FY","BEST_FPERIOD_OVERRIDE=FY","FILING_STATUS=OR","EQY_CONSOLIDATED=Y","Sort=A","Dates=H","DateFormat=P","Fill=—","Direction=H","UseDPDF=Y")</f>
        <v>#NAME?</v>
      </c>
      <c r="AI148" s="1" t="e">
        <f ca="1">_xll.BDH($C$128,"TOTAL_EQUITY_1_YEAR_GROWTH","FY 2018","FY 2018","Currency=INR","Period=FY","BEST_FPERIOD_OVERRIDE=FY","FILING_STATUS=OR","EQY_CONSOLIDATED=Y","Sort=A","Dates=H","DateFormat=P","Fill=—","Direction=H","UseDPDF=Y")</f>
        <v>#NAME?</v>
      </c>
      <c r="AJ148" s="1" t="e">
        <f ca="1">_xll.BDH($C$128,"GROWTH_IN_CAP","FY 2018","FY 2018","Currency=INR","Period=FY","BEST_FPERIOD_OVERRIDE=FY","FILING_STATUS=OR","EQY_CONSOLIDATED=Y","Sort=A","Dates=H","DateFormat=P","Fill=—","Direction=H","UseDPDF=Y")</f>
        <v>#NAME?</v>
      </c>
      <c r="AK148" s="1" t="e">
        <f ca="1">_xll.BDH($C$128,"BVPS_GROWTH","FY 2018","FY 2018","Currency=INR","Period=FY","BEST_FPERIOD_OVERRIDE=FY","FILING_STATUS=OR","EQY_CONSOLIDATED=Y","Sort=A","Dates=H","DateFormat=P","Fill=—","Direction=H","UseDPDF=Y")</f>
        <v>#NAME?</v>
      </c>
      <c r="AL148" s="1" t="e">
        <f ca="1">_xll.BDH($C$128,"CASH_FLOW_GROWTH","FY 2018","FY 2018","Currency=INR","Period=FY","BEST_FPERIOD_OVERRIDE=FY","FILING_STATUS=OR","EQY_CONSOLIDATED=Y","Sort=A","Dates=H","DateFormat=P","Fill=—","Direction=H","UseDPDF=Y")</f>
        <v>#NAME?</v>
      </c>
      <c r="AM148" s="1" t="e">
        <f ca="1">_xll.BDH($C$128,"GEO_GROW_NET_SALES","FY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148" s="1" t="e">
        <f ca="1">_xll.BDH($C$128,"GEO_GROW_EBITDA","FY 2018","FY 2018","Currency=INR","Period=FY","BEST_FPERIOD_OVERRIDE=FY","FILING_STATUS=OR","EQY_CONSOLIDATED=Y","FA_ADJUSTED=GAAP","Sort=A","Dates=H","DateFormat=P","Fill=—","Direction=H","UseDPDF=Y")</f>
        <v>#NAME?</v>
      </c>
      <c r="AO148" s="1" t="e">
        <f ca="1">_xll.BDH($C$128,"GEO_GROW_OPER_INC","FY 2018","FY 2018","Currency=INR","Period=FY","BEST_FPERIOD_OVERRIDE=FY","FILING_STATUS=OR","EQY_CONSOLIDATED=Y","FA_ADJUSTED=GAAP","Sort=A","Dates=H","DateFormat=P","Fill=—","Direction=H","UseDPDF=Y")</f>
        <v>#NAME?</v>
      </c>
      <c r="AP148" s="1" t="e">
        <f ca="1">_xll.BDH($C$128,"NET_INCOME_TO_COMMON_5_YR_GROWTH","FY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48" s="1" t="e">
        <f ca="1">_xll.BDH($C$128,"5Y_GEO_GROWTH_DILUTED_EPS","FY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48" s="1" t="e">
        <f ca="1">_xll.BDH($C$128,"GEO_GROW_DVD_PER_SH","FY 2018","FY 2018","Currency=INR","Period=FY","BEST_FPERIOD_OVERRIDE=FY","FILING_STATUS=OR","EQY_CONSOLIDATED=Y","Sort=A","Dates=H","DateFormat=P","Fill=—","Direction=H","UseDPDF=Y")</f>
        <v>#NAME?</v>
      </c>
      <c r="AS148" s="1" t="e">
        <f ca="1">_xll.BDH($C$128,"ACCOUNTS_RECEIVABLE_5_YR_GROWTH","FY 2018","FY 2018","Currency=INR","Period=FY","BEST_FPERIOD_OVERRIDE=FY","FILING_STATUS=OR","EQY_CONSOLIDATED=Y","Sort=A","Dates=H","DateFormat=P","Fill=—","Direction=H","UseDPDF=Y")</f>
        <v>#NAME?</v>
      </c>
      <c r="AT148" s="1" t="e">
        <f ca="1">_xll.BDH($C$128,"INVENTORY_5_YEAR_GROWTH","FY 2018","FY 2018","Currency=INR","Period=FY","BEST_FPERIOD_OVERRIDE=FY","FILING_STATUS=OR","EQY_CONSOLIDATED=Y","Sort=A","Dates=H","DateFormat=P","Fill=—","Direction=H","UseDPDF=Y")</f>
        <v>#NAME?</v>
      </c>
      <c r="AU148" s="1" t="e">
        <f ca="1">_xll.BDH($C$128,"NET_FIXED_ASSETS_5_YEAR_GROWTH","FY 2018","FY 2018","Currency=INR","Period=FY","BEST_FPERIOD_OVERRIDE=FY","FILING_STATUS=OR","EQY_CONSOLIDATED=Y","Sort=A","Dates=H","DateFormat=P","Fill=—","Direction=H","UseDPDF=Y")</f>
        <v>#NAME?</v>
      </c>
      <c r="AV148" s="1" t="e">
        <f ca="1">_xll.BDH($C$128,"GEO_GROW_TOT_ASSET","FY 2018","FY 2018","Currency=INR","Period=FY","BEST_FPERIOD_OVERRIDE=FY","FILING_STATUS=OR","EQY_CONSOLIDATED=Y","Sort=A","Dates=H","DateFormat=P","Fill=—","Direction=H","UseDPDF=Y")</f>
        <v>#NAME?</v>
      </c>
      <c r="AW148" s="1" t="e">
        <f ca="1">_xll.BDH($C$128,"MODIFIED_WORKING_CPTL_5YR_GRWTH","FY 2018","FY 2018","Currency=INR","Period=FY","BEST_FPERIOD_OVERRIDE=FY","FILING_STATUS=OR","EQY_CONSOLIDATED=Y","Sort=A","Dates=H","DateFormat=P","Fill=—","Direction=H","UseDPDF=Y")</f>
        <v>#NAME?</v>
      </c>
      <c r="AX148" s="1" t="e">
        <f ca="1">_xll.BDH($C$128,"WORKING_CAPITAL_5_YEAR_GROWTH","FY 2018","FY 2018","Currency=INR","Period=FY","BEST_FPERIOD_OVERRIDE=FY","FILING_STATUS=OR","EQY_CONSOLIDATED=Y","Sort=A","Dates=H","DateFormat=P","Fill=—","Direction=H","UseDPDF=Y")</f>
        <v>#NAME?</v>
      </c>
      <c r="AY148" s="1" t="e">
        <f ca="1">_xll.BDH($C$128,"ACCOUNTS_PAYABLE_5_YEAR_GROWTH","FY 2018","FY 2018","Currency=INR","Period=FY","BEST_FPERIOD_OVERRIDE=FY","FILING_STATUS=OR","EQY_CONSOLIDATED=Y","Sort=A","Dates=H","DateFormat=P","Fill=—","Direction=H","UseDPDF=Y")</f>
        <v>#NAME?</v>
      </c>
      <c r="AZ148" s="1" t="e">
        <f ca="1">_xll.BDH($C$128,"SHORT_TERM_DEBT_5_YEAR_GROWTH","FY 2018","FY 2018","Currency=INR","Period=FY","BEST_FPERIOD_OVERRIDE=FY","FILING_STATUS=OR","EQY_CONSOLIDATED=Y","Sort=A","Dates=H","DateFormat=P","Fill=—","Direction=H","UseDPDF=Y")</f>
        <v>#NAME?</v>
      </c>
      <c r="BA148" s="1" t="e">
        <f ca="1">_xll.BDH($C$128,"TOTAL_DEBT_5_YEAR_GROWTH","FY 2018","FY 2018","Currency=INR","Period=FY","BEST_FPERIOD_OVERRIDE=FY","FILING_STATUS=OR","EQY_CONSOLIDATED=Y","Sort=A","Dates=H","DateFormat=P","Fill=—","Direction=H","UseDPDF=Y")</f>
        <v>#NAME?</v>
      </c>
      <c r="BB148" s="1" t="e">
        <f ca="1">_xll.BDH($C$128,"GEO_GROW_TOT_SHRHLDR_EQY","FY 2018","FY 2018","Currency=INR","Period=FY","BEST_FPERIOD_OVERRIDE=FY","FILING_STATUS=OR","EQY_CONSOLIDATED=Y","Sort=A","Dates=H","DateFormat=P","Fill=—","Direction=H","UseDPDF=Y")</f>
        <v>#NAME?</v>
      </c>
      <c r="BC148" s="1" t="e">
        <f ca="1">_xll.BDH($C$128,"TOTAL_CAPITAL_5_YEAR_GROWTH","FY 2018","FY 2018","Currency=INR","Period=FY","BEST_FPERIOD_OVERRIDE=FY","FILING_STATUS=OR","EQY_CONSOLIDATED=Y","Sort=A","Dates=H","DateFormat=P","Fill=—","Direction=H","UseDPDF=Y")</f>
        <v>#NAME?</v>
      </c>
      <c r="BD148" s="1" t="e">
        <f ca="1">_xll.BDH($C$128,"GEO_GROW_BOOK_VAL","FY 2018","FY 2018","Currency=INR","Period=FY","BEST_FPERIOD_OVERRIDE=FY","FILING_STATUS=OR","EQY_CONSOLIDATED=Y","Sort=A","Dates=H","DateFormat=P","Fill=—","Direction=H","UseDPDF=Y")</f>
        <v>#NAME?</v>
      </c>
      <c r="BE148" s="1" t="e">
        <f ca="1">_xll.BDH($C$128,"GEO_GROW_CASH_OPER_ACT","FY 2018","FY 2018","Currency=INR","Period=FY","BEST_FPERIOD_OVERRIDE=FY","FILING_STATUS=OR","EQY_CONSOLIDATED=Y","Sort=A","Dates=H","DateFormat=P","Fill=—","Direction=H","UseDPDF=Y")</f>
        <v>#NAME?</v>
      </c>
      <c r="BF148" s="1" t="e">
        <f ca="1">_xll.BDH($C$128,"REVENUE_SEQUENTIAL_GROWTH","FY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48" s="1" t="e">
        <f ca="1">_xll.BDH($C$128,"EBITDA_SEQUENTIAL_GROWTH","FY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48" s="1" t="e">
        <f ca="1">_xll.BDH($C$128,"OPERATING_INCOME_SEQ_GROWTH","FY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48" s="1" t="e">
        <f ca="1">_xll.BDH($C$128,"NET_INCOME_TO_COMMON_SEQ_GROWTH","FY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48" s="1" t="e">
        <f ca="1">_xll.BDH($C$128,"EPS_DILUTED_SEQUENTIAL_GROWTH","FY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48" s="1" t="e">
        <f ca="1">_xll.BDH($C$128,"DPS_SEQUENTIAL_GROWTH","FY 2018","FY 2018","Currency=INR","Period=FY","BEST_FPERIOD_OVERRIDE=FY","FILING_STATUS=OR","EQY_CONSOLIDATED=Y","Sort=A","Dates=H","DateFormat=P","Fill=—","Direction=H","UseDPDF=Y")</f>
        <v>#NAME?</v>
      </c>
      <c r="BL148" s="1" t="e">
        <f ca="1">_xll.BDH($C$128,"ACCOUNTS_RECEIVABLE_SEQ_GROWTH","FY 2018","FY 2018","Currency=INR","Period=FY","BEST_FPERIOD_OVERRIDE=FY","FILING_STATUS=OR","EQY_CONSOLIDATED=Y","Sort=A","Dates=H","DateFormat=P","Fill=—","Direction=H","UseDPDF=Y")</f>
        <v>#NAME?</v>
      </c>
      <c r="BM148" s="1" t="e">
        <f ca="1">_xll.BDH($C$128,"INVENTORY_SEQUENTIAL_GROWTH","FY 2018","FY 2018","Currency=INR","Period=FY","BEST_FPERIOD_OVERRIDE=FY","FILING_STATUS=OR","EQY_CONSOLIDATED=Y","Sort=A","Dates=H","DateFormat=P","Fill=—","Direction=H","UseDPDF=Y")</f>
        <v>#NAME?</v>
      </c>
      <c r="BN148" s="1" t="e">
        <f ca="1">_xll.BDH($C$128,"FIXED_ASSETS_SEQUENTIAL_GROWTH","FY 2018","FY 2018","Currency=INR","Period=FY","BEST_FPERIOD_OVERRIDE=FY","FILING_STATUS=OR","EQY_CONSOLIDATED=Y","Sort=A","Dates=H","DateFormat=P","Fill=—","Direction=H","UseDPDF=Y")</f>
        <v>#NAME?</v>
      </c>
      <c r="BO148" s="1" t="e">
        <f ca="1">_xll.BDH($C$128,"TOTAL_ASSETS_SEQUENTIAL_GROWTH","FY 2018","FY 2018","Currency=INR","Period=FY","BEST_FPERIOD_OVERRIDE=FY","FILING_STATUS=OR","EQY_CONSOLIDATED=Y","Sort=A","Dates=H","DateFormat=P","Fill=—","Direction=H","UseDPDF=Y")</f>
        <v>#NAME?</v>
      </c>
      <c r="BP148" s="1" t="e">
        <f ca="1">_xll.BDH($C$128,"MODIFIED_WORKING_CPTL_SEQ_GRWTH","FY 2018","FY 2018","Currency=INR","Period=FY","BEST_FPERIOD_OVERRIDE=FY","FILING_STATUS=OR","EQY_CONSOLIDATED=Y","Sort=A","Dates=H","DateFormat=P","Fill=—","Direction=H","UseDPDF=Y")</f>
        <v>#NAME?</v>
      </c>
      <c r="BQ148" s="1" t="e">
        <f ca="1">_xll.BDH($C$128,"WORKING_CAPITAL_SEQ_GROWTH","FY 2018","FY 2018","Currency=INR","Period=FY","BEST_FPERIOD_OVERRIDE=FY","FILING_STATUS=OR","EQY_CONSOLIDATED=Y","Sort=A","Dates=H","DateFormat=P","Fill=—","Direction=H","UseDPDF=Y")</f>
        <v>#NAME?</v>
      </c>
      <c r="BR148" s="1" t="e">
        <f ca="1">_xll.BDH($C$128,"ACCOUNTS_PAYABLE_SEQ_GROWTH","FY 2018","FY 2018","Currency=INR","Period=FY","BEST_FPERIOD_OVERRIDE=FY","FILING_STATUS=OR","EQY_CONSOLIDATED=Y","Sort=A","Dates=H","DateFormat=P","Fill=—","Direction=H","UseDPDF=Y")</f>
        <v>#NAME?</v>
      </c>
      <c r="BS148" s="1" t="e">
        <f ca="1">_xll.BDH($C$128,"ST_DEBT_SEQUENTIAL_GROWTH","FY 2018","FY 2018","Currency=INR","Period=FY","BEST_FPERIOD_OVERRIDE=FY","FILING_STATUS=OR","EQY_CONSOLIDATED=Y","Sort=A","Dates=H","DateFormat=P","Fill=—","Direction=H","UseDPDF=Y")</f>
        <v>#NAME?</v>
      </c>
      <c r="BT148" s="1" t="e">
        <f ca="1">_xll.BDH($C$128,"TOTAL_DEBT_SEQUENTIAL_GROWTH","FY 2018","FY 2018","Currency=INR","Period=FY","BEST_FPERIOD_OVERRIDE=FY","FILING_STATUS=OR","EQY_CONSOLIDATED=Y","Sort=A","Dates=H","DateFormat=P","Fill=—","Direction=H","UseDPDF=Y")</f>
        <v>#NAME?</v>
      </c>
      <c r="BU148" s="1" t="e">
        <f ca="1">_xll.BDH($C$128,"TOTAL_EQUITY_SEQUENTIAL_GROWTH","FY 2018","FY 2018","Currency=INR","Period=FY","BEST_FPERIOD_OVERRIDE=FY","FILING_STATUS=OR","EQY_CONSOLIDATED=Y","Sort=A","Dates=H","DateFormat=P","Fill=—","Direction=H","UseDPDF=Y")</f>
        <v>#NAME?</v>
      </c>
      <c r="BV148" s="1" t="e">
        <f ca="1">_xll.BDH($C$128,"TOTAL_CAPITAL_SEQUENTIAL_GROWTH","FY 2018","FY 2018","Currency=INR","Period=FY","BEST_FPERIOD_OVERRIDE=FY","FILING_STATUS=OR","EQY_CONSOLIDATED=Y","Sort=A","Dates=H","DateFormat=P","Fill=—","Direction=H","UseDPDF=Y")</f>
        <v>#NAME?</v>
      </c>
      <c r="BW148" s="1" t="e">
        <f ca="1">_xll.BDH($C$128,"BPS_SEQUENTIAL_GROWTH","FY 2018","FY 2018","Currency=INR","Period=FY","BEST_FPERIOD_OVERRIDE=FY","FILING_STATUS=OR","EQY_CONSOLIDATED=Y","Sort=A","Dates=H","DateFormat=P","Fill=—","Direction=H","UseDPDF=Y")</f>
        <v>#NAME?</v>
      </c>
      <c r="BX148" s="1" t="e">
        <f ca="1">_xll.BDH($C$128,"CFO_SEQUENTIAL_GROWTH","FY 2018","FY 2018","Currency=INR","Period=FY","BEST_FPERIOD_OVERRIDE=FY","FILING_STATUS=OR","EQY_CONSOLIDATED=Y","Sort=A","Dates=H","DateFormat=P","Fill=—","Direction=H","UseDPDF=Y")</f>
        <v>#NAME?</v>
      </c>
      <c r="BY148" s="2" t="e">
        <f ca="1">_xll.BDH($C$128,"SHORT_AND_LONG_TERM_DEBT","FY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48" s="2" t="e">
        <f ca="1">_xll.BDH($C$128,"BS_ST_BORROW","FY 2018","FY 2018","Currency=INR","Period=FY","BEST_FPERIOD_OVERRIDE=FY","FILING_STATUS=OR","EQY_CONSOLIDATED=Y","SCALING_FORMAT=MLN","Sort=A","Dates=H","DateFormat=P","Fill=—","Direction=H","UseDPDF=Y")</f>
        <v>#NAME?</v>
      </c>
      <c r="CA148" s="2" t="e">
        <f ca="1">_xll.BDH($C$128,"BS_LT_BORROW","FY 2018","FY 2018","Currency=INR","Period=FY","BEST_FPERIOD_OVERRIDE=FY","FILING_STATUS=OR","EQY_CONSOLIDATED=Y","SCALING_FORMAT=MLN","Sort=A","Dates=H","DateFormat=P","Fill=—","Direction=H","UseDPDF=Y")</f>
        <v>#NAME?</v>
      </c>
      <c r="CB148" s="1" t="e">
        <f ca="1">_xll.BDH($C$128,"TOT_DEBT_TO_EBITDA","FY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148" s="1" t="e">
        <f ca="1">_xll.BDH($C$128,"NET_DEBT_TO_EBITDA","FY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148" s="1" t="e">
        <f ca="1">_xll.BDH($C$128,"TOTAL_DEBT_TO_EBIT","FY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148" s="1" t="e">
        <f ca="1">_xll.BDH($C$128,"NET_DEBT_TO_EBIT","FY 2018","FY 2018","Currency=INR","Period=FY","BEST_FPERIOD_OVERRIDE=FY","FILING_STATUS=OR","EQY_CONSOLIDATED=Y","FA_ADJUSTED=GAAP","Sort=A","Dates=H","DateFormat=P","Fill=—","Direction=H","UseDPDF=Y")</f>
        <v>#NAME?</v>
      </c>
      <c r="CF148" s="1" t="e">
        <f ca="1">_xll.BDH($C$128,"EBITDA_TO_INTEREST_EXPN","FY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48" s="1" t="e">
        <f ca="1">_xll.BDH($C$128,"COM_EQY_TO_TOT_ASSET","FY 2018","FY 2018","Currency=INR","Period=FY","BEST_FPERIOD_OVERRIDE=FY","FILING_STATUS=OR","EQY_CONSOLIDATED=Y","Sort=A","Dates=H","DateFormat=P","Fill=—","Direction=H","UseDPDF=Y")</f>
        <v>#NAME?</v>
      </c>
      <c r="CH148" s="1" t="e">
        <f ca="1">_xll.BDH($C$128,"LT_DEBT_TO_TOT_EQY","FY 2018","FY 2018","Currency=INR","Period=FY","BEST_FPERIOD_OVERRIDE=FY","FILING_STATUS=OR","EQY_CONSOLIDATED=Y","Sort=A","Dates=H","DateFormat=P","Fill=—","Direction=H","UseDPDF=Y")</f>
        <v>#NAME?</v>
      </c>
      <c r="CI148" s="1" t="e">
        <f ca="1">_xll.BDH($C$128,"LT_DEBT_TO_TOT_CAP","FY 2018","FY 2018","Currency=INR","Period=FY","BEST_FPERIOD_OVERRIDE=FY","FILING_STATUS=OR","EQY_CONSOLIDATED=Y","Sort=A","Dates=H","DateFormat=P","Fill=—","Direction=H","UseDPDF=Y")</f>
        <v>#NAME?</v>
      </c>
      <c r="CJ148" s="1" t="e">
        <f ca="1">_xll.BDH($C$128,"LT_DEBT_TO_TOT_ASSET","FY 2018","FY 2018","Currency=INR","Period=FY","BEST_FPERIOD_OVERRIDE=FY","FILING_STATUS=OR","EQY_CONSOLIDATED=Y","Sort=A","Dates=H","DateFormat=P","Fill=—","Direction=H","UseDPDF=Y")</f>
        <v>#NAME?</v>
      </c>
      <c r="CK148" s="1" t="e">
        <f ca="1">_xll.BDH($C$128,"TOT_DEBT_TO_TOT_EQY","FY 2018","FY 2018","Currency=INR","Period=FY","BEST_FPERIOD_OVERRIDE=FY","FILING_STATUS=OR","EQY_CONSOLIDATED=Y","Sort=A","Dates=H","DateFormat=P","Fill=—","Direction=H","UseDPDF=Y")</f>
        <v>#NAME?</v>
      </c>
      <c r="CL148" s="1" t="e">
        <f ca="1">_xll.BDH($C$128,"TOT_DEBT_TO_TOT_CAP","FY 2018","FY 2018","Currency=INR","Period=FY","BEST_FPERIOD_OVERRIDE=FY","FILING_STATUS=OR","EQY_CONSOLIDATED=Y","Sort=A","Dates=H","DateFormat=P","Fill=—","Direction=H","UseDPDF=Y")</f>
        <v>#NAME?</v>
      </c>
      <c r="CM148" s="1" t="e">
        <f ca="1">_xll.BDH($C$128,"TOT_DEBT_TO_TOT_ASSET","FY 2018","FY 2018","Currency=INR","Period=FY","BEST_FPERIOD_OVERRIDE=FY","FILING_STATUS=OR","EQY_CONSOLIDATED=Y","Sort=A","Dates=H","DateFormat=P","Fill=—","Direction=H","UseDPDF=Y")</f>
        <v>#NAME?</v>
      </c>
      <c r="CN148" s="1" t="e">
        <f ca="1">_xll.BDH($C$128,"NET_DEBT_TO_SHRHLDR_EQTY","FY 2018","FY 2018","Currency=INR","Period=FY","BEST_FPERIOD_OVERRIDE=FY","FILING_STATUS=OR","EQY_CONSOLIDATED=Y","Sort=A","Dates=H","DateFormat=P","Fill=—","Direction=H","UseDPDF=Y")</f>
        <v>#NAME?</v>
      </c>
      <c r="CO148" s="1" t="e">
        <f ca="1">_xll.BDH($C$128,"NET_DEBT_%_CAPITAL","FY 2018","FY 2018","Currency=INR","Period=FY","BEST_FPERIOD_OVERRIDE=FY","FILING_STATUS=OR","EQY_CONSOLIDATED=Y","Sort=A","Dates=H","DateFormat=P","Fill=—","Direction=H","UseDPDF=Y")</f>
        <v>#NAME?</v>
      </c>
      <c r="CP148" s="2" t="e">
        <f ca="1">_xll.BDH($C$128,"EBITDA","FY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48" s="2" t="e">
        <f ca="1">_xll.BDH($C$128,"EBITDA_AFTER_CAPEX","FY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48" s="2" t="e">
        <f ca="1">_xll.BDH($C$128,"IS_OPER_INC","FY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48" s="1" t="e">
        <f ca="1">_xll.BDH($C$128,"CASH_RATIO","FY 2018","FY 2018","Currency=INR","Period=FY","BEST_FPERIOD_OVERRIDE=FY","FILING_STATUS=OR","EQY_CONSOLIDATED=Y","Sort=A","Dates=H","DateFormat=P","Fill=—","Direction=H","UseDPDF=Y")</f>
        <v>#NAME?</v>
      </c>
      <c r="CT148" s="1" t="e">
        <f ca="1">_xll.BDH($C$128,"CUR_RATIO","FY 2018","FY 2018","Currency=INR","Period=FY","BEST_FPERIOD_OVERRIDE=FY","FILING_STATUS=OR","EQY_CONSOLIDATED=Y","Sort=A","Dates=H","DateFormat=P","Fill=—","Direction=H","UseDPDF=Y")</f>
        <v>#NAME?</v>
      </c>
      <c r="CU148" s="1" t="e">
        <f ca="1">_xll.BDH($C$128,"QUICK_RATIO","FY 2018","FY 2018","Currency=INR","Period=FY","BEST_FPERIOD_OVERRIDE=FY","FILING_STATUS=OR","EQY_CONSOLIDATED=Y","Sort=A","Dates=H","DateFormat=P","Fill=—","Direction=H","UseDPDF=Y")</f>
        <v>#NAME?</v>
      </c>
      <c r="CV148" s="1" t="e">
        <f ca="1">_xll.BDH($C$128,"ALTMAN_Z_SCORE","FY 2018","FY 2018","Currency=INR","Period=FY","BEST_FPERIOD_OVERRIDE=FY","FILING_STATUS=OR","EQY_CONSOLIDATED=Y","Sort=A","Dates=H","DateFormat=P","Fill=—","Direction=H","UseDPDF=Y")</f>
        <v>#NAME?</v>
      </c>
      <c r="CW148" s="3" t="e">
        <f ca="1">_xll.BDH($C$128,"ACCT_RCV_TURN","FY 2018","FY 2018","Currency=INR","Period=FY","BEST_FPERIOD_OVERRIDE=FY","FILING_STATUS=OR","EQY_CONSOLIDATED=Y","FA_ADJUSTED=GAAP","Sort=A","Dates=H","DateFormat=P","Fill=—","Direction=H","UseDPDF=Y")</f>
        <v>#NAME?</v>
      </c>
      <c r="CX148" s="1" t="e">
        <f ca="1">_xll.BDH($C$128,"ACCT_RCV_DAYS","FY 2018","FY 2018","Currency=INR","Period=FY","BEST_FPERIOD_OVERRIDE=FY","FILING_STATUS=OR","EQY_CONSOLIDATED=Y","FA_ADJUSTED=GAAP","Sort=A","Dates=H","DateFormat=P","Fill=—","Direction=H","UseDPDF=Y")</f>
        <v>#NAME?</v>
      </c>
      <c r="CY148" s="3" t="e">
        <f ca="1">_xll.BDH($C$128,"INVENT_TURN","FY 2018","FY 2018","Currency=INR","Period=FY","BEST_FPERIOD_OVERRIDE=FY","FILING_STATUS=OR","EQY_CONSOLIDATED=Y","FA_ADJUSTED=GAAP","Sort=A","Dates=H","DateFormat=P","Fill=—","Direction=H","UseDPDF=Y")</f>
        <v>#NAME?</v>
      </c>
      <c r="CZ148" s="1" t="e">
        <f ca="1">_xll.BDH($C$128,"INVENT_DAYS","FY 2018","FY 2018","Currency=INR","Period=FY","BEST_FPERIOD_OVERRIDE=FY","FILING_STATUS=OR","EQY_CONSOLIDATED=Y","FA_ADJUSTED=GAAP","Sort=A","Dates=H","DateFormat=P","Fill=—","Direction=H","UseDPDF=Y")</f>
        <v>#NAME?</v>
      </c>
      <c r="DA148" s="3" t="e">
        <f ca="1">_xll.BDH($C$128,"ACCOUNTS_PAYABLE_TURNOVER","FY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48" s="1" t="e">
        <f ca="1">_xll.BDH($C$128,"ACCOUNTS_PAYABLE_TURNOVER_DAYS","FY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48" s="3" t="e">
        <f ca="1">_xll.BDH($C$128,"CASH_CONVERSION_CYCLE","FY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48" s="3" t="e">
        <f ca="1">_xll.BDH($C$128,"INV_TO_CASH_DAYS","FY 2018","FY 2018","Currency=INR","Period=FY","BEST_FPERIOD_OVERRIDE=FY","FILING_STATUS=OR","EQY_CONSOLIDATED=Y","FA_ADJUSTED=GAAP","Sort=A","Dates=H","DateFormat=P","Fill=—","Direction=H","UseDPDF=Y")</f>
        <v>#NAME?</v>
      </c>
      <c r="DE148" s="4" t="e">
        <f ca="1">_xll.BDH($C$128,"BS_INVENTORIES","FY 2018","FY 2018","Currency=INR","Period=FY","BEST_FPERIOD_OVERRIDE=FY","FILING_STATUS=OR","EQY_CONSOLIDATED=Y","SCALING_FORMAT=MLN","Sort=A","Dates=H","DateFormat=P","Fill=—","Direction=H","UseDPDF=Y")</f>
        <v>#NAME?</v>
      </c>
      <c r="DF148" s="2" t="e">
        <f ca="1">_xll.BDH($C$128,"INVTRY_RAW_MATERIALS","FY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48" s="2" t="e">
        <f ca="1">_xll.BDH($C$128,"INVTRY_IN_PROGRESS","FY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48" s="2" t="e">
        <f ca="1">_xll.BDH($C$128,"INVTRY_FINISHED_GOODS","FY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48" s="2" t="e">
        <f ca="1">_xll.BDH($C$128,"BS_OTHER_INV","FY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49" spans="1:113" x14ac:dyDescent="0.3">
      <c r="A149" s="6"/>
      <c r="B149" s="6"/>
      <c r="C149" s="6"/>
      <c r="D149" s="6"/>
      <c r="E149" t="s">
        <v>4</v>
      </c>
      <c r="F149" t="e">
        <f ca="1">_xll.BDH($C$128,"RETURN_COM_EQY","FQ1 2018","FQ1 2018","Currency=INR","Period=FQ","BEST_FPERIOD_OVERRIDE=FQ","FILING_STATUS=OR","EQY_CONSOLIDATED=Y","FA_ADJUSTED=GAAP","Sort=A","Dates=H","DateFormat=P","Fill=—","Direction=H","UseDPDF=Y")</f>
        <v>#NAME?</v>
      </c>
      <c r="G149" t="e">
        <f ca="1">_xll.BDH($C$128,"RETURN_ON_ASSET","FQ1 2018","FQ1 2018","Currency=INR","Period=FQ","BEST_FPERIOD_OVERRIDE=FQ","FILING_STATUS=OR","EQY_CONSOLIDATED=Y","FA_ADJUSTED=GAAP","Sort=A","Dates=H","DateFormat=P","Fill=—","Direction=H","UseDPDF=Y")</f>
        <v>#NAME?</v>
      </c>
      <c r="H149" t="e">
        <f ca="1">_xll.BDH($C$128,"RETURN_ON_CAP","FQ1 2018","FQ1 2018","Currency=INR","Period=FQ","BEST_FPERIOD_OVERRIDE=FQ","FILING_STATUS=OR","EQY_CONSOLIDATED=Y","FA_ADJUSTED=GAAP","Sort=A","Dates=H","DateFormat=P","Fill=—","Direction=H","UseDPDF=Y")</f>
        <v>#NAME?</v>
      </c>
      <c r="I149" t="e">
        <f ca="1">_xll.BDH($C$128,"RETURN_ON_INV_CAPITAL","FQ1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49" t="e">
        <f ca="1">_xll.BDH($C$128,"EBITDA_TO_REVENUE","FQ1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149" t="e">
        <f ca="1">_xll.BDH($C$128,"OPER_MARGIN","FQ1 2018","FQ1 2018","Currency=INR","Period=FQ","BEST_FPERIOD_OVERRIDE=FQ","FILING_STATUS=OR","EQY_CONSOLIDATED=Y","FA_ADJUSTED=GAAP","Sort=A","Dates=H","DateFormat=P","Fill=—","Direction=H","UseDPDF=Y")</f>
        <v>#NAME?</v>
      </c>
      <c r="L149" t="e">
        <f ca="1">_xll.BDH($C$128,"INCREMENTAL_OPERATING_MARGIN","FQ1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49" t="e">
        <f ca="1">_xll.BDH($C$128,"PRETAX_INC_TO_NET_SALES","FQ1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49" t="e">
        <f ca="1">_xll.BDH($C$128,"INC_BEF_XO_ITEMS_TO_NET_SALES","FQ1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49" t="e">
        <f ca="1">_xll.BDH($C$128,"PROF_MARGIN","FQ1 2018","FQ1 2018","Currency=INR","Period=FQ","BEST_FPERIOD_OVERRIDE=FQ","FILING_STATUS=OR","EQY_CONSOLIDATED=Y","FA_ADJUSTED=GAAP","Sort=A","Dates=H","DateFormat=P","Fill=—","Direction=H","UseDPDF=Y")</f>
        <v>#NAME?</v>
      </c>
      <c r="P149" t="e">
        <f ca="1">_xll.BDH($C$128,"NET_INCOME_TO_COMMON_MARGIN","FQ1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49" t="e">
        <f ca="1">_xll.BDH($C$128,"EFF_TAX_RATE","FQ1 2018","FQ1 2018","Currency=INR","Period=FQ","BEST_FPERIOD_OVERRIDE=FQ","FILING_STATUS=OR","EQY_CONSOLIDATED=Y","FA_ADJUSTED=GAAP","Sort=A","Dates=H","DateFormat=P","Fill=—","Direction=H","UseDPDF=Y")</f>
        <v>#NAME?</v>
      </c>
      <c r="R149" t="e">
        <f ca="1">_xll.BDH($C$128,"DVD_PAYOUT_RATIO","FQ1 2018","FQ1 2018","Currency=INR","Period=FQ","BEST_FPERIOD_OVERRIDE=FQ","FILING_STATUS=OR","EQY_CONSOLIDATED=Y","FA_ADJUSTED=GAAP","Sort=A","Dates=H","DateFormat=P","Fill=—","Direction=H","UseDPDF=Y")</f>
        <v>#NAME?</v>
      </c>
      <c r="S149" t="e">
        <f ca="1">_xll.BDH($C$128,"SUSTAIN_GROWTH_RT","FQ1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149" s="1" t="e">
        <f ca="1">_xll.BDH($C$128,"SALES_GROWTH","FQ1 2018","FQ1 2018","Currency=INR","Period=FQ","BEST_FPERIOD_OVERRIDE=FQ","FILING_STATUS=OR","EQY_CONSOLIDATED=Y","FA_ADJUSTED=GAAP","Sort=A","Dates=H","DateFormat=P","Fill=—","Direction=H","UseDPDF=Y")</f>
        <v>#NAME?</v>
      </c>
      <c r="U149" s="1" t="e">
        <f ca="1">_xll.BDH($C$128,"EBITDA_GROWTH","FQ1 2018","FQ1 2018","Currency=INR","Period=FQ","BEST_FPERIOD_OVERRIDE=FQ","FILING_STATUS=OR","EQY_CONSOLIDATED=Y","FA_ADJUSTED=GAAP","Sort=A","Dates=H","DateFormat=P","Fill=—","Direction=H","UseDPDF=Y")</f>
        <v>#NAME?</v>
      </c>
      <c r="V149" s="1" t="e">
        <f ca="1">_xll.BDH($C$128,"OPER_INC_GROWTH","FQ1 2018","FQ1 2018","Currency=INR","Period=FQ","BEST_FPERIOD_OVERRIDE=FQ","FILING_STATUS=OR","EQY_CONSOLIDATED=Y","FA_ADJUSTED=GAAP","Sort=A","Dates=H","DateFormat=P","Fill=—","Direction=H","UseDPDF=Y")</f>
        <v>#NAME?</v>
      </c>
      <c r="W149" s="1" t="e">
        <f ca="1">_xll.BDH($C$128,"EARN_FOR_COM_GROWTH","FQ1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49" s="1" t="e">
        <f ca="1">_xll.BDH($C$128,"DILUTED_EPS_AFT_XO_ITEMS_GROWTH","FQ1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49" s="1" t="e">
        <f ca="1">_xll.BDH($C$128,"DIVIDEND_PER_SHARE_1_YEAR_GROWTH","FQ1 2018","FQ1 2018","Currency=INR","Period=FQ","BEST_FPERIOD_OVERRIDE=FQ","FILING_STATUS=OR","EQY_CONSOLIDATED=Y","Sort=A","Dates=H","DateFormat=P","Fill=—","Direction=H","UseDPDF=Y")</f>
        <v>#NAME?</v>
      </c>
      <c r="Z149" s="1" t="e">
        <f ca="1">_xll.BDH($C$128,"ACCOUNTS_RECEIVABLE_GROWTH","FQ1 2018","FQ1 2018","Currency=INR","Period=FQ","BEST_FPERIOD_OVERRIDE=FQ","FILING_STATUS=OR","EQY_CONSOLIDATED=Y","Sort=A","Dates=H","DateFormat=P","Fill=—","Direction=H","UseDPDF=Y")</f>
        <v>#NAME?</v>
      </c>
      <c r="AA149" s="1" t="e">
        <f ca="1">_xll.BDH($C$128,"INVENTORY_GROWTH","FQ1 2018","FQ1 2018","Currency=INR","Period=FQ","BEST_FPERIOD_OVERRIDE=FQ","FILING_STATUS=OR","EQY_CONSOLIDATED=Y","Sort=A","Dates=H","DateFormat=P","Fill=—","Direction=H","UseDPDF=Y")</f>
        <v>#NAME?</v>
      </c>
      <c r="AB149" s="1" t="e">
        <f ca="1">_xll.BDH($C$128,"NET_FIXED_ASSETS_1_YEAR_GROWTH","FQ1 2018","FQ1 2018","Currency=INR","Period=FQ","BEST_FPERIOD_OVERRIDE=FQ","FILING_STATUS=OR","EQY_CONSOLIDATED=Y","Sort=A","Dates=H","DateFormat=P","Fill=—","Direction=H","UseDPDF=Y")</f>
        <v>#NAME?</v>
      </c>
      <c r="AC149" s="1" t="e">
        <f ca="1">_xll.BDH($C$128,"ASSET_GROWTH","FQ1 2018","FQ1 2018","Currency=INR","Period=FQ","BEST_FPERIOD_OVERRIDE=FQ","FILING_STATUS=OR","EQY_CONSOLIDATED=Y","Sort=A","Dates=H","DateFormat=P","Fill=—","Direction=H","UseDPDF=Y")</f>
        <v>#NAME?</v>
      </c>
      <c r="AD149" s="1" t="e">
        <f ca="1">_xll.BDH($C$128,"MODIFIED_WORK_CAP_GROWTH","FQ1 2018","FQ1 2018","Currency=INR","Period=FQ","BEST_FPERIOD_OVERRIDE=FQ","FILING_STATUS=OR","EQY_CONSOLIDATED=Y","Sort=A","Dates=H","DateFormat=P","Fill=—","Direction=H","UseDPDF=Y")</f>
        <v>#NAME?</v>
      </c>
      <c r="AE149" s="1" t="e">
        <f ca="1">_xll.BDH($C$128,"WORK_CAP_GROWTH","FQ1 2018","FQ1 2018","Currency=INR","Period=FQ","BEST_FPERIOD_OVERRIDE=FQ","FILING_STATUS=OR","EQY_CONSOLIDATED=Y","Sort=A","Dates=H","DateFormat=P","Fill=—","Direction=H","UseDPDF=Y")</f>
        <v>#NAME?</v>
      </c>
      <c r="AF149" s="1" t="e">
        <f ca="1">_xll.BDH($C$128,"ACCOUNTS_PAYABLE_GROWTH_1YR","FQ1 2018","FQ1 2018","Currency=INR","Period=FQ","BEST_FPERIOD_OVERRIDE=FQ","FILING_STATUS=OR","EQY_CONSOLIDATED=Y","Sort=A","Dates=H","DateFormat=P","Fill=—","Direction=H","UseDPDF=Y")</f>
        <v>#NAME?</v>
      </c>
      <c r="AG149" s="1" t="e">
        <f ca="1">_xll.BDH($C$128,"SHORT_TERM_DEBT_1_YEAR_GROWTH","FQ1 2018","FQ1 2018","Currency=INR","Period=FQ","BEST_FPERIOD_OVERRIDE=FQ","FILING_STATUS=OR","EQY_CONSOLIDATED=Y","Sort=A","Dates=H","DateFormat=P","Fill=—","Direction=H","UseDPDF=Y")</f>
        <v>#NAME?</v>
      </c>
      <c r="AH149" s="1" t="e">
        <f ca="1">_xll.BDH($C$128,"TOTAL_DEBT_1_YEAR_GROWTH","FQ1 2018","FQ1 2018","Currency=INR","Period=FQ","BEST_FPERIOD_OVERRIDE=FQ","FILING_STATUS=OR","EQY_CONSOLIDATED=Y","Sort=A","Dates=H","DateFormat=P","Fill=—","Direction=H","UseDPDF=Y")</f>
        <v>#NAME?</v>
      </c>
      <c r="AI149" s="1" t="e">
        <f ca="1">_xll.BDH($C$128,"TOTAL_EQUITY_1_YEAR_GROWTH","FQ1 2018","FQ1 2018","Currency=INR","Period=FQ","BEST_FPERIOD_OVERRIDE=FQ","FILING_STATUS=OR","EQY_CONSOLIDATED=Y","Sort=A","Dates=H","DateFormat=P","Fill=—","Direction=H","UseDPDF=Y")</f>
        <v>#NAME?</v>
      </c>
      <c r="AJ149" s="1" t="e">
        <f ca="1">_xll.BDH($C$128,"GROWTH_IN_CAP","FQ1 2018","FQ1 2018","Currency=INR","Period=FQ","BEST_FPERIOD_OVERRIDE=FQ","FILING_STATUS=OR","EQY_CONSOLIDATED=Y","Sort=A","Dates=H","DateFormat=P","Fill=—","Direction=H","UseDPDF=Y")</f>
        <v>#NAME?</v>
      </c>
      <c r="AK149" s="1" t="e">
        <f ca="1">_xll.BDH($C$128,"BVPS_GROWTH","FQ1 2018","FQ1 2018","Currency=INR","Period=FQ","BEST_FPERIOD_OVERRIDE=FQ","FILING_STATUS=OR","EQY_CONSOLIDATED=Y","Sort=A","Dates=H","DateFormat=P","Fill=—","Direction=H","UseDPDF=Y")</f>
        <v>#NAME?</v>
      </c>
      <c r="AL149" s="1" t="e">
        <f ca="1">_xll.BDH($C$128,"CASH_FLOW_GROWTH","FQ1 2018","FQ1 2018","Currency=INR","Period=FQ","BEST_FPERIOD_OVERRIDE=FQ","FILING_STATUS=OR","EQY_CONSOLIDATED=Y","Sort=A","Dates=H","DateFormat=P","Fill=—","Direction=H","UseDPDF=Y")</f>
        <v>#NAME?</v>
      </c>
      <c r="AM149" s="1" t="e">
        <f ca="1">_xll.BDH($C$128,"GEO_GROW_NET_SALES","FQ1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49" s="1" t="e">
        <f ca="1">_xll.BDH($C$128,"GEO_GROW_EBITDA","FQ1 2018","FQ1 2018","Currency=INR","Period=FQ","BEST_FPERIOD_OVERRIDE=FQ","FILING_STATUS=OR","EQY_CONSOLIDATED=Y","FA_ADJUSTED=GAAP","Sort=A","Dates=H","DateFormat=P","Fill=—","Direction=H","UseDPDF=Y")</f>
        <v>#NAME?</v>
      </c>
      <c r="AO149" s="1" t="e">
        <f ca="1">_xll.BDH($C$128,"GEO_GROW_OPER_INC","FQ1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49" s="1" t="e">
        <f ca="1">_xll.BDH($C$128,"NET_INCOME_TO_COMMON_5_YR_GROWTH","FQ1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49" s="1" t="e">
        <f ca="1">_xll.BDH($C$128,"5Y_GEO_GROWTH_DILUTED_EPS","FQ1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49" s="1" t="e">
        <f ca="1">_xll.BDH($C$128,"GEO_GROW_DVD_PER_SH","FQ1 2018","FQ1 2018","Currency=INR","Period=FQ","BEST_FPERIOD_OVERRIDE=FQ","FILING_STATUS=OR","EQY_CONSOLIDATED=Y","Sort=A","Dates=H","DateFormat=P","Fill=—","Direction=H","UseDPDF=Y")</f>
        <v>#NAME?</v>
      </c>
      <c r="AS149" s="1" t="e">
        <f ca="1">_xll.BDH($C$128,"ACCOUNTS_RECEIVABLE_5_YR_GROWTH","FQ1 2018","FQ1 2018","Currency=INR","Period=FQ","BEST_FPERIOD_OVERRIDE=FQ","FILING_STATUS=OR","EQY_CONSOLIDATED=Y","Sort=A","Dates=H","DateFormat=P","Fill=—","Direction=H","UseDPDF=Y")</f>
        <v>#NAME?</v>
      </c>
      <c r="AT149" s="1" t="e">
        <f ca="1">_xll.BDH($C$128,"INVENTORY_5_YEAR_GROWTH","FQ1 2018","FQ1 2018","Currency=INR","Period=FQ","BEST_FPERIOD_OVERRIDE=FQ","FILING_STATUS=OR","EQY_CONSOLIDATED=Y","Sort=A","Dates=H","DateFormat=P","Fill=—","Direction=H","UseDPDF=Y")</f>
        <v>#NAME?</v>
      </c>
      <c r="AU149" s="1" t="e">
        <f ca="1">_xll.BDH($C$128,"NET_FIXED_ASSETS_5_YEAR_GROWTH","FQ1 2018","FQ1 2018","Currency=INR","Period=FQ","BEST_FPERIOD_OVERRIDE=FQ","FILING_STATUS=OR","EQY_CONSOLIDATED=Y","Sort=A","Dates=H","DateFormat=P","Fill=—","Direction=H","UseDPDF=Y")</f>
        <v>#NAME?</v>
      </c>
      <c r="AV149" s="1" t="e">
        <f ca="1">_xll.BDH($C$128,"GEO_GROW_TOT_ASSET","FQ1 2018","FQ1 2018","Currency=INR","Period=FQ","BEST_FPERIOD_OVERRIDE=FQ","FILING_STATUS=OR","EQY_CONSOLIDATED=Y","Sort=A","Dates=H","DateFormat=P","Fill=—","Direction=H","UseDPDF=Y")</f>
        <v>#NAME?</v>
      </c>
      <c r="AW149" s="1" t="e">
        <f ca="1">_xll.BDH($C$128,"MODIFIED_WORKING_CPTL_5YR_GRWTH","FQ1 2018","FQ1 2018","Currency=INR","Period=FQ","BEST_FPERIOD_OVERRIDE=FQ","FILING_STATUS=OR","EQY_CONSOLIDATED=Y","Sort=A","Dates=H","DateFormat=P","Fill=—","Direction=H","UseDPDF=Y")</f>
        <v>#NAME?</v>
      </c>
      <c r="AX149" s="1" t="e">
        <f ca="1">_xll.BDH($C$128,"WORKING_CAPITAL_5_YEAR_GROWTH","FQ1 2018","FQ1 2018","Currency=INR","Period=FQ","BEST_FPERIOD_OVERRIDE=FQ","FILING_STATUS=OR","EQY_CONSOLIDATED=Y","Sort=A","Dates=H","DateFormat=P","Fill=—","Direction=H","UseDPDF=Y")</f>
        <v>#NAME?</v>
      </c>
      <c r="AY149" s="1" t="e">
        <f ca="1">_xll.BDH($C$128,"ACCOUNTS_PAYABLE_5_YEAR_GROWTH","FQ1 2018","FQ1 2018","Currency=INR","Period=FQ","BEST_FPERIOD_OVERRIDE=FQ","FILING_STATUS=OR","EQY_CONSOLIDATED=Y","Sort=A","Dates=H","DateFormat=P","Fill=—","Direction=H","UseDPDF=Y")</f>
        <v>#NAME?</v>
      </c>
      <c r="AZ149" s="1" t="e">
        <f ca="1">_xll.BDH($C$128,"SHORT_TERM_DEBT_5_YEAR_GROWTH","FQ1 2018","FQ1 2018","Currency=INR","Period=FQ","BEST_FPERIOD_OVERRIDE=FQ","FILING_STATUS=OR","EQY_CONSOLIDATED=Y","Sort=A","Dates=H","DateFormat=P","Fill=—","Direction=H","UseDPDF=Y")</f>
        <v>#NAME?</v>
      </c>
      <c r="BA149" s="1" t="e">
        <f ca="1">_xll.BDH($C$128,"TOTAL_DEBT_5_YEAR_GROWTH","FQ1 2018","FQ1 2018","Currency=INR","Period=FQ","BEST_FPERIOD_OVERRIDE=FQ","FILING_STATUS=OR","EQY_CONSOLIDATED=Y","Sort=A","Dates=H","DateFormat=P","Fill=—","Direction=H","UseDPDF=Y")</f>
        <v>#NAME?</v>
      </c>
      <c r="BB149" s="1" t="e">
        <f ca="1">_xll.BDH($C$128,"GEO_GROW_TOT_SHRHLDR_EQY","FQ1 2018","FQ1 2018","Currency=INR","Period=FQ","BEST_FPERIOD_OVERRIDE=FQ","FILING_STATUS=OR","EQY_CONSOLIDATED=Y","Sort=A","Dates=H","DateFormat=P","Fill=—","Direction=H","UseDPDF=Y")</f>
        <v>#NAME?</v>
      </c>
      <c r="BC149" s="1" t="e">
        <f ca="1">_xll.BDH($C$128,"TOTAL_CAPITAL_5_YEAR_GROWTH","FQ1 2018","FQ1 2018","Currency=INR","Period=FQ","BEST_FPERIOD_OVERRIDE=FQ","FILING_STATUS=OR","EQY_CONSOLIDATED=Y","Sort=A","Dates=H","DateFormat=P","Fill=—","Direction=H","UseDPDF=Y")</f>
        <v>#NAME?</v>
      </c>
      <c r="BD149" s="1" t="e">
        <f ca="1">_xll.BDH($C$128,"GEO_GROW_BOOK_VAL","FQ1 2018","FQ1 2018","Currency=INR","Period=FQ","BEST_FPERIOD_OVERRIDE=FQ","FILING_STATUS=OR","EQY_CONSOLIDATED=Y","Sort=A","Dates=H","DateFormat=P","Fill=—","Direction=H","UseDPDF=Y")</f>
        <v>#NAME?</v>
      </c>
      <c r="BE149" s="1" t="e">
        <f ca="1">_xll.BDH($C$128,"GEO_GROW_CASH_OPER_ACT","FQ1 2018","FQ1 2018","Currency=INR","Period=FQ","BEST_FPERIOD_OVERRIDE=FQ","FILING_STATUS=OR","EQY_CONSOLIDATED=Y","Sort=A","Dates=H","DateFormat=P","Fill=—","Direction=H","UseDPDF=Y")</f>
        <v>#NAME?</v>
      </c>
      <c r="BF149" s="1" t="e">
        <f ca="1">_xll.BDH($C$128,"REVENUE_SEQUENTIAL_GROWTH","FQ1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49" s="1" t="e">
        <f ca="1">_xll.BDH($C$128,"EBITDA_SEQUENTIAL_GROWTH","FQ1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49" s="1" t="e">
        <f ca="1">_xll.BDH($C$128,"OPERATING_INCOME_SEQ_GROWTH","FQ1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49" s="1" t="e">
        <f ca="1">_xll.BDH($C$128,"NET_INCOME_TO_COMMON_SEQ_GROWTH","FQ1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49" s="1" t="e">
        <f ca="1">_xll.BDH($C$128,"EPS_DILUTED_SEQUENTIAL_GROWTH","FQ1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49" s="1" t="e">
        <f ca="1">_xll.BDH($C$128,"DPS_SEQUENTIAL_GROWTH","FQ1 2018","FQ1 2018","Currency=INR","Period=FQ","BEST_FPERIOD_OVERRIDE=FQ","FILING_STATUS=OR","EQY_CONSOLIDATED=Y","Sort=A","Dates=H","DateFormat=P","Fill=—","Direction=H","UseDPDF=Y")</f>
        <v>#NAME?</v>
      </c>
      <c r="BL149" s="1" t="e">
        <f ca="1">_xll.BDH($C$128,"ACCOUNTS_RECEIVABLE_SEQ_GROWTH","FQ1 2018","FQ1 2018","Currency=INR","Period=FQ","BEST_FPERIOD_OVERRIDE=FQ","FILING_STATUS=OR","EQY_CONSOLIDATED=Y","Sort=A","Dates=H","DateFormat=P","Fill=—","Direction=H","UseDPDF=Y")</f>
        <v>#NAME?</v>
      </c>
      <c r="BM149" s="1" t="e">
        <f ca="1">_xll.BDH($C$128,"INVENTORY_SEQUENTIAL_GROWTH","FQ1 2018","FQ1 2018","Currency=INR","Period=FQ","BEST_FPERIOD_OVERRIDE=FQ","FILING_STATUS=OR","EQY_CONSOLIDATED=Y","Sort=A","Dates=H","DateFormat=P","Fill=—","Direction=H","UseDPDF=Y")</f>
        <v>#NAME?</v>
      </c>
      <c r="BN149" s="1" t="e">
        <f ca="1">_xll.BDH($C$128,"FIXED_ASSETS_SEQUENTIAL_GROWTH","FQ1 2018","FQ1 2018","Currency=INR","Period=FQ","BEST_FPERIOD_OVERRIDE=FQ","FILING_STATUS=OR","EQY_CONSOLIDATED=Y","Sort=A","Dates=H","DateFormat=P","Fill=—","Direction=H","UseDPDF=Y")</f>
        <v>#NAME?</v>
      </c>
      <c r="BO149" s="1" t="e">
        <f ca="1">_xll.BDH($C$128,"TOTAL_ASSETS_SEQUENTIAL_GROWTH","FQ1 2018","FQ1 2018","Currency=INR","Period=FQ","BEST_FPERIOD_OVERRIDE=FQ","FILING_STATUS=OR","EQY_CONSOLIDATED=Y","Sort=A","Dates=H","DateFormat=P","Fill=—","Direction=H","UseDPDF=Y")</f>
        <v>#NAME?</v>
      </c>
      <c r="BP149" s="1" t="e">
        <f ca="1">_xll.BDH($C$128,"MODIFIED_WORKING_CPTL_SEQ_GRWTH","FQ1 2018","FQ1 2018","Currency=INR","Period=FQ","BEST_FPERIOD_OVERRIDE=FQ","FILING_STATUS=OR","EQY_CONSOLIDATED=Y","Sort=A","Dates=H","DateFormat=P","Fill=—","Direction=H","UseDPDF=Y")</f>
        <v>#NAME?</v>
      </c>
      <c r="BQ149" s="1" t="e">
        <f ca="1">_xll.BDH($C$128,"WORKING_CAPITAL_SEQ_GROWTH","FQ1 2018","FQ1 2018","Currency=INR","Period=FQ","BEST_FPERIOD_OVERRIDE=FQ","FILING_STATUS=OR","EQY_CONSOLIDATED=Y","Sort=A","Dates=H","DateFormat=P","Fill=—","Direction=H","UseDPDF=Y")</f>
        <v>#NAME?</v>
      </c>
      <c r="BR149" s="1" t="e">
        <f ca="1">_xll.BDH($C$128,"ACCOUNTS_PAYABLE_SEQ_GROWTH","FQ1 2018","FQ1 2018","Currency=INR","Period=FQ","BEST_FPERIOD_OVERRIDE=FQ","FILING_STATUS=OR","EQY_CONSOLIDATED=Y","Sort=A","Dates=H","DateFormat=P","Fill=—","Direction=H","UseDPDF=Y")</f>
        <v>#NAME?</v>
      </c>
      <c r="BS149" s="1" t="e">
        <f ca="1">_xll.BDH($C$128,"ST_DEBT_SEQUENTIAL_GROWTH","FQ1 2018","FQ1 2018","Currency=INR","Period=FQ","BEST_FPERIOD_OVERRIDE=FQ","FILING_STATUS=OR","EQY_CONSOLIDATED=Y","Sort=A","Dates=H","DateFormat=P","Fill=—","Direction=H","UseDPDF=Y")</f>
        <v>#NAME?</v>
      </c>
      <c r="BT149" s="1" t="e">
        <f ca="1">_xll.BDH($C$128,"TOTAL_DEBT_SEQUENTIAL_GROWTH","FQ1 2018","FQ1 2018","Currency=INR","Period=FQ","BEST_FPERIOD_OVERRIDE=FQ","FILING_STATUS=OR","EQY_CONSOLIDATED=Y","Sort=A","Dates=H","DateFormat=P","Fill=—","Direction=H","UseDPDF=Y")</f>
        <v>#NAME?</v>
      </c>
      <c r="BU149" s="1" t="e">
        <f ca="1">_xll.BDH($C$128,"TOTAL_EQUITY_SEQUENTIAL_GROWTH","FQ1 2018","FQ1 2018","Currency=INR","Period=FQ","BEST_FPERIOD_OVERRIDE=FQ","FILING_STATUS=OR","EQY_CONSOLIDATED=Y","Sort=A","Dates=H","DateFormat=P","Fill=—","Direction=H","UseDPDF=Y")</f>
        <v>#NAME?</v>
      </c>
      <c r="BV149" s="1" t="e">
        <f ca="1">_xll.BDH($C$128,"TOTAL_CAPITAL_SEQUENTIAL_GROWTH","FQ1 2018","FQ1 2018","Currency=INR","Period=FQ","BEST_FPERIOD_OVERRIDE=FQ","FILING_STATUS=OR","EQY_CONSOLIDATED=Y","Sort=A","Dates=H","DateFormat=P","Fill=—","Direction=H","UseDPDF=Y")</f>
        <v>#NAME?</v>
      </c>
      <c r="BW149" s="1" t="e">
        <f ca="1">_xll.BDH($C$128,"BPS_SEQUENTIAL_GROWTH","FQ1 2018","FQ1 2018","Currency=INR","Period=FQ","BEST_FPERIOD_OVERRIDE=FQ","FILING_STATUS=OR","EQY_CONSOLIDATED=Y","Sort=A","Dates=H","DateFormat=P","Fill=—","Direction=H","UseDPDF=Y")</f>
        <v>#NAME?</v>
      </c>
      <c r="BX149" s="1" t="e">
        <f ca="1">_xll.BDH($C$128,"CFO_SEQUENTIAL_GROWTH","FQ1 2018","FQ1 2018","Currency=INR","Period=FQ","BEST_FPERIOD_OVERRIDE=FQ","FILING_STATUS=OR","EQY_CONSOLIDATED=Y","Sort=A","Dates=H","DateFormat=P","Fill=—","Direction=H","UseDPDF=Y")</f>
        <v>#NAME?</v>
      </c>
      <c r="BY149" s="2" t="e">
        <f ca="1">_xll.BDH($C$128,"SHORT_AND_LONG_TERM_DEBT","FQ1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49" s="2" t="e">
        <f ca="1">_xll.BDH($C$128,"BS_ST_BORROW","FQ1 2018","FQ1 2018","Currency=INR","Period=FQ","BEST_FPERIOD_OVERRIDE=FQ","FILING_STATUS=OR","EQY_CONSOLIDATED=Y","SCALING_FORMAT=MLN","Sort=A","Dates=H","DateFormat=P","Fill=—","Direction=H","UseDPDF=Y")</f>
        <v>#NAME?</v>
      </c>
      <c r="CA149" s="2" t="e">
        <f ca="1">_xll.BDH($C$128,"BS_LT_BORROW","FQ1 2018","FQ1 2018","Currency=INR","Period=FQ","BEST_FPERIOD_OVERRIDE=FQ","FILING_STATUS=OR","EQY_CONSOLIDATED=Y","SCALING_FORMAT=MLN","Sort=A","Dates=H","DateFormat=P","Fill=—","Direction=H","UseDPDF=Y")</f>
        <v>#NAME?</v>
      </c>
      <c r="CB149" s="1" t="e">
        <f ca="1">_xll.BDH($C$128,"TOT_DEBT_TO_EBITDA","FQ1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49" s="1" t="e">
        <f ca="1">_xll.BDH($C$128,"NET_DEBT_TO_EBITDA","FQ1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49" s="1" t="e">
        <f ca="1">_xll.BDH($C$128,"TOTAL_DEBT_TO_EBIT","FQ1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49" s="1" t="e">
        <f ca="1">_xll.BDH($C$128,"NET_DEBT_TO_EBIT","FQ1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149" s="1" t="e">
        <f ca="1">_xll.BDH($C$128,"EBITDA_TO_INTEREST_EXPN","FQ1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49" s="1" t="e">
        <f ca="1">_xll.BDH($C$128,"COM_EQY_TO_TOT_ASSET","FQ1 2018","FQ1 2018","Currency=INR","Period=FQ","BEST_FPERIOD_OVERRIDE=FQ","FILING_STATUS=OR","EQY_CONSOLIDATED=Y","Sort=A","Dates=H","DateFormat=P","Fill=—","Direction=H","UseDPDF=Y")</f>
        <v>#NAME?</v>
      </c>
      <c r="CH149" s="1" t="e">
        <f ca="1">_xll.BDH($C$128,"LT_DEBT_TO_TOT_EQY","FQ1 2018","FQ1 2018","Currency=INR","Period=FQ","BEST_FPERIOD_OVERRIDE=FQ","FILING_STATUS=OR","EQY_CONSOLIDATED=Y","Sort=A","Dates=H","DateFormat=P","Fill=—","Direction=H","UseDPDF=Y")</f>
        <v>#NAME?</v>
      </c>
      <c r="CI149" s="1" t="e">
        <f ca="1">_xll.BDH($C$128,"LT_DEBT_TO_TOT_CAP","FQ1 2018","FQ1 2018","Currency=INR","Period=FQ","BEST_FPERIOD_OVERRIDE=FQ","FILING_STATUS=OR","EQY_CONSOLIDATED=Y","Sort=A","Dates=H","DateFormat=P","Fill=—","Direction=H","UseDPDF=Y")</f>
        <v>#NAME?</v>
      </c>
      <c r="CJ149" s="1" t="e">
        <f ca="1">_xll.BDH($C$128,"LT_DEBT_TO_TOT_ASSET","FQ1 2018","FQ1 2018","Currency=INR","Period=FQ","BEST_FPERIOD_OVERRIDE=FQ","FILING_STATUS=OR","EQY_CONSOLIDATED=Y","Sort=A","Dates=H","DateFormat=P","Fill=—","Direction=H","UseDPDF=Y")</f>
        <v>#NAME?</v>
      </c>
      <c r="CK149" s="1" t="e">
        <f ca="1">_xll.BDH($C$128,"TOT_DEBT_TO_TOT_EQY","FQ1 2018","FQ1 2018","Currency=INR","Period=FQ","BEST_FPERIOD_OVERRIDE=FQ","FILING_STATUS=OR","EQY_CONSOLIDATED=Y","Sort=A","Dates=H","DateFormat=P","Fill=—","Direction=H","UseDPDF=Y")</f>
        <v>#NAME?</v>
      </c>
      <c r="CL149" s="1" t="e">
        <f ca="1">_xll.BDH($C$128,"TOT_DEBT_TO_TOT_CAP","FQ1 2018","FQ1 2018","Currency=INR","Period=FQ","BEST_FPERIOD_OVERRIDE=FQ","FILING_STATUS=OR","EQY_CONSOLIDATED=Y","Sort=A","Dates=H","DateFormat=P","Fill=—","Direction=H","UseDPDF=Y")</f>
        <v>#NAME?</v>
      </c>
      <c r="CM149" s="1" t="e">
        <f ca="1">_xll.BDH($C$128,"TOT_DEBT_TO_TOT_ASSET","FQ1 2018","FQ1 2018","Currency=INR","Period=FQ","BEST_FPERIOD_OVERRIDE=FQ","FILING_STATUS=OR","EQY_CONSOLIDATED=Y","Sort=A","Dates=H","DateFormat=P","Fill=—","Direction=H","UseDPDF=Y")</f>
        <v>#NAME?</v>
      </c>
      <c r="CN149" s="1" t="e">
        <f ca="1">_xll.BDH($C$128,"NET_DEBT_TO_SHRHLDR_EQTY","FQ1 2018","FQ1 2018","Currency=INR","Period=FQ","BEST_FPERIOD_OVERRIDE=FQ","FILING_STATUS=OR","EQY_CONSOLIDATED=Y","Sort=A","Dates=H","DateFormat=P","Fill=—","Direction=H","UseDPDF=Y")</f>
        <v>#NAME?</v>
      </c>
      <c r="CO149" s="1" t="e">
        <f ca="1">_xll.BDH($C$128,"NET_DEBT_%_CAPITAL","FQ1 2018","FQ1 2018","Currency=INR","Period=FQ","BEST_FPERIOD_OVERRIDE=FQ","FILING_STATUS=OR","EQY_CONSOLIDATED=Y","Sort=A","Dates=H","DateFormat=P","Fill=—","Direction=H","UseDPDF=Y")</f>
        <v>#NAME?</v>
      </c>
      <c r="CP149" s="2" t="e">
        <f ca="1">_xll.BDH($C$128,"EBITDA","FQ1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49" s="2" t="e">
        <f ca="1">_xll.BDH($C$128,"EBITDA_AFTER_CAPEX","FQ1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49" s="2" t="e">
        <f ca="1">_xll.BDH($C$128,"IS_OPER_INC","FQ1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49" s="1" t="e">
        <f ca="1">_xll.BDH($C$128,"CASH_RATIO","FQ1 2018","FQ1 2018","Currency=INR","Period=FQ","BEST_FPERIOD_OVERRIDE=FQ","FILING_STATUS=OR","EQY_CONSOLIDATED=Y","Sort=A","Dates=H","DateFormat=P","Fill=—","Direction=H","UseDPDF=Y")</f>
        <v>#NAME?</v>
      </c>
      <c r="CT149" s="1" t="e">
        <f ca="1">_xll.BDH($C$128,"CUR_RATIO","FQ1 2018","FQ1 2018","Currency=INR","Period=FQ","BEST_FPERIOD_OVERRIDE=FQ","FILING_STATUS=OR","EQY_CONSOLIDATED=Y","Sort=A","Dates=H","DateFormat=P","Fill=—","Direction=H","UseDPDF=Y")</f>
        <v>#NAME?</v>
      </c>
      <c r="CU149" s="1" t="e">
        <f ca="1">_xll.BDH($C$128,"QUICK_RATIO","FQ1 2018","FQ1 2018","Currency=INR","Period=FQ","BEST_FPERIOD_OVERRIDE=FQ","FILING_STATUS=OR","EQY_CONSOLIDATED=Y","Sort=A","Dates=H","DateFormat=P","Fill=—","Direction=H","UseDPDF=Y")</f>
        <v>#NAME?</v>
      </c>
      <c r="CV149" s="1" t="e">
        <f ca="1">_xll.BDH($C$128,"ALTMAN_Z_SCORE","FQ1 2018","FQ1 2018","Currency=INR","Period=FQ","BEST_FPERIOD_OVERRIDE=FQ","FILING_STATUS=OR","EQY_CONSOLIDATED=Y","Sort=A","Dates=H","DateFormat=P","Fill=—","Direction=H","UseDPDF=Y")</f>
        <v>#NAME?</v>
      </c>
      <c r="CW149" s="3" t="e">
        <f ca="1">_xll.BDH($C$128,"ACCT_RCV_TURN","FQ1 2018","FQ1 2018","Currency=INR","Period=FQ","BEST_FPERIOD_OVERRIDE=FQ","FILING_STATUS=OR","EQY_CONSOLIDATED=Y","FA_ADJUSTED=GAAP","Sort=A","Dates=H","DateFormat=P","Fill=—","Direction=H","UseDPDF=Y")</f>
        <v>#NAME?</v>
      </c>
      <c r="CX149" s="1" t="e">
        <f ca="1">_xll.BDH($C$128,"ACCT_RCV_DAYS","FQ1 2018","FQ1 2018","Currency=INR","Period=FQ","BEST_FPERIOD_OVERRIDE=FQ","FILING_STATUS=OR","EQY_CONSOLIDATED=Y","FA_ADJUSTED=GAAP","Sort=A","Dates=H","DateFormat=P","Fill=—","Direction=H","UseDPDF=Y")</f>
        <v>#NAME?</v>
      </c>
      <c r="CY149" s="3" t="e">
        <f ca="1">_xll.BDH($C$128,"INVENT_TURN","FQ1 2018","FQ1 2018","Currency=INR","Period=FQ","BEST_FPERIOD_OVERRIDE=FQ","FILING_STATUS=OR","EQY_CONSOLIDATED=Y","FA_ADJUSTED=GAAP","Sort=A","Dates=H","DateFormat=P","Fill=—","Direction=H","UseDPDF=Y")</f>
        <v>#NAME?</v>
      </c>
      <c r="CZ149" s="1" t="e">
        <f ca="1">_xll.BDH($C$128,"INVENT_DAYS","FQ1 2018","FQ1 2018","Currency=INR","Period=FQ","BEST_FPERIOD_OVERRIDE=FQ","FILING_STATUS=OR","EQY_CONSOLIDATED=Y","FA_ADJUSTED=GAAP","Sort=A","Dates=H","DateFormat=P","Fill=—","Direction=H","UseDPDF=Y")</f>
        <v>#NAME?</v>
      </c>
      <c r="DA149" s="3" t="e">
        <f ca="1">_xll.BDH($C$128,"ACCOUNTS_PAYABLE_TURNOVER","FQ1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49" s="1" t="e">
        <f ca="1">_xll.BDH($C$128,"ACCOUNTS_PAYABLE_TURNOVER_DAYS","FQ1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49" s="3" t="e">
        <f ca="1">_xll.BDH($C$128,"CASH_CONVERSION_CYCLE","FQ1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49" s="3" t="e">
        <f ca="1">_xll.BDH($C$128,"INV_TO_CASH_DAYS","FQ1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149" s="4" t="e">
        <f ca="1">_xll.BDH($C$128,"BS_INVENTORIES","FQ1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149" s="2" t="e">
        <f ca="1">_xll.BDH($C$128,"INVTRY_RAW_MATERIALS","FQ1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49" s="2" t="e">
        <f ca="1">_xll.BDH($C$128,"INVTRY_IN_PROGRESS","FQ1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49" s="2" t="e">
        <f ca="1">_xll.BDH($C$128,"INVTRY_FINISHED_GOODS","FQ1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49" s="2" t="e">
        <f ca="1">_xll.BDH($C$128,"BS_OTHER_INV","FQ1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50" spans="1:113" x14ac:dyDescent="0.3">
      <c r="A150" s="6"/>
      <c r="B150" s="6"/>
      <c r="C150" s="6"/>
      <c r="D150" s="6"/>
      <c r="E150" t="s">
        <v>5</v>
      </c>
      <c r="F150" t="e">
        <f ca="1">_xll.BDH($C$128,"RETURN_COM_EQY","FQ2 2018","FQ2 2018","Currency=INR","Period=FQ","BEST_FPERIOD_OVERRIDE=FQ","FILING_STATUS=OR","EQY_CONSOLIDATED=Y","FA_ADJUSTED=GAAP","Sort=A","Dates=H","DateFormat=P","Fill=—","Direction=H","UseDPDF=Y")</f>
        <v>#NAME?</v>
      </c>
      <c r="G150" t="e">
        <f ca="1">_xll.BDH($C$128,"RETURN_ON_ASSET","FQ2 2018","FQ2 2018","Currency=INR","Period=FQ","BEST_FPERIOD_OVERRIDE=FQ","FILING_STATUS=OR","EQY_CONSOLIDATED=Y","FA_ADJUSTED=GAAP","Sort=A","Dates=H","DateFormat=P","Fill=—","Direction=H","UseDPDF=Y")</f>
        <v>#NAME?</v>
      </c>
      <c r="H150" t="e">
        <f ca="1">_xll.BDH($C$128,"RETURN_ON_CAP","FQ2 2018","FQ2 2018","Currency=INR","Period=FQ","BEST_FPERIOD_OVERRIDE=FQ","FILING_STATUS=OR","EQY_CONSOLIDATED=Y","FA_ADJUSTED=GAAP","Sort=A","Dates=H","DateFormat=P","Fill=—","Direction=H","UseDPDF=Y")</f>
        <v>#NAME?</v>
      </c>
      <c r="I150" t="e">
        <f ca="1">_xll.BDH($C$128,"RETURN_ON_INV_CAPITAL","FQ2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50" t="e">
        <f ca="1">_xll.BDH($C$128,"EBITDA_TO_REVENUE","FQ2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150" t="e">
        <f ca="1">_xll.BDH($C$128,"OPER_MARGIN","FQ2 2018","FQ2 2018","Currency=INR","Period=FQ","BEST_FPERIOD_OVERRIDE=FQ","FILING_STATUS=OR","EQY_CONSOLIDATED=Y","FA_ADJUSTED=GAAP","Sort=A","Dates=H","DateFormat=P","Fill=—","Direction=H","UseDPDF=Y")</f>
        <v>#NAME?</v>
      </c>
      <c r="L150" t="e">
        <f ca="1">_xll.BDH($C$128,"INCREMENTAL_OPERATING_MARGIN","FQ2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50" t="e">
        <f ca="1">_xll.BDH($C$128,"PRETAX_INC_TO_NET_SALES","FQ2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50" t="e">
        <f ca="1">_xll.BDH($C$128,"INC_BEF_XO_ITEMS_TO_NET_SALES","FQ2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50" t="e">
        <f ca="1">_xll.BDH($C$128,"PROF_MARGIN","FQ2 2018","FQ2 2018","Currency=INR","Period=FQ","BEST_FPERIOD_OVERRIDE=FQ","FILING_STATUS=OR","EQY_CONSOLIDATED=Y","FA_ADJUSTED=GAAP","Sort=A","Dates=H","DateFormat=P","Fill=—","Direction=H","UseDPDF=Y")</f>
        <v>#NAME?</v>
      </c>
      <c r="P150" t="e">
        <f ca="1">_xll.BDH($C$128,"NET_INCOME_TO_COMMON_MARGIN","FQ2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50" t="e">
        <f ca="1">_xll.BDH($C$128,"EFF_TAX_RATE","FQ2 2018","FQ2 2018","Currency=INR","Period=FQ","BEST_FPERIOD_OVERRIDE=FQ","FILING_STATUS=OR","EQY_CONSOLIDATED=Y","FA_ADJUSTED=GAAP","Sort=A","Dates=H","DateFormat=P","Fill=—","Direction=H","UseDPDF=Y")</f>
        <v>#NAME?</v>
      </c>
      <c r="R150" t="e">
        <f ca="1">_xll.BDH($C$128,"DVD_PAYOUT_RATIO","FQ2 2018","FQ2 2018","Currency=INR","Period=FQ","BEST_FPERIOD_OVERRIDE=FQ","FILING_STATUS=OR","EQY_CONSOLIDATED=Y","FA_ADJUSTED=GAAP","Sort=A","Dates=H","DateFormat=P","Fill=—","Direction=H","UseDPDF=Y")</f>
        <v>#NAME?</v>
      </c>
      <c r="S150" t="e">
        <f ca="1">_xll.BDH($C$128,"SUSTAIN_GROWTH_RT","FQ2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150" s="1" t="e">
        <f ca="1">_xll.BDH($C$128,"SALES_GROWTH","FQ2 2018","FQ2 2018","Currency=INR","Period=FQ","BEST_FPERIOD_OVERRIDE=FQ","FILING_STATUS=OR","EQY_CONSOLIDATED=Y","FA_ADJUSTED=GAAP","Sort=A","Dates=H","DateFormat=P","Fill=—","Direction=H","UseDPDF=Y")</f>
        <v>#NAME?</v>
      </c>
      <c r="U150" s="1" t="e">
        <f ca="1">_xll.BDH($C$128,"EBITDA_GROWTH","FQ2 2018","FQ2 2018","Currency=INR","Period=FQ","BEST_FPERIOD_OVERRIDE=FQ","FILING_STATUS=OR","EQY_CONSOLIDATED=Y","FA_ADJUSTED=GAAP","Sort=A","Dates=H","DateFormat=P","Fill=—","Direction=H","UseDPDF=Y")</f>
        <v>#NAME?</v>
      </c>
      <c r="V150" s="1" t="e">
        <f ca="1">_xll.BDH($C$128,"OPER_INC_GROWTH","FQ2 2018","FQ2 2018","Currency=INR","Period=FQ","BEST_FPERIOD_OVERRIDE=FQ","FILING_STATUS=OR","EQY_CONSOLIDATED=Y","FA_ADJUSTED=GAAP","Sort=A","Dates=H","DateFormat=P","Fill=—","Direction=H","UseDPDF=Y")</f>
        <v>#NAME?</v>
      </c>
      <c r="W150" s="1" t="e">
        <f ca="1">_xll.BDH($C$128,"EARN_FOR_COM_GROWTH","FQ2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50" s="1" t="e">
        <f ca="1">_xll.BDH($C$128,"DILUTED_EPS_AFT_XO_ITEMS_GROWTH","FQ2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50" s="1" t="e">
        <f ca="1">_xll.BDH($C$128,"DIVIDEND_PER_SHARE_1_YEAR_GROWTH","FQ2 2018","FQ2 2018","Currency=INR","Period=FQ","BEST_FPERIOD_OVERRIDE=FQ","FILING_STATUS=OR","EQY_CONSOLIDATED=Y","Sort=A","Dates=H","DateFormat=P","Fill=—","Direction=H","UseDPDF=Y")</f>
        <v>#NAME?</v>
      </c>
      <c r="Z150" s="1" t="e">
        <f ca="1">_xll.BDH($C$128,"ACCOUNTS_RECEIVABLE_GROWTH","FQ2 2018","FQ2 2018","Currency=INR","Period=FQ","BEST_FPERIOD_OVERRIDE=FQ","FILING_STATUS=OR","EQY_CONSOLIDATED=Y","Sort=A","Dates=H","DateFormat=P","Fill=—","Direction=H","UseDPDF=Y")</f>
        <v>#NAME?</v>
      </c>
      <c r="AA150" s="1" t="e">
        <f ca="1">_xll.BDH($C$128,"INVENTORY_GROWTH","FQ2 2018","FQ2 2018","Currency=INR","Period=FQ","BEST_FPERIOD_OVERRIDE=FQ","FILING_STATUS=OR","EQY_CONSOLIDATED=Y","Sort=A","Dates=H","DateFormat=P","Fill=—","Direction=H","UseDPDF=Y")</f>
        <v>#NAME?</v>
      </c>
      <c r="AB150" s="1" t="e">
        <f ca="1">_xll.BDH($C$128,"NET_FIXED_ASSETS_1_YEAR_GROWTH","FQ2 2018","FQ2 2018","Currency=INR","Period=FQ","BEST_FPERIOD_OVERRIDE=FQ","FILING_STATUS=OR","EQY_CONSOLIDATED=Y","Sort=A","Dates=H","DateFormat=P","Fill=—","Direction=H","UseDPDF=Y")</f>
        <v>#NAME?</v>
      </c>
      <c r="AC150" s="1" t="e">
        <f ca="1">_xll.BDH($C$128,"ASSET_GROWTH","FQ2 2018","FQ2 2018","Currency=INR","Period=FQ","BEST_FPERIOD_OVERRIDE=FQ","FILING_STATUS=OR","EQY_CONSOLIDATED=Y","Sort=A","Dates=H","DateFormat=P","Fill=—","Direction=H","UseDPDF=Y")</f>
        <v>#NAME?</v>
      </c>
      <c r="AD150" s="1" t="e">
        <f ca="1">_xll.BDH($C$128,"MODIFIED_WORK_CAP_GROWTH","FQ2 2018","FQ2 2018","Currency=INR","Period=FQ","BEST_FPERIOD_OVERRIDE=FQ","FILING_STATUS=OR","EQY_CONSOLIDATED=Y","Sort=A","Dates=H","DateFormat=P","Fill=—","Direction=H","UseDPDF=Y")</f>
        <v>#NAME?</v>
      </c>
      <c r="AE150" s="1" t="e">
        <f ca="1">_xll.BDH($C$128,"WORK_CAP_GROWTH","FQ2 2018","FQ2 2018","Currency=INR","Period=FQ","BEST_FPERIOD_OVERRIDE=FQ","FILING_STATUS=OR","EQY_CONSOLIDATED=Y","Sort=A","Dates=H","DateFormat=P","Fill=—","Direction=H","UseDPDF=Y")</f>
        <v>#NAME?</v>
      </c>
      <c r="AF150" s="1" t="e">
        <f ca="1">_xll.BDH($C$128,"ACCOUNTS_PAYABLE_GROWTH_1YR","FQ2 2018","FQ2 2018","Currency=INR","Period=FQ","BEST_FPERIOD_OVERRIDE=FQ","FILING_STATUS=OR","EQY_CONSOLIDATED=Y","Sort=A","Dates=H","DateFormat=P","Fill=—","Direction=H","UseDPDF=Y")</f>
        <v>#NAME?</v>
      </c>
      <c r="AG150" s="1" t="e">
        <f ca="1">_xll.BDH($C$128,"SHORT_TERM_DEBT_1_YEAR_GROWTH","FQ2 2018","FQ2 2018","Currency=INR","Period=FQ","BEST_FPERIOD_OVERRIDE=FQ","FILING_STATUS=OR","EQY_CONSOLIDATED=Y","Sort=A","Dates=H","DateFormat=P","Fill=—","Direction=H","UseDPDF=Y")</f>
        <v>#NAME?</v>
      </c>
      <c r="AH150" s="1" t="e">
        <f ca="1">_xll.BDH($C$128,"TOTAL_DEBT_1_YEAR_GROWTH","FQ2 2018","FQ2 2018","Currency=INR","Period=FQ","BEST_FPERIOD_OVERRIDE=FQ","FILING_STATUS=OR","EQY_CONSOLIDATED=Y","Sort=A","Dates=H","DateFormat=P","Fill=—","Direction=H","UseDPDF=Y")</f>
        <v>#NAME?</v>
      </c>
      <c r="AI150" s="1" t="e">
        <f ca="1">_xll.BDH($C$128,"TOTAL_EQUITY_1_YEAR_GROWTH","FQ2 2018","FQ2 2018","Currency=INR","Period=FQ","BEST_FPERIOD_OVERRIDE=FQ","FILING_STATUS=OR","EQY_CONSOLIDATED=Y","Sort=A","Dates=H","DateFormat=P","Fill=—","Direction=H","UseDPDF=Y")</f>
        <v>#NAME?</v>
      </c>
      <c r="AJ150" s="1" t="e">
        <f ca="1">_xll.BDH($C$128,"GROWTH_IN_CAP","FQ2 2018","FQ2 2018","Currency=INR","Period=FQ","BEST_FPERIOD_OVERRIDE=FQ","FILING_STATUS=OR","EQY_CONSOLIDATED=Y","Sort=A","Dates=H","DateFormat=P","Fill=—","Direction=H","UseDPDF=Y")</f>
        <v>#NAME?</v>
      </c>
      <c r="AK150" s="1" t="e">
        <f ca="1">_xll.BDH($C$128,"BVPS_GROWTH","FQ2 2018","FQ2 2018","Currency=INR","Period=FQ","BEST_FPERIOD_OVERRIDE=FQ","FILING_STATUS=OR","EQY_CONSOLIDATED=Y","Sort=A","Dates=H","DateFormat=P","Fill=—","Direction=H","UseDPDF=Y")</f>
        <v>#NAME?</v>
      </c>
      <c r="AL150" s="1" t="e">
        <f ca="1">_xll.BDH($C$128,"CASH_FLOW_GROWTH","FQ2 2018","FQ2 2018","Currency=INR","Period=FQ","BEST_FPERIOD_OVERRIDE=FQ","FILING_STATUS=OR","EQY_CONSOLIDATED=Y","Sort=A","Dates=H","DateFormat=P","Fill=—","Direction=H","UseDPDF=Y")</f>
        <v>#NAME?</v>
      </c>
      <c r="AM150" s="1" t="e">
        <f ca="1">_xll.BDH($C$128,"GEO_GROW_NET_SALES","FQ2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50" s="1" t="e">
        <f ca="1">_xll.BDH($C$128,"GEO_GROW_EBITDA","FQ2 2018","FQ2 2018","Currency=INR","Period=FQ","BEST_FPERIOD_OVERRIDE=FQ","FILING_STATUS=OR","EQY_CONSOLIDATED=Y","FA_ADJUSTED=GAAP","Sort=A","Dates=H","DateFormat=P","Fill=—","Direction=H","UseDPDF=Y")</f>
        <v>#NAME?</v>
      </c>
      <c r="AO150" s="1" t="e">
        <f ca="1">_xll.BDH($C$128,"GEO_GROW_OPER_INC","FQ2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50" s="1" t="e">
        <f ca="1">_xll.BDH($C$128,"NET_INCOME_TO_COMMON_5_YR_GROWTH","FQ2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50" s="1" t="e">
        <f ca="1">_xll.BDH($C$128,"5Y_GEO_GROWTH_DILUTED_EPS","FQ2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50" s="1" t="e">
        <f ca="1">_xll.BDH($C$128,"GEO_GROW_DVD_PER_SH","FQ2 2018","FQ2 2018","Currency=INR","Period=FQ","BEST_FPERIOD_OVERRIDE=FQ","FILING_STATUS=OR","EQY_CONSOLIDATED=Y","Sort=A","Dates=H","DateFormat=P","Fill=—","Direction=H","UseDPDF=Y")</f>
        <v>#NAME?</v>
      </c>
      <c r="AS150" s="1" t="e">
        <f ca="1">_xll.BDH($C$128,"ACCOUNTS_RECEIVABLE_5_YR_GROWTH","FQ2 2018","FQ2 2018","Currency=INR","Period=FQ","BEST_FPERIOD_OVERRIDE=FQ","FILING_STATUS=OR","EQY_CONSOLIDATED=Y","Sort=A","Dates=H","DateFormat=P","Fill=—","Direction=H","UseDPDF=Y")</f>
        <v>#NAME?</v>
      </c>
      <c r="AT150" s="1" t="e">
        <f ca="1">_xll.BDH($C$128,"INVENTORY_5_YEAR_GROWTH","FQ2 2018","FQ2 2018","Currency=INR","Period=FQ","BEST_FPERIOD_OVERRIDE=FQ","FILING_STATUS=OR","EQY_CONSOLIDATED=Y","Sort=A","Dates=H","DateFormat=P","Fill=—","Direction=H","UseDPDF=Y")</f>
        <v>#NAME?</v>
      </c>
      <c r="AU150" s="1" t="e">
        <f ca="1">_xll.BDH($C$128,"NET_FIXED_ASSETS_5_YEAR_GROWTH","FQ2 2018","FQ2 2018","Currency=INR","Period=FQ","BEST_FPERIOD_OVERRIDE=FQ","FILING_STATUS=OR","EQY_CONSOLIDATED=Y","Sort=A","Dates=H","DateFormat=P","Fill=—","Direction=H","UseDPDF=Y")</f>
        <v>#NAME?</v>
      </c>
      <c r="AV150" s="1" t="e">
        <f ca="1">_xll.BDH($C$128,"GEO_GROW_TOT_ASSET","FQ2 2018","FQ2 2018","Currency=INR","Period=FQ","BEST_FPERIOD_OVERRIDE=FQ","FILING_STATUS=OR","EQY_CONSOLIDATED=Y","Sort=A","Dates=H","DateFormat=P","Fill=—","Direction=H","UseDPDF=Y")</f>
        <v>#NAME?</v>
      </c>
      <c r="AW150" s="1" t="e">
        <f ca="1">_xll.BDH($C$128,"MODIFIED_WORKING_CPTL_5YR_GRWTH","FQ2 2018","FQ2 2018","Currency=INR","Period=FQ","BEST_FPERIOD_OVERRIDE=FQ","FILING_STATUS=OR","EQY_CONSOLIDATED=Y","Sort=A","Dates=H","DateFormat=P","Fill=—","Direction=H","UseDPDF=Y")</f>
        <v>#NAME?</v>
      </c>
      <c r="AX150" s="1" t="e">
        <f ca="1">_xll.BDH($C$128,"WORKING_CAPITAL_5_YEAR_GROWTH","FQ2 2018","FQ2 2018","Currency=INR","Period=FQ","BEST_FPERIOD_OVERRIDE=FQ","FILING_STATUS=OR","EQY_CONSOLIDATED=Y","Sort=A","Dates=H","DateFormat=P","Fill=—","Direction=H","UseDPDF=Y")</f>
        <v>#NAME?</v>
      </c>
      <c r="AY150" s="1" t="e">
        <f ca="1">_xll.BDH($C$128,"ACCOUNTS_PAYABLE_5_YEAR_GROWTH","FQ2 2018","FQ2 2018","Currency=INR","Period=FQ","BEST_FPERIOD_OVERRIDE=FQ","FILING_STATUS=OR","EQY_CONSOLIDATED=Y","Sort=A","Dates=H","DateFormat=P","Fill=—","Direction=H","UseDPDF=Y")</f>
        <v>#NAME?</v>
      </c>
      <c r="AZ150" s="1" t="e">
        <f ca="1">_xll.BDH($C$128,"SHORT_TERM_DEBT_5_YEAR_GROWTH","FQ2 2018","FQ2 2018","Currency=INR","Period=FQ","BEST_FPERIOD_OVERRIDE=FQ","FILING_STATUS=OR","EQY_CONSOLIDATED=Y","Sort=A","Dates=H","DateFormat=P","Fill=—","Direction=H","UseDPDF=Y")</f>
        <v>#NAME?</v>
      </c>
      <c r="BA150" s="1" t="e">
        <f ca="1">_xll.BDH($C$128,"TOTAL_DEBT_5_YEAR_GROWTH","FQ2 2018","FQ2 2018","Currency=INR","Period=FQ","BEST_FPERIOD_OVERRIDE=FQ","FILING_STATUS=OR","EQY_CONSOLIDATED=Y","Sort=A","Dates=H","DateFormat=P","Fill=—","Direction=H","UseDPDF=Y")</f>
        <v>#NAME?</v>
      </c>
      <c r="BB150" s="1" t="e">
        <f ca="1">_xll.BDH($C$128,"GEO_GROW_TOT_SHRHLDR_EQY","FQ2 2018","FQ2 2018","Currency=INR","Period=FQ","BEST_FPERIOD_OVERRIDE=FQ","FILING_STATUS=OR","EQY_CONSOLIDATED=Y","Sort=A","Dates=H","DateFormat=P","Fill=—","Direction=H","UseDPDF=Y")</f>
        <v>#NAME?</v>
      </c>
      <c r="BC150" s="1" t="e">
        <f ca="1">_xll.BDH($C$128,"TOTAL_CAPITAL_5_YEAR_GROWTH","FQ2 2018","FQ2 2018","Currency=INR","Period=FQ","BEST_FPERIOD_OVERRIDE=FQ","FILING_STATUS=OR","EQY_CONSOLIDATED=Y","Sort=A","Dates=H","DateFormat=P","Fill=—","Direction=H","UseDPDF=Y")</f>
        <v>#NAME?</v>
      </c>
      <c r="BD150" s="1" t="e">
        <f ca="1">_xll.BDH($C$128,"GEO_GROW_BOOK_VAL","FQ2 2018","FQ2 2018","Currency=INR","Period=FQ","BEST_FPERIOD_OVERRIDE=FQ","FILING_STATUS=OR","EQY_CONSOLIDATED=Y","Sort=A","Dates=H","DateFormat=P","Fill=—","Direction=H","UseDPDF=Y")</f>
        <v>#NAME?</v>
      </c>
      <c r="BE150" s="1" t="e">
        <f ca="1">_xll.BDH($C$128,"GEO_GROW_CASH_OPER_ACT","FQ2 2018","FQ2 2018","Currency=INR","Period=FQ","BEST_FPERIOD_OVERRIDE=FQ","FILING_STATUS=OR","EQY_CONSOLIDATED=Y","Sort=A","Dates=H","DateFormat=P","Fill=—","Direction=H","UseDPDF=Y")</f>
        <v>#NAME?</v>
      </c>
      <c r="BF150" s="1" t="e">
        <f ca="1">_xll.BDH($C$128,"REVENUE_SEQUENTIAL_GROWTH","FQ2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50" s="1" t="e">
        <f ca="1">_xll.BDH($C$128,"EBITDA_SEQUENTIAL_GROWTH","FQ2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50" s="1" t="e">
        <f ca="1">_xll.BDH($C$128,"OPERATING_INCOME_SEQ_GROWTH","FQ2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50" s="1" t="e">
        <f ca="1">_xll.BDH($C$128,"NET_INCOME_TO_COMMON_SEQ_GROWTH","FQ2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50" s="1" t="e">
        <f ca="1">_xll.BDH($C$128,"EPS_DILUTED_SEQUENTIAL_GROWTH","FQ2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50" s="1" t="e">
        <f ca="1">_xll.BDH($C$128,"DPS_SEQUENTIAL_GROWTH","FQ2 2018","FQ2 2018","Currency=INR","Period=FQ","BEST_FPERIOD_OVERRIDE=FQ","FILING_STATUS=OR","EQY_CONSOLIDATED=Y","Sort=A","Dates=H","DateFormat=P","Fill=—","Direction=H","UseDPDF=Y")</f>
        <v>#NAME?</v>
      </c>
      <c r="BL150" s="1" t="e">
        <f ca="1">_xll.BDH($C$128,"ACCOUNTS_RECEIVABLE_SEQ_GROWTH","FQ2 2018","FQ2 2018","Currency=INR","Period=FQ","BEST_FPERIOD_OVERRIDE=FQ","FILING_STATUS=OR","EQY_CONSOLIDATED=Y","Sort=A","Dates=H","DateFormat=P","Fill=—","Direction=H","UseDPDF=Y")</f>
        <v>#NAME?</v>
      </c>
      <c r="BM150" s="1" t="e">
        <f ca="1">_xll.BDH($C$128,"INVENTORY_SEQUENTIAL_GROWTH","FQ2 2018","FQ2 2018","Currency=INR","Period=FQ","BEST_FPERIOD_OVERRIDE=FQ","FILING_STATUS=OR","EQY_CONSOLIDATED=Y","Sort=A","Dates=H","DateFormat=P","Fill=—","Direction=H","UseDPDF=Y")</f>
        <v>#NAME?</v>
      </c>
      <c r="BN150" s="1" t="e">
        <f ca="1">_xll.BDH($C$128,"FIXED_ASSETS_SEQUENTIAL_GROWTH","FQ2 2018","FQ2 2018","Currency=INR","Period=FQ","BEST_FPERIOD_OVERRIDE=FQ","FILING_STATUS=OR","EQY_CONSOLIDATED=Y","Sort=A","Dates=H","DateFormat=P","Fill=—","Direction=H","UseDPDF=Y")</f>
        <v>#NAME?</v>
      </c>
      <c r="BO150" s="1" t="e">
        <f ca="1">_xll.BDH($C$128,"TOTAL_ASSETS_SEQUENTIAL_GROWTH","FQ2 2018","FQ2 2018","Currency=INR","Period=FQ","BEST_FPERIOD_OVERRIDE=FQ","FILING_STATUS=OR","EQY_CONSOLIDATED=Y","Sort=A","Dates=H","DateFormat=P","Fill=—","Direction=H","UseDPDF=Y")</f>
        <v>#NAME?</v>
      </c>
      <c r="BP150" s="1" t="e">
        <f ca="1">_xll.BDH($C$128,"MODIFIED_WORKING_CPTL_SEQ_GRWTH","FQ2 2018","FQ2 2018","Currency=INR","Period=FQ","BEST_FPERIOD_OVERRIDE=FQ","FILING_STATUS=OR","EQY_CONSOLIDATED=Y","Sort=A","Dates=H","DateFormat=P","Fill=—","Direction=H","UseDPDF=Y")</f>
        <v>#NAME?</v>
      </c>
      <c r="BQ150" s="1" t="e">
        <f ca="1">_xll.BDH($C$128,"WORKING_CAPITAL_SEQ_GROWTH","FQ2 2018","FQ2 2018","Currency=INR","Period=FQ","BEST_FPERIOD_OVERRIDE=FQ","FILING_STATUS=OR","EQY_CONSOLIDATED=Y","Sort=A","Dates=H","DateFormat=P","Fill=—","Direction=H","UseDPDF=Y")</f>
        <v>#NAME?</v>
      </c>
      <c r="BR150" s="1" t="e">
        <f ca="1">_xll.BDH($C$128,"ACCOUNTS_PAYABLE_SEQ_GROWTH","FQ2 2018","FQ2 2018","Currency=INR","Period=FQ","BEST_FPERIOD_OVERRIDE=FQ","FILING_STATUS=OR","EQY_CONSOLIDATED=Y","Sort=A","Dates=H","DateFormat=P","Fill=—","Direction=H","UseDPDF=Y")</f>
        <v>#NAME?</v>
      </c>
      <c r="BS150" s="1" t="e">
        <f ca="1">_xll.BDH($C$128,"ST_DEBT_SEQUENTIAL_GROWTH","FQ2 2018","FQ2 2018","Currency=INR","Period=FQ","BEST_FPERIOD_OVERRIDE=FQ","FILING_STATUS=OR","EQY_CONSOLIDATED=Y","Sort=A","Dates=H","DateFormat=P","Fill=—","Direction=H","UseDPDF=Y")</f>
        <v>#NAME?</v>
      </c>
      <c r="BT150" s="1" t="e">
        <f ca="1">_xll.BDH($C$128,"TOTAL_DEBT_SEQUENTIAL_GROWTH","FQ2 2018","FQ2 2018","Currency=INR","Period=FQ","BEST_FPERIOD_OVERRIDE=FQ","FILING_STATUS=OR","EQY_CONSOLIDATED=Y","Sort=A","Dates=H","DateFormat=P","Fill=—","Direction=H","UseDPDF=Y")</f>
        <v>#NAME?</v>
      </c>
      <c r="BU150" s="1" t="e">
        <f ca="1">_xll.BDH($C$128,"TOTAL_EQUITY_SEQUENTIAL_GROWTH","FQ2 2018","FQ2 2018","Currency=INR","Period=FQ","BEST_FPERIOD_OVERRIDE=FQ","FILING_STATUS=OR","EQY_CONSOLIDATED=Y","Sort=A","Dates=H","DateFormat=P","Fill=—","Direction=H","UseDPDF=Y")</f>
        <v>#NAME?</v>
      </c>
      <c r="BV150" s="1" t="e">
        <f ca="1">_xll.BDH($C$128,"TOTAL_CAPITAL_SEQUENTIAL_GROWTH","FQ2 2018","FQ2 2018","Currency=INR","Period=FQ","BEST_FPERIOD_OVERRIDE=FQ","FILING_STATUS=OR","EQY_CONSOLIDATED=Y","Sort=A","Dates=H","DateFormat=P","Fill=—","Direction=H","UseDPDF=Y")</f>
        <v>#NAME?</v>
      </c>
      <c r="BW150" s="1" t="e">
        <f ca="1">_xll.BDH($C$128,"BPS_SEQUENTIAL_GROWTH","FQ2 2018","FQ2 2018","Currency=INR","Period=FQ","BEST_FPERIOD_OVERRIDE=FQ","FILING_STATUS=OR","EQY_CONSOLIDATED=Y","Sort=A","Dates=H","DateFormat=P","Fill=—","Direction=H","UseDPDF=Y")</f>
        <v>#NAME?</v>
      </c>
      <c r="BX150" s="1" t="e">
        <f ca="1">_xll.BDH($C$128,"CFO_SEQUENTIAL_GROWTH","FQ2 2018","FQ2 2018","Currency=INR","Period=FQ","BEST_FPERIOD_OVERRIDE=FQ","FILING_STATUS=OR","EQY_CONSOLIDATED=Y","Sort=A","Dates=H","DateFormat=P","Fill=—","Direction=H","UseDPDF=Y")</f>
        <v>#NAME?</v>
      </c>
      <c r="BY150" s="2" t="e">
        <f ca="1">_xll.BDH($C$128,"SHORT_AND_LONG_TERM_DEBT","FQ2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50" s="2" t="e">
        <f ca="1">_xll.BDH($C$128,"BS_ST_BORROW","FQ2 2018","FQ2 2018","Currency=INR","Period=FQ","BEST_FPERIOD_OVERRIDE=FQ","FILING_STATUS=OR","EQY_CONSOLIDATED=Y","SCALING_FORMAT=MLN","Sort=A","Dates=H","DateFormat=P","Fill=—","Direction=H","UseDPDF=Y")</f>
        <v>#NAME?</v>
      </c>
      <c r="CA150" s="2" t="e">
        <f ca="1">_xll.BDH($C$128,"BS_LT_BORROW","FQ2 2018","FQ2 2018","Currency=INR","Period=FQ","BEST_FPERIOD_OVERRIDE=FQ","FILING_STATUS=OR","EQY_CONSOLIDATED=Y","SCALING_FORMAT=MLN","Sort=A","Dates=H","DateFormat=P","Fill=—","Direction=H","UseDPDF=Y")</f>
        <v>#NAME?</v>
      </c>
      <c r="CB150" s="1" t="e">
        <f ca="1">_xll.BDH($C$128,"TOT_DEBT_TO_EBITDA","FQ2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50" s="1" t="e">
        <f ca="1">_xll.BDH($C$128,"NET_DEBT_TO_EBITDA","FQ2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50" s="1" t="e">
        <f ca="1">_xll.BDH($C$128,"TOTAL_DEBT_TO_EBIT","FQ2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50" s="1" t="e">
        <f ca="1">_xll.BDH($C$128,"NET_DEBT_TO_EBIT","FQ2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150" s="1" t="e">
        <f ca="1">_xll.BDH($C$128,"EBITDA_TO_INTEREST_EXPN","FQ2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50" s="1" t="e">
        <f ca="1">_xll.BDH($C$128,"COM_EQY_TO_TOT_ASSET","FQ2 2018","FQ2 2018","Currency=INR","Period=FQ","BEST_FPERIOD_OVERRIDE=FQ","FILING_STATUS=OR","EQY_CONSOLIDATED=Y","Sort=A","Dates=H","DateFormat=P","Fill=—","Direction=H","UseDPDF=Y")</f>
        <v>#NAME?</v>
      </c>
      <c r="CH150" s="1" t="e">
        <f ca="1">_xll.BDH($C$128,"LT_DEBT_TO_TOT_EQY","FQ2 2018","FQ2 2018","Currency=INR","Period=FQ","BEST_FPERIOD_OVERRIDE=FQ","FILING_STATUS=OR","EQY_CONSOLIDATED=Y","Sort=A","Dates=H","DateFormat=P","Fill=—","Direction=H","UseDPDF=Y")</f>
        <v>#NAME?</v>
      </c>
      <c r="CI150" s="1" t="e">
        <f ca="1">_xll.BDH($C$128,"LT_DEBT_TO_TOT_CAP","FQ2 2018","FQ2 2018","Currency=INR","Period=FQ","BEST_FPERIOD_OVERRIDE=FQ","FILING_STATUS=OR","EQY_CONSOLIDATED=Y","Sort=A","Dates=H","DateFormat=P","Fill=—","Direction=H","UseDPDF=Y")</f>
        <v>#NAME?</v>
      </c>
      <c r="CJ150" s="1" t="e">
        <f ca="1">_xll.BDH($C$128,"LT_DEBT_TO_TOT_ASSET","FQ2 2018","FQ2 2018","Currency=INR","Period=FQ","BEST_FPERIOD_OVERRIDE=FQ","FILING_STATUS=OR","EQY_CONSOLIDATED=Y","Sort=A","Dates=H","DateFormat=P","Fill=—","Direction=H","UseDPDF=Y")</f>
        <v>#NAME?</v>
      </c>
      <c r="CK150" s="1" t="e">
        <f ca="1">_xll.BDH($C$128,"TOT_DEBT_TO_TOT_EQY","FQ2 2018","FQ2 2018","Currency=INR","Period=FQ","BEST_FPERIOD_OVERRIDE=FQ","FILING_STATUS=OR","EQY_CONSOLIDATED=Y","Sort=A","Dates=H","DateFormat=P","Fill=—","Direction=H","UseDPDF=Y")</f>
        <v>#NAME?</v>
      </c>
      <c r="CL150" s="1" t="e">
        <f ca="1">_xll.BDH($C$128,"TOT_DEBT_TO_TOT_CAP","FQ2 2018","FQ2 2018","Currency=INR","Period=FQ","BEST_FPERIOD_OVERRIDE=FQ","FILING_STATUS=OR","EQY_CONSOLIDATED=Y","Sort=A","Dates=H","DateFormat=P","Fill=—","Direction=H","UseDPDF=Y")</f>
        <v>#NAME?</v>
      </c>
      <c r="CM150" s="1" t="e">
        <f ca="1">_xll.BDH($C$128,"TOT_DEBT_TO_TOT_ASSET","FQ2 2018","FQ2 2018","Currency=INR","Period=FQ","BEST_FPERIOD_OVERRIDE=FQ","FILING_STATUS=OR","EQY_CONSOLIDATED=Y","Sort=A","Dates=H","DateFormat=P","Fill=—","Direction=H","UseDPDF=Y")</f>
        <v>#NAME?</v>
      </c>
      <c r="CN150" s="1" t="e">
        <f ca="1">_xll.BDH($C$128,"NET_DEBT_TO_SHRHLDR_EQTY","FQ2 2018","FQ2 2018","Currency=INR","Period=FQ","BEST_FPERIOD_OVERRIDE=FQ","FILING_STATUS=OR","EQY_CONSOLIDATED=Y","Sort=A","Dates=H","DateFormat=P","Fill=—","Direction=H","UseDPDF=Y")</f>
        <v>#NAME?</v>
      </c>
      <c r="CO150" s="1" t="e">
        <f ca="1">_xll.BDH($C$128,"NET_DEBT_%_CAPITAL","FQ2 2018","FQ2 2018","Currency=INR","Period=FQ","BEST_FPERIOD_OVERRIDE=FQ","FILING_STATUS=OR","EQY_CONSOLIDATED=Y","Sort=A","Dates=H","DateFormat=P","Fill=—","Direction=H","UseDPDF=Y")</f>
        <v>#NAME?</v>
      </c>
      <c r="CP150" s="2" t="e">
        <f ca="1">_xll.BDH($C$128,"EBITDA","FQ2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50" s="2" t="e">
        <f ca="1">_xll.BDH($C$128,"EBITDA_AFTER_CAPEX","FQ2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50" s="2" t="e">
        <f ca="1">_xll.BDH($C$128,"IS_OPER_INC","FQ2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50" s="1" t="e">
        <f ca="1">_xll.BDH($C$128,"CASH_RATIO","FQ2 2018","FQ2 2018","Currency=INR","Period=FQ","BEST_FPERIOD_OVERRIDE=FQ","FILING_STATUS=OR","EQY_CONSOLIDATED=Y","Sort=A","Dates=H","DateFormat=P","Fill=—","Direction=H","UseDPDF=Y")</f>
        <v>#NAME?</v>
      </c>
      <c r="CT150" s="1" t="e">
        <f ca="1">_xll.BDH($C$128,"CUR_RATIO","FQ2 2018","FQ2 2018","Currency=INR","Period=FQ","BEST_FPERIOD_OVERRIDE=FQ","FILING_STATUS=OR","EQY_CONSOLIDATED=Y","Sort=A","Dates=H","DateFormat=P","Fill=—","Direction=H","UseDPDF=Y")</f>
        <v>#NAME?</v>
      </c>
      <c r="CU150" s="1" t="e">
        <f ca="1">_xll.BDH($C$128,"QUICK_RATIO","FQ2 2018","FQ2 2018","Currency=INR","Period=FQ","BEST_FPERIOD_OVERRIDE=FQ","FILING_STATUS=OR","EQY_CONSOLIDATED=Y","Sort=A","Dates=H","DateFormat=P","Fill=—","Direction=H","UseDPDF=Y")</f>
        <v>#NAME?</v>
      </c>
      <c r="CV150" s="1" t="e">
        <f ca="1">_xll.BDH($C$128,"ALTMAN_Z_SCORE","FQ2 2018","FQ2 2018","Currency=INR","Period=FQ","BEST_FPERIOD_OVERRIDE=FQ","FILING_STATUS=OR","EQY_CONSOLIDATED=Y","Sort=A","Dates=H","DateFormat=P","Fill=—","Direction=H","UseDPDF=Y")</f>
        <v>#NAME?</v>
      </c>
      <c r="CW150" s="3" t="e">
        <f ca="1">_xll.BDH($C$128,"ACCT_RCV_TURN","FQ2 2018","FQ2 2018","Currency=INR","Period=FQ","BEST_FPERIOD_OVERRIDE=FQ","FILING_STATUS=OR","EQY_CONSOLIDATED=Y","FA_ADJUSTED=GAAP","Sort=A","Dates=H","DateFormat=P","Fill=—","Direction=H","UseDPDF=Y")</f>
        <v>#NAME?</v>
      </c>
      <c r="CX150" s="1" t="e">
        <f ca="1">_xll.BDH($C$128,"ACCT_RCV_DAYS","FQ2 2018","FQ2 2018","Currency=INR","Period=FQ","BEST_FPERIOD_OVERRIDE=FQ","FILING_STATUS=OR","EQY_CONSOLIDATED=Y","FA_ADJUSTED=GAAP","Sort=A","Dates=H","DateFormat=P","Fill=—","Direction=H","UseDPDF=Y")</f>
        <v>#NAME?</v>
      </c>
      <c r="CY150" s="3" t="e">
        <f ca="1">_xll.BDH($C$128,"INVENT_TURN","FQ2 2018","FQ2 2018","Currency=INR","Period=FQ","BEST_FPERIOD_OVERRIDE=FQ","FILING_STATUS=OR","EQY_CONSOLIDATED=Y","FA_ADJUSTED=GAAP","Sort=A","Dates=H","DateFormat=P","Fill=—","Direction=H","UseDPDF=Y")</f>
        <v>#NAME?</v>
      </c>
      <c r="CZ150" s="1" t="e">
        <f ca="1">_xll.BDH($C$128,"INVENT_DAYS","FQ2 2018","FQ2 2018","Currency=INR","Period=FQ","BEST_FPERIOD_OVERRIDE=FQ","FILING_STATUS=OR","EQY_CONSOLIDATED=Y","FA_ADJUSTED=GAAP","Sort=A","Dates=H","DateFormat=P","Fill=—","Direction=H","UseDPDF=Y")</f>
        <v>#NAME?</v>
      </c>
      <c r="DA150" s="3" t="e">
        <f ca="1">_xll.BDH($C$128,"ACCOUNTS_PAYABLE_TURNOVER","FQ2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50" s="1" t="e">
        <f ca="1">_xll.BDH($C$128,"ACCOUNTS_PAYABLE_TURNOVER_DAYS","FQ2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50" s="3" t="e">
        <f ca="1">_xll.BDH($C$128,"CASH_CONVERSION_CYCLE","FQ2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50" s="3" t="e">
        <f ca="1">_xll.BDH($C$128,"INV_TO_CASH_DAYS","FQ2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150" s="4" t="e">
        <f ca="1">_xll.BDH($C$128,"BS_INVENTORIES","FQ2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150" s="2" t="e">
        <f ca="1">_xll.BDH($C$128,"INVTRY_RAW_MATERIALS","FQ2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50" s="2" t="e">
        <f ca="1">_xll.BDH($C$128,"INVTRY_IN_PROGRESS","FQ2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50" s="2" t="e">
        <f ca="1">_xll.BDH($C$128,"INVTRY_FINISHED_GOODS","FQ2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50" s="2" t="e">
        <f ca="1">_xll.BDH($C$128,"BS_OTHER_INV","FQ2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51" spans="1:113" x14ac:dyDescent="0.3">
      <c r="A151" s="6"/>
      <c r="B151" s="6"/>
      <c r="C151" s="6"/>
      <c r="D151" s="6"/>
      <c r="E151" t="s">
        <v>6</v>
      </c>
      <c r="F151" t="e">
        <f ca="1">_xll.BDH($C$128,"RETURN_COM_EQY","FQ3 2018","FQ3 2018","Currency=INR","Period=FQ","BEST_FPERIOD_OVERRIDE=FQ","FILING_STATUS=OR","EQY_CONSOLIDATED=Y","FA_ADJUSTED=GAAP","Sort=A","Dates=H","DateFormat=P","Fill=—","Direction=H","UseDPDF=Y")</f>
        <v>#NAME?</v>
      </c>
      <c r="G151" t="e">
        <f ca="1">_xll.BDH($C$128,"RETURN_ON_ASSET","FQ3 2018","FQ3 2018","Currency=INR","Period=FQ","BEST_FPERIOD_OVERRIDE=FQ","FILING_STATUS=OR","EQY_CONSOLIDATED=Y","FA_ADJUSTED=GAAP","Sort=A","Dates=H","DateFormat=P","Fill=—","Direction=H","UseDPDF=Y")</f>
        <v>#NAME?</v>
      </c>
      <c r="H151" t="e">
        <f ca="1">_xll.BDH($C$128,"RETURN_ON_CAP","FQ3 2018","FQ3 2018","Currency=INR","Period=FQ","BEST_FPERIOD_OVERRIDE=FQ","FILING_STATUS=OR","EQY_CONSOLIDATED=Y","FA_ADJUSTED=GAAP","Sort=A","Dates=H","DateFormat=P","Fill=—","Direction=H","UseDPDF=Y")</f>
        <v>#NAME?</v>
      </c>
      <c r="I151" t="e">
        <f ca="1">_xll.BDH($C$128,"RETURN_ON_INV_CAPITAL","FQ3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51" t="e">
        <f ca="1">_xll.BDH($C$128,"EBITDA_TO_REVENUE","FQ3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151" t="e">
        <f ca="1">_xll.BDH($C$128,"OPER_MARGIN","FQ3 2018","FQ3 2018","Currency=INR","Period=FQ","BEST_FPERIOD_OVERRIDE=FQ","FILING_STATUS=OR","EQY_CONSOLIDATED=Y","FA_ADJUSTED=GAAP","Sort=A","Dates=H","DateFormat=P","Fill=—","Direction=H","UseDPDF=Y")</f>
        <v>#NAME?</v>
      </c>
      <c r="L151" t="e">
        <f ca="1">_xll.BDH($C$128,"INCREMENTAL_OPERATING_MARGIN","FQ3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51" t="e">
        <f ca="1">_xll.BDH($C$128,"PRETAX_INC_TO_NET_SALES","FQ3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51" t="e">
        <f ca="1">_xll.BDH($C$128,"INC_BEF_XO_ITEMS_TO_NET_SALES","FQ3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51" t="e">
        <f ca="1">_xll.BDH($C$128,"PROF_MARGIN","FQ3 2018","FQ3 2018","Currency=INR","Period=FQ","BEST_FPERIOD_OVERRIDE=FQ","FILING_STATUS=OR","EQY_CONSOLIDATED=Y","FA_ADJUSTED=GAAP","Sort=A","Dates=H","DateFormat=P","Fill=—","Direction=H","UseDPDF=Y")</f>
        <v>#NAME?</v>
      </c>
      <c r="P151" t="e">
        <f ca="1">_xll.BDH($C$128,"NET_INCOME_TO_COMMON_MARGIN","FQ3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51" t="e">
        <f ca="1">_xll.BDH($C$128,"EFF_TAX_RATE","FQ3 2018","FQ3 2018","Currency=INR","Period=FQ","BEST_FPERIOD_OVERRIDE=FQ","FILING_STATUS=OR","EQY_CONSOLIDATED=Y","FA_ADJUSTED=GAAP","Sort=A","Dates=H","DateFormat=P","Fill=—","Direction=H","UseDPDF=Y")</f>
        <v>#NAME?</v>
      </c>
      <c r="R151" t="e">
        <f ca="1">_xll.BDH($C$128,"DVD_PAYOUT_RATIO","FQ3 2018","FQ3 2018","Currency=INR","Period=FQ","BEST_FPERIOD_OVERRIDE=FQ","FILING_STATUS=OR","EQY_CONSOLIDATED=Y","FA_ADJUSTED=GAAP","Sort=A","Dates=H","DateFormat=P","Fill=—","Direction=H","UseDPDF=Y")</f>
        <v>#NAME?</v>
      </c>
      <c r="S151" t="e">
        <f ca="1">_xll.BDH($C$128,"SUSTAIN_GROWTH_RT","FQ3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151" s="1" t="e">
        <f ca="1">_xll.BDH($C$128,"SALES_GROWTH","FQ3 2018","FQ3 2018","Currency=INR","Period=FQ","BEST_FPERIOD_OVERRIDE=FQ","FILING_STATUS=OR","EQY_CONSOLIDATED=Y","FA_ADJUSTED=GAAP","Sort=A","Dates=H","DateFormat=P","Fill=—","Direction=H","UseDPDF=Y")</f>
        <v>#NAME?</v>
      </c>
      <c r="U151" s="1" t="e">
        <f ca="1">_xll.BDH($C$128,"EBITDA_GROWTH","FQ3 2018","FQ3 2018","Currency=INR","Period=FQ","BEST_FPERIOD_OVERRIDE=FQ","FILING_STATUS=OR","EQY_CONSOLIDATED=Y","FA_ADJUSTED=GAAP","Sort=A","Dates=H","DateFormat=P","Fill=—","Direction=H","UseDPDF=Y")</f>
        <v>#NAME?</v>
      </c>
      <c r="V151" s="1" t="e">
        <f ca="1">_xll.BDH($C$128,"OPER_INC_GROWTH","FQ3 2018","FQ3 2018","Currency=INR","Period=FQ","BEST_FPERIOD_OVERRIDE=FQ","FILING_STATUS=OR","EQY_CONSOLIDATED=Y","FA_ADJUSTED=GAAP","Sort=A","Dates=H","DateFormat=P","Fill=—","Direction=H","UseDPDF=Y")</f>
        <v>#NAME?</v>
      </c>
      <c r="W151" s="1" t="e">
        <f ca="1">_xll.BDH($C$128,"EARN_FOR_COM_GROWTH","FQ3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51" s="1" t="e">
        <f ca="1">_xll.BDH($C$128,"DILUTED_EPS_AFT_XO_ITEMS_GROWTH","FQ3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51" s="1" t="e">
        <f ca="1">_xll.BDH($C$128,"DIVIDEND_PER_SHARE_1_YEAR_GROWTH","FQ3 2018","FQ3 2018","Currency=INR","Period=FQ","BEST_FPERIOD_OVERRIDE=FQ","FILING_STATUS=OR","EQY_CONSOLIDATED=Y","Sort=A","Dates=H","DateFormat=P","Fill=—","Direction=H","UseDPDF=Y")</f>
        <v>#NAME?</v>
      </c>
      <c r="Z151" s="1" t="e">
        <f ca="1">_xll.BDH($C$128,"ACCOUNTS_RECEIVABLE_GROWTH","FQ3 2018","FQ3 2018","Currency=INR","Period=FQ","BEST_FPERIOD_OVERRIDE=FQ","FILING_STATUS=OR","EQY_CONSOLIDATED=Y","Sort=A","Dates=H","DateFormat=P","Fill=—","Direction=H","UseDPDF=Y")</f>
        <v>#NAME?</v>
      </c>
      <c r="AA151" s="1" t="e">
        <f ca="1">_xll.BDH($C$128,"INVENTORY_GROWTH","FQ3 2018","FQ3 2018","Currency=INR","Period=FQ","BEST_FPERIOD_OVERRIDE=FQ","FILING_STATUS=OR","EQY_CONSOLIDATED=Y","Sort=A","Dates=H","DateFormat=P","Fill=—","Direction=H","UseDPDF=Y")</f>
        <v>#NAME?</v>
      </c>
      <c r="AB151" s="1" t="e">
        <f ca="1">_xll.BDH($C$128,"NET_FIXED_ASSETS_1_YEAR_GROWTH","FQ3 2018","FQ3 2018","Currency=INR","Period=FQ","BEST_FPERIOD_OVERRIDE=FQ","FILING_STATUS=OR","EQY_CONSOLIDATED=Y","Sort=A","Dates=H","DateFormat=P","Fill=—","Direction=H","UseDPDF=Y")</f>
        <v>#NAME?</v>
      </c>
      <c r="AC151" s="1" t="e">
        <f ca="1">_xll.BDH($C$128,"ASSET_GROWTH","FQ3 2018","FQ3 2018","Currency=INR","Period=FQ","BEST_FPERIOD_OVERRIDE=FQ","FILING_STATUS=OR","EQY_CONSOLIDATED=Y","Sort=A","Dates=H","DateFormat=P","Fill=—","Direction=H","UseDPDF=Y")</f>
        <v>#NAME?</v>
      </c>
      <c r="AD151" s="1" t="e">
        <f ca="1">_xll.BDH($C$128,"MODIFIED_WORK_CAP_GROWTH","FQ3 2018","FQ3 2018","Currency=INR","Period=FQ","BEST_FPERIOD_OVERRIDE=FQ","FILING_STATUS=OR","EQY_CONSOLIDATED=Y","Sort=A","Dates=H","DateFormat=P","Fill=—","Direction=H","UseDPDF=Y")</f>
        <v>#NAME?</v>
      </c>
      <c r="AE151" s="1" t="e">
        <f ca="1">_xll.BDH($C$128,"WORK_CAP_GROWTH","FQ3 2018","FQ3 2018","Currency=INR","Period=FQ","BEST_FPERIOD_OVERRIDE=FQ","FILING_STATUS=OR","EQY_CONSOLIDATED=Y","Sort=A","Dates=H","DateFormat=P","Fill=—","Direction=H","UseDPDF=Y")</f>
        <v>#NAME?</v>
      </c>
      <c r="AF151" s="1" t="e">
        <f ca="1">_xll.BDH($C$128,"ACCOUNTS_PAYABLE_GROWTH_1YR","FQ3 2018","FQ3 2018","Currency=INR","Period=FQ","BEST_FPERIOD_OVERRIDE=FQ","FILING_STATUS=OR","EQY_CONSOLIDATED=Y","Sort=A","Dates=H","DateFormat=P","Fill=—","Direction=H","UseDPDF=Y")</f>
        <v>#NAME?</v>
      </c>
      <c r="AG151" s="1" t="e">
        <f ca="1">_xll.BDH($C$128,"SHORT_TERM_DEBT_1_YEAR_GROWTH","FQ3 2018","FQ3 2018","Currency=INR","Period=FQ","BEST_FPERIOD_OVERRIDE=FQ","FILING_STATUS=OR","EQY_CONSOLIDATED=Y","Sort=A","Dates=H","DateFormat=P","Fill=—","Direction=H","UseDPDF=Y")</f>
        <v>#NAME?</v>
      </c>
      <c r="AH151" s="1" t="e">
        <f ca="1">_xll.BDH($C$128,"TOTAL_DEBT_1_YEAR_GROWTH","FQ3 2018","FQ3 2018","Currency=INR","Period=FQ","BEST_FPERIOD_OVERRIDE=FQ","FILING_STATUS=OR","EQY_CONSOLIDATED=Y","Sort=A","Dates=H","DateFormat=P","Fill=—","Direction=H","UseDPDF=Y")</f>
        <v>#NAME?</v>
      </c>
      <c r="AI151" s="1" t="e">
        <f ca="1">_xll.BDH($C$128,"TOTAL_EQUITY_1_YEAR_GROWTH","FQ3 2018","FQ3 2018","Currency=INR","Period=FQ","BEST_FPERIOD_OVERRIDE=FQ","FILING_STATUS=OR","EQY_CONSOLIDATED=Y","Sort=A","Dates=H","DateFormat=P","Fill=—","Direction=H","UseDPDF=Y")</f>
        <v>#NAME?</v>
      </c>
      <c r="AJ151" s="1" t="e">
        <f ca="1">_xll.BDH($C$128,"GROWTH_IN_CAP","FQ3 2018","FQ3 2018","Currency=INR","Period=FQ","BEST_FPERIOD_OVERRIDE=FQ","FILING_STATUS=OR","EQY_CONSOLIDATED=Y","Sort=A","Dates=H","DateFormat=P","Fill=—","Direction=H","UseDPDF=Y")</f>
        <v>#NAME?</v>
      </c>
      <c r="AK151" s="1" t="e">
        <f ca="1">_xll.BDH($C$128,"BVPS_GROWTH","FQ3 2018","FQ3 2018","Currency=INR","Period=FQ","BEST_FPERIOD_OVERRIDE=FQ","FILING_STATUS=OR","EQY_CONSOLIDATED=Y","Sort=A","Dates=H","DateFormat=P","Fill=—","Direction=H","UseDPDF=Y")</f>
        <v>#NAME?</v>
      </c>
      <c r="AL151" s="1" t="e">
        <f ca="1">_xll.BDH($C$128,"CASH_FLOW_GROWTH","FQ3 2018","FQ3 2018","Currency=INR","Period=FQ","BEST_FPERIOD_OVERRIDE=FQ","FILING_STATUS=OR","EQY_CONSOLIDATED=Y","Sort=A","Dates=H","DateFormat=P","Fill=—","Direction=H","UseDPDF=Y")</f>
        <v>#NAME?</v>
      </c>
      <c r="AM151" s="1" t="e">
        <f ca="1">_xll.BDH($C$128,"GEO_GROW_NET_SALES","FQ3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51" s="1" t="e">
        <f ca="1">_xll.BDH($C$128,"GEO_GROW_EBITDA","FQ3 2018","FQ3 2018","Currency=INR","Period=FQ","BEST_FPERIOD_OVERRIDE=FQ","FILING_STATUS=OR","EQY_CONSOLIDATED=Y","FA_ADJUSTED=GAAP","Sort=A","Dates=H","DateFormat=P","Fill=—","Direction=H","UseDPDF=Y")</f>
        <v>#NAME?</v>
      </c>
      <c r="AO151" s="1" t="e">
        <f ca="1">_xll.BDH($C$128,"GEO_GROW_OPER_INC","FQ3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51" s="1" t="e">
        <f ca="1">_xll.BDH($C$128,"NET_INCOME_TO_COMMON_5_YR_GROWTH","FQ3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51" s="1" t="e">
        <f ca="1">_xll.BDH($C$128,"5Y_GEO_GROWTH_DILUTED_EPS","FQ3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51" s="1" t="e">
        <f ca="1">_xll.BDH($C$128,"GEO_GROW_DVD_PER_SH","FQ3 2018","FQ3 2018","Currency=INR","Period=FQ","BEST_FPERIOD_OVERRIDE=FQ","FILING_STATUS=OR","EQY_CONSOLIDATED=Y","Sort=A","Dates=H","DateFormat=P","Fill=—","Direction=H","UseDPDF=Y")</f>
        <v>#NAME?</v>
      </c>
      <c r="AS151" s="1" t="e">
        <f ca="1">_xll.BDH($C$128,"ACCOUNTS_RECEIVABLE_5_YR_GROWTH","FQ3 2018","FQ3 2018","Currency=INR","Period=FQ","BEST_FPERIOD_OVERRIDE=FQ","FILING_STATUS=OR","EQY_CONSOLIDATED=Y","Sort=A","Dates=H","DateFormat=P","Fill=—","Direction=H","UseDPDF=Y")</f>
        <v>#NAME?</v>
      </c>
      <c r="AT151" s="1" t="e">
        <f ca="1">_xll.BDH($C$128,"INVENTORY_5_YEAR_GROWTH","FQ3 2018","FQ3 2018","Currency=INR","Period=FQ","BEST_FPERIOD_OVERRIDE=FQ","FILING_STATUS=OR","EQY_CONSOLIDATED=Y","Sort=A","Dates=H","DateFormat=P","Fill=—","Direction=H","UseDPDF=Y")</f>
        <v>#NAME?</v>
      </c>
      <c r="AU151" s="1" t="e">
        <f ca="1">_xll.BDH($C$128,"NET_FIXED_ASSETS_5_YEAR_GROWTH","FQ3 2018","FQ3 2018","Currency=INR","Period=FQ","BEST_FPERIOD_OVERRIDE=FQ","FILING_STATUS=OR","EQY_CONSOLIDATED=Y","Sort=A","Dates=H","DateFormat=P","Fill=—","Direction=H","UseDPDF=Y")</f>
        <v>#NAME?</v>
      </c>
      <c r="AV151" s="1" t="e">
        <f ca="1">_xll.BDH($C$128,"GEO_GROW_TOT_ASSET","FQ3 2018","FQ3 2018","Currency=INR","Period=FQ","BEST_FPERIOD_OVERRIDE=FQ","FILING_STATUS=OR","EQY_CONSOLIDATED=Y","Sort=A","Dates=H","DateFormat=P","Fill=—","Direction=H","UseDPDF=Y")</f>
        <v>#NAME?</v>
      </c>
      <c r="AW151" s="1" t="e">
        <f ca="1">_xll.BDH($C$128,"MODIFIED_WORKING_CPTL_5YR_GRWTH","FQ3 2018","FQ3 2018","Currency=INR","Period=FQ","BEST_FPERIOD_OVERRIDE=FQ","FILING_STATUS=OR","EQY_CONSOLIDATED=Y","Sort=A","Dates=H","DateFormat=P","Fill=—","Direction=H","UseDPDF=Y")</f>
        <v>#NAME?</v>
      </c>
      <c r="AX151" s="1" t="e">
        <f ca="1">_xll.BDH($C$128,"WORKING_CAPITAL_5_YEAR_GROWTH","FQ3 2018","FQ3 2018","Currency=INR","Period=FQ","BEST_FPERIOD_OVERRIDE=FQ","FILING_STATUS=OR","EQY_CONSOLIDATED=Y","Sort=A","Dates=H","DateFormat=P","Fill=—","Direction=H","UseDPDF=Y")</f>
        <v>#NAME?</v>
      </c>
      <c r="AY151" s="1" t="e">
        <f ca="1">_xll.BDH($C$128,"ACCOUNTS_PAYABLE_5_YEAR_GROWTH","FQ3 2018","FQ3 2018","Currency=INR","Period=FQ","BEST_FPERIOD_OVERRIDE=FQ","FILING_STATUS=OR","EQY_CONSOLIDATED=Y","Sort=A","Dates=H","DateFormat=P","Fill=—","Direction=H","UseDPDF=Y")</f>
        <v>#NAME?</v>
      </c>
      <c r="AZ151" s="1" t="e">
        <f ca="1">_xll.BDH($C$128,"SHORT_TERM_DEBT_5_YEAR_GROWTH","FQ3 2018","FQ3 2018","Currency=INR","Period=FQ","BEST_FPERIOD_OVERRIDE=FQ","FILING_STATUS=OR","EQY_CONSOLIDATED=Y","Sort=A","Dates=H","DateFormat=P","Fill=—","Direction=H","UseDPDF=Y")</f>
        <v>#NAME?</v>
      </c>
      <c r="BA151" s="1" t="e">
        <f ca="1">_xll.BDH($C$128,"TOTAL_DEBT_5_YEAR_GROWTH","FQ3 2018","FQ3 2018","Currency=INR","Period=FQ","BEST_FPERIOD_OVERRIDE=FQ","FILING_STATUS=OR","EQY_CONSOLIDATED=Y","Sort=A","Dates=H","DateFormat=P","Fill=—","Direction=H","UseDPDF=Y")</f>
        <v>#NAME?</v>
      </c>
      <c r="BB151" s="1" t="e">
        <f ca="1">_xll.BDH($C$128,"GEO_GROW_TOT_SHRHLDR_EQY","FQ3 2018","FQ3 2018","Currency=INR","Period=FQ","BEST_FPERIOD_OVERRIDE=FQ","FILING_STATUS=OR","EQY_CONSOLIDATED=Y","Sort=A","Dates=H","DateFormat=P","Fill=—","Direction=H","UseDPDF=Y")</f>
        <v>#NAME?</v>
      </c>
      <c r="BC151" s="1" t="e">
        <f ca="1">_xll.BDH($C$128,"TOTAL_CAPITAL_5_YEAR_GROWTH","FQ3 2018","FQ3 2018","Currency=INR","Period=FQ","BEST_FPERIOD_OVERRIDE=FQ","FILING_STATUS=OR","EQY_CONSOLIDATED=Y","Sort=A","Dates=H","DateFormat=P","Fill=—","Direction=H","UseDPDF=Y")</f>
        <v>#NAME?</v>
      </c>
      <c r="BD151" s="1" t="e">
        <f ca="1">_xll.BDH($C$128,"GEO_GROW_BOOK_VAL","FQ3 2018","FQ3 2018","Currency=INR","Period=FQ","BEST_FPERIOD_OVERRIDE=FQ","FILING_STATUS=OR","EQY_CONSOLIDATED=Y","Sort=A","Dates=H","DateFormat=P","Fill=—","Direction=H","UseDPDF=Y")</f>
        <v>#NAME?</v>
      </c>
      <c r="BE151" s="1" t="e">
        <f ca="1">_xll.BDH($C$128,"GEO_GROW_CASH_OPER_ACT","FQ3 2018","FQ3 2018","Currency=INR","Period=FQ","BEST_FPERIOD_OVERRIDE=FQ","FILING_STATUS=OR","EQY_CONSOLIDATED=Y","Sort=A","Dates=H","DateFormat=P","Fill=—","Direction=H","UseDPDF=Y")</f>
        <v>#NAME?</v>
      </c>
      <c r="BF151" s="1" t="e">
        <f ca="1">_xll.BDH($C$128,"REVENUE_SEQUENTIAL_GROWTH","FQ3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51" s="1" t="e">
        <f ca="1">_xll.BDH($C$128,"EBITDA_SEQUENTIAL_GROWTH","FQ3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51" s="1" t="e">
        <f ca="1">_xll.BDH($C$128,"OPERATING_INCOME_SEQ_GROWTH","FQ3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51" s="1" t="e">
        <f ca="1">_xll.BDH($C$128,"NET_INCOME_TO_COMMON_SEQ_GROWTH","FQ3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51" s="1" t="e">
        <f ca="1">_xll.BDH($C$128,"EPS_DILUTED_SEQUENTIAL_GROWTH","FQ3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51" s="1" t="e">
        <f ca="1">_xll.BDH($C$128,"DPS_SEQUENTIAL_GROWTH","FQ3 2018","FQ3 2018","Currency=INR","Period=FQ","BEST_FPERIOD_OVERRIDE=FQ","FILING_STATUS=OR","EQY_CONSOLIDATED=Y","Sort=A","Dates=H","DateFormat=P","Fill=—","Direction=H","UseDPDF=Y")</f>
        <v>#NAME?</v>
      </c>
      <c r="BL151" s="1" t="e">
        <f ca="1">_xll.BDH($C$128,"ACCOUNTS_RECEIVABLE_SEQ_GROWTH","FQ3 2018","FQ3 2018","Currency=INR","Period=FQ","BEST_FPERIOD_OVERRIDE=FQ","FILING_STATUS=OR","EQY_CONSOLIDATED=Y","Sort=A","Dates=H","DateFormat=P","Fill=—","Direction=H","UseDPDF=Y")</f>
        <v>#NAME?</v>
      </c>
      <c r="BM151" s="1" t="e">
        <f ca="1">_xll.BDH($C$128,"INVENTORY_SEQUENTIAL_GROWTH","FQ3 2018","FQ3 2018","Currency=INR","Period=FQ","BEST_FPERIOD_OVERRIDE=FQ","FILING_STATUS=OR","EQY_CONSOLIDATED=Y","Sort=A","Dates=H","DateFormat=P","Fill=—","Direction=H","UseDPDF=Y")</f>
        <v>#NAME?</v>
      </c>
      <c r="BN151" s="1" t="e">
        <f ca="1">_xll.BDH($C$128,"FIXED_ASSETS_SEQUENTIAL_GROWTH","FQ3 2018","FQ3 2018","Currency=INR","Period=FQ","BEST_FPERIOD_OVERRIDE=FQ","FILING_STATUS=OR","EQY_CONSOLIDATED=Y","Sort=A","Dates=H","DateFormat=P","Fill=—","Direction=H","UseDPDF=Y")</f>
        <v>#NAME?</v>
      </c>
      <c r="BO151" s="1" t="e">
        <f ca="1">_xll.BDH($C$128,"TOTAL_ASSETS_SEQUENTIAL_GROWTH","FQ3 2018","FQ3 2018","Currency=INR","Period=FQ","BEST_FPERIOD_OVERRIDE=FQ","FILING_STATUS=OR","EQY_CONSOLIDATED=Y","Sort=A","Dates=H","DateFormat=P","Fill=—","Direction=H","UseDPDF=Y")</f>
        <v>#NAME?</v>
      </c>
      <c r="BP151" s="1" t="e">
        <f ca="1">_xll.BDH($C$128,"MODIFIED_WORKING_CPTL_SEQ_GRWTH","FQ3 2018","FQ3 2018","Currency=INR","Period=FQ","BEST_FPERIOD_OVERRIDE=FQ","FILING_STATUS=OR","EQY_CONSOLIDATED=Y","Sort=A","Dates=H","DateFormat=P","Fill=—","Direction=H","UseDPDF=Y")</f>
        <v>#NAME?</v>
      </c>
      <c r="BQ151" s="1" t="e">
        <f ca="1">_xll.BDH($C$128,"WORKING_CAPITAL_SEQ_GROWTH","FQ3 2018","FQ3 2018","Currency=INR","Period=FQ","BEST_FPERIOD_OVERRIDE=FQ","FILING_STATUS=OR","EQY_CONSOLIDATED=Y","Sort=A","Dates=H","DateFormat=P","Fill=—","Direction=H","UseDPDF=Y")</f>
        <v>#NAME?</v>
      </c>
      <c r="BR151" s="1" t="e">
        <f ca="1">_xll.BDH($C$128,"ACCOUNTS_PAYABLE_SEQ_GROWTH","FQ3 2018","FQ3 2018","Currency=INR","Period=FQ","BEST_FPERIOD_OVERRIDE=FQ","FILING_STATUS=OR","EQY_CONSOLIDATED=Y","Sort=A","Dates=H","DateFormat=P","Fill=—","Direction=H","UseDPDF=Y")</f>
        <v>#NAME?</v>
      </c>
      <c r="BS151" s="1" t="e">
        <f ca="1">_xll.BDH($C$128,"ST_DEBT_SEQUENTIAL_GROWTH","FQ3 2018","FQ3 2018","Currency=INR","Period=FQ","BEST_FPERIOD_OVERRIDE=FQ","FILING_STATUS=OR","EQY_CONSOLIDATED=Y","Sort=A","Dates=H","DateFormat=P","Fill=—","Direction=H","UseDPDF=Y")</f>
        <v>#NAME?</v>
      </c>
      <c r="BT151" s="1" t="e">
        <f ca="1">_xll.BDH($C$128,"TOTAL_DEBT_SEQUENTIAL_GROWTH","FQ3 2018","FQ3 2018","Currency=INR","Period=FQ","BEST_FPERIOD_OVERRIDE=FQ","FILING_STATUS=OR","EQY_CONSOLIDATED=Y","Sort=A","Dates=H","DateFormat=P","Fill=—","Direction=H","UseDPDF=Y")</f>
        <v>#NAME?</v>
      </c>
      <c r="BU151" s="1" t="e">
        <f ca="1">_xll.BDH($C$128,"TOTAL_EQUITY_SEQUENTIAL_GROWTH","FQ3 2018","FQ3 2018","Currency=INR","Period=FQ","BEST_FPERIOD_OVERRIDE=FQ","FILING_STATUS=OR","EQY_CONSOLIDATED=Y","Sort=A","Dates=H","DateFormat=P","Fill=—","Direction=H","UseDPDF=Y")</f>
        <v>#NAME?</v>
      </c>
      <c r="BV151" s="1" t="e">
        <f ca="1">_xll.BDH($C$128,"TOTAL_CAPITAL_SEQUENTIAL_GROWTH","FQ3 2018","FQ3 2018","Currency=INR","Period=FQ","BEST_FPERIOD_OVERRIDE=FQ","FILING_STATUS=OR","EQY_CONSOLIDATED=Y","Sort=A","Dates=H","DateFormat=P","Fill=—","Direction=H","UseDPDF=Y")</f>
        <v>#NAME?</v>
      </c>
      <c r="BW151" s="1" t="e">
        <f ca="1">_xll.BDH($C$128,"BPS_SEQUENTIAL_GROWTH","FQ3 2018","FQ3 2018","Currency=INR","Period=FQ","BEST_FPERIOD_OVERRIDE=FQ","FILING_STATUS=OR","EQY_CONSOLIDATED=Y","Sort=A","Dates=H","DateFormat=P","Fill=—","Direction=H","UseDPDF=Y")</f>
        <v>#NAME?</v>
      </c>
      <c r="BX151" s="1" t="e">
        <f ca="1">_xll.BDH($C$128,"CFO_SEQUENTIAL_GROWTH","FQ3 2018","FQ3 2018","Currency=INR","Period=FQ","BEST_FPERIOD_OVERRIDE=FQ","FILING_STATUS=OR","EQY_CONSOLIDATED=Y","Sort=A","Dates=H","DateFormat=P","Fill=—","Direction=H","UseDPDF=Y")</f>
        <v>#NAME?</v>
      </c>
      <c r="BY151" s="2" t="e">
        <f ca="1">_xll.BDH($C$128,"SHORT_AND_LONG_TERM_DEBT","FQ3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51" s="2" t="e">
        <f ca="1">_xll.BDH($C$128,"BS_ST_BORROW","FQ3 2018","FQ3 2018","Currency=INR","Period=FQ","BEST_FPERIOD_OVERRIDE=FQ","FILING_STATUS=OR","EQY_CONSOLIDATED=Y","SCALING_FORMAT=MLN","Sort=A","Dates=H","DateFormat=P","Fill=—","Direction=H","UseDPDF=Y")</f>
        <v>#NAME?</v>
      </c>
      <c r="CA151" s="2" t="e">
        <f ca="1">_xll.BDH($C$128,"BS_LT_BORROW","FQ3 2018","FQ3 2018","Currency=INR","Period=FQ","BEST_FPERIOD_OVERRIDE=FQ","FILING_STATUS=OR","EQY_CONSOLIDATED=Y","SCALING_FORMAT=MLN","Sort=A","Dates=H","DateFormat=P","Fill=—","Direction=H","UseDPDF=Y")</f>
        <v>#NAME?</v>
      </c>
      <c r="CB151" s="1" t="e">
        <f ca="1">_xll.BDH($C$128,"TOT_DEBT_TO_EBITDA","FQ3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51" s="1" t="e">
        <f ca="1">_xll.BDH($C$128,"NET_DEBT_TO_EBITDA","FQ3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51" s="1" t="e">
        <f ca="1">_xll.BDH($C$128,"TOTAL_DEBT_TO_EBIT","FQ3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51" s="1" t="e">
        <f ca="1">_xll.BDH($C$128,"NET_DEBT_TO_EBIT","FQ3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151" s="1" t="e">
        <f ca="1">_xll.BDH($C$128,"EBITDA_TO_INTEREST_EXPN","FQ3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51" s="1" t="e">
        <f ca="1">_xll.BDH($C$128,"COM_EQY_TO_TOT_ASSET","FQ3 2018","FQ3 2018","Currency=INR","Period=FQ","BEST_FPERIOD_OVERRIDE=FQ","FILING_STATUS=OR","EQY_CONSOLIDATED=Y","Sort=A","Dates=H","DateFormat=P","Fill=—","Direction=H","UseDPDF=Y")</f>
        <v>#NAME?</v>
      </c>
      <c r="CH151" s="1" t="e">
        <f ca="1">_xll.BDH($C$128,"LT_DEBT_TO_TOT_EQY","FQ3 2018","FQ3 2018","Currency=INR","Period=FQ","BEST_FPERIOD_OVERRIDE=FQ","FILING_STATUS=OR","EQY_CONSOLIDATED=Y","Sort=A","Dates=H","DateFormat=P","Fill=—","Direction=H","UseDPDF=Y")</f>
        <v>#NAME?</v>
      </c>
      <c r="CI151" s="1" t="e">
        <f ca="1">_xll.BDH($C$128,"LT_DEBT_TO_TOT_CAP","FQ3 2018","FQ3 2018","Currency=INR","Period=FQ","BEST_FPERIOD_OVERRIDE=FQ","FILING_STATUS=OR","EQY_CONSOLIDATED=Y","Sort=A","Dates=H","DateFormat=P","Fill=—","Direction=H","UseDPDF=Y")</f>
        <v>#NAME?</v>
      </c>
      <c r="CJ151" s="1" t="e">
        <f ca="1">_xll.BDH($C$128,"LT_DEBT_TO_TOT_ASSET","FQ3 2018","FQ3 2018","Currency=INR","Period=FQ","BEST_FPERIOD_OVERRIDE=FQ","FILING_STATUS=OR","EQY_CONSOLIDATED=Y","Sort=A","Dates=H","DateFormat=P","Fill=—","Direction=H","UseDPDF=Y")</f>
        <v>#NAME?</v>
      </c>
      <c r="CK151" s="1" t="e">
        <f ca="1">_xll.BDH($C$128,"TOT_DEBT_TO_TOT_EQY","FQ3 2018","FQ3 2018","Currency=INR","Period=FQ","BEST_FPERIOD_OVERRIDE=FQ","FILING_STATUS=OR","EQY_CONSOLIDATED=Y","Sort=A","Dates=H","DateFormat=P","Fill=—","Direction=H","UseDPDF=Y")</f>
        <v>#NAME?</v>
      </c>
      <c r="CL151" s="1" t="e">
        <f ca="1">_xll.BDH($C$128,"TOT_DEBT_TO_TOT_CAP","FQ3 2018","FQ3 2018","Currency=INR","Period=FQ","BEST_FPERIOD_OVERRIDE=FQ","FILING_STATUS=OR","EQY_CONSOLIDATED=Y","Sort=A","Dates=H","DateFormat=P","Fill=—","Direction=H","UseDPDF=Y")</f>
        <v>#NAME?</v>
      </c>
      <c r="CM151" s="1" t="e">
        <f ca="1">_xll.BDH($C$128,"TOT_DEBT_TO_TOT_ASSET","FQ3 2018","FQ3 2018","Currency=INR","Period=FQ","BEST_FPERIOD_OVERRIDE=FQ","FILING_STATUS=OR","EQY_CONSOLIDATED=Y","Sort=A","Dates=H","DateFormat=P","Fill=—","Direction=H","UseDPDF=Y")</f>
        <v>#NAME?</v>
      </c>
      <c r="CN151" s="1" t="e">
        <f ca="1">_xll.BDH($C$128,"NET_DEBT_TO_SHRHLDR_EQTY","FQ3 2018","FQ3 2018","Currency=INR","Period=FQ","BEST_FPERIOD_OVERRIDE=FQ","FILING_STATUS=OR","EQY_CONSOLIDATED=Y","Sort=A","Dates=H","DateFormat=P","Fill=—","Direction=H","UseDPDF=Y")</f>
        <v>#NAME?</v>
      </c>
      <c r="CO151" s="1" t="e">
        <f ca="1">_xll.BDH($C$128,"NET_DEBT_%_CAPITAL","FQ3 2018","FQ3 2018","Currency=INR","Period=FQ","BEST_FPERIOD_OVERRIDE=FQ","FILING_STATUS=OR","EQY_CONSOLIDATED=Y","Sort=A","Dates=H","DateFormat=P","Fill=—","Direction=H","UseDPDF=Y")</f>
        <v>#NAME?</v>
      </c>
      <c r="CP151" s="2" t="e">
        <f ca="1">_xll.BDH($C$128,"EBITDA","FQ3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51" s="2" t="e">
        <f ca="1">_xll.BDH($C$128,"EBITDA_AFTER_CAPEX","FQ3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51" s="2" t="e">
        <f ca="1">_xll.BDH($C$128,"IS_OPER_INC","FQ3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51" s="1" t="e">
        <f ca="1">_xll.BDH($C$128,"CASH_RATIO","FQ3 2018","FQ3 2018","Currency=INR","Period=FQ","BEST_FPERIOD_OVERRIDE=FQ","FILING_STATUS=OR","EQY_CONSOLIDATED=Y","Sort=A","Dates=H","DateFormat=P","Fill=—","Direction=H","UseDPDF=Y")</f>
        <v>#NAME?</v>
      </c>
      <c r="CT151" s="1" t="e">
        <f ca="1">_xll.BDH($C$128,"CUR_RATIO","FQ3 2018","FQ3 2018","Currency=INR","Period=FQ","BEST_FPERIOD_OVERRIDE=FQ","FILING_STATUS=OR","EQY_CONSOLIDATED=Y","Sort=A","Dates=H","DateFormat=P","Fill=—","Direction=H","UseDPDF=Y")</f>
        <v>#NAME?</v>
      </c>
      <c r="CU151" s="1" t="e">
        <f ca="1">_xll.BDH($C$128,"QUICK_RATIO","FQ3 2018","FQ3 2018","Currency=INR","Period=FQ","BEST_FPERIOD_OVERRIDE=FQ","FILING_STATUS=OR","EQY_CONSOLIDATED=Y","Sort=A","Dates=H","DateFormat=P","Fill=—","Direction=H","UseDPDF=Y")</f>
        <v>#NAME?</v>
      </c>
      <c r="CV151" s="1" t="e">
        <f ca="1">_xll.BDH($C$128,"ALTMAN_Z_SCORE","FQ3 2018","FQ3 2018","Currency=INR","Period=FQ","BEST_FPERIOD_OVERRIDE=FQ","FILING_STATUS=OR","EQY_CONSOLIDATED=Y","Sort=A","Dates=H","DateFormat=P","Fill=—","Direction=H","UseDPDF=Y")</f>
        <v>#NAME?</v>
      </c>
      <c r="CW151" s="3" t="e">
        <f ca="1">_xll.BDH($C$128,"ACCT_RCV_TURN","FQ3 2018","FQ3 2018","Currency=INR","Period=FQ","BEST_FPERIOD_OVERRIDE=FQ","FILING_STATUS=OR","EQY_CONSOLIDATED=Y","FA_ADJUSTED=GAAP","Sort=A","Dates=H","DateFormat=P","Fill=—","Direction=H","UseDPDF=Y")</f>
        <v>#NAME?</v>
      </c>
      <c r="CX151" s="1" t="e">
        <f ca="1">_xll.BDH($C$128,"ACCT_RCV_DAYS","FQ3 2018","FQ3 2018","Currency=INR","Period=FQ","BEST_FPERIOD_OVERRIDE=FQ","FILING_STATUS=OR","EQY_CONSOLIDATED=Y","FA_ADJUSTED=GAAP","Sort=A","Dates=H","DateFormat=P","Fill=—","Direction=H","UseDPDF=Y")</f>
        <v>#NAME?</v>
      </c>
      <c r="CY151" s="3" t="e">
        <f ca="1">_xll.BDH($C$128,"INVENT_TURN","FQ3 2018","FQ3 2018","Currency=INR","Period=FQ","BEST_FPERIOD_OVERRIDE=FQ","FILING_STATUS=OR","EQY_CONSOLIDATED=Y","FA_ADJUSTED=GAAP","Sort=A","Dates=H","DateFormat=P","Fill=—","Direction=H","UseDPDF=Y")</f>
        <v>#NAME?</v>
      </c>
      <c r="CZ151" s="1" t="e">
        <f ca="1">_xll.BDH($C$128,"INVENT_DAYS","FQ3 2018","FQ3 2018","Currency=INR","Period=FQ","BEST_FPERIOD_OVERRIDE=FQ","FILING_STATUS=OR","EQY_CONSOLIDATED=Y","FA_ADJUSTED=GAAP","Sort=A","Dates=H","DateFormat=P","Fill=—","Direction=H","UseDPDF=Y")</f>
        <v>#NAME?</v>
      </c>
      <c r="DA151" s="3" t="e">
        <f ca="1">_xll.BDH($C$128,"ACCOUNTS_PAYABLE_TURNOVER","FQ3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51" s="1" t="e">
        <f ca="1">_xll.BDH($C$128,"ACCOUNTS_PAYABLE_TURNOVER_DAYS","FQ3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51" s="3" t="e">
        <f ca="1">_xll.BDH($C$128,"CASH_CONVERSION_CYCLE","FQ3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51" s="3" t="e">
        <f ca="1">_xll.BDH($C$128,"INV_TO_CASH_DAYS","FQ3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151" s="4" t="e">
        <f ca="1">_xll.BDH($C$128,"BS_INVENTORIES","FQ3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151" s="2" t="e">
        <f ca="1">_xll.BDH($C$128,"INVTRY_RAW_MATERIALS","FQ3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51" s="2" t="e">
        <f ca="1">_xll.BDH($C$128,"INVTRY_IN_PROGRESS","FQ3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51" s="2" t="e">
        <f ca="1">_xll.BDH($C$128,"INVTRY_FINISHED_GOODS","FQ3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51" s="2" t="e">
        <f ca="1">_xll.BDH($C$128,"BS_OTHER_INV","FQ3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52" spans="1:113" x14ac:dyDescent="0.3">
      <c r="A152" s="6"/>
      <c r="B152" s="6"/>
      <c r="C152" s="6"/>
      <c r="D152" s="6"/>
      <c r="E152" t="s">
        <v>7</v>
      </c>
      <c r="F152" t="e">
        <f ca="1">_xll.BDH($C$128,"RETURN_COM_EQY","FQ4 2018","FQ4 2018","Currency=INR","Period=FQ","BEST_FPERIOD_OVERRIDE=FQ","FILING_STATUS=OR","EQY_CONSOLIDATED=Y","FA_ADJUSTED=GAAP","Sort=A","Dates=H","DateFormat=P","Fill=—","Direction=H","UseDPDF=Y")</f>
        <v>#NAME?</v>
      </c>
      <c r="G152" t="e">
        <f ca="1">_xll.BDH($C$128,"RETURN_ON_ASSET","FQ4 2018","FQ4 2018","Currency=INR","Period=FQ","BEST_FPERIOD_OVERRIDE=FQ","FILING_STATUS=OR","EQY_CONSOLIDATED=Y","FA_ADJUSTED=GAAP","Sort=A","Dates=H","DateFormat=P","Fill=—","Direction=H","UseDPDF=Y")</f>
        <v>#NAME?</v>
      </c>
      <c r="H152" t="e">
        <f ca="1">_xll.BDH($C$128,"RETURN_ON_CAP","FQ4 2018","FQ4 2018","Currency=INR","Period=FQ","BEST_FPERIOD_OVERRIDE=FQ","FILING_STATUS=OR","EQY_CONSOLIDATED=Y","FA_ADJUSTED=GAAP","Sort=A","Dates=H","DateFormat=P","Fill=—","Direction=H","UseDPDF=Y")</f>
        <v>#NAME?</v>
      </c>
      <c r="I152" t="e">
        <f ca="1">_xll.BDH($C$128,"RETURN_ON_INV_CAPITAL","FQ4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52" t="e">
        <f ca="1">_xll.BDH($C$128,"EBITDA_TO_REVENUE","FQ4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152" t="e">
        <f ca="1">_xll.BDH($C$128,"OPER_MARGIN","FQ4 2018","FQ4 2018","Currency=INR","Period=FQ","BEST_FPERIOD_OVERRIDE=FQ","FILING_STATUS=OR","EQY_CONSOLIDATED=Y","FA_ADJUSTED=GAAP","Sort=A","Dates=H","DateFormat=P","Fill=—","Direction=H","UseDPDF=Y")</f>
        <v>#NAME?</v>
      </c>
      <c r="L152" t="e">
        <f ca="1">_xll.BDH($C$128,"INCREMENTAL_OPERATING_MARGIN","FQ4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52" t="e">
        <f ca="1">_xll.BDH($C$128,"PRETAX_INC_TO_NET_SALES","FQ4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52" t="e">
        <f ca="1">_xll.BDH($C$128,"INC_BEF_XO_ITEMS_TO_NET_SALES","FQ4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52" t="e">
        <f ca="1">_xll.BDH($C$128,"PROF_MARGIN","FQ4 2018","FQ4 2018","Currency=INR","Period=FQ","BEST_FPERIOD_OVERRIDE=FQ","FILING_STATUS=OR","EQY_CONSOLIDATED=Y","FA_ADJUSTED=GAAP","Sort=A","Dates=H","DateFormat=P","Fill=—","Direction=H","UseDPDF=Y")</f>
        <v>#NAME?</v>
      </c>
      <c r="P152" t="e">
        <f ca="1">_xll.BDH($C$128,"NET_INCOME_TO_COMMON_MARGIN","FQ4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52" t="e">
        <f ca="1">_xll.BDH($C$128,"EFF_TAX_RATE","FQ4 2018","FQ4 2018","Currency=INR","Period=FQ","BEST_FPERIOD_OVERRIDE=FQ","FILING_STATUS=OR","EQY_CONSOLIDATED=Y","FA_ADJUSTED=GAAP","Sort=A","Dates=H","DateFormat=P","Fill=—","Direction=H","UseDPDF=Y")</f>
        <v>#NAME?</v>
      </c>
      <c r="R152" t="e">
        <f ca="1">_xll.BDH($C$128,"DVD_PAYOUT_RATIO","FQ4 2018","FQ4 2018","Currency=INR","Period=FQ","BEST_FPERIOD_OVERRIDE=FQ","FILING_STATUS=OR","EQY_CONSOLIDATED=Y","FA_ADJUSTED=GAAP","Sort=A","Dates=H","DateFormat=P","Fill=—","Direction=H","UseDPDF=Y")</f>
        <v>#NAME?</v>
      </c>
      <c r="S152" t="e">
        <f ca="1">_xll.BDH($C$128,"SUSTAIN_GROWTH_RT","FQ4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152" s="1" t="e">
        <f ca="1">_xll.BDH($C$128,"SALES_GROWTH","FQ4 2018","FQ4 2018","Currency=INR","Period=FQ","BEST_FPERIOD_OVERRIDE=FQ","FILING_STATUS=OR","EQY_CONSOLIDATED=Y","FA_ADJUSTED=GAAP","Sort=A","Dates=H","DateFormat=P","Fill=—","Direction=H","UseDPDF=Y")</f>
        <v>#NAME?</v>
      </c>
      <c r="U152" s="1" t="e">
        <f ca="1">_xll.BDH($C$128,"EBITDA_GROWTH","FQ4 2018","FQ4 2018","Currency=INR","Period=FQ","BEST_FPERIOD_OVERRIDE=FQ","FILING_STATUS=OR","EQY_CONSOLIDATED=Y","FA_ADJUSTED=GAAP","Sort=A","Dates=H","DateFormat=P","Fill=—","Direction=H","UseDPDF=Y")</f>
        <v>#NAME?</v>
      </c>
      <c r="V152" s="1" t="e">
        <f ca="1">_xll.BDH($C$128,"OPER_INC_GROWTH","FQ4 2018","FQ4 2018","Currency=INR","Period=FQ","BEST_FPERIOD_OVERRIDE=FQ","FILING_STATUS=OR","EQY_CONSOLIDATED=Y","FA_ADJUSTED=GAAP","Sort=A","Dates=H","DateFormat=P","Fill=—","Direction=H","UseDPDF=Y")</f>
        <v>#NAME?</v>
      </c>
      <c r="W152" s="1" t="e">
        <f ca="1">_xll.BDH($C$128,"EARN_FOR_COM_GROWTH","FQ4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52" s="1" t="e">
        <f ca="1">_xll.BDH($C$128,"DILUTED_EPS_AFT_XO_ITEMS_GROWTH","FQ4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52" s="1" t="e">
        <f ca="1">_xll.BDH($C$128,"DIVIDEND_PER_SHARE_1_YEAR_GROWTH","FQ4 2018","FQ4 2018","Currency=INR","Period=FQ","BEST_FPERIOD_OVERRIDE=FQ","FILING_STATUS=OR","EQY_CONSOLIDATED=Y","Sort=A","Dates=H","DateFormat=P","Fill=—","Direction=H","UseDPDF=Y")</f>
        <v>#NAME?</v>
      </c>
      <c r="Z152" s="1" t="e">
        <f ca="1">_xll.BDH($C$128,"ACCOUNTS_RECEIVABLE_GROWTH","FQ4 2018","FQ4 2018","Currency=INR","Period=FQ","BEST_FPERIOD_OVERRIDE=FQ","FILING_STATUS=OR","EQY_CONSOLIDATED=Y","Sort=A","Dates=H","DateFormat=P","Fill=—","Direction=H","UseDPDF=Y")</f>
        <v>#NAME?</v>
      </c>
      <c r="AA152" s="1" t="e">
        <f ca="1">_xll.BDH($C$128,"INVENTORY_GROWTH","FQ4 2018","FQ4 2018","Currency=INR","Period=FQ","BEST_FPERIOD_OVERRIDE=FQ","FILING_STATUS=OR","EQY_CONSOLIDATED=Y","Sort=A","Dates=H","DateFormat=P","Fill=—","Direction=H","UseDPDF=Y")</f>
        <v>#NAME?</v>
      </c>
      <c r="AB152" s="1" t="e">
        <f ca="1">_xll.BDH($C$128,"NET_FIXED_ASSETS_1_YEAR_GROWTH","FQ4 2018","FQ4 2018","Currency=INR","Period=FQ","BEST_FPERIOD_OVERRIDE=FQ","FILING_STATUS=OR","EQY_CONSOLIDATED=Y","Sort=A","Dates=H","DateFormat=P","Fill=—","Direction=H","UseDPDF=Y")</f>
        <v>#NAME?</v>
      </c>
      <c r="AC152" s="1" t="e">
        <f ca="1">_xll.BDH($C$128,"ASSET_GROWTH","FQ4 2018","FQ4 2018","Currency=INR","Period=FQ","BEST_FPERIOD_OVERRIDE=FQ","FILING_STATUS=OR","EQY_CONSOLIDATED=Y","Sort=A","Dates=H","DateFormat=P","Fill=—","Direction=H","UseDPDF=Y")</f>
        <v>#NAME?</v>
      </c>
      <c r="AD152" s="1" t="e">
        <f ca="1">_xll.BDH($C$128,"MODIFIED_WORK_CAP_GROWTH","FQ4 2018","FQ4 2018","Currency=INR","Period=FQ","BEST_FPERIOD_OVERRIDE=FQ","FILING_STATUS=OR","EQY_CONSOLIDATED=Y","Sort=A","Dates=H","DateFormat=P","Fill=—","Direction=H","UseDPDF=Y")</f>
        <v>#NAME?</v>
      </c>
      <c r="AE152" s="1" t="e">
        <f ca="1">_xll.BDH($C$128,"WORK_CAP_GROWTH","FQ4 2018","FQ4 2018","Currency=INR","Period=FQ","BEST_FPERIOD_OVERRIDE=FQ","FILING_STATUS=OR","EQY_CONSOLIDATED=Y","Sort=A","Dates=H","DateFormat=P","Fill=—","Direction=H","UseDPDF=Y")</f>
        <v>#NAME?</v>
      </c>
      <c r="AF152" s="1" t="e">
        <f ca="1">_xll.BDH($C$128,"ACCOUNTS_PAYABLE_GROWTH_1YR","FQ4 2018","FQ4 2018","Currency=INR","Period=FQ","BEST_FPERIOD_OVERRIDE=FQ","FILING_STATUS=OR","EQY_CONSOLIDATED=Y","Sort=A","Dates=H","DateFormat=P","Fill=—","Direction=H","UseDPDF=Y")</f>
        <v>#NAME?</v>
      </c>
      <c r="AG152" s="1" t="e">
        <f ca="1">_xll.BDH($C$128,"SHORT_TERM_DEBT_1_YEAR_GROWTH","FQ4 2018","FQ4 2018","Currency=INR","Period=FQ","BEST_FPERIOD_OVERRIDE=FQ","FILING_STATUS=OR","EQY_CONSOLIDATED=Y","Sort=A","Dates=H","DateFormat=P","Fill=—","Direction=H","UseDPDF=Y")</f>
        <v>#NAME?</v>
      </c>
      <c r="AH152" s="1" t="e">
        <f ca="1">_xll.BDH($C$128,"TOTAL_DEBT_1_YEAR_GROWTH","FQ4 2018","FQ4 2018","Currency=INR","Period=FQ","BEST_FPERIOD_OVERRIDE=FQ","FILING_STATUS=OR","EQY_CONSOLIDATED=Y","Sort=A","Dates=H","DateFormat=P","Fill=—","Direction=H","UseDPDF=Y")</f>
        <v>#NAME?</v>
      </c>
      <c r="AI152" s="1" t="e">
        <f ca="1">_xll.BDH($C$128,"TOTAL_EQUITY_1_YEAR_GROWTH","FQ4 2018","FQ4 2018","Currency=INR","Period=FQ","BEST_FPERIOD_OVERRIDE=FQ","FILING_STATUS=OR","EQY_CONSOLIDATED=Y","Sort=A","Dates=H","DateFormat=P","Fill=—","Direction=H","UseDPDF=Y")</f>
        <v>#NAME?</v>
      </c>
      <c r="AJ152" s="1" t="e">
        <f ca="1">_xll.BDH($C$128,"GROWTH_IN_CAP","FQ4 2018","FQ4 2018","Currency=INR","Period=FQ","BEST_FPERIOD_OVERRIDE=FQ","FILING_STATUS=OR","EQY_CONSOLIDATED=Y","Sort=A","Dates=H","DateFormat=P","Fill=—","Direction=H","UseDPDF=Y")</f>
        <v>#NAME?</v>
      </c>
      <c r="AK152" s="1" t="e">
        <f ca="1">_xll.BDH($C$128,"BVPS_GROWTH","FQ4 2018","FQ4 2018","Currency=INR","Period=FQ","BEST_FPERIOD_OVERRIDE=FQ","FILING_STATUS=OR","EQY_CONSOLIDATED=Y","Sort=A","Dates=H","DateFormat=P","Fill=—","Direction=H","UseDPDF=Y")</f>
        <v>#NAME?</v>
      </c>
      <c r="AL152" s="1" t="e">
        <f ca="1">_xll.BDH($C$128,"CASH_FLOW_GROWTH","FQ4 2018","FQ4 2018","Currency=INR","Period=FQ","BEST_FPERIOD_OVERRIDE=FQ","FILING_STATUS=OR","EQY_CONSOLIDATED=Y","Sort=A","Dates=H","DateFormat=P","Fill=—","Direction=H","UseDPDF=Y")</f>
        <v>#NAME?</v>
      </c>
      <c r="AM152" s="1" t="e">
        <f ca="1">_xll.BDH($C$128,"GEO_GROW_NET_SALES","FQ4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52" s="1" t="e">
        <f ca="1">_xll.BDH($C$128,"GEO_GROW_EBITDA","FQ4 2018","FQ4 2018","Currency=INR","Period=FQ","BEST_FPERIOD_OVERRIDE=FQ","FILING_STATUS=OR","EQY_CONSOLIDATED=Y","FA_ADJUSTED=GAAP","Sort=A","Dates=H","DateFormat=P","Fill=—","Direction=H","UseDPDF=Y")</f>
        <v>#NAME?</v>
      </c>
      <c r="AO152" s="1" t="e">
        <f ca="1">_xll.BDH($C$128,"GEO_GROW_OPER_INC","FQ4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52" s="1" t="e">
        <f ca="1">_xll.BDH($C$128,"NET_INCOME_TO_COMMON_5_YR_GROWTH","FQ4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52" s="1" t="e">
        <f ca="1">_xll.BDH($C$128,"5Y_GEO_GROWTH_DILUTED_EPS","FQ4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52" s="1" t="e">
        <f ca="1">_xll.BDH($C$128,"GEO_GROW_DVD_PER_SH","FQ4 2018","FQ4 2018","Currency=INR","Period=FQ","BEST_FPERIOD_OVERRIDE=FQ","FILING_STATUS=OR","EQY_CONSOLIDATED=Y","Sort=A","Dates=H","DateFormat=P","Fill=—","Direction=H","UseDPDF=Y")</f>
        <v>#NAME?</v>
      </c>
      <c r="AS152" s="1" t="e">
        <f ca="1">_xll.BDH($C$128,"ACCOUNTS_RECEIVABLE_5_YR_GROWTH","FQ4 2018","FQ4 2018","Currency=INR","Period=FQ","BEST_FPERIOD_OVERRIDE=FQ","FILING_STATUS=OR","EQY_CONSOLIDATED=Y","Sort=A","Dates=H","DateFormat=P","Fill=—","Direction=H","UseDPDF=Y")</f>
        <v>#NAME?</v>
      </c>
      <c r="AT152" s="1" t="e">
        <f ca="1">_xll.BDH($C$128,"INVENTORY_5_YEAR_GROWTH","FQ4 2018","FQ4 2018","Currency=INR","Period=FQ","BEST_FPERIOD_OVERRIDE=FQ","FILING_STATUS=OR","EQY_CONSOLIDATED=Y","Sort=A","Dates=H","DateFormat=P","Fill=—","Direction=H","UseDPDF=Y")</f>
        <v>#NAME?</v>
      </c>
      <c r="AU152" s="1" t="e">
        <f ca="1">_xll.BDH($C$128,"NET_FIXED_ASSETS_5_YEAR_GROWTH","FQ4 2018","FQ4 2018","Currency=INR","Period=FQ","BEST_FPERIOD_OVERRIDE=FQ","FILING_STATUS=OR","EQY_CONSOLIDATED=Y","Sort=A","Dates=H","DateFormat=P","Fill=—","Direction=H","UseDPDF=Y")</f>
        <v>#NAME?</v>
      </c>
      <c r="AV152" s="1" t="e">
        <f ca="1">_xll.BDH($C$128,"GEO_GROW_TOT_ASSET","FQ4 2018","FQ4 2018","Currency=INR","Period=FQ","BEST_FPERIOD_OVERRIDE=FQ","FILING_STATUS=OR","EQY_CONSOLIDATED=Y","Sort=A","Dates=H","DateFormat=P","Fill=—","Direction=H","UseDPDF=Y")</f>
        <v>#NAME?</v>
      </c>
      <c r="AW152" s="1" t="e">
        <f ca="1">_xll.BDH($C$128,"MODIFIED_WORKING_CPTL_5YR_GRWTH","FQ4 2018","FQ4 2018","Currency=INR","Period=FQ","BEST_FPERIOD_OVERRIDE=FQ","FILING_STATUS=OR","EQY_CONSOLIDATED=Y","Sort=A","Dates=H","DateFormat=P","Fill=—","Direction=H","UseDPDF=Y")</f>
        <v>#NAME?</v>
      </c>
      <c r="AX152" s="1" t="e">
        <f ca="1">_xll.BDH($C$128,"WORKING_CAPITAL_5_YEAR_GROWTH","FQ4 2018","FQ4 2018","Currency=INR","Period=FQ","BEST_FPERIOD_OVERRIDE=FQ","FILING_STATUS=OR","EQY_CONSOLIDATED=Y","Sort=A","Dates=H","DateFormat=P","Fill=—","Direction=H","UseDPDF=Y")</f>
        <v>#NAME?</v>
      </c>
      <c r="AY152" s="1" t="e">
        <f ca="1">_xll.BDH($C$128,"ACCOUNTS_PAYABLE_5_YEAR_GROWTH","FQ4 2018","FQ4 2018","Currency=INR","Period=FQ","BEST_FPERIOD_OVERRIDE=FQ","FILING_STATUS=OR","EQY_CONSOLIDATED=Y","Sort=A","Dates=H","DateFormat=P","Fill=—","Direction=H","UseDPDF=Y")</f>
        <v>#NAME?</v>
      </c>
      <c r="AZ152" s="1" t="e">
        <f ca="1">_xll.BDH($C$128,"SHORT_TERM_DEBT_5_YEAR_GROWTH","FQ4 2018","FQ4 2018","Currency=INR","Period=FQ","BEST_FPERIOD_OVERRIDE=FQ","FILING_STATUS=OR","EQY_CONSOLIDATED=Y","Sort=A","Dates=H","DateFormat=P","Fill=—","Direction=H","UseDPDF=Y")</f>
        <v>#NAME?</v>
      </c>
      <c r="BA152" s="1" t="e">
        <f ca="1">_xll.BDH($C$128,"TOTAL_DEBT_5_YEAR_GROWTH","FQ4 2018","FQ4 2018","Currency=INR","Period=FQ","BEST_FPERIOD_OVERRIDE=FQ","FILING_STATUS=OR","EQY_CONSOLIDATED=Y","Sort=A","Dates=H","DateFormat=P","Fill=—","Direction=H","UseDPDF=Y")</f>
        <v>#NAME?</v>
      </c>
      <c r="BB152" s="1" t="e">
        <f ca="1">_xll.BDH($C$128,"GEO_GROW_TOT_SHRHLDR_EQY","FQ4 2018","FQ4 2018","Currency=INR","Period=FQ","BEST_FPERIOD_OVERRIDE=FQ","FILING_STATUS=OR","EQY_CONSOLIDATED=Y","Sort=A","Dates=H","DateFormat=P","Fill=—","Direction=H","UseDPDF=Y")</f>
        <v>#NAME?</v>
      </c>
      <c r="BC152" s="1" t="e">
        <f ca="1">_xll.BDH($C$128,"TOTAL_CAPITAL_5_YEAR_GROWTH","FQ4 2018","FQ4 2018","Currency=INR","Period=FQ","BEST_FPERIOD_OVERRIDE=FQ","FILING_STATUS=OR","EQY_CONSOLIDATED=Y","Sort=A","Dates=H","DateFormat=P","Fill=—","Direction=H","UseDPDF=Y")</f>
        <v>#NAME?</v>
      </c>
      <c r="BD152" s="1" t="e">
        <f ca="1">_xll.BDH($C$128,"GEO_GROW_BOOK_VAL","FQ4 2018","FQ4 2018","Currency=INR","Period=FQ","BEST_FPERIOD_OVERRIDE=FQ","FILING_STATUS=OR","EQY_CONSOLIDATED=Y","Sort=A","Dates=H","DateFormat=P","Fill=—","Direction=H","UseDPDF=Y")</f>
        <v>#NAME?</v>
      </c>
      <c r="BE152" s="1" t="e">
        <f ca="1">_xll.BDH($C$128,"GEO_GROW_CASH_OPER_ACT","FQ4 2018","FQ4 2018","Currency=INR","Period=FQ","BEST_FPERIOD_OVERRIDE=FQ","FILING_STATUS=OR","EQY_CONSOLIDATED=Y","Sort=A","Dates=H","DateFormat=P","Fill=—","Direction=H","UseDPDF=Y")</f>
        <v>#NAME?</v>
      </c>
      <c r="BF152" s="1" t="e">
        <f ca="1">_xll.BDH($C$128,"REVENUE_SEQUENTIAL_GROWTH","FQ4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52" s="1" t="e">
        <f ca="1">_xll.BDH($C$128,"EBITDA_SEQUENTIAL_GROWTH","FQ4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52" s="1" t="e">
        <f ca="1">_xll.BDH($C$128,"OPERATING_INCOME_SEQ_GROWTH","FQ4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52" s="1" t="e">
        <f ca="1">_xll.BDH($C$128,"NET_INCOME_TO_COMMON_SEQ_GROWTH","FQ4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52" s="1" t="e">
        <f ca="1">_xll.BDH($C$128,"EPS_DILUTED_SEQUENTIAL_GROWTH","FQ4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52" s="1" t="e">
        <f ca="1">_xll.BDH($C$128,"DPS_SEQUENTIAL_GROWTH","FQ4 2018","FQ4 2018","Currency=INR","Period=FQ","BEST_FPERIOD_OVERRIDE=FQ","FILING_STATUS=OR","EQY_CONSOLIDATED=Y","Sort=A","Dates=H","DateFormat=P","Fill=—","Direction=H","UseDPDF=Y")</f>
        <v>#NAME?</v>
      </c>
      <c r="BL152" s="1" t="e">
        <f ca="1">_xll.BDH($C$128,"ACCOUNTS_RECEIVABLE_SEQ_GROWTH","FQ4 2018","FQ4 2018","Currency=INR","Period=FQ","BEST_FPERIOD_OVERRIDE=FQ","FILING_STATUS=OR","EQY_CONSOLIDATED=Y","Sort=A","Dates=H","DateFormat=P","Fill=—","Direction=H","UseDPDF=Y")</f>
        <v>#NAME?</v>
      </c>
      <c r="BM152" s="1" t="e">
        <f ca="1">_xll.BDH($C$128,"INVENTORY_SEQUENTIAL_GROWTH","FQ4 2018","FQ4 2018","Currency=INR","Period=FQ","BEST_FPERIOD_OVERRIDE=FQ","FILING_STATUS=OR","EQY_CONSOLIDATED=Y","Sort=A","Dates=H","DateFormat=P","Fill=—","Direction=H","UseDPDF=Y")</f>
        <v>#NAME?</v>
      </c>
      <c r="BN152" s="1" t="e">
        <f ca="1">_xll.BDH($C$128,"FIXED_ASSETS_SEQUENTIAL_GROWTH","FQ4 2018","FQ4 2018","Currency=INR","Period=FQ","BEST_FPERIOD_OVERRIDE=FQ","FILING_STATUS=OR","EQY_CONSOLIDATED=Y","Sort=A","Dates=H","DateFormat=P","Fill=—","Direction=H","UseDPDF=Y")</f>
        <v>#NAME?</v>
      </c>
      <c r="BO152" s="1" t="e">
        <f ca="1">_xll.BDH($C$128,"TOTAL_ASSETS_SEQUENTIAL_GROWTH","FQ4 2018","FQ4 2018","Currency=INR","Period=FQ","BEST_FPERIOD_OVERRIDE=FQ","FILING_STATUS=OR","EQY_CONSOLIDATED=Y","Sort=A","Dates=H","DateFormat=P","Fill=—","Direction=H","UseDPDF=Y")</f>
        <v>#NAME?</v>
      </c>
      <c r="BP152" s="1" t="e">
        <f ca="1">_xll.BDH($C$128,"MODIFIED_WORKING_CPTL_SEQ_GRWTH","FQ4 2018","FQ4 2018","Currency=INR","Period=FQ","BEST_FPERIOD_OVERRIDE=FQ","FILING_STATUS=OR","EQY_CONSOLIDATED=Y","Sort=A","Dates=H","DateFormat=P","Fill=—","Direction=H","UseDPDF=Y")</f>
        <v>#NAME?</v>
      </c>
      <c r="BQ152" s="1" t="e">
        <f ca="1">_xll.BDH($C$128,"WORKING_CAPITAL_SEQ_GROWTH","FQ4 2018","FQ4 2018","Currency=INR","Period=FQ","BEST_FPERIOD_OVERRIDE=FQ","FILING_STATUS=OR","EQY_CONSOLIDATED=Y","Sort=A","Dates=H","DateFormat=P","Fill=—","Direction=H","UseDPDF=Y")</f>
        <v>#NAME?</v>
      </c>
      <c r="BR152" s="1" t="e">
        <f ca="1">_xll.BDH($C$128,"ACCOUNTS_PAYABLE_SEQ_GROWTH","FQ4 2018","FQ4 2018","Currency=INR","Period=FQ","BEST_FPERIOD_OVERRIDE=FQ","FILING_STATUS=OR","EQY_CONSOLIDATED=Y","Sort=A","Dates=H","DateFormat=P","Fill=—","Direction=H","UseDPDF=Y")</f>
        <v>#NAME?</v>
      </c>
      <c r="BS152" s="1" t="e">
        <f ca="1">_xll.BDH($C$128,"ST_DEBT_SEQUENTIAL_GROWTH","FQ4 2018","FQ4 2018","Currency=INR","Period=FQ","BEST_FPERIOD_OVERRIDE=FQ","FILING_STATUS=OR","EQY_CONSOLIDATED=Y","Sort=A","Dates=H","DateFormat=P","Fill=—","Direction=H","UseDPDF=Y")</f>
        <v>#NAME?</v>
      </c>
      <c r="BT152" s="1" t="e">
        <f ca="1">_xll.BDH($C$128,"TOTAL_DEBT_SEQUENTIAL_GROWTH","FQ4 2018","FQ4 2018","Currency=INR","Period=FQ","BEST_FPERIOD_OVERRIDE=FQ","FILING_STATUS=OR","EQY_CONSOLIDATED=Y","Sort=A","Dates=H","DateFormat=P","Fill=—","Direction=H","UseDPDF=Y")</f>
        <v>#NAME?</v>
      </c>
      <c r="BU152" s="1" t="e">
        <f ca="1">_xll.BDH($C$128,"TOTAL_EQUITY_SEQUENTIAL_GROWTH","FQ4 2018","FQ4 2018","Currency=INR","Period=FQ","BEST_FPERIOD_OVERRIDE=FQ","FILING_STATUS=OR","EQY_CONSOLIDATED=Y","Sort=A","Dates=H","DateFormat=P","Fill=—","Direction=H","UseDPDF=Y")</f>
        <v>#NAME?</v>
      </c>
      <c r="BV152" s="1" t="e">
        <f ca="1">_xll.BDH($C$128,"TOTAL_CAPITAL_SEQUENTIAL_GROWTH","FQ4 2018","FQ4 2018","Currency=INR","Period=FQ","BEST_FPERIOD_OVERRIDE=FQ","FILING_STATUS=OR","EQY_CONSOLIDATED=Y","Sort=A","Dates=H","DateFormat=P","Fill=—","Direction=H","UseDPDF=Y")</f>
        <v>#NAME?</v>
      </c>
      <c r="BW152" s="1" t="e">
        <f ca="1">_xll.BDH($C$128,"BPS_SEQUENTIAL_GROWTH","FQ4 2018","FQ4 2018","Currency=INR","Period=FQ","BEST_FPERIOD_OVERRIDE=FQ","FILING_STATUS=OR","EQY_CONSOLIDATED=Y","Sort=A","Dates=H","DateFormat=P","Fill=—","Direction=H","UseDPDF=Y")</f>
        <v>#NAME?</v>
      </c>
      <c r="BX152" s="1" t="e">
        <f ca="1">_xll.BDH($C$128,"CFO_SEQUENTIAL_GROWTH","FQ4 2018","FQ4 2018","Currency=INR","Period=FQ","BEST_FPERIOD_OVERRIDE=FQ","FILING_STATUS=OR","EQY_CONSOLIDATED=Y","Sort=A","Dates=H","DateFormat=P","Fill=—","Direction=H","UseDPDF=Y")</f>
        <v>#NAME?</v>
      </c>
      <c r="BY152" s="2" t="e">
        <f ca="1">_xll.BDH($C$128,"SHORT_AND_LONG_TERM_DEBT","FQ4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52" s="2" t="e">
        <f ca="1">_xll.BDH($C$128,"BS_ST_BORROW","FQ4 2018","FQ4 2018","Currency=INR","Period=FQ","BEST_FPERIOD_OVERRIDE=FQ","FILING_STATUS=OR","EQY_CONSOLIDATED=Y","SCALING_FORMAT=MLN","Sort=A","Dates=H","DateFormat=P","Fill=—","Direction=H","UseDPDF=Y")</f>
        <v>#NAME?</v>
      </c>
      <c r="CA152" s="2" t="e">
        <f ca="1">_xll.BDH($C$128,"BS_LT_BORROW","FQ4 2018","FQ4 2018","Currency=INR","Period=FQ","BEST_FPERIOD_OVERRIDE=FQ","FILING_STATUS=OR","EQY_CONSOLIDATED=Y","SCALING_FORMAT=MLN","Sort=A","Dates=H","DateFormat=P","Fill=—","Direction=H","UseDPDF=Y")</f>
        <v>#NAME?</v>
      </c>
      <c r="CB152" s="1" t="e">
        <f ca="1">_xll.BDH($C$128,"TOT_DEBT_TO_EBITDA","FQ4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52" s="1" t="e">
        <f ca="1">_xll.BDH($C$128,"NET_DEBT_TO_EBITDA","FQ4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52" s="1" t="e">
        <f ca="1">_xll.BDH($C$128,"TOTAL_DEBT_TO_EBIT","FQ4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52" s="1" t="e">
        <f ca="1">_xll.BDH($C$128,"NET_DEBT_TO_EBIT","FQ4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152" s="1" t="e">
        <f ca="1">_xll.BDH($C$128,"EBITDA_TO_INTEREST_EXPN","FQ4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52" s="1" t="e">
        <f ca="1">_xll.BDH($C$128,"COM_EQY_TO_TOT_ASSET","FQ4 2018","FQ4 2018","Currency=INR","Period=FQ","BEST_FPERIOD_OVERRIDE=FQ","FILING_STATUS=OR","EQY_CONSOLIDATED=Y","Sort=A","Dates=H","DateFormat=P","Fill=—","Direction=H","UseDPDF=Y")</f>
        <v>#NAME?</v>
      </c>
      <c r="CH152" s="1" t="e">
        <f ca="1">_xll.BDH($C$128,"LT_DEBT_TO_TOT_EQY","FQ4 2018","FQ4 2018","Currency=INR","Period=FQ","BEST_FPERIOD_OVERRIDE=FQ","FILING_STATUS=OR","EQY_CONSOLIDATED=Y","Sort=A","Dates=H","DateFormat=P","Fill=—","Direction=H","UseDPDF=Y")</f>
        <v>#NAME?</v>
      </c>
      <c r="CI152" s="1" t="e">
        <f ca="1">_xll.BDH($C$128,"LT_DEBT_TO_TOT_CAP","FQ4 2018","FQ4 2018","Currency=INR","Period=FQ","BEST_FPERIOD_OVERRIDE=FQ","FILING_STATUS=OR","EQY_CONSOLIDATED=Y","Sort=A","Dates=H","DateFormat=P","Fill=—","Direction=H","UseDPDF=Y")</f>
        <v>#NAME?</v>
      </c>
      <c r="CJ152" s="1" t="e">
        <f ca="1">_xll.BDH($C$128,"LT_DEBT_TO_TOT_ASSET","FQ4 2018","FQ4 2018","Currency=INR","Period=FQ","BEST_FPERIOD_OVERRIDE=FQ","FILING_STATUS=OR","EQY_CONSOLIDATED=Y","Sort=A","Dates=H","DateFormat=P","Fill=—","Direction=H","UseDPDF=Y")</f>
        <v>#NAME?</v>
      </c>
      <c r="CK152" s="1" t="e">
        <f ca="1">_xll.BDH($C$128,"TOT_DEBT_TO_TOT_EQY","FQ4 2018","FQ4 2018","Currency=INR","Period=FQ","BEST_FPERIOD_OVERRIDE=FQ","FILING_STATUS=OR","EQY_CONSOLIDATED=Y","Sort=A","Dates=H","DateFormat=P","Fill=—","Direction=H","UseDPDF=Y")</f>
        <v>#NAME?</v>
      </c>
      <c r="CL152" s="1" t="e">
        <f ca="1">_xll.BDH($C$128,"TOT_DEBT_TO_TOT_CAP","FQ4 2018","FQ4 2018","Currency=INR","Period=FQ","BEST_FPERIOD_OVERRIDE=FQ","FILING_STATUS=OR","EQY_CONSOLIDATED=Y","Sort=A","Dates=H","DateFormat=P","Fill=—","Direction=H","UseDPDF=Y")</f>
        <v>#NAME?</v>
      </c>
      <c r="CM152" s="1" t="e">
        <f ca="1">_xll.BDH($C$128,"TOT_DEBT_TO_TOT_ASSET","FQ4 2018","FQ4 2018","Currency=INR","Period=FQ","BEST_FPERIOD_OVERRIDE=FQ","FILING_STATUS=OR","EQY_CONSOLIDATED=Y","Sort=A","Dates=H","DateFormat=P","Fill=—","Direction=H","UseDPDF=Y")</f>
        <v>#NAME?</v>
      </c>
      <c r="CN152" s="1" t="e">
        <f ca="1">_xll.BDH($C$128,"NET_DEBT_TO_SHRHLDR_EQTY","FQ4 2018","FQ4 2018","Currency=INR","Period=FQ","BEST_FPERIOD_OVERRIDE=FQ","FILING_STATUS=OR","EQY_CONSOLIDATED=Y","Sort=A","Dates=H","DateFormat=P","Fill=—","Direction=H","UseDPDF=Y")</f>
        <v>#NAME?</v>
      </c>
      <c r="CO152" s="1" t="e">
        <f ca="1">_xll.BDH($C$128,"NET_DEBT_%_CAPITAL","FQ4 2018","FQ4 2018","Currency=INR","Period=FQ","BEST_FPERIOD_OVERRIDE=FQ","FILING_STATUS=OR","EQY_CONSOLIDATED=Y","Sort=A","Dates=H","DateFormat=P","Fill=—","Direction=H","UseDPDF=Y")</f>
        <v>#NAME?</v>
      </c>
      <c r="CP152" s="2" t="e">
        <f ca="1">_xll.BDH($C$128,"EBITDA","FQ4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52" s="2" t="e">
        <f ca="1">_xll.BDH($C$128,"EBITDA_AFTER_CAPEX","FQ4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52" s="2" t="e">
        <f ca="1">_xll.BDH($C$128,"IS_OPER_INC","FQ4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52" s="1" t="e">
        <f ca="1">_xll.BDH($C$128,"CASH_RATIO","FQ4 2018","FQ4 2018","Currency=INR","Period=FQ","BEST_FPERIOD_OVERRIDE=FQ","FILING_STATUS=OR","EQY_CONSOLIDATED=Y","Sort=A","Dates=H","DateFormat=P","Fill=—","Direction=H","UseDPDF=Y")</f>
        <v>#NAME?</v>
      </c>
      <c r="CT152" s="1" t="e">
        <f ca="1">_xll.BDH($C$128,"CUR_RATIO","FQ4 2018","FQ4 2018","Currency=INR","Period=FQ","BEST_FPERIOD_OVERRIDE=FQ","FILING_STATUS=OR","EQY_CONSOLIDATED=Y","Sort=A","Dates=H","DateFormat=P","Fill=—","Direction=H","UseDPDF=Y")</f>
        <v>#NAME?</v>
      </c>
      <c r="CU152" s="1" t="e">
        <f ca="1">_xll.BDH($C$128,"QUICK_RATIO","FQ4 2018","FQ4 2018","Currency=INR","Period=FQ","BEST_FPERIOD_OVERRIDE=FQ","FILING_STATUS=OR","EQY_CONSOLIDATED=Y","Sort=A","Dates=H","DateFormat=P","Fill=—","Direction=H","UseDPDF=Y")</f>
        <v>#NAME?</v>
      </c>
      <c r="CV152" s="1" t="e">
        <f ca="1">_xll.BDH($C$128,"ALTMAN_Z_SCORE","FQ4 2018","FQ4 2018","Currency=INR","Period=FQ","BEST_FPERIOD_OVERRIDE=FQ","FILING_STATUS=OR","EQY_CONSOLIDATED=Y","Sort=A","Dates=H","DateFormat=P","Fill=—","Direction=H","UseDPDF=Y")</f>
        <v>#NAME?</v>
      </c>
      <c r="CW152" s="3" t="e">
        <f ca="1">_xll.BDH($C$128,"ACCT_RCV_TURN","FQ4 2018","FQ4 2018","Currency=INR","Period=FQ","BEST_FPERIOD_OVERRIDE=FQ","FILING_STATUS=OR","EQY_CONSOLIDATED=Y","FA_ADJUSTED=GAAP","Sort=A","Dates=H","DateFormat=P","Fill=—","Direction=H","UseDPDF=Y")</f>
        <v>#NAME?</v>
      </c>
      <c r="CX152" s="1" t="e">
        <f ca="1">_xll.BDH($C$128,"ACCT_RCV_DAYS","FQ4 2018","FQ4 2018","Currency=INR","Period=FQ","BEST_FPERIOD_OVERRIDE=FQ","FILING_STATUS=OR","EQY_CONSOLIDATED=Y","FA_ADJUSTED=GAAP","Sort=A","Dates=H","DateFormat=P","Fill=—","Direction=H","UseDPDF=Y")</f>
        <v>#NAME?</v>
      </c>
      <c r="CY152" s="3" t="e">
        <f ca="1">_xll.BDH($C$128,"INVENT_TURN","FQ4 2018","FQ4 2018","Currency=INR","Period=FQ","BEST_FPERIOD_OVERRIDE=FQ","FILING_STATUS=OR","EQY_CONSOLIDATED=Y","FA_ADJUSTED=GAAP","Sort=A","Dates=H","DateFormat=P","Fill=—","Direction=H","UseDPDF=Y")</f>
        <v>#NAME?</v>
      </c>
      <c r="CZ152" s="1" t="e">
        <f ca="1">_xll.BDH($C$128,"INVENT_DAYS","FQ4 2018","FQ4 2018","Currency=INR","Period=FQ","BEST_FPERIOD_OVERRIDE=FQ","FILING_STATUS=OR","EQY_CONSOLIDATED=Y","FA_ADJUSTED=GAAP","Sort=A","Dates=H","DateFormat=P","Fill=—","Direction=H","UseDPDF=Y")</f>
        <v>#NAME?</v>
      </c>
      <c r="DA152" s="3" t="e">
        <f ca="1">_xll.BDH($C$128,"ACCOUNTS_PAYABLE_TURNOVER","FQ4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52" s="1" t="e">
        <f ca="1">_xll.BDH($C$128,"ACCOUNTS_PAYABLE_TURNOVER_DAYS","FQ4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52" s="3" t="e">
        <f ca="1">_xll.BDH($C$128,"CASH_CONVERSION_CYCLE","FQ4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52" s="3" t="e">
        <f ca="1">_xll.BDH($C$128,"INV_TO_CASH_DAYS","FQ4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152" s="4" t="e">
        <f ca="1">_xll.BDH($C$128,"BS_INVENTORIES","FQ4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152" s="2" t="e">
        <f ca="1">_xll.BDH($C$128,"INVTRY_RAW_MATERIALS","FQ4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52" s="2" t="e">
        <f ca="1">_xll.BDH($C$128,"INVTRY_IN_PROGRESS","FQ4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52" s="2" t="e">
        <f ca="1">_xll.BDH($C$128,"INVTRY_FINISHED_GOODS","FQ4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52" s="2" t="e">
        <f ca="1">_xll.BDH($C$128,"BS_OTHER_INV","FQ4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53" spans="1:113" x14ac:dyDescent="0.3">
      <c r="A153" s="6">
        <v>57</v>
      </c>
      <c r="B153" s="6" t="s">
        <v>22</v>
      </c>
      <c r="C153" s="6" t="s">
        <v>23</v>
      </c>
      <c r="D153" s="6" t="s">
        <v>2</v>
      </c>
      <c r="E153" t="s">
        <v>3</v>
      </c>
      <c r="F153" t="e">
        <f ca="1">_xll.BDH($C$153,"RETURN_COM_EQY","FY 2014","FY 2014","Currency=INR","Period=FY","BEST_FPERIOD_OVERRIDE=FY","FILING_STATUS=OR","EQY_CONSOLIDATED=Y","FA_ADJUSTED=GAAP","Sort=A","Dates=H","DateFormat=P","Fill=—","Direction=H","UseDPDF=Y")</f>
        <v>#NAME?</v>
      </c>
      <c r="G153" t="e">
        <f ca="1">_xll.BDH($C$153,"RETURN_ON_ASSET","FY 2014","FY 2014","Currency=INR","Period=FY","BEST_FPERIOD_OVERRIDE=FY","FILING_STATUS=OR","EQY_CONSOLIDATED=Y","FA_ADJUSTED=GAAP","Sort=A","Dates=H","DateFormat=P","Fill=—","Direction=H","UseDPDF=Y")</f>
        <v>#NAME?</v>
      </c>
      <c r="H153" t="e">
        <f ca="1">_xll.BDH($C$153,"RETURN_ON_CAP","FY 2014","FY 2014","Currency=INR","Period=FY","BEST_FPERIOD_OVERRIDE=FY","FILING_STATUS=OR","EQY_CONSOLIDATED=Y","FA_ADJUSTED=GAAP","Sort=A","Dates=H","DateFormat=P","Fill=—","Direction=H","UseDPDF=Y")</f>
        <v>#NAME?</v>
      </c>
      <c r="I153" t="e">
        <f ca="1">_xll.BDH($C$153,"RETURN_ON_INV_CAPITAL","FY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53" t="e">
        <f ca="1">_xll.BDH($C$153,"EBITDA_TO_REVENUE","FY 2014","FY 2014","Currency=INR","Period=FY","BEST_FPERIOD_OVERRIDE=FY","FILING_STATUS=OR","EQY_CONSOLIDATED=Y","FA_ADJUSTED=GAAP","Sort=A","Dates=H","DateFormat=P","Fill=—","Direction=H","UseDPDF=Y")</f>
        <v>#NAME?</v>
      </c>
      <c r="K153" t="e">
        <f ca="1">_xll.BDH($C$153,"OPER_MARGIN","FY 2014","FY 2014","Currency=INR","Period=FY","BEST_FPERIOD_OVERRIDE=FY","FILING_STATUS=OR","EQY_CONSOLIDATED=Y","FA_ADJUSTED=GAAP","Sort=A","Dates=H","DateFormat=P","Fill=—","Direction=H","UseDPDF=Y")</f>
        <v>#NAME?</v>
      </c>
      <c r="L153" t="e">
        <f ca="1">_xll.BDH($C$153,"INCREMENTAL_OPERATING_MARGIN","FY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53" t="e">
        <f ca="1">_xll.BDH($C$153,"PRETAX_INC_TO_NET_SALES","FY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53" t="e">
        <f ca="1">_xll.BDH($C$153,"INC_BEF_XO_ITEMS_TO_NET_SALES","FY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53" t="e">
        <f ca="1">_xll.BDH($C$153,"PROF_MARGIN","FY 2014","FY 2014","Currency=INR","Period=FY","BEST_FPERIOD_OVERRIDE=FY","FILING_STATUS=OR","EQY_CONSOLIDATED=Y","FA_ADJUSTED=GAAP","Sort=A","Dates=H","DateFormat=P","Fill=—","Direction=H","UseDPDF=Y")</f>
        <v>#NAME?</v>
      </c>
      <c r="P153" t="e">
        <f ca="1">_xll.BDH($C$153,"NET_INCOME_TO_COMMON_MARGIN","FY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53" t="e">
        <f ca="1">_xll.BDH($C$153,"EFF_TAX_RATE","FY 2014","FY 2014","Currency=INR","Period=FY","BEST_FPERIOD_OVERRIDE=FY","FILING_STATUS=OR","EQY_CONSOLIDATED=Y","FA_ADJUSTED=GAAP","Sort=A","Dates=H","DateFormat=P","Fill=—","Direction=H","UseDPDF=Y")</f>
        <v>#NAME?</v>
      </c>
      <c r="R153" t="e">
        <f ca="1">_xll.BDH($C$153,"DVD_PAYOUT_RATIO","FY 2014","FY 2014","Currency=INR","Period=FY","BEST_FPERIOD_OVERRIDE=FY","FILING_STATUS=OR","EQY_CONSOLIDATED=Y","FA_ADJUSTED=GAAP","Sort=A","Dates=H","DateFormat=P","Fill=—","Direction=H","UseDPDF=Y")</f>
        <v>#NAME?</v>
      </c>
      <c r="S153" t="e">
        <f ca="1">_xll.BDH($C$153,"SUSTAIN_GROWTH_RT","FY 2014","FY 2014","Currency=INR","Period=FY","BEST_FPERIOD_OVERRIDE=FY","FILING_STATUS=OR","EQY_CONSOLIDATED=Y","FA_ADJUSTED=GAAP","Sort=A","Dates=H","DateFormat=P","Fill=—","Direction=H","UseDPDF=Y")</f>
        <v>#NAME?</v>
      </c>
      <c r="T153" s="1" t="e">
        <f ca="1">_xll.BDH($C$153,"SALES_GROWTH","FY 2014","FY 2014","Currency=INR","Period=FY","BEST_FPERIOD_OVERRIDE=FY","FILING_STATUS=OR","EQY_CONSOLIDATED=Y","FA_ADJUSTED=GAAP","Sort=A","Dates=H","DateFormat=P","Fill=—","Direction=H","UseDPDF=Y")</f>
        <v>#NAME?</v>
      </c>
      <c r="U153" s="1" t="e">
        <f ca="1">_xll.BDH($C$153,"EBITDA_GROWTH","FY 2014","FY 2014","Currency=INR","Period=FY","BEST_FPERIOD_OVERRIDE=FY","FILING_STATUS=OR","EQY_CONSOLIDATED=Y","FA_ADJUSTED=GAAP","Sort=A","Dates=H","DateFormat=P","Fill=—","Direction=H","UseDPDF=Y")</f>
        <v>#NAME?</v>
      </c>
      <c r="V153" s="1" t="e">
        <f ca="1">_xll.BDH($C$153,"OPER_INC_GROWTH","FY 2014","FY 2014","Currency=INR","Period=FY","BEST_FPERIOD_OVERRIDE=FY","FILING_STATUS=OR","EQY_CONSOLIDATED=Y","FA_ADJUSTED=GAAP","Sort=A","Dates=H","DateFormat=P","Fill=—","Direction=H","UseDPDF=Y")</f>
        <v>#NAME?</v>
      </c>
      <c r="W153" s="1" t="e">
        <f ca="1">_xll.BDH($C$153,"EARN_FOR_COM_GROWTH","FY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153" s="1" t="e">
        <f ca="1">_xll.BDH($C$153,"DILUTED_EPS_AFT_XO_ITEMS_GROWTH","FY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53" s="1" t="e">
        <f ca="1">_xll.BDH($C$153,"DIVIDEND_PER_SHARE_1_YEAR_GROWTH","FY 2014","FY 2014","Currency=INR","Period=FY","BEST_FPERIOD_OVERRIDE=FY","FILING_STATUS=OR","EQY_CONSOLIDATED=Y","Sort=A","Dates=H","DateFormat=P","Fill=—","Direction=H","UseDPDF=Y")</f>
        <v>#NAME?</v>
      </c>
      <c r="Z153" s="1" t="e">
        <f ca="1">_xll.BDH($C$153,"ACCOUNTS_RECEIVABLE_GROWTH","FY 2014","FY 2014","Currency=INR","Period=FY","BEST_FPERIOD_OVERRIDE=FY","FILING_STATUS=OR","EQY_CONSOLIDATED=Y","Sort=A","Dates=H","DateFormat=P","Fill=—","Direction=H","UseDPDF=Y")</f>
        <v>#NAME?</v>
      </c>
      <c r="AA153" s="1" t="e">
        <f ca="1">_xll.BDH($C$153,"INVENTORY_GROWTH","FY 2014","FY 2014","Currency=INR","Period=FY","BEST_FPERIOD_OVERRIDE=FY","FILING_STATUS=OR","EQY_CONSOLIDATED=Y","Sort=A","Dates=H","DateFormat=P","Fill=—","Direction=H","UseDPDF=Y")</f>
        <v>#NAME?</v>
      </c>
      <c r="AB153" s="1" t="e">
        <f ca="1">_xll.BDH($C$153,"NET_FIXED_ASSETS_1_YEAR_GROWTH","FY 2014","FY 2014","Currency=INR","Period=FY","BEST_FPERIOD_OVERRIDE=FY","FILING_STATUS=OR","EQY_CONSOLIDATED=Y","Sort=A","Dates=H","DateFormat=P","Fill=—","Direction=H","UseDPDF=Y")</f>
        <v>#NAME?</v>
      </c>
      <c r="AC153" s="1" t="e">
        <f ca="1">_xll.BDH($C$153,"ASSET_GROWTH","FY 2014","FY 2014","Currency=INR","Period=FY","BEST_FPERIOD_OVERRIDE=FY","FILING_STATUS=OR","EQY_CONSOLIDATED=Y","Sort=A","Dates=H","DateFormat=P","Fill=—","Direction=H","UseDPDF=Y")</f>
        <v>#NAME?</v>
      </c>
      <c r="AD153" s="1" t="e">
        <f ca="1">_xll.BDH($C$153,"MODIFIED_WORK_CAP_GROWTH","FY 2014","FY 2014","Currency=INR","Period=FY","BEST_FPERIOD_OVERRIDE=FY","FILING_STATUS=OR","EQY_CONSOLIDATED=Y","Sort=A","Dates=H","DateFormat=P","Fill=—","Direction=H","UseDPDF=Y")</f>
        <v>#NAME?</v>
      </c>
      <c r="AE153" s="1" t="e">
        <f ca="1">_xll.BDH($C$153,"WORK_CAP_GROWTH","FY 2014","FY 2014","Currency=INR","Period=FY","BEST_FPERIOD_OVERRIDE=FY","FILING_STATUS=OR","EQY_CONSOLIDATED=Y","Sort=A","Dates=H","DateFormat=P","Fill=—","Direction=H","UseDPDF=Y")</f>
        <v>#NAME?</v>
      </c>
      <c r="AF153" s="1" t="e">
        <f ca="1">_xll.BDH($C$153,"ACCOUNTS_PAYABLE_GROWTH_1YR","FY 2014","FY 2014","Currency=INR","Period=FY","BEST_FPERIOD_OVERRIDE=FY","FILING_STATUS=OR","EQY_CONSOLIDATED=Y","Sort=A","Dates=H","DateFormat=P","Fill=—","Direction=H","UseDPDF=Y")</f>
        <v>#NAME?</v>
      </c>
      <c r="AG153" s="1" t="e">
        <f ca="1">_xll.BDH($C$153,"SHORT_TERM_DEBT_1_YEAR_GROWTH","FY 2014","FY 2014","Currency=INR","Period=FY","BEST_FPERIOD_OVERRIDE=FY","FILING_STATUS=OR","EQY_CONSOLIDATED=Y","Sort=A","Dates=H","DateFormat=P","Fill=—","Direction=H","UseDPDF=Y")</f>
        <v>#NAME?</v>
      </c>
      <c r="AH153" s="1" t="e">
        <f ca="1">_xll.BDH($C$153,"TOTAL_DEBT_1_YEAR_GROWTH","FY 2014","FY 2014","Currency=INR","Period=FY","BEST_FPERIOD_OVERRIDE=FY","FILING_STATUS=OR","EQY_CONSOLIDATED=Y","Sort=A","Dates=H","DateFormat=P","Fill=—","Direction=H","UseDPDF=Y")</f>
        <v>#NAME?</v>
      </c>
      <c r="AI153" s="1" t="e">
        <f ca="1">_xll.BDH($C$153,"TOTAL_EQUITY_1_YEAR_GROWTH","FY 2014","FY 2014","Currency=INR","Period=FY","BEST_FPERIOD_OVERRIDE=FY","FILING_STATUS=OR","EQY_CONSOLIDATED=Y","Sort=A","Dates=H","DateFormat=P","Fill=—","Direction=H","UseDPDF=Y")</f>
        <v>#NAME?</v>
      </c>
      <c r="AJ153" s="1" t="e">
        <f ca="1">_xll.BDH($C$153,"GROWTH_IN_CAP","FY 2014","FY 2014","Currency=INR","Period=FY","BEST_FPERIOD_OVERRIDE=FY","FILING_STATUS=OR","EQY_CONSOLIDATED=Y","Sort=A","Dates=H","DateFormat=P","Fill=—","Direction=H","UseDPDF=Y")</f>
        <v>#NAME?</v>
      </c>
      <c r="AK153" s="1" t="e">
        <f ca="1">_xll.BDH($C$153,"BVPS_GROWTH","FY 2014","FY 2014","Currency=INR","Period=FY","BEST_FPERIOD_OVERRIDE=FY","FILING_STATUS=OR","EQY_CONSOLIDATED=Y","Sort=A","Dates=H","DateFormat=P","Fill=—","Direction=H","UseDPDF=Y")</f>
        <v>#NAME?</v>
      </c>
      <c r="AL153" s="1" t="e">
        <f ca="1">_xll.BDH($C$153,"CASH_FLOW_GROWTH","FY 2014","FY 2014","Currency=INR","Period=FY","BEST_FPERIOD_OVERRIDE=FY","FILING_STATUS=OR","EQY_CONSOLIDATED=Y","Sort=A","Dates=H","DateFormat=P","Fill=—","Direction=H","UseDPDF=Y")</f>
        <v>#NAME?</v>
      </c>
      <c r="AM153" s="1" t="e">
        <f ca="1">_xll.BDH($C$153,"GEO_GROW_NET_SALES","FY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153" s="1" t="e">
        <f ca="1">_xll.BDH($C$153,"GEO_GROW_EBITDA","FY 2014","FY 2014","Currency=INR","Period=FY","BEST_FPERIOD_OVERRIDE=FY","FILING_STATUS=OR","EQY_CONSOLIDATED=Y","FA_ADJUSTED=GAAP","Sort=A","Dates=H","DateFormat=P","Fill=—","Direction=H","UseDPDF=Y")</f>
        <v>#NAME?</v>
      </c>
      <c r="AO153" s="1" t="e">
        <f ca="1">_xll.BDH($C$153,"GEO_GROW_OPER_INC","FY 2014","FY 2014","Currency=INR","Period=FY","BEST_FPERIOD_OVERRIDE=FY","FILING_STATUS=OR","EQY_CONSOLIDATED=Y","FA_ADJUSTED=GAAP","Sort=A","Dates=H","DateFormat=P","Fill=—","Direction=H","UseDPDF=Y")</f>
        <v>#NAME?</v>
      </c>
      <c r="AP153" s="1" t="e">
        <f ca="1">_xll.BDH($C$153,"NET_INCOME_TO_COMMON_5_YR_GROWTH","FY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53" s="1" t="e">
        <f ca="1">_xll.BDH($C$153,"5Y_GEO_GROWTH_DILUTED_EPS","FY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53" s="1" t="e">
        <f ca="1">_xll.BDH($C$153,"GEO_GROW_DVD_PER_SH","FY 2014","FY 2014","Currency=INR","Period=FY","BEST_FPERIOD_OVERRIDE=FY","FILING_STATUS=OR","EQY_CONSOLIDATED=Y","Sort=A","Dates=H","DateFormat=P","Fill=—","Direction=H","UseDPDF=Y")</f>
        <v>#NAME?</v>
      </c>
      <c r="AS153" s="1" t="e">
        <f ca="1">_xll.BDH($C$153,"ACCOUNTS_RECEIVABLE_5_YR_GROWTH","FY 2014","FY 2014","Currency=INR","Period=FY","BEST_FPERIOD_OVERRIDE=FY","FILING_STATUS=OR","EQY_CONSOLIDATED=Y","Sort=A","Dates=H","DateFormat=P","Fill=—","Direction=H","UseDPDF=Y")</f>
        <v>#NAME?</v>
      </c>
      <c r="AT153" s="1" t="e">
        <f ca="1">_xll.BDH($C$153,"INVENTORY_5_YEAR_GROWTH","FY 2014","FY 2014","Currency=INR","Period=FY","BEST_FPERIOD_OVERRIDE=FY","FILING_STATUS=OR","EQY_CONSOLIDATED=Y","Sort=A","Dates=H","DateFormat=P","Fill=—","Direction=H","UseDPDF=Y")</f>
        <v>#NAME?</v>
      </c>
      <c r="AU153" s="1" t="e">
        <f ca="1">_xll.BDH($C$153,"NET_FIXED_ASSETS_5_YEAR_GROWTH","FY 2014","FY 2014","Currency=INR","Period=FY","BEST_FPERIOD_OVERRIDE=FY","FILING_STATUS=OR","EQY_CONSOLIDATED=Y","Sort=A","Dates=H","DateFormat=P","Fill=—","Direction=H","UseDPDF=Y")</f>
        <v>#NAME?</v>
      </c>
      <c r="AV153" s="1" t="e">
        <f ca="1">_xll.BDH($C$153,"GEO_GROW_TOT_ASSET","FY 2014","FY 2014","Currency=INR","Period=FY","BEST_FPERIOD_OVERRIDE=FY","FILING_STATUS=OR","EQY_CONSOLIDATED=Y","Sort=A","Dates=H","DateFormat=P","Fill=—","Direction=H","UseDPDF=Y")</f>
        <v>#NAME?</v>
      </c>
      <c r="AW153" s="1" t="e">
        <f ca="1">_xll.BDH($C$153,"MODIFIED_WORKING_CPTL_5YR_GRWTH","FY 2014","FY 2014","Currency=INR","Period=FY","BEST_FPERIOD_OVERRIDE=FY","FILING_STATUS=OR","EQY_CONSOLIDATED=Y","Sort=A","Dates=H","DateFormat=P","Fill=—","Direction=H","UseDPDF=Y")</f>
        <v>#NAME?</v>
      </c>
      <c r="AX153" s="1" t="e">
        <f ca="1">_xll.BDH($C$153,"WORKING_CAPITAL_5_YEAR_GROWTH","FY 2014","FY 2014","Currency=INR","Period=FY","BEST_FPERIOD_OVERRIDE=FY","FILING_STATUS=OR","EQY_CONSOLIDATED=Y","Sort=A","Dates=H","DateFormat=P","Fill=—","Direction=H","UseDPDF=Y")</f>
        <v>#NAME?</v>
      </c>
      <c r="AY153" s="1" t="e">
        <f ca="1">_xll.BDH($C$153,"ACCOUNTS_PAYABLE_5_YEAR_GROWTH","FY 2014","FY 2014","Currency=INR","Period=FY","BEST_FPERIOD_OVERRIDE=FY","FILING_STATUS=OR","EQY_CONSOLIDATED=Y","Sort=A","Dates=H","DateFormat=P","Fill=—","Direction=H","UseDPDF=Y")</f>
        <v>#NAME?</v>
      </c>
      <c r="AZ153" s="1" t="e">
        <f ca="1">_xll.BDH($C$153,"SHORT_TERM_DEBT_5_YEAR_GROWTH","FY 2014","FY 2014","Currency=INR","Period=FY","BEST_FPERIOD_OVERRIDE=FY","FILING_STATUS=OR","EQY_CONSOLIDATED=Y","Sort=A","Dates=H","DateFormat=P","Fill=—","Direction=H","UseDPDF=Y")</f>
        <v>#NAME?</v>
      </c>
      <c r="BA153" s="1" t="e">
        <f ca="1">_xll.BDH($C$153,"TOTAL_DEBT_5_YEAR_GROWTH","FY 2014","FY 2014","Currency=INR","Period=FY","BEST_FPERIOD_OVERRIDE=FY","FILING_STATUS=OR","EQY_CONSOLIDATED=Y","Sort=A","Dates=H","DateFormat=P","Fill=—","Direction=H","UseDPDF=Y")</f>
        <v>#NAME?</v>
      </c>
      <c r="BB153" s="1" t="e">
        <f ca="1">_xll.BDH($C$153,"GEO_GROW_TOT_SHRHLDR_EQY","FY 2014","FY 2014","Currency=INR","Period=FY","BEST_FPERIOD_OVERRIDE=FY","FILING_STATUS=OR","EQY_CONSOLIDATED=Y","Sort=A","Dates=H","DateFormat=P","Fill=—","Direction=H","UseDPDF=Y")</f>
        <v>#NAME?</v>
      </c>
      <c r="BC153" s="1" t="e">
        <f ca="1">_xll.BDH($C$153,"TOTAL_CAPITAL_5_YEAR_GROWTH","FY 2014","FY 2014","Currency=INR","Period=FY","BEST_FPERIOD_OVERRIDE=FY","FILING_STATUS=OR","EQY_CONSOLIDATED=Y","Sort=A","Dates=H","DateFormat=P","Fill=—","Direction=H","UseDPDF=Y")</f>
        <v>#NAME?</v>
      </c>
      <c r="BD153" s="1" t="e">
        <f ca="1">_xll.BDH($C$153,"GEO_GROW_BOOK_VAL","FY 2014","FY 2014","Currency=INR","Period=FY","BEST_FPERIOD_OVERRIDE=FY","FILING_STATUS=OR","EQY_CONSOLIDATED=Y","Sort=A","Dates=H","DateFormat=P","Fill=—","Direction=H","UseDPDF=Y")</f>
        <v>#NAME?</v>
      </c>
      <c r="BE153" s="1" t="e">
        <f ca="1">_xll.BDH($C$153,"GEO_GROW_CASH_OPER_ACT","FY 2014","FY 2014","Currency=INR","Period=FY","BEST_FPERIOD_OVERRIDE=FY","FILING_STATUS=OR","EQY_CONSOLIDATED=Y","Sort=A","Dates=H","DateFormat=P","Fill=—","Direction=H","UseDPDF=Y")</f>
        <v>#NAME?</v>
      </c>
      <c r="BF153" s="1" t="e">
        <f ca="1">_xll.BDH($C$153,"REVENUE_SEQUENTIAL_GROWTH","FY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53" s="1" t="e">
        <f ca="1">_xll.BDH($C$153,"EBITDA_SEQUENTIAL_GROWTH","FY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53" s="1" t="e">
        <f ca="1">_xll.BDH($C$153,"OPERATING_INCOME_SEQ_GROWTH","FY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53" s="1" t="e">
        <f ca="1">_xll.BDH($C$153,"NET_INCOME_TO_COMMON_SEQ_GROWTH","FY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53" s="1" t="e">
        <f ca="1">_xll.BDH($C$153,"EPS_DILUTED_SEQUENTIAL_GROWTH","FY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53" s="1" t="e">
        <f ca="1">_xll.BDH($C$153,"DPS_SEQUENTIAL_GROWTH","FY 2014","FY 2014","Currency=INR","Period=FY","BEST_FPERIOD_OVERRIDE=FY","FILING_STATUS=OR","EQY_CONSOLIDATED=Y","Sort=A","Dates=H","DateFormat=P","Fill=—","Direction=H","UseDPDF=Y")</f>
        <v>#NAME?</v>
      </c>
      <c r="BL153" s="1" t="e">
        <f ca="1">_xll.BDH($C$153,"ACCOUNTS_RECEIVABLE_SEQ_GROWTH","FY 2014","FY 2014","Currency=INR","Period=FY","BEST_FPERIOD_OVERRIDE=FY","FILING_STATUS=OR","EQY_CONSOLIDATED=Y","Sort=A","Dates=H","DateFormat=P","Fill=—","Direction=H","UseDPDF=Y")</f>
        <v>#NAME?</v>
      </c>
      <c r="BM153" s="1" t="e">
        <f ca="1">_xll.BDH($C$153,"INVENTORY_SEQUENTIAL_GROWTH","FY 2014","FY 2014","Currency=INR","Period=FY","BEST_FPERIOD_OVERRIDE=FY","FILING_STATUS=OR","EQY_CONSOLIDATED=Y","Sort=A","Dates=H","DateFormat=P","Fill=—","Direction=H","UseDPDF=Y")</f>
        <v>#NAME?</v>
      </c>
      <c r="BN153" s="1" t="e">
        <f ca="1">_xll.BDH($C$153,"FIXED_ASSETS_SEQUENTIAL_GROWTH","FY 2014","FY 2014","Currency=INR","Period=FY","BEST_FPERIOD_OVERRIDE=FY","FILING_STATUS=OR","EQY_CONSOLIDATED=Y","Sort=A","Dates=H","DateFormat=P","Fill=—","Direction=H","UseDPDF=Y")</f>
        <v>#NAME?</v>
      </c>
      <c r="BO153" s="1" t="e">
        <f ca="1">_xll.BDH($C$153,"TOTAL_ASSETS_SEQUENTIAL_GROWTH","FY 2014","FY 2014","Currency=INR","Period=FY","BEST_FPERIOD_OVERRIDE=FY","FILING_STATUS=OR","EQY_CONSOLIDATED=Y","Sort=A","Dates=H","DateFormat=P","Fill=—","Direction=H","UseDPDF=Y")</f>
        <v>#NAME?</v>
      </c>
      <c r="BP153" s="1" t="e">
        <f ca="1">_xll.BDH($C$153,"MODIFIED_WORKING_CPTL_SEQ_GRWTH","FY 2014","FY 2014","Currency=INR","Period=FY","BEST_FPERIOD_OVERRIDE=FY","FILING_STATUS=OR","EQY_CONSOLIDATED=Y","Sort=A","Dates=H","DateFormat=P","Fill=—","Direction=H","UseDPDF=Y")</f>
        <v>#NAME?</v>
      </c>
      <c r="BQ153" s="1" t="e">
        <f ca="1">_xll.BDH($C$153,"WORKING_CAPITAL_SEQ_GROWTH","FY 2014","FY 2014","Currency=INR","Period=FY","BEST_FPERIOD_OVERRIDE=FY","FILING_STATUS=OR","EQY_CONSOLIDATED=Y","Sort=A","Dates=H","DateFormat=P","Fill=—","Direction=H","UseDPDF=Y")</f>
        <v>#NAME?</v>
      </c>
      <c r="BR153" s="1" t="e">
        <f ca="1">_xll.BDH($C$153,"ACCOUNTS_PAYABLE_SEQ_GROWTH","FY 2014","FY 2014","Currency=INR","Period=FY","BEST_FPERIOD_OVERRIDE=FY","FILING_STATUS=OR","EQY_CONSOLIDATED=Y","Sort=A","Dates=H","DateFormat=P","Fill=—","Direction=H","UseDPDF=Y")</f>
        <v>#NAME?</v>
      </c>
      <c r="BS153" s="1" t="e">
        <f ca="1">_xll.BDH($C$153,"ST_DEBT_SEQUENTIAL_GROWTH","FY 2014","FY 2014","Currency=INR","Period=FY","BEST_FPERIOD_OVERRIDE=FY","FILING_STATUS=OR","EQY_CONSOLIDATED=Y","Sort=A","Dates=H","DateFormat=P","Fill=—","Direction=H","UseDPDF=Y")</f>
        <v>#NAME?</v>
      </c>
      <c r="BT153" s="1" t="e">
        <f ca="1">_xll.BDH($C$153,"TOTAL_DEBT_SEQUENTIAL_GROWTH","FY 2014","FY 2014","Currency=INR","Period=FY","BEST_FPERIOD_OVERRIDE=FY","FILING_STATUS=OR","EQY_CONSOLIDATED=Y","Sort=A","Dates=H","DateFormat=P","Fill=—","Direction=H","UseDPDF=Y")</f>
        <v>#NAME?</v>
      </c>
      <c r="BU153" s="1" t="e">
        <f ca="1">_xll.BDH($C$153,"TOTAL_EQUITY_SEQUENTIAL_GROWTH","FY 2014","FY 2014","Currency=INR","Period=FY","BEST_FPERIOD_OVERRIDE=FY","FILING_STATUS=OR","EQY_CONSOLIDATED=Y","Sort=A","Dates=H","DateFormat=P","Fill=—","Direction=H","UseDPDF=Y")</f>
        <v>#NAME?</v>
      </c>
      <c r="BV153" s="1" t="e">
        <f ca="1">_xll.BDH($C$153,"TOTAL_CAPITAL_SEQUENTIAL_GROWTH","FY 2014","FY 2014","Currency=INR","Period=FY","BEST_FPERIOD_OVERRIDE=FY","FILING_STATUS=OR","EQY_CONSOLIDATED=Y","Sort=A","Dates=H","DateFormat=P","Fill=—","Direction=H","UseDPDF=Y")</f>
        <v>#NAME?</v>
      </c>
      <c r="BW153" s="1" t="e">
        <f ca="1">_xll.BDH($C$153,"BPS_SEQUENTIAL_GROWTH","FY 2014","FY 2014","Currency=INR","Period=FY","BEST_FPERIOD_OVERRIDE=FY","FILING_STATUS=OR","EQY_CONSOLIDATED=Y","Sort=A","Dates=H","DateFormat=P","Fill=—","Direction=H","UseDPDF=Y")</f>
        <v>#NAME?</v>
      </c>
      <c r="BX153" s="1" t="e">
        <f ca="1">_xll.BDH($C$153,"CFO_SEQUENTIAL_GROWTH","FY 2014","FY 2014","Currency=INR","Period=FY","BEST_FPERIOD_OVERRIDE=FY","FILING_STATUS=OR","EQY_CONSOLIDATED=Y","Sort=A","Dates=H","DateFormat=P","Fill=—","Direction=H","UseDPDF=Y")</f>
        <v>#NAME?</v>
      </c>
      <c r="BY153" s="2" t="e">
        <f ca="1">_xll.BDH($C$153,"SHORT_AND_LONG_TERM_DEBT","FY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53" s="2" t="e">
        <f ca="1">_xll.BDH($C$153,"BS_ST_BORROW","FY 2014","FY 2014","Currency=INR","Period=FY","BEST_FPERIOD_OVERRIDE=FY","FILING_STATUS=OR","EQY_CONSOLIDATED=Y","SCALING_FORMAT=MLN","Sort=A","Dates=H","DateFormat=P","Fill=—","Direction=H","UseDPDF=Y")</f>
        <v>#NAME?</v>
      </c>
      <c r="CA153" s="2" t="e">
        <f ca="1">_xll.BDH($C$153,"BS_LT_BORROW","FY 2014","FY 2014","Currency=INR","Period=FY","BEST_FPERIOD_OVERRIDE=FY","FILING_STATUS=OR","EQY_CONSOLIDATED=Y","SCALING_FORMAT=MLN","Sort=A","Dates=H","DateFormat=P","Fill=—","Direction=H","UseDPDF=Y")</f>
        <v>#NAME?</v>
      </c>
      <c r="CB153" s="1" t="e">
        <f ca="1">_xll.BDH($C$153,"TOT_DEBT_TO_EBITDA","FY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153" s="1" t="e">
        <f ca="1">_xll.BDH($C$153,"NET_DEBT_TO_EBITDA","FY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153" s="1" t="e">
        <f ca="1">_xll.BDH($C$153,"TOTAL_DEBT_TO_EBIT","FY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153" s="1" t="e">
        <f ca="1">_xll.BDH($C$153,"NET_DEBT_TO_EBIT","FY 2014","FY 2014","Currency=INR","Period=FY","BEST_FPERIOD_OVERRIDE=FY","FILING_STATUS=OR","EQY_CONSOLIDATED=Y","FA_ADJUSTED=GAAP","Sort=A","Dates=H","DateFormat=P","Fill=—","Direction=H","UseDPDF=Y")</f>
        <v>#NAME?</v>
      </c>
      <c r="CF153" s="1" t="e">
        <f ca="1">_xll.BDH($C$153,"EBITDA_TO_INTEREST_EXPN","FY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53" s="1" t="e">
        <f ca="1">_xll.BDH($C$153,"COM_EQY_TO_TOT_ASSET","FY 2014","FY 2014","Currency=INR","Period=FY","BEST_FPERIOD_OVERRIDE=FY","FILING_STATUS=OR","EQY_CONSOLIDATED=Y","Sort=A","Dates=H","DateFormat=P","Fill=—","Direction=H","UseDPDF=Y")</f>
        <v>#NAME?</v>
      </c>
      <c r="CH153" s="1" t="e">
        <f ca="1">_xll.BDH($C$153,"LT_DEBT_TO_TOT_EQY","FY 2014","FY 2014","Currency=INR","Period=FY","BEST_FPERIOD_OVERRIDE=FY","FILING_STATUS=OR","EQY_CONSOLIDATED=Y","Sort=A","Dates=H","DateFormat=P","Fill=—","Direction=H","UseDPDF=Y")</f>
        <v>#NAME?</v>
      </c>
      <c r="CI153" s="1" t="e">
        <f ca="1">_xll.BDH($C$153,"LT_DEBT_TO_TOT_CAP","FY 2014","FY 2014","Currency=INR","Period=FY","BEST_FPERIOD_OVERRIDE=FY","FILING_STATUS=OR","EQY_CONSOLIDATED=Y","Sort=A","Dates=H","DateFormat=P","Fill=—","Direction=H","UseDPDF=Y")</f>
        <v>#NAME?</v>
      </c>
      <c r="CJ153" s="1" t="e">
        <f ca="1">_xll.BDH($C$153,"LT_DEBT_TO_TOT_ASSET","FY 2014","FY 2014","Currency=INR","Period=FY","BEST_FPERIOD_OVERRIDE=FY","FILING_STATUS=OR","EQY_CONSOLIDATED=Y","Sort=A","Dates=H","DateFormat=P","Fill=—","Direction=H","UseDPDF=Y")</f>
        <v>#NAME?</v>
      </c>
      <c r="CK153" s="1" t="e">
        <f ca="1">_xll.BDH($C$153,"TOT_DEBT_TO_TOT_EQY","FY 2014","FY 2014","Currency=INR","Period=FY","BEST_FPERIOD_OVERRIDE=FY","FILING_STATUS=OR","EQY_CONSOLIDATED=Y","Sort=A","Dates=H","DateFormat=P","Fill=—","Direction=H","UseDPDF=Y")</f>
        <v>#NAME?</v>
      </c>
      <c r="CL153" s="1" t="e">
        <f ca="1">_xll.BDH($C$153,"TOT_DEBT_TO_TOT_CAP","FY 2014","FY 2014","Currency=INR","Period=FY","BEST_FPERIOD_OVERRIDE=FY","FILING_STATUS=OR","EQY_CONSOLIDATED=Y","Sort=A","Dates=H","DateFormat=P","Fill=—","Direction=H","UseDPDF=Y")</f>
        <v>#NAME?</v>
      </c>
      <c r="CM153" s="1" t="e">
        <f ca="1">_xll.BDH($C$153,"TOT_DEBT_TO_TOT_ASSET","FY 2014","FY 2014","Currency=INR","Period=FY","BEST_FPERIOD_OVERRIDE=FY","FILING_STATUS=OR","EQY_CONSOLIDATED=Y","Sort=A","Dates=H","DateFormat=P","Fill=—","Direction=H","UseDPDF=Y")</f>
        <v>#NAME?</v>
      </c>
      <c r="CN153" s="1" t="e">
        <f ca="1">_xll.BDH($C$153,"NET_DEBT_TO_SHRHLDR_EQTY","FY 2014","FY 2014","Currency=INR","Period=FY","BEST_FPERIOD_OVERRIDE=FY","FILING_STATUS=OR","EQY_CONSOLIDATED=Y","Sort=A","Dates=H","DateFormat=P","Fill=—","Direction=H","UseDPDF=Y")</f>
        <v>#NAME?</v>
      </c>
      <c r="CO153" s="1" t="e">
        <f ca="1">_xll.BDH($C$153,"NET_DEBT_%_CAPITAL","FY 2014","FY 2014","Currency=INR","Period=FY","BEST_FPERIOD_OVERRIDE=FY","FILING_STATUS=OR","EQY_CONSOLIDATED=Y","Sort=A","Dates=H","DateFormat=P","Fill=—","Direction=H","UseDPDF=Y")</f>
        <v>#NAME?</v>
      </c>
      <c r="CP153" s="2" t="e">
        <f ca="1">_xll.BDH($C$153,"EBITDA","FY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53" s="2" t="e">
        <f ca="1">_xll.BDH($C$153,"EBITDA_AFTER_CAPEX","FY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53" s="2" t="e">
        <f ca="1">_xll.BDH($C$153,"IS_OPER_INC","FY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53" s="1" t="e">
        <f ca="1">_xll.BDH($C$153,"CASH_RATIO","FY 2014","FY 2014","Currency=INR","Period=FY","BEST_FPERIOD_OVERRIDE=FY","FILING_STATUS=OR","EQY_CONSOLIDATED=Y","Sort=A","Dates=H","DateFormat=P","Fill=—","Direction=H","UseDPDF=Y")</f>
        <v>#NAME?</v>
      </c>
      <c r="CT153" s="1" t="e">
        <f ca="1">_xll.BDH($C$153,"CUR_RATIO","FY 2014","FY 2014","Currency=INR","Period=FY","BEST_FPERIOD_OVERRIDE=FY","FILING_STATUS=OR","EQY_CONSOLIDATED=Y","Sort=A","Dates=H","DateFormat=P","Fill=—","Direction=H","UseDPDF=Y")</f>
        <v>#NAME?</v>
      </c>
      <c r="CU153" s="1" t="e">
        <f ca="1">_xll.BDH($C$153,"QUICK_RATIO","FY 2014","FY 2014","Currency=INR","Period=FY","BEST_FPERIOD_OVERRIDE=FY","FILING_STATUS=OR","EQY_CONSOLIDATED=Y","Sort=A","Dates=H","DateFormat=P","Fill=—","Direction=H","UseDPDF=Y")</f>
        <v>#NAME?</v>
      </c>
      <c r="CV153" s="1" t="e">
        <f ca="1">_xll.BDH($C$153,"ALTMAN_Z_SCORE","FY 2014","FY 2014","Currency=INR","Period=FY","BEST_FPERIOD_OVERRIDE=FY","FILING_STATUS=OR","EQY_CONSOLIDATED=Y","Sort=A","Dates=H","DateFormat=P","Fill=—","Direction=H","UseDPDF=Y")</f>
        <v>#NAME?</v>
      </c>
      <c r="CW153" s="3" t="e">
        <f ca="1">_xll.BDH($C$153,"ACCT_RCV_TURN","FY 2014","FY 2014","Currency=INR","Period=FY","BEST_FPERIOD_OVERRIDE=FY","FILING_STATUS=OR","EQY_CONSOLIDATED=Y","FA_ADJUSTED=GAAP","Sort=A","Dates=H","DateFormat=P","Fill=—","Direction=H","UseDPDF=Y")</f>
        <v>#NAME?</v>
      </c>
      <c r="CX153" s="1" t="e">
        <f ca="1">_xll.BDH($C$153,"ACCT_RCV_DAYS","FY 2014","FY 2014","Currency=INR","Period=FY","BEST_FPERIOD_OVERRIDE=FY","FILING_STATUS=OR","EQY_CONSOLIDATED=Y","FA_ADJUSTED=GAAP","Sort=A","Dates=H","DateFormat=P","Fill=—","Direction=H","UseDPDF=Y")</f>
        <v>#NAME?</v>
      </c>
      <c r="CY153" s="3" t="e">
        <f ca="1">_xll.BDH($C$153,"INVENT_TURN","FY 2014","FY 2014","Currency=INR","Period=FY","BEST_FPERIOD_OVERRIDE=FY","FILING_STATUS=OR","EQY_CONSOLIDATED=Y","FA_ADJUSTED=GAAP","Sort=A","Dates=H","DateFormat=P","Fill=—","Direction=H","UseDPDF=Y")</f>
        <v>#NAME?</v>
      </c>
      <c r="CZ153" s="1" t="e">
        <f ca="1">_xll.BDH($C$153,"INVENT_DAYS","FY 2014","FY 2014","Currency=INR","Period=FY","BEST_FPERIOD_OVERRIDE=FY","FILING_STATUS=OR","EQY_CONSOLIDATED=Y","FA_ADJUSTED=GAAP","Sort=A","Dates=H","DateFormat=P","Fill=—","Direction=H","UseDPDF=Y")</f>
        <v>#NAME?</v>
      </c>
      <c r="DA153" s="3" t="e">
        <f ca="1">_xll.BDH($C$153,"ACCOUNTS_PAYABLE_TURNOVER","FY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53" s="1" t="e">
        <f ca="1">_xll.BDH($C$153,"ACCOUNTS_PAYABLE_TURNOVER_DAYS","FY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53" s="3" t="e">
        <f ca="1">_xll.BDH($C$153,"CASH_CONVERSION_CYCLE","FY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53" s="3" t="e">
        <f ca="1">_xll.BDH($C$153,"INV_TO_CASH_DAYS","FY 2014","FY 2014","Currency=INR","Period=FY","BEST_FPERIOD_OVERRIDE=FY","FILING_STATUS=OR","EQY_CONSOLIDATED=Y","FA_ADJUSTED=GAAP","Sort=A","Dates=H","DateFormat=P","Fill=—","Direction=H","UseDPDF=Y")</f>
        <v>#NAME?</v>
      </c>
      <c r="DE153" s="4" t="e">
        <f ca="1">_xll.BDH($C$153,"BS_INVENTORIES","FY 2014","FY 2014","Currency=INR","Period=FY","BEST_FPERIOD_OVERRIDE=FY","FILING_STATUS=OR","EQY_CONSOLIDATED=Y","SCALING_FORMAT=MLN","Sort=A","Dates=H","DateFormat=P","Fill=—","Direction=H","UseDPDF=Y")</f>
        <v>#NAME?</v>
      </c>
      <c r="DF153" s="2" t="e">
        <f ca="1">_xll.BDH($C$153,"INVTRY_RAW_MATERIALS","FY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53" s="2" t="e">
        <f ca="1">_xll.BDH($C$153,"INVTRY_IN_PROGRESS","FY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53" s="2" t="e">
        <f ca="1">_xll.BDH($C$153,"INVTRY_FINISHED_GOODS","FY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53" s="2" t="e">
        <f ca="1">_xll.BDH($C$153,"BS_OTHER_INV","FY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54" spans="1:113" x14ac:dyDescent="0.3">
      <c r="A154" s="6"/>
      <c r="B154" s="6"/>
      <c r="C154" s="6"/>
      <c r="D154" s="6"/>
      <c r="E154" t="s">
        <v>4</v>
      </c>
      <c r="F154" t="e">
        <f ca="1">_xll.BDH($C$153,"RETURN_COM_EQY","FQ1 2014","FQ1 2014","Currency=INR","Period=FQ","BEST_FPERIOD_OVERRIDE=FQ","FILING_STATUS=OR","EQY_CONSOLIDATED=Y","FA_ADJUSTED=GAAP","Sort=A","Dates=H","DateFormat=P","Fill=—","Direction=H","UseDPDF=Y")</f>
        <v>#NAME?</v>
      </c>
      <c r="G154" t="e">
        <f ca="1">_xll.BDH($C$153,"RETURN_ON_ASSET","FQ1 2014","FQ1 2014","Currency=INR","Period=FQ","BEST_FPERIOD_OVERRIDE=FQ","FILING_STATUS=OR","EQY_CONSOLIDATED=Y","FA_ADJUSTED=GAAP","Sort=A","Dates=H","DateFormat=P","Fill=—","Direction=H","UseDPDF=Y")</f>
        <v>#NAME?</v>
      </c>
      <c r="H154" t="e">
        <f ca="1">_xll.BDH($C$153,"RETURN_ON_CAP","FQ1 2014","FQ1 2014","Currency=INR","Period=FQ","BEST_FPERIOD_OVERRIDE=FQ","FILING_STATUS=OR","EQY_CONSOLIDATED=Y","FA_ADJUSTED=GAAP","Sort=A","Dates=H","DateFormat=P","Fill=—","Direction=H","UseDPDF=Y")</f>
        <v>#NAME?</v>
      </c>
      <c r="I154" t="e">
        <f ca="1">_xll.BDH($C$153,"RETURN_ON_INV_CAPITAL","FQ1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54" t="e">
        <f ca="1">_xll.BDH($C$153,"EBITDA_TO_REVENUE","FQ1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154" t="e">
        <f ca="1">_xll.BDH($C$153,"OPER_MARGIN","FQ1 2014","FQ1 2014","Currency=INR","Period=FQ","BEST_FPERIOD_OVERRIDE=FQ","FILING_STATUS=OR","EQY_CONSOLIDATED=Y","FA_ADJUSTED=GAAP","Sort=A","Dates=H","DateFormat=P","Fill=—","Direction=H","UseDPDF=Y")</f>
        <v>#NAME?</v>
      </c>
      <c r="L154" t="e">
        <f ca="1">_xll.BDH($C$153,"INCREMENTAL_OPERATING_MARGIN","FQ1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54" t="e">
        <f ca="1">_xll.BDH($C$153,"PRETAX_INC_TO_NET_SALES","FQ1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54" t="e">
        <f ca="1">_xll.BDH($C$153,"INC_BEF_XO_ITEMS_TO_NET_SALES","FQ1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54" t="e">
        <f ca="1">_xll.BDH($C$153,"PROF_MARGIN","FQ1 2014","FQ1 2014","Currency=INR","Period=FQ","BEST_FPERIOD_OVERRIDE=FQ","FILING_STATUS=OR","EQY_CONSOLIDATED=Y","FA_ADJUSTED=GAAP","Sort=A","Dates=H","DateFormat=P","Fill=—","Direction=H","UseDPDF=Y")</f>
        <v>#NAME?</v>
      </c>
      <c r="P154" t="e">
        <f ca="1">_xll.BDH($C$153,"NET_INCOME_TO_COMMON_MARGIN","FQ1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54" t="e">
        <f ca="1">_xll.BDH($C$153,"EFF_TAX_RATE","FQ1 2014","FQ1 2014","Currency=INR","Period=FQ","BEST_FPERIOD_OVERRIDE=FQ","FILING_STATUS=OR","EQY_CONSOLIDATED=Y","FA_ADJUSTED=GAAP","Sort=A","Dates=H","DateFormat=P","Fill=—","Direction=H","UseDPDF=Y")</f>
        <v>#NAME?</v>
      </c>
      <c r="R154" t="e">
        <f ca="1">_xll.BDH($C$153,"DVD_PAYOUT_RATIO","FQ1 2014","FQ1 2014","Currency=INR","Period=FQ","BEST_FPERIOD_OVERRIDE=FQ","FILING_STATUS=OR","EQY_CONSOLIDATED=Y","FA_ADJUSTED=GAAP","Sort=A","Dates=H","DateFormat=P","Fill=—","Direction=H","UseDPDF=Y")</f>
        <v>#NAME?</v>
      </c>
      <c r="S154" t="e">
        <f ca="1">_xll.BDH($C$153,"SUSTAIN_GROWTH_RT","FQ1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154" s="1" t="e">
        <f ca="1">_xll.BDH($C$153,"SALES_GROWTH","FQ1 2014","FQ1 2014","Currency=INR","Period=FQ","BEST_FPERIOD_OVERRIDE=FQ","FILING_STATUS=OR","EQY_CONSOLIDATED=Y","FA_ADJUSTED=GAAP","Sort=A","Dates=H","DateFormat=P","Fill=—","Direction=H","UseDPDF=Y")</f>
        <v>#NAME?</v>
      </c>
      <c r="U154" s="1" t="e">
        <f ca="1">_xll.BDH($C$153,"EBITDA_GROWTH","FQ1 2014","FQ1 2014","Currency=INR","Period=FQ","BEST_FPERIOD_OVERRIDE=FQ","FILING_STATUS=OR","EQY_CONSOLIDATED=Y","FA_ADJUSTED=GAAP","Sort=A","Dates=H","DateFormat=P","Fill=—","Direction=H","UseDPDF=Y")</f>
        <v>#NAME?</v>
      </c>
      <c r="V154" s="1" t="e">
        <f ca="1">_xll.BDH($C$153,"OPER_INC_GROWTH","FQ1 2014","FQ1 2014","Currency=INR","Period=FQ","BEST_FPERIOD_OVERRIDE=FQ","FILING_STATUS=OR","EQY_CONSOLIDATED=Y","FA_ADJUSTED=GAAP","Sort=A","Dates=H","DateFormat=P","Fill=—","Direction=H","UseDPDF=Y")</f>
        <v>#NAME?</v>
      </c>
      <c r="W154" s="1" t="e">
        <f ca="1">_xll.BDH($C$153,"EARN_FOR_COM_GROWTH","FQ1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54" s="1" t="e">
        <f ca="1">_xll.BDH($C$153,"DILUTED_EPS_AFT_XO_ITEMS_GROWTH","FQ1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54" s="1" t="e">
        <f ca="1">_xll.BDH($C$153,"DIVIDEND_PER_SHARE_1_YEAR_GROWTH","FQ1 2014","FQ1 2014","Currency=INR","Period=FQ","BEST_FPERIOD_OVERRIDE=FQ","FILING_STATUS=OR","EQY_CONSOLIDATED=Y","Sort=A","Dates=H","DateFormat=P","Fill=—","Direction=H","UseDPDF=Y")</f>
        <v>#NAME?</v>
      </c>
      <c r="Z154" s="1" t="e">
        <f ca="1">_xll.BDH($C$153,"ACCOUNTS_RECEIVABLE_GROWTH","FQ1 2014","FQ1 2014","Currency=INR","Period=FQ","BEST_FPERIOD_OVERRIDE=FQ","FILING_STATUS=OR","EQY_CONSOLIDATED=Y","Sort=A","Dates=H","DateFormat=P","Fill=—","Direction=H","UseDPDF=Y")</f>
        <v>#NAME?</v>
      </c>
      <c r="AA154" s="1" t="e">
        <f ca="1">_xll.BDH($C$153,"INVENTORY_GROWTH","FQ1 2014","FQ1 2014","Currency=INR","Period=FQ","BEST_FPERIOD_OVERRIDE=FQ","FILING_STATUS=OR","EQY_CONSOLIDATED=Y","Sort=A","Dates=H","DateFormat=P","Fill=—","Direction=H","UseDPDF=Y")</f>
        <v>#NAME?</v>
      </c>
      <c r="AB154" s="1" t="e">
        <f ca="1">_xll.BDH($C$153,"NET_FIXED_ASSETS_1_YEAR_GROWTH","FQ1 2014","FQ1 2014","Currency=INR","Period=FQ","BEST_FPERIOD_OVERRIDE=FQ","FILING_STATUS=OR","EQY_CONSOLIDATED=Y","Sort=A","Dates=H","DateFormat=P","Fill=—","Direction=H","UseDPDF=Y")</f>
        <v>#NAME?</v>
      </c>
      <c r="AC154" s="1" t="e">
        <f ca="1">_xll.BDH($C$153,"ASSET_GROWTH","FQ1 2014","FQ1 2014","Currency=INR","Period=FQ","BEST_FPERIOD_OVERRIDE=FQ","FILING_STATUS=OR","EQY_CONSOLIDATED=Y","Sort=A","Dates=H","DateFormat=P","Fill=—","Direction=H","UseDPDF=Y")</f>
        <v>#NAME?</v>
      </c>
      <c r="AD154" s="1" t="e">
        <f ca="1">_xll.BDH($C$153,"MODIFIED_WORK_CAP_GROWTH","FQ1 2014","FQ1 2014","Currency=INR","Period=FQ","BEST_FPERIOD_OVERRIDE=FQ","FILING_STATUS=OR","EQY_CONSOLIDATED=Y","Sort=A","Dates=H","DateFormat=P","Fill=—","Direction=H","UseDPDF=Y")</f>
        <v>#NAME?</v>
      </c>
      <c r="AE154" s="1" t="e">
        <f ca="1">_xll.BDH($C$153,"WORK_CAP_GROWTH","FQ1 2014","FQ1 2014","Currency=INR","Period=FQ","BEST_FPERIOD_OVERRIDE=FQ","FILING_STATUS=OR","EQY_CONSOLIDATED=Y","Sort=A","Dates=H","DateFormat=P","Fill=—","Direction=H","UseDPDF=Y")</f>
        <v>#NAME?</v>
      </c>
      <c r="AF154" s="1" t="e">
        <f ca="1">_xll.BDH($C$153,"ACCOUNTS_PAYABLE_GROWTH_1YR","FQ1 2014","FQ1 2014","Currency=INR","Period=FQ","BEST_FPERIOD_OVERRIDE=FQ","FILING_STATUS=OR","EQY_CONSOLIDATED=Y","Sort=A","Dates=H","DateFormat=P","Fill=—","Direction=H","UseDPDF=Y")</f>
        <v>#NAME?</v>
      </c>
      <c r="AG154" s="1" t="e">
        <f ca="1">_xll.BDH($C$153,"SHORT_TERM_DEBT_1_YEAR_GROWTH","FQ1 2014","FQ1 2014","Currency=INR","Period=FQ","BEST_FPERIOD_OVERRIDE=FQ","FILING_STATUS=OR","EQY_CONSOLIDATED=Y","Sort=A","Dates=H","DateFormat=P","Fill=—","Direction=H","UseDPDF=Y")</f>
        <v>#NAME?</v>
      </c>
      <c r="AH154" s="1" t="e">
        <f ca="1">_xll.BDH($C$153,"TOTAL_DEBT_1_YEAR_GROWTH","FQ1 2014","FQ1 2014","Currency=INR","Period=FQ","BEST_FPERIOD_OVERRIDE=FQ","FILING_STATUS=OR","EQY_CONSOLIDATED=Y","Sort=A","Dates=H","DateFormat=P","Fill=—","Direction=H","UseDPDF=Y")</f>
        <v>#NAME?</v>
      </c>
      <c r="AI154" s="1" t="e">
        <f ca="1">_xll.BDH($C$153,"TOTAL_EQUITY_1_YEAR_GROWTH","FQ1 2014","FQ1 2014","Currency=INR","Period=FQ","BEST_FPERIOD_OVERRIDE=FQ","FILING_STATUS=OR","EQY_CONSOLIDATED=Y","Sort=A","Dates=H","DateFormat=P","Fill=—","Direction=H","UseDPDF=Y")</f>
        <v>#NAME?</v>
      </c>
      <c r="AJ154" s="1" t="e">
        <f ca="1">_xll.BDH($C$153,"GROWTH_IN_CAP","FQ1 2014","FQ1 2014","Currency=INR","Period=FQ","BEST_FPERIOD_OVERRIDE=FQ","FILING_STATUS=OR","EQY_CONSOLIDATED=Y","Sort=A","Dates=H","DateFormat=P","Fill=—","Direction=H","UseDPDF=Y")</f>
        <v>#NAME?</v>
      </c>
      <c r="AK154" s="1" t="e">
        <f ca="1">_xll.BDH($C$153,"BVPS_GROWTH","FQ1 2014","FQ1 2014","Currency=INR","Period=FQ","BEST_FPERIOD_OVERRIDE=FQ","FILING_STATUS=OR","EQY_CONSOLIDATED=Y","Sort=A","Dates=H","DateFormat=P","Fill=—","Direction=H","UseDPDF=Y")</f>
        <v>#NAME?</v>
      </c>
      <c r="AL154" s="1" t="e">
        <f ca="1">_xll.BDH($C$153,"CASH_FLOW_GROWTH","FQ1 2014","FQ1 2014","Currency=INR","Period=FQ","BEST_FPERIOD_OVERRIDE=FQ","FILING_STATUS=OR","EQY_CONSOLIDATED=Y","Sort=A","Dates=H","DateFormat=P","Fill=—","Direction=H","UseDPDF=Y")</f>
        <v>#NAME?</v>
      </c>
      <c r="AM154" s="1" t="e">
        <f ca="1">_xll.BDH($C$153,"GEO_GROW_NET_SALES","FQ1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54" s="1" t="e">
        <f ca="1">_xll.BDH($C$153,"GEO_GROW_EBITDA","FQ1 2014","FQ1 2014","Currency=INR","Period=FQ","BEST_FPERIOD_OVERRIDE=FQ","FILING_STATUS=OR","EQY_CONSOLIDATED=Y","FA_ADJUSTED=GAAP","Sort=A","Dates=H","DateFormat=P","Fill=—","Direction=H","UseDPDF=Y")</f>
        <v>#NAME?</v>
      </c>
      <c r="AO154" s="1" t="e">
        <f ca="1">_xll.BDH($C$153,"GEO_GROW_OPER_INC","FQ1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54" s="1" t="e">
        <f ca="1">_xll.BDH($C$153,"NET_INCOME_TO_COMMON_5_YR_GROWTH","FQ1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54" s="1" t="e">
        <f ca="1">_xll.BDH($C$153,"5Y_GEO_GROWTH_DILUTED_EPS","FQ1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54" s="1" t="e">
        <f ca="1">_xll.BDH($C$153,"GEO_GROW_DVD_PER_SH","FQ1 2014","FQ1 2014","Currency=INR","Period=FQ","BEST_FPERIOD_OVERRIDE=FQ","FILING_STATUS=OR","EQY_CONSOLIDATED=Y","Sort=A","Dates=H","DateFormat=P","Fill=—","Direction=H","UseDPDF=Y")</f>
        <v>#NAME?</v>
      </c>
      <c r="AS154" s="1" t="e">
        <f ca="1">_xll.BDH($C$153,"ACCOUNTS_RECEIVABLE_5_YR_GROWTH","FQ1 2014","FQ1 2014","Currency=INR","Period=FQ","BEST_FPERIOD_OVERRIDE=FQ","FILING_STATUS=OR","EQY_CONSOLIDATED=Y","Sort=A","Dates=H","DateFormat=P","Fill=—","Direction=H","UseDPDF=Y")</f>
        <v>#NAME?</v>
      </c>
      <c r="AT154" s="1" t="e">
        <f ca="1">_xll.BDH($C$153,"INVENTORY_5_YEAR_GROWTH","FQ1 2014","FQ1 2014","Currency=INR","Period=FQ","BEST_FPERIOD_OVERRIDE=FQ","FILING_STATUS=OR","EQY_CONSOLIDATED=Y","Sort=A","Dates=H","DateFormat=P","Fill=—","Direction=H","UseDPDF=Y")</f>
        <v>#NAME?</v>
      </c>
      <c r="AU154" s="1" t="e">
        <f ca="1">_xll.BDH($C$153,"NET_FIXED_ASSETS_5_YEAR_GROWTH","FQ1 2014","FQ1 2014","Currency=INR","Period=FQ","BEST_FPERIOD_OVERRIDE=FQ","FILING_STATUS=OR","EQY_CONSOLIDATED=Y","Sort=A","Dates=H","DateFormat=P","Fill=—","Direction=H","UseDPDF=Y")</f>
        <v>#NAME?</v>
      </c>
      <c r="AV154" s="1" t="e">
        <f ca="1">_xll.BDH($C$153,"GEO_GROW_TOT_ASSET","FQ1 2014","FQ1 2014","Currency=INR","Period=FQ","BEST_FPERIOD_OVERRIDE=FQ","FILING_STATUS=OR","EQY_CONSOLIDATED=Y","Sort=A","Dates=H","DateFormat=P","Fill=—","Direction=H","UseDPDF=Y")</f>
        <v>#NAME?</v>
      </c>
      <c r="AW154" s="1" t="e">
        <f ca="1">_xll.BDH($C$153,"MODIFIED_WORKING_CPTL_5YR_GRWTH","FQ1 2014","FQ1 2014","Currency=INR","Period=FQ","BEST_FPERIOD_OVERRIDE=FQ","FILING_STATUS=OR","EQY_CONSOLIDATED=Y","Sort=A","Dates=H","DateFormat=P","Fill=—","Direction=H","UseDPDF=Y")</f>
        <v>#NAME?</v>
      </c>
      <c r="AX154" s="1" t="e">
        <f ca="1">_xll.BDH($C$153,"WORKING_CAPITAL_5_YEAR_GROWTH","FQ1 2014","FQ1 2014","Currency=INR","Period=FQ","BEST_FPERIOD_OVERRIDE=FQ","FILING_STATUS=OR","EQY_CONSOLIDATED=Y","Sort=A","Dates=H","DateFormat=P","Fill=—","Direction=H","UseDPDF=Y")</f>
        <v>#NAME?</v>
      </c>
      <c r="AY154" s="1" t="e">
        <f ca="1">_xll.BDH($C$153,"ACCOUNTS_PAYABLE_5_YEAR_GROWTH","FQ1 2014","FQ1 2014","Currency=INR","Period=FQ","BEST_FPERIOD_OVERRIDE=FQ","FILING_STATUS=OR","EQY_CONSOLIDATED=Y","Sort=A","Dates=H","DateFormat=P","Fill=—","Direction=H","UseDPDF=Y")</f>
        <v>#NAME?</v>
      </c>
      <c r="AZ154" s="1" t="e">
        <f ca="1">_xll.BDH($C$153,"SHORT_TERM_DEBT_5_YEAR_GROWTH","FQ1 2014","FQ1 2014","Currency=INR","Period=FQ","BEST_FPERIOD_OVERRIDE=FQ","FILING_STATUS=OR","EQY_CONSOLIDATED=Y","Sort=A","Dates=H","DateFormat=P","Fill=—","Direction=H","UseDPDF=Y")</f>
        <v>#NAME?</v>
      </c>
      <c r="BA154" s="1" t="e">
        <f ca="1">_xll.BDH($C$153,"TOTAL_DEBT_5_YEAR_GROWTH","FQ1 2014","FQ1 2014","Currency=INR","Period=FQ","BEST_FPERIOD_OVERRIDE=FQ","FILING_STATUS=OR","EQY_CONSOLIDATED=Y","Sort=A","Dates=H","DateFormat=P","Fill=—","Direction=H","UseDPDF=Y")</f>
        <v>#NAME?</v>
      </c>
      <c r="BB154" s="1" t="e">
        <f ca="1">_xll.BDH($C$153,"GEO_GROW_TOT_SHRHLDR_EQY","FQ1 2014","FQ1 2014","Currency=INR","Period=FQ","BEST_FPERIOD_OVERRIDE=FQ","FILING_STATUS=OR","EQY_CONSOLIDATED=Y","Sort=A","Dates=H","DateFormat=P","Fill=—","Direction=H","UseDPDF=Y")</f>
        <v>#NAME?</v>
      </c>
      <c r="BC154" s="1" t="e">
        <f ca="1">_xll.BDH($C$153,"TOTAL_CAPITAL_5_YEAR_GROWTH","FQ1 2014","FQ1 2014","Currency=INR","Period=FQ","BEST_FPERIOD_OVERRIDE=FQ","FILING_STATUS=OR","EQY_CONSOLIDATED=Y","Sort=A","Dates=H","DateFormat=P","Fill=—","Direction=H","UseDPDF=Y")</f>
        <v>#NAME?</v>
      </c>
      <c r="BD154" s="1" t="e">
        <f ca="1">_xll.BDH($C$153,"GEO_GROW_BOOK_VAL","FQ1 2014","FQ1 2014","Currency=INR","Period=FQ","BEST_FPERIOD_OVERRIDE=FQ","FILING_STATUS=OR","EQY_CONSOLIDATED=Y","Sort=A","Dates=H","DateFormat=P","Fill=—","Direction=H","UseDPDF=Y")</f>
        <v>#NAME?</v>
      </c>
      <c r="BE154" s="1" t="e">
        <f ca="1">_xll.BDH($C$153,"GEO_GROW_CASH_OPER_ACT","FQ1 2014","FQ1 2014","Currency=INR","Period=FQ","BEST_FPERIOD_OVERRIDE=FQ","FILING_STATUS=OR","EQY_CONSOLIDATED=Y","Sort=A","Dates=H","DateFormat=P","Fill=—","Direction=H","UseDPDF=Y")</f>
        <v>#NAME?</v>
      </c>
      <c r="BF154" s="1" t="e">
        <f ca="1">_xll.BDH($C$153,"REVENUE_SEQUENTIAL_GROWTH","FQ1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54" s="1" t="e">
        <f ca="1">_xll.BDH($C$153,"EBITDA_SEQUENTIAL_GROWTH","FQ1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54" s="1" t="e">
        <f ca="1">_xll.BDH($C$153,"OPERATING_INCOME_SEQ_GROWTH","FQ1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54" s="1" t="e">
        <f ca="1">_xll.BDH($C$153,"NET_INCOME_TO_COMMON_SEQ_GROWTH","FQ1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54" s="1" t="e">
        <f ca="1">_xll.BDH($C$153,"EPS_DILUTED_SEQUENTIAL_GROWTH","FQ1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54" s="1" t="e">
        <f ca="1">_xll.BDH($C$153,"DPS_SEQUENTIAL_GROWTH","FQ1 2014","FQ1 2014","Currency=INR","Period=FQ","BEST_FPERIOD_OVERRIDE=FQ","FILING_STATUS=OR","EQY_CONSOLIDATED=Y","Sort=A","Dates=H","DateFormat=P","Fill=—","Direction=H","UseDPDF=Y")</f>
        <v>#NAME?</v>
      </c>
      <c r="BL154" s="1" t="e">
        <f ca="1">_xll.BDH($C$153,"ACCOUNTS_RECEIVABLE_SEQ_GROWTH","FQ1 2014","FQ1 2014","Currency=INR","Period=FQ","BEST_FPERIOD_OVERRIDE=FQ","FILING_STATUS=OR","EQY_CONSOLIDATED=Y","Sort=A","Dates=H","DateFormat=P","Fill=—","Direction=H","UseDPDF=Y")</f>
        <v>#NAME?</v>
      </c>
      <c r="BM154" s="1" t="e">
        <f ca="1">_xll.BDH($C$153,"INVENTORY_SEQUENTIAL_GROWTH","FQ1 2014","FQ1 2014","Currency=INR","Period=FQ","BEST_FPERIOD_OVERRIDE=FQ","FILING_STATUS=OR","EQY_CONSOLIDATED=Y","Sort=A","Dates=H","DateFormat=P","Fill=—","Direction=H","UseDPDF=Y")</f>
        <v>#NAME?</v>
      </c>
      <c r="BN154" s="1" t="e">
        <f ca="1">_xll.BDH($C$153,"FIXED_ASSETS_SEQUENTIAL_GROWTH","FQ1 2014","FQ1 2014","Currency=INR","Period=FQ","BEST_FPERIOD_OVERRIDE=FQ","FILING_STATUS=OR","EQY_CONSOLIDATED=Y","Sort=A","Dates=H","DateFormat=P","Fill=—","Direction=H","UseDPDF=Y")</f>
        <v>#NAME?</v>
      </c>
      <c r="BO154" s="1" t="e">
        <f ca="1">_xll.BDH($C$153,"TOTAL_ASSETS_SEQUENTIAL_GROWTH","FQ1 2014","FQ1 2014","Currency=INR","Period=FQ","BEST_FPERIOD_OVERRIDE=FQ","FILING_STATUS=OR","EQY_CONSOLIDATED=Y","Sort=A","Dates=H","DateFormat=P","Fill=—","Direction=H","UseDPDF=Y")</f>
        <v>#NAME?</v>
      </c>
      <c r="BP154" s="1" t="e">
        <f ca="1">_xll.BDH($C$153,"MODIFIED_WORKING_CPTL_SEQ_GRWTH","FQ1 2014","FQ1 2014","Currency=INR","Period=FQ","BEST_FPERIOD_OVERRIDE=FQ","FILING_STATUS=OR","EQY_CONSOLIDATED=Y","Sort=A","Dates=H","DateFormat=P","Fill=—","Direction=H","UseDPDF=Y")</f>
        <v>#NAME?</v>
      </c>
      <c r="BQ154" s="1" t="e">
        <f ca="1">_xll.BDH($C$153,"WORKING_CAPITAL_SEQ_GROWTH","FQ1 2014","FQ1 2014","Currency=INR","Period=FQ","BEST_FPERIOD_OVERRIDE=FQ","FILING_STATUS=OR","EQY_CONSOLIDATED=Y","Sort=A","Dates=H","DateFormat=P","Fill=—","Direction=H","UseDPDF=Y")</f>
        <v>#NAME?</v>
      </c>
      <c r="BR154" s="1" t="e">
        <f ca="1">_xll.BDH($C$153,"ACCOUNTS_PAYABLE_SEQ_GROWTH","FQ1 2014","FQ1 2014","Currency=INR","Period=FQ","BEST_FPERIOD_OVERRIDE=FQ","FILING_STATUS=OR","EQY_CONSOLIDATED=Y","Sort=A","Dates=H","DateFormat=P","Fill=—","Direction=H","UseDPDF=Y")</f>
        <v>#NAME?</v>
      </c>
      <c r="BS154" s="1" t="e">
        <f ca="1">_xll.BDH($C$153,"ST_DEBT_SEQUENTIAL_GROWTH","FQ1 2014","FQ1 2014","Currency=INR","Period=FQ","BEST_FPERIOD_OVERRIDE=FQ","FILING_STATUS=OR","EQY_CONSOLIDATED=Y","Sort=A","Dates=H","DateFormat=P","Fill=—","Direction=H","UseDPDF=Y")</f>
        <v>#NAME?</v>
      </c>
      <c r="BT154" s="1" t="e">
        <f ca="1">_xll.BDH($C$153,"TOTAL_DEBT_SEQUENTIAL_GROWTH","FQ1 2014","FQ1 2014","Currency=INR","Period=FQ","BEST_FPERIOD_OVERRIDE=FQ","FILING_STATUS=OR","EQY_CONSOLIDATED=Y","Sort=A","Dates=H","DateFormat=P","Fill=—","Direction=H","UseDPDF=Y")</f>
        <v>#NAME?</v>
      </c>
      <c r="BU154" s="1" t="e">
        <f ca="1">_xll.BDH($C$153,"TOTAL_EQUITY_SEQUENTIAL_GROWTH","FQ1 2014","FQ1 2014","Currency=INR","Period=FQ","BEST_FPERIOD_OVERRIDE=FQ","FILING_STATUS=OR","EQY_CONSOLIDATED=Y","Sort=A","Dates=H","DateFormat=P","Fill=—","Direction=H","UseDPDF=Y")</f>
        <v>#NAME?</v>
      </c>
      <c r="BV154" s="1" t="e">
        <f ca="1">_xll.BDH($C$153,"TOTAL_CAPITAL_SEQUENTIAL_GROWTH","FQ1 2014","FQ1 2014","Currency=INR","Period=FQ","BEST_FPERIOD_OVERRIDE=FQ","FILING_STATUS=OR","EQY_CONSOLIDATED=Y","Sort=A","Dates=H","DateFormat=P","Fill=—","Direction=H","UseDPDF=Y")</f>
        <v>#NAME?</v>
      </c>
      <c r="BW154" s="1" t="e">
        <f ca="1">_xll.BDH($C$153,"BPS_SEQUENTIAL_GROWTH","FQ1 2014","FQ1 2014","Currency=INR","Period=FQ","BEST_FPERIOD_OVERRIDE=FQ","FILING_STATUS=OR","EQY_CONSOLIDATED=Y","Sort=A","Dates=H","DateFormat=P","Fill=—","Direction=H","UseDPDF=Y")</f>
        <v>#NAME?</v>
      </c>
      <c r="BX154" s="1" t="e">
        <f ca="1">_xll.BDH($C$153,"CFO_SEQUENTIAL_GROWTH","FQ1 2014","FQ1 2014","Currency=INR","Period=FQ","BEST_FPERIOD_OVERRIDE=FQ","FILING_STATUS=OR","EQY_CONSOLIDATED=Y","Sort=A","Dates=H","DateFormat=P","Fill=—","Direction=H","UseDPDF=Y")</f>
        <v>#NAME?</v>
      </c>
      <c r="BY154" s="2" t="e">
        <f ca="1">_xll.BDH($C$153,"SHORT_AND_LONG_TERM_DEBT","FQ1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54" s="2" t="e">
        <f ca="1">_xll.BDH($C$153,"BS_ST_BORROW","FQ1 2014","FQ1 2014","Currency=INR","Period=FQ","BEST_FPERIOD_OVERRIDE=FQ","FILING_STATUS=OR","EQY_CONSOLIDATED=Y","SCALING_FORMAT=MLN","Sort=A","Dates=H","DateFormat=P","Fill=—","Direction=H","UseDPDF=Y")</f>
        <v>#NAME?</v>
      </c>
      <c r="CA154" s="2" t="e">
        <f ca="1">_xll.BDH($C$153,"BS_LT_BORROW","FQ1 2014","FQ1 2014","Currency=INR","Period=FQ","BEST_FPERIOD_OVERRIDE=FQ","FILING_STATUS=OR","EQY_CONSOLIDATED=Y","SCALING_FORMAT=MLN","Sort=A","Dates=H","DateFormat=P","Fill=—","Direction=H","UseDPDF=Y")</f>
        <v>#NAME?</v>
      </c>
      <c r="CB154" s="1" t="e">
        <f ca="1">_xll.BDH($C$153,"TOT_DEBT_TO_EBITDA","FQ1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54" s="1" t="e">
        <f ca="1">_xll.BDH($C$153,"NET_DEBT_TO_EBITDA","FQ1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54" s="1" t="e">
        <f ca="1">_xll.BDH($C$153,"TOTAL_DEBT_TO_EBIT","FQ1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54" s="1" t="e">
        <f ca="1">_xll.BDH($C$153,"NET_DEBT_TO_EBIT","FQ1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154" s="1" t="e">
        <f ca="1">_xll.BDH($C$153,"EBITDA_TO_INTEREST_EXPN","FQ1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54" s="1" t="e">
        <f ca="1">_xll.BDH($C$153,"COM_EQY_TO_TOT_ASSET","FQ1 2014","FQ1 2014","Currency=INR","Period=FQ","BEST_FPERIOD_OVERRIDE=FQ","FILING_STATUS=OR","EQY_CONSOLIDATED=Y","Sort=A","Dates=H","DateFormat=P","Fill=—","Direction=H","UseDPDF=Y")</f>
        <v>#NAME?</v>
      </c>
      <c r="CH154" s="1" t="e">
        <f ca="1">_xll.BDH($C$153,"LT_DEBT_TO_TOT_EQY","FQ1 2014","FQ1 2014","Currency=INR","Period=FQ","BEST_FPERIOD_OVERRIDE=FQ","FILING_STATUS=OR","EQY_CONSOLIDATED=Y","Sort=A","Dates=H","DateFormat=P","Fill=—","Direction=H","UseDPDF=Y")</f>
        <v>#NAME?</v>
      </c>
      <c r="CI154" s="1" t="e">
        <f ca="1">_xll.BDH($C$153,"LT_DEBT_TO_TOT_CAP","FQ1 2014","FQ1 2014","Currency=INR","Period=FQ","BEST_FPERIOD_OVERRIDE=FQ","FILING_STATUS=OR","EQY_CONSOLIDATED=Y","Sort=A","Dates=H","DateFormat=P","Fill=—","Direction=H","UseDPDF=Y")</f>
        <v>#NAME?</v>
      </c>
      <c r="CJ154" s="1" t="e">
        <f ca="1">_xll.BDH($C$153,"LT_DEBT_TO_TOT_ASSET","FQ1 2014","FQ1 2014","Currency=INR","Period=FQ","BEST_FPERIOD_OVERRIDE=FQ","FILING_STATUS=OR","EQY_CONSOLIDATED=Y","Sort=A","Dates=H","DateFormat=P","Fill=—","Direction=H","UseDPDF=Y")</f>
        <v>#NAME?</v>
      </c>
      <c r="CK154" s="1" t="e">
        <f ca="1">_xll.BDH($C$153,"TOT_DEBT_TO_TOT_EQY","FQ1 2014","FQ1 2014","Currency=INR","Period=FQ","BEST_FPERIOD_OVERRIDE=FQ","FILING_STATUS=OR","EQY_CONSOLIDATED=Y","Sort=A","Dates=H","DateFormat=P","Fill=—","Direction=H","UseDPDF=Y")</f>
        <v>#NAME?</v>
      </c>
      <c r="CL154" s="1" t="e">
        <f ca="1">_xll.BDH($C$153,"TOT_DEBT_TO_TOT_CAP","FQ1 2014","FQ1 2014","Currency=INR","Period=FQ","BEST_FPERIOD_OVERRIDE=FQ","FILING_STATUS=OR","EQY_CONSOLIDATED=Y","Sort=A","Dates=H","DateFormat=P","Fill=—","Direction=H","UseDPDF=Y")</f>
        <v>#NAME?</v>
      </c>
      <c r="CM154" s="1" t="e">
        <f ca="1">_xll.BDH($C$153,"TOT_DEBT_TO_TOT_ASSET","FQ1 2014","FQ1 2014","Currency=INR","Period=FQ","BEST_FPERIOD_OVERRIDE=FQ","FILING_STATUS=OR","EQY_CONSOLIDATED=Y","Sort=A","Dates=H","DateFormat=P","Fill=—","Direction=H","UseDPDF=Y")</f>
        <v>#NAME?</v>
      </c>
      <c r="CN154" s="1" t="e">
        <f ca="1">_xll.BDH($C$153,"NET_DEBT_TO_SHRHLDR_EQTY","FQ1 2014","FQ1 2014","Currency=INR","Period=FQ","BEST_FPERIOD_OVERRIDE=FQ","FILING_STATUS=OR","EQY_CONSOLIDATED=Y","Sort=A","Dates=H","DateFormat=P","Fill=—","Direction=H","UseDPDF=Y")</f>
        <v>#NAME?</v>
      </c>
      <c r="CO154" s="1" t="e">
        <f ca="1">_xll.BDH($C$153,"NET_DEBT_%_CAPITAL","FQ1 2014","FQ1 2014","Currency=INR","Period=FQ","BEST_FPERIOD_OVERRIDE=FQ","FILING_STATUS=OR","EQY_CONSOLIDATED=Y","Sort=A","Dates=H","DateFormat=P","Fill=—","Direction=H","UseDPDF=Y")</f>
        <v>#NAME?</v>
      </c>
      <c r="CP154" s="2" t="e">
        <f ca="1">_xll.BDH($C$153,"EBITDA","FQ1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54" s="2" t="e">
        <f ca="1">_xll.BDH($C$153,"EBITDA_AFTER_CAPEX","FQ1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54" s="2" t="e">
        <f ca="1">_xll.BDH($C$153,"IS_OPER_INC","FQ1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54" s="1" t="e">
        <f ca="1">_xll.BDH($C$153,"CASH_RATIO","FQ1 2014","FQ1 2014","Currency=INR","Period=FQ","BEST_FPERIOD_OVERRIDE=FQ","FILING_STATUS=OR","EQY_CONSOLIDATED=Y","Sort=A","Dates=H","DateFormat=P","Fill=—","Direction=H","UseDPDF=Y")</f>
        <v>#NAME?</v>
      </c>
      <c r="CT154" s="1" t="e">
        <f ca="1">_xll.BDH($C$153,"CUR_RATIO","FQ1 2014","FQ1 2014","Currency=INR","Period=FQ","BEST_FPERIOD_OVERRIDE=FQ","FILING_STATUS=OR","EQY_CONSOLIDATED=Y","Sort=A","Dates=H","DateFormat=P","Fill=—","Direction=H","UseDPDF=Y")</f>
        <v>#NAME?</v>
      </c>
      <c r="CU154" s="1" t="e">
        <f ca="1">_xll.BDH($C$153,"QUICK_RATIO","FQ1 2014","FQ1 2014","Currency=INR","Period=FQ","BEST_FPERIOD_OVERRIDE=FQ","FILING_STATUS=OR","EQY_CONSOLIDATED=Y","Sort=A","Dates=H","DateFormat=P","Fill=—","Direction=H","UseDPDF=Y")</f>
        <v>#NAME?</v>
      </c>
      <c r="CV154" s="1" t="e">
        <f ca="1">_xll.BDH($C$153,"ALTMAN_Z_SCORE","FQ1 2014","FQ1 2014","Currency=INR","Period=FQ","BEST_FPERIOD_OVERRIDE=FQ","FILING_STATUS=OR","EQY_CONSOLIDATED=Y","Sort=A","Dates=H","DateFormat=P","Fill=—","Direction=H","UseDPDF=Y")</f>
        <v>#NAME?</v>
      </c>
      <c r="CW154" s="3" t="e">
        <f ca="1">_xll.BDH($C$153,"ACCT_RCV_TURN","FQ1 2014","FQ1 2014","Currency=INR","Period=FQ","BEST_FPERIOD_OVERRIDE=FQ","FILING_STATUS=OR","EQY_CONSOLIDATED=Y","FA_ADJUSTED=GAAP","Sort=A","Dates=H","DateFormat=P","Fill=—","Direction=H","UseDPDF=Y")</f>
        <v>#NAME?</v>
      </c>
      <c r="CX154" s="1" t="e">
        <f ca="1">_xll.BDH($C$153,"ACCT_RCV_DAYS","FQ1 2014","FQ1 2014","Currency=INR","Period=FQ","BEST_FPERIOD_OVERRIDE=FQ","FILING_STATUS=OR","EQY_CONSOLIDATED=Y","FA_ADJUSTED=GAAP","Sort=A","Dates=H","DateFormat=P","Fill=—","Direction=H","UseDPDF=Y")</f>
        <v>#NAME?</v>
      </c>
      <c r="CY154" s="3" t="e">
        <f ca="1">_xll.BDH($C$153,"INVENT_TURN","FQ1 2014","FQ1 2014","Currency=INR","Period=FQ","BEST_FPERIOD_OVERRIDE=FQ","FILING_STATUS=OR","EQY_CONSOLIDATED=Y","FA_ADJUSTED=GAAP","Sort=A","Dates=H","DateFormat=P","Fill=—","Direction=H","UseDPDF=Y")</f>
        <v>#NAME?</v>
      </c>
      <c r="CZ154" s="1" t="e">
        <f ca="1">_xll.BDH($C$153,"INVENT_DAYS","FQ1 2014","FQ1 2014","Currency=INR","Period=FQ","BEST_FPERIOD_OVERRIDE=FQ","FILING_STATUS=OR","EQY_CONSOLIDATED=Y","FA_ADJUSTED=GAAP","Sort=A","Dates=H","DateFormat=P","Fill=—","Direction=H","UseDPDF=Y")</f>
        <v>#NAME?</v>
      </c>
      <c r="DA154" s="3" t="e">
        <f ca="1">_xll.BDH($C$153,"ACCOUNTS_PAYABLE_TURNOVER","FQ1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54" s="1" t="e">
        <f ca="1">_xll.BDH($C$153,"ACCOUNTS_PAYABLE_TURNOVER_DAYS","FQ1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54" s="3" t="e">
        <f ca="1">_xll.BDH($C$153,"CASH_CONVERSION_CYCLE","FQ1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54" s="3" t="e">
        <f ca="1">_xll.BDH($C$153,"INV_TO_CASH_DAYS","FQ1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154" s="4" t="e">
        <f ca="1">_xll.BDH($C$153,"BS_INVENTORIES","FQ1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154" s="2" t="e">
        <f ca="1">_xll.BDH($C$153,"INVTRY_RAW_MATERIALS","FQ1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54" s="2" t="e">
        <f ca="1">_xll.BDH($C$153,"INVTRY_IN_PROGRESS","FQ1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54" s="2" t="e">
        <f ca="1">_xll.BDH($C$153,"INVTRY_FINISHED_GOODS","FQ1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54" s="2" t="e">
        <f ca="1">_xll.BDH($C$153,"BS_OTHER_INV","FQ1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55" spans="1:113" x14ac:dyDescent="0.3">
      <c r="A155" s="6"/>
      <c r="B155" s="6"/>
      <c r="C155" s="6"/>
      <c r="D155" s="6"/>
      <c r="E155" t="s">
        <v>5</v>
      </c>
      <c r="F155" t="e">
        <f ca="1">_xll.BDH($C$153,"RETURN_COM_EQY","FQ2 2014","FQ2 2014","Currency=INR","Period=FQ","BEST_FPERIOD_OVERRIDE=FQ","FILING_STATUS=OR","EQY_CONSOLIDATED=Y","FA_ADJUSTED=GAAP","Sort=A","Dates=H","DateFormat=P","Fill=—","Direction=H","UseDPDF=Y")</f>
        <v>#NAME?</v>
      </c>
      <c r="G155" t="e">
        <f ca="1">_xll.BDH($C$153,"RETURN_ON_ASSET","FQ2 2014","FQ2 2014","Currency=INR","Period=FQ","BEST_FPERIOD_OVERRIDE=FQ","FILING_STATUS=OR","EQY_CONSOLIDATED=Y","FA_ADJUSTED=GAAP","Sort=A","Dates=H","DateFormat=P","Fill=—","Direction=H","UseDPDF=Y")</f>
        <v>#NAME?</v>
      </c>
      <c r="H155" t="e">
        <f ca="1">_xll.BDH($C$153,"RETURN_ON_CAP","FQ2 2014","FQ2 2014","Currency=INR","Period=FQ","BEST_FPERIOD_OVERRIDE=FQ","FILING_STATUS=OR","EQY_CONSOLIDATED=Y","FA_ADJUSTED=GAAP","Sort=A","Dates=H","DateFormat=P","Fill=—","Direction=H","UseDPDF=Y")</f>
        <v>#NAME?</v>
      </c>
      <c r="I155" t="e">
        <f ca="1">_xll.BDH($C$153,"RETURN_ON_INV_CAPITAL","FQ2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55" t="e">
        <f ca="1">_xll.BDH($C$153,"EBITDA_TO_REVENUE","FQ2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155" t="e">
        <f ca="1">_xll.BDH($C$153,"OPER_MARGIN","FQ2 2014","FQ2 2014","Currency=INR","Period=FQ","BEST_FPERIOD_OVERRIDE=FQ","FILING_STATUS=OR","EQY_CONSOLIDATED=Y","FA_ADJUSTED=GAAP","Sort=A","Dates=H","DateFormat=P","Fill=—","Direction=H","UseDPDF=Y")</f>
        <v>#NAME?</v>
      </c>
      <c r="L155" t="e">
        <f ca="1">_xll.BDH($C$153,"INCREMENTAL_OPERATING_MARGIN","FQ2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55" t="e">
        <f ca="1">_xll.BDH($C$153,"PRETAX_INC_TO_NET_SALES","FQ2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55" t="e">
        <f ca="1">_xll.BDH($C$153,"INC_BEF_XO_ITEMS_TO_NET_SALES","FQ2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55" t="e">
        <f ca="1">_xll.BDH($C$153,"PROF_MARGIN","FQ2 2014","FQ2 2014","Currency=INR","Period=FQ","BEST_FPERIOD_OVERRIDE=FQ","FILING_STATUS=OR","EQY_CONSOLIDATED=Y","FA_ADJUSTED=GAAP","Sort=A","Dates=H","DateFormat=P","Fill=—","Direction=H","UseDPDF=Y")</f>
        <v>#NAME?</v>
      </c>
      <c r="P155" t="e">
        <f ca="1">_xll.BDH($C$153,"NET_INCOME_TO_COMMON_MARGIN","FQ2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55" t="e">
        <f ca="1">_xll.BDH($C$153,"EFF_TAX_RATE","FQ2 2014","FQ2 2014","Currency=INR","Period=FQ","BEST_FPERIOD_OVERRIDE=FQ","FILING_STATUS=OR","EQY_CONSOLIDATED=Y","FA_ADJUSTED=GAAP","Sort=A","Dates=H","DateFormat=P","Fill=—","Direction=H","UseDPDF=Y")</f>
        <v>#NAME?</v>
      </c>
      <c r="R155" t="e">
        <f ca="1">_xll.BDH($C$153,"DVD_PAYOUT_RATIO","FQ2 2014","FQ2 2014","Currency=INR","Period=FQ","BEST_FPERIOD_OVERRIDE=FQ","FILING_STATUS=OR","EQY_CONSOLIDATED=Y","FA_ADJUSTED=GAAP","Sort=A","Dates=H","DateFormat=P","Fill=—","Direction=H","UseDPDF=Y")</f>
        <v>#NAME?</v>
      </c>
      <c r="S155" t="e">
        <f ca="1">_xll.BDH($C$153,"SUSTAIN_GROWTH_RT","FQ2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155" s="1" t="e">
        <f ca="1">_xll.BDH($C$153,"SALES_GROWTH","FQ2 2014","FQ2 2014","Currency=INR","Period=FQ","BEST_FPERIOD_OVERRIDE=FQ","FILING_STATUS=OR","EQY_CONSOLIDATED=Y","FA_ADJUSTED=GAAP","Sort=A","Dates=H","DateFormat=P","Fill=—","Direction=H","UseDPDF=Y")</f>
        <v>#NAME?</v>
      </c>
      <c r="U155" s="1" t="e">
        <f ca="1">_xll.BDH($C$153,"EBITDA_GROWTH","FQ2 2014","FQ2 2014","Currency=INR","Period=FQ","BEST_FPERIOD_OVERRIDE=FQ","FILING_STATUS=OR","EQY_CONSOLIDATED=Y","FA_ADJUSTED=GAAP","Sort=A","Dates=H","DateFormat=P","Fill=—","Direction=H","UseDPDF=Y")</f>
        <v>#NAME?</v>
      </c>
      <c r="V155" s="1" t="e">
        <f ca="1">_xll.BDH($C$153,"OPER_INC_GROWTH","FQ2 2014","FQ2 2014","Currency=INR","Period=FQ","BEST_FPERIOD_OVERRIDE=FQ","FILING_STATUS=OR","EQY_CONSOLIDATED=Y","FA_ADJUSTED=GAAP","Sort=A","Dates=H","DateFormat=P","Fill=—","Direction=H","UseDPDF=Y")</f>
        <v>#NAME?</v>
      </c>
      <c r="W155" s="1" t="e">
        <f ca="1">_xll.BDH($C$153,"EARN_FOR_COM_GROWTH","FQ2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55" s="1" t="e">
        <f ca="1">_xll.BDH($C$153,"DILUTED_EPS_AFT_XO_ITEMS_GROWTH","FQ2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55" s="1" t="e">
        <f ca="1">_xll.BDH($C$153,"DIVIDEND_PER_SHARE_1_YEAR_GROWTH","FQ2 2014","FQ2 2014","Currency=INR","Period=FQ","BEST_FPERIOD_OVERRIDE=FQ","FILING_STATUS=OR","EQY_CONSOLIDATED=Y","Sort=A","Dates=H","DateFormat=P","Fill=—","Direction=H","UseDPDF=Y")</f>
        <v>#NAME?</v>
      </c>
      <c r="Z155" s="1" t="e">
        <f ca="1">_xll.BDH($C$153,"ACCOUNTS_RECEIVABLE_GROWTH","FQ2 2014","FQ2 2014","Currency=INR","Period=FQ","BEST_FPERIOD_OVERRIDE=FQ","FILING_STATUS=OR","EQY_CONSOLIDATED=Y","Sort=A","Dates=H","DateFormat=P","Fill=—","Direction=H","UseDPDF=Y")</f>
        <v>#NAME?</v>
      </c>
      <c r="AA155" s="1" t="e">
        <f ca="1">_xll.BDH($C$153,"INVENTORY_GROWTH","FQ2 2014","FQ2 2014","Currency=INR","Period=FQ","BEST_FPERIOD_OVERRIDE=FQ","FILING_STATUS=OR","EQY_CONSOLIDATED=Y","Sort=A","Dates=H","DateFormat=P","Fill=—","Direction=H","UseDPDF=Y")</f>
        <v>#NAME?</v>
      </c>
      <c r="AB155" s="1" t="e">
        <f ca="1">_xll.BDH($C$153,"NET_FIXED_ASSETS_1_YEAR_GROWTH","FQ2 2014","FQ2 2014","Currency=INR","Period=FQ","BEST_FPERIOD_OVERRIDE=FQ","FILING_STATUS=OR","EQY_CONSOLIDATED=Y","Sort=A","Dates=H","DateFormat=P","Fill=—","Direction=H","UseDPDF=Y")</f>
        <v>#NAME?</v>
      </c>
      <c r="AC155" s="1" t="e">
        <f ca="1">_xll.BDH($C$153,"ASSET_GROWTH","FQ2 2014","FQ2 2014","Currency=INR","Period=FQ","BEST_FPERIOD_OVERRIDE=FQ","FILING_STATUS=OR","EQY_CONSOLIDATED=Y","Sort=A","Dates=H","DateFormat=P","Fill=—","Direction=H","UseDPDF=Y")</f>
        <v>#NAME?</v>
      </c>
      <c r="AD155" s="1" t="e">
        <f ca="1">_xll.BDH($C$153,"MODIFIED_WORK_CAP_GROWTH","FQ2 2014","FQ2 2014","Currency=INR","Period=FQ","BEST_FPERIOD_OVERRIDE=FQ","FILING_STATUS=OR","EQY_CONSOLIDATED=Y","Sort=A","Dates=H","DateFormat=P","Fill=—","Direction=H","UseDPDF=Y")</f>
        <v>#NAME?</v>
      </c>
      <c r="AE155" s="1" t="e">
        <f ca="1">_xll.BDH($C$153,"WORK_CAP_GROWTH","FQ2 2014","FQ2 2014","Currency=INR","Period=FQ","BEST_FPERIOD_OVERRIDE=FQ","FILING_STATUS=OR","EQY_CONSOLIDATED=Y","Sort=A","Dates=H","DateFormat=P","Fill=—","Direction=H","UseDPDF=Y")</f>
        <v>#NAME?</v>
      </c>
      <c r="AF155" s="1" t="e">
        <f ca="1">_xll.BDH($C$153,"ACCOUNTS_PAYABLE_GROWTH_1YR","FQ2 2014","FQ2 2014","Currency=INR","Period=FQ","BEST_FPERIOD_OVERRIDE=FQ","FILING_STATUS=OR","EQY_CONSOLIDATED=Y","Sort=A","Dates=H","DateFormat=P","Fill=—","Direction=H","UseDPDF=Y")</f>
        <v>#NAME?</v>
      </c>
      <c r="AG155" s="1" t="e">
        <f ca="1">_xll.BDH($C$153,"SHORT_TERM_DEBT_1_YEAR_GROWTH","FQ2 2014","FQ2 2014","Currency=INR","Period=FQ","BEST_FPERIOD_OVERRIDE=FQ","FILING_STATUS=OR","EQY_CONSOLIDATED=Y","Sort=A","Dates=H","DateFormat=P","Fill=—","Direction=H","UseDPDF=Y")</f>
        <v>#NAME?</v>
      </c>
      <c r="AH155" s="1" t="e">
        <f ca="1">_xll.BDH($C$153,"TOTAL_DEBT_1_YEAR_GROWTH","FQ2 2014","FQ2 2014","Currency=INR","Period=FQ","BEST_FPERIOD_OVERRIDE=FQ","FILING_STATUS=OR","EQY_CONSOLIDATED=Y","Sort=A","Dates=H","DateFormat=P","Fill=—","Direction=H","UseDPDF=Y")</f>
        <v>#NAME?</v>
      </c>
      <c r="AI155" s="1" t="e">
        <f ca="1">_xll.BDH($C$153,"TOTAL_EQUITY_1_YEAR_GROWTH","FQ2 2014","FQ2 2014","Currency=INR","Period=FQ","BEST_FPERIOD_OVERRIDE=FQ","FILING_STATUS=OR","EQY_CONSOLIDATED=Y","Sort=A","Dates=H","DateFormat=P","Fill=—","Direction=H","UseDPDF=Y")</f>
        <v>#NAME?</v>
      </c>
      <c r="AJ155" s="1" t="e">
        <f ca="1">_xll.BDH($C$153,"GROWTH_IN_CAP","FQ2 2014","FQ2 2014","Currency=INR","Period=FQ","BEST_FPERIOD_OVERRIDE=FQ","FILING_STATUS=OR","EQY_CONSOLIDATED=Y","Sort=A","Dates=H","DateFormat=P","Fill=—","Direction=H","UseDPDF=Y")</f>
        <v>#NAME?</v>
      </c>
      <c r="AK155" s="1" t="e">
        <f ca="1">_xll.BDH($C$153,"BVPS_GROWTH","FQ2 2014","FQ2 2014","Currency=INR","Period=FQ","BEST_FPERIOD_OVERRIDE=FQ","FILING_STATUS=OR","EQY_CONSOLIDATED=Y","Sort=A","Dates=H","DateFormat=P","Fill=—","Direction=H","UseDPDF=Y")</f>
        <v>#NAME?</v>
      </c>
      <c r="AL155" s="1" t="e">
        <f ca="1">_xll.BDH($C$153,"CASH_FLOW_GROWTH","FQ2 2014","FQ2 2014","Currency=INR","Period=FQ","BEST_FPERIOD_OVERRIDE=FQ","FILING_STATUS=OR","EQY_CONSOLIDATED=Y","Sort=A","Dates=H","DateFormat=P","Fill=—","Direction=H","UseDPDF=Y")</f>
        <v>#NAME?</v>
      </c>
      <c r="AM155" s="1" t="e">
        <f ca="1">_xll.BDH($C$153,"GEO_GROW_NET_SALES","FQ2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55" s="1" t="e">
        <f ca="1">_xll.BDH($C$153,"GEO_GROW_EBITDA","FQ2 2014","FQ2 2014","Currency=INR","Period=FQ","BEST_FPERIOD_OVERRIDE=FQ","FILING_STATUS=OR","EQY_CONSOLIDATED=Y","FA_ADJUSTED=GAAP","Sort=A","Dates=H","DateFormat=P","Fill=—","Direction=H","UseDPDF=Y")</f>
        <v>#NAME?</v>
      </c>
      <c r="AO155" s="1" t="e">
        <f ca="1">_xll.BDH($C$153,"GEO_GROW_OPER_INC","FQ2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55" s="1" t="e">
        <f ca="1">_xll.BDH($C$153,"NET_INCOME_TO_COMMON_5_YR_GROWTH","FQ2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55" s="1" t="e">
        <f ca="1">_xll.BDH($C$153,"5Y_GEO_GROWTH_DILUTED_EPS","FQ2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55" s="1" t="e">
        <f ca="1">_xll.BDH($C$153,"GEO_GROW_DVD_PER_SH","FQ2 2014","FQ2 2014","Currency=INR","Period=FQ","BEST_FPERIOD_OVERRIDE=FQ","FILING_STATUS=OR","EQY_CONSOLIDATED=Y","Sort=A","Dates=H","DateFormat=P","Fill=—","Direction=H","UseDPDF=Y")</f>
        <v>#NAME?</v>
      </c>
      <c r="AS155" s="1" t="e">
        <f ca="1">_xll.BDH($C$153,"ACCOUNTS_RECEIVABLE_5_YR_GROWTH","FQ2 2014","FQ2 2014","Currency=INR","Period=FQ","BEST_FPERIOD_OVERRIDE=FQ","FILING_STATUS=OR","EQY_CONSOLIDATED=Y","Sort=A","Dates=H","DateFormat=P","Fill=—","Direction=H","UseDPDF=Y")</f>
        <v>#NAME?</v>
      </c>
      <c r="AT155" s="1" t="e">
        <f ca="1">_xll.BDH($C$153,"INVENTORY_5_YEAR_GROWTH","FQ2 2014","FQ2 2014","Currency=INR","Period=FQ","BEST_FPERIOD_OVERRIDE=FQ","FILING_STATUS=OR","EQY_CONSOLIDATED=Y","Sort=A","Dates=H","DateFormat=P","Fill=—","Direction=H","UseDPDF=Y")</f>
        <v>#NAME?</v>
      </c>
      <c r="AU155" s="1" t="e">
        <f ca="1">_xll.BDH($C$153,"NET_FIXED_ASSETS_5_YEAR_GROWTH","FQ2 2014","FQ2 2014","Currency=INR","Period=FQ","BEST_FPERIOD_OVERRIDE=FQ","FILING_STATUS=OR","EQY_CONSOLIDATED=Y","Sort=A","Dates=H","DateFormat=P","Fill=—","Direction=H","UseDPDF=Y")</f>
        <v>#NAME?</v>
      </c>
      <c r="AV155" s="1" t="e">
        <f ca="1">_xll.BDH($C$153,"GEO_GROW_TOT_ASSET","FQ2 2014","FQ2 2014","Currency=INR","Period=FQ","BEST_FPERIOD_OVERRIDE=FQ","FILING_STATUS=OR","EQY_CONSOLIDATED=Y","Sort=A","Dates=H","DateFormat=P","Fill=—","Direction=H","UseDPDF=Y")</f>
        <v>#NAME?</v>
      </c>
      <c r="AW155" s="1" t="e">
        <f ca="1">_xll.BDH($C$153,"MODIFIED_WORKING_CPTL_5YR_GRWTH","FQ2 2014","FQ2 2014","Currency=INR","Period=FQ","BEST_FPERIOD_OVERRIDE=FQ","FILING_STATUS=OR","EQY_CONSOLIDATED=Y","Sort=A","Dates=H","DateFormat=P","Fill=—","Direction=H","UseDPDF=Y")</f>
        <v>#NAME?</v>
      </c>
      <c r="AX155" s="1" t="e">
        <f ca="1">_xll.BDH($C$153,"WORKING_CAPITAL_5_YEAR_GROWTH","FQ2 2014","FQ2 2014","Currency=INR","Period=FQ","BEST_FPERIOD_OVERRIDE=FQ","FILING_STATUS=OR","EQY_CONSOLIDATED=Y","Sort=A","Dates=H","DateFormat=P","Fill=—","Direction=H","UseDPDF=Y")</f>
        <v>#NAME?</v>
      </c>
      <c r="AY155" s="1" t="e">
        <f ca="1">_xll.BDH($C$153,"ACCOUNTS_PAYABLE_5_YEAR_GROWTH","FQ2 2014","FQ2 2014","Currency=INR","Period=FQ","BEST_FPERIOD_OVERRIDE=FQ","FILING_STATUS=OR","EQY_CONSOLIDATED=Y","Sort=A","Dates=H","DateFormat=P","Fill=—","Direction=H","UseDPDF=Y")</f>
        <v>#NAME?</v>
      </c>
      <c r="AZ155" s="1" t="e">
        <f ca="1">_xll.BDH($C$153,"SHORT_TERM_DEBT_5_YEAR_GROWTH","FQ2 2014","FQ2 2014","Currency=INR","Period=FQ","BEST_FPERIOD_OVERRIDE=FQ","FILING_STATUS=OR","EQY_CONSOLIDATED=Y","Sort=A","Dates=H","DateFormat=P","Fill=—","Direction=H","UseDPDF=Y")</f>
        <v>#NAME?</v>
      </c>
      <c r="BA155" s="1" t="e">
        <f ca="1">_xll.BDH($C$153,"TOTAL_DEBT_5_YEAR_GROWTH","FQ2 2014","FQ2 2014","Currency=INR","Period=FQ","BEST_FPERIOD_OVERRIDE=FQ","FILING_STATUS=OR","EQY_CONSOLIDATED=Y","Sort=A","Dates=H","DateFormat=P","Fill=—","Direction=H","UseDPDF=Y")</f>
        <v>#NAME?</v>
      </c>
      <c r="BB155" s="1" t="e">
        <f ca="1">_xll.BDH($C$153,"GEO_GROW_TOT_SHRHLDR_EQY","FQ2 2014","FQ2 2014","Currency=INR","Period=FQ","BEST_FPERIOD_OVERRIDE=FQ","FILING_STATUS=OR","EQY_CONSOLIDATED=Y","Sort=A","Dates=H","DateFormat=P","Fill=—","Direction=H","UseDPDF=Y")</f>
        <v>#NAME?</v>
      </c>
      <c r="BC155" s="1" t="e">
        <f ca="1">_xll.BDH($C$153,"TOTAL_CAPITAL_5_YEAR_GROWTH","FQ2 2014","FQ2 2014","Currency=INR","Period=FQ","BEST_FPERIOD_OVERRIDE=FQ","FILING_STATUS=OR","EQY_CONSOLIDATED=Y","Sort=A","Dates=H","DateFormat=P","Fill=—","Direction=H","UseDPDF=Y")</f>
        <v>#NAME?</v>
      </c>
      <c r="BD155" s="1" t="e">
        <f ca="1">_xll.BDH($C$153,"GEO_GROW_BOOK_VAL","FQ2 2014","FQ2 2014","Currency=INR","Period=FQ","BEST_FPERIOD_OVERRIDE=FQ","FILING_STATUS=OR","EQY_CONSOLIDATED=Y","Sort=A","Dates=H","DateFormat=P","Fill=—","Direction=H","UseDPDF=Y")</f>
        <v>#NAME?</v>
      </c>
      <c r="BE155" s="1" t="e">
        <f ca="1">_xll.BDH($C$153,"GEO_GROW_CASH_OPER_ACT","FQ2 2014","FQ2 2014","Currency=INR","Period=FQ","BEST_FPERIOD_OVERRIDE=FQ","FILING_STATUS=OR","EQY_CONSOLIDATED=Y","Sort=A","Dates=H","DateFormat=P","Fill=—","Direction=H","UseDPDF=Y")</f>
        <v>#NAME?</v>
      </c>
      <c r="BF155" s="1" t="e">
        <f ca="1">_xll.BDH($C$153,"REVENUE_SEQUENTIAL_GROWTH","FQ2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55" s="1" t="e">
        <f ca="1">_xll.BDH($C$153,"EBITDA_SEQUENTIAL_GROWTH","FQ2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55" s="1" t="e">
        <f ca="1">_xll.BDH($C$153,"OPERATING_INCOME_SEQ_GROWTH","FQ2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55" s="1" t="e">
        <f ca="1">_xll.BDH($C$153,"NET_INCOME_TO_COMMON_SEQ_GROWTH","FQ2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55" s="1" t="e">
        <f ca="1">_xll.BDH($C$153,"EPS_DILUTED_SEQUENTIAL_GROWTH","FQ2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55" s="1" t="e">
        <f ca="1">_xll.BDH($C$153,"DPS_SEQUENTIAL_GROWTH","FQ2 2014","FQ2 2014","Currency=INR","Period=FQ","BEST_FPERIOD_OVERRIDE=FQ","FILING_STATUS=OR","EQY_CONSOLIDATED=Y","Sort=A","Dates=H","DateFormat=P","Fill=—","Direction=H","UseDPDF=Y")</f>
        <v>#NAME?</v>
      </c>
      <c r="BL155" s="1" t="e">
        <f ca="1">_xll.BDH($C$153,"ACCOUNTS_RECEIVABLE_SEQ_GROWTH","FQ2 2014","FQ2 2014","Currency=INR","Period=FQ","BEST_FPERIOD_OVERRIDE=FQ","FILING_STATUS=OR","EQY_CONSOLIDATED=Y","Sort=A","Dates=H","DateFormat=P","Fill=—","Direction=H","UseDPDF=Y")</f>
        <v>#NAME?</v>
      </c>
      <c r="BM155" s="1" t="e">
        <f ca="1">_xll.BDH($C$153,"INVENTORY_SEQUENTIAL_GROWTH","FQ2 2014","FQ2 2014","Currency=INR","Period=FQ","BEST_FPERIOD_OVERRIDE=FQ","FILING_STATUS=OR","EQY_CONSOLIDATED=Y","Sort=A","Dates=H","DateFormat=P","Fill=—","Direction=H","UseDPDF=Y")</f>
        <v>#NAME?</v>
      </c>
      <c r="BN155" s="1" t="e">
        <f ca="1">_xll.BDH($C$153,"FIXED_ASSETS_SEQUENTIAL_GROWTH","FQ2 2014","FQ2 2014","Currency=INR","Period=FQ","BEST_FPERIOD_OVERRIDE=FQ","FILING_STATUS=OR","EQY_CONSOLIDATED=Y","Sort=A","Dates=H","DateFormat=P","Fill=—","Direction=H","UseDPDF=Y")</f>
        <v>#NAME?</v>
      </c>
      <c r="BO155" s="1" t="e">
        <f ca="1">_xll.BDH($C$153,"TOTAL_ASSETS_SEQUENTIAL_GROWTH","FQ2 2014","FQ2 2014","Currency=INR","Period=FQ","BEST_FPERIOD_OVERRIDE=FQ","FILING_STATUS=OR","EQY_CONSOLIDATED=Y","Sort=A","Dates=H","DateFormat=P","Fill=—","Direction=H","UseDPDF=Y")</f>
        <v>#NAME?</v>
      </c>
      <c r="BP155" s="1" t="e">
        <f ca="1">_xll.BDH($C$153,"MODIFIED_WORKING_CPTL_SEQ_GRWTH","FQ2 2014","FQ2 2014","Currency=INR","Period=FQ","BEST_FPERIOD_OVERRIDE=FQ","FILING_STATUS=OR","EQY_CONSOLIDATED=Y","Sort=A","Dates=H","DateFormat=P","Fill=—","Direction=H","UseDPDF=Y")</f>
        <v>#NAME?</v>
      </c>
      <c r="BQ155" s="1" t="e">
        <f ca="1">_xll.BDH($C$153,"WORKING_CAPITAL_SEQ_GROWTH","FQ2 2014","FQ2 2014","Currency=INR","Period=FQ","BEST_FPERIOD_OVERRIDE=FQ","FILING_STATUS=OR","EQY_CONSOLIDATED=Y","Sort=A","Dates=H","DateFormat=P","Fill=—","Direction=H","UseDPDF=Y")</f>
        <v>#NAME?</v>
      </c>
      <c r="BR155" s="1" t="e">
        <f ca="1">_xll.BDH($C$153,"ACCOUNTS_PAYABLE_SEQ_GROWTH","FQ2 2014","FQ2 2014","Currency=INR","Period=FQ","BEST_FPERIOD_OVERRIDE=FQ","FILING_STATUS=OR","EQY_CONSOLIDATED=Y","Sort=A","Dates=H","DateFormat=P","Fill=—","Direction=H","UseDPDF=Y")</f>
        <v>#NAME?</v>
      </c>
      <c r="BS155" s="1" t="e">
        <f ca="1">_xll.BDH($C$153,"ST_DEBT_SEQUENTIAL_GROWTH","FQ2 2014","FQ2 2014","Currency=INR","Period=FQ","BEST_FPERIOD_OVERRIDE=FQ","FILING_STATUS=OR","EQY_CONSOLIDATED=Y","Sort=A","Dates=H","DateFormat=P","Fill=—","Direction=H","UseDPDF=Y")</f>
        <v>#NAME?</v>
      </c>
      <c r="BT155" s="1" t="e">
        <f ca="1">_xll.BDH($C$153,"TOTAL_DEBT_SEQUENTIAL_GROWTH","FQ2 2014","FQ2 2014","Currency=INR","Period=FQ","BEST_FPERIOD_OVERRIDE=FQ","FILING_STATUS=OR","EQY_CONSOLIDATED=Y","Sort=A","Dates=H","DateFormat=P","Fill=—","Direction=H","UseDPDF=Y")</f>
        <v>#NAME?</v>
      </c>
      <c r="BU155" s="1" t="e">
        <f ca="1">_xll.BDH($C$153,"TOTAL_EQUITY_SEQUENTIAL_GROWTH","FQ2 2014","FQ2 2014","Currency=INR","Period=FQ","BEST_FPERIOD_OVERRIDE=FQ","FILING_STATUS=OR","EQY_CONSOLIDATED=Y","Sort=A","Dates=H","DateFormat=P","Fill=—","Direction=H","UseDPDF=Y")</f>
        <v>#NAME?</v>
      </c>
      <c r="BV155" s="1" t="e">
        <f ca="1">_xll.BDH($C$153,"TOTAL_CAPITAL_SEQUENTIAL_GROWTH","FQ2 2014","FQ2 2014","Currency=INR","Period=FQ","BEST_FPERIOD_OVERRIDE=FQ","FILING_STATUS=OR","EQY_CONSOLIDATED=Y","Sort=A","Dates=H","DateFormat=P","Fill=—","Direction=H","UseDPDF=Y")</f>
        <v>#NAME?</v>
      </c>
      <c r="BW155" s="1" t="e">
        <f ca="1">_xll.BDH($C$153,"BPS_SEQUENTIAL_GROWTH","FQ2 2014","FQ2 2014","Currency=INR","Period=FQ","BEST_FPERIOD_OVERRIDE=FQ","FILING_STATUS=OR","EQY_CONSOLIDATED=Y","Sort=A","Dates=H","DateFormat=P","Fill=—","Direction=H","UseDPDF=Y")</f>
        <v>#NAME?</v>
      </c>
      <c r="BX155" s="1" t="e">
        <f ca="1">_xll.BDH($C$153,"CFO_SEQUENTIAL_GROWTH","FQ2 2014","FQ2 2014","Currency=INR","Period=FQ","BEST_FPERIOD_OVERRIDE=FQ","FILING_STATUS=OR","EQY_CONSOLIDATED=Y","Sort=A","Dates=H","DateFormat=P","Fill=—","Direction=H","UseDPDF=Y")</f>
        <v>#NAME?</v>
      </c>
      <c r="BY155" s="2" t="e">
        <f ca="1">_xll.BDH($C$153,"SHORT_AND_LONG_TERM_DEBT","FQ2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55" s="2" t="e">
        <f ca="1">_xll.BDH($C$153,"BS_ST_BORROW","FQ2 2014","FQ2 2014","Currency=INR","Period=FQ","BEST_FPERIOD_OVERRIDE=FQ","FILING_STATUS=OR","EQY_CONSOLIDATED=Y","SCALING_FORMAT=MLN","Sort=A","Dates=H","DateFormat=P","Fill=—","Direction=H","UseDPDF=Y")</f>
        <v>#NAME?</v>
      </c>
      <c r="CA155" s="2" t="e">
        <f ca="1">_xll.BDH($C$153,"BS_LT_BORROW","FQ2 2014","FQ2 2014","Currency=INR","Period=FQ","BEST_FPERIOD_OVERRIDE=FQ","FILING_STATUS=OR","EQY_CONSOLIDATED=Y","SCALING_FORMAT=MLN","Sort=A","Dates=H","DateFormat=P","Fill=—","Direction=H","UseDPDF=Y")</f>
        <v>#NAME?</v>
      </c>
      <c r="CB155" s="1" t="e">
        <f ca="1">_xll.BDH($C$153,"TOT_DEBT_TO_EBITDA","FQ2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55" s="1" t="e">
        <f ca="1">_xll.BDH($C$153,"NET_DEBT_TO_EBITDA","FQ2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55" s="1" t="e">
        <f ca="1">_xll.BDH($C$153,"TOTAL_DEBT_TO_EBIT","FQ2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55" s="1" t="e">
        <f ca="1">_xll.BDH($C$153,"NET_DEBT_TO_EBIT","FQ2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155" s="1" t="e">
        <f ca="1">_xll.BDH($C$153,"EBITDA_TO_INTEREST_EXPN","FQ2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55" s="1" t="e">
        <f ca="1">_xll.BDH($C$153,"COM_EQY_TO_TOT_ASSET","FQ2 2014","FQ2 2014","Currency=INR","Period=FQ","BEST_FPERIOD_OVERRIDE=FQ","FILING_STATUS=OR","EQY_CONSOLIDATED=Y","Sort=A","Dates=H","DateFormat=P","Fill=—","Direction=H","UseDPDF=Y")</f>
        <v>#NAME?</v>
      </c>
      <c r="CH155" s="1" t="e">
        <f ca="1">_xll.BDH($C$153,"LT_DEBT_TO_TOT_EQY","FQ2 2014","FQ2 2014","Currency=INR","Period=FQ","BEST_FPERIOD_OVERRIDE=FQ","FILING_STATUS=OR","EQY_CONSOLIDATED=Y","Sort=A","Dates=H","DateFormat=P","Fill=—","Direction=H","UseDPDF=Y")</f>
        <v>#NAME?</v>
      </c>
      <c r="CI155" s="1" t="e">
        <f ca="1">_xll.BDH($C$153,"LT_DEBT_TO_TOT_CAP","FQ2 2014","FQ2 2014","Currency=INR","Period=FQ","BEST_FPERIOD_OVERRIDE=FQ","FILING_STATUS=OR","EQY_CONSOLIDATED=Y","Sort=A","Dates=H","DateFormat=P","Fill=—","Direction=H","UseDPDF=Y")</f>
        <v>#NAME?</v>
      </c>
      <c r="CJ155" s="1" t="e">
        <f ca="1">_xll.BDH($C$153,"LT_DEBT_TO_TOT_ASSET","FQ2 2014","FQ2 2014","Currency=INR","Period=FQ","BEST_FPERIOD_OVERRIDE=FQ","FILING_STATUS=OR","EQY_CONSOLIDATED=Y","Sort=A","Dates=H","DateFormat=P","Fill=—","Direction=H","UseDPDF=Y")</f>
        <v>#NAME?</v>
      </c>
      <c r="CK155" s="1" t="e">
        <f ca="1">_xll.BDH($C$153,"TOT_DEBT_TO_TOT_EQY","FQ2 2014","FQ2 2014","Currency=INR","Period=FQ","BEST_FPERIOD_OVERRIDE=FQ","FILING_STATUS=OR","EQY_CONSOLIDATED=Y","Sort=A","Dates=H","DateFormat=P","Fill=—","Direction=H","UseDPDF=Y")</f>
        <v>#NAME?</v>
      </c>
      <c r="CL155" s="1" t="e">
        <f ca="1">_xll.BDH($C$153,"TOT_DEBT_TO_TOT_CAP","FQ2 2014","FQ2 2014","Currency=INR","Period=FQ","BEST_FPERIOD_OVERRIDE=FQ","FILING_STATUS=OR","EQY_CONSOLIDATED=Y","Sort=A","Dates=H","DateFormat=P","Fill=—","Direction=H","UseDPDF=Y")</f>
        <v>#NAME?</v>
      </c>
      <c r="CM155" s="1" t="e">
        <f ca="1">_xll.BDH($C$153,"TOT_DEBT_TO_TOT_ASSET","FQ2 2014","FQ2 2014","Currency=INR","Period=FQ","BEST_FPERIOD_OVERRIDE=FQ","FILING_STATUS=OR","EQY_CONSOLIDATED=Y","Sort=A","Dates=H","DateFormat=P","Fill=—","Direction=H","UseDPDF=Y")</f>
        <v>#NAME?</v>
      </c>
      <c r="CN155" s="1" t="e">
        <f ca="1">_xll.BDH($C$153,"NET_DEBT_TO_SHRHLDR_EQTY","FQ2 2014","FQ2 2014","Currency=INR","Period=FQ","BEST_FPERIOD_OVERRIDE=FQ","FILING_STATUS=OR","EQY_CONSOLIDATED=Y","Sort=A","Dates=H","DateFormat=P","Fill=—","Direction=H","UseDPDF=Y")</f>
        <v>#NAME?</v>
      </c>
      <c r="CO155" s="1" t="e">
        <f ca="1">_xll.BDH($C$153,"NET_DEBT_%_CAPITAL","FQ2 2014","FQ2 2014","Currency=INR","Period=FQ","BEST_FPERIOD_OVERRIDE=FQ","FILING_STATUS=OR","EQY_CONSOLIDATED=Y","Sort=A","Dates=H","DateFormat=P","Fill=—","Direction=H","UseDPDF=Y")</f>
        <v>#NAME?</v>
      </c>
      <c r="CP155" s="2" t="e">
        <f ca="1">_xll.BDH($C$153,"EBITDA","FQ2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55" s="2" t="e">
        <f ca="1">_xll.BDH($C$153,"EBITDA_AFTER_CAPEX","FQ2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55" s="2" t="e">
        <f ca="1">_xll.BDH($C$153,"IS_OPER_INC","FQ2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55" s="1" t="e">
        <f ca="1">_xll.BDH($C$153,"CASH_RATIO","FQ2 2014","FQ2 2014","Currency=INR","Period=FQ","BEST_FPERIOD_OVERRIDE=FQ","FILING_STATUS=OR","EQY_CONSOLIDATED=Y","Sort=A","Dates=H","DateFormat=P","Fill=—","Direction=H","UseDPDF=Y")</f>
        <v>#NAME?</v>
      </c>
      <c r="CT155" s="1" t="e">
        <f ca="1">_xll.BDH($C$153,"CUR_RATIO","FQ2 2014","FQ2 2014","Currency=INR","Period=FQ","BEST_FPERIOD_OVERRIDE=FQ","FILING_STATUS=OR","EQY_CONSOLIDATED=Y","Sort=A","Dates=H","DateFormat=P","Fill=—","Direction=H","UseDPDF=Y")</f>
        <v>#NAME?</v>
      </c>
      <c r="CU155" s="1" t="e">
        <f ca="1">_xll.BDH($C$153,"QUICK_RATIO","FQ2 2014","FQ2 2014","Currency=INR","Period=FQ","BEST_FPERIOD_OVERRIDE=FQ","FILING_STATUS=OR","EQY_CONSOLIDATED=Y","Sort=A","Dates=H","DateFormat=P","Fill=—","Direction=H","UseDPDF=Y")</f>
        <v>#NAME?</v>
      </c>
      <c r="CV155" s="1" t="e">
        <f ca="1">_xll.BDH($C$153,"ALTMAN_Z_SCORE","FQ2 2014","FQ2 2014","Currency=INR","Period=FQ","BEST_FPERIOD_OVERRIDE=FQ","FILING_STATUS=OR","EQY_CONSOLIDATED=Y","Sort=A","Dates=H","DateFormat=P","Fill=—","Direction=H","UseDPDF=Y")</f>
        <v>#NAME?</v>
      </c>
      <c r="CW155" s="3" t="e">
        <f ca="1">_xll.BDH($C$153,"ACCT_RCV_TURN","FQ2 2014","FQ2 2014","Currency=INR","Period=FQ","BEST_FPERIOD_OVERRIDE=FQ","FILING_STATUS=OR","EQY_CONSOLIDATED=Y","FA_ADJUSTED=GAAP","Sort=A","Dates=H","DateFormat=P","Fill=—","Direction=H","UseDPDF=Y")</f>
        <v>#NAME?</v>
      </c>
      <c r="CX155" s="1" t="e">
        <f ca="1">_xll.BDH($C$153,"ACCT_RCV_DAYS","FQ2 2014","FQ2 2014","Currency=INR","Period=FQ","BEST_FPERIOD_OVERRIDE=FQ","FILING_STATUS=OR","EQY_CONSOLIDATED=Y","FA_ADJUSTED=GAAP","Sort=A","Dates=H","DateFormat=P","Fill=—","Direction=H","UseDPDF=Y")</f>
        <v>#NAME?</v>
      </c>
      <c r="CY155" s="3" t="e">
        <f ca="1">_xll.BDH($C$153,"INVENT_TURN","FQ2 2014","FQ2 2014","Currency=INR","Period=FQ","BEST_FPERIOD_OVERRIDE=FQ","FILING_STATUS=OR","EQY_CONSOLIDATED=Y","FA_ADJUSTED=GAAP","Sort=A","Dates=H","DateFormat=P","Fill=—","Direction=H","UseDPDF=Y")</f>
        <v>#NAME?</v>
      </c>
      <c r="CZ155" s="1" t="e">
        <f ca="1">_xll.BDH($C$153,"INVENT_DAYS","FQ2 2014","FQ2 2014","Currency=INR","Period=FQ","BEST_FPERIOD_OVERRIDE=FQ","FILING_STATUS=OR","EQY_CONSOLIDATED=Y","FA_ADJUSTED=GAAP","Sort=A","Dates=H","DateFormat=P","Fill=—","Direction=H","UseDPDF=Y")</f>
        <v>#NAME?</v>
      </c>
      <c r="DA155" s="3" t="e">
        <f ca="1">_xll.BDH($C$153,"ACCOUNTS_PAYABLE_TURNOVER","FQ2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55" s="1" t="e">
        <f ca="1">_xll.BDH($C$153,"ACCOUNTS_PAYABLE_TURNOVER_DAYS","FQ2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55" s="3" t="e">
        <f ca="1">_xll.BDH($C$153,"CASH_CONVERSION_CYCLE","FQ2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55" s="3" t="e">
        <f ca="1">_xll.BDH($C$153,"INV_TO_CASH_DAYS","FQ2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155" s="4" t="e">
        <f ca="1">_xll.BDH($C$153,"BS_INVENTORIES","FQ2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155" s="2" t="e">
        <f ca="1">_xll.BDH($C$153,"INVTRY_RAW_MATERIALS","FQ2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55" s="2" t="e">
        <f ca="1">_xll.BDH($C$153,"INVTRY_IN_PROGRESS","FQ2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55" s="2" t="e">
        <f ca="1">_xll.BDH($C$153,"INVTRY_FINISHED_GOODS","FQ2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55" s="2" t="e">
        <f ca="1">_xll.BDH($C$153,"BS_OTHER_INV","FQ2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56" spans="1:113" x14ac:dyDescent="0.3">
      <c r="A156" s="6"/>
      <c r="B156" s="6"/>
      <c r="C156" s="6"/>
      <c r="D156" s="6"/>
      <c r="E156" t="s">
        <v>6</v>
      </c>
      <c r="F156" t="e">
        <f ca="1">_xll.BDH($C$153,"RETURN_COM_EQY","FQ3 2014","FQ3 2014","Currency=INR","Period=FQ","BEST_FPERIOD_OVERRIDE=FQ","FILING_STATUS=OR","EQY_CONSOLIDATED=Y","FA_ADJUSTED=GAAP","Sort=A","Dates=H","DateFormat=P","Fill=—","Direction=H","UseDPDF=Y")</f>
        <v>#NAME?</v>
      </c>
      <c r="G156" t="e">
        <f ca="1">_xll.BDH($C$153,"RETURN_ON_ASSET","FQ3 2014","FQ3 2014","Currency=INR","Period=FQ","BEST_FPERIOD_OVERRIDE=FQ","FILING_STATUS=OR","EQY_CONSOLIDATED=Y","FA_ADJUSTED=GAAP","Sort=A","Dates=H","DateFormat=P","Fill=—","Direction=H","UseDPDF=Y")</f>
        <v>#NAME?</v>
      </c>
      <c r="H156" t="e">
        <f ca="1">_xll.BDH($C$153,"RETURN_ON_CAP","FQ3 2014","FQ3 2014","Currency=INR","Period=FQ","BEST_FPERIOD_OVERRIDE=FQ","FILING_STATUS=OR","EQY_CONSOLIDATED=Y","FA_ADJUSTED=GAAP","Sort=A","Dates=H","DateFormat=P","Fill=—","Direction=H","UseDPDF=Y")</f>
        <v>#NAME?</v>
      </c>
      <c r="I156" t="e">
        <f ca="1">_xll.BDH($C$153,"RETURN_ON_INV_CAPITAL","FQ3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56" t="e">
        <f ca="1">_xll.BDH($C$153,"EBITDA_TO_REVENUE","FQ3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156" t="e">
        <f ca="1">_xll.BDH($C$153,"OPER_MARGIN","FQ3 2014","FQ3 2014","Currency=INR","Period=FQ","BEST_FPERIOD_OVERRIDE=FQ","FILING_STATUS=OR","EQY_CONSOLIDATED=Y","FA_ADJUSTED=GAAP","Sort=A","Dates=H","DateFormat=P","Fill=—","Direction=H","UseDPDF=Y")</f>
        <v>#NAME?</v>
      </c>
      <c r="L156" t="e">
        <f ca="1">_xll.BDH($C$153,"INCREMENTAL_OPERATING_MARGIN","FQ3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56" t="e">
        <f ca="1">_xll.BDH($C$153,"PRETAX_INC_TO_NET_SALES","FQ3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56" t="e">
        <f ca="1">_xll.BDH($C$153,"INC_BEF_XO_ITEMS_TO_NET_SALES","FQ3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56" t="e">
        <f ca="1">_xll.BDH($C$153,"PROF_MARGIN","FQ3 2014","FQ3 2014","Currency=INR","Period=FQ","BEST_FPERIOD_OVERRIDE=FQ","FILING_STATUS=OR","EQY_CONSOLIDATED=Y","FA_ADJUSTED=GAAP","Sort=A","Dates=H","DateFormat=P","Fill=—","Direction=H","UseDPDF=Y")</f>
        <v>#NAME?</v>
      </c>
      <c r="P156" t="e">
        <f ca="1">_xll.BDH($C$153,"NET_INCOME_TO_COMMON_MARGIN","FQ3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56" t="e">
        <f ca="1">_xll.BDH($C$153,"EFF_TAX_RATE","FQ3 2014","FQ3 2014","Currency=INR","Period=FQ","BEST_FPERIOD_OVERRIDE=FQ","FILING_STATUS=OR","EQY_CONSOLIDATED=Y","FA_ADJUSTED=GAAP","Sort=A","Dates=H","DateFormat=P","Fill=—","Direction=H","UseDPDF=Y")</f>
        <v>#NAME?</v>
      </c>
      <c r="R156" t="e">
        <f ca="1">_xll.BDH($C$153,"DVD_PAYOUT_RATIO","FQ3 2014","FQ3 2014","Currency=INR","Period=FQ","BEST_FPERIOD_OVERRIDE=FQ","FILING_STATUS=OR","EQY_CONSOLIDATED=Y","FA_ADJUSTED=GAAP","Sort=A","Dates=H","DateFormat=P","Fill=—","Direction=H","UseDPDF=Y")</f>
        <v>#NAME?</v>
      </c>
      <c r="S156" t="e">
        <f ca="1">_xll.BDH($C$153,"SUSTAIN_GROWTH_RT","FQ3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156" s="1" t="e">
        <f ca="1">_xll.BDH($C$153,"SALES_GROWTH","FQ3 2014","FQ3 2014","Currency=INR","Period=FQ","BEST_FPERIOD_OVERRIDE=FQ","FILING_STATUS=OR","EQY_CONSOLIDATED=Y","FA_ADJUSTED=GAAP","Sort=A","Dates=H","DateFormat=P","Fill=—","Direction=H","UseDPDF=Y")</f>
        <v>#NAME?</v>
      </c>
      <c r="U156" s="1" t="e">
        <f ca="1">_xll.BDH($C$153,"EBITDA_GROWTH","FQ3 2014","FQ3 2014","Currency=INR","Period=FQ","BEST_FPERIOD_OVERRIDE=FQ","FILING_STATUS=OR","EQY_CONSOLIDATED=Y","FA_ADJUSTED=GAAP","Sort=A","Dates=H","DateFormat=P","Fill=—","Direction=H","UseDPDF=Y")</f>
        <v>#NAME?</v>
      </c>
      <c r="V156" s="1" t="e">
        <f ca="1">_xll.BDH($C$153,"OPER_INC_GROWTH","FQ3 2014","FQ3 2014","Currency=INR","Period=FQ","BEST_FPERIOD_OVERRIDE=FQ","FILING_STATUS=OR","EQY_CONSOLIDATED=Y","FA_ADJUSTED=GAAP","Sort=A","Dates=H","DateFormat=P","Fill=—","Direction=H","UseDPDF=Y")</f>
        <v>#NAME?</v>
      </c>
      <c r="W156" s="1" t="e">
        <f ca="1">_xll.BDH($C$153,"EARN_FOR_COM_GROWTH","FQ3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56" s="1" t="e">
        <f ca="1">_xll.BDH($C$153,"DILUTED_EPS_AFT_XO_ITEMS_GROWTH","FQ3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56" s="1" t="e">
        <f ca="1">_xll.BDH($C$153,"DIVIDEND_PER_SHARE_1_YEAR_GROWTH","FQ3 2014","FQ3 2014","Currency=INR","Period=FQ","BEST_FPERIOD_OVERRIDE=FQ","FILING_STATUS=OR","EQY_CONSOLIDATED=Y","Sort=A","Dates=H","DateFormat=P","Fill=—","Direction=H","UseDPDF=Y")</f>
        <v>#NAME?</v>
      </c>
      <c r="Z156" s="1" t="e">
        <f ca="1">_xll.BDH($C$153,"ACCOUNTS_RECEIVABLE_GROWTH","FQ3 2014","FQ3 2014","Currency=INR","Period=FQ","BEST_FPERIOD_OVERRIDE=FQ","FILING_STATUS=OR","EQY_CONSOLIDATED=Y","Sort=A","Dates=H","DateFormat=P","Fill=—","Direction=H","UseDPDF=Y")</f>
        <v>#NAME?</v>
      </c>
      <c r="AA156" s="1" t="e">
        <f ca="1">_xll.BDH($C$153,"INVENTORY_GROWTH","FQ3 2014","FQ3 2014","Currency=INR","Period=FQ","BEST_FPERIOD_OVERRIDE=FQ","FILING_STATUS=OR","EQY_CONSOLIDATED=Y","Sort=A","Dates=H","DateFormat=P","Fill=—","Direction=H","UseDPDF=Y")</f>
        <v>#NAME?</v>
      </c>
      <c r="AB156" s="1" t="e">
        <f ca="1">_xll.BDH($C$153,"NET_FIXED_ASSETS_1_YEAR_GROWTH","FQ3 2014","FQ3 2014","Currency=INR","Period=FQ","BEST_FPERIOD_OVERRIDE=FQ","FILING_STATUS=OR","EQY_CONSOLIDATED=Y","Sort=A","Dates=H","DateFormat=P","Fill=—","Direction=H","UseDPDF=Y")</f>
        <v>#NAME?</v>
      </c>
      <c r="AC156" s="1" t="e">
        <f ca="1">_xll.BDH($C$153,"ASSET_GROWTH","FQ3 2014","FQ3 2014","Currency=INR","Period=FQ","BEST_FPERIOD_OVERRIDE=FQ","FILING_STATUS=OR","EQY_CONSOLIDATED=Y","Sort=A","Dates=H","DateFormat=P","Fill=—","Direction=H","UseDPDF=Y")</f>
        <v>#NAME?</v>
      </c>
      <c r="AD156" s="1" t="e">
        <f ca="1">_xll.BDH($C$153,"MODIFIED_WORK_CAP_GROWTH","FQ3 2014","FQ3 2014","Currency=INR","Period=FQ","BEST_FPERIOD_OVERRIDE=FQ","FILING_STATUS=OR","EQY_CONSOLIDATED=Y","Sort=A","Dates=H","DateFormat=P","Fill=—","Direction=H","UseDPDF=Y")</f>
        <v>#NAME?</v>
      </c>
      <c r="AE156" s="1" t="e">
        <f ca="1">_xll.BDH($C$153,"WORK_CAP_GROWTH","FQ3 2014","FQ3 2014","Currency=INR","Period=FQ","BEST_FPERIOD_OVERRIDE=FQ","FILING_STATUS=OR","EQY_CONSOLIDATED=Y","Sort=A","Dates=H","DateFormat=P","Fill=—","Direction=H","UseDPDF=Y")</f>
        <v>#NAME?</v>
      </c>
      <c r="AF156" s="1" t="e">
        <f ca="1">_xll.BDH($C$153,"ACCOUNTS_PAYABLE_GROWTH_1YR","FQ3 2014","FQ3 2014","Currency=INR","Period=FQ","BEST_FPERIOD_OVERRIDE=FQ","FILING_STATUS=OR","EQY_CONSOLIDATED=Y","Sort=A","Dates=H","DateFormat=P","Fill=—","Direction=H","UseDPDF=Y")</f>
        <v>#NAME?</v>
      </c>
      <c r="AG156" s="1" t="e">
        <f ca="1">_xll.BDH($C$153,"SHORT_TERM_DEBT_1_YEAR_GROWTH","FQ3 2014","FQ3 2014","Currency=INR","Period=FQ","BEST_FPERIOD_OVERRIDE=FQ","FILING_STATUS=OR","EQY_CONSOLIDATED=Y","Sort=A","Dates=H","DateFormat=P","Fill=—","Direction=H","UseDPDF=Y")</f>
        <v>#NAME?</v>
      </c>
      <c r="AH156" s="1" t="e">
        <f ca="1">_xll.BDH($C$153,"TOTAL_DEBT_1_YEAR_GROWTH","FQ3 2014","FQ3 2014","Currency=INR","Period=FQ","BEST_FPERIOD_OVERRIDE=FQ","FILING_STATUS=OR","EQY_CONSOLIDATED=Y","Sort=A","Dates=H","DateFormat=P","Fill=—","Direction=H","UseDPDF=Y")</f>
        <v>#NAME?</v>
      </c>
      <c r="AI156" s="1" t="e">
        <f ca="1">_xll.BDH($C$153,"TOTAL_EQUITY_1_YEAR_GROWTH","FQ3 2014","FQ3 2014","Currency=INR","Period=FQ","BEST_FPERIOD_OVERRIDE=FQ","FILING_STATUS=OR","EQY_CONSOLIDATED=Y","Sort=A","Dates=H","DateFormat=P","Fill=—","Direction=H","UseDPDF=Y")</f>
        <v>#NAME?</v>
      </c>
      <c r="AJ156" s="1" t="e">
        <f ca="1">_xll.BDH($C$153,"GROWTH_IN_CAP","FQ3 2014","FQ3 2014","Currency=INR","Period=FQ","BEST_FPERIOD_OVERRIDE=FQ","FILING_STATUS=OR","EQY_CONSOLIDATED=Y","Sort=A","Dates=H","DateFormat=P","Fill=—","Direction=H","UseDPDF=Y")</f>
        <v>#NAME?</v>
      </c>
      <c r="AK156" s="1" t="e">
        <f ca="1">_xll.BDH($C$153,"BVPS_GROWTH","FQ3 2014","FQ3 2014","Currency=INR","Period=FQ","BEST_FPERIOD_OVERRIDE=FQ","FILING_STATUS=OR","EQY_CONSOLIDATED=Y","Sort=A","Dates=H","DateFormat=P","Fill=—","Direction=H","UseDPDF=Y")</f>
        <v>#NAME?</v>
      </c>
      <c r="AL156" s="1" t="e">
        <f ca="1">_xll.BDH($C$153,"CASH_FLOW_GROWTH","FQ3 2014","FQ3 2014","Currency=INR","Period=FQ","BEST_FPERIOD_OVERRIDE=FQ","FILING_STATUS=OR","EQY_CONSOLIDATED=Y","Sort=A","Dates=H","DateFormat=P","Fill=—","Direction=H","UseDPDF=Y")</f>
        <v>#NAME?</v>
      </c>
      <c r="AM156" s="1" t="e">
        <f ca="1">_xll.BDH($C$153,"GEO_GROW_NET_SALES","FQ3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56" s="1" t="e">
        <f ca="1">_xll.BDH($C$153,"GEO_GROW_EBITDA","FQ3 2014","FQ3 2014","Currency=INR","Period=FQ","BEST_FPERIOD_OVERRIDE=FQ","FILING_STATUS=OR","EQY_CONSOLIDATED=Y","FA_ADJUSTED=GAAP","Sort=A","Dates=H","DateFormat=P","Fill=—","Direction=H","UseDPDF=Y")</f>
        <v>#NAME?</v>
      </c>
      <c r="AO156" s="1" t="e">
        <f ca="1">_xll.BDH($C$153,"GEO_GROW_OPER_INC","FQ3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56" s="1" t="e">
        <f ca="1">_xll.BDH($C$153,"NET_INCOME_TO_COMMON_5_YR_GROWTH","FQ3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56" s="1" t="e">
        <f ca="1">_xll.BDH($C$153,"5Y_GEO_GROWTH_DILUTED_EPS","FQ3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56" s="1" t="e">
        <f ca="1">_xll.BDH($C$153,"GEO_GROW_DVD_PER_SH","FQ3 2014","FQ3 2014","Currency=INR","Period=FQ","BEST_FPERIOD_OVERRIDE=FQ","FILING_STATUS=OR","EQY_CONSOLIDATED=Y","Sort=A","Dates=H","DateFormat=P","Fill=—","Direction=H","UseDPDF=Y")</f>
        <v>#NAME?</v>
      </c>
      <c r="AS156" s="1" t="e">
        <f ca="1">_xll.BDH($C$153,"ACCOUNTS_RECEIVABLE_5_YR_GROWTH","FQ3 2014","FQ3 2014","Currency=INR","Period=FQ","BEST_FPERIOD_OVERRIDE=FQ","FILING_STATUS=OR","EQY_CONSOLIDATED=Y","Sort=A","Dates=H","DateFormat=P","Fill=—","Direction=H","UseDPDF=Y")</f>
        <v>#NAME?</v>
      </c>
      <c r="AT156" s="1" t="e">
        <f ca="1">_xll.BDH($C$153,"INVENTORY_5_YEAR_GROWTH","FQ3 2014","FQ3 2014","Currency=INR","Period=FQ","BEST_FPERIOD_OVERRIDE=FQ","FILING_STATUS=OR","EQY_CONSOLIDATED=Y","Sort=A","Dates=H","DateFormat=P","Fill=—","Direction=H","UseDPDF=Y")</f>
        <v>#NAME?</v>
      </c>
      <c r="AU156" s="1" t="e">
        <f ca="1">_xll.BDH($C$153,"NET_FIXED_ASSETS_5_YEAR_GROWTH","FQ3 2014","FQ3 2014","Currency=INR","Period=FQ","BEST_FPERIOD_OVERRIDE=FQ","FILING_STATUS=OR","EQY_CONSOLIDATED=Y","Sort=A","Dates=H","DateFormat=P","Fill=—","Direction=H","UseDPDF=Y")</f>
        <v>#NAME?</v>
      </c>
      <c r="AV156" s="1" t="e">
        <f ca="1">_xll.BDH($C$153,"GEO_GROW_TOT_ASSET","FQ3 2014","FQ3 2014","Currency=INR","Period=FQ","BEST_FPERIOD_OVERRIDE=FQ","FILING_STATUS=OR","EQY_CONSOLIDATED=Y","Sort=A","Dates=H","DateFormat=P","Fill=—","Direction=H","UseDPDF=Y")</f>
        <v>#NAME?</v>
      </c>
      <c r="AW156" s="1" t="e">
        <f ca="1">_xll.BDH($C$153,"MODIFIED_WORKING_CPTL_5YR_GRWTH","FQ3 2014","FQ3 2014","Currency=INR","Period=FQ","BEST_FPERIOD_OVERRIDE=FQ","FILING_STATUS=OR","EQY_CONSOLIDATED=Y","Sort=A","Dates=H","DateFormat=P","Fill=—","Direction=H","UseDPDF=Y")</f>
        <v>#NAME?</v>
      </c>
      <c r="AX156" s="1" t="e">
        <f ca="1">_xll.BDH($C$153,"WORKING_CAPITAL_5_YEAR_GROWTH","FQ3 2014","FQ3 2014","Currency=INR","Period=FQ","BEST_FPERIOD_OVERRIDE=FQ","FILING_STATUS=OR","EQY_CONSOLIDATED=Y","Sort=A","Dates=H","DateFormat=P","Fill=—","Direction=H","UseDPDF=Y")</f>
        <v>#NAME?</v>
      </c>
      <c r="AY156" s="1" t="e">
        <f ca="1">_xll.BDH($C$153,"ACCOUNTS_PAYABLE_5_YEAR_GROWTH","FQ3 2014","FQ3 2014","Currency=INR","Period=FQ","BEST_FPERIOD_OVERRIDE=FQ","FILING_STATUS=OR","EQY_CONSOLIDATED=Y","Sort=A","Dates=H","DateFormat=P","Fill=—","Direction=H","UseDPDF=Y")</f>
        <v>#NAME?</v>
      </c>
      <c r="AZ156" s="1" t="e">
        <f ca="1">_xll.BDH($C$153,"SHORT_TERM_DEBT_5_YEAR_GROWTH","FQ3 2014","FQ3 2014","Currency=INR","Period=FQ","BEST_FPERIOD_OVERRIDE=FQ","FILING_STATUS=OR","EQY_CONSOLIDATED=Y","Sort=A","Dates=H","DateFormat=P","Fill=—","Direction=H","UseDPDF=Y")</f>
        <v>#NAME?</v>
      </c>
      <c r="BA156" s="1" t="e">
        <f ca="1">_xll.BDH($C$153,"TOTAL_DEBT_5_YEAR_GROWTH","FQ3 2014","FQ3 2014","Currency=INR","Period=FQ","BEST_FPERIOD_OVERRIDE=FQ","FILING_STATUS=OR","EQY_CONSOLIDATED=Y","Sort=A","Dates=H","DateFormat=P","Fill=—","Direction=H","UseDPDF=Y")</f>
        <v>#NAME?</v>
      </c>
      <c r="BB156" s="1" t="e">
        <f ca="1">_xll.BDH($C$153,"GEO_GROW_TOT_SHRHLDR_EQY","FQ3 2014","FQ3 2014","Currency=INR","Period=FQ","BEST_FPERIOD_OVERRIDE=FQ","FILING_STATUS=OR","EQY_CONSOLIDATED=Y","Sort=A","Dates=H","DateFormat=P","Fill=—","Direction=H","UseDPDF=Y")</f>
        <v>#NAME?</v>
      </c>
      <c r="BC156" s="1" t="e">
        <f ca="1">_xll.BDH($C$153,"TOTAL_CAPITAL_5_YEAR_GROWTH","FQ3 2014","FQ3 2014","Currency=INR","Period=FQ","BEST_FPERIOD_OVERRIDE=FQ","FILING_STATUS=OR","EQY_CONSOLIDATED=Y","Sort=A","Dates=H","DateFormat=P","Fill=—","Direction=H","UseDPDF=Y")</f>
        <v>#NAME?</v>
      </c>
      <c r="BD156" s="1" t="e">
        <f ca="1">_xll.BDH($C$153,"GEO_GROW_BOOK_VAL","FQ3 2014","FQ3 2014","Currency=INR","Period=FQ","BEST_FPERIOD_OVERRIDE=FQ","FILING_STATUS=OR","EQY_CONSOLIDATED=Y","Sort=A","Dates=H","DateFormat=P","Fill=—","Direction=H","UseDPDF=Y")</f>
        <v>#NAME?</v>
      </c>
      <c r="BE156" s="1" t="e">
        <f ca="1">_xll.BDH($C$153,"GEO_GROW_CASH_OPER_ACT","FQ3 2014","FQ3 2014","Currency=INR","Period=FQ","BEST_FPERIOD_OVERRIDE=FQ","FILING_STATUS=OR","EQY_CONSOLIDATED=Y","Sort=A","Dates=H","DateFormat=P","Fill=—","Direction=H","UseDPDF=Y")</f>
        <v>#NAME?</v>
      </c>
      <c r="BF156" s="1" t="e">
        <f ca="1">_xll.BDH($C$153,"REVENUE_SEQUENTIAL_GROWTH","FQ3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56" s="1" t="e">
        <f ca="1">_xll.BDH($C$153,"EBITDA_SEQUENTIAL_GROWTH","FQ3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56" s="1" t="e">
        <f ca="1">_xll.BDH($C$153,"OPERATING_INCOME_SEQ_GROWTH","FQ3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56" s="1" t="e">
        <f ca="1">_xll.BDH($C$153,"NET_INCOME_TO_COMMON_SEQ_GROWTH","FQ3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56" s="1" t="e">
        <f ca="1">_xll.BDH($C$153,"EPS_DILUTED_SEQUENTIAL_GROWTH","FQ3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56" s="1" t="e">
        <f ca="1">_xll.BDH($C$153,"DPS_SEQUENTIAL_GROWTH","FQ3 2014","FQ3 2014","Currency=INR","Period=FQ","BEST_FPERIOD_OVERRIDE=FQ","FILING_STATUS=OR","EQY_CONSOLIDATED=Y","Sort=A","Dates=H","DateFormat=P","Fill=—","Direction=H","UseDPDF=Y")</f>
        <v>#NAME?</v>
      </c>
      <c r="BL156" s="1" t="e">
        <f ca="1">_xll.BDH($C$153,"ACCOUNTS_RECEIVABLE_SEQ_GROWTH","FQ3 2014","FQ3 2014","Currency=INR","Period=FQ","BEST_FPERIOD_OVERRIDE=FQ","FILING_STATUS=OR","EQY_CONSOLIDATED=Y","Sort=A","Dates=H","DateFormat=P","Fill=—","Direction=H","UseDPDF=Y")</f>
        <v>#NAME?</v>
      </c>
      <c r="BM156" s="1" t="e">
        <f ca="1">_xll.BDH($C$153,"INVENTORY_SEQUENTIAL_GROWTH","FQ3 2014","FQ3 2014","Currency=INR","Period=FQ","BEST_FPERIOD_OVERRIDE=FQ","FILING_STATUS=OR","EQY_CONSOLIDATED=Y","Sort=A","Dates=H","DateFormat=P","Fill=—","Direction=H","UseDPDF=Y")</f>
        <v>#NAME?</v>
      </c>
      <c r="BN156" s="1" t="e">
        <f ca="1">_xll.BDH($C$153,"FIXED_ASSETS_SEQUENTIAL_GROWTH","FQ3 2014","FQ3 2014","Currency=INR","Period=FQ","BEST_FPERIOD_OVERRIDE=FQ","FILING_STATUS=OR","EQY_CONSOLIDATED=Y","Sort=A","Dates=H","DateFormat=P","Fill=—","Direction=H","UseDPDF=Y")</f>
        <v>#NAME?</v>
      </c>
      <c r="BO156" s="1" t="e">
        <f ca="1">_xll.BDH($C$153,"TOTAL_ASSETS_SEQUENTIAL_GROWTH","FQ3 2014","FQ3 2014","Currency=INR","Period=FQ","BEST_FPERIOD_OVERRIDE=FQ","FILING_STATUS=OR","EQY_CONSOLIDATED=Y","Sort=A","Dates=H","DateFormat=P","Fill=—","Direction=H","UseDPDF=Y")</f>
        <v>#NAME?</v>
      </c>
      <c r="BP156" s="1" t="e">
        <f ca="1">_xll.BDH($C$153,"MODIFIED_WORKING_CPTL_SEQ_GRWTH","FQ3 2014","FQ3 2014","Currency=INR","Period=FQ","BEST_FPERIOD_OVERRIDE=FQ","FILING_STATUS=OR","EQY_CONSOLIDATED=Y","Sort=A","Dates=H","DateFormat=P","Fill=—","Direction=H","UseDPDF=Y")</f>
        <v>#NAME?</v>
      </c>
      <c r="BQ156" s="1" t="e">
        <f ca="1">_xll.BDH($C$153,"WORKING_CAPITAL_SEQ_GROWTH","FQ3 2014","FQ3 2014","Currency=INR","Period=FQ","BEST_FPERIOD_OVERRIDE=FQ","FILING_STATUS=OR","EQY_CONSOLIDATED=Y","Sort=A","Dates=H","DateFormat=P","Fill=—","Direction=H","UseDPDF=Y")</f>
        <v>#NAME?</v>
      </c>
      <c r="BR156" s="1" t="e">
        <f ca="1">_xll.BDH($C$153,"ACCOUNTS_PAYABLE_SEQ_GROWTH","FQ3 2014","FQ3 2014","Currency=INR","Period=FQ","BEST_FPERIOD_OVERRIDE=FQ","FILING_STATUS=OR","EQY_CONSOLIDATED=Y","Sort=A","Dates=H","DateFormat=P","Fill=—","Direction=H","UseDPDF=Y")</f>
        <v>#NAME?</v>
      </c>
      <c r="BS156" s="1" t="e">
        <f ca="1">_xll.BDH($C$153,"ST_DEBT_SEQUENTIAL_GROWTH","FQ3 2014","FQ3 2014","Currency=INR","Period=FQ","BEST_FPERIOD_OVERRIDE=FQ","FILING_STATUS=OR","EQY_CONSOLIDATED=Y","Sort=A","Dates=H","DateFormat=P","Fill=—","Direction=H","UseDPDF=Y")</f>
        <v>#NAME?</v>
      </c>
      <c r="BT156" s="1" t="e">
        <f ca="1">_xll.BDH($C$153,"TOTAL_DEBT_SEQUENTIAL_GROWTH","FQ3 2014","FQ3 2014","Currency=INR","Period=FQ","BEST_FPERIOD_OVERRIDE=FQ","FILING_STATUS=OR","EQY_CONSOLIDATED=Y","Sort=A","Dates=H","DateFormat=P","Fill=—","Direction=H","UseDPDF=Y")</f>
        <v>#NAME?</v>
      </c>
      <c r="BU156" s="1" t="e">
        <f ca="1">_xll.BDH($C$153,"TOTAL_EQUITY_SEQUENTIAL_GROWTH","FQ3 2014","FQ3 2014","Currency=INR","Period=FQ","BEST_FPERIOD_OVERRIDE=FQ","FILING_STATUS=OR","EQY_CONSOLIDATED=Y","Sort=A","Dates=H","DateFormat=P","Fill=—","Direction=H","UseDPDF=Y")</f>
        <v>#NAME?</v>
      </c>
      <c r="BV156" s="1" t="e">
        <f ca="1">_xll.BDH($C$153,"TOTAL_CAPITAL_SEQUENTIAL_GROWTH","FQ3 2014","FQ3 2014","Currency=INR","Period=FQ","BEST_FPERIOD_OVERRIDE=FQ","FILING_STATUS=OR","EQY_CONSOLIDATED=Y","Sort=A","Dates=H","DateFormat=P","Fill=—","Direction=H","UseDPDF=Y")</f>
        <v>#NAME?</v>
      </c>
      <c r="BW156" s="1" t="e">
        <f ca="1">_xll.BDH($C$153,"BPS_SEQUENTIAL_GROWTH","FQ3 2014","FQ3 2014","Currency=INR","Period=FQ","BEST_FPERIOD_OVERRIDE=FQ","FILING_STATUS=OR","EQY_CONSOLIDATED=Y","Sort=A","Dates=H","DateFormat=P","Fill=—","Direction=H","UseDPDF=Y")</f>
        <v>#NAME?</v>
      </c>
      <c r="BX156" s="1" t="e">
        <f ca="1">_xll.BDH($C$153,"CFO_SEQUENTIAL_GROWTH","FQ3 2014","FQ3 2014","Currency=INR","Period=FQ","BEST_FPERIOD_OVERRIDE=FQ","FILING_STATUS=OR","EQY_CONSOLIDATED=Y","Sort=A","Dates=H","DateFormat=P","Fill=—","Direction=H","UseDPDF=Y")</f>
        <v>#NAME?</v>
      </c>
      <c r="BY156" s="2" t="e">
        <f ca="1">_xll.BDH($C$153,"SHORT_AND_LONG_TERM_DEBT","FQ3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56" s="2" t="e">
        <f ca="1">_xll.BDH($C$153,"BS_ST_BORROW","FQ3 2014","FQ3 2014","Currency=INR","Period=FQ","BEST_FPERIOD_OVERRIDE=FQ","FILING_STATUS=OR","EQY_CONSOLIDATED=Y","SCALING_FORMAT=MLN","Sort=A","Dates=H","DateFormat=P","Fill=—","Direction=H","UseDPDF=Y")</f>
        <v>#NAME?</v>
      </c>
      <c r="CA156" s="2" t="e">
        <f ca="1">_xll.BDH($C$153,"BS_LT_BORROW","FQ3 2014","FQ3 2014","Currency=INR","Period=FQ","BEST_FPERIOD_OVERRIDE=FQ","FILING_STATUS=OR","EQY_CONSOLIDATED=Y","SCALING_FORMAT=MLN","Sort=A","Dates=H","DateFormat=P","Fill=—","Direction=H","UseDPDF=Y")</f>
        <v>#NAME?</v>
      </c>
      <c r="CB156" s="1" t="e">
        <f ca="1">_xll.BDH($C$153,"TOT_DEBT_TO_EBITDA","FQ3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56" s="1" t="e">
        <f ca="1">_xll.BDH($C$153,"NET_DEBT_TO_EBITDA","FQ3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56" s="1" t="e">
        <f ca="1">_xll.BDH($C$153,"TOTAL_DEBT_TO_EBIT","FQ3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56" s="1" t="e">
        <f ca="1">_xll.BDH($C$153,"NET_DEBT_TO_EBIT","FQ3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156" s="1" t="e">
        <f ca="1">_xll.BDH($C$153,"EBITDA_TO_INTEREST_EXPN","FQ3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56" s="1" t="e">
        <f ca="1">_xll.BDH($C$153,"COM_EQY_TO_TOT_ASSET","FQ3 2014","FQ3 2014","Currency=INR","Period=FQ","BEST_FPERIOD_OVERRIDE=FQ","FILING_STATUS=OR","EQY_CONSOLIDATED=Y","Sort=A","Dates=H","DateFormat=P","Fill=—","Direction=H","UseDPDF=Y")</f>
        <v>#NAME?</v>
      </c>
      <c r="CH156" s="1" t="e">
        <f ca="1">_xll.BDH($C$153,"LT_DEBT_TO_TOT_EQY","FQ3 2014","FQ3 2014","Currency=INR","Period=FQ","BEST_FPERIOD_OVERRIDE=FQ","FILING_STATUS=OR","EQY_CONSOLIDATED=Y","Sort=A","Dates=H","DateFormat=P","Fill=—","Direction=H","UseDPDF=Y")</f>
        <v>#NAME?</v>
      </c>
      <c r="CI156" s="1" t="e">
        <f ca="1">_xll.BDH($C$153,"LT_DEBT_TO_TOT_CAP","FQ3 2014","FQ3 2014","Currency=INR","Period=FQ","BEST_FPERIOD_OVERRIDE=FQ","FILING_STATUS=OR","EQY_CONSOLIDATED=Y","Sort=A","Dates=H","DateFormat=P","Fill=—","Direction=H","UseDPDF=Y")</f>
        <v>#NAME?</v>
      </c>
      <c r="CJ156" s="1" t="e">
        <f ca="1">_xll.BDH($C$153,"LT_DEBT_TO_TOT_ASSET","FQ3 2014","FQ3 2014","Currency=INR","Period=FQ","BEST_FPERIOD_OVERRIDE=FQ","FILING_STATUS=OR","EQY_CONSOLIDATED=Y","Sort=A","Dates=H","DateFormat=P","Fill=—","Direction=H","UseDPDF=Y")</f>
        <v>#NAME?</v>
      </c>
      <c r="CK156" s="1" t="e">
        <f ca="1">_xll.BDH($C$153,"TOT_DEBT_TO_TOT_EQY","FQ3 2014","FQ3 2014","Currency=INR","Period=FQ","BEST_FPERIOD_OVERRIDE=FQ","FILING_STATUS=OR","EQY_CONSOLIDATED=Y","Sort=A","Dates=H","DateFormat=P","Fill=—","Direction=H","UseDPDF=Y")</f>
        <v>#NAME?</v>
      </c>
      <c r="CL156" s="1" t="e">
        <f ca="1">_xll.BDH($C$153,"TOT_DEBT_TO_TOT_CAP","FQ3 2014","FQ3 2014","Currency=INR","Period=FQ","BEST_FPERIOD_OVERRIDE=FQ","FILING_STATUS=OR","EQY_CONSOLIDATED=Y","Sort=A","Dates=H","DateFormat=P","Fill=—","Direction=H","UseDPDF=Y")</f>
        <v>#NAME?</v>
      </c>
      <c r="CM156" s="1" t="e">
        <f ca="1">_xll.BDH($C$153,"TOT_DEBT_TO_TOT_ASSET","FQ3 2014","FQ3 2014","Currency=INR","Period=FQ","BEST_FPERIOD_OVERRIDE=FQ","FILING_STATUS=OR","EQY_CONSOLIDATED=Y","Sort=A","Dates=H","DateFormat=P","Fill=—","Direction=H","UseDPDF=Y")</f>
        <v>#NAME?</v>
      </c>
      <c r="CN156" s="1" t="e">
        <f ca="1">_xll.BDH($C$153,"NET_DEBT_TO_SHRHLDR_EQTY","FQ3 2014","FQ3 2014","Currency=INR","Period=FQ","BEST_FPERIOD_OVERRIDE=FQ","FILING_STATUS=OR","EQY_CONSOLIDATED=Y","Sort=A","Dates=H","DateFormat=P","Fill=—","Direction=H","UseDPDF=Y")</f>
        <v>#NAME?</v>
      </c>
      <c r="CO156" s="1" t="e">
        <f ca="1">_xll.BDH($C$153,"NET_DEBT_%_CAPITAL","FQ3 2014","FQ3 2014","Currency=INR","Period=FQ","BEST_FPERIOD_OVERRIDE=FQ","FILING_STATUS=OR","EQY_CONSOLIDATED=Y","Sort=A","Dates=H","DateFormat=P","Fill=—","Direction=H","UseDPDF=Y")</f>
        <v>#NAME?</v>
      </c>
      <c r="CP156" s="2" t="e">
        <f ca="1">_xll.BDH($C$153,"EBITDA","FQ3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56" s="2" t="e">
        <f ca="1">_xll.BDH($C$153,"EBITDA_AFTER_CAPEX","FQ3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56" s="2" t="e">
        <f ca="1">_xll.BDH($C$153,"IS_OPER_INC","FQ3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56" s="1" t="e">
        <f ca="1">_xll.BDH($C$153,"CASH_RATIO","FQ3 2014","FQ3 2014","Currency=INR","Period=FQ","BEST_FPERIOD_OVERRIDE=FQ","FILING_STATUS=OR","EQY_CONSOLIDATED=Y","Sort=A","Dates=H","DateFormat=P","Fill=—","Direction=H","UseDPDF=Y")</f>
        <v>#NAME?</v>
      </c>
      <c r="CT156" s="1" t="e">
        <f ca="1">_xll.BDH($C$153,"CUR_RATIO","FQ3 2014","FQ3 2014","Currency=INR","Period=FQ","BEST_FPERIOD_OVERRIDE=FQ","FILING_STATUS=OR","EQY_CONSOLIDATED=Y","Sort=A","Dates=H","DateFormat=P","Fill=—","Direction=H","UseDPDF=Y")</f>
        <v>#NAME?</v>
      </c>
      <c r="CU156" s="1" t="e">
        <f ca="1">_xll.BDH($C$153,"QUICK_RATIO","FQ3 2014","FQ3 2014","Currency=INR","Period=FQ","BEST_FPERIOD_OVERRIDE=FQ","FILING_STATUS=OR","EQY_CONSOLIDATED=Y","Sort=A","Dates=H","DateFormat=P","Fill=—","Direction=H","UseDPDF=Y")</f>
        <v>#NAME?</v>
      </c>
      <c r="CV156" s="1" t="e">
        <f ca="1">_xll.BDH($C$153,"ALTMAN_Z_SCORE","FQ3 2014","FQ3 2014","Currency=INR","Period=FQ","BEST_FPERIOD_OVERRIDE=FQ","FILING_STATUS=OR","EQY_CONSOLIDATED=Y","Sort=A","Dates=H","DateFormat=P","Fill=—","Direction=H","UseDPDF=Y")</f>
        <v>#NAME?</v>
      </c>
      <c r="CW156" s="3" t="e">
        <f ca="1">_xll.BDH($C$153,"ACCT_RCV_TURN","FQ3 2014","FQ3 2014","Currency=INR","Period=FQ","BEST_FPERIOD_OVERRIDE=FQ","FILING_STATUS=OR","EQY_CONSOLIDATED=Y","FA_ADJUSTED=GAAP","Sort=A","Dates=H","DateFormat=P","Fill=—","Direction=H","UseDPDF=Y")</f>
        <v>#NAME?</v>
      </c>
      <c r="CX156" s="1" t="e">
        <f ca="1">_xll.BDH($C$153,"ACCT_RCV_DAYS","FQ3 2014","FQ3 2014","Currency=INR","Period=FQ","BEST_FPERIOD_OVERRIDE=FQ","FILING_STATUS=OR","EQY_CONSOLIDATED=Y","FA_ADJUSTED=GAAP","Sort=A","Dates=H","DateFormat=P","Fill=—","Direction=H","UseDPDF=Y")</f>
        <v>#NAME?</v>
      </c>
      <c r="CY156" s="3" t="e">
        <f ca="1">_xll.BDH($C$153,"INVENT_TURN","FQ3 2014","FQ3 2014","Currency=INR","Period=FQ","BEST_FPERIOD_OVERRIDE=FQ","FILING_STATUS=OR","EQY_CONSOLIDATED=Y","FA_ADJUSTED=GAAP","Sort=A","Dates=H","DateFormat=P","Fill=—","Direction=H","UseDPDF=Y")</f>
        <v>#NAME?</v>
      </c>
      <c r="CZ156" s="1" t="e">
        <f ca="1">_xll.BDH($C$153,"INVENT_DAYS","FQ3 2014","FQ3 2014","Currency=INR","Period=FQ","BEST_FPERIOD_OVERRIDE=FQ","FILING_STATUS=OR","EQY_CONSOLIDATED=Y","FA_ADJUSTED=GAAP","Sort=A","Dates=H","DateFormat=P","Fill=—","Direction=H","UseDPDF=Y")</f>
        <v>#NAME?</v>
      </c>
      <c r="DA156" s="3" t="e">
        <f ca="1">_xll.BDH($C$153,"ACCOUNTS_PAYABLE_TURNOVER","FQ3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56" s="1" t="e">
        <f ca="1">_xll.BDH($C$153,"ACCOUNTS_PAYABLE_TURNOVER_DAYS","FQ3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56" s="3" t="e">
        <f ca="1">_xll.BDH($C$153,"CASH_CONVERSION_CYCLE","FQ3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56" s="3" t="e">
        <f ca="1">_xll.BDH($C$153,"INV_TO_CASH_DAYS","FQ3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156" s="4" t="e">
        <f ca="1">_xll.BDH($C$153,"BS_INVENTORIES","FQ3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156" s="2" t="e">
        <f ca="1">_xll.BDH($C$153,"INVTRY_RAW_MATERIALS","FQ3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56" s="2" t="e">
        <f ca="1">_xll.BDH($C$153,"INVTRY_IN_PROGRESS","FQ3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56" s="2" t="e">
        <f ca="1">_xll.BDH($C$153,"INVTRY_FINISHED_GOODS","FQ3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56" s="2" t="e">
        <f ca="1">_xll.BDH($C$153,"BS_OTHER_INV","FQ3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57" spans="1:113" x14ac:dyDescent="0.3">
      <c r="A157" s="6"/>
      <c r="B157" s="6"/>
      <c r="C157" s="6"/>
      <c r="D157" s="6"/>
      <c r="E157" t="s">
        <v>7</v>
      </c>
      <c r="F157" t="e">
        <f ca="1">_xll.BDH($C$153,"RETURN_COM_EQY","FQ4 2014","FQ4 2014","Currency=INR","Period=FQ","BEST_FPERIOD_OVERRIDE=FQ","FILING_STATUS=OR","EQY_CONSOLIDATED=Y","FA_ADJUSTED=GAAP","Sort=A","Dates=H","DateFormat=P","Fill=—","Direction=H","UseDPDF=Y")</f>
        <v>#NAME?</v>
      </c>
      <c r="G157" t="e">
        <f ca="1">_xll.BDH($C$153,"RETURN_ON_ASSET","FQ4 2014","FQ4 2014","Currency=INR","Period=FQ","BEST_FPERIOD_OVERRIDE=FQ","FILING_STATUS=OR","EQY_CONSOLIDATED=Y","FA_ADJUSTED=GAAP","Sort=A","Dates=H","DateFormat=P","Fill=—","Direction=H","UseDPDF=Y")</f>
        <v>#NAME?</v>
      </c>
      <c r="H157" t="e">
        <f ca="1">_xll.BDH($C$153,"RETURN_ON_CAP","FQ4 2014","FQ4 2014","Currency=INR","Period=FQ","BEST_FPERIOD_OVERRIDE=FQ","FILING_STATUS=OR","EQY_CONSOLIDATED=Y","FA_ADJUSTED=GAAP","Sort=A","Dates=H","DateFormat=P","Fill=—","Direction=H","UseDPDF=Y")</f>
        <v>#NAME?</v>
      </c>
      <c r="I157" t="e">
        <f ca="1">_xll.BDH($C$153,"RETURN_ON_INV_CAPITAL","FQ4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57" t="e">
        <f ca="1">_xll.BDH($C$153,"EBITDA_TO_REVENUE","FQ4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157" t="e">
        <f ca="1">_xll.BDH($C$153,"OPER_MARGIN","FQ4 2014","FQ4 2014","Currency=INR","Period=FQ","BEST_FPERIOD_OVERRIDE=FQ","FILING_STATUS=OR","EQY_CONSOLIDATED=Y","FA_ADJUSTED=GAAP","Sort=A","Dates=H","DateFormat=P","Fill=—","Direction=H","UseDPDF=Y")</f>
        <v>#NAME?</v>
      </c>
      <c r="L157" t="e">
        <f ca="1">_xll.BDH($C$153,"INCREMENTAL_OPERATING_MARGIN","FQ4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57" t="e">
        <f ca="1">_xll.BDH($C$153,"PRETAX_INC_TO_NET_SALES","FQ4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57" t="e">
        <f ca="1">_xll.BDH($C$153,"INC_BEF_XO_ITEMS_TO_NET_SALES","FQ4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57" t="e">
        <f ca="1">_xll.BDH($C$153,"PROF_MARGIN","FQ4 2014","FQ4 2014","Currency=INR","Period=FQ","BEST_FPERIOD_OVERRIDE=FQ","FILING_STATUS=OR","EQY_CONSOLIDATED=Y","FA_ADJUSTED=GAAP","Sort=A","Dates=H","DateFormat=P","Fill=—","Direction=H","UseDPDF=Y")</f>
        <v>#NAME?</v>
      </c>
      <c r="P157" t="e">
        <f ca="1">_xll.BDH($C$153,"NET_INCOME_TO_COMMON_MARGIN","FQ4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57" t="e">
        <f ca="1">_xll.BDH($C$153,"EFF_TAX_RATE","FQ4 2014","FQ4 2014","Currency=INR","Period=FQ","BEST_FPERIOD_OVERRIDE=FQ","FILING_STATUS=OR","EQY_CONSOLIDATED=Y","FA_ADJUSTED=GAAP","Sort=A","Dates=H","DateFormat=P","Fill=—","Direction=H","UseDPDF=Y")</f>
        <v>#NAME?</v>
      </c>
      <c r="R157" t="e">
        <f ca="1">_xll.BDH($C$153,"DVD_PAYOUT_RATIO","FQ4 2014","FQ4 2014","Currency=INR","Period=FQ","BEST_FPERIOD_OVERRIDE=FQ","FILING_STATUS=OR","EQY_CONSOLIDATED=Y","FA_ADJUSTED=GAAP","Sort=A","Dates=H","DateFormat=P","Fill=—","Direction=H","UseDPDF=Y")</f>
        <v>#NAME?</v>
      </c>
      <c r="S157" t="e">
        <f ca="1">_xll.BDH($C$153,"SUSTAIN_GROWTH_RT","FQ4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157" s="1" t="e">
        <f ca="1">_xll.BDH($C$153,"SALES_GROWTH","FQ4 2014","FQ4 2014","Currency=INR","Period=FQ","BEST_FPERIOD_OVERRIDE=FQ","FILING_STATUS=OR","EQY_CONSOLIDATED=Y","FA_ADJUSTED=GAAP","Sort=A","Dates=H","DateFormat=P","Fill=—","Direction=H","UseDPDF=Y")</f>
        <v>#NAME?</v>
      </c>
      <c r="U157" s="1" t="e">
        <f ca="1">_xll.BDH($C$153,"EBITDA_GROWTH","FQ4 2014","FQ4 2014","Currency=INR","Period=FQ","BEST_FPERIOD_OVERRIDE=FQ","FILING_STATUS=OR","EQY_CONSOLIDATED=Y","FA_ADJUSTED=GAAP","Sort=A","Dates=H","DateFormat=P","Fill=—","Direction=H","UseDPDF=Y")</f>
        <v>#NAME?</v>
      </c>
      <c r="V157" s="1" t="e">
        <f ca="1">_xll.BDH($C$153,"OPER_INC_GROWTH","FQ4 2014","FQ4 2014","Currency=INR","Period=FQ","BEST_FPERIOD_OVERRIDE=FQ","FILING_STATUS=OR","EQY_CONSOLIDATED=Y","FA_ADJUSTED=GAAP","Sort=A","Dates=H","DateFormat=P","Fill=—","Direction=H","UseDPDF=Y")</f>
        <v>#NAME?</v>
      </c>
      <c r="W157" s="1" t="e">
        <f ca="1">_xll.BDH($C$153,"EARN_FOR_COM_GROWTH","FQ4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57" s="1" t="e">
        <f ca="1">_xll.BDH($C$153,"DILUTED_EPS_AFT_XO_ITEMS_GROWTH","FQ4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57" s="1" t="e">
        <f ca="1">_xll.BDH($C$153,"DIVIDEND_PER_SHARE_1_YEAR_GROWTH","FQ4 2014","FQ4 2014","Currency=INR","Period=FQ","BEST_FPERIOD_OVERRIDE=FQ","FILING_STATUS=OR","EQY_CONSOLIDATED=Y","Sort=A","Dates=H","DateFormat=P","Fill=—","Direction=H","UseDPDF=Y")</f>
        <v>#NAME?</v>
      </c>
      <c r="Z157" s="1" t="e">
        <f ca="1">_xll.BDH($C$153,"ACCOUNTS_RECEIVABLE_GROWTH","FQ4 2014","FQ4 2014","Currency=INR","Period=FQ","BEST_FPERIOD_OVERRIDE=FQ","FILING_STATUS=OR","EQY_CONSOLIDATED=Y","Sort=A","Dates=H","DateFormat=P","Fill=—","Direction=H","UseDPDF=Y")</f>
        <v>#NAME?</v>
      </c>
      <c r="AA157" s="1" t="e">
        <f ca="1">_xll.BDH($C$153,"INVENTORY_GROWTH","FQ4 2014","FQ4 2014","Currency=INR","Period=FQ","BEST_FPERIOD_OVERRIDE=FQ","FILING_STATUS=OR","EQY_CONSOLIDATED=Y","Sort=A","Dates=H","DateFormat=P","Fill=—","Direction=H","UseDPDF=Y")</f>
        <v>#NAME?</v>
      </c>
      <c r="AB157" s="1" t="e">
        <f ca="1">_xll.BDH($C$153,"NET_FIXED_ASSETS_1_YEAR_GROWTH","FQ4 2014","FQ4 2014","Currency=INR","Period=FQ","BEST_FPERIOD_OVERRIDE=FQ","FILING_STATUS=OR","EQY_CONSOLIDATED=Y","Sort=A","Dates=H","DateFormat=P","Fill=—","Direction=H","UseDPDF=Y")</f>
        <v>#NAME?</v>
      </c>
      <c r="AC157" s="1" t="e">
        <f ca="1">_xll.BDH($C$153,"ASSET_GROWTH","FQ4 2014","FQ4 2014","Currency=INR","Period=FQ","BEST_FPERIOD_OVERRIDE=FQ","FILING_STATUS=OR","EQY_CONSOLIDATED=Y","Sort=A","Dates=H","DateFormat=P","Fill=—","Direction=H","UseDPDF=Y")</f>
        <v>#NAME?</v>
      </c>
      <c r="AD157" s="1" t="e">
        <f ca="1">_xll.BDH($C$153,"MODIFIED_WORK_CAP_GROWTH","FQ4 2014","FQ4 2014","Currency=INR","Period=FQ","BEST_FPERIOD_OVERRIDE=FQ","FILING_STATUS=OR","EQY_CONSOLIDATED=Y","Sort=A","Dates=H","DateFormat=P","Fill=—","Direction=H","UseDPDF=Y")</f>
        <v>#NAME?</v>
      </c>
      <c r="AE157" s="1" t="e">
        <f ca="1">_xll.BDH($C$153,"WORK_CAP_GROWTH","FQ4 2014","FQ4 2014","Currency=INR","Period=FQ","BEST_FPERIOD_OVERRIDE=FQ","FILING_STATUS=OR","EQY_CONSOLIDATED=Y","Sort=A","Dates=H","DateFormat=P","Fill=—","Direction=H","UseDPDF=Y")</f>
        <v>#NAME?</v>
      </c>
      <c r="AF157" s="1" t="e">
        <f ca="1">_xll.BDH($C$153,"ACCOUNTS_PAYABLE_GROWTH_1YR","FQ4 2014","FQ4 2014","Currency=INR","Period=FQ","BEST_FPERIOD_OVERRIDE=FQ","FILING_STATUS=OR","EQY_CONSOLIDATED=Y","Sort=A","Dates=H","DateFormat=P","Fill=—","Direction=H","UseDPDF=Y")</f>
        <v>#NAME?</v>
      </c>
      <c r="AG157" s="1" t="e">
        <f ca="1">_xll.BDH($C$153,"SHORT_TERM_DEBT_1_YEAR_GROWTH","FQ4 2014","FQ4 2014","Currency=INR","Period=FQ","BEST_FPERIOD_OVERRIDE=FQ","FILING_STATUS=OR","EQY_CONSOLIDATED=Y","Sort=A","Dates=H","DateFormat=P","Fill=—","Direction=H","UseDPDF=Y")</f>
        <v>#NAME?</v>
      </c>
      <c r="AH157" s="1" t="e">
        <f ca="1">_xll.BDH($C$153,"TOTAL_DEBT_1_YEAR_GROWTH","FQ4 2014","FQ4 2014","Currency=INR","Period=FQ","BEST_FPERIOD_OVERRIDE=FQ","FILING_STATUS=OR","EQY_CONSOLIDATED=Y","Sort=A","Dates=H","DateFormat=P","Fill=—","Direction=H","UseDPDF=Y")</f>
        <v>#NAME?</v>
      </c>
      <c r="AI157" s="1" t="e">
        <f ca="1">_xll.BDH($C$153,"TOTAL_EQUITY_1_YEAR_GROWTH","FQ4 2014","FQ4 2014","Currency=INR","Period=FQ","BEST_FPERIOD_OVERRIDE=FQ","FILING_STATUS=OR","EQY_CONSOLIDATED=Y","Sort=A","Dates=H","DateFormat=P","Fill=—","Direction=H","UseDPDF=Y")</f>
        <v>#NAME?</v>
      </c>
      <c r="AJ157" s="1" t="e">
        <f ca="1">_xll.BDH($C$153,"GROWTH_IN_CAP","FQ4 2014","FQ4 2014","Currency=INR","Period=FQ","BEST_FPERIOD_OVERRIDE=FQ","FILING_STATUS=OR","EQY_CONSOLIDATED=Y","Sort=A","Dates=H","DateFormat=P","Fill=—","Direction=H","UseDPDF=Y")</f>
        <v>#NAME?</v>
      </c>
      <c r="AK157" s="1" t="e">
        <f ca="1">_xll.BDH($C$153,"BVPS_GROWTH","FQ4 2014","FQ4 2014","Currency=INR","Period=FQ","BEST_FPERIOD_OVERRIDE=FQ","FILING_STATUS=OR","EQY_CONSOLIDATED=Y","Sort=A","Dates=H","DateFormat=P","Fill=—","Direction=H","UseDPDF=Y")</f>
        <v>#NAME?</v>
      </c>
      <c r="AL157" s="1" t="e">
        <f ca="1">_xll.BDH($C$153,"CASH_FLOW_GROWTH","FQ4 2014","FQ4 2014","Currency=INR","Period=FQ","BEST_FPERIOD_OVERRIDE=FQ","FILING_STATUS=OR","EQY_CONSOLIDATED=Y","Sort=A","Dates=H","DateFormat=P","Fill=—","Direction=H","UseDPDF=Y")</f>
        <v>#NAME?</v>
      </c>
      <c r="AM157" s="1" t="e">
        <f ca="1">_xll.BDH($C$153,"GEO_GROW_NET_SALES","FQ4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57" s="1" t="e">
        <f ca="1">_xll.BDH($C$153,"GEO_GROW_EBITDA","FQ4 2014","FQ4 2014","Currency=INR","Period=FQ","BEST_FPERIOD_OVERRIDE=FQ","FILING_STATUS=OR","EQY_CONSOLIDATED=Y","FA_ADJUSTED=GAAP","Sort=A","Dates=H","DateFormat=P","Fill=—","Direction=H","UseDPDF=Y")</f>
        <v>#NAME?</v>
      </c>
      <c r="AO157" s="1" t="e">
        <f ca="1">_xll.BDH($C$153,"GEO_GROW_OPER_INC","FQ4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57" s="1" t="e">
        <f ca="1">_xll.BDH($C$153,"NET_INCOME_TO_COMMON_5_YR_GROWTH","FQ4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57" s="1" t="e">
        <f ca="1">_xll.BDH($C$153,"5Y_GEO_GROWTH_DILUTED_EPS","FQ4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57" s="1" t="e">
        <f ca="1">_xll.BDH($C$153,"GEO_GROW_DVD_PER_SH","FQ4 2014","FQ4 2014","Currency=INR","Period=FQ","BEST_FPERIOD_OVERRIDE=FQ","FILING_STATUS=OR","EQY_CONSOLIDATED=Y","Sort=A","Dates=H","DateFormat=P","Fill=—","Direction=H","UseDPDF=Y")</f>
        <v>#NAME?</v>
      </c>
      <c r="AS157" s="1" t="e">
        <f ca="1">_xll.BDH($C$153,"ACCOUNTS_RECEIVABLE_5_YR_GROWTH","FQ4 2014","FQ4 2014","Currency=INR","Period=FQ","BEST_FPERIOD_OVERRIDE=FQ","FILING_STATUS=OR","EQY_CONSOLIDATED=Y","Sort=A","Dates=H","DateFormat=P","Fill=—","Direction=H","UseDPDF=Y")</f>
        <v>#NAME?</v>
      </c>
      <c r="AT157" s="1" t="e">
        <f ca="1">_xll.BDH($C$153,"INVENTORY_5_YEAR_GROWTH","FQ4 2014","FQ4 2014","Currency=INR","Period=FQ","BEST_FPERIOD_OVERRIDE=FQ","FILING_STATUS=OR","EQY_CONSOLIDATED=Y","Sort=A","Dates=H","DateFormat=P","Fill=—","Direction=H","UseDPDF=Y")</f>
        <v>#NAME?</v>
      </c>
      <c r="AU157" s="1" t="e">
        <f ca="1">_xll.BDH($C$153,"NET_FIXED_ASSETS_5_YEAR_GROWTH","FQ4 2014","FQ4 2014","Currency=INR","Period=FQ","BEST_FPERIOD_OVERRIDE=FQ","FILING_STATUS=OR","EQY_CONSOLIDATED=Y","Sort=A","Dates=H","DateFormat=P","Fill=—","Direction=H","UseDPDF=Y")</f>
        <v>#NAME?</v>
      </c>
      <c r="AV157" s="1" t="e">
        <f ca="1">_xll.BDH($C$153,"GEO_GROW_TOT_ASSET","FQ4 2014","FQ4 2014","Currency=INR","Period=FQ","BEST_FPERIOD_OVERRIDE=FQ","FILING_STATUS=OR","EQY_CONSOLIDATED=Y","Sort=A","Dates=H","DateFormat=P","Fill=—","Direction=H","UseDPDF=Y")</f>
        <v>#NAME?</v>
      </c>
      <c r="AW157" s="1" t="e">
        <f ca="1">_xll.BDH($C$153,"MODIFIED_WORKING_CPTL_5YR_GRWTH","FQ4 2014","FQ4 2014","Currency=INR","Period=FQ","BEST_FPERIOD_OVERRIDE=FQ","FILING_STATUS=OR","EQY_CONSOLIDATED=Y","Sort=A","Dates=H","DateFormat=P","Fill=—","Direction=H","UseDPDF=Y")</f>
        <v>#NAME?</v>
      </c>
      <c r="AX157" s="1" t="e">
        <f ca="1">_xll.BDH($C$153,"WORKING_CAPITAL_5_YEAR_GROWTH","FQ4 2014","FQ4 2014","Currency=INR","Period=FQ","BEST_FPERIOD_OVERRIDE=FQ","FILING_STATUS=OR","EQY_CONSOLIDATED=Y","Sort=A","Dates=H","DateFormat=P","Fill=—","Direction=H","UseDPDF=Y")</f>
        <v>#NAME?</v>
      </c>
      <c r="AY157" s="1" t="e">
        <f ca="1">_xll.BDH($C$153,"ACCOUNTS_PAYABLE_5_YEAR_GROWTH","FQ4 2014","FQ4 2014","Currency=INR","Period=FQ","BEST_FPERIOD_OVERRIDE=FQ","FILING_STATUS=OR","EQY_CONSOLIDATED=Y","Sort=A","Dates=H","DateFormat=P","Fill=—","Direction=H","UseDPDF=Y")</f>
        <v>#NAME?</v>
      </c>
      <c r="AZ157" s="1" t="e">
        <f ca="1">_xll.BDH($C$153,"SHORT_TERM_DEBT_5_YEAR_GROWTH","FQ4 2014","FQ4 2014","Currency=INR","Period=FQ","BEST_FPERIOD_OVERRIDE=FQ","FILING_STATUS=OR","EQY_CONSOLIDATED=Y","Sort=A","Dates=H","DateFormat=P","Fill=—","Direction=H","UseDPDF=Y")</f>
        <v>#NAME?</v>
      </c>
      <c r="BA157" s="1" t="e">
        <f ca="1">_xll.BDH($C$153,"TOTAL_DEBT_5_YEAR_GROWTH","FQ4 2014","FQ4 2014","Currency=INR","Period=FQ","BEST_FPERIOD_OVERRIDE=FQ","FILING_STATUS=OR","EQY_CONSOLIDATED=Y","Sort=A","Dates=H","DateFormat=P","Fill=—","Direction=H","UseDPDF=Y")</f>
        <v>#NAME?</v>
      </c>
      <c r="BB157" s="1" t="e">
        <f ca="1">_xll.BDH($C$153,"GEO_GROW_TOT_SHRHLDR_EQY","FQ4 2014","FQ4 2014","Currency=INR","Period=FQ","BEST_FPERIOD_OVERRIDE=FQ","FILING_STATUS=OR","EQY_CONSOLIDATED=Y","Sort=A","Dates=H","DateFormat=P","Fill=—","Direction=H","UseDPDF=Y")</f>
        <v>#NAME?</v>
      </c>
      <c r="BC157" s="1" t="e">
        <f ca="1">_xll.BDH($C$153,"TOTAL_CAPITAL_5_YEAR_GROWTH","FQ4 2014","FQ4 2014","Currency=INR","Period=FQ","BEST_FPERIOD_OVERRIDE=FQ","FILING_STATUS=OR","EQY_CONSOLIDATED=Y","Sort=A","Dates=H","DateFormat=P","Fill=—","Direction=H","UseDPDF=Y")</f>
        <v>#NAME?</v>
      </c>
      <c r="BD157" s="1" t="e">
        <f ca="1">_xll.BDH($C$153,"GEO_GROW_BOOK_VAL","FQ4 2014","FQ4 2014","Currency=INR","Period=FQ","BEST_FPERIOD_OVERRIDE=FQ","FILING_STATUS=OR","EQY_CONSOLIDATED=Y","Sort=A","Dates=H","DateFormat=P","Fill=—","Direction=H","UseDPDF=Y")</f>
        <v>#NAME?</v>
      </c>
      <c r="BE157" s="1" t="e">
        <f ca="1">_xll.BDH($C$153,"GEO_GROW_CASH_OPER_ACT","FQ4 2014","FQ4 2014","Currency=INR","Period=FQ","BEST_FPERIOD_OVERRIDE=FQ","FILING_STATUS=OR","EQY_CONSOLIDATED=Y","Sort=A","Dates=H","DateFormat=P","Fill=—","Direction=H","UseDPDF=Y")</f>
        <v>#NAME?</v>
      </c>
      <c r="BF157" s="1" t="e">
        <f ca="1">_xll.BDH($C$153,"REVENUE_SEQUENTIAL_GROWTH","FQ4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57" s="1" t="e">
        <f ca="1">_xll.BDH($C$153,"EBITDA_SEQUENTIAL_GROWTH","FQ4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57" s="1" t="e">
        <f ca="1">_xll.BDH($C$153,"OPERATING_INCOME_SEQ_GROWTH","FQ4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57" s="1" t="e">
        <f ca="1">_xll.BDH($C$153,"NET_INCOME_TO_COMMON_SEQ_GROWTH","FQ4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57" s="1" t="e">
        <f ca="1">_xll.BDH($C$153,"EPS_DILUTED_SEQUENTIAL_GROWTH","FQ4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57" s="1" t="e">
        <f ca="1">_xll.BDH($C$153,"DPS_SEQUENTIAL_GROWTH","FQ4 2014","FQ4 2014","Currency=INR","Period=FQ","BEST_FPERIOD_OVERRIDE=FQ","FILING_STATUS=OR","EQY_CONSOLIDATED=Y","Sort=A","Dates=H","DateFormat=P","Fill=—","Direction=H","UseDPDF=Y")</f>
        <v>#NAME?</v>
      </c>
      <c r="BL157" s="1" t="e">
        <f ca="1">_xll.BDH($C$153,"ACCOUNTS_RECEIVABLE_SEQ_GROWTH","FQ4 2014","FQ4 2014","Currency=INR","Period=FQ","BEST_FPERIOD_OVERRIDE=FQ","FILING_STATUS=OR","EQY_CONSOLIDATED=Y","Sort=A","Dates=H","DateFormat=P","Fill=—","Direction=H","UseDPDF=Y")</f>
        <v>#NAME?</v>
      </c>
      <c r="BM157" s="1" t="e">
        <f ca="1">_xll.BDH($C$153,"INVENTORY_SEQUENTIAL_GROWTH","FQ4 2014","FQ4 2014","Currency=INR","Period=FQ","BEST_FPERIOD_OVERRIDE=FQ","FILING_STATUS=OR","EQY_CONSOLIDATED=Y","Sort=A","Dates=H","DateFormat=P","Fill=—","Direction=H","UseDPDF=Y")</f>
        <v>#NAME?</v>
      </c>
      <c r="BN157" s="1" t="e">
        <f ca="1">_xll.BDH($C$153,"FIXED_ASSETS_SEQUENTIAL_GROWTH","FQ4 2014","FQ4 2014","Currency=INR","Period=FQ","BEST_FPERIOD_OVERRIDE=FQ","FILING_STATUS=OR","EQY_CONSOLIDATED=Y","Sort=A","Dates=H","DateFormat=P","Fill=—","Direction=H","UseDPDF=Y")</f>
        <v>#NAME?</v>
      </c>
      <c r="BO157" s="1" t="e">
        <f ca="1">_xll.BDH($C$153,"TOTAL_ASSETS_SEQUENTIAL_GROWTH","FQ4 2014","FQ4 2014","Currency=INR","Period=FQ","BEST_FPERIOD_OVERRIDE=FQ","FILING_STATUS=OR","EQY_CONSOLIDATED=Y","Sort=A","Dates=H","DateFormat=P","Fill=—","Direction=H","UseDPDF=Y")</f>
        <v>#NAME?</v>
      </c>
      <c r="BP157" s="1" t="e">
        <f ca="1">_xll.BDH($C$153,"MODIFIED_WORKING_CPTL_SEQ_GRWTH","FQ4 2014","FQ4 2014","Currency=INR","Period=FQ","BEST_FPERIOD_OVERRIDE=FQ","FILING_STATUS=OR","EQY_CONSOLIDATED=Y","Sort=A","Dates=H","DateFormat=P","Fill=—","Direction=H","UseDPDF=Y")</f>
        <v>#NAME?</v>
      </c>
      <c r="BQ157" s="1" t="e">
        <f ca="1">_xll.BDH($C$153,"WORKING_CAPITAL_SEQ_GROWTH","FQ4 2014","FQ4 2014","Currency=INR","Period=FQ","BEST_FPERIOD_OVERRIDE=FQ","FILING_STATUS=OR","EQY_CONSOLIDATED=Y","Sort=A","Dates=H","DateFormat=P","Fill=—","Direction=H","UseDPDF=Y")</f>
        <v>#NAME?</v>
      </c>
      <c r="BR157" s="1" t="e">
        <f ca="1">_xll.BDH($C$153,"ACCOUNTS_PAYABLE_SEQ_GROWTH","FQ4 2014","FQ4 2014","Currency=INR","Period=FQ","BEST_FPERIOD_OVERRIDE=FQ","FILING_STATUS=OR","EQY_CONSOLIDATED=Y","Sort=A","Dates=H","DateFormat=P","Fill=—","Direction=H","UseDPDF=Y")</f>
        <v>#NAME?</v>
      </c>
      <c r="BS157" s="1" t="e">
        <f ca="1">_xll.BDH($C$153,"ST_DEBT_SEQUENTIAL_GROWTH","FQ4 2014","FQ4 2014","Currency=INR","Period=FQ","BEST_FPERIOD_OVERRIDE=FQ","FILING_STATUS=OR","EQY_CONSOLIDATED=Y","Sort=A","Dates=H","DateFormat=P","Fill=—","Direction=H","UseDPDF=Y")</f>
        <v>#NAME?</v>
      </c>
      <c r="BT157" s="1" t="e">
        <f ca="1">_xll.BDH($C$153,"TOTAL_DEBT_SEQUENTIAL_GROWTH","FQ4 2014","FQ4 2014","Currency=INR","Period=FQ","BEST_FPERIOD_OVERRIDE=FQ","FILING_STATUS=OR","EQY_CONSOLIDATED=Y","Sort=A","Dates=H","DateFormat=P","Fill=—","Direction=H","UseDPDF=Y")</f>
        <v>#NAME?</v>
      </c>
      <c r="BU157" s="1" t="e">
        <f ca="1">_xll.BDH($C$153,"TOTAL_EQUITY_SEQUENTIAL_GROWTH","FQ4 2014","FQ4 2014","Currency=INR","Period=FQ","BEST_FPERIOD_OVERRIDE=FQ","FILING_STATUS=OR","EQY_CONSOLIDATED=Y","Sort=A","Dates=H","DateFormat=P","Fill=—","Direction=H","UseDPDF=Y")</f>
        <v>#NAME?</v>
      </c>
      <c r="BV157" s="1" t="e">
        <f ca="1">_xll.BDH($C$153,"TOTAL_CAPITAL_SEQUENTIAL_GROWTH","FQ4 2014","FQ4 2014","Currency=INR","Period=FQ","BEST_FPERIOD_OVERRIDE=FQ","FILING_STATUS=OR","EQY_CONSOLIDATED=Y","Sort=A","Dates=H","DateFormat=P","Fill=—","Direction=H","UseDPDF=Y")</f>
        <v>#NAME?</v>
      </c>
      <c r="BW157" s="1" t="e">
        <f ca="1">_xll.BDH($C$153,"BPS_SEQUENTIAL_GROWTH","FQ4 2014","FQ4 2014","Currency=INR","Period=FQ","BEST_FPERIOD_OVERRIDE=FQ","FILING_STATUS=OR","EQY_CONSOLIDATED=Y","Sort=A","Dates=H","DateFormat=P","Fill=—","Direction=H","UseDPDF=Y")</f>
        <v>#NAME?</v>
      </c>
      <c r="BX157" s="1" t="e">
        <f ca="1">_xll.BDH($C$153,"CFO_SEQUENTIAL_GROWTH","FQ4 2014","FQ4 2014","Currency=INR","Period=FQ","BEST_FPERIOD_OVERRIDE=FQ","FILING_STATUS=OR","EQY_CONSOLIDATED=Y","Sort=A","Dates=H","DateFormat=P","Fill=—","Direction=H","UseDPDF=Y")</f>
        <v>#NAME?</v>
      </c>
      <c r="BY157" s="2" t="e">
        <f ca="1">_xll.BDH($C$153,"SHORT_AND_LONG_TERM_DEBT","FQ4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57" s="2" t="e">
        <f ca="1">_xll.BDH($C$153,"BS_ST_BORROW","FQ4 2014","FQ4 2014","Currency=INR","Period=FQ","BEST_FPERIOD_OVERRIDE=FQ","FILING_STATUS=OR","EQY_CONSOLIDATED=Y","SCALING_FORMAT=MLN","Sort=A","Dates=H","DateFormat=P","Fill=—","Direction=H","UseDPDF=Y")</f>
        <v>#NAME?</v>
      </c>
      <c r="CA157" s="2" t="e">
        <f ca="1">_xll.BDH($C$153,"BS_LT_BORROW","FQ4 2014","FQ4 2014","Currency=INR","Period=FQ","BEST_FPERIOD_OVERRIDE=FQ","FILING_STATUS=OR","EQY_CONSOLIDATED=Y","SCALING_FORMAT=MLN","Sort=A","Dates=H","DateFormat=P","Fill=—","Direction=H","UseDPDF=Y")</f>
        <v>#NAME?</v>
      </c>
      <c r="CB157" s="1" t="e">
        <f ca="1">_xll.BDH($C$153,"TOT_DEBT_TO_EBITDA","FQ4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57" s="1" t="e">
        <f ca="1">_xll.BDH($C$153,"NET_DEBT_TO_EBITDA","FQ4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57" s="1" t="e">
        <f ca="1">_xll.BDH($C$153,"TOTAL_DEBT_TO_EBIT","FQ4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57" s="1" t="e">
        <f ca="1">_xll.BDH($C$153,"NET_DEBT_TO_EBIT","FQ4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157" s="1" t="e">
        <f ca="1">_xll.BDH($C$153,"EBITDA_TO_INTEREST_EXPN","FQ4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57" s="1" t="e">
        <f ca="1">_xll.BDH($C$153,"COM_EQY_TO_TOT_ASSET","FQ4 2014","FQ4 2014","Currency=INR","Period=FQ","BEST_FPERIOD_OVERRIDE=FQ","FILING_STATUS=OR","EQY_CONSOLIDATED=Y","Sort=A","Dates=H","DateFormat=P","Fill=—","Direction=H","UseDPDF=Y")</f>
        <v>#NAME?</v>
      </c>
      <c r="CH157" s="1" t="e">
        <f ca="1">_xll.BDH($C$153,"LT_DEBT_TO_TOT_EQY","FQ4 2014","FQ4 2014","Currency=INR","Period=FQ","BEST_FPERIOD_OVERRIDE=FQ","FILING_STATUS=OR","EQY_CONSOLIDATED=Y","Sort=A","Dates=H","DateFormat=P","Fill=—","Direction=H","UseDPDF=Y")</f>
        <v>#NAME?</v>
      </c>
      <c r="CI157" s="1" t="e">
        <f ca="1">_xll.BDH($C$153,"LT_DEBT_TO_TOT_CAP","FQ4 2014","FQ4 2014","Currency=INR","Period=FQ","BEST_FPERIOD_OVERRIDE=FQ","FILING_STATUS=OR","EQY_CONSOLIDATED=Y","Sort=A","Dates=H","DateFormat=P","Fill=—","Direction=H","UseDPDF=Y")</f>
        <v>#NAME?</v>
      </c>
      <c r="CJ157" s="1" t="e">
        <f ca="1">_xll.BDH($C$153,"LT_DEBT_TO_TOT_ASSET","FQ4 2014","FQ4 2014","Currency=INR","Period=FQ","BEST_FPERIOD_OVERRIDE=FQ","FILING_STATUS=OR","EQY_CONSOLIDATED=Y","Sort=A","Dates=H","DateFormat=P","Fill=—","Direction=H","UseDPDF=Y")</f>
        <v>#NAME?</v>
      </c>
      <c r="CK157" s="1" t="e">
        <f ca="1">_xll.BDH($C$153,"TOT_DEBT_TO_TOT_EQY","FQ4 2014","FQ4 2014","Currency=INR","Period=FQ","BEST_FPERIOD_OVERRIDE=FQ","FILING_STATUS=OR","EQY_CONSOLIDATED=Y","Sort=A","Dates=H","DateFormat=P","Fill=—","Direction=H","UseDPDF=Y")</f>
        <v>#NAME?</v>
      </c>
      <c r="CL157" s="1" t="e">
        <f ca="1">_xll.BDH($C$153,"TOT_DEBT_TO_TOT_CAP","FQ4 2014","FQ4 2014","Currency=INR","Period=FQ","BEST_FPERIOD_OVERRIDE=FQ","FILING_STATUS=OR","EQY_CONSOLIDATED=Y","Sort=A","Dates=H","DateFormat=P","Fill=—","Direction=H","UseDPDF=Y")</f>
        <v>#NAME?</v>
      </c>
      <c r="CM157" s="1" t="e">
        <f ca="1">_xll.BDH($C$153,"TOT_DEBT_TO_TOT_ASSET","FQ4 2014","FQ4 2014","Currency=INR","Period=FQ","BEST_FPERIOD_OVERRIDE=FQ","FILING_STATUS=OR","EQY_CONSOLIDATED=Y","Sort=A","Dates=H","DateFormat=P","Fill=—","Direction=H","UseDPDF=Y")</f>
        <v>#NAME?</v>
      </c>
      <c r="CN157" s="1" t="e">
        <f ca="1">_xll.BDH($C$153,"NET_DEBT_TO_SHRHLDR_EQTY","FQ4 2014","FQ4 2014","Currency=INR","Period=FQ","BEST_FPERIOD_OVERRIDE=FQ","FILING_STATUS=OR","EQY_CONSOLIDATED=Y","Sort=A","Dates=H","DateFormat=P","Fill=—","Direction=H","UseDPDF=Y")</f>
        <v>#NAME?</v>
      </c>
      <c r="CO157" s="1" t="e">
        <f ca="1">_xll.BDH($C$153,"NET_DEBT_%_CAPITAL","FQ4 2014","FQ4 2014","Currency=INR","Period=FQ","BEST_FPERIOD_OVERRIDE=FQ","FILING_STATUS=OR","EQY_CONSOLIDATED=Y","Sort=A","Dates=H","DateFormat=P","Fill=—","Direction=H","UseDPDF=Y")</f>
        <v>#NAME?</v>
      </c>
      <c r="CP157" s="2" t="e">
        <f ca="1">_xll.BDH($C$153,"EBITDA","FQ4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57" s="2" t="e">
        <f ca="1">_xll.BDH($C$153,"EBITDA_AFTER_CAPEX","FQ4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57" s="2" t="e">
        <f ca="1">_xll.BDH($C$153,"IS_OPER_INC","FQ4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57" s="1" t="e">
        <f ca="1">_xll.BDH($C$153,"CASH_RATIO","FQ4 2014","FQ4 2014","Currency=INR","Period=FQ","BEST_FPERIOD_OVERRIDE=FQ","FILING_STATUS=OR","EQY_CONSOLIDATED=Y","Sort=A","Dates=H","DateFormat=P","Fill=—","Direction=H","UseDPDF=Y")</f>
        <v>#NAME?</v>
      </c>
      <c r="CT157" s="1" t="e">
        <f ca="1">_xll.BDH($C$153,"CUR_RATIO","FQ4 2014","FQ4 2014","Currency=INR","Period=FQ","BEST_FPERIOD_OVERRIDE=FQ","FILING_STATUS=OR","EQY_CONSOLIDATED=Y","Sort=A","Dates=H","DateFormat=P","Fill=—","Direction=H","UseDPDF=Y")</f>
        <v>#NAME?</v>
      </c>
      <c r="CU157" s="1" t="e">
        <f ca="1">_xll.BDH($C$153,"QUICK_RATIO","FQ4 2014","FQ4 2014","Currency=INR","Period=FQ","BEST_FPERIOD_OVERRIDE=FQ","FILING_STATUS=OR","EQY_CONSOLIDATED=Y","Sort=A","Dates=H","DateFormat=P","Fill=—","Direction=H","UseDPDF=Y")</f>
        <v>#NAME?</v>
      </c>
      <c r="CV157" s="1" t="e">
        <f ca="1">_xll.BDH($C$153,"ALTMAN_Z_SCORE","FQ4 2014","FQ4 2014","Currency=INR","Period=FQ","BEST_FPERIOD_OVERRIDE=FQ","FILING_STATUS=OR","EQY_CONSOLIDATED=Y","Sort=A","Dates=H","DateFormat=P","Fill=—","Direction=H","UseDPDF=Y")</f>
        <v>#NAME?</v>
      </c>
      <c r="CW157" s="3" t="e">
        <f ca="1">_xll.BDH($C$153,"ACCT_RCV_TURN","FQ4 2014","FQ4 2014","Currency=INR","Period=FQ","BEST_FPERIOD_OVERRIDE=FQ","FILING_STATUS=OR","EQY_CONSOLIDATED=Y","FA_ADJUSTED=GAAP","Sort=A","Dates=H","DateFormat=P","Fill=—","Direction=H","UseDPDF=Y")</f>
        <v>#NAME?</v>
      </c>
      <c r="CX157" s="1" t="e">
        <f ca="1">_xll.BDH($C$153,"ACCT_RCV_DAYS","FQ4 2014","FQ4 2014","Currency=INR","Period=FQ","BEST_FPERIOD_OVERRIDE=FQ","FILING_STATUS=OR","EQY_CONSOLIDATED=Y","FA_ADJUSTED=GAAP","Sort=A","Dates=H","DateFormat=P","Fill=—","Direction=H","UseDPDF=Y")</f>
        <v>#NAME?</v>
      </c>
      <c r="CY157" s="3" t="e">
        <f ca="1">_xll.BDH($C$153,"INVENT_TURN","FQ4 2014","FQ4 2014","Currency=INR","Period=FQ","BEST_FPERIOD_OVERRIDE=FQ","FILING_STATUS=OR","EQY_CONSOLIDATED=Y","FA_ADJUSTED=GAAP","Sort=A","Dates=H","DateFormat=P","Fill=—","Direction=H","UseDPDF=Y")</f>
        <v>#NAME?</v>
      </c>
      <c r="CZ157" s="1" t="e">
        <f ca="1">_xll.BDH($C$153,"INVENT_DAYS","FQ4 2014","FQ4 2014","Currency=INR","Period=FQ","BEST_FPERIOD_OVERRIDE=FQ","FILING_STATUS=OR","EQY_CONSOLIDATED=Y","FA_ADJUSTED=GAAP","Sort=A","Dates=H","DateFormat=P","Fill=—","Direction=H","UseDPDF=Y")</f>
        <v>#NAME?</v>
      </c>
      <c r="DA157" s="3" t="e">
        <f ca="1">_xll.BDH($C$153,"ACCOUNTS_PAYABLE_TURNOVER","FQ4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57" s="1" t="e">
        <f ca="1">_xll.BDH($C$153,"ACCOUNTS_PAYABLE_TURNOVER_DAYS","FQ4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57" s="3" t="e">
        <f ca="1">_xll.BDH($C$153,"CASH_CONVERSION_CYCLE","FQ4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57" s="3" t="e">
        <f ca="1">_xll.BDH($C$153,"INV_TO_CASH_DAYS","FQ4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157" s="4" t="e">
        <f ca="1">_xll.BDH($C$153,"BS_INVENTORIES","FQ4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157" s="2" t="e">
        <f ca="1">_xll.BDH($C$153,"INVTRY_RAW_MATERIALS","FQ4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57" s="2" t="e">
        <f ca="1">_xll.BDH($C$153,"INVTRY_IN_PROGRESS","FQ4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57" s="2" t="e">
        <f ca="1">_xll.BDH($C$153,"INVTRY_FINISHED_GOODS","FQ4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57" s="2" t="e">
        <f ca="1">_xll.BDH($C$153,"BS_OTHER_INV","FQ4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58" spans="1:113" x14ac:dyDescent="0.3">
      <c r="A158" s="6"/>
      <c r="B158" s="6"/>
      <c r="C158" s="6"/>
      <c r="D158" s="6" t="s">
        <v>8</v>
      </c>
      <c r="E158" t="s">
        <v>3</v>
      </c>
      <c r="F158" t="e">
        <f ca="1">_xll.BDH($C$153,"RETURN_COM_EQY","FY 2015","FY 2015","Currency=INR","Period=FY","BEST_FPERIOD_OVERRIDE=FY","FILING_STATUS=OR","EQY_CONSOLIDATED=Y","FA_ADJUSTED=GAAP","Sort=A","Dates=H","DateFormat=P","Fill=—","Direction=H","UseDPDF=Y")</f>
        <v>#NAME?</v>
      </c>
      <c r="G158" t="e">
        <f ca="1">_xll.BDH($C$153,"RETURN_ON_ASSET","FY 2015","FY 2015","Currency=INR","Period=FY","BEST_FPERIOD_OVERRIDE=FY","FILING_STATUS=OR","EQY_CONSOLIDATED=Y","FA_ADJUSTED=GAAP","Sort=A","Dates=H","DateFormat=P","Fill=—","Direction=H","UseDPDF=Y")</f>
        <v>#NAME?</v>
      </c>
      <c r="H158" t="e">
        <f ca="1">_xll.BDH($C$153,"RETURN_ON_CAP","FY 2015","FY 2015","Currency=INR","Period=FY","BEST_FPERIOD_OVERRIDE=FY","FILING_STATUS=OR","EQY_CONSOLIDATED=Y","FA_ADJUSTED=GAAP","Sort=A","Dates=H","DateFormat=P","Fill=—","Direction=H","UseDPDF=Y")</f>
        <v>#NAME?</v>
      </c>
      <c r="I158" t="e">
        <f ca="1">_xll.BDH($C$153,"RETURN_ON_INV_CAPITAL","FY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58" t="e">
        <f ca="1">_xll.BDH($C$153,"EBITDA_TO_REVENUE","FY 2015","FY 2015","Currency=INR","Period=FY","BEST_FPERIOD_OVERRIDE=FY","FILING_STATUS=OR","EQY_CONSOLIDATED=Y","FA_ADJUSTED=GAAP","Sort=A","Dates=H","DateFormat=P","Fill=—","Direction=H","UseDPDF=Y")</f>
        <v>#NAME?</v>
      </c>
      <c r="K158" t="e">
        <f ca="1">_xll.BDH($C$153,"OPER_MARGIN","FY 2015","FY 2015","Currency=INR","Period=FY","BEST_FPERIOD_OVERRIDE=FY","FILING_STATUS=OR","EQY_CONSOLIDATED=Y","FA_ADJUSTED=GAAP","Sort=A","Dates=H","DateFormat=P","Fill=—","Direction=H","UseDPDF=Y")</f>
        <v>#NAME?</v>
      </c>
      <c r="L158" t="e">
        <f ca="1">_xll.BDH($C$153,"INCREMENTAL_OPERATING_MARGIN","FY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58" t="e">
        <f ca="1">_xll.BDH($C$153,"PRETAX_INC_TO_NET_SALES","FY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58" t="e">
        <f ca="1">_xll.BDH($C$153,"INC_BEF_XO_ITEMS_TO_NET_SALES","FY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58" t="e">
        <f ca="1">_xll.BDH($C$153,"PROF_MARGIN","FY 2015","FY 2015","Currency=INR","Period=FY","BEST_FPERIOD_OVERRIDE=FY","FILING_STATUS=OR","EQY_CONSOLIDATED=Y","FA_ADJUSTED=GAAP","Sort=A","Dates=H","DateFormat=P","Fill=—","Direction=H","UseDPDF=Y")</f>
        <v>#NAME?</v>
      </c>
      <c r="P158" t="e">
        <f ca="1">_xll.BDH($C$153,"NET_INCOME_TO_COMMON_MARGIN","FY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58" t="e">
        <f ca="1">_xll.BDH($C$153,"EFF_TAX_RATE","FY 2015","FY 2015","Currency=INR","Period=FY","BEST_FPERIOD_OVERRIDE=FY","FILING_STATUS=OR","EQY_CONSOLIDATED=Y","FA_ADJUSTED=GAAP","Sort=A","Dates=H","DateFormat=P","Fill=—","Direction=H","UseDPDF=Y")</f>
        <v>#NAME?</v>
      </c>
      <c r="R158" t="e">
        <f ca="1">_xll.BDH($C$153,"DVD_PAYOUT_RATIO","FY 2015","FY 2015","Currency=INR","Period=FY","BEST_FPERIOD_OVERRIDE=FY","FILING_STATUS=OR","EQY_CONSOLIDATED=Y","FA_ADJUSTED=GAAP","Sort=A","Dates=H","DateFormat=P","Fill=—","Direction=H","UseDPDF=Y")</f>
        <v>#NAME?</v>
      </c>
      <c r="S158" t="e">
        <f ca="1">_xll.BDH($C$153,"SUSTAIN_GROWTH_RT","FY 2015","FY 2015","Currency=INR","Period=FY","BEST_FPERIOD_OVERRIDE=FY","FILING_STATUS=OR","EQY_CONSOLIDATED=Y","FA_ADJUSTED=GAAP","Sort=A","Dates=H","DateFormat=P","Fill=—","Direction=H","UseDPDF=Y")</f>
        <v>#NAME?</v>
      </c>
      <c r="T158" s="1" t="e">
        <f ca="1">_xll.BDH($C$153,"SALES_GROWTH","FY 2015","FY 2015","Currency=INR","Period=FY","BEST_FPERIOD_OVERRIDE=FY","FILING_STATUS=OR","EQY_CONSOLIDATED=Y","FA_ADJUSTED=GAAP","Sort=A","Dates=H","DateFormat=P","Fill=—","Direction=H","UseDPDF=Y")</f>
        <v>#NAME?</v>
      </c>
      <c r="U158" s="1" t="e">
        <f ca="1">_xll.BDH($C$153,"EBITDA_GROWTH","FY 2015","FY 2015","Currency=INR","Period=FY","BEST_FPERIOD_OVERRIDE=FY","FILING_STATUS=OR","EQY_CONSOLIDATED=Y","FA_ADJUSTED=GAAP","Sort=A","Dates=H","DateFormat=P","Fill=—","Direction=H","UseDPDF=Y")</f>
        <v>#NAME?</v>
      </c>
      <c r="V158" s="1" t="e">
        <f ca="1">_xll.BDH($C$153,"OPER_INC_GROWTH","FY 2015","FY 2015","Currency=INR","Period=FY","BEST_FPERIOD_OVERRIDE=FY","FILING_STATUS=OR","EQY_CONSOLIDATED=Y","FA_ADJUSTED=GAAP","Sort=A","Dates=H","DateFormat=P","Fill=—","Direction=H","UseDPDF=Y")</f>
        <v>#NAME?</v>
      </c>
      <c r="W158" s="1" t="e">
        <f ca="1">_xll.BDH($C$153,"EARN_FOR_COM_GROWTH","FY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158" s="1" t="e">
        <f ca="1">_xll.BDH($C$153,"DILUTED_EPS_AFT_XO_ITEMS_GROWTH","FY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58" s="1" t="e">
        <f ca="1">_xll.BDH($C$153,"DIVIDEND_PER_SHARE_1_YEAR_GROWTH","FY 2015","FY 2015","Currency=INR","Period=FY","BEST_FPERIOD_OVERRIDE=FY","FILING_STATUS=OR","EQY_CONSOLIDATED=Y","Sort=A","Dates=H","DateFormat=P","Fill=—","Direction=H","UseDPDF=Y")</f>
        <v>#NAME?</v>
      </c>
      <c r="Z158" s="1" t="e">
        <f ca="1">_xll.BDH($C$153,"ACCOUNTS_RECEIVABLE_GROWTH","FY 2015","FY 2015","Currency=INR","Period=FY","BEST_FPERIOD_OVERRIDE=FY","FILING_STATUS=OR","EQY_CONSOLIDATED=Y","Sort=A","Dates=H","DateFormat=P","Fill=—","Direction=H","UseDPDF=Y")</f>
        <v>#NAME?</v>
      </c>
      <c r="AA158" s="1" t="e">
        <f ca="1">_xll.BDH($C$153,"INVENTORY_GROWTH","FY 2015","FY 2015","Currency=INR","Period=FY","BEST_FPERIOD_OVERRIDE=FY","FILING_STATUS=OR","EQY_CONSOLIDATED=Y","Sort=A","Dates=H","DateFormat=P","Fill=—","Direction=H","UseDPDF=Y")</f>
        <v>#NAME?</v>
      </c>
      <c r="AB158" s="1" t="e">
        <f ca="1">_xll.BDH($C$153,"NET_FIXED_ASSETS_1_YEAR_GROWTH","FY 2015","FY 2015","Currency=INR","Period=FY","BEST_FPERIOD_OVERRIDE=FY","FILING_STATUS=OR","EQY_CONSOLIDATED=Y","Sort=A","Dates=H","DateFormat=P","Fill=—","Direction=H","UseDPDF=Y")</f>
        <v>#NAME?</v>
      </c>
      <c r="AC158" s="1" t="e">
        <f ca="1">_xll.BDH($C$153,"ASSET_GROWTH","FY 2015","FY 2015","Currency=INR","Period=FY","BEST_FPERIOD_OVERRIDE=FY","FILING_STATUS=OR","EQY_CONSOLIDATED=Y","Sort=A","Dates=H","DateFormat=P","Fill=—","Direction=H","UseDPDF=Y")</f>
        <v>#NAME?</v>
      </c>
      <c r="AD158" s="1" t="e">
        <f ca="1">_xll.BDH($C$153,"MODIFIED_WORK_CAP_GROWTH","FY 2015","FY 2015","Currency=INR","Period=FY","BEST_FPERIOD_OVERRIDE=FY","FILING_STATUS=OR","EQY_CONSOLIDATED=Y","Sort=A","Dates=H","DateFormat=P","Fill=—","Direction=H","UseDPDF=Y")</f>
        <v>#NAME?</v>
      </c>
      <c r="AE158" s="1" t="e">
        <f ca="1">_xll.BDH($C$153,"WORK_CAP_GROWTH","FY 2015","FY 2015","Currency=INR","Period=FY","BEST_FPERIOD_OVERRIDE=FY","FILING_STATUS=OR","EQY_CONSOLIDATED=Y","Sort=A","Dates=H","DateFormat=P","Fill=—","Direction=H","UseDPDF=Y")</f>
        <v>#NAME?</v>
      </c>
      <c r="AF158" s="1" t="e">
        <f ca="1">_xll.BDH($C$153,"ACCOUNTS_PAYABLE_GROWTH_1YR","FY 2015","FY 2015","Currency=INR","Period=FY","BEST_FPERIOD_OVERRIDE=FY","FILING_STATUS=OR","EQY_CONSOLIDATED=Y","Sort=A","Dates=H","DateFormat=P","Fill=—","Direction=H","UseDPDF=Y")</f>
        <v>#NAME?</v>
      </c>
      <c r="AG158" s="1" t="e">
        <f ca="1">_xll.BDH($C$153,"SHORT_TERM_DEBT_1_YEAR_GROWTH","FY 2015","FY 2015","Currency=INR","Period=FY","BEST_FPERIOD_OVERRIDE=FY","FILING_STATUS=OR","EQY_CONSOLIDATED=Y","Sort=A","Dates=H","DateFormat=P","Fill=—","Direction=H","UseDPDF=Y")</f>
        <v>#NAME?</v>
      </c>
      <c r="AH158" s="1" t="e">
        <f ca="1">_xll.BDH($C$153,"TOTAL_DEBT_1_YEAR_GROWTH","FY 2015","FY 2015","Currency=INR","Period=FY","BEST_FPERIOD_OVERRIDE=FY","FILING_STATUS=OR","EQY_CONSOLIDATED=Y","Sort=A","Dates=H","DateFormat=P","Fill=—","Direction=H","UseDPDF=Y")</f>
        <v>#NAME?</v>
      </c>
      <c r="AI158" s="1" t="e">
        <f ca="1">_xll.BDH($C$153,"TOTAL_EQUITY_1_YEAR_GROWTH","FY 2015","FY 2015","Currency=INR","Period=FY","BEST_FPERIOD_OVERRIDE=FY","FILING_STATUS=OR","EQY_CONSOLIDATED=Y","Sort=A","Dates=H","DateFormat=P","Fill=—","Direction=H","UseDPDF=Y")</f>
        <v>#NAME?</v>
      </c>
      <c r="AJ158" s="1" t="e">
        <f ca="1">_xll.BDH($C$153,"GROWTH_IN_CAP","FY 2015","FY 2015","Currency=INR","Period=FY","BEST_FPERIOD_OVERRIDE=FY","FILING_STATUS=OR","EQY_CONSOLIDATED=Y","Sort=A","Dates=H","DateFormat=P","Fill=—","Direction=H","UseDPDF=Y")</f>
        <v>#NAME?</v>
      </c>
      <c r="AK158" s="1" t="e">
        <f ca="1">_xll.BDH($C$153,"BVPS_GROWTH","FY 2015","FY 2015","Currency=INR","Period=FY","BEST_FPERIOD_OVERRIDE=FY","FILING_STATUS=OR","EQY_CONSOLIDATED=Y","Sort=A","Dates=H","DateFormat=P","Fill=—","Direction=H","UseDPDF=Y")</f>
        <v>#NAME?</v>
      </c>
      <c r="AL158" s="1" t="e">
        <f ca="1">_xll.BDH($C$153,"CASH_FLOW_GROWTH","FY 2015","FY 2015","Currency=INR","Period=FY","BEST_FPERIOD_OVERRIDE=FY","FILING_STATUS=OR","EQY_CONSOLIDATED=Y","Sort=A","Dates=H","DateFormat=P","Fill=—","Direction=H","UseDPDF=Y")</f>
        <v>#NAME?</v>
      </c>
      <c r="AM158" s="1" t="e">
        <f ca="1">_xll.BDH($C$153,"GEO_GROW_NET_SALES","FY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158" s="1" t="e">
        <f ca="1">_xll.BDH($C$153,"GEO_GROW_EBITDA","FY 2015","FY 2015","Currency=INR","Period=FY","BEST_FPERIOD_OVERRIDE=FY","FILING_STATUS=OR","EQY_CONSOLIDATED=Y","FA_ADJUSTED=GAAP","Sort=A","Dates=H","DateFormat=P","Fill=—","Direction=H","UseDPDF=Y")</f>
        <v>#NAME?</v>
      </c>
      <c r="AO158" s="1" t="e">
        <f ca="1">_xll.BDH($C$153,"GEO_GROW_OPER_INC","FY 2015","FY 2015","Currency=INR","Period=FY","BEST_FPERIOD_OVERRIDE=FY","FILING_STATUS=OR","EQY_CONSOLIDATED=Y","FA_ADJUSTED=GAAP","Sort=A","Dates=H","DateFormat=P","Fill=—","Direction=H","UseDPDF=Y")</f>
        <v>#NAME?</v>
      </c>
      <c r="AP158" s="1" t="e">
        <f ca="1">_xll.BDH($C$153,"NET_INCOME_TO_COMMON_5_YR_GROWTH","FY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58" s="1" t="e">
        <f ca="1">_xll.BDH($C$153,"5Y_GEO_GROWTH_DILUTED_EPS","FY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58" s="1" t="e">
        <f ca="1">_xll.BDH($C$153,"GEO_GROW_DVD_PER_SH","FY 2015","FY 2015","Currency=INR","Period=FY","BEST_FPERIOD_OVERRIDE=FY","FILING_STATUS=OR","EQY_CONSOLIDATED=Y","Sort=A","Dates=H","DateFormat=P","Fill=—","Direction=H","UseDPDF=Y")</f>
        <v>#NAME?</v>
      </c>
      <c r="AS158" s="1" t="e">
        <f ca="1">_xll.BDH($C$153,"ACCOUNTS_RECEIVABLE_5_YR_GROWTH","FY 2015","FY 2015","Currency=INR","Period=FY","BEST_FPERIOD_OVERRIDE=FY","FILING_STATUS=OR","EQY_CONSOLIDATED=Y","Sort=A","Dates=H","DateFormat=P","Fill=—","Direction=H","UseDPDF=Y")</f>
        <v>#NAME?</v>
      </c>
      <c r="AT158" s="1" t="e">
        <f ca="1">_xll.BDH($C$153,"INVENTORY_5_YEAR_GROWTH","FY 2015","FY 2015","Currency=INR","Period=FY","BEST_FPERIOD_OVERRIDE=FY","FILING_STATUS=OR","EQY_CONSOLIDATED=Y","Sort=A","Dates=H","DateFormat=P","Fill=—","Direction=H","UseDPDF=Y")</f>
        <v>#NAME?</v>
      </c>
      <c r="AU158" s="1" t="e">
        <f ca="1">_xll.BDH($C$153,"NET_FIXED_ASSETS_5_YEAR_GROWTH","FY 2015","FY 2015","Currency=INR","Period=FY","BEST_FPERIOD_OVERRIDE=FY","FILING_STATUS=OR","EQY_CONSOLIDATED=Y","Sort=A","Dates=H","DateFormat=P","Fill=—","Direction=H","UseDPDF=Y")</f>
        <v>#NAME?</v>
      </c>
      <c r="AV158" s="1" t="e">
        <f ca="1">_xll.BDH($C$153,"GEO_GROW_TOT_ASSET","FY 2015","FY 2015","Currency=INR","Period=FY","BEST_FPERIOD_OVERRIDE=FY","FILING_STATUS=OR","EQY_CONSOLIDATED=Y","Sort=A","Dates=H","DateFormat=P","Fill=—","Direction=H","UseDPDF=Y")</f>
        <v>#NAME?</v>
      </c>
      <c r="AW158" s="1" t="e">
        <f ca="1">_xll.BDH($C$153,"MODIFIED_WORKING_CPTL_5YR_GRWTH","FY 2015","FY 2015","Currency=INR","Period=FY","BEST_FPERIOD_OVERRIDE=FY","FILING_STATUS=OR","EQY_CONSOLIDATED=Y","Sort=A","Dates=H","DateFormat=P","Fill=—","Direction=H","UseDPDF=Y")</f>
        <v>#NAME?</v>
      </c>
      <c r="AX158" s="1" t="e">
        <f ca="1">_xll.BDH($C$153,"WORKING_CAPITAL_5_YEAR_GROWTH","FY 2015","FY 2015","Currency=INR","Period=FY","BEST_FPERIOD_OVERRIDE=FY","FILING_STATUS=OR","EQY_CONSOLIDATED=Y","Sort=A","Dates=H","DateFormat=P","Fill=—","Direction=H","UseDPDF=Y")</f>
        <v>#NAME?</v>
      </c>
      <c r="AY158" s="1" t="e">
        <f ca="1">_xll.BDH($C$153,"ACCOUNTS_PAYABLE_5_YEAR_GROWTH","FY 2015","FY 2015","Currency=INR","Period=FY","BEST_FPERIOD_OVERRIDE=FY","FILING_STATUS=OR","EQY_CONSOLIDATED=Y","Sort=A","Dates=H","DateFormat=P","Fill=—","Direction=H","UseDPDF=Y")</f>
        <v>#NAME?</v>
      </c>
      <c r="AZ158" s="1" t="e">
        <f ca="1">_xll.BDH($C$153,"SHORT_TERM_DEBT_5_YEAR_GROWTH","FY 2015","FY 2015","Currency=INR","Period=FY","BEST_FPERIOD_OVERRIDE=FY","FILING_STATUS=OR","EQY_CONSOLIDATED=Y","Sort=A","Dates=H","DateFormat=P","Fill=—","Direction=H","UseDPDF=Y")</f>
        <v>#NAME?</v>
      </c>
      <c r="BA158" s="1" t="e">
        <f ca="1">_xll.BDH($C$153,"TOTAL_DEBT_5_YEAR_GROWTH","FY 2015","FY 2015","Currency=INR","Period=FY","BEST_FPERIOD_OVERRIDE=FY","FILING_STATUS=OR","EQY_CONSOLIDATED=Y","Sort=A","Dates=H","DateFormat=P","Fill=—","Direction=H","UseDPDF=Y")</f>
        <v>#NAME?</v>
      </c>
      <c r="BB158" s="1" t="e">
        <f ca="1">_xll.BDH($C$153,"GEO_GROW_TOT_SHRHLDR_EQY","FY 2015","FY 2015","Currency=INR","Period=FY","BEST_FPERIOD_OVERRIDE=FY","FILING_STATUS=OR","EQY_CONSOLIDATED=Y","Sort=A","Dates=H","DateFormat=P","Fill=—","Direction=H","UseDPDF=Y")</f>
        <v>#NAME?</v>
      </c>
      <c r="BC158" s="1" t="e">
        <f ca="1">_xll.BDH($C$153,"TOTAL_CAPITAL_5_YEAR_GROWTH","FY 2015","FY 2015","Currency=INR","Period=FY","BEST_FPERIOD_OVERRIDE=FY","FILING_STATUS=OR","EQY_CONSOLIDATED=Y","Sort=A","Dates=H","DateFormat=P","Fill=—","Direction=H","UseDPDF=Y")</f>
        <v>#NAME?</v>
      </c>
      <c r="BD158" s="1" t="e">
        <f ca="1">_xll.BDH($C$153,"GEO_GROW_BOOK_VAL","FY 2015","FY 2015","Currency=INR","Period=FY","BEST_FPERIOD_OVERRIDE=FY","FILING_STATUS=OR","EQY_CONSOLIDATED=Y","Sort=A","Dates=H","DateFormat=P","Fill=—","Direction=H","UseDPDF=Y")</f>
        <v>#NAME?</v>
      </c>
      <c r="BE158" s="1" t="e">
        <f ca="1">_xll.BDH($C$153,"GEO_GROW_CASH_OPER_ACT","FY 2015","FY 2015","Currency=INR","Period=FY","BEST_FPERIOD_OVERRIDE=FY","FILING_STATUS=OR","EQY_CONSOLIDATED=Y","Sort=A","Dates=H","DateFormat=P","Fill=—","Direction=H","UseDPDF=Y")</f>
        <v>#NAME?</v>
      </c>
      <c r="BF158" s="1" t="e">
        <f ca="1">_xll.BDH($C$153,"REVENUE_SEQUENTIAL_GROWTH","FY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58" s="1" t="e">
        <f ca="1">_xll.BDH($C$153,"EBITDA_SEQUENTIAL_GROWTH","FY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58" s="1" t="e">
        <f ca="1">_xll.BDH($C$153,"OPERATING_INCOME_SEQ_GROWTH","FY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58" s="1" t="e">
        <f ca="1">_xll.BDH($C$153,"NET_INCOME_TO_COMMON_SEQ_GROWTH","FY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58" s="1" t="e">
        <f ca="1">_xll.BDH($C$153,"EPS_DILUTED_SEQUENTIAL_GROWTH","FY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58" s="1" t="e">
        <f ca="1">_xll.BDH($C$153,"DPS_SEQUENTIAL_GROWTH","FY 2015","FY 2015","Currency=INR","Period=FY","BEST_FPERIOD_OVERRIDE=FY","FILING_STATUS=OR","EQY_CONSOLIDATED=Y","Sort=A","Dates=H","DateFormat=P","Fill=—","Direction=H","UseDPDF=Y")</f>
        <v>#NAME?</v>
      </c>
      <c r="BL158" s="1" t="e">
        <f ca="1">_xll.BDH($C$153,"ACCOUNTS_RECEIVABLE_SEQ_GROWTH","FY 2015","FY 2015","Currency=INR","Period=FY","BEST_FPERIOD_OVERRIDE=FY","FILING_STATUS=OR","EQY_CONSOLIDATED=Y","Sort=A","Dates=H","DateFormat=P","Fill=—","Direction=H","UseDPDF=Y")</f>
        <v>#NAME?</v>
      </c>
      <c r="BM158" s="1" t="e">
        <f ca="1">_xll.BDH($C$153,"INVENTORY_SEQUENTIAL_GROWTH","FY 2015","FY 2015","Currency=INR","Period=FY","BEST_FPERIOD_OVERRIDE=FY","FILING_STATUS=OR","EQY_CONSOLIDATED=Y","Sort=A","Dates=H","DateFormat=P","Fill=—","Direction=H","UseDPDF=Y")</f>
        <v>#NAME?</v>
      </c>
      <c r="BN158" s="1" t="e">
        <f ca="1">_xll.BDH($C$153,"FIXED_ASSETS_SEQUENTIAL_GROWTH","FY 2015","FY 2015","Currency=INR","Period=FY","BEST_FPERIOD_OVERRIDE=FY","FILING_STATUS=OR","EQY_CONSOLIDATED=Y","Sort=A","Dates=H","DateFormat=P","Fill=—","Direction=H","UseDPDF=Y")</f>
        <v>#NAME?</v>
      </c>
      <c r="BO158" s="1" t="e">
        <f ca="1">_xll.BDH($C$153,"TOTAL_ASSETS_SEQUENTIAL_GROWTH","FY 2015","FY 2015","Currency=INR","Period=FY","BEST_FPERIOD_OVERRIDE=FY","FILING_STATUS=OR","EQY_CONSOLIDATED=Y","Sort=A","Dates=H","DateFormat=P","Fill=—","Direction=H","UseDPDF=Y")</f>
        <v>#NAME?</v>
      </c>
      <c r="BP158" s="1" t="e">
        <f ca="1">_xll.BDH($C$153,"MODIFIED_WORKING_CPTL_SEQ_GRWTH","FY 2015","FY 2015","Currency=INR","Period=FY","BEST_FPERIOD_OVERRIDE=FY","FILING_STATUS=OR","EQY_CONSOLIDATED=Y","Sort=A","Dates=H","DateFormat=P","Fill=—","Direction=H","UseDPDF=Y")</f>
        <v>#NAME?</v>
      </c>
      <c r="BQ158" s="1" t="e">
        <f ca="1">_xll.BDH($C$153,"WORKING_CAPITAL_SEQ_GROWTH","FY 2015","FY 2015","Currency=INR","Period=FY","BEST_FPERIOD_OVERRIDE=FY","FILING_STATUS=OR","EQY_CONSOLIDATED=Y","Sort=A","Dates=H","DateFormat=P","Fill=—","Direction=H","UseDPDF=Y")</f>
        <v>#NAME?</v>
      </c>
      <c r="BR158" s="1" t="e">
        <f ca="1">_xll.BDH($C$153,"ACCOUNTS_PAYABLE_SEQ_GROWTH","FY 2015","FY 2015","Currency=INR","Period=FY","BEST_FPERIOD_OVERRIDE=FY","FILING_STATUS=OR","EQY_CONSOLIDATED=Y","Sort=A","Dates=H","DateFormat=P","Fill=—","Direction=H","UseDPDF=Y")</f>
        <v>#NAME?</v>
      </c>
      <c r="BS158" s="1" t="e">
        <f ca="1">_xll.BDH($C$153,"ST_DEBT_SEQUENTIAL_GROWTH","FY 2015","FY 2015","Currency=INR","Period=FY","BEST_FPERIOD_OVERRIDE=FY","FILING_STATUS=OR","EQY_CONSOLIDATED=Y","Sort=A","Dates=H","DateFormat=P","Fill=—","Direction=H","UseDPDF=Y")</f>
        <v>#NAME?</v>
      </c>
      <c r="BT158" s="1" t="e">
        <f ca="1">_xll.BDH($C$153,"TOTAL_DEBT_SEQUENTIAL_GROWTH","FY 2015","FY 2015","Currency=INR","Period=FY","BEST_FPERIOD_OVERRIDE=FY","FILING_STATUS=OR","EQY_CONSOLIDATED=Y","Sort=A","Dates=H","DateFormat=P","Fill=—","Direction=H","UseDPDF=Y")</f>
        <v>#NAME?</v>
      </c>
      <c r="BU158" s="1" t="e">
        <f ca="1">_xll.BDH($C$153,"TOTAL_EQUITY_SEQUENTIAL_GROWTH","FY 2015","FY 2015","Currency=INR","Period=FY","BEST_FPERIOD_OVERRIDE=FY","FILING_STATUS=OR","EQY_CONSOLIDATED=Y","Sort=A","Dates=H","DateFormat=P","Fill=—","Direction=H","UseDPDF=Y")</f>
        <v>#NAME?</v>
      </c>
      <c r="BV158" s="1" t="e">
        <f ca="1">_xll.BDH($C$153,"TOTAL_CAPITAL_SEQUENTIAL_GROWTH","FY 2015","FY 2015","Currency=INR","Period=FY","BEST_FPERIOD_OVERRIDE=FY","FILING_STATUS=OR","EQY_CONSOLIDATED=Y","Sort=A","Dates=H","DateFormat=P","Fill=—","Direction=H","UseDPDF=Y")</f>
        <v>#NAME?</v>
      </c>
      <c r="BW158" s="1" t="e">
        <f ca="1">_xll.BDH($C$153,"BPS_SEQUENTIAL_GROWTH","FY 2015","FY 2015","Currency=INR","Period=FY","BEST_FPERIOD_OVERRIDE=FY","FILING_STATUS=OR","EQY_CONSOLIDATED=Y","Sort=A","Dates=H","DateFormat=P","Fill=—","Direction=H","UseDPDF=Y")</f>
        <v>#NAME?</v>
      </c>
      <c r="BX158" s="1" t="e">
        <f ca="1">_xll.BDH($C$153,"CFO_SEQUENTIAL_GROWTH","FY 2015","FY 2015","Currency=INR","Period=FY","BEST_FPERIOD_OVERRIDE=FY","FILING_STATUS=OR","EQY_CONSOLIDATED=Y","Sort=A","Dates=H","DateFormat=P","Fill=—","Direction=H","UseDPDF=Y")</f>
        <v>#NAME?</v>
      </c>
      <c r="BY158" s="2" t="e">
        <f ca="1">_xll.BDH($C$153,"SHORT_AND_LONG_TERM_DEBT","FY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58" s="2" t="e">
        <f ca="1">_xll.BDH($C$153,"BS_ST_BORROW","FY 2015","FY 2015","Currency=INR","Period=FY","BEST_FPERIOD_OVERRIDE=FY","FILING_STATUS=OR","EQY_CONSOLIDATED=Y","SCALING_FORMAT=MLN","Sort=A","Dates=H","DateFormat=P","Fill=—","Direction=H","UseDPDF=Y")</f>
        <v>#NAME?</v>
      </c>
      <c r="CA158" s="2" t="e">
        <f ca="1">_xll.BDH($C$153,"BS_LT_BORROW","FY 2015","FY 2015","Currency=INR","Period=FY","BEST_FPERIOD_OVERRIDE=FY","FILING_STATUS=OR","EQY_CONSOLIDATED=Y","SCALING_FORMAT=MLN","Sort=A","Dates=H","DateFormat=P","Fill=—","Direction=H","UseDPDF=Y")</f>
        <v>#NAME?</v>
      </c>
      <c r="CB158" s="1" t="e">
        <f ca="1">_xll.BDH($C$153,"TOT_DEBT_TO_EBITDA","FY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158" s="1" t="e">
        <f ca="1">_xll.BDH($C$153,"NET_DEBT_TO_EBITDA","FY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158" s="1" t="e">
        <f ca="1">_xll.BDH($C$153,"TOTAL_DEBT_TO_EBIT","FY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158" s="1" t="e">
        <f ca="1">_xll.BDH($C$153,"NET_DEBT_TO_EBIT","FY 2015","FY 2015","Currency=INR","Period=FY","BEST_FPERIOD_OVERRIDE=FY","FILING_STATUS=OR","EQY_CONSOLIDATED=Y","FA_ADJUSTED=GAAP","Sort=A","Dates=H","DateFormat=P","Fill=—","Direction=H","UseDPDF=Y")</f>
        <v>#NAME?</v>
      </c>
      <c r="CF158" s="1" t="e">
        <f ca="1">_xll.BDH($C$153,"EBITDA_TO_INTEREST_EXPN","FY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58" s="1" t="e">
        <f ca="1">_xll.BDH($C$153,"COM_EQY_TO_TOT_ASSET","FY 2015","FY 2015","Currency=INR","Period=FY","BEST_FPERIOD_OVERRIDE=FY","FILING_STATUS=OR","EQY_CONSOLIDATED=Y","Sort=A","Dates=H","DateFormat=P","Fill=—","Direction=H","UseDPDF=Y")</f>
        <v>#NAME?</v>
      </c>
      <c r="CH158" s="1" t="e">
        <f ca="1">_xll.BDH($C$153,"LT_DEBT_TO_TOT_EQY","FY 2015","FY 2015","Currency=INR","Period=FY","BEST_FPERIOD_OVERRIDE=FY","FILING_STATUS=OR","EQY_CONSOLIDATED=Y","Sort=A","Dates=H","DateFormat=P","Fill=—","Direction=H","UseDPDF=Y")</f>
        <v>#NAME?</v>
      </c>
      <c r="CI158" s="1" t="e">
        <f ca="1">_xll.BDH($C$153,"LT_DEBT_TO_TOT_CAP","FY 2015","FY 2015","Currency=INR","Period=FY","BEST_FPERIOD_OVERRIDE=FY","FILING_STATUS=OR","EQY_CONSOLIDATED=Y","Sort=A","Dates=H","DateFormat=P","Fill=—","Direction=H","UseDPDF=Y")</f>
        <v>#NAME?</v>
      </c>
      <c r="CJ158" s="1" t="e">
        <f ca="1">_xll.BDH($C$153,"LT_DEBT_TO_TOT_ASSET","FY 2015","FY 2015","Currency=INR","Period=FY","BEST_FPERIOD_OVERRIDE=FY","FILING_STATUS=OR","EQY_CONSOLIDATED=Y","Sort=A","Dates=H","DateFormat=P","Fill=—","Direction=H","UseDPDF=Y")</f>
        <v>#NAME?</v>
      </c>
      <c r="CK158" s="1" t="e">
        <f ca="1">_xll.BDH($C$153,"TOT_DEBT_TO_TOT_EQY","FY 2015","FY 2015","Currency=INR","Period=FY","BEST_FPERIOD_OVERRIDE=FY","FILING_STATUS=OR","EQY_CONSOLIDATED=Y","Sort=A","Dates=H","DateFormat=P","Fill=—","Direction=H","UseDPDF=Y")</f>
        <v>#NAME?</v>
      </c>
      <c r="CL158" s="1" t="e">
        <f ca="1">_xll.BDH($C$153,"TOT_DEBT_TO_TOT_CAP","FY 2015","FY 2015","Currency=INR","Period=FY","BEST_FPERIOD_OVERRIDE=FY","FILING_STATUS=OR","EQY_CONSOLIDATED=Y","Sort=A","Dates=H","DateFormat=P","Fill=—","Direction=H","UseDPDF=Y")</f>
        <v>#NAME?</v>
      </c>
      <c r="CM158" s="1" t="e">
        <f ca="1">_xll.BDH($C$153,"TOT_DEBT_TO_TOT_ASSET","FY 2015","FY 2015","Currency=INR","Period=FY","BEST_FPERIOD_OVERRIDE=FY","FILING_STATUS=OR","EQY_CONSOLIDATED=Y","Sort=A","Dates=H","DateFormat=P","Fill=—","Direction=H","UseDPDF=Y")</f>
        <v>#NAME?</v>
      </c>
      <c r="CN158" s="1" t="e">
        <f ca="1">_xll.BDH($C$153,"NET_DEBT_TO_SHRHLDR_EQTY","FY 2015","FY 2015","Currency=INR","Period=FY","BEST_FPERIOD_OVERRIDE=FY","FILING_STATUS=OR","EQY_CONSOLIDATED=Y","Sort=A","Dates=H","DateFormat=P","Fill=—","Direction=H","UseDPDF=Y")</f>
        <v>#NAME?</v>
      </c>
      <c r="CO158" s="1" t="e">
        <f ca="1">_xll.BDH($C$153,"NET_DEBT_%_CAPITAL","FY 2015","FY 2015","Currency=INR","Period=FY","BEST_FPERIOD_OVERRIDE=FY","FILING_STATUS=OR","EQY_CONSOLIDATED=Y","Sort=A","Dates=H","DateFormat=P","Fill=—","Direction=H","UseDPDF=Y")</f>
        <v>#NAME?</v>
      </c>
      <c r="CP158" s="2" t="e">
        <f ca="1">_xll.BDH($C$153,"EBITDA","FY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58" s="2" t="e">
        <f ca="1">_xll.BDH($C$153,"EBITDA_AFTER_CAPEX","FY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58" s="2" t="e">
        <f ca="1">_xll.BDH($C$153,"IS_OPER_INC","FY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58" s="1" t="e">
        <f ca="1">_xll.BDH($C$153,"CASH_RATIO","FY 2015","FY 2015","Currency=INR","Period=FY","BEST_FPERIOD_OVERRIDE=FY","FILING_STATUS=OR","EQY_CONSOLIDATED=Y","Sort=A","Dates=H","DateFormat=P","Fill=—","Direction=H","UseDPDF=Y")</f>
        <v>#NAME?</v>
      </c>
      <c r="CT158" s="1" t="e">
        <f ca="1">_xll.BDH($C$153,"CUR_RATIO","FY 2015","FY 2015","Currency=INR","Period=FY","BEST_FPERIOD_OVERRIDE=FY","FILING_STATUS=OR","EQY_CONSOLIDATED=Y","Sort=A","Dates=H","DateFormat=P","Fill=—","Direction=H","UseDPDF=Y")</f>
        <v>#NAME?</v>
      </c>
      <c r="CU158" s="1" t="e">
        <f ca="1">_xll.BDH($C$153,"QUICK_RATIO","FY 2015","FY 2015","Currency=INR","Period=FY","BEST_FPERIOD_OVERRIDE=FY","FILING_STATUS=OR","EQY_CONSOLIDATED=Y","Sort=A","Dates=H","DateFormat=P","Fill=—","Direction=H","UseDPDF=Y")</f>
        <v>#NAME?</v>
      </c>
      <c r="CV158" s="1" t="e">
        <f ca="1">_xll.BDH($C$153,"ALTMAN_Z_SCORE","FY 2015","FY 2015","Currency=INR","Period=FY","BEST_FPERIOD_OVERRIDE=FY","FILING_STATUS=OR","EQY_CONSOLIDATED=Y","Sort=A","Dates=H","DateFormat=P","Fill=—","Direction=H","UseDPDF=Y")</f>
        <v>#NAME?</v>
      </c>
      <c r="CW158" s="3" t="e">
        <f ca="1">_xll.BDH($C$153,"ACCT_RCV_TURN","FY 2015","FY 2015","Currency=INR","Period=FY","BEST_FPERIOD_OVERRIDE=FY","FILING_STATUS=OR","EQY_CONSOLIDATED=Y","FA_ADJUSTED=GAAP","Sort=A","Dates=H","DateFormat=P","Fill=—","Direction=H","UseDPDF=Y")</f>
        <v>#NAME?</v>
      </c>
      <c r="CX158" s="1" t="e">
        <f ca="1">_xll.BDH($C$153,"ACCT_RCV_DAYS","FY 2015","FY 2015","Currency=INR","Period=FY","BEST_FPERIOD_OVERRIDE=FY","FILING_STATUS=OR","EQY_CONSOLIDATED=Y","FA_ADJUSTED=GAAP","Sort=A","Dates=H","DateFormat=P","Fill=—","Direction=H","UseDPDF=Y")</f>
        <v>#NAME?</v>
      </c>
      <c r="CY158" s="3" t="e">
        <f ca="1">_xll.BDH($C$153,"INVENT_TURN","FY 2015","FY 2015","Currency=INR","Period=FY","BEST_FPERIOD_OVERRIDE=FY","FILING_STATUS=OR","EQY_CONSOLIDATED=Y","FA_ADJUSTED=GAAP","Sort=A","Dates=H","DateFormat=P","Fill=—","Direction=H","UseDPDF=Y")</f>
        <v>#NAME?</v>
      </c>
      <c r="CZ158" s="1" t="e">
        <f ca="1">_xll.BDH($C$153,"INVENT_DAYS","FY 2015","FY 2015","Currency=INR","Period=FY","BEST_FPERIOD_OVERRIDE=FY","FILING_STATUS=OR","EQY_CONSOLIDATED=Y","FA_ADJUSTED=GAAP","Sort=A","Dates=H","DateFormat=P","Fill=—","Direction=H","UseDPDF=Y")</f>
        <v>#NAME?</v>
      </c>
      <c r="DA158" s="3" t="e">
        <f ca="1">_xll.BDH($C$153,"ACCOUNTS_PAYABLE_TURNOVER","FY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58" s="1" t="e">
        <f ca="1">_xll.BDH($C$153,"ACCOUNTS_PAYABLE_TURNOVER_DAYS","FY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58" s="3" t="e">
        <f ca="1">_xll.BDH($C$153,"CASH_CONVERSION_CYCLE","FY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58" s="3" t="e">
        <f ca="1">_xll.BDH($C$153,"INV_TO_CASH_DAYS","FY 2015","FY 2015","Currency=INR","Period=FY","BEST_FPERIOD_OVERRIDE=FY","FILING_STATUS=OR","EQY_CONSOLIDATED=Y","FA_ADJUSTED=GAAP","Sort=A","Dates=H","DateFormat=P","Fill=—","Direction=H","UseDPDF=Y")</f>
        <v>#NAME?</v>
      </c>
      <c r="DE158" s="4" t="e">
        <f ca="1">_xll.BDH($C$153,"BS_INVENTORIES","FY 2015","FY 2015","Currency=INR","Period=FY","BEST_FPERIOD_OVERRIDE=FY","FILING_STATUS=OR","EQY_CONSOLIDATED=Y","SCALING_FORMAT=MLN","Sort=A","Dates=H","DateFormat=P","Fill=—","Direction=H","UseDPDF=Y")</f>
        <v>#NAME?</v>
      </c>
      <c r="DF158" s="2" t="e">
        <f ca="1">_xll.BDH($C$153,"INVTRY_RAW_MATERIALS","FY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58" s="2" t="e">
        <f ca="1">_xll.BDH($C$153,"INVTRY_IN_PROGRESS","FY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58" s="2" t="e">
        <f ca="1">_xll.BDH($C$153,"INVTRY_FINISHED_GOODS","FY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58" s="2" t="e">
        <f ca="1">_xll.BDH($C$153,"BS_OTHER_INV","FY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59" spans="1:113" x14ac:dyDescent="0.3">
      <c r="A159" s="6"/>
      <c r="B159" s="6"/>
      <c r="C159" s="6"/>
      <c r="D159" s="6"/>
      <c r="E159" t="s">
        <v>4</v>
      </c>
      <c r="F159" t="e">
        <f ca="1">_xll.BDH($C$153,"RETURN_COM_EQY","FQ1 2015","FQ1 2015","Currency=INR","Period=FQ","BEST_FPERIOD_OVERRIDE=FQ","FILING_STATUS=OR","EQY_CONSOLIDATED=Y","FA_ADJUSTED=GAAP","Sort=A","Dates=H","DateFormat=P","Fill=—","Direction=H","UseDPDF=Y")</f>
        <v>#NAME?</v>
      </c>
      <c r="G159" t="e">
        <f ca="1">_xll.BDH($C$153,"RETURN_ON_ASSET","FQ1 2015","FQ1 2015","Currency=INR","Period=FQ","BEST_FPERIOD_OVERRIDE=FQ","FILING_STATUS=OR","EQY_CONSOLIDATED=Y","FA_ADJUSTED=GAAP","Sort=A","Dates=H","DateFormat=P","Fill=—","Direction=H","UseDPDF=Y")</f>
        <v>#NAME?</v>
      </c>
      <c r="H159" t="e">
        <f ca="1">_xll.BDH($C$153,"RETURN_ON_CAP","FQ1 2015","FQ1 2015","Currency=INR","Period=FQ","BEST_FPERIOD_OVERRIDE=FQ","FILING_STATUS=OR","EQY_CONSOLIDATED=Y","FA_ADJUSTED=GAAP","Sort=A","Dates=H","DateFormat=P","Fill=—","Direction=H","UseDPDF=Y")</f>
        <v>#NAME?</v>
      </c>
      <c r="I159" t="e">
        <f ca="1">_xll.BDH($C$153,"RETURN_ON_INV_CAPITAL","FQ1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59" t="e">
        <f ca="1">_xll.BDH($C$153,"EBITDA_TO_REVENUE","FQ1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159" t="e">
        <f ca="1">_xll.BDH($C$153,"OPER_MARGIN","FQ1 2015","FQ1 2015","Currency=INR","Period=FQ","BEST_FPERIOD_OVERRIDE=FQ","FILING_STATUS=OR","EQY_CONSOLIDATED=Y","FA_ADJUSTED=GAAP","Sort=A","Dates=H","DateFormat=P","Fill=—","Direction=H","UseDPDF=Y")</f>
        <v>#NAME?</v>
      </c>
      <c r="L159" t="e">
        <f ca="1">_xll.BDH($C$153,"INCREMENTAL_OPERATING_MARGIN","FQ1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59" t="e">
        <f ca="1">_xll.BDH($C$153,"PRETAX_INC_TO_NET_SALES","FQ1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59" t="e">
        <f ca="1">_xll.BDH($C$153,"INC_BEF_XO_ITEMS_TO_NET_SALES","FQ1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59" t="e">
        <f ca="1">_xll.BDH($C$153,"PROF_MARGIN","FQ1 2015","FQ1 2015","Currency=INR","Period=FQ","BEST_FPERIOD_OVERRIDE=FQ","FILING_STATUS=OR","EQY_CONSOLIDATED=Y","FA_ADJUSTED=GAAP","Sort=A","Dates=H","DateFormat=P","Fill=—","Direction=H","UseDPDF=Y")</f>
        <v>#NAME?</v>
      </c>
      <c r="P159" t="e">
        <f ca="1">_xll.BDH($C$153,"NET_INCOME_TO_COMMON_MARGIN","FQ1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59" t="e">
        <f ca="1">_xll.BDH($C$153,"EFF_TAX_RATE","FQ1 2015","FQ1 2015","Currency=INR","Period=FQ","BEST_FPERIOD_OVERRIDE=FQ","FILING_STATUS=OR","EQY_CONSOLIDATED=Y","FA_ADJUSTED=GAAP","Sort=A","Dates=H","DateFormat=P","Fill=—","Direction=H","UseDPDF=Y")</f>
        <v>#NAME?</v>
      </c>
      <c r="R159" t="e">
        <f ca="1">_xll.BDH($C$153,"DVD_PAYOUT_RATIO","FQ1 2015","FQ1 2015","Currency=INR","Period=FQ","BEST_FPERIOD_OVERRIDE=FQ","FILING_STATUS=OR","EQY_CONSOLIDATED=Y","FA_ADJUSTED=GAAP","Sort=A","Dates=H","DateFormat=P","Fill=—","Direction=H","UseDPDF=Y")</f>
        <v>#NAME?</v>
      </c>
      <c r="S159" t="e">
        <f ca="1">_xll.BDH($C$153,"SUSTAIN_GROWTH_RT","FQ1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159" s="1" t="e">
        <f ca="1">_xll.BDH($C$153,"SALES_GROWTH","FQ1 2015","FQ1 2015","Currency=INR","Period=FQ","BEST_FPERIOD_OVERRIDE=FQ","FILING_STATUS=OR","EQY_CONSOLIDATED=Y","FA_ADJUSTED=GAAP","Sort=A","Dates=H","DateFormat=P","Fill=—","Direction=H","UseDPDF=Y")</f>
        <v>#NAME?</v>
      </c>
      <c r="U159" s="1" t="e">
        <f ca="1">_xll.BDH($C$153,"EBITDA_GROWTH","FQ1 2015","FQ1 2015","Currency=INR","Period=FQ","BEST_FPERIOD_OVERRIDE=FQ","FILING_STATUS=OR","EQY_CONSOLIDATED=Y","FA_ADJUSTED=GAAP","Sort=A","Dates=H","DateFormat=P","Fill=—","Direction=H","UseDPDF=Y")</f>
        <v>#NAME?</v>
      </c>
      <c r="V159" s="1" t="e">
        <f ca="1">_xll.BDH($C$153,"OPER_INC_GROWTH","FQ1 2015","FQ1 2015","Currency=INR","Period=FQ","BEST_FPERIOD_OVERRIDE=FQ","FILING_STATUS=OR","EQY_CONSOLIDATED=Y","FA_ADJUSTED=GAAP","Sort=A","Dates=H","DateFormat=P","Fill=—","Direction=H","UseDPDF=Y")</f>
        <v>#NAME?</v>
      </c>
      <c r="W159" s="1" t="e">
        <f ca="1">_xll.BDH($C$153,"EARN_FOR_COM_GROWTH","FQ1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59" s="1" t="e">
        <f ca="1">_xll.BDH($C$153,"DILUTED_EPS_AFT_XO_ITEMS_GROWTH","FQ1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59" s="1" t="e">
        <f ca="1">_xll.BDH($C$153,"DIVIDEND_PER_SHARE_1_YEAR_GROWTH","FQ1 2015","FQ1 2015","Currency=INR","Period=FQ","BEST_FPERIOD_OVERRIDE=FQ","FILING_STATUS=OR","EQY_CONSOLIDATED=Y","Sort=A","Dates=H","DateFormat=P","Fill=—","Direction=H","UseDPDF=Y")</f>
        <v>#NAME?</v>
      </c>
      <c r="Z159" s="1" t="e">
        <f ca="1">_xll.BDH($C$153,"ACCOUNTS_RECEIVABLE_GROWTH","FQ1 2015","FQ1 2015","Currency=INR","Period=FQ","BEST_FPERIOD_OVERRIDE=FQ","FILING_STATUS=OR","EQY_CONSOLIDATED=Y","Sort=A","Dates=H","DateFormat=P","Fill=—","Direction=H","UseDPDF=Y")</f>
        <v>#NAME?</v>
      </c>
      <c r="AA159" s="1" t="e">
        <f ca="1">_xll.BDH($C$153,"INVENTORY_GROWTH","FQ1 2015","FQ1 2015","Currency=INR","Period=FQ","BEST_FPERIOD_OVERRIDE=FQ","FILING_STATUS=OR","EQY_CONSOLIDATED=Y","Sort=A","Dates=H","DateFormat=P","Fill=—","Direction=H","UseDPDF=Y")</f>
        <v>#NAME?</v>
      </c>
      <c r="AB159" s="1" t="e">
        <f ca="1">_xll.BDH($C$153,"NET_FIXED_ASSETS_1_YEAR_GROWTH","FQ1 2015","FQ1 2015","Currency=INR","Period=FQ","BEST_FPERIOD_OVERRIDE=FQ","FILING_STATUS=OR","EQY_CONSOLIDATED=Y","Sort=A","Dates=H","DateFormat=P","Fill=—","Direction=H","UseDPDF=Y")</f>
        <v>#NAME?</v>
      </c>
      <c r="AC159" s="1" t="e">
        <f ca="1">_xll.BDH($C$153,"ASSET_GROWTH","FQ1 2015","FQ1 2015","Currency=INR","Period=FQ","BEST_FPERIOD_OVERRIDE=FQ","FILING_STATUS=OR","EQY_CONSOLIDATED=Y","Sort=A","Dates=H","DateFormat=P","Fill=—","Direction=H","UseDPDF=Y")</f>
        <v>#NAME?</v>
      </c>
      <c r="AD159" s="1" t="e">
        <f ca="1">_xll.BDH($C$153,"MODIFIED_WORK_CAP_GROWTH","FQ1 2015","FQ1 2015","Currency=INR","Period=FQ","BEST_FPERIOD_OVERRIDE=FQ","FILING_STATUS=OR","EQY_CONSOLIDATED=Y","Sort=A","Dates=H","DateFormat=P","Fill=—","Direction=H","UseDPDF=Y")</f>
        <v>#NAME?</v>
      </c>
      <c r="AE159" s="1" t="e">
        <f ca="1">_xll.BDH($C$153,"WORK_CAP_GROWTH","FQ1 2015","FQ1 2015","Currency=INR","Period=FQ","BEST_FPERIOD_OVERRIDE=FQ","FILING_STATUS=OR","EQY_CONSOLIDATED=Y","Sort=A","Dates=H","DateFormat=P","Fill=—","Direction=H","UseDPDF=Y")</f>
        <v>#NAME?</v>
      </c>
      <c r="AF159" s="1" t="e">
        <f ca="1">_xll.BDH($C$153,"ACCOUNTS_PAYABLE_GROWTH_1YR","FQ1 2015","FQ1 2015","Currency=INR","Period=FQ","BEST_FPERIOD_OVERRIDE=FQ","FILING_STATUS=OR","EQY_CONSOLIDATED=Y","Sort=A","Dates=H","DateFormat=P","Fill=—","Direction=H","UseDPDF=Y")</f>
        <v>#NAME?</v>
      </c>
      <c r="AG159" s="1" t="e">
        <f ca="1">_xll.BDH($C$153,"SHORT_TERM_DEBT_1_YEAR_GROWTH","FQ1 2015","FQ1 2015","Currency=INR","Period=FQ","BEST_FPERIOD_OVERRIDE=FQ","FILING_STATUS=OR","EQY_CONSOLIDATED=Y","Sort=A","Dates=H","DateFormat=P","Fill=—","Direction=H","UseDPDF=Y")</f>
        <v>#NAME?</v>
      </c>
      <c r="AH159" s="1" t="e">
        <f ca="1">_xll.BDH($C$153,"TOTAL_DEBT_1_YEAR_GROWTH","FQ1 2015","FQ1 2015","Currency=INR","Period=FQ","BEST_FPERIOD_OVERRIDE=FQ","FILING_STATUS=OR","EQY_CONSOLIDATED=Y","Sort=A","Dates=H","DateFormat=P","Fill=—","Direction=H","UseDPDF=Y")</f>
        <v>#NAME?</v>
      </c>
      <c r="AI159" s="1" t="e">
        <f ca="1">_xll.BDH($C$153,"TOTAL_EQUITY_1_YEAR_GROWTH","FQ1 2015","FQ1 2015","Currency=INR","Period=FQ","BEST_FPERIOD_OVERRIDE=FQ","FILING_STATUS=OR","EQY_CONSOLIDATED=Y","Sort=A","Dates=H","DateFormat=P","Fill=—","Direction=H","UseDPDF=Y")</f>
        <v>#NAME?</v>
      </c>
      <c r="AJ159" s="1" t="e">
        <f ca="1">_xll.BDH($C$153,"GROWTH_IN_CAP","FQ1 2015","FQ1 2015","Currency=INR","Period=FQ","BEST_FPERIOD_OVERRIDE=FQ","FILING_STATUS=OR","EQY_CONSOLIDATED=Y","Sort=A","Dates=H","DateFormat=P","Fill=—","Direction=H","UseDPDF=Y")</f>
        <v>#NAME?</v>
      </c>
      <c r="AK159" s="1" t="e">
        <f ca="1">_xll.BDH($C$153,"BVPS_GROWTH","FQ1 2015","FQ1 2015","Currency=INR","Period=FQ","BEST_FPERIOD_OVERRIDE=FQ","FILING_STATUS=OR","EQY_CONSOLIDATED=Y","Sort=A","Dates=H","DateFormat=P","Fill=—","Direction=H","UseDPDF=Y")</f>
        <v>#NAME?</v>
      </c>
      <c r="AL159" s="1" t="e">
        <f ca="1">_xll.BDH($C$153,"CASH_FLOW_GROWTH","FQ1 2015","FQ1 2015","Currency=INR","Period=FQ","BEST_FPERIOD_OVERRIDE=FQ","FILING_STATUS=OR","EQY_CONSOLIDATED=Y","Sort=A","Dates=H","DateFormat=P","Fill=—","Direction=H","UseDPDF=Y")</f>
        <v>#NAME?</v>
      </c>
      <c r="AM159" s="1" t="e">
        <f ca="1">_xll.BDH($C$153,"GEO_GROW_NET_SALES","FQ1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59" s="1" t="e">
        <f ca="1">_xll.BDH($C$153,"GEO_GROW_EBITDA","FQ1 2015","FQ1 2015","Currency=INR","Period=FQ","BEST_FPERIOD_OVERRIDE=FQ","FILING_STATUS=OR","EQY_CONSOLIDATED=Y","FA_ADJUSTED=GAAP","Sort=A","Dates=H","DateFormat=P","Fill=—","Direction=H","UseDPDF=Y")</f>
        <v>#NAME?</v>
      </c>
      <c r="AO159" s="1" t="e">
        <f ca="1">_xll.BDH($C$153,"GEO_GROW_OPER_INC","FQ1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59" s="1" t="e">
        <f ca="1">_xll.BDH($C$153,"NET_INCOME_TO_COMMON_5_YR_GROWTH","FQ1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59" s="1" t="e">
        <f ca="1">_xll.BDH($C$153,"5Y_GEO_GROWTH_DILUTED_EPS","FQ1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59" s="1" t="e">
        <f ca="1">_xll.BDH($C$153,"GEO_GROW_DVD_PER_SH","FQ1 2015","FQ1 2015","Currency=INR","Period=FQ","BEST_FPERIOD_OVERRIDE=FQ","FILING_STATUS=OR","EQY_CONSOLIDATED=Y","Sort=A","Dates=H","DateFormat=P","Fill=—","Direction=H","UseDPDF=Y")</f>
        <v>#NAME?</v>
      </c>
      <c r="AS159" s="1" t="e">
        <f ca="1">_xll.BDH($C$153,"ACCOUNTS_RECEIVABLE_5_YR_GROWTH","FQ1 2015","FQ1 2015","Currency=INR","Period=FQ","BEST_FPERIOD_OVERRIDE=FQ","FILING_STATUS=OR","EQY_CONSOLIDATED=Y","Sort=A","Dates=H","DateFormat=P","Fill=—","Direction=H","UseDPDF=Y")</f>
        <v>#NAME?</v>
      </c>
      <c r="AT159" s="1" t="e">
        <f ca="1">_xll.BDH($C$153,"INVENTORY_5_YEAR_GROWTH","FQ1 2015","FQ1 2015","Currency=INR","Period=FQ","BEST_FPERIOD_OVERRIDE=FQ","FILING_STATUS=OR","EQY_CONSOLIDATED=Y","Sort=A","Dates=H","DateFormat=P","Fill=—","Direction=H","UseDPDF=Y")</f>
        <v>#NAME?</v>
      </c>
      <c r="AU159" s="1" t="e">
        <f ca="1">_xll.BDH($C$153,"NET_FIXED_ASSETS_5_YEAR_GROWTH","FQ1 2015","FQ1 2015","Currency=INR","Period=FQ","BEST_FPERIOD_OVERRIDE=FQ","FILING_STATUS=OR","EQY_CONSOLIDATED=Y","Sort=A","Dates=H","DateFormat=P","Fill=—","Direction=H","UseDPDF=Y")</f>
        <v>#NAME?</v>
      </c>
      <c r="AV159" s="1" t="e">
        <f ca="1">_xll.BDH($C$153,"GEO_GROW_TOT_ASSET","FQ1 2015","FQ1 2015","Currency=INR","Period=FQ","BEST_FPERIOD_OVERRIDE=FQ","FILING_STATUS=OR","EQY_CONSOLIDATED=Y","Sort=A","Dates=H","DateFormat=P","Fill=—","Direction=H","UseDPDF=Y")</f>
        <v>#NAME?</v>
      </c>
      <c r="AW159" s="1" t="e">
        <f ca="1">_xll.BDH($C$153,"MODIFIED_WORKING_CPTL_5YR_GRWTH","FQ1 2015","FQ1 2015","Currency=INR","Period=FQ","BEST_FPERIOD_OVERRIDE=FQ","FILING_STATUS=OR","EQY_CONSOLIDATED=Y","Sort=A","Dates=H","DateFormat=P","Fill=—","Direction=H","UseDPDF=Y")</f>
        <v>#NAME?</v>
      </c>
      <c r="AX159" s="1" t="e">
        <f ca="1">_xll.BDH($C$153,"WORKING_CAPITAL_5_YEAR_GROWTH","FQ1 2015","FQ1 2015","Currency=INR","Period=FQ","BEST_FPERIOD_OVERRIDE=FQ","FILING_STATUS=OR","EQY_CONSOLIDATED=Y","Sort=A","Dates=H","DateFormat=P","Fill=—","Direction=H","UseDPDF=Y")</f>
        <v>#NAME?</v>
      </c>
      <c r="AY159" s="1" t="e">
        <f ca="1">_xll.BDH($C$153,"ACCOUNTS_PAYABLE_5_YEAR_GROWTH","FQ1 2015","FQ1 2015","Currency=INR","Period=FQ","BEST_FPERIOD_OVERRIDE=FQ","FILING_STATUS=OR","EQY_CONSOLIDATED=Y","Sort=A","Dates=H","DateFormat=P","Fill=—","Direction=H","UseDPDF=Y")</f>
        <v>#NAME?</v>
      </c>
      <c r="AZ159" s="1" t="e">
        <f ca="1">_xll.BDH($C$153,"SHORT_TERM_DEBT_5_YEAR_GROWTH","FQ1 2015","FQ1 2015","Currency=INR","Period=FQ","BEST_FPERIOD_OVERRIDE=FQ","FILING_STATUS=OR","EQY_CONSOLIDATED=Y","Sort=A","Dates=H","DateFormat=P","Fill=—","Direction=H","UseDPDF=Y")</f>
        <v>#NAME?</v>
      </c>
      <c r="BA159" s="1" t="e">
        <f ca="1">_xll.BDH($C$153,"TOTAL_DEBT_5_YEAR_GROWTH","FQ1 2015","FQ1 2015","Currency=INR","Period=FQ","BEST_FPERIOD_OVERRIDE=FQ","FILING_STATUS=OR","EQY_CONSOLIDATED=Y","Sort=A","Dates=H","DateFormat=P","Fill=—","Direction=H","UseDPDF=Y")</f>
        <v>#NAME?</v>
      </c>
      <c r="BB159" s="1" t="e">
        <f ca="1">_xll.BDH($C$153,"GEO_GROW_TOT_SHRHLDR_EQY","FQ1 2015","FQ1 2015","Currency=INR","Period=FQ","BEST_FPERIOD_OVERRIDE=FQ","FILING_STATUS=OR","EQY_CONSOLIDATED=Y","Sort=A","Dates=H","DateFormat=P","Fill=—","Direction=H","UseDPDF=Y")</f>
        <v>#NAME?</v>
      </c>
      <c r="BC159" s="1" t="e">
        <f ca="1">_xll.BDH($C$153,"TOTAL_CAPITAL_5_YEAR_GROWTH","FQ1 2015","FQ1 2015","Currency=INR","Period=FQ","BEST_FPERIOD_OVERRIDE=FQ","FILING_STATUS=OR","EQY_CONSOLIDATED=Y","Sort=A","Dates=H","DateFormat=P","Fill=—","Direction=H","UseDPDF=Y")</f>
        <v>#NAME?</v>
      </c>
      <c r="BD159" s="1" t="e">
        <f ca="1">_xll.BDH($C$153,"GEO_GROW_BOOK_VAL","FQ1 2015","FQ1 2015","Currency=INR","Period=FQ","BEST_FPERIOD_OVERRIDE=FQ","FILING_STATUS=OR","EQY_CONSOLIDATED=Y","Sort=A","Dates=H","DateFormat=P","Fill=—","Direction=H","UseDPDF=Y")</f>
        <v>#NAME?</v>
      </c>
      <c r="BE159" s="1" t="e">
        <f ca="1">_xll.BDH($C$153,"GEO_GROW_CASH_OPER_ACT","FQ1 2015","FQ1 2015","Currency=INR","Period=FQ","BEST_FPERIOD_OVERRIDE=FQ","FILING_STATUS=OR","EQY_CONSOLIDATED=Y","Sort=A","Dates=H","DateFormat=P","Fill=—","Direction=H","UseDPDF=Y")</f>
        <v>#NAME?</v>
      </c>
      <c r="BF159" s="1" t="e">
        <f ca="1">_xll.BDH($C$153,"REVENUE_SEQUENTIAL_GROWTH","FQ1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59" s="1" t="e">
        <f ca="1">_xll.BDH($C$153,"EBITDA_SEQUENTIAL_GROWTH","FQ1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59" s="1" t="e">
        <f ca="1">_xll.BDH($C$153,"OPERATING_INCOME_SEQ_GROWTH","FQ1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59" s="1" t="e">
        <f ca="1">_xll.BDH($C$153,"NET_INCOME_TO_COMMON_SEQ_GROWTH","FQ1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59" s="1" t="e">
        <f ca="1">_xll.BDH($C$153,"EPS_DILUTED_SEQUENTIAL_GROWTH","FQ1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59" s="1" t="e">
        <f ca="1">_xll.BDH($C$153,"DPS_SEQUENTIAL_GROWTH","FQ1 2015","FQ1 2015","Currency=INR","Period=FQ","BEST_FPERIOD_OVERRIDE=FQ","FILING_STATUS=OR","EQY_CONSOLIDATED=Y","Sort=A","Dates=H","DateFormat=P","Fill=—","Direction=H","UseDPDF=Y")</f>
        <v>#NAME?</v>
      </c>
      <c r="BL159" s="1" t="e">
        <f ca="1">_xll.BDH($C$153,"ACCOUNTS_RECEIVABLE_SEQ_GROWTH","FQ1 2015","FQ1 2015","Currency=INR","Period=FQ","BEST_FPERIOD_OVERRIDE=FQ","FILING_STATUS=OR","EQY_CONSOLIDATED=Y","Sort=A","Dates=H","DateFormat=P","Fill=—","Direction=H","UseDPDF=Y")</f>
        <v>#NAME?</v>
      </c>
      <c r="BM159" s="1" t="e">
        <f ca="1">_xll.BDH($C$153,"INVENTORY_SEQUENTIAL_GROWTH","FQ1 2015","FQ1 2015","Currency=INR","Period=FQ","BEST_FPERIOD_OVERRIDE=FQ","FILING_STATUS=OR","EQY_CONSOLIDATED=Y","Sort=A","Dates=H","DateFormat=P","Fill=—","Direction=H","UseDPDF=Y")</f>
        <v>#NAME?</v>
      </c>
      <c r="BN159" s="1" t="e">
        <f ca="1">_xll.BDH($C$153,"FIXED_ASSETS_SEQUENTIAL_GROWTH","FQ1 2015","FQ1 2015","Currency=INR","Period=FQ","BEST_FPERIOD_OVERRIDE=FQ","FILING_STATUS=OR","EQY_CONSOLIDATED=Y","Sort=A","Dates=H","DateFormat=P","Fill=—","Direction=H","UseDPDF=Y")</f>
        <v>#NAME?</v>
      </c>
      <c r="BO159" s="1" t="e">
        <f ca="1">_xll.BDH($C$153,"TOTAL_ASSETS_SEQUENTIAL_GROWTH","FQ1 2015","FQ1 2015","Currency=INR","Period=FQ","BEST_FPERIOD_OVERRIDE=FQ","FILING_STATUS=OR","EQY_CONSOLIDATED=Y","Sort=A","Dates=H","DateFormat=P","Fill=—","Direction=H","UseDPDF=Y")</f>
        <v>#NAME?</v>
      </c>
      <c r="BP159" s="1" t="e">
        <f ca="1">_xll.BDH($C$153,"MODIFIED_WORKING_CPTL_SEQ_GRWTH","FQ1 2015","FQ1 2015","Currency=INR","Period=FQ","BEST_FPERIOD_OVERRIDE=FQ","FILING_STATUS=OR","EQY_CONSOLIDATED=Y","Sort=A","Dates=H","DateFormat=P","Fill=—","Direction=H","UseDPDF=Y")</f>
        <v>#NAME?</v>
      </c>
      <c r="BQ159" s="1" t="e">
        <f ca="1">_xll.BDH($C$153,"WORKING_CAPITAL_SEQ_GROWTH","FQ1 2015","FQ1 2015","Currency=INR","Period=FQ","BEST_FPERIOD_OVERRIDE=FQ","FILING_STATUS=OR","EQY_CONSOLIDATED=Y","Sort=A","Dates=H","DateFormat=P","Fill=—","Direction=H","UseDPDF=Y")</f>
        <v>#NAME?</v>
      </c>
      <c r="BR159" s="1" t="e">
        <f ca="1">_xll.BDH($C$153,"ACCOUNTS_PAYABLE_SEQ_GROWTH","FQ1 2015","FQ1 2015","Currency=INR","Period=FQ","BEST_FPERIOD_OVERRIDE=FQ","FILING_STATUS=OR","EQY_CONSOLIDATED=Y","Sort=A","Dates=H","DateFormat=P","Fill=—","Direction=H","UseDPDF=Y")</f>
        <v>#NAME?</v>
      </c>
      <c r="BS159" s="1" t="e">
        <f ca="1">_xll.BDH($C$153,"ST_DEBT_SEQUENTIAL_GROWTH","FQ1 2015","FQ1 2015","Currency=INR","Period=FQ","BEST_FPERIOD_OVERRIDE=FQ","FILING_STATUS=OR","EQY_CONSOLIDATED=Y","Sort=A","Dates=H","DateFormat=P","Fill=—","Direction=H","UseDPDF=Y")</f>
        <v>#NAME?</v>
      </c>
      <c r="BT159" s="1" t="e">
        <f ca="1">_xll.BDH($C$153,"TOTAL_DEBT_SEQUENTIAL_GROWTH","FQ1 2015","FQ1 2015","Currency=INR","Period=FQ","BEST_FPERIOD_OVERRIDE=FQ","FILING_STATUS=OR","EQY_CONSOLIDATED=Y","Sort=A","Dates=H","DateFormat=P","Fill=—","Direction=H","UseDPDF=Y")</f>
        <v>#NAME?</v>
      </c>
      <c r="BU159" s="1" t="e">
        <f ca="1">_xll.BDH($C$153,"TOTAL_EQUITY_SEQUENTIAL_GROWTH","FQ1 2015","FQ1 2015","Currency=INR","Period=FQ","BEST_FPERIOD_OVERRIDE=FQ","FILING_STATUS=OR","EQY_CONSOLIDATED=Y","Sort=A","Dates=H","DateFormat=P","Fill=—","Direction=H","UseDPDF=Y")</f>
        <v>#NAME?</v>
      </c>
      <c r="BV159" s="1" t="e">
        <f ca="1">_xll.BDH($C$153,"TOTAL_CAPITAL_SEQUENTIAL_GROWTH","FQ1 2015","FQ1 2015","Currency=INR","Period=FQ","BEST_FPERIOD_OVERRIDE=FQ","FILING_STATUS=OR","EQY_CONSOLIDATED=Y","Sort=A","Dates=H","DateFormat=P","Fill=—","Direction=H","UseDPDF=Y")</f>
        <v>#NAME?</v>
      </c>
      <c r="BW159" s="1" t="e">
        <f ca="1">_xll.BDH($C$153,"BPS_SEQUENTIAL_GROWTH","FQ1 2015","FQ1 2015","Currency=INR","Period=FQ","BEST_FPERIOD_OVERRIDE=FQ","FILING_STATUS=OR","EQY_CONSOLIDATED=Y","Sort=A","Dates=H","DateFormat=P","Fill=—","Direction=H","UseDPDF=Y")</f>
        <v>#NAME?</v>
      </c>
      <c r="BX159" s="1" t="e">
        <f ca="1">_xll.BDH($C$153,"CFO_SEQUENTIAL_GROWTH","FQ1 2015","FQ1 2015","Currency=INR","Period=FQ","BEST_FPERIOD_OVERRIDE=FQ","FILING_STATUS=OR","EQY_CONSOLIDATED=Y","Sort=A","Dates=H","DateFormat=P","Fill=—","Direction=H","UseDPDF=Y")</f>
        <v>#NAME?</v>
      </c>
      <c r="BY159" s="2" t="e">
        <f ca="1">_xll.BDH($C$153,"SHORT_AND_LONG_TERM_DEBT","FQ1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59" s="2" t="e">
        <f ca="1">_xll.BDH($C$153,"BS_ST_BORROW","FQ1 2015","FQ1 2015","Currency=INR","Period=FQ","BEST_FPERIOD_OVERRIDE=FQ","FILING_STATUS=OR","EQY_CONSOLIDATED=Y","SCALING_FORMAT=MLN","Sort=A","Dates=H","DateFormat=P","Fill=—","Direction=H","UseDPDF=Y")</f>
        <v>#NAME?</v>
      </c>
      <c r="CA159" s="2" t="e">
        <f ca="1">_xll.BDH($C$153,"BS_LT_BORROW","FQ1 2015","FQ1 2015","Currency=INR","Period=FQ","BEST_FPERIOD_OVERRIDE=FQ","FILING_STATUS=OR","EQY_CONSOLIDATED=Y","SCALING_FORMAT=MLN","Sort=A","Dates=H","DateFormat=P","Fill=—","Direction=H","UseDPDF=Y")</f>
        <v>#NAME?</v>
      </c>
      <c r="CB159" s="1" t="e">
        <f ca="1">_xll.BDH($C$153,"TOT_DEBT_TO_EBITDA","FQ1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59" s="1" t="e">
        <f ca="1">_xll.BDH($C$153,"NET_DEBT_TO_EBITDA","FQ1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59" s="1" t="e">
        <f ca="1">_xll.BDH($C$153,"TOTAL_DEBT_TO_EBIT","FQ1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59" s="1" t="e">
        <f ca="1">_xll.BDH($C$153,"NET_DEBT_TO_EBIT","FQ1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159" s="1" t="e">
        <f ca="1">_xll.BDH($C$153,"EBITDA_TO_INTEREST_EXPN","FQ1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59" s="1" t="e">
        <f ca="1">_xll.BDH($C$153,"COM_EQY_TO_TOT_ASSET","FQ1 2015","FQ1 2015","Currency=INR","Period=FQ","BEST_FPERIOD_OVERRIDE=FQ","FILING_STATUS=OR","EQY_CONSOLIDATED=Y","Sort=A","Dates=H","DateFormat=P","Fill=—","Direction=H","UseDPDF=Y")</f>
        <v>#NAME?</v>
      </c>
      <c r="CH159" s="1" t="e">
        <f ca="1">_xll.BDH($C$153,"LT_DEBT_TO_TOT_EQY","FQ1 2015","FQ1 2015","Currency=INR","Period=FQ","BEST_FPERIOD_OVERRIDE=FQ","FILING_STATUS=OR","EQY_CONSOLIDATED=Y","Sort=A","Dates=H","DateFormat=P","Fill=—","Direction=H","UseDPDF=Y")</f>
        <v>#NAME?</v>
      </c>
      <c r="CI159" s="1" t="e">
        <f ca="1">_xll.BDH($C$153,"LT_DEBT_TO_TOT_CAP","FQ1 2015","FQ1 2015","Currency=INR","Period=FQ","BEST_FPERIOD_OVERRIDE=FQ","FILING_STATUS=OR","EQY_CONSOLIDATED=Y","Sort=A","Dates=H","DateFormat=P","Fill=—","Direction=H","UseDPDF=Y")</f>
        <v>#NAME?</v>
      </c>
      <c r="CJ159" s="1" t="e">
        <f ca="1">_xll.BDH($C$153,"LT_DEBT_TO_TOT_ASSET","FQ1 2015","FQ1 2015","Currency=INR","Period=FQ","BEST_FPERIOD_OVERRIDE=FQ","FILING_STATUS=OR","EQY_CONSOLIDATED=Y","Sort=A","Dates=H","DateFormat=P","Fill=—","Direction=H","UseDPDF=Y")</f>
        <v>#NAME?</v>
      </c>
      <c r="CK159" s="1" t="e">
        <f ca="1">_xll.BDH($C$153,"TOT_DEBT_TO_TOT_EQY","FQ1 2015","FQ1 2015","Currency=INR","Period=FQ","BEST_FPERIOD_OVERRIDE=FQ","FILING_STATUS=OR","EQY_CONSOLIDATED=Y","Sort=A","Dates=H","DateFormat=P","Fill=—","Direction=H","UseDPDF=Y")</f>
        <v>#NAME?</v>
      </c>
      <c r="CL159" s="1" t="e">
        <f ca="1">_xll.BDH($C$153,"TOT_DEBT_TO_TOT_CAP","FQ1 2015","FQ1 2015","Currency=INR","Period=FQ","BEST_FPERIOD_OVERRIDE=FQ","FILING_STATUS=OR","EQY_CONSOLIDATED=Y","Sort=A","Dates=H","DateFormat=P","Fill=—","Direction=H","UseDPDF=Y")</f>
        <v>#NAME?</v>
      </c>
      <c r="CM159" s="1" t="e">
        <f ca="1">_xll.BDH($C$153,"TOT_DEBT_TO_TOT_ASSET","FQ1 2015","FQ1 2015","Currency=INR","Period=FQ","BEST_FPERIOD_OVERRIDE=FQ","FILING_STATUS=OR","EQY_CONSOLIDATED=Y","Sort=A","Dates=H","DateFormat=P","Fill=—","Direction=H","UseDPDF=Y")</f>
        <v>#NAME?</v>
      </c>
      <c r="CN159" s="1" t="e">
        <f ca="1">_xll.BDH($C$153,"NET_DEBT_TO_SHRHLDR_EQTY","FQ1 2015","FQ1 2015","Currency=INR","Period=FQ","BEST_FPERIOD_OVERRIDE=FQ","FILING_STATUS=OR","EQY_CONSOLIDATED=Y","Sort=A","Dates=H","DateFormat=P","Fill=—","Direction=H","UseDPDF=Y")</f>
        <v>#NAME?</v>
      </c>
      <c r="CO159" s="1" t="e">
        <f ca="1">_xll.BDH($C$153,"NET_DEBT_%_CAPITAL","FQ1 2015","FQ1 2015","Currency=INR","Period=FQ","BEST_FPERIOD_OVERRIDE=FQ","FILING_STATUS=OR","EQY_CONSOLIDATED=Y","Sort=A","Dates=H","DateFormat=P","Fill=—","Direction=H","UseDPDF=Y")</f>
        <v>#NAME?</v>
      </c>
      <c r="CP159" s="2" t="e">
        <f ca="1">_xll.BDH($C$153,"EBITDA","FQ1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59" s="2" t="e">
        <f ca="1">_xll.BDH($C$153,"EBITDA_AFTER_CAPEX","FQ1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59" s="2" t="e">
        <f ca="1">_xll.BDH($C$153,"IS_OPER_INC","FQ1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59" s="1" t="e">
        <f ca="1">_xll.BDH($C$153,"CASH_RATIO","FQ1 2015","FQ1 2015","Currency=INR","Period=FQ","BEST_FPERIOD_OVERRIDE=FQ","FILING_STATUS=OR","EQY_CONSOLIDATED=Y","Sort=A","Dates=H","DateFormat=P","Fill=—","Direction=H","UseDPDF=Y")</f>
        <v>#NAME?</v>
      </c>
      <c r="CT159" s="1" t="e">
        <f ca="1">_xll.BDH($C$153,"CUR_RATIO","FQ1 2015","FQ1 2015","Currency=INR","Period=FQ","BEST_FPERIOD_OVERRIDE=FQ","FILING_STATUS=OR","EQY_CONSOLIDATED=Y","Sort=A","Dates=H","DateFormat=P","Fill=—","Direction=H","UseDPDF=Y")</f>
        <v>#NAME?</v>
      </c>
      <c r="CU159" s="1" t="e">
        <f ca="1">_xll.BDH($C$153,"QUICK_RATIO","FQ1 2015","FQ1 2015","Currency=INR","Period=FQ","BEST_FPERIOD_OVERRIDE=FQ","FILING_STATUS=OR","EQY_CONSOLIDATED=Y","Sort=A","Dates=H","DateFormat=P","Fill=—","Direction=H","UseDPDF=Y")</f>
        <v>#NAME?</v>
      </c>
      <c r="CV159" s="1" t="e">
        <f ca="1">_xll.BDH($C$153,"ALTMAN_Z_SCORE","FQ1 2015","FQ1 2015","Currency=INR","Period=FQ","BEST_FPERIOD_OVERRIDE=FQ","FILING_STATUS=OR","EQY_CONSOLIDATED=Y","Sort=A","Dates=H","DateFormat=P","Fill=—","Direction=H","UseDPDF=Y")</f>
        <v>#NAME?</v>
      </c>
      <c r="CW159" s="3" t="e">
        <f ca="1">_xll.BDH($C$153,"ACCT_RCV_TURN","FQ1 2015","FQ1 2015","Currency=INR","Period=FQ","BEST_FPERIOD_OVERRIDE=FQ","FILING_STATUS=OR","EQY_CONSOLIDATED=Y","FA_ADJUSTED=GAAP","Sort=A","Dates=H","DateFormat=P","Fill=—","Direction=H","UseDPDF=Y")</f>
        <v>#NAME?</v>
      </c>
      <c r="CX159" s="1" t="e">
        <f ca="1">_xll.BDH($C$153,"ACCT_RCV_DAYS","FQ1 2015","FQ1 2015","Currency=INR","Period=FQ","BEST_FPERIOD_OVERRIDE=FQ","FILING_STATUS=OR","EQY_CONSOLIDATED=Y","FA_ADJUSTED=GAAP","Sort=A","Dates=H","DateFormat=P","Fill=—","Direction=H","UseDPDF=Y")</f>
        <v>#NAME?</v>
      </c>
      <c r="CY159" s="3" t="e">
        <f ca="1">_xll.BDH($C$153,"INVENT_TURN","FQ1 2015","FQ1 2015","Currency=INR","Period=FQ","BEST_FPERIOD_OVERRIDE=FQ","FILING_STATUS=OR","EQY_CONSOLIDATED=Y","FA_ADJUSTED=GAAP","Sort=A","Dates=H","DateFormat=P","Fill=—","Direction=H","UseDPDF=Y")</f>
        <v>#NAME?</v>
      </c>
      <c r="CZ159" s="1" t="e">
        <f ca="1">_xll.BDH($C$153,"INVENT_DAYS","FQ1 2015","FQ1 2015","Currency=INR","Period=FQ","BEST_FPERIOD_OVERRIDE=FQ","FILING_STATUS=OR","EQY_CONSOLIDATED=Y","FA_ADJUSTED=GAAP","Sort=A","Dates=H","DateFormat=P","Fill=—","Direction=H","UseDPDF=Y")</f>
        <v>#NAME?</v>
      </c>
      <c r="DA159" s="3" t="e">
        <f ca="1">_xll.BDH($C$153,"ACCOUNTS_PAYABLE_TURNOVER","FQ1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59" s="1" t="e">
        <f ca="1">_xll.BDH($C$153,"ACCOUNTS_PAYABLE_TURNOVER_DAYS","FQ1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59" s="3" t="e">
        <f ca="1">_xll.BDH($C$153,"CASH_CONVERSION_CYCLE","FQ1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59" s="3" t="e">
        <f ca="1">_xll.BDH($C$153,"INV_TO_CASH_DAYS","FQ1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159" s="4" t="e">
        <f ca="1">_xll.BDH($C$153,"BS_INVENTORIES","FQ1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159" s="2" t="e">
        <f ca="1">_xll.BDH($C$153,"INVTRY_RAW_MATERIALS","FQ1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59" s="2" t="e">
        <f ca="1">_xll.BDH($C$153,"INVTRY_IN_PROGRESS","FQ1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59" s="2" t="e">
        <f ca="1">_xll.BDH($C$153,"INVTRY_FINISHED_GOODS","FQ1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59" s="2" t="e">
        <f ca="1">_xll.BDH($C$153,"BS_OTHER_INV","FQ1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60" spans="1:113" x14ac:dyDescent="0.3">
      <c r="A160" s="6"/>
      <c r="B160" s="6"/>
      <c r="C160" s="6"/>
      <c r="D160" s="6"/>
      <c r="E160" t="s">
        <v>5</v>
      </c>
      <c r="F160" t="e">
        <f ca="1">_xll.BDH($C$153,"RETURN_COM_EQY","FQ2 2015","FQ2 2015","Currency=INR","Period=FQ","BEST_FPERIOD_OVERRIDE=FQ","FILING_STATUS=OR","EQY_CONSOLIDATED=Y","FA_ADJUSTED=GAAP","Sort=A","Dates=H","DateFormat=P","Fill=—","Direction=H","UseDPDF=Y")</f>
        <v>#NAME?</v>
      </c>
      <c r="G160" t="e">
        <f ca="1">_xll.BDH($C$153,"RETURN_ON_ASSET","FQ2 2015","FQ2 2015","Currency=INR","Period=FQ","BEST_FPERIOD_OVERRIDE=FQ","FILING_STATUS=OR","EQY_CONSOLIDATED=Y","FA_ADJUSTED=GAAP","Sort=A","Dates=H","DateFormat=P","Fill=—","Direction=H","UseDPDF=Y")</f>
        <v>#NAME?</v>
      </c>
      <c r="H160" t="e">
        <f ca="1">_xll.BDH($C$153,"RETURN_ON_CAP","FQ2 2015","FQ2 2015","Currency=INR","Period=FQ","BEST_FPERIOD_OVERRIDE=FQ","FILING_STATUS=OR","EQY_CONSOLIDATED=Y","FA_ADJUSTED=GAAP","Sort=A","Dates=H","DateFormat=P","Fill=—","Direction=H","UseDPDF=Y")</f>
        <v>#NAME?</v>
      </c>
      <c r="I160" t="e">
        <f ca="1">_xll.BDH($C$153,"RETURN_ON_INV_CAPITAL","FQ2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60" t="e">
        <f ca="1">_xll.BDH($C$153,"EBITDA_TO_REVENUE","FQ2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160" t="e">
        <f ca="1">_xll.BDH($C$153,"OPER_MARGIN","FQ2 2015","FQ2 2015","Currency=INR","Period=FQ","BEST_FPERIOD_OVERRIDE=FQ","FILING_STATUS=OR","EQY_CONSOLIDATED=Y","FA_ADJUSTED=GAAP","Sort=A","Dates=H","DateFormat=P","Fill=—","Direction=H","UseDPDF=Y")</f>
        <v>#NAME?</v>
      </c>
      <c r="L160" t="e">
        <f ca="1">_xll.BDH($C$153,"INCREMENTAL_OPERATING_MARGIN","FQ2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60" t="e">
        <f ca="1">_xll.BDH($C$153,"PRETAX_INC_TO_NET_SALES","FQ2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60" t="e">
        <f ca="1">_xll.BDH($C$153,"INC_BEF_XO_ITEMS_TO_NET_SALES","FQ2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60" t="e">
        <f ca="1">_xll.BDH($C$153,"PROF_MARGIN","FQ2 2015","FQ2 2015","Currency=INR","Period=FQ","BEST_FPERIOD_OVERRIDE=FQ","FILING_STATUS=OR","EQY_CONSOLIDATED=Y","FA_ADJUSTED=GAAP","Sort=A","Dates=H","DateFormat=P","Fill=—","Direction=H","UseDPDF=Y")</f>
        <v>#NAME?</v>
      </c>
      <c r="P160" t="e">
        <f ca="1">_xll.BDH($C$153,"NET_INCOME_TO_COMMON_MARGIN","FQ2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60" t="e">
        <f ca="1">_xll.BDH($C$153,"EFF_TAX_RATE","FQ2 2015","FQ2 2015","Currency=INR","Period=FQ","BEST_FPERIOD_OVERRIDE=FQ","FILING_STATUS=OR","EQY_CONSOLIDATED=Y","FA_ADJUSTED=GAAP","Sort=A","Dates=H","DateFormat=P","Fill=—","Direction=H","UseDPDF=Y")</f>
        <v>#NAME?</v>
      </c>
      <c r="R160" t="e">
        <f ca="1">_xll.BDH($C$153,"DVD_PAYOUT_RATIO","FQ2 2015","FQ2 2015","Currency=INR","Period=FQ","BEST_FPERIOD_OVERRIDE=FQ","FILING_STATUS=OR","EQY_CONSOLIDATED=Y","FA_ADJUSTED=GAAP","Sort=A","Dates=H","DateFormat=P","Fill=—","Direction=H","UseDPDF=Y")</f>
        <v>#NAME?</v>
      </c>
      <c r="S160" t="e">
        <f ca="1">_xll.BDH($C$153,"SUSTAIN_GROWTH_RT","FQ2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160" s="1" t="e">
        <f ca="1">_xll.BDH($C$153,"SALES_GROWTH","FQ2 2015","FQ2 2015","Currency=INR","Period=FQ","BEST_FPERIOD_OVERRIDE=FQ","FILING_STATUS=OR","EQY_CONSOLIDATED=Y","FA_ADJUSTED=GAAP","Sort=A","Dates=H","DateFormat=P","Fill=—","Direction=H","UseDPDF=Y")</f>
        <v>#NAME?</v>
      </c>
      <c r="U160" s="1" t="e">
        <f ca="1">_xll.BDH($C$153,"EBITDA_GROWTH","FQ2 2015","FQ2 2015","Currency=INR","Period=FQ","BEST_FPERIOD_OVERRIDE=FQ","FILING_STATUS=OR","EQY_CONSOLIDATED=Y","FA_ADJUSTED=GAAP","Sort=A","Dates=H","DateFormat=P","Fill=—","Direction=H","UseDPDF=Y")</f>
        <v>#NAME?</v>
      </c>
      <c r="V160" s="1" t="e">
        <f ca="1">_xll.BDH($C$153,"OPER_INC_GROWTH","FQ2 2015","FQ2 2015","Currency=INR","Period=FQ","BEST_FPERIOD_OVERRIDE=FQ","FILING_STATUS=OR","EQY_CONSOLIDATED=Y","FA_ADJUSTED=GAAP","Sort=A","Dates=H","DateFormat=P","Fill=—","Direction=H","UseDPDF=Y")</f>
        <v>#NAME?</v>
      </c>
      <c r="W160" s="1" t="e">
        <f ca="1">_xll.BDH($C$153,"EARN_FOR_COM_GROWTH","FQ2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60" s="1" t="e">
        <f ca="1">_xll.BDH($C$153,"DILUTED_EPS_AFT_XO_ITEMS_GROWTH","FQ2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60" s="1" t="e">
        <f ca="1">_xll.BDH($C$153,"DIVIDEND_PER_SHARE_1_YEAR_GROWTH","FQ2 2015","FQ2 2015","Currency=INR","Period=FQ","BEST_FPERIOD_OVERRIDE=FQ","FILING_STATUS=OR","EQY_CONSOLIDATED=Y","Sort=A","Dates=H","DateFormat=P","Fill=—","Direction=H","UseDPDF=Y")</f>
        <v>#NAME?</v>
      </c>
      <c r="Z160" s="1" t="e">
        <f ca="1">_xll.BDH($C$153,"ACCOUNTS_RECEIVABLE_GROWTH","FQ2 2015","FQ2 2015","Currency=INR","Period=FQ","BEST_FPERIOD_OVERRIDE=FQ","FILING_STATUS=OR","EQY_CONSOLIDATED=Y","Sort=A","Dates=H","DateFormat=P","Fill=—","Direction=H","UseDPDF=Y")</f>
        <v>#NAME?</v>
      </c>
      <c r="AA160" s="1" t="e">
        <f ca="1">_xll.BDH($C$153,"INVENTORY_GROWTH","FQ2 2015","FQ2 2015","Currency=INR","Period=FQ","BEST_FPERIOD_OVERRIDE=FQ","FILING_STATUS=OR","EQY_CONSOLIDATED=Y","Sort=A","Dates=H","DateFormat=P","Fill=—","Direction=H","UseDPDF=Y")</f>
        <v>#NAME?</v>
      </c>
      <c r="AB160" s="1" t="e">
        <f ca="1">_xll.BDH($C$153,"NET_FIXED_ASSETS_1_YEAR_GROWTH","FQ2 2015","FQ2 2015","Currency=INR","Period=FQ","BEST_FPERIOD_OVERRIDE=FQ","FILING_STATUS=OR","EQY_CONSOLIDATED=Y","Sort=A","Dates=H","DateFormat=P","Fill=—","Direction=H","UseDPDF=Y")</f>
        <v>#NAME?</v>
      </c>
      <c r="AC160" s="1" t="e">
        <f ca="1">_xll.BDH($C$153,"ASSET_GROWTH","FQ2 2015","FQ2 2015","Currency=INR","Period=FQ","BEST_FPERIOD_OVERRIDE=FQ","FILING_STATUS=OR","EQY_CONSOLIDATED=Y","Sort=A","Dates=H","DateFormat=P","Fill=—","Direction=H","UseDPDF=Y")</f>
        <v>#NAME?</v>
      </c>
      <c r="AD160" s="1" t="e">
        <f ca="1">_xll.BDH($C$153,"MODIFIED_WORK_CAP_GROWTH","FQ2 2015","FQ2 2015","Currency=INR","Period=FQ","BEST_FPERIOD_OVERRIDE=FQ","FILING_STATUS=OR","EQY_CONSOLIDATED=Y","Sort=A","Dates=H","DateFormat=P","Fill=—","Direction=H","UseDPDF=Y")</f>
        <v>#NAME?</v>
      </c>
      <c r="AE160" s="1" t="e">
        <f ca="1">_xll.BDH($C$153,"WORK_CAP_GROWTH","FQ2 2015","FQ2 2015","Currency=INR","Period=FQ","BEST_FPERIOD_OVERRIDE=FQ","FILING_STATUS=OR","EQY_CONSOLIDATED=Y","Sort=A","Dates=H","DateFormat=P","Fill=—","Direction=H","UseDPDF=Y")</f>
        <v>#NAME?</v>
      </c>
      <c r="AF160" s="1" t="e">
        <f ca="1">_xll.BDH($C$153,"ACCOUNTS_PAYABLE_GROWTH_1YR","FQ2 2015","FQ2 2015","Currency=INR","Period=FQ","BEST_FPERIOD_OVERRIDE=FQ","FILING_STATUS=OR","EQY_CONSOLIDATED=Y","Sort=A","Dates=H","DateFormat=P","Fill=—","Direction=H","UseDPDF=Y")</f>
        <v>#NAME?</v>
      </c>
      <c r="AG160" s="1" t="e">
        <f ca="1">_xll.BDH($C$153,"SHORT_TERM_DEBT_1_YEAR_GROWTH","FQ2 2015","FQ2 2015","Currency=INR","Period=FQ","BEST_FPERIOD_OVERRIDE=FQ","FILING_STATUS=OR","EQY_CONSOLIDATED=Y","Sort=A","Dates=H","DateFormat=P","Fill=—","Direction=H","UseDPDF=Y")</f>
        <v>#NAME?</v>
      </c>
      <c r="AH160" s="1" t="e">
        <f ca="1">_xll.BDH($C$153,"TOTAL_DEBT_1_YEAR_GROWTH","FQ2 2015","FQ2 2015","Currency=INR","Period=FQ","BEST_FPERIOD_OVERRIDE=FQ","FILING_STATUS=OR","EQY_CONSOLIDATED=Y","Sort=A","Dates=H","DateFormat=P","Fill=—","Direction=H","UseDPDF=Y")</f>
        <v>#NAME?</v>
      </c>
      <c r="AI160" s="1" t="e">
        <f ca="1">_xll.BDH($C$153,"TOTAL_EQUITY_1_YEAR_GROWTH","FQ2 2015","FQ2 2015","Currency=INR","Period=FQ","BEST_FPERIOD_OVERRIDE=FQ","FILING_STATUS=OR","EQY_CONSOLIDATED=Y","Sort=A","Dates=H","DateFormat=P","Fill=—","Direction=H","UseDPDF=Y")</f>
        <v>#NAME?</v>
      </c>
      <c r="AJ160" s="1" t="e">
        <f ca="1">_xll.BDH($C$153,"GROWTH_IN_CAP","FQ2 2015","FQ2 2015","Currency=INR","Period=FQ","BEST_FPERIOD_OVERRIDE=FQ","FILING_STATUS=OR","EQY_CONSOLIDATED=Y","Sort=A","Dates=H","DateFormat=P","Fill=—","Direction=H","UseDPDF=Y")</f>
        <v>#NAME?</v>
      </c>
      <c r="AK160" s="1" t="e">
        <f ca="1">_xll.BDH($C$153,"BVPS_GROWTH","FQ2 2015","FQ2 2015","Currency=INR","Period=FQ","BEST_FPERIOD_OVERRIDE=FQ","FILING_STATUS=OR","EQY_CONSOLIDATED=Y","Sort=A","Dates=H","DateFormat=P","Fill=—","Direction=H","UseDPDF=Y")</f>
        <v>#NAME?</v>
      </c>
      <c r="AL160" s="1" t="e">
        <f ca="1">_xll.BDH($C$153,"CASH_FLOW_GROWTH","FQ2 2015","FQ2 2015","Currency=INR","Period=FQ","BEST_FPERIOD_OVERRIDE=FQ","FILING_STATUS=OR","EQY_CONSOLIDATED=Y","Sort=A","Dates=H","DateFormat=P","Fill=—","Direction=H","UseDPDF=Y")</f>
        <v>#NAME?</v>
      </c>
      <c r="AM160" s="1" t="e">
        <f ca="1">_xll.BDH($C$153,"GEO_GROW_NET_SALES","FQ2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60" s="1" t="e">
        <f ca="1">_xll.BDH($C$153,"GEO_GROW_EBITDA","FQ2 2015","FQ2 2015","Currency=INR","Period=FQ","BEST_FPERIOD_OVERRIDE=FQ","FILING_STATUS=OR","EQY_CONSOLIDATED=Y","FA_ADJUSTED=GAAP","Sort=A","Dates=H","DateFormat=P","Fill=—","Direction=H","UseDPDF=Y")</f>
        <v>#NAME?</v>
      </c>
      <c r="AO160" s="1" t="e">
        <f ca="1">_xll.BDH($C$153,"GEO_GROW_OPER_INC","FQ2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60" s="1" t="e">
        <f ca="1">_xll.BDH($C$153,"NET_INCOME_TO_COMMON_5_YR_GROWTH","FQ2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60" s="1" t="e">
        <f ca="1">_xll.BDH($C$153,"5Y_GEO_GROWTH_DILUTED_EPS","FQ2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60" s="1" t="e">
        <f ca="1">_xll.BDH($C$153,"GEO_GROW_DVD_PER_SH","FQ2 2015","FQ2 2015","Currency=INR","Period=FQ","BEST_FPERIOD_OVERRIDE=FQ","FILING_STATUS=OR","EQY_CONSOLIDATED=Y","Sort=A","Dates=H","DateFormat=P","Fill=—","Direction=H","UseDPDF=Y")</f>
        <v>#NAME?</v>
      </c>
      <c r="AS160" s="1" t="e">
        <f ca="1">_xll.BDH($C$153,"ACCOUNTS_RECEIVABLE_5_YR_GROWTH","FQ2 2015","FQ2 2015","Currency=INR","Period=FQ","BEST_FPERIOD_OVERRIDE=FQ","FILING_STATUS=OR","EQY_CONSOLIDATED=Y","Sort=A","Dates=H","DateFormat=P","Fill=—","Direction=H","UseDPDF=Y")</f>
        <v>#NAME?</v>
      </c>
      <c r="AT160" s="1" t="e">
        <f ca="1">_xll.BDH($C$153,"INVENTORY_5_YEAR_GROWTH","FQ2 2015","FQ2 2015","Currency=INR","Period=FQ","BEST_FPERIOD_OVERRIDE=FQ","FILING_STATUS=OR","EQY_CONSOLIDATED=Y","Sort=A","Dates=H","DateFormat=P","Fill=—","Direction=H","UseDPDF=Y")</f>
        <v>#NAME?</v>
      </c>
      <c r="AU160" s="1" t="e">
        <f ca="1">_xll.BDH($C$153,"NET_FIXED_ASSETS_5_YEAR_GROWTH","FQ2 2015","FQ2 2015","Currency=INR","Period=FQ","BEST_FPERIOD_OVERRIDE=FQ","FILING_STATUS=OR","EQY_CONSOLIDATED=Y","Sort=A","Dates=H","DateFormat=P","Fill=—","Direction=H","UseDPDF=Y")</f>
        <v>#NAME?</v>
      </c>
      <c r="AV160" s="1" t="e">
        <f ca="1">_xll.BDH($C$153,"GEO_GROW_TOT_ASSET","FQ2 2015","FQ2 2015","Currency=INR","Period=FQ","BEST_FPERIOD_OVERRIDE=FQ","FILING_STATUS=OR","EQY_CONSOLIDATED=Y","Sort=A","Dates=H","DateFormat=P","Fill=—","Direction=H","UseDPDF=Y")</f>
        <v>#NAME?</v>
      </c>
      <c r="AW160" s="1" t="e">
        <f ca="1">_xll.BDH($C$153,"MODIFIED_WORKING_CPTL_5YR_GRWTH","FQ2 2015","FQ2 2015","Currency=INR","Period=FQ","BEST_FPERIOD_OVERRIDE=FQ","FILING_STATUS=OR","EQY_CONSOLIDATED=Y","Sort=A","Dates=H","DateFormat=P","Fill=—","Direction=H","UseDPDF=Y")</f>
        <v>#NAME?</v>
      </c>
      <c r="AX160" s="1" t="e">
        <f ca="1">_xll.BDH($C$153,"WORKING_CAPITAL_5_YEAR_GROWTH","FQ2 2015","FQ2 2015","Currency=INR","Period=FQ","BEST_FPERIOD_OVERRIDE=FQ","FILING_STATUS=OR","EQY_CONSOLIDATED=Y","Sort=A","Dates=H","DateFormat=P","Fill=—","Direction=H","UseDPDF=Y")</f>
        <v>#NAME?</v>
      </c>
      <c r="AY160" s="1" t="e">
        <f ca="1">_xll.BDH($C$153,"ACCOUNTS_PAYABLE_5_YEAR_GROWTH","FQ2 2015","FQ2 2015","Currency=INR","Period=FQ","BEST_FPERIOD_OVERRIDE=FQ","FILING_STATUS=OR","EQY_CONSOLIDATED=Y","Sort=A","Dates=H","DateFormat=P","Fill=—","Direction=H","UseDPDF=Y")</f>
        <v>#NAME?</v>
      </c>
      <c r="AZ160" s="1" t="e">
        <f ca="1">_xll.BDH($C$153,"SHORT_TERM_DEBT_5_YEAR_GROWTH","FQ2 2015","FQ2 2015","Currency=INR","Period=FQ","BEST_FPERIOD_OVERRIDE=FQ","FILING_STATUS=OR","EQY_CONSOLIDATED=Y","Sort=A","Dates=H","DateFormat=P","Fill=—","Direction=H","UseDPDF=Y")</f>
        <v>#NAME?</v>
      </c>
      <c r="BA160" s="1" t="e">
        <f ca="1">_xll.BDH($C$153,"TOTAL_DEBT_5_YEAR_GROWTH","FQ2 2015","FQ2 2015","Currency=INR","Period=FQ","BEST_FPERIOD_OVERRIDE=FQ","FILING_STATUS=OR","EQY_CONSOLIDATED=Y","Sort=A","Dates=H","DateFormat=P","Fill=—","Direction=H","UseDPDF=Y")</f>
        <v>#NAME?</v>
      </c>
      <c r="BB160" s="1" t="e">
        <f ca="1">_xll.BDH($C$153,"GEO_GROW_TOT_SHRHLDR_EQY","FQ2 2015","FQ2 2015","Currency=INR","Period=FQ","BEST_FPERIOD_OVERRIDE=FQ","FILING_STATUS=OR","EQY_CONSOLIDATED=Y","Sort=A","Dates=H","DateFormat=P","Fill=—","Direction=H","UseDPDF=Y")</f>
        <v>#NAME?</v>
      </c>
      <c r="BC160" s="1" t="e">
        <f ca="1">_xll.BDH($C$153,"TOTAL_CAPITAL_5_YEAR_GROWTH","FQ2 2015","FQ2 2015","Currency=INR","Period=FQ","BEST_FPERIOD_OVERRIDE=FQ","FILING_STATUS=OR","EQY_CONSOLIDATED=Y","Sort=A","Dates=H","DateFormat=P","Fill=—","Direction=H","UseDPDF=Y")</f>
        <v>#NAME?</v>
      </c>
      <c r="BD160" s="1" t="e">
        <f ca="1">_xll.BDH($C$153,"GEO_GROW_BOOK_VAL","FQ2 2015","FQ2 2015","Currency=INR","Period=FQ","BEST_FPERIOD_OVERRIDE=FQ","FILING_STATUS=OR","EQY_CONSOLIDATED=Y","Sort=A","Dates=H","DateFormat=P","Fill=—","Direction=H","UseDPDF=Y")</f>
        <v>#NAME?</v>
      </c>
      <c r="BE160" s="1" t="e">
        <f ca="1">_xll.BDH($C$153,"GEO_GROW_CASH_OPER_ACT","FQ2 2015","FQ2 2015","Currency=INR","Period=FQ","BEST_FPERIOD_OVERRIDE=FQ","FILING_STATUS=OR","EQY_CONSOLIDATED=Y","Sort=A","Dates=H","DateFormat=P","Fill=—","Direction=H","UseDPDF=Y")</f>
        <v>#NAME?</v>
      </c>
      <c r="BF160" s="1" t="e">
        <f ca="1">_xll.BDH($C$153,"REVENUE_SEQUENTIAL_GROWTH","FQ2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60" s="1" t="e">
        <f ca="1">_xll.BDH($C$153,"EBITDA_SEQUENTIAL_GROWTH","FQ2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60" s="1" t="e">
        <f ca="1">_xll.BDH($C$153,"OPERATING_INCOME_SEQ_GROWTH","FQ2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60" s="1" t="e">
        <f ca="1">_xll.BDH($C$153,"NET_INCOME_TO_COMMON_SEQ_GROWTH","FQ2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60" s="1" t="e">
        <f ca="1">_xll.BDH($C$153,"EPS_DILUTED_SEQUENTIAL_GROWTH","FQ2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60" s="1" t="e">
        <f ca="1">_xll.BDH($C$153,"DPS_SEQUENTIAL_GROWTH","FQ2 2015","FQ2 2015","Currency=INR","Period=FQ","BEST_FPERIOD_OVERRIDE=FQ","FILING_STATUS=OR","EQY_CONSOLIDATED=Y","Sort=A","Dates=H","DateFormat=P","Fill=—","Direction=H","UseDPDF=Y")</f>
        <v>#NAME?</v>
      </c>
      <c r="BL160" s="1" t="e">
        <f ca="1">_xll.BDH($C$153,"ACCOUNTS_RECEIVABLE_SEQ_GROWTH","FQ2 2015","FQ2 2015","Currency=INR","Period=FQ","BEST_FPERIOD_OVERRIDE=FQ","FILING_STATUS=OR","EQY_CONSOLIDATED=Y","Sort=A","Dates=H","DateFormat=P","Fill=—","Direction=H","UseDPDF=Y")</f>
        <v>#NAME?</v>
      </c>
      <c r="BM160" s="1" t="e">
        <f ca="1">_xll.BDH($C$153,"INVENTORY_SEQUENTIAL_GROWTH","FQ2 2015","FQ2 2015","Currency=INR","Period=FQ","BEST_FPERIOD_OVERRIDE=FQ","FILING_STATUS=OR","EQY_CONSOLIDATED=Y","Sort=A","Dates=H","DateFormat=P","Fill=—","Direction=H","UseDPDF=Y")</f>
        <v>#NAME?</v>
      </c>
      <c r="BN160" s="1" t="e">
        <f ca="1">_xll.BDH($C$153,"FIXED_ASSETS_SEQUENTIAL_GROWTH","FQ2 2015","FQ2 2015","Currency=INR","Period=FQ","BEST_FPERIOD_OVERRIDE=FQ","FILING_STATUS=OR","EQY_CONSOLIDATED=Y","Sort=A","Dates=H","DateFormat=P","Fill=—","Direction=H","UseDPDF=Y")</f>
        <v>#NAME?</v>
      </c>
      <c r="BO160" s="1" t="e">
        <f ca="1">_xll.BDH($C$153,"TOTAL_ASSETS_SEQUENTIAL_GROWTH","FQ2 2015","FQ2 2015","Currency=INR","Period=FQ","BEST_FPERIOD_OVERRIDE=FQ","FILING_STATUS=OR","EQY_CONSOLIDATED=Y","Sort=A","Dates=H","DateFormat=P","Fill=—","Direction=H","UseDPDF=Y")</f>
        <v>#NAME?</v>
      </c>
      <c r="BP160" s="1" t="e">
        <f ca="1">_xll.BDH($C$153,"MODIFIED_WORKING_CPTL_SEQ_GRWTH","FQ2 2015","FQ2 2015","Currency=INR","Period=FQ","BEST_FPERIOD_OVERRIDE=FQ","FILING_STATUS=OR","EQY_CONSOLIDATED=Y","Sort=A","Dates=H","DateFormat=P","Fill=—","Direction=H","UseDPDF=Y")</f>
        <v>#NAME?</v>
      </c>
      <c r="BQ160" s="1" t="e">
        <f ca="1">_xll.BDH($C$153,"WORKING_CAPITAL_SEQ_GROWTH","FQ2 2015","FQ2 2015","Currency=INR","Period=FQ","BEST_FPERIOD_OVERRIDE=FQ","FILING_STATUS=OR","EQY_CONSOLIDATED=Y","Sort=A","Dates=H","DateFormat=P","Fill=—","Direction=H","UseDPDF=Y")</f>
        <v>#NAME?</v>
      </c>
      <c r="BR160" s="1" t="e">
        <f ca="1">_xll.BDH($C$153,"ACCOUNTS_PAYABLE_SEQ_GROWTH","FQ2 2015","FQ2 2015","Currency=INR","Period=FQ","BEST_FPERIOD_OVERRIDE=FQ","FILING_STATUS=OR","EQY_CONSOLIDATED=Y","Sort=A","Dates=H","DateFormat=P","Fill=—","Direction=H","UseDPDF=Y")</f>
        <v>#NAME?</v>
      </c>
      <c r="BS160" s="1" t="e">
        <f ca="1">_xll.BDH($C$153,"ST_DEBT_SEQUENTIAL_GROWTH","FQ2 2015","FQ2 2015","Currency=INR","Period=FQ","BEST_FPERIOD_OVERRIDE=FQ","FILING_STATUS=OR","EQY_CONSOLIDATED=Y","Sort=A","Dates=H","DateFormat=P","Fill=—","Direction=H","UseDPDF=Y")</f>
        <v>#NAME?</v>
      </c>
      <c r="BT160" s="1" t="e">
        <f ca="1">_xll.BDH($C$153,"TOTAL_DEBT_SEQUENTIAL_GROWTH","FQ2 2015","FQ2 2015","Currency=INR","Period=FQ","BEST_FPERIOD_OVERRIDE=FQ","FILING_STATUS=OR","EQY_CONSOLIDATED=Y","Sort=A","Dates=H","DateFormat=P","Fill=—","Direction=H","UseDPDF=Y")</f>
        <v>#NAME?</v>
      </c>
      <c r="BU160" s="1" t="e">
        <f ca="1">_xll.BDH($C$153,"TOTAL_EQUITY_SEQUENTIAL_GROWTH","FQ2 2015","FQ2 2015","Currency=INR","Period=FQ","BEST_FPERIOD_OVERRIDE=FQ","FILING_STATUS=OR","EQY_CONSOLIDATED=Y","Sort=A","Dates=H","DateFormat=P","Fill=—","Direction=H","UseDPDF=Y")</f>
        <v>#NAME?</v>
      </c>
      <c r="BV160" s="1" t="e">
        <f ca="1">_xll.BDH($C$153,"TOTAL_CAPITAL_SEQUENTIAL_GROWTH","FQ2 2015","FQ2 2015","Currency=INR","Period=FQ","BEST_FPERIOD_OVERRIDE=FQ","FILING_STATUS=OR","EQY_CONSOLIDATED=Y","Sort=A","Dates=H","DateFormat=P","Fill=—","Direction=H","UseDPDF=Y")</f>
        <v>#NAME?</v>
      </c>
      <c r="BW160" s="1" t="e">
        <f ca="1">_xll.BDH($C$153,"BPS_SEQUENTIAL_GROWTH","FQ2 2015","FQ2 2015","Currency=INR","Period=FQ","BEST_FPERIOD_OVERRIDE=FQ","FILING_STATUS=OR","EQY_CONSOLIDATED=Y","Sort=A","Dates=H","DateFormat=P","Fill=—","Direction=H","UseDPDF=Y")</f>
        <v>#NAME?</v>
      </c>
      <c r="BX160" s="1" t="e">
        <f ca="1">_xll.BDH($C$153,"CFO_SEQUENTIAL_GROWTH","FQ2 2015","FQ2 2015","Currency=INR","Period=FQ","BEST_FPERIOD_OVERRIDE=FQ","FILING_STATUS=OR","EQY_CONSOLIDATED=Y","Sort=A","Dates=H","DateFormat=P","Fill=—","Direction=H","UseDPDF=Y")</f>
        <v>#NAME?</v>
      </c>
      <c r="BY160" s="2" t="e">
        <f ca="1">_xll.BDH($C$153,"SHORT_AND_LONG_TERM_DEBT","FQ2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60" s="2" t="e">
        <f ca="1">_xll.BDH($C$153,"BS_ST_BORROW","FQ2 2015","FQ2 2015","Currency=INR","Period=FQ","BEST_FPERIOD_OVERRIDE=FQ","FILING_STATUS=OR","EQY_CONSOLIDATED=Y","SCALING_FORMAT=MLN","Sort=A","Dates=H","DateFormat=P","Fill=—","Direction=H","UseDPDF=Y")</f>
        <v>#NAME?</v>
      </c>
      <c r="CA160" s="2" t="e">
        <f ca="1">_xll.BDH($C$153,"BS_LT_BORROW","FQ2 2015","FQ2 2015","Currency=INR","Period=FQ","BEST_FPERIOD_OVERRIDE=FQ","FILING_STATUS=OR","EQY_CONSOLIDATED=Y","SCALING_FORMAT=MLN","Sort=A","Dates=H","DateFormat=P","Fill=—","Direction=H","UseDPDF=Y")</f>
        <v>#NAME?</v>
      </c>
      <c r="CB160" s="1" t="e">
        <f ca="1">_xll.BDH($C$153,"TOT_DEBT_TO_EBITDA","FQ2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60" s="1" t="e">
        <f ca="1">_xll.BDH($C$153,"NET_DEBT_TO_EBITDA","FQ2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60" s="1" t="e">
        <f ca="1">_xll.BDH($C$153,"TOTAL_DEBT_TO_EBIT","FQ2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60" s="1" t="e">
        <f ca="1">_xll.BDH($C$153,"NET_DEBT_TO_EBIT","FQ2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160" s="1" t="e">
        <f ca="1">_xll.BDH($C$153,"EBITDA_TO_INTEREST_EXPN","FQ2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60" s="1" t="e">
        <f ca="1">_xll.BDH($C$153,"COM_EQY_TO_TOT_ASSET","FQ2 2015","FQ2 2015","Currency=INR","Period=FQ","BEST_FPERIOD_OVERRIDE=FQ","FILING_STATUS=OR","EQY_CONSOLIDATED=Y","Sort=A","Dates=H","DateFormat=P","Fill=—","Direction=H","UseDPDF=Y")</f>
        <v>#NAME?</v>
      </c>
      <c r="CH160" s="1" t="e">
        <f ca="1">_xll.BDH($C$153,"LT_DEBT_TO_TOT_EQY","FQ2 2015","FQ2 2015","Currency=INR","Period=FQ","BEST_FPERIOD_OVERRIDE=FQ","FILING_STATUS=OR","EQY_CONSOLIDATED=Y","Sort=A","Dates=H","DateFormat=P","Fill=—","Direction=H","UseDPDF=Y")</f>
        <v>#NAME?</v>
      </c>
      <c r="CI160" s="1" t="e">
        <f ca="1">_xll.BDH($C$153,"LT_DEBT_TO_TOT_CAP","FQ2 2015","FQ2 2015","Currency=INR","Period=FQ","BEST_FPERIOD_OVERRIDE=FQ","FILING_STATUS=OR","EQY_CONSOLIDATED=Y","Sort=A","Dates=H","DateFormat=P","Fill=—","Direction=H","UseDPDF=Y")</f>
        <v>#NAME?</v>
      </c>
      <c r="CJ160" s="1" t="e">
        <f ca="1">_xll.BDH($C$153,"LT_DEBT_TO_TOT_ASSET","FQ2 2015","FQ2 2015","Currency=INR","Period=FQ","BEST_FPERIOD_OVERRIDE=FQ","FILING_STATUS=OR","EQY_CONSOLIDATED=Y","Sort=A","Dates=H","DateFormat=P","Fill=—","Direction=H","UseDPDF=Y")</f>
        <v>#NAME?</v>
      </c>
      <c r="CK160" s="1" t="e">
        <f ca="1">_xll.BDH($C$153,"TOT_DEBT_TO_TOT_EQY","FQ2 2015","FQ2 2015","Currency=INR","Period=FQ","BEST_FPERIOD_OVERRIDE=FQ","FILING_STATUS=OR","EQY_CONSOLIDATED=Y","Sort=A","Dates=H","DateFormat=P","Fill=—","Direction=H","UseDPDF=Y")</f>
        <v>#NAME?</v>
      </c>
      <c r="CL160" s="1" t="e">
        <f ca="1">_xll.BDH($C$153,"TOT_DEBT_TO_TOT_CAP","FQ2 2015","FQ2 2015","Currency=INR","Period=FQ","BEST_FPERIOD_OVERRIDE=FQ","FILING_STATUS=OR","EQY_CONSOLIDATED=Y","Sort=A","Dates=H","DateFormat=P","Fill=—","Direction=H","UseDPDF=Y")</f>
        <v>#NAME?</v>
      </c>
      <c r="CM160" s="1" t="e">
        <f ca="1">_xll.BDH($C$153,"TOT_DEBT_TO_TOT_ASSET","FQ2 2015","FQ2 2015","Currency=INR","Period=FQ","BEST_FPERIOD_OVERRIDE=FQ","FILING_STATUS=OR","EQY_CONSOLIDATED=Y","Sort=A","Dates=H","DateFormat=P","Fill=—","Direction=H","UseDPDF=Y")</f>
        <v>#NAME?</v>
      </c>
      <c r="CN160" s="1" t="e">
        <f ca="1">_xll.BDH($C$153,"NET_DEBT_TO_SHRHLDR_EQTY","FQ2 2015","FQ2 2015","Currency=INR","Period=FQ","BEST_FPERIOD_OVERRIDE=FQ","FILING_STATUS=OR","EQY_CONSOLIDATED=Y","Sort=A","Dates=H","DateFormat=P","Fill=—","Direction=H","UseDPDF=Y")</f>
        <v>#NAME?</v>
      </c>
      <c r="CO160" s="1" t="e">
        <f ca="1">_xll.BDH($C$153,"NET_DEBT_%_CAPITAL","FQ2 2015","FQ2 2015","Currency=INR","Period=FQ","BEST_FPERIOD_OVERRIDE=FQ","FILING_STATUS=OR","EQY_CONSOLIDATED=Y","Sort=A","Dates=H","DateFormat=P","Fill=—","Direction=H","UseDPDF=Y")</f>
        <v>#NAME?</v>
      </c>
      <c r="CP160" s="2" t="e">
        <f ca="1">_xll.BDH($C$153,"EBITDA","FQ2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60" s="2" t="e">
        <f ca="1">_xll.BDH($C$153,"EBITDA_AFTER_CAPEX","FQ2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60" s="2" t="e">
        <f ca="1">_xll.BDH($C$153,"IS_OPER_INC","FQ2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60" s="1" t="e">
        <f ca="1">_xll.BDH($C$153,"CASH_RATIO","FQ2 2015","FQ2 2015","Currency=INR","Period=FQ","BEST_FPERIOD_OVERRIDE=FQ","FILING_STATUS=OR","EQY_CONSOLIDATED=Y","Sort=A","Dates=H","DateFormat=P","Fill=—","Direction=H","UseDPDF=Y")</f>
        <v>#NAME?</v>
      </c>
      <c r="CT160" s="1" t="e">
        <f ca="1">_xll.BDH($C$153,"CUR_RATIO","FQ2 2015","FQ2 2015","Currency=INR","Period=FQ","BEST_FPERIOD_OVERRIDE=FQ","FILING_STATUS=OR","EQY_CONSOLIDATED=Y","Sort=A","Dates=H","DateFormat=P","Fill=—","Direction=H","UseDPDF=Y")</f>
        <v>#NAME?</v>
      </c>
      <c r="CU160" s="1" t="e">
        <f ca="1">_xll.BDH($C$153,"QUICK_RATIO","FQ2 2015","FQ2 2015","Currency=INR","Period=FQ","BEST_FPERIOD_OVERRIDE=FQ","FILING_STATUS=OR","EQY_CONSOLIDATED=Y","Sort=A","Dates=H","DateFormat=P","Fill=—","Direction=H","UseDPDF=Y")</f>
        <v>#NAME?</v>
      </c>
      <c r="CV160" s="1" t="e">
        <f ca="1">_xll.BDH($C$153,"ALTMAN_Z_SCORE","FQ2 2015","FQ2 2015","Currency=INR","Period=FQ","BEST_FPERIOD_OVERRIDE=FQ","FILING_STATUS=OR","EQY_CONSOLIDATED=Y","Sort=A","Dates=H","DateFormat=P","Fill=—","Direction=H","UseDPDF=Y")</f>
        <v>#NAME?</v>
      </c>
      <c r="CW160" s="3" t="e">
        <f ca="1">_xll.BDH($C$153,"ACCT_RCV_TURN","FQ2 2015","FQ2 2015","Currency=INR","Period=FQ","BEST_FPERIOD_OVERRIDE=FQ","FILING_STATUS=OR","EQY_CONSOLIDATED=Y","FA_ADJUSTED=GAAP","Sort=A","Dates=H","DateFormat=P","Fill=—","Direction=H","UseDPDF=Y")</f>
        <v>#NAME?</v>
      </c>
      <c r="CX160" s="1" t="e">
        <f ca="1">_xll.BDH($C$153,"ACCT_RCV_DAYS","FQ2 2015","FQ2 2015","Currency=INR","Period=FQ","BEST_FPERIOD_OVERRIDE=FQ","FILING_STATUS=OR","EQY_CONSOLIDATED=Y","FA_ADJUSTED=GAAP","Sort=A","Dates=H","DateFormat=P","Fill=—","Direction=H","UseDPDF=Y")</f>
        <v>#NAME?</v>
      </c>
      <c r="CY160" s="3" t="e">
        <f ca="1">_xll.BDH($C$153,"INVENT_TURN","FQ2 2015","FQ2 2015","Currency=INR","Period=FQ","BEST_FPERIOD_OVERRIDE=FQ","FILING_STATUS=OR","EQY_CONSOLIDATED=Y","FA_ADJUSTED=GAAP","Sort=A","Dates=H","DateFormat=P","Fill=—","Direction=H","UseDPDF=Y")</f>
        <v>#NAME?</v>
      </c>
      <c r="CZ160" s="1" t="e">
        <f ca="1">_xll.BDH($C$153,"INVENT_DAYS","FQ2 2015","FQ2 2015","Currency=INR","Period=FQ","BEST_FPERIOD_OVERRIDE=FQ","FILING_STATUS=OR","EQY_CONSOLIDATED=Y","FA_ADJUSTED=GAAP","Sort=A","Dates=H","DateFormat=P","Fill=—","Direction=H","UseDPDF=Y")</f>
        <v>#NAME?</v>
      </c>
      <c r="DA160" s="3" t="e">
        <f ca="1">_xll.BDH($C$153,"ACCOUNTS_PAYABLE_TURNOVER","FQ2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60" s="1" t="e">
        <f ca="1">_xll.BDH($C$153,"ACCOUNTS_PAYABLE_TURNOVER_DAYS","FQ2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60" s="3" t="e">
        <f ca="1">_xll.BDH($C$153,"CASH_CONVERSION_CYCLE","FQ2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60" s="3" t="e">
        <f ca="1">_xll.BDH($C$153,"INV_TO_CASH_DAYS","FQ2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160" s="4" t="e">
        <f ca="1">_xll.BDH($C$153,"BS_INVENTORIES","FQ2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160" s="2" t="e">
        <f ca="1">_xll.BDH($C$153,"INVTRY_RAW_MATERIALS","FQ2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60" s="2" t="e">
        <f ca="1">_xll.BDH($C$153,"INVTRY_IN_PROGRESS","FQ2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60" s="2" t="e">
        <f ca="1">_xll.BDH($C$153,"INVTRY_FINISHED_GOODS","FQ2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60" s="2" t="e">
        <f ca="1">_xll.BDH($C$153,"BS_OTHER_INV","FQ2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61" spans="1:113" x14ac:dyDescent="0.3">
      <c r="A161" s="6"/>
      <c r="B161" s="6"/>
      <c r="C161" s="6"/>
      <c r="D161" s="6"/>
      <c r="E161" t="s">
        <v>6</v>
      </c>
      <c r="F161" t="e">
        <f ca="1">_xll.BDH($C$153,"RETURN_COM_EQY","FQ3 2015","FQ3 2015","Currency=INR","Period=FQ","BEST_FPERIOD_OVERRIDE=FQ","FILING_STATUS=OR","EQY_CONSOLIDATED=Y","FA_ADJUSTED=GAAP","Sort=A","Dates=H","DateFormat=P","Fill=—","Direction=H","UseDPDF=Y")</f>
        <v>#NAME?</v>
      </c>
      <c r="G161" t="e">
        <f ca="1">_xll.BDH($C$153,"RETURN_ON_ASSET","FQ3 2015","FQ3 2015","Currency=INR","Period=FQ","BEST_FPERIOD_OVERRIDE=FQ","FILING_STATUS=OR","EQY_CONSOLIDATED=Y","FA_ADJUSTED=GAAP","Sort=A","Dates=H","DateFormat=P","Fill=—","Direction=H","UseDPDF=Y")</f>
        <v>#NAME?</v>
      </c>
      <c r="H161" t="e">
        <f ca="1">_xll.BDH($C$153,"RETURN_ON_CAP","FQ3 2015","FQ3 2015","Currency=INR","Period=FQ","BEST_FPERIOD_OVERRIDE=FQ","FILING_STATUS=OR","EQY_CONSOLIDATED=Y","FA_ADJUSTED=GAAP","Sort=A","Dates=H","DateFormat=P","Fill=—","Direction=H","UseDPDF=Y")</f>
        <v>#NAME?</v>
      </c>
      <c r="I161" t="e">
        <f ca="1">_xll.BDH($C$153,"RETURN_ON_INV_CAPITAL","FQ3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61" t="e">
        <f ca="1">_xll.BDH($C$153,"EBITDA_TO_REVENUE","FQ3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161" t="e">
        <f ca="1">_xll.BDH($C$153,"OPER_MARGIN","FQ3 2015","FQ3 2015","Currency=INR","Period=FQ","BEST_FPERIOD_OVERRIDE=FQ","FILING_STATUS=OR","EQY_CONSOLIDATED=Y","FA_ADJUSTED=GAAP","Sort=A","Dates=H","DateFormat=P","Fill=—","Direction=H","UseDPDF=Y")</f>
        <v>#NAME?</v>
      </c>
      <c r="L161" t="e">
        <f ca="1">_xll.BDH($C$153,"INCREMENTAL_OPERATING_MARGIN","FQ3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61" t="e">
        <f ca="1">_xll.BDH($C$153,"PRETAX_INC_TO_NET_SALES","FQ3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61" t="e">
        <f ca="1">_xll.BDH($C$153,"INC_BEF_XO_ITEMS_TO_NET_SALES","FQ3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61" t="e">
        <f ca="1">_xll.BDH($C$153,"PROF_MARGIN","FQ3 2015","FQ3 2015","Currency=INR","Period=FQ","BEST_FPERIOD_OVERRIDE=FQ","FILING_STATUS=OR","EQY_CONSOLIDATED=Y","FA_ADJUSTED=GAAP","Sort=A","Dates=H","DateFormat=P","Fill=—","Direction=H","UseDPDF=Y")</f>
        <v>#NAME?</v>
      </c>
      <c r="P161" t="e">
        <f ca="1">_xll.BDH($C$153,"NET_INCOME_TO_COMMON_MARGIN","FQ3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61" t="e">
        <f ca="1">_xll.BDH($C$153,"EFF_TAX_RATE","FQ3 2015","FQ3 2015","Currency=INR","Period=FQ","BEST_FPERIOD_OVERRIDE=FQ","FILING_STATUS=OR","EQY_CONSOLIDATED=Y","FA_ADJUSTED=GAAP","Sort=A","Dates=H","DateFormat=P","Fill=—","Direction=H","UseDPDF=Y")</f>
        <v>#NAME?</v>
      </c>
      <c r="R161" t="e">
        <f ca="1">_xll.BDH($C$153,"DVD_PAYOUT_RATIO","FQ3 2015","FQ3 2015","Currency=INR","Period=FQ","BEST_FPERIOD_OVERRIDE=FQ","FILING_STATUS=OR","EQY_CONSOLIDATED=Y","FA_ADJUSTED=GAAP","Sort=A","Dates=H","DateFormat=P","Fill=—","Direction=H","UseDPDF=Y")</f>
        <v>#NAME?</v>
      </c>
      <c r="S161" t="e">
        <f ca="1">_xll.BDH($C$153,"SUSTAIN_GROWTH_RT","FQ3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161" s="1" t="e">
        <f ca="1">_xll.BDH($C$153,"SALES_GROWTH","FQ3 2015","FQ3 2015","Currency=INR","Period=FQ","BEST_FPERIOD_OVERRIDE=FQ","FILING_STATUS=OR","EQY_CONSOLIDATED=Y","FA_ADJUSTED=GAAP","Sort=A","Dates=H","DateFormat=P","Fill=—","Direction=H","UseDPDF=Y")</f>
        <v>#NAME?</v>
      </c>
      <c r="U161" s="1" t="e">
        <f ca="1">_xll.BDH($C$153,"EBITDA_GROWTH","FQ3 2015","FQ3 2015","Currency=INR","Period=FQ","BEST_FPERIOD_OVERRIDE=FQ","FILING_STATUS=OR","EQY_CONSOLIDATED=Y","FA_ADJUSTED=GAAP","Sort=A","Dates=H","DateFormat=P","Fill=—","Direction=H","UseDPDF=Y")</f>
        <v>#NAME?</v>
      </c>
      <c r="V161" s="1" t="e">
        <f ca="1">_xll.BDH($C$153,"OPER_INC_GROWTH","FQ3 2015","FQ3 2015","Currency=INR","Period=FQ","BEST_FPERIOD_OVERRIDE=FQ","FILING_STATUS=OR","EQY_CONSOLIDATED=Y","FA_ADJUSTED=GAAP","Sort=A","Dates=H","DateFormat=P","Fill=—","Direction=H","UseDPDF=Y")</f>
        <v>#NAME?</v>
      </c>
      <c r="W161" s="1" t="e">
        <f ca="1">_xll.BDH($C$153,"EARN_FOR_COM_GROWTH","FQ3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61" s="1" t="e">
        <f ca="1">_xll.BDH($C$153,"DILUTED_EPS_AFT_XO_ITEMS_GROWTH","FQ3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61" s="1" t="e">
        <f ca="1">_xll.BDH($C$153,"DIVIDEND_PER_SHARE_1_YEAR_GROWTH","FQ3 2015","FQ3 2015","Currency=INR","Period=FQ","BEST_FPERIOD_OVERRIDE=FQ","FILING_STATUS=OR","EQY_CONSOLIDATED=Y","Sort=A","Dates=H","DateFormat=P","Fill=—","Direction=H","UseDPDF=Y")</f>
        <v>#NAME?</v>
      </c>
      <c r="Z161" s="1" t="e">
        <f ca="1">_xll.BDH($C$153,"ACCOUNTS_RECEIVABLE_GROWTH","FQ3 2015","FQ3 2015","Currency=INR","Period=FQ","BEST_FPERIOD_OVERRIDE=FQ","FILING_STATUS=OR","EQY_CONSOLIDATED=Y","Sort=A","Dates=H","DateFormat=P","Fill=—","Direction=H","UseDPDF=Y")</f>
        <v>#NAME?</v>
      </c>
      <c r="AA161" s="1" t="e">
        <f ca="1">_xll.BDH($C$153,"INVENTORY_GROWTH","FQ3 2015","FQ3 2015","Currency=INR","Period=FQ","BEST_FPERIOD_OVERRIDE=FQ","FILING_STATUS=OR","EQY_CONSOLIDATED=Y","Sort=A","Dates=H","DateFormat=P","Fill=—","Direction=H","UseDPDF=Y")</f>
        <v>#NAME?</v>
      </c>
      <c r="AB161" s="1" t="e">
        <f ca="1">_xll.BDH($C$153,"NET_FIXED_ASSETS_1_YEAR_GROWTH","FQ3 2015","FQ3 2015","Currency=INR","Period=FQ","BEST_FPERIOD_OVERRIDE=FQ","FILING_STATUS=OR","EQY_CONSOLIDATED=Y","Sort=A","Dates=H","DateFormat=P","Fill=—","Direction=H","UseDPDF=Y")</f>
        <v>#NAME?</v>
      </c>
      <c r="AC161" s="1" t="e">
        <f ca="1">_xll.BDH($C$153,"ASSET_GROWTH","FQ3 2015","FQ3 2015","Currency=INR","Period=FQ","BEST_FPERIOD_OVERRIDE=FQ","FILING_STATUS=OR","EQY_CONSOLIDATED=Y","Sort=A","Dates=H","DateFormat=P","Fill=—","Direction=H","UseDPDF=Y")</f>
        <v>#NAME?</v>
      </c>
      <c r="AD161" s="1" t="e">
        <f ca="1">_xll.BDH($C$153,"MODIFIED_WORK_CAP_GROWTH","FQ3 2015","FQ3 2015","Currency=INR","Period=FQ","BEST_FPERIOD_OVERRIDE=FQ","FILING_STATUS=OR","EQY_CONSOLIDATED=Y","Sort=A","Dates=H","DateFormat=P","Fill=—","Direction=H","UseDPDF=Y")</f>
        <v>#NAME?</v>
      </c>
      <c r="AE161" s="1" t="e">
        <f ca="1">_xll.BDH($C$153,"WORK_CAP_GROWTH","FQ3 2015","FQ3 2015","Currency=INR","Period=FQ","BEST_FPERIOD_OVERRIDE=FQ","FILING_STATUS=OR","EQY_CONSOLIDATED=Y","Sort=A","Dates=H","DateFormat=P","Fill=—","Direction=H","UseDPDF=Y")</f>
        <v>#NAME?</v>
      </c>
      <c r="AF161" s="1" t="e">
        <f ca="1">_xll.BDH($C$153,"ACCOUNTS_PAYABLE_GROWTH_1YR","FQ3 2015","FQ3 2015","Currency=INR","Period=FQ","BEST_FPERIOD_OVERRIDE=FQ","FILING_STATUS=OR","EQY_CONSOLIDATED=Y","Sort=A","Dates=H","DateFormat=P","Fill=—","Direction=H","UseDPDF=Y")</f>
        <v>#NAME?</v>
      </c>
      <c r="AG161" s="1" t="e">
        <f ca="1">_xll.BDH($C$153,"SHORT_TERM_DEBT_1_YEAR_GROWTH","FQ3 2015","FQ3 2015","Currency=INR","Period=FQ","BEST_FPERIOD_OVERRIDE=FQ","FILING_STATUS=OR","EQY_CONSOLIDATED=Y","Sort=A","Dates=H","DateFormat=P","Fill=—","Direction=H","UseDPDF=Y")</f>
        <v>#NAME?</v>
      </c>
      <c r="AH161" s="1" t="e">
        <f ca="1">_xll.BDH($C$153,"TOTAL_DEBT_1_YEAR_GROWTH","FQ3 2015","FQ3 2015","Currency=INR","Period=FQ","BEST_FPERIOD_OVERRIDE=FQ","FILING_STATUS=OR","EQY_CONSOLIDATED=Y","Sort=A","Dates=H","DateFormat=P","Fill=—","Direction=H","UseDPDF=Y")</f>
        <v>#NAME?</v>
      </c>
      <c r="AI161" s="1" t="e">
        <f ca="1">_xll.BDH($C$153,"TOTAL_EQUITY_1_YEAR_GROWTH","FQ3 2015","FQ3 2015","Currency=INR","Period=FQ","BEST_FPERIOD_OVERRIDE=FQ","FILING_STATUS=OR","EQY_CONSOLIDATED=Y","Sort=A","Dates=H","DateFormat=P","Fill=—","Direction=H","UseDPDF=Y")</f>
        <v>#NAME?</v>
      </c>
      <c r="AJ161" s="1" t="e">
        <f ca="1">_xll.BDH($C$153,"GROWTH_IN_CAP","FQ3 2015","FQ3 2015","Currency=INR","Period=FQ","BEST_FPERIOD_OVERRIDE=FQ","FILING_STATUS=OR","EQY_CONSOLIDATED=Y","Sort=A","Dates=H","DateFormat=P","Fill=—","Direction=H","UseDPDF=Y")</f>
        <v>#NAME?</v>
      </c>
      <c r="AK161" s="1" t="e">
        <f ca="1">_xll.BDH($C$153,"BVPS_GROWTH","FQ3 2015","FQ3 2015","Currency=INR","Period=FQ","BEST_FPERIOD_OVERRIDE=FQ","FILING_STATUS=OR","EQY_CONSOLIDATED=Y","Sort=A","Dates=H","DateFormat=P","Fill=—","Direction=H","UseDPDF=Y")</f>
        <v>#NAME?</v>
      </c>
      <c r="AL161" s="1" t="e">
        <f ca="1">_xll.BDH($C$153,"CASH_FLOW_GROWTH","FQ3 2015","FQ3 2015","Currency=INR","Period=FQ","BEST_FPERIOD_OVERRIDE=FQ","FILING_STATUS=OR","EQY_CONSOLIDATED=Y","Sort=A","Dates=H","DateFormat=P","Fill=—","Direction=H","UseDPDF=Y")</f>
        <v>#NAME?</v>
      </c>
      <c r="AM161" s="1" t="e">
        <f ca="1">_xll.BDH($C$153,"GEO_GROW_NET_SALES","FQ3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61" s="1" t="e">
        <f ca="1">_xll.BDH($C$153,"GEO_GROW_EBITDA","FQ3 2015","FQ3 2015","Currency=INR","Period=FQ","BEST_FPERIOD_OVERRIDE=FQ","FILING_STATUS=OR","EQY_CONSOLIDATED=Y","FA_ADJUSTED=GAAP","Sort=A","Dates=H","DateFormat=P","Fill=—","Direction=H","UseDPDF=Y")</f>
        <v>#NAME?</v>
      </c>
      <c r="AO161" s="1" t="e">
        <f ca="1">_xll.BDH($C$153,"GEO_GROW_OPER_INC","FQ3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61" s="1" t="e">
        <f ca="1">_xll.BDH($C$153,"NET_INCOME_TO_COMMON_5_YR_GROWTH","FQ3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61" s="1" t="e">
        <f ca="1">_xll.BDH($C$153,"5Y_GEO_GROWTH_DILUTED_EPS","FQ3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61" s="1" t="e">
        <f ca="1">_xll.BDH($C$153,"GEO_GROW_DVD_PER_SH","FQ3 2015","FQ3 2015","Currency=INR","Period=FQ","BEST_FPERIOD_OVERRIDE=FQ","FILING_STATUS=OR","EQY_CONSOLIDATED=Y","Sort=A","Dates=H","DateFormat=P","Fill=—","Direction=H","UseDPDF=Y")</f>
        <v>#NAME?</v>
      </c>
      <c r="AS161" s="1" t="e">
        <f ca="1">_xll.BDH($C$153,"ACCOUNTS_RECEIVABLE_5_YR_GROWTH","FQ3 2015","FQ3 2015","Currency=INR","Period=FQ","BEST_FPERIOD_OVERRIDE=FQ","FILING_STATUS=OR","EQY_CONSOLIDATED=Y","Sort=A","Dates=H","DateFormat=P","Fill=—","Direction=H","UseDPDF=Y")</f>
        <v>#NAME?</v>
      </c>
      <c r="AT161" s="1" t="e">
        <f ca="1">_xll.BDH($C$153,"INVENTORY_5_YEAR_GROWTH","FQ3 2015","FQ3 2015","Currency=INR","Period=FQ","BEST_FPERIOD_OVERRIDE=FQ","FILING_STATUS=OR","EQY_CONSOLIDATED=Y","Sort=A","Dates=H","DateFormat=P","Fill=—","Direction=H","UseDPDF=Y")</f>
        <v>#NAME?</v>
      </c>
      <c r="AU161" s="1" t="e">
        <f ca="1">_xll.BDH($C$153,"NET_FIXED_ASSETS_5_YEAR_GROWTH","FQ3 2015","FQ3 2015","Currency=INR","Period=FQ","BEST_FPERIOD_OVERRIDE=FQ","FILING_STATUS=OR","EQY_CONSOLIDATED=Y","Sort=A","Dates=H","DateFormat=P","Fill=—","Direction=H","UseDPDF=Y")</f>
        <v>#NAME?</v>
      </c>
      <c r="AV161" s="1" t="e">
        <f ca="1">_xll.BDH($C$153,"GEO_GROW_TOT_ASSET","FQ3 2015","FQ3 2015","Currency=INR","Period=FQ","BEST_FPERIOD_OVERRIDE=FQ","FILING_STATUS=OR","EQY_CONSOLIDATED=Y","Sort=A","Dates=H","DateFormat=P","Fill=—","Direction=H","UseDPDF=Y")</f>
        <v>#NAME?</v>
      </c>
      <c r="AW161" s="1" t="e">
        <f ca="1">_xll.BDH($C$153,"MODIFIED_WORKING_CPTL_5YR_GRWTH","FQ3 2015","FQ3 2015","Currency=INR","Period=FQ","BEST_FPERIOD_OVERRIDE=FQ","FILING_STATUS=OR","EQY_CONSOLIDATED=Y","Sort=A","Dates=H","DateFormat=P","Fill=—","Direction=H","UseDPDF=Y")</f>
        <v>#NAME?</v>
      </c>
      <c r="AX161" s="1" t="e">
        <f ca="1">_xll.BDH($C$153,"WORKING_CAPITAL_5_YEAR_GROWTH","FQ3 2015","FQ3 2015","Currency=INR","Period=FQ","BEST_FPERIOD_OVERRIDE=FQ","FILING_STATUS=OR","EQY_CONSOLIDATED=Y","Sort=A","Dates=H","DateFormat=P","Fill=—","Direction=H","UseDPDF=Y")</f>
        <v>#NAME?</v>
      </c>
      <c r="AY161" s="1" t="e">
        <f ca="1">_xll.BDH($C$153,"ACCOUNTS_PAYABLE_5_YEAR_GROWTH","FQ3 2015","FQ3 2015","Currency=INR","Period=FQ","BEST_FPERIOD_OVERRIDE=FQ","FILING_STATUS=OR","EQY_CONSOLIDATED=Y","Sort=A","Dates=H","DateFormat=P","Fill=—","Direction=H","UseDPDF=Y")</f>
        <v>#NAME?</v>
      </c>
      <c r="AZ161" s="1" t="e">
        <f ca="1">_xll.BDH($C$153,"SHORT_TERM_DEBT_5_YEAR_GROWTH","FQ3 2015","FQ3 2015","Currency=INR","Period=FQ","BEST_FPERIOD_OVERRIDE=FQ","FILING_STATUS=OR","EQY_CONSOLIDATED=Y","Sort=A","Dates=H","DateFormat=P","Fill=—","Direction=H","UseDPDF=Y")</f>
        <v>#NAME?</v>
      </c>
      <c r="BA161" s="1" t="e">
        <f ca="1">_xll.BDH($C$153,"TOTAL_DEBT_5_YEAR_GROWTH","FQ3 2015","FQ3 2015","Currency=INR","Period=FQ","BEST_FPERIOD_OVERRIDE=FQ","FILING_STATUS=OR","EQY_CONSOLIDATED=Y","Sort=A","Dates=H","DateFormat=P","Fill=—","Direction=H","UseDPDF=Y")</f>
        <v>#NAME?</v>
      </c>
      <c r="BB161" s="1" t="e">
        <f ca="1">_xll.BDH($C$153,"GEO_GROW_TOT_SHRHLDR_EQY","FQ3 2015","FQ3 2015","Currency=INR","Period=FQ","BEST_FPERIOD_OVERRIDE=FQ","FILING_STATUS=OR","EQY_CONSOLIDATED=Y","Sort=A","Dates=H","DateFormat=P","Fill=—","Direction=H","UseDPDF=Y")</f>
        <v>#NAME?</v>
      </c>
      <c r="BC161" s="1" t="e">
        <f ca="1">_xll.BDH($C$153,"TOTAL_CAPITAL_5_YEAR_GROWTH","FQ3 2015","FQ3 2015","Currency=INR","Period=FQ","BEST_FPERIOD_OVERRIDE=FQ","FILING_STATUS=OR","EQY_CONSOLIDATED=Y","Sort=A","Dates=H","DateFormat=P","Fill=—","Direction=H","UseDPDF=Y")</f>
        <v>#NAME?</v>
      </c>
      <c r="BD161" s="1" t="e">
        <f ca="1">_xll.BDH($C$153,"GEO_GROW_BOOK_VAL","FQ3 2015","FQ3 2015","Currency=INR","Period=FQ","BEST_FPERIOD_OVERRIDE=FQ","FILING_STATUS=OR","EQY_CONSOLIDATED=Y","Sort=A","Dates=H","DateFormat=P","Fill=—","Direction=H","UseDPDF=Y")</f>
        <v>#NAME?</v>
      </c>
      <c r="BE161" s="1" t="e">
        <f ca="1">_xll.BDH($C$153,"GEO_GROW_CASH_OPER_ACT","FQ3 2015","FQ3 2015","Currency=INR","Period=FQ","BEST_FPERIOD_OVERRIDE=FQ","FILING_STATUS=OR","EQY_CONSOLIDATED=Y","Sort=A","Dates=H","DateFormat=P","Fill=—","Direction=H","UseDPDF=Y")</f>
        <v>#NAME?</v>
      </c>
      <c r="BF161" s="1" t="e">
        <f ca="1">_xll.BDH($C$153,"REVENUE_SEQUENTIAL_GROWTH","FQ3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61" s="1" t="e">
        <f ca="1">_xll.BDH($C$153,"EBITDA_SEQUENTIAL_GROWTH","FQ3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61" s="1" t="e">
        <f ca="1">_xll.BDH($C$153,"OPERATING_INCOME_SEQ_GROWTH","FQ3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61" s="1" t="e">
        <f ca="1">_xll.BDH($C$153,"NET_INCOME_TO_COMMON_SEQ_GROWTH","FQ3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61" s="1" t="e">
        <f ca="1">_xll.BDH($C$153,"EPS_DILUTED_SEQUENTIAL_GROWTH","FQ3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61" s="1" t="e">
        <f ca="1">_xll.BDH($C$153,"DPS_SEQUENTIAL_GROWTH","FQ3 2015","FQ3 2015","Currency=INR","Period=FQ","BEST_FPERIOD_OVERRIDE=FQ","FILING_STATUS=OR","EQY_CONSOLIDATED=Y","Sort=A","Dates=H","DateFormat=P","Fill=—","Direction=H","UseDPDF=Y")</f>
        <v>#NAME?</v>
      </c>
      <c r="BL161" s="1" t="e">
        <f ca="1">_xll.BDH($C$153,"ACCOUNTS_RECEIVABLE_SEQ_GROWTH","FQ3 2015","FQ3 2015","Currency=INR","Period=FQ","BEST_FPERIOD_OVERRIDE=FQ","FILING_STATUS=OR","EQY_CONSOLIDATED=Y","Sort=A","Dates=H","DateFormat=P","Fill=—","Direction=H","UseDPDF=Y")</f>
        <v>#NAME?</v>
      </c>
      <c r="BM161" s="1" t="e">
        <f ca="1">_xll.BDH($C$153,"INVENTORY_SEQUENTIAL_GROWTH","FQ3 2015","FQ3 2015","Currency=INR","Period=FQ","BEST_FPERIOD_OVERRIDE=FQ","FILING_STATUS=OR","EQY_CONSOLIDATED=Y","Sort=A","Dates=H","DateFormat=P","Fill=—","Direction=H","UseDPDF=Y")</f>
        <v>#NAME?</v>
      </c>
      <c r="BN161" s="1" t="e">
        <f ca="1">_xll.BDH($C$153,"FIXED_ASSETS_SEQUENTIAL_GROWTH","FQ3 2015","FQ3 2015","Currency=INR","Period=FQ","BEST_FPERIOD_OVERRIDE=FQ","FILING_STATUS=OR","EQY_CONSOLIDATED=Y","Sort=A","Dates=H","DateFormat=P","Fill=—","Direction=H","UseDPDF=Y")</f>
        <v>#NAME?</v>
      </c>
      <c r="BO161" s="1" t="e">
        <f ca="1">_xll.BDH($C$153,"TOTAL_ASSETS_SEQUENTIAL_GROWTH","FQ3 2015","FQ3 2015","Currency=INR","Period=FQ","BEST_FPERIOD_OVERRIDE=FQ","FILING_STATUS=OR","EQY_CONSOLIDATED=Y","Sort=A","Dates=H","DateFormat=P","Fill=—","Direction=H","UseDPDF=Y")</f>
        <v>#NAME?</v>
      </c>
      <c r="BP161" s="1" t="e">
        <f ca="1">_xll.BDH($C$153,"MODIFIED_WORKING_CPTL_SEQ_GRWTH","FQ3 2015","FQ3 2015","Currency=INR","Period=FQ","BEST_FPERIOD_OVERRIDE=FQ","FILING_STATUS=OR","EQY_CONSOLIDATED=Y","Sort=A","Dates=H","DateFormat=P","Fill=—","Direction=H","UseDPDF=Y")</f>
        <v>#NAME?</v>
      </c>
      <c r="BQ161" s="1" t="e">
        <f ca="1">_xll.BDH($C$153,"WORKING_CAPITAL_SEQ_GROWTH","FQ3 2015","FQ3 2015","Currency=INR","Period=FQ","BEST_FPERIOD_OVERRIDE=FQ","FILING_STATUS=OR","EQY_CONSOLIDATED=Y","Sort=A","Dates=H","DateFormat=P","Fill=—","Direction=H","UseDPDF=Y")</f>
        <v>#NAME?</v>
      </c>
      <c r="BR161" s="1" t="e">
        <f ca="1">_xll.BDH($C$153,"ACCOUNTS_PAYABLE_SEQ_GROWTH","FQ3 2015","FQ3 2015","Currency=INR","Period=FQ","BEST_FPERIOD_OVERRIDE=FQ","FILING_STATUS=OR","EQY_CONSOLIDATED=Y","Sort=A","Dates=H","DateFormat=P","Fill=—","Direction=H","UseDPDF=Y")</f>
        <v>#NAME?</v>
      </c>
      <c r="BS161" s="1" t="e">
        <f ca="1">_xll.BDH($C$153,"ST_DEBT_SEQUENTIAL_GROWTH","FQ3 2015","FQ3 2015","Currency=INR","Period=FQ","BEST_FPERIOD_OVERRIDE=FQ","FILING_STATUS=OR","EQY_CONSOLIDATED=Y","Sort=A","Dates=H","DateFormat=P","Fill=—","Direction=H","UseDPDF=Y")</f>
        <v>#NAME?</v>
      </c>
      <c r="BT161" s="1" t="e">
        <f ca="1">_xll.BDH($C$153,"TOTAL_DEBT_SEQUENTIAL_GROWTH","FQ3 2015","FQ3 2015","Currency=INR","Period=FQ","BEST_FPERIOD_OVERRIDE=FQ","FILING_STATUS=OR","EQY_CONSOLIDATED=Y","Sort=A","Dates=H","DateFormat=P","Fill=—","Direction=H","UseDPDF=Y")</f>
        <v>#NAME?</v>
      </c>
      <c r="BU161" s="1" t="e">
        <f ca="1">_xll.BDH($C$153,"TOTAL_EQUITY_SEQUENTIAL_GROWTH","FQ3 2015","FQ3 2015","Currency=INR","Period=FQ","BEST_FPERIOD_OVERRIDE=FQ","FILING_STATUS=OR","EQY_CONSOLIDATED=Y","Sort=A","Dates=H","DateFormat=P","Fill=—","Direction=H","UseDPDF=Y")</f>
        <v>#NAME?</v>
      </c>
      <c r="BV161" s="1" t="e">
        <f ca="1">_xll.BDH($C$153,"TOTAL_CAPITAL_SEQUENTIAL_GROWTH","FQ3 2015","FQ3 2015","Currency=INR","Period=FQ","BEST_FPERIOD_OVERRIDE=FQ","FILING_STATUS=OR","EQY_CONSOLIDATED=Y","Sort=A","Dates=H","DateFormat=P","Fill=—","Direction=H","UseDPDF=Y")</f>
        <v>#NAME?</v>
      </c>
      <c r="BW161" s="1" t="e">
        <f ca="1">_xll.BDH($C$153,"BPS_SEQUENTIAL_GROWTH","FQ3 2015","FQ3 2015","Currency=INR","Period=FQ","BEST_FPERIOD_OVERRIDE=FQ","FILING_STATUS=OR","EQY_CONSOLIDATED=Y","Sort=A","Dates=H","DateFormat=P","Fill=—","Direction=H","UseDPDF=Y")</f>
        <v>#NAME?</v>
      </c>
      <c r="BX161" s="1" t="e">
        <f ca="1">_xll.BDH($C$153,"CFO_SEQUENTIAL_GROWTH","FQ3 2015","FQ3 2015","Currency=INR","Period=FQ","BEST_FPERIOD_OVERRIDE=FQ","FILING_STATUS=OR","EQY_CONSOLIDATED=Y","Sort=A","Dates=H","DateFormat=P","Fill=—","Direction=H","UseDPDF=Y")</f>
        <v>#NAME?</v>
      </c>
      <c r="BY161" s="2" t="e">
        <f ca="1">_xll.BDH($C$153,"SHORT_AND_LONG_TERM_DEBT","FQ3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61" s="2" t="e">
        <f ca="1">_xll.BDH($C$153,"BS_ST_BORROW","FQ3 2015","FQ3 2015","Currency=INR","Period=FQ","BEST_FPERIOD_OVERRIDE=FQ","FILING_STATUS=OR","EQY_CONSOLIDATED=Y","SCALING_FORMAT=MLN","Sort=A","Dates=H","DateFormat=P","Fill=—","Direction=H","UseDPDF=Y")</f>
        <v>#NAME?</v>
      </c>
      <c r="CA161" s="2" t="e">
        <f ca="1">_xll.BDH($C$153,"BS_LT_BORROW","FQ3 2015","FQ3 2015","Currency=INR","Period=FQ","BEST_FPERIOD_OVERRIDE=FQ","FILING_STATUS=OR","EQY_CONSOLIDATED=Y","SCALING_FORMAT=MLN","Sort=A","Dates=H","DateFormat=P","Fill=—","Direction=H","UseDPDF=Y")</f>
        <v>#NAME?</v>
      </c>
      <c r="CB161" s="1" t="e">
        <f ca="1">_xll.BDH($C$153,"TOT_DEBT_TO_EBITDA","FQ3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61" s="1" t="e">
        <f ca="1">_xll.BDH($C$153,"NET_DEBT_TO_EBITDA","FQ3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61" s="1" t="e">
        <f ca="1">_xll.BDH($C$153,"TOTAL_DEBT_TO_EBIT","FQ3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61" s="1" t="e">
        <f ca="1">_xll.BDH($C$153,"NET_DEBT_TO_EBIT","FQ3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161" s="1" t="e">
        <f ca="1">_xll.BDH($C$153,"EBITDA_TO_INTEREST_EXPN","FQ3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61" s="1" t="e">
        <f ca="1">_xll.BDH($C$153,"COM_EQY_TO_TOT_ASSET","FQ3 2015","FQ3 2015","Currency=INR","Period=FQ","BEST_FPERIOD_OVERRIDE=FQ","FILING_STATUS=OR","EQY_CONSOLIDATED=Y","Sort=A","Dates=H","DateFormat=P","Fill=—","Direction=H","UseDPDF=Y")</f>
        <v>#NAME?</v>
      </c>
      <c r="CH161" s="1" t="e">
        <f ca="1">_xll.BDH($C$153,"LT_DEBT_TO_TOT_EQY","FQ3 2015","FQ3 2015","Currency=INR","Period=FQ","BEST_FPERIOD_OVERRIDE=FQ","FILING_STATUS=OR","EQY_CONSOLIDATED=Y","Sort=A","Dates=H","DateFormat=P","Fill=—","Direction=H","UseDPDF=Y")</f>
        <v>#NAME?</v>
      </c>
      <c r="CI161" s="1" t="e">
        <f ca="1">_xll.BDH($C$153,"LT_DEBT_TO_TOT_CAP","FQ3 2015","FQ3 2015","Currency=INR","Period=FQ","BEST_FPERIOD_OVERRIDE=FQ","FILING_STATUS=OR","EQY_CONSOLIDATED=Y","Sort=A","Dates=H","DateFormat=P","Fill=—","Direction=H","UseDPDF=Y")</f>
        <v>#NAME?</v>
      </c>
      <c r="CJ161" s="1" t="e">
        <f ca="1">_xll.BDH($C$153,"LT_DEBT_TO_TOT_ASSET","FQ3 2015","FQ3 2015","Currency=INR","Period=FQ","BEST_FPERIOD_OVERRIDE=FQ","FILING_STATUS=OR","EQY_CONSOLIDATED=Y","Sort=A","Dates=H","DateFormat=P","Fill=—","Direction=H","UseDPDF=Y")</f>
        <v>#NAME?</v>
      </c>
      <c r="CK161" s="1" t="e">
        <f ca="1">_xll.BDH($C$153,"TOT_DEBT_TO_TOT_EQY","FQ3 2015","FQ3 2015","Currency=INR","Period=FQ","BEST_FPERIOD_OVERRIDE=FQ","FILING_STATUS=OR","EQY_CONSOLIDATED=Y","Sort=A","Dates=H","DateFormat=P","Fill=—","Direction=H","UseDPDF=Y")</f>
        <v>#NAME?</v>
      </c>
      <c r="CL161" s="1" t="e">
        <f ca="1">_xll.BDH($C$153,"TOT_DEBT_TO_TOT_CAP","FQ3 2015","FQ3 2015","Currency=INR","Period=FQ","BEST_FPERIOD_OVERRIDE=FQ","FILING_STATUS=OR","EQY_CONSOLIDATED=Y","Sort=A","Dates=H","DateFormat=P","Fill=—","Direction=H","UseDPDF=Y")</f>
        <v>#NAME?</v>
      </c>
      <c r="CM161" s="1" t="e">
        <f ca="1">_xll.BDH($C$153,"TOT_DEBT_TO_TOT_ASSET","FQ3 2015","FQ3 2015","Currency=INR","Period=FQ","BEST_FPERIOD_OVERRIDE=FQ","FILING_STATUS=OR","EQY_CONSOLIDATED=Y","Sort=A","Dates=H","DateFormat=P","Fill=—","Direction=H","UseDPDF=Y")</f>
        <v>#NAME?</v>
      </c>
      <c r="CN161" s="1" t="e">
        <f ca="1">_xll.BDH($C$153,"NET_DEBT_TO_SHRHLDR_EQTY","FQ3 2015","FQ3 2015","Currency=INR","Period=FQ","BEST_FPERIOD_OVERRIDE=FQ","FILING_STATUS=OR","EQY_CONSOLIDATED=Y","Sort=A","Dates=H","DateFormat=P","Fill=—","Direction=H","UseDPDF=Y")</f>
        <v>#NAME?</v>
      </c>
      <c r="CO161" s="1" t="e">
        <f ca="1">_xll.BDH($C$153,"NET_DEBT_%_CAPITAL","FQ3 2015","FQ3 2015","Currency=INR","Period=FQ","BEST_FPERIOD_OVERRIDE=FQ","FILING_STATUS=OR","EQY_CONSOLIDATED=Y","Sort=A","Dates=H","DateFormat=P","Fill=—","Direction=H","UseDPDF=Y")</f>
        <v>#NAME?</v>
      </c>
      <c r="CP161" s="2" t="e">
        <f ca="1">_xll.BDH($C$153,"EBITDA","FQ3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61" s="2" t="e">
        <f ca="1">_xll.BDH($C$153,"EBITDA_AFTER_CAPEX","FQ3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61" s="2" t="e">
        <f ca="1">_xll.BDH($C$153,"IS_OPER_INC","FQ3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61" s="1" t="e">
        <f ca="1">_xll.BDH($C$153,"CASH_RATIO","FQ3 2015","FQ3 2015","Currency=INR","Period=FQ","BEST_FPERIOD_OVERRIDE=FQ","FILING_STATUS=OR","EQY_CONSOLIDATED=Y","Sort=A","Dates=H","DateFormat=P","Fill=—","Direction=H","UseDPDF=Y")</f>
        <v>#NAME?</v>
      </c>
      <c r="CT161" s="1" t="e">
        <f ca="1">_xll.BDH($C$153,"CUR_RATIO","FQ3 2015","FQ3 2015","Currency=INR","Period=FQ","BEST_FPERIOD_OVERRIDE=FQ","FILING_STATUS=OR","EQY_CONSOLIDATED=Y","Sort=A","Dates=H","DateFormat=P","Fill=—","Direction=H","UseDPDF=Y")</f>
        <v>#NAME?</v>
      </c>
      <c r="CU161" s="1" t="e">
        <f ca="1">_xll.BDH($C$153,"QUICK_RATIO","FQ3 2015","FQ3 2015","Currency=INR","Period=FQ","BEST_FPERIOD_OVERRIDE=FQ","FILING_STATUS=OR","EQY_CONSOLIDATED=Y","Sort=A","Dates=H","DateFormat=P","Fill=—","Direction=H","UseDPDF=Y")</f>
        <v>#NAME?</v>
      </c>
      <c r="CV161" s="1" t="e">
        <f ca="1">_xll.BDH($C$153,"ALTMAN_Z_SCORE","FQ3 2015","FQ3 2015","Currency=INR","Period=FQ","BEST_FPERIOD_OVERRIDE=FQ","FILING_STATUS=OR","EQY_CONSOLIDATED=Y","Sort=A","Dates=H","DateFormat=P","Fill=—","Direction=H","UseDPDF=Y")</f>
        <v>#NAME?</v>
      </c>
      <c r="CW161" s="3" t="e">
        <f ca="1">_xll.BDH($C$153,"ACCT_RCV_TURN","FQ3 2015","FQ3 2015","Currency=INR","Period=FQ","BEST_FPERIOD_OVERRIDE=FQ","FILING_STATUS=OR","EQY_CONSOLIDATED=Y","FA_ADJUSTED=GAAP","Sort=A","Dates=H","DateFormat=P","Fill=—","Direction=H","UseDPDF=Y")</f>
        <v>#NAME?</v>
      </c>
      <c r="CX161" s="1" t="e">
        <f ca="1">_xll.BDH($C$153,"ACCT_RCV_DAYS","FQ3 2015","FQ3 2015","Currency=INR","Period=FQ","BEST_FPERIOD_OVERRIDE=FQ","FILING_STATUS=OR","EQY_CONSOLIDATED=Y","FA_ADJUSTED=GAAP","Sort=A","Dates=H","DateFormat=P","Fill=—","Direction=H","UseDPDF=Y")</f>
        <v>#NAME?</v>
      </c>
      <c r="CY161" s="3" t="e">
        <f ca="1">_xll.BDH($C$153,"INVENT_TURN","FQ3 2015","FQ3 2015","Currency=INR","Period=FQ","BEST_FPERIOD_OVERRIDE=FQ","FILING_STATUS=OR","EQY_CONSOLIDATED=Y","FA_ADJUSTED=GAAP","Sort=A","Dates=H","DateFormat=P","Fill=—","Direction=H","UseDPDF=Y")</f>
        <v>#NAME?</v>
      </c>
      <c r="CZ161" s="1" t="e">
        <f ca="1">_xll.BDH($C$153,"INVENT_DAYS","FQ3 2015","FQ3 2015","Currency=INR","Period=FQ","BEST_FPERIOD_OVERRIDE=FQ","FILING_STATUS=OR","EQY_CONSOLIDATED=Y","FA_ADJUSTED=GAAP","Sort=A","Dates=H","DateFormat=P","Fill=—","Direction=H","UseDPDF=Y")</f>
        <v>#NAME?</v>
      </c>
      <c r="DA161" s="3" t="e">
        <f ca="1">_xll.BDH($C$153,"ACCOUNTS_PAYABLE_TURNOVER","FQ3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61" s="1" t="e">
        <f ca="1">_xll.BDH($C$153,"ACCOUNTS_PAYABLE_TURNOVER_DAYS","FQ3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61" s="3" t="e">
        <f ca="1">_xll.BDH($C$153,"CASH_CONVERSION_CYCLE","FQ3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61" s="3" t="e">
        <f ca="1">_xll.BDH($C$153,"INV_TO_CASH_DAYS","FQ3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161" s="4" t="e">
        <f ca="1">_xll.BDH($C$153,"BS_INVENTORIES","FQ3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161" s="2" t="e">
        <f ca="1">_xll.BDH($C$153,"INVTRY_RAW_MATERIALS","FQ3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61" s="2" t="e">
        <f ca="1">_xll.BDH($C$153,"INVTRY_IN_PROGRESS","FQ3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61" s="2" t="e">
        <f ca="1">_xll.BDH($C$153,"INVTRY_FINISHED_GOODS","FQ3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61" s="2" t="e">
        <f ca="1">_xll.BDH($C$153,"BS_OTHER_INV","FQ3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62" spans="1:113" x14ac:dyDescent="0.3">
      <c r="A162" s="6"/>
      <c r="B162" s="6"/>
      <c r="C162" s="6"/>
      <c r="D162" s="6"/>
      <c r="E162" t="s">
        <v>7</v>
      </c>
      <c r="F162" t="e">
        <f ca="1">_xll.BDH($C$153,"RETURN_COM_EQY","FQ4 2015","FQ4 2015","Currency=INR","Period=FQ","BEST_FPERIOD_OVERRIDE=FQ","FILING_STATUS=OR","EQY_CONSOLIDATED=Y","FA_ADJUSTED=GAAP","Sort=A","Dates=H","DateFormat=P","Fill=—","Direction=H","UseDPDF=Y")</f>
        <v>#NAME?</v>
      </c>
      <c r="G162" t="e">
        <f ca="1">_xll.BDH($C$153,"RETURN_ON_ASSET","FQ4 2015","FQ4 2015","Currency=INR","Period=FQ","BEST_FPERIOD_OVERRIDE=FQ","FILING_STATUS=OR","EQY_CONSOLIDATED=Y","FA_ADJUSTED=GAAP","Sort=A","Dates=H","DateFormat=P","Fill=—","Direction=H","UseDPDF=Y")</f>
        <v>#NAME?</v>
      </c>
      <c r="H162" t="e">
        <f ca="1">_xll.BDH($C$153,"RETURN_ON_CAP","FQ4 2015","FQ4 2015","Currency=INR","Period=FQ","BEST_FPERIOD_OVERRIDE=FQ","FILING_STATUS=OR","EQY_CONSOLIDATED=Y","FA_ADJUSTED=GAAP","Sort=A","Dates=H","DateFormat=P","Fill=—","Direction=H","UseDPDF=Y")</f>
        <v>#NAME?</v>
      </c>
      <c r="I162" t="e">
        <f ca="1">_xll.BDH($C$153,"RETURN_ON_INV_CAPITAL","FQ4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62" t="e">
        <f ca="1">_xll.BDH($C$153,"EBITDA_TO_REVENUE","FQ4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162" t="e">
        <f ca="1">_xll.BDH($C$153,"OPER_MARGIN","FQ4 2015","FQ4 2015","Currency=INR","Period=FQ","BEST_FPERIOD_OVERRIDE=FQ","FILING_STATUS=OR","EQY_CONSOLIDATED=Y","FA_ADJUSTED=GAAP","Sort=A","Dates=H","DateFormat=P","Fill=—","Direction=H","UseDPDF=Y")</f>
        <v>#NAME?</v>
      </c>
      <c r="L162" t="e">
        <f ca="1">_xll.BDH($C$153,"INCREMENTAL_OPERATING_MARGIN","FQ4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62" t="e">
        <f ca="1">_xll.BDH($C$153,"PRETAX_INC_TO_NET_SALES","FQ4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62" t="e">
        <f ca="1">_xll.BDH($C$153,"INC_BEF_XO_ITEMS_TO_NET_SALES","FQ4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62" t="e">
        <f ca="1">_xll.BDH($C$153,"PROF_MARGIN","FQ4 2015","FQ4 2015","Currency=INR","Period=FQ","BEST_FPERIOD_OVERRIDE=FQ","FILING_STATUS=OR","EQY_CONSOLIDATED=Y","FA_ADJUSTED=GAAP","Sort=A","Dates=H","DateFormat=P","Fill=—","Direction=H","UseDPDF=Y")</f>
        <v>#NAME?</v>
      </c>
      <c r="P162" t="e">
        <f ca="1">_xll.BDH($C$153,"NET_INCOME_TO_COMMON_MARGIN","FQ4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62" t="e">
        <f ca="1">_xll.BDH($C$153,"EFF_TAX_RATE","FQ4 2015","FQ4 2015","Currency=INR","Period=FQ","BEST_FPERIOD_OVERRIDE=FQ","FILING_STATUS=OR","EQY_CONSOLIDATED=Y","FA_ADJUSTED=GAAP","Sort=A","Dates=H","DateFormat=P","Fill=—","Direction=H","UseDPDF=Y")</f>
        <v>#NAME?</v>
      </c>
      <c r="R162" t="e">
        <f ca="1">_xll.BDH($C$153,"DVD_PAYOUT_RATIO","FQ4 2015","FQ4 2015","Currency=INR","Period=FQ","BEST_FPERIOD_OVERRIDE=FQ","FILING_STATUS=OR","EQY_CONSOLIDATED=Y","FA_ADJUSTED=GAAP","Sort=A","Dates=H","DateFormat=P","Fill=—","Direction=H","UseDPDF=Y")</f>
        <v>#NAME?</v>
      </c>
      <c r="S162" t="e">
        <f ca="1">_xll.BDH($C$153,"SUSTAIN_GROWTH_RT","FQ4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162" s="1" t="e">
        <f ca="1">_xll.BDH($C$153,"SALES_GROWTH","FQ4 2015","FQ4 2015","Currency=INR","Period=FQ","BEST_FPERIOD_OVERRIDE=FQ","FILING_STATUS=OR","EQY_CONSOLIDATED=Y","FA_ADJUSTED=GAAP","Sort=A","Dates=H","DateFormat=P","Fill=—","Direction=H","UseDPDF=Y")</f>
        <v>#NAME?</v>
      </c>
      <c r="U162" s="1" t="e">
        <f ca="1">_xll.BDH($C$153,"EBITDA_GROWTH","FQ4 2015","FQ4 2015","Currency=INR","Period=FQ","BEST_FPERIOD_OVERRIDE=FQ","FILING_STATUS=OR","EQY_CONSOLIDATED=Y","FA_ADJUSTED=GAAP","Sort=A","Dates=H","DateFormat=P","Fill=—","Direction=H","UseDPDF=Y")</f>
        <v>#NAME?</v>
      </c>
      <c r="V162" s="1" t="e">
        <f ca="1">_xll.BDH($C$153,"OPER_INC_GROWTH","FQ4 2015","FQ4 2015","Currency=INR","Period=FQ","BEST_FPERIOD_OVERRIDE=FQ","FILING_STATUS=OR","EQY_CONSOLIDATED=Y","FA_ADJUSTED=GAAP","Sort=A","Dates=H","DateFormat=P","Fill=—","Direction=H","UseDPDF=Y")</f>
        <v>#NAME?</v>
      </c>
      <c r="W162" s="1" t="e">
        <f ca="1">_xll.BDH($C$153,"EARN_FOR_COM_GROWTH","FQ4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62" s="1" t="e">
        <f ca="1">_xll.BDH($C$153,"DILUTED_EPS_AFT_XO_ITEMS_GROWTH","FQ4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62" s="1" t="e">
        <f ca="1">_xll.BDH($C$153,"DIVIDEND_PER_SHARE_1_YEAR_GROWTH","FQ4 2015","FQ4 2015","Currency=INR","Period=FQ","BEST_FPERIOD_OVERRIDE=FQ","FILING_STATUS=OR","EQY_CONSOLIDATED=Y","Sort=A","Dates=H","DateFormat=P","Fill=—","Direction=H","UseDPDF=Y")</f>
        <v>#NAME?</v>
      </c>
      <c r="Z162" s="1" t="e">
        <f ca="1">_xll.BDH($C$153,"ACCOUNTS_RECEIVABLE_GROWTH","FQ4 2015","FQ4 2015","Currency=INR","Period=FQ","BEST_FPERIOD_OVERRIDE=FQ","FILING_STATUS=OR","EQY_CONSOLIDATED=Y","Sort=A","Dates=H","DateFormat=P","Fill=—","Direction=H","UseDPDF=Y")</f>
        <v>#NAME?</v>
      </c>
      <c r="AA162" s="1" t="e">
        <f ca="1">_xll.BDH($C$153,"INVENTORY_GROWTH","FQ4 2015","FQ4 2015","Currency=INR","Period=FQ","BEST_FPERIOD_OVERRIDE=FQ","FILING_STATUS=OR","EQY_CONSOLIDATED=Y","Sort=A","Dates=H","DateFormat=P","Fill=—","Direction=H","UseDPDF=Y")</f>
        <v>#NAME?</v>
      </c>
      <c r="AB162" s="1" t="e">
        <f ca="1">_xll.BDH($C$153,"NET_FIXED_ASSETS_1_YEAR_GROWTH","FQ4 2015","FQ4 2015","Currency=INR","Period=FQ","BEST_FPERIOD_OVERRIDE=FQ","FILING_STATUS=OR","EQY_CONSOLIDATED=Y","Sort=A","Dates=H","DateFormat=P","Fill=—","Direction=H","UseDPDF=Y")</f>
        <v>#NAME?</v>
      </c>
      <c r="AC162" s="1" t="e">
        <f ca="1">_xll.BDH($C$153,"ASSET_GROWTH","FQ4 2015","FQ4 2015","Currency=INR","Period=FQ","BEST_FPERIOD_OVERRIDE=FQ","FILING_STATUS=OR","EQY_CONSOLIDATED=Y","Sort=A","Dates=H","DateFormat=P","Fill=—","Direction=H","UseDPDF=Y")</f>
        <v>#NAME?</v>
      </c>
      <c r="AD162" s="1" t="e">
        <f ca="1">_xll.BDH($C$153,"MODIFIED_WORK_CAP_GROWTH","FQ4 2015","FQ4 2015","Currency=INR","Period=FQ","BEST_FPERIOD_OVERRIDE=FQ","FILING_STATUS=OR","EQY_CONSOLIDATED=Y","Sort=A","Dates=H","DateFormat=P","Fill=—","Direction=H","UseDPDF=Y")</f>
        <v>#NAME?</v>
      </c>
      <c r="AE162" s="1" t="e">
        <f ca="1">_xll.BDH($C$153,"WORK_CAP_GROWTH","FQ4 2015","FQ4 2015","Currency=INR","Period=FQ","BEST_FPERIOD_OVERRIDE=FQ","FILING_STATUS=OR","EQY_CONSOLIDATED=Y","Sort=A","Dates=H","DateFormat=P","Fill=—","Direction=H","UseDPDF=Y")</f>
        <v>#NAME?</v>
      </c>
      <c r="AF162" s="1" t="e">
        <f ca="1">_xll.BDH($C$153,"ACCOUNTS_PAYABLE_GROWTH_1YR","FQ4 2015","FQ4 2015","Currency=INR","Period=FQ","BEST_FPERIOD_OVERRIDE=FQ","FILING_STATUS=OR","EQY_CONSOLIDATED=Y","Sort=A","Dates=H","DateFormat=P","Fill=—","Direction=H","UseDPDF=Y")</f>
        <v>#NAME?</v>
      </c>
      <c r="AG162" s="1" t="e">
        <f ca="1">_xll.BDH($C$153,"SHORT_TERM_DEBT_1_YEAR_GROWTH","FQ4 2015","FQ4 2015","Currency=INR","Period=FQ","BEST_FPERIOD_OVERRIDE=FQ","FILING_STATUS=OR","EQY_CONSOLIDATED=Y","Sort=A","Dates=H","DateFormat=P","Fill=—","Direction=H","UseDPDF=Y")</f>
        <v>#NAME?</v>
      </c>
      <c r="AH162" s="1" t="e">
        <f ca="1">_xll.BDH($C$153,"TOTAL_DEBT_1_YEAR_GROWTH","FQ4 2015","FQ4 2015","Currency=INR","Period=FQ","BEST_FPERIOD_OVERRIDE=FQ","FILING_STATUS=OR","EQY_CONSOLIDATED=Y","Sort=A","Dates=H","DateFormat=P","Fill=—","Direction=H","UseDPDF=Y")</f>
        <v>#NAME?</v>
      </c>
      <c r="AI162" s="1" t="e">
        <f ca="1">_xll.BDH($C$153,"TOTAL_EQUITY_1_YEAR_GROWTH","FQ4 2015","FQ4 2015","Currency=INR","Period=FQ","BEST_FPERIOD_OVERRIDE=FQ","FILING_STATUS=OR","EQY_CONSOLIDATED=Y","Sort=A","Dates=H","DateFormat=P","Fill=—","Direction=H","UseDPDF=Y")</f>
        <v>#NAME?</v>
      </c>
      <c r="AJ162" s="1" t="e">
        <f ca="1">_xll.BDH($C$153,"GROWTH_IN_CAP","FQ4 2015","FQ4 2015","Currency=INR","Period=FQ","BEST_FPERIOD_OVERRIDE=FQ","FILING_STATUS=OR","EQY_CONSOLIDATED=Y","Sort=A","Dates=H","DateFormat=P","Fill=—","Direction=H","UseDPDF=Y")</f>
        <v>#NAME?</v>
      </c>
      <c r="AK162" s="1" t="e">
        <f ca="1">_xll.BDH($C$153,"BVPS_GROWTH","FQ4 2015","FQ4 2015","Currency=INR","Period=FQ","BEST_FPERIOD_OVERRIDE=FQ","FILING_STATUS=OR","EQY_CONSOLIDATED=Y","Sort=A","Dates=H","DateFormat=P","Fill=—","Direction=H","UseDPDF=Y")</f>
        <v>#NAME?</v>
      </c>
      <c r="AL162" s="1" t="e">
        <f ca="1">_xll.BDH($C$153,"CASH_FLOW_GROWTH","FQ4 2015","FQ4 2015","Currency=INR","Period=FQ","BEST_FPERIOD_OVERRIDE=FQ","FILING_STATUS=OR","EQY_CONSOLIDATED=Y","Sort=A","Dates=H","DateFormat=P","Fill=—","Direction=H","UseDPDF=Y")</f>
        <v>#NAME?</v>
      </c>
      <c r="AM162" s="1" t="e">
        <f ca="1">_xll.BDH($C$153,"GEO_GROW_NET_SALES","FQ4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62" s="1" t="e">
        <f ca="1">_xll.BDH($C$153,"GEO_GROW_EBITDA","FQ4 2015","FQ4 2015","Currency=INR","Period=FQ","BEST_FPERIOD_OVERRIDE=FQ","FILING_STATUS=OR","EQY_CONSOLIDATED=Y","FA_ADJUSTED=GAAP","Sort=A","Dates=H","DateFormat=P","Fill=—","Direction=H","UseDPDF=Y")</f>
        <v>#NAME?</v>
      </c>
      <c r="AO162" s="1" t="e">
        <f ca="1">_xll.BDH($C$153,"GEO_GROW_OPER_INC","FQ4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62" s="1" t="e">
        <f ca="1">_xll.BDH($C$153,"NET_INCOME_TO_COMMON_5_YR_GROWTH","FQ4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62" s="1" t="e">
        <f ca="1">_xll.BDH($C$153,"5Y_GEO_GROWTH_DILUTED_EPS","FQ4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62" s="1" t="e">
        <f ca="1">_xll.BDH($C$153,"GEO_GROW_DVD_PER_SH","FQ4 2015","FQ4 2015","Currency=INR","Period=FQ","BEST_FPERIOD_OVERRIDE=FQ","FILING_STATUS=OR","EQY_CONSOLIDATED=Y","Sort=A","Dates=H","DateFormat=P","Fill=—","Direction=H","UseDPDF=Y")</f>
        <v>#NAME?</v>
      </c>
      <c r="AS162" s="1" t="e">
        <f ca="1">_xll.BDH($C$153,"ACCOUNTS_RECEIVABLE_5_YR_GROWTH","FQ4 2015","FQ4 2015","Currency=INR","Period=FQ","BEST_FPERIOD_OVERRIDE=FQ","FILING_STATUS=OR","EQY_CONSOLIDATED=Y","Sort=A","Dates=H","DateFormat=P","Fill=—","Direction=H","UseDPDF=Y")</f>
        <v>#NAME?</v>
      </c>
      <c r="AT162" s="1" t="e">
        <f ca="1">_xll.BDH($C$153,"INVENTORY_5_YEAR_GROWTH","FQ4 2015","FQ4 2015","Currency=INR","Period=FQ","BEST_FPERIOD_OVERRIDE=FQ","FILING_STATUS=OR","EQY_CONSOLIDATED=Y","Sort=A","Dates=H","DateFormat=P","Fill=—","Direction=H","UseDPDF=Y")</f>
        <v>#NAME?</v>
      </c>
      <c r="AU162" s="1" t="e">
        <f ca="1">_xll.BDH($C$153,"NET_FIXED_ASSETS_5_YEAR_GROWTH","FQ4 2015","FQ4 2015","Currency=INR","Period=FQ","BEST_FPERIOD_OVERRIDE=FQ","FILING_STATUS=OR","EQY_CONSOLIDATED=Y","Sort=A","Dates=H","DateFormat=P","Fill=—","Direction=H","UseDPDF=Y")</f>
        <v>#NAME?</v>
      </c>
      <c r="AV162" s="1" t="e">
        <f ca="1">_xll.BDH($C$153,"GEO_GROW_TOT_ASSET","FQ4 2015","FQ4 2015","Currency=INR","Period=FQ","BEST_FPERIOD_OVERRIDE=FQ","FILING_STATUS=OR","EQY_CONSOLIDATED=Y","Sort=A","Dates=H","DateFormat=P","Fill=—","Direction=H","UseDPDF=Y")</f>
        <v>#NAME?</v>
      </c>
      <c r="AW162" s="1" t="e">
        <f ca="1">_xll.BDH($C$153,"MODIFIED_WORKING_CPTL_5YR_GRWTH","FQ4 2015","FQ4 2015","Currency=INR","Period=FQ","BEST_FPERIOD_OVERRIDE=FQ","FILING_STATUS=OR","EQY_CONSOLIDATED=Y","Sort=A","Dates=H","DateFormat=P","Fill=—","Direction=H","UseDPDF=Y")</f>
        <v>#NAME?</v>
      </c>
      <c r="AX162" s="1" t="e">
        <f ca="1">_xll.BDH($C$153,"WORKING_CAPITAL_5_YEAR_GROWTH","FQ4 2015","FQ4 2015","Currency=INR","Period=FQ","BEST_FPERIOD_OVERRIDE=FQ","FILING_STATUS=OR","EQY_CONSOLIDATED=Y","Sort=A","Dates=H","DateFormat=P","Fill=—","Direction=H","UseDPDF=Y")</f>
        <v>#NAME?</v>
      </c>
      <c r="AY162" s="1" t="e">
        <f ca="1">_xll.BDH($C$153,"ACCOUNTS_PAYABLE_5_YEAR_GROWTH","FQ4 2015","FQ4 2015","Currency=INR","Period=FQ","BEST_FPERIOD_OVERRIDE=FQ","FILING_STATUS=OR","EQY_CONSOLIDATED=Y","Sort=A","Dates=H","DateFormat=P","Fill=—","Direction=H","UseDPDF=Y")</f>
        <v>#NAME?</v>
      </c>
      <c r="AZ162" s="1" t="e">
        <f ca="1">_xll.BDH($C$153,"SHORT_TERM_DEBT_5_YEAR_GROWTH","FQ4 2015","FQ4 2015","Currency=INR","Period=FQ","BEST_FPERIOD_OVERRIDE=FQ","FILING_STATUS=OR","EQY_CONSOLIDATED=Y","Sort=A","Dates=H","DateFormat=P","Fill=—","Direction=H","UseDPDF=Y")</f>
        <v>#NAME?</v>
      </c>
      <c r="BA162" s="1" t="e">
        <f ca="1">_xll.BDH($C$153,"TOTAL_DEBT_5_YEAR_GROWTH","FQ4 2015","FQ4 2015","Currency=INR","Period=FQ","BEST_FPERIOD_OVERRIDE=FQ","FILING_STATUS=OR","EQY_CONSOLIDATED=Y","Sort=A","Dates=H","DateFormat=P","Fill=—","Direction=H","UseDPDF=Y")</f>
        <v>#NAME?</v>
      </c>
      <c r="BB162" s="1" t="e">
        <f ca="1">_xll.BDH($C$153,"GEO_GROW_TOT_SHRHLDR_EQY","FQ4 2015","FQ4 2015","Currency=INR","Period=FQ","BEST_FPERIOD_OVERRIDE=FQ","FILING_STATUS=OR","EQY_CONSOLIDATED=Y","Sort=A","Dates=H","DateFormat=P","Fill=—","Direction=H","UseDPDF=Y")</f>
        <v>#NAME?</v>
      </c>
      <c r="BC162" s="1" t="e">
        <f ca="1">_xll.BDH($C$153,"TOTAL_CAPITAL_5_YEAR_GROWTH","FQ4 2015","FQ4 2015","Currency=INR","Period=FQ","BEST_FPERIOD_OVERRIDE=FQ","FILING_STATUS=OR","EQY_CONSOLIDATED=Y","Sort=A","Dates=H","DateFormat=P","Fill=—","Direction=H","UseDPDF=Y")</f>
        <v>#NAME?</v>
      </c>
      <c r="BD162" s="1" t="e">
        <f ca="1">_xll.BDH($C$153,"GEO_GROW_BOOK_VAL","FQ4 2015","FQ4 2015","Currency=INR","Period=FQ","BEST_FPERIOD_OVERRIDE=FQ","FILING_STATUS=OR","EQY_CONSOLIDATED=Y","Sort=A","Dates=H","DateFormat=P","Fill=—","Direction=H","UseDPDF=Y")</f>
        <v>#NAME?</v>
      </c>
      <c r="BE162" s="1" t="e">
        <f ca="1">_xll.BDH($C$153,"GEO_GROW_CASH_OPER_ACT","FQ4 2015","FQ4 2015","Currency=INR","Period=FQ","BEST_FPERIOD_OVERRIDE=FQ","FILING_STATUS=OR","EQY_CONSOLIDATED=Y","Sort=A","Dates=H","DateFormat=P","Fill=—","Direction=H","UseDPDF=Y")</f>
        <v>#NAME?</v>
      </c>
      <c r="BF162" s="1" t="e">
        <f ca="1">_xll.BDH($C$153,"REVENUE_SEQUENTIAL_GROWTH","FQ4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62" s="1" t="e">
        <f ca="1">_xll.BDH($C$153,"EBITDA_SEQUENTIAL_GROWTH","FQ4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62" s="1" t="e">
        <f ca="1">_xll.BDH($C$153,"OPERATING_INCOME_SEQ_GROWTH","FQ4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62" s="1" t="e">
        <f ca="1">_xll.BDH($C$153,"NET_INCOME_TO_COMMON_SEQ_GROWTH","FQ4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62" s="1" t="e">
        <f ca="1">_xll.BDH($C$153,"EPS_DILUTED_SEQUENTIAL_GROWTH","FQ4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62" s="1" t="e">
        <f ca="1">_xll.BDH($C$153,"DPS_SEQUENTIAL_GROWTH","FQ4 2015","FQ4 2015","Currency=INR","Period=FQ","BEST_FPERIOD_OVERRIDE=FQ","FILING_STATUS=OR","EQY_CONSOLIDATED=Y","Sort=A","Dates=H","DateFormat=P","Fill=—","Direction=H","UseDPDF=Y")</f>
        <v>#NAME?</v>
      </c>
      <c r="BL162" s="1" t="e">
        <f ca="1">_xll.BDH($C$153,"ACCOUNTS_RECEIVABLE_SEQ_GROWTH","FQ4 2015","FQ4 2015","Currency=INR","Period=FQ","BEST_FPERIOD_OVERRIDE=FQ","FILING_STATUS=OR","EQY_CONSOLIDATED=Y","Sort=A","Dates=H","DateFormat=P","Fill=—","Direction=H","UseDPDF=Y")</f>
        <v>#NAME?</v>
      </c>
      <c r="BM162" s="1" t="e">
        <f ca="1">_xll.BDH($C$153,"INVENTORY_SEQUENTIAL_GROWTH","FQ4 2015","FQ4 2015","Currency=INR","Period=FQ","BEST_FPERIOD_OVERRIDE=FQ","FILING_STATUS=OR","EQY_CONSOLIDATED=Y","Sort=A","Dates=H","DateFormat=P","Fill=—","Direction=H","UseDPDF=Y")</f>
        <v>#NAME?</v>
      </c>
      <c r="BN162" s="1" t="e">
        <f ca="1">_xll.BDH($C$153,"FIXED_ASSETS_SEQUENTIAL_GROWTH","FQ4 2015","FQ4 2015","Currency=INR","Period=FQ","BEST_FPERIOD_OVERRIDE=FQ","FILING_STATUS=OR","EQY_CONSOLIDATED=Y","Sort=A","Dates=H","DateFormat=P","Fill=—","Direction=H","UseDPDF=Y")</f>
        <v>#NAME?</v>
      </c>
      <c r="BO162" s="1" t="e">
        <f ca="1">_xll.BDH($C$153,"TOTAL_ASSETS_SEQUENTIAL_GROWTH","FQ4 2015","FQ4 2015","Currency=INR","Period=FQ","BEST_FPERIOD_OVERRIDE=FQ","FILING_STATUS=OR","EQY_CONSOLIDATED=Y","Sort=A","Dates=H","DateFormat=P","Fill=—","Direction=H","UseDPDF=Y")</f>
        <v>#NAME?</v>
      </c>
      <c r="BP162" s="1" t="e">
        <f ca="1">_xll.BDH($C$153,"MODIFIED_WORKING_CPTL_SEQ_GRWTH","FQ4 2015","FQ4 2015","Currency=INR","Period=FQ","BEST_FPERIOD_OVERRIDE=FQ","FILING_STATUS=OR","EQY_CONSOLIDATED=Y","Sort=A","Dates=H","DateFormat=P","Fill=—","Direction=H","UseDPDF=Y")</f>
        <v>#NAME?</v>
      </c>
      <c r="BQ162" s="1" t="e">
        <f ca="1">_xll.BDH($C$153,"WORKING_CAPITAL_SEQ_GROWTH","FQ4 2015","FQ4 2015","Currency=INR","Period=FQ","BEST_FPERIOD_OVERRIDE=FQ","FILING_STATUS=OR","EQY_CONSOLIDATED=Y","Sort=A","Dates=H","DateFormat=P","Fill=—","Direction=H","UseDPDF=Y")</f>
        <v>#NAME?</v>
      </c>
      <c r="BR162" s="1" t="e">
        <f ca="1">_xll.BDH($C$153,"ACCOUNTS_PAYABLE_SEQ_GROWTH","FQ4 2015","FQ4 2015","Currency=INR","Period=FQ","BEST_FPERIOD_OVERRIDE=FQ","FILING_STATUS=OR","EQY_CONSOLIDATED=Y","Sort=A","Dates=H","DateFormat=P","Fill=—","Direction=H","UseDPDF=Y")</f>
        <v>#NAME?</v>
      </c>
      <c r="BS162" s="1" t="e">
        <f ca="1">_xll.BDH($C$153,"ST_DEBT_SEQUENTIAL_GROWTH","FQ4 2015","FQ4 2015","Currency=INR","Period=FQ","BEST_FPERIOD_OVERRIDE=FQ","FILING_STATUS=OR","EQY_CONSOLIDATED=Y","Sort=A","Dates=H","DateFormat=P","Fill=—","Direction=H","UseDPDF=Y")</f>
        <v>#NAME?</v>
      </c>
      <c r="BT162" s="1" t="e">
        <f ca="1">_xll.BDH($C$153,"TOTAL_DEBT_SEQUENTIAL_GROWTH","FQ4 2015","FQ4 2015","Currency=INR","Period=FQ","BEST_FPERIOD_OVERRIDE=FQ","FILING_STATUS=OR","EQY_CONSOLIDATED=Y","Sort=A","Dates=H","DateFormat=P","Fill=—","Direction=H","UseDPDF=Y")</f>
        <v>#NAME?</v>
      </c>
      <c r="BU162" s="1" t="e">
        <f ca="1">_xll.BDH($C$153,"TOTAL_EQUITY_SEQUENTIAL_GROWTH","FQ4 2015","FQ4 2015","Currency=INR","Period=FQ","BEST_FPERIOD_OVERRIDE=FQ","FILING_STATUS=OR","EQY_CONSOLIDATED=Y","Sort=A","Dates=H","DateFormat=P","Fill=—","Direction=H","UseDPDF=Y")</f>
        <v>#NAME?</v>
      </c>
      <c r="BV162" s="1" t="e">
        <f ca="1">_xll.BDH($C$153,"TOTAL_CAPITAL_SEQUENTIAL_GROWTH","FQ4 2015","FQ4 2015","Currency=INR","Period=FQ","BEST_FPERIOD_OVERRIDE=FQ","FILING_STATUS=OR","EQY_CONSOLIDATED=Y","Sort=A","Dates=H","DateFormat=P","Fill=—","Direction=H","UseDPDF=Y")</f>
        <v>#NAME?</v>
      </c>
      <c r="BW162" s="1" t="e">
        <f ca="1">_xll.BDH($C$153,"BPS_SEQUENTIAL_GROWTH","FQ4 2015","FQ4 2015","Currency=INR","Period=FQ","BEST_FPERIOD_OVERRIDE=FQ","FILING_STATUS=OR","EQY_CONSOLIDATED=Y","Sort=A","Dates=H","DateFormat=P","Fill=—","Direction=H","UseDPDF=Y")</f>
        <v>#NAME?</v>
      </c>
      <c r="BX162" s="1" t="e">
        <f ca="1">_xll.BDH($C$153,"CFO_SEQUENTIAL_GROWTH","FQ4 2015","FQ4 2015","Currency=INR","Period=FQ","BEST_FPERIOD_OVERRIDE=FQ","FILING_STATUS=OR","EQY_CONSOLIDATED=Y","Sort=A","Dates=H","DateFormat=P","Fill=—","Direction=H","UseDPDF=Y")</f>
        <v>#NAME?</v>
      </c>
      <c r="BY162" s="2" t="e">
        <f ca="1">_xll.BDH($C$153,"SHORT_AND_LONG_TERM_DEBT","FQ4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62" s="2" t="e">
        <f ca="1">_xll.BDH($C$153,"BS_ST_BORROW","FQ4 2015","FQ4 2015","Currency=INR","Period=FQ","BEST_FPERIOD_OVERRIDE=FQ","FILING_STATUS=OR","EQY_CONSOLIDATED=Y","SCALING_FORMAT=MLN","Sort=A","Dates=H","DateFormat=P","Fill=—","Direction=H","UseDPDF=Y")</f>
        <v>#NAME?</v>
      </c>
      <c r="CA162" s="2" t="e">
        <f ca="1">_xll.BDH($C$153,"BS_LT_BORROW","FQ4 2015","FQ4 2015","Currency=INR","Period=FQ","BEST_FPERIOD_OVERRIDE=FQ","FILING_STATUS=OR","EQY_CONSOLIDATED=Y","SCALING_FORMAT=MLN","Sort=A","Dates=H","DateFormat=P","Fill=—","Direction=H","UseDPDF=Y")</f>
        <v>#NAME?</v>
      </c>
      <c r="CB162" s="1" t="e">
        <f ca="1">_xll.BDH($C$153,"TOT_DEBT_TO_EBITDA","FQ4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62" s="1" t="e">
        <f ca="1">_xll.BDH($C$153,"NET_DEBT_TO_EBITDA","FQ4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62" s="1" t="e">
        <f ca="1">_xll.BDH($C$153,"TOTAL_DEBT_TO_EBIT","FQ4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62" s="1" t="e">
        <f ca="1">_xll.BDH($C$153,"NET_DEBT_TO_EBIT","FQ4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162" s="1" t="e">
        <f ca="1">_xll.BDH($C$153,"EBITDA_TO_INTEREST_EXPN","FQ4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62" s="1" t="e">
        <f ca="1">_xll.BDH($C$153,"COM_EQY_TO_TOT_ASSET","FQ4 2015","FQ4 2015","Currency=INR","Period=FQ","BEST_FPERIOD_OVERRIDE=FQ","FILING_STATUS=OR","EQY_CONSOLIDATED=Y","Sort=A","Dates=H","DateFormat=P","Fill=—","Direction=H","UseDPDF=Y")</f>
        <v>#NAME?</v>
      </c>
      <c r="CH162" s="1" t="e">
        <f ca="1">_xll.BDH($C$153,"LT_DEBT_TO_TOT_EQY","FQ4 2015","FQ4 2015","Currency=INR","Period=FQ","BEST_FPERIOD_OVERRIDE=FQ","FILING_STATUS=OR","EQY_CONSOLIDATED=Y","Sort=A","Dates=H","DateFormat=P","Fill=—","Direction=H","UseDPDF=Y")</f>
        <v>#NAME?</v>
      </c>
      <c r="CI162" s="1" t="e">
        <f ca="1">_xll.BDH($C$153,"LT_DEBT_TO_TOT_CAP","FQ4 2015","FQ4 2015","Currency=INR","Period=FQ","BEST_FPERIOD_OVERRIDE=FQ","FILING_STATUS=OR","EQY_CONSOLIDATED=Y","Sort=A","Dates=H","DateFormat=P","Fill=—","Direction=H","UseDPDF=Y")</f>
        <v>#NAME?</v>
      </c>
      <c r="CJ162" s="1" t="e">
        <f ca="1">_xll.BDH($C$153,"LT_DEBT_TO_TOT_ASSET","FQ4 2015","FQ4 2015","Currency=INR","Period=FQ","BEST_FPERIOD_OVERRIDE=FQ","FILING_STATUS=OR","EQY_CONSOLIDATED=Y","Sort=A","Dates=H","DateFormat=P","Fill=—","Direction=H","UseDPDF=Y")</f>
        <v>#NAME?</v>
      </c>
      <c r="CK162" s="1" t="e">
        <f ca="1">_xll.BDH($C$153,"TOT_DEBT_TO_TOT_EQY","FQ4 2015","FQ4 2015","Currency=INR","Period=FQ","BEST_FPERIOD_OVERRIDE=FQ","FILING_STATUS=OR","EQY_CONSOLIDATED=Y","Sort=A","Dates=H","DateFormat=P","Fill=—","Direction=H","UseDPDF=Y")</f>
        <v>#NAME?</v>
      </c>
      <c r="CL162" s="1" t="e">
        <f ca="1">_xll.BDH($C$153,"TOT_DEBT_TO_TOT_CAP","FQ4 2015","FQ4 2015","Currency=INR","Period=FQ","BEST_FPERIOD_OVERRIDE=FQ","FILING_STATUS=OR","EQY_CONSOLIDATED=Y","Sort=A","Dates=H","DateFormat=P","Fill=—","Direction=H","UseDPDF=Y")</f>
        <v>#NAME?</v>
      </c>
      <c r="CM162" s="1" t="e">
        <f ca="1">_xll.BDH($C$153,"TOT_DEBT_TO_TOT_ASSET","FQ4 2015","FQ4 2015","Currency=INR","Period=FQ","BEST_FPERIOD_OVERRIDE=FQ","FILING_STATUS=OR","EQY_CONSOLIDATED=Y","Sort=A","Dates=H","DateFormat=P","Fill=—","Direction=H","UseDPDF=Y")</f>
        <v>#NAME?</v>
      </c>
      <c r="CN162" s="1" t="e">
        <f ca="1">_xll.BDH($C$153,"NET_DEBT_TO_SHRHLDR_EQTY","FQ4 2015","FQ4 2015","Currency=INR","Period=FQ","BEST_FPERIOD_OVERRIDE=FQ","FILING_STATUS=OR","EQY_CONSOLIDATED=Y","Sort=A","Dates=H","DateFormat=P","Fill=—","Direction=H","UseDPDF=Y")</f>
        <v>#NAME?</v>
      </c>
      <c r="CO162" s="1" t="e">
        <f ca="1">_xll.BDH($C$153,"NET_DEBT_%_CAPITAL","FQ4 2015","FQ4 2015","Currency=INR","Period=FQ","BEST_FPERIOD_OVERRIDE=FQ","FILING_STATUS=OR","EQY_CONSOLIDATED=Y","Sort=A","Dates=H","DateFormat=P","Fill=—","Direction=H","UseDPDF=Y")</f>
        <v>#NAME?</v>
      </c>
      <c r="CP162" s="2" t="e">
        <f ca="1">_xll.BDH($C$153,"EBITDA","FQ4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62" s="2" t="e">
        <f ca="1">_xll.BDH($C$153,"EBITDA_AFTER_CAPEX","FQ4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62" s="2" t="e">
        <f ca="1">_xll.BDH($C$153,"IS_OPER_INC","FQ4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62" s="1" t="e">
        <f ca="1">_xll.BDH($C$153,"CASH_RATIO","FQ4 2015","FQ4 2015","Currency=INR","Period=FQ","BEST_FPERIOD_OVERRIDE=FQ","FILING_STATUS=OR","EQY_CONSOLIDATED=Y","Sort=A","Dates=H","DateFormat=P","Fill=—","Direction=H","UseDPDF=Y")</f>
        <v>#NAME?</v>
      </c>
      <c r="CT162" s="1" t="e">
        <f ca="1">_xll.BDH($C$153,"CUR_RATIO","FQ4 2015","FQ4 2015","Currency=INR","Period=FQ","BEST_FPERIOD_OVERRIDE=FQ","FILING_STATUS=OR","EQY_CONSOLIDATED=Y","Sort=A","Dates=H","DateFormat=P","Fill=—","Direction=H","UseDPDF=Y")</f>
        <v>#NAME?</v>
      </c>
      <c r="CU162" s="1" t="e">
        <f ca="1">_xll.BDH($C$153,"QUICK_RATIO","FQ4 2015","FQ4 2015","Currency=INR","Period=FQ","BEST_FPERIOD_OVERRIDE=FQ","FILING_STATUS=OR","EQY_CONSOLIDATED=Y","Sort=A","Dates=H","DateFormat=P","Fill=—","Direction=H","UseDPDF=Y")</f>
        <v>#NAME?</v>
      </c>
      <c r="CV162" s="1" t="e">
        <f ca="1">_xll.BDH($C$153,"ALTMAN_Z_SCORE","FQ4 2015","FQ4 2015","Currency=INR","Period=FQ","BEST_FPERIOD_OVERRIDE=FQ","FILING_STATUS=OR","EQY_CONSOLIDATED=Y","Sort=A","Dates=H","DateFormat=P","Fill=—","Direction=H","UseDPDF=Y")</f>
        <v>#NAME?</v>
      </c>
      <c r="CW162" s="3" t="e">
        <f ca="1">_xll.BDH($C$153,"ACCT_RCV_TURN","FQ4 2015","FQ4 2015","Currency=INR","Period=FQ","BEST_FPERIOD_OVERRIDE=FQ","FILING_STATUS=OR","EQY_CONSOLIDATED=Y","FA_ADJUSTED=GAAP","Sort=A","Dates=H","DateFormat=P","Fill=—","Direction=H","UseDPDF=Y")</f>
        <v>#NAME?</v>
      </c>
      <c r="CX162" s="1" t="e">
        <f ca="1">_xll.BDH($C$153,"ACCT_RCV_DAYS","FQ4 2015","FQ4 2015","Currency=INR","Period=FQ","BEST_FPERIOD_OVERRIDE=FQ","FILING_STATUS=OR","EQY_CONSOLIDATED=Y","FA_ADJUSTED=GAAP","Sort=A","Dates=H","DateFormat=P","Fill=—","Direction=H","UseDPDF=Y")</f>
        <v>#NAME?</v>
      </c>
      <c r="CY162" s="3" t="e">
        <f ca="1">_xll.BDH($C$153,"INVENT_TURN","FQ4 2015","FQ4 2015","Currency=INR","Period=FQ","BEST_FPERIOD_OVERRIDE=FQ","FILING_STATUS=OR","EQY_CONSOLIDATED=Y","FA_ADJUSTED=GAAP","Sort=A","Dates=H","DateFormat=P","Fill=—","Direction=H","UseDPDF=Y")</f>
        <v>#NAME?</v>
      </c>
      <c r="CZ162" s="1" t="e">
        <f ca="1">_xll.BDH($C$153,"INVENT_DAYS","FQ4 2015","FQ4 2015","Currency=INR","Period=FQ","BEST_FPERIOD_OVERRIDE=FQ","FILING_STATUS=OR","EQY_CONSOLIDATED=Y","FA_ADJUSTED=GAAP","Sort=A","Dates=H","DateFormat=P","Fill=—","Direction=H","UseDPDF=Y")</f>
        <v>#NAME?</v>
      </c>
      <c r="DA162" s="3" t="e">
        <f ca="1">_xll.BDH($C$153,"ACCOUNTS_PAYABLE_TURNOVER","FQ4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62" s="1" t="e">
        <f ca="1">_xll.BDH($C$153,"ACCOUNTS_PAYABLE_TURNOVER_DAYS","FQ4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62" s="3" t="e">
        <f ca="1">_xll.BDH($C$153,"CASH_CONVERSION_CYCLE","FQ4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62" s="3" t="e">
        <f ca="1">_xll.BDH($C$153,"INV_TO_CASH_DAYS","FQ4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162" s="4" t="e">
        <f ca="1">_xll.BDH($C$153,"BS_INVENTORIES","FQ4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162" s="2" t="e">
        <f ca="1">_xll.BDH($C$153,"INVTRY_RAW_MATERIALS","FQ4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62" s="2" t="e">
        <f ca="1">_xll.BDH($C$153,"INVTRY_IN_PROGRESS","FQ4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62" s="2" t="e">
        <f ca="1">_xll.BDH($C$153,"INVTRY_FINISHED_GOODS","FQ4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62" s="2" t="e">
        <f ca="1">_xll.BDH($C$153,"BS_OTHER_INV","FQ4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63" spans="1:113" x14ac:dyDescent="0.3">
      <c r="A163" s="6"/>
      <c r="B163" s="6"/>
      <c r="C163" s="6"/>
      <c r="D163" s="6" t="s">
        <v>9</v>
      </c>
      <c r="E163" t="s">
        <v>3</v>
      </c>
      <c r="F163" t="e">
        <f ca="1">_xll.BDH($C$153,"RETURN_COM_EQY","FY 2016","FY 2016","Currency=INR","Period=FY","BEST_FPERIOD_OVERRIDE=FY","FILING_STATUS=OR","EQY_CONSOLIDATED=Y","FA_ADJUSTED=GAAP","Sort=A","Dates=H","DateFormat=P","Fill=—","Direction=H","UseDPDF=Y")</f>
        <v>#NAME?</v>
      </c>
      <c r="G163" t="e">
        <f ca="1">_xll.BDH($C$153,"RETURN_ON_ASSET","FY 2016","FY 2016","Currency=INR","Period=FY","BEST_FPERIOD_OVERRIDE=FY","FILING_STATUS=OR","EQY_CONSOLIDATED=Y","FA_ADJUSTED=GAAP","Sort=A","Dates=H","DateFormat=P","Fill=—","Direction=H","UseDPDF=Y")</f>
        <v>#NAME?</v>
      </c>
      <c r="H163" t="e">
        <f ca="1">_xll.BDH($C$153,"RETURN_ON_CAP","FY 2016","FY 2016","Currency=INR","Period=FY","BEST_FPERIOD_OVERRIDE=FY","FILING_STATUS=OR","EQY_CONSOLIDATED=Y","FA_ADJUSTED=GAAP","Sort=A","Dates=H","DateFormat=P","Fill=—","Direction=H","UseDPDF=Y")</f>
        <v>#NAME?</v>
      </c>
      <c r="I163" t="e">
        <f ca="1">_xll.BDH($C$153,"RETURN_ON_INV_CAPITAL","FY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63" t="e">
        <f ca="1">_xll.BDH($C$153,"EBITDA_TO_REVENUE","FY 2016","FY 2016","Currency=INR","Period=FY","BEST_FPERIOD_OVERRIDE=FY","FILING_STATUS=OR","EQY_CONSOLIDATED=Y","FA_ADJUSTED=GAAP","Sort=A","Dates=H","DateFormat=P","Fill=—","Direction=H","UseDPDF=Y")</f>
        <v>#NAME?</v>
      </c>
      <c r="K163" t="e">
        <f ca="1">_xll.BDH($C$153,"OPER_MARGIN","FY 2016","FY 2016","Currency=INR","Period=FY","BEST_FPERIOD_OVERRIDE=FY","FILING_STATUS=OR","EQY_CONSOLIDATED=Y","FA_ADJUSTED=GAAP","Sort=A","Dates=H","DateFormat=P","Fill=—","Direction=H","UseDPDF=Y")</f>
        <v>#NAME?</v>
      </c>
      <c r="L163" t="e">
        <f ca="1">_xll.BDH($C$153,"INCREMENTAL_OPERATING_MARGIN","FY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63" t="e">
        <f ca="1">_xll.BDH($C$153,"PRETAX_INC_TO_NET_SALES","FY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63" t="e">
        <f ca="1">_xll.BDH($C$153,"INC_BEF_XO_ITEMS_TO_NET_SALES","FY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63" t="e">
        <f ca="1">_xll.BDH($C$153,"PROF_MARGIN","FY 2016","FY 2016","Currency=INR","Period=FY","BEST_FPERIOD_OVERRIDE=FY","FILING_STATUS=OR","EQY_CONSOLIDATED=Y","FA_ADJUSTED=GAAP","Sort=A","Dates=H","DateFormat=P","Fill=—","Direction=H","UseDPDF=Y")</f>
        <v>#NAME?</v>
      </c>
      <c r="P163" t="e">
        <f ca="1">_xll.BDH($C$153,"NET_INCOME_TO_COMMON_MARGIN","FY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63" t="e">
        <f ca="1">_xll.BDH($C$153,"EFF_TAX_RATE","FY 2016","FY 2016","Currency=INR","Period=FY","BEST_FPERIOD_OVERRIDE=FY","FILING_STATUS=OR","EQY_CONSOLIDATED=Y","FA_ADJUSTED=GAAP","Sort=A","Dates=H","DateFormat=P","Fill=—","Direction=H","UseDPDF=Y")</f>
        <v>#NAME?</v>
      </c>
      <c r="R163" t="e">
        <f ca="1">_xll.BDH($C$153,"DVD_PAYOUT_RATIO","FY 2016","FY 2016","Currency=INR","Period=FY","BEST_FPERIOD_OVERRIDE=FY","FILING_STATUS=OR","EQY_CONSOLIDATED=Y","FA_ADJUSTED=GAAP","Sort=A","Dates=H","DateFormat=P","Fill=—","Direction=H","UseDPDF=Y")</f>
        <v>#NAME?</v>
      </c>
      <c r="S163" t="e">
        <f ca="1">_xll.BDH($C$153,"SUSTAIN_GROWTH_RT","FY 2016","FY 2016","Currency=INR","Period=FY","BEST_FPERIOD_OVERRIDE=FY","FILING_STATUS=OR","EQY_CONSOLIDATED=Y","FA_ADJUSTED=GAAP","Sort=A","Dates=H","DateFormat=P","Fill=—","Direction=H","UseDPDF=Y")</f>
        <v>#NAME?</v>
      </c>
      <c r="T163" s="1" t="e">
        <f ca="1">_xll.BDH($C$153,"SALES_GROWTH","FY 2016","FY 2016","Currency=INR","Period=FY","BEST_FPERIOD_OVERRIDE=FY","FILING_STATUS=OR","EQY_CONSOLIDATED=Y","FA_ADJUSTED=GAAP","Sort=A","Dates=H","DateFormat=P","Fill=—","Direction=H","UseDPDF=Y")</f>
        <v>#NAME?</v>
      </c>
      <c r="U163" s="1" t="e">
        <f ca="1">_xll.BDH($C$153,"EBITDA_GROWTH","FY 2016","FY 2016","Currency=INR","Period=FY","BEST_FPERIOD_OVERRIDE=FY","FILING_STATUS=OR","EQY_CONSOLIDATED=Y","FA_ADJUSTED=GAAP","Sort=A","Dates=H","DateFormat=P","Fill=—","Direction=H","UseDPDF=Y")</f>
        <v>#NAME?</v>
      </c>
      <c r="V163" s="1" t="e">
        <f ca="1">_xll.BDH($C$153,"OPER_INC_GROWTH","FY 2016","FY 2016","Currency=INR","Period=FY","BEST_FPERIOD_OVERRIDE=FY","FILING_STATUS=OR","EQY_CONSOLIDATED=Y","FA_ADJUSTED=GAAP","Sort=A","Dates=H","DateFormat=P","Fill=—","Direction=H","UseDPDF=Y")</f>
        <v>#NAME?</v>
      </c>
      <c r="W163" s="1" t="e">
        <f ca="1">_xll.BDH($C$153,"EARN_FOR_COM_GROWTH","FY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163" s="1" t="e">
        <f ca="1">_xll.BDH($C$153,"DILUTED_EPS_AFT_XO_ITEMS_GROWTH","FY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63" s="1" t="e">
        <f ca="1">_xll.BDH($C$153,"DIVIDEND_PER_SHARE_1_YEAR_GROWTH","FY 2016","FY 2016","Currency=INR","Period=FY","BEST_FPERIOD_OVERRIDE=FY","FILING_STATUS=OR","EQY_CONSOLIDATED=Y","Sort=A","Dates=H","DateFormat=P","Fill=—","Direction=H","UseDPDF=Y")</f>
        <v>#NAME?</v>
      </c>
      <c r="Z163" s="1" t="e">
        <f ca="1">_xll.BDH($C$153,"ACCOUNTS_RECEIVABLE_GROWTH","FY 2016","FY 2016","Currency=INR","Period=FY","BEST_FPERIOD_OVERRIDE=FY","FILING_STATUS=OR","EQY_CONSOLIDATED=Y","Sort=A","Dates=H","DateFormat=P","Fill=—","Direction=H","UseDPDF=Y")</f>
        <v>#NAME?</v>
      </c>
      <c r="AA163" s="1" t="e">
        <f ca="1">_xll.BDH($C$153,"INVENTORY_GROWTH","FY 2016","FY 2016","Currency=INR","Period=FY","BEST_FPERIOD_OVERRIDE=FY","FILING_STATUS=OR","EQY_CONSOLIDATED=Y","Sort=A","Dates=H","DateFormat=P","Fill=—","Direction=H","UseDPDF=Y")</f>
        <v>#NAME?</v>
      </c>
      <c r="AB163" s="1" t="e">
        <f ca="1">_xll.BDH($C$153,"NET_FIXED_ASSETS_1_YEAR_GROWTH","FY 2016","FY 2016","Currency=INR","Period=FY","BEST_FPERIOD_OVERRIDE=FY","FILING_STATUS=OR","EQY_CONSOLIDATED=Y","Sort=A","Dates=H","DateFormat=P","Fill=—","Direction=H","UseDPDF=Y")</f>
        <v>#NAME?</v>
      </c>
      <c r="AC163" s="1" t="e">
        <f ca="1">_xll.BDH($C$153,"ASSET_GROWTH","FY 2016","FY 2016","Currency=INR","Period=FY","BEST_FPERIOD_OVERRIDE=FY","FILING_STATUS=OR","EQY_CONSOLIDATED=Y","Sort=A","Dates=H","DateFormat=P","Fill=—","Direction=H","UseDPDF=Y")</f>
        <v>#NAME?</v>
      </c>
      <c r="AD163" s="1" t="e">
        <f ca="1">_xll.BDH($C$153,"MODIFIED_WORK_CAP_GROWTH","FY 2016","FY 2016","Currency=INR","Period=FY","BEST_FPERIOD_OVERRIDE=FY","FILING_STATUS=OR","EQY_CONSOLIDATED=Y","Sort=A","Dates=H","DateFormat=P","Fill=—","Direction=H","UseDPDF=Y")</f>
        <v>#NAME?</v>
      </c>
      <c r="AE163" s="1" t="e">
        <f ca="1">_xll.BDH($C$153,"WORK_CAP_GROWTH","FY 2016","FY 2016","Currency=INR","Period=FY","BEST_FPERIOD_OVERRIDE=FY","FILING_STATUS=OR","EQY_CONSOLIDATED=Y","Sort=A","Dates=H","DateFormat=P","Fill=—","Direction=H","UseDPDF=Y")</f>
        <v>#NAME?</v>
      </c>
      <c r="AF163" s="1" t="e">
        <f ca="1">_xll.BDH($C$153,"ACCOUNTS_PAYABLE_GROWTH_1YR","FY 2016","FY 2016","Currency=INR","Period=FY","BEST_FPERIOD_OVERRIDE=FY","FILING_STATUS=OR","EQY_CONSOLIDATED=Y","Sort=A","Dates=H","DateFormat=P","Fill=—","Direction=H","UseDPDF=Y")</f>
        <v>#NAME?</v>
      </c>
      <c r="AG163" s="1" t="e">
        <f ca="1">_xll.BDH($C$153,"SHORT_TERM_DEBT_1_YEAR_GROWTH","FY 2016","FY 2016","Currency=INR","Period=FY","BEST_FPERIOD_OVERRIDE=FY","FILING_STATUS=OR","EQY_CONSOLIDATED=Y","Sort=A","Dates=H","DateFormat=P","Fill=—","Direction=H","UseDPDF=Y")</f>
        <v>#NAME?</v>
      </c>
      <c r="AH163" s="1" t="e">
        <f ca="1">_xll.BDH($C$153,"TOTAL_DEBT_1_YEAR_GROWTH","FY 2016","FY 2016","Currency=INR","Period=FY","BEST_FPERIOD_OVERRIDE=FY","FILING_STATUS=OR","EQY_CONSOLIDATED=Y","Sort=A","Dates=H","DateFormat=P","Fill=—","Direction=H","UseDPDF=Y")</f>
        <v>#NAME?</v>
      </c>
      <c r="AI163" s="1" t="e">
        <f ca="1">_xll.BDH($C$153,"TOTAL_EQUITY_1_YEAR_GROWTH","FY 2016","FY 2016","Currency=INR","Period=FY","BEST_FPERIOD_OVERRIDE=FY","FILING_STATUS=OR","EQY_CONSOLIDATED=Y","Sort=A","Dates=H","DateFormat=P","Fill=—","Direction=H","UseDPDF=Y")</f>
        <v>#NAME?</v>
      </c>
      <c r="AJ163" s="1" t="e">
        <f ca="1">_xll.BDH($C$153,"GROWTH_IN_CAP","FY 2016","FY 2016","Currency=INR","Period=FY","BEST_FPERIOD_OVERRIDE=FY","FILING_STATUS=OR","EQY_CONSOLIDATED=Y","Sort=A","Dates=H","DateFormat=P","Fill=—","Direction=H","UseDPDF=Y")</f>
        <v>#NAME?</v>
      </c>
      <c r="AK163" s="1" t="e">
        <f ca="1">_xll.BDH($C$153,"BVPS_GROWTH","FY 2016","FY 2016","Currency=INR","Period=FY","BEST_FPERIOD_OVERRIDE=FY","FILING_STATUS=OR","EQY_CONSOLIDATED=Y","Sort=A","Dates=H","DateFormat=P","Fill=—","Direction=H","UseDPDF=Y")</f>
        <v>#NAME?</v>
      </c>
      <c r="AL163" s="1" t="e">
        <f ca="1">_xll.BDH($C$153,"CASH_FLOW_GROWTH","FY 2016","FY 2016","Currency=INR","Period=FY","BEST_FPERIOD_OVERRIDE=FY","FILING_STATUS=OR","EQY_CONSOLIDATED=Y","Sort=A","Dates=H","DateFormat=P","Fill=—","Direction=H","UseDPDF=Y")</f>
        <v>#NAME?</v>
      </c>
      <c r="AM163" s="1" t="e">
        <f ca="1">_xll.BDH($C$153,"GEO_GROW_NET_SALES","FY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163" s="1" t="e">
        <f ca="1">_xll.BDH($C$153,"GEO_GROW_EBITDA","FY 2016","FY 2016","Currency=INR","Period=FY","BEST_FPERIOD_OVERRIDE=FY","FILING_STATUS=OR","EQY_CONSOLIDATED=Y","FA_ADJUSTED=GAAP","Sort=A","Dates=H","DateFormat=P","Fill=—","Direction=H","UseDPDF=Y")</f>
        <v>#NAME?</v>
      </c>
      <c r="AO163" s="1" t="e">
        <f ca="1">_xll.BDH($C$153,"GEO_GROW_OPER_INC","FY 2016","FY 2016","Currency=INR","Period=FY","BEST_FPERIOD_OVERRIDE=FY","FILING_STATUS=OR","EQY_CONSOLIDATED=Y","FA_ADJUSTED=GAAP","Sort=A","Dates=H","DateFormat=P","Fill=—","Direction=H","UseDPDF=Y")</f>
        <v>#NAME?</v>
      </c>
      <c r="AP163" s="1" t="e">
        <f ca="1">_xll.BDH($C$153,"NET_INCOME_TO_COMMON_5_YR_GROWTH","FY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63" s="1" t="e">
        <f ca="1">_xll.BDH($C$153,"5Y_GEO_GROWTH_DILUTED_EPS","FY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63" s="1" t="e">
        <f ca="1">_xll.BDH($C$153,"GEO_GROW_DVD_PER_SH","FY 2016","FY 2016","Currency=INR","Period=FY","BEST_FPERIOD_OVERRIDE=FY","FILING_STATUS=OR","EQY_CONSOLIDATED=Y","Sort=A","Dates=H","DateFormat=P","Fill=—","Direction=H","UseDPDF=Y")</f>
        <v>#NAME?</v>
      </c>
      <c r="AS163" s="1" t="e">
        <f ca="1">_xll.BDH($C$153,"ACCOUNTS_RECEIVABLE_5_YR_GROWTH","FY 2016","FY 2016","Currency=INR","Period=FY","BEST_FPERIOD_OVERRIDE=FY","FILING_STATUS=OR","EQY_CONSOLIDATED=Y","Sort=A","Dates=H","DateFormat=P","Fill=—","Direction=H","UseDPDF=Y")</f>
        <v>#NAME?</v>
      </c>
      <c r="AT163" s="1" t="e">
        <f ca="1">_xll.BDH($C$153,"INVENTORY_5_YEAR_GROWTH","FY 2016","FY 2016","Currency=INR","Period=FY","BEST_FPERIOD_OVERRIDE=FY","FILING_STATUS=OR","EQY_CONSOLIDATED=Y","Sort=A","Dates=H","DateFormat=P","Fill=—","Direction=H","UseDPDF=Y")</f>
        <v>#NAME?</v>
      </c>
      <c r="AU163" s="1" t="e">
        <f ca="1">_xll.BDH($C$153,"NET_FIXED_ASSETS_5_YEAR_GROWTH","FY 2016","FY 2016","Currency=INR","Period=FY","BEST_FPERIOD_OVERRIDE=FY","FILING_STATUS=OR","EQY_CONSOLIDATED=Y","Sort=A","Dates=H","DateFormat=P","Fill=—","Direction=H","UseDPDF=Y")</f>
        <v>#NAME?</v>
      </c>
      <c r="AV163" s="1" t="e">
        <f ca="1">_xll.BDH($C$153,"GEO_GROW_TOT_ASSET","FY 2016","FY 2016","Currency=INR","Period=FY","BEST_FPERIOD_OVERRIDE=FY","FILING_STATUS=OR","EQY_CONSOLIDATED=Y","Sort=A","Dates=H","DateFormat=P","Fill=—","Direction=H","UseDPDF=Y")</f>
        <v>#NAME?</v>
      </c>
      <c r="AW163" s="1" t="e">
        <f ca="1">_xll.BDH($C$153,"MODIFIED_WORKING_CPTL_5YR_GRWTH","FY 2016","FY 2016","Currency=INR","Period=FY","BEST_FPERIOD_OVERRIDE=FY","FILING_STATUS=OR","EQY_CONSOLIDATED=Y","Sort=A","Dates=H","DateFormat=P","Fill=—","Direction=H","UseDPDF=Y")</f>
        <v>#NAME?</v>
      </c>
      <c r="AX163" s="1" t="e">
        <f ca="1">_xll.BDH($C$153,"WORKING_CAPITAL_5_YEAR_GROWTH","FY 2016","FY 2016","Currency=INR","Period=FY","BEST_FPERIOD_OVERRIDE=FY","FILING_STATUS=OR","EQY_CONSOLIDATED=Y","Sort=A","Dates=H","DateFormat=P","Fill=—","Direction=H","UseDPDF=Y")</f>
        <v>#NAME?</v>
      </c>
      <c r="AY163" s="1" t="e">
        <f ca="1">_xll.BDH($C$153,"ACCOUNTS_PAYABLE_5_YEAR_GROWTH","FY 2016","FY 2016","Currency=INR","Period=FY","BEST_FPERIOD_OVERRIDE=FY","FILING_STATUS=OR","EQY_CONSOLIDATED=Y","Sort=A","Dates=H","DateFormat=P","Fill=—","Direction=H","UseDPDF=Y")</f>
        <v>#NAME?</v>
      </c>
      <c r="AZ163" s="1" t="e">
        <f ca="1">_xll.BDH($C$153,"SHORT_TERM_DEBT_5_YEAR_GROWTH","FY 2016","FY 2016","Currency=INR","Period=FY","BEST_FPERIOD_OVERRIDE=FY","FILING_STATUS=OR","EQY_CONSOLIDATED=Y","Sort=A","Dates=H","DateFormat=P","Fill=—","Direction=H","UseDPDF=Y")</f>
        <v>#NAME?</v>
      </c>
      <c r="BA163" s="1" t="e">
        <f ca="1">_xll.BDH($C$153,"TOTAL_DEBT_5_YEAR_GROWTH","FY 2016","FY 2016","Currency=INR","Period=FY","BEST_FPERIOD_OVERRIDE=FY","FILING_STATUS=OR","EQY_CONSOLIDATED=Y","Sort=A","Dates=H","DateFormat=P","Fill=—","Direction=H","UseDPDF=Y")</f>
        <v>#NAME?</v>
      </c>
      <c r="BB163" s="1" t="e">
        <f ca="1">_xll.BDH($C$153,"GEO_GROW_TOT_SHRHLDR_EQY","FY 2016","FY 2016","Currency=INR","Period=FY","BEST_FPERIOD_OVERRIDE=FY","FILING_STATUS=OR","EQY_CONSOLIDATED=Y","Sort=A","Dates=H","DateFormat=P","Fill=—","Direction=H","UseDPDF=Y")</f>
        <v>#NAME?</v>
      </c>
      <c r="BC163" s="1" t="e">
        <f ca="1">_xll.BDH($C$153,"TOTAL_CAPITAL_5_YEAR_GROWTH","FY 2016","FY 2016","Currency=INR","Period=FY","BEST_FPERIOD_OVERRIDE=FY","FILING_STATUS=OR","EQY_CONSOLIDATED=Y","Sort=A","Dates=H","DateFormat=P","Fill=—","Direction=H","UseDPDF=Y")</f>
        <v>#NAME?</v>
      </c>
      <c r="BD163" s="1" t="e">
        <f ca="1">_xll.BDH($C$153,"GEO_GROW_BOOK_VAL","FY 2016","FY 2016","Currency=INR","Period=FY","BEST_FPERIOD_OVERRIDE=FY","FILING_STATUS=OR","EQY_CONSOLIDATED=Y","Sort=A","Dates=H","DateFormat=P","Fill=—","Direction=H","UseDPDF=Y")</f>
        <v>#NAME?</v>
      </c>
      <c r="BE163" s="1" t="e">
        <f ca="1">_xll.BDH($C$153,"GEO_GROW_CASH_OPER_ACT","FY 2016","FY 2016","Currency=INR","Period=FY","BEST_FPERIOD_OVERRIDE=FY","FILING_STATUS=OR","EQY_CONSOLIDATED=Y","Sort=A","Dates=H","DateFormat=P","Fill=—","Direction=H","UseDPDF=Y")</f>
        <v>#NAME?</v>
      </c>
      <c r="BF163" s="1" t="e">
        <f ca="1">_xll.BDH($C$153,"REVENUE_SEQUENTIAL_GROWTH","FY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63" s="1" t="e">
        <f ca="1">_xll.BDH($C$153,"EBITDA_SEQUENTIAL_GROWTH","FY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63" s="1" t="e">
        <f ca="1">_xll.BDH($C$153,"OPERATING_INCOME_SEQ_GROWTH","FY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63" s="1" t="e">
        <f ca="1">_xll.BDH($C$153,"NET_INCOME_TO_COMMON_SEQ_GROWTH","FY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63" s="1" t="e">
        <f ca="1">_xll.BDH($C$153,"EPS_DILUTED_SEQUENTIAL_GROWTH","FY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63" s="1" t="e">
        <f ca="1">_xll.BDH($C$153,"DPS_SEQUENTIAL_GROWTH","FY 2016","FY 2016","Currency=INR","Period=FY","BEST_FPERIOD_OVERRIDE=FY","FILING_STATUS=OR","EQY_CONSOLIDATED=Y","Sort=A","Dates=H","DateFormat=P","Fill=—","Direction=H","UseDPDF=Y")</f>
        <v>#NAME?</v>
      </c>
      <c r="BL163" s="1" t="e">
        <f ca="1">_xll.BDH($C$153,"ACCOUNTS_RECEIVABLE_SEQ_GROWTH","FY 2016","FY 2016","Currency=INR","Period=FY","BEST_FPERIOD_OVERRIDE=FY","FILING_STATUS=OR","EQY_CONSOLIDATED=Y","Sort=A","Dates=H","DateFormat=P","Fill=—","Direction=H","UseDPDF=Y")</f>
        <v>#NAME?</v>
      </c>
      <c r="BM163" s="1" t="e">
        <f ca="1">_xll.BDH($C$153,"INVENTORY_SEQUENTIAL_GROWTH","FY 2016","FY 2016","Currency=INR","Period=FY","BEST_FPERIOD_OVERRIDE=FY","FILING_STATUS=OR","EQY_CONSOLIDATED=Y","Sort=A","Dates=H","DateFormat=P","Fill=—","Direction=H","UseDPDF=Y")</f>
        <v>#NAME?</v>
      </c>
      <c r="BN163" s="1" t="e">
        <f ca="1">_xll.BDH($C$153,"FIXED_ASSETS_SEQUENTIAL_GROWTH","FY 2016","FY 2016","Currency=INR","Period=FY","BEST_FPERIOD_OVERRIDE=FY","FILING_STATUS=OR","EQY_CONSOLIDATED=Y","Sort=A","Dates=H","DateFormat=P","Fill=—","Direction=H","UseDPDF=Y")</f>
        <v>#NAME?</v>
      </c>
      <c r="BO163" s="1" t="e">
        <f ca="1">_xll.BDH($C$153,"TOTAL_ASSETS_SEQUENTIAL_GROWTH","FY 2016","FY 2016","Currency=INR","Period=FY","BEST_FPERIOD_OVERRIDE=FY","FILING_STATUS=OR","EQY_CONSOLIDATED=Y","Sort=A","Dates=H","DateFormat=P","Fill=—","Direction=H","UseDPDF=Y")</f>
        <v>#NAME?</v>
      </c>
      <c r="BP163" s="1" t="e">
        <f ca="1">_xll.BDH($C$153,"MODIFIED_WORKING_CPTL_SEQ_GRWTH","FY 2016","FY 2016","Currency=INR","Period=FY","BEST_FPERIOD_OVERRIDE=FY","FILING_STATUS=OR","EQY_CONSOLIDATED=Y","Sort=A","Dates=H","DateFormat=P","Fill=—","Direction=H","UseDPDF=Y")</f>
        <v>#NAME?</v>
      </c>
      <c r="BQ163" s="1" t="e">
        <f ca="1">_xll.BDH($C$153,"WORKING_CAPITAL_SEQ_GROWTH","FY 2016","FY 2016","Currency=INR","Period=FY","BEST_FPERIOD_OVERRIDE=FY","FILING_STATUS=OR","EQY_CONSOLIDATED=Y","Sort=A","Dates=H","DateFormat=P","Fill=—","Direction=H","UseDPDF=Y")</f>
        <v>#NAME?</v>
      </c>
      <c r="BR163" s="1" t="e">
        <f ca="1">_xll.BDH($C$153,"ACCOUNTS_PAYABLE_SEQ_GROWTH","FY 2016","FY 2016","Currency=INR","Period=FY","BEST_FPERIOD_OVERRIDE=FY","FILING_STATUS=OR","EQY_CONSOLIDATED=Y","Sort=A","Dates=H","DateFormat=P","Fill=—","Direction=H","UseDPDF=Y")</f>
        <v>#NAME?</v>
      </c>
      <c r="BS163" s="1" t="e">
        <f ca="1">_xll.BDH($C$153,"ST_DEBT_SEQUENTIAL_GROWTH","FY 2016","FY 2016","Currency=INR","Period=FY","BEST_FPERIOD_OVERRIDE=FY","FILING_STATUS=OR","EQY_CONSOLIDATED=Y","Sort=A","Dates=H","DateFormat=P","Fill=—","Direction=H","UseDPDF=Y")</f>
        <v>#NAME?</v>
      </c>
      <c r="BT163" s="1" t="e">
        <f ca="1">_xll.BDH($C$153,"TOTAL_DEBT_SEQUENTIAL_GROWTH","FY 2016","FY 2016","Currency=INR","Period=FY","BEST_FPERIOD_OVERRIDE=FY","FILING_STATUS=OR","EQY_CONSOLIDATED=Y","Sort=A","Dates=H","DateFormat=P","Fill=—","Direction=H","UseDPDF=Y")</f>
        <v>#NAME?</v>
      </c>
      <c r="BU163" s="1" t="e">
        <f ca="1">_xll.BDH($C$153,"TOTAL_EQUITY_SEQUENTIAL_GROWTH","FY 2016","FY 2016","Currency=INR","Period=FY","BEST_FPERIOD_OVERRIDE=FY","FILING_STATUS=OR","EQY_CONSOLIDATED=Y","Sort=A","Dates=H","DateFormat=P","Fill=—","Direction=H","UseDPDF=Y")</f>
        <v>#NAME?</v>
      </c>
      <c r="BV163" s="1" t="e">
        <f ca="1">_xll.BDH($C$153,"TOTAL_CAPITAL_SEQUENTIAL_GROWTH","FY 2016","FY 2016","Currency=INR","Period=FY","BEST_FPERIOD_OVERRIDE=FY","FILING_STATUS=OR","EQY_CONSOLIDATED=Y","Sort=A","Dates=H","DateFormat=P","Fill=—","Direction=H","UseDPDF=Y")</f>
        <v>#NAME?</v>
      </c>
      <c r="BW163" s="1" t="e">
        <f ca="1">_xll.BDH($C$153,"BPS_SEQUENTIAL_GROWTH","FY 2016","FY 2016","Currency=INR","Period=FY","BEST_FPERIOD_OVERRIDE=FY","FILING_STATUS=OR","EQY_CONSOLIDATED=Y","Sort=A","Dates=H","DateFormat=P","Fill=—","Direction=H","UseDPDF=Y")</f>
        <v>#NAME?</v>
      </c>
      <c r="BX163" s="1" t="e">
        <f ca="1">_xll.BDH($C$153,"CFO_SEQUENTIAL_GROWTH","FY 2016","FY 2016","Currency=INR","Period=FY","BEST_FPERIOD_OVERRIDE=FY","FILING_STATUS=OR","EQY_CONSOLIDATED=Y","Sort=A","Dates=H","DateFormat=P","Fill=—","Direction=H","UseDPDF=Y")</f>
        <v>#NAME?</v>
      </c>
      <c r="BY163" s="2" t="e">
        <f ca="1">_xll.BDH($C$153,"SHORT_AND_LONG_TERM_DEBT","FY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63" s="2" t="e">
        <f ca="1">_xll.BDH($C$153,"BS_ST_BORROW","FY 2016","FY 2016","Currency=INR","Period=FY","BEST_FPERIOD_OVERRIDE=FY","FILING_STATUS=OR","EQY_CONSOLIDATED=Y","SCALING_FORMAT=MLN","Sort=A","Dates=H","DateFormat=P","Fill=—","Direction=H","UseDPDF=Y")</f>
        <v>#NAME?</v>
      </c>
      <c r="CA163" s="2" t="e">
        <f ca="1">_xll.BDH($C$153,"BS_LT_BORROW","FY 2016","FY 2016","Currency=INR","Period=FY","BEST_FPERIOD_OVERRIDE=FY","FILING_STATUS=OR","EQY_CONSOLIDATED=Y","SCALING_FORMAT=MLN","Sort=A","Dates=H","DateFormat=P","Fill=—","Direction=H","UseDPDF=Y")</f>
        <v>#NAME?</v>
      </c>
      <c r="CB163" s="1" t="e">
        <f ca="1">_xll.BDH($C$153,"TOT_DEBT_TO_EBITDA","FY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163" s="1" t="e">
        <f ca="1">_xll.BDH($C$153,"NET_DEBT_TO_EBITDA","FY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163" s="1" t="e">
        <f ca="1">_xll.BDH($C$153,"TOTAL_DEBT_TO_EBIT","FY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163" s="1" t="e">
        <f ca="1">_xll.BDH($C$153,"NET_DEBT_TO_EBIT","FY 2016","FY 2016","Currency=INR","Period=FY","BEST_FPERIOD_OVERRIDE=FY","FILING_STATUS=OR","EQY_CONSOLIDATED=Y","FA_ADJUSTED=GAAP","Sort=A","Dates=H","DateFormat=P","Fill=—","Direction=H","UseDPDF=Y")</f>
        <v>#NAME?</v>
      </c>
      <c r="CF163" s="1" t="e">
        <f ca="1">_xll.BDH($C$153,"EBITDA_TO_INTEREST_EXPN","FY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63" s="1" t="e">
        <f ca="1">_xll.BDH($C$153,"COM_EQY_TO_TOT_ASSET","FY 2016","FY 2016","Currency=INR","Period=FY","BEST_FPERIOD_OVERRIDE=FY","FILING_STATUS=OR","EQY_CONSOLIDATED=Y","Sort=A","Dates=H","DateFormat=P","Fill=—","Direction=H","UseDPDF=Y")</f>
        <v>#NAME?</v>
      </c>
      <c r="CH163" s="1" t="e">
        <f ca="1">_xll.BDH($C$153,"LT_DEBT_TO_TOT_EQY","FY 2016","FY 2016","Currency=INR","Period=FY","BEST_FPERIOD_OVERRIDE=FY","FILING_STATUS=OR","EQY_CONSOLIDATED=Y","Sort=A","Dates=H","DateFormat=P","Fill=—","Direction=H","UseDPDF=Y")</f>
        <v>#NAME?</v>
      </c>
      <c r="CI163" s="1" t="e">
        <f ca="1">_xll.BDH($C$153,"LT_DEBT_TO_TOT_CAP","FY 2016","FY 2016","Currency=INR","Period=FY","BEST_FPERIOD_OVERRIDE=FY","FILING_STATUS=OR","EQY_CONSOLIDATED=Y","Sort=A","Dates=H","DateFormat=P","Fill=—","Direction=H","UseDPDF=Y")</f>
        <v>#NAME?</v>
      </c>
      <c r="CJ163" s="1" t="e">
        <f ca="1">_xll.BDH($C$153,"LT_DEBT_TO_TOT_ASSET","FY 2016","FY 2016","Currency=INR","Period=FY","BEST_FPERIOD_OVERRIDE=FY","FILING_STATUS=OR","EQY_CONSOLIDATED=Y","Sort=A","Dates=H","DateFormat=P","Fill=—","Direction=H","UseDPDF=Y")</f>
        <v>#NAME?</v>
      </c>
      <c r="CK163" s="1" t="e">
        <f ca="1">_xll.BDH($C$153,"TOT_DEBT_TO_TOT_EQY","FY 2016","FY 2016","Currency=INR","Period=FY","BEST_FPERIOD_OVERRIDE=FY","FILING_STATUS=OR","EQY_CONSOLIDATED=Y","Sort=A","Dates=H","DateFormat=P","Fill=—","Direction=H","UseDPDF=Y")</f>
        <v>#NAME?</v>
      </c>
      <c r="CL163" s="1" t="e">
        <f ca="1">_xll.BDH($C$153,"TOT_DEBT_TO_TOT_CAP","FY 2016","FY 2016","Currency=INR","Period=FY","BEST_FPERIOD_OVERRIDE=FY","FILING_STATUS=OR","EQY_CONSOLIDATED=Y","Sort=A","Dates=H","DateFormat=P","Fill=—","Direction=H","UseDPDF=Y")</f>
        <v>#NAME?</v>
      </c>
      <c r="CM163" s="1" t="e">
        <f ca="1">_xll.BDH($C$153,"TOT_DEBT_TO_TOT_ASSET","FY 2016","FY 2016","Currency=INR","Period=FY","BEST_FPERIOD_OVERRIDE=FY","FILING_STATUS=OR","EQY_CONSOLIDATED=Y","Sort=A","Dates=H","DateFormat=P","Fill=—","Direction=H","UseDPDF=Y")</f>
        <v>#NAME?</v>
      </c>
      <c r="CN163" s="1" t="e">
        <f ca="1">_xll.BDH($C$153,"NET_DEBT_TO_SHRHLDR_EQTY","FY 2016","FY 2016","Currency=INR","Period=FY","BEST_FPERIOD_OVERRIDE=FY","FILING_STATUS=OR","EQY_CONSOLIDATED=Y","Sort=A","Dates=H","DateFormat=P","Fill=—","Direction=H","UseDPDF=Y")</f>
        <v>#NAME?</v>
      </c>
      <c r="CO163" s="1" t="e">
        <f ca="1">_xll.BDH($C$153,"NET_DEBT_%_CAPITAL","FY 2016","FY 2016","Currency=INR","Period=FY","BEST_FPERIOD_OVERRIDE=FY","FILING_STATUS=OR","EQY_CONSOLIDATED=Y","Sort=A","Dates=H","DateFormat=P","Fill=—","Direction=H","UseDPDF=Y")</f>
        <v>#NAME?</v>
      </c>
      <c r="CP163" s="2" t="e">
        <f ca="1">_xll.BDH($C$153,"EBITDA","FY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63" s="2" t="e">
        <f ca="1">_xll.BDH($C$153,"EBITDA_AFTER_CAPEX","FY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63" s="2" t="e">
        <f ca="1">_xll.BDH($C$153,"IS_OPER_INC","FY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63" s="1" t="e">
        <f ca="1">_xll.BDH($C$153,"CASH_RATIO","FY 2016","FY 2016","Currency=INR","Period=FY","BEST_FPERIOD_OVERRIDE=FY","FILING_STATUS=OR","EQY_CONSOLIDATED=Y","Sort=A","Dates=H","DateFormat=P","Fill=—","Direction=H","UseDPDF=Y")</f>
        <v>#NAME?</v>
      </c>
      <c r="CT163" s="1" t="e">
        <f ca="1">_xll.BDH($C$153,"CUR_RATIO","FY 2016","FY 2016","Currency=INR","Period=FY","BEST_FPERIOD_OVERRIDE=FY","FILING_STATUS=OR","EQY_CONSOLIDATED=Y","Sort=A","Dates=H","DateFormat=P","Fill=—","Direction=H","UseDPDF=Y")</f>
        <v>#NAME?</v>
      </c>
      <c r="CU163" s="1" t="e">
        <f ca="1">_xll.BDH($C$153,"QUICK_RATIO","FY 2016","FY 2016","Currency=INR","Period=FY","BEST_FPERIOD_OVERRIDE=FY","FILING_STATUS=OR","EQY_CONSOLIDATED=Y","Sort=A","Dates=H","DateFormat=P","Fill=—","Direction=H","UseDPDF=Y")</f>
        <v>#NAME?</v>
      </c>
      <c r="CV163" s="1" t="e">
        <f ca="1">_xll.BDH($C$153,"ALTMAN_Z_SCORE","FY 2016","FY 2016","Currency=INR","Period=FY","BEST_FPERIOD_OVERRIDE=FY","FILING_STATUS=OR","EQY_CONSOLIDATED=Y","Sort=A","Dates=H","DateFormat=P","Fill=—","Direction=H","UseDPDF=Y")</f>
        <v>#NAME?</v>
      </c>
      <c r="CW163" s="3" t="e">
        <f ca="1">_xll.BDH($C$153,"ACCT_RCV_TURN","FY 2016","FY 2016","Currency=INR","Period=FY","BEST_FPERIOD_OVERRIDE=FY","FILING_STATUS=OR","EQY_CONSOLIDATED=Y","FA_ADJUSTED=GAAP","Sort=A","Dates=H","DateFormat=P","Fill=—","Direction=H","UseDPDF=Y")</f>
        <v>#NAME?</v>
      </c>
      <c r="CX163" s="1" t="e">
        <f ca="1">_xll.BDH($C$153,"ACCT_RCV_DAYS","FY 2016","FY 2016","Currency=INR","Period=FY","BEST_FPERIOD_OVERRIDE=FY","FILING_STATUS=OR","EQY_CONSOLIDATED=Y","FA_ADJUSTED=GAAP","Sort=A","Dates=H","DateFormat=P","Fill=—","Direction=H","UseDPDF=Y")</f>
        <v>#NAME?</v>
      </c>
      <c r="CY163" s="3" t="e">
        <f ca="1">_xll.BDH($C$153,"INVENT_TURN","FY 2016","FY 2016","Currency=INR","Period=FY","BEST_FPERIOD_OVERRIDE=FY","FILING_STATUS=OR","EQY_CONSOLIDATED=Y","FA_ADJUSTED=GAAP","Sort=A","Dates=H","DateFormat=P","Fill=—","Direction=H","UseDPDF=Y")</f>
        <v>#NAME?</v>
      </c>
      <c r="CZ163" s="1" t="e">
        <f ca="1">_xll.BDH($C$153,"INVENT_DAYS","FY 2016","FY 2016","Currency=INR","Period=FY","BEST_FPERIOD_OVERRIDE=FY","FILING_STATUS=OR","EQY_CONSOLIDATED=Y","FA_ADJUSTED=GAAP","Sort=A","Dates=H","DateFormat=P","Fill=—","Direction=H","UseDPDF=Y")</f>
        <v>#NAME?</v>
      </c>
      <c r="DA163" s="3" t="e">
        <f ca="1">_xll.BDH($C$153,"ACCOUNTS_PAYABLE_TURNOVER","FY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63" s="1" t="e">
        <f ca="1">_xll.BDH($C$153,"ACCOUNTS_PAYABLE_TURNOVER_DAYS","FY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63" s="3" t="e">
        <f ca="1">_xll.BDH($C$153,"CASH_CONVERSION_CYCLE","FY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63" s="3" t="e">
        <f ca="1">_xll.BDH($C$153,"INV_TO_CASH_DAYS","FY 2016","FY 2016","Currency=INR","Period=FY","BEST_FPERIOD_OVERRIDE=FY","FILING_STATUS=OR","EQY_CONSOLIDATED=Y","FA_ADJUSTED=GAAP","Sort=A","Dates=H","DateFormat=P","Fill=—","Direction=H","UseDPDF=Y")</f>
        <v>#NAME?</v>
      </c>
      <c r="DE163" s="4" t="e">
        <f ca="1">_xll.BDH($C$153,"BS_INVENTORIES","FY 2016","FY 2016","Currency=INR","Period=FY","BEST_FPERIOD_OVERRIDE=FY","FILING_STATUS=OR","EQY_CONSOLIDATED=Y","SCALING_FORMAT=MLN","Sort=A","Dates=H","DateFormat=P","Fill=—","Direction=H","UseDPDF=Y")</f>
        <v>#NAME?</v>
      </c>
      <c r="DF163" s="2" t="e">
        <f ca="1">_xll.BDH($C$153,"INVTRY_RAW_MATERIALS","FY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63" s="2" t="e">
        <f ca="1">_xll.BDH($C$153,"INVTRY_IN_PROGRESS","FY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63" s="2" t="e">
        <f ca="1">_xll.BDH($C$153,"INVTRY_FINISHED_GOODS","FY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63" s="2" t="e">
        <f ca="1">_xll.BDH($C$153,"BS_OTHER_INV","FY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64" spans="1:113" x14ac:dyDescent="0.3">
      <c r="A164" s="6"/>
      <c r="B164" s="6"/>
      <c r="C164" s="6"/>
      <c r="D164" s="6"/>
      <c r="E164" t="s">
        <v>4</v>
      </c>
      <c r="F164" t="e">
        <f ca="1">_xll.BDH($C$153,"RETURN_COM_EQY","FQ1 2016","FQ1 2016","Currency=INR","Period=FQ","BEST_FPERIOD_OVERRIDE=FQ","FILING_STATUS=OR","EQY_CONSOLIDATED=Y","FA_ADJUSTED=GAAP","Sort=A","Dates=H","DateFormat=P","Fill=—","Direction=H","UseDPDF=Y")</f>
        <v>#NAME?</v>
      </c>
      <c r="G164" t="e">
        <f ca="1">_xll.BDH($C$153,"RETURN_ON_ASSET","FQ1 2016","FQ1 2016","Currency=INR","Period=FQ","BEST_FPERIOD_OVERRIDE=FQ","FILING_STATUS=OR","EQY_CONSOLIDATED=Y","FA_ADJUSTED=GAAP","Sort=A","Dates=H","DateFormat=P","Fill=—","Direction=H","UseDPDF=Y")</f>
        <v>#NAME?</v>
      </c>
      <c r="H164" t="e">
        <f ca="1">_xll.BDH($C$153,"RETURN_ON_CAP","FQ1 2016","FQ1 2016","Currency=INR","Period=FQ","BEST_FPERIOD_OVERRIDE=FQ","FILING_STATUS=OR","EQY_CONSOLIDATED=Y","FA_ADJUSTED=GAAP","Sort=A","Dates=H","DateFormat=P","Fill=—","Direction=H","UseDPDF=Y")</f>
        <v>#NAME?</v>
      </c>
      <c r="I164" t="e">
        <f ca="1">_xll.BDH($C$153,"RETURN_ON_INV_CAPITAL","FQ1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64" t="e">
        <f ca="1">_xll.BDH($C$153,"EBITDA_TO_REVENUE","FQ1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164" t="e">
        <f ca="1">_xll.BDH($C$153,"OPER_MARGIN","FQ1 2016","FQ1 2016","Currency=INR","Period=FQ","BEST_FPERIOD_OVERRIDE=FQ","FILING_STATUS=OR","EQY_CONSOLIDATED=Y","FA_ADJUSTED=GAAP","Sort=A","Dates=H","DateFormat=P","Fill=—","Direction=H","UseDPDF=Y")</f>
        <v>#NAME?</v>
      </c>
      <c r="L164" t="e">
        <f ca="1">_xll.BDH($C$153,"INCREMENTAL_OPERATING_MARGIN","FQ1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64" t="e">
        <f ca="1">_xll.BDH($C$153,"PRETAX_INC_TO_NET_SALES","FQ1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64" t="e">
        <f ca="1">_xll.BDH($C$153,"INC_BEF_XO_ITEMS_TO_NET_SALES","FQ1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64" t="e">
        <f ca="1">_xll.BDH($C$153,"PROF_MARGIN","FQ1 2016","FQ1 2016","Currency=INR","Period=FQ","BEST_FPERIOD_OVERRIDE=FQ","FILING_STATUS=OR","EQY_CONSOLIDATED=Y","FA_ADJUSTED=GAAP","Sort=A","Dates=H","DateFormat=P","Fill=—","Direction=H","UseDPDF=Y")</f>
        <v>#NAME?</v>
      </c>
      <c r="P164" t="e">
        <f ca="1">_xll.BDH($C$153,"NET_INCOME_TO_COMMON_MARGIN","FQ1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64" t="e">
        <f ca="1">_xll.BDH($C$153,"EFF_TAX_RATE","FQ1 2016","FQ1 2016","Currency=INR","Period=FQ","BEST_FPERIOD_OVERRIDE=FQ","FILING_STATUS=OR","EQY_CONSOLIDATED=Y","FA_ADJUSTED=GAAP","Sort=A","Dates=H","DateFormat=P","Fill=—","Direction=H","UseDPDF=Y")</f>
        <v>#NAME?</v>
      </c>
      <c r="R164" t="e">
        <f ca="1">_xll.BDH($C$153,"DVD_PAYOUT_RATIO","FQ1 2016","FQ1 2016","Currency=INR","Period=FQ","BEST_FPERIOD_OVERRIDE=FQ","FILING_STATUS=OR","EQY_CONSOLIDATED=Y","FA_ADJUSTED=GAAP","Sort=A","Dates=H","DateFormat=P","Fill=—","Direction=H","UseDPDF=Y")</f>
        <v>#NAME?</v>
      </c>
      <c r="S164" t="e">
        <f ca="1">_xll.BDH($C$153,"SUSTAIN_GROWTH_RT","FQ1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164" s="1" t="e">
        <f ca="1">_xll.BDH($C$153,"SALES_GROWTH","FQ1 2016","FQ1 2016","Currency=INR","Period=FQ","BEST_FPERIOD_OVERRIDE=FQ","FILING_STATUS=OR","EQY_CONSOLIDATED=Y","FA_ADJUSTED=GAAP","Sort=A","Dates=H","DateFormat=P","Fill=—","Direction=H","UseDPDF=Y")</f>
        <v>#NAME?</v>
      </c>
      <c r="U164" s="1" t="e">
        <f ca="1">_xll.BDH($C$153,"EBITDA_GROWTH","FQ1 2016","FQ1 2016","Currency=INR","Period=FQ","BEST_FPERIOD_OVERRIDE=FQ","FILING_STATUS=OR","EQY_CONSOLIDATED=Y","FA_ADJUSTED=GAAP","Sort=A","Dates=H","DateFormat=P","Fill=—","Direction=H","UseDPDF=Y")</f>
        <v>#NAME?</v>
      </c>
      <c r="V164" s="1" t="e">
        <f ca="1">_xll.BDH($C$153,"OPER_INC_GROWTH","FQ1 2016","FQ1 2016","Currency=INR","Period=FQ","BEST_FPERIOD_OVERRIDE=FQ","FILING_STATUS=OR","EQY_CONSOLIDATED=Y","FA_ADJUSTED=GAAP","Sort=A","Dates=H","DateFormat=P","Fill=—","Direction=H","UseDPDF=Y")</f>
        <v>#NAME?</v>
      </c>
      <c r="W164" s="1" t="e">
        <f ca="1">_xll.BDH($C$153,"EARN_FOR_COM_GROWTH","FQ1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64" s="1" t="e">
        <f ca="1">_xll.BDH($C$153,"DILUTED_EPS_AFT_XO_ITEMS_GROWTH","FQ1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64" s="1" t="e">
        <f ca="1">_xll.BDH($C$153,"DIVIDEND_PER_SHARE_1_YEAR_GROWTH","FQ1 2016","FQ1 2016","Currency=INR","Period=FQ","BEST_FPERIOD_OVERRIDE=FQ","FILING_STATUS=OR","EQY_CONSOLIDATED=Y","Sort=A","Dates=H","DateFormat=P","Fill=—","Direction=H","UseDPDF=Y")</f>
        <v>#NAME?</v>
      </c>
      <c r="Z164" s="1" t="e">
        <f ca="1">_xll.BDH($C$153,"ACCOUNTS_RECEIVABLE_GROWTH","FQ1 2016","FQ1 2016","Currency=INR","Period=FQ","BEST_FPERIOD_OVERRIDE=FQ","FILING_STATUS=OR","EQY_CONSOLIDATED=Y","Sort=A","Dates=H","DateFormat=P","Fill=—","Direction=H","UseDPDF=Y")</f>
        <v>#NAME?</v>
      </c>
      <c r="AA164" s="1" t="e">
        <f ca="1">_xll.BDH($C$153,"INVENTORY_GROWTH","FQ1 2016","FQ1 2016","Currency=INR","Period=FQ","BEST_FPERIOD_OVERRIDE=FQ","FILING_STATUS=OR","EQY_CONSOLIDATED=Y","Sort=A","Dates=H","DateFormat=P","Fill=—","Direction=H","UseDPDF=Y")</f>
        <v>#NAME?</v>
      </c>
      <c r="AB164" s="1" t="e">
        <f ca="1">_xll.BDH($C$153,"NET_FIXED_ASSETS_1_YEAR_GROWTH","FQ1 2016","FQ1 2016","Currency=INR","Period=FQ","BEST_FPERIOD_OVERRIDE=FQ","FILING_STATUS=OR","EQY_CONSOLIDATED=Y","Sort=A","Dates=H","DateFormat=P","Fill=—","Direction=H","UseDPDF=Y")</f>
        <v>#NAME?</v>
      </c>
      <c r="AC164" s="1" t="e">
        <f ca="1">_xll.BDH($C$153,"ASSET_GROWTH","FQ1 2016","FQ1 2016","Currency=INR","Period=FQ","BEST_FPERIOD_OVERRIDE=FQ","FILING_STATUS=OR","EQY_CONSOLIDATED=Y","Sort=A","Dates=H","DateFormat=P","Fill=—","Direction=H","UseDPDF=Y")</f>
        <v>#NAME?</v>
      </c>
      <c r="AD164" s="1" t="e">
        <f ca="1">_xll.BDH($C$153,"MODIFIED_WORK_CAP_GROWTH","FQ1 2016","FQ1 2016","Currency=INR","Period=FQ","BEST_FPERIOD_OVERRIDE=FQ","FILING_STATUS=OR","EQY_CONSOLIDATED=Y","Sort=A","Dates=H","DateFormat=P","Fill=—","Direction=H","UseDPDF=Y")</f>
        <v>#NAME?</v>
      </c>
      <c r="AE164" s="1" t="e">
        <f ca="1">_xll.BDH($C$153,"WORK_CAP_GROWTH","FQ1 2016","FQ1 2016","Currency=INR","Period=FQ","BEST_FPERIOD_OVERRIDE=FQ","FILING_STATUS=OR","EQY_CONSOLIDATED=Y","Sort=A","Dates=H","DateFormat=P","Fill=—","Direction=H","UseDPDF=Y")</f>
        <v>#NAME?</v>
      </c>
      <c r="AF164" s="1" t="e">
        <f ca="1">_xll.BDH($C$153,"ACCOUNTS_PAYABLE_GROWTH_1YR","FQ1 2016","FQ1 2016","Currency=INR","Period=FQ","BEST_FPERIOD_OVERRIDE=FQ","FILING_STATUS=OR","EQY_CONSOLIDATED=Y","Sort=A","Dates=H","DateFormat=P","Fill=—","Direction=H","UseDPDF=Y")</f>
        <v>#NAME?</v>
      </c>
      <c r="AG164" s="1" t="e">
        <f ca="1">_xll.BDH($C$153,"SHORT_TERM_DEBT_1_YEAR_GROWTH","FQ1 2016","FQ1 2016","Currency=INR","Period=FQ","BEST_FPERIOD_OVERRIDE=FQ","FILING_STATUS=OR","EQY_CONSOLIDATED=Y","Sort=A","Dates=H","DateFormat=P","Fill=—","Direction=H","UseDPDF=Y")</f>
        <v>#NAME?</v>
      </c>
      <c r="AH164" s="1" t="e">
        <f ca="1">_xll.BDH($C$153,"TOTAL_DEBT_1_YEAR_GROWTH","FQ1 2016","FQ1 2016","Currency=INR","Period=FQ","BEST_FPERIOD_OVERRIDE=FQ","FILING_STATUS=OR","EQY_CONSOLIDATED=Y","Sort=A","Dates=H","DateFormat=P","Fill=—","Direction=H","UseDPDF=Y")</f>
        <v>#NAME?</v>
      </c>
      <c r="AI164" s="1" t="e">
        <f ca="1">_xll.BDH($C$153,"TOTAL_EQUITY_1_YEAR_GROWTH","FQ1 2016","FQ1 2016","Currency=INR","Period=FQ","BEST_FPERIOD_OVERRIDE=FQ","FILING_STATUS=OR","EQY_CONSOLIDATED=Y","Sort=A","Dates=H","DateFormat=P","Fill=—","Direction=H","UseDPDF=Y")</f>
        <v>#NAME?</v>
      </c>
      <c r="AJ164" s="1" t="e">
        <f ca="1">_xll.BDH($C$153,"GROWTH_IN_CAP","FQ1 2016","FQ1 2016","Currency=INR","Period=FQ","BEST_FPERIOD_OVERRIDE=FQ","FILING_STATUS=OR","EQY_CONSOLIDATED=Y","Sort=A","Dates=H","DateFormat=P","Fill=—","Direction=H","UseDPDF=Y")</f>
        <v>#NAME?</v>
      </c>
      <c r="AK164" s="1" t="e">
        <f ca="1">_xll.BDH($C$153,"BVPS_GROWTH","FQ1 2016","FQ1 2016","Currency=INR","Period=FQ","BEST_FPERIOD_OVERRIDE=FQ","FILING_STATUS=OR","EQY_CONSOLIDATED=Y","Sort=A","Dates=H","DateFormat=P","Fill=—","Direction=H","UseDPDF=Y")</f>
        <v>#NAME?</v>
      </c>
      <c r="AL164" s="1" t="e">
        <f ca="1">_xll.BDH($C$153,"CASH_FLOW_GROWTH","FQ1 2016","FQ1 2016","Currency=INR","Period=FQ","BEST_FPERIOD_OVERRIDE=FQ","FILING_STATUS=OR","EQY_CONSOLIDATED=Y","Sort=A","Dates=H","DateFormat=P","Fill=—","Direction=H","UseDPDF=Y")</f>
        <v>#NAME?</v>
      </c>
      <c r="AM164" s="1" t="e">
        <f ca="1">_xll.BDH($C$153,"GEO_GROW_NET_SALES","FQ1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64" s="1" t="e">
        <f ca="1">_xll.BDH($C$153,"GEO_GROW_EBITDA","FQ1 2016","FQ1 2016","Currency=INR","Period=FQ","BEST_FPERIOD_OVERRIDE=FQ","FILING_STATUS=OR","EQY_CONSOLIDATED=Y","FA_ADJUSTED=GAAP","Sort=A","Dates=H","DateFormat=P","Fill=—","Direction=H","UseDPDF=Y")</f>
        <v>#NAME?</v>
      </c>
      <c r="AO164" s="1" t="e">
        <f ca="1">_xll.BDH($C$153,"GEO_GROW_OPER_INC","FQ1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64" s="1" t="e">
        <f ca="1">_xll.BDH($C$153,"NET_INCOME_TO_COMMON_5_YR_GROWTH","FQ1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64" s="1" t="e">
        <f ca="1">_xll.BDH($C$153,"5Y_GEO_GROWTH_DILUTED_EPS","FQ1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64" s="1" t="e">
        <f ca="1">_xll.BDH($C$153,"GEO_GROW_DVD_PER_SH","FQ1 2016","FQ1 2016","Currency=INR","Period=FQ","BEST_FPERIOD_OVERRIDE=FQ","FILING_STATUS=OR","EQY_CONSOLIDATED=Y","Sort=A","Dates=H","DateFormat=P","Fill=—","Direction=H","UseDPDF=Y")</f>
        <v>#NAME?</v>
      </c>
      <c r="AS164" s="1" t="e">
        <f ca="1">_xll.BDH($C$153,"ACCOUNTS_RECEIVABLE_5_YR_GROWTH","FQ1 2016","FQ1 2016","Currency=INR","Period=FQ","BEST_FPERIOD_OVERRIDE=FQ","FILING_STATUS=OR","EQY_CONSOLIDATED=Y","Sort=A","Dates=H","DateFormat=P","Fill=—","Direction=H","UseDPDF=Y")</f>
        <v>#NAME?</v>
      </c>
      <c r="AT164" s="1" t="e">
        <f ca="1">_xll.BDH($C$153,"INVENTORY_5_YEAR_GROWTH","FQ1 2016","FQ1 2016","Currency=INR","Period=FQ","BEST_FPERIOD_OVERRIDE=FQ","FILING_STATUS=OR","EQY_CONSOLIDATED=Y","Sort=A","Dates=H","DateFormat=P","Fill=—","Direction=H","UseDPDF=Y")</f>
        <v>#NAME?</v>
      </c>
      <c r="AU164" s="1" t="e">
        <f ca="1">_xll.BDH($C$153,"NET_FIXED_ASSETS_5_YEAR_GROWTH","FQ1 2016","FQ1 2016","Currency=INR","Period=FQ","BEST_FPERIOD_OVERRIDE=FQ","FILING_STATUS=OR","EQY_CONSOLIDATED=Y","Sort=A","Dates=H","DateFormat=P","Fill=—","Direction=H","UseDPDF=Y")</f>
        <v>#NAME?</v>
      </c>
      <c r="AV164" s="1" t="e">
        <f ca="1">_xll.BDH($C$153,"GEO_GROW_TOT_ASSET","FQ1 2016","FQ1 2016","Currency=INR","Period=FQ","BEST_FPERIOD_OVERRIDE=FQ","FILING_STATUS=OR","EQY_CONSOLIDATED=Y","Sort=A","Dates=H","DateFormat=P","Fill=—","Direction=H","UseDPDF=Y")</f>
        <v>#NAME?</v>
      </c>
      <c r="AW164" s="1" t="e">
        <f ca="1">_xll.BDH($C$153,"MODIFIED_WORKING_CPTL_5YR_GRWTH","FQ1 2016","FQ1 2016","Currency=INR","Period=FQ","BEST_FPERIOD_OVERRIDE=FQ","FILING_STATUS=OR","EQY_CONSOLIDATED=Y","Sort=A","Dates=H","DateFormat=P","Fill=—","Direction=H","UseDPDF=Y")</f>
        <v>#NAME?</v>
      </c>
      <c r="AX164" s="1" t="e">
        <f ca="1">_xll.BDH($C$153,"WORKING_CAPITAL_5_YEAR_GROWTH","FQ1 2016","FQ1 2016","Currency=INR","Period=FQ","BEST_FPERIOD_OVERRIDE=FQ","FILING_STATUS=OR","EQY_CONSOLIDATED=Y","Sort=A","Dates=H","DateFormat=P","Fill=—","Direction=H","UseDPDF=Y")</f>
        <v>#NAME?</v>
      </c>
      <c r="AY164" s="1" t="e">
        <f ca="1">_xll.BDH($C$153,"ACCOUNTS_PAYABLE_5_YEAR_GROWTH","FQ1 2016","FQ1 2016","Currency=INR","Period=FQ","BEST_FPERIOD_OVERRIDE=FQ","FILING_STATUS=OR","EQY_CONSOLIDATED=Y","Sort=A","Dates=H","DateFormat=P","Fill=—","Direction=H","UseDPDF=Y")</f>
        <v>#NAME?</v>
      </c>
      <c r="AZ164" s="1" t="e">
        <f ca="1">_xll.BDH($C$153,"SHORT_TERM_DEBT_5_YEAR_GROWTH","FQ1 2016","FQ1 2016","Currency=INR","Period=FQ","BEST_FPERIOD_OVERRIDE=FQ","FILING_STATUS=OR","EQY_CONSOLIDATED=Y","Sort=A","Dates=H","DateFormat=P","Fill=—","Direction=H","UseDPDF=Y")</f>
        <v>#NAME?</v>
      </c>
      <c r="BA164" s="1" t="e">
        <f ca="1">_xll.BDH($C$153,"TOTAL_DEBT_5_YEAR_GROWTH","FQ1 2016","FQ1 2016","Currency=INR","Period=FQ","BEST_FPERIOD_OVERRIDE=FQ","FILING_STATUS=OR","EQY_CONSOLIDATED=Y","Sort=A","Dates=H","DateFormat=P","Fill=—","Direction=H","UseDPDF=Y")</f>
        <v>#NAME?</v>
      </c>
      <c r="BB164" s="1" t="e">
        <f ca="1">_xll.BDH($C$153,"GEO_GROW_TOT_SHRHLDR_EQY","FQ1 2016","FQ1 2016","Currency=INR","Period=FQ","BEST_FPERIOD_OVERRIDE=FQ","FILING_STATUS=OR","EQY_CONSOLIDATED=Y","Sort=A","Dates=H","DateFormat=P","Fill=—","Direction=H","UseDPDF=Y")</f>
        <v>#NAME?</v>
      </c>
      <c r="BC164" s="1" t="e">
        <f ca="1">_xll.BDH($C$153,"TOTAL_CAPITAL_5_YEAR_GROWTH","FQ1 2016","FQ1 2016","Currency=INR","Period=FQ","BEST_FPERIOD_OVERRIDE=FQ","FILING_STATUS=OR","EQY_CONSOLIDATED=Y","Sort=A","Dates=H","DateFormat=P","Fill=—","Direction=H","UseDPDF=Y")</f>
        <v>#NAME?</v>
      </c>
      <c r="BD164" s="1" t="e">
        <f ca="1">_xll.BDH($C$153,"GEO_GROW_BOOK_VAL","FQ1 2016","FQ1 2016","Currency=INR","Period=FQ","BEST_FPERIOD_OVERRIDE=FQ","FILING_STATUS=OR","EQY_CONSOLIDATED=Y","Sort=A","Dates=H","DateFormat=P","Fill=—","Direction=H","UseDPDF=Y")</f>
        <v>#NAME?</v>
      </c>
      <c r="BE164" s="1" t="e">
        <f ca="1">_xll.BDH($C$153,"GEO_GROW_CASH_OPER_ACT","FQ1 2016","FQ1 2016","Currency=INR","Period=FQ","BEST_FPERIOD_OVERRIDE=FQ","FILING_STATUS=OR","EQY_CONSOLIDATED=Y","Sort=A","Dates=H","DateFormat=P","Fill=—","Direction=H","UseDPDF=Y")</f>
        <v>#NAME?</v>
      </c>
      <c r="BF164" s="1" t="e">
        <f ca="1">_xll.BDH($C$153,"REVENUE_SEQUENTIAL_GROWTH","FQ1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64" s="1" t="e">
        <f ca="1">_xll.BDH($C$153,"EBITDA_SEQUENTIAL_GROWTH","FQ1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64" s="1" t="e">
        <f ca="1">_xll.BDH($C$153,"OPERATING_INCOME_SEQ_GROWTH","FQ1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64" s="1" t="e">
        <f ca="1">_xll.BDH($C$153,"NET_INCOME_TO_COMMON_SEQ_GROWTH","FQ1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64" s="1" t="e">
        <f ca="1">_xll.BDH($C$153,"EPS_DILUTED_SEQUENTIAL_GROWTH","FQ1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64" s="1" t="e">
        <f ca="1">_xll.BDH($C$153,"DPS_SEQUENTIAL_GROWTH","FQ1 2016","FQ1 2016","Currency=INR","Period=FQ","BEST_FPERIOD_OVERRIDE=FQ","FILING_STATUS=OR","EQY_CONSOLIDATED=Y","Sort=A","Dates=H","DateFormat=P","Fill=—","Direction=H","UseDPDF=Y")</f>
        <v>#NAME?</v>
      </c>
      <c r="BL164" s="1" t="e">
        <f ca="1">_xll.BDH($C$153,"ACCOUNTS_RECEIVABLE_SEQ_GROWTH","FQ1 2016","FQ1 2016","Currency=INR","Period=FQ","BEST_FPERIOD_OVERRIDE=FQ","FILING_STATUS=OR","EQY_CONSOLIDATED=Y","Sort=A","Dates=H","DateFormat=P","Fill=—","Direction=H","UseDPDF=Y")</f>
        <v>#NAME?</v>
      </c>
      <c r="BM164" s="1" t="e">
        <f ca="1">_xll.BDH($C$153,"INVENTORY_SEQUENTIAL_GROWTH","FQ1 2016","FQ1 2016","Currency=INR","Period=FQ","BEST_FPERIOD_OVERRIDE=FQ","FILING_STATUS=OR","EQY_CONSOLIDATED=Y","Sort=A","Dates=H","DateFormat=P","Fill=—","Direction=H","UseDPDF=Y")</f>
        <v>#NAME?</v>
      </c>
      <c r="BN164" s="1" t="e">
        <f ca="1">_xll.BDH($C$153,"FIXED_ASSETS_SEQUENTIAL_GROWTH","FQ1 2016","FQ1 2016","Currency=INR","Period=FQ","BEST_FPERIOD_OVERRIDE=FQ","FILING_STATUS=OR","EQY_CONSOLIDATED=Y","Sort=A","Dates=H","DateFormat=P","Fill=—","Direction=H","UseDPDF=Y")</f>
        <v>#NAME?</v>
      </c>
      <c r="BO164" s="1" t="e">
        <f ca="1">_xll.BDH($C$153,"TOTAL_ASSETS_SEQUENTIAL_GROWTH","FQ1 2016","FQ1 2016","Currency=INR","Period=FQ","BEST_FPERIOD_OVERRIDE=FQ","FILING_STATUS=OR","EQY_CONSOLIDATED=Y","Sort=A","Dates=H","DateFormat=P","Fill=—","Direction=H","UseDPDF=Y")</f>
        <v>#NAME?</v>
      </c>
      <c r="BP164" s="1" t="e">
        <f ca="1">_xll.BDH($C$153,"MODIFIED_WORKING_CPTL_SEQ_GRWTH","FQ1 2016","FQ1 2016","Currency=INR","Period=FQ","BEST_FPERIOD_OVERRIDE=FQ","FILING_STATUS=OR","EQY_CONSOLIDATED=Y","Sort=A","Dates=H","DateFormat=P","Fill=—","Direction=H","UseDPDF=Y")</f>
        <v>#NAME?</v>
      </c>
      <c r="BQ164" s="1" t="e">
        <f ca="1">_xll.BDH($C$153,"WORKING_CAPITAL_SEQ_GROWTH","FQ1 2016","FQ1 2016","Currency=INR","Period=FQ","BEST_FPERIOD_OVERRIDE=FQ","FILING_STATUS=OR","EQY_CONSOLIDATED=Y","Sort=A","Dates=H","DateFormat=P","Fill=—","Direction=H","UseDPDF=Y")</f>
        <v>#NAME?</v>
      </c>
      <c r="BR164" s="1" t="e">
        <f ca="1">_xll.BDH($C$153,"ACCOUNTS_PAYABLE_SEQ_GROWTH","FQ1 2016","FQ1 2016","Currency=INR","Period=FQ","BEST_FPERIOD_OVERRIDE=FQ","FILING_STATUS=OR","EQY_CONSOLIDATED=Y","Sort=A","Dates=H","DateFormat=P","Fill=—","Direction=H","UseDPDF=Y")</f>
        <v>#NAME?</v>
      </c>
      <c r="BS164" s="1" t="e">
        <f ca="1">_xll.BDH($C$153,"ST_DEBT_SEQUENTIAL_GROWTH","FQ1 2016","FQ1 2016","Currency=INR","Period=FQ","BEST_FPERIOD_OVERRIDE=FQ","FILING_STATUS=OR","EQY_CONSOLIDATED=Y","Sort=A","Dates=H","DateFormat=P","Fill=—","Direction=H","UseDPDF=Y")</f>
        <v>#NAME?</v>
      </c>
      <c r="BT164" s="1" t="e">
        <f ca="1">_xll.BDH($C$153,"TOTAL_DEBT_SEQUENTIAL_GROWTH","FQ1 2016","FQ1 2016","Currency=INR","Period=FQ","BEST_FPERIOD_OVERRIDE=FQ","FILING_STATUS=OR","EQY_CONSOLIDATED=Y","Sort=A","Dates=H","DateFormat=P","Fill=—","Direction=H","UseDPDF=Y")</f>
        <v>#NAME?</v>
      </c>
      <c r="BU164" s="1" t="e">
        <f ca="1">_xll.BDH($C$153,"TOTAL_EQUITY_SEQUENTIAL_GROWTH","FQ1 2016","FQ1 2016","Currency=INR","Period=FQ","BEST_FPERIOD_OVERRIDE=FQ","FILING_STATUS=OR","EQY_CONSOLIDATED=Y","Sort=A","Dates=H","DateFormat=P","Fill=—","Direction=H","UseDPDF=Y")</f>
        <v>#NAME?</v>
      </c>
      <c r="BV164" s="1" t="e">
        <f ca="1">_xll.BDH($C$153,"TOTAL_CAPITAL_SEQUENTIAL_GROWTH","FQ1 2016","FQ1 2016","Currency=INR","Period=FQ","BEST_FPERIOD_OVERRIDE=FQ","FILING_STATUS=OR","EQY_CONSOLIDATED=Y","Sort=A","Dates=H","DateFormat=P","Fill=—","Direction=H","UseDPDF=Y")</f>
        <v>#NAME?</v>
      </c>
      <c r="BW164" s="1" t="e">
        <f ca="1">_xll.BDH($C$153,"BPS_SEQUENTIAL_GROWTH","FQ1 2016","FQ1 2016","Currency=INR","Period=FQ","BEST_FPERIOD_OVERRIDE=FQ","FILING_STATUS=OR","EQY_CONSOLIDATED=Y","Sort=A","Dates=H","DateFormat=P","Fill=—","Direction=H","UseDPDF=Y")</f>
        <v>#NAME?</v>
      </c>
      <c r="BX164" s="1" t="e">
        <f ca="1">_xll.BDH($C$153,"CFO_SEQUENTIAL_GROWTH","FQ1 2016","FQ1 2016","Currency=INR","Period=FQ","BEST_FPERIOD_OVERRIDE=FQ","FILING_STATUS=OR","EQY_CONSOLIDATED=Y","Sort=A","Dates=H","DateFormat=P","Fill=—","Direction=H","UseDPDF=Y")</f>
        <v>#NAME?</v>
      </c>
      <c r="BY164" s="2" t="e">
        <f ca="1">_xll.BDH($C$153,"SHORT_AND_LONG_TERM_DEBT","FQ1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64" s="2" t="e">
        <f ca="1">_xll.BDH($C$153,"BS_ST_BORROW","FQ1 2016","FQ1 2016","Currency=INR","Period=FQ","BEST_FPERIOD_OVERRIDE=FQ","FILING_STATUS=OR","EQY_CONSOLIDATED=Y","SCALING_FORMAT=MLN","Sort=A","Dates=H","DateFormat=P","Fill=—","Direction=H","UseDPDF=Y")</f>
        <v>#NAME?</v>
      </c>
      <c r="CA164" s="2" t="e">
        <f ca="1">_xll.BDH($C$153,"BS_LT_BORROW","FQ1 2016","FQ1 2016","Currency=INR","Period=FQ","BEST_FPERIOD_OVERRIDE=FQ","FILING_STATUS=OR","EQY_CONSOLIDATED=Y","SCALING_FORMAT=MLN","Sort=A","Dates=H","DateFormat=P","Fill=—","Direction=H","UseDPDF=Y")</f>
        <v>#NAME?</v>
      </c>
      <c r="CB164" s="1" t="e">
        <f ca="1">_xll.BDH($C$153,"TOT_DEBT_TO_EBITDA","FQ1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64" s="1" t="e">
        <f ca="1">_xll.BDH($C$153,"NET_DEBT_TO_EBITDA","FQ1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64" s="1" t="e">
        <f ca="1">_xll.BDH($C$153,"TOTAL_DEBT_TO_EBIT","FQ1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64" s="1" t="e">
        <f ca="1">_xll.BDH($C$153,"NET_DEBT_TO_EBIT","FQ1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164" s="1" t="e">
        <f ca="1">_xll.BDH($C$153,"EBITDA_TO_INTEREST_EXPN","FQ1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64" s="1" t="e">
        <f ca="1">_xll.BDH($C$153,"COM_EQY_TO_TOT_ASSET","FQ1 2016","FQ1 2016","Currency=INR","Period=FQ","BEST_FPERIOD_OVERRIDE=FQ","FILING_STATUS=OR","EQY_CONSOLIDATED=Y","Sort=A","Dates=H","DateFormat=P","Fill=—","Direction=H","UseDPDF=Y")</f>
        <v>#NAME?</v>
      </c>
      <c r="CH164" s="1" t="e">
        <f ca="1">_xll.BDH($C$153,"LT_DEBT_TO_TOT_EQY","FQ1 2016","FQ1 2016","Currency=INR","Period=FQ","BEST_FPERIOD_OVERRIDE=FQ","FILING_STATUS=OR","EQY_CONSOLIDATED=Y","Sort=A","Dates=H","DateFormat=P","Fill=—","Direction=H","UseDPDF=Y")</f>
        <v>#NAME?</v>
      </c>
      <c r="CI164" s="1" t="e">
        <f ca="1">_xll.BDH($C$153,"LT_DEBT_TO_TOT_CAP","FQ1 2016","FQ1 2016","Currency=INR","Period=FQ","BEST_FPERIOD_OVERRIDE=FQ","FILING_STATUS=OR","EQY_CONSOLIDATED=Y","Sort=A","Dates=H","DateFormat=P","Fill=—","Direction=H","UseDPDF=Y")</f>
        <v>#NAME?</v>
      </c>
      <c r="CJ164" s="1" t="e">
        <f ca="1">_xll.BDH($C$153,"LT_DEBT_TO_TOT_ASSET","FQ1 2016","FQ1 2016","Currency=INR","Period=FQ","BEST_FPERIOD_OVERRIDE=FQ","FILING_STATUS=OR","EQY_CONSOLIDATED=Y","Sort=A","Dates=H","DateFormat=P","Fill=—","Direction=H","UseDPDF=Y")</f>
        <v>#NAME?</v>
      </c>
      <c r="CK164" s="1" t="e">
        <f ca="1">_xll.BDH($C$153,"TOT_DEBT_TO_TOT_EQY","FQ1 2016","FQ1 2016","Currency=INR","Period=FQ","BEST_FPERIOD_OVERRIDE=FQ","FILING_STATUS=OR","EQY_CONSOLIDATED=Y","Sort=A","Dates=H","DateFormat=P","Fill=—","Direction=H","UseDPDF=Y")</f>
        <v>#NAME?</v>
      </c>
      <c r="CL164" s="1" t="e">
        <f ca="1">_xll.BDH($C$153,"TOT_DEBT_TO_TOT_CAP","FQ1 2016","FQ1 2016","Currency=INR","Period=FQ","BEST_FPERIOD_OVERRIDE=FQ","FILING_STATUS=OR","EQY_CONSOLIDATED=Y","Sort=A","Dates=H","DateFormat=P","Fill=—","Direction=H","UseDPDF=Y")</f>
        <v>#NAME?</v>
      </c>
      <c r="CM164" s="1" t="e">
        <f ca="1">_xll.BDH($C$153,"TOT_DEBT_TO_TOT_ASSET","FQ1 2016","FQ1 2016","Currency=INR","Period=FQ","BEST_FPERIOD_OVERRIDE=FQ","FILING_STATUS=OR","EQY_CONSOLIDATED=Y","Sort=A","Dates=H","DateFormat=P","Fill=—","Direction=H","UseDPDF=Y")</f>
        <v>#NAME?</v>
      </c>
      <c r="CN164" s="1" t="e">
        <f ca="1">_xll.BDH($C$153,"NET_DEBT_TO_SHRHLDR_EQTY","FQ1 2016","FQ1 2016","Currency=INR","Period=FQ","BEST_FPERIOD_OVERRIDE=FQ","FILING_STATUS=OR","EQY_CONSOLIDATED=Y","Sort=A","Dates=H","DateFormat=P","Fill=—","Direction=H","UseDPDF=Y")</f>
        <v>#NAME?</v>
      </c>
      <c r="CO164" s="1" t="e">
        <f ca="1">_xll.BDH($C$153,"NET_DEBT_%_CAPITAL","FQ1 2016","FQ1 2016","Currency=INR","Period=FQ","BEST_FPERIOD_OVERRIDE=FQ","FILING_STATUS=OR","EQY_CONSOLIDATED=Y","Sort=A","Dates=H","DateFormat=P","Fill=—","Direction=H","UseDPDF=Y")</f>
        <v>#NAME?</v>
      </c>
      <c r="CP164" s="2" t="e">
        <f ca="1">_xll.BDH($C$153,"EBITDA","FQ1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64" s="2" t="e">
        <f ca="1">_xll.BDH($C$153,"EBITDA_AFTER_CAPEX","FQ1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64" s="2" t="e">
        <f ca="1">_xll.BDH($C$153,"IS_OPER_INC","FQ1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64" s="1" t="e">
        <f ca="1">_xll.BDH($C$153,"CASH_RATIO","FQ1 2016","FQ1 2016","Currency=INR","Period=FQ","BEST_FPERIOD_OVERRIDE=FQ","FILING_STATUS=OR","EQY_CONSOLIDATED=Y","Sort=A","Dates=H","DateFormat=P","Fill=—","Direction=H","UseDPDF=Y")</f>
        <v>#NAME?</v>
      </c>
      <c r="CT164" s="1" t="e">
        <f ca="1">_xll.BDH($C$153,"CUR_RATIO","FQ1 2016","FQ1 2016","Currency=INR","Period=FQ","BEST_FPERIOD_OVERRIDE=FQ","FILING_STATUS=OR","EQY_CONSOLIDATED=Y","Sort=A","Dates=H","DateFormat=P","Fill=—","Direction=H","UseDPDF=Y")</f>
        <v>#NAME?</v>
      </c>
      <c r="CU164" s="1" t="e">
        <f ca="1">_xll.BDH($C$153,"QUICK_RATIO","FQ1 2016","FQ1 2016","Currency=INR","Period=FQ","BEST_FPERIOD_OVERRIDE=FQ","FILING_STATUS=OR","EQY_CONSOLIDATED=Y","Sort=A","Dates=H","DateFormat=P","Fill=—","Direction=H","UseDPDF=Y")</f>
        <v>#NAME?</v>
      </c>
      <c r="CV164" s="1" t="e">
        <f ca="1">_xll.BDH($C$153,"ALTMAN_Z_SCORE","FQ1 2016","FQ1 2016","Currency=INR","Period=FQ","BEST_FPERIOD_OVERRIDE=FQ","FILING_STATUS=OR","EQY_CONSOLIDATED=Y","Sort=A","Dates=H","DateFormat=P","Fill=—","Direction=H","UseDPDF=Y")</f>
        <v>#NAME?</v>
      </c>
      <c r="CW164" s="3" t="e">
        <f ca="1">_xll.BDH($C$153,"ACCT_RCV_TURN","FQ1 2016","FQ1 2016","Currency=INR","Period=FQ","BEST_FPERIOD_OVERRIDE=FQ","FILING_STATUS=OR","EQY_CONSOLIDATED=Y","FA_ADJUSTED=GAAP","Sort=A","Dates=H","DateFormat=P","Fill=—","Direction=H","UseDPDF=Y")</f>
        <v>#NAME?</v>
      </c>
      <c r="CX164" s="1" t="e">
        <f ca="1">_xll.BDH($C$153,"ACCT_RCV_DAYS","FQ1 2016","FQ1 2016","Currency=INR","Period=FQ","BEST_FPERIOD_OVERRIDE=FQ","FILING_STATUS=OR","EQY_CONSOLIDATED=Y","FA_ADJUSTED=GAAP","Sort=A","Dates=H","DateFormat=P","Fill=—","Direction=H","UseDPDF=Y")</f>
        <v>#NAME?</v>
      </c>
      <c r="CY164" s="3" t="e">
        <f ca="1">_xll.BDH($C$153,"INVENT_TURN","FQ1 2016","FQ1 2016","Currency=INR","Period=FQ","BEST_FPERIOD_OVERRIDE=FQ","FILING_STATUS=OR","EQY_CONSOLIDATED=Y","FA_ADJUSTED=GAAP","Sort=A","Dates=H","DateFormat=P","Fill=—","Direction=H","UseDPDF=Y")</f>
        <v>#NAME?</v>
      </c>
      <c r="CZ164" s="1" t="e">
        <f ca="1">_xll.BDH($C$153,"INVENT_DAYS","FQ1 2016","FQ1 2016","Currency=INR","Period=FQ","BEST_FPERIOD_OVERRIDE=FQ","FILING_STATUS=OR","EQY_CONSOLIDATED=Y","FA_ADJUSTED=GAAP","Sort=A","Dates=H","DateFormat=P","Fill=—","Direction=H","UseDPDF=Y")</f>
        <v>#NAME?</v>
      </c>
      <c r="DA164" s="3" t="e">
        <f ca="1">_xll.BDH($C$153,"ACCOUNTS_PAYABLE_TURNOVER","FQ1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64" s="1" t="e">
        <f ca="1">_xll.BDH($C$153,"ACCOUNTS_PAYABLE_TURNOVER_DAYS","FQ1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64" s="3" t="e">
        <f ca="1">_xll.BDH($C$153,"CASH_CONVERSION_CYCLE","FQ1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64" s="3" t="e">
        <f ca="1">_xll.BDH($C$153,"INV_TO_CASH_DAYS","FQ1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164" s="4" t="e">
        <f ca="1">_xll.BDH($C$153,"BS_INVENTORIES","FQ1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164" s="2" t="e">
        <f ca="1">_xll.BDH($C$153,"INVTRY_RAW_MATERIALS","FQ1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64" s="2" t="e">
        <f ca="1">_xll.BDH($C$153,"INVTRY_IN_PROGRESS","FQ1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64" s="2" t="e">
        <f ca="1">_xll.BDH($C$153,"INVTRY_FINISHED_GOODS","FQ1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64" s="2" t="e">
        <f ca="1">_xll.BDH($C$153,"BS_OTHER_INV","FQ1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65" spans="1:113" x14ac:dyDescent="0.3">
      <c r="A165" s="6"/>
      <c r="B165" s="6"/>
      <c r="C165" s="6"/>
      <c r="D165" s="6"/>
      <c r="E165" t="s">
        <v>5</v>
      </c>
      <c r="F165" t="e">
        <f ca="1">_xll.BDH($C$153,"RETURN_COM_EQY","FQ2 2016","FQ2 2016","Currency=INR","Period=FQ","BEST_FPERIOD_OVERRIDE=FQ","FILING_STATUS=OR","EQY_CONSOLIDATED=Y","FA_ADJUSTED=GAAP","Sort=A","Dates=H","DateFormat=P","Fill=—","Direction=H","UseDPDF=Y")</f>
        <v>#NAME?</v>
      </c>
      <c r="G165" t="e">
        <f ca="1">_xll.BDH($C$153,"RETURN_ON_ASSET","FQ2 2016","FQ2 2016","Currency=INR","Period=FQ","BEST_FPERIOD_OVERRIDE=FQ","FILING_STATUS=OR","EQY_CONSOLIDATED=Y","FA_ADJUSTED=GAAP","Sort=A","Dates=H","DateFormat=P","Fill=—","Direction=H","UseDPDF=Y")</f>
        <v>#NAME?</v>
      </c>
      <c r="H165" t="e">
        <f ca="1">_xll.BDH($C$153,"RETURN_ON_CAP","FQ2 2016","FQ2 2016","Currency=INR","Period=FQ","BEST_FPERIOD_OVERRIDE=FQ","FILING_STATUS=OR","EQY_CONSOLIDATED=Y","FA_ADJUSTED=GAAP","Sort=A","Dates=H","DateFormat=P","Fill=—","Direction=H","UseDPDF=Y")</f>
        <v>#NAME?</v>
      </c>
      <c r="I165" t="e">
        <f ca="1">_xll.BDH($C$153,"RETURN_ON_INV_CAPITAL","FQ2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65" t="e">
        <f ca="1">_xll.BDH($C$153,"EBITDA_TO_REVENUE","FQ2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165" t="e">
        <f ca="1">_xll.BDH($C$153,"OPER_MARGIN","FQ2 2016","FQ2 2016","Currency=INR","Period=FQ","BEST_FPERIOD_OVERRIDE=FQ","FILING_STATUS=OR","EQY_CONSOLIDATED=Y","FA_ADJUSTED=GAAP","Sort=A","Dates=H","DateFormat=P","Fill=—","Direction=H","UseDPDF=Y")</f>
        <v>#NAME?</v>
      </c>
      <c r="L165" t="e">
        <f ca="1">_xll.BDH($C$153,"INCREMENTAL_OPERATING_MARGIN","FQ2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65" t="e">
        <f ca="1">_xll.BDH($C$153,"PRETAX_INC_TO_NET_SALES","FQ2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65" t="e">
        <f ca="1">_xll.BDH($C$153,"INC_BEF_XO_ITEMS_TO_NET_SALES","FQ2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65" t="e">
        <f ca="1">_xll.BDH($C$153,"PROF_MARGIN","FQ2 2016","FQ2 2016","Currency=INR","Period=FQ","BEST_FPERIOD_OVERRIDE=FQ","FILING_STATUS=OR","EQY_CONSOLIDATED=Y","FA_ADJUSTED=GAAP","Sort=A","Dates=H","DateFormat=P","Fill=—","Direction=H","UseDPDF=Y")</f>
        <v>#NAME?</v>
      </c>
      <c r="P165" t="e">
        <f ca="1">_xll.BDH($C$153,"NET_INCOME_TO_COMMON_MARGIN","FQ2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65" t="e">
        <f ca="1">_xll.BDH($C$153,"EFF_TAX_RATE","FQ2 2016","FQ2 2016","Currency=INR","Period=FQ","BEST_FPERIOD_OVERRIDE=FQ","FILING_STATUS=OR","EQY_CONSOLIDATED=Y","FA_ADJUSTED=GAAP","Sort=A","Dates=H","DateFormat=P","Fill=—","Direction=H","UseDPDF=Y")</f>
        <v>#NAME?</v>
      </c>
      <c r="R165" t="e">
        <f ca="1">_xll.BDH($C$153,"DVD_PAYOUT_RATIO","FQ2 2016","FQ2 2016","Currency=INR","Period=FQ","BEST_FPERIOD_OVERRIDE=FQ","FILING_STATUS=OR","EQY_CONSOLIDATED=Y","FA_ADJUSTED=GAAP","Sort=A","Dates=H","DateFormat=P","Fill=—","Direction=H","UseDPDF=Y")</f>
        <v>#NAME?</v>
      </c>
      <c r="S165" t="e">
        <f ca="1">_xll.BDH($C$153,"SUSTAIN_GROWTH_RT","FQ2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165" s="1" t="e">
        <f ca="1">_xll.BDH($C$153,"SALES_GROWTH","FQ2 2016","FQ2 2016","Currency=INR","Period=FQ","BEST_FPERIOD_OVERRIDE=FQ","FILING_STATUS=OR","EQY_CONSOLIDATED=Y","FA_ADJUSTED=GAAP","Sort=A","Dates=H","DateFormat=P","Fill=—","Direction=H","UseDPDF=Y")</f>
        <v>#NAME?</v>
      </c>
      <c r="U165" s="1" t="e">
        <f ca="1">_xll.BDH($C$153,"EBITDA_GROWTH","FQ2 2016","FQ2 2016","Currency=INR","Period=FQ","BEST_FPERIOD_OVERRIDE=FQ","FILING_STATUS=OR","EQY_CONSOLIDATED=Y","FA_ADJUSTED=GAAP","Sort=A","Dates=H","DateFormat=P","Fill=—","Direction=H","UseDPDF=Y")</f>
        <v>#NAME?</v>
      </c>
      <c r="V165" s="1" t="e">
        <f ca="1">_xll.BDH($C$153,"OPER_INC_GROWTH","FQ2 2016","FQ2 2016","Currency=INR","Period=FQ","BEST_FPERIOD_OVERRIDE=FQ","FILING_STATUS=OR","EQY_CONSOLIDATED=Y","FA_ADJUSTED=GAAP","Sort=A","Dates=H","DateFormat=P","Fill=—","Direction=H","UseDPDF=Y")</f>
        <v>#NAME?</v>
      </c>
      <c r="W165" s="1" t="e">
        <f ca="1">_xll.BDH($C$153,"EARN_FOR_COM_GROWTH","FQ2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65" s="1" t="e">
        <f ca="1">_xll.BDH($C$153,"DILUTED_EPS_AFT_XO_ITEMS_GROWTH","FQ2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65" s="1" t="e">
        <f ca="1">_xll.BDH($C$153,"DIVIDEND_PER_SHARE_1_YEAR_GROWTH","FQ2 2016","FQ2 2016","Currency=INR","Period=FQ","BEST_FPERIOD_OVERRIDE=FQ","FILING_STATUS=OR","EQY_CONSOLIDATED=Y","Sort=A","Dates=H","DateFormat=P","Fill=—","Direction=H","UseDPDF=Y")</f>
        <v>#NAME?</v>
      </c>
      <c r="Z165" s="1" t="e">
        <f ca="1">_xll.BDH($C$153,"ACCOUNTS_RECEIVABLE_GROWTH","FQ2 2016","FQ2 2016","Currency=INR","Period=FQ","BEST_FPERIOD_OVERRIDE=FQ","FILING_STATUS=OR","EQY_CONSOLIDATED=Y","Sort=A","Dates=H","DateFormat=P","Fill=—","Direction=H","UseDPDF=Y")</f>
        <v>#NAME?</v>
      </c>
      <c r="AA165" s="1" t="e">
        <f ca="1">_xll.BDH($C$153,"INVENTORY_GROWTH","FQ2 2016","FQ2 2016","Currency=INR","Period=FQ","BEST_FPERIOD_OVERRIDE=FQ","FILING_STATUS=OR","EQY_CONSOLIDATED=Y","Sort=A","Dates=H","DateFormat=P","Fill=—","Direction=H","UseDPDF=Y")</f>
        <v>#NAME?</v>
      </c>
      <c r="AB165" s="1" t="e">
        <f ca="1">_xll.BDH($C$153,"NET_FIXED_ASSETS_1_YEAR_GROWTH","FQ2 2016","FQ2 2016","Currency=INR","Period=FQ","BEST_FPERIOD_OVERRIDE=FQ","FILING_STATUS=OR","EQY_CONSOLIDATED=Y","Sort=A","Dates=H","DateFormat=P","Fill=—","Direction=H","UseDPDF=Y")</f>
        <v>#NAME?</v>
      </c>
      <c r="AC165" s="1" t="e">
        <f ca="1">_xll.BDH($C$153,"ASSET_GROWTH","FQ2 2016","FQ2 2016","Currency=INR","Period=FQ","BEST_FPERIOD_OVERRIDE=FQ","FILING_STATUS=OR","EQY_CONSOLIDATED=Y","Sort=A","Dates=H","DateFormat=P","Fill=—","Direction=H","UseDPDF=Y")</f>
        <v>#NAME?</v>
      </c>
      <c r="AD165" s="1" t="e">
        <f ca="1">_xll.BDH($C$153,"MODIFIED_WORK_CAP_GROWTH","FQ2 2016","FQ2 2016","Currency=INR","Period=FQ","BEST_FPERIOD_OVERRIDE=FQ","FILING_STATUS=OR","EQY_CONSOLIDATED=Y","Sort=A","Dates=H","DateFormat=P","Fill=—","Direction=H","UseDPDF=Y")</f>
        <v>#NAME?</v>
      </c>
      <c r="AE165" s="1" t="e">
        <f ca="1">_xll.BDH($C$153,"WORK_CAP_GROWTH","FQ2 2016","FQ2 2016","Currency=INR","Period=FQ","BEST_FPERIOD_OVERRIDE=FQ","FILING_STATUS=OR","EQY_CONSOLIDATED=Y","Sort=A","Dates=H","DateFormat=P","Fill=—","Direction=H","UseDPDF=Y")</f>
        <v>#NAME?</v>
      </c>
      <c r="AF165" s="1" t="e">
        <f ca="1">_xll.BDH($C$153,"ACCOUNTS_PAYABLE_GROWTH_1YR","FQ2 2016","FQ2 2016","Currency=INR","Period=FQ","BEST_FPERIOD_OVERRIDE=FQ","FILING_STATUS=OR","EQY_CONSOLIDATED=Y","Sort=A","Dates=H","DateFormat=P","Fill=—","Direction=H","UseDPDF=Y")</f>
        <v>#NAME?</v>
      </c>
      <c r="AG165" s="1" t="e">
        <f ca="1">_xll.BDH($C$153,"SHORT_TERM_DEBT_1_YEAR_GROWTH","FQ2 2016","FQ2 2016","Currency=INR","Period=FQ","BEST_FPERIOD_OVERRIDE=FQ","FILING_STATUS=OR","EQY_CONSOLIDATED=Y","Sort=A","Dates=H","DateFormat=P","Fill=—","Direction=H","UseDPDF=Y")</f>
        <v>#NAME?</v>
      </c>
      <c r="AH165" s="1" t="e">
        <f ca="1">_xll.BDH($C$153,"TOTAL_DEBT_1_YEAR_GROWTH","FQ2 2016","FQ2 2016","Currency=INR","Period=FQ","BEST_FPERIOD_OVERRIDE=FQ","FILING_STATUS=OR","EQY_CONSOLIDATED=Y","Sort=A","Dates=H","DateFormat=P","Fill=—","Direction=H","UseDPDF=Y")</f>
        <v>#NAME?</v>
      </c>
      <c r="AI165" s="1" t="e">
        <f ca="1">_xll.BDH($C$153,"TOTAL_EQUITY_1_YEAR_GROWTH","FQ2 2016","FQ2 2016","Currency=INR","Period=FQ","BEST_FPERIOD_OVERRIDE=FQ","FILING_STATUS=OR","EQY_CONSOLIDATED=Y","Sort=A","Dates=H","DateFormat=P","Fill=—","Direction=H","UseDPDF=Y")</f>
        <v>#NAME?</v>
      </c>
      <c r="AJ165" s="1" t="e">
        <f ca="1">_xll.BDH($C$153,"GROWTH_IN_CAP","FQ2 2016","FQ2 2016","Currency=INR","Period=FQ","BEST_FPERIOD_OVERRIDE=FQ","FILING_STATUS=OR","EQY_CONSOLIDATED=Y","Sort=A","Dates=H","DateFormat=P","Fill=—","Direction=H","UseDPDF=Y")</f>
        <v>#NAME?</v>
      </c>
      <c r="AK165" s="1" t="e">
        <f ca="1">_xll.BDH($C$153,"BVPS_GROWTH","FQ2 2016","FQ2 2016","Currency=INR","Period=FQ","BEST_FPERIOD_OVERRIDE=FQ","FILING_STATUS=OR","EQY_CONSOLIDATED=Y","Sort=A","Dates=H","DateFormat=P","Fill=—","Direction=H","UseDPDF=Y")</f>
        <v>#NAME?</v>
      </c>
      <c r="AL165" s="1" t="e">
        <f ca="1">_xll.BDH($C$153,"CASH_FLOW_GROWTH","FQ2 2016","FQ2 2016","Currency=INR","Period=FQ","BEST_FPERIOD_OVERRIDE=FQ","FILING_STATUS=OR","EQY_CONSOLIDATED=Y","Sort=A","Dates=H","DateFormat=P","Fill=—","Direction=H","UseDPDF=Y")</f>
        <v>#NAME?</v>
      </c>
      <c r="AM165" s="1" t="e">
        <f ca="1">_xll.BDH($C$153,"GEO_GROW_NET_SALES","FQ2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65" s="1" t="e">
        <f ca="1">_xll.BDH($C$153,"GEO_GROW_EBITDA","FQ2 2016","FQ2 2016","Currency=INR","Period=FQ","BEST_FPERIOD_OVERRIDE=FQ","FILING_STATUS=OR","EQY_CONSOLIDATED=Y","FA_ADJUSTED=GAAP","Sort=A","Dates=H","DateFormat=P","Fill=—","Direction=H","UseDPDF=Y")</f>
        <v>#NAME?</v>
      </c>
      <c r="AO165" s="1" t="e">
        <f ca="1">_xll.BDH($C$153,"GEO_GROW_OPER_INC","FQ2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65" s="1" t="e">
        <f ca="1">_xll.BDH($C$153,"NET_INCOME_TO_COMMON_5_YR_GROWTH","FQ2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65" s="1" t="e">
        <f ca="1">_xll.BDH($C$153,"5Y_GEO_GROWTH_DILUTED_EPS","FQ2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65" s="1" t="e">
        <f ca="1">_xll.BDH($C$153,"GEO_GROW_DVD_PER_SH","FQ2 2016","FQ2 2016","Currency=INR","Period=FQ","BEST_FPERIOD_OVERRIDE=FQ","FILING_STATUS=OR","EQY_CONSOLIDATED=Y","Sort=A","Dates=H","DateFormat=P","Fill=—","Direction=H","UseDPDF=Y")</f>
        <v>#NAME?</v>
      </c>
      <c r="AS165" s="1" t="e">
        <f ca="1">_xll.BDH($C$153,"ACCOUNTS_RECEIVABLE_5_YR_GROWTH","FQ2 2016","FQ2 2016","Currency=INR","Period=FQ","BEST_FPERIOD_OVERRIDE=FQ","FILING_STATUS=OR","EQY_CONSOLIDATED=Y","Sort=A","Dates=H","DateFormat=P","Fill=—","Direction=H","UseDPDF=Y")</f>
        <v>#NAME?</v>
      </c>
      <c r="AT165" s="1" t="e">
        <f ca="1">_xll.BDH($C$153,"INVENTORY_5_YEAR_GROWTH","FQ2 2016","FQ2 2016","Currency=INR","Period=FQ","BEST_FPERIOD_OVERRIDE=FQ","FILING_STATUS=OR","EQY_CONSOLIDATED=Y","Sort=A","Dates=H","DateFormat=P","Fill=—","Direction=H","UseDPDF=Y")</f>
        <v>#NAME?</v>
      </c>
      <c r="AU165" s="1" t="e">
        <f ca="1">_xll.BDH($C$153,"NET_FIXED_ASSETS_5_YEAR_GROWTH","FQ2 2016","FQ2 2016","Currency=INR","Period=FQ","BEST_FPERIOD_OVERRIDE=FQ","FILING_STATUS=OR","EQY_CONSOLIDATED=Y","Sort=A","Dates=H","DateFormat=P","Fill=—","Direction=H","UseDPDF=Y")</f>
        <v>#NAME?</v>
      </c>
      <c r="AV165" s="1" t="e">
        <f ca="1">_xll.BDH($C$153,"GEO_GROW_TOT_ASSET","FQ2 2016","FQ2 2016","Currency=INR","Period=FQ","BEST_FPERIOD_OVERRIDE=FQ","FILING_STATUS=OR","EQY_CONSOLIDATED=Y","Sort=A","Dates=H","DateFormat=P","Fill=—","Direction=H","UseDPDF=Y")</f>
        <v>#NAME?</v>
      </c>
      <c r="AW165" s="1" t="e">
        <f ca="1">_xll.BDH($C$153,"MODIFIED_WORKING_CPTL_5YR_GRWTH","FQ2 2016","FQ2 2016","Currency=INR","Period=FQ","BEST_FPERIOD_OVERRIDE=FQ","FILING_STATUS=OR","EQY_CONSOLIDATED=Y","Sort=A","Dates=H","DateFormat=P","Fill=—","Direction=H","UseDPDF=Y")</f>
        <v>#NAME?</v>
      </c>
      <c r="AX165" s="1" t="e">
        <f ca="1">_xll.BDH($C$153,"WORKING_CAPITAL_5_YEAR_GROWTH","FQ2 2016","FQ2 2016","Currency=INR","Period=FQ","BEST_FPERIOD_OVERRIDE=FQ","FILING_STATUS=OR","EQY_CONSOLIDATED=Y","Sort=A","Dates=H","DateFormat=P","Fill=—","Direction=H","UseDPDF=Y")</f>
        <v>#NAME?</v>
      </c>
      <c r="AY165" s="1" t="e">
        <f ca="1">_xll.BDH($C$153,"ACCOUNTS_PAYABLE_5_YEAR_GROWTH","FQ2 2016","FQ2 2016","Currency=INR","Period=FQ","BEST_FPERIOD_OVERRIDE=FQ","FILING_STATUS=OR","EQY_CONSOLIDATED=Y","Sort=A","Dates=H","DateFormat=P","Fill=—","Direction=H","UseDPDF=Y")</f>
        <v>#NAME?</v>
      </c>
      <c r="AZ165" s="1" t="e">
        <f ca="1">_xll.BDH($C$153,"SHORT_TERM_DEBT_5_YEAR_GROWTH","FQ2 2016","FQ2 2016","Currency=INR","Period=FQ","BEST_FPERIOD_OVERRIDE=FQ","FILING_STATUS=OR","EQY_CONSOLIDATED=Y","Sort=A","Dates=H","DateFormat=P","Fill=—","Direction=H","UseDPDF=Y")</f>
        <v>#NAME?</v>
      </c>
      <c r="BA165" s="1" t="e">
        <f ca="1">_xll.BDH($C$153,"TOTAL_DEBT_5_YEAR_GROWTH","FQ2 2016","FQ2 2016","Currency=INR","Period=FQ","BEST_FPERIOD_OVERRIDE=FQ","FILING_STATUS=OR","EQY_CONSOLIDATED=Y","Sort=A","Dates=H","DateFormat=P","Fill=—","Direction=H","UseDPDF=Y")</f>
        <v>#NAME?</v>
      </c>
      <c r="BB165" s="1" t="e">
        <f ca="1">_xll.BDH($C$153,"GEO_GROW_TOT_SHRHLDR_EQY","FQ2 2016","FQ2 2016","Currency=INR","Period=FQ","BEST_FPERIOD_OVERRIDE=FQ","FILING_STATUS=OR","EQY_CONSOLIDATED=Y","Sort=A","Dates=H","DateFormat=P","Fill=—","Direction=H","UseDPDF=Y")</f>
        <v>#NAME?</v>
      </c>
      <c r="BC165" s="1" t="e">
        <f ca="1">_xll.BDH($C$153,"TOTAL_CAPITAL_5_YEAR_GROWTH","FQ2 2016","FQ2 2016","Currency=INR","Period=FQ","BEST_FPERIOD_OVERRIDE=FQ","FILING_STATUS=OR","EQY_CONSOLIDATED=Y","Sort=A","Dates=H","DateFormat=P","Fill=—","Direction=H","UseDPDF=Y")</f>
        <v>#NAME?</v>
      </c>
      <c r="BD165" s="1" t="e">
        <f ca="1">_xll.BDH($C$153,"GEO_GROW_BOOK_VAL","FQ2 2016","FQ2 2016","Currency=INR","Period=FQ","BEST_FPERIOD_OVERRIDE=FQ","FILING_STATUS=OR","EQY_CONSOLIDATED=Y","Sort=A","Dates=H","DateFormat=P","Fill=—","Direction=H","UseDPDF=Y")</f>
        <v>#NAME?</v>
      </c>
      <c r="BE165" s="1" t="e">
        <f ca="1">_xll.BDH($C$153,"GEO_GROW_CASH_OPER_ACT","FQ2 2016","FQ2 2016","Currency=INR","Period=FQ","BEST_FPERIOD_OVERRIDE=FQ","FILING_STATUS=OR","EQY_CONSOLIDATED=Y","Sort=A","Dates=H","DateFormat=P","Fill=—","Direction=H","UseDPDF=Y")</f>
        <v>#NAME?</v>
      </c>
      <c r="BF165" s="1" t="e">
        <f ca="1">_xll.BDH($C$153,"REVENUE_SEQUENTIAL_GROWTH","FQ2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65" s="1" t="e">
        <f ca="1">_xll.BDH($C$153,"EBITDA_SEQUENTIAL_GROWTH","FQ2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65" s="1" t="e">
        <f ca="1">_xll.BDH($C$153,"OPERATING_INCOME_SEQ_GROWTH","FQ2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65" s="1" t="e">
        <f ca="1">_xll.BDH($C$153,"NET_INCOME_TO_COMMON_SEQ_GROWTH","FQ2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65" s="1" t="e">
        <f ca="1">_xll.BDH($C$153,"EPS_DILUTED_SEQUENTIAL_GROWTH","FQ2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65" s="1" t="e">
        <f ca="1">_xll.BDH($C$153,"DPS_SEQUENTIAL_GROWTH","FQ2 2016","FQ2 2016","Currency=INR","Period=FQ","BEST_FPERIOD_OVERRIDE=FQ","FILING_STATUS=OR","EQY_CONSOLIDATED=Y","Sort=A","Dates=H","DateFormat=P","Fill=—","Direction=H","UseDPDF=Y")</f>
        <v>#NAME?</v>
      </c>
      <c r="BL165" s="1" t="e">
        <f ca="1">_xll.BDH($C$153,"ACCOUNTS_RECEIVABLE_SEQ_GROWTH","FQ2 2016","FQ2 2016","Currency=INR","Period=FQ","BEST_FPERIOD_OVERRIDE=FQ","FILING_STATUS=OR","EQY_CONSOLIDATED=Y","Sort=A","Dates=H","DateFormat=P","Fill=—","Direction=H","UseDPDF=Y")</f>
        <v>#NAME?</v>
      </c>
      <c r="BM165" s="1" t="e">
        <f ca="1">_xll.BDH($C$153,"INVENTORY_SEQUENTIAL_GROWTH","FQ2 2016","FQ2 2016","Currency=INR","Period=FQ","BEST_FPERIOD_OVERRIDE=FQ","FILING_STATUS=OR","EQY_CONSOLIDATED=Y","Sort=A","Dates=H","DateFormat=P","Fill=—","Direction=H","UseDPDF=Y")</f>
        <v>#NAME?</v>
      </c>
      <c r="BN165" s="1" t="e">
        <f ca="1">_xll.BDH($C$153,"FIXED_ASSETS_SEQUENTIAL_GROWTH","FQ2 2016","FQ2 2016","Currency=INR","Period=FQ","BEST_FPERIOD_OVERRIDE=FQ","FILING_STATUS=OR","EQY_CONSOLIDATED=Y","Sort=A","Dates=H","DateFormat=P","Fill=—","Direction=H","UseDPDF=Y")</f>
        <v>#NAME?</v>
      </c>
      <c r="BO165" s="1" t="e">
        <f ca="1">_xll.BDH($C$153,"TOTAL_ASSETS_SEQUENTIAL_GROWTH","FQ2 2016","FQ2 2016","Currency=INR","Period=FQ","BEST_FPERIOD_OVERRIDE=FQ","FILING_STATUS=OR","EQY_CONSOLIDATED=Y","Sort=A","Dates=H","DateFormat=P","Fill=—","Direction=H","UseDPDF=Y")</f>
        <v>#NAME?</v>
      </c>
      <c r="BP165" s="1" t="e">
        <f ca="1">_xll.BDH($C$153,"MODIFIED_WORKING_CPTL_SEQ_GRWTH","FQ2 2016","FQ2 2016","Currency=INR","Period=FQ","BEST_FPERIOD_OVERRIDE=FQ","FILING_STATUS=OR","EQY_CONSOLIDATED=Y","Sort=A","Dates=H","DateFormat=P","Fill=—","Direction=H","UseDPDF=Y")</f>
        <v>#NAME?</v>
      </c>
      <c r="BQ165" s="1" t="e">
        <f ca="1">_xll.BDH($C$153,"WORKING_CAPITAL_SEQ_GROWTH","FQ2 2016","FQ2 2016","Currency=INR","Period=FQ","BEST_FPERIOD_OVERRIDE=FQ","FILING_STATUS=OR","EQY_CONSOLIDATED=Y","Sort=A","Dates=H","DateFormat=P","Fill=—","Direction=H","UseDPDF=Y")</f>
        <v>#NAME?</v>
      </c>
      <c r="BR165" s="1" t="e">
        <f ca="1">_xll.BDH($C$153,"ACCOUNTS_PAYABLE_SEQ_GROWTH","FQ2 2016","FQ2 2016","Currency=INR","Period=FQ","BEST_FPERIOD_OVERRIDE=FQ","FILING_STATUS=OR","EQY_CONSOLIDATED=Y","Sort=A","Dates=H","DateFormat=P","Fill=—","Direction=H","UseDPDF=Y")</f>
        <v>#NAME?</v>
      </c>
      <c r="BS165" s="1" t="e">
        <f ca="1">_xll.BDH($C$153,"ST_DEBT_SEQUENTIAL_GROWTH","FQ2 2016","FQ2 2016","Currency=INR","Period=FQ","BEST_FPERIOD_OVERRIDE=FQ","FILING_STATUS=OR","EQY_CONSOLIDATED=Y","Sort=A","Dates=H","DateFormat=P","Fill=—","Direction=H","UseDPDF=Y")</f>
        <v>#NAME?</v>
      </c>
      <c r="BT165" s="1" t="e">
        <f ca="1">_xll.BDH($C$153,"TOTAL_DEBT_SEQUENTIAL_GROWTH","FQ2 2016","FQ2 2016","Currency=INR","Period=FQ","BEST_FPERIOD_OVERRIDE=FQ","FILING_STATUS=OR","EQY_CONSOLIDATED=Y","Sort=A","Dates=H","DateFormat=P","Fill=—","Direction=H","UseDPDF=Y")</f>
        <v>#NAME?</v>
      </c>
      <c r="BU165" s="1" t="e">
        <f ca="1">_xll.BDH($C$153,"TOTAL_EQUITY_SEQUENTIAL_GROWTH","FQ2 2016","FQ2 2016","Currency=INR","Period=FQ","BEST_FPERIOD_OVERRIDE=FQ","FILING_STATUS=OR","EQY_CONSOLIDATED=Y","Sort=A","Dates=H","DateFormat=P","Fill=—","Direction=H","UseDPDF=Y")</f>
        <v>#NAME?</v>
      </c>
      <c r="BV165" s="1" t="e">
        <f ca="1">_xll.BDH($C$153,"TOTAL_CAPITAL_SEQUENTIAL_GROWTH","FQ2 2016","FQ2 2016","Currency=INR","Period=FQ","BEST_FPERIOD_OVERRIDE=FQ","FILING_STATUS=OR","EQY_CONSOLIDATED=Y","Sort=A","Dates=H","DateFormat=P","Fill=—","Direction=H","UseDPDF=Y")</f>
        <v>#NAME?</v>
      </c>
      <c r="BW165" s="1" t="e">
        <f ca="1">_xll.BDH($C$153,"BPS_SEQUENTIAL_GROWTH","FQ2 2016","FQ2 2016","Currency=INR","Period=FQ","BEST_FPERIOD_OVERRIDE=FQ","FILING_STATUS=OR","EQY_CONSOLIDATED=Y","Sort=A","Dates=H","DateFormat=P","Fill=—","Direction=H","UseDPDF=Y")</f>
        <v>#NAME?</v>
      </c>
      <c r="BX165" s="1" t="e">
        <f ca="1">_xll.BDH($C$153,"CFO_SEQUENTIAL_GROWTH","FQ2 2016","FQ2 2016","Currency=INR","Period=FQ","BEST_FPERIOD_OVERRIDE=FQ","FILING_STATUS=OR","EQY_CONSOLIDATED=Y","Sort=A","Dates=H","DateFormat=P","Fill=—","Direction=H","UseDPDF=Y")</f>
        <v>#NAME?</v>
      </c>
      <c r="BY165" s="2" t="e">
        <f ca="1">_xll.BDH($C$153,"SHORT_AND_LONG_TERM_DEBT","FQ2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65" s="2" t="e">
        <f ca="1">_xll.BDH($C$153,"BS_ST_BORROW","FQ2 2016","FQ2 2016","Currency=INR","Period=FQ","BEST_FPERIOD_OVERRIDE=FQ","FILING_STATUS=OR","EQY_CONSOLIDATED=Y","SCALING_FORMAT=MLN","Sort=A","Dates=H","DateFormat=P","Fill=—","Direction=H","UseDPDF=Y")</f>
        <v>#NAME?</v>
      </c>
      <c r="CA165" s="2" t="e">
        <f ca="1">_xll.BDH($C$153,"BS_LT_BORROW","FQ2 2016","FQ2 2016","Currency=INR","Period=FQ","BEST_FPERIOD_OVERRIDE=FQ","FILING_STATUS=OR","EQY_CONSOLIDATED=Y","SCALING_FORMAT=MLN","Sort=A","Dates=H","DateFormat=P","Fill=—","Direction=H","UseDPDF=Y")</f>
        <v>#NAME?</v>
      </c>
      <c r="CB165" s="1" t="e">
        <f ca="1">_xll.BDH($C$153,"TOT_DEBT_TO_EBITDA","FQ2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65" s="1" t="e">
        <f ca="1">_xll.BDH($C$153,"NET_DEBT_TO_EBITDA","FQ2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65" s="1" t="e">
        <f ca="1">_xll.BDH($C$153,"TOTAL_DEBT_TO_EBIT","FQ2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65" s="1" t="e">
        <f ca="1">_xll.BDH($C$153,"NET_DEBT_TO_EBIT","FQ2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165" s="1" t="e">
        <f ca="1">_xll.BDH($C$153,"EBITDA_TO_INTEREST_EXPN","FQ2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65" s="1" t="e">
        <f ca="1">_xll.BDH($C$153,"COM_EQY_TO_TOT_ASSET","FQ2 2016","FQ2 2016","Currency=INR","Period=FQ","BEST_FPERIOD_OVERRIDE=FQ","FILING_STATUS=OR","EQY_CONSOLIDATED=Y","Sort=A","Dates=H","DateFormat=P","Fill=—","Direction=H","UseDPDF=Y")</f>
        <v>#NAME?</v>
      </c>
      <c r="CH165" s="1" t="e">
        <f ca="1">_xll.BDH($C$153,"LT_DEBT_TO_TOT_EQY","FQ2 2016","FQ2 2016","Currency=INR","Period=FQ","BEST_FPERIOD_OVERRIDE=FQ","FILING_STATUS=OR","EQY_CONSOLIDATED=Y","Sort=A","Dates=H","DateFormat=P","Fill=—","Direction=H","UseDPDF=Y")</f>
        <v>#NAME?</v>
      </c>
      <c r="CI165" s="1" t="e">
        <f ca="1">_xll.BDH($C$153,"LT_DEBT_TO_TOT_CAP","FQ2 2016","FQ2 2016","Currency=INR","Period=FQ","BEST_FPERIOD_OVERRIDE=FQ","FILING_STATUS=OR","EQY_CONSOLIDATED=Y","Sort=A","Dates=H","DateFormat=P","Fill=—","Direction=H","UseDPDF=Y")</f>
        <v>#NAME?</v>
      </c>
      <c r="CJ165" s="1" t="e">
        <f ca="1">_xll.BDH($C$153,"LT_DEBT_TO_TOT_ASSET","FQ2 2016","FQ2 2016","Currency=INR","Period=FQ","BEST_FPERIOD_OVERRIDE=FQ","FILING_STATUS=OR","EQY_CONSOLIDATED=Y","Sort=A","Dates=H","DateFormat=P","Fill=—","Direction=H","UseDPDF=Y")</f>
        <v>#NAME?</v>
      </c>
      <c r="CK165" s="1" t="e">
        <f ca="1">_xll.BDH($C$153,"TOT_DEBT_TO_TOT_EQY","FQ2 2016","FQ2 2016","Currency=INR","Period=FQ","BEST_FPERIOD_OVERRIDE=FQ","FILING_STATUS=OR","EQY_CONSOLIDATED=Y","Sort=A","Dates=H","DateFormat=P","Fill=—","Direction=H","UseDPDF=Y")</f>
        <v>#NAME?</v>
      </c>
      <c r="CL165" s="1" t="e">
        <f ca="1">_xll.BDH($C$153,"TOT_DEBT_TO_TOT_CAP","FQ2 2016","FQ2 2016","Currency=INR","Period=FQ","BEST_FPERIOD_OVERRIDE=FQ","FILING_STATUS=OR","EQY_CONSOLIDATED=Y","Sort=A","Dates=H","DateFormat=P","Fill=—","Direction=H","UseDPDF=Y")</f>
        <v>#NAME?</v>
      </c>
      <c r="CM165" s="1" t="e">
        <f ca="1">_xll.BDH($C$153,"TOT_DEBT_TO_TOT_ASSET","FQ2 2016","FQ2 2016","Currency=INR","Period=FQ","BEST_FPERIOD_OVERRIDE=FQ","FILING_STATUS=OR","EQY_CONSOLIDATED=Y","Sort=A","Dates=H","DateFormat=P","Fill=—","Direction=H","UseDPDF=Y")</f>
        <v>#NAME?</v>
      </c>
      <c r="CN165" s="1" t="e">
        <f ca="1">_xll.BDH($C$153,"NET_DEBT_TO_SHRHLDR_EQTY","FQ2 2016","FQ2 2016","Currency=INR","Period=FQ","BEST_FPERIOD_OVERRIDE=FQ","FILING_STATUS=OR","EQY_CONSOLIDATED=Y","Sort=A","Dates=H","DateFormat=P","Fill=—","Direction=H","UseDPDF=Y")</f>
        <v>#NAME?</v>
      </c>
      <c r="CO165" s="1" t="e">
        <f ca="1">_xll.BDH($C$153,"NET_DEBT_%_CAPITAL","FQ2 2016","FQ2 2016","Currency=INR","Period=FQ","BEST_FPERIOD_OVERRIDE=FQ","FILING_STATUS=OR","EQY_CONSOLIDATED=Y","Sort=A","Dates=H","DateFormat=P","Fill=—","Direction=H","UseDPDF=Y")</f>
        <v>#NAME?</v>
      </c>
      <c r="CP165" s="2" t="e">
        <f ca="1">_xll.BDH($C$153,"EBITDA","FQ2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65" s="2" t="e">
        <f ca="1">_xll.BDH($C$153,"EBITDA_AFTER_CAPEX","FQ2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65" s="2" t="e">
        <f ca="1">_xll.BDH($C$153,"IS_OPER_INC","FQ2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65" s="1" t="e">
        <f ca="1">_xll.BDH($C$153,"CASH_RATIO","FQ2 2016","FQ2 2016","Currency=INR","Period=FQ","BEST_FPERIOD_OVERRIDE=FQ","FILING_STATUS=OR","EQY_CONSOLIDATED=Y","Sort=A","Dates=H","DateFormat=P","Fill=—","Direction=H","UseDPDF=Y")</f>
        <v>#NAME?</v>
      </c>
      <c r="CT165" s="1" t="e">
        <f ca="1">_xll.BDH($C$153,"CUR_RATIO","FQ2 2016","FQ2 2016","Currency=INR","Period=FQ","BEST_FPERIOD_OVERRIDE=FQ","FILING_STATUS=OR","EQY_CONSOLIDATED=Y","Sort=A","Dates=H","DateFormat=P","Fill=—","Direction=H","UseDPDF=Y")</f>
        <v>#NAME?</v>
      </c>
      <c r="CU165" s="1" t="e">
        <f ca="1">_xll.BDH($C$153,"QUICK_RATIO","FQ2 2016","FQ2 2016","Currency=INR","Period=FQ","BEST_FPERIOD_OVERRIDE=FQ","FILING_STATUS=OR","EQY_CONSOLIDATED=Y","Sort=A","Dates=H","DateFormat=P","Fill=—","Direction=H","UseDPDF=Y")</f>
        <v>#NAME?</v>
      </c>
      <c r="CV165" s="1" t="e">
        <f ca="1">_xll.BDH($C$153,"ALTMAN_Z_SCORE","FQ2 2016","FQ2 2016","Currency=INR","Period=FQ","BEST_FPERIOD_OVERRIDE=FQ","FILING_STATUS=OR","EQY_CONSOLIDATED=Y","Sort=A","Dates=H","DateFormat=P","Fill=—","Direction=H","UseDPDF=Y")</f>
        <v>#NAME?</v>
      </c>
      <c r="CW165" s="3" t="e">
        <f ca="1">_xll.BDH($C$153,"ACCT_RCV_TURN","FQ2 2016","FQ2 2016","Currency=INR","Period=FQ","BEST_FPERIOD_OVERRIDE=FQ","FILING_STATUS=OR","EQY_CONSOLIDATED=Y","FA_ADJUSTED=GAAP","Sort=A","Dates=H","DateFormat=P","Fill=—","Direction=H","UseDPDF=Y")</f>
        <v>#NAME?</v>
      </c>
      <c r="CX165" s="1" t="e">
        <f ca="1">_xll.BDH($C$153,"ACCT_RCV_DAYS","FQ2 2016","FQ2 2016","Currency=INR","Period=FQ","BEST_FPERIOD_OVERRIDE=FQ","FILING_STATUS=OR","EQY_CONSOLIDATED=Y","FA_ADJUSTED=GAAP","Sort=A","Dates=H","DateFormat=P","Fill=—","Direction=H","UseDPDF=Y")</f>
        <v>#NAME?</v>
      </c>
      <c r="CY165" s="3" t="e">
        <f ca="1">_xll.BDH($C$153,"INVENT_TURN","FQ2 2016","FQ2 2016","Currency=INR","Period=FQ","BEST_FPERIOD_OVERRIDE=FQ","FILING_STATUS=OR","EQY_CONSOLIDATED=Y","FA_ADJUSTED=GAAP","Sort=A","Dates=H","DateFormat=P","Fill=—","Direction=H","UseDPDF=Y")</f>
        <v>#NAME?</v>
      </c>
      <c r="CZ165" s="1" t="e">
        <f ca="1">_xll.BDH($C$153,"INVENT_DAYS","FQ2 2016","FQ2 2016","Currency=INR","Period=FQ","BEST_FPERIOD_OVERRIDE=FQ","FILING_STATUS=OR","EQY_CONSOLIDATED=Y","FA_ADJUSTED=GAAP","Sort=A","Dates=H","DateFormat=P","Fill=—","Direction=H","UseDPDF=Y")</f>
        <v>#NAME?</v>
      </c>
      <c r="DA165" s="3" t="e">
        <f ca="1">_xll.BDH($C$153,"ACCOUNTS_PAYABLE_TURNOVER","FQ2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65" s="1" t="e">
        <f ca="1">_xll.BDH($C$153,"ACCOUNTS_PAYABLE_TURNOVER_DAYS","FQ2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65" s="3" t="e">
        <f ca="1">_xll.BDH($C$153,"CASH_CONVERSION_CYCLE","FQ2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65" s="3" t="e">
        <f ca="1">_xll.BDH($C$153,"INV_TO_CASH_DAYS","FQ2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165" s="4" t="e">
        <f ca="1">_xll.BDH($C$153,"BS_INVENTORIES","FQ2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165" s="2" t="e">
        <f ca="1">_xll.BDH($C$153,"INVTRY_RAW_MATERIALS","FQ2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65" s="2" t="e">
        <f ca="1">_xll.BDH($C$153,"INVTRY_IN_PROGRESS","FQ2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65" s="2" t="e">
        <f ca="1">_xll.BDH($C$153,"INVTRY_FINISHED_GOODS","FQ2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65" s="2" t="e">
        <f ca="1">_xll.BDH($C$153,"BS_OTHER_INV","FQ2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66" spans="1:113" x14ac:dyDescent="0.3">
      <c r="A166" s="6"/>
      <c r="B166" s="6"/>
      <c r="C166" s="6"/>
      <c r="D166" s="6"/>
      <c r="E166" t="s">
        <v>6</v>
      </c>
      <c r="F166" t="e">
        <f ca="1">_xll.BDH($C$153,"RETURN_COM_EQY","FQ3 2016","FQ3 2016","Currency=INR","Period=FQ","BEST_FPERIOD_OVERRIDE=FQ","FILING_STATUS=OR","EQY_CONSOLIDATED=Y","FA_ADJUSTED=GAAP","Sort=A","Dates=H","DateFormat=P","Fill=—","Direction=H","UseDPDF=Y")</f>
        <v>#NAME?</v>
      </c>
      <c r="G166" t="e">
        <f ca="1">_xll.BDH($C$153,"RETURN_ON_ASSET","FQ3 2016","FQ3 2016","Currency=INR","Period=FQ","BEST_FPERIOD_OVERRIDE=FQ","FILING_STATUS=OR","EQY_CONSOLIDATED=Y","FA_ADJUSTED=GAAP","Sort=A","Dates=H","DateFormat=P","Fill=—","Direction=H","UseDPDF=Y")</f>
        <v>#NAME?</v>
      </c>
      <c r="H166" t="e">
        <f ca="1">_xll.BDH($C$153,"RETURN_ON_CAP","FQ3 2016","FQ3 2016","Currency=INR","Period=FQ","BEST_FPERIOD_OVERRIDE=FQ","FILING_STATUS=OR","EQY_CONSOLIDATED=Y","FA_ADJUSTED=GAAP","Sort=A","Dates=H","DateFormat=P","Fill=—","Direction=H","UseDPDF=Y")</f>
        <v>#NAME?</v>
      </c>
      <c r="I166" t="e">
        <f ca="1">_xll.BDH($C$153,"RETURN_ON_INV_CAPITAL","FQ3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66" t="e">
        <f ca="1">_xll.BDH($C$153,"EBITDA_TO_REVENUE","FQ3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166" t="e">
        <f ca="1">_xll.BDH($C$153,"OPER_MARGIN","FQ3 2016","FQ3 2016","Currency=INR","Period=FQ","BEST_FPERIOD_OVERRIDE=FQ","FILING_STATUS=OR","EQY_CONSOLIDATED=Y","FA_ADJUSTED=GAAP","Sort=A","Dates=H","DateFormat=P","Fill=—","Direction=H","UseDPDF=Y")</f>
        <v>#NAME?</v>
      </c>
      <c r="L166" t="e">
        <f ca="1">_xll.BDH($C$153,"INCREMENTAL_OPERATING_MARGIN","FQ3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66" t="e">
        <f ca="1">_xll.BDH($C$153,"PRETAX_INC_TO_NET_SALES","FQ3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66" t="e">
        <f ca="1">_xll.BDH($C$153,"INC_BEF_XO_ITEMS_TO_NET_SALES","FQ3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66" t="e">
        <f ca="1">_xll.BDH($C$153,"PROF_MARGIN","FQ3 2016","FQ3 2016","Currency=INR","Period=FQ","BEST_FPERIOD_OVERRIDE=FQ","FILING_STATUS=OR","EQY_CONSOLIDATED=Y","FA_ADJUSTED=GAAP","Sort=A","Dates=H","DateFormat=P","Fill=—","Direction=H","UseDPDF=Y")</f>
        <v>#NAME?</v>
      </c>
      <c r="P166" t="e">
        <f ca="1">_xll.BDH($C$153,"NET_INCOME_TO_COMMON_MARGIN","FQ3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66" t="e">
        <f ca="1">_xll.BDH($C$153,"EFF_TAX_RATE","FQ3 2016","FQ3 2016","Currency=INR","Period=FQ","BEST_FPERIOD_OVERRIDE=FQ","FILING_STATUS=OR","EQY_CONSOLIDATED=Y","FA_ADJUSTED=GAAP","Sort=A","Dates=H","DateFormat=P","Fill=—","Direction=H","UseDPDF=Y")</f>
        <v>#NAME?</v>
      </c>
      <c r="R166" t="e">
        <f ca="1">_xll.BDH($C$153,"DVD_PAYOUT_RATIO","FQ3 2016","FQ3 2016","Currency=INR","Period=FQ","BEST_FPERIOD_OVERRIDE=FQ","FILING_STATUS=OR","EQY_CONSOLIDATED=Y","FA_ADJUSTED=GAAP","Sort=A","Dates=H","DateFormat=P","Fill=—","Direction=H","UseDPDF=Y")</f>
        <v>#NAME?</v>
      </c>
      <c r="S166" t="e">
        <f ca="1">_xll.BDH($C$153,"SUSTAIN_GROWTH_RT","FQ3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166" s="1" t="e">
        <f ca="1">_xll.BDH($C$153,"SALES_GROWTH","FQ3 2016","FQ3 2016","Currency=INR","Period=FQ","BEST_FPERIOD_OVERRIDE=FQ","FILING_STATUS=OR","EQY_CONSOLIDATED=Y","FA_ADJUSTED=GAAP","Sort=A","Dates=H","DateFormat=P","Fill=—","Direction=H","UseDPDF=Y")</f>
        <v>#NAME?</v>
      </c>
      <c r="U166" s="1" t="e">
        <f ca="1">_xll.BDH($C$153,"EBITDA_GROWTH","FQ3 2016","FQ3 2016","Currency=INR","Period=FQ","BEST_FPERIOD_OVERRIDE=FQ","FILING_STATUS=OR","EQY_CONSOLIDATED=Y","FA_ADJUSTED=GAAP","Sort=A","Dates=H","DateFormat=P","Fill=—","Direction=H","UseDPDF=Y")</f>
        <v>#NAME?</v>
      </c>
      <c r="V166" s="1" t="e">
        <f ca="1">_xll.BDH($C$153,"OPER_INC_GROWTH","FQ3 2016","FQ3 2016","Currency=INR","Period=FQ","BEST_FPERIOD_OVERRIDE=FQ","FILING_STATUS=OR","EQY_CONSOLIDATED=Y","FA_ADJUSTED=GAAP","Sort=A","Dates=H","DateFormat=P","Fill=—","Direction=H","UseDPDF=Y")</f>
        <v>#NAME?</v>
      </c>
      <c r="W166" s="1" t="e">
        <f ca="1">_xll.BDH($C$153,"EARN_FOR_COM_GROWTH","FQ3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66" s="1" t="e">
        <f ca="1">_xll.BDH($C$153,"DILUTED_EPS_AFT_XO_ITEMS_GROWTH","FQ3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66" s="1" t="e">
        <f ca="1">_xll.BDH($C$153,"DIVIDEND_PER_SHARE_1_YEAR_GROWTH","FQ3 2016","FQ3 2016","Currency=INR","Period=FQ","BEST_FPERIOD_OVERRIDE=FQ","FILING_STATUS=OR","EQY_CONSOLIDATED=Y","Sort=A","Dates=H","DateFormat=P","Fill=—","Direction=H","UseDPDF=Y")</f>
        <v>#NAME?</v>
      </c>
      <c r="Z166" s="1" t="e">
        <f ca="1">_xll.BDH($C$153,"ACCOUNTS_RECEIVABLE_GROWTH","FQ3 2016","FQ3 2016","Currency=INR","Period=FQ","BEST_FPERIOD_OVERRIDE=FQ","FILING_STATUS=OR","EQY_CONSOLIDATED=Y","Sort=A","Dates=H","DateFormat=P","Fill=—","Direction=H","UseDPDF=Y")</f>
        <v>#NAME?</v>
      </c>
      <c r="AA166" s="1" t="e">
        <f ca="1">_xll.BDH($C$153,"INVENTORY_GROWTH","FQ3 2016","FQ3 2016","Currency=INR","Period=FQ","BEST_FPERIOD_OVERRIDE=FQ","FILING_STATUS=OR","EQY_CONSOLIDATED=Y","Sort=A","Dates=H","DateFormat=P","Fill=—","Direction=H","UseDPDF=Y")</f>
        <v>#NAME?</v>
      </c>
      <c r="AB166" s="1" t="e">
        <f ca="1">_xll.BDH($C$153,"NET_FIXED_ASSETS_1_YEAR_GROWTH","FQ3 2016","FQ3 2016","Currency=INR","Period=FQ","BEST_FPERIOD_OVERRIDE=FQ","FILING_STATUS=OR","EQY_CONSOLIDATED=Y","Sort=A","Dates=H","DateFormat=P","Fill=—","Direction=H","UseDPDF=Y")</f>
        <v>#NAME?</v>
      </c>
      <c r="AC166" s="1" t="e">
        <f ca="1">_xll.BDH($C$153,"ASSET_GROWTH","FQ3 2016","FQ3 2016","Currency=INR","Period=FQ","BEST_FPERIOD_OVERRIDE=FQ","FILING_STATUS=OR","EQY_CONSOLIDATED=Y","Sort=A","Dates=H","DateFormat=P","Fill=—","Direction=H","UseDPDF=Y")</f>
        <v>#NAME?</v>
      </c>
      <c r="AD166" s="1" t="e">
        <f ca="1">_xll.BDH($C$153,"MODIFIED_WORK_CAP_GROWTH","FQ3 2016","FQ3 2016","Currency=INR","Period=FQ","BEST_FPERIOD_OVERRIDE=FQ","FILING_STATUS=OR","EQY_CONSOLIDATED=Y","Sort=A","Dates=H","DateFormat=P","Fill=—","Direction=H","UseDPDF=Y")</f>
        <v>#NAME?</v>
      </c>
      <c r="AE166" s="1" t="e">
        <f ca="1">_xll.BDH($C$153,"WORK_CAP_GROWTH","FQ3 2016","FQ3 2016","Currency=INR","Period=FQ","BEST_FPERIOD_OVERRIDE=FQ","FILING_STATUS=OR","EQY_CONSOLIDATED=Y","Sort=A","Dates=H","DateFormat=P","Fill=—","Direction=H","UseDPDF=Y")</f>
        <v>#NAME?</v>
      </c>
      <c r="AF166" s="1" t="e">
        <f ca="1">_xll.BDH($C$153,"ACCOUNTS_PAYABLE_GROWTH_1YR","FQ3 2016","FQ3 2016","Currency=INR","Period=FQ","BEST_FPERIOD_OVERRIDE=FQ","FILING_STATUS=OR","EQY_CONSOLIDATED=Y","Sort=A","Dates=H","DateFormat=P","Fill=—","Direction=H","UseDPDF=Y")</f>
        <v>#NAME?</v>
      </c>
      <c r="AG166" s="1" t="e">
        <f ca="1">_xll.BDH($C$153,"SHORT_TERM_DEBT_1_YEAR_GROWTH","FQ3 2016","FQ3 2016","Currency=INR","Period=FQ","BEST_FPERIOD_OVERRIDE=FQ","FILING_STATUS=OR","EQY_CONSOLIDATED=Y","Sort=A","Dates=H","DateFormat=P","Fill=—","Direction=H","UseDPDF=Y")</f>
        <v>#NAME?</v>
      </c>
      <c r="AH166" s="1" t="e">
        <f ca="1">_xll.BDH($C$153,"TOTAL_DEBT_1_YEAR_GROWTH","FQ3 2016","FQ3 2016","Currency=INR","Period=FQ","BEST_FPERIOD_OVERRIDE=FQ","FILING_STATUS=OR","EQY_CONSOLIDATED=Y","Sort=A","Dates=H","DateFormat=P","Fill=—","Direction=H","UseDPDF=Y")</f>
        <v>#NAME?</v>
      </c>
      <c r="AI166" s="1" t="e">
        <f ca="1">_xll.BDH($C$153,"TOTAL_EQUITY_1_YEAR_GROWTH","FQ3 2016","FQ3 2016","Currency=INR","Period=FQ","BEST_FPERIOD_OVERRIDE=FQ","FILING_STATUS=OR","EQY_CONSOLIDATED=Y","Sort=A","Dates=H","DateFormat=P","Fill=—","Direction=H","UseDPDF=Y")</f>
        <v>#NAME?</v>
      </c>
      <c r="AJ166" s="1" t="e">
        <f ca="1">_xll.BDH($C$153,"GROWTH_IN_CAP","FQ3 2016","FQ3 2016","Currency=INR","Period=FQ","BEST_FPERIOD_OVERRIDE=FQ","FILING_STATUS=OR","EQY_CONSOLIDATED=Y","Sort=A","Dates=H","DateFormat=P","Fill=—","Direction=H","UseDPDF=Y")</f>
        <v>#NAME?</v>
      </c>
      <c r="AK166" s="1" t="e">
        <f ca="1">_xll.BDH($C$153,"BVPS_GROWTH","FQ3 2016","FQ3 2016","Currency=INR","Period=FQ","BEST_FPERIOD_OVERRIDE=FQ","FILING_STATUS=OR","EQY_CONSOLIDATED=Y","Sort=A","Dates=H","DateFormat=P","Fill=—","Direction=H","UseDPDF=Y")</f>
        <v>#NAME?</v>
      </c>
      <c r="AL166" s="1" t="e">
        <f ca="1">_xll.BDH($C$153,"CASH_FLOW_GROWTH","FQ3 2016","FQ3 2016","Currency=INR","Period=FQ","BEST_FPERIOD_OVERRIDE=FQ","FILING_STATUS=OR","EQY_CONSOLIDATED=Y","Sort=A","Dates=H","DateFormat=P","Fill=—","Direction=H","UseDPDF=Y")</f>
        <v>#NAME?</v>
      </c>
      <c r="AM166" s="1" t="e">
        <f ca="1">_xll.BDH($C$153,"GEO_GROW_NET_SALES","FQ3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66" s="1" t="e">
        <f ca="1">_xll.BDH($C$153,"GEO_GROW_EBITDA","FQ3 2016","FQ3 2016","Currency=INR","Period=FQ","BEST_FPERIOD_OVERRIDE=FQ","FILING_STATUS=OR","EQY_CONSOLIDATED=Y","FA_ADJUSTED=GAAP","Sort=A","Dates=H","DateFormat=P","Fill=—","Direction=H","UseDPDF=Y")</f>
        <v>#NAME?</v>
      </c>
      <c r="AO166" s="1" t="e">
        <f ca="1">_xll.BDH($C$153,"GEO_GROW_OPER_INC","FQ3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66" s="1" t="e">
        <f ca="1">_xll.BDH($C$153,"NET_INCOME_TO_COMMON_5_YR_GROWTH","FQ3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66" s="1" t="e">
        <f ca="1">_xll.BDH($C$153,"5Y_GEO_GROWTH_DILUTED_EPS","FQ3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66" s="1" t="e">
        <f ca="1">_xll.BDH($C$153,"GEO_GROW_DVD_PER_SH","FQ3 2016","FQ3 2016","Currency=INR","Period=FQ","BEST_FPERIOD_OVERRIDE=FQ","FILING_STATUS=OR","EQY_CONSOLIDATED=Y","Sort=A","Dates=H","DateFormat=P","Fill=—","Direction=H","UseDPDF=Y")</f>
        <v>#NAME?</v>
      </c>
      <c r="AS166" s="1" t="e">
        <f ca="1">_xll.BDH($C$153,"ACCOUNTS_RECEIVABLE_5_YR_GROWTH","FQ3 2016","FQ3 2016","Currency=INR","Period=FQ","BEST_FPERIOD_OVERRIDE=FQ","FILING_STATUS=OR","EQY_CONSOLIDATED=Y","Sort=A","Dates=H","DateFormat=P","Fill=—","Direction=H","UseDPDF=Y")</f>
        <v>#NAME?</v>
      </c>
      <c r="AT166" s="1" t="e">
        <f ca="1">_xll.BDH($C$153,"INVENTORY_5_YEAR_GROWTH","FQ3 2016","FQ3 2016","Currency=INR","Period=FQ","BEST_FPERIOD_OVERRIDE=FQ","FILING_STATUS=OR","EQY_CONSOLIDATED=Y","Sort=A","Dates=H","DateFormat=P","Fill=—","Direction=H","UseDPDF=Y")</f>
        <v>#NAME?</v>
      </c>
      <c r="AU166" s="1" t="e">
        <f ca="1">_xll.BDH($C$153,"NET_FIXED_ASSETS_5_YEAR_GROWTH","FQ3 2016","FQ3 2016","Currency=INR","Period=FQ","BEST_FPERIOD_OVERRIDE=FQ","FILING_STATUS=OR","EQY_CONSOLIDATED=Y","Sort=A","Dates=H","DateFormat=P","Fill=—","Direction=H","UseDPDF=Y")</f>
        <v>#NAME?</v>
      </c>
      <c r="AV166" s="1" t="e">
        <f ca="1">_xll.BDH($C$153,"GEO_GROW_TOT_ASSET","FQ3 2016","FQ3 2016","Currency=INR","Period=FQ","BEST_FPERIOD_OVERRIDE=FQ","FILING_STATUS=OR","EQY_CONSOLIDATED=Y","Sort=A","Dates=H","DateFormat=P","Fill=—","Direction=H","UseDPDF=Y")</f>
        <v>#NAME?</v>
      </c>
      <c r="AW166" s="1" t="e">
        <f ca="1">_xll.BDH($C$153,"MODIFIED_WORKING_CPTL_5YR_GRWTH","FQ3 2016","FQ3 2016","Currency=INR","Period=FQ","BEST_FPERIOD_OVERRIDE=FQ","FILING_STATUS=OR","EQY_CONSOLIDATED=Y","Sort=A","Dates=H","DateFormat=P","Fill=—","Direction=H","UseDPDF=Y")</f>
        <v>#NAME?</v>
      </c>
      <c r="AX166" s="1" t="e">
        <f ca="1">_xll.BDH($C$153,"WORKING_CAPITAL_5_YEAR_GROWTH","FQ3 2016","FQ3 2016","Currency=INR","Period=FQ","BEST_FPERIOD_OVERRIDE=FQ","FILING_STATUS=OR","EQY_CONSOLIDATED=Y","Sort=A","Dates=H","DateFormat=P","Fill=—","Direction=H","UseDPDF=Y")</f>
        <v>#NAME?</v>
      </c>
      <c r="AY166" s="1" t="e">
        <f ca="1">_xll.BDH($C$153,"ACCOUNTS_PAYABLE_5_YEAR_GROWTH","FQ3 2016","FQ3 2016","Currency=INR","Period=FQ","BEST_FPERIOD_OVERRIDE=FQ","FILING_STATUS=OR","EQY_CONSOLIDATED=Y","Sort=A","Dates=H","DateFormat=P","Fill=—","Direction=H","UseDPDF=Y")</f>
        <v>#NAME?</v>
      </c>
      <c r="AZ166" s="1" t="e">
        <f ca="1">_xll.BDH($C$153,"SHORT_TERM_DEBT_5_YEAR_GROWTH","FQ3 2016","FQ3 2016","Currency=INR","Period=FQ","BEST_FPERIOD_OVERRIDE=FQ","FILING_STATUS=OR","EQY_CONSOLIDATED=Y","Sort=A","Dates=H","DateFormat=P","Fill=—","Direction=H","UseDPDF=Y")</f>
        <v>#NAME?</v>
      </c>
      <c r="BA166" s="1" t="e">
        <f ca="1">_xll.BDH($C$153,"TOTAL_DEBT_5_YEAR_GROWTH","FQ3 2016","FQ3 2016","Currency=INR","Period=FQ","BEST_FPERIOD_OVERRIDE=FQ","FILING_STATUS=OR","EQY_CONSOLIDATED=Y","Sort=A","Dates=H","DateFormat=P","Fill=—","Direction=H","UseDPDF=Y")</f>
        <v>#NAME?</v>
      </c>
      <c r="BB166" s="1" t="e">
        <f ca="1">_xll.BDH($C$153,"GEO_GROW_TOT_SHRHLDR_EQY","FQ3 2016","FQ3 2016","Currency=INR","Period=FQ","BEST_FPERIOD_OVERRIDE=FQ","FILING_STATUS=OR","EQY_CONSOLIDATED=Y","Sort=A","Dates=H","DateFormat=P","Fill=—","Direction=H","UseDPDF=Y")</f>
        <v>#NAME?</v>
      </c>
      <c r="BC166" s="1" t="e">
        <f ca="1">_xll.BDH($C$153,"TOTAL_CAPITAL_5_YEAR_GROWTH","FQ3 2016","FQ3 2016","Currency=INR","Period=FQ","BEST_FPERIOD_OVERRIDE=FQ","FILING_STATUS=OR","EQY_CONSOLIDATED=Y","Sort=A","Dates=H","DateFormat=P","Fill=—","Direction=H","UseDPDF=Y")</f>
        <v>#NAME?</v>
      </c>
      <c r="BD166" s="1" t="e">
        <f ca="1">_xll.BDH($C$153,"GEO_GROW_BOOK_VAL","FQ3 2016","FQ3 2016","Currency=INR","Period=FQ","BEST_FPERIOD_OVERRIDE=FQ","FILING_STATUS=OR","EQY_CONSOLIDATED=Y","Sort=A","Dates=H","DateFormat=P","Fill=—","Direction=H","UseDPDF=Y")</f>
        <v>#NAME?</v>
      </c>
      <c r="BE166" s="1" t="e">
        <f ca="1">_xll.BDH($C$153,"GEO_GROW_CASH_OPER_ACT","FQ3 2016","FQ3 2016","Currency=INR","Period=FQ","BEST_FPERIOD_OVERRIDE=FQ","FILING_STATUS=OR","EQY_CONSOLIDATED=Y","Sort=A","Dates=H","DateFormat=P","Fill=—","Direction=H","UseDPDF=Y")</f>
        <v>#NAME?</v>
      </c>
      <c r="BF166" s="1" t="e">
        <f ca="1">_xll.BDH($C$153,"REVENUE_SEQUENTIAL_GROWTH","FQ3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66" s="1" t="e">
        <f ca="1">_xll.BDH($C$153,"EBITDA_SEQUENTIAL_GROWTH","FQ3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66" s="1" t="e">
        <f ca="1">_xll.BDH($C$153,"OPERATING_INCOME_SEQ_GROWTH","FQ3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66" s="1" t="e">
        <f ca="1">_xll.BDH($C$153,"NET_INCOME_TO_COMMON_SEQ_GROWTH","FQ3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66" s="1" t="e">
        <f ca="1">_xll.BDH($C$153,"EPS_DILUTED_SEQUENTIAL_GROWTH","FQ3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66" s="1" t="e">
        <f ca="1">_xll.BDH($C$153,"DPS_SEQUENTIAL_GROWTH","FQ3 2016","FQ3 2016","Currency=INR","Period=FQ","BEST_FPERIOD_OVERRIDE=FQ","FILING_STATUS=OR","EQY_CONSOLIDATED=Y","Sort=A","Dates=H","DateFormat=P","Fill=—","Direction=H","UseDPDF=Y")</f>
        <v>#NAME?</v>
      </c>
      <c r="BL166" s="1" t="e">
        <f ca="1">_xll.BDH($C$153,"ACCOUNTS_RECEIVABLE_SEQ_GROWTH","FQ3 2016","FQ3 2016","Currency=INR","Period=FQ","BEST_FPERIOD_OVERRIDE=FQ","FILING_STATUS=OR","EQY_CONSOLIDATED=Y","Sort=A","Dates=H","DateFormat=P","Fill=—","Direction=H","UseDPDF=Y")</f>
        <v>#NAME?</v>
      </c>
      <c r="BM166" s="1" t="e">
        <f ca="1">_xll.BDH($C$153,"INVENTORY_SEQUENTIAL_GROWTH","FQ3 2016","FQ3 2016","Currency=INR","Period=FQ","BEST_FPERIOD_OVERRIDE=FQ","FILING_STATUS=OR","EQY_CONSOLIDATED=Y","Sort=A","Dates=H","DateFormat=P","Fill=—","Direction=H","UseDPDF=Y")</f>
        <v>#NAME?</v>
      </c>
      <c r="BN166" s="1" t="e">
        <f ca="1">_xll.BDH($C$153,"FIXED_ASSETS_SEQUENTIAL_GROWTH","FQ3 2016","FQ3 2016","Currency=INR","Period=FQ","BEST_FPERIOD_OVERRIDE=FQ","FILING_STATUS=OR","EQY_CONSOLIDATED=Y","Sort=A","Dates=H","DateFormat=P","Fill=—","Direction=H","UseDPDF=Y")</f>
        <v>#NAME?</v>
      </c>
      <c r="BO166" s="1" t="e">
        <f ca="1">_xll.BDH($C$153,"TOTAL_ASSETS_SEQUENTIAL_GROWTH","FQ3 2016","FQ3 2016","Currency=INR","Period=FQ","BEST_FPERIOD_OVERRIDE=FQ","FILING_STATUS=OR","EQY_CONSOLIDATED=Y","Sort=A","Dates=H","DateFormat=P","Fill=—","Direction=H","UseDPDF=Y")</f>
        <v>#NAME?</v>
      </c>
      <c r="BP166" s="1" t="e">
        <f ca="1">_xll.BDH($C$153,"MODIFIED_WORKING_CPTL_SEQ_GRWTH","FQ3 2016","FQ3 2016","Currency=INR","Period=FQ","BEST_FPERIOD_OVERRIDE=FQ","FILING_STATUS=OR","EQY_CONSOLIDATED=Y","Sort=A","Dates=H","DateFormat=P","Fill=—","Direction=H","UseDPDF=Y")</f>
        <v>#NAME?</v>
      </c>
      <c r="BQ166" s="1" t="e">
        <f ca="1">_xll.BDH($C$153,"WORKING_CAPITAL_SEQ_GROWTH","FQ3 2016","FQ3 2016","Currency=INR","Period=FQ","BEST_FPERIOD_OVERRIDE=FQ","FILING_STATUS=OR","EQY_CONSOLIDATED=Y","Sort=A","Dates=H","DateFormat=P","Fill=—","Direction=H","UseDPDF=Y")</f>
        <v>#NAME?</v>
      </c>
      <c r="BR166" s="1" t="e">
        <f ca="1">_xll.BDH($C$153,"ACCOUNTS_PAYABLE_SEQ_GROWTH","FQ3 2016","FQ3 2016","Currency=INR","Period=FQ","BEST_FPERIOD_OVERRIDE=FQ","FILING_STATUS=OR","EQY_CONSOLIDATED=Y","Sort=A","Dates=H","DateFormat=P","Fill=—","Direction=H","UseDPDF=Y")</f>
        <v>#NAME?</v>
      </c>
      <c r="BS166" s="1" t="e">
        <f ca="1">_xll.BDH($C$153,"ST_DEBT_SEQUENTIAL_GROWTH","FQ3 2016","FQ3 2016","Currency=INR","Period=FQ","BEST_FPERIOD_OVERRIDE=FQ","FILING_STATUS=OR","EQY_CONSOLIDATED=Y","Sort=A","Dates=H","DateFormat=P","Fill=—","Direction=H","UseDPDF=Y")</f>
        <v>#NAME?</v>
      </c>
      <c r="BT166" s="1" t="e">
        <f ca="1">_xll.BDH($C$153,"TOTAL_DEBT_SEQUENTIAL_GROWTH","FQ3 2016","FQ3 2016","Currency=INR","Period=FQ","BEST_FPERIOD_OVERRIDE=FQ","FILING_STATUS=OR","EQY_CONSOLIDATED=Y","Sort=A","Dates=H","DateFormat=P","Fill=—","Direction=H","UseDPDF=Y")</f>
        <v>#NAME?</v>
      </c>
      <c r="BU166" s="1" t="e">
        <f ca="1">_xll.BDH($C$153,"TOTAL_EQUITY_SEQUENTIAL_GROWTH","FQ3 2016","FQ3 2016","Currency=INR","Period=FQ","BEST_FPERIOD_OVERRIDE=FQ","FILING_STATUS=OR","EQY_CONSOLIDATED=Y","Sort=A","Dates=H","DateFormat=P","Fill=—","Direction=H","UseDPDF=Y")</f>
        <v>#NAME?</v>
      </c>
      <c r="BV166" s="1" t="e">
        <f ca="1">_xll.BDH($C$153,"TOTAL_CAPITAL_SEQUENTIAL_GROWTH","FQ3 2016","FQ3 2016","Currency=INR","Period=FQ","BEST_FPERIOD_OVERRIDE=FQ","FILING_STATUS=OR","EQY_CONSOLIDATED=Y","Sort=A","Dates=H","DateFormat=P","Fill=—","Direction=H","UseDPDF=Y")</f>
        <v>#NAME?</v>
      </c>
      <c r="BW166" s="1" t="e">
        <f ca="1">_xll.BDH($C$153,"BPS_SEQUENTIAL_GROWTH","FQ3 2016","FQ3 2016","Currency=INR","Period=FQ","BEST_FPERIOD_OVERRIDE=FQ","FILING_STATUS=OR","EQY_CONSOLIDATED=Y","Sort=A","Dates=H","DateFormat=P","Fill=—","Direction=H","UseDPDF=Y")</f>
        <v>#NAME?</v>
      </c>
      <c r="BX166" s="1" t="e">
        <f ca="1">_xll.BDH($C$153,"CFO_SEQUENTIAL_GROWTH","FQ3 2016","FQ3 2016","Currency=INR","Period=FQ","BEST_FPERIOD_OVERRIDE=FQ","FILING_STATUS=OR","EQY_CONSOLIDATED=Y","Sort=A","Dates=H","DateFormat=P","Fill=—","Direction=H","UseDPDF=Y")</f>
        <v>#NAME?</v>
      </c>
      <c r="BY166" s="2" t="e">
        <f ca="1">_xll.BDH($C$153,"SHORT_AND_LONG_TERM_DEBT","FQ3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66" s="2" t="e">
        <f ca="1">_xll.BDH($C$153,"BS_ST_BORROW","FQ3 2016","FQ3 2016","Currency=INR","Period=FQ","BEST_FPERIOD_OVERRIDE=FQ","FILING_STATUS=OR","EQY_CONSOLIDATED=Y","SCALING_FORMAT=MLN","Sort=A","Dates=H","DateFormat=P","Fill=—","Direction=H","UseDPDF=Y")</f>
        <v>#NAME?</v>
      </c>
      <c r="CA166" s="2" t="e">
        <f ca="1">_xll.BDH($C$153,"BS_LT_BORROW","FQ3 2016","FQ3 2016","Currency=INR","Period=FQ","BEST_FPERIOD_OVERRIDE=FQ","FILING_STATUS=OR","EQY_CONSOLIDATED=Y","SCALING_FORMAT=MLN","Sort=A","Dates=H","DateFormat=P","Fill=—","Direction=H","UseDPDF=Y")</f>
        <v>#NAME?</v>
      </c>
      <c r="CB166" s="1" t="e">
        <f ca="1">_xll.BDH($C$153,"TOT_DEBT_TO_EBITDA","FQ3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66" s="1" t="e">
        <f ca="1">_xll.BDH($C$153,"NET_DEBT_TO_EBITDA","FQ3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66" s="1" t="e">
        <f ca="1">_xll.BDH($C$153,"TOTAL_DEBT_TO_EBIT","FQ3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66" s="1" t="e">
        <f ca="1">_xll.BDH($C$153,"NET_DEBT_TO_EBIT","FQ3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166" s="1" t="e">
        <f ca="1">_xll.BDH($C$153,"EBITDA_TO_INTEREST_EXPN","FQ3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66" s="1" t="e">
        <f ca="1">_xll.BDH($C$153,"COM_EQY_TO_TOT_ASSET","FQ3 2016","FQ3 2016","Currency=INR","Period=FQ","BEST_FPERIOD_OVERRIDE=FQ","FILING_STATUS=OR","EQY_CONSOLIDATED=Y","Sort=A","Dates=H","DateFormat=P","Fill=—","Direction=H","UseDPDF=Y")</f>
        <v>#NAME?</v>
      </c>
      <c r="CH166" s="1" t="e">
        <f ca="1">_xll.BDH($C$153,"LT_DEBT_TO_TOT_EQY","FQ3 2016","FQ3 2016","Currency=INR","Period=FQ","BEST_FPERIOD_OVERRIDE=FQ","FILING_STATUS=OR","EQY_CONSOLIDATED=Y","Sort=A","Dates=H","DateFormat=P","Fill=—","Direction=H","UseDPDF=Y")</f>
        <v>#NAME?</v>
      </c>
      <c r="CI166" s="1" t="e">
        <f ca="1">_xll.BDH($C$153,"LT_DEBT_TO_TOT_CAP","FQ3 2016","FQ3 2016","Currency=INR","Period=FQ","BEST_FPERIOD_OVERRIDE=FQ","FILING_STATUS=OR","EQY_CONSOLIDATED=Y","Sort=A","Dates=H","DateFormat=P","Fill=—","Direction=H","UseDPDF=Y")</f>
        <v>#NAME?</v>
      </c>
      <c r="CJ166" s="1" t="e">
        <f ca="1">_xll.BDH($C$153,"LT_DEBT_TO_TOT_ASSET","FQ3 2016","FQ3 2016","Currency=INR","Period=FQ","BEST_FPERIOD_OVERRIDE=FQ","FILING_STATUS=OR","EQY_CONSOLIDATED=Y","Sort=A","Dates=H","DateFormat=P","Fill=—","Direction=H","UseDPDF=Y")</f>
        <v>#NAME?</v>
      </c>
      <c r="CK166" s="1" t="e">
        <f ca="1">_xll.BDH($C$153,"TOT_DEBT_TO_TOT_EQY","FQ3 2016","FQ3 2016","Currency=INR","Period=FQ","BEST_FPERIOD_OVERRIDE=FQ","FILING_STATUS=OR","EQY_CONSOLIDATED=Y","Sort=A","Dates=H","DateFormat=P","Fill=—","Direction=H","UseDPDF=Y")</f>
        <v>#NAME?</v>
      </c>
      <c r="CL166" s="1" t="e">
        <f ca="1">_xll.BDH($C$153,"TOT_DEBT_TO_TOT_CAP","FQ3 2016","FQ3 2016","Currency=INR","Period=FQ","BEST_FPERIOD_OVERRIDE=FQ","FILING_STATUS=OR","EQY_CONSOLIDATED=Y","Sort=A","Dates=H","DateFormat=P","Fill=—","Direction=H","UseDPDF=Y")</f>
        <v>#NAME?</v>
      </c>
      <c r="CM166" s="1" t="e">
        <f ca="1">_xll.BDH($C$153,"TOT_DEBT_TO_TOT_ASSET","FQ3 2016","FQ3 2016","Currency=INR","Period=FQ","BEST_FPERIOD_OVERRIDE=FQ","FILING_STATUS=OR","EQY_CONSOLIDATED=Y","Sort=A","Dates=H","DateFormat=P","Fill=—","Direction=H","UseDPDF=Y")</f>
        <v>#NAME?</v>
      </c>
      <c r="CN166" s="1" t="e">
        <f ca="1">_xll.BDH($C$153,"NET_DEBT_TO_SHRHLDR_EQTY","FQ3 2016","FQ3 2016","Currency=INR","Period=FQ","BEST_FPERIOD_OVERRIDE=FQ","FILING_STATUS=OR","EQY_CONSOLIDATED=Y","Sort=A","Dates=H","DateFormat=P","Fill=—","Direction=H","UseDPDF=Y")</f>
        <v>#NAME?</v>
      </c>
      <c r="CO166" s="1" t="e">
        <f ca="1">_xll.BDH($C$153,"NET_DEBT_%_CAPITAL","FQ3 2016","FQ3 2016","Currency=INR","Period=FQ","BEST_FPERIOD_OVERRIDE=FQ","FILING_STATUS=OR","EQY_CONSOLIDATED=Y","Sort=A","Dates=H","DateFormat=P","Fill=—","Direction=H","UseDPDF=Y")</f>
        <v>#NAME?</v>
      </c>
      <c r="CP166" s="2" t="e">
        <f ca="1">_xll.BDH($C$153,"EBITDA","FQ3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66" s="2" t="e">
        <f ca="1">_xll.BDH($C$153,"EBITDA_AFTER_CAPEX","FQ3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66" s="2" t="e">
        <f ca="1">_xll.BDH($C$153,"IS_OPER_INC","FQ3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66" s="1" t="e">
        <f ca="1">_xll.BDH($C$153,"CASH_RATIO","FQ3 2016","FQ3 2016","Currency=INR","Period=FQ","BEST_FPERIOD_OVERRIDE=FQ","FILING_STATUS=OR","EQY_CONSOLIDATED=Y","Sort=A","Dates=H","DateFormat=P","Fill=—","Direction=H","UseDPDF=Y")</f>
        <v>#NAME?</v>
      </c>
      <c r="CT166" s="1" t="e">
        <f ca="1">_xll.BDH($C$153,"CUR_RATIO","FQ3 2016","FQ3 2016","Currency=INR","Period=FQ","BEST_FPERIOD_OVERRIDE=FQ","FILING_STATUS=OR","EQY_CONSOLIDATED=Y","Sort=A","Dates=H","DateFormat=P","Fill=—","Direction=H","UseDPDF=Y")</f>
        <v>#NAME?</v>
      </c>
      <c r="CU166" s="1" t="e">
        <f ca="1">_xll.BDH($C$153,"QUICK_RATIO","FQ3 2016","FQ3 2016","Currency=INR","Period=FQ","BEST_FPERIOD_OVERRIDE=FQ","FILING_STATUS=OR","EQY_CONSOLIDATED=Y","Sort=A","Dates=H","DateFormat=P","Fill=—","Direction=H","UseDPDF=Y")</f>
        <v>#NAME?</v>
      </c>
      <c r="CV166" s="1" t="e">
        <f ca="1">_xll.BDH($C$153,"ALTMAN_Z_SCORE","FQ3 2016","FQ3 2016","Currency=INR","Period=FQ","BEST_FPERIOD_OVERRIDE=FQ","FILING_STATUS=OR","EQY_CONSOLIDATED=Y","Sort=A","Dates=H","DateFormat=P","Fill=—","Direction=H","UseDPDF=Y")</f>
        <v>#NAME?</v>
      </c>
      <c r="CW166" s="3" t="e">
        <f ca="1">_xll.BDH($C$153,"ACCT_RCV_TURN","FQ3 2016","FQ3 2016","Currency=INR","Period=FQ","BEST_FPERIOD_OVERRIDE=FQ","FILING_STATUS=OR","EQY_CONSOLIDATED=Y","FA_ADJUSTED=GAAP","Sort=A","Dates=H","DateFormat=P","Fill=—","Direction=H","UseDPDF=Y")</f>
        <v>#NAME?</v>
      </c>
      <c r="CX166" s="1" t="e">
        <f ca="1">_xll.BDH($C$153,"ACCT_RCV_DAYS","FQ3 2016","FQ3 2016","Currency=INR","Period=FQ","BEST_FPERIOD_OVERRIDE=FQ","FILING_STATUS=OR","EQY_CONSOLIDATED=Y","FA_ADJUSTED=GAAP","Sort=A","Dates=H","DateFormat=P","Fill=—","Direction=H","UseDPDF=Y")</f>
        <v>#NAME?</v>
      </c>
      <c r="CY166" s="3" t="e">
        <f ca="1">_xll.BDH($C$153,"INVENT_TURN","FQ3 2016","FQ3 2016","Currency=INR","Period=FQ","BEST_FPERIOD_OVERRIDE=FQ","FILING_STATUS=OR","EQY_CONSOLIDATED=Y","FA_ADJUSTED=GAAP","Sort=A","Dates=H","DateFormat=P","Fill=—","Direction=H","UseDPDF=Y")</f>
        <v>#NAME?</v>
      </c>
      <c r="CZ166" s="1" t="e">
        <f ca="1">_xll.BDH($C$153,"INVENT_DAYS","FQ3 2016","FQ3 2016","Currency=INR","Period=FQ","BEST_FPERIOD_OVERRIDE=FQ","FILING_STATUS=OR","EQY_CONSOLIDATED=Y","FA_ADJUSTED=GAAP","Sort=A","Dates=H","DateFormat=P","Fill=—","Direction=H","UseDPDF=Y")</f>
        <v>#NAME?</v>
      </c>
      <c r="DA166" s="3" t="e">
        <f ca="1">_xll.BDH($C$153,"ACCOUNTS_PAYABLE_TURNOVER","FQ3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66" s="1" t="e">
        <f ca="1">_xll.BDH($C$153,"ACCOUNTS_PAYABLE_TURNOVER_DAYS","FQ3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66" s="3" t="e">
        <f ca="1">_xll.BDH($C$153,"CASH_CONVERSION_CYCLE","FQ3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66" s="3" t="e">
        <f ca="1">_xll.BDH($C$153,"INV_TO_CASH_DAYS","FQ3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166" s="4" t="e">
        <f ca="1">_xll.BDH($C$153,"BS_INVENTORIES","FQ3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166" s="2" t="e">
        <f ca="1">_xll.BDH($C$153,"INVTRY_RAW_MATERIALS","FQ3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66" s="2" t="e">
        <f ca="1">_xll.BDH($C$153,"INVTRY_IN_PROGRESS","FQ3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66" s="2" t="e">
        <f ca="1">_xll.BDH($C$153,"INVTRY_FINISHED_GOODS","FQ3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66" s="2" t="e">
        <f ca="1">_xll.BDH($C$153,"BS_OTHER_INV","FQ3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67" spans="1:113" x14ac:dyDescent="0.3">
      <c r="A167" s="6"/>
      <c r="B167" s="6"/>
      <c r="C167" s="6"/>
      <c r="D167" s="6"/>
      <c r="E167" t="s">
        <v>7</v>
      </c>
      <c r="F167" t="e">
        <f ca="1">_xll.BDH($C$153,"RETURN_COM_EQY","FQ4 2016","FQ4 2016","Currency=INR","Period=FQ","BEST_FPERIOD_OVERRIDE=FQ","FILING_STATUS=OR","EQY_CONSOLIDATED=Y","FA_ADJUSTED=GAAP","Sort=A","Dates=H","DateFormat=P","Fill=—","Direction=H","UseDPDF=Y")</f>
        <v>#NAME?</v>
      </c>
      <c r="G167" t="e">
        <f ca="1">_xll.BDH($C$153,"RETURN_ON_ASSET","FQ4 2016","FQ4 2016","Currency=INR","Period=FQ","BEST_FPERIOD_OVERRIDE=FQ","FILING_STATUS=OR","EQY_CONSOLIDATED=Y","FA_ADJUSTED=GAAP","Sort=A","Dates=H","DateFormat=P","Fill=—","Direction=H","UseDPDF=Y")</f>
        <v>#NAME?</v>
      </c>
      <c r="H167" t="e">
        <f ca="1">_xll.BDH($C$153,"RETURN_ON_CAP","FQ4 2016","FQ4 2016","Currency=INR","Period=FQ","BEST_FPERIOD_OVERRIDE=FQ","FILING_STATUS=OR","EQY_CONSOLIDATED=Y","FA_ADJUSTED=GAAP","Sort=A","Dates=H","DateFormat=P","Fill=—","Direction=H","UseDPDF=Y")</f>
        <v>#NAME?</v>
      </c>
      <c r="I167" t="e">
        <f ca="1">_xll.BDH($C$153,"RETURN_ON_INV_CAPITAL","FQ4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67" t="e">
        <f ca="1">_xll.BDH($C$153,"EBITDA_TO_REVENUE","FQ4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167" t="e">
        <f ca="1">_xll.BDH($C$153,"OPER_MARGIN","FQ4 2016","FQ4 2016","Currency=INR","Period=FQ","BEST_FPERIOD_OVERRIDE=FQ","FILING_STATUS=OR","EQY_CONSOLIDATED=Y","FA_ADJUSTED=GAAP","Sort=A","Dates=H","DateFormat=P","Fill=—","Direction=H","UseDPDF=Y")</f>
        <v>#NAME?</v>
      </c>
      <c r="L167" t="e">
        <f ca="1">_xll.BDH($C$153,"INCREMENTAL_OPERATING_MARGIN","FQ4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67" t="e">
        <f ca="1">_xll.BDH($C$153,"PRETAX_INC_TO_NET_SALES","FQ4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67" t="e">
        <f ca="1">_xll.BDH($C$153,"INC_BEF_XO_ITEMS_TO_NET_SALES","FQ4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67" t="e">
        <f ca="1">_xll.BDH($C$153,"PROF_MARGIN","FQ4 2016","FQ4 2016","Currency=INR","Period=FQ","BEST_FPERIOD_OVERRIDE=FQ","FILING_STATUS=OR","EQY_CONSOLIDATED=Y","FA_ADJUSTED=GAAP","Sort=A","Dates=H","DateFormat=P","Fill=—","Direction=H","UseDPDF=Y")</f>
        <v>#NAME?</v>
      </c>
      <c r="P167" t="e">
        <f ca="1">_xll.BDH($C$153,"NET_INCOME_TO_COMMON_MARGIN","FQ4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67" t="e">
        <f ca="1">_xll.BDH($C$153,"EFF_TAX_RATE","FQ4 2016","FQ4 2016","Currency=INR","Period=FQ","BEST_FPERIOD_OVERRIDE=FQ","FILING_STATUS=OR","EQY_CONSOLIDATED=Y","FA_ADJUSTED=GAAP","Sort=A","Dates=H","DateFormat=P","Fill=—","Direction=H","UseDPDF=Y")</f>
        <v>#NAME?</v>
      </c>
      <c r="R167" t="e">
        <f ca="1">_xll.BDH($C$153,"DVD_PAYOUT_RATIO","FQ4 2016","FQ4 2016","Currency=INR","Period=FQ","BEST_FPERIOD_OVERRIDE=FQ","FILING_STATUS=OR","EQY_CONSOLIDATED=Y","FA_ADJUSTED=GAAP","Sort=A","Dates=H","DateFormat=P","Fill=—","Direction=H","UseDPDF=Y")</f>
        <v>#NAME?</v>
      </c>
      <c r="S167" t="e">
        <f ca="1">_xll.BDH($C$153,"SUSTAIN_GROWTH_RT","FQ4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167" s="1" t="e">
        <f ca="1">_xll.BDH($C$153,"SALES_GROWTH","FQ4 2016","FQ4 2016","Currency=INR","Period=FQ","BEST_FPERIOD_OVERRIDE=FQ","FILING_STATUS=OR","EQY_CONSOLIDATED=Y","FA_ADJUSTED=GAAP","Sort=A","Dates=H","DateFormat=P","Fill=—","Direction=H","UseDPDF=Y")</f>
        <v>#NAME?</v>
      </c>
      <c r="U167" s="1" t="e">
        <f ca="1">_xll.BDH($C$153,"EBITDA_GROWTH","FQ4 2016","FQ4 2016","Currency=INR","Period=FQ","BEST_FPERIOD_OVERRIDE=FQ","FILING_STATUS=OR","EQY_CONSOLIDATED=Y","FA_ADJUSTED=GAAP","Sort=A","Dates=H","DateFormat=P","Fill=—","Direction=H","UseDPDF=Y")</f>
        <v>#NAME?</v>
      </c>
      <c r="V167" s="1" t="e">
        <f ca="1">_xll.BDH($C$153,"OPER_INC_GROWTH","FQ4 2016","FQ4 2016","Currency=INR","Period=FQ","BEST_FPERIOD_OVERRIDE=FQ","FILING_STATUS=OR","EQY_CONSOLIDATED=Y","FA_ADJUSTED=GAAP","Sort=A","Dates=H","DateFormat=P","Fill=—","Direction=H","UseDPDF=Y")</f>
        <v>#NAME?</v>
      </c>
      <c r="W167" s="1" t="e">
        <f ca="1">_xll.BDH($C$153,"EARN_FOR_COM_GROWTH","FQ4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67" s="1" t="e">
        <f ca="1">_xll.BDH($C$153,"DILUTED_EPS_AFT_XO_ITEMS_GROWTH","FQ4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67" s="1" t="e">
        <f ca="1">_xll.BDH($C$153,"DIVIDEND_PER_SHARE_1_YEAR_GROWTH","FQ4 2016","FQ4 2016","Currency=INR","Period=FQ","BEST_FPERIOD_OVERRIDE=FQ","FILING_STATUS=OR","EQY_CONSOLIDATED=Y","Sort=A","Dates=H","DateFormat=P","Fill=—","Direction=H","UseDPDF=Y")</f>
        <v>#NAME?</v>
      </c>
      <c r="Z167" s="1" t="e">
        <f ca="1">_xll.BDH($C$153,"ACCOUNTS_RECEIVABLE_GROWTH","FQ4 2016","FQ4 2016","Currency=INR","Period=FQ","BEST_FPERIOD_OVERRIDE=FQ","FILING_STATUS=OR","EQY_CONSOLIDATED=Y","Sort=A","Dates=H","DateFormat=P","Fill=—","Direction=H","UseDPDF=Y")</f>
        <v>#NAME?</v>
      </c>
      <c r="AA167" s="1" t="e">
        <f ca="1">_xll.BDH($C$153,"INVENTORY_GROWTH","FQ4 2016","FQ4 2016","Currency=INR","Period=FQ","BEST_FPERIOD_OVERRIDE=FQ","FILING_STATUS=OR","EQY_CONSOLIDATED=Y","Sort=A","Dates=H","DateFormat=P","Fill=—","Direction=H","UseDPDF=Y")</f>
        <v>#NAME?</v>
      </c>
      <c r="AB167" s="1" t="e">
        <f ca="1">_xll.BDH($C$153,"NET_FIXED_ASSETS_1_YEAR_GROWTH","FQ4 2016","FQ4 2016","Currency=INR","Period=FQ","BEST_FPERIOD_OVERRIDE=FQ","FILING_STATUS=OR","EQY_CONSOLIDATED=Y","Sort=A","Dates=H","DateFormat=P","Fill=—","Direction=H","UseDPDF=Y")</f>
        <v>#NAME?</v>
      </c>
      <c r="AC167" s="1" t="e">
        <f ca="1">_xll.BDH($C$153,"ASSET_GROWTH","FQ4 2016","FQ4 2016","Currency=INR","Period=FQ","BEST_FPERIOD_OVERRIDE=FQ","FILING_STATUS=OR","EQY_CONSOLIDATED=Y","Sort=A","Dates=H","DateFormat=P","Fill=—","Direction=H","UseDPDF=Y")</f>
        <v>#NAME?</v>
      </c>
      <c r="AD167" s="1" t="e">
        <f ca="1">_xll.BDH($C$153,"MODIFIED_WORK_CAP_GROWTH","FQ4 2016","FQ4 2016","Currency=INR","Period=FQ","BEST_FPERIOD_OVERRIDE=FQ","FILING_STATUS=OR","EQY_CONSOLIDATED=Y","Sort=A","Dates=H","DateFormat=P","Fill=—","Direction=H","UseDPDF=Y")</f>
        <v>#NAME?</v>
      </c>
      <c r="AE167" s="1" t="e">
        <f ca="1">_xll.BDH($C$153,"WORK_CAP_GROWTH","FQ4 2016","FQ4 2016","Currency=INR","Period=FQ","BEST_FPERIOD_OVERRIDE=FQ","FILING_STATUS=OR","EQY_CONSOLIDATED=Y","Sort=A","Dates=H","DateFormat=P","Fill=—","Direction=H","UseDPDF=Y")</f>
        <v>#NAME?</v>
      </c>
      <c r="AF167" s="1" t="e">
        <f ca="1">_xll.BDH($C$153,"ACCOUNTS_PAYABLE_GROWTH_1YR","FQ4 2016","FQ4 2016","Currency=INR","Period=FQ","BEST_FPERIOD_OVERRIDE=FQ","FILING_STATUS=OR","EQY_CONSOLIDATED=Y","Sort=A","Dates=H","DateFormat=P","Fill=—","Direction=H","UseDPDF=Y")</f>
        <v>#NAME?</v>
      </c>
      <c r="AG167" s="1" t="e">
        <f ca="1">_xll.BDH($C$153,"SHORT_TERM_DEBT_1_YEAR_GROWTH","FQ4 2016","FQ4 2016","Currency=INR","Period=FQ","BEST_FPERIOD_OVERRIDE=FQ","FILING_STATUS=OR","EQY_CONSOLIDATED=Y","Sort=A","Dates=H","DateFormat=P","Fill=—","Direction=H","UseDPDF=Y")</f>
        <v>#NAME?</v>
      </c>
      <c r="AH167" s="1" t="e">
        <f ca="1">_xll.BDH($C$153,"TOTAL_DEBT_1_YEAR_GROWTH","FQ4 2016","FQ4 2016","Currency=INR","Period=FQ","BEST_FPERIOD_OVERRIDE=FQ","FILING_STATUS=OR","EQY_CONSOLIDATED=Y","Sort=A","Dates=H","DateFormat=P","Fill=—","Direction=H","UseDPDF=Y")</f>
        <v>#NAME?</v>
      </c>
      <c r="AI167" s="1" t="e">
        <f ca="1">_xll.BDH($C$153,"TOTAL_EQUITY_1_YEAR_GROWTH","FQ4 2016","FQ4 2016","Currency=INR","Period=FQ","BEST_FPERIOD_OVERRIDE=FQ","FILING_STATUS=OR","EQY_CONSOLIDATED=Y","Sort=A","Dates=H","DateFormat=P","Fill=—","Direction=H","UseDPDF=Y")</f>
        <v>#NAME?</v>
      </c>
      <c r="AJ167" s="1" t="e">
        <f ca="1">_xll.BDH($C$153,"GROWTH_IN_CAP","FQ4 2016","FQ4 2016","Currency=INR","Period=FQ","BEST_FPERIOD_OVERRIDE=FQ","FILING_STATUS=OR","EQY_CONSOLIDATED=Y","Sort=A","Dates=H","DateFormat=P","Fill=—","Direction=H","UseDPDF=Y")</f>
        <v>#NAME?</v>
      </c>
      <c r="AK167" s="1" t="e">
        <f ca="1">_xll.BDH($C$153,"BVPS_GROWTH","FQ4 2016","FQ4 2016","Currency=INR","Period=FQ","BEST_FPERIOD_OVERRIDE=FQ","FILING_STATUS=OR","EQY_CONSOLIDATED=Y","Sort=A","Dates=H","DateFormat=P","Fill=—","Direction=H","UseDPDF=Y")</f>
        <v>#NAME?</v>
      </c>
      <c r="AL167" s="1" t="e">
        <f ca="1">_xll.BDH($C$153,"CASH_FLOW_GROWTH","FQ4 2016","FQ4 2016","Currency=INR","Period=FQ","BEST_FPERIOD_OVERRIDE=FQ","FILING_STATUS=OR","EQY_CONSOLIDATED=Y","Sort=A","Dates=H","DateFormat=P","Fill=—","Direction=H","UseDPDF=Y")</f>
        <v>#NAME?</v>
      </c>
      <c r="AM167" s="1" t="e">
        <f ca="1">_xll.BDH($C$153,"GEO_GROW_NET_SALES","FQ4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67" s="1" t="e">
        <f ca="1">_xll.BDH($C$153,"GEO_GROW_EBITDA","FQ4 2016","FQ4 2016","Currency=INR","Period=FQ","BEST_FPERIOD_OVERRIDE=FQ","FILING_STATUS=OR","EQY_CONSOLIDATED=Y","FA_ADJUSTED=GAAP","Sort=A","Dates=H","DateFormat=P","Fill=—","Direction=H","UseDPDF=Y")</f>
        <v>#NAME?</v>
      </c>
      <c r="AO167" s="1" t="e">
        <f ca="1">_xll.BDH($C$153,"GEO_GROW_OPER_INC","FQ4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67" s="1" t="e">
        <f ca="1">_xll.BDH($C$153,"NET_INCOME_TO_COMMON_5_YR_GROWTH","FQ4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67" s="1" t="e">
        <f ca="1">_xll.BDH($C$153,"5Y_GEO_GROWTH_DILUTED_EPS","FQ4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67" s="1" t="e">
        <f ca="1">_xll.BDH($C$153,"GEO_GROW_DVD_PER_SH","FQ4 2016","FQ4 2016","Currency=INR","Period=FQ","BEST_FPERIOD_OVERRIDE=FQ","FILING_STATUS=OR","EQY_CONSOLIDATED=Y","Sort=A","Dates=H","DateFormat=P","Fill=—","Direction=H","UseDPDF=Y")</f>
        <v>#NAME?</v>
      </c>
      <c r="AS167" s="1" t="e">
        <f ca="1">_xll.BDH($C$153,"ACCOUNTS_RECEIVABLE_5_YR_GROWTH","FQ4 2016","FQ4 2016","Currency=INR","Period=FQ","BEST_FPERIOD_OVERRIDE=FQ","FILING_STATUS=OR","EQY_CONSOLIDATED=Y","Sort=A","Dates=H","DateFormat=P","Fill=—","Direction=H","UseDPDF=Y")</f>
        <v>#NAME?</v>
      </c>
      <c r="AT167" s="1" t="e">
        <f ca="1">_xll.BDH($C$153,"INVENTORY_5_YEAR_GROWTH","FQ4 2016","FQ4 2016","Currency=INR","Period=FQ","BEST_FPERIOD_OVERRIDE=FQ","FILING_STATUS=OR","EQY_CONSOLIDATED=Y","Sort=A","Dates=H","DateFormat=P","Fill=—","Direction=H","UseDPDF=Y")</f>
        <v>#NAME?</v>
      </c>
      <c r="AU167" s="1" t="e">
        <f ca="1">_xll.BDH($C$153,"NET_FIXED_ASSETS_5_YEAR_GROWTH","FQ4 2016","FQ4 2016","Currency=INR","Period=FQ","BEST_FPERIOD_OVERRIDE=FQ","FILING_STATUS=OR","EQY_CONSOLIDATED=Y","Sort=A","Dates=H","DateFormat=P","Fill=—","Direction=H","UseDPDF=Y")</f>
        <v>#NAME?</v>
      </c>
      <c r="AV167" s="1" t="e">
        <f ca="1">_xll.BDH($C$153,"GEO_GROW_TOT_ASSET","FQ4 2016","FQ4 2016","Currency=INR","Period=FQ","BEST_FPERIOD_OVERRIDE=FQ","FILING_STATUS=OR","EQY_CONSOLIDATED=Y","Sort=A","Dates=H","DateFormat=P","Fill=—","Direction=H","UseDPDF=Y")</f>
        <v>#NAME?</v>
      </c>
      <c r="AW167" s="1" t="e">
        <f ca="1">_xll.BDH($C$153,"MODIFIED_WORKING_CPTL_5YR_GRWTH","FQ4 2016","FQ4 2016","Currency=INR","Period=FQ","BEST_FPERIOD_OVERRIDE=FQ","FILING_STATUS=OR","EQY_CONSOLIDATED=Y","Sort=A","Dates=H","DateFormat=P","Fill=—","Direction=H","UseDPDF=Y")</f>
        <v>#NAME?</v>
      </c>
      <c r="AX167" s="1" t="e">
        <f ca="1">_xll.BDH($C$153,"WORKING_CAPITAL_5_YEAR_GROWTH","FQ4 2016","FQ4 2016","Currency=INR","Period=FQ","BEST_FPERIOD_OVERRIDE=FQ","FILING_STATUS=OR","EQY_CONSOLIDATED=Y","Sort=A","Dates=H","DateFormat=P","Fill=—","Direction=H","UseDPDF=Y")</f>
        <v>#NAME?</v>
      </c>
      <c r="AY167" s="1" t="e">
        <f ca="1">_xll.BDH($C$153,"ACCOUNTS_PAYABLE_5_YEAR_GROWTH","FQ4 2016","FQ4 2016","Currency=INR","Period=FQ","BEST_FPERIOD_OVERRIDE=FQ","FILING_STATUS=OR","EQY_CONSOLIDATED=Y","Sort=A","Dates=H","DateFormat=P","Fill=—","Direction=H","UseDPDF=Y")</f>
        <v>#NAME?</v>
      </c>
      <c r="AZ167" s="1" t="e">
        <f ca="1">_xll.BDH($C$153,"SHORT_TERM_DEBT_5_YEAR_GROWTH","FQ4 2016","FQ4 2016","Currency=INR","Period=FQ","BEST_FPERIOD_OVERRIDE=FQ","FILING_STATUS=OR","EQY_CONSOLIDATED=Y","Sort=A","Dates=H","DateFormat=P","Fill=—","Direction=H","UseDPDF=Y")</f>
        <v>#NAME?</v>
      </c>
      <c r="BA167" s="1" t="e">
        <f ca="1">_xll.BDH($C$153,"TOTAL_DEBT_5_YEAR_GROWTH","FQ4 2016","FQ4 2016","Currency=INR","Period=FQ","BEST_FPERIOD_OVERRIDE=FQ","FILING_STATUS=OR","EQY_CONSOLIDATED=Y","Sort=A","Dates=H","DateFormat=P","Fill=—","Direction=H","UseDPDF=Y")</f>
        <v>#NAME?</v>
      </c>
      <c r="BB167" s="1" t="e">
        <f ca="1">_xll.BDH($C$153,"GEO_GROW_TOT_SHRHLDR_EQY","FQ4 2016","FQ4 2016","Currency=INR","Period=FQ","BEST_FPERIOD_OVERRIDE=FQ","FILING_STATUS=OR","EQY_CONSOLIDATED=Y","Sort=A","Dates=H","DateFormat=P","Fill=—","Direction=H","UseDPDF=Y")</f>
        <v>#NAME?</v>
      </c>
      <c r="BC167" s="1" t="e">
        <f ca="1">_xll.BDH($C$153,"TOTAL_CAPITAL_5_YEAR_GROWTH","FQ4 2016","FQ4 2016","Currency=INR","Period=FQ","BEST_FPERIOD_OVERRIDE=FQ","FILING_STATUS=OR","EQY_CONSOLIDATED=Y","Sort=A","Dates=H","DateFormat=P","Fill=—","Direction=H","UseDPDF=Y")</f>
        <v>#NAME?</v>
      </c>
      <c r="BD167" s="1" t="e">
        <f ca="1">_xll.BDH($C$153,"GEO_GROW_BOOK_VAL","FQ4 2016","FQ4 2016","Currency=INR","Period=FQ","BEST_FPERIOD_OVERRIDE=FQ","FILING_STATUS=OR","EQY_CONSOLIDATED=Y","Sort=A","Dates=H","DateFormat=P","Fill=—","Direction=H","UseDPDF=Y")</f>
        <v>#NAME?</v>
      </c>
      <c r="BE167" s="1" t="e">
        <f ca="1">_xll.BDH($C$153,"GEO_GROW_CASH_OPER_ACT","FQ4 2016","FQ4 2016","Currency=INR","Period=FQ","BEST_FPERIOD_OVERRIDE=FQ","FILING_STATUS=OR","EQY_CONSOLIDATED=Y","Sort=A","Dates=H","DateFormat=P","Fill=—","Direction=H","UseDPDF=Y")</f>
        <v>#NAME?</v>
      </c>
      <c r="BF167" s="1" t="e">
        <f ca="1">_xll.BDH($C$153,"REVENUE_SEQUENTIAL_GROWTH","FQ4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67" s="1" t="e">
        <f ca="1">_xll.BDH($C$153,"EBITDA_SEQUENTIAL_GROWTH","FQ4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67" s="1" t="e">
        <f ca="1">_xll.BDH($C$153,"OPERATING_INCOME_SEQ_GROWTH","FQ4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67" s="1" t="e">
        <f ca="1">_xll.BDH($C$153,"NET_INCOME_TO_COMMON_SEQ_GROWTH","FQ4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67" s="1" t="e">
        <f ca="1">_xll.BDH($C$153,"EPS_DILUTED_SEQUENTIAL_GROWTH","FQ4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67" s="1" t="e">
        <f ca="1">_xll.BDH($C$153,"DPS_SEQUENTIAL_GROWTH","FQ4 2016","FQ4 2016","Currency=INR","Period=FQ","BEST_FPERIOD_OVERRIDE=FQ","FILING_STATUS=OR","EQY_CONSOLIDATED=Y","Sort=A","Dates=H","DateFormat=P","Fill=—","Direction=H","UseDPDF=Y")</f>
        <v>#NAME?</v>
      </c>
      <c r="BL167" s="1" t="e">
        <f ca="1">_xll.BDH($C$153,"ACCOUNTS_RECEIVABLE_SEQ_GROWTH","FQ4 2016","FQ4 2016","Currency=INR","Period=FQ","BEST_FPERIOD_OVERRIDE=FQ","FILING_STATUS=OR","EQY_CONSOLIDATED=Y","Sort=A","Dates=H","DateFormat=P","Fill=—","Direction=H","UseDPDF=Y")</f>
        <v>#NAME?</v>
      </c>
      <c r="BM167" s="1" t="e">
        <f ca="1">_xll.BDH($C$153,"INVENTORY_SEQUENTIAL_GROWTH","FQ4 2016","FQ4 2016","Currency=INR","Period=FQ","BEST_FPERIOD_OVERRIDE=FQ","FILING_STATUS=OR","EQY_CONSOLIDATED=Y","Sort=A","Dates=H","DateFormat=P","Fill=—","Direction=H","UseDPDF=Y")</f>
        <v>#NAME?</v>
      </c>
      <c r="BN167" s="1" t="e">
        <f ca="1">_xll.BDH($C$153,"FIXED_ASSETS_SEQUENTIAL_GROWTH","FQ4 2016","FQ4 2016","Currency=INR","Period=FQ","BEST_FPERIOD_OVERRIDE=FQ","FILING_STATUS=OR","EQY_CONSOLIDATED=Y","Sort=A","Dates=H","DateFormat=P","Fill=—","Direction=H","UseDPDF=Y")</f>
        <v>#NAME?</v>
      </c>
      <c r="BO167" s="1" t="e">
        <f ca="1">_xll.BDH($C$153,"TOTAL_ASSETS_SEQUENTIAL_GROWTH","FQ4 2016","FQ4 2016","Currency=INR","Period=FQ","BEST_FPERIOD_OVERRIDE=FQ","FILING_STATUS=OR","EQY_CONSOLIDATED=Y","Sort=A","Dates=H","DateFormat=P","Fill=—","Direction=H","UseDPDF=Y")</f>
        <v>#NAME?</v>
      </c>
      <c r="BP167" s="1" t="e">
        <f ca="1">_xll.BDH($C$153,"MODIFIED_WORKING_CPTL_SEQ_GRWTH","FQ4 2016","FQ4 2016","Currency=INR","Period=FQ","BEST_FPERIOD_OVERRIDE=FQ","FILING_STATUS=OR","EQY_CONSOLIDATED=Y","Sort=A","Dates=H","DateFormat=P","Fill=—","Direction=H","UseDPDF=Y")</f>
        <v>#NAME?</v>
      </c>
      <c r="BQ167" s="1" t="e">
        <f ca="1">_xll.BDH($C$153,"WORKING_CAPITAL_SEQ_GROWTH","FQ4 2016","FQ4 2016","Currency=INR","Period=FQ","BEST_FPERIOD_OVERRIDE=FQ","FILING_STATUS=OR","EQY_CONSOLIDATED=Y","Sort=A","Dates=H","DateFormat=P","Fill=—","Direction=H","UseDPDF=Y")</f>
        <v>#NAME?</v>
      </c>
      <c r="BR167" s="1" t="e">
        <f ca="1">_xll.BDH($C$153,"ACCOUNTS_PAYABLE_SEQ_GROWTH","FQ4 2016","FQ4 2016","Currency=INR","Period=FQ","BEST_FPERIOD_OVERRIDE=FQ","FILING_STATUS=OR","EQY_CONSOLIDATED=Y","Sort=A","Dates=H","DateFormat=P","Fill=—","Direction=H","UseDPDF=Y")</f>
        <v>#NAME?</v>
      </c>
      <c r="BS167" s="1" t="e">
        <f ca="1">_xll.BDH($C$153,"ST_DEBT_SEQUENTIAL_GROWTH","FQ4 2016","FQ4 2016","Currency=INR","Period=FQ","BEST_FPERIOD_OVERRIDE=FQ","FILING_STATUS=OR","EQY_CONSOLIDATED=Y","Sort=A","Dates=H","DateFormat=P","Fill=—","Direction=H","UseDPDF=Y")</f>
        <v>#NAME?</v>
      </c>
      <c r="BT167" s="1" t="e">
        <f ca="1">_xll.BDH($C$153,"TOTAL_DEBT_SEQUENTIAL_GROWTH","FQ4 2016","FQ4 2016","Currency=INR","Period=FQ","BEST_FPERIOD_OVERRIDE=FQ","FILING_STATUS=OR","EQY_CONSOLIDATED=Y","Sort=A","Dates=H","DateFormat=P","Fill=—","Direction=H","UseDPDF=Y")</f>
        <v>#NAME?</v>
      </c>
      <c r="BU167" s="1" t="e">
        <f ca="1">_xll.BDH($C$153,"TOTAL_EQUITY_SEQUENTIAL_GROWTH","FQ4 2016","FQ4 2016","Currency=INR","Period=FQ","BEST_FPERIOD_OVERRIDE=FQ","FILING_STATUS=OR","EQY_CONSOLIDATED=Y","Sort=A","Dates=H","DateFormat=P","Fill=—","Direction=H","UseDPDF=Y")</f>
        <v>#NAME?</v>
      </c>
      <c r="BV167" s="1" t="e">
        <f ca="1">_xll.BDH($C$153,"TOTAL_CAPITAL_SEQUENTIAL_GROWTH","FQ4 2016","FQ4 2016","Currency=INR","Period=FQ","BEST_FPERIOD_OVERRIDE=FQ","FILING_STATUS=OR","EQY_CONSOLIDATED=Y","Sort=A","Dates=H","DateFormat=P","Fill=—","Direction=H","UseDPDF=Y")</f>
        <v>#NAME?</v>
      </c>
      <c r="BW167" s="1" t="e">
        <f ca="1">_xll.BDH($C$153,"BPS_SEQUENTIAL_GROWTH","FQ4 2016","FQ4 2016","Currency=INR","Period=FQ","BEST_FPERIOD_OVERRIDE=FQ","FILING_STATUS=OR","EQY_CONSOLIDATED=Y","Sort=A","Dates=H","DateFormat=P","Fill=—","Direction=H","UseDPDF=Y")</f>
        <v>#NAME?</v>
      </c>
      <c r="BX167" s="1" t="e">
        <f ca="1">_xll.BDH($C$153,"CFO_SEQUENTIAL_GROWTH","FQ4 2016","FQ4 2016","Currency=INR","Period=FQ","BEST_FPERIOD_OVERRIDE=FQ","FILING_STATUS=OR","EQY_CONSOLIDATED=Y","Sort=A","Dates=H","DateFormat=P","Fill=—","Direction=H","UseDPDF=Y")</f>
        <v>#NAME?</v>
      </c>
      <c r="BY167" s="2" t="e">
        <f ca="1">_xll.BDH($C$153,"SHORT_AND_LONG_TERM_DEBT","FQ4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67" s="2" t="e">
        <f ca="1">_xll.BDH($C$153,"BS_ST_BORROW","FQ4 2016","FQ4 2016","Currency=INR","Period=FQ","BEST_FPERIOD_OVERRIDE=FQ","FILING_STATUS=OR","EQY_CONSOLIDATED=Y","SCALING_FORMAT=MLN","Sort=A","Dates=H","DateFormat=P","Fill=—","Direction=H","UseDPDF=Y")</f>
        <v>#NAME?</v>
      </c>
      <c r="CA167" s="2" t="e">
        <f ca="1">_xll.BDH($C$153,"BS_LT_BORROW","FQ4 2016","FQ4 2016","Currency=INR","Period=FQ","BEST_FPERIOD_OVERRIDE=FQ","FILING_STATUS=OR","EQY_CONSOLIDATED=Y","SCALING_FORMAT=MLN","Sort=A","Dates=H","DateFormat=P","Fill=—","Direction=H","UseDPDF=Y")</f>
        <v>#NAME?</v>
      </c>
      <c r="CB167" s="1" t="e">
        <f ca="1">_xll.BDH($C$153,"TOT_DEBT_TO_EBITDA","FQ4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67" s="1" t="e">
        <f ca="1">_xll.BDH($C$153,"NET_DEBT_TO_EBITDA","FQ4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67" s="1" t="e">
        <f ca="1">_xll.BDH($C$153,"TOTAL_DEBT_TO_EBIT","FQ4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67" s="1" t="e">
        <f ca="1">_xll.BDH($C$153,"NET_DEBT_TO_EBIT","FQ4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167" s="1" t="e">
        <f ca="1">_xll.BDH($C$153,"EBITDA_TO_INTEREST_EXPN","FQ4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67" s="1" t="e">
        <f ca="1">_xll.BDH($C$153,"COM_EQY_TO_TOT_ASSET","FQ4 2016","FQ4 2016","Currency=INR","Period=FQ","BEST_FPERIOD_OVERRIDE=FQ","FILING_STATUS=OR","EQY_CONSOLIDATED=Y","Sort=A","Dates=H","DateFormat=P","Fill=—","Direction=H","UseDPDF=Y")</f>
        <v>#NAME?</v>
      </c>
      <c r="CH167" s="1" t="e">
        <f ca="1">_xll.BDH($C$153,"LT_DEBT_TO_TOT_EQY","FQ4 2016","FQ4 2016","Currency=INR","Period=FQ","BEST_FPERIOD_OVERRIDE=FQ","FILING_STATUS=OR","EQY_CONSOLIDATED=Y","Sort=A","Dates=H","DateFormat=P","Fill=—","Direction=H","UseDPDF=Y")</f>
        <v>#NAME?</v>
      </c>
      <c r="CI167" s="1" t="e">
        <f ca="1">_xll.BDH($C$153,"LT_DEBT_TO_TOT_CAP","FQ4 2016","FQ4 2016","Currency=INR","Period=FQ","BEST_FPERIOD_OVERRIDE=FQ","FILING_STATUS=OR","EQY_CONSOLIDATED=Y","Sort=A","Dates=H","DateFormat=P","Fill=—","Direction=H","UseDPDF=Y")</f>
        <v>#NAME?</v>
      </c>
      <c r="CJ167" s="1" t="e">
        <f ca="1">_xll.BDH($C$153,"LT_DEBT_TO_TOT_ASSET","FQ4 2016","FQ4 2016","Currency=INR","Period=FQ","BEST_FPERIOD_OVERRIDE=FQ","FILING_STATUS=OR","EQY_CONSOLIDATED=Y","Sort=A","Dates=H","DateFormat=P","Fill=—","Direction=H","UseDPDF=Y")</f>
        <v>#NAME?</v>
      </c>
      <c r="CK167" s="1" t="e">
        <f ca="1">_xll.BDH($C$153,"TOT_DEBT_TO_TOT_EQY","FQ4 2016","FQ4 2016","Currency=INR","Period=FQ","BEST_FPERIOD_OVERRIDE=FQ","FILING_STATUS=OR","EQY_CONSOLIDATED=Y","Sort=A","Dates=H","DateFormat=P","Fill=—","Direction=H","UseDPDF=Y")</f>
        <v>#NAME?</v>
      </c>
      <c r="CL167" s="1" t="e">
        <f ca="1">_xll.BDH($C$153,"TOT_DEBT_TO_TOT_CAP","FQ4 2016","FQ4 2016","Currency=INR","Period=FQ","BEST_FPERIOD_OVERRIDE=FQ","FILING_STATUS=OR","EQY_CONSOLIDATED=Y","Sort=A","Dates=H","DateFormat=P","Fill=—","Direction=H","UseDPDF=Y")</f>
        <v>#NAME?</v>
      </c>
      <c r="CM167" s="1" t="e">
        <f ca="1">_xll.BDH($C$153,"TOT_DEBT_TO_TOT_ASSET","FQ4 2016","FQ4 2016","Currency=INR","Period=FQ","BEST_FPERIOD_OVERRIDE=FQ","FILING_STATUS=OR","EQY_CONSOLIDATED=Y","Sort=A","Dates=H","DateFormat=P","Fill=—","Direction=H","UseDPDF=Y")</f>
        <v>#NAME?</v>
      </c>
      <c r="CN167" s="1" t="e">
        <f ca="1">_xll.BDH($C$153,"NET_DEBT_TO_SHRHLDR_EQTY","FQ4 2016","FQ4 2016","Currency=INR","Period=FQ","BEST_FPERIOD_OVERRIDE=FQ","FILING_STATUS=OR","EQY_CONSOLIDATED=Y","Sort=A","Dates=H","DateFormat=P","Fill=—","Direction=H","UseDPDF=Y")</f>
        <v>#NAME?</v>
      </c>
      <c r="CO167" s="1" t="e">
        <f ca="1">_xll.BDH($C$153,"NET_DEBT_%_CAPITAL","FQ4 2016","FQ4 2016","Currency=INR","Period=FQ","BEST_FPERIOD_OVERRIDE=FQ","FILING_STATUS=OR","EQY_CONSOLIDATED=Y","Sort=A","Dates=H","DateFormat=P","Fill=—","Direction=H","UseDPDF=Y")</f>
        <v>#NAME?</v>
      </c>
      <c r="CP167" s="2" t="e">
        <f ca="1">_xll.BDH($C$153,"EBITDA","FQ4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67" s="2" t="e">
        <f ca="1">_xll.BDH($C$153,"EBITDA_AFTER_CAPEX","FQ4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67" s="2" t="e">
        <f ca="1">_xll.BDH($C$153,"IS_OPER_INC","FQ4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67" s="1" t="e">
        <f ca="1">_xll.BDH($C$153,"CASH_RATIO","FQ4 2016","FQ4 2016","Currency=INR","Period=FQ","BEST_FPERIOD_OVERRIDE=FQ","FILING_STATUS=OR","EQY_CONSOLIDATED=Y","Sort=A","Dates=H","DateFormat=P","Fill=—","Direction=H","UseDPDF=Y")</f>
        <v>#NAME?</v>
      </c>
      <c r="CT167" s="1" t="e">
        <f ca="1">_xll.BDH($C$153,"CUR_RATIO","FQ4 2016","FQ4 2016","Currency=INR","Period=FQ","BEST_FPERIOD_OVERRIDE=FQ","FILING_STATUS=OR","EQY_CONSOLIDATED=Y","Sort=A","Dates=H","DateFormat=P","Fill=—","Direction=H","UseDPDF=Y")</f>
        <v>#NAME?</v>
      </c>
      <c r="CU167" s="1" t="e">
        <f ca="1">_xll.BDH($C$153,"QUICK_RATIO","FQ4 2016","FQ4 2016","Currency=INR","Period=FQ","BEST_FPERIOD_OVERRIDE=FQ","FILING_STATUS=OR","EQY_CONSOLIDATED=Y","Sort=A","Dates=H","DateFormat=P","Fill=—","Direction=H","UseDPDF=Y")</f>
        <v>#NAME?</v>
      </c>
      <c r="CV167" s="1" t="e">
        <f ca="1">_xll.BDH($C$153,"ALTMAN_Z_SCORE","FQ4 2016","FQ4 2016","Currency=INR","Period=FQ","BEST_FPERIOD_OVERRIDE=FQ","FILING_STATUS=OR","EQY_CONSOLIDATED=Y","Sort=A","Dates=H","DateFormat=P","Fill=—","Direction=H","UseDPDF=Y")</f>
        <v>#NAME?</v>
      </c>
      <c r="CW167" s="3" t="e">
        <f ca="1">_xll.BDH($C$153,"ACCT_RCV_TURN","FQ4 2016","FQ4 2016","Currency=INR","Period=FQ","BEST_FPERIOD_OVERRIDE=FQ","FILING_STATUS=OR","EQY_CONSOLIDATED=Y","FA_ADJUSTED=GAAP","Sort=A","Dates=H","DateFormat=P","Fill=—","Direction=H","UseDPDF=Y")</f>
        <v>#NAME?</v>
      </c>
      <c r="CX167" s="1" t="e">
        <f ca="1">_xll.BDH($C$153,"ACCT_RCV_DAYS","FQ4 2016","FQ4 2016","Currency=INR","Period=FQ","BEST_FPERIOD_OVERRIDE=FQ","FILING_STATUS=OR","EQY_CONSOLIDATED=Y","FA_ADJUSTED=GAAP","Sort=A","Dates=H","DateFormat=P","Fill=—","Direction=H","UseDPDF=Y")</f>
        <v>#NAME?</v>
      </c>
      <c r="CY167" s="3" t="e">
        <f ca="1">_xll.BDH($C$153,"INVENT_TURN","FQ4 2016","FQ4 2016","Currency=INR","Period=FQ","BEST_FPERIOD_OVERRIDE=FQ","FILING_STATUS=OR","EQY_CONSOLIDATED=Y","FA_ADJUSTED=GAAP","Sort=A","Dates=H","DateFormat=P","Fill=—","Direction=H","UseDPDF=Y")</f>
        <v>#NAME?</v>
      </c>
      <c r="CZ167" s="1" t="e">
        <f ca="1">_xll.BDH($C$153,"INVENT_DAYS","FQ4 2016","FQ4 2016","Currency=INR","Period=FQ","BEST_FPERIOD_OVERRIDE=FQ","FILING_STATUS=OR","EQY_CONSOLIDATED=Y","FA_ADJUSTED=GAAP","Sort=A","Dates=H","DateFormat=P","Fill=—","Direction=H","UseDPDF=Y")</f>
        <v>#NAME?</v>
      </c>
      <c r="DA167" s="3" t="e">
        <f ca="1">_xll.BDH($C$153,"ACCOUNTS_PAYABLE_TURNOVER","FQ4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67" s="1" t="e">
        <f ca="1">_xll.BDH($C$153,"ACCOUNTS_PAYABLE_TURNOVER_DAYS","FQ4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67" s="3" t="e">
        <f ca="1">_xll.BDH($C$153,"CASH_CONVERSION_CYCLE","FQ4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67" s="3" t="e">
        <f ca="1">_xll.BDH($C$153,"INV_TO_CASH_DAYS","FQ4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167" s="4" t="e">
        <f ca="1">_xll.BDH($C$153,"BS_INVENTORIES","FQ4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167" s="2" t="e">
        <f ca="1">_xll.BDH($C$153,"INVTRY_RAW_MATERIALS","FQ4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67" s="2" t="e">
        <f ca="1">_xll.BDH($C$153,"INVTRY_IN_PROGRESS","FQ4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67" s="2" t="e">
        <f ca="1">_xll.BDH($C$153,"INVTRY_FINISHED_GOODS","FQ4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67" s="2" t="e">
        <f ca="1">_xll.BDH($C$153,"BS_OTHER_INV","FQ4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68" spans="1:113" x14ac:dyDescent="0.3">
      <c r="A168" s="6"/>
      <c r="B168" s="6"/>
      <c r="C168" s="6"/>
      <c r="D168" s="6" t="s">
        <v>10</v>
      </c>
      <c r="E168" t="s">
        <v>3</v>
      </c>
      <c r="F168" t="e">
        <f ca="1">_xll.BDH($C$153,"RETURN_COM_EQY","FY 2017","FY 2017","Currency=INR","Period=FY","BEST_FPERIOD_OVERRIDE=FY","FILING_STATUS=OR","EQY_CONSOLIDATED=Y","FA_ADJUSTED=GAAP","Sort=A","Dates=H","DateFormat=P","Fill=—","Direction=H","UseDPDF=Y")</f>
        <v>#NAME?</v>
      </c>
      <c r="G168" t="e">
        <f ca="1">_xll.BDH($C$153,"RETURN_ON_ASSET","FY 2017","FY 2017","Currency=INR","Period=FY","BEST_FPERIOD_OVERRIDE=FY","FILING_STATUS=OR","EQY_CONSOLIDATED=Y","FA_ADJUSTED=GAAP","Sort=A","Dates=H","DateFormat=P","Fill=—","Direction=H","UseDPDF=Y")</f>
        <v>#NAME?</v>
      </c>
      <c r="H168" t="e">
        <f ca="1">_xll.BDH($C$153,"RETURN_ON_CAP","FY 2017","FY 2017","Currency=INR","Period=FY","BEST_FPERIOD_OVERRIDE=FY","FILING_STATUS=OR","EQY_CONSOLIDATED=Y","FA_ADJUSTED=GAAP","Sort=A","Dates=H","DateFormat=P","Fill=—","Direction=H","UseDPDF=Y")</f>
        <v>#NAME?</v>
      </c>
      <c r="I168" t="e">
        <f ca="1">_xll.BDH($C$153,"RETURN_ON_INV_CAPITAL","FY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68" t="e">
        <f ca="1">_xll.BDH($C$153,"EBITDA_TO_REVENUE","FY 2017","FY 2017","Currency=INR","Period=FY","BEST_FPERIOD_OVERRIDE=FY","FILING_STATUS=OR","EQY_CONSOLIDATED=Y","FA_ADJUSTED=GAAP","Sort=A","Dates=H","DateFormat=P","Fill=—","Direction=H","UseDPDF=Y")</f>
        <v>#NAME?</v>
      </c>
      <c r="K168" t="e">
        <f ca="1">_xll.BDH($C$153,"OPER_MARGIN","FY 2017","FY 2017","Currency=INR","Period=FY","BEST_FPERIOD_OVERRIDE=FY","FILING_STATUS=OR","EQY_CONSOLIDATED=Y","FA_ADJUSTED=GAAP","Sort=A","Dates=H","DateFormat=P","Fill=—","Direction=H","UseDPDF=Y")</f>
        <v>#NAME?</v>
      </c>
      <c r="L168" t="e">
        <f ca="1">_xll.BDH($C$153,"INCREMENTAL_OPERATING_MARGIN","FY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68" t="e">
        <f ca="1">_xll.BDH($C$153,"PRETAX_INC_TO_NET_SALES","FY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68" t="e">
        <f ca="1">_xll.BDH($C$153,"INC_BEF_XO_ITEMS_TO_NET_SALES","FY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68" t="e">
        <f ca="1">_xll.BDH($C$153,"PROF_MARGIN","FY 2017","FY 2017","Currency=INR","Period=FY","BEST_FPERIOD_OVERRIDE=FY","FILING_STATUS=OR","EQY_CONSOLIDATED=Y","FA_ADJUSTED=GAAP","Sort=A","Dates=H","DateFormat=P","Fill=—","Direction=H","UseDPDF=Y")</f>
        <v>#NAME?</v>
      </c>
      <c r="P168" t="e">
        <f ca="1">_xll.BDH($C$153,"NET_INCOME_TO_COMMON_MARGIN","FY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68" t="e">
        <f ca="1">_xll.BDH($C$153,"EFF_TAX_RATE","FY 2017","FY 2017","Currency=INR","Period=FY","BEST_FPERIOD_OVERRIDE=FY","FILING_STATUS=OR","EQY_CONSOLIDATED=Y","FA_ADJUSTED=GAAP","Sort=A","Dates=H","DateFormat=P","Fill=—","Direction=H","UseDPDF=Y")</f>
        <v>#NAME?</v>
      </c>
      <c r="R168" t="e">
        <f ca="1">_xll.BDH($C$153,"DVD_PAYOUT_RATIO","FY 2017","FY 2017","Currency=INR","Period=FY","BEST_FPERIOD_OVERRIDE=FY","FILING_STATUS=OR","EQY_CONSOLIDATED=Y","FA_ADJUSTED=GAAP","Sort=A","Dates=H","DateFormat=P","Fill=—","Direction=H","UseDPDF=Y")</f>
        <v>#NAME?</v>
      </c>
      <c r="S168" t="e">
        <f ca="1">_xll.BDH($C$153,"SUSTAIN_GROWTH_RT","FY 2017","FY 2017","Currency=INR","Period=FY","BEST_FPERIOD_OVERRIDE=FY","FILING_STATUS=OR","EQY_CONSOLIDATED=Y","FA_ADJUSTED=GAAP","Sort=A","Dates=H","DateFormat=P","Fill=—","Direction=H","UseDPDF=Y")</f>
        <v>#NAME?</v>
      </c>
      <c r="T168" s="1" t="e">
        <f ca="1">_xll.BDH($C$153,"SALES_GROWTH","FY 2017","FY 2017","Currency=INR","Period=FY","BEST_FPERIOD_OVERRIDE=FY","FILING_STATUS=OR","EQY_CONSOLIDATED=Y","FA_ADJUSTED=GAAP","Sort=A","Dates=H","DateFormat=P","Fill=—","Direction=H","UseDPDF=Y")</f>
        <v>#NAME?</v>
      </c>
      <c r="U168" s="1" t="e">
        <f ca="1">_xll.BDH($C$153,"EBITDA_GROWTH","FY 2017","FY 2017","Currency=INR","Period=FY","BEST_FPERIOD_OVERRIDE=FY","FILING_STATUS=OR","EQY_CONSOLIDATED=Y","FA_ADJUSTED=GAAP","Sort=A","Dates=H","DateFormat=P","Fill=—","Direction=H","UseDPDF=Y")</f>
        <v>#NAME?</v>
      </c>
      <c r="V168" s="1" t="e">
        <f ca="1">_xll.BDH($C$153,"OPER_INC_GROWTH","FY 2017","FY 2017","Currency=INR","Period=FY","BEST_FPERIOD_OVERRIDE=FY","FILING_STATUS=OR","EQY_CONSOLIDATED=Y","FA_ADJUSTED=GAAP","Sort=A","Dates=H","DateFormat=P","Fill=—","Direction=H","UseDPDF=Y")</f>
        <v>#NAME?</v>
      </c>
      <c r="W168" s="1" t="e">
        <f ca="1">_xll.BDH($C$153,"EARN_FOR_COM_GROWTH","FY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168" s="1" t="e">
        <f ca="1">_xll.BDH($C$153,"DILUTED_EPS_AFT_XO_ITEMS_GROWTH","FY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68" s="1" t="e">
        <f ca="1">_xll.BDH($C$153,"DIVIDEND_PER_SHARE_1_YEAR_GROWTH","FY 2017","FY 2017","Currency=INR","Period=FY","BEST_FPERIOD_OVERRIDE=FY","FILING_STATUS=OR","EQY_CONSOLIDATED=Y","Sort=A","Dates=H","DateFormat=P","Fill=—","Direction=H","UseDPDF=Y")</f>
        <v>#NAME?</v>
      </c>
      <c r="Z168" s="1" t="e">
        <f ca="1">_xll.BDH($C$153,"ACCOUNTS_RECEIVABLE_GROWTH","FY 2017","FY 2017","Currency=INR","Period=FY","BEST_FPERIOD_OVERRIDE=FY","FILING_STATUS=OR","EQY_CONSOLIDATED=Y","Sort=A","Dates=H","DateFormat=P","Fill=—","Direction=H","UseDPDF=Y")</f>
        <v>#NAME?</v>
      </c>
      <c r="AA168" s="1" t="e">
        <f ca="1">_xll.BDH($C$153,"INVENTORY_GROWTH","FY 2017","FY 2017","Currency=INR","Period=FY","BEST_FPERIOD_OVERRIDE=FY","FILING_STATUS=OR","EQY_CONSOLIDATED=Y","Sort=A","Dates=H","DateFormat=P","Fill=—","Direction=H","UseDPDF=Y")</f>
        <v>#NAME?</v>
      </c>
      <c r="AB168" s="1" t="e">
        <f ca="1">_xll.BDH($C$153,"NET_FIXED_ASSETS_1_YEAR_GROWTH","FY 2017","FY 2017","Currency=INR","Period=FY","BEST_FPERIOD_OVERRIDE=FY","FILING_STATUS=OR","EQY_CONSOLIDATED=Y","Sort=A","Dates=H","DateFormat=P","Fill=—","Direction=H","UseDPDF=Y")</f>
        <v>#NAME?</v>
      </c>
      <c r="AC168" s="1" t="e">
        <f ca="1">_xll.BDH($C$153,"ASSET_GROWTH","FY 2017","FY 2017","Currency=INR","Period=FY","BEST_FPERIOD_OVERRIDE=FY","FILING_STATUS=OR","EQY_CONSOLIDATED=Y","Sort=A","Dates=H","DateFormat=P","Fill=—","Direction=H","UseDPDF=Y")</f>
        <v>#NAME?</v>
      </c>
      <c r="AD168" s="1" t="e">
        <f ca="1">_xll.BDH($C$153,"MODIFIED_WORK_CAP_GROWTH","FY 2017","FY 2017","Currency=INR","Period=FY","BEST_FPERIOD_OVERRIDE=FY","FILING_STATUS=OR","EQY_CONSOLIDATED=Y","Sort=A","Dates=H","DateFormat=P","Fill=—","Direction=H","UseDPDF=Y")</f>
        <v>#NAME?</v>
      </c>
      <c r="AE168" s="1" t="e">
        <f ca="1">_xll.BDH($C$153,"WORK_CAP_GROWTH","FY 2017","FY 2017","Currency=INR","Period=FY","BEST_FPERIOD_OVERRIDE=FY","FILING_STATUS=OR","EQY_CONSOLIDATED=Y","Sort=A","Dates=H","DateFormat=P","Fill=—","Direction=H","UseDPDF=Y")</f>
        <v>#NAME?</v>
      </c>
      <c r="AF168" s="1" t="e">
        <f ca="1">_xll.BDH($C$153,"ACCOUNTS_PAYABLE_GROWTH_1YR","FY 2017","FY 2017","Currency=INR","Period=FY","BEST_FPERIOD_OVERRIDE=FY","FILING_STATUS=OR","EQY_CONSOLIDATED=Y","Sort=A","Dates=H","DateFormat=P","Fill=—","Direction=H","UseDPDF=Y")</f>
        <v>#NAME?</v>
      </c>
      <c r="AG168" s="1" t="e">
        <f ca="1">_xll.BDH($C$153,"SHORT_TERM_DEBT_1_YEAR_GROWTH","FY 2017","FY 2017","Currency=INR","Period=FY","BEST_FPERIOD_OVERRIDE=FY","FILING_STATUS=OR","EQY_CONSOLIDATED=Y","Sort=A","Dates=H","DateFormat=P","Fill=—","Direction=H","UseDPDF=Y")</f>
        <v>#NAME?</v>
      </c>
      <c r="AH168" s="1" t="e">
        <f ca="1">_xll.BDH($C$153,"TOTAL_DEBT_1_YEAR_GROWTH","FY 2017","FY 2017","Currency=INR","Period=FY","BEST_FPERIOD_OVERRIDE=FY","FILING_STATUS=OR","EQY_CONSOLIDATED=Y","Sort=A","Dates=H","DateFormat=P","Fill=—","Direction=H","UseDPDF=Y")</f>
        <v>#NAME?</v>
      </c>
      <c r="AI168" s="1" t="e">
        <f ca="1">_xll.BDH($C$153,"TOTAL_EQUITY_1_YEAR_GROWTH","FY 2017","FY 2017","Currency=INR","Period=FY","BEST_FPERIOD_OVERRIDE=FY","FILING_STATUS=OR","EQY_CONSOLIDATED=Y","Sort=A","Dates=H","DateFormat=P","Fill=—","Direction=H","UseDPDF=Y")</f>
        <v>#NAME?</v>
      </c>
      <c r="AJ168" s="1" t="e">
        <f ca="1">_xll.BDH($C$153,"GROWTH_IN_CAP","FY 2017","FY 2017","Currency=INR","Period=FY","BEST_FPERIOD_OVERRIDE=FY","FILING_STATUS=OR","EQY_CONSOLIDATED=Y","Sort=A","Dates=H","DateFormat=P","Fill=—","Direction=H","UseDPDF=Y")</f>
        <v>#NAME?</v>
      </c>
      <c r="AK168" s="1" t="e">
        <f ca="1">_xll.BDH($C$153,"BVPS_GROWTH","FY 2017","FY 2017","Currency=INR","Period=FY","BEST_FPERIOD_OVERRIDE=FY","FILING_STATUS=OR","EQY_CONSOLIDATED=Y","Sort=A","Dates=H","DateFormat=P","Fill=—","Direction=H","UseDPDF=Y")</f>
        <v>#NAME?</v>
      </c>
      <c r="AL168" s="1" t="e">
        <f ca="1">_xll.BDH($C$153,"CASH_FLOW_GROWTH","FY 2017","FY 2017","Currency=INR","Period=FY","BEST_FPERIOD_OVERRIDE=FY","FILING_STATUS=OR","EQY_CONSOLIDATED=Y","Sort=A","Dates=H","DateFormat=P","Fill=—","Direction=H","UseDPDF=Y")</f>
        <v>#NAME?</v>
      </c>
      <c r="AM168" s="1" t="e">
        <f ca="1">_xll.BDH($C$153,"GEO_GROW_NET_SALES","FY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168" s="1" t="e">
        <f ca="1">_xll.BDH($C$153,"GEO_GROW_EBITDA","FY 2017","FY 2017","Currency=INR","Period=FY","BEST_FPERIOD_OVERRIDE=FY","FILING_STATUS=OR","EQY_CONSOLIDATED=Y","FA_ADJUSTED=GAAP","Sort=A","Dates=H","DateFormat=P","Fill=—","Direction=H","UseDPDF=Y")</f>
        <v>#NAME?</v>
      </c>
      <c r="AO168" s="1" t="e">
        <f ca="1">_xll.BDH($C$153,"GEO_GROW_OPER_INC","FY 2017","FY 2017","Currency=INR","Period=FY","BEST_FPERIOD_OVERRIDE=FY","FILING_STATUS=OR","EQY_CONSOLIDATED=Y","FA_ADJUSTED=GAAP","Sort=A","Dates=H","DateFormat=P","Fill=—","Direction=H","UseDPDF=Y")</f>
        <v>#NAME?</v>
      </c>
      <c r="AP168" s="1" t="e">
        <f ca="1">_xll.BDH($C$153,"NET_INCOME_TO_COMMON_5_YR_GROWTH","FY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68" s="1" t="e">
        <f ca="1">_xll.BDH($C$153,"5Y_GEO_GROWTH_DILUTED_EPS","FY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68" s="1" t="e">
        <f ca="1">_xll.BDH($C$153,"GEO_GROW_DVD_PER_SH","FY 2017","FY 2017","Currency=INR","Period=FY","BEST_FPERIOD_OVERRIDE=FY","FILING_STATUS=OR","EQY_CONSOLIDATED=Y","Sort=A","Dates=H","DateFormat=P","Fill=—","Direction=H","UseDPDF=Y")</f>
        <v>#NAME?</v>
      </c>
      <c r="AS168" s="1" t="e">
        <f ca="1">_xll.BDH($C$153,"ACCOUNTS_RECEIVABLE_5_YR_GROWTH","FY 2017","FY 2017","Currency=INR","Period=FY","BEST_FPERIOD_OVERRIDE=FY","FILING_STATUS=OR","EQY_CONSOLIDATED=Y","Sort=A","Dates=H","DateFormat=P","Fill=—","Direction=H","UseDPDF=Y")</f>
        <v>#NAME?</v>
      </c>
      <c r="AT168" s="1" t="e">
        <f ca="1">_xll.BDH($C$153,"INVENTORY_5_YEAR_GROWTH","FY 2017","FY 2017","Currency=INR","Period=FY","BEST_FPERIOD_OVERRIDE=FY","FILING_STATUS=OR","EQY_CONSOLIDATED=Y","Sort=A","Dates=H","DateFormat=P","Fill=—","Direction=H","UseDPDF=Y")</f>
        <v>#NAME?</v>
      </c>
      <c r="AU168" s="1" t="e">
        <f ca="1">_xll.BDH($C$153,"NET_FIXED_ASSETS_5_YEAR_GROWTH","FY 2017","FY 2017","Currency=INR","Period=FY","BEST_FPERIOD_OVERRIDE=FY","FILING_STATUS=OR","EQY_CONSOLIDATED=Y","Sort=A","Dates=H","DateFormat=P","Fill=—","Direction=H","UseDPDF=Y")</f>
        <v>#NAME?</v>
      </c>
      <c r="AV168" s="1" t="e">
        <f ca="1">_xll.BDH($C$153,"GEO_GROW_TOT_ASSET","FY 2017","FY 2017","Currency=INR","Period=FY","BEST_FPERIOD_OVERRIDE=FY","FILING_STATUS=OR","EQY_CONSOLIDATED=Y","Sort=A","Dates=H","DateFormat=P","Fill=—","Direction=H","UseDPDF=Y")</f>
        <v>#NAME?</v>
      </c>
      <c r="AW168" s="1" t="e">
        <f ca="1">_xll.BDH($C$153,"MODIFIED_WORKING_CPTL_5YR_GRWTH","FY 2017","FY 2017","Currency=INR","Period=FY","BEST_FPERIOD_OVERRIDE=FY","FILING_STATUS=OR","EQY_CONSOLIDATED=Y","Sort=A","Dates=H","DateFormat=P","Fill=—","Direction=H","UseDPDF=Y")</f>
        <v>#NAME?</v>
      </c>
      <c r="AX168" s="1" t="e">
        <f ca="1">_xll.BDH($C$153,"WORKING_CAPITAL_5_YEAR_GROWTH","FY 2017","FY 2017","Currency=INR","Period=FY","BEST_FPERIOD_OVERRIDE=FY","FILING_STATUS=OR","EQY_CONSOLIDATED=Y","Sort=A","Dates=H","DateFormat=P","Fill=—","Direction=H","UseDPDF=Y")</f>
        <v>#NAME?</v>
      </c>
      <c r="AY168" s="1" t="e">
        <f ca="1">_xll.BDH($C$153,"ACCOUNTS_PAYABLE_5_YEAR_GROWTH","FY 2017","FY 2017","Currency=INR","Period=FY","BEST_FPERIOD_OVERRIDE=FY","FILING_STATUS=OR","EQY_CONSOLIDATED=Y","Sort=A","Dates=H","DateFormat=P","Fill=—","Direction=H","UseDPDF=Y")</f>
        <v>#NAME?</v>
      </c>
      <c r="AZ168" s="1" t="e">
        <f ca="1">_xll.BDH($C$153,"SHORT_TERM_DEBT_5_YEAR_GROWTH","FY 2017","FY 2017","Currency=INR","Period=FY","BEST_FPERIOD_OVERRIDE=FY","FILING_STATUS=OR","EQY_CONSOLIDATED=Y","Sort=A","Dates=H","DateFormat=P","Fill=—","Direction=H","UseDPDF=Y")</f>
        <v>#NAME?</v>
      </c>
      <c r="BA168" s="1" t="e">
        <f ca="1">_xll.BDH($C$153,"TOTAL_DEBT_5_YEAR_GROWTH","FY 2017","FY 2017","Currency=INR","Period=FY","BEST_FPERIOD_OVERRIDE=FY","FILING_STATUS=OR","EQY_CONSOLIDATED=Y","Sort=A","Dates=H","DateFormat=P","Fill=—","Direction=H","UseDPDF=Y")</f>
        <v>#NAME?</v>
      </c>
      <c r="BB168" s="1" t="e">
        <f ca="1">_xll.BDH($C$153,"GEO_GROW_TOT_SHRHLDR_EQY","FY 2017","FY 2017","Currency=INR","Period=FY","BEST_FPERIOD_OVERRIDE=FY","FILING_STATUS=OR","EQY_CONSOLIDATED=Y","Sort=A","Dates=H","DateFormat=P","Fill=—","Direction=H","UseDPDF=Y")</f>
        <v>#NAME?</v>
      </c>
      <c r="BC168" s="1" t="e">
        <f ca="1">_xll.BDH($C$153,"TOTAL_CAPITAL_5_YEAR_GROWTH","FY 2017","FY 2017","Currency=INR","Period=FY","BEST_FPERIOD_OVERRIDE=FY","FILING_STATUS=OR","EQY_CONSOLIDATED=Y","Sort=A","Dates=H","DateFormat=P","Fill=—","Direction=H","UseDPDF=Y")</f>
        <v>#NAME?</v>
      </c>
      <c r="BD168" s="1" t="e">
        <f ca="1">_xll.BDH($C$153,"GEO_GROW_BOOK_VAL","FY 2017","FY 2017","Currency=INR","Period=FY","BEST_FPERIOD_OVERRIDE=FY","FILING_STATUS=OR","EQY_CONSOLIDATED=Y","Sort=A","Dates=H","DateFormat=P","Fill=—","Direction=H","UseDPDF=Y")</f>
        <v>#NAME?</v>
      </c>
      <c r="BE168" s="1" t="e">
        <f ca="1">_xll.BDH($C$153,"GEO_GROW_CASH_OPER_ACT","FY 2017","FY 2017","Currency=INR","Period=FY","BEST_FPERIOD_OVERRIDE=FY","FILING_STATUS=OR","EQY_CONSOLIDATED=Y","Sort=A","Dates=H","DateFormat=P","Fill=—","Direction=H","UseDPDF=Y")</f>
        <v>#NAME?</v>
      </c>
      <c r="BF168" s="1" t="e">
        <f ca="1">_xll.BDH($C$153,"REVENUE_SEQUENTIAL_GROWTH","FY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68" s="1" t="e">
        <f ca="1">_xll.BDH($C$153,"EBITDA_SEQUENTIAL_GROWTH","FY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68" s="1" t="e">
        <f ca="1">_xll.BDH($C$153,"OPERATING_INCOME_SEQ_GROWTH","FY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68" s="1" t="e">
        <f ca="1">_xll.BDH($C$153,"NET_INCOME_TO_COMMON_SEQ_GROWTH","FY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68" s="1" t="e">
        <f ca="1">_xll.BDH($C$153,"EPS_DILUTED_SEQUENTIAL_GROWTH","FY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68" s="1" t="e">
        <f ca="1">_xll.BDH($C$153,"DPS_SEQUENTIAL_GROWTH","FY 2017","FY 2017","Currency=INR","Period=FY","BEST_FPERIOD_OVERRIDE=FY","FILING_STATUS=OR","EQY_CONSOLIDATED=Y","Sort=A","Dates=H","DateFormat=P","Fill=—","Direction=H","UseDPDF=Y")</f>
        <v>#NAME?</v>
      </c>
      <c r="BL168" s="1" t="e">
        <f ca="1">_xll.BDH($C$153,"ACCOUNTS_RECEIVABLE_SEQ_GROWTH","FY 2017","FY 2017","Currency=INR","Period=FY","BEST_FPERIOD_OVERRIDE=FY","FILING_STATUS=OR","EQY_CONSOLIDATED=Y","Sort=A","Dates=H","DateFormat=P","Fill=—","Direction=H","UseDPDF=Y")</f>
        <v>#NAME?</v>
      </c>
      <c r="BM168" s="1" t="e">
        <f ca="1">_xll.BDH($C$153,"INVENTORY_SEQUENTIAL_GROWTH","FY 2017","FY 2017","Currency=INR","Period=FY","BEST_FPERIOD_OVERRIDE=FY","FILING_STATUS=OR","EQY_CONSOLIDATED=Y","Sort=A","Dates=H","DateFormat=P","Fill=—","Direction=H","UseDPDF=Y")</f>
        <v>#NAME?</v>
      </c>
      <c r="BN168" s="1" t="e">
        <f ca="1">_xll.BDH($C$153,"FIXED_ASSETS_SEQUENTIAL_GROWTH","FY 2017","FY 2017","Currency=INR","Period=FY","BEST_FPERIOD_OVERRIDE=FY","FILING_STATUS=OR","EQY_CONSOLIDATED=Y","Sort=A","Dates=H","DateFormat=P","Fill=—","Direction=H","UseDPDF=Y")</f>
        <v>#NAME?</v>
      </c>
      <c r="BO168" s="1" t="e">
        <f ca="1">_xll.BDH($C$153,"TOTAL_ASSETS_SEQUENTIAL_GROWTH","FY 2017","FY 2017","Currency=INR","Period=FY","BEST_FPERIOD_OVERRIDE=FY","FILING_STATUS=OR","EQY_CONSOLIDATED=Y","Sort=A","Dates=H","DateFormat=P","Fill=—","Direction=H","UseDPDF=Y")</f>
        <v>#NAME?</v>
      </c>
      <c r="BP168" s="1" t="e">
        <f ca="1">_xll.BDH($C$153,"MODIFIED_WORKING_CPTL_SEQ_GRWTH","FY 2017","FY 2017","Currency=INR","Period=FY","BEST_FPERIOD_OVERRIDE=FY","FILING_STATUS=OR","EQY_CONSOLIDATED=Y","Sort=A","Dates=H","DateFormat=P","Fill=—","Direction=H","UseDPDF=Y")</f>
        <v>#NAME?</v>
      </c>
      <c r="BQ168" s="1" t="e">
        <f ca="1">_xll.BDH($C$153,"WORKING_CAPITAL_SEQ_GROWTH","FY 2017","FY 2017","Currency=INR","Period=FY","BEST_FPERIOD_OVERRIDE=FY","FILING_STATUS=OR","EQY_CONSOLIDATED=Y","Sort=A","Dates=H","DateFormat=P","Fill=—","Direction=H","UseDPDF=Y")</f>
        <v>#NAME?</v>
      </c>
      <c r="BR168" s="1" t="e">
        <f ca="1">_xll.BDH($C$153,"ACCOUNTS_PAYABLE_SEQ_GROWTH","FY 2017","FY 2017","Currency=INR","Period=FY","BEST_FPERIOD_OVERRIDE=FY","FILING_STATUS=OR","EQY_CONSOLIDATED=Y","Sort=A","Dates=H","DateFormat=P","Fill=—","Direction=H","UseDPDF=Y")</f>
        <v>#NAME?</v>
      </c>
      <c r="BS168" s="1" t="e">
        <f ca="1">_xll.BDH($C$153,"ST_DEBT_SEQUENTIAL_GROWTH","FY 2017","FY 2017","Currency=INR","Period=FY","BEST_FPERIOD_OVERRIDE=FY","FILING_STATUS=OR","EQY_CONSOLIDATED=Y","Sort=A","Dates=H","DateFormat=P","Fill=—","Direction=H","UseDPDF=Y")</f>
        <v>#NAME?</v>
      </c>
      <c r="BT168" s="1" t="e">
        <f ca="1">_xll.BDH($C$153,"TOTAL_DEBT_SEQUENTIAL_GROWTH","FY 2017","FY 2017","Currency=INR","Period=FY","BEST_FPERIOD_OVERRIDE=FY","FILING_STATUS=OR","EQY_CONSOLIDATED=Y","Sort=A","Dates=H","DateFormat=P","Fill=—","Direction=H","UseDPDF=Y")</f>
        <v>#NAME?</v>
      </c>
      <c r="BU168" s="1" t="e">
        <f ca="1">_xll.BDH($C$153,"TOTAL_EQUITY_SEQUENTIAL_GROWTH","FY 2017","FY 2017","Currency=INR","Period=FY","BEST_FPERIOD_OVERRIDE=FY","FILING_STATUS=OR","EQY_CONSOLIDATED=Y","Sort=A","Dates=H","DateFormat=P","Fill=—","Direction=H","UseDPDF=Y")</f>
        <v>#NAME?</v>
      </c>
      <c r="BV168" s="1" t="e">
        <f ca="1">_xll.BDH($C$153,"TOTAL_CAPITAL_SEQUENTIAL_GROWTH","FY 2017","FY 2017","Currency=INR","Period=FY","BEST_FPERIOD_OVERRIDE=FY","FILING_STATUS=OR","EQY_CONSOLIDATED=Y","Sort=A","Dates=H","DateFormat=P","Fill=—","Direction=H","UseDPDF=Y")</f>
        <v>#NAME?</v>
      </c>
      <c r="BW168" s="1" t="e">
        <f ca="1">_xll.BDH($C$153,"BPS_SEQUENTIAL_GROWTH","FY 2017","FY 2017","Currency=INR","Period=FY","BEST_FPERIOD_OVERRIDE=FY","FILING_STATUS=OR","EQY_CONSOLIDATED=Y","Sort=A","Dates=H","DateFormat=P","Fill=—","Direction=H","UseDPDF=Y")</f>
        <v>#NAME?</v>
      </c>
      <c r="BX168" s="1" t="e">
        <f ca="1">_xll.BDH($C$153,"CFO_SEQUENTIAL_GROWTH","FY 2017","FY 2017","Currency=INR","Period=FY","BEST_FPERIOD_OVERRIDE=FY","FILING_STATUS=OR","EQY_CONSOLIDATED=Y","Sort=A","Dates=H","DateFormat=P","Fill=—","Direction=H","UseDPDF=Y")</f>
        <v>#NAME?</v>
      </c>
      <c r="BY168" s="2" t="e">
        <f ca="1">_xll.BDH($C$153,"SHORT_AND_LONG_TERM_DEBT","FY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68" s="2" t="e">
        <f ca="1">_xll.BDH($C$153,"BS_ST_BORROW","FY 2017","FY 2017","Currency=INR","Period=FY","BEST_FPERIOD_OVERRIDE=FY","FILING_STATUS=OR","EQY_CONSOLIDATED=Y","SCALING_FORMAT=MLN","Sort=A","Dates=H","DateFormat=P","Fill=—","Direction=H","UseDPDF=Y")</f>
        <v>#NAME?</v>
      </c>
      <c r="CA168" s="2" t="e">
        <f ca="1">_xll.BDH($C$153,"BS_LT_BORROW","FY 2017","FY 2017","Currency=INR","Period=FY","BEST_FPERIOD_OVERRIDE=FY","FILING_STATUS=OR","EQY_CONSOLIDATED=Y","SCALING_FORMAT=MLN","Sort=A","Dates=H","DateFormat=P","Fill=—","Direction=H","UseDPDF=Y")</f>
        <v>#NAME?</v>
      </c>
      <c r="CB168" s="1" t="e">
        <f ca="1">_xll.BDH($C$153,"TOT_DEBT_TO_EBITDA","FY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168" s="1" t="e">
        <f ca="1">_xll.BDH($C$153,"NET_DEBT_TO_EBITDA","FY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168" s="1" t="e">
        <f ca="1">_xll.BDH($C$153,"TOTAL_DEBT_TO_EBIT","FY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168" s="1" t="e">
        <f ca="1">_xll.BDH($C$153,"NET_DEBT_TO_EBIT","FY 2017","FY 2017","Currency=INR","Period=FY","BEST_FPERIOD_OVERRIDE=FY","FILING_STATUS=OR","EQY_CONSOLIDATED=Y","FA_ADJUSTED=GAAP","Sort=A","Dates=H","DateFormat=P","Fill=—","Direction=H","UseDPDF=Y")</f>
        <v>#NAME?</v>
      </c>
      <c r="CF168" s="1" t="e">
        <f ca="1">_xll.BDH($C$153,"EBITDA_TO_INTEREST_EXPN","FY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68" s="1" t="e">
        <f ca="1">_xll.BDH($C$153,"COM_EQY_TO_TOT_ASSET","FY 2017","FY 2017","Currency=INR","Period=FY","BEST_FPERIOD_OVERRIDE=FY","FILING_STATUS=OR","EQY_CONSOLIDATED=Y","Sort=A","Dates=H","DateFormat=P","Fill=—","Direction=H","UseDPDF=Y")</f>
        <v>#NAME?</v>
      </c>
      <c r="CH168" s="1" t="e">
        <f ca="1">_xll.BDH($C$153,"LT_DEBT_TO_TOT_EQY","FY 2017","FY 2017","Currency=INR","Period=FY","BEST_FPERIOD_OVERRIDE=FY","FILING_STATUS=OR","EQY_CONSOLIDATED=Y","Sort=A","Dates=H","DateFormat=P","Fill=—","Direction=H","UseDPDF=Y")</f>
        <v>#NAME?</v>
      </c>
      <c r="CI168" s="1" t="e">
        <f ca="1">_xll.BDH($C$153,"LT_DEBT_TO_TOT_CAP","FY 2017","FY 2017","Currency=INR","Period=FY","BEST_FPERIOD_OVERRIDE=FY","FILING_STATUS=OR","EQY_CONSOLIDATED=Y","Sort=A","Dates=H","DateFormat=P","Fill=—","Direction=H","UseDPDF=Y")</f>
        <v>#NAME?</v>
      </c>
      <c r="CJ168" s="1" t="e">
        <f ca="1">_xll.BDH($C$153,"LT_DEBT_TO_TOT_ASSET","FY 2017","FY 2017","Currency=INR","Period=FY","BEST_FPERIOD_OVERRIDE=FY","FILING_STATUS=OR","EQY_CONSOLIDATED=Y","Sort=A","Dates=H","DateFormat=P","Fill=—","Direction=H","UseDPDF=Y")</f>
        <v>#NAME?</v>
      </c>
      <c r="CK168" s="1" t="e">
        <f ca="1">_xll.BDH($C$153,"TOT_DEBT_TO_TOT_EQY","FY 2017","FY 2017","Currency=INR","Period=FY","BEST_FPERIOD_OVERRIDE=FY","FILING_STATUS=OR","EQY_CONSOLIDATED=Y","Sort=A","Dates=H","DateFormat=P","Fill=—","Direction=H","UseDPDF=Y")</f>
        <v>#NAME?</v>
      </c>
      <c r="CL168" s="1" t="e">
        <f ca="1">_xll.BDH($C$153,"TOT_DEBT_TO_TOT_CAP","FY 2017","FY 2017","Currency=INR","Period=FY","BEST_FPERIOD_OVERRIDE=FY","FILING_STATUS=OR","EQY_CONSOLIDATED=Y","Sort=A","Dates=H","DateFormat=P","Fill=—","Direction=H","UseDPDF=Y")</f>
        <v>#NAME?</v>
      </c>
      <c r="CM168" s="1" t="e">
        <f ca="1">_xll.BDH($C$153,"TOT_DEBT_TO_TOT_ASSET","FY 2017","FY 2017","Currency=INR","Period=FY","BEST_FPERIOD_OVERRIDE=FY","FILING_STATUS=OR","EQY_CONSOLIDATED=Y","Sort=A","Dates=H","DateFormat=P","Fill=—","Direction=H","UseDPDF=Y")</f>
        <v>#NAME?</v>
      </c>
      <c r="CN168" s="1" t="e">
        <f ca="1">_xll.BDH($C$153,"NET_DEBT_TO_SHRHLDR_EQTY","FY 2017","FY 2017","Currency=INR","Period=FY","BEST_FPERIOD_OVERRIDE=FY","FILING_STATUS=OR","EQY_CONSOLIDATED=Y","Sort=A","Dates=H","DateFormat=P","Fill=—","Direction=H","UseDPDF=Y")</f>
        <v>#NAME?</v>
      </c>
      <c r="CO168" s="1" t="e">
        <f ca="1">_xll.BDH($C$153,"NET_DEBT_%_CAPITAL","FY 2017","FY 2017","Currency=INR","Period=FY","BEST_FPERIOD_OVERRIDE=FY","FILING_STATUS=OR","EQY_CONSOLIDATED=Y","Sort=A","Dates=H","DateFormat=P","Fill=—","Direction=H","UseDPDF=Y")</f>
        <v>#NAME?</v>
      </c>
      <c r="CP168" s="2" t="e">
        <f ca="1">_xll.BDH($C$153,"EBITDA","FY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68" s="2" t="e">
        <f ca="1">_xll.BDH($C$153,"EBITDA_AFTER_CAPEX","FY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68" s="2" t="e">
        <f ca="1">_xll.BDH($C$153,"IS_OPER_INC","FY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68" s="1" t="e">
        <f ca="1">_xll.BDH($C$153,"CASH_RATIO","FY 2017","FY 2017","Currency=INR","Period=FY","BEST_FPERIOD_OVERRIDE=FY","FILING_STATUS=OR","EQY_CONSOLIDATED=Y","Sort=A","Dates=H","DateFormat=P","Fill=—","Direction=H","UseDPDF=Y")</f>
        <v>#NAME?</v>
      </c>
      <c r="CT168" s="1" t="e">
        <f ca="1">_xll.BDH($C$153,"CUR_RATIO","FY 2017","FY 2017","Currency=INR","Period=FY","BEST_FPERIOD_OVERRIDE=FY","FILING_STATUS=OR","EQY_CONSOLIDATED=Y","Sort=A","Dates=H","DateFormat=P","Fill=—","Direction=H","UseDPDF=Y")</f>
        <v>#NAME?</v>
      </c>
      <c r="CU168" s="1" t="e">
        <f ca="1">_xll.BDH($C$153,"QUICK_RATIO","FY 2017","FY 2017","Currency=INR","Period=FY","BEST_FPERIOD_OVERRIDE=FY","FILING_STATUS=OR","EQY_CONSOLIDATED=Y","Sort=A","Dates=H","DateFormat=P","Fill=—","Direction=H","UseDPDF=Y")</f>
        <v>#NAME?</v>
      </c>
      <c r="CV168" s="1" t="e">
        <f ca="1">_xll.BDH($C$153,"ALTMAN_Z_SCORE","FY 2017","FY 2017","Currency=INR","Period=FY","BEST_FPERIOD_OVERRIDE=FY","FILING_STATUS=OR","EQY_CONSOLIDATED=Y","Sort=A","Dates=H","DateFormat=P","Fill=—","Direction=H","UseDPDF=Y")</f>
        <v>#NAME?</v>
      </c>
      <c r="CW168" s="3" t="e">
        <f ca="1">_xll.BDH($C$153,"ACCT_RCV_TURN","FY 2017","FY 2017","Currency=INR","Period=FY","BEST_FPERIOD_OVERRIDE=FY","FILING_STATUS=OR","EQY_CONSOLIDATED=Y","FA_ADJUSTED=GAAP","Sort=A","Dates=H","DateFormat=P","Fill=—","Direction=H","UseDPDF=Y")</f>
        <v>#NAME?</v>
      </c>
      <c r="CX168" s="1" t="e">
        <f ca="1">_xll.BDH($C$153,"ACCT_RCV_DAYS","FY 2017","FY 2017","Currency=INR","Period=FY","BEST_FPERIOD_OVERRIDE=FY","FILING_STATUS=OR","EQY_CONSOLIDATED=Y","FA_ADJUSTED=GAAP","Sort=A","Dates=H","DateFormat=P","Fill=—","Direction=H","UseDPDF=Y")</f>
        <v>#NAME?</v>
      </c>
      <c r="CY168" s="3" t="e">
        <f ca="1">_xll.BDH($C$153,"INVENT_TURN","FY 2017","FY 2017","Currency=INR","Period=FY","BEST_FPERIOD_OVERRIDE=FY","FILING_STATUS=OR","EQY_CONSOLIDATED=Y","FA_ADJUSTED=GAAP","Sort=A","Dates=H","DateFormat=P","Fill=—","Direction=H","UseDPDF=Y")</f>
        <v>#NAME?</v>
      </c>
      <c r="CZ168" s="1" t="e">
        <f ca="1">_xll.BDH($C$153,"INVENT_DAYS","FY 2017","FY 2017","Currency=INR","Period=FY","BEST_FPERIOD_OVERRIDE=FY","FILING_STATUS=OR","EQY_CONSOLIDATED=Y","FA_ADJUSTED=GAAP","Sort=A","Dates=H","DateFormat=P","Fill=—","Direction=H","UseDPDF=Y")</f>
        <v>#NAME?</v>
      </c>
      <c r="DA168" s="3" t="e">
        <f ca="1">_xll.BDH($C$153,"ACCOUNTS_PAYABLE_TURNOVER","FY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68" s="1" t="e">
        <f ca="1">_xll.BDH($C$153,"ACCOUNTS_PAYABLE_TURNOVER_DAYS","FY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68" s="3" t="e">
        <f ca="1">_xll.BDH($C$153,"CASH_CONVERSION_CYCLE","FY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68" s="3" t="e">
        <f ca="1">_xll.BDH($C$153,"INV_TO_CASH_DAYS","FY 2017","FY 2017","Currency=INR","Period=FY","BEST_FPERIOD_OVERRIDE=FY","FILING_STATUS=OR","EQY_CONSOLIDATED=Y","FA_ADJUSTED=GAAP","Sort=A","Dates=H","DateFormat=P","Fill=—","Direction=H","UseDPDF=Y")</f>
        <v>#NAME?</v>
      </c>
      <c r="DE168" s="4" t="e">
        <f ca="1">_xll.BDH($C$153,"BS_INVENTORIES","FY 2017","FY 2017","Currency=INR","Period=FY","BEST_FPERIOD_OVERRIDE=FY","FILING_STATUS=OR","EQY_CONSOLIDATED=Y","SCALING_FORMAT=MLN","Sort=A","Dates=H","DateFormat=P","Fill=—","Direction=H","UseDPDF=Y")</f>
        <v>#NAME?</v>
      </c>
      <c r="DF168" s="2" t="e">
        <f ca="1">_xll.BDH($C$153,"INVTRY_RAW_MATERIALS","FY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68" s="2" t="e">
        <f ca="1">_xll.BDH($C$153,"INVTRY_IN_PROGRESS","FY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68" s="2" t="e">
        <f ca="1">_xll.BDH($C$153,"INVTRY_FINISHED_GOODS","FY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68" s="2" t="e">
        <f ca="1">_xll.BDH($C$153,"BS_OTHER_INV","FY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69" spans="1:113" x14ac:dyDescent="0.3">
      <c r="A169" s="6"/>
      <c r="B169" s="6"/>
      <c r="C169" s="6"/>
      <c r="D169" s="6"/>
      <c r="E169" t="s">
        <v>4</v>
      </c>
      <c r="F169" t="e">
        <f ca="1">_xll.BDH($C$153,"RETURN_COM_EQY","FQ1 2017","FQ1 2017","Currency=INR","Period=FQ","BEST_FPERIOD_OVERRIDE=FQ","FILING_STATUS=OR","EQY_CONSOLIDATED=Y","FA_ADJUSTED=GAAP","Sort=A","Dates=H","DateFormat=P","Fill=—","Direction=H","UseDPDF=Y")</f>
        <v>#NAME?</v>
      </c>
      <c r="G169" t="e">
        <f ca="1">_xll.BDH($C$153,"RETURN_ON_ASSET","FQ1 2017","FQ1 2017","Currency=INR","Period=FQ","BEST_FPERIOD_OVERRIDE=FQ","FILING_STATUS=OR","EQY_CONSOLIDATED=Y","FA_ADJUSTED=GAAP","Sort=A","Dates=H","DateFormat=P","Fill=—","Direction=H","UseDPDF=Y")</f>
        <v>#NAME?</v>
      </c>
      <c r="H169" t="e">
        <f ca="1">_xll.BDH($C$153,"RETURN_ON_CAP","FQ1 2017","FQ1 2017","Currency=INR","Period=FQ","BEST_FPERIOD_OVERRIDE=FQ","FILING_STATUS=OR","EQY_CONSOLIDATED=Y","FA_ADJUSTED=GAAP","Sort=A","Dates=H","DateFormat=P","Fill=—","Direction=H","UseDPDF=Y")</f>
        <v>#NAME?</v>
      </c>
      <c r="I169" t="e">
        <f ca="1">_xll.BDH($C$153,"RETURN_ON_INV_CAPITAL","FQ1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69" t="e">
        <f ca="1">_xll.BDH($C$153,"EBITDA_TO_REVENUE","FQ1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169" t="e">
        <f ca="1">_xll.BDH($C$153,"OPER_MARGIN","FQ1 2017","FQ1 2017","Currency=INR","Period=FQ","BEST_FPERIOD_OVERRIDE=FQ","FILING_STATUS=OR","EQY_CONSOLIDATED=Y","FA_ADJUSTED=GAAP","Sort=A","Dates=H","DateFormat=P","Fill=—","Direction=H","UseDPDF=Y")</f>
        <v>#NAME?</v>
      </c>
      <c r="L169" t="e">
        <f ca="1">_xll.BDH($C$153,"INCREMENTAL_OPERATING_MARGIN","FQ1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69" t="e">
        <f ca="1">_xll.BDH($C$153,"PRETAX_INC_TO_NET_SALES","FQ1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69" t="e">
        <f ca="1">_xll.BDH($C$153,"INC_BEF_XO_ITEMS_TO_NET_SALES","FQ1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69" t="e">
        <f ca="1">_xll.BDH($C$153,"PROF_MARGIN","FQ1 2017","FQ1 2017","Currency=INR","Period=FQ","BEST_FPERIOD_OVERRIDE=FQ","FILING_STATUS=OR","EQY_CONSOLIDATED=Y","FA_ADJUSTED=GAAP","Sort=A","Dates=H","DateFormat=P","Fill=—","Direction=H","UseDPDF=Y")</f>
        <v>#NAME?</v>
      </c>
      <c r="P169" t="e">
        <f ca="1">_xll.BDH($C$153,"NET_INCOME_TO_COMMON_MARGIN","FQ1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69" t="e">
        <f ca="1">_xll.BDH($C$153,"EFF_TAX_RATE","FQ1 2017","FQ1 2017","Currency=INR","Period=FQ","BEST_FPERIOD_OVERRIDE=FQ","FILING_STATUS=OR","EQY_CONSOLIDATED=Y","FA_ADJUSTED=GAAP","Sort=A","Dates=H","DateFormat=P","Fill=—","Direction=H","UseDPDF=Y")</f>
        <v>#NAME?</v>
      </c>
      <c r="R169" t="e">
        <f ca="1">_xll.BDH($C$153,"DVD_PAYOUT_RATIO","FQ1 2017","FQ1 2017","Currency=INR","Period=FQ","BEST_FPERIOD_OVERRIDE=FQ","FILING_STATUS=OR","EQY_CONSOLIDATED=Y","FA_ADJUSTED=GAAP","Sort=A","Dates=H","DateFormat=P","Fill=—","Direction=H","UseDPDF=Y")</f>
        <v>#NAME?</v>
      </c>
      <c r="S169" t="e">
        <f ca="1">_xll.BDH($C$153,"SUSTAIN_GROWTH_RT","FQ1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169" s="1" t="e">
        <f ca="1">_xll.BDH($C$153,"SALES_GROWTH","FQ1 2017","FQ1 2017","Currency=INR","Period=FQ","BEST_FPERIOD_OVERRIDE=FQ","FILING_STATUS=OR","EQY_CONSOLIDATED=Y","FA_ADJUSTED=GAAP","Sort=A","Dates=H","DateFormat=P","Fill=—","Direction=H","UseDPDF=Y")</f>
        <v>#NAME?</v>
      </c>
      <c r="U169" s="1" t="e">
        <f ca="1">_xll.BDH($C$153,"EBITDA_GROWTH","FQ1 2017","FQ1 2017","Currency=INR","Period=FQ","BEST_FPERIOD_OVERRIDE=FQ","FILING_STATUS=OR","EQY_CONSOLIDATED=Y","FA_ADJUSTED=GAAP","Sort=A","Dates=H","DateFormat=P","Fill=—","Direction=H","UseDPDF=Y")</f>
        <v>#NAME?</v>
      </c>
      <c r="V169" s="1" t="e">
        <f ca="1">_xll.BDH($C$153,"OPER_INC_GROWTH","FQ1 2017","FQ1 2017","Currency=INR","Period=FQ","BEST_FPERIOD_OVERRIDE=FQ","FILING_STATUS=OR","EQY_CONSOLIDATED=Y","FA_ADJUSTED=GAAP","Sort=A","Dates=H","DateFormat=P","Fill=—","Direction=H","UseDPDF=Y")</f>
        <v>#NAME?</v>
      </c>
      <c r="W169" s="1" t="e">
        <f ca="1">_xll.BDH($C$153,"EARN_FOR_COM_GROWTH","FQ1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69" s="1" t="e">
        <f ca="1">_xll.BDH($C$153,"DILUTED_EPS_AFT_XO_ITEMS_GROWTH","FQ1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69" s="1" t="e">
        <f ca="1">_xll.BDH($C$153,"DIVIDEND_PER_SHARE_1_YEAR_GROWTH","FQ1 2017","FQ1 2017","Currency=INR","Period=FQ","BEST_FPERIOD_OVERRIDE=FQ","FILING_STATUS=OR","EQY_CONSOLIDATED=Y","Sort=A","Dates=H","DateFormat=P","Fill=—","Direction=H","UseDPDF=Y")</f>
        <v>#NAME?</v>
      </c>
      <c r="Z169" s="1" t="e">
        <f ca="1">_xll.BDH($C$153,"ACCOUNTS_RECEIVABLE_GROWTH","FQ1 2017","FQ1 2017","Currency=INR","Period=FQ","BEST_FPERIOD_OVERRIDE=FQ","FILING_STATUS=OR","EQY_CONSOLIDATED=Y","Sort=A","Dates=H","DateFormat=P","Fill=—","Direction=H","UseDPDF=Y")</f>
        <v>#NAME?</v>
      </c>
      <c r="AA169" s="1" t="e">
        <f ca="1">_xll.BDH($C$153,"INVENTORY_GROWTH","FQ1 2017","FQ1 2017","Currency=INR","Period=FQ","BEST_FPERIOD_OVERRIDE=FQ","FILING_STATUS=OR","EQY_CONSOLIDATED=Y","Sort=A","Dates=H","DateFormat=P","Fill=—","Direction=H","UseDPDF=Y")</f>
        <v>#NAME?</v>
      </c>
      <c r="AB169" s="1" t="e">
        <f ca="1">_xll.BDH($C$153,"NET_FIXED_ASSETS_1_YEAR_GROWTH","FQ1 2017","FQ1 2017","Currency=INR","Period=FQ","BEST_FPERIOD_OVERRIDE=FQ","FILING_STATUS=OR","EQY_CONSOLIDATED=Y","Sort=A","Dates=H","DateFormat=P","Fill=—","Direction=H","UseDPDF=Y")</f>
        <v>#NAME?</v>
      </c>
      <c r="AC169" s="1" t="e">
        <f ca="1">_xll.BDH($C$153,"ASSET_GROWTH","FQ1 2017","FQ1 2017","Currency=INR","Period=FQ","BEST_FPERIOD_OVERRIDE=FQ","FILING_STATUS=OR","EQY_CONSOLIDATED=Y","Sort=A","Dates=H","DateFormat=P","Fill=—","Direction=H","UseDPDF=Y")</f>
        <v>#NAME?</v>
      </c>
      <c r="AD169" s="1" t="e">
        <f ca="1">_xll.BDH($C$153,"MODIFIED_WORK_CAP_GROWTH","FQ1 2017","FQ1 2017","Currency=INR","Period=FQ","BEST_FPERIOD_OVERRIDE=FQ","FILING_STATUS=OR","EQY_CONSOLIDATED=Y","Sort=A","Dates=H","DateFormat=P","Fill=—","Direction=H","UseDPDF=Y")</f>
        <v>#NAME?</v>
      </c>
      <c r="AE169" s="1" t="e">
        <f ca="1">_xll.BDH($C$153,"WORK_CAP_GROWTH","FQ1 2017","FQ1 2017","Currency=INR","Period=FQ","BEST_FPERIOD_OVERRIDE=FQ","FILING_STATUS=OR","EQY_CONSOLIDATED=Y","Sort=A","Dates=H","DateFormat=P","Fill=—","Direction=H","UseDPDF=Y")</f>
        <v>#NAME?</v>
      </c>
      <c r="AF169" s="1" t="e">
        <f ca="1">_xll.BDH($C$153,"ACCOUNTS_PAYABLE_GROWTH_1YR","FQ1 2017","FQ1 2017","Currency=INR","Period=FQ","BEST_FPERIOD_OVERRIDE=FQ","FILING_STATUS=OR","EQY_CONSOLIDATED=Y","Sort=A","Dates=H","DateFormat=P","Fill=—","Direction=H","UseDPDF=Y")</f>
        <v>#NAME?</v>
      </c>
      <c r="AG169" s="1" t="e">
        <f ca="1">_xll.BDH($C$153,"SHORT_TERM_DEBT_1_YEAR_GROWTH","FQ1 2017","FQ1 2017","Currency=INR","Period=FQ","BEST_FPERIOD_OVERRIDE=FQ","FILING_STATUS=OR","EQY_CONSOLIDATED=Y","Sort=A","Dates=H","DateFormat=P","Fill=—","Direction=H","UseDPDF=Y")</f>
        <v>#NAME?</v>
      </c>
      <c r="AH169" s="1" t="e">
        <f ca="1">_xll.BDH($C$153,"TOTAL_DEBT_1_YEAR_GROWTH","FQ1 2017","FQ1 2017","Currency=INR","Period=FQ","BEST_FPERIOD_OVERRIDE=FQ","FILING_STATUS=OR","EQY_CONSOLIDATED=Y","Sort=A","Dates=H","DateFormat=P","Fill=—","Direction=H","UseDPDF=Y")</f>
        <v>#NAME?</v>
      </c>
      <c r="AI169" s="1" t="e">
        <f ca="1">_xll.BDH($C$153,"TOTAL_EQUITY_1_YEAR_GROWTH","FQ1 2017","FQ1 2017","Currency=INR","Period=FQ","BEST_FPERIOD_OVERRIDE=FQ","FILING_STATUS=OR","EQY_CONSOLIDATED=Y","Sort=A","Dates=H","DateFormat=P","Fill=—","Direction=H","UseDPDF=Y")</f>
        <v>#NAME?</v>
      </c>
      <c r="AJ169" s="1" t="e">
        <f ca="1">_xll.BDH($C$153,"GROWTH_IN_CAP","FQ1 2017","FQ1 2017","Currency=INR","Period=FQ","BEST_FPERIOD_OVERRIDE=FQ","FILING_STATUS=OR","EQY_CONSOLIDATED=Y","Sort=A","Dates=H","DateFormat=P","Fill=—","Direction=H","UseDPDF=Y")</f>
        <v>#NAME?</v>
      </c>
      <c r="AK169" s="1" t="e">
        <f ca="1">_xll.BDH($C$153,"BVPS_GROWTH","FQ1 2017","FQ1 2017","Currency=INR","Period=FQ","BEST_FPERIOD_OVERRIDE=FQ","FILING_STATUS=OR","EQY_CONSOLIDATED=Y","Sort=A","Dates=H","DateFormat=P","Fill=—","Direction=H","UseDPDF=Y")</f>
        <v>#NAME?</v>
      </c>
      <c r="AL169" s="1" t="e">
        <f ca="1">_xll.BDH($C$153,"CASH_FLOW_GROWTH","FQ1 2017","FQ1 2017","Currency=INR","Period=FQ","BEST_FPERIOD_OVERRIDE=FQ","FILING_STATUS=OR","EQY_CONSOLIDATED=Y","Sort=A","Dates=H","DateFormat=P","Fill=—","Direction=H","UseDPDF=Y")</f>
        <v>#NAME?</v>
      </c>
      <c r="AM169" s="1" t="e">
        <f ca="1">_xll.BDH($C$153,"GEO_GROW_NET_SALES","FQ1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69" s="1" t="e">
        <f ca="1">_xll.BDH($C$153,"GEO_GROW_EBITDA","FQ1 2017","FQ1 2017","Currency=INR","Period=FQ","BEST_FPERIOD_OVERRIDE=FQ","FILING_STATUS=OR","EQY_CONSOLIDATED=Y","FA_ADJUSTED=GAAP","Sort=A","Dates=H","DateFormat=P","Fill=—","Direction=H","UseDPDF=Y")</f>
        <v>#NAME?</v>
      </c>
      <c r="AO169" s="1" t="e">
        <f ca="1">_xll.BDH($C$153,"GEO_GROW_OPER_INC","FQ1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69" s="1" t="e">
        <f ca="1">_xll.BDH($C$153,"NET_INCOME_TO_COMMON_5_YR_GROWTH","FQ1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69" s="1" t="e">
        <f ca="1">_xll.BDH($C$153,"5Y_GEO_GROWTH_DILUTED_EPS","FQ1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69" s="1" t="e">
        <f ca="1">_xll.BDH($C$153,"GEO_GROW_DVD_PER_SH","FQ1 2017","FQ1 2017","Currency=INR","Period=FQ","BEST_FPERIOD_OVERRIDE=FQ","FILING_STATUS=OR","EQY_CONSOLIDATED=Y","Sort=A","Dates=H","DateFormat=P","Fill=—","Direction=H","UseDPDF=Y")</f>
        <v>#NAME?</v>
      </c>
      <c r="AS169" s="1" t="e">
        <f ca="1">_xll.BDH($C$153,"ACCOUNTS_RECEIVABLE_5_YR_GROWTH","FQ1 2017","FQ1 2017","Currency=INR","Period=FQ","BEST_FPERIOD_OVERRIDE=FQ","FILING_STATUS=OR","EQY_CONSOLIDATED=Y","Sort=A","Dates=H","DateFormat=P","Fill=—","Direction=H","UseDPDF=Y")</f>
        <v>#NAME?</v>
      </c>
      <c r="AT169" s="1" t="e">
        <f ca="1">_xll.BDH($C$153,"INVENTORY_5_YEAR_GROWTH","FQ1 2017","FQ1 2017","Currency=INR","Period=FQ","BEST_FPERIOD_OVERRIDE=FQ","FILING_STATUS=OR","EQY_CONSOLIDATED=Y","Sort=A","Dates=H","DateFormat=P","Fill=—","Direction=H","UseDPDF=Y")</f>
        <v>#NAME?</v>
      </c>
      <c r="AU169" s="1" t="e">
        <f ca="1">_xll.BDH($C$153,"NET_FIXED_ASSETS_5_YEAR_GROWTH","FQ1 2017","FQ1 2017","Currency=INR","Period=FQ","BEST_FPERIOD_OVERRIDE=FQ","FILING_STATUS=OR","EQY_CONSOLIDATED=Y","Sort=A","Dates=H","DateFormat=P","Fill=—","Direction=H","UseDPDF=Y")</f>
        <v>#NAME?</v>
      </c>
      <c r="AV169" s="1" t="e">
        <f ca="1">_xll.BDH($C$153,"GEO_GROW_TOT_ASSET","FQ1 2017","FQ1 2017","Currency=INR","Period=FQ","BEST_FPERIOD_OVERRIDE=FQ","FILING_STATUS=OR","EQY_CONSOLIDATED=Y","Sort=A","Dates=H","DateFormat=P","Fill=—","Direction=H","UseDPDF=Y")</f>
        <v>#NAME?</v>
      </c>
      <c r="AW169" s="1" t="e">
        <f ca="1">_xll.BDH($C$153,"MODIFIED_WORKING_CPTL_5YR_GRWTH","FQ1 2017","FQ1 2017","Currency=INR","Period=FQ","BEST_FPERIOD_OVERRIDE=FQ","FILING_STATUS=OR","EQY_CONSOLIDATED=Y","Sort=A","Dates=H","DateFormat=P","Fill=—","Direction=H","UseDPDF=Y")</f>
        <v>#NAME?</v>
      </c>
      <c r="AX169" s="1" t="e">
        <f ca="1">_xll.BDH($C$153,"WORKING_CAPITAL_5_YEAR_GROWTH","FQ1 2017","FQ1 2017","Currency=INR","Period=FQ","BEST_FPERIOD_OVERRIDE=FQ","FILING_STATUS=OR","EQY_CONSOLIDATED=Y","Sort=A","Dates=H","DateFormat=P","Fill=—","Direction=H","UseDPDF=Y")</f>
        <v>#NAME?</v>
      </c>
      <c r="AY169" s="1" t="e">
        <f ca="1">_xll.BDH($C$153,"ACCOUNTS_PAYABLE_5_YEAR_GROWTH","FQ1 2017","FQ1 2017","Currency=INR","Period=FQ","BEST_FPERIOD_OVERRIDE=FQ","FILING_STATUS=OR","EQY_CONSOLIDATED=Y","Sort=A","Dates=H","DateFormat=P","Fill=—","Direction=H","UseDPDF=Y")</f>
        <v>#NAME?</v>
      </c>
      <c r="AZ169" s="1" t="e">
        <f ca="1">_xll.BDH($C$153,"SHORT_TERM_DEBT_5_YEAR_GROWTH","FQ1 2017","FQ1 2017","Currency=INR","Period=FQ","BEST_FPERIOD_OVERRIDE=FQ","FILING_STATUS=OR","EQY_CONSOLIDATED=Y","Sort=A","Dates=H","DateFormat=P","Fill=—","Direction=H","UseDPDF=Y")</f>
        <v>#NAME?</v>
      </c>
      <c r="BA169" s="1" t="e">
        <f ca="1">_xll.BDH($C$153,"TOTAL_DEBT_5_YEAR_GROWTH","FQ1 2017","FQ1 2017","Currency=INR","Period=FQ","BEST_FPERIOD_OVERRIDE=FQ","FILING_STATUS=OR","EQY_CONSOLIDATED=Y","Sort=A","Dates=H","DateFormat=P","Fill=—","Direction=H","UseDPDF=Y")</f>
        <v>#NAME?</v>
      </c>
      <c r="BB169" s="1" t="e">
        <f ca="1">_xll.BDH($C$153,"GEO_GROW_TOT_SHRHLDR_EQY","FQ1 2017","FQ1 2017","Currency=INR","Period=FQ","BEST_FPERIOD_OVERRIDE=FQ","FILING_STATUS=OR","EQY_CONSOLIDATED=Y","Sort=A","Dates=H","DateFormat=P","Fill=—","Direction=H","UseDPDF=Y")</f>
        <v>#NAME?</v>
      </c>
      <c r="BC169" s="1" t="e">
        <f ca="1">_xll.BDH($C$153,"TOTAL_CAPITAL_5_YEAR_GROWTH","FQ1 2017","FQ1 2017","Currency=INR","Period=FQ","BEST_FPERIOD_OVERRIDE=FQ","FILING_STATUS=OR","EQY_CONSOLIDATED=Y","Sort=A","Dates=H","DateFormat=P","Fill=—","Direction=H","UseDPDF=Y")</f>
        <v>#NAME?</v>
      </c>
      <c r="BD169" s="1" t="e">
        <f ca="1">_xll.BDH($C$153,"GEO_GROW_BOOK_VAL","FQ1 2017","FQ1 2017","Currency=INR","Period=FQ","BEST_FPERIOD_OVERRIDE=FQ","FILING_STATUS=OR","EQY_CONSOLIDATED=Y","Sort=A","Dates=H","DateFormat=P","Fill=—","Direction=H","UseDPDF=Y")</f>
        <v>#NAME?</v>
      </c>
      <c r="BE169" s="1" t="e">
        <f ca="1">_xll.BDH($C$153,"GEO_GROW_CASH_OPER_ACT","FQ1 2017","FQ1 2017","Currency=INR","Period=FQ","BEST_FPERIOD_OVERRIDE=FQ","FILING_STATUS=OR","EQY_CONSOLIDATED=Y","Sort=A","Dates=H","DateFormat=P","Fill=—","Direction=H","UseDPDF=Y")</f>
        <v>#NAME?</v>
      </c>
      <c r="BF169" s="1" t="e">
        <f ca="1">_xll.BDH($C$153,"REVENUE_SEQUENTIAL_GROWTH","FQ1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69" s="1" t="e">
        <f ca="1">_xll.BDH($C$153,"EBITDA_SEQUENTIAL_GROWTH","FQ1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69" s="1" t="e">
        <f ca="1">_xll.BDH($C$153,"OPERATING_INCOME_SEQ_GROWTH","FQ1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69" s="1" t="e">
        <f ca="1">_xll.BDH($C$153,"NET_INCOME_TO_COMMON_SEQ_GROWTH","FQ1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69" s="1" t="e">
        <f ca="1">_xll.BDH($C$153,"EPS_DILUTED_SEQUENTIAL_GROWTH","FQ1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69" s="1" t="e">
        <f ca="1">_xll.BDH($C$153,"DPS_SEQUENTIAL_GROWTH","FQ1 2017","FQ1 2017","Currency=INR","Period=FQ","BEST_FPERIOD_OVERRIDE=FQ","FILING_STATUS=OR","EQY_CONSOLIDATED=Y","Sort=A","Dates=H","DateFormat=P","Fill=—","Direction=H","UseDPDF=Y")</f>
        <v>#NAME?</v>
      </c>
      <c r="BL169" s="1" t="e">
        <f ca="1">_xll.BDH($C$153,"ACCOUNTS_RECEIVABLE_SEQ_GROWTH","FQ1 2017","FQ1 2017","Currency=INR","Period=FQ","BEST_FPERIOD_OVERRIDE=FQ","FILING_STATUS=OR","EQY_CONSOLIDATED=Y","Sort=A","Dates=H","DateFormat=P","Fill=—","Direction=H","UseDPDF=Y")</f>
        <v>#NAME?</v>
      </c>
      <c r="BM169" s="1" t="e">
        <f ca="1">_xll.BDH($C$153,"INVENTORY_SEQUENTIAL_GROWTH","FQ1 2017","FQ1 2017","Currency=INR","Period=FQ","BEST_FPERIOD_OVERRIDE=FQ","FILING_STATUS=OR","EQY_CONSOLIDATED=Y","Sort=A","Dates=H","DateFormat=P","Fill=—","Direction=H","UseDPDF=Y")</f>
        <v>#NAME?</v>
      </c>
      <c r="BN169" s="1" t="e">
        <f ca="1">_xll.BDH($C$153,"FIXED_ASSETS_SEQUENTIAL_GROWTH","FQ1 2017","FQ1 2017","Currency=INR","Period=FQ","BEST_FPERIOD_OVERRIDE=FQ","FILING_STATUS=OR","EQY_CONSOLIDATED=Y","Sort=A","Dates=H","DateFormat=P","Fill=—","Direction=H","UseDPDF=Y")</f>
        <v>#NAME?</v>
      </c>
      <c r="BO169" s="1" t="e">
        <f ca="1">_xll.BDH($C$153,"TOTAL_ASSETS_SEQUENTIAL_GROWTH","FQ1 2017","FQ1 2017","Currency=INR","Period=FQ","BEST_FPERIOD_OVERRIDE=FQ","FILING_STATUS=OR","EQY_CONSOLIDATED=Y","Sort=A","Dates=H","DateFormat=P","Fill=—","Direction=H","UseDPDF=Y")</f>
        <v>#NAME?</v>
      </c>
      <c r="BP169" s="1" t="e">
        <f ca="1">_xll.BDH($C$153,"MODIFIED_WORKING_CPTL_SEQ_GRWTH","FQ1 2017","FQ1 2017","Currency=INR","Period=FQ","BEST_FPERIOD_OVERRIDE=FQ","FILING_STATUS=OR","EQY_CONSOLIDATED=Y","Sort=A","Dates=H","DateFormat=P","Fill=—","Direction=H","UseDPDF=Y")</f>
        <v>#NAME?</v>
      </c>
      <c r="BQ169" s="1" t="e">
        <f ca="1">_xll.BDH($C$153,"WORKING_CAPITAL_SEQ_GROWTH","FQ1 2017","FQ1 2017","Currency=INR","Period=FQ","BEST_FPERIOD_OVERRIDE=FQ","FILING_STATUS=OR","EQY_CONSOLIDATED=Y","Sort=A","Dates=H","DateFormat=P","Fill=—","Direction=H","UseDPDF=Y")</f>
        <v>#NAME?</v>
      </c>
      <c r="BR169" s="1" t="e">
        <f ca="1">_xll.BDH($C$153,"ACCOUNTS_PAYABLE_SEQ_GROWTH","FQ1 2017","FQ1 2017","Currency=INR","Period=FQ","BEST_FPERIOD_OVERRIDE=FQ","FILING_STATUS=OR","EQY_CONSOLIDATED=Y","Sort=A","Dates=H","DateFormat=P","Fill=—","Direction=H","UseDPDF=Y")</f>
        <v>#NAME?</v>
      </c>
      <c r="BS169" s="1" t="e">
        <f ca="1">_xll.BDH($C$153,"ST_DEBT_SEQUENTIAL_GROWTH","FQ1 2017","FQ1 2017","Currency=INR","Period=FQ","BEST_FPERIOD_OVERRIDE=FQ","FILING_STATUS=OR","EQY_CONSOLIDATED=Y","Sort=A","Dates=H","DateFormat=P","Fill=—","Direction=H","UseDPDF=Y")</f>
        <v>#NAME?</v>
      </c>
      <c r="BT169" s="1" t="e">
        <f ca="1">_xll.BDH($C$153,"TOTAL_DEBT_SEQUENTIAL_GROWTH","FQ1 2017","FQ1 2017","Currency=INR","Period=FQ","BEST_FPERIOD_OVERRIDE=FQ","FILING_STATUS=OR","EQY_CONSOLIDATED=Y","Sort=A","Dates=H","DateFormat=P","Fill=—","Direction=H","UseDPDF=Y")</f>
        <v>#NAME?</v>
      </c>
      <c r="BU169" s="1" t="e">
        <f ca="1">_xll.BDH($C$153,"TOTAL_EQUITY_SEQUENTIAL_GROWTH","FQ1 2017","FQ1 2017","Currency=INR","Period=FQ","BEST_FPERIOD_OVERRIDE=FQ","FILING_STATUS=OR","EQY_CONSOLIDATED=Y","Sort=A","Dates=H","DateFormat=P","Fill=—","Direction=H","UseDPDF=Y")</f>
        <v>#NAME?</v>
      </c>
      <c r="BV169" s="1" t="e">
        <f ca="1">_xll.BDH($C$153,"TOTAL_CAPITAL_SEQUENTIAL_GROWTH","FQ1 2017","FQ1 2017","Currency=INR","Period=FQ","BEST_FPERIOD_OVERRIDE=FQ","FILING_STATUS=OR","EQY_CONSOLIDATED=Y","Sort=A","Dates=H","DateFormat=P","Fill=—","Direction=H","UseDPDF=Y")</f>
        <v>#NAME?</v>
      </c>
      <c r="BW169" s="1" t="e">
        <f ca="1">_xll.BDH($C$153,"BPS_SEQUENTIAL_GROWTH","FQ1 2017","FQ1 2017","Currency=INR","Period=FQ","BEST_FPERIOD_OVERRIDE=FQ","FILING_STATUS=OR","EQY_CONSOLIDATED=Y","Sort=A","Dates=H","DateFormat=P","Fill=—","Direction=H","UseDPDF=Y")</f>
        <v>#NAME?</v>
      </c>
      <c r="BX169" s="1" t="e">
        <f ca="1">_xll.BDH($C$153,"CFO_SEQUENTIAL_GROWTH","FQ1 2017","FQ1 2017","Currency=INR","Period=FQ","BEST_FPERIOD_OVERRIDE=FQ","FILING_STATUS=OR","EQY_CONSOLIDATED=Y","Sort=A","Dates=H","DateFormat=P","Fill=—","Direction=H","UseDPDF=Y")</f>
        <v>#NAME?</v>
      </c>
      <c r="BY169" s="2" t="e">
        <f ca="1">_xll.BDH($C$153,"SHORT_AND_LONG_TERM_DEBT","FQ1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69" s="2" t="e">
        <f ca="1">_xll.BDH($C$153,"BS_ST_BORROW","FQ1 2017","FQ1 2017","Currency=INR","Period=FQ","BEST_FPERIOD_OVERRIDE=FQ","FILING_STATUS=OR","EQY_CONSOLIDATED=Y","SCALING_FORMAT=MLN","Sort=A","Dates=H","DateFormat=P","Fill=—","Direction=H","UseDPDF=Y")</f>
        <v>#NAME?</v>
      </c>
      <c r="CA169" s="2" t="e">
        <f ca="1">_xll.BDH($C$153,"BS_LT_BORROW","FQ1 2017","FQ1 2017","Currency=INR","Period=FQ","BEST_FPERIOD_OVERRIDE=FQ","FILING_STATUS=OR","EQY_CONSOLIDATED=Y","SCALING_FORMAT=MLN","Sort=A","Dates=H","DateFormat=P","Fill=—","Direction=H","UseDPDF=Y")</f>
        <v>#NAME?</v>
      </c>
      <c r="CB169" s="1" t="e">
        <f ca="1">_xll.BDH($C$153,"TOT_DEBT_TO_EBITDA","FQ1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69" s="1" t="e">
        <f ca="1">_xll.BDH($C$153,"NET_DEBT_TO_EBITDA","FQ1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69" s="1" t="e">
        <f ca="1">_xll.BDH($C$153,"TOTAL_DEBT_TO_EBIT","FQ1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69" s="1" t="e">
        <f ca="1">_xll.BDH($C$153,"NET_DEBT_TO_EBIT","FQ1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169" s="1" t="e">
        <f ca="1">_xll.BDH($C$153,"EBITDA_TO_INTEREST_EXPN","FQ1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69" s="1" t="e">
        <f ca="1">_xll.BDH($C$153,"COM_EQY_TO_TOT_ASSET","FQ1 2017","FQ1 2017","Currency=INR","Period=FQ","BEST_FPERIOD_OVERRIDE=FQ","FILING_STATUS=OR","EQY_CONSOLIDATED=Y","Sort=A","Dates=H","DateFormat=P","Fill=—","Direction=H","UseDPDF=Y")</f>
        <v>#NAME?</v>
      </c>
      <c r="CH169" s="1" t="e">
        <f ca="1">_xll.BDH($C$153,"LT_DEBT_TO_TOT_EQY","FQ1 2017","FQ1 2017","Currency=INR","Period=FQ","BEST_FPERIOD_OVERRIDE=FQ","FILING_STATUS=OR","EQY_CONSOLIDATED=Y","Sort=A","Dates=H","DateFormat=P","Fill=—","Direction=H","UseDPDF=Y")</f>
        <v>#NAME?</v>
      </c>
      <c r="CI169" s="1" t="e">
        <f ca="1">_xll.BDH($C$153,"LT_DEBT_TO_TOT_CAP","FQ1 2017","FQ1 2017","Currency=INR","Period=FQ","BEST_FPERIOD_OVERRIDE=FQ","FILING_STATUS=OR","EQY_CONSOLIDATED=Y","Sort=A","Dates=H","DateFormat=P","Fill=—","Direction=H","UseDPDF=Y")</f>
        <v>#NAME?</v>
      </c>
      <c r="CJ169" s="1" t="e">
        <f ca="1">_xll.BDH($C$153,"LT_DEBT_TO_TOT_ASSET","FQ1 2017","FQ1 2017","Currency=INR","Period=FQ","BEST_FPERIOD_OVERRIDE=FQ","FILING_STATUS=OR","EQY_CONSOLIDATED=Y","Sort=A","Dates=H","DateFormat=P","Fill=—","Direction=H","UseDPDF=Y")</f>
        <v>#NAME?</v>
      </c>
      <c r="CK169" s="1" t="e">
        <f ca="1">_xll.BDH($C$153,"TOT_DEBT_TO_TOT_EQY","FQ1 2017","FQ1 2017","Currency=INR","Period=FQ","BEST_FPERIOD_OVERRIDE=FQ","FILING_STATUS=OR","EQY_CONSOLIDATED=Y","Sort=A","Dates=H","DateFormat=P","Fill=—","Direction=H","UseDPDF=Y")</f>
        <v>#NAME?</v>
      </c>
      <c r="CL169" s="1" t="e">
        <f ca="1">_xll.BDH($C$153,"TOT_DEBT_TO_TOT_CAP","FQ1 2017","FQ1 2017","Currency=INR","Period=FQ","BEST_FPERIOD_OVERRIDE=FQ","FILING_STATUS=OR","EQY_CONSOLIDATED=Y","Sort=A","Dates=H","DateFormat=P","Fill=—","Direction=H","UseDPDF=Y")</f>
        <v>#NAME?</v>
      </c>
      <c r="CM169" s="1" t="e">
        <f ca="1">_xll.BDH($C$153,"TOT_DEBT_TO_TOT_ASSET","FQ1 2017","FQ1 2017","Currency=INR","Period=FQ","BEST_FPERIOD_OVERRIDE=FQ","FILING_STATUS=OR","EQY_CONSOLIDATED=Y","Sort=A","Dates=H","DateFormat=P","Fill=—","Direction=H","UseDPDF=Y")</f>
        <v>#NAME?</v>
      </c>
      <c r="CN169" s="1" t="e">
        <f ca="1">_xll.BDH($C$153,"NET_DEBT_TO_SHRHLDR_EQTY","FQ1 2017","FQ1 2017","Currency=INR","Period=FQ","BEST_FPERIOD_OVERRIDE=FQ","FILING_STATUS=OR","EQY_CONSOLIDATED=Y","Sort=A","Dates=H","DateFormat=P","Fill=—","Direction=H","UseDPDF=Y")</f>
        <v>#NAME?</v>
      </c>
      <c r="CO169" s="1" t="e">
        <f ca="1">_xll.BDH($C$153,"NET_DEBT_%_CAPITAL","FQ1 2017","FQ1 2017","Currency=INR","Period=FQ","BEST_FPERIOD_OVERRIDE=FQ","FILING_STATUS=OR","EQY_CONSOLIDATED=Y","Sort=A","Dates=H","DateFormat=P","Fill=—","Direction=H","UseDPDF=Y")</f>
        <v>#NAME?</v>
      </c>
      <c r="CP169" s="2" t="e">
        <f ca="1">_xll.BDH($C$153,"EBITDA","FQ1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69" s="2" t="e">
        <f ca="1">_xll.BDH($C$153,"EBITDA_AFTER_CAPEX","FQ1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69" s="2" t="e">
        <f ca="1">_xll.BDH($C$153,"IS_OPER_INC","FQ1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69" s="1" t="e">
        <f ca="1">_xll.BDH($C$153,"CASH_RATIO","FQ1 2017","FQ1 2017","Currency=INR","Period=FQ","BEST_FPERIOD_OVERRIDE=FQ","FILING_STATUS=OR","EQY_CONSOLIDATED=Y","Sort=A","Dates=H","DateFormat=P","Fill=—","Direction=H","UseDPDF=Y")</f>
        <v>#NAME?</v>
      </c>
      <c r="CT169" s="1" t="e">
        <f ca="1">_xll.BDH($C$153,"CUR_RATIO","FQ1 2017","FQ1 2017","Currency=INR","Period=FQ","BEST_FPERIOD_OVERRIDE=FQ","FILING_STATUS=OR","EQY_CONSOLIDATED=Y","Sort=A","Dates=H","DateFormat=P","Fill=—","Direction=H","UseDPDF=Y")</f>
        <v>#NAME?</v>
      </c>
      <c r="CU169" s="1" t="e">
        <f ca="1">_xll.BDH($C$153,"QUICK_RATIO","FQ1 2017","FQ1 2017","Currency=INR","Period=FQ","BEST_FPERIOD_OVERRIDE=FQ","FILING_STATUS=OR","EQY_CONSOLIDATED=Y","Sort=A","Dates=H","DateFormat=P","Fill=—","Direction=H","UseDPDF=Y")</f>
        <v>#NAME?</v>
      </c>
      <c r="CV169" s="1" t="e">
        <f ca="1">_xll.BDH($C$153,"ALTMAN_Z_SCORE","FQ1 2017","FQ1 2017","Currency=INR","Period=FQ","BEST_FPERIOD_OVERRIDE=FQ","FILING_STATUS=OR","EQY_CONSOLIDATED=Y","Sort=A","Dates=H","DateFormat=P","Fill=—","Direction=H","UseDPDF=Y")</f>
        <v>#NAME?</v>
      </c>
      <c r="CW169" s="3" t="e">
        <f ca="1">_xll.BDH($C$153,"ACCT_RCV_TURN","FQ1 2017","FQ1 2017","Currency=INR","Period=FQ","BEST_FPERIOD_OVERRIDE=FQ","FILING_STATUS=OR","EQY_CONSOLIDATED=Y","FA_ADJUSTED=GAAP","Sort=A","Dates=H","DateFormat=P","Fill=—","Direction=H","UseDPDF=Y")</f>
        <v>#NAME?</v>
      </c>
      <c r="CX169" s="1" t="e">
        <f ca="1">_xll.BDH($C$153,"ACCT_RCV_DAYS","FQ1 2017","FQ1 2017","Currency=INR","Period=FQ","BEST_FPERIOD_OVERRIDE=FQ","FILING_STATUS=OR","EQY_CONSOLIDATED=Y","FA_ADJUSTED=GAAP","Sort=A","Dates=H","DateFormat=P","Fill=—","Direction=H","UseDPDF=Y")</f>
        <v>#NAME?</v>
      </c>
      <c r="CY169" s="3" t="e">
        <f ca="1">_xll.BDH($C$153,"INVENT_TURN","FQ1 2017","FQ1 2017","Currency=INR","Period=FQ","BEST_FPERIOD_OVERRIDE=FQ","FILING_STATUS=OR","EQY_CONSOLIDATED=Y","FA_ADJUSTED=GAAP","Sort=A","Dates=H","DateFormat=P","Fill=—","Direction=H","UseDPDF=Y")</f>
        <v>#NAME?</v>
      </c>
      <c r="CZ169" s="1" t="e">
        <f ca="1">_xll.BDH($C$153,"INVENT_DAYS","FQ1 2017","FQ1 2017","Currency=INR","Period=FQ","BEST_FPERIOD_OVERRIDE=FQ","FILING_STATUS=OR","EQY_CONSOLIDATED=Y","FA_ADJUSTED=GAAP","Sort=A","Dates=H","DateFormat=P","Fill=—","Direction=H","UseDPDF=Y")</f>
        <v>#NAME?</v>
      </c>
      <c r="DA169" s="3" t="e">
        <f ca="1">_xll.BDH($C$153,"ACCOUNTS_PAYABLE_TURNOVER","FQ1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69" s="1" t="e">
        <f ca="1">_xll.BDH($C$153,"ACCOUNTS_PAYABLE_TURNOVER_DAYS","FQ1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69" s="3" t="e">
        <f ca="1">_xll.BDH($C$153,"CASH_CONVERSION_CYCLE","FQ1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69" s="3" t="e">
        <f ca="1">_xll.BDH($C$153,"INV_TO_CASH_DAYS","FQ1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169" s="4" t="e">
        <f ca="1">_xll.BDH($C$153,"BS_INVENTORIES","FQ1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169" s="2" t="e">
        <f ca="1">_xll.BDH($C$153,"INVTRY_RAW_MATERIALS","FQ1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69" s="2" t="e">
        <f ca="1">_xll.BDH($C$153,"INVTRY_IN_PROGRESS","FQ1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69" s="2" t="e">
        <f ca="1">_xll.BDH($C$153,"INVTRY_FINISHED_GOODS","FQ1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69" s="2" t="e">
        <f ca="1">_xll.BDH($C$153,"BS_OTHER_INV","FQ1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70" spans="1:113" x14ac:dyDescent="0.3">
      <c r="A170" s="6"/>
      <c r="B170" s="6"/>
      <c r="C170" s="6"/>
      <c r="D170" s="6"/>
      <c r="E170" t="s">
        <v>5</v>
      </c>
      <c r="F170" t="e">
        <f ca="1">_xll.BDH($C$153,"RETURN_COM_EQY","FQ2 2017","FQ2 2017","Currency=INR","Period=FQ","BEST_FPERIOD_OVERRIDE=FQ","FILING_STATUS=OR","EQY_CONSOLIDATED=Y","FA_ADJUSTED=GAAP","Sort=A","Dates=H","DateFormat=P","Fill=—","Direction=H","UseDPDF=Y")</f>
        <v>#NAME?</v>
      </c>
      <c r="G170" t="e">
        <f ca="1">_xll.BDH($C$153,"RETURN_ON_ASSET","FQ2 2017","FQ2 2017","Currency=INR","Period=FQ","BEST_FPERIOD_OVERRIDE=FQ","FILING_STATUS=OR","EQY_CONSOLIDATED=Y","FA_ADJUSTED=GAAP","Sort=A","Dates=H","DateFormat=P","Fill=—","Direction=H","UseDPDF=Y")</f>
        <v>#NAME?</v>
      </c>
      <c r="H170" t="e">
        <f ca="1">_xll.BDH($C$153,"RETURN_ON_CAP","FQ2 2017","FQ2 2017","Currency=INR","Period=FQ","BEST_FPERIOD_OVERRIDE=FQ","FILING_STATUS=OR","EQY_CONSOLIDATED=Y","FA_ADJUSTED=GAAP","Sort=A","Dates=H","DateFormat=P","Fill=—","Direction=H","UseDPDF=Y")</f>
        <v>#NAME?</v>
      </c>
      <c r="I170" t="e">
        <f ca="1">_xll.BDH($C$153,"RETURN_ON_INV_CAPITAL","FQ2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70" t="e">
        <f ca="1">_xll.BDH($C$153,"EBITDA_TO_REVENUE","FQ2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170" t="e">
        <f ca="1">_xll.BDH($C$153,"OPER_MARGIN","FQ2 2017","FQ2 2017","Currency=INR","Period=FQ","BEST_FPERIOD_OVERRIDE=FQ","FILING_STATUS=OR","EQY_CONSOLIDATED=Y","FA_ADJUSTED=GAAP","Sort=A","Dates=H","DateFormat=P","Fill=—","Direction=H","UseDPDF=Y")</f>
        <v>#NAME?</v>
      </c>
      <c r="L170" t="e">
        <f ca="1">_xll.BDH($C$153,"INCREMENTAL_OPERATING_MARGIN","FQ2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70" t="e">
        <f ca="1">_xll.BDH($C$153,"PRETAX_INC_TO_NET_SALES","FQ2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70" t="e">
        <f ca="1">_xll.BDH($C$153,"INC_BEF_XO_ITEMS_TO_NET_SALES","FQ2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70" t="e">
        <f ca="1">_xll.BDH($C$153,"PROF_MARGIN","FQ2 2017","FQ2 2017","Currency=INR","Period=FQ","BEST_FPERIOD_OVERRIDE=FQ","FILING_STATUS=OR","EQY_CONSOLIDATED=Y","FA_ADJUSTED=GAAP","Sort=A","Dates=H","DateFormat=P","Fill=—","Direction=H","UseDPDF=Y")</f>
        <v>#NAME?</v>
      </c>
      <c r="P170" t="e">
        <f ca="1">_xll.BDH($C$153,"NET_INCOME_TO_COMMON_MARGIN","FQ2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70" t="e">
        <f ca="1">_xll.BDH($C$153,"EFF_TAX_RATE","FQ2 2017","FQ2 2017","Currency=INR","Period=FQ","BEST_FPERIOD_OVERRIDE=FQ","FILING_STATUS=OR","EQY_CONSOLIDATED=Y","FA_ADJUSTED=GAAP","Sort=A","Dates=H","DateFormat=P","Fill=—","Direction=H","UseDPDF=Y")</f>
        <v>#NAME?</v>
      </c>
      <c r="R170" t="e">
        <f ca="1">_xll.BDH($C$153,"DVD_PAYOUT_RATIO","FQ2 2017","FQ2 2017","Currency=INR","Period=FQ","BEST_FPERIOD_OVERRIDE=FQ","FILING_STATUS=OR","EQY_CONSOLIDATED=Y","FA_ADJUSTED=GAAP","Sort=A","Dates=H","DateFormat=P","Fill=—","Direction=H","UseDPDF=Y")</f>
        <v>#NAME?</v>
      </c>
      <c r="S170" t="e">
        <f ca="1">_xll.BDH($C$153,"SUSTAIN_GROWTH_RT","FQ2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170" s="1" t="e">
        <f ca="1">_xll.BDH($C$153,"SALES_GROWTH","FQ2 2017","FQ2 2017","Currency=INR","Period=FQ","BEST_FPERIOD_OVERRIDE=FQ","FILING_STATUS=OR","EQY_CONSOLIDATED=Y","FA_ADJUSTED=GAAP","Sort=A","Dates=H","DateFormat=P","Fill=—","Direction=H","UseDPDF=Y")</f>
        <v>#NAME?</v>
      </c>
      <c r="U170" s="1" t="e">
        <f ca="1">_xll.BDH($C$153,"EBITDA_GROWTH","FQ2 2017","FQ2 2017","Currency=INR","Period=FQ","BEST_FPERIOD_OVERRIDE=FQ","FILING_STATUS=OR","EQY_CONSOLIDATED=Y","FA_ADJUSTED=GAAP","Sort=A","Dates=H","DateFormat=P","Fill=—","Direction=H","UseDPDF=Y")</f>
        <v>#NAME?</v>
      </c>
      <c r="V170" s="1" t="e">
        <f ca="1">_xll.BDH($C$153,"OPER_INC_GROWTH","FQ2 2017","FQ2 2017","Currency=INR","Period=FQ","BEST_FPERIOD_OVERRIDE=FQ","FILING_STATUS=OR","EQY_CONSOLIDATED=Y","FA_ADJUSTED=GAAP","Sort=A","Dates=H","DateFormat=P","Fill=—","Direction=H","UseDPDF=Y")</f>
        <v>#NAME?</v>
      </c>
      <c r="W170" s="1" t="e">
        <f ca="1">_xll.BDH($C$153,"EARN_FOR_COM_GROWTH","FQ2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70" s="1" t="e">
        <f ca="1">_xll.BDH($C$153,"DILUTED_EPS_AFT_XO_ITEMS_GROWTH","FQ2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70" s="1" t="e">
        <f ca="1">_xll.BDH($C$153,"DIVIDEND_PER_SHARE_1_YEAR_GROWTH","FQ2 2017","FQ2 2017","Currency=INR","Period=FQ","BEST_FPERIOD_OVERRIDE=FQ","FILING_STATUS=OR","EQY_CONSOLIDATED=Y","Sort=A","Dates=H","DateFormat=P","Fill=—","Direction=H","UseDPDF=Y")</f>
        <v>#NAME?</v>
      </c>
      <c r="Z170" s="1" t="e">
        <f ca="1">_xll.BDH($C$153,"ACCOUNTS_RECEIVABLE_GROWTH","FQ2 2017","FQ2 2017","Currency=INR","Period=FQ","BEST_FPERIOD_OVERRIDE=FQ","FILING_STATUS=OR","EQY_CONSOLIDATED=Y","Sort=A","Dates=H","DateFormat=P","Fill=—","Direction=H","UseDPDF=Y")</f>
        <v>#NAME?</v>
      </c>
      <c r="AA170" s="1" t="e">
        <f ca="1">_xll.BDH($C$153,"INVENTORY_GROWTH","FQ2 2017","FQ2 2017","Currency=INR","Period=FQ","BEST_FPERIOD_OVERRIDE=FQ","FILING_STATUS=OR","EQY_CONSOLIDATED=Y","Sort=A","Dates=H","DateFormat=P","Fill=—","Direction=H","UseDPDF=Y")</f>
        <v>#NAME?</v>
      </c>
      <c r="AB170" s="1" t="e">
        <f ca="1">_xll.BDH($C$153,"NET_FIXED_ASSETS_1_YEAR_GROWTH","FQ2 2017","FQ2 2017","Currency=INR","Period=FQ","BEST_FPERIOD_OVERRIDE=FQ","FILING_STATUS=OR","EQY_CONSOLIDATED=Y","Sort=A","Dates=H","DateFormat=P","Fill=—","Direction=H","UseDPDF=Y")</f>
        <v>#NAME?</v>
      </c>
      <c r="AC170" s="1" t="e">
        <f ca="1">_xll.BDH($C$153,"ASSET_GROWTH","FQ2 2017","FQ2 2017","Currency=INR","Period=FQ","BEST_FPERIOD_OVERRIDE=FQ","FILING_STATUS=OR","EQY_CONSOLIDATED=Y","Sort=A","Dates=H","DateFormat=P","Fill=—","Direction=H","UseDPDF=Y")</f>
        <v>#NAME?</v>
      </c>
      <c r="AD170" s="1" t="e">
        <f ca="1">_xll.BDH($C$153,"MODIFIED_WORK_CAP_GROWTH","FQ2 2017","FQ2 2017","Currency=INR","Period=FQ","BEST_FPERIOD_OVERRIDE=FQ","FILING_STATUS=OR","EQY_CONSOLIDATED=Y","Sort=A","Dates=H","DateFormat=P","Fill=—","Direction=H","UseDPDF=Y")</f>
        <v>#NAME?</v>
      </c>
      <c r="AE170" s="1" t="e">
        <f ca="1">_xll.BDH($C$153,"WORK_CAP_GROWTH","FQ2 2017","FQ2 2017","Currency=INR","Period=FQ","BEST_FPERIOD_OVERRIDE=FQ","FILING_STATUS=OR","EQY_CONSOLIDATED=Y","Sort=A","Dates=H","DateFormat=P","Fill=—","Direction=H","UseDPDF=Y")</f>
        <v>#NAME?</v>
      </c>
      <c r="AF170" s="1" t="e">
        <f ca="1">_xll.BDH($C$153,"ACCOUNTS_PAYABLE_GROWTH_1YR","FQ2 2017","FQ2 2017","Currency=INR","Period=FQ","BEST_FPERIOD_OVERRIDE=FQ","FILING_STATUS=OR","EQY_CONSOLIDATED=Y","Sort=A","Dates=H","DateFormat=P","Fill=—","Direction=H","UseDPDF=Y")</f>
        <v>#NAME?</v>
      </c>
      <c r="AG170" s="1" t="e">
        <f ca="1">_xll.BDH($C$153,"SHORT_TERM_DEBT_1_YEAR_GROWTH","FQ2 2017","FQ2 2017","Currency=INR","Period=FQ","BEST_FPERIOD_OVERRIDE=FQ","FILING_STATUS=OR","EQY_CONSOLIDATED=Y","Sort=A","Dates=H","DateFormat=P","Fill=—","Direction=H","UseDPDF=Y")</f>
        <v>#NAME?</v>
      </c>
      <c r="AH170" s="1" t="e">
        <f ca="1">_xll.BDH($C$153,"TOTAL_DEBT_1_YEAR_GROWTH","FQ2 2017","FQ2 2017","Currency=INR","Period=FQ","BEST_FPERIOD_OVERRIDE=FQ","FILING_STATUS=OR","EQY_CONSOLIDATED=Y","Sort=A","Dates=H","DateFormat=P","Fill=—","Direction=H","UseDPDF=Y")</f>
        <v>#NAME?</v>
      </c>
      <c r="AI170" s="1" t="e">
        <f ca="1">_xll.BDH($C$153,"TOTAL_EQUITY_1_YEAR_GROWTH","FQ2 2017","FQ2 2017","Currency=INR","Period=FQ","BEST_FPERIOD_OVERRIDE=FQ","FILING_STATUS=OR","EQY_CONSOLIDATED=Y","Sort=A","Dates=H","DateFormat=P","Fill=—","Direction=H","UseDPDF=Y")</f>
        <v>#NAME?</v>
      </c>
      <c r="AJ170" s="1" t="e">
        <f ca="1">_xll.BDH($C$153,"GROWTH_IN_CAP","FQ2 2017","FQ2 2017","Currency=INR","Period=FQ","BEST_FPERIOD_OVERRIDE=FQ","FILING_STATUS=OR","EQY_CONSOLIDATED=Y","Sort=A","Dates=H","DateFormat=P","Fill=—","Direction=H","UseDPDF=Y")</f>
        <v>#NAME?</v>
      </c>
      <c r="AK170" s="1" t="e">
        <f ca="1">_xll.BDH($C$153,"BVPS_GROWTH","FQ2 2017","FQ2 2017","Currency=INR","Period=FQ","BEST_FPERIOD_OVERRIDE=FQ","FILING_STATUS=OR","EQY_CONSOLIDATED=Y","Sort=A","Dates=H","DateFormat=P","Fill=—","Direction=H","UseDPDF=Y")</f>
        <v>#NAME?</v>
      </c>
      <c r="AL170" s="1" t="e">
        <f ca="1">_xll.BDH($C$153,"CASH_FLOW_GROWTH","FQ2 2017","FQ2 2017","Currency=INR","Period=FQ","BEST_FPERIOD_OVERRIDE=FQ","FILING_STATUS=OR","EQY_CONSOLIDATED=Y","Sort=A","Dates=H","DateFormat=P","Fill=—","Direction=H","UseDPDF=Y")</f>
        <v>#NAME?</v>
      </c>
      <c r="AM170" s="1" t="e">
        <f ca="1">_xll.BDH($C$153,"GEO_GROW_NET_SALES","FQ2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70" s="1" t="e">
        <f ca="1">_xll.BDH($C$153,"GEO_GROW_EBITDA","FQ2 2017","FQ2 2017","Currency=INR","Period=FQ","BEST_FPERIOD_OVERRIDE=FQ","FILING_STATUS=OR","EQY_CONSOLIDATED=Y","FA_ADJUSTED=GAAP","Sort=A","Dates=H","DateFormat=P","Fill=—","Direction=H","UseDPDF=Y")</f>
        <v>#NAME?</v>
      </c>
      <c r="AO170" s="1" t="e">
        <f ca="1">_xll.BDH($C$153,"GEO_GROW_OPER_INC","FQ2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70" s="1" t="e">
        <f ca="1">_xll.BDH($C$153,"NET_INCOME_TO_COMMON_5_YR_GROWTH","FQ2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70" s="1" t="e">
        <f ca="1">_xll.BDH($C$153,"5Y_GEO_GROWTH_DILUTED_EPS","FQ2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70" s="1" t="e">
        <f ca="1">_xll.BDH($C$153,"GEO_GROW_DVD_PER_SH","FQ2 2017","FQ2 2017","Currency=INR","Period=FQ","BEST_FPERIOD_OVERRIDE=FQ","FILING_STATUS=OR","EQY_CONSOLIDATED=Y","Sort=A","Dates=H","DateFormat=P","Fill=—","Direction=H","UseDPDF=Y")</f>
        <v>#NAME?</v>
      </c>
      <c r="AS170" s="1" t="e">
        <f ca="1">_xll.BDH($C$153,"ACCOUNTS_RECEIVABLE_5_YR_GROWTH","FQ2 2017","FQ2 2017","Currency=INR","Period=FQ","BEST_FPERIOD_OVERRIDE=FQ","FILING_STATUS=OR","EQY_CONSOLIDATED=Y","Sort=A","Dates=H","DateFormat=P","Fill=—","Direction=H","UseDPDF=Y")</f>
        <v>#NAME?</v>
      </c>
      <c r="AT170" s="1" t="e">
        <f ca="1">_xll.BDH($C$153,"INVENTORY_5_YEAR_GROWTH","FQ2 2017","FQ2 2017","Currency=INR","Period=FQ","BEST_FPERIOD_OVERRIDE=FQ","FILING_STATUS=OR","EQY_CONSOLIDATED=Y","Sort=A","Dates=H","DateFormat=P","Fill=—","Direction=H","UseDPDF=Y")</f>
        <v>#NAME?</v>
      </c>
      <c r="AU170" s="1" t="e">
        <f ca="1">_xll.BDH($C$153,"NET_FIXED_ASSETS_5_YEAR_GROWTH","FQ2 2017","FQ2 2017","Currency=INR","Period=FQ","BEST_FPERIOD_OVERRIDE=FQ","FILING_STATUS=OR","EQY_CONSOLIDATED=Y","Sort=A","Dates=H","DateFormat=P","Fill=—","Direction=H","UseDPDF=Y")</f>
        <v>#NAME?</v>
      </c>
      <c r="AV170" s="1" t="e">
        <f ca="1">_xll.BDH($C$153,"GEO_GROW_TOT_ASSET","FQ2 2017","FQ2 2017","Currency=INR","Period=FQ","BEST_FPERIOD_OVERRIDE=FQ","FILING_STATUS=OR","EQY_CONSOLIDATED=Y","Sort=A","Dates=H","DateFormat=P","Fill=—","Direction=H","UseDPDF=Y")</f>
        <v>#NAME?</v>
      </c>
      <c r="AW170" s="1" t="e">
        <f ca="1">_xll.BDH($C$153,"MODIFIED_WORKING_CPTL_5YR_GRWTH","FQ2 2017","FQ2 2017","Currency=INR","Period=FQ","BEST_FPERIOD_OVERRIDE=FQ","FILING_STATUS=OR","EQY_CONSOLIDATED=Y","Sort=A","Dates=H","DateFormat=P","Fill=—","Direction=H","UseDPDF=Y")</f>
        <v>#NAME?</v>
      </c>
      <c r="AX170" s="1" t="e">
        <f ca="1">_xll.BDH($C$153,"WORKING_CAPITAL_5_YEAR_GROWTH","FQ2 2017","FQ2 2017","Currency=INR","Period=FQ","BEST_FPERIOD_OVERRIDE=FQ","FILING_STATUS=OR","EQY_CONSOLIDATED=Y","Sort=A","Dates=H","DateFormat=P","Fill=—","Direction=H","UseDPDF=Y")</f>
        <v>#NAME?</v>
      </c>
      <c r="AY170" s="1" t="e">
        <f ca="1">_xll.BDH($C$153,"ACCOUNTS_PAYABLE_5_YEAR_GROWTH","FQ2 2017","FQ2 2017","Currency=INR","Period=FQ","BEST_FPERIOD_OVERRIDE=FQ","FILING_STATUS=OR","EQY_CONSOLIDATED=Y","Sort=A","Dates=H","DateFormat=P","Fill=—","Direction=H","UseDPDF=Y")</f>
        <v>#NAME?</v>
      </c>
      <c r="AZ170" s="1" t="e">
        <f ca="1">_xll.BDH($C$153,"SHORT_TERM_DEBT_5_YEAR_GROWTH","FQ2 2017","FQ2 2017","Currency=INR","Period=FQ","BEST_FPERIOD_OVERRIDE=FQ","FILING_STATUS=OR","EQY_CONSOLIDATED=Y","Sort=A","Dates=H","DateFormat=P","Fill=—","Direction=H","UseDPDF=Y")</f>
        <v>#NAME?</v>
      </c>
      <c r="BA170" s="1" t="e">
        <f ca="1">_xll.BDH($C$153,"TOTAL_DEBT_5_YEAR_GROWTH","FQ2 2017","FQ2 2017","Currency=INR","Period=FQ","BEST_FPERIOD_OVERRIDE=FQ","FILING_STATUS=OR","EQY_CONSOLIDATED=Y","Sort=A","Dates=H","DateFormat=P","Fill=—","Direction=H","UseDPDF=Y")</f>
        <v>#NAME?</v>
      </c>
      <c r="BB170" s="1" t="e">
        <f ca="1">_xll.BDH($C$153,"GEO_GROW_TOT_SHRHLDR_EQY","FQ2 2017","FQ2 2017","Currency=INR","Period=FQ","BEST_FPERIOD_OVERRIDE=FQ","FILING_STATUS=OR","EQY_CONSOLIDATED=Y","Sort=A","Dates=H","DateFormat=P","Fill=—","Direction=H","UseDPDF=Y")</f>
        <v>#NAME?</v>
      </c>
      <c r="BC170" s="1" t="e">
        <f ca="1">_xll.BDH($C$153,"TOTAL_CAPITAL_5_YEAR_GROWTH","FQ2 2017","FQ2 2017","Currency=INR","Period=FQ","BEST_FPERIOD_OVERRIDE=FQ","FILING_STATUS=OR","EQY_CONSOLIDATED=Y","Sort=A","Dates=H","DateFormat=P","Fill=—","Direction=H","UseDPDF=Y")</f>
        <v>#NAME?</v>
      </c>
      <c r="BD170" s="1" t="e">
        <f ca="1">_xll.BDH($C$153,"GEO_GROW_BOOK_VAL","FQ2 2017","FQ2 2017","Currency=INR","Period=FQ","BEST_FPERIOD_OVERRIDE=FQ","FILING_STATUS=OR","EQY_CONSOLIDATED=Y","Sort=A","Dates=H","DateFormat=P","Fill=—","Direction=H","UseDPDF=Y")</f>
        <v>#NAME?</v>
      </c>
      <c r="BE170" s="1" t="e">
        <f ca="1">_xll.BDH($C$153,"GEO_GROW_CASH_OPER_ACT","FQ2 2017","FQ2 2017","Currency=INR","Period=FQ","BEST_FPERIOD_OVERRIDE=FQ","FILING_STATUS=OR","EQY_CONSOLIDATED=Y","Sort=A","Dates=H","DateFormat=P","Fill=—","Direction=H","UseDPDF=Y")</f>
        <v>#NAME?</v>
      </c>
      <c r="BF170" s="1" t="e">
        <f ca="1">_xll.BDH($C$153,"REVENUE_SEQUENTIAL_GROWTH","FQ2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70" s="1" t="e">
        <f ca="1">_xll.BDH($C$153,"EBITDA_SEQUENTIAL_GROWTH","FQ2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70" s="1" t="e">
        <f ca="1">_xll.BDH($C$153,"OPERATING_INCOME_SEQ_GROWTH","FQ2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70" s="1" t="e">
        <f ca="1">_xll.BDH($C$153,"NET_INCOME_TO_COMMON_SEQ_GROWTH","FQ2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70" s="1" t="e">
        <f ca="1">_xll.BDH($C$153,"EPS_DILUTED_SEQUENTIAL_GROWTH","FQ2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70" s="1" t="e">
        <f ca="1">_xll.BDH($C$153,"DPS_SEQUENTIAL_GROWTH","FQ2 2017","FQ2 2017","Currency=INR","Period=FQ","BEST_FPERIOD_OVERRIDE=FQ","FILING_STATUS=OR","EQY_CONSOLIDATED=Y","Sort=A","Dates=H","DateFormat=P","Fill=—","Direction=H","UseDPDF=Y")</f>
        <v>#NAME?</v>
      </c>
      <c r="BL170" s="1" t="e">
        <f ca="1">_xll.BDH($C$153,"ACCOUNTS_RECEIVABLE_SEQ_GROWTH","FQ2 2017","FQ2 2017","Currency=INR","Period=FQ","BEST_FPERIOD_OVERRIDE=FQ","FILING_STATUS=OR","EQY_CONSOLIDATED=Y","Sort=A","Dates=H","DateFormat=P","Fill=—","Direction=H","UseDPDF=Y")</f>
        <v>#NAME?</v>
      </c>
      <c r="BM170" s="1" t="e">
        <f ca="1">_xll.BDH($C$153,"INVENTORY_SEQUENTIAL_GROWTH","FQ2 2017","FQ2 2017","Currency=INR","Period=FQ","BEST_FPERIOD_OVERRIDE=FQ","FILING_STATUS=OR","EQY_CONSOLIDATED=Y","Sort=A","Dates=H","DateFormat=P","Fill=—","Direction=H","UseDPDF=Y")</f>
        <v>#NAME?</v>
      </c>
      <c r="BN170" s="1" t="e">
        <f ca="1">_xll.BDH($C$153,"FIXED_ASSETS_SEQUENTIAL_GROWTH","FQ2 2017","FQ2 2017","Currency=INR","Period=FQ","BEST_FPERIOD_OVERRIDE=FQ","FILING_STATUS=OR","EQY_CONSOLIDATED=Y","Sort=A","Dates=H","DateFormat=P","Fill=—","Direction=H","UseDPDF=Y")</f>
        <v>#NAME?</v>
      </c>
      <c r="BO170" s="1" t="e">
        <f ca="1">_xll.BDH($C$153,"TOTAL_ASSETS_SEQUENTIAL_GROWTH","FQ2 2017","FQ2 2017","Currency=INR","Period=FQ","BEST_FPERIOD_OVERRIDE=FQ","FILING_STATUS=OR","EQY_CONSOLIDATED=Y","Sort=A","Dates=H","DateFormat=P","Fill=—","Direction=H","UseDPDF=Y")</f>
        <v>#NAME?</v>
      </c>
      <c r="BP170" s="1" t="e">
        <f ca="1">_xll.BDH($C$153,"MODIFIED_WORKING_CPTL_SEQ_GRWTH","FQ2 2017","FQ2 2017","Currency=INR","Period=FQ","BEST_FPERIOD_OVERRIDE=FQ","FILING_STATUS=OR","EQY_CONSOLIDATED=Y","Sort=A","Dates=H","DateFormat=P","Fill=—","Direction=H","UseDPDF=Y")</f>
        <v>#NAME?</v>
      </c>
      <c r="BQ170" s="1" t="e">
        <f ca="1">_xll.BDH($C$153,"WORKING_CAPITAL_SEQ_GROWTH","FQ2 2017","FQ2 2017","Currency=INR","Period=FQ","BEST_FPERIOD_OVERRIDE=FQ","FILING_STATUS=OR","EQY_CONSOLIDATED=Y","Sort=A","Dates=H","DateFormat=P","Fill=—","Direction=H","UseDPDF=Y")</f>
        <v>#NAME?</v>
      </c>
      <c r="BR170" s="1" t="e">
        <f ca="1">_xll.BDH($C$153,"ACCOUNTS_PAYABLE_SEQ_GROWTH","FQ2 2017","FQ2 2017","Currency=INR","Period=FQ","BEST_FPERIOD_OVERRIDE=FQ","FILING_STATUS=OR","EQY_CONSOLIDATED=Y","Sort=A","Dates=H","DateFormat=P","Fill=—","Direction=H","UseDPDF=Y")</f>
        <v>#NAME?</v>
      </c>
      <c r="BS170" s="1" t="e">
        <f ca="1">_xll.BDH($C$153,"ST_DEBT_SEQUENTIAL_GROWTH","FQ2 2017","FQ2 2017","Currency=INR","Period=FQ","BEST_FPERIOD_OVERRIDE=FQ","FILING_STATUS=OR","EQY_CONSOLIDATED=Y","Sort=A","Dates=H","DateFormat=P","Fill=—","Direction=H","UseDPDF=Y")</f>
        <v>#NAME?</v>
      </c>
      <c r="BT170" s="1" t="e">
        <f ca="1">_xll.BDH($C$153,"TOTAL_DEBT_SEQUENTIAL_GROWTH","FQ2 2017","FQ2 2017","Currency=INR","Period=FQ","BEST_FPERIOD_OVERRIDE=FQ","FILING_STATUS=OR","EQY_CONSOLIDATED=Y","Sort=A","Dates=H","DateFormat=P","Fill=—","Direction=H","UseDPDF=Y")</f>
        <v>#NAME?</v>
      </c>
      <c r="BU170" s="1" t="e">
        <f ca="1">_xll.BDH($C$153,"TOTAL_EQUITY_SEQUENTIAL_GROWTH","FQ2 2017","FQ2 2017","Currency=INR","Period=FQ","BEST_FPERIOD_OVERRIDE=FQ","FILING_STATUS=OR","EQY_CONSOLIDATED=Y","Sort=A","Dates=H","DateFormat=P","Fill=—","Direction=H","UseDPDF=Y")</f>
        <v>#NAME?</v>
      </c>
      <c r="BV170" s="1" t="e">
        <f ca="1">_xll.BDH($C$153,"TOTAL_CAPITAL_SEQUENTIAL_GROWTH","FQ2 2017","FQ2 2017","Currency=INR","Period=FQ","BEST_FPERIOD_OVERRIDE=FQ","FILING_STATUS=OR","EQY_CONSOLIDATED=Y","Sort=A","Dates=H","DateFormat=P","Fill=—","Direction=H","UseDPDF=Y")</f>
        <v>#NAME?</v>
      </c>
      <c r="BW170" s="1" t="e">
        <f ca="1">_xll.BDH($C$153,"BPS_SEQUENTIAL_GROWTH","FQ2 2017","FQ2 2017","Currency=INR","Period=FQ","BEST_FPERIOD_OVERRIDE=FQ","FILING_STATUS=OR","EQY_CONSOLIDATED=Y","Sort=A","Dates=H","DateFormat=P","Fill=—","Direction=H","UseDPDF=Y")</f>
        <v>#NAME?</v>
      </c>
      <c r="BX170" s="1" t="e">
        <f ca="1">_xll.BDH($C$153,"CFO_SEQUENTIAL_GROWTH","FQ2 2017","FQ2 2017","Currency=INR","Period=FQ","BEST_FPERIOD_OVERRIDE=FQ","FILING_STATUS=OR","EQY_CONSOLIDATED=Y","Sort=A","Dates=H","DateFormat=P","Fill=—","Direction=H","UseDPDF=Y")</f>
        <v>#NAME?</v>
      </c>
      <c r="BY170" s="2" t="e">
        <f ca="1">_xll.BDH($C$153,"SHORT_AND_LONG_TERM_DEBT","FQ2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70" s="2" t="e">
        <f ca="1">_xll.BDH($C$153,"BS_ST_BORROW","FQ2 2017","FQ2 2017","Currency=INR","Period=FQ","BEST_FPERIOD_OVERRIDE=FQ","FILING_STATUS=OR","EQY_CONSOLIDATED=Y","SCALING_FORMAT=MLN","Sort=A","Dates=H","DateFormat=P","Fill=—","Direction=H","UseDPDF=Y")</f>
        <v>#NAME?</v>
      </c>
      <c r="CA170" s="2" t="e">
        <f ca="1">_xll.BDH($C$153,"BS_LT_BORROW","FQ2 2017","FQ2 2017","Currency=INR","Period=FQ","BEST_FPERIOD_OVERRIDE=FQ","FILING_STATUS=OR","EQY_CONSOLIDATED=Y","SCALING_FORMAT=MLN","Sort=A","Dates=H","DateFormat=P","Fill=—","Direction=H","UseDPDF=Y")</f>
        <v>#NAME?</v>
      </c>
      <c r="CB170" s="1" t="e">
        <f ca="1">_xll.BDH($C$153,"TOT_DEBT_TO_EBITDA","FQ2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70" s="1" t="e">
        <f ca="1">_xll.BDH($C$153,"NET_DEBT_TO_EBITDA","FQ2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70" s="1" t="e">
        <f ca="1">_xll.BDH($C$153,"TOTAL_DEBT_TO_EBIT","FQ2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70" s="1" t="e">
        <f ca="1">_xll.BDH($C$153,"NET_DEBT_TO_EBIT","FQ2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170" s="1" t="e">
        <f ca="1">_xll.BDH($C$153,"EBITDA_TO_INTEREST_EXPN","FQ2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70" s="1" t="e">
        <f ca="1">_xll.BDH($C$153,"COM_EQY_TO_TOT_ASSET","FQ2 2017","FQ2 2017","Currency=INR","Period=FQ","BEST_FPERIOD_OVERRIDE=FQ","FILING_STATUS=OR","EQY_CONSOLIDATED=Y","Sort=A","Dates=H","DateFormat=P","Fill=—","Direction=H","UseDPDF=Y")</f>
        <v>#NAME?</v>
      </c>
      <c r="CH170" s="1" t="e">
        <f ca="1">_xll.BDH($C$153,"LT_DEBT_TO_TOT_EQY","FQ2 2017","FQ2 2017","Currency=INR","Period=FQ","BEST_FPERIOD_OVERRIDE=FQ","FILING_STATUS=OR","EQY_CONSOLIDATED=Y","Sort=A","Dates=H","DateFormat=P","Fill=—","Direction=H","UseDPDF=Y")</f>
        <v>#NAME?</v>
      </c>
      <c r="CI170" s="1" t="e">
        <f ca="1">_xll.BDH($C$153,"LT_DEBT_TO_TOT_CAP","FQ2 2017","FQ2 2017","Currency=INR","Period=FQ","BEST_FPERIOD_OVERRIDE=FQ","FILING_STATUS=OR","EQY_CONSOLIDATED=Y","Sort=A","Dates=H","DateFormat=P","Fill=—","Direction=H","UseDPDF=Y")</f>
        <v>#NAME?</v>
      </c>
      <c r="CJ170" s="1" t="e">
        <f ca="1">_xll.BDH($C$153,"LT_DEBT_TO_TOT_ASSET","FQ2 2017","FQ2 2017","Currency=INR","Period=FQ","BEST_FPERIOD_OVERRIDE=FQ","FILING_STATUS=OR","EQY_CONSOLIDATED=Y","Sort=A","Dates=H","DateFormat=P","Fill=—","Direction=H","UseDPDF=Y")</f>
        <v>#NAME?</v>
      </c>
      <c r="CK170" s="1" t="e">
        <f ca="1">_xll.BDH($C$153,"TOT_DEBT_TO_TOT_EQY","FQ2 2017","FQ2 2017","Currency=INR","Period=FQ","BEST_FPERIOD_OVERRIDE=FQ","FILING_STATUS=OR","EQY_CONSOLIDATED=Y","Sort=A","Dates=H","DateFormat=P","Fill=—","Direction=H","UseDPDF=Y")</f>
        <v>#NAME?</v>
      </c>
      <c r="CL170" s="1" t="e">
        <f ca="1">_xll.BDH($C$153,"TOT_DEBT_TO_TOT_CAP","FQ2 2017","FQ2 2017","Currency=INR","Period=FQ","BEST_FPERIOD_OVERRIDE=FQ","FILING_STATUS=OR","EQY_CONSOLIDATED=Y","Sort=A","Dates=H","DateFormat=P","Fill=—","Direction=H","UseDPDF=Y")</f>
        <v>#NAME?</v>
      </c>
      <c r="CM170" s="1" t="e">
        <f ca="1">_xll.BDH($C$153,"TOT_DEBT_TO_TOT_ASSET","FQ2 2017","FQ2 2017","Currency=INR","Period=FQ","BEST_FPERIOD_OVERRIDE=FQ","FILING_STATUS=OR","EQY_CONSOLIDATED=Y","Sort=A","Dates=H","DateFormat=P","Fill=—","Direction=H","UseDPDF=Y")</f>
        <v>#NAME?</v>
      </c>
      <c r="CN170" s="1" t="e">
        <f ca="1">_xll.BDH($C$153,"NET_DEBT_TO_SHRHLDR_EQTY","FQ2 2017","FQ2 2017","Currency=INR","Period=FQ","BEST_FPERIOD_OVERRIDE=FQ","FILING_STATUS=OR","EQY_CONSOLIDATED=Y","Sort=A","Dates=H","DateFormat=P","Fill=—","Direction=H","UseDPDF=Y")</f>
        <v>#NAME?</v>
      </c>
      <c r="CO170" s="1" t="e">
        <f ca="1">_xll.BDH($C$153,"NET_DEBT_%_CAPITAL","FQ2 2017","FQ2 2017","Currency=INR","Period=FQ","BEST_FPERIOD_OVERRIDE=FQ","FILING_STATUS=OR","EQY_CONSOLIDATED=Y","Sort=A","Dates=H","DateFormat=P","Fill=—","Direction=H","UseDPDF=Y")</f>
        <v>#NAME?</v>
      </c>
      <c r="CP170" s="2" t="e">
        <f ca="1">_xll.BDH($C$153,"EBITDA","FQ2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70" s="2" t="e">
        <f ca="1">_xll.BDH($C$153,"EBITDA_AFTER_CAPEX","FQ2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70" s="2" t="e">
        <f ca="1">_xll.BDH($C$153,"IS_OPER_INC","FQ2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70" s="1" t="e">
        <f ca="1">_xll.BDH($C$153,"CASH_RATIO","FQ2 2017","FQ2 2017","Currency=INR","Period=FQ","BEST_FPERIOD_OVERRIDE=FQ","FILING_STATUS=OR","EQY_CONSOLIDATED=Y","Sort=A","Dates=H","DateFormat=P","Fill=—","Direction=H","UseDPDF=Y")</f>
        <v>#NAME?</v>
      </c>
      <c r="CT170" s="1" t="e">
        <f ca="1">_xll.BDH($C$153,"CUR_RATIO","FQ2 2017","FQ2 2017","Currency=INR","Period=FQ","BEST_FPERIOD_OVERRIDE=FQ","FILING_STATUS=OR","EQY_CONSOLIDATED=Y","Sort=A","Dates=H","DateFormat=P","Fill=—","Direction=H","UseDPDF=Y")</f>
        <v>#NAME?</v>
      </c>
      <c r="CU170" s="1" t="e">
        <f ca="1">_xll.BDH($C$153,"QUICK_RATIO","FQ2 2017","FQ2 2017","Currency=INR","Period=FQ","BEST_FPERIOD_OVERRIDE=FQ","FILING_STATUS=OR","EQY_CONSOLIDATED=Y","Sort=A","Dates=H","DateFormat=P","Fill=—","Direction=H","UseDPDF=Y")</f>
        <v>#NAME?</v>
      </c>
      <c r="CV170" s="1" t="e">
        <f ca="1">_xll.BDH($C$153,"ALTMAN_Z_SCORE","FQ2 2017","FQ2 2017","Currency=INR","Period=FQ","BEST_FPERIOD_OVERRIDE=FQ","FILING_STATUS=OR","EQY_CONSOLIDATED=Y","Sort=A","Dates=H","DateFormat=P","Fill=—","Direction=H","UseDPDF=Y")</f>
        <v>#NAME?</v>
      </c>
      <c r="CW170" s="3" t="e">
        <f ca="1">_xll.BDH($C$153,"ACCT_RCV_TURN","FQ2 2017","FQ2 2017","Currency=INR","Period=FQ","BEST_FPERIOD_OVERRIDE=FQ","FILING_STATUS=OR","EQY_CONSOLIDATED=Y","FA_ADJUSTED=GAAP","Sort=A","Dates=H","DateFormat=P","Fill=—","Direction=H","UseDPDF=Y")</f>
        <v>#NAME?</v>
      </c>
      <c r="CX170" s="1" t="e">
        <f ca="1">_xll.BDH($C$153,"ACCT_RCV_DAYS","FQ2 2017","FQ2 2017","Currency=INR","Period=FQ","BEST_FPERIOD_OVERRIDE=FQ","FILING_STATUS=OR","EQY_CONSOLIDATED=Y","FA_ADJUSTED=GAAP","Sort=A","Dates=H","DateFormat=P","Fill=—","Direction=H","UseDPDF=Y")</f>
        <v>#NAME?</v>
      </c>
      <c r="CY170" s="3" t="e">
        <f ca="1">_xll.BDH($C$153,"INVENT_TURN","FQ2 2017","FQ2 2017","Currency=INR","Period=FQ","BEST_FPERIOD_OVERRIDE=FQ","FILING_STATUS=OR","EQY_CONSOLIDATED=Y","FA_ADJUSTED=GAAP","Sort=A","Dates=H","DateFormat=P","Fill=—","Direction=H","UseDPDF=Y")</f>
        <v>#NAME?</v>
      </c>
      <c r="CZ170" s="1" t="e">
        <f ca="1">_xll.BDH($C$153,"INVENT_DAYS","FQ2 2017","FQ2 2017","Currency=INR","Period=FQ","BEST_FPERIOD_OVERRIDE=FQ","FILING_STATUS=OR","EQY_CONSOLIDATED=Y","FA_ADJUSTED=GAAP","Sort=A","Dates=H","DateFormat=P","Fill=—","Direction=H","UseDPDF=Y")</f>
        <v>#NAME?</v>
      </c>
      <c r="DA170" s="3" t="e">
        <f ca="1">_xll.BDH($C$153,"ACCOUNTS_PAYABLE_TURNOVER","FQ2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70" s="1" t="e">
        <f ca="1">_xll.BDH($C$153,"ACCOUNTS_PAYABLE_TURNOVER_DAYS","FQ2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70" s="3" t="e">
        <f ca="1">_xll.BDH($C$153,"CASH_CONVERSION_CYCLE","FQ2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70" s="3" t="e">
        <f ca="1">_xll.BDH($C$153,"INV_TO_CASH_DAYS","FQ2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170" s="4" t="e">
        <f ca="1">_xll.BDH($C$153,"BS_INVENTORIES","FQ2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170" s="2" t="e">
        <f ca="1">_xll.BDH($C$153,"INVTRY_RAW_MATERIALS","FQ2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70" s="2" t="e">
        <f ca="1">_xll.BDH($C$153,"INVTRY_IN_PROGRESS","FQ2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70" s="2" t="e">
        <f ca="1">_xll.BDH($C$153,"INVTRY_FINISHED_GOODS","FQ2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70" s="2" t="e">
        <f ca="1">_xll.BDH($C$153,"BS_OTHER_INV","FQ2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71" spans="1:113" x14ac:dyDescent="0.3">
      <c r="A171" s="6"/>
      <c r="B171" s="6"/>
      <c r="C171" s="6"/>
      <c r="D171" s="6"/>
      <c r="E171" t="s">
        <v>6</v>
      </c>
      <c r="F171" t="e">
        <f ca="1">_xll.BDH($C$153,"RETURN_COM_EQY","FQ3 2017","FQ3 2017","Currency=INR","Period=FQ","BEST_FPERIOD_OVERRIDE=FQ","FILING_STATUS=OR","EQY_CONSOLIDATED=Y","FA_ADJUSTED=GAAP","Sort=A","Dates=H","DateFormat=P","Fill=—","Direction=H","UseDPDF=Y")</f>
        <v>#NAME?</v>
      </c>
      <c r="G171" t="e">
        <f ca="1">_xll.BDH($C$153,"RETURN_ON_ASSET","FQ3 2017","FQ3 2017","Currency=INR","Period=FQ","BEST_FPERIOD_OVERRIDE=FQ","FILING_STATUS=OR","EQY_CONSOLIDATED=Y","FA_ADJUSTED=GAAP","Sort=A","Dates=H","DateFormat=P","Fill=—","Direction=H","UseDPDF=Y")</f>
        <v>#NAME?</v>
      </c>
      <c r="H171" t="e">
        <f ca="1">_xll.BDH($C$153,"RETURN_ON_CAP","FQ3 2017","FQ3 2017","Currency=INR","Period=FQ","BEST_FPERIOD_OVERRIDE=FQ","FILING_STATUS=OR","EQY_CONSOLIDATED=Y","FA_ADJUSTED=GAAP","Sort=A","Dates=H","DateFormat=P","Fill=—","Direction=H","UseDPDF=Y")</f>
        <v>#NAME?</v>
      </c>
      <c r="I171" t="e">
        <f ca="1">_xll.BDH($C$153,"RETURN_ON_INV_CAPITAL","FQ3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71" t="e">
        <f ca="1">_xll.BDH($C$153,"EBITDA_TO_REVENUE","FQ3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171" t="e">
        <f ca="1">_xll.BDH($C$153,"OPER_MARGIN","FQ3 2017","FQ3 2017","Currency=INR","Period=FQ","BEST_FPERIOD_OVERRIDE=FQ","FILING_STATUS=OR","EQY_CONSOLIDATED=Y","FA_ADJUSTED=GAAP","Sort=A","Dates=H","DateFormat=P","Fill=—","Direction=H","UseDPDF=Y")</f>
        <v>#NAME?</v>
      </c>
      <c r="L171" t="e">
        <f ca="1">_xll.BDH($C$153,"INCREMENTAL_OPERATING_MARGIN","FQ3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71" t="e">
        <f ca="1">_xll.BDH($C$153,"PRETAX_INC_TO_NET_SALES","FQ3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71" t="e">
        <f ca="1">_xll.BDH($C$153,"INC_BEF_XO_ITEMS_TO_NET_SALES","FQ3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71" t="e">
        <f ca="1">_xll.BDH($C$153,"PROF_MARGIN","FQ3 2017","FQ3 2017","Currency=INR","Period=FQ","BEST_FPERIOD_OVERRIDE=FQ","FILING_STATUS=OR","EQY_CONSOLIDATED=Y","FA_ADJUSTED=GAAP","Sort=A","Dates=H","DateFormat=P","Fill=—","Direction=H","UseDPDF=Y")</f>
        <v>#NAME?</v>
      </c>
      <c r="P171" t="e">
        <f ca="1">_xll.BDH($C$153,"NET_INCOME_TO_COMMON_MARGIN","FQ3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71" t="e">
        <f ca="1">_xll.BDH($C$153,"EFF_TAX_RATE","FQ3 2017","FQ3 2017","Currency=INR","Period=FQ","BEST_FPERIOD_OVERRIDE=FQ","FILING_STATUS=OR","EQY_CONSOLIDATED=Y","FA_ADJUSTED=GAAP","Sort=A","Dates=H","DateFormat=P","Fill=—","Direction=H","UseDPDF=Y")</f>
        <v>#NAME?</v>
      </c>
      <c r="R171" t="e">
        <f ca="1">_xll.BDH($C$153,"DVD_PAYOUT_RATIO","FQ3 2017","FQ3 2017","Currency=INR","Period=FQ","BEST_FPERIOD_OVERRIDE=FQ","FILING_STATUS=OR","EQY_CONSOLIDATED=Y","FA_ADJUSTED=GAAP","Sort=A","Dates=H","DateFormat=P","Fill=—","Direction=H","UseDPDF=Y")</f>
        <v>#NAME?</v>
      </c>
      <c r="S171" t="e">
        <f ca="1">_xll.BDH($C$153,"SUSTAIN_GROWTH_RT","FQ3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171" s="1" t="e">
        <f ca="1">_xll.BDH($C$153,"SALES_GROWTH","FQ3 2017","FQ3 2017","Currency=INR","Period=FQ","BEST_FPERIOD_OVERRIDE=FQ","FILING_STATUS=OR","EQY_CONSOLIDATED=Y","FA_ADJUSTED=GAAP","Sort=A","Dates=H","DateFormat=P","Fill=—","Direction=H","UseDPDF=Y")</f>
        <v>#NAME?</v>
      </c>
      <c r="U171" s="1" t="e">
        <f ca="1">_xll.BDH($C$153,"EBITDA_GROWTH","FQ3 2017","FQ3 2017","Currency=INR","Period=FQ","BEST_FPERIOD_OVERRIDE=FQ","FILING_STATUS=OR","EQY_CONSOLIDATED=Y","FA_ADJUSTED=GAAP","Sort=A","Dates=H","DateFormat=P","Fill=—","Direction=H","UseDPDF=Y")</f>
        <v>#NAME?</v>
      </c>
      <c r="V171" s="1" t="e">
        <f ca="1">_xll.BDH($C$153,"OPER_INC_GROWTH","FQ3 2017","FQ3 2017","Currency=INR","Period=FQ","BEST_FPERIOD_OVERRIDE=FQ","FILING_STATUS=OR","EQY_CONSOLIDATED=Y","FA_ADJUSTED=GAAP","Sort=A","Dates=H","DateFormat=P","Fill=—","Direction=H","UseDPDF=Y")</f>
        <v>#NAME?</v>
      </c>
      <c r="W171" s="1" t="e">
        <f ca="1">_xll.BDH($C$153,"EARN_FOR_COM_GROWTH","FQ3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71" s="1" t="e">
        <f ca="1">_xll.BDH($C$153,"DILUTED_EPS_AFT_XO_ITEMS_GROWTH","FQ3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71" s="1" t="e">
        <f ca="1">_xll.BDH($C$153,"DIVIDEND_PER_SHARE_1_YEAR_GROWTH","FQ3 2017","FQ3 2017","Currency=INR","Period=FQ","BEST_FPERIOD_OVERRIDE=FQ","FILING_STATUS=OR","EQY_CONSOLIDATED=Y","Sort=A","Dates=H","DateFormat=P","Fill=—","Direction=H","UseDPDF=Y")</f>
        <v>#NAME?</v>
      </c>
      <c r="Z171" s="1" t="e">
        <f ca="1">_xll.BDH($C$153,"ACCOUNTS_RECEIVABLE_GROWTH","FQ3 2017","FQ3 2017","Currency=INR","Period=FQ","BEST_FPERIOD_OVERRIDE=FQ","FILING_STATUS=OR","EQY_CONSOLIDATED=Y","Sort=A","Dates=H","DateFormat=P","Fill=—","Direction=H","UseDPDF=Y")</f>
        <v>#NAME?</v>
      </c>
      <c r="AA171" s="1" t="e">
        <f ca="1">_xll.BDH($C$153,"INVENTORY_GROWTH","FQ3 2017","FQ3 2017","Currency=INR","Period=FQ","BEST_FPERIOD_OVERRIDE=FQ","FILING_STATUS=OR","EQY_CONSOLIDATED=Y","Sort=A","Dates=H","DateFormat=P","Fill=—","Direction=H","UseDPDF=Y")</f>
        <v>#NAME?</v>
      </c>
      <c r="AB171" s="1" t="e">
        <f ca="1">_xll.BDH($C$153,"NET_FIXED_ASSETS_1_YEAR_GROWTH","FQ3 2017","FQ3 2017","Currency=INR","Period=FQ","BEST_FPERIOD_OVERRIDE=FQ","FILING_STATUS=OR","EQY_CONSOLIDATED=Y","Sort=A","Dates=H","DateFormat=P","Fill=—","Direction=H","UseDPDF=Y")</f>
        <v>#NAME?</v>
      </c>
      <c r="AC171" s="1" t="e">
        <f ca="1">_xll.BDH($C$153,"ASSET_GROWTH","FQ3 2017","FQ3 2017","Currency=INR","Period=FQ","BEST_FPERIOD_OVERRIDE=FQ","FILING_STATUS=OR","EQY_CONSOLIDATED=Y","Sort=A","Dates=H","DateFormat=P","Fill=—","Direction=H","UseDPDF=Y")</f>
        <v>#NAME?</v>
      </c>
      <c r="AD171" s="1" t="e">
        <f ca="1">_xll.BDH($C$153,"MODIFIED_WORK_CAP_GROWTH","FQ3 2017","FQ3 2017","Currency=INR","Period=FQ","BEST_FPERIOD_OVERRIDE=FQ","FILING_STATUS=OR","EQY_CONSOLIDATED=Y","Sort=A","Dates=H","DateFormat=P","Fill=—","Direction=H","UseDPDF=Y")</f>
        <v>#NAME?</v>
      </c>
      <c r="AE171" s="1" t="e">
        <f ca="1">_xll.BDH($C$153,"WORK_CAP_GROWTH","FQ3 2017","FQ3 2017","Currency=INR","Period=FQ","BEST_FPERIOD_OVERRIDE=FQ","FILING_STATUS=OR","EQY_CONSOLIDATED=Y","Sort=A","Dates=H","DateFormat=P","Fill=—","Direction=H","UseDPDF=Y")</f>
        <v>#NAME?</v>
      </c>
      <c r="AF171" s="1" t="e">
        <f ca="1">_xll.BDH($C$153,"ACCOUNTS_PAYABLE_GROWTH_1YR","FQ3 2017","FQ3 2017","Currency=INR","Period=FQ","BEST_FPERIOD_OVERRIDE=FQ","FILING_STATUS=OR","EQY_CONSOLIDATED=Y","Sort=A","Dates=H","DateFormat=P","Fill=—","Direction=H","UseDPDF=Y")</f>
        <v>#NAME?</v>
      </c>
      <c r="AG171" s="1" t="e">
        <f ca="1">_xll.BDH($C$153,"SHORT_TERM_DEBT_1_YEAR_GROWTH","FQ3 2017","FQ3 2017","Currency=INR","Period=FQ","BEST_FPERIOD_OVERRIDE=FQ","FILING_STATUS=OR","EQY_CONSOLIDATED=Y","Sort=A","Dates=H","DateFormat=P","Fill=—","Direction=H","UseDPDF=Y")</f>
        <v>#NAME?</v>
      </c>
      <c r="AH171" s="1" t="e">
        <f ca="1">_xll.BDH($C$153,"TOTAL_DEBT_1_YEAR_GROWTH","FQ3 2017","FQ3 2017","Currency=INR","Period=FQ","BEST_FPERIOD_OVERRIDE=FQ","FILING_STATUS=OR","EQY_CONSOLIDATED=Y","Sort=A","Dates=H","DateFormat=P","Fill=—","Direction=H","UseDPDF=Y")</f>
        <v>#NAME?</v>
      </c>
      <c r="AI171" s="1" t="e">
        <f ca="1">_xll.BDH($C$153,"TOTAL_EQUITY_1_YEAR_GROWTH","FQ3 2017","FQ3 2017","Currency=INR","Period=FQ","BEST_FPERIOD_OVERRIDE=FQ","FILING_STATUS=OR","EQY_CONSOLIDATED=Y","Sort=A","Dates=H","DateFormat=P","Fill=—","Direction=H","UseDPDF=Y")</f>
        <v>#NAME?</v>
      </c>
      <c r="AJ171" s="1" t="e">
        <f ca="1">_xll.BDH($C$153,"GROWTH_IN_CAP","FQ3 2017","FQ3 2017","Currency=INR","Period=FQ","BEST_FPERIOD_OVERRIDE=FQ","FILING_STATUS=OR","EQY_CONSOLIDATED=Y","Sort=A","Dates=H","DateFormat=P","Fill=—","Direction=H","UseDPDF=Y")</f>
        <v>#NAME?</v>
      </c>
      <c r="AK171" s="1" t="e">
        <f ca="1">_xll.BDH($C$153,"BVPS_GROWTH","FQ3 2017","FQ3 2017","Currency=INR","Period=FQ","BEST_FPERIOD_OVERRIDE=FQ","FILING_STATUS=OR","EQY_CONSOLIDATED=Y","Sort=A","Dates=H","DateFormat=P","Fill=—","Direction=H","UseDPDF=Y")</f>
        <v>#NAME?</v>
      </c>
      <c r="AL171" s="1" t="e">
        <f ca="1">_xll.BDH($C$153,"CASH_FLOW_GROWTH","FQ3 2017","FQ3 2017","Currency=INR","Period=FQ","BEST_FPERIOD_OVERRIDE=FQ","FILING_STATUS=OR","EQY_CONSOLIDATED=Y","Sort=A","Dates=H","DateFormat=P","Fill=—","Direction=H","UseDPDF=Y")</f>
        <v>#NAME?</v>
      </c>
      <c r="AM171" s="1" t="e">
        <f ca="1">_xll.BDH($C$153,"GEO_GROW_NET_SALES","FQ3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71" s="1" t="e">
        <f ca="1">_xll.BDH($C$153,"GEO_GROW_EBITDA","FQ3 2017","FQ3 2017","Currency=INR","Period=FQ","BEST_FPERIOD_OVERRIDE=FQ","FILING_STATUS=OR","EQY_CONSOLIDATED=Y","FA_ADJUSTED=GAAP","Sort=A","Dates=H","DateFormat=P","Fill=—","Direction=H","UseDPDF=Y")</f>
        <v>#NAME?</v>
      </c>
      <c r="AO171" s="1" t="e">
        <f ca="1">_xll.BDH($C$153,"GEO_GROW_OPER_INC","FQ3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71" s="1" t="e">
        <f ca="1">_xll.BDH($C$153,"NET_INCOME_TO_COMMON_5_YR_GROWTH","FQ3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71" s="1" t="e">
        <f ca="1">_xll.BDH($C$153,"5Y_GEO_GROWTH_DILUTED_EPS","FQ3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71" s="1" t="e">
        <f ca="1">_xll.BDH($C$153,"GEO_GROW_DVD_PER_SH","FQ3 2017","FQ3 2017","Currency=INR","Period=FQ","BEST_FPERIOD_OVERRIDE=FQ","FILING_STATUS=OR","EQY_CONSOLIDATED=Y","Sort=A","Dates=H","DateFormat=P","Fill=—","Direction=H","UseDPDF=Y")</f>
        <v>#NAME?</v>
      </c>
      <c r="AS171" s="1" t="e">
        <f ca="1">_xll.BDH($C$153,"ACCOUNTS_RECEIVABLE_5_YR_GROWTH","FQ3 2017","FQ3 2017","Currency=INR","Period=FQ","BEST_FPERIOD_OVERRIDE=FQ","FILING_STATUS=OR","EQY_CONSOLIDATED=Y","Sort=A","Dates=H","DateFormat=P","Fill=—","Direction=H","UseDPDF=Y")</f>
        <v>#NAME?</v>
      </c>
      <c r="AT171" s="1" t="e">
        <f ca="1">_xll.BDH($C$153,"INVENTORY_5_YEAR_GROWTH","FQ3 2017","FQ3 2017","Currency=INR","Period=FQ","BEST_FPERIOD_OVERRIDE=FQ","FILING_STATUS=OR","EQY_CONSOLIDATED=Y","Sort=A","Dates=H","DateFormat=P","Fill=—","Direction=H","UseDPDF=Y")</f>
        <v>#NAME?</v>
      </c>
      <c r="AU171" s="1" t="e">
        <f ca="1">_xll.BDH($C$153,"NET_FIXED_ASSETS_5_YEAR_GROWTH","FQ3 2017","FQ3 2017","Currency=INR","Period=FQ","BEST_FPERIOD_OVERRIDE=FQ","FILING_STATUS=OR","EQY_CONSOLIDATED=Y","Sort=A","Dates=H","DateFormat=P","Fill=—","Direction=H","UseDPDF=Y")</f>
        <v>#NAME?</v>
      </c>
      <c r="AV171" s="1" t="e">
        <f ca="1">_xll.BDH($C$153,"GEO_GROW_TOT_ASSET","FQ3 2017","FQ3 2017","Currency=INR","Period=FQ","BEST_FPERIOD_OVERRIDE=FQ","FILING_STATUS=OR","EQY_CONSOLIDATED=Y","Sort=A","Dates=H","DateFormat=P","Fill=—","Direction=H","UseDPDF=Y")</f>
        <v>#NAME?</v>
      </c>
      <c r="AW171" s="1" t="e">
        <f ca="1">_xll.BDH($C$153,"MODIFIED_WORKING_CPTL_5YR_GRWTH","FQ3 2017","FQ3 2017","Currency=INR","Period=FQ","BEST_FPERIOD_OVERRIDE=FQ","FILING_STATUS=OR","EQY_CONSOLIDATED=Y","Sort=A","Dates=H","DateFormat=P","Fill=—","Direction=H","UseDPDF=Y")</f>
        <v>#NAME?</v>
      </c>
      <c r="AX171" s="1" t="e">
        <f ca="1">_xll.BDH($C$153,"WORKING_CAPITAL_5_YEAR_GROWTH","FQ3 2017","FQ3 2017","Currency=INR","Period=FQ","BEST_FPERIOD_OVERRIDE=FQ","FILING_STATUS=OR","EQY_CONSOLIDATED=Y","Sort=A","Dates=H","DateFormat=P","Fill=—","Direction=H","UseDPDF=Y")</f>
        <v>#NAME?</v>
      </c>
      <c r="AY171" s="1" t="e">
        <f ca="1">_xll.BDH($C$153,"ACCOUNTS_PAYABLE_5_YEAR_GROWTH","FQ3 2017","FQ3 2017","Currency=INR","Period=FQ","BEST_FPERIOD_OVERRIDE=FQ","FILING_STATUS=OR","EQY_CONSOLIDATED=Y","Sort=A","Dates=H","DateFormat=P","Fill=—","Direction=H","UseDPDF=Y")</f>
        <v>#NAME?</v>
      </c>
      <c r="AZ171" s="1" t="e">
        <f ca="1">_xll.BDH($C$153,"SHORT_TERM_DEBT_5_YEAR_GROWTH","FQ3 2017","FQ3 2017","Currency=INR","Period=FQ","BEST_FPERIOD_OVERRIDE=FQ","FILING_STATUS=OR","EQY_CONSOLIDATED=Y","Sort=A","Dates=H","DateFormat=P","Fill=—","Direction=H","UseDPDF=Y")</f>
        <v>#NAME?</v>
      </c>
      <c r="BA171" s="1" t="e">
        <f ca="1">_xll.BDH($C$153,"TOTAL_DEBT_5_YEAR_GROWTH","FQ3 2017","FQ3 2017","Currency=INR","Period=FQ","BEST_FPERIOD_OVERRIDE=FQ","FILING_STATUS=OR","EQY_CONSOLIDATED=Y","Sort=A","Dates=H","DateFormat=P","Fill=—","Direction=H","UseDPDF=Y")</f>
        <v>#NAME?</v>
      </c>
      <c r="BB171" s="1" t="e">
        <f ca="1">_xll.BDH($C$153,"GEO_GROW_TOT_SHRHLDR_EQY","FQ3 2017","FQ3 2017","Currency=INR","Period=FQ","BEST_FPERIOD_OVERRIDE=FQ","FILING_STATUS=OR","EQY_CONSOLIDATED=Y","Sort=A","Dates=H","DateFormat=P","Fill=—","Direction=H","UseDPDF=Y")</f>
        <v>#NAME?</v>
      </c>
      <c r="BC171" s="1" t="e">
        <f ca="1">_xll.BDH($C$153,"TOTAL_CAPITAL_5_YEAR_GROWTH","FQ3 2017","FQ3 2017","Currency=INR","Period=FQ","BEST_FPERIOD_OVERRIDE=FQ","FILING_STATUS=OR","EQY_CONSOLIDATED=Y","Sort=A","Dates=H","DateFormat=P","Fill=—","Direction=H","UseDPDF=Y")</f>
        <v>#NAME?</v>
      </c>
      <c r="BD171" s="1" t="e">
        <f ca="1">_xll.BDH($C$153,"GEO_GROW_BOOK_VAL","FQ3 2017","FQ3 2017","Currency=INR","Period=FQ","BEST_FPERIOD_OVERRIDE=FQ","FILING_STATUS=OR","EQY_CONSOLIDATED=Y","Sort=A","Dates=H","DateFormat=P","Fill=—","Direction=H","UseDPDF=Y")</f>
        <v>#NAME?</v>
      </c>
      <c r="BE171" s="1" t="e">
        <f ca="1">_xll.BDH($C$153,"GEO_GROW_CASH_OPER_ACT","FQ3 2017","FQ3 2017","Currency=INR","Period=FQ","BEST_FPERIOD_OVERRIDE=FQ","FILING_STATUS=OR","EQY_CONSOLIDATED=Y","Sort=A","Dates=H","DateFormat=P","Fill=—","Direction=H","UseDPDF=Y")</f>
        <v>#NAME?</v>
      </c>
      <c r="BF171" s="1" t="e">
        <f ca="1">_xll.BDH($C$153,"REVENUE_SEQUENTIAL_GROWTH","FQ3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71" s="1" t="e">
        <f ca="1">_xll.BDH($C$153,"EBITDA_SEQUENTIAL_GROWTH","FQ3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71" s="1" t="e">
        <f ca="1">_xll.BDH($C$153,"OPERATING_INCOME_SEQ_GROWTH","FQ3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71" s="1" t="e">
        <f ca="1">_xll.BDH($C$153,"NET_INCOME_TO_COMMON_SEQ_GROWTH","FQ3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71" s="1" t="e">
        <f ca="1">_xll.BDH($C$153,"EPS_DILUTED_SEQUENTIAL_GROWTH","FQ3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71" s="1" t="e">
        <f ca="1">_xll.BDH($C$153,"DPS_SEQUENTIAL_GROWTH","FQ3 2017","FQ3 2017","Currency=INR","Period=FQ","BEST_FPERIOD_OVERRIDE=FQ","FILING_STATUS=OR","EQY_CONSOLIDATED=Y","Sort=A","Dates=H","DateFormat=P","Fill=—","Direction=H","UseDPDF=Y")</f>
        <v>#NAME?</v>
      </c>
      <c r="BL171" s="1" t="e">
        <f ca="1">_xll.BDH($C$153,"ACCOUNTS_RECEIVABLE_SEQ_GROWTH","FQ3 2017","FQ3 2017","Currency=INR","Period=FQ","BEST_FPERIOD_OVERRIDE=FQ","FILING_STATUS=OR","EQY_CONSOLIDATED=Y","Sort=A","Dates=H","DateFormat=P","Fill=—","Direction=H","UseDPDF=Y")</f>
        <v>#NAME?</v>
      </c>
      <c r="BM171" s="1" t="e">
        <f ca="1">_xll.BDH($C$153,"INVENTORY_SEQUENTIAL_GROWTH","FQ3 2017","FQ3 2017","Currency=INR","Period=FQ","BEST_FPERIOD_OVERRIDE=FQ","FILING_STATUS=OR","EQY_CONSOLIDATED=Y","Sort=A","Dates=H","DateFormat=P","Fill=—","Direction=H","UseDPDF=Y")</f>
        <v>#NAME?</v>
      </c>
      <c r="BN171" s="1" t="e">
        <f ca="1">_xll.BDH($C$153,"FIXED_ASSETS_SEQUENTIAL_GROWTH","FQ3 2017","FQ3 2017","Currency=INR","Period=FQ","BEST_FPERIOD_OVERRIDE=FQ","FILING_STATUS=OR","EQY_CONSOLIDATED=Y","Sort=A","Dates=H","DateFormat=P","Fill=—","Direction=H","UseDPDF=Y")</f>
        <v>#NAME?</v>
      </c>
      <c r="BO171" s="1" t="e">
        <f ca="1">_xll.BDH($C$153,"TOTAL_ASSETS_SEQUENTIAL_GROWTH","FQ3 2017","FQ3 2017","Currency=INR","Period=FQ","BEST_FPERIOD_OVERRIDE=FQ","FILING_STATUS=OR","EQY_CONSOLIDATED=Y","Sort=A","Dates=H","DateFormat=P","Fill=—","Direction=H","UseDPDF=Y")</f>
        <v>#NAME?</v>
      </c>
      <c r="BP171" s="1" t="e">
        <f ca="1">_xll.BDH($C$153,"MODIFIED_WORKING_CPTL_SEQ_GRWTH","FQ3 2017","FQ3 2017","Currency=INR","Period=FQ","BEST_FPERIOD_OVERRIDE=FQ","FILING_STATUS=OR","EQY_CONSOLIDATED=Y","Sort=A","Dates=H","DateFormat=P","Fill=—","Direction=H","UseDPDF=Y")</f>
        <v>#NAME?</v>
      </c>
      <c r="BQ171" s="1" t="e">
        <f ca="1">_xll.BDH($C$153,"WORKING_CAPITAL_SEQ_GROWTH","FQ3 2017","FQ3 2017","Currency=INR","Period=FQ","BEST_FPERIOD_OVERRIDE=FQ","FILING_STATUS=OR","EQY_CONSOLIDATED=Y","Sort=A","Dates=H","DateFormat=P","Fill=—","Direction=H","UseDPDF=Y")</f>
        <v>#NAME?</v>
      </c>
      <c r="BR171" s="1" t="e">
        <f ca="1">_xll.BDH($C$153,"ACCOUNTS_PAYABLE_SEQ_GROWTH","FQ3 2017","FQ3 2017","Currency=INR","Period=FQ","BEST_FPERIOD_OVERRIDE=FQ","FILING_STATUS=OR","EQY_CONSOLIDATED=Y","Sort=A","Dates=H","DateFormat=P","Fill=—","Direction=H","UseDPDF=Y")</f>
        <v>#NAME?</v>
      </c>
      <c r="BS171" s="1" t="e">
        <f ca="1">_xll.BDH($C$153,"ST_DEBT_SEQUENTIAL_GROWTH","FQ3 2017","FQ3 2017","Currency=INR","Period=FQ","BEST_FPERIOD_OVERRIDE=FQ","FILING_STATUS=OR","EQY_CONSOLIDATED=Y","Sort=A","Dates=H","DateFormat=P","Fill=—","Direction=H","UseDPDF=Y")</f>
        <v>#NAME?</v>
      </c>
      <c r="BT171" s="1" t="e">
        <f ca="1">_xll.BDH($C$153,"TOTAL_DEBT_SEQUENTIAL_GROWTH","FQ3 2017","FQ3 2017","Currency=INR","Period=FQ","BEST_FPERIOD_OVERRIDE=FQ","FILING_STATUS=OR","EQY_CONSOLIDATED=Y","Sort=A","Dates=H","DateFormat=P","Fill=—","Direction=H","UseDPDF=Y")</f>
        <v>#NAME?</v>
      </c>
      <c r="BU171" s="1" t="e">
        <f ca="1">_xll.BDH($C$153,"TOTAL_EQUITY_SEQUENTIAL_GROWTH","FQ3 2017","FQ3 2017","Currency=INR","Period=FQ","BEST_FPERIOD_OVERRIDE=FQ","FILING_STATUS=OR","EQY_CONSOLIDATED=Y","Sort=A","Dates=H","DateFormat=P","Fill=—","Direction=H","UseDPDF=Y")</f>
        <v>#NAME?</v>
      </c>
      <c r="BV171" s="1" t="e">
        <f ca="1">_xll.BDH($C$153,"TOTAL_CAPITAL_SEQUENTIAL_GROWTH","FQ3 2017","FQ3 2017","Currency=INR","Period=FQ","BEST_FPERIOD_OVERRIDE=FQ","FILING_STATUS=OR","EQY_CONSOLIDATED=Y","Sort=A","Dates=H","DateFormat=P","Fill=—","Direction=H","UseDPDF=Y")</f>
        <v>#NAME?</v>
      </c>
      <c r="BW171" s="1" t="e">
        <f ca="1">_xll.BDH($C$153,"BPS_SEQUENTIAL_GROWTH","FQ3 2017","FQ3 2017","Currency=INR","Period=FQ","BEST_FPERIOD_OVERRIDE=FQ","FILING_STATUS=OR","EQY_CONSOLIDATED=Y","Sort=A","Dates=H","DateFormat=P","Fill=—","Direction=H","UseDPDF=Y")</f>
        <v>#NAME?</v>
      </c>
      <c r="BX171" s="1" t="e">
        <f ca="1">_xll.BDH($C$153,"CFO_SEQUENTIAL_GROWTH","FQ3 2017","FQ3 2017","Currency=INR","Period=FQ","BEST_FPERIOD_OVERRIDE=FQ","FILING_STATUS=OR","EQY_CONSOLIDATED=Y","Sort=A","Dates=H","DateFormat=P","Fill=—","Direction=H","UseDPDF=Y")</f>
        <v>#NAME?</v>
      </c>
      <c r="BY171" s="2" t="e">
        <f ca="1">_xll.BDH($C$153,"SHORT_AND_LONG_TERM_DEBT","FQ3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71" s="2" t="e">
        <f ca="1">_xll.BDH($C$153,"BS_ST_BORROW","FQ3 2017","FQ3 2017","Currency=INR","Period=FQ","BEST_FPERIOD_OVERRIDE=FQ","FILING_STATUS=OR","EQY_CONSOLIDATED=Y","SCALING_FORMAT=MLN","Sort=A","Dates=H","DateFormat=P","Fill=—","Direction=H","UseDPDF=Y")</f>
        <v>#NAME?</v>
      </c>
      <c r="CA171" s="2" t="e">
        <f ca="1">_xll.BDH($C$153,"BS_LT_BORROW","FQ3 2017","FQ3 2017","Currency=INR","Period=FQ","BEST_FPERIOD_OVERRIDE=FQ","FILING_STATUS=OR","EQY_CONSOLIDATED=Y","SCALING_FORMAT=MLN","Sort=A","Dates=H","DateFormat=P","Fill=—","Direction=H","UseDPDF=Y")</f>
        <v>#NAME?</v>
      </c>
      <c r="CB171" s="1" t="e">
        <f ca="1">_xll.BDH($C$153,"TOT_DEBT_TO_EBITDA","FQ3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71" s="1" t="e">
        <f ca="1">_xll.BDH($C$153,"NET_DEBT_TO_EBITDA","FQ3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71" s="1" t="e">
        <f ca="1">_xll.BDH($C$153,"TOTAL_DEBT_TO_EBIT","FQ3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71" s="1" t="e">
        <f ca="1">_xll.BDH($C$153,"NET_DEBT_TO_EBIT","FQ3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171" s="1" t="e">
        <f ca="1">_xll.BDH($C$153,"EBITDA_TO_INTEREST_EXPN","FQ3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71" s="1" t="e">
        <f ca="1">_xll.BDH($C$153,"COM_EQY_TO_TOT_ASSET","FQ3 2017","FQ3 2017","Currency=INR","Period=FQ","BEST_FPERIOD_OVERRIDE=FQ","FILING_STATUS=OR","EQY_CONSOLIDATED=Y","Sort=A","Dates=H","DateFormat=P","Fill=—","Direction=H","UseDPDF=Y")</f>
        <v>#NAME?</v>
      </c>
      <c r="CH171" s="1" t="e">
        <f ca="1">_xll.BDH($C$153,"LT_DEBT_TO_TOT_EQY","FQ3 2017","FQ3 2017","Currency=INR","Period=FQ","BEST_FPERIOD_OVERRIDE=FQ","FILING_STATUS=OR","EQY_CONSOLIDATED=Y","Sort=A","Dates=H","DateFormat=P","Fill=—","Direction=H","UseDPDF=Y")</f>
        <v>#NAME?</v>
      </c>
      <c r="CI171" s="1" t="e">
        <f ca="1">_xll.BDH($C$153,"LT_DEBT_TO_TOT_CAP","FQ3 2017","FQ3 2017","Currency=INR","Period=FQ","BEST_FPERIOD_OVERRIDE=FQ","FILING_STATUS=OR","EQY_CONSOLIDATED=Y","Sort=A","Dates=H","DateFormat=P","Fill=—","Direction=H","UseDPDF=Y")</f>
        <v>#NAME?</v>
      </c>
      <c r="CJ171" s="1" t="e">
        <f ca="1">_xll.BDH($C$153,"LT_DEBT_TO_TOT_ASSET","FQ3 2017","FQ3 2017","Currency=INR","Period=FQ","BEST_FPERIOD_OVERRIDE=FQ","FILING_STATUS=OR","EQY_CONSOLIDATED=Y","Sort=A","Dates=H","DateFormat=P","Fill=—","Direction=H","UseDPDF=Y")</f>
        <v>#NAME?</v>
      </c>
      <c r="CK171" s="1" t="e">
        <f ca="1">_xll.BDH($C$153,"TOT_DEBT_TO_TOT_EQY","FQ3 2017","FQ3 2017","Currency=INR","Period=FQ","BEST_FPERIOD_OVERRIDE=FQ","FILING_STATUS=OR","EQY_CONSOLIDATED=Y","Sort=A","Dates=H","DateFormat=P","Fill=—","Direction=H","UseDPDF=Y")</f>
        <v>#NAME?</v>
      </c>
      <c r="CL171" s="1" t="e">
        <f ca="1">_xll.BDH($C$153,"TOT_DEBT_TO_TOT_CAP","FQ3 2017","FQ3 2017","Currency=INR","Period=FQ","BEST_FPERIOD_OVERRIDE=FQ","FILING_STATUS=OR","EQY_CONSOLIDATED=Y","Sort=A","Dates=H","DateFormat=P","Fill=—","Direction=H","UseDPDF=Y")</f>
        <v>#NAME?</v>
      </c>
      <c r="CM171" s="1" t="e">
        <f ca="1">_xll.BDH($C$153,"TOT_DEBT_TO_TOT_ASSET","FQ3 2017","FQ3 2017","Currency=INR","Period=FQ","BEST_FPERIOD_OVERRIDE=FQ","FILING_STATUS=OR","EQY_CONSOLIDATED=Y","Sort=A","Dates=H","DateFormat=P","Fill=—","Direction=H","UseDPDF=Y")</f>
        <v>#NAME?</v>
      </c>
      <c r="CN171" s="1" t="e">
        <f ca="1">_xll.BDH($C$153,"NET_DEBT_TO_SHRHLDR_EQTY","FQ3 2017","FQ3 2017","Currency=INR","Period=FQ","BEST_FPERIOD_OVERRIDE=FQ","FILING_STATUS=OR","EQY_CONSOLIDATED=Y","Sort=A","Dates=H","DateFormat=P","Fill=—","Direction=H","UseDPDF=Y")</f>
        <v>#NAME?</v>
      </c>
      <c r="CO171" s="1" t="e">
        <f ca="1">_xll.BDH($C$153,"NET_DEBT_%_CAPITAL","FQ3 2017","FQ3 2017","Currency=INR","Period=FQ","BEST_FPERIOD_OVERRIDE=FQ","FILING_STATUS=OR","EQY_CONSOLIDATED=Y","Sort=A","Dates=H","DateFormat=P","Fill=—","Direction=H","UseDPDF=Y")</f>
        <v>#NAME?</v>
      </c>
      <c r="CP171" s="2" t="e">
        <f ca="1">_xll.BDH($C$153,"EBITDA","FQ3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71" s="2" t="e">
        <f ca="1">_xll.BDH($C$153,"EBITDA_AFTER_CAPEX","FQ3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71" s="2" t="e">
        <f ca="1">_xll.BDH($C$153,"IS_OPER_INC","FQ3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71" s="1" t="e">
        <f ca="1">_xll.BDH($C$153,"CASH_RATIO","FQ3 2017","FQ3 2017","Currency=INR","Period=FQ","BEST_FPERIOD_OVERRIDE=FQ","FILING_STATUS=OR","EQY_CONSOLIDATED=Y","Sort=A","Dates=H","DateFormat=P","Fill=—","Direction=H","UseDPDF=Y")</f>
        <v>#NAME?</v>
      </c>
      <c r="CT171" s="1" t="e">
        <f ca="1">_xll.BDH($C$153,"CUR_RATIO","FQ3 2017","FQ3 2017","Currency=INR","Period=FQ","BEST_FPERIOD_OVERRIDE=FQ","FILING_STATUS=OR","EQY_CONSOLIDATED=Y","Sort=A","Dates=H","DateFormat=P","Fill=—","Direction=H","UseDPDF=Y")</f>
        <v>#NAME?</v>
      </c>
      <c r="CU171" s="1" t="e">
        <f ca="1">_xll.BDH($C$153,"QUICK_RATIO","FQ3 2017","FQ3 2017","Currency=INR","Period=FQ","BEST_FPERIOD_OVERRIDE=FQ","FILING_STATUS=OR","EQY_CONSOLIDATED=Y","Sort=A","Dates=H","DateFormat=P","Fill=—","Direction=H","UseDPDF=Y")</f>
        <v>#NAME?</v>
      </c>
      <c r="CV171" s="1" t="e">
        <f ca="1">_xll.BDH($C$153,"ALTMAN_Z_SCORE","FQ3 2017","FQ3 2017","Currency=INR","Period=FQ","BEST_FPERIOD_OVERRIDE=FQ","FILING_STATUS=OR","EQY_CONSOLIDATED=Y","Sort=A","Dates=H","DateFormat=P","Fill=—","Direction=H","UseDPDF=Y")</f>
        <v>#NAME?</v>
      </c>
      <c r="CW171" s="3" t="e">
        <f ca="1">_xll.BDH($C$153,"ACCT_RCV_TURN","FQ3 2017","FQ3 2017","Currency=INR","Period=FQ","BEST_FPERIOD_OVERRIDE=FQ","FILING_STATUS=OR","EQY_CONSOLIDATED=Y","FA_ADJUSTED=GAAP","Sort=A","Dates=H","DateFormat=P","Fill=—","Direction=H","UseDPDF=Y")</f>
        <v>#NAME?</v>
      </c>
      <c r="CX171" s="1" t="e">
        <f ca="1">_xll.BDH($C$153,"ACCT_RCV_DAYS","FQ3 2017","FQ3 2017","Currency=INR","Period=FQ","BEST_FPERIOD_OVERRIDE=FQ","FILING_STATUS=OR","EQY_CONSOLIDATED=Y","FA_ADJUSTED=GAAP","Sort=A","Dates=H","DateFormat=P","Fill=—","Direction=H","UseDPDF=Y")</f>
        <v>#NAME?</v>
      </c>
      <c r="CY171" s="3" t="e">
        <f ca="1">_xll.BDH($C$153,"INVENT_TURN","FQ3 2017","FQ3 2017","Currency=INR","Period=FQ","BEST_FPERIOD_OVERRIDE=FQ","FILING_STATUS=OR","EQY_CONSOLIDATED=Y","FA_ADJUSTED=GAAP","Sort=A","Dates=H","DateFormat=P","Fill=—","Direction=H","UseDPDF=Y")</f>
        <v>#NAME?</v>
      </c>
      <c r="CZ171" s="1" t="e">
        <f ca="1">_xll.BDH($C$153,"INVENT_DAYS","FQ3 2017","FQ3 2017","Currency=INR","Period=FQ","BEST_FPERIOD_OVERRIDE=FQ","FILING_STATUS=OR","EQY_CONSOLIDATED=Y","FA_ADJUSTED=GAAP","Sort=A","Dates=H","DateFormat=P","Fill=—","Direction=H","UseDPDF=Y")</f>
        <v>#NAME?</v>
      </c>
      <c r="DA171" s="3" t="e">
        <f ca="1">_xll.BDH($C$153,"ACCOUNTS_PAYABLE_TURNOVER","FQ3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71" s="1" t="e">
        <f ca="1">_xll.BDH($C$153,"ACCOUNTS_PAYABLE_TURNOVER_DAYS","FQ3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71" s="3" t="e">
        <f ca="1">_xll.BDH($C$153,"CASH_CONVERSION_CYCLE","FQ3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71" s="3" t="e">
        <f ca="1">_xll.BDH($C$153,"INV_TO_CASH_DAYS","FQ3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171" s="4" t="e">
        <f ca="1">_xll.BDH($C$153,"BS_INVENTORIES","FQ3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171" s="2" t="e">
        <f ca="1">_xll.BDH($C$153,"INVTRY_RAW_MATERIALS","FQ3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71" s="2" t="e">
        <f ca="1">_xll.BDH($C$153,"INVTRY_IN_PROGRESS","FQ3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71" s="2" t="e">
        <f ca="1">_xll.BDH($C$153,"INVTRY_FINISHED_GOODS","FQ3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71" s="2" t="e">
        <f ca="1">_xll.BDH($C$153,"BS_OTHER_INV","FQ3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72" spans="1:113" x14ac:dyDescent="0.3">
      <c r="A172" s="6"/>
      <c r="B172" s="6"/>
      <c r="C172" s="6"/>
      <c r="D172" s="6"/>
      <c r="E172" t="s">
        <v>7</v>
      </c>
      <c r="F172" t="e">
        <f ca="1">_xll.BDH($C$153,"RETURN_COM_EQY","FQ4 2017","FQ4 2017","Currency=INR","Period=FQ","BEST_FPERIOD_OVERRIDE=FQ","FILING_STATUS=OR","EQY_CONSOLIDATED=Y","FA_ADJUSTED=GAAP","Sort=A","Dates=H","DateFormat=P","Fill=—","Direction=H","UseDPDF=Y")</f>
        <v>#NAME?</v>
      </c>
      <c r="G172" t="e">
        <f ca="1">_xll.BDH($C$153,"RETURN_ON_ASSET","FQ4 2017","FQ4 2017","Currency=INR","Period=FQ","BEST_FPERIOD_OVERRIDE=FQ","FILING_STATUS=OR","EQY_CONSOLIDATED=Y","FA_ADJUSTED=GAAP","Sort=A","Dates=H","DateFormat=P","Fill=—","Direction=H","UseDPDF=Y")</f>
        <v>#NAME?</v>
      </c>
      <c r="H172" t="e">
        <f ca="1">_xll.BDH($C$153,"RETURN_ON_CAP","FQ4 2017","FQ4 2017","Currency=INR","Period=FQ","BEST_FPERIOD_OVERRIDE=FQ","FILING_STATUS=OR","EQY_CONSOLIDATED=Y","FA_ADJUSTED=GAAP","Sort=A","Dates=H","DateFormat=P","Fill=—","Direction=H","UseDPDF=Y")</f>
        <v>#NAME?</v>
      </c>
      <c r="I172" t="e">
        <f ca="1">_xll.BDH($C$153,"RETURN_ON_INV_CAPITAL","FQ4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72" t="e">
        <f ca="1">_xll.BDH($C$153,"EBITDA_TO_REVENUE","FQ4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172" t="e">
        <f ca="1">_xll.BDH($C$153,"OPER_MARGIN","FQ4 2017","FQ4 2017","Currency=INR","Period=FQ","BEST_FPERIOD_OVERRIDE=FQ","FILING_STATUS=OR","EQY_CONSOLIDATED=Y","FA_ADJUSTED=GAAP","Sort=A","Dates=H","DateFormat=P","Fill=—","Direction=H","UseDPDF=Y")</f>
        <v>#NAME?</v>
      </c>
      <c r="L172" t="e">
        <f ca="1">_xll.BDH($C$153,"INCREMENTAL_OPERATING_MARGIN","FQ4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72" t="e">
        <f ca="1">_xll.BDH($C$153,"PRETAX_INC_TO_NET_SALES","FQ4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72" t="e">
        <f ca="1">_xll.BDH($C$153,"INC_BEF_XO_ITEMS_TO_NET_SALES","FQ4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72" t="e">
        <f ca="1">_xll.BDH($C$153,"PROF_MARGIN","FQ4 2017","FQ4 2017","Currency=INR","Period=FQ","BEST_FPERIOD_OVERRIDE=FQ","FILING_STATUS=OR","EQY_CONSOLIDATED=Y","FA_ADJUSTED=GAAP","Sort=A","Dates=H","DateFormat=P","Fill=—","Direction=H","UseDPDF=Y")</f>
        <v>#NAME?</v>
      </c>
      <c r="P172" t="e">
        <f ca="1">_xll.BDH($C$153,"NET_INCOME_TO_COMMON_MARGIN","FQ4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72" t="e">
        <f ca="1">_xll.BDH($C$153,"EFF_TAX_RATE","FQ4 2017","FQ4 2017","Currency=INR","Period=FQ","BEST_FPERIOD_OVERRIDE=FQ","FILING_STATUS=OR","EQY_CONSOLIDATED=Y","FA_ADJUSTED=GAAP","Sort=A","Dates=H","DateFormat=P","Fill=—","Direction=H","UseDPDF=Y")</f>
        <v>#NAME?</v>
      </c>
      <c r="R172" t="e">
        <f ca="1">_xll.BDH($C$153,"DVD_PAYOUT_RATIO","FQ4 2017","FQ4 2017","Currency=INR","Period=FQ","BEST_FPERIOD_OVERRIDE=FQ","FILING_STATUS=OR","EQY_CONSOLIDATED=Y","FA_ADJUSTED=GAAP","Sort=A","Dates=H","DateFormat=P","Fill=—","Direction=H","UseDPDF=Y")</f>
        <v>#NAME?</v>
      </c>
      <c r="S172" t="e">
        <f ca="1">_xll.BDH($C$153,"SUSTAIN_GROWTH_RT","FQ4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172" s="1" t="e">
        <f ca="1">_xll.BDH($C$153,"SALES_GROWTH","FQ4 2017","FQ4 2017","Currency=INR","Period=FQ","BEST_FPERIOD_OVERRIDE=FQ","FILING_STATUS=OR","EQY_CONSOLIDATED=Y","FA_ADJUSTED=GAAP","Sort=A","Dates=H","DateFormat=P","Fill=—","Direction=H","UseDPDF=Y")</f>
        <v>#NAME?</v>
      </c>
      <c r="U172" s="1" t="e">
        <f ca="1">_xll.BDH($C$153,"EBITDA_GROWTH","FQ4 2017","FQ4 2017","Currency=INR","Period=FQ","BEST_FPERIOD_OVERRIDE=FQ","FILING_STATUS=OR","EQY_CONSOLIDATED=Y","FA_ADJUSTED=GAAP","Sort=A","Dates=H","DateFormat=P","Fill=—","Direction=H","UseDPDF=Y")</f>
        <v>#NAME?</v>
      </c>
      <c r="V172" s="1" t="e">
        <f ca="1">_xll.BDH($C$153,"OPER_INC_GROWTH","FQ4 2017","FQ4 2017","Currency=INR","Period=FQ","BEST_FPERIOD_OVERRIDE=FQ","FILING_STATUS=OR","EQY_CONSOLIDATED=Y","FA_ADJUSTED=GAAP","Sort=A","Dates=H","DateFormat=P","Fill=—","Direction=H","UseDPDF=Y")</f>
        <v>#NAME?</v>
      </c>
      <c r="W172" s="1" t="e">
        <f ca="1">_xll.BDH($C$153,"EARN_FOR_COM_GROWTH","FQ4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72" s="1" t="e">
        <f ca="1">_xll.BDH($C$153,"DILUTED_EPS_AFT_XO_ITEMS_GROWTH","FQ4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72" s="1" t="e">
        <f ca="1">_xll.BDH($C$153,"DIVIDEND_PER_SHARE_1_YEAR_GROWTH","FQ4 2017","FQ4 2017","Currency=INR","Period=FQ","BEST_FPERIOD_OVERRIDE=FQ","FILING_STATUS=OR","EQY_CONSOLIDATED=Y","Sort=A","Dates=H","DateFormat=P","Fill=—","Direction=H","UseDPDF=Y")</f>
        <v>#NAME?</v>
      </c>
      <c r="Z172" s="1" t="e">
        <f ca="1">_xll.BDH($C$153,"ACCOUNTS_RECEIVABLE_GROWTH","FQ4 2017","FQ4 2017","Currency=INR","Period=FQ","BEST_FPERIOD_OVERRIDE=FQ","FILING_STATUS=OR","EQY_CONSOLIDATED=Y","Sort=A","Dates=H","DateFormat=P","Fill=—","Direction=H","UseDPDF=Y")</f>
        <v>#NAME?</v>
      </c>
      <c r="AA172" s="1" t="e">
        <f ca="1">_xll.BDH($C$153,"INVENTORY_GROWTH","FQ4 2017","FQ4 2017","Currency=INR","Period=FQ","BEST_FPERIOD_OVERRIDE=FQ","FILING_STATUS=OR","EQY_CONSOLIDATED=Y","Sort=A","Dates=H","DateFormat=P","Fill=—","Direction=H","UseDPDF=Y")</f>
        <v>#NAME?</v>
      </c>
      <c r="AB172" s="1" t="e">
        <f ca="1">_xll.BDH($C$153,"NET_FIXED_ASSETS_1_YEAR_GROWTH","FQ4 2017","FQ4 2017","Currency=INR","Period=FQ","BEST_FPERIOD_OVERRIDE=FQ","FILING_STATUS=OR","EQY_CONSOLIDATED=Y","Sort=A","Dates=H","DateFormat=P","Fill=—","Direction=H","UseDPDF=Y")</f>
        <v>#NAME?</v>
      </c>
      <c r="AC172" s="1" t="e">
        <f ca="1">_xll.BDH($C$153,"ASSET_GROWTH","FQ4 2017","FQ4 2017","Currency=INR","Period=FQ","BEST_FPERIOD_OVERRIDE=FQ","FILING_STATUS=OR","EQY_CONSOLIDATED=Y","Sort=A","Dates=H","DateFormat=P","Fill=—","Direction=H","UseDPDF=Y")</f>
        <v>#NAME?</v>
      </c>
      <c r="AD172" s="1" t="e">
        <f ca="1">_xll.BDH($C$153,"MODIFIED_WORK_CAP_GROWTH","FQ4 2017","FQ4 2017","Currency=INR","Period=FQ","BEST_FPERIOD_OVERRIDE=FQ","FILING_STATUS=OR","EQY_CONSOLIDATED=Y","Sort=A","Dates=H","DateFormat=P","Fill=—","Direction=H","UseDPDF=Y")</f>
        <v>#NAME?</v>
      </c>
      <c r="AE172" s="1" t="e">
        <f ca="1">_xll.BDH($C$153,"WORK_CAP_GROWTH","FQ4 2017","FQ4 2017","Currency=INR","Period=FQ","BEST_FPERIOD_OVERRIDE=FQ","FILING_STATUS=OR","EQY_CONSOLIDATED=Y","Sort=A","Dates=H","DateFormat=P","Fill=—","Direction=H","UseDPDF=Y")</f>
        <v>#NAME?</v>
      </c>
      <c r="AF172" s="1" t="e">
        <f ca="1">_xll.BDH($C$153,"ACCOUNTS_PAYABLE_GROWTH_1YR","FQ4 2017","FQ4 2017","Currency=INR","Period=FQ","BEST_FPERIOD_OVERRIDE=FQ","FILING_STATUS=OR","EQY_CONSOLIDATED=Y","Sort=A","Dates=H","DateFormat=P","Fill=—","Direction=H","UseDPDF=Y")</f>
        <v>#NAME?</v>
      </c>
      <c r="AG172" s="1" t="e">
        <f ca="1">_xll.BDH($C$153,"SHORT_TERM_DEBT_1_YEAR_GROWTH","FQ4 2017","FQ4 2017","Currency=INR","Period=FQ","BEST_FPERIOD_OVERRIDE=FQ","FILING_STATUS=OR","EQY_CONSOLIDATED=Y","Sort=A","Dates=H","DateFormat=P","Fill=—","Direction=H","UseDPDF=Y")</f>
        <v>#NAME?</v>
      </c>
      <c r="AH172" s="1" t="e">
        <f ca="1">_xll.BDH($C$153,"TOTAL_DEBT_1_YEAR_GROWTH","FQ4 2017","FQ4 2017","Currency=INR","Period=FQ","BEST_FPERIOD_OVERRIDE=FQ","FILING_STATUS=OR","EQY_CONSOLIDATED=Y","Sort=A","Dates=H","DateFormat=P","Fill=—","Direction=H","UseDPDF=Y")</f>
        <v>#NAME?</v>
      </c>
      <c r="AI172" s="1" t="e">
        <f ca="1">_xll.BDH($C$153,"TOTAL_EQUITY_1_YEAR_GROWTH","FQ4 2017","FQ4 2017","Currency=INR","Period=FQ","BEST_FPERIOD_OVERRIDE=FQ","FILING_STATUS=OR","EQY_CONSOLIDATED=Y","Sort=A","Dates=H","DateFormat=P","Fill=—","Direction=H","UseDPDF=Y")</f>
        <v>#NAME?</v>
      </c>
      <c r="AJ172" s="1" t="e">
        <f ca="1">_xll.BDH($C$153,"GROWTH_IN_CAP","FQ4 2017","FQ4 2017","Currency=INR","Period=FQ","BEST_FPERIOD_OVERRIDE=FQ","FILING_STATUS=OR","EQY_CONSOLIDATED=Y","Sort=A","Dates=H","DateFormat=P","Fill=—","Direction=H","UseDPDF=Y")</f>
        <v>#NAME?</v>
      </c>
      <c r="AK172" s="1" t="e">
        <f ca="1">_xll.BDH($C$153,"BVPS_GROWTH","FQ4 2017","FQ4 2017","Currency=INR","Period=FQ","BEST_FPERIOD_OVERRIDE=FQ","FILING_STATUS=OR","EQY_CONSOLIDATED=Y","Sort=A","Dates=H","DateFormat=P","Fill=—","Direction=H","UseDPDF=Y")</f>
        <v>#NAME?</v>
      </c>
      <c r="AL172" s="1" t="e">
        <f ca="1">_xll.BDH($C$153,"CASH_FLOW_GROWTH","FQ4 2017","FQ4 2017","Currency=INR","Period=FQ","BEST_FPERIOD_OVERRIDE=FQ","FILING_STATUS=OR","EQY_CONSOLIDATED=Y","Sort=A","Dates=H","DateFormat=P","Fill=—","Direction=H","UseDPDF=Y")</f>
        <v>#NAME?</v>
      </c>
      <c r="AM172" s="1" t="e">
        <f ca="1">_xll.BDH($C$153,"GEO_GROW_NET_SALES","FQ4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72" s="1" t="e">
        <f ca="1">_xll.BDH($C$153,"GEO_GROW_EBITDA","FQ4 2017","FQ4 2017","Currency=INR","Period=FQ","BEST_FPERIOD_OVERRIDE=FQ","FILING_STATUS=OR","EQY_CONSOLIDATED=Y","FA_ADJUSTED=GAAP","Sort=A","Dates=H","DateFormat=P","Fill=—","Direction=H","UseDPDF=Y")</f>
        <v>#NAME?</v>
      </c>
      <c r="AO172" s="1" t="e">
        <f ca="1">_xll.BDH($C$153,"GEO_GROW_OPER_INC","FQ4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72" s="1" t="e">
        <f ca="1">_xll.BDH($C$153,"NET_INCOME_TO_COMMON_5_YR_GROWTH","FQ4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72" s="1" t="e">
        <f ca="1">_xll.BDH($C$153,"5Y_GEO_GROWTH_DILUTED_EPS","FQ4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72" s="1" t="e">
        <f ca="1">_xll.BDH($C$153,"GEO_GROW_DVD_PER_SH","FQ4 2017","FQ4 2017","Currency=INR","Period=FQ","BEST_FPERIOD_OVERRIDE=FQ","FILING_STATUS=OR","EQY_CONSOLIDATED=Y","Sort=A","Dates=H","DateFormat=P","Fill=—","Direction=H","UseDPDF=Y")</f>
        <v>#NAME?</v>
      </c>
      <c r="AS172" s="1" t="e">
        <f ca="1">_xll.BDH($C$153,"ACCOUNTS_RECEIVABLE_5_YR_GROWTH","FQ4 2017","FQ4 2017","Currency=INR","Period=FQ","BEST_FPERIOD_OVERRIDE=FQ","FILING_STATUS=OR","EQY_CONSOLIDATED=Y","Sort=A","Dates=H","DateFormat=P","Fill=—","Direction=H","UseDPDF=Y")</f>
        <v>#NAME?</v>
      </c>
      <c r="AT172" s="1" t="e">
        <f ca="1">_xll.BDH($C$153,"INVENTORY_5_YEAR_GROWTH","FQ4 2017","FQ4 2017","Currency=INR","Period=FQ","BEST_FPERIOD_OVERRIDE=FQ","FILING_STATUS=OR","EQY_CONSOLIDATED=Y","Sort=A","Dates=H","DateFormat=P","Fill=—","Direction=H","UseDPDF=Y")</f>
        <v>#NAME?</v>
      </c>
      <c r="AU172" s="1" t="e">
        <f ca="1">_xll.BDH($C$153,"NET_FIXED_ASSETS_5_YEAR_GROWTH","FQ4 2017","FQ4 2017","Currency=INR","Period=FQ","BEST_FPERIOD_OVERRIDE=FQ","FILING_STATUS=OR","EQY_CONSOLIDATED=Y","Sort=A","Dates=H","DateFormat=P","Fill=—","Direction=H","UseDPDF=Y")</f>
        <v>#NAME?</v>
      </c>
      <c r="AV172" s="1" t="e">
        <f ca="1">_xll.BDH($C$153,"GEO_GROW_TOT_ASSET","FQ4 2017","FQ4 2017","Currency=INR","Period=FQ","BEST_FPERIOD_OVERRIDE=FQ","FILING_STATUS=OR","EQY_CONSOLIDATED=Y","Sort=A","Dates=H","DateFormat=P","Fill=—","Direction=H","UseDPDF=Y")</f>
        <v>#NAME?</v>
      </c>
      <c r="AW172" s="1" t="e">
        <f ca="1">_xll.BDH($C$153,"MODIFIED_WORKING_CPTL_5YR_GRWTH","FQ4 2017","FQ4 2017","Currency=INR","Period=FQ","BEST_FPERIOD_OVERRIDE=FQ","FILING_STATUS=OR","EQY_CONSOLIDATED=Y","Sort=A","Dates=H","DateFormat=P","Fill=—","Direction=H","UseDPDF=Y")</f>
        <v>#NAME?</v>
      </c>
      <c r="AX172" s="1" t="e">
        <f ca="1">_xll.BDH($C$153,"WORKING_CAPITAL_5_YEAR_GROWTH","FQ4 2017","FQ4 2017","Currency=INR","Period=FQ","BEST_FPERIOD_OVERRIDE=FQ","FILING_STATUS=OR","EQY_CONSOLIDATED=Y","Sort=A","Dates=H","DateFormat=P","Fill=—","Direction=H","UseDPDF=Y")</f>
        <v>#NAME?</v>
      </c>
      <c r="AY172" s="1" t="e">
        <f ca="1">_xll.BDH($C$153,"ACCOUNTS_PAYABLE_5_YEAR_GROWTH","FQ4 2017","FQ4 2017","Currency=INR","Period=FQ","BEST_FPERIOD_OVERRIDE=FQ","FILING_STATUS=OR","EQY_CONSOLIDATED=Y","Sort=A","Dates=H","DateFormat=P","Fill=—","Direction=H","UseDPDF=Y")</f>
        <v>#NAME?</v>
      </c>
      <c r="AZ172" s="1" t="e">
        <f ca="1">_xll.BDH($C$153,"SHORT_TERM_DEBT_5_YEAR_GROWTH","FQ4 2017","FQ4 2017","Currency=INR","Period=FQ","BEST_FPERIOD_OVERRIDE=FQ","FILING_STATUS=OR","EQY_CONSOLIDATED=Y","Sort=A","Dates=H","DateFormat=P","Fill=—","Direction=H","UseDPDF=Y")</f>
        <v>#NAME?</v>
      </c>
      <c r="BA172" s="1" t="e">
        <f ca="1">_xll.BDH($C$153,"TOTAL_DEBT_5_YEAR_GROWTH","FQ4 2017","FQ4 2017","Currency=INR","Period=FQ","BEST_FPERIOD_OVERRIDE=FQ","FILING_STATUS=OR","EQY_CONSOLIDATED=Y","Sort=A","Dates=H","DateFormat=P","Fill=—","Direction=H","UseDPDF=Y")</f>
        <v>#NAME?</v>
      </c>
      <c r="BB172" s="1" t="e">
        <f ca="1">_xll.BDH($C$153,"GEO_GROW_TOT_SHRHLDR_EQY","FQ4 2017","FQ4 2017","Currency=INR","Period=FQ","BEST_FPERIOD_OVERRIDE=FQ","FILING_STATUS=OR","EQY_CONSOLIDATED=Y","Sort=A","Dates=H","DateFormat=P","Fill=—","Direction=H","UseDPDF=Y")</f>
        <v>#NAME?</v>
      </c>
      <c r="BC172" s="1" t="e">
        <f ca="1">_xll.BDH($C$153,"TOTAL_CAPITAL_5_YEAR_GROWTH","FQ4 2017","FQ4 2017","Currency=INR","Period=FQ","BEST_FPERIOD_OVERRIDE=FQ","FILING_STATUS=OR","EQY_CONSOLIDATED=Y","Sort=A","Dates=H","DateFormat=P","Fill=—","Direction=H","UseDPDF=Y")</f>
        <v>#NAME?</v>
      </c>
      <c r="BD172" s="1" t="e">
        <f ca="1">_xll.BDH($C$153,"GEO_GROW_BOOK_VAL","FQ4 2017","FQ4 2017","Currency=INR","Period=FQ","BEST_FPERIOD_OVERRIDE=FQ","FILING_STATUS=OR","EQY_CONSOLIDATED=Y","Sort=A","Dates=H","DateFormat=P","Fill=—","Direction=H","UseDPDF=Y")</f>
        <v>#NAME?</v>
      </c>
      <c r="BE172" s="1" t="e">
        <f ca="1">_xll.BDH($C$153,"GEO_GROW_CASH_OPER_ACT","FQ4 2017","FQ4 2017","Currency=INR","Period=FQ","BEST_FPERIOD_OVERRIDE=FQ","FILING_STATUS=OR","EQY_CONSOLIDATED=Y","Sort=A","Dates=H","DateFormat=P","Fill=—","Direction=H","UseDPDF=Y")</f>
        <v>#NAME?</v>
      </c>
      <c r="BF172" s="1" t="e">
        <f ca="1">_xll.BDH($C$153,"REVENUE_SEQUENTIAL_GROWTH","FQ4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72" s="1" t="e">
        <f ca="1">_xll.BDH($C$153,"EBITDA_SEQUENTIAL_GROWTH","FQ4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72" s="1" t="e">
        <f ca="1">_xll.BDH($C$153,"OPERATING_INCOME_SEQ_GROWTH","FQ4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72" s="1" t="e">
        <f ca="1">_xll.BDH($C$153,"NET_INCOME_TO_COMMON_SEQ_GROWTH","FQ4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72" s="1" t="e">
        <f ca="1">_xll.BDH($C$153,"EPS_DILUTED_SEQUENTIAL_GROWTH","FQ4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72" s="1" t="e">
        <f ca="1">_xll.BDH($C$153,"DPS_SEQUENTIAL_GROWTH","FQ4 2017","FQ4 2017","Currency=INR","Period=FQ","BEST_FPERIOD_OVERRIDE=FQ","FILING_STATUS=OR","EQY_CONSOLIDATED=Y","Sort=A","Dates=H","DateFormat=P","Fill=—","Direction=H","UseDPDF=Y")</f>
        <v>#NAME?</v>
      </c>
      <c r="BL172" s="1" t="e">
        <f ca="1">_xll.BDH($C$153,"ACCOUNTS_RECEIVABLE_SEQ_GROWTH","FQ4 2017","FQ4 2017","Currency=INR","Period=FQ","BEST_FPERIOD_OVERRIDE=FQ","FILING_STATUS=OR","EQY_CONSOLIDATED=Y","Sort=A","Dates=H","DateFormat=P","Fill=—","Direction=H","UseDPDF=Y")</f>
        <v>#NAME?</v>
      </c>
      <c r="BM172" s="1" t="e">
        <f ca="1">_xll.BDH($C$153,"INVENTORY_SEQUENTIAL_GROWTH","FQ4 2017","FQ4 2017","Currency=INR","Period=FQ","BEST_FPERIOD_OVERRIDE=FQ","FILING_STATUS=OR","EQY_CONSOLIDATED=Y","Sort=A","Dates=H","DateFormat=P","Fill=—","Direction=H","UseDPDF=Y")</f>
        <v>#NAME?</v>
      </c>
      <c r="BN172" s="1" t="e">
        <f ca="1">_xll.BDH($C$153,"FIXED_ASSETS_SEQUENTIAL_GROWTH","FQ4 2017","FQ4 2017","Currency=INR","Period=FQ","BEST_FPERIOD_OVERRIDE=FQ","FILING_STATUS=OR","EQY_CONSOLIDATED=Y","Sort=A","Dates=H","DateFormat=P","Fill=—","Direction=H","UseDPDF=Y")</f>
        <v>#NAME?</v>
      </c>
      <c r="BO172" s="1" t="e">
        <f ca="1">_xll.BDH($C$153,"TOTAL_ASSETS_SEQUENTIAL_GROWTH","FQ4 2017","FQ4 2017","Currency=INR","Period=FQ","BEST_FPERIOD_OVERRIDE=FQ","FILING_STATUS=OR","EQY_CONSOLIDATED=Y","Sort=A","Dates=H","DateFormat=P","Fill=—","Direction=H","UseDPDF=Y")</f>
        <v>#NAME?</v>
      </c>
      <c r="BP172" s="1" t="e">
        <f ca="1">_xll.BDH($C$153,"MODIFIED_WORKING_CPTL_SEQ_GRWTH","FQ4 2017","FQ4 2017","Currency=INR","Period=FQ","BEST_FPERIOD_OVERRIDE=FQ","FILING_STATUS=OR","EQY_CONSOLIDATED=Y","Sort=A","Dates=H","DateFormat=P","Fill=—","Direction=H","UseDPDF=Y")</f>
        <v>#NAME?</v>
      </c>
      <c r="BQ172" s="1" t="e">
        <f ca="1">_xll.BDH($C$153,"WORKING_CAPITAL_SEQ_GROWTH","FQ4 2017","FQ4 2017","Currency=INR","Period=FQ","BEST_FPERIOD_OVERRIDE=FQ","FILING_STATUS=OR","EQY_CONSOLIDATED=Y","Sort=A","Dates=H","DateFormat=P","Fill=—","Direction=H","UseDPDF=Y")</f>
        <v>#NAME?</v>
      </c>
      <c r="BR172" s="1" t="e">
        <f ca="1">_xll.BDH($C$153,"ACCOUNTS_PAYABLE_SEQ_GROWTH","FQ4 2017","FQ4 2017","Currency=INR","Period=FQ","BEST_FPERIOD_OVERRIDE=FQ","FILING_STATUS=OR","EQY_CONSOLIDATED=Y","Sort=A","Dates=H","DateFormat=P","Fill=—","Direction=H","UseDPDF=Y")</f>
        <v>#NAME?</v>
      </c>
      <c r="BS172" s="1" t="e">
        <f ca="1">_xll.BDH($C$153,"ST_DEBT_SEQUENTIAL_GROWTH","FQ4 2017","FQ4 2017","Currency=INR","Period=FQ","BEST_FPERIOD_OVERRIDE=FQ","FILING_STATUS=OR","EQY_CONSOLIDATED=Y","Sort=A","Dates=H","DateFormat=P","Fill=—","Direction=H","UseDPDF=Y")</f>
        <v>#NAME?</v>
      </c>
      <c r="BT172" s="1" t="e">
        <f ca="1">_xll.BDH($C$153,"TOTAL_DEBT_SEQUENTIAL_GROWTH","FQ4 2017","FQ4 2017","Currency=INR","Period=FQ","BEST_FPERIOD_OVERRIDE=FQ","FILING_STATUS=OR","EQY_CONSOLIDATED=Y","Sort=A","Dates=H","DateFormat=P","Fill=—","Direction=H","UseDPDF=Y")</f>
        <v>#NAME?</v>
      </c>
      <c r="BU172" s="1" t="e">
        <f ca="1">_xll.BDH($C$153,"TOTAL_EQUITY_SEQUENTIAL_GROWTH","FQ4 2017","FQ4 2017","Currency=INR","Period=FQ","BEST_FPERIOD_OVERRIDE=FQ","FILING_STATUS=OR","EQY_CONSOLIDATED=Y","Sort=A","Dates=H","DateFormat=P","Fill=—","Direction=H","UseDPDF=Y")</f>
        <v>#NAME?</v>
      </c>
      <c r="BV172" s="1" t="e">
        <f ca="1">_xll.BDH($C$153,"TOTAL_CAPITAL_SEQUENTIAL_GROWTH","FQ4 2017","FQ4 2017","Currency=INR","Period=FQ","BEST_FPERIOD_OVERRIDE=FQ","FILING_STATUS=OR","EQY_CONSOLIDATED=Y","Sort=A","Dates=H","DateFormat=P","Fill=—","Direction=H","UseDPDF=Y")</f>
        <v>#NAME?</v>
      </c>
      <c r="BW172" s="1" t="e">
        <f ca="1">_xll.BDH($C$153,"BPS_SEQUENTIAL_GROWTH","FQ4 2017","FQ4 2017","Currency=INR","Period=FQ","BEST_FPERIOD_OVERRIDE=FQ","FILING_STATUS=OR","EQY_CONSOLIDATED=Y","Sort=A","Dates=H","DateFormat=P","Fill=—","Direction=H","UseDPDF=Y")</f>
        <v>#NAME?</v>
      </c>
      <c r="BX172" s="1" t="e">
        <f ca="1">_xll.BDH($C$153,"CFO_SEQUENTIAL_GROWTH","FQ4 2017","FQ4 2017","Currency=INR","Period=FQ","BEST_FPERIOD_OVERRIDE=FQ","FILING_STATUS=OR","EQY_CONSOLIDATED=Y","Sort=A","Dates=H","DateFormat=P","Fill=—","Direction=H","UseDPDF=Y")</f>
        <v>#NAME?</v>
      </c>
      <c r="BY172" s="2" t="e">
        <f ca="1">_xll.BDH($C$153,"SHORT_AND_LONG_TERM_DEBT","FQ4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72" s="2" t="e">
        <f ca="1">_xll.BDH($C$153,"BS_ST_BORROW","FQ4 2017","FQ4 2017","Currency=INR","Period=FQ","BEST_FPERIOD_OVERRIDE=FQ","FILING_STATUS=OR","EQY_CONSOLIDATED=Y","SCALING_FORMAT=MLN","Sort=A","Dates=H","DateFormat=P","Fill=—","Direction=H","UseDPDF=Y")</f>
        <v>#NAME?</v>
      </c>
      <c r="CA172" s="2" t="e">
        <f ca="1">_xll.BDH($C$153,"BS_LT_BORROW","FQ4 2017","FQ4 2017","Currency=INR","Period=FQ","BEST_FPERIOD_OVERRIDE=FQ","FILING_STATUS=OR","EQY_CONSOLIDATED=Y","SCALING_FORMAT=MLN","Sort=A","Dates=H","DateFormat=P","Fill=—","Direction=H","UseDPDF=Y")</f>
        <v>#NAME?</v>
      </c>
      <c r="CB172" s="1" t="e">
        <f ca="1">_xll.BDH($C$153,"TOT_DEBT_TO_EBITDA","FQ4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72" s="1" t="e">
        <f ca="1">_xll.BDH($C$153,"NET_DEBT_TO_EBITDA","FQ4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72" s="1" t="e">
        <f ca="1">_xll.BDH($C$153,"TOTAL_DEBT_TO_EBIT","FQ4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72" s="1" t="e">
        <f ca="1">_xll.BDH($C$153,"NET_DEBT_TO_EBIT","FQ4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172" s="1" t="e">
        <f ca="1">_xll.BDH($C$153,"EBITDA_TO_INTEREST_EXPN","FQ4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72" s="1" t="e">
        <f ca="1">_xll.BDH($C$153,"COM_EQY_TO_TOT_ASSET","FQ4 2017","FQ4 2017","Currency=INR","Period=FQ","BEST_FPERIOD_OVERRIDE=FQ","FILING_STATUS=OR","EQY_CONSOLIDATED=Y","Sort=A","Dates=H","DateFormat=P","Fill=—","Direction=H","UseDPDF=Y")</f>
        <v>#NAME?</v>
      </c>
      <c r="CH172" s="1" t="e">
        <f ca="1">_xll.BDH($C$153,"LT_DEBT_TO_TOT_EQY","FQ4 2017","FQ4 2017","Currency=INR","Period=FQ","BEST_FPERIOD_OVERRIDE=FQ","FILING_STATUS=OR","EQY_CONSOLIDATED=Y","Sort=A","Dates=H","DateFormat=P","Fill=—","Direction=H","UseDPDF=Y")</f>
        <v>#NAME?</v>
      </c>
      <c r="CI172" s="1" t="e">
        <f ca="1">_xll.BDH($C$153,"LT_DEBT_TO_TOT_CAP","FQ4 2017","FQ4 2017","Currency=INR","Period=FQ","BEST_FPERIOD_OVERRIDE=FQ","FILING_STATUS=OR","EQY_CONSOLIDATED=Y","Sort=A","Dates=H","DateFormat=P","Fill=—","Direction=H","UseDPDF=Y")</f>
        <v>#NAME?</v>
      </c>
      <c r="CJ172" s="1" t="e">
        <f ca="1">_xll.BDH($C$153,"LT_DEBT_TO_TOT_ASSET","FQ4 2017","FQ4 2017","Currency=INR","Period=FQ","BEST_FPERIOD_OVERRIDE=FQ","FILING_STATUS=OR","EQY_CONSOLIDATED=Y","Sort=A","Dates=H","DateFormat=P","Fill=—","Direction=H","UseDPDF=Y")</f>
        <v>#NAME?</v>
      </c>
      <c r="CK172" s="1" t="e">
        <f ca="1">_xll.BDH($C$153,"TOT_DEBT_TO_TOT_EQY","FQ4 2017","FQ4 2017","Currency=INR","Period=FQ","BEST_FPERIOD_OVERRIDE=FQ","FILING_STATUS=OR","EQY_CONSOLIDATED=Y","Sort=A","Dates=H","DateFormat=P","Fill=—","Direction=H","UseDPDF=Y")</f>
        <v>#NAME?</v>
      </c>
      <c r="CL172" s="1" t="e">
        <f ca="1">_xll.BDH($C$153,"TOT_DEBT_TO_TOT_CAP","FQ4 2017","FQ4 2017","Currency=INR","Period=FQ","BEST_FPERIOD_OVERRIDE=FQ","FILING_STATUS=OR","EQY_CONSOLIDATED=Y","Sort=A","Dates=H","DateFormat=P","Fill=—","Direction=H","UseDPDF=Y")</f>
        <v>#NAME?</v>
      </c>
      <c r="CM172" s="1" t="e">
        <f ca="1">_xll.BDH($C$153,"TOT_DEBT_TO_TOT_ASSET","FQ4 2017","FQ4 2017","Currency=INR","Period=FQ","BEST_FPERIOD_OVERRIDE=FQ","FILING_STATUS=OR","EQY_CONSOLIDATED=Y","Sort=A","Dates=H","DateFormat=P","Fill=—","Direction=H","UseDPDF=Y")</f>
        <v>#NAME?</v>
      </c>
      <c r="CN172" s="1" t="e">
        <f ca="1">_xll.BDH($C$153,"NET_DEBT_TO_SHRHLDR_EQTY","FQ4 2017","FQ4 2017","Currency=INR","Period=FQ","BEST_FPERIOD_OVERRIDE=FQ","FILING_STATUS=OR","EQY_CONSOLIDATED=Y","Sort=A","Dates=H","DateFormat=P","Fill=—","Direction=H","UseDPDF=Y")</f>
        <v>#NAME?</v>
      </c>
      <c r="CO172" s="1" t="e">
        <f ca="1">_xll.BDH($C$153,"NET_DEBT_%_CAPITAL","FQ4 2017","FQ4 2017","Currency=INR","Period=FQ","BEST_FPERIOD_OVERRIDE=FQ","FILING_STATUS=OR","EQY_CONSOLIDATED=Y","Sort=A","Dates=H","DateFormat=P","Fill=—","Direction=H","UseDPDF=Y")</f>
        <v>#NAME?</v>
      </c>
      <c r="CP172" s="2" t="e">
        <f ca="1">_xll.BDH($C$153,"EBITDA","FQ4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72" s="2" t="e">
        <f ca="1">_xll.BDH($C$153,"EBITDA_AFTER_CAPEX","FQ4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72" s="2" t="e">
        <f ca="1">_xll.BDH($C$153,"IS_OPER_INC","FQ4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72" s="1" t="e">
        <f ca="1">_xll.BDH($C$153,"CASH_RATIO","FQ4 2017","FQ4 2017","Currency=INR","Period=FQ","BEST_FPERIOD_OVERRIDE=FQ","FILING_STATUS=OR","EQY_CONSOLIDATED=Y","Sort=A","Dates=H","DateFormat=P","Fill=—","Direction=H","UseDPDF=Y")</f>
        <v>#NAME?</v>
      </c>
      <c r="CT172" s="1" t="e">
        <f ca="1">_xll.BDH($C$153,"CUR_RATIO","FQ4 2017","FQ4 2017","Currency=INR","Period=FQ","BEST_FPERIOD_OVERRIDE=FQ","FILING_STATUS=OR","EQY_CONSOLIDATED=Y","Sort=A","Dates=H","DateFormat=P","Fill=—","Direction=H","UseDPDF=Y")</f>
        <v>#NAME?</v>
      </c>
      <c r="CU172" s="1" t="e">
        <f ca="1">_xll.BDH($C$153,"QUICK_RATIO","FQ4 2017","FQ4 2017","Currency=INR","Period=FQ","BEST_FPERIOD_OVERRIDE=FQ","FILING_STATUS=OR","EQY_CONSOLIDATED=Y","Sort=A","Dates=H","DateFormat=P","Fill=—","Direction=H","UseDPDF=Y")</f>
        <v>#NAME?</v>
      </c>
      <c r="CV172" s="1" t="e">
        <f ca="1">_xll.BDH($C$153,"ALTMAN_Z_SCORE","FQ4 2017","FQ4 2017","Currency=INR","Period=FQ","BEST_FPERIOD_OVERRIDE=FQ","FILING_STATUS=OR","EQY_CONSOLIDATED=Y","Sort=A","Dates=H","DateFormat=P","Fill=—","Direction=H","UseDPDF=Y")</f>
        <v>#NAME?</v>
      </c>
      <c r="CW172" s="3" t="e">
        <f ca="1">_xll.BDH($C$153,"ACCT_RCV_TURN","FQ4 2017","FQ4 2017","Currency=INR","Period=FQ","BEST_FPERIOD_OVERRIDE=FQ","FILING_STATUS=OR","EQY_CONSOLIDATED=Y","FA_ADJUSTED=GAAP","Sort=A","Dates=H","DateFormat=P","Fill=—","Direction=H","UseDPDF=Y")</f>
        <v>#NAME?</v>
      </c>
      <c r="CX172" s="1" t="e">
        <f ca="1">_xll.BDH($C$153,"ACCT_RCV_DAYS","FQ4 2017","FQ4 2017","Currency=INR","Period=FQ","BEST_FPERIOD_OVERRIDE=FQ","FILING_STATUS=OR","EQY_CONSOLIDATED=Y","FA_ADJUSTED=GAAP","Sort=A","Dates=H","DateFormat=P","Fill=—","Direction=H","UseDPDF=Y")</f>
        <v>#NAME?</v>
      </c>
      <c r="CY172" s="3" t="e">
        <f ca="1">_xll.BDH($C$153,"INVENT_TURN","FQ4 2017","FQ4 2017","Currency=INR","Period=FQ","BEST_FPERIOD_OVERRIDE=FQ","FILING_STATUS=OR","EQY_CONSOLIDATED=Y","FA_ADJUSTED=GAAP","Sort=A","Dates=H","DateFormat=P","Fill=—","Direction=H","UseDPDF=Y")</f>
        <v>#NAME?</v>
      </c>
      <c r="CZ172" s="1" t="e">
        <f ca="1">_xll.BDH($C$153,"INVENT_DAYS","FQ4 2017","FQ4 2017","Currency=INR","Period=FQ","BEST_FPERIOD_OVERRIDE=FQ","FILING_STATUS=OR","EQY_CONSOLIDATED=Y","FA_ADJUSTED=GAAP","Sort=A","Dates=H","DateFormat=P","Fill=—","Direction=H","UseDPDF=Y")</f>
        <v>#NAME?</v>
      </c>
      <c r="DA172" s="3" t="e">
        <f ca="1">_xll.BDH($C$153,"ACCOUNTS_PAYABLE_TURNOVER","FQ4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72" s="1" t="e">
        <f ca="1">_xll.BDH($C$153,"ACCOUNTS_PAYABLE_TURNOVER_DAYS","FQ4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72" s="3" t="e">
        <f ca="1">_xll.BDH($C$153,"CASH_CONVERSION_CYCLE","FQ4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72" s="3" t="e">
        <f ca="1">_xll.BDH($C$153,"INV_TO_CASH_DAYS","FQ4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172" s="4" t="e">
        <f ca="1">_xll.BDH($C$153,"BS_INVENTORIES","FQ4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172" s="2" t="e">
        <f ca="1">_xll.BDH($C$153,"INVTRY_RAW_MATERIALS","FQ4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72" s="2" t="e">
        <f ca="1">_xll.BDH($C$153,"INVTRY_IN_PROGRESS","FQ4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72" s="2" t="e">
        <f ca="1">_xll.BDH($C$153,"INVTRY_FINISHED_GOODS","FQ4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72" s="2" t="e">
        <f ca="1">_xll.BDH($C$153,"BS_OTHER_INV","FQ4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73" spans="1:113" x14ac:dyDescent="0.3">
      <c r="A173" s="6"/>
      <c r="B173" s="6"/>
      <c r="C173" s="6"/>
      <c r="D173" s="6" t="s">
        <v>11</v>
      </c>
      <c r="E173" t="s">
        <v>3</v>
      </c>
      <c r="F173" t="e">
        <f ca="1">_xll.BDH($C$153,"RETURN_COM_EQY","FY 2018","FY 2018","Currency=INR","Period=FY","BEST_FPERIOD_OVERRIDE=FY","FILING_STATUS=OR","EQY_CONSOLIDATED=Y","FA_ADJUSTED=GAAP","Sort=A","Dates=H","DateFormat=P","Fill=—","Direction=H","UseDPDF=Y")</f>
        <v>#NAME?</v>
      </c>
      <c r="G173" t="e">
        <f ca="1">_xll.BDH($C$153,"RETURN_ON_ASSET","FY 2018","FY 2018","Currency=INR","Period=FY","BEST_FPERIOD_OVERRIDE=FY","FILING_STATUS=OR","EQY_CONSOLIDATED=Y","FA_ADJUSTED=GAAP","Sort=A","Dates=H","DateFormat=P","Fill=—","Direction=H","UseDPDF=Y")</f>
        <v>#NAME?</v>
      </c>
      <c r="H173" t="e">
        <f ca="1">_xll.BDH($C$153,"RETURN_ON_CAP","FY 2018","FY 2018","Currency=INR","Period=FY","BEST_FPERIOD_OVERRIDE=FY","FILING_STATUS=OR","EQY_CONSOLIDATED=Y","FA_ADJUSTED=GAAP","Sort=A","Dates=H","DateFormat=P","Fill=—","Direction=H","UseDPDF=Y")</f>
        <v>#NAME?</v>
      </c>
      <c r="I173" t="e">
        <f ca="1">_xll.BDH($C$153,"RETURN_ON_INV_CAPITAL","FY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73" t="e">
        <f ca="1">_xll.BDH($C$153,"EBITDA_TO_REVENUE","FY 2018","FY 2018","Currency=INR","Period=FY","BEST_FPERIOD_OVERRIDE=FY","FILING_STATUS=OR","EQY_CONSOLIDATED=Y","FA_ADJUSTED=GAAP","Sort=A","Dates=H","DateFormat=P","Fill=—","Direction=H","UseDPDF=Y")</f>
        <v>#NAME?</v>
      </c>
      <c r="K173" t="e">
        <f ca="1">_xll.BDH($C$153,"OPER_MARGIN","FY 2018","FY 2018","Currency=INR","Period=FY","BEST_FPERIOD_OVERRIDE=FY","FILING_STATUS=OR","EQY_CONSOLIDATED=Y","FA_ADJUSTED=GAAP","Sort=A","Dates=H","DateFormat=P","Fill=—","Direction=H","UseDPDF=Y")</f>
        <v>#NAME?</v>
      </c>
      <c r="L173" t="e">
        <f ca="1">_xll.BDH($C$153,"INCREMENTAL_OPERATING_MARGIN","FY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73" t="e">
        <f ca="1">_xll.BDH($C$153,"PRETAX_INC_TO_NET_SALES","FY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73" t="e">
        <f ca="1">_xll.BDH($C$153,"INC_BEF_XO_ITEMS_TO_NET_SALES","FY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73" t="e">
        <f ca="1">_xll.BDH($C$153,"PROF_MARGIN","FY 2018","FY 2018","Currency=INR","Period=FY","BEST_FPERIOD_OVERRIDE=FY","FILING_STATUS=OR","EQY_CONSOLIDATED=Y","FA_ADJUSTED=GAAP","Sort=A","Dates=H","DateFormat=P","Fill=—","Direction=H","UseDPDF=Y")</f>
        <v>#NAME?</v>
      </c>
      <c r="P173" t="e">
        <f ca="1">_xll.BDH($C$153,"NET_INCOME_TO_COMMON_MARGIN","FY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73" t="e">
        <f ca="1">_xll.BDH($C$153,"EFF_TAX_RATE","FY 2018","FY 2018","Currency=INR","Period=FY","BEST_FPERIOD_OVERRIDE=FY","FILING_STATUS=OR","EQY_CONSOLIDATED=Y","FA_ADJUSTED=GAAP","Sort=A","Dates=H","DateFormat=P","Fill=—","Direction=H","UseDPDF=Y")</f>
        <v>#NAME?</v>
      </c>
      <c r="R173" t="e">
        <f ca="1">_xll.BDH($C$153,"DVD_PAYOUT_RATIO","FY 2018","FY 2018","Currency=INR","Period=FY","BEST_FPERIOD_OVERRIDE=FY","FILING_STATUS=OR","EQY_CONSOLIDATED=Y","FA_ADJUSTED=GAAP","Sort=A","Dates=H","DateFormat=P","Fill=—","Direction=H","UseDPDF=Y")</f>
        <v>#NAME?</v>
      </c>
      <c r="S173" t="e">
        <f ca="1">_xll.BDH($C$153,"SUSTAIN_GROWTH_RT","FY 2018","FY 2018","Currency=INR","Period=FY","BEST_FPERIOD_OVERRIDE=FY","FILING_STATUS=OR","EQY_CONSOLIDATED=Y","FA_ADJUSTED=GAAP","Sort=A","Dates=H","DateFormat=P","Fill=—","Direction=H","UseDPDF=Y")</f>
        <v>#NAME?</v>
      </c>
      <c r="T173" s="1" t="e">
        <f ca="1">_xll.BDH($C$153,"SALES_GROWTH","FY 2018","FY 2018","Currency=INR","Period=FY","BEST_FPERIOD_OVERRIDE=FY","FILING_STATUS=OR","EQY_CONSOLIDATED=Y","FA_ADJUSTED=GAAP","Sort=A","Dates=H","DateFormat=P","Fill=—","Direction=H","UseDPDF=Y")</f>
        <v>#NAME?</v>
      </c>
      <c r="U173" s="1" t="e">
        <f ca="1">_xll.BDH($C$153,"EBITDA_GROWTH","FY 2018","FY 2018","Currency=INR","Period=FY","BEST_FPERIOD_OVERRIDE=FY","FILING_STATUS=OR","EQY_CONSOLIDATED=Y","FA_ADJUSTED=GAAP","Sort=A","Dates=H","DateFormat=P","Fill=—","Direction=H","UseDPDF=Y")</f>
        <v>#NAME?</v>
      </c>
      <c r="V173" s="1" t="e">
        <f ca="1">_xll.BDH($C$153,"OPER_INC_GROWTH","FY 2018","FY 2018","Currency=INR","Period=FY","BEST_FPERIOD_OVERRIDE=FY","FILING_STATUS=OR","EQY_CONSOLIDATED=Y","FA_ADJUSTED=GAAP","Sort=A","Dates=H","DateFormat=P","Fill=—","Direction=H","UseDPDF=Y")</f>
        <v>#NAME?</v>
      </c>
      <c r="W173" s="1" t="e">
        <f ca="1">_xll.BDH($C$153,"EARN_FOR_COM_GROWTH","FY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173" s="1" t="e">
        <f ca="1">_xll.BDH($C$153,"DILUTED_EPS_AFT_XO_ITEMS_GROWTH","FY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73" s="1" t="e">
        <f ca="1">_xll.BDH($C$153,"DIVIDEND_PER_SHARE_1_YEAR_GROWTH","FY 2018","FY 2018","Currency=INR","Period=FY","BEST_FPERIOD_OVERRIDE=FY","FILING_STATUS=OR","EQY_CONSOLIDATED=Y","Sort=A","Dates=H","DateFormat=P","Fill=—","Direction=H","UseDPDF=Y")</f>
        <v>#NAME?</v>
      </c>
      <c r="Z173" s="1" t="e">
        <f ca="1">_xll.BDH($C$153,"ACCOUNTS_RECEIVABLE_GROWTH","FY 2018","FY 2018","Currency=INR","Period=FY","BEST_FPERIOD_OVERRIDE=FY","FILING_STATUS=OR","EQY_CONSOLIDATED=Y","Sort=A","Dates=H","DateFormat=P","Fill=—","Direction=H","UseDPDF=Y")</f>
        <v>#NAME?</v>
      </c>
      <c r="AA173" s="1" t="e">
        <f ca="1">_xll.BDH($C$153,"INVENTORY_GROWTH","FY 2018","FY 2018","Currency=INR","Period=FY","BEST_FPERIOD_OVERRIDE=FY","FILING_STATUS=OR","EQY_CONSOLIDATED=Y","Sort=A","Dates=H","DateFormat=P","Fill=—","Direction=H","UseDPDF=Y")</f>
        <v>#NAME?</v>
      </c>
      <c r="AB173" s="1" t="e">
        <f ca="1">_xll.BDH($C$153,"NET_FIXED_ASSETS_1_YEAR_GROWTH","FY 2018","FY 2018","Currency=INR","Period=FY","BEST_FPERIOD_OVERRIDE=FY","FILING_STATUS=OR","EQY_CONSOLIDATED=Y","Sort=A","Dates=H","DateFormat=P","Fill=—","Direction=H","UseDPDF=Y")</f>
        <v>#NAME?</v>
      </c>
      <c r="AC173" s="1" t="e">
        <f ca="1">_xll.BDH($C$153,"ASSET_GROWTH","FY 2018","FY 2018","Currency=INR","Period=FY","BEST_FPERIOD_OVERRIDE=FY","FILING_STATUS=OR","EQY_CONSOLIDATED=Y","Sort=A","Dates=H","DateFormat=P","Fill=—","Direction=H","UseDPDF=Y")</f>
        <v>#NAME?</v>
      </c>
      <c r="AD173" s="1" t="e">
        <f ca="1">_xll.BDH($C$153,"MODIFIED_WORK_CAP_GROWTH","FY 2018","FY 2018","Currency=INR","Period=FY","BEST_FPERIOD_OVERRIDE=FY","FILING_STATUS=OR","EQY_CONSOLIDATED=Y","Sort=A","Dates=H","DateFormat=P","Fill=—","Direction=H","UseDPDF=Y")</f>
        <v>#NAME?</v>
      </c>
      <c r="AE173" s="1" t="e">
        <f ca="1">_xll.BDH($C$153,"WORK_CAP_GROWTH","FY 2018","FY 2018","Currency=INR","Period=FY","BEST_FPERIOD_OVERRIDE=FY","FILING_STATUS=OR","EQY_CONSOLIDATED=Y","Sort=A","Dates=H","DateFormat=P","Fill=—","Direction=H","UseDPDF=Y")</f>
        <v>#NAME?</v>
      </c>
      <c r="AF173" s="1" t="e">
        <f ca="1">_xll.BDH($C$153,"ACCOUNTS_PAYABLE_GROWTH_1YR","FY 2018","FY 2018","Currency=INR","Period=FY","BEST_FPERIOD_OVERRIDE=FY","FILING_STATUS=OR","EQY_CONSOLIDATED=Y","Sort=A","Dates=H","DateFormat=P","Fill=—","Direction=H","UseDPDF=Y")</f>
        <v>#NAME?</v>
      </c>
      <c r="AG173" s="1" t="e">
        <f ca="1">_xll.BDH($C$153,"SHORT_TERM_DEBT_1_YEAR_GROWTH","FY 2018","FY 2018","Currency=INR","Period=FY","BEST_FPERIOD_OVERRIDE=FY","FILING_STATUS=OR","EQY_CONSOLIDATED=Y","Sort=A","Dates=H","DateFormat=P","Fill=—","Direction=H","UseDPDF=Y")</f>
        <v>#NAME?</v>
      </c>
      <c r="AH173" s="1" t="e">
        <f ca="1">_xll.BDH($C$153,"TOTAL_DEBT_1_YEAR_GROWTH","FY 2018","FY 2018","Currency=INR","Period=FY","BEST_FPERIOD_OVERRIDE=FY","FILING_STATUS=OR","EQY_CONSOLIDATED=Y","Sort=A","Dates=H","DateFormat=P","Fill=—","Direction=H","UseDPDF=Y")</f>
        <v>#NAME?</v>
      </c>
      <c r="AI173" s="1" t="e">
        <f ca="1">_xll.BDH($C$153,"TOTAL_EQUITY_1_YEAR_GROWTH","FY 2018","FY 2018","Currency=INR","Period=FY","BEST_FPERIOD_OVERRIDE=FY","FILING_STATUS=OR","EQY_CONSOLIDATED=Y","Sort=A","Dates=H","DateFormat=P","Fill=—","Direction=H","UseDPDF=Y")</f>
        <v>#NAME?</v>
      </c>
      <c r="AJ173" s="1" t="e">
        <f ca="1">_xll.BDH($C$153,"GROWTH_IN_CAP","FY 2018","FY 2018","Currency=INR","Period=FY","BEST_FPERIOD_OVERRIDE=FY","FILING_STATUS=OR","EQY_CONSOLIDATED=Y","Sort=A","Dates=H","DateFormat=P","Fill=—","Direction=H","UseDPDF=Y")</f>
        <v>#NAME?</v>
      </c>
      <c r="AK173" s="1" t="e">
        <f ca="1">_xll.BDH($C$153,"BVPS_GROWTH","FY 2018","FY 2018","Currency=INR","Period=FY","BEST_FPERIOD_OVERRIDE=FY","FILING_STATUS=OR","EQY_CONSOLIDATED=Y","Sort=A","Dates=H","DateFormat=P","Fill=—","Direction=H","UseDPDF=Y")</f>
        <v>#NAME?</v>
      </c>
      <c r="AL173" s="1" t="e">
        <f ca="1">_xll.BDH($C$153,"CASH_FLOW_GROWTH","FY 2018","FY 2018","Currency=INR","Period=FY","BEST_FPERIOD_OVERRIDE=FY","FILING_STATUS=OR","EQY_CONSOLIDATED=Y","Sort=A","Dates=H","DateFormat=P","Fill=—","Direction=H","UseDPDF=Y")</f>
        <v>#NAME?</v>
      </c>
      <c r="AM173" s="1" t="e">
        <f ca="1">_xll.BDH($C$153,"GEO_GROW_NET_SALES","FY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173" s="1" t="e">
        <f ca="1">_xll.BDH($C$153,"GEO_GROW_EBITDA","FY 2018","FY 2018","Currency=INR","Period=FY","BEST_FPERIOD_OVERRIDE=FY","FILING_STATUS=OR","EQY_CONSOLIDATED=Y","FA_ADJUSTED=GAAP","Sort=A","Dates=H","DateFormat=P","Fill=—","Direction=H","UseDPDF=Y")</f>
        <v>#NAME?</v>
      </c>
      <c r="AO173" s="1" t="e">
        <f ca="1">_xll.BDH($C$153,"GEO_GROW_OPER_INC","FY 2018","FY 2018","Currency=INR","Period=FY","BEST_FPERIOD_OVERRIDE=FY","FILING_STATUS=OR","EQY_CONSOLIDATED=Y","FA_ADJUSTED=GAAP","Sort=A","Dates=H","DateFormat=P","Fill=—","Direction=H","UseDPDF=Y")</f>
        <v>#NAME?</v>
      </c>
      <c r="AP173" s="1" t="e">
        <f ca="1">_xll.BDH($C$153,"NET_INCOME_TO_COMMON_5_YR_GROWTH","FY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73" s="1" t="e">
        <f ca="1">_xll.BDH($C$153,"5Y_GEO_GROWTH_DILUTED_EPS","FY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73" s="1" t="e">
        <f ca="1">_xll.BDH($C$153,"GEO_GROW_DVD_PER_SH","FY 2018","FY 2018","Currency=INR","Period=FY","BEST_FPERIOD_OVERRIDE=FY","FILING_STATUS=OR","EQY_CONSOLIDATED=Y","Sort=A","Dates=H","DateFormat=P","Fill=—","Direction=H","UseDPDF=Y")</f>
        <v>#NAME?</v>
      </c>
      <c r="AS173" s="1" t="e">
        <f ca="1">_xll.BDH($C$153,"ACCOUNTS_RECEIVABLE_5_YR_GROWTH","FY 2018","FY 2018","Currency=INR","Period=FY","BEST_FPERIOD_OVERRIDE=FY","FILING_STATUS=OR","EQY_CONSOLIDATED=Y","Sort=A","Dates=H","DateFormat=P","Fill=—","Direction=H","UseDPDF=Y")</f>
        <v>#NAME?</v>
      </c>
      <c r="AT173" s="1" t="e">
        <f ca="1">_xll.BDH($C$153,"INVENTORY_5_YEAR_GROWTH","FY 2018","FY 2018","Currency=INR","Period=FY","BEST_FPERIOD_OVERRIDE=FY","FILING_STATUS=OR","EQY_CONSOLIDATED=Y","Sort=A","Dates=H","DateFormat=P","Fill=—","Direction=H","UseDPDF=Y")</f>
        <v>#NAME?</v>
      </c>
      <c r="AU173" s="1" t="e">
        <f ca="1">_xll.BDH($C$153,"NET_FIXED_ASSETS_5_YEAR_GROWTH","FY 2018","FY 2018","Currency=INR","Period=FY","BEST_FPERIOD_OVERRIDE=FY","FILING_STATUS=OR","EQY_CONSOLIDATED=Y","Sort=A","Dates=H","DateFormat=P","Fill=—","Direction=H","UseDPDF=Y")</f>
        <v>#NAME?</v>
      </c>
      <c r="AV173" s="1" t="e">
        <f ca="1">_xll.BDH($C$153,"GEO_GROW_TOT_ASSET","FY 2018","FY 2018","Currency=INR","Period=FY","BEST_FPERIOD_OVERRIDE=FY","FILING_STATUS=OR","EQY_CONSOLIDATED=Y","Sort=A","Dates=H","DateFormat=P","Fill=—","Direction=H","UseDPDF=Y")</f>
        <v>#NAME?</v>
      </c>
      <c r="AW173" s="1" t="e">
        <f ca="1">_xll.BDH($C$153,"MODIFIED_WORKING_CPTL_5YR_GRWTH","FY 2018","FY 2018","Currency=INR","Period=FY","BEST_FPERIOD_OVERRIDE=FY","FILING_STATUS=OR","EQY_CONSOLIDATED=Y","Sort=A","Dates=H","DateFormat=P","Fill=—","Direction=H","UseDPDF=Y")</f>
        <v>#NAME?</v>
      </c>
      <c r="AX173" s="1" t="e">
        <f ca="1">_xll.BDH($C$153,"WORKING_CAPITAL_5_YEAR_GROWTH","FY 2018","FY 2018","Currency=INR","Period=FY","BEST_FPERIOD_OVERRIDE=FY","FILING_STATUS=OR","EQY_CONSOLIDATED=Y","Sort=A","Dates=H","DateFormat=P","Fill=—","Direction=H","UseDPDF=Y")</f>
        <v>#NAME?</v>
      </c>
      <c r="AY173" s="1" t="e">
        <f ca="1">_xll.BDH($C$153,"ACCOUNTS_PAYABLE_5_YEAR_GROWTH","FY 2018","FY 2018","Currency=INR","Period=FY","BEST_FPERIOD_OVERRIDE=FY","FILING_STATUS=OR","EQY_CONSOLIDATED=Y","Sort=A","Dates=H","DateFormat=P","Fill=—","Direction=H","UseDPDF=Y")</f>
        <v>#NAME?</v>
      </c>
      <c r="AZ173" s="1" t="e">
        <f ca="1">_xll.BDH($C$153,"SHORT_TERM_DEBT_5_YEAR_GROWTH","FY 2018","FY 2018","Currency=INR","Period=FY","BEST_FPERIOD_OVERRIDE=FY","FILING_STATUS=OR","EQY_CONSOLIDATED=Y","Sort=A","Dates=H","DateFormat=P","Fill=—","Direction=H","UseDPDF=Y")</f>
        <v>#NAME?</v>
      </c>
      <c r="BA173" s="1" t="e">
        <f ca="1">_xll.BDH($C$153,"TOTAL_DEBT_5_YEAR_GROWTH","FY 2018","FY 2018","Currency=INR","Period=FY","BEST_FPERIOD_OVERRIDE=FY","FILING_STATUS=OR","EQY_CONSOLIDATED=Y","Sort=A","Dates=H","DateFormat=P","Fill=—","Direction=H","UseDPDF=Y")</f>
        <v>#NAME?</v>
      </c>
      <c r="BB173" s="1" t="e">
        <f ca="1">_xll.BDH($C$153,"GEO_GROW_TOT_SHRHLDR_EQY","FY 2018","FY 2018","Currency=INR","Period=FY","BEST_FPERIOD_OVERRIDE=FY","FILING_STATUS=OR","EQY_CONSOLIDATED=Y","Sort=A","Dates=H","DateFormat=P","Fill=—","Direction=H","UseDPDF=Y")</f>
        <v>#NAME?</v>
      </c>
      <c r="BC173" s="1" t="e">
        <f ca="1">_xll.BDH($C$153,"TOTAL_CAPITAL_5_YEAR_GROWTH","FY 2018","FY 2018","Currency=INR","Period=FY","BEST_FPERIOD_OVERRIDE=FY","FILING_STATUS=OR","EQY_CONSOLIDATED=Y","Sort=A","Dates=H","DateFormat=P","Fill=—","Direction=H","UseDPDF=Y")</f>
        <v>#NAME?</v>
      </c>
      <c r="BD173" s="1" t="e">
        <f ca="1">_xll.BDH($C$153,"GEO_GROW_BOOK_VAL","FY 2018","FY 2018","Currency=INR","Period=FY","BEST_FPERIOD_OVERRIDE=FY","FILING_STATUS=OR","EQY_CONSOLIDATED=Y","Sort=A","Dates=H","DateFormat=P","Fill=—","Direction=H","UseDPDF=Y")</f>
        <v>#NAME?</v>
      </c>
      <c r="BE173" s="1" t="e">
        <f ca="1">_xll.BDH($C$153,"GEO_GROW_CASH_OPER_ACT","FY 2018","FY 2018","Currency=INR","Period=FY","BEST_FPERIOD_OVERRIDE=FY","FILING_STATUS=OR","EQY_CONSOLIDATED=Y","Sort=A","Dates=H","DateFormat=P","Fill=—","Direction=H","UseDPDF=Y")</f>
        <v>#NAME?</v>
      </c>
      <c r="BF173" s="1" t="e">
        <f ca="1">_xll.BDH($C$153,"REVENUE_SEQUENTIAL_GROWTH","FY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73" s="1" t="e">
        <f ca="1">_xll.BDH($C$153,"EBITDA_SEQUENTIAL_GROWTH","FY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73" s="1" t="e">
        <f ca="1">_xll.BDH($C$153,"OPERATING_INCOME_SEQ_GROWTH","FY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73" s="1" t="e">
        <f ca="1">_xll.BDH($C$153,"NET_INCOME_TO_COMMON_SEQ_GROWTH","FY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73" s="1" t="e">
        <f ca="1">_xll.BDH($C$153,"EPS_DILUTED_SEQUENTIAL_GROWTH","FY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73" s="1" t="e">
        <f ca="1">_xll.BDH($C$153,"DPS_SEQUENTIAL_GROWTH","FY 2018","FY 2018","Currency=INR","Period=FY","BEST_FPERIOD_OVERRIDE=FY","FILING_STATUS=OR","EQY_CONSOLIDATED=Y","Sort=A","Dates=H","DateFormat=P","Fill=—","Direction=H","UseDPDF=Y")</f>
        <v>#NAME?</v>
      </c>
      <c r="BL173" s="1" t="e">
        <f ca="1">_xll.BDH($C$153,"ACCOUNTS_RECEIVABLE_SEQ_GROWTH","FY 2018","FY 2018","Currency=INR","Period=FY","BEST_FPERIOD_OVERRIDE=FY","FILING_STATUS=OR","EQY_CONSOLIDATED=Y","Sort=A","Dates=H","DateFormat=P","Fill=—","Direction=H","UseDPDF=Y")</f>
        <v>#NAME?</v>
      </c>
      <c r="BM173" s="1" t="e">
        <f ca="1">_xll.BDH($C$153,"INVENTORY_SEQUENTIAL_GROWTH","FY 2018","FY 2018","Currency=INR","Period=FY","BEST_FPERIOD_OVERRIDE=FY","FILING_STATUS=OR","EQY_CONSOLIDATED=Y","Sort=A","Dates=H","DateFormat=P","Fill=—","Direction=H","UseDPDF=Y")</f>
        <v>#NAME?</v>
      </c>
      <c r="BN173" s="1" t="e">
        <f ca="1">_xll.BDH($C$153,"FIXED_ASSETS_SEQUENTIAL_GROWTH","FY 2018","FY 2018","Currency=INR","Period=FY","BEST_FPERIOD_OVERRIDE=FY","FILING_STATUS=OR","EQY_CONSOLIDATED=Y","Sort=A","Dates=H","DateFormat=P","Fill=—","Direction=H","UseDPDF=Y")</f>
        <v>#NAME?</v>
      </c>
      <c r="BO173" s="1" t="e">
        <f ca="1">_xll.BDH($C$153,"TOTAL_ASSETS_SEQUENTIAL_GROWTH","FY 2018","FY 2018","Currency=INR","Period=FY","BEST_FPERIOD_OVERRIDE=FY","FILING_STATUS=OR","EQY_CONSOLIDATED=Y","Sort=A","Dates=H","DateFormat=P","Fill=—","Direction=H","UseDPDF=Y")</f>
        <v>#NAME?</v>
      </c>
      <c r="BP173" s="1" t="e">
        <f ca="1">_xll.BDH($C$153,"MODIFIED_WORKING_CPTL_SEQ_GRWTH","FY 2018","FY 2018","Currency=INR","Period=FY","BEST_FPERIOD_OVERRIDE=FY","FILING_STATUS=OR","EQY_CONSOLIDATED=Y","Sort=A","Dates=H","DateFormat=P","Fill=—","Direction=H","UseDPDF=Y")</f>
        <v>#NAME?</v>
      </c>
      <c r="BQ173" s="1" t="e">
        <f ca="1">_xll.BDH($C$153,"WORKING_CAPITAL_SEQ_GROWTH","FY 2018","FY 2018","Currency=INR","Period=FY","BEST_FPERIOD_OVERRIDE=FY","FILING_STATUS=OR","EQY_CONSOLIDATED=Y","Sort=A","Dates=H","DateFormat=P","Fill=—","Direction=H","UseDPDF=Y")</f>
        <v>#NAME?</v>
      </c>
      <c r="BR173" s="1" t="e">
        <f ca="1">_xll.BDH($C$153,"ACCOUNTS_PAYABLE_SEQ_GROWTH","FY 2018","FY 2018","Currency=INR","Period=FY","BEST_FPERIOD_OVERRIDE=FY","FILING_STATUS=OR","EQY_CONSOLIDATED=Y","Sort=A","Dates=H","DateFormat=P","Fill=—","Direction=H","UseDPDF=Y")</f>
        <v>#NAME?</v>
      </c>
      <c r="BS173" s="1" t="e">
        <f ca="1">_xll.BDH($C$153,"ST_DEBT_SEQUENTIAL_GROWTH","FY 2018","FY 2018","Currency=INR","Period=FY","BEST_FPERIOD_OVERRIDE=FY","FILING_STATUS=OR","EQY_CONSOLIDATED=Y","Sort=A","Dates=H","DateFormat=P","Fill=—","Direction=H","UseDPDF=Y")</f>
        <v>#NAME?</v>
      </c>
      <c r="BT173" s="1" t="e">
        <f ca="1">_xll.BDH($C$153,"TOTAL_DEBT_SEQUENTIAL_GROWTH","FY 2018","FY 2018","Currency=INR","Period=FY","BEST_FPERIOD_OVERRIDE=FY","FILING_STATUS=OR","EQY_CONSOLIDATED=Y","Sort=A","Dates=H","DateFormat=P","Fill=—","Direction=H","UseDPDF=Y")</f>
        <v>#NAME?</v>
      </c>
      <c r="BU173" s="1" t="e">
        <f ca="1">_xll.BDH($C$153,"TOTAL_EQUITY_SEQUENTIAL_GROWTH","FY 2018","FY 2018","Currency=INR","Period=FY","BEST_FPERIOD_OVERRIDE=FY","FILING_STATUS=OR","EQY_CONSOLIDATED=Y","Sort=A","Dates=H","DateFormat=P","Fill=—","Direction=H","UseDPDF=Y")</f>
        <v>#NAME?</v>
      </c>
      <c r="BV173" s="1" t="e">
        <f ca="1">_xll.BDH($C$153,"TOTAL_CAPITAL_SEQUENTIAL_GROWTH","FY 2018","FY 2018","Currency=INR","Period=FY","BEST_FPERIOD_OVERRIDE=FY","FILING_STATUS=OR","EQY_CONSOLIDATED=Y","Sort=A","Dates=H","DateFormat=P","Fill=—","Direction=H","UseDPDF=Y")</f>
        <v>#NAME?</v>
      </c>
      <c r="BW173" s="1" t="e">
        <f ca="1">_xll.BDH($C$153,"BPS_SEQUENTIAL_GROWTH","FY 2018","FY 2018","Currency=INR","Period=FY","BEST_FPERIOD_OVERRIDE=FY","FILING_STATUS=OR","EQY_CONSOLIDATED=Y","Sort=A","Dates=H","DateFormat=P","Fill=—","Direction=H","UseDPDF=Y")</f>
        <v>#NAME?</v>
      </c>
      <c r="BX173" s="1" t="e">
        <f ca="1">_xll.BDH($C$153,"CFO_SEQUENTIAL_GROWTH","FY 2018","FY 2018","Currency=INR","Period=FY","BEST_FPERIOD_OVERRIDE=FY","FILING_STATUS=OR","EQY_CONSOLIDATED=Y","Sort=A","Dates=H","DateFormat=P","Fill=—","Direction=H","UseDPDF=Y")</f>
        <v>#NAME?</v>
      </c>
      <c r="BY173" s="2" t="e">
        <f ca="1">_xll.BDH($C$153,"SHORT_AND_LONG_TERM_DEBT","FY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73" s="2" t="e">
        <f ca="1">_xll.BDH($C$153,"BS_ST_BORROW","FY 2018","FY 2018","Currency=INR","Period=FY","BEST_FPERIOD_OVERRIDE=FY","FILING_STATUS=OR","EQY_CONSOLIDATED=Y","SCALING_FORMAT=MLN","Sort=A","Dates=H","DateFormat=P","Fill=—","Direction=H","UseDPDF=Y")</f>
        <v>#NAME?</v>
      </c>
      <c r="CA173" s="2" t="e">
        <f ca="1">_xll.BDH($C$153,"BS_LT_BORROW","FY 2018","FY 2018","Currency=INR","Period=FY","BEST_FPERIOD_OVERRIDE=FY","FILING_STATUS=OR","EQY_CONSOLIDATED=Y","SCALING_FORMAT=MLN","Sort=A","Dates=H","DateFormat=P","Fill=—","Direction=H","UseDPDF=Y")</f>
        <v>#NAME?</v>
      </c>
      <c r="CB173" s="1" t="e">
        <f ca="1">_xll.BDH($C$153,"TOT_DEBT_TO_EBITDA","FY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173" s="1" t="e">
        <f ca="1">_xll.BDH($C$153,"NET_DEBT_TO_EBITDA","FY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173" s="1" t="e">
        <f ca="1">_xll.BDH($C$153,"TOTAL_DEBT_TO_EBIT","FY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173" s="1" t="e">
        <f ca="1">_xll.BDH($C$153,"NET_DEBT_TO_EBIT","FY 2018","FY 2018","Currency=INR","Period=FY","BEST_FPERIOD_OVERRIDE=FY","FILING_STATUS=OR","EQY_CONSOLIDATED=Y","FA_ADJUSTED=GAAP","Sort=A","Dates=H","DateFormat=P","Fill=—","Direction=H","UseDPDF=Y")</f>
        <v>#NAME?</v>
      </c>
      <c r="CF173" s="1" t="e">
        <f ca="1">_xll.BDH($C$153,"EBITDA_TO_INTEREST_EXPN","FY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73" s="1" t="e">
        <f ca="1">_xll.BDH($C$153,"COM_EQY_TO_TOT_ASSET","FY 2018","FY 2018","Currency=INR","Period=FY","BEST_FPERIOD_OVERRIDE=FY","FILING_STATUS=OR","EQY_CONSOLIDATED=Y","Sort=A","Dates=H","DateFormat=P","Fill=—","Direction=H","UseDPDF=Y")</f>
        <v>#NAME?</v>
      </c>
      <c r="CH173" s="1" t="e">
        <f ca="1">_xll.BDH($C$153,"LT_DEBT_TO_TOT_EQY","FY 2018","FY 2018","Currency=INR","Period=FY","BEST_FPERIOD_OVERRIDE=FY","FILING_STATUS=OR","EQY_CONSOLIDATED=Y","Sort=A","Dates=H","DateFormat=P","Fill=—","Direction=H","UseDPDF=Y")</f>
        <v>#NAME?</v>
      </c>
      <c r="CI173" s="1" t="e">
        <f ca="1">_xll.BDH($C$153,"LT_DEBT_TO_TOT_CAP","FY 2018","FY 2018","Currency=INR","Period=FY","BEST_FPERIOD_OVERRIDE=FY","FILING_STATUS=OR","EQY_CONSOLIDATED=Y","Sort=A","Dates=H","DateFormat=P","Fill=—","Direction=H","UseDPDF=Y")</f>
        <v>#NAME?</v>
      </c>
      <c r="CJ173" s="1" t="e">
        <f ca="1">_xll.BDH($C$153,"LT_DEBT_TO_TOT_ASSET","FY 2018","FY 2018","Currency=INR","Period=FY","BEST_FPERIOD_OVERRIDE=FY","FILING_STATUS=OR","EQY_CONSOLIDATED=Y","Sort=A","Dates=H","DateFormat=P","Fill=—","Direction=H","UseDPDF=Y")</f>
        <v>#NAME?</v>
      </c>
      <c r="CK173" s="1" t="e">
        <f ca="1">_xll.BDH($C$153,"TOT_DEBT_TO_TOT_EQY","FY 2018","FY 2018","Currency=INR","Period=FY","BEST_FPERIOD_OVERRIDE=FY","FILING_STATUS=OR","EQY_CONSOLIDATED=Y","Sort=A","Dates=H","DateFormat=P","Fill=—","Direction=H","UseDPDF=Y")</f>
        <v>#NAME?</v>
      </c>
      <c r="CL173" s="1" t="e">
        <f ca="1">_xll.BDH($C$153,"TOT_DEBT_TO_TOT_CAP","FY 2018","FY 2018","Currency=INR","Period=FY","BEST_FPERIOD_OVERRIDE=FY","FILING_STATUS=OR","EQY_CONSOLIDATED=Y","Sort=A","Dates=H","DateFormat=P","Fill=—","Direction=H","UseDPDF=Y")</f>
        <v>#NAME?</v>
      </c>
      <c r="CM173" s="1" t="e">
        <f ca="1">_xll.BDH($C$153,"TOT_DEBT_TO_TOT_ASSET","FY 2018","FY 2018","Currency=INR","Period=FY","BEST_FPERIOD_OVERRIDE=FY","FILING_STATUS=OR","EQY_CONSOLIDATED=Y","Sort=A","Dates=H","DateFormat=P","Fill=—","Direction=H","UseDPDF=Y")</f>
        <v>#NAME?</v>
      </c>
      <c r="CN173" s="1" t="e">
        <f ca="1">_xll.BDH($C$153,"NET_DEBT_TO_SHRHLDR_EQTY","FY 2018","FY 2018","Currency=INR","Period=FY","BEST_FPERIOD_OVERRIDE=FY","FILING_STATUS=OR","EQY_CONSOLIDATED=Y","Sort=A","Dates=H","DateFormat=P","Fill=—","Direction=H","UseDPDF=Y")</f>
        <v>#NAME?</v>
      </c>
      <c r="CO173" s="1" t="e">
        <f ca="1">_xll.BDH($C$153,"NET_DEBT_%_CAPITAL","FY 2018","FY 2018","Currency=INR","Period=FY","BEST_FPERIOD_OVERRIDE=FY","FILING_STATUS=OR","EQY_CONSOLIDATED=Y","Sort=A","Dates=H","DateFormat=P","Fill=—","Direction=H","UseDPDF=Y")</f>
        <v>#NAME?</v>
      </c>
      <c r="CP173" s="2" t="e">
        <f ca="1">_xll.BDH($C$153,"EBITDA","FY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73" s="2" t="e">
        <f ca="1">_xll.BDH($C$153,"EBITDA_AFTER_CAPEX","FY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73" s="2" t="e">
        <f ca="1">_xll.BDH($C$153,"IS_OPER_INC","FY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73" s="1" t="e">
        <f ca="1">_xll.BDH($C$153,"CASH_RATIO","FY 2018","FY 2018","Currency=INR","Period=FY","BEST_FPERIOD_OVERRIDE=FY","FILING_STATUS=OR","EQY_CONSOLIDATED=Y","Sort=A","Dates=H","DateFormat=P","Fill=—","Direction=H","UseDPDF=Y")</f>
        <v>#NAME?</v>
      </c>
      <c r="CT173" s="1" t="e">
        <f ca="1">_xll.BDH($C$153,"CUR_RATIO","FY 2018","FY 2018","Currency=INR","Period=FY","BEST_FPERIOD_OVERRIDE=FY","FILING_STATUS=OR","EQY_CONSOLIDATED=Y","Sort=A","Dates=H","DateFormat=P","Fill=—","Direction=H","UseDPDF=Y")</f>
        <v>#NAME?</v>
      </c>
      <c r="CU173" s="1" t="e">
        <f ca="1">_xll.BDH($C$153,"QUICK_RATIO","FY 2018","FY 2018","Currency=INR","Period=FY","BEST_FPERIOD_OVERRIDE=FY","FILING_STATUS=OR","EQY_CONSOLIDATED=Y","Sort=A","Dates=H","DateFormat=P","Fill=—","Direction=H","UseDPDF=Y")</f>
        <v>#NAME?</v>
      </c>
      <c r="CV173" s="1" t="e">
        <f ca="1">_xll.BDH($C$153,"ALTMAN_Z_SCORE","FY 2018","FY 2018","Currency=INR","Period=FY","BEST_FPERIOD_OVERRIDE=FY","FILING_STATUS=OR","EQY_CONSOLIDATED=Y","Sort=A","Dates=H","DateFormat=P","Fill=—","Direction=H","UseDPDF=Y")</f>
        <v>#NAME?</v>
      </c>
      <c r="CW173" s="3" t="e">
        <f ca="1">_xll.BDH($C$153,"ACCT_RCV_TURN","FY 2018","FY 2018","Currency=INR","Period=FY","BEST_FPERIOD_OVERRIDE=FY","FILING_STATUS=OR","EQY_CONSOLIDATED=Y","FA_ADJUSTED=GAAP","Sort=A","Dates=H","DateFormat=P","Fill=—","Direction=H","UseDPDF=Y")</f>
        <v>#NAME?</v>
      </c>
      <c r="CX173" s="1" t="e">
        <f ca="1">_xll.BDH($C$153,"ACCT_RCV_DAYS","FY 2018","FY 2018","Currency=INR","Period=FY","BEST_FPERIOD_OVERRIDE=FY","FILING_STATUS=OR","EQY_CONSOLIDATED=Y","FA_ADJUSTED=GAAP","Sort=A","Dates=H","DateFormat=P","Fill=—","Direction=H","UseDPDF=Y")</f>
        <v>#NAME?</v>
      </c>
      <c r="CY173" s="3" t="e">
        <f ca="1">_xll.BDH($C$153,"INVENT_TURN","FY 2018","FY 2018","Currency=INR","Period=FY","BEST_FPERIOD_OVERRIDE=FY","FILING_STATUS=OR","EQY_CONSOLIDATED=Y","FA_ADJUSTED=GAAP","Sort=A","Dates=H","DateFormat=P","Fill=—","Direction=H","UseDPDF=Y")</f>
        <v>#NAME?</v>
      </c>
      <c r="CZ173" s="1" t="e">
        <f ca="1">_xll.BDH($C$153,"INVENT_DAYS","FY 2018","FY 2018","Currency=INR","Period=FY","BEST_FPERIOD_OVERRIDE=FY","FILING_STATUS=OR","EQY_CONSOLIDATED=Y","FA_ADJUSTED=GAAP","Sort=A","Dates=H","DateFormat=P","Fill=—","Direction=H","UseDPDF=Y")</f>
        <v>#NAME?</v>
      </c>
      <c r="DA173" s="3" t="e">
        <f ca="1">_xll.BDH($C$153,"ACCOUNTS_PAYABLE_TURNOVER","FY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73" s="1" t="e">
        <f ca="1">_xll.BDH($C$153,"ACCOUNTS_PAYABLE_TURNOVER_DAYS","FY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73" s="3" t="e">
        <f ca="1">_xll.BDH($C$153,"CASH_CONVERSION_CYCLE","FY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73" s="3" t="e">
        <f ca="1">_xll.BDH($C$153,"INV_TO_CASH_DAYS","FY 2018","FY 2018","Currency=INR","Period=FY","BEST_FPERIOD_OVERRIDE=FY","FILING_STATUS=OR","EQY_CONSOLIDATED=Y","FA_ADJUSTED=GAAP","Sort=A","Dates=H","DateFormat=P","Fill=—","Direction=H","UseDPDF=Y")</f>
        <v>#NAME?</v>
      </c>
      <c r="DE173" s="4" t="e">
        <f ca="1">_xll.BDH($C$153,"BS_INVENTORIES","FY 2018","FY 2018","Currency=INR","Period=FY","BEST_FPERIOD_OVERRIDE=FY","FILING_STATUS=OR","EQY_CONSOLIDATED=Y","SCALING_FORMAT=MLN","Sort=A","Dates=H","DateFormat=P","Fill=—","Direction=H","UseDPDF=Y")</f>
        <v>#NAME?</v>
      </c>
      <c r="DF173" s="2" t="e">
        <f ca="1">_xll.BDH($C$153,"INVTRY_RAW_MATERIALS","FY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73" s="2" t="e">
        <f ca="1">_xll.BDH($C$153,"INVTRY_IN_PROGRESS","FY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73" s="2" t="e">
        <f ca="1">_xll.BDH($C$153,"INVTRY_FINISHED_GOODS","FY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73" s="2" t="e">
        <f ca="1">_xll.BDH($C$153,"BS_OTHER_INV","FY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74" spans="1:113" x14ac:dyDescent="0.3">
      <c r="A174" s="6"/>
      <c r="B174" s="6"/>
      <c r="C174" s="6"/>
      <c r="D174" s="6"/>
      <c r="E174" t="s">
        <v>4</v>
      </c>
      <c r="F174" t="e">
        <f ca="1">_xll.BDH($C$153,"RETURN_COM_EQY","FQ1 2018","FQ1 2018","Currency=INR","Period=FQ","BEST_FPERIOD_OVERRIDE=FQ","FILING_STATUS=OR","EQY_CONSOLIDATED=Y","FA_ADJUSTED=GAAP","Sort=A","Dates=H","DateFormat=P","Fill=—","Direction=H","UseDPDF=Y")</f>
        <v>#NAME?</v>
      </c>
      <c r="G174" t="e">
        <f ca="1">_xll.BDH($C$153,"RETURN_ON_ASSET","FQ1 2018","FQ1 2018","Currency=INR","Period=FQ","BEST_FPERIOD_OVERRIDE=FQ","FILING_STATUS=OR","EQY_CONSOLIDATED=Y","FA_ADJUSTED=GAAP","Sort=A","Dates=H","DateFormat=P","Fill=—","Direction=H","UseDPDF=Y")</f>
        <v>#NAME?</v>
      </c>
      <c r="H174" t="e">
        <f ca="1">_xll.BDH($C$153,"RETURN_ON_CAP","FQ1 2018","FQ1 2018","Currency=INR","Period=FQ","BEST_FPERIOD_OVERRIDE=FQ","FILING_STATUS=OR","EQY_CONSOLIDATED=Y","FA_ADJUSTED=GAAP","Sort=A","Dates=H","DateFormat=P","Fill=—","Direction=H","UseDPDF=Y")</f>
        <v>#NAME?</v>
      </c>
      <c r="I174" t="e">
        <f ca="1">_xll.BDH($C$153,"RETURN_ON_INV_CAPITAL","FQ1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74" t="e">
        <f ca="1">_xll.BDH($C$153,"EBITDA_TO_REVENUE","FQ1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174" t="e">
        <f ca="1">_xll.BDH($C$153,"OPER_MARGIN","FQ1 2018","FQ1 2018","Currency=INR","Period=FQ","BEST_FPERIOD_OVERRIDE=FQ","FILING_STATUS=OR","EQY_CONSOLIDATED=Y","FA_ADJUSTED=GAAP","Sort=A","Dates=H","DateFormat=P","Fill=—","Direction=H","UseDPDF=Y")</f>
        <v>#NAME?</v>
      </c>
      <c r="L174" t="e">
        <f ca="1">_xll.BDH($C$153,"INCREMENTAL_OPERATING_MARGIN","FQ1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74" t="e">
        <f ca="1">_xll.BDH($C$153,"PRETAX_INC_TO_NET_SALES","FQ1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74" t="e">
        <f ca="1">_xll.BDH($C$153,"INC_BEF_XO_ITEMS_TO_NET_SALES","FQ1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74" t="e">
        <f ca="1">_xll.BDH($C$153,"PROF_MARGIN","FQ1 2018","FQ1 2018","Currency=INR","Period=FQ","BEST_FPERIOD_OVERRIDE=FQ","FILING_STATUS=OR","EQY_CONSOLIDATED=Y","FA_ADJUSTED=GAAP","Sort=A","Dates=H","DateFormat=P","Fill=—","Direction=H","UseDPDF=Y")</f>
        <v>#NAME?</v>
      </c>
      <c r="P174" t="e">
        <f ca="1">_xll.BDH($C$153,"NET_INCOME_TO_COMMON_MARGIN","FQ1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74" t="e">
        <f ca="1">_xll.BDH($C$153,"EFF_TAX_RATE","FQ1 2018","FQ1 2018","Currency=INR","Period=FQ","BEST_FPERIOD_OVERRIDE=FQ","FILING_STATUS=OR","EQY_CONSOLIDATED=Y","FA_ADJUSTED=GAAP","Sort=A","Dates=H","DateFormat=P","Fill=—","Direction=H","UseDPDF=Y")</f>
        <v>#NAME?</v>
      </c>
      <c r="R174" t="e">
        <f ca="1">_xll.BDH($C$153,"DVD_PAYOUT_RATIO","FQ1 2018","FQ1 2018","Currency=INR","Period=FQ","BEST_FPERIOD_OVERRIDE=FQ","FILING_STATUS=OR","EQY_CONSOLIDATED=Y","FA_ADJUSTED=GAAP","Sort=A","Dates=H","DateFormat=P","Fill=—","Direction=H","UseDPDF=Y")</f>
        <v>#NAME?</v>
      </c>
      <c r="S174" t="e">
        <f ca="1">_xll.BDH($C$153,"SUSTAIN_GROWTH_RT","FQ1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174" s="1" t="e">
        <f ca="1">_xll.BDH($C$153,"SALES_GROWTH","FQ1 2018","FQ1 2018","Currency=INR","Period=FQ","BEST_FPERIOD_OVERRIDE=FQ","FILING_STATUS=OR","EQY_CONSOLIDATED=Y","FA_ADJUSTED=GAAP","Sort=A","Dates=H","DateFormat=P","Fill=—","Direction=H","UseDPDF=Y")</f>
        <v>#NAME?</v>
      </c>
      <c r="U174" s="1" t="e">
        <f ca="1">_xll.BDH($C$153,"EBITDA_GROWTH","FQ1 2018","FQ1 2018","Currency=INR","Period=FQ","BEST_FPERIOD_OVERRIDE=FQ","FILING_STATUS=OR","EQY_CONSOLIDATED=Y","FA_ADJUSTED=GAAP","Sort=A","Dates=H","DateFormat=P","Fill=—","Direction=H","UseDPDF=Y")</f>
        <v>#NAME?</v>
      </c>
      <c r="V174" s="1" t="e">
        <f ca="1">_xll.BDH($C$153,"OPER_INC_GROWTH","FQ1 2018","FQ1 2018","Currency=INR","Period=FQ","BEST_FPERIOD_OVERRIDE=FQ","FILING_STATUS=OR","EQY_CONSOLIDATED=Y","FA_ADJUSTED=GAAP","Sort=A","Dates=H","DateFormat=P","Fill=—","Direction=H","UseDPDF=Y")</f>
        <v>#NAME?</v>
      </c>
      <c r="W174" s="1" t="e">
        <f ca="1">_xll.BDH($C$153,"EARN_FOR_COM_GROWTH","FQ1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74" s="1" t="e">
        <f ca="1">_xll.BDH($C$153,"DILUTED_EPS_AFT_XO_ITEMS_GROWTH","FQ1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74" s="1" t="e">
        <f ca="1">_xll.BDH($C$153,"DIVIDEND_PER_SHARE_1_YEAR_GROWTH","FQ1 2018","FQ1 2018","Currency=INR","Period=FQ","BEST_FPERIOD_OVERRIDE=FQ","FILING_STATUS=OR","EQY_CONSOLIDATED=Y","Sort=A","Dates=H","DateFormat=P","Fill=—","Direction=H","UseDPDF=Y")</f>
        <v>#NAME?</v>
      </c>
      <c r="Z174" s="1" t="e">
        <f ca="1">_xll.BDH($C$153,"ACCOUNTS_RECEIVABLE_GROWTH","FQ1 2018","FQ1 2018","Currency=INR","Period=FQ","BEST_FPERIOD_OVERRIDE=FQ","FILING_STATUS=OR","EQY_CONSOLIDATED=Y","Sort=A","Dates=H","DateFormat=P","Fill=—","Direction=H","UseDPDF=Y")</f>
        <v>#NAME?</v>
      </c>
      <c r="AA174" s="1" t="e">
        <f ca="1">_xll.BDH($C$153,"INVENTORY_GROWTH","FQ1 2018","FQ1 2018","Currency=INR","Period=FQ","BEST_FPERIOD_OVERRIDE=FQ","FILING_STATUS=OR","EQY_CONSOLIDATED=Y","Sort=A","Dates=H","DateFormat=P","Fill=—","Direction=H","UseDPDF=Y")</f>
        <v>#NAME?</v>
      </c>
      <c r="AB174" s="1" t="e">
        <f ca="1">_xll.BDH($C$153,"NET_FIXED_ASSETS_1_YEAR_GROWTH","FQ1 2018","FQ1 2018","Currency=INR","Period=FQ","BEST_FPERIOD_OVERRIDE=FQ","FILING_STATUS=OR","EQY_CONSOLIDATED=Y","Sort=A","Dates=H","DateFormat=P","Fill=—","Direction=H","UseDPDF=Y")</f>
        <v>#NAME?</v>
      </c>
      <c r="AC174" s="1" t="e">
        <f ca="1">_xll.BDH($C$153,"ASSET_GROWTH","FQ1 2018","FQ1 2018","Currency=INR","Period=FQ","BEST_FPERIOD_OVERRIDE=FQ","FILING_STATUS=OR","EQY_CONSOLIDATED=Y","Sort=A","Dates=H","DateFormat=P","Fill=—","Direction=H","UseDPDF=Y")</f>
        <v>#NAME?</v>
      </c>
      <c r="AD174" s="1" t="e">
        <f ca="1">_xll.BDH($C$153,"MODIFIED_WORK_CAP_GROWTH","FQ1 2018","FQ1 2018","Currency=INR","Period=FQ","BEST_FPERIOD_OVERRIDE=FQ","FILING_STATUS=OR","EQY_CONSOLIDATED=Y","Sort=A","Dates=H","DateFormat=P","Fill=—","Direction=H","UseDPDF=Y")</f>
        <v>#NAME?</v>
      </c>
      <c r="AE174" s="1" t="e">
        <f ca="1">_xll.BDH($C$153,"WORK_CAP_GROWTH","FQ1 2018","FQ1 2018","Currency=INR","Period=FQ","BEST_FPERIOD_OVERRIDE=FQ","FILING_STATUS=OR","EQY_CONSOLIDATED=Y","Sort=A","Dates=H","DateFormat=P","Fill=—","Direction=H","UseDPDF=Y")</f>
        <v>#NAME?</v>
      </c>
      <c r="AF174" s="1" t="e">
        <f ca="1">_xll.BDH($C$153,"ACCOUNTS_PAYABLE_GROWTH_1YR","FQ1 2018","FQ1 2018","Currency=INR","Period=FQ","BEST_FPERIOD_OVERRIDE=FQ","FILING_STATUS=OR","EQY_CONSOLIDATED=Y","Sort=A","Dates=H","DateFormat=P","Fill=—","Direction=H","UseDPDF=Y")</f>
        <v>#NAME?</v>
      </c>
      <c r="AG174" s="1" t="e">
        <f ca="1">_xll.BDH($C$153,"SHORT_TERM_DEBT_1_YEAR_GROWTH","FQ1 2018","FQ1 2018","Currency=INR","Period=FQ","BEST_FPERIOD_OVERRIDE=FQ","FILING_STATUS=OR","EQY_CONSOLIDATED=Y","Sort=A","Dates=H","DateFormat=P","Fill=—","Direction=H","UseDPDF=Y")</f>
        <v>#NAME?</v>
      </c>
      <c r="AH174" s="1" t="e">
        <f ca="1">_xll.BDH($C$153,"TOTAL_DEBT_1_YEAR_GROWTH","FQ1 2018","FQ1 2018","Currency=INR","Period=FQ","BEST_FPERIOD_OVERRIDE=FQ","FILING_STATUS=OR","EQY_CONSOLIDATED=Y","Sort=A","Dates=H","DateFormat=P","Fill=—","Direction=H","UseDPDF=Y")</f>
        <v>#NAME?</v>
      </c>
      <c r="AI174" s="1" t="e">
        <f ca="1">_xll.BDH($C$153,"TOTAL_EQUITY_1_YEAR_GROWTH","FQ1 2018","FQ1 2018","Currency=INR","Period=FQ","BEST_FPERIOD_OVERRIDE=FQ","FILING_STATUS=OR","EQY_CONSOLIDATED=Y","Sort=A","Dates=H","DateFormat=P","Fill=—","Direction=H","UseDPDF=Y")</f>
        <v>#NAME?</v>
      </c>
      <c r="AJ174" s="1" t="e">
        <f ca="1">_xll.BDH($C$153,"GROWTH_IN_CAP","FQ1 2018","FQ1 2018","Currency=INR","Period=FQ","BEST_FPERIOD_OVERRIDE=FQ","FILING_STATUS=OR","EQY_CONSOLIDATED=Y","Sort=A","Dates=H","DateFormat=P","Fill=—","Direction=H","UseDPDF=Y")</f>
        <v>#NAME?</v>
      </c>
      <c r="AK174" s="1" t="e">
        <f ca="1">_xll.BDH($C$153,"BVPS_GROWTH","FQ1 2018","FQ1 2018","Currency=INR","Period=FQ","BEST_FPERIOD_OVERRIDE=FQ","FILING_STATUS=OR","EQY_CONSOLIDATED=Y","Sort=A","Dates=H","DateFormat=P","Fill=—","Direction=H","UseDPDF=Y")</f>
        <v>#NAME?</v>
      </c>
      <c r="AL174" s="1" t="e">
        <f ca="1">_xll.BDH($C$153,"CASH_FLOW_GROWTH","FQ1 2018","FQ1 2018","Currency=INR","Period=FQ","BEST_FPERIOD_OVERRIDE=FQ","FILING_STATUS=OR","EQY_CONSOLIDATED=Y","Sort=A","Dates=H","DateFormat=P","Fill=—","Direction=H","UseDPDF=Y")</f>
        <v>#NAME?</v>
      </c>
      <c r="AM174" s="1" t="e">
        <f ca="1">_xll.BDH($C$153,"GEO_GROW_NET_SALES","FQ1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74" s="1" t="e">
        <f ca="1">_xll.BDH($C$153,"GEO_GROW_EBITDA","FQ1 2018","FQ1 2018","Currency=INR","Period=FQ","BEST_FPERIOD_OVERRIDE=FQ","FILING_STATUS=OR","EQY_CONSOLIDATED=Y","FA_ADJUSTED=GAAP","Sort=A","Dates=H","DateFormat=P","Fill=—","Direction=H","UseDPDF=Y")</f>
        <v>#NAME?</v>
      </c>
      <c r="AO174" s="1" t="e">
        <f ca="1">_xll.BDH($C$153,"GEO_GROW_OPER_INC","FQ1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74" s="1" t="e">
        <f ca="1">_xll.BDH($C$153,"NET_INCOME_TO_COMMON_5_YR_GROWTH","FQ1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74" s="1" t="e">
        <f ca="1">_xll.BDH($C$153,"5Y_GEO_GROWTH_DILUTED_EPS","FQ1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74" s="1" t="e">
        <f ca="1">_xll.BDH($C$153,"GEO_GROW_DVD_PER_SH","FQ1 2018","FQ1 2018","Currency=INR","Period=FQ","BEST_FPERIOD_OVERRIDE=FQ","FILING_STATUS=OR","EQY_CONSOLIDATED=Y","Sort=A","Dates=H","DateFormat=P","Fill=—","Direction=H","UseDPDF=Y")</f>
        <v>#NAME?</v>
      </c>
      <c r="AS174" s="1" t="e">
        <f ca="1">_xll.BDH($C$153,"ACCOUNTS_RECEIVABLE_5_YR_GROWTH","FQ1 2018","FQ1 2018","Currency=INR","Period=FQ","BEST_FPERIOD_OVERRIDE=FQ","FILING_STATUS=OR","EQY_CONSOLIDATED=Y","Sort=A","Dates=H","DateFormat=P","Fill=—","Direction=H","UseDPDF=Y")</f>
        <v>#NAME?</v>
      </c>
      <c r="AT174" s="1" t="e">
        <f ca="1">_xll.BDH($C$153,"INVENTORY_5_YEAR_GROWTH","FQ1 2018","FQ1 2018","Currency=INR","Period=FQ","BEST_FPERIOD_OVERRIDE=FQ","FILING_STATUS=OR","EQY_CONSOLIDATED=Y","Sort=A","Dates=H","DateFormat=P","Fill=—","Direction=H","UseDPDF=Y")</f>
        <v>#NAME?</v>
      </c>
      <c r="AU174" s="1" t="e">
        <f ca="1">_xll.BDH($C$153,"NET_FIXED_ASSETS_5_YEAR_GROWTH","FQ1 2018","FQ1 2018","Currency=INR","Period=FQ","BEST_FPERIOD_OVERRIDE=FQ","FILING_STATUS=OR","EQY_CONSOLIDATED=Y","Sort=A","Dates=H","DateFormat=P","Fill=—","Direction=H","UseDPDF=Y")</f>
        <v>#NAME?</v>
      </c>
      <c r="AV174" s="1" t="e">
        <f ca="1">_xll.BDH($C$153,"GEO_GROW_TOT_ASSET","FQ1 2018","FQ1 2018","Currency=INR","Period=FQ","BEST_FPERIOD_OVERRIDE=FQ","FILING_STATUS=OR","EQY_CONSOLIDATED=Y","Sort=A","Dates=H","DateFormat=P","Fill=—","Direction=H","UseDPDF=Y")</f>
        <v>#NAME?</v>
      </c>
      <c r="AW174" s="1" t="e">
        <f ca="1">_xll.BDH($C$153,"MODIFIED_WORKING_CPTL_5YR_GRWTH","FQ1 2018","FQ1 2018","Currency=INR","Period=FQ","BEST_FPERIOD_OVERRIDE=FQ","FILING_STATUS=OR","EQY_CONSOLIDATED=Y","Sort=A","Dates=H","DateFormat=P","Fill=—","Direction=H","UseDPDF=Y")</f>
        <v>#NAME?</v>
      </c>
      <c r="AX174" s="1" t="e">
        <f ca="1">_xll.BDH($C$153,"WORKING_CAPITAL_5_YEAR_GROWTH","FQ1 2018","FQ1 2018","Currency=INR","Period=FQ","BEST_FPERIOD_OVERRIDE=FQ","FILING_STATUS=OR","EQY_CONSOLIDATED=Y","Sort=A","Dates=H","DateFormat=P","Fill=—","Direction=H","UseDPDF=Y")</f>
        <v>#NAME?</v>
      </c>
      <c r="AY174" s="1" t="e">
        <f ca="1">_xll.BDH($C$153,"ACCOUNTS_PAYABLE_5_YEAR_GROWTH","FQ1 2018","FQ1 2018","Currency=INR","Period=FQ","BEST_FPERIOD_OVERRIDE=FQ","FILING_STATUS=OR","EQY_CONSOLIDATED=Y","Sort=A","Dates=H","DateFormat=P","Fill=—","Direction=H","UseDPDF=Y")</f>
        <v>#NAME?</v>
      </c>
      <c r="AZ174" s="1" t="e">
        <f ca="1">_xll.BDH($C$153,"SHORT_TERM_DEBT_5_YEAR_GROWTH","FQ1 2018","FQ1 2018","Currency=INR","Period=FQ","BEST_FPERIOD_OVERRIDE=FQ","FILING_STATUS=OR","EQY_CONSOLIDATED=Y","Sort=A","Dates=H","DateFormat=P","Fill=—","Direction=H","UseDPDF=Y")</f>
        <v>#NAME?</v>
      </c>
      <c r="BA174" s="1" t="e">
        <f ca="1">_xll.BDH($C$153,"TOTAL_DEBT_5_YEAR_GROWTH","FQ1 2018","FQ1 2018","Currency=INR","Period=FQ","BEST_FPERIOD_OVERRIDE=FQ","FILING_STATUS=OR","EQY_CONSOLIDATED=Y","Sort=A","Dates=H","DateFormat=P","Fill=—","Direction=H","UseDPDF=Y")</f>
        <v>#NAME?</v>
      </c>
      <c r="BB174" s="1" t="e">
        <f ca="1">_xll.BDH($C$153,"GEO_GROW_TOT_SHRHLDR_EQY","FQ1 2018","FQ1 2018","Currency=INR","Period=FQ","BEST_FPERIOD_OVERRIDE=FQ","FILING_STATUS=OR","EQY_CONSOLIDATED=Y","Sort=A","Dates=H","DateFormat=P","Fill=—","Direction=H","UseDPDF=Y")</f>
        <v>#NAME?</v>
      </c>
      <c r="BC174" s="1" t="e">
        <f ca="1">_xll.BDH($C$153,"TOTAL_CAPITAL_5_YEAR_GROWTH","FQ1 2018","FQ1 2018","Currency=INR","Period=FQ","BEST_FPERIOD_OVERRIDE=FQ","FILING_STATUS=OR","EQY_CONSOLIDATED=Y","Sort=A","Dates=H","DateFormat=P","Fill=—","Direction=H","UseDPDF=Y")</f>
        <v>#NAME?</v>
      </c>
      <c r="BD174" s="1" t="e">
        <f ca="1">_xll.BDH($C$153,"GEO_GROW_BOOK_VAL","FQ1 2018","FQ1 2018","Currency=INR","Period=FQ","BEST_FPERIOD_OVERRIDE=FQ","FILING_STATUS=OR","EQY_CONSOLIDATED=Y","Sort=A","Dates=H","DateFormat=P","Fill=—","Direction=H","UseDPDF=Y")</f>
        <v>#NAME?</v>
      </c>
      <c r="BE174" s="1" t="e">
        <f ca="1">_xll.BDH($C$153,"GEO_GROW_CASH_OPER_ACT","FQ1 2018","FQ1 2018","Currency=INR","Period=FQ","BEST_FPERIOD_OVERRIDE=FQ","FILING_STATUS=OR","EQY_CONSOLIDATED=Y","Sort=A","Dates=H","DateFormat=P","Fill=—","Direction=H","UseDPDF=Y")</f>
        <v>#NAME?</v>
      </c>
      <c r="BF174" s="1" t="e">
        <f ca="1">_xll.BDH($C$153,"REVENUE_SEQUENTIAL_GROWTH","FQ1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74" s="1" t="e">
        <f ca="1">_xll.BDH($C$153,"EBITDA_SEQUENTIAL_GROWTH","FQ1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74" s="1" t="e">
        <f ca="1">_xll.BDH($C$153,"OPERATING_INCOME_SEQ_GROWTH","FQ1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74" s="1" t="e">
        <f ca="1">_xll.BDH($C$153,"NET_INCOME_TO_COMMON_SEQ_GROWTH","FQ1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74" s="1" t="e">
        <f ca="1">_xll.BDH($C$153,"EPS_DILUTED_SEQUENTIAL_GROWTH","FQ1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74" s="1" t="e">
        <f ca="1">_xll.BDH($C$153,"DPS_SEQUENTIAL_GROWTH","FQ1 2018","FQ1 2018","Currency=INR","Period=FQ","BEST_FPERIOD_OVERRIDE=FQ","FILING_STATUS=OR","EQY_CONSOLIDATED=Y","Sort=A","Dates=H","DateFormat=P","Fill=—","Direction=H","UseDPDF=Y")</f>
        <v>#NAME?</v>
      </c>
      <c r="BL174" s="1" t="e">
        <f ca="1">_xll.BDH($C$153,"ACCOUNTS_RECEIVABLE_SEQ_GROWTH","FQ1 2018","FQ1 2018","Currency=INR","Period=FQ","BEST_FPERIOD_OVERRIDE=FQ","FILING_STATUS=OR","EQY_CONSOLIDATED=Y","Sort=A","Dates=H","DateFormat=P","Fill=—","Direction=H","UseDPDF=Y")</f>
        <v>#NAME?</v>
      </c>
      <c r="BM174" s="1" t="e">
        <f ca="1">_xll.BDH($C$153,"INVENTORY_SEQUENTIAL_GROWTH","FQ1 2018","FQ1 2018","Currency=INR","Period=FQ","BEST_FPERIOD_OVERRIDE=FQ","FILING_STATUS=OR","EQY_CONSOLIDATED=Y","Sort=A","Dates=H","DateFormat=P","Fill=—","Direction=H","UseDPDF=Y")</f>
        <v>#NAME?</v>
      </c>
      <c r="BN174" s="1" t="e">
        <f ca="1">_xll.BDH($C$153,"FIXED_ASSETS_SEQUENTIAL_GROWTH","FQ1 2018","FQ1 2018","Currency=INR","Period=FQ","BEST_FPERIOD_OVERRIDE=FQ","FILING_STATUS=OR","EQY_CONSOLIDATED=Y","Sort=A","Dates=H","DateFormat=P","Fill=—","Direction=H","UseDPDF=Y")</f>
        <v>#NAME?</v>
      </c>
      <c r="BO174" s="1" t="e">
        <f ca="1">_xll.BDH($C$153,"TOTAL_ASSETS_SEQUENTIAL_GROWTH","FQ1 2018","FQ1 2018","Currency=INR","Period=FQ","BEST_FPERIOD_OVERRIDE=FQ","FILING_STATUS=OR","EQY_CONSOLIDATED=Y","Sort=A","Dates=H","DateFormat=P","Fill=—","Direction=H","UseDPDF=Y")</f>
        <v>#NAME?</v>
      </c>
      <c r="BP174" s="1" t="e">
        <f ca="1">_xll.BDH($C$153,"MODIFIED_WORKING_CPTL_SEQ_GRWTH","FQ1 2018","FQ1 2018","Currency=INR","Period=FQ","BEST_FPERIOD_OVERRIDE=FQ","FILING_STATUS=OR","EQY_CONSOLIDATED=Y","Sort=A","Dates=H","DateFormat=P","Fill=—","Direction=H","UseDPDF=Y")</f>
        <v>#NAME?</v>
      </c>
      <c r="BQ174" s="1" t="e">
        <f ca="1">_xll.BDH($C$153,"WORKING_CAPITAL_SEQ_GROWTH","FQ1 2018","FQ1 2018","Currency=INR","Period=FQ","BEST_FPERIOD_OVERRIDE=FQ","FILING_STATUS=OR","EQY_CONSOLIDATED=Y","Sort=A","Dates=H","DateFormat=P","Fill=—","Direction=H","UseDPDF=Y")</f>
        <v>#NAME?</v>
      </c>
      <c r="BR174" s="1" t="e">
        <f ca="1">_xll.BDH($C$153,"ACCOUNTS_PAYABLE_SEQ_GROWTH","FQ1 2018","FQ1 2018","Currency=INR","Period=FQ","BEST_FPERIOD_OVERRIDE=FQ","FILING_STATUS=OR","EQY_CONSOLIDATED=Y","Sort=A","Dates=H","DateFormat=P","Fill=—","Direction=H","UseDPDF=Y")</f>
        <v>#NAME?</v>
      </c>
      <c r="BS174" s="1" t="e">
        <f ca="1">_xll.BDH($C$153,"ST_DEBT_SEQUENTIAL_GROWTH","FQ1 2018","FQ1 2018","Currency=INR","Period=FQ","BEST_FPERIOD_OVERRIDE=FQ","FILING_STATUS=OR","EQY_CONSOLIDATED=Y","Sort=A","Dates=H","DateFormat=P","Fill=—","Direction=H","UseDPDF=Y")</f>
        <v>#NAME?</v>
      </c>
      <c r="BT174" s="1" t="e">
        <f ca="1">_xll.BDH($C$153,"TOTAL_DEBT_SEQUENTIAL_GROWTH","FQ1 2018","FQ1 2018","Currency=INR","Period=FQ","BEST_FPERIOD_OVERRIDE=FQ","FILING_STATUS=OR","EQY_CONSOLIDATED=Y","Sort=A","Dates=H","DateFormat=P","Fill=—","Direction=H","UseDPDF=Y")</f>
        <v>#NAME?</v>
      </c>
      <c r="BU174" s="1" t="e">
        <f ca="1">_xll.BDH($C$153,"TOTAL_EQUITY_SEQUENTIAL_GROWTH","FQ1 2018","FQ1 2018","Currency=INR","Period=FQ","BEST_FPERIOD_OVERRIDE=FQ","FILING_STATUS=OR","EQY_CONSOLIDATED=Y","Sort=A","Dates=H","DateFormat=P","Fill=—","Direction=H","UseDPDF=Y")</f>
        <v>#NAME?</v>
      </c>
      <c r="BV174" s="1" t="e">
        <f ca="1">_xll.BDH($C$153,"TOTAL_CAPITAL_SEQUENTIAL_GROWTH","FQ1 2018","FQ1 2018","Currency=INR","Period=FQ","BEST_FPERIOD_OVERRIDE=FQ","FILING_STATUS=OR","EQY_CONSOLIDATED=Y","Sort=A","Dates=H","DateFormat=P","Fill=—","Direction=H","UseDPDF=Y")</f>
        <v>#NAME?</v>
      </c>
      <c r="BW174" s="1" t="e">
        <f ca="1">_xll.BDH($C$153,"BPS_SEQUENTIAL_GROWTH","FQ1 2018","FQ1 2018","Currency=INR","Period=FQ","BEST_FPERIOD_OVERRIDE=FQ","FILING_STATUS=OR","EQY_CONSOLIDATED=Y","Sort=A","Dates=H","DateFormat=P","Fill=—","Direction=H","UseDPDF=Y")</f>
        <v>#NAME?</v>
      </c>
      <c r="BX174" s="1" t="e">
        <f ca="1">_xll.BDH($C$153,"CFO_SEQUENTIAL_GROWTH","FQ1 2018","FQ1 2018","Currency=INR","Period=FQ","BEST_FPERIOD_OVERRIDE=FQ","FILING_STATUS=OR","EQY_CONSOLIDATED=Y","Sort=A","Dates=H","DateFormat=P","Fill=—","Direction=H","UseDPDF=Y")</f>
        <v>#NAME?</v>
      </c>
      <c r="BY174" s="2" t="e">
        <f ca="1">_xll.BDH($C$153,"SHORT_AND_LONG_TERM_DEBT","FQ1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74" s="2" t="e">
        <f ca="1">_xll.BDH($C$153,"BS_ST_BORROW","FQ1 2018","FQ1 2018","Currency=INR","Period=FQ","BEST_FPERIOD_OVERRIDE=FQ","FILING_STATUS=OR","EQY_CONSOLIDATED=Y","SCALING_FORMAT=MLN","Sort=A","Dates=H","DateFormat=P","Fill=—","Direction=H","UseDPDF=Y")</f>
        <v>#NAME?</v>
      </c>
      <c r="CA174" s="2" t="e">
        <f ca="1">_xll.BDH($C$153,"BS_LT_BORROW","FQ1 2018","FQ1 2018","Currency=INR","Period=FQ","BEST_FPERIOD_OVERRIDE=FQ","FILING_STATUS=OR","EQY_CONSOLIDATED=Y","SCALING_FORMAT=MLN","Sort=A","Dates=H","DateFormat=P","Fill=—","Direction=H","UseDPDF=Y")</f>
        <v>#NAME?</v>
      </c>
      <c r="CB174" s="1" t="e">
        <f ca="1">_xll.BDH($C$153,"TOT_DEBT_TO_EBITDA","FQ1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74" s="1" t="e">
        <f ca="1">_xll.BDH($C$153,"NET_DEBT_TO_EBITDA","FQ1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74" s="1" t="e">
        <f ca="1">_xll.BDH($C$153,"TOTAL_DEBT_TO_EBIT","FQ1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74" s="1" t="e">
        <f ca="1">_xll.BDH($C$153,"NET_DEBT_TO_EBIT","FQ1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174" s="1" t="e">
        <f ca="1">_xll.BDH($C$153,"EBITDA_TO_INTEREST_EXPN","FQ1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74" s="1" t="e">
        <f ca="1">_xll.BDH($C$153,"COM_EQY_TO_TOT_ASSET","FQ1 2018","FQ1 2018","Currency=INR","Period=FQ","BEST_FPERIOD_OVERRIDE=FQ","FILING_STATUS=OR","EQY_CONSOLIDATED=Y","Sort=A","Dates=H","DateFormat=P","Fill=—","Direction=H","UseDPDF=Y")</f>
        <v>#NAME?</v>
      </c>
      <c r="CH174" s="1" t="e">
        <f ca="1">_xll.BDH($C$153,"LT_DEBT_TO_TOT_EQY","FQ1 2018","FQ1 2018","Currency=INR","Period=FQ","BEST_FPERIOD_OVERRIDE=FQ","FILING_STATUS=OR","EQY_CONSOLIDATED=Y","Sort=A","Dates=H","DateFormat=P","Fill=—","Direction=H","UseDPDF=Y")</f>
        <v>#NAME?</v>
      </c>
      <c r="CI174" s="1" t="e">
        <f ca="1">_xll.BDH($C$153,"LT_DEBT_TO_TOT_CAP","FQ1 2018","FQ1 2018","Currency=INR","Period=FQ","BEST_FPERIOD_OVERRIDE=FQ","FILING_STATUS=OR","EQY_CONSOLIDATED=Y","Sort=A","Dates=H","DateFormat=P","Fill=—","Direction=H","UseDPDF=Y")</f>
        <v>#NAME?</v>
      </c>
      <c r="CJ174" s="1" t="e">
        <f ca="1">_xll.BDH($C$153,"LT_DEBT_TO_TOT_ASSET","FQ1 2018","FQ1 2018","Currency=INR","Period=FQ","BEST_FPERIOD_OVERRIDE=FQ","FILING_STATUS=OR","EQY_CONSOLIDATED=Y","Sort=A","Dates=H","DateFormat=P","Fill=—","Direction=H","UseDPDF=Y")</f>
        <v>#NAME?</v>
      </c>
      <c r="CK174" s="1" t="e">
        <f ca="1">_xll.BDH($C$153,"TOT_DEBT_TO_TOT_EQY","FQ1 2018","FQ1 2018","Currency=INR","Period=FQ","BEST_FPERIOD_OVERRIDE=FQ","FILING_STATUS=OR","EQY_CONSOLIDATED=Y","Sort=A","Dates=H","DateFormat=P","Fill=—","Direction=H","UseDPDF=Y")</f>
        <v>#NAME?</v>
      </c>
      <c r="CL174" s="1" t="e">
        <f ca="1">_xll.BDH($C$153,"TOT_DEBT_TO_TOT_CAP","FQ1 2018","FQ1 2018","Currency=INR","Period=FQ","BEST_FPERIOD_OVERRIDE=FQ","FILING_STATUS=OR","EQY_CONSOLIDATED=Y","Sort=A","Dates=H","DateFormat=P","Fill=—","Direction=H","UseDPDF=Y")</f>
        <v>#NAME?</v>
      </c>
      <c r="CM174" s="1" t="e">
        <f ca="1">_xll.BDH($C$153,"TOT_DEBT_TO_TOT_ASSET","FQ1 2018","FQ1 2018","Currency=INR","Period=FQ","BEST_FPERIOD_OVERRIDE=FQ","FILING_STATUS=OR","EQY_CONSOLIDATED=Y","Sort=A","Dates=H","DateFormat=P","Fill=—","Direction=H","UseDPDF=Y")</f>
        <v>#NAME?</v>
      </c>
      <c r="CN174" s="1" t="e">
        <f ca="1">_xll.BDH($C$153,"NET_DEBT_TO_SHRHLDR_EQTY","FQ1 2018","FQ1 2018","Currency=INR","Period=FQ","BEST_FPERIOD_OVERRIDE=FQ","FILING_STATUS=OR","EQY_CONSOLIDATED=Y","Sort=A","Dates=H","DateFormat=P","Fill=—","Direction=H","UseDPDF=Y")</f>
        <v>#NAME?</v>
      </c>
      <c r="CO174" s="1" t="e">
        <f ca="1">_xll.BDH($C$153,"NET_DEBT_%_CAPITAL","FQ1 2018","FQ1 2018","Currency=INR","Period=FQ","BEST_FPERIOD_OVERRIDE=FQ","FILING_STATUS=OR","EQY_CONSOLIDATED=Y","Sort=A","Dates=H","DateFormat=P","Fill=—","Direction=H","UseDPDF=Y")</f>
        <v>#NAME?</v>
      </c>
      <c r="CP174" s="2" t="e">
        <f ca="1">_xll.BDH($C$153,"EBITDA","FQ1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74" s="2" t="e">
        <f ca="1">_xll.BDH($C$153,"EBITDA_AFTER_CAPEX","FQ1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74" s="2" t="e">
        <f ca="1">_xll.BDH($C$153,"IS_OPER_INC","FQ1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74" s="1" t="e">
        <f ca="1">_xll.BDH($C$153,"CASH_RATIO","FQ1 2018","FQ1 2018","Currency=INR","Period=FQ","BEST_FPERIOD_OVERRIDE=FQ","FILING_STATUS=OR","EQY_CONSOLIDATED=Y","Sort=A","Dates=H","DateFormat=P","Fill=—","Direction=H","UseDPDF=Y")</f>
        <v>#NAME?</v>
      </c>
      <c r="CT174" s="1" t="e">
        <f ca="1">_xll.BDH($C$153,"CUR_RATIO","FQ1 2018","FQ1 2018","Currency=INR","Period=FQ","BEST_FPERIOD_OVERRIDE=FQ","FILING_STATUS=OR","EQY_CONSOLIDATED=Y","Sort=A","Dates=H","DateFormat=P","Fill=—","Direction=H","UseDPDF=Y")</f>
        <v>#NAME?</v>
      </c>
      <c r="CU174" s="1" t="e">
        <f ca="1">_xll.BDH($C$153,"QUICK_RATIO","FQ1 2018","FQ1 2018","Currency=INR","Period=FQ","BEST_FPERIOD_OVERRIDE=FQ","FILING_STATUS=OR","EQY_CONSOLIDATED=Y","Sort=A","Dates=H","DateFormat=P","Fill=—","Direction=H","UseDPDF=Y")</f>
        <v>#NAME?</v>
      </c>
      <c r="CV174" s="1" t="e">
        <f ca="1">_xll.BDH($C$153,"ALTMAN_Z_SCORE","FQ1 2018","FQ1 2018","Currency=INR","Period=FQ","BEST_FPERIOD_OVERRIDE=FQ","FILING_STATUS=OR","EQY_CONSOLIDATED=Y","Sort=A","Dates=H","DateFormat=P","Fill=—","Direction=H","UseDPDF=Y")</f>
        <v>#NAME?</v>
      </c>
      <c r="CW174" s="3" t="e">
        <f ca="1">_xll.BDH($C$153,"ACCT_RCV_TURN","FQ1 2018","FQ1 2018","Currency=INR","Period=FQ","BEST_FPERIOD_OVERRIDE=FQ","FILING_STATUS=OR","EQY_CONSOLIDATED=Y","FA_ADJUSTED=GAAP","Sort=A","Dates=H","DateFormat=P","Fill=—","Direction=H","UseDPDF=Y")</f>
        <v>#NAME?</v>
      </c>
      <c r="CX174" s="1" t="e">
        <f ca="1">_xll.BDH($C$153,"ACCT_RCV_DAYS","FQ1 2018","FQ1 2018","Currency=INR","Period=FQ","BEST_FPERIOD_OVERRIDE=FQ","FILING_STATUS=OR","EQY_CONSOLIDATED=Y","FA_ADJUSTED=GAAP","Sort=A","Dates=H","DateFormat=P","Fill=—","Direction=H","UseDPDF=Y")</f>
        <v>#NAME?</v>
      </c>
      <c r="CY174" s="3" t="e">
        <f ca="1">_xll.BDH($C$153,"INVENT_TURN","FQ1 2018","FQ1 2018","Currency=INR","Period=FQ","BEST_FPERIOD_OVERRIDE=FQ","FILING_STATUS=OR","EQY_CONSOLIDATED=Y","FA_ADJUSTED=GAAP","Sort=A","Dates=H","DateFormat=P","Fill=—","Direction=H","UseDPDF=Y")</f>
        <v>#NAME?</v>
      </c>
      <c r="CZ174" s="1" t="e">
        <f ca="1">_xll.BDH($C$153,"INVENT_DAYS","FQ1 2018","FQ1 2018","Currency=INR","Period=FQ","BEST_FPERIOD_OVERRIDE=FQ","FILING_STATUS=OR","EQY_CONSOLIDATED=Y","FA_ADJUSTED=GAAP","Sort=A","Dates=H","DateFormat=P","Fill=—","Direction=H","UseDPDF=Y")</f>
        <v>#NAME?</v>
      </c>
      <c r="DA174" s="3" t="e">
        <f ca="1">_xll.BDH($C$153,"ACCOUNTS_PAYABLE_TURNOVER","FQ1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74" s="1" t="e">
        <f ca="1">_xll.BDH($C$153,"ACCOUNTS_PAYABLE_TURNOVER_DAYS","FQ1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74" s="3" t="e">
        <f ca="1">_xll.BDH($C$153,"CASH_CONVERSION_CYCLE","FQ1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74" s="3" t="e">
        <f ca="1">_xll.BDH($C$153,"INV_TO_CASH_DAYS","FQ1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174" s="4" t="e">
        <f ca="1">_xll.BDH($C$153,"BS_INVENTORIES","FQ1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174" s="2" t="e">
        <f ca="1">_xll.BDH($C$153,"INVTRY_RAW_MATERIALS","FQ1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74" s="2" t="e">
        <f ca="1">_xll.BDH($C$153,"INVTRY_IN_PROGRESS","FQ1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74" s="2" t="e">
        <f ca="1">_xll.BDH($C$153,"INVTRY_FINISHED_GOODS","FQ1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74" s="2" t="e">
        <f ca="1">_xll.BDH($C$153,"BS_OTHER_INV","FQ1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75" spans="1:113" x14ac:dyDescent="0.3">
      <c r="A175" s="6"/>
      <c r="B175" s="6"/>
      <c r="C175" s="6"/>
      <c r="D175" s="6"/>
      <c r="E175" t="s">
        <v>5</v>
      </c>
      <c r="F175" t="e">
        <f ca="1">_xll.BDH($C$153,"RETURN_COM_EQY","FQ2 2018","FQ2 2018","Currency=INR","Period=FQ","BEST_FPERIOD_OVERRIDE=FQ","FILING_STATUS=OR","EQY_CONSOLIDATED=Y","FA_ADJUSTED=GAAP","Sort=A","Dates=H","DateFormat=P","Fill=—","Direction=H","UseDPDF=Y")</f>
        <v>#NAME?</v>
      </c>
      <c r="G175" t="e">
        <f ca="1">_xll.BDH($C$153,"RETURN_ON_ASSET","FQ2 2018","FQ2 2018","Currency=INR","Period=FQ","BEST_FPERIOD_OVERRIDE=FQ","FILING_STATUS=OR","EQY_CONSOLIDATED=Y","FA_ADJUSTED=GAAP","Sort=A","Dates=H","DateFormat=P","Fill=—","Direction=H","UseDPDF=Y")</f>
        <v>#NAME?</v>
      </c>
      <c r="H175" t="e">
        <f ca="1">_xll.BDH($C$153,"RETURN_ON_CAP","FQ2 2018","FQ2 2018","Currency=INR","Period=FQ","BEST_FPERIOD_OVERRIDE=FQ","FILING_STATUS=OR","EQY_CONSOLIDATED=Y","FA_ADJUSTED=GAAP","Sort=A","Dates=H","DateFormat=P","Fill=—","Direction=H","UseDPDF=Y")</f>
        <v>#NAME?</v>
      </c>
      <c r="I175" t="e">
        <f ca="1">_xll.BDH($C$153,"RETURN_ON_INV_CAPITAL","FQ2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75" t="e">
        <f ca="1">_xll.BDH($C$153,"EBITDA_TO_REVENUE","FQ2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175" t="e">
        <f ca="1">_xll.BDH($C$153,"OPER_MARGIN","FQ2 2018","FQ2 2018","Currency=INR","Period=FQ","BEST_FPERIOD_OVERRIDE=FQ","FILING_STATUS=OR","EQY_CONSOLIDATED=Y","FA_ADJUSTED=GAAP","Sort=A","Dates=H","DateFormat=P","Fill=—","Direction=H","UseDPDF=Y")</f>
        <v>#NAME?</v>
      </c>
      <c r="L175" t="e">
        <f ca="1">_xll.BDH($C$153,"INCREMENTAL_OPERATING_MARGIN","FQ2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75" t="e">
        <f ca="1">_xll.BDH($C$153,"PRETAX_INC_TO_NET_SALES","FQ2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75" t="e">
        <f ca="1">_xll.BDH($C$153,"INC_BEF_XO_ITEMS_TO_NET_SALES","FQ2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75" t="e">
        <f ca="1">_xll.BDH($C$153,"PROF_MARGIN","FQ2 2018","FQ2 2018","Currency=INR","Period=FQ","BEST_FPERIOD_OVERRIDE=FQ","FILING_STATUS=OR","EQY_CONSOLIDATED=Y","FA_ADJUSTED=GAAP","Sort=A","Dates=H","DateFormat=P","Fill=—","Direction=H","UseDPDF=Y")</f>
        <v>#NAME?</v>
      </c>
      <c r="P175" t="e">
        <f ca="1">_xll.BDH($C$153,"NET_INCOME_TO_COMMON_MARGIN","FQ2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75" t="e">
        <f ca="1">_xll.BDH($C$153,"EFF_TAX_RATE","FQ2 2018","FQ2 2018","Currency=INR","Period=FQ","BEST_FPERIOD_OVERRIDE=FQ","FILING_STATUS=OR","EQY_CONSOLIDATED=Y","FA_ADJUSTED=GAAP","Sort=A","Dates=H","DateFormat=P","Fill=—","Direction=H","UseDPDF=Y")</f>
        <v>#NAME?</v>
      </c>
      <c r="R175" t="e">
        <f ca="1">_xll.BDH($C$153,"DVD_PAYOUT_RATIO","FQ2 2018","FQ2 2018","Currency=INR","Period=FQ","BEST_FPERIOD_OVERRIDE=FQ","FILING_STATUS=OR","EQY_CONSOLIDATED=Y","FA_ADJUSTED=GAAP","Sort=A","Dates=H","DateFormat=P","Fill=—","Direction=H","UseDPDF=Y")</f>
        <v>#NAME?</v>
      </c>
      <c r="S175" t="e">
        <f ca="1">_xll.BDH($C$153,"SUSTAIN_GROWTH_RT","FQ2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175" s="1" t="e">
        <f ca="1">_xll.BDH($C$153,"SALES_GROWTH","FQ2 2018","FQ2 2018","Currency=INR","Period=FQ","BEST_FPERIOD_OVERRIDE=FQ","FILING_STATUS=OR","EQY_CONSOLIDATED=Y","FA_ADJUSTED=GAAP","Sort=A","Dates=H","DateFormat=P","Fill=—","Direction=H","UseDPDF=Y")</f>
        <v>#NAME?</v>
      </c>
      <c r="U175" s="1" t="e">
        <f ca="1">_xll.BDH($C$153,"EBITDA_GROWTH","FQ2 2018","FQ2 2018","Currency=INR","Period=FQ","BEST_FPERIOD_OVERRIDE=FQ","FILING_STATUS=OR","EQY_CONSOLIDATED=Y","FA_ADJUSTED=GAAP","Sort=A","Dates=H","DateFormat=P","Fill=—","Direction=H","UseDPDF=Y")</f>
        <v>#NAME?</v>
      </c>
      <c r="V175" s="1" t="e">
        <f ca="1">_xll.BDH($C$153,"OPER_INC_GROWTH","FQ2 2018","FQ2 2018","Currency=INR","Period=FQ","BEST_FPERIOD_OVERRIDE=FQ","FILING_STATUS=OR","EQY_CONSOLIDATED=Y","FA_ADJUSTED=GAAP","Sort=A","Dates=H","DateFormat=P","Fill=—","Direction=H","UseDPDF=Y")</f>
        <v>#NAME?</v>
      </c>
      <c r="W175" s="1" t="e">
        <f ca="1">_xll.BDH($C$153,"EARN_FOR_COM_GROWTH","FQ2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75" s="1" t="e">
        <f ca="1">_xll.BDH($C$153,"DILUTED_EPS_AFT_XO_ITEMS_GROWTH","FQ2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75" s="1" t="e">
        <f ca="1">_xll.BDH($C$153,"DIVIDEND_PER_SHARE_1_YEAR_GROWTH","FQ2 2018","FQ2 2018","Currency=INR","Period=FQ","BEST_FPERIOD_OVERRIDE=FQ","FILING_STATUS=OR","EQY_CONSOLIDATED=Y","Sort=A","Dates=H","DateFormat=P","Fill=—","Direction=H","UseDPDF=Y")</f>
        <v>#NAME?</v>
      </c>
      <c r="Z175" s="1" t="e">
        <f ca="1">_xll.BDH($C$153,"ACCOUNTS_RECEIVABLE_GROWTH","FQ2 2018","FQ2 2018","Currency=INR","Period=FQ","BEST_FPERIOD_OVERRIDE=FQ","FILING_STATUS=OR","EQY_CONSOLIDATED=Y","Sort=A","Dates=H","DateFormat=P","Fill=—","Direction=H","UseDPDF=Y")</f>
        <v>#NAME?</v>
      </c>
      <c r="AA175" s="1" t="e">
        <f ca="1">_xll.BDH($C$153,"INVENTORY_GROWTH","FQ2 2018","FQ2 2018","Currency=INR","Period=FQ","BEST_FPERIOD_OVERRIDE=FQ","FILING_STATUS=OR","EQY_CONSOLIDATED=Y","Sort=A","Dates=H","DateFormat=P","Fill=—","Direction=H","UseDPDF=Y")</f>
        <v>#NAME?</v>
      </c>
      <c r="AB175" s="1" t="e">
        <f ca="1">_xll.BDH($C$153,"NET_FIXED_ASSETS_1_YEAR_GROWTH","FQ2 2018","FQ2 2018","Currency=INR","Period=FQ","BEST_FPERIOD_OVERRIDE=FQ","FILING_STATUS=OR","EQY_CONSOLIDATED=Y","Sort=A","Dates=H","DateFormat=P","Fill=—","Direction=H","UseDPDF=Y")</f>
        <v>#NAME?</v>
      </c>
      <c r="AC175" s="1" t="e">
        <f ca="1">_xll.BDH($C$153,"ASSET_GROWTH","FQ2 2018","FQ2 2018","Currency=INR","Period=FQ","BEST_FPERIOD_OVERRIDE=FQ","FILING_STATUS=OR","EQY_CONSOLIDATED=Y","Sort=A","Dates=H","DateFormat=P","Fill=—","Direction=H","UseDPDF=Y")</f>
        <v>#NAME?</v>
      </c>
      <c r="AD175" s="1" t="e">
        <f ca="1">_xll.BDH($C$153,"MODIFIED_WORK_CAP_GROWTH","FQ2 2018","FQ2 2018","Currency=INR","Period=FQ","BEST_FPERIOD_OVERRIDE=FQ","FILING_STATUS=OR","EQY_CONSOLIDATED=Y","Sort=A","Dates=H","DateFormat=P","Fill=—","Direction=H","UseDPDF=Y")</f>
        <v>#NAME?</v>
      </c>
      <c r="AE175" s="1" t="e">
        <f ca="1">_xll.BDH($C$153,"WORK_CAP_GROWTH","FQ2 2018","FQ2 2018","Currency=INR","Period=FQ","BEST_FPERIOD_OVERRIDE=FQ","FILING_STATUS=OR","EQY_CONSOLIDATED=Y","Sort=A","Dates=H","DateFormat=P","Fill=—","Direction=H","UseDPDF=Y")</f>
        <v>#NAME?</v>
      </c>
      <c r="AF175" s="1" t="e">
        <f ca="1">_xll.BDH($C$153,"ACCOUNTS_PAYABLE_GROWTH_1YR","FQ2 2018","FQ2 2018","Currency=INR","Period=FQ","BEST_FPERIOD_OVERRIDE=FQ","FILING_STATUS=OR","EQY_CONSOLIDATED=Y","Sort=A","Dates=H","DateFormat=P","Fill=—","Direction=H","UseDPDF=Y")</f>
        <v>#NAME?</v>
      </c>
      <c r="AG175" s="1" t="e">
        <f ca="1">_xll.BDH($C$153,"SHORT_TERM_DEBT_1_YEAR_GROWTH","FQ2 2018","FQ2 2018","Currency=INR","Period=FQ","BEST_FPERIOD_OVERRIDE=FQ","FILING_STATUS=OR","EQY_CONSOLIDATED=Y","Sort=A","Dates=H","DateFormat=P","Fill=—","Direction=H","UseDPDF=Y")</f>
        <v>#NAME?</v>
      </c>
      <c r="AH175" s="1" t="e">
        <f ca="1">_xll.BDH($C$153,"TOTAL_DEBT_1_YEAR_GROWTH","FQ2 2018","FQ2 2018","Currency=INR","Period=FQ","BEST_FPERIOD_OVERRIDE=FQ","FILING_STATUS=OR","EQY_CONSOLIDATED=Y","Sort=A","Dates=H","DateFormat=P","Fill=—","Direction=H","UseDPDF=Y")</f>
        <v>#NAME?</v>
      </c>
      <c r="AI175" s="1" t="e">
        <f ca="1">_xll.BDH($C$153,"TOTAL_EQUITY_1_YEAR_GROWTH","FQ2 2018","FQ2 2018","Currency=INR","Period=FQ","BEST_FPERIOD_OVERRIDE=FQ","FILING_STATUS=OR","EQY_CONSOLIDATED=Y","Sort=A","Dates=H","DateFormat=P","Fill=—","Direction=H","UseDPDF=Y")</f>
        <v>#NAME?</v>
      </c>
      <c r="AJ175" s="1" t="e">
        <f ca="1">_xll.BDH($C$153,"GROWTH_IN_CAP","FQ2 2018","FQ2 2018","Currency=INR","Period=FQ","BEST_FPERIOD_OVERRIDE=FQ","FILING_STATUS=OR","EQY_CONSOLIDATED=Y","Sort=A","Dates=H","DateFormat=P","Fill=—","Direction=H","UseDPDF=Y")</f>
        <v>#NAME?</v>
      </c>
      <c r="AK175" s="1" t="e">
        <f ca="1">_xll.BDH($C$153,"BVPS_GROWTH","FQ2 2018","FQ2 2018","Currency=INR","Period=FQ","BEST_FPERIOD_OVERRIDE=FQ","FILING_STATUS=OR","EQY_CONSOLIDATED=Y","Sort=A","Dates=H","DateFormat=P","Fill=—","Direction=H","UseDPDF=Y")</f>
        <v>#NAME?</v>
      </c>
      <c r="AL175" s="1" t="e">
        <f ca="1">_xll.BDH($C$153,"CASH_FLOW_GROWTH","FQ2 2018","FQ2 2018","Currency=INR","Period=FQ","BEST_FPERIOD_OVERRIDE=FQ","FILING_STATUS=OR","EQY_CONSOLIDATED=Y","Sort=A","Dates=H","DateFormat=P","Fill=—","Direction=H","UseDPDF=Y")</f>
        <v>#NAME?</v>
      </c>
      <c r="AM175" s="1" t="e">
        <f ca="1">_xll.BDH($C$153,"GEO_GROW_NET_SALES","FQ2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75" s="1" t="e">
        <f ca="1">_xll.BDH($C$153,"GEO_GROW_EBITDA","FQ2 2018","FQ2 2018","Currency=INR","Period=FQ","BEST_FPERIOD_OVERRIDE=FQ","FILING_STATUS=OR","EQY_CONSOLIDATED=Y","FA_ADJUSTED=GAAP","Sort=A","Dates=H","DateFormat=P","Fill=—","Direction=H","UseDPDF=Y")</f>
        <v>#NAME?</v>
      </c>
      <c r="AO175" s="1" t="e">
        <f ca="1">_xll.BDH($C$153,"GEO_GROW_OPER_INC","FQ2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75" s="1" t="e">
        <f ca="1">_xll.BDH($C$153,"NET_INCOME_TO_COMMON_5_YR_GROWTH","FQ2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75" s="1" t="e">
        <f ca="1">_xll.BDH($C$153,"5Y_GEO_GROWTH_DILUTED_EPS","FQ2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75" s="1" t="e">
        <f ca="1">_xll.BDH($C$153,"GEO_GROW_DVD_PER_SH","FQ2 2018","FQ2 2018","Currency=INR","Period=FQ","BEST_FPERIOD_OVERRIDE=FQ","FILING_STATUS=OR","EQY_CONSOLIDATED=Y","Sort=A","Dates=H","DateFormat=P","Fill=—","Direction=H","UseDPDF=Y")</f>
        <v>#NAME?</v>
      </c>
      <c r="AS175" s="1" t="e">
        <f ca="1">_xll.BDH($C$153,"ACCOUNTS_RECEIVABLE_5_YR_GROWTH","FQ2 2018","FQ2 2018","Currency=INR","Period=FQ","BEST_FPERIOD_OVERRIDE=FQ","FILING_STATUS=OR","EQY_CONSOLIDATED=Y","Sort=A","Dates=H","DateFormat=P","Fill=—","Direction=H","UseDPDF=Y")</f>
        <v>#NAME?</v>
      </c>
      <c r="AT175" s="1" t="e">
        <f ca="1">_xll.BDH($C$153,"INVENTORY_5_YEAR_GROWTH","FQ2 2018","FQ2 2018","Currency=INR","Period=FQ","BEST_FPERIOD_OVERRIDE=FQ","FILING_STATUS=OR","EQY_CONSOLIDATED=Y","Sort=A","Dates=H","DateFormat=P","Fill=—","Direction=H","UseDPDF=Y")</f>
        <v>#NAME?</v>
      </c>
      <c r="AU175" s="1" t="e">
        <f ca="1">_xll.BDH($C$153,"NET_FIXED_ASSETS_5_YEAR_GROWTH","FQ2 2018","FQ2 2018","Currency=INR","Period=FQ","BEST_FPERIOD_OVERRIDE=FQ","FILING_STATUS=OR","EQY_CONSOLIDATED=Y","Sort=A","Dates=H","DateFormat=P","Fill=—","Direction=H","UseDPDF=Y")</f>
        <v>#NAME?</v>
      </c>
      <c r="AV175" s="1" t="e">
        <f ca="1">_xll.BDH($C$153,"GEO_GROW_TOT_ASSET","FQ2 2018","FQ2 2018","Currency=INR","Period=FQ","BEST_FPERIOD_OVERRIDE=FQ","FILING_STATUS=OR","EQY_CONSOLIDATED=Y","Sort=A","Dates=H","DateFormat=P","Fill=—","Direction=H","UseDPDF=Y")</f>
        <v>#NAME?</v>
      </c>
      <c r="AW175" s="1" t="e">
        <f ca="1">_xll.BDH($C$153,"MODIFIED_WORKING_CPTL_5YR_GRWTH","FQ2 2018","FQ2 2018","Currency=INR","Period=FQ","BEST_FPERIOD_OVERRIDE=FQ","FILING_STATUS=OR","EQY_CONSOLIDATED=Y","Sort=A","Dates=H","DateFormat=P","Fill=—","Direction=H","UseDPDF=Y")</f>
        <v>#NAME?</v>
      </c>
      <c r="AX175" s="1" t="e">
        <f ca="1">_xll.BDH($C$153,"WORKING_CAPITAL_5_YEAR_GROWTH","FQ2 2018","FQ2 2018","Currency=INR","Period=FQ","BEST_FPERIOD_OVERRIDE=FQ","FILING_STATUS=OR","EQY_CONSOLIDATED=Y","Sort=A","Dates=H","DateFormat=P","Fill=—","Direction=H","UseDPDF=Y")</f>
        <v>#NAME?</v>
      </c>
      <c r="AY175" s="1" t="e">
        <f ca="1">_xll.BDH($C$153,"ACCOUNTS_PAYABLE_5_YEAR_GROWTH","FQ2 2018","FQ2 2018","Currency=INR","Period=FQ","BEST_FPERIOD_OVERRIDE=FQ","FILING_STATUS=OR","EQY_CONSOLIDATED=Y","Sort=A","Dates=H","DateFormat=P","Fill=—","Direction=H","UseDPDF=Y")</f>
        <v>#NAME?</v>
      </c>
      <c r="AZ175" s="1" t="e">
        <f ca="1">_xll.BDH($C$153,"SHORT_TERM_DEBT_5_YEAR_GROWTH","FQ2 2018","FQ2 2018","Currency=INR","Period=FQ","BEST_FPERIOD_OVERRIDE=FQ","FILING_STATUS=OR","EQY_CONSOLIDATED=Y","Sort=A","Dates=H","DateFormat=P","Fill=—","Direction=H","UseDPDF=Y")</f>
        <v>#NAME?</v>
      </c>
      <c r="BA175" s="1" t="e">
        <f ca="1">_xll.BDH($C$153,"TOTAL_DEBT_5_YEAR_GROWTH","FQ2 2018","FQ2 2018","Currency=INR","Period=FQ","BEST_FPERIOD_OVERRIDE=FQ","FILING_STATUS=OR","EQY_CONSOLIDATED=Y","Sort=A","Dates=H","DateFormat=P","Fill=—","Direction=H","UseDPDF=Y")</f>
        <v>#NAME?</v>
      </c>
      <c r="BB175" s="1" t="e">
        <f ca="1">_xll.BDH($C$153,"GEO_GROW_TOT_SHRHLDR_EQY","FQ2 2018","FQ2 2018","Currency=INR","Period=FQ","BEST_FPERIOD_OVERRIDE=FQ","FILING_STATUS=OR","EQY_CONSOLIDATED=Y","Sort=A","Dates=H","DateFormat=P","Fill=—","Direction=H","UseDPDF=Y")</f>
        <v>#NAME?</v>
      </c>
      <c r="BC175" s="1" t="e">
        <f ca="1">_xll.BDH($C$153,"TOTAL_CAPITAL_5_YEAR_GROWTH","FQ2 2018","FQ2 2018","Currency=INR","Period=FQ","BEST_FPERIOD_OVERRIDE=FQ","FILING_STATUS=OR","EQY_CONSOLIDATED=Y","Sort=A","Dates=H","DateFormat=P","Fill=—","Direction=H","UseDPDF=Y")</f>
        <v>#NAME?</v>
      </c>
      <c r="BD175" s="1" t="e">
        <f ca="1">_xll.BDH($C$153,"GEO_GROW_BOOK_VAL","FQ2 2018","FQ2 2018","Currency=INR","Period=FQ","BEST_FPERIOD_OVERRIDE=FQ","FILING_STATUS=OR","EQY_CONSOLIDATED=Y","Sort=A","Dates=H","DateFormat=P","Fill=—","Direction=H","UseDPDF=Y")</f>
        <v>#NAME?</v>
      </c>
      <c r="BE175" s="1" t="e">
        <f ca="1">_xll.BDH($C$153,"GEO_GROW_CASH_OPER_ACT","FQ2 2018","FQ2 2018","Currency=INR","Period=FQ","BEST_FPERIOD_OVERRIDE=FQ","FILING_STATUS=OR","EQY_CONSOLIDATED=Y","Sort=A","Dates=H","DateFormat=P","Fill=—","Direction=H","UseDPDF=Y")</f>
        <v>#NAME?</v>
      </c>
      <c r="BF175" s="1" t="e">
        <f ca="1">_xll.BDH($C$153,"REVENUE_SEQUENTIAL_GROWTH","FQ2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75" s="1" t="e">
        <f ca="1">_xll.BDH($C$153,"EBITDA_SEQUENTIAL_GROWTH","FQ2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75" s="1" t="e">
        <f ca="1">_xll.BDH($C$153,"OPERATING_INCOME_SEQ_GROWTH","FQ2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75" s="1" t="e">
        <f ca="1">_xll.BDH($C$153,"NET_INCOME_TO_COMMON_SEQ_GROWTH","FQ2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75" s="1" t="e">
        <f ca="1">_xll.BDH($C$153,"EPS_DILUTED_SEQUENTIAL_GROWTH","FQ2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75" s="1" t="e">
        <f ca="1">_xll.BDH($C$153,"DPS_SEQUENTIAL_GROWTH","FQ2 2018","FQ2 2018","Currency=INR","Period=FQ","BEST_FPERIOD_OVERRIDE=FQ","FILING_STATUS=OR","EQY_CONSOLIDATED=Y","Sort=A","Dates=H","DateFormat=P","Fill=—","Direction=H","UseDPDF=Y")</f>
        <v>#NAME?</v>
      </c>
      <c r="BL175" s="1" t="e">
        <f ca="1">_xll.BDH($C$153,"ACCOUNTS_RECEIVABLE_SEQ_GROWTH","FQ2 2018","FQ2 2018","Currency=INR","Period=FQ","BEST_FPERIOD_OVERRIDE=FQ","FILING_STATUS=OR","EQY_CONSOLIDATED=Y","Sort=A","Dates=H","DateFormat=P","Fill=—","Direction=H","UseDPDF=Y")</f>
        <v>#NAME?</v>
      </c>
      <c r="BM175" s="1" t="e">
        <f ca="1">_xll.BDH($C$153,"INVENTORY_SEQUENTIAL_GROWTH","FQ2 2018","FQ2 2018","Currency=INR","Period=FQ","BEST_FPERIOD_OVERRIDE=FQ","FILING_STATUS=OR","EQY_CONSOLIDATED=Y","Sort=A","Dates=H","DateFormat=P","Fill=—","Direction=H","UseDPDF=Y")</f>
        <v>#NAME?</v>
      </c>
      <c r="BN175" s="1" t="e">
        <f ca="1">_xll.BDH($C$153,"FIXED_ASSETS_SEQUENTIAL_GROWTH","FQ2 2018","FQ2 2018","Currency=INR","Period=FQ","BEST_FPERIOD_OVERRIDE=FQ","FILING_STATUS=OR","EQY_CONSOLIDATED=Y","Sort=A","Dates=H","DateFormat=P","Fill=—","Direction=H","UseDPDF=Y")</f>
        <v>#NAME?</v>
      </c>
      <c r="BO175" s="1" t="e">
        <f ca="1">_xll.BDH($C$153,"TOTAL_ASSETS_SEQUENTIAL_GROWTH","FQ2 2018","FQ2 2018","Currency=INR","Period=FQ","BEST_FPERIOD_OVERRIDE=FQ","FILING_STATUS=OR","EQY_CONSOLIDATED=Y","Sort=A","Dates=H","DateFormat=P","Fill=—","Direction=H","UseDPDF=Y")</f>
        <v>#NAME?</v>
      </c>
      <c r="BP175" s="1" t="e">
        <f ca="1">_xll.BDH($C$153,"MODIFIED_WORKING_CPTL_SEQ_GRWTH","FQ2 2018","FQ2 2018","Currency=INR","Period=FQ","BEST_FPERIOD_OVERRIDE=FQ","FILING_STATUS=OR","EQY_CONSOLIDATED=Y","Sort=A","Dates=H","DateFormat=P","Fill=—","Direction=H","UseDPDF=Y")</f>
        <v>#NAME?</v>
      </c>
      <c r="BQ175" s="1" t="e">
        <f ca="1">_xll.BDH($C$153,"WORKING_CAPITAL_SEQ_GROWTH","FQ2 2018","FQ2 2018","Currency=INR","Period=FQ","BEST_FPERIOD_OVERRIDE=FQ","FILING_STATUS=OR","EQY_CONSOLIDATED=Y","Sort=A","Dates=H","DateFormat=P","Fill=—","Direction=H","UseDPDF=Y")</f>
        <v>#NAME?</v>
      </c>
      <c r="BR175" s="1" t="e">
        <f ca="1">_xll.BDH($C$153,"ACCOUNTS_PAYABLE_SEQ_GROWTH","FQ2 2018","FQ2 2018","Currency=INR","Period=FQ","BEST_FPERIOD_OVERRIDE=FQ","FILING_STATUS=OR","EQY_CONSOLIDATED=Y","Sort=A","Dates=H","DateFormat=P","Fill=—","Direction=H","UseDPDF=Y")</f>
        <v>#NAME?</v>
      </c>
      <c r="BS175" s="1" t="e">
        <f ca="1">_xll.BDH($C$153,"ST_DEBT_SEQUENTIAL_GROWTH","FQ2 2018","FQ2 2018","Currency=INR","Period=FQ","BEST_FPERIOD_OVERRIDE=FQ","FILING_STATUS=OR","EQY_CONSOLIDATED=Y","Sort=A","Dates=H","DateFormat=P","Fill=—","Direction=H","UseDPDF=Y")</f>
        <v>#NAME?</v>
      </c>
      <c r="BT175" s="1" t="e">
        <f ca="1">_xll.BDH($C$153,"TOTAL_DEBT_SEQUENTIAL_GROWTH","FQ2 2018","FQ2 2018","Currency=INR","Period=FQ","BEST_FPERIOD_OVERRIDE=FQ","FILING_STATUS=OR","EQY_CONSOLIDATED=Y","Sort=A","Dates=H","DateFormat=P","Fill=—","Direction=H","UseDPDF=Y")</f>
        <v>#NAME?</v>
      </c>
      <c r="BU175" s="1" t="e">
        <f ca="1">_xll.BDH($C$153,"TOTAL_EQUITY_SEQUENTIAL_GROWTH","FQ2 2018","FQ2 2018","Currency=INR","Period=FQ","BEST_FPERIOD_OVERRIDE=FQ","FILING_STATUS=OR","EQY_CONSOLIDATED=Y","Sort=A","Dates=H","DateFormat=P","Fill=—","Direction=H","UseDPDF=Y")</f>
        <v>#NAME?</v>
      </c>
      <c r="BV175" s="1" t="e">
        <f ca="1">_xll.BDH($C$153,"TOTAL_CAPITAL_SEQUENTIAL_GROWTH","FQ2 2018","FQ2 2018","Currency=INR","Period=FQ","BEST_FPERIOD_OVERRIDE=FQ","FILING_STATUS=OR","EQY_CONSOLIDATED=Y","Sort=A","Dates=H","DateFormat=P","Fill=—","Direction=H","UseDPDF=Y")</f>
        <v>#NAME?</v>
      </c>
      <c r="BW175" s="1" t="e">
        <f ca="1">_xll.BDH($C$153,"BPS_SEQUENTIAL_GROWTH","FQ2 2018","FQ2 2018","Currency=INR","Period=FQ","BEST_FPERIOD_OVERRIDE=FQ","FILING_STATUS=OR","EQY_CONSOLIDATED=Y","Sort=A","Dates=H","DateFormat=P","Fill=—","Direction=H","UseDPDF=Y")</f>
        <v>#NAME?</v>
      </c>
      <c r="BX175" s="1" t="e">
        <f ca="1">_xll.BDH($C$153,"CFO_SEQUENTIAL_GROWTH","FQ2 2018","FQ2 2018","Currency=INR","Period=FQ","BEST_FPERIOD_OVERRIDE=FQ","FILING_STATUS=OR","EQY_CONSOLIDATED=Y","Sort=A","Dates=H","DateFormat=P","Fill=—","Direction=H","UseDPDF=Y")</f>
        <v>#NAME?</v>
      </c>
      <c r="BY175" s="2" t="e">
        <f ca="1">_xll.BDH($C$153,"SHORT_AND_LONG_TERM_DEBT","FQ2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75" s="2" t="e">
        <f ca="1">_xll.BDH($C$153,"BS_ST_BORROW","FQ2 2018","FQ2 2018","Currency=INR","Period=FQ","BEST_FPERIOD_OVERRIDE=FQ","FILING_STATUS=OR","EQY_CONSOLIDATED=Y","SCALING_FORMAT=MLN","Sort=A","Dates=H","DateFormat=P","Fill=—","Direction=H","UseDPDF=Y")</f>
        <v>#NAME?</v>
      </c>
      <c r="CA175" s="2" t="e">
        <f ca="1">_xll.BDH($C$153,"BS_LT_BORROW","FQ2 2018","FQ2 2018","Currency=INR","Period=FQ","BEST_FPERIOD_OVERRIDE=FQ","FILING_STATUS=OR","EQY_CONSOLIDATED=Y","SCALING_FORMAT=MLN","Sort=A","Dates=H","DateFormat=P","Fill=—","Direction=H","UseDPDF=Y")</f>
        <v>#NAME?</v>
      </c>
      <c r="CB175" s="1" t="e">
        <f ca="1">_xll.BDH($C$153,"TOT_DEBT_TO_EBITDA","FQ2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75" s="1" t="e">
        <f ca="1">_xll.BDH($C$153,"NET_DEBT_TO_EBITDA","FQ2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75" s="1" t="e">
        <f ca="1">_xll.BDH($C$153,"TOTAL_DEBT_TO_EBIT","FQ2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75" s="1" t="e">
        <f ca="1">_xll.BDH($C$153,"NET_DEBT_TO_EBIT","FQ2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175" s="1" t="e">
        <f ca="1">_xll.BDH($C$153,"EBITDA_TO_INTEREST_EXPN","FQ2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75" s="1" t="e">
        <f ca="1">_xll.BDH($C$153,"COM_EQY_TO_TOT_ASSET","FQ2 2018","FQ2 2018","Currency=INR","Period=FQ","BEST_FPERIOD_OVERRIDE=FQ","FILING_STATUS=OR","EQY_CONSOLIDATED=Y","Sort=A","Dates=H","DateFormat=P","Fill=—","Direction=H","UseDPDF=Y")</f>
        <v>#NAME?</v>
      </c>
      <c r="CH175" s="1" t="e">
        <f ca="1">_xll.BDH($C$153,"LT_DEBT_TO_TOT_EQY","FQ2 2018","FQ2 2018","Currency=INR","Period=FQ","BEST_FPERIOD_OVERRIDE=FQ","FILING_STATUS=OR","EQY_CONSOLIDATED=Y","Sort=A","Dates=H","DateFormat=P","Fill=—","Direction=H","UseDPDF=Y")</f>
        <v>#NAME?</v>
      </c>
      <c r="CI175" s="1" t="e">
        <f ca="1">_xll.BDH($C$153,"LT_DEBT_TO_TOT_CAP","FQ2 2018","FQ2 2018","Currency=INR","Period=FQ","BEST_FPERIOD_OVERRIDE=FQ","FILING_STATUS=OR","EQY_CONSOLIDATED=Y","Sort=A","Dates=H","DateFormat=P","Fill=—","Direction=H","UseDPDF=Y")</f>
        <v>#NAME?</v>
      </c>
      <c r="CJ175" s="1" t="e">
        <f ca="1">_xll.BDH($C$153,"LT_DEBT_TO_TOT_ASSET","FQ2 2018","FQ2 2018","Currency=INR","Period=FQ","BEST_FPERIOD_OVERRIDE=FQ","FILING_STATUS=OR","EQY_CONSOLIDATED=Y","Sort=A","Dates=H","DateFormat=P","Fill=—","Direction=H","UseDPDF=Y")</f>
        <v>#NAME?</v>
      </c>
      <c r="CK175" s="1" t="e">
        <f ca="1">_xll.BDH($C$153,"TOT_DEBT_TO_TOT_EQY","FQ2 2018","FQ2 2018","Currency=INR","Period=FQ","BEST_FPERIOD_OVERRIDE=FQ","FILING_STATUS=OR","EQY_CONSOLIDATED=Y","Sort=A","Dates=H","DateFormat=P","Fill=—","Direction=H","UseDPDF=Y")</f>
        <v>#NAME?</v>
      </c>
      <c r="CL175" s="1" t="e">
        <f ca="1">_xll.BDH($C$153,"TOT_DEBT_TO_TOT_CAP","FQ2 2018","FQ2 2018","Currency=INR","Period=FQ","BEST_FPERIOD_OVERRIDE=FQ","FILING_STATUS=OR","EQY_CONSOLIDATED=Y","Sort=A","Dates=H","DateFormat=P","Fill=—","Direction=H","UseDPDF=Y")</f>
        <v>#NAME?</v>
      </c>
      <c r="CM175" s="1" t="e">
        <f ca="1">_xll.BDH($C$153,"TOT_DEBT_TO_TOT_ASSET","FQ2 2018","FQ2 2018","Currency=INR","Period=FQ","BEST_FPERIOD_OVERRIDE=FQ","FILING_STATUS=OR","EQY_CONSOLIDATED=Y","Sort=A","Dates=H","DateFormat=P","Fill=—","Direction=H","UseDPDF=Y")</f>
        <v>#NAME?</v>
      </c>
      <c r="CN175" s="1" t="e">
        <f ca="1">_xll.BDH($C$153,"NET_DEBT_TO_SHRHLDR_EQTY","FQ2 2018","FQ2 2018","Currency=INR","Period=FQ","BEST_FPERIOD_OVERRIDE=FQ","FILING_STATUS=OR","EQY_CONSOLIDATED=Y","Sort=A","Dates=H","DateFormat=P","Fill=—","Direction=H","UseDPDF=Y")</f>
        <v>#NAME?</v>
      </c>
      <c r="CO175" s="1" t="e">
        <f ca="1">_xll.BDH($C$153,"NET_DEBT_%_CAPITAL","FQ2 2018","FQ2 2018","Currency=INR","Period=FQ","BEST_FPERIOD_OVERRIDE=FQ","FILING_STATUS=OR","EQY_CONSOLIDATED=Y","Sort=A","Dates=H","DateFormat=P","Fill=—","Direction=H","UseDPDF=Y")</f>
        <v>#NAME?</v>
      </c>
      <c r="CP175" s="2" t="e">
        <f ca="1">_xll.BDH($C$153,"EBITDA","FQ2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75" s="2" t="e">
        <f ca="1">_xll.BDH($C$153,"EBITDA_AFTER_CAPEX","FQ2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75" s="2" t="e">
        <f ca="1">_xll.BDH($C$153,"IS_OPER_INC","FQ2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75" s="1" t="e">
        <f ca="1">_xll.BDH($C$153,"CASH_RATIO","FQ2 2018","FQ2 2018","Currency=INR","Period=FQ","BEST_FPERIOD_OVERRIDE=FQ","FILING_STATUS=OR","EQY_CONSOLIDATED=Y","Sort=A","Dates=H","DateFormat=P","Fill=—","Direction=H","UseDPDF=Y")</f>
        <v>#NAME?</v>
      </c>
      <c r="CT175" s="1" t="e">
        <f ca="1">_xll.BDH($C$153,"CUR_RATIO","FQ2 2018","FQ2 2018","Currency=INR","Period=FQ","BEST_FPERIOD_OVERRIDE=FQ","FILING_STATUS=OR","EQY_CONSOLIDATED=Y","Sort=A","Dates=H","DateFormat=P","Fill=—","Direction=H","UseDPDF=Y")</f>
        <v>#NAME?</v>
      </c>
      <c r="CU175" s="1" t="e">
        <f ca="1">_xll.BDH($C$153,"QUICK_RATIO","FQ2 2018","FQ2 2018","Currency=INR","Period=FQ","BEST_FPERIOD_OVERRIDE=FQ","FILING_STATUS=OR","EQY_CONSOLIDATED=Y","Sort=A","Dates=H","DateFormat=P","Fill=—","Direction=H","UseDPDF=Y")</f>
        <v>#NAME?</v>
      </c>
      <c r="CV175" s="1" t="e">
        <f ca="1">_xll.BDH($C$153,"ALTMAN_Z_SCORE","FQ2 2018","FQ2 2018","Currency=INR","Period=FQ","BEST_FPERIOD_OVERRIDE=FQ","FILING_STATUS=OR","EQY_CONSOLIDATED=Y","Sort=A","Dates=H","DateFormat=P","Fill=—","Direction=H","UseDPDF=Y")</f>
        <v>#NAME?</v>
      </c>
      <c r="CW175" s="3" t="e">
        <f ca="1">_xll.BDH($C$153,"ACCT_RCV_TURN","FQ2 2018","FQ2 2018","Currency=INR","Period=FQ","BEST_FPERIOD_OVERRIDE=FQ","FILING_STATUS=OR","EQY_CONSOLIDATED=Y","FA_ADJUSTED=GAAP","Sort=A","Dates=H","DateFormat=P","Fill=—","Direction=H","UseDPDF=Y")</f>
        <v>#NAME?</v>
      </c>
      <c r="CX175" s="1" t="e">
        <f ca="1">_xll.BDH($C$153,"ACCT_RCV_DAYS","FQ2 2018","FQ2 2018","Currency=INR","Period=FQ","BEST_FPERIOD_OVERRIDE=FQ","FILING_STATUS=OR","EQY_CONSOLIDATED=Y","FA_ADJUSTED=GAAP","Sort=A","Dates=H","DateFormat=P","Fill=—","Direction=H","UseDPDF=Y")</f>
        <v>#NAME?</v>
      </c>
      <c r="CY175" s="3" t="e">
        <f ca="1">_xll.BDH($C$153,"INVENT_TURN","FQ2 2018","FQ2 2018","Currency=INR","Period=FQ","BEST_FPERIOD_OVERRIDE=FQ","FILING_STATUS=OR","EQY_CONSOLIDATED=Y","FA_ADJUSTED=GAAP","Sort=A","Dates=H","DateFormat=P","Fill=—","Direction=H","UseDPDF=Y")</f>
        <v>#NAME?</v>
      </c>
      <c r="CZ175" s="1" t="e">
        <f ca="1">_xll.BDH($C$153,"INVENT_DAYS","FQ2 2018","FQ2 2018","Currency=INR","Period=FQ","BEST_FPERIOD_OVERRIDE=FQ","FILING_STATUS=OR","EQY_CONSOLIDATED=Y","FA_ADJUSTED=GAAP","Sort=A","Dates=H","DateFormat=P","Fill=—","Direction=H","UseDPDF=Y")</f>
        <v>#NAME?</v>
      </c>
      <c r="DA175" s="3" t="e">
        <f ca="1">_xll.BDH($C$153,"ACCOUNTS_PAYABLE_TURNOVER","FQ2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75" s="1" t="e">
        <f ca="1">_xll.BDH($C$153,"ACCOUNTS_PAYABLE_TURNOVER_DAYS","FQ2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75" s="3" t="e">
        <f ca="1">_xll.BDH($C$153,"CASH_CONVERSION_CYCLE","FQ2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75" s="3" t="e">
        <f ca="1">_xll.BDH($C$153,"INV_TO_CASH_DAYS","FQ2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175" s="4" t="e">
        <f ca="1">_xll.BDH($C$153,"BS_INVENTORIES","FQ2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175" s="2" t="e">
        <f ca="1">_xll.BDH($C$153,"INVTRY_RAW_MATERIALS","FQ2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75" s="2" t="e">
        <f ca="1">_xll.BDH($C$153,"INVTRY_IN_PROGRESS","FQ2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75" s="2" t="e">
        <f ca="1">_xll.BDH($C$153,"INVTRY_FINISHED_GOODS","FQ2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75" s="2" t="e">
        <f ca="1">_xll.BDH($C$153,"BS_OTHER_INV","FQ2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76" spans="1:113" x14ac:dyDescent="0.3">
      <c r="A176" s="6"/>
      <c r="B176" s="6"/>
      <c r="C176" s="6"/>
      <c r="D176" s="6"/>
      <c r="E176" t="s">
        <v>6</v>
      </c>
      <c r="F176" t="e">
        <f ca="1">_xll.BDH($C$153,"RETURN_COM_EQY","FQ3 2018","FQ3 2018","Currency=INR","Period=FQ","BEST_FPERIOD_OVERRIDE=FQ","FILING_STATUS=OR","EQY_CONSOLIDATED=Y","FA_ADJUSTED=GAAP","Sort=A","Dates=H","DateFormat=P","Fill=—","Direction=H","UseDPDF=Y")</f>
        <v>#NAME?</v>
      </c>
      <c r="G176" t="e">
        <f ca="1">_xll.BDH($C$153,"RETURN_ON_ASSET","FQ3 2018","FQ3 2018","Currency=INR","Period=FQ","BEST_FPERIOD_OVERRIDE=FQ","FILING_STATUS=OR","EQY_CONSOLIDATED=Y","FA_ADJUSTED=GAAP","Sort=A","Dates=H","DateFormat=P","Fill=—","Direction=H","UseDPDF=Y")</f>
        <v>#NAME?</v>
      </c>
      <c r="H176" t="e">
        <f ca="1">_xll.BDH($C$153,"RETURN_ON_CAP","FQ3 2018","FQ3 2018","Currency=INR","Period=FQ","BEST_FPERIOD_OVERRIDE=FQ","FILING_STATUS=OR","EQY_CONSOLIDATED=Y","FA_ADJUSTED=GAAP","Sort=A","Dates=H","DateFormat=P","Fill=—","Direction=H","UseDPDF=Y")</f>
        <v>#NAME?</v>
      </c>
      <c r="I176" t="e">
        <f ca="1">_xll.BDH($C$153,"RETURN_ON_INV_CAPITAL","FQ3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76" t="e">
        <f ca="1">_xll.BDH($C$153,"EBITDA_TO_REVENUE","FQ3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176" t="e">
        <f ca="1">_xll.BDH($C$153,"OPER_MARGIN","FQ3 2018","FQ3 2018","Currency=INR","Period=FQ","BEST_FPERIOD_OVERRIDE=FQ","FILING_STATUS=OR","EQY_CONSOLIDATED=Y","FA_ADJUSTED=GAAP","Sort=A","Dates=H","DateFormat=P","Fill=—","Direction=H","UseDPDF=Y")</f>
        <v>#NAME?</v>
      </c>
      <c r="L176" t="e">
        <f ca="1">_xll.BDH($C$153,"INCREMENTAL_OPERATING_MARGIN","FQ3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76" t="e">
        <f ca="1">_xll.BDH($C$153,"PRETAX_INC_TO_NET_SALES","FQ3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76" t="e">
        <f ca="1">_xll.BDH($C$153,"INC_BEF_XO_ITEMS_TO_NET_SALES","FQ3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76" t="e">
        <f ca="1">_xll.BDH($C$153,"PROF_MARGIN","FQ3 2018","FQ3 2018","Currency=INR","Period=FQ","BEST_FPERIOD_OVERRIDE=FQ","FILING_STATUS=OR","EQY_CONSOLIDATED=Y","FA_ADJUSTED=GAAP","Sort=A","Dates=H","DateFormat=P","Fill=—","Direction=H","UseDPDF=Y")</f>
        <v>#NAME?</v>
      </c>
      <c r="P176" t="e">
        <f ca="1">_xll.BDH($C$153,"NET_INCOME_TO_COMMON_MARGIN","FQ3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76" t="e">
        <f ca="1">_xll.BDH($C$153,"EFF_TAX_RATE","FQ3 2018","FQ3 2018","Currency=INR","Period=FQ","BEST_FPERIOD_OVERRIDE=FQ","FILING_STATUS=OR","EQY_CONSOLIDATED=Y","FA_ADJUSTED=GAAP","Sort=A","Dates=H","DateFormat=P","Fill=—","Direction=H","UseDPDF=Y")</f>
        <v>#NAME?</v>
      </c>
      <c r="R176" t="e">
        <f ca="1">_xll.BDH($C$153,"DVD_PAYOUT_RATIO","FQ3 2018","FQ3 2018","Currency=INR","Period=FQ","BEST_FPERIOD_OVERRIDE=FQ","FILING_STATUS=OR","EQY_CONSOLIDATED=Y","FA_ADJUSTED=GAAP","Sort=A","Dates=H","DateFormat=P","Fill=—","Direction=H","UseDPDF=Y")</f>
        <v>#NAME?</v>
      </c>
      <c r="S176" t="e">
        <f ca="1">_xll.BDH($C$153,"SUSTAIN_GROWTH_RT","FQ3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176" s="1" t="e">
        <f ca="1">_xll.BDH($C$153,"SALES_GROWTH","FQ3 2018","FQ3 2018","Currency=INR","Period=FQ","BEST_FPERIOD_OVERRIDE=FQ","FILING_STATUS=OR","EQY_CONSOLIDATED=Y","FA_ADJUSTED=GAAP","Sort=A","Dates=H","DateFormat=P","Fill=—","Direction=H","UseDPDF=Y")</f>
        <v>#NAME?</v>
      </c>
      <c r="U176" s="1" t="e">
        <f ca="1">_xll.BDH($C$153,"EBITDA_GROWTH","FQ3 2018","FQ3 2018","Currency=INR","Period=FQ","BEST_FPERIOD_OVERRIDE=FQ","FILING_STATUS=OR","EQY_CONSOLIDATED=Y","FA_ADJUSTED=GAAP","Sort=A","Dates=H","DateFormat=P","Fill=—","Direction=H","UseDPDF=Y")</f>
        <v>#NAME?</v>
      </c>
      <c r="V176" s="1" t="e">
        <f ca="1">_xll.BDH($C$153,"OPER_INC_GROWTH","FQ3 2018","FQ3 2018","Currency=INR","Period=FQ","BEST_FPERIOD_OVERRIDE=FQ","FILING_STATUS=OR","EQY_CONSOLIDATED=Y","FA_ADJUSTED=GAAP","Sort=A","Dates=H","DateFormat=P","Fill=—","Direction=H","UseDPDF=Y")</f>
        <v>#NAME?</v>
      </c>
      <c r="W176" s="1" t="e">
        <f ca="1">_xll.BDH($C$153,"EARN_FOR_COM_GROWTH","FQ3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76" s="1" t="e">
        <f ca="1">_xll.BDH($C$153,"DILUTED_EPS_AFT_XO_ITEMS_GROWTH","FQ3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76" s="1" t="e">
        <f ca="1">_xll.BDH($C$153,"DIVIDEND_PER_SHARE_1_YEAR_GROWTH","FQ3 2018","FQ3 2018","Currency=INR","Period=FQ","BEST_FPERIOD_OVERRIDE=FQ","FILING_STATUS=OR","EQY_CONSOLIDATED=Y","Sort=A","Dates=H","DateFormat=P","Fill=—","Direction=H","UseDPDF=Y")</f>
        <v>#NAME?</v>
      </c>
      <c r="Z176" s="1" t="e">
        <f ca="1">_xll.BDH($C$153,"ACCOUNTS_RECEIVABLE_GROWTH","FQ3 2018","FQ3 2018","Currency=INR","Period=FQ","BEST_FPERIOD_OVERRIDE=FQ","FILING_STATUS=OR","EQY_CONSOLIDATED=Y","Sort=A","Dates=H","DateFormat=P","Fill=—","Direction=H","UseDPDF=Y")</f>
        <v>#NAME?</v>
      </c>
      <c r="AA176" s="1" t="e">
        <f ca="1">_xll.BDH($C$153,"INVENTORY_GROWTH","FQ3 2018","FQ3 2018","Currency=INR","Period=FQ","BEST_FPERIOD_OVERRIDE=FQ","FILING_STATUS=OR","EQY_CONSOLIDATED=Y","Sort=A","Dates=H","DateFormat=P","Fill=—","Direction=H","UseDPDF=Y")</f>
        <v>#NAME?</v>
      </c>
      <c r="AB176" s="1" t="e">
        <f ca="1">_xll.BDH($C$153,"NET_FIXED_ASSETS_1_YEAR_GROWTH","FQ3 2018","FQ3 2018","Currency=INR","Period=FQ","BEST_FPERIOD_OVERRIDE=FQ","FILING_STATUS=OR","EQY_CONSOLIDATED=Y","Sort=A","Dates=H","DateFormat=P","Fill=—","Direction=H","UseDPDF=Y")</f>
        <v>#NAME?</v>
      </c>
      <c r="AC176" s="1" t="e">
        <f ca="1">_xll.BDH($C$153,"ASSET_GROWTH","FQ3 2018","FQ3 2018","Currency=INR","Period=FQ","BEST_FPERIOD_OVERRIDE=FQ","FILING_STATUS=OR","EQY_CONSOLIDATED=Y","Sort=A","Dates=H","DateFormat=P","Fill=—","Direction=H","UseDPDF=Y")</f>
        <v>#NAME?</v>
      </c>
      <c r="AD176" s="1" t="e">
        <f ca="1">_xll.BDH($C$153,"MODIFIED_WORK_CAP_GROWTH","FQ3 2018","FQ3 2018","Currency=INR","Period=FQ","BEST_FPERIOD_OVERRIDE=FQ","FILING_STATUS=OR","EQY_CONSOLIDATED=Y","Sort=A","Dates=H","DateFormat=P","Fill=—","Direction=H","UseDPDF=Y")</f>
        <v>#NAME?</v>
      </c>
      <c r="AE176" s="1" t="e">
        <f ca="1">_xll.BDH($C$153,"WORK_CAP_GROWTH","FQ3 2018","FQ3 2018","Currency=INR","Period=FQ","BEST_FPERIOD_OVERRIDE=FQ","FILING_STATUS=OR","EQY_CONSOLIDATED=Y","Sort=A","Dates=H","DateFormat=P","Fill=—","Direction=H","UseDPDF=Y")</f>
        <v>#NAME?</v>
      </c>
      <c r="AF176" s="1" t="e">
        <f ca="1">_xll.BDH($C$153,"ACCOUNTS_PAYABLE_GROWTH_1YR","FQ3 2018","FQ3 2018","Currency=INR","Period=FQ","BEST_FPERIOD_OVERRIDE=FQ","FILING_STATUS=OR","EQY_CONSOLIDATED=Y","Sort=A","Dates=H","DateFormat=P","Fill=—","Direction=H","UseDPDF=Y")</f>
        <v>#NAME?</v>
      </c>
      <c r="AG176" s="1" t="e">
        <f ca="1">_xll.BDH($C$153,"SHORT_TERM_DEBT_1_YEAR_GROWTH","FQ3 2018","FQ3 2018","Currency=INR","Period=FQ","BEST_FPERIOD_OVERRIDE=FQ","FILING_STATUS=OR","EQY_CONSOLIDATED=Y","Sort=A","Dates=H","DateFormat=P","Fill=—","Direction=H","UseDPDF=Y")</f>
        <v>#NAME?</v>
      </c>
      <c r="AH176" s="1" t="e">
        <f ca="1">_xll.BDH($C$153,"TOTAL_DEBT_1_YEAR_GROWTH","FQ3 2018","FQ3 2018","Currency=INR","Period=FQ","BEST_FPERIOD_OVERRIDE=FQ","FILING_STATUS=OR","EQY_CONSOLIDATED=Y","Sort=A","Dates=H","DateFormat=P","Fill=—","Direction=H","UseDPDF=Y")</f>
        <v>#NAME?</v>
      </c>
      <c r="AI176" s="1" t="e">
        <f ca="1">_xll.BDH($C$153,"TOTAL_EQUITY_1_YEAR_GROWTH","FQ3 2018","FQ3 2018","Currency=INR","Period=FQ","BEST_FPERIOD_OVERRIDE=FQ","FILING_STATUS=OR","EQY_CONSOLIDATED=Y","Sort=A","Dates=H","DateFormat=P","Fill=—","Direction=H","UseDPDF=Y")</f>
        <v>#NAME?</v>
      </c>
      <c r="AJ176" s="1" t="e">
        <f ca="1">_xll.BDH($C$153,"GROWTH_IN_CAP","FQ3 2018","FQ3 2018","Currency=INR","Period=FQ","BEST_FPERIOD_OVERRIDE=FQ","FILING_STATUS=OR","EQY_CONSOLIDATED=Y","Sort=A","Dates=H","DateFormat=P","Fill=—","Direction=H","UseDPDF=Y")</f>
        <v>#NAME?</v>
      </c>
      <c r="AK176" s="1" t="e">
        <f ca="1">_xll.BDH($C$153,"BVPS_GROWTH","FQ3 2018","FQ3 2018","Currency=INR","Period=FQ","BEST_FPERIOD_OVERRIDE=FQ","FILING_STATUS=OR","EQY_CONSOLIDATED=Y","Sort=A","Dates=H","DateFormat=P","Fill=—","Direction=H","UseDPDF=Y")</f>
        <v>#NAME?</v>
      </c>
      <c r="AL176" s="1" t="e">
        <f ca="1">_xll.BDH($C$153,"CASH_FLOW_GROWTH","FQ3 2018","FQ3 2018","Currency=INR","Period=FQ","BEST_FPERIOD_OVERRIDE=FQ","FILING_STATUS=OR","EQY_CONSOLIDATED=Y","Sort=A","Dates=H","DateFormat=P","Fill=—","Direction=H","UseDPDF=Y")</f>
        <v>#NAME?</v>
      </c>
      <c r="AM176" s="1" t="e">
        <f ca="1">_xll.BDH($C$153,"GEO_GROW_NET_SALES","FQ3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76" s="1" t="e">
        <f ca="1">_xll.BDH($C$153,"GEO_GROW_EBITDA","FQ3 2018","FQ3 2018","Currency=INR","Period=FQ","BEST_FPERIOD_OVERRIDE=FQ","FILING_STATUS=OR","EQY_CONSOLIDATED=Y","FA_ADJUSTED=GAAP","Sort=A","Dates=H","DateFormat=P","Fill=—","Direction=H","UseDPDF=Y")</f>
        <v>#NAME?</v>
      </c>
      <c r="AO176" s="1" t="e">
        <f ca="1">_xll.BDH($C$153,"GEO_GROW_OPER_INC","FQ3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76" s="1" t="e">
        <f ca="1">_xll.BDH($C$153,"NET_INCOME_TO_COMMON_5_YR_GROWTH","FQ3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76" s="1" t="e">
        <f ca="1">_xll.BDH($C$153,"5Y_GEO_GROWTH_DILUTED_EPS","FQ3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76" s="1" t="e">
        <f ca="1">_xll.BDH($C$153,"GEO_GROW_DVD_PER_SH","FQ3 2018","FQ3 2018","Currency=INR","Period=FQ","BEST_FPERIOD_OVERRIDE=FQ","FILING_STATUS=OR","EQY_CONSOLIDATED=Y","Sort=A","Dates=H","DateFormat=P","Fill=—","Direction=H","UseDPDF=Y")</f>
        <v>#NAME?</v>
      </c>
      <c r="AS176" s="1" t="e">
        <f ca="1">_xll.BDH($C$153,"ACCOUNTS_RECEIVABLE_5_YR_GROWTH","FQ3 2018","FQ3 2018","Currency=INR","Period=FQ","BEST_FPERIOD_OVERRIDE=FQ","FILING_STATUS=OR","EQY_CONSOLIDATED=Y","Sort=A","Dates=H","DateFormat=P","Fill=—","Direction=H","UseDPDF=Y")</f>
        <v>#NAME?</v>
      </c>
      <c r="AT176" s="1" t="e">
        <f ca="1">_xll.BDH($C$153,"INVENTORY_5_YEAR_GROWTH","FQ3 2018","FQ3 2018","Currency=INR","Period=FQ","BEST_FPERIOD_OVERRIDE=FQ","FILING_STATUS=OR","EQY_CONSOLIDATED=Y","Sort=A","Dates=H","DateFormat=P","Fill=—","Direction=H","UseDPDF=Y")</f>
        <v>#NAME?</v>
      </c>
      <c r="AU176" s="1" t="e">
        <f ca="1">_xll.BDH($C$153,"NET_FIXED_ASSETS_5_YEAR_GROWTH","FQ3 2018","FQ3 2018","Currency=INR","Period=FQ","BEST_FPERIOD_OVERRIDE=FQ","FILING_STATUS=OR","EQY_CONSOLIDATED=Y","Sort=A","Dates=H","DateFormat=P","Fill=—","Direction=H","UseDPDF=Y")</f>
        <v>#NAME?</v>
      </c>
      <c r="AV176" s="1" t="e">
        <f ca="1">_xll.BDH($C$153,"GEO_GROW_TOT_ASSET","FQ3 2018","FQ3 2018","Currency=INR","Period=FQ","BEST_FPERIOD_OVERRIDE=FQ","FILING_STATUS=OR","EQY_CONSOLIDATED=Y","Sort=A","Dates=H","DateFormat=P","Fill=—","Direction=H","UseDPDF=Y")</f>
        <v>#NAME?</v>
      </c>
      <c r="AW176" s="1" t="e">
        <f ca="1">_xll.BDH($C$153,"MODIFIED_WORKING_CPTL_5YR_GRWTH","FQ3 2018","FQ3 2018","Currency=INR","Period=FQ","BEST_FPERIOD_OVERRIDE=FQ","FILING_STATUS=OR","EQY_CONSOLIDATED=Y","Sort=A","Dates=H","DateFormat=P","Fill=—","Direction=H","UseDPDF=Y")</f>
        <v>#NAME?</v>
      </c>
      <c r="AX176" s="1" t="e">
        <f ca="1">_xll.BDH($C$153,"WORKING_CAPITAL_5_YEAR_GROWTH","FQ3 2018","FQ3 2018","Currency=INR","Period=FQ","BEST_FPERIOD_OVERRIDE=FQ","FILING_STATUS=OR","EQY_CONSOLIDATED=Y","Sort=A","Dates=H","DateFormat=P","Fill=—","Direction=H","UseDPDF=Y")</f>
        <v>#NAME?</v>
      </c>
      <c r="AY176" s="1" t="e">
        <f ca="1">_xll.BDH($C$153,"ACCOUNTS_PAYABLE_5_YEAR_GROWTH","FQ3 2018","FQ3 2018","Currency=INR","Period=FQ","BEST_FPERIOD_OVERRIDE=FQ","FILING_STATUS=OR","EQY_CONSOLIDATED=Y","Sort=A","Dates=H","DateFormat=P","Fill=—","Direction=H","UseDPDF=Y")</f>
        <v>#NAME?</v>
      </c>
      <c r="AZ176" s="1" t="e">
        <f ca="1">_xll.BDH($C$153,"SHORT_TERM_DEBT_5_YEAR_GROWTH","FQ3 2018","FQ3 2018","Currency=INR","Period=FQ","BEST_FPERIOD_OVERRIDE=FQ","FILING_STATUS=OR","EQY_CONSOLIDATED=Y","Sort=A","Dates=H","DateFormat=P","Fill=—","Direction=H","UseDPDF=Y")</f>
        <v>#NAME?</v>
      </c>
      <c r="BA176" s="1" t="e">
        <f ca="1">_xll.BDH($C$153,"TOTAL_DEBT_5_YEAR_GROWTH","FQ3 2018","FQ3 2018","Currency=INR","Period=FQ","BEST_FPERIOD_OVERRIDE=FQ","FILING_STATUS=OR","EQY_CONSOLIDATED=Y","Sort=A","Dates=H","DateFormat=P","Fill=—","Direction=H","UseDPDF=Y")</f>
        <v>#NAME?</v>
      </c>
      <c r="BB176" s="1" t="e">
        <f ca="1">_xll.BDH($C$153,"GEO_GROW_TOT_SHRHLDR_EQY","FQ3 2018","FQ3 2018","Currency=INR","Period=FQ","BEST_FPERIOD_OVERRIDE=FQ","FILING_STATUS=OR","EQY_CONSOLIDATED=Y","Sort=A","Dates=H","DateFormat=P","Fill=—","Direction=H","UseDPDF=Y")</f>
        <v>#NAME?</v>
      </c>
      <c r="BC176" s="1" t="e">
        <f ca="1">_xll.BDH($C$153,"TOTAL_CAPITAL_5_YEAR_GROWTH","FQ3 2018","FQ3 2018","Currency=INR","Period=FQ","BEST_FPERIOD_OVERRIDE=FQ","FILING_STATUS=OR","EQY_CONSOLIDATED=Y","Sort=A","Dates=H","DateFormat=P","Fill=—","Direction=H","UseDPDF=Y")</f>
        <v>#NAME?</v>
      </c>
      <c r="BD176" s="1" t="e">
        <f ca="1">_xll.BDH($C$153,"GEO_GROW_BOOK_VAL","FQ3 2018","FQ3 2018","Currency=INR","Period=FQ","BEST_FPERIOD_OVERRIDE=FQ","FILING_STATUS=OR","EQY_CONSOLIDATED=Y","Sort=A","Dates=H","DateFormat=P","Fill=—","Direction=H","UseDPDF=Y")</f>
        <v>#NAME?</v>
      </c>
      <c r="BE176" s="1" t="e">
        <f ca="1">_xll.BDH($C$153,"GEO_GROW_CASH_OPER_ACT","FQ3 2018","FQ3 2018","Currency=INR","Period=FQ","BEST_FPERIOD_OVERRIDE=FQ","FILING_STATUS=OR","EQY_CONSOLIDATED=Y","Sort=A","Dates=H","DateFormat=P","Fill=—","Direction=H","UseDPDF=Y")</f>
        <v>#NAME?</v>
      </c>
      <c r="BF176" s="1" t="e">
        <f ca="1">_xll.BDH($C$153,"REVENUE_SEQUENTIAL_GROWTH","FQ3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76" s="1" t="e">
        <f ca="1">_xll.BDH($C$153,"EBITDA_SEQUENTIAL_GROWTH","FQ3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76" s="1" t="e">
        <f ca="1">_xll.BDH($C$153,"OPERATING_INCOME_SEQ_GROWTH","FQ3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76" s="1" t="e">
        <f ca="1">_xll.BDH($C$153,"NET_INCOME_TO_COMMON_SEQ_GROWTH","FQ3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76" s="1" t="e">
        <f ca="1">_xll.BDH($C$153,"EPS_DILUTED_SEQUENTIAL_GROWTH","FQ3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76" s="1" t="e">
        <f ca="1">_xll.BDH($C$153,"DPS_SEQUENTIAL_GROWTH","FQ3 2018","FQ3 2018","Currency=INR","Period=FQ","BEST_FPERIOD_OVERRIDE=FQ","FILING_STATUS=OR","EQY_CONSOLIDATED=Y","Sort=A","Dates=H","DateFormat=P","Fill=—","Direction=H","UseDPDF=Y")</f>
        <v>#NAME?</v>
      </c>
      <c r="BL176" s="1" t="e">
        <f ca="1">_xll.BDH($C$153,"ACCOUNTS_RECEIVABLE_SEQ_GROWTH","FQ3 2018","FQ3 2018","Currency=INR","Period=FQ","BEST_FPERIOD_OVERRIDE=FQ","FILING_STATUS=OR","EQY_CONSOLIDATED=Y","Sort=A","Dates=H","DateFormat=P","Fill=—","Direction=H","UseDPDF=Y")</f>
        <v>#NAME?</v>
      </c>
      <c r="BM176" s="1" t="e">
        <f ca="1">_xll.BDH($C$153,"INVENTORY_SEQUENTIAL_GROWTH","FQ3 2018","FQ3 2018","Currency=INR","Period=FQ","BEST_FPERIOD_OVERRIDE=FQ","FILING_STATUS=OR","EQY_CONSOLIDATED=Y","Sort=A","Dates=H","DateFormat=P","Fill=—","Direction=H","UseDPDF=Y")</f>
        <v>#NAME?</v>
      </c>
      <c r="BN176" s="1" t="e">
        <f ca="1">_xll.BDH($C$153,"FIXED_ASSETS_SEQUENTIAL_GROWTH","FQ3 2018","FQ3 2018","Currency=INR","Period=FQ","BEST_FPERIOD_OVERRIDE=FQ","FILING_STATUS=OR","EQY_CONSOLIDATED=Y","Sort=A","Dates=H","DateFormat=P","Fill=—","Direction=H","UseDPDF=Y")</f>
        <v>#NAME?</v>
      </c>
      <c r="BO176" s="1" t="e">
        <f ca="1">_xll.BDH($C$153,"TOTAL_ASSETS_SEQUENTIAL_GROWTH","FQ3 2018","FQ3 2018","Currency=INR","Period=FQ","BEST_FPERIOD_OVERRIDE=FQ","FILING_STATUS=OR","EQY_CONSOLIDATED=Y","Sort=A","Dates=H","DateFormat=P","Fill=—","Direction=H","UseDPDF=Y")</f>
        <v>#NAME?</v>
      </c>
      <c r="BP176" s="1" t="e">
        <f ca="1">_xll.BDH($C$153,"MODIFIED_WORKING_CPTL_SEQ_GRWTH","FQ3 2018","FQ3 2018","Currency=INR","Period=FQ","BEST_FPERIOD_OVERRIDE=FQ","FILING_STATUS=OR","EQY_CONSOLIDATED=Y","Sort=A","Dates=H","DateFormat=P","Fill=—","Direction=H","UseDPDF=Y")</f>
        <v>#NAME?</v>
      </c>
      <c r="BQ176" s="1" t="e">
        <f ca="1">_xll.BDH($C$153,"WORKING_CAPITAL_SEQ_GROWTH","FQ3 2018","FQ3 2018","Currency=INR","Period=FQ","BEST_FPERIOD_OVERRIDE=FQ","FILING_STATUS=OR","EQY_CONSOLIDATED=Y","Sort=A","Dates=H","DateFormat=P","Fill=—","Direction=H","UseDPDF=Y")</f>
        <v>#NAME?</v>
      </c>
      <c r="BR176" s="1" t="e">
        <f ca="1">_xll.BDH($C$153,"ACCOUNTS_PAYABLE_SEQ_GROWTH","FQ3 2018","FQ3 2018","Currency=INR","Period=FQ","BEST_FPERIOD_OVERRIDE=FQ","FILING_STATUS=OR","EQY_CONSOLIDATED=Y","Sort=A","Dates=H","DateFormat=P","Fill=—","Direction=H","UseDPDF=Y")</f>
        <v>#NAME?</v>
      </c>
      <c r="BS176" s="1" t="e">
        <f ca="1">_xll.BDH($C$153,"ST_DEBT_SEQUENTIAL_GROWTH","FQ3 2018","FQ3 2018","Currency=INR","Period=FQ","BEST_FPERIOD_OVERRIDE=FQ","FILING_STATUS=OR","EQY_CONSOLIDATED=Y","Sort=A","Dates=H","DateFormat=P","Fill=—","Direction=H","UseDPDF=Y")</f>
        <v>#NAME?</v>
      </c>
      <c r="BT176" s="1" t="e">
        <f ca="1">_xll.BDH($C$153,"TOTAL_DEBT_SEQUENTIAL_GROWTH","FQ3 2018","FQ3 2018","Currency=INR","Period=FQ","BEST_FPERIOD_OVERRIDE=FQ","FILING_STATUS=OR","EQY_CONSOLIDATED=Y","Sort=A","Dates=H","DateFormat=P","Fill=—","Direction=H","UseDPDF=Y")</f>
        <v>#NAME?</v>
      </c>
      <c r="BU176" s="1" t="e">
        <f ca="1">_xll.BDH($C$153,"TOTAL_EQUITY_SEQUENTIAL_GROWTH","FQ3 2018","FQ3 2018","Currency=INR","Period=FQ","BEST_FPERIOD_OVERRIDE=FQ","FILING_STATUS=OR","EQY_CONSOLIDATED=Y","Sort=A","Dates=H","DateFormat=P","Fill=—","Direction=H","UseDPDF=Y")</f>
        <v>#NAME?</v>
      </c>
      <c r="BV176" s="1" t="e">
        <f ca="1">_xll.BDH($C$153,"TOTAL_CAPITAL_SEQUENTIAL_GROWTH","FQ3 2018","FQ3 2018","Currency=INR","Period=FQ","BEST_FPERIOD_OVERRIDE=FQ","FILING_STATUS=OR","EQY_CONSOLIDATED=Y","Sort=A","Dates=H","DateFormat=P","Fill=—","Direction=H","UseDPDF=Y")</f>
        <v>#NAME?</v>
      </c>
      <c r="BW176" s="1" t="e">
        <f ca="1">_xll.BDH($C$153,"BPS_SEQUENTIAL_GROWTH","FQ3 2018","FQ3 2018","Currency=INR","Period=FQ","BEST_FPERIOD_OVERRIDE=FQ","FILING_STATUS=OR","EQY_CONSOLIDATED=Y","Sort=A","Dates=H","DateFormat=P","Fill=—","Direction=H","UseDPDF=Y")</f>
        <v>#NAME?</v>
      </c>
      <c r="BX176" s="1" t="e">
        <f ca="1">_xll.BDH($C$153,"CFO_SEQUENTIAL_GROWTH","FQ3 2018","FQ3 2018","Currency=INR","Period=FQ","BEST_FPERIOD_OVERRIDE=FQ","FILING_STATUS=OR","EQY_CONSOLIDATED=Y","Sort=A","Dates=H","DateFormat=P","Fill=—","Direction=H","UseDPDF=Y")</f>
        <v>#NAME?</v>
      </c>
      <c r="BY176" s="2" t="e">
        <f ca="1">_xll.BDH($C$153,"SHORT_AND_LONG_TERM_DEBT","FQ3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76" s="2" t="e">
        <f ca="1">_xll.BDH($C$153,"BS_ST_BORROW","FQ3 2018","FQ3 2018","Currency=INR","Period=FQ","BEST_FPERIOD_OVERRIDE=FQ","FILING_STATUS=OR","EQY_CONSOLIDATED=Y","SCALING_FORMAT=MLN","Sort=A","Dates=H","DateFormat=P","Fill=—","Direction=H","UseDPDF=Y")</f>
        <v>#NAME?</v>
      </c>
      <c r="CA176" s="2" t="e">
        <f ca="1">_xll.BDH($C$153,"BS_LT_BORROW","FQ3 2018","FQ3 2018","Currency=INR","Period=FQ","BEST_FPERIOD_OVERRIDE=FQ","FILING_STATUS=OR","EQY_CONSOLIDATED=Y","SCALING_FORMAT=MLN","Sort=A","Dates=H","DateFormat=P","Fill=—","Direction=H","UseDPDF=Y")</f>
        <v>#NAME?</v>
      </c>
      <c r="CB176" s="1" t="e">
        <f ca="1">_xll.BDH($C$153,"TOT_DEBT_TO_EBITDA","FQ3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76" s="1" t="e">
        <f ca="1">_xll.BDH($C$153,"NET_DEBT_TO_EBITDA","FQ3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76" s="1" t="e">
        <f ca="1">_xll.BDH($C$153,"TOTAL_DEBT_TO_EBIT","FQ3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76" s="1" t="e">
        <f ca="1">_xll.BDH($C$153,"NET_DEBT_TO_EBIT","FQ3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176" s="1" t="e">
        <f ca="1">_xll.BDH($C$153,"EBITDA_TO_INTEREST_EXPN","FQ3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76" s="1" t="e">
        <f ca="1">_xll.BDH($C$153,"COM_EQY_TO_TOT_ASSET","FQ3 2018","FQ3 2018","Currency=INR","Period=FQ","BEST_FPERIOD_OVERRIDE=FQ","FILING_STATUS=OR","EQY_CONSOLIDATED=Y","Sort=A","Dates=H","DateFormat=P","Fill=—","Direction=H","UseDPDF=Y")</f>
        <v>#NAME?</v>
      </c>
      <c r="CH176" s="1" t="e">
        <f ca="1">_xll.BDH($C$153,"LT_DEBT_TO_TOT_EQY","FQ3 2018","FQ3 2018","Currency=INR","Period=FQ","BEST_FPERIOD_OVERRIDE=FQ","FILING_STATUS=OR","EQY_CONSOLIDATED=Y","Sort=A","Dates=H","DateFormat=P","Fill=—","Direction=H","UseDPDF=Y")</f>
        <v>#NAME?</v>
      </c>
      <c r="CI176" s="1" t="e">
        <f ca="1">_xll.BDH($C$153,"LT_DEBT_TO_TOT_CAP","FQ3 2018","FQ3 2018","Currency=INR","Period=FQ","BEST_FPERIOD_OVERRIDE=FQ","FILING_STATUS=OR","EQY_CONSOLIDATED=Y","Sort=A","Dates=H","DateFormat=P","Fill=—","Direction=H","UseDPDF=Y")</f>
        <v>#NAME?</v>
      </c>
      <c r="CJ176" s="1" t="e">
        <f ca="1">_xll.BDH($C$153,"LT_DEBT_TO_TOT_ASSET","FQ3 2018","FQ3 2018","Currency=INR","Period=FQ","BEST_FPERIOD_OVERRIDE=FQ","FILING_STATUS=OR","EQY_CONSOLIDATED=Y","Sort=A","Dates=H","DateFormat=P","Fill=—","Direction=H","UseDPDF=Y")</f>
        <v>#NAME?</v>
      </c>
      <c r="CK176" s="1" t="e">
        <f ca="1">_xll.BDH($C$153,"TOT_DEBT_TO_TOT_EQY","FQ3 2018","FQ3 2018","Currency=INR","Period=FQ","BEST_FPERIOD_OVERRIDE=FQ","FILING_STATUS=OR","EQY_CONSOLIDATED=Y","Sort=A","Dates=H","DateFormat=P","Fill=—","Direction=H","UseDPDF=Y")</f>
        <v>#NAME?</v>
      </c>
      <c r="CL176" s="1" t="e">
        <f ca="1">_xll.BDH($C$153,"TOT_DEBT_TO_TOT_CAP","FQ3 2018","FQ3 2018","Currency=INR","Period=FQ","BEST_FPERIOD_OVERRIDE=FQ","FILING_STATUS=OR","EQY_CONSOLIDATED=Y","Sort=A","Dates=H","DateFormat=P","Fill=—","Direction=H","UseDPDF=Y")</f>
        <v>#NAME?</v>
      </c>
      <c r="CM176" s="1" t="e">
        <f ca="1">_xll.BDH($C$153,"TOT_DEBT_TO_TOT_ASSET","FQ3 2018","FQ3 2018","Currency=INR","Period=FQ","BEST_FPERIOD_OVERRIDE=FQ","FILING_STATUS=OR","EQY_CONSOLIDATED=Y","Sort=A","Dates=H","DateFormat=P","Fill=—","Direction=H","UseDPDF=Y")</f>
        <v>#NAME?</v>
      </c>
      <c r="CN176" s="1" t="e">
        <f ca="1">_xll.BDH($C$153,"NET_DEBT_TO_SHRHLDR_EQTY","FQ3 2018","FQ3 2018","Currency=INR","Period=FQ","BEST_FPERIOD_OVERRIDE=FQ","FILING_STATUS=OR","EQY_CONSOLIDATED=Y","Sort=A","Dates=H","DateFormat=P","Fill=—","Direction=H","UseDPDF=Y")</f>
        <v>#NAME?</v>
      </c>
      <c r="CO176" s="1" t="e">
        <f ca="1">_xll.BDH($C$153,"NET_DEBT_%_CAPITAL","FQ3 2018","FQ3 2018","Currency=INR","Period=FQ","BEST_FPERIOD_OVERRIDE=FQ","FILING_STATUS=OR","EQY_CONSOLIDATED=Y","Sort=A","Dates=H","DateFormat=P","Fill=—","Direction=H","UseDPDF=Y")</f>
        <v>#NAME?</v>
      </c>
      <c r="CP176" s="2" t="e">
        <f ca="1">_xll.BDH($C$153,"EBITDA","FQ3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76" s="2" t="e">
        <f ca="1">_xll.BDH($C$153,"EBITDA_AFTER_CAPEX","FQ3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76" s="2" t="e">
        <f ca="1">_xll.BDH($C$153,"IS_OPER_INC","FQ3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76" s="1" t="e">
        <f ca="1">_xll.BDH($C$153,"CASH_RATIO","FQ3 2018","FQ3 2018","Currency=INR","Period=FQ","BEST_FPERIOD_OVERRIDE=FQ","FILING_STATUS=OR","EQY_CONSOLIDATED=Y","Sort=A","Dates=H","DateFormat=P","Fill=—","Direction=H","UseDPDF=Y")</f>
        <v>#NAME?</v>
      </c>
      <c r="CT176" s="1" t="e">
        <f ca="1">_xll.BDH($C$153,"CUR_RATIO","FQ3 2018","FQ3 2018","Currency=INR","Period=FQ","BEST_FPERIOD_OVERRIDE=FQ","FILING_STATUS=OR","EQY_CONSOLIDATED=Y","Sort=A","Dates=H","DateFormat=P","Fill=—","Direction=H","UseDPDF=Y")</f>
        <v>#NAME?</v>
      </c>
      <c r="CU176" s="1" t="e">
        <f ca="1">_xll.BDH($C$153,"QUICK_RATIO","FQ3 2018","FQ3 2018","Currency=INR","Period=FQ","BEST_FPERIOD_OVERRIDE=FQ","FILING_STATUS=OR","EQY_CONSOLIDATED=Y","Sort=A","Dates=H","DateFormat=P","Fill=—","Direction=H","UseDPDF=Y")</f>
        <v>#NAME?</v>
      </c>
      <c r="CV176" s="1" t="e">
        <f ca="1">_xll.BDH($C$153,"ALTMAN_Z_SCORE","FQ3 2018","FQ3 2018","Currency=INR","Period=FQ","BEST_FPERIOD_OVERRIDE=FQ","FILING_STATUS=OR","EQY_CONSOLIDATED=Y","Sort=A","Dates=H","DateFormat=P","Fill=—","Direction=H","UseDPDF=Y")</f>
        <v>#NAME?</v>
      </c>
      <c r="CW176" s="3" t="e">
        <f ca="1">_xll.BDH($C$153,"ACCT_RCV_TURN","FQ3 2018","FQ3 2018","Currency=INR","Period=FQ","BEST_FPERIOD_OVERRIDE=FQ","FILING_STATUS=OR","EQY_CONSOLIDATED=Y","FA_ADJUSTED=GAAP","Sort=A","Dates=H","DateFormat=P","Fill=—","Direction=H","UseDPDF=Y")</f>
        <v>#NAME?</v>
      </c>
      <c r="CX176" s="1" t="e">
        <f ca="1">_xll.BDH($C$153,"ACCT_RCV_DAYS","FQ3 2018","FQ3 2018","Currency=INR","Period=FQ","BEST_FPERIOD_OVERRIDE=FQ","FILING_STATUS=OR","EQY_CONSOLIDATED=Y","FA_ADJUSTED=GAAP","Sort=A","Dates=H","DateFormat=P","Fill=—","Direction=H","UseDPDF=Y")</f>
        <v>#NAME?</v>
      </c>
      <c r="CY176" s="3" t="e">
        <f ca="1">_xll.BDH($C$153,"INVENT_TURN","FQ3 2018","FQ3 2018","Currency=INR","Period=FQ","BEST_FPERIOD_OVERRIDE=FQ","FILING_STATUS=OR","EQY_CONSOLIDATED=Y","FA_ADJUSTED=GAAP","Sort=A","Dates=H","DateFormat=P","Fill=—","Direction=H","UseDPDF=Y")</f>
        <v>#NAME?</v>
      </c>
      <c r="CZ176" s="1" t="e">
        <f ca="1">_xll.BDH($C$153,"INVENT_DAYS","FQ3 2018","FQ3 2018","Currency=INR","Period=FQ","BEST_FPERIOD_OVERRIDE=FQ","FILING_STATUS=OR","EQY_CONSOLIDATED=Y","FA_ADJUSTED=GAAP","Sort=A","Dates=H","DateFormat=P","Fill=—","Direction=H","UseDPDF=Y")</f>
        <v>#NAME?</v>
      </c>
      <c r="DA176" s="3" t="e">
        <f ca="1">_xll.BDH($C$153,"ACCOUNTS_PAYABLE_TURNOVER","FQ3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76" s="1" t="e">
        <f ca="1">_xll.BDH($C$153,"ACCOUNTS_PAYABLE_TURNOVER_DAYS","FQ3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76" s="3" t="e">
        <f ca="1">_xll.BDH($C$153,"CASH_CONVERSION_CYCLE","FQ3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76" s="3" t="e">
        <f ca="1">_xll.BDH($C$153,"INV_TO_CASH_DAYS","FQ3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176" s="4" t="e">
        <f ca="1">_xll.BDH($C$153,"BS_INVENTORIES","FQ3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176" s="2" t="e">
        <f ca="1">_xll.BDH($C$153,"INVTRY_RAW_MATERIALS","FQ3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76" s="2" t="e">
        <f ca="1">_xll.BDH($C$153,"INVTRY_IN_PROGRESS","FQ3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76" s="2" t="e">
        <f ca="1">_xll.BDH($C$153,"INVTRY_FINISHED_GOODS","FQ3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76" s="2" t="e">
        <f ca="1">_xll.BDH($C$153,"BS_OTHER_INV","FQ3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77" spans="1:113" x14ac:dyDescent="0.3">
      <c r="A177" s="6"/>
      <c r="B177" s="6"/>
      <c r="C177" s="6"/>
      <c r="D177" s="6"/>
      <c r="E177" t="s">
        <v>7</v>
      </c>
      <c r="F177" t="e">
        <f ca="1">_xll.BDH($C$153,"RETURN_COM_EQY","FQ4 2018","FQ4 2018","Currency=INR","Period=FQ","BEST_FPERIOD_OVERRIDE=FQ","FILING_STATUS=OR","EQY_CONSOLIDATED=Y","FA_ADJUSTED=GAAP","Sort=A","Dates=H","DateFormat=P","Fill=—","Direction=H","UseDPDF=Y")</f>
        <v>#NAME?</v>
      </c>
      <c r="G177" t="e">
        <f ca="1">_xll.BDH($C$153,"RETURN_ON_ASSET","FQ4 2018","FQ4 2018","Currency=INR","Period=FQ","BEST_FPERIOD_OVERRIDE=FQ","FILING_STATUS=OR","EQY_CONSOLIDATED=Y","FA_ADJUSTED=GAAP","Sort=A","Dates=H","DateFormat=P","Fill=—","Direction=H","UseDPDF=Y")</f>
        <v>#NAME?</v>
      </c>
      <c r="H177" t="e">
        <f ca="1">_xll.BDH($C$153,"RETURN_ON_CAP","FQ4 2018","FQ4 2018","Currency=INR","Period=FQ","BEST_FPERIOD_OVERRIDE=FQ","FILING_STATUS=OR","EQY_CONSOLIDATED=Y","FA_ADJUSTED=GAAP","Sort=A","Dates=H","DateFormat=P","Fill=—","Direction=H","UseDPDF=Y")</f>
        <v>#NAME?</v>
      </c>
      <c r="I177" t="e">
        <f ca="1">_xll.BDH($C$153,"RETURN_ON_INV_CAPITAL","FQ4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77" t="e">
        <f ca="1">_xll.BDH($C$153,"EBITDA_TO_REVENUE","FQ4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177" t="e">
        <f ca="1">_xll.BDH($C$153,"OPER_MARGIN","FQ4 2018","FQ4 2018","Currency=INR","Period=FQ","BEST_FPERIOD_OVERRIDE=FQ","FILING_STATUS=OR","EQY_CONSOLIDATED=Y","FA_ADJUSTED=GAAP","Sort=A","Dates=H","DateFormat=P","Fill=—","Direction=H","UseDPDF=Y")</f>
        <v>#NAME?</v>
      </c>
      <c r="L177" t="e">
        <f ca="1">_xll.BDH($C$153,"INCREMENTAL_OPERATING_MARGIN","FQ4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77" t="e">
        <f ca="1">_xll.BDH($C$153,"PRETAX_INC_TO_NET_SALES","FQ4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77" t="e">
        <f ca="1">_xll.BDH($C$153,"INC_BEF_XO_ITEMS_TO_NET_SALES","FQ4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77" t="e">
        <f ca="1">_xll.BDH($C$153,"PROF_MARGIN","FQ4 2018","FQ4 2018","Currency=INR","Period=FQ","BEST_FPERIOD_OVERRIDE=FQ","FILING_STATUS=OR","EQY_CONSOLIDATED=Y","FA_ADJUSTED=GAAP","Sort=A","Dates=H","DateFormat=P","Fill=—","Direction=H","UseDPDF=Y")</f>
        <v>#NAME?</v>
      </c>
      <c r="P177" t="e">
        <f ca="1">_xll.BDH($C$153,"NET_INCOME_TO_COMMON_MARGIN","FQ4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77" t="e">
        <f ca="1">_xll.BDH($C$153,"EFF_TAX_RATE","FQ4 2018","FQ4 2018","Currency=INR","Period=FQ","BEST_FPERIOD_OVERRIDE=FQ","FILING_STATUS=OR","EQY_CONSOLIDATED=Y","FA_ADJUSTED=GAAP","Sort=A","Dates=H","DateFormat=P","Fill=—","Direction=H","UseDPDF=Y")</f>
        <v>#NAME?</v>
      </c>
      <c r="R177" t="e">
        <f ca="1">_xll.BDH($C$153,"DVD_PAYOUT_RATIO","FQ4 2018","FQ4 2018","Currency=INR","Period=FQ","BEST_FPERIOD_OVERRIDE=FQ","FILING_STATUS=OR","EQY_CONSOLIDATED=Y","FA_ADJUSTED=GAAP","Sort=A","Dates=H","DateFormat=P","Fill=—","Direction=H","UseDPDF=Y")</f>
        <v>#NAME?</v>
      </c>
      <c r="S177" t="e">
        <f ca="1">_xll.BDH($C$153,"SUSTAIN_GROWTH_RT","FQ4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177" s="1" t="e">
        <f ca="1">_xll.BDH($C$153,"SALES_GROWTH","FQ4 2018","FQ4 2018","Currency=INR","Period=FQ","BEST_FPERIOD_OVERRIDE=FQ","FILING_STATUS=OR","EQY_CONSOLIDATED=Y","FA_ADJUSTED=GAAP","Sort=A","Dates=H","DateFormat=P","Fill=—","Direction=H","UseDPDF=Y")</f>
        <v>#NAME?</v>
      </c>
      <c r="U177" s="1" t="e">
        <f ca="1">_xll.BDH($C$153,"EBITDA_GROWTH","FQ4 2018","FQ4 2018","Currency=INR","Period=FQ","BEST_FPERIOD_OVERRIDE=FQ","FILING_STATUS=OR","EQY_CONSOLIDATED=Y","FA_ADJUSTED=GAAP","Sort=A","Dates=H","DateFormat=P","Fill=—","Direction=H","UseDPDF=Y")</f>
        <v>#NAME?</v>
      </c>
      <c r="V177" s="1" t="e">
        <f ca="1">_xll.BDH($C$153,"OPER_INC_GROWTH","FQ4 2018","FQ4 2018","Currency=INR","Period=FQ","BEST_FPERIOD_OVERRIDE=FQ","FILING_STATUS=OR","EQY_CONSOLIDATED=Y","FA_ADJUSTED=GAAP","Sort=A","Dates=H","DateFormat=P","Fill=—","Direction=H","UseDPDF=Y")</f>
        <v>#NAME?</v>
      </c>
      <c r="W177" s="1" t="e">
        <f ca="1">_xll.BDH($C$153,"EARN_FOR_COM_GROWTH","FQ4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77" s="1" t="e">
        <f ca="1">_xll.BDH($C$153,"DILUTED_EPS_AFT_XO_ITEMS_GROWTH","FQ4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77" s="1" t="e">
        <f ca="1">_xll.BDH($C$153,"DIVIDEND_PER_SHARE_1_YEAR_GROWTH","FQ4 2018","FQ4 2018","Currency=INR","Period=FQ","BEST_FPERIOD_OVERRIDE=FQ","FILING_STATUS=OR","EQY_CONSOLIDATED=Y","Sort=A","Dates=H","DateFormat=P","Fill=—","Direction=H","UseDPDF=Y")</f>
        <v>#NAME?</v>
      </c>
      <c r="Z177" s="1" t="e">
        <f ca="1">_xll.BDH($C$153,"ACCOUNTS_RECEIVABLE_GROWTH","FQ4 2018","FQ4 2018","Currency=INR","Period=FQ","BEST_FPERIOD_OVERRIDE=FQ","FILING_STATUS=OR","EQY_CONSOLIDATED=Y","Sort=A","Dates=H","DateFormat=P","Fill=—","Direction=H","UseDPDF=Y")</f>
        <v>#NAME?</v>
      </c>
      <c r="AA177" s="1" t="e">
        <f ca="1">_xll.BDH($C$153,"INVENTORY_GROWTH","FQ4 2018","FQ4 2018","Currency=INR","Period=FQ","BEST_FPERIOD_OVERRIDE=FQ","FILING_STATUS=OR","EQY_CONSOLIDATED=Y","Sort=A","Dates=H","DateFormat=P","Fill=—","Direction=H","UseDPDF=Y")</f>
        <v>#NAME?</v>
      </c>
      <c r="AB177" s="1" t="e">
        <f ca="1">_xll.BDH($C$153,"NET_FIXED_ASSETS_1_YEAR_GROWTH","FQ4 2018","FQ4 2018","Currency=INR","Period=FQ","BEST_FPERIOD_OVERRIDE=FQ","FILING_STATUS=OR","EQY_CONSOLIDATED=Y","Sort=A","Dates=H","DateFormat=P","Fill=—","Direction=H","UseDPDF=Y")</f>
        <v>#NAME?</v>
      </c>
      <c r="AC177" s="1" t="e">
        <f ca="1">_xll.BDH($C$153,"ASSET_GROWTH","FQ4 2018","FQ4 2018","Currency=INR","Period=FQ","BEST_FPERIOD_OVERRIDE=FQ","FILING_STATUS=OR","EQY_CONSOLIDATED=Y","Sort=A","Dates=H","DateFormat=P","Fill=—","Direction=H","UseDPDF=Y")</f>
        <v>#NAME?</v>
      </c>
      <c r="AD177" s="1" t="e">
        <f ca="1">_xll.BDH($C$153,"MODIFIED_WORK_CAP_GROWTH","FQ4 2018","FQ4 2018","Currency=INR","Period=FQ","BEST_FPERIOD_OVERRIDE=FQ","FILING_STATUS=OR","EQY_CONSOLIDATED=Y","Sort=A","Dates=H","DateFormat=P","Fill=—","Direction=H","UseDPDF=Y")</f>
        <v>#NAME?</v>
      </c>
      <c r="AE177" s="1" t="e">
        <f ca="1">_xll.BDH($C$153,"WORK_CAP_GROWTH","FQ4 2018","FQ4 2018","Currency=INR","Period=FQ","BEST_FPERIOD_OVERRIDE=FQ","FILING_STATUS=OR","EQY_CONSOLIDATED=Y","Sort=A","Dates=H","DateFormat=P","Fill=—","Direction=H","UseDPDF=Y")</f>
        <v>#NAME?</v>
      </c>
      <c r="AF177" s="1" t="e">
        <f ca="1">_xll.BDH($C$153,"ACCOUNTS_PAYABLE_GROWTH_1YR","FQ4 2018","FQ4 2018","Currency=INR","Period=FQ","BEST_FPERIOD_OVERRIDE=FQ","FILING_STATUS=OR","EQY_CONSOLIDATED=Y","Sort=A","Dates=H","DateFormat=P","Fill=—","Direction=H","UseDPDF=Y")</f>
        <v>#NAME?</v>
      </c>
      <c r="AG177" s="1" t="e">
        <f ca="1">_xll.BDH($C$153,"SHORT_TERM_DEBT_1_YEAR_GROWTH","FQ4 2018","FQ4 2018","Currency=INR","Period=FQ","BEST_FPERIOD_OVERRIDE=FQ","FILING_STATUS=OR","EQY_CONSOLIDATED=Y","Sort=A","Dates=H","DateFormat=P","Fill=—","Direction=H","UseDPDF=Y")</f>
        <v>#NAME?</v>
      </c>
      <c r="AH177" s="1" t="e">
        <f ca="1">_xll.BDH($C$153,"TOTAL_DEBT_1_YEAR_GROWTH","FQ4 2018","FQ4 2018","Currency=INR","Period=FQ","BEST_FPERIOD_OVERRIDE=FQ","FILING_STATUS=OR","EQY_CONSOLIDATED=Y","Sort=A","Dates=H","DateFormat=P","Fill=—","Direction=H","UseDPDF=Y")</f>
        <v>#NAME?</v>
      </c>
      <c r="AI177" s="1" t="e">
        <f ca="1">_xll.BDH($C$153,"TOTAL_EQUITY_1_YEAR_GROWTH","FQ4 2018","FQ4 2018","Currency=INR","Period=FQ","BEST_FPERIOD_OVERRIDE=FQ","FILING_STATUS=OR","EQY_CONSOLIDATED=Y","Sort=A","Dates=H","DateFormat=P","Fill=—","Direction=H","UseDPDF=Y")</f>
        <v>#NAME?</v>
      </c>
      <c r="AJ177" s="1" t="e">
        <f ca="1">_xll.BDH($C$153,"GROWTH_IN_CAP","FQ4 2018","FQ4 2018","Currency=INR","Period=FQ","BEST_FPERIOD_OVERRIDE=FQ","FILING_STATUS=OR","EQY_CONSOLIDATED=Y","Sort=A","Dates=H","DateFormat=P","Fill=—","Direction=H","UseDPDF=Y")</f>
        <v>#NAME?</v>
      </c>
      <c r="AK177" s="1" t="e">
        <f ca="1">_xll.BDH($C$153,"BVPS_GROWTH","FQ4 2018","FQ4 2018","Currency=INR","Period=FQ","BEST_FPERIOD_OVERRIDE=FQ","FILING_STATUS=OR","EQY_CONSOLIDATED=Y","Sort=A","Dates=H","DateFormat=P","Fill=—","Direction=H","UseDPDF=Y")</f>
        <v>#NAME?</v>
      </c>
      <c r="AL177" s="1" t="e">
        <f ca="1">_xll.BDH($C$153,"CASH_FLOW_GROWTH","FQ4 2018","FQ4 2018","Currency=INR","Period=FQ","BEST_FPERIOD_OVERRIDE=FQ","FILING_STATUS=OR","EQY_CONSOLIDATED=Y","Sort=A","Dates=H","DateFormat=P","Fill=—","Direction=H","UseDPDF=Y")</f>
        <v>#NAME?</v>
      </c>
      <c r="AM177" s="1" t="e">
        <f ca="1">_xll.BDH($C$153,"GEO_GROW_NET_SALES","FQ4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77" s="1" t="e">
        <f ca="1">_xll.BDH($C$153,"GEO_GROW_EBITDA","FQ4 2018","FQ4 2018","Currency=INR","Period=FQ","BEST_FPERIOD_OVERRIDE=FQ","FILING_STATUS=OR","EQY_CONSOLIDATED=Y","FA_ADJUSTED=GAAP","Sort=A","Dates=H","DateFormat=P","Fill=—","Direction=H","UseDPDF=Y")</f>
        <v>#NAME?</v>
      </c>
      <c r="AO177" s="1" t="e">
        <f ca="1">_xll.BDH($C$153,"GEO_GROW_OPER_INC","FQ4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77" s="1" t="e">
        <f ca="1">_xll.BDH($C$153,"NET_INCOME_TO_COMMON_5_YR_GROWTH","FQ4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77" s="1" t="e">
        <f ca="1">_xll.BDH($C$153,"5Y_GEO_GROWTH_DILUTED_EPS","FQ4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77" s="1" t="e">
        <f ca="1">_xll.BDH($C$153,"GEO_GROW_DVD_PER_SH","FQ4 2018","FQ4 2018","Currency=INR","Period=FQ","BEST_FPERIOD_OVERRIDE=FQ","FILING_STATUS=OR","EQY_CONSOLIDATED=Y","Sort=A","Dates=H","DateFormat=P","Fill=—","Direction=H","UseDPDF=Y")</f>
        <v>#NAME?</v>
      </c>
      <c r="AS177" s="1" t="e">
        <f ca="1">_xll.BDH($C$153,"ACCOUNTS_RECEIVABLE_5_YR_GROWTH","FQ4 2018","FQ4 2018","Currency=INR","Period=FQ","BEST_FPERIOD_OVERRIDE=FQ","FILING_STATUS=OR","EQY_CONSOLIDATED=Y","Sort=A","Dates=H","DateFormat=P","Fill=—","Direction=H","UseDPDF=Y")</f>
        <v>#NAME?</v>
      </c>
      <c r="AT177" s="1" t="e">
        <f ca="1">_xll.BDH($C$153,"INVENTORY_5_YEAR_GROWTH","FQ4 2018","FQ4 2018","Currency=INR","Period=FQ","BEST_FPERIOD_OVERRIDE=FQ","FILING_STATUS=OR","EQY_CONSOLIDATED=Y","Sort=A","Dates=H","DateFormat=P","Fill=—","Direction=H","UseDPDF=Y")</f>
        <v>#NAME?</v>
      </c>
      <c r="AU177" s="1" t="e">
        <f ca="1">_xll.BDH($C$153,"NET_FIXED_ASSETS_5_YEAR_GROWTH","FQ4 2018","FQ4 2018","Currency=INR","Period=FQ","BEST_FPERIOD_OVERRIDE=FQ","FILING_STATUS=OR","EQY_CONSOLIDATED=Y","Sort=A","Dates=H","DateFormat=P","Fill=—","Direction=H","UseDPDF=Y")</f>
        <v>#NAME?</v>
      </c>
      <c r="AV177" s="1" t="e">
        <f ca="1">_xll.BDH($C$153,"GEO_GROW_TOT_ASSET","FQ4 2018","FQ4 2018","Currency=INR","Period=FQ","BEST_FPERIOD_OVERRIDE=FQ","FILING_STATUS=OR","EQY_CONSOLIDATED=Y","Sort=A","Dates=H","DateFormat=P","Fill=—","Direction=H","UseDPDF=Y")</f>
        <v>#NAME?</v>
      </c>
      <c r="AW177" s="1" t="e">
        <f ca="1">_xll.BDH($C$153,"MODIFIED_WORKING_CPTL_5YR_GRWTH","FQ4 2018","FQ4 2018","Currency=INR","Period=FQ","BEST_FPERIOD_OVERRIDE=FQ","FILING_STATUS=OR","EQY_CONSOLIDATED=Y","Sort=A","Dates=H","DateFormat=P","Fill=—","Direction=H","UseDPDF=Y")</f>
        <v>#NAME?</v>
      </c>
      <c r="AX177" s="1" t="e">
        <f ca="1">_xll.BDH($C$153,"WORKING_CAPITAL_5_YEAR_GROWTH","FQ4 2018","FQ4 2018","Currency=INR","Period=FQ","BEST_FPERIOD_OVERRIDE=FQ","FILING_STATUS=OR","EQY_CONSOLIDATED=Y","Sort=A","Dates=H","DateFormat=P","Fill=—","Direction=H","UseDPDF=Y")</f>
        <v>#NAME?</v>
      </c>
      <c r="AY177" s="1" t="e">
        <f ca="1">_xll.BDH($C$153,"ACCOUNTS_PAYABLE_5_YEAR_GROWTH","FQ4 2018","FQ4 2018","Currency=INR","Period=FQ","BEST_FPERIOD_OVERRIDE=FQ","FILING_STATUS=OR","EQY_CONSOLIDATED=Y","Sort=A","Dates=H","DateFormat=P","Fill=—","Direction=H","UseDPDF=Y")</f>
        <v>#NAME?</v>
      </c>
      <c r="AZ177" s="1" t="e">
        <f ca="1">_xll.BDH($C$153,"SHORT_TERM_DEBT_5_YEAR_GROWTH","FQ4 2018","FQ4 2018","Currency=INR","Period=FQ","BEST_FPERIOD_OVERRIDE=FQ","FILING_STATUS=OR","EQY_CONSOLIDATED=Y","Sort=A","Dates=H","DateFormat=P","Fill=—","Direction=H","UseDPDF=Y")</f>
        <v>#NAME?</v>
      </c>
      <c r="BA177" s="1" t="e">
        <f ca="1">_xll.BDH($C$153,"TOTAL_DEBT_5_YEAR_GROWTH","FQ4 2018","FQ4 2018","Currency=INR","Period=FQ","BEST_FPERIOD_OVERRIDE=FQ","FILING_STATUS=OR","EQY_CONSOLIDATED=Y","Sort=A","Dates=H","DateFormat=P","Fill=—","Direction=H","UseDPDF=Y")</f>
        <v>#NAME?</v>
      </c>
      <c r="BB177" s="1" t="e">
        <f ca="1">_xll.BDH($C$153,"GEO_GROW_TOT_SHRHLDR_EQY","FQ4 2018","FQ4 2018","Currency=INR","Period=FQ","BEST_FPERIOD_OVERRIDE=FQ","FILING_STATUS=OR","EQY_CONSOLIDATED=Y","Sort=A","Dates=H","DateFormat=P","Fill=—","Direction=H","UseDPDF=Y")</f>
        <v>#NAME?</v>
      </c>
      <c r="BC177" s="1" t="e">
        <f ca="1">_xll.BDH($C$153,"TOTAL_CAPITAL_5_YEAR_GROWTH","FQ4 2018","FQ4 2018","Currency=INR","Period=FQ","BEST_FPERIOD_OVERRIDE=FQ","FILING_STATUS=OR","EQY_CONSOLIDATED=Y","Sort=A","Dates=H","DateFormat=P","Fill=—","Direction=H","UseDPDF=Y")</f>
        <v>#NAME?</v>
      </c>
      <c r="BD177" s="1" t="e">
        <f ca="1">_xll.BDH($C$153,"GEO_GROW_BOOK_VAL","FQ4 2018","FQ4 2018","Currency=INR","Period=FQ","BEST_FPERIOD_OVERRIDE=FQ","FILING_STATUS=OR","EQY_CONSOLIDATED=Y","Sort=A","Dates=H","DateFormat=P","Fill=—","Direction=H","UseDPDF=Y")</f>
        <v>#NAME?</v>
      </c>
      <c r="BE177" s="1" t="e">
        <f ca="1">_xll.BDH($C$153,"GEO_GROW_CASH_OPER_ACT","FQ4 2018","FQ4 2018","Currency=INR","Period=FQ","BEST_FPERIOD_OVERRIDE=FQ","FILING_STATUS=OR","EQY_CONSOLIDATED=Y","Sort=A","Dates=H","DateFormat=P","Fill=—","Direction=H","UseDPDF=Y")</f>
        <v>#NAME?</v>
      </c>
      <c r="BF177" s="1" t="e">
        <f ca="1">_xll.BDH($C$153,"REVENUE_SEQUENTIAL_GROWTH","FQ4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77" s="1" t="e">
        <f ca="1">_xll.BDH($C$153,"EBITDA_SEQUENTIAL_GROWTH","FQ4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77" s="1" t="e">
        <f ca="1">_xll.BDH($C$153,"OPERATING_INCOME_SEQ_GROWTH","FQ4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77" s="1" t="e">
        <f ca="1">_xll.BDH($C$153,"NET_INCOME_TO_COMMON_SEQ_GROWTH","FQ4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77" s="1" t="e">
        <f ca="1">_xll.BDH($C$153,"EPS_DILUTED_SEQUENTIAL_GROWTH","FQ4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77" s="1" t="e">
        <f ca="1">_xll.BDH($C$153,"DPS_SEQUENTIAL_GROWTH","FQ4 2018","FQ4 2018","Currency=INR","Period=FQ","BEST_FPERIOD_OVERRIDE=FQ","FILING_STATUS=OR","EQY_CONSOLIDATED=Y","Sort=A","Dates=H","DateFormat=P","Fill=—","Direction=H","UseDPDF=Y")</f>
        <v>#NAME?</v>
      </c>
      <c r="BL177" s="1" t="e">
        <f ca="1">_xll.BDH($C$153,"ACCOUNTS_RECEIVABLE_SEQ_GROWTH","FQ4 2018","FQ4 2018","Currency=INR","Period=FQ","BEST_FPERIOD_OVERRIDE=FQ","FILING_STATUS=OR","EQY_CONSOLIDATED=Y","Sort=A","Dates=H","DateFormat=P","Fill=—","Direction=H","UseDPDF=Y")</f>
        <v>#NAME?</v>
      </c>
      <c r="BM177" s="1" t="e">
        <f ca="1">_xll.BDH($C$153,"INVENTORY_SEQUENTIAL_GROWTH","FQ4 2018","FQ4 2018","Currency=INR","Period=FQ","BEST_FPERIOD_OVERRIDE=FQ","FILING_STATUS=OR","EQY_CONSOLIDATED=Y","Sort=A","Dates=H","DateFormat=P","Fill=—","Direction=H","UseDPDF=Y")</f>
        <v>#NAME?</v>
      </c>
      <c r="BN177" s="1" t="e">
        <f ca="1">_xll.BDH($C$153,"FIXED_ASSETS_SEQUENTIAL_GROWTH","FQ4 2018","FQ4 2018","Currency=INR","Period=FQ","BEST_FPERIOD_OVERRIDE=FQ","FILING_STATUS=OR","EQY_CONSOLIDATED=Y","Sort=A","Dates=H","DateFormat=P","Fill=—","Direction=H","UseDPDF=Y")</f>
        <v>#NAME?</v>
      </c>
      <c r="BO177" s="1" t="e">
        <f ca="1">_xll.BDH($C$153,"TOTAL_ASSETS_SEQUENTIAL_GROWTH","FQ4 2018","FQ4 2018","Currency=INR","Period=FQ","BEST_FPERIOD_OVERRIDE=FQ","FILING_STATUS=OR","EQY_CONSOLIDATED=Y","Sort=A","Dates=H","DateFormat=P","Fill=—","Direction=H","UseDPDF=Y")</f>
        <v>#NAME?</v>
      </c>
      <c r="BP177" s="1" t="e">
        <f ca="1">_xll.BDH($C$153,"MODIFIED_WORKING_CPTL_SEQ_GRWTH","FQ4 2018","FQ4 2018","Currency=INR","Period=FQ","BEST_FPERIOD_OVERRIDE=FQ","FILING_STATUS=OR","EQY_CONSOLIDATED=Y","Sort=A","Dates=H","DateFormat=P","Fill=—","Direction=H","UseDPDF=Y")</f>
        <v>#NAME?</v>
      </c>
      <c r="BQ177" s="1" t="e">
        <f ca="1">_xll.BDH($C$153,"WORKING_CAPITAL_SEQ_GROWTH","FQ4 2018","FQ4 2018","Currency=INR","Period=FQ","BEST_FPERIOD_OVERRIDE=FQ","FILING_STATUS=OR","EQY_CONSOLIDATED=Y","Sort=A","Dates=H","DateFormat=P","Fill=—","Direction=H","UseDPDF=Y")</f>
        <v>#NAME?</v>
      </c>
      <c r="BR177" s="1" t="e">
        <f ca="1">_xll.BDH($C$153,"ACCOUNTS_PAYABLE_SEQ_GROWTH","FQ4 2018","FQ4 2018","Currency=INR","Period=FQ","BEST_FPERIOD_OVERRIDE=FQ","FILING_STATUS=OR","EQY_CONSOLIDATED=Y","Sort=A","Dates=H","DateFormat=P","Fill=—","Direction=H","UseDPDF=Y")</f>
        <v>#NAME?</v>
      </c>
      <c r="BS177" s="1" t="e">
        <f ca="1">_xll.BDH($C$153,"ST_DEBT_SEQUENTIAL_GROWTH","FQ4 2018","FQ4 2018","Currency=INR","Period=FQ","BEST_FPERIOD_OVERRIDE=FQ","FILING_STATUS=OR","EQY_CONSOLIDATED=Y","Sort=A","Dates=H","DateFormat=P","Fill=—","Direction=H","UseDPDF=Y")</f>
        <v>#NAME?</v>
      </c>
      <c r="BT177" s="1" t="e">
        <f ca="1">_xll.BDH($C$153,"TOTAL_DEBT_SEQUENTIAL_GROWTH","FQ4 2018","FQ4 2018","Currency=INR","Period=FQ","BEST_FPERIOD_OVERRIDE=FQ","FILING_STATUS=OR","EQY_CONSOLIDATED=Y","Sort=A","Dates=H","DateFormat=P","Fill=—","Direction=H","UseDPDF=Y")</f>
        <v>#NAME?</v>
      </c>
      <c r="BU177" s="1" t="e">
        <f ca="1">_xll.BDH($C$153,"TOTAL_EQUITY_SEQUENTIAL_GROWTH","FQ4 2018","FQ4 2018","Currency=INR","Period=FQ","BEST_FPERIOD_OVERRIDE=FQ","FILING_STATUS=OR","EQY_CONSOLIDATED=Y","Sort=A","Dates=H","DateFormat=P","Fill=—","Direction=H","UseDPDF=Y")</f>
        <v>#NAME?</v>
      </c>
      <c r="BV177" s="1" t="e">
        <f ca="1">_xll.BDH($C$153,"TOTAL_CAPITAL_SEQUENTIAL_GROWTH","FQ4 2018","FQ4 2018","Currency=INR","Period=FQ","BEST_FPERIOD_OVERRIDE=FQ","FILING_STATUS=OR","EQY_CONSOLIDATED=Y","Sort=A","Dates=H","DateFormat=P","Fill=—","Direction=H","UseDPDF=Y")</f>
        <v>#NAME?</v>
      </c>
      <c r="BW177" s="1" t="e">
        <f ca="1">_xll.BDH($C$153,"BPS_SEQUENTIAL_GROWTH","FQ4 2018","FQ4 2018","Currency=INR","Period=FQ","BEST_FPERIOD_OVERRIDE=FQ","FILING_STATUS=OR","EQY_CONSOLIDATED=Y","Sort=A","Dates=H","DateFormat=P","Fill=—","Direction=H","UseDPDF=Y")</f>
        <v>#NAME?</v>
      </c>
      <c r="BX177" s="1" t="e">
        <f ca="1">_xll.BDH($C$153,"CFO_SEQUENTIAL_GROWTH","FQ4 2018","FQ4 2018","Currency=INR","Period=FQ","BEST_FPERIOD_OVERRIDE=FQ","FILING_STATUS=OR","EQY_CONSOLIDATED=Y","Sort=A","Dates=H","DateFormat=P","Fill=—","Direction=H","UseDPDF=Y")</f>
        <v>#NAME?</v>
      </c>
      <c r="BY177" s="2" t="e">
        <f ca="1">_xll.BDH($C$153,"SHORT_AND_LONG_TERM_DEBT","FQ4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77" s="2" t="e">
        <f ca="1">_xll.BDH($C$153,"BS_ST_BORROW","FQ4 2018","FQ4 2018","Currency=INR","Period=FQ","BEST_FPERIOD_OVERRIDE=FQ","FILING_STATUS=OR","EQY_CONSOLIDATED=Y","SCALING_FORMAT=MLN","Sort=A","Dates=H","DateFormat=P","Fill=—","Direction=H","UseDPDF=Y")</f>
        <v>#NAME?</v>
      </c>
      <c r="CA177" s="2" t="e">
        <f ca="1">_xll.BDH($C$153,"BS_LT_BORROW","FQ4 2018","FQ4 2018","Currency=INR","Period=FQ","BEST_FPERIOD_OVERRIDE=FQ","FILING_STATUS=OR","EQY_CONSOLIDATED=Y","SCALING_FORMAT=MLN","Sort=A","Dates=H","DateFormat=P","Fill=—","Direction=H","UseDPDF=Y")</f>
        <v>#NAME?</v>
      </c>
      <c r="CB177" s="1" t="e">
        <f ca="1">_xll.BDH($C$153,"TOT_DEBT_TO_EBITDA","FQ4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77" s="1" t="e">
        <f ca="1">_xll.BDH($C$153,"NET_DEBT_TO_EBITDA","FQ4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77" s="1" t="e">
        <f ca="1">_xll.BDH($C$153,"TOTAL_DEBT_TO_EBIT","FQ4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77" s="1" t="e">
        <f ca="1">_xll.BDH($C$153,"NET_DEBT_TO_EBIT","FQ4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177" s="1" t="e">
        <f ca="1">_xll.BDH($C$153,"EBITDA_TO_INTEREST_EXPN","FQ4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77" s="1" t="e">
        <f ca="1">_xll.BDH($C$153,"COM_EQY_TO_TOT_ASSET","FQ4 2018","FQ4 2018","Currency=INR","Period=FQ","BEST_FPERIOD_OVERRIDE=FQ","FILING_STATUS=OR","EQY_CONSOLIDATED=Y","Sort=A","Dates=H","DateFormat=P","Fill=—","Direction=H","UseDPDF=Y")</f>
        <v>#NAME?</v>
      </c>
      <c r="CH177" s="1" t="e">
        <f ca="1">_xll.BDH($C$153,"LT_DEBT_TO_TOT_EQY","FQ4 2018","FQ4 2018","Currency=INR","Period=FQ","BEST_FPERIOD_OVERRIDE=FQ","FILING_STATUS=OR","EQY_CONSOLIDATED=Y","Sort=A","Dates=H","DateFormat=P","Fill=—","Direction=H","UseDPDF=Y")</f>
        <v>#NAME?</v>
      </c>
      <c r="CI177" s="1" t="e">
        <f ca="1">_xll.BDH($C$153,"LT_DEBT_TO_TOT_CAP","FQ4 2018","FQ4 2018","Currency=INR","Period=FQ","BEST_FPERIOD_OVERRIDE=FQ","FILING_STATUS=OR","EQY_CONSOLIDATED=Y","Sort=A","Dates=H","DateFormat=P","Fill=—","Direction=H","UseDPDF=Y")</f>
        <v>#NAME?</v>
      </c>
      <c r="CJ177" s="1" t="e">
        <f ca="1">_xll.BDH($C$153,"LT_DEBT_TO_TOT_ASSET","FQ4 2018","FQ4 2018","Currency=INR","Period=FQ","BEST_FPERIOD_OVERRIDE=FQ","FILING_STATUS=OR","EQY_CONSOLIDATED=Y","Sort=A","Dates=H","DateFormat=P","Fill=—","Direction=H","UseDPDF=Y")</f>
        <v>#NAME?</v>
      </c>
      <c r="CK177" s="1" t="e">
        <f ca="1">_xll.BDH($C$153,"TOT_DEBT_TO_TOT_EQY","FQ4 2018","FQ4 2018","Currency=INR","Period=FQ","BEST_FPERIOD_OVERRIDE=FQ","FILING_STATUS=OR","EQY_CONSOLIDATED=Y","Sort=A","Dates=H","DateFormat=P","Fill=—","Direction=H","UseDPDF=Y")</f>
        <v>#NAME?</v>
      </c>
      <c r="CL177" s="1" t="e">
        <f ca="1">_xll.BDH($C$153,"TOT_DEBT_TO_TOT_CAP","FQ4 2018","FQ4 2018","Currency=INR","Period=FQ","BEST_FPERIOD_OVERRIDE=FQ","FILING_STATUS=OR","EQY_CONSOLIDATED=Y","Sort=A","Dates=H","DateFormat=P","Fill=—","Direction=H","UseDPDF=Y")</f>
        <v>#NAME?</v>
      </c>
      <c r="CM177" s="1" t="e">
        <f ca="1">_xll.BDH($C$153,"TOT_DEBT_TO_TOT_ASSET","FQ4 2018","FQ4 2018","Currency=INR","Period=FQ","BEST_FPERIOD_OVERRIDE=FQ","FILING_STATUS=OR","EQY_CONSOLIDATED=Y","Sort=A","Dates=H","DateFormat=P","Fill=—","Direction=H","UseDPDF=Y")</f>
        <v>#NAME?</v>
      </c>
      <c r="CN177" s="1" t="e">
        <f ca="1">_xll.BDH($C$153,"NET_DEBT_TO_SHRHLDR_EQTY","FQ4 2018","FQ4 2018","Currency=INR","Period=FQ","BEST_FPERIOD_OVERRIDE=FQ","FILING_STATUS=OR","EQY_CONSOLIDATED=Y","Sort=A","Dates=H","DateFormat=P","Fill=—","Direction=H","UseDPDF=Y")</f>
        <v>#NAME?</v>
      </c>
      <c r="CO177" s="1" t="e">
        <f ca="1">_xll.BDH($C$153,"NET_DEBT_%_CAPITAL","FQ4 2018","FQ4 2018","Currency=INR","Period=FQ","BEST_FPERIOD_OVERRIDE=FQ","FILING_STATUS=OR","EQY_CONSOLIDATED=Y","Sort=A","Dates=H","DateFormat=P","Fill=—","Direction=H","UseDPDF=Y")</f>
        <v>#NAME?</v>
      </c>
      <c r="CP177" s="2" t="e">
        <f ca="1">_xll.BDH($C$153,"EBITDA","FQ4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77" s="2" t="e">
        <f ca="1">_xll.BDH($C$153,"EBITDA_AFTER_CAPEX","FQ4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77" s="2" t="e">
        <f ca="1">_xll.BDH($C$153,"IS_OPER_INC","FQ4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77" s="1" t="e">
        <f ca="1">_xll.BDH($C$153,"CASH_RATIO","FQ4 2018","FQ4 2018","Currency=INR","Period=FQ","BEST_FPERIOD_OVERRIDE=FQ","FILING_STATUS=OR","EQY_CONSOLIDATED=Y","Sort=A","Dates=H","DateFormat=P","Fill=—","Direction=H","UseDPDF=Y")</f>
        <v>#NAME?</v>
      </c>
      <c r="CT177" s="1" t="e">
        <f ca="1">_xll.BDH($C$153,"CUR_RATIO","FQ4 2018","FQ4 2018","Currency=INR","Period=FQ","BEST_FPERIOD_OVERRIDE=FQ","FILING_STATUS=OR","EQY_CONSOLIDATED=Y","Sort=A","Dates=H","DateFormat=P","Fill=—","Direction=H","UseDPDF=Y")</f>
        <v>#NAME?</v>
      </c>
      <c r="CU177" s="1" t="e">
        <f ca="1">_xll.BDH($C$153,"QUICK_RATIO","FQ4 2018","FQ4 2018","Currency=INR","Period=FQ","BEST_FPERIOD_OVERRIDE=FQ","FILING_STATUS=OR","EQY_CONSOLIDATED=Y","Sort=A","Dates=H","DateFormat=P","Fill=—","Direction=H","UseDPDF=Y")</f>
        <v>#NAME?</v>
      </c>
      <c r="CV177" s="1" t="e">
        <f ca="1">_xll.BDH($C$153,"ALTMAN_Z_SCORE","FQ4 2018","FQ4 2018","Currency=INR","Period=FQ","BEST_FPERIOD_OVERRIDE=FQ","FILING_STATUS=OR","EQY_CONSOLIDATED=Y","Sort=A","Dates=H","DateFormat=P","Fill=—","Direction=H","UseDPDF=Y")</f>
        <v>#NAME?</v>
      </c>
      <c r="CW177" s="3" t="e">
        <f ca="1">_xll.BDH($C$153,"ACCT_RCV_TURN","FQ4 2018","FQ4 2018","Currency=INR","Period=FQ","BEST_FPERIOD_OVERRIDE=FQ","FILING_STATUS=OR","EQY_CONSOLIDATED=Y","FA_ADJUSTED=GAAP","Sort=A","Dates=H","DateFormat=P","Fill=—","Direction=H","UseDPDF=Y")</f>
        <v>#NAME?</v>
      </c>
      <c r="CX177" s="1" t="e">
        <f ca="1">_xll.BDH($C$153,"ACCT_RCV_DAYS","FQ4 2018","FQ4 2018","Currency=INR","Period=FQ","BEST_FPERIOD_OVERRIDE=FQ","FILING_STATUS=OR","EQY_CONSOLIDATED=Y","FA_ADJUSTED=GAAP","Sort=A","Dates=H","DateFormat=P","Fill=—","Direction=H","UseDPDF=Y")</f>
        <v>#NAME?</v>
      </c>
      <c r="CY177" s="3" t="e">
        <f ca="1">_xll.BDH($C$153,"INVENT_TURN","FQ4 2018","FQ4 2018","Currency=INR","Period=FQ","BEST_FPERIOD_OVERRIDE=FQ","FILING_STATUS=OR","EQY_CONSOLIDATED=Y","FA_ADJUSTED=GAAP","Sort=A","Dates=H","DateFormat=P","Fill=—","Direction=H","UseDPDF=Y")</f>
        <v>#NAME?</v>
      </c>
      <c r="CZ177" s="1" t="e">
        <f ca="1">_xll.BDH($C$153,"INVENT_DAYS","FQ4 2018","FQ4 2018","Currency=INR","Period=FQ","BEST_FPERIOD_OVERRIDE=FQ","FILING_STATUS=OR","EQY_CONSOLIDATED=Y","FA_ADJUSTED=GAAP","Sort=A","Dates=H","DateFormat=P","Fill=—","Direction=H","UseDPDF=Y")</f>
        <v>#NAME?</v>
      </c>
      <c r="DA177" s="3" t="e">
        <f ca="1">_xll.BDH($C$153,"ACCOUNTS_PAYABLE_TURNOVER","FQ4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77" s="1" t="e">
        <f ca="1">_xll.BDH($C$153,"ACCOUNTS_PAYABLE_TURNOVER_DAYS","FQ4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77" s="3" t="e">
        <f ca="1">_xll.BDH($C$153,"CASH_CONVERSION_CYCLE","FQ4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77" s="3" t="e">
        <f ca="1">_xll.BDH($C$153,"INV_TO_CASH_DAYS","FQ4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177" s="4" t="e">
        <f ca="1">_xll.BDH($C$153,"BS_INVENTORIES","FQ4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177" s="2" t="e">
        <f ca="1">_xll.BDH($C$153,"INVTRY_RAW_MATERIALS","FQ4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77" s="2" t="e">
        <f ca="1">_xll.BDH($C$153,"INVTRY_IN_PROGRESS","FQ4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77" s="2" t="e">
        <f ca="1">_xll.BDH($C$153,"INVTRY_FINISHED_GOODS","FQ4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77" s="2" t="e">
        <f ca="1">_xll.BDH($C$153,"BS_OTHER_INV","FQ4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78" spans="1:113" x14ac:dyDescent="0.3">
      <c r="A178" s="6">
        <v>58</v>
      </c>
      <c r="B178" s="6" t="s">
        <v>24</v>
      </c>
      <c r="C178" s="6" t="s">
        <v>25</v>
      </c>
      <c r="D178" s="6" t="s">
        <v>2</v>
      </c>
      <c r="E178" t="s">
        <v>3</v>
      </c>
      <c r="F178" t="e">
        <f ca="1">_xll.BDH($C$178,"RETURN_COM_EQY","FY 2014","FY 2014","Currency=INR","Period=FY","BEST_FPERIOD_OVERRIDE=FY","FILING_STATUS=OR","EQY_CONSOLIDATED=Y","FA_ADJUSTED=GAAP","Sort=A","Dates=H","DateFormat=P","Fill=—","Direction=H","UseDPDF=Y")</f>
        <v>#NAME?</v>
      </c>
      <c r="G178" t="e">
        <f ca="1">_xll.BDH($C$178,"RETURN_ON_ASSET","FY 2014","FY 2014","Currency=INR","Period=FY","BEST_FPERIOD_OVERRIDE=FY","FILING_STATUS=OR","EQY_CONSOLIDATED=Y","FA_ADJUSTED=GAAP","Sort=A","Dates=H","DateFormat=P","Fill=—","Direction=H","UseDPDF=Y")</f>
        <v>#NAME?</v>
      </c>
      <c r="H178" t="e">
        <f ca="1">_xll.BDH($C$178,"RETURN_ON_CAP","FY 2014","FY 2014","Currency=INR","Period=FY","BEST_FPERIOD_OVERRIDE=FY","FILING_STATUS=OR","EQY_CONSOLIDATED=Y","FA_ADJUSTED=GAAP","Sort=A","Dates=H","DateFormat=P","Fill=—","Direction=H","UseDPDF=Y")</f>
        <v>#NAME?</v>
      </c>
      <c r="I178" t="e">
        <f ca="1">_xll.BDH($C$178,"RETURN_ON_INV_CAPITAL","FY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78" t="e">
        <f ca="1">_xll.BDH($C$178,"EBITDA_TO_REVENUE","FY 2014","FY 2014","Currency=INR","Period=FY","BEST_FPERIOD_OVERRIDE=FY","FILING_STATUS=OR","EQY_CONSOLIDATED=Y","FA_ADJUSTED=GAAP","Sort=A","Dates=H","DateFormat=P","Fill=—","Direction=H","UseDPDF=Y")</f>
        <v>#NAME?</v>
      </c>
      <c r="K178" t="e">
        <f ca="1">_xll.BDH($C$178,"OPER_MARGIN","FY 2014","FY 2014","Currency=INR","Period=FY","BEST_FPERIOD_OVERRIDE=FY","FILING_STATUS=OR","EQY_CONSOLIDATED=Y","FA_ADJUSTED=GAAP","Sort=A","Dates=H","DateFormat=P","Fill=—","Direction=H","UseDPDF=Y")</f>
        <v>#NAME?</v>
      </c>
      <c r="L178" t="e">
        <f ca="1">_xll.BDH($C$178,"INCREMENTAL_OPERATING_MARGIN","FY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78" t="e">
        <f ca="1">_xll.BDH($C$178,"PRETAX_INC_TO_NET_SALES","FY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78" t="e">
        <f ca="1">_xll.BDH($C$178,"INC_BEF_XO_ITEMS_TO_NET_SALES","FY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78" t="e">
        <f ca="1">_xll.BDH($C$178,"PROF_MARGIN","FY 2014","FY 2014","Currency=INR","Period=FY","BEST_FPERIOD_OVERRIDE=FY","FILING_STATUS=OR","EQY_CONSOLIDATED=Y","FA_ADJUSTED=GAAP","Sort=A","Dates=H","DateFormat=P","Fill=—","Direction=H","UseDPDF=Y")</f>
        <v>#NAME?</v>
      </c>
      <c r="P178" t="e">
        <f ca="1">_xll.BDH($C$178,"NET_INCOME_TO_COMMON_MARGIN","FY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78" t="e">
        <f ca="1">_xll.BDH($C$178,"EFF_TAX_RATE","FY 2014","FY 2014","Currency=INR","Period=FY","BEST_FPERIOD_OVERRIDE=FY","FILING_STATUS=OR","EQY_CONSOLIDATED=Y","FA_ADJUSTED=GAAP","Sort=A","Dates=H","DateFormat=P","Fill=—","Direction=H","UseDPDF=Y")</f>
        <v>#NAME?</v>
      </c>
      <c r="R178" t="e">
        <f ca="1">_xll.BDH($C$178,"DVD_PAYOUT_RATIO","FY 2014","FY 2014","Currency=INR","Period=FY","BEST_FPERIOD_OVERRIDE=FY","FILING_STATUS=OR","EQY_CONSOLIDATED=Y","FA_ADJUSTED=GAAP","Sort=A","Dates=H","DateFormat=P","Fill=—","Direction=H","UseDPDF=Y")</f>
        <v>#NAME?</v>
      </c>
      <c r="S178" t="e">
        <f ca="1">_xll.BDH($C$178,"SUSTAIN_GROWTH_RT","FY 2014","FY 2014","Currency=INR","Period=FY","BEST_FPERIOD_OVERRIDE=FY","FILING_STATUS=OR","EQY_CONSOLIDATED=Y","FA_ADJUSTED=GAAP","Sort=A","Dates=H","DateFormat=P","Fill=—","Direction=H","UseDPDF=Y")</f>
        <v>#NAME?</v>
      </c>
      <c r="T178" s="1" t="e">
        <f ca="1">_xll.BDH($C$178,"SALES_GROWTH","FY 2014","FY 2014","Currency=INR","Period=FY","BEST_FPERIOD_OVERRIDE=FY","FILING_STATUS=OR","EQY_CONSOLIDATED=Y","FA_ADJUSTED=GAAP","Sort=A","Dates=H","DateFormat=P","Fill=—","Direction=H","UseDPDF=Y")</f>
        <v>#NAME?</v>
      </c>
      <c r="U178" s="1" t="e">
        <f ca="1">_xll.BDH($C$178,"EBITDA_GROWTH","FY 2014","FY 2014","Currency=INR","Period=FY","BEST_FPERIOD_OVERRIDE=FY","FILING_STATUS=OR","EQY_CONSOLIDATED=Y","FA_ADJUSTED=GAAP","Sort=A","Dates=H","DateFormat=P","Fill=—","Direction=H","UseDPDF=Y")</f>
        <v>#NAME?</v>
      </c>
      <c r="V178" s="1" t="e">
        <f ca="1">_xll.BDH($C$178,"OPER_INC_GROWTH","FY 2014","FY 2014","Currency=INR","Period=FY","BEST_FPERIOD_OVERRIDE=FY","FILING_STATUS=OR","EQY_CONSOLIDATED=Y","FA_ADJUSTED=GAAP","Sort=A","Dates=H","DateFormat=P","Fill=—","Direction=H","UseDPDF=Y")</f>
        <v>#NAME?</v>
      </c>
      <c r="W178" s="1" t="e">
        <f ca="1">_xll.BDH($C$178,"EARN_FOR_COM_GROWTH","FY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178" s="1" t="e">
        <f ca="1">_xll.BDH($C$178,"DILUTED_EPS_AFT_XO_ITEMS_GROWTH","FY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78" s="1" t="e">
        <f ca="1">_xll.BDH($C$178,"DIVIDEND_PER_SHARE_1_YEAR_GROWTH","FY 2014","FY 2014","Currency=INR","Period=FY","BEST_FPERIOD_OVERRIDE=FY","FILING_STATUS=OR","EQY_CONSOLIDATED=Y","Sort=A","Dates=H","DateFormat=P","Fill=—","Direction=H","UseDPDF=Y")</f>
        <v>#NAME?</v>
      </c>
      <c r="Z178" s="1" t="e">
        <f ca="1">_xll.BDH($C$178,"ACCOUNTS_RECEIVABLE_GROWTH","FY 2014","FY 2014","Currency=INR","Period=FY","BEST_FPERIOD_OVERRIDE=FY","FILING_STATUS=OR","EQY_CONSOLIDATED=Y","Sort=A","Dates=H","DateFormat=P","Fill=—","Direction=H","UseDPDF=Y")</f>
        <v>#NAME?</v>
      </c>
      <c r="AA178" s="1" t="e">
        <f ca="1">_xll.BDH($C$178,"INVENTORY_GROWTH","FY 2014","FY 2014","Currency=INR","Period=FY","BEST_FPERIOD_OVERRIDE=FY","FILING_STATUS=OR","EQY_CONSOLIDATED=Y","Sort=A","Dates=H","DateFormat=P","Fill=—","Direction=H","UseDPDF=Y")</f>
        <v>#NAME?</v>
      </c>
      <c r="AB178" s="1" t="e">
        <f ca="1">_xll.BDH($C$178,"NET_FIXED_ASSETS_1_YEAR_GROWTH","FY 2014","FY 2014","Currency=INR","Period=FY","BEST_FPERIOD_OVERRIDE=FY","FILING_STATUS=OR","EQY_CONSOLIDATED=Y","Sort=A","Dates=H","DateFormat=P","Fill=—","Direction=H","UseDPDF=Y")</f>
        <v>#NAME?</v>
      </c>
      <c r="AC178" s="1" t="e">
        <f ca="1">_xll.BDH($C$178,"ASSET_GROWTH","FY 2014","FY 2014","Currency=INR","Period=FY","BEST_FPERIOD_OVERRIDE=FY","FILING_STATUS=OR","EQY_CONSOLIDATED=Y","Sort=A","Dates=H","DateFormat=P","Fill=—","Direction=H","UseDPDF=Y")</f>
        <v>#NAME?</v>
      </c>
      <c r="AD178" s="1" t="e">
        <f ca="1">_xll.BDH($C$178,"MODIFIED_WORK_CAP_GROWTH","FY 2014","FY 2014","Currency=INR","Period=FY","BEST_FPERIOD_OVERRIDE=FY","FILING_STATUS=OR","EQY_CONSOLIDATED=Y","Sort=A","Dates=H","DateFormat=P","Fill=—","Direction=H","UseDPDF=Y")</f>
        <v>#NAME?</v>
      </c>
      <c r="AE178" s="1" t="e">
        <f ca="1">_xll.BDH($C$178,"WORK_CAP_GROWTH","FY 2014","FY 2014","Currency=INR","Period=FY","BEST_FPERIOD_OVERRIDE=FY","FILING_STATUS=OR","EQY_CONSOLIDATED=Y","Sort=A","Dates=H","DateFormat=P","Fill=—","Direction=H","UseDPDF=Y")</f>
        <v>#NAME?</v>
      </c>
      <c r="AF178" s="1" t="e">
        <f ca="1">_xll.BDH($C$178,"ACCOUNTS_PAYABLE_GROWTH_1YR","FY 2014","FY 2014","Currency=INR","Period=FY","BEST_FPERIOD_OVERRIDE=FY","FILING_STATUS=OR","EQY_CONSOLIDATED=Y","Sort=A","Dates=H","DateFormat=P","Fill=—","Direction=H","UseDPDF=Y")</f>
        <v>#NAME?</v>
      </c>
      <c r="AG178" s="1" t="e">
        <f ca="1">_xll.BDH($C$178,"SHORT_TERM_DEBT_1_YEAR_GROWTH","FY 2014","FY 2014","Currency=INR","Period=FY","BEST_FPERIOD_OVERRIDE=FY","FILING_STATUS=OR","EQY_CONSOLIDATED=Y","Sort=A","Dates=H","DateFormat=P","Fill=—","Direction=H","UseDPDF=Y")</f>
        <v>#NAME?</v>
      </c>
      <c r="AH178" s="1" t="e">
        <f ca="1">_xll.BDH($C$178,"TOTAL_DEBT_1_YEAR_GROWTH","FY 2014","FY 2014","Currency=INR","Period=FY","BEST_FPERIOD_OVERRIDE=FY","FILING_STATUS=OR","EQY_CONSOLIDATED=Y","Sort=A","Dates=H","DateFormat=P","Fill=—","Direction=H","UseDPDF=Y")</f>
        <v>#NAME?</v>
      </c>
      <c r="AI178" s="1" t="e">
        <f ca="1">_xll.BDH($C$178,"TOTAL_EQUITY_1_YEAR_GROWTH","FY 2014","FY 2014","Currency=INR","Period=FY","BEST_FPERIOD_OVERRIDE=FY","FILING_STATUS=OR","EQY_CONSOLIDATED=Y","Sort=A","Dates=H","DateFormat=P","Fill=—","Direction=H","UseDPDF=Y")</f>
        <v>#NAME?</v>
      </c>
      <c r="AJ178" s="1" t="e">
        <f ca="1">_xll.BDH($C$178,"GROWTH_IN_CAP","FY 2014","FY 2014","Currency=INR","Period=FY","BEST_FPERIOD_OVERRIDE=FY","FILING_STATUS=OR","EQY_CONSOLIDATED=Y","Sort=A","Dates=H","DateFormat=P","Fill=—","Direction=H","UseDPDF=Y")</f>
        <v>#NAME?</v>
      </c>
      <c r="AK178" s="1" t="e">
        <f ca="1">_xll.BDH($C$178,"BVPS_GROWTH","FY 2014","FY 2014","Currency=INR","Period=FY","BEST_FPERIOD_OVERRIDE=FY","FILING_STATUS=OR","EQY_CONSOLIDATED=Y","Sort=A","Dates=H","DateFormat=P","Fill=—","Direction=H","UseDPDF=Y")</f>
        <v>#NAME?</v>
      </c>
      <c r="AL178" s="1" t="e">
        <f ca="1">_xll.BDH($C$178,"CASH_FLOW_GROWTH","FY 2014","FY 2014","Currency=INR","Period=FY","BEST_FPERIOD_OVERRIDE=FY","FILING_STATUS=OR","EQY_CONSOLIDATED=Y","Sort=A","Dates=H","DateFormat=P","Fill=—","Direction=H","UseDPDF=Y")</f>
        <v>#NAME?</v>
      </c>
      <c r="AM178" s="1" t="e">
        <f ca="1">_xll.BDH($C$178,"GEO_GROW_NET_SALES","FY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178" s="1" t="e">
        <f ca="1">_xll.BDH($C$178,"GEO_GROW_EBITDA","FY 2014","FY 2014","Currency=INR","Period=FY","BEST_FPERIOD_OVERRIDE=FY","FILING_STATUS=OR","EQY_CONSOLIDATED=Y","FA_ADJUSTED=GAAP","Sort=A","Dates=H","DateFormat=P","Fill=—","Direction=H","UseDPDF=Y")</f>
        <v>#NAME?</v>
      </c>
      <c r="AO178" s="1" t="e">
        <f ca="1">_xll.BDH($C$178,"GEO_GROW_OPER_INC","FY 2014","FY 2014","Currency=INR","Period=FY","BEST_FPERIOD_OVERRIDE=FY","FILING_STATUS=OR","EQY_CONSOLIDATED=Y","FA_ADJUSTED=GAAP","Sort=A","Dates=H","DateFormat=P","Fill=—","Direction=H","UseDPDF=Y")</f>
        <v>#NAME?</v>
      </c>
      <c r="AP178" s="1" t="e">
        <f ca="1">_xll.BDH($C$178,"NET_INCOME_TO_COMMON_5_YR_GROWTH","FY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78" s="1" t="e">
        <f ca="1">_xll.BDH($C$178,"5Y_GEO_GROWTH_DILUTED_EPS","FY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78" s="1" t="e">
        <f ca="1">_xll.BDH($C$178,"GEO_GROW_DVD_PER_SH","FY 2014","FY 2014","Currency=INR","Period=FY","BEST_FPERIOD_OVERRIDE=FY","FILING_STATUS=OR","EQY_CONSOLIDATED=Y","Sort=A","Dates=H","DateFormat=P","Fill=—","Direction=H","UseDPDF=Y")</f>
        <v>#NAME?</v>
      </c>
      <c r="AS178" s="1" t="e">
        <f ca="1">_xll.BDH($C$178,"ACCOUNTS_RECEIVABLE_5_YR_GROWTH","FY 2014","FY 2014","Currency=INR","Period=FY","BEST_FPERIOD_OVERRIDE=FY","FILING_STATUS=OR","EQY_CONSOLIDATED=Y","Sort=A","Dates=H","DateFormat=P","Fill=—","Direction=H","UseDPDF=Y")</f>
        <v>#NAME?</v>
      </c>
      <c r="AT178" s="1" t="e">
        <f ca="1">_xll.BDH($C$178,"INVENTORY_5_YEAR_GROWTH","FY 2014","FY 2014","Currency=INR","Period=FY","BEST_FPERIOD_OVERRIDE=FY","FILING_STATUS=OR","EQY_CONSOLIDATED=Y","Sort=A","Dates=H","DateFormat=P","Fill=—","Direction=H","UseDPDF=Y")</f>
        <v>#NAME?</v>
      </c>
      <c r="AU178" s="1" t="e">
        <f ca="1">_xll.BDH($C$178,"NET_FIXED_ASSETS_5_YEAR_GROWTH","FY 2014","FY 2014","Currency=INR","Period=FY","BEST_FPERIOD_OVERRIDE=FY","FILING_STATUS=OR","EQY_CONSOLIDATED=Y","Sort=A","Dates=H","DateFormat=P","Fill=—","Direction=H","UseDPDF=Y")</f>
        <v>#NAME?</v>
      </c>
      <c r="AV178" s="1" t="e">
        <f ca="1">_xll.BDH($C$178,"GEO_GROW_TOT_ASSET","FY 2014","FY 2014","Currency=INR","Period=FY","BEST_FPERIOD_OVERRIDE=FY","FILING_STATUS=OR","EQY_CONSOLIDATED=Y","Sort=A","Dates=H","DateFormat=P","Fill=—","Direction=H","UseDPDF=Y")</f>
        <v>#NAME?</v>
      </c>
      <c r="AW178" s="1" t="e">
        <f ca="1">_xll.BDH($C$178,"MODIFIED_WORKING_CPTL_5YR_GRWTH","FY 2014","FY 2014","Currency=INR","Period=FY","BEST_FPERIOD_OVERRIDE=FY","FILING_STATUS=OR","EQY_CONSOLIDATED=Y","Sort=A","Dates=H","DateFormat=P","Fill=—","Direction=H","UseDPDF=Y")</f>
        <v>#NAME?</v>
      </c>
      <c r="AX178" s="1" t="e">
        <f ca="1">_xll.BDH($C$178,"WORKING_CAPITAL_5_YEAR_GROWTH","FY 2014","FY 2014","Currency=INR","Period=FY","BEST_FPERIOD_OVERRIDE=FY","FILING_STATUS=OR","EQY_CONSOLIDATED=Y","Sort=A","Dates=H","DateFormat=P","Fill=—","Direction=H","UseDPDF=Y")</f>
        <v>#NAME?</v>
      </c>
      <c r="AY178" s="1" t="e">
        <f ca="1">_xll.BDH($C$178,"ACCOUNTS_PAYABLE_5_YEAR_GROWTH","FY 2014","FY 2014","Currency=INR","Period=FY","BEST_FPERIOD_OVERRIDE=FY","FILING_STATUS=OR","EQY_CONSOLIDATED=Y","Sort=A","Dates=H","DateFormat=P","Fill=—","Direction=H","UseDPDF=Y")</f>
        <v>#NAME?</v>
      </c>
      <c r="AZ178" s="1" t="e">
        <f ca="1">_xll.BDH($C$178,"SHORT_TERM_DEBT_5_YEAR_GROWTH","FY 2014","FY 2014","Currency=INR","Period=FY","BEST_FPERIOD_OVERRIDE=FY","FILING_STATUS=OR","EQY_CONSOLIDATED=Y","Sort=A","Dates=H","DateFormat=P","Fill=—","Direction=H","UseDPDF=Y")</f>
        <v>#NAME?</v>
      </c>
      <c r="BA178" s="1" t="e">
        <f ca="1">_xll.BDH($C$178,"TOTAL_DEBT_5_YEAR_GROWTH","FY 2014","FY 2014","Currency=INR","Period=FY","BEST_FPERIOD_OVERRIDE=FY","FILING_STATUS=OR","EQY_CONSOLIDATED=Y","Sort=A","Dates=H","DateFormat=P","Fill=—","Direction=H","UseDPDF=Y")</f>
        <v>#NAME?</v>
      </c>
      <c r="BB178" s="1" t="e">
        <f ca="1">_xll.BDH($C$178,"GEO_GROW_TOT_SHRHLDR_EQY","FY 2014","FY 2014","Currency=INR","Period=FY","BEST_FPERIOD_OVERRIDE=FY","FILING_STATUS=OR","EQY_CONSOLIDATED=Y","Sort=A","Dates=H","DateFormat=P","Fill=—","Direction=H","UseDPDF=Y")</f>
        <v>#NAME?</v>
      </c>
      <c r="BC178" s="1" t="e">
        <f ca="1">_xll.BDH($C$178,"TOTAL_CAPITAL_5_YEAR_GROWTH","FY 2014","FY 2014","Currency=INR","Period=FY","BEST_FPERIOD_OVERRIDE=FY","FILING_STATUS=OR","EQY_CONSOLIDATED=Y","Sort=A","Dates=H","DateFormat=P","Fill=—","Direction=H","UseDPDF=Y")</f>
        <v>#NAME?</v>
      </c>
      <c r="BD178" s="1" t="e">
        <f ca="1">_xll.BDH($C$178,"GEO_GROW_BOOK_VAL","FY 2014","FY 2014","Currency=INR","Period=FY","BEST_FPERIOD_OVERRIDE=FY","FILING_STATUS=OR","EQY_CONSOLIDATED=Y","Sort=A","Dates=H","DateFormat=P","Fill=—","Direction=H","UseDPDF=Y")</f>
        <v>#NAME?</v>
      </c>
      <c r="BE178" s="1" t="e">
        <f ca="1">_xll.BDH($C$178,"GEO_GROW_CASH_OPER_ACT","FY 2014","FY 2014","Currency=INR","Period=FY","BEST_FPERIOD_OVERRIDE=FY","FILING_STATUS=OR","EQY_CONSOLIDATED=Y","Sort=A","Dates=H","DateFormat=P","Fill=—","Direction=H","UseDPDF=Y")</f>
        <v>#NAME?</v>
      </c>
      <c r="BF178" s="1" t="e">
        <f ca="1">_xll.BDH($C$178,"REVENUE_SEQUENTIAL_GROWTH","FY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78" s="1" t="e">
        <f ca="1">_xll.BDH($C$178,"EBITDA_SEQUENTIAL_GROWTH","FY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78" s="1" t="e">
        <f ca="1">_xll.BDH($C$178,"OPERATING_INCOME_SEQ_GROWTH","FY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78" s="1" t="e">
        <f ca="1">_xll.BDH($C$178,"NET_INCOME_TO_COMMON_SEQ_GROWTH","FY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78" s="1" t="e">
        <f ca="1">_xll.BDH($C$178,"EPS_DILUTED_SEQUENTIAL_GROWTH","FY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78" s="1" t="e">
        <f ca="1">_xll.BDH($C$178,"DPS_SEQUENTIAL_GROWTH","FY 2014","FY 2014","Currency=INR","Period=FY","BEST_FPERIOD_OVERRIDE=FY","FILING_STATUS=OR","EQY_CONSOLIDATED=Y","Sort=A","Dates=H","DateFormat=P","Fill=—","Direction=H","UseDPDF=Y")</f>
        <v>#NAME?</v>
      </c>
      <c r="BL178" s="1" t="e">
        <f ca="1">_xll.BDH($C$178,"ACCOUNTS_RECEIVABLE_SEQ_GROWTH","FY 2014","FY 2014","Currency=INR","Period=FY","BEST_FPERIOD_OVERRIDE=FY","FILING_STATUS=OR","EQY_CONSOLIDATED=Y","Sort=A","Dates=H","DateFormat=P","Fill=—","Direction=H","UseDPDF=Y")</f>
        <v>#NAME?</v>
      </c>
      <c r="BM178" s="1" t="e">
        <f ca="1">_xll.BDH($C$178,"INVENTORY_SEQUENTIAL_GROWTH","FY 2014","FY 2014","Currency=INR","Period=FY","BEST_FPERIOD_OVERRIDE=FY","FILING_STATUS=OR","EQY_CONSOLIDATED=Y","Sort=A","Dates=H","DateFormat=P","Fill=—","Direction=H","UseDPDF=Y")</f>
        <v>#NAME?</v>
      </c>
      <c r="BN178" s="1" t="e">
        <f ca="1">_xll.BDH($C$178,"FIXED_ASSETS_SEQUENTIAL_GROWTH","FY 2014","FY 2014","Currency=INR","Period=FY","BEST_FPERIOD_OVERRIDE=FY","FILING_STATUS=OR","EQY_CONSOLIDATED=Y","Sort=A","Dates=H","DateFormat=P","Fill=—","Direction=H","UseDPDF=Y")</f>
        <v>#NAME?</v>
      </c>
      <c r="BO178" s="1" t="e">
        <f ca="1">_xll.BDH($C$178,"TOTAL_ASSETS_SEQUENTIAL_GROWTH","FY 2014","FY 2014","Currency=INR","Period=FY","BEST_FPERIOD_OVERRIDE=FY","FILING_STATUS=OR","EQY_CONSOLIDATED=Y","Sort=A","Dates=H","DateFormat=P","Fill=—","Direction=H","UseDPDF=Y")</f>
        <v>#NAME?</v>
      </c>
      <c r="BP178" s="1" t="e">
        <f ca="1">_xll.BDH($C$178,"MODIFIED_WORKING_CPTL_SEQ_GRWTH","FY 2014","FY 2014","Currency=INR","Period=FY","BEST_FPERIOD_OVERRIDE=FY","FILING_STATUS=OR","EQY_CONSOLIDATED=Y","Sort=A","Dates=H","DateFormat=P","Fill=—","Direction=H","UseDPDF=Y")</f>
        <v>#NAME?</v>
      </c>
      <c r="BQ178" s="1" t="e">
        <f ca="1">_xll.BDH($C$178,"WORKING_CAPITAL_SEQ_GROWTH","FY 2014","FY 2014","Currency=INR","Period=FY","BEST_FPERIOD_OVERRIDE=FY","FILING_STATUS=OR","EQY_CONSOLIDATED=Y","Sort=A","Dates=H","DateFormat=P","Fill=—","Direction=H","UseDPDF=Y")</f>
        <v>#NAME?</v>
      </c>
      <c r="BR178" s="1" t="e">
        <f ca="1">_xll.BDH($C$178,"ACCOUNTS_PAYABLE_SEQ_GROWTH","FY 2014","FY 2014","Currency=INR","Period=FY","BEST_FPERIOD_OVERRIDE=FY","FILING_STATUS=OR","EQY_CONSOLIDATED=Y","Sort=A","Dates=H","DateFormat=P","Fill=—","Direction=H","UseDPDF=Y")</f>
        <v>#NAME?</v>
      </c>
      <c r="BS178" s="1" t="e">
        <f ca="1">_xll.BDH($C$178,"ST_DEBT_SEQUENTIAL_GROWTH","FY 2014","FY 2014","Currency=INR","Period=FY","BEST_FPERIOD_OVERRIDE=FY","FILING_STATUS=OR","EQY_CONSOLIDATED=Y","Sort=A","Dates=H","DateFormat=P","Fill=—","Direction=H","UseDPDF=Y")</f>
        <v>#NAME?</v>
      </c>
      <c r="BT178" s="1" t="e">
        <f ca="1">_xll.BDH($C$178,"TOTAL_DEBT_SEQUENTIAL_GROWTH","FY 2014","FY 2014","Currency=INR","Period=FY","BEST_FPERIOD_OVERRIDE=FY","FILING_STATUS=OR","EQY_CONSOLIDATED=Y","Sort=A","Dates=H","DateFormat=P","Fill=—","Direction=H","UseDPDF=Y")</f>
        <v>#NAME?</v>
      </c>
      <c r="BU178" s="1" t="e">
        <f ca="1">_xll.BDH($C$178,"TOTAL_EQUITY_SEQUENTIAL_GROWTH","FY 2014","FY 2014","Currency=INR","Period=FY","BEST_FPERIOD_OVERRIDE=FY","FILING_STATUS=OR","EQY_CONSOLIDATED=Y","Sort=A","Dates=H","DateFormat=P","Fill=—","Direction=H","UseDPDF=Y")</f>
        <v>#NAME?</v>
      </c>
      <c r="BV178" s="1" t="e">
        <f ca="1">_xll.BDH($C$178,"TOTAL_CAPITAL_SEQUENTIAL_GROWTH","FY 2014","FY 2014","Currency=INR","Period=FY","BEST_FPERIOD_OVERRIDE=FY","FILING_STATUS=OR","EQY_CONSOLIDATED=Y","Sort=A","Dates=H","DateFormat=P","Fill=—","Direction=H","UseDPDF=Y")</f>
        <v>#NAME?</v>
      </c>
      <c r="BW178" s="1" t="e">
        <f ca="1">_xll.BDH($C$178,"BPS_SEQUENTIAL_GROWTH","FY 2014","FY 2014","Currency=INR","Period=FY","BEST_FPERIOD_OVERRIDE=FY","FILING_STATUS=OR","EQY_CONSOLIDATED=Y","Sort=A","Dates=H","DateFormat=P","Fill=—","Direction=H","UseDPDF=Y")</f>
        <v>#NAME?</v>
      </c>
      <c r="BX178" s="1" t="e">
        <f ca="1">_xll.BDH($C$178,"CFO_SEQUENTIAL_GROWTH","FY 2014","FY 2014","Currency=INR","Period=FY","BEST_FPERIOD_OVERRIDE=FY","FILING_STATUS=OR","EQY_CONSOLIDATED=Y","Sort=A","Dates=H","DateFormat=P","Fill=—","Direction=H","UseDPDF=Y")</f>
        <v>#NAME?</v>
      </c>
      <c r="BY178" s="2" t="e">
        <f ca="1">_xll.BDH($C$178,"SHORT_AND_LONG_TERM_DEBT","FY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78" s="2" t="e">
        <f ca="1">_xll.BDH($C$178,"BS_ST_BORROW","FY 2014","FY 2014","Currency=INR","Period=FY","BEST_FPERIOD_OVERRIDE=FY","FILING_STATUS=OR","EQY_CONSOLIDATED=Y","SCALING_FORMAT=MLN","Sort=A","Dates=H","DateFormat=P","Fill=—","Direction=H","UseDPDF=Y")</f>
        <v>#NAME?</v>
      </c>
      <c r="CA178" s="2" t="e">
        <f ca="1">_xll.BDH($C$178,"BS_LT_BORROW","FY 2014","FY 2014","Currency=INR","Period=FY","BEST_FPERIOD_OVERRIDE=FY","FILING_STATUS=OR","EQY_CONSOLIDATED=Y","SCALING_FORMAT=MLN","Sort=A","Dates=H","DateFormat=P","Fill=—","Direction=H","UseDPDF=Y")</f>
        <v>#NAME?</v>
      </c>
      <c r="CB178" s="1" t="e">
        <f ca="1">_xll.BDH($C$178,"TOT_DEBT_TO_EBITDA","FY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178" s="1" t="e">
        <f ca="1">_xll.BDH($C$178,"NET_DEBT_TO_EBITDA","FY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178" s="1" t="e">
        <f ca="1">_xll.BDH($C$178,"TOTAL_DEBT_TO_EBIT","FY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178" s="1" t="e">
        <f ca="1">_xll.BDH($C$178,"NET_DEBT_TO_EBIT","FY 2014","FY 2014","Currency=INR","Period=FY","BEST_FPERIOD_OVERRIDE=FY","FILING_STATUS=OR","EQY_CONSOLIDATED=Y","FA_ADJUSTED=GAAP","Sort=A","Dates=H","DateFormat=P","Fill=—","Direction=H","UseDPDF=Y")</f>
        <v>#NAME?</v>
      </c>
      <c r="CF178" s="1" t="e">
        <f ca="1">_xll.BDH($C$178,"EBITDA_TO_INTEREST_EXPN","FY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78" s="1" t="e">
        <f ca="1">_xll.BDH($C$178,"COM_EQY_TO_TOT_ASSET","FY 2014","FY 2014","Currency=INR","Period=FY","BEST_FPERIOD_OVERRIDE=FY","FILING_STATUS=OR","EQY_CONSOLIDATED=Y","Sort=A","Dates=H","DateFormat=P","Fill=—","Direction=H","UseDPDF=Y")</f>
        <v>#NAME?</v>
      </c>
      <c r="CH178" s="1" t="e">
        <f ca="1">_xll.BDH($C$178,"LT_DEBT_TO_TOT_EQY","FY 2014","FY 2014","Currency=INR","Period=FY","BEST_FPERIOD_OVERRIDE=FY","FILING_STATUS=OR","EQY_CONSOLIDATED=Y","Sort=A","Dates=H","DateFormat=P","Fill=—","Direction=H","UseDPDF=Y")</f>
        <v>#NAME?</v>
      </c>
      <c r="CI178" s="1" t="e">
        <f ca="1">_xll.BDH($C$178,"LT_DEBT_TO_TOT_CAP","FY 2014","FY 2014","Currency=INR","Period=FY","BEST_FPERIOD_OVERRIDE=FY","FILING_STATUS=OR","EQY_CONSOLIDATED=Y","Sort=A","Dates=H","DateFormat=P","Fill=—","Direction=H","UseDPDF=Y")</f>
        <v>#NAME?</v>
      </c>
      <c r="CJ178" s="1" t="e">
        <f ca="1">_xll.BDH($C$178,"LT_DEBT_TO_TOT_ASSET","FY 2014","FY 2014","Currency=INR","Period=FY","BEST_FPERIOD_OVERRIDE=FY","FILING_STATUS=OR","EQY_CONSOLIDATED=Y","Sort=A","Dates=H","DateFormat=P","Fill=—","Direction=H","UseDPDF=Y")</f>
        <v>#NAME?</v>
      </c>
      <c r="CK178" s="1" t="e">
        <f ca="1">_xll.BDH($C$178,"TOT_DEBT_TO_TOT_EQY","FY 2014","FY 2014","Currency=INR","Period=FY","BEST_FPERIOD_OVERRIDE=FY","FILING_STATUS=OR","EQY_CONSOLIDATED=Y","Sort=A","Dates=H","DateFormat=P","Fill=—","Direction=H","UseDPDF=Y")</f>
        <v>#NAME?</v>
      </c>
      <c r="CL178" s="1" t="e">
        <f ca="1">_xll.BDH($C$178,"TOT_DEBT_TO_TOT_CAP","FY 2014","FY 2014","Currency=INR","Period=FY","BEST_FPERIOD_OVERRIDE=FY","FILING_STATUS=OR","EQY_CONSOLIDATED=Y","Sort=A","Dates=H","DateFormat=P","Fill=—","Direction=H","UseDPDF=Y")</f>
        <v>#NAME?</v>
      </c>
      <c r="CM178" s="1" t="e">
        <f ca="1">_xll.BDH($C$178,"TOT_DEBT_TO_TOT_ASSET","FY 2014","FY 2014","Currency=INR","Period=FY","BEST_FPERIOD_OVERRIDE=FY","FILING_STATUS=OR","EQY_CONSOLIDATED=Y","Sort=A","Dates=H","DateFormat=P","Fill=—","Direction=H","UseDPDF=Y")</f>
        <v>#NAME?</v>
      </c>
      <c r="CN178" s="1" t="e">
        <f ca="1">_xll.BDH($C$178,"NET_DEBT_TO_SHRHLDR_EQTY","FY 2014","FY 2014","Currency=INR","Period=FY","BEST_FPERIOD_OVERRIDE=FY","FILING_STATUS=OR","EQY_CONSOLIDATED=Y","Sort=A","Dates=H","DateFormat=P","Fill=—","Direction=H","UseDPDF=Y")</f>
        <v>#NAME?</v>
      </c>
      <c r="CO178" s="1" t="e">
        <f ca="1">_xll.BDH($C$178,"NET_DEBT_%_CAPITAL","FY 2014","FY 2014","Currency=INR","Period=FY","BEST_FPERIOD_OVERRIDE=FY","FILING_STATUS=OR","EQY_CONSOLIDATED=Y","Sort=A","Dates=H","DateFormat=P","Fill=—","Direction=H","UseDPDF=Y")</f>
        <v>#NAME?</v>
      </c>
      <c r="CP178" s="2" t="e">
        <f ca="1">_xll.BDH($C$178,"EBITDA","FY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78" s="2" t="e">
        <f ca="1">_xll.BDH($C$178,"EBITDA_AFTER_CAPEX","FY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78" s="2" t="e">
        <f ca="1">_xll.BDH($C$178,"IS_OPER_INC","FY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78" s="1" t="e">
        <f ca="1">_xll.BDH($C$178,"CASH_RATIO","FY 2014","FY 2014","Currency=INR","Period=FY","BEST_FPERIOD_OVERRIDE=FY","FILING_STATUS=OR","EQY_CONSOLIDATED=Y","Sort=A","Dates=H","DateFormat=P","Fill=—","Direction=H","UseDPDF=Y")</f>
        <v>#NAME?</v>
      </c>
      <c r="CT178" s="1" t="e">
        <f ca="1">_xll.BDH($C$178,"CUR_RATIO","FY 2014","FY 2014","Currency=INR","Period=FY","BEST_FPERIOD_OVERRIDE=FY","FILING_STATUS=OR","EQY_CONSOLIDATED=Y","Sort=A","Dates=H","DateFormat=P","Fill=—","Direction=H","UseDPDF=Y")</f>
        <v>#NAME?</v>
      </c>
      <c r="CU178" s="1" t="e">
        <f ca="1">_xll.BDH($C$178,"QUICK_RATIO","FY 2014","FY 2014","Currency=INR","Period=FY","BEST_FPERIOD_OVERRIDE=FY","FILING_STATUS=OR","EQY_CONSOLIDATED=Y","Sort=A","Dates=H","DateFormat=P","Fill=—","Direction=H","UseDPDF=Y")</f>
        <v>#NAME?</v>
      </c>
      <c r="CV178" s="1" t="e">
        <f ca="1">_xll.BDH($C$178,"ALTMAN_Z_SCORE","FY 2014","FY 2014","Currency=INR","Period=FY","BEST_FPERIOD_OVERRIDE=FY","FILING_STATUS=OR","EQY_CONSOLIDATED=Y","Sort=A","Dates=H","DateFormat=P","Fill=—","Direction=H","UseDPDF=Y")</f>
        <v>#NAME?</v>
      </c>
      <c r="CW178" s="3" t="e">
        <f ca="1">_xll.BDH($C$178,"ACCT_RCV_TURN","FY 2014","FY 2014","Currency=INR","Period=FY","BEST_FPERIOD_OVERRIDE=FY","FILING_STATUS=OR","EQY_CONSOLIDATED=Y","FA_ADJUSTED=GAAP","Sort=A","Dates=H","DateFormat=P","Fill=—","Direction=H","UseDPDF=Y")</f>
        <v>#NAME?</v>
      </c>
      <c r="CX178" s="1" t="e">
        <f ca="1">_xll.BDH($C$178,"ACCT_RCV_DAYS","FY 2014","FY 2014","Currency=INR","Period=FY","BEST_FPERIOD_OVERRIDE=FY","FILING_STATUS=OR","EQY_CONSOLIDATED=Y","FA_ADJUSTED=GAAP","Sort=A","Dates=H","DateFormat=P","Fill=—","Direction=H","UseDPDF=Y")</f>
        <v>#NAME?</v>
      </c>
      <c r="CY178" s="3" t="e">
        <f ca="1">_xll.BDH($C$178,"INVENT_TURN","FY 2014","FY 2014","Currency=INR","Period=FY","BEST_FPERIOD_OVERRIDE=FY","FILING_STATUS=OR","EQY_CONSOLIDATED=Y","FA_ADJUSTED=GAAP","Sort=A","Dates=H","DateFormat=P","Fill=—","Direction=H","UseDPDF=Y")</f>
        <v>#NAME?</v>
      </c>
      <c r="CZ178" s="1" t="e">
        <f ca="1">_xll.BDH($C$178,"INVENT_DAYS","FY 2014","FY 2014","Currency=INR","Period=FY","BEST_FPERIOD_OVERRIDE=FY","FILING_STATUS=OR","EQY_CONSOLIDATED=Y","FA_ADJUSTED=GAAP","Sort=A","Dates=H","DateFormat=P","Fill=—","Direction=H","UseDPDF=Y")</f>
        <v>#NAME?</v>
      </c>
      <c r="DA178" s="3" t="e">
        <f ca="1">_xll.BDH($C$178,"ACCOUNTS_PAYABLE_TURNOVER","FY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78" s="1" t="e">
        <f ca="1">_xll.BDH($C$178,"ACCOUNTS_PAYABLE_TURNOVER_DAYS","FY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78" s="3" t="e">
        <f ca="1">_xll.BDH($C$178,"CASH_CONVERSION_CYCLE","FY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78" s="3" t="e">
        <f ca="1">_xll.BDH($C$178,"INV_TO_CASH_DAYS","FY 2014","FY 2014","Currency=INR","Period=FY","BEST_FPERIOD_OVERRIDE=FY","FILING_STATUS=OR","EQY_CONSOLIDATED=Y","FA_ADJUSTED=GAAP","Sort=A","Dates=H","DateFormat=P","Fill=—","Direction=H","UseDPDF=Y")</f>
        <v>#NAME?</v>
      </c>
      <c r="DE178" s="4" t="e">
        <f ca="1">_xll.BDH($C$178,"BS_INVENTORIES","FY 2014","FY 2014","Currency=INR","Period=FY","BEST_FPERIOD_OVERRIDE=FY","FILING_STATUS=OR","EQY_CONSOLIDATED=Y","SCALING_FORMAT=MLN","Sort=A","Dates=H","DateFormat=P","Fill=—","Direction=H","UseDPDF=Y")</f>
        <v>#NAME?</v>
      </c>
      <c r="DF178" s="2" t="e">
        <f ca="1">_xll.BDH($C$178,"INVTRY_RAW_MATERIALS","FY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78" s="2" t="e">
        <f ca="1">_xll.BDH($C$178,"INVTRY_IN_PROGRESS","FY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78" s="2" t="e">
        <f ca="1">_xll.BDH($C$178,"INVTRY_FINISHED_GOODS","FY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78" s="2" t="e">
        <f ca="1">_xll.BDH($C$178,"BS_OTHER_INV","FY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79" spans="1:113" x14ac:dyDescent="0.3">
      <c r="A179" s="6"/>
      <c r="B179" s="6"/>
      <c r="C179" s="6"/>
      <c r="D179" s="6"/>
      <c r="E179" t="s">
        <v>4</v>
      </c>
      <c r="F179" t="e">
        <f ca="1">_xll.BDH($C$178,"RETURN_COM_EQY","FQ1 2014","FQ1 2014","Currency=INR","Period=FQ","BEST_FPERIOD_OVERRIDE=FQ","FILING_STATUS=OR","EQY_CONSOLIDATED=Y","FA_ADJUSTED=GAAP","Sort=A","Dates=H","DateFormat=P","Fill=—","Direction=H","UseDPDF=Y")</f>
        <v>#NAME?</v>
      </c>
      <c r="G179" t="e">
        <f ca="1">_xll.BDH($C$178,"RETURN_ON_ASSET","FQ1 2014","FQ1 2014","Currency=INR","Period=FQ","BEST_FPERIOD_OVERRIDE=FQ","FILING_STATUS=OR","EQY_CONSOLIDATED=Y","FA_ADJUSTED=GAAP","Sort=A","Dates=H","DateFormat=P","Fill=—","Direction=H","UseDPDF=Y")</f>
        <v>#NAME?</v>
      </c>
      <c r="H179" t="e">
        <f ca="1">_xll.BDH($C$178,"RETURN_ON_CAP","FQ1 2014","FQ1 2014","Currency=INR","Period=FQ","BEST_FPERIOD_OVERRIDE=FQ","FILING_STATUS=OR","EQY_CONSOLIDATED=Y","FA_ADJUSTED=GAAP","Sort=A","Dates=H","DateFormat=P","Fill=—","Direction=H","UseDPDF=Y")</f>
        <v>#NAME?</v>
      </c>
      <c r="I179" t="e">
        <f ca="1">_xll.BDH($C$178,"RETURN_ON_INV_CAPITAL","FQ1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79" t="e">
        <f ca="1">_xll.BDH($C$178,"EBITDA_TO_REVENUE","FQ1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179" t="e">
        <f ca="1">_xll.BDH($C$178,"OPER_MARGIN","FQ1 2014","FQ1 2014","Currency=INR","Period=FQ","BEST_FPERIOD_OVERRIDE=FQ","FILING_STATUS=OR","EQY_CONSOLIDATED=Y","FA_ADJUSTED=GAAP","Sort=A","Dates=H","DateFormat=P","Fill=—","Direction=H","UseDPDF=Y")</f>
        <v>#NAME?</v>
      </c>
      <c r="L179" t="e">
        <f ca="1">_xll.BDH($C$178,"INCREMENTAL_OPERATING_MARGIN","FQ1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79" t="e">
        <f ca="1">_xll.BDH($C$178,"PRETAX_INC_TO_NET_SALES","FQ1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79" t="e">
        <f ca="1">_xll.BDH($C$178,"INC_BEF_XO_ITEMS_TO_NET_SALES","FQ1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79" t="e">
        <f ca="1">_xll.BDH($C$178,"PROF_MARGIN","FQ1 2014","FQ1 2014","Currency=INR","Period=FQ","BEST_FPERIOD_OVERRIDE=FQ","FILING_STATUS=OR","EQY_CONSOLIDATED=Y","FA_ADJUSTED=GAAP","Sort=A","Dates=H","DateFormat=P","Fill=—","Direction=H","UseDPDF=Y")</f>
        <v>#NAME?</v>
      </c>
      <c r="P179" t="e">
        <f ca="1">_xll.BDH($C$178,"NET_INCOME_TO_COMMON_MARGIN","FQ1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79" t="e">
        <f ca="1">_xll.BDH($C$178,"EFF_TAX_RATE","FQ1 2014","FQ1 2014","Currency=INR","Period=FQ","BEST_FPERIOD_OVERRIDE=FQ","FILING_STATUS=OR","EQY_CONSOLIDATED=Y","FA_ADJUSTED=GAAP","Sort=A","Dates=H","DateFormat=P","Fill=—","Direction=H","UseDPDF=Y")</f>
        <v>#NAME?</v>
      </c>
      <c r="R179" t="e">
        <f ca="1">_xll.BDH($C$178,"DVD_PAYOUT_RATIO","FQ1 2014","FQ1 2014","Currency=INR","Period=FQ","BEST_FPERIOD_OVERRIDE=FQ","FILING_STATUS=OR","EQY_CONSOLIDATED=Y","FA_ADJUSTED=GAAP","Sort=A","Dates=H","DateFormat=P","Fill=—","Direction=H","UseDPDF=Y")</f>
        <v>#NAME?</v>
      </c>
      <c r="S179" t="e">
        <f ca="1">_xll.BDH($C$178,"SUSTAIN_GROWTH_RT","FQ1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179" s="1" t="e">
        <f ca="1">_xll.BDH($C$178,"SALES_GROWTH","FQ1 2014","FQ1 2014","Currency=INR","Period=FQ","BEST_FPERIOD_OVERRIDE=FQ","FILING_STATUS=OR","EQY_CONSOLIDATED=Y","FA_ADJUSTED=GAAP","Sort=A","Dates=H","DateFormat=P","Fill=—","Direction=H","UseDPDF=Y")</f>
        <v>#NAME?</v>
      </c>
      <c r="U179" s="1" t="e">
        <f ca="1">_xll.BDH($C$178,"EBITDA_GROWTH","FQ1 2014","FQ1 2014","Currency=INR","Period=FQ","BEST_FPERIOD_OVERRIDE=FQ","FILING_STATUS=OR","EQY_CONSOLIDATED=Y","FA_ADJUSTED=GAAP","Sort=A","Dates=H","DateFormat=P","Fill=—","Direction=H","UseDPDF=Y")</f>
        <v>#NAME?</v>
      </c>
      <c r="V179" s="1" t="e">
        <f ca="1">_xll.BDH($C$178,"OPER_INC_GROWTH","FQ1 2014","FQ1 2014","Currency=INR","Period=FQ","BEST_FPERIOD_OVERRIDE=FQ","FILING_STATUS=OR","EQY_CONSOLIDATED=Y","FA_ADJUSTED=GAAP","Sort=A","Dates=H","DateFormat=P","Fill=—","Direction=H","UseDPDF=Y")</f>
        <v>#NAME?</v>
      </c>
      <c r="W179" s="1" t="e">
        <f ca="1">_xll.BDH($C$178,"EARN_FOR_COM_GROWTH","FQ1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79" s="1" t="e">
        <f ca="1">_xll.BDH($C$178,"DILUTED_EPS_AFT_XO_ITEMS_GROWTH","FQ1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79" s="1" t="e">
        <f ca="1">_xll.BDH($C$178,"DIVIDEND_PER_SHARE_1_YEAR_GROWTH","FQ1 2014","FQ1 2014","Currency=INR","Period=FQ","BEST_FPERIOD_OVERRIDE=FQ","FILING_STATUS=OR","EQY_CONSOLIDATED=Y","Sort=A","Dates=H","DateFormat=P","Fill=—","Direction=H","UseDPDF=Y")</f>
        <v>#NAME?</v>
      </c>
      <c r="Z179" s="1" t="e">
        <f ca="1">_xll.BDH($C$178,"ACCOUNTS_RECEIVABLE_GROWTH","FQ1 2014","FQ1 2014","Currency=INR","Period=FQ","BEST_FPERIOD_OVERRIDE=FQ","FILING_STATUS=OR","EQY_CONSOLIDATED=Y","Sort=A","Dates=H","DateFormat=P","Fill=—","Direction=H","UseDPDF=Y")</f>
        <v>#NAME?</v>
      </c>
      <c r="AA179" s="1" t="e">
        <f ca="1">_xll.BDH($C$178,"INVENTORY_GROWTH","FQ1 2014","FQ1 2014","Currency=INR","Period=FQ","BEST_FPERIOD_OVERRIDE=FQ","FILING_STATUS=OR","EQY_CONSOLIDATED=Y","Sort=A","Dates=H","DateFormat=P","Fill=—","Direction=H","UseDPDF=Y")</f>
        <v>#NAME?</v>
      </c>
      <c r="AB179" s="1" t="e">
        <f ca="1">_xll.BDH($C$178,"NET_FIXED_ASSETS_1_YEAR_GROWTH","FQ1 2014","FQ1 2014","Currency=INR","Period=FQ","BEST_FPERIOD_OVERRIDE=FQ","FILING_STATUS=OR","EQY_CONSOLIDATED=Y","Sort=A","Dates=H","DateFormat=P","Fill=—","Direction=H","UseDPDF=Y")</f>
        <v>#NAME?</v>
      </c>
      <c r="AC179" s="1" t="e">
        <f ca="1">_xll.BDH($C$178,"ASSET_GROWTH","FQ1 2014","FQ1 2014","Currency=INR","Period=FQ","BEST_FPERIOD_OVERRIDE=FQ","FILING_STATUS=OR","EQY_CONSOLIDATED=Y","Sort=A","Dates=H","DateFormat=P","Fill=—","Direction=H","UseDPDF=Y")</f>
        <v>#NAME?</v>
      </c>
      <c r="AD179" s="1" t="e">
        <f ca="1">_xll.BDH($C$178,"MODIFIED_WORK_CAP_GROWTH","FQ1 2014","FQ1 2014","Currency=INR","Period=FQ","BEST_FPERIOD_OVERRIDE=FQ","FILING_STATUS=OR","EQY_CONSOLIDATED=Y","Sort=A","Dates=H","DateFormat=P","Fill=—","Direction=H","UseDPDF=Y")</f>
        <v>#NAME?</v>
      </c>
      <c r="AE179" s="1" t="e">
        <f ca="1">_xll.BDH($C$178,"WORK_CAP_GROWTH","FQ1 2014","FQ1 2014","Currency=INR","Period=FQ","BEST_FPERIOD_OVERRIDE=FQ","FILING_STATUS=OR","EQY_CONSOLIDATED=Y","Sort=A","Dates=H","DateFormat=P","Fill=—","Direction=H","UseDPDF=Y")</f>
        <v>#NAME?</v>
      </c>
      <c r="AF179" s="1" t="e">
        <f ca="1">_xll.BDH($C$178,"ACCOUNTS_PAYABLE_GROWTH_1YR","FQ1 2014","FQ1 2014","Currency=INR","Period=FQ","BEST_FPERIOD_OVERRIDE=FQ","FILING_STATUS=OR","EQY_CONSOLIDATED=Y","Sort=A","Dates=H","DateFormat=P","Fill=—","Direction=H","UseDPDF=Y")</f>
        <v>#NAME?</v>
      </c>
      <c r="AG179" s="1" t="e">
        <f ca="1">_xll.BDH($C$178,"SHORT_TERM_DEBT_1_YEAR_GROWTH","FQ1 2014","FQ1 2014","Currency=INR","Period=FQ","BEST_FPERIOD_OVERRIDE=FQ","FILING_STATUS=OR","EQY_CONSOLIDATED=Y","Sort=A","Dates=H","DateFormat=P","Fill=—","Direction=H","UseDPDF=Y")</f>
        <v>#NAME?</v>
      </c>
      <c r="AH179" s="1" t="e">
        <f ca="1">_xll.BDH($C$178,"TOTAL_DEBT_1_YEAR_GROWTH","FQ1 2014","FQ1 2014","Currency=INR","Period=FQ","BEST_FPERIOD_OVERRIDE=FQ","FILING_STATUS=OR","EQY_CONSOLIDATED=Y","Sort=A","Dates=H","DateFormat=P","Fill=—","Direction=H","UseDPDF=Y")</f>
        <v>#NAME?</v>
      </c>
      <c r="AI179" s="1" t="e">
        <f ca="1">_xll.BDH($C$178,"TOTAL_EQUITY_1_YEAR_GROWTH","FQ1 2014","FQ1 2014","Currency=INR","Period=FQ","BEST_FPERIOD_OVERRIDE=FQ","FILING_STATUS=OR","EQY_CONSOLIDATED=Y","Sort=A","Dates=H","DateFormat=P","Fill=—","Direction=H","UseDPDF=Y")</f>
        <v>#NAME?</v>
      </c>
      <c r="AJ179" s="1" t="e">
        <f ca="1">_xll.BDH($C$178,"GROWTH_IN_CAP","FQ1 2014","FQ1 2014","Currency=INR","Period=FQ","BEST_FPERIOD_OVERRIDE=FQ","FILING_STATUS=OR","EQY_CONSOLIDATED=Y","Sort=A","Dates=H","DateFormat=P","Fill=—","Direction=H","UseDPDF=Y")</f>
        <v>#NAME?</v>
      </c>
      <c r="AK179" s="1" t="e">
        <f ca="1">_xll.BDH($C$178,"BVPS_GROWTH","FQ1 2014","FQ1 2014","Currency=INR","Period=FQ","BEST_FPERIOD_OVERRIDE=FQ","FILING_STATUS=OR","EQY_CONSOLIDATED=Y","Sort=A","Dates=H","DateFormat=P","Fill=—","Direction=H","UseDPDF=Y")</f>
        <v>#NAME?</v>
      </c>
      <c r="AL179" s="1" t="e">
        <f ca="1">_xll.BDH($C$178,"CASH_FLOW_GROWTH","FQ1 2014","FQ1 2014","Currency=INR","Period=FQ","BEST_FPERIOD_OVERRIDE=FQ","FILING_STATUS=OR","EQY_CONSOLIDATED=Y","Sort=A","Dates=H","DateFormat=P","Fill=—","Direction=H","UseDPDF=Y")</f>
        <v>#NAME?</v>
      </c>
      <c r="AM179" s="1" t="e">
        <f ca="1">_xll.BDH($C$178,"GEO_GROW_NET_SALES","FQ1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79" s="1" t="e">
        <f ca="1">_xll.BDH($C$178,"GEO_GROW_EBITDA","FQ1 2014","FQ1 2014","Currency=INR","Period=FQ","BEST_FPERIOD_OVERRIDE=FQ","FILING_STATUS=OR","EQY_CONSOLIDATED=Y","FA_ADJUSTED=GAAP","Sort=A","Dates=H","DateFormat=P","Fill=—","Direction=H","UseDPDF=Y")</f>
        <v>#NAME?</v>
      </c>
      <c r="AO179" s="1" t="e">
        <f ca="1">_xll.BDH($C$178,"GEO_GROW_OPER_INC","FQ1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79" s="1" t="e">
        <f ca="1">_xll.BDH($C$178,"NET_INCOME_TO_COMMON_5_YR_GROWTH","FQ1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79" s="1" t="e">
        <f ca="1">_xll.BDH($C$178,"5Y_GEO_GROWTH_DILUTED_EPS","FQ1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79" s="1" t="e">
        <f ca="1">_xll.BDH($C$178,"GEO_GROW_DVD_PER_SH","FQ1 2014","FQ1 2014","Currency=INR","Period=FQ","BEST_FPERIOD_OVERRIDE=FQ","FILING_STATUS=OR","EQY_CONSOLIDATED=Y","Sort=A","Dates=H","DateFormat=P","Fill=—","Direction=H","UseDPDF=Y")</f>
        <v>#NAME?</v>
      </c>
      <c r="AS179" s="1" t="e">
        <f ca="1">_xll.BDH($C$178,"ACCOUNTS_RECEIVABLE_5_YR_GROWTH","FQ1 2014","FQ1 2014","Currency=INR","Period=FQ","BEST_FPERIOD_OVERRIDE=FQ","FILING_STATUS=OR","EQY_CONSOLIDATED=Y","Sort=A","Dates=H","DateFormat=P","Fill=—","Direction=H","UseDPDF=Y")</f>
        <v>#NAME?</v>
      </c>
      <c r="AT179" s="1" t="e">
        <f ca="1">_xll.BDH($C$178,"INVENTORY_5_YEAR_GROWTH","FQ1 2014","FQ1 2014","Currency=INR","Period=FQ","BEST_FPERIOD_OVERRIDE=FQ","FILING_STATUS=OR","EQY_CONSOLIDATED=Y","Sort=A","Dates=H","DateFormat=P","Fill=—","Direction=H","UseDPDF=Y")</f>
        <v>#NAME?</v>
      </c>
      <c r="AU179" s="1" t="e">
        <f ca="1">_xll.BDH($C$178,"NET_FIXED_ASSETS_5_YEAR_GROWTH","FQ1 2014","FQ1 2014","Currency=INR","Period=FQ","BEST_FPERIOD_OVERRIDE=FQ","FILING_STATUS=OR","EQY_CONSOLIDATED=Y","Sort=A","Dates=H","DateFormat=P","Fill=—","Direction=H","UseDPDF=Y")</f>
        <v>#NAME?</v>
      </c>
      <c r="AV179" s="1" t="e">
        <f ca="1">_xll.BDH($C$178,"GEO_GROW_TOT_ASSET","FQ1 2014","FQ1 2014","Currency=INR","Period=FQ","BEST_FPERIOD_OVERRIDE=FQ","FILING_STATUS=OR","EQY_CONSOLIDATED=Y","Sort=A","Dates=H","DateFormat=P","Fill=—","Direction=H","UseDPDF=Y")</f>
        <v>#NAME?</v>
      </c>
      <c r="AW179" s="1" t="e">
        <f ca="1">_xll.BDH($C$178,"MODIFIED_WORKING_CPTL_5YR_GRWTH","FQ1 2014","FQ1 2014","Currency=INR","Period=FQ","BEST_FPERIOD_OVERRIDE=FQ","FILING_STATUS=OR","EQY_CONSOLIDATED=Y","Sort=A","Dates=H","DateFormat=P","Fill=—","Direction=H","UseDPDF=Y")</f>
        <v>#NAME?</v>
      </c>
      <c r="AX179" s="1" t="e">
        <f ca="1">_xll.BDH($C$178,"WORKING_CAPITAL_5_YEAR_GROWTH","FQ1 2014","FQ1 2014","Currency=INR","Period=FQ","BEST_FPERIOD_OVERRIDE=FQ","FILING_STATUS=OR","EQY_CONSOLIDATED=Y","Sort=A","Dates=H","DateFormat=P","Fill=—","Direction=H","UseDPDF=Y")</f>
        <v>#NAME?</v>
      </c>
      <c r="AY179" s="1" t="e">
        <f ca="1">_xll.BDH($C$178,"ACCOUNTS_PAYABLE_5_YEAR_GROWTH","FQ1 2014","FQ1 2014","Currency=INR","Period=FQ","BEST_FPERIOD_OVERRIDE=FQ","FILING_STATUS=OR","EQY_CONSOLIDATED=Y","Sort=A","Dates=H","DateFormat=P","Fill=—","Direction=H","UseDPDF=Y")</f>
        <v>#NAME?</v>
      </c>
      <c r="AZ179" s="1" t="e">
        <f ca="1">_xll.BDH($C$178,"SHORT_TERM_DEBT_5_YEAR_GROWTH","FQ1 2014","FQ1 2014","Currency=INR","Period=FQ","BEST_FPERIOD_OVERRIDE=FQ","FILING_STATUS=OR","EQY_CONSOLIDATED=Y","Sort=A","Dates=H","DateFormat=P","Fill=—","Direction=H","UseDPDF=Y")</f>
        <v>#NAME?</v>
      </c>
      <c r="BA179" s="1" t="e">
        <f ca="1">_xll.BDH($C$178,"TOTAL_DEBT_5_YEAR_GROWTH","FQ1 2014","FQ1 2014","Currency=INR","Period=FQ","BEST_FPERIOD_OVERRIDE=FQ","FILING_STATUS=OR","EQY_CONSOLIDATED=Y","Sort=A","Dates=H","DateFormat=P","Fill=—","Direction=H","UseDPDF=Y")</f>
        <v>#NAME?</v>
      </c>
      <c r="BB179" s="1" t="e">
        <f ca="1">_xll.BDH($C$178,"GEO_GROW_TOT_SHRHLDR_EQY","FQ1 2014","FQ1 2014","Currency=INR","Period=FQ","BEST_FPERIOD_OVERRIDE=FQ","FILING_STATUS=OR","EQY_CONSOLIDATED=Y","Sort=A","Dates=H","DateFormat=P","Fill=—","Direction=H","UseDPDF=Y")</f>
        <v>#NAME?</v>
      </c>
      <c r="BC179" s="1" t="e">
        <f ca="1">_xll.BDH($C$178,"TOTAL_CAPITAL_5_YEAR_GROWTH","FQ1 2014","FQ1 2014","Currency=INR","Period=FQ","BEST_FPERIOD_OVERRIDE=FQ","FILING_STATUS=OR","EQY_CONSOLIDATED=Y","Sort=A","Dates=H","DateFormat=P","Fill=—","Direction=H","UseDPDF=Y")</f>
        <v>#NAME?</v>
      </c>
      <c r="BD179" s="1" t="e">
        <f ca="1">_xll.BDH($C$178,"GEO_GROW_BOOK_VAL","FQ1 2014","FQ1 2014","Currency=INR","Period=FQ","BEST_FPERIOD_OVERRIDE=FQ","FILING_STATUS=OR","EQY_CONSOLIDATED=Y","Sort=A","Dates=H","DateFormat=P","Fill=—","Direction=H","UseDPDF=Y")</f>
        <v>#NAME?</v>
      </c>
      <c r="BE179" s="1" t="e">
        <f ca="1">_xll.BDH($C$178,"GEO_GROW_CASH_OPER_ACT","FQ1 2014","FQ1 2014","Currency=INR","Period=FQ","BEST_FPERIOD_OVERRIDE=FQ","FILING_STATUS=OR","EQY_CONSOLIDATED=Y","Sort=A","Dates=H","DateFormat=P","Fill=—","Direction=H","UseDPDF=Y")</f>
        <v>#NAME?</v>
      </c>
      <c r="BF179" s="1" t="e">
        <f ca="1">_xll.BDH($C$178,"REVENUE_SEQUENTIAL_GROWTH","FQ1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79" s="1" t="e">
        <f ca="1">_xll.BDH($C$178,"EBITDA_SEQUENTIAL_GROWTH","FQ1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79" s="1" t="e">
        <f ca="1">_xll.BDH($C$178,"OPERATING_INCOME_SEQ_GROWTH","FQ1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79" s="1" t="e">
        <f ca="1">_xll.BDH($C$178,"NET_INCOME_TO_COMMON_SEQ_GROWTH","FQ1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79" s="1" t="e">
        <f ca="1">_xll.BDH($C$178,"EPS_DILUTED_SEQUENTIAL_GROWTH","FQ1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79" s="1" t="e">
        <f ca="1">_xll.BDH($C$178,"DPS_SEQUENTIAL_GROWTH","FQ1 2014","FQ1 2014","Currency=INR","Period=FQ","BEST_FPERIOD_OVERRIDE=FQ","FILING_STATUS=OR","EQY_CONSOLIDATED=Y","Sort=A","Dates=H","DateFormat=P","Fill=—","Direction=H","UseDPDF=Y")</f>
        <v>#NAME?</v>
      </c>
      <c r="BL179" s="1" t="e">
        <f ca="1">_xll.BDH($C$178,"ACCOUNTS_RECEIVABLE_SEQ_GROWTH","FQ1 2014","FQ1 2014","Currency=INR","Period=FQ","BEST_FPERIOD_OVERRIDE=FQ","FILING_STATUS=OR","EQY_CONSOLIDATED=Y","Sort=A","Dates=H","DateFormat=P","Fill=—","Direction=H","UseDPDF=Y")</f>
        <v>#NAME?</v>
      </c>
      <c r="BM179" s="1" t="e">
        <f ca="1">_xll.BDH($C$178,"INVENTORY_SEQUENTIAL_GROWTH","FQ1 2014","FQ1 2014","Currency=INR","Period=FQ","BEST_FPERIOD_OVERRIDE=FQ","FILING_STATUS=OR","EQY_CONSOLIDATED=Y","Sort=A","Dates=H","DateFormat=P","Fill=—","Direction=H","UseDPDF=Y")</f>
        <v>#NAME?</v>
      </c>
      <c r="BN179" s="1" t="e">
        <f ca="1">_xll.BDH($C$178,"FIXED_ASSETS_SEQUENTIAL_GROWTH","FQ1 2014","FQ1 2014","Currency=INR","Period=FQ","BEST_FPERIOD_OVERRIDE=FQ","FILING_STATUS=OR","EQY_CONSOLIDATED=Y","Sort=A","Dates=H","DateFormat=P","Fill=—","Direction=H","UseDPDF=Y")</f>
        <v>#NAME?</v>
      </c>
      <c r="BO179" s="1" t="e">
        <f ca="1">_xll.BDH($C$178,"TOTAL_ASSETS_SEQUENTIAL_GROWTH","FQ1 2014","FQ1 2014","Currency=INR","Period=FQ","BEST_FPERIOD_OVERRIDE=FQ","FILING_STATUS=OR","EQY_CONSOLIDATED=Y","Sort=A","Dates=H","DateFormat=P","Fill=—","Direction=H","UseDPDF=Y")</f>
        <v>#NAME?</v>
      </c>
      <c r="BP179" s="1" t="e">
        <f ca="1">_xll.BDH($C$178,"MODIFIED_WORKING_CPTL_SEQ_GRWTH","FQ1 2014","FQ1 2014","Currency=INR","Period=FQ","BEST_FPERIOD_OVERRIDE=FQ","FILING_STATUS=OR","EQY_CONSOLIDATED=Y","Sort=A","Dates=H","DateFormat=P","Fill=—","Direction=H","UseDPDF=Y")</f>
        <v>#NAME?</v>
      </c>
      <c r="BQ179" s="1" t="e">
        <f ca="1">_xll.BDH($C$178,"WORKING_CAPITAL_SEQ_GROWTH","FQ1 2014","FQ1 2014","Currency=INR","Period=FQ","BEST_FPERIOD_OVERRIDE=FQ","FILING_STATUS=OR","EQY_CONSOLIDATED=Y","Sort=A","Dates=H","DateFormat=P","Fill=—","Direction=H","UseDPDF=Y")</f>
        <v>#NAME?</v>
      </c>
      <c r="BR179" s="1" t="e">
        <f ca="1">_xll.BDH($C$178,"ACCOUNTS_PAYABLE_SEQ_GROWTH","FQ1 2014","FQ1 2014","Currency=INR","Period=FQ","BEST_FPERIOD_OVERRIDE=FQ","FILING_STATUS=OR","EQY_CONSOLIDATED=Y","Sort=A","Dates=H","DateFormat=P","Fill=—","Direction=H","UseDPDF=Y")</f>
        <v>#NAME?</v>
      </c>
      <c r="BS179" s="1" t="e">
        <f ca="1">_xll.BDH($C$178,"ST_DEBT_SEQUENTIAL_GROWTH","FQ1 2014","FQ1 2014","Currency=INR","Period=FQ","BEST_FPERIOD_OVERRIDE=FQ","FILING_STATUS=OR","EQY_CONSOLIDATED=Y","Sort=A","Dates=H","DateFormat=P","Fill=—","Direction=H","UseDPDF=Y")</f>
        <v>#NAME?</v>
      </c>
      <c r="BT179" s="1" t="e">
        <f ca="1">_xll.BDH($C$178,"TOTAL_DEBT_SEQUENTIAL_GROWTH","FQ1 2014","FQ1 2014","Currency=INR","Period=FQ","BEST_FPERIOD_OVERRIDE=FQ","FILING_STATUS=OR","EQY_CONSOLIDATED=Y","Sort=A","Dates=H","DateFormat=P","Fill=—","Direction=H","UseDPDF=Y")</f>
        <v>#NAME?</v>
      </c>
      <c r="BU179" s="1" t="e">
        <f ca="1">_xll.BDH($C$178,"TOTAL_EQUITY_SEQUENTIAL_GROWTH","FQ1 2014","FQ1 2014","Currency=INR","Period=FQ","BEST_FPERIOD_OVERRIDE=FQ","FILING_STATUS=OR","EQY_CONSOLIDATED=Y","Sort=A","Dates=H","DateFormat=P","Fill=—","Direction=H","UseDPDF=Y")</f>
        <v>#NAME?</v>
      </c>
      <c r="BV179" s="1" t="e">
        <f ca="1">_xll.BDH($C$178,"TOTAL_CAPITAL_SEQUENTIAL_GROWTH","FQ1 2014","FQ1 2014","Currency=INR","Period=FQ","BEST_FPERIOD_OVERRIDE=FQ","FILING_STATUS=OR","EQY_CONSOLIDATED=Y","Sort=A","Dates=H","DateFormat=P","Fill=—","Direction=H","UseDPDF=Y")</f>
        <v>#NAME?</v>
      </c>
      <c r="BW179" s="1" t="e">
        <f ca="1">_xll.BDH($C$178,"BPS_SEQUENTIAL_GROWTH","FQ1 2014","FQ1 2014","Currency=INR","Period=FQ","BEST_FPERIOD_OVERRIDE=FQ","FILING_STATUS=OR","EQY_CONSOLIDATED=Y","Sort=A","Dates=H","DateFormat=P","Fill=—","Direction=H","UseDPDF=Y")</f>
        <v>#NAME?</v>
      </c>
      <c r="BX179" s="1" t="e">
        <f ca="1">_xll.BDH($C$178,"CFO_SEQUENTIAL_GROWTH","FQ1 2014","FQ1 2014","Currency=INR","Period=FQ","BEST_FPERIOD_OVERRIDE=FQ","FILING_STATUS=OR","EQY_CONSOLIDATED=Y","Sort=A","Dates=H","DateFormat=P","Fill=—","Direction=H","UseDPDF=Y")</f>
        <v>#NAME?</v>
      </c>
      <c r="BY179" s="2" t="e">
        <f ca="1">_xll.BDH($C$178,"SHORT_AND_LONG_TERM_DEBT","FQ1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79" s="2" t="e">
        <f ca="1">_xll.BDH($C$178,"BS_ST_BORROW","FQ1 2014","FQ1 2014","Currency=INR","Period=FQ","BEST_FPERIOD_OVERRIDE=FQ","FILING_STATUS=OR","EQY_CONSOLIDATED=Y","SCALING_FORMAT=MLN","Sort=A","Dates=H","DateFormat=P","Fill=—","Direction=H","UseDPDF=Y")</f>
        <v>#NAME?</v>
      </c>
      <c r="CA179" s="2" t="e">
        <f ca="1">_xll.BDH($C$178,"BS_LT_BORROW","FQ1 2014","FQ1 2014","Currency=INR","Period=FQ","BEST_FPERIOD_OVERRIDE=FQ","FILING_STATUS=OR","EQY_CONSOLIDATED=Y","SCALING_FORMAT=MLN","Sort=A","Dates=H","DateFormat=P","Fill=—","Direction=H","UseDPDF=Y")</f>
        <v>#NAME?</v>
      </c>
      <c r="CB179" s="1" t="e">
        <f ca="1">_xll.BDH($C$178,"TOT_DEBT_TO_EBITDA","FQ1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79" s="1" t="e">
        <f ca="1">_xll.BDH($C$178,"NET_DEBT_TO_EBITDA","FQ1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79" s="1" t="e">
        <f ca="1">_xll.BDH($C$178,"TOTAL_DEBT_TO_EBIT","FQ1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79" s="1" t="e">
        <f ca="1">_xll.BDH($C$178,"NET_DEBT_TO_EBIT","FQ1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179" s="1" t="e">
        <f ca="1">_xll.BDH($C$178,"EBITDA_TO_INTEREST_EXPN","FQ1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79" s="1" t="e">
        <f ca="1">_xll.BDH($C$178,"COM_EQY_TO_TOT_ASSET","FQ1 2014","FQ1 2014","Currency=INR","Period=FQ","BEST_FPERIOD_OVERRIDE=FQ","FILING_STATUS=OR","EQY_CONSOLIDATED=Y","Sort=A","Dates=H","DateFormat=P","Fill=—","Direction=H","UseDPDF=Y")</f>
        <v>#NAME?</v>
      </c>
      <c r="CH179" s="1" t="e">
        <f ca="1">_xll.BDH($C$178,"LT_DEBT_TO_TOT_EQY","FQ1 2014","FQ1 2014","Currency=INR","Period=FQ","BEST_FPERIOD_OVERRIDE=FQ","FILING_STATUS=OR","EQY_CONSOLIDATED=Y","Sort=A","Dates=H","DateFormat=P","Fill=—","Direction=H","UseDPDF=Y")</f>
        <v>#NAME?</v>
      </c>
      <c r="CI179" s="1" t="e">
        <f ca="1">_xll.BDH($C$178,"LT_DEBT_TO_TOT_CAP","FQ1 2014","FQ1 2014","Currency=INR","Period=FQ","BEST_FPERIOD_OVERRIDE=FQ","FILING_STATUS=OR","EQY_CONSOLIDATED=Y","Sort=A","Dates=H","DateFormat=P","Fill=—","Direction=H","UseDPDF=Y")</f>
        <v>#NAME?</v>
      </c>
      <c r="CJ179" s="1" t="e">
        <f ca="1">_xll.BDH($C$178,"LT_DEBT_TO_TOT_ASSET","FQ1 2014","FQ1 2014","Currency=INR","Period=FQ","BEST_FPERIOD_OVERRIDE=FQ","FILING_STATUS=OR","EQY_CONSOLIDATED=Y","Sort=A","Dates=H","DateFormat=P","Fill=—","Direction=H","UseDPDF=Y")</f>
        <v>#NAME?</v>
      </c>
      <c r="CK179" s="1" t="e">
        <f ca="1">_xll.BDH($C$178,"TOT_DEBT_TO_TOT_EQY","FQ1 2014","FQ1 2014","Currency=INR","Period=FQ","BEST_FPERIOD_OVERRIDE=FQ","FILING_STATUS=OR","EQY_CONSOLIDATED=Y","Sort=A","Dates=H","DateFormat=P","Fill=—","Direction=H","UseDPDF=Y")</f>
        <v>#NAME?</v>
      </c>
      <c r="CL179" s="1" t="e">
        <f ca="1">_xll.BDH($C$178,"TOT_DEBT_TO_TOT_CAP","FQ1 2014","FQ1 2014","Currency=INR","Period=FQ","BEST_FPERIOD_OVERRIDE=FQ","FILING_STATUS=OR","EQY_CONSOLIDATED=Y","Sort=A","Dates=H","DateFormat=P","Fill=—","Direction=H","UseDPDF=Y")</f>
        <v>#NAME?</v>
      </c>
      <c r="CM179" s="1" t="e">
        <f ca="1">_xll.BDH($C$178,"TOT_DEBT_TO_TOT_ASSET","FQ1 2014","FQ1 2014","Currency=INR","Period=FQ","BEST_FPERIOD_OVERRIDE=FQ","FILING_STATUS=OR","EQY_CONSOLIDATED=Y","Sort=A","Dates=H","DateFormat=P","Fill=—","Direction=H","UseDPDF=Y")</f>
        <v>#NAME?</v>
      </c>
      <c r="CN179" s="1" t="e">
        <f ca="1">_xll.BDH($C$178,"NET_DEBT_TO_SHRHLDR_EQTY","FQ1 2014","FQ1 2014","Currency=INR","Period=FQ","BEST_FPERIOD_OVERRIDE=FQ","FILING_STATUS=OR","EQY_CONSOLIDATED=Y","Sort=A","Dates=H","DateFormat=P","Fill=—","Direction=H","UseDPDF=Y")</f>
        <v>#NAME?</v>
      </c>
      <c r="CO179" s="1" t="e">
        <f ca="1">_xll.BDH($C$178,"NET_DEBT_%_CAPITAL","FQ1 2014","FQ1 2014","Currency=INR","Period=FQ","BEST_FPERIOD_OVERRIDE=FQ","FILING_STATUS=OR","EQY_CONSOLIDATED=Y","Sort=A","Dates=H","DateFormat=P","Fill=—","Direction=H","UseDPDF=Y")</f>
        <v>#NAME?</v>
      </c>
      <c r="CP179" s="2" t="e">
        <f ca="1">_xll.BDH($C$178,"EBITDA","FQ1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79" s="2" t="e">
        <f ca="1">_xll.BDH($C$178,"EBITDA_AFTER_CAPEX","FQ1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79" s="2" t="e">
        <f ca="1">_xll.BDH($C$178,"IS_OPER_INC","FQ1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79" s="1" t="e">
        <f ca="1">_xll.BDH($C$178,"CASH_RATIO","FQ1 2014","FQ1 2014","Currency=INR","Period=FQ","BEST_FPERIOD_OVERRIDE=FQ","FILING_STATUS=OR","EQY_CONSOLIDATED=Y","Sort=A","Dates=H","DateFormat=P","Fill=—","Direction=H","UseDPDF=Y")</f>
        <v>#NAME?</v>
      </c>
      <c r="CT179" s="1" t="e">
        <f ca="1">_xll.BDH($C$178,"CUR_RATIO","FQ1 2014","FQ1 2014","Currency=INR","Period=FQ","BEST_FPERIOD_OVERRIDE=FQ","FILING_STATUS=OR","EQY_CONSOLIDATED=Y","Sort=A","Dates=H","DateFormat=P","Fill=—","Direction=H","UseDPDF=Y")</f>
        <v>#NAME?</v>
      </c>
      <c r="CU179" s="1" t="e">
        <f ca="1">_xll.BDH($C$178,"QUICK_RATIO","FQ1 2014","FQ1 2014","Currency=INR","Period=FQ","BEST_FPERIOD_OVERRIDE=FQ","FILING_STATUS=OR","EQY_CONSOLIDATED=Y","Sort=A","Dates=H","DateFormat=P","Fill=—","Direction=H","UseDPDF=Y")</f>
        <v>#NAME?</v>
      </c>
      <c r="CV179" s="1" t="e">
        <f ca="1">_xll.BDH($C$178,"ALTMAN_Z_SCORE","FQ1 2014","FQ1 2014","Currency=INR","Period=FQ","BEST_FPERIOD_OVERRIDE=FQ","FILING_STATUS=OR","EQY_CONSOLIDATED=Y","Sort=A","Dates=H","DateFormat=P","Fill=—","Direction=H","UseDPDF=Y")</f>
        <v>#NAME?</v>
      </c>
      <c r="CW179" s="3" t="e">
        <f ca="1">_xll.BDH($C$178,"ACCT_RCV_TURN","FQ1 2014","FQ1 2014","Currency=INR","Period=FQ","BEST_FPERIOD_OVERRIDE=FQ","FILING_STATUS=OR","EQY_CONSOLIDATED=Y","FA_ADJUSTED=GAAP","Sort=A","Dates=H","DateFormat=P","Fill=—","Direction=H","UseDPDF=Y")</f>
        <v>#NAME?</v>
      </c>
      <c r="CX179" s="1" t="e">
        <f ca="1">_xll.BDH($C$178,"ACCT_RCV_DAYS","FQ1 2014","FQ1 2014","Currency=INR","Period=FQ","BEST_FPERIOD_OVERRIDE=FQ","FILING_STATUS=OR","EQY_CONSOLIDATED=Y","FA_ADJUSTED=GAAP","Sort=A","Dates=H","DateFormat=P","Fill=—","Direction=H","UseDPDF=Y")</f>
        <v>#NAME?</v>
      </c>
      <c r="CY179" s="3" t="e">
        <f ca="1">_xll.BDH($C$178,"INVENT_TURN","FQ1 2014","FQ1 2014","Currency=INR","Period=FQ","BEST_FPERIOD_OVERRIDE=FQ","FILING_STATUS=OR","EQY_CONSOLIDATED=Y","FA_ADJUSTED=GAAP","Sort=A","Dates=H","DateFormat=P","Fill=—","Direction=H","UseDPDF=Y")</f>
        <v>#NAME?</v>
      </c>
      <c r="CZ179" s="1" t="e">
        <f ca="1">_xll.BDH($C$178,"INVENT_DAYS","FQ1 2014","FQ1 2014","Currency=INR","Period=FQ","BEST_FPERIOD_OVERRIDE=FQ","FILING_STATUS=OR","EQY_CONSOLIDATED=Y","FA_ADJUSTED=GAAP","Sort=A","Dates=H","DateFormat=P","Fill=—","Direction=H","UseDPDF=Y")</f>
        <v>#NAME?</v>
      </c>
      <c r="DA179" s="3" t="e">
        <f ca="1">_xll.BDH($C$178,"ACCOUNTS_PAYABLE_TURNOVER","FQ1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79" s="1" t="e">
        <f ca="1">_xll.BDH($C$178,"ACCOUNTS_PAYABLE_TURNOVER_DAYS","FQ1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79" s="3" t="e">
        <f ca="1">_xll.BDH($C$178,"CASH_CONVERSION_CYCLE","FQ1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79" s="3" t="e">
        <f ca="1">_xll.BDH($C$178,"INV_TO_CASH_DAYS","FQ1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179" s="4" t="e">
        <f ca="1">_xll.BDH($C$178,"BS_INVENTORIES","FQ1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179" s="2" t="e">
        <f ca="1">_xll.BDH($C$178,"INVTRY_RAW_MATERIALS","FQ1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79" s="2" t="e">
        <f ca="1">_xll.BDH($C$178,"INVTRY_IN_PROGRESS","FQ1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79" s="2" t="e">
        <f ca="1">_xll.BDH($C$178,"INVTRY_FINISHED_GOODS","FQ1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79" s="2" t="e">
        <f ca="1">_xll.BDH($C$178,"BS_OTHER_INV","FQ1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80" spans="1:113" x14ac:dyDescent="0.3">
      <c r="A180" s="6"/>
      <c r="B180" s="6"/>
      <c r="C180" s="6"/>
      <c r="D180" s="6"/>
      <c r="E180" t="s">
        <v>5</v>
      </c>
      <c r="F180" t="e">
        <f ca="1">_xll.BDH($C$178,"RETURN_COM_EQY","FQ2 2014","FQ2 2014","Currency=INR","Period=FQ","BEST_FPERIOD_OVERRIDE=FQ","FILING_STATUS=OR","EQY_CONSOLIDATED=Y","FA_ADJUSTED=GAAP","Sort=A","Dates=H","DateFormat=P","Fill=—","Direction=H","UseDPDF=Y")</f>
        <v>#NAME?</v>
      </c>
      <c r="G180" t="e">
        <f ca="1">_xll.BDH($C$178,"RETURN_ON_ASSET","FQ2 2014","FQ2 2014","Currency=INR","Period=FQ","BEST_FPERIOD_OVERRIDE=FQ","FILING_STATUS=OR","EQY_CONSOLIDATED=Y","FA_ADJUSTED=GAAP","Sort=A","Dates=H","DateFormat=P","Fill=—","Direction=H","UseDPDF=Y")</f>
        <v>#NAME?</v>
      </c>
      <c r="H180" t="e">
        <f ca="1">_xll.BDH($C$178,"RETURN_ON_CAP","FQ2 2014","FQ2 2014","Currency=INR","Period=FQ","BEST_FPERIOD_OVERRIDE=FQ","FILING_STATUS=OR","EQY_CONSOLIDATED=Y","FA_ADJUSTED=GAAP","Sort=A","Dates=H","DateFormat=P","Fill=—","Direction=H","UseDPDF=Y")</f>
        <v>#NAME?</v>
      </c>
      <c r="I180" t="e">
        <f ca="1">_xll.BDH($C$178,"RETURN_ON_INV_CAPITAL","FQ2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80" t="e">
        <f ca="1">_xll.BDH($C$178,"EBITDA_TO_REVENUE","FQ2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180" t="e">
        <f ca="1">_xll.BDH($C$178,"OPER_MARGIN","FQ2 2014","FQ2 2014","Currency=INR","Period=FQ","BEST_FPERIOD_OVERRIDE=FQ","FILING_STATUS=OR","EQY_CONSOLIDATED=Y","FA_ADJUSTED=GAAP","Sort=A","Dates=H","DateFormat=P","Fill=—","Direction=H","UseDPDF=Y")</f>
        <v>#NAME?</v>
      </c>
      <c r="L180" t="e">
        <f ca="1">_xll.BDH($C$178,"INCREMENTAL_OPERATING_MARGIN","FQ2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80" t="e">
        <f ca="1">_xll.BDH($C$178,"PRETAX_INC_TO_NET_SALES","FQ2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80" t="e">
        <f ca="1">_xll.BDH($C$178,"INC_BEF_XO_ITEMS_TO_NET_SALES","FQ2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80" t="e">
        <f ca="1">_xll.BDH($C$178,"PROF_MARGIN","FQ2 2014","FQ2 2014","Currency=INR","Period=FQ","BEST_FPERIOD_OVERRIDE=FQ","FILING_STATUS=OR","EQY_CONSOLIDATED=Y","FA_ADJUSTED=GAAP","Sort=A","Dates=H","DateFormat=P","Fill=—","Direction=H","UseDPDF=Y")</f>
        <v>#NAME?</v>
      </c>
      <c r="P180" t="e">
        <f ca="1">_xll.BDH($C$178,"NET_INCOME_TO_COMMON_MARGIN","FQ2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80" t="e">
        <f ca="1">_xll.BDH($C$178,"EFF_TAX_RATE","FQ2 2014","FQ2 2014","Currency=INR","Period=FQ","BEST_FPERIOD_OVERRIDE=FQ","FILING_STATUS=OR","EQY_CONSOLIDATED=Y","FA_ADJUSTED=GAAP","Sort=A","Dates=H","DateFormat=P","Fill=—","Direction=H","UseDPDF=Y")</f>
        <v>#NAME?</v>
      </c>
      <c r="R180" t="e">
        <f ca="1">_xll.BDH($C$178,"DVD_PAYOUT_RATIO","FQ2 2014","FQ2 2014","Currency=INR","Period=FQ","BEST_FPERIOD_OVERRIDE=FQ","FILING_STATUS=OR","EQY_CONSOLIDATED=Y","FA_ADJUSTED=GAAP","Sort=A","Dates=H","DateFormat=P","Fill=—","Direction=H","UseDPDF=Y")</f>
        <v>#NAME?</v>
      </c>
      <c r="S180" t="e">
        <f ca="1">_xll.BDH($C$178,"SUSTAIN_GROWTH_RT","FQ2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180" s="1" t="e">
        <f ca="1">_xll.BDH($C$178,"SALES_GROWTH","FQ2 2014","FQ2 2014","Currency=INR","Period=FQ","BEST_FPERIOD_OVERRIDE=FQ","FILING_STATUS=OR","EQY_CONSOLIDATED=Y","FA_ADJUSTED=GAAP","Sort=A","Dates=H","DateFormat=P","Fill=—","Direction=H","UseDPDF=Y")</f>
        <v>#NAME?</v>
      </c>
      <c r="U180" s="1" t="e">
        <f ca="1">_xll.BDH($C$178,"EBITDA_GROWTH","FQ2 2014","FQ2 2014","Currency=INR","Period=FQ","BEST_FPERIOD_OVERRIDE=FQ","FILING_STATUS=OR","EQY_CONSOLIDATED=Y","FA_ADJUSTED=GAAP","Sort=A","Dates=H","DateFormat=P","Fill=—","Direction=H","UseDPDF=Y")</f>
        <v>#NAME?</v>
      </c>
      <c r="V180" s="1" t="e">
        <f ca="1">_xll.BDH($C$178,"OPER_INC_GROWTH","FQ2 2014","FQ2 2014","Currency=INR","Period=FQ","BEST_FPERIOD_OVERRIDE=FQ","FILING_STATUS=OR","EQY_CONSOLIDATED=Y","FA_ADJUSTED=GAAP","Sort=A","Dates=H","DateFormat=P","Fill=—","Direction=H","UseDPDF=Y")</f>
        <v>#NAME?</v>
      </c>
      <c r="W180" s="1" t="e">
        <f ca="1">_xll.BDH($C$178,"EARN_FOR_COM_GROWTH","FQ2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80" s="1" t="e">
        <f ca="1">_xll.BDH($C$178,"DILUTED_EPS_AFT_XO_ITEMS_GROWTH","FQ2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80" s="1" t="e">
        <f ca="1">_xll.BDH($C$178,"DIVIDEND_PER_SHARE_1_YEAR_GROWTH","FQ2 2014","FQ2 2014","Currency=INR","Period=FQ","BEST_FPERIOD_OVERRIDE=FQ","FILING_STATUS=OR","EQY_CONSOLIDATED=Y","Sort=A","Dates=H","DateFormat=P","Fill=—","Direction=H","UseDPDF=Y")</f>
        <v>#NAME?</v>
      </c>
      <c r="Z180" s="1" t="e">
        <f ca="1">_xll.BDH($C$178,"ACCOUNTS_RECEIVABLE_GROWTH","FQ2 2014","FQ2 2014","Currency=INR","Period=FQ","BEST_FPERIOD_OVERRIDE=FQ","FILING_STATUS=OR","EQY_CONSOLIDATED=Y","Sort=A","Dates=H","DateFormat=P","Fill=—","Direction=H","UseDPDF=Y")</f>
        <v>#NAME?</v>
      </c>
      <c r="AA180" s="1" t="e">
        <f ca="1">_xll.BDH($C$178,"INVENTORY_GROWTH","FQ2 2014","FQ2 2014","Currency=INR","Period=FQ","BEST_FPERIOD_OVERRIDE=FQ","FILING_STATUS=OR","EQY_CONSOLIDATED=Y","Sort=A","Dates=H","DateFormat=P","Fill=—","Direction=H","UseDPDF=Y")</f>
        <v>#NAME?</v>
      </c>
      <c r="AB180" s="1" t="e">
        <f ca="1">_xll.BDH($C$178,"NET_FIXED_ASSETS_1_YEAR_GROWTH","FQ2 2014","FQ2 2014","Currency=INR","Period=FQ","BEST_FPERIOD_OVERRIDE=FQ","FILING_STATUS=OR","EQY_CONSOLIDATED=Y","Sort=A","Dates=H","DateFormat=P","Fill=—","Direction=H","UseDPDF=Y")</f>
        <v>#NAME?</v>
      </c>
      <c r="AC180" s="1" t="e">
        <f ca="1">_xll.BDH($C$178,"ASSET_GROWTH","FQ2 2014","FQ2 2014","Currency=INR","Period=FQ","BEST_FPERIOD_OVERRIDE=FQ","FILING_STATUS=OR","EQY_CONSOLIDATED=Y","Sort=A","Dates=H","DateFormat=P","Fill=—","Direction=H","UseDPDF=Y")</f>
        <v>#NAME?</v>
      </c>
      <c r="AD180" s="1" t="e">
        <f ca="1">_xll.BDH($C$178,"MODIFIED_WORK_CAP_GROWTH","FQ2 2014","FQ2 2014","Currency=INR","Period=FQ","BEST_FPERIOD_OVERRIDE=FQ","FILING_STATUS=OR","EQY_CONSOLIDATED=Y","Sort=A","Dates=H","DateFormat=P","Fill=—","Direction=H","UseDPDF=Y")</f>
        <v>#NAME?</v>
      </c>
      <c r="AE180" s="1" t="e">
        <f ca="1">_xll.BDH($C$178,"WORK_CAP_GROWTH","FQ2 2014","FQ2 2014","Currency=INR","Period=FQ","BEST_FPERIOD_OVERRIDE=FQ","FILING_STATUS=OR","EQY_CONSOLIDATED=Y","Sort=A","Dates=H","DateFormat=P","Fill=—","Direction=H","UseDPDF=Y")</f>
        <v>#NAME?</v>
      </c>
      <c r="AF180" s="1" t="e">
        <f ca="1">_xll.BDH($C$178,"ACCOUNTS_PAYABLE_GROWTH_1YR","FQ2 2014","FQ2 2014","Currency=INR","Period=FQ","BEST_FPERIOD_OVERRIDE=FQ","FILING_STATUS=OR","EQY_CONSOLIDATED=Y","Sort=A","Dates=H","DateFormat=P","Fill=—","Direction=H","UseDPDF=Y")</f>
        <v>#NAME?</v>
      </c>
      <c r="AG180" s="1" t="e">
        <f ca="1">_xll.BDH($C$178,"SHORT_TERM_DEBT_1_YEAR_GROWTH","FQ2 2014","FQ2 2014","Currency=INR","Period=FQ","BEST_FPERIOD_OVERRIDE=FQ","FILING_STATUS=OR","EQY_CONSOLIDATED=Y","Sort=A","Dates=H","DateFormat=P","Fill=—","Direction=H","UseDPDF=Y")</f>
        <v>#NAME?</v>
      </c>
      <c r="AH180" s="1" t="e">
        <f ca="1">_xll.BDH($C$178,"TOTAL_DEBT_1_YEAR_GROWTH","FQ2 2014","FQ2 2014","Currency=INR","Period=FQ","BEST_FPERIOD_OVERRIDE=FQ","FILING_STATUS=OR","EQY_CONSOLIDATED=Y","Sort=A","Dates=H","DateFormat=P","Fill=—","Direction=H","UseDPDF=Y")</f>
        <v>#NAME?</v>
      </c>
      <c r="AI180" s="1" t="e">
        <f ca="1">_xll.BDH($C$178,"TOTAL_EQUITY_1_YEAR_GROWTH","FQ2 2014","FQ2 2014","Currency=INR","Period=FQ","BEST_FPERIOD_OVERRIDE=FQ","FILING_STATUS=OR","EQY_CONSOLIDATED=Y","Sort=A","Dates=H","DateFormat=P","Fill=—","Direction=H","UseDPDF=Y")</f>
        <v>#NAME?</v>
      </c>
      <c r="AJ180" s="1" t="e">
        <f ca="1">_xll.BDH($C$178,"GROWTH_IN_CAP","FQ2 2014","FQ2 2014","Currency=INR","Period=FQ","BEST_FPERIOD_OVERRIDE=FQ","FILING_STATUS=OR","EQY_CONSOLIDATED=Y","Sort=A","Dates=H","DateFormat=P","Fill=—","Direction=H","UseDPDF=Y")</f>
        <v>#NAME?</v>
      </c>
      <c r="AK180" s="1" t="e">
        <f ca="1">_xll.BDH($C$178,"BVPS_GROWTH","FQ2 2014","FQ2 2014","Currency=INR","Period=FQ","BEST_FPERIOD_OVERRIDE=FQ","FILING_STATUS=OR","EQY_CONSOLIDATED=Y","Sort=A","Dates=H","DateFormat=P","Fill=—","Direction=H","UseDPDF=Y")</f>
        <v>#NAME?</v>
      </c>
      <c r="AL180" s="1" t="e">
        <f ca="1">_xll.BDH($C$178,"CASH_FLOW_GROWTH","FQ2 2014","FQ2 2014","Currency=INR","Period=FQ","BEST_FPERIOD_OVERRIDE=FQ","FILING_STATUS=OR","EQY_CONSOLIDATED=Y","Sort=A","Dates=H","DateFormat=P","Fill=—","Direction=H","UseDPDF=Y")</f>
        <v>#NAME?</v>
      </c>
      <c r="AM180" s="1" t="e">
        <f ca="1">_xll.BDH($C$178,"GEO_GROW_NET_SALES","FQ2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80" s="1" t="e">
        <f ca="1">_xll.BDH($C$178,"GEO_GROW_EBITDA","FQ2 2014","FQ2 2014","Currency=INR","Period=FQ","BEST_FPERIOD_OVERRIDE=FQ","FILING_STATUS=OR","EQY_CONSOLIDATED=Y","FA_ADJUSTED=GAAP","Sort=A","Dates=H","DateFormat=P","Fill=—","Direction=H","UseDPDF=Y")</f>
        <v>#NAME?</v>
      </c>
      <c r="AO180" s="1" t="e">
        <f ca="1">_xll.BDH($C$178,"GEO_GROW_OPER_INC","FQ2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80" s="1" t="e">
        <f ca="1">_xll.BDH($C$178,"NET_INCOME_TO_COMMON_5_YR_GROWTH","FQ2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80" s="1" t="e">
        <f ca="1">_xll.BDH($C$178,"5Y_GEO_GROWTH_DILUTED_EPS","FQ2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80" s="1" t="e">
        <f ca="1">_xll.BDH($C$178,"GEO_GROW_DVD_PER_SH","FQ2 2014","FQ2 2014","Currency=INR","Period=FQ","BEST_FPERIOD_OVERRIDE=FQ","FILING_STATUS=OR","EQY_CONSOLIDATED=Y","Sort=A","Dates=H","DateFormat=P","Fill=—","Direction=H","UseDPDF=Y")</f>
        <v>#NAME?</v>
      </c>
      <c r="AS180" s="1" t="e">
        <f ca="1">_xll.BDH($C$178,"ACCOUNTS_RECEIVABLE_5_YR_GROWTH","FQ2 2014","FQ2 2014","Currency=INR","Period=FQ","BEST_FPERIOD_OVERRIDE=FQ","FILING_STATUS=OR","EQY_CONSOLIDATED=Y","Sort=A","Dates=H","DateFormat=P","Fill=—","Direction=H","UseDPDF=Y")</f>
        <v>#NAME?</v>
      </c>
      <c r="AT180" s="1" t="e">
        <f ca="1">_xll.BDH($C$178,"INVENTORY_5_YEAR_GROWTH","FQ2 2014","FQ2 2014","Currency=INR","Period=FQ","BEST_FPERIOD_OVERRIDE=FQ","FILING_STATUS=OR","EQY_CONSOLIDATED=Y","Sort=A","Dates=H","DateFormat=P","Fill=—","Direction=H","UseDPDF=Y")</f>
        <v>#NAME?</v>
      </c>
      <c r="AU180" s="1" t="e">
        <f ca="1">_xll.BDH($C$178,"NET_FIXED_ASSETS_5_YEAR_GROWTH","FQ2 2014","FQ2 2014","Currency=INR","Period=FQ","BEST_FPERIOD_OVERRIDE=FQ","FILING_STATUS=OR","EQY_CONSOLIDATED=Y","Sort=A","Dates=H","DateFormat=P","Fill=—","Direction=H","UseDPDF=Y")</f>
        <v>#NAME?</v>
      </c>
      <c r="AV180" s="1" t="e">
        <f ca="1">_xll.BDH($C$178,"GEO_GROW_TOT_ASSET","FQ2 2014","FQ2 2014","Currency=INR","Period=FQ","BEST_FPERIOD_OVERRIDE=FQ","FILING_STATUS=OR","EQY_CONSOLIDATED=Y","Sort=A","Dates=H","DateFormat=P","Fill=—","Direction=H","UseDPDF=Y")</f>
        <v>#NAME?</v>
      </c>
      <c r="AW180" s="1" t="e">
        <f ca="1">_xll.BDH($C$178,"MODIFIED_WORKING_CPTL_5YR_GRWTH","FQ2 2014","FQ2 2014","Currency=INR","Period=FQ","BEST_FPERIOD_OVERRIDE=FQ","FILING_STATUS=OR","EQY_CONSOLIDATED=Y","Sort=A","Dates=H","DateFormat=P","Fill=—","Direction=H","UseDPDF=Y")</f>
        <v>#NAME?</v>
      </c>
      <c r="AX180" s="1" t="e">
        <f ca="1">_xll.BDH($C$178,"WORKING_CAPITAL_5_YEAR_GROWTH","FQ2 2014","FQ2 2014","Currency=INR","Period=FQ","BEST_FPERIOD_OVERRIDE=FQ","FILING_STATUS=OR","EQY_CONSOLIDATED=Y","Sort=A","Dates=H","DateFormat=P","Fill=—","Direction=H","UseDPDF=Y")</f>
        <v>#NAME?</v>
      </c>
      <c r="AY180" s="1" t="e">
        <f ca="1">_xll.BDH($C$178,"ACCOUNTS_PAYABLE_5_YEAR_GROWTH","FQ2 2014","FQ2 2014","Currency=INR","Period=FQ","BEST_FPERIOD_OVERRIDE=FQ","FILING_STATUS=OR","EQY_CONSOLIDATED=Y","Sort=A","Dates=H","DateFormat=P","Fill=—","Direction=H","UseDPDF=Y")</f>
        <v>#NAME?</v>
      </c>
      <c r="AZ180" s="1" t="e">
        <f ca="1">_xll.BDH($C$178,"SHORT_TERM_DEBT_5_YEAR_GROWTH","FQ2 2014","FQ2 2014","Currency=INR","Period=FQ","BEST_FPERIOD_OVERRIDE=FQ","FILING_STATUS=OR","EQY_CONSOLIDATED=Y","Sort=A","Dates=H","DateFormat=P","Fill=—","Direction=H","UseDPDF=Y")</f>
        <v>#NAME?</v>
      </c>
      <c r="BA180" s="1" t="e">
        <f ca="1">_xll.BDH($C$178,"TOTAL_DEBT_5_YEAR_GROWTH","FQ2 2014","FQ2 2014","Currency=INR","Period=FQ","BEST_FPERIOD_OVERRIDE=FQ","FILING_STATUS=OR","EQY_CONSOLIDATED=Y","Sort=A","Dates=H","DateFormat=P","Fill=—","Direction=H","UseDPDF=Y")</f>
        <v>#NAME?</v>
      </c>
      <c r="BB180" s="1" t="e">
        <f ca="1">_xll.BDH($C$178,"GEO_GROW_TOT_SHRHLDR_EQY","FQ2 2014","FQ2 2014","Currency=INR","Period=FQ","BEST_FPERIOD_OVERRIDE=FQ","FILING_STATUS=OR","EQY_CONSOLIDATED=Y","Sort=A","Dates=H","DateFormat=P","Fill=—","Direction=H","UseDPDF=Y")</f>
        <v>#NAME?</v>
      </c>
      <c r="BC180" s="1" t="e">
        <f ca="1">_xll.BDH($C$178,"TOTAL_CAPITAL_5_YEAR_GROWTH","FQ2 2014","FQ2 2014","Currency=INR","Period=FQ","BEST_FPERIOD_OVERRIDE=FQ","FILING_STATUS=OR","EQY_CONSOLIDATED=Y","Sort=A","Dates=H","DateFormat=P","Fill=—","Direction=H","UseDPDF=Y")</f>
        <v>#NAME?</v>
      </c>
      <c r="BD180" s="1" t="e">
        <f ca="1">_xll.BDH($C$178,"GEO_GROW_BOOK_VAL","FQ2 2014","FQ2 2014","Currency=INR","Period=FQ","BEST_FPERIOD_OVERRIDE=FQ","FILING_STATUS=OR","EQY_CONSOLIDATED=Y","Sort=A","Dates=H","DateFormat=P","Fill=—","Direction=H","UseDPDF=Y")</f>
        <v>#NAME?</v>
      </c>
      <c r="BE180" s="1" t="e">
        <f ca="1">_xll.BDH($C$178,"GEO_GROW_CASH_OPER_ACT","FQ2 2014","FQ2 2014","Currency=INR","Period=FQ","BEST_FPERIOD_OVERRIDE=FQ","FILING_STATUS=OR","EQY_CONSOLIDATED=Y","Sort=A","Dates=H","DateFormat=P","Fill=—","Direction=H","UseDPDF=Y")</f>
        <v>#NAME?</v>
      </c>
      <c r="BF180" s="1" t="e">
        <f ca="1">_xll.BDH($C$178,"REVENUE_SEQUENTIAL_GROWTH","FQ2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80" s="1" t="e">
        <f ca="1">_xll.BDH($C$178,"EBITDA_SEQUENTIAL_GROWTH","FQ2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80" s="1" t="e">
        <f ca="1">_xll.BDH($C$178,"OPERATING_INCOME_SEQ_GROWTH","FQ2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80" s="1" t="e">
        <f ca="1">_xll.BDH($C$178,"NET_INCOME_TO_COMMON_SEQ_GROWTH","FQ2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80" s="1" t="e">
        <f ca="1">_xll.BDH($C$178,"EPS_DILUTED_SEQUENTIAL_GROWTH","FQ2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80" s="1" t="e">
        <f ca="1">_xll.BDH($C$178,"DPS_SEQUENTIAL_GROWTH","FQ2 2014","FQ2 2014","Currency=INR","Period=FQ","BEST_FPERIOD_OVERRIDE=FQ","FILING_STATUS=OR","EQY_CONSOLIDATED=Y","Sort=A","Dates=H","DateFormat=P","Fill=—","Direction=H","UseDPDF=Y")</f>
        <v>#NAME?</v>
      </c>
      <c r="BL180" s="1" t="e">
        <f ca="1">_xll.BDH($C$178,"ACCOUNTS_RECEIVABLE_SEQ_GROWTH","FQ2 2014","FQ2 2014","Currency=INR","Period=FQ","BEST_FPERIOD_OVERRIDE=FQ","FILING_STATUS=OR","EQY_CONSOLIDATED=Y","Sort=A","Dates=H","DateFormat=P","Fill=—","Direction=H","UseDPDF=Y")</f>
        <v>#NAME?</v>
      </c>
      <c r="BM180" s="1" t="e">
        <f ca="1">_xll.BDH($C$178,"INVENTORY_SEQUENTIAL_GROWTH","FQ2 2014","FQ2 2014","Currency=INR","Period=FQ","BEST_FPERIOD_OVERRIDE=FQ","FILING_STATUS=OR","EQY_CONSOLIDATED=Y","Sort=A","Dates=H","DateFormat=P","Fill=—","Direction=H","UseDPDF=Y")</f>
        <v>#NAME?</v>
      </c>
      <c r="BN180" s="1" t="e">
        <f ca="1">_xll.BDH($C$178,"FIXED_ASSETS_SEQUENTIAL_GROWTH","FQ2 2014","FQ2 2014","Currency=INR","Period=FQ","BEST_FPERIOD_OVERRIDE=FQ","FILING_STATUS=OR","EQY_CONSOLIDATED=Y","Sort=A","Dates=H","DateFormat=P","Fill=—","Direction=H","UseDPDF=Y")</f>
        <v>#NAME?</v>
      </c>
      <c r="BO180" s="1" t="e">
        <f ca="1">_xll.BDH($C$178,"TOTAL_ASSETS_SEQUENTIAL_GROWTH","FQ2 2014","FQ2 2014","Currency=INR","Period=FQ","BEST_FPERIOD_OVERRIDE=FQ","FILING_STATUS=OR","EQY_CONSOLIDATED=Y","Sort=A","Dates=H","DateFormat=P","Fill=—","Direction=H","UseDPDF=Y")</f>
        <v>#NAME?</v>
      </c>
      <c r="BP180" s="1" t="e">
        <f ca="1">_xll.BDH($C$178,"MODIFIED_WORKING_CPTL_SEQ_GRWTH","FQ2 2014","FQ2 2014","Currency=INR","Period=FQ","BEST_FPERIOD_OVERRIDE=FQ","FILING_STATUS=OR","EQY_CONSOLIDATED=Y","Sort=A","Dates=H","DateFormat=P","Fill=—","Direction=H","UseDPDF=Y")</f>
        <v>#NAME?</v>
      </c>
      <c r="BQ180" s="1" t="e">
        <f ca="1">_xll.BDH($C$178,"WORKING_CAPITAL_SEQ_GROWTH","FQ2 2014","FQ2 2014","Currency=INR","Period=FQ","BEST_FPERIOD_OVERRIDE=FQ","FILING_STATUS=OR","EQY_CONSOLIDATED=Y","Sort=A","Dates=H","DateFormat=P","Fill=—","Direction=H","UseDPDF=Y")</f>
        <v>#NAME?</v>
      </c>
      <c r="BR180" s="1" t="e">
        <f ca="1">_xll.BDH($C$178,"ACCOUNTS_PAYABLE_SEQ_GROWTH","FQ2 2014","FQ2 2014","Currency=INR","Period=FQ","BEST_FPERIOD_OVERRIDE=FQ","FILING_STATUS=OR","EQY_CONSOLIDATED=Y","Sort=A","Dates=H","DateFormat=P","Fill=—","Direction=H","UseDPDF=Y")</f>
        <v>#NAME?</v>
      </c>
      <c r="BS180" s="1" t="e">
        <f ca="1">_xll.BDH($C$178,"ST_DEBT_SEQUENTIAL_GROWTH","FQ2 2014","FQ2 2014","Currency=INR","Period=FQ","BEST_FPERIOD_OVERRIDE=FQ","FILING_STATUS=OR","EQY_CONSOLIDATED=Y","Sort=A","Dates=H","DateFormat=P","Fill=—","Direction=H","UseDPDF=Y")</f>
        <v>#NAME?</v>
      </c>
      <c r="BT180" s="1" t="e">
        <f ca="1">_xll.BDH($C$178,"TOTAL_DEBT_SEQUENTIAL_GROWTH","FQ2 2014","FQ2 2014","Currency=INR","Period=FQ","BEST_FPERIOD_OVERRIDE=FQ","FILING_STATUS=OR","EQY_CONSOLIDATED=Y","Sort=A","Dates=H","DateFormat=P","Fill=—","Direction=H","UseDPDF=Y")</f>
        <v>#NAME?</v>
      </c>
      <c r="BU180" s="1" t="e">
        <f ca="1">_xll.BDH($C$178,"TOTAL_EQUITY_SEQUENTIAL_GROWTH","FQ2 2014","FQ2 2014","Currency=INR","Period=FQ","BEST_FPERIOD_OVERRIDE=FQ","FILING_STATUS=OR","EQY_CONSOLIDATED=Y","Sort=A","Dates=H","DateFormat=P","Fill=—","Direction=H","UseDPDF=Y")</f>
        <v>#NAME?</v>
      </c>
      <c r="BV180" s="1" t="e">
        <f ca="1">_xll.BDH($C$178,"TOTAL_CAPITAL_SEQUENTIAL_GROWTH","FQ2 2014","FQ2 2014","Currency=INR","Period=FQ","BEST_FPERIOD_OVERRIDE=FQ","FILING_STATUS=OR","EQY_CONSOLIDATED=Y","Sort=A","Dates=H","DateFormat=P","Fill=—","Direction=H","UseDPDF=Y")</f>
        <v>#NAME?</v>
      </c>
      <c r="BW180" s="1" t="e">
        <f ca="1">_xll.BDH($C$178,"BPS_SEQUENTIAL_GROWTH","FQ2 2014","FQ2 2014","Currency=INR","Period=FQ","BEST_FPERIOD_OVERRIDE=FQ","FILING_STATUS=OR","EQY_CONSOLIDATED=Y","Sort=A","Dates=H","DateFormat=P","Fill=—","Direction=H","UseDPDF=Y")</f>
        <v>#NAME?</v>
      </c>
      <c r="BX180" s="1" t="e">
        <f ca="1">_xll.BDH($C$178,"CFO_SEQUENTIAL_GROWTH","FQ2 2014","FQ2 2014","Currency=INR","Period=FQ","BEST_FPERIOD_OVERRIDE=FQ","FILING_STATUS=OR","EQY_CONSOLIDATED=Y","Sort=A","Dates=H","DateFormat=P","Fill=—","Direction=H","UseDPDF=Y")</f>
        <v>#NAME?</v>
      </c>
      <c r="BY180" s="2" t="e">
        <f ca="1">_xll.BDH($C$178,"SHORT_AND_LONG_TERM_DEBT","FQ2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80" s="2" t="e">
        <f ca="1">_xll.BDH($C$178,"BS_ST_BORROW","FQ2 2014","FQ2 2014","Currency=INR","Period=FQ","BEST_FPERIOD_OVERRIDE=FQ","FILING_STATUS=OR","EQY_CONSOLIDATED=Y","SCALING_FORMAT=MLN","Sort=A","Dates=H","DateFormat=P","Fill=—","Direction=H","UseDPDF=Y")</f>
        <v>#NAME?</v>
      </c>
      <c r="CA180" s="2" t="e">
        <f ca="1">_xll.BDH($C$178,"BS_LT_BORROW","FQ2 2014","FQ2 2014","Currency=INR","Period=FQ","BEST_FPERIOD_OVERRIDE=FQ","FILING_STATUS=OR","EQY_CONSOLIDATED=Y","SCALING_FORMAT=MLN","Sort=A","Dates=H","DateFormat=P","Fill=—","Direction=H","UseDPDF=Y")</f>
        <v>#NAME?</v>
      </c>
      <c r="CB180" s="1" t="e">
        <f ca="1">_xll.BDH($C$178,"TOT_DEBT_TO_EBITDA","FQ2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80" s="1" t="e">
        <f ca="1">_xll.BDH($C$178,"NET_DEBT_TO_EBITDA","FQ2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80" s="1" t="e">
        <f ca="1">_xll.BDH($C$178,"TOTAL_DEBT_TO_EBIT","FQ2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80" s="1" t="e">
        <f ca="1">_xll.BDH($C$178,"NET_DEBT_TO_EBIT","FQ2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180" s="1" t="e">
        <f ca="1">_xll.BDH($C$178,"EBITDA_TO_INTEREST_EXPN","FQ2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80" s="1" t="e">
        <f ca="1">_xll.BDH($C$178,"COM_EQY_TO_TOT_ASSET","FQ2 2014","FQ2 2014","Currency=INR","Period=FQ","BEST_FPERIOD_OVERRIDE=FQ","FILING_STATUS=OR","EQY_CONSOLIDATED=Y","Sort=A","Dates=H","DateFormat=P","Fill=—","Direction=H","UseDPDF=Y")</f>
        <v>#NAME?</v>
      </c>
      <c r="CH180" s="1" t="e">
        <f ca="1">_xll.BDH($C$178,"LT_DEBT_TO_TOT_EQY","FQ2 2014","FQ2 2014","Currency=INR","Period=FQ","BEST_FPERIOD_OVERRIDE=FQ","FILING_STATUS=OR","EQY_CONSOLIDATED=Y","Sort=A","Dates=H","DateFormat=P","Fill=—","Direction=H","UseDPDF=Y")</f>
        <v>#NAME?</v>
      </c>
      <c r="CI180" s="1" t="e">
        <f ca="1">_xll.BDH($C$178,"LT_DEBT_TO_TOT_CAP","FQ2 2014","FQ2 2014","Currency=INR","Period=FQ","BEST_FPERIOD_OVERRIDE=FQ","FILING_STATUS=OR","EQY_CONSOLIDATED=Y","Sort=A","Dates=H","DateFormat=P","Fill=—","Direction=H","UseDPDF=Y")</f>
        <v>#NAME?</v>
      </c>
      <c r="CJ180" s="1" t="e">
        <f ca="1">_xll.BDH($C$178,"LT_DEBT_TO_TOT_ASSET","FQ2 2014","FQ2 2014","Currency=INR","Period=FQ","BEST_FPERIOD_OVERRIDE=FQ","FILING_STATUS=OR","EQY_CONSOLIDATED=Y","Sort=A","Dates=H","DateFormat=P","Fill=—","Direction=H","UseDPDF=Y")</f>
        <v>#NAME?</v>
      </c>
      <c r="CK180" s="1" t="e">
        <f ca="1">_xll.BDH($C$178,"TOT_DEBT_TO_TOT_EQY","FQ2 2014","FQ2 2014","Currency=INR","Period=FQ","BEST_FPERIOD_OVERRIDE=FQ","FILING_STATUS=OR","EQY_CONSOLIDATED=Y","Sort=A","Dates=H","DateFormat=P","Fill=—","Direction=H","UseDPDF=Y")</f>
        <v>#NAME?</v>
      </c>
      <c r="CL180" s="1" t="e">
        <f ca="1">_xll.BDH($C$178,"TOT_DEBT_TO_TOT_CAP","FQ2 2014","FQ2 2014","Currency=INR","Period=FQ","BEST_FPERIOD_OVERRIDE=FQ","FILING_STATUS=OR","EQY_CONSOLIDATED=Y","Sort=A","Dates=H","DateFormat=P","Fill=—","Direction=H","UseDPDF=Y")</f>
        <v>#NAME?</v>
      </c>
      <c r="CM180" s="1" t="e">
        <f ca="1">_xll.BDH($C$178,"TOT_DEBT_TO_TOT_ASSET","FQ2 2014","FQ2 2014","Currency=INR","Period=FQ","BEST_FPERIOD_OVERRIDE=FQ","FILING_STATUS=OR","EQY_CONSOLIDATED=Y","Sort=A","Dates=H","DateFormat=P","Fill=—","Direction=H","UseDPDF=Y")</f>
        <v>#NAME?</v>
      </c>
      <c r="CN180" s="1" t="e">
        <f ca="1">_xll.BDH($C$178,"NET_DEBT_TO_SHRHLDR_EQTY","FQ2 2014","FQ2 2014","Currency=INR","Period=FQ","BEST_FPERIOD_OVERRIDE=FQ","FILING_STATUS=OR","EQY_CONSOLIDATED=Y","Sort=A","Dates=H","DateFormat=P","Fill=—","Direction=H","UseDPDF=Y")</f>
        <v>#NAME?</v>
      </c>
      <c r="CO180" s="1" t="e">
        <f ca="1">_xll.BDH($C$178,"NET_DEBT_%_CAPITAL","FQ2 2014","FQ2 2014","Currency=INR","Period=FQ","BEST_FPERIOD_OVERRIDE=FQ","FILING_STATUS=OR","EQY_CONSOLIDATED=Y","Sort=A","Dates=H","DateFormat=P","Fill=—","Direction=H","UseDPDF=Y")</f>
        <v>#NAME?</v>
      </c>
      <c r="CP180" s="2" t="e">
        <f ca="1">_xll.BDH($C$178,"EBITDA","FQ2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80" s="2" t="e">
        <f ca="1">_xll.BDH($C$178,"EBITDA_AFTER_CAPEX","FQ2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80" s="2" t="e">
        <f ca="1">_xll.BDH($C$178,"IS_OPER_INC","FQ2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80" s="1" t="e">
        <f ca="1">_xll.BDH($C$178,"CASH_RATIO","FQ2 2014","FQ2 2014","Currency=INR","Period=FQ","BEST_FPERIOD_OVERRIDE=FQ","FILING_STATUS=OR","EQY_CONSOLIDATED=Y","Sort=A","Dates=H","DateFormat=P","Fill=—","Direction=H","UseDPDF=Y")</f>
        <v>#NAME?</v>
      </c>
      <c r="CT180" s="1" t="e">
        <f ca="1">_xll.BDH($C$178,"CUR_RATIO","FQ2 2014","FQ2 2014","Currency=INR","Period=FQ","BEST_FPERIOD_OVERRIDE=FQ","FILING_STATUS=OR","EQY_CONSOLIDATED=Y","Sort=A","Dates=H","DateFormat=P","Fill=—","Direction=H","UseDPDF=Y")</f>
        <v>#NAME?</v>
      </c>
      <c r="CU180" s="1" t="e">
        <f ca="1">_xll.BDH($C$178,"QUICK_RATIO","FQ2 2014","FQ2 2014","Currency=INR","Period=FQ","BEST_FPERIOD_OVERRIDE=FQ","FILING_STATUS=OR","EQY_CONSOLIDATED=Y","Sort=A","Dates=H","DateFormat=P","Fill=—","Direction=H","UseDPDF=Y")</f>
        <v>#NAME?</v>
      </c>
      <c r="CV180" s="1" t="e">
        <f ca="1">_xll.BDH($C$178,"ALTMAN_Z_SCORE","FQ2 2014","FQ2 2014","Currency=INR","Period=FQ","BEST_FPERIOD_OVERRIDE=FQ","FILING_STATUS=OR","EQY_CONSOLIDATED=Y","Sort=A","Dates=H","DateFormat=P","Fill=—","Direction=H","UseDPDF=Y")</f>
        <v>#NAME?</v>
      </c>
      <c r="CW180" s="3" t="e">
        <f ca="1">_xll.BDH($C$178,"ACCT_RCV_TURN","FQ2 2014","FQ2 2014","Currency=INR","Period=FQ","BEST_FPERIOD_OVERRIDE=FQ","FILING_STATUS=OR","EQY_CONSOLIDATED=Y","FA_ADJUSTED=GAAP","Sort=A","Dates=H","DateFormat=P","Fill=—","Direction=H","UseDPDF=Y")</f>
        <v>#NAME?</v>
      </c>
      <c r="CX180" s="1" t="e">
        <f ca="1">_xll.BDH($C$178,"ACCT_RCV_DAYS","FQ2 2014","FQ2 2014","Currency=INR","Period=FQ","BEST_FPERIOD_OVERRIDE=FQ","FILING_STATUS=OR","EQY_CONSOLIDATED=Y","FA_ADJUSTED=GAAP","Sort=A","Dates=H","DateFormat=P","Fill=—","Direction=H","UseDPDF=Y")</f>
        <v>#NAME?</v>
      </c>
      <c r="CY180" s="3" t="e">
        <f ca="1">_xll.BDH($C$178,"INVENT_TURN","FQ2 2014","FQ2 2014","Currency=INR","Period=FQ","BEST_FPERIOD_OVERRIDE=FQ","FILING_STATUS=OR","EQY_CONSOLIDATED=Y","FA_ADJUSTED=GAAP","Sort=A","Dates=H","DateFormat=P","Fill=—","Direction=H","UseDPDF=Y")</f>
        <v>#NAME?</v>
      </c>
      <c r="CZ180" s="1" t="e">
        <f ca="1">_xll.BDH($C$178,"INVENT_DAYS","FQ2 2014","FQ2 2014","Currency=INR","Period=FQ","BEST_FPERIOD_OVERRIDE=FQ","FILING_STATUS=OR","EQY_CONSOLIDATED=Y","FA_ADJUSTED=GAAP","Sort=A","Dates=H","DateFormat=P","Fill=—","Direction=H","UseDPDF=Y")</f>
        <v>#NAME?</v>
      </c>
      <c r="DA180" s="3" t="e">
        <f ca="1">_xll.BDH($C$178,"ACCOUNTS_PAYABLE_TURNOVER","FQ2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80" s="1" t="e">
        <f ca="1">_xll.BDH($C$178,"ACCOUNTS_PAYABLE_TURNOVER_DAYS","FQ2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80" s="3" t="e">
        <f ca="1">_xll.BDH($C$178,"CASH_CONVERSION_CYCLE","FQ2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80" s="3" t="e">
        <f ca="1">_xll.BDH($C$178,"INV_TO_CASH_DAYS","FQ2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180" s="4" t="e">
        <f ca="1">_xll.BDH($C$178,"BS_INVENTORIES","FQ2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180" s="2" t="e">
        <f ca="1">_xll.BDH($C$178,"INVTRY_RAW_MATERIALS","FQ2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80" s="2" t="e">
        <f ca="1">_xll.BDH($C$178,"INVTRY_IN_PROGRESS","FQ2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80" s="2" t="e">
        <f ca="1">_xll.BDH($C$178,"INVTRY_FINISHED_GOODS","FQ2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80" s="2" t="e">
        <f ca="1">_xll.BDH($C$178,"BS_OTHER_INV","FQ2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81" spans="1:113" x14ac:dyDescent="0.3">
      <c r="A181" s="6"/>
      <c r="B181" s="6"/>
      <c r="C181" s="6"/>
      <c r="D181" s="6"/>
      <c r="E181" t="s">
        <v>6</v>
      </c>
      <c r="F181" t="e">
        <f ca="1">_xll.BDH($C$178,"RETURN_COM_EQY","FQ3 2014","FQ3 2014","Currency=INR","Period=FQ","BEST_FPERIOD_OVERRIDE=FQ","FILING_STATUS=OR","EQY_CONSOLIDATED=Y","FA_ADJUSTED=GAAP","Sort=A","Dates=H","DateFormat=P","Fill=—","Direction=H","UseDPDF=Y")</f>
        <v>#NAME?</v>
      </c>
      <c r="G181" t="e">
        <f ca="1">_xll.BDH($C$178,"RETURN_ON_ASSET","FQ3 2014","FQ3 2014","Currency=INR","Period=FQ","BEST_FPERIOD_OVERRIDE=FQ","FILING_STATUS=OR","EQY_CONSOLIDATED=Y","FA_ADJUSTED=GAAP","Sort=A","Dates=H","DateFormat=P","Fill=—","Direction=H","UseDPDF=Y")</f>
        <v>#NAME?</v>
      </c>
      <c r="H181" t="e">
        <f ca="1">_xll.BDH($C$178,"RETURN_ON_CAP","FQ3 2014","FQ3 2014","Currency=INR","Period=FQ","BEST_FPERIOD_OVERRIDE=FQ","FILING_STATUS=OR","EQY_CONSOLIDATED=Y","FA_ADJUSTED=GAAP","Sort=A","Dates=H","DateFormat=P","Fill=—","Direction=H","UseDPDF=Y")</f>
        <v>#NAME?</v>
      </c>
      <c r="I181" t="e">
        <f ca="1">_xll.BDH($C$178,"RETURN_ON_INV_CAPITAL","FQ3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81" t="e">
        <f ca="1">_xll.BDH($C$178,"EBITDA_TO_REVENUE","FQ3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181" t="e">
        <f ca="1">_xll.BDH($C$178,"OPER_MARGIN","FQ3 2014","FQ3 2014","Currency=INR","Period=FQ","BEST_FPERIOD_OVERRIDE=FQ","FILING_STATUS=OR","EQY_CONSOLIDATED=Y","FA_ADJUSTED=GAAP","Sort=A","Dates=H","DateFormat=P","Fill=—","Direction=H","UseDPDF=Y")</f>
        <v>#NAME?</v>
      </c>
      <c r="L181" t="e">
        <f ca="1">_xll.BDH($C$178,"INCREMENTAL_OPERATING_MARGIN","FQ3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81" t="e">
        <f ca="1">_xll.BDH($C$178,"PRETAX_INC_TO_NET_SALES","FQ3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81" t="e">
        <f ca="1">_xll.BDH($C$178,"INC_BEF_XO_ITEMS_TO_NET_SALES","FQ3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81" t="e">
        <f ca="1">_xll.BDH($C$178,"PROF_MARGIN","FQ3 2014","FQ3 2014","Currency=INR","Period=FQ","BEST_FPERIOD_OVERRIDE=FQ","FILING_STATUS=OR","EQY_CONSOLIDATED=Y","FA_ADJUSTED=GAAP","Sort=A","Dates=H","DateFormat=P","Fill=—","Direction=H","UseDPDF=Y")</f>
        <v>#NAME?</v>
      </c>
      <c r="P181" t="e">
        <f ca="1">_xll.BDH($C$178,"NET_INCOME_TO_COMMON_MARGIN","FQ3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81" t="e">
        <f ca="1">_xll.BDH($C$178,"EFF_TAX_RATE","FQ3 2014","FQ3 2014","Currency=INR","Period=FQ","BEST_FPERIOD_OVERRIDE=FQ","FILING_STATUS=OR","EQY_CONSOLIDATED=Y","FA_ADJUSTED=GAAP","Sort=A","Dates=H","DateFormat=P","Fill=—","Direction=H","UseDPDF=Y")</f>
        <v>#NAME?</v>
      </c>
      <c r="R181" t="e">
        <f ca="1">_xll.BDH($C$178,"DVD_PAYOUT_RATIO","FQ3 2014","FQ3 2014","Currency=INR","Period=FQ","BEST_FPERIOD_OVERRIDE=FQ","FILING_STATUS=OR","EQY_CONSOLIDATED=Y","FA_ADJUSTED=GAAP","Sort=A","Dates=H","DateFormat=P","Fill=—","Direction=H","UseDPDF=Y")</f>
        <v>#NAME?</v>
      </c>
      <c r="S181" t="e">
        <f ca="1">_xll.BDH($C$178,"SUSTAIN_GROWTH_RT","FQ3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181" s="1" t="e">
        <f ca="1">_xll.BDH($C$178,"SALES_GROWTH","FQ3 2014","FQ3 2014","Currency=INR","Period=FQ","BEST_FPERIOD_OVERRIDE=FQ","FILING_STATUS=OR","EQY_CONSOLIDATED=Y","FA_ADJUSTED=GAAP","Sort=A","Dates=H","DateFormat=P","Fill=—","Direction=H","UseDPDF=Y")</f>
        <v>#NAME?</v>
      </c>
      <c r="U181" s="1" t="e">
        <f ca="1">_xll.BDH($C$178,"EBITDA_GROWTH","FQ3 2014","FQ3 2014","Currency=INR","Period=FQ","BEST_FPERIOD_OVERRIDE=FQ","FILING_STATUS=OR","EQY_CONSOLIDATED=Y","FA_ADJUSTED=GAAP","Sort=A","Dates=H","DateFormat=P","Fill=—","Direction=H","UseDPDF=Y")</f>
        <v>#NAME?</v>
      </c>
      <c r="V181" s="1" t="e">
        <f ca="1">_xll.BDH($C$178,"OPER_INC_GROWTH","FQ3 2014","FQ3 2014","Currency=INR","Period=FQ","BEST_FPERIOD_OVERRIDE=FQ","FILING_STATUS=OR","EQY_CONSOLIDATED=Y","FA_ADJUSTED=GAAP","Sort=A","Dates=H","DateFormat=P","Fill=—","Direction=H","UseDPDF=Y")</f>
        <v>#NAME?</v>
      </c>
      <c r="W181" s="1" t="e">
        <f ca="1">_xll.BDH($C$178,"EARN_FOR_COM_GROWTH","FQ3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81" s="1" t="e">
        <f ca="1">_xll.BDH($C$178,"DILUTED_EPS_AFT_XO_ITEMS_GROWTH","FQ3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81" s="1" t="e">
        <f ca="1">_xll.BDH($C$178,"DIVIDEND_PER_SHARE_1_YEAR_GROWTH","FQ3 2014","FQ3 2014","Currency=INR","Period=FQ","BEST_FPERIOD_OVERRIDE=FQ","FILING_STATUS=OR","EQY_CONSOLIDATED=Y","Sort=A","Dates=H","DateFormat=P","Fill=—","Direction=H","UseDPDF=Y")</f>
        <v>#NAME?</v>
      </c>
      <c r="Z181" s="1" t="e">
        <f ca="1">_xll.BDH($C$178,"ACCOUNTS_RECEIVABLE_GROWTH","FQ3 2014","FQ3 2014","Currency=INR","Period=FQ","BEST_FPERIOD_OVERRIDE=FQ","FILING_STATUS=OR","EQY_CONSOLIDATED=Y","Sort=A","Dates=H","DateFormat=P","Fill=—","Direction=H","UseDPDF=Y")</f>
        <v>#NAME?</v>
      </c>
      <c r="AA181" s="1" t="e">
        <f ca="1">_xll.BDH($C$178,"INVENTORY_GROWTH","FQ3 2014","FQ3 2014","Currency=INR","Period=FQ","BEST_FPERIOD_OVERRIDE=FQ","FILING_STATUS=OR","EQY_CONSOLIDATED=Y","Sort=A","Dates=H","DateFormat=P","Fill=—","Direction=H","UseDPDF=Y")</f>
        <v>#NAME?</v>
      </c>
      <c r="AB181" s="1" t="e">
        <f ca="1">_xll.BDH($C$178,"NET_FIXED_ASSETS_1_YEAR_GROWTH","FQ3 2014","FQ3 2014","Currency=INR","Period=FQ","BEST_FPERIOD_OVERRIDE=FQ","FILING_STATUS=OR","EQY_CONSOLIDATED=Y","Sort=A","Dates=H","DateFormat=P","Fill=—","Direction=H","UseDPDF=Y")</f>
        <v>#NAME?</v>
      </c>
      <c r="AC181" s="1" t="e">
        <f ca="1">_xll.BDH($C$178,"ASSET_GROWTH","FQ3 2014","FQ3 2014","Currency=INR","Period=FQ","BEST_FPERIOD_OVERRIDE=FQ","FILING_STATUS=OR","EQY_CONSOLIDATED=Y","Sort=A","Dates=H","DateFormat=P","Fill=—","Direction=H","UseDPDF=Y")</f>
        <v>#NAME?</v>
      </c>
      <c r="AD181" s="1" t="e">
        <f ca="1">_xll.BDH($C$178,"MODIFIED_WORK_CAP_GROWTH","FQ3 2014","FQ3 2014","Currency=INR","Period=FQ","BEST_FPERIOD_OVERRIDE=FQ","FILING_STATUS=OR","EQY_CONSOLIDATED=Y","Sort=A","Dates=H","DateFormat=P","Fill=—","Direction=H","UseDPDF=Y")</f>
        <v>#NAME?</v>
      </c>
      <c r="AE181" s="1" t="e">
        <f ca="1">_xll.BDH($C$178,"WORK_CAP_GROWTH","FQ3 2014","FQ3 2014","Currency=INR","Period=FQ","BEST_FPERIOD_OVERRIDE=FQ","FILING_STATUS=OR","EQY_CONSOLIDATED=Y","Sort=A","Dates=H","DateFormat=P","Fill=—","Direction=H","UseDPDF=Y")</f>
        <v>#NAME?</v>
      </c>
      <c r="AF181" s="1" t="e">
        <f ca="1">_xll.BDH($C$178,"ACCOUNTS_PAYABLE_GROWTH_1YR","FQ3 2014","FQ3 2014","Currency=INR","Period=FQ","BEST_FPERIOD_OVERRIDE=FQ","FILING_STATUS=OR","EQY_CONSOLIDATED=Y","Sort=A","Dates=H","DateFormat=P","Fill=—","Direction=H","UseDPDF=Y")</f>
        <v>#NAME?</v>
      </c>
      <c r="AG181" s="1" t="e">
        <f ca="1">_xll.BDH($C$178,"SHORT_TERM_DEBT_1_YEAR_GROWTH","FQ3 2014","FQ3 2014","Currency=INR","Period=FQ","BEST_FPERIOD_OVERRIDE=FQ","FILING_STATUS=OR","EQY_CONSOLIDATED=Y","Sort=A","Dates=H","DateFormat=P","Fill=—","Direction=H","UseDPDF=Y")</f>
        <v>#NAME?</v>
      </c>
      <c r="AH181" s="1" t="e">
        <f ca="1">_xll.BDH($C$178,"TOTAL_DEBT_1_YEAR_GROWTH","FQ3 2014","FQ3 2014","Currency=INR","Period=FQ","BEST_FPERIOD_OVERRIDE=FQ","FILING_STATUS=OR","EQY_CONSOLIDATED=Y","Sort=A","Dates=H","DateFormat=P","Fill=—","Direction=H","UseDPDF=Y")</f>
        <v>#NAME?</v>
      </c>
      <c r="AI181" s="1" t="e">
        <f ca="1">_xll.BDH($C$178,"TOTAL_EQUITY_1_YEAR_GROWTH","FQ3 2014","FQ3 2014","Currency=INR","Period=FQ","BEST_FPERIOD_OVERRIDE=FQ","FILING_STATUS=OR","EQY_CONSOLIDATED=Y","Sort=A","Dates=H","DateFormat=P","Fill=—","Direction=H","UseDPDF=Y")</f>
        <v>#NAME?</v>
      </c>
      <c r="AJ181" s="1" t="e">
        <f ca="1">_xll.BDH($C$178,"GROWTH_IN_CAP","FQ3 2014","FQ3 2014","Currency=INR","Period=FQ","BEST_FPERIOD_OVERRIDE=FQ","FILING_STATUS=OR","EQY_CONSOLIDATED=Y","Sort=A","Dates=H","DateFormat=P","Fill=—","Direction=H","UseDPDF=Y")</f>
        <v>#NAME?</v>
      </c>
      <c r="AK181" s="1" t="e">
        <f ca="1">_xll.BDH($C$178,"BVPS_GROWTH","FQ3 2014","FQ3 2014","Currency=INR","Period=FQ","BEST_FPERIOD_OVERRIDE=FQ","FILING_STATUS=OR","EQY_CONSOLIDATED=Y","Sort=A","Dates=H","DateFormat=P","Fill=—","Direction=H","UseDPDF=Y")</f>
        <v>#NAME?</v>
      </c>
      <c r="AL181" s="1" t="e">
        <f ca="1">_xll.BDH($C$178,"CASH_FLOW_GROWTH","FQ3 2014","FQ3 2014","Currency=INR","Period=FQ","BEST_FPERIOD_OVERRIDE=FQ","FILING_STATUS=OR","EQY_CONSOLIDATED=Y","Sort=A","Dates=H","DateFormat=P","Fill=—","Direction=H","UseDPDF=Y")</f>
        <v>#NAME?</v>
      </c>
      <c r="AM181" s="1" t="e">
        <f ca="1">_xll.BDH($C$178,"GEO_GROW_NET_SALES","FQ3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81" s="1" t="e">
        <f ca="1">_xll.BDH($C$178,"GEO_GROW_EBITDA","FQ3 2014","FQ3 2014","Currency=INR","Period=FQ","BEST_FPERIOD_OVERRIDE=FQ","FILING_STATUS=OR","EQY_CONSOLIDATED=Y","FA_ADJUSTED=GAAP","Sort=A","Dates=H","DateFormat=P","Fill=—","Direction=H","UseDPDF=Y")</f>
        <v>#NAME?</v>
      </c>
      <c r="AO181" s="1" t="e">
        <f ca="1">_xll.BDH($C$178,"GEO_GROW_OPER_INC","FQ3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81" s="1" t="e">
        <f ca="1">_xll.BDH($C$178,"NET_INCOME_TO_COMMON_5_YR_GROWTH","FQ3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81" s="1" t="e">
        <f ca="1">_xll.BDH($C$178,"5Y_GEO_GROWTH_DILUTED_EPS","FQ3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81" s="1" t="e">
        <f ca="1">_xll.BDH($C$178,"GEO_GROW_DVD_PER_SH","FQ3 2014","FQ3 2014","Currency=INR","Period=FQ","BEST_FPERIOD_OVERRIDE=FQ","FILING_STATUS=OR","EQY_CONSOLIDATED=Y","Sort=A","Dates=H","DateFormat=P","Fill=—","Direction=H","UseDPDF=Y")</f>
        <v>#NAME?</v>
      </c>
      <c r="AS181" s="1" t="e">
        <f ca="1">_xll.BDH($C$178,"ACCOUNTS_RECEIVABLE_5_YR_GROWTH","FQ3 2014","FQ3 2014","Currency=INR","Period=FQ","BEST_FPERIOD_OVERRIDE=FQ","FILING_STATUS=OR","EQY_CONSOLIDATED=Y","Sort=A","Dates=H","DateFormat=P","Fill=—","Direction=H","UseDPDF=Y")</f>
        <v>#NAME?</v>
      </c>
      <c r="AT181" s="1" t="e">
        <f ca="1">_xll.BDH($C$178,"INVENTORY_5_YEAR_GROWTH","FQ3 2014","FQ3 2014","Currency=INR","Period=FQ","BEST_FPERIOD_OVERRIDE=FQ","FILING_STATUS=OR","EQY_CONSOLIDATED=Y","Sort=A","Dates=H","DateFormat=P","Fill=—","Direction=H","UseDPDF=Y")</f>
        <v>#NAME?</v>
      </c>
      <c r="AU181" s="1" t="e">
        <f ca="1">_xll.BDH($C$178,"NET_FIXED_ASSETS_5_YEAR_GROWTH","FQ3 2014","FQ3 2014","Currency=INR","Period=FQ","BEST_FPERIOD_OVERRIDE=FQ","FILING_STATUS=OR","EQY_CONSOLIDATED=Y","Sort=A","Dates=H","DateFormat=P","Fill=—","Direction=H","UseDPDF=Y")</f>
        <v>#NAME?</v>
      </c>
      <c r="AV181" s="1" t="e">
        <f ca="1">_xll.BDH($C$178,"GEO_GROW_TOT_ASSET","FQ3 2014","FQ3 2014","Currency=INR","Period=FQ","BEST_FPERIOD_OVERRIDE=FQ","FILING_STATUS=OR","EQY_CONSOLIDATED=Y","Sort=A","Dates=H","DateFormat=P","Fill=—","Direction=H","UseDPDF=Y")</f>
        <v>#NAME?</v>
      </c>
      <c r="AW181" s="1" t="e">
        <f ca="1">_xll.BDH($C$178,"MODIFIED_WORKING_CPTL_5YR_GRWTH","FQ3 2014","FQ3 2014","Currency=INR","Period=FQ","BEST_FPERIOD_OVERRIDE=FQ","FILING_STATUS=OR","EQY_CONSOLIDATED=Y","Sort=A","Dates=H","DateFormat=P","Fill=—","Direction=H","UseDPDF=Y")</f>
        <v>#NAME?</v>
      </c>
      <c r="AX181" s="1" t="e">
        <f ca="1">_xll.BDH($C$178,"WORKING_CAPITAL_5_YEAR_GROWTH","FQ3 2014","FQ3 2014","Currency=INR","Period=FQ","BEST_FPERIOD_OVERRIDE=FQ","FILING_STATUS=OR","EQY_CONSOLIDATED=Y","Sort=A","Dates=H","DateFormat=P","Fill=—","Direction=H","UseDPDF=Y")</f>
        <v>#NAME?</v>
      </c>
      <c r="AY181" s="1" t="e">
        <f ca="1">_xll.BDH($C$178,"ACCOUNTS_PAYABLE_5_YEAR_GROWTH","FQ3 2014","FQ3 2014","Currency=INR","Period=FQ","BEST_FPERIOD_OVERRIDE=FQ","FILING_STATUS=OR","EQY_CONSOLIDATED=Y","Sort=A","Dates=H","DateFormat=P","Fill=—","Direction=H","UseDPDF=Y")</f>
        <v>#NAME?</v>
      </c>
      <c r="AZ181" s="1" t="e">
        <f ca="1">_xll.BDH($C$178,"SHORT_TERM_DEBT_5_YEAR_GROWTH","FQ3 2014","FQ3 2014","Currency=INR","Period=FQ","BEST_FPERIOD_OVERRIDE=FQ","FILING_STATUS=OR","EQY_CONSOLIDATED=Y","Sort=A","Dates=H","DateFormat=P","Fill=—","Direction=H","UseDPDF=Y")</f>
        <v>#NAME?</v>
      </c>
      <c r="BA181" s="1" t="e">
        <f ca="1">_xll.BDH($C$178,"TOTAL_DEBT_5_YEAR_GROWTH","FQ3 2014","FQ3 2014","Currency=INR","Period=FQ","BEST_FPERIOD_OVERRIDE=FQ","FILING_STATUS=OR","EQY_CONSOLIDATED=Y","Sort=A","Dates=H","DateFormat=P","Fill=—","Direction=H","UseDPDF=Y")</f>
        <v>#NAME?</v>
      </c>
      <c r="BB181" s="1" t="e">
        <f ca="1">_xll.BDH($C$178,"GEO_GROW_TOT_SHRHLDR_EQY","FQ3 2014","FQ3 2014","Currency=INR","Period=FQ","BEST_FPERIOD_OVERRIDE=FQ","FILING_STATUS=OR","EQY_CONSOLIDATED=Y","Sort=A","Dates=H","DateFormat=P","Fill=—","Direction=H","UseDPDF=Y")</f>
        <v>#NAME?</v>
      </c>
      <c r="BC181" s="1" t="e">
        <f ca="1">_xll.BDH($C$178,"TOTAL_CAPITAL_5_YEAR_GROWTH","FQ3 2014","FQ3 2014","Currency=INR","Period=FQ","BEST_FPERIOD_OVERRIDE=FQ","FILING_STATUS=OR","EQY_CONSOLIDATED=Y","Sort=A","Dates=H","DateFormat=P","Fill=—","Direction=H","UseDPDF=Y")</f>
        <v>#NAME?</v>
      </c>
      <c r="BD181" s="1" t="e">
        <f ca="1">_xll.BDH($C$178,"GEO_GROW_BOOK_VAL","FQ3 2014","FQ3 2014","Currency=INR","Period=FQ","BEST_FPERIOD_OVERRIDE=FQ","FILING_STATUS=OR","EQY_CONSOLIDATED=Y","Sort=A","Dates=H","DateFormat=P","Fill=—","Direction=H","UseDPDF=Y")</f>
        <v>#NAME?</v>
      </c>
      <c r="BE181" s="1" t="e">
        <f ca="1">_xll.BDH($C$178,"GEO_GROW_CASH_OPER_ACT","FQ3 2014","FQ3 2014","Currency=INR","Period=FQ","BEST_FPERIOD_OVERRIDE=FQ","FILING_STATUS=OR","EQY_CONSOLIDATED=Y","Sort=A","Dates=H","DateFormat=P","Fill=—","Direction=H","UseDPDF=Y")</f>
        <v>#NAME?</v>
      </c>
      <c r="BF181" s="1" t="e">
        <f ca="1">_xll.BDH($C$178,"REVENUE_SEQUENTIAL_GROWTH","FQ3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81" s="1" t="e">
        <f ca="1">_xll.BDH($C$178,"EBITDA_SEQUENTIAL_GROWTH","FQ3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81" s="1" t="e">
        <f ca="1">_xll.BDH($C$178,"OPERATING_INCOME_SEQ_GROWTH","FQ3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81" s="1" t="e">
        <f ca="1">_xll.BDH($C$178,"NET_INCOME_TO_COMMON_SEQ_GROWTH","FQ3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81" s="1" t="e">
        <f ca="1">_xll.BDH($C$178,"EPS_DILUTED_SEQUENTIAL_GROWTH","FQ3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81" s="1" t="e">
        <f ca="1">_xll.BDH($C$178,"DPS_SEQUENTIAL_GROWTH","FQ3 2014","FQ3 2014","Currency=INR","Period=FQ","BEST_FPERIOD_OVERRIDE=FQ","FILING_STATUS=OR","EQY_CONSOLIDATED=Y","Sort=A","Dates=H","DateFormat=P","Fill=—","Direction=H","UseDPDF=Y")</f>
        <v>#NAME?</v>
      </c>
      <c r="BL181" s="1" t="e">
        <f ca="1">_xll.BDH($C$178,"ACCOUNTS_RECEIVABLE_SEQ_GROWTH","FQ3 2014","FQ3 2014","Currency=INR","Period=FQ","BEST_FPERIOD_OVERRIDE=FQ","FILING_STATUS=OR","EQY_CONSOLIDATED=Y","Sort=A","Dates=H","DateFormat=P","Fill=—","Direction=H","UseDPDF=Y")</f>
        <v>#NAME?</v>
      </c>
      <c r="BM181" s="1" t="e">
        <f ca="1">_xll.BDH($C$178,"INVENTORY_SEQUENTIAL_GROWTH","FQ3 2014","FQ3 2014","Currency=INR","Period=FQ","BEST_FPERIOD_OVERRIDE=FQ","FILING_STATUS=OR","EQY_CONSOLIDATED=Y","Sort=A","Dates=H","DateFormat=P","Fill=—","Direction=H","UseDPDF=Y")</f>
        <v>#NAME?</v>
      </c>
      <c r="BN181" s="1" t="e">
        <f ca="1">_xll.BDH($C$178,"FIXED_ASSETS_SEQUENTIAL_GROWTH","FQ3 2014","FQ3 2014","Currency=INR","Period=FQ","BEST_FPERIOD_OVERRIDE=FQ","FILING_STATUS=OR","EQY_CONSOLIDATED=Y","Sort=A","Dates=H","DateFormat=P","Fill=—","Direction=H","UseDPDF=Y")</f>
        <v>#NAME?</v>
      </c>
      <c r="BO181" s="1" t="e">
        <f ca="1">_xll.BDH($C$178,"TOTAL_ASSETS_SEQUENTIAL_GROWTH","FQ3 2014","FQ3 2014","Currency=INR","Period=FQ","BEST_FPERIOD_OVERRIDE=FQ","FILING_STATUS=OR","EQY_CONSOLIDATED=Y","Sort=A","Dates=H","DateFormat=P","Fill=—","Direction=H","UseDPDF=Y")</f>
        <v>#NAME?</v>
      </c>
      <c r="BP181" s="1" t="e">
        <f ca="1">_xll.BDH($C$178,"MODIFIED_WORKING_CPTL_SEQ_GRWTH","FQ3 2014","FQ3 2014","Currency=INR","Period=FQ","BEST_FPERIOD_OVERRIDE=FQ","FILING_STATUS=OR","EQY_CONSOLIDATED=Y","Sort=A","Dates=H","DateFormat=P","Fill=—","Direction=H","UseDPDF=Y")</f>
        <v>#NAME?</v>
      </c>
      <c r="BQ181" s="1" t="e">
        <f ca="1">_xll.BDH($C$178,"WORKING_CAPITAL_SEQ_GROWTH","FQ3 2014","FQ3 2014","Currency=INR","Period=FQ","BEST_FPERIOD_OVERRIDE=FQ","FILING_STATUS=OR","EQY_CONSOLIDATED=Y","Sort=A","Dates=H","DateFormat=P","Fill=—","Direction=H","UseDPDF=Y")</f>
        <v>#NAME?</v>
      </c>
      <c r="BR181" s="1" t="e">
        <f ca="1">_xll.BDH($C$178,"ACCOUNTS_PAYABLE_SEQ_GROWTH","FQ3 2014","FQ3 2014","Currency=INR","Period=FQ","BEST_FPERIOD_OVERRIDE=FQ","FILING_STATUS=OR","EQY_CONSOLIDATED=Y","Sort=A","Dates=H","DateFormat=P","Fill=—","Direction=H","UseDPDF=Y")</f>
        <v>#NAME?</v>
      </c>
      <c r="BS181" s="1" t="e">
        <f ca="1">_xll.BDH($C$178,"ST_DEBT_SEQUENTIAL_GROWTH","FQ3 2014","FQ3 2014","Currency=INR","Period=FQ","BEST_FPERIOD_OVERRIDE=FQ","FILING_STATUS=OR","EQY_CONSOLIDATED=Y","Sort=A","Dates=H","DateFormat=P","Fill=—","Direction=H","UseDPDF=Y")</f>
        <v>#NAME?</v>
      </c>
      <c r="BT181" s="1" t="e">
        <f ca="1">_xll.BDH($C$178,"TOTAL_DEBT_SEQUENTIAL_GROWTH","FQ3 2014","FQ3 2014","Currency=INR","Period=FQ","BEST_FPERIOD_OVERRIDE=FQ","FILING_STATUS=OR","EQY_CONSOLIDATED=Y","Sort=A","Dates=H","DateFormat=P","Fill=—","Direction=H","UseDPDF=Y")</f>
        <v>#NAME?</v>
      </c>
      <c r="BU181" s="1" t="e">
        <f ca="1">_xll.BDH($C$178,"TOTAL_EQUITY_SEQUENTIAL_GROWTH","FQ3 2014","FQ3 2014","Currency=INR","Period=FQ","BEST_FPERIOD_OVERRIDE=FQ","FILING_STATUS=OR","EQY_CONSOLIDATED=Y","Sort=A","Dates=H","DateFormat=P","Fill=—","Direction=H","UseDPDF=Y")</f>
        <v>#NAME?</v>
      </c>
      <c r="BV181" s="1" t="e">
        <f ca="1">_xll.BDH($C$178,"TOTAL_CAPITAL_SEQUENTIAL_GROWTH","FQ3 2014","FQ3 2014","Currency=INR","Period=FQ","BEST_FPERIOD_OVERRIDE=FQ","FILING_STATUS=OR","EQY_CONSOLIDATED=Y","Sort=A","Dates=H","DateFormat=P","Fill=—","Direction=H","UseDPDF=Y")</f>
        <v>#NAME?</v>
      </c>
      <c r="BW181" s="1" t="e">
        <f ca="1">_xll.BDH($C$178,"BPS_SEQUENTIAL_GROWTH","FQ3 2014","FQ3 2014","Currency=INR","Period=FQ","BEST_FPERIOD_OVERRIDE=FQ","FILING_STATUS=OR","EQY_CONSOLIDATED=Y","Sort=A","Dates=H","DateFormat=P","Fill=—","Direction=H","UseDPDF=Y")</f>
        <v>#NAME?</v>
      </c>
      <c r="BX181" s="1" t="e">
        <f ca="1">_xll.BDH($C$178,"CFO_SEQUENTIAL_GROWTH","FQ3 2014","FQ3 2014","Currency=INR","Period=FQ","BEST_FPERIOD_OVERRIDE=FQ","FILING_STATUS=OR","EQY_CONSOLIDATED=Y","Sort=A","Dates=H","DateFormat=P","Fill=—","Direction=H","UseDPDF=Y")</f>
        <v>#NAME?</v>
      </c>
      <c r="BY181" s="2" t="e">
        <f ca="1">_xll.BDH($C$178,"SHORT_AND_LONG_TERM_DEBT","FQ3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81" s="2" t="e">
        <f ca="1">_xll.BDH($C$178,"BS_ST_BORROW","FQ3 2014","FQ3 2014","Currency=INR","Period=FQ","BEST_FPERIOD_OVERRIDE=FQ","FILING_STATUS=OR","EQY_CONSOLIDATED=Y","SCALING_FORMAT=MLN","Sort=A","Dates=H","DateFormat=P","Fill=—","Direction=H","UseDPDF=Y")</f>
        <v>#NAME?</v>
      </c>
      <c r="CA181" s="2" t="e">
        <f ca="1">_xll.BDH($C$178,"BS_LT_BORROW","FQ3 2014","FQ3 2014","Currency=INR","Period=FQ","BEST_FPERIOD_OVERRIDE=FQ","FILING_STATUS=OR","EQY_CONSOLIDATED=Y","SCALING_FORMAT=MLN","Sort=A","Dates=H","DateFormat=P","Fill=—","Direction=H","UseDPDF=Y")</f>
        <v>#NAME?</v>
      </c>
      <c r="CB181" s="1" t="e">
        <f ca="1">_xll.BDH($C$178,"TOT_DEBT_TO_EBITDA","FQ3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81" s="1" t="e">
        <f ca="1">_xll.BDH($C$178,"NET_DEBT_TO_EBITDA","FQ3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81" s="1" t="e">
        <f ca="1">_xll.BDH($C$178,"TOTAL_DEBT_TO_EBIT","FQ3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81" s="1" t="e">
        <f ca="1">_xll.BDH($C$178,"NET_DEBT_TO_EBIT","FQ3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181" s="1" t="e">
        <f ca="1">_xll.BDH($C$178,"EBITDA_TO_INTEREST_EXPN","FQ3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81" s="1" t="e">
        <f ca="1">_xll.BDH($C$178,"COM_EQY_TO_TOT_ASSET","FQ3 2014","FQ3 2014","Currency=INR","Period=FQ","BEST_FPERIOD_OVERRIDE=FQ","FILING_STATUS=OR","EQY_CONSOLIDATED=Y","Sort=A","Dates=H","DateFormat=P","Fill=—","Direction=H","UseDPDF=Y")</f>
        <v>#NAME?</v>
      </c>
      <c r="CH181" s="1" t="e">
        <f ca="1">_xll.BDH($C$178,"LT_DEBT_TO_TOT_EQY","FQ3 2014","FQ3 2014","Currency=INR","Period=FQ","BEST_FPERIOD_OVERRIDE=FQ","FILING_STATUS=OR","EQY_CONSOLIDATED=Y","Sort=A","Dates=H","DateFormat=P","Fill=—","Direction=H","UseDPDF=Y")</f>
        <v>#NAME?</v>
      </c>
      <c r="CI181" s="1" t="e">
        <f ca="1">_xll.BDH($C$178,"LT_DEBT_TO_TOT_CAP","FQ3 2014","FQ3 2014","Currency=INR","Period=FQ","BEST_FPERIOD_OVERRIDE=FQ","FILING_STATUS=OR","EQY_CONSOLIDATED=Y","Sort=A","Dates=H","DateFormat=P","Fill=—","Direction=H","UseDPDF=Y")</f>
        <v>#NAME?</v>
      </c>
      <c r="CJ181" s="1" t="e">
        <f ca="1">_xll.BDH($C$178,"LT_DEBT_TO_TOT_ASSET","FQ3 2014","FQ3 2014","Currency=INR","Period=FQ","BEST_FPERIOD_OVERRIDE=FQ","FILING_STATUS=OR","EQY_CONSOLIDATED=Y","Sort=A","Dates=H","DateFormat=P","Fill=—","Direction=H","UseDPDF=Y")</f>
        <v>#NAME?</v>
      </c>
      <c r="CK181" s="1" t="e">
        <f ca="1">_xll.BDH($C$178,"TOT_DEBT_TO_TOT_EQY","FQ3 2014","FQ3 2014","Currency=INR","Period=FQ","BEST_FPERIOD_OVERRIDE=FQ","FILING_STATUS=OR","EQY_CONSOLIDATED=Y","Sort=A","Dates=H","DateFormat=P","Fill=—","Direction=H","UseDPDF=Y")</f>
        <v>#NAME?</v>
      </c>
      <c r="CL181" s="1" t="e">
        <f ca="1">_xll.BDH($C$178,"TOT_DEBT_TO_TOT_CAP","FQ3 2014","FQ3 2014","Currency=INR","Period=FQ","BEST_FPERIOD_OVERRIDE=FQ","FILING_STATUS=OR","EQY_CONSOLIDATED=Y","Sort=A","Dates=H","DateFormat=P","Fill=—","Direction=H","UseDPDF=Y")</f>
        <v>#NAME?</v>
      </c>
      <c r="CM181" s="1" t="e">
        <f ca="1">_xll.BDH($C$178,"TOT_DEBT_TO_TOT_ASSET","FQ3 2014","FQ3 2014","Currency=INR","Period=FQ","BEST_FPERIOD_OVERRIDE=FQ","FILING_STATUS=OR","EQY_CONSOLIDATED=Y","Sort=A","Dates=H","DateFormat=P","Fill=—","Direction=H","UseDPDF=Y")</f>
        <v>#NAME?</v>
      </c>
      <c r="CN181" s="1" t="e">
        <f ca="1">_xll.BDH($C$178,"NET_DEBT_TO_SHRHLDR_EQTY","FQ3 2014","FQ3 2014","Currency=INR","Period=FQ","BEST_FPERIOD_OVERRIDE=FQ","FILING_STATUS=OR","EQY_CONSOLIDATED=Y","Sort=A","Dates=H","DateFormat=P","Fill=—","Direction=H","UseDPDF=Y")</f>
        <v>#NAME?</v>
      </c>
      <c r="CO181" s="1" t="e">
        <f ca="1">_xll.BDH($C$178,"NET_DEBT_%_CAPITAL","FQ3 2014","FQ3 2014","Currency=INR","Period=FQ","BEST_FPERIOD_OVERRIDE=FQ","FILING_STATUS=OR","EQY_CONSOLIDATED=Y","Sort=A","Dates=H","DateFormat=P","Fill=—","Direction=H","UseDPDF=Y")</f>
        <v>#NAME?</v>
      </c>
      <c r="CP181" s="2" t="e">
        <f ca="1">_xll.BDH($C$178,"EBITDA","FQ3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81" s="2" t="e">
        <f ca="1">_xll.BDH($C$178,"EBITDA_AFTER_CAPEX","FQ3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81" s="2" t="e">
        <f ca="1">_xll.BDH($C$178,"IS_OPER_INC","FQ3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81" s="1" t="e">
        <f ca="1">_xll.BDH($C$178,"CASH_RATIO","FQ3 2014","FQ3 2014","Currency=INR","Period=FQ","BEST_FPERIOD_OVERRIDE=FQ","FILING_STATUS=OR","EQY_CONSOLIDATED=Y","Sort=A","Dates=H","DateFormat=P","Fill=—","Direction=H","UseDPDF=Y")</f>
        <v>#NAME?</v>
      </c>
      <c r="CT181" s="1" t="e">
        <f ca="1">_xll.BDH($C$178,"CUR_RATIO","FQ3 2014","FQ3 2014","Currency=INR","Period=FQ","BEST_FPERIOD_OVERRIDE=FQ","FILING_STATUS=OR","EQY_CONSOLIDATED=Y","Sort=A","Dates=H","DateFormat=P","Fill=—","Direction=H","UseDPDF=Y")</f>
        <v>#NAME?</v>
      </c>
      <c r="CU181" s="1" t="e">
        <f ca="1">_xll.BDH($C$178,"QUICK_RATIO","FQ3 2014","FQ3 2014","Currency=INR","Period=FQ","BEST_FPERIOD_OVERRIDE=FQ","FILING_STATUS=OR","EQY_CONSOLIDATED=Y","Sort=A","Dates=H","DateFormat=P","Fill=—","Direction=H","UseDPDF=Y")</f>
        <v>#NAME?</v>
      </c>
      <c r="CV181" s="1" t="e">
        <f ca="1">_xll.BDH($C$178,"ALTMAN_Z_SCORE","FQ3 2014","FQ3 2014","Currency=INR","Period=FQ","BEST_FPERIOD_OVERRIDE=FQ","FILING_STATUS=OR","EQY_CONSOLIDATED=Y","Sort=A","Dates=H","DateFormat=P","Fill=—","Direction=H","UseDPDF=Y")</f>
        <v>#NAME?</v>
      </c>
      <c r="CW181" s="3" t="e">
        <f ca="1">_xll.BDH($C$178,"ACCT_RCV_TURN","FQ3 2014","FQ3 2014","Currency=INR","Period=FQ","BEST_FPERIOD_OVERRIDE=FQ","FILING_STATUS=OR","EQY_CONSOLIDATED=Y","FA_ADJUSTED=GAAP","Sort=A","Dates=H","DateFormat=P","Fill=—","Direction=H","UseDPDF=Y")</f>
        <v>#NAME?</v>
      </c>
      <c r="CX181" s="1" t="e">
        <f ca="1">_xll.BDH($C$178,"ACCT_RCV_DAYS","FQ3 2014","FQ3 2014","Currency=INR","Period=FQ","BEST_FPERIOD_OVERRIDE=FQ","FILING_STATUS=OR","EQY_CONSOLIDATED=Y","FA_ADJUSTED=GAAP","Sort=A","Dates=H","DateFormat=P","Fill=—","Direction=H","UseDPDF=Y")</f>
        <v>#NAME?</v>
      </c>
      <c r="CY181" s="3" t="e">
        <f ca="1">_xll.BDH($C$178,"INVENT_TURN","FQ3 2014","FQ3 2014","Currency=INR","Period=FQ","BEST_FPERIOD_OVERRIDE=FQ","FILING_STATUS=OR","EQY_CONSOLIDATED=Y","FA_ADJUSTED=GAAP","Sort=A","Dates=H","DateFormat=P","Fill=—","Direction=H","UseDPDF=Y")</f>
        <v>#NAME?</v>
      </c>
      <c r="CZ181" s="1" t="e">
        <f ca="1">_xll.BDH($C$178,"INVENT_DAYS","FQ3 2014","FQ3 2014","Currency=INR","Period=FQ","BEST_FPERIOD_OVERRIDE=FQ","FILING_STATUS=OR","EQY_CONSOLIDATED=Y","FA_ADJUSTED=GAAP","Sort=A","Dates=H","DateFormat=P","Fill=—","Direction=H","UseDPDF=Y")</f>
        <v>#NAME?</v>
      </c>
      <c r="DA181" s="3" t="e">
        <f ca="1">_xll.BDH($C$178,"ACCOUNTS_PAYABLE_TURNOVER","FQ3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81" s="1" t="e">
        <f ca="1">_xll.BDH($C$178,"ACCOUNTS_PAYABLE_TURNOVER_DAYS","FQ3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81" s="3" t="e">
        <f ca="1">_xll.BDH($C$178,"CASH_CONVERSION_CYCLE","FQ3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81" s="3" t="e">
        <f ca="1">_xll.BDH($C$178,"INV_TO_CASH_DAYS","FQ3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181" s="4" t="e">
        <f ca="1">_xll.BDH($C$178,"BS_INVENTORIES","FQ3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181" s="2" t="e">
        <f ca="1">_xll.BDH($C$178,"INVTRY_RAW_MATERIALS","FQ3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81" s="2" t="e">
        <f ca="1">_xll.BDH($C$178,"INVTRY_IN_PROGRESS","FQ3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81" s="2" t="e">
        <f ca="1">_xll.BDH($C$178,"INVTRY_FINISHED_GOODS","FQ3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81" s="2" t="e">
        <f ca="1">_xll.BDH($C$178,"BS_OTHER_INV","FQ3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82" spans="1:113" x14ac:dyDescent="0.3">
      <c r="A182" s="6"/>
      <c r="B182" s="6"/>
      <c r="C182" s="6"/>
      <c r="D182" s="6"/>
      <c r="E182" t="s">
        <v>7</v>
      </c>
      <c r="F182" t="e">
        <f ca="1">_xll.BDH($C$178,"RETURN_COM_EQY","FQ4 2014","FQ4 2014","Currency=INR","Period=FQ","BEST_FPERIOD_OVERRIDE=FQ","FILING_STATUS=OR","EQY_CONSOLIDATED=Y","FA_ADJUSTED=GAAP","Sort=A","Dates=H","DateFormat=P","Fill=—","Direction=H","UseDPDF=Y")</f>
        <v>#NAME?</v>
      </c>
      <c r="G182" t="e">
        <f ca="1">_xll.BDH($C$178,"RETURN_ON_ASSET","FQ4 2014","FQ4 2014","Currency=INR","Period=FQ","BEST_FPERIOD_OVERRIDE=FQ","FILING_STATUS=OR","EQY_CONSOLIDATED=Y","FA_ADJUSTED=GAAP","Sort=A","Dates=H","DateFormat=P","Fill=—","Direction=H","UseDPDF=Y")</f>
        <v>#NAME?</v>
      </c>
      <c r="H182" t="e">
        <f ca="1">_xll.BDH($C$178,"RETURN_ON_CAP","FQ4 2014","FQ4 2014","Currency=INR","Period=FQ","BEST_FPERIOD_OVERRIDE=FQ","FILING_STATUS=OR","EQY_CONSOLIDATED=Y","FA_ADJUSTED=GAAP","Sort=A","Dates=H","DateFormat=P","Fill=—","Direction=H","UseDPDF=Y")</f>
        <v>#NAME?</v>
      </c>
      <c r="I182" t="e">
        <f ca="1">_xll.BDH($C$178,"RETURN_ON_INV_CAPITAL","FQ4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82" t="e">
        <f ca="1">_xll.BDH($C$178,"EBITDA_TO_REVENUE","FQ4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182" t="e">
        <f ca="1">_xll.BDH($C$178,"OPER_MARGIN","FQ4 2014","FQ4 2014","Currency=INR","Period=FQ","BEST_FPERIOD_OVERRIDE=FQ","FILING_STATUS=OR","EQY_CONSOLIDATED=Y","FA_ADJUSTED=GAAP","Sort=A","Dates=H","DateFormat=P","Fill=—","Direction=H","UseDPDF=Y")</f>
        <v>#NAME?</v>
      </c>
      <c r="L182" t="e">
        <f ca="1">_xll.BDH($C$178,"INCREMENTAL_OPERATING_MARGIN","FQ4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82" t="e">
        <f ca="1">_xll.BDH($C$178,"PRETAX_INC_TO_NET_SALES","FQ4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82" t="e">
        <f ca="1">_xll.BDH($C$178,"INC_BEF_XO_ITEMS_TO_NET_SALES","FQ4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82" t="e">
        <f ca="1">_xll.BDH($C$178,"PROF_MARGIN","FQ4 2014","FQ4 2014","Currency=INR","Period=FQ","BEST_FPERIOD_OVERRIDE=FQ","FILING_STATUS=OR","EQY_CONSOLIDATED=Y","FA_ADJUSTED=GAAP","Sort=A","Dates=H","DateFormat=P","Fill=—","Direction=H","UseDPDF=Y")</f>
        <v>#NAME?</v>
      </c>
      <c r="P182" t="e">
        <f ca="1">_xll.BDH($C$178,"NET_INCOME_TO_COMMON_MARGIN","FQ4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82" t="e">
        <f ca="1">_xll.BDH($C$178,"EFF_TAX_RATE","FQ4 2014","FQ4 2014","Currency=INR","Period=FQ","BEST_FPERIOD_OVERRIDE=FQ","FILING_STATUS=OR","EQY_CONSOLIDATED=Y","FA_ADJUSTED=GAAP","Sort=A","Dates=H","DateFormat=P","Fill=—","Direction=H","UseDPDF=Y")</f>
        <v>#NAME?</v>
      </c>
      <c r="R182" t="e">
        <f ca="1">_xll.BDH($C$178,"DVD_PAYOUT_RATIO","FQ4 2014","FQ4 2014","Currency=INR","Period=FQ","BEST_FPERIOD_OVERRIDE=FQ","FILING_STATUS=OR","EQY_CONSOLIDATED=Y","FA_ADJUSTED=GAAP","Sort=A","Dates=H","DateFormat=P","Fill=—","Direction=H","UseDPDF=Y")</f>
        <v>#NAME?</v>
      </c>
      <c r="S182" t="e">
        <f ca="1">_xll.BDH($C$178,"SUSTAIN_GROWTH_RT","FQ4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182" s="1" t="e">
        <f ca="1">_xll.BDH($C$178,"SALES_GROWTH","FQ4 2014","FQ4 2014","Currency=INR","Period=FQ","BEST_FPERIOD_OVERRIDE=FQ","FILING_STATUS=OR","EQY_CONSOLIDATED=Y","FA_ADJUSTED=GAAP","Sort=A","Dates=H","DateFormat=P","Fill=—","Direction=H","UseDPDF=Y")</f>
        <v>#NAME?</v>
      </c>
      <c r="U182" s="1" t="e">
        <f ca="1">_xll.BDH($C$178,"EBITDA_GROWTH","FQ4 2014","FQ4 2014","Currency=INR","Period=FQ","BEST_FPERIOD_OVERRIDE=FQ","FILING_STATUS=OR","EQY_CONSOLIDATED=Y","FA_ADJUSTED=GAAP","Sort=A","Dates=H","DateFormat=P","Fill=—","Direction=H","UseDPDF=Y")</f>
        <v>#NAME?</v>
      </c>
      <c r="V182" s="1" t="e">
        <f ca="1">_xll.BDH($C$178,"OPER_INC_GROWTH","FQ4 2014","FQ4 2014","Currency=INR","Period=FQ","BEST_FPERIOD_OVERRIDE=FQ","FILING_STATUS=OR","EQY_CONSOLIDATED=Y","FA_ADJUSTED=GAAP","Sort=A","Dates=H","DateFormat=P","Fill=—","Direction=H","UseDPDF=Y")</f>
        <v>#NAME?</v>
      </c>
      <c r="W182" s="1" t="e">
        <f ca="1">_xll.BDH($C$178,"EARN_FOR_COM_GROWTH","FQ4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82" s="1" t="e">
        <f ca="1">_xll.BDH($C$178,"DILUTED_EPS_AFT_XO_ITEMS_GROWTH","FQ4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82" s="1" t="e">
        <f ca="1">_xll.BDH($C$178,"DIVIDEND_PER_SHARE_1_YEAR_GROWTH","FQ4 2014","FQ4 2014","Currency=INR","Period=FQ","BEST_FPERIOD_OVERRIDE=FQ","FILING_STATUS=OR","EQY_CONSOLIDATED=Y","Sort=A","Dates=H","DateFormat=P","Fill=—","Direction=H","UseDPDF=Y")</f>
        <v>#NAME?</v>
      </c>
      <c r="Z182" s="1" t="e">
        <f ca="1">_xll.BDH($C$178,"ACCOUNTS_RECEIVABLE_GROWTH","FQ4 2014","FQ4 2014","Currency=INR","Period=FQ","BEST_FPERIOD_OVERRIDE=FQ","FILING_STATUS=OR","EQY_CONSOLIDATED=Y","Sort=A","Dates=H","DateFormat=P","Fill=—","Direction=H","UseDPDF=Y")</f>
        <v>#NAME?</v>
      </c>
      <c r="AA182" s="1" t="e">
        <f ca="1">_xll.BDH($C$178,"INVENTORY_GROWTH","FQ4 2014","FQ4 2014","Currency=INR","Period=FQ","BEST_FPERIOD_OVERRIDE=FQ","FILING_STATUS=OR","EQY_CONSOLIDATED=Y","Sort=A","Dates=H","DateFormat=P","Fill=—","Direction=H","UseDPDF=Y")</f>
        <v>#NAME?</v>
      </c>
      <c r="AB182" s="1" t="e">
        <f ca="1">_xll.BDH($C$178,"NET_FIXED_ASSETS_1_YEAR_GROWTH","FQ4 2014","FQ4 2014","Currency=INR","Period=FQ","BEST_FPERIOD_OVERRIDE=FQ","FILING_STATUS=OR","EQY_CONSOLIDATED=Y","Sort=A","Dates=H","DateFormat=P","Fill=—","Direction=H","UseDPDF=Y")</f>
        <v>#NAME?</v>
      </c>
      <c r="AC182" s="1" t="e">
        <f ca="1">_xll.BDH($C$178,"ASSET_GROWTH","FQ4 2014","FQ4 2014","Currency=INR","Period=FQ","BEST_FPERIOD_OVERRIDE=FQ","FILING_STATUS=OR","EQY_CONSOLIDATED=Y","Sort=A","Dates=H","DateFormat=P","Fill=—","Direction=H","UseDPDF=Y")</f>
        <v>#NAME?</v>
      </c>
      <c r="AD182" s="1" t="e">
        <f ca="1">_xll.BDH($C$178,"MODIFIED_WORK_CAP_GROWTH","FQ4 2014","FQ4 2014","Currency=INR","Period=FQ","BEST_FPERIOD_OVERRIDE=FQ","FILING_STATUS=OR","EQY_CONSOLIDATED=Y","Sort=A","Dates=H","DateFormat=P","Fill=—","Direction=H","UseDPDF=Y")</f>
        <v>#NAME?</v>
      </c>
      <c r="AE182" s="1" t="e">
        <f ca="1">_xll.BDH($C$178,"WORK_CAP_GROWTH","FQ4 2014","FQ4 2014","Currency=INR","Period=FQ","BEST_FPERIOD_OVERRIDE=FQ","FILING_STATUS=OR","EQY_CONSOLIDATED=Y","Sort=A","Dates=H","DateFormat=P","Fill=—","Direction=H","UseDPDF=Y")</f>
        <v>#NAME?</v>
      </c>
      <c r="AF182" s="1" t="e">
        <f ca="1">_xll.BDH($C$178,"ACCOUNTS_PAYABLE_GROWTH_1YR","FQ4 2014","FQ4 2014","Currency=INR","Period=FQ","BEST_FPERIOD_OVERRIDE=FQ","FILING_STATUS=OR","EQY_CONSOLIDATED=Y","Sort=A","Dates=H","DateFormat=P","Fill=—","Direction=H","UseDPDF=Y")</f>
        <v>#NAME?</v>
      </c>
      <c r="AG182" s="1" t="e">
        <f ca="1">_xll.BDH($C$178,"SHORT_TERM_DEBT_1_YEAR_GROWTH","FQ4 2014","FQ4 2014","Currency=INR","Period=FQ","BEST_FPERIOD_OVERRIDE=FQ","FILING_STATUS=OR","EQY_CONSOLIDATED=Y","Sort=A","Dates=H","DateFormat=P","Fill=—","Direction=H","UseDPDF=Y")</f>
        <v>#NAME?</v>
      </c>
      <c r="AH182" s="1" t="e">
        <f ca="1">_xll.BDH($C$178,"TOTAL_DEBT_1_YEAR_GROWTH","FQ4 2014","FQ4 2014","Currency=INR","Period=FQ","BEST_FPERIOD_OVERRIDE=FQ","FILING_STATUS=OR","EQY_CONSOLIDATED=Y","Sort=A","Dates=H","DateFormat=P","Fill=—","Direction=H","UseDPDF=Y")</f>
        <v>#NAME?</v>
      </c>
      <c r="AI182" s="1" t="e">
        <f ca="1">_xll.BDH($C$178,"TOTAL_EQUITY_1_YEAR_GROWTH","FQ4 2014","FQ4 2014","Currency=INR","Period=FQ","BEST_FPERIOD_OVERRIDE=FQ","FILING_STATUS=OR","EQY_CONSOLIDATED=Y","Sort=A","Dates=H","DateFormat=P","Fill=—","Direction=H","UseDPDF=Y")</f>
        <v>#NAME?</v>
      </c>
      <c r="AJ182" s="1" t="e">
        <f ca="1">_xll.BDH($C$178,"GROWTH_IN_CAP","FQ4 2014","FQ4 2014","Currency=INR","Period=FQ","BEST_FPERIOD_OVERRIDE=FQ","FILING_STATUS=OR","EQY_CONSOLIDATED=Y","Sort=A","Dates=H","DateFormat=P","Fill=—","Direction=H","UseDPDF=Y")</f>
        <v>#NAME?</v>
      </c>
      <c r="AK182" s="1" t="e">
        <f ca="1">_xll.BDH($C$178,"BVPS_GROWTH","FQ4 2014","FQ4 2014","Currency=INR","Period=FQ","BEST_FPERIOD_OVERRIDE=FQ","FILING_STATUS=OR","EQY_CONSOLIDATED=Y","Sort=A","Dates=H","DateFormat=P","Fill=—","Direction=H","UseDPDF=Y")</f>
        <v>#NAME?</v>
      </c>
      <c r="AL182" s="1" t="e">
        <f ca="1">_xll.BDH($C$178,"CASH_FLOW_GROWTH","FQ4 2014","FQ4 2014","Currency=INR","Period=FQ","BEST_FPERIOD_OVERRIDE=FQ","FILING_STATUS=OR","EQY_CONSOLIDATED=Y","Sort=A","Dates=H","DateFormat=P","Fill=—","Direction=H","UseDPDF=Y")</f>
        <v>#NAME?</v>
      </c>
      <c r="AM182" s="1" t="e">
        <f ca="1">_xll.BDH($C$178,"GEO_GROW_NET_SALES","FQ4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82" s="1" t="e">
        <f ca="1">_xll.BDH($C$178,"GEO_GROW_EBITDA","FQ4 2014","FQ4 2014","Currency=INR","Period=FQ","BEST_FPERIOD_OVERRIDE=FQ","FILING_STATUS=OR","EQY_CONSOLIDATED=Y","FA_ADJUSTED=GAAP","Sort=A","Dates=H","DateFormat=P","Fill=—","Direction=H","UseDPDF=Y")</f>
        <v>#NAME?</v>
      </c>
      <c r="AO182" s="1" t="e">
        <f ca="1">_xll.BDH($C$178,"GEO_GROW_OPER_INC","FQ4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82" s="1" t="e">
        <f ca="1">_xll.BDH($C$178,"NET_INCOME_TO_COMMON_5_YR_GROWTH","FQ4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82" s="1" t="e">
        <f ca="1">_xll.BDH($C$178,"5Y_GEO_GROWTH_DILUTED_EPS","FQ4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82" s="1" t="e">
        <f ca="1">_xll.BDH($C$178,"GEO_GROW_DVD_PER_SH","FQ4 2014","FQ4 2014","Currency=INR","Period=FQ","BEST_FPERIOD_OVERRIDE=FQ","FILING_STATUS=OR","EQY_CONSOLIDATED=Y","Sort=A","Dates=H","DateFormat=P","Fill=—","Direction=H","UseDPDF=Y")</f>
        <v>#NAME?</v>
      </c>
      <c r="AS182" s="1" t="e">
        <f ca="1">_xll.BDH($C$178,"ACCOUNTS_RECEIVABLE_5_YR_GROWTH","FQ4 2014","FQ4 2014","Currency=INR","Period=FQ","BEST_FPERIOD_OVERRIDE=FQ","FILING_STATUS=OR","EQY_CONSOLIDATED=Y","Sort=A","Dates=H","DateFormat=P","Fill=—","Direction=H","UseDPDF=Y")</f>
        <v>#NAME?</v>
      </c>
      <c r="AT182" s="1" t="e">
        <f ca="1">_xll.BDH($C$178,"INVENTORY_5_YEAR_GROWTH","FQ4 2014","FQ4 2014","Currency=INR","Period=FQ","BEST_FPERIOD_OVERRIDE=FQ","FILING_STATUS=OR","EQY_CONSOLIDATED=Y","Sort=A","Dates=H","DateFormat=P","Fill=—","Direction=H","UseDPDF=Y")</f>
        <v>#NAME?</v>
      </c>
      <c r="AU182" s="1" t="e">
        <f ca="1">_xll.BDH($C$178,"NET_FIXED_ASSETS_5_YEAR_GROWTH","FQ4 2014","FQ4 2014","Currency=INR","Period=FQ","BEST_FPERIOD_OVERRIDE=FQ","FILING_STATUS=OR","EQY_CONSOLIDATED=Y","Sort=A","Dates=H","DateFormat=P","Fill=—","Direction=H","UseDPDF=Y")</f>
        <v>#NAME?</v>
      </c>
      <c r="AV182" s="1" t="e">
        <f ca="1">_xll.BDH($C$178,"GEO_GROW_TOT_ASSET","FQ4 2014","FQ4 2014","Currency=INR","Period=FQ","BEST_FPERIOD_OVERRIDE=FQ","FILING_STATUS=OR","EQY_CONSOLIDATED=Y","Sort=A","Dates=H","DateFormat=P","Fill=—","Direction=H","UseDPDF=Y")</f>
        <v>#NAME?</v>
      </c>
      <c r="AW182" s="1" t="e">
        <f ca="1">_xll.BDH($C$178,"MODIFIED_WORKING_CPTL_5YR_GRWTH","FQ4 2014","FQ4 2014","Currency=INR","Period=FQ","BEST_FPERIOD_OVERRIDE=FQ","FILING_STATUS=OR","EQY_CONSOLIDATED=Y","Sort=A","Dates=H","DateFormat=P","Fill=—","Direction=H","UseDPDF=Y")</f>
        <v>#NAME?</v>
      </c>
      <c r="AX182" s="1" t="e">
        <f ca="1">_xll.BDH($C$178,"WORKING_CAPITAL_5_YEAR_GROWTH","FQ4 2014","FQ4 2014","Currency=INR","Period=FQ","BEST_FPERIOD_OVERRIDE=FQ","FILING_STATUS=OR","EQY_CONSOLIDATED=Y","Sort=A","Dates=H","DateFormat=P","Fill=—","Direction=H","UseDPDF=Y")</f>
        <v>#NAME?</v>
      </c>
      <c r="AY182" s="1" t="e">
        <f ca="1">_xll.BDH($C$178,"ACCOUNTS_PAYABLE_5_YEAR_GROWTH","FQ4 2014","FQ4 2014","Currency=INR","Period=FQ","BEST_FPERIOD_OVERRIDE=FQ","FILING_STATUS=OR","EQY_CONSOLIDATED=Y","Sort=A","Dates=H","DateFormat=P","Fill=—","Direction=H","UseDPDF=Y")</f>
        <v>#NAME?</v>
      </c>
      <c r="AZ182" s="1" t="e">
        <f ca="1">_xll.BDH($C$178,"SHORT_TERM_DEBT_5_YEAR_GROWTH","FQ4 2014","FQ4 2014","Currency=INR","Period=FQ","BEST_FPERIOD_OVERRIDE=FQ","FILING_STATUS=OR","EQY_CONSOLIDATED=Y","Sort=A","Dates=H","DateFormat=P","Fill=—","Direction=H","UseDPDF=Y")</f>
        <v>#NAME?</v>
      </c>
      <c r="BA182" s="1" t="e">
        <f ca="1">_xll.BDH($C$178,"TOTAL_DEBT_5_YEAR_GROWTH","FQ4 2014","FQ4 2014","Currency=INR","Period=FQ","BEST_FPERIOD_OVERRIDE=FQ","FILING_STATUS=OR","EQY_CONSOLIDATED=Y","Sort=A","Dates=H","DateFormat=P","Fill=—","Direction=H","UseDPDF=Y")</f>
        <v>#NAME?</v>
      </c>
      <c r="BB182" s="1" t="e">
        <f ca="1">_xll.BDH($C$178,"GEO_GROW_TOT_SHRHLDR_EQY","FQ4 2014","FQ4 2014","Currency=INR","Period=FQ","BEST_FPERIOD_OVERRIDE=FQ","FILING_STATUS=OR","EQY_CONSOLIDATED=Y","Sort=A","Dates=H","DateFormat=P","Fill=—","Direction=H","UseDPDF=Y")</f>
        <v>#NAME?</v>
      </c>
      <c r="BC182" s="1" t="e">
        <f ca="1">_xll.BDH($C$178,"TOTAL_CAPITAL_5_YEAR_GROWTH","FQ4 2014","FQ4 2014","Currency=INR","Period=FQ","BEST_FPERIOD_OVERRIDE=FQ","FILING_STATUS=OR","EQY_CONSOLIDATED=Y","Sort=A","Dates=H","DateFormat=P","Fill=—","Direction=H","UseDPDF=Y")</f>
        <v>#NAME?</v>
      </c>
      <c r="BD182" s="1" t="e">
        <f ca="1">_xll.BDH($C$178,"GEO_GROW_BOOK_VAL","FQ4 2014","FQ4 2014","Currency=INR","Period=FQ","BEST_FPERIOD_OVERRIDE=FQ","FILING_STATUS=OR","EQY_CONSOLIDATED=Y","Sort=A","Dates=H","DateFormat=P","Fill=—","Direction=H","UseDPDF=Y")</f>
        <v>#NAME?</v>
      </c>
      <c r="BE182" s="1" t="e">
        <f ca="1">_xll.BDH($C$178,"GEO_GROW_CASH_OPER_ACT","FQ4 2014","FQ4 2014","Currency=INR","Period=FQ","BEST_FPERIOD_OVERRIDE=FQ","FILING_STATUS=OR","EQY_CONSOLIDATED=Y","Sort=A","Dates=H","DateFormat=P","Fill=—","Direction=H","UseDPDF=Y")</f>
        <v>#NAME?</v>
      </c>
      <c r="BF182" s="1" t="e">
        <f ca="1">_xll.BDH($C$178,"REVENUE_SEQUENTIAL_GROWTH","FQ4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82" s="1" t="e">
        <f ca="1">_xll.BDH($C$178,"EBITDA_SEQUENTIAL_GROWTH","FQ4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82" s="1" t="e">
        <f ca="1">_xll.BDH($C$178,"OPERATING_INCOME_SEQ_GROWTH","FQ4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82" s="1" t="e">
        <f ca="1">_xll.BDH($C$178,"NET_INCOME_TO_COMMON_SEQ_GROWTH","FQ4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82" s="1" t="e">
        <f ca="1">_xll.BDH($C$178,"EPS_DILUTED_SEQUENTIAL_GROWTH","FQ4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82" s="1" t="e">
        <f ca="1">_xll.BDH($C$178,"DPS_SEQUENTIAL_GROWTH","FQ4 2014","FQ4 2014","Currency=INR","Period=FQ","BEST_FPERIOD_OVERRIDE=FQ","FILING_STATUS=OR","EQY_CONSOLIDATED=Y","Sort=A","Dates=H","DateFormat=P","Fill=—","Direction=H","UseDPDF=Y")</f>
        <v>#NAME?</v>
      </c>
      <c r="BL182" s="1" t="e">
        <f ca="1">_xll.BDH($C$178,"ACCOUNTS_RECEIVABLE_SEQ_GROWTH","FQ4 2014","FQ4 2014","Currency=INR","Period=FQ","BEST_FPERIOD_OVERRIDE=FQ","FILING_STATUS=OR","EQY_CONSOLIDATED=Y","Sort=A","Dates=H","DateFormat=P","Fill=—","Direction=H","UseDPDF=Y")</f>
        <v>#NAME?</v>
      </c>
      <c r="BM182" s="1" t="e">
        <f ca="1">_xll.BDH($C$178,"INVENTORY_SEQUENTIAL_GROWTH","FQ4 2014","FQ4 2014","Currency=INR","Period=FQ","BEST_FPERIOD_OVERRIDE=FQ","FILING_STATUS=OR","EQY_CONSOLIDATED=Y","Sort=A","Dates=H","DateFormat=P","Fill=—","Direction=H","UseDPDF=Y")</f>
        <v>#NAME?</v>
      </c>
      <c r="BN182" s="1" t="e">
        <f ca="1">_xll.BDH($C$178,"FIXED_ASSETS_SEQUENTIAL_GROWTH","FQ4 2014","FQ4 2014","Currency=INR","Period=FQ","BEST_FPERIOD_OVERRIDE=FQ","FILING_STATUS=OR","EQY_CONSOLIDATED=Y","Sort=A","Dates=H","DateFormat=P","Fill=—","Direction=H","UseDPDF=Y")</f>
        <v>#NAME?</v>
      </c>
      <c r="BO182" s="1" t="e">
        <f ca="1">_xll.BDH($C$178,"TOTAL_ASSETS_SEQUENTIAL_GROWTH","FQ4 2014","FQ4 2014","Currency=INR","Period=FQ","BEST_FPERIOD_OVERRIDE=FQ","FILING_STATUS=OR","EQY_CONSOLIDATED=Y","Sort=A","Dates=H","DateFormat=P","Fill=—","Direction=H","UseDPDF=Y")</f>
        <v>#NAME?</v>
      </c>
      <c r="BP182" s="1" t="e">
        <f ca="1">_xll.BDH($C$178,"MODIFIED_WORKING_CPTL_SEQ_GRWTH","FQ4 2014","FQ4 2014","Currency=INR","Period=FQ","BEST_FPERIOD_OVERRIDE=FQ","FILING_STATUS=OR","EQY_CONSOLIDATED=Y","Sort=A","Dates=H","DateFormat=P","Fill=—","Direction=H","UseDPDF=Y")</f>
        <v>#NAME?</v>
      </c>
      <c r="BQ182" s="1" t="e">
        <f ca="1">_xll.BDH($C$178,"WORKING_CAPITAL_SEQ_GROWTH","FQ4 2014","FQ4 2014","Currency=INR","Period=FQ","BEST_FPERIOD_OVERRIDE=FQ","FILING_STATUS=OR","EQY_CONSOLIDATED=Y","Sort=A","Dates=H","DateFormat=P","Fill=—","Direction=H","UseDPDF=Y")</f>
        <v>#NAME?</v>
      </c>
      <c r="BR182" s="1" t="e">
        <f ca="1">_xll.BDH($C$178,"ACCOUNTS_PAYABLE_SEQ_GROWTH","FQ4 2014","FQ4 2014","Currency=INR","Period=FQ","BEST_FPERIOD_OVERRIDE=FQ","FILING_STATUS=OR","EQY_CONSOLIDATED=Y","Sort=A","Dates=H","DateFormat=P","Fill=—","Direction=H","UseDPDF=Y")</f>
        <v>#NAME?</v>
      </c>
      <c r="BS182" s="1" t="e">
        <f ca="1">_xll.BDH($C$178,"ST_DEBT_SEQUENTIAL_GROWTH","FQ4 2014","FQ4 2014","Currency=INR","Period=FQ","BEST_FPERIOD_OVERRIDE=FQ","FILING_STATUS=OR","EQY_CONSOLIDATED=Y","Sort=A","Dates=H","DateFormat=P","Fill=—","Direction=H","UseDPDF=Y")</f>
        <v>#NAME?</v>
      </c>
      <c r="BT182" s="1" t="e">
        <f ca="1">_xll.BDH($C$178,"TOTAL_DEBT_SEQUENTIAL_GROWTH","FQ4 2014","FQ4 2014","Currency=INR","Period=FQ","BEST_FPERIOD_OVERRIDE=FQ","FILING_STATUS=OR","EQY_CONSOLIDATED=Y","Sort=A","Dates=H","DateFormat=P","Fill=—","Direction=H","UseDPDF=Y")</f>
        <v>#NAME?</v>
      </c>
      <c r="BU182" s="1" t="e">
        <f ca="1">_xll.BDH($C$178,"TOTAL_EQUITY_SEQUENTIAL_GROWTH","FQ4 2014","FQ4 2014","Currency=INR","Period=FQ","BEST_FPERIOD_OVERRIDE=FQ","FILING_STATUS=OR","EQY_CONSOLIDATED=Y","Sort=A","Dates=H","DateFormat=P","Fill=—","Direction=H","UseDPDF=Y")</f>
        <v>#NAME?</v>
      </c>
      <c r="BV182" s="1" t="e">
        <f ca="1">_xll.BDH($C$178,"TOTAL_CAPITAL_SEQUENTIAL_GROWTH","FQ4 2014","FQ4 2014","Currency=INR","Period=FQ","BEST_FPERIOD_OVERRIDE=FQ","FILING_STATUS=OR","EQY_CONSOLIDATED=Y","Sort=A","Dates=H","DateFormat=P","Fill=—","Direction=H","UseDPDF=Y")</f>
        <v>#NAME?</v>
      </c>
      <c r="BW182" s="1" t="e">
        <f ca="1">_xll.BDH($C$178,"BPS_SEQUENTIAL_GROWTH","FQ4 2014","FQ4 2014","Currency=INR","Period=FQ","BEST_FPERIOD_OVERRIDE=FQ","FILING_STATUS=OR","EQY_CONSOLIDATED=Y","Sort=A","Dates=H","DateFormat=P","Fill=—","Direction=H","UseDPDF=Y")</f>
        <v>#NAME?</v>
      </c>
      <c r="BX182" s="1" t="e">
        <f ca="1">_xll.BDH($C$178,"CFO_SEQUENTIAL_GROWTH","FQ4 2014","FQ4 2014","Currency=INR","Period=FQ","BEST_FPERIOD_OVERRIDE=FQ","FILING_STATUS=OR","EQY_CONSOLIDATED=Y","Sort=A","Dates=H","DateFormat=P","Fill=—","Direction=H","UseDPDF=Y")</f>
        <v>#NAME?</v>
      </c>
      <c r="BY182" s="2" t="e">
        <f ca="1">_xll.BDH($C$178,"SHORT_AND_LONG_TERM_DEBT","FQ4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82" s="2" t="e">
        <f ca="1">_xll.BDH($C$178,"BS_ST_BORROW","FQ4 2014","FQ4 2014","Currency=INR","Period=FQ","BEST_FPERIOD_OVERRIDE=FQ","FILING_STATUS=OR","EQY_CONSOLIDATED=Y","SCALING_FORMAT=MLN","Sort=A","Dates=H","DateFormat=P","Fill=—","Direction=H","UseDPDF=Y")</f>
        <v>#NAME?</v>
      </c>
      <c r="CA182" s="2" t="e">
        <f ca="1">_xll.BDH($C$178,"BS_LT_BORROW","FQ4 2014","FQ4 2014","Currency=INR","Period=FQ","BEST_FPERIOD_OVERRIDE=FQ","FILING_STATUS=OR","EQY_CONSOLIDATED=Y","SCALING_FORMAT=MLN","Sort=A","Dates=H","DateFormat=P","Fill=—","Direction=H","UseDPDF=Y")</f>
        <v>#NAME?</v>
      </c>
      <c r="CB182" s="1" t="e">
        <f ca="1">_xll.BDH($C$178,"TOT_DEBT_TO_EBITDA","FQ4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82" s="1" t="e">
        <f ca="1">_xll.BDH($C$178,"NET_DEBT_TO_EBITDA","FQ4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82" s="1" t="e">
        <f ca="1">_xll.BDH($C$178,"TOTAL_DEBT_TO_EBIT","FQ4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82" s="1" t="e">
        <f ca="1">_xll.BDH($C$178,"NET_DEBT_TO_EBIT","FQ4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182" s="1" t="e">
        <f ca="1">_xll.BDH($C$178,"EBITDA_TO_INTEREST_EXPN","FQ4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82" s="1" t="e">
        <f ca="1">_xll.BDH($C$178,"COM_EQY_TO_TOT_ASSET","FQ4 2014","FQ4 2014","Currency=INR","Period=FQ","BEST_FPERIOD_OVERRIDE=FQ","FILING_STATUS=OR","EQY_CONSOLIDATED=Y","Sort=A","Dates=H","DateFormat=P","Fill=—","Direction=H","UseDPDF=Y")</f>
        <v>#NAME?</v>
      </c>
      <c r="CH182" s="1" t="e">
        <f ca="1">_xll.BDH($C$178,"LT_DEBT_TO_TOT_EQY","FQ4 2014","FQ4 2014","Currency=INR","Period=FQ","BEST_FPERIOD_OVERRIDE=FQ","FILING_STATUS=OR","EQY_CONSOLIDATED=Y","Sort=A","Dates=H","DateFormat=P","Fill=—","Direction=H","UseDPDF=Y")</f>
        <v>#NAME?</v>
      </c>
      <c r="CI182" s="1" t="e">
        <f ca="1">_xll.BDH($C$178,"LT_DEBT_TO_TOT_CAP","FQ4 2014","FQ4 2014","Currency=INR","Period=FQ","BEST_FPERIOD_OVERRIDE=FQ","FILING_STATUS=OR","EQY_CONSOLIDATED=Y","Sort=A","Dates=H","DateFormat=P","Fill=—","Direction=H","UseDPDF=Y")</f>
        <v>#NAME?</v>
      </c>
      <c r="CJ182" s="1" t="e">
        <f ca="1">_xll.BDH($C$178,"LT_DEBT_TO_TOT_ASSET","FQ4 2014","FQ4 2014","Currency=INR","Period=FQ","BEST_FPERIOD_OVERRIDE=FQ","FILING_STATUS=OR","EQY_CONSOLIDATED=Y","Sort=A","Dates=H","DateFormat=P","Fill=—","Direction=H","UseDPDF=Y")</f>
        <v>#NAME?</v>
      </c>
      <c r="CK182" s="1" t="e">
        <f ca="1">_xll.BDH($C$178,"TOT_DEBT_TO_TOT_EQY","FQ4 2014","FQ4 2014","Currency=INR","Period=FQ","BEST_FPERIOD_OVERRIDE=FQ","FILING_STATUS=OR","EQY_CONSOLIDATED=Y","Sort=A","Dates=H","DateFormat=P","Fill=—","Direction=H","UseDPDF=Y")</f>
        <v>#NAME?</v>
      </c>
      <c r="CL182" s="1" t="e">
        <f ca="1">_xll.BDH($C$178,"TOT_DEBT_TO_TOT_CAP","FQ4 2014","FQ4 2014","Currency=INR","Period=FQ","BEST_FPERIOD_OVERRIDE=FQ","FILING_STATUS=OR","EQY_CONSOLIDATED=Y","Sort=A","Dates=H","DateFormat=P","Fill=—","Direction=H","UseDPDF=Y")</f>
        <v>#NAME?</v>
      </c>
      <c r="CM182" s="1" t="e">
        <f ca="1">_xll.BDH($C$178,"TOT_DEBT_TO_TOT_ASSET","FQ4 2014","FQ4 2014","Currency=INR","Period=FQ","BEST_FPERIOD_OVERRIDE=FQ","FILING_STATUS=OR","EQY_CONSOLIDATED=Y","Sort=A","Dates=H","DateFormat=P","Fill=—","Direction=H","UseDPDF=Y")</f>
        <v>#NAME?</v>
      </c>
      <c r="CN182" s="1" t="e">
        <f ca="1">_xll.BDH($C$178,"NET_DEBT_TO_SHRHLDR_EQTY","FQ4 2014","FQ4 2014","Currency=INR","Period=FQ","BEST_FPERIOD_OVERRIDE=FQ","FILING_STATUS=OR","EQY_CONSOLIDATED=Y","Sort=A","Dates=H","DateFormat=P","Fill=—","Direction=H","UseDPDF=Y")</f>
        <v>#NAME?</v>
      </c>
      <c r="CO182" s="1" t="e">
        <f ca="1">_xll.BDH($C$178,"NET_DEBT_%_CAPITAL","FQ4 2014","FQ4 2014","Currency=INR","Period=FQ","BEST_FPERIOD_OVERRIDE=FQ","FILING_STATUS=OR","EQY_CONSOLIDATED=Y","Sort=A","Dates=H","DateFormat=P","Fill=—","Direction=H","UseDPDF=Y")</f>
        <v>#NAME?</v>
      </c>
      <c r="CP182" s="2" t="e">
        <f ca="1">_xll.BDH($C$178,"EBITDA","FQ4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82" s="2" t="e">
        <f ca="1">_xll.BDH($C$178,"EBITDA_AFTER_CAPEX","FQ4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82" s="2" t="e">
        <f ca="1">_xll.BDH($C$178,"IS_OPER_INC","FQ4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82" s="1" t="e">
        <f ca="1">_xll.BDH($C$178,"CASH_RATIO","FQ4 2014","FQ4 2014","Currency=INR","Period=FQ","BEST_FPERIOD_OVERRIDE=FQ","FILING_STATUS=OR","EQY_CONSOLIDATED=Y","Sort=A","Dates=H","DateFormat=P","Fill=—","Direction=H","UseDPDF=Y")</f>
        <v>#NAME?</v>
      </c>
      <c r="CT182" s="1" t="e">
        <f ca="1">_xll.BDH($C$178,"CUR_RATIO","FQ4 2014","FQ4 2014","Currency=INR","Period=FQ","BEST_FPERIOD_OVERRIDE=FQ","FILING_STATUS=OR","EQY_CONSOLIDATED=Y","Sort=A","Dates=H","DateFormat=P","Fill=—","Direction=H","UseDPDF=Y")</f>
        <v>#NAME?</v>
      </c>
      <c r="CU182" s="1" t="e">
        <f ca="1">_xll.BDH($C$178,"QUICK_RATIO","FQ4 2014","FQ4 2014","Currency=INR","Period=FQ","BEST_FPERIOD_OVERRIDE=FQ","FILING_STATUS=OR","EQY_CONSOLIDATED=Y","Sort=A","Dates=H","DateFormat=P","Fill=—","Direction=H","UseDPDF=Y")</f>
        <v>#NAME?</v>
      </c>
      <c r="CV182" s="1" t="e">
        <f ca="1">_xll.BDH($C$178,"ALTMAN_Z_SCORE","FQ4 2014","FQ4 2014","Currency=INR","Period=FQ","BEST_FPERIOD_OVERRIDE=FQ","FILING_STATUS=OR","EQY_CONSOLIDATED=Y","Sort=A","Dates=H","DateFormat=P","Fill=—","Direction=H","UseDPDF=Y")</f>
        <v>#NAME?</v>
      </c>
      <c r="CW182" s="3" t="e">
        <f ca="1">_xll.BDH($C$178,"ACCT_RCV_TURN","FQ4 2014","FQ4 2014","Currency=INR","Period=FQ","BEST_FPERIOD_OVERRIDE=FQ","FILING_STATUS=OR","EQY_CONSOLIDATED=Y","FA_ADJUSTED=GAAP","Sort=A","Dates=H","DateFormat=P","Fill=—","Direction=H","UseDPDF=Y")</f>
        <v>#NAME?</v>
      </c>
      <c r="CX182" s="1" t="e">
        <f ca="1">_xll.BDH($C$178,"ACCT_RCV_DAYS","FQ4 2014","FQ4 2014","Currency=INR","Period=FQ","BEST_FPERIOD_OVERRIDE=FQ","FILING_STATUS=OR","EQY_CONSOLIDATED=Y","FA_ADJUSTED=GAAP","Sort=A","Dates=H","DateFormat=P","Fill=—","Direction=H","UseDPDF=Y")</f>
        <v>#NAME?</v>
      </c>
      <c r="CY182" s="3" t="e">
        <f ca="1">_xll.BDH($C$178,"INVENT_TURN","FQ4 2014","FQ4 2014","Currency=INR","Period=FQ","BEST_FPERIOD_OVERRIDE=FQ","FILING_STATUS=OR","EQY_CONSOLIDATED=Y","FA_ADJUSTED=GAAP","Sort=A","Dates=H","DateFormat=P","Fill=—","Direction=H","UseDPDF=Y")</f>
        <v>#NAME?</v>
      </c>
      <c r="CZ182" s="1" t="e">
        <f ca="1">_xll.BDH($C$178,"INVENT_DAYS","FQ4 2014","FQ4 2014","Currency=INR","Period=FQ","BEST_FPERIOD_OVERRIDE=FQ","FILING_STATUS=OR","EQY_CONSOLIDATED=Y","FA_ADJUSTED=GAAP","Sort=A","Dates=H","DateFormat=P","Fill=—","Direction=H","UseDPDF=Y")</f>
        <v>#NAME?</v>
      </c>
      <c r="DA182" s="3" t="e">
        <f ca="1">_xll.BDH($C$178,"ACCOUNTS_PAYABLE_TURNOVER","FQ4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82" s="1" t="e">
        <f ca="1">_xll.BDH($C$178,"ACCOUNTS_PAYABLE_TURNOVER_DAYS","FQ4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82" s="3" t="e">
        <f ca="1">_xll.BDH($C$178,"CASH_CONVERSION_CYCLE","FQ4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82" s="3" t="e">
        <f ca="1">_xll.BDH($C$178,"INV_TO_CASH_DAYS","FQ4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182" s="4" t="e">
        <f ca="1">_xll.BDH($C$178,"BS_INVENTORIES","FQ4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182" s="2" t="e">
        <f ca="1">_xll.BDH($C$178,"INVTRY_RAW_MATERIALS","FQ4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82" s="2" t="e">
        <f ca="1">_xll.BDH($C$178,"INVTRY_IN_PROGRESS","FQ4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82" s="2" t="e">
        <f ca="1">_xll.BDH($C$178,"INVTRY_FINISHED_GOODS","FQ4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82" s="2" t="e">
        <f ca="1">_xll.BDH($C$178,"BS_OTHER_INV","FQ4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83" spans="1:113" x14ac:dyDescent="0.3">
      <c r="A183" s="6"/>
      <c r="B183" s="6"/>
      <c r="C183" s="6"/>
      <c r="D183" s="6" t="s">
        <v>8</v>
      </c>
      <c r="E183" t="s">
        <v>3</v>
      </c>
      <c r="F183" t="e">
        <f ca="1">_xll.BDH($C$178,"RETURN_COM_EQY","FY 2015","FY 2015","Currency=INR","Period=FY","BEST_FPERIOD_OVERRIDE=FY","FILING_STATUS=OR","EQY_CONSOLIDATED=Y","FA_ADJUSTED=GAAP","Sort=A","Dates=H","DateFormat=P","Fill=—","Direction=H","UseDPDF=Y")</f>
        <v>#NAME?</v>
      </c>
      <c r="G183" t="e">
        <f ca="1">_xll.BDH($C$178,"RETURN_ON_ASSET","FY 2015","FY 2015","Currency=INR","Period=FY","BEST_FPERIOD_OVERRIDE=FY","FILING_STATUS=OR","EQY_CONSOLIDATED=Y","FA_ADJUSTED=GAAP","Sort=A","Dates=H","DateFormat=P","Fill=—","Direction=H","UseDPDF=Y")</f>
        <v>#NAME?</v>
      </c>
      <c r="H183" t="e">
        <f ca="1">_xll.BDH($C$178,"RETURN_ON_CAP","FY 2015","FY 2015","Currency=INR","Period=FY","BEST_FPERIOD_OVERRIDE=FY","FILING_STATUS=OR","EQY_CONSOLIDATED=Y","FA_ADJUSTED=GAAP","Sort=A","Dates=H","DateFormat=P","Fill=—","Direction=H","UseDPDF=Y")</f>
        <v>#NAME?</v>
      </c>
      <c r="I183" t="e">
        <f ca="1">_xll.BDH($C$178,"RETURN_ON_INV_CAPITAL","FY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83" t="e">
        <f ca="1">_xll.BDH($C$178,"EBITDA_TO_REVENUE","FY 2015","FY 2015","Currency=INR","Period=FY","BEST_FPERIOD_OVERRIDE=FY","FILING_STATUS=OR","EQY_CONSOLIDATED=Y","FA_ADJUSTED=GAAP","Sort=A","Dates=H","DateFormat=P","Fill=—","Direction=H","UseDPDF=Y")</f>
        <v>#NAME?</v>
      </c>
      <c r="K183" t="e">
        <f ca="1">_xll.BDH($C$178,"OPER_MARGIN","FY 2015","FY 2015","Currency=INR","Period=FY","BEST_FPERIOD_OVERRIDE=FY","FILING_STATUS=OR","EQY_CONSOLIDATED=Y","FA_ADJUSTED=GAAP","Sort=A","Dates=H","DateFormat=P","Fill=—","Direction=H","UseDPDF=Y")</f>
        <v>#NAME?</v>
      </c>
      <c r="L183" t="e">
        <f ca="1">_xll.BDH($C$178,"INCREMENTAL_OPERATING_MARGIN","FY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83" t="e">
        <f ca="1">_xll.BDH($C$178,"PRETAX_INC_TO_NET_SALES","FY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83" t="e">
        <f ca="1">_xll.BDH($C$178,"INC_BEF_XO_ITEMS_TO_NET_SALES","FY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83" t="e">
        <f ca="1">_xll.BDH($C$178,"PROF_MARGIN","FY 2015","FY 2015","Currency=INR","Period=FY","BEST_FPERIOD_OVERRIDE=FY","FILING_STATUS=OR","EQY_CONSOLIDATED=Y","FA_ADJUSTED=GAAP","Sort=A","Dates=H","DateFormat=P","Fill=—","Direction=H","UseDPDF=Y")</f>
        <v>#NAME?</v>
      </c>
      <c r="P183" t="e">
        <f ca="1">_xll.BDH($C$178,"NET_INCOME_TO_COMMON_MARGIN","FY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83" t="e">
        <f ca="1">_xll.BDH($C$178,"EFF_TAX_RATE","FY 2015","FY 2015","Currency=INR","Period=FY","BEST_FPERIOD_OVERRIDE=FY","FILING_STATUS=OR","EQY_CONSOLIDATED=Y","FA_ADJUSTED=GAAP","Sort=A","Dates=H","DateFormat=P","Fill=—","Direction=H","UseDPDF=Y")</f>
        <v>#NAME?</v>
      </c>
      <c r="R183" t="e">
        <f ca="1">_xll.BDH($C$178,"DVD_PAYOUT_RATIO","FY 2015","FY 2015","Currency=INR","Period=FY","BEST_FPERIOD_OVERRIDE=FY","FILING_STATUS=OR","EQY_CONSOLIDATED=Y","FA_ADJUSTED=GAAP","Sort=A","Dates=H","DateFormat=P","Fill=—","Direction=H","UseDPDF=Y")</f>
        <v>#NAME?</v>
      </c>
      <c r="S183" t="e">
        <f ca="1">_xll.BDH($C$178,"SUSTAIN_GROWTH_RT","FY 2015","FY 2015","Currency=INR","Period=FY","BEST_FPERIOD_OVERRIDE=FY","FILING_STATUS=OR","EQY_CONSOLIDATED=Y","FA_ADJUSTED=GAAP","Sort=A","Dates=H","DateFormat=P","Fill=—","Direction=H","UseDPDF=Y")</f>
        <v>#NAME?</v>
      </c>
      <c r="T183" s="1" t="e">
        <f ca="1">_xll.BDH($C$178,"SALES_GROWTH","FY 2015","FY 2015","Currency=INR","Period=FY","BEST_FPERIOD_OVERRIDE=FY","FILING_STATUS=OR","EQY_CONSOLIDATED=Y","FA_ADJUSTED=GAAP","Sort=A","Dates=H","DateFormat=P","Fill=—","Direction=H","UseDPDF=Y")</f>
        <v>#NAME?</v>
      </c>
      <c r="U183" s="1" t="e">
        <f ca="1">_xll.BDH($C$178,"EBITDA_GROWTH","FY 2015","FY 2015","Currency=INR","Period=FY","BEST_FPERIOD_OVERRIDE=FY","FILING_STATUS=OR","EQY_CONSOLIDATED=Y","FA_ADJUSTED=GAAP","Sort=A","Dates=H","DateFormat=P","Fill=—","Direction=H","UseDPDF=Y")</f>
        <v>#NAME?</v>
      </c>
      <c r="V183" s="1" t="e">
        <f ca="1">_xll.BDH($C$178,"OPER_INC_GROWTH","FY 2015","FY 2015","Currency=INR","Period=FY","BEST_FPERIOD_OVERRIDE=FY","FILING_STATUS=OR","EQY_CONSOLIDATED=Y","FA_ADJUSTED=GAAP","Sort=A","Dates=H","DateFormat=P","Fill=—","Direction=H","UseDPDF=Y")</f>
        <v>#NAME?</v>
      </c>
      <c r="W183" s="1" t="e">
        <f ca="1">_xll.BDH($C$178,"EARN_FOR_COM_GROWTH","FY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183" s="1" t="e">
        <f ca="1">_xll.BDH($C$178,"DILUTED_EPS_AFT_XO_ITEMS_GROWTH","FY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83" s="1" t="e">
        <f ca="1">_xll.BDH($C$178,"DIVIDEND_PER_SHARE_1_YEAR_GROWTH","FY 2015","FY 2015","Currency=INR","Period=FY","BEST_FPERIOD_OVERRIDE=FY","FILING_STATUS=OR","EQY_CONSOLIDATED=Y","Sort=A","Dates=H","DateFormat=P","Fill=—","Direction=H","UseDPDF=Y")</f>
        <v>#NAME?</v>
      </c>
      <c r="Z183" s="1" t="e">
        <f ca="1">_xll.BDH($C$178,"ACCOUNTS_RECEIVABLE_GROWTH","FY 2015","FY 2015","Currency=INR","Period=FY","BEST_FPERIOD_OVERRIDE=FY","FILING_STATUS=OR","EQY_CONSOLIDATED=Y","Sort=A","Dates=H","DateFormat=P","Fill=—","Direction=H","UseDPDF=Y")</f>
        <v>#NAME?</v>
      </c>
      <c r="AA183" s="1" t="e">
        <f ca="1">_xll.BDH($C$178,"INVENTORY_GROWTH","FY 2015","FY 2015","Currency=INR","Period=FY","BEST_FPERIOD_OVERRIDE=FY","FILING_STATUS=OR","EQY_CONSOLIDATED=Y","Sort=A","Dates=H","DateFormat=P","Fill=—","Direction=H","UseDPDF=Y")</f>
        <v>#NAME?</v>
      </c>
      <c r="AB183" s="1" t="e">
        <f ca="1">_xll.BDH($C$178,"NET_FIXED_ASSETS_1_YEAR_GROWTH","FY 2015","FY 2015","Currency=INR","Period=FY","BEST_FPERIOD_OVERRIDE=FY","FILING_STATUS=OR","EQY_CONSOLIDATED=Y","Sort=A","Dates=H","DateFormat=P","Fill=—","Direction=H","UseDPDF=Y")</f>
        <v>#NAME?</v>
      </c>
      <c r="AC183" s="1" t="e">
        <f ca="1">_xll.BDH($C$178,"ASSET_GROWTH","FY 2015","FY 2015","Currency=INR","Period=FY","BEST_FPERIOD_OVERRIDE=FY","FILING_STATUS=OR","EQY_CONSOLIDATED=Y","Sort=A","Dates=H","DateFormat=P","Fill=—","Direction=H","UseDPDF=Y")</f>
        <v>#NAME?</v>
      </c>
      <c r="AD183" s="1" t="e">
        <f ca="1">_xll.BDH($C$178,"MODIFIED_WORK_CAP_GROWTH","FY 2015","FY 2015","Currency=INR","Period=FY","BEST_FPERIOD_OVERRIDE=FY","FILING_STATUS=OR","EQY_CONSOLIDATED=Y","Sort=A","Dates=H","DateFormat=P","Fill=—","Direction=H","UseDPDF=Y")</f>
        <v>#NAME?</v>
      </c>
      <c r="AE183" s="1" t="e">
        <f ca="1">_xll.BDH($C$178,"WORK_CAP_GROWTH","FY 2015","FY 2015","Currency=INR","Period=FY","BEST_FPERIOD_OVERRIDE=FY","FILING_STATUS=OR","EQY_CONSOLIDATED=Y","Sort=A","Dates=H","DateFormat=P","Fill=—","Direction=H","UseDPDF=Y")</f>
        <v>#NAME?</v>
      </c>
      <c r="AF183" s="1" t="e">
        <f ca="1">_xll.BDH($C$178,"ACCOUNTS_PAYABLE_GROWTH_1YR","FY 2015","FY 2015","Currency=INR","Period=FY","BEST_FPERIOD_OVERRIDE=FY","FILING_STATUS=OR","EQY_CONSOLIDATED=Y","Sort=A","Dates=H","DateFormat=P","Fill=—","Direction=H","UseDPDF=Y")</f>
        <v>#NAME?</v>
      </c>
      <c r="AG183" s="1" t="e">
        <f ca="1">_xll.BDH($C$178,"SHORT_TERM_DEBT_1_YEAR_GROWTH","FY 2015","FY 2015","Currency=INR","Period=FY","BEST_FPERIOD_OVERRIDE=FY","FILING_STATUS=OR","EQY_CONSOLIDATED=Y","Sort=A","Dates=H","DateFormat=P","Fill=—","Direction=H","UseDPDF=Y")</f>
        <v>#NAME?</v>
      </c>
      <c r="AH183" s="1" t="e">
        <f ca="1">_xll.BDH($C$178,"TOTAL_DEBT_1_YEAR_GROWTH","FY 2015","FY 2015","Currency=INR","Period=FY","BEST_FPERIOD_OVERRIDE=FY","FILING_STATUS=OR","EQY_CONSOLIDATED=Y","Sort=A","Dates=H","DateFormat=P","Fill=—","Direction=H","UseDPDF=Y")</f>
        <v>#NAME?</v>
      </c>
      <c r="AI183" s="1" t="e">
        <f ca="1">_xll.BDH($C$178,"TOTAL_EQUITY_1_YEAR_GROWTH","FY 2015","FY 2015","Currency=INR","Period=FY","BEST_FPERIOD_OVERRIDE=FY","FILING_STATUS=OR","EQY_CONSOLIDATED=Y","Sort=A","Dates=H","DateFormat=P","Fill=—","Direction=H","UseDPDF=Y")</f>
        <v>#NAME?</v>
      </c>
      <c r="AJ183" s="1" t="e">
        <f ca="1">_xll.BDH($C$178,"GROWTH_IN_CAP","FY 2015","FY 2015","Currency=INR","Period=FY","BEST_FPERIOD_OVERRIDE=FY","FILING_STATUS=OR","EQY_CONSOLIDATED=Y","Sort=A","Dates=H","DateFormat=P","Fill=—","Direction=H","UseDPDF=Y")</f>
        <v>#NAME?</v>
      </c>
      <c r="AK183" s="1" t="e">
        <f ca="1">_xll.BDH($C$178,"BVPS_GROWTH","FY 2015","FY 2015","Currency=INR","Period=FY","BEST_FPERIOD_OVERRIDE=FY","FILING_STATUS=OR","EQY_CONSOLIDATED=Y","Sort=A","Dates=H","DateFormat=P","Fill=—","Direction=H","UseDPDF=Y")</f>
        <v>#NAME?</v>
      </c>
      <c r="AL183" s="1" t="e">
        <f ca="1">_xll.BDH($C$178,"CASH_FLOW_GROWTH","FY 2015","FY 2015","Currency=INR","Period=FY","BEST_FPERIOD_OVERRIDE=FY","FILING_STATUS=OR","EQY_CONSOLIDATED=Y","Sort=A","Dates=H","DateFormat=P","Fill=—","Direction=H","UseDPDF=Y")</f>
        <v>#NAME?</v>
      </c>
      <c r="AM183" s="1" t="e">
        <f ca="1">_xll.BDH($C$178,"GEO_GROW_NET_SALES","FY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183" s="1" t="e">
        <f ca="1">_xll.BDH($C$178,"GEO_GROW_EBITDA","FY 2015","FY 2015","Currency=INR","Period=FY","BEST_FPERIOD_OVERRIDE=FY","FILING_STATUS=OR","EQY_CONSOLIDATED=Y","FA_ADJUSTED=GAAP","Sort=A","Dates=H","DateFormat=P","Fill=—","Direction=H","UseDPDF=Y")</f>
        <v>#NAME?</v>
      </c>
      <c r="AO183" s="1" t="e">
        <f ca="1">_xll.BDH($C$178,"GEO_GROW_OPER_INC","FY 2015","FY 2015","Currency=INR","Period=FY","BEST_FPERIOD_OVERRIDE=FY","FILING_STATUS=OR","EQY_CONSOLIDATED=Y","FA_ADJUSTED=GAAP","Sort=A","Dates=H","DateFormat=P","Fill=—","Direction=H","UseDPDF=Y")</f>
        <v>#NAME?</v>
      </c>
      <c r="AP183" s="1" t="e">
        <f ca="1">_xll.BDH($C$178,"NET_INCOME_TO_COMMON_5_YR_GROWTH","FY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83" s="1" t="e">
        <f ca="1">_xll.BDH($C$178,"5Y_GEO_GROWTH_DILUTED_EPS","FY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83" s="1" t="e">
        <f ca="1">_xll.BDH($C$178,"GEO_GROW_DVD_PER_SH","FY 2015","FY 2015","Currency=INR","Period=FY","BEST_FPERIOD_OVERRIDE=FY","FILING_STATUS=OR","EQY_CONSOLIDATED=Y","Sort=A","Dates=H","DateFormat=P","Fill=—","Direction=H","UseDPDF=Y")</f>
        <v>#NAME?</v>
      </c>
      <c r="AS183" s="1" t="e">
        <f ca="1">_xll.BDH($C$178,"ACCOUNTS_RECEIVABLE_5_YR_GROWTH","FY 2015","FY 2015","Currency=INR","Period=FY","BEST_FPERIOD_OVERRIDE=FY","FILING_STATUS=OR","EQY_CONSOLIDATED=Y","Sort=A","Dates=H","DateFormat=P","Fill=—","Direction=H","UseDPDF=Y")</f>
        <v>#NAME?</v>
      </c>
      <c r="AT183" s="1" t="e">
        <f ca="1">_xll.BDH($C$178,"INVENTORY_5_YEAR_GROWTH","FY 2015","FY 2015","Currency=INR","Period=FY","BEST_FPERIOD_OVERRIDE=FY","FILING_STATUS=OR","EQY_CONSOLIDATED=Y","Sort=A","Dates=H","DateFormat=P","Fill=—","Direction=H","UseDPDF=Y")</f>
        <v>#NAME?</v>
      </c>
      <c r="AU183" s="1" t="e">
        <f ca="1">_xll.BDH($C$178,"NET_FIXED_ASSETS_5_YEAR_GROWTH","FY 2015","FY 2015","Currency=INR","Period=FY","BEST_FPERIOD_OVERRIDE=FY","FILING_STATUS=OR","EQY_CONSOLIDATED=Y","Sort=A","Dates=H","DateFormat=P","Fill=—","Direction=H","UseDPDF=Y")</f>
        <v>#NAME?</v>
      </c>
      <c r="AV183" s="1" t="e">
        <f ca="1">_xll.BDH($C$178,"GEO_GROW_TOT_ASSET","FY 2015","FY 2015","Currency=INR","Period=FY","BEST_FPERIOD_OVERRIDE=FY","FILING_STATUS=OR","EQY_CONSOLIDATED=Y","Sort=A","Dates=H","DateFormat=P","Fill=—","Direction=H","UseDPDF=Y")</f>
        <v>#NAME?</v>
      </c>
      <c r="AW183" s="1" t="e">
        <f ca="1">_xll.BDH($C$178,"MODIFIED_WORKING_CPTL_5YR_GRWTH","FY 2015","FY 2015","Currency=INR","Period=FY","BEST_FPERIOD_OVERRIDE=FY","FILING_STATUS=OR","EQY_CONSOLIDATED=Y","Sort=A","Dates=H","DateFormat=P","Fill=—","Direction=H","UseDPDF=Y")</f>
        <v>#NAME?</v>
      </c>
      <c r="AX183" s="1" t="e">
        <f ca="1">_xll.BDH($C$178,"WORKING_CAPITAL_5_YEAR_GROWTH","FY 2015","FY 2015","Currency=INR","Period=FY","BEST_FPERIOD_OVERRIDE=FY","FILING_STATUS=OR","EQY_CONSOLIDATED=Y","Sort=A","Dates=H","DateFormat=P","Fill=—","Direction=H","UseDPDF=Y")</f>
        <v>#NAME?</v>
      </c>
      <c r="AY183" s="1" t="e">
        <f ca="1">_xll.BDH($C$178,"ACCOUNTS_PAYABLE_5_YEAR_GROWTH","FY 2015","FY 2015","Currency=INR","Period=FY","BEST_FPERIOD_OVERRIDE=FY","FILING_STATUS=OR","EQY_CONSOLIDATED=Y","Sort=A","Dates=H","DateFormat=P","Fill=—","Direction=H","UseDPDF=Y")</f>
        <v>#NAME?</v>
      </c>
      <c r="AZ183" s="1" t="e">
        <f ca="1">_xll.BDH($C$178,"SHORT_TERM_DEBT_5_YEAR_GROWTH","FY 2015","FY 2015","Currency=INR","Period=FY","BEST_FPERIOD_OVERRIDE=FY","FILING_STATUS=OR","EQY_CONSOLIDATED=Y","Sort=A","Dates=H","DateFormat=P","Fill=—","Direction=H","UseDPDF=Y")</f>
        <v>#NAME?</v>
      </c>
      <c r="BA183" s="1" t="e">
        <f ca="1">_xll.BDH($C$178,"TOTAL_DEBT_5_YEAR_GROWTH","FY 2015","FY 2015","Currency=INR","Period=FY","BEST_FPERIOD_OVERRIDE=FY","FILING_STATUS=OR","EQY_CONSOLIDATED=Y","Sort=A","Dates=H","DateFormat=P","Fill=—","Direction=H","UseDPDF=Y")</f>
        <v>#NAME?</v>
      </c>
      <c r="BB183" s="1" t="e">
        <f ca="1">_xll.BDH($C$178,"GEO_GROW_TOT_SHRHLDR_EQY","FY 2015","FY 2015","Currency=INR","Period=FY","BEST_FPERIOD_OVERRIDE=FY","FILING_STATUS=OR","EQY_CONSOLIDATED=Y","Sort=A","Dates=H","DateFormat=P","Fill=—","Direction=H","UseDPDF=Y")</f>
        <v>#NAME?</v>
      </c>
      <c r="BC183" s="1" t="e">
        <f ca="1">_xll.BDH($C$178,"TOTAL_CAPITAL_5_YEAR_GROWTH","FY 2015","FY 2015","Currency=INR","Period=FY","BEST_FPERIOD_OVERRIDE=FY","FILING_STATUS=OR","EQY_CONSOLIDATED=Y","Sort=A","Dates=H","DateFormat=P","Fill=—","Direction=H","UseDPDF=Y")</f>
        <v>#NAME?</v>
      </c>
      <c r="BD183" s="1" t="e">
        <f ca="1">_xll.BDH($C$178,"GEO_GROW_BOOK_VAL","FY 2015","FY 2015","Currency=INR","Period=FY","BEST_FPERIOD_OVERRIDE=FY","FILING_STATUS=OR","EQY_CONSOLIDATED=Y","Sort=A","Dates=H","DateFormat=P","Fill=—","Direction=H","UseDPDF=Y")</f>
        <v>#NAME?</v>
      </c>
      <c r="BE183" s="1" t="e">
        <f ca="1">_xll.BDH($C$178,"GEO_GROW_CASH_OPER_ACT","FY 2015","FY 2015","Currency=INR","Period=FY","BEST_FPERIOD_OVERRIDE=FY","FILING_STATUS=OR","EQY_CONSOLIDATED=Y","Sort=A","Dates=H","DateFormat=P","Fill=—","Direction=H","UseDPDF=Y")</f>
        <v>#NAME?</v>
      </c>
      <c r="BF183" s="1" t="e">
        <f ca="1">_xll.BDH($C$178,"REVENUE_SEQUENTIAL_GROWTH","FY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83" s="1" t="e">
        <f ca="1">_xll.BDH($C$178,"EBITDA_SEQUENTIAL_GROWTH","FY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83" s="1" t="e">
        <f ca="1">_xll.BDH($C$178,"OPERATING_INCOME_SEQ_GROWTH","FY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83" s="1" t="e">
        <f ca="1">_xll.BDH($C$178,"NET_INCOME_TO_COMMON_SEQ_GROWTH","FY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83" s="1" t="e">
        <f ca="1">_xll.BDH($C$178,"EPS_DILUTED_SEQUENTIAL_GROWTH","FY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83" s="1" t="e">
        <f ca="1">_xll.BDH($C$178,"DPS_SEQUENTIAL_GROWTH","FY 2015","FY 2015","Currency=INR","Period=FY","BEST_FPERIOD_OVERRIDE=FY","FILING_STATUS=OR","EQY_CONSOLIDATED=Y","Sort=A","Dates=H","DateFormat=P","Fill=—","Direction=H","UseDPDF=Y")</f>
        <v>#NAME?</v>
      </c>
      <c r="BL183" s="1" t="e">
        <f ca="1">_xll.BDH($C$178,"ACCOUNTS_RECEIVABLE_SEQ_GROWTH","FY 2015","FY 2015","Currency=INR","Period=FY","BEST_FPERIOD_OVERRIDE=FY","FILING_STATUS=OR","EQY_CONSOLIDATED=Y","Sort=A","Dates=H","DateFormat=P","Fill=—","Direction=H","UseDPDF=Y")</f>
        <v>#NAME?</v>
      </c>
      <c r="BM183" s="1" t="e">
        <f ca="1">_xll.BDH($C$178,"INVENTORY_SEQUENTIAL_GROWTH","FY 2015","FY 2015","Currency=INR","Period=FY","BEST_FPERIOD_OVERRIDE=FY","FILING_STATUS=OR","EQY_CONSOLIDATED=Y","Sort=A","Dates=H","DateFormat=P","Fill=—","Direction=H","UseDPDF=Y")</f>
        <v>#NAME?</v>
      </c>
      <c r="BN183" s="1" t="e">
        <f ca="1">_xll.BDH($C$178,"FIXED_ASSETS_SEQUENTIAL_GROWTH","FY 2015","FY 2015","Currency=INR","Period=FY","BEST_FPERIOD_OVERRIDE=FY","FILING_STATUS=OR","EQY_CONSOLIDATED=Y","Sort=A","Dates=H","DateFormat=P","Fill=—","Direction=H","UseDPDF=Y")</f>
        <v>#NAME?</v>
      </c>
      <c r="BO183" s="1" t="e">
        <f ca="1">_xll.BDH($C$178,"TOTAL_ASSETS_SEQUENTIAL_GROWTH","FY 2015","FY 2015","Currency=INR","Period=FY","BEST_FPERIOD_OVERRIDE=FY","FILING_STATUS=OR","EQY_CONSOLIDATED=Y","Sort=A","Dates=H","DateFormat=P","Fill=—","Direction=H","UseDPDF=Y")</f>
        <v>#NAME?</v>
      </c>
      <c r="BP183" s="1" t="e">
        <f ca="1">_xll.BDH($C$178,"MODIFIED_WORKING_CPTL_SEQ_GRWTH","FY 2015","FY 2015","Currency=INR","Period=FY","BEST_FPERIOD_OVERRIDE=FY","FILING_STATUS=OR","EQY_CONSOLIDATED=Y","Sort=A","Dates=H","DateFormat=P","Fill=—","Direction=H","UseDPDF=Y")</f>
        <v>#NAME?</v>
      </c>
      <c r="BQ183" s="1" t="e">
        <f ca="1">_xll.BDH($C$178,"WORKING_CAPITAL_SEQ_GROWTH","FY 2015","FY 2015","Currency=INR","Period=FY","BEST_FPERIOD_OVERRIDE=FY","FILING_STATUS=OR","EQY_CONSOLIDATED=Y","Sort=A","Dates=H","DateFormat=P","Fill=—","Direction=H","UseDPDF=Y")</f>
        <v>#NAME?</v>
      </c>
      <c r="BR183" s="1" t="e">
        <f ca="1">_xll.BDH($C$178,"ACCOUNTS_PAYABLE_SEQ_GROWTH","FY 2015","FY 2015","Currency=INR","Period=FY","BEST_FPERIOD_OVERRIDE=FY","FILING_STATUS=OR","EQY_CONSOLIDATED=Y","Sort=A","Dates=H","DateFormat=P","Fill=—","Direction=H","UseDPDF=Y")</f>
        <v>#NAME?</v>
      </c>
      <c r="BS183" s="1" t="e">
        <f ca="1">_xll.BDH($C$178,"ST_DEBT_SEQUENTIAL_GROWTH","FY 2015","FY 2015","Currency=INR","Period=FY","BEST_FPERIOD_OVERRIDE=FY","FILING_STATUS=OR","EQY_CONSOLIDATED=Y","Sort=A","Dates=H","DateFormat=P","Fill=—","Direction=H","UseDPDF=Y")</f>
        <v>#NAME?</v>
      </c>
      <c r="BT183" s="1" t="e">
        <f ca="1">_xll.BDH($C$178,"TOTAL_DEBT_SEQUENTIAL_GROWTH","FY 2015","FY 2015","Currency=INR","Period=FY","BEST_FPERIOD_OVERRIDE=FY","FILING_STATUS=OR","EQY_CONSOLIDATED=Y","Sort=A","Dates=H","DateFormat=P","Fill=—","Direction=H","UseDPDF=Y")</f>
        <v>#NAME?</v>
      </c>
      <c r="BU183" s="1" t="e">
        <f ca="1">_xll.BDH($C$178,"TOTAL_EQUITY_SEQUENTIAL_GROWTH","FY 2015","FY 2015","Currency=INR","Period=FY","BEST_FPERIOD_OVERRIDE=FY","FILING_STATUS=OR","EQY_CONSOLIDATED=Y","Sort=A","Dates=H","DateFormat=P","Fill=—","Direction=H","UseDPDF=Y")</f>
        <v>#NAME?</v>
      </c>
      <c r="BV183" s="1" t="e">
        <f ca="1">_xll.BDH($C$178,"TOTAL_CAPITAL_SEQUENTIAL_GROWTH","FY 2015","FY 2015","Currency=INR","Period=FY","BEST_FPERIOD_OVERRIDE=FY","FILING_STATUS=OR","EQY_CONSOLIDATED=Y","Sort=A","Dates=H","DateFormat=P","Fill=—","Direction=H","UseDPDF=Y")</f>
        <v>#NAME?</v>
      </c>
      <c r="BW183" s="1" t="e">
        <f ca="1">_xll.BDH($C$178,"BPS_SEQUENTIAL_GROWTH","FY 2015","FY 2015","Currency=INR","Period=FY","BEST_FPERIOD_OVERRIDE=FY","FILING_STATUS=OR","EQY_CONSOLIDATED=Y","Sort=A","Dates=H","DateFormat=P","Fill=—","Direction=H","UseDPDF=Y")</f>
        <v>#NAME?</v>
      </c>
      <c r="BX183" s="1" t="e">
        <f ca="1">_xll.BDH($C$178,"CFO_SEQUENTIAL_GROWTH","FY 2015","FY 2015","Currency=INR","Period=FY","BEST_FPERIOD_OVERRIDE=FY","FILING_STATUS=OR","EQY_CONSOLIDATED=Y","Sort=A","Dates=H","DateFormat=P","Fill=—","Direction=H","UseDPDF=Y")</f>
        <v>#NAME?</v>
      </c>
      <c r="BY183" s="2" t="e">
        <f ca="1">_xll.BDH($C$178,"SHORT_AND_LONG_TERM_DEBT","FY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83" s="2" t="e">
        <f ca="1">_xll.BDH($C$178,"BS_ST_BORROW","FY 2015","FY 2015","Currency=INR","Period=FY","BEST_FPERIOD_OVERRIDE=FY","FILING_STATUS=OR","EQY_CONSOLIDATED=Y","SCALING_FORMAT=MLN","Sort=A","Dates=H","DateFormat=P","Fill=—","Direction=H","UseDPDF=Y")</f>
        <v>#NAME?</v>
      </c>
      <c r="CA183" s="2" t="e">
        <f ca="1">_xll.BDH($C$178,"BS_LT_BORROW","FY 2015","FY 2015","Currency=INR","Period=FY","BEST_FPERIOD_OVERRIDE=FY","FILING_STATUS=OR","EQY_CONSOLIDATED=Y","SCALING_FORMAT=MLN","Sort=A","Dates=H","DateFormat=P","Fill=—","Direction=H","UseDPDF=Y")</f>
        <v>#NAME?</v>
      </c>
      <c r="CB183" s="1" t="e">
        <f ca="1">_xll.BDH($C$178,"TOT_DEBT_TO_EBITDA","FY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183" s="1" t="e">
        <f ca="1">_xll.BDH($C$178,"NET_DEBT_TO_EBITDA","FY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183" s="1" t="e">
        <f ca="1">_xll.BDH($C$178,"TOTAL_DEBT_TO_EBIT","FY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183" s="1" t="e">
        <f ca="1">_xll.BDH($C$178,"NET_DEBT_TO_EBIT","FY 2015","FY 2015","Currency=INR","Period=FY","BEST_FPERIOD_OVERRIDE=FY","FILING_STATUS=OR","EQY_CONSOLIDATED=Y","FA_ADJUSTED=GAAP","Sort=A","Dates=H","DateFormat=P","Fill=—","Direction=H","UseDPDF=Y")</f>
        <v>#NAME?</v>
      </c>
      <c r="CF183" s="1" t="e">
        <f ca="1">_xll.BDH($C$178,"EBITDA_TO_INTEREST_EXPN","FY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83" s="1" t="e">
        <f ca="1">_xll.BDH($C$178,"COM_EQY_TO_TOT_ASSET","FY 2015","FY 2015","Currency=INR","Period=FY","BEST_FPERIOD_OVERRIDE=FY","FILING_STATUS=OR","EQY_CONSOLIDATED=Y","Sort=A","Dates=H","DateFormat=P","Fill=—","Direction=H","UseDPDF=Y")</f>
        <v>#NAME?</v>
      </c>
      <c r="CH183" s="1" t="e">
        <f ca="1">_xll.BDH($C$178,"LT_DEBT_TO_TOT_EQY","FY 2015","FY 2015","Currency=INR","Period=FY","BEST_FPERIOD_OVERRIDE=FY","FILING_STATUS=OR","EQY_CONSOLIDATED=Y","Sort=A","Dates=H","DateFormat=P","Fill=—","Direction=H","UseDPDF=Y")</f>
        <v>#NAME?</v>
      </c>
      <c r="CI183" s="1" t="e">
        <f ca="1">_xll.BDH($C$178,"LT_DEBT_TO_TOT_CAP","FY 2015","FY 2015","Currency=INR","Period=FY","BEST_FPERIOD_OVERRIDE=FY","FILING_STATUS=OR","EQY_CONSOLIDATED=Y","Sort=A","Dates=H","DateFormat=P","Fill=—","Direction=H","UseDPDF=Y")</f>
        <v>#NAME?</v>
      </c>
      <c r="CJ183" s="1" t="e">
        <f ca="1">_xll.BDH($C$178,"LT_DEBT_TO_TOT_ASSET","FY 2015","FY 2015","Currency=INR","Period=FY","BEST_FPERIOD_OVERRIDE=FY","FILING_STATUS=OR","EQY_CONSOLIDATED=Y","Sort=A","Dates=H","DateFormat=P","Fill=—","Direction=H","UseDPDF=Y")</f>
        <v>#NAME?</v>
      </c>
      <c r="CK183" s="1" t="e">
        <f ca="1">_xll.BDH($C$178,"TOT_DEBT_TO_TOT_EQY","FY 2015","FY 2015","Currency=INR","Period=FY","BEST_FPERIOD_OVERRIDE=FY","FILING_STATUS=OR","EQY_CONSOLIDATED=Y","Sort=A","Dates=H","DateFormat=P","Fill=—","Direction=H","UseDPDF=Y")</f>
        <v>#NAME?</v>
      </c>
      <c r="CL183" s="1" t="e">
        <f ca="1">_xll.BDH($C$178,"TOT_DEBT_TO_TOT_CAP","FY 2015","FY 2015","Currency=INR","Period=FY","BEST_FPERIOD_OVERRIDE=FY","FILING_STATUS=OR","EQY_CONSOLIDATED=Y","Sort=A","Dates=H","DateFormat=P","Fill=—","Direction=H","UseDPDF=Y")</f>
        <v>#NAME?</v>
      </c>
      <c r="CM183" s="1" t="e">
        <f ca="1">_xll.BDH($C$178,"TOT_DEBT_TO_TOT_ASSET","FY 2015","FY 2015","Currency=INR","Period=FY","BEST_FPERIOD_OVERRIDE=FY","FILING_STATUS=OR","EQY_CONSOLIDATED=Y","Sort=A","Dates=H","DateFormat=P","Fill=—","Direction=H","UseDPDF=Y")</f>
        <v>#NAME?</v>
      </c>
      <c r="CN183" s="1" t="e">
        <f ca="1">_xll.BDH($C$178,"NET_DEBT_TO_SHRHLDR_EQTY","FY 2015","FY 2015","Currency=INR","Period=FY","BEST_FPERIOD_OVERRIDE=FY","FILING_STATUS=OR","EQY_CONSOLIDATED=Y","Sort=A","Dates=H","DateFormat=P","Fill=—","Direction=H","UseDPDF=Y")</f>
        <v>#NAME?</v>
      </c>
      <c r="CO183" s="1" t="e">
        <f ca="1">_xll.BDH($C$178,"NET_DEBT_%_CAPITAL","FY 2015","FY 2015","Currency=INR","Period=FY","BEST_FPERIOD_OVERRIDE=FY","FILING_STATUS=OR","EQY_CONSOLIDATED=Y","Sort=A","Dates=H","DateFormat=P","Fill=—","Direction=H","UseDPDF=Y")</f>
        <v>#NAME?</v>
      </c>
      <c r="CP183" s="2" t="e">
        <f ca="1">_xll.BDH($C$178,"EBITDA","FY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83" s="2" t="e">
        <f ca="1">_xll.BDH($C$178,"EBITDA_AFTER_CAPEX","FY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83" s="2" t="e">
        <f ca="1">_xll.BDH($C$178,"IS_OPER_INC","FY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83" s="1" t="e">
        <f ca="1">_xll.BDH($C$178,"CASH_RATIO","FY 2015","FY 2015","Currency=INR","Period=FY","BEST_FPERIOD_OVERRIDE=FY","FILING_STATUS=OR","EQY_CONSOLIDATED=Y","Sort=A","Dates=H","DateFormat=P","Fill=—","Direction=H","UseDPDF=Y")</f>
        <v>#NAME?</v>
      </c>
      <c r="CT183" s="1" t="e">
        <f ca="1">_xll.BDH($C$178,"CUR_RATIO","FY 2015","FY 2015","Currency=INR","Period=FY","BEST_FPERIOD_OVERRIDE=FY","FILING_STATUS=OR","EQY_CONSOLIDATED=Y","Sort=A","Dates=H","DateFormat=P","Fill=—","Direction=H","UseDPDF=Y")</f>
        <v>#NAME?</v>
      </c>
      <c r="CU183" s="1" t="e">
        <f ca="1">_xll.BDH($C$178,"QUICK_RATIO","FY 2015","FY 2015","Currency=INR","Period=FY","BEST_FPERIOD_OVERRIDE=FY","FILING_STATUS=OR","EQY_CONSOLIDATED=Y","Sort=A","Dates=H","DateFormat=P","Fill=—","Direction=H","UseDPDF=Y")</f>
        <v>#NAME?</v>
      </c>
      <c r="CV183" s="1" t="e">
        <f ca="1">_xll.BDH($C$178,"ALTMAN_Z_SCORE","FY 2015","FY 2015","Currency=INR","Period=FY","BEST_FPERIOD_OVERRIDE=FY","FILING_STATUS=OR","EQY_CONSOLIDATED=Y","Sort=A","Dates=H","DateFormat=P","Fill=—","Direction=H","UseDPDF=Y")</f>
        <v>#NAME?</v>
      </c>
      <c r="CW183" s="3" t="e">
        <f ca="1">_xll.BDH($C$178,"ACCT_RCV_TURN","FY 2015","FY 2015","Currency=INR","Period=FY","BEST_FPERIOD_OVERRIDE=FY","FILING_STATUS=OR","EQY_CONSOLIDATED=Y","FA_ADJUSTED=GAAP","Sort=A","Dates=H","DateFormat=P","Fill=—","Direction=H","UseDPDF=Y")</f>
        <v>#NAME?</v>
      </c>
      <c r="CX183" s="1" t="e">
        <f ca="1">_xll.BDH($C$178,"ACCT_RCV_DAYS","FY 2015","FY 2015","Currency=INR","Period=FY","BEST_FPERIOD_OVERRIDE=FY","FILING_STATUS=OR","EQY_CONSOLIDATED=Y","FA_ADJUSTED=GAAP","Sort=A","Dates=H","DateFormat=P","Fill=—","Direction=H","UseDPDF=Y")</f>
        <v>#NAME?</v>
      </c>
      <c r="CY183" s="3" t="e">
        <f ca="1">_xll.BDH($C$178,"INVENT_TURN","FY 2015","FY 2015","Currency=INR","Period=FY","BEST_FPERIOD_OVERRIDE=FY","FILING_STATUS=OR","EQY_CONSOLIDATED=Y","FA_ADJUSTED=GAAP","Sort=A","Dates=H","DateFormat=P","Fill=—","Direction=H","UseDPDF=Y")</f>
        <v>#NAME?</v>
      </c>
      <c r="CZ183" s="1" t="e">
        <f ca="1">_xll.BDH($C$178,"INVENT_DAYS","FY 2015","FY 2015","Currency=INR","Period=FY","BEST_FPERIOD_OVERRIDE=FY","FILING_STATUS=OR","EQY_CONSOLIDATED=Y","FA_ADJUSTED=GAAP","Sort=A","Dates=H","DateFormat=P","Fill=—","Direction=H","UseDPDF=Y")</f>
        <v>#NAME?</v>
      </c>
      <c r="DA183" s="3" t="e">
        <f ca="1">_xll.BDH($C$178,"ACCOUNTS_PAYABLE_TURNOVER","FY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83" s="1" t="e">
        <f ca="1">_xll.BDH($C$178,"ACCOUNTS_PAYABLE_TURNOVER_DAYS","FY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83" s="3" t="e">
        <f ca="1">_xll.BDH($C$178,"CASH_CONVERSION_CYCLE","FY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83" s="3" t="e">
        <f ca="1">_xll.BDH($C$178,"INV_TO_CASH_DAYS","FY 2015","FY 2015","Currency=INR","Period=FY","BEST_FPERIOD_OVERRIDE=FY","FILING_STATUS=OR","EQY_CONSOLIDATED=Y","FA_ADJUSTED=GAAP","Sort=A","Dates=H","DateFormat=P","Fill=—","Direction=H","UseDPDF=Y")</f>
        <v>#NAME?</v>
      </c>
      <c r="DE183" s="4" t="e">
        <f ca="1">_xll.BDH($C$178,"BS_INVENTORIES","FY 2015","FY 2015","Currency=INR","Period=FY","BEST_FPERIOD_OVERRIDE=FY","FILING_STATUS=OR","EQY_CONSOLIDATED=Y","SCALING_FORMAT=MLN","Sort=A","Dates=H","DateFormat=P","Fill=—","Direction=H","UseDPDF=Y")</f>
        <v>#NAME?</v>
      </c>
      <c r="DF183" s="2" t="e">
        <f ca="1">_xll.BDH($C$178,"INVTRY_RAW_MATERIALS","FY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83" s="2" t="e">
        <f ca="1">_xll.BDH($C$178,"INVTRY_IN_PROGRESS","FY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83" s="2" t="e">
        <f ca="1">_xll.BDH($C$178,"INVTRY_FINISHED_GOODS","FY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83" s="2" t="e">
        <f ca="1">_xll.BDH($C$178,"BS_OTHER_INV","FY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84" spans="1:113" x14ac:dyDescent="0.3">
      <c r="A184" s="6"/>
      <c r="B184" s="6"/>
      <c r="C184" s="6"/>
      <c r="D184" s="6"/>
      <c r="E184" t="s">
        <v>4</v>
      </c>
      <c r="F184" t="e">
        <f ca="1">_xll.BDH($C$178,"RETURN_COM_EQY","FQ1 2015","FQ1 2015","Currency=INR","Period=FQ","BEST_FPERIOD_OVERRIDE=FQ","FILING_STATUS=OR","EQY_CONSOLIDATED=Y","FA_ADJUSTED=GAAP","Sort=A","Dates=H","DateFormat=P","Fill=—","Direction=H","UseDPDF=Y")</f>
        <v>#NAME?</v>
      </c>
      <c r="G184" t="e">
        <f ca="1">_xll.BDH($C$178,"RETURN_ON_ASSET","FQ1 2015","FQ1 2015","Currency=INR","Period=FQ","BEST_FPERIOD_OVERRIDE=FQ","FILING_STATUS=OR","EQY_CONSOLIDATED=Y","FA_ADJUSTED=GAAP","Sort=A","Dates=H","DateFormat=P","Fill=—","Direction=H","UseDPDF=Y")</f>
        <v>#NAME?</v>
      </c>
      <c r="H184" t="e">
        <f ca="1">_xll.BDH($C$178,"RETURN_ON_CAP","FQ1 2015","FQ1 2015","Currency=INR","Period=FQ","BEST_FPERIOD_OVERRIDE=FQ","FILING_STATUS=OR","EQY_CONSOLIDATED=Y","FA_ADJUSTED=GAAP","Sort=A","Dates=H","DateFormat=P","Fill=—","Direction=H","UseDPDF=Y")</f>
        <v>#NAME?</v>
      </c>
      <c r="I184" t="e">
        <f ca="1">_xll.BDH($C$178,"RETURN_ON_INV_CAPITAL","FQ1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84" t="e">
        <f ca="1">_xll.BDH($C$178,"EBITDA_TO_REVENUE","FQ1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184" t="e">
        <f ca="1">_xll.BDH($C$178,"OPER_MARGIN","FQ1 2015","FQ1 2015","Currency=INR","Period=FQ","BEST_FPERIOD_OVERRIDE=FQ","FILING_STATUS=OR","EQY_CONSOLIDATED=Y","FA_ADJUSTED=GAAP","Sort=A","Dates=H","DateFormat=P","Fill=—","Direction=H","UseDPDF=Y")</f>
        <v>#NAME?</v>
      </c>
      <c r="L184" t="e">
        <f ca="1">_xll.BDH($C$178,"INCREMENTAL_OPERATING_MARGIN","FQ1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84" t="e">
        <f ca="1">_xll.BDH($C$178,"PRETAX_INC_TO_NET_SALES","FQ1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84" t="e">
        <f ca="1">_xll.BDH($C$178,"INC_BEF_XO_ITEMS_TO_NET_SALES","FQ1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84" t="e">
        <f ca="1">_xll.BDH($C$178,"PROF_MARGIN","FQ1 2015","FQ1 2015","Currency=INR","Period=FQ","BEST_FPERIOD_OVERRIDE=FQ","FILING_STATUS=OR","EQY_CONSOLIDATED=Y","FA_ADJUSTED=GAAP","Sort=A","Dates=H","DateFormat=P","Fill=—","Direction=H","UseDPDF=Y")</f>
        <v>#NAME?</v>
      </c>
      <c r="P184" t="e">
        <f ca="1">_xll.BDH($C$178,"NET_INCOME_TO_COMMON_MARGIN","FQ1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84" t="e">
        <f ca="1">_xll.BDH($C$178,"EFF_TAX_RATE","FQ1 2015","FQ1 2015","Currency=INR","Period=FQ","BEST_FPERIOD_OVERRIDE=FQ","FILING_STATUS=OR","EQY_CONSOLIDATED=Y","FA_ADJUSTED=GAAP","Sort=A","Dates=H","DateFormat=P","Fill=—","Direction=H","UseDPDF=Y")</f>
        <v>#NAME?</v>
      </c>
      <c r="R184" t="e">
        <f ca="1">_xll.BDH($C$178,"DVD_PAYOUT_RATIO","FQ1 2015","FQ1 2015","Currency=INR","Period=FQ","BEST_FPERIOD_OVERRIDE=FQ","FILING_STATUS=OR","EQY_CONSOLIDATED=Y","FA_ADJUSTED=GAAP","Sort=A","Dates=H","DateFormat=P","Fill=—","Direction=H","UseDPDF=Y")</f>
        <v>#NAME?</v>
      </c>
      <c r="S184" t="e">
        <f ca="1">_xll.BDH($C$178,"SUSTAIN_GROWTH_RT","FQ1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184" s="1" t="e">
        <f ca="1">_xll.BDH($C$178,"SALES_GROWTH","FQ1 2015","FQ1 2015","Currency=INR","Period=FQ","BEST_FPERIOD_OVERRIDE=FQ","FILING_STATUS=OR","EQY_CONSOLIDATED=Y","FA_ADJUSTED=GAAP","Sort=A","Dates=H","DateFormat=P","Fill=—","Direction=H","UseDPDF=Y")</f>
        <v>#NAME?</v>
      </c>
      <c r="U184" s="1" t="e">
        <f ca="1">_xll.BDH($C$178,"EBITDA_GROWTH","FQ1 2015","FQ1 2015","Currency=INR","Period=FQ","BEST_FPERIOD_OVERRIDE=FQ","FILING_STATUS=OR","EQY_CONSOLIDATED=Y","FA_ADJUSTED=GAAP","Sort=A","Dates=H","DateFormat=P","Fill=—","Direction=H","UseDPDF=Y")</f>
        <v>#NAME?</v>
      </c>
      <c r="V184" s="1" t="e">
        <f ca="1">_xll.BDH($C$178,"OPER_INC_GROWTH","FQ1 2015","FQ1 2015","Currency=INR","Period=FQ","BEST_FPERIOD_OVERRIDE=FQ","FILING_STATUS=OR","EQY_CONSOLIDATED=Y","FA_ADJUSTED=GAAP","Sort=A","Dates=H","DateFormat=P","Fill=—","Direction=H","UseDPDF=Y")</f>
        <v>#NAME?</v>
      </c>
      <c r="W184" s="1" t="e">
        <f ca="1">_xll.BDH($C$178,"EARN_FOR_COM_GROWTH","FQ1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84" s="1" t="e">
        <f ca="1">_xll.BDH($C$178,"DILUTED_EPS_AFT_XO_ITEMS_GROWTH","FQ1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84" s="1" t="e">
        <f ca="1">_xll.BDH($C$178,"DIVIDEND_PER_SHARE_1_YEAR_GROWTH","FQ1 2015","FQ1 2015","Currency=INR","Period=FQ","BEST_FPERIOD_OVERRIDE=FQ","FILING_STATUS=OR","EQY_CONSOLIDATED=Y","Sort=A","Dates=H","DateFormat=P","Fill=—","Direction=H","UseDPDF=Y")</f>
        <v>#NAME?</v>
      </c>
      <c r="Z184" s="1" t="e">
        <f ca="1">_xll.BDH($C$178,"ACCOUNTS_RECEIVABLE_GROWTH","FQ1 2015","FQ1 2015","Currency=INR","Period=FQ","BEST_FPERIOD_OVERRIDE=FQ","FILING_STATUS=OR","EQY_CONSOLIDATED=Y","Sort=A","Dates=H","DateFormat=P","Fill=—","Direction=H","UseDPDF=Y")</f>
        <v>#NAME?</v>
      </c>
      <c r="AA184" s="1" t="e">
        <f ca="1">_xll.BDH($C$178,"INVENTORY_GROWTH","FQ1 2015","FQ1 2015","Currency=INR","Period=FQ","BEST_FPERIOD_OVERRIDE=FQ","FILING_STATUS=OR","EQY_CONSOLIDATED=Y","Sort=A","Dates=H","DateFormat=P","Fill=—","Direction=H","UseDPDF=Y")</f>
        <v>#NAME?</v>
      </c>
      <c r="AB184" s="1" t="e">
        <f ca="1">_xll.BDH($C$178,"NET_FIXED_ASSETS_1_YEAR_GROWTH","FQ1 2015","FQ1 2015","Currency=INR","Period=FQ","BEST_FPERIOD_OVERRIDE=FQ","FILING_STATUS=OR","EQY_CONSOLIDATED=Y","Sort=A","Dates=H","DateFormat=P","Fill=—","Direction=H","UseDPDF=Y")</f>
        <v>#NAME?</v>
      </c>
      <c r="AC184" s="1" t="e">
        <f ca="1">_xll.BDH($C$178,"ASSET_GROWTH","FQ1 2015","FQ1 2015","Currency=INR","Period=FQ","BEST_FPERIOD_OVERRIDE=FQ","FILING_STATUS=OR","EQY_CONSOLIDATED=Y","Sort=A","Dates=H","DateFormat=P","Fill=—","Direction=H","UseDPDF=Y")</f>
        <v>#NAME?</v>
      </c>
      <c r="AD184" s="1" t="e">
        <f ca="1">_xll.BDH($C$178,"MODIFIED_WORK_CAP_GROWTH","FQ1 2015","FQ1 2015","Currency=INR","Period=FQ","BEST_FPERIOD_OVERRIDE=FQ","FILING_STATUS=OR","EQY_CONSOLIDATED=Y","Sort=A","Dates=H","DateFormat=P","Fill=—","Direction=H","UseDPDF=Y")</f>
        <v>#NAME?</v>
      </c>
      <c r="AE184" s="1" t="e">
        <f ca="1">_xll.BDH($C$178,"WORK_CAP_GROWTH","FQ1 2015","FQ1 2015","Currency=INR","Period=FQ","BEST_FPERIOD_OVERRIDE=FQ","FILING_STATUS=OR","EQY_CONSOLIDATED=Y","Sort=A","Dates=H","DateFormat=P","Fill=—","Direction=H","UseDPDF=Y")</f>
        <v>#NAME?</v>
      </c>
      <c r="AF184" s="1" t="e">
        <f ca="1">_xll.BDH($C$178,"ACCOUNTS_PAYABLE_GROWTH_1YR","FQ1 2015","FQ1 2015","Currency=INR","Period=FQ","BEST_FPERIOD_OVERRIDE=FQ","FILING_STATUS=OR","EQY_CONSOLIDATED=Y","Sort=A","Dates=H","DateFormat=P","Fill=—","Direction=H","UseDPDF=Y")</f>
        <v>#NAME?</v>
      </c>
      <c r="AG184" s="1" t="e">
        <f ca="1">_xll.BDH($C$178,"SHORT_TERM_DEBT_1_YEAR_GROWTH","FQ1 2015","FQ1 2015","Currency=INR","Period=FQ","BEST_FPERIOD_OVERRIDE=FQ","FILING_STATUS=OR","EQY_CONSOLIDATED=Y","Sort=A","Dates=H","DateFormat=P","Fill=—","Direction=H","UseDPDF=Y")</f>
        <v>#NAME?</v>
      </c>
      <c r="AH184" s="1" t="e">
        <f ca="1">_xll.BDH($C$178,"TOTAL_DEBT_1_YEAR_GROWTH","FQ1 2015","FQ1 2015","Currency=INR","Period=FQ","BEST_FPERIOD_OVERRIDE=FQ","FILING_STATUS=OR","EQY_CONSOLIDATED=Y","Sort=A","Dates=H","DateFormat=P","Fill=—","Direction=H","UseDPDF=Y")</f>
        <v>#NAME?</v>
      </c>
      <c r="AI184" s="1" t="e">
        <f ca="1">_xll.BDH($C$178,"TOTAL_EQUITY_1_YEAR_GROWTH","FQ1 2015","FQ1 2015","Currency=INR","Period=FQ","BEST_FPERIOD_OVERRIDE=FQ","FILING_STATUS=OR","EQY_CONSOLIDATED=Y","Sort=A","Dates=H","DateFormat=P","Fill=—","Direction=H","UseDPDF=Y")</f>
        <v>#NAME?</v>
      </c>
      <c r="AJ184" s="1" t="e">
        <f ca="1">_xll.BDH($C$178,"GROWTH_IN_CAP","FQ1 2015","FQ1 2015","Currency=INR","Period=FQ","BEST_FPERIOD_OVERRIDE=FQ","FILING_STATUS=OR","EQY_CONSOLIDATED=Y","Sort=A","Dates=H","DateFormat=P","Fill=—","Direction=H","UseDPDF=Y")</f>
        <v>#NAME?</v>
      </c>
      <c r="AK184" s="1" t="e">
        <f ca="1">_xll.BDH($C$178,"BVPS_GROWTH","FQ1 2015","FQ1 2015","Currency=INR","Period=FQ","BEST_FPERIOD_OVERRIDE=FQ","FILING_STATUS=OR","EQY_CONSOLIDATED=Y","Sort=A","Dates=H","DateFormat=P","Fill=—","Direction=H","UseDPDF=Y")</f>
        <v>#NAME?</v>
      </c>
      <c r="AL184" s="1" t="e">
        <f ca="1">_xll.BDH($C$178,"CASH_FLOW_GROWTH","FQ1 2015","FQ1 2015","Currency=INR","Period=FQ","BEST_FPERIOD_OVERRIDE=FQ","FILING_STATUS=OR","EQY_CONSOLIDATED=Y","Sort=A","Dates=H","DateFormat=P","Fill=—","Direction=H","UseDPDF=Y")</f>
        <v>#NAME?</v>
      </c>
      <c r="AM184" s="1" t="e">
        <f ca="1">_xll.BDH($C$178,"GEO_GROW_NET_SALES","FQ1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84" s="1" t="e">
        <f ca="1">_xll.BDH($C$178,"GEO_GROW_EBITDA","FQ1 2015","FQ1 2015","Currency=INR","Period=FQ","BEST_FPERIOD_OVERRIDE=FQ","FILING_STATUS=OR","EQY_CONSOLIDATED=Y","FA_ADJUSTED=GAAP","Sort=A","Dates=H","DateFormat=P","Fill=—","Direction=H","UseDPDF=Y")</f>
        <v>#NAME?</v>
      </c>
      <c r="AO184" s="1" t="e">
        <f ca="1">_xll.BDH($C$178,"GEO_GROW_OPER_INC","FQ1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84" s="1" t="e">
        <f ca="1">_xll.BDH($C$178,"NET_INCOME_TO_COMMON_5_YR_GROWTH","FQ1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84" s="1" t="e">
        <f ca="1">_xll.BDH($C$178,"5Y_GEO_GROWTH_DILUTED_EPS","FQ1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84" s="1" t="e">
        <f ca="1">_xll.BDH($C$178,"GEO_GROW_DVD_PER_SH","FQ1 2015","FQ1 2015","Currency=INR","Period=FQ","BEST_FPERIOD_OVERRIDE=FQ","FILING_STATUS=OR","EQY_CONSOLIDATED=Y","Sort=A","Dates=H","DateFormat=P","Fill=—","Direction=H","UseDPDF=Y")</f>
        <v>#NAME?</v>
      </c>
      <c r="AS184" s="1" t="e">
        <f ca="1">_xll.BDH($C$178,"ACCOUNTS_RECEIVABLE_5_YR_GROWTH","FQ1 2015","FQ1 2015","Currency=INR","Period=FQ","BEST_FPERIOD_OVERRIDE=FQ","FILING_STATUS=OR","EQY_CONSOLIDATED=Y","Sort=A","Dates=H","DateFormat=P","Fill=—","Direction=H","UseDPDF=Y")</f>
        <v>#NAME?</v>
      </c>
      <c r="AT184" s="1" t="e">
        <f ca="1">_xll.BDH($C$178,"INVENTORY_5_YEAR_GROWTH","FQ1 2015","FQ1 2015","Currency=INR","Period=FQ","BEST_FPERIOD_OVERRIDE=FQ","FILING_STATUS=OR","EQY_CONSOLIDATED=Y","Sort=A","Dates=H","DateFormat=P","Fill=—","Direction=H","UseDPDF=Y")</f>
        <v>#NAME?</v>
      </c>
      <c r="AU184" s="1" t="e">
        <f ca="1">_xll.BDH($C$178,"NET_FIXED_ASSETS_5_YEAR_GROWTH","FQ1 2015","FQ1 2015","Currency=INR","Period=FQ","BEST_FPERIOD_OVERRIDE=FQ","FILING_STATUS=OR","EQY_CONSOLIDATED=Y","Sort=A","Dates=H","DateFormat=P","Fill=—","Direction=H","UseDPDF=Y")</f>
        <v>#NAME?</v>
      </c>
      <c r="AV184" s="1" t="e">
        <f ca="1">_xll.BDH($C$178,"GEO_GROW_TOT_ASSET","FQ1 2015","FQ1 2015","Currency=INR","Period=FQ","BEST_FPERIOD_OVERRIDE=FQ","FILING_STATUS=OR","EQY_CONSOLIDATED=Y","Sort=A","Dates=H","DateFormat=P","Fill=—","Direction=H","UseDPDF=Y")</f>
        <v>#NAME?</v>
      </c>
      <c r="AW184" s="1" t="e">
        <f ca="1">_xll.BDH($C$178,"MODIFIED_WORKING_CPTL_5YR_GRWTH","FQ1 2015","FQ1 2015","Currency=INR","Period=FQ","BEST_FPERIOD_OVERRIDE=FQ","FILING_STATUS=OR","EQY_CONSOLIDATED=Y","Sort=A","Dates=H","DateFormat=P","Fill=—","Direction=H","UseDPDF=Y")</f>
        <v>#NAME?</v>
      </c>
      <c r="AX184" s="1" t="e">
        <f ca="1">_xll.BDH($C$178,"WORKING_CAPITAL_5_YEAR_GROWTH","FQ1 2015","FQ1 2015","Currency=INR","Period=FQ","BEST_FPERIOD_OVERRIDE=FQ","FILING_STATUS=OR","EQY_CONSOLIDATED=Y","Sort=A","Dates=H","DateFormat=P","Fill=—","Direction=H","UseDPDF=Y")</f>
        <v>#NAME?</v>
      </c>
      <c r="AY184" s="1" t="e">
        <f ca="1">_xll.BDH($C$178,"ACCOUNTS_PAYABLE_5_YEAR_GROWTH","FQ1 2015","FQ1 2015","Currency=INR","Period=FQ","BEST_FPERIOD_OVERRIDE=FQ","FILING_STATUS=OR","EQY_CONSOLIDATED=Y","Sort=A","Dates=H","DateFormat=P","Fill=—","Direction=H","UseDPDF=Y")</f>
        <v>#NAME?</v>
      </c>
      <c r="AZ184" s="1" t="e">
        <f ca="1">_xll.BDH($C$178,"SHORT_TERM_DEBT_5_YEAR_GROWTH","FQ1 2015","FQ1 2015","Currency=INR","Period=FQ","BEST_FPERIOD_OVERRIDE=FQ","FILING_STATUS=OR","EQY_CONSOLIDATED=Y","Sort=A","Dates=H","DateFormat=P","Fill=—","Direction=H","UseDPDF=Y")</f>
        <v>#NAME?</v>
      </c>
      <c r="BA184" s="1" t="e">
        <f ca="1">_xll.BDH($C$178,"TOTAL_DEBT_5_YEAR_GROWTH","FQ1 2015","FQ1 2015","Currency=INR","Period=FQ","BEST_FPERIOD_OVERRIDE=FQ","FILING_STATUS=OR","EQY_CONSOLIDATED=Y","Sort=A","Dates=H","DateFormat=P","Fill=—","Direction=H","UseDPDF=Y")</f>
        <v>#NAME?</v>
      </c>
      <c r="BB184" s="1" t="e">
        <f ca="1">_xll.BDH($C$178,"GEO_GROW_TOT_SHRHLDR_EQY","FQ1 2015","FQ1 2015","Currency=INR","Period=FQ","BEST_FPERIOD_OVERRIDE=FQ","FILING_STATUS=OR","EQY_CONSOLIDATED=Y","Sort=A","Dates=H","DateFormat=P","Fill=—","Direction=H","UseDPDF=Y")</f>
        <v>#NAME?</v>
      </c>
      <c r="BC184" s="1" t="e">
        <f ca="1">_xll.BDH($C$178,"TOTAL_CAPITAL_5_YEAR_GROWTH","FQ1 2015","FQ1 2015","Currency=INR","Period=FQ","BEST_FPERIOD_OVERRIDE=FQ","FILING_STATUS=OR","EQY_CONSOLIDATED=Y","Sort=A","Dates=H","DateFormat=P","Fill=—","Direction=H","UseDPDF=Y")</f>
        <v>#NAME?</v>
      </c>
      <c r="BD184" s="1" t="e">
        <f ca="1">_xll.BDH($C$178,"GEO_GROW_BOOK_VAL","FQ1 2015","FQ1 2015","Currency=INR","Period=FQ","BEST_FPERIOD_OVERRIDE=FQ","FILING_STATUS=OR","EQY_CONSOLIDATED=Y","Sort=A","Dates=H","DateFormat=P","Fill=—","Direction=H","UseDPDF=Y")</f>
        <v>#NAME?</v>
      </c>
      <c r="BE184" s="1" t="e">
        <f ca="1">_xll.BDH($C$178,"GEO_GROW_CASH_OPER_ACT","FQ1 2015","FQ1 2015","Currency=INR","Period=FQ","BEST_FPERIOD_OVERRIDE=FQ","FILING_STATUS=OR","EQY_CONSOLIDATED=Y","Sort=A","Dates=H","DateFormat=P","Fill=—","Direction=H","UseDPDF=Y")</f>
        <v>#NAME?</v>
      </c>
      <c r="BF184" s="1" t="e">
        <f ca="1">_xll.BDH($C$178,"REVENUE_SEQUENTIAL_GROWTH","FQ1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84" s="1" t="e">
        <f ca="1">_xll.BDH($C$178,"EBITDA_SEQUENTIAL_GROWTH","FQ1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84" s="1" t="e">
        <f ca="1">_xll.BDH($C$178,"OPERATING_INCOME_SEQ_GROWTH","FQ1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84" s="1" t="e">
        <f ca="1">_xll.BDH($C$178,"NET_INCOME_TO_COMMON_SEQ_GROWTH","FQ1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84" s="1" t="e">
        <f ca="1">_xll.BDH($C$178,"EPS_DILUTED_SEQUENTIAL_GROWTH","FQ1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84" s="1" t="e">
        <f ca="1">_xll.BDH($C$178,"DPS_SEQUENTIAL_GROWTH","FQ1 2015","FQ1 2015","Currency=INR","Period=FQ","BEST_FPERIOD_OVERRIDE=FQ","FILING_STATUS=OR","EQY_CONSOLIDATED=Y","Sort=A","Dates=H","DateFormat=P","Fill=—","Direction=H","UseDPDF=Y")</f>
        <v>#NAME?</v>
      </c>
      <c r="BL184" s="1" t="e">
        <f ca="1">_xll.BDH($C$178,"ACCOUNTS_RECEIVABLE_SEQ_GROWTH","FQ1 2015","FQ1 2015","Currency=INR","Period=FQ","BEST_FPERIOD_OVERRIDE=FQ","FILING_STATUS=OR","EQY_CONSOLIDATED=Y","Sort=A","Dates=H","DateFormat=P","Fill=—","Direction=H","UseDPDF=Y")</f>
        <v>#NAME?</v>
      </c>
      <c r="BM184" s="1" t="e">
        <f ca="1">_xll.BDH($C$178,"INVENTORY_SEQUENTIAL_GROWTH","FQ1 2015","FQ1 2015","Currency=INR","Period=FQ","BEST_FPERIOD_OVERRIDE=FQ","FILING_STATUS=OR","EQY_CONSOLIDATED=Y","Sort=A","Dates=H","DateFormat=P","Fill=—","Direction=H","UseDPDF=Y")</f>
        <v>#NAME?</v>
      </c>
      <c r="BN184" s="1" t="e">
        <f ca="1">_xll.BDH($C$178,"FIXED_ASSETS_SEQUENTIAL_GROWTH","FQ1 2015","FQ1 2015","Currency=INR","Period=FQ","BEST_FPERIOD_OVERRIDE=FQ","FILING_STATUS=OR","EQY_CONSOLIDATED=Y","Sort=A","Dates=H","DateFormat=P","Fill=—","Direction=H","UseDPDF=Y")</f>
        <v>#NAME?</v>
      </c>
      <c r="BO184" s="1" t="e">
        <f ca="1">_xll.BDH($C$178,"TOTAL_ASSETS_SEQUENTIAL_GROWTH","FQ1 2015","FQ1 2015","Currency=INR","Period=FQ","BEST_FPERIOD_OVERRIDE=FQ","FILING_STATUS=OR","EQY_CONSOLIDATED=Y","Sort=A","Dates=H","DateFormat=P","Fill=—","Direction=H","UseDPDF=Y")</f>
        <v>#NAME?</v>
      </c>
      <c r="BP184" s="1" t="e">
        <f ca="1">_xll.BDH($C$178,"MODIFIED_WORKING_CPTL_SEQ_GRWTH","FQ1 2015","FQ1 2015","Currency=INR","Period=FQ","BEST_FPERIOD_OVERRIDE=FQ","FILING_STATUS=OR","EQY_CONSOLIDATED=Y","Sort=A","Dates=H","DateFormat=P","Fill=—","Direction=H","UseDPDF=Y")</f>
        <v>#NAME?</v>
      </c>
      <c r="BQ184" s="1" t="e">
        <f ca="1">_xll.BDH($C$178,"WORKING_CAPITAL_SEQ_GROWTH","FQ1 2015","FQ1 2015","Currency=INR","Period=FQ","BEST_FPERIOD_OVERRIDE=FQ","FILING_STATUS=OR","EQY_CONSOLIDATED=Y","Sort=A","Dates=H","DateFormat=P","Fill=—","Direction=H","UseDPDF=Y")</f>
        <v>#NAME?</v>
      </c>
      <c r="BR184" s="1" t="e">
        <f ca="1">_xll.BDH($C$178,"ACCOUNTS_PAYABLE_SEQ_GROWTH","FQ1 2015","FQ1 2015","Currency=INR","Period=FQ","BEST_FPERIOD_OVERRIDE=FQ","FILING_STATUS=OR","EQY_CONSOLIDATED=Y","Sort=A","Dates=H","DateFormat=P","Fill=—","Direction=H","UseDPDF=Y")</f>
        <v>#NAME?</v>
      </c>
      <c r="BS184" s="1" t="e">
        <f ca="1">_xll.BDH($C$178,"ST_DEBT_SEQUENTIAL_GROWTH","FQ1 2015","FQ1 2015","Currency=INR","Period=FQ","BEST_FPERIOD_OVERRIDE=FQ","FILING_STATUS=OR","EQY_CONSOLIDATED=Y","Sort=A","Dates=H","DateFormat=P","Fill=—","Direction=H","UseDPDF=Y")</f>
        <v>#NAME?</v>
      </c>
      <c r="BT184" s="1" t="e">
        <f ca="1">_xll.BDH($C$178,"TOTAL_DEBT_SEQUENTIAL_GROWTH","FQ1 2015","FQ1 2015","Currency=INR","Period=FQ","BEST_FPERIOD_OVERRIDE=FQ","FILING_STATUS=OR","EQY_CONSOLIDATED=Y","Sort=A","Dates=H","DateFormat=P","Fill=—","Direction=H","UseDPDF=Y")</f>
        <v>#NAME?</v>
      </c>
      <c r="BU184" s="1" t="e">
        <f ca="1">_xll.BDH($C$178,"TOTAL_EQUITY_SEQUENTIAL_GROWTH","FQ1 2015","FQ1 2015","Currency=INR","Period=FQ","BEST_FPERIOD_OVERRIDE=FQ","FILING_STATUS=OR","EQY_CONSOLIDATED=Y","Sort=A","Dates=H","DateFormat=P","Fill=—","Direction=H","UseDPDF=Y")</f>
        <v>#NAME?</v>
      </c>
      <c r="BV184" s="1" t="e">
        <f ca="1">_xll.BDH($C$178,"TOTAL_CAPITAL_SEQUENTIAL_GROWTH","FQ1 2015","FQ1 2015","Currency=INR","Period=FQ","BEST_FPERIOD_OVERRIDE=FQ","FILING_STATUS=OR","EQY_CONSOLIDATED=Y","Sort=A","Dates=H","DateFormat=P","Fill=—","Direction=H","UseDPDF=Y")</f>
        <v>#NAME?</v>
      </c>
      <c r="BW184" s="1" t="e">
        <f ca="1">_xll.BDH($C$178,"BPS_SEQUENTIAL_GROWTH","FQ1 2015","FQ1 2015","Currency=INR","Period=FQ","BEST_FPERIOD_OVERRIDE=FQ","FILING_STATUS=OR","EQY_CONSOLIDATED=Y","Sort=A","Dates=H","DateFormat=P","Fill=—","Direction=H","UseDPDF=Y")</f>
        <v>#NAME?</v>
      </c>
      <c r="BX184" s="1" t="e">
        <f ca="1">_xll.BDH($C$178,"CFO_SEQUENTIAL_GROWTH","FQ1 2015","FQ1 2015","Currency=INR","Period=FQ","BEST_FPERIOD_OVERRIDE=FQ","FILING_STATUS=OR","EQY_CONSOLIDATED=Y","Sort=A","Dates=H","DateFormat=P","Fill=—","Direction=H","UseDPDF=Y")</f>
        <v>#NAME?</v>
      </c>
      <c r="BY184" s="2" t="e">
        <f ca="1">_xll.BDH($C$178,"SHORT_AND_LONG_TERM_DEBT","FQ1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84" s="2" t="e">
        <f ca="1">_xll.BDH($C$178,"BS_ST_BORROW","FQ1 2015","FQ1 2015","Currency=INR","Period=FQ","BEST_FPERIOD_OVERRIDE=FQ","FILING_STATUS=OR","EQY_CONSOLIDATED=Y","SCALING_FORMAT=MLN","Sort=A","Dates=H","DateFormat=P","Fill=—","Direction=H","UseDPDF=Y")</f>
        <v>#NAME?</v>
      </c>
      <c r="CA184" s="2" t="e">
        <f ca="1">_xll.BDH($C$178,"BS_LT_BORROW","FQ1 2015","FQ1 2015","Currency=INR","Period=FQ","BEST_FPERIOD_OVERRIDE=FQ","FILING_STATUS=OR","EQY_CONSOLIDATED=Y","SCALING_FORMAT=MLN","Sort=A","Dates=H","DateFormat=P","Fill=—","Direction=H","UseDPDF=Y")</f>
        <v>#NAME?</v>
      </c>
      <c r="CB184" s="1" t="e">
        <f ca="1">_xll.BDH($C$178,"TOT_DEBT_TO_EBITDA","FQ1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84" s="1" t="e">
        <f ca="1">_xll.BDH($C$178,"NET_DEBT_TO_EBITDA","FQ1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84" s="1" t="e">
        <f ca="1">_xll.BDH($C$178,"TOTAL_DEBT_TO_EBIT","FQ1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84" s="1" t="e">
        <f ca="1">_xll.BDH($C$178,"NET_DEBT_TO_EBIT","FQ1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184" s="1" t="e">
        <f ca="1">_xll.BDH($C$178,"EBITDA_TO_INTEREST_EXPN","FQ1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84" s="1" t="e">
        <f ca="1">_xll.BDH($C$178,"COM_EQY_TO_TOT_ASSET","FQ1 2015","FQ1 2015","Currency=INR","Period=FQ","BEST_FPERIOD_OVERRIDE=FQ","FILING_STATUS=OR","EQY_CONSOLIDATED=Y","Sort=A","Dates=H","DateFormat=P","Fill=—","Direction=H","UseDPDF=Y")</f>
        <v>#NAME?</v>
      </c>
      <c r="CH184" s="1" t="e">
        <f ca="1">_xll.BDH($C$178,"LT_DEBT_TO_TOT_EQY","FQ1 2015","FQ1 2015","Currency=INR","Period=FQ","BEST_FPERIOD_OVERRIDE=FQ","FILING_STATUS=OR","EQY_CONSOLIDATED=Y","Sort=A","Dates=H","DateFormat=P","Fill=—","Direction=H","UseDPDF=Y")</f>
        <v>#NAME?</v>
      </c>
      <c r="CI184" s="1" t="e">
        <f ca="1">_xll.BDH($C$178,"LT_DEBT_TO_TOT_CAP","FQ1 2015","FQ1 2015","Currency=INR","Period=FQ","BEST_FPERIOD_OVERRIDE=FQ","FILING_STATUS=OR","EQY_CONSOLIDATED=Y","Sort=A","Dates=H","DateFormat=P","Fill=—","Direction=H","UseDPDF=Y")</f>
        <v>#NAME?</v>
      </c>
      <c r="CJ184" s="1" t="e">
        <f ca="1">_xll.BDH($C$178,"LT_DEBT_TO_TOT_ASSET","FQ1 2015","FQ1 2015","Currency=INR","Period=FQ","BEST_FPERIOD_OVERRIDE=FQ","FILING_STATUS=OR","EQY_CONSOLIDATED=Y","Sort=A","Dates=H","DateFormat=P","Fill=—","Direction=H","UseDPDF=Y")</f>
        <v>#NAME?</v>
      </c>
      <c r="CK184" s="1" t="e">
        <f ca="1">_xll.BDH($C$178,"TOT_DEBT_TO_TOT_EQY","FQ1 2015","FQ1 2015","Currency=INR","Period=FQ","BEST_FPERIOD_OVERRIDE=FQ","FILING_STATUS=OR","EQY_CONSOLIDATED=Y","Sort=A","Dates=H","DateFormat=P","Fill=—","Direction=H","UseDPDF=Y")</f>
        <v>#NAME?</v>
      </c>
      <c r="CL184" s="1" t="e">
        <f ca="1">_xll.BDH($C$178,"TOT_DEBT_TO_TOT_CAP","FQ1 2015","FQ1 2015","Currency=INR","Period=FQ","BEST_FPERIOD_OVERRIDE=FQ","FILING_STATUS=OR","EQY_CONSOLIDATED=Y","Sort=A","Dates=H","DateFormat=P","Fill=—","Direction=H","UseDPDF=Y")</f>
        <v>#NAME?</v>
      </c>
      <c r="CM184" s="1" t="e">
        <f ca="1">_xll.BDH($C$178,"TOT_DEBT_TO_TOT_ASSET","FQ1 2015","FQ1 2015","Currency=INR","Period=FQ","BEST_FPERIOD_OVERRIDE=FQ","FILING_STATUS=OR","EQY_CONSOLIDATED=Y","Sort=A","Dates=H","DateFormat=P","Fill=—","Direction=H","UseDPDF=Y")</f>
        <v>#NAME?</v>
      </c>
      <c r="CN184" s="1" t="e">
        <f ca="1">_xll.BDH($C$178,"NET_DEBT_TO_SHRHLDR_EQTY","FQ1 2015","FQ1 2015","Currency=INR","Period=FQ","BEST_FPERIOD_OVERRIDE=FQ","FILING_STATUS=OR","EQY_CONSOLIDATED=Y","Sort=A","Dates=H","DateFormat=P","Fill=—","Direction=H","UseDPDF=Y")</f>
        <v>#NAME?</v>
      </c>
      <c r="CO184" s="1" t="e">
        <f ca="1">_xll.BDH($C$178,"NET_DEBT_%_CAPITAL","FQ1 2015","FQ1 2015","Currency=INR","Period=FQ","BEST_FPERIOD_OVERRIDE=FQ","FILING_STATUS=OR","EQY_CONSOLIDATED=Y","Sort=A","Dates=H","DateFormat=P","Fill=—","Direction=H","UseDPDF=Y")</f>
        <v>#NAME?</v>
      </c>
      <c r="CP184" s="2" t="e">
        <f ca="1">_xll.BDH($C$178,"EBITDA","FQ1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84" s="2" t="e">
        <f ca="1">_xll.BDH($C$178,"EBITDA_AFTER_CAPEX","FQ1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84" s="2" t="e">
        <f ca="1">_xll.BDH($C$178,"IS_OPER_INC","FQ1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84" s="1" t="e">
        <f ca="1">_xll.BDH($C$178,"CASH_RATIO","FQ1 2015","FQ1 2015","Currency=INR","Period=FQ","BEST_FPERIOD_OVERRIDE=FQ","FILING_STATUS=OR","EQY_CONSOLIDATED=Y","Sort=A","Dates=H","DateFormat=P","Fill=—","Direction=H","UseDPDF=Y")</f>
        <v>#NAME?</v>
      </c>
      <c r="CT184" s="1" t="e">
        <f ca="1">_xll.BDH($C$178,"CUR_RATIO","FQ1 2015","FQ1 2015","Currency=INR","Period=FQ","BEST_FPERIOD_OVERRIDE=FQ","FILING_STATUS=OR","EQY_CONSOLIDATED=Y","Sort=A","Dates=H","DateFormat=P","Fill=—","Direction=H","UseDPDF=Y")</f>
        <v>#NAME?</v>
      </c>
      <c r="CU184" s="1" t="e">
        <f ca="1">_xll.BDH($C$178,"QUICK_RATIO","FQ1 2015","FQ1 2015","Currency=INR","Period=FQ","BEST_FPERIOD_OVERRIDE=FQ","FILING_STATUS=OR","EQY_CONSOLIDATED=Y","Sort=A","Dates=H","DateFormat=P","Fill=—","Direction=H","UseDPDF=Y")</f>
        <v>#NAME?</v>
      </c>
      <c r="CV184" s="1" t="e">
        <f ca="1">_xll.BDH($C$178,"ALTMAN_Z_SCORE","FQ1 2015","FQ1 2015","Currency=INR","Period=FQ","BEST_FPERIOD_OVERRIDE=FQ","FILING_STATUS=OR","EQY_CONSOLIDATED=Y","Sort=A","Dates=H","DateFormat=P","Fill=—","Direction=H","UseDPDF=Y")</f>
        <v>#NAME?</v>
      </c>
      <c r="CW184" s="3" t="e">
        <f ca="1">_xll.BDH($C$178,"ACCT_RCV_TURN","FQ1 2015","FQ1 2015","Currency=INR","Period=FQ","BEST_FPERIOD_OVERRIDE=FQ","FILING_STATUS=OR","EQY_CONSOLIDATED=Y","FA_ADJUSTED=GAAP","Sort=A","Dates=H","DateFormat=P","Fill=—","Direction=H","UseDPDF=Y")</f>
        <v>#NAME?</v>
      </c>
      <c r="CX184" s="1" t="e">
        <f ca="1">_xll.BDH($C$178,"ACCT_RCV_DAYS","FQ1 2015","FQ1 2015","Currency=INR","Period=FQ","BEST_FPERIOD_OVERRIDE=FQ","FILING_STATUS=OR","EQY_CONSOLIDATED=Y","FA_ADJUSTED=GAAP","Sort=A","Dates=H","DateFormat=P","Fill=—","Direction=H","UseDPDF=Y")</f>
        <v>#NAME?</v>
      </c>
      <c r="CY184" s="3" t="e">
        <f ca="1">_xll.BDH($C$178,"INVENT_TURN","FQ1 2015","FQ1 2015","Currency=INR","Period=FQ","BEST_FPERIOD_OVERRIDE=FQ","FILING_STATUS=OR","EQY_CONSOLIDATED=Y","FA_ADJUSTED=GAAP","Sort=A","Dates=H","DateFormat=P","Fill=—","Direction=H","UseDPDF=Y")</f>
        <v>#NAME?</v>
      </c>
      <c r="CZ184" s="1" t="e">
        <f ca="1">_xll.BDH($C$178,"INVENT_DAYS","FQ1 2015","FQ1 2015","Currency=INR","Period=FQ","BEST_FPERIOD_OVERRIDE=FQ","FILING_STATUS=OR","EQY_CONSOLIDATED=Y","FA_ADJUSTED=GAAP","Sort=A","Dates=H","DateFormat=P","Fill=—","Direction=H","UseDPDF=Y")</f>
        <v>#NAME?</v>
      </c>
      <c r="DA184" s="3" t="e">
        <f ca="1">_xll.BDH($C$178,"ACCOUNTS_PAYABLE_TURNOVER","FQ1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84" s="1" t="e">
        <f ca="1">_xll.BDH($C$178,"ACCOUNTS_PAYABLE_TURNOVER_DAYS","FQ1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84" s="3" t="e">
        <f ca="1">_xll.BDH($C$178,"CASH_CONVERSION_CYCLE","FQ1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84" s="3" t="e">
        <f ca="1">_xll.BDH($C$178,"INV_TO_CASH_DAYS","FQ1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184" s="4" t="e">
        <f ca="1">_xll.BDH($C$178,"BS_INVENTORIES","FQ1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184" s="2" t="e">
        <f ca="1">_xll.BDH($C$178,"INVTRY_RAW_MATERIALS","FQ1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84" s="2" t="e">
        <f ca="1">_xll.BDH($C$178,"INVTRY_IN_PROGRESS","FQ1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84" s="2" t="e">
        <f ca="1">_xll.BDH($C$178,"INVTRY_FINISHED_GOODS","FQ1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84" s="2" t="e">
        <f ca="1">_xll.BDH($C$178,"BS_OTHER_INV","FQ1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85" spans="1:113" x14ac:dyDescent="0.3">
      <c r="A185" s="6"/>
      <c r="B185" s="6"/>
      <c r="C185" s="6"/>
      <c r="D185" s="6"/>
      <c r="E185" t="s">
        <v>5</v>
      </c>
      <c r="F185" t="e">
        <f ca="1">_xll.BDH($C$178,"RETURN_COM_EQY","FQ2 2015","FQ2 2015","Currency=INR","Period=FQ","BEST_FPERIOD_OVERRIDE=FQ","FILING_STATUS=OR","EQY_CONSOLIDATED=Y","FA_ADJUSTED=GAAP","Sort=A","Dates=H","DateFormat=P","Fill=—","Direction=H","UseDPDF=Y")</f>
        <v>#NAME?</v>
      </c>
      <c r="G185" t="e">
        <f ca="1">_xll.BDH($C$178,"RETURN_ON_ASSET","FQ2 2015","FQ2 2015","Currency=INR","Period=FQ","BEST_FPERIOD_OVERRIDE=FQ","FILING_STATUS=OR","EQY_CONSOLIDATED=Y","FA_ADJUSTED=GAAP","Sort=A","Dates=H","DateFormat=P","Fill=—","Direction=H","UseDPDF=Y")</f>
        <v>#NAME?</v>
      </c>
      <c r="H185" t="e">
        <f ca="1">_xll.BDH($C$178,"RETURN_ON_CAP","FQ2 2015","FQ2 2015","Currency=INR","Period=FQ","BEST_FPERIOD_OVERRIDE=FQ","FILING_STATUS=OR","EQY_CONSOLIDATED=Y","FA_ADJUSTED=GAAP","Sort=A","Dates=H","DateFormat=P","Fill=—","Direction=H","UseDPDF=Y")</f>
        <v>#NAME?</v>
      </c>
      <c r="I185" t="e">
        <f ca="1">_xll.BDH($C$178,"RETURN_ON_INV_CAPITAL","FQ2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85" t="e">
        <f ca="1">_xll.BDH($C$178,"EBITDA_TO_REVENUE","FQ2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185" t="e">
        <f ca="1">_xll.BDH($C$178,"OPER_MARGIN","FQ2 2015","FQ2 2015","Currency=INR","Period=FQ","BEST_FPERIOD_OVERRIDE=FQ","FILING_STATUS=OR","EQY_CONSOLIDATED=Y","FA_ADJUSTED=GAAP","Sort=A","Dates=H","DateFormat=P","Fill=—","Direction=H","UseDPDF=Y")</f>
        <v>#NAME?</v>
      </c>
      <c r="L185" t="e">
        <f ca="1">_xll.BDH($C$178,"INCREMENTAL_OPERATING_MARGIN","FQ2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85" t="e">
        <f ca="1">_xll.BDH($C$178,"PRETAX_INC_TO_NET_SALES","FQ2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85" t="e">
        <f ca="1">_xll.BDH($C$178,"INC_BEF_XO_ITEMS_TO_NET_SALES","FQ2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85" t="e">
        <f ca="1">_xll.BDH($C$178,"PROF_MARGIN","FQ2 2015","FQ2 2015","Currency=INR","Period=FQ","BEST_FPERIOD_OVERRIDE=FQ","FILING_STATUS=OR","EQY_CONSOLIDATED=Y","FA_ADJUSTED=GAAP","Sort=A","Dates=H","DateFormat=P","Fill=—","Direction=H","UseDPDF=Y")</f>
        <v>#NAME?</v>
      </c>
      <c r="P185" t="e">
        <f ca="1">_xll.BDH($C$178,"NET_INCOME_TO_COMMON_MARGIN","FQ2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85" t="e">
        <f ca="1">_xll.BDH($C$178,"EFF_TAX_RATE","FQ2 2015","FQ2 2015","Currency=INR","Period=FQ","BEST_FPERIOD_OVERRIDE=FQ","FILING_STATUS=OR","EQY_CONSOLIDATED=Y","FA_ADJUSTED=GAAP","Sort=A","Dates=H","DateFormat=P","Fill=—","Direction=H","UseDPDF=Y")</f>
        <v>#NAME?</v>
      </c>
      <c r="R185" t="e">
        <f ca="1">_xll.BDH($C$178,"DVD_PAYOUT_RATIO","FQ2 2015","FQ2 2015","Currency=INR","Period=FQ","BEST_FPERIOD_OVERRIDE=FQ","FILING_STATUS=OR","EQY_CONSOLIDATED=Y","FA_ADJUSTED=GAAP","Sort=A","Dates=H","DateFormat=P","Fill=—","Direction=H","UseDPDF=Y")</f>
        <v>#NAME?</v>
      </c>
      <c r="S185" t="e">
        <f ca="1">_xll.BDH($C$178,"SUSTAIN_GROWTH_RT","FQ2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185" s="1" t="e">
        <f ca="1">_xll.BDH($C$178,"SALES_GROWTH","FQ2 2015","FQ2 2015","Currency=INR","Period=FQ","BEST_FPERIOD_OVERRIDE=FQ","FILING_STATUS=OR","EQY_CONSOLIDATED=Y","FA_ADJUSTED=GAAP","Sort=A","Dates=H","DateFormat=P","Fill=—","Direction=H","UseDPDF=Y")</f>
        <v>#NAME?</v>
      </c>
      <c r="U185" s="1" t="e">
        <f ca="1">_xll.BDH($C$178,"EBITDA_GROWTH","FQ2 2015","FQ2 2015","Currency=INR","Period=FQ","BEST_FPERIOD_OVERRIDE=FQ","FILING_STATUS=OR","EQY_CONSOLIDATED=Y","FA_ADJUSTED=GAAP","Sort=A","Dates=H","DateFormat=P","Fill=—","Direction=H","UseDPDF=Y")</f>
        <v>#NAME?</v>
      </c>
      <c r="V185" s="1" t="e">
        <f ca="1">_xll.BDH($C$178,"OPER_INC_GROWTH","FQ2 2015","FQ2 2015","Currency=INR","Period=FQ","BEST_FPERIOD_OVERRIDE=FQ","FILING_STATUS=OR","EQY_CONSOLIDATED=Y","FA_ADJUSTED=GAAP","Sort=A","Dates=H","DateFormat=P","Fill=—","Direction=H","UseDPDF=Y")</f>
        <v>#NAME?</v>
      </c>
      <c r="W185" s="1" t="e">
        <f ca="1">_xll.BDH($C$178,"EARN_FOR_COM_GROWTH","FQ2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85" s="1" t="e">
        <f ca="1">_xll.BDH($C$178,"DILUTED_EPS_AFT_XO_ITEMS_GROWTH","FQ2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85" s="1" t="e">
        <f ca="1">_xll.BDH($C$178,"DIVIDEND_PER_SHARE_1_YEAR_GROWTH","FQ2 2015","FQ2 2015","Currency=INR","Period=FQ","BEST_FPERIOD_OVERRIDE=FQ","FILING_STATUS=OR","EQY_CONSOLIDATED=Y","Sort=A","Dates=H","DateFormat=P","Fill=—","Direction=H","UseDPDF=Y")</f>
        <v>#NAME?</v>
      </c>
      <c r="Z185" s="1" t="e">
        <f ca="1">_xll.BDH($C$178,"ACCOUNTS_RECEIVABLE_GROWTH","FQ2 2015","FQ2 2015","Currency=INR","Period=FQ","BEST_FPERIOD_OVERRIDE=FQ","FILING_STATUS=OR","EQY_CONSOLIDATED=Y","Sort=A","Dates=H","DateFormat=P","Fill=—","Direction=H","UseDPDF=Y")</f>
        <v>#NAME?</v>
      </c>
      <c r="AA185" s="1" t="e">
        <f ca="1">_xll.BDH($C$178,"INVENTORY_GROWTH","FQ2 2015","FQ2 2015","Currency=INR","Period=FQ","BEST_FPERIOD_OVERRIDE=FQ","FILING_STATUS=OR","EQY_CONSOLIDATED=Y","Sort=A","Dates=H","DateFormat=P","Fill=—","Direction=H","UseDPDF=Y")</f>
        <v>#NAME?</v>
      </c>
      <c r="AB185" s="1" t="e">
        <f ca="1">_xll.BDH($C$178,"NET_FIXED_ASSETS_1_YEAR_GROWTH","FQ2 2015","FQ2 2015","Currency=INR","Period=FQ","BEST_FPERIOD_OVERRIDE=FQ","FILING_STATUS=OR","EQY_CONSOLIDATED=Y","Sort=A","Dates=H","DateFormat=P","Fill=—","Direction=H","UseDPDF=Y")</f>
        <v>#NAME?</v>
      </c>
      <c r="AC185" s="1" t="e">
        <f ca="1">_xll.BDH($C$178,"ASSET_GROWTH","FQ2 2015","FQ2 2015","Currency=INR","Period=FQ","BEST_FPERIOD_OVERRIDE=FQ","FILING_STATUS=OR","EQY_CONSOLIDATED=Y","Sort=A","Dates=H","DateFormat=P","Fill=—","Direction=H","UseDPDF=Y")</f>
        <v>#NAME?</v>
      </c>
      <c r="AD185" s="1" t="e">
        <f ca="1">_xll.BDH($C$178,"MODIFIED_WORK_CAP_GROWTH","FQ2 2015","FQ2 2015","Currency=INR","Period=FQ","BEST_FPERIOD_OVERRIDE=FQ","FILING_STATUS=OR","EQY_CONSOLIDATED=Y","Sort=A","Dates=H","DateFormat=P","Fill=—","Direction=H","UseDPDF=Y")</f>
        <v>#NAME?</v>
      </c>
      <c r="AE185" s="1" t="e">
        <f ca="1">_xll.BDH($C$178,"WORK_CAP_GROWTH","FQ2 2015","FQ2 2015","Currency=INR","Period=FQ","BEST_FPERIOD_OVERRIDE=FQ","FILING_STATUS=OR","EQY_CONSOLIDATED=Y","Sort=A","Dates=H","DateFormat=P","Fill=—","Direction=H","UseDPDF=Y")</f>
        <v>#NAME?</v>
      </c>
      <c r="AF185" s="1" t="e">
        <f ca="1">_xll.BDH($C$178,"ACCOUNTS_PAYABLE_GROWTH_1YR","FQ2 2015","FQ2 2015","Currency=INR","Period=FQ","BEST_FPERIOD_OVERRIDE=FQ","FILING_STATUS=OR","EQY_CONSOLIDATED=Y","Sort=A","Dates=H","DateFormat=P","Fill=—","Direction=H","UseDPDF=Y")</f>
        <v>#NAME?</v>
      </c>
      <c r="AG185" s="1" t="e">
        <f ca="1">_xll.BDH($C$178,"SHORT_TERM_DEBT_1_YEAR_GROWTH","FQ2 2015","FQ2 2015","Currency=INR","Period=FQ","BEST_FPERIOD_OVERRIDE=FQ","FILING_STATUS=OR","EQY_CONSOLIDATED=Y","Sort=A","Dates=H","DateFormat=P","Fill=—","Direction=H","UseDPDF=Y")</f>
        <v>#NAME?</v>
      </c>
      <c r="AH185" s="1" t="e">
        <f ca="1">_xll.BDH($C$178,"TOTAL_DEBT_1_YEAR_GROWTH","FQ2 2015","FQ2 2015","Currency=INR","Period=FQ","BEST_FPERIOD_OVERRIDE=FQ","FILING_STATUS=OR","EQY_CONSOLIDATED=Y","Sort=A","Dates=H","DateFormat=P","Fill=—","Direction=H","UseDPDF=Y")</f>
        <v>#NAME?</v>
      </c>
      <c r="AI185" s="1" t="e">
        <f ca="1">_xll.BDH($C$178,"TOTAL_EQUITY_1_YEAR_GROWTH","FQ2 2015","FQ2 2015","Currency=INR","Period=FQ","BEST_FPERIOD_OVERRIDE=FQ","FILING_STATUS=OR","EQY_CONSOLIDATED=Y","Sort=A","Dates=H","DateFormat=P","Fill=—","Direction=H","UseDPDF=Y")</f>
        <v>#NAME?</v>
      </c>
      <c r="AJ185" s="1" t="e">
        <f ca="1">_xll.BDH($C$178,"GROWTH_IN_CAP","FQ2 2015","FQ2 2015","Currency=INR","Period=FQ","BEST_FPERIOD_OVERRIDE=FQ","FILING_STATUS=OR","EQY_CONSOLIDATED=Y","Sort=A","Dates=H","DateFormat=P","Fill=—","Direction=H","UseDPDF=Y")</f>
        <v>#NAME?</v>
      </c>
      <c r="AK185" s="1" t="e">
        <f ca="1">_xll.BDH($C$178,"BVPS_GROWTH","FQ2 2015","FQ2 2015","Currency=INR","Period=FQ","BEST_FPERIOD_OVERRIDE=FQ","FILING_STATUS=OR","EQY_CONSOLIDATED=Y","Sort=A","Dates=H","DateFormat=P","Fill=—","Direction=H","UseDPDF=Y")</f>
        <v>#NAME?</v>
      </c>
      <c r="AL185" s="1" t="e">
        <f ca="1">_xll.BDH($C$178,"CASH_FLOW_GROWTH","FQ2 2015","FQ2 2015","Currency=INR","Period=FQ","BEST_FPERIOD_OVERRIDE=FQ","FILING_STATUS=OR","EQY_CONSOLIDATED=Y","Sort=A","Dates=H","DateFormat=P","Fill=—","Direction=H","UseDPDF=Y")</f>
        <v>#NAME?</v>
      </c>
      <c r="AM185" s="1" t="e">
        <f ca="1">_xll.BDH($C$178,"GEO_GROW_NET_SALES","FQ2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85" s="1" t="e">
        <f ca="1">_xll.BDH($C$178,"GEO_GROW_EBITDA","FQ2 2015","FQ2 2015","Currency=INR","Period=FQ","BEST_FPERIOD_OVERRIDE=FQ","FILING_STATUS=OR","EQY_CONSOLIDATED=Y","FA_ADJUSTED=GAAP","Sort=A","Dates=H","DateFormat=P","Fill=—","Direction=H","UseDPDF=Y")</f>
        <v>#NAME?</v>
      </c>
      <c r="AO185" s="1" t="e">
        <f ca="1">_xll.BDH($C$178,"GEO_GROW_OPER_INC","FQ2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85" s="1" t="e">
        <f ca="1">_xll.BDH($C$178,"NET_INCOME_TO_COMMON_5_YR_GROWTH","FQ2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85" s="1" t="e">
        <f ca="1">_xll.BDH($C$178,"5Y_GEO_GROWTH_DILUTED_EPS","FQ2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85" s="1" t="e">
        <f ca="1">_xll.BDH($C$178,"GEO_GROW_DVD_PER_SH","FQ2 2015","FQ2 2015","Currency=INR","Period=FQ","BEST_FPERIOD_OVERRIDE=FQ","FILING_STATUS=OR","EQY_CONSOLIDATED=Y","Sort=A","Dates=H","DateFormat=P","Fill=—","Direction=H","UseDPDF=Y")</f>
        <v>#NAME?</v>
      </c>
      <c r="AS185" s="1" t="e">
        <f ca="1">_xll.BDH($C$178,"ACCOUNTS_RECEIVABLE_5_YR_GROWTH","FQ2 2015","FQ2 2015","Currency=INR","Period=FQ","BEST_FPERIOD_OVERRIDE=FQ","FILING_STATUS=OR","EQY_CONSOLIDATED=Y","Sort=A","Dates=H","DateFormat=P","Fill=—","Direction=H","UseDPDF=Y")</f>
        <v>#NAME?</v>
      </c>
      <c r="AT185" s="1" t="e">
        <f ca="1">_xll.BDH($C$178,"INVENTORY_5_YEAR_GROWTH","FQ2 2015","FQ2 2015","Currency=INR","Period=FQ","BEST_FPERIOD_OVERRIDE=FQ","FILING_STATUS=OR","EQY_CONSOLIDATED=Y","Sort=A","Dates=H","DateFormat=P","Fill=—","Direction=H","UseDPDF=Y")</f>
        <v>#NAME?</v>
      </c>
      <c r="AU185" s="1" t="e">
        <f ca="1">_xll.BDH($C$178,"NET_FIXED_ASSETS_5_YEAR_GROWTH","FQ2 2015","FQ2 2015","Currency=INR","Period=FQ","BEST_FPERIOD_OVERRIDE=FQ","FILING_STATUS=OR","EQY_CONSOLIDATED=Y","Sort=A","Dates=H","DateFormat=P","Fill=—","Direction=H","UseDPDF=Y")</f>
        <v>#NAME?</v>
      </c>
      <c r="AV185" s="1" t="e">
        <f ca="1">_xll.BDH($C$178,"GEO_GROW_TOT_ASSET","FQ2 2015","FQ2 2015","Currency=INR","Period=FQ","BEST_FPERIOD_OVERRIDE=FQ","FILING_STATUS=OR","EQY_CONSOLIDATED=Y","Sort=A","Dates=H","DateFormat=P","Fill=—","Direction=H","UseDPDF=Y")</f>
        <v>#NAME?</v>
      </c>
      <c r="AW185" s="1" t="e">
        <f ca="1">_xll.BDH($C$178,"MODIFIED_WORKING_CPTL_5YR_GRWTH","FQ2 2015","FQ2 2015","Currency=INR","Period=FQ","BEST_FPERIOD_OVERRIDE=FQ","FILING_STATUS=OR","EQY_CONSOLIDATED=Y","Sort=A","Dates=H","DateFormat=P","Fill=—","Direction=H","UseDPDF=Y")</f>
        <v>#NAME?</v>
      </c>
      <c r="AX185" s="1" t="e">
        <f ca="1">_xll.BDH($C$178,"WORKING_CAPITAL_5_YEAR_GROWTH","FQ2 2015","FQ2 2015","Currency=INR","Period=FQ","BEST_FPERIOD_OVERRIDE=FQ","FILING_STATUS=OR","EQY_CONSOLIDATED=Y","Sort=A","Dates=H","DateFormat=P","Fill=—","Direction=H","UseDPDF=Y")</f>
        <v>#NAME?</v>
      </c>
      <c r="AY185" s="1" t="e">
        <f ca="1">_xll.BDH($C$178,"ACCOUNTS_PAYABLE_5_YEAR_GROWTH","FQ2 2015","FQ2 2015","Currency=INR","Period=FQ","BEST_FPERIOD_OVERRIDE=FQ","FILING_STATUS=OR","EQY_CONSOLIDATED=Y","Sort=A","Dates=H","DateFormat=P","Fill=—","Direction=H","UseDPDF=Y")</f>
        <v>#NAME?</v>
      </c>
      <c r="AZ185" s="1" t="e">
        <f ca="1">_xll.BDH($C$178,"SHORT_TERM_DEBT_5_YEAR_GROWTH","FQ2 2015","FQ2 2015","Currency=INR","Period=FQ","BEST_FPERIOD_OVERRIDE=FQ","FILING_STATUS=OR","EQY_CONSOLIDATED=Y","Sort=A","Dates=H","DateFormat=P","Fill=—","Direction=H","UseDPDF=Y")</f>
        <v>#NAME?</v>
      </c>
      <c r="BA185" s="1" t="e">
        <f ca="1">_xll.BDH($C$178,"TOTAL_DEBT_5_YEAR_GROWTH","FQ2 2015","FQ2 2015","Currency=INR","Period=FQ","BEST_FPERIOD_OVERRIDE=FQ","FILING_STATUS=OR","EQY_CONSOLIDATED=Y","Sort=A","Dates=H","DateFormat=P","Fill=—","Direction=H","UseDPDF=Y")</f>
        <v>#NAME?</v>
      </c>
      <c r="BB185" s="1" t="e">
        <f ca="1">_xll.BDH($C$178,"GEO_GROW_TOT_SHRHLDR_EQY","FQ2 2015","FQ2 2015","Currency=INR","Period=FQ","BEST_FPERIOD_OVERRIDE=FQ","FILING_STATUS=OR","EQY_CONSOLIDATED=Y","Sort=A","Dates=H","DateFormat=P","Fill=—","Direction=H","UseDPDF=Y")</f>
        <v>#NAME?</v>
      </c>
      <c r="BC185" s="1" t="e">
        <f ca="1">_xll.BDH($C$178,"TOTAL_CAPITAL_5_YEAR_GROWTH","FQ2 2015","FQ2 2015","Currency=INR","Period=FQ","BEST_FPERIOD_OVERRIDE=FQ","FILING_STATUS=OR","EQY_CONSOLIDATED=Y","Sort=A","Dates=H","DateFormat=P","Fill=—","Direction=H","UseDPDF=Y")</f>
        <v>#NAME?</v>
      </c>
      <c r="BD185" s="1" t="e">
        <f ca="1">_xll.BDH($C$178,"GEO_GROW_BOOK_VAL","FQ2 2015","FQ2 2015","Currency=INR","Period=FQ","BEST_FPERIOD_OVERRIDE=FQ","FILING_STATUS=OR","EQY_CONSOLIDATED=Y","Sort=A","Dates=H","DateFormat=P","Fill=—","Direction=H","UseDPDF=Y")</f>
        <v>#NAME?</v>
      </c>
      <c r="BE185" s="1" t="e">
        <f ca="1">_xll.BDH($C$178,"GEO_GROW_CASH_OPER_ACT","FQ2 2015","FQ2 2015","Currency=INR","Period=FQ","BEST_FPERIOD_OVERRIDE=FQ","FILING_STATUS=OR","EQY_CONSOLIDATED=Y","Sort=A","Dates=H","DateFormat=P","Fill=—","Direction=H","UseDPDF=Y")</f>
        <v>#NAME?</v>
      </c>
      <c r="BF185" s="1" t="e">
        <f ca="1">_xll.BDH($C$178,"REVENUE_SEQUENTIAL_GROWTH","FQ2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85" s="1" t="e">
        <f ca="1">_xll.BDH($C$178,"EBITDA_SEQUENTIAL_GROWTH","FQ2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85" s="1" t="e">
        <f ca="1">_xll.BDH($C$178,"OPERATING_INCOME_SEQ_GROWTH","FQ2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85" s="1" t="e">
        <f ca="1">_xll.BDH($C$178,"NET_INCOME_TO_COMMON_SEQ_GROWTH","FQ2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85" s="1" t="e">
        <f ca="1">_xll.BDH($C$178,"EPS_DILUTED_SEQUENTIAL_GROWTH","FQ2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85" s="1" t="e">
        <f ca="1">_xll.BDH($C$178,"DPS_SEQUENTIAL_GROWTH","FQ2 2015","FQ2 2015","Currency=INR","Period=FQ","BEST_FPERIOD_OVERRIDE=FQ","FILING_STATUS=OR","EQY_CONSOLIDATED=Y","Sort=A","Dates=H","DateFormat=P","Fill=—","Direction=H","UseDPDF=Y")</f>
        <v>#NAME?</v>
      </c>
      <c r="BL185" s="1" t="e">
        <f ca="1">_xll.BDH($C$178,"ACCOUNTS_RECEIVABLE_SEQ_GROWTH","FQ2 2015","FQ2 2015","Currency=INR","Period=FQ","BEST_FPERIOD_OVERRIDE=FQ","FILING_STATUS=OR","EQY_CONSOLIDATED=Y","Sort=A","Dates=H","DateFormat=P","Fill=—","Direction=H","UseDPDF=Y")</f>
        <v>#NAME?</v>
      </c>
      <c r="BM185" s="1" t="e">
        <f ca="1">_xll.BDH($C$178,"INVENTORY_SEQUENTIAL_GROWTH","FQ2 2015","FQ2 2015","Currency=INR","Period=FQ","BEST_FPERIOD_OVERRIDE=FQ","FILING_STATUS=OR","EQY_CONSOLIDATED=Y","Sort=A","Dates=H","DateFormat=P","Fill=—","Direction=H","UseDPDF=Y")</f>
        <v>#NAME?</v>
      </c>
      <c r="BN185" s="1" t="e">
        <f ca="1">_xll.BDH($C$178,"FIXED_ASSETS_SEQUENTIAL_GROWTH","FQ2 2015","FQ2 2015","Currency=INR","Period=FQ","BEST_FPERIOD_OVERRIDE=FQ","FILING_STATUS=OR","EQY_CONSOLIDATED=Y","Sort=A","Dates=H","DateFormat=P","Fill=—","Direction=H","UseDPDF=Y")</f>
        <v>#NAME?</v>
      </c>
      <c r="BO185" s="1" t="e">
        <f ca="1">_xll.BDH($C$178,"TOTAL_ASSETS_SEQUENTIAL_GROWTH","FQ2 2015","FQ2 2015","Currency=INR","Period=FQ","BEST_FPERIOD_OVERRIDE=FQ","FILING_STATUS=OR","EQY_CONSOLIDATED=Y","Sort=A","Dates=H","DateFormat=P","Fill=—","Direction=H","UseDPDF=Y")</f>
        <v>#NAME?</v>
      </c>
      <c r="BP185" s="1" t="e">
        <f ca="1">_xll.BDH($C$178,"MODIFIED_WORKING_CPTL_SEQ_GRWTH","FQ2 2015","FQ2 2015","Currency=INR","Period=FQ","BEST_FPERIOD_OVERRIDE=FQ","FILING_STATUS=OR","EQY_CONSOLIDATED=Y","Sort=A","Dates=H","DateFormat=P","Fill=—","Direction=H","UseDPDF=Y")</f>
        <v>#NAME?</v>
      </c>
      <c r="BQ185" s="1" t="e">
        <f ca="1">_xll.BDH($C$178,"WORKING_CAPITAL_SEQ_GROWTH","FQ2 2015","FQ2 2015","Currency=INR","Period=FQ","BEST_FPERIOD_OVERRIDE=FQ","FILING_STATUS=OR","EQY_CONSOLIDATED=Y","Sort=A","Dates=H","DateFormat=P","Fill=—","Direction=H","UseDPDF=Y")</f>
        <v>#NAME?</v>
      </c>
      <c r="BR185" s="1" t="e">
        <f ca="1">_xll.BDH($C$178,"ACCOUNTS_PAYABLE_SEQ_GROWTH","FQ2 2015","FQ2 2015","Currency=INR","Period=FQ","BEST_FPERIOD_OVERRIDE=FQ","FILING_STATUS=OR","EQY_CONSOLIDATED=Y","Sort=A","Dates=H","DateFormat=P","Fill=—","Direction=H","UseDPDF=Y")</f>
        <v>#NAME?</v>
      </c>
      <c r="BS185" s="1" t="e">
        <f ca="1">_xll.BDH($C$178,"ST_DEBT_SEQUENTIAL_GROWTH","FQ2 2015","FQ2 2015","Currency=INR","Period=FQ","BEST_FPERIOD_OVERRIDE=FQ","FILING_STATUS=OR","EQY_CONSOLIDATED=Y","Sort=A","Dates=H","DateFormat=P","Fill=—","Direction=H","UseDPDF=Y")</f>
        <v>#NAME?</v>
      </c>
      <c r="BT185" s="1" t="e">
        <f ca="1">_xll.BDH($C$178,"TOTAL_DEBT_SEQUENTIAL_GROWTH","FQ2 2015","FQ2 2015","Currency=INR","Period=FQ","BEST_FPERIOD_OVERRIDE=FQ","FILING_STATUS=OR","EQY_CONSOLIDATED=Y","Sort=A","Dates=H","DateFormat=P","Fill=—","Direction=H","UseDPDF=Y")</f>
        <v>#NAME?</v>
      </c>
      <c r="BU185" s="1" t="e">
        <f ca="1">_xll.BDH($C$178,"TOTAL_EQUITY_SEQUENTIAL_GROWTH","FQ2 2015","FQ2 2015","Currency=INR","Period=FQ","BEST_FPERIOD_OVERRIDE=FQ","FILING_STATUS=OR","EQY_CONSOLIDATED=Y","Sort=A","Dates=H","DateFormat=P","Fill=—","Direction=H","UseDPDF=Y")</f>
        <v>#NAME?</v>
      </c>
      <c r="BV185" s="1" t="e">
        <f ca="1">_xll.BDH($C$178,"TOTAL_CAPITAL_SEQUENTIAL_GROWTH","FQ2 2015","FQ2 2015","Currency=INR","Period=FQ","BEST_FPERIOD_OVERRIDE=FQ","FILING_STATUS=OR","EQY_CONSOLIDATED=Y","Sort=A","Dates=H","DateFormat=P","Fill=—","Direction=H","UseDPDF=Y")</f>
        <v>#NAME?</v>
      </c>
      <c r="BW185" s="1" t="e">
        <f ca="1">_xll.BDH($C$178,"BPS_SEQUENTIAL_GROWTH","FQ2 2015","FQ2 2015","Currency=INR","Period=FQ","BEST_FPERIOD_OVERRIDE=FQ","FILING_STATUS=OR","EQY_CONSOLIDATED=Y","Sort=A","Dates=H","DateFormat=P","Fill=—","Direction=H","UseDPDF=Y")</f>
        <v>#NAME?</v>
      </c>
      <c r="BX185" s="1" t="e">
        <f ca="1">_xll.BDH($C$178,"CFO_SEQUENTIAL_GROWTH","FQ2 2015","FQ2 2015","Currency=INR","Period=FQ","BEST_FPERIOD_OVERRIDE=FQ","FILING_STATUS=OR","EQY_CONSOLIDATED=Y","Sort=A","Dates=H","DateFormat=P","Fill=—","Direction=H","UseDPDF=Y")</f>
        <v>#NAME?</v>
      </c>
      <c r="BY185" s="2" t="e">
        <f ca="1">_xll.BDH($C$178,"SHORT_AND_LONG_TERM_DEBT","FQ2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85" s="2" t="e">
        <f ca="1">_xll.BDH($C$178,"BS_ST_BORROW","FQ2 2015","FQ2 2015","Currency=INR","Period=FQ","BEST_FPERIOD_OVERRIDE=FQ","FILING_STATUS=OR","EQY_CONSOLIDATED=Y","SCALING_FORMAT=MLN","Sort=A","Dates=H","DateFormat=P","Fill=—","Direction=H","UseDPDF=Y")</f>
        <v>#NAME?</v>
      </c>
      <c r="CA185" s="2" t="e">
        <f ca="1">_xll.BDH($C$178,"BS_LT_BORROW","FQ2 2015","FQ2 2015","Currency=INR","Period=FQ","BEST_FPERIOD_OVERRIDE=FQ","FILING_STATUS=OR","EQY_CONSOLIDATED=Y","SCALING_FORMAT=MLN","Sort=A","Dates=H","DateFormat=P","Fill=—","Direction=H","UseDPDF=Y")</f>
        <v>#NAME?</v>
      </c>
      <c r="CB185" s="1" t="e">
        <f ca="1">_xll.BDH($C$178,"TOT_DEBT_TO_EBITDA","FQ2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85" s="1" t="e">
        <f ca="1">_xll.BDH($C$178,"NET_DEBT_TO_EBITDA","FQ2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85" s="1" t="e">
        <f ca="1">_xll.BDH($C$178,"TOTAL_DEBT_TO_EBIT","FQ2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85" s="1" t="e">
        <f ca="1">_xll.BDH($C$178,"NET_DEBT_TO_EBIT","FQ2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185" s="1" t="e">
        <f ca="1">_xll.BDH($C$178,"EBITDA_TO_INTEREST_EXPN","FQ2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85" s="1" t="e">
        <f ca="1">_xll.BDH($C$178,"COM_EQY_TO_TOT_ASSET","FQ2 2015","FQ2 2015","Currency=INR","Period=FQ","BEST_FPERIOD_OVERRIDE=FQ","FILING_STATUS=OR","EQY_CONSOLIDATED=Y","Sort=A","Dates=H","DateFormat=P","Fill=—","Direction=H","UseDPDF=Y")</f>
        <v>#NAME?</v>
      </c>
      <c r="CH185" s="1" t="e">
        <f ca="1">_xll.BDH($C$178,"LT_DEBT_TO_TOT_EQY","FQ2 2015","FQ2 2015","Currency=INR","Period=FQ","BEST_FPERIOD_OVERRIDE=FQ","FILING_STATUS=OR","EQY_CONSOLIDATED=Y","Sort=A","Dates=H","DateFormat=P","Fill=—","Direction=H","UseDPDF=Y")</f>
        <v>#NAME?</v>
      </c>
      <c r="CI185" s="1" t="e">
        <f ca="1">_xll.BDH($C$178,"LT_DEBT_TO_TOT_CAP","FQ2 2015","FQ2 2015","Currency=INR","Period=FQ","BEST_FPERIOD_OVERRIDE=FQ","FILING_STATUS=OR","EQY_CONSOLIDATED=Y","Sort=A","Dates=H","DateFormat=P","Fill=—","Direction=H","UseDPDF=Y")</f>
        <v>#NAME?</v>
      </c>
      <c r="CJ185" s="1" t="e">
        <f ca="1">_xll.BDH($C$178,"LT_DEBT_TO_TOT_ASSET","FQ2 2015","FQ2 2015","Currency=INR","Period=FQ","BEST_FPERIOD_OVERRIDE=FQ","FILING_STATUS=OR","EQY_CONSOLIDATED=Y","Sort=A","Dates=H","DateFormat=P","Fill=—","Direction=H","UseDPDF=Y")</f>
        <v>#NAME?</v>
      </c>
      <c r="CK185" s="1" t="e">
        <f ca="1">_xll.BDH($C$178,"TOT_DEBT_TO_TOT_EQY","FQ2 2015","FQ2 2015","Currency=INR","Period=FQ","BEST_FPERIOD_OVERRIDE=FQ","FILING_STATUS=OR","EQY_CONSOLIDATED=Y","Sort=A","Dates=H","DateFormat=P","Fill=—","Direction=H","UseDPDF=Y")</f>
        <v>#NAME?</v>
      </c>
      <c r="CL185" s="1" t="e">
        <f ca="1">_xll.BDH($C$178,"TOT_DEBT_TO_TOT_CAP","FQ2 2015","FQ2 2015","Currency=INR","Period=FQ","BEST_FPERIOD_OVERRIDE=FQ","FILING_STATUS=OR","EQY_CONSOLIDATED=Y","Sort=A","Dates=H","DateFormat=P","Fill=—","Direction=H","UseDPDF=Y")</f>
        <v>#NAME?</v>
      </c>
      <c r="CM185" s="1" t="e">
        <f ca="1">_xll.BDH($C$178,"TOT_DEBT_TO_TOT_ASSET","FQ2 2015","FQ2 2015","Currency=INR","Period=FQ","BEST_FPERIOD_OVERRIDE=FQ","FILING_STATUS=OR","EQY_CONSOLIDATED=Y","Sort=A","Dates=H","DateFormat=P","Fill=—","Direction=H","UseDPDF=Y")</f>
        <v>#NAME?</v>
      </c>
      <c r="CN185" s="1" t="e">
        <f ca="1">_xll.BDH($C$178,"NET_DEBT_TO_SHRHLDR_EQTY","FQ2 2015","FQ2 2015","Currency=INR","Period=FQ","BEST_FPERIOD_OVERRIDE=FQ","FILING_STATUS=OR","EQY_CONSOLIDATED=Y","Sort=A","Dates=H","DateFormat=P","Fill=—","Direction=H","UseDPDF=Y")</f>
        <v>#NAME?</v>
      </c>
      <c r="CO185" s="1" t="e">
        <f ca="1">_xll.BDH($C$178,"NET_DEBT_%_CAPITAL","FQ2 2015","FQ2 2015","Currency=INR","Period=FQ","BEST_FPERIOD_OVERRIDE=FQ","FILING_STATUS=OR","EQY_CONSOLIDATED=Y","Sort=A","Dates=H","DateFormat=P","Fill=—","Direction=H","UseDPDF=Y")</f>
        <v>#NAME?</v>
      </c>
      <c r="CP185" s="2" t="e">
        <f ca="1">_xll.BDH($C$178,"EBITDA","FQ2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85" s="2" t="e">
        <f ca="1">_xll.BDH($C$178,"EBITDA_AFTER_CAPEX","FQ2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85" s="2" t="e">
        <f ca="1">_xll.BDH($C$178,"IS_OPER_INC","FQ2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85" s="1" t="e">
        <f ca="1">_xll.BDH($C$178,"CASH_RATIO","FQ2 2015","FQ2 2015","Currency=INR","Period=FQ","BEST_FPERIOD_OVERRIDE=FQ","FILING_STATUS=OR","EQY_CONSOLIDATED=Y","Sort=A","Dates=H","DateFormat=P","Fill=—","Direction=H","UseDPDF=Y")</f>
        <v>#NAME?</v>
      </c>
      <c r="CT185" s="1" t="e">
        <f ca="1">_xll.BDH($C$178,"CUR_RATIO","FQ2 2015","FQ2 2015","Currency=INR","Period=FQ","BEST_FPERIOD_OVERRIDE=FQ","FILING_STATUS=OR","EQY_CONSOLIDATED=Y","Sort=A","Dates=H","DateFormat=P","Fill=—","Direction=H","UseDPDF=Y")</f>
        <v>#NAME?</v>
      </c>
      <c r="CU185" s="1" t="e">
        <f ca="1">_xll.BDH($C$178,"QUICK_RATIO","FQ2 2015","FQ2 2015","Currency=INR","Period=FQ","BEST_FPERIOD_OVERRIDE=FQ","FILING_STATUS=OR","EQY_CONSOLIDATED=Y","Sort=A","Dates=H","DateFormat=P","Fill=—","Direction=H","UseDPDF=Y")</f>
        <v>#NAME?</v>
      </c>
      <c r="CV185" s="1" t="e">
        <f ca="1">_xll.BDH($C$178,"ALTMAN_Z_SCORE","FQ2 2015","FQ2 2015","Currency=INR","Period=FQ","BEST_FPERIOD_OVERRIDE=FQ","FILING_STATUS=OR","EQY_CONSOLIDATED=Y","Sort=A","Dates=H","DateFormat=P","Fill=—","Direction=H","UseDPDF=Y")</f>
        <v>#NAME?</v>
      </c>
      <c r="CW185" s="3" t="e">
        <f ca="1">_xll.BDH($C$178,"ACCT_RCV_TURN","FQ2 2015","FQ2 2015","Currency=INR","Period=FQ","BEST_FPERIOD_OVERRIDE=FQ","FILING_STATUS=OR","EQY_CONSOLIDATED=Y","FA_ADJUSTED=GAAP","Sort=A","Dates=H","DateFormat=P","Fill=—","Direction=H","UseDPDF=Y")</f>
        <v>#NAME?</v>
      </c>
      <c r="CX185" s="1" t="e">
        <f ca="1">_xll.BDH($C$178,"ACCT_RCV_DAYS","FQ2 2015","FQ2 2015","Currency=INR","Period=FQ","BEST_FPERIOD_OVERRIDE=FQ","FILING_STATUS=OR","EQY_CONSOLIDATED=Y","FA_ADJUSTED=GAAP","Sort=A","Dates=H","DateFormat=P","Fill=—","Direction=H","UseDPDF=Y")</f>
        <v>#NAME?</v>
      </c>
      <c r="CY185" s="3" t="e">
        <f ca="1">_xll.BDH($C$178,"INVENT_TURN","FQ2 2015","FQ2 2015","Currency=INR","Period=FQ","BEST_FPERIOD_OVERRIDE=FQ","FILING_STATUS=OR","EQY_CONSOLIDATED=Y","FA_ADJUSTED=GAAP","Sort=A","Dates=H","DateFormat=P","Fill=—","Direction=H","UseDPDF=Y")</f>
        <v>#NAME?</v>
      </c>
      <c r="CZ185" s="1" t="e">
        <f ca="1">_xll.BDH($C$178,"INVENT_DAYS","FQ2 2015","FQ2 2015","Currency=INR","Period=FQ","BEST_FPERIOD_OVERRIDE=FQ","FILING_STATUS=OR","EQY_CONSOLIDATED=Y","FA_ADJUSTED=GAAP","Sort=A","Dates=H","DateFormat=P","Fill=—","Direction=H","UseDPDF=Y")</f>
        <v>#NAME?</v>
      </c>
      <c r="DA185" s="3" t="e">
        <f ca="1">_xll.BDH($C$178,"ACCOUNTS_PAYABLE_TURNOVER","FQ2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85" s="1" t="e">
        <f ca="1">_xll.BDH($C$178,"ACCOUNTS_PAYABLE_TURNOVER_DAYS","FQ2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85" s="3" t="e">
        <f ca="1">_xll.BDH($C$178,"CASH_CONVERSION_CYCLE","FQ2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85" s="3" t="e">
        <f ca="1">_xll.BDH($C$178,"INV_TO_CASH_DAYS","FQ2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185" s="4" t="e">
        <f ca="1">_xll.BDH($C$178,"BS_INVENTORIES","FQ2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185" s="2" t="e">
        <f ca="1">_xll.BDH($C$178,"INVTRY_RAW_MATERIALS","FQ2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85" s="2" t="e">
        <f ca="1">_xll.BDH($C$178,"INVTRY_IN_PROGRESS","FQ2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85" s="2" t="e">
        <f ca="1">_xll.BDH($C$178,"INVTRY_FINISHED_GOODS","FQ2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85" s="2" t="e">
        <f ca="1">_xll.BDH($C$178,"BS_OTHER_INV","FQ2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86" spans="1:113" x14ac:dyDescent="0.3">
      <c r="A186" s="6"/>
      <c r="B186" s="6"/>
      <c r="C186" s="6"/>
      <c r="D186" s="6"/>
      <c r="E186" t="s">
        <v>6</v>
      </c>
      <c r="F186" t="e">
        <f ca="1">_xll.BDH($C$178,"RETURN_COM_EQY","FQ3 2015","FQ3 2015","Currency=INR","Period=FQ","BEST_FPERIOD_OVERRIDE=FQ","FILING_STATUS=OR","EQY_CONSOLIDATED=Y","FA_ADJUSTED=GAAP","Sort=A","Dates=H","DateFormat=P","Fill=—","Direction=H","UseDPDF=Y")</f>
        <v>#NAME?</v>
      </c>
      <c r="G186" t="e">
        <f ca="1">_xll.BDH($C$178,"RETURN_ON_ASSET","FQ3 2015","FQ3 2015","Currency=INR","Period=FQ","BEST_FPERIOD_OVERRIDE=FQ","FILING_STATUS=OR","EQY_CONSOLIDATED=Y","FA_ADJUSTED=GAAP","Sort=A","Dates=H","DateFormat=P","Fill=—","Direction=H","UseDPDF=Y")</f>
        <v>#NAME?</v>
      </c>
      <c r="H186" t="e">
        <f ca="1">_xll.BDH($C$178,"RETURN_ON_CAP","FQ3 2015","FQ3 2015","Currency=INR","Period=FQ","BEST_FPERIOD_OVERRIDE=FQ","FILING_STATUS=OR","EQY_CONSOLIDATED=Y","FA_ADJUSTED=GAAP","Sort=A","Dates=H","DateFormat=P","Fill=—","Direction=H","UseDPDF=Y")</f>
        <v>#NAME?</v>
      </c>
      <c r="I186" t="e">
        <f ca="1">_xll.BDH($C$178,"RETURN_ON_INV_CAPITAL","FQ3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86" t="e">
        <f ca="1">_xll.BDH($C$178,"EBITDA_TO_REVENUE","FQ3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186" t="e">
        <f ca="1">_xll.BDH($C$178,"OPER_MARGIN","FQ3 2015","FQ3 2015","Currency=INR","Period=FQ","BEST_FPERIOD_OVERRIDE=FQ","FILING_STATUS=OR","EQY_CONSOLIDATED=Y","FA_ADJUSTED=GAAP","Sort=A","Dates=H","DateFormat=P","Fill=—","Direction=H","UseDPDF=Y")</f>
        <v>#NAME?</v>
      </c>
      <c r="L186" t="e">
        <f ca="1">_xll.BDH($C$178,"INCREMENTAL_OPERATING_MARGIN","FQ3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86" t="e">
        <f ca="1">_xll.BDH($C$178,"PRETAX_INC_TO_NET_SALES","FQ3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86" t="e">
        <f ca="1">_xll.BDH($C$178,"INC_BEF_XO_ITEMS_TO_NET_SALES","FQ3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86" t="e">
        <f ca="1">_xll.BDH($C$178,"PROF_MARGIN","FQ3 2015","FQ3 2015","Currency=INR","Period=FQ","BEST_FPERIOD_OVERRIDE=FQ","FILING_STATUS=OR","EQY_CONSOLIDATED=Y","FA_ADJUSTED=GAAP","Sort=A","Dates=H","DateFormat=P","Fill=—","Direction=H","UseDPDF=Y")</f>
        <v>#NAME?</v>
      </c>
      <c r="P186" t="e">
        <f ca="1">_xll.BDH($C$178,"NET_INCOME_TO_COMMON_MARGIN","FQ3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86" t="e">
        <f ca="1">_xll.BDH($C$178,"EFF_TAX_RATE","FQ3 2015","FQ3 2015","Currency=INR","Period=FQ","BEST_FPERIOD_OVERRIDE=FQ","FILING_STATUS=OR","EQY_CONSOLIDATED=Y","FA_ADJUSTED=GAAP","Sort=A","Dates=H","DateFormat=P","Fill=—","Direction=H","UseDPDF=Y")</f>
        <v>#NAME?</v>
      </c>
      <c r="R186" t="e">
        <f ca="1">_xll.BDH($C$178,"DVD_PAYOUT_RATIO","FQ3 2015","FQ3 2015","Currency=INR","Period=FQ","BEST_FPERIOD_OVERRIDE=FQ","FILING_STATUS=OR","EQY_CONSOLIDATED=Y","FA_ADJUSTED=GAAP","Sort=A","Dates=H","DateFormat=P","Fill=—","Direction=H","UseDPDF=Y")</f>
        <v>#NAME?</v>
      </c>
      <c r="S186" t="e">
        <f ca="1">_xll.BDH($C$178,"SUSTAIN_GROWTH_RT","FQ3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186" s="1" t="e">
        <f ca="1">_xll.BDH($C$178,"SALES_GROWTH","FQ3 2015","FQ3 2015","Currency=INR","Period=FQ","BEST_FPERIOD_OVERRIDE=FQ","FILING_STATUS=OR","EQY_CONSOLIDATED=Y","FA_ADJUSTED=GAAP","Sort=A","Dates=H","DateFormat=P","Fill=—","Direction=H","UseDPDF=Y")</f>
        <v>#NAME?</v>
      </c>
      <c r="U186" s="1" t="e">
        <f ca="1">_xll.BDH($C$178,"EBITDA_GROWTH","FQ3 2015","FQ3 2015","Currency=INR","Period=FQ","BEST_FPERIOD_OVERRIDE=FQ","FILING_STATUS=OR","EQY_CONSOLIDATED=Y","FA_ADJUSTED=GAAP","Sort=A","Dates=H","DateFormat=P","Fill=—","Direction=H","UseDPDF=Y")</f>
        <v>#NAME?</v>
      </c>
      <c r="V186" s="1" t="e">
        <f ca="1">_xll.BDH($C$178,"OPER_INC_GROWTH","FQ3 2015","FQ3 2015","Currency=INR","Period=FQ","BEST_FPERIOD_OVERRIDE=FQ","FILING_STATUS=OR","EQY_CONSOLIDATED=Y","FA_ADJUSTED=GAAP","Sort=A","Dates=H","DateFormat=P","Fill=—","Direction=H","UseDPDF=Y")</f>
        <v>#NAME?</v>
      </c>
      <c r="W186" s="1" t="e">
        <f ca="1">_xll.BDH($C$178,"EARN_FOR_COM_GROWTH","FQ3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86" s="1" t="e">
        <f ca="1">_xll.BDH($C$178,"DILUTED_EPS_AFT_XO_ITEMS_GROWTH","FQ3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86" s="1" t="e">
        <f ca="1">_xll.BDH($C$178,"DIVIDEND_PER_SHARE_1_YEAR_GROWTH","FQ3 2015","FQ3 2015","Currency=INR","Period=FQ","BEST_FPERIOD_OVERRIDE=FQ","FILING_STATUS=OR","EQY_CONSOLIDATED=Y","Sort=A","Dates=H","DateFormat=P","Fill=—","Direction=H","UseDPDF=Y")</f>
        <v>#NAME?</v>
      </c>
      <c r="Z186" s="1" t="e">
        <f ca="1">_xll.BDH($C$178,"ACCOUNTS_RECEIVABLE_GROWTH","FQ3 2015","FQ3 2015","Currency=INR","Period=FQ","BEST_FPERIOD_OVERRIDE=FQ","FILING_STATUS=OR","EQY_CONSOLIDATED=Y","Sort=A","Dates=H","DateFormat=P","Fill=—","Direction=H","UseDPDF=Y")</f>
        <v>#NAME?</v>
      </c>
      <c r="AA186" s="1" t="e">
        <f ca="1">_xll.BDH($C$178,"INVENTORY_GROWTH","FQ3 2015","FQ3 2015","Currency=INR","Period=FQ","BEST_FPERIOD_OVERRIDE=FQ","FILING_STATUS=OR","EQY_CONSOLIDATED=Y","Sort=A","Dates=H","DateFormat=P","Fill=—","Direction=H","UseDPDF=Y")</f>
        <v>#NAME?</v>
      </c>
      <c r="AB186" s="1" t="e">
        <f ca="1">_xll.BDH($C$178,"NET_FIXED_ASSETS_1_YEAR_GROWTH","FQ3 2015","FQ3 2015","Currency=INR","Period=FQ","BEST_FPERIOD_OVERRIDE=FQ","FILING_STATUS=OR","EQY_CONSOLIDATED=Y","Sort=A","Dates=H","DateFormat=P","Fill=—","Direction=H","UseDPDF=Y")</f>
        <v>#NAME?</v>
      </c>
      <c r="AC186" s="1" t="e">
        <f ca="1">_xll.BDH($C$178,"ASSET_GROWTH","FQ3 2015","FQ3 2015","Currency=INR","Period=FQ","BEST_FPERIOD_OVERRIDE=FQ","FILING_STATUS=OR","EQY_CONSOLIDATED=Y","Sort=A","Dates=H","DateFormat=P","Fill=—","Direction=H","UseDPDF=Y")</f>
        <v>#NAME?</v>
      </c>
      <c r="AD186" s="1" t="e">
        <f ca="1">_xll.BDH($C$178,"MODIFIED_WORK_CAP_GROWTH","FQ3 2015","FQ3 2015","Currency=INR","Period=FQ","BEST_FPERIOD_OVERRIDE=FQ","FILING_STATUS=OR","EQY_CONSOLIDATED=Y","Sort=A","Dates=H","DateFormat=P","Fill=—","Direction=H","UseDPDF=Y")</f>
        <v>#NAME?</v>
      </c>
      <c r="AE186" s="1" t="e">
        <f ca="1">_xll.BDH($C$178,"WORK_CAP_GROWTH","FQ3 2015","FQ3 2015","Currency=INR","Period=FQ","BEST_FPERIOD_OVERRIDE=FQ","FILING_STATUS=OR","EQY_CONSOLIDATED=Y","Sort=A","Dates=H","DateFormat=P","Fill=—","Direction=H","UseDPDF=Y")</f>
        <v>#NAME?</v>
      </c>
      <c r="AF186" s="1" t="e">
        <f ca="1">_xll.BDH($C$178,"ACCOUNTS_PAYABLE_GROWTH_1YR","FQ3 2015","FQ3 2015","Currency=INR","Period=FQ","BEST_FPERIOD_OVERRIDE=FQ","FILING_STATUS=OR","EQY_CONSOLIDATED=Y","Sort=A","Dates=H","DateFormat=P","Fill=—","Direction=H","UseDPDF=Y")</f>
        <v>#NAME?</v>
      </c>
      <c r="AG186" s="1" t="e">
        <f ca="1">_xll.BDH($C$178,"SHORT_TERM_DEBT_1_YEAR_GROWTH","FQ3 2015","FQ3 2015","Currency=INR","Period=FQ","BEST_FPERIOD_OVERRIDE=FQ","FILING_STATUS=OR","EQY_CONSOLIDATED=Y","Sort=A","Dates=H","DateFormat=P","Fill=—","Direction=H","UseDPDF=Y")</f>
        <v>#NAME?</v>
      </c>
      <c r="AH186" s="1" t="e">
        <f ca="1">_xll.BDH($C$178,"TOTAL_DEBT_1_YEAR_GROWTH","FQ3 2015","FQ3 2015","Currency=INR","Period=FQ","BEST_FPERIOD_OVERRIDE=FQ","FILING_STATUS=OR","EQY_CONSOLIDATED=Y","Sort=A","Dates=H","DateFormat=P","Fill=—","Direction=H","UseDPDF=Y")</f>
        <v>#NAME?</v>
      </c>
      <c r="AI186" s="1" t="e">
        <f ca="1">_xll.BDH($C$178,"TOTAL_EQUITY_1_YEAR_GROWTH","FQ3 2015","FQ3 2015","Currency=INR","Period=FQ","BEST_FPERIOD_OVERRIDE=FQ","FILING_STATUS=OR","EQY_CONSOLIDATED=Y","Sort=A","Dates=H","DateFormat=P","Fill=—","Direction=H","UseDPDF=Y")</f>
        <v>#NAME?</v>
      </c>
      <c r="AJ186" s="1" t="e">
        <f ca="1">_xll.BDH($C$178,"GROWTH_IN_CAP","FQ3 2015","FQ3 2015","Currency=INR","Period=FQ","BEST_FPERIOD_OVERRIDE=FQ","FILING_STATUS=OR","EQY_CONSOLIDATED=Y","Sort=A","Dates=H","DateFormat=P","Fill=—","Direction=H","UseDPDF=Y")</f>
        <v>#NAME?</v>
      </c>
      <c r="AK186" s="1" t="e">
        <f ca="1">_xll.BDH($C$178,"BVPS_GROWTH","FQ3 2015","FQ3 2015","Currency=INR","Period=FQ","BEST_FPERIOD_OVERRIDE=FQ","FILING_STATUS=OR","EQY_CONSOLIDATED=Y","Sort=A","Dates=H","DateFormat=P","Fill=—","Direction=H","UseDPDF=Y")</f>
        <v>#NAME?</v>
      </c>
      <c r="AL186" s="1" t="e">
        <f ca="1">_xll.BDH($C$178,"CASH_FLOW_GROWTH","FQ3 2015","FQ3 2015","Currency=INR","Period=FQ","BEST_FPERIOD_OVERRIDE=FQ","FILING_STATUS=OR","EQY_CONSOLIDATED=Y","Sort=A","Dates=H","DateFormat=P","Fill=—","Direction=H","UseDPDF=Y")</f>
        <v>#NAME?</v>
      </c>
      <c r="AM186" s="1" t="e">
        <f ca="1">_xll.BDH($C$178,"GEO_GROW_NET_SALES","FQ3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86" s="1" t="e">
        <f ca="1">_xll.BDH($C$178,"GEO_GROW_EBITDA","FQ3 2015","FQ3 2015","Currency=INR","Period=FQ","BEST_FPERIOD_OVERRIDE=FQ","FILING_STATUS=OR","EQY_CONSOLIDATED=Y","FA_ADJUSTED=GAAP","Sort=A","Dates=H","DateFormat=P","Fill=—","Direction=H","UseDPDF=Y")</f>
        <v>#NAME?</v>
      </c>
      <c r="AO186" s="1" t="e">
        <f ca="1">_xll.BDH($C$178,"GEO_GROW_OPER_INC","FQ3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86" s="1" t="e">
        <f ca="1">_xll.BDH($C$178,"NET_INCOME_TO_COMMON_5_YR_GROWTH","FQ3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86" s="1" t="e">
        <f ca="1">_xll.BDH($C$178,"5Y_GEO_GROWTH_DILUTED_EPS","FQ3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86" s="1" t="e">
        <f ca="1">_xll.BDH($C$178,"GEO_GROW_DVD_PER_SH","FQ3 2015","FQ3 2015","Currency=INR","Period=FQ","BEST_FPERIOD_OVERRIDE=FQ","FILING_STATUS=OR","EQY_CONSOLIDATED=Y","Sort=A","Dates=H","DateFormat=P","Fill=—","Direction=H","UseDPDF=Y")</f>
        <v>#NAME?</v>
      </c>
      <c r="AS186" s="1" t="e">
        <f ca="1">_xll.BDH($C$178,"ACCOUNTS_RECEIVABLE_5_YR_GROWTH","FQ3 2015","FQ3 2015","Currency=INR","Period=FQ","BEST_FPERIOD_OVERRIDE=FQ","FILING_STATUS=OR","EQY_CONSOLIDATED=Y","Sort=A","Dates=H","DateFormat=P","Fill=—","Direction=H","UseDPDF=Y")</f>
        <v>#NAME?</v>
      </c>
      <c r="AT186" s="1" t="e">
        <f ca="1">_xll.BDH($C$178,"INVENTORY_5_YEAR_GROWTH","FQ3 2015","FQ3 2015","Currency=INR","Period=FQ","BEST_FPERIOD_OVERRIDE=FQ","FILING_STATUS=OR","EQY_CONSOLIDATED=Y","Sort=A","Dates=H","DateFormat=P","Fill=—","Direction=H","UseDPDF=Y")</f>
        <v>#NAME?</v>
      </c>
      <c r="AU186" s="1" t="e">
        <f ca="1">_xll.BDH($C$178,"NET_FIXED_ASSETS_5_YEAR_GROWTH","FQ3 2015","FQ3 2015","Currency=INR","Period=FQ","BEST_FPERIOD_OVERRIDE=FQ","FILING_STATUS=OR","EQY_CONSOLIDATED=Y","Sort=A","Dates=H","DateFormat=P","Fill=—","Direction=H","UseDPDF=Y")</f>
        <v>#NAME?</v>
      </c>
      <c r="AV186" s="1" t="e">
        <f ca="1">_xll.BDH($C$178,"GEO_GROW_TOT_ASSET","FQ3 2015","FQ3 2015","Currency=INR","Period=FQ","BEST_FPERIOD_OVERRIDE=FQ","FILING_STATUS=OR","EQY_CONSOLIDATED=Y","Sort=A","Dates=H","DateFormat=P","Fill=—","Direction=H","UseDPDF=Y")</f>
        <v>#NAME?</v>
      </c>
      <c r="AW186" s="1" t="e">
        <f ca="1">_xll.BDH($C$178,"MODIFIED_WORKING_CPTL_5YR_GRWTH","FQ3 2015","FQ3 2015","Currency=INR","Period=FQ","BEST_FPERIOD_OVERRIDE=FQ","FILING_STATUS=OR","EQY_CONSOLIDATED=Y","Sort=A","Dates=H","DateFormat=P","Fill=—","Direction=H","UseDPDF=Y")</f>
        <v>#NAME?</v>
      </c>
      <c r="AX186" s="1" t="e">
        <f ca="1">_xll.BDH($C$178,"WORKING_CAPITAL_5_YEAR_GROWTH","FQ3 2015","FQ3 2015","Currency=INR","Period=FQ","BEST_FPERIOD_OVERRIDE=FQ","FILING_STATUS=OR","EQY_CONSOLIDATED=Y","Sort=A","Dates=H","DateFormat=P","Fill=—","Direction=H","UseDPDF=Y")</f>
        <v>#NAME?</v>
      </c>
      <c r="AY186" s="1" t="e">
        <f ca="1">_xll.BDH($C$178,"ACCOUNTS_PAYABLE_5_YEAR_GROWTH","FQ3 2015","FQ3 2015","Currency=INR","Period=FQ","BEST_FPERIOD_OVERRIDE=FQ","FILING_STATUS=OR","EQY_CONSOLIDATED=Y","Sort=A","Dates=H","DateFormat=P","Fill=—","Direction=H","UseDPDF=Y")</f>
        <v>#NAME?</v>
      </c>
      <c r="AZ186" s="1" t="e">
        <f ca="1">_xll.BDH($C$178,"SHORT_TERM_DEBT_5_YEAR_GROWTH","FQ3 2015","FQ3 2015","Currency=INR","Period=FQ","BEST_FPERIOD_OVERRIDE=FQ","FILING_STATUS=OR","EQY_CONSOLIDATED=Y","Sort=A","Dates=H","DateFormat=P","Fill=—","Direction=H","UseDPDF=Y")</f>
        <v>#NAME?</v>
      </c>
      <c r="BA186" s="1" t="e">
        <f ca="1">_xll.BDH($C$178,"TOTAL_DEBT_5_YEAR_GROWTH","FQ3 2015","FQ3 2015","Currency=INR","Period=FQ","BEST_FPERIOD_OVERRIDE=FQ","FILING_STATUS=OR","EQY_CONSOLIDATED=Y","Sort=A","Dates=H","DateFormat=P","Fill=—","Direction=H","UseDPDF=Y")</f>
        <v>#NAME?</v>
      </c>
      <c r="BB186" s="1" t="e">
        <f ca="1">_xll.BDH($C$178,"GEO_GROW_TOT_SHRHLDR_EQY","FQ3 2015","FQ3 2015","Currency=INR","Period=FQ","BEST_FPERIOD_OVERRIDE=FQ","FILING_STATUS=OR","EQY_CONSOLIDATED=Y","Sort=A","Dates=H","DateFormat=P","Fill=—","Direction=H","UseDPDF=Y")</f>
        <v>#NAME?</v>
      </c>
      <c r="BC186" s="1" t="e">
        <f ca="1">_xll.BDH($C$178,"TOTAL_CAPITAL_5_YEAR_GROWTH","FQ3 2015","FQ3 2015","Currency=INR","Period=FQ","BEST_FPERIOD_OVERRIDE=FQ","FILING_STATUS=OR","EQY_CONSOLIDATED=Y","Sort=A","Dates=H","DateFormat=P","Fill=—","Direction=H","UseDPDF=Y")</f>
        <v>#NAME?</v>
      </c>
      <c r="BD186" s="1" t="e">
        <f ca="1">_xll.BDH($C$178,"GEO_GROW_BOOK_VAL","FQ3 2015","FQ3 2015","Currency=INR","Period=FQ","BEST_FPERIOD_OVERRIDE=FQ","FILING_STATUS=OR","EQY_CONSOLIDATED=Y","Sort=A","Dates=H","DateFormat=P","Fill=—","Direction=H","UseDPDF=Y")</f>
        <v>#NAME?</v>
      </c>
      <c r="BE186" s="1" t="e">
        <f ca="1">_xll.BDH($C$178,"GEO_GROW_CASH_OPER_ACT","FQ3 2015","FQ3 2015","Currency=INR","Period=FQ","BEST_FPERIOD_OVERRIDE=FQ","FILING_STATUS=OR","EQY_CONSOLIDATED=Y","Sort=A","Dates=H","DateFormat=P","Fill=—","Direction=H","UseDPDF=Y")</f>
        <v>#NAME?</v>
      </c>
      <c r="BF186" s="1" t="e">
        <f ca="1">_xll.BDH($C$178,"REVENUE_SEQUENTIAL_GROWTH","FQ3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86" s="1" t="e">
        <f ca="1">_xll.BDH($C$178,"EBITDA_SEQUENTIAL_GROWTH","FQ3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86" s="1" t="e">
        <f ca="1">_xll.BDH($C$178,"OPERATING_INCOME_SEQ_GROWTH","FQ3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86" s="1" t="e">
        <f ca="1">_xll.BDH($C$178,"NET_INCOME_TO_COMMON_SEQ_GROWTH","FQ3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86" s="1" t="e">
        <f ca="1">_xll.BDH($C$178,"EPS_DILUTED_SEQUENTIAL_GROWTH","FQ3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86" s="1" t="e">
        <f ca="1">_xll.BDH($C$178,"DPS_SEQUENTIAL_GROWTH","FQ3 2015","FQ3 2015","Currency=INR","Period=FQ","BEST_FPERIOD_OVERRIDE=FQ","FILING_STATUS=OR","EQY_CONSOLIDATED=Y","Sort=A","Dates=H","DateFormat=P","Fill=—","Direction=H","UseDPDF=Y")</f>
        <v>#NAME?</v>
      </c>
      <c r="BL186" s="1" t="e">
        <f ca="1">_xll.BDH($C$178,"ACCOUNTS_RECEIVABLE_SEQ_GROWTH","FQ3 2015","FQ3 2015","Currency=INR","Period=FQ","BEST_FPERIOD_OVERRIDE=FQ","FILING_STATUS=OR","EQY_CONSOLIDATED=Y","Sort=A","Dates=H","DateFormat=P","Fill=—","Direction=H","UseDPDF=Y")</f>
        <v>#NAME?</v>
      </c>
      <c r="BM186" s="1" t="e">
        <f ca="1">_xll.BDH($C$178,"INVENTORY_SEQUENTIAL_GROWTH","FQ3 2015","FQ3 2015","Currency=INR","Period=FQ","BEST_FPERIOD_OVERRIDE=FQ","FILING_STATUS=OR","EQY_CONSOLIDATED=Y","Sort=A","Dates=H","DateFormat=P","Fill=—","Direction=H","UseDPDF=Y")</f>
        <v>#NAME?</v>
      </c>
      <c r="BN186" s="1" t="e">
        <f ca="1">_xll.BDH($C$178,"FIXED_ASSETS_SEQUENTIAL_GROWTH","FQ3 2015","FQ3 2015","Currency=INR","Period=FQ","BEST_FPERIOD_OVERRIDE=FQ","FILING_STATUS=OR","EQY_CONSOLIDATED=Y","Sort=A","Dates=H","DateFormat=P","Fill=—","Direction=H","UseDPDF=Y")</f>
        <v>#NAME?</v>
      </c>
      <c r="BO186" s="1" t="e">
        <f ca="1">_xll.BDH($C$178,"TOTAL_ASSETS_SEQUENTIAL_GROWTH","FQ3 2015","FQ3 2015","Currency=INR","Period=FQ","BEST_FPERIOD_OVERRIDE=FQ","FILING_STATUS=OR","EQY_CONSOLIDATED=Y","Sort=A","Dates=H","DateFormat=P","Fill=—","Direction=H","UseDPDF=Y")</f>
        <v>#NAME?</v>
      </c>
      <c r="BP186" s="1" t="e">
        <f ca="1">_xll.BDH($C$178,"MODIFIED_WORKING_CPTL_SEQ_GRWTH","FQ3 2015","FQ3 2015","Currency=INR","Period=FQ","BEST_FPERIOD_OVERRIDE=FQ","FILING_STATUS=OR","EQY_CONSOLIDATED=Y","Sort=A","Dates=H","DateFormat=P","Fill=—","Direction=H","UseDPDF=Y")</f>
        <v>#NAME?</v>
      </c>
      <c r="BQ186" s="1" t="e">
        <f ca="1">_xll.BDH($C$178,"WORKING_CAPITAL_SEQ_GROWTH","FQ3 2015","FQ3 2015","Currency=INR","Period=FQ","BEST_FPERIOD_OVERRIDE=FQ","FILING_STATUS=OR","EQY_CONSOLIDATED=Y","Sort=A","Dates=H","DateFormat=P","Fill=—","Direction=H","UseDPDF=Y")</f>
        <v>#NAME?</v>
      </c>
      <c r="BR186" s="1" t="e">
        <f ca="1">_xll.BDH($C$178,"ACCOUNTS_PAYABLE_SEQ_GROWTH","FQ3 2015","FQ3 2015","Currency=INR","Period=FQ","BEST_FPERIOD_OVERRIDE=FQ","FILING_STATUS=OR","EQY_CONSOLIDATED=Y","Sort=A","Dates=H","DateFormat=P","Fill=—","Direction=H","UseDPDF=Y")</f>
        <v>#NAME?</v>
      </c>
      <c r="BS186" s="1" t="e">
        <f ca="1">_xll.BDH($C$178,"ST_DEBT_SEQUENTIAL_GROWTH","FQ3 2015","FQ3 2015","Currency=INR","Period=FQ","BEST_FPERIOD_OVERRIDE=FQ","FILING_STATUS=OR","EQY_CONSOLIDATED=Y","Sort=A","Dates=H","DateFormat=P","Fill=—","Direction=H","UseDPDF=Y")</f>
        <v>#NAME?</v>
      </c>
      <c r="BT186" s="1" t="e">
        <f ca="1">_xll.BDH($C$178,"TOTAL_DEBT_SEQUENTIAL_GROWTH","FQ3 2015","FQ3 2015","Currency=INR","Period=FQ","BEST_FPERIOD_OVERRIDE=FQ","FILING_STATUS=OR","EQY_CONSOLIDATED=Y","Sort=A","Dates=H","DateFormat=P","Fill=—","Direction=H","UseDPDF=Y")</f>
        <v>#NAME?</v>
      </c>
      <c r="BU186" s="1" t="e">
        <f ca="1">_xll.BDH($C$178,"TOTAL_EQUITY_SEQUENTIAL_GROWTH","FQ3 2015","FQ3 2015","Currency=INR","Period=FQ","BEST_FPERIOD_OVERRIDE=FQ","FILING_STATUS=OR","EQY_CONSOLIDATED=Y","Sort=A","Dates=H","DateFormat=P","Fill=—","Direction=H","UseDPDF=Y")</f>
        <v>#NAME?</v>
      </c>
      <c r="BV186" s="1" t="e">
        <f ca="1">_xll.BDH($C$178,"TOTAL_CAPITAL_SEQUENTIAL_GROWTH","FQ3 2015","FQ3 2015","Currency=INR","Period=FQ","BEST_FPERIOD_OVERRIDE=FQ","FILING_STATUS=OR","EQY_CONSOLIDATED=Y","Sort=A","Dates=H","DateFormat=P","Fill=—","Direction=H","UseDPDF=Y")</f>
        <v>#NAME?</v>
      </c>
      <c r="BW186" s="1" t="e">
        <f ca="1">_xll.BDH($C$178,"BPS_SEQUENTIAL_GROWTH","FQ3 2015","FQ3 2015","Currency=INR","Period=FQ","BEST_FPERIOD_OVERRIDE=FQ","FILING_STATUS=OR","EQY_CONSOLIDATED=Y","Sort=A","Dates=H","DateFormat=P","Fill=—","Direction=H","UseDPDF=Y")</f>
        <v>#NAME?</v>
      </c>
      <c r="BX186" s="1" t="e">
        <f ca="1">_xll.BDH($C$178,"CFO_SEQUENTIAL_GROWTH","FQ3 2015","FQ3 2015","Currency=INR","Period=FQ","BEST_FPERIOD_OVERRIDE=FQ","FILING_STATUS=OR","EQY_CONSOLIDATED=Y","Sort=A","Dates=H","DateFormat=P","Fill=—","Direction=H","UseDPDF=Y")</f>
        <v>#NAME?</v>
      </c>
      <c r="BY186" s="2" t="e">
        <f ca="1">_xll.BDH($C$178,"SHORT_AND_LONG_TERM_DEBT","FQ3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86" s="2" t="e">
        <f ca="1">_xll.BDH($C$178,"BS_ST_BORROW","FQ3 2015","FQ3 2015","Currency=INR","Period=FQ","BEST_FPERIOD_OVERRIDE=FQ","FILING_STATUS=OR","EQY_CONSOLIDATED=Y","SCALING_FORMAT=MLN","Sort=A","Dates=H","DateFormat=P","Fill=—","Direction=H","UseDPDF=Y")</f>
        <v>#NAME?</v>
      </c>
      <c r="CA186" s="2" t="e">
        <f ca="1">_xll.BDH($C$178,"BS_LT_BORROW","FQ3 2015","FQ3 2015","Currency=INR","Period=FQ","BEST_FPERIOD_OVERRIDE=FQ","FILING_STATUS=OR","EQY_CONSOLIDATED=Y","SCALING_FORMAT=MLN","Sort=A","Dates=H","DateFormat=P","Fill=—","Direction=H","UseDPDF=Y")</f>
        <v>#NAME?</v>
      </c>
      <c r="CB186" s="1" t="e">
        <f ca="1">_xll.BDH($C$178,"TOT_DEBT_TO_EBITDA","FQ3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86" s="1" t="e">
        <f ca="1">_xll.BDH($C$178,"NET_DEBT_TO_EBITDA","FQ3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86" s="1" t="e">
        <f ca="1">_xll.BDH($C$178,"TOTAL_DEBT_TO_EBIT","FQ3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86" s="1" t="e">
        <f ca="1">_xll.BDH($C$178,"NET_DEBT_TO_EBIT","FQ3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186" s="1" t="e">
        <f ca="1">_xll.BDH($C$178,"EBITDA_TO_INTEREST_EXPN","FQ3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86" s="1" t="e">
        <f ca="1">_xll.BDH($C$178,"COM_EQY_TO_TOT_ASSET","FQ3 2015","FQ3 2015","Currency=INR","Period=FQ","BEST_FPERIOD_OVERRIDE=FQ","FILING_STATUS=OR","EQY_CONSOLIDATED=Y","Sort=A","Dates=H","DateFormat=P","Fill=—","Direction=H","UseDPDF=Y")</f>
        <v>#NAME?</v>
      </c>
      <c r="CH186" s="1" t="e">
        <f ca="1">_xll.BDH($C$178,"LT_DEBT_TO_TOT_EQY","FQ3 2015","FQ3 2015","Currency=INR","Period=FQ","BEST_FPERIOD_OVERRIDE=FQ","FILING_STATUS=OR","EQY_CONSOLIDATED=Y","Sort=A","Dates=H","DateFormat=P","Fill=—","Direction=H","UseDPDF=Y")</f>
        <v>#NAME?</v>
      </c>
      <c r="CI186" s="1" t="e">
        <f ca="1">_xll.BDH($C$178,"LT_DEBT_TO_TOT_CAP","FQ3 2015","FQ3 2015","Currency=INR","Period=FQ","BEST_FPERIOD_OVERRIDE=FQ","FILING_STATUS=OR","EQY_CONSOLIDATED=Y","Sort=A","Dates=H","DateFormat=P","Fill=—","Direction=H","UseDPDF=Y")</f>
        <v>#NAME?</v>
      </c>
      <c r="CJ186" s="1" t="e">
        <f ca="1">_xll.BDH($C$178,"LT_DEBT_TO_TOT_ASSET","FQ3 2015","FQ3 2015","Currency=INR","Period=FQ","BEST_FPERIOD_OVERRIDE=FQ","FILING_STATUS=OR","EQY_CONSOLIDATED=Y","Sort=A","Dates=H","DateFormat=P","Fill=—","Direction=H","UseDPDF=Y")</f>
        <v>#NAME?</v>
      </c>
      <c r="CK186" s="1" t="e">
        <f ca="1">_xll.BDH($C$178,"TOT_DEBT_TO_TOT_EQY","FQ3 2015","FQ3 2015","Currency=INR","Period=FQ","BEST_FPERIOD_OVERRIDE=FQ","FILING_STATUS=OR","EQY_CONSOLIDATED=Y","Sort=A","Dates=H","DateFormat=P","Fill=—","Direction=H","UseDPDF=Y")</f>
        <v>#NAME?</v>
      </c>
      <c r="CL186" s="1" t="e">
        <f ca="1">_xll.BDH($C$178,"TOT_DEBT_TO_TOT_CAP","FQ3 2015","FQ3 2015","Currency=INR","Period=FQ","BEST_FPERIOD_OVERRIDE=FQ","FILING_STATUS=OR","EQY_CONSOLIDATED=Y","Sort=A","Dates=H","DateFormat=P","Fill=—","Direction=H","UseDPDF=Y")</f>
        <v>#NAME?</v>
      </c>
      <c r="CM186" s="1" t="e">
        <f ca="1">_xll.BDH($C$178,"TOT_DEBT_TO_TOT_ASSET","FQ3 2015","FQ3 2015","Currency=INR","Period=FQ","BEST_FPERIOD_OVERRIDE=FQ","FILING_STATUS=OR","EQY_CONSOLIDATED=Y","Sort=A","Dates=H","DateFormat=P","Fill=—","Direction=H","UseDPDF=Y")</f>
        <v>#NAME?</v>
      </c>
      <c r="CN186" s="1" t="e">
        <f ca="1">_xll.BDH($C$178,"NET_DEBT_TO_SHRHLDR_EQTY","FQ3 2015","FQ3 2015","Currency=INR","Period=FQ","BEST_FPERIOD_OVERRIDE=FQ","FILING_STATUS=OR","EQY_CONSOLIDATED=Y","Sort=A","Dates=H","DateFormat=P","Fill=—","Direction=H","UseDPDF=Y")</f>
        <v>#NAME?</v>
      </c>
      <c r="CO186" s="1" t="e">
        <f ca="1">_xll.BDH($C$178,"NET_DEBT_%_CAPITAL","FQ3 2015","FQ3 2015","Currency=INR","Period=FQ","BEST_FPERIOD_OVERRIDE=FQ","FILING_STATUS=OR","EQY_CONSOLIDATED=Y","Sort=A","Dates=H","DateFormat=P","Fill=—","Direction=H","UseDPDF=Y")</f>
        <v>#NAME?</v>
      </c>
      <c r="CP186" s="2" t="e">
        <f ca="1">_xll.BDH($C$178,"EBITDA","FQ3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86" s="2" t="e">
        <f ca="1">_xll.BDH($C$178,"EBITDA_AFTER_CAPEX","FQ3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86" s="2" t="e">
        <f ca="1">_xll.BDH($C$178,"IS_OPER_INC","FQ3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86" s="1" t="e">
        <f ca="1">_xll.BDH($C$178,"CASH_RATIO","FQ3 2015","FQ3 2015","Currency=INR","Period=FQ","BEST_FPERIOD_OVERRIDE=FQ","FILING_STATUS=OR","EQY_CONSOLIDATED=Y","Sort=A","Dates=H","DateFormat=P","Fill=—","Direction=H","UseDPDF=Y")</f>
        <v>#NAME?</v>
      </c>
      <c r="CT186" s="1" t="e">
        <f ca="1">_xll.BDH($C$178,"CUR_RATIO","FQ3 2015","FQ3 2015","Currency=INR","Period=FQ","BEST_FPERIOD_OVERRIDE=FQ","FILING_STATUS=OR","EQY_CONSOLIDATED=Y","Sort=A","Dates=H","DateFormat=P","Fill=—","Direction=H","UseDPDF=Y")</f>
        <v>#NAME?</v>
      </c>
      <c r="CU186" s="1" t="e">
        <f ca="1">_xll.BDH($C$178,"QUICK_RATIO","FQ3 2015","FQ3 2015","Currency=INR","Period=FQ","BEST_FPERIOD_OVERRIDE=FQ","FILING_STATUS=OR","EQY_CONSOLIDATED=Y","Sort=A","Dates=H","DateFormat=P","Fill=—","Direction=H","UseDPDF=Y")</f>
        <v>#NAME?</v>
      </c>
      <c r="CV186" s="1" t="e">
        <f ca="1">_xll.BDH($C$178,"ALTMAN_Z_SCORE","FQ3 2015","FQ3 2015","Currency=INR","Period=FQ","BEST_FPERIOD_OVERRIDE=FQ","FILING_STATUS=OR","EQY_CONSOLIDATED=Y","Sort=A","Dates=H","DateFormat=P","Fill=—","Direction=H","UseDPDF=Y")</f>
        <v>#NAME?</v>
      </c>
      <c r="CW186" s="3" t="e">
        <f ca="1">_xll.BDH($C$178,"ACCT_RCV_TURN","FQ3 2015","FQ3 2015","Currency=INR","Period=FQ","BEST_FPERIOD_OVERRIDE=FQ","FILING_STATUS=OR","EQY_CONSOLIDATED=Y","FA_ADJUSTED=GAAP","Sort=A","Dates=H","DateFormat=P","Fill=—","Direction=H","UseDPDF=Y")</f>
        <v>#NAME?</v>
      </c>
      <c r="CX186" s="1" t="e">
        <f ca="1">_xll.BDH($C$178,"ACCT_RCV_DAYS","FQ3 2015","FQ3 2015","Currency=INR","Period=FQ","BEST_FPERIOD_OVERRIDE=FQ","FILING_STATUS=OR","EQY_CONSOLIDATED=Y","FA_ADJUSTED=GAAP","Sort=A","Dates=H","DateFormat=P","Fill=—","Direction=H","UseDPDF=Y")</f>
        <v>#NAME?</v>
      </c>
      <c r="CY186" s="3" t="e">
        <f ca="1">_xll.BDH($C$178,"INVENT_TURN","FQ3 2015","FQ3 2015","Currency=INR","Period=FQ","BEST_FPERIOD_OVERRIDE=FQ","FILING_STATUS=OR","EQY_CONSOLIDATED=Y","FA_ADJUSTED=GAAP","Sort=A","Dates=H","DateFormat=P","Fill=—","Direction=H","UseDPDF=Y")</f>
        <v>#NAME?</v>
      </c>
      <c r="CZ186" s="1" t="e">
        <f ca="1">_xll.BDH($C$178,"INVENT_DAYS","FQ3 2015","FQ3 2015","Currency=INR","Period=FQ","BEST_FPERIOD_OVERRIDE=FQ","FILING_STATUS=OR","EQY_CONSOLIDATED=Y","FA_ADJUSTED=GAAP","Sort=A","Dates=H","DateFormat=P","Fill=—","Direction=H","UseDPDF=Y")</f>
        <v>#NAME?</v>
      </c>
      <c r="DA186" s="3" t="e">
        <f ca="1">_xll.BDH($C$178,"ACCOUNTS_PAYABLE_TURNOVER","FQ3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86" s="1" t="e">
        <f ca="1">_xll.BDH($C$178,"ACCOUNTS_PAYABLE_TURNOVER_DAYS","FQ3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86" s="3" t="e">
        <f ca="1">_xll.BDH($C$178,"CASH_CONVERSION_CYCLE","FQ3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86" s="3" t="e">
        <f ca="1">_xll.BDH($C$178,"INV_TO_CASH_DAYS","FQ3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186" s="4" t="e">
        <f ca="1">_xll.BDH($C$178,"BS_INVENTORIES","FQ3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186" s="2" t="e">
        <f ca="1">_xll.BDH($C$178,"INVTRY_RAW_MATERIALS","FQ3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86" s="2" t="e">
        <f ca="1">_xll.BDH($C$178,"INVTRY_IN_PROGRESS","FQ3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86" s="2" t="e">
        <f ca="1">_xll.BDH($C$178,"INVTRY_FINISHED_GOODS","FQ3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86" s="2" t="e">
        <f ca="1">_xll.BDH($C$178,"BS_OTHER_INV","FQ3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87" spans="1:113" x14ac:dyDescent="0.3">
      <c r="A187" s="6"/>
      <c r="B187" s="6"/>
      <c r="C187" s="6"/>
      <c r="D187" s="6"/>
      <c r="E187" t="s">
        <v>7</v>
      </c>
      <c r="F187" t="e">
        <f ca="1">_xll.BDH($C$178,"RETURN_COM_EQY","FQ4 2015","FQ4 2015","Currency=INR","Period=FQ","BEST_FPERIOD_OVERRIDE=FQ","FILING_STATUS=OR","EQY_CONSOLIDATED=Y","FA_ADJUSTED=GAAP","Sort=A","Dates=H","DateFormat=P","Fill=—","Direction=H","UseDPDF=Y")</f>
        <v>#NAME?</v>
      </c>
      <c r="G187" t="e">
        <f ca="1">_xll.BDH($C$178,"RETURN_ON_ASSET","FQ4 2015","FQ4 2015","Currency=INR","Period=FQ","BEST_FPERIOD_OVERRIDE=FQ","FILING_STATUS=OR","EQY_CONSOLIDATED=Y","FA_ADJUSTED=GAAP","Sort=A","Dates=H","DateFormat=P","Fill=—","Direction=H","UseDPDF=Y")</f>
        <v>#NAME?</v>
      </c>
      <c r="H187" t="e">
        <f ca="1">_xll.BDH($C$178,"RETURN_ON_CAP","FQ4 2015","FQ4 2015","Currency=INR","Period=FQ","BEST_FPERIOD_OVERRIDE=FQ","FILING_STATUS=OR","EQY_CONSOLIDATED=Y","FA_ADJUSTED=GAAP","Sort=A","Dates=H","DateFormat=P","Fill=—","Direction=H","UseDPDF=Y")</f>
        <v>#NAME?</v>
      </c>
      <c r="I187" t="e">
        <f ca="1">_xll.BDH($C$178,"RETURN_ON_INV_CAPITAL","FQ4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87" t="e">
        <f ca="1">_xll.BDH($C$178,"EBITDA_TO_REVENUE","FQ4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187" t="e">
        <f ca="1">_xll.BDH($C$178,"OPER_MARGIN","FQ4 2015","FQ4 2015","Currency=INR","Period=FQ","BEST_FPERIOD_OVERRIDE=FQ","FILING_STATUS=OR","EQY_CONSOLIDATED=Y","FA_ADJUSTED=GAAP","Sort=A","Dates=H","DateFormat=P","Fill=—","Direction=H","UseDPDF=Y")</f>
        <v>#NAME?</v>
      </c>
      <c r="L187" t="e">
        <f ca="1">_xll.BDH($C$178,"INCREMENTAL_OPERATING_MARGIN","FQ4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87" t="e">
        <f ca="1">_xll.BDH($C$178,"PRETAX_INC_TO_NET_SALES","FQ4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87" t="e">
        <f ca="1">_xll.BDH($C$178,"INC_BEF_XO_ITEMS_TO_NET_SALES","FQ4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87" t="e">
        <f ca="1">_xll.BDH($C$178,"PROF_MARGIN","FQ4 2015","FQ4 2015","Currency=INR","Period=FQ","BEST_FPERIOD_OVERRIDE=FQ","FILING_STATUS=OR","EQY_CONSOLIDATED=Y","FA_ADJUSTED=GAAP","Sort=A","Dates=H","DateFormat=P","Fill=—","Direction=H","UseDPDF=Y")</f>
        <v>#NAME?</v>
      </c>
      <c r="P187" t="e">
        <f ca="1">_xll.BDH($C$178,"NET_INCOME_TO_COMMON_MARGIN","FQ4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87" t="e">
        <f ca="1">_xll.BDH($C$178,"EFF_TAX_RATE","FQ4 2015","FQ4 2015","Currency=INR","Period=FQ","BEST_FPERIOD_OVERRIDE=FQ","FILING_STATUS=OR","EQY_CONSOLIDATED=Y","FA_ADJUSTED=GAAP","Sort=A","Dates=H","DateFormat=P","Fill=—","Direction=H","UseDPDF=Y")</f>
        <v>#NAME?</v>
      </c>
      <c r="R187" t="e">
        <f ca="1">_xll.BDH($C$178,"DVD_PAYOUT_RATIO","FQ4 2015","FQ4 2015","Currency=INR","Period=FQ","BEST_FPERIOD_OVERRIDE=FQ","FILING_STATUS=OR","EQY_CONSOLIDATED=Y","FA_ADJUSTED=GAAP","Sort=A","Dates=H","DateFormat=P","Fill=—","Direction=H","UseDPDF=Y")</f>
        <v>#NAME?</v>
      </c>
      <c r="S187" t="e">
        <f ca="1">_xll.BDH($C$178,"SUSTAIN_GROWTH_RT","FQ4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187" s="1" t="e">
        <f ca="1">_xll.BDH($C$178,"SALES_GROWTH","FQ4 2015","FQ4 2015","Currency=INR","Period=FQ","BEST_FPERIOD_OVERRIDE=FQ","FILING_STATUS=OR","EQY_CONSOLIDATED=Y","FA_ADJUSTED=GAAP","Sort=A","Dates=H","DateFormat=P","Fill=—","Direction=H","UseDPDF=Y")</f>
        <v>#NAME?</v>
      </c>
      <c r="U187" s="1" t="e">
        <f ca="1">_xll.BDH($C$178,"EBITDA_GROWTH","FQ4 2015","FQ4 2015","Currency=INR","Period=FQ","BEST_FPERIOD_OVERRIDE=FQ","FILING_STATUS=OR","EQY_CONSOLIDATED=Y","FA_ADJUSTED=GAAP","Sort=A","Dates=H","DateFormat=P","Fill=—","Direction=H","UseDPDF=Y")</f>
        <v>#NAME?</v>
      </c>
      <c r="V187" s="1" t="e">
        <f ca="1">_xll.BDH($C$178,"OPER_INC_GROWTH","FQ4 2015","FQ4 2015","Currency=INR","Period=FQ","BEST_FPERIOD_OVERRIDE=FQ","FILING_STATUS=OR","EQY_CONSOLIDATED=Y","FA_ADJUSTED=GAAP","Sort=A","Dates=H","DateFormat=P","Fill=—","Direction=H","UseDPDF=Y")</f>
        <v>#NAME?</v>
      </c>
      <c r="W187" s="1" t="e">
        <f ca="1">_xll.BDH($C$178,"EARN_FOR_COM_GROWTH","FQ4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87" s="1" t="e">
        <f ca="1">_xll.BDH($C$178,"DILUTED_EPS_AFT_XO_ITEMS_GROWTH","FQ4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87" s="1" t="e">
        <f ca="1">_xll.BDH($C$178,"DIVIDEND_PER_SHARE_1_YEAR_GROWTH","FQ4 2015","FQ4 2015","Currency=INR","Period=FQ","BEST_FPERIOD_OVERRIDE=FQ","FILING_STATUS=OR","EQY_CONSOLIDATED=Y","Sort=A","Dates=H","DateFormat=P","Fill=—","Direction=H","UseDPDF=Y")</f>
        <v>#NAME?</v>
      </c>
      <c r="Z187" s="1" t="e">
        <f ca="1">_xll.BDH($C$178,"ACCOUNTS_RECEIVABLE_GROWTH","FQ4 2015","FQ4 2015","Currency=INR","Period=FQ","BEST_FPERIOD_OVERRIDE=FQ","FILING_STATUS=OR","EQY_CONSOLIDATED=Y","Sort=A","Dates=H","DateFormat=P","Fill=—","Direction=H","UseDPDF=Y")</f>
        <v>#NAME?</v>
      </c>
      <c r="AA187" s="1" t="e">
        <f ca="1">_xll.BDH($C$178,"INVENTORY_GROWTH","FQ4 2015","FQ4 2015","Currency=INR","Period=FQ","BEST_FPERIOD_OVERRIDE=FQ","FILING_STATUS=OR","EQY_CONSOLIDATED=Y","Sort=A","Dates=H","DateFormat=P","Fill=—","Direction=H","UseDPDF=Y")</f>
        <v>#NAME?</v>
      </c>
      <c r="AB187" s="1" t="e">
        <f ca="1">_xll.BDH($C$178,"NET_FIXED_ASSETS_1_YEAR_GROWTH","FQ4 2015","FQ4 2015","Currency=INR","Period=FQ","BEST_FPERIOD_OVERRIDE=FQ","FILING_STATUS=OR","EQY_CONSOLIDATED=Y","Sort=A","Dates=H","DateFormat=P","Fill=—","Direction=H","UseDPDF=Y")</f>
        <v>#NAME?</v>
      </c>
      <c r="AC187" s="1" t="e">
        <f ca="1">_xll.BDH($C$178,"ASSET_GROWTH","FQ4 2015","FQ4 2015","Currency=INR","Period=FQ","BEST_FPERIOD_OVERRIDE=FQ","FILING_STATUS=OR","EQY_CONSOLIDATED=Y","Sort=A","Dates=H","DateFormat=P","Fill=—","Direction=H","UseDPDF=Y")</f>
        <v>#NAME?</v>
      </c>
      <c r="AD187" s="1" t="e">
        <f ca="1">_xll.BDH($C$178,"MODIFIED_WORK_CAP_GROWTH","FQ4 2015","FQ4 2015","Currency=INR","Period=FQ","BEST_FPERIOD_OVERRIDE=FQ","FILING_STATUS=OR","EQY_CONSOLIDATED=Y","Sort=A","Dates=H","DateFormat=P","Fill=—","Direction=H","UseDPDF=Y")</f>
        <v>#NAME?</v>
      </c>
      <c r="AE187" s="1" t="e">
        <f ca="1">_xll.BDH($C$178,"WORK_CAP_GROWTH","FQ4 2015","FQ4 2015","Currency=INR","Period=FQ","BEST_FPERIOD_OVERRIDE=FQ","FILING_STATUS=OR","EQY_CONSOLIDATED=Y","Sort=A","Dates=H","DateFormat=P","Fill=—","Direction=H","UseDPDF=Y")</f>
        <v>#NAME?</v>
      </c>
      <c r="AF187" s="1" t="e">
        <f ca="1">_xll.BDH($C$178,"ACCOUNTS_PAYABLE_GROWTH_1YR","FQ4 2015","FQ4 2015","Currency=INR","Period=FQ","BEST_FPERIOD_OVERRIDE=FQ","FILING_STATUS=OR","EQY_CONSOLIDATED=Y","Sort=A","Dates=H","DateFormat=P","Fill=—","Direction=H","UseDPDF=Y")</f>
        <v>#NAME?</v>
      </c>
      <c r="AG187" s="1" t="e">
        <f ca="1">_xll.BDH($C$178,"SHORT_TERM_DEBT_1_YEAR_GROWTH","FQ4 2015","FQ4 2015","Currency=INR","Period=FQ","BEST_FPERIOD_OVERRIDE=FQ","FILING_STATUS=OR","EQY_CONSOLIDATED=Y","Sort=A","Dates=H","DateFormat=P","Fill=—","Direction=H","UseDPDF=Y")</f>
        <v>#NAME?</v>
      </c>
      <c r="AH187" s="1" t="e">
        <f ca="1">_xll.BDH($C$178,"TOTAL_DEBT_1_YEAR_GROWTH","FQ4 2015","FQ4 2015","Currency=INR","Period=FQ","BEST_FPERIOD_OVERRIDE=FQ","FILING_STATUS=OR","EQY_CONSOLIDATED=Y","Sort=A","Dates=H","DateFormat=P","Fill=—","Direction=H","UseDPDF=Y")</f>
        <v>#NAME?</v>
      </c>
      <c r="AI187" s="1" t="e">
        <f ca="1">_xll.BDH($C$178,"TOTAL_EQUITY_1_YEAR_GROWTH","FQ4 2015","FQ4 2015","Currency=INR","Period=FQ","BEST_FPERIOD_OVERRIDE=FQ","FILING_STATUS=OR","EQY_CONSOLIDATED=Y","Sort=A","Dates=H","DateFormat=P","Fill=—","Direction=H","UseDPDF=Y")</f>
        <v>#NAME?</v>
      </c>
      <c r="AJ187" s="1" t="e">
        <f ca="1">_xll.BDH($C$178,"GROWTH_IN_CAP","FQ4 2015","FQ4 2015","Currency=INR","Period=FQ","BEST_FPERIOD_OVERRIDE=FQ","FILING_STATUS=OR","EQY_CONSOLIDATED=Y","Sort=A","Dates=H","DateFormat=P","Fill=—","Direction=H","UseDPDF=Y")</f>
        <v>#NAME?</v>
      </c>
      <c r="AK187" s="1" t="e">
        <f ca="1">_xll.BDH($C$178,"BVPS_GROWTH","FQ4 2015","FQ4 2015","Currency=INR","Period=FQ","BEST_FPERIOD_OVERRIDE=FQ","FILING_STATUS=OR","EQY_CONSOLIDATED=Y","Sort=A","Dates=H","DateFormat=P","Fill=—","Direction=H","UseDPDF=Y")</f>
        <v>#NAME?</v>
      </c>
      <c r="AL187" s="1" t="e">
        <f ca="1">_xll.BDH($C$178,"CASH_FLOW_GROWTH","FQ4 2015","FQ4 2015","Currency=INR","Period=FQ","BEST_FPERIOD_OVERRIDE=FQ","FILING_STATUS=OR","EQY_CONSOLIDATED=Y","Sort=A","Dates=H","DateFormat=P","Fill=—","Direction=H","UseDPDF=Y")</f>
        <v>#NAME?</v>
      </c>
      <c r="AM187" s="1" t="e">
        <f ca="1">_xll.BDH($C$178,"GEO_GROW_NET_SALES","FQ4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87" s="1" t="e">
        <f ca="1">_xll.BDH($C$178,"GEO_GROW_EBITDA","FQ4 2015","FQ4 2015","Currency=INR","Period=FQ","BEST_FPERIOD_OVERRIDE=FQ","FILING_STATUS=OR","EQY_CONSOLIDATED=Y","FA_ADJUSTED=GAAP","Sort=A","Dates=H","DateFormat=P","Fill=—","Direction=H","UseDPDF=Y")</f>
        <v>#NAME?</v>
      </c>
      <c r="AO187" s="1" t="e">
        <f ca="1">_xll.BDH($C$178,"GEO_GROW_OPER_INC","FQ4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87" s="1" t="e">
        <f ca="1">_xll.BDH($C$178,"NET_INCOME_TO_COMMON_5_YR_GROWTH","FQ4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87" s="1" t="e">
        <f ca="1">_xll.BDH($C$178,"5Y_GEO_GROWTH_DILUTED_EPS","FQ4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87" s="1" t="e">
        <f ca="1">_xll.BDH($C$178,"GEO_GROW_DVD_PER_SH","FQ4 2015","FQ4 2015","Currency=INR","Period=FQ","BEST_FPERIOD_OVERRIDE=FQ","FILING_STATUS=OR","EQY_CONSOLIDATED=Y","Sort=A","Dates=H","DateFormat=P","Fill=—","Direction=H","UseDPDF=Y")</f>
        <v>#NAME?</v>
      </c>
      <c r="AS187" s="1" t="e">
        <f ca="1">_xll.BDH($C$178,"ACCOUNTS_RECEIVABLE_5_YR_GROWTH","FQ4 2015","FQ4 2015","Currency=INR","Period=FQ","BEST_FPERIOD_OVERRIDE=FQ","FILING_STATUS=OR","EQY_CONSOLIDATED=Y","Sort=A","Dates=H","DateFormat=P","Fill=—","Direction=H","UseDPDF=Y")</f>
        <v>#NAME?</v>
      </c>
      <c r="AT187" s="1" t="e">
        <f ca="1">_xll.BDH($C$178,"INVENTORY_5_YEAR_GROWTH","FQ4 2015","FQ4 2015","Currency=INR","Period=FQ","BEST_FPERIOD_OVERRIDE=FQ","FILING_STATUS=OR","EQY_CONSOLIDATED=Y","Sort=A","Dates=H","DateFormat=P","Fill=—","Direction=H","UseDPDF=Y")</f>
        <v>#NAME?</v>
      </c>
      <c r="AU187" s="1" t="e">
        <f ca="1">_xll.BDH($C$178,"NET_FIXED_ASSETS_5_YEAR_GROWTH","FQ4 2015","FQ4 2015","Currency=INR","Period=FQ","BEST_FPERIOD_OVERRIDE=FQ","FILING_STATUS=OR","EQY_CONSOLIDATED=Y","Sort=A","Dates=H","DateFormat=P","Fill=—","Direction=H","UseDPDF=Y")</f>
        <v>#NAME?</v>
      </c>
      <c r="AV187" s="1" t="e">
        <f ca="1">_xll.BDH($C$178,"GEO_GROW_TOT_ASSET","FQ4 2015","FQ4 2015","Currency=INR","Period=FQ","BEST_FPERIOD_OVERRIDE=FQ","FILING_STATUS=OR","EQY_CONSOLIDATED=Y","Sort=A","Dates=H","DateFormat=P","Fill=—","Direction=H","UseDPDF=Y")</f>
        <v>#NAME?</v>
      </c>
      <c r="AW187" s="1" t="e">
        <f ca="1">_xll.BDH($C$178,"MODIFIED_WORKING_CPTL_5YR_GRWTH","FQ4 2015","FQ4 2015","Currency=INR","Period=FQ","BEST_FPERIOD_OVERRIDE=FQ","FILING_STATUS=OR","EQY_CONSOLIDATED=Y","Sort=A","Dates=H","DateFormat=P","Fill=—","Direction=H","UseDPDF=Y")</f>
        <v>#NAME?</v>
      </c>
      <c r="AX187" s="1" t="e">
        <f ca="1">_xll.BDH($C$178,"WORKING_CAPITAL_5_YEAR_GROWTH","FQ4 2015","FQ4 2015","Currency=INR","Period=FQ","BEST_FPERIOD_OVERRIDE=FQ","FILING_STATUS=OR","EQY_CONSOLIDATED=Y","Sort=A","Dates=H","DateFormat=P","Fill=—","Direction=H","UseDPDF=Y")</f>
        <v>#NAME?</v>
      </c>
      <c r="AY187" s="1" t="e">
        <f ca="1">_xll.BDH($C$178,"ACCOUNTS_PAYABLE_5_YEAR_GROWTH","FQ4 2015","FQ4 2015","Currency=INR","Period=FQ","BEST_FPERIOD_OVERRIDE=FQ","FILING_STATUS=OR","EQY_CONSOLIDATED=Y","Sort=A","Dates=H","DateFormat=P","Fill=—","Direction=H","UseDPDF=Y")</f>
        <v>#NAME?</v>
      </c>
      <c r="AZ187" s="1" t="e">
        <f ca="1">_xll.BDH($C$178,"SHORT_TERM_DEBT_5_YEAR_GROWTH","FQ4 2015","FQ4 2015","Currency=INR","Period=FQ","BEST_FPERIOD_OVERRIDE=FQ","FILING_STATUS=OR","EQY_CONSOLIDATED=Y","Sort=A","Dates=H","DateFormat=P","Fill=—","Direction=H","UseDPDF=Y")</f>
        <v>#NAME?</v>
      </c>
      <c r="BA187" s="1" t="e">
        <f ca="1">_xll.BDH($C$178,"TOTAL_DEBT_5_YEAR_GROWTH","FQ4 2015","FQ4 2015","Currency=INR","Period=FQ","BEST_FPERIOD_OVERRIDE=FQ","FILING_STATUS=OR","EQY_CONSOLIDATED=Y","Sort=A","Dates=H","DateFormat=P","Fill=—","Direction=H","UseDPDF=Y")</f>
        <v>#NAME?</v>
      </c>
      <c r="BB187" s="1" t="e">
        <f ca="1">_xll.BDH($C$178,"GEO_GROW_TOT_SHRHLDR_EQY","FQ4 2015","FQ4 2015","Currency=INR","Period=FQ","BEST_FPERIOD_OVERRIDE=FQ","FILING_STATUS=OR","EQY_CONSOLIDATED=Y","Sort=A","Dates=H","DateFormat=P","Fill=—","Direction=H","UseDPDF=Y")</f>
        <v>#NAME?</v>
      </c>
      <c r="BC187" s="1" t="e">
        <f ca="1">_xll.BDH($C$178,"TOTAL_CAPITAL_5_YEAR_GROWTH","FQ4 2015","FQ4 2015","Currency=INR","Period=FQ","BEST_FPERIOD_OVERRIDE=FQ","FILING_STATUS=OR","EQY_CONSOLIDATED=Y","Sort=A","Dates=H","DateFormat=P","Fill=—","Direction=H","UseDPDF=Y")</f>
        <v>#NAME?</v>
      </c>
      <c r="BD187" s="1" t="e">
        <f ca="1">_xll.BDH($C$178,"GEO_GROW_BOOK_VAL","FQ4 2015","FQ4 2015","Currency=INR","Period=FQ","BEST_FPERIOD_OVERRIDE=FQ","FILING_STATUS=OR","EQY_CONSOLIDATED=Y","Sort=A","Dates=H","DateFormat=P","Fill=—","Direction=H","UseDPDF=Y")</f>
        <v>#NAME?</v>
      </c>
      <c r="BE187" s="1" t="e">
        <f ca="1">_xll.BDH($C$178,"GEO_GROW_CASH_OPER_ACT","FQ4 2015","FQ4 2015","Currency=INR","Period=FQ","BEST_FPERIOD_OVERRIDE=FQ","FILING_STATUS=OR","EQY_CONSOLIDATED=Y","Sort=A","Dates=H","DateFormat=P","Fill=—","Direction=H","UseDPDF=Y")</f>
        <v>#NAME?</v>
      </c>
      <c r="BF187" s="1" t="e">
        <f ca="1">_xll.BDH($C$178,"REVENUE_SEQUENTIAL_GROWTH","FQ4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87" s="1" t="e">
        <f ca="1">_xll.BDH($C$178,"EBITDA_SEQUENTIAL_GROWTH","FQ4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87" s="1" t="e">
        <f ca="1">_xll.BDH($C$178,"OPERATING_INCOME_SEQ_GROWTH","FQ4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87" s="1" t="e">
        <f ca="1">_xll.BDH($C$178,"NET_INCOME_TO_COMMON_SEQ_GROWTH","FQ4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87" s="1" t="e">
        <f ca="1">_xll.BDH($C$178,"EPS_DILUTED_SEQUENTIAL_GROWTH","FQ4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87" s="1" t="e">
        <f ca="1">_xll.BDH($C$178,"DPS_SEQUENTIAL_GROWTH","FQ4 2015","FQ4 2015","Currency=INR","Period=FQ","BEST_FPERIOD_OVERRIDE=FQ","FILING_STATUS=OR","EQY_CONSOLIDATED=Y","Sort=A","Dates=H","DateFormat=P","Fill=—","Direction=H","UseDPDF=Y")</f>
        <v>#NAME?</v>
      </c>
      <c r="BL187" s="1" t="e">
        <f ca="1">_xll.BDH($C$178,"ACCOUNTS_RECEIVABLE_SEQ_GROWTH","FQ4 2015","FQ4 2015","Currency=INR","Period=FQ","BEST_FPERIOD_OVERRIDE=FQ","FILING_STATUS=OR","EQY_CONSOLIDATED=Y","Sort=A","Dates=H","DateFormat=P","Fill=—","Direction=H","UseDPDF=Y")</f>
        <v>#NAME?</v>
      </c>
      <c r="BM187" s="1" t="e">
        <f ca="1">_xll.BDH($C$178,"INVENTORY_SEQUENTIAL_GROWTH","FQ4 2015","FQ4 2015","Currency=INR","Period=FQ","BEST_FPERIOD_OVERRIDE=FQ","FILING_STATUS=OR","EQY_CONSOLIDATED=Y","Sort=A","Dates=H","DateFormat=P","Fill=—","Direction=H","UseDPDF=Y")</f>
        <v>#NAME?</v>
      </c>
      <c r="BN187" s="1" t="e">
        <f ca="1">_xll.BDH($C$178,"FIXED_ASSETS_SEQUENTIAL_GROWTH","FQ4 2015","FQ4 2015","Currency=INR","Period=FQ","BEST_FPERIOD_OVERRIDE=FQ","FILING_STATUS=OR","EQY_CONSOLIDATED=Y","Sort=A","Dates=H","DateFormat=P","Fill=—","Direction=H","UseDPDF=Y")</f>
        <v>#NAME?</v>
      </c>
      <c r="BO187" s="1" t="e">
        <f ca="1">_xll.BDH($C$178,"TOTAL_ASSETS_SEQUENTIAL_GROWTH","FQ4 2015","FQ4 2015","Currency=INR","Period=FQ","BEST_FPERIOD_OVERRIDE=FQ","FILING_STATUS=OR","EQY_CONSOLIDATED=Y","Sort=A","Dates=H","DateFormat=P","Fill=—","Direction=H","UseDPDF=Y")</f>
        <v>#NAME?</v>
      </c>
      <c r="BP187" s="1" t="e">
        <f ca="1">_xll.BDH($C$178,"MODIFIED_WORKING_CPTL_SEQ_GRWTH","FQ4 2015","FQ4 2015","Currency=INR","Period=FQ","BEST_FPERIOD_OVERRIDE=FQ","FILING_STATUS=OR","EQY_CONSOLIDATED=Y","Sort=A","Dates=H","DateFormat=P","Fill=—","Direction=H","UseDPDF=Y")</f>
        <v>#NAME?</v>
      </c>
      <c r="BQ187" s="1" t="e">
        <f ca="1">_xll.BDH($C$178,"WORKING_CAPITAL_SEQ_GROWTH","FQ4 2015","FQ4 2015","Currency=INR","Period=FQ","BEST_FPERIOD_OVERRIDE=FQ","FILING_STATUS=OR","EQY_CONSOLIDATED=Y","Sort=A","Dates=H","DateFormat=P","Fill=—","Direction=H","UseDPDF=Y")</f>
        <v>#NAME?</v>
      </c>
      <c r="BR187" s="1" t="e">
        <f ca="1">_xll.BDH($C$178,"ACCOUNTS_PAYABLE_SEQ_GROWTH","FQ4 2015","FQ4 2015","Currency=INR","Period=FQ","BEST_FPERIOD_OVERRIDE=FQ","FILING_STATUS=OR","EQY_CONSOLIDATED=Y","Sort=A","Dates=H","DateFormat=P","Fill=—","Direction=H","UseDPDF=Y")</f>
        <v>#NAME?</v>
      </c>
      <c r="BS187" s="1" t="e">
        <f ca="1">_xll.BDH($C$178,"ST_DEBT_SEQUENTIAL_GROWTH","FQ4 2015","FQ4 2015","Currency=INR","Period=FQ","BEST_FPERIOD_OVERRIDE=FQ","FILING_STATUS=OR","EQY_CONSOLIDATED=Y","Sort=A","Dates=H","DateFormat=P","Fill=—","Direction=H","UseDPDF=Y")</f>
        <v>#NAME?</v>
      </c>
      <c r="BT187" s="1" t="e">
        <f ca="1">_xll.BDH($C$178,"TOTAL_DEBT_SEQUENTIAL_GROWTH","FQ4 2015","FQ4 2015","Currency=INR","Period=FQ","BEST_FPERIOD_OVERRIDE=FQ","FILING_STATUS=OR","EQY_CONSOLIDATED=Y","Sort=A","Dates=H","DateFormat=P","Fill=—","Direction=H","UseDPDF=Y")</f>
        <v>#NAME?</v>
      </c>
      <c r="BU187" s="1" t="e">
        <f ca="1">_xll.BDH($C$178,"TOTAL_EQUITY_SEQUENTIAL_GROWTH","FQ4 2015","FQ4 2015","Currency=INR","Period=FQ","BEST_FPERIOD_OVERRIDE=FQ","FILING_STATUS=OR","EQY_CONSOLIDATED=Y","Sort=A","Dates=H","DateFormat=P","Fill=—","Direction=H","UseDPDF=Y")</f>
        <v>#NAME?</v>
      </c>
      <c r="BV187" s="1" t="e">
        <f ca="1">_xll.BDH($C$178,"TOTAL_CAPITAL_SEQUENTIAL_GROWTH","FQ4 2015","FQ4 2015","Currency=INR","Period=FQ","BEST_FPERIOD_OVERRIDE=FQ","FILING_STATUS=OR","EQY_CONSOLIDATED=Y","Sort=A","Dates=H","DateFormat=P","Fill=—","Direction=H","UseDPDF=Y")</f>
        <v>#NAME?</v>
      </c>
      <c r="BW187" s="1" t="e">
        <f ca="1">_xll.BDH($C$178,"BPS_SEQUENTIAL_GROWTH","FQ4 2015","FQ4 2015","Currency=INR","Period=FQ","BEST_FPERIOD_OVERRIDE=FQ","FILING_STATUS=OR","EQY_CONSOLIDATED=Y","Sort=A","Dates=H","DateFormat=P","Fill=—","Direction=H","UseDPDF=Y")</f>
        <v>#NAME?</v>
      </c>
      <c r="BX187" s="1" t="e">
        <f ca="1">_xll.BDH($C$178,"CFO_SEQUENTIAL_GROWTH","FQ4 2015","FQ4 2015","Currency=INR","Period=FQ","BEST_FPERIOD_OVERRIDE=FQ","FILING_STATUS=OR","EQY_CONSOLIDATED=Y","Sort=A","Dates=H","DateFormat=P","Fill=—","Direction=H","UseDPDF=Y")</f>
        <v>#NAME?</v>
      </c>
      <c r="BY187" s="2" t="e">
        <f ca="1">_xll.BDH($C$178,"SHORT_AND_LONG_TERM_DEBT","FQ4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87" s="2" t="e">
        <f ca="1">_xll.BDH($C$178,"BS_ST_BORROW","FQ4 2015","FQ4 2015","Currency=INR","Period=FQ","BEST_FPERIOD_OVERRIDE=FQ","FILING_STATUS=OR","EQY_CONSOLIDATED=Y","SCALING_FORMAT=MLN","Sort=A","Dates=H","DateFormat=P","Fill=—","Direction=H","UseDPDF=Y")</f>
        <v>#NAME?</v>
      </c>
      <c r="CA187" s="2" t="e">
        <f ca="1">_xll.BDH($C$178,"BS_LT_BORROW","FQ4 2015","FQ4 2015","Currency=INR","Period=FQ","BEST_FPERIOD_OVERRIDE=FQ","FILING_STATUS=OR","EQY_CONSOLIDATED=Y","SCALING_FORMAT=MLN","Sort=A","Dates=H","DateFormat=P","Fill=—","Direction=H","UseDPDF=Y")</f>
        <v>#NAME?</v>
      </c>
      <c r="CB187" s="1" t="e">
        <f ca="1">_xll.BDH($C$178,"TOT_DEBT_TO_EBITDA","FQ4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87" s="1" t="e">
        <f ca="1">_xll.BDH($C$178,"NET_DEBT_TO_EBITDA","FQ4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87" s="1" t="e">
        <f ca="1">_xll.BDH($C$178,"TOTAL_DEBT_TO_EBIT","FQ4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87" s="1" t="e">
        <f ca="1">_xll.BDH($C$178,"NET_DEBT_TO_EBIT","FQ4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187" s="1" t="e">
        <f ca="1">_xll.BDH($C$178,"EBITDA_TO_INTEREST_EXPN","FQ4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87" s="1" t="e">
        <f ca="1">_xll.BDH($C$178,"COM_EQY_TO_TOT_ASSET","FQ4 2015","FQ4 2015","Currency=INR","Period=FQ","BEST_FPERIOD_OVERRIDE=FQ","FILING_STATUS=OR","EQY_CONSOLIDATED=Y","Sort=A","Dates=H","DateFormat=P","Fill=—","Direction=H","UseDPDF=Y")</f>
        <v>#NAME?</v>
      </c>
      <c r="CH187" s="1" t="e">
        <f ca="1">_xll.BDH($C$178,"LT_DEBT_TO_TOT_EQY","FQ4 2015","FQ4 2015","Currency=INR","Period=FQ","BEST_FPERIOD_OVERRIDE=FQ","FILING_STATUS=OR","EQY_CONSOLIDATED=Y","Sort=A","Dates=H","DateFormat=P","Fill=—","Direction=H","UseDPDF=Y")</f>
        <v>#NAME?</v>
      </c>
      <c r="CI187" s="1" t="e">
        <f ca="1">_xll.BDH($C$178,"LT_DEBT_TO_TOT_CAP","FQ4 2015","FQ4 2015","Currency=INR","Period=FQ","BEST_FPERIOD_OVERRIDE=FQ","FILING_STATUS=OR","EQY_CONSOLIDATED=Y","Sort=A","Dates=H","DateFormat=P","Fill=—","Direction=H","UseDPDF=Y")</f>
        <v>#NAME?</v>
      </c>
      <c r="CJ187" s="1" t="e">
        <f ca="1">_xll.BDH($C$178,"LT_DEBT_TO_TOT_ASSET","FQ4 2015","FQ4 2015","Currency=INR","Period=FQ","BEST_FPERIOD_OVERRIDE=FQ","FILING_STATUS=OR","EQY_CONSOLIDATED=Y","Sort=A","Dates=H","DateFormat=P","Fill=—","Direction=H","UseDPDF=Y")</f>
        <v>#NAME?</v>
      </c>
      <c r="CK187" s="1" t="e">
        <f ca="1">_xll.BDH($C$178,"TOT_DEBT_TO_TOT_EQY","FQ4 2015","FQ4 2015","Currency=INR","Period=FQ","BEST_FPERIOD_OVERRIDE=FQ","FILING_STATUS=OR","EQY_CONSOLIDATED=Y","Sort=A","Dates=H","DateFormat=P","Fill=—","Direction=H","UseDPDF=Y")</f>
        <v>#NAME?</v>
      </c>
      <c r="CL187" s="1" t="e">
        <f ca="1">_xll.BDH($C$178,"TOT_DEBT_TO_TOT_CAP","FQ4 2015","FQ4 2015","Currency=INR","Period=FQ","BEST_FPERIOD_OVERRIDE=FQ","FILING_STATUS=OR","EQY_CONSOLIDATED=Y","Sort=A","Dates=H","DateFormat=P","Fill=—","Direction=H","UseDPDF=Y")</f>
        <v>#NAME?</v>
      </c>
      <c r="CM187" s="1" t="e">
        <f ca="1">_xll.BDH($C$178,"TOT_DEBT_TO_TOT_ASSET","FQ4 2015","FQ4 2015","Currency=INR","Period=FQ","BEST_FPERIOD_OVERRIDE=FQ","FILING_STATUS=OR","EQY_CONSOLIDATED=Y","Sort=A","Dates=H","DateFormat=P","Fill=—","Direction=H","UseDPDF=Y")</f>
        <v>#NAME?</v>
      </c>
      <c r="CN187" s="1" t="e">
        <f ca="1">_xll.BDH($C$178,"NET_DEBT_TO_SHRHLDR_EQTY","FQ4 2015","FQ4 2015","Currency=INR","Period=FQ","BEST_FPERIOD_OVERRIDE=FQ","FILING_STATUS=OR","EQY_CONSOLIDATED=Y","Sort=A","Dates=H","DateFormat=P","Fill=—","Direction=H","UseDPDF=Y")</f>
        <v>#NAME?</v>
      </c>
      <c r="CO187" s="1" t="e">
        <f ca="1">_xll.BDH($C$178,"NET_DEBT_%_CAPITAL","FQ4 2015","FQ4 2015","Currency=INR","Period=FQ","BEST_FPERIOD_OVERRIDE=FQ","FILING_STATUS=OR","EQY_CONSOLIDATED=Y","Sort=A","Dates=H","DateFormat=P","Fill=—","Direction=H","UseDPDF=Y")</f>
        <v>#NAME?</v>
      </c>
      <c r="CP187" s="2" t="e">
        <f ca="1">_xll.BDH($C$178,"EBITDA","FQ4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87" s="2" t="e">
        <f ca="1">_xll.BDH($C$178,"EBITDA_AFTER_CAPEX","FQ4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87" s="2" t="e">
        <f ca="1">_xll.BDH($C$178,"IS_OPER_INC","FQ4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87" s="1" t="e">
        <f ca="1">_xll.BDH($C$178,"CASH_RATIO","FQ4 2015","FQ4 2015","Currency=INR","Period=FQ","BEST_FPERIOD_OVERRIDE=FQ","FILING_STATUS=OR","EQY_CONSOLIDATED=Y","Sort=A","Dates=H","DateFormat=P","Fill=—","Direction=H","UseDPDF=Y")</f>
        <v>#NAME?</v>
      </c>
      <c r="CT187" s="1" t="e">
        <f ca="1">_xll.BDH($C$178,"CUR_RATIO","FQ4 2015","FQ4 2015","Currency=INR","Period=FQ","BEST_FPERIOD_OVERRIDE=FQ","FILING_STATUS=OR","EQY_CONSOLIDATED=Y","Sort=A","Dates=H","DateFormat=P","Fill=—","Direction=H","UseDPDF=Y")</f>
        <v>#NAME?</v>
      </c>
      <c r="CU187" s="1" t="e">
        <f ca="1">_xll.BDH($C$178,"QUICK_RATIO","FQ4 2015","FQ4 2015","Currency=INR","Period=FQ","BEST_FPERIOD_OVERRIDE=FQ","FILING_STATUS=OR","EQY_CONSOLIDATED=Y","Sort=A","Dates=H","DateFormat=P","Fill=—","Direction=H","UseDPDF=Y")</f>
        <v>#NAME?</v>
      </c>
      <c r="CV187" s="1" t="e">
        <f ca="1">_xll.BDH($C$178,"ALTMAN_Z_SCORE","FQ4 2015","FQ4 2015","Currency=INR","Period=FQ","BEST_FPERIOD_OVERRIDE=FQ","FILING_STATUS=OR","EQY_CONSOLIDATED=Y","Sort=A","Dates=H","DateFormat=P","Fill=—","Direction=H","UseDPDF=Y")</f>
        <v>#NAME?</v>
      </c>
      <c r="CW187" s="3" t="e">
        <f ca="1">_xll.BDH($C$178,"ACCT_RCV_TURN","FQ4 2015","FQ4 2015","Currency=INR","Period=FQ","BEST_FPERIOD_OVERRIDE=FQ","FILING_STATUS=OR","EQY_CONSOLIDATED=Y","FA_ADJUSTED=GAAP","Sort=A","Dates=H","DateFormat=P","Fill=—","Direction=H","UseDPDF=Y")</f>
        <v>#NAME?</v>
      </c>
      <c r="CX187" s="1" t="e">
        <f ca="1">_xll.BDH($C$178,"ACCT_RCV_DAYS","FQ4 2015","FQ4 2015","Currency=INR","Period=FQ","BEST_FPERIOD_OVERRIDE=FQ","FILING_STATUS=OR","EQY_CONSOLIDATED=Y","FA_ADJUSTED=GAAP","Sort=A","Dates=H","DateFormat=P","Fill=—","Direction=H","UseDPDF=Y")</f>
        <v>#NAME?</v>
      </c>
      <c r="CY187" s="3" t="e">
        <f ca="1">_xll.BDH($C$178,"INVENT_TURN","FQ4 2015","FQ4 2015","Currency=INR","Period=FQ","BEST_FPERIOD_OVERRIDE=FQ","FILING_STATUS=OR","EQY_CONSOLIDATED=Y","FA_ADJUSTED=GAAP","Sort=A","Dates=H","DateFormat=P","Fill=—","Direction=H","UseDPDF=Y")</f>
        <v>#NAME?</v>
      </c>
      <c r="CZ187" s="1" t="e">
        <f ca="1">_xll.BDH($C$178,"INVENT_DAYS","FQ4 2015","FQ4 2015","Currency=INR","Period=FQ","BEST_FPERIOD_OVERRIDE=FQ","FILING_STATUS=OR","EQY_CONSOLIDATED=Y","FA_ADJUSTED=GAAP","Sort=A","Dates=H","DateFormat=P","Fill=—","Direction=H","UseDPDF=Y")</f>
        <v>#NAME?</v>
      </c>
      <c r="DA187" s="3" t="e">
        <f ca="1">_xll.BDH($C$178,"ACCOUNTS_PAYABLE_TURNOVER","FQ4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87" s="1" t="e">
        <f ca="1">_xll.BDH($C$178,"ACCOUNTS_PAYABLE_TURNOVER_DAYS","FQ4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87" s="3" t="e">
        <f ca="1">_xll.BDH($C$178,"CASH_CONVERSION_CYCLE","FQ4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87" s="3" t="e">
        <f ca="1">_xll.BDH($C$178,"INV_TO_CASH_DAYS","FQ4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187" s="4" t="e">
        <f ca="1">_xll.BDH($C$178,"BS_INVENTORIES","FQ4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187" s="2" t="e">
        <f ca="1">_xll.BDH($C$178,"INVTRY_RAW_MATERIALS","FQ4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87" s="2" t="e">
        <f ca="1">_xll.BDH($C$178,"INVTRY_IN_PROGRESS","FQ4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87" s="2" t="e">
        <f ca="1">_xll.BDH($C$178,"INVTRY_FINISHED_GOODS","FQ4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87" s="2" t="e">
        <f ca="1">_xll.BDH($C$178,"BS_OTHER_INV","FQ4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88" spans="1:113" x14ac:dyDescent="0.3">
      <c r="A188" s="6"/>
      <c r="B188" s="6"/>
      <c r="C188" s="6"/>
      <c r="D188" s="6" t="s">
        <v>9</v>
      </c>
      <c r="E188" t="s">
        <v>3</v>
      </c>
      <c r="F188" t="e">
        <f ca="1">_xll.BDH($C$178,"RETURN_COM_EQY","FY 2016","FY 2016","Currency=INR","Period=FY","BEST_FPERIOD_OVERRIDE=FY","FILING_STATUS=OR","EQY_CONSOLIDATED=Y","FA_ADJUSTED=GAAP","Sort=A","Dates=H","DateFormat=P","Fill=—","Direction=H","UseDPDF=Y")</f>
        <v>#NAME?</v>
      </c>
      <c r="G188" t="e">
        <f ca="1">_xll.BDH($C$178,"RETURN_ON_ASSET","FY 2016","FY 2016","Currency=INR","Period=FY","BEST_FPERIOD_OVERRIDE=FY","FILING_STATUS=OR","EQY_CONSOLIDATED=Y","FA_ADJUSTED=GAAP","Sort=A","Dates=H","DateFormat=P","Fill=—","Direction=H","UseDPDF=Y")</f>
        <v>#NAME?</v>
      </c>
      <c r="H188" t="e">
        <f ca="1">_xll.BDH($C$178,"RETURN_ON_CAP","FY 2016","FY 2016","Currency=INR","Period=FY","BEST_FPERIOD_OVERRIDE=FY","FILING_STATUS=OR","EQY_CONSOLIDATED=Y","FA_ADJUSTED=GAAP","Sort=A","Dates=H","DateFormat=P","Fill=—","Direction=H","UseDPDF=Y")</f>
        <v>#NAME?</v>
      </c>
      <c r="I188" t="e">
        <f ca="1">_xll.BDH($C$178,"RETURN_ON_INV_CAPITAL","FY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88" t="e">
        <f ca="1">_xll.BDH($C$178,"EBITDA_TO_REVENUE","FY 2016","FY 2016","Currency=INR","Period=FY","BEST_FPERIOD_OVERRIDE=FY","FILING_STATUS=OR","EQY_CONSOLIDATED=Y","FA_ADJUSTED=GAAP","Sort=A","Dates=H","DateFormat=P","Fill=—","Direction=H","UseDPDF=Y")</f>
        <v>#NAME?</v>
      </c>
      <c r="K188" t="e">
        <f ca="1">_xll.BDH($C$178,"OPER_MARGIN","FY 2016","FY 2016","Currency=INR","Period=FY","BEST_FPERIOD_OVERRIDE=FY","FILING_STATUS=OR","EQY_CONSOLIDATED=Y","FA_ADJUSTED=GAAP","Sort=A","Dates=H","DateFormat=P","Fill=—","Direction=H","UseDPDF=Y")</f>
        <v>#NAME?</v>
      </c>
      <c r="L188" t="e">
        <f ca="1">_xll.BDH($C$178,"INCREMENTAL_OPERATING_MARGIN","FY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88" t="e">
        <f ca="1">_xll.BDH($C$178,"PRETAX_INC_TO_NET_SALES","FY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88" t="e">
        <f ca="1">_xll.BDH($C$178,"INC_BEF_XO_ITEMS_TO_NET_SALES","FY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88" t="e">
        <f ca="1">_xll.BDH($C$178,"PROF_MARGIN","FY 2016","FY 2016","Currency=INR","Period=FY","BEST_FPERIOD_OVERRIDE=FY","FILING_STATUS=OR","EQY_CONSOLIDATED=Y","FA_ADJUSTED=GAAP","Sort=A","Dates=H","DateFormat=P","Fill=—","Direction=H","UseDPDF=Y")</f>
        <v>#NAME?</v>
      </c>
      <c r="P188" t="e">
        <f ca="1">_xll.BDH($C$178,"NET_INCOME_TO_COMMON_MARGIN","FY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88" t="e">
        <f ca="1">_xll.BDH($C$178,"EFF_TAX_RATE","FY 2016","FY 2016","Currency=INR","Period=FY","BEST_FPERIOD_OVERRIDE=FY","FILING_STATUS=OR","EQY_CONSOLIDATED=Y","FA_ADJUSTED=GAAP","Sort=A","Dates=H","DateFormat=P","Fill=—","Direction=H","UseDPDF=Y")</f>
        <v>#NAME?</v>
      </c>
      <c r="R188" t="e">
        <f ca="1">_xll.BDH($C$178,"DVD_PAYOUT_RATIO","FY 2016","FY 2016","Currency=INR","Period=FY","BEST_FPERIOD_OVERRIDE=FY","FILING_STATUS=OR","EQY_CONSOLIDATED=Y","FA_ADJUSTED=GAAP","Sort=A","Dates=H","DateFormat=P","Fill=—","Direction=H","UseDPDF=Y")</f>
        <v>#NAME?</v>
      </c>
      <c r="S188" t="e">
        <f ca="1">_xll.BDH($C$178,"SUSTAIN_GROWTH_RT","FY 2016","FY 2016","Currency=INR","Period=FY","BEST_FPERIOD_OVERRIDE=FY","FILING_STATUS=OR","EQY_CONSOLIDATED=Y","FA_ADJUSTED=GAAP","Sort=A","Dates=H","DateFormat=P","Fill=—","Direction=H","UseDPDF=Y")</f>
        <v>#NAME?</v>
      </c>
      <c r="T188" s="1" t="e">
        <f ca="1">_xll.BDH($C$178,"SALES_GROWTH","FY 2016","FY 2016","Currency=INR","Period=FY","BEST_FPERIOD_OVERRIDE=FY","FILING_STATUS=OR","EQY_CONSOLIDATED=Y","FA_ADJUSTED=GAAP","Sort=A","Dates=H","DateFormat=P","Fill=—","Direction=H","UseDPDF=Y")</f>
        <v>#NAME?</v>
      </c>
      <c r="U188" s="1" t="e">
        <f ca="1">_xll.BDH($C$178,"EBITDA_GROWTH","FY 2016","FY 2016","Currency=INR","Period=FY","BEST_FPERIOD_OVERRIDE=FY","FILING_STATUS=OR","EQY_CONSOLIDATED=Y","FA_ADJUSTED=GAAP","Sort=A","Dates=H","DateFormat=P","Fill=—","Direction=H","UseDPDF=Y")</f>
        <v>#NAME?</v>
      </c>
      <c r="V188" s="1" t="e">
        <f ca="1">_xll.BDH($C$178,"OPER_INC_GROWTH","FY 2016","FY 2016","Currency=INR","Period=FY","BEST_FPERIOD_OVERRIDE=FY","FILING_STATUS=OR","EQY_CONSOLIDATED=Y","FA_ADJUSTED=GAAP","Sort=A","Dates=H","DateFormat=P","Fill=—","Direction=H","UseDPDF=Y")</f>
        <v>#NAME?</v>
      </c>
      <c r="W188" s="1" t="e">
        <f ca="1">_xll.BDH($C$178,"EARN_FOR_COM_GROWTH","FY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188" s="1" t="e">
        <f ca="1">_xll.BDH($C$178,"DILUTED_EPS_AFT_XO_ITEMS_GROWTH","FY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88" s="1" t="e">
        <f ca="1">_xll.BDH($C$178,"DIVIDEND_PER_SHARE_1_YEAR_GROWTH","FY 2016","FY 2016","Currency=INR","Period=FY","BEST_FPERIOD_OVERRIDE=FY","FILING_STATUS=OR","EQY_CONSOLIDATED=Y","Sort=A","Dates=H","DateFormat=P","Fill=—","Direction=H","UseDPDF=Y")</f>
        <v>#NAME?</v>
      </c>
      <c r="Z188" s="1" t="e">
        <f ca="1">_xll.BDH($C$178,"ACCOUNTS_RECEIVABLE_GROWTH","FY 2016","FY 2016","Currency=INR","Period=FY","BEST_FPERIOD_OVERRIDE=FY","FILING_STATUS=OR","EQY_CONSOLIDATED=Y","Sort=A","Dates=H","DateFormat=P","Fill=—","Direction=H","UseDPDF=Y")</f>
        <v>#NAME?</v>
      </c>
      <c r="AA188" s="1" t="e">
        <f ca="1">_xll.BDH($C$178,"INVENTORY_GROWTH","FY 2016","FY 2016","Currency=INR","Period=FY","BEST_FPERIOD_OVERRIDE=FY","FILING_STATUS=OR","EQY_CONSOLIDATED=Y","Sort=A","Dates=H","DateFormat=P","Fill=—","Direction=H","UseDPDF=Y")</f>
        <v>#NAME?</v>
      </c>
      <c r="AB188" s="1" t="e">
        <f ca="1">_xll.BDH($C$178,"NET_FIXED_ASSETS_1_YEAR_GROWTH","FY 2016","FY 2016","Currency=INR","Period=FY","BEST_FPERIOD_OVERRIDE=FY","FILING_STATUS=OR","EQY_CONSOLIDATED=Y","Sort=A","Dates=H","DateFormat=P","Fill=—","Direction=H","UseDPDF=Y")</f>
        <v>#NAME?</v>
      </c>
      <c r="AC188" s="1" t="e">
        <f ca="1">_xll.BDH($C$178,"ASSET_GROWTH","FY 2016","FY 2016","Currency=INR","Period=FY","BEST_FPERIOD_OVERRIDE=FY","FILING_STATUS=OR","EQY_CONSOLIDATED=Y","Sort=A","Dates=H","DateFormat=P","Fill=—","Direction=H","UseDPDF=Y")</f>
        <v>#NAME?</v>
      </c>
      <c r="AD188" s="1" t="e">
        <f ca="1">_xll.BDH($C$178,"MODIFIED_WORK_CAP_GROWTH","FY 2016","FY 2016","Currency=INR","Period=FY","BEST_FPERIOD_OVERRIDE=FY","FILING_STATUS=OR","EQY_CONSOLIDATED=Y","Sort=A","Dates=H","DateFormat=P","Fill=—","Direction=H","UseDPDF=Y")</f>
        <v>#NAME?</v>
      </c>
      <c r="AE188" s="1" t="e">
        <f ca="1">_xll.BDH($C$178,"WORK_CAP_GROWTH","FY 2016","FY 2016","Currency=INR","Period=FY","BEST_FPERIOD_OVERRIDE=FY","FILING_STATUS=OR","EQY_CONSOLIDATED=Y","Sort=A","Dates=H","DateFormat=P","Fill=—","Direction=H","UseDPDF=Y")</f>
        <v>#NAME?</v>
      </c>
      <c r="AF188" s="1" t="e">
        <f ca="1">_xll.BDH($C$178,"ACCOUNTS_PAYABLE_GROWTH_1YR","FY 2016","FY 2016","Currency=INR","Period=FY","BEST_FPERIOD_OVERRIDE=FY","FILING_STATUS=OR","EQY_CONSOLIDATED=Y","Sort=A","Dates=H","DateFormat=P","Fill=—","Direction=H","UseDPDF=Y")</f>
        <v>#NAME?</v>
      </c>
      <c r="AG188" s="1" t="e">
        <f ca="1">_xll.BDH($C$178,"SHORT_TERM_DEBT_1_YEAR_GROWTH","FY 2016","FY 2016","Currency=INR","Period=FY","BEST_FPERIOD_OVERRIDE=FY","FILING_STATUS=OR","EQY_CONSOLIDATED=Y","Sort=A","Dates=H","DateFormat=P","Fill=—","Direction=H","UseDPDF=Y")</f>
        <v>#NAME?</v>
      </c>
      <c r="AH188" s="1" t="e">
        <f ca="1">_xll.BDH($C$178,"TOTAL_DEBT_1_YEAR_GROWTH","FY 2016","FY 2016","Currency=INR","Period=FY","BEST_FPERIOD_OVERRIDE=FY","FILING_STATUS=OR","EQY_CONSOLIDATED=Y","Sort=A","Dates=H","DateFormat=P","Fill=—","Direction=H","UseDPDF=Y")</f>
        <v>#NAME?</v>
      </c>
      <c r="AI188" s="1" t="e">
        <f ca="1">_xll.BDH($C$178,"TOTAL_EQUITY_1_YEAR_GROWTH","FY 2016","FY 2016","Currency=INR","Period=FY","BEST_FPERIOD_OVERRIDE=FY","FILING_STATUS=OR","EQY_CONSOLIDATED=Y","Sort=A","Dates=H","DateFormat=P","Fill=—","Direction=H","UseDPDF=Y")</f>
        <v>#NAME?</v>
      </c>
      <c r="AJ188" s="1" t="e">
        <f ca="1">_xll.BDH($C$178,"GROWTH_IN_CAP","FY 2016","FY 2016","Currency=INR","Period=FY","BEST_FPERIOD_OVERRIDE=FY","FILING_STATUS=OR","EQY_CONSOLIDATED=Y","Sort=A","Dates=H","DateFormat=P","Fill=—","Direction=H","UseDPDF=Y")</f>
        <v>#NAME?</v>
      </c>
      <c r="AK188" s="1" t="e">
        <f ca="1">_xll.BDH($C$178,"BVPS_GROWTH","FY 2016","FY 2016","Currency=INR","Period=FY","BEST_FPERIOD_OVERRIDE=FY","FILING_STATUS=OR","EQY_CONSOLIDATED=Y","Sort=A","Dates=H","DateFormat=P","Fill=—","Direction=H","UseDPDF=Y")</f>
        <v>#NAME?</v>
      </c>
      <c r="AL188" s="1" t="e">
        <f ca="1">_xll.BDH($C$178,"CASH_FLOW_GROWTH","FY 2016","FY 2016","Currency=INR","Period=FY","BEST_FPERIOD_OVERRIDE=FY","FILING_STATUS=OR","EQY_CONSOLIDATED=Y","Sort=A","Dates=H","DateFormat=P","Fill=—","Direction=H","UseDPDF=Y")</f>
        <v>#NAME?</v>
      </c>
      <c r="AM188" s="1" t="e">
        <f ca="1">_xll.BDH($C$178,"GEO_GROW_NET_SALES","FY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188" s="1" t="e">
        <f ca="1">_xll.BDH($C$178,"GEO_GROW_EBITDA","FY 2016","FY 2016","Currency=INR","Period=FY","BEST_FPERIOD_OVERRIDE=FY","FILING_STATUS=OR","EQY_CONSOLIDATED=Y","FA_ADJUSTED=GAAP","Sort=A","Dates=H","DateFormat=P","Fill=—","Direction=H","UseDPDF=Y")</f>
        <v>#NAME?</v>
      </c>
      <c r="AO188" s="1" t="e">
        <f ca="1">_xll.BDH($C$178,"GEO_GROW_OPER_INC","FY 2016","FY 2016","Currency=INR","Period=FY","BEST_FPERIOD_OVERRIDE=FY","FILING_STATUS=OR","EQY_CONSOLIDATED=Y","FA_ADJUSTED=GAAP","Sort=A","Dates=H","DateFormat=P","Fill=—","Direction=H","UseDPDF=Y")</f>
        <v>#NAME?</v>
      </c>
      <c r="AP188" s="1" t="e">
        <f ca="1">_xll.BDH($C$178,"NET_INCOME_TO_COMMON_5_YR_GROWTH","FY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88" s="1" t="e">
        <f ca="1">_xll.BDH($C$178,"5Y_GEO_GROWTH_DILUTED_EPS","FY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88" s="1" t="e">
        <f ca="1">_xll.BDH($C$178,"GEO_GROW_DVD_PER_SH","FY 2016","FY 2016","Currency=INR","Period=FY","BEST_FPERIOD_OVERRIDE=FY","FILING_STATUS=OR","EQY_CONSOLIDATED=Y","Sort=A","Dates=H","DateFormat=P","Fill=—","Direction=H","UseDPDF=Y")</f>
        <v>#NAME?</v>
      </c>
      <c r="AS188" s="1" t="e">
        <f ca="1">_xll.BDH($C$178,"ACCOUNTS_RECEIVABLE_5_YR_GROWTH","FY 2016","FY 2016","Currency=INR","Period=FY","BEST_FPERIOD_OVERRIDE=FY","FILING_STATUS=OR","EQY_CONSOLIDATED=Y","Sort=A","Dates=H","DateFormat=P","Fill=—","Direction=H","UseDPDF=Y")</f>
        <v>#NAME?</v>
      </c>
      <c r="AT188" s="1" t="e">
        <f ca="1">_xll.BDH($C$178,"INVENTORY_5_YEAR_GROWTH","FY 2016","FY 2016","Currency=INR","Period=FY","BEST_FPERIOD_OVERRIDE=FY","FILING_STATUS=OR","EQY_CONSOLIDATED=Y","Sort=A","Dates=H","DateFormat=P","Fill=—","Direction=H","UseDPDF=Y")</f>
        <v>#NAME?</v>
      </c>
      <c r="AU188" s="1" t="e">
        <f ca="1">_xll.BDH($C$178,"NET_FIXED_ASSETS_5_YEAR_GROWTH","FY 2016","FY 2016","Currency=INR","Period=FY","BEST_FPERIOD_OVERRIDE=FY","FILING_STATUS=OR","EQY_CONSOLIDATED=Y","Sort=A","Dates=H","DateFormat=P","Fill=—","Direction=H","UseDPDF=Y")</f>
        <v>#NAME?</v>
      </c>
      <c r="AV188" s="1" t="e">
        <f ca="1">_xll.BDH($C$178,"GEO_GROW_TOT_ASSET","FY 2016","FY 2016","Currency=INR","Period=FY","BEST_FPERIOD_OVERRIDE=FY","FILING_STATUS=OR","EQY_CONSOLIDATED=Y","Sort=A","Dates=H","DateFormat=P","Fill=—","Direction=H","UseDPDF=Y")</f>
        <v>#NAME?</v>
      </c>
      <c r="AW188" s="1" t="e">
        <f ca="1">_xll.BDH($C$178,"MODIFIED_WORKING_CPTL_5YR_GRWTH","FY 2016","FY 2016","Currency=INR","Period=FY","BEST_FPERIOD_OVERRIDE=FY","FILING_STATUS=OR","EQY_CONSOLIDATED=Y","Sort=A","Dates=H","DateFormat=P","Fill=—","Direction=H","UseDPDF=Y")</f>
        <v>#NAME?</v>
      </c>
      <c r="AX188" s="1" t="e">
        <f ca="1">_xll.BDH($C$178,"WORKING_CAPITAL_5_YEAR_GROWTH","FY 2016","FY 2016","Currency=INR","Period=FY","BEST_FPERIOD_OVERRIDE=FY","FILING_STATUS=OR","EQY_CONSOLIDATED=Y","Sort=A","Dates=H","DateFormat=P","Fill=—","Direction=H","UseDPDF=Y")</f>
        <v>#NAME?</v>
      </c>
      <c r="AY188" s="1" t="e">
        <f ca="1">_xll.BDH($C$178,"ACCOUNTS_PAYABLE_5_YEAR_GROWTH","FY 2016","FY 2016","Currency=INR","Period=FY","BEST_FPERIOD_OVERRIDE=FY","FILING_STATUS=OR","EQY_CONSOLIDATED=Y","Sort=A","Dates=H","DateFormat=P","Fill=—","Direction=H","UseDPDF=Y")</f>
        <v>#NAME?</v>
      </c>
      <c r="AZ188" s="1" t="e">
        <f ca="1">_xll.BDH($C$178,"SHORT_TERM_DEBT_5_YEAR_GROWTH","FY 2016","FY 2016","Currency=INR","Period=FY","BEST_FPERIOD_OVERRIDE=FY","FILING_STATUS=OR","EQY_CONSOLIDATED=Y","Sort=A","Dates=H","DateFormat=P","Fill=—","Direction=H","UseDPDF=Y")</f>
        <v>#NAME?</v>
      </c>
      <c r="BA188" s="1" t="e">
        <f ca="1">_xll.BDH($C$178,"TOTAL_DEBT_5_YEAR_GROWTH","FY 2016","FY 2016","Currency=INR","Period=FY","BEST_FPERIOD_OVERRIDE=FY","FILING_STATUS=OR","EQY_CONSOLIDATED=Y","Sort=A","Dates=H","DateFormat=P","Fill=—","Direction=H","UseDPDF=Y")</f>
        <v>#NAME?</v>
      </c>
      <c r="BB188" s="1" t="e">
        <f ca="1">_xll.BDH($C$178,"GEO_GROW_TOT_SHRHLDR_EQY","FY 2016","FY 2016","Currency=INR","Period=FY","BEST_FPERIOD_OVERRIDE=FY","FILING_STATUS=OR","EQY_CONSOLIDATED=Y","Sort=A","Dates=H","DateFormat=P","Fill=—","Direction=H","UseDPDF=Y")</f>
        <v>#NAME?</v>
      </c>
      <c r="BC188" s="1" t="e">
        <f ca="1">_xll.BDH($C$178,"TOTAL_CAPITAL_5_YEAR_GROWTH","FY 2016","FY 2016","Currency=INR","Period=FY","BEST_FPERIOD_OVERRIDE=FY","FILING_STATUS=OR","EQY_CONSOLIDATED=Y","Sort=A","Dates=H","DateFormat=P","Fill=—","Direction=H","UseDPDF=Y")</f>
        <v>#NAME?</v>
      </c>
      <c r="BD188" s="1" t="e">
        <f ca="1">_xll.BDH($C$178,"GEO_GROW_BOOK_VAL","FY 2016","FY 2016","Currency=INR","Period=FY","BEST_FPERIOD_OVERRIDE=FY","FILING_STATUS=OR","EQY_CONSOLIDATED=Y","Sort=A","Dates=H","DateFormat=P","Fill=—","Direction=H","UseDPDF=Y")</f>
        <v>#NAME?</v>
      </c>
      <c r="BE188" s="1" t="e">
        <f ca="1">_xll.BDH($C$178,"GEO_GROW_CASH_OPER_ACT","FY 2016","FY 2016","Currency=INR","Period=FY","BEST_FPERIOD_OVERRIDE=FY","FILING_STATUS=OR","EQY_CONSOLIDATED=Y","Sort=A","Dates=H","DateFormat=P","Fill=—","Direction=H","UseDPDF=Y")</f>
        <v>#NAME?</v>
      </c>
      <c r="BF188" s="1" t="e">
        <f ca="1">_xll.BDH($C$178,"REVENUE_SEQUENTIAL_GROWTH","FY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88" s="1" t="e">
        <f ca="1">_xll.BDH($C$178,"EBITDA_SEQUENTIAL_GROWTH","FY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88" s="1" t="e">
        <f ca="1">_xll.BDH($C$178,"OPERATING_INCOME_SEQ_GROWTH","FY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88" s="1" t="e">
        <f ca="1">_xll.BDH($C$178,"NET_INCOME_TO_COMMON_SEQ_GROWTH","FY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88" s="1" t="e">
        <f ca="1">_xll.BDH($C$178,"EPS_DILUTED_SEQUENTIAL_GROWTH","FY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88" s="1" t="e">
        <f ca="1">_xll.BDH($C$178,"DPS_SEQUENTIAL_GROWTH","FY 2016","FY 2016","Currency=INR","Period=FY","BEST_FPERIOD_OVERRIDE=FY","FILING_STATUS=OR","EQY_CONSOLIDATED=Y","Sort=A","Dates=H","DateFormat=P","Fill=—","Direction=H","UseDPDF=Y")</f>
        <v>#NAME?</v>
      </c>
      <c r="BL188" s="1" t="e">
        <f ca="1">_xll.BDH($C$178,"ACCOUNTS_RECEIVABLE_SEQ_GROWTH","FY 2016","FY 2016","Currency=INR","Period=FY","BEST_FPERIOD_OVERRIDE=FY","FILING_STATUS=OR","EQY_CONSOLIDATED=Y","Sort=A","Dates=H","DateFormat=P","Fill=—","Direction=H","UseDPDF=Y")</f>
        <v>#NAME?</v>
      </c>
      <c r="BM188" s="1" t="e">
        <f ca="1">_xll.BDH($C$178,"INVENTORY_SEQUENTIAL_GROWTH","FY 2016","FY 2016","Currency=INR","Period=FY","BEST_FPERIOD_OVERRIDE=FY","FILING_STATUS=OR","EQY_CONSOLIDATED=Y","Sort=A","Dates=H","DateFormat=P","Fill=—","Direction=H","UseDPDF=Y")</f>
        <v>#NAME?</v>
      </c>
      <c r="BN188" s="1" t="e">
        <f ca="1">_xll.BDH($C$178,"FIXED_ASSETS_SEQUENTIAL_GROWTH","FY 2016","FY 2016","Currency=INR","Period=FY","BEST_FPERIOD_OVERRIDE=FY","FILING_STATUS=OR","EQY_CONSOLIDATED=Y","Sort=A","Dates=H","DateFormat=P","Fill=—","Direction=H","UseDPDF=Y")</f>
        <v>#NAME?</v>
      </c>
      <c r="BO188" s="1" t="e">
        <f ca="1">_xll.BDH($C$178,"TOTAL_ASSETS_SEQUENTIAL_GROWTH","FY 2016","FY 2016","Currency=INR","Period=FY","BEST_FPERIOD_OVERRIDE=FY","FILING_STATUS=OR","EQY_CONSOLIDATED=Y","Sort=A","Dates=H","DateFormat=P","Fill=—","Direction=H","UseDPDF=Y")</f>
        <v>#NAME?</v>
      </c>
      <c r="BP188" s="1" t="e">
        <f ca="1">_xll.BDH($C$178,"MODIFIED_WORKING_CPTL_SEQ_GRWTH","FY 2016","FY 2016","Currency=INR","Period=FY","BEST_FPERIOD_OVERRIDE=FY","FILING_STATUS=OR","EQY_CONSOLIDATED=Y","Sort=A","Dates=H","DateFormat=P","Fill=—","Direction=H","UseDPDF=Y")</f>
        <v>#NAME?</v>
      </c>
      <c r="BQ188" s="1" t="e">
        <f ca="1">_xll.BDH($C$178,"WORKING_CAPITAL_SEQ_GROWTH","FY 2016","FY 2016","Currency=INR","Period=FY","BEST_FPERIOD_OVERRIDE=FY","FILING_STATUS=OR","EQY_CONSOLIDATED=Y","Sort=A","Dates=H","DateFormat=P","Fill=—","Direction=H","UseDPDF=Y")</f>
        <v>#NAME?</v>
      </c>
      <c r="BR188" s="1" t="e">
        <f ca="1">_xll.BDH($C$178,"ACCOUNTS_PAYABLE_SEQ_GROWTH","FY 2016","FY 2016","Currency=INR","Period=FY","BEST_FPERIOD_OVERRIDE=FY","FILING_STATUS=OR","EQY_CONSOLIDATED=Y","Sort=A","Dates=H","DateFormat=P","Fill=—","Direction=H","UseDPDF=Y")</f>
        <v>#NAME?</v>
      </c>
      <c r="BS188" s="1" t="e">
        <f ca="1">_xll.BDH($C$178,"ST_DEBT_SEQUENTIAL_GROWTH","FY 2016","FY 2016","Currency=INR","Period=FY","BEST_FPERIOD_OVERRIDE=FY","FILING_STATUS=OR","EQY_CONSOLIDATED=Y","Sort=A","Dates=H","DateFormat=P","Fill=—","Direction=H","UseDPDF=Y")</f>
        <v>#NAME?</v>
      </c>
      <c r="BT188" s="1" t="e">
        <f ca="1">_xll.BDH($C$178,"TOTAL_DEBT_SEQUENTIAL_GROWTH","FY 2016","FY 2016","Currency=INR","Period=FY","BEST_FPERIOD_OVERRIDE=FY","FILING_STATUS=OR","EQY_CONSOLIDATED=Y","Sort=A","Dates=H","DateFormat=P","Fill=—","Direction=H","UseDPDF=Y")</f>
        <v>#NAME?</v>
      </c>
      <c r="BU188" s="1" t="e">
        <f ca="1">_xll.BDH($C$178,"TOTAL_EQUITY_SEQUENTIAL_GROWTH","FY 2016","FY 2016","Currency=INR","Period=FY","BEST_FPERIOD_OVERRIDE=FY","FILING_STATUS=OR","EQY_CONSOLIDATED=Y","Sort=A","Dates=H","DateFormat=P","Fill=—","Direction=H","UseDPDF=Y")</f>
        <v>#NAME?</v>
      </c>
      <c r="BV188" s="1" t="e">
        <f ca="1">_xll.BDH($C$178,"TOTAL_CAPITAL_SEQUENTIAL_GROWTH","FY 2016","FY 2016","Currency=INR","Period=FY","BEST_FPERIOD_OVERRIDE=FY","FILING_STATUS=OR","EQY_CONSOLIDATED=Y","Sort=A","Dates=H","DateFormat=P","Fill=—","Direction=H","UseDPDF=Y")</f>
        <v>#NAME?</v>
      </c>
      <c r="BW188" s="1" t="e">
        <f ca="1">_xll.BDH($C$178,"BPS_SEQUENTIAL_GROWTH","FY 2016","FY 2016","Currency=INR","Period=FY","BEST_FPERIOD_OVERRIDE=FY","FILING_STATUS=OR","EQY_CONSOLIDATED=Y","Sort=A","Dates=H","DateFormat=P","Fill=—","Direction=H","UseDPDF=Y")</f>
        <v>#NAME?</v>
      </c>
      <c r="BX188" s="1" t="e">
        <f ca="1">_xll.BDH($C$178,"CFO_SEQUENTIAL_GROWTH","FY 2016","FY 2016","Currency=INR","Period=FY","BEST_FPERIOD_OVERRIDE=FY","FILING_STATUS=OR","EQY_CONSOLIDATED=Y","Sort=A","Dates=H","DateFormat=P","Fill=—","Direction=H","UseDPDF=Y")</f>
        <v>#NAME?</v>
      </c>
      <c r="BY188" s="2" t="e">
        <f ca="1">_xll.BDH($C$178,"SHORT_AND_LONG_TERM_DEBT","FY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88" s="2" t="e">
        <f ca="1">_xll.BDH($C$178,"BS_ST_BORROW","FY 2016","FY 2016","Currency=INR","Period=FY","BEST_FPERIOD_OVERRIDE=FY","FILING_STATUS=OR","EQY_CONSOLIDATED=Y","SCALING_FORMAT=MLN","Sort=A","Dates=H","DateFormat=P","Fill=—","Direction=H","UseDPDF=Y")</f>
        <v>#NAME?</v>
      </c>
      <c r="CA188" s="2" t="e">
        <f ca="1">_xll.BDH($C$178,"BS_LT_BORROW","FY 2016","FY 2016","Currency=INR","Period=FY","BEST_FPERIOD_OVERRIDE=FY","FILING_STATUS=OR","EQY_CONSOLIDATED=Y","SCALING_FORMAT=MLN","Sort=A","Dates=H","DateFormat=P","Fill=—","Direction=H","UseDPDF=Y")</f>
        <v>#NAME?</v>
      </c>
      <c r="CB188" s="1" t="e">
        <f ca="1">_xll.BDH($C$178,"TOT_DEBT_TO_EBITDA","FY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188" s="1" t="e">
        <f ca="1">_xll.BDH($C$178,"NET_DEBT_TO_EBITDA","FY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188" s="1" t="e">
        <f ca="1">_xll.BDH($C$178,"TOTAL_DEBT_TO_EBIT","FY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188" s="1" t="e">
        <f ca="1">_xll.BDH($C$178,"NET_DEBT_TO_EBIT","FY 2016","FY 2016","Currency=INR","Period=FY","BEST_FPERIOD_OVERRIDE=FY","FILING_STATUS=OR","EQY_CONSOLIDATED=Y","FA_ADJUSTED=GAAP","Sort=A","Dates=H","DateFormat=P","Fill=—","Direction=H","UseDPDF=Y")</f>
        <v>#NAME?</v>
      </c>
      <c r="CF188" s="1" t="e">
        <f ca="1">_xll.BDH($C$178,"EBITDA_TO_INTEREST_EXPN","FY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88" s="1" t="e">
        <f ca="1">_xll.BDH($C$178,"COM_EQY_TO_TOT_ASSET","FY 2016","FY 2016","Currency=INR","Period=FY","BEST_FPERIOD_OVERRIDE=FY","FILING_STATUS=OR","EQY_CONSOLIDATED=Y","Sort=A","Dates=H","DateFormat=P","Fill=—","Direction=H","UseDPDF=Y")</f>
        <v>#NAME?</v>
      </c>
      <c r="CH188" s="1" t="e">
        <f ca="1">_xll.BDH($C$178,"LT_DEBT_TO_TOT_EQY","FY 2016","FY 2016","Currency=INR","Period=FY","BEST_FPERIOD_OVERRIDE=FY","FILING_STATUS=OR","EQY_CONSOLIDATED=Y","Sort=A","Dates=H","DateFormat=P","Fill=—","Direction=H","UseDPDF=Y")</f>
        <v>#NAME?</v>
      </c>
      <c r="CI188" s="1" t="e">
        <f ca="1">_xll.BDH($C$178,"LT_DEBT_TO_TOT_CAP","FY 2016","FY 2016","Currency=INR","Period=FY","BEST_FPERIOD_OVERRIDE=FY","FILING_STATUS=OR","EQY_CONSOLIDATED=Y","Sort=A","Dates=H","DateFormat=P","Fill=—","Direction=H","UseDPDF=Y")</f>
        <v>#NAME?</v>
      </c>
      <c r="CJ188" s="1" t="e">
        <f ca="1">_xll.BDH($C$178,"LT_DEBT_TO_TOT_ASSET","FY 2016","FY 2016","Currency=INR","Period=FY","BEST_FPERIOD_OVERRIDE=FY","FILING_STATUS=OR","EQY_CONSOLIDATED=Y","Sort=A","Dates=H","DateFormat=P","Fill=—","Direction=H","UseDPDF=Y")</f>
        <v>#NAME?</v>
      </c>
      <c r="CK188" s="1" t="e">
        <f ca="1">_xll.BDH($C$178,"TOT_DEBT_TO_TOT_EQY","FY 2016","FY 2016","Currency=INR","Period=FY","BEST_FPERIOD_OVERRIDE=FY","FILING_STATUS=OR","EQY_CONSOLIDATED=Y","Sort=A","Dates=H","DateFormat=P","Fill=—","Direction=H","UseDPDF=Y")</f>
        <v>#NAME?</v>
      </c>
      <c r="CL188" s="1" t="e">
        <f ca="1">_xll.BDH($C$178,"TOT_DEBT_TO_TOT_CAP","FY 2016","FY 2016","Currency=INR","Period=FY","BEST_FPERIOD_OVERRIDE=FY","FILING_STATUS=OR","EQY_CONSOLIDATED=Y","Sort=A","Dates=H","DateFormat=P","Fill=—","Direction=H","UseDPDF=Y")</f>
        <v>#NAME?</v>
      </c>
      <c r="CM188" s="1" t="e">
        <f ca="1">_xll.BDH($C$178,"TOT_DEBT_TO_TOT_ASSET","FY 2016","FY 2016","Currency=INR","Period=FY","BEST_FPERIOD_OVERRIDE=FY","FILING_STATUS=OR","EQY_CONSOLIDATED=Y","Sort=A","Dates=H","DateFormat=P","Fill=—","Direction=H","UseDPDF=Y")</f>
        <v>#NAME?</v>
      </c>
      <c r="CN188" s="1" t="e">
        <f ca="1">_xll.BDH($C$178,"NET_DEBT_TO_SHRHLDR_EQTY","FY 2016","FY 2016","Currency=INR","Period=FY","BEST_FPERIOD_OVERRIDE=FY","FILING_STATUS=OR","EQY_CONSOLIDATED=Y","Sort=A","Dates=H","DateFormat=P","Fill=—","Direction=H","UseDPDF=Y")</f>
        <v>#NAME?</v>
      </c>
      <c r="CO188" s="1" t="e">
        <f ca="1">_xll.BDH($C$178,"NET_DEBT_%_CAPITAL","FY 2016","FY 2016","Currency=INR","Period=FY","BEST_FPERIOD_OVERRIDE=FY","FILING_STATUS=OR","EQY_CONSOLIDATED=Y","Sort=A","Dates=H","DateFormat=P","Fill=—","Direction=H","UseDPDF=Y")</f>
        <v>#NAME?</v>
      </c>
      <c r="CP188" s="2" t="e">
        <f ca="1">_xll.BDH($C$178,"EBITDA","FY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88" s="2" t="e">
        <f ca="1">_xll.BDH($C$178,"EBITDA_AFTER_CAPEX","FY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88" s="2" t="e">
        <f ca="1">_xll.BDH($C$178,"IS_OPER_INC","FY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88" s="1" t="e">
        <f ca="1">_xll.BDH($C$178,"CASH_RATIO","FY 2016","FY 2016","Currency=INR","Period=FY","BEST_FPERIOD_OVERRIDE=FY","FILING_STATUS=OR","EQY_CONSOLIDATED=Y","Sort=A","Dates=H","DateFormat=P","Fill=—","Direction=H","UseDPDF=Y")</f>
        <v>#NAME?</v>
      </c>
      <c r="CT188" s="1" t="e">
        <f ca="1">_xll.BDH($C$178,"CUR_RATIO","FY 2016","FY 2016","Currency=INR","Period=FY","BEST_FPERIOD_OVERRIDE=FY","FILING_STATUS=OR","EQY_CONSOLIDATED=Y","Sort=A","Dates=H","DateFormat=P","Fill=—","Direction=H","UseDPDF=Y")</f>
        <v>#NAME?</v>
      </c>
      <c r="CU188" s="1" t="e">
        <f ca="1">_xll.BDH($C$178,"QUICK_RATIO","FY 2016","FY 2016","Currency=INR","Period=FY","BEST_FPERIOD_OVERRIDE=FY","FILING_STATUS=OR","EQY_CONSOLIDATED=Y","Sort=A","Dates=H","DateFormat=P","Fill=—","Direction=H","UseDPDF=Y")</f>
        <v>#NAME?</v>
      </c>
      <c r="CV188" s="1" t="e">
        <f ca="1">_xll.BDH($C$178,"ALTMAN_Z_SCORE","FY 2016","FY 2016","Currency=INR","Period=FY","BEST_FPERIOD_OVERRIDE=FY","FILING_STATUS=OR","EQY_CONSOLIDATED=Y","Sort=A","Dates=H","DateFormat=P","Fill=—","Direction=H","UseDPDF=Y")</f>
        <v>#NAME?</v>
      </c>
      <c r="CW188" s="3" t="e">
        <f ca="1">_xll.BDH($C$178,"ACCT_RCV_TURN","FY 2016","FY 2016","Currency=INR","Period=FY","BEST_FPERIOD_OVERRIDE=FY","FILING_STATUS=OR","EQY_CONSOLIDATED=Y","FA_ADJUSTED=GAAP","Sort=A","Dates=H","DateFormat=P","Fill=—","Direction=H","UseDPDF=Y")</f>
        <v>#NAME?</v>
      </c>
      <c r="CX188" s="1" t="e">
        <f ca="1">_xll.BDH($C$178,"ACCT_RCV_DAYS","FY 2016","FY 2016","Currency=INR","Period=FY","BEST_FPERIOD_OVERRIDE=FY","FILING_STATUS=OR","EQY_CONSOLIDATED=Y","FA_ADJUSTED=GAAP","Sort=A","Dates=H","DateFormat=P","Fill=—","Direction=H","UseDPDF=Y")</f>
        <v>#NAME?</v>
      </c>
      <c r="CY188" s="3" t="e">
        <f ca="1">_xll.BDH($C$178,"INVENT_TURN","FY 2016","FY 2016","Currency=INR","Period=FY","BEST_FPERIOD_OVERRIDE=FY","FILING_STATUS=OR","EQY_CONSOLIDATED=Y","FA_ADJUSTED=GAAP","Sort=A","Dates=H","DateFormat=P","Fill=—","Direction=H","UseDPDF=Y")</f>
        <v>#NAME?</v>
      </c>
      <c r="CZ188" s="1" t="e">
        <f ca="1">_xll.BDH($C$178,"INVENT_DAYS","FY 2016","FY 2016","Currency=INR","Period=FY","BEST_FPERIOD_OVERRIDE=FY","FILING_STATUS=OR","EQY_CONSOLIDATED=Y","FA_ADJUSTED=GAAP","Sort=A","Dates=H","DateFormat=P","Fill=—","Direction=H","UseDPDF=Y")</f>
        <v>#NAME?</v>
      </c>
      <c r="DA188" s="3" t="e">
        <f ca="1">_xll.BDH($C$178,"ACCOUNTS_PAYABLE_TURNOVER","FY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88" s="1" t="e">
        <f ca="1">_xll.BDH($C$178,"ACCOUNTS_PAYABLE_TURNOVER_DAYS","FY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88" s="3" t="e">
        <f ca="1">_xll.BDH($C$178,"CASH_CONVERSION_CYCLE","FY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88" s="3" t="e">
        <f ca="1">_xll.BDH($C$178,"INV_TO_CASH_DAYS","FY 2016","FY 2016","Currency=INR","Period=FY","BEST_FPERIOD_OVERRIDE=FY","FILING_STATUS=OR","EQY_CONSOLIDATED=Y","FA_ADJUSTED=GAAP","Sort=A","Dates=H","DateFormat=P","Fill=—","Direction=H","UseDPDF=Y")</f>
        <v>#NAME?</v>
      </c>
      <c r="DE188" s="4" t="e">
        <f ca="1">_xll.BDH($C$178,"BS_INVENTORIES","FY 2016","FY 2016","Currency=INR","Period=FY","BEST_FPERIOD_OVERRIDE=FY","FILING_STATUS=OR","EQY_CONSOLIDATED=Y","SCALING_FORMAT=MLN","Sort=A","Dates=H","DateFormat=P","Fill=—","Direction=H","UseDPDF=Y")</f>
        <v>#NAME?</v>
      </c>
      <c r="DF188" s="2" t="e">
        <f ca="1">_xll.BDH($C$178,"INVTRY_RAW_MATERIALS","FY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88" s="2" t="e">
        <f ca="1">_xll.BDH($C$178,"INVTRY_IN_PROGRESS","FY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88" s="2" t="e">
        <f ca="1">_xll.BDH($C$178,"INVTRY_FINISHED_GOODS","FY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88" s="2" t="e">
        <f ca="1">_xll.BDH($C$178,"BS_OTHER_INV","FY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89" spans="1:113" x14ac:dyDescent="0.3">
      <c r="A189" s="6"/>
      <c r="B189" s="6"/>
      <c r="C189" s="6"/>
      <c r="D189" s="6"/>
      <c r="E189" t="s">
        <v>4</v>
      </c>
      <c r="F189" t="e">
        <f ca="1">_xll.BDH($C$178,"RETURN_COM_EQY","FQ1 2016","FQ1 2016","Currency=INR","Period=FQ","BEST_FPERIOD_OVERRIDE=FQ","FILING_STATUS=OR","EQY_CONSOLIDATED=Y","FA_ADJUSTED=GAAP","Sort=A","Dates=H","DateFormat=P","Fill=—","Direction=H","UseDPDF=Y")</f>
        <v>#NAME?</v>
      </c>
      <c r="G189" t="e">
        <f ca="1">_xll.BDH($C$178,"RETURN_ON_ASSET","FQ1 2016","FQ1 2016","Currency=INR","Period=FQ","BEST_FPERIOD_OVERRIDE=FQ","FILING_STATUS=OR","EQY_CONSOLIDATED=Y","FA_ADJUSTED=GAAP","Sort=A","Dates=H","DateFormat=P","Fill=—","Direction=H","UseDPDF=Y")</f>
        <v>#NAME?</v>
      </c>
      <c r="H189" t="e">
        <f ca="1">_xll.BDH($C$178,"RETURN_ON_CAP","FQ1 2016","FQ1 2016","Currency=INR","Period=FQ","BEST_FPERIOD_OVERRIDE=FQ","FILING_STATUS=OR","EQY_CONSOLIDATED=Y","FA_ADJUSTED=GAAP","Sort=A","Dates=H","DateFormat=P","Fill=—","Direction=H","UseDPDF=Y")</f>
        <v>#NAME?</v>
      </c>
      <c r="I189" t="e">
        <f ca="1">_xll.BDH($C$178,"RETURN_ON_INV_CAPITAL","FQ1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89" t="e">
        <f ca="1">_xll.BDH($C$178,"EBITDA_TO_REVENUE","FQ1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189" t="e">
        <f ca="1">_xll.BDH($C$178,"OPER_MARGIN","FQ1 2016","FQ1 2016","Currency=INR","Period=FQ","BEST_FPERIOD_OVERRIDE=FQ","FILING_STATUS=OR","EQY_CONSOLIDATED=Y","FA_ADJUSTED=GAAP","Sort=A","Dates=H","DateFormat=P","Fill=—","Direction=H","UseDPDF=Y")</f>
        <v>#NAME?</v>
      </c>
      <c r="L189" t="e">
        <f ca="1">_xll.BDH($C$178,"INCREMENTAL_OPERATING_MARGIN","FQ1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89" t="e">
        <f ca="1">_xll.BDH($C$178,"PRETAX_INC_TO_NET_SALES","FQ1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89" t="e">
        <f ca="1">_xll.BDH($C$178,"INC_BEF_XO_ITEMS_TO_NET_SALES","FQ1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89" t="e">
        <f ca="1">_xll.BDH($C$178,"PROF_MARGIN","FQ1 2016","FQ1 2016","Currency=INR","Period=FQ","BEST_FPERIOD_OVERRIDE=FQ","FILING_STATUS=OR","EQY_CONSOLIDATED=Y","FA_ADJUSTED=GAAP","Sort=A","Dates=H","DateFormat=P","Fill=—","Direction=H","UseDPDF=Y")</f>
        <v>#NAME?</v>
      </c>
      <c r="P189" t="e">
        <f ca="1">_xll.BDH($C$178,"NET_INCOME_TO_COMMON_MARGIN","FQ1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89" t="e">
        <f ca="1">_xll.BDH($C$178,"EFF_TAX_RATE","FQ1 2016","FQ1 2016","Currency=INR","Period=FQ","BEST_FPERIOD_OVERRIDE=FQ","FILING_STATUS=OR","EQY_CONSOLIDATED=Y","FA_ADJUSTED=GAAP","Sort=A","Dates=H","DateFormat=P","Fill=—","Direction=H","UseDPDF=Y")</f>
        <v>#NAME?</v>
      </c>
      <c r="R189" t="e">
        <f ca="1">_xll.BDH($C$178,"DVD_PAYOUT_RATIO","FQ1 2016","FQ1 2016","Currency=INR","Period=FQ","BEST_FPERIOD_OVERRIDE=FQ","FILING_STATUS=OR","EQY_CONSOLIDATED=Y","FA_ADJUSTED=GAAP","Sort=A","Dates=H","DateFormat=P","Fill=—","Direction=H","UseDPDF=Y")</f>
        <v>#NAME?</v>
      </c>
      <c r="S189" t="e">
        <f ca="1">_xll.BDH($C$178,"SUSTAIN_GROWTH_RT","FQ1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189" s="1" t="e">
        <f ca="1">_xll.BDH($C$178,"SALES_GROWTH","FQ1 2016","FQ1 2016","Currency=INR","Period=FQ","BEST_FPERIOD_OVERRIDE=FQ","FILING_STATUS=OR","EQY_CONSOLIDATED=Y","FA_ADJUSTED=GAAP","Sort=A","Dates=H","DateFormat=P","Fill=—","Direction=H","UseDPDF=Y")</f>
        <v>#NAME?</v>
      </c>
      <c r="U189" s="1" t="e">
        <f ca="1">_xll.BDH($C$178,"EBITDA_GROWTH","FQ1 2016","FQ1 2016","Currency=INR","Period=FQ","BEST_FPERIOD_OVERRIDE=FQ","FILING_STATUS=OR","EQY_CONSOLIDATED=Y","FA_ADJUSTED=GAAP","Sort=A","Dates=H","DateFormat=P","Fill=—","Direction=H","UseDPDF=Y")</f>
        <v>#NAME?</v>
      </c>
      <c r="V189" s="1" t="e">
        <f ca="1">_xll.BDH($C$178,"OPER_INC_GROWTH","FQ1 2016","FQ1 2016","Currency=INR","Period=FQ","BEST_FPERIOD_OVERRIDE=FQ","FILING_STATUS=OR","EQY_CONSOLIDATED=Y","FA_ADJUSTED=GAAP","Sort=A","Dates=H","DateFormat=P","Fill=—","Direction=H","UseDPDF=Y")</f>
        <v>#NAME?</v>
      </c>
      <c r="W189" s="1" t="e">
        <f ca="1">_xll.BDH($C$178,"EARN_FOR_COM_GROWTH","FQ1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89" s="1" t="e">
        <f ca="1">_xll.BDH($C$178,"DILUTED_EPS_AFT_XO_ITEMS_GROWTH","FQ1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89" s="1" t="e">
        <f ca="1">_xll.BDH($C$178,"DIVIDEND_PER_SHARE_1_YEAR_GROWTH","FQ1 2016","FQ1 2016","Currency=INR","Period=FQ","BEST_FPERIOD_OVERRIDE=FQ","FILING_STATUS=OR","EQY_CONSOLIDATED=Y","Sort=A","Dates=H","DateFormat=P","Fill=—","Direction=H","UseDPDF=Y")</f>
        <v>#NAME?</v>
      </c>
      <c r="Z189" s="1" t="e">
        <f ca="1">_xll.BDH($C$178,"ACCOUNTS_RECEIVABLE_GROWTH","FQ1 2016","FQ1 2016","Currency=INR","Period=FQ","BEST_FPERIOD_OVERRIDE=FQ","FILING_STATUS=OR","EQY_CONSOLIDATED=Y","Sort=A","Dates=H","DateFormat=P","Fill=—","Direction=H","UseDPDF=Y")</f>
        <v>#NAME?</v>
      </c>
      <c r="AA189" s="1" t="e">
        <f ca="1">_xll.BDH($C$178,"INVENTORY_GROWTH","FQ1 2016","FQ1 2016","Currency=INR","Period=FQ","BEST_FPERIOD_OVERRIDE=FQ","FILING_STATUS=OR","EQY_CONSOLIDATED=Y","Sort=A","Dates=H","DateFormat=P","Fill=—","Direction=H","UseDPDF=Y")</f>
        <v>#NAME?</v>
      </c>
      <c r="AB189" s="1" t="e">
        <f ca="1">_xll.BDH($C$178,"NET_FIXED_ASSETS_1_YEAR_GROWTH","FQ1 2016","FQ1 2016","Currency=INR","Period=FQ","BEST_FPERIOD_OVERRIDE=FQ","FILING_STATUS=OR","EQY_CONSOLIDATED=Y","Sort=A","Dates=H","DateFormat=P","Fill=—","Direction=H","UseDPDF=Y")</f>
        <v>#NAME?</v>
      </c>
      <c r="AC189" s="1" t="e">
        <f ca="1">_xll.BDH($C$178,"ASSET_GROWTH","FQ1 2016","FQ1 2016","Currency=INR","Period=FQ","BEST_FPERIOD_OVERRIDE=FQ","FILING_STATUS=OR","EQY_CONSOLIDATED=Y","Sort=A","Dates=H","DateFormat=P","Fill=—","Direction=H","UseDPDF=Y")</f>
        <v>#NAME?</v>
      </c>
      <c r="AD189" s="1" t="e">
        <f ca="1">_xll.BDH($C$178,"MODIFIED_WORK_CAP_GROWTH","FQ1 2016","FQ1 2016","Currency=INR","Period=FQ","BEST_FPERIOD_OVERRIDE=FQ","FILING_STATUS=OR","EQY_CONSOLIDATED=Y","Sort=A","Dates=H","DateFormat=P","Fill=—","Direction=H","UseDPDF=Y")</f>
        <v>#NAME?</v>
      </c>
      <c r="AE189" s="1" t="e">
        <f ca="1">_xll.BDH($C$178,"WORK_CAP_GROWTH","FQ1 2016","FQ1 2016","Currency=INR","Period=FQ","BEST_FPERIOD_OVERRIDE=FQ","FILING_STATUS=OR","EQY_CONSOLIDATED=Y","Sort=A","Dates=H","DateFormat=P","Fill=—","Direction=H","UseDPDF=Y")</f>
        <v>#NAME?</v>
      </c>
      <c r="AF189" s="1" t="e">
        <f ca="1">_xll.BDH($C$178,"ACCOUNTS_PAYABLE_GROWTH_1YR","FQ1 2016","FQ1 2016","Currency=INR","Period=FQ","BEST_FPERIOD_OVERRIDE=FQ","FILING_STATUS=OR","EQY_CONSOLIDATED=Y","Sort=A","Dates=H","DateFormat=P","Fill=—","Direction=H","UseDPDF=Y")</f>
        <v>#NAME?</v>
      </c>
      <c r="AG189" s="1" t="e">
        <f ca="1">_xll.BDH($C$178,"SHORT_TERM_DEBT_1_YEAR_GROWTH","FQ1 2016","FQ1 2016","Currency=INR","Period=FQ","BEST_FPERIOD_OVERRIDE=FQ","FILING_STATUS=OR","EQY_CONSOLIDATED=Y","Sort=A","Dates=H","DateFormat=P","Fill=—","Direction=H","UseDPDF=Y")</f>
        <v>#NAME?</v>
      </c>
      <c r="AH189" s="1" t="e">
        <f ca="1">_xll.BDH($C$178,"TOTAL_DEBT_1_YEAR_GROWTH","FQ1 2016","FQ1 2016","Currency=INR","Period=FQ","BEST_FPERIOD_OVERRIDE=FQ","FILING_STATUS=OR","EQY_CONSOLIDATED=Y","Sort=A","Dates=H","DateFormat=P","Fill=—","Direction=H","UseDPDF=Y")</f>
        <v>#NAME?</v>
      </c>
      <c r="AI189" s="1" t="e">
        <f ca="1">_xll.BDH($C$178,"TOTAL_EQUITY_1_YEAR_GROWTH","FQ1 2016","FQ1 2016","Currency=INR","Period=FQ","BEST_FPERIOD_OVERRIDE=FQ","FILING_STATUS=OR","EQY_CONSOLIDATED=Y","Sort=A","Dates=H","DateFormat=P","Fill=—","Direction=H","UseDPDF=Y")</f>
        <v>#NAME?</v>
      </c>
      <c r="AJ189" s="1" t="e">
        <f ca="1">_xll.BDH($C$178,"GROWTH_IN_CAP","FQ1 2016","FQ1 2016","Currency=INR","Period=FQ","BEST_FPERIOD_OVERRIDE=FQ","FILING_STATUS=OR","EQY_CONSOLIDATED=Y","Sort=A","Dates=H","DateFormat=P","Fill=—","Direction=H","UseDPDF=Y")</f>
        <v>#NAME?</v>
      </c>
      <c r="AK189" s="1" t="e">
        <f ca="1">_xll.BDH($C$178,"BVPS_GROWTH","FQ1 2016","FQ1 2016","Currency=INR","Period=FQ","BEST_FPERIOD_OVERRIDE=FQ","FILING_STATUS=OR","EQY_CONSOLIDATED=Y","Sort=A","Dates=H","DateFormat=P","Fill=—","Direction=H","UseDPDF=Y")</f>
        <v>#NAME?</v>
      </c>
      <c r="AL189" s="1" t="e">
        <f ca="1">_xll.BDH($C$178,"CASH_FLOW_GROWTH","FQ1 2016","FQ1 2016","Currency=INR","Period=FQ","BEST_FPERIOD_OVERRIDE=FQ","FILING_STATUS=OR","EQY_CONSOLIDATED=Y","Sort=A","Dates=H","DateFormat=P","Fill=—","Direction=H","UseDPDF=Y")</f>
        <v>#NAME?</v>
      </c>
      <c r="AM189" s="1" t="e">
        <f ca="1">_xll.BDH($C$178,"GEO_GROW_NET_SALES","FQ1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89" s="1" t="e">
        <f ca="1">_xll.BDH($C$178,"GEO_GROW_EBITDA","FQ1 2016","FQ1 2016","Currency=INR","Period=FQ","BEST_FPERIOD_OVERRIDE=FQ","FILING_STATUS=OR","EQY_CONSOLIDATED=Y","FA_ADJUSTED=GAAP","Sort=A","Dates=H","DateFormat=P","Fill=—","Direction=H","UseDPDF=Y")</f>
        <v>#NAME?</v>
      </c>
      <c r="AO189" s="1" t="e">
        <f ca="1">_xll.BDH($C$178,"GEO_GROW_OPER_INC","FQ1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89" s="1" t="e">
        <f ca="1">_xll.BDH($C$178,"NET_INCOME_TO_COMMON_5_YR_GROWTH","FQ1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89" s="1" t="e">
        <f ca="1">_xll.BDH($C$178,"5Y_GEO_GROWTH_DILUTED_EPS","FQ1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89" s="1" t="e">
        <f ca="1">_xll.BDH($C$178,"GEO_GROW_DVD_PER_SH","FQ1 2016","FQ1 2016","Currency=INR","Period=FQ","BEST_FPERIOD_OVERRIDE=FQ","FILING_STATUS=OR","EQY_CONSOLIDATED=Y","Sort=A","Dates=H","DateFormat=P","Fill=—","Direction=H","UseDPDF=Y")</f>
        <v>#NAME?</v>
      </c>
      <c r="AS189" s="1" t="e">
        <f ca="1">_xll.BDH($C$178,"ACCOUNTS_RECEIVABLE_5_YR_GROWTH","FQ1 2016","FQ1 2016","Currency=INR","Period=FQ","BEST_FPERIOD_OVERRIDE=FQ","FILING_STATUS=OR","EQY_CONSOLIDATED=Y","Sort=A","Dates=H","DateFormat=P","Fill=—","Direction=H","UseDPDF=Y")</f>
        <v>#NAME?</v>
      </c>
      <c r="AT189" s="1" t="e">
        <f ca="1">_xll.BDH($C$178,"INVENTORY_5_YEAR_GROWTH","FQ1 2016","FQ1 2016","Currency=INR","Period=FQ","BEST_FPERIOD_OVERRIDE=FQ","FILING_STATUS=OR","EQY_CONSOLIDATED=Y","Sort=A","Dates=H","DateFormat=P","Fill=—","Direction=H","UseDPDF=Y")</f>
        <v>#NAME?</v>
      </c>
      <c r="AU189" s="1" t="e">
        <f ca="1">_xll.BDH($C$178,"NET_FIXED_ASSETS_5_YEAR_GROWTH","FQ1 2016","FQ1 2016","Currency=INR","Period=FQ","BEST_FPERIOD_OVERRIDE=FQ","FILING_STATUS=OR","EQY_CONSOLIDATED=Y","Sort=A","Dates=H","DateFormat=P","Fill=—","Direction=H","UseDPDF=Y")</f>
        <v>#NAME?</v>
      </c>
      <c r="AV189" s="1" t="e">
        <f ca="1">_xll.BDH($C$178,"GEO_GROW_TOT_ASSET","FQ1 2016","FQ1 2016","Currency=INR","Period=FQ","BEST_FPERIOD_OVERRIDE=FQ","FILING_STATUS=OR","EQY_CONSOLIDATED=Y","Sort=A","Dates=H","DateFormat=P","Fill=—","Direction=H","UseDPDF=Y")</f>
        <v>#NAME?</v>
      </c>
      <c r="AW189" s="1" t="e">
        <f ca="1">_xll.BDH($C$178,"MODIFIED_WORKING_CPTL_5YR_GRWTH","FQ1 2016","FQ1 2016","Currency=INR","Period=FQ","BEST_FPERIOD_OVERRIDE=FQ","FILING_STATUS=OR","EQY_CONSOLIDATED=Y","Sort=A","Dates=H","DateFormat=P","Fill=—","Direction=H","UseDPDF=Y")</f>
        <v>#NAME?</v>
      </c>
      <c r="AX189" s="1" t="e">
        <f ca="1">_xll.BDH($C$178,"WORKING_CAPITAL_5_YEAR_GROWTH","FQ1 2016","FQ1 2016","Currency=INR","Period=FQ","BEST_FPERIOD_OVERRIDE=FQ","FILING_STATUS=OR","EQY_CONSOLIDATED=Y","Sort=A","Dates=H","DateFormat=P","Fill=—","Direction=H","UseDPDF=Y")</f>
        <v>#NAME?</v>
      </c>
      <c r="AY189" s="1" t="e">
        <f ca="1">_xll.BDH($C$178,"ACCOUNTS_PAYABLE_5_YEAR_GROWTH","FQ1 2016","FQ1 2016","Currency=INR","Period=FQ","BEST_FPERIOD_OVERRIDE=FQ","FILING_STATUS=OR","EQY_CONSOLIDATED=Y","Sort=A","Dates=H","DateFormat=P","Fill=—","Direction=H","UseDPDF=Y")</f>
        <v>#NAME?</v>
      </c>
      <c r="AZ189" s="1" t="e">
        <f ca="1">_xll.BDH($C$178,"SHORT_TERM_DEBT_5_YEAR_GROWTH","FQ1 2016","FQ1 2016","Currency=INR","Period=FQ","BEST_FPERIOD_OVERRIDE=FQ","FILING_STATUS=OR","EQY_CONSOLIDATED=Y","Sort=A","Dates=H","DateFormat=P","Fill=—","Direction=H","UseDPDF=Y")</f>
        <v>#NAME?</v>
      </c>
      <c r="BA189" s="1" t="e">
        <f ca="1">_xll.BDH($C$178,"TOTAL_DEBT_5_YEAR_GROWTH","FQ1 2016","FQ1 2016","Currency=INR","Period=FQ","BEST_FPERIOD_OVERRIDE=FQ","FILING_STATUS=OR","EQY_CONSOLIDATED=Y","Sort=A","Dates=H","DateFormat=P","Fill=—","Direction=H","UseDPDF=Y")</f>
        <v>#NAME?</v>
      </c>
      <c r="BB189" s="1" t="e">
        <f ca="1">_xll.BDH($C$178,"GEO_GROW_TOT_SHRHLDR_EQY","FQ1 2016","FQ1 2016","Currency=INR","Period=FQ","BEST_FPERIOD_OVERRIDE=FQ","FILING_STATUS=OR","EQY_CONSOLIDATED=Y","Sort=A","Dates=H","DateFormat=P","Fill=—","Direction=H","UseDPDF=Y")</f>
        <v>#NAME?</v>
      </c>
      <c r="BC189" s="1" t="e">
        <f ca="1">_xll.BDH($C$178,"TOTAL_CAPITAL_5_YEAR_GROWTH","FQ1 2016","FQ1 2016","Currency=INR","Period=FQ","BEST_FPERIOD_OVERRIDE=FQ","FILING_STATUS=OR","EQY_CONSOLIDATED=Y","Sort=A","Dates=H","DateFormat=P","Fill=—","Direction=H","UseDPDF=Y")</f>
        <v>#NAME?</v>
      </c>
      <c r="BD189" s="1" t="e">
        <f ca="1">_xll.BDH($C$178,"GEO_GROW_BOOK_VAL","FQ1 2016","FQ1 2016","Currency=INR","Period=FQ","BEST_FPERIOD_OVERRIDE=FQ","FILING_STATUS=OR","EQY_CONSOLIDATED=Y","Sort=A","Dates=H","DateFormat=P","Fill=—","Direction=H","UseDPDF=Y")</f>
        <v>#NAME?</v>
      </c>
      <c r="BE189" s="1" t="e">
        <f ca="1">_xll.BDH($C$178,"GEO_GROW_CASH_OPER_ACT","FQ1 2016","FQ1 2016","Currency=INR","Period=FQ","BEST_FPERIOD_OVERRIDE=FQ","FILING_STATUS=OR","EQY_CONSOLIDATED=Y","Sort=A","Dates=H","DateFormat=P","Fill=—","Direction=H","UseDPDF=Y")</f>
        <v>#NAME?</v>
      </c>
      <c r="BF189" s="1" t="e">
        <f ca="1">_xll.BDH($C$178,"REVENUE_SEQUENTIAL_GROWTH","FQ1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89" s="1" t="e">
        <f ca="1">_xll.BDH($C$178,"EBITDA_SEQUENTIAL_GROWTH","FQ1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89" s="1" t="e">
        <f ca="1">_xll.BDH($C$178,"OPERATING_INCOME_SEQ_GROWTH","FQ1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89" s="1" t="e">
        <f ca="1">_xll.BDH($C$178,"NET_INCOME_TO_COMMON_SEQ_GROWTH","FQ1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89" s="1" t="e">
        <f ca="1">_xll.BDH($C$178,"EPS_DILUTED_SEQUENTIAL_GROWTH","FQ1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89" s="1" t="e">
        <f ca="1">_xll.BDH($C$178,"DPS_SEQUENTIAL_GROWTH","FQ1 2016","FQ1 2016","Currency=INR","Period=FQ","BEST_FPERIOD_OVERRIDE=FQ","FILING_STATUS=OR","EQY_CONSOLIDATED=Y","Sort=A","Dates=H","DateFormat=P","Fill=—","Direction=H","UseDPDF=Y")</f>
        <v>#NAME?</v>
      </c>
      <c r="BL189" s="1" t="e">
        <f ca="1">_xll.BDH($C$178,"ACCOUNTS_RECEIVABLE_SEQ_GROWTH","FQ1 2016","FQ1 2016","Currency=INR","Period=FQ","BEST_FPERIOD_OVERRIDE=FQ","FILING_STATUS=OR","EQY_CONSOLIDATED=Y","Sort=A","Dates=H","DateFormat=P","Fill=—","Direction=H","UseDPDF=Y")</f>
        <v>#NAME?</v>
      </c>
      <c r="BM189" s="1" t="e">
        <f ca="1">_xll.BDH($C$178,"INVENTORY_SEQUENTIAL_GROWTH","FQ1 2016","FQ1 2016","Currency=INR","Period=FQ","BEST_FPERIOD_OVERRIDE=FQ","FILING_STATUS=OR","EQY_CONSOLIDATED=Y","Sort=A","Dates=H","DateFormat=P","Fill=—","Direction=H","UseDPDF=Y")</f>
        <v>#NAME?</v>
      </c>
      <c r="BN189" s="1" t="e">
        <f ca="1">_xll.BDH($C$178,"FIXED_ASSETS_SEQUENTIAL_GROWTH","FQ1 2016","FQ1 2016","Currency=INR","Period=FQ","BEST_FPERIOD_OVERRIDE=FQ","FILING_STATUS=OR","EQY_CONSOLIDATED=Y","Sort=A","Dates=H","DateFormat=P","Fill=—","Direction=H","UseDPDF=Y")</f>
        <v>#NAME?</v>
      </c>
      <c r="BO189" s="1" t="e">
        <f ca="1">_xll.BDH($C$178,"TOTAL_ASSETS_SEQUENTIAL_GROWTH","FQ1 2016","FQ1 2016","Currency=INR","Period=FQ","BEST_FPERIOD_OVERRIDE=FQ","FILING_STATUS=OR","EQY_CONSOLIDATED=Y","Sort=A","Dates=H","DateFormat=P","Fill=—","Direction=H","UseDPDF=Y")</f>
        <v>#NAME?</v>
      </c>
      <c r="BP189" s="1" t="e">
        <f ca="1">_xll.BDH($C$178,"MODIFIED_WORKING_CPTL_SEQ_GRWTH","FQ1 2016","FQ1 2016","Currency=INR","Period=FQ","BEST_FPERIOD_OVERRIDE=FQ","FILING_STATUS=OR","EQY_CONSOLIDATED=Y","Sort=A","Dates=H","DateFormat=P","Fill=—","Direction=H","UseDPDF=Y")</f>
        <v>#NAME?</v>
      </c>
      <c r="BQ189" s="1" t="e">
        <f ca="1">_xll.BDH($C$178,"WORKING_CAPITAL_SEQ_GROWTH","FQ1 2016","FQ1 2016","Currency=INR","Period=FQ","BEST_FPERIOD_OVERRIDE=FQ","FILING_STATUS=OR","EQY_CONSOLIDATED=Y","Sort=A","Dates=H","DateFormat=P","Fill=—","Direction=H","UseDPDF=Y")</f>
        <v>#NAME?</v>
      </c>
      <c r="BR189" s="1" t="e">
        <f ca="1">_xll.BDH($C$178,"ACCOUNTS_PAYABLE_SEQ_GROWTH","FQ1 2016","FQ1 2016","Currency=INR","Period=FQ","BEST_FPERIOD_OVERRIDE=FQ","FILING_STATUS=OR","EQY_CONSOLIDATED=Y","Sort=A","Dates=H","DateFormat=P","Fill=—","Direction=H","UseDPDF=Y")</f>
        <v>#NAME?</v>
      </c>
      <c r="BS189" s="1" t="e">
        <f ca="1">_xll.BDH($C$178,"ST_DEBT_SEQUENTIAL_GROWTH","FQ1 2016","FQ1 2016","Currency=INR","Period=FQ","BEST_FPERIOD_OVERRIDE=FQ","FILING_STATUS=OR","EQY_CONSOLIDATED=Y","Sort=A","Dates=H","DateFormat=P","Fill=—","Direction=H","UseDPDF=Y")</f>
        <v>#NAME?</v>
      </c>
      <c r="BT189" s="1" t="e">
        <f ca="1">_xll.BDH($C$178,"TOTAL_DEBT_SEQUENTIAL_GROWTH","FQ1 2016","FQ1 2016","Currency=INR","Period=FQ","BEST_FPERIOD_OVERRIDE=FQ","FILING_STATUS=OR","EQY_CONSOLIDATED=Y","Sort=A","Dates=H","DateFormat=P","Fill=—","Direction=H","UseDPDF=Y")</f>
        <v>#NAME?</v>
      </c>
      <c r="BU189" s="1" t="e">
        <f ca="1">_xll.BDH($C$178,"TOTAL_EQUITY_SEQUENTIAL_GROWTH","FQ1 2016","FQ1 2016","Currency=INR","Period=FQ","BEST_FPERIOD_OVERRIDE=FQ","FILING_STATUS=OR","EQY_CONSOLIDATED=Y","Sort=A","Dates=H","DateFormat=P","Fill=—","Direction=H","UseDPDF=Y")</f>
        <v>#NAME?</v>
      </c>
      <c r="BV189" s="1" t="e">
        <f ca="1">_xll.BDH($C$178,"TOTAL_CAPITAL_SEQUENTIAL_GROWTH","FQ1 2016","FQ1 2016","Currency=INR","Period=FQ","BEST_FPERIOD_OVERRIDE=FQ","FILING_STATUS=OR","EQY_CONSOLIDATED=Y","Sort=A","Dates=H","DateFormat=P","Fill=—","Direction=H","UseDPDF=Y")</f>
        <v>#NAME?</v>
      </c>
      <c r="BW189" s="1" t="e">
        <f ca="1">_xll.BDH($C$178,"BPS_SEQUENTIAL_GROWTH","FQ1 2016","FQ1 2016","Currency=INR","Period=FQ","BEST_FPERIOD_OVERRIDE=FQ","FILING_STATUS=OR","EQY_CONSOLIDATED=Y","Sort=A","Dates=H","DateFormat=P","Fill=—","Direction=H","UseDPDF=Y")</f>
        <v>#NAME?</v>
      </c>
      <c r="BX189" s="1" t="e">
        <f ca="1">_xll.BDH($C$178,"CFO_SEQUENTIAL_GROWTH","FQ1 2016","FQ1 2016","Currency=INR","Period=FQ","BEST_FPERIOD_OVERRIDE=FQ","FILING_STATUS=OR","EQY_CONSOLIDATED=Y","Sort=A","Dates=H","DateFormat=P","Fill=—","Direction=H","UseDPDF=Y")</f>
        <v>#NAME?</v>
      </c>
      <c r="BY189" s="2" t="e">
        <f ca="1">_xll.BDH($C$178,"SHORT_AND_LONG_TERM_DEBT","FQ1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89" s="2" t="e">
        <f ca="1">_xll.BDH($C$178,"BS_ST_BORROW","FQ1 2016","FQ1 2016","Currency=INR","Period=FQ","BEST_FPERIOD_OVERRIDE=FQ","FILING_STATUS=OR","EQY_CONSOLIDATED=Y","SCALING_FORMAT=MLN","Sort=A","Dates=H","DateFormat=P","Fill=—","Direction=H","UseDPDF=Y")</f>
        <v>#NAME?</v>
      </c>
      <c r="CA189" s="2" t="e">
        <f ca="1">_xll.BDH($C$178,"BS_LT_BORROW","FQ1 2016","FQ1 2016","Currency=INR","Period=FQ","BEST_FPERIOD_OVERRIDE=FQ","FILING_STATUS=OR","EQY_CONSOLIDATED=Y","SCALING_FORMAT=MLN","Sort=A","Dates=H","DateFormat=P","Fill=—","Direction=H","UseDPDF=Y")</f>
        <v>#NAME?</v>
      </c>
      <c r="CB189" s="1" t="e">
        <f ca="1">_xll.BDH($C$178,"TOT_DEBT_TO_EBITDA","FQ1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89" s="1" t="e">
        <f ca="1">_xll.BDH($C$178,"NET_DEBT_TO_EBITDA","FQ1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89" s="1" t="e">
        <f ca="1">_xll.BDH($C$178,"TOTAL_DEBT_TO_EBIT","FQ1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89" s="1" t="e">
        <f ca="1">_xll.BDH($C$178,"NET_DEBT_TO_EBIT","FQ1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189" s="1" t="e">
        <f ca="1">_xll.BDH($C$178,"EBITDA_TO_INTEREST_EXPN","FQ1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89" s="1" t="e">
        <f ca="1">_xll.BDH($C$178,"COM_EQY_TO_TOT_ASSET","FQ1 2016","FQ1 2016","Currency=INR","Period=FQ","BEST_FPERIOD_OVERRIDE=FQ","FILING_STATUS=OR","EQY_CONSOLIDATED=Y","Sort=A","Dates=H","DateFormat=P","Fill=—","Direction=H","UseDPDF=Y")</f>
        <v>#NAME?</v>
      </c>
      <c r="CH189" s="1" t="e">
        <f ca="1">_xll.BDH($C$178,"LT_DEBT_TO_TOT_EQY","FQ1 2016","FQ1 2016","Currency=INR","Period=FQ","BEST_FPERIOD_OVERRIDE=FQ","FILING_STATUS=OR","EQY_CONSOLIDATED=Y","Sort=A","Dates=H","DateFormat=P","Fill=—","Direction=H","UseDPDF=Y")</f>
        <v>#NAME?</v>
      </c>
      <c r="CI189" s="1" t="e">
        <f ca="1">_xll.BDH($C$178,"LT_DEBT_TO_TOT_CAP","FQ1 2016","FQ1 2016","Currency=INR","Period=FQ","BEST_FPERIOD_OVERRIDE=FQ","FILING_STATUS=OR","EQY_CONSOLIDATED=Y","Sort=A","Dates=H","DateFormat=P","Fill=—","Direction=H","UseDPDF=Y")</f>
        <v>#NAME?</v>
      </c>
      <c r="CJ189" s="1" t="e">
        <f ca="1">_xll.BDH($C$178,"LT_DEBT_TO_TOT_ASSET","FQ1 2016","FQ1 2016","Currency=INR","Period=FQ","BEST_FPERIOD_OVERRIDE=FQ","FILING_STATUS=OR","EQY_CONSOLIDATED=Y","Sort=A","Dates=H","DateFormat=P","Fill=—","Direction=H","UseDPDF=Y")</f>
        <v>#NAME?</v>
      </c>
      <c r="CK189" s="1" t="e">
        <f ca="1">_xll.BDH($C$178,"TOT_DEBT_TO_TOT_EQY","FQ1 2016","FQ1 2016","Currency=INR","Period=FQ","BEST_FPERIOD_OVERRIDE=FQ","FILING_STATUS=OR","EQY_CONSOLIDATED=Y","Sort=A","Dates=H","DateFormat=P","Fill=—","Direction=H","UseDPDF=Y")</f>
        <v>#NAME?</v>
      </c>
      <c r="CL189" s="1" t="e">
        <f ca="1">_xll.BDH($C$178,"TOT_DEBT_TO_TOT_CAP","FQ1 2016","FQ1 2016","Currency=INR","Period=FQ","BEST_FPERIOD_OVERRIDE=FQ","FILING_STATUS=OR","EQY_CONSOLIDATED=Y","Sort=A","Dates=H","DateFormat=P","Fill=—","Direction=H","UseDPDF=Y")</f>
        <v>#NAME?</v>
      </c>
      <c r="CM189" s="1" t="e">
        <f ca="1">_xll.BDH($C$178,"TOT_DEBT_TO_TOT_ASSET","FQ1 2016","FQ1 2016","Currency=INR","Period=FQ","BEST_FPERIOD_OVERRIDE=FQ","FILING_STATUS=OR","EQY_CONSOLIDATED=Y","Sort=A","Dates=H","DateFormat=P","Fill=—","Direction=H","UseDPDF=Y")</f>
        <v>#NAME?</v>
      </c>
      <c r="CN189" s="1" t="e">
        <f ca="1">_xll.BDH($C$178,"NET_DEBT_TO_SHRHLDR_EQTY","FQ1 2016","FQ1 2016","Currency=INR","Period=FQ","BEST_FPERIOD_OVERRIDE=FQ","FILING_STATUS=OR","EQY_CONSOLIDATED=Y","Sort=A","Dates=H","DateFormat=P","Fill=—","Direction=H","UseDPDF=Y")</f>
        <v>#NAME?</v>
      </c>
      <c r="CO189" s="1" t="e">
        <f ca="1">_xll.BDH($C$178,"NET_DEBT_%_CAPITAL","FQ1 2016","FQ1 2016","Currency=INR","Period=FQ","BEST_FPERIOD_OVERRIDE=FQ","FILING_STATUS=OR","EQY_CONSOLIDATED=Y","Sort=A","Dates=H","DateFormat=P","Fill=—","Direction=H","UseDPDF=Y")</f>
        <v>#NAME?</v>
      </c>
      <c r="CP189" s="2" t="e">
        <f ca="1">_xll.BDH($C$178,"EBITDA","FQ1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89" s="2" t="e">
        <f ca="1">_xll.BDH($C$178,"EBITDA_AFTER_CAPEX","FQ1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89" s="2" t="e">
        <f ca="1">_xll.BDH($C$178,"IS_OPER_INC","FQ1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89" s="1" t="e">
        <f ca="1">_xll.BDH($C$178,"CASH_RATIO","FQ1 2016","FQ1 2016","Currency=INR","Period=FQ","BEST_FPERIOD_OVERRIDE=FQ","FILING_STATUS=OR","EQY_CONSOLIDATED=Y","Sort=A","Dates=H","DateFormat=P","Fill=—","Direction=H","UseDPDF=Y")</f>
        <v>#NAME?</v>
      </c>
      <c r="CT189" s="1" t="e">
        <f ca="1">_xll.BDH($C$178,"CUR_RATIO","FQ1 2016","FQ1 2016","Currency=INR","Period=FQ","BEST_FPERIOD_OVERRIDE=FQ","FILING_STATUS=OR","EQY_CONSOLIDATED=Y","Sort=A","Dates=H","DateFormat=P","Fill=—","Direction=H","UseDPDF=Y")</f>
        <v>#NAME?</v>
      </c>
      <c r="CU189" s="1" t="e">
        <f ca="1">_xll.BDH($C$178,"QUICK_RATIO","FQ1 2016","FQ1 2016","Currency=INR","Period=FQ","BEST_FPERIOD_OVERRIDE=FQ","FILING_STATUS=OR","EQY_CONSOLIDATED=Y","Sort=A","Dates=H","DateFormat=P","Fill=—","Direction=H","UseDPDF=Y")</f>
        <v>#NAME?</v>
      </c>
      <c r="CV189" s="1" t="e">
        <f ca="1">_xll.BDH($C$178,"ALTMAN_Z_SCORE","FQ1 2016","FQ1 2016","Currency=INR","Period=FQ","BEST_FPERIOD_OVERRIDE=FQ","FILING_STATUS=OR","EQY_CONSOLIDATED=Y","Sort=A","Dates=H","DateFormat=P","Fill=—","Direction=H","UseDPDF=Y")</f>
        <v>#NAME?</v>
      </c>
      <c r="CW189" s="3" t="e">
        <f ca="1">_xll.BDH($C$178,"ACCT_RCV_TURN","FQ1 2016","FQ1 2016","Currency=INR","Period=FQ","BEST_FPERIOD_OVERRIDE=FQ","FILING_STATUS=OR","EQY_CONSOLIDATED=Y","FA_ADJUSTED=GAAP","Sort=A","Dates=H","DateFormat=P","Fill=—","Direction=H","UseDPDF=Y")</f>
        <v>#NAME?</v>
      </c>
      <c r="CX189" s="1" t="e">
        <f ca="1">_xll.BDH($C$178,"ACCT_RCV_DAYS","FQ1 2016","FQ1 2016","Currency=INR","Period=FQ","BEST_FPERIOD_OVERRIDE=FQ","FILING_STATUS=OR","EQY_CONSOLIDATED=Y","FA_ADJUSTED=GAAP","Sort=A","Dates=H","DateFormat=P","Fill=—","Direction=H","UseDPDF=Y")</f>
        <v>#NAME?</v>
      </c>
      <c r="CY189" s="3" t="e">
        <f ca="1">_xll.BDH($C$178,"INVENT_TURN","FQ1 2016","FQ1 2016","Currency=INR","Period=FQ","BEST_FPERIOD_OVERRIDE=FQ","FILING_STATUS=OR","EQY_CONSOLIDATED=Y","FA_ADJUSTED=GAAP","Sort=A","Dates=H","DateFormat=P","Fill=—","Direction=H","UseDPDF=Y")</f>
        <v>#NAME?</v>
      </c>
      <c r="CZ189" s="1" t="e">
        <f ca="1">_xll.BDH($C$178,"INVENT_DAYS","FQ1 2016","FQ1 2016","Currency=INR","Period=FQ","BEST_FPERIOD_OVERRIDE=FQ","FILING_STATUS=OR","EQY_CONSOLIDATED=Y","FA_ADJUSTED=GAAP","Sort=A","Dates=H","DateFormat=P","Fill=—","Direction=H","UseDPDF=Y")</f>
        <v>#NAME?</v>
      </c>
      <c r="DA189" s="3" t="e">
        <f ca="1">_xll.BDH($C$178,"ACCOUNTS_PAYABLE_TURNOVER","FQ1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89" s="1" t="e">
        <f ca="1">_xll.BDH($C$178,"ACCOUNTS_PAYABLE_TURNOVER_DAYS","FQ1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89" s="3" t="e">
        <f ca="1">_xll.BDH($C$178,"CASH_CONVERSION_CYCLE","FQ1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89" s="3" t="e">
        <f ca="1">_xll.BDH($C$178,"INV_TO_CASH_DAYS","FQ1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189" s="4" t="e">
        <f ca="1">_xll.BDH($C$178,"BS_INVENTORIES","FQ1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189" s="2" t="e">
        <f ca="1">_xll.BDH($C$178,"INVTRY_RAW_MATERIALS","FQ1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89" s="2" t="e">
        <f ca="1">_xll.BDH($C$178,"INVTRY_IN_PROGRESS","FQ1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89" s="2" t="e">
        <f ca="1">_xll.BDH($C$178,"INVTRY_FINISHED_GOODS","FQ1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89" s="2" t="e">
        <f ca="1">_xll.BDH($C$178,"BS_OTHER_INV","FQ1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90" spans="1:113" x14ac:dyDescent="0.3">
      <c r="A190" s="6"/>
      <c r="B190" s="6"/>
      <c r="C190" s="6"/>
      <c r="D190" s="6"/>
      <c r="E190" t="s">
        <v>5</v>
      </c>
      <c r="F190" t="e">
        <f ca="1">_xll.BDH($C$178,"RETURN_COM_EQY","FQ2 2016","FQ2 2016","Currency=INR","Period=FQ","BEST_FPERIOD_OVERRIDE=FQ","FILING_STATUS=OR","EQY_CONSOLIDATED=Y","FA_ADJUSTED=GAAP","Sort=A","Dates=H","DateFormat=P","Fill=—","Direction=H","UseDPDF=Y")</f>
        <v>#NAME?</v>
      </c>
      <c r="G190" t="e">
        <f ca="1">_xll.BDH($C$178,"RETURN_ON_ASSET","FQ2 2016","FQ2 2016","Currency=INR","Period=FQ","BEST_FPERIOD_OVERRIDE=FQ","FILING_STATUS=OR","EQY_CONSOLIDATED=Y","FA_ADJUSTED=GAAP","Sort=A","Dates=H","DateFormat=P","Fill=—","Direction=H","UseDPDF=Y")</f>
        <v>#NAME?</v>
      </c>
      <c r="H190" t="e">
        <f ca="1">_xll.BDH($C$178,"RETURN_ON_CAP","FQ2 2016","FQ2 2016","Currency=INR","Period=FQ","BEST_FPERIOD_OVERRIDE=FQ","FILING_STATUS=OR","EQY_CONSOLIDATED=Y","FA_ADJUSTED=GAAP","Sort=A","Dates=H","DateFormat=P","Fill=—","Direction=H","UseDPDF=Y")</f>
        <v>#NAME?</v>
      </c>
      <c r="I190" t="e">
        <f ca="1">_xll.BDH($C$178,"RETURN_ON_INV_CAPITAL","FQ2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90" t="e">
        <f ca="1">_xll.BDH($C$178,"EBITDA_TO_REVENUE","FQ2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190" t="e">
        <f ca="1">_xll.BDH($C$178,"OPER_MARGIN","FQ2 2016","FQ2 2016","Currency=INR","Period=FQ","BEST_FPERIOD_OVERRIDE=FQ","FILING_STATUS=OR","EQY_CONSOLIDATED=Y","FA_ADJUSTED=GAAP","Sort=A","Dates=H","DateFormat=P","Fill=—","Direction=H","UseDPDF=Y")</f>
        <v>#NAME?</v>
      </c>
      <c r="L190" t="e">
        <f ca="1">_xll.BDH($C$178,"INCREMENTAL_OPERATING_MARGIN","FQ2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90" t="e">
        <f ca="1">_xll.BDH($C$178,"PRETAX_INC_TO_NET_SALES","FQ2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90" t="e">
        <f ca="1">_xll.BDH($C$178,"INC_BEF_XO_ITEMS_TO_NET_SALES","FQ2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90" t="e">
        <f ca="1">_xll.BDH($C$178,"PROF_MARGIN","FQ2 2016","FQ2 2016","Currency=INR","Period=FQ","BEST_FPERIOD_OVERRIDE=FQ","FILING_STATUS=OR","EQY_CONSOLIDATED=Y","FA_ADJUSTED=GAAP","Sort=A","Dates=H","DateFormat=P","Fill=—","Direction=H","UseDPDF=Y")</f>
        <v>#NAME?</v>
      </c>
      <c r="P190" t="e">
        <f ca="1">_xll.BDH($C$178,"NET_INCOME_TO_COMMON_MARGIN","FQ2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90" t="e">
        <f ca="1">_xll.BDH($C$178,"EFF_TAX_RATE","FQ2 2016","FQ2 2016","Currency=INR","Period=FQ","BEST_FPERIOD_OVERRIDE=FQ","FILING_STATUS=OR","EQY_CONSOLIDATED=Y","FA_ADJUSTED=GAAP","Sort=A","Dates=H","DateFormat=P","Fill=—","Direction=H","UseDPDF=Y")</f>
        <v>#NAME?</v>
      </c>
      <c r="R190" t="e">
        <f ca="1">_xll.BDH($C$178,"DVD_PAYOUT_RATIO","FQ2 2016","FQ2 2016","Currency=INR","Period=FQ","BEST_FPERIOD_OVERRIDE=FQ","FILING_STATUS=OR","EQY_CONSOLIDATED=Y","FA_ADJUSTED=GAAP","Sort=A","Dates=H","DateFormat=P","Fill=—","Direction=H","UseDPDF=Y")</f>
        <v>#NAME?</v>
      </c>
      <c r="S190" t="e">
        <f ca="1">_xll.BDH($C$178,"SUSTAIN_GROWTH_RT","FQ2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190" s="1" t="e">
        <f ca="1">_xll.BDH($C$178,"SALES_GROWTH","FQ2 2016","FQ2 2016","Currency=INR","Period=FQ","BEST_FPERIOD_OVERRIDE=FQ","FILING_STATUS=OR","EQY_CONSOLIDATED=Y","FA_ADJUSTED=GAAP","Sort=A","Dates=H","DateFormat=P","Fill=—","Direction=H","UseDPDF=Y")</f>
        <v>#NAME?</v>
      </c>
      <c r="U190" s="1" t="e">
        <f ca="1">_xll.BDH($C$178,"EBITDA_GROWTH","FQ2 2016","FQ2 2016","Currency=INR","Period=FQ","BEST_FPERIOD_OVERRIDE=FQ","FILING_STATUS=OR","EQY_CONSOLIDATED=Y","FA_ADJUSTED=GAAP","Sort=A","Dates=H","DateFormat=P","Fill=—","Direction=H","UseDPDF=Y")</f>
        <v>#NAME?</v>
      </c>
      <c r="V190" s="1" t="e">
        <f ca="1">_xll.BDH($C$178,"OPER_INC_GROWTH","FQ2 2016","FQ2 2016","Currency=INR","Period=FQ","BEST_FPERIOD_OVERRIDE=FQ","FILING_STATUS=OR","EQY_CONSOLIDATED=Y","FA_ADJUSTED=GAAP","Sort=A","Dates=H","DateFormat=P","Fill=—","Direction=H","UseDPDF=Y")</f>
        <v>#NAME?</v>
      </c>
      <c r="W190" s="1" t="e">
        <f ca="1">_xll.BDH($C$178,"EARN_FOR_COM_GROWTH","FQ2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90" s="1" t="e">
        <f ca="1">_xll.BDH($C$178,"DILUTED_EPS_AFT_XO_ITEMS_GROWTH","FQ2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90" s="1" t="e">
        <f ca="1">_xll.BDH($C$178,"DIVIDEND_PER_SHARE_1_YEAR_GROWTH","FQ2 2016","FQ2 2016","Currency=INR","Period=FQ","BEST_FPERIOD_OVERRIDE=FQ","FILING_STATUS=OR","EQY_CONSOLIDATED=Y","Sort=A","Dates=H","DateFormat=P","Fill=—","Direction=H","UseDPDF=Y")</f>
        <v>#NAME?</v>
      </c>
      <c r="Z190" s="1" t="e">
        <f ca="1">_xll.BDH($C$178,"ACCOUNTS_RECEIVABLE_GROWTH","FQ2 2016","FQ2 2016","Currency=INR","Period=FQ","BEST_FPERIOD_OVERRIDE=FQ","FILING_STATUS=OR","EQY_CONSOLIDATED=Y","Sort=A","Dates=H","DateFormat=P","Fill=—","Direction=H","UseDPDF=Y")</f>
        <v>#NAME?</v>
      </c>
      <c r="AA190" s="1" t="e">
        <f ca="1">_xll.BDH($C$178,"INVENTORY_GROWTH","FQ2 2016","FQ2 2016","Currency=INR","Period=FQ","BEST_FPERIOD_OVERRIDE=FQ","FILING_STATUS=OR","EQY_CONSOLIDATED=Y","Sort=A","Dates=H","DateFormat=P","Fill=—","Direction=H","UseDPDF=Y")</f>
        <v>#NAME?</v>
      </c>
      <c r="AB190" s="1" t="e">
        <f ca="1">_xll.BDH($C$178,"NET_FIXED_ASSETS_1_YEAR_GROWTH","FQ2 2016","FQ2 2016","Currency=INR","Period=FQ","BEST_FPERIOD_OVERRIDE=FQ","FILING_STATUS=OR","EQY_CONSOLIDATED=Y","Sort=A","Dates=H","DateFormat=P","Fill=—","Direction=H","UseDPDF=Y")</f>
        <v>#NAME?</v>
      </c>
      <c r="AC190" s="1" t="e">
        <f ca="1">_xll.BDH($C$178,"ASSET_GROWTH","FQ2 2016","FQ2 2016","Currency=INR","Period=FQ","BEST_FPERIOD_OVERRIDE=FQ","FILING_STATUS=OR","EQY_CONSOLIDATED=Y","Sort=A","Dates=H","DateFormat=P","Fill=—","Direction=H","UseDPDF=Y")</f>
        <v>#NAME?</v>
      </c>
      <c r="AD190" s="1" t="e">
        <f ca="1">_xll.BDH($C$178,"MODIFIED_WORK_CAP_GROWTH","FQ2 2016","FQ2 2016","Currency=INR","Period=FQ","BEST_FPERIOD_OVERRIDE=FQ","FILING_STATUS=OR","EQY_CONSOLIDATED=Y","Sort=A","Dates=H","DateFormat=P","Fill=—","Direction=H","UseDPDF=Y")</f>
        <v>#NAME?</v>
      </c>
      <c r="AE190" s="1" t="e">
        <f ca="1">_xll.BDH($C$178,"WORK_CAP_GROWTH","FQ2 2016","FQ2 2016","Currency=INR","Period=FQ","BEST_FPERIOD_OVERRIDE=FQ","FILING_STATUS=OR","EQY_CONSOLIDATED=Y","Sort=A","Dates=H","DateFormat=P","Fill=—","Direction=H","UseDPDF=Y")</f>
        <v>#NAME?</v>
      </c>
      <c r="AF190" s="1" t="e">
        <f ca="1">_xll.BDH($C$178,"ACCOUNTS_PAYABLE_GROWTH_1YR","FQ2 2016","FQ2 2016","Currency=INR","Period=FQ","BEST_FPERIOD_OVERRIDE=FQ","FILING_STATUS=OR","EQY_CONSOLIDATED=Y","Sort=A","Dates=H","DateFormat=P","Fill=—","Direction=H","UseDPDF=Y")</f>
        <v>#NAME?</v>
      </c>
      <c r="AG190" s="1" t="e">
        <f ca="1">_xll.BDH($C$178,"SHORT_TERM_DEBT_1_YEAR_GROWTH","FQ2 2016","FQ2 2016","Currency=INR","Period=FQ","BEST_FPERIOD_OVERRIDE=FQ","FILING_STATUS=OR","EQY_CONSOLIDATED=Y","Sort=A","Dates=H","DateFormat=P","Fill=—","Direction=H","UseDPDF=Y")</f>
        <v>#NAME?</v>
      </c>
      <c r="AH190" s="1" t="e">
        <f ca="1">_xll.BDH($C$178,"TOTAL_DEBT_1_YEAR_GROWTH","FQ2 2016","FQ2 2016","Currency=INR","Period=FQ","BEST_FPERIOD_OVERRIDE=FQ","FILING_STATUS=OR","EQY_CONSOLIDATED=Y","Sort=A","Dates=H","DateFormat=P","Fill=—","Direction=H","UseDPDF=Y")</f>
        <v>#NAME?</v>
      </c>
      <c r="AI190" s="1" t="e">
        <f ca="1">_xll.BDH($C$178,"TOTAL_EQUITY_1_YEAR_GROWTH","FQ2 2016","FQ2 2016","Currency=INR","Period=FQ","BEST_FPERIOD_OVERRIDE=FQ","FILING_STATUS=OR","EQY_CONSOLIDATED=Y","Sort=A","Dates=H","DateFormat=P","Fill=—","Direction=H","UseDPDF=Y")</f>
        <v>#NAME?</v>
      </c>
      <c r="AJ190" s="1" t="e">
        <f ca="1">_xll.BDH($C$178,"GROWTH_IN_CAP","FQ2 2016","FQ2 2016","Currency=INR","Period=FQ","BEST_FPERIOD_OVERRIDE=FQ","FILING_STATUS=OR","EQY_CONSOLIDATED=Y","Sort=A","Dates=H","DateFormat=P","Fill=—","Direction=H","UseDPDF=Y")</f>
        <v>#NAME?</v>
      </c>
      <c r="AK190" s="1" t="e">
        <f ca="1">_xll.BDH($C$178,"BVPS_GROWTH","FQ2 2016","FQ2 2016","Currency=INR","Period=FQ","BEST_FPERIOD_OVERRIDE=FQ","FILING_STATUS=OR","EQY_CONSOLIDATED=Y","Sort=A","Dates=H","DateFormat=P","Fill=—","Direction=H","UseDPDF=Y")</f>
        <v>#NAME?</v>
      </c>
      <c r="AL190" s="1" t="e">
        <f ca="1">_xll.BDH($C$178,"CASH_FLOW_GROWTH","FQ2 2016","FQ2 2016","Currency=INR","Period=FQ","BEST_FPERIOD_OVERRIDE=FQ","FILING_STATUS=OR","EQY_CONSOLIDATED=Y","Sort=A","Dates=H","DateFormat=P","Fill=—","Direction=H","UseDPDF=Y")</f>
        <v>#NAME?</v>
      </c>
      <c r="AM190" s="1" t="e">
        <f ca="1">_xll.BDH($C$178,"GEO_GROW_NET_SALES","FQ2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90" s="1" t="e">
        <f ca="1">_xll.BDH($C$178,"GEO_GROW_EBITDA","FQ2 2016","FQ2 2016","Currency=INR","Period=FQ","BEST_FPERIOD_OVERRIDE=FQ","FILING_STATUS=OR","EQY_CONSOLIDATED=Y","FA_ADJUSTED=GAAP","Sort=A","Dates=H","DateFormat=P","Fill=—","Direction=H","UseDPDF=Y")</f>
        <v>#NAME?</v>
      </c>
      <c r="AO190" s="1" t="e">
        <f ca="1">_xll.BDH($C$178,"GEO_GROW_OPER_INC","FQ2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90" s="1" t="e">
        <f ca="1">_xll.BDH($C$178,"NET_INCOME_TO_COMMON_5_YR_GROWTH","FQ2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90" s="1" t="e">
        <f ca="1">_xll.BDH($C$178,"5Y_GEO_GROWTH_DILUTED_EPS","FQ2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90" s="1" t="e">
        <f ca="1">_xll.BDH($C$178,"GEO_GROW_DVD_PER_SH","FQ2 2016","FQ2 2016","Currency=INR","Period=FQ","BEST_FPERIOD_OVERRIDE=FQ","FILING_STATUS=OR","EQY_CONSOLIDATED=Y","Sort=A","Dates=H","DateFormat=P","Fill=—","Direction=H","UseDPDF=Y")</f>
        <v>#NAME?</v>
      </c>
      <c r="AS190" s="1" t="e">
        <f ca="1">_xll.BDH($C$178,"ACCOUNTS_RECEIVABLE_5_YR_GROWTH","FQ2 2016","FQ2 2016","Currency=INR","Period=FQ","BEST_FPERIOD_OVERRIDE=FQ","FILING_STATUS=OR","EQY_CONSOLIDATED=Y","Sort=A","Dates=H","DateFormat=P","Fill=—","Direction=H","UseDPDF=Y")</f>
        <v>#NAME?</v>
      </c>
      <c r="AT190" s="1" t="e">
        <f ca="1">_xll.BDH($C$178,"INVENTORY_5_YEAR_GROWTH","FQ2 2016","FQ2 2016","Currency=INR","Period=FQ","BEST_FPERIOD_OVERRIDE=FQ","FILING_STATUS=OR","EQY_CONSOLIDATED=Y","Sort=A","Dates=H","DateFormat=P","Fill=—","Direction=H","UseDPDF=Y")</f>
        <v>#NAME?</v>
      </c>
      <c r="AU190" s="1" t="e">
        <f ca="1">_xll.BDH($C$178,"NET_FIXED_ASSETS_5_YEAR_GROWTH","FQ2 2016","FQ2 2016","Currency=INR","Period=FQ","BEST_FPERIOD_OVERRIDE=FQ","FILING_STATUS=OR","EQY_CONSOLIDATED=Y","Sort=A","Dates=H","DateFormat=P","Fill=—","Direction=H","UseDPDF=Y")</f>
        <v>#NAME?</v>
      </c>
      <c r="AV190" s="1" t="e">
        <f ca="1">_xll.BDH($C$178,"GEO_GROW_TOT_ASSET","FQ2 2016","FQ2 2016","Currency=INR","Period=FQ","BEST_FPERIOD_OVERRIDE=FQ","FILING_STATUS=OR","EQY_CONSOLIDATED=Y","Sort=A","Dates=H","DateFormat=P","Fill=—","Direction=H","UseDPDF=Y")</f>
        <v>#NAME?</v>
      </c>
      <c r="AW190" s="1" t="e">
        <f ca="1">_xll.BDH($C$178,"MODIFIED_WORKING_CPTL_5YR_GRWTH","FQ2 2016","FQ2 2016","Currency=INR","Period=FQ","BEST_FPERIOD_OVERRIDE=FQ","FILING_STATUS=OR","EQY_CONSOLIDATED=Y","Sort=A","Dates=H","DateFormat=P","Fill=—","Direction=H","UseDPDF=Y")</f>
        <v>#NAME?</v>
      </c>
      <c r="AX190" s="1" t="e">
        <f ca="1">_xll.BDH($C$178,"WORKING_CAPITAL_5_YEAR_GROWTH","FQ2 2016","FQ2 2016","Currency=INR","Period=FQ","BEST_FPERIOD_OVERRIDE=FQ","FILING_STATUS=OR","EQY_CONSOLIDATED=Y","Sort=A","Dates=H","DateFormat=P","Fill=—","Direction=H","UseDPDF=Y")</f>
        <v>#NAME?</v>
      </c>
      <c r="AY190" s="1" t="e">
        <f ca="1">_xll.BDH($C$178,"ACCOUNTS_PAYABLE_5_YEAR_GROWTH","FQ2 2016","FQ2 2016","Currency=INR","Period=FQ","BEST_FPERIOD_OVERRIDE=FQ","FILING_STATUS=OR","EQY_CONSOLIDATED=Y","Sort=A","Dates=H","DateFormat=P","Fill=—","Direction=H","UseDPDF=Y")</f>
        <v>#NAME?</v>
      </c>
      <c r="AZ190" s="1" t="e">
        <f ca="1">_xll.BDH($C$178,"SHORT_TERM_DEBT_5_YEAR_GROWTH","FQ2 2016","FQ2 2016","Currency=INR","Period=FQ","BEST_FPERIOD_OVERRIDE=FQ","FILING_STATUS=OR","EQY_CONSOLIDATED=Y","Sort=A","Dates=H","DateFormat=P","Fill=—","Direction=H","UseDPDF=Y")</f>
        <v>#NAME?</v>
      </c>
      <c r="BA190" s="1" t="e">
        <f ca="1">_xll.BDH($C$178,"TOTAL_DEBT_5_YEAR_GROWTH","FQ2 2016","FQ2 2016","Currency=INR","Period=FQ","BEST_FPERIOD_OVERRIDE=FQ","FILING_STATUS=OR","EQY_CONSOLIDATED=Y","Sort=A","Dates=H","DateFormat=P","Fill=—","Direction=H","UseDPDF=Y")</f>
        <v>#NAME?</v>
      </c>
      <c r="BB190" s="1" t="e">
        <f ca="1">_xll.BDH($C$178,"GEO_GROW_TOT_SHRHLDR_EQY","FQ2 2016","FQ2 2016","Currency=INR","Period=FQ","BEST_FPERIOD_OVERRIDE=FQ","FILING_STATUS=OR","EQY_CONSOLIDATED=Y","Sort=A","Dates=H","DateFormat=P","Fill=—","Direction=H","UseDPDF=Y")</f>
        <v>#NAME?</v>
      </c>
      <c r="BC190" s="1" t="e">
        <f ca="1">_xll.BDH($C$178,"TOTAL_CAPITAL_5_YEAR_GROWTH","FQ2 2016","FQ2 2016","Currency=INR","Period=FQ","BEST_FPERIOD_OVERRIDE=FQ","FILING_STATUS=OR","EQY_CONSOLIDATED=Y","Sort=A","Dates=H","DateFormat=P","Fill=—","Direction=H","UseDPDF=Y")</f>
        <v>#NAME?</v>
      </c>
      <c r="BD190" s="1" t="e">
        <f ca="1">_xll.BDH($C$178,"GEO_GROW_BOOK_VAL","FQ2 2016","FQ2 2016","Currency=INR","Period=FQ","BEST_FPERIOD_OVERRIDE=FQ","FILING_STATUS=OR","EQY_CONSOLIDATED=Y","Sort=A","Dates=H","DateFormat=P","Fill=—","Direction=H","UseDPDF=Y")</f>
        <v>#NAME?</v>
      </c>
      <c r="BE190" s="1" t="e">
        <f ca="1">_xll.BDH($C$178,"GEO_GROW_CASH_OPER_ACT","FQ2 2016","FQ2 2016","Currency=INR","Period=FQ","BEST_FPERIOD_OVERRIDE=FQ","FILING_STATUS=OR","EQY_CONSOLIDATED=Y","Sort=A","Dates=H","DateFormat=P","Fill=—","Direction=H","UseDPDF=Y")</f>
        <v>#NAME?</v>
      </c>
      <c r="BF190" s="1" t="e">
        <f ca="1">_xll.BDH($C$178,"REVENUE_SEQUENTIAL_GROWTH","FQ2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90" s="1" t="e">
        <f ca="1">_xll.BDH($C$178,"EBITDA_SEQUENTIAL_GROWTH","FQ2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90" s="1" t="e">
        <f ca="1">_xll.BDH($C$178,"OPERATING_INCOME_SEQ_GROWTH","FQ2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90" s="1" t="e">
        <f ca="1">_xll.BDH($C$178,"NET_INCOME_TO_COMMON_SEQ_GROWTH","FQ2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90" s="1" t="e">
        <f ca="1">_xll.BDH($C$178,"EPS_DILUTED_SEQUENTIAL_GROWTH","FQ2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90" s="1" t="e">
        <f ca="1">_xll.BDH($C$178,"DPS_SEQUENTIAL_GROWTH","FQ2 2016","FQ2 2016","Currency=INR","Period=FQ","BEST_FPERIOD_OVERRIDE=FQ","FILING_STATUS=OR","EQY_CONSOLIDATED=Y","Sort=A","Dates=H","DateFormat=P","Fill=—","Direction=H","UseDPDF=Y")</f>
        <v>#NAME?</v>
      </c>
      <c r="BL190" s="1" t="e">
        <f ca="1">_xll.BDH($C$178,"ACCOUNTS_RECEIVABLE_SEQ_GROWTH","FQ2 2016","FQ2 2016","Currency=INR","Period=FQ","BEST_FPERIOD_OVERRIDE=FQ","FILING_STATUS=OR","EQY_CONSOLIDATED=Y","Sort=A","Dates=H","DateFormat=P","Fill=—","Direction=H","UseDPDF=Y")</f>
        <v>#NAME?</v>
      </c>
      <c r="BM190" s="1" t="e">
        <f ca="1">_xll.BDH($C$178,"INVENTORY_SEQUENTIAL_GROWTH","FQ2 2016","FQ2 2016","Currency=INR","Period=FQ","BEST_FPERIOD_OVERRIDE=FQ","FILING_STATUS=OR","EQY_CONSOLIDATED=Y","Sort=A","Dates=H","DateFormat=P","Fill=—","Direction=H","UseDPDF=Y")</f>
        <v>#NAME?</v>
      </c>
      <c r="BN190" s="1" t="e">
        <f ca="1">_xll.BDH($C$178,"FIXED_ASSETS_SEQUENTIAL_GROWTH","FQ2 2016","FQ2 2016","Currency=INR","Period=FQ","BEST_FPERIOD_OVERRIDE=FQ","FILING_STATUS=OR","EQY_CONSOLIDATED=Y","Sort=A","Dates=H","DateFormat=P","Fill=—","Direction=H","UseDPDF=Y")</f>
        <v>#NAME?</v>
      </c>
      <c r="BO190" s="1" t="e">
        <f ca="1">_xll.BDH($C$178,"TOTAL_ASSETS_SEQUENTIAL_GROWTH","FQ2 2016","FQ2 2016","Currency=INR","Period=FQ","BEST_FPERIOD_OVERRIDE=FQ","FILING_STATUS=OR","EQY_CONSOLIDATED=Y","Sort=A","Dates=H","DateFormat=P","Fill=—","Direction=H","UseDPDF=Y")</f>
        <v>#NAME?</v>
      </c>
      <c r="BP190" s="1" t="e">
        <f ca="1">_xll.BDH($C$178,"MODIFIED_WORKING_CPTL_SEQ_GRWTH","FQ2 2016","FQ2 2016","Currency=INR","Period=FQ","BEST_FPERIOD_OVERRIDE=FQ","FILING_STATUS=OR","EQY_CONSOLIDATED=Y","Sort=A","Dates=H","DateFormat=P","Fill=—","Direction=H","UseDPDF=Y")</f>
        <v>#NAME?</v>
      </c>
      <c r="BQ190" s="1" t="e">
        <f ca="1">_xll.BDH($C$178,"WORKING_CAPITAL_SEQ_GROWTH","FQ2 2016","FQ2 2016","Currency=INR","Period=FQ","BEST_FPERIOD_OVERRIDE=FQ","FILING_STATUS=OR","EQY_CONSOLIDATED=Y","Sort=A","Dates=H","DateFormat=P","Fill=—","Direction=H","UseDPDF=Y")</f>
        <v>#NAME?</v>
      </c>
      <c r="BR190" s="1" t="e">
        <f ca="1">_xll.BDH($C$178,"ACCOUNTS_PAYABLE_SEQ_GROWTH","FQ2 2016","FQ2 2016","Currency=INR","Period=FQ","BEST_FPERIOD_OVERRIDE=FQ","FILING_STATUS=OR","EQY_CONSOLIDATED=Y","Sort=A","Dates=H","DateFormat=P","Fill=—","Direction=H","UseDPDF=Y")</f>
        <v>#NAME?</v>
      </c>
      <c r="BS190" s="1" t="e">
        <f ca="1">_xll.BDH($C$178,"ST_DEBT_SEQUENTIAL_GROWTH","FQ2 2016","FQ2 2016","Currency=INR","Period=FQ","BEST_FPERIOD_OVERRIDE=FQ","FILING_STATUS=OR","EQY_CONSOLIDATED=Y","Sort=A","Dates=H","DateFormat=P","Fill=—","Direction=H","UseDPDF=Y")</f>
        <v>#NAME?</v>
      </c>
      <c r="BT190" s="1" t="e">
        <f ca="1">_xll.BDH($C$178,"TOTAL_DEBT_SEQUENTIAL_GROWTH","FQ2 2016","FQ2 2016","Currency=INR","Period=FQ","BEST_FPERIOD_OVERRIDE=FQ","FILING_STATUS=OR","EQY_CONSOLIDATED=Y","Sort=A","Dates=H","DateFormat=P","Fill=—","Direction=H","UseDPDF=Y")</f>
        <v>#NAME?</v>
      </c>
      <c r="BU190" s="1" t="e">
        <f ca="1">_xll.BDH($C$178,"TOTAL_EQUITY_SEQUENTIAL_GROWTH","FQ2 2016","FQ2 2016","Currency=INR","Period=FQ","BEST_FPERIOD_OVERRIDE=FQ","FILING_STATUS=OR","EQY_CONSOLIDATED=Y","Sort=A","Dates=H","DateFormat=P","Fill=—","Direction=H","UseDPDF=Y")</f>
        <v>#NAME?</v>
      </c>
      <c r="BV190" s="1" t="e">
        <f ca="1">_xll.BDH($C$178,"TOTAL_CAPITAL_SEQUENTIAL_GROWTH","FQ2 2016","FQ2 2016","Currency=INR","Period=FQ","BEST_FPERIOD_OVERRIDE=FQ","FILING_STATUS=OR","EQY_CONSOLIDATED=Y","Sort=A","Dates=H","DateFormat=P","Fill=—","Direction=H","UseDPDF=Y")</f>
        <v>#NAME?</v>
      </c>
      <c r="BW190" s="1" t="e">
        <f ca="1">_xll.BDH($C$178,"BPS_SEQUENTIAL_GROWTH","FQ2 2016","FQ2 2016","Currency=INR","Period=FQ","BEST_FPERIOD_OVERRIDE=FQ","FILING_STATUS=OR","EQY_CONSOLIDATED=Y","Sort=A","Dates=H","DateFormat=P","Fill=—","Direction=H","UseDPDF=Y")</f>
        <v>#NAME?</v>
      </c>
      <c r="BX190" s="1" t="e">
        <f ca="1">_xll.BDH($C$178,"CFO_SEQUENTIAL_GROWTH","FQ2 2016","FQ2 2016","Currency=INR","Period=FQ","BEST_FPERIOD_OVERRIDE=FQ","FILING_STATUS=OR","EQY_CONSOLIDATED=Y","Sort=A","Dates=H","DateFormat=P","Fill=—","Direction=H","UseDPDF=Y")</f>
        <v>#NAME?</v>
      </c>
      <c r="BY190" s="2" t="e">
        <f ca="1">_xll.BDH($C$178,"SHORT_AND_LONG_TERM_DEBT","FQ2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90" s="2" t="e">
        <f ca="1">_xll.BDH($C$178,"BS_ST_BORROW","FQ2 2016","FQ2 2016","Currency=INR","Period=FQ","BEST_FPERIOD_OVERRIDE=FQ","FILING_STATUS=OR","EQY_CONSOLIDATED=Y","SCALING_FORMAT=MLN","Sort=A","Dates=H","DateFormat=P","Fill=—","Direction=H","UseDPDF=Y")</f>
        <v>#NAME?</v>
      </c>
      <c r="CA190" s="2" t="e">
        <f ca="1">_xll.BDH($C$178,"BS_LT_BORROW","FQ2 2016","FQ2 2016","Currency=INR","Period=FQ","BEST_FPERIOD_OVERRIDE=FQ","FILING_STATUS=OR","EQY_CONSOLIDATED=Y","SCALING_FORMAT=MLN","Sort=A","Dates=H","DateFormat=P","Fill=—","Direction=H","UseDPDF=Y")</f>
        <v>#NAME?</v>
      </c>
      <c r="CB190" s="1" t="e">
        <f ca="1">_xll.BDH($C$178,"TOT_DEBT_TO_EBITDA","FQ2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90" s="1" t="e">
        <f ca="1">_xll.BDH($C$178,"NET_DEBT_TO_EBITDA","FQ2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90" s="1" t="e">
        <f ca="1">_xll.BDH($C$178,"TOTAL_DEBT_TO_EBIT","FQ2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90" s="1" t="e">
        <f ca="1">_xll.BDH($C$178,"NET_DEBT_TO_EBIT","FQ2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190" s="1" t="e">
        <f ca="1">_xll.BDH($C$178,"EBITDA_TO_INTEREST_EXPN","FQ2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90" s="1" t="e">
        <f ca="1">_xll.BDH($C$178,"COM_EQY_TO_TOT_ASSET","FQ2 2016","FQ2 2016","Currency=INR","Period=FQ","BEST_FPERIOD_OVERRIDE=FQ","FILING_STATUS=OR","EQY_CONSOLIDATED=Y","Sort=A","Dates=H","DateFormat=P","Fill=—","Direction=H","UseDPDF=Y")</f>
        <v>#NAME?</v>
      </c>
      <c r="CH190" s="1" t="e">
        <f ca="1">_xll.BDH($C$178,"LT_DEBT_TO_TOT_EQY","FQ2 2016","FQ2 2016","Currency=INR","Period=FQ","BEST_FPERIOD_OVERRIDE=FQ","FILING_STATUS=OR","EQY_CONSOLIDATED=Y","Sort=A","Dates=H","DateFormat=P","Fill=—","Direction=H","UseDPDF=Y")</f>
        <v>#NAME?</v>
      </c>
      <c r="CI190" s="1" t="e">
        <f ca="1">_xll.BDH($C$178,"LT_DEBT_TO_TOT_CAP","FQ2 2016","FQ2 2016","Currency=INR","Period=FQ","BEST_FPERIOD_OVERRIDE=FQ","FILING_STATUS=OR","EQY_CONSOLIDATED=Y","Sort=A","Dates=H","DateFormat=P","Fill=—","Direction=H","UseDPDF=Y")</f>
        <v>#NAME?</v>
      </c>
      <c r="CJ190" s="1" t="e">
        <f ca="1">_xll.BDH($C$178,"LT_DEBT_TO_TOT_ASSET","FQ2 2016","FQ2 2016","Currency=INR","Period=FQ","BEST_FPERIOD_OVERRIDE=FQ","FILING_STATUS=OR","EQY_CONSOLIDATED=Y","Sort=A","Dates=H","DateFormat=P","Fill=—","Direction=H","UseDPDF=Y")</f>
        <v>#NAME?</v>
      </c>
      <c r="CK190" s="1" t="e">
        <f ca="1">_xll.BDH($C$178,"TOT_DEBT_TO_TOT_EQY","FQ2 2016","FQ2 2016","Currency=INR","Period=FQ","BEST_FPERIOD_OVERRIDE=FQ","FILING_STATUS=OR","EQY_CONSOLIDATED=Y","Sort=A","Dates=H","DateFormat=P","Fill=—","Direction=H","UseDPDF=Y")</f>
        <v>#NAME?</v>
      </c>
      <c r="CL190" s="1" t="e">
        <f ca="1">_xll.BDH($C$178,"TOT_DEBT_TO_TOT_CAP","FQ2 2016","FQ2 2016","Currency=INR","Period=FQ","BEST_FPERIOD_OVERRIDE=FQ","FILING_STATUS=OR","EQY_CONSOLIDATED=Y","Sort=A","Dates=H","DateFormat=P","Fill=—","Direction=H","UseDPDF=Y")</f>
        <v>#NAME?</v>
      </c>
      <c r="CM190" s="1" t="e">
        <f ca="1">_xll.BDH($C$178,"TOT_DEBT_TO_TOT_ASSET","FQ2 2016","FQ2 2016","Currency=INR","Period=FQ","BEST_FPERIOD_OVERRIDE=FQ","FILING_STATUS=OR","EQY_CONSOLIDATED=Y","Sort=A","Dates=H","DateFormat=P","Fill=—","Direction=H","UseDPDF=Y")</f>
        <v>#NAME?</v>
      </c>
      <c r="CN190" s="1" t="e">
        <f ca="1">_xll.BDH($C$178,"NET_DEBT_TO_SHRHLDR_EQTY","FQ2 2016","FQ2 2016","Currency=INR","Period=FQ","BEST_FPERIOD_OVERRIDE=FQ","FILING_STATUS=OR","EQY_CONSOLIDATED=Y","Sort=A","Dates=H","DateFormat=P","Fill=—","Direction=H","UseDPDF=Y")</f>
        <v>#NAME?</v>
      </c>
      <c r="CO190" s="1" t="e">
        <f ca="1">_xll.BDH($C$178,"NET_DEBT_%_CAPITAL","FQ2 2016","FQ2 2016","Currency=INR","Period=FQ","BEST_FPERIOD_OVERRIDE=FQ","FILING_STATUS=OR","EQY_CONSOLIDATED=Y","Sort=A","Dates=H","DateFormat=P","Fill=—","Direction=H","UseDPDF=Y")</f>
        <v>#NAME?</v>
      </c>
      <c r="CP190" s="2" t="e">
        <f ca="1">_xll.BDH($C$178,"EBITDA","FQ2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90" s="2" t="e">
        <f ca="1">_xll.BDH($C$178,"EBITDA_AFTER_CAPEX","FQ2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90" s="2" t="e">
        <f ca="1">_xll.BDH($C$178,"IS_OPER_INC","FQ2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90" s="1" t="e">
        <f ca="1">_xll.BDH($C$178,"CASH_RATIO","FQ2 2016","FQ2 2016","Currency=INR","Period=FQ","BEST_FPERIOD_OVERRIDE=FQ","FILING_STATUS=OR","EQY_CONSOLIDATED=Y","Sort=A","Dates=H","DateFormat=P","Fill=—","Direction=H","UseDPDF=Y")</f>
        <v>#NAME?</v>
      </c>
      <c r="CT190" s="1" t="e">
        <f ca="1">_xll.BDH($C$178,"CUR_RATIO","FQ2 2016","FQ2 2016","Currency=INR","Period=FQ","BEST_FPERIOD_OVERRIDE=FQ","FILING_STATUS=OR","EQY_CONSOLIDATED=Y","Sort=A","Dates=H","DateFormat=P","Fill=—","Direction=H","UseDPDF=Y")</f>
        <v>#NAME?</v>
      </c>
      <c r="CU190" s="1" t="e">
        <f ca="1">_xll.BDH($C$178,"QUICK_RATIO","FQ2 2016","FQ2 2016","Currency=INR","Period=FQ","BEST_FPERIOD_OVERRIDE=FQ","FILING_STATUS=OR","EQY_CONSOLIDATED=Y","Sort=A","Dates=H","DateFormat=P","Fill=—","Direction=H","UseDPDF=Y")</f>
        <v>#NAME?</v>
      </c>
      <c r="CV190" s="1" t="e">
        <f ca="1">_xll.BDH($C$178,"ALTMAN_Z_SCORE","FQ2 2016","FQ2 2016","Currency=INR","Period=FQ","BEST_FPERIOD_OVERRIDE=FQ","FILING_STATUS=OR","EQY_CONSOLIDATED=Y","Sort=A","Dates=H","DateFormat=P","Fill=—","Direction=H","UseDPDF=Y")</f>
        <v>#NAME?</v>
      </c>
      <c r="CW190" s="3" t="e">
        <f ca="1">_xll.BDH($C$178,"ACCT_RCV_TURN","FQ2 2016","FQ2 2016","Currency=INR","Period=FQ","BEST_FPERIOD_OVERRIDE=FQ","FILING_STATUS=OR","EQY_CONSOLIDATED=Y","FA_ADJUSTED=GAAP","Sort=A","Dates=H","DateFormat=P","Fill=—","Direction=H","UseDPDF=Y")</f>
        <v>#NAME?</v>
      </c>
      <c r="CX190" s="1" t="e">
        <f ca="1">_xll.BDH($C$178,"ACCT_RCV_DAYS","FQ2 2016","FQ2 2016","Currency=INR","Period=FQ","BEST_FPERIOD_OVERRIDE=FQ","FILING_STATUS=OR","EQY_CONSOLIDATED=Y","FA_ADJUSTED=GAAP","Sort=A","Dates=H","DateFormat=P","Fill=—","Direction=H","UseDPDF=Y")</f>
        <v>#NAME?</v>
      </c>
      <c r="CY190" s="3" t="e">
        <f ca="1">_xll.BDH($C$178,"INVENT_TURN","FQ2 2016","FQ2 2016","Currency=INR","Period=FQ","BEST_FPERIOD_OVERRIDE=FQ","FILING_STATUS=OR","EQY_CONSOLIDATED=Y","FA_ADJUSTED=GAAP","Sort=A","Dates=H","DateFormat=P","Fill=—","Direction=H","UseDPDF=Y")</f>
        <v>#NAME?</v>
      </c>
      <c r="CZ190" s="1" t="e">
        <f ca="1">_xll.BDH($C$178,"INVENT_DAYS","FQ2 2016","FQ2 2016","Currency=INR","Period=FQ","BEST_FPERIOD_OVERRIDE=FQ","FILING_STATUS=OR","EQY_CONSOLIDATED=Y","FA_ADJUSTED=GAAP","Sort=A","Dates=H","DateFormat=P","Fill=—","Direction=H","UseDPDF=Y")</f>
        <v>#NAME?</v>
      </c>
      <c r="DA190" s="3" t="e">
        <f ca="1">_xll.BDH($C$178,"ACCOUNTS_PAYABLE_TURNOVER","FQ2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90" s="1" t="e">
        <f ca="1">_xll.BDH($C$178,"ACCOUNTS_PAYABLE_TURNOVER_DAYS","FQ2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90" s="3" t="e">
        <f ca="1">_xll.BDH($C$178,"CASH_CONVERSION_CYCLE","FQ2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90" s="3" t="e">
        <f ca="1">_xll.BDH($C$178,"INV_TO_CASH_DAYS","FQ2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190" s="4" t="e">
        <f ca="1">_xll.BDH($C$178,"BS_INVENTORIES","FQ2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190" s="2" t="e">
        <f ca="1">_xll.BDH($C$178,"INVTRY_RAW_MATERIALS","FQ2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90" s="2" t="e">
        <f ca="1">_xll.BDH($C$178,"INVTRY_IN_PROGRESS","FQ2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90" s="2" t="e">
        <f ca="1">_xll.BDH($C$178,"INVTRY_FINISHED_GOODS","FQ2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90" s="2" t="e">
        <f ca="1">_xll.BDH($C$178,"BS_OTHER_INV","FQ2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91" spans="1:113" x14ac:dyDescent="0.3">
      <c r="A191" s="6"/>
      <c r="B191" s="6"/>
      <c r="C191" s="6"/>
      <c r="D191" s="6"/>
      <c r="E191" t="s">
        <v>6</v>
      </c>
      <c r="F191" t="e">
        <f ca="1">_xll.BDH($C$178,"RETURN_COM_EQY","FQ3 2016","FQ3 2016","Currency=INR","Period=FQ","BEST_FPERIOD_OVERRIDE=FQ","FILING_STATUS=OR","EQY_CONSOLIDATED=Y","FA_ADJUSTED=GAAP","Sort=A","Dates=H","DateFormat=P","Fill=—","Direction=H","UseDPDF=Y")</f>
        <v>#NAME?</v>
      </c>
      <c r="G191" t="e">
        <f ca="1">_xll.BDH($C$178,"RETURN_ON_ASSET","FQ3 2016","FQ3 2016","Currency=INR","Period=FQ","BEST_FPERIOD_OVERRIDE=FQ","FILING_STATUS=OR","EQY_CONSOLIDATED=Y","FA_ADJUSTED=GAAP","Sort=A","Dates=H","DateFormat=P","Fill=—","Direction=H","UseDPDF=Y")</f>
        <v>#NAME?</v>
      </c>
      <c r="H191" t="e">
        <f ca="1">_xll.BDH($C$178,"RETURN_ON_CAP","FQ3 2016","FQ3 2016","Currency=INR","Period=FQ","BEST_FPERIOD_OVERRIDE=FQ","FILING_STATUS=OR","EQY_CONSOLIDATED=Y","FA_ADJUSTED=GAAP","Sort=A","Dates=H","DateFormat=P","Fill=—","Direction=H","UseDPDF=Y")</f>
        <v>#NAME?</v>
      </c>
      <c r="I191" t="e">
        <f ca="1">_xll.BDH($C$178,"RETURN_ON_INV_CAPITAL","FQ3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91" t="e">
        <f ca="1">_xll.BDH($C$178,"EBITDA_TO_REVENUE","FQ3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191" t="e">
        <f ca="1">_xll.BDH($C$178,"OPER_MARGIN","FQ3 2016","FQ3 2016","Currency=INR","Period=FQ","BEST_FPERIOD_OVERRIDE=FQ","FILING_STATUS=OR","EQY_CONSOLIDATED=Y","FA_ADJUSTED=GAAP","Sort=A","Dates=H","DateFormat=P","Fill=—","Direction=H","UseDPDF=Y")</f>
        <v>#NAME?</v>
      </c>
      <c r="L191" t="e">
        <f ca="1">_xll.BDH($C$178,"INCREMENTAL_OPERATING_MARGIN","FQ3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91" t="e">
        <f ca="1">_xll.BDH($C$178,"PRETAX_INC_TO_NET_SALES","FQ3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91" t="e">
        <f ca="1">_xll.BDH($C$178,"INC_BEF_XO_ITEMS_TO_NET_SALES","FQ3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91" t="e">
        <f ca="1">_xll.BDH($C$178,"PROF_MARGIN","FQ3 2016","FQ3 2016","Currency=INR","Period=FQ","BEST_FPERIOD_OVERRIDE=FQ","FILING_STATUS=OR","EQY_CONSOLIDATED=Y","FA_ADJUSTED=GAAP","Sort=A","Dates=H","DateFormat=P","Fill=—","Direction=H","UseDPDF=Y")</f>
        <v>#NAME?</v>
      </c>
      <c r="P191" t="e">
        <f ca="1">_xll.BDH($C$178,"NET_INCOME_TO_COMMON_MARGIN","FQ3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91" t="e">
        <f ca="1">_xll.BDH($C$178,"EFF_TAX_RATE","FQ3 2016","FQ3 2016","Currency=INR","Period=FQ","BEST_FPERIOD_OVERRIDE=FQ","FILING_STATUS=OR","EQY_CONSOLIDATED=Y","FA_ADJUSTED=GAAP","Sort=A","Dates=H","DateFormat=P","Fill=—","Direction=H","UseDPDF=Y")</f>
        <v>#NAME?</v>
      </c>
      <c r="R191" t="e">
        <f ca="1">_xll.BDH($C$178,"DVD_PAYOUT_RATIO","FQ3 2016","FQ3 2016","Currency=INR","Period=FQ","BEST_FPERIOD_OVERRIDE=FQ","FILING_STATUS=OR","EQY_CONSOLIDATED=Y","FA_ADJUSTED=GAAP","Sort=A","Dates=H","DateFormat=P","Fill=—","Direction=H","UseDPDF=Y")</f>
        <v>#NAME?</v>
      </c>
      <c r="S191" t="e">
        <f ca="1">_xll.BDH($C$178,"SUSTAIN_GROWTH_RT","FQ3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191" s="1" t="e">
        <f ca="1">_xll.BDH($C$178,"SALES_GROWTH","FQ3 2016","FQ3 2016","Currency=INR","Period=FQ","BEST_FPERIOD_OVERRIDE=FQ","FILING_STATUS=OR","EQY_CONSOLIDATED=Y","FA_ADJUSTED=GAAP","Sort=A","Dates=H","DateFormat=P","Fill=—","Direction=H","UseDPDF=Y")</f>
        <v>#NAME?</v>
      </c>
      <c r="U191" s="1" t="e">
        <f ca="1">_xll.BDH($C$178,"EBITDA_GROWTH","FQ3 2016","FQ3 2016","Currency=INR","Period=FQ","BEST_FPERIOD_OVERRIDE=FQ","FILING_STATUS=OR","EQY_CONSOLIDATED=Y","FA_ADJUSTED=GAAP","Sort=A","Dates=H","DateFormat=P","Fill=—","Direction=H","UseDPDF=Y")</f>
        <v>#NAME?</v>
      </c>
      <c r="V191" s="1" t="e">
        <f ca="1">_xll.BDH($C$178,"OPER_INC_GROWTH","FQ3 2016","FQ3 2016","Currency=INR","Period=FQ","BEST_FPERIOD_OVERRIDE=FQ","FILING_STATUS=OR","EQY_CONSOLIDATED=Y","FA_ADJUSTED=GAAP","Sort=A","Dates=H","DateFormat=P","Fill=—","Direction=H","UseDPDF=Y")</f>
        <v>#NAME?</v>
      </c>
      <c r="W191" s="1" t="e">
        <f ca="1">_xll.BDH($C$178,"EARN_FOR_COM_GROWTH","FQ3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91" s="1" t="e">
        <f ca="1">_xll.BDH($C$178,"DILUTED_EPS_AFT_XO_ITEMS_GROWTH","FQ3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91" s="1" t="e">
        <f ca="1">_xll.BDH($C$178,"DIVIDEND_PER_SHARE_1_YEAR_GROWTH","FQ3 2016","FQ3 2016","Currency=INR","Period=FQ","BEST_FPERIOD_OVERRIDE=FQ","FILING_STATUS=OR","EQY_CONSOLIDATED=Y","Sort=A","Dates=H","DateFormat=P","Fill=—","Direction=H","UseDPDF=Y")</f>
        <v>#NAME?</v>
      </c>
      <c r="Z191" s="1" t="e">
        <f ca="1">_xll.BDH($C$178,"ACCOUNTS_RECEIVABLE_GROWTH","FQ3 2016","FQ3 2016","Currency=INR","Period=FQ","BEST_FPERIOD_OVERRIDE=FQ","FILING_STATUS=OR","EQY_CONSOLIDATED=Y","Sort=A","Dates=H","DateFormat=P","Fill=—","Direction=H","UseDPDF=Y")</f>
        <v>#NAME?</v>
      </c>
      <c r="AA191" s="1" t="e">
        <f ca="1">_xll.BDH($C$178,"INVENTORY_GROWTH","FQ3 2016","FQ3 2016","Currency=INR","Period=FQ","BEST_FPERIOD_OVERRIDE=FQ","FILING_STATUS=OR","EQY_CONSOLIDATED=Y","Sort=A","Dates=H","DateFormat=P","Fill=—","Direction=H","UseDPDF=Y")</f>
        <v>#NAME?</v>
      </c>
      <c r="AB191" s="1" t="e">
        <f ca="1">_xll.BDH($C$178,"NET_FIXED_ASSETS_1_YEAR_GROWTH","FQ3 2016","FQ3 2016","Currency=INR","Period=FQ","BEST_FPERIOD_OVERRIDE=FQ","FILING_STATUS=OR","EQY_CONSOLIDATED=Y","Sort=A","Dates=H","DateFormat=P","Fill=—","Direction=H","UseDPDF=Y")</f>
        <v>#NAME?</v>
      </c>
      <c r="AC191" s="1" t="e">
        <f ca="1">_xll.BDH($C$178,"ASSET_GROWTH","FQ3 2016","FQ3 2016","Currency=INR","Period=FQ","BEST_FPERIOD_OVERRIDE=FQ","FILING_STATUS=OR","EQY_CONSOLIDATED=Y","Sort=A","Dates=H","DateFormat=P","Fill=—","Direction=H","UseDPDF=Y")</f>
        <v>#NAME?</v>
      </c>
      <c r="AD191" s="1" t="e">
        <f ca="1">_xll.BDH($C$178,"MODIFIED_WORK_CAP_GROWTH","FQ3 2016","FQ3 2016","Currency=INR","Period=FQ","BEST_FPERIOD_OVERRIDE=FQ","FILING_STATUS=OR","EQY_CONSOLIDATED=Y","Sort=A","Dates=H","DateFormat=P","Fill=—","Direction=H","UseDPDF=Y")</f>
        <v>#NAME?</v>
      </c>
      <c r="AE191" s="1" t="e">
        <f ca="1">_xll.BDH($C$178,"WORK_CAP_GROWTH","FQ3 2016","FQ3 2016","Currency=INR","Period=FQ","BEST_FPERIOD_OVERRIDE=FQ","FILING_STATUS=OR","EQY_CONSOLIDATED=Y","Sort=A","Dates=H","DateFormat=P","Fill=—","Direction=H","UseDPDF=Y")</f>
        <v>#NAME?</v>
      </c>
      <c r="AF191" s="1" t="e">
        <f ca="1">_xll.BDH($C$178,"ACCOUNTS_PAYABLE_GROWTH_1YR","FQ3 2016","FQ3 2016","Currency=INR","Period=FQ","BEST_FPERIOD_OVERRIDE=FQ","FILING_STATUS=OR","EQY_CONSOLIDATED=Y","Sort=A","Dates=H","DateFormat=P","Fill=—","Direction=H","UseDPDF=Y")</f>
        <v>#NAME?</v>
      </c>
      <c r="AG191" s="1" t="e">
        <f ca="1">_xll.BDH($C$178,"SHORT_TERM_DEBT_1_YEAR_GROWTH","FQ3 2016","FQ3 2016","Currency=INR","Period=FQ","BEST_FPERIOD_OVERRIDE=FQ","FILING_STATUS=OR","EQY_CONSOLIDATED=Y","Sort=A","Dates=H","DateFormat=P","Fill=—","Direction=H","UseDPDF=Y")</f>
        <v>#NAME?</v>
      </c>
      <c r="AH191" s="1" t="e">
        <f ca="1">_xll.BDH($C$178,"TOTAL_DEBT_1_YEAR_GROWTH","FQ3 2016","FQ3 2016","Currency=INR","Period=FQ","BEST_FPERIOD_OVERRIDE=FQ","FILING_STATUS=OR","EQY_CONSOLIDATED=Y","Sort=A","Dates=H","DateFormat=P","Fill=—","Direction=H","UseDPDF=Y")</f>
        <v>#NAME?</v>
      </c>
      <c r="AI191" s="1" t="e">
        <f ca="1">_xll.BDH($C$178,"TOTAL_EQUITY_1_YEAR_GROWTH","FQ3 2016","FQ3 2016","Currency=INR","Period=FQ","BEST_FPERIOD_OVERRIDE=FQ","FILING_STATUS=OR","EQY_CONSOLIDATED=Y","Sort=A","Dates=H","DateFormat=P","Fill=—","Direction=H","UseDPDF=Y")</f>
        <v>#NAME?</v>
      </c>
      <c r="AJ191" s="1" t="e">
        <f ca="1">_xll.BDH($C$178,"GROWTH_IN_CAP","FQ3 2016","FQ3 2016","Currency=INR","Period=FQ","BEST_FPERIOD_OVERRIDE=FQ","FILING_STATUS=OR","EQY_CONSOLIDATED=Y","Sort=A","Dates=H","DateFormat=P","Fill=—","Direction=H","UseDPDF=Y")</f>
        <v>#NAME?</v>
      </c>
      <c r="AK191" s="1" t="e">
        <f ca="1">_xll.BDH($C$178,"BVPS_GROWTH","FQ3 2016","FQ3 2016","Currency=INR","Period=FQ","BEST_FPERIOD_OVERRIDE=FQ","FILING_STATUS=OR","EQY_CONSOLIDATED=Y","Sort=A","Dates=H","DateFormat=P","Fill=—","Direction=H","UseDPDF=Y")</f>
        <v>#NAME?</v>
      </c>
      <c r="AL191" s="1" t="e">
        <f ca="1">_xll.BDH($C$178,"CASH_FLOW_GROWTH","FQ3 2016","FQ3 2016","Currency=INR","Period=FQ","BEST_FPERIOD_OVERRIDE=FQ","FILING_STATUS=OR","EQY_CONSOLIDATED=Y","Sort=A","Dates=H","DateFormat=P","Fill=—","Direction=H","UseDPDF=Y")</f>
        <v>#NAME?</v>
      </c>
      <c r="AM191" s="1" t="e">
        <f ca="1">_xll.BDH($C$178,"GEO_GROW_NET_SALES","FQ3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91" s="1" t="e">
        <f ca="1">_xll.BDH($C$178,"GEO_GROW_EBITDA","FQ3 2016","FQ3 2016","Currency=INR","Period=FQ","BEST_FPERIOD_OVERRIDE=FQ","FILING_STATUS=OR","EQY_CONSOLIDATED=Y","FA_ADJUSTED=GAAP","Sort=A","Dates=H","DateFormat=P","Fill=—","Direction=H","UseDPDF=Y")</f>
        <v>#NAME?</v>
      </c>
      <c r="AO191" s="1" t="e">
        <f ca="1">_xll.BDH($C$178,"GEO_GROW_OPER_INC","FQ3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91" s="1" t="e">
        <f ca="1">_xll.BDH($C$178,"NET_INCOME_TO_COMMON_5_YR_GROWTH","FQ3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91" s="1" t="e">
        <f ca="1">_xll.BDH($C$178,"5Y_GEO_GROWTH_DILUTED_EPS","FQ3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91" s="1" t="e">
        <f ca="1">_xll.BDH($C$178,"GEO_GROW_DVD_PER_SH","FQ3 2016","FQ3 2016","Currency=INR","Period=FQ","BEST_FPERIOD_OVERRIDE=FQ","FILING_STATUS=OR","EQY_CONSOLIDATED=Y","Sort=A","Dates=H","DateFormat=P","Fill=—","Direction=H","UseDPDF=Y")</f>
        <v>#NAME?</v>
      </c>
      <c r="AS191" s="1" t="e">
        <f ca="1">_xll.BDH($C$178,"ACCOUNTS_RECEIVABLE_5_YR_GROWTH","FQ3 2016","FQ3 2016","Currency=INR","Period=FQ","BEST_FPERIOD_OVERRIDE=FQ","FILING_STATUS=OR","EQY_CONSOLIDATED=Y","Sort=A","Dates=H","DateFormat=P","Fill=—","Direction=H","UseDPDF=Y")</f>
        <v>#NAME?</v>
      </c>
      <c r="AT191" s="1" t="e">
        <f ca="1">_xll.BDH($C$178,"INVENTORY_5_YEAR_GROWTH","FQ3 2016","FQ3 2016","Currency=INR","Period=FQ","BEST_FPERIOD_OVERRIDE=FQ","FILING_STATUS=OR","EQY_CONSOLIDATED=Y","Sort=A","Dates=H","DateFormat=P","Fill=—","Direction=H","UseDPDF=Y")</f>
        <v>#NAME?</v>
      </c>
      <c r="AU191" s="1" t="e">
        <f ca="1">_xll.BDH($C$178,"NET_FIXED_ASSETS_5_YEAR_GROWTH","FQ3 2016","FQ3 2016","Currency=INR","Period=FQ","BEST_FPERIOD_OVERRIDE=FQ","FILING_STATUS=OR","EQY_CONSOLIDATED=Y","Sort=A","Dates=H","DateFormat=P","Fill=—","Direction=H","UseDPDF=Y")</f>
        <v>#NAME?</v>
      </c>
      <c r="AV191" s="1" t="e">
        <f ca="1">_xll.BDH($C$178,"GEO_GROW_TOT_ASSET","FQ3 2016","FQ3 2016","Currency=INR","Period=FQ","BEST_FPERIOD_OVERRIDE=FQ","FILING_STATUS=OR","EQY_CONSOLIDATED=Y","Sort=A","Dates=H","DateFormat=P","Fill=—","Direction=H","UseDPDF=Y")</f>
        <v>#NAME?</v>
      </c>
      <c r="AW191" s="1" t="e">
        <f ca="1">_xll.BDH($C$178,"MODIFIED_WORKING_CPTL_5YR_GRWTH","FQ3 2016","FQ3 2016","Currency=INR","Period=FQ","BEST_FPERIOD_OVERRIDE=FQ","FILING_STATUS=OR","EQY_CONSOLIDATED=Y","Sort=A","Dates=H","DateFormat=P","Fill=—","Direction=H","UseDPDF=Y")</f>
        <v>#NAME?</v>
      </c>
      <c r="AX191" s="1" t="e">
        <f ca="1">_xll.BDH($C$178,"WORKING_CAPITAL_5_YEAR_GROWTH","FQ3 2016","FQ3 2016","Currency=INR","Period=FQ","BEST_FPERIOD_OVERRIDE=FQ","FILING_STATUS=OR","EQY_CONSOLIDATED=Y","Sort=A","Dates=H","DateFormat=P","Fill=—","Direction=H","UseDPDF=Y")</f>
        <v>#NAME?</v>
      </c>
      <c r="AY191" s="1" t="e">
        <f ca="1">_xll.BDH($C$178,"ACCOUNTS_PAYABLE_5_YEAR_GROWTH","FQ3 2016","FQ3 2016","Currency=INR","Period=FQ","BEST_FPERIOD_OVERRIDE=FQ","FILING_STATUS=OR","EQY_CONSOLIDATED=Y","Sort=A","Dates=H","DateFormat=P","Fill=—","Direction=H","UseDPDF=Y")</f>
        <v>#NAME?</v>
      </c>
      <c r="AZ191" s="1" t="e">
        <f ca="1">_xll.BDH($C$178,"SHORT_TERM_DEBT_5_YEAR_GROWTH","FQ3 2016","FQ3 2016","Currency=INR","Period=FQ","BEST_FPERIOD_OVERRIDE=FQ","FILING_STATUS=OR","EQY_CONSOLIDATED=Y","Sort=A","Dates=H","DateFormat=P","Fill=—","Direction=H","UseDPDF=Y")</f>
        <v>#NAME?</v>
      </c>
      <c r="BA191" s="1" t="e">
        <f ca="1">_xll.BDH($C$178,"TOTAL_DEBT_5_YEAR_GROWTH","FQ3 2016","FQ3 2016","Currency=INR","Period=FQ","BEST_FPERIOD_OVERRIDE=FQ","FILING_STATUS=OR","EQY_CONSOLIDATED=Y","Sort=A","Dates=H","DateFormat=P","Fill=—","Direction=H","UseDPDF=Y")</f>
        <v>#NAME?</v>
      </c>
      <c r="BB191" s="1" t="e">
        <f ca="1">_xll.BDH($C$178,"GEO_GROW_TOT_SHRHLDR_EQY","FQ3 2016","FQ3 2016","Currency=INR","Period=FQ","BEST_FPERIOD_OVERRIDE=FQ","FILING_STATUS=OR","EQY_CONSOLIDATED=Y","Sort=A","Dates=H","DateFormat=P","Fill=—","Direction=H","UseDPDF=Y")</f>
        <v>#NAME?</v>
      </c>
      <c r="BC191" s="1" t="e">
        <f ca="1">_xll.BDH($C$178,"TOTAL_CAPITAL_5_YEAR_GROWTH","FQ3 2016","FQ3 2016","Currency=INR","Period=FQ","BEST_FPERIOD_OVERRIDE=FQ","FILING_STATUS=OR","EQY_CONSOLIDATED=Y","Sort=A","Dates=H","DateFormat=P","Fill=—","Direction=H","UseDPDF=Y")</f>
        <v>#NAME?</v>
      </c>
      <c r="BD191" s="1" t="e">
        <f ca="1">_xll.BDH($C$178,"GEO_GROW_BOOK_VAL","FQ3 2016","FQ3 2016","Currency=INR","Period=FQ","BEST_FPERIOD_OVERRIDE=FQ","FILING_STATUS=OR","EQY_CONSOLIDATED=Y","Sort=A","Dates=H","DateFormat=P","Fill=—","Direction=H","UseDPDF=Y")</f>
        <v>#NAME?</v>
      </c>
      <c r="BE191" s="1" t="e">
        <f ca="1">_xll.BDH($C$178,"GEO_GROW_CASH_OPER_ACT","FQ3 2016","FQ3 2016","Currency=INR","Period=FQ","BEST_FPERIOD_OVERRIDE=FQ","FILING_STATUS=OR","EQY_CONSOLIDATED=Y","Sort=A","Dates=H","DateFormat=P","Fill=—","Direction=H","UseDPDF=Y")</f>
        <v>#NAME?</v>
      </c>
      <c r="BF191" s="1" t="e">
        <f ca="1">_xll.BDH($C$178,"REVENUE_SEQUENTIAL_GROWTH","FQ3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91" s="1" t="e">
        <f ca="1">_xll.BDH($C$178,"EBITDA_SEQUENTIAL_GROWTH","FQ3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91" s="1" t="e">
        <f ca="1">_xll.BDH($C$178,"OPERATING_INCOME_SEQ_GROWTH","FQ3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91" s="1" t="e">
        <f ca="1">_xll.BDH($C$178,"NET_INCOME_TO_COMMON_SEQ_GROWTH","FQ3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91" s="1" t="e">
        <f ca="1">_xll.BDH($C$178,"EPS_DILUTED_SEQUENTIAL_GROWTH","FQ3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91" s="1" t="e">
        <f ca="1">_xll.BDH($C$178,"DPS_SEQUENTIAL_GROWTH","FQ3 2016","FQ3 2016","Currency=INR","Period=FQ","BEST_FPERIOD_OVERRIDE=FQ","FILING_STATUS=OR","EQY_CONSOLIDATED=Y","Sort=A","Dates=H","DateFormat=P","Fill=—","Direction=H","UseDPDF=Y")</f>
        <v>#NAME?</v>
      </c>
      <c r="BL191" s="1" t="e">
        <f ca="1">_xll.BDH($C$178,"ACCOUNTS_RECEIVABLE_SEQ_GROWTH","FQ3 2016","FQ3 2016","Currency=INR","Period=FQ","BEST_FPERIOD_OVERRIDE=FQ","FILING_STATUS=OR","EQY_CONSOLIDATED=Y","Sort=A","Dates=H","DateFormat=P","Fill=—","Direction=H","UseDPDF=Y")</f>
        <v>#NAME?</v>
      </c>
      <c r="BM191" s="1" t="e">
        <f ca="1">_xll.BDH($C$178,"INVENTORY_SEQUENTIAL_GROWTH","FQ3 2016","FQ3 2016","Currency=INR","Period=FQ","BEST_FPERIOD_OVERRIDE=FQ","FILING_STATUS=OR","EQY_CONSOLIDATED=Y","Sort=A","Dates=H","DateFormat=P","Fill=—","Direction=H","UseDPDF=Y")</f>
        <v>#NAME?</v>
      </c>
      <c r="BN191" s="1" t="e">
        <f ca="1">_xll.BDH($C$178,"FIXED_ASSETS_SEQUENTIAL_GROWTH","FQ3 2016","FQ3 2016","Currency=INR","Period=FQ","BEST_FPERIOD_OVERRIDE=FQ","FILING_STATUS=OR","EQY_CONSOLIDATED=Y","Sort=A","Dates=H","DateFormat=P","Fill=—","Direction=H","UseDPDF=Y")</f>
        <v>#NAME?</v>
      </c>
      <c r="BO191" s="1" t="e">
        <f ca="1">_xll.BDH($C$178,"TOTAL_ASSETS_SEQUENTIAL_GROWTH","FQ3 2016","FQ3 2016","Currency=INR","Period=FQ","BEST_FPERIOD_OVERRIDE=FQ","FILING_STATUS=OR","EQY_CONSOLIDATED=Y","Sort=A","Dates=H","DateFormat=P","Fill=—","Direction=H","UseDPDF=Y")</f>
        <v>#NAME?</v>
      </c>
      <c r="BP191" s="1" t="e">
        <f ca="1">_xll.BDH($C$178,"MODIFIED_WORKING_CPTL_SEQ_GRWTH","FQ3 2016","FQ3 2016","Currency=INR","Period=FQ","BEST_FPERIOD_OVERRIDE=FQ","FILING_STATUS=OR","EQY_CONSOLIDATED=Y","Sort=A","Dates=H","DateFormat=P","Fill=—","Direction=H","UseDPDF=Y")</f>
        <v>#NAME?</v>
      </c>
      <c r="BQ191" s="1" t="e">
        <f ca="1">_xll.BDH($C$178,"WORKING_CAPITAL_SEQ_GROWTH","FQ3 2016","FQ3 2016","Currency=INR","Period=FQ","BEST_FPERIOD_OVERRIDE=FQ","FILING_STATUS=OR","EQY_CONSOLIDATED=Y","Sort=A","Dates=H","DateFormat=P","Fill=—","Direction=H","UseDPDF=Y")</f>
        <v>#NAME?</v>
      </c>
      <c r="BR191" s="1" t="e">
        <f ca="1">_xll.BDH($C$178,"ACCOUNTS_PAYABLE_SEQ_GROWTH","FQ3 2016","FQ3 2016","Currency=INR","Period=FQ","BEST_FPERIOD_OVERRIDE=FQ","FILING_STATUS=OR","EQY_CONSOLIDATED=Y","Sort=A","Dates=H","DateFormat=P","Fill=—","Direction=H","UseDPDF=Y")</f>
        <v>#NAME?</v>
      </c>
      <c r="BS191" s="1" t="e">
        <f ca="1">_xll.BDH($C$178,"ST_DEBT_SEQUENTIAL_GROWTH","FQ3 2016","FQ3 2016","Currency=INR","Period=FQ","BEST_FPERIOD_OVERRIDE=FQ","FILING_STATUS=OR","EQY_CONSOLIDATED=Y","Sort=A","Dates=H","DateFormat=P","Fill=—","Direction=H","UseDPDF=Y")</f>
        <v>#NAME?</v>
      </c>
      <c r="BT191" s="1" t="e">
        <f ca="1">_xll.BDH($C$178,"TOTAL_DEBT_SEQUENTIAL_GROWTH","FQ3 2016","FQ3 2016","Currency=INR","Period=FQ","BEST_FPERIOD_OVERRIDE=FQ","FILING_STATUS=OR","EQY_CONSOLIDATED=Y","Sort=A","Dates=H","DateFormat=P","Fill=—","Direction=H","UseDPDF=Y")</f>
        <v>#NAME?</v>
      </c>
      <c r="BU191" s="1" t="e">
        <f ca="1">_xll.BDH($C$178,"TOTAL_EQUITY_SEQUENTIAL_GROWTH","FQ3 2016","FQ3 2016","Currency=INR","Period=FQ","BEST_FPERIOD_OVERRIDE=FQ","FILING_STATUS=OR","EQY_CONSOLIDATED=Y","Sort=A","Dates=H","DateFormat=P","Fill=—","Direction=H","UseDPDF=Y")</f>
        <v>#NAME?</v>
      </c>
      <c r="BV191" s="1" t="e">
        <f ca="1">_xll.BDH($C$178,"TOTAL_CAPITAL_SEQUENTIAL_GROWTH","FQ3 2016","FQ3 2016","Currency=INR","Period=FQ","BEST_FPERIOD_OVERRIDE=FQ","FILING_STATUS=OR","EQY_CONSOLIDATED=Y","Sort=A","Dates=H","DateFormat=P","Fill=—","Direction=H","UseDPDF=Y")</f>
        <v>#NAME?</v>
      </c>
      <c r="BW191" s="1" t="e">
        <f ca="1">_xll.BDH($C$178,"BPS_SEQUENTIAL_GROWTH","FQ3 2016","FQ3 2016","Currency=INR","Period=FQ","BEST_FPERIOD_OVERRIDE=FQ","FILING_STATUS=OR","EQY_CONSOLIDATED=Y","Sort=A","Dates=H","DateFormat=P","Fill=—","Direction=H","UseDPDF=Y")</f>
        <v>#NAME?</v>
      </c>
      <c r="BX191" s="1" t="e">
        <f ca="1">_xll.BDH($C$178,"CFO_SEQUENTIAL_GROWTH","FQ3 2016","FQ3 2016","Currency=INR","Period=FQ","BEST_FPERIOD_OVERRIDE=FQ","FILING_STATUS=OR","EQY_CONSOLIDATED=Y","Sort=A","Dates=H","DateFormat=P","Fill=—","Direction=H","UseDPDF=Y")</f>
        <v>#NAME?</v>
      </c>
      <c r="BY191" s="2" t="e">
        <f ca="1">_xll.BDH($C$178,"SHORT_AND_LONG_TERM_DEBT","FQ3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91" s="2" t="e">
        <f ca="1">_xll.BDH($C$178,"BS_ST_BORROW","FQ3 2016","FQ3 2016","Currency=INR","Period=FQ","BEST_FPERIOD_OVERRIDE=FQ","FILING_STATUS=OR","EQY_CONSOLIDATED=Y","SCALING_FORMAT=MLN","Sort=A","Dates=H","DateFormat=P","Fill=—","Direction=H","UseDPDF=Y")</f>
        <v>#NAME?</v>
      </c>
      <c r="CA191" s="2" t="e">
        <f ca="1">_xll.BDH($C$178,"BS_LT_BORROW","FQ3 2016","FQ3 2016","Currency=INR","Period=FQ","BEST_FPERIOD_OVERRIDE=FQ","FILING_STATUS=OR","EQY_CONSOLIDATED=Y","SCALING_FORMAT=MLN","Sort=A","Dates=H","DateFormat=P","Fill=—","Direction=H","UseDPDF=Y")</f>
        <v>#NAME?</v>
      </c>
      <c r="CB191" s="1" t="e">
        <f ca="1">_xll.BDH($C$178,"TOT_DEBT_TO_EBITDA","FQ3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91" s="1" t="e">
        <f ca="1">_xll.BDH($C$178,"NET_DEBT_TO_EBITDA","FQ3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91" s="1" t="e">
        <f ca="1">_xll.BDH($C$178,"TOTAL_DEBT_TO_EBIT","FQ3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91" s="1" t="e">
        <f ca="1">_xll.BDH($C$178,"NET_DEBT_TO_EBIT","FQ3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191" s="1" t="e">
        <f ca="1">_xll.BDH($C$178,"EBITDA_TO_INTEREST_EXPN","FQ3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91" s="1" t="e">
        <f ca="1">_xll.BDH($C$178,"COM_EQY_TO_TOT_ASSET","FQ3 2016","FQ3 2016","Currency=INR","Period=FQ","BEST_FPERIOD_OVERRIDE=FQ","FILING_STATUS=OR","EQY_CONSOLIDATED=Y","Sort=A","Dates=H","DateFormat=P","Fill=—","Direction=H","UseDPDF=Y")</f>
        <v>#NAME?</v>
      </c>
      <c r="CH191" s="1" t="e">
        <f ca="1">_xll.BDH($C$178,"LT_DEBT_TO_TOT_EQY","FQ3 2016","FQ3 2016","Currency=INR","Period=FQ","BEST_FPERIOD_OVERRIDE=FQ","FILING_STATUS=OR","EQY_CONSOLIDATED=Y","Sort=A","Dates=H","DateFormat=P","Fill=—","Direction=H","UseDPDF=Y")</f>
        <v>#NAME?</v>
      </c>
      <c r="CI191" s="1" t="e">
        <f ca="1">_xll.BDH($C$178,"LT_DEBT_TO_TOT_CAP","FQ3 2016","FQ3 2016","Currency=INR","Period=FQ","BEST_FPERIOD_OVERRIDE=FQ","FILING_STATUS=OR","EQY_CONSOLIDATED=Y","Sort=A","Dates=H","DateFormat=P","Fill=—","Direction=H","UseDPDF=Y")</f>
        <v>#NAME?</v>
      </c>
      <c r="CJ191" s="1" t="e">
        <f ca="1">_xll.BDH($C$178,"LT_DEBT_TO_TOT_ASSET","FQ3 2016","FQ3 2016","Currency=INR","Period=FQ","BEST_FPERIOD_OVERRIDE=FQ","FILING_STATUS=OR","EQY_CONSOLIDATED=Y","Sort=A","Dates=H","DateFormat=P","Fill=—","Direction=H","UseDPDF=Y")</f>
        <v>#NAME?</v>
      </c>
      <c r="CK191" s="1" t="e">
        <f ca="1">_xll.BDH($C$178,"TOT_DEBT_TO_TOT_EQY","FQ3 2016","FQ3 2016","Currency=INR","Period=FQ","BEST_FPERIOD_OVERRIDE=FQ","FILING_STATUS=OR","EQY_CONSOLIDATED=Y","Sort=A","Dates=H","DateFormat=P","Fill=—","Direction=H","UseDPDF=Y")</f>
        <v>#NAME?</v>
      </c>
      <c r="CL191" s="1" t="e">
        <f ca="1">_xll.BDH($C$178,"TOT_DEBT_TO_TOT_CAP","FQ3 2016","FQ3 2016","Currency=INR","Period=FQ","BEST_FPERIOD_OVERRIDE=FQ","FILING_STATUS=OR","EQY_CONSOLIDATED=Y","Sort=A","Dates=H","DateFormat=P","Fill=—","Direction=H","UseDPDF=Y")</f>
        <v>#NAME?</v>
      </c>
      <c r="CM191" s="1" t="e">
        <f ca="1">_xll.BDH($C$178,"TOT_DEBT_TO_TOT_ASSET","FQ3 2016","FQ3 2016","Currency=INR","Period=FQ","BEST_FPERIOD_OVERRIDE=FQ","FILING_STATUS=OR","EQY_CONSOLIDATED=Y","Sort=A","Dates=H","DateFormat=P","Fill=—","Direction=H","UseDPDF=Y")</f>
        <v>#NAME?</v>
      </c>
      <c r="CN191" s="1" t="e">
        <f ca="1">_xll.BDH($C$178,"NET_DEBT_TO_SHRHLDR_EQTY","FQ3 2016","FQ3 2016","Currency=INR","Period=FQ","BEST_FPERIOD_OVERRIDE=FQ","FILING_STATUS=OR","EQY_CONSOLIDATED=Y","Sort=A","Dates=H","DateFormat=P","Fill=—","Direction=H","UseDPDF=Y")</f>
        <v>#NAME?</v>
      </c>
      <c r="CO191" s="1" t="e">
        <f ca="1">_xll.BDH($C$178,"NET_DEBT_%_CAPITAL","FQ3 2016","FQ3 2016","Currency=INR","Period=FQ","BEST_FPERIOD_OVERRIDE=FQ","FILING_STATUS=OR","EQY_CONSOLIDATED=Y","Sort=A","Dates=H","DateFormat=P","Fill=—","Direction=H","UseDPDF=Y")</f>
        <v>#NAME?</v>
      </c>
      <c r="CP191" s="2" t="e">
        <f ca="1">_xll.BDH($C$178,"EBITDA","FQ3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91" s="2" t="e">
        <f ca="1">_xll.BDH($C$178,"EBITDA_AFTER_CAPEX","FQ3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91" s="2" t="e">
        <f ca="1">_xll.BDH($C$178,"IS_OPER_INC","FQ3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91" s="1" t="e">
        <f ca="1">_xll.BDH($C$178,"CASH_RATIO","FQ3 2016","FQ3 2016","Currency=INR","Period=FQ","BEST_FPERIOD_OVERRIDE=FQ","FILING_STATUS=OR","EQY_CONSOLIDATED=Y","Sort=A","Dates=H","DateFormat=P","Fill=—","Direction=H","UseDPDF=Y")</f>
        <v>#NAME?</v>
      </c>
      <c r="CT191" s="1" t="e">
        <f ca="1">_xll.BDH($C$178,"CUR_RATIO","FQ3 2016","FQ3 2016","Currency=INR","Period=FQ","BEST_FPERIOD_OVERRIDE=FQ","FILING_STATUS=OR","EQY_CONSOLIDATED=Y","Sort=A","Dates=H","DateFormat=P","Fill=—","Direction=H","UseDPDF=Y")</f>
        <v>#NAME?</v>
      </c>
      <c r="CU191" s="1" t="e">
        <f ca="1">_xll.BDH($C$178,"QUICK_RATIO","FQ3 2016","FQ3 2016","Currency=INR","Period=FQ","BEST_FPERIOD_OVERRIDE=FQ","FILING_STATUS=OR","EQY_CONSOLIDATED=Y","Sort=A","Dates=H","DateFormat=P","Fill=—","Direction=H","UseDPDF=Y")</f>
        <v>#NAME?</v>
      </c>
      <c r="CV191" s="1" t="e">
        <f ca="1">_xll.BDH($C$178,"ALTMAN_Z_SCORE","FQ3 2016","FQ3 2016","Currency=INR","Period=FQ","BEST_FPERIOD_OVERRIDE=FQ","FILING_STATUS=OR","EQY_CONSOLIDATED=Y","Sort=A","Dates=H","DateFormat=P","Fill=—","Direction=H","UseDPDF=Y")</f>
        <v>#NAME?</v>
      </c>
      <c r="CW191" s="3" t="e">
        <f ca="1">_xll.BDH($C$178,"ACCT_RCV_TURN","FQ3 2016","FQ3 2016","Currency=INR","Period=FQ","BEST_FPERIOD_OVERRIDE=FQ","FILING_STATUS=OR","EQY_CONSOLIDATED=Y","FA_ADJUSTED=GAAP","Sort=A","Dates=H","DateFormat=P","Fill=—","Direction=H","UseDPDF=Y")</f>
        <v>#NAME?</v>
      </c>
      <c r="CX191" s="1" t="e">
        <f ca="1">_xll.BDH($C$178,"ACCT_RCV_DAYS","FQ3 2016","FQ3 2016","Currency=INR","Period=FQ","BEST_FPERIOD_OVERRIDE=FQ","FILING_STATUS=OR","EQY_CONSOLIDATED=Y","FA_ADJUSTED=GAAP","Sort=A","Dates=H","DateFormat=P","Fill=—","Direction=H","UseDPDF=Y")</f>
        <v>#NAME?</v>
      </c>
      <c r="CY191" s="3" t="e">
        <f ca="1">_xll.BDH($C$178,"INVENT_TURN","FQ3 2016","FQ3 2016","Currency=INR","Period=FQ","BEST_FPERIOD_OVERRIDE=FQ","FILING_STATUS=OR","EQY_CONSOLIDATED=Y","FA_ADJUSTED=GAAP","Sort=A","Dates=H","DateFormat=P","Fill=—","Direction=H","UseDPDF=Y")</f>
        <v>#NAME?</v>
      </c>
      <c r="CZ191" s="1" t="e">
        <f ca="1">_xll.BDH($C$178,"INVENT_DAYS","FQ3 2016","FQ3 2016","Currency=INR","Period=FQ","BEST_FPERIOD_OVERRIDE=FQ","FILING_STATUS=OR","EQY_CONSOLIDATED=Y","FA_ADJUSTED=GAAP","Sort=A","Dates=H","DateFormat=P","Fill=—","Direction=H","UseDPDF=Y")</f>
        <v>#NAME?</v>
      </c>
      <c r="DA191" s="3" t="e">
        <f ca="1">_xll.BDH($C$178,"ACCOUNTS_PAYABLE_TURNOVER","FQ3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91" s="1" t="e">
        <f ca="1">_xll.BDH($C$178,"ACCOUNTS_PAYABLE_TURNOVER_DAYS","FQ3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91" s="3" t="e">
        <f ca="1">_xll.BDH($C$178,"CASH_CONVERSION_CYCLE","FQ3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91" s="3" t="e">
        <f ca="1">_xll.BDH($C$178,"INV_TO_CASH_DAYS","FQ3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191" s="4" t="e">
        <f ca="1">_xll.BDH($C$178,"BS_INVENTORIES","FQ3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191" s="2" t="e">
        <f ca="1">_xll.BDH($C$178,"INVTRY_RAW_MATERIALS","FQ3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91" s="2" t="e">
        <f ca="1">_xll.BDH($C$178,"INVTRY_IN_PROGRESS","FQ3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91" s="2" t="e">
        <f ca="1">_xll.BDH($C$178,"INVTRY_FINISHED_GOODS","FQ3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91" s="2" t="e">
        <f ca="1">_xll.BDH($C$178,"BS_OTHER_INV","FQ3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92" spans="1:113" x14ac:dyDescent="0.3">
      <c r="A192" s="6"/>
      <c r="B192" s="6"/>
      <c r="C192" s="6"/>
      <c r="D192" s="6"/>
      <c r="E192" t="s">
        <v>7</v>
      </c>
      <c r="F192" t="e">
        <f ca="1">_xll.BDH($C$178,"RETURN_COM_EQY","FQ4 2016","FQ4 2016","Currency=INR","Period=FQ","BEST_FPERIOD_OVERRIDE=FQ","FILING_STATUS=OR","EQY_CONSOLIDATED=Y","FA_ADJUSTED=GAAP","Sort=A","Dates=H","DateFormat=P","Fill=—","Direction=H","UseDPDF=Y")</f>
        <v>#NAME?</v>
      </c>
      <c r="G192" t="e">
        <f ca="1">_xll.BDH($C$178,"RETURN_ON_ASSET","FQ4 2016","FQ4 2016","Currency=INR","Period=FQ","BEST_FPERIOD_OVERRIDE=FQ","FILING_STATUS=OR","EQY_CONSOLIDATED=Y","FA_ADJUSTED=GAAP","Sort=A","Dates=H","DateFormat=P","Fill=—","Direction=H","UseDPDF=Y")</f>
        <v>#NAME?</v>
      </c>
      <c r="H192" t="e">
        <f ca="1">_xll.BDH($C$178,"RETURN_ON_CAP","FQ4 2016","FQ4 2016","Currency=INR","Period=FQ","BEST_FPERIOD_OVERRIDE=FQ","FILING_STATUS=OR","EQY_CONSOLIDATED=Y","FA_ADJUSTED=GAAP","Sort=A","Dates=H","DateFormat=P","Fill=—","Direction=H","UseDPDF=Y")</f>
        <v>#NAME?</v>
      </c>
      <c r="I192" t="e">
        <f ca="1">_xll.BDH($C$178,"RETURN_ON_INV_CAPITAL","FQ4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92" t="e">
        <f ca="1">_xll.BDH($C$178,"EBITDA_TO_REVENUE","FQ4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192" t="e">
        <f ca="1">_xll.BDH($C$178,"OPER_MARGIN","FQ4 2016","FQ4 2016","Currency=INR","Period=FQ","BEST_FPERIOD_OVERRIDE=FQ","FILING_STATUS=OR","EQY_CONSOLIDATED=Y","FA_ADJUSTED=GAAP","Sort=A","Dates=H","DateFormat=P","Fill=—","Direction=H","UseDPDF=Y")</f>
        <v>#NAME?</v>
      </c>
      <c r="L192" t="e">
        <f ca="1">_xll.BDH($C$178,"INCREMENTAL_OPERATING_MARGIN","FQ4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92" t="e">
        <f ca="1">_xll.BDH($C$178,"PRETAX_INC_TO_NET_SALES","FQ4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92" t="e">
        <f ca="1">_xll.BDH($C$178,"INC_BEF_XO_ITEMS_TO_NET_SALES","FQ4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92" t="e">
        <f ca="1">_xll.BDH($C$178,"PROF_MARGIN","FQ4 2016","FQ4 2016","Currency=INR","Period=FQ","BEST_FPERIOD_OVERRIDE=FQ","FILING_STATUS=OR","EQY_CONSOLIDATED=Y","FA_ADJUSTED=GAAP","Sort=A","Dates=H","DateFormat=P","Fill=—","Direction=H","UseDPDF=Y")</f>
        <v>#NAME?</v>
      </c>
      <c r="P192" t="e">
        <f ca="1">_xll.BDH($C$178,"NET_INCOME_TO_COMMON_MARGIN","FQ4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92" t="e">
        <f ca="1">_xll.BDH($C$178,"EFF_TAX_RATE","FQ4 2016","FQ4 2016","Currency=INR","Period=FQ","BEST_FPERIOD_OVERRIDE=FQ","FILING_STATUS=OR","EQY_CONSOLIDATED=Y","FA_ADJUSTED=GAAP","Sort=A","Dates=H","DateFormat=P","Fill=—","Direction=H","UseDPDF=Y")</f>
        <v>#NAME?</v>
      </c>
      <c r="R192" t="e">
        <f ca="1">_xll.BDH($C$178,"DVD_PAYOUT_RATIO","FQ4 2016","FQ4 2016","Currency=INR","Period=FQ","BEST_FPERIOD_OVERRIDE=FQ","FILING_STATUS=OR","EQY_CONSOLIDATED=Y","FA_ADJUSTED=GAAP","Sort=A","Dates=H","DateFormat=P","Fill=—","Direction=H","UseDPDF=Y")</f>
        <v>#NAME?</v>
      </c>
      <c r="S192" t="e">
        <f ca="1">_xll.BDH($C$178,"SUSTAIN_GROWTH_RT","FQ4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192" s="1" t="e">
        <f ca="1">_xll.BDH($C$178,"SALES_GROWTH","FQ4 2016","FQ4 2016","Currency=INR","Period=FQ","BEST_FPERIOD_OVERRIDE=FQ","FILING_STATUS=OR","EQY_CONSOLIDATED=Y","FA_ADJUSTED=GAAP","Sort=A","Dates=H","DateFormat=P","Fill=—","Direction=H","UseDPDF=Y")</f>
        <v>#NAME?</v>
      </c>
      <c r="U192" s="1" t="e">
        <f ca="1">_xll.BDH($C$178,"EBITDA_GROWTH","FQ4 2016","FQ4 2016","Currency=INR","Period=FQ","BEST_FPERIOD_OVERRIDE=FQ","FILING_STATUS=OR","EQY_CONSOLIDATED=Y","FA_ADJUSTED=GAAP","Sort=A","Dates=H","DateFormat=P","Fill=—","Direction=H","UseDPDF=Y")</f>
        <v>#NAME?</v>
      </c>
      <c r="V192" s="1" t="e">
        <f ca="1">_xll.BDH($C$178,"OPER_INC_GROWTH","FQ4 2016","FQ4 2016","Currency=INR","Period=FQ","BEST_FPERIOD_OVERRIDE=FQ","FILING_STATUS=OR","EQY_CONSOLIDATED=Y","FA_ADJUSTED=GAAP","Sort=A","Dates=H","DateFormat=P","Fill=—","Direction=H","UseDPDF=Y")</f>
        <v>#NAME?</v>
      </c>
      <c r="W192" s="1" t="e">
        <f ca="1">_xll.BDH($C$178,"EARN_FOR_COM_GROWTH","FQ4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92" s="1" t="e">
        <f ca="1">_xll.BDH($C$178,"DILUTED_EPS_AFT_XO_ITEMS_GROWTH","FQ4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92" s="1" t="e">
        <f ca="1">_xll.BDH($C$178,"DIVIDEND_PER_SHARE_1_YEAR_GROWTH","FQ4 2016","FQ4 2016","Currency=INR","Period=FQ","BEST_FPERIOD_OVERRIDE=FQ","FILING_STATUS=OR","EQY_CONSOLIDATED=Y","Sort=A","Dates=H","DateFormat=P","Fill=—","Direction=H","UseDPDF=Y")</f>
        <v>#NAME?</v>
      </c>
      <c r="Z192" s="1" t="e">
        <f ca="1">_xll.BDH($C$178,"ACCOUNTS_RECEIVABLE_GROWTH","FQ4 2016","FQ4 2016","Currency=INR","Period=FQ","BEST_FPERIOD_OVERRIDE=FQ","FILING_STATUS=OR","EQY_CONSOLIDATED=Y","Sort=A","Dates=H","DateFormat=P","Fill=—","Direction=H","UseDPDF=Y")</f>
        <v>#NAME?</v>
      </c>
      <c r="AA192" s="1" t="e">
        <f ca="1">_xll.BDH($C$178,"INVENTORY_GROWTH","FQ4 2016","FQ4 2016","Currency=INR","Period=FQ","BEST_FPERIOD_OVERRIDE=FQ","FILING_STATUS=OR","EQY_CONSOLIDATED=Y","Sort=A","Dates=H","DateFormat=P","Fill=—","Direction=H","UseDPDF=Y")</f>
        <v>#NAME?</v>
      </c>
      <c r="AB192" s="1" t="e">
        <f ca="1">_xll.BDH($C$178,"NET_FIXED_ASSETS_1_YEAR_GROWTH","FQ4 2016","FQ4 2016","Currency=INR","Period=FQ","BEST_FPERIOD_OVERRIDE=FQ","FILING_STATUS=OR","EQY_CONSOLIDATED=Y","Sort=A","Dates=H","DateFormat=P","Fill=—","Direction=H","UseDPDF=Y")</f>
        <v>#NAME?</v>
      </c>
      <c r="AC192" s="1" t="e">
        <f ca="1">_xll.BDH($C$178,"ASSET_GROWTH","FQ4 2016","FQ4 2016","Currency=INR","Period=FQ","BEST_FPERIOD_OVERRIDE=FQ","FILING_STATUS=OR","EQY_CONSOLIDATED=Y","Sort=A","Dates=H","DateFormat=P","Fill=—","Direction=H","UseDPDF=Y")</f>
        <v>#NAME?</v>
      </c>
      <c r="AD192" s="1" t="e">
        <f ca="1">_xll.BDH($C$178,"MODIFIED_WORK_CAP_GROWTH","FQ4 2016","FQ4 2016","Currency=INR","Period=FQ","BEST_FPERIOD_OVERRIDE=FQ","FILING_STATUS=OR","EQY_CONSOLIDATED=Y","Sort=A","Dates=H","DateFormat=P","Fill=—","Direction=H","UseDPDF=Y")</f>
        <v>#NAME?</v>
      </c>
      <c r="AE192" s="1" t="e">
        <f ca="1">_xll.BDH($C$178,"WORK_CAP_GROWTH","FQ4 2016","FQ4 2016","Currency=INR","Period=FQ","BEST_FPERIOD_OVERRIDE=FQ","FILING_STATUS=OR","EQY_CONSOLIDATED=Y","Sort=A","Dates=H","DateFormat=P","Fill=—","Direction=H","UseDPDF=Y")</f>
        <v>#NAME?</v>
      </c>
      <c r="AF192" s="1" t="e">
        <f ca="1">_xll.BDH($C$178,"ACCOUNTS_PAYABLE_GROWTH_1YR","FQ4 2016","FQ4 2016","Currency=INR","Period=FQ","BEST_FPERIOD_OVERRIDE=FQ","FILING_STATUS=OR","EQY_CONSOLIDATED=Y","Sort=A","Dates=H","DateFormat=P","Fill=—","Direction=H","UseDPDF=Y")</f>
        <v>#NAME?</v>
      </c>
      <c r="AG192" s="1" t="e">
        <f ca="1">_xll.BDH($C$178,"SHORT_TERM_DEBT_1_YEAR_GROWTH","FQ4 2016","FQ4 2016","Currency=INR","Period=FQ","BEST_FPERIOD_OVERRIDE=FQ","FILING_STATUS=OR","EQY_CONSOLIDATED=Y","Sort=A","Dates=H","DateFormat=P","Fill=—","Direction=H","UseDPDF=Y")</f>
        <v>#NAME?</v>
      </c>
      <c r="AH192" s="1" t="e">
        <f ca="1">_xll.BDH($C$178,"TOTAL_DEBT_1_YEAR_GROWTH","FQ4 2016","FQ4 2016","Currency=INR","Period=FQ","BEST_FPERIOD_OVERRIDE=FQ","FILING_STATUS=OR","EQY_CONSOLIDATED=Y","Sort=A","Dates=H","DateFormat=P","Fill=—","Direction=H","UseDPDF=Y")</f>
        <v>#NAME?</v>
      </c>
      <c r="AI192" s="1" t="e">
        <f ca="1">_xll.BDH($C$178,"TOTAL_EQUITY_1_YEAR_GROWTH","FQ4 2016","FQ4 2016","Currency=INR","Period=FQ","BEST_FPERIOD_OVERRIDE=FQ","FILING_STATUS=OR","EQY_CONSOLIDATED=Y","Sort=A","Dates=H","DateFormat=P","Fill=—","Direction=H","UseDPDF=Y")</f>
        <v>#NAME?</v>
      </c>
      <c r="AJ192" s="1" t="e">
        <f ca="1">_xll.BDH($C$178,"GROWTH_IN_CAP","FQ4 2016","FQ4 2016","Currency=INR","Period=FQ","BEST_FPERIOD_OVERRIDE=FQ","FILING_STATUS=OR","EQY_CONSOLIDATED=Y","Sort=A","Dates=H","DateFormat=P","Fill=—","Direction=H","UseDPDF=Y")</f>
        <v>#NAME?</v>
      </c>
      <c r="AK192" s="1" t="e">
        <f ca="1">_xll.BDH($C$178,"BVPS_GROWTH","FQ4 2016","FQ4 2016","Currency=INR","Period=FQ","BEST_FPERIOD_OVERRIDE=FQ","FILING_STATUS=OR","EQY_CONSOLIDATED=Y","Sort=A","Dates=H","DateFormat=P","Fill=—","Direction=H","UseDPDF=Y")</f>
        <v>#NAME?</v>
      </c>
      <c r="AL192" s="1" t="e">
        <f ca="1">_xll.BDH($C$178,"CASH_FLOW_GROWTH","FQ4 2016","FQ4 2016","Currency=INR","Period=FQ","BEST_FPERIOD_OVERRIDE=FQ","FILING_STATUS=OR","EQY_CONSOLIDATED=Y","Sort=A","Dates=H","DateFormat=P","Fill=—","Direction=H","UseDPDF=Y")</f>
        <v>#NAME?</v>
      </c>
      <c r="AM192" s="1" t="e">
        <f ca="1">_xll.BDH($C$178,"GEO_GROW_NET_SALES","FQ4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92" s="1" t="e">
        <f ca="1">_xll.BDH($C$178,"GEO_GROW_EBITDA","FQ4 2016","FQ4 2016","Currency=INR","Period=FQ","BEST_FPERIOD_OVERRIDE=FQ","FILING_STATUS=OR","EQY_CONSOLIDATED=Y","FA_ADJUSTED=GAAP","Sort=A","Dates=H","DateFormat=P","Fill=—","Direction=H","UseDPDF=Y")</f>
        <v>#NAME?</v>
      </c>
      <c r="AO192" s="1" t="e">
        <f ca="1">_xll.BDH($C$178,"GEO_GROW_OPER_INC","FQ4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92" s="1" t="e">
        <f ca="1">_xll.BDH($C$178,"NET_INCOME_TO_COMMON_5_YR_GROWTH","FQ4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92" s="1" t="e">
        <f ca="1">_xll.BDH($C$178,"5Y_GEO_GROWTH_DILUTED_EPS","FQ4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92" s="1" t="e">
        <f ca="1">_xll.BDH($C$178,"GEO_GROW_DVD_PER_SH","FQ4 2016","FQ4 2016","Currency=INR","Period=FQ","BEST_FPERIOD_OVERRIDE=FQ","FILING_STATUS=OR","EQY_CONSOLIDATED=Y","Sort=A","Dates=H","DateFormat=P","Fill=—","Direction=H","UseDPDF=Y")</f>
        <v>#NAME?</v>
      </c>
      <c r="AS192" s="1" t="e">
        <f ca="1">_xll.BDH($C$178,"ACCOUNTS_RECEIVABLE_5_YR_GROWTH","FQ4 2016","FQ4 2016","Currency=INR","Period=FQ","BEST_FPERIOD_OVERRIDE=FQ","FILING_STATUS=OR","EQY_CONSOLIDATED=Y","Sort=A","Dates=H","DateFormat=P","Fill=—","Direction=H","UseDPDF=Y")</f>
        <v>#NAME?</v>
      </c>
      <c r="AT192" s="1" t="e">
        <f ca="1">_xll.BDH($C$178,"INVENTORY_5_YEAR_GROWTH","FQ4 2016","FQ4 2016","Currency=INR","Period=FQ","BEST_FPERIOD_OVERRIDE=FQ","FILING_STATUS=OR","EQY_CONSOLIDATED=Y","Sort=A","Dates=H","DateFormat=P","Fill=—","Direction=H","UseDPDF=Y")</f>
        <v>#NAME?</v>
      </c>
      <c r="AU192" s="1" t="e">
        <f ca="1">_xll.BDH($C$178,"NET_FIXED_ASSETS_5_YEAR_GROWTH","FQ4 2016","FQ4 2016","Currency=INR","Period=FQ","BEST_FPERIOD_OVERRIDE=FQ","FILING_STATUS=OR","EQY_CONSOLIDATED=Y","Sort=A","Dates=H","DateFormat=P","Fill=—","Direction=H","UseDPDF=Y")</f>
        <v>#NAME?</v>
      </c>
      <c r="AV192" s="1" t="e">
        <f ca="1">_xll.BDH($C$178,"GEO_GROW_TOT_ASSET","FQ4 2016","FQ4 2016","Currency=INR","Period=FQ","BEST_FPERIOD_OVERRIDE=FQ","FILING_STATUS=OR","EQY_CONSOLIDATED=Y","Sort=A","Dates=H","DateFormat=P","Fill=—","Direction=H","UseDPDF=Y")</f>
        <v>#NAME?</v>
      </c>
      <c r="AW192" s="1" t="e">
        <f ca="1">_xll.BDH($C$178,"MODIFIED_WORKING_CPTL_5YR_GRWTH","FQ4 2016","FQ4 2016","Currency=INR","Period=FQ","BEST_FPERIOD_OVERRIDE=FQ","FILING_STATUS=OR","EQY_CONSOLIDATED=Y","Sort=A","Dates=H","DateFormat=P","Fill=—","Direction=H","UseDPDF=Y")</f>
        <v>#NAME?</v>
      </c>
      <c r="AX192" s="1" t="e">
        <f ca="1">_xll.BDH($C$178,"WORKING_CAPITAL_5_YEAR_GROWTH","FQ4 2016","FQ4 2016","Currency=INR","Period=FQ","BEST_FPERIOD_OVERRIDE=FQ","FILING_STATUS=OR","EQY_CONSOLIDATED=Y","Sort=A","Dates=H","DateFormat=P","Fill=—","Direction=H","UseDPDF=Y")</f>
        <v>#NAME?</v>
      </c>
      <c r="AY192" s="1" t="e">
        <f ca="1">_xll.BDH($C$178,"ACCOUNTS_PAYABLE_5_YEAR_GROWTH","FQ4 2016","FQ4 2016","Currency=INR","Period=FQ","BEST_FPERIOD_OVERRIDE=FQ","FILING_STATUS=OR","EQY_CONSOLIDATED=Y","Sort=A","Dates=H","DateFormat=P","Fill=—","Direction=H","UseDPDF=Y")</f>
        <v>#NAME?</v>
      </c>
      <c r="AZ192" s="1" t="e">
        <f ca="1">_xll.BDH($C$178,"SHORT_TERM_DEBT_5_YEAR_GROWTH","FQ4 2016","FQ4 2016","Currency=INR","Period=FQ","BEST_FPERIOD_OVERRIDE=FQ","FILING_STATUS=OR","EQY_CONSOLIDATED=Y","Sort=A","Dates=H","DateFormat=P","Fill=—","Direction=H","UseDPDF=Y")</f>
        <v>#NAME?</v>
      </c>
      <c r="BA192" s="1" t="e">
        <f ca="1">_xll.BDH($C$178,"TOTAL_DEBT_5_YEAR_GROWTH","FQ4 2016","FQ4 2016","Currency=INR","Period=FQ","BEST_FPERIOD_OVERRIDE=FQ","FILING_STATUS=OR","EQY_CONSOLIDATED=Y","Sort=A","Dates=H","DateFormat=P","Fill=—","Direction=H","UseDPDF=Y")</f>
        <v>#NAME?</v>
      </c>
      <c r="BB192" s="1" t="e">
        <f ca="1">_xll.BDH($C$178,"GEO_GROW_TOT_SHRHLDR_EQY","FQ4 2016","FQ4 2016","Currency=INR","Period=FQ","BEST_FPERIOD_OVERRIDE=FQ","FILING_STATUS=OR","EQY_CONSOLIDATED=Y","Sort=A","Dates=H","DateFormat=P","Fill=—","Direction=H","UseDPDF=Y")</f>
        <v>#NAME?</v>
      </c>
      <c r="BC192" s="1" t="e">
        <f ca="1">_xll.BDH($C$178,"TOTAL_CAPITAL_5_YEAR_GROWTH","FQ4 2016","FQ4 2016","Currency=INR","Period=FQ","BEST_FPERIOD_OVERRIDE=FQ","FILING_STATUS=OR","EQY_CONSOLIDATED=Y","Sort=A","Dates=H","DateFormat=P","Fill=—","Direction=H","UseDPDF=Y")</f>
        <v>#NAME?</v>
      </c>
      <c r="BD192" s="1" t="e">
        <f ca="1">_xll.BDH($C$178,"GEO_GROW_BOOK_VAL","FQ4 2016","FQ4 2016","Currency=INR","Period=FQ","BEST_FPERIOD_OVERRIDE=FQ","FILING_STATUS=OR","EQY_CONSOLIDATED=Y","Sort=A","Dates=H","DateFormat=P","Fill=—","Direction=H","UseDPDF=Y")</f>
        <v>#NAME?</v>
      </c>
      <c r="BE192" s="1" t="e">
        <f ca="1">_xll.BDH($C$178,"GEO_GROW_CASH_OPER_ACT","FQ4 2016","FQ4 2016","Currency=INR","Period=FQ","BEST_FPERIOD_OVERRIDE=FQ","FILING_STATUS=OR","EQY_CONSOLIDATED=Y","Sort=A","Dates=H","DateFormat=P","Fill=—","Direction=H","UseDPDF=Y")</f>
        <v>#NAME?</v>
      </c>
      <c r="BF192" s="1" t="e">
        <f ca="1">_xll.BDH($C$178,"REVENUE_SEQUENTIAL_GROWTH","FQ4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92" s="1" t="e">
        <f ca="1">_xll.BDH($C$178,"EBITDA_SEQUENTIAL_GROWTH","FQ4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92" s="1" t="e">
        <f ca="1">_xll.BDH($C$178,"OPERATING_INCOME_SEQ_GROWTH","FQ4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92" s="1" t="e">
        <f ca="1">_xll.BDH($C$178,"NET_INCOME_TO_COMMON_SEQ_GROWTH","FQ4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92" s="1" t="e">
        <f ca="1">_xll.BDH($C$178,"EPS_DILUTED_SEQUENTIAL_GROWTH","FQ4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92" s="1" t="e">
        <f ca="1">_xll.BDH($C$178,"DPS_SEQUENTIAL_GROWTH","FQ4 2016","FQ4 2016","Currency=INR","Period=FQ","BEST_FPERIOD_OVERRIDE=FQ","FILING_STATUS=OR","EQY_CONSOLIDATED=Y","Sort=A","Dates=H","DateFormat=P","Fill=—","Direction=H","UseDPDF=Y")</f>
        <v>#NAME?</v>
      </c>
      <c r="BL192" s="1" t="e">
        <f ca="1">_xll.BDH($C$178,"ACCOUNTS_RECEIVABLE_SEQ_GROWTH","FQ4 2016","FQ4 2016","Currency=INR","Period=FQ","BEST_FPERIOD_OVERRIDE=FQ","FILING_STATUS=OR","EQY_CONSOLIDATED=Y","Sort=A","Dates=H","DateFormat=P","Fill=—","Direction=H","UseDPDF=Y")</f>
        <v>#NAME?</v>
      </c>
      <c r="BM192" s="1" t="e">
        <f ca="1">_xll.BDH($C$178,"INVENTORY_SEQUENTIAL_GROWTH","FQ4 2016","FQ4 2016","Currency=INR","Period=FQ","BEST_FPERIOD_OVERRIDE=FQ","FILING_STATUS=OR","EQY_CONSOLIDATED=Y","Sort=A","Dates=H","DateFormat=P","Fill=—","Direction=H","UseDPDF=Y")</f>
        <v>#NAME?</v>
      </c>
      <c r="BN192" s="1" t="e">
        <f ca="1">_xll.BDH($C$178,"FIXED_ASSETS_SEQUENTIAL_GROWTH","FQ4 2016","FQ4 2016","Currency=INR","Period=FQ","BEST_FPERIOD_OVERRIDE=FQ","FILING_STATUS=OR","EQY_CONSOLIDATED=Y","Sort=A","Dates=H","DateFormat=P","Fill=—","Direction=H","UseDPDF=Y")</f>
        <v>#NAME?</v>
      </c>
      <c r="BO192" s="1" t="e">
        <f ca="1">_xll.BDH($C$178,"TOTAL_ASSETS_SEQUENTIAL_GROWTH","FQ4 2016","FQ4 2016","Currency=INR","Period=FQ","BEST_FPERIOD_OVERRIDE=FQ","FILING_STATUS=OR","EQY_CONSOLIDATED=Y","Sort=A","Dates=H","DateFormat=P","Fill=—","Direction=H","UseDPDF=Y")</f>
        <v>#NAME?</v>
      </c>
      <c r="BP192" s="1" t="e">
        <f ca="1">_xll.BDH($C$178,"MODIFIED_WORKING_CPTL_SEQ_GRWTH","FQ4 2016","FQ4 2016","Currency=INR","Period=FQ","BEST_FPERIOD_OVERRIDE=FQ","FILING_STATUS=OR","EQY_CONSOLIDATED=Y","Sort=A","Dates=H","DateFormat=P","Fill=—","Direction=H","UseDPDF=Y")</f>
        <v>#NAME?</v>
      </c>
      <c r="BQ192" s="1" t="e">
        <f ca="1">_xll.BDH($C$178,"WORKING_CAPITAL_SEQ_GROWTH","FQ4 2016","FQ4 2016","Currency=INR","Period=FQ","BEST_FPERIOD_OVERRIDE=FQ","FILING_STATUS=OR","EQY_CONSOLIDATED=Y","Sort=A","Dates=H","DateFormat=P","Fill=—","Direction=H","UseDPDF=Y")</f>
        <v>#NAME?</v>
      </c>
      <c r="BR192" s="1" t="e">
        <f ca="1">_xll.BDH($C$178,"ACCOUNTS_PAYABLE_SEQ_GROWTH","FQ4 2016","FQ4 2016","Currency=INR","Period=FQ","BEST_FPERIOD_OVERRIDE=FQ","FILING_STATUS=OR","EQY_CONSOLIDATED=Y","Sort=A","Dates=H","DateFormat=P","Fill=—","Direction=H","UseDPDF=Y")</f>
        <v>#NAME?</v>
      </c>
      <c r="BS192" s="1" t="e">
        <f ca="1">_xll.BDH($C$178,"ST_DEBT_SEQUENTIAL_GROWTH","FQ4 2016","FQ4 2016","Currency=INR","Period=FQ","BEST_FPERIOD_OVERRIDE=FQ","FILING_STATUS=OR","EQY_CONSOLIDATED=Y","Sort=A","Dates=H","DateFormat=P","Fill=—","Direction=H","UseDPDF=Y")</f>
        <v>#NAME?</v>
      </c>
      <c r="BT192" s="1" t="e">
        <f ca="1">_xll.BDH($C$178,"TOTAL_DEBT_SEQUENTIAL_GROWTH","FQ4 2016","FQ4 2016","Currency=INR","Period=FQ","BEST_FPERIOD_OVERRIDE=FQ","FILING_STATUS=OR","EQY_CONSOLIDATED=Y","Sort=A","Dates=H","DateFormat=P","Fill=—","Direction=H","UseDPDF=Y")</f>
        <v>#NAME?</v>
      </c>
      <c r="BU192" s="1" t="e">
        <f ca="1">_xll.BDH($C$178,"TOTAL_EQUITY_SEQUENTIAL_GROWTH","FQ4 2016","FQ4 2016","Currency=INR","Period=FQ","BEST_FPERIOD_OVERRIDE=FQ","FILING_STATUS=OR","EQY_CONSOLIDATED=Y","Sort=A","Dates=H","DateFormat=P","Fill=—","Direction=H","UseDPDF=Y")</f>
        <v>#NAME?</v>
      </c>
      <c r="BV192" s="1" t="e">
        <f ca="1">_xll.BDH($C$178,"TOTAL_CAPITAL_SEQUENTIAL_GROWTH","FQ4 2016","FQ4 2016","Currency=INR","Period=FQ","BEST_FPERIOD_OVERRIDE=FQ","FILING_STATUS=OR","EQY_CONSOLIDATED=Y","Sort=A","Dates=H","DateFormat=P","Fill=—","Direction=H","UseDPDF=Y")</f>
        <v>#NAME?</v>
      </c>
      <c r="BW192" s="1" t="e">
        <f ca="1">_xll.BDH($C$178,"BPS_SEQUENTIAL_GROWTH","FQ4 2016","FQ4 2016","Currency=INR","Period=FQ","BEST_FPERIOD_OVERRIDE=FQ","FILING_STATUS=OR","EQY_CONSOLIDATED=Y","Sort=A","Dates=H","DateFormat=P","Fill=—","Direction=H","UseDPDF=Y")</f>
        <v>#NAME?</v>
      </c>
      <c r="BX192" s="1" t="e">
        <f ca="1">_xll.BDH($C$178,"CFO_SEQUENTIAL_GROWTH","FQ4 2016","FQ4 2016","Currency=INR","Period=FQ","BEST_FPERIOD_OVERRIDE=FQ","FILING_STATUS=OR","EQY_CONSOLIDATED=Y","Sort=A","Dates=H","DateFormat=P","Fill=—","Direction=H","UseDPDF=Y")</f>
        <v>#NAME?</v>
      </c>
      <c r="BY192" s="2" t="e">
        <f ca="1">_xll.BDH($C$178,"SHORT_AND_LONG_TERM_DEBT","FQ4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92" s="2" t="e">
        <f ca="1">_xll.BDH($C$178,"BS_ST_BORROW","FQ4 2016","FQ4 2016","Currency=INR","Period=FQ","BEST_FPERIOD_OVERRIDE=FQ","FILING_STATUS=OR","EQY_CONSOLIDATED=Y","SCALING_FORMAT=MLN","Sort=A","Dates=H","DateFormat=P","Fill=—","Direction=H","UseDPDF=Y")</f>
        <v>#NAME?</v>
      </c>
      <c r="CA192" s="2" t="e">
        <f ca="1">_xll.BDH($C$178,"BS_LT_BORROW","FQ4 2016","FQ4 2016","Currency=INR","Period=FQ","BEST_FPERIOD_OVERRIDE=FQ","FILING_STATUS=OR","EQY_CONSOLIDATED=Y","SCALING_FORMAT=MLN","Sort=A","Dates=H","DateFormat=P","Fill=—","Direction=H","UseDPDF=Y")</f>
        <v>#NAME?</v>
      </c>
      <c r="CB192" s="1" t="e">
        <f ca="1">_xll.BDH($C$178,"TOT_DEBT_TO_EBITDA","FQ4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92" s="1" t="e">
        <f ca="1">_xll.BDH($C$178,"NET_DEBT_TO_EBITDA","FQ4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92" s="1" t="e">
        <f ca="1">_xll.BDH($C$178,"TOTAL_DEBT_TO_EBIT","FQ4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92" s="1" t="e">
        <f ca="1">_xll.BDH($C$178,"NET_DEBT_TO_EBIT","FQ4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192" s="1" t="e">
        <f ca="1">_xll.BDH($C$178,"EBITDA_TO_INTEREST_EXPN","FQ4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92" s="1" t="e">
        <f ca="1">_xll.BDH($C$178,"COM_EQY_TO_TOT_ASSET","FQ4 2016","FQ4 2016","Currency=INR","Period=FQ","BEST_FPERIOD_OVERRIDE=FQ","FILING_STATUS=OR","EQY_CONSOLIDATED=Y","Sort=A","Dates=H","DateFormat=P","Fill=—","Direction=H","UseDPDF=Y")</f>
        <v>#NAME?</v>
      </c>
      <c r="CH192" s="1" t="e">
        <f ca="1">_xll.BDH($C$178,"LT_DEBT_TO_TOT_EQY","FQ4 2016","FQ4 2016","Currency=INR","Period=FQ","BEST_FPERIOD_OVERRIDE=FQ","FILING_STATUS=OR","EQY_CONSOLIDATED=Y","Sort=A","Dates=H","DateFormat=P","Fill=—","Direction=H","UseDPDF=Y")</f>
        <v>#NAME?</v>
      </c>
      <c r="CI192" s="1" t="e">
        <f ca="1">_xll.BDH($C$178,"LT_DEBT_TO_TOT_CAP","FQ4 2016","FQ4 2016","Currency=INR","Period=FQ","BEST_FPERIOD_OVERRIDE=FQ","FILING_STATUS=OR","EQY_CONSOLIDATED=Y","Sort=A","Dates=H","DateFormat=P","Fill=—","Direction=H","UseDPDF=Y")</f>
        <v>#NAME?</v>
      </c>
      <c r="CJ192" s="1" t="e">
        <f ca="1">_xll.BDH($C$178,"LT_DEBT_TO_TOT_ASSET","FQ4 2016","FQ4 2016","Currency=INR","Period=FQ","BEST_FPERIOD_OVERRIDE=FQ","FILING_STATUS=OR","EQY_CONSOLIDATED=Y","Sort=A","Dates=H","DateFormat=P","Fill=—","Direction=H","UseDPDF=Y")</f>
        <v>#NAME?</v>
      </c>
      <c r="CK192" s="1" t="e">
        <f ca="1">_xll.BDH($C$178,"TOT_DEBT_TO_TOT_EQY","FQ4 2016","FQ4 2016","Currency=INR","Period=FQ","BEST_FPERIOD_OVERRIDE=FQ","FILING_STATUS=OR","EQY_CONSOLIDATED=Y","Sort=A","Dates=H","DateFormat=P","Fill=—","Direction=H","UseDPDF=Y")</f>
        <v>#NAME?</v>
      </c>
      <c r="CL192" s="1" t="e">
        <f ca="1">_xll.BDH($C$178,"TOT_DEBT_TO_TOT_CAP","FQ4 2016","FQ4 2016","Currency=INR","Period=FQ","BEST_FPERIOD_OVERRIDE=FQ","FILING_STATUS=OR","EQY_CONSOLIDATED=Y","Sort=A","Dates=H","DateFormat=P","Fill=—","Direction=H","UseDPDF=Y")</f>
        <v>#NAME?</v>
      </c>
      <c r="CM192" s="1" t="e">
        <f ca="1">_xll.BDH($C$178,"TOT_DEBT_TO_TOT_ASSET","FQ4 2016","FQ4 2016","Currency=INR","Period=FQ","BEST_FPERIOD_OVERRIDE=FQ","FILING_STATUS=OR","EQY_CONSOLIDATED=Y","Sort=A","Dates=H","DateFormat=P","Fill=—","Direction=H","UseDPDF=Y")</f>
        <v>#NAME?</v>
      </c>
      <c r="CN192" s="1" t="e">
        <f ca="1">_xll.BDH($C$178,"NET_DEBT_TO_SHRHLDR_EQTY","FQ4 2016","FQ4 2016","Currency=INR","Period=FQ","BEST_FPERIOD_OVERRIDE=FQ","FILING_STATUS=OR","EQY_CONSOLIDATED=Y","Sort=A","Dates=H","DateFormat=P","Fill=—","Direction=H","UseDPDF=Y")</f>
        <v>#NAME?</v>
      </c>
      <c r="CO192" s="1" t="e">
        <f ca="1">_xll.BDH($C$178,"NET_DEBT_%_CAPITAL","FQ4 2016","FQ4 2016","Currency=INR","Period=FQ","BEST_FPERIOD_OVERRIDE=FQ","FILING_STATUS=OR","EQY_CONSOLIDATED=Y","Sort=A","Dates=H","DateFormat=P","Fill=—","Direction=H","UseDPDF=Y")</f>
        <v>#NAME?</v>
      </c>
      <c r="CP192" s="2" t="e">
        <f ca="1">_xll.BDH($C$178,"EBITDA","FQ4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92" s="2" t="e">
        <f ca="1">_xll.BDH($C$178,"EBITDA_AFTER_CAPEX","FQ4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92" s="2" t="e">
        <f ca="1">_xll.BDH($C$178,"IS_OPER_INC","FQ4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92" s="1" t="e">
        <f ca="1">_xll.BDH($C$178,"CASH_RATIO","FQ4 2016","FQ4 2016","Currency=INR","Period=FQ","BEST_FPERIOD_OVERRIDE=FQ","FILING_STATUS=OR","EQY_CONSOLIDATED=Y","Sort=A","Dates=H","DateFormat=P","Fill=—","Direction=H","UseDPDF=Y")</f>
        <v>#NAME?</v>
      </c>
      <c r="CT192" s="1" t="e">
        <f ca="1">_xll.BDH($C$178,"CUR_RATIO","FQ4 2016","FQ4 2016","Currency=INR","Period=FQ","BEST_FPERIOD_OVERRIDE=FQ","FILING_STATUS=OR","EQY_CONSOLIDATED=Y","Sort=A","Dates=H","DateFormat=P","Fill=—","Direction=H","UseDPDF=Y")</f>
        <v>#NAME?</v>
      </c>
      <c r="CU192" s="1" t="e">
        <f ca="1">_xll.BDH($C$178,"QUICK_RATIO","FQ4 2016","FQ4 2016","Currency=INR","Period=FQ","BEST_FPERIOD_OVERRIDE=FQ","FILING_STATUS=OR","EQY_CONSOLIDATED=Y","Sort=A","Dates=H","DateFormat=P","Fill=—","Direction=H","UseDPDF=Y")</f>
        <v>#NAME?</v>
      </c>
      <c r="CV192" s="1" t="e">
        <f ca="1">_xll.BDH($C$178,"ALTMAN_Z_SCORE","FQ4 2016","FQ4 2016","Currency=INR","Period=FQ","BEST_FPERIOD_OVERRIDE=FQ","FILING_STATUS=OR","EQY_CONSOLIDATED=Y","Sort=A","Dates=H","DateFormat=P","Fill=—","Direction=H","UseDPDF=Y")</f>
        <v>#NAME?</v>
      </c>
      <c r="CW192" s="3" t="e">
        <f ca="1">_xll.BDH($C$178,"ACCT_RCV_TURN","FQ4 2016","FQ4 2016","Currency=INR","Period=FQ","BEST_FPERIOD_OVERRIDE=FQ","FILING_STATUS=OR","EQY_CONSOLIDATED=Y","FA_ADJUSTED=GAAP","Sort=A","Dates=H","DateFormat=P","Fill=—","Direction=H","UseDPDF=Y")</f>
        <v>#NAME?</v>
      </c>
      <c r="CX192" s="1" t="e">
        <f ca="1">_xll.BDH($C$178,"ACCT_RCV_DAYS","FQ4 2016","FQ4 2016","Currency=INR","Period=FQ","BEST_FPERIOD_OVERRIDE=FQ","FILING_STATUS=OR","EQY_CONSOLIDATED=Y","FA_ADJUSTED=GAAP","Sort=A","Dates=H","DateFormat=P","Fill=—","Direction=H","UseDPDF=Y")</f>
        <v>#NAME?</v>
      </c>
      <c r="CY192" s="3" t="e">
        <f ca="1">_xll.BDH($C$178,"INVENT_TURN","FQ4 2016","FQ4 2016","Currency=INR","Period=FQ","BEST_FPERIOD_OVERRIDE=FQ","FILING_STATUS=OR","EQY_CONSOLIDATED=Y","FA_ADJUSTED=GAAP","Sort=A","Dates=H","DateFormat=P","Fill=—","Direction=H","UseDPDF=Y")</f>
        <v>#NAME?</v>
      </c>
      <c r="CZ192" s="1" t="e">
        <f ca="1">_xll.BDH($C$178,"INVENT_DAYS","FQ4 2016","FQ4 2016","Currency=INR","Period=FQ","BEST_FPERIOD_OVERRIDE=FQ","FILING_STATUS=OR","EQY_CONSOLIDATED=Y","FA_ADJUSTED=GAAP","Sort=A","Dates=H","DateFormat=P","Fill=—","Direction=H","UseDPDF=Y")</f>
        <v>#NAME?</v>
      </c>
      <c r="DA192" s="3" t="e">
        <f ca="1">_xll.BDH($C$178,"ACCOUNTS_PAYABLE_TURNOVER","FQ4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92" s="1" t="e">
        <f ca="1">_xll.BDH($C$178,"ACCOUNTS_PAYABLE_TURNOVER_DAYS","FQ4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92" s="3" t="e">
        <f ca="1">_xll.BDH($C$178,"CASH_CONVERSION_CYCLE","FQ4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92" s="3" t="e">
        <f ca="1">_xll.BDH($C$178,"INV_TO_CASH_DAYS","FQ4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192" s="4" t="e">
        <f ca="1">_xll.BDH($C$178,"BS_INVENTORIES","FQ4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192" s="2" t="e">
        <f ca="1">_xll.BDH($C$178,"INVTRY_RAW_MATERIALS","FQ4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92" s="2" t="e">
        <f ca="1">_xll.BDH($C$178,"INVTRY_IN_PROGRESS","FQ4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92" s="2" t="e">
        <f ca="1">_xll.BDH($C$178,"INVTRY_FINISHED_GOODS","FQ4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92" s="2" t="e">
        <f ca="1">_xll.BDH($C$178,"BS_OTHER_INV","FQ4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93" spans="1:113" x14ac:dyDescent="0.3">
      <c r="A193" s="6"/>
      <c r="B193" s="6"/>
      <c r="C193" s="6"/>
      <c r="D193" s="6" t="s">
        <v>10</v>
      </c>
      <c r="E193" t="s">
        <v>3</v>
      </c>
      <c r="F193" t="e">
        <f ca="1">_xll.BDH($C$178,"RETURN_COM_EQY","FY 2017","FY 2017","Currency=INR","Period=FY","BEST_FPERIOD_OVERRIDE=FY","FILING_STATUS=OR","EQY_CONSOLIDATED=Y","FA_ADJUSTED=GAAP","Sort=A","Dates=H","DateFormat=P","Fill=—","Direction=H","UseDPDF=Y")</f>
        <v>#NAME?</v>
      </c>
      <c r="G193" t="e">
        <f ca="1">_xll.BDH($C$178,"RETURN_ON_ASSET","FY 2017","FY 2017","Currency=INR","Period=FY","BEST_FPERIOD_OVERRIDE=FY","FILING_STATUS=OR","EQY_CONSOLIDATED=Y","FA_ADJUSTED=GAAP","Sort=A","Dates=H","DateFormat=P","Fill=—","Direction=H","UseDPDF=Y")</f>
        <v>#NAME?</v>
      </c>
      <c r="H193" t="e">
        <f ca="1">_xll.BDH($C$178,"RETURN_ON_CAP","FY 2017","FY 2017","Currency=INR","Period=FY","BEST_FPERIOD_OVERRIDE=FY","FILING_STATUS=OR","EQY_CONSOLIDATED=Y","FA_ADJUSTED=GAAP","Sort=A","Dates=H","DateFormat=P","Fill=—","Direction=H","UseDPDF=Y")</f>
        <v>#NAME?</v>
      </c>
      <c r="I193" t="e">
        <f ca="1">_xll.BDH($C$178,"RETURN_ON_INV_CAPITAL","FY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93" t="e">
        <f ca="1">_xll.BDH($C$178,"EBITDA_TO_REVENUE","FY 2017","FY 2017","Currency=INR","Period=FY","BEST_FPERIOD_OVERRIDE=FY","FILING_STATUS=OR","EQY_CONSOLIDATED=Y","FA_ADJUSTED=GAAP","Sort=A","Dates=H","DateFormat=P","Fill=—","Direction=H","UseDPDF=Y")</f>
        <v>#NAME?</v>
      </c>
      <c r="K193" t="e">
        <f ca="1">_xll.BDH($C$178,"OPER_MARGIN","FY 2017","FY 2017","Currency=INR","Period=FY","BEST_FPERIOD_OVERRIDE=FY","FILING_STATUS=OR","EQY_CONSOLIDATED=Y","FA_ADJUSTED=GAAP","Sort=A","Dates=H","DateFormat=P","Fill=—","Direction=H","UseDPDF=Y")</f>
        <v>#NAME?</v>
      </c>
      <c r="L193" t="e">
        <f ca="1">_xll.BDH($C$178,"INCREMENTAL_OPERATING_MARGIN","FY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93" t="e">
        <f ca="1">_xll.BDH($C$178,"PRETAX_INC_TO_NET_SALES","FY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93" t="e">
        <f ca="1">_xll.BDH($C$178,"INC_BEF_XO_ITEMS_TO_NET_SALES","FY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93" t="e">
        <f ca="1">_xll.BDH($C$178,"PROF_MARGIN","FY 2017","FY 2017","Currency=INR","Period=FY","BEST_FPERIOD_OVERRIDE=FY","FILING_STATUS=OR","EQY_CONSOLIDATED=Y","FA_ADJUSTED=GAAP","Sort=A","Dates=H","DateFormat=P","Fill=—","Direction=H","UseDPDF=Y")</f>
        <v>#NAME?</v>
      </c>
      <c r="P193" t="e">
        <f ca="1">_xll.BDH($C$178,"NET_INCOME_TO_COMMON_MARGIN","FY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93" t="e">
        <f ca="1">_xll.BDH($C$178,"EFF_TAX_RATE","FY 2017","FY 2017","Currency=INR","Period=FY","BEST_FPERIOD_OVERRIDE=FY","FILING_STATUS=OR","EQY_CONSOLIDATED=Y","FA_ADJUSTED=GAAP","Sort=A","Dates=H","DateFormat=P","Fill=—","Direction=H","UseDPDF=Y")</f>
        <v>#NAME?</v>
      </c>
      <c r="R193" t="e">
        <f ca="1">_xll.BDH($C$178,"DVD_PAYOUT_RATIO","FY 2017","FY 2017","Currency=INR","Period=FY","BEST_FPERIOD_OVERRIDE=FY","FILING_STATUS=OR","EQY_CONSOLIDATED=Y","FA_ADJUSTED=GAAP","Sort=A","Dates=H","DateFormat=P","Fill=—","Direction=H","UseDPDF=Y")</f>
        <v>#NAME?</v>
      </c>
      <c r="S193" t="e">
        <f ca="1">_xll.BDH($C$178,"SUSTAIN_GROWTH_RT","FY 2017","FY 2017","Currency=INR","Period=FY","BEST_FPERIOD_OVERRIDE=FY","FILING_STATUS=OR","EQY_CONSOLIDATED=Y","FA_ADJUSTED=GAAP","Sort=A","Dates=H","DateFormat=P","Fill=—","Direction=H","UseDPDF=Y")</f>
        <v>#NAME?</v>
      </c>
      <c r="T193" s="1" t="e">
        <f ca="1">_xll.BDH($C$178,"SALES_GROWTH","FY 2017","FY 2017","Currency=INR","Period=FY","BEST_FPERIOD_OVERRIDE=FY","FILING_STATUS=OR","EQY_CONSOLIDATED=Y","FA_ADJUSTED=GAAP","Sort=A","Dates=H","DateFormat=P","Fill=—","Direction=H","UseDPDF=Y")</f>
        <v>#NAME?</v>
      </c>
      <c r="U193" s="1" t="e">
        <f ca="1">_xll.BDH($C$178,"EBITDA_GROWTH","FY 2017","FY 2017","Currency=INR","Period=FY","BEST_FPERIOD_OVERRIDE=FY","FILING_STATUS=OR","EQY_CONSOLIDATED=Y","FA_ADJUSTED=GAAP","Sort=A","Dates=H","DateFormat=P","Fill=—","Direction=H","UseDPDF=Y")</f>
        <v>#NAME?</v>
      </c>
      <c r="V193" s="1" t="e">
        <f ca="1">_xll.BDH($C$178,"OPER_INC_GROWTH","FY 2017","FY 2017","Currency=INR","Period=FY","BEST_FPERIOD_OVERRIDE=FY","FILING_STATUS=OR","EQY_CONSOLIDATED=Y","FA_ADJUSTED=GAAP","Sort=A","Dates=H","DateFormat=P","Fill=—","Direction=H","UseDPDF=Y")</f>
        <v>#NAME?</v>
      </c>
      <c r="W193" s="1" t="e">
        <f ca="1">_xll.BDH($C$178,"EARN_FOR_COM_GROWTH","FY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193" s="1" t="e">
        <f ca="1">_xll.BDH($C$178,"DILUTED_EPS_AFT_XO_ITEMS_GROWTH","FY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93" s="1" t="e">
        <f ca="1">_xll.BDH($C$178,"DIVIDEND_PER_SHARE_1_YEAR_GROWTH","FY 2017","FY 2017","Currency=INR","Period=FY","BEST_FPERIOD_OVERRIDE=FY","FILING_STATUS=OR","EQY_CONSOLIDATED=Y","Sort=A","Dates=H","DateFormat=P","Fill=—","Direction=H","UseDPDF=Y")</f>
        <v>#NAME?</v>
      </c>
      <c r="Z193" s="1" t="e">
        <f ca="1">_xll.BDH($C$178,"ACCOUNTS_RECEIVABLE_GROWTH","FY 2017","FY 2017","Currency=INR","Period=FY","BEST_FPERIOD_OVERRIDE=FY","FILING_STATUS=OR","EQY_CONSOLIDATED=Y","Sort=A","Dates=H","DateFormat=P","Fill=—","Direction=H","UseDPDF=Y")</f>
        <v>#NAME?</v>
      </c>
      <c r="AA193" s="1" t="e">
        <f ca="1">_xll.BDH($C$178,"INVENTORY_GROWTH","FY 2017","FY 2017","Currency=INR","Period=FY","BEST_FPERIOD_OVERRIDE=FY","FILING_STATUS=OR","EQY_CONSOLIDATED=Y","Sort=A","Dates=H","DateFormat=P","Fill=—","Direction=H","UseDPDF=Y")</f>
        <v>#NAME?</v>
      </c>
      <c r="AB193" s="1" t="e">
        <f ca="1">_xll.BDH($C$178,"NET_FIXED_ASSETS_1_YEAR_GROWTH","FY 2017","FY 2017","Currency=INR","Period=FY","BEST_FPERIOD_OVERRIDE=FY","FILING_STATUS=OR","EQY_CONSOLIDATED=Y","Sort=A","Dates=H","DateFormat=P","Fill=—","Direction=H","UseDPDF=Y")</f>
        <v>#NAME?</v>
      </c>
      <c r="AC193" s="1" t="e">
        <f ca="1">_xll.BDH($C$178,"ASSET_GROWTH","FY 2017","FY 2017","Currency=INR","Period=FY","BEST_FPERIOD_OVERRIDE=FY","FILING_STATUS=OR","EQY_CONSOLIDATED=Y","Sort=A","Dates=H","DateFormat=P","Fill=—","Direction=H","UseDPDF=Y")</f>
        <v>#NAME?</v>
      </c>
      <c r="AD193" s="1" t="e">
        <f ca="1">_xll.BDH($C$178,"MODIFIED_WORK_CAP_GROWTH","FY 2017","FY 2017","Currency=INR","Period=FY","BEST_FPERIOD_OVERRIDE=FY","FILING_STATUS=OR","EQY_CONSOLIDATED=Y","Sort=A","Dates=H","DateFormat=P","Fill=—","Direction=H","UseDPDF=Y")</f>
        <v>#NAME?</v>
      </c>
      <c r="AE193" s="1" t="e">
        <f ca="1">_xll.BDH($C$178,"WORK_CAP_GROWTH","FY 2017","FY 2017","Currency=INR","Period=FY","BEST_FPERIOD_OVERRIDE=FY","FILING_STATUS=OR","EQY_CONSOLIDATED=Y","Sort=A","Dates=H","DateFormat=P","Fill=—","Direction=H","UseDPDF=Y")</f>
        <v>#NAME?</v>
      </c>
      <c r="AF193" s="1" t="e">
        <f ca="1">_xll.BDH($C$178,"ACCOUNTS_PAYABLE_GROWTH_1YR","FY 2017","FY 2017","Currency=INR","Period=FY","BEST_FPERIOD_OVERRIDE=FY","FILING_STATUS=OR","EQY_CONSOLIDATED=Y","Sort=A","Dates=H","DateFormat=P","Fill=—","Direction=H","UseDPDF=Y")</f>
        <v>#NAME?</v>
      </c>
      <c r="AG193" s="1" t="e">
        <f ca="1">_xll.BDH($C$178,"SHORT_TERM_DEBT_1_YEAR_GROWTH","FY 2017","FY 2017","Currency=INR","Period=FY","BEST_FPERIOD_OVERRIDE=FY","FILING_STATUS=OR","EQY_CONSOLIDATED=Y","Sort=A","Dates=H","DateFormat=P","Fill=—","Direction=H","UseDPDF=Y")</f>
        <v>#NAME?</v>
      </c>
      <c r="AH193" s="1" t="e">
        <f ca="1">_xll.BDH($C$178,"TOTAL_DEBT_1_YEAR_GROWTH","FY 2017","FY 2017","Currency=INR","Period=FY","BEST_FPERIOD_OVERRIDE=FY","FILING_STATUS=OR","EQY_CONSOLIDATED=Y","Sort=A","Dates=H","DateFormat=P","Fill=—","Direction=H","UseDPDF=Y")</f>
        <v>#NAME?</v>
      </c>
      <c r="AI193" s="1" t="e">
        <f ca="1">_xll.BDH($C$178,"TOTAL_EQUITY_1_YEAR_GROWTH","FY 2017","FY 2017","Currency=INR","Period=FY","BEST_FPERIOD_OVERRIDE=FY","FILING_STATUS=OR","EQY_CONSOLIDATED=Y","Sort=A","Dates=H","DateFormat=P","Fill=—","Direction=H","UseDPDF=Y")</f>
        <v>#NAME?</v>
      </c>
      <c r="AJ193" s="1" t="e">
        <f ca="1">_xll.BDH($C$178,"GROWTH_IN_CAP","FY 2017","FY 2017","Currency=INR","Period=FY","BEST_FPERIOD_OVERRIDE=FY","FILING_STATUS=OR","EQY_CONSOLIDATED=Y","Sort=A","Dates=H","DateFormat=P","Fill=—","Direction=H","UseDPDF=Y")</f>
        <v>#NAME?</v>
      </c>
      <c r="AK193" s="1" t="e">
        <f ca="1">_xll.BDH($C$178,"BVPS_GROWTH","FY 2017","FY 2017","Currency=INR","Period=FY","BEST_FPERIOD_OVERRIDE=FY","FILING_STATUS=OR","EQY_CONSOLIDATED=Y","Sort=A","Dates=H","DateFormat=P","Fill=—","Direction=H","UseDPDF=Y")</f>
        <v>#NAME?</v>
      </c>
      <c r="AL193" s="1" t="e">
        <f ca="1">_xll.BDH($C$178,"CASH_FLOW_GROWTH","FY 2017","FY 2017","Currency=INR","Period=FY","BEST_FPERIOD_OVERRIDE=FY","FILING_STATUS=OR","EQY_CONSOLIDATED=Y","Sort=A","Dates=H","DateFormat=P","Fill=—","Direction=H","UseDPDF=Y")</f>
        <v>#NAME?</v>
      </c>
      <c r="AM193" s="1" t="e">
        <f ca="1">_xll.BDH($C$178,"GEO_GROW_NET_SALES","FY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193" s="1" t="e">
        <f ca="1">_xll.BDH($C$178,"GEO_GROW_EBITDA","FY 2017","FY 2017","Currency=INR","Period=FY","BEST_FPERIOD_OVERRIDE=FY","FILING_STATUS=OR","EQY_CONSOLIDATED=Y","FA_ADJUSTED=GAAP","Sort=A","Dates=H","DateFormat=P","Fill=—","Direction=H","UseDPDF=Y")</f>
        <v>#NAME?</v>
      </c>
      <c r="AO193" s="1" t="e">
        <f ca="1">_xll.BDH($C$178,"GEO_GROW_OPER_INC","FY 2017","FY 2017","Currency=INR","Period=FY","BEST_FPERIOD_OVERRIDE=FY","FILING_STATUS=OR","EQY_CONSOLIDATED=Y","FA_ADJUSTED=GAAP","Sort=A","Dates=H","DateFormat=P","Fill=—","Direction=H","UseDPDF=Y")</f>
        <v>#NAME?</v>
      </c>
      <c r="AP193" s="1" t="e">
        <f ca="1">_xll.BDH($C$178,"NET_INCOME_TO_COMMON_5_YR_GROWTH","FY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93" s="1" t="e">
        <f ca="1">_xll.BDH($C$178,"5Y_GEO_GROWTH_DILUTED_EPS","FY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93" s="1" t="e">
        <f ca="1">_xll.BDH($C$178,"GEO_GROW_DVD_PER_SH","FY 2017","FY 2017","Currency=INR","Period=FY","BEST_FPERIOD_OVERRIDE=FY","FILING_STATUS=OR","EQY_CONSOLIDATED=Y","Sort=A","Dates=H","DateFormat=P","Fill=—","Direction=H","UseDPDF=Y")</f>
        <v>#NAME?</v>
      </c>
      <c r="AS193" s="1" t="e">
        <f ca="1">_xll.BDH($C$178,"ACCOUNTS_RECEIVABLE_5_YR_GROWTH","FY 2017","FY 2017","Currency=INR","Period=FY","BEST_FPERIOD_OVERRIDE=FY","FILING_STATUS=OR","EQY_CONSOLIDATED=Y","Sort=A","Dates=H","DateFormat=P","Fill=—","Direction=H","UseDPDF=Y")</f>
        <v>#NAME?</v>
      </c>
      <c r="AT193" s="1" t="e">
        <f ca="1">_xll.BDH($C$178,"INVENTORY_5_YEAR_GROWTH","FY 2017","FY 2017","Currency=INR","Period=FY","BEST_FPERIOD_OVERRIDE=FY","FILING_STATUS=OR","EQY_CONSOLIDATED=Y","Sort=A","Dates=H","DateFormat=P","Fill=—","Direction=H","UseDPDF=Y")</f>
        <v>#NAME?</v>
      </c>
      <c r="AU193" s="1" t="e">
        <f ca="1">_xll.BDH($C$178,"NET_FIXED_ASSETS_5_YEAR_GROWTH","FY 2017","FY 2017","Currency=INR","Period=FY","BEST_FPERIOD_OVERRIDE=FY","FILING_STATUS=OR","EQY_CONSOLIDATED=Y","Sort=A","Dates=H","DateFormat=P","Fill=—","Direction=H","UseDPDF=Y")</f>
        <v>#NAME?</v>
      </c>
      <c r="AV193" s="1" t="e">
        <f ca="1">_xll.BDH($C$178,"GEO_GROW_TOT_ASSET","FY 2017","FY 2017","Currency=INR","Period=FY","BEST_FPERIOD_OVERRIDE=FY","FILING_STATUS=OR","EQY_CONSOLIDATED=Y","Sort=A","Dates=H","DateFormat=P","Fill=—","Direction=H","UseDPDF=Y")</f>
        <v>#NAME?</v>
      </c>
      <c r="AW193" s="1" t="e">
        <f ca="1">_xll.BDH($C$178,"MODIFIED_WORKING_CPTL_5YR_GRWTH","FY 2017","FY 2017","Currency=INR","Period=FY","BEST_FPERIOD_OVERRIDE=FY","FILING_STATUS=OR","EQY_CONSOLIDATED=Y","Sort=A","Dates=H","DateFormat=P","Fill=—","Direction=H","UseDPDF=Y")</f>
        <v>#NAME?</v>
      </c>
      <c r="AX193" s="1" t="e">
        <f ca="1">_xll.BDH($C$178,"WORKING_CAPITAL_5_YEAR_GROWTH","FY 2017","FY 2017","Currency=INR","Period=FY","BEST_FPERIOD_OVERRIDE=FY","FILING_STATUS=OR","EQY_CONSOLIDATED=Y","Sort=A","Dates=H","DateFormat=P","Fill=—","Direction=H","UseDPDF=Y")</f>
        <v>#NAME?</v>
      </c>
      <c r="AY193" s="1" t="e">
        <f ca="1">_xll.BDH($C$178,"ACCOUNTS_PAYABLE_5_YEAR_GROWTH","FY 2017","FY 2017","Currency=INR","Period=FY","BEST_FPERIOD_OVERRIDE=FY","FILING_STATUS=OR","EQY_CONSOLIDATED=Y","Sort=A","Dates=H","DateFormat=P","Fill=—","Direction=H","UseDPDF=Y")</f>
        <v>#NAME?</v>
      </c>
      <c r="AZ193" s="1" t="e">
        <f ca="1">_xll.BDH($C$178,"SHORT_TERM_DEBT_5_YEAR_GROWTH","FY 2017","FY 2017","Currency=INR","Period=FY","BEST_FPERIOD_OVERRIDE=FY","FILING_STATUS=OR","EQY_CONSOLIDATED=Y","Sort=A","Dates=H","DateFormat=P","Fill=—","Direction=H","UseDPDF=Y")</f>
        <v>#NAME?</v>
      </c>
      <c r="BA193" s="1" t="e">
        <f ca="1">_xll.BDH($C$178,"TOTAL_DEBT_5_YEAR_GROWTH","FY 2017","FY 2017","Currency=INR","Period=FY","BEST_FPERIOD_OVERRIDE=FY","FILING_STATUS=OR","EQY_CONSOLIDATED=Y","Sort=A","Dates=H","DateFormat=P","Fill=—","Direction=H","UseDPDF=Y")</f>
        <v>#NAME?</v>
      </c>
      <c r="BB193" s="1" t="e">
        <f ca="1">_xll.BDH($C$178,"GEO_GROW_TOT_SHRHLDR_EQY","FY 2017","FY 2017","Currency=INR","Period=FY","BEST_FPERIOD_OVERRIDE=FY","FILING_STATUS=OR","EQY_CONSOLIDATED=Y","Sort=A","Dates=H","DateFormat=P","Fill=—","Direction=H","UseDPDF=Y")</f>
        <v>#NAME?</v>
      </c>
      <c r="BC193" s="1" t="e">
        <f ca="1">_xll.BDH($C$178,"TOTAL_CAPITAL_5_YEAR_GROWTH","FY 2017","FY 2017","Currency=INR","Period=FY","BEST_FPERIOD_OVERRIDE=FY","FILING_STATUS=OR","EQY_CONSOLIDATED=Y","Sort=A","Dates=H","DateFormat=P","Fill=—","Direction=H","UseDPDF=Y")</f>
        <v>#NAME?</v>
      </c>
      <c r="BD193" s="1" t="e">
        <f ca="1">_xll.BDH($C$178,"GEO_GROW_BOOK_VAL","FY 2017","FY 2017","Currency=INR","Period=FY","BEST_FPERIOD_OVERRIDE=FY","FILING_STATUS=OR","EQY_CONSOLIDATED=Y","Sort=A","Dates=H","DateFormat=P","Fill=—","Direction=H","UseDPDF=Y")</f>
        <v>#NAME?</v>
      </c>
      <c r="BE193" s="1" t="e">
        <f ca="1">_xll.BDH($C$178,"GEO_GROW_CASH_OPER_ACT","FY 2017","FY 2017","Currency=INR","Period=FY","BEST_FPERIOD_OVERRIDE=FY","FILING_STATUS=OR","EQY_CONSOLIDATED=Y","Sort=A","Dates=H","DateFormat=P","Fill=—","Direction=H","UseDPDF=Y")</f>
        <v>#NAME?</v>
      </c>
      <c r="BF193" s="1" t="e">
        <f ca="1">_xll.BDH($C$178,"REVENUE_SEQUENTIAL_GROWTH","FY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93" s="1" t="e">
        <f ca="1">_xll.BDH($C$178,"EBITDA_SEQUENTIAL_GROWTH","FY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93" s="1" t="e">
        <f ca="1">_xll.BDH($C$178,"OPERATING_INCOME_SEQ_GROWTH","FY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93" s="1" t="e">
        <f ca="1">_xll.BDH($C$178,"NET_INCOME_TO_COMMON_SEQ_GROWTH","FY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93" s="1" t="e">
        <f ca="1">_xll.BDH($C$178,"EPS_DILUTED_SEQUENTIAL_GROWTH","FY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93" s="1" t="e">
        <f ca="1">_xll.BDH($C$178,"DPS_SEQUENTIAL_GROWTH","FY 2017","FY 2017","Currency=INR","Period=FY","BEST_FPERIOD_OVERRIDE=FY","FILING_STATUS=OR","EQY_CONSOLIDATED=Y","Sort=A","Dates=H","DateFormat=P","Fill=—","Direction=H","UseDPDF=Y")</f>
        <v>#NAME?</v>
      </c>
      <c r="BL193" s="1" t="e">
        <f ca="1">_xll.BDH($C$178,"ACCOUNTS_RECEIVABLE_SEQ_GROWTH","FY 2017","FY 2017","Currency=INR","Period=FY","BEST_FPERIOD_OVERRIDE=FY","FILING_STATUS=OR","EQY_CONSOLIDATED=Y","Sort=A","Dates=H","DateFormat=P","Fill=—","Direction=H","UseDPDF=Y")</f>
        <v>#NAME?</v>
      </c>
      <c r="BM193" s="1" t="e">
        <f ca="1">_xll.BDH($C$178,"INVENTORY_SEQUENTIAL_GROWTH","FY 2017","FY 2017","Currency=INR","Period=FY","BEST_FPERIOD_OVERRIDE=FY","FILING_STATUS=OR","EQY_CONSOLIDATED=Y","Sort=A","Dates=H","DateFormat=P","Fill=—","Direction=H","UseDPDF=Y")</f>
        <v>#NAME?</v>
      </c>
      <c r="BN193" s="1" t="e">
        <f ca="1">_xll.BDH($C$178,"FIXED_ASSETS_SEQUENTIAL_GROWTH","FY 2017","FY 2017","Currency=INR","Period=FY","BEST_FPERIOD_OVERRIDE=FY","FILING_STATUS=OR","EQY_CONSOLIDATED=Y","Sort=A","Dates=H","DateFormat=P","Fill=—","Direction=H","UseDPDF=Y")</f>
        <v>#NAME?</v>
      </c>
      <c r="BO193" s="1" t="e">
        <f ca="1">_xll.BDH($C$178,"TOTAL_ASSETS_SEQUENTIAL_GROWTH","FY 2017","FY 2017","Currency=INR","Period=FY","BEST_FPERIOD_OVERRIDE=FY","FILING_STATUS=OR","EQY_CONSOLIDATED=Y","Sort=A","Dates=H","DateFormat=P","Fill=—","Direction=H","UseDPDF=Y")</f>
        <v>#NAME?</v>
      </c>
      <c r="BP193" s="1" t="e">
        <f ca="1">_xll.BDH($C$178,"MODIFIED_WORKING_CPTL_SEQ_GRWTH","FY 2017","FY 2017","Currency=INR","Period=FY","BEST_FPERIOD_OVERRIDE=FY","FILING_STATUS=OR","EQY_CONSOLIDATED=Y","Sort=A","Dates=H","DateFormat=P","Fill=—","Direction=H","UseDPDF=Y")</f>
        <v>#NAME?</v>
      </c>
      <c r="BQ193" s="1" t="e">
        <f ca="1">_xll.BDH($C$178,"WORKING_CAPITAL_SEQ_GROWTH","FY 2017","FY 2017","Currency=INR","Period=FY","BEST_FPERIOD_OVERRIDE=FY","FILING_STATUS=OR","EQY_CONSOLIDATED=Y","Sort=A","Dates=H","DateFormat=P","Fill=—","Direction=H","UseDPDF=Y")</f>
        <v>#NAME?</v>
      </c>
      <c r="BR193" s="1" t="e">
        <f ca="1">_xll.BDH($C$178,"ACCOUNTS_PAYABLE_SEQ_GROWTH","FY 2017","FY 2017","Currency=INR","Period=FY","BEST_FPERIOD_OVERRIDE=FY","FILING_STATUS=OR","EQY_CONSOLIDATED=Y","Sort=A","Dates=H","DateFormat=P","Fill=—","Direction=H","UseDPDF=Y")</f>
        <v>#NAME?</v>
      </c>
      <c r="BS193" s="1" t="e">
        <f ca="1">_xll.BDH($C$178,"ST_DEBT_SEQUENTIAL_GROWTH","FY 2017","FY 2017","Currency=INR","Period=FY","BEST_FPERIOD_OVERRIDE=FY","FILING_STATUS=OR","EQY_CONSOLIDATED=Y","Sort=A","Dates=H","DateFormat=P","Fill=—","Direction=H","UseDPDF=Y")</f>
        <v>#NAME?</v>
      </c>
      <c r="BT193" s="1" t="e">
        <f ca="1">_xll.BDH($C$178,"TOTAL_DEBT_SEQUENTIAL_GROWTH","FY 2017","FY 2017","Currency=INR","Period=FY","BEST_FPERIOD_OVERRIDE=FY","FILING_STATUS=OR","EQY_CONSOLIDATED=Y","Sort=A","Dates=H","DateFormat=P","Fill=—","Direction=H","UseDPDF=Y")</f>
        <v>#NAME?</v>
      </c>
      <c r="BU193" s="1" t="e">
        <f ca="1">_xll.BDH($C$178,"TOTAL_EQUITY_SEQUENTIAL_GROWTH","FY 2017","FY 2017","Currency=INR","Period=FY","BEST_FPERIOD_OVERRIDE=FY","FILING_STATUS=OR","EQY_CONSOLIDATED=Y","Sort=A","Dates=H","DateFormat=P","Fill=—","Direction=H","UseDPDF=Y")</f>
        <v>#NAME?</v>
      </c>
      <c r="BV193" s="1" t="e">
        <f ca="1">_xll.BDH($C$178,"TOTAL_CAPITAL_SEQUENTIAL_GROWTH","FY 2017","FY 2017","Currency=INR","Period=FY","BEST_FPERIOD_OVERRIDE=FY","FILING_STATUS=OR","EQY_CONSOLIDATED=Y","Sort=A","Dates=H","DateFormat=P","Fill=—","Direction=H","UseDPDF=Y")</f>
        <v>#NAME?</v>
      </c>
      <c r="BW193" s="1" t="e">
        <f ca="1">_xll.BDH($C$178,"BPS_SEQUENTIAL_GROWTH","FY 2017","FY 2017","Currency=INR","Period=FY","BEST_FPERIOD_OVERRIDE=FY","FILING_STATUS=OR","EQY_CONSOLIDATED=Y","Sort=A","Dates=H","DateFormat=P","Fill=—","Direction=H","UseDPDF=Y")</f>
        <v>#NAME?</v>
      </c>
      <c r="BX193" s="1" t="e">
        <f ca="1">_xll.BDH($C$178,"CFO_SEQUENTIAL_GROWTH","FY 2017","FY 2017","Currency=INR","Period=FY","BEST_FPERIOD_OVERRIDE=FY","FILING_STATUS=OR","EQY_CONSOLIDATED=Y","Sort=A","Dates=H","DateFormat=P","Fill=—","Direction=H","UseDPDF=Y")</f>
        <v>#NAME?</v>
      </c>
      <c r="BY193" s="2" t="e">
        <f ca="1">_xll.BDH($C$178,"SHORT_AND_LONG_TERM_DEBT","FY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93" s="2" t="e">
        <f ca="1">_xll.BDH($C$178,"BS_ST_BORROW","FY 2017","FY 2017","Currency=INR","Period=FY","BEST_FPERIOD_OVERRIDE=FY","FILING_STATUS=OR","EQY_CONSOLIDATED=Y","SCALING_FORMAT=MLN","Sort=A","Dates=H","DateFormat=P","Fill=—","Direction=H","UseDPDF=Y")</f>
        <v>#NAME?</v>
      </c>
      <c r="CA193" s="2" t="e">
        <f ca="1">_xll.BDH($C$178,"BS_LT_BORROW","FY 2017","FY 2017","Currency=INR","Period=FY","BEST_FPERIOD_OVERRIDE=FY","FILING_STATUS=OR","EQY_CONSOLIDATED=Y","SCALING_FORMAT=MLN","Sort=A","Dates=H","DateFormat=P","Fill=—","Direction=H","UseDPDF=Y")</f>
        <v>#NAME?</v>
      </c>
      <c r="CB193" s="1" t="e">
        <f ca="1">_xll.BDH($C$178,"TOT_DEBT_TO_EBITDA","FY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193" s="1" t="e">
        <f ca="1">_xll.BDH($C$178,"NET_DEBT_TO_EBITDA","FY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193" s="1" t="e">
        <f ca="1">_xll.BDH($C$178,"TOTAL_DEBT_TO_EBIT","FY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193" s="1" t="e">
        <f ca="1">_xll.BDH($C$178,"NET_DEBT_TO_EBIT","FY 2017","FY 2017","Currency=INR","Period=FY","BEST_FPERIOD_OVERRIDE=FY","FILING_STATUS=OR","EQY_CONSOLIDATED=Y","FA_ADJUSTED=GAAP","Sort=A","Dates=H","DateFormat=P","Fill=—","Direction=H","UseDPDF=Y")</f>
        <v>#NAME?</v>
      </c>
      <c r="CF193" s="1" t="e">
        <f ca="1">_xll.BDH($C$178,"EBITDA_TO_INTEREST_EXPN","FY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93" s="1" t="e">
        <f ca="1">_xll.BDH($C$178,"COM_EQY_TO_TOT_ASSET","FY 2017","FY 2017","Currency=INR","Period=FY","BEST_FPERIOD_OVERRIDE=FY","FILING_STATUS=OR","EQY_CONSOLIDATED=Y","Sort=A","Dates=H","DateFormat=P","Fill=—","Direction=H","UseDPDF=Y")</f>
        <v>#NAME?</v>
      </c>
      <c r="CH193" s="1" t="e">
        <f ca="1">_xll.BDH($C$178,"LT_DEBT_TO_TOT_EQY","FY 2017","FY 2017","Currency=INR","Period=FY","BEST_FPERIOD_OVERRIDE=FY","FILING_STATUS=OR","EQY_CONSOLIDATED=Y","Sort=A","Dates=H","DateFormat=P","Fill=—","Direction=H","UseDPDF=Y")</f>
        <v>#NAME?</v>
      </c>
      <c r="CI193" s="1" t="e">
        <f ca="1">_xll.BDH($C$178,"LT_DEBT_TO_TOT_CAP","FY 2017","FY 2017","Currency=INR","Period=FY","BEST_FPERIOD_OVERRIDE=FY","FILING_STATUS=OR","EQY_CONSOLIDATED=Y","Sort=A","Dates=H","DateFormat=P","Fill=—","Direction=H","UseDPDF=Y")</f>
        <v>#NAME?</v>
      </c>
      <c r="CJ193" s="1" t="e">
        <f ca="1">_xll.BDH($C$178,"LT_DEBT_TO_TOT_ASSET","FY 2017","FY 2017","Currency=INR","Period=FY","BEST_FPERIOD_OVERRIDE=FY","FILING_STATUS=OR","EQY_CONSOLIDATED=Y","Sort=A","Dates=H","DateFormat=P","Fill=—","Direction=H","UseDPDF=Y")</f>
        <v>#NAME?</v>
      </c>
      <c r="CK193" s="1" t="e">
        <f ca="1">_xll.BDH($C$178,"TOT_DEBT_TO_TOT_EQY","FY 2017","FY 2017","Currency=INR","Period=FY","BEST_FPERIOD_OVERRIDE=FY","FILING_STATUS=OR","EQY_CONSOLIDATED=Y","Sort=A","Dates=H","DateFormat=P","Fill=—","Direction=H","UseDPDF=Y")</f>
        <v>#NAME?</v>
      </c>
      <c r="CL193" s="1" t="e">
        <f ca="1">_xll.BDH($C$178,"TOT_DEBT_TO_TOT_CAP","FY 2017","FY 2017","Currency=INR","Period=FY","BEST_FPERIOD_OVERRIDE=FY","FILING_STATUS=OR","EQY_CONSOLIDATED=Y","Sort=A","Dates=H","DateFormat=P","Fill=—","Direction=H","UseDPDF=Y")</f>
        <v>#NAME?</v>
      </c>
      <c r="CM193" s="1" t="e">
        <f ca="1">_xll.BDH($C$178,"TOT_DEBT_TO_TOT_ASSET","FY 2017","FY 2017","Currency=INR","Period=FY","BEST_FPERIOD_OVERRIDE=FY","FILING_STATUS=OR","EQY_CONSOLIDATED=Y","Sort=A","Dates=H","DateFormat=P","Fill=—","Direction=H","UseDPDF=Y")</f>
        <v>#NAME?</v>
      </c>
      <c r="CN193" s="1" t="e">
        <f ca="1">_xll.BDH($C$178,"NET_DEBT_TO_SHRHLDR_EQTY","FY 2017","FY 2017","Currency=INR","Period=FY","BEST_FPERIOD_OVERRIDE=FY","FILING_STATUS=OR","EQY_CONSOLIDATED=Y","Sort=A","Dates=H","DateFormat=P","Fill=—","Direction=H","UseDPDF=Y")</f>
        <v>#NAME?</v>
      </c>
      <c r="CO193" s="1" t="e">
        <f ca="1">_xll.BDH($C$178,"NET_DEBT_%_CAPITAL","FY 2017","FY 2017","Currency=INR","Period=FY","BEST_FPERIOD_OVERRIDE=FY","FILING_STATUS=OR","EQY_CONSOLIDATED=Y","Sort=A","Dates=H","DateFormat=P","Fill=—","Direction=H","UseDPDF=Y")</f>
        <v>#NAME?</v>
      </c>
      <c r="CP193" s="2" t="e">
        <f ca="1">_xll.BDH($C$178,"EBITDA","FY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93" s="2" t="e">
        <f ca="1">_xll.BDH($C$178,"EBITDA_AFTER_CAPEX","FY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93" s="2" t="e">
        <f ca="1">_xll.BDH($C$178,"IS_OPER_INC","FY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93" s="1" t="e">
        <f ca="1">_xll.BDH($C$178,"CASH_RATIO","FY 2017","FY 2017","Currency=INR","Period=FY","BEST_FPERIOD_OVERRIDE=FY","FILING_STATUS=OR","EQY_CONSOLIDATED=Y","Sort=A","Dates=H","DateFormat=P","Fill=—","Direction=H","UseDPDF=Y")</f>
        <v>#NAME?</v>
      </c>
      <c r="CT193" s="1" t="e">
        <f ca="1">_xll.BDH($C$178,"CUR_RATIO","FY 2017","FY 2017","Currency=INR","Period=FY","BEST_FPERIOD_OVERRIDE=FY","FILING_STATUS=OR","EQY_CONSOLIDATED=Y","Sort=A","Dates=H","DateFormat=P","Fill=—","Direction=H","UseDPDF=Y")</f>
        <v>#NAME?</v>
      </c>
      <c r="CU193" s="1" t="e">
        <f ca="1">_xll.BDH($C$178,"QUICK_RATIO","FY 2017","FY 2017","Currency=INR","Period=FY","BEST_FPERIOD_OVERRIDE=FY","FILING_STATUS=OR","EQY_CONSOLIDATED=Y","Sort=A","Dates=H","DateFormat=P","Fill=—","Direction=H","UseDPDF=Y")</f>
        <v>#NAME?</v>
      </c>
      <c r="CV193" s="1" t="e">
        <f ca="1">_xll.BDH($C$178,"ALTMAN_Z_SCORE","FY 2017","FY 2017","Currency=INR","Period=FY","BEST_FPERIOD_OVERRIDE=FY","FILING_STATUS=OR","EQY_CONSOLIDATED=Y","Sort=A","Dates=H","DateFormat=P","Fill=—","Direction=H","UseDPDF=Y")</f>
        <v>#NAME?</v>
      </c>
      <c r="CW193" s="3" t="e">
        <f ca="1">_xll.BDH($C$178,"ACCT_RCV_TURN","FY 2017","FY 2017","Currency=INR","Period=FY","BEST_FPERIOD_OVERRIDE=FY","FILING_STATUS=OR","EQY_CONSOLIDATED=Y","FA_ADJUSTED=GAAP","Sort=A","Dates=H","DateFormat=P","Fill=—","Direction=H","UseDPDF=Y")</f>
        <v>#NAME?</v>
      </c>
      <c r="CX193" s="1" t="e">
        <f ca="1">_xll.BDH($C$178,"ACCT_RCV_DAYS","FY 2017","FY 2017","Currency=INR","Period=FY","BEST_FPERIOD_OVERRIDE=FY","FILING_STATUS=OR","EQY_CONSOLIDATED=Y","FA_ADJUSTED=GAAP","Sort=A","Dates=H","DateFormat=P","Fill=—","Direction=H","UseDPDF=Y")</f>
        <v>#NAME?</v>
      </c>
      <c r="CY193" s="3" t="e">
        <f ca="1">_xll.BDH($C$178,"INVENT_TURN","FY 2017","FY 2017","Currency=INR","Period=FY","BEST_FPERIOD_OVERRIDE=FY","FILING_STATUS=OR","EQY_CONSOLIDATED=Y","FA_ADJUSTED=GAAP","Sort=A","Dates=H","DateFormat=P","Fill=—","Direction=H","UseDPDF=Y")</f>
        <v>#NAME?</v>
      </c>
      <c r="CZ193" s="1" t="e">
        <f ca="1">_xll.BDH($C$178,"INVENT_DAYS","FY 2017","FY 2017","Currency=INR","Period=FY","BEST_FPERIOD_OVERRIDE=FY","FILING_STATUS=OR","EQY_CONSOLIDATED=Y","FA_ADJUSTED=GAAP","Sort=A","Dates=H","DateFormat=P","Fill=—","Direction=H","UseDPDF=Y")</f>
        <v>#NAME?</v>
      </c>
      <c r="DA193" s="3" t="e">
        <f ca="1">_xll.BDH($C$178,"ACCOUNTS_PAYABLE_TURNOVER","FY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93" s="1" t="e">
        <f ca="1">_xll.BDH($C$178,"ACCOUNTS_PAYABLE_TURNOVER_DAYS","FY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93" s="3" t="e">
        <f ca="1">_xll.BDH($C$178,"CASH_CONVERSION_CYCLE","FY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93" s="3" t="e">
        <f ca="1">_xll.BDH($C$178,"INV_TO_CASH_DAYS","FY 2017","FY 2017","Currency=INR","Period=FY","BEST_FPERIOD_OVERRIDE=FY","FILING_STATUS=OR","EQY_CONSOLIDATED=Y","FA_ADJUSTED=GAAP","Sort=A","Dates=H","DateFormat=P","Fill=—","Direction=H","UseDPDF=Y")</f>
        <v>#NAME?</v>
      </c>
      <c r="DE193" s="4" t="e">
        <f ca="1">_xll.BDH($C$178,"BS_INVENTORIES","FY 2017","FY 2017","Currency=INR","Period=FY","BEST_FPERIOD_OVERRIDE=FY","FILING_STATUS=OR","EQY_CONSOLIDATED=Y","SCALING_FORMAT=MLN","Sort=A","Dates=H","DateFormat=P","Fill=—","Direction=H","UseDPDF=Y")</f>
        <v>#NAME?</v>
      </c>
      <c r="DF193" s="2" t="e">
        <f ca="1">_xll.BDH($C$178,"INVTRY_RAW_MATERIALS","FY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93" s="2" t="e">
        <f ca="1">_xll.BDH($C$178,"INVTRY_IN_PROGRESS","FY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93" s="2" t="e">
        <f ca="1">_xll.BDH($C$178,"INVTRY_FINISHED_GOODS","FY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93" s="2" t="e">
        <f ca="1">_xll.BDH($C$178,"BS_OTHER_INV","FY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94" spans="1:113" x14ac:dyDescent="0.3">
      <c r="A194" s="6"/>
      <c r="B194" s="6"/>
      <c r="C194" s="6"/>
      <c r="D194" s="6"/>
      <c r="E194" t="s">
        <v>4</v>
      </c>
      <c r="F194" t="e">
        <f ca="1">_xll.BDH($C$178,"RETURN_COM_EQY","FQ1 2017","FQ1 2017","Currency=INR","Period=FQ","BEST_FPERIOD_OVERRIDE=FQ","FILING_STATUS=OR","EQY_CONSOLIDATED=Y","FA_ADJUSTED=GAAP","Sort=A","Dates=H","DateFormat=P","Fill=—","Direction=H","UseDPDF=Y")</f>
        <v>#NAME?</v>
      </c>
      <c r="G194" t="e">
        <f ca="1">_xll.BDH($C$178,"RETURN_ON_ASSET","FQ1 2017","FQ1 2017","Currency=INR","Period=FQ","BEST_FPERIOD_OVERRIDE=FQ","FILING_STATUS=OR","EQY_CONSOLIDATED=Y","FA_ADJUSTED=GAAP","Sort=A","Dates=H","DateFormat=P","Fill=—","Direction=H","UseDPDF=Y")</f>
        <v>#NAME?</v>
      </c>
      <c r="H194" t="e">
        <f ca="1">_xll.BDH($C$178,"RETURN_ON_CAP","FQ1 2017","FQ1 2017","Currency=INR","Period=FQ","BEST_FPERIOD_OVERRIDE=FQ","FILING_STATUS=OR","EQY_CONSOLIDATED=Y","FA_ADJUSTED=GAAP","Sort=A","Dates=H","DateFormat=P","Fill=—","Direction=H","UseDPDF=Y")</f>
        <v>#NAME?</v>
      </c>
      <c r="I194" t="e">
        <f ca="1">_xll.BDH($C$178,"RETURN_ON_INV_CAPITAL","FQ1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94" t="e">
        <f ca="1">_xll.BDH($C$178,"EBITDA_TO_REVENUE","FQ1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194" t="e">
        <f ca="1">_xll.BDH($C$178,"OPER_MARGIN","FQ1 2017","FQ1 2017","Currency=INR","Period=FQ","BEST_FPERIOD_OVERRIDE=FQ","FILING_STATUS=OR","EQY_CONSOLIDATED=Y","FA_ADJUSTED=GAAP","Sort=A","Dates=H","DateFormat=P","Fill=—","Direction=H","UseDPDF=Y")</f>
        <v>#NAME?</v>
      </c>
      <c r="L194" t="e">
        <f ca="1">_xll.BDH($C$178,"INCREMENTAL_OPERATING_MARGIN","FQ1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94" t="e">
        <f ca="1">_xll.BDH($C$178,"PRETAX_INC_TO_NET_SALES","FQ1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94" t="e">
        <f ca="1">_xll.BDH($C$178,"INC_BEF_XO_ITEMS_TO_NET_SALES","FQ1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94" t="e">
        <f ca="1">_xll.BDH($C$178,"PROF_MARGIN","FQ1 2017","FQ1 2017","Currency=INR","Period=FQ","BEST_FPERIOD_OVERRIDE=FQ","FILING_STATUS=OR","EQY_CONSOLIDATED=Y","FA_ADJUSTED=GAAP","Sort=A","Dates=H","DateFormat=P","Fill=—","Direction=H","UseDPDF=Y")</f>
        <v>#NAME?</v>
      </c>
      <c r="P194" t="e">
        <f ca="1">_xll.BDH($C$178,"NET_INCOME_TO_COMMON_MARGIN","FQ1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94" t="e">
        <f ca="1">_xll.BDH($C$178,"EFF_TAX_RATE","FQ1 2017","FQ1 2017","Currency=INR","Period=FQ","BEST_FPERIOD_OVERRIDE=FQ","FILING_STATUS=OR","EQY_CONSOLIDATED=Y","FA_ADJUSTED=GAAP","Sort=A","Dates=H","DateFormat=P","Fill=—","Direction=H","UseDPDF=Y")</f>
        <v>#NAME?</v>
      </c>
      <c r="R194" t="e">
        <f ca="1">_xll.BDH($C$178,"DVD_PAYOUT_RATIO","FQ1 2017","FQ1 2017","Currency=INR","Period=FQ","BEST_FPERIOD_OVERRIDE=FQ","FILING_STATUS=OR","EQY_CONSOLIDATED=Y","FA_ADJUSTED=GAAP","Sort=A","Dates=H","DateFormat=P","Fill=—","Direction=H","UseDPDF=Y")</f>
        <v>#NAME?</v>
      </c>
      <c r="S194" t="e">
        <f ca="1">_xll.BDH($C$178,"SUSTAIN_GROWTH_RT","FQ1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194" s="1" t="e">
        <f ca="1">_xll.BDH($C$178,"SALES_GROWTH","FQ1 2017","FQ1 2017","Currency=INR","Period=FQ","BEST_FPERIOD_OVERRIDE=FQ","FILING_STATUS=OR","EQY_CONSOLIDATED=Y","FA_ADJUSTED=GAAP","Sort=A","Dates=H","DateFormat=P","Fill=—","Direction=H","UseDPDF=Y")</f>
        <v>#NAME?</v>
      </c>
      <c r="U194" s="1" t="e">
        <f ca="1">_xll.BDH($C$178,"EBITDA_GROWTH","FQ1 2017","FQ1 2017","Currency=INR","Period=FQ","BEST_FPERIOD_OVERRIDE=FQ","FILING_STATUS=OR","EQY_CONSOLIDATED=Y","FA_ADJUSTED=GAAP","Sort=A","Dates=H","DateFormat=P","Fill=—","Direction=H","UseDPDF=Y")</f>
        <v>#NAME?</v>
      </c>
      <c r="V194" s="1" t="e">
        <f ca="1">_xll.BDH($C$178,"OPER_INC_GROWTH","FQ1 2017","FQ1 2017","Currency=INR","Period=FQ","BEST_FPERIOD_OVERRIDE=FQ","FILING_STATUS=OR","EQY_CONSOLIDATED=Y","FA_ADJUSTED=GAAP","Sort=A","Dates=H","DateFormat=P","Fill=—","Direction=H","UseDPDF=Y")</f>
        <v>#NAME?</v>
      </c>
      <c r="W194" s="1" t="e">
        <f ca="1">_xll.BDH($C$178,"EARN_FOR_COM_GROWTH","FQ1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94" s="1" t="e">
        <f ca="1">_xll.BDH($C$178,"DILUTED_EPS_AFT_XO_ITEMS_GROWTH","FQ1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94" s="1" t="e">
        <f ca="1">_xll.BDH($C$178,"DIVIDEND_PER_SHARE_1_YEAR_GROWTH","FQ1 2017","FQ1 2017","Currency=INR","Period=FQ","BEST_FPERIOD_OVERRIDE=FQ","FILING_STATUS=OR","EQY_CONSOLIDATED=Y","Sort=A","Dates=H","DateFormat=P","Fill=—","Direction=H","UseDPDF=Y")</f>
        <v>#NAME?</v>
      </c>
      <c r="Z194" s="1" t="e">
        <f ca="1">_xll.BDH($C$178,"ACCOUNTS_RECEIVABLE_GROWTH","FQ1 2017","FQ1 2017","Currency=INR","Period=FQ","BEST_FPERIOD_OVERRIDE=FQ","FILING_STATUS=OR","EQY_CONSOLIDATED=Y","Sort=A","Dates=H","DateFormat=P","Fill=—","Direction=H","UseDPDF=Y")</f>
        <v>#NAME?</v>
      </c>
      <c r="AA194" s="1" t="e">
        <f ca="1">_xll.BDH($C$178,"INVENTORY_GROWTH","FQ1 2017","FQ1 2017","Currency=INR","Period=FQ","BEST_FPERIOD_OVERRIDE=FQ","FILING_STATUS=OR","EQY_CONSOLIDATED=Y","Sort=A","Dates=H","DateFormat=P","Fill=—","Direction=H","UseDPDF=Y")</f>
        <v>#NAME?</v>
      </c>
      <c r="AB194" s="1" t="e">
        <f ca="1">_xll.BDH($C$178,"NET_FIXED_ASSETS_1_YEAR_GROWTH","FQ1 2017","FQ1 2017","Currency=INR","Period=FQ","BEST_FPERIOD_OVERRIDE=FQ","FILING_STATUS=OR","EQY_CONSOLIDATED=Y","Sort=A","Dates=H","DateFormat=P","Fill=—","Direction=H","UseDPDF=Y")</f>
        <v>#NAME?</v>
      </c>
      <c r="AC194" s="1" t="e">
        <f ca="1">_xll.BDH($C$178,"ASSET_GROWTH","FQ1 2017","FQ1 2017","Currency=INR","Period=FQ","BEST_FPERIOD_OVERRIDE=FQ","FILING_STATUS=OR","EQY_CONSOLIDATED=Y","Sort=A","Dates=H","DateFormat=P","Fill=—","Direction=H","UseDPDF=Y")</f>
        <v>#NAME?</v>
      </c>
      <c r="AD194" s="1" t="e">
        <f ca="1">_xll.BDH($C$178,"MODIFIED_WORK_CAP_GROWTH","FQ1 2017","FQ1 2017","Currency=INR","Period=FQ","BEST_FPERIOD_OVERRIDE=FQ","FILING_STATUS=OR","EQY_CONSOLIDATED=Y","Sort=A","Dates=H","DateFormat=P","Fill=—","Direction=H","UseDPDF=Y")</f>
        <v>#NAME?</v>
      </c>
      <c r="AE194" s="1" t="e">
        <f ca="1">_xll.BDH($C$178,"WORK_CAP_GROWTH","FQ1 2017","FQ1 2017","Currency=INR","Period=FQ","BEST_FPERIOD_OVERRIDE=FQ","FILING_STATUS=OR","EQY_CONSOLIDATED=Y","Sort=A","Dates=H","DateFormat=P","Fill=—","Direction=H","UseDPDF=Y")</f>
        <v>#NAME?</v>
      </c>
      <c r="AF194" s="1" t="e">
        <f ca="1">_xll.BDH($C$178,"ACCOUNTS_PAYABLE_GROWTH_1YR","FQ1 2017","FQ1 2017","Currency=INR","Period=FQ","BEST_FPERIOD_OVERRIDE=FQ","FILING_STATUS=OR","EQY_CONSOLIDATED=Y","Sort=A","Dates=H","DateFormat=P","Fill=—","Direction=H","UseDPDF=Y")</f>
        <v>#NAME?</v>
      </c>
      <c r="AG194" s="1" t="e">
        <f ca="1">_xll.BDH($C$178,"SHORT_TERM_DEBT_1_YEAR_GROWTH","FQ1 2017","FQ1 2017","Currency=INR","Period=FQ","BEST_FPERIOD_OVERRIDE=FQ","FILING_STATUS=OR","EQY_CONSOLIDATED=Y","Sort=A","Dates=H","DateFormat=P","Fill=—","Direction=H","UseDPDF=Y")</f>
        <v>#NAME?</v>
      </c>
      <c r="AH194" s="1" t="e">
        <f ca="1">_xll.BDH($C$178,"TOTAL_DEBT_1_YEAR_GROWTH","FQ1 2017","FQ1 2017","Currency=INR","Period=FQ","BEST_FPERIOD_OVERRIDE=FQ","FILING_STATUS=OR","EQY_CONSOLIDATED=Y","Sort=A","Dates=H","DateFormat=P","Fill=—","Direction=H","UseDPDF=Y")</f>
        <v>#NAME?</v>
      </c>
      <c r="AI194" s="1" t="e">
        <f ca="1">_xll.BDH($C$178,"TOTAL_EQUITY_1_YEAR_GROWTH","FQ1 2017","FQ1 2017","Currency=INR","Period=FQ","BEST_FPERIOD_OVERRIDE=FQ","FILING_STATUS=OR","EQY_CONSOLIDATED=Y","Sort=A","Dates=H","DateFormat=P","Fill=—","Direction=H","UseDPDF=Y")</f>
        <v>#NAME?</v>
      </c>
      <c r="AJ194" s="1" t="e">
        <f ca="1">_xll.BDH($C$178,"GROWTH_IN_CAP","FQ1 2017","FQ1 2017","Currency=INR","Period=FQ","BEST_FPERIOD_OVERRIDE=FQ","FILING_STATUS=OR","EQY_CONSOLIDATED=Y","Sort=A","Dates=H","DateFormat=P","Fill=—","Direction=H","UseDPDF=Y")</f>
        <v>#NAME?</v>
      </c>
      <c r="AK194" s="1" t="e">
        <f ca="1">_xll.BDH($C$178,"BVPS_GROWTH","FQ1 2017","FQ1 2017","Currency=INR","Period=FQ","BEST_FPERIOD_OVERRIDE=FQ","FILING_STATUS=OR","EQY_CONSOLIDATED=Y","Sort=A","Dates=H","DateFormat=P","Fill=—","Direction=H","UseDPDF=Y")</f>
        <v>#NAME?</v>
      </c>
      <c r="AL194" s="1" t="e">
        <f ca="1">_xll.BDH($C$178,"CASH_FLOW_GROWTH","FQ1 2017","FQ1 2017","Currency=INR","Period=FQ","BEST_FPERIOD_OVERRIDE=FQ","FILING_STATUS=OR","EQY_CONSOLIDATED=Y","Sort=A","Dates=H","DateFormat=P","Fill=—","Direction=H","UseDPDF=Y")</f>
        <v>#NAME?</v>
      </c>
      <c r="AM194" s="1" t="e">
        <f ca="1">_xll.BDH($C$178,"GEO_GROW_NET_SALES","FQ1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94" s="1" t="e">
        <f ca="1">_xll.BDH($C$178,"GEO_GROW_EBITDA","FQ1 2017","FQ1 2017","Currency=INR","Period=FQ","BEST_FPERIOD_OVERRIDE=FQ","FILING_STATUS=OR","EQY_CONSOLIDATED=Y","FA_ADJUSTED=GAAP","Sort=A","Dates=H","DateFormat=P","Fill=—","Direction=H","UseDPDF=Y")</f>
        <v>#NAME?</v>
      </c>
      <c r="AO194" s="1" t="e">
        <f ca="1">_xll.BDH($C$178,"GEO_GROW_OPER_INC","FQ1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94" s="1" t="e">
        <f ca="1">_xll.BDH($C$178,"NET_INCOME_TO_COMMON_5_YR_GROWTH","FQ1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94" s="1" t="e">
        <f ca="1">_xll.BDH($C$178,"5Y_GEO_GROWTH_DILUTED_EPS","FQ1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94" s="1" t="e">
        <f ca="1">_xll.BDH($C$178,"GEO_GROW_DVD_PER_SH","FQ1 2017","FQ1 2017","Currency=INR","Period=FQ","BEST_FPERIOD_OVERRIDE=FQ","FILING_STATUS=OR","EQY_CONSOLIDATED=Y","Sort=A","Dates=H","DateFormat=P","Fill=—","Direction=H","UseDPDF=Y")</f>
        <v>#NAME?</v>
      </c>
      <c r="AS194" s="1" t="e">
        <f ca="1">_xll.BDH($C$178,"ACCOUNTS_RECEIVABLE_5_YR_GROWTH","FQ1 2017","FQ1 2017","Currency=INR","Period=FQ","BEST_FPERIOD_OVERRIDE=FQ","FILING_STATUS=OR","EQY_CONSOLIDATED=Y","Sort=A","Dates=H","DateFormat=P","Fill=—","Direction=H","UseDPDF=Y")</f>
        <v>#NAME?</v>
      </c>
      <c r="AT194" s="1" t="e">
        <f ca="1">_xll.BDH($C$178,"INVENTORY_5_YEAR_GROWTH","FQ1 2017","FQ1 2017","Currency=INR","Period=FQ","BEST_FPERIOD_OVERRIDE=FQ","FILING_STATUS=OR","EQY_CONSOLIDATED=Y","Sort=A","Dates=H","DateFormat=P","Fill=—","Direction=H","UseDPDF=Y")</f>
        <v>#NAME?</v>
      </c>
      <c r="AU194" s="1" t="e">
        <f ca="1">_xll.BDH($C$178,"NET_FIXED_ASSETS_5_YEAR_GROWTH","FQ1 2017","FQ1 2017","Currency=INR","Period=FQ","BEST_FPERIOD_OVERRIDE=FQ","FILING_STATUS=OR","EQY_CONSOLIDATED=Y","Sort=A","Dates=H","DateFormat=P","Fill=—","Direction=H","UseDPDF=Y")</f>
        <v>#NAME?</v>
      </c>
      <c r="AV194" s="1" t="e">
        <f ca="1">_xll.BDH($C$178,"GEO_GROW_TOT_ASSET","FQ1 2017","FQ1 2017","Currency=INR","Period=FQ","BEST_FPERIOD_OVERRIDE=FQ","FILING_STATUS=OR","EQY_CONSOLIDATED=Y","Sort=A","Dates=H","DateFormat=P","Fill=—","Direction=H","UseDPDF=Y")</f>
        <v>#NAME?</v>
      </c>
      <c r="AW194" s="1" t="e">
        <f ca="1">_xll.BDH($C$178,"MODIFIED_WORKING_CPTL_5YR_GRWTH","FQ1 2017","FQ1 2017","Currency=INR","Period=FQ","BEST_FPERIOD_OVERRIDE=FQ","FILING_STATUS=OR","EQY_CONSOLIDATED=Y","Sort=A","Dates=H","DateFormat=P","Fill=—","Direction=H","UseDPDF=Y")</f>
        <v>#NAME?</v>
      </c>
      <c r="AX194" s="1" t="e">
        <f ca="1">_xll.BDH($C$178,"WORKING_CAPITAL_5_YEAR_GROWTH","FQ1 2017","FQ1 2017","Currency=INR","Period=FQ","BEST_FPERIOD_OVERRIDE=FQ","FILING_STATUS=OR","EQY_CONSOLIDATED=Y","Sort=A","Dates=H","DateFormat=P","Fill=—","Direction=H","UseDPDF=Y")</f>
        <v>#NAME?</v>
      </c>
      <c r="AY194" s="1" t="e">
        <f ca="1">_xll.BDH($C$178,"ACCOUNTS_PAYABLE_5_YEAR_GROWTH","FQ1 2017","FQ1 2017","Currency=INR","Period=FQ","BEST_FPERIOD_OVERRIDE=FQ","FILING_STATUS=OR","EQY_CONSOLIDATED=Y","Sort=A","Dates=H","DateFormat=P","Fill=—","Direction=H","UseDPDF=Y")</f>
        <v>#NAME?</v>
      </c>
      <c r="AZ194" s="1" t="e">
        <f ca="1">_xll.BDH($C$178,"SHORT_TERM_DEBT_5_YEAR_GROWTH","FQ1 2017","FQ1 2017","Currency=INR","Period=FQ","BEST_FPERIOD_OVERRIDE=FQ","FILING_STATUS=OR","EQY_CONSOLIDATED=Y","Sort=A","Dates=H","DateFormat=P","Fill=—","Direction=H","UseDPDF=Y")</f>
        <v>#NAME?</v>
      </c>
      <c r="BA194" s="1" t="e">
        <f ca="1">_xll.BDH($C$178,"TOTAL_DEBT_5_YEAR_GROWTH","FQ1 2017","FQ1 2017","Currency=INR","Period=FQ","BEST_FPERIOD_OVERRIDE=FQ","FILING_STATUS=OR","EQY_CONSOLIDATED=Y","Sort=A","Dates=H","DateFormat=P","Fill=—","Direction=H","UseDPDF=Y")</f>
        <v>#NAME?</v>
      </c>
      <c r="BB194" s="1" t="e">
        <f ca="1">_xll.BDH($C$178,"GEO_GROW_TOT_SHRHLDR_EQY","FQ1 2017","FQ1 2017","Currency=INR","Period=FQ","BEST_FPERIOD_OVERRIDE=FQ","FILING_STATUS=OR","EQY_CONSOLIDATED=Y","Sort=A","Dates=H","DateFormat=P","Fill=—","Direction=H","UseDPDF=Y")</f>
        <v>#NAME?</v>
      </c>
      <c r="BC194" s="1" t="e">
        <f ca="1">_xll.BDH($C$178,"TOTAL_CAPITAL_5_YEAR_GROWTH","FQ1 2017","FQ1 2017","Currency=INR","Period=FQ","BEST_FPERIOD_OVERRIDE=FQ","FILING_STATUS=OR","EQY_CONSOLIDATED=Y","Sort=A","Dates=H","DateFormat=P","Fill=—","Direction=H","UseDPDF=Y")</f>
        <v>#NAME?</v>
      </c>
      <c r="BD194" s="1" t="e">
        <f ca="1">_xll.BDH($C$178,"GEO_GROW_BOOK_VAL","FQ1 2017","FQ1 2017","Currency=INR","Period=FQ","BEST_FPERIOD_OVERRIDE=FQ","FILING_STATUS=OR","EQY_CONSOLIDATED=Y","Sort=A","Dates=H","DateFormat=P","Fill=—","Direction=H","UseDPDF=Y")</f>
        <v>#NAME?</v>
      </c>
      <c r="BE194" s="1" t="e">
        <f ca="1">_xll.BDH($C$178,"GEO_GROW_CASH_OPER_ACT","FQ1 2017","FQ1 2017","Currency=INR","Period=FQ","BEST_FPERIOD_OVERRIDE=FQ","FILING_STATUS=OR","EQY_CONSOLIDATED=Y","Sort=A","Dates=H","DateFormat=P","Fill=—","Direction=H","UseDPDF=Y")</f>
        <v>#NAME?</v>
      </c>
      <c r="BF194" s="1" t="e">
        <f ca="1">_xll.BDH($C$178,"REVENUE_SEQUENTIAL_GROWTH","FQ1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94" s="1" t="e">
        <f ca="1">_xll.BDH($C$178,"EBITDA_SEQUENTIAL_GROWTH","FQ1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94" s="1" t="e">
        <f ca="1">_xll.BDH($C$178,"OPERATING_INCOME_SEQ_GROWTH","FQ1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94" s="1" t="e">
        <f ca="1">_xll.BDH($C$178,"NET_INCOME_TO_COMMON_SEQ_GROWTH","FQ1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94" s="1" t="e">
        <f ca="1">_xll.BDH($C$178,"EPS_DILUTED_SEQUENTIAL_GROWTH","FQ1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94" s="1" t="e">
        <f ca="1">_xll.BDH($C$178,"DPS_SEQUENTIAL_GROWTH","FQ1 2017","FQ1 2017","Currency=INR","Period=FQ","BEST_FPERIOD_OVERRIDE=FQ","FILING_STATUS=OR","EQY_CONSOLIDATED=Y","Sort=A","Dates=H","DateFormat=P","Fill=—","Direction=H","UseDPDF=Y")</f>
        <v>#NAME?</v>
      </c>
      <c r="BL194" s="1" t="e">
        <f ca="1">_xll.BDH($C$178,"ACCOUNTS_RECEIVABLE_SEQ_GROWTH","FQ1 2017","FQ1 2017","Currency=INR","Period=FQ","BEST_FPERIOD_OVERRIDE=FQ","FILING_STATUS=OR","EQY_CONSOLIDATED=Y","Sort=A","Dates=H","DateFormat=P","Fill=—","Direction=H","UseDPDF=Y")</f>
        <v>#NAME?</v>
      </c>
      <c r="BM194" s="1" t="e">
        <f ca="1">_xll.BDH($C$178,"INVENTORY_SEQUENTIAL_GROWTH","FQ1 2017","FQ1 2017","Currency=INR","Period=FQ","BEST_FPERIOD_OVERRIDE=FQ","FILING_STATUS=OR","EQY_CONSOLIDATED=Y","Sort=A","Dates=H","DateFormat=P","Fill=—","Direction=H","UseDPDF=Y")</f>
        <v>#NAME?</v>
      </c>
      <c r="BN194" s="1" t="e">
        <f ca="1">_xll.BDH($C$178,"FIXED_ASSETS_SEQUENTIAL_GROWTH","FQ1 2017","FQ1 2017","Currency=INR","Period=FQ","BEST_FPERIOD_OVERRIDE=FQ","FILING_STATUS=OR","EQY_CONSOLIDATED=Y","Sort=A","Dates=H","DateFormat=P","Fill=—","Direction=H","UseDPDF=Y")</f>
        <v>#NAME?</v>
      </c>
      <c r="BO194" s="1" t="e">
        <f ca="1">_xll.BDH($C$178,"TOTAL_ASSETS_SEQUENTIAL_GROWTH","FQ1 2017","FQ1 2017","Currency=INR","Period=FQ","BEST_FPERIOD_OVERRIDE=FQ","FILING_STATUS=OR","EQY_CONSOLIDATED=Y","Sort=A","Dates=H","DateFormat=P","Fill=—","Direction=H","UseDPDF=Y")</f>
        <v>#NAME?</v>
      </c>
      <c r="BP194" s="1" t="e">
        <f ca="1">_xll.BDH($C$178,"MODIFIED_WORKING_CPTL_SEQ_GRWTH","FQ1 2017","FQ1 2017","Currency=INR","Period=FQ","BEST_FPERIOD_OVERRIDE=FQ","FILING_STATUS=OR","EQY_CONSOLIDATED=Y","Sort=A","Dates=H","DateFormat=P","Fill=—","Direction=H","UseDPDF=Y")</f>
        <v>#NAME?</v>
      </c>
      <c r="BQ194" s="1" t="e">
        <f ca="1">_xll.BDH($C$178,"WORKING_CAPITAL_SEQ_GROWTH","FQ1 2017","FQ1 2017","Currency=INR","Period=FQ","BEST_FPERIOD_OVERRIDE=FQ","FILING_STATUS=OR","EQY_CONSOLIDATED=Y","Sort=A","Dates=H","DateFormat=P","Fill=—","Direction=H","UseDPDF=Y")</f>
        <v>#NAME?</v>
      </c>
      <c r="BR194" s="1" t="e">
        <f ca="1">_xll.BDH($C$178,"ACCOUNTS_PAYABLE_SEQ_GROWTH","FQ1 2017","FQ1 2017","Currency=INR","Period=FQ","BEST_FPERIOD_OVERRIDE=FQ","FILING_STATUS=OR","EQY_CONSOLIDATED=Y","Sort=A","Dates=H","DateFormat=P","Fill=—","Direction=H","UseDPDF=Y")</f>
        <v>#NAME?</v>
      </c>
      <c r="BS194" s="1" t="e">
        <f ca="1">_xll.BDH($C$178,"ST_DEBT_SEQUENTIAL_GROWTH","FQ1 2017","FQ1 2017","Currency=INR","Period=FQ","BEST_FPERIOD_OVERRIDE=FQ","FILING_STATUS=OR","EQY_CONSOLIDATED=Y","Sort=A","Dates=H","DateFormat=P","Fill=—","Direction=H","UseDPDF=Y")</f>
        <v>#NAME?</v>
      </c>
      <c r="BT194" s="1" t="e">
        <f ca="1">_xll.BDH($C$178,"TOTAL_DEBT_SEQUENTIAL_GROWTH","FQ1 2017","FQ1 2017","Currency=INR","Period=FQ","BEST_FPERIOD_OVERRIDE=FQ","FILING_STATUS=OR","EQY_CONSOLIDATED=Y","Sort=A","Dates=H","DateFormat=P","Fill=—","Direction=H","UseDPDF=Y")</f>
        <v>#NAME?</v>
      </c>
      <c r="BU194" s="1" t="e">
        <f ca="1">_xll.BDH($C$178,"TOTAL_EQUITY_SEQUENTIAL_GROWTH","FQ1 2017","FQ1 2017","Currency=INR","Period=FQ","BEST_FPERIOD_OVERRIDE=FQ","FILING_STATUS=OR","EQY_CONSOLIDATED=Y","Sort=A","Dates=H","DateFormat=P","Fill=—","Direction=H","UseDPDF=Y")</f>
        <v>#NAME?</v>
      </c>
      <c r="BV194" s="1" t="e">
        <f ca="1">_xll.BDH($C$178,"TOTAL_CAPITAL_SEQUENTIAL_GROWTH","FQ1 2017","FQ1 2017","Currency=INR","Period=FQ","BEST_FPERIOD_OVERRIDE=FQ","FILING_STATUS=OR","EQY_CONSOLIDATED=Y","Sort=A","Dates=H","DateFormat=P","Fill=—","Direction=H","UseDPDF=Y")</f>
        <v>#NAME?</v>
      </c>
      <c r="BW194" s="1" t="e">
        <f ca="1">_xll.BDH($C$178,"BPS_SEQUENTIAL_GROWTH","FQ1 2017","FQ1 2017","Currency=INR","Period=FQ","BEST_FPERIOD_OVERRIDE=FQ","FILING_STATUS=OR","EQY_CONSOLIDATED=Y","Sort=A","Dates=H","DateFormat=P","Fill=—","Direction=H","UseDPDF=Y")</f>
        <v>#NAME?</v>
      </c>
      <c r="BX194" s="1" t="e">
        <f ca="1">_xll.BDH($C$178,"CFO_SEQUENTIAL_GROWTH","FQ1 2017","FQ1 2017","Currency=INR","Period=FQ","BEST_FPERIOD_OVERRIDE=FQ","FILING_STATUS=OR","EQY_CONSOLIDATED=Y","Sort=A","Dates=H","DateFormat=P","Fill=—","Direction=H","UseDPDF=Y")</f>
        <v>#NAME?</v>
      </c>
      <c r="BY194" s="2" t="e">
        <f ca="1">_xll.BDH($C$178,"SHORT_AND_LONG_TERM_DEBT","FQ1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94" s="2" t="e">
        <f ca="1">_xll.BDH($C$178,"BS_ST_BORROW","FQ1 2017","FQ1 2017","Currency=INR","Period=FQ","BEST_FPERIOD_OVERRIDE=FQ","FILING_STATUS=OR","EQY_CONSOLIDATED=Y","SCALING_FORMAT=MLN","Sort=A","Dates=H","DateFormat=P","Fill=—","Direction=H","UseDPDF=Y")</f>
        <v>#NAME?</v>
      </c>
      <c r="CA194" s="2" t="e">
        <f ca="1">_xll.BDH($C$178,"BS_LT_BORROW","FQ1 2017","FQ1 2017","Currency=INR","Period=FQ","BEST_FPERIOD_OVERRIDE=FQ","FILING_STATUS=OR","EQY_CONSOLIDATED=Y","SCALING_FORMAT=MLN","Sort=A","Dates=H","DateFormat=P","Fill=—","Direction=H","UseDPDF=Y")</f>
        <v>#NAME?</v>
      </c>
      <c r="CB194" s="1" t="e">
        <f ca="1">_xll.BDH($C$178,"TOT_DEBT_TO_EBITDA","FQ1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94" s="1" t="e">
        <f ca="1">_xll.BDH($C$178,"NET_DEBT_TO_EBITDA","FQ1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94" s="1" t="e">
        <f ca="1">_xll.BDH($C$178,"TOTAL_DEBT_TO_EBIT","FQ1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94" s="1" t="e">
        <f ca="1">_xll.BDH($C$178,"NET_DEBT_TO_EBIT","FQ1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194" s="1" t="e">
        <f ca="1">_xll.BDH($C$178,"EBITDA_TO_INTEREST_EXPN","FQ1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94" s="1" t="e">
        <f ca="1">_xll.BDH($C$178,"COM_EQY_TO_TOT_ASSET","FQ1 2017","FQ1 2017","Currency=INR","Period=FQ","BEST_FPERIOD_OVERRIDE=FQ","FILING_STATUS=OR","EQY_CONSOLIDATED=Y","Sort=A","Dates=H","DateFormat=P","Fill=—","Direction=H","UseDPDF=Y")</f>
        <v>#NAME?</v>
      </c>
      <c r="CH194" s="1" t="e">
        <f ca="1">_xll.BDH($C$178,"LT_DEBT_TO_TOT_EQY","FQ1 2017","FQ1 2017","Currency=INR","Period=FQ","BEST_FPERIOD_OVERRIDE=FQ","FILING_STATUS=OR","EQY_CONSOLIDATED=Y","Sort=A","Dates=H","DateFormat=P","Fill=—","Direction=H","UseDPDF=Y")</f>
        <v>#NAME?</v>
      </c>
      <c r="CI194" s="1" t="e">
        <f ca="1">_xll.BDH($C$178,"LT_DEBT_TO_TOT_CAP","FQ1 2017","FQ1 2017","Currency=INR","Period=FQ","BEST_FPERIOD_OVERRIDE=FQ","FILING_STATUS=OR","EQY_CONSOLIDATED=Y","Sort=A","Dates=H","DateFormat=P","Fill=—","Direction=H","UseDPDF=Y")</f>
        <v>#NAME?</v>
      </c>
      <c r="CJ194" s="1" t="e">
        <f ca="1">_xll.BDH($C$178,"LT_DEBT_TO_TOT_ASSET","FQ1 2017","FQ1 2017","Currency=INR","Period=FQ","BEST_FPERIOD_OVERRIDE=FQ","FILING_STATUS=OR","EQY_CONSOLIDATED=Y","Sort=A","Dates=H","DateFormat=P","Fill=—","Direction=H","UseDPDF=Y")</f>
        <v>#NAME?</v>
      </c>
      <c r="CK194" s="1" t="e">
        <f ca="1">_xll.BDH($C$178,"TOT_DEBT_TO_TOT_EQY","FQ1 2017","FQ1 2017","Currency=INR","Period=FQ","BEST_FPERIOD_OVERRIDE=FQ","FILING_STATUS=OR","EQY_CONSOLIDATED=Y","Sort=A","Dates=H","DateFormat=P","Fill=—","Direction=H","UseDPDF=Y")</f>
        <v>#NAME?</v>
      </c>
      <c r="CL194" s="1" t="e">
        <f ca="1">_xll.BDH($C$178,"TOT_DEBT_TO_TOT_CAP","FQ1 2017","FQ1 2017","Currency=INR","Period=FQ","BEST_FPERIOD_OVERRIDE=FQ","FILING_STATUS=OR","EQY_CONSOLIDATED=Y","Sort=A","Dates=H","DateFormat=P","Fill=—","Direction=H","UseDPDF=Y")</f>
        <v>#NAME?</v>
      </c>
      <c r="CM194" s="1" t="e">
        <f ca="1">_xll.BDH($C$178,"TOT_DEBT_TO_TOT_ASSET","FQ1 2017","FQ1 2017","Currency=INR","Period=FQ","BEST_FPERIOD_OVERRIDE=FQ","FILING_STATUS=OR","EQY_CONSOLIDATED=Y","Sort=A","Dates=H","DateFormat=P","Fill=—","Direction=H","UseDPDF=Y")</f>
        <v>#NAME?</v>
      </c>
      <c r="CN194" s="1" t="e">
        <f ca="1">_xll.BDH($C$178,"NET_DEBT_TO_SHRHLDR_EQTY","FQ1 2017","FQ1 2017","Currency=INR","Period=FQ","BEST_FPERIOD_OVERRIDE=FQ","FILING_STATUS=OR","EQY_CONSOLIDATED=Y","Sort=A","Dates=H","DateFormat=P","Fill=—","Direction=H","UseDPDF=Y")</f>
        <v>#NAME?</v>
      </c>
      <c r="CO194" s="1" t="e">
        <f ca="1">_xll.BDH($C$178,"NET_DEBT_%_CAPITAL","FQ1 2017","FQ1 2017","Currency=INR","Period=FQ","BEST_FPERIOD_OVERRIDE=FQ","FILING_STATUS=OR","EQY_CONSOLIDATED=Y","Sort=A","Dates=H","DateFormat=P","Fill=—","Direction=H","UseDPDF=Y")</f>
        <v>#NAME?</v>
      </c>
      <c r="CP194" s="2" t="e">
        <f ca="1">_xll.BDH($C$178,"EBITDA","FQ1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94" s="2" t="e">
        <f ca="1">_xll.BDH($C$178,"EBITDA_AFTER_CAPEX","FQ1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94" s="2" t="e">
        <f ca="1">_xll.BDH($C$178,"IS_OPER_INC","FQ1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94" s="1" t="e">
        <f ca="1">_xll.BDH($C$178,"CASH_RATIO","FQ1 2017","FQ1 2017","Currency=INR","Period=FQ","BEST_FPERIOD_OVERRIDE=FQ","FILING_STATUS=OR","EQY_CONSOLIDATED=Y","Sort=A","Dates=H","DateFormat=P","Fill=—","Direction=H","UseDPDF=Y")</f>
        <v>#NAME?</v>
      </c>
      <c r="CT194" s="1" t="e">
        <f ca="1">_xll.BDH($C$178,"CUR_RATIO","FQ1 2017","FQ1 2017","Currency=INR","Period=FQ","BEST_FPERIOD_OVERRIDE=FQ","FILING_STATUS=OR","EQY_CONSOLIDATED=Y","Sort=A","Dates=H","DateFormat=P","Fill=—","Direction=H","UseDPDF=Y")</f>
        <v>#NAME?</v>
      </c>
      <c r="CU194" s="1" t="e">
        <f ca="1">_xll.BDH($C$178,"QUICK_RATIO","FQ1 2017","FQ1 2017","Currency=INR","Period=FQ","BEST_FPERIOD_OVERRIDE=FQ","FILING_STATUS=OR","EQY_CONSOLIDATED=Y","Sort=A","Dates=H","DateFormat=P","Fill=—","Direction=H","UseDPDF=Y")</f>
        <v>#NAME?</v>
      </c>
      <c r="CV194" s="1" t="e">
        <f ca="1">_xll.BDH($C$178,"ALTMAN_Z_SCORE","FQ1 2017","FQ1 2017","Currency=INR","Period=FQ","BEST_FPERIOD_OVERRIDE=FQ","FILING_STATUS=OR","EQY_CONSOLIDATED=Y","Sort=A","Dates=H","DateFormat=P","Fill=—","Direction=H","UseDPDF=Y")</f>
        <v>#NAME?</v>
      </c>
      <c r="CW194" s="3" t="e">
        <f ca="1">_xll.BDH($C$178,"ACCT_RCV_TURN","FQ1 2017","FQ1 2017","Currency=INR","Period=FQ","BEST_FPERIOD_OVERRIDE=FQ","FILING_STATUS=OR","EQY_CONSOLIDATED=Y","FA_ADJUSTED=GAAP","Sort=A","Dates=H","DateFormat=P","Fill=—","Direction=H","UseDPDF=Y")</f>
        <v>#NAME?</v>
      </c>
      <c r="CX194" s="1" t="e">
        <f ca="1">_xll.BDH($C$178,"ACCT_RCV_DAYS","FQ1 2017","FQ1 2017","Currency=INR","Period=FQ","BEST_FPERIOD_OVERRIDE=FQ","FILING_STATUS=OR","EQY_CONSOLIDATED=Y","FA_ADJUSTED=GAAP","Sort=A","Dates=H","DateFormat=P","Fill=—","Direction=H","UseDPDF=Y")</f>
        <v>#NAME?</v>
      </c>
      <c r="CY194" s="3" t="e">
        <f ca="1">_xll.BDH($C$178,"INVENT_TURN","FQ1 2017","FQ1 2017","Currency=INR","Period=FQ","BEST_FPERIOD_OVERRIDE=FQ","FILING_STATUS=OR","EQY_CONSOLIDATED=Y","FA_ADJUSTED=GAAP","Sort=A","Dates=H","DateFormat=P","Fill=—","Direction=H","UseDPDF=Y")</f>
        <v>#NAME?</v>
      </c>
      <c r="CZ194" s="1" t="e">
        <f ca="1">_xll.BDH($C$178,"INVENT_DAYS","FQ1 2017","FQ1 2017","Currency=INR","Period=FQ","BEST_FPERIOD_OVERRIDE=FQ","FILING_STATUS=OR","EQY_CONSOLIDATED=Y","FA_ADJUSTED=GAAP","Sort=A","Dates=H","DateFormat=P","Fill=—","Direction=H","UseDPDF=Y")</f>
        <v>#NAME?</v>
      </c>
      <c r="DA194" s="3" t="e">
        <f ca="1">_xll.BDH($C$178,"ACCOUNTS_PAYABLE_TURNOVER","FQ1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94" s="1" t="e">
        <f ca="1">_xll.BDH($C$178,"ACCOUNTS_PAYABLE_TURNOVER_DAYS","FQ1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94" s="3" t="e">
        <f ca="1">_xll.BDH($C$178,"CASH_CONVERSION_CYCLE","FQ1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94" s="3" t="e">
        <f ca="1">_xll.BDH($C$178,"INV_TO_CASH_DAYS","FQ1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194" s="4" t="e">
        <f ca="1">_xll.BDH($C$178,"BS_INVENTORIES","FQ1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194" s="2" t="e">
        <f ca="1">_xll.BDH($C$178,"INVTRY_RAW_MATERIALS","FQ1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94" s="2" t="e">
        <f ca="1">_xll.BDH($C$178,"INVTRY_IN_PROGRESS","FQ1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94" s="2" t="e">
        <f ca="1">_xll.BDH($C$178,"INVTRY_FINISHED_GOODS","FQ1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94" s="2" t="e">
        <f ca="1">_xll.BDH($C$178,"BS_OTHER_INV","FQ1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95" spans="1:113" x14ac:dyDescent="0.3">
      <c r="A195" s="6"/>
      <c r="B195" s="6"/>
      <c r="C195" s="6"/>
      <c r="D195" s="6"/>
      <c r="E195" t="s">
        <v>5</v>
      </c>
      <c r="F195" t="e">
        <f ca="1">_xll.BDH($C$178,"RETURN_COM_EQY","FQ2 2017","FQ2 2017","Currency=INR","Period=FQ","BEST_FPERIOD_OVERRIDE=FQ","FILING_STATUS=OR","EQY_CONSOLIDATED=Y","FA_ADJUSTED=GAAP","Sort=A","Dates=H","DateFormat=P","Fill=—","Direction=H","UseDPDF=Y")</f>
        <v>#NAME?</v>
      </c>
      <c r="G195" t="e">
        <f ca="1">_xll.BDH($C$178,"RETURN_ON_ASSET","FQ2 2017","FQ2 2017","Currency=INR","Period=FQ","BEST_FPERIOD_OVERRIDE=FQ","FILING_STATUS=OR","EQY_CONSOLIDATED=Y","FA_ADJUSTED=GAAP","Sort=A","Dates=H","DateFormat=P","Fill=—","Direction=H","UseDPDF=Y")</f>
        <v>#NAME?</v>
      </c>
      <c r="H195" t="e">
        <f ca="1">_xll.BDH($C$178,"RETURN_ON_CAP","FQ2 2017","FQ2 2017","Currency=INR","Period=FQ","BEST_FPERIOD_OVERRIDE=FQ","FILING_STATUS=OR","EQY_CONSOLIDATED=Y","FA_ADJUSTED=GAAP","Sort=A","Dates=H","DateFormat=P","Fill=—","Direction=H","UseDPDF=Y")</f>
        <v>#NAME?</v>
      </c>
      <c r="I195" t="e">
        <f ca="1">_xll.BDH($C$178,"RETURN_ON_INV_CAPITAL","FQ2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95" t="e">
        <f ca="1">_xll.BDH($C$178,"EBITDA_TO_REVENUE","FQ2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195" t="e">
        <f ca="1">_xll.BDH($C$178,"OPER_MARGIN","FQ2 2017","FQ2 2017","Currency=INR","Period=FQ","BEST_FPERIOD_OVERRIDE=FQ","FILING_STATUS=OR","EQY_CONSOLIDATED=Y","FA_ADJUSTED=GAAP","Sort=A","Dates=H","DateFormat=P","Fill=—","Direction=H","UseDPDF=Y")</f>
        <v>#NAME?</v>
      </c>
      <c r="L195" t="e">
        <f ca="1">_xll.BDH($C$178,"INCREMENTAL_OPERATING_MARGIN","FQ2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95" t="e">
        <f ca="1">_xll.BDH($C$178,"PRETAX_INC_TO_NET_SALES","FQ2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95" t="e">
        <f ca="1">_xll.BDH($C$178,"INC_BEF_XO_ITEMS_TO_NET_SALES","FQ2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95" t="e">
        <f ca="1">_xll.BDH($C$178,"PROF_MARGIN","FQ2 2017","FQ2 2017","Currency=INR","Period=FQ","BEST_FPERIOD_OVERRIDE=FQ","FILING_STATUS=OR","EQY_CONSOLIDATED=Y","FA_ADJUSTED=GAAP","Sort=A","Dates=H","DateFormat=P","Fill=—","Direction=H","UseDPDF=Y")</f>
        <v>#NAME?</v>
      </c>
      <c r="P195" t="e">
        <f ca="1">_xll.BDH($C$178,"NET_INCOME_TO_COMMON_MARGIN","FQ2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95" t="e">
        <f ca="1">_xll.BDH($C$178,"EFF_TAX_RATE","FQ2 2017","FQ2 2017","Currency=INR","Period=FQ","BEST_FPERIOD_OVERRIDE=FQ","FILING_STATUS=OR","EQY_CONSOLIDATED=Y","FA_ADJUSTED=GAAP","Sort=A","Dates=H","DateFormat=P","Fill=—","Direction=H","UseDPDF=Y")</f>
        <v>#NAME?</v>
      </c>
      <c r="R195" t="e">
        <f ca="1">_xll.BDH($C$178,"DVD_PAYOUT_RATIO","FQ2 2017","FQ2 2017","Currency=INR","Period=FQ","BEST_FPERIOD_OVERRIDE=FQ","FILING_STATUS=OR","EQY_CONSOLIDATED=Y","FA_ADJUSTED=GAAP","Sort=A","Dates=H","DateFormat=P","Fill=—","Direction=H","UseDPDF=Y")</f>
        <v>#NAME?</v>
      </c>
      <c r="S195" t="e">
        <f ca="1">_xll.BDH($C$178,"SUSTAIN_GROWTH_RT","FQ2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195" s="1" t="e">
        <f ca="1">_xll.BDH($C$178,"SALES_GROWTH","FQ2 2017","FQ2 2017","Currency=INR","Period=FQ","BEST_FPERIOD_OVERRIDE=FQ","FILING_STATUS=OR","EQY_CONSOLIDATED=Y","FA_ADJUSTED=GAAP","Sort=A","Dates=H","DateFormat=P","Fill=—","Direction=H","UseDPDF=Y")</f>
        <v>#NAME?</v>
      </c>
      <c r="U195" s="1" t="e">
        <f ca="1">_xll.BDH($C$178,"EBITDA_GROWTH","FQ2 2017","FQ2 2017","Currency=INR","Period=FQ","BEST_FPERIOD_OVERRIDE=FQ","FILING_STATUS=OR","EQY_CONSOLIDATED=Y","FA_ADJUSTED=GAAP","Sort=A","Dates=H","DateFormat=P","Fill=—","Direction=H","UseDPDF=Y")</f>
        <v>#NAME?</v>
      </c>
      <c r="V195" s="1" t="e">
        <f ca="1">_xll.BDH($C$178,"OPER_INC_GROWTH","FQ2 2017","FQ2 2017","Currency=INR","Period=FQ","BEST_FPERIOD_OVERRIDE=FQ","FILING_STATUS=OR","EQY_CONSOLIDATED=Y","FA_ADJUSTED=GAAP","Sort=A","Dates=H","DateFormat=P","Fill=—","Direction=H","UseDPDF=Y")</f>
        <v>#NAME?</v>
      </c>
      <c r="W195" s="1" t="e">
        <f ca="1">_xll.BDH($C$178,"EARN_FOR_COM_GROWTH","FQ2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95" s="1" t="e">
        <f ca="1">_xll.BDH($C$178,"DILUTED_EPS_AFT_XO_ITEMS_GROWTH","FQ2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95" s="1" t="e">
        <f ca="1">_xll.BDH($C$178,"DIVIDEND_PER_SHARE_1_YEAR_GROWTH","FQ2 2017","FQ2 2017","Currency=INR","Period=FQ","BEST_FPERIOD_OVERRIDE=FQ","FILING_STATUS=OR","EQY_CONSOLIDATED=Y","Sort=A","Dates=H","DateFormat=P","Fill=—","Direction=H","UseDPDF=Y")</f>
        <v>#NAME?</v>
      </c>
      <c r="Z195" s="1" t="e">
        <f ca="1">_xll.BDH($C$178,"ACCOUNTS_RECEIVABLE_GROWTH","FQ2 2017","FQ2 2017","Currency=INR","Period=FQ","BEST_FPERIOD_OVERRIDE=FQ","FILING_STATUS=OR","EQY_CONSOLIDATED=Y","Sort=A","Dates=H","DateFormat=P","Fill=—","Direction=H","UseDPDF=Y")</f>
        <v>#NAME?</v>
      </c>
      <c r="AA195" s="1" t="e">
        <f ca="1">_xll.BDH($C$178,"INVENTORY_GROWTH","FQ2 2017","FQ2 2017","Currency=INR","Period=FQ","BEST_FPERIOD_OVERRIDE=FQ","FILING_STATUS=OR","EQY_CONSOLIDATED=Y","Sort=A","Dates=H","DateFormat=P","Fill=—","Direction=H","UseDPDF=Y")</f>
        <v>#NAME?</v>
      </c>
      <c r="AB195" s="1" t="e">
        <f ca="1">_xll.BDH($C$178,"NET_FIXED_ASSETS_1_YEAR_GROWTH","FQ2 2017","FQ2 2017","Currency=INR","Period=FQ","BEST_FPERIOD_OVERRIDE=FQ","FILING_STATUS=OR","EQY_CONSOLIDATED=Y","Sort=A","Dates=H","DateFormat=P","Fill=—","Direction=H","UseDPDF=Y")</f>
        <v>#NAME?</v>
      </c>
      <c r="AC195" s="1" t="e">
        <f ca="1">_xll.BDH($C$178,"ASSET_GROWTH","FQ2 2017","FQ2 2017","Currency=INR","Period=FQ","BEST_FPERIOD_OVERRIDE=FQ","FILING_STATUS=OR","EQY_CONSOLIDATED=Y","Sort=A","Dates=H","DateFormat=P","Fill=—","Direction=H","UseDPDF=Y")</f>
        <v>#NAME?</v>
      </c>
      <c r="AD195" s="1" t="e">
        <f ca="1">_xll.BDH($C$178,"MODIFIED_WORK_CAP_GROWTH","FQ2 2017","FQ2 2017","Currency=INR","Period=FQ","BEST_FPERIOD_OVERRIDE=FQ","FILING_STATUS=OR","EQY_CONSOLIDATED=Y","Sort=A","Dates=H","DateFormat=P","Fill=—","Direction=H","UseDPDF=Y")</f>
        <v>#NAME?</v>
      </c>
      <c r="AE195" s="1" t="e">
        <f ca="1">_xll.BDH($C$178,"WORK_CAP_GROWTH","FQ2 2017","FQ2 2017","Currency=INR","Period=FQ","BEST_FPERIOD_OVERRIDE=FQ","FILING_STATUS=OR","EQY_CONSOLIDATED=Y","Sort=A","Dates=H","DateFormat=P","Fill=—","Direction=H","UseDPDF=Y")</f>
        <v>#NAME?</v>
      </c>
      <c r="AF195" s="1" t="e">
        <f ca="1">_xll.BDH($C$178,"ACCOUNTS_PAYABLE_GROWTH_1YR","FQ2 2017","FQ2 2017","Currency=INR","Period=FQ","BEST_FPERIOD_OVERRIDE=FQ","FILING_STATUS=OR","EQY_CONSOLIDATED=Y","Sort=A","Dates=H","DateFormat=P","Fill=—","Direction=H","UseDPDF=Y")</f>
        <v>#NAME?</v>
      </c>
      <c r="AG195" s="1" t="e">
        <f ca="1">_xll.BDH($C$178,"SHORT_TERM_DEBT_1_YEAR_GROWTH","FQ2 2017","FQ2 2017","Currency=INR","Period=FQ","BEST_FPERIOD_OVERRIDE=FQ","FILING_STATUS=OR","EQY_CONSOLIDATED=Y","Sort=A","Dates=H","DateFormat=P","Fill=—","Direction=H","UseDPDF=Y")</f>
        <v>#NAME?</v>
      </c>
      <c r="AH195" s="1" t="e">
        <f ca="1">_xll.BDH($C$178,"TOTAL_DEBT_1_YEAR_GROWTH","FQ2 2017","FQ2 2017","Currency=INR","Period=FQ","BEST_FPERIOD_OVERRIDE=FQ","FILING_STATUS=OR","EQY_CONSOLIDATED=Y","Sort=A","Dates=H","DateFormat=P","Fill=—","Direction=H","UseDPDF=Y")</f>
        <v>#NAME?</v>
      </c>
      <c r="AI195" s="1" t="e">
        <f ca="1">_xll.BDH($C$178,"TOTAL_EQUITY_1_YEAR_GROWTH","FQ2 2017","FQ2 2017","Currency=INR","Period=FQ","BEST_FPERIOD_OVERRIDE=FQ","FILING_STATUS=OR","EQY_CONSOLIDATED=Y","Sort=A","Dates=H","DateFormat=P","Fill=—","Direction=H","UseDPDF=Y")</f>
        <v>#NAME?</v>
      </c>
      <c r="AJ195" s="1" t="e">
        <f ca="1">_xll.BDH($C$178,"GROWTH_IN_CAP","FQ2 2017","FQ2 2017","Currency=INR","Period=FQ","BEST_FPERIOD_OVERRIDE=FQ","FILING_STATUS=OR","EQY_CONSOLIDATED=Y","Sort=A","Dates=H","DateFormat=P","Fill=—","Direction=H","UseDPDF=Y")</f>
        <v>#NAME?</v>
      </c>
      <c r="AK195" s="1" t="e">
        <f ca="1">_xll.BDH($C$178,"BVPS_GROWTH","FQ2 2017","FQ2 2017","Currency=INR","Period=FQ","BEST_FPERIOD_OVERRIDE=FQ","FILING_STATUS=OR","EQY_CONSOLIDATED=Y","Sort=A","Dates=H","DateFormat=P","Fill=—","Direction=H","UseDPDF=Y")</f>
        <v>#NAME?</v>
      </c>
      <c r="AL195" s="1" t="e">
        <f ca="1">_xll.BDH($C$178,"CASH_FLOW_GROWTH","FQ2 2017","FQ2 2017","Currency=INR","Period=FQ","BEST_FPERIOD_OVERRIDE=FQ","FILING_STATUS=OR","EQY_CONSOLIDATED=Y","Sort=A","Dates=H","DateFormat=P","Fill=—","Direction=H","UseDPDF=Y")</f>
        <v>#NAME?</v>
      </c>
      <c r="AM195" s="1" t="e">
        <f ca="1">_xll.BDH($C$178,"GEO_GROW_NET_SALES","FQ2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95" s="1" t="e">
        <f ca="1">_xll.BDH($C$178,"GEO_GROW_EBITDA","FQ2 2017","FQ2 2017","Currency=INR","Period=FQ","BEST_FPERIOD_OVERRIDE=FQ","FILING_STATUS=OR","EQY_CONSOLIDATED=Y","FA_ADJUSTED=GAAP","Sort=A","Dates=H","DateFormat=P","Fill=—","Direction=H","UseDPDF=Y")</f>
        <v>#NAME?</v>
      </c>
      <c r="AO195" s="1" t="e">
        <f ca="1">_xll.BDH($C$178,"GEO_GROW_OPER_INC","FQ2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95" s="1" t="e">
        <f ca="1">_xll.BDH($C$178,"NET_INCOME_TO_COMMON_5_YR_GROWTH","FQ2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95" s="1" t="e">
        <f ca="1">_xll.BDH($C$178,"5Y_GEO_GROWTH_DILUTED_EPS","FQ2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95" s="1" t="e">
        <f ca="1">_xll.BDH($C$178,"GEO_GROW_DVD_PER_SH","FQ2 2017","FQ2 2017","Currency=INR","Period=FQ","BEST_FPERIOD_OVERRIDE=FQ","FILING_STATUS=OR","EQY_CONSOLIDATED=Y","Sort=A","Dates=H","DateFormat=P","Fill=—","Direction=H","UseDPDF=Y")</f>
        <v>#NAME?</v>
      </c>
      <c r="AS195" s="1" t="e">
        <f ca="1">_xll.BDH($C$178,"ACCOUNTS_RECEIVABLE_5_YR_GROWTH","FQ2 2017","FQ2 2017","Currency=INR","Period=FQ","BEST_FPERIOD_OVERRIDE=FQ","FILING_STATUS=OR","EQY_CONSOLIDATED=Y","Sort=A","Dates=H","DateFormat=P","Fill=—","Direction=H","UseDPDF=Y")</f>
        <v>#NAME?</v>
      </c>
      <c r="AT195" s="1" t="e">
        <f ca="1">_xll.BDH($C$178,"INVENTORY_5_YEAR_GROWTH","FQ2 2017","FQ2 2017","Currency=INR","Period=FQ","BEST_FPERIOD_OVERRIDE=FQ","FILING_STATUS=OR","EQY_CONSOLIDATED=Y","Sort=A","Dates=H","DateFormat=P","Fill=—","Direction=H","UseDPDF=Y")</f>
        <v>#NAME?</v>
      </c>
      <c r="AU195" s="1" t="e">
        <f ca="1">_xll.BDH($C$178,"NET_FIXED_ASSETS_5_YEAR_GROWTH","FQ2 2017","FQ2 2017","Currency=INR","Period=FQ","BEST_FPERIOD_OVERRIDE=FQ","FILING_STATUS=OR","EQY_CONSOLIDATED=Y","Sort=A","Dates=H","DateFormat=P","Fill=—","Direction=H","UseDPDF=Y")</f>
        <v>#NAME?</v>
      </c>
      <c r="AV195" s="1" t="e">
        <f ca="1">_xll.BDH($C$178,"GEO_GROW_TOT_ASSET","FQ2 2017","FQ2 2017","Currency=INR","Period=FQ","BEST_FPERIOD_OVERRIDE=FQ","FILING_STATUS=OR","EQY_CONSOLIDATED=Y","Sort=A","Dates=H","DateFormat=P","Fill=—","Direction=H","UseDPDF=Y")</f>
        <v>#NAME?</v>
      </c>
      <c r="AW195" s="1" t="e">
        <f ca="1">_xll.BDH($C$178,"MODIFIED_WORKING_CPTL_5YR_GRWTH","FQ2 2017","FQ2 2017","Currency=INR","Period=FQ","BEST_FPERIOD_OVERRIDE=FQ","FILING_STATUS=OR","EQY_CONSOLIDATED=Y","Sort=A","Dates=H","DateFormat=P","Fill=—","Direction=H","UseDPDF=Y")</f>
        <v>#NAME?</v>
      </c>
      <c r="AX195" s="1" t="e">
        <f ca="1">_xll.BDH($C$178,"WORKING_CAPITAL_5_YEAR_GROWTH","FQ2 2017","FQ2 2017","Currency=INR","Period=FQ","BEST_FPERIOD_OVERRIDE=FQ","FILING_STATUS=OR","EQY_CONSOLIDATED=Y","Sort=A","Dates=H","DateFormat=P","Fill=—","Direction=H","UseDPDF=Y")</f>
        <v>#NAME?</v>
      </c>
      <c r="AY195" s="1" t="e">
        <f ca="1">_xll.BDH($C$178,"ACCOUNTS_PAYABLE_5_YEAR_GROWTH","FQ2 2017","FQ2 2017","Currency=INR","Period=FQ","BEST_FPERIOD_OVERRIDE=FQ","FILING_STATUS=OR","EQY_CONSOLIDATED=Y","Sort=A","Dates=H","DateFormat=P","Fill=—","Direction=H","UseDPDF=Y")</f>
        <v>#NAME?</v>
      </c>
      <c r="AZ195" s="1" t="e">
        <f ca="1">_xll.BDH($C$178,"SHORT_TERM_DEBT_5_YEAR_GROWTH","FQ2 2017","FQ2 2017","Currency=INR","Period=FQ","BEST_FPERIOD_OVERRIDE=FQ","FILING_STATUS=OR","EQY_CONSOLIDATED=Y","Sort=A","Dates=H","DateFormat=P","Fill=—","Direction=H","UseDPDF=Y")</f>
        <v>#NAME?</v>
      </c>
      <c r="BA195" s="1" t="e">
        <f ca="1">_xll.BDH($C$178,"TOTAL_DEBT_5_YEAR_GROWTH","FQ2 2017","FQ2 2017","Currency=INR","Period=FQ","BEST_FPERIOD_OVERRIDE=FQ","FILING_STATUS=OR","EQY_CONSOLIDATED=Y","Sort=A","Dates=H","DateFormat=P","Fill=—","Direction=H","UseDPDF=Y")</f>
        <v>#NAME?</v>
      </c>
      <c r="BB195" s="1" t="e">
        <f ca="1">_xll.BDH($C$178,"GEO_GROW_TOT_SHRHLDR_EQY","FQ2 2017","FQ2 2017","Currency=INR","Period=FQ","BEST_FPERIOD_OVERRIDE=FQ","FILING_STATUS=OR","EQY_CONSOLIDATED=Y","Sort=A","Dates=H","DateFormat=P","Fill=—","Direction=H","UseDPDF=Y")</f>
        <v>#NAME?</v>
      </c>
      <c r="BC195" s="1" t="e">
        <f ca="1">_xll.BDH($C$178,"TOTAL_CAPITAL_5_YEAR_GROWTH","FQ2 2017","FQ2 2017","Currency=INR","Period=FQ","BEST_FPERIOD_OVERRIDE=FQ","FILING_STATUS=OR","EQY_CONSOLIDATED=Y","Sort=A","Dates=H","DateFormat=P","Fill=—","Direction=H","UseDPDF=Y")</f>
        <v>#NAME?</v>
      </c>
      <c r="BD195" s="1" t="e">
        <f ca="1">_xll.BDH($C$178,"GEO_GROW_BOOK_VAL","FQ2 2017","FQ2 2017","Currency=INR","Period=FQ","BEST_FPERIOD_OVERRIDE=FQ","FILING_STATUS=OR","EQY_CONSOLIDATED=Y","Sort=A","Dates=H","DateFormat=P","Fill=—","Direction=H","UseDPDF=Y")</f>
        <v>#NAME?</v>
      </c>
      <c r="BE195" s="1" t="e">
        <f ca="1">_xll.BDH($C$178,"GEO_GROW_CASH_OPER_ACT","FQ2 2017","FQ2 2017","Currency=INR","Period=FQ","BEST_FPERIOD_OVERRIDE=FQ","FILING_STATUS=OR","EQY_CONSOLIDATED=Y","Sort=A","Dates=H","DateFormat=P","Fill=—","Direction=H","UseDPDF=Y")</f>
        <v>#NAME?</v>
      </c>
      <c r="BF195" s="1" t="e">
        <f ca="1">_xll.BDH($C$178,"REVENUE_SEQUENTIAL_GROWTH","FQ2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95" s="1" t="e">
        <f ca="1">_xll.BDH($C$178,"EBITDA_SEQUENTIAL_GROWTH","FQ2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95" s="1" t="e">
        <f ca="1">_xll.BDH($C$178,"OPERATING_INCOME_SEQ_GROWTH","FQ2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95" s="1" t="e">
        <f ca="1">_xll.BDH($C$178,"NET_INCOME_TO_COMMON_SEQ_GROWTH","FQ2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95" s="1" t="e">
        <f ca="1">_xll.BDH($C$178,"EPS_DILUTED_SEQUENTIAL_GROWTH","FQ2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95" s="1" t="e">
        <f ca="1">_xll.BDH($C$178,"DPS_SEQUENTIAL_GROWTH","FQ2 2017","FQ2 2017","Currency=INR","Period=FQ","BEST_FPERIOD_OVERRIDE=FQ","FILING_STATUS=OR","EQY_CONSOLIDATED=Y","Sort=A","Dates=H","DateFormat=P","Fill=—","Direction=H","UseDPDF=Y")</f>
        <v>#NAME?</v>
      </c>
      <c r="BL195" s="1" t="e">
        <f ca="1">_xll.BDH($C$178,"ACCOUNTS_RECEIVABLE_SEQ_GROWTH","FQ2 2017","FQ2 2017","Currency=INR","Period=FQ","BEST_FPERIOD_OVERRIDE=FQ","FILING_STATUS=OR","EQY_CONSOLIDATED=Y","Sort=A","Dates=H","DateFormat=P","Fill=—","Direction=H","UseDPDF=Y")</f>
        <v>#NAME?</v>
      </c>
      <c r="BM195" s="1" t="e">
        <f ca="1">_xll.BDH($C$178,"INVENTORY_SEQUENTIAL_GROWTH","FQ2 2017","FQ2 2017","Currency=INR","Period=FQ","BEST_FPERIOD_OVERRIDE=FQ","FILING_STATUS=OR","EQY_CONSOLIDATED=Y","Sort=A","Dates=H","DateFormat=P","Fill=—","Direction=H","UseDPDF=Y")</f>
        <v>#NAME?</v>
      </c>
      <c r="BN195" s="1" t="e">
        <f ca="1">_xll.BDH($C$178,"FIXED_ASSETS_SEQUENTIAL_GROWTH","FQ2 2017","FQ2 2017","Currency=INR","Period=FQ","BEST_FPERIOD_OVERRIDE=FQ","FILING_STATUS=OR","EQY_CONSOLIDATED=Y","Sort=A","Dates=H","DateFormat=P","Fill=—","Direction=H","UseDPDF=Y")</f>
        <v>#NAME?</v>
      </c>
      <c r="BO195" s="1" t="e">
        <f ca="1">_xll.BDH($C$178,"TOTAL_ASSETS_SEQUENTIAL_GROWTH","FQ2 2017","FQ2 2017","Currency=INR","Period=FQ","BEST_FPERIOD_OVERRIDE=FQ","FILING_STATUS=OR","EQY_CONSOLIDATED=Y","Sort=A","Dates=H","DateFormat=P","Fill=—","Direction=H","UseDPDF=Y")</f>
        <v>#NAME?</v>
      </c>
      <c r="BP195" s="1" t="e">
        <f ca="1">_xll.BDH($C$178,"MODIFIED_WORKING_CPTL_SEQ_GRWTH","FQ2 2017","FQ2 2017","Currency=INR","Period=FQ","BEST_FPERIOD_OVERRIDE=FQ","FILING_STATUS=OR","EQY_CONSOLIDATED=Y","Sort=A","Dates=H","DateFormat=P","Fill=—","Direction=H","UseDPDF=Y")</f>
        <v>#NAME?</v>
      </c>
      <c r="BQ195" s="1" t="e">
        <f ca="1">_xll.BDH($C$178,"WORKING_CAPITAL_SEQ_GROWTH","FQ2 2017","FQ2 2017","Currency=INR","Period=FQ","BEST_FPERIOD_OVERRIDE=FQ","FILING_STATUS=OR","EQY_CONSOLIDATED=Y","Sort=A","Dates=H","DateFormat=P","Fill=—","Direction=H","UseDPDF=Y")</f>
        <v>#NAME?</v>
      </c>
      <c r="BR195" s="1" t="e">
        <f ca="1">_xll.BDH($C$178,"ACCOUNTS_PAYABLE_SEQ_GROWTH","FQ2 2017","FQ2 2017","Currency=INR","Period=FQ","BEST_FPERIOD_OVERRIDE=FQ","FILING_STATUS=OR","EQY_CONSOLIDATED=Y","Sort=A","Dates=H","DateFormat=P","Fill=—","Direction=H","UseDPDF=Y")</f>
        <v>#NAME?</v>
      </c>
      <c r="BS195" s="1" t="e">
        <f ca="1">_xll.BDH($C$178,"ST_DEBT_SEQUENTIAL_GROWTH","FQ2 2017","FQ2 2017","Currency=INR","Period=FQ","BEST_FPERIOD_OVERRIDE=FQ","FILING_STATUS=OR","EQY_CONSOLIDATED=Y","Sort=A","Dates=H","DateFormat=P","Fill=—","Direction=H","UseDPDF=Y")</f>
        <v>#NAME?</v>
      </c>
      <c r="BT195" s="1" t="e">
        <f ca="1">_xll.BDH($C$178,"TOTAL_DEBT_SEQUENTIAL_GROWTH","FQ2 2017","FQ2 2017","Currency=INR","Period=FQ","BEST_FPERIOD_OVERRIDE=FQ","FILING_STATUS=OR","EQY_CONSOLIDATED=Y","Sort=A","Dates=H","DateFormat=P","Fill=—","Direction=H","UseDPDF=Y")</f>
        <v>#NAME?</v>
      </c>
      <c r="BU195" s="1" t="e">
        <f ca="1">_xll.BDH($C$178,"TOTAL_EQUITY_SEQUENTIAL_GROWTH","FQ2 2017","FQ2 2017","Currency=INR","Period=FQ","BEST_FPERIOD_OVERRIDE=FQ","FILING_STATUS=OR","EQY_CONSOLIDATED=Y","Sort=A","Dates=H","DateFormat=P","Fill=—","Direction=H","UseDPDF=Y")</f>
        <v>#NAME?</v>
      </c>
      <c r="BV195" s="1" t="e">
        <f ca="1">_xll.BDH($C$178,"TOTAL_CAPITAL_SEQUENTIAL_GROWTH","FQ2 2017","FQ2 2017","Currency=INR","Period=FQ","BEST_FPERIOD_OVERRIDE=FQ","FILING_STATUS=OR","EQY_CONSOLIDATED=Y","Sort=A","Dates=H","DateFormat=P","Fill=—","Direction=H","UseDPDF=Y")</f>
        <v>#NAME?</v>
      </c>
      <c r="BW195" s="1" t="e">
        <f ca="1">_xll.BDH($C$178,"BPS_SEQUENTIAL_GROWTH","FQ2 2017","FQ2 2017","Currency=INR","Period=FQ","BEST_FPERIOD_OVERRIDE=FQ","FILING_STATUS=OR","EQY_CONSOLIDATED=Y","Sort=A","Dates=H","DateFormat=P","Fill=—","Direction=H","UseDPDF=Y")</f>
        <v>#NAME?</v>
      </c>
      <c r="BX195" s="1" t="e">
        <f ca="1">_xll.BDH($C$178,"CFO_SEQUENTIAL_GROWTH","FQ2 2017","FQ2 2017","Currency=INR","Period=FQ","BEST_FPERIOD_OVERRIDE=FQ","FILING_STATUS=OR","EQY_CONSOLIDATED=Y","Sort=A","Dates=H","DateFormat=P","Fill=—","Direction=H","UseDPDF=Y")</f>
        <v>#NAME?</v>
      </c>
      <c r="BY195" s="2" t="e">
        <f ca="1">_xll.BDH($C$178,"SHORT_AND_LONG_TERM_DEBT","FQ2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95" s="2" t="e">
        <f ca="1">_xll.BDH($C$178,"BS_ST_BORROW","FQ2 2017","FQ2 2017","Currency=INR","Period=FQ","BEST_FPERIOD_OVERRIDE=FQ","FILING_STATUS=OR","EQY_CONSOLIDATED=Y","SCALING_FORMAT=MLN","Sort=A","Dates=H","DateFormat=P","Fill=—","Direction=H","UseDPDF=Y")</f>
        <v>#NAME?</v>
      </c>
      <c r="CA195" s="2" t="e">
        <f ca="1">_xll.BDH($C$178,"BS_LT_BORROW","FQ2 2017","FQ2 2017","Currency=INR","Period=FQ","BEST_FPERIOD_OVERRIDE=FQ","FILING_STATUS=OR","EQY_CONSOLIDATED=Y","SCALING_FORMAT=MLN","Sort=A","Dates=H","DateFormat=P","Fill=—","Direction=H","UseDPDF=Y")</f>
        <v>#NAME?</v>
      </c>
      <c r="CB195" s="1" t="e">
        <f ca="1">_xll.BDH($C$178,"TOT_DEBT_TO_EBITDA","FQ2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95" s="1" t="e">
        <f ca="1">_xll.BDH($C$178,"NET_DEBT_TO_EBITDA","FQ2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95" s="1" t="e">
        <f ca="1">_xll.BDH($C$178,"TOTAL_DEBT_TO_EBIT","FQ2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95" s="1" t="e">
        <f ca="1">_xll.BDH($C$178,"NET_DEBT_TO_EBIT","FQ2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195" s="1" t="e">
        <f ca="1">_xll.BDH($C$178,"EBITDA_TO_INTEREST_EXPN","FQ2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95" s="1" t="e">
        <f ca="1">_xll.BDH($C$178,"COM_EQY_TO_TOT_ASSET","FQ2 2017","FQ2 2017","Currency=INR","Period=FQ","BEST_FPERIOD_OVERRIDE=FQ","FILING_STATUS=OR","EQY_CONSOLIDATED=Y","Sort=A","Dates=H","DateFormat=P","Fill=—","Direction=H","UseDPDF=Y")</f>
        <v>#NAME?</v>
      </c>
      <c r="CH195" s="1" t="e">
        <f ca="1">_xll.BDH($C$178,"LT_DEBT_TO_TOT_EQY","FQ2 2017","FQ2 2017","Currency=INR","Period=FQ","BEST_FPERIOD_OVERRIDE=FQ","FILING_STATUS=OR","EQY_CONSOLIDATED=Y","Sort=A","Dates=H","DateFormat=P","Fill=—","Direction=H","UseDPDF=Y")</f>
        <v>#NAME?</v>
      </c>
      <c r="CI195" s="1" t="e">
        <f ca="1">_xll.BDH($C$178,"LT_DEBT_TO_TOT_CAP","FQ2 2017","FQ2 2017","Currency=INR","Period=FQ","BEST_FPERIOD_OVERRIDE=FQ","FILING_STATUS=OR","EQY_CONSOLIDATED=Y","Sort=A","Dates=H","DateFormat=P","Fill=—","Direction=H","UseDPDF=Y")</f>
        <v>#NAME?</v>
      </c>
      <c r="CJ195" s="1" t="e">
        <f ca="1">_xll.BDH($C$178,"LT_DEBT_TO_TOT_ASSET","FQ2 2017","FQ2 2017","Currency=INR","Period=FQ","BEST_FPERIOD_OVERRIDE=FQ","FILING_STATUS=OR","EQY_CONSOLIDATED=Y","Sort=A","Dates=H","DateFormat=P","Fill=—","Direction=H","UseDPDF=Y")</f>
        <v>#NAME?</v>
      </c>
      <c r="CK195" s="1" t="e">
        <f ca="1">_xll.BDH($C$178,"TOT_DEBT_TO_TOT_EQY","FQ2 2017","FQ2 2017","Currency=INR","Period=FQ","BEST_FPERIOD_OVERRIDE=FQ","FILING_STATUS=OR","EQY_CONSOLIDATED=Y","Sort=A","Dates=H","DateFormat=P","Fill=—","Direction=H","UseDPDF=Y")</f>
        <v>#NAME?</v>
      </c>
      <c r="CL195" s="1" t="e">
        <f ca="1">_xll.BDH($C$178,"TOT_DEBT_TO_TOT_CAP","FQ2 2017","FQ2 2017","Currency=INR","Period=FQ","BEST_FPERIOD_OVERRIDE=FQ","FILING_STATUS=OR","EQY_CONSOLIDATED=Y","Sort=A","Dates=H","DateFormat=P","Fill=—","Direction=H","UseDPDF=Y")</f>
        <v>#NAME?</v>
      </c>
      <c r="CM195" s="1" t="e">
        <f ca="1">_xll.BDH($C$178,"TOT_DEBT_TO_TOT_ASSET","FQ2 2017","FQ2 2017","Currency=INR","Period=FQ","BEST_FPERIOD_OVERRIDE=FQ","FILING_STATUS=OR","EQY_CONSOLIDATED=Y","Sort=A","Dates=H","DateFormat=P","Fill=—","Direction=H","UseDPDF=Y")</f>
        <v>#NAME?</v>
      </c>
      <c r="CN195" s="1" t="e">
        <f ca="1">_xll.BDH($C$178,"NET_DEBT_TO_SHRHLDR_EQTY","FQ2 2017","FQ2 2017","Currency=INR","Period=FQ","BEST_FPERIOD_OVERRIDE=FQ","FILING_STATUS=OR","EQY_CONSOLIDATED=Y","Sort=A","Dates=H","DateFormat=P","Fill=—","Direction=H","UseDPDF=Y")</f>
        <v>#NAME?</v>
      </c>
      <c r="CO195" s="1" t="e">
        <f ca="1">_xll.BDH($C$178,"NET_DEBT_%_CAPITAL","FQ2 2017","FQ2 2017","Currency=INR","Period=FQ","BEST_FPERIOD_OVERRIDE=FQ","FILING_STATUS=OR","EQY_CONSOLIDATED=Y","Sort=A","Dates=H","DateFormat=P","Fill=—","Direction=H","UseDPDF=Y")</f>
        <v>#NAME?</v>
      </c>
      <c r="CP195" s="2" t="e">
        <f ca="1">_xll.BDH($C$178,"EBITDA","FQ2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95" s="2" t="e">
        <f ca="1">_xll.BDH($C$178,"EBITDA_AFTER_CAPEX","FQ2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95" s="2" t="e">
        <f ca="1">_xll.BDH($C$178,"IS_OPER_INC","FQ2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95" s="1" t="e">
        <f ca="1">_xll.BDH($C$178,"CASH_RATIO","FQ2 2017","FQ2 2017","Currency=INR","Period=FQ","BEST_FPERIOD_OVERRIDE=FQ","FILING_STATUS=OR","EQY_CONSOLIDATED=Y","Sort=A","Dates=H","DateFormat=P","Fill=—","Direction=H","UseDPDF=Y")</f>
        <v>#NAME?</v>
      </c>
      <c r="CT195" s="1" t="e">
        <f ca="1">_xll.BDH($C$178,"CUR_RATIO","FQ2 2017","FQ2 2017","Currency=INR","Period=FQ","BEST_FPERIOD_OVERRIDE=FQ","FILING_STATUS=OR","EQY_CONSOLIDATED=Y","Sort=A","Dates=H","DateFormat=P","Fill=—","Direction=H","UseDPDF=Y")</f>
        <v>#NAME?</v>
      </c>
      <c r="CU195" s="1" t="e">
        <f ca="1">_xll.BDH($C$178,"QUICK_RATIO","FQ2 2017","FQ2 2017","Currency=INR","Period=FQ","BEST_FPERIOD_OVERRIDE=FQ","FILING_STATUS=OR","EQY_CONSOLIDATED=Y","Sort=A","Dates=H","DateFormat=P","Fill=—","Direction=H","UseDPDF=Y")</f>
        <v>#NAME?</v>
      </c>
      <c r="CV195" s="1" t="e">
        <f ca="1">_xll.BDH($C$178,"ALTMAN_Z_SCORE","FQ2 2017","FQ2 2017","Currency=INR","Period=FQ","BEST_FPERIOD_OVERRIDE=FQ","FILING_STATUS=OR","EQY_CONSOLIDATED=Y","Sort=A","Dates=H","DateFormat=P","Fill=—","Direction=H","UseDPDF=Y")</f>
        <v>#NAME?</v>
      </c>
      <c r="CW195" s="3" t="e">
        <f ca="1">_xll.BDH($C$178,"ACCT_RCV_TURN","FQ2 2017","FQ2 2017","Currency=INR","Period=FQ","BEST_FPERIOD_OVERRIDE=FQ","FILING_STATUS=OR","EQY_CONSOLIDATED=Y","FA_ADJUSTED=GAAP","Sort=A","Dates=H","DateFormat=P","Fill=—","Direction=H","UseDPDF=Y")</f>
        <v>#NAME?</v>
      </c>
      <c r="CX195" s="1" t="e">
        <f ca="1">_xll.BDH($C$178,"ACCT_RCV_DAYS","FQ2 2017","FQ2 2017","Currency=INR","Period=FQ","BEST_FPERIOD_OVERRIDE=FQ","FILING_STATUS=OR","EQY_CONSOLIDATED=Y","FA_ADJUSTED=GAAP","Sort=A","Dates=H","DateFormat=P","Fill=—","Direction=H","UseDPDF=Y")</f>
        <v>#NAME?</v>
      </c>
      <c r="CY195" s="3" t="e">
        <f ca="1">_xll.BDH($C$178,"INVENT_TURN","FQ2 2017","FQ2 2017","Currency=INR","Period=FQ","BEST_FPERIOD_OVERRIDE=FQ","FILING_STATUS=OR","EQY_CONSOLIDATED=Y","FA_ADJUSTED=GAAP","Sort=A","Dates=H","DateFormat=P","Fill=—","Direction=H","UseDPDF=Y")</f>
        <v>#NAME?</v>
      </c>
      <c r="CZ195" s="1" t="e">
        <f ca="1">_xll.BDH($C$178,"INVENT_DAYS","FQ2 2017","FQ2 2017","Currency=INR","Period=FQ","BEST_FPERIOD_OVERRIDE=FQ","FILING_STATUS=OR","EQY_CONSOLIDATED=Y","FA_ADJUSTED=GAAP","Sort=A","Dates=H","DateFormat=P","Fill=—","Direction=H","UseDPDF=Y")</f>
        <v>#NAME?</v>
      </c>
      <c r="DA195" s="3" t="e">
        <f ca="1">_xll.BDH($C$178,"ACCOUNTS_PAYABLE_TURNOVER","FQ2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95" s="1" t="e">
        <f ca="1">_xll.BDH($C$178,"ACCOUNTS_PAYABLE_TURNOVER_DAYS","FQ2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95" s="3" t="e">
        <f ca="1">_xll.BDH($C$178,"CASH_CONVERSION_CYCLE","FQ2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95" s="3" t="e">
        <f ca="1">_xll.BDH($C$178,"INV_TO_CASH_DAYS","FQ2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195" s="4" t="e">
        <f ca="1">_xll.BDH($C$178,"BS_INVENTORIES","FQ2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195" s="2" t="e">
        <f ca="1">_xll.BDH($C$178,"INVTRY_RAW_MATERIALS","FQ2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95" s="2" t="e">
        <f ca="1">_xll.BDH($C$178,"INVTRY_IN_PROGRESS","FQ2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95" s="2" t="e">
        <f ca="1">_xll.BDH($C$178,"INVTRY_FINISHED_GOODS","FQ2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95" s="2" t="e">
        <f ca="1">_xll.BDH($C$178,"BS_OTHER_INV","FQ2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96" spans="1:113" x14ac:dyDescent="0.3">
      <c r="A196" s="6"/>
      <c r="B196" s="6"/>
      <c r="C196" s="6"/>
      <c r="D196" s="6"/>
      <c r="E196" t="s">
        <v>6</v>
      </c>
      <c r="F196" t="e">
        <f ca="1">_xll.BDH($C$178,"RETURN_COM_EQY","FQ3 2017","FQ3 2017","Currency=INR","Period=FQ","BEST_FPERIOD_OVERRIDE=FQ","FILING_STATUS=OR","EQY_CONSOLIDATED=Y","FA_ADJUSTED=GAAP","Sort=A","Dates=H","DateFormat=P","Fill=—","Direction=H","UseDPDF=Y")</f>
        <v>#NAME?</v>
      </c>
      <c r="G196" t="e">
        <f ca="1">_xll.BDH($C$178,"RETURN_ON_ASSET","FQ3 2017","FQ3 2017","Currency=INR","Period=FQ","BEST_FPERIOD_OVERRIDE=FQ","FILING_STATUS=OR","EQY_CONSOLIDATED=Y","FA_ADJUSTED=GAAP","Sort=A","Dates=H","DateFormat=P","Fill=—","Direction=H","UseDPDF=Y")</f>
        <v>#NAME?</v>
      </c>
      <c r="H196" t="e">
        <f ca="1">_xll.BDH($C$178,"RETURN_ON_CAP","FQ3 2017","FQ3 2017","Currency=INR","Period=FQ","BEST_FPERIOD_OVERRIDE=FQ","FILING_STATUS=OR","EQY_CONSOLIDATED=Y","FA_ADJUSTED=GAAP","Sort=A","Dates=H","DateFormat=P","Fill=—","Direction=H","UseDPDF=Y")</f>
        <v>#NAME?</v>
      </c>
      <c r="I196" t="e">
        <f ca="1">_xll.BDH($C$178,"RETURN_ON_INV_CAPITAL","FQ3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96" t="e">
        <f ca="1">_xll.BDH($C$178,"EBITDA_TO_REVENUE","FQ3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196" t="e">
        <f ca="1">_xll.BDH($C$178,"OPER_MARGIN","FQ3 2017","FQ3 2017","Currency=INR","Period=FQ","BEST_FPERIOD_OVERRIDE=FQ","FILING_STATUS=OR","EQY_CONSOLIDATED=Y","FA_ADJUSTED=GAAP","Sort=A","Dates=H","DateFormat=P","Fill=—","Direction=H","UseDPDF=Y")</f>
        <v>#NAME?</v>
      </c>
      <c r="L196" t="e">
        <f ca="1">_xll.BDH($C$178,"INCREMENTAL_OPERATING_MARGIN","FQ3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96" t="e">
        <f ca="1">_xll.BDH($C$178,"PRETAX_INC_TO_NET_SALES","FQ3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96" t="e">
        <f ca="1">_xll.BDH($C$178,"INC_BEF_XO_ITEMS_TO_NET_SALES","FQ3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96" t="e">
        <f ca="1">_xll.BDH($C$178,"PROF_MARGIN","FQ3 2017","FQ3 2017","Currency=INR","Period=FQ","BEST_FPERIOD_OVERRIDE=FQ","FILING_STATUS=OR","EQY_CONSOLIDATED=Y","FA_ADJUSTED=GAAP","Sort=A","Dates=H","DateFormat=P","Fill=—","Direction=H","UseDPDF=Y")</f>
        <v>#NAME?</v>
      </c>
      <c r="P196" t="e">
        <f ca="1">_xll.BDH($C$178,"NET_INCOME_TO_COMMON_MARGIN","FQ3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96" t="e">
        <f ca="1">_xll.BDH($C$178,"EFF_TAX_RATE","FQ3 2017","FQ3 2017","Currency=INR","Period=FQ","BEST_FPERIOD_OVERRIDE=FQ","FILING_STATUS=OR","EQY_CONSOLIDATED=Y","FA_ADJUSTED=GAAP","Sort=A","Dates=H","DateFormat=P","Fill=—","Direction=H","UseDPDF=Y")</f>
        <v>#NAME?</v>
      </c>
      <c r="R196" t="e">
        <f ca="1">_xll.BDH($C$178,"DVD_PAYOUT_RATIO","FQ3 2017","FQ3 2017","Currency=INR","Period=FQ","BEST_FPERIOD_OVERRIDE=FQ","FILING_STATUS=OR","EQY_CONSOLIDATED=Y","FA_ADJUSTED=GAAP","Sort=A","Dates=H","DateFormat=P","Fill=—","Direction=H","UseDPDF=Y")</f>
        <v>#NAME?</v>
      </c>
      <c r="S196" t="e">
        <f ca="1">_xll.BDH($C$178,"SUSTAIN_GROWTH_RT","FQ3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196" s="1" t="e">
        <f ca="1">_xll.BDH($C$178,"SALES_GROWTH","FQ3 2017","FQ3 2017","Currency=INR","Period=FQ","BEST_FPERIOD_OVERRIDE=FQ","FILING_STATUS=OR","EQY_CONSOLIDATED=Y","FA_ADJUSTED=GAAP","Sort=A","Dates=H","DateFormat=P","Fill=—","Direction=H","UseDPDF=Y")</f>
        <v>#NAME?</v>
      </c>
      <c r="U196" s="1" t="e">
        <f ca="1">_xll.BDH($C$178,"EBITDA_GROWTH","FQ3 2017","FQ3 2017","Currency=INR","Period=FQ","BEST_FPERIOD_OVERRIDE=FQ","FILING_STATUS=OR","EQY_CONSOLIDATED=Y","FA_ADJUSTED=GAAP","Sort=A","Dates=H","DateFormat=P","Fill=—","Direction=H","UseDPDF=Y")</f>
        <v>#NAME?</v>
      </c>
      <c r="V196" s="1" t="e">
        <f ca="1">_xll.BDH($C$178,"OPER_INC_GROWTH","FQ3 2017","FQ3 2017","Currency=INR","Period=FQ","BEST_FPERIOD_OVERRIDE=FQ","FILING_STATUS=OR","EQY_CONSOLIDATED=Y","FA_ADJUSTED=GAAP","Sort=A","Dates=H","DateFormat=P","Fill=—","Direction=H","UseDPDF=Y")</f>
        <v>#NAME?</v>
      </c>
      <c r="W196" s="1" t="e">
        <f ca="1">_xll.BDH($C$178,"EARN_FOR_COM_GROWTH","FQ3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96" s="1" t="e">
        <f ca="1">_xll.BDH($C$178,"DILUTED_EPS_AFT_XO_ITEMS_GROWTH","FQ3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96" s="1" t="e">
        <f ca="1">_xll.BDH($C$178,"DIVIDEND_PER_SHARE_1_YEAR_GROWTH","FQ3 2017","FQ3 2017","Currency=INR","Period=FQ","BEST_FPERIOD_OVERRIDE=FQ","FILING_STATUS=OR","EQY_CONSOLIDATED=Y","Sort=A","Dates=H","DateFormat=P","Fill=—","Direction=H","UseDPDF=Y")</f>
        <v>#NAME?</v>
      </c>
      <c r="Z196" s="1" t="e">
        <f ca="1">_xll.BDH($C$178,"ACCOUNTS_RECEIVABLE_GROWTH","FQ3 2017","FQ3 2017","Currency=INR","Period=FQ","BEST_FPERIOD_OVERRIDE=FQ","FILING_STATUS=OR","EQY_CONSOLIDATED=Y","Sort=A","Dates=H","DateFormat=P","Fill=—","Direction=H","UseDPDF=Y")</f>
        <v>#NAME?</v>
      </c>
      <c r="AA196" s="1" t="e">
        <f ca="1">_xll.BDH($C$178,"INVENTORY_GROWTH","FQ3 2017","FQ3 2017","Currency=INR","Period=FQ","BEST_FPERIOD_OVERRIDE=FQ","FILING_STATUS=OR","EQY_CONSOLIDATED=Y","Sort=A","Dates=H","DateFormat=P","Fill=—","Direction=H","UseDPDF=Y")</f>
        <v>#NAME?</v>
      </c>
      <c r="AB196" s="1" t="e">
        <f ca="1">_xll.BDH($C$178,"NET_FIXED_ASSETS_1_YEAR_GROWTH","FQ3 2017","FQ3 2017","Currency=INR","Period=FQ","BEST_FPERIOD_OVERRIDE=FQ","FILING_STATUS=OR","EQY_CONSOLIDATED=Y","Sort=A","Dates=H","DateFormat=P","Fill=—","Direction=H","UseDPDF=Y")</f>
        <v>#NAME?</v>
      </c>
      <c r="AC196" s="1" t="e">
        <f ca="1">_xll.BDH($C$178,"ASSET_GROWTH","FQ3 2017","FQ3 2017","Currency=INR","Period=FQ","BEST_FPERIOD_OVERRIDE=FQ","FILING_STATUS=OR","EQY_CONSOLIDATED=Y","Sort=A","Dates=H","DateFormat=P","Fill=—","Direction=H","UseDPDF=Y")</f>
        <v>#NAME?</v>
      </c>
      <c r="AD196" s="1" t="e">
        <f ca="1">_xll.BDH($C$178,"MODIFIED_WORK_CAP_GROWTH","FQ3 2017","FQ3 2017","Currency=INR","Period=FQ","BEST_FPERIOD_OVERRIDE=FQ","FILING_STATUS=OR","EQY_CONSOLIDATED=Y","Sort=A","Dates=H","DateFormat=P","Fill=—","Direction=H","UseDPDF=Y")</f>
        <v>#NAME?</v>
      </c>
      <c r="AE196" s="1" t="e">
        <f ca="1">_xll.BDH($C$178,"WORK_CAP_GROWTH","FQ3 2017","FQ3 2017","Currency=INR","Period=FQ","BEST_FPERIOD_OVERRIDE=FQ","FILING_STATUS=OR","EQY_CONSOLIDATED=Y","Sort=A","Dates=H","DateFormat=P","Fill=—","Direction=H","UseDPDF=Y")</f>
        <v>#NAME?</v>
      </c>
      <c r="AF196" s="1" t="e">
        <f ca="1">_xll.BDH($C$178,"ACCOUNTS_PAYABLE_GROWTH_1YR","FQ3 2017","FQ3 2017","Currency=INR","Period=FQ","BEST_FPERIOD_OVERRIDE=FQ","FILING_STATUS=OR","EQY_CONSOLIDATED=Y","Sort=A","Dates=H","DateFormat=P","Fill=—","Direction=H","UseDPDF=Y")</f>
        <v>#NAME?</v>
      </c>
      <c r="AG196" s="1" t="e">
        <f ca="1">_xll.BDH($C$178,"SHORT_TERM_DEBT_1_YEAR_GROWTH","FQ3 2017","FQ3 2017","Currency=INR","Period=FQ","BEST_FPERIOD_OVERRIDE=FQ","FILING_STATUS=OR","EQY_CONSOLIDATED=Y","Sort=A","Dates=H","DateFormat=P","Fill=—","Direction=H","UseDPDF=Y")</f>
        <v>#NAME?</v>
      </c>
      <c r="AH196" s="1" t="e">
        <f ca="1">_xll.BDH($C$178,"TOTAL_DEBT_1_YEAR_GROWTH","FQ3 2017","FQ3 2017","Currency=INR","Period=FQ","BEST_FPERIOD_OVERRIDE=FQ","FILING_STATUS=OR","EQY_CONSOLIDATED=Y","Sort=A","Dates=H","DateFormat=P","Fill=—","Direction=H","UseDPDF=Y")</f>
        <v>#NAME?</v>
      </c>
      <c r="AI196" s="1" t="e">
        <f ca="1">_xll.BDH($C$178,"TOTAL_EQUITY_1_YEAR_GROWTH","FQ3 2017","FQ3 2017","Currency=INR","Period=FQ","BEST_FPERIOD_OVERRIDE=FQ","FILING_STATUS=OR","EQY_CONSOLIDATED=Y","Sort=A","Dates=H","DateFormat=P","Fill=—","Direction=H","UseDPDF=Y")</f>
        <v>#NAME?</v>
      </c>
      <c r="AJ196" s="1" t="e">
        <f ca="1">_xll.BDH($C$178,"GROWTH_IN_CAP","FQ3 2017","FQ3 2017","Currency=INR","Period=FQ","BEST_FPERIOD_OVERRIDE=FQ","FILING_STATUS=OR","EQY_CONSOLIDATED=Y","Sort=A","Dates=H","DateFormat=P","Fill=—","Direction=H","UseDPDF=Y")</f>
        <v>#NAME?</v>
      </c>
      <c r="AK196" s="1" t="e">
        <f ca="1">_xll.BDH($C$178,"BVPS_GROWTH","FQ3 2017","FQ3 2017","Currency=INR","Period=FQ","BEST_FPERIOD_OVERRIDE=FQ","FILING_STATUS=OR","EQY_CONSOLIDATED=Y","Sort=A","Dates=H","DateFormat=P","Fill=—","Direction=H","UseDPDF=Y")</f>
        <v>#NAME?</v>
      </c>
      <c r="AL196" s="1" t="e">
        <f ca="1">_xll.BDH($C$178,"CASH_FLOW_GROWTH","FQ3 2017","FQ3 2017","Currency=INR","Period=FQ","BEST_FPERIOD_OVERRIDE=FQ","FILING_STATUS=OR","EQY_CONSOLIDATED=Y","Sort=A","Dates=H","DateFormat=P","Fill=—","Direction=H","UseDPDF=Y")</f>
        <v>#NAME?</v>
      </c>
      <c r="AM196" s="1" t="e">
        <f ca="1">_xll.BDH($C$178,"GEO_GROW_NET_SALES","FQ3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96" s="1" t="e">
        <f ca="1">_xll.BDH($C$178,"GEO_GROW_EBITDA","FQ3 2017","FQ3 2017","Currency=INR","Period=FQ","BEST_FPERIOD_OVERRIDE=FQ","FILING_STATUS=OR","EQY_CONSOLIDATED=Y","FA_ADJUSTED=GAAP","Sort=A","Dates=H","DateFormat=P","Fill=—","Direction=H","UseDPDF=Y")</f>
        <v>#NAME?</v>
      </c>
      <c r="AO196" s="1" t="e">
        <f ca="1">_xll.BDH($C$178,"GEO_GROW_OPER_INC","FQ3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96" s="1" t="e">
        <f ca="1">_xll.BDH($C$178,"NET_INCOME_TO_COMMON_5_YR_GROWTH","FQ3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96" s="1" t="e">
        <f ca="1">_xll.BDH($C$178,"5Y_GEO_GROWTH_DILUTED_EPS","FQ3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96" s="1" t="e">
        <f ca="1">_xll.BDH($C$178,"GEO_GROW_DVD_PER_SH","FQ3 2017","FQ3 2017","Currency=INR","Period=FQ","BEST_FPERIOD_OVERRIDE=FQ","FILING_STATUS=OR","EQY_CONSOLIDATED=Y","Sort=A","Dates=H","DateFormat=P","Fill=—","Direction=H","UseDPDF=Y")</f>
        <v>#NAME?</v>
      </c>
      <c r="AS196" s="1" t="e">
        <f ca="1">_xll.BDH($C$178,"ACCOUNTS_RECEIVABLE_5_YR_GROWTH","FQ3 2017","FQ3 2017","Currency=INR","Period=FQ","BEST_FPERIOD_OVERRIDE=FQ","FILING_STATUS=OR","EQY_CONSOLIDATED=Y","Sort=A","Dates=H","DateFormat=P","Fill=—","Direction=H","UseDPDF=Y")</f>
        <v>#NAME?</v>
      </c>
      <c r="AT196" s="1" t="e">
        <f ca="1">_xll.BDH($C$178,"INVENTORY_5_YEAR_GROWTH","FQ3 2017","FQ3 2017","Currency=INR","Period=FQ","BEST_FPERIOD_OVERRIDE=FQ","FILING_STATUS=OR","EQY_CONSOLIDATED=Y","Sort=A","Dates=H","DateFormat=P","Fill=—","Direction=H","UseDPDF=Y")</f>
        <v>#NAME?</v>
      </c>
      <c r="AU196" s="1" t="e">
        <f ca="1">_xll.BDH($C$178,"NET_FIXED_ASSETS_5_YEAR_GROWTH","FQ3 2017","FQ3 2017","Currency=INR","Period=FQ","BEST_FPERIOD_OVERRIDE=FQ","FILING_STATUS=OR","EQY_CONSOLIDATED=Y","Sort=A","Dates=H","DateFormat=P","Fill=—","Direction=H","UseDPDF=Y")</f>
        <v>#NAME?</v>
      </c>
      <c r="AV196" s="1" t="e">
        <f ca="1">_xll.BDH($C$178,"GEO_GROW_TOT_ASSET","FQ3 2017","FQ3 2017","Currency=INR","Period=FQ","BEST_FPERIOD_OVERRIDE=FQ","FILING_STATUS=OR","EQY_CONSOLIDATED=Y","Sort=A","Dates=H","DateFormat=P","Fill=—","Direction=H","UseDPDF=Y")</f>
        <v>#NAME?</v>
      </c>
      <c r="AW196" s="1" t="e">
        <f ca="1">_xll.BDH($C$178,"MODIFIED_WORKING_CPTL_5YR_GRWTH","FQ3 2017","FQ3 2017","Currency=INR","Period=FQ","BEST_FPERIOD_OVERRIDE=FQ","FILING_STATUS=OR","EQY_CONSOLIDATED=Y","Sort=A","Dates=H","DateFormat=P","Fill=—","Direction=H","UseDPDF=Y")</f>
        <v>#NAME?</v>
      </c>
      <c r="AX196" s="1" t="e">
        <f ca="1">_xll.BDH($C$178,"WORKING_CAPITAL_5_YEAR_GROWTH","FQ3 2017","FQ3 2017","Currency=INR","Period=FQ","BEST_FPERIOD_OVERRIDE=FQ","FILING_STATUS=OR","EQY_CONSOLIDATED=Y","Sort=A","Dates=H","DateFormat=P","Fill=—","Direction=H","UseDPDF=Y")</f>
        <v>#NAME?</v>
      </c>
      <c r="AY196" s="1" t="e">
        <f ca="1">_xll.BDH($C$178,"ACCOUNTS_PAYABLE_5_YEAR_GROWTH","FQ3 2017","FQ3 2017","Currency=INR","Period=FQ","BEST_FPERIOD_OVERRIDE=FQ","FILING_STATUS=OR","EQY_CONSOLIDATED=Y","Sort=A","Dates=H","DateFormat=P","Fill=—","Direction=H","UseDPDF=Y")</f>
        <v>#NAME?</v>
      </c>
      <c r="AZ196" s="1" t="e">
        <f ca="1">_xll.BDH($C$178,"SHORT_TERM_DEBT_5_YEAR_GROWTH","FQ3 2017","FQ3 2017","Currency=INR","Period=FQ","BEST_FPERIOD_OVERRIDE=FQ","FILING_STATUS=OR","EQY_CONSOLIDATED=Y","Sort=A","Dates=H","DateFormat=P","Fill=—","Direction=H","UseDPDF=Y")</f>
        <v>#NAME?</v>
      </c>
      <c r="BA196" s="1" t="e">
        <f ca="1">_xll.BDH($C$178,"TOTAL_DEBT_5_YEAR_GROWTH","FQ3 2017","FQ3 2017","Currency=INR","Period=FQ","BEST_FPERIOD_OVERRIDE=FQ","FILING_STATUS=OR","EQY_CONSOLIDATED=Y","Sort=A","Dates=H","DateFormat=P","Fill=—","Direction=H","UseDPDF=Y")</f>
        <v>#NAME?</v>
      </c>
      <c r="BB196" s="1" t="e">
        <f ca="1">_xll.BDH($C$178,"GEO_GROW_TOT_SHRHLDR_EQY","FQ3 2017","FQ3 2017","Currency=INR","Period=FQ","BEST_FPERIOD_OVERRIDE=FQ","FILING_STATUS=OR","EQY_CONSOLIDATED=Y","Sort=A","Dates=H","DateFormat=P","Fill=—","Direction=H","UseDPDF=Y")</f>
        <v>#NAME?</v>
      </c>
      <c r="BC196" s="1" t="e">
        <f ca="1">_xll.BDH($C$178,"TOTAL_CAPITAL_5_YEAR_GROWTH","FQ3 2017","FQ3 2017","Currency=INR","Period=FQ","BEST_FPERIOD_OVERRIDE=FQ","FILING_STATUS=OR","EQY_CONSOLIDATED=Y","Sort=A","Dates=H","DateFormat=P","Fill=—","Direction=H","UseDPDF=Y")</f>
        <v>#NAME?</v>
      </c>
      <c r="BD196" s="1" t="e">
        <f ca="1">_xll.BDH($C$178,"GEO_GROW_BOOK_VAL","FQ3 2017","FQ3 2017","Currency=INR","Period=FQ","BEST_FPERIOD_OVERRIDE=FQ","FILING_STATUS=OR","EQY_CONSOLIDATED=Y","Sort=A","Dates=H","DateFormat=P","Fill=—","Direction=H","UseDPDF=Y")</f>
        <v>#NAME?</v>
      </c>
      <c r="BE196" s="1" t="e">
        <f ca="1">_xll.BDH($C$178,"GEO_GROW_CASH_OPER_ACT","FQ3 2017","FQ3 2017","Currency=INR","Period=FQ","BEST_FPERIOD_OVERRIDE=FQ","FILING_STATUS=OR","EQY_CONSOLIDATED=Y","Sort=A","Dates=H","DateFormat=P","Fill=—","Direction=H","UseDPDF=Y")</f>
        <v>#NAME?</v>
      </c>
      <c r="BF196" s="1" t="e">
        <f ca="1">_xll.BDH($C$178,"REVENUE_SEQUENTIAL_GROWTH","FQ3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96" s="1" t="e">
        <f ca="1">_xll.BDH($C$178,"EBITDA_SEQUENTIAL_GROWTH","FQ3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96" s="1" t="e">
        <f ca="1">_xll.BDH($C$178,"OPERATING_INCOME_SEQ_GROWTH","FQ3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96" s="1" t="e">
        <f ca="1">_xll.BDH($C$178,"NET_INCOME_TO_COMMON_SEQ_GROWTH","FQ3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96" s="1" t="e">
        <f ca="1">_xll.BDH($C$178,"EPS_DILUTED_SEQUENTIAL_GROWTH","FQ3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96" s="1" t="e">
        <f ca="1">_xll.BDH($C$178,"DPS_SEQUENTIAL_GROWTH","FQ3 2017","FQ3 2017","Currency=INR","Period=FQ","BEST_FPERIOD_OVERRIDE=FQ","FILING_STATUS=OR","EQY_CONSOLIDATED=Y","Sort=A","Dates=H","DateFormat=P","Fill=—","Direction=H","UseDPDF=Y")</f>
        <v>#NAME?</v>
      </c>
      <c r="BL196" s="1" t="e">
        <f ca="1">_xll.BDH($C$178,"ACCOUNTS_RECEIVABLE_SEQ_GROWTH","FQ3 2017","FQ3 2017","Currency=INR","Period=FQ","BEST_FPERIOD_OVERRIDE=FQ","FILING_STATUS=OR","EQY_CONSOLIDATED=Y","Sort=A","Dates=H","DateFormat=P","Fill=—","Direction=H","UseDPDF=Y")</f>
        <v>#NAME?</v>
      </c>
      <c r="BM196" s="1" t="e">
        <f ca="1">_xll.BDH($C$178,"INVENTORY_SEQUENTIAL_GROWTH","FQ3 2017","FQ3 2017","Currency=INR","Period=FQ","BEST_FPERIOD_OVERRIDE=FQ","FILING_STATUS=OR","EQY_CONSOLIDATED=Y","Sort=A","Dates=H","DateFormat=P","Fill=—","Direction=H","UseDPDF=Y")</f>
        <v>#NAME?</v>
      </c>
      <c r="BN196" s="1" t="e">
        <f ca="1">_xll.BDH($C$178,"FIXED_ASSETS_SEQUENTIAL_GROWTH","FQ3 2017","FQ3 2017","Currency=INR","Period=FQ","BEST_FPERIOD_OVERRIDE=FQ","FILING_STATUS=OR","EQY_CONSOLIDATED=Y","Sort=A","Dates=H","DateFormat=P","Fill=—","Direction=H","UseDPDF=Y")</f>
        <v>#NAME?</v>
      </c>
      <c r="BO196" s="1" t="e">
        <f ca="1">_xll.BDH($C$178,"TOTAL_ASSETS_SEQUENTIAL_GROWTH","FQ3 2017","FQ3 2017","Currency=INR","Period=FQ","BEST_FPERIOD_OVERRIDE=FQ","FILING_STATUS=OR","EQY_CONSOLIDATED=Y","Sort=A","Dates=H","DateFormat=P","Fill=—","Direction=H","UseDPDF=Y")</f>
        <v>#NAME?</v>
      </c>
      <c r="BP196" s="1" t="e">
        <f ca="1">_xll.BDH($C$178,"MODIFIED_WORKING_CPTL_SEQ_GRWTH","FQ3 2017","FQ3 2017","Currency=INR","Period=FQ","BEST_FPERIOD_OVERRIDE=FQ","FILING_STATUS=OR","EQY_CONSOLIDATED=Y","Sort=A","Dates=H","DateFormat=P","Fill=—","Direction=H","UseDPDF=Y")</f>
        <v>#NAME?</v>
      </c>
      <c r="BQ196" s="1" t="e">
        <f ca="1">_xll.BDH($C$178,"WORKING_CAPITAL_SEQ_GROWTH","FQ3 2017","FQ3 2017","Currency=INR","Period=FQ","BEST_FPERIOD_OVERRIDE=FQ","FILING_STATUS=OR","EQY_CONSOLIDATED=Y","Sort=A","Dates=H","DateFormat=P","Fill=—","Direction=H","UseDPDF=Y")</f>
        <v>#NAME?</v>
      </c>
      <c r="BR196" s="1" t="e">
        <f ca="1">_xll.BDH($C$178,"ACCOUNTS_PAYABLE_SEQ_GROWTH","FQ3 2017","FQ3 2017","Currency=INR","Period=FQ","BEST_FPERIOD_OVERRIDE=FQ","FILING_STATUS=OR","EQY_CONSOLIDATED=Y","Sort=A","Dates=H","DateFormat=P","Fill=—","Direction=H","UseDPDF=Y")</f>
        <v>#NAME?</v>
      </c>
      <c r="BS196" s="1" t="e">
        <f ca="1">_xll.BDH($C$178,"ST_DEBT_SEQUENTIAL_GROWTH","FQ3 2017","FQ3 2017","Currency=INR","Period=FQ","BEST_FPERIOD_OVERRIDE=FQ","FILING_STATUS=OR","EQY_CONSOLIDATED=Y","Sort=A","Dates=H","DateFormat=P","Fill=—","Direction=H","UseDPDF=Y")</f>
        <v>#NAME?</v>
      </c>
      <c r="BT196" s="1" t="e">
        <f ca="1">_xll.BDH($C$178,"TOTAL_DEBT_SEQUENTIAL_GROWTH","FQ3 2017","FQ3 2017","Currency=INR","Period=FQ","BEST_FPERIOD_OVERRIDE=FQ","FILING_STATUS=OR","EQY_CONSOLIDATED=Y","Sort=A","Dates=H","DateFormat=P","Fill=—","Direction=H","UseDPDF=Y")</f>
        <v>#NAME?</v>
      </c>
      <c r="BU196" s="1" t="e">
        <f ca="1">_xll.BDH($C$178,"TOTAL_EQUITY_SEQUENTIAL_GROWTH","FQ3 2017","FQ3 2017","Currency=INR","Period=FQ","BEST_FPERIOD_OVERRIDE=FQ","FILING_STATUS=OR","EQY_CONSOLIDATED=Y","Sort=A","Dates=H","DateFormat=P","Fill=—","Direction=H","UseDPDF=Y")</f>
        <v>#NAME?</v>
      </c>
      <c r="BV196" s="1" t="e">
        <f ca="1">_xll.BDH($C$178,"TOTAL_CAPITAL_SEQUENTIAL_GROWTH","FQ3 2017","FQ3 2017","Currency=INR","Period=FQ","BEST_FPERIOD_OVERRIDE=FQ","FILING_STATUS=OR","EQY_CONSOLIDATED=Y","Sort=A","Dates=H","DateFormat=P","Fill=—","Direction=H","UseDPDF=Y")</f>
        <v>#NAME?</v>
      </c>
      <c r="BW196" s="1" t="e">
        <f ca="1">_xll.BDH($C$178,"BPS_SEQUENTIAL_GROWTH","FQ3 2017","FQ3 2017","Currency=INR","Period=FQ","BEST_FPERIOD_OVERRIDE=FQ","FILING_STATUS=OR","EQY_CONSOLIDATED=Y","Sort=A","Dates=H","DateFormat=P","Fill=—","Direction=H","UseDPDF=Y")</f>
        <v>#NAME?</v>
      </c>
      <c r="BX196" s="1" t="e">
        <f ca="1">_xll.BDH($C$178,"CFO_SEQUENTIAL_GROWTH","FQ3 2017","FQ3 2017","Currency=INR","Period=FQ","BEST_FPERIOD_OVERRIDE=FQ","FILING_STATUS=OR","EQY_CONSOLIDATED=Y","Sort=A","Dates=H","DateFormat=P","Fill=—","Direction=H","UseDPDF=Y")</f>
        <v>#NAME?</v>
      </c>
      <c r="BY196" s="2" t="e">
        <f ca="1">_xll.BDH($C$178,"SHORT_AND_LONG_TERM_DEBT","FQ3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96" s="2" t="e">
        <f ca="1">_xll.BDH($C$178,"BS_ST_BORROW","FQ3 2017","FQ3 2017","Currency=INR","Period=FQ","BEST_FPERIOD_OVERRIDE=FQ","FILING_STATUS=OR","EQY_CONSOLIDATED=Y","SCALING_FORMAT=MLN","Sort=A","Dates=H","DateFormat=P","Fill=—","Direction=H","UseDPDF=Y")</f>
        <v>#NAME?</v>
      </c>
      <c r="CA196" s="2" t="e">
        <f ca="1">_xll.BDH($C$178,"BS_LT_BORROW","FQ3 2017","FQ3 2017","Currency=INR","Period=FQ","BEST_FPERIOD_OVERRIDE=FQ","FILING_STATUS=OR","EQY_CONSOLIDATED=Y","SCALING_FORMAT=MLN","Sort=A","Dates=H","DateFormat=P","Fill=—","Direction=H","UseDPDF=Y")</f>
        <v>#NAME?</v>
      </c>
      <c r="CB196" s="1" t="e">
        <f ca="1">_xll.BDH($C$178,"TOT_DEBT_TO_EBITDA","FQ3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96" s="1" t="e">
        <f ca="1">_xll.BDH($C$178,"NET_DEBT_TO_EBITDA","FQ3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96" s="1" t="e">
        <f ca="1">_xll.BDH($C$178,"TOTAL_DEBT_TO_EBIT","FQ3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96" s="1" t="e">
        <f ca="1">_xll.BDH($C$178,"NET_DEBT_TO_EBIT","FQ3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196" s="1" t="e">
        <f ca="1">_xll.BDH($C$178,"EBITDA_TO_INTEREST_EXPN","FQ3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96" s="1" t="e">
        <f ca="1">_xll.BDH($C$178,"COM_EQY_TO_TOT_ASSET","FQ3 2017","FQ3 2017","Currency=INR","Period=FQ","BEST_FPERIOD_OVERRIDE=FQ","FILING_STATUS=OR","EQY_CONSOLIDATED=Y","Sort=A","Dates=H","DateFormat=P","Fill=—","Direction=H","UseDPDF=Y")</f>
        <v>#NAME?</v>
      </c>
      <c r="CH196" s="1" t="e">
        <f ca="1">_xll.BDH($C$178,"LT_DEBT_TO_TOT_EQY","FQ3 2017","FQ3 2017","Currency=INR","Period=FQ","BEST_FPERIOD_OVERRIDE=FQ","FILING_STATUS=OR","EQY_CONSOLIDATED=Y","Sort=A","Dates=H","DateFormat=P","Fill=—","Direction=H","UseDPDF=Y")</f>
        <v>#NAME?</v>
      </c>
      <c r="CI196" s="1" t="e">
        <f ca="1">_xll.BDH($C$178,"LT_DEBT_TO_TOT_CAP","FQ3 2017","FQ3 2017","Currency=INR","Period=FQ","BEST_FPERIOD_OVERRIDE=FQ","FILING_STATUS=OR","EQY_CONSOLIDATED=Y","Sort=A","Dates=H","DateFormat=P","Fill=—","Direction=H","UseDPDF=Y")</f>
        <v>#NAME?</v>
      </c>
      <c r="CJ196" s="1" t="e">
        <f ca="1">_xll.BDH($C$178,"LT_DEBT_TO_TOT_ASSET","FQ3 2017","FQ3 2017","Currency=INR","Period=FQ","BEST_FPERIOD_OVERRIDE=FQ","FILING_STATUS=OR","EQY_CONSOLIDATED=Y","Sort=A","Dates=H","DateFormat=P","Fill=—","Direction=H","UseDPDF=Y")</f>
        <v>#NAME?</v>
      </c>
      <c r="CK196" s="1" t="e">
        <f ca="1">_xll.BDH($C$178,"TOT_DEBT_TO_TOT_EQY","FQ3 2017","FQ3 2017","Currency=INR","Period=FQ","BEST_FPERIOD_OVERRIDE=FQ","FILING_STATUS=OR","EQY_CONSOLIDATED=Y","Sort=A","Dates=H","DateFormat=P","Fill=—","Direction=H","UseDPDF=Y")</f>
        <v>#NAME?</v>
      </c>
      <c r="CL196" s="1" t="e">
        <f ca="1">_xll.BDH($C$178,"TOT_DEBT_TO_TOT_CAP","FQ3 2017","FQ3 2017","Currency=INR","Period=FQ","BEST_FPERIOD_OVERRIDE=FQ","FILING_STATUS=OR","EQY_CONSOLIDATED=Y","Sort=A","Dates=H","DateFormat=P","Fill=—","Direction=H","UseDPDF=Y")</f>
        <v>#NAME?</v>
      </c>
      <c r="CM196" s="1" t="e">
        <f ca="1">_xll.BDH($C$178,"TOT_DEBT_TO_TOT_ASSET","FQ3 2017","FQ3 2017","Currency=INR","Period=FQ","BEST_FPERIOD_OVERRIDE=FQ","FILING_STATUS=OR","EQY_CONSOLIDATED=Y","Sort=A","Dates=H","DateFormat=P","Fill=—","Direction=H","UseDPDF=Y")</f>
        <v>#NAME?</v>
      </c>
      <c r="CN196" s="1" t="e">
        <f ca="1">_xll.BDH($C$178,"NET_DEBT_TO_SHRHLDR_EQTY","FQ3 2017","FQ3 2017","Currency=INR","Period=FQ","BEST_FPERIOD_OVERRIDE=FQ","FILING_STATUS=OR","EQY_CONSOLIDATED=Y","Sort=A","Dates=H","DateFormat=P","Fill=—","Direction=H","UseDPDF=Y")</f>
        <v>#NAME?</v>
      </c>
      <c r="CO196" s="1" t="e">
        <f ca="1">_xll.BDH($C$178,"NET_DEBT_%_CAPITAL","FQ3 2017","FQ3 2017","Currency=INR","Period=FQ","BEST_FPERIOD_OVERRIDE=FQ","FILING_STATUS=OR","EQY_CONSOLIDATED=Y","Sort=A","Dates=H","DateFormat=P","Fill=—","Direction=H","UseDPDF=Y")</f>
        <v>#NAME?</v>
      </c>
      <c r="CP196" s="2" t="e">
        <f ca="1">_xll.BDH($C$178,"EBITDA","FQ3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96" s="2" t="e">
        <f ca="1">_xll.BDH($C$178,"EBITDA_AFTER_CAPEX","FQ3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96" s="2" t="e">
        <f ca="1">_xll.BDH($C$178,"IS_OPER_INC","FQ3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96" s="1" t="e">
        <f ca="1">_xll.BDH($C$178,"CASH_RATIO","FQ3 2017","FQ3 2017","Currency=INR","Period=FQ","BEST_FPERIOD_OVERRIDE=FQ","FILING_STATUS=OR","EQY_CONSOLIDATED=Y","Sort=A","Dates=H","DateFormat=P","Fill=—","Direction=H","UseDPDF=Y")</f>
        <v>#NAME?</v>
      </c>
      <c r="CT196" s="1" t="e">
        <f ca="1">_xll.BDH($C$178,"CUR_RATIO","FQ3 2017","FQ3 2017","Currency=INR","Period=FQ","BEST_FPERIOD_OVERRIDE=FQ","FILING_STATUS=OR","EQY_CONSOLIDATED=Y","Sort=A","Dates=H","DateFormat=P","Fill=—","Direction=H","UseDPDF=Y")</f>
        <v>#NAME?</v>
      </c>
      <c r="CU196" s="1" t="e">
        <f ca="1">_xll.BDH($C$178,"QUICK_RATIO","FQ3 2017","FQ3 2017","Currency=INR","Period=FQ","BEST_FPERIOD_OVERRIDE=FQ","FILING_STATUS=OR","EQY_CONSOLIDATED=Y","Sort=A","Dates=H","DateFormat=P","Fill=—","Direction=H","UseDPDF=Y")</f>
        <v>#NAME?</v>
      </c>
      <c r="CV196" s="1" t="e">
        <f ca="1">_xll.BDH($C$178,"ALTMAN_Z_SCORE","FQ3 2017","FQ3 2017","Currency=INR","Period=FQ","BEST_FPERIOD_OVERRIDE=FQ","FILING_STATUS=OR","EQY_CONSOLIDATED=Y","Sort=A","Dates=H","DateFormat=P","Fill=—","Direction=H","UseDPDF=Y")</f>
        <v>#NAME?</v>
      </c>
      <c r="CW196" s="3" t="e">
        <f ca="1">_xll.BDH($C$178,"ACCT_RCV_TURN","FQ3 2017","FQ3 2017","Currency=INR","Period=FQ","BEST_FPERIOD_OVERRIDE=FQ","FILING_STATUS=OR","EQY_CONSOLIDATED=Y","FA_ADJUSTED=GAAP","Sort=A","Dates=H","DateFormat=P","Fill=—","Direction=H","UseDPDF=Y")</f>
        <v>#NAME?</v>
      </c>
      <c r="CX196" s="1" t="e">
        <f ca="1">_xll.BDH($C$178,"ACCT_RCV_DAYS","FQ3 2017","FQ3 2017","Currency=INR","Period=FQ","BEST_FPERIOD_OVERRIDE=FQ","FILING_STATUS=OR","EQY_CONSOLIDATED=Y","FA_ADJUSTED=GAAP","Sort=A","Dates=H","DateFormat=P","Fill=—","Direction=H","UseDPDF=Y")</f>
        <v>#NAME?</v>
      </c>
      <c r="CY196" s="3" t="e">
        <f ca="1">_xll.BDH($C$178,"INVENT_TURN","FQ3 2017","FQ3 2017","Currency=INR","Period=FQ","BEST_FPERIOD_OVERRIDE=FQ","FILING_STATUS=OR","EQY_CONSOLIDATED=Y","FA_ADJUSTED=GAAP","Sort=A","Dates=H","DateFormat=P","Fill=—","Direction=H","UseDPDF=Y")</f>
        <v>#NAME?</v>
      </c>
      <c r="CZ196" s="1" t="e">
        <f ca="1">_xll.BDH($C$178,"INVENT_DAYS","FQ3 2017","FQ3 2017","Currency=INR","Period=FQ","BEST_FPERIOD_OVERRIDE=FQ","FILING_STATUS=OR","EQY_CONSOLIDATED=Y","FA_ADJUSTED=GAAP","Sort=A","Dates=H","DateFormat=P","Fill=—","Direction=H","UseDPDF=Y")</f>
        <v>#NAME?</v>
      </c>
      <c r="DA196" s="3" t="e">
        <f ca="1">_xll.BDH($C$178,"ACCOUNTS_PAYABLE_TURNOVER","FQ3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96" s="1" t="e">
        <f ca="1">_xll.BDH($C$178,"ACCOUNTS_PAYABLE_TURNOVER_DAYS","FQ3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96" s="3" t="e">
        <f ca="1">_xll.BDH($C$178,"CASH_CONVERSION_CYCLE","FQ3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96" s="3" t="e">
        <f ca="1">_xll.BDH($C$178,"INV_TO_CASH_DAYS","FQ3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196" s="4" t="e">
        <f ca="1">_xll.BDH($C$178,"BS_INVENTORIES","FQ3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196" s="2" t="e">
        <f ca="1">_xll.BDH($C$178,"INVTRY_RAW_MATERIALS","FQ3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96" s="2" t="e">
        <f ca="1">_xll.BDH($C$178,"INVTRY_IN_PROGRESS","FQ3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96" s="2" t="e">
        <f ca="1">_xll.BDH($C$178,"INVTRY_FINISHED_GOODS","FQ3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96" s="2" t="e">
        <f ca="1">_xll.BDH($C$178,"BS_OTHER_INV","FQ3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97" spans="1:113" x14ac:dyDescent="0.3">
      <c r="A197" s="6"/>
      <c r="B197" s="6"/>
      <c r="C197" s="6"/>
      <c r="D197" s="6"/>
      <c r="E197" t="s">
        <v>7</v>
      </c>
      <c r="F197" t="e">
        <f ca="1">_xll.BDH($C$178,"RETURN_COM_EQY","FQ4 2017","FQ4 2017","Currency=INR","Period=FQ","BEST_FPERIOD_OVERRIDE=FQ","FILING_STATUS=OR","EQY_CONSOLIDATED=Y","FA_ADJUSTED=GAAP","Sort=A","Dates=H","DateFormat=P","Fill=—","Direction=H","UseDPDF=Y")</f>
        <v>#NAME?</v>
      </c>
      <c r="G197" t="e">
        <f ca="1">_xll.BDH($C$178,"RETURN_ON_ASSET","FQ4 2017","FQ4 2017","Currency=INR","Period=FQ","BEST_FPERIOD_OVERRIDE=FQ","FILING_STATUS=OR","EQY_CONSOLIDATED=Y","FA_ADJUSTED=GAAP","Sort=A","Dates=H","DateFormat=P","Fill=—","Direction=H","UseDPDF=Y")</f>
        <v>#NAME?</v>
      </c>
      <c r="H197" t="e">
        <f ca="1">_xll.BDH($C$178,"RETURN_ON_CAP","FQ4 2017","FQ4 2017","Currency=INR","Period=FQ","BEST_FPERIOD_OVERRIDE=FQ","FILING_STATUS=OR","EQY_CONSOLIDATED=Y","FA_ADJUSTED=GAAP","Sort=A","Dates=H","DateFormat=P","Fill=—","Direction=H","UseDPDF=Y")</f>
        <v>#NAME?</v>
      </c>
      <c r="I197" t="e">
        <f ca="1">_xll.BDH($C$178,"RETURN_ON_INV_CAPITAL","FQ4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97" t="e">
        <f ca="1">_xll.BDH($C$178,"EBITDA_TO_REVENUE","FQ4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197" t="e">
        <f ca="1">_xll.BDH($C$178,"OPER_MARGIN","FQ4 2017","FQ4 2017","Currency=INR","Period=FQ","BEST_FPERIOD_OVERRIDE=FQ","FILING_STATUS=OR","EQY_CONSOLIDATED=Y","FA_ADJUSTED=GAAP","Sort=A","Dates=H","DateFormat=P","Fill=—","Direction=H","UseDPDF=Y")</f>
        <v>#NAME?</v>
      </c>
      <c r="L197" t="e">
        <f ca="1">_xll.BDH($C$178,"INCREMENTAL_OPERATING_MARGIN","FQ4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97" t="e">
        <f ca="1">_xll.BDH($C$178,"PRETAX_INC_TO_NET_SALES","FQ4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97" t="e">
        <f ca="1">_xll.BDH($C$178,"INC_BEF_XO_ITEMS_TO_NET_SALES","FQ4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97" t="e">
        <f ca="1">_xll.BDH($C$178,"PROF_MARGIN","FQ4 2017","FQ4 2017","Currency=INR","Period=FQ","BEST_FPERIOD_OVERRIDE=FQ","FILING_STATUS=OR","EQY_CONSOLIDATED=Y","FA_ADJUSTED=GAAP","Sort=A","Dates=H","DateFormat=P","Fill=—","Direction=H","UseDPDF=Y")</f>
        <v>#NAME?</v>
      </c>
      <c r="P197" t="e">
        <f ca="1">_xll.BDH($C$178,"NET_INCOME_TO_COMMON_MARGIN","FQ4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97" t="e">
        <f ca="1">_xll.BDH($C$178,"EFF_TAX_RATE","FQ4 2017","FQ4 2017","Currency=INR","Period=FQ","BEST_FPERIOD_OVERRIDE=FQ","FILING_STATUS=OR","EQY_CONSOLIDATED=Y","FA_ADJUSTED=GAAP","Sort=A","Dates=H","DateFormat=P","Fill=—","Direction=H","UseDPDF=Y")</f>
        <v>#NAME?</v>
      </c>
      <c r="R197" t="e">
        <f ca="1">_xll.BDH($C$178,"DVD_PAYOUT_RATIO","FQ4 2017","FQ4 2017","Currency=INR","Period=FQ","BEST_FPERIOD_OVERRIDE=FQ","FILING_STATUS=OR","EQY_CONSOLIDATED=Y","FA_ADJUSTED=GAAP","Sort=A","Dates=H","DateFormat=P","Fill=—","Direction=H","UseDPDF=Y")</f>
        <v>#NAME?</v>
      </c>
      <c r="S197" t="e">
        <f ca="1">_xll.BDH($C$178,"SUSTAIN_GROWTH_RT","FQ4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197" s="1" t="e">
        <f ca="1">_xll.BDH($C$178,"SALES_GROWTH","FQ4 2017","FQ4 2017","Currency=INR","Period=FQ","BEST_FPERIOD_OVERRIDE=FQ","FILING_STATUS=OR","EQY_CONSOLIDATED=Y","FA_ADJUSTED=GAAP","Sort=A","Dates=H","DateFormat=P","Fill=—","Direction=H","UseDPDF=Y")</f>
        <v>#NAME?</v>
      </c>
      <c r="U197" s="1" t="e">
        <f ca="1">_xll.BDH($C$178,"EBITDA_GROWTH","FQ4 2017","FQ4 2017","Currency=INR","Period=FQ","BEST_FPERIOD_OVERRIDE=FQ","FILING_STATUS=OR","EQY_CONSOLIDATED=Y","FA_ADJUSTED=GAAP","Sort=A","Dates=H","DateFormat=P","Fill=—","Direction=H","UseDPDF=Y")</f>
        <v>#NAME?</v>
      </c>
      <c r="V197" s="1" t="e">
        <f ca="1">_xll.BDH($C$178,"OPER_INC_GROWTH","FQ4 2017","FQ4 2017","Currency=INR","Period=FQ","BEST_FPERIOD_OVERRIDE=FQ","FILING_STATUS=OR","EQY_CONSOLIDATED=Y","FA_ADJUSTED=GAAP","Sort=A","Dates=H","DateFormat=P","Fill=—","Direction=H","UseDPDF=Y")</f>
        <v>#NAME?</v>
      </c>
      <c r="W197" s="1" t="e">
        <f ca="1">_xll.BDH($C$178,"EARN_FOR_COM_GROWTH","FQ4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97" s="1" t="e">
        <f ca="1">_xll.BDH($C$178,"DILUTED_EPS_AFT_XO_ITEMS_GROWTH","FQ4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97" s="1" t="e">
        <f ca="1">_xll.BDH($C$178,"DIVIDEND_PER_SHARE_1_YEAR_GROWTH","FQ4 2017","FQ4 2017","Currency=INR","Period=FQ","BEST_FPERIOD_OVERRIDE=FQ","FILING_STATUS=OR","EQY_CONSOLIDATED=Y","Sort=A","Dates=H","DateFormat=P","Fill=—","Direction=H","UseDPDF=Y")</f>
        <v>#NAME?</v>
      </c>
      <c r="Z197" s="1" t="e">
        <f ca="1">_xll.BDH($C$178,"ACCOUNTS_RECEIVABLE_GROWTH","FQ4 2017","FQ4 2017","Currency=INR","Period=FQ","BEST_FPERIOD_OVERRIDE=FQ","FILING_STATUS=OR","EQY_CONSOLIDATED=Y","Sort=A","Dates=H","DateFormat=P","Fill=—","Direction=H","UseDPDF=Y")</f>
        <v>#NAME?</v>
      </c>
      <c r="AA197" s="1" t="e">
        <f ca="1">_xll.BDH($C$178,"INVENTORY_GROWTH","FQ4 2017","FQ4 2017","Currency=INR","Period=FQ","BEST_FPERIOD_OVERRIDE=FQ","FILING_STATUS=OR","EQY_CONSOLIDATED=Y","Sort=A","Dates=H","DateFormat=P","Fill=—","Direction=H","UseDPDF=Y")</f>
        <v>#NAME?</v>
      </c>
      <c r="AB197" s="1" t="e">
        <f ca="1">_xll.BDH($C$178,"NET_FIXED_ASSETS_1_YEAR_GROWTH","FQ4 2017","FQ4 2017","Currency=INR","Period=FQ","BEST_FPERIOD_OVERRIDE=FQ","FILING_STATUS=OR","EQY_CONSOLIDATED=Y","Sort=A","Dates=H","DateFormat=P","Fill=—","Direction=H","UseDPDF=Y")</f>
        <v>#NAME?</v>
      </c>
      <c r="AC197" s="1" t="e">
        <f ca="1">_xll.BDH($C$178,"ASSET_GROWTH","FQ4 2017","FQ4 2017","Currency=INR","Period=FQ","BEST_FPERIOD_OVERRIDE=FQ","FILING_STATUS=OR","EQY_CONSOLIDATED=Y","Sort=A","Dates=H","DateFormat=P","Fill=—","Direction=H","UseDPDF=Y")</f>
        <v>#NAME?</v>
      </c>
      <c r="AD197" s="1" t="e">
        <f ca="1">_xll.BDH($C$178,"MODIFIED_WORK_CAP_GROWTH","FQ4 2017","FQ4 2017","Currency=INR","Period=FQ","BEST_FPERIOD_OVERRIDE=FQ","FILING_STATUS=OR","EQY_CONSOLIDATED=Y","Sort=A","Dates=H","DateFormat=P","Fill=—","Direction=H","UseDPDF=Y")</f>
        <v>#NAME?</v>
      </c>
      <c r="AE197" s="1" t="e">
        <f ca="1">_xll.BDH($C$178,"WORK_CAP_GROWTH","FQ4 2017","FQ4 2017","Currency=INR","Period=FQ","BEST_FPERIOD_OVERRIDE=FQ","FILING_STATUS=OR","EQY_CONSOLIDATED=Y","Sort=A","Dates=H","DateFormat=P","Fill=—","Direction=H","UseDPDF=Y")</f>
        <v>#NAME?</v>
      </c>
      <c r="AF197" s="1" t="e">
        <f ca="1">_xll.BDH($C$178,"ACCOUNTS_PAYABLE_GROWTH_1YR","FQ4 2017","FQ4 2017","Currency=INR","Period=FQ","BEST_FPERIOD_OVERRIDE=FQ","FILING_STATUS=OR","EQY_CONSOLIDATED=Y","Sort=A","Dates=H","DateFormat=P","Fill=—","Direction=H","UseDPDF=Y")</f>
        <v>#NAME?</v>
      </c>
      <c r="AG197" s="1" t="e">
        <f ca="1">_xll.BDH($C$178,"SHORT_TERM_DEBT_1_YEAR_GROWTH","FQ4 2017","FQ4 2017","Currency=INR","Period=FQ","BEST_FPERIOD_OVERRIDE=FQ","FILING_STATUS=OR","EQY_CONSOLIDATED=Y","Sort=A","Dates=H","DateFormat=P","Fill=—","Direction=H","UseDPDF=Y")</f>
        <v>#NAME?</v>
      </c>
      <c r="AH197" s="1" t="e">
        <f ca="1">_xll.BDH($C$178,"TOTAL_DEBT_1_YEAR_GROWTH","FQ4 2017","FQ4 2017","Currency=INR","Period=FQ","BEST_FPERIOD_OVERRIDE=FQ","FILING_STATUS=OR","EQY_CONSOLIDATED=Y","Sort=A","Dates=H","DateFormat=P","Fill=—","Direction=H","UseDPDF=Y")</f>
        <v>#NAME?</v>
      </c>
      <c r="AI197" s="1" t="e">
        <f ca="1">_xll.BDH($C$178,"TOTAL_EQUITY_1_YEAR_GROWTH","FQ4 2017","FQ4 2017","Currency=INR","Period=FQ","BEST_FPERIOD_OVERRIDE=FQ","FILING_STATUS=OR","EQY_CONSOLIDATED=Y","Sort=A","Dates=H","DateFormat=P","Fill=—","Direction=H","UseDPDF=Y")</f>
        <v>#NAME?</v>
      </c>
      <c r="AJ197" s="1" t="e">
        <f ca="1">_xll.BDH($C$178,"GROWTH_IN_CAP","FQ4 2017","FQ4 2017","Currency=INR","Period=FQ","BEST_FPERIOD_OVERRIDE=FQ","FILING_STATUS=OR","EQY_CONSOLIDATED=Y","Sort=A","Dates=H","DateFormat=P","Fill=—","Direction=H","UseDPDF=Y")</f>
        <v>#NAME?</v>
      </c>
      <c r="AK197" s="1" t="e">
        <f ca="1">_xll.BDH($C$178,"BVPS_GROWTH","FQ4 2017","FQ4 2017","Currency=INR","Period=FQ","BEST_FPERIOD_OVERRIDE=FQ","FILING_STATUS=OR","EQY_CONSOLIDATED=Y","Sort=A","Dates=H","DateFormat=P","Fill=—","Direction=H","UseDPDF=Y")</f>
        <v>#NAME?</v>
      </c>
      <c r="AL197" s="1" t="e">
        <f ca="1">_xll.BDH($C$178,"CASH_FLOW_GROWTH","FQ4 2017","FQ4 2017","Currency=INR","Period=FQ","BEST_FPERIOD_OVERRIDE=FQ","FILING_STATUS=OR","EQY_CONSOLIDATED=Y","Sort=A","Dates=H","DateFormat=P","Fill=—","Direction=H","UseDPDF=Y")</f>
        <v>#NAME?</v>
      </c>
      <c r="AM197" s="1" t="e">
        <f ca="1">_xll.BDH($C$178,"GEO_GROW_NET_SALES","FQ4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97" s="1" t="e">
        <f ca="1">_xll.BDH($C$178,"GEO_GROW_EBITDA","FQ4 2017","FQ4 2017","Currency=INR","Period=FQ","BEST_FPERIOD_OVERRIDE=FQ","FILING_STATUS=OR","EQY_CONSOLIDATED=Y","FA_ADJUSTED=GAAP","Sort=A","Dates=H","DateFormat=P","Fill=—","Direction=H","UseDPDF=Y")</f>
        <v>#NAME?</v>
      </c>
      <c r="AO197" s="1" t="e">
        <f ca="1">_xll.BDH($C$178,"GEO_GROW_OPER_INC","FQ4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97" s="1" t="e">
        <f ca="1">_xll.BDH($C$178,"NET_INCOME_TO_COMMON_5_YR_GROWTH","FQ4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97" s="1" t="e">
        <f ca="1">_xll.BDH($C$178,"5Y_GEO_GROWTH_DILUTED_EPS","FQ4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97" s="1" t="e">
        <f ca="1">_xll.BDH($C$178,"GEO_GROW_DVD_PER_SH","FQ4 2017","FQ4 2017","Currency=INR","Period=FQ","BEST_FPERIOD_OVERRIDE=FQ","FILING_STATUS=OR","EQY_CONSOLIDATED=Y","Sort=A","Dates=H","DateFormat=P","Fill=—","Direction=H","UseDPDF=Y")</f>
        <v>#NAME?</v>
      </c>
      <c r="AS197" s="1" t="e">
        <f ca="1">_xll.BDH($C$178,"ACCOUNTS_RECEIVABLE_5_YR_GROWTH","FQ4 2017","FQ4 2017","Currency=INR","Period=FQ","BEST_FPERIOD_OVERRIDE=FQ","FILING_STATUS=OR","EQY_CONSOLIDATED=Y","Sort=A","Dates=H","DateFormat=P","Fill=—","Direction=H","UseDPDF=Y")</f>
        <v>#NAME?</v>
      </c>
      <c r="AT197" s="1" t="e">
        <f ca="1">_xll.BDH($C$178,"INVENTORY_5_YEAR_GROWTH","FQ4 2017","FQ4 2017","Currency=INR","Period=FQ","BEST_FPERIOD_OVERRIDE=FQ","FILING_STATUS=OR","EQY_CONSOLIDATED=Y","Sort=A","Dates=H","DateFormat=P","Fill=—","Direction=H","UseDPDF=Y")</f>
        <v>#NAME?</v>
      </c>
      <c r="AU197" s="1" t="e">
        <f ca="1">_xll.BDH($C$178,"NET_FIXED_ASSETS_5_YEAR_GROWTH","FQ4 2017","FQ4 2017","Currency=INR","Period=FQ","BEST_FPERIOD_OVERRIDE=FQ","FILING_STATUS=OR","EQY_CONSOLIDATED=Y","Sort=A","Dates=H","DateFormat=P","Fill=—","Direction=H","UseDPDF=Y")</f>
        <v>#NAME?</v>
      </c>
      <c r="AV197" s="1" t="e">
        <f ca="1">_xll.BDH($C$178,"GEO_GROW_TOT_ASSET","FQ4 2017","FQ4 2017","Currency=INR","Period=FQ","BEST_FPERIOD_OVERRIDE=FQ","FILING_STATUS=OR","EQY_CONSOLIDATED=Y","Sort=A","Dates=H","DateFormat=P","Fill=—","Direction=H","UseDPDF=Y")</f>
        <v>#NAME?</v>
      </c>
      <c r="AW197" s="1" t="e">
        <f ca="1">_xll.BDH($C$178,"MODIFIED_WORKING_CPTL_5YR_GRWTH","FQ4 2017","FQ4 2017","Currency=INR","Period=FQ","BEST_FPERIOD_OVERRIDE=FQ","FILING_STATUS=OR","EQY_CONSOLIDATED=Y","Sort=A","Dates=H","DateFormat=P","Fill=—","Direction=H","UseDPDF=Y")</f>
        <v>#NAME?</v>
      </c>
      <c r="AX197" s="1" t="e">
        <f ca="1">_xll.BDH($C$178,"WORKING_CAPITAL_5_YEAR_GROWTH","FQ4 2017","FQ4 2017","Currency=INR","Period=FQ","BEST_FPERIOD_OVERRIDE=FQ","FILING_STATUS=OR","EQY_CONSOLIDATED=Y","Sort=A","Dates=H","DateFormat=P","Fill=—","Direction=H","UseDPDF=Y")</f>
        <v>#NAME?</v>
      </c>
      <c r="AY197" s="1" t="e">
        <f ca="1">_xll.BDH($C$178,"ACCOUNTS_PAYABLE_5_YEAR_GROWTH","FQ4 2017","FQ4 2017","Currency=INR","Period=FQ","BEST_FPERIOD_OVERRIDE=FQ","FILING_STATUS=OR","EQY_CONSOLIDATED=Y","Sort=A","Dates=H","DateFormat=P","Fill=—","Direction=H","UseDPDF=Y")</f>
        <v>#NAME?</v>
      </c>
      <c r="AZ197" s="1" t="e">
        <f ca="1">_xll.BDH($C$178,"SHORT_TERM_DEBT_5_YEAR_GROWTH","FQ4 2017","FQ4 2017","Currency=INR","Period=FQ","BEST_FPERIOD_OVERRIDE=FQ","FILING_STATUS=OR","EQY_CONSOLIDATED=Y","Sort=A","Dates=H","DateFormat=P","Fill=—","Direction=H","UseDPDF=Y")</f>
        <v>#NAME?</v>
      </c>
      <c r="BA197" s="1" t="e">
        <f ca="1">_xll.BDH($C$178,"TOTAL_DEBT_5_YEAR_GROWTH","FQ4 2017","FQ4 2017","Currency=INR","Period=FQ","BEST_FPERIOD_OVERRIDE=FQ","FILING_STATUS=OR","EQY_CONSOLIDATED=Y","Sort=A","Dates=H","DateFormat=P","Fill=—","Direction=H","UseDPDF=Y")</f>
        <v>#NAME?</v>
      </c>
      <c r="BB197" s="1" t="e">
        <f ca="1">_xll.BDH($C$178,"GEO_GROW_TOT_SHRHLDR_EQY","FQ4 2017","FQ4 2017","Currency=INR","Period=FQ","BEST_FPERIOD_OVERRIDE=FQ","FILING_STATUS=OR","EQY_CONSOLIDATED=Y","Sort=A","Dates=H","DateFormat=P","Fill=—","Direction=H","UseDPDF=Y")</f>
        <v>#NAME?</v>
      </c>
      <c r="BC197" s="1" t="e">
        <f ca="1">_xll.BDH($C$178,"TOTAL_CAPITAL_5_YEAR_GROWTH","FQ4 2017","FQ4 2017","Currency=INR","Period=FQ","BEST_FPERIOD_OVERRIDE=FQ","FILING_STATUS=OR","EQY_CONSOLIDATED=Y","Sort=A","Dates=H","DateFormat=P","Fill=—","Direction=H","UseDPDF=Y")</f>
        <v>#NAME?</v>
      </c>
      <c r="BD197" s="1" t="e">
        <f ca="1">_xll.BDH($C$178,"GEO_GROW_BOOK_VAL","FQ4 2017","FQ4 2017","Currency=INR","Period=FQ","BEST_FPERIOD_OVERRIDE=FQ","FILING_STATUS=OR","EQY_CONSOLIDATED=Y","Sort=A","Dates=H","DateFormat=P","Fill=—","Direction=H","UseDPDF=Y")</f>
        <v>#NAME?</v>
      </c>
      <c r="BE197" s="1" t="e">
        <f ca="1">_xll.BDH($C$178,"GEO_GROW_CASH_OPER_ACT","FQ4 2017","FQ4 2017","Currency=INR","Period=FQ","BEST_FPERIOD_OVERRIDE=FQ","FILING_STATUS=OR","EQY_CONSOLIDATED=Y","Sort=A","Dates=H","DateFormat=P","Fill=—","Direction=H","UseDPDF=Y")</f>
        <v>#NAME?</v>
      </c>
      <c r="BF197" s="1" t="e">
        <f ca="1">_xll.BDH($C$178,"REVENUE_SEQUENTIAL_GROWTH","FQ4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97" s="1" t="e">
        <f ca="1">_xll.BDH($C$178,"EBITDA_SEQUENTIAL_GROWTH","FQ4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97" s="1" t="e">
        <f ca="1">_xll.BDH($C$178,"OPERATING_INCOME_SEQ_GROWTH","FQ4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97" s="1" t="e">
        <f ca="1">_xll.BDH($C$178,"NET_INCOME_TO_COMMON_SEQ_GROWTH","FQ4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97" s="1" t="e">
        <f ca="1">_xll.BDH($C$178,"EPS_DILUTED_SEQUENTIAL_GROWTH","FQ4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97" s="1" t="e">
        <f ca="1">_xll.BDH($C$178,"DPS_SEQUENTIAL_GROWTH","FQ4 2017","FQ4 2017","Currency=INR","Period=FQ","BEST_FPERIOD_OVERRIDE=FQ","FILING_STATUS=OR","EQY_CONSOLIDATED=Y","Sort=A","Dates=H","DateFormat=P","Fill=—","Direction=H","UseDPDF=Y")</f>
        <v>#NAME?</v>
      </c>
      <c r="BL197" s="1" t="e">
        <f ca="1">_xll.BDH($C$178,"ACCOUNTS_RECEIVABLE_SEQ_GROWTH","FQ4 2017","FQ4 2017","Currency=INR","Period=FQ","BEST_FPERIOD_OVERRIDE=FQ","FILING_STATUS=OR","EQY_CONSOLIDATED=Y","Sort=A","Dates=H","DateFormat=P","Fill=—","Direction=H","UseDPDF=Y")</f>
        <v>#NAME?</v>
      </c>
      <c r="BM197" s="1" t="e">
        <f ca="1">_xll.BDH($C$178,"INVENTORY_SEQUENTIAL_GROWTH","FQ4 2017","FQ4 2017","Currency=INR","Period=FQ","BEST_FPERIOD_OVERRIDE=FQ","FILING_STATUS=OR","EQY_CONSOLIDATED=Y","Sort=A","Dates=H","DateFormat=P","Fill=—","Direction=H","UseDPDF=Y")</f>
        <v>#NAME?</v>
      </c>
      <c r="BN197" s="1" t="e">
        <f ca="1">_xll.BDH($C$178,"FIXED_ASSETS_SEQUENTIAL_GROWTH","FQ4 2017","FQ4 2017","Currency=INR","Period=FQ","BEST_FPERIOD_OVERRIDE=FQ","FILING_STATUS=OR","EQY_CONSOLIDATED=Y","Sort=A","Dates=H","DateFormat=P","Fill=—","Direction=H","UseDPDF=Y")</f>
        <v>#NAME?</v>
      </c>
      <c r="BO197" s="1" t="e">
        <f ca="1">_xll.BDH($C$178,"TOTAL_ASSETS_SEQUENTIAL_GROWTH","FQ4 2017","FQ4 2017","Currency=INR","Period=FQ","BEST_FPERIOD_OVERRIDE=FQ","FILING_STATUS=OR","EQY_CONSOLIDATED=Y","Sort=A","Dates=H","DateFormat=P","Fill=—","Direction=H","UseDPDF=Y")</f>
        <v>#NAME?</v>
      </c>
      <c r="BP197" s="1" t="e">
        <f ca="1">_xll.BDH($C$178,"MODIFIED_WORKING_CPTL_SEQ_GRWTH","FQ4 2017","FQ4 2017","Currency=INR","Period=FQ","BEST_FPERIOD_OVERRIDE=FQ","FILING_STATUS=OR","EQY_CONSOLIDATED=Y","Sort=A","Dates=H","DateFormat=P","Fill=—","Direction=H","UseDPDF=Y")</f>
        <v>#NAME?</v>
      </c>
      <c r="BQ197" s="1" t="e">
        <f ca="1">_xll.BDH($C$178,"WORKING_CAPITAL_SEQ_GROWTH","FQ4 2017","FQ4 2017","Currency=INR","Period=FQ","BEST_FPERIOD_OVERRIDE=FQ","FILING_STATUS=OR","EQY_CONSOLIDATED=Y","Sort=A","Dates=H","DateFormat=P","Fill=—","Direction=H","UseDPDF=Y")</f>
        <v>#NAME?</v>
      </c>
      <c r="BR197" s="1" t="e">
        <f ca="1">_xll.BDH($C$178,"ACCOUNTS_PAYABLE_SEQ_GROWTH","FQ4 2017","FQ4 2017","Currency=INR","Period=FQ","BEST_FPERIOD_OVERRIDE=FQ","FILING_STATUS=OR","EQY_CONSOLIDATED=Y","Sort=A","Dates=H","DateFormat=P","Fill=—","Direction=H","UseDPDF=Y")</f>
        <v>#NAME?</v>
      </c>
      <c r="BS197" s="1" t="e">
        <f ca="1">_xll.BDH($C$178,"ST_DEBT_SEQUENTIAL_GROWTH","FQ4 2017","FQ4 2017","Currency=INR","Period=FQ","BEST_FPERIOD_OVERRIDE=FQ","FILING_STATUS=OR","EQY_CONSOLIDATED=Y","Sort=A","Dates=H","DateFormat=P","Fill=—","Direction=H","UseDPDF=Y")</f>
        <v>#NAME?</v>
      </c>
      <c r="BT197" s="1" t="e">
        <f ca="1">_xll.BDH($C$178,"TOTAL_DEBT_SEQUENTIAL_GROWTH","FQ4 2017","FQ4 2017","Currency=INR","Period=FQ","BEST_FPERIOD_OVERRIDE=FQ","FILING_STATUS=OR","EQY_CONSOLIDATED=Y","Sort=A","Dates=H","DateFormat=P","Fill=—","Direction=H","UseDPDF=Y")</f>
        <v>#NAME?</v>
      </c>
      <c r="BU197" s="1" t="e">
        <f ca="1">_xll.BDH($C$178,"TOTAL_EQUITY_SEQUENTIAL_GROWTH","FQ4 2017","FQ4 2017","Currency=INR","Period=FQ","BEST_FPERIOD_OVERRIDE=FQ","FILING_STATUS=OR","EQY_CONSOLIDATED=Y","Sort=A","Dates=H","DateFormat=P","Fill=—","Direction=H","UseDPDF=Y")</f>
        <v>#NAME?</v>
      </c>
      <c r="BV197" s="1" t="e">
        <f ca="1">_xll.BDH($C$178,"TOTAL_CAPITAL_SEQUENTIAL_GROWTH","FQ4 2017","FQ4 2017","Currency=INR","Period=FQ","BEST_FPERIOD_OVERRIDE=FQ","FILING_STATUS=OR","EQY_CONSOLIDATED=Y","Sort=A","Dates=H","DateFormat=P","Fill=—","Direction=H","UseDPDF=Y")</f>
        <v>#NAME?</v>
      </c>
      <c r="BW197" s="1" t="e">
        <f ca="1">_xll.BDH($C$178,"BPS_SEQUENTIAL_GROWTH","FQ4 2017","FQ4 2017","Currency=INR","Period=FQ","BEST_FPERIOD_OVERRIDE=FQ","FILING_STATUS=OR","EQY_CONSOLIDATED=Y","Sort=A","Dates=H","DateFormat=P","Fill=—","Direction=H","UseDPDF=Y")</f>
        <v>#NAME?</v>
      </c>
      <c r="BX197" s="1" t="e">
        <f ca="1">_xll.BDH($C$178,"CFO_SEQUENTIAL_GROWTH","FQ4 2017","FQ4 2017","Currency=INR","Period=FQ","BEST_FPERIOD_OVERRIDE=FQ","FILING_STATUS=OR","EQY_CONSOLIDATED=Y","Sort=A","Dates=H","DateFormat=P","Fill=—","Direction=H","UseDPDF=Y")</f>
        <v>#NAME?</v>
      </c>
      <c r="BY197" s="2" t="e">
        <f ca="1">_xll.BDH($C$178,"SHORT_AND_LONG_TERM_DEBT","FQ4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97" s="2" t="e">
        <f ca="1">_xll.BDH($C$178,"BS_ST_BORROW","FQ4 2017","FQ4 2017","Currency=INR","Period=FQ","BEST_FPERIOD_OVERRIDE=FQ","FILING_STATUS=OR","EQY_CONSOLIDATED=Y","SCALING_FORMAT=MLN","Sort=A","Dates=H","DateFormat=P","Fill=—","Direction=H","UseDPDF=Y")</f>
        <v>#NAME?</v>
      </c>
      <c r="CA197" s="2" t="e">
        <f ca="1">_xll.BDH($C$178,"BS_LT_BORROW","FQ4 2017","FQ4 2017","Currency=INR","Period=FQ","BEST_FPERIOD_OVERRIDE=FQ","FILING_STATUS=OR","EQY_CONSOLIDATED=Y","SCALING_FORMAT=MLN","Sort=A","Dates=H","DateFormat=P","Fill=—","Direction=H","UseDPDF=Y")</f>
        <v>#NAME?</v>
      </c>
      <c r="CB197" s="1" t="e">
        <f ca="1">_xll.BDH($C$178,"TOT_DEBT_TO_EBITDA","FQ4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97" s="1" t="e">
        <f ca="1">_xll.BDH($C$178,"NET_DEBT_TO_EBITDA","FQ4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97" s="1" t="e">
        <f ca="1">_xll.BDH($C$178,"TOTAL_DEBT_TO_EBIT","FQ4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97" s="1" t="e">
        <f ca="1">_xll.BDH($C$178,"NET_DEBT_TO_EBIT","FQ4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197" s="1" t="e">
        <f ca="1">_xll.BDH($C$178,"EBITDA_TO_INTEREST_EXPN","FQ4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97" s="1" t="e">
        <f ca="1">_xll.BDH($C$178,"COM_EQY_TO_TOT_ASSET","FQ4 2017","FQ4 2017","Currency=INR","Period=FQ","BEST_FPERIOD_OVERRIDE=FQ","FILING_STATUS=OR","EQY_CONSOLIDATED=Y","Sort=A","Dates=H","DateFormat=P","Fill=—","Direction=H","UseDPDF=Y")</f>
        <v>#NAME?</v>
      </c>
      <c r="CH197" s="1" t="e">
        <f ca="1">_xll.BDH($C$178,"LT_DEBT_TO_TOT_EQY","FQ4 2017","FQ4 2017","Currency=INR","Period=FQ","BEST_FPERIOD_OVERRIDE=FQ","FILING_STATUS=OR","EQY_CONSOLIDATED=Y","Sort=A","Dates=H","DateFormat=P","Fill=—","Direction=H","UseDPDF=Y")</f>
        <v>#NAME?</v>
      </c>
      <c r="CI197" s="1" t="e">
        <f ca="1">_xll.BDH($C$178,"LT_DEBT_TO_TOT_CAP","FQ4 2017","FQ4 2017","Currency=INR","Period=FQ","BEST_FPERIOD_OVERRIDE=FQ","FILING_STATUS=OR","EQY_CONSOLIDATED=Y","Sort=A","Dates=H","DateFormat=P","Fill=—","Direction=H","UseDPDF=Y")</f>
        <v>#NAME?</v>
      </c>
      <c r="CJ197" s="1" t="e">
        <f ca="1">_xll.BDH($C$178,"LT_DEBT_TO_TOT_ASSET","FQ4 2017","FQ4 2017","Currency=INR","Period=FQ","BEST_FPERIOD_OVERRIDE=FQ","FILING_STATUS=OR","EQY_CONSOLIDATED=Y","Sort=A","Dates=H","DateFormat=P","Fill=—","Direction=H","UseDPDF=Y")</f>
        <v>#NAME?</v>
      </c>
      <c r="CK197" s="1" t="e">
        <f ca="1">_xll.BDH($C$178,"TOT_DEBT_TO_TOT_EQY","FQ4 2017","FQ4 2017","Currency=INR","Period=FQ","BEST_FPERIOD_OVERRIDE=FQ","FILING_STATUS=OR","EQY_CONSOLIDATED=Y","Sort=A","Dates=H","DateFormat=P","Fill=—","Direction=H","UseDPDF=Y")</f>
        <v>#NAME?</v>
      </c>
      <c r="CL197" s="1" t="e">
        <f ca="1">_xll.BDH($C$178,"TOT_DEBT_TO_TOT_CAP","FQ4 2017","FQ4 2017","Currency=INR","Period=FQ","BEST_FPERIOD_OVERRIDE=FQ","FILING_STATUS=OR","EQY_CONSOLIDATED=Y","Sort=A","Dates=H","DateFormat=P","Fill=—","Direction=H","UseDPDF=Y")</f>
        <v>#NAME?</v>
      </c>
      <c r="CM197" s="1" t="e">
        <f ca="1">_xll.BDH($C$178,"TOT_DEBT_TO_TOT_ASSET","FQ4 2017","FQ4 2017","Currency=INR","Period=FQ","BEST_FPERIOD_OVERRIDE=FQ","FILING_STATUS=OR","EQY_CONSOLIDATED=Y","Sort=A","Dates=H","DateFormat=P","Fill=—","Direction=H","UseDPDF=Y")</f>
        <v>#NAME?</v>
      </c>
      <c r="CN197" s="1" t="e">
        <f ca="1">_xll.BDH($C$178,"NET_DEBT_TO_SHRHLDR_EQTY","FQ4 2017","FQ4 2017","Currency=INR","Period=FQ","BEST_FPERIOD_OVERRIDE=FQ","FILING_STATUS=OR","EQY_CONSOLIDATED=Y","Sort=A","Dates=H","DateFormat=P","Fill=—","Direction=H","UseDPDF=Y")</f>
        <v>#NAME?</v>
      </c>
      <c r="CO197" s="1" t="e">
        <f ca="1">_xll.BDH($C$178,"NET_DEBT_%_CAPITAL","FQ4 2017","FQ4 2017","Currency=INR","Period=FQ","BEST_FPERIOD_OVERRIDE=FQ","FILING_STATUS=OR","EQY_CONSOLIDATED=Y","Sort=A","Dates=H","DateFormat=P","Fill=—","Direction=H","UseDPDF=Y")</f>
        <v>#NAME?</v>
      </c>
      <c r="CP197" s="2" t="e">
        <f ca="1">_xll.BDH($C$178,"EBITDA","FQ4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97" s="2" t="e">
        <f ca="1">_xll.BDH($C$178,"EBITDA_AFTER_CAPEX","FQ4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97" s="2" t="e">
        <f ca="1">_xll.BDH($C$178,"IS_OPER_INC","FQ4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97" s="1" t="e">
        <f ca="1">_xll.BDH($C$178,"CASH_RATIO","FQ4 2017","FQ4 2017","Currency=INR","Period=FQ","BEST_FPERIOD_OVERRIDE=FQ","FILING_STATUS=OR","EQY_CONSOLIDATED=Y","Sort=A","Dates=H","DateFormat=P","Fill=—","Direction=H","UseDPDF=Y")</f>
        <v>#NAME?</v>
      </c>
      <c r="CT197" s="1" t="e">
        <f ca="1">_xll.BDH($C$178,"CUR_RATIO","FQ4 2017","FQ4 2017","Currency=INR","Period=FQ","BEST_FPERIOD_OVERRIDE=FQ","FILING_STATUS=OR","EQY_CONSOLIDATED=Y","Sort=A","Dates=H","DateFormat=P","Fill=—","Direction=H","UseDPDF=Y")</f>
        <v>#NAME?</v>
      </c>
      <c r="CU197" s="1" t="e">
        <f ca="1">_xll.BDH($C$178,"QUICK_RATIO","FQ4 2017","FQ4 2017","Currency=INR","Period=FQ","BEST_FPERIOD_OVERRIDE=FQ","FILING_STATUS=OR","EQY_CONSOLIDATED=Y","Sort=A","Dates=H","DateFormat=P","Fill=—","Direction=H","UseDPDF=Y")</f>
        <v>#NAME?</v>
      </c>
      <c r="CV197" s="1" t="e">
        <f ca="1">_xll.BDH($C$178,"ALTMAN_Z_SCORE","FQ4 2017","FQ4 2017","Currency=INR","Period=FQ","BEST_FPERIOD_OVERRIDE=FQ","FILING_STATUS=OR","EQY_CONSOLIDATED=Y","Sort=A","Dates=H","DateFormat=P","Fill=—","Direction=H","UseDPDF=Y")</f>
        <v>#NAME?</v>
      </c>
      <c r="CW197" s="3" t="e">
        <f ca="1">_xll.BDH($C$178,"ACCT_RCV_TURN","FQ4 2017","FQ4 2017","Currency=INR","Period=FQ","BEST_FPERIOD_OVERRIDE=FQ","FILING_STATUS=OR","EQY_CONSOLIDATED=Y","FA_ADJUSTED=GAAP","Sort=A","Dates=H","DateFormat=P","Fill=—","Direction=H","UseDPDF=Y")</f>
        <v>#NAME?</v>
      </c>
      <c r="CX197" s="1" t="e">
        <f ca="1">_xll.BDH($C$178,"ACCT_RCV_DAYS","FQ4 2017","FQ4 2017","Currency=INR","Period=FQ","BEST_FPERIOD_OVERRIDE=FQ","FILING_STATUS=OR","EQY_CONSOLIDATED=Y","FA_ADJUSTED=GAAP","Sort=A","Dates=H","DateFormat=P","Fill=—","Direction=H","UseDPDF=Y")</f>
        <v>#NAME?</v>
      </c>
      <c r="CY197" s="3" t="e">
        <f ca="1">_xll.BDH($C$178,"INVENT_TURN","FQ4 2017","FQ4 2017","Currency=INR","Period=FQ","BEST_FPERIOD_OVERRIDE=FQ","FILING_STATUS=OR","EQY_CONSOLIDATED=Y","FA_ADJUSTED=GAAP","Sort=A","Dates=H","DateFormat=P","Fill=—","Direction=H","UseDPDF=Y")</f>
        <v>#NAME?</v>
      </c>
      <c r="CZ197" s="1" t="e">
        <f ca="1">_xll.BDH($C$178,"INVENT_DAYS","FQ4 2017","FQ4 2017","Currency=INR","Period=FQ","BEST_FPERIOD_OVERRIDE=FQ","FILING_STATUS=OR","EQY_CONSOLIDATED=Y","FA_ADJUSTED=GAAP","Sort=A","Dates=H","DateFormat=P","Fill=—","Direction=H","UseDPDF=Y")</f>
        <v>#NAME?</v>
      </c>
      <c r="DA197" s="3" t="e">
        <f ca="1">_xll.BDH($C$178,"ACCOUNTS_PAYABLE_TURNOVER","FQ4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97" s="1" t="e">
        <f ca="1">_xll.BDH($C$178,"ACCOUNTS_PAYABLE_TURNOVER_DAYS","FQ4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97" s="3" t="e">
        <f ca="1">_xll.BDH($C$178,"CASH_CONVERSION_CYCLE","FQ4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97" s="3" t="e">
        <f ca="1">_xll.BDH($C$178,"INV_TO_CASH_DAYS","FQ4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197" s="4" t="e">
        <f ca="1">_xll.BDH($C$178,"BS_INVENTORIES","FQ4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197" s="2" t="e">
        <f ca="1">_xll.BDH($C$178,"INVTRY_RAW_MATERIALS","FQ4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97" s="2" t="e">
        <f ca="1">_xll.BDH($C$178,"INVTRY_IN_PROGRESS","FQ4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97" s="2" t="e">
        <f ca="1">_xll.BDH($C$178,"INVTRY_FINISHED_GOODS","FQ4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97" s="2" t="e">
        <f ca="1">_xll.BDH($C$178,"BS_OTHER_INV","FQ4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98" spans="1:113" x14ac:dyDescent="0.3">
      <c r="A198" s="6"/>
      <c r="B198" s="6"/>
      <c r="C198" s="6"/>
      <c r="D198" s="6" t="s">
        <v>11</v>
      </c>
      <c r="E198" t="s">
        <v>3</v>
      </c>
      <c r="F198" t="e">
        <f ca="1">_xll.BDH($C$178,"RETURN_COM_EQY","FY 2018","FY 2018","Currency=INR","Period=FY","BEST_FPERIOD_OVERRIDE=FY","FILING_STATUS=OR","EQY_CONSOLIDATED=Y","FA_ADJUSTED=GAAP","Sort=A","Dates=H","DateFormat=P","Fill=—","Direction=H","UseDPDF=Y")</f>
        <v>#NAME?</v>
      </c>
      <c r="G198" t="e">
        <f ca="1">_xll.BDH($C$178,"RETURN_ON_ASSET","FY 2018","FY 2018","Currency=INR","Period=FY","BEST_FPERIOD_OVERRIDE=FY","FILING_STATUS=OR","EQY_CONSOLIDATED=Y","FA_ADJUSTED=GAAP","Sort=A","Dates=H","DateFormat=P","Fill=—","Direction=H","UseDPDF=Y")</f>
        <v>#NAME?</v>
      </c>
      <c r="H198" t="e">
        <f ca="1">_xll.BDH($C$178,"RETURN_ON_CAP","FY 2018","FY 2018","Currency=INR","Period=FY","BEST_FPERIOD_OVERRIDE=FY","FILING_STATUS=OR","EQY_CONSOLIDATED=Y","FA_ADJUSTED=GAAP","Sort=A","Dates=H","DateFormat=P","Fill=—","Direction=H","UseDPDF=Y")</f>
        <v>#NAME?</v>
      </c>
      <c r="I198" t="e">
        <f ca="1">_xll.BDH($C$178,"RETURN_ON_INV_CAPITAL","FY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98" t="e">
        <f ca="1">_xll.BDH($C$178,"EBITDA_TO_REVENUE","FY 2018","FY 2018","Currency=INR","Period=FY","BEST_FPERIOD_OVERRIDE=FY","FILING_STATUS=OR","EQY_CONSOLIDATED=Y","FA_ADJUSTED=GAAP","Sort=A","Dates=H","DateFormat=P","Fill=—","Direction=H","UseDPDF=Y")</f>
        <v>#NAME?</v>
      </c>
      <c r="K198" t="e">
        <f ca="1">_xll.BDH($C$178,"OPER_MARGIN","FY 2018","FY 2018","Currency=INR","Period=FY","BEST_FPERIOD_OVERRIDE=FY","FILING_STATUS=OR","EQY_CONSOLIDATED=Y","FA_ADJUSTED=GAAP","Sort=A","Dates=H","DateFormat=P","Fill=—","Direction=H","UseDPDF=Y")</f>
        <v>#NAME?</v>
      </c>
      <c r="L198" t="e">
        <f ca="1">_xll.BDH($C$178,"INCREMENTAL_OPERATING_MARGIN","FY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98" t="e">
        <f ca="1">_xll.BDH($C$178,"PRETAX_INC_TO_NET_SALES","FY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98" t="e">
        <f ca="1">_xll.BDH($C$178,"INC_BEF_XO_ITEMS_TO_NET_SALES","FY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98" t="e">
        <f ca="1">_xll.BDH($C$178,"PROF_MARGIN","FY 2018","FY 2018","Currency=INR","Period=FY","BEST_FPERIOD_OVERRIDE=FY","FILING_STATUS=OR","EQY_CONSOLIDATED=Y","FA_ADJUSTED=GAAP","Sort=A","Dates=H","DateFormat=P","Fill=—","Direction=H","UseDPDF=Y")</f>
        <v>#NAME?</v>
      </c>
      <c r="P198" t="e">
        <f ca="1">_xll.BDH($C$178,"NET_INCOME_TO_COMMON_MARGIN","FY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98" t="e">
        <f ca="1">_xll.BDH($C$178,"EFF_TAX_RATE","FY 2018","FY 2018","Currency=INR","Period=FY","BEST_FPERIOD_OVERRIDE=FY","FILING_STATUS=OR","EQY_CONSOLIDATED=Y","FA_ADJUSTED=GAAP","Sort=A","Dates=H","DateFormat=P","Fill=—","Direction=H","UseDPDF=Y")</f>
        <v>#NAME?</v>
      </c>
      <c r="R198" t="e">
        <f ca="1">_xll.BDH($C$178,"DVD_PAYOUT_RATIO","FY 2018","FY 2018","Currency=INR","Period=FY","BEST_FPERIOD_OVERRIDE=FY","FILING_STATUS=OR","EQY_CONSOLIDATED=Y","FA_ADJUSTED=GAAP","Sort=A","Dates=H","DateFormat=P","Fill=—","Direction=H","UseDPDF=Y")</f>
        <v>#NAME?</v>
      </c>
      <c r="S198" t="e">
        <f ca="1">_xll.BDH($C$178,"SUSTAIN_GROWTH_RT","FY 2018","FY 2018","Currency=INR","Period=FY","BEST_FPERIOD_OVERRIDE=FY","FILING_STATUS=OR","EQY_CONSOLIDATED=Y","FA_ADJUSTED=GAAP","Sort=A","Dates=H","DateFormat=P","Fill=—","Direction=H","UseDPDF=Y")</f>
        <v>#NAME?</v>
      </c>
      <c r="T198" s="1" t="e">
        <f ca="1">_xll.BDH($C$178,"SALES_GROWTH","FY 2018","FY 2018","Currency=INR","Period=FY","BEST_FPERIOD_OVERRIDE=FY","FILING_STATUS=OR","EQY_CONSOLIDATED=Y","FA_ADJUSTED=GAAP","Sort=A","Dates=H","DateFormat=P","Fill=—","Direction=H","UseDPDF=Y")</f>
        <v>#NAME?</v>
      </c>
      <c r="U198" s="1" t="e">
        <f ca="1">_xll.BDH($C$178,"EBITDA_GROWTH","FY 2018","FY 2018","Currency=INR","Period=FY","BEST_FPERIOD_OVERRIDE=FY","FILING_STATUS=OR","EQY_CONSOLIDATED=Y","FA_ADJUSTED=GAAP","Sort=A","Dates=H","DateFormat=P","Fill=—","Direction=H","UseDPDF=Y")</f>
        <v>#NAME?</v>
      </c>
      <c r="V198" s="1" t="e">
        <f ca="1">_xll.BDH($C$178,"OPER_INC_GROWTH","FY 2018","FY 2018","Currency=INR","Period=FY","BEST_FPERIOD_OVERRIDE=FY","FILING_STATUS=OR","EQY_CONSOLIDATED=Y","FA_ADJUSTED=GAAP","Sort=A","Dates=H","DateFormat=P","Fill=—","Direction=H","UseDPDF=Y")</f>
        <v>#NAME?</v>
      </c>
      <c r="W198" s="1" t="e">
        <f ca="1">_xll.BDH($C$178,"EARN_FOR_COM_GROWTH","FY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198" s="1" t="e">
        <f ca="1">_xll.BDH($C$178,"DILUTED_EPS_AFT_XO_ITEMS_GROWTH","FY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98" s="1" t="e">
        <f ca="1">_xll.BDH($C$178,"DIVIDEND_PER_SHARE_1_YEAR_GROWTH","FY 2018","FY 2018","Currency=INR","Period=FY","BEST_FPERIOD_OVERRIDE=FY","FILING_STATUS=OR","EQY_CONSOLIDATED=Y","Sort=A","Dates=H","DateFormat=P","Fill=—","Direction=H","UseDPDF=Y")</f>
        <v>#NAME?</v>
      </c>
      <c r="Z198" s="1" t="e">
        <f ca="1">_xll.BDH($C$178,"ACCOUNTS_RECEIVABLE_GROWTH","FY 2018","FY 2018","Currency=INR","Period=FY","BEST_FPERIOD_OVERRIDE=FY","FILING_STATUS=OR","EQY_CONSOLIDATED=Y","Sort=A","Dates=H","DateFormat=P","Fill=—","Direction=H","UseDPDF=Y")</f>
        <v>#NAME?</v>
      </c>
      <c r="AA198" s="1" t="e">
        <f ca="1">_xll.BDH($C$178,"INVENTORY_GROWTH","FY 2018","FY 2018","Currency=INR","Period=FY","BEST_FPERIOD_OVERRIDE=FY","FILING_STATUS=OR","EQY_CONSOLIDATED=Y","Sort=A","Dates=H","DateFormat=P","Fill=—","Direction=H","UseDPDF=Y")</f>
        <v>#NAME?</v>
      </c>
      <c r="AB198" s="1" t="e">
        <f ca="1">_xll.BDH($C$178,"NET_FIXED_ASSETS_1_YEAR_GROWTH","FY 2018","FY 2018","Currency=INR","Period=FY","BEST_FPERIOD_OVERRIDE=FY","FILING_STATUS=OR","EQY_CONSOLIDATED=Y","Sort=A","Dates=H","DateFormat=P","Fill=—","Direction=H","UseDPDF=Y")</f>
        <v>#NAME?</v>
      </c>
      <c r="AC198" s="1" t="e">
        <f ca="1">_xll.BDH($C$178,"ASSET_GROWTH","FY 2018","FY 2018","Currency=INR","Period=FY","BEST_FPERIOD_OVERRIDE=FY","FILING_STATUS=OR","EQY_CONSOLIDATED=Y","Sort=A","Dates=H","DateFormat=P","Fill=—","Direction=H","UseDPDF=Y")</f>
        <v>#NAME?</v>
      </c>
      <c r="AD198" s="1" t="e">
        <f ca="1">_xll.BDH($C$178,"MODIFIED_WORK_CAP_GROWTH","FY 2018","FY 2018","Currency=INR","Period=FY","BEST_FPERIOD_OVERRIDE=FY","FILING_STATUS=OR","EQY_CONSOLIDATED=Y","Sort=A","Dates=H","DateFormat=P","Fill=—","Direction=H","UseDPDF=Y")</f>
        <v>#NAME?</v>
      </c>
      <c r="AE198" s="1" t="e">
        <f ca="1">_xll.BDH($C$178,"WORK_CAP_GROWTH","FY 2018","FY 2018","Currency=INR","Period=FY","BEST_FPERIOD_OVERRIDE=FY","FILING_STATUS=OR","EQY_CONSOLIDATED=Y","Sort=A","Dates=H","DateFormat=P","Fill=—","Direction=H","UseDPDF=Y")</f>
        <v>#NAME?</v>
      </c>
      <c r="AF198" s="1" t="e">
        <f ca="1">_xll.BDH($C$178,"ACCOUNTS_PAYABLE_GROWTH_1YR","FY 2018","FY 2018","Currency=INR","Period=FY","BEST_FPERIOD_OVERRIDE=FY","FILING_STATUS=OR","EQY_CONSOLIDATED=Y","Sort=A","Dates=H","DateFormat=P","Fill=—","Direction=H","UseDPDF=Y")</f>
        <v>#NAME?</v>
      </c>
      <c r="AG198" s="1" t="e">
        <f ca="1">_xll.BDH($C$178,"SHORT_TERM_DEBT_1_YEAR_GROWTH","FY 2018","FY 2018","Currency=INR","Period=FY","BEST_FPERIOD_OVERRIDE=FY","FILING_STATUS=OR","EQY_CONSOLIDATED=Y","Sort=A","Dates=H","DateFormat=P","Fill=—","Direction=H","UseDPDF=Y")</f>
        <v>#NAME?</v>
      </c>
      <c r="AH198" s="1" t="e">
        <f ca="1">_xll.BDH($C$178,"TOTAL_DEBT_1_YEAR_GROWTH","FY 2018","FY 2018","Currency=INR","Period=FY","BEST_FPERIOD_OVERRIDE=FY","FILING_STATUS=OR","EQY_CONSOLIDATED=Y","Sort=A","Dates=H","DateFormat=P","Fill=—","Direction=H","UseDPDF=Y")</f>
        <v>#NAME?</v>
      </c>
      <c r="AI198" s="1" t="e">
        <f ca="1">_xll.BDH($C$178,"TOTAL_EQUITY_1_YEAR_GROWTH","FY 2018","FY 2018","Currency=INR","Period=FY","BEST_FPERIOD_OVERRIDE=FY","FILING_STATUS=OR","EQY_CONSOLIDATED=Y","Sort=A","Dates=H","DateFormat=P","Fill=—","Direction=H","UseDPDF=Y")</f>
        <v>#NAME?</v>
      </c>
      <c r="AJ198" s="1" t="e">
        <f ca="1">_xll.BDH($C$178,"GROWTH_IN_CAP","FY 2018","FY 2018","Currency=INR","Period=FY","BEST_FPERIOD_OVERRIDE=FY","FILING_STATUS=OR","EQY_CONSOLIDATED=Y","Sort=A","Dates=H","DateFormat=P","Fill=—","Direction=H","UseDPDF=Y")</f>
        <v>#NAME?</v>
      </c>
      <c r="AK198" s="1" t="e">
        <f ca="1">_xll.BDH($C$178,"BVPS_GROWTH","FY 2018","FY 2018","Currency=INR","Period=FY","BEST_FPERIOD_OVERRIDE=FY","FILING_STATUS=OR","EQY_CONSOLIDATED=Y","Sort=A","Dates=H","DateFormat=P","Fill=—","Direction=H","UseDPDF=Y")</f>
        <v>#NAME?</v>
      </c>
      <c r="AL198" s="1" t="e">
        <f ca="1">_xll.BDH($C$178,"CASH_FLOW_GROWTH","FY 2018","FY 2018","Currency=INR","Period=FY","BEST_FPERIOD_OVERRIDE=FY","FILING_STATUS=OR","EQY_CONSOLIDATED=Y","Sort=A","Dates=H","DateFormat=P","Fill=—","Direction=H","UseDPDF=Y")</f>
        <v>#NAME?</v>
      </c>
      <c r="AM198" s="1" t="e">
        <f ca="1">_xll.BDH($C$178,"GEO_GROW_NET_SALES","FY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198" s="1" t="e">
        <f ca="1">_xll.BDH($C$178,"GEO_GROW_EBITDA","FY 2018","FY 2018","Currency=INR","Period=FY","BEST_FPERIOD_OVERRIDE=FY","FILING_STATUS=OR","EQY_CONSOLIDATED=Y","FA_ADJUSTED=GAAP","Sort=A","Dates=H","DateFormat=P","Fill=—","Direction=H","UseDPDF=Y")</f>
        <v>#NAME?</v>
      </c>
      <c r="AO198" s="1" t="e">
        <f ca="1">_xll.BDH($C$178,"GEO_GROW_OPER_INC","FY 2018","FY 2018","Currency=INR","Period=FY","BEST_FPERIOD_OVERRIDE=FY","FILING_STATUS=OR","EQY_CONSOLIDATED=Y","FA_ADJUSTED=GAAP","Sort=A","Dates=H","DateFormat=P","Fill=—","Direction=H","UseDPDF=Y")</f>
        <v>#NAME?</v>
      </c>
      <c r="AP198" s="1" t="e">
        <f ca="1">_xll.BDH($C$178,"NET_INCOME_TO_COMMON_5_YR_GROWTH","FY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98" s="1" t="e">
        <f ca="1">_xll.BDH($C$178,"5Y_GEO_GROWTH_DILUTED_EPS","FY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98" s="1" t="e">
        <f ca="1">_xll.BDH($C$178,"GEO_GROW_DVD_PER_SH","FY 2018","FY 2018","Currency=INR","Period=FY","BEST_FPERIOD_OVERRIDE=FY","FILING_STATUS=OR","EQY_CONSOLIDATED=Y","Sort=A","Dates=H","DateFormat=P","Fill=—","Direction=H","UseDPDF=Y")</f>
        <v>#NAME?</v>
      </c>
      <c r="AS198" s="1" t="e">
        <f ca="1">_xll.BDH($C$178,"ACCOUNTS_RECEIVABLE_5_YR_GROWTH","FY 2018","FY 2018","Currency=INR","Period=FY","BEST_FPERIOD_OVERRIDE=FY","FILING_STATUS=OR","EQY_CONSOLIDATED=Y","Sort=A","Dates=H","DateFormat=P","Fill=—","Direction=H","UseDPDF=Y")</f>
        <v>#NAME?</v>
      </c>
      <c r="AT198" s="1" t="e">
        <f ca="1">_xll.BDH($C$178,"INVENTORY_5_YEAR_GROWTH","FY 2018","FY 2018","Currency=INR","Period=FY","BEST_FPERIOD_OVERRIDE=FY","FILING_STATUS=OR","EQY_CONSOLIDATED=Y","Sort=A","Dates=H","DateFormat=P","Fill=—","Direction=H","UseDPDF=Y")</f>
        <v>#NAME?</v>
      </c>
      <c r="AU198" s="1" t="e">
        <f ca="1">_xll.BDH($C$178,"NET_FIXED_ASSETS_5_YEAR_GROWTH","FY 2018","FY 2018","Currency=INR","Period=FY","BEST_FPERIOD_OVERRIDE=FY","FILING_STATUS=OR","EQY_CONSOLIDATED=Y","Sort=A","Dates=H","DateFormat=P","Fill=—","Direction=H","UseDPDF=Y")</f>
        <v>#NAME?</v>
      </c>
      <c r="AV198" s="1" t="e">
        <f ca="1">_xll.BDH($C$178,"GEO_GROW_TOT_ASSET","FY 2018","FY 2018","Currency=INR","Period=FY","BEST_FPERIOD_OVERRIDE=FY","FILING_STATUS=OR","EQY_CONSOLIDATED=Y","Sort=A","Dates=H","DateFormat=P","Fill=—","Direction=H","UseDPDF=Y")</f>
        <v>#NAME?</v>
      </c>
      <c r="AW198" s="1" t="e">
        <f ca="1">_xll.BDH($C$178,"MODIFIED_WORKING_CPTL_5YR_GRWTH","FY 2018","FY 2018","Currency=INR","Period=FY","BEST_FPERIOD_OVERRIDE=FY","FILING_STATUS=OR","EQY_CONSOLIDATED=Y","Sort=A","Dates=H","DateFormat=P","Fill=—","Direction=H","UseDPDF=Y")</f>
        <v>#NAME?</v>
      </c>
      <c r="AX198" s="1" t="e">
        <f ca="1">_xll.BDH($C$178,"WORKING_CAPITAL_5_YEAR_GROWTH","FY 2018","FY 2018","Currency=INR","Period=FY","BEST_FPERIOD_OVERRIDE=FY","FILING_STATUS=OR","EQY_CONSOLIDATED=Y","Sort=A","Dates=H","DateFormat=P","Fill=—","Direction=H","UseDPDF=Y")</f>
        <v>#NAME?</v>
      </c>
      <c r="AY198" s="1" t="e">
        <f ca="1">_xll.BDH($C$178,"ACCOUNTS_PAYABLE_5_YEAR_GROWTH","FY 2018","FY 2018","Currency=INR","Period=FY","BEST_FPERIOD_OVERRIDE=FY","FILING_STATUS=OR","EQY_CONSOLIDATED=Y","Sort=A","Dates=H","DateFormat=P","Fill=—","Direction=H","UseDPDF=Y")</f>
        <v>#NAME?</v>
      </c>
      <c r="AZ198" s="1" t="e">
        <f ca="1">_xll.BDH($C$178,"SHORT_TERM_DEBT_5_YEAR_GROWTH","FY 2018","FY 2018","Currency=INR","Period=FY","BEST_FPERIOD_OVERRIDE=FY","FILING_STATUS=OR","EQY_CONSOLIDATED=Y","Sort=A","Dates=H","DateFormat=P","Fill=—","Direction=H","UseDPDF=Y")</f>
        <v>#NAME?</v>
      </c>
      <c r="BA198" s="1" t="e">
        <f ca="1">_xll.BDH($C$178,"TOTAL_DEBT_5_YEAR_GROWTH","FY 2018","FY 2018","Currency=INR","Period=FY","BEST_FPERIOD_OVERRIDE=FY","FILING_STATUS=OR","EQY_CONSOLIDATED=Y","Sort=A","Dates=H","DateFormat=P","Fill=—","Direction=H","UseDPDF=Y")</f>
        <v>#NAME?</v>
      </c>
      <c r="BB198" s="1" t="e">
        <f ca="1">_xll.BDH($C$178,"GEO_GROW_TOT_SHRHLDR_EQY","FY 2018","FY 2018","Currency=INR","Period=FY","BEST_FPERIOD_OVERRIDE=FY","FILING_STATUS=OR","EQY_CONSOLIDATED=Y","Sort=A","Dates=H","DateFormat=P","Fill=—","Direction=H","UseDPDF=Y")</f>
        <v>#NAME?</v>
      </c>
      <c r="BC198" s="1" t="e">
        <f ca="1">_xll.BDH($C$178,"TOTAL_CAPITAL_5_YEAR_GROWTH","FY 2018","FY 2018","Currency=INR","Period=FY","BEST_FPERIOD_OVERRIDE=FY","FILING_STATUS=OR","EQY_CONSOLIDATED=Y","Sort=A","Dates=H","DateFormat=P","Fill=—","Direction=H","UseDPDF=Y")</f>
        <v>#NAME?</v>
      </c>
      <c r="BD198" s="1" t="e">
        <f ca="1">_xll.BDH($C$178,"GEO_GROW_BOOK_VAL","FY 2018","FY 2018","Currency=INR","Period=FY","BEST_FPERIOD_OVERRIDE=FY","FILING_STATUS=OR","EQY_CONSOLIDATED=Y","Sort=A","Dates=H","DateFormat=P","Fill=—","Direction=H","UseDPDF=Y")</f>
        <v>#NAME?</v>
      </c>
      <c r="BE198" s="1" t="e">
        <f ca="1">_xll.BDH($C$178,"GEO_GROW_CASH_OPER_ACT","FY 2018","FY 2018","Currency=INR","Period=FY","BEST_FPERIOD_OVERRIDE=FY","FILING_STATUS=OR","EQY_CONSOLIDATED=Y","Sort=A","Dates=H","DateFormat=P","Fill=—","Direction=H","UseDPDF=Y")</f>
        <v>#NAME?</v>
      </c>
      <c r="BF198" s="1" t="e">
        <f ca="1">_xll.BDH($C$178,"REVENUE_SEQUENTIAL_GROWTH","FY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98" s="1" t="e">
        <f ca="1">_xll.BDH($C$178,"EBITDA_SEQUENTIAL_GROWTH","FY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98" s="1" t="e">
        <f ca="1">_xll.BDH($C$178,"OPERATING_INCOME_SEQ_GROWTH","FY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98" s="1" t="e">
        <f ca="1">_xll.BDH($C$178,"NET_INCOME_TO_COMMON_SEQ_GROWTH","FY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98" s="1" t="e">
        <f ca="1">_xll.BDH($C$178,"EPS_DILUTED_SEQUENTIAL_GROWTH","FY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98" s="1" t="e">
        <f ca="1">_xll.BDH($C$178,"DPS_SEQUENTIAL_GROWTH","FY 2018","FY 2018","Currency=INR","Period=FY","BEST_FPERIOD_OVERRIDE=FY","FILING_STATUS=OR","EQY_CONSOLIDATED=Y","Sort=A","Dates=H","DateFormat=P","Fill=—","Direction=H","UseDPDF=Y")</f>
        <v>#NAME?</v>
      </c>
      <c r="BL198" s="1" t="e">
        <f ca="1">_xll.BDH($C$178,"ACCOUNTS_RECEIVABLE_SEQ_GROWTH","FY 2018","FY 2018","Currency=INR","Period=FY","BEST_FPERIOD_OVERRIDE=FY","FILING_STATUS=OR","EQY_CONSOLIDATED=Y","Sort=A","Dates=H","DateFormat=P","Fill=—","Direction=H","UseDPDF=Y")</f>
        <v>#NAME?</v>
      </c>
      <c r="BM198" s="1" t="e">
        <f ca="1">_xll.BDH($C$178,"INVENTORY_SEQUENTIAL_GROWTH","FY 2018","FY 2018","Currency=INR","Period=FY","BEST_FPERIOD_OVERRIDE=FY","FILING_STATUS=OR","EQY_CONSOLIDATED=Y","Sort=A","Dates=H","DateFormat=P","Fill=—","Direction=H","UseDPDF=Y")</f>
        <v>#NAME?</v>
      </c>
      <c r="BN198" s="1" t="e">
        <f ca="1">_xll.BDH($C$178,"FIXED_ASSETS_SEQUENTIAL_GROWTH","FY 2018","FY 2018","Currency=INR","Period=FY","BEST_FPERIOD_OVERRIDE=FY","FILING_STATUS=OR","EQY_CONSOLIDATED=Y","Sort=A","Dates=H","DateFormat=P","Fill=—","Direction=H","UseDPDF=Y")</f>
        <v>#NAME?</v>
      </c>
      <c r="BO198" s="1" t="e">
        <f ca="1">_xll.BDH($C$178,"TOTAL_ASSETS_SEQUENTIAL_GROWTH","FY 2018","FY 2018","Currency=INR","Period=FY","BEST_FPERIOD_OVERRIDE=FY","FILING_STATUS=OR","EQY_CONSOLIDATED=Y","Sort=A","Dates=H","DateFormat=P","Fill=—","Direction=H","UseDPDF=Y")</f>
        <v>#NAME?</v>
      </c>
      <c r="BP198" s="1" t="e">
        <f ca="1">_xll.BDH($C$178,"MODIFIED_WORKING_CPTL_SEQ_GRWTH","FY 2018","FY 2018","Currency=INR","Period=FY","BEST_FPERIOD_OVERRIDE=FY","FILING_STATUS=OR","EQY_CONSOLIDATED=Y","Sort=A","Dates=H","DateFormat=P","Fill=—","Direction=H","UseDPDF=Y")</f>
        <v>#NAME?</v>
      </c>
      <c r="BQ198" s="1" t="e">
        <f ca="1">_xll.BDH($C$178,"WORKING_CAPITAL_SEQ_GROWTH","FY 2018","FY 2018","Currency=INR","Period=FY","BEST_FPERIOD_OVERRIDE=FY","FILING_STATUS=OR","EQY_CONSOLIDATED=Y","Sort=A","Dates=H","DateFormat=P","Fill=—","Direction=H","UseDPDF=Y")</f>
        <v>#NAME?</v>
      </c>
      <c r="BR198" s="1" t="e">
        <f ca="1">_xll.BDH($C$178,"ACCOUNTS_PAYABLE_SEQ_GROWTH","FY 2018","FY 2018","Currency=INR","Period=FY","BEST_FPERIOD_OVERRIDE=FY","FILING_STATUS=OR","EQY_CONSOLIDATED=Y","Sort=A","Dates=H","DateFormat=P","Fill=—","Direction=H","UseDPDF=Y")</f>
        <v>#NAME?</v>
      </c>
      <c r="BS198" s="1" t="e">
        <f ca="1">_xll.BDH($C$178,"ST_DEBT_SEQUENTIAL_GROWTH","FY 2018","FY 2018","Currency=INR","Period=FY","BEST_FPERIOD_OVERRIDE=FY","FILING_STATUS=OR","EQY_CONSOLIDATED=Y","Sort=A","Dates=H","DateFormat=P","Fill=—","Direction=H","UseDPDF=Y")</f>
        <v>#NAME?</v>
      </c>
      <c r="BT198" s="1" t="e">
        <f ca="1">_xll.BDH($C$178,"TOTAL_DEBT_SEQUENTIAL_GROWTH","FY 2018","FY 2018","Currency=INR","Period=FY","BEST_FPERIOD_OVERRIDE=FY","FILING_STATUS=OR","EQY_CONSOLIDATED=Y","Sort=A","Dates=H","DateFormat=P","Fill=—","Direction=H","UseDPDF=Y")</f>
        <v>#NAME?</v>
      </c>
      <c r="BU198" s="1" t="e">
        <f ca="1">_xll.BDH($C$178,"TOTAL_EQUITY_SEQUENTIAL_GROWTH","FY 2018","FY 2018","Currency=INR","Period=FY","BEST_FPERIOD_OVERRIDE=FY","FILING_STATUS=OR","EQY_CONSOLIDATED=Y","Sort=A","Dates=H","DateFormat=P","Fill=—","Direction=H","UseDPDF=Y")</f>
        <v>#NAME?</v>
      </c>
      <c r="BV198" s="1" t="e">
        <f ca="1">_xll.BDH($C$178,"TOTAL_CAPITAL_SEQUENTIAL_GROWTH","FY 2018","FY 2018","Currency=INR","Period=FY","BEST_FPERIOD_OVERRIDE=FY","FILING_STATUS=OR","EQY_CONSOLIDATED=Y","Sort=A","Dates=H","DateFormat=P","Fill=—","Direction=H","UseDPDF=Y")</f>
        <v>#NAME?</v>
      </c>
      <c r="BW198" s="1" t="e">
        <f ca="1">_xll.BDH($C$178,"BPS_SEQUENTIAL_GROWTH","FY 2018","FY 2018","Currency=INR","Period=FY","BEST_FPERIOD_OVERRIDE=FY","FILING_STATUS=OR","EQY_CONSOLIDATED=Y","Sort=A","Dates=H","DateFormat=P","Fill=—","Direction=H","UseDPDF=Y")</f>
        <v>#NAME?</v>
      </c>
      <c r="BX198" s="1" t="e">
        <f ca="1">_xll.BDH($C$178,"CFO_SEQUENTIAL_GROWTH","FY 2018","FY 2018","Currency=INR","Period=FY","BEST_FPERIOD_OVERRIDE=FY","FILING_STATUS=OR","EQY_CONSOLIDATED=Y","Sort=A","Dates=H","DateFormat=P","Fill=—","Direction=H","UseDPDF=Y")</f>
        <v>#NAME?</v>
      </c>
      <c r="BY198" s="2" t="e">
        <f ca="1">_xll.BDH($C$178,"SHORT_AND_LONG_TERM_DEBT","FY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98" s="2" t="e">
        <f ca="1">_xll.BDH($C$178,"BS_ST_BORROW","FY 2018","FY 2018","Currency=INR","Period=FY","BEST_FPERIOD_OVERRIDE=FY","FILING_STATUS=OR","EQY_CONSOLIDATED=Y","SCALING_FORMAT=MLN","Sort=A","Dates=H","DateFormat=P","Fill=—","Direction=H","UseDPDF=Y")</f>
        <v>#NAME?</v>
      </c>
      <c r="CA198" s="2" t="e">
        <f ca="1">_xll.BDH($C$178,"BS_LT_BORROW","FY 2018","FY 2018","Currency=INR","Period=FY","BEST_FPERIOD_OVERRIDE=FY","FILING_STATUS=OR","EQY_CONSOLIDATED=Y","SCALING_FORMAT=MLN","Sort=A","Dates=H","DateFormat=P","Fill=—","Direction=H","UseDPDF=Y")</f>
        <v>#NAME?</v>
      </c>
      <c r="CB198" s="1" t="e">
        <f ca="1">_xll.BDH($C$178,"TOT_DEBT_TO_EBITDA","FY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198" s="1" t="e">
        <f ca="1">_xll.BDH($C$178,"NET_DEBT_TO_EBITDA","FY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198" s="1" t="e">
        <f ca="1">_xll.BDH($C$178,"TOTAL_DEBT_TO_EBIT","FY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198" s="1" t="e">
        <f ca="1">_xll.BDH($C$178,"NET_DEBT_TO_EBIT","FY 2018","FY 2018","Currency=INR","Period=FY","BEST_FPERIOD_OVERRIDE=FY","FILING_STATUS=OR","EQY_CONSOLIDATED=Y","FA_ADJUSTED=GAAP","Sort=A","Dates=H","DateFormat=P","Fill=—","Direction=H","UseDPDF=Y")</f>
        <v>#NAME?</v>
      </c>
      <c r="CF198" s="1" t="e">
        <f ca="1">_xll.BDH($C$178,"EBITDA_TO_INTEREST_EXPN","FY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98" s="1" t="e">
        <f ca="1">_xll.BDH($C$178,"COM_EQY_TO_TOT_ASSET","FY 2018","FY 2018","Currency=INR","Period=FY","BEST_FPERIOD_OVERRIDE=FY","FILING_STATUS=OR","EQY_CONSOLIDATED=Y","Sort=A","Dates=H","DateFormat=P","Fill=—","Direction=H","UseDPDF=Y")</f>
        <v>#NAME?</v>
      </c>
      <c r="CH198" s="1" t="e">
        <f ca="1">_xll.BDH($C$178,"LT_DEBT_TO_TOT_EQY","FY 2018","FY 2018","Currency=INR","Period=FY","BEST_FPERIOD_OVERRIDE=FY","FILING_STATUS=OR","EQY_CONSOLIDATED=Y","Sort=A","Dates=H","DateFormat=P","Fill=—","Direction=H","UseDPDF=Y")</f>
        <v>#NAME?</v>
      </c>
      <c r="CI198" s="1" t="e">
        <f ca="1">_xll.BDH($C$178,"LT_DEBT_TO_TOT_CAP","FY 2018","FY 2018","Currency=INR","Period=FY","BEST_FPERIOD_OVERRIDE=FY","FILING_STATUS=OR","EQY_CONSOLIDATED=Y","Sort=A","Dates=H","DateFormat=P","Fill=—","Direction=H","UseDPDF=Y")</f>
        <v>#NAME?</v>
      </c>
      <c r="CJ198" s="1" t="e">
        <f ca="1">_xll.BDH($C$178,"LT_DEBT_TO_TOT_ASSET","FY 2018","FY 2018","Currency=INR","Period=FY","BEST_FPERIOD_OVERRIDE=FY","FILING_STATUS=OR","EQY_CONSOLIDATED=Y","Sort=A","Dates=H","DateFormat=P","Fill=—","Direction=H","UseDPDF=Y")</f>
        <v>#NAME?</v>
      </c>
      <c r="CK198" s="1" t="e">
        <f ca="1">_xll.BDH($C$178,"TOT_DEBT_TO_TOT_EQY","FY 2018","FY 2018","Currency=INR","Period=FY","BEST_FPERIOD_OVERRIDE=FY","FILING_STATUS=OR","EQY_CONSOLIDATED=Y","Sort=A","Dates=H","DateFormat=P","Fill=—","Direction=H","UseDPDF=Y")</f>
        <v>#NAME?</v>
      </c>
      <c r="CL198" s="1" t="e">
        <f ca="1">_xll.BDH($C$178,"TOT_DEBT_TO_TOT_CAP","FY 2018","FY 2018","Currency=INR","Period=FY","BEST_FPERIOD_OVERRIDE=FY","FILING_STATUS=OR","EQY_CONSOLIDATED=Y","Sort=A","Dates=H","DateFormat=P","Fill=—","Direction=H","UseDPDF=Y")</f>
        <v>#NAME?</v>
      </c>
      <c r="CM198" s="1" t="e">
        <f ca="1">_xll.BDH($C$178,"TOT_DEBT_TO_TOT_ASSET","FY 2018","FY 2018","Currency=INR","Period=FY","BEST_FPERIOD_OVERRIDE=FY","FILING_STATUS=OR","EQY_CONSOLIDATED=Y","Sort=A","Dates=H","DateFormat=P","Fill=—","Direction=H","UseDPDF=Y")</f>
        <v>#NAME?</v>
      </c>
      <c r="CN198" s="1" t="e">
        <f ca="1">_xll.BDH($C$178,"NET_DEBT_TO_SHRHLDR_EQTY","FY 2018","FY 2018","Currency=INR","Period=FY","BEST_FPERIOD_OVERRIDE=FY","FILING_STATUS=OR","EQY_CONSOLIDATED=Y","Sort=A","Dates=H","DateFormat=P","Fill=—","Direction=H","UseDPDF=Y")</f>
        <v>#NAME?</v>
      </c>
      <c r="CO198" s="1" t="e">
        <f ca="1">_xll.BDH($C$178,"NET_DEBT_%_CAPITAL","FY 2018","FY 2018","Currency=INR","Period=FY","BEST_FPERIOD_OVERRIDE=FY","FILING_STATUS=OR","EQY_CONSOLIDATED=Y","Sort=A","Dates=H","DateFormat=P","Fill=—","Direction=H","UseDPDF=Y")</f>
        <v>#NAME?</v>
      </c>
      <c r="CP198" s="2" t="e">
        <f ca="1">_xll.BDH($C$178,"EBITDA","FY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98" s="2" t="e">
        <f ca="1">_xll.BDH($C$178,"EBITDA_AFTER_CAPEX","FY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98" s="2" t="e">
        <f ca="1">_xll.BDH($C$178,"IS_OPER_INC","FY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98" s="1" t="e">
        <f ca="1">_xll.BDH($C$178,"CASH_RATIO","FY 2018","FY 2018","Currency=INR","Period=FY","BEST_FPERIOD_OVERRIDE=FY","FILING_STATUS=OR","EQY_CONSOLIDATED=Y","Sort=A","Dates=H","DateFormat=P","Fill=—","Direction=H","UseDPDF=Y")</f>
        <v>#NAME?</v>
      </c>
      <c r="CT198" s="1" t="e">
        <f ca="1">_xll.BDH($C$178,"CUR_RATIO","FY 2018","FY 2018","Currency=INR","Period=FY","BEST_FPERIOD_OVERRIDE=FY","FILING_STATUS=OR","EQY_CONSOLIDATED=Y","Sort=A","Dates=H","DateFormat=P","Fill=—","Direction=H","UseDPDF=Y")</f>
        <v>#NAME?</v>
      </c>
      <c r="CU198" s="1" t="e">
        <f ca="1">_xll.BDH($C$178,"QUICK_RATIO","FY 2018","FY 2018","Currency=INR","Period=FY","BEST_FPERIOD_OVERRIDE=FY","FILING_STATUS=OR","EQY_CONSOLIDATED=Y","Sort=A","Dates=H","DateFormat=P","Fill=—","Direction=H","UseDPDF=Y")</f>
        <v>#NAME?</v>
      </c>
      <c r="CV198" s="1" t="e">
        <f ca="1">_xll.BDH($C$178,"ALTMAN_Z_SCORE","FY 2018","FY 2018","Currency=INR","Period=FY","BEST_FPERIOD_OVERRIDE=FY","FILING_STATUS=OR","EQY_CONSOLIDATED=Y","Sort=A","Dates=H","DateFormat=P","Fill=—","Direction=H","UseDPDF=Y")</f>
        <v>#NAME?</v>
      </c>
      <c r="CW198" s="3" t="e">
        <f ca="1">_xll.BDH($C$178,"ACCT_RCV_TURN","FY 2018","FY 2018","Currency=INR","Period=FY","BEST_FPERIOD_OVERRIDE=FY","FILING_STATUS=OR","EQY_CONSOLIDATED=Y","FA_ADJUSTED=GAAP","Sort=A","Dates=H","DateFormat=P","Fill=—","Direction=H","UseDPDF=Y")</f>
        <v>#NAME?</v>
      </c>
      <c r="CX198" s="1" t="e">
        <f ca="1">_xll.BDH($C$178,"ACCT_RCV_DAYS","FY 2018","FY 2018","Currency=INR","Period=FY","BEST_FPERIOD_OVERRIDE=FY","FILING_STATUS=OR","EQY_CONSOLIDATED=Y","FA_ADJUSTED=GAAP","Sort=A","Dates=H","DateFormat=P","Fill=—","Direction=H","UseDPDF=Y")</f>
        <v>#NAME?</v>
      </c>
      <c r="CY198" s="3" t="e">
        <f ca="1">_xll.BDH($C$178,"INVENT_TURN","FY 2018","FY 2018","Currency=INR","Period=FY","BEST_FPERIOD_OVERRIDE=FY","FILING_STATUS=OR","EQY_CONSOLIDATED=Y","FA_ADJUSTED=GAAP","Sort=A","Dates=H","DateFormat=P","Fill=—","Direction=H","UseDPDF=Y")</f>
        <v>#NAME?</v>
      </c>
      <c r="CZ198" s="1" t="e">
        <f ca="1">_xll.BDH($C$178,"INVENT_DAYS","FY 2018","FY 2018","Currency=INR","Period=FY","BEST_FPERIOD_OVERRIDE=FY","FILING_STATUS=OR","EQY_CONSOLIDATED=Y","FA_ADJUSTED=GAAP","Sort=A","Dates=H","DateFormat=P","Fill=—","Direction=H","UseDPDF=Y")</f>
        <v>#NAME?</v>
      </c>
      <c r="DA198" s="3" t="e">
        <f ca="1">_xll.BDH($C$178,"ACCOUNTS_PAYABLE_TURNOVER","FY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98" s="1" t="e">
        <f ca="1">_xll.BDH($C$178,"ACCOUNTS_PAYABLE_TURNOVER_DAYS","FY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98" s="3" t="e">
        <f ca="1">_xll.BDH($C$178,"CASH_CONVERSION_CYCLE","FY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98" s="3" t="e">
        <f ca="1">_xll.BDH($C$178,"INV_TO_CASH_DAYS","FY 2018","FY 2018","Currency=INR","Period=FY","BEST_FPERIOD_OVERRIDE=FY","FILING_STATUS=OR","EQY_CONSOLIDATED=Y","FA_ADJUSTED=GAAP","Sort=A","Dates=H","DateFormat=P","Fill=—","Direction=H","UseDPDF=Y")</f>
        <v>#NAME?</v>
      </c>
      <c r="DE198" s="4" t="e">
        <f ca="1">_xll.BDH($C$178,"BS_INVENTORIES","FY 2018","FY 2018","Currency=INR","Period=FY","BEST_FPERIOD_OVERRIDE=FY","FILING_STATUS=OR","EQY_CONSOLIDATED=Y","SCALING_FORMAT=MLN","Sort=A","Dates=H","DateFormat=P","Fill=—","Direction=H","UseDPDF=Y")</f>
        <v>#NAME?</v>
      </c>
      <c r="DF198" s="2" t="e">
        <f ca="1">_xll.BDH($C$178,"INVTRY_RAW_MATERIALS","FY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98" s="2" t="e">
        <f ca="1">_xll.BDH($C$178,"INVTRY_IN_PROGRESS","FY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98" s="2" t="e">
        <f ca="1">_xll.BDH($C$178,"INVTRY_FINISHED_GOODS","FY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98" s="2" t="e">
        <f ca="1">_xll.BDH($C$178,"BS_OTHER_INV","FY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99" spans="1:113" x14ac:dyDescent="0.3">
      <c r="A199" s="6"/>
      <c r="B199" s="6"/>
      <c r="C199" s="6"/>
      <c r="D199" s="6"/>
      <c r="E199" t="s">
        <v>4</v>
      </c>
      <c r="F199" t="e">
        <f ca="1">_xll.BDH($C$178,"RETURN_COM_EQY","FQ1 2018","FQ1 2018","Currency=INR","Period=FQ","BEST_FPERIOD_OVERRIDE=FQ","FILING_STATUS=OR","EQY_CONSOLIDATED=Y","FA_ADJUSTED=GAAP","Sort=A","Dates=H","DateFormat=P","Fill=—","Direction=H","UseDPDF=Y")</f>
        <v>#NAME?</v>
      </c>
      <c r="G199" t="e">
        <f ca="1">_xll.BDH($C$178,"RETURN_ON_ASSET","FQ1 2018","FQ1 2018","Currency=INR","Period=FQ","BEST_FPERIOD_OVERRIDE=FQ","FILING_STATUS=OR","EQY_CONSOLIDATED=Y","FA_ADJUSTED=GAAP","Sort=A","Dates=H","DateFormat=P","Fill=—","Direction=H","UseDPDF=Y")</f>
        <v>#NAME?</v>
      </c>
      <c r="H199" t="e">
        <f ca="1">_xll.BDH($C$178,"RETURN_ON_CAP","FQ1 2018","FQ1 2018","Currency=INR","Period=FQ","BEST_FPERIOD_OVERRIDE=FQ","FILING_STATUS=OR","EQY_CONSOLIDATED=Y","FA_ADJUSTED=GAAP","Sort=A","Dates=H","DateFormat=P","Fill=—","Direction=H","UseDPDF=Y")</f>
        <v>#NAME?</v>
      </c>
      <c r="I199" t="e">
        <f ca="1">_xll.BDH($C$178,"RETURN_ON_INV_CAPITAL","FQ1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99" t="e">
        <f ca="1">_xll.BDH($C$178,"EBITDA_TO_REVENUE","FQ1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199" t="e">
        <f ca="1">_xll.BDH($C$178,"OPER_MARGIN","FQ1 2018","FQ1 2018","Currency=INR","Period=FQ","BEST_FPERIOD_OVERRIDE=FQ","FILING_STATUS=OR","EQY_CONSOLIDATED=Y","FA_ADJUSTED=GAAP","Sort=A","Dates=H","DateFormat=P","Fill=—","Direction=H","UseDPDF=Y")</f>
        <v>#NAME?</v>
      </c>
      <c r="L199" t="e">
        <f ca="1">_xll.BDH($C$178,"INCREMENTAL_OPERATING_MARGIN","FQ1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99" t="e">
        <f ca="1">_xll.BDH($C$178,"PRETAX_INC_TO_NET_SALES","FQ1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99" t="e">
        <f ca="1">_xll.BDH($C$178,"INC_BEF_XO_ITEMS_TO_NET_SALES","FQ1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99" t="e">
        <f ca="1">_xll.BDH($C$178,"PROF_MARGIN","FQ1 2018","FQ1 2018","Currency=INR","Period=FQ","BEST_FPERIOD_OVERRIDE=FQ","FILING_STATUS=OR","EQY_CONSOLIDATED=Y","FA_ADJUSTED=GAAP","Sort=A","Dates=H","DateFormat=P","Fill=—","Direction=H","UseDPDF=Y")</f>
        <v>#NAME?</v>
      </c>
      <c r="P199" t="e">
        <f ca="1">_xll.BDH($C$178,"NET_INCOME_TO_COMMON_MARGIN","FQ1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99" t="e">
        <f ca="1">_xll.BDH($C$178,"EFF_TAX_RATE","FQ1 2018","FQ1 2018","Currency=INR","Period=FQ","BEST_FPERIOD_OVERRIDE=FQ","FILING_STATUS=OR","EQY_CONSOLIDATED=Y","FA_ADJUSTED=GAAP","Sort=A","Dates=H","DateFormat=P","Fill=—","Direction=H","UseDPDF=Y")</f>
        <v>#NAME?</v>
      </c>
      <c r="R199" t="e">
        <f ca="1">_xll.BDH($C$178,"DVD_PAYOUT_RATIO","FQ1 2018","FQ1 2018","Currency=INR","Period=FQ","BEST_FPERIOD_OVERRIDE=FQ","FILING_STATUS=OR","EQY_CONSOLIDATED=Y","FA_ADJUSTED=GAAP","Sort=A","Dates=H","DateFormat=P","Fill=—","Direction=H","UseDPDF=Y")</f>
        <v>#NAME?</v>
      </c>
      <c r="S199" t="e">
        <f ca="1">_xll.BDH($C$178,"SUSTAIN_GROWTH_RT","FQ1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199" s="1" t="e">
        <f ca="1">_xll.BDH($C$178,"SALES_GROWTH","FQ1 2018","FQ1 2018","Currency=INR","Period=FQ","BEST_FPERIOD_OVERRIDE=FQ","FILING_STATUS=OR","EQY_CONSOLIDATED=Y","FA_ADJUSTED=GAAP","Sort=A","Dates=H","DateFormat=P","Fill=—","Direction=H","UseDPDF=Y")</f>
        <v>#NAME?</v>
      </c>
      <c r="U199" s="1" t="e">
        <f ca="1">_xll.BDH($C$178,"EBITDA_GROWTH","FQ1 2018","FQ1 2018","Currency=INR","Period=FQ","BEST_FPERIOD_OVERRIDE=FQ","FILING_STATUS=OR","EQY_CONSOLIDATED=Y","FA_ADJUSTED=GAAP","Sort=A","Dates=H","DateFormat=P","Fill=—","Direction=H","UseDPDF=Y")</f>
        <v>#NAME?</v>
      </c>
      <c r="V199" s="1" t="e">
        <f ca="1">_xll.BDH($C$178,"OPER_INC_GROWTH","FQ1 2018","FQ1 2018","Currency=INR","Period=FQ","BEST_FPERIOD_OVERRIDE=FQ","FILING_STATUS=OR","EQY_CONSOLIDATED=Y","FA_ADJUSTED=GAAP","Sort=A","Dates=H","DateFormat=P","Fill=—","Direction=H","UseDPDF=Y")</f>
        <v>#NAME?</v>
      </c>
      <c r="W199" s="1" t="e">
        <f ca="1">_xll.BDH($C$178,"EARN_FOR_COM_GROWTH","FQ1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99" s="1" t="e">
        <f ca="1">_xll.BDH($C$178,"DILUTED_EPS_AFT_XO_ITEMS_GROWTH","FQ1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99" s="1" t="e">
        <f ca="1">_xll.BDH($C$178,"DIVIDEND_PER_SHARE_1_YEAR_GROWTH","FQ1 2018","FQ1 2018","Currency=INR","Period=FQ","BEST_FPERIOD_OVERRIDE=FQ","FILING_STATUS=OR","EQY_CONSOLIDATED=Y","Sort=A","Dates=H","DateFormat=P","Fill=—","Direction=H","UseDPDF=Y")</f>
        <v>#NAME?</v>
      </c>
      <c r="Z199" s="1" t="e">
        <f ca="1">_xll.BDH($C$178,"ACCOUNTS_RECEIVABLE_GROWTH","FQ1 2018","FQ1 2018","Currency=INR","Period=FQ","BEST_FPERIOD_OVERRIDE=FQ","FILING_STATUS=OR","EQY_CONSOLIDATED=Y","Sort=A","Dates=H","DateFormat=P","Fill=—","Direction=H","UseDPDF=Y")</f>
        <v>#NAME?</v>
      </c>
      <c r="AA199" s="1" t="e">
        <f ca="1">_xll.BDH($C$178,"INVENTORY_GROWTH","FQ1 2018","FQ1 2018","Currency=INR","Period=FQ","BEST_FPERIOD_OVERRIDE=FQ","FILING_STATUS=OR","EQY_CONSOLIDATED=Y","Sort=A","Dates=H","DateFormat=P","Fill=—","Direction=H","UseDPDF=Y")</f>
        <v>#NAME?</v>
      </c>
      <c r="AB199" s="1" t="e">
        <f ca="1">_xll.BDH($C$178,"NET_FIXED_ASSETS_1_YEAR_GROWTH","FQ1 2018","FQ1 2018","Currency=INR","Period=FQ","BEST_FPERIOD_OVERRIDE=FQ","FILING_STATUS=OR","EQY_CONSOLIDATED=Y","Sort=A","Dates=H","DateFormat=P","Fill=—","Direction=H","UseDPDF=Y")</f>
        <v>#NAME?</v>
      </c>
      <c r="AC199" s="1" t="e">
        <f ca="1">_xll.BDH($C$178,"ASSET_GROWTH","FQ1 2018","FQ1 2018","Currency=INR","Period=FQ","BEST_FPERIOD_OVERRIDE=FQ","FILING_STATUS=OR","EQY_CONSOLIDATED=Y","Sort=A","Dates=H","DateFormat=P","Fill=—","Direction=H","UseDPDF=Y")</f>
        <v>#NAME?</v>
      </c>
      <c r="AD199" s="1" t="e">
        <f ca="1">_xll.BDH($C$178,"MODIFIED_WORK_CAP_GROWTH","FQ1 2018","FQ1 2018","Currency=INR","Period=FQ","BEST_FPERIOD_OVERRIDE=FQ","FILING_STATUS=OR","EQY_CONSOLIDATED=Y","Sort=A","Dates=H","DateFormat=P","Fill=—","Direction=H","UseDPDF=Y")</f>
        <v>#NAME?</v>
      </c>
      <c r="AE199" s="1" t="e">
        <f ca="1">_xll.BDH($C$178,"WORK_CAP_GROWTH","FQ1 2018","FQ1 2018","Currency=INR","Period=FQ","BEST_FPERIOD_OVERRIDE=FQ","FILING_STATUS=OR","EQY_CONSOLIDATED=Y","Sort=A","Dates=H","DateFormat=P","Fill=—","Direction=H","UseDPDF=Y")</f>
        <v>#NAME?</v>
      </c>
      <c r="AF199" s="1" t="e">
        <f ca="1">_xll.BDH($C$178,"ACCOUNTS_PAYABLE_GROWTH_1YR","FQ1 2018","FQ1 2018","Currency=INR","Period=FQ","BEST_FPERIOD_OVERRIDE=FQ","FILING_STATUS=OR","EQY_CONSOLIDATED=Y","Sort=A","Dates=H","DateFormat=P","Fill=—","Direction=H","UseDPDF=Y")</f>
        <v>#NAME?</v>
      </c>
      <c r="AG199" s="1" t="e">
        <f ca="1">_xll.BDH($C$178,"SHORT_TERM_DEBT_1_YEAR_GROWTH","FQ1 2018","FQ1 2018","Currency=INR","Period=FQ","BEST_FPERIOD_OVERRIDE=FQ","FILING_STATUS=OR","EQY_CONSOLIDATED=Y","Sort=A","Dates=H","DateFormat=P","Fill=—","Direction=H","UseDPDF=Y")</f>
        <v>#NAME?</v>
      </c>
      <c r="AH199" s="1" t="e">
        <f ca="1">_xll.BDH($C$178,"TOTAL_DEBT_1_YEAR_GROWTH","FQ1 2018","FQ1 2018","Currency=INR","Period=FQ","BEST_FPERIOD_OVERRIDE=FQ","FILING_STATUS=OR","EQY_CONSOLIDATED=Y","Sort=A","Dates=H","DateFormat=P","Fill=—","Direction=H","UseDPDF=Y")</f>
        <v>#NAME?</v>
      </c>
      <c r="AI199" s="1" t="e">
        <f ca="1">_xll.BDH($C$178,"TOTAL_EQUITY_1_YEAR_GROWTH","FQ1 2018","FQ1 2018","Currency=INR","Period=FQ","BEST_FPERIOD_OVERRIDE=FQ","FILING_STATUS=OR","EQY_CONSOLIDATED=Y","Sort=A","Dates=H","DateFormat=P","Fill=—","Direction=H","UseDPDF=Y")</f>
        <v>#NAME?</v>
      </c>
      <c r="AJ199" s="1" t="e">
        <f ca="1">_xll.BDH($C$178,"GROWTH_IN_CAP","FQ1 2018","FQ1 2018","Currency=INR","Period=FQ","BEST_FPERIOD_OVERRIDE=FQ","FILING_STATUS=OR","EQY_CONSOLIDATED=Y","Sort=A","Dates=H","DateFormat=P","Fill=—","Direction=H","UseDPDF=Y")</f>
        <v>#NAME?</v>
      </c>
      <c r="AK199" s="1" t="e">
        <f ca="1">_xll.BDH($C$178,"BVPS_GROWTH","FQ1 2018","FQ1 2018","Currency=INR","Period=FQ","BEST_FPERIOD_OVERRIDE=FQ","FILING_STATUS=OR","EQY_CONSOLIDATED=Y","Sort=A","Dates=H","DateFormat=P","Fill=—","Direction=H","UseDPDF=Y")</f>
        <v>#NAME?</v>
      </c>
      <c r="AL199" s="1" t="e">
        <f ca="1">_xll.BDH($C$178,"CASH_FLOW_GROWTH","FQ1 2018","FQ1 2018","Currency=INR","Period=FQ","BEST_FPERIOD_OVERRIDE=FQ","FILING_STATUS=OR","EQY_CONSOLIDATED=Y","Sort=A","Dates=H","DateFormat=P","Fill=—","Direction=H","UseDPDF=Y")</f>
        <v>#NAME?</v>
      </c>
      <c r="AM199" s="1" t="e">
        <f ca="1">_xll.BDH($C$178,"GEO_GROW_NET_SALES","FQ1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99" s="1" t="e">
        <f ca="1">_xll.BDH($C$178,"GEO_GROW_EBITDA","FQ1 2018","FQ1 2018","Currency=INR","Period=FQ","BEST_FPERIOD_OVERRIDE=FQ","FILING_STATUS=OR","EQY_CONSOLIDATED=Y","FA_ADJUSTED=GAAP","Sort=A","Dates=H","DateFormat=P","Fill=—","Direction=H","UseDPDF=Y")</f>
        <v>#NAME?</v>
      </c>
      <c r="AO199" s="1" t="e">
        <f ca="1">_xll.BDH($C$178,"GEO_GROW_OPER_INC","FQ1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99" s="1" t="e">
        <f ca="1">_xll.BDH($C$178,"NET_INCOME_TO_COMMON_5_YR_GROWTH","FQ1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99" s="1" t="e">
        <f ca="1">_xll.BDH($C$178,"5Y_GEO_GROWTH_DILUTED_EPS","FQ1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99" s="1" t="e">
        <f ca="1">_xll.BDH($C$178,"GEO_GROW_DVD_PER_SH","FQ1 2018","FQ1 2018","Currency=INR","Period=FQ","BEST_FPERIOD_OVERRIDE=FQ","FILING_STATUS=OR","EQY_CONSOLIDATED=Y","Sort=A","Dates=H","DateFormat=P","Fill=—","Direction=H","UseDPDF=Y")</f>
        <v>#NAME?</v>
      </c>
      <c r="AS199" s="1" t="e">
        <f ca="1">_xll.BDH($C$178,"ACCOUNTS_RECEIVABLE_5_YR_GROWTH","FQ1 2018","FQ1 2018","Currency=INR","Period=FQ","BEST_FPERIOD_OVERRIDE=FQ","FILING_STATUS=OR","EQY_CONSOLIDATED=Y","Sort=A","Dates=H","DateFormat=P","Fill=—","Direction=H","UseDPDF=Y")</f>
        <v>#NAME?</v>
      </c>
      <c r="AT199" s="1" t="e">
        <f ca="1">_xll.BDH($C$178,"INVENTORY_5_YEAR_GROWTH","FQ1 2018","FQ1 2018","Currency=INR","Period=FQ","BEST_FPERIOD_OVERRIDE=FQ","FILING_STATUS=OR","EQY_CONSOLIDATED=Y","Sort=A","Dates=H","DateFormat=P","Fill=—","Direction=H","UseDPDF=Y")</f>
        <v>#NAME?</v>
      </c>
      <c r="AU199" s="1" t="e">
        <f ca="1">_xll.BDH($C$178,"NET_FIXED_ASSETS_5_YEAR_GROWTH","FQ1 2018","FQ1 2018","Currency=INR","Period=FQ","BEST_FPERIOD_OVERRIDE=FQ","FILING_STATUS=OR","EQY_CONSOLIDATED=Y","Sort=A","Dates=H","DateFormat=P","Fill=—","Direction=H","UseDPDF=Y")</f>
        <v>#NAME?</v>
      </c>
      <c r="AV199" s="1" t="e">
        <f ca="1">_xll.BDH($C$178,"GEO_GROW_TOT_ASSET","FQ1 2018","FQ1 2018","Currency=INR","Period=FQ","BEST_FPERIOD_OVERRIDE=FQ","FILING_STATUS=OR","EQY_CONSOLIDATED=Y","Sort=A","Dates=H","DateFormat=P","Fill=—","Direction=H","UseDPDF=Y")</f>
        <v>#NAME?</v>
      </c>
      <c r="AW199" s="1" t="e">
        <f ca="1">_xll.BDH($C$178,"MODIFIED_WORKING_CPTL_5YR_GRWTH","FQ1 2018","FQ1 2018","Currency=INR","Period=FQ","BEST_FPERIOD_OVERRIDE=FQ","FILING_STATUS=OR","EQY_CONSOLIDATED=Y","Sort=A","Dates=H","DateFormat=P","Fill=—","Direction=H","UseDPDF=Y")</f>
        <v>#NAME?</v>
      </c>
      <c r="AX199" s="1" t="e">
        <f ca="1">_xll.BDH($C$178,"WORKING_CAPITAL_5_YEAR_GROWTH","FQ1 2018","FQ1 2018","Currency=INR","Period=FQ","BEST_FPERIOD_OVERRIDE=FQ","FILING_STATUS=OR","EQY_CONSOLIDATED=Y","Sort=A","Dates=H","DateFormat=P","Fill=—","Direction=H","UseDPDF=Y")</f>
        <v>#NAME?</v>
      </c>
      <c r="AY199" s="1" t="e">
        <f ca="1">_xll.BDH($C$178,"ACCOUNTS_PAYABLE_5_YEAR_GROWTH","FQ1 2018","FQ1 2018","Currency=INR","Period=FQ","BEST_FPERIOD_OVERRIDE=FQ","FILING_STATUS=OR","EQY_CONSOLIDATED=Y","Sort=A","Dates=H","DateFormat=P","Fill=—","Direction=H","UseDPDF=Y")</f>
        <v>#NAME?</v>
      </c>
      <c r="AZ199" s="1" t="e">
        <f ca="1">_xll.BDH($C$178,"SHORT_TERM_DEBT_5_YEAR_GROWTH","FQ1 2018","FQ1 2018","Currency=INR","Period=FQ","BEST_FPERIOD_OVERRIDE=FQ","FILING_STATUS=OR","EQY_CONSOLIDATED=Y","Sort=A","Dates=H","DateFormat=P","Fill=—","Direction=H","UseDPDF=Y")</f>
        <v>#NAME?</v>
      </c>
      <c r="BA199" s="1" t="e">
        <f ca="1">_xll.BDH($C$178,"TOTAL_DEBT_5_YEAR_GROWTH","FQ1 2018","FQ1 2018","Currency=INR","Period=FQ","BEST_FPERIOD_OVERRIDE=FQ","FILING_STATUS=OR","EQY_CONSOLIDATED=Y","Sort=A","Dates=H","DateFormat=P","Fill=—","Direction=H","UseDPDF=Y")</f>
        <v>#NAME?</v>
      </c>
      <c r="BB199" s="1" t="e">
        <f ca="1">_xll.BDH($C$178,"GEO_GROW_TOT_SHRHLDR_EQY","FQ1 2018","FQ1 2018","Currency=INR","Period=FQ","BEST_FPERIOD_OVERRIDE=FQ","FILING_STATUS=OR","EQY_CONSOLIDATED=Y","Sort=A","Dates=H","DateFormat=P","Fill=—","Direction=H","UseDPDF=Y")</f>
        <v>#NAME?</v>
      </c>
      <c r="BC199" s="1" t="e">
        <f ca="1">_xll.BDH($C$178,"TOTAL_CAPITAL_5_YEAR_GROWTH","FQ1 2018","FQ1 2018","Currency=INR","Period=FQ","BEST_FPERIOD_OVERRIDE=FQ","FILING_STATUS=OR","EQY_CONSOLIDATED=Y","Sort=A","Dates=H","DateFormat=P","Fill=—","Direction=H","UseDPDF=Y")</f>
        <v>#NAME?</v>
      </c>
      <c r="BD199" s="1" t="e">
        <f ca="1">_xll.BDH($C$178,"GEO_GROW_BOOK_VAL","FQ1 2018","FQ1 2018","Currency=INR","Period=FQ","BEST_FPERIOD_OVERRIDE=FQ","FILING_STATUS=OR","EQY_CONSOLIDATED=Y","Sort=A","Dates=H","DateFormat=P","Fill=—","Direction=H","UseDPDF=Y")</f>
        <v>#NAME?</v>
      </c>
      <c r="BE199" s="1" t="e">
        <f ca="1">_xll.BDH($C$178,"GEO_GROW_CASH_OPER_ACT","FQ1 2018","FQ1 2018","Currency=INR","Period=FQ","BEST_FPERIOD_OVERRIDE=FQ","FILING_STATUS=OR","EQY_CONSOLIDATED=Y","Sort=A","Dates=H","DateFormat=P","Fill=—","Direction=H","UseDPDF=Y")</f>
        <v>#NAME?</v>
      </c>
      <c r="BF199" s="1" t="e">
        <f ca="1">_xll.BDH($C$178,"REVENUE_SEQUENTIAL_GROWTH","FQ1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99" s="1" t="e">
        <f ca="1">_xll.BDH($C$178,"EBITDA_SEQUENTIAL_GROWTH","FQ1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99" s="1" t="e">
        <f ca="1">_xll.BDH($C$178,"OPERATING_INCOME_SEQ_GROWTH","FQ1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99" s="1" t="e">
        <f ca="1">_xll.BDH($C$178,"NET_INCOME_TO_COMMON_SEQ_GROWTH","FQ1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99" s="1" t="e">
        <f ca="1">_xll.BDH($C$178,"EPS_DILUTED_SEQUENTIAL_GROWTH","FQ1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99" s="1" t="e">
        <f ca="1">_xll.BDH($C$178,"DPS_SEQUENTIAL_GROWTH","FQ1 2018","FQ1 2018","Currency=INR","Period=FQ","BEST_FPERIOD_OVERRIDE=FQ","FILING_STATUS=OR","EQY_CONSOLIDATED=Y","Sort=A","Dates=H","DateFormat=P","Fill=—","Direction=H","UseDPDF=Y")</f>
        <v>#NAME?</v>
      </c>
      <c r="BL199" s="1" t="e">
        <f ca="1">_xll.BDH($C$178,"ACCOUNTS_RECEIVABLE_SEQ_GROWTH","FQ1 2018","FQ1 2018","Currency=INR","Period=FQ","BEST_FPERIOD_OVERRIDE=FQ","FILING_STATUS=OR","EQY_CONSOLIDATED=Y","Sort=A","Dates=H","DateFormat=P","Fill=—","Direction=H","UseDPDF=Y")</f>
        <v>#NAME?</v>
      </c>
      <c r="BM199" s="1" t="e">
        <f ca="1">_xll.BDH($C$178,"INVENTORY_SEQUENTIAL_GROWTH","FQ1 2018","FQ1 2018","Currency=INR","Period=FQ","BEST_FPERIOD_OVERRIDE=FQ","FILING_STATUS=OR","EQY_CONSOLIDATED=Y","Sort=A","Dates=H","DateFormat=P","Fill=—","Direction=H","UseDPDF=Y")</f>
        <v>#NAME?</v>
      </c>
      <c r="BN199" s="1" t="e">
        <f ca="1">_xll.BDH($C$178,"FIXED_ASSETS_SEQUENTIAL_GROWTH","FQ1 2018","FQ1 2018","Currency=INR","Period=FQ","BEST_FPERIOD_OVERRIDE=FQ","FILING_STATUS=OR","EQY_CONSOLIDATED=Y","Sort=A","Dates=H","DateFormat=P","Fill=—","Direction=H","UseDPDF=Y")</f>
        <v>#NAME?</v>
      </c>
      <c r="BO199" s="1" t="e">
        <f ca="1">_xll.BDH($C$178,"TOTAL_ASSETS_SEQUENTIAL_GROWTH","FQ1 2018","FQ1 2018","Currency=INR","Period=FQ","BEST_FPERIOD_OVERRIDE=FQ","FILING_STATUS=OR","EQY_CONSOLIDATED=Y","Sort=A","Dates=H","DateFormat=P","Fill=—","Direction=H","UseDPDF=Y")</f>
        <v>#NAME?</v>
      </c>
      <c r="BP199" s="1" t="e">
        <f ca="1">_xll.BDH($C$178,"MODIFIED_WORKING_CPTL_SEQ_GRWTH","FQ1 2018","FQ1 2018","Currency=INR","Period=FQ","BEST_FPERIOD_OVERRIDE=FQ","FILING_STATUS=OR","EQY_CONSOLIDATED=Y","Sort=A","Dates=H","DateFormat=P","Fill=—","Direction=H","UseDPDF=Y")</f>
        <v>#NAME?</v>
      </c>
      <c r="BQ199" s="1" t="e">
        <f ca="1">_xll.BDH($C$178,"WORKING_CAPITAL_SEQ_GROWTH","FQ1 2018","FQ1 2018","Currency=INR","Period=FQ","BEST_FPERIOD_OVERRIDE=FQ","FILING_STATUS=OR","EQY_CONSOLIDATED=Y","Sort=A","Dates=H","DateFormat=P","Fill=—","Direction=H","UseDPDF=Y")</f>
        <v>#NAME?</v>
      </c>
      <c r="BR199" s="1" t="e">
        <f ca="1">_xll.BDH($C$178,"ACCOUNTS_PAYABLE_SEQ_GROWTH","FQ1 2018","FQ1 2018","Currency=INR","Period=FQ","BEST_FPERIOD_OVERRIDE=FQ","FILING_STATUS=OR","EQY_CONSOLIDATED=Y","Sort=A","Dates=H","DateFormat=P","Fill=—","Direction=H","UseDPDF=Y")</f>
        <v>#NAME?</v>
      </c>
      <c r="BS199" s="1" t="e">
        <f ca="1">_xll.BDH($C$178,"ST_DEBT_SEQUENTIAL_GROWTH","FQ1 2018","FQ1 2018","Currency=INR","Period=FQ","BEST_FPERIOD_OVERRIDE=FQ","FILING_STATUS=OR","EQY_CONSOLIDATED=Y","Sort=A","Dates=H","DateFormat=P","Fill=—","Direction=H","UseDPDF=Y")</f>
        <v>#NAME?</v>
      </c>
      <c r="BT199" s="1" t="e">
        <f ca="1">_xll.BDH($C$178,"TOTAL_DEBT_SEQUENTIAL_GROWTH","FQ1 2018","FQ1 2018","Currency=INR","Period=FQ","BEST_FPERIOD_OVERRIDE=FQ","FILING_STATUS=OR","EQY_CONSOLIDATED=Y","Sort=A","Dates=H","DateFormat=P","Fill=—","Direction=H","UseDPDF=Y")</f>
        <v>#NAME?</v>
      </c>
      <c r="BU199" s="1" t="e">
        <f ca="1">_xll.BDH($C$178,"TOTAL_EQUITY_SEQUENTIAL_GROWTH","FQ1 2018","FQ1 2018","Currency=INR","Period=FQ","BEST_FPERIOD_OVERRIDE=FQ","FILING_STATUS=OR","EQY_CONSOLIDATED=Y","Sort=A","Dates=H","DateFormat=P","Fill=—","Direction=H","UseDPDF=Y")</f>
        <v>#NAME?</v>
      </c>
      <c r="BV199" s="1" t="e">
        <f ca="1">_xll.BDH($C$178,"TOTAL_CAPITAL_SEQUENTIAL_GROWTH","FQ1 2018","FQ1 2018","Currency=INR","Period=FQ","BEST_FPERIOD_OVERRIDE=FQ","FILING_STATUS=OR","EQY_CONSOLIDATED=Y","Sort=A","Dates=H","DateFormat=P","Fill=—","Direction=H","UseDPDF=Y")</f>
        <v>#NAME?</v>
      </c>
      <c r="BW199" s="1" t="e">
        <f ca="1">_xll.BDH($C$178,"BPS_SEQUENTIAL_GROWTH","FQ1 2018","FQ1 2018","Currency=INR","Period=FQ","BEST_FPERIOD_OVERRIDE=FQ","FILING_STATUS=OR","EQY_CONSOLIDATED=Y","Sort=A","Dates=H","DateFormat=P","Fill=—","Direction=H","UseDPDF=Y")</f>
        <v>#NAME?</v>
      </c>
      <c r="BX199" s="1" t="e">
        <f ca="1">_xll.BDH($C$178,"CFO_SEQUENTIAL_GROWTH","FQ1 2018","FQ1 2018","Currency=INR","Period=FQ","BEST_FPERIOD_OVERRIDE=FQ","FILING_STATUS=OR","EQY_CONSOLIDATED=Y","Sort=A","Dates=H","DateFormat=P","Fill=—","Direction=H","UseDPDF=Y")</f>
        <v>#NAME?</v>
      </c>
      <c r="BY199" s="2" t="e">
        <f ca="1">_xll.BDH($C$178,"SHORT_AND_LONG_TERM_DEBT","FQ1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99" s="2" t="e">
        <f ca="1">_xll.BDH($C$178,"BS_ST_BORROW","FQ1 2018","FQ1 2018","Currency=INR","Period=FQ","BEST_FPERIOD_OVERRIDE=FQ","FILING_STATUS=OR","EQY_CONSOLIDATED=Y","SCALING_FORMAT=MLN","Sort=A","Dates=H","DateFormat=P","Fill=—","Direction=H","UseDPDF=Y")</f>
        <v>#NAME?</v>
      </c>
      <c r="CA199" s="2" t="e">
        <f ca="1">_xll.BDH($C$178,"BS_LT_BORROW","FQ1 2018","FQ1 2018","Currency=INR","Period=FQ","BEST_FPERIOD_OVERRIDE=FQ","FILING_STATUS=OR","EQY_CONSOLIDATED=Y","SCALING_FORMAT=MLN","Sort=A","Dates=H","DateFormat=P","Fill=—","Direction=H","UseDPDF=Y")</f>
        <v>#NAME?</v>
      </c>
      <c r="CB199" s="1" t="e">
        <f ca="1">_xll.BDH($C$178,"TOT_DEBT_TO_EBITDA","FQ1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99" s="1" t="e">
        <f ca="1">_xll.BDH($C$178,"NET_DEBT_TO_EBITDA","FQ1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99" s="1" t="e">
        <f ca="1">_xll.BDH($C$178,"TOTAL_DEBT_TO_EBIT","FQ1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99" s="1" t="e">
        <f ca="1">_xll.BDH($C$178,"NET_DEBT_TO_EBIT","FQ1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199" s="1" t="e">
        <f ca="1">_xll.BDH($C$178,"EBITDA_TO_INTEREST_EXPN","FQ1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99" s="1" t="e">
        <f ca="1">_xll.BDH($C$178,"COM_EQY_TO_TOT_ASSET","FQ1 2018","FQ1 2018","Currency=INR","Period=FQ","BEST_FPERIOD_OVERRIDE=FQ","FILING_STATUS=OR","EQY_CONSOLIDATED=Y","Sort=A","Dates=H","DateFormat=P","Fill=—","Direction=H","UseDPDF=Y")</f>
        <v>#NAME?</v>
      </c>
      <c r="CH199" s="1" t="e">
        <f ca="1">_xll.BDH($C$178,"LT_DEBT_TO_TOT_EQY","FQ1 2018","FQ1 2018","Currency=INR","Period=FQ","BEST_FPERIOD_OVERRIDE=FQ","FILING_STATUS=OR","EQY_CONSOLIDATED=Y","Sort=A","Dates=H","DateFormat=P","Fill=—","Direction=H","UseDPDF=Y")</f>
        <v>#NAME?</v>
      </c>
      <c r="CI199" s="1" t="e">
        <f ca="1">_xll.BDH($C$178,"LT_DEBT_TO_TOT_CAP","FQ1 2018","FQ1 2018","Currency=INR","Period=FQ","BEST_FPERIOD_OVERRIDE=FQ","FILING_STATUS=OR","EQY_CONSOLIDATED=Y","Sort=A","Dates=H","DateFormat=P","Fill=—","Direction=H","UseDPDF=Y")</f>
        <v>#NAME?</v>
      </c>
      <c r="CJ199" s="1" t="e">
        <f ca="1">_xll.BDH($C$178,"LT_DEBT_TO_TOT_ASSET","FQ1 2018","FQ1 2018","Currency=INR","Period=FQ","BEST_FPERIOD_OVERRIDE=FQ","FILING_STATUS=OR","EQY_CONSOLIDATED=Y","Sort=A","Dates=H","DateFormat=P","Fill=—","Direction=H","UseDPDF=Y")</f>
        <v>#NAME?</v>
      </c>
      <c r="CK199" s="1" t="e">
        <f ca="1">_xll.BDH($C$178,"TOT_DEBT_TO_TOT_EQY","FQ1 2018","FQ1 2018","Currency=INR","Period=FQ","BEST_FPERIOD_OVERRIDE=FQ","FILING_STATUS=OR","EQY_CONSOLIDATED=Y","Sort=A","Dates=H","DateFormat=P","Fill=—","Direction=H","UseDPDF=Y")</f>
        <v>#NAME?</v>
      </c>
      <c r="CL199" s="1" t="e">
        <f ca="1">_xll.BDH($C$178,"TOT_DEBT_TO_TOT_CAP","FQ1 2018","FQ1 2018","Currency=INR","Period=FQ","BEST_FPERIOD_OVERRIDE=FQ","FILING_STATUS=OR","EQY_CONSOLIDATED=Y","Sort=A","Dates=H","DateFormat=P","Fill=—","Direction=H","UseDPDF=Y")</f>
        <v>#NAME?</v>
      </c>
      <c r="CM199" s="1" t="e">
        <f ca="1">_xll.BDH($C$178,"TOT_DEBT_TO_TOT_ASSET","FQ1 2018","FQ1 2018","Currency=INR","Period=FQ","BEST_FPERIOD_OVERRIDE=FQ","FILING_STATUS=OR","EQY_CONSOLIDATED=Y","Sort=A","Dates=H","DateFormat=P","Fill=—","Direction=H","UseDPDF=Y")</f>
        <v>#NAME?</v>
      </c>
      <c r="CN199" s="1" t="e">
        <f ca="1">_xll.BDH($C$178,"NET_DEBT_TO_SHRHLDR_EQTY","FQ1 2018","FQ1 2018","Currency=INR","Period=FQ","BEST_FPERIOD_OVERRIDE=FQ","FILING_STATUS=OR","EQY_CONSOLIDATED=Y","Sort=A","Dates=H","DateFormat=P","Fill=—","Direction=H","UseDPDF=Y")</f>
        <v>#NAME?</v>
      </c>
      <c r="CO199" s="1" t="e">
        <f ca="1">_xll.BDH($C$178,"NET_DEBT_%_CAPITAL","FQ1 2018","FQ1 2018","Currency=INR","Period=FQ","BEST_FPERIOD_OVERRIDE=FQ","FILING_STATUS=OR","EQY_CONSOLIDATED=Y","Sort=A","Dates=H","DateFormat=P","Fill=—","Direction=H","UseDPDF=Y")</f>
        <v>#NAME?</v>
      </c>
      <c r="CP199" s="2" t="e">
        <f ca="1">_xll.BDH($C$178,"EBITDA","FQ1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99" s="2" t="e">
        <f ca="1">_xll.BDH($C$178,"EBITDA_AFTER_CAPEX","FQ1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99" s="2" t="e">
        <f ca="1">_xll.BDH($C$178,"IS_OPER_INC","FQ1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99" s="1" t="e">
        <f ca="1">_xll.BDH($C$178,"CASH_RATIO","FQ1 2018","FQ1 2018","Currency=INR","Period=FQ","BEST_FPERIOD_OVERRIDE=FQ","FILING_STATUS=OR","EQY_CONSOLIDATED=Y","Sort=A","Dates=H","DateFormat=P","Fill=—","Direction=H","UseDPDF=Y")</f>
        <v>#NAME?</v>
      </c>
      <c r="CT199" s="1" t="e">
        <f ca="1">_xll.BDH($C$178,"CUR_RATIO","FQ1 2018","FQ1 2018","Currency=INR","Period=FQ","BEST_FPERIOD_OVERRIDE=FQ","FILING_STATUS=OR","EQY_CONSOLIDATED=Y","Sort=A","Dates=H","DateFormat=P","Fill=—","Direction=H","UseDPDF=Y")</f>
        <v>#NAME?</v>
      </c>
      <c r="CU199" s="1" t="e">
        <f ca="1">_xll.BDH($C$178,"QUICK_RATIO","FQ1 2018","FQ1 2018","Currency=INR","Period=FQ","BEST_FPERIOD_OVERRIDE=FQ","FILING_STATUS=OR","EQY_CONSOLIDATED=Y","Sort=A","Dates=H","DateFormat=P","Fill=—","Direction=H","UseDPDF=Y")</f>
        <v>#NAME?</v>
      </c>
      <c r="CV199" s="1" t="e">
        <f ca="1">_xll.BDH($C$178,"ALTMAN_Z_SCORE","FQ1 2018","FQ1 2018","Currency=INR","Period=FQ","BEST_FPERIOD_OVERRIDE=FQ","FILING_STATUS=OR","EQY_CONSOLIDATED=Y","Sort=A","Dates=H","DateFormat=P","Fill=—","Direction=H","UseDPDF=Y")</f>
        <v>#NAME?</v>
      </c>
      <c r="CW199" s="3" t="e">
        <f ca="1">_xll.BDH($C$178,"ACCT_RCV_TURN","FQ1 2018","FQ1 2018","Currency=INR","Period=FQ","BEST_FPERIOD_OVERRIDE=FQ","FILING_STATUS=OR","EQY_CONSOLIDATED=Y","FA_ADJUSTED=GAAP","Sort=A","Dates=H","DateFormat=P","Fill=—","Direction=H","UseDPDF=Y")</f>
        <v>#NAME?</v>
      </c>
      <c r="CX199" s="1" t="e">
        <f ca="1">_xll.BDH($C$178,"ACCT_RCV_DAYS","FQ1 2018","FQ1 2018","Currency=INR","Period=FQ","BEST_FPERIOD_OVERRIDE=FQ","FILING_STATUS=OR","EQY_CONSOLIDATED=Y","FA_ADJUSTED=GAAP","Sort=A","Dates=H","DateFormat=P","Fill=—","Direction=H","UseDPDF=Y")</f>
        <v>#NAME?</v>
      </c>
      <c r="CY199" s="3" t="e">
        <f ca="1">_xll.BDH($C$178,"INVENT_TURN","FQ1 2018","FQ1 2018","Currency=INR","Period=FQ","BEST_FPERIOD_OVERRIDE=FQ","FILING_STATUS=OR","EQY_CONSOLIDATED=Y","FA_ADJUSTED=GAAP","Sort=A","Dates=H","DateFormat=P","Fill=—","Direction=H","UseDPDF=Y")</f>
        <v>#NAME?</v>
      </c>
      <c r="CZ199" s="1" t="e">
        <f ca="1">_xll.BDH($C$178,"INVENT_DAYS","FQ1 2018","FQ1 2018","Currency=INR","Period=FQ","BEST_FPERIOD_OVERRIDE=FQ","FILING_STATUS=OR","EQY_CONSOLIDATED=Y","FA_ADJUSTED=GAAP","Sort=A","Dates=H","DateFormat=P","Fill=—","Direction=H","UseDPDF=Y")</f>
        <v>#NAME?</v>
      </c>
      <c r="DA199" s="3" t="e">
        <f ca="1">_xll.BDH($C$178,"ACCOUNTS_PAYABLE_TURNOVER","FQ1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99" s="1" t="e">
        <f ca="1">_xll.BDH($C$178,"ACCOUNTS_PAYABLE_TURNOVER_DAYS","FQ1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99" s="3" t="e">
        <f ca="1">_xll.BDH($C$178,"CASH_CONVERSION_CYCLE","FQ1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99" s="3" t="e">
        <f ca="1">_xll.BDH($C$178,"INV_TO_CASH_DAYS","FQ1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199" s="4" t="e">
        <f ca="1">_xll.BDH($C$178,"BS_INVENTORIES","FQ1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199" s="2" t="e">
        <f ca="1">_xll.BDH($C$178,"INVTRY_RAW_MATERIALS","FQ1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99" s="2" t="e">
        <f ca="1">_xll.BDH($C$178,"INVTRY_IN_PROGRESS","FQ1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99" s="2" t="e">
        <f ca="1">_xll.BDH($C$178,"INVTRY_FINISHED_GOODS","FQ1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99" s="2" t="e">
        <f ca="1">_xll.BDH($C$178,"BS_OTHER_INV","FQ1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00" spans="1:113" x14ac:dyDescent="0.3">
      <c r="A200" s="6"/>
      <c r="B200" s="6"/>
      <c r="C200" s="6"/>
      <c r="D200" s="6"/>
      <c r="E200" t="s">
        <v>5</v>
      </c>
      <c r="F200" t="e">
        <f ca="1">_xll.BDH($C$178,"RETURN_COM_EQY","FQ2 2018","FQ2 2018","Currency=INR","Period=FQ","BEST_FPERIOD_OVERRIDE=FQ","FILING_STATUS=OR","EQY_CONSOLIDATED=Y","FA_ADJUSTED=GAAP","Sort=A","Dates=H","DateFormat=P","Fill=—","Direction=H","UseDPDF=Y")</f>
        <v>#NAME?</v>
      </c>
      <c r="G200" t="e">
        <f ca="1">_xll.BDH($C$178,"RETURN_ON_ASSET","FQ2 2018","FQ2 2018","Currency=INR","Period=FQ","BEST_FPERIOD_OVERRIDE=FQ","FILING_STATUS=OR","EQY_CONSOLIDATED=Y","FA_ADJUSTED=GAAP","Sort=A","Dates=H","DateFormat=P","Fill=—","Direction=H","UseDPDF=Y")</f>
        <v>#NAME?</v>
      </c>
      <c r="H200" t="e">
        <f ca="1">_xll.BDH($C$178,"RETURN_ON_CAP","FQ2 2018","FQ2 2018","Currency=INR","Period=FQ","BEST_FPERIOD_OVERRIDE=FQ","FILING_STATUS=OR","EQY_CONSOLIDATED=Y","FA_ADJUSTED=GAAP","Sort=A","Dates=H","DateFormat=P","Fill=—","Direction=H","UseDPDF=Y")</f>
        <v>#NAME?</v>
      </c>
      <c r="I200" t="e">
        <f ca="1">_xll.BDH($C$178,"RETURN_ON_INV_CAPITAL","FQ2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00" t="e">
        <f ca="1">_xll.BDH($C$178,"EBITDA_TO_REVENUE","FQ2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200" t="e">
        <f ca="1">_xll.BDH($C$178,"OPER_MARGIN","FQ2 2018","FQ2 2018","Currency=INR","Period=FQ","BEST_FPERIOD_OVERRIDE=FQ","FILING_STATUS=OR","EQY_CONSOLIDATED=Y","FA_ADJUSTED=GAAP","Sort=A","Dates=H","DateFormat=P","Fill=—","Direction=H","UseDPDF=Y")</f>
        <v>#NAME?</v>
      </c>
      <c r="L200" t="e">
        <f ca="1">_xll.BDH($C$178,"INCREMENTAL_OPERATING_MARGIN","FQ2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00" t="e">
        <f ca="1">_xll.BDH($C$178,"PRETAX_INC_TO_NET_SALES","FQ2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00" t="e">
        <f ca="1">_xll.BDH($C$178,"INC_BEF_XO_ITEMS_TO_NET_SALES","FQ2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00" t="e">
        <f ca="1">_xll.BDH($C$178,"PROF_MARGIN","FQ2 2018","FQ2 2018","Currency=INR","Period=FQ","BEST_FPERIOD_OVERRIDE=FQ","FILING_STATUS=OR","EQY_CONSOLIDATED=Y","FA_ADJUSTED=GAAP","Sort=A","Dates=H","DateFormat=P","Fill=—","Direction=H","UseDPDF=Y")</f>
        <v>#NAME?</v>
      </c>
      <c r="P200" t="e">
        <f ca="1">_xll.BDH($C$178,"NET_INCOME_TO_COMMON_MARGIN","FQ2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00" t="e">
        <f ca="1">_xll.BDH($C$178,"EFF_TAX_RATE","FQ2 2018","FQ2 2018","Currency=INR","Period=FQ","BEST_FPERIOD_OVERRIDE=FQ","FILING_STATUS=OR","EQY_CONSOLIDATED=Y","FA_ADJUSTED=GAAP","Sort=A","Dates=H","DateFormat=P","Fill=—","Direction=H","UseDPDF=Y")</f>
        <v>#NAME?</v>
      </c>
      <c r="R200" t="e">
        <f ca="1">_xll.BDH($C$178,"DVD_PAYOUT_RATIO","FQ2 2018","FQ2 2018","Currency=INR","Period=FQ","BEST_FPERIOD_OVERRIDE=FQ","FILING_STATUS=OR","EQY_CONSOLIDATED=Y","FA_ADJUSTED=GAAP","Sort=A","Dates=H","DateFormat=P","Fill=—","Direction=H","UseDPDF=Y")</f>
        <v>#NAME?</v>
      </c>
      <c r="S200" t="e">
        <f ca="1">_xll.BDH($C$178,"SUSTAIN_GROWTH_RT","FQ2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200" s="1" t="e">
        <f ca="1">_xll.BDH($C$178,"SALES_GROWTH","FQ2 2018","FQ2 2018","Currency=INR","Period=FQ","BEST_FPERIOD_OVERRIDE=FQ","FILING_STATUS=OR","EQY_CONSOLIDATED=Y","FA_ADJUSTED=GAAP","Sort=A","Dates=H","DateFormat=P","Fill=—","Direction=H","UseDPDF=Y")</f>
        <v>#NAME?</v>
      </c>
      <c r="U200" s="1" t="e">
        <f ca="1">_xll.BDH($C$178,"EBITDA_GROWTH","FQ2 2018","FQ2 2018","Currency=INR","Period=FQ","BEST_FPERIOD_OVERRIDE=FQ","FILING_STATUS=OR","EQY_CONSOLIDATED=Y","FA_ADJUSTED=GAAP","Sort=A","Dates=H","DateFormat=P","Fill=—","Direction=H","UseDPDF=Y")</f>
        <v>#NAME?</v>
      </c>
      <c r="V200" s="1" t="e">
        <f ca="1">_xll.BDH($C$178,"OPER_INC_GROWTH","FQ2 2018","FQ2 2018","Currency=INR","Period=FQ","BEST_FPERIOD_OVERRIDE=FQ","FILING_STATUS=OR","EQY_CONSOLIDATED=Y","FA_ADJUSTED=GAAP","Sort=A","Dates=H","DateFormat=P","Fill=—","Direction=H","UseDPDF=Y")</f>
        <v>#NAME?</v>
      </c>
      <c r="W200" s="1" t="e">
        <f ca="1">_xll.BDH($C$178,"EARN_FOR_COM_GROWTH","FQ2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00" s="1" t="e">
        <f ca="1">_xll.BDH($C$178,"DILUTED_EPS_AFT_XO_ITEMS_GROWTH","FQ2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00" s="1" t="e">
        <f ca="1">_xll.BDH($C$178,"DIVIDEND_PER_SHARE_1_YEAR_GROWTH","FQ2 2018","FQ2 2018","Currency=INR","Period=FQ","BEST_FPERIOD_OVERRIDE=FQ","FILING_STATUS=OR","EQY_CONSOLIDATED=Y","Sort=A","Dates=H","DateFormat=P","Fill=—","Direction=H","UseDPDF=Y")</f>
        <v>#NAME?</v>
      </c>
      <c r="Z200" s="1" t="e">
        <f ca="1">_xll.BDH($C$178,"ACCOUNTS_RECEIVABLE_GROWTH","FQ2 2018","FQ2 2018","Currency=INR","Period=FQ","BEST_FPERIOD_OVERRIDE=FQ","FILING_STATUS=OR","EQY_CONSOLIDATED=Y","Sort=A","Dates=H","DateFormat=P","Fill=—","Direction=H","UseDPDF=Y")</f>
        <v>#NAME?</v>
      </c>
      <c r="AA200" s="1" t="e">
        <f ca="1">_xll.BDH($C$178,"INVENTORY_GROWTH","FQ2 2018","FQ2 2018","Currency=INR","Period=FQ","BEST_FPERIOD_OVERRIDE=FQ","FILING_STATUS=OR","EQY_CONSOLIDATED=Y","Sort=A","Dates=H","DateFormat=P","Fill=—","Direction=H","UseDPDF=Y")</f>
        <v>#NAME?</v>
      </c>
      <c r="AB200" s="1" t="e">
        <f ca="1">_xll.BDH($C$178,"NET_FIXED_ASSETS_1_YEAR_GROWTH","FQ2 2018","FQ2 2018","Currency=INR","Period=FQ","BEST_FPERIOD_OVERRIDE=FQ","FILING_STATUS=OR","EQY_CONSOLIDATED=Y","Sort=A","Dates=H","DateFormat=P","Fill=—","Direction=H","UseDPDF=Y")</f>
        <v>#NAME?</v>
      </c>
      <c r="AC200" s="1" t="e">
        <f ca="1">_xll.BDH($C$178,"ASSET_GROWTH","FQ2 2018","FQ2 2018","Currency=INR","Period=FQ","BEST_FPERIOD_OVERRIDE=FQ","FILING_STATUS=OR","EQY_CONSOLIDATED=Y","Sort=A","Dates=H","DateFormat=P","Fill=—","Direction=H","UseDPDF=Y")</f>
        <v>#NAME?</v>
      </c>
      <c r="AD200" s="1" t="e">
        <f ca="1">_xll.BDH($C$178,"MODIFIED_WORK_CAP_GROWTH","FQ2 2018","FQ2 2018","Currency=INR","Period=FQ","BEST_FPERIOD_OVERRIDE=FQ","FILING_STATUS=OR","EQY_CONSOLIDATED=Y","Sort=A","Dates=H","DateFormat=P","Fill=—","Direction=H","UseDPDF=Y")</f>
        <v>#NAME?</v>
      </c>
      <c r="AE200" s="1" t="e">
        <f ca="1">_xll.BDH($C$178,"WORK_CAP_GROWTH","FQ2 2018","FQ2 2018","Currency=INR","Period=FQ","BEST_FPERIOD_OVERRIDE=FQ","FILING_STATUS=OR","EQY_CONSOLIDATED=Y","Sort=A","Dates=H","DateFormat=P","Fill=—","Direction=H","UseDPDF=Y")</f>
        <v>#NAME?</v>
      </c>
      <c r="AF200" s="1" t="e">
        <f ca="1">_xll.BDH($C$178,"ACCOUNTS_PAYABLE_GROWTH_1YR","FQ2 2018","FQ2 2018","Currency=INR","Period=FQ","BEST_FPERIOD_OVERRIDE=FQ","FILING_STATUS=OR","EQY_CONSOLIDATED=Y","Sort=A","Dates=H","DateFormat=P","Fill=—","Direction=H","UseDPDF=Y")</f>
        <v>#NAME?</v>
      </c>
      <c r="AG200" s="1" t="e">
        <f ca="1">_xll.BDH($C$178,"SHORT_TERM_DEBT_1_YEAR_GROWTH","FQ2 2018","FQ2 2018","Currency=INR","Period=FQ","BEST_FPERIOD_OVERRIDE=FQ","FILING_STATUS=OR","EQY_CONSOLIDATED=Y","Sort=A","Dates=H","DateFormat=P","Fill=—","Direction=H","UseDPDF=Y")</f>
        <v>#NAME?</v>
      </c>
      <c r="AH200" s="1" t="e">
        <f ca="1">_xll.BDH($C$178,"TOTAL_DEBT_1_YEAR_GROWTH","FQ2 2018","FQ2 2018","Currency=INR","Period=FQ","BEST_FPERIOD_OVERRIDE=FQ","FILING_STATUS=OR","EQY_CONSOLIDATED=Y","Sort=A","Dates=H","DateFormat=P","Fill=—","Direction=H","UseDPDF=Y")</f>
        <v>#NAME?</v>
      </c>
      <c r="AI200" s="1" t="e">
        <f ca="1">_xll.BDH($C$178,"TOTAL_EQUITY_1_YEAR_GROWTH","FQ2 2018","FQ2 2018","Currency=INR","Period=FQ","BEST_FPERIOD_OVERRIDE=FQ","FILING_STATUS=OR","EQY_CONSOLIDATED=Y","Sort=A","Dates=H","DateFormat=P","Fill=—","Direction=H","UseDPDF=Y")</f>
        <v>#NAME?</v>
      </c>
      <c r="AJ200" s="1" t="e">
        <f ca="1">_xll.BDH($C$178,"GROWTH_IN_CAP","FQ2 2018","FQ2 2018","Currency=INR","Period=FQ","BEST_FPERIOD_OVERRIDE=FQ","FILING_STATUS=OR","EQY_CONSOLIDATED=Y","Sort=A","Dates=H","DateFormat=P","Fill=—","Direction=H","UseDPDF=Y")</f>
        <v>#NAME?</v>
      </c>
      <c r="AK200" s="1" t="e">
        <f ca="1">_xll.BDH($C$178,"BVPS_GROWTH","FQ2 2018","FQ2 2018","Currency=INR","Period=FQ","BEST_FPERIOD_OVERRIDE=FQ","FILING_STATUS=OR","EQY_CONSOLIDATED=Y","Sort=A","Dates=H","DateFormat=P","Fill=—","Direction=H","UseDPDF=Y")</f>
        <v>#NAME?</v>
      </c>
      <c r="AL200" s="1" t="e">
        <f ca="1">_xll.BDH($C$178,"CASH_FLOW_GROWTH","FQ2 2018","FQ2 2018","Currency=INR","Period=FQ","BEST_FPERIOD_OVERRIDE=FQ","FILING_STATUS=OR","EQY_CONSOLIDATED=Y","Sort=A","Dates=H","DateFormat=P","Fill=—","Direction=H","UseDPDF=Y")</f>
        <v>#NAME?</v>
      </c>
      <c r="AM200" s="1" t="e">
        <f ca="1">_xll.BDH($C$178,"GEO_GROW_NET_SALES","FQ2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00" s="1" t="e">
        <f ca="1">_xll.BDH($C$178,"GEO_GROW_EBITDA","FQ2 2018","FQ2 2018","Currency=INR","Period=FQ","BEST_FPERIOD_OVERRIDE=FQ","FILING_STATUS=OR","EQY_CONSOLIDATED=Y","FA_ADJUSTED=GAAP","Sort=A","Dates=H","DateFormat=P","Fill=—","Direction=H","UseDPDF=Y")</f>
        <v>#NAME?</v>
      </c>
      <c r="AO200" s="1" t="e">
        <f ca="1">_xll.BDH($C$178,"GEO_GROW_OPER_INC","FQ2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00" s="1" t="e">
        <f ca="1">_xll.BDH($C$178,"NET_INCOME_TO_COMMON_5_YR_GROWTH","FQ2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00" s="1" t="e">
        <f ca="1">_xll.BDH($C$178,"5Y_GEO_GROWTH_DILUTED_EPS","FQ2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00" s="1" t="e">
        <f ca="1">_xll.BDH($C$178,"GEO_GROW_DVD_PER_SH","FQ2 2018","FQ2 2018","Currency=INR","Period=FQ","BEST_FPERIOD_OVERRIDE=FQ","FILING_STATUS=OR","EQY_CONSOLIDATED=Y","Sort=A","Dates=H","DateFormat=P","Fill=—","Direction=H","UseDPDF=Y")</f>
        <v>#NAME?</v>
      </c>
      <c r="AS200" s="1" t="e">
        <f ca="1">_xll.BDH($C$178,"ACCOUNTS_RECEIVABLE_5_YR_GROWTH","FQ2 2018","FQ2 2018","Currency=INR","Period=FQ","BEST_FPERIOD_OVERRIDE=FQ","FILING_STATUS=OR","EQY_CONSOLIDATED=Y","Sort=A","Dates=H","DateFormat=P","Fill=—","Direction=H","UseDPDF=Y")</f>
        <v>#NAME?</v>
      </c>
      <c r="AT200" s="1" t="e">
        <f ca="1">_xll.BDH($C$178,"INVENTORY_5_YEAR_GROWTH","FQ2 2018","FQ2 2018","Currency=INR","Period=FQ","BEST_FPERIOD_OVERRIDE=FQ","FILING_STATUS=OR","EQY_CONSOLIDATED=Y","Sort=A","Dates=H","DateFormat=P","Fill=—","Direction=H","UseDPDF=Y")</f>
        <v>#NAME?</v>
      </c>
      <c r="AU200" s="1" t="e">
        <f ca="1">_xll.BDH($C$178,"NET_FIXED_ASSETS_5_YEAR_GROWTH","FQ2 2018","FQ2 2018","Currency=INR","Period=FQ","BEST_FPERIOD_OVERRIDE=FQ","FILING_STATUS=OR","EQY_CONSOLIDATED=Y","Sort=A","Dates=H","DateFormat=P","Fill=—","Direction=H","UseDPDF=Y")</f>
        <v>#NAME?</v>
      </c>
      <c r="AV200" s="1" t="e">
        <f ca="1">_xll.BDH($C$178,"GEO_GROW_TOT_ASSET","FQ2 2018","FQ2 2018","Currency=INR","Period=FQ","BEST_FPERIOD_OVERRIDE=FQ","FILING_STATUS=OR","EQY_CONSOLIDATED=Y","Sort=A","Dates=H","DateFormat=P","Fill=—","Direction=H","UseDPDF=Y")</f>
        <v>#NAME?</v>
      </c>
      <c r="AW200" s="1" t="e">
        <f ca="1">_xll.BDH($C$178,"MODIFIED_WORKING_CPTL_5YR_GRWTH","FQ2 2018","FQ2 2018","Currency=INR","Period=FQ","BEST_FPERIOD_OVERRIDE=FQ","FILING_STATUS=OR","EQY_CONSOLIDATED=Y","Sort=A","Dates=H","DateFormat=P","Fill=—","Direction=H","UseDPDF=Y")</f>
        <v>#NAME?</v>
      </c>
      <c r="AX200" s="1" t="e">
        <f ca="1">_xll.BDH($C$178,"WORKING_CAPITAL_5_YEAR_GROWTH","FQ2 2018","FQ2 2018","Currency=INR","Period=FQ","BEST_FPERIOD_OVERRIDE=FQ","FILING_STATUS=OR","EQY_CONSOLIDATED=Y","Sort=A","Dates=H","DateFormat=P","Fill=—","Direction=H","UseDPDF=Y")</f>
        <v>#NAME?</v>
      </c>
      <c r="AY200" s="1" t="e">
        <f ca="1">_xll.BDH($C$178,"ACCOUNTS_PAYABLE_5_YEAR_GROWTH","FQ2 2018","FQ2 2018","Currency=INR","Period=FQ","BEST_FPERIOD_OVERRIDE=FQ","FILING_STATUS=OR","EQY_CONSOLIDATED=Y","Sort=A","Dates=H","DateFormat=P","Fill=—","Direction=H","UseDPDF=Y")</f>
        <v>#NAME?</v>
      </c>
      <c r="AZ200" s="1" t="e">
        <f ca="1">_xll.BDH($C$178,"SHORT_TERM_DEBT_5_YEAR_GROWTH","FQ2 2018","FQ2 2018","Currency=INR","Period=FQ","BEST_FPERIOD_OVERRIDE=FQ","FILING_STATUS=OR","EQY_CONSOLIDATED=Y","Sort=A","Dates=H","DateFormat=P","Fill=—","Direction=H","UseDPDF=Y")</f>
        <v>#NAME?</v>
      </c>
      <c r="BA200" s="1" t="e">
        <f ca="1">_xll.BDH($C$178,"TOTAL_DEBT_5_YEAR_GROWTH","FQ2 2018","FQ2 2018","Currency=INR","Period=FQ","BEST_FPERIOD_OVERRIDE=FQ","FILING_STATUS=OR","EQY_CONSOLIDATED=Y","Sort=A","Dates=H","DateFormat=P","Fill=—","Direction=H","UseDPDF=Y")</f>
        <v>#NAME?</v>
      </c>
      <c r="BB200" s="1" t="e">
        <f ca="1">_xll.BDH($C$178,"GEO_GROW_TOT_SHRHLDR_EQY","FQ2 2018","FQ2 2018","Currency=INR","Period=FQ","BEST_FPERIOD_OVERRIDE=FQ","FILING_STATUS=OR","EQY_CONSOLIDATED=Y","Sort=A","Dates=H","DateFormat=P","Fill=—","Direction=H","UseDPDF=Y")</f>
        <v>#NAME?</v>
      </c>
      <c r="BC200" s="1" t="e">
        <f ca="1">_xll.BDH($C$178,"TOTAL_CAPITAL_5_YEAR_GROWTH","FQ2 2018","FQ2 2018","Currency=INR","Period=FQ","BEST_FPERIOD_OVERRIDE=FQ","FILING_STATUS=OR","EQY_CONSOLIDATED=Y","Sort=A","Dates=H","DateFormat=P","Fill=—","Direction=H","UseDPDF=Y")</f>
        <v>#NAME?</v>
      </c>
      <c r="BD200" s="1" t="e">
        <f ca="1">_xll.BDH($C$178,"GEO_GROW_BOOK_VAL","FQ2 2018","FQ2 2018","Currency=INR","Period=FQ","BEST_FPERIOD_OVERRIDE=FQ","FILING_STATUS=OR","EQY_CONSOLIDATED=Y","Sort=A","Dates=H","DateFormat=P","Fill=—","Direction=H","UseDPDF=Y")</f>
        <v>#NAME?</v>
      </c>
      <c r="BE200" s="1" t="e">
        <f ca="1">_xll.BDH($C$178,"GEO_GROW_CASH_OPER_ACT","FQ2 2018","FQ2 2018","Currency=INR","Period=FQ","BEST_FPERIOD_OVERRIDE=FQ","FILING_STATUS=OR","EQY_CONSOLIDATED=Y","Sort=A","Dates=H","DateFormat=P","Fill=—","Direction=H","UseDPDF=Y")</f>
        <v>#NAME?</v>
      </c>
      <c r="BF200" s="1" t="e">
        <f ca="1">_xll.BDH($C$178,"REVENUE_SEQUENTIAL_GROWTH","FQ2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00" s="1" t="e">
        <f ca="1">_xll.BDH($C$178,"EBITDA_SEQUENTIAL_GROWTH","FQ2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00" s="1" t="e">
        <f ca="1">_xll.BDH($C$178,"OPERATING_INCOME_SEQ_GROWTH","FQ2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00" s="1" t="e">
        <f ca="1">_xll.BDH($C$178,"NET_INCOME_TO_COMMON_SEQ_GROWTH","FQ2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00" s="1" t="e">
        <f ca="1">_xll.BDH($C$178,"EPS_DILUTED_SEQUENTIAL_GROWTH","FQ2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00" s="1" t="e">
        <f ca="1">_xll.BDH($C$178,"DPS_SEQUENTIAL_GROWTH","FQ2 2018","FQ2 2018","Currency=INR","Period=FQ","BEST_FPERIOD_OVERRIDE=FQ","FILING_STATUS=OR","EQY_CONSOLIDATED=Y","Sort=A","Dates=H","DateFormat=P","Fill=—","Direction=H","UseDPDF=Y")</f>
        <v>#NAME?</v>
      </c>
      <c r="BL200" s="1" t="e">
        <f ca="1">_xll.BDH($C$178,"ACCOUNTS_RECEIVABLE_SEQ_GROWTH","FQ2 2018","FQ2 2018","Currency=INR","Period=FQ","BEST_FPERIOD_OVERRIDE=FQ","FILING_STATUS=OR","EQY_CONSOLIDATED=Y","Sort=A","Dates=H","DateFormat=P","Fill=—","Direction=H","UseDPDF=Y")</f>
        <v>#NAME?</v>
      </c>
      <c r="BM200" s="1" t="e">
        <f ca="1">_xll.BDH($C$178,"INVENTORY_SEQUENTIAL_GROWTH","FQ2 2018","FQ2 2018","Currency=INR","Period=FQ","BEST_FPERIOD_OVERRIDE=FQ","FILING_STATUS=OR","EQY_CONSOLIDATED=Y","Sort=A","Dates=H","DateFormat=P","Fill=—","Direction=H","UseDPDF=Y")</f>
        <v>#NAME?</v>
      </c>
      <c r="BN200" s="1" t="e">
        <f ca="1">_xll.BDH($C$178,"FIXED_ASSETS_SEQUENTIAL_GROWTH","FQ2 2018","FQ2 2018","Currency=INR","Period=FQ","BEST_FPERIOD_OVERRIDE=FQ","FILING_STATUS=OR","EQY_CONSOLIDATED=Y","Sort=A","Dates=H","DateFormat=P","Fill=—","Direction=H","UseDPDF=Y")</f>
        <v>#NAME?</v>
      </c>
      <c r="BO200" s="1" t="e">
        <f ca="1">_xll.BDH($C$178,"TOTAL_ASSETS_SEQUENTIAL_GROWTH","FQ2 2018","FQ2 2018","Currency=INR","Period=FQ","BEST_FPERIOD_OVERRIDE=FQ","FILING_STATUS=OR","EQY_CONSOLIDATED=Y","Sort=A","Dates=H","DateFormat=P","Fill=—","Direction=H","UseDPDF=Y")</f>
        <v>#NAME?</v>
      </c>
      <c r="BP200" s="1" t="e">
        <f ca="1">_xll.BDH($C$178,"MODIFIED_WORKING_CPTL_SEQ_GRWTH","FQ2 2018","FQ2 2018","Currency=INR","Period=FQ","BEST_FPERIOD_OVERRIDE=FQ","FILING_STATUS=OR","EQY_CONSOLIDATED=Y","Sort=A","Dates=H","DateFormat=P","Fill=—","Direction=H","UseDPDF=Y")</f>
        <v>#NAME?</v>
      </c>
      <c r="BQ200" s="1" t="e">
        <f ca="1">_xll.BDH($C$178,"WORKING_CAPITAL_SEQ_GROWTH","FQ2 2018","FQ2 2018","Currency=INR","Period=FQ","BEST_FPERIOD_OVERRIDE=FQ","FILING_STATUS=OR","EQY_CONSOLIDATED=Y","Sort=A","Dates=H","DateFormat=P","Fill=—","Direction=H","UseDPDF=Y")</f>
        <v>#NAME?</v>
      </c>
      <c r="BR200" s="1" t="e">
        <f ca="1">_xll.BDH($C$178,"ACCOUNTS_PAYABLE_SEQ_GROWTH","FQ2 2018","FQ2 2018","Currency=INR","Period=FQ","BEST_FPERIOD_OVERRIDE=FQ","FILING_STATUS=OR","EQY_CONSOLIDATED=Y","Sort=A","Dates=H","DateFormat=P","Fill=—","Direction=H","UseDPDF=Y")</f>
        <v>#NAME?</v>
      </c>
      <c r="BS200" s="1" t="e">
        <f ca="1">_xll.BDH($C$178,"ST_DEBT_SEQUENTIAL_GROWTH","FQ2 2018","FQ2 2018","Currency=INR","Period=FQ","BEST_FPERIOD_OVERRIDE=FQ","FILING_STATUS=OR","EQY_CONSOLIDATED=Y","Sort=A","Dates=H","DateFormat=P","Fill=—","Direction=H","UseDPDF=Y")</f>
        <v>#NAME?</v>
      </c>
      <c r="BT200" s="1" t="e">
        <f ca="1">_xll.BDH($C$178,"TOTAL_DEBT_SEQUENTIAL_GROWTH","FQ2 2018","FQ2 2018","Currency=INR","Period=FQ","BEST_FPERIOD_OVERRIDE=FQ","FILING_STATUS=OR","EQY_CONSOLIDATED=Y","Sort=A","Dates=H","DateFormat=P","Fill=—","Direction=H","UseDPDF=Y")</f>
        <v>#NAME?</v>
      </c>
      <c r="BU200" s="1" t="e">
        <f ca="1">_xll.BDH($C$178,"TOTAL_EQUITY_SEQUENTIAL_GROWTH","FQ2 2018","FQ2 2018","Currency=INR","Period=FQ","BEST_FPERIOD_OVERRIDE=FQ","FILING_STATUS=OR","EQY_CONSOLIDATED=Y","Sort=A","Dates=H","DateFormat=P","Fill=—","Direction=H","UseDPDF=Y")</f>
        <v>#NAME?</v>
      </c>
      <c r="BV200" s="1" t="e">
        <f ca="1">_xll.BDH($C$178,"TOTAL_CAPITAL_SEQUENTIAL_GROWTH","FQ2 2018","FQ2 2018","Currency=INR","Period=FQ","BEST_FPERIOD_OVERRIDE=FQ","FILING_STATUS=OR","EQY_CONSOLIDATED=Y","Sort=A","Dates=H","DateFormat=P","Fill=—","Direction=H","UseDPDF=Y")</f>
        <v>#NAME?</v>
      </c>
      <c r="BW200" s="1" t="e">
        <f ca="1">_xll.BDH($C$178,"BPS_SEQUENTIAL_GROWTH","FQ2 2018","FQ2 2018","Currency=INR","Period=FQ","BEST_FPERIOD_OVERRIDE=FQ","FILING_STATUS=OR","EQY_CONSOLIDATED=Y","Sort=A","Dates=H","DateFormat=P","Fill=—","Direction=H","UseDPDF=Y")</f>
        <v>#NAME?</v>
      </c>
      <c r="BX200" s="1" t="e">
        <f ca="1">_xll.BDH($C$178,"CFO_SEQUENTIAL_GROWTH","FQ2 2018","FQ2 2018","Currency=INR","Period=FQ","BEST_FPERIOD_OVERRIDE=FQ","FILING_STATUS=OR","EQY_CONSOLIDATED=Y","Sort=A","Dates=H","DateFormat=P","Fill=—","Direction=H","UseDPDF=Y")</f>
        <v>#NAME?</v>
      </c>
      <c r="BY200" s="2" t="e">
        <f ca="1">_xll.BDH($C$178,"SHORT_AND_LONG_TERM_DEBT","FQ2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00" s="2" t="e">
        <f ca="1">_xll.BDH($C$178,"BS_ST_BORROW","FQ2 2018","FQ2 2018","Currency=INR","Period=FQ","BEST_FPERIOD_OVERRIDE=FQ","FILING_STATUS=OR","EQY_CONSOLIDATED=Y","SCALING_FORMAT=MLN","Sort=A","Dates=H","DateFormat=P","Fill=—","Direction=H","UseDPDF=Y")</f>
        <v>#NAME?</v>
      </c>
      <c r="CA200" s="2" t="e">
        <f ca="1">_xll.BDH($C$178,"BS_LT_BORROW","FQ2 2018","FQ2 2018","Currency=INR","Period=FQ","BEST_FPERIOD_OVERRIDE=FQ","FILING_STATUS=OR","EQY_CONSOLIDATED=Y","SCALING_FORMAT=MLN","Sort=A","Dates=H","DateFormat=P","Fill=—","Direction=H","UseDPDF=Y")</f>
        <v>#NAME?</v>
      </c>
      <c r="CB200" s="1" t="e">
        <f ca="1">_xll.BDH($C$178,"TOT_DEBT_TO_EBITDA","FQ2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00" s="1" t="e">
        <f ca="1">_xll.BDH($C$178,"NET_DEBT_TO_EBITDA","FQ2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00" s="1" t="e">
        <f ca="1">_xll.BDH($C$178,"TOTAL_DEBT_TO_EBIT","FQ2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00" s="1" t="e">
        <f ca="1">_xll.BDH($C$178,"NET_DEBT_TO_EBIT","FQ2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200" s="1" t="e">
        <f ca="1">_xll.BDH($C$178,"EBITDA_TO_INTEREST_EXPN","FQ2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00" s="1" t="e">
        <f ca="1">_xll.BDH($C$178,"COM_EQY_TO_TOT_ASSET","FQ2 2018","FQ2 2018","Currency=INR","Period=FQ","BEST_FPERIOD_OVERRIDE=FQ","FILING_STATUS=OR","EQY_CONSOLIDATED=Y","Sort=A","Dates=H","DateFormat=P","Fill=—","Direction=H","UseDPDF=Y")</f>
        <v>#NAME?</v>
      </c>
      <c r="CH200" s="1" t="e">
        <f ca="1">_xll.BDH($C$178,"LT_DEBT_TO_TOT_EQY","FQ2 2018","FQ2 2018","Currency=INR","Period=FQ","BEST_FPERIOD_OVERRIDE=FQ","FILING_STATUS=OR","EQY_CONSOLIDATED=Y","Sort=A","Dates=H","DateFormat=P","Fill=—","Direction=H","UseDPDF=Y")</f>
        <v>#NAME?</v>
      </c>
      <c r="CI200" s="1" t="e">
        <f ca="1">_xll.BDH($C$178,"LT_DEBT_TO_TOT_CAP","FQ2 2018","FQ2 2018","Currency=INR","Period=FQ","BEST_FPERIOD_OVERRIDE=FQ","FILING_STATUS=OR","EQY_CONSOLIDATED=Y","Sort=A","Dates=H","DateFormat=P","Fill=—","Direction=H","UseDPDF=Y")</f>
        <v>#NAME?</v>
      </c>
      <c r="CJ200" s="1" t="e">
        <f ca="1">_xll.BDH($C$178,"LT_DEBT_TO_TOT_ASSET","FQ2 2018","FQ2 2018","Currency=INR","Period=FQ","BEST_FPERIOD_OVERRIDE=FQ","FILING_STATUS=OR","EQY_CONSOLIDATED=Y","Sort=A","Dates=H","DateFormat=P","Fill=—","Direction=H","UseDPDF=Y")</f>
        <v>#NAME?</v>
      </c>
      <c r="CK200" s="1" t="e">
        <f ca="1">_xll.BDH($C$178,"TOT_DEBT_TO_TOT_EQY","FQ2 2018","FQ2 2018","Currency=INR","Period=FQ","BEST_FPERIOD_OVERRIDE=FQ","FILING_STATUS=OR","EQY_CONSOLIDATED=Y","Sort=A","Dates=H","DateFormat=P","Fill=—","Direction=H","UseDPDF=Y")</f>
        <v>#NAME?</v>
      </c>
      <c r="CL200" s="1" t="e">
        <f ca="1">_xll.BDH($C$178,"TOT_DEBT_TO_TOT_CAP","FQ2 2018","FQ2 2018","Currency=INR","Period=FQ","BEST_FPERIOD_OVERRIDE=FQ","FILING_STATUS=OR","EQY_CONSOLIDATED=Y","Sort=A","Dates=H","DateFormat=P","Fill=—","Direction=H","UseDPDF=Y")</f>
        <v>#NAME?</v>
      </c>
      <c r="CM200" s="1" t="e">
        <f ca="1">_xll.BDH($C$178,"TOT_DEBT_TO_TOT_ASSET","FQ2 2018","FQ2 2018","Currency=INR","Period=FQ","BEST_FPERIOD_OVERRIDE=FQ","FILING_STATUS=OR","EQY_CONSOLIDATED=Y","Sort=A","Dates=H","DateFormat=P","Fill=—","Direction=H","UseDPDF=Y")</f>
        <v>#NAME?</v>
      </c>
      <c r="CN200" s="1" t="e">
        <f ca="1">_xll.BDH($C$178,"NET_DEBT_TO_SHRHLDR_EQTY","FQ2 2018","FQ2 2018","Currency=INR","Period=FQ","BEST_FPERIOD_OVERRIDE=FQ","FILING_STATUS=OR","EQY_CONSOLIDATED=Y","Sort=A","Dates=H","DateFormat=P","Fill=—","Direction=H","UseDPDF=Y")</f>
        <v>#NAME?</v>
      </c>
      <c r="CO200" s="1" t="e">
        <f ca="1">_xll.BDH($C$178,"NET_DEBT_%_CAPITAL","FQ2 2018","FQ2 2018","Currency=INR","Period=FQ","BEST_FPERIOD_OVERRIDE=FQ","FILING_STATUS=OR","EQY_CONSOLIDATED=Y","Sort=A","Dates=H","DateFormat=P","Fill=—","Direction=H","UseDPDF=Y")</f>
        <v>#NAME?</v>
      </c>
      <c r="CP200" s="2" t="e">
        <f ca="1">_xll.BDH($C$178,"EBITDA","FQ2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00" s="2" t="e">
        <f ca="1">_xll.BDH($C$178,"EBITDA_AFTER_CAPEX","FQ2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00" s="2" t="e">
        <f ca="1">_xll.BDH($C$178,"IS_OPER_INC","FQ2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00" s="1" t="e">
        <f ca="1">_xll.BDH($C$178,"CASH_RATIO","FQ2 2018","FQ2 2018","Currency=INR","Period=FQ","BEST_FPERIOD_OVERRIDE=FQ","FILING_STATUS=OR","EQY_CONSOLIDATED=Y","Sort=A","Dates=H","DateFormat=P","Fill=—","Direction=H","UseDPDF=Y")</f>
        <v>#NAME?</v>
      </c>
      <c r="CT200" s="1" t="e">
        <f ca="1">_xll.BDH($C$178,"CUR_RATIO","FQ2 2018","FQ2 2018","Currency=INR","Period=FQ","BEST_FPERIOD_OVERRIDE=FQ","FILING_STATUS=OR","EQY_CONSOLIDATED=Y","Sort=A","Dates=H","DateFormat=P","Fill=—","Direction=H","UseDPDF=Y")</f>
        <v>#NAME?</v>
      </c>
      <c r="CU200" s="1" t="e">
        <f ca="1">_xll.BDH($C$178,"QUICK_RATIO","FQ2 2018","FQ2 2018","Currency=INR","Period=FQ","BEST_FPERIOD_OVERRIDE=FQ","FILING_STATUS=OR","EQY_CONSOLIDATED=Y","Sort=A","Dates=H","DateFormat=P","Fill=—","Direction=H","UseDPDF=Y")</f>
        <v>#NAME?</v>
      </c>
      <c r="CV200" s="1" t="e">
        <f ca="1">_xll.BDH($C$178,"ALTMAN_Z_SCORE","FQ2 2018","FQ2 2018","Currency=INR","Period=FQ","BEST_FPERIOD_OVERRIDE=FQ","FILING_STATUS=OR","EQY_CONSOLIDATED=Y","Sort=A","Dates=H","DateFormat=P","Fill=—","Direction=H","UseDPDF=Y")</f>
        <v>#NAME?</v>
      </c>
      <c r="CW200" s="3" t="e">
        <f ca="1">_xll.BDH($C$178,"ACCT_RCV_TURN","FQ2 2018","FQ2 2018","Currency=INR","Period=FQ","BEST_FPERIOD_OVERRIDE=FQ","FILING_STATUS=OR","EQY_CONSOLIDATED=Y","FA_ADJUSTED=GAAP","Sort=A","Dates=H","DateFormat=P","Fill=—","Direction=H","UseDPDF=Y")</f>
        <v>#NAME?</v>
      </c>
      <c r="CX200" s="1" t="e">
        <f ca="1">_xll.BDH($C$178,"ACCT_RCV_DAYS","FQ2 2018","FQ2 2018","Currency=INR","Period=FQ","BEST_FPERIOD_OVERRIDE=FQ","FILING_STATUS=OR","EQY_CONSOLIDATED=Y","FA_ADJUSTED=GAAP","Sort=A","Dates=H","DateFormat=P","Fill=—","Direction=H","UseDPDF=Y")</f>
        <v>#NAME?</v>
      </c>
      <c r="CY200" s="3" t="e">
        <f ca="1">_xll.BDH($C$178,"INVENT_TURN","FQ2 2018","FQ2 2018","Currency=INR","Period=FQ","BEST_FPERIOD_OVERRIDE=FQ","FILING_STATUS=OR","EQY_CONSOLIDATED=Y","FA_ADJUSTED=GAAP","Sort=A","Dates=H","DateFormat=P","Fill=—","Direction=H","UseDPDF=Y")</f>
        <v>#NAME?</v>
      </c>
      <c r="CZ200" s="1" t="e">
        <f ca="1">_xll.BDH($C$178,"INVENT_DAYS","FQ2 2018","FQ2 2018","Currency=INR","Period=FQ","BEST_FPERIOD_OVERRIDE=FQ","FILING_STATUS=OR","EQY_CONSOLIDATED=Y","FA_ADJUSTED=GAAP","Sort=A","Dates=H","DateFormat=P","Fill=—","Direction=H","UseDPDF=Y")</f>
        <v>#NAME?</v>
      </c>
      <c r="DA200" s="3" t="e">
        <f ca="1">_xll.BDH($C$178,"ACCOUNTS_PAYABLE_TURNOVER","FQ2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00" s="1" t="e">
        <f ca="1">_xll.BDH($C$178,"ACCOUNTS_PAYABLE_TURNOVER_DAYS","FQ2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00" s="3" t="e">
        <f ca="1">_xll.BDH($C$178,"CASH_CONVERSION_CYCLE","FQ2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00" s="3" t="e">
        <f ca="1">_xll.BDH($C$178,"INV_TO_CASH_DAYS","FQ2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200" s="4" t="e">
        <f ca="1">_xll.BDH($C$178,"BS_INVENTORIES","FQ2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200" s="2" t="e">
        <f ca="1">_xll.BDH($C$178,"INVTRY_RAW_MATERIALS","FQ2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00" s="2" t="e">
        <f ca="1">_xll.BDH($C$178,"INVTRY_IN_PROGRESS","FQ2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00" s="2" t="e">
        <f ca="1">_xll.BDH($C$178,"INVTRY_FINISHED_GOODS","FQ2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00" s="2" t="e">
        <f ca="1">_xll.BDH($C$178,"BS_OTHER_INV","FQ2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01" spans="1:113" x14ac:dyDescent="0.3">
      <c r="A201" s="6"/>
      <c r="B201" s="6"/>
      <c r="C201" s="6"/>
      <c r="D201" s="6"/>
      <c r="E201" t="s">
        <v>6</v>
      </c>
      <c r="F201" t="e">
        <f ca="1">_xll.BDH($C$178,"RETURN_COM_EQY","FQ3 2018","FQ3 2018","Currency=INR","Period=FQ","BEST_FPERIOD_OVERRIDE=FQ","FILING_STATUS=OR","EQY_CONSOLIDATED=Y","FA_ADJUSTED=GAAP","Sort=A","Dates=H","DateFormat=P","Fill=—","Direction=H","UseDPDF=Y")</f>
        <v>#NAME?</v>
      </c>
      <c r="G201" t="e">
        <f ca="1">_xll.BDH($C$178,"RETURN_ON_ASSET","FQ3 2018","FQ3 2018","Currency=INR","Period=FQ","BEST_FPERIOD_OVERRIDE=FQ","FILING_STATUS=OR","EQY_CONSOLIDATED=Y","FA_ADJUSTED=GAAP","Sort=A","Dates=H","DateFormat=P","Fill=—","Direction=H","UseDPDF=Y")</f>
        <v>#NAME?</v>
      </c>
      <c r="H201" t="e">
        <f ca="1">_xll.BDH($C$178,"RETURN_ON_CAP","FQ3 2018","FQ3 2018","Currency=INR","Period=FQ","BEST_FPERIOD_OVERRIDE=FQ","FILING_STATUS=OR","EQY_CONSOLIDATED=Y","FA_ADJUSTED=GAAP","Sort=A","Dates=H","DateFormat=P","Fill=—","Direction=H","UseDPDF=Y")</f>
        <v>#NAME?</v>
      </c>
      <c r="I201" t="e">
        <f ca="1">_xll.BDH($C$178,"RETURN_ON_INV_CAPITAL","FQ3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01" t="e">
        <f ca="1">_xll.BDH($C$178,"EBITDA_TO_REVENUE","FQ3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201" t="e">
        <f ca="1">_xll.BDH($C$178,"OPER_MARGIN","FQ3 2018","FQ3 2018","Currency=INR","Period=FQ","BEST_FPERIOD_OVERRIDE=FQ","FILING_STATUS=OR","EQY_CONSOLIDATED=Y","FA_ADJUSTED=GAAP","Sort=A","Dates=H","DateFormat=P","Fill=—","Direction=H","UseDPDF=Y")</f>
        <v>#NAME?</v>
      </c>
      <c r="L201" t="e">
        <f ca="1">_xll.BDH($C$178,"INCREMENTAL_OPERATING_MARGIN","FQ3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01" t="e">
        <f ca="1">_xll.BDH($C$178,"PRETAX_INC_TO_NET_SALES","FQ3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01" t="e">
        <f ca="1">_xll.BDH($C$178,"INC_BEF_XO_ITEMS_TO_NET_SALES","FQ3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01" t="e">
        <f ca="1">_xll.BDH($C$178,"PROF_MARGIN","FQ3 2018","FQ3 2018","Currency=INR","Period=FQ","BEST_FPERIOD_OVERRIDE=FQ","FILING_STATUS=OR","EQY_CONSOLIDATED=Y","FA_ADJUSTED=GAAP","Sort=A","Dates=H","DateFormat=P","Fill=—","Direction=H","UseDPDF=Y")</f>
        <v>#NAME?</v>
      </c>
      <c r="P201" t="e">
        <f ca="1">_xll.BDH($C$178,"NET_INCOME_TO_COMMON_MARGIN","FQ3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01" t="e">
        <f ca="1">_xll.BDH($C$178,"EFF_TAX_RATE","FQ3 2018","FQ3 2018","Currency=INR","Period=FQ","BEST_FPERIOD_OVERRIDE=FQ","FILING_STATUS=OR","EQY_CONSOLIDATED=Y","FA_ADJUSTED=GAAP","Sort=A","Dates=H","DateFormat=P","Fill=—","Direction=H","UseDPDF=Y")</f>
        <v>#NAME?</v>
      </c>
      <c r="R201" t="e">
        <f ca="1">_xll.BDH($C$178,"DVD_PAYOUT_RATIO","FQ3 2018","FQ3 2018","Currency=INR","Period=FQ","BEST_FPERIOD_OVERRIDE=FQ","FILING_STATUS=OR","EQY_CONSOLIDATED=Y","FA_ADJUSTED=GAAP","Sort=A","Dates=H","DateFormat=P","Fill=—","Direction=H","UseDPDF=Y")</f>
        <v>#NAME?</v>
      </c>
      <c r="S201" t="e">
        <f ca="1">_xll.BDH($C$178,"SUSTAIN_GROWTH_RT","FQ3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201" s="1" t="e">
        <f ca="1">_xll.BDH($C$178,"SALES_GROWTH","FQ3 2018","FQ3 2018","Currency=INR","Period=FQ","BEST_FPERIOD_OVERRIDE=FQ","FILING_STATUS=OR","EQY_CONSOLIDATED=Y","FA_ADJUSTED=GAAP","Sort=A","Dates=H","DateFormat=P","Fill=—","Direction=H","UseDPDF=Y")</f>
        <v>#NAME?</v>
      </c>
      <c r="U201" s="1" t="e">
        <f ca="1">_xll.BDH($C$178,"EBITDA_GROWTH","FQ3 2018","FQ3 2018","Currency=INR","Period=FQ","BEST_FPERIOD_OVERRIDE=FQ","FILING_STATUS=OR","EQY_CONSOLIDATED=Y","FA_ADJUSTED=GAAP","Sort=A","Dates=H","DateFormat=P","Fill=—","Direction=H","UseDPDF=Y")</f>
        <v>#NAME?</v>
      </c>
      <c r="V201" s="1" t="e">
        <f ca="1">_xll.BDH($C$178,"OPER_INC_GROWTH","FQ3 2018","FQ3 2018","Currency=INR","Period=FQ","BEST_FPERIOD_OVERRIDE=FQ","FILING_STATUS=OR","EQY_CONSOLIDATED=Y","FA_ADJUSTED=GAAP","Sort=A","Dates=H","DateFormat=P","Fill=—","Direction=H","UseDPDF=Y")</f>
        <v>#NAME?</v>
      </c>
      <c r="W201" s="1" t="e">
        <f ca="1">_xll.BDH($C$178,"EARN_FOR_COM_GROWTH","FQ3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01" s="1" t="e">
        <f ca="1">_xll.BDH($C$178,"DILUTED_EPS_AFT_XO_ITEMS_GROWTH","FQ3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01" s="1" t="e">
        <f ca="1">_xll.BDH($C$178,"DIVIDEND_PER_SHARE_1_YEAR_GROWTH","FQ3 2018","FQ3 2018","Currency=INR","Period=FQ","BEST_FPERIOD_OVERRIDE=FQ","FILING_STATUS=OR","EQY_CONSOLIDATED=Y","Sort=A","Dates=H","DateFormat=P","Fill=—","Direction=H","UseDPDF=Y")</f>
        <v>#NAME?</v>
      </c>
      <c r="Z201" s="1" t="e">
        <f ca="1">_xll.BDH($C$178,"ACCOUNTS_RECEIVABLE_GROWTH","FQ3 2018","FQ3 2018","Currency=INR","Period=FQ","BEST_FPERIOD_OVERRIDE=FQ","FILING_STATUS=OR","EQY_CONSOLIDATED=Y","Sort=A","Dates=H","DateFormat=P","Fill=—","Direction=H","UseDPDF=Y")</f>
        <v>#NAME?</v>
      </c>
      <c r="AA201" s="1" t="e">
        <f ca="1">_xll.BDH($C$178,"INVENTORY_GROWTH","FQ3 2018","FQ3 2018","Currency=INR","Period=FQ","BEST_FPERIOD_OVERRIDE=FQ","FILING_STATUS=OR","EQY_CONSOLIDATED=Y","Sort=A","Dates=H","DateFormat=P","Fill=—","Direction=H","UseDPDF=Y")</f>
        <v>#NAME?</v>
      </c>
      <c r="AB201" s="1" t="e">
        <f ca="1">_xll.BDH($C$178,"NET_FIXED_ASSETS_1_YEAR_GROWTH","FQ3 2018","FQ3 2018","Currency=INR","Period=FQ","BEST_FPERIOD_OVERRIDE=FQ","FILING_STATUS=OR","EQY_CONSOLIDATED=Y","Sort=A","Dates=H","DateFormat=P","Fill=—","Direction=H","UseDPDF=Y")</f>
        <v>#NAME?</v>
      </c>
      <c r="AC201" s="1" t="e">
        <f ca="1">_xll.BDH($C$178,"ASSET_GROWTH","FQ3 2018","FQ3 2018","Currency=INR","Period=FQ","BEST_FPERIOD_OVERRIDE=FQ","FILING_STATUS=OR","EQY_CONSOLIDATED=Y","Sort=A","Dates=H","DateFormat=P","Fill=—","Direction=H","UseDPDF=Y")</f>
        <v>#NAME?</v>
      </c>
      <c r="AD201" s="1" t="e">
        <f ca="1">_xll.BDH($C$178,"MODIFIED_WORK_CAP_GROWTH","FQ3 2018","FQ3 2018","Currency=INR","Period=FQ","BEST_FPERIOD_OVERRIDE=FQ","FILING_STATUS=OR","EQY_CONSOLIDATED=Y","Sort=A","Dates=H","DateFormat=P","Fill=—","Direction=H","UseDPDF=Y")</f>
        <v>#NAME?</v>
      </c>
      <c r="AE201" s="1" t="e">
        <f ca="1">_xll.BDH($C$178,"WORK_CAP_GROWTH","FQ3 2018","FQ3 2018","Currency=INR","Period=FQ","BEST_FPERIOD_OVERRIDE=FQ","FILING_STATUS=OR","EQY_CONSOLIDATED=Y","Sort=A","Dates=H","DateFormat=P","Fill=—","Direction=H","UseDPDF=Y")</f>
        <v>#NAME?</v>
      </c>
      <c r="AF201" s="1" t="e">
        <f ca="1">_xll.BDH($C$178,"ACCOUNTS_PAYABLE_GROWTH_1YR","FQ3 2018","FQ3 2018","Currency=INR","Period=FQ","BEST_FPERIOD_OVERRIDE=FQ","FILING_STATUS=OR","EQY_CONSOLIDATED=Y","Sort=A","Dates=H","DateFormat=P","Fill=—","Direction=H","UseDPDF=Y")</f>
        <v>#NAME?</v>
      </c>
      <c r="AG201" s="1" t="e">
        <f ca="1">_xll.BDH($C$178,"SHORT_TERM_DEBT_1_YEAR_GROWTH","FQ3 2018","FQ3 2018","Currency=INR","Period=FQ","BEST_FPERIOD_OVERRIDE=FQ","FILING_STATUS=OR","EQY_CONSOLIDATED=Y","Sort=A","Dates=H","DateFormat=P","Fill=—","Direction=H","UseDPDF=Y")</f>
        <v>#NAME?</v>
      </c>
      <c r="AH201" s="1" t="e">
        <f ca="1">_xll.BDH($C$178,"TOTAL_DEBT_1_YEAR_GROWTH","FQ3 2018","FQ3 2018","Currency=INR","Period=FQ","BEST_FPERIOD_OVERRIDE=FQ","FILING_STATUS=OR","EQY_CONSOLIDATED=Y","Sort=A","Dates=H","DateFormat=P","Fill=—","Direction=H","UseDPDF=Y")</f>
        <v>#NAME?</v>
      </c>
      <c r="AI201" s="1" t="e">
        <f ca="1">_xll.BDH($C$178,"TOTAL_EQUITY_1_YEAR_GROWTH","FQ3 2018","FQ3 2018","Currency=INR","Period=FQ","BEST_FPERIOD_OVERRIDE=FQ","FILING_STATUS=OR","EQY_CONSOLIDATED=Y","Sort=A","Dates=H","DateFormat=P","Fill=—","Direction=H","UseDPDF=Y")</f>
        <v>#NAME?</v>
      </c>
      <c r="AJ201" s="1" t="e">
        <f ca="1">_xll.BDH($C$178,"GROWTH_IN_CAP","FQ3 2018","FQ3 2018","Currency=INR","Period=FQ","BEST_FPERIOD_OVERRIDE=FQ","FILING_STATUS=OR","EQY_CONSOLIDATED=Y","Sort=A","Dates=H","DateFormat=P","Fill=—","Direction=H","UseDPDF=Y")</f>
        <v>#NAME?</v>
      </c>
      <c r="AK201" s="1" t="e">
        <f ca="1">_xll.BDH($C$178,"BVPS_GROWTH","FQ3 2018","FQ3 2018","Currency=INR","Period=FQ","BEST_FPERIOD_OVERRIDE=FQ","FILING_STATUS=OR","EQY_CONSOLIDATED=Y","Sort=A","Dates=H","DateFormat=P","Fill=—","Direction=H","UseDPDF=Y")</f>
        <v>#NAME?</v>
      </c>
      <c r="AL201" s="1" t="e">
        <f ca="1">_xll.BDH($C$178,"CASH_FLOW_GROWTH","FQ3 2018","FQ3 2018","Currency=INR","Period=FQ","BEST_FPERIOD_OVERRIDE=FQ","FILING_STATUS=OR","EQY_CONSOLIDATED=Y","Sort=A","Dates=H","DateFormat=P","Fill=—","Direction=H","UseDPDF=Y")</f>
        <v>#NAME?</v>
      </c>
      <c r="AM201" s="1" t="e">
        <f ca="1">_xll.BDH($C$178,"GEO_GROW_NET_SALES","FQ3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01" s="1" t="e">
        <f ca="1">_xll.BDH($C$178,"GEO_GROW_EBITDA","FQ3 2018","FQ3 2018","Currency=INR","Period=FQ","BEST_FPERIOD_OVERRIDE=FQ","FILING_STATUS=OR","EQY_CONSOLIDATED=Y","FA_ADJUSTED=GAAP","Sort=A","Dates=H","DateFormat=P","Fill=—","Direction=H","UseDPDF=Y")</f>
        <v>#NAME?</v>
      </c>
      <c r="AO201" s="1" t="e">
        <f ca="1">_xll.BDH($C$178,"GEO_GROW_OPER_INC","FQ3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01" s="1" t="e">
        <f ca="1">_xll.BDH($C$178,"NET_INCOME_TO_COMMON_5_YR_GROWTH","FQ3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01" s="1" t="e">
        <f ca="1">_xll.BDH($C$178,"5Y_GEO_GROWTH_DILUTED_EPS","FQ3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01" s="1" t="e">
        <f ca="1">_xll.BDH($C$178,"GEO_GROW_DVD_PER_SH","FQ3 2018","FQ3 2018","Currency=INR","Period=FQ","BEST_FPERIOD_OVERRIDE=FQ","FILING_STATUS=OR","EQY_CONSOLIDATED=Y","Sort=A","Dates=H","DateFormat=P","Fill=—","Direction=H","UseDPDF=Y")</f>
        <v>#NAME?</v>
      </c>
      <c r="AS201" s="1" t="e">
        <f ca="1">_xll.BDH($C$178,"ACCOUNTS_RECEIVABLE_5_YR_GROWTH","FQ3 2018","FQ3 2018","Currency=INR","Period=FQ","BEST_FPERIOD_OVERRIDE=FQ","FILING_STATUS=OR","EQY_CONSOLIDATED=Y","Sort=A","Dates=H","DateFormat=P","Fill=—","Direction=H","UseDPDF=Y")</f>
        <v>#NAME?</v>
      </c>
      <c r="AT201" s="1" t="e">
        <f ca="1">_xll.BDH($C$178,"INVENTORY_5_YEAR_GROWTH","FQ3 2018","FQ3 2018","Currency=INR","Period=FQ","BEST_FPERIOD_OVERRIDE=FQ","FILING_STATUS=OR","EQY_CONSOLIDATED=Y","Sort=A","Dates=H","DateFormat=P","Fill=—","Direction=H","UseDPDF=Y")</f>
        <v>#NAME?</v>
      </c>
      <c r="AU201" s="1" t="e">
        <f ca="1">_xll.BDH($C$178,"NET_FIXED_ASSETS_5_YEAR_GROWTH","FQ3 2018","FQ3 2018","Currency=INR","Period=FQ","BEST_FPERIOD_OVERRIDE=FQ","FILING_STATUS=OR","EQY_CONSOLIDATED=Y","Sort=A","Dates=H","DateFormat=P","Fill=—","Direction=H","UseDPDF=Y")</f>
        <v>#NAME?</v>
      </c>
      <c r="AV201" s="1" t="e">
        <f ca="1">_xll.BDH($C$178,"GEO_GROW_TOT_ASSET","FQ3 2018","FQ3 2018","Currency=INR","Period=FQ","BEST_FPERIOD_OVERRIDE=FQ","FILING_STATUS=OR","EQY_CONSOLIDATED=Y","Sort=A","Dates=H","DateFormat=P","Fill=—","Direction=H","UseDPDF=Y")</f>
        <v>#NAME?</v>
      </c>
      <c r="AW201" s="1" t="e">
        <f ca="1">_xll.BDH($C$178,"MODIFIED_WORKING_CPTL_5YR_GRWTH","FQ3 2018","FQ3 2018","Currency=INR","Period=FQ","BEST_FPERIOD_OVERRIDE=FQ","FILING_STATUS=OR","EQY_CONSOLIDATED=Y","Sort=A","Dates=H","DateFormat=P","Fill=—","Direction=H","UseDPDF=Y")</f>
        <v>#NAME?</v>
      </c>
      <c r="AX201" s="1" t="e">
        <f ca="1">_xll.BDH($C$178,"WORKING_CAPITAL_5_YEAR_GROWTH","FQ3 2018","FQ3 2018","Currency=INR","Period=FQ","BEST_FPERIOD_OVERRIDE=FQ","FILING_STATUS=OR","EQY_CONSOLIDATED=Y","Sort=A","Dates=H","DateFormat=P","Fill=—","Direction=H","UseDPDF=Y")</f>
        <v>#NAME?</v>
      </c>
      <c r="AY201" s="1" t="e">
        <f ca="1">_xll.BDH($C$178,"ACCOUNTS_PAYABLE_5_YEAR_GROWTH","FQ3 2018","FQ3 2018","Currency=INR","Period=FQ","BEST_FPERIOD_OVERRIDE=FQ","FILING_STATUS=OR","EQY_CONSOLIDATED=Y","Sort=A","Dates=H","DateFormat=P","Fill=—","Direction=H","UseDPDF=Y")</f>
        <v>#NAME?</v>
      </c>
      <c r="AZ201" s="1" t="e">
        <f ca="1">_xll.BDH($C$178,"SHORT_TERM_DEBT_5_YEAR_GROWTH","FQ3 2018","FQ3 2018","Currency=INR","Period=FQ","BEST_FPERIOD_OVERRIDE=FQ","FILING_STATUS=OR","EQY_CONSOLIDATED=Y","Sort=A","Dates=H","DateFormat=P","Fill=—","Direction=H","UseDPDF=Y")</f>
        <v>#NAME?</v>
      </c>
      <c r="BA201" s="1" t="e">
        <f ca="1">_xll.BDH($C$178,"TOTAL_DEBT_5_YEAR_GROWTH","FQ3 2018","FQ3 2018","Currency=INR","Period=FQ","BEST_FPERIOD_OVERRIDE=FQ","FILING_STATUS=OR","EQY_CONSOLIDATED=Y","Sort=A","Dates=H","DateFormat=P","Fill=—","Direction=H","UseDPDF=Y")</f>
        <v>#NAME?</v>
      </c>
      <c r="BB201" s="1" t="e">
        <f ca="1">_xll.BDH($C$178,"GEO_GROW_TOT_SHRHLDR_EQY","FQ3 2018","FQ3 2018","Currency=INR","Period=FQ","BEST_FPERIOD_OVERRIDE=FQ","FILING_STATUS=OR","EQY_CONSOLIDATED=Y","Sort=A","Dates=H","DateFormat=P","Fill=—","Direction=H","UseDPDF=Y")</f>
        <v>#NAME?</v>
      </c>
      <c r="BC201" s="1" t="e">
        <f ca="1">_xll.BDH($C$178,"TOTAL_CAPITAL_5_YEAR_GROWTH","FQ3 2018","FQ3 2018","Currency=INR","Period=FQ","BEST_FPERIOD_OVERRIDE=FQ","FILING_STATUS=OR","EQY_CONSOLIDATED=Y","Sort=A","Dates=H","DateFormat=P","Fill=—","Direction=H","UseDPDF=Y")</f>
        <v>#NAME?</v>
      </c>
      <c r="BD201" s="1" t="e">
        <f ca="1">_xll.BDH($C$178,"GEO_GROW_BOOK_VAL","FQ3 2018","FQ3 2018","Currency=INR","Period=FQ","BEST_FPERIOD_OVERRIDE=FQ","FILING_STATUS=OR","EQY_CONSOLIDATED=Y","Sort=A","Dates=H","DateFormat=P","Fill=—","Direction=H","UseDPDF=Y")</f>
        <v>#NAME?</v>
      </c>
      <c r="BE201" s="1" t="e">
        <f ca="1">_xll.BDH($C$178,"GEO_GROW_CASH_OPER_ACT","FQ3 2018","FQ3 2018","Currency=INR","Period=FQ","BEST_FPERIOD_OVERRIDE=FQ","FILING_STATUS=OR","EQY_CONSOLIDATED=Y","Sort=A","Dates=H","DateFormat=P","Fill=—","Direction=H","UseDPDF=Y")</f>
        <v>#NAME?</v>
      </c>
      <c r="BF201" s="1" t="e">
        <f ca="1">_xll.BDH($C$178,"REVENUE_SEQUENTIAL_GROWTH","FQ3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01" s="1" t="e">
        <f ca="1">_xll.BDH($C$178,"EBITDA_SEQUENTIAL_GROWTH","FQ3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01" s="1" t="e">
        <f ca="1">_xll.BDH($C$178,"OPERATING_INCOME_SEQ_GROWTH","FQ3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01" s="1" t="e">
        <f ca="1">_xll.BDH($C$178,"NET_INCOME_TO_COMMON_SEQ_GROWTH","FQ3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01" s="1" t="e">
        <f ca="1">_xll.BDH($C$178,"EPS_DILUTED_SEQUENTIAL_GROWTH","FQ3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01" s="1" t="e">
        <f ca="1">_xll.BDH($C$178,"DPS_SEQUENTIAL_GROWTH","FQ3 2018","FQ3 2018","Currency=INR","Period=FQ","BEST_FPERIOD_OVERRIDE=FQ","FILING_STATUS=OR","EQY_CONSOLIDATED=Y","Sort=A","Dates=H","DateFormat=P","Fill=—","Direction=H","UseDPDF=Y")</f>
        <v>#NAME?</v>
      </c>
      <c r="BL201" s="1" t="e">
        <f ca="1">_xll.BDH($C$178,"ACCOUNTS_RECEIVABLE_SEQ_GROWTH","FQ3 2018","FQ3 2018","Currency=INR","Period=FQ","BEST_FPERIOD_OVERRIDE=FQ","FILING_STATUS=OR","EQY_CONSOLIDATED=Y","Sort=A","Dates=H","DateFormat=P","Fill=—","Direction=H","UseDPDF=Y")</f>
        <v>#NAME?</v>
      </c>
      <c r="BM201" s="1" t="e">
        <f ca="1">_xll.BDH($C$178,"INVENTORY_SEQUENTIAL_GROWTH","FQ3 2018","FQ3 2018","Currency=INR","Period=FQ","BEST_FPERIOD_OVERRIDE=FQ","FILING_STATUS=OR","EQY_CONSOLIDATED=Y","Sort=A","Dates=H","DateFormat=P","Fill=—","Direction=H","UseDPDF=Y")</f>
        <v>#NAME?</v>
      </c>
      <c r="BN201" s="1" t="e">
        <f ca="1">_xll.BDH($C$178,"FIXED_ASSETS_SEQUENTIAL_GROWTH","FQ3 2018","FQ3 2018","Currency=INR","Period=FQ","BEST_FPERIOD_OVERRIDE=FQ","FILING_STATUS=OR","EQY_CONSOLIDATED=Y","Sort=A","Dates=H","DateFormat=P","Fill=—","Direction=H","UseDPDF=Y")</f>
        <v>#NAME?</v>
      </c>
      <c r="BO201" s="1" t="e">
        <f ca="1">_xll.BDH($C$178,"TOTAL_ASSETS_SEQUENTIAL_GROWTH","FQ3 2018","FQ3 2018","Currency=INR","Period=FQ","BEST_FPERIOD_OVERRIDE=FQ","FILING_STATUS=OR","EQY_CONSOLIDATED=Y","Sort=A","Dates=H","DateFormat=P","Fill=—","Direction=H","UseDPDF=Y")</f>
        <v>#NAME?</v>
      </c>
      <c r="BP201" s="1" t="e">
        <f ca="1">_xll.BDH($C$178,"MODIFIED_WORKING_CPTL_SEQ_GRWTH","FQ3 2018","FQ3 2018","Currency=INR","Period=FQ","BEST_FPERIOD_OVERRIDE=FQ","FILING_STATUS=OR","EQY_CONSOLIDATED=Y","Sort=A","Dates=H","DateFormat=P","Fill=—","Direction=H","UseDPDF=Y")</f>
        <v>#NAME?</v>
      </c>
      <c r="BQ201" s="1" t="e">
        <f ca="1">_xll.BDH($C$178,"WORKING_CAPITAL_SEQ_GROWTH","FQ3 2018","FQ3 2018","Currency=INR","Period=FQ","BEST_FPERIOD_OVERRIDE=FQ","FILING_STATUS=OR","EQY_CONSOLIDATED=Y","Sort=A","Dates=H","DateFormat=P","Fill=—","Direction=H","UseDPDF=Y")</f>
        <v>#NAME?</v>
      </c>
      <c r="BR201" s="1" t="e">
        <f ca="1">_xll.BDH($C$178,"ACCOUNTS_PAYABLE_SEQ_GROWTH","FQ3 2018","FQ3 2018","Currency=INR","Period=FQ","BEST_FPERIOD_OVERRIDE=FQ","FILING_STATUS=OR","EQY_CONSOLIDATED=Y","Sort=A","Dates=H","DateFormat=P","Fill=—","Direction=H","UseDPDF=Y")</f>
        <v>#NAME?</v>
      </c>
      <c r="BS201" s="1" t="e">
        <f ca="1">_xll.BDH($C$178,"ST_DEBT_SEQUENTIAL_GROWTH","FQ3 2018","FQ3 2018","Currency=INR","Period=FQ","BEST_FPERIOD_OVERRIDE=FQ","FILING_STATUS=OR","EQY_CONSOLIDATED=Y","Sort=A","Dates=H","DateFormat=P","Fill=—","Direction=H","UseDPDF=Y")</f>
        <v>#NAME?</v>
      </c>
      <c r="BT201" s="1" t="e">
        <f ca="1">_xll.BDH($C$178,"TOTAL_DEBT_SEQUENTIAL_GROWTH","FQ3 2018","FQ3 2018","Currency=INR","Period=FQ","BEST_FPERIOD_OVERRIDE=FQ","FILING_STATUS=OR","EQY_CONSOLIDATED=Y","Sort=A","Dates=H","DateFormat=P","Fill=—","Direction=H","UseDPDF=Y")</f>
        <v>#NAME?</v>
      </c>
      <c r="BU201" s="1" t="e">
        <f ca="1">_xll.BDH($C$178,"TOTAL_EQUITY_SEQUENTIAL_GROWTH","FQ3 2018","FQ3 2018","Currency=INR","Period=FQ","BEST_FPERIOD_OVERRIDE=FQ","FILING_STATUS=OR","EQY_CONSOLIDATED=Y","Sort=A","Dates=H","DateFormat=P","Fill=—","Direction=H","UseDPDF=Y")</f>
        <v>#NAME?</v>
      </c>
      <c r="BV201" s="1" t="e">
        <f ca="1">_xll.BDH($C$178,"TOTAL_CAPITAL_SEQUENTIAL_GROWTH","FQ3 2018","FQ3 2018","Currency=INR","Period=FQ","BEST_FPERIOD_OVERRIDE=FQ","FILING_STATUS=OR","EQY_CONSOLIDATED=Y","Sort=A","Dates=H","DateFormat=P","Fill=—","Direction=H","UseDPDF=Y")</f>
        <v>#NAME?</v>
      </c>
      <c r="BW201" s="1" t="e">
        <f ca="1">_xll.BDH($C$178,"BPS_SEQUENTIAL_GROWTH","FQ3 2018","FQ3 2018","Currency=INR","Period=FQ","BEST_FPERIOD_OVERRIDE=FQ","FILING_STATUS=OR","EQY_CONSOLIDATED=Y","Sort=A","Dates=H","DateFormat=P","Fill=—","Direction=H","UseDPDF=Y")</f>
        <v>#NAME?</v>
      </c>
      <c r="BX201" s="1" t="e">
        <f ca="1">_xll.BDH($C$178,"CFO_SEQUENTIAL_GROWTH","FQ3 2018","FQ3 2018","Currency=INR","Period=FQ","BEST_FPERIOD_OVERRIDE=FQ","FILING_STATUS=OR","EQY_CONSOLIDATED=Y","Sort=A","Dates=H","DateFormat=P","Fill=—","Direction=H","UseDPDF=Y")</f>
        <v>#NAME?</v>
      </c>
      <c r="BY201" s="2" t="e">
        <f ca="1">_xll.BDH($C$178,"SHORT_AND_LONG_TERM_DEBT","FQ3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01" s="2" t="e">
        <f ca="1">_xll.BDH($C$178,"BS_ST_BORROW","FQ3 2018","FQ3 2018","Currency=INR","Period=FQ","BEST_FPERIOD_OVERRIDE=FQ","FILING_STATUS=OR","EQY_CONSOLIDATED=Y","SCALING_FORMAT=MLN","Sort=A","Dates=H","DateFormat=P","Fill=—","Direction=H","UseDPDF=Y")</f>
        <v>#NAME?</v>
      </c>
      <c r="CA201" s="2" t="e">
        <f ca="1">_xll.BDH($C$178,"BS_LT_BORROW","FQ3 2018","FQ3 2018","Currency=INR","Period=FQ","BEST_FPERIOD_OVERRIDE=FQ","FILING_STATUS=OR","EQY_CONSOLIDATED=Y","SCALING_FORMAT=MLN","Sort=A","Dates=H","DateFormat=P","Fill=—","Direction=H","UseDPDF=Y")</f>
        <v>#NAME?</v>
      </c>
      <c r="CB201" s="1" t="e">
        <f ca="1">_xll.BDH($C$178,"TOT_DEBT_TO_EBITDA","FQ3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01" s="1" t="e">
        <f ca="1">_xll.BDH($C$178,"NET_DEBT_TO_EBITDA","FQ3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01" s="1" t="e">
        <f ca="1">_xll.BDH($C$178,"TOTAL_DEBT_TO_EBIT","FQ3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01" s="1" t="e">
        <f ca="1">_xll.BDH($C$178,"NET_DEBT_TO_EBIT","FQ3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201" s="1" t="e">
        <f ca="1">_xll.BDH($C$178,"EBITDA_TO_INTEREST_EXPN","FQ3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01" s="1" t="e">
        <f ca="1">_xll.BDH($C$178,"COM_EQY_TO_TOT_ASSET","FQ3 2018","FQ3 2018","Currency=INR","Period=FQ","BEST_FPERIOD_OVERRIDE=FQ","FILING_STATUS=OR","EQY_CONSOLIDATED=Y","Sort=A","Dates=H","DateFormat=P","Fill=—","Direction=H","UseDPDF=Y")</f>
        <v>#NAME?</v>
      </c>
      <c r="CH201" s="1" t="e">
        <f ca="1">_xll.BDH($C$178,"LT_DEBT_TO_TOT_EQY","FQ3 2018","FQ3 2018","Currency=INR","Period=FQ","BEST_FPERIOD_OVERRIDE=FQ","FILING_STATUS=OR","EQY_CONSOLIDATED=Y","Sort=A","Dates=H","DateFormat=P","Fill=—","Direction=H","UseDPDF=Y")</f>
        <v>#NAME?</v>
      </c>
      <c r="CI201" s="1" t="e">
        <f ca="1">_xll.BDH($C$178,"LT_DEBT_TO_TOT_CAP","FQ3 2018","FQ3 2018","Currency=INR","Period=FQ","BEST_FPERIOD_OVERRIDE=FQ","FILING_STATUS=OR","EQY_CONSOLIDATED=Y","Sort=A","Dates=H","DateFormat=P","Fill=—","Direction=H","UseDPDF=Y")</f>
        <v>#NAME?</v>
      </c>
      <c r="CJ201" s="1" t="e">
        <f ca="1">_xll.BDH($C$178,"LT_DEBT_TO_TOT_ASSET","FQ3 2018","FQ3 2018","Currency=INR","Period=FQ","BEST_FPERIOD_OVERRIDE=FQ","FILING_STATUS=OR","EQY_CONSOLIDATED=Y","Sort=A","Dates=H","DateFormat=P","Fill=—","Direction=H","UseDPDF=Y")</f>
        <v>#NAME?</v>
      </c>
      <c r="CK201" s="1" t="e">
        <f ca="1">_xll.BDH($C$178,"TOT_DEBT_TO_TOT_EQY","FQ3 2018","FQ3 2018","Currency=INR","Period=FQ","BEST_FPERIOD_OVERRIDE=FQ","FILING_STATUS=OR","EQY_CONSOLIDATED=Y","Sort=A","Dates=H","DateFormat=P","Fill=—","Direction=H","UseDPDF=Y")</f>
        <v>#NAME?</v>
      </c>
      <c r="CL201" s="1" t="e">
        <f ca="1">_xll.BDH($C$178,"TOT_DEBT_TO_TOT_CAP","FQ3 2018","FQ3 2018","Currency=INR","Period=FQ","BEST_FPERIOD_OVERRIDE=FQ","FILING_STATUS=OR","EQY_CONSOLIDATED=Y","Sort=A","Dates=H","DateFormat=P","Fill=—","Direction=H","UseDPDF=Y")</f>
        <v>#NAME?</v>
      </c>
      <c r="CM201" s="1" t="e">
        <f ca="1">_xll.BDH($C$178,"TOT_DEBT_TO_TOT_ASSET","FQ3 2018","FQ3 2018","Currency=INR","Period=FQ","BEST_FPERIOD_OVERRIDE=FQ","FILING_STATUS=OR","EQY_CONSOLIDATED=Y","Sort=A","Dates=H","DateFormat=P","Fill=—","Direction=H","UseDPDF=Y")</f>
        <v>#NAME?</v>
      </c>
      <c r="CN201" s="1" t="e">
        <f ca="1">_xll.BDH($C$178,"NET_DEBT_TO_SHRHLDR_EQTY","FQ3 2018","FQ3 2018","Currency=INR","Period=FQ","BEST_FPERIOD_OVERRIDE=FQ","FILING_STATUS=OR","EQY_CONSOLIDATED=Y","Sort=A","Dates=H","DateFormat=P","Fill=—","Direction=H","UseDPDF=Y")</f>
        <v>#NAME?</v>
      </c>
      <c r="CO201" s="1" t="e">
        <f ca="1">_xll.BDH($C$178,"NET_DEBT_%_CAPITAL","FQ3 2018","FQ3 2018","Currency=INR","Period=FQ","BEST_FPERIOD_OVERRIDE=FQ","FILING_STATUS=OR","EQY_CONSOLIDATED=Y","Sort=A","Dates=H","DateFormat=P","Fill=—","Direction=H","UseDPDF=Y")</f>
        <v>#NAME?</v>
      </c>
      <c r="CP201" s="2" t="e">
        <f ca="1">_xll.BDH($C$178,"EBITDA","FQ3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01" s="2" t="e">
        <f ca="1">_xll.BDH($C$178,"EBITDA_AFTER_CAPEX","FQ3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01" s="2" t="e">
        <f ca="1">_xll.BDH($C$178,"IS_OPER_INC","FQ3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01" s="1" t="e">
        <f ca="1">_xll.BDH($C$178,"CASH_RATIO","FQ3 2018","FQ3 2018","Currency=INR","Period=FQ","BEST_FPERIOD_OVERRIDE=FQ","FILING_STATUS=OR","EQY_CONSOLIDATED=Y","Sort=A","Dates=H","DateFormat=P","Fill=—","Direction=H","UseDPDF=Y")</f>
        <v>#NAME?</v>
      </c>
      <c r="CT201" s="1" t="e">
        <f ca="1">_xll.BDH($C$178,"CUR_RATIO","FQ3 2018","FQ3 2018","Currency=INR","Period=FQ","BEST_FPERIOD_OVERRIDE=FQ","FILING_STATUS=OR","EQY_CONSOLIDATED=Y","Sort=A","Dates=H","DateFormat=P","Fill=—","Direction=H","UseDPDF=Y")</f>
        <v>#NAME?</v>
      </c>
      <c r="CU201" s="1" t="e">
        <f ca="1">_xll.BDH($C$178,"QUICK_RATIO","FQ3 2018","FQ3 2018","Currency=INR","Period=FQ","BEST_FPERIOD_OVERRIDE=FQ","FILING_STATUS=OR","EQY_CONSOLIDATED=Y","Sort=A","Dates=H","DateFormat=P","Fill=—","Direction=H","UseDPDF=Y")</f>
        <v>#NAME?</v>
      </c>
      <c r="CV201" s="1" t="e">
        <f ca="1">_xll.BDH($C$178,"ALTMAN_Z_SCORE","FQ3 2018","FQ3 2018","Currency=INR","Period=FQ","BEST_FPERIOD_OVERRIDE=FQ","FILING_STATUS=OR","EQY_CONSOLIDATED=Y","Sort=A","Dates=H","DateFormat=P","Fill=—","Direction=H","UseDPDF=Y")</f>
        <v>#NAME?</v>
      </c>
      <c r="CW201" s="3" t="e">
        <f ca="1">_xll.BDH($C$178,"ACCT_RCV_TURN","FQ3 2018","FQ3 2018","Currency=INR","Period=FQ","BEST_FPERIOD_OVERRIDE=FQ","FILING_STATUS=OR","EQY_CONSOLIDATED=Y","FA_ADJUSTED=GAAP","Sort=A","Dates=H","DateFormat=P","Fill=—","Direction=H","UseDPDF=Y")</f>
        <v>#NAME?</v>
      </c>
      <c r="CX201" s="1" t="e">
        <f ca="1">_xll.BDH($C$178,"ACCT_RCV_DAYS","FQ3 2018","FQ3 2018","Currency=INR","Period=FQ","BEST_FPERIOD_OVERRIDE=FQ","FILING_STATUS=OR","EQY_CONSOLIDATED=Y","FA_ADJUSTED=GAAP","Sort=A","Dates=H","DateFormat=P","Fill=—","Direction=H","UseDPDF=Y")</f>
        <v>#NAME?</v>
      </c>
      <c r="CY201" s="3" t="e">
        <f ca="1">_xll.BDH($C$178,"INVENT_TURN","FQ3 2018","FQ3 2018","Currency=INR","Period=FQ","BEST_FPERIOD_OVERRIDE=FQ","FILING_STATUS=OR","EQY_CONSOLIDATED=Y","FA_ADJUSTED=GAAP","Sort=A","Dates=H","DateFormat=P","Fill=—","Direction=H","UseDPDF=Y")</f>
        <v>#NAME?</v>
      </c>
      <c r="CZ201" s="1" t="e">
        <f ca="1">_xll.BDH($C$178,"INVENT_DAYS","FQ3 2018","FQ3 2018","Currency=INR","Period=FQ","BEST_FPERIOD_OVERRIDE=FQ","FILING_STATUS=OR","EQY_CONSOLIDATED=Y","FA_ADJUSTED=GAAP","Sort=A","Dates=H","DateFormat=P","Fill=—","Direction=H","UseDPDF=Y")</f>
        <v>#NAME?</v>
      </c>
      <c r="DA201" s="3" t="e">
        <f ca="1">_xll.BDH($C$178,"ACCOUNTS_PAYABLE_TURNOVER","FQ3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01" s="1" t="e">
        <f ca="1">_xll.BDH($C$178,"ACCOUNTS_PAYABLE_TURNOVER_DAYS","FQ3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01" s="3" t="e">
        <f ca="1">_xll.BDH($C$178,"CASH_CONVERSION_CYCLE","FQ3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01" s="3" t="e">
        <f ca="1">_xll.BDH($C$178,"INV_TO_CASH_DAYS","FQ3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201" s="4" t="e">
        <f ca="1">_xll.BDH($C$178,"BS_INVENTORIES","FQ3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201" s="2" t="e">
        <f ca="1">_xll.BDH($C$178,"INVTRY_RAW_MATERIALS","FQ3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01" s="2" t="e">
        <f ca="1">_xll.BDH($C$178,"INVTRY_IN_PROGRESS","FQ3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01" s="2" t="e">
        <f ca="1">_xll.BDH($C$178,"INVTRY_FINISHED_GOODS","FQ3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01" s="2" t="e">
        <f ca="1">_xll.BDH($C$178,"BS_OTHER_INV","FQ3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02" spans="1:113" x14ac:dyDescent="0.3">
      <c r="A202" s="6"/>
      <c r="B202" s="6"/>
      <c r="C202" s="6"/>
      <c r="D202" s="6"/>
      <c r="E202" t="s">
        <v>7</v>
      </c>
      <c r="F202" t="e">
        <f ca="1">_xll.BDH($C$178,"RETURN_COM_EQY","FQ4 2018","FQ4 2018","Currency=INR","Period=FQ","BEST_FPERIOD_OVERRIDE=FQ","FILING_STATUS=OR","EQY_CONSOLIDATED=Y","FA_ADJUSTED=GAAP","Sort=A","Dates=H","DateFormat=P","Fill=—","Direction=H","UseDPDF=Y")</f>
        <v>#NAME?</v>
      </c>
      <c r="G202" t="e">
        <f ca="1">_xll.BDH($C$178,"RETURN_ON_ASSET","FQ4 2018","FQ4 2018","Currency=INR","Period=FQ","BEST_FPERIOD_OVERRIDE=FQ","FILING_STATUS=OR","EQY_CONSOLIDATED=Y","FA_ADJUSTED=GAAP","Sort=A","Dates=H","DateFormat=P","Fill=—","Direction=H","UseDPDF=Y")</f>
        <v>#NAME?</v>
      </c>
      <c r="H202" t="e">
        <f ca="1">_xll.BDH($C$178,"RETURN_ON_CAP","FQ4 2018","FQ4 2018","Currency=INR","Period=FQ","BEST_FPERIOD_OVERRIDE=FQ","FILING_STATUS=OR","EQY_CONSOLIDATED=Y","FA_ADJUSTED=GAAP","Sort=A","Dates=H","DateFormat=P","Fill=—","Direction=H","UseDPDF=Y")</f>
        <v>#NAME?</v>
      </c>
      <c r="I202" t="e">
        <f ca="1">_xll.BDH($C$178,"RETURN_ON_INV_CAPITAL","FQ4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02" t="e">
        <f ca="1">_xll.BDH($C$178,"EBITDA_TO_REVENUE","FQ4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202" t="e">
        <f ca="1">_xll.BDH($C$178,"OPER_MARGIN","FQ4 2018","FQ4 2018","Currency=INR","Period=FQ","BEST_FPERIOD_OVERRIDE=FQ","FILING_STATUS=OR","EQY_CONSOLIDATED=Y","FA_ADJUSTED=GAAP","Sort=A","Dates=H","DateFormat=P","Fill=—","Direction=H","UseDPDF=Y")</f>
        <v>#NAME?</v>
      </c>
      <c r="L202" t="e">
        <f ca="1">_xll.BDH($C$178,"INCREMENTAL_OPERATING_MARGIN","FQ4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02" t="e">
        <f ca="1">_xll.BDH($C$178,"PRETAX_INC_TO_NET_SALES","FQ4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02" t="e">
        <f ca="1">_xll.BDH($C$178,"INC_BEF_XO_ITEMS_TO_NET_SALES","FQ4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02" t="e">
        <f ca="1">_xll.BDH($C$178,"PROF_MARGIN","FQ4 2018","FQ4 2018","Currency=INR","Period=FQ","BEST_FPERIOD_OVERRIDE=FQ","FILING_STATUS=OR","EQY_CONSOLIDATED=Y","FA_ADJUSTED=GAAP","Sort=A","Dates=H","DateFormat=P","Fill=—","Direction=H","UseDPDF=Y")</f>
        <v>#NAME?</v>
      </c>
      <c r="P202" t="e">
        <f ca="1">_xll.BDH($C$178,"NET_INCOME_TO_COMMON_MARGIN","FQ4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02" t="e">
        <f ca="1">_xll.BDH($C$178,"EFF_TAX_RATE","FQ4 2018","FQ4 2018","Currency=INR","Period=FQ","BEST_FPERIOD_OVERRIDE=FQ","FILING_STATUS=OR","EQY_CONSOLIDATED=Y","FA_ADJUSTED=GAAP","Sort=A","Dates=H","DateFormat=P","Fill=—","Direction=H","UseDPDF=Y")</f>
        <v>#NAME?</v>
      </c>
      <c r="R202" t="e">
        <f ca="1">_xll.BDH($C$178,"DVD_PAYOUT_RATIO","FQ4 2018","FQ4 2018","Currency=INR","Period=FQ","BEST_FPERIOD_OVERRIDE=FQ","FILING_STATUS=OR","EQY_CONSOLIDATED=Y","FA_ADJUSTED=GAAP","Sort=A","Dates=H","DateFormat=P","Fill=—","Direction=H","UseDPDF=Y")</f>
        <v>#NAME?</v>
      </c>
      <c r="S202" t="e">
        <f ca="1">_xll.BDH($C$178,"SUSTAIN_GROWTH_RT","FQ4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202" s="1" t="e">
        <f ca="1">_xll.BDH($C$178,"SALES_GROWTH","FQ4 2018","FQ4 2018","Currency=INR","Period=FQ","BEST_FPERIOD_OVERRIDE=FQ","FILING_STATUS=OR","EQY_CONSOLIDATED=Y","FA_ADJUSTED=GAAP","Sort=A","Dates=H","DateFormat=P","Fill=—","Direction=H","UseDPDF=Y")</f>
        <v>#NAME?</v>
      </c>
      <c r="U202" s="1" t="e">
        <f ca="1">_xll.BDH($C$178,"EBITDA_GROWTH","FQ4 2018","FQ4 2018","Currency=INR","Period=FQ","BEST_FPERIOD_OVERRIDE=FQ","FILING_STATUS=OR","EQY_CONSOLIDATED=Y","FA_ADJUSTED=GAAP","Sort=A","Dates=H","DateFormat=P","Fill=—","Direction=H","UseDPDF=Y")</f>
        <v>#NAME?</v>
      </c>
      <c r="V202" s="1" t="e">
        <f ca="1">_xll.BDH($C$178,"OPER_INC_GROWTH","FQ4 2018","FQ4 2018","Currency=INR","Period=FQ","BEST_FPERIOD_OVERRIDE=FQ","FILING_STATUS=OR","EQY_CONSOLIDATED=Y","FA_ADJUSTED=GAAP","Sort=A","Dates=H","DateFormat=P","Fill=—","Direction=H","UseDPDF=Y")</f>
        <v>#NAME?</v>
      </c>
      <c r="W202" s="1" t="e">
        <f ca="1">_xll.BDH($C$178,"EARN_FOR_COM_GROWTH","FQ4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02" s="1" t="e">
        <f ca="1">_xll.BDH($C$178,"DILUTED_EPS_AFT_XO_ITEMS_GROWTH","FQ4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02" s="1" t="e">
        <f ca="1">_xll.BDH($C$178,"DIVIDEND_PER_SHARE_1_YEAR_GROWTH","FQ4 2018","FQ4 2018","Currency=INR","Period=FQ","BEST_FPERIOD_OVERRIDE=FQ","FILING_STATUS=OR","EQY_CONSOLIDATED=Y","Sort=A","Dates=H","DateFormat=P","Fill=—","Direction=H","UseDPDF=Y")</f>
        <v>#NAME?</v>
      </c>
      <c r="Z202" s="1" t="e">
        <f ca="1">_xll.BDH($C$178,"ACCOUNTS_RECEIVABLE_GROWTH","FQ4 2018","FQ4 2018","Currency=INR","Period=FQ","BEST_FPERIOD_OVERRIDE=FQ","FILING_STATUS=OR","EQY_CONSOLIDATED=Y","Sort=A","Dates=H","DateFormat=P","Fill=—","Direction=H","UseDPDF=Y")</f>
        <v>#NAME?</v>
      </c>
      <c r="AA202" s="1" t="e">
        <f ca="1">_xll.BDH($C$178,"INVENTORY_GROWTH","FQ4 2018","FQ4 2018","Currency=INR","Period=FQ","BEST_FPERIOD_OVERRIDE=FQ","FILING_STATUS=OR","EQY_CONSOLIDATED=Y","Sort=A","Dates=H","DateFormat=P","Fill=—","Direction=H","UseDPDF=Y")</f>
        <v>#NAME?</v>
      </c>
      <c r="AB202" s="1" t="e">
        <f ca="1">_xll.BDH($C$178,"NET_FIXED_ASSETS_1_YEAR_GROWTH","FQ4 2018","FQ4 2018","Currency=INR","Period=FQ","BEST_FPERIOD_OVERRIDE=FQ","FILING_STATUS=OR","EQY_CONSOLIDATED=Y","Sort=A","Dates=H","DateFormat=P","Fill=—","Direction=H","UseDPDF=Y")</f>
        <v>#NAME?</v>
      </c>
      <c r="AC202" s="1" t="e">
        <f ca="1">_xll.BDH($C$178,"ASSET_GROWTH","FQ4 2018","FQ4 2018","Currency=INR","Period=FQ","BEST_FPERIOD_OVERRIDE=FQ","FILING_STATUS=OR","EQY_CONSOLIDATED=Y","Sort=A","Dates=H","DateFormat=P","Fill=—","Direction=H","UseDPDF=Y")</f>
        <v>#NAME?</v>
      </c>
      <c r="AD202" s="1" t="e">
        <f ca="1">_xll.BDH($C$178,"MODIFIED_WORK_CAP_GROWTH","FQ4 2018","FQ4 2018","Currency=INR","Period=FQ","BEST_FPERIOD_OVERRIDE=FQ","FILING_STATUS=OR","EQY_CONSOLIDATED=Y","Sort=A","Dates=H","DateFormat=P","Fill=—","Direction=H","UseDPDF=Y")</f>
        <v>#NAME?</v>
      </c>
      <c r="AE202" s="1" t="e">
        <f ca="1">_xll.BDH($C$178,"WORK_CAP_GROWTH","FQ4 2018","FQ4 2018","Currency=INR","Period=FQ","BEST_FPERIOD_OVERRIDE=FQ","FILING_STATUS=OR","EQY_CONSOLIDATED=Y","Sort=A","Dates=H","DateFormat=P","Fill=—","Direction=H","UseDPDF=Y")</f>
        <v>#NAME?</v>
      </c>
      <c r="AF202" s="1" t="e">
        <f ca="1">_xll.BDH($C$178,"ACCOUNTS_PAYABLE_GROWTH_1YR","FQ4 2018","FQ4 2018","Currency=INR","Period=FQ","BEST_FPERIOD_OVERRIDE=FQ","FILING_STATUS=OR","EQY_CONSOLIDATED=Y","Sort=A","Dates=H","DateFormat=P","Fill=—","Direction=H","UseDPDF=Y")</f>
        <v>#NAME?</v>
      </c>
      <c r="AG202" s="1" t="e">
        <f ca="1">_xll.BDH($C$178,"SHORT_TERM_DEBT_1_YEAR_GROWTH","FQ4 2018","FQ4 2018","Currency=INR","Period=FQ","BEST_FPERIOD_OVERRIDE=FQ","FILING_STATUS=OR","EQY_CONSOLIDATED=Y","Sort=A","Dates=H","DateFormat=P","Fill=—","Direction=H","UseDPDF=Y")</f>
        <v>#NAME?</v>
      </c>
      <c r="AH202" s="1" t="e">
        <f ca="1">_xll.BDH($C$178,"TOTAL_DEBT_1_YEAR_GROWTH","FQ4 2018","FQ4 2018","Currency=INR","Period=FQ","BEST_FPERIOD_OVERRIDE=FQ","FILING_STATUS=OR","EQY_CONSOLIDATED=Y","Sort=A","Dates=H","DateFormat=P","Fill=—","Direction=H","UseDPDF=Y")</f>
        <v>#NAME?</v>
      </c>
      <c r="AI202" s="1" t="e">
        <f ca="1">_xll.BDH($C$178,"TOTAL_EQUITY_1_YEAR_GROWTH","FQ4 2018","FQ4 2018","Currency=INR","Period=FQ","BEST_FPERIOD_OVERRIDE=FQ","FILING_STATUS=OR","EQY_CONSOLIDATED=Y","Sort=A","Dates=H","DateFormat=P","Fill=—","Direction=H","UseDPDF=Y")</f>
        <v>#NAME?</v>
      </c>
      <c r="AJ202" s="1" t="e">
        <f ca="1">_xll.BDH($C$178,"GROWTH_IN_CAP","FQ4 2018","FQ4 2018","Currency=INR","Period=FQ","BEST_FPERIOD_OVERRIDE=FQ","FILING_STATUS=OR","EQY_CONSOLIDATED=Y","Sort=A","Dates=H","DateFormat=P","Fill=—","Direction=H","UseDPDF=Y")</f>
        <v>#NAME?</v>
      </c>
      <c r="AK202" s="1" t="e">
        <f ca="1">_xll.BDH($C$178,"BVPS_GROWTH","FQ4 2018","FQ4 2018","Currency=INR","Period=FQ","BEST_FPERIOD_OVERRIDE=FQ","FILING_STATUS=OR","EQY_CONSOLIDATED=Y","Sort=A","Dates=H","DateFormat=P","Fill=—","Direction=H","UseDPDF=Y")</f>
        <v>#NAME?</v>
      </c>
      <c r="AL202" s="1" t="e">
        <f ca="1">_xll.BDH($C$178,"CASH_FLOW_GROWTH","FQ4 2018","FQ4 2018","Currency=INR","Period=FQ","BEST_FPERIOD_OVERRIDE=FQ","FILING_STATUS=OR","EQY_CONSOLIDATED=Y","Sort=A","Dates=H","DateFormat=P","Fill=—","Direction=H","UseDPDF=Y")</f>
        <v>#NAME?</v>
      </c>
      <c r="AM202" s="1" t="e">
        <f ca="1">_xll.BDH($C$178,"GEO_GROW_NET_SALES","FQ4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02" s="1" t="e">
        <f ca="1">_xll.BDH($C$178,"GEO_GROW_EBITDA","FQ4 2018","FQ4 2018","Currency=INR","Period=FQ","BEST_FPERIOD_OVERRIDE=FQ","FILING_STATUS=OR","EQY_CONSOLIDATED=Y","FA_ADJUSTED=GAAP","Sort=A","Dates=H","DateFormat=P","Fill=—","Direction=H","UseDPDF=Y")</f>
        <v>#NAME?</v>
      </c>
      <c r="AO202" s="1" t="e">
        <f ca="1">_xll.BDH($C$178,"GEO_GROW_OPER_INC","FQ4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02" s="1" t="e">
        <f ca="1">_xll.BDH($C$178,"NET_INCOME_TO_COMMON_5_YR_GROWTH","FQ4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02" s="1" t="e">
        <f ca="1">_xll.BDH($C$178,"5Y_GEO_GROWTH_DILUTED_EPS","FQ4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02" s="1" t="e">
        <f ca="1">_xll.BDH($C$178,"GEO_GROW_DVD_PER_SH","FQ4 2018","FQ4 2018","Currency=INR","Period=FQ","BEST_FPERIOD_OVERRIDE=FQ","FILING_STATUS=OR","EQY_CONSOLIDATED=Y","Sort=A","Dates=H","DateFormat=P","Fill=—","Direction=H","UseDPDF=Y")</f>
        <v>#NAME?</v>
      </c>
      <c r="AS202" s="1" t="e">
        <f ca="1">_xll.BDH($C$178,"ACCOUNTS_RECEIVABLE_5_YR_GROWTH","FQ4 2018","FQ4 2018","Currency=INR","Period=FQ","BEST_FPERIOD_OVERRIDE=FQ","FILING_STATUS=OR","EQY_CONSOLIDATED=Y","Sort=A","Dates=H","DateFormat=P","Fill=—","Direction=H","UseDPDF=Y")</f>
        <v>#NAME?</v>
      </c>
      <c r="AT202" s="1" t="e">
        <f ca="1">_xll.BDH($C$178,"INVENTORY_5_YEAR_GROWTH","FQ4 2018","FQ4 2018","Currency=INR","Period=FQ","BEST_FPERIOD_OVERRIDE=FQ","FILING_STATUS=OR","EQY_CONSOLIDATED=Y","Sort=A","Dates=H","DateFormat=P","Fill=—","Direction=H","UseDPDF=Y")</f>
        <v>#NAME?</v>
      </c>
      <c r="AU202" s="1" t="e">
        <f ca="1">_xll.BDH($C$178,"NET_FIXED_ASSETS_5_YEAR_GROWTH","FQ4 2018","FQ4 2018","Currency=INR","Period=FQ","BEST_FPERIOD_OVERRIDE=FQ","FILING_STATUS=OR","EQY_CONSOLIDATED=Y","Sort=A","Dates=H","DateFormat=P","Fill=—","Direction=H","UseDPDF=Y")</f>
        <v>#NAME?</v>
      </c>
      <c r="AV202" s="1" t="e">
        <f ca="1">_xll.BDH($C$178,"GEO_GROW_TOT_ASSET","FQ4 2018","FQ4 2018","Currency=INR","Period=FQ","BEST_FPERIOD_OVERRIDE=FQ","FILING_STATUS=OR","EQY_CONSOLIDATED=Y","Sort=A","Dates=H","DateFormat=P","Fill=—","Direction=H","UseDPDF=Y")</f>
        <v>#NAME?</v>
      </c>
      <c r="AW202" s="1" t="e">
        <f ca="1">_xll.BDH($C$178,"MODIFIED_WORKING_CPTL_5YR_GRWTH","FQ4 2018","FQ4 2018","Currency=INR","Period=FQ","BEST_FPERIOD_OVERRIDE=FQ","FILING_STATUS=OR","EQY_CONSOLIDATED=Y","Sort=A","Dates=H","DateFormat=P","Fill=—","Direction=H","UseDPDF=Y")</f>
        <v>#NAME?</v>
      </c>
      <c r="AX202" s="1" t="e">
        <f ca="1">_xll.BDH($C$178,"WORKING_CAPITAL_5_YEAR_GROWTH","FQ4 2018","FQ4 2018","Currency=INR","Period=FQ","BEST_FPERIOD_OVERRIDE=FQ","FILING_STATUS=OR","EQY_CONSOLIDATED=Y","Sort=A","Dates=H","DateFormat=P","Fill=—","Direction=H","UseDPDF=Y")</f>
        <v>#NAME?</v>
      </c>
      <c r="AY202" s="1" t="e">
        <f ca="1">_xll.BDH($C$178,"ACCOUNTS_PAYABLE_5_YEAR_GROWTH","FQ4 2018","FQ4 2018","Currency=INR","Period=FQ","BEST_FPERIOD_OVERRIDE=FQ","FILING_STATUS=OR","EQY_CONSOLIDATED=Y","Sort=A","Dates=H","DateFormat=P","Fill=—","Direction=H","UseDPDF=Y")</f>
        <v>#NAME?</v>
      </c>
      <c r="AZ202" s="1" t="e">
        <f ca="1">_xll.BDH($C$178,"SHORT_TERM_DEBT_5_YEAR_GROWTH","FQ4 2018","FQ4 2018","Currency=INR","Period=FQ","BEST_FPERIOD_OVERRIDE=FQ","FILING_STATUS=OR","EQY_CONSOLIDATED=Y","Sort=A","Dates=H","DateFormat=P","Fill=—","Direction=H","UseDPDF=Y")</f>
        <v>#NAME?</v>
      </c>
      <c r="BA202" s="1" t="e">
        <f ca="1">_xll.BDH($C$178,"TOTAL_DEBT_5_YEAR_GROWTH","FQ4 2018","FQ4 2018","Currency=INR","Period=FQ","BEST_FPERIOD_OVERRIDE=FQ","FILING_STATUS=OR","EQY_CONSOLIDATED=Y","Sort=A","Dates=H","DateFormat=P","Fill=—","Direction=H","UseDPDF=Y")</f>
        <v>#NAME?</v>
      </c>
      <c r="BB202" s="1" t="e">
        <f ca="1">_xll.BDH($C$178,"GEO_GROW_TOT_SHRHLDR_EQY","FQ4 2018","FQ4 2018","Currency=INR","Period=FQ","BEST_FPERIOD_OVERRIDE=FQ","FILING_STATUS=OR","EQY_CONSOLIDATED=Y","Sort=A","Dates=H","DateFormat=P","Fill=—","Direction=H","UseDPDF=Y")</f>
        <v>#NAME?</v>
      </c>
      <c r="BC202" s="1" t="e">
        <f ca="1">_xll.BDH($C$178,"TOTAL_CAPITAL_5_YEAR_GROWTH","FQ4 2018","FQ4 2018","Currency=INR","Period=FQ","BEST_FPERIOD_OVERRIDE=FQ","FILING_STATUS=OR","EQY_CONSOLIDATED=Y","Sort=A","Dates=H","DateFormat=P","Fill=—","Direction=H","UseDPDF=Y")</f>
        <v>#NAME?</v>
      </c>
      <c r="BD202" s="1" t="e">
        <f ca="1">_xll.BDH($C$178,"GEO_GROW_BOOK_VAL","FQ4 2018","FQ4 2018","Currency=INR","Period=FQ","BEST_FPERIOD_OVERRIDE=FQ","FILING_STATUS=OR","EQY_CONSOLIDATED=Y","Sort=A","Dates=H","DateFormat=P","Fill=—","Direction=H","UseDPDF=Y")</f>
        <v>#NAME?</v>
      </c>
      <c r="BE202" s="1" t="e">
        <f ca="1">_xll.BDH($C$178,"GEO_GROW_CASH_OPER_ACT","FQ4 2018","FQ4 2018","Currency=INR","Period=FQ","BEST_FPERIOD_OVERRIDE=FQ","FILING_STATUS=OR","EQY_CONSOLIDATED=Y","Sort=A","Dates=H","DateFormat=P","Fill=—","Direction=H","UseDPDF=Y")</f>
        <v>#NAME?</v>
      </c>
      <c r="BF202" s="1" t="e">
        <f ca="1">_xll.BDH($C$178,"REVENUE_SEQUENTIAL_GROWTH","FQ4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02" s="1" t="e">
        <f ca="1">_xll.BDH($C$178,"EBITDA_SEQUENTIAL_GROWTH","FQ4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02" s="1" t="e">
        <f ca="1">_xll.BDH($C$178,"OPERATING_INCOME_SEQ_GROWTH","FQ4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02" s="1" t="e">
        <f ca="1">_xll.BDH($C$178,"NET_INCOME_TO_COMMON_SEQ_GROWTH","FQ4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02" s="1" t="e">
        <f ca="1">_xll.BDH($C$178,"EPS_DILUTED_SEQUENTIAL_GROWTH","FQ4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02" s="1" t="e">
        <f ca="1">_xll.BDH($C$178,"DPS_SEQUENTIAL_GROWTH","FQ4 2018","FQ4 2018","Currency=INR","Period=FQ","BEST_FPERIOD_OVERRIDE=FQ","FILING_STATUS=OR","EQY_CONSOLIDATED=Y","Sort=A","Dates=H","DateFormat=P","Fill=—","Direction=H","UseDPDF=Y")</f>
        <v>#NAME?</v>
      </c>
      <c r="BL202" s="1" t="e">
        <f ca="1">_xll.BDH($C$178,"ACCOUNTS_RECEIVABLE_SEQ_GROWTH","FQ4 2018","FQ4 2018","Currency=INR","Period=FQ","BEST_FPERIOD_OVERRIDE=FQ","FILING_STATUS=OR","EQY_CONSOLIDATED=Y","Sort=A","Dates=H","DateFormat=P","Fill=—","Direction=H","UseDPDF=Y")</f>
        <v>#NAME?</v>
      </c>
      <c r="BM202" s="1" t="e">
        <f ca="1">_xll.BDH($C$178,"INVENTORY_SEQUENTIAL_GROWTH","FQ4 2018","FQ4 2018","Currency=INR","Period=FQ","BEST_FPERIOD_OVERRIDE=FQ","FILING_STATUS=OR","EQY_CONSOLIDATED=Y","Sort=A","Dates=H","DateFormat=P","Fill=—","Direction=H","UseDPDF=Y")</f>
        <v>#NAME?</v>
      </c>
      <c r="BN202" s="1" t="e">
        <f ca="1">_xll.BDH($C$178,"FIXED_ASSETS_SEQUENTIAL_GROWTH","FQ4 2018","FQ4 2018","Currency=INR","Period=FQ","BEST_FPERIOD_OVERRIDE=FQ","FILING_STATUS=OR","EQY_CONSOLIDATED=Y","Sort=A","Dates=H","DateFormat=P","Fill=—","Direction=H","UseDPDF=Y")</f>
        <v>#NAME?</v>
      </c>
      <c r="BO202" s="1" t="e">
        <f ca="1">_xll.BDH($C$178,"TOTAL_ASSETS_SEQUENTIAL_GROWTH","FQ4 2018","FQ4 2018","Currency=INR","Period=FQ","BEST_FPERIOD_OVERRIDE=FQ","FILING_STATUS=OR","EQY_CONSOLIDATED=Y","Sort=A","Dates=H","DateFormat=P","Fill=—","Direction=H","UseDPDF=Y")</f>
        <v>#NAME?</v>
      </c>
      <c r="BP202" s="1" t="e">
        <f ca="1">_xll.BDH($C$178,"MODIFIED_WORKING_CPTL_SEQ_GRWTH","FQ4 2018","FQ4 2018","Currency=INR","Period=FQ","BEST_FPERIOD_OVERRIDE=FQ","FILING_STATUS=OR","EQY_CONSOLIDATED=Y","Sort=A","Dates=H","DateFormat=P","Fill=—","Direction=H","UseDPDF=Y")</f>
        <v>#NAME?</v>
      </c>
      <c r="BQ202" s="1" t="e">
        <f ca="1">_xll.BDH($C$178,"WORKING_CAPITAL_SEQ_GROWTH","FQ4 2018","FQ4 2018","Currency=INR","Period=FQ","BEST_FPERIOD_OVERRIDE=FQ","FILING_STATUS=OR","EQY_CONSOLIDATED=Y","Sort=A","Dates=H","DateFormat=P","Fill=—","Direction=H","UseDPDF=Y")</f>
        <v>#NAME?</v>
      </c>
      <c r="BR202" s="1" t="e">
        <f ca="1">_xll.BDH($C$178,"ACCOUNTS_PAYABLE_SEQ_GROWTH","FQ4 2018","FQ4 2018","Currency=INR","Period=FQ","BEST_FPERIOD_OVERRIDE=FQ","FILING_STATUS=OR","EQY_CONSOLIDATED=Y","Sort=A","Dates=H","DateFormat=P","Fill=—","Direction=H","UseDPDF=Y")</f>
        <v>#NAME?</v>
      </c>
      <c r="BS202" s="1" t="e">
        <f ca="1">_xll.BDH($C$178,"ST_DEBT_SEQUENTIAL_GROWTH","FQ4 2018","FQ4 2018","Currency=INR","Period=FQ","BEST_FPERIOD_OVERRIDE=FQ","FILING_STATUS=OR","EQY_CONSOLIDATED=Y","Sort=A","Dates=H","DateFormat=P","Fill=—","Direction=H","UseDPDF=Y")</f>
        <v>#NAME?</v>
      </c>
      <c r="BT202" s="1" t="e">
        <f ca="1">_xll.BDH($C$178,"TOTAL_DEBT_SEQUENTIAL_GROWTH","FQ4 2018","FQ4 2018","Currency=INR","Period=FQ","BEST_FPERIOD_OVERRIDE=FQ","FILING_STATUS=OR","EQY_CONSOLIDATED=Y","Sort=A","Dates=H","DateFormat=P","Fill=—","Direction=H","UseDPDF=Y")</f>
        <v>#NAME?</v>
      </c>
      <c r="BU202" s="1" t="e">
        <f ca="1">_xll.BDH($C$178,"TOTAL_EQUITY_SEQUENTIAL_GROWTH","FQ4 2018","FQ4 2018","Currency=INR","Period=FQ","BEST_FPERIOD_OVERRIDE=FQ","FILING_STATUS=OR","EQY_CONSOLIDATED=Y","Sort=A","Dates=H","DateFormat=P","Fill=—","Direction=H","UseDPDF=Y")</f>
        <v>#NAME?</v>
      </c>
      <c r="BV202" s="1" t="e">
        <f ca="1">_xll.BDH($C$178,"TOTAL_CAPITAL_SEQUENTIAL_GROWTH","FQ4 2018","FQ4 2018","Currency=INR","Period=FQ","BEST_FPERIOD_OVERRIDE=FQ","FILING_STATUS=OR","EQY_CONSOLIDATED=Y","Sort=A","Dates=H","DateFormat=P","Fill=—","Direction=H","UseDPDF=Y")</f>
        <v>#NAME?</v>
      </c>
      <c r="BW202" s="1" t="e">
        <f ca="1">_xll.BDH($C$178,"BPS_SEQUENTIAL_GROWTH","FQ4 2018","FQ4 2018","Currency=INR","Period=FQ","BEST_FPERIOD_OVERRIDE=FQ","FILING_STATUS=OR","EQY_CONSOLIDATED=Y","Sort=A","Dates=H","DateFormat=P","Fill=—","Direction=H","UseDPDF=Y")</f>
        <v>#NAME?</v>
      </c>
      <c r="BX202" s="1" t="e">
        <f ca="1">_xll.BDH($C$178,"CFO_SEQUENTIAL_GROWTH","FQ4 2018","FQ4 2018","Currency=INR","Period=FQ","BEST_FPERIOD_OVERRIDE=FQ","FILING_STATUS=OR","EQY_CONSOLIDATED=Y","Sort=A","Dates=H","DateFormat=P","Fill=—","Direction=H","UseDPDF=Y")</f>
        <v>#NAME?</v>
      </c>
      <c r="BY202" s="2" t="e">
        <f ca="1">_xll.BDH($C$178,"SHORT_AND_LONG_TERM_DEBT","FQ4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02" s="2" t="e">
        <f ca="1">_xll.BDH($C$178,"BS_ST_BORROW","FQ4 2018","FQ4 2018","Currency=INR","Period=FQ","BEST_FPERIOD_OVERRIDE=FQ","FILING_STATUS=OR","EQY_CONSOLIDATED=Y","SCALING_FORMAT=MLN","Sort=A","Dates=H","DateFormat=P","Fill=—","Direction=H","UseDPDF=Y")</f>
        <v>#NAME?</v>
      </c>
      <c r="CA202" s="2" t="e">
        <f ca="1">_xll.BDH($C$178,"BS_LT_BORROW","FQ4 2018","FQ4 2018","Currency=INR","Period=FQ","BEST_FPERIOD_OVERRIDE=FQ","FILING_STATUS=OR","EQY_CONSOLIDATED=Y","SCALING_FORMAT=MLN","Sort=A","Dates=H","DateFormat=P","Fill=—","Direction=H","UseDPDF=Y")</f>
        <v>#NAME?</v>
      </c>
      <c r="CB202" s="1" t="e">
        <f ca="1">_xll.BDH($C$178,"TOT_DEBT_TO_EBITDA","FQ4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02" s="1" t="e">
        <f ca="1">_xll.BDH($C$178,"NET_DEBT_TO_EBITDA","FQ4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02" s="1" t="e">
        <f ca="1">_xll.BDH($C$178,"TOTAL_DEBT_TO_EBIT","FQ4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02" s="1" t="e">
        <f ca="1">_xll.BDH($C$178,"NET_DEBT_TO_EBIT","FQ4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202" s="1" t="e">
        <f ca="1">_xll.BDH($C$178,"EBITDA_TO_INTEREST_EXPN","FQ4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02" s="1" t="e">
        <f ca="1">_xll.BDH($C$178,"COM_EQY_TO_TOT_ASSET","FQ4 2018","FQ4 2018","Currency=INR","Period=FQ","BEST_FPERIOD_OVERRIDE=FQ","FILING_STATUS=OR","EQY_CONSOLIDATED=Y","Sort=A","Dates=H","DateFormat=P","Fill=—","Direction=H","UseDPDF=Y")</f>
        <v>#NAME?</v>
      </c>
      <c r="CH202" s="1" t="e">
        <f ca="1">_xll.BDH($C$178,"LT_DEBT_TO_TOT_EQY","FQ4 2018","FQ4 2018","Currency=INR","Period=FQ","BEST_FPERIOD_OVERRIDE=FQ","FILING_STATUS=OR","EQY_CONSOLIDATED=Y","Sort=A","Dates=H","DateFormat=P","Fill=—","Direction=H","UseDPDF=Y")</f>
        <v>#NAME?</v>
      </c>
      <c r="CI202" s="1" t="e">
        <f ca="1">_xll.BDH($C$178,"LT_DEBT_TO_TOT_CAP","FQ4 2018","FQ4 2018","Currency=INR","Period=FQ","BEST_FPERIOD_OVERRIDE=FQ","FILING_STATUS=OR","EQY_CONSOLIDATED=Y","Sort=A","Dates=H","DateFormat=P","Fill=—","Direction=H","UseDPDF=Y")</f>
        <v>#NAME?</v>
      </c>
      <c r="CJ202" s="1" t="e">
        <f ca="1">_xll.BDH($C$178,"LT_DEBT_TO_TOT_ASSET","FQ4 2018","FQ4 2018","Currency=INR","Period=FQ","BEST_FPERIOD_OVERRIDE=FQ","FILING_STATUS=OR","EQY_CONSOLIDATED=Y","Sort=A","Dates=H","DateFormat=P","Fill=—","Direction=H","UseDPDF=Y")</f>
        <v>#NAME?</v>
      </c>
      <c r="CK202" s="1" t="e">
        <f ca="1">_xll.BDH($C$178,"TOT_DEBT_TO_TOT_EQY","FQ4 2018","FQ4 2018","Currency=INR","Period=FQ","BEST_FPERIOD_OVERRIDE=FQ","FILING_STATUS=OR","EQY_CONSOLIDATED=Y","Sort=A","Dates=H","DateFormat=P","Fill=—","Direction=H","UseDPDF=Y")</f>
        <v>#NAME?</v>
      </c>
      <c r="CL202" s="1" t="e">
        <f ca="1">_xll.BDH($C$178,"TOT_DEBT_TO_TOT_CAP","FQ4 2018","FQ4 2018","Currency=INR","Period=FQ","BEST_FPERIOD_OVERRIDE=FQ","FILING_STATUS=OR","EQY_CONSOLIDATED=Y","Sort=A","Dates=H","DateFormat=P","Fill=—","Direction=H","UseDPDF=Y")</f>
        <v>#NAME?</v>
      </c>
      <c r="CM202" s="1" t="e">
        <f ca="1">_xll.BDH($C$178,"TOT_DEBT_TO_TOT_ASSET","FQ4 2018","FQ4 2018","Currency=INR","Period=FQ","BEST_FPERIOD_OVERRIDE=FQ","FILING_STATUS=OR","EQY_CONSOLIDATED=Y","Sort=A","Dates=H","DateFormat=P","Fill=—","Direction=H","UseDPDF=Y")</f>
        <v>#NAME?</v>
      </c>
      <c r="CN202" s="1" t="e">
        <f ca="1">_xll.BDH($C$178,"NET_DEBT_TO_SHRHLDR_EQTY","FQ4 2018","FQ4 2018","Currency=INR","Period=FQ","BEST_FPERIOD_OVERRIDE=FQ","FILING_STATUS=OR","EQY_CONSOLIDATED=Y","Sort=A","Dates=H","DateFormat=P","Fill=—","Direction=H","UseDPDF=Y")</f>
        <v>#NAME?</v>
      </c>
      <c r="CO202" s="1" t="e">
        <f ca="1">_xll.BDH($C$178,"NET_DEBT_%_CAPITAL","FQ4 2018","FQ4 2018","Currency=INR","Period=FQ","BEST_FPERIOD_OVERRIDE=FQ","FILING_STATUS=OR","EQY_CONSOLIDATED=Y","Sort=A","Dates=H","DateFormat=P","Fill=—","Direction=H","UseDPDF=Y")</f>
        <v>#NAME?</v>
      </c>
      <c r="CP202" s="2" t="e">
        <f ca="1">_xll.BDH($C$178,"EBITDA","FQ4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02" s="2" t="e">
        <f ca="1">_xll.BDH($C$178,"EBITDA_AFTER_CAPEX","FQ4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02" s="2" t="e">
        <f ca="1">_xll.BDH($C$178,"IS_OPER_INC","FQ4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02" s="1" t="e">
        <f ca="1">_xll.BDH($C$178,"CASH_RATIO","FQ4 2018","FQ4 2018","Currency=INR","Period=FQ","BEST_FPERIOD_OVERRIDE=FQ","FILING_STATUS=OR","EQY_CONSOLIDATED=Y","Sort=A","Dates=H","DateFormat=P","Fill=—","Direction=H","UseDPDF=Y")</f>
        <v>#NAME?</v>
      </c>
      <c r="CT202" s="1" t="e">
        <f ca="1">_xll.BDH($C$178,"CUR_RATIO","FQ4 2018","FQ4 2018","Currency=INR","Period=FQ","BEST_FPERIOD_OVERRIDE=FQ","FILING_STATUS=OR","EQY_CONSOLIDATED=Y","Sort=A","Dates=H","DateFormat=P","Fill=—","Direction=H","UseDPDF=Y")</f>
        <v>#NAME?</v>
      </c>
      <c r="CU202" s="1" t="e">
        <f ca="1">_xll.BDH($C$178,"QUICK_RATIO","FQ4 2018","FQ4 2018","Currency=INR","Period=FQ","BEST_FPERIOD_OVERRIDE=FQ","FILING_STATUS=OR","EQY_CONSOLIDATED=Y","Sort=A","Dates=H","DateFormat=P","Fill=—","Direction=H","UseDPDF=Y")</f>
        <v>#NAME?</v>
      </c>
      <c r="CV202" s="1" t="e">
        <f ca="1">_xll.BDH($C$178,"ALTMAN_Z_SCORE","FQ4 2018","FQ4 2018","Currency=INR","Period=FQ","BEST_FPERIOD_OVERRIDE=FQ","FILING_STATUS=OR","EQY_CONSOLIDATED=Y","Sort=A","Dates=H","DateFormat=P","Fill=—","Direction=H","UseDPDF=Y")</f>
        <v>#NAME?</v>
      </c>
      <c r="CW202" s="3" t="e">
        <f ca="1">_xll.BDH($C$178,"ACCT_RCV_TURN","FQ4 2018","FQ4 2018","Currency=INR","Period=FQ","BEST_FPERIOD_OVERRIDE=FQ","FILING_STATUS=OR","EQY_CONSOLIDATED=Y","FA_ADJUSTED=GAAP","Sort=A","Dates=H","DateFormat=P","Fill=—","Direction=H","UseDPDF=Y")</f>
        <v>#NAME?</v>
      </c>
      <c r="CX202" s="1" t="e">
        <f ca="1">_xll.BDH($C$178,"ACCT_RCV_DAYS","FQ4 2018","FQ4 2018","Currency=INR","Period=FQ","BEST_FPERIOD_OVERRIDE=FQ","FILING_STATUS=OR","EQY_CONSOLIDATED=Y","FA_ADJUSTED=GAAP","Sort=A","Dates=H","DateFormat=P","Fill=—","Direction=H","UseDPDF=Y")</f>
        <v>#NAME?</v>
      </c>
      <c r="CY202" s="3" t="e">
        <f ca="1">_xll.BDH($C$178,"INVENT_TURN","FQ4 2018","FQ4 2018","Currency=INR","Period=FQ","BEST_FPERIOD_OVERRIDE=FQ","FILING_STATUS=OR","EQY_CONSOLIDATED=Y","FA_ADJUSTED=GAAP","Sort=A","Dates=H","DateFormat=P","Fill=—","Direction=H","UseDPDF=Y")</f>
        <v>#NAME?</v>
      </c>
      <c r="CZ202" s="1" t="e">
        <f ca="1">_xll.BDH($C$178,"INVENT_DAYS","FQ4 2018","FQ4 2018","Currency=INR","Period=FQ","BEST_FPERIOD_OVERRIDE=FQ","FILING_STATUS=OR","EQY_CONSOLIDATED=Y","FA_ADJUSTED=GAAP","Sort=A","Dates=H","DateFormat=P","Fill=—","Direction=H","UseDPDF=Y")</f>
        <v>#NAME?</v>
      </c>
      <c r="DA202" s="3" t="e">
        <f ca="1">_xll.BDH($C$178,"ACCOUNTS_PAYABLE_TURNOVER","FQ4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02" s="1" t="e">
        <f ca="1">_xll.BDH($C$178,"ACCOUNTS_PAYABLE_TURNOVER_DAYS","FQ4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02" s="3" t="e">
        <f ca="1">_xll.BDH($C$178,"CASH_CONVERSION_CYCLE","FQ4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02" s="3" t="e">
        <f ca="1">_xll.BDH($C$178,"INV_TO_CASH_DAYS","FQ4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202" s="4" t="e">
        <f ca="1">_xll.BDH($C$178,"BS_INVENTORIES","FQ4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202" s="2" t="e">
        <f ca="1">_xll.BDH($C$178,"INVTRY_RAW_MATERIALS","FQ4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02" s="2" t="e">
        <f ca="1">_xll.BDH($C$178,"INVTRY_IN_PROGRESS","FQ4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02" s="2" t="e">
        <f ca="1">_xll.BDH($C$178,"INVTRY_FINISHED_GOODS","FQ4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02" s="2" t="e">
        <f ca="1">_xll.BDH($C$178,"BS_OTHER_INV","FQ4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03" spans="1:113" x14ac:dyDescent="0.3">
      <c r="A203" s="6">
        <v>59</v>
      </c>
      <c r="B203" s="6" t="s">
        <v>26</v>
      </c>
      <c r="C203" s="6" t="s">
        <v>27</v>
      </c>
      <c r="D203" s="6" t="s">
        <v>2</v>
      </c>
      <c r="E203" t="s">
        <v>3</v>
      </c>
      <c r="F203" t="e">
        <f ca="1">_xll.BDH($C$203,"RETURN_COM_EQY","FY 2014","FY 2014","Currency=INR","Period=FY","BEST_FPERIOD_OVERRIDE=FY","FILING_STATUS=OR","EQY_CONSOLIDATED=Y","FA_ADJUSTED=GAAP","Sort=A","Dates=H","DateFormat=P","Fill=—","Direction=H","UseDPDF=Y")</f>
        <v>#NAME?</v>
      </c>
      <c r="G203" t="e">
        <f ca="1">_xll.BDH($C$203,"RETURN_ON_ASSET","FY 2014","FY 2014","Currency=INR","Period=FY","BEST_FPERIOD_OVERRIDE=FY","FILING_STATUS=OR","EQY_CONSOLIDATED=Y","FA_ADJUSTED=GAAP","Sort=A","Dates=H","DateFormat=P","Fill=—","Direction=H","UseDPDF=Y")</f>
        <v>#NAME?</v>
      </c>
      <c r="H203" t="e">
        <f ca="1">_xll.BDH($C$203,"RETURN_ON_CAP","FY 2014","FY 2014","Currency=INR","Period=FY","BEST_FPERIOD_OVERRIDE=FY","FILING_STATUS=OR","EQY_CONSOLIDATED=Y","FA_ADJUSTED=GAAP","Sort=A","Dates=H","DateFormat=P","Fill=—","Direction=H","UseDPDF=Y")</f>
        <v>#NAME?</v>
      </c>
      <c r="I203" t="e">
        <f ca="1">_xll.BDH($C$203,"RETURN_ON_INV_CAPITAL","FY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03" t="e">
        <f ca="1">_xll.BDH($C$203,"EBITDA_TO_REVENUE","FY 2014","FY 2014","Currency=INR","Period=FY","BEST_FPERIOD_OVERRIDE=FY","FILING_STATUS=OR","EQY_CONSOLIDATED=Y","FA_ADJUSTED=GAAP","Sort=A","Dates=H","DateFormat=P","Fill=—","Direction=H","UseDPDF=Y")</f>
        <v>#NAME?</v>
      </c>
      <c r="K203" t="e">
        <f ca="1">_xll.BDH($C$203,"OPER_MARGIN","FY 2014","FY 2014","Currency=INR","Period=FY","BEST_FPERIOD_OVERRIDE=FY","FILING_STATUS=OR","EQY_CONSOLIDATED=Y","FA_ADJUSTED=GAAP","Sort=A","Dates=H","DateFormat=P","Fill=—","Direction=H","UseDPDF=Y")</f>
        <v>#NAME?</v>
      </c>
      <c r="L203" t="e">
        <f ca="1">_xll.BDH($C$203,"INCREMENTAL_OPERATING_MARGIN","FY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03" t="e">
        <f ca="1">_xll.BDH($C$203,"PRETAX_INC_TO_NET_SALES","FY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03" t="e">
        <f ca="1">_xll.BDH($C$203,"INC_BEF_XO_ITEMS_TO_NET_SALES","FY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03" t="e">
        <f ca="1">_xll.BDH($C$203,"PROF_MARGIN","FY 2014","FY 2014","Currency=INR","Period=FY","BEST_FPERIOD_OVERRIDE=FY","FILING_STATUS=OR","EQY_CONSOLIDATED=Y","FA_ADJUSTED=GAAP","Sort=A","Dates=H","DateFormat=P","Fill=—","Direction=H","UseDPDF=Y")</f>
        <v>#NAME?</v>
      </c>
      <c r="P203" t="e">
        <f ca="1">_xll.BDH($C$203,"NET_INCOME_TO_COMMON_MARGIN","FY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03" t="e">
        <f ca="1">_xll.BDH($C$203,"EFF_TAX_RATE","FY 2014","FY 2014","Currency=INR","Period=FY","BEST_FPERIOD_OVERRIDE=FY","FILING_STATUS=OR","EQY_CONSOLIDATED=Y","FA_ADJUSTED=GAAP","Sort=A","Dates=H","DateFormat=P","Fill=—","Direction=H","UseDPDF=Y")</f>
        <v>#NAME?</v>
      </c>
      <c r="R203" t="e">
        <f ca="1">_xll.BDH($C$203,"DVD_PAYOUT_RATIO","FY 2014","FY 2014","Currency=INR","Period=FY","BEST_FPERIOD_OVERRIDE=FY","FILING_STATUS=OR","EQY_CONSOLIDATED=Y","FA_ADJUSTED=GAAP","Sort=A","Dates=H","DateFormat=P","Fill=—","Direction=H","UseDPDF=Y")</f>
        <v>#NAME?</v>
      </c>
      <c r="S203" t="e">
        <f ca="1">_xll.BDH($C$203,"SUSTAIN_GROWTH_RT","FY 2014","FY 2014","Currency=INR","Period=FY","BEST_FPERIOD_OVERRIDE=FY","FILING_STATUS=OR","EQY_CONSOLIDATED=Y","FA_ADJUSTED=GAAP","Sort=A","Dates=H","DateFormat=P","Fill=—","Direction=H","UseDPDF=Y")</f>
        <v>#NAME?</v>
      </c>
      <c r="T203" s="1" t="e">
        <f ca="1">_xll.BDH($C$203,"SALES_GROWTH","FY 2014","FY 2014","Currency=INR","Period=FY","BEST_FPERIOD_OVERRIDE=FY","FILING_STATUS=OR","EQY_CONSOLIDATED=Y","FA_ADJUSTED=GAAP","Sort=A","Dates=H","DateFormat=P","Fill=—","Direction=H","UseDPDF=Y")</f>
        <v>#NAME?</v>
      </c>
      <c r="U203" s="1" t="e">
        <f ca="1">_xll.BDH($C$203,"EBITDA_GROWTH","FY 2014","FY 2014","Currency=INR","Period=FY","BEST_FPERIOD_OVERRIDE=FY","FILING_STATUS=OR","EQY_CONSOLIDATED=Y","FA_ADJUSTED=GAAP","Sort=A","Dates=H","DateFormat=P","Fill=—","Direction=H","UseDPDF=Y")</f>
        <v>#NAME?</v>
      </c>
      <c r="V203" s="1" t="e">
        <f ca="1">_xll.BDH($C$203,"OPER_INC_GROWTH","FY 2014","FY 2014","Currency=INR","Period=FY","BEST_FPERIOD_OVERRIDE=FY","FILING_STATUS=OR","EQY_CONSOLIDATED=Y","FA_ADJUSTED=GAAP","Sort=A","Dates=H","DateFormat=P","Fill=—","Direction=H","UseDPDF=Y")</f>
        <v>#NAME?</v>
      </c>
      <c r="W203" s="1" t="e">
        <f ca="1">_xll.BDH($C$203,"EARN_FOR_COM_GROWTH","FY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203" s="1" t="e">
        <f ca="1">_xll.BDH($C$203,"DILUTED_EPS_AFT_XO_ITEMS_GROWTH","FY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03" s="1" t="e">
        <f ca="1">_xll.BDH($C$203,"DIVIDEND_PER_SHARE_1_YEAR_GROWTH","FY 2014","FY 2014","Currency=INR","Period=FY","BEST_FPERIOD_OVERRIDE=FY","FILING_STATUS=OR","EQY_CONSOLIDATED=Y","Sort=A","Dates=H","DateFormat=P","Fill=—","Direction=H","UseDPDF=Y")</f>
        <v>#NAME?</v>
      </c>
      <c r="Z203" s="1" t="e">
        <f ca="1">_xll.BDH($C$203,"ACCOUNTS_RECEIVABLE_GROWTH","FY 2014","FY 2014","Currency=INR","Period=FY","BEST_FPERIOD_OVERRIDE=FY","FILING_STATUS=OR","EQY_CONSOLIDATED=Y","Sort=A","Dates=H","DateFormat=P","Fill=—","Direction=H","UseDPDF=Y")</f>
        <v>#NAME?</v>
      </c>
      <c r="AA203" s="1" t="e">
        <f ca="1">_xll.BDH($C$203,"INVENTORY_GROWTH","FY 2014","FY 2014","Currency=INR","Period=FY","BEST_FPERIOD_OVERRIDE=FY","FILING_STATUS=OR","EQY_CONSOLIDATED=Y","Sort=A","Dates=H","DateFormat=P","Fill=—","Direction=H","UseDPDF=Y")</f>
        <v>#NAME?</v>
      </c>
      <c r="AB203" s="1" t="e">
        <f ca="1">_xll.BDH($C$203,"NET_FIXED_ASSETS_1_YEAR_GROWTH","FY 2014","FY 2014","Currency=INR","Period=FY","BEST_FPERIOD_OVERRIDE=FY","FILING_STATUS=OR","EQY_CONSOLIDATED=Y","Sort=A","Dates=H","DateFormat=P","Fill=—","Direction=H","UseDPDF=Y")</f>
        <v>#NAME?</v>
      </c>
      <c r="AC203" s="1" t="e">
        <f ca="1">_xll.BDH($C$203,"ASSET_GROWTH","FY 2014","FY 2014","Currency=INR","Period=FY","BEST_FPERIOD_OVERRIDE=FY","FILING_STATUS=OR","EQY_CONSOLIDATED=Y","Sort=A","Dates=H","DateFormat=P","Fill=—","Direction=H","UseDPDF=Y")</f>
        <v>#NAME?</v>
      </c>
      <c r="AD203" s="1" t="e">
        <f ca="1">_xll.BDH($C$203,"MODIFIED_WORK_CAP_GROWTH","FY 2014","FY 2014","Currency=INR","Period=FY","BEST_FPERIOD_OVERRIDE=FY","FILING_STATUS=OR","EQY_CONSOLIDATED=Y","Sort=A","Dates=H","DateFormat=P","Fill=—","Direction=H","UseDPDF=Y")</f>
        <v>#NAME?</v>
      </c>
      <c r="AE203" s="1" t="e">
        <f ca="1">_xll.BDH($C$203,"WORK_CAP_GROWTH","FY 2014","FY 2014","Currency=INR","Period=FY","BEST_FPERIOD_OVERRIDE=FY","FILING_STATUS=OR","EQY_CONSOLIDATED=Y","Sort=A","Dates=H","DateFormat=P","Fill=—","Direction=H","UseDPDF=Y")</f>
        <v>#NAME?</v>
      </c>
      <c r="AF203" s="1" t="e">
        <f ca="1">_xll.BDH($C$203,"ACCOUNTS_PAYABLE_GROWTH_1YR","FY 2014","FY 2014","Currency=INR","Period=FY","BEST_FPERIOD_OVERRIDE=FY","FILING_STATUS=OR","EQY_CONSOLIDATED=Y","Sort=A","Dates=H","DateFormat=P","Fill=—","Direction=H","UseDPDF=Y")</f>
        <v>#NAME?</v>
      </c>
      <c r="AG203" s="1" t="e">
        <f ca="1">_xll.BDH($C$203,"SHORT_TERM_DEBT_1_YEAR_GROWTH","FY 2014","FY 2014","Currency=INR","Period=FY","BEST_FPERIOD_OVERRIDE=FY","FILING_STATUS=OR","EQY_CONSOLIDATED=Y","Sort=A","Dates=H","DateFormat=P","Fill=—","Direction=H","UseDPDF=Y")</f>
        <v>#NAME?</v>
      </c>
      <c r="AH203" s="1" t="e">
        <f ca="1">_xll.BDH($C$203,"TOTAL_DEBT_1_YEAR_GROWTH","FY 2014","FY 2014","Currency=INR","Period=FY","BEST_FPERIOD_OVERRIDE=FY","FILING_STATUS=OR","EQY_CONSOLIDATED=Y","Sort=A","Dates=H","DateFormat=P","Fill=—","Direction=H","UseDPDF=Y")</f>
        <v>#NAME?</v>
      </c>
      <c r="AI203" s="1" t="e">
        <f ca="1">_xll.BDH($C$203,"TOTAL_EQUITY_1_YEAR_GROWTH","FY 2014","FY 2014","Currency=INR","Period=FY","BEST_FPERIOD_OVERRIDE=FY","FILING_STATUS=OR","EQY_CONSOLIDATED=Y","Sort=A","Dates=H","DateFormat=P","Fill=—","Direction=H","UseDPDF=Y")</f>
        <v>#NAME?</v>
      </c>
      <c r="AJ203" s="1" t="e">
        <f ca="1">_xll.BDH($C$203,"GROWTH_IN_CAP","FY 2014","FY 2014","Currency=INR","Period=FY","BEST_FPERIOD_OVERRIDE=FY","FILING_STATUS=OR","EQY_CONSOLIDATED=Y","Sort=A","Dates=H","DateFormat=P","Fill=—","Direction=H","UseDPDF=Y")</f>
        <v>#NAME?</v>
      </c>
      <c r="AK203" s="1" t="e">
        <f ca="1">_xll.BDH($C$203,"BVPS_GROWTH","FY 2014","FY 2014","Currency=INR","Period=FY","BEST_FPERIOD_OVERRIDE=FY","FILING_STATUS=OR","EQY_CONSOLIDATED=Y","Sort=A","Dates=H","DateFormat=P","Fill=—","Direction=H","UseDPDF=Y")</f>
        <v>#NAME?</v>
      </c>
      <c r="AL203" s="1" t="e">
        <f ca="1">_xll.BDH($C$203,"CASH_FLOW_GROWTH","FY 2014","FY 2014","Currency=INR","Period=FY","BEST_FPERIOD_OVERRIDE=FY","FILING_STATUS=OR","EQY_CONSOLIDATED=Y","Sort=A","Dates=H","DateFormat=P","Fill=—","Direction=H","UseDPDF=Y")</f>
        <v>#NAME?</v>
      </c>
      <c r="AM203" s="1" t="e">
        <f ca="1">_xll.BDH($C$203,"GEO_GROW_NET_SALES","FY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203" s="1" t="e">
        <f ca="1">_xll.BDH($C$203,"GEO_GROW_EBITDA","FY 2014","FY 2014","Currency=INR","Period=FY","BEST_FPERIOD_OVERRIDE=FY","FILING_STATUS=OR","EQY_CONSOLIDATED=Y","FA_ADJUSTED=GAAP","Sort=A","Dates=H","DateFormat=P","Fill=—","Direction=H","UseDPDF=Y")</f>
        <v>#NAME?</v>
      </c>
      <c r="AO203" s="1" t="e">
        <f ca="1">_xll.BDH($C$203,"GEO_GROW_OPER_INC","FY 2014","FY 2014","Currency=INR","Period=FY","BEST_FPERIOD_OVERRIDE=FY","FILING_STATUS=OR","EQY_CONSOLIDATED=Y","FA_ADJUSTED=GAAP","Sort=A","Dates=H","DateFormat=P","Fill=—","Direction=H","UseDPDF=Y")</f>
        <v>#NAME?</v>
      </c>
      <c r="AP203" s="1" t="e">
        <f ca="1">_xll.BDH($C$203,"NET_INCOME_TO_COMMON_5_YR_GROWTH","FY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03" s="1" t="e">
        <f ca="1">_xll.BDH($C$203,"5Y_GEO_GROWTH_DILUTED_EPS","FY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03" s="1" t="e">
        <f ca="1">_xll.BDH($C$203,"GEO_GROW_DVD_PER_SH","FY 2014","FY 2014","Currency=INR","Period=FY","BEST_FPERIOD_OVERRIDE=FY","FILING_STATUS=OR","EQY_CONSOLIDATED=Y","Sort=A","Dates=H","DateFormat=P","Fill=—","Direction=H","UseDPDF=Y")</f>
        <v>#NAME?</v>
      </c>
      <c r="AS203" s="1" t="e">
        <f ca="1">_xll.BDH($C$203,"ACCOUNTS_RECEIVABLE_5_YR_GROWTH","FY 2014","FY 2014","Currency=INR","Period=FY","BEST_FPERIOD_OVERRIDE=FY","FILING_STATUS=OR","EQY_CONSOLIDATED=Y","Sort=A","Dates=H","DateFormat=P","Fill=—","Direction=H","UseDPDF=Y")</f>
        <v>#NAME?</v>
      </c>
      <c r="AT203" s="1" t="e">
        <f ca="1">_xll.BDH($C$203,"INVENTORY_5_YEAR_GROWTH","FY 2014","FY 2014","Currency=INR","Period=FY","BEST_FPERIOD_OVERRIDE=FY","FILING_STATUS=OR","EQY_CONSOLIDATED=Y","Sort=A","Dates=H","DateFormat=P","Fill=—","Direction=H","UseDPDF=Y")</f>
        <v>#NAME?</v>
      </c>
      <c r="AU203" s="1" t="e">
        <f ca="1">_xll.BDH($C$203,"NET_FIXED_ASSETS_5_YEAR_GROWTH","FY 2014","FY 2014","Currency=INR","Period=FY","BEST_FPERIOD_OVERRIDE=FY","FILING_STATUS=OR","EQY_CONSOLIDATED=Y","Sort=A","Dates=H","DateFormat=P","Fill=—","Direction=H","UseDPDF=Y")</f>
        <v>#NAME?</v>
      </c>
      <c r="AV203" s="1" t="e">
        <f ca="1">_xll.BDH($C$203,"GEO_GROW_TOT_ASSET","FY 2014","FY 2014","Currency=INR","Period=FY","BEST_FPERIOD_OVERRIDE=FY","FILING_STATUS=OR","EQY_CONSOLIDATED=Y","Sort=A","Dates=H","DateFormat=P","Fill=—","Direction=H","UseDPDF=Y")</f>
        <v>#NAME?</v>
      </c>
      <c r="AW203" s="1" t="e">
        <f ca="1">_xll.BDH($C$203,"MODIFIED_WORKING_CPTL_5YR_GRWTH","FY 2014","FY 2014","Currency=INR","Period=FY","BEST_FPERIOD_OVERRIDE=FY","FILING_STATUS=OR","EQY_CONSOLIDATED=Y","Sort=A","Dates=H","DateFormat=P","Fill=—","Direction=H","UseDPDF=Y")</f>
        <v>#NAME?</v>
      </c>
      <c r="AX203" s="1" t="e">
        <f ca="1">_xll.BDH($C$203,"WORKING_CAPITAL_5_YEAR_GROWTH","FY 2014","FY 2014","Currency=INR","Period=FY","BEST_FPERIOD_OVERRIDE=FY","FILING_STATUS=OR","EQY_CONSOLIDATED=Y","Sort=A","Dates=H","DateFormat=P","Fill=—","Direction=H","UseDPDF=Y")</f>
        <v>#NAME?</v>
      </c>
      <c r="AY203" s="1" t="e">
        <f ca="1">_xll.BDH($C$203,"ACCOUNTS_PAYABLE_5_YEAR_GROWTH","FY 2014","FY 2014","Currency=INR","Period=FY","BEST_FPERIOD_OVERRIDE=FY","FILING_STATUS=OR","EQY_CONSOLIDATED=Y","Sort=A","Dates=H","DateFormat=P","Fill=—","Direction=H","UseDPDF=Y")</f>
        <v>#NAME?</v>
      </c>
      <c r="AZ203" s="1" t="e">
        <f ca="1">_xll.BDH($C$203,"SHORT_TERM_DEBT_5_YEAR_GROWTH","FY 2014","FY 2014","Currency=INR","Period=FY","BEST_FPERIOD_OVERRIDE=FY","FILING_STATUS=OR","EQY_CONSOLIDATED=Y","Sort=A","Dates=H","DateFormat=P","Fill=—","Direction=H","UseDPDF=Y")</f>
        <v>#NAME?</v>
      </c>
      <c r="BA203" s="1" t="e">
        <f ca="1">_xll.BDH($C$203,"TOTAL_DEBT_5_YEAR_GROWTH","FY 2014","FY 2014","Currency=INR","Period=FY","BEST_FPERIOD_OVERRIDE=FY","FILING_STATUS=OR","EQY_CONSOLIDATED=Y","Sort=A","Dates=H","DateFormat=P","Fill=—","Direction=H","UseDPDF=Y")</f>
        <v>#NAME?</v>
      </c>
      <c r="BB203" s="1" t="e">
        <f ca="1">_xll.BDH($C$203,"GEO_GROW_TOT_SHRHLDR_EQY","FY 2014","FY 2014","Currency=INR","Period=FY","BEST_FPERIOD_OVERRIDE=FY","FILING_STATUS=OR","EQY_CONSOLIDATED=Y","Sort=A","Dates=H","DateFormat=P","Fill=—","Direction=H","UseDPDF=Y")</f>
        <v>#NAME?</v>
      </c>
      <c r="BC203" s="1" t="e">
        <f ca="1">_xll.BDH($C$203,"TOTAL_CAPITAL_5_YEAR_GROWTH","FY 2014","FY 2014","Currency=INR","Period=FY","BEST_FPERIOD_OVERRIDE=FY","FILING_STATUS=OR","EQY_CONSOLIDATED=Y","Sort=A","Dates=H","DateFormat=P","Fill=—","Direction=H","UseDPDF=Y")</f>
        <v>#NAME?</v>
      </c>
      <c r="BD203" s="1" t="e">
        <f ca="1">_xll.BDH($C$203,"GEO_GROW_BOOK_VAL","FY 2014","FY 2014","Currency=INR","Period=FY","BEST_FPERIOD_OVERRIDE=FY","FILING_STATUS=OR","EQY_CONSOLIDATED=Y","Sort=A","Dates=H","DateFormat=P","Fill=—","Direction=H","UseDPDF=Y")</f>
        <v>#NAME?</v>
      </c>
      <c r="BE203" s="1" t="e">
        <f ca="1">_xll.BDH($C$203,"GEO_GROW_CASH_OPER_ACT","FY 2014","FY 2014","Currency=INR","Period=FY","BEST_FPERIOD_OVERRIDE=FY","FILING_STATUS=OR","EQY_CONSOLIDATED=Y","Sort=A","Dates=H","DateFormat=P","Fill=—","Direction=H","UseDPDF=Y")</f>
        <v>#NAME?</v>
      </c>
      <c r="BF203" s="1" t="e">
        <f ca="1">_xll.BDH($C$203,"REVENUE_SEQUENTIAL_GROWTH","FY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03" s="1" t="e">
        <f ca="1">_xll.BDH($C$203,"EBITDA_SEQUENTIAL_GROWTH","FY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03" s="1" t="e">
        <f ca="1">_xll.BDH($C$203,"OPERATING_INCOME_SEQ_GROWTH","FY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03" s="1" t="e">
        <f ca="1">_xll.BDH($C$203,"NET_INCOME_TO_COMMON_SEQ_GROWTH","FY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03" s="1" t="e">
        <f ca="1">_xll.BDH($C$203,"EPS_DILUTED_SEQUENTIAL_GROWTH","FY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03" s="1" t="e">
        <f ca="1">_xll.BDH($C$203,"DPS_SEQUENTIAL_GROWTH","FY 2014","FY 2014","Currency=INR","Period=FY","BEST_FPERIOD_OVERRIDE=FY","FILING_STATUS=OR","EQY_CONSOLIDATED=Y","Sort=A","Dates=H","DateFormat=P","Fill=—","Direction=H","UseDPDF=Y")</f>
        <v>#NAME?</v>
      </c>
      <c r="BL203" s="1" t="e">
        <f ca="1">_xll.BDH($C$203,"ACCOUNTS_RECEIVABLE_SEQ_GROWTH","FY 2014","FY 2014","Currency=INR","Period=FY","BEST_FPERIOD_OVERRIDE=FY","FILING_STATUS=OR","EQY_CONSOLIDATED=Y","Sort=A","Dates=H","DateFormat=P","Fill=—","Direction=H","UseDPDF=Y")</f>
        <v>#NAME?</v>
      </c>
      <c r="BM203" s="1" t="e">
        <f ca="1">_xll.BDH($C$203,"INVENTORY_SEQUENTIAL_GROWTH","FY 2014","FY 2014","Currency=INR","Period=FY","BEST_FPERIOD_OVERRIDE=FY","FILING_STATUS=OR","EQY_CONSOLIDATED=Y","Sort=A","Dates=H","DateFormat=P","Fill=—","Direction=H","UseDPDF=Y")</f>
        <v>#NAME?</v>
      </c>
      <c r="BN203" s="1" t="e">
        <f ca="1">_xll.BDH($C$203,"FIXED_ASSETS_SEQUENTIAL_GROWTH","FY 2014","FY 2014","Currency=INR","Period=FY","BEST_FPERIOD_OVERRIDE=FY","FILING_STATUS=OR","EQY_CONSOLIDATED=Y","Sort=A","Dates=H","DateFormat=P","Fill=—","Direction=H","UseDPDF=Y")</f>
        <v>#NAME?</v>
      </c>
      <c r="BO203" s="1" t="e">
        <f ca="1">_xll.BDH($C$203,"TOTAL_ASSETS_SEQUENTIAL_GROWTH","FY 2014","FY 2014","Currency=INR","Period=FY","BEST_FPERIOD_OVERRIDE=FY","FILING_STATUS=OR","EQY_CONSOLIDATED=Y","Sort=A","Dates=H","DateFormat=P","Fill=—","Direction=H","UseDPDF=Y")</f>
        <v>#NAME?</v>
      </c>
      <c r="BP203" s="1" t="e">
        <f ca="1">_xll.BDH($C$203,"MODIFIED_WORKING_CPTL_SEQ_GRWTH","FY 2014","FY 2014","Currency=INR","Period=FY","BEST_FPERIOD_OVERRIDE=FY","FILING_STATUS=OR","EQY_CONSOLIDATED=Y","Sort=A","Dates=H","DateFormat=P","Fill=—","Direction=H","UseDPDF=Y")</f>
        <v>#NAME?</v>
      </c>
      <c r="BQ203" s="1" t="e">
        <f ca="1">_xll.BDH($C$203,"WORKING_CAPITAL_SEQ_GROWTH","FY 2014","FY 2014","Currency=INR","Period=FY","BEST_FPERIOD_OVERRIDE=FY","FILING_STATUS=OR","EQY_CONSOLIDATED=Y","Sort=A","Dates=H","DateFormat=P","Fill=—","Direction=H","UseDPDF=Y")</f>
        <v>#NAME?</v>
      </c>
      <c r="BR203" s="1" t="e">
        <f ca="1">_xll.BDH($C$203,"ACCOUNTS_PAYABLE_SEQ_GROWTH","FY 2014","FY 2014","Currency=INR","Period=FY","BEST_FPERIOD_OVERRIDE=FY","FILING_STATUS=OR","EQY_CONSOLIDATED=Y","Sort=A","Dates=H","DateFormat=P","Fill=—","Direction=H","UseDPDF=Y")</f>
        <v>#NAME?</v>
      </c>
      <c r="BS203" s="1" t="e">
        <f ca="1">_xll.BDH($C$203,"ST_DEBT_SEQUENTIAL_GROWTH","FY 2014","FY 2014","Currency=INR","Period=FY","BEST_FPERIOD_OVERRIDE=FY","FILING_STATUS=OR","EQY_CONSOLIDATED=Y","Sort=A","Dates=H","DateFormat=P","Fill=—","Direction=H","UseDPDF=Y")</f>
        <v>#NAME?</v>
      </c>
      <c r="BT203" s="1" t="e">
        <f ca="1">_xll.BDH($C$203,"TOTAL_DEBT_SEQUENTIAL_GROWTH","FY 2014","FY 2014","Currency=INR","Period=FY","BEST_FPERIOD_OVERRIDE=FY","FILING_STATUS=OR","EQY_CONSOLIDATED=Y","Sort=A","Dates=H","DateFormat=P","Fill=—","Direction=H","UseDPDF=Y")</f>
        <v>#NAME?</v>
      </c>
      <c r="BU203" s="1" t="e">
        <f ca="1">_xll.BDH($C$203,"TOTAL_EQUITY_SEQUENTIAL_GROWTH","FY 2014","FY 2014","Currency=INR","Period=FY","BEST_FPERIOD_OVERRIDE=FY","FILING_STATUS=OR","EQY_CONSOLIDATED=Y","Sort=A","Dates=H","DateFormat=P","Fill=—","Direction=H","UseDPDF=Y")</f>
        <v>#NAME?</v>
      </c>
      <c r="BV203" s="1" t="e">
        <f ca="1">_xll.BDH($C$203,"TOTAL_CAPITAL_SEQUENTIAL_GROWTH","FY 2014","FY 2014","Currency=INR","Period=FY","BEST_FPERIOD_OVERRIDE=FY","FILING_STATUS=OR","EQY_CONSOLIDATED=Y","Sort=A","Dates=H","DateFormat=P","Fill=—","Direction=H","UseDPDF=Y")</f>
        <v>#NAME?</v>
      </c>
      <c r="BW203" s="1" t="e">
        <f ca="1">_xll.BDH($C$203,"BPS_SEQUENTIAL_GROWTH","FY 2014","FY 2014","Currency=INR","Period=FY","BEST_FPERIOD_OVERRIDE=FY","FILING_STATUS=OR","EQY_CONSOLIDATED=Y","Sort=A","Dates=H","DateFormat=P","Fill=—","Direction=H","UseDPDF=Y")</f>
        <v>#NAME?</v>
      </c>
      <c r="BX203" s="1" t="e">
        <f ca="1">_xll.BDH($C$203,"CFO_SEQUENTIAL_GROWTH","FY 2014","FY 2014","Currency=INR","Period=FY","BEST_FPERIOD_OVERRIDE=FY","FILING_STATUS=OR","EQY_CONSOLIDATED=Y","Sort=A","Dates=H","DateFormat=P","Fill=—","Direction=H","UseDPDF=Y")</f>
        <v>#NAME?</v>
      </c>
      <c r="BY203" s="2" t="e">
        <f ca="1">_xll.BDH($C$203,"SHORT_AND_LONG_TERM_DEBT","FY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03" s="2" t="e">
        <f ca="1">_xll.BDH($C$203,"BS_ST_BORROW","FY 2014","FY 2014","Currency=INR","Period=FY","BEST_FPERIOD_OVERRIDE=FY","FILING_STATUS=OR","EQY_CONSOLIDATED=Y","SCALING_FORMAT=MLN","Sort=A","Dates=H","DateFormat=P","Fill=—","Direction=H","UseDPDF=Y")</f>
        <v>#NAME?</v>
      </c>
      <c r="CA203" s="2" t="e">
        <f ca="1">_xll.BDH($C$203,"BS_LT_BORROW","FY 2014","FY 2014","Currency=INR","Period=FY","BEST_FPERIOD_OVERRIDE=FY","FILING_STATUS=OR","EQY_CONSOLIDATED=Y","SCALING_FORMAT=MLN","Sort=A","Dates=H","DateFormat=P","Fill=—","Direction=H","UseDPDF=Y")</f>
        <v>#NAME?</v>
      </c>
      <c r="CB203" s="1" t="e">
        <f ca="1">_xll.BDH($C$203,"TOT_DEBT_TO_EBITDA","FY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203" s="1" t="e">
        <f ca="1">_xll.BDH($C$203,"NET_DEBT_TO_EBITDA","FY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203" s="1" t="e">
        <f ca="1">_xll.BDH($C$203,"TOTAL_DEBT_TO_EBIT","FY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203" s="1" t="e">
        <f ca="1">_xll.BDH($C$203,"NET_DEBT_TO_EBIT","FY 2014","FY 2014","Currency=INR","Period=FY","BEST_FPERIOD_OVERRIDE=FY","FILING_STATUS=OR","EQY_CONSOLIDATED=Y","FA_ADJUSTED=GAAP","Sort=A","Dates=H","DateFormat=P","Fill=—","Direction=H","UseDPDF=Y")</f>
        <v>#NAME?</v>
      </c>
      <c r="CF203" s="1" t="e">
        <f ca="1">_xll.BDH($C$203,"EBITDA_TO_INTEREST_EXPN","FY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03" s="1" t="e">
        <f ca="1">_xll.BDH($C$203,"COM_EQY_TO_TOT_ASSET","FY 2014","FY 2014","Currency=INR","Period=FY","BEST_FPERIOD_OVERRIDE=FY","FILING_STATUS=OR","EQY_CONSOLIDATED=Y","Sort=A","Dates=H","DateFormat=P","Fill=—","Direction=H","UseDPDF=Y")</f>
        <v>#NAME?</v>
      </c>
      <c r="CH203" s="1" t="e">
        <f ca="1">_xll.BDH($C$203,"LT_DEBT_TO_TOT_EQY","FY 2014","FY 2014","Currency=INR","Period=FY","BEST_FPERIOD_OVERRIDE=FY","FILING_STATUS=OR","EQY_CONSOLIDATED=Y","Sort=A","Dates=H","DateFormat=P","Fill=—","Direction=H","UseDPDF=Y")</f>
        <v>#NAME?</v>
      </c>
      <c r="CI203" s="1" t="e">
        <f ca="1">_xll.BDH($C$203,"LT_DEBT_TO_TOT_CAP","FY 2014","FY 2014","Currency=INR","Period=FY","BEST_FPERIOD_OVERRIDE=FY","FILING_STATUS=OR","EQY_CONSOLIDATED=Y","Sort=A","Dates=H","DateFormat=P","Fill=—","Direction=H","UseDPDF=Y")</f>
        <v>#NAME?</v>
      </c>
      <c r="CJ203" s="1" t="e">
        <f ca="1">_xll.BDH($C$203,"LT_DEBT_TO_TOT_ASSET","FY 2014","FY 2014","Currency=INR","Period=FY","BEST_FPERIOD_OVERRIDE=FY","FILING_STATUS=OR","EQY_CONSOLIDATED=Y","Sort=A","Dates=H","DateFormat=P","Fill=—","Direction=H","UseDPDF=Y")</f>
        <v>#NAME?</v>
      </c>
      <c r="CK203" s="1" t="e">
        <f ca="1">_xll.BDH($C$203,"TOT_DEBT_TO_TOT_EQY","FY 2014","FY 2014","Currency=INR","Period=FY","BEST_FPERIOD_OVERRIDE=FY","FILING_STATUS=OR","EQY_CONSOLIDATED=Y","Sort=A","Dates=H","DateFormat=P","Fill=—","Direction=H","UseDPDF=Y")</f>
        <v>#NAME?</v>
      </c>
      <c r="CL203" s="1" t="e">
        <f ca="1">_xll.BDH($C$203,"TOT_DEBT_TO_TOT_CAP","FY 2014","FY 2014","Currency=INR","Period=FY","BEST_FPERIOD_OVERRIDE=FY","FILING_STATUS=OR","EQY_CONSOLIDATED=Y","Sort=A","Dates=H","DateFormat=P","Fill=—","Direction=H","UseDPDF=Y")</f>
        <v>#NAME?</v>
      </c>
      <c r="CM203" s="1" t="e">
        <f ca="1">_xll.BDH($C$203,"TOT_DEBT_TO_TOT_ASSET","FY 2014","FY 2014","Currency=INR","Period=FY","BEST_FPERIOD_OVERRIDE=FY","FILING_STATUS=OR","EQY_CONSOLIDATED=Y","Sort=A","Dates=H","DateFormat=P","Fill=—","Direction=H","UseDPDF=Y")</f>
        <v>#NAME?</v>
      </c>
      <c r="CN203" s="1" t="e">
        <f ca="1">_xll.BDH($C$203,"NET_DEBT_TO_SHRHLDR_EQTY","FY 2014","FY 2014","Currency=INR","Period=FY","BEST_FPERIOD_OVERRIDE=FY","FILING_STATUS=OR","EQY_CONSOLIDATED=Y","Sort=A","Dates=H","DateFormat=P","Fill=—","Direction=H","UseDPDF=Y")</f>
        <v>#NAME?</v>
      </c>
      <c r="CO203" s="1" t="e">
        <f ca="1">_xll.BDH($C$203,"NET_DEBT_%_CAPITAL","FY 2014","FY 2014","Currency=INR","Period=FY","BEST_FPERIOD_OVERRIDE=FY","FILING_STATUS=OR","EQY_CONSOLIDATED=Y","Sort=A","Dates=H","DateFormat=P","Fill=—","Direction=H","UseDPDF=Y")</f>
        <v>#NAME?</v>
      </c>
      <c r="CP203" s="2" t="e">
        <f ca="1">_xll.BDH($C$203,"EBITDA","FY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03" s="2" t="e">
        <f ca="1">_xll.BDH($C$203,"EBITDA_AFTER_CAPEX","FY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03" s="2" t="e">
        <f ca="1">_xll.BDH($C$203,"IS_OPER_INC","FY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03" s="1" t="e">
        <f ca="1">_xll.BDH($C$203,"CASH_RATIO","FY 2014","FY 2014","Currency=INR","Period=FY","BEST_FPERIOD_OVERRIDE=FY","FILING_STATUS=OR","EQY_CONSOLIDATED=Y","Sort=A","Dates=H","DateFormat=P","Fill=—","Direction=H","UseDPDF=Y")</f>
        <v>#NAME?</v>
      </c>
      <c r="CT203" s="1" t="e">
        <f ca="1">_xll.BDH($C$203,"CUR_RATIO","FY 2014","FY 2014","Currency=INR","Period=FY","BEST_FPERIOD_OVERRIDE=FY","FILING_STATUS=OR","EQY_CONSOLIDATED=Y","Sort=A","Dates=H","DateFormat=P","Fill=—","Direction=H","UseDPDF=Y")</f>
        <v>#NAME?</v>
      </c>
      <c r="CU203" s="1" t="e">
        <f ca="1">_xll.BDH($C$203,"QUICK_RATIO","FY 2014","FY 2014","Currency=INR","Period=FY","BEST_FPERIOD_OVERRIDE=FY","FILING_STATUS=OR","EQY_CONSOLIDATED=Y","Sort=A","Dates=H","DateFormat=P","Fill=—","Direction=H","UseDPDF=Y")</f>
        <v>#NAME?</v>
      </c>
      <c r="CV203" s="1" t="e">
        <f ca="1">_xll.BDH($C$203,"ALTMAN_Z_SCORE","FY 2014","FY 2014","Currency=INR","Period=FY","BEST_FPERIOD_OVERRIDE=FY","FILING_STATUS=OR","EQY_CONSOLIDATED=Y","Sort=A","Dates=H","DateFormat=P","Fill=—","Direction=H","UseDPDF=Y")</f>
        <v>#NAME?</v>
      </c>
      <c r="CW203" s="3" t="e">
        <f ca="1">_xll.BDH($C$203,"ACCT_RCV_TURN","FY 2014","FY 2014","Currency=INR","Period=FY","BEST_FPERIOD_OVERRIDE=FY","FILING_STATUS=OR","EQY_CONSOLIDATED=Y","FA_ADJUSTED=GAAP","Sort=A","Dates=H","DateFormat=P","Fill=—","Direction=H","UseDPDF=Y")</f>
        <v>#NAME?</v>
      </c>
      <c r="CX203" s="1" t="e">
        <f ca="1">_xll.BDH($C$203,"ACCT_RCV_DAYS","FY 2014","FY 2014","Currency=INR","Period=FY","BEST_FPERIOD_OVERRIDE=FY","FILING_STATUS=OR","EQY_CONSOLIDATED=Y","FA_ADJUSTED=GAAP","Sort=A","Dates=H","DateFormat=P","Fill=—","Direction=H","UseDPDF=Y")</f>
        <v>#NAME?</v>
      </c>
      <c r="CY203" s="3" t="e">
        <f ca="1">_xll.BDH($C$203,"INVENT_TURN","FY 2014","FY 2014","Currency=INR","Period=FY","BEST_FPERIOD_OVERRIDE=FY","FILING_STATUS=OR","EQY_CONSOLIDATED=Y","FA_ADJUSTED=GAAP","Sort=A","Dates=H","DateFormat=P","Fill=—","Direction=H","UseDPDF=Y")</f>
        <v>#NAME?</v>
      </c>
      <c r="CZ203" s="1" t="e">
        <f ca="1">_xll.BDH($C$203,"INVENT_DAYS","FY 2014","FY 2014","Currency=INR","Period=FY","BEST_FPERIOD_OVERRIDE=FY","FILING_STATUS=OR","EQY_CONSOLIDATED=Y","FA_ADJUSTED=GAAP","Sort=A","Dates=H","DateFormat=P","Fill=—","Direction=H","UseDPDF=Y")</f>
        <v>#NAME?</v>
      </c>
      <c r="DA203" s="3" t="e">
        <f ca="1">_xll.BDH($C$203,"ACCOUNTS_PAYABLE_TURNOVER","FY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03" s="1" t="e">
        <f ca="1">_xll.BDH($C$203,"ACCOUNTS_PAYABLE_TURNOVER_DAYS","FY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03" s="3" t="e">
        <f ca="1">_xll.BDH($C$203,"CASH_CONVERSION_CYCLE","FY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03" s="3" t="e">
        <f ca="1">_xll.BDH($C$203,"INV_TO_CASH_DAYS","FY 2014","FY 2014","Currency=INR","Period=FY","BEST_FPERIOD_OVERRIDE=FY","FILING_STATUS=OR","EQY_CONSOLIDATED=Y","FA_ADJUSTED=GAAP","Sort=A","Dates=H","DateFormat=P","Fill=—","Direction=H","UseDPDF=Y")</f>
        <v>#NAME?</v>
      </c>
      <c r="DE203" s="4" t="e">
        <f ca="1">_xll.BDH($C$203,"BS_INVENTORIES","FY 2014","FY 2014","Currency=INR","Period=FY","BEST_FPERIOD_OVERRIDE=FY","FILING_STATUS=OR","EQY_CONSOLIDATED=Y","SCALING_FORMAT=MLN","Sort=A","Dates=H","DateFormat=P","Fill=—","Direction=H","UseDPDF=Y")</f>
        <v>#NAME?</v>
      </c>
      <c r="DF203" s="2" t="e">
        <f ca="1">_xll.BDH($C$203,"INVTRY_RAW_MATERIALS","FY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03" s="2" t="e">
        <f ca="1">_xll.BDH($C$203,"INVTRY_IN_PROGRESS","FY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03" s="2" t="e">
        <f ca="1">_xll.BDH($C$203,"INVTRY_FINISHED_GOODS","FY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03" s="2" t="e">
        <f ca="1">_xll.BDH($C$203,"BS_OTHER_INV","FY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04" spans="1:113" x14ac:dyDescent="0.3">
      <c r="A204" s="6"/>
      <c r="B204" s="6"/>
      <c r="C204" s="6"/>
      <c r="D204" s="6"/>
      <c r="E204" t="s">
        <v>4</v>
      </c>
      <c r="F204" t="e">
        <f ca="1">_xll.BDH($C$203,"RETURN_COM_EQY","FQ1 2014","FQ1 2014","Currency=INR","Period=FQ","BEST_FPERIOD_OVERRIDE=FQ","FILING_STATUS=OR","EQY_CONSOLIDATED=Y","FA_ADJUSTED=GAAP","Sort=A","Dates=H","DateFormat=P","Fill=—","Direction=H","UseDPDF=Y")</f>
        <v>#NAME?</v>
      </c>
      <c r="G204" t="e">
        <f ca="1">_xll.BDH($C$203,"RETURN_ON_ASSET","FQ1 2014","FQ1 2014","Currency=INR","Period=FQ","BEST_FPERIOD_OVERRIDE=FQ","FILING_STATUS=OR","EQY_CONSOLIDATED=Y","FA_ADJUSTED=GAAP","Sort=A","Dates=H","DateFormat=P","Fill=—","Direction=H","UseDPDF=Y")</f>
        <v>#NAME?</v>
      </c>
      <c r="H204" t="e">
        <f ca="1">_xll.BDH($C$203,"RETURN_ON_CAP","FQ1 2014","FQ1 2014","Currency=INR","Period=FQ","BEST_FPERIOD_OVERRIDE=FQ","FILING_STATUS=OR","EQY_CONSOLIDATED=Y","FA_ADJUSTED=GAAP","Sort=A","Dates=H","DateFormat=P","Fill=—","Direction=H","UseDPDF=Y")</f>
        <v>#NAME?</v>
      </c>
      <c r="I204" t="e">
        <f ca="1">_xll.BDH($C$203,"RETURN_ON_INV_CAPITAL","FQ1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04" t="e">
        <f ca="1">_xll.BDH($C$203,"EBITDA_TO_REVENUE","FQ1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204" t="e">
        <f ca="1">_xll.BDH($C$203,"OPER_MARGIN","FQ1 2014","FQ1 2014","Currency=INR","Period=FQ","BEST_FPERIOD_OVERRIDE=FQ","FILING_STATUS=OR","EQY_CONSOLIDATED=Y","FA_ADJUSTED=GAAP","Sort=A","Dates=H","DateFormat=P","Fill=—","Direction=H","UseDPDF=Y")</f>
        <v>#NAME?</v>
      </c>
      <c r="L204" t="e">
        <f ca="1">_xll.BDH($C$203,"INCREMENTAL_OPERATING_MARGIN","FQ1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04" t="e">
        <f ca="1">_xll.BDH($C$203,"PRETAX_INC_TO_NET_SALES","FQ1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04" t="e">
        <f ca="1">_xll.BDH($C$203,"INC_BEF_XO_ITEMS_TO_NET_SALES","FQ1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04" t="e">
        <f ca="1">_xll.BDH($C$203,"PROF_MARGIN","FQ1 2014","FQ1 2014","Currency=INR","Period=FQ","BEST_FPERIOD_OVERRIDE=FQ","FILING_STATUS=OR","EQY_CONSOLIDATED=Y","FA_ADJUSTED=GAAP","Sort=A","Dates=H","DateFormat=P","Fill=—","Direction=H","UseDPDF=Y")</f>
        <v>#NAME?</v>
      </c>
      <c r="P204" t="e">
        <f ca="1">_xll.BDH($C$203,"NET_INCOME_TO_COMMON_MARGIN","FQ1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04" t="e">
        <f ca="1">_xll.BDH($C$203,"EFF_TAX_RATE","FQ1 2014","FQ1 2014","Currency=INR","Period=FQ","BEST_FPERIOD_OVERRIDE=FQ","FILING_STATUS=OR","EQY_CONSOLIDATED=Y","FA_ADJUSTED=GAAP","Sort=A","Dates=H","DateFormat=P","Fill=—","Direction=H","UseDPDF=Y")</f>
        <v>#NAME?</v>
      </c>
      <c r="R204" t="e">
        <f ca="1">_xll.BDH($C$203,"DVD_PAYOUT_RATIO","FQ1 2014","FQ1 2014","Currency=INR","Period=FQ","BEST_FPERIOD_OVERRIDE=FQ","FILING_STATUS=OR","EQY_CONSOLIDATED=Y","FA_ADJUSTED=GAAP","Sort=A","Dates=H","DateFormat=P","Fill=—","Direction=H","UseDPDF=Y")</f>
        <v>#NAME?</v>
      </c>
      <c r="S204" t="e">
        <f ca="1">_xll.BDH($C$203,"SUSTAIN_GROWTH_RT","FQ1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204" s="1" t="e">
        <f ca="1">_xll.BDH($C$203,"SALES_GROWTH","FQ1 2014","FQ1 2014","Currency=INR","Period=FQ","BEST_FPERIOD_OVERRIDE=FQ","FILING_STATUS=OR","EQY_CONSOLIDATED=Y","FA_ADJUSTED=GAAP","Sort=A","Dates=H","DateFormat=P","Fill=—","Direction=H","UseDPDF=Y")</f>
        <v>#NAME?</v>
      </c>
      <c r="U204" s="1" t="e">
        <f ca="1">_xll.BDH($C$203,"EBITDA_GROWTH","FQ1 2014","FQ1 2014","Currency=INR","Period=FQ","BEST_FPERIOD_OVERRIDE=FQ","FILING_STATUS=OR","EQY_CONSOLIDATED=Y","FA_ADJUSTED=GAAP","Sort=A","Dates=H","DateFormat=P","Fill=—","Direction=H","UseDPDF=Y")</f>
        <v>#NAME?</v>
      </c>
      <c r="V204" s="1" t="e">
        <f ca="1">_xll.BDH($C$203,"OPER_INC_GROWTH","FQ1 2014","FQ1 2014","Currency=INR","Period=FQ","BEST_FPERIOD_OVERRIDE=FQ","FILING_STATUS=OR","EQY_CONSOLIDATED=Y","FA_ADJUSTED=GAAP","Sort=A","Dates=H","DateFormat=P","Fill=—","Direction=H","UseDPDF=Y")</f>
        <v>#NAME?</v>
      </c>
      <c r="W204" s="1" t="e">
        <f ca="1">_xll.BDH($C$203,"EARN_FOR_COM_GROWTH","FQ1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04" s="1" t="e">
        <f ca="1">_xll.BDH($C$203,"DILUTED_EPS_AFT_XO_ITEMS_GROWTH","FQ1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04" s="1" t="e">
        <f ca="1">_xll.BDH($C$203,"DIVIDEND_PER_SHARE_1_YEAR_GROWTH","FQ1 2014","FQ1 2014","Currency=INR","Period=FQ","BEST_FPERIOD_OVERRIDE=FQ","FILING_STATUS=OR","EQY_CONSOLIDATED=Y","Sort=A","Dates=H","DateFormat=P","Fill=—","Direction=H","UseDPDF=Y")</f>
        <v>#NAME?</v>
      </c>
      <c r="Z204" s="1" t="e">
        <f ca="1">_xll.BDH($C$203,"ACCOUNTS_RECEIVABLE_GROWTH","FQ1 2014","FQ1 2014","Currency=INR","Period=FQ","BEST_FPERIOD_OVERRIDE=FQ","FILING_STATUS=OR","EQY_CONSOLIDATED=Y","Sort=A","Dates=H","DateFormat=P","Fill=—","Direction=H","UseDPDF=Y")</f>
        <v>#NAME?</v>
      </c>
      <c r="AA204" s="1" t="e">
        <f ca="1">_xll.BDH($C$203,"INVENTORY_GROWTH","FQ1 2014","FQ1 2014","Currency=INR","Period=FQ","BEST_FPERIOD_OVERRIDE=FQ","FILING_STATUS=OR","EQY_CONSOLIDATED=Y","Sort=A","Dates=H","DateFormat=P","Fill=—","Direction=H","UseDPDF=Y")</f>
        <v>#NAME?</v>
      </c>
      <c r="AB204" s="1" t="e">
        <f ca="1">_xll.BDH($C$203,"NET_FIXED_ASSETS_1_YEAR_GROWTH","FQ1 2014","FQ1 2014","Currency=INR","Period=FQ","BEST_FPERIOD_OVERRIDE=FQ","FILING_STATUS=OR","EQY_CONSOLIDATED=Y","Sort=A","Dates=H","DateFormat=P","Fill=—","Direction=H","UseDPDF=Y")</f>
        <v>#NAME?</v>
      </c>
      <c r="AC204" s="1" t="e">
        <f ca="1">_xll.BDH($C$203,"ASSET_GROWTH","FQ1 2014","FQ1 2014","Currency=INR","Period=FQ","BEST_FPERIOD_OVERRIDE=FQ","FILING_STATUS=OR","EQY_CONSOLIDATED=Y","Sort=A","Dates=H","DateFormat=P","Fill=—","Direction=H","UseDPDF=Y")</f>
        <v>#NAME?</v>
      </c>
      <c r="AD204" s="1" t="e">
        <f ca="1">_xll.BDH($C$203,"MODIFIED_WORK_CAP_GROWTH","FQ1 2014","FQ1 2014","Currency=INR","Period=FQ","BEST_FPERIOD_OVERRIDE=FQ","FILING_STATUS=OR","EQY_CONSOLIDATED=Y","Sort=A","Dates=H","DateFormat=P","Fill=—","Direction=H","UseDPDF=Y")</f>
        <v>#NAME?</v>
      </c>
      <c r="AE204" s="1" t="e">
        <f ca="1">_xll.BDH($C$203,"WORK_CAP_GROWTH","FQ1 2014","FQ1 2014","Currency=INR","Period=FQ","BEST_FPERIOD_OVERRIDE=FQ","FILING_STATUS=OR","EQY_CONSOLIDATED=Y","Sort=A","Dates=H","DateFormat=P","Fill=—","Direction=H","UseDPDF=Y")</f>
        <v>#NAME?</v>
      </c>
      <c r="AF204" s="1" t="e">
        <f ca="1">_xll.BDH($C$203,"ACCOUNTS_PAYABLE_GROWTH_1YR","FQ1 2014","FQ1 2014","Currency=INR","Period=FQ","BEST_FPERIOD_OVERRIDE=FQ","FILING_STATUS=OR","EQY_CONSOLIDATED=Y","Sort=A","Dates=H","DateFormat=P","Fill=—","Direction=H","UseDPDF=Y")</f>
        <v>#NAME?</v>
      </c>
      <c r="AG204" s="1" t="e">
        <f ca="1">_xll.BDH($C$203,"SHORT_TERM_DEBT_1_YEAR_GROWTH","FQ1 2014","FQ1 2014","Currency=INR","Period=FQ","BEST_FPERIOD_OVERRIDE=FQ","FILING_STATUS=OR","EQY_CONSOLIDATED=Y","Sort=A","Dates=H","DateFormat=P","Fill=—","Direction=H","UseDPDF=Y")</f>
        <v>#NAME?</v>
      </c>
      <c r="AH204" s="1" t="e">
        <f ca="1">_xll.BDH($C$203,"TOTAL_DEBT_1_YEAR_GROWTH","FQ1 2014","FQ1 2014","Currency=INR","Period=FQ","BEST_FPERIOD_OVERRIDE=FQ","FILING_STATUS=OR","EQY_CONSOLIDATED=Y","Sort=A","Dates=H","DateFormat=P","Fill=—","Direction=H","UseDPDF=Y")</f>
        <v>#NAME?</v>
      </c>
      <c r="AI204" s="1" t="e">
        <f ca="1">_xll.BDH($C$203,"TOTAL_EQUITY_1_YEAR_GROWTH","FQ1 2014","FQ1 2014","Currency=INR","Period=FQ","BEST_FPERIOD_OVERRIDE=FQ","FILING_STATUS=OR","EQY_CONSOLIDATED=Y","Sort=A","Dates=H","DateFormat=P","Fill=—","Direction=H","UseDPDF=Y")</f>
        <v>#NAME?</v>
      </c>
      <c r="AJ204" s="1" t="e">
        <f ca="1">_xll.BDH($C$203,"GROWTH_IN_CAP","FQ1 2014","FQ1 2014","Currency=INR","Period=FQ","BEST_FPERIOD_OVERRIDE=FQ","FILING_STATUS=OR","EQY_CONSOLIDATED=Y","Sort=A","Dates=H","DateFormat=P","Fill=—","Direction=H","UseDPDF=Y")</f>
        <v>#NAME?</v>
      </c>
      <c r="AK204" s="1" t="e">
        <f ca="1">_xll.BDH($C$203,"BVPS_GROWTH","FQ1 2014","FQ1 2014","Currency=INR","Period=FQ","BEST_FPERIOD_OVERRIDE=FQ","FILING_STATUS=OR","EQY_CONSOLIDATED=Y","Sort=A","Dates=H","DateFormat=P","Fill=—","Direction=H","UseDPDF=Y")</f>
        <v>#NAME?</v>
      </c>
      <c r="AL204" s="1" t="e">
        <f ca="1">_xll.BDH($C$203,"CASH_FLOW_GROWTH","FQ1 2014","FQ1 2014","Currency=INR","Period=FQ","BEST_FPERIOD_OVERRIDE=FQ","FILING_STATUS=OR","EQY_CONSOLIDATED=Y","Sort=A","Dates=H","DateFormat=P","Fill=—","Direction=H","UseDPDF=Y")</f>
        <v>#NAME?</v>
      </c>
      <c r="AM204" s="1" t="e">
        <f ca="1">_xll.BDH($C$203,"GEO_GROW_NET_SALES","FQ1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04" s="1" t="e">
        <f ca="1">_xll.BDH($C$203,"GEO_GROW_EBITDA","FQ1 2014","FQ1 2014","Currency=INR","Period=FQ","BEST_FPERIOD_OVERRIDE=FQ","FILING_STATUS=OR","EQY_CONSOLIDATED=Y","FA_ADJUSTED=GAAP","Sort=A","Dates=H","DateFormat=P","Fill=—","Direction=H","UseDPDF=Y")</f>
        <v>#NAME?</v>
      </c>
      <c r="AO204" s="1" t="e">
        <f ca="1">_xll.BDH($C$203,"GEO_GROW_OPER_INC","FQ1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04" s="1" t="e">
        <f ca="1">_xll.BDH($C$203,"NET_INCOME_TO_COMMON_5_YR_GROWTH","FQ1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04" s="1" t="e">
        <f ca="1">_xll.BDH($C$203,"5Y_GEO_GROWTH_DILUTED_EPS","FQ1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04" s="1" t="e">
        <f ca="1">_xll.BDH($C$203,"GEO_GROW_DVD_PER_SH","FQ1 2014","FQ1 2014","Currency=INR","Period=FQ","BEST_FPERIOD_OVERRIDE=FQ","FILING_STATUS=OR","EQY_CONSOLIDATED=Y","Sort=A","Dates=H","DateFormat=P","Fill=—","Direction=H","UseDPDF=Y")</f>
        <v>#NAME?</v>
      </c>
      <c r="AS204" s="1" t="e">
        <f ca="1">_xll.BDH($C$203,"ACCOUNTS_RECEIVABLE_5_YR_GROWTH","FQ1 2014","FQ1 2014","Currency=INR","Period=FQ","BEST_FPERIOD_OVERRIDE=FQ","FILING_STATUS=OR","EQY_CONSOLIDATED=Y","Sort=A","Dates=H","DateFormat=P","Fill=—","Direction=H","UseDPDF=Y")</f>
        <v>#NAME?</v>
      </c>
      <c r="AT204" s="1" t="e">
        <f ca="1">_xll.BDH($C$203,"INVENTORY_5_YEAR_GROWTH","FQ1 2014","FQ1 2014","Currency=INR","Period=FQ","BEST_FPERIOD_OVERRIDE=FQ","FILING_STATUS=OR","EQY_CONSOLIDATED=Y","Sort=A","Dates=H","DateFormat=P","Fill=—","Direction=H","UseDPDF=Y")</f>
        <v>#NAME?</v>
      </c>
      <c r="AU204" s="1" t="e">
        <f ca="1">_xll.BDH($C$203,"NET_FIXED_ASSETS_5_YEAR_GROWTH","FQ1 2014","FQ1 2014","Currency=INR","Period=FQ","BEST_FPERIOD_OVERRIDE=FQ","FILING_STATUS=OR","EQY_CONSOLIDATED=Y","Sort=A","Dates=H","DateFormat=P","Fill=—","Direction=H","UseDPDF=Y")</f>
        <v>#NAME?</v>
      </c>
      <c r="AV204" s="1" t="e">
        <f ca="1">_xll.BDH($C$203,"GEO_GROW_TOT_ASSET","FQ1 2014","FQ1 2014","Currency=INR","Period=FQ","BEST_FPERIOD_OVERRIDE=FQ","FILING_STATUS=OR","EQY_CONSOLIDATED=Y","Sort=A","Dates=H","DateFormat=P","Fill=—","Direction=H","UseDPDF=Y")</f>
        <v>#NAME?</v>
      </c>
      <c r="AW204" s="1" t="e">
        <f ca="1">_xll.BDH($C$203,"MODIFIED_WORKING_CPTL_5YR_GRWTH","FQ1 2014","FQ1 2014","Currency=INR","Period=FQ","BEST_FPERIOD_OVERRIDE=FQ","FILING_STATUS=OR","EQY_CONSOLIDATED=Y","Sort=A","Dates=H","DateFormat=P","Fill=—","Direction=H","UseDPDF=Y")</f>
        <v>#NAME?</v>
      </c>
      <c r="AX204" s="1" t="e">
        <f ca="1">_xll.BDH($C$203,"WORKING_CAPITAL_5_YEAR_GROWTH","FQ1 2014","FQ1 2014","Currency=INR","Period=FQ","BEST_FPERIOD_OVERRIDE=FQ","FILING_STATUS=OR","EQY_CONSOLIDATED=Y","Sort=A","Dates=H","DateFormat=P","Fill=—","Direction=H","UseDPDF=Y")</f>
        <v>#NAME?</v>
      </c>
      <c r="AY204" s="1" t="e">
        <f ca="1">_xll.BDH($C$203,"ACCOUNTS_PAYABLE_5_YEAR_GROWTH","FQ1 2014","FQ1 2014","Currency=INR","Period=FQ","BEST_FPERIOD_OVERRIDE=FQ","FILING_STATUS=OR","EQY_CONSOLIDATED=Y","Sort=A","Dates=H","DateFormat=P","Fill=—","Direction=H","UseDPDF=Y")</f>
        <v>#NAME?</v>
      </c>
      <c r="AZ204" s="1" t="e">
        <f ca="1">_xll.BDH($C$203,"SHORT_TERM_DEBT_5_YEAR_GROWTH","FQ1 2014","FQ1 2014","Currency=INR","Period=FQ","BEST_FPERIOD_OVERRIDE=FQ","FILING_STATUS=OR","EQY_CONSOLIDATED=Y","Sort=A","Dates=H","DateFormat=P","Fill=—","Direction=H","UseDPDF=Y")</f>
        <v>#NAME?</v>
      </c>
      <c r="BA204" s="1" t="e">
        <f ca="1">_xll.BDH($C$203,"TOTAL_DEBT_5_YEAR_GROWTH","FQ1 2014","FQ1 2014","Currency=INR","Period=FQ","BEST_FPERIOD_OVERRIDE=FQ","FILING_STATUS=OR","EQY_CONSOLIDATED=Y","Sort=A","Dates=H","DateFormat=P","Fill=—","Direction=H","UseDPDF=Y")</f>
        <v>#NAME?</v>
      </c>
      <c r="BB204" s="1" t="e">
        <f ca="1">_xll.BDH($C$203,"GEO_GROW_TOT_SHRHLDR_EQY","FQ1 2014","FQ1 2014","Currency=INR","Period=FQ","BEST_FPERIOD_OVERRIDE=FQ","FILING_STATUS=OR","EQY_CONSOLIDATED=Y","Sort=A","Dates=H","DateFormat=P","Fill=—","Direction=H","UseDPDF=Y")</f>
        <v>#NAME?</v>
      </c>
      <c r="BC204" s="1" t="e">
        <f ca="1">_xll.BDH($C$203,"TOTAL_CAPITAL_5_YEAR_GROWTH","FQ1 2014","FQ1 2014","Currency=INR","Period=FQ","BEST_FPERIOD_OVERRIDE=FQ","FILING_STATUS=OR","EQY_CONSOLIDATED=Y","Sort=A","Dates=H","DateFormat=P","Fill=—","Direction=H","UseDPDF=Y")</f>
        <v>#NAME?</v>
      </c>
      <c r="BD204" s="1" t="e">
        <f ca="1">_xll.BDH($C$203,"GEO_GROW_BOOK_VAL","FQ1 2014","FQ1 2014","Currency=INR","Period=FQ","BEST_FPERIOD_OVERRIDE=FQ","FILING_STATUS=OR","EQY_CONSOLIDATED=Y","Sort=A","Dates=H","DateFormat=P","Fill=—","Direction=H","UseDPDF=Y")</f>
        <v>#NAME?</v>
      </c>
      <c r="BE204" s="1" t="e">
        <f ca="1">_xll.BDH($C$203,"GEO_GROW_CASH_OPER_ACT","FQ1 2014","FQ1 2014","Currency=INR","Period=FQ","BEST_FPERIOD_OVERRIDE=FQ","FILING_STATUS=OR","EQY_CONSOLIDATED=Y","Sort=A","Dates=H","DateFormat=P","Fill=—","Direction=H","UseDPDF=Y")</f>
        <v>#NAME?</v>
      </c>
      <c r="BF204" s="1" t="e">
        <f ca="1">_xll.BDH($C$203,"REVENUE_SEQUENTIAL_GROWTH","FQ1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04" s="1" t="e">
        <f ca="1">_xll.BDH($C$203,"EBITDA_SEQUENTIAL_GROWTH","FQ1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04" s="1" t="e">
        <f ca="1">_xll.BDH($C$203,"OPERATING_INCOME_SEQ_GROWTH","FQ1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04" s="1" t="e">
        <f ca="1">_xll.BDH($C$203,"NET_INCOME_TO_COMMON_SEQ_GROWTH","FQ1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04" s="1" t="e">
        <f ca="1">_xll.BDH($C$203,"EPS_DILUTED_SEQUENTIAL_GROWTH","FQ1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04" s="1" t="e">
        <f ca="1">_xll.BDH($C$203,"DPS_SEQUENTIAL_GROWTH","FQ1 2014","FQ1 2014","Currency=INR","Period=FQ","BEST_FPERIOD_OVERRIDE=FQ","FILING_STATUS=OR","EQY_CONSOLIDATED=Y","Sort=A","Dates=H","DateFormat=P","Fill=—","Direction=H","UseDPDF=Y")</f>
        <v>#NAME?</v>
      </c>
      <c r="BL204" s="1" t="e">
        <f ca="1">_xll.BDH($C$203,"ACCOUNTS_RECEIVABLE_SEQ_GROWTH","FQ1 2014","FQ1 2014","Currency=INR","Period=FQ","BEST_FPERIOD_OVERRIDE=FQ","FILING_STATUS=OR","EQY_CONSOLIDATED=Y","Sort=A","Dates=H","DateFormat=P","Fill=—","Direction=H","UseDPDF=Y")</f>
        <v>#NAME?</v>
      </c>
      <c r="BM204" s="1" t="e">
        <f ca="1">_xll.BDH($C$203,"INVENTORY_SEQUENTIAL_GROWTH","FQ1 2014","FQ1 2014","Currency=INR","Period=FQ","BEST_FPERIOD_OVERRIDE=FQ","FILING_STATUS=OR","EQY_CONSOLIDATED=Y","Sort=A","Dates=H","DateFormat=P","Fill=—","Direction=H","UseDPDF=Y")</f>
        <v>#NAME?</v>
      </c>
      <c r="BN204" s="1" t="e">
        <f ca="1">_xll.BDH($C$203,"FIXED_ASSETS_SEQUENTIAL_GROWTH","FQ1 2014","FQ1 2014","Currency=INR","Period=FQ","BEST_FPERIOD_OVERRIDE=FQ","FILING_STATUS=OR","EQY_CONSOLIDATED=Y","Sort=A","Dates=H","DateFormat=P","Fill=—","Direction=H","UseDPDF=Y")</f>
        <v>#NAME?</v>
      </c>
      <c r="BO204" s="1" t="e">
        <f ca="1">_xll.BDH($C$203,"TOTAL_ASSETS_SEQUENTIAL_GROWTH","FQ1 2014","FQ1 2014","Currency=INR","Period=FQ","BEST_FPERIOD_OVERRIDE=FQ","FILING_STATUS=OR","EQY_CONSOLIDATED=Y","Sort=A","Dates=H","DateFormat=P","Fill=—","Direction=H","UseDPDF=Y")</f>
        <v>#NAME?</v>
      </c>
      <c r="BP204" s="1" t="e">
        <f ca="1">_xll.BDH($C$203,"MODIFIED_WORKING_CPTL_SEQ_GRWTH","FQ1 2014","FQ1 2014","Currency=INR","Period=FQ","BEST_FPERIOD_OVERRIDE=FQ","FILING_STATUS=OR","EQY_CONSOLIDATED=Y","Sort=A","Dates=H","DateFormat=P","Fill=—","Direction=H","UseDPDF=Y")</f>
        <v>#NAME?</v>
      </c>
      <c r="BQ204" s="1" t="e">
        <f ca="1">_xll.BDH($C$203,"WORKING_CAPITAL_SEQ_GROWTH","FQ1 2014","FQ1 2014","Currency=INR","Period=FQ","BEST_FPERIOD_OVERRIDE=FQ","FILING_STATUS=OR","EQY_CONSOLIDATED=Y","Sort=A","Dates=H","DateFormat=P","Fill=—","Direction=H","UseDPDF=Y")</f>
        <v>#NAME?</v>
      </c>
      <c r="BR204" s="1" t="e">
        <f ca="1">_xll.BDH($C$203,"ACCOUNTS_PAYABLE_SEQ_GROWTH","FQ1 2014","FQ1 2014","Currency=INR","Period=FQ","BEST_FPERIOD_OVERRIDE=FQ","FILING_STATUS=OR","EQY_CONSOLIDATED=Y","Sort=A","Dates=H","DateFormat=P","Fill=—","Direction=H","UseDPDF=Y")</f>
        <v>#NAME?</v>
      </c>
      <c r="BS204" s="1" t="e">
        <f ca="1">_xll.BDH($C$203,"ST_DEBT_SEQUENTIAL_GROWTH","FQ1 2014","FQ1 2014","Currency=INR","Period=FQ","BEST_FPERIOD_OVERRIDE=FQ","FILING_STATUS=OR","EQY_CONSOLIDATED=Y","Sort=A","Dates=H","DateFormat=P","Fill=—","Direction=H","UseDPDF=Y")</f>
        <v>#NAME?</v>
      </c>
      <c r="BT204" s="1" t="e">
        <f ca="1">_xll.BDH($C$203,"TOTAL_DEBT_SEQUENTIAL_GROWTH","FQ1 2014","FQ1 2014","Currency=INR","Period=FQ","BEST_FPERIOD_OVERRIDE=FQ","FILING_STATUS=OR","EQY_CONSOLIDATED=Y","Sort=A","Dates=H","DateFormat=P","Fill=—","Direction=H","UseDPDF=Y")</f>
        <v>#NAME?</v>
      </c>
      <c r="BU204" s="1" t="e">
        <f ca="1">_xll.BDH($C$203,"TOTAL_EQUITY_SEQUENTIAL_GROWTH","FQ1 2014","FQ1 2014","Currency=INR","Period=FQ","BEST_FPERIOD_OVERRIDE=FQ","FILING_STATUS=OR","EQY_CONSOLIDATED=Y","Sort=A","Dates=H","DateFormat=P","Fill=—","Direction=H","UseDPDF=Y")</f>
        <v>#NAME?</v>
      </c>
      <c r="BV204" s="1" t="e">
        <f ca="1">_xll.BDH($C$203,"TOTAL_CAPITAL_SEQUENTIAL_GROWTH","FQ1 2014","FQ1 2014","Currency=INR","Period=FQ","BEST_FPERIOD_OVERRIDE=FQ","FILING_STATUS=OR","EQY_CONSOLIDATED=Y","Sort=A","Dates=H","DateFormat=P","Fill=—","Direction=H","UseDPDF=Y")</f>
        <v>#NAME?</v>
      </c>
      <c r="BW204" s="1" t="e">
        <f ca="1">_xll.BDH($C$203,"BPS_SEQUENTIAL_GROWTH","FQ1 2014","FQ1 2014","Currency=INR","Period=FQ","BEST_FPERIOD_OVERRIDE=FQ","FILING_STATUS=OR","EQY_CONSOLIDATED=Y","Sort=A","Dates=H","DateFormat=P","Fill=—","Direction=H","UseDPDF=Y")</f>
        <v>#NAME?</v>
      </c>
      <c r="BX204" s="1" t="e">
        <f ca="1">_xll.BDH($C$203,"CFO_SEQUENTIAL_GROWTH","FQ1 2014","FQ1 2014","Currency=INR","Period=FQ","BEST_FPERIOD_OVERRIDE=FQ","FILING_STATUS=OR","EQY_CONSOLIDATED=Y","Sort=A","Dates=H","DateFormat=P","Fill=—","Direction=H","UseDPDF=Y")</f>
        <v>#NAME?</v>
      </c>
      <c r="BY204" s="2" t="e">
        <f ca="1">_xll.BDH($C$203,"SHORT_AND_LONG_TERM_DEBT","FQ1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04" s="2" t="e">
        <f ca="1">_xll.BDH($C$203,"BS_ST_BORROW","FQ1 2014","FQ1 2014","Currency=INR","Period=FQ","BEST_FPERIOD_OVERRIDE=FQ","FILING_STATUS=OR","EQY_CONSOLIDATED=Y","SCALING_FORMAT=MLN","Sort=A","Dates=H","DateFormat=P","Fill=—","Direction=H","UseDPDF=Y")</f>
        <v>#NAME?</v>
      </c>
      <c r="CA204" s="2" t="e">
        <f ca="1">_xll.BDH($C$203,"BS_LT_BORROW","FQ1 2014","FQ1 2014","Currency=INR","Period=FQ","BEST_FPERIOD_OVERRIDE=FQ","FILING_STATUS=OR","EQY_CONSOLIDATED=Y","SCALING_FORMAT=MLN","Sort=A","Dates=H","DateFormat=P","Fill=—","Direction=H","UseDPDF=Y")</f>
        <v>#NAME?</v>
      </c>
      <c r="CB204" s="1" t="e">
        <f ca="1">_xll.BDH($C$203,"TOT_DEBT_TO_EBITDA","FQ1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04" s="1" t="e">
        <f ca="1">_xll.BDH($C$203,"NET_DEBT_TO_EBITDA","FQ1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04" s="1" t="e">
        <f ca="1">_xll.BDH($C$203,"TOTAL_DEBT_TO_EBIT","FQ1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04" s="1" t="e">
        <f ca="1">_xll.BDH($C$203,"NET_DEBT_TO_EBIT","FQ1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204" s="1" t="e">
        <f ca="1">_xll.BDH($C$203,"EBITDA_TO_INTEREST_EXPN","FQ1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04" s="1" t="e">
        <f ca="1">_xll.BDH($C$203,"COM_EQY_TO_TOT_ASSET","FQ1 2014","FQ1 2014","Currency=INR","Period=FQ","BEST_FPERIOD_OVERRIDE=FQ","FILING_STATUS=OR","EQY_CONSOLIDATED=Y","Sort=A","Dates=H","DateFormat=P","Fill=—","Direction=H","UseDPDF=Y")</f>
        <v>#NAME?</v>
      </c>
      <c r="CH204" s="1" t="e">
        <f ca="1">_xll.BDH($C$203,"LT_DEBT_TO_TOT_EQY","FQ1 2014","FQ1 2014","Currency=INR","Period=FQ","BEST_FPERIOD_OVERRIDE=FQ","FILING_STATUS=OR","EQY_CONSOLIDATED=Y","Sort=A","Dates=H","DateFormat=P","Fill=—","Direction=H","UseDPDF=Y")</f>
        <v>#NAME?</v>
      </c>
      <c r="CI204" s="1" t="e">
        <f ca="1">_xll.BDH($C$203,"LT_DEBT_TO_TOT_CAP","FQ1 2014","FQ1 2014","Currency=INR","Period=FQ","BEST_FPERIOD_OVERRIDE=FQ","FILING_STATUS=OR","EQY_CONSOLIDATED=Y","Sort=A","Dates=H","DateFormat=P","Fill=—","Direction=H","UseDPDF=Y")</f>
        <v>#NAME?</v>
      </c>
      <c r="CJ204" s="1" t="e">
        <f ca="1">_xll.BDH($C$203,"LT_DEBT_TO_TOT_ASSET","FQ1 2014","FQ1 2014","Currency=INR","Period=FQ","BEST_FPERIOD_OVERRIDE=FQ","FILING_STATUS=OR","EQY_CONSOLIDATED=Y","Sort=A","Dates=H","DateFormat=P","Fill=—","Direction=H","UseDPDF=Y")</f>
        <v>#NAME?</v>
      </c>
      <c r="CK204" s="1" t="e">
        <f ca="1">_xll.BDH($C$203,"TOT_DEBT_TO_TOT_EQY","FQ1 2014","FQ1 2014","Currency=INR","Period=FQ","BEST_FPERIOD_OVERRIDE=FQ","FILING_STATUS=OR","EQY_CONSOLIDATED=Y","Sort=A","Dates=H","DateFormat=P","Fill=—","Direction=H","UseDPDF=Y")</f>
        <v>#NAME?</v>
      </c>
      <c r="CL204" s="1" t="e">
        <f ca="1">_xll.BDH($C$203,"TOT_DEBT_TO_TOT_CAP","FQ1 2014","FQ1 2014","Currency=INR","Period=FQ","BEST_FPERIOD_OVERRIDE=FQ","FILING_STATUS=OR","EQY_CONSOLIDATED=Y","Sort=A","Dates=H","DateFormat=P","Fill=—","Direction=H","UseDPDF=Y")</f>
        <v>#NAME?</v>
      </c>
      <c r="CM204" s="1" t="e">
        <f ca="1">_xll.BDH($C$203,"TOT_DEBT_TO_TOT_ASSET","FQ1 2014","FQ1 2014","Currency=INR","Period=FQ","BEST_FPERIOD_OVERRIDE=FQ","FILING_STATUS=OR","EQY_CONSOLIDATED=Y","Sort=A","Dates=H","DateFormat=P","Fill=—","Direction=H","UseDPDF=Y")</f>
        <v>#NAME?</v>
      </c>
      <c r="CN204" s="1" t="e">
        <f ca="1">_xll.BDH($C$203,"NET_DEBT_TO_SHRHLDR_EQTY","FQ1 2014","FQ1 2014","Currency=INR","Period=FQ","BEST_FPERIOD_OVERRIDE=FQ","FILING_STATUS=OR","EQY_CONSOLIDATED=Y","Sort=A","Dates=H","DateFormat=P","Fill=—","Direction=H","UseDPDF=Y")</f>
        <v>#NAME?</v>
      </c>
      <c r="CO204" s="1" t="e">
        <f ca="1">_xll.BDH($C$203,"NET_DEBT_%_CAPITAL","FQ1 2014","FQ1 2014","Currency=INR","Period=FQ","BEST_FPERIOD_OVERRIDE=FQ","FILING_STATUS=OR","EQY_CONSOLIDATED=Y","Sort=A","Dates=H","DateFormat=P","Fill=—","Direction=H","UseDPDF=Y")</f>
        <v>#NAME?</v>
      </c>
      <c r="CP204" s="2" t="e">
        <f ca="1">_xll.BDH($C$203,"EBITDA","FQ1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04" s="2" t="e">
        <f ca="1">_xll.BDH($C$203,"EBITDA_AFTER_CAPEX","FQ1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04" s="2" t="e">
        <f ca="1">_xll.BDH($C$203,"IS_OPER_INC","FQ1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04" s="1" t="e">
        <f ca="1">_xll.BDH($C$203,"CASH_RATIO","FQ1 2014","FQ1 2014","Currency=INR","Period=FQ","BEST_FPERIOD_OVERRIDE=FQ","FILING_STATUS=OR","EQY_CONSOLIDATED=Y","Sort=A","Dates=H","DateFormat=P","Fill=—","Direction=H","UseDPDF=Y")</f>
        <v>#NAME?</v>
      </c>
      <c r="CT204" s="1" t="e">
        <f ca="1">_xll.BDH($C$203,"CUR_RATIO","FQ1 2014","FQ1 2014","Currency=INR","Period=FQ","BEST_FPERIOD_OVERRIDE=FQ","FILING_STATUS=OR","EQY_CONSOLIDATED=Y","Sort=A","Dates=H","DateFormat=P","Fill=—","Direction=H","UseDPDF=Y")</f>
        <v>#NAME?</v>
      </c>
      <c r="CU204" s="1" t="e">
        <f ca="1">_xll.BDH($C$203,"QUICK_RATIO","FQ1 2014","FQ1 2014","Currency=INR","Period=FQ","BEST_FPERIOD_OVERRIDE=FQ","FILING_STATUS=OR","EQY_CONSOLIDATED=Y","Sort=A","Dates=H","DateFormat=P","Fill=—","Direction=H","UseDPDF=Y")</f>
        <v>#NAME?</v>
      </c>
      <c r="CV204" s="1" t="e">
        <f ca="1">_xll.BDH($C$203,"ALTMAN_Z_SCORE","FQ1 2014","FQ1 2014","Currency=INR","Period=FQ","BEST_FPERIOD_OVERRIDE=FQ","FILING_STATUS=OR","EQY_CONSOLIDATED=Y","Sort=A","Dates=H","DateFormat=P","Fill=—","Direction=H","UseDPDF=Y")</f>
        <v>#NAME?</v>
      </c>
      <c r="CW204" s="3" t="e">
        <f ca="1">_xll.BDH($C$203,"ACCT_RCV_TURN","FQ1 2014","FQ1 2014","Currency=INR","Period=FQ","BEST_FPERIOD_OVERRIDE=FQ","FILING_STATUS=OR","EQY_CONSOLIDATED=Y","FA_ADJUSTED=GAAP","Sort=A","Dates=H","DateFormat=P","Fill=—","Direction=H","UseDPDF=Y")</f>
        <v>#NAME?</v>
      </c>
      <c r="CX204" s="1" t="e">
        <f ca="1">_xll.BDH($C$203,"ACCT_RCV_DAYS","FQ1 2014","FQ1 2014","Currency=INR","Period=FQ","BEST_FPERIOD_OVERRIDE=FQ","FILING_STATUS=OR","EQY_CONSOLIDATED=Y","FA_ADJUSTED=GAAP","Sort=A","Dates=H","DateFormat=P","Fill=—","Direction=H","UseDPDF=Y")</f>
        <v>#NAME?</v>
      </c>
      <c r="CY204" s="3" t="e">
        <f ca="1">_xll.BDH($C$203,"INVENT_TURN","FQ1 2014","FQ1 2014","Currency=INR","Period=FQ","BEST_FPERIOD_OVERRIDE=FQ","FILING_STATUS=OR","EQY_CONSOLIDATED=Y","FA_ADJUSTED=GAAP","Sort=A","Dates=H","DateFormat=P","Fill=—","Direction=H","UseDPDF=Y")</f>
        <v>#NAME?</v>
      </c>
      <c r="CZ204" s="1" t="e">
        <f ca="1">_xll.BDH($C$203,"INVENT_DAYS","FQ1 2014","FQ1 2014","Currency=INR","Period=FQ","BEST_FPERIOD_OVERRIDE=FQ","FILING_STATUS=OR","EQY_CONSOLIDATED=Y","FA_ADJUSTED=GAAP","Sort=A","Dates=H","DateFormat=P","Fill=—","Direction=H","UseDPDF=Y")</f>
        <v>#NAME?</v>
      </c>
      <c r="DA204" s="3" t="e">
        <f ca="1">_xll.BDH($C$203,"ACCOUNTS_PAYABLE_TURNOVER","FQ1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04" s="1" t="e">
        <f ca="1">_xll.BDH($C$203,"ACCOUNTS_PAYABLE_TURNOVER_DAYS","FQ1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04" s="3" t="e">
        <f ca="1">_xll.BDH($C$203,"CASH_CONVERSION_CYCLE","FQ1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04" s="3" t="e">
        <f ca="1">_xll.BDH($C$203,"INV_TO_CASH_DAYS","FQ1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204" s="4" t="e">
        <f ca="1">_xll.BDH($C$203,"BS_INVENTORIES","FQ1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204" s="2" t="e">
        <f ca="1">_xll.BDH($C$203,"INVTRY_RAW_MATERIALS","FQ1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04" s="2" t="e">
        <f ca="1">_xll.BDH($C$203,"INVTRY_IN_PROGRESS","FQ1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04" s="2" t="e">
        <f ca="1">_xll.BDH($C$203,"INVTRY_FINISHED_GOODS","FQ1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04" s="2" t="e">
        <f ca="1">_xll.BDH($C$203,"BS_OTHER_INV","FQ1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05" spans="1:113" x14ac:dyDescent="0.3">
      <c r="A205" s="6"/>
      <c r="B205" s="6"/>
      <c r="C205" s="6"/>
      <c r="D205" s="6"/>
      <c r="E205" t="s">
        <v>5</v>
      </c>
      <c r="F205" t="e">
        <f ca="1">_xll.BDH($C$203,"RETURN_COM_EQY","FQ2 2014","FQ2 2014","Currency=INR","Period=FQ","BEST_FPERIOD_OVERRIDE=FQ","FILING_STATUS=OR","EQY_CONSOLIDATED=Y","FA_ADJUSTED=GAAP","Sort=A","Dates=H","DateFormat=P","Fill=—","Direction=H","UseDPDF=Y")</f>
        <v>#NAME?</v>
      </c>
      <c r="G205" t="e">
        <f ca="1">_xll.BDH($C$203,"RETURN_ON_ASSET","FQ2 2014","FQ2 2014","Currency=INR","Period=FQ","BEST_FPERIOD_OVERRIDE=FQ","FILING_STATUS=OR","EQY_CONSOLIDATED=Y","FA_ADJUSTED=GAAP","Sort=A","Dates=H","DateFormat=P","Fill=—","Direction=H","UseDPDF=Y")</f>
        <v>#NAME?</v>
      </c>
      <c r="H205" t="e">
        <f ca="1">_xll.BDH($C$203,"RETURN_ON_CAP","FQ2 2014","FQ2 2014","Currency=INR","Period=FQ","BEST_FPERIOD_OVERRIDE=FQ","FILING_STATUS=OR","EQY_CONSOLIDATED=Y","FA_ADJUSTED=GAAP","Sort=A","Dates=H","DateFormat=P","Fill=—","Direction=H","UseDPDF=Y")</f>
        <v>#NAME?</v>
      </c>
      <c r="I205" t="e">
        <f ca="1">_xll.BDH($C$203,"RETURN_ON_INV_CAPITAL","FQ2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05" t="e">
        <f ca="1">_xll.BDH($C$203,"EBITDA_TO_REVENUE","FQ2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205" t="e">
        <f ca="1">_xll.BDH($C$203,"OPER_MARGIN","FQ2 2014","FQ2 2014","Currency=INR","Period=FQ","BEST_FPERIOD_OVERRIDE=FQ","FILING_STATUS=OR","EQY_CONSOLIDATED=Y","FA_ADJUSTED=GAAP","Sort=A","Dates=H","DateFormat=P","Fill=—","Direction=H","UseDPDF=Y")</f>
        <v>#NAME?</v>
      </c>
      <c r="L205" t="e">
        <f ca="1">_xll.BDH($C$203,"INCREMENTAL_OPERATING_MARGIN","FQ2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05" t="e">
        <f ca="1">_xll.BDH($C$203,"PRETAX_INC_TO_NET_SALES","FQ2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05" t="e">
        <f ca="1">_xll.BDH($C$203,"INC_BEF_XO_ITEMS_TO_NET_SALES","FQ2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05" t="e">
        <f ca="1">_xll.BDH($C$203,"PROF_MARGIN","FQ2 2014","FQ2 2014","Currency=INR","Period=FQ","BEST_FPERIOD_OVERRIDE=FQ","FILING_STATUS=OR","EQY_CONSOLIDATED=Y","FA_ADJUSTED=GAAP","Sort=A","Dates=H","DateFormat=P","Fill=—","Direction=H","UseDPDF=Y")</f>
        <v>#NAME?</v>
      </c>
      <c r="P205" t="e">
        <f ca="1">_xll.BDH($C$203,"NET_INCOME_TO_COMMON_MARGIN","FQ2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05" t="e">
        <f ca="1">_xll.BDH($C$203,"EFF_TAX_RATE","FQ2 2014","FQ2 2014","Currency=INR","Period=FQ","BEST_FPERIOD_OVERRIDE=FQ","FILING_STATUS=OR","EQY_CONSOLIDATED=Y","FA_ADJUSTED=GAAP","Sort=A","Dates=H","DateFormat=P","Fill=—","Direction=H","UseDPDF=Y")</f>
        <v>#NAME?</v>
      </c>
      <c r="R205" t="e">
        <f ca="1">_xll.BDH($C$203,"DVD_PAYOUT_RATIO","FQ2 2014","FQ2 2014","Currency=INR","Period=FQ","BEST_FPERIOD_OVERRIDE=FQ","FILING_STATUS=OR","EQY_CONSOLIDATED=Y","FA_ADJUSTED=GAAP","Sort=A","Dates=H","DateFormat=P","Fill=—","Direction=H","UseDPDF=Y")</f>
        <v>#NAME?</v>
      </c>
      <c r="S205" t="e">
        <f ca="1">_xll.BDH($C$203,"SUSTAIN_GROWTH_RT","FQ2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205" s="1" t="e">
        <f ca="1">_xll.BDH($C$203,"SALES_GROWTH","FQ2 2014","FQ2 2014","Currency=INR","Period=FQ","BEST_FPERIOD_OVERRIDE=FQ","FILING_STATUS=OR","EQY_CONSOLIDATED=Y","FA_ADJUSTED=GAAP","Sort=A","Dates=H","DateFormat=P","Fill=—","Direction=H","UseDPDF=Y")</f>
        <v>#NAME?</v>
      </c>
      <c r="U205" s="1" t="e">
        <f ca="1">_xll.BDH($C$203,"EBITDA_GROWTH","FQ2 2014","FQ2 2014","Currency=INR","Period=FQ","BEST_FPERIOD_OVERRIDE=FQ","FILING_STATUS=OR","EQY_CONSOLIDATED=Y","FA_ADJUSTED=GAAP","Sort=A","Dates=H","DateFormat=P","Fill=—","Direction=H","UseDPDF=Y")</f>
        <v>#NAME?</v>
      </c>
      <c r="V205" s="1" t="e">
        <f ca="1">_xll.BDH($C$203,"OPER_INC_GROWTH","FQ2 2014","FQ2 2014","Currency=INR","Period=FQ","BEST_FPERIOD_OVERRIDE=FQ","FILING_STATUS=OR","EQY_CONSOLIDATED=Y","FA_ADJUSTED=GAAP","Sort=A","Dates=H","DateFormat=P","Fill=—","Direction=H","UseDPDF=Y")</f>
        <v>#NAME?</v>
      </c>
      <c r="W205" s="1" t="e">
        <f ca="1">_xll.BDH($C$203,"EARN_FOR_COM_GROWTH","FQ2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05" s="1" t="e">
        <f ca="1">_xll.BDH($C$203,"DILUTED_EPS_AFT_XO_ITEMS_GROWTH","FQ2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05" s="1" t="e">
        <f ca="1">_xll.BDH($C$203,"DIVIDEND_PER_SHARE_1_YEAR_GROWTH","FQ2 2014","FQ2 2014","Currency=INR","Period=FQ","BEST_FPERIOD_OVERRIDE=FQ","FILING_STATUS=OR","EQY_CONSOLIDATED=Y","Sort=A","Dates=H","DateFormat=P","Fill=—","Direction=H","UseDPDF=Y")</f>
        <v>#NAME?</v>
      </c>
      <c r="Z205" s="1" t="e">
        <f ca="1">_xll.BDH($C$203,"ACCOUNTS_RECEIVABLE_GROWTH","FQ2 2014","FQ2 2014","Currency=INR","Period=FQ","BEST_FPERIOD_OVERRIDE=FQ","FILING_STATUS=OR","EQY_CONSOLIDATED=Y","Sort=A","Dates=H","DateFormat=P","Fill=—","Direction=H","UseDPDF=Y")</f>
        <v>#NAME?</v>
      </c>
      <c r="AA205" s="1" t="e">
        <f ca="1">_xll.BDH($C$203,"INVENTORY_GROWTH","FQ2 2014","FQ2 2014","Currency=INR","Period=FQ","BEST_FPERIOD_OVERRIDE=FQ","FILING_STATUS=OR","EQY_CONSOLIDATED=Y","Sort=A","Dates=H","DateFormat=P","Fill=—","Direction=H","UseDPDF=Y")</f>
        <v>#NAME?</v>
      </c>
      <c r="AB205" s="1" t="e">
        <f ca="1">_xll.BDH($C$203,"NET_FIXED_ASSETS_1_YEAR_GROWTH","FQ2 2014","FQ2 2014","Currency=INR","Period=FQ","BEST_FPERIOD_OVERRIDE=FQ","FILING_STATUS=OR","EQY_CONSOLIDATED=Y","Sort=A","Dates=H","DateFormat=P","Fill=—","Direction=H","UseDPDF=Y")</f>
        <v>#NAME?</v>
      </c>
      <c r="AC205" s="1" t="e">
        <f ca="1">_xll.BDH($C$203,"ASSET_GROWTH","FQ2 2014","FQ2 2014","Currency=INR","Period=FQ","BEST_FPERIOD_OVERRIDE=FQ","FILING_STATUS=OR","EQY_CONSOLIDATED=Y","Sort=A","Dates=H","DateFormat=P","Fill=—","Direction=H","UseDPDF=Y")</f>
        <v>#NAME?</v>
      </c>
      <c r="AD205" s="1" t="e">
        <f ca="1">_xll.BDH($C$203,"MODIFIED_WORK_CAP_GROWTH","FQ2 2014","FQ2 2014","Currency=INR","Period=FQ","BEST_FPERIOD_OVERRIDE=FQ","FILING_STATUS=OR","EQY_CONSOLIDATED=Y","Sort=A","Dates=H","DateFormat=P","Fill=—","Direction=H","UseDPDF=Y")</f>
        <v>#NAME?</v>
      </c>
      <c r="AE205" s="1" t="e">
        <f ca="1">_xll.BDH($C$203,"WORK_CAP_GROWTH","FQ2 2014","FQ2 2014","Currency=INR","Period=FQ","BEST_FPERIOD_OVERRIDE=FQ","FILING_STATUS=OR","EQY_CONSOLIDATED=Y","Sort=A","Dates=H","DateFormat=P","Fill=—","Direction=H","UseDPDF=Y")</f>
        <v>#NAME?</v>
      </c>
      <c r="AF205" s="1" t="e">
        <f ca="1">_xll.BDH($C$203,"ACCOUNTS_PAYABLE_GROWTH_1YR","FQ2 2014","FQ2 2014","Currency=INR","Period=FQ","BEST_FPERIOD_OVERRIDE=FQ","FILING_STATUS=OR","EQY_CONSOLIDATED=Y","Sort=A","Dates=H","DateFormat=P","Fill=—","Direction=H","UseDPDF=Y")</f>
        <v>#NAME?</v>
      </c>
      <c r="AG205" s="1" t="e">
        <f ca="1">_xll.BDH($C$203,"SHORT_TERM_DEBT_1_YEAR_GROWTH","FQ2 2014","FQ2 2014","Currency=INR","Period=FQ","BEST_FPERIOD_OVERRIDE=FQ","FILING_STATUS=OR","EQY_CONSOLIDATED=Y","Sort=A","Dates=H","DateFormat=P","Fill=—","Direction=H","UseDPDF=Y")</f>
        <v>#NAME?</v>
      </c>
      <c r="AH205" s="1" t="e">
        <f ca="1">_xll.BDH($C$203,"TOTAL_DEBT_1_YEAR_GROWTH","FQ2 2014","FQ2 2014","Currency=INR","Period=FQ","BEST_FPERIOD_OVERRIDE=FQ","FILING_STATUS=OR","EQY_CONSOLIDATED=Y","Sort=A","Dates=H","DateFormat=P","Fill=—","Direction=H","UseDPDF=Y")</f>
        <v>#NAME?</v>
      </c>
      <c r="AI205" s="1" t="e">
        <f ca="1">_xll.BDH($C$203,"TOTAL_EQUITY_1_YEAR_GROWTH","FQ2 2014","FQ2 2014","Currency=INR","Period=FQ","BEST_FPERIOD_OVERRIDE=FQ","FILING_STATUS=OR","EQY_CONSOLIDATED=Y","Sort=A","Dates=H","DateFormat=P","Fill=—","Direction=H","UseDPDF=Y")</f>
        <v>#NAME?</v>
      </c>
      <c r="AJ205" s="1" t="e">
        <f ca="1">_xll.BDH($C$203,"GROWTH_IN_CAP","FQ2 2014","FQ2 2014","Currency=INR","Period=FQ","BEST_FPERIOD_OVERRIDE=FQ","FILING_STATUS=OR","EQY_CONSOLIDATED=Y","Sort=A","Dates=H","DateFormat=P","Fill=—","Direction=H","UseDPDF=Y")</f>
        <v>#NAME?</v>
      </c>
      <c r="AK205" s="1" t="e">
        <f ca="1">_xll.BDH($C$203,"BVPS_GROWTH","FQ2 2014","FQ2 2014","Currency=INR","Period=FQ","BEST_FPERIOD_OVERRIDE=FQ","FILING_STATUS=OR","EQY_CONSOLIDATED=Y","Sort=A","Dates=H","DateFormat=P","Fill=—","Direction=H","UseDPDF=Y")</f>
        <v>#NAME?</v>
      </c>
      <c r="AL205" s="1" t="e">
        <f ca="1">_xll.BDH($C$203,"CASH_FLOW_GROWTH","FQ2 2014","FQ2 2014","Currency=INR","Period=FQ","BEST_FPERIOD_OVERRIDE=FQ","FILING_STATUS=OR","EQY_CONSOLIDATED=Y","Sort=A","Dates=H","DateFormat=P","Fill=—","Direction=H","UseDPDF=Y")</f>
        <v>#NAME?</v>
      </c>
      <c r="AM205" s="1" t="e">
        <f ca="1">_xll.BDH($C$203,"GEO_GROW_NET_SALES","FQ2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05" s="1" t="e">
        <f ca="1">_xll.BDH($C$203,"GEO_GROW_EBITDA","FQ2 2014","FQ2 2014","Currency=INR","Period=FQ","BEST_FPERIOD_OVERRIDE=FQ","FILING_STATUS=OR","EQY_CONSOLIDATED=Y","FA_ADJUSTED=GAAP","Sort=A","Dates=H","DateFormat=P","Fill=—","Direction=H","UseDPDF=Y")</f>
        <v>#NAME?</v>
      </c>
      <c r="AO205" s="1" t="e">
        <f ca="1">_xll.BDH($C$203,"GEO_GROW_OPER_INC","FQ2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05" s="1" t="e">
        <f ca="1">_xll.BDH($C$203,"NET_INCOME_TO_COMMON_5_YR_GROWTH","FQ2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05" s="1" t="e">
        <f ca="1">_xll.BDH($C$203,"5Y_GEO_GROWTH_DILUTED_EPS","FQ2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05" s="1" t="e">
        <f ca="1">_xll.BDH($C$203,"GEO_GROW_DVD_PER_SH","FQ2 2014","FQ2 2014","Currency=INR","Period=FQ","BEST_FPERIOD_OVERRIDE=FQ","FILING_STATUS=OR","EQY_CONSOLIDATED=Y","Sort=A","Dates=H","DateFormat=P","Fill=—","Direction=H","UseDPDF=Y")</f>
        <v>#NAME?</v>
      </c>
      <c r="AS205" s="1" t="e">
        <f ca="1">_xll.BDH($C$203,"ACCOUNTS_RECEIVABLE_5_YR_GROWTH","FQ2 2014","FQ2 2014","Currency=INR","Period=FQ","BEST_FPERIOD_OVERRIDE=FQ","FILING_STATUS=OR","EQY_CONSOLIDATED=Y","Sort=A","Dates=H","DateFormat=P","Fill=—","Direction=H","UseDPDF=Y")</f>
        <v>#NAME?</v>
      </c>
      <c r="AT205" s="1" t="e">
        <f ca="1">_xll.BDH($C$203,"INVENTORY_5_YEAR_GROWTH","FQ2 2014","FQ2 2014","Currency=INR","Period=FQ","BEST_FPERIOD_OVERRIDE=FQ","FILING_STATUS=OR","EQY_CONSOLIDATED=Y","Sort=A","Dates=H","DateFormat=P","Fill=—","Direction=H","UseDPDF=Y")</f>
        <v>#NAME?</v>
      </c>
      <c r="AU205" s="1" t="e">
        <f ca="1">_xll.BDH($C$203,"NET_FIXED_ASSETS_5_YEAR_GROWTH","FQ2 2014","FQ2 2014","Currency=INR","Period=FQ","BEST_FPERIOD_OVERRIDE=FQ","FILING_STATUS=OR","EQY_CONSOLIDATED=Y","Sort=A","Dates=H","DateFormat=P","Fill=—","Direction=H","UseDPDF=Y")</f>
        <v>#NAME?</v>
      </c>
      <c r="AV205" s="1" t="e">
        <f ca="1">_xll.BDH($C$203,"GEO_GROW_TOT_ASSET","FQ2 2014","FQ2 2014","Currency=INR","Period=FQ","BEST_FPERIOD_OVERRIDE=FQ","FILING_STATUS=OR","EQY_CONSOLIDATED=Y","Sort=A","Dates=H","DateFormat=P","Fill=—","Direction=H","UseDPDF=Y")</f>
        <v>#NAME?</v>
      </c>
      <c r="AW205" s="1" t="e">
        <f ca="1">_xll.BDH($C$203,"MODIFIED_WORKING_CPTL_5YR_GRWTH","FQ2 2014","FQ2 2014","Currency=INR","Period=FQ","BEST_FPERIOD_OVERRIDE=FQ","FILING_STATUS=OR","EQY_CONSOLIDATED=Y","Sort=A","Dates=H","DateFormat=P","Fill=—","Direction=H","UseDPDF=Y")</f>
        <v>#NAME?</v>
      </c>
      <c r="AX205" s="1" t="e">
        <f ca="1">_xll.BDH($C$203,"WORKING_CAPITAL_5_YEAR_GROWTH","FQ2 2014","FQ2 2014","Currency=INR","Period=FQ","BEST_FPERIOD_OVERRIDE=FQ","FILING_STATUS=OR","EQY_CONSOLIDATED=Y","Sort=A","Dates=H","DateFormat=P","Fill=—","Direction=H","UseDPDF=Y")</f>
        <v>#NAME?</v>
      </c>
      <c r="AY205" s="1" t="e">
        <f ca="1">_xll.BDH($C$203,"ACCOUNTS_PAYABLE_5_YEAR_GROWTH","FQ2 2014","FQ2 2014","Currency=INR","Period=FQ","BEST_FPERIOD_OVERRIDE=FQ","FILING_STATUS=OR","EQY_CONSOLIDATED=Y","Sort=A","Dates=H","DateFormat=P","Fill=—","Direction=H","UseDPDF=Y")</f>
        <v>#NAME?</v>
      </c>
      <c r="AZ205" s="1" t="e">
        <f ca="1">_xll.BDH($C$203,"SHORT_TERM_DEBT_5_YEAR_GROWTH","FQ2 2014","FQ2 2014","Currency=INR","Period=FQ","BEST_FPERIOD_OVERRIDE=FQ","FILING_STATUS=OR","EQY_CONSOLIDATED=Y","Sort=A","Dates=H","DateFormat=P","Fill=—","Direction=H","UseDPDF=Y")</f>
        <v>#NAME?</v>
      </c>
      <c r="BA205" s="1" t="e">
        <f ca="1">_xll.BDH($C$203,"TOTAL_DEBT_5_YEAR_GROWTH","FQ2 2014","FQ2 2014","Currency=INR","Period=FQ","BEST_FPERIOD_OVERRIDE=FQ","FILING_STATUS=OR","EQY_CONSOLIDATED=Y","Sort=A","Dates=H","DateFormat=P","Fill=—","Direction=H","UseDPDF=Y")</f>
        <v>#NAME?</v>
      </c>
      <c r="BB205" s="1" t="e">
        <f ca="1">_xll.BDH($C$203,"GEO_GROW_TOT_SHRHLDR_EQY","FQ2 2014","FQ2 2014","Currency=INR","Period=FQ","BEST_FPERIOD_OVERRIDE=FQ","FILING_STATUS=OR","EQY_CONSOLIDATED=Y","Sort=A","Dates=H","DateFormat=P","Fill=—","Direction=H","UseDPDF=Y")</f>
        <v>#NAME?</v>
      </c>
      <c r="BC205" s="1" t="e">
        <f ca="1">_xll.BDH($C$203,"TOTAL_CAPITAL_5_YEAR_GROWTH","FQ2 2014","FQ2 2014","Currency=INR","Period=FQ","BEST_FPERIOD_OVERRIDE=FQ","FILING_STATUS=OR","EQY_CONSOLIDATED=Y","Sort=A","Dates=H","DateFormat=P","Fill=—","Direction=H","UseDPDF=Y")</f>
        <v>#NAME?</v>
      </c>
      <c r="BD205" s="1" t="e">
        <f ca="1">_xll.BDH($C$203,"GEO_GROW_BOOK_VAL","FQ2 2014","FQ2 2014","Currency=INR","Period=FQ","BEST_FPERIOD_OVERRIDE=FQ","FILING_STATUS=OR","EQY_CONSOLIDATED=Y","Sort=A","Dates=H","DateFormat=P","Fill=—","Direction=H","UseDPDF=Y")</f>
        <v>#NAME?</v>
      </c>
      <c r="BE205" s="1" t="e">
        <f ca="1">_xll.BDH($C$203,"GEO_GROW_CASH_OPER_ACT","FQ2 2014","FQ2 2014","Currency=INR","Period=FQ","BEST_FPERIOD_OVERRIDE=FQ","FILING_STATUS=OR","EQY_CONSOLIDATED=Y","Sort=A","Dates=H","DateFormat=P","Fill=—","Direction=H","UseDPDF=Y")</f>
        <v>#NAME?</v>
      </c>
      <c r="BF205" s="1" t="e">
        <f ca="1">_xll.BDH($C$203,"REVENUE_SEQUENTIAL_GROWTH","FQ2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05" s="1" t="e">
        <f ca="1">_xll.BDH($C$203,"EBITDA_SEQUENTIAL_GROWTH","FQ2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05" s="1" t="e">
        <f ca="1">_xll.BDH($C$203,"OPERATING_INCOME_SEQ_GROWTH","FQ2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05" s="1" t="e">
        <f ca="1">_xll.BDH($C$203,"NET_INCOME_TO_COMMON_SEQ_GROWTH","FQ2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05" s="1" t="e">
        <f ca="1">_xll.BDH($C$203,"EPS_DILUTED_SEQUENTIAL_GROWTH","FQ2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05" s="1" t="e">
        <f ca="1">_xll.BDH($C$203,"DPS_SEQUENTIAL_GROWTH","FQ2 2014","FQ2 2014","Currency=INR","Period=FQ","BEST_FPERIOD_OVERRIDE=FQ","FILING_STATUS=OR","EQY_CONSOLIDATED=Y","Sort=A","Dates=H","DateFormat=P","Fill=—","Direction=H","UseDPDF=Y")</f>
        <v>#NAME?</v>
      </c>
      <c r="BL205" s="1" t="e">
        <f ca="1">_xll.BDH($C$203,"ACCOUNTS_RECEIVABLE_SEQ_GROWTH","FQ2 2014","FQ2 2014","Currency=INR","Period=FQ","BEST_FPERIOD_OVERRIDE=FQ","FILING_STATUS=OR","EQY_CONSOLIDATED=Y","Sort=A","Dates=H","DateFormat=P","Fill=—","Direction=H","UseDPDF=Y")</f>
        <v>#NAME?</v>
      </c>
      <c r="BM205" s="1" t="e">
        <f ca="1">_xll.BDH($C$203,"INVENTORY_SEQUENTIAL_GROWTH","FQ2 2014","FQ2 2014","Currency=INR","Period=FQ","BEST_FPERIOD_OVERRIDE=FQ","FILING_STATUS=OR","EQY_CONSOLIDATED=Y","Sort=A","Dates=H","DateFormat=P","Fill=—","Direction=H","UseDPDF=Y")</f>
        <v>#NAME?</v>
      </c>
      <c r="BN205" s="1" t="e">
        <f ca="1">_xll.BDH($C$203,"FIXED_ASSETS_SEQUENTIAL_GROWTH","FQ2 2014","FQ2 2014","Currency=INR","Period=FQ","BEST_FPERIOD_OVERRIDE=FQ","FILING_STATUS=OR","EQY_CONSOLIDATED=Y","Sort=A","Dates=H","DateFormat=P","Fill=—","Direction=H","UseDPDF=Y")</f>
        <v>#NAME?</v>
      </c>
      <c r="BO205" s="1" t="e">
        <f ca="1">_xll.BDH($C$203,"TOTAL_ASSETS_SEQUENTIAL_GROWTH","FQ2 2014","FQ2 2014","Currency=INR","Period=FQ","BEST_FPERIOD_OVERRIDE=FQ","FILING_STATUS=OR","EQY_CONSOLIDATED=Y","Sort=A","Dates=H","DateFormat=P","Fill=—","Direction=H","UseDPDF=Y")</f>
        <v>#NAME?</v>
      </c>
      <c r="BP205" s="1" t="e">
        <f ca="1">_xll.BDH($C$203,"MODIFIED_WORKING_CPTL_SEQ_GRWTH","FQ2 2014","FQ2 2014","Currency=INR","Period=FQ","BEST_FPERIOD_OVERRIDE=FQ","FILING_STATUS=OR","EQY_CONSOLIDATED=Y","Sort=A","Dates=H","DateFormat=P","Fill=—","Direction=H","UseDPDF=Y")</f>
        <v>#NAME?</v>
      </c>
      <c r="BQ205" s="1" t="e">
        <f ca="1">_xll.BDH($C$203,"WORKING_CAPITAL_SEQ_GROWTH","FQ2 2014","FQ2 2014","Currency=INR","Period=FQ","BEST_FPERIOD_OVERRIDE=FQ","FILING_STATUS=OR","EQY_CONSOLIDATED=Y","Sort=A","Dates=H","DateFormat=P","Fill=—","Direction=H","UseDPDF=Y")</f>
        <v>#NAME?</v>
      </c>
      <c r="BR205" s="1" t="e">
        <f ca="1">_xll.BDH($C$203,"ACCOUNTS_PAYABLE_SEQ_GROWTH","FQ2 2014","FQ2 2014","Currency=INR","Period=FQ","BEST_FPERIOD_OVERRIDE=FQ","FILING_STATUS=OR","EQY_CONSOLIDATED=Y","Sort=A","Dates=H","DateFormat=P","Fill=—","Direction=H","UseDPDF=Y")</f>
        <v>#NAME?</v>
      </c>
      <c r="BS205" s="1" t="e">
        <f ca="1">_xll.BDH($C$203,"ST_DEBT_SEQUENTIAL_GROWTH","FQ2 2014","FQ2 2014","Currency=INR","Period=FQ","BEST_FPERIOD_OVERRIDE=FQ","FILING_STATUS=OR","EQY_CONSOLIDATED=Y","Sort=A","Dates=H","DateFormat=P","Fill=—","Direction=H","UseDPDF=Y")</f>
        <v>#NAME?</v>
      </c>
      <c r="BT205" s="1" t="e">
        <f ca="1">_xll.BDH($C$203,"TOTAL_DEBT_SEQUENTIAL_GROWTH","FQ2 2014","FQ2 2014","Currency=INR","Period=FQ","BEST_FPERIOD_OVERRIDE=FQ","FILING_STATUS=OR","EQY_CONSOLIDATED=Y","Sort=A","Dates=H","DateFormat=P","Fill=—","Direction=H","UseDPDF=Y")</f>
        <v>#NAME?</v>
      </c>
      <c r="BU205" s="1" t="e">
        <f ca="1">_xll.BDH($C$203,"TOTAL_EQUITY_SEQUENTIAL_GROWTH","FQ2 2014","FQ2 2014","Currency=INR","Period=FQ","BEST_FPERIOD_OVERRIDE=FQ","FILING_STATUS=OR","EQY_CONSOLIDATED=Y","Sort=A","Dates=H","DateFormat=P","Fill=—","Direction=H","UseDPDF=Y")</f>
        <v>#NAME?</v>
      </c>
      <c r="BV205" s="1" t="e">
        <f ca="1">_xll.BDH($C$203,"TOTAL_CAPITAL_SEQUENTIAL_GROWTH","FQ2 2014","FQ2 2014","Currency=INR","Period=FQ","BEST_FPERIOD_OVERRIDE=FQ","FILING_STATUS=OR","EQY_CONSOLIDATED=Y","Sort=A","Dates=H","DateFormat=P","Fill=—","Direction=H","UseDPDF=Y")</f>
        <v>#NAME?</v>
      </c>
      <c r="BW205" s="1" t="e">
        <f ca="1">_xll.BDH($C$203,"BPS_SEQUENTIAL_GROWTH","FQ2 2014","FQ2 2014","Currency=INR","Period=FQ","BEST_FPERIOD_OVERRIDE=FQ","FILING_STATUS=OR","EQY_CONSOLIDATED=Y","Sort=A","Dates=H","DateFormat=P","Fill=—","Direction=H","UseDPDF=Y")</f>
        <v>#NAME?</v>
      </c>
      <c r="BX205" s="1" t="e">
        <f ca="1">_xll.BDH($C$203,"CFO_SEQUENTIAL_GROWTH","FQ2 2014","FQ2 2014","Currency=INR","Period=FQ","BEST_FPERIOD_OVERRIDE=FQ","FILING_STATUS=OR","EQY_CONSOLIDATED=Y","Sort=A","Dates=H","DateFormat=P","Fill=—","Direction=H","UseDPDF=Y")</f>
        <v>#NAME?</v>
      </c>
      <c r="BY205" s="2" t="e">
        <f ca="1">_xll.BDH($C$203,"SHORT_AND_LONG_TERM_DEBT","FQ2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05" s="2" t="e">
        <f ca="1">_xll.BDH($C$203,"BS_ST_BORROW","FQ2 2014","FQ2 2014","Currency=INR","Period=FQ","BEST_FPERIOD_OVERRIDE=FQ","FILING_STATUS=OR","EQY_CONSOLIDATED=Y","SCALING_FORMAT=MLN","Sort=A","Dates=H","DateFormat=P","Fill=—","Direction=H","UseDPDF=Y")</f>
        <v>#NAME?</v>
      </c>
      <c r="CA205" s="2" t="e">
        <f ca="1">_xll.BDH($C$203,"BS_LT_BORROW","FQ2 2014","FQ2 2014","Currency=INR","Period=FQ","BEST_FPERIOD_OVERRIDE=FQ","FILING_STATUS=OR","EQY_CONSOLIDATED=Y","SCALING_FORMAT=MLN","Sort=A","Dates=H","DateFormat=P","Fill=—","Direction=H","UseDPDF=Y")</f>
        <v>#NAME?</v>
      </c>
      <c r="CB205" s="1" t="e">
        <f ca="1">_xll.BDH($C$203,"TOT_DEBT_TO_EBITDA","FQ2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05" s="1" t="e">
        <f ca="1">_xll.BDH($C$203,"NET_DEBT_TO_EBITDA","FQ2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05" s="1" t="e">
        <f ca="1">_xll.BDH($C$203,"TOTAL_DEBT_TO_EBIT","FQ2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05" s="1" t="e">
        <f ca="1">_xll.BDH($C$203,"NET_DEBT_TO_EBIT","FQ2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205" s="1" t="e">
        <f ca="1">_xll.BDH($C$203,"EBITDA_TO_INTEREST_EXPN","FQ2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05" s="1" t="e">
        <f ca="1">_xll.BDH($C$203,"COM_EQY_TO_TOT_ASSET","FQ2 2014","FQ2 2014","Currency=INR","Period=FQ","BEST_FPERIOD_OVERRIDE=FQ","FILING_STATUS=OR","EQY_CONSOLIDATED=Y","Sort=A","Dates=H","DateFormat=P","Fill=—","Direction=H","UseDPDF=Y")</f>
        <v>#NAME?</v>
      </c>
      <c r="CH205" s="1" t="e">
        <f ca="1">_xll.BDH($C$203,"LT_DEBT_TO_TOT_EQY","FQ2 2014","FQ2 2014","Currency=INR","Period=FQ","BEST_FPERIOD_OVERRIDE=FQ","FILING_STATUS=OR","EQY_CONSOLIDATED=Y","Sort=A","Dates=H","DateFormat=P","Fill=—","Direction=H","UseDPDF=Y")</f>
        <v>#NAME?</v>
      </c>
      <c r="CI205" s="1" t="e">
        <f ca="1">_xll.BDH($C$203,"LT_DEBT_TO_TOT_CAP","FQ2 2014","FQ2 2014","Currency=INR","Period=FQ","BEST_FPERIOD_OVERRIDE=FQ","FILING_STATUS=OR","EQY_CONSOLIDATED=Y","Sort=A","Dates=H","DateFormat=P","Fill=—","Direction=H","UseDPDF=Y")</f>
        <v>#NAME?</v>
      </c>
      <c r="CJ205" s="1" t="e">
        <f ca="1">_xll.BDH($C$203,"LT_DEBT_TO_TOT_ASSET","FQ2 2014","FQ2 2014","Currency=INR","Period=FQ","BEST_FPERIOD_OVERRIDE=FQ","FILING_STATUS=OR","EQY_CONSOLIDATED=Y","Sort=A","Dates=H","DateFormat=P","Fill=—","Direction=H","UseDPDF=Y")</f>
        <v>#NAME?</v>
      </c>
      <c r="CK205" s="1" t="e">
        <f ca="1">_xll.BDH($C$203,"TOT_DEBT_TO_TOT_EQY","FQ2 2014","FQ2 2014","Currency=INR","Period=FQ","BEST_FPERIOD_OVERRIDE=FQ","FILING_STATUS=OR","EQY_CONSOLIDATED=Y","Sort=A","Dates=H","DateFormat=P","Fill=—","Direction=H","UseDPDF=Y")</f>
        <v>#NAME?</v>
      </c>
      <c r="CL205" s="1" t="e">
        <f ca="1">_xll.BDH($C$203,"TOT_DEBT_TO_TOT_CAP","FQ2 2014","FQ2 2014","Currency=INR","Period=FQ","BEST_FPERIOD_OVERRIDE=FQ","FILING_STATUS=OR","EQY_CONSOLIDATED=Y","Sort=A","Dates=H","DateFormat=P","Fill=—","Direction=H","UseDPDF=Y")</f>
        <v>#NAME?</v>
      </c>
      <c r="CM205" s="1" t="e">
        <f ca="1">_xll.BDH($C$203,"TOT_DEBT_TO_TOT_ASSET","FQ2 2014","FQ2 2014","Currency=INR","Period=FQ","BEST_FPERIOD_OVERRIDE=FQ","FILING_STATUS=OR","EQY_CONSOLIDATED=Y","Sort=A","Dates=H","DateFormat=P","Fill=—","Direction=H","UseDPDF=Y")</f>
        <v>#NAME?</v>
      </c>
      <c r="CN205" s="1" t="e">
        <f ca="1">_xll.BDH($C$203,"NET_DEBT_TO_SHRHLDR_EQTY","FQ2 2014","FQ2 2014","Currency=INR","Period=FQ","BEST_FPERIOD_OVERRIDE=FQ","FILING_STATUS=OR","EQY_CONSOLIDATED=Y","Sort=A","Dates=H","DateFormat=P","Fill=—","Direction=H","UseDPDF=Y")</f>
        <v>#NAME?</v>
      </c>
      <c r="CO205" s="1" t="e">
        <f ca="1">_xll.BDH($C$203,"NET_DEBT_%_CAPITAL","FQ2 2014","FQ2 2014","Currency=INR","Period=FQ","BEST_FPERIOD_OVERRIDE=FQ","FILING_STATUS=OR","EQY_CONSOLIDATED=Y","Sort=A","Dates=H","DateFormat=P","Fill=—","Direction=H","UseDPDF=Y")</f>
        <v>#NAME?</v>
      </c>
      <c r="CP205" s="2" t="e">
        <f ca="1">_xll.BDH($C$203,"EBITDA","FQ2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05" s="2" t="e">
        <f ca="1">_xll.BDH($C$203,"EBITDA_AFTER_CAPEX","FQ2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05" s="2" t="e">
        <f ca="1">_xll.BDH($C$203,"IS_OPER_INC","FQ2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05" s="1" t="e">
        <f ca="1">_xll.BDH($C$203,"CASH_RATIO","FQ2 2014","FQ2 2014","Currency=INR","Period=FQ","BEST_FPERIOD_OVERRIDE=FQ","FILING_STATUS=OR","EQY_CONSOLIDATED=Y","Sort=A","Dates=H","DateFormat=P","Fill=—","Direction=H","UseDPDF=Y")</f>
        <v>#NAME?</v>
      </c>
      <c r="CT205" s="1" t="e">
        <f ca="1">_xll.BDH($C$203,"CUR_RATIO","FQ2 2014","FQ2 2014","Currency=INR","Period=FQ","BEST_FPERIOD_OVERRIDE=FQ","FILING_STATUS=OR","EQY_CONSOLIDATED=Y","Sort=A","Dates=H","DateFormat=P","Fill=—","Direction=H","UseDPDF=Y")</f>
        <v>#NAME?</v>
      </c>
      <c r="CU205" s="1" t="e">
        <f ca="1">_xll.BDH($C$203,"QUICK_RATIO","FQ2 2014","FQ2 2014","Currency=INR","Period=FQ","BEST_FPERIOD_OVERRIDE=FQ","FILING_STATUS=OR","EQY_CONSOLIDATED=Y","Sort=A","Dates=H","DateFormat=P","Fill=—","Direction=H","UseDPDF=Y")</f>
        <v>#NAME?</v>
      </c>
      <c r="CV205" s="1" t="e">
        <f ca="1">_xll.BDH($C$203,"ALTMAN_Z_SCORE","FQ2 2014","FQ2 2014","Currency=INR","Period=FQ","BEST_FPERIOD_OVERRIDE=FQ","FILING_STATUS=OR","EQY_CONSOLIDATED=Y","Sort=A","Dates=H","DateFormat=P","Fill=—","Direction=H","UseDPDF=Y")</f>
        <v>#NAME?</v>
      </c>
      <c r="CW205" s="3" t="e">
        <f ca="1">_xll.BDH($C$203,"ACCT_RCV_TURN","FQ2 2014","FQ2 2014","Currency=INR","Period=FQ","BEST_FPERIOD_OVERRIDE=FQ","FILING_STATUS=OR","EQY_CONSOLIDATED=Y","FA_ADJUSTED=GAAP","Sort=A","Dates=H","DateFormat=P","Fill=—","Direction=H","UseDPDF=Y")</f>
        <v>#NAME?</v>
      </c>
      <c r="CX205" s="1" t="e">
        <f ca="1">_xll.BDH($C$203,"ACCT_RCV_DAYS","FQ2 2014","FQ2 2014","Currency=INR","Period=FQ","BEST_FPERIOD_OVERRIDE=FQ","FILING_STATUS=OR","EQY_CONSOLIDATED=Y","FA_ADJUSTED=GAAP","Sort=A","Dates=H","DateFormat=P","Fill=—","Direction=H","UseDPDF=Y")</f>
        <v>#NAME?</v>
      </c>
      <c r="CY205" s="3" t="e">
        <f ca="1">_xll.BDH($C$203,"INVENT_TURN","FQ2 2014","FQ2 2014","Currency=INR","Period=FQ","BEST_FPERIOD_OVERRIDE=FQ","FILING_STATUS=OR","EQY_CONSOLIDATED=Y","FA_ADJUSTED=GAAP","Sort=A","Dates=H","DateFormat=P","Fill=—","Direction=H","UseDPDF=Y")</f>
        <v>#NAME?</v>
      </c>
      <c r="CZ205" s="1" t="e">
        <f ca="1">_xll.BDH($C$203,"INVENT_DAYS","FQ2 2014","FQ2 2014","Currency=INR","Period=FQ","BEST_FPERIOD_OVERRIDE=FQ","FILING_STATUS=OR","EQY_CONSOLIDATED=Y","FA_ADJUSTED=GAAP","Sort=A","Dates=H","DateFormat=P","Fill=—","Direction=H","UseDPDF=Y")</f>
        <v>#NAME?</v>
      </c>
      <c r="DA205" s="3" t="e">
        <f ca="1">_xll.BDH($C$203,"ACCOUNTS_PAYABLE_TURNOVER","FQ2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05" s="1" t="e">
        <f ca="1">_xll.BDH($C$203,"ACCOUNTS_PAYABLE_TURNOVER_DAYS","FQ2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05" s="3" t="e">
        <f ca="1">_xll.BDH($C$203,"CASH_CONVERSION_CYCLE","FQ2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05" s="3" t="e">
        <f ca="1">_xll.BDH($C$203,"INV_TO_CASH_DAYS","FQ2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205" s="4" t="e">
        <f ca="1">_xll.BDH($C$203,"BS_INVENTORIES","FQ2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205" s="2" t="e">
        <f ca="1">_xll.BDH($C$203,"INVTRY_RAW_MATERIALS","FQ2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05" s="2" t="e">
        <f ca="1">_xll.BDH($C$203,"INVTRY_IN_PROGRESS","FQ2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05" s="2" t="e">
        <f ca="1">_xll.BDH($C$203,"INVTRY_FINISHED_GOODS","FQ2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05" s="2" t="e">
        <f ca="1">_xll.BDH($C$203,"BS_OTHER_INV","FQ2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06" spans="1:113" x14ac:dyDescent="0.3">
      <c r="A206" s="6"/>
      <c r="B206" s="6"/>
      <c r="C206" s="6"/>
      <c r="D206" s="6"/>
      <c r="E206" t="s">
        <v>6</v>
      </c>
      <c r="F206" t="e">
        <f ca="1">_xll.BDH($C$203,"RETURN_COM_EQY","FQ3 2014","FQ3 2014","Currency=INR","Period=FQ","BEST_FPERIOD_OVERRIDE=FQ","FILING_STATUS=OR","EQY_CONSOLIDATED=Y","FA_ADJUSTED=GAAP","Sort=A","Dates=H","DateFormat=P","Fill=—","Direction=H","UseDPDF=Y")</f>
        <v>#NAME?</v>
      </c>
      <c r="G206" t="e">
        <f ca="1">_xll.BDH($C$203,"RETURN_ON_ASSET","FQ3 2014","FQ3 2014","Currency=INR","Period=FQ","BEST_FPERIOD_OVERRIDE=FQ","FILING_STATUS=OR","EQY_CONSOLIDATED=Y","FA_ADJUSTED=GAAP","Sort=A","Dates=H","DateFormat=P","Fill=—","Direction=H","UseDPDF=Y")</f>
        <v>#NAME?</v>
      </c>
      <c r="H206" t="e">
        <f ca="1">_xll.BDH($C$203,"RETURN_ON_CAP","FQ3 2014","FQ3 2014","Currency=INR","Period=FQ","BEST_FPERIOD_OVERRIDE=FQ","FILING_STATUS=OR","EQY_CONSOLIDATED=Y","FA_ADJUSTED=GAAP","Sort=A","Dates=H","DateFormat=P","Fill=—","Direction=H","UseDPDF=Y")</f>
        <v>#NAME?</v>
      </c>
      <c r="I206" t="e">
        <f ca="1">_xll.BDH($C$203,"RETURN_ON_INV_CAPITAL","FQ3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06" t="e">
        <f ca="1">_xll.BDH($C$203,"EBITDA_TO_REVENUE","FQ3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206" t="e">
        <f ca="1">_xll.BDH($C$203,"OPER_MARGIN","FQ3 2014","FQ3 2014","Currency=INR","Period=FQ","BEST_FPERIOD_OVERRIDE=FQ","FILING_STATUS=OR","EQY_CONSOLIDATED=Y","FA_ADJUSTED=GAAP","Sort=A","Dates=H","DateFormat=P","Fill=—","Direction=H","UseDPDF=Y")</f>
        <v>#NAME?</v>
      </c>
      <c r="L206" t="e">
        <f ca="1">_xll.BDH($C$203,"INCREMENTAL_OPERATING_MARGIN","FQ3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06" t="e">
        <f ca="1">_xll.BDH($C$203,"PRETAX_INC_TO_NET_SALES","FQ3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06" t="e">
        <f ca="1">_xll.BDH($C$203,"INC_BEF_XO_ITEMS_TO_NET_SALES","FQ3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06" t="e">
        <f ca="1">_xll.BDH($C$203,"PROF_MARGIN","FQ3 2014","FQ3 2014","Currency=INR","Period=FQ","BEST_FPERIOD_OVERRIDE=FQ","FILING_STATUS=OR","EQY_CONSOLIDATED=Y","FA_ADJUSTED=GAAP","Sort=A","Dates=H","DateFormat=P","Fill=—","Direction=H","UseDPDF=Y")</f>
        <v>#NAME?</v>
      </c>
      <c r="P206" t="e">
        <f ca="1">_xll.BDH($C$203,"NET_INCOME_TO_COMMON_MARGIN","FQ3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06" t="e">
        <f ca="1">_xll.BDH($C$203,"EFF_TAX_RATE","FQ3 2014","FQ3 2014","Currency=INR","Period=FQ","BEST_FPERIOD_OVERRIDE=FQ","FILING_STATUS=OR","EQY_CONSOLIDATED=Y","FA_ADJUSTED=GAAP","Sort=A","Dates=H","DateFormat=P","Fill=—","Direction=H","UseDPDF=Y")</f>
        <v>#NAME?</v>
      </c>
      <c r="R206" t="e">
        <f ca="1">_xll.BDH($C$203,"DVD_PAYOUT_RATIO","FQ3 2014","FQ3 2014","Currency=INR","Period=FQ","BEST_FPERIOD_OVERRIDE=FQ","FILING_STATUS=OR","EQY_CONSOLIDATED=Y","FA_ADJUSTED=GAAP","Sort=A","Dates=H","DateFormat=P","Fill=—","Direction=H","UseDPDF=Y")</f>
        <v>#NAME?</v>
      </c>
      <c r="S206" t="e">
        <f ca="1">_xll.BDH($C$203,"SUSTAIN_GROWTH_RT","FQ3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206" s="1" t="e">
        <f ca="1">_xll.BDH($C$203,"SALES_GROWTH","FQ3 2014","FQ3 2014","Currency=INR","Period=FQ","BEST_FPERIOD_OVERRIDE=FQ","FILING_STATUS=OR","EQY_CONSOLIDATED=Y","FA_ADJUSTED=GAAP","Sort=A","Dates=H","DateFormat=P","Fill=—","Direction=H","UseDPDF=Y")</f>
        <v>#NAME?</v>
      </c>
      <c r="U206" s="1" t="e">
        <f ca="1">_xll.BDH($C$203,"EBITDA_GROWTH","FQ3 2014","FQ3 2014","Currency=INR","Period=FQ","BEST_FPERIOD_OVERRIDE=FQ","FILING_STATUS=OR","EQY_CONSOLIDATED=Y","FA_ADJUSTED=GAAP","Sort=A","Dates=H","DateFormat=P","Fill=—","Direction=H","UseDPDF=Y")</f>
        <v>#NAME?</v>
      </c>
      <c r="V206" s="1" t="e">
        <f ca="1">_xll.BDH($C$203,"OPER_INC_GROWTH","FQ3 2014","FQ3 2014","Currency=INR","Period=FQ","BEST_FPERIOD_OVERRIDE=FQ","FILING_STATUS=OR","EQY_CONSOLIDATED=Y","FA_ADJUSTED=GAAP","Sort=A","Dates=H","DateFormat=P","Fill=—","Direction=H","UseDPDF=Y")</f>
        <v>#NAME?</v>
      </c>
      <c r="W206" s="1" t="e">
        <f ca="1">_xll.BDH($C$203,"EARN_FOR_COM_GROWTH","FQ3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06" s="1" t="e">
        <f ca="1">_xll.BDH($C$203,"DILUTED_EPS_AFT_XO_ITEMS_GROWTH","FQ3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06" s="1" t="e">
        <f ca="1">_xll.BDH($C$203,"DIVIDEND_PER_SHARE_1_YEAR_GROWTH","FQ3 2014","FQ3 2014","Currency=INR","Period=FQ","BEST_FPERIOD_OVERRIDE=FQ","FILING_STATUS=OR","EQY_CONSOLIDATED=Y","Sort=A","Dates=H","DateFormat=P","Fill=—","Direction=H","UseDPDF=Y")</f>
        <v>#NAME?</v>
      </c>
      <c r="Z206" s="1" t="e">
        <f ca="1">_xll.BDH($C$203,"ACCOUNTS_RECEIVABLE_GROWTH","FQ3 2014","FQ3 2014","Currency=INR","Period=FQ","BEST_FPERIOD_OVERRIDE=FQ","FILING_STATUS=OR","EQY_CONSOLIDATED=Y","Sort=A","Dates=H","DateFormat=P","Fill=—","Direction=H","UseDPDF=Y")</f>
        <v>#NAME?</v>
      </c>
      <c r="AA206" s="1" t="e">
        <f ca="1">_xll.BDH($C$203,"INVENTORY_GROWTH","FQ3 2014","FQ3 2014","Currency=INR","Period=FQ","BEST_FPERIOD_OVERRIDE=FQ","FILING_STATUS=OR","EQY_CONSOLIDATED=Y","Sort=A","Dates=H","DateFormat=P","Fill=—","Direction=H","UseDPDF=Y")</f>
        <v>#NAME?</v>
      </c>
      <c r="AB206" s="1" t="e">
        <f ca="1">_xll.BDH($C$203,"NET_FIXED_ASSETS_1_YEAR_GROWTH","FQ3 2014","FQ3 2014","Currency=INR","Period=FQ","BEST_FPERIOD_OVERRIDE=FQ","FILING_STATUS=OR","EQY_CONSOLIDATED=Y","Sort=A","Dates=H","DateFormat=P","Fill=—","Direction=H","UseDPDF=Y")</f>
        <v>#NAME?</v>
      </c>
      <c r="AC206" s="1" t="e">
        <f ca="1">_xll.BDH($C$203,"ASSET_GROWTH","FQ3 2014","FQ3 2014","Currency=INR","Period=FQ","BEST_FPERIOD_OVERRIDE=FQ","FILING_STATUS=OR","EQY_CONSOLIDATED=Y","Sort=A","Dates=H","DateFormat=P","Fill=—","Direction=H","UseDPDF=Y")</f>
        <v>#NAME?</v>
      </c>
      <c r="AD206" s="1" t="e">
        <f ca="1">_xll.BDH($C$203,"MODIFIED_WORK_CAP_GROWTH","FQ3 2014","FQ3 2014","Currency=INR","Period=FQ","BEST_FPERIOD_OVERRIDE=FQ","FILING_STATUS=OR","EQY_CONSOLIDATED=Y","Sort=A","Dates=H","DateFormat=P","Fill=—","Direction=H","UseDPDF=Y")</f>
        <v>#NAME?</v>
      </c>
      <c r="AE206" s="1" t="e">
        <f ca="1">_xll.BDH($C$203,"WORK_CAP_GROWTH","FQ3 2014","FQ3 2014","Currency=INR","Period=FQ","BEST_FPERIOD_OVERRIDE=FQ","FILING_STATUS=OR","EQY_CONSOLIDATED=Y","Sort=A","Dates=H","DateFormat=P","Fill=—","Direction=H","UseDPDF=Y")</f>
        <v>#NAME?</v>
      </c>
      <c r="AF206" s="1" t="e">
        <f ca="1">_xll.BDH($C$203,"ACCOUNTS_PAYABLE_GROWTH_1YR","FQ3 2014","FQ3 2014","Currency=INR","Period=FQ","BEST_FPERIOD_OVERRIDE=FQ","FILING_STATUS=OR","EQY_CONSOLIDATED=Y","Sort=A","Dates=H","DateFormat=P","Fill=—","Direction=H","UseDPDF=Y")</f>
        <v>#NAME?</v>
      </c>
      <c r="AG206" s="1" t="e">
        <f ca="1">_xll.BDH($C$203,"SHORT_TERM_DEBT_1_YEAR_GROWTH","FQ3 2014","FQ3 2014","Currency=INR","Period=FQ","BEST_FPERIOD_OVERRIDE=FQ","FILING_STATUS=OR","EQY_CONSOLIDATED=Y","Sort=A","Dates=H","DateFormat=P","Fill=—","Direction=H","UseDPDF=Y")</f>
        <v>#NAME?</v>
      </c>
      <c r="AH206" s="1" t="e">
        <f ca="1">_xll.BDH($C$203,"TOTAL_DEBT_1_YEAR_GROWTH","FQ3 2014","FQ3 2014","Currency=INR","Period=FQ","BEST_FPERIOD_OVERRIDE=FQ","FILING_STATUS=OR","EQY_CONSOLIDATED=Y","Sort=A","Dates=H","DateFormat=P","Fill=—","Direction=H","UseDPDF=Y")</f>
        <v>#NAME?</v>
      </c>
      <c r="AI206" s="1" t="e">
        <f ca="1">_xll.BDH($C$203,"TOTAL_EQUITY_1_YEAR_GROWTH","FQ3 2014","FQ3 2014","Currency=INR","Period=FQ","BEST_FPERIOD_OVERRIDE=FQ","FILING_STATUS=OR","EQY_CONSOLIDATED=Y","Sort=A","Dates=H","DateFormat=P","Fill=—","Direction=H","UseDPDF=Y")</f>
        <v>#NAME?</v>
      </c>
      <c r="AJ206" s="1" t="e">
        <f ca="1">_xll.BDH($C$203,"GROWTH_IN_CAP","FQ3 2014","FQ3 2014","Currency=INR","Period=FQ","BEST_FPERIOD_OVERRIDE=FQ","FILING_STATUS=OR","EQY_CONSOLIDATED=Y","Sort=A","Dates=H","DateFormat=P","Fill=—","Direction=H","UseDPDF=Y")</f>
        <v>#NAME?</v>
      </c>
      <c r="AK206" s="1" t="e">
        <f ca="1">_xll.BDH($C$203,"BVPS_GROWTH","FQ3 2014","FQ3 2014","Currency=INR","Period=FQ","BEST_FPERIOD_OVERRIDE=FQ","FILING_STATUS=OR","EQY_CONSOLIDATED=Y","Sort=A","Dates=H","DateFormat=P","Fill=—","Direction=H","UseDPDF=Y")</f>
        <v>#NAME?</v>
      </c>
      <c r="AL206" s="1" t="e">
        <f ca="1">_xll.BDH($C$203,"CASH_FLOW_GROWTH","FQ3 2014","FQ3 2014","Currency=INR","Period=FQ","BEST_FPERIOD_OVERRIDE=FQ","FILING_STATUS=OR","EQY_CONSOLIDATED=Y","Sort=A","Dates=H","DateFormat=P","Fill=—","Direction=H","UseDPDF=Y")</f>
        <v>#NAME?</v>
      </c>
      <c r="AM206" s="1" t="e">
        <f ca="1">_xll.BDH($C$203,"GEO_GROW_NET_SALES","FQ3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06" s="1" t="e">
        <f ca="1">_xll.BDH($C$203,"GEO_GROW_EBITDA","FQ3 2014","FQ3 2014","Currency=INR","Period=FQ","BEST_FPERIOD_OVERRIDE=FQ","FILING_STATUS=OR","EQY_CONSOLIDATED=Y","FA_ADJUSTED=GAAP","Sort=A","Dates=H","DateFormat=P","Fill=—","Direction=H","UseDPDF=Y")</f>
        <v>#NAME?</v>
      </c>
      <c r="AO206" s="1" t="e">
        <f ca="1">_xll.BDH($C$203,"GEO_GROW_OPER_INC","FQ3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06" s="1" t="e">
        <f ca="1">_xll.BDH($C$203,"NET_INCOME_TO_COMMON_5_YR_GROWTH","FQ3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06" s="1" t="e">
        <f ca="1">_xll.BDH($C$203,"5Y_GEO_GROWTH_DILUTED_EPS","FQ3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06" s="1" t="e">
        <f ca="1">_xll.BDH($C$203,"GEO_GROW_DVD_PER_SH","FQ3 2014","FQ3 2014","Currency=INR","Period=FQ","BEST_FPERIOD_OVERRIDE=FQ","FILING_STATUS=OR","EQY_CONSOLIDATED=Y","Sort=A","Dates=H","DateFormat=P","Fill=—","Direction=H","UseDPDF=Y")</f>
        <v>#NAME?</v>
      </c>
      <c r="AS206" s="1" t="e">
        <f ca="1">_xll.BDH($C$203,"ACCOUNTS_RECEIVABLE_5_YR_GROWTH","FQ3 2014","FQ3 2014","Currency=INR","Period=FQ","BEST_FPERIOD_OVERRIDE=FQ","FILING_STATUS=OR","EQY_CONSOLIDATED=Y","Sort=A","Dates=H","DateFormat=P","Fill=—","Direction=H","UseDPDF=Y")</f>
        <v>#NAME?</v>
      </c>
      <c r="AT206" s="1" t="e">
        <f ca="1">_xll.BDH($C$203,"INVENTORY_5_YEAR_GROWTH","FQ3 2014","FQ3 2014","Currency=INR","Period=FQ","BEST_FPERIOD_OVERRIDE=FQ","FILING_STATUS=OR","EQY_CONSOLIDATED=Y","Sort=A","Dates=H","DateFormat=P","Fill=—","Direction=H","UseDPDF=Y")</f>
        <v>#NAME?</v>
      </c>
      <c r="AU206" s="1" t="e">
        <f ca="1">_xll.BDH($C$203,"NET_FIXED_ASSETS_5_YEAR_GROWTH","FQ3 2014","FQ3 2014","Currency=INR","Period=FQ","BEST_FPERIOD_OVERRIDE=FQ","FILING_STATUS=OR","EQY_CONSOLIDATED=Y","Sort=A","Dates=H","DateFormat=P","Fill=—","Direction=H","UseDPDF=Y")</f>
        <v>#NAME?</v>
      </c>
      <c r="AV206" s="1" t="e">
        <f ca="1">_xll.BDH($C$203,"GEO_GROW_TOT_ASSET","FQ3 2014","FQ3 2014","Currency=INR","Period=FQ","BEST_FPERIOD_OVERRIDE=FQ","FILING_STATUS=OR","EQY_CONSOLIDATED=Y","Sort=A","Dates=H","DateFormat=P","Fill=—","Direction=H","UseDPDF=Y")</f>
        <v>#NAME?</v>
      </c>
      <c r="AW206" s="1" t="e">
        <f ca="1">_xll.BDH($C$203,"MODIFIED_WORKING_CPTL_5YR_GRWTH","FQ3 2014","FQ3 2014","Currency=INR","Period=FQ","BEST_FPERIOD_OVERRIDE=FQ","FILING_STATUS=OR","EQY_CONSOLIDATED=Y","Sort=A","Dates=H","DateFormat=P","Fill=—","Direction=H","UseDPDF=Y")</f>
        <v>#NAME?</v>
      </c>
      <c r="AX206" s="1" t="e">
        <f ca="1">_xll.BDH($C$203,"WORKING_CAPITAL_5_YEAR_GROWTH","FQ3 2014","FQ3 2014","Currency=INR","Period=FQ","BEST_FPERIOD_OVERRIDE=FQ","FILING_STATUS=OR","EQY_CONSOLIDATED=Y","Sort=A","Dates=H","DateFormat=P","Fill=—","Direction=H","UseDPDF=Y")</f>
        <v>#NAME?</v>
      </c>
      <c r="AY206" s="1" t="e">
        <f ca="1">_xll.BDH($C$203,"ACCOUNTS_PAYABLE_5_YEAR_GROWTH","FQ3 2014","FQ3 2014","Currency=INR","Period=FQ","BEST_FPERIOD_OVERRIDE=FQ","FILING_STATUS=OR","EQY_CONSOLIDATED=Y","Sort=A","Dates=H","DateFormat=P","Fill=—","Direction=H","UseDPDF=Y")</f>
        <v>#NAME?</v>
      </c>
      <c r="AZ206" s="1" t="e">
        <f ca="1">_xll.BDH($C$203,"SHORT_TERM_DEBT_5_YEAR_GROWTH","FQ3 2014","FQ3 2014","Currency=INR","Period=FQ","BEST_FPERIOD_OVERRIDE=FQ","FILING_STATUS=OR","EQY_CONSOLIDATED=Y","Sort=A","Dates=H","DateFormat=P","Fill=—","Direction=H","UseDPDF=Y")</f>
        <v>#NAME?</v>
      </c>
      <c r="BA206" s="1" t="e">
        <f ca="1">_xll.BDH($C$203,"TOTAL_DEBT_5_YEAR_GROWTH","FQ3 2014","FQ3 2014","Currency=INR","Period=FQ","BEST_FPERIOD_OVERRIDE=FQ","FILING_STATUS=OR","EQY_CONSOLIDATED=Y","Sort=A","Dates=H","DateFormat=P","Fill=—","Direction=H","UseDPDF=Y")</f>
        <v>#NAME?</v>
      </c>
      <c r="BB206" s="1" t="e">
        <f ca="1">_xll.BDH($C$203,"GEO_GROW_TOT_SHRHLDR_EQY","FQ3 2014","FQ3 2014","Currency=INR","Period=FQ","BEST_FPERIOD_OVERRIDE=FQ","FILING_STATUS=OR","EQY_CONSOLIDATED=Y","Sort=A","Dates=H","DateFormat=P","Fill=—","Direction=H","UseDPDF=Y")</f>
        <v>#NAME?</v>
      </c>
      <c r="BC206" s="1" t="e">
        <f ca="1">_xll.BDH($C$203,"TOTAL_CAPITAL_5_YEAR_GROWTH","FQ3 2014","FQ3 2014","Currency=INR","Period=FQ","BEST_FPERIOD_OVERRIDE=FQ","FILING_STATUS=OR","EQY_CONSOLIDATED=Y","Sort=A","Dates=H","DateFormat=P","Fill=—","Direction=H","UseDPDF=Y")</f>
        <v>#NAME?</v>
      </c>
      <c r="BD206" s="1" t="e">
        <f ca="1">_xll.BDH($C$203,"GEO_GROW_BOOK_VAL","FQ3 2014","FQ3 2014","Currency=INR","Period=FQ","BEST_FPERIOD_OVERRIDE=FQ","FILING_STATUS=OR","EQY_CONSOLIDATED=Y","Sort=A","Dates=H","DateFormat=P","Fill=—","Direction=H","UseDPDF=Y")</f>
        <v>#NAME?</v>
      </c>
      <c r="BE206" s="1" t="e">
        <f ca="1">_xll.BDH($C$203,"GEO_GROW_CASH_OPER_ACT","FQ3 2014","FQ3 2014","Currency=INR","Period=FQ","BEST_FPERIOD_OVERRIDE=FQ","FILING_STATUS=OR","EQY_CONSOLIDATED=Y","Sort=A","Dates=H","DateFormat=P","Fill=—","Direction=H","UseDPDF=Y")</f>
        <v>#NAME?</v>
      </c>
      <c r="BF206" s="1" t="e">
        <f ca="1">_xll.BDH($C$203,"REVENUE_SEQUENTIAL_GROWTH","FQ3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06" s="1" t="e">
        <f ca="1">_xll.BDH($C$203,"EBITDA_SEQUENTIAL_GROWTH","FQ3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06" s="1" t="e">
        <f ca="1">_xll.BDH($C$203,"OPERATING_INCOME_SEQ_GROWTH","FQ3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06" s="1" t="e">
        <f ca="1">_xll.BDH($C$203,"NET_INCOME_TO_COMMON_SEQ_GROWTH","FQ3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06" s="1" t="e">
        <f ca="1">_xll.BDH($C$203,"EPS_DILUTED_SEQUENTIAL_GROWTH","FQ3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06" s="1" t="e">
        <f ca="1">_xll.BDH($C$203,"DPS_SEQUENTIAL_GROWTH","FQ3 2014","FQ3 2014","Currency=INR","Period=FQ","BEST_FPERIOD_OVERRIDE=FQ","FILING_STATUS=OR","EQY_CONSOLIDATED=Y","Sort=A","Dates=H","DateFormat=P","Fill=—","Direction=H","UseDPDF=Y")</f>
        <v>#NAME?</v>
      </c>
      <c r="BL206" s="1" t="e">
        <f ca="1">_xll.BDH($C$203,"ACCOUNTS_RECEIVABLE_SEQ_GROWTH","FQ3 2014","FQ3 2014","Currency=INR","Period=FQ","BEST_FPERIOD_OVERRIDE=FQ","FILING_STATUS=OR","EQY_CONSOLIDATED=Y","Sort=A","Dates=H","DateFormat=P","Fill=—","Direction=H","UseDPDF=Y")</f>
        <v>#NAME?</v>
      </c>
      <c r="BM206" s="1" t="e">
        <f ca="1">_xll.BDH($C$203,"INVENTORY_SEQUENTIAL_GROWTH","FQ3 2014","FQ3 2014","Currency=INR","Period=FQ","BEST_FPERIOD_OVERRIDE=FQ","FILING_STATUS=OR","EQY_CONSOLIDATED=Y","Sort=A","Dates=H","DateFormat=P","Fill=—","Direction=H","UseDPDF=Y")</f>
        <v>#NAME?</v>
      </c>
      <c r="BN206" s="1" t="e">
        <f ca="1">_xll.BDH($C$203,"FIXED_ASSETS_SEQUENTIAL_GROWTH","FQ3 2014","FQ3 2014","Currency=INR","Period=FQ","BEST_FPERIOD_OVERRIDE=FQ","FILING_STATUS=OR","EQY_CONSOLIDATED=Y","Sort=A","Dates=H","DateFormat=P","Fill=—","Direction=H","UseDPDF=Y")</f>
        <v>#NAME?</v>
      </c>
      <c r="BO206" s="1" t="e">
        <f ca="1">_xll.BDH($C$203,"TOTAL_ASSETS_SEQUENTIAL_GROWTH","FQ3 2014","FQ3 2014","Currency=INR","Period=FQ","BEST_FPERIOD_OVERRIDE=FQ","FILING_STATUS=OR","EQY_CONSOLIDATED=Y","Sort=A","Dates=H","DateFormat=P","Fill=—","Direction=H","UseDPDF=Y")</f>
        <v>#NAME?</v>
      </c>
      <c r="BP206" s="1" t="e">
        <f ca="1">_xll.BDH($C$203,"MODIFIED_WORKING_CPTL_SEQ_GRWTH","FQ3 2014","FQ3 2014","Currency=INR","Period=FQ","BEST_FPERIOD_OVERRIDE=FQ","FILING_STATUS=OR","EQY_CONSOLIDATED=Y","Sort=A","Dates=H","DateFormat=P","Fill=—","Direction=H","UseDPDF=Y")</f>
        <v>#NAME?</v>
      </c>
      <c r="BQ206" s="1" t="e">
        <f ca="1">_xll.BDH($C$203,"WORKING_CAPITAL_SEQ_GROWTH","FQ3 2014","FQ3 2014","Currency=INR","Period=FQ","BEST_FPERIOD_OVERRIDE=FQ","FILING_STATUS=OR","EQY_CONSOLIDATED=Y","Sort=A","Dates=H","DateFormat=P","Fill=—","Direction=H","UseDPDF=Y")</f>
        <v>#NAME?</v>
      </c>
      <c r="BR206" s="1" t="e">
        <f ca="1">_xll.BDH($C$203,"ACCOUNTS_PAYABLE_SEQ_GROWTH","FQ3 2014","FQ3 2014","Currency=INR","Period=FQ","BEST_FPERIOD_OVERRIDE=FQ","FILING_STATUS=OR","EQY_CONSOLIDATED=Y","Sort=A","Dates=H","DateFormat=P","Fill=—","Direction=H","UseDPDF=Y")</f>
        <v>#NAME?</v>
      </c>
      <c r="BS206" s="1" t="e">
        <f ca="1">_xll.BDH($C$203,"ST_DEBT_SEQUENTIAL_GROWTH","FQ3 2014","FQ3 2014","Currency=INR","Period=FQ","BEST_FPERIOD_OVERRIDE=FQ","FILING_STATUS=OR","EQY_CONSOLIDATED=Y","Sort=A","Dates=H","DateFormat=P","Fill=—","Direction=H","UseDPDF=Y")</f>
        <v>#NAME?</v>
      </c>
      <c r="BT206" s="1" t="e">
        <f ca="1">_xll.BDH($C$203,"TOTAL_DEBT_SEQUENTIAL_GROWTH","FQ3 2014","FQ3 2014","Currency=INR","Period=FQ","BEST_FPERIOD_OVERRIDE=FQ","FILING_STATUS=OR","EQY_CONSOLIDATED=Y","Sort=A","Dates=H","DateFormat=P","Fill=—","Direction=H","UseDPDF=Y")</f>
        <v>#NAME?</v>
      </c>
      <c r="BU206" s="1" t="e">
        <f ca="1">_xll.BDH($C$203,"TOTAL_EQUITY_SEQUENTIAL_GROWTH","FQ3 2014","FQ3 2014","Currency=INR","Period=FQ","BEST_FPERIOD_OVERRIDE=FQ","FILING_STATUS=OR","EQY_CONSOLIDATED=Y","Sort=A","Dates=H","DateFormat=P","Fill=—","Direction=H","UseDPDF=Y")</f>
        <v>#NAME?</v>
      </c>
      <c r="BV206" s="1" t="e">
        <f ca="1">_xll.BDH($C$203,"TOTAL_CAPITAL_SEQUENTIAL_GROWTH","FQ3 2014","FQ3 2014","Currency=INR","Period=FQ","BEST_FPERIOD_OVERRIDE=FQ","FILING_STATUS=OR","EQY_CONSOLIDATED=Y","Sort=A","Dates=H","DateFormat=P","Fill=—","Direction=H","UseDPDF=Y")</f>
        <v>#NAME?</v>
      </c>
      <c r="BW206" s="1" t="e">
        <f ca="1">_xll.BDH($C$203,"BPS_SEQUENTIAL_GROWTH","FQ3 2014","FQ3 2014","Currency=INR","Period=FQ","BEST_FPERIOD_OVERRIDE=FQ","FILING_STATUS=OR","EQY_CONSOLIDATED=Y","Sort=A","Dates=H","DateFormat=P","Fill=—","Direction=H","UseDPDF=Y")</f>
        <v>#NAME?</v>
      </c>
      <c r="BX206" s="1" t="e">
        <f ca="1">_xll.BDH($C$203,"CFO_SEQUENTIAL_GROWTH","FQ3 2014","FQ3 2014","Currency=INR","Period=FQ","BEST_FPERIOD_OVERRIDE=FQ","FILING_STATUS=OR","EQY_CONSOLIDATED=Y","Sort=A","Dates=H","DateFormat=P","Fill=—","Direction=H","UseDPDF=Y")</f>
        <v>#NAME?</v>
      </c>
      <c r="BY206" s="2" t="e">
        <f ca="1">_xll.BDH($C$203,"SHORT_AND_LONG_TERM_DEBT","FQ3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06" s="2" t="e">
        <f ca="1">_xll.BDH($C$203,"BS_ST_BORROW","FQ3 2014","FQ3 2014","Currency=INR","Period=FQ","BEST_FPERIOD_OVERRIDE=FQ","FILING_STATUS=OR","EQY_CONSOLIDATED=Y","SCALING_FORMAT=MLN","Sort=A","Dates=H","DateFormat=P","Fill=—","Direction=H","UseDPDF=Y")</f>
        <v>#NAME?</v>
      </c>
      <c r="CA206" s="2" t="e">
        <f ca="1">_xll.BDH($C$203,"BS_LT_BORROW","FQ3 2014","FQ3 2014","Currency=INR","Period=FQ","BEST_FPERIOD_OVERRIDE=FQ","FILING_STATUS=OR","EQY_CONSOLIDATED=Y","SCALING_FORMAT=MLN","Sort=A","Dates=H","DateFormat=P","Fill=—","Direction=H","UseDPDF=Y")</f>
        <v>#NAME?</v>
      </c>
      <c r="CB206" s="1" t="e">
        <f ca="1">_xll.BDH($C$203,"TOT_DEBT_TO_EBITDA","FQ3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06" s="1" t="e">
        <f ca="1">_xll.BDH($C$203,"NET_DEBT_TO_EBITDA","FQ3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06" s="1" t="e">
        <f ca="1">_xll.BDH($C$203,"TOTAL_DEBT_TO_EBIT","FQ3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06" s="1" t="e">
        <f ca="1">_xll.BDH($C$203,"NET_DEBT_TO_EBIT","FQ3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206" s="1" t="e">
        <f ca="1">_xll.BDH($C$203,"EBITDA_TO_INTEREST_EXPN","FQ3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06" s="1" t="e">
        <f ca="1">_xll.BDH($C$203,"COM_EQY_TO_TOT_ASSET","FQ3 2014","FQ3 2014","Currency=INR","Period=FQ","BEST_FPERIOD_OVERRIDE=FQ","FILING_STATUS=OR","EQY_CONSOLIDATED=Y","Sort=A","Dates=H","DateFormat=P","Fill=—","Direction=H","UseDPDF=Y")</f>
        <v>#NAME?</v>
      </c>
      <c r="CH206" s="1" t="e">
        <f ca="1">_xll.BDH($C$203,"LT_DEBT_TO_TOT_EQY","FQ3 2014","FQ3 2014","Currency=INR","Period=FQ","BEST_FPERIOD_OVERRIDE=FQ","FILING_STATUS=OR","EQY_CONSOLIDATED=Y","Sort=A","Dates=H","DateFormat=P","Fill=—","Direction=H","UseDPDF=Y")</f>
        <v>#NAME?</v>
      </c>
      <c r="CI206" s="1" t="e">
        <f ca="1">_xll.BDH($C$203,"LT_DEBT_TO_TOT_CAP","FQ3 2014","FQ3 2014","Currency=INR","Period=FQ","BEST_FPERIOD_OVERRIDE=FQ","FILING_STATUS=OR","EQY_CONSOLIDATED=Y","Sort=A","Dates=H","DateFormat=P","Fill=—","Direction=H","UseDPDF=Y")</f>
        <v>#NAME?</v>
      </c>
      <c r="CJ206" s="1" t="e">
        <f ca="1">_xll.BDH($C$203,"LT_DEBT_TO_TOT_ASSET","FQ3 2014","FQ3 2014","Currency=INR","Period=FQ","BEST_FPERIOD_OVERRIDE=FQ","FILING_STATUS=OR","EQY_CONSOLIDATED=Y","Sort=A","Dates=H","DateFormat=P","Fill=—","Direction=H","UseDPDF=Y")</f>
        <v>#NAME?</v>
      </c>
      <c r="CK206" s="1" t="e">
        <f ca="1">_xll.BDH($C$203,"TOT_DEBT_TO_TOT_EQY","FQ3 2014","FQ3 2014","Currency=INR","Period=FQ","BEST_FPERIOD_OVERRIDE=FQ","FILING_STATUS=OR","EQY_CONSOLIDATED=Y","Sort=A","Dates=H","DateFormat=P","Fill=—","Direction=H","UseDPDF=Y")</f>
        <v>#NAME?</v>
      </c>
      <c r="CL206" s="1" t="e">
        <f ca="1">_xll.BDH($C$203,"TOT_DEBT_TO_TOT_CAP","FQ3 2014","FQ3 2014","Currency=INR","Period=FQ","BEST_FPERIOD_OVERRIDE=FQ","FILING_STATUS=OR","EQY_CONSOLIDATED=Y","Sort=A","Dates=H","DateFormat=P","Fill=—","Direction=H","UseDPDF=Y")</f>
        <v>#NAME?</v>
      </c>
      <c r="CM206" s="1" t="e">
        <f ca="1">_xll.BDH($C$203,"TOT_DEBT_TO_TOT_ASSET","FQ3 2014","FQ3 2014","Currency=INR","Period=FQ","BEST_FPERIOD_OVERRIDE=FQ","FILING_STATUS=OR","EQY_CONSOLIDATED=Y","Sort=A","Dates=H","DateFormat=P","Fill=—","Direction=H","UseDPDF=Y")</f>
        <v>#NAME?</v>
      </c>
      <c r="CN206" s="1" t="e">
        <f ca="1">_xll.BDH($C$203,"NET_DEBT_TO_SHRHLDR_EQTY","FQ3 2014","FQ3 2014","Currency=INR","Period=FQ","BEST_FPERIOD_OVERRIDE=FQ","FILING_STATUS=OR","EQY_CONSOLIDATED=Y","Sort=A","Dates=H","DateFormat=P","Fill=—","Direction=H","UseDPDF=Y")</f>
        <v>#NAME?</v>
      </c>
      <c r="CO206" s="1" t="e">
        <f ca="1">_xll.BDH($C$203,"NET_DEBT_%_CAPITAL","FQ3 2014","FQ3 2014","Currency=INR","Period=FQ","BEST_FPERIOD_OVERRIDE=FQ","FILING_STATUS=OR","EQY_CONSOLIDATED=Y","Sort=A","Dates=H","DateFormat=P","Fill=—","Direction=H","UseDPDF=Y")</f>
        <v>#NAME?</v>
      </c>
      <c r="CP206" s="2" t="e">
        <f ca="1">_xll.BDH($C$203,"EBITDA","FQ3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06" s="2" t="e">
        <f ca="1">_xll.BDH($C$203,"EBITDA_AFTER_CAPEX","FQ3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06" s="2" t="e">
        <f ca="1">_xll.BDH($C$203,"IS_OPER_INC","FQ3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06" s="1" t="e">
        <f ca="1">_xll.BDH($C$203,"CASH_RATIO","FQ3 2014","FQ3 2014","Currency=INR","Period=FQ","BEST_FPERIOD_OVERRIDE=FQ","FILING_STATUS=OR","EQY_CONSOLIDATED=Y","Sort=A","Dates=H","DateFormat=P","Fill=—","Direction=H","UseDPDF=Y")</f>
        <v>#NAME?</v>
      </c>
      <c r="CT206" s="1" t="e">
        <f ca="1">_xll.BDH($C$203,"CUR_RATIO","FQ3 2014","FQ3 2014","Currency=INR","Period=FQ","BEST_FPERIOD_OVERRIDE=FQ","FILING_STATUS=OR","EQY_CONSOLIDATED=Y","Sort=A","Dates=H","DateFormat=P","Fill=—","Direction=H","UseDPDF=Y")</f>
        <v>#NAME?</v>
      </c>
      <c r="CU206" s="1" t="e">
        <f ca="1">_xll.BDH($C$203,"QUICK_RATIO","FQ3 2014","FQ3 2014","Currency=INR","Period=FQ","BEST_FPERIOD_OVERRIDE=FQ","FILING_STATUS=OR","EQY_CONSOLIDATED=Y","Sort=A","Dates=H","DateFormat=P","Fill=—","Direction=H","UseDPDF=Y")</f>
        <v>#NAME?</v>
      </c>
      <c r="CV206" s="1" t="e">
        <f ca="1">_xll.BDH($C$203,"ALTMAN_Z_SCORE","FQ3 2014","FQ3 2014","Currency=INR","Period=FQ","BEST_FPERIOD_OVERRIDE=FQ","FILING_STATUS=OR","EQY_CONSOLIDATED=Y","Sort=A","Dates=H","DateFormat=P","Fill=—","Direction=H","UseDPDF=Y")</f>
        <v>#NAME?</v>
      </c>
      <c r="CW206" s="3" t="e">
        <f ca="1">_xll.BDH($C$203,"ACCT_RCV_TURN","FQ3 2014","FQ3 2014","Currency=INR","Period=FQ","BEST_FPERIOD_OVERRIDE=FQ","FILING_STATUS=OR","EQY_CONSOLIDATED=Y","FA_ADJUSTED=GAAP","Sort=A","Dates=H","DateFormat=P","Fill=—","Direction=H","UseDPDF=Y")</f>
        <v>#NAME?</v>
      </c>
      <c r="CX206" s="1" t="e">
        <f ca="1">_xll.BDH($C$203,"ACCT_RCV_DAYS","FQ3 2014","FQ3 2014","Currency=INR","Period=FQ","BEST_FPERIOD_OVERRIDE=FQ","FILING_STATUS=OR","EQY_CONSOLIDATED=Y","FA_ADJUSTED=GAAP","Sort=A","Dates=H","DateFormat=P","Fill=—","Direction=H","UseDPDF=Y")</f>
        <v>#NAME?</v>
      </c>
      <c r="CY206" s="3" t="e">
        <f ca="1">_xll.BDH($C$203,"INVENT_TURN","FQ3 2014","FQ3 2014","Currency=INR","Period=FQ","BEST_FPERIOD_OVERRIDE=FQ","FILING_STATUS=OR","EQY_CONSOLIDATED=Y","FA_ADJUSTED=GAAP","Sort=A","Dates=H","DateFormat=P","Fill=—","Direction=H","UseDPDF=Y")</f>
        <v>#NAME?</v>
      </c>
      <c r="CZ206" s="1" t="e">
        <f ca="1">_xll.BDH($C$203,"INVENT_DAYS","FQ3 2014","FQ3 2014","Currency=INR","Period=FQ","BEST_FPERIOD_OVERRIDE=FQ","FILING_STATUS=OR","EQY_CONSOLIDATED=Y","FA_ADJUSTED=GAAP","Sort=A","Dates=H","DateFormat=P","Fill=—","Direction=H","UseDPDF=Y")</f>
        <v>#NAME?</v>
      </c>
      <c r="DA206" s="3" t="e">
        <f ca="1">_xll.BDH($C$203,"ACCOUNTS_PAYABLE_TURNOVER","FQ3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06" s="1" t="e">
        <f ca="1">_xll.BDH($C$203,"ACCOUNTS_PAYABLE_TURNOVER_DAYS","FQ3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06" s="3" t="e">
        <f ca="1">_xll.BDH($C$203,"CASH_CONVERSION_CYCLE","FQ3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06" s="3" t="e">
        <f ca="1">_xll.BDH($C$203,"INV_TO_CASH_DAYS","FQ3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206" s="4" t="e">
        <f ca="1">_xll.BDH($C$203,"BS_INVENTORIES","FQ3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206" s="2" t="e">
        <f ca="1">_xll.BDH($C$203,"INVTRY_RAW_MATERIALS","FQ3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06" s="2" t="e">
        <f ca="1">_xll.BDH($C$203,"INVTRY_IN_PROGRESS","FQ3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06" s="2" t="e">
        <f ca="1">_xll.BDH($C$203,"INVTRY_FINISHED_GOODS","FQ3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06" s="2" t="e">
        <f ca="1">_xll.BDH($C$203,"BS_OTHER_INV","FQ3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07" spans="1:113" x14ac:dyDescent="0.3">
      <c r="A207" s="6"/>
      <c r="B207" s="6"/>
      <c r="C207" s="6"/>
      <c r="D207" s="6"/>
      <c r="E207" t="s">
        <v>7</v>
      </c>
      <c r="F207" t="e">
        <f ca="1">_xll.BDH($C$203,"RETURN_COM_EQY","FQ4 2014","FQ4 2014","Currency=INR","Period=FQ","BEST_FPERIOD_OVERRIDE=FQ","FILING_STATUS=OR","EQY_CONSOLIDATED=Y","FA_ADJUSTED=GAAP","Sort=A","Dates=H","DateFormat=P","Fill=—","Direction=H","UseDPDF=Y")</f>
        <v>#NAME?</v>
      </c>
      <c r="G207" t="e">
        <f ca="1">_xll.BDH($C$203,"RETURN_ON_ASSET","FQ4 2014","FQ4 2014","Currency=INR","Period=FQ","BEST_FPERIOD_OVERRIDE=FQ","FILING_STATUS=OR","EQY_CONSOLIDATED=Y","FA_ADJUSTED=GAAP","Sort=A","Dates=H","DateFormat=P","Fill=—","Direction=H","UseDPDF=Y")</f>
        <v>#NAME?</v>
      </c>
      <c r="H207" t="e">
        <f ca="1">_xll.BDH($C$203,"RETURN_ON_CAP","FQ4 2014","FQ4 2014","Currency=INR","Period=FQ","BEST_FPERIOD_OVERRIDE=FQ","FILING_STATUS=OR","EQY_CONSOLIDATED=Y","FA_ADJUSTED=GAAP","Sort=A","Dates=H","DateFormat=P","Fill=—","Direction=H","UseDPDF=Y")</f>
        <v>#NAME?</v>
      </c>
      <c r="I207" t="e">
        <f ca="1">_xll.BDH($C$203,"RETURN_ON_INV_CAPITAL","FQ4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07" t="e">
        <f ca="1">_xll.BDH($C$203,"EBITDA_TO_REVENUE","FQ4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207" t="e">
        <f ca="1">_xll.BDH($C$203,"OPER_MARGIN","FQ4 2014","FQ4 2014","Currency=INR","Period=FQ","BEST_FPERIOD_OVERRIDE=FQ","FILING_STATUS=OR","EQY_CONSOLIDATED=Y","FA_ADJUSTED=GAAP","Sort=A","Dates=H","DateFormat=P","Fill=—","Direction=H","UseDPDF=Y")</f>
        <v>#NAME?</v>
      </c>
      <c r="L207" t="e">
        <f ca="1">_xll.BDH($C$203,"INCREMENTAL_OPERATING_MARGIN","FQ4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07" t="e">
        <f ca="1">_xll.BDH($C$203,"PRETAX_INC_TO_NET_SALES","FQ4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07" t="e">
        <f ca="1">_xll.BDH($C$203,"INC_BEF_XO_ITEMS_TO_NET_SALES","FQ4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07" t="e">
        <f ca="1">_xll.BDH($C$203,"PROF_MARGIN","FQ4 2014","FQ4 2014","Currency=INR","Period=FQ","BEST_FPERIOD_OVERRIDE=FQ","FILING_STATUS=OR","EQY_CONSOLIDATED=Y","FA_ADJUSTED=GAAP","Sort=A","Dates=H","DateFormat=P","Fill=—","Direction=H","UseDPDF=Y")</f>
        <v>#NAME?</v>
      </c>
      <c r="P207" t="e">
        <f ca="1">_xll.BDH($C$203,"NET_INCOME_TO_COMMON_MARGIN","FQ4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07" t="e">
        <f ca="1">_xll.BDH($C$203,"EFF_TAX_RATE","FQ4 2014","FQ4 2014","Currency=INR","Period=FQ","BEST_FPERIOD_OVERRIDE=FQ","FILING_STATUS=OR","EQY_CONSOLIDATED=Y","FA_ADJUSTED=GAAP","Sort=A","Dates=H","DateFormat=P","Fill=—","Direction=H","UseDPDF=Y")</f>
        <v>#NAME?</v>
      </c>
      <c r="R207" t="e">
        <f ca="1">_xll.BDH($C$203,"DVD_PAYOUT_RATIO","FQ4 2014","FQ4 2014","Currency=INR","Period=FQ","BEST_FPERIOD_OVERRIDE=FQ","FILING_STATUS=OR","EQY_CONSOLIDATED=Y","FA_ADJUSTED=GAAP","Sort=A","Dates=H","DateFormat=P","Fill=—","Direction=H","UseDPDF=Y")</f>
        <v>#NAME?</v>
      </c>
      <c r="S207" t="e">
        <f ca="1">_xll.BDH($C$203,"SUSTAIN_GROWTH_RT","FQ4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207" s="1" t="e">
        <f ca="1">_xll.BDH($C$203,"SALES_GROWTH","FQ4 2014","FQ4 2014","Currency=INR","Period=FQ","BEST_FPERIOD_OVERRIDE=FQ","FILING_STATUS=OR","EQY_CONSOLIDATED=Y","FA_ADJUSTED=GAAP","Sort=A","Dates=H","DateFormat=P","Fill=—","Direction=H","UseDPDF=Y")</f>
        <v>#NAME?</v>
      </c>
      <c r="U207" s="1" t="e">
        <f ca="1">_xll.BDH($C$203,"EBITDA_GROWTH","FQ4 2014","FQ4 2014","Currency=INR","Period=FQ","BEST_FPERIOD_OVERRIDE=FQ","FILING_STATUS=OR","EQY_CONSOLIDATED=Y","FA_ADJUSTED=GAAP","Sort=A","Dates=H","DateFormat=P","Fill=—","Direction=H","UseDPDF=Y")</f>
        <v>#NAME?</v>
      </c>
      <c r="V207" s="1" t="e">
        <f ca="1">_xll.BDH($C$203,"OPER_INC_GROWTH","FQ4 2014","FQ4 2014","Currency=INR","Period=FQ","BEST_FPERIOD_OVERRIDE=FQ","FILING_STATUS=OR","EQY_CONSOLIDATED=Y","FA_ADJUSTED=GAAP","Sort=A","Dates=H","DateFormat=P","Fill=—","Direction=H","UseDPDF=Y")</f>
        <v>#NAME?</v>
      </c>
      <c r="W207" s="1" t="e">
        <f ca="1">_xll.BDH($C$203,"EARN_FOR_COM_GROWTH","FQ4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07" s="1" t="e">
        <f ca="1">_xll.BDH($C$203,"DILUTED_EPS_AFT_XO_ITEMS_GROWTH","FQ4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07" s="1" t="e">
        <f ca="1">_xll.BDH($C$203,"DIVIDEND_PER_SHARE_1_YEAR_GROWTH","FQ4 2014","FQ4 2014","Currency=INR","Period=FQ","BEST_FPERIOD_OVERRIDE=FQ","FILING_STATUS=OR","EQY_CONSOLIDATED=Y","Sort=A","Dates=H","DateFormat=P","Fill=—","Direction=H","UseDPDF=Y")</f>
        <v>#NAME?</v>
      </c>
      <c r="Z207" s="1" t="e">
        <f ca="1">_xll.BDH($C$203,"ACCOUNTS_RECEIVABLE_GROWTH","FQ4 2014","FQ4 2014","Currency=INR","Period=FQ","BEST_FPERIOD_OVERRIDE=FQ","FILING_STATUS=OR","EQY_CONSOLIDATED=Y","Sort=A","Dates=H","DateFormat=P","Fill=—","Direction=H","UseDPDF=Y")</f>
        <v>#NAME?</v>
      </c>
      <c r="AA207" s="1" t="e">
        <f ca="1">_xll.BDH($C$203,"INVENTORY_GROWTH","FQ4 2014","FQ4 2014","Currency=INR","Period=FQ","BEST_FPERIOD_OVERRIDE=FQ","FILING_STATUS=OR","EQY_CONSOLIDATED=Y","Sort=A","Dates=H","DateFormat=P","Fill=—","Direction=H","UseDPDF=Y")</f>
        <v>#NAME?</v>
      </c>
      <c r="AB207" s="1" t="e">
        <f ca="1">_xll.BDH($C$203,"NET_FIXED_ASSETS_1_YEAR_GROWTH","FQ4 2014","FQ4 2014","Currency=INR","Period=FQ","BEST_FPERIOD_OVERRIDE=FQ","FILING_STATUS=OR","EQY_CONSOLIDATED=Y","Sort=A","Dates=H","DateFormat=P","Fill=—","Direction=H","UseDPDF=Y")</f>
        <v>#NAME?</v>
      </c>
      <c r="AC207" s="1" t="e">
        <f ca="1">_xll.BDH($C$203,"ASSET_GROWTH","FQ4 2014","FQ4 2014","Currency=INR","Period=FQ","BEST_FPERIOD_OVERRIDE=FQ","FILING_STATUS=OR","EQY_CONSOLIDATED=Y","Sort=A","Dates=H","DateFormat=P","Fill=—","Direction=H","UseDPDF=Y")</f>
        <v>#NAME?</v>
      </c>
      <c r="AD207" s="1" t="e">
        <f ca="1">_xll.BDH($C$203,"MODIFIED_WORK_CAP_GROWTH","FQ4 2014","FQ4 2014","Currency=INR","Period=FQ","BEST_FPERIOD_OVERRIDE=FQ","FILING_STATUS=OR","EQY_CONSOLIDATED=Y","Sort=A","Dates=H","DateFormat=P","Fill=—","Direction=H","UseDPDF=Y")</f>
        <v>#NAME?</v>
      </c>
      <c r="AE207" s="1" t="e">
        <f ca="1">_xll.BDH($C$203,"WORK_CAP_GROWTH","FQ4 2014","FQ4 2014","Currency=INR","Period=FQ","BEST_FPERIOD_OVERRIDE=FQ","FILING_STATUS=OR","EQY_CONSOLIDATED=Y","Sort=A","Dates=H","DateFormat=P","Fill=—","Direction=H","UseDPDF=Y")</f>
        <v>#NAME?</v>
      </c>
      <c r="AF207" s="1" t="e">
        <f ca="1">_xll.BDH($C$203,"ACCOUNTS_PAYABLE_GROWTH_1YR","FQ4 2014","FQ4 2014","Currency=INR","Period=FQ","BEST_FPERIOD_OVERRIDE=FQ","FILING_STATUS=OR","EQY_CONSOLIDATED=Y","Sort=A","Dates=H","DateFormat=P","Fill=—","Direction=H","UseDPDF=Y")</f>
        <v>#NAME?</v>
      </c>
      <c r="AG207" s="1" t="e">
        <f ca="1">_xll.BDH($C$203,"SHORT_TERM_DEBT_1_YEAR_GROWTH","FQ4 2014","FQ4 2014","Currency=INR","Period=FQ","BEST_FPERIOD_OVERRIDE=FQ","FILING_STATUS=OR","EQY_CONSOLIDATED=Y","Sort=A","Dates=H","DateFormat=P","Fill=—","Direction=H","UseDPDF=Y")</f>
        <v>#NAME?</v>
      </c>
      <c r="AH207" s="1" t="e">
        <f ca="1">_xll.BDH($C$203,"TOTAL_DEBT_1_YEAR_GROWTH","FQ4 2014","FQ4 2014","Currency=INR","Period=FQ","BEST_FPERIOD_OVERRIDE=FQ","FILING_STATUS=OR","EQY_CONSOLIDATED=Y","Sort=A","Dates=H","DateFormat=P","Fill=—","Direction=H","UseDPDF=Y")</f>
        <v>#NAME?</v>
      </c>
      <c r="AI207" s="1" t="e">
        <f ca="1">_xll.BDH($C$203,"TOTAL_EQUITY_1_YEAR_GROWTH","FQ4 2014","FQ4 2014","Currency=INR","Period=FQ","BEST_FPERIOD_OVERRIDE=FQ","FILING_STATUS=OR","EQY_CONSOLIDATED=Y","Sort=A","Dates=H","DateFormat=P","Fill=—","Direction=H","UseDPDF=Y")</f>
        <v>#NAME?</v>
      </c>
      <c r="AJ207" s="1" t="e">
        <f ca="1">_xll.BDH($C$203,"GROWTH_IN_CAP","FQ4 2014","FQ4 2014","Currency=INR","Period=FQ","BEST_FPERIOD_OVERRIDE=FQ","FILING_STATUS=OR","EQY_CONSOLIDATED=Y","Sort=A","Dates=H","DateFormat=P","Fill=—","Direction=H","UseDPDF=Y")</f>
        <v>#NAME?</v>
      </c>
      <c r="AK207" s="1" t="e">
        <f ca="1">_xll.BDH($C$203,"BVPS_GROWTH","FQ4 2014","FQ4 2014","Currency=INR","Period=FQ","BEST_FPERIOD_OVERRIDE=FQ","FILING_STATUS=OR","EQY_CONSOLIDATED=Y","Sort=A","Dates=H","DateFormat=P","Fill=—","Direction=H","UseDPDF=Y")</f>
        <v>#NAME?</v>
      </c>
      <c r="AL207" s="1" t="e">
        <f ca="1">_xll.BDH($C$203,"CASH_FLOW_GROWTH","FQ4 2014","FQ4 2014","Currency=INR","Period=FQ","BEST_FPERIOD_OVERRIDE=FQ","FILING_STATUS=OR","EQY_CONSOLIDATED=Y","Sort=A","Dates=H","DateFormat=P","Fill=—","Direction=H","UseDPDF=Y")</f>
        <v>#NAME?</v>
      </c>
      <c r="AM207" s="1" t="e">
        <f ca="1">_xll.BDH($C$203,"GEO_GROW_NET_SALES","FQ4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07" s="1" t="e">
        <f ca="1">_xll.BDH($C$203,"GEO_GROW_EBITDA","FQ4 2014","FQ4 2014","Currency=INR","Period=FQ","BEST_FPERIOD_OVERRIDE=FQ","FILING_STATUS=OR","EQY_CONSOLIDATED=Y","FA_ADJUSTED=GAAP","Sort=A","Dates=H","DateFormat=P","Fill=—","Direction=H","UseDPDF=Y")</f>
        <v>#NAME?</v>
      </c>
      <c r="AO207" s="1" t="e">
        <f ca="1">_xll.BDH($C$203,"GEO_GROW_OPER_INC","FQ4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07" s="1" t="e">
        <f ca="1">_xll.BDH($C$203,"NET_INCOME_TO_COMMON_5_YR_GROWTH","FQ4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07" s="1" t="e">
        <f ca="1">_xll.BDH($C$203,"5Y_GEO_GROWTH_DILUTED_EPS","FQ4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07" s="1" t="e">
        <f ca="1">_xll.BDH($C$203,"GEO_GROW_DVD_PER_SH","FQ4 2014","FQ4 2014","Currency=INR","Period=FQ","BEST_FPERIOD_OVERRIDE=FQ","FILING_STATUS=OR","EQY_CONSOLIDATED=Y","Sort=A","Dates=H","DateFormat=P","Fill=—","Direction=H","UseDPDF=Y")</f>
        <v>#NAME?</v>
      </c>
      <c r="AS207" s="1" t="e">
        <f ca="1">_xll.BDH($C$203,"ACCOUNTS_RECEIVABLE_5_YR_GROWTH","FQ4 2014","FQ4 2014","Currency=INR","Period=FQ","BEST_FPERIOD_OVERRIDE=FQ","FILING_STATUS=OR","EQY_CONSOLIDATED=Y","Sort=A","Dates=H","DateFormat=P","Fill=—","Direction=H","UseDPDF=Y")</f>
        <v>#NAME?</v>
      </c>
      <c r="AT207" s="1" t="e">
        <f ca="1">_xll.BDH($C$203,"INVENTORY_5_YEAR_GROWTH","FQ4 2014","FQ4 2014","Currency=INR","Period=FQ","BEST_FPERIOD_OVERRIDE=FQ","FILING_STATUS=OR","EQY_CONSOLIDATED=Y","Sort=A","Dates=H","DateFormat=P","Fill=—","Direction=H","UseDPDF=Y")</f>
        <v>#NAME?</v>
      </c>
      <c r="AU207" s="1" t="e">
        <f ca="1">_xll.BDH($C$203,"NET_FIXED_ASSETS_5_YEAR_GROWTH","FQ4 2014","FQ4 2014","Currency=INR","Period=FQ","BEST_FPERIOD_OVERRIDE=FQ","FILING_STATUS=OR","EQY_CONSOLIDATED=Y","Sort=A","Dates=H","DateFormat=P","Fill=—","Direction=H","UseDPDF=Y")</f>
        <v>#NAME?</v>
      </c>
      <c r="AV207" s="1" t="e">
        <f ca="1">_xll.BDH($C$203,"GEO_GROW_TOT_ASSET","FQ4 2014","FQ4 2014","Currency=INR","Period=FQ","BEST_FPERIOD_OVERRIDE=FQ","FILING_STATUS=OR","EQY_CONSOLIDATED=Y","Sort=A","Dates=H","DateFormat=P","Fill=—","Direction=H","UseDPDF=Y")</f>
        <v>#NAME?</v>
      </c>
      <c r="AW207" s="1" t="e">
        <f ca="1">_xll.BDH($C$203,"MODIFIED_WORKING_CPTL_5YR_GRWTH","FQ4 2014","FQ4 2014","Currency=INR","Period=FQ","BEST_FPERIOD_OVERRIDE=FQ","FILING_STATUS=OR","EQY_CONSOLIDATED=Y","Sort=A","Dates=H","DateFormat=P","Fill=—","Direction=H","UseDPDF=Y")</f>
        <v>#NAME?</v>
      </c>
      <c r="AX207" s="1" t="e">
        <f ca="1">_xll.BDH($C$203,"WORKING_CAPITAL_5_YEAR_GROWTH","FQ4 2014","FQ4 2014","Currency=INR","Period=FQ","BEST_FPERIOD_OVERRIDE=FQ","FILING_STATUS=OR","EQY_CONSOLIDATED=Y","Sort=A","Dates=H","DateFormat=P","Fill=—","Direction=H","UseDPDF=Y")</f>
        <v>#NAME?</v>
      </c>
      <c r="AY207" s="1" t="e">
        <f ca="1">_xll.BDH($C$203,"ACCOUNTS_PAYABLE_5_YEAR_GROWTH","FQ4 2014","FQ4 2014","Currency=INR","Period=FQ","BEST_FPERIOD_OVERRIDE=FQ","FILING_STATUS=OR","EQY_CONSOLIDATED=Y","Sort=A","Dates=H","DateFormat=P","Fill=—","Direction=H","UseDPDF=Y")</f>
        <v>#NAME?</v>
      </c>
      <c r="AZ207" s="1" t="e">
        <f ca="1">_xll.BDH($C$203,"SHORT_TERM_DEBT_5_YEAR_GROWTH","FQ4 2014","FQ4 2014","Currency=INR","Period=FQ","BEST_FPERIOD_OVERRIDE=FQ","FILING_STATUS=OR","EQY_CONSOLIDATED=Y","Sort=A","Dates=H","DateFormat=P","Fill=—","Direction=H","UseDPDF=Y")</f>
        <v>#NAME?</v>
      </c>
      <c r="BA207" s="1" t="e">
        <f ca="1">_xll.BDH($C$203,"TOTAL_DEBT_5_YEAR_GROWTH","FQ4 2014","FQ4 2014","Currency=INR","Period=FQ","BEST_FPERIOD_OVERRIDE=FQ","FILING_STATUS=OR","EQY_CONSOLIDATED=Y","Sort=A","Dates=H","DateFormat=P","Fill=—","Direction=H","UseDPDF=Y")</f>
        <v>#NAME?</v>
      </c>
      <c r="BB207" s="1" t="e">
        <f ca="1">_xll.BDH($C$203,"GEO_GROW_TOT_SHRHLDR_EQY","FQ4 2014","FQ4 2014","Currency=INR","Period=FQ","BEST_FPERIOD_OVERRIDE=FQ","FILING_STATUS=OR","EQY_CONSOLIDATED=Y","Sort=A","Dates=H","DateFormat=P","Fill=—","Direction=H","UseDPDF=Y")</f>
        <v>#NAME?</v>
      </c>
      <c r="BC207" s="1" t="e">
        <f ca="1">_xll.BDH($C$203,"TOTAL_CAPITAL_5_YEAR_GROWTH","FQ4 2014","FQ4 2014","Currency=INR","Period=FQ","BEST_FPERIOD_OVERRIDE=FQ","FILING_STATUS=OR","EQY_CONSOLIDATED=Y","Sort=A","Dates=H","DateFormat=P","Fill=—","Direction=H","UseDPDF=Y")</f>
        <v>#NAME?</v>
      </c>
      <c r="BD207" s="1" t="e">
        <f ca="1">_xll.BDH($C$203,"GEO_GROW_BOOK_VAL","FQ4 2014","FQ4 2014","Currency=INR","Period=FQ","BEST_FPERIOD_OVERRIDE=FQ","FILING_STATUS=OR","EQY_CONSOLIDATED=Y","Sort=A","Dates=H","DateFormat=P","Fill=—","Direction=H","UseDPDF=Y")</f>
        <v>#NAME?</v>
      </c>
      <c r="BE207" s="1" t="e">
        <f ca="1">_xll.BDH($C$203,"GEO_GROW_CASH_OPER_ACT","FQ4 2014","FQ4 2014","Currency=INR","Period=FQ","BEST_FPERIOD_OVERRIDE=FQ","FILING_STATUS=OR","EQY_CONSOLIDATED=Y","Sort=A","Dates=H","DateFormat=P","Fill=—","Direction=H","UseDPDF=Y")</f>
        <v>#NAME?</v>
      </c>
      <c r="BF207" s="1" t="e">
        <f ca="1">_xll.BDH($C$203,"REVENUE_SEQUENTIAL_GROWTH","FQ4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07" s="1" t="e">
        <f ca="1">_xll.BDH($C$203,"EBITDA_SEQUENTIAL_GROWTH","FQ4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07" s="1" t="e">
        <f ca="1">_xll.BDH($C$203,"OPERATING_INCOME_SEQ_GROWTH","FQ4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07" s="1" t="e">
        <f ca="1">_xll.BDH($C$203,"NET_INCOME_TO_COMMON_SEQ_GROWTH","FQ4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07" s="1" t="e">
        <f ca="1">_xll.BDH($C$203,"EPS_DILUTED_SEQUENTIAL_GROWTH","FQ4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07" s="1" t="e">
        <f ca="1">_xll.BDH($C$203,"DPS_SEQUENTIAL_GROWTH","FQ4 2014","FQ4 2014","Currency=INR","Period=FQ","BEST_FPERIOD_OVERRIDE=FQ","FILING_STATUS=OR","EQY_CONSOLIDATED=Y","Sort=A","Dates=H","DateFormat=P","Fill=—","Direction=H","UseDPDF=Y")</f>
        <v>#NAME?</v>
      </c>
      <c r="BL207" s="1" t="e">
        <f ca="1">_xll.BDH($C$203,"ACCOUNTS_RECEIVABLE_SEQ_GROWTH","FQ4 2014","FQ4 2014","Currency=INR","Period=FQ","BEST_FPERIOD_OVERRIDE=FQ","FILING_STATUS=OR","EQY_CONSOLIDATED=Y","Sort=A","Dates=H","DateFormat=P","Fill=—","Direction=H","UseDPDF=Y")</f>
        <v>#NAME?</v>
      </c>
      <c r="BM207" s="1" t="e">
        <f ca="1">_xll.BDH($C$203,"INVENTORY_SEQUENTIAL_GROWTH","FQ4 2014","FQ4 2014","Currency=INR","Period=FQ","BEST_FPERIOD_OVERRIDE=FQ","FILING_STATUS=OR","EQY_CONSOLIDATED=Y","Sort=A","Dates=H","DateFormat=P","Fill=—","Direction=H","UseDPDF=Y")</f>
        <v>#NAME?</v>
      </c>
      <c r="BN207" s="1" t="e">
        <f ca="1">_xll.BDH($C$203,"FIXED_ASSETS_SEQUENTIAL_GROWTH","FQ4 2014","FQ4 2014","Currency=INR","Period=FQ","BEST_FPERIOD_OVERRIDE=FQ","FILING_STATUS=OR","EQY_CONSOLIDATED=Y","Sort=A","Dates=H","DateFormat=P","Fill=—","Direction=H","UseDPDF=Y")</f>
        <v>#NAME?</v>
      </c>
      <c r="BO207" s="1" t="e">
        <f ca="1">_xll.BDH($C$203,"TOTAL_ASSETS_SEQUENTIAL_GROWTH","FQ4 2014","FQ4 2014","Currency=INR","Period=FQ","BEST_FPERIOD_OVERRIDE=FQ","FILING_STATUS=OR","EQY_CONSOLIDATED=Y","Sort=A","Dates=H","DateFormat=P","Fill=—","Direction=H","UseDPDF=Y")</f>
        <v>#NAME?</v>
      </c>
      <c r="BP207" s="1" t="e">
        <f ca="1">_xll.BDH($C$203,"MODIFIED_WORKING_CPTL_SEQ_GRWTH","FQ4 2014","FQ4 2014","Currency=INR","Period=FQ","BEST_FPERIOD_OVERRIDE=FQ","FILING_STATUS=OR","EQY_CONSOLIDATED=Y","Sort=A","Dates=H","DateFormat=P","Fill=—","Direction=H","UseDPDF=Y")</f>
        <v>#NAME?</v>
      </c>
      <c r="BQ207" s="1" t="e">
        <f ca="1">_xll.BDH($C$203,"WORKING_CAPITAL_SEQ_GROWTH","FQ4 2014","FQ4 2014","Currency=INR","Period=FQ","BEST_FPERIOD_OVERRIDE=FQ","FILING_STATUS=OR","EQY_CONSOLIDATED=Y","Sort=A","Dates=H","DateFormat=P","Fill=—","Direction=H","UseDPDF=Y")</f>
        <v>#NAME?</v>
      </c>
      <c r="BR207" s="1" t="e">
        <f ca="1">_xll.BDH($C$203,"ACCOUNTS_PAYABLE_SEQ_GROWTH","FQ4 2014","FQ4 2014","Currency=INR","Period=FQ","BEST_FPERIOD_OVERRIDE=FQ","FILING_STATUS=OR","EQY_CONSOLIDATED=Y","Sort=A","Dates=H","DateFormat=P","Fill=—","Direction=H","UseDPDF=Y")</f>
        <v>#NAME?</v>
      </c>
      <c r="BS207" s="1" t="e">
        <f ca="1">_xll.BDH($C$203,"ST_DEBT_SEQUENTIAL_GROWTH","FQ4 2014","FQ4 2014","Currency=INR","Period=FQ","BEST_FPERIOD_OVERRIDE=FQ","FILING_STATUS=OR","EQY_CONSOLIDATED=Y","Sort=A","Dates=H","DateFormat=P","Fill=—","Direction=H","UseDPDF=Y")</f>
        <v>#NAME?</v>
      </c>
      <c r="BT207" s="1" t="e">
        <f ca="1">_xll.BDH($C$203,"TOTAL_DEBT_SEQUENTIAL_GROWTH","FQ4 2014","FQ4 2014","Currency=INR","Period=FQ","BEST_FPERIOD_OVERRIDE=FQ","FILING_STATUS=OR","EQY_CONSOLIDATED=Y","Sort=A","Dates=H","DateFormat=P","Fill=—","Direction=H","UseDPDF=Y")</f>
        <v>#NAME?</v>
      </c>
      <c r="BU207" s="1" t="e">
        <f ca="1">_xll.BDH($C$203,"TOTAL_EQUITY_SEQUENTIAL_GROWTH","FQ4 2014","FQ4 2014","Currency=INR","Period=FQ","BEST_FPERIOD_OVERRIDE=FQ","FILING_STATUS=OR","EQY_CONSOLIDATED=Y","Sort=A","Dates=H","DateFormat=P","Fill=—","Direction=H","UseDPDF=Y")</f>
        <v>#NAME?</v>
      </c>
      <c r="BV207" s="1" t="e">
        <f ca="1">_xll.BDH($C$203,"TOTAL_CAPITAL_SEQUENTIAL_GROWTH","FQ4 2014","FQ4 2014","Currency=INR","Period=FQ","BEST_FPERIOD_OVERRIDE=FQ","FILING_STATUS=OR","EQY_CONSOLIDATED=Y","Sort=A","Dates=H","DateFormat=P","Fill=—","Direction=H","UseDPDF=Y")</f>
        <v>#NAME?</v>
      </c>
      <c r="BW207" s="1" t="e">
        <f ca="1">_xll.BDH($C$203,"BPS_SEQUENTIAL_GROWTH","FQ4 2014","FQ4 2014","Currency=INR","Period=FQ","BEST_FPERIOD_OVERRIDE=FQ","FILING_STATUS=OR","EQY_CONSOLIDATED=Y","Sort=A","Dates=H","DateFormat=P","Fill=—","Direction=H","UseDPDF=Y")</f>
        <v>#NAME?</v>
      </c>
      <c r="BX207" s="1" t="e">
        <f ca="1">_xll.BDH($C$203,"CFO_SEQUENTIAL_GROWTH","FQ4 2014","FQ4 2014","Currency=INR","Period=FQ","BEST_FPERIOD_OVERRIDE=FQ","FILING_STATUS=OR","EQY_CONSOLIDATED=Y","Sort=A","Dates=H","DateFormat=P","Fill=—","Direction=H","UseDPDF=Y")</f>
        <v>#NAME?</v>
      </c>
      <c r="BY207" s="2" t="e">
        <f ca="1">_xll.BDH($C$203,"SHORT_AND_LONG_TERM_DEBT","FQ4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07" s="2" t="e">
        <f ca="1">_xll.BDH($C$203,"BS_ST_BORROW","FQ4 2014","FQ4 2014","Currency=INR","Period=FQ","BEST_FPERIOD_OVERRIDE=FQ","FILING_STATUS=OR","EQY_CONSOLIDATED=Y","SCALING_FORMAT=MLN","Sort=A","Dates=H","DateFormat=P","Fill=—","Direction=H","UseDPDF=Y")</f>
        <v>#NAME?</v>
      </c>
      <c r="CA207" s="2" t="e">
        <f ca="1">_xll.BDH($C$203,"BS_LT_BORROW","FQ4 2014","FQ4 2014","Currency=INR","Period=FQ","BEST_FPERIOD_OVERRIDE=FQ","FILING_STATUS=OR","EQY_CONSOLIDATED=Y","SCALING_FORMAT=MLN","Sort=A","Dates=H","DateFormat=P","Fill=—","Direction=H","UseDPDF=Y")</f>
        <v>#NAME?</v>
      </c>
      <c r="CB207" s="1" t="e">
        <f ca="1">_xll.BDH($C$203,"TOT_DEBT_TO_EBITDA","FQ4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07" s="1" t="e">
        <f ca="1">_xll.BDH($C$203,"NET_DEBT_TO_EBITDA","FQ4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07" s="1" t="e">
        <f ca="1">_xll.BDH($C$203,"TOTAL_DEBT_TO_EBIT","FQ4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07" s="1" t="e">
        <f ca="1">_xll.BDH($C$203,"NET_DEBT_TO_EBIT","FQ4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207" s="1" t="e">
        <f ca="1">_xll.BDH($C$203,"EBITDA_TO_INTEREST_EXPN","FQ4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07" s="1" t="e">
        <f ca="1">_xll.BDH($C$203,"COM_EQY_TO_TOT_ASSET","FQ4 2014","FQ4 2014","Currency=INR","Period=FQ","BEST_FPERIOD_OVERRIDE=FQ","FILING_STATUS=OR","EQY_CONSOLIDATED=Y","Sort=A","Dates=H","DateFormat=P","Fill=—","Direction=H","UseDPDF=Y")</f>
        <v>#NAME?</v>
      </c>
      <c r="CH207" s="1" t="e">
        <f ca="1">_xll.BDH($C$203,"LT_DEBT_TO_TOT_EQY","FQ4 2014","FQ4 2014","Currency=INR","Period=FQ","BEST_FPERIOD_OVERRIDE=FQ","FILING_STATUS=OR","EQY_CONSOLIDATED=Y","Sort=A","Dates=H","DateFormat=P","Fill=—","Direction=H","UseDPDF=Y")</f>
        <v>#NAME?</v>
      </c>
      <c r="CI207" s="1" t="e">
        <f ca="1">_xll.BDH($C$203,"LT_DEBT_TO_TOT_CAP","FQ4 2014","FQ4 2014","Currency=INR","Period=FQ","BEST_FPERIOD_OVERRIDE=FQ","FILING_STATUS=OR","EQY_CONSOLIDATED=Y","Sort=A","Dates=H","DateFormat=P","Fill=—","Direction=H","UseDPDF=Y")</f>
        <v>#NAME?</v>
      </c>
      <c r="CJ207" s="1" t="e">
        <f ca="1">_xll.BDH($C$203,"LT_DEBT_TO_TOT_ASSET","FQ4 2014","FQ4 2014","Currency=INR","Period=FQ","BEST_FPERIOD_OVERRIDE=FQ","FILING_STATUS=OR","EQY_CONSOLIDATED=Y","Sort=A","Dates=H","DateFormat=P","Fill=—","Direction=H","UseDPDF=Y")</f>
        <v>#NAME?</v>
      </c>
      <c r="CK207" s="1" t="e">
        <f ca="1">_xll.BDH($C$203,"TOT_DEBT_TO_TOT_EQY","FQ4 2014","FQ4 2014","Currency=INR","Period=FQ","BEST_FPERIOD_OVERRIDE=FQ","FILING_STATUS=OR","EQY_CONSOLIDATED=Y","Sort=A","Dates=H","DateFormat=P","Fill=—","Direction=H","UseDPDF=Y")</f>
        <v>#NAME?</v>
      </c>
      <c r="CL207" s="1" t="e">
        <f ca="1">_xll.BDH($C$203,"TOT_DEBT_TO_TOT_CAP","FQ4 2014","FQ4 2014","Currency=INR","Period=FQ","BEST_FPERIOD_OVERRIDE=FQ","FILING_STATUS=OR","EQY_CONSOLIDATED=Y","Sort=A","Dates=H","DateFormat=P","Fill=—","Direction=H","UseDPDF=Y")</f>
        <v>#NAME?</v>
      </c>
      <c r="CM207" s="1" t="e">
        <f ca="1">_xll.BDH($C$203,"TOT_DEBT_TO_TOT_ASSET","FQ4 2014","FQ4 2014","Currency=INR","Period=FQ","BEST_FPERIOD_OVERRIDE=FQ","FILING_STATUS=OR","EQY_CONSOLIDATED=Y","Sort=A","Dates=H","DateFormat=P","Fill=—","Direction=H","UseDPDF=Y")</f>
        <v>#NAME?</v>
      </c>
      <c r="CN207" s="1" t="e">
        <f ca="1">_xll.BDH($C$203,"NET_DEBT_TO_SHRHLDR_EQTY","FQ4 2014","FQ4 2014","Currency=INR","Period=FQ","BEST_FPERIOD_OVERRIDE=FQ","FILING_STATUS=OR","EQY_CONSOLIDATED=Y","Sort=A","Dates=H","DateFormat=P","Fill=—","Direction=H","UseDPDF=Y")</f>
        <v>#NAME?</v>
      </c>
      <c r="CO207" s="1" t="e">
        <f ca="1">_xll.BDH($C$203,"NET_DEBT_%_CAPITAL","FQ4 2014","FQ4 2014","Currency=INR","Period=FQ","BEST_FPERIOD_OVERRIDE=FQ","FILING_STATUS=OR","EQY_CONSOLIDATED=Y","Sort=A","Dates=H","DateFormat=P","Fill=—","Direction=H","UseDPDF=Y")</f>
        <v>#NAME?</v>
      </c>
      <c r="CP207" s="2" t="e">
        <f ca="1">_xll.BDH($C$203,"EBITDA","FQ4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07" s="2" t="e">
        <f ca="1">_xll.BDH($C$203,"EBITDA_AFTER_CAPEX","FQ4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07" s="2" t="e">
        <f ca="1">_xll.BDH($C$203,"IS_OPER_INC","FQ4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07" s="1" t="e">
        <f ca="1">_xll.BDH($C$203,"CASH_RATIO","FQ4 2014","FQ4 2014","Currency=INR","Period=FQ","BEST_FPERIOD_OVERRIDE=FQ","FILING_STATUS=OR","EQY_CONSOLIDATED=Y","Sort=A","Dates=H","DateFormat=P","Fill=—","Direction=H","UseDPDF=Y")</f>
        <v>#NAME?</v>
      </c>
      <c r="CT207" s="1" t="e">
        <f ca="1">_xll.BDH($C$203,"CUR_RATIO","FQ4 2014","FQ4 2014","Currency=INR","Period=FQ","BEST_FPERIOD_OVERRIDE=FQ","FILING_STATUS=OR","EQY_CONSOLIDATED=Y","Sort=A","Dates=H","DateFormat=P","Fill=—","Direction=H","UseDPDF=Y")</f>
        <v>#NAME?</v>
      </c>
      <c r="CU207" s="1" t="e">
        <f ca="1">_xll.BDH($C$203,"QUICK_RATIO","FQ4 2014","FQ4 2014","Currency=INR","Period=FQ","BEST_FPERIOD_OVERRIDE=FQ","FILING_STATUS=OR","EQY_CONSOLIDATED=Y","Sort=A","Dates=H","DateFormat=P","Fill=—","Direction=H","UseDPDF=Y")</f>
        <v>#NAME?</v>
      </c>
      <c r="CV207" s="1" t="e">
        <f ca="1">_xll.BDH($C$203,"ALTMAN_Z_SCORE","FQ4 2014","FQ4 2014","Currency=INR","Period=FQ","BEST_FPERIOD_OVERRIDE=FQ","FILING_STATUS=OR","EQY_CONSOLIDATED=Y","Sort=A","Dates=H","DateFormat=P","Fill=—","Direction=H","UseDPDF=Y")</f>
        <v>#NAME?</v>
      </c>
      <c r="CW207" s="3" t="e">
        <f ca="1">_xll.BDH($C$203,"ACCT_RCV_TURN","FQ4 2014","FQ4 2014","Currency=INR","Period=FQ","BEST_FPERIOD_OVERRIDE=FQ","FILING_STATUS=OR","EQY_CONSOLIDATED=Y","FA_ADJUSTED=GAAP","Sort=A","Dates=H","DateFormat=P","Fill=—","Direction=H","UseDPDF=Y")</f>
        <v>#NAME?</v>
      </c>
      <c r="CX207" s="1" t="e">
        <f ca="1">_xll.BDH($C$203,"ACCT_RCV_DAYS","FQ4 2014","FQ4 2014","Currency=INR","Period=FQ","BEST_FPERIOD_OVERRIDE=FQ","FILING_STATUS=OR","EQY_CONSOLIDATED=Y","FA_ADJUSTED=GAAP","Sort=A","Dates=H","DateFormat=P","Fill=—","Direction=H","UseDPDF=Y")</f>
        <v>#NAME?</v>
      </c>
      <c r="CY207" s="3" t="e">
        <f ca="1">_xll.BDH($C$203,"INVENT_TURN","FQ4 2014","FQ4 2014","Currency=INR","Period=FQ","BEST_FPERIOD_OVERRIDE=FQ","FILING_STATUS=OR","EQY_CONSOLIDATED=Y","FA_ADJUSTED=GAAP","Sort=A","Dates=H","DateFormat=P","Fill=—","Direction=H","UseDPDF=Y")</f>
        <v>#NAME?</v>
      </c>
      <c r="CZ207" s="1" t="e">
        <f ca="1">_xll.BDH($C$203,"INVENT_DAYS","FQ4 2014","FQ4 2014","Currency=INR","Period=FQ","BEST_FPERIOD_OVERRIDE=FQ","FILING_STATUS=OR","EQY_CONSOLIDATED=Y","FA_ADJUSTED=GAAP","Sort=A","Dates=H","DateFormat=P","Fill=—","Direction=H","UseDPDF=Y")</f>
        <v>#NAME?</v>
      </c>
      <c r="DA207" s="3" t="e">
        <f ca="1">_xll.BDH($C$203,"ACCOUNTS_PAYABLE_TURNOVER","FQ4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07" s="1" t="e">
        <f ca="1">_xll.BDH($C$203,"ACCOUNTS_PAYABLE_TURNOVER_DAYS","FQ4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07" s="3" t="e">
        <f ca="1">_xll.BDH($C$203,"CASH_CONVERSION_CYCLE","FQ4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07" s="3" t="e">
        <f ca="1">_xll.BDH($C$203,"INV_TO_CASH_DAYS","FQ4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207" s="4" t="e">
        <f ca="1">_xll.BDH($C$203,"BS_INVENTORIES","FQ4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207" s="2" t="e">
        <f ca="1">_xll.BDH($C$203,"INVTRY_RAW_MATERIALS","FQ4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07" s="2" t="e">
        <f ca="1">_xll.BDH($C$203,"INVTRY_IN_PROGRESS","FQ4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07" s="2" t="e">
        <f ca="1">_xll.BDH($C$203,"INVTRY_FINISHED_GOODS","FQ4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07" s="2" t="e">
        <f ca="1">_xll.BDH($C$203,"BS_OTHER_INV","FQ4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08" spans="1:113" x14ac:dyDescent="0.3">
      <c r="A208" s="6"/>
      <c r="B208" s="6"/>
      <c r="C208" s="6"/>
      <c r="D208" s="6" t="s">
        <v>8</v>
      </c>
      <c r="E208" t="s">
        <v>3</v>
      </c>
      <c r="F208" t="e">
        <f ca="1">_xll.BDH($C$203,"RETURN_COM_EQY","FY 2015","FY 2015","Currency=INR","Period=FY","BEST_FPERIOD_OVERRIDE=FY","FILING_STATUS=OR","EQY_CONSOLIDATED=Y","FA_ADJUSTED=GAAP","Sort=A","Dates=H","DateFormat=P","Fill=—","Direction=H","UseDPDF=Y")</f>
        <v>#NAME?</v>
      </c>
      <c r="G208" t="e">
        <f ca="1">_xll.BDH($C$203,"RETURN_ON_ASSET","FY 2015","FY 2015","Currency=INR","Period=FY","BEST_FPERIOD_OVERRIDE=FY","FILING_STATUS=OR","EQY_CONSOLIDATED=Y","FA_ADJUSTED=GAAP","Sort=A","Dates=H","DateFormat=P","Fill=—","Direction=H","UseDPDF=Y")</f>
        <v>#NAME?</v>
      </c>
      <c r="H208" t="e">
        <f ca="1">_xll.BDH($C$203,"RETURN_ON_CAP","FY 2015","FY 2015","Currency=INR","Period=FY","BEST_FPERIOD_OVERRIDE=FY","FILING_STATUS=OR","EQY_CONSOLIDATED=Y","FA_ADJUSTED=GAAP","Sort=A","Dates=H","DateFormat=P","Fill=—","Direction=H","UseDPDF=Y")</f>
        <v>#NAME?</v>
      </c>
      <c r="I208" t="e">
        <f ca="1">_xll.BDH($C$203,"RETURN_ON_INV_CAPITAL","FY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08" t="e">
        <f ca="1">_xll.BDH($C$203,"EBITDA_TO_REVENUE","FY 2015","FY 2015","Currency=INR","Period=FY","BEST_FPERIOD_OVERRIDE=FY","FILING_STATUS=OR","EQY_CONSOLIDATED=Y","FA_ADJUSTED=GAAP","Sort=A","Dates=H","DateFormat=P","Fill=—","Direction=H","UseDPDF=Y")</f>
        <v>#NAME?</v>
      </c>
      <c r="K208" t="e">
        <f ca="1">_xll.BDH($C$203,"OPER_MARGIN","FY 2015","FY 2015","Currency=INR","Period=FY","BEST_FPERIOD_OVERRIDE=FY","FILING_STATUS=OR","EQY_CONSOLIDATED=Y","FA_ADJUSTED=GAAP","Sort=A","Dates=H","DateFormat=P","Fill=—","Direction=H","UseDPDF=Y")</f>
        <v>#NAME?</v>
      </c>
      <c r="L208" t="e">
        <f ca="1">_xll.BDH($C$203,"INCREMENTAL_OPERATING_MARGIN","FY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08" t="e">
        <f ca="1">_xll.BDH($C$203,"PRETAX_INC_TO_NET_SALES","FY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08" t="e">
        <f ca="1">_xll.BDH($C$203,"INC_BEF_XO_ITEMS_TO_NET_SALES","FY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08" t="e">
        <f ca="1">_xll.BDH($C$203,"PROF_MARGIN","FY 2015","FY 2015","Currency=INR","Period=FY","BEST_FPERIOD_OVERRIDE=FY","FILING_STATUS=OR","EQY_CONSOLIDATED=Y","FA_ADJUSTED=GAAP","Sort=A","Dates=H","DateFormat=P","Fill=—","Direction=H","UseDPDF=Y")</f>
        <v>#NAME?</v>
      </c>
      <c r="P208" t="e">
        <f ca="1">_xll.BDH($C$203,"NET_INCOME_TO_COMMON_MARGIN","FY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08" t="e">
        <f ca="1">_xll.BDH($C$203,"EFF_TAX_RATE","FY 2015","FY 2015","Currency=INR","Period=FY","BEST_FPERIOD_OVERRIDE=FY","FILING_STATUS=OR","EQY_CONSOLIDATED=Y","FA_ADJUSTED=GAAP","Sort=A","Dates=H","DateFormat=P","Fill=—","Direction=H","UseDPDF=Y")</f>
        <v>#NAME?</v>
      </c>
      <c r="R208" t="e">
        <f ca="1">_xll.BDH($C$203,"DVD_PAYOUT_RATIO","FY 2015","FY 2015","Currency=INR","Period=FY","BEST_FPERIOD_OVERRIDE=FY","FILING_STATUS=OR","EQY_CONSOLIDATED=Y","FA_ADJUSTED=GAAP","Sort=A","Dates=H","DateFormat=P","Fill=—","Direction=H","UseDPDF=Y")</f>
        <v>#NAME?</v>
      </c>
      <c r="S208" t="e">
        <f ca="1">_xll.BDH($C$203,"SUSTAIN_GROWTH_RT","FY 2015","FY 2015","Currency=INR","Period=FY","BEST_FPERIOD_OVERRIDE=FY","FILING_STATUS=OR","EQY_CONSOLIDATED=Y","FA_ADJUSTED=GAAP","Sort=A","Dates=H","DateFormat=P","Fill=—","Direction=H","UseDPDF=Y")</f>
        <v>#NAME?</v>
      </c>
      <c r="T208" s="1" t="e">
        <f ca="1">_xll.BDH($C$203,"SALES_GROWTH","FY 2015","FY 2015","Currency=INR","Period=FY","BEST_FPERIOD_OVERRIDE=FY","FILING_STATUS=OR","EQY_CONSOLIDATED=Y","FA_ADJUSTED=GAAP","Sort=A","Dates=H","DateFormat=P","Fill=—","Direction=H","UseDPDF=Y")</f>
        <v>#NAME?</v>
      </c>
      <c r="U208" s="1" t="e">
        <f ca="1">_xll.BDH($C$203,"EBITDA_GROWTH","FY 2015","FY 2015","Currency=INR","Period=FY","BEST_FPERIOD_OVERRIDE=FY","FILING_STATUS=OR","EQY_CONSOLIDATED=Y","FA_ADJUSTED=GAAP","Sort=A","Dates=H","DateFormat=P","Fill=—","Direction=H","UseDPDF=Y")</f>
        <v>#NAME?</v>
      </c>
      <c r="V208" s="1" t="e">
        <f ca="1">_xll.BDH($C$203,"OPER_INC_GROWTH","FY 2015","FY 2015","Currency=INR","Period=FY","BEST_FPERIOD_OVERRIDE=FY","FILING_STATUS=OR","EQY_CONSOLIDATED=Y","FA_ADJUSTED=GAAP","Sort=A","Dates=H","DateFormat=P","Fill=—","Direction=H","UseDPDF=Y")</f>
        <v>#NAME?</v>
      </c>
      <c r="W208" s="1" t="e">
        <f ca="1">_xll.BDH($C$203,"EARN_FOR_COM_GROWTH","FY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208" s="1" t="e">
        <f ca="1">_xll.BDH($C$203,"DILUTED_EPS_AFT_XO_ITEMS_GROWTH","FY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08" s="1" t="e">
        <f ca="1">_xll.BDH($C$203,"DIVIDEND_PER_SHARE_1_YEAR_GROWTH","FY 2015","FY 2015","Currency=INR","Period=FY","BEST_FPERIOD_OVERRIDE=FY","FILING_STATUS=OR","EQY_CONSOLIDATED=Y","Sort=A","Dates=H","DateFormat=P","Fill=—","Direction=H","UseDPDF=Y")</f>
        <v>#NAME?</v>
      </c>
      <c r="Z208" s="1" t="e">
        <f ca="1">_xll.BDH($C$203,"ACCOUNTS_RECEIVABLE_GROWTH","FY 2015","FY 2015","Currency=INR","Period=FY","BEST_FPERIOD_OVERRIDE=FY","FILING_STATUS=OR","EQY_CONSOLIDATED=Y","Sort=A","Dates=H","DateFormat=P","Fill=—","Direction=H","UseDPDF=Y")</f>
        <v>#NAME?</v>
      </c>
      <c r="AA208" s="1" t="e">
        <f ca="1">_xll.BDH($C$203,"INVENTORY_GROWTH","FY 2015","FY 2015","Currency=INR","Period=FY","BEST_FPERIOD_OVERRIDE=FY","FILING_STATUS=OR","EQY_CONSOLIDATED=Y","Sort=A","Dates=H","DateFormat=P","Fill=—","Direction=H","UseDPDF=Y")</f>
        <v>#NAME?</v>
      </c>
      <c r="AB208" s="1" t="e">
        <f ca="1">_xll.BDH($C$203,"NET_FIXED_ASSETS_1_YEAR_GROWTH","FY 2015","FY 2015","Currency=INR","Period=FY","BEST_FPERIOD_OVERRIDE=FY","FILING_STATUS=OR","EQY_CONSOLIDATED=Y","Sort=A","Dates=H","DateFormat=P","Fill=—","Direction=H","UseDPDF=Y")</f>
        <v>#NAME?</v>
      </c>
      <c r="AC208" s="1" t="e">
        <f ca="1">_xll.BDH($C$203,"ASSET_GROWTH","FY 2015","FY 2015","Currency=INR","Period=FY","BEST_FPERIOD_OVERRIDE=FY","FILING_STATUS=OR","EQY_CONSOLIDATED=Y","Sort=A","Dates=H","DateFormat=P","Fill=—","Direction=H","UseDPDF=Y")</f>
        <v>#NAME?</v>
      </c>
      <c r="AD208" s="1" t="e">
        <f ca="1">_xll.BDH($C$203,"MODIFIED_WORK_CAP_GROWTH","FY 2015","FY 2015","Currency=INR","Period=FY","BEST_FPERIOD_OVERRIDE=FY","FILING_STATUS=OR","EQY_CONSOLIDATED=Y","Sort=A","Dates=H","DateFormat=P","Fill=—","Direction=H","UseDPDF=Y")</f>
        <v>#NAME?</v>
      </c>
      <c r="AE208" s="1" t="e">
        <f ca="1">_xll.BDH($C$203,"WORK_CAP_GROWTH","FY 2015","FY 2015","Currency=INR","Period=FY","BEST_FPERIOD_OVERRIDE=FY","FILING_STATUS=OR","EQY_CONSOLIDATED=Y","Sort=A","Dates=H","DateFormat=P","Fill=—","Direction=H","UseDPDF=Y")</f>
        <v>#NAME?</v>
      </c>
      <c r="AF208" s="1" t="e">
        <f ca="1">_xll.BDH($C$203,"ACCOUNTS_PAYABLE_GROWTH_1YR","FY 2015","FY 2015","Currency=INR","Period=FY","BEST_FPERIOD_OVERRIDE=FY","FILING_STATUS=OR","EQY_CONSOLIDATED=Y","Sort=A","Dates=H","DateFormat=P","Fill=—","Direction=H","UseDPDF=Y")</f>
        <v>#NAME?</v>
      </c>
      <c r="AG208" s="1" t="e">
        <f ca="1">_xll.BDH($C$203,"SHORT_TERM_DEBT_1_YEAR_GROWTH","FY 2015","FY 2015","Currency=INR","Period=FY","BEST_FPERIOD_OVERRIDE=FY","FILING_STATUS=OR","EQY_CONSOLIDATED=Y","Sort=A","Dates=H","DateFormat=P","Fill=—","Direction=H","UseDPDF=Y")</f>
        <v>#NAME?</v>
      </c>
      <c r="AH208" s="1" t="e">
        <f ca="1">_xll.BDH($C$203,"TOTAL_DEBT_1_YEAR_GROWTH","FY 2015","FY 2015","Currency=INR","Period=FY","BEST_FPERIOD_OVERRIDE=FY","FILING_STATUS=OR","EQY_CONSOLIDATED=Y","Sort=A","Dates=H","DateFormat=P","Fill=—","Direction=H","UseDPDF=Y")</f>
        <v>#NAME?</v>
      </c>
      <c r="AI208" s="1" t="e">
        <f ca="1">_xll.BDH($C$203,"TOTAL_EQUITY_1_YEAR_GROWTH","FY 2015","FY 2015","Currency=INR","Period=FY","BEST_FPERIOD_OVERRIDE=FY","FILING_STATUS=OR","EQY_CONSOLIDATED=Y","Sort=A","Dates=H","DateFormat=P","Fill=—","Direction=H","UseDPDF=Y")</f>
        <v>#NAME?</v>
      </c>
      <c r="AJ208" s="1" t="e">
        <f ca="1">_xll.BDH($C$203,"GROWTH_IN_CAP","FY 2015","FY 2015","Currency=INR","Period=FY","BEST_FPERIOD_OVERRIDE=FY","FILING_STATUS=OR","EQY_CONSOLIDATED=Y","Sort=A","Dates=H","DateFormat=P","Fill=—","Direction=H","UseDPDF=Y")</f>
        <v>#NAME?</v>
      </c>
      <c r="AK208" s="1" t="e">
        <f ca="1">_xll.BDH($C$203,"BVPS_GROWTH","FY 2015","FY 2015","Currency=INR","Period=FY","BEST_FPERIOD_OVERRIDE=FY","FILING_STATUS=OR","EQY_CONSOLIDATED=Y","Sort=A","Dates=H","DateFormat=P","Fill=—","Direction=H","UseDPDF=Y")</f>
        <v>#NAME?</v>
      </c>
      <c r="AL208" s="1" t="e">
        <f ca="1">_xll.BDH($C$203,"CASH_FLOW_GROWTH","FY 2015","FY 2015","Currency=INR","Period=FY","BEST_FPERIOD_OVERRIDE=FY","FILING_STATUS=OR","EQY_CONSOLIDATED=Y","Sort=A","Dates=H","DateFormat=P","Fill=—","Direction=H","UseDPDF=Y")</f>
        <v>#NAME?</v>
      </c>
      <c r="AM208" s="1" t="e">
        <f ca="1">_xll.BDH($C$203,"GEO_GROW_NET_SALES","FY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208" s="1" t="e">
        <f ca="1">_xll.BDH($C$203,"GEO_GROW_EBITDA","FY 2015","FY 2015","Currency=INR","Period=FY","BEST_FPERIOD_OVERRIDE=FY","FILING_STATUS=OR","EQY_CONSOLIDATED=Y","FA_ADJUSTED=GAAP","Sort=A","Dates=H","DateFormat=P","Fill=—","Direction=H","UseDPDF=Y")</f>
        <v>#NAME?</v>
      </c>
      <c r="AO208" s="1" t="e">
        <f ca="1">_xll.BDH($C$203,"GEO_GROW_OPER_INC","FY 2015","FY 2015","Currency=INR","Period=FY","BEST_FPERIOD_OVERRIDE=FY","FILING_STATUS=OR","EQY_CONSOLIDATED=Y","FA_ADJUSTED=GAAP","Sort=A","Dates=H","DateFormat=P","Fill=—","Direction=H","UseDPDF=Y")</f>
        <v>#NAME?</v>
      </c>
      <c r="AP208" s="1" t="e">
        <f ca="1">_xll.BDH($C$203,"NET_INCOME_TO_COMMON_5_YR_GROWTH","FY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08" s="1" t="e">
        <f ca="1">_xll.BDH($C$203,"5Y_GEO_GROWTH_DILUTED_EPS","FY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08" s="1" t="e">
        <f ca="1">_xll.BDH($C$203,"GEO_GROW_DVD_PER_SH","FY 2015","FY 2015","Currency=INR","Period=FY","BEST_FPERIOD_OVERRIDE=FY","FILING_STATUS=OR","EQY_CONSOLIDATED=Y","Sort=A","Dates=H","DateFormat=P","Fill=—","Direction=H","UseDPDF=Y")</f>
        <v>#NAME?</v>
      </c>
      <c r="AS208" s="1" t="e">
        <f ca="1">_xll.BDH($C$203,"ACCOUNTS_RECEIVABLE_5_YR_GROWTH","FY 2015","FY 2015","Currency=INR","Period=FY","BEST_FPERIOD_OVERRIDE=FY","FILING_STATUS=OR","EQY_CONSOLIDATED=Y","Sort=A","Dates=H","DateFormat=P","Fill=—","Direction=H","UseDPDF=Y")</f>
        <v>#NAME?</v>
      </c>
      <c r="AT208" s="1" t="e">
        <f ca="1">_xll.BDH($C$203,"INVENTORY_5_YEAR_GROWTH","FY 2015","FY 2015","Currency=INR","Period=FY","BEST_FPERIOD_OVERRIDE=FY","FILING_STATUS=OR","EQY_CONSOLIDATED=Y","Sort=A","Dates=H","DateFormat=P","Fill=—","Direction=H","UseDPDF=Y")</f>
        <v>#NAME?</v>
      </c>
      <c r="AU208" s="1" t="e">
        <f ca="1">_xll.BDH($C$203,"NET_FIXED_ASSETS_5_YEAR_GROWTH","FY 2015","FY 2015","Currency=INR","Period=FY","BEST_FPERIOD_OVERRIDE=FY","FILING_STATUS=OR","EQY_CONSOLIDATED=Y","Sort=A","Dates=H","DateFormat=P","Fill=—","Direction=H","UseDPDF=Y")</f>
        <v>#NAME?</v>
      </c>
      <c r="AV208" s="1" t="e">
        <f ca="1">_xll.BDH($C$203,"GEO_GROW_TOT_ASSET","FY 2015","FY 2015","Currency=INR","Period=FY","BEST_FPERIOD_OVERRIDE=FY","FILING_STATUS=OR","EQY_CONSOLIDATED=Y","Sort=A","Dates=H","DateFormat=P","Fill=—","Direction=H","UseDPDF=Y")</f>
        <v>#NAME?</v>
      </c>
      <c r="AW208" s="1" t="e">
        <f ca="1">_xll.BDH($C$203,"MODIFIED_WORKING_CPTL_5YR_GRWTH","FY 2015","FY 2015","Currency=INR","Period=FY","BEST_FPERIOD_OVERRIDE=FY","FILING_STATUS=OR","EQY_CONSOLIDATED=Y","Sort=A","Dates=H","DateFormat=P","Fill=—","Direction=H","UseDPDF=Y")</f>
        <v>#NAME?</v>
      </c>
      <c r="AX208" s="1" t="e">
        <f ca="1">_xll.BDH($C$203,"WORKING_CAPITAL_5_YEAR_GROWTH","FY 2015","FY 2015","Currency=INR","Period=FY","BEST_FPERIOD_OVERRIDE=FY","FILING_STATUS=OR","EQY_CONSOLIDATED=Y","Sort=A","Dates=H","DateFormat=P","Fill=—","Direction=H","UseDPDF=Y")</f>
        <v>#NAME?</v>
      </c>
      <c r="AY208" s="1" t="e">
        <f ca="1">_xll.BDH($C$203,"ACCOUNTS_PAYABLE_5_YEAR_GROWTH","FY 2015","FY 2015","Currency=INR","Period=FY","BEST_FPERIOD_OVERRIDE=FY","FILING_STATUS=OR","EQY_CONSOLIDATED=Y","Sort=A","Dates=H","DateFormat=P","Fill=—","Direction=H","UseDPDF=Y")</f>
        <v>#NAME?</v>
      </c>
      <c r="AZ208" s="1" t="e">
        <f ca="1">_xll.BDH($C$203,"SHORT_TERM_DEBT_5_YEAR_GROWTH","FY 2015","FY 2015","Currency=INR","Period=FY","BEST_FPERIOD_OVERRIDE=FY","FILING_STATUS=OR","EQY_CONSOLIDATED=Y","Sort=A","Dates=H","DateFormat=P","Fill=—","Direction=H","UseDPDF=Y")</f>
        <v>#NAME?</v>
      </c>
      <c r="BA208" s="1" t="e">
        <f ca="1">_xll.BDH($C$203,"TOTAL_DEBT_5_YEAR_GROWTH","FY 2015","FY 2015","Currency=INR","Period=FY","BEST_FPERIOD_OVERRIDE=FY","FILING_STATUS=OR","EQY_CONSOLIDATED=Y","Sort=A","Dates=H","DateFormat=P","Fill=—","Direction=H","UseDPDF=Y")</f>
        <v>#NAME?</v>
      </c>
      <c r="BB208" s="1" t="e">
        <f ca="1">_xll.BDH($C$203,"GEO_GROW_TOT_SHRHLDR_EQY","FY 2015","FY 2015","Currency=INR","Period=FY","BEST_FPERIOD_OVERRIDE=FY","FILING_STATUS=OR","EQY_CONSOLIDATED=Y","Sort=A","Dates=H","DateFormat=P","Fill=—","Direction=H","UseDPDF=Y")</f>
        <v>#NAME?</v>
      </c>
      <c r="BC208" s="1" t="e">
        <f ca="1">_xll.BDH($C$203,"TOTAL_CAPITAL_5_YEAR_GROWTH","FY 2015","FY 2015","Currency=INR","Period=FY","BEST_FPERIOD_OVERRIDE=FY","FILING_STATUS=OR","EQY_CONSOLIDATED=Y","Sort=A","Dates=H","DateFormat=P","Fill=—","Direction=H","UseDPDF=Y")</f>
        <v>#NAME?</v>
      </c>
      <c r="BD208" s="1" t="e">
        <f ca="1">_xll.BDH($C$203,"GEO_GROW_BOOK_VAL","FY 2015","FY 2015","Currency=INR","Period=FY","BEST_FPERIOD_OVERRIDE=FY","FILING_STATUS=OR","EQY_CONSOLIDATED=Y","Sort=A","Dates=H","DateFormat=P","Fill=—","Direction=H","UseDPDF=Y")</f>
        <v>#NAME?</v>
      </c>
      <c r="BE208" s="1" t="e">
        <f ca="1">_xll.BDH($C$203,"GEO_GROW_CASH_OPER_ACT","FY 2015","FY 2015","Currency=INR","Period=FY","BEST_FPERIOD_OVERRIDE=FY","FILING_STATUS=OR","EQY_CONSOLIDATED=Y","Sort=A","Dates=H","DateFormat=P","Fill=—","Direction=H","UseDPDF=Y")</f>
        <v>#NAME?</v>
      </c>
      <c r="BF208" s="1" t="e">
        <f ca="1">_xll.BDH($C$203,"REVENUE_SEQUENTIAL_GROWTH","FY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08" s="1" t="e">
        <f ca="1">_xll.BDH($C$203,"EBITDA_SEQUENTIAL_GROWTH","FY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08" s="1" t="e">
        <f ca="1">_xll.BDH($C$203,"OPERATING_INCOME_SEQ_GROWTH","FY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08" s="1" t="e">
        <f ca="1">_xll.BDH($C$203,"NET_INCOME_TO_COMMON_SEQ_GROWTH","FY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08" s="1" t="e">
        <f ca="1">_xll.BDH($C$203,"EPS_DILUTED_SEQUENTIAL_GROWTH","FY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08" s="1" t="e">
        <f ca="1">_xll.BDH($C$203,"DPS_SEQUENTIAL_GROWTH","FY 2015","FY 2015","Currency=INR","Period=FY","BEST_FPERIOD_OVERRIDE=FY","FILING_STATUS=OR","EQY_CONSOLIDATED=Y","Sort=A","Dates=H","DateFormat=P","Fill=—","Direction=H","UseDPDF=Y")</f>
        <v>#NAME?</v>
      </c>
      <c r="BL208" s="1" t="e">
        <f ca="1">_xll.BDH($C$203,"ACCOUNTS_RECEIVABLE_SEQ_GROWTH","FY 2015","FY 2015","Currency=INR","Period=FY","BEST_FPERIOD_OVERRIDE=FY","FILING_STATUS=OR","EQY_CONSOLIDATED=Y","Sort=A","Dates=H","DateFormat=P","Fill=—","Direction=H","UseDPDF=Y")</f>
        <v>#NAME?</v>
      </c>
      <c r="BM208" s="1" t="e">
        <f ca="1">_xll.BDH($C$203,"INVENTORY_SEQUENTIAL_GROWTH","FY 2015","FY 2015","Currency=INR","Period=FY","BEST_FPERIOD_OVERRIDE=FY","FILING_STATUS=OR","EQY_CONSOLIDATED=Y","Sort=A","Dates=H","DateFormat=P","Fill=—","Direction=H","UseDPDF=Y")</f>
        <v>#NAME?</v>
      </c>
      <c r="BN208" s="1" t="e">
        <f ca="1">_xll.BDH($C$203,"FIXED_ASSETS_SEQUENTIAL_GROWTH","FY 2015","FY 2015","Currency=INR","Period=FY","BEST_FPERIOD_OVERRIDE=FY","FILING_STATUS=OR","EQY_CONSOLIDATED=Y","Sort=A","Dates=H","DateFormat=P","Fill=—","Direction=H","UseDPDF=Y")</f>
        <v>#NAME?</v>
      </c>
      <c r="BO208" s="1" t="e">
        <f ca="1">_xll.BDH($C$203,"TOTAL_ASSETS_SEQUENTIAL_GROWTH","FY 2015","FY 2015","Currency=INR","Period=FY","BEST_FPERIOD_OVERRIDE=FY","FILING_STATUS=OR","EQY_CONSOLIDATED=Y","Sort=A","Dates=H","DateFormat=P","Fill=—","Direction=H","UseDPDF=Y")</f>
        <v>#NAME?</v>
      </c>
      <c r="BP208" s="1" t="e">
        <f ca="1">_xll.BDH($C$203,"MODIFIED_WORKING_CPTL_SEQ_GRWTH","FY 2015","FY 2015","Currency=INR","Period=FY","BEST_FPERIOD_OVERRIDE=FY","FILING_STATUS=OR","EQY_CONSOLIDATED=Y","Sort=A","Dates=H","DateFormat=P","Fill=—","Direction=H","UseDPDF=Y")</f>
        <v>#NAME?</v>
      </c>
      <c r="BQ208" s="1" t="e">
        <f ca="1">_xll.BDH($C$203,"WORKING_CAPITAL_SEQ_GROWTH","FY 2015","FY 2015","Currency=INR","Period=FY","BEST_FPERIOD_OVERRIDE=FY","FILING_STATUS=OR","EQY_CONSOLIDATED=Y","Sort=A","Dates=H","DateFormat=P","Fill=—","Direction=H","UseDPDF=Y")</f>
        <v>#NAME?</v>
      </c>
      <c r="BR208" s="1" t="e">
        <f ca="1">_xll.BDH($C$203,"ACCOUNTS_PAYABLE_SEQ_GROWTH","FY 2015","FY 2015","Currency=INR","Period=FY","BEST_FPERIOD_OVERRIDE=FY","FILING_STATUS=OR","EQY_CONSOLIDATED=Y","Sort=A","Dates=H","DateFormat=P","Fill=—","Direction=H","UseDPDF=Y")</f>
        <v>#NAME?</v>
      </c>
      <c r="BS208" s="1" t="e">
        <f ca="1">_xll.BDH($C$203,"ST_DEBT_SEQUENTIAL_GROWTH","FY 2015","FY 2015","Currency=INR","Period=FY","BEST_FPERIOD_OVERRIDE=FY","FILING_STATUS=OR","EQY_CONSOLIDATED=Y","Sort=A","Dates=H","DateFormat=P","Fill=—","Direction=H","UseDPDF=Y")</f>
        <v>#NAME?</v>
      </c>
      <c r="BT208" s="1" t="e">
        <f ca="1">_xll.BDH($C$203,"TOTAL_DEBT_SEQUENTIAL_GROWTH","FY 2015","FY 2015","Currency=INR","Period=FY","BEST_FPERIOD_OVERRIDE=FY","FILING_STATUS=OR","EQY_CONSOLIDATED=Y","Sort=A","Dates=H","DateFormat=P","Fill=—","Direction=H","UseDPDF=Y")</f>
        <v>#NAME?</v>
      </c>
      <c r="BU208" s="1" t="e">
        <f ca="1">_xll.BDH($C$203,"TOTAL_EQUITY_SEQUENTIAL_GROWTH","FY 2015","FY 2015","Currency=INR","Period=FY","BEST_FPERIOD_OVERRIDE=FY","FILING_STATUS=OR","EQY_CONSOLIDATED=Y","Sort=A","Dates=H","DateFormat=P","Fill=—","Direction=H","UseDPDF=Y")</f>
        <v>#NAME?</v>
      </c>
      <c r="BV208" s="1" t="e">
        <f ca="1">_xll.BDH($C$203,"TOTAL_CAPITAL_SEQUENTIAL_GROWTH","FY 2015","FY 2015","Currency=INR","Period=FY","BEST_FPERIOD_OVERRIDE=FY","FILING_STATUS=OR","EQY_CONSOLIDATED=Y","Sort=A","Dates=H","DateFormat=P","Fill=—","Direction=H","UseDPDF=Y")</f>
        <v>#NAME?</v>
      </c>
      <c r="BW208" s="1" t="e">
        <f ca="1">_xll.BDH($C$203,"BPS_SEQUENTIAL_GROWTH","FY 2015","FY 2015","Currency=INR","Period=FY","BEST_FPERIOD_OVERRIDE=FY","FILING_STATUS=OR","EQY_CONSOLIDATED=Y","Sort=A","Dates=H","DateFormat=P","Fill=—","Direction=H","UseDPDF=Y")</f>
        <v>#NAME?</v>
      </c>
      <c r="BX208" s="1" t="e">
        <f ca="1">_xll.BDH($C$203,"CFO_SEQUENTIAL_GROWTH","FY 2015","FY 2015","Currency=INR","Period=FY","BEST_FPERIOD_OVERRIDE=FY","FILING_STATUS=OR","EQY_CONSOLIDATED=Y","Sort=A","Dates=H","DateFormat=P","Fill=—","Direction=H","UseDPDF=Y")</f>
        <v>#NAME?</v>
      </c>
      <c r="BY208" s="2" t="e">
        <f ca="1">_xll.BDH($C$203,"SHORT_AND_LONG_TERM_DEBT","FY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08" s="2" t="e">
        <f ca="1">_xll.BDH($C$203,"BS_ST_BORROW","FY 2015","FY 2015","Currency=INR","Period=FY","BEST_FPERIOD_OVERRIDE=FY","FILING_STATUS=OR","EQY_CONSOLIDATED=Y","SCALING_FORMAT=MLN","Sort=A","Dates=H","DateFormat=P","Fill=—","Direction=H","UseDPDF=Y")</f>
        <v>#NAME?</v>
      </c>
      <c r="CA208" s="2" t="e">
        <f ca="1">_xll.BDH($C$203,"BS_LT_BORROW","FY 2015","FY 2015","Currency=INR","Period=FY","BEST_FPERIOD_OVERRIDE=FY","FILING_STATUS=OR","EQY_CONSOLIDATED=Y","SCALING_FORMAT=MLN","Sort=A","Dates=H","DateFormat=P","Fill=—","Direction=H","UseDPDF=Y")</f>
        <v>#NAME?</v>
      </c>
      <c r="CB208" s="1" t="e">
        <f ca="1">_xll.BDH($C$203,"TOT_DEBT_TO_EBITDA","FY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208" s="1" t="e">
        <f ca="1">_xll.BDH($C$203,"NET_DEBT_TO_EBITDA","FY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208" s="1" t="e">
        <f ca="1">_xll.BDH($C$203,"TOTAL_DEBT_TO_EBIT","FY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208" s="1" t="e">
        <f ca="1">_xll.BDH($C$203,"NET_DEBT_TO_EBIT","FY 2015","FY 2015","Currency=INR","Period=FY","BEST_FPERIOD_OVERRIDE=FY","FILING_STATUS=OR","EQY_CONSOLIDATED=Y","FA_ADJUSTED=GAAP","Sort=A","Dates=H","DateFormat=P","Fill=—","Direction=H","UseDPDF=Y")</f>
        <v>#NAME?</v>
      </c>
      <c r="CF208" s="1" t="e">
        <f ca="1">_xll.BDH($C$203,"EBITDA_TO_INTEREST_EXPN","FY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08" s="1" t="e">
        <f ca="1">_xll.BDH($C$203,"COM_EQY_TO_TOT_ASSET","FY 2015","FY 2015","Currency=INR","Period=FY","BEST_FPERIOD_OVERRIDE=FY","FILING_STATUS=OR","EQY_CONSOLIDATED=Y","Sort=A","Dates=H","DateFormat=P","Fill=—","Direction=H","UseDPDF=Y")</f>
        <v>#NAME?</v>
      </c>
      <c r="CH208" s="1" t="e">
        <f ca="1">_xll.BDH($C$203,"LT_DEBT_TO_TOT_EQY","FY 2015","FY 2015","Currency=INR","Period=FY","BEST_FPERIOD_OVERRIDE=FY","FILING_STATUS=OR","EQY_CONSOLIDATED=Y","Sort=A","Dates=H","DateFormat=P","Fill=—","Direction=H","UseDPDF=Y")</f>
        <v>#NAME?</v>
      </c>
      <c r="CI208" s="1" t="e">
        <f ca="1">_xll.BDH($C$203,"LT_DEBT_TO_TOT_CAP","FY 2015","FY 2015","Currency=INR","Period=FY","BEST_FPERIOD_OVERRIDE=FY","FILING_STATUS=OR","EQY_CONSOLIDATED=Y","Sort=A","Dates=H","DateFormat=P","Fill=—","Direction=H","UseDPDF=Y")</f>
        <v>#NAME?</v>
      </c>
      <c r="CJ208" s="1" t="e">
        <f ca="1">_xll.BDH($C$203,"LT_DEBT_TO_TOT_ASSET","FY 2015","FY 2015","Currency=INR","Period=FY","BEST_FPERIOD_OVERRIDE=FY","FILING_STATUS=OR","EQY_CONSOLIDATED=Y","Sort=A","Dates=H","DateFormat=P","Fill=—","Direction=H","UseDPDF=Y")</f>
        <v>#NAME?</v>
      </c>
      <c r="CK208" s="1" t="e">
        <f ca="1">_xll.BDH($C$203,"TOT_DEBT_TO_TOT_EQY","FY 2015","FY 2015","Currency=INR","Period=FY","BEST_FPERIOD_OVERRIDE=FY","FILING_STATUS=OR","EQY_CONSOLIDATED=Y","Sort=A","Dates=H","DateFormat=P","Fill=—","Direction=H","UseDPDF=Y")</f>
        <v>#NAME?</v>
      </c>
      <c r="CL208" s="1" t="e">
        <f ca="1">_xll.BDH($C$203,"TOT_DEBT_TO_TOT_CAP","FY 2015","FY 2015","Currency=INR","Period=FY","BEST_FPERIOD_OVERRIDE=FY","FILING_STATUS=OR","EQY_CONSOLIDATED=Y","Sort=A","Dates=H","DateFormat=P","Fill=—","Direction=H","UseDPDF=Y")</f>
        <v>#NAME?</v>
      </c>
      <c r="CM208" s="1" t="e">
        <f ca="1">_xll.BDH($C$203,"TOT_DEBT_TO_TOT_ASSET","FY 2015","FY 2015","Currency=INR","Period=FY","BEST_FPERIOD_OVERRIDE=FY","FILING_STATUS=OR","EQY_CONSOLIDATED=Y","Sort=A","Dates=H","DateFormat=P","Fill=—","Direction=H","UseDPDF=Y")</f>
        <v>#NAME?</v>
      </c>
      <c r="CN208" s="1" t="e">
        <f ca="1">_xll.BDH($C$203,"NET_DEBT_TO_SHRHLDR_EQTY","FY 2015","FY 2015","Currency=INR","Period=FY","BEST_FPERIOD_OVERRIDE=FY","FILING_STATUS=OR","EQY_CONSOLIDATED=Y","Sort=A","Dates=H","DateFormat=P","Fill=—","Direction=H","UseDPDF=Y")</f>
        <v>#NAME?</v>
      </c>
      <c r="CO208" s="1" t="e">
        <f ca="1">_xll.BDH($C$203,"NET_DEBT_%_CAPITAL","FY 2015","FY 2015","Currency=INR","Period=FY","BEST_FPERIOD_OVERRIDE=FY","FILING_STATUS=OR","EQY_CONSOLIDATED=Y","Sort=A","Dates=H","DateFormat=P","Fill=—","Direction=H","UseDPDF=Y")</f>
        <v>#NAME?</v>
      </c>
      <c r="CP208" s="2" t="e">
        <f ca="1">_xll.BDH($C$203,"EBITDA","FY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08" s="2" t="e">
        <f ca="1">_xll.BDH($C$203,"EBITDA_AFTER_CAPEX","FY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08" s="2" t="e">
        <f ca="1">_xll.BDH($C$203,"IS_OPER_INC","FY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08" s="1" t="e">
        <f ca="1">_xll.BDH($C$203,"CASH_RATIO","FY 2015","FY 2015","Currency=INR","Period=FY","BEST_FPERIOD_OVERRIDE=FY","FILING_STATUS=OR","EQY_CONSOLIDATED=Y","Sort=A","Dates=H","DateFormat=P","Fill=—","Direction=H","UseDPDF=Y")</f>
        <v>#NAME?</v>
      </c>
      <c r="CT208" s="1" t="e">
        <f ca="1">_xll.BDH($C$203,"CUR_RATIO","FY 2015","FY 2015","Currency=INR","Period=FY","BEST_FPERIOD_OVERRIDE=FY","FILING_STATUS=OR","EQY_CONSOLIDATED=Y","Sort=A","Dates=H","DateFormat=P","Fill=—","Direction=H","UseDPDF=Y")</f>
        <v>#NAME?</v>
      </c>
      <c r="CU208" s="1" t="e">
        <f ca="1">_xll.BDH($C$203,"QUICK_RATIO","FY 2015","FY 2015","Currency=INR","Period=FY","BEST_FPERIOD_OVERRIDE=FY","FILING_STATUS=OR","EQY_CONSOLIDATED=Y","Sort=A","Dates=H","DateFormat=P","Fill=—","Direction=H","UseDPDF=Y")</f>
        <v>#NAME?</v>
      </c>
      <c r="CV208" s="1" t="e">
        <f ca="1">_xll.BDH($C$203,"ALTMAN_Z_SCORE","FY 2015","FY 2015","Currency=INR","Period=FY","BEST_FPERIOD_OVERRIDE=FY","FILING_STATUS=OR","EQY_CONSOLIDATED=Y","Sort=A","Dates=H","DateFormat=P","Fill=—","Direction=H","UseDPDF=Y")</f>
        <v>#NAME?</v>
      </c>
      <c r="CW208" s="3" t="e">
        <f ca="1">_xll.BDH($C$203,"ACCT_RCV_TURN","FY 2015","FY 2015","Currency=INR","Period=FY","BEST_FPERIOD_OVERRIDE=FY","FILING_STATUS=OR","EQY_CONSOLIDATED=Y","FA_ADJUSTED=GAAP","Sort=A","Dates=H","DateFormat=P","Fill=—","Direction=H","UseDPDF=Y")</f>
        <v>#NAME?</v>
      </c>
      <c r="CX208" s="1" t="e">
        <f ca="1">_xll.BDH($C$203,"ACCT_RCV_DAYS","FY 2015","FY 2015","Currency=INR","Period=FY","BEST_FPERIOD_OVERRIDE=FY","FILING_STATUS=OR","EQY_CONSOLIDATED=Y","FA_ADJUSTED=GAAP","Sort=A","Dates=H","DateFormat=P","Fill=—","Direction=H","UseDPDF=Y")</f>
        <v>#NAME?</v>
      </c>
      <c r="CY208" s="3" t="e">
        <f ca="1">_xll.BDH($C$203,"INVENT_TURN","FY 2015","FY 2015","Currency=INR","Period=FY","BEST_FPERIOD_OVERRIDE=FY","FILING_STATUS=OR","EQY_CONSOLIDATED=Y","FA_ADJUSTED=GAAP","Sort=A","Dates=H","DateFormat=P","Fill=—","Direction=H","UseDPDF=Y")</f>
        <v>#NAME?</v>
      </c>
      <c r="CZ208" s="1" t="e">
        <f ca="1">_xll.BDH($C$203,"INVENT_DAYS","FY 2015","FY 2015","Currency=INR","Period=FY","BEST_FPERIOD_OVERRIDE=FY","FILING_STATUS=OR","EQY_CONSOLIDATED=Y","FA_ADJUSTED=GAAP","Sort=A","Dates=H","DateFormat=P","Fill=—","Direction=H","UseDPDF=Y")</f>
        <v>#NAME?</v>
      </c>
      <c r="DA208" s="3" t="e">
        <f ca="1">_xll.BDH($C$203,"ACCOUNTS_PAYABLE_TURNOVER","FY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08" s="1" t="e">
        <f ca="1">_xll.BDH($C$203,"ACCOUNTS_PAYABLE_TURNOVER_DAYS","FY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08" s="3" t="e">
        <f ca="1">_xll.BDH($C$203,"CASH_CONVERSION_CYCLE","FY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08" s="3" t="e">
        <f ca="1">_xll.BDH($C$203,"INV_TO_CASH_DAYS","FY 2015","FY 2015","Currency=INR","Period=FY","BEST_FPERIOD_OVERRIDE=FY","FILING_STATUS=OR","EQY_CONSOLIDATED=Y","FA_ADJUSTED=GAAP","Sort=A","Dates=H","DateFormat=P","Fill=—","Direction=H","UseDPDF=Y")</f>
        <v>#NAME?</v>
      </c>
      <c r="DE208" s="4" t="e">
        <f ca="1">_xll.BDH($C$203,"BS_INVENTORIES","FY 2015","FY 2015","Currency=INR","Period=FY","BEST_FPERIOD_OVERRIDE=FY","FILING_STATUS=OR","EQY_CONSOLIDATED=Y","SCALING_FORMAT=MLN","Sort=A","Dates=H","DateFormat=P","Fill=—","Direction=H","UseDPDF=Y")</f>
        <v>#NAME?</v>
      </c>
      <c r="DF208" s="2" t="e">
        <f ca="1">_xll.BDH($C$203,"INVTRY_RAW_MATERIALS","FY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08" s="2" t="e">
        <f ca="1">_xll.BDH($C$203,"INVTRY_IN_PROGRESS","FY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08" s="2" t="e">
        <f ca="1">_xll.BDH($C$203,"INVTRY_FINISHED_GOODS","FY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08" s="2" t="e">
        <f ca="1">_xll.BDH($C$203,"BS_OTHER_INV","FY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09" spans="1:113" x14ac:dyDescent="0.3">
      <c r="A209" s="6"/>
      <c r="B209" s="6"/>
      <c r="C209" s="6"/>
      <c r="D209" s="6"/>
      <c r="E209" t="s">
        <v>4</v>
      </c>
      <c r="F209" t="e">
        <f ca="1">_xll.BDH($C$203,"RETURN_COM_EQY","FQ1 2015","FQ1 2015","Currency=INR","Period=FQ","BEST_FPERIOD_OVERRIDE=FQ","FILING_STATUS=OR","EQY_CONSOLIDATED=Y","FA_ADJUSTED=GAAP","Sort=A","Dates=H","DateFormat=P","Fill=—","Direction=H","UseDPDF=Y")</f>
        <v>#NAME?</v>
      </c>
      <c r="G209" t="e">
        <f ca="1">_xll.BDH($C$203,"RETURN_ON_ASSET","FQ1 2015","FQ1 2015","Currency=INR","Period=FQ","BEST_FPERIOD_OVERRIDE=FQ","FILING_STATUS=OR","EQY_CONSOLIDATED=Y","FA_ADJUSTED=GAAP","Sort=A","Dates=H","DateFormat=P","Fill=—","Direction=H","UseDPDF=Y")</f>
        <v>#NAME?</v>
      </c>
      <c r="H209" t="e">
        <f ca="1">_xll.BDH($C$203,"RETURN_ON_CAP","FQ1 2015","FQ1 2015","Currency=INR","Period=FQ","BEST_FPERIOD_OVERRIDE=FQ","FILING_STATUS=OR","EQY_CONSOLIDATED=Y","FA_ADJUSTED=GAAP","Sort=A","Dates=H","DateFormat=P","Fill=—","Direction=H","UseDPDF=Y")</f>
        <v>#NAME?</v>
      </c>
      <c r="I209" t="e">
        <f ca="1">_xll.BDH($C$203,"RETURN_ON_INV_CAPITAL","FQ1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09" t="e">
        <f ca="1">_xll.BDH($C$203,"EBITDA_TO_REVENUE","FQ1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209" t="e">
        <f ca="1">_xll.BDH($C$203,"OPER_MARGIN","FQ1 2015","FQ1 2015","Currency=INR","Period=FQ","BEST_FPERIOD_OVERRIDE=FQ","FILING_STATUS=OR","EQY_CONSOLIDATED=Y","FA_ADJUSTED=GAAP","Sort=A","Dates=H","DateFormat=P","Fill=—","Direction=H","UseDPDF=Y")</f>
        <v>#NAME?</v>
      </c>
      <c r="L209" t="e">
        <f ca="1">_xll.BDH($C$203,"INCREMENTAL_OPERATING_MARGIN","FQ1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09" t="e">
        <f ca="1">_xll.BDH($C$203,"PRETAX_INC_TO_NET_SALES","FQ1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09" t="e">
        <f ca="1">_xll.BDH($C$203,"INC_BEF_XO_ITEMS_TO_NET_SALES","FQ1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09" t="e">
        <f ca="1">_xll.BDH($C$203,"PROF_MARGIN","FQ1 2015","FQ1 2015","Currency=INR","Period=FQ","BEST_FPERIOD_OVERRIDE=FQ","FILING_STATUS=OR","EQY_CONSOLIDATED=Y","FA_ADJUSTED=GAAP","Sort=A","Dates=H","DateFormat=P","Fill=—","Direction=H","UseDPDF=Y")</f>
        <v>#NAME?</v>
      </c>
      <c r="P209" t="e">
        <f ca="1">_xll.BDH($C$203,"NET_INCOME_TO_COMMON_MARGIN","FQ1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09" t="e">
        <f ca="1">_xll.BDH($C$203,"EFF_TAX_RATE","FQ1 2015","FQ1 2015","Currency=INR","Period=FQ","BEST_FPERIOD_OVERRIDE=FQ","FILING_STATUS=OR","EQY_CONSOLIDATED=Y","FA_ADJUSTED=GAAP","Sort=A","Dates=H","DateFormat=P","Fill=—","Direction=H","UseDPDF=Y")</f>
        <v>#NAME?</v>
      </c>
      <c r="R209" t="e">
        <f ca="1">_xll.BDH($C$203,"DVD_PAYOUT_RATIO","FQ1 2015","FQ1 2015","Currency=INR","Period=FQ","BEST_FPERIOD_OVERRIDE=FQ","FILING_STATUS=OR","EQY_CONSOLIDATED=Y","FA_ADJUSTED=GAAP","Sort=A","Dates=H","DateFormat=P","Fill=—","Direction=H","UseDPDF=Y")</f>
        <v>#NAME?</v>
      </c>
      <c r="S209" t="e">
        <f ca="1">_xll.BDH($C$203,"SUSTAIN_GROWTH_RT","FQ1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209" s="1" t="e">
        <f ca="1">_xll.BDH($C$203,"SALES_GROWTH","FQ1 2015","FQ1 2015","Currency=INR","Period=FQ","BEST_FPERIOD_OVERRIDE=FQ","FILING_STATUS=OR","EQY_CONSOLIDATED=Y","FA_ADJUSTED=GAAP","Sort=A","Dates=H","DateFormat=P","Fill=—","Direction=H","UseDPDF=Y")</f>
        <v>#NAME?</v>
      </c>
      <c r="U209" s="1" t="e">
        <f ca="1">_xll.BDH($C$203,"EBITDA_GROWTH","FQ1 2015","FQ1 2015","Currency=INR","Period=FQ","BEST_FPERIOD_OVERRIDE=FQ","FILING_STATUS=OR","EQY_CONSOLIDATED=Y","FA_ADJUSTED=GAAP","Sort=A","Dates=H","DateFormat=P","Fill=—","Direction=H","UseDPDF=Y")</f>
        <v>#NAME?</v>
      </c>
      <c r="V209" s="1" t="e">
        <f ca="1">_xll.BDH($C$203,"OPER_INC_GROWTH","FQ1 2015","FQ1 2015","Currency=INR","Period=FQ","BEST_FPERIOD_OVERRIDE=FQ","FILING_STATUS=OR","EQY_CONSOLIDATED=Y","FA_ADJUSTED=GAAP","Sort=A","Dates=H","DateFormat=P","Fill=—","Direction=H","UseDPDF=Y")</f>
        <v>#NAME?</v>
      </c>
      <c r="W209" s="1" t="e">
        <f ca="1">_xll.BDH($C$203,"EARN_FOR_COM_GROWTH","FQ1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09" s="1" t="e">
        <f ca="1">_xll.BDH($C$203,"DILUTED_EPS_AFT_XO_ITEMS_GROWTH","FQ1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09" s="1" t="e">
        <f ca="1">_xll.BDH($C$203,"DIVIDEND_PER_SHARE_1_YEAR_GROWTH","FQ1 2015","FQ1 2015","Currency=INR","Period=FQ","BEST_FPERIOD_OVERRIDE=FQ","FILING_STATUS=OR","EQY_CONSOLIDATED=Y","Sort=A","Dates=H","DateFormat=P","Fill=—","Direction=H","UseDPDF=Y")</f>
        <v>#NAME?</v>
      </c>
      <c r="Z209" s="1" t="e">
        <f ca="1">_xll.BDH($C$203,"ACCOUNTS_RECEIVABLE_GROWTH","FQ1 2015","FQ1 2015","Currency=INR","Period=FQ","BEST_FPERIOD_OVERRIDE=FQ","FILING_STATUS=OR","EQY_CONSOLIDATED=Y","Sort=A","Dates=H","DateFormat=P","Fill=—","Direction=H","UseDPDF=Y")</f>
        <v>#NAME?</v>
      </c>
      <c r="AA209" s="1" t="e">
        <f ca="1">_xll.BDH($C$203,"INVENTORY_GROWTH","FQ1 2015","FQ1 2015","Currency=INR","Period=FQ","BEST_FPERIOD_OVERRIDE=FQ","FILING_STATUS=OR","EQY_CONSOLIDATED=Y","Sort=A","Dates=H","DateFormat=P","Fill=—","Direction=H","UseDPDF=Y")</f>
        <v>#NAME?</v>
      </c>
      <c r="AB209" s="1" t="e">
        <f ca="1">_xll.BDH($C$203,"NET_FIXED_ASSETS_1_YEAR_GROWTH","FQ1 2015","FQ1 2015","Currency=INR","Period=FQ","BEST_FPERIOD_OVERRIDE=FQ","FILING_STATUS=OR","EQY_CONSOLIDATED=Y","Sort=A","Dates=H","DateFormat=P","Fill=—","Direction=H","UseDPDF=Y")</f>
        <v>#NAME?</v>
      </c>
      <c r="AC209" s="1" t="e">
        <f ca="1">_xll.BDH($C$203,"ASSET_GROWTH","FQ1 2015","FQ1 2015","Currency=INR","Period=FQ","BEST_FPERIOD_OVERRIDE=FQ","FILING_STATUS=OR","EQY_CONSOLIDATED=Y","Sort=A","Dates=H","DateFormat=P","Fill=—","Direction=H","UseDPDF=Y")</f>
        <v>#NAME?</v>
      </c>
      <c r="AD209" s="1" t="e">
        <f ca="1">_xll.BDH($C$203,"MODIFIED_WORK_CAP_GROWTH","FQ1 2015","FQ1 2015","Currency=INR","Period=FQ","BEST_FPERIOD_OVERRIDE=FQ","FILING_STATUS=OR","EQY_CONSOLIDATED=Y","Sort=A","Dates=H","DateFormat=P","Fill=—","Direction=H","UseDPDF=Y")</f>
        <v>#NAME?</v>
      </c>
      <c r="AE209" s="1" t="e">
        <f ca="1">_xll.BDH($C$203,"WORK_CAP_GROWTH","FQ1 2015","FQ1 2015","Currency=INR","Period=FQ","BEST_FPERIOD_OVERRIDE=FQ","FILING_STATUS=OR","EQY_CONSOLIDATED=Y","Sort=A","Dates=H","DateFormat=P","Fill=—","Direction=H","UseDPDF=Y")</f>
        <v>#NAME?</v>
      </c>
      <c r="AF209" s="1" t="e">
        <f ca="1">_xll.BDH($C$203,"ACCOUNTS_PAYABLE_GROWTH_1YR","FQ1 2015","FQ1 2015","Currency=INR","Period=FQ","BEST_FPERIOD_OVERRIDE=FQ","FILING_STATUS=OR","EQY_CONSOLIDATED=Y","Sort=A","Dates=H","DateFormat=P","Fill=—","Direction=H","UseDPDF=Y")</f>
        <v>#NAME?</v>
      </c>
      <c r="AG209" s="1" t="e">
        <f ca="1">_xll.BDH($C$203,"SHORT_TERM_DEBT_1_YEAR_GROWTH","FQ1 2015","FQ1 2015","Currency=INR","Period=FQ","BEST_FPERIOD_OVERRIDE=FQ","FILING_STATUS=OR","EQY_CONSOLIDATED=Y","Sort=A","Dates=H","DateFormat=P","Fill=—","Direction=H","UseDPDF=Y")</f>
        <v>#NAME?</v>
      </c>
      <c r="AH209" s="1" t="e">
        <f ca="1">_xll.BDH($C$203,"TOTAL_DEBT_1_YEAR_GROWTH","FQ1 2015","FQ1 2015","Currency=INR","Period=FQ","BEST_FPERIOD_OVERRIDE=FQ","FILING_STATUS=OR","EQY_CONSOLIDATED=Y","Sort=A","Dates=H","DateFormat=P","Fill=—","Direction=H","UseDPDF=Y")</f>
        <v>#NAME?</v>
      </c>
      <c r="AI209" s="1" t="e">
        <f ca="1">_xll.BDH($C$203,"TOTAL_EQUITY_1_YEAR_GROWTH","FQ1 2015","FQ1 2015","Currency=INR","Period=FQ","BEST_FPERIOD_OVERRIDE=FQ","FILING_STATUS=OR","EQY_CONSOLIDATED=Y","Sort=A","Dates=H","DateFormat=P","Fill=—","Direction=H","UseDPDF=Y")</f>
        <v>#NAME?</v>
      </c>
      <c r="AJ209" s="1" t="e">
        <f ca="1">_xll.BDH($C$203,"GROWTH_IN_CAP","FQ1 2015","FQ1 2015","Currency=INR","Period=FQ","BEST_FPERIOD_OVERRIDE=FQ","FILING_STATUS=OR","EQY_CONSOLIDATED=Y","Sort=A","Dates=H","DateFormat=P","Fill=—","Direction=H","UseDPDF=Y")</f>
        <v>#NAME?</v>
      </c>
      <c r="AK209" s="1" t="e">
        <f ca="1">_xll.BDH($C$203,"BVPS_GROWTH","FQ1 2015","FQ1 2015","Currency=INR","Period=FQ","BEST_FPERIOD_OVERRIDE=FQ","FILING_STATUS=OR","EQY_CONSOLIDATED=Y","Sort=A","Dates=H","DateFormat=P","Fill=—","Direction=H","UseDPDF=Y")</f>
        <v>#NAME?</v>
      </c>
      <c r="AL209" s="1" t="e">
        <f ca="1">_xll.BDH($C$203,"CASH_FLOW_GROWTH","FQ1 2015","FQ1 2015","Currency=INR","Period=FQ","BEST_FPERIOD_OVERRIDE=FQ","FILING_STATUS=OR","EQY_CONSOLIDATED=Y","Sort=A","Dates=H","DateFormat=P","Fill=—","Direction=H","UseDPDF=Y")</f>
        <v>#NAME?</v>
      </c>
      <c r="AM209" s="1" t="e">
        <f ca="1">_xll.BDH($C$203,"GEO_GROW_NET_SALES","FQ1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09" s="1" t="e">
        <f ca="1">_xll.BDH($C$203,"GEO_GROW_EBITDA","FQ1 2015","FQ1 2015","Currency=INR","Period=FQ","BEST_FPERIOD_OVERRIDE=FQ","FILING_STATUS=OR","EQY_CONSOLIDATED=Y","FA_ADJUSTED=GAAP","Sort=A","Dates=H","DateFormat=P","Fill=—","Direction=H","UseDPDF=Y")</f>
        <v>#NAME?</v>
      </c>
      <c r="AO209" s="1" t="e">
        <f ca="1">_xll.BDH($C$203,"GEO_GROW_OPER_INC","FQ1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09" s="1" t="e">
        <f ca="1">_xll.BDH($C$203,"NET_INCOME_TO_COMMON_5_YR_GROWTH","FQ1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09" s="1" t="e">
        <f ca="1">_xll.BDH($C$203,"5Y_GEO_GROWTH_DILUTED_EPS","FQ1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09" s="1" t="e">
        <f ca="1">_xll.BDH($C$203,"GEO_GROW_DVD_PER_SH","FQ1 2015","FQ1 2015","Currency=INR","Period=FQ","BEST_FPERIOD_OVERRIDE=FQ","FILING_STATUS=OR","EQY_CONSOLIDATED=Y","Sort=A","Dates=H","DateFormat=P","Fill=—","Direction=H","UseDPDF=Y")</f>
        <v>#NAME?</v>
      </c>
      <c r="AS209" s="1" t="e">
        <f ca="1">_xll.BDH($C$203,"ACCOUNTS_RECEIVABLE_5_YR_GROWTH","FQ1 2015","FQ1 2015","Currency=INR","Period=FQ","BEST_FPERIOD_OVERRIDE=FQ","FILING_STATUS=OR","EQY_CONSOLIDATED=Y","Sort=A","Dates=H","DateFormat=P","Fill=—","Direction=H","UseDPDF=Y")</f>
        <v>#NAME?</v>
      </c>
      <c r="AT209" s="1" t="e">
        <f ca="1">_xll.BDH($C$203,"INVENTORY_5_YEAR_GROWTH","FQ1 2015","FQ1 2015","Currency=INR","Period=FQ","BEST_FPERIOD_OVERRIDE=FQ","FILING_STATUS=OR","EQY_CONSOLIDATED=Y","Sort=A","Dates=H","DateFormat=P","Fill=—","Direction=H","UseDPDF=Y")</f>
        <v>#NAME?</v>
      </c>
      <c r="AU209" s="1" t="e">
        <f ca="1">_xll.BDH($C$203,"NET_FIXED_ASSETS_5_YEAR_GROWTH","FQ1 2015","FQ1 2015","Currency=INR","Period=FQ","BEST_FPERIOD_OVERRIDE=FQ","FILING_STATUS=OR","EQY_CONSOLIDATED=Y","Sort=A","Dates=H","DateFormat=P","Fill=—","Direction=H","UseDPDF=Y")</f>
        <v>#NAME?</v>
      </c>
      <c r="AV209" s="1" t="e">
        <f ca="1">_xll.BDH($C$203,"GEO_GROW_TOT_ASSET","FQ1 2015","FQ1 2015","Currency=INR","Period=FQ","BEST_FPERIOD_OVERRIDE=FQ","FILING_STATUS=OR","EQY_CONSOLIDATED=Y","Sort=A","Dates=H","DateFormat=P","Fill=—","Direction=H","UseDPDF=Y")</f>
        <v>#NAME?</v>
      </c>
      <c r="AW209" s="1" t="e">
        <f ca="1">_xll.BDH($C$203,"MODIFIED_WORKING_CPTL_5YR_GRWTH","FQ1 2015","FQ1 2015","Currency=INR","Period=FQ","BEST_FPERIOD_OVERRIDE=FQ","FILING_STATUS=OR","EQY_CONSOLIDATED=Y","Sort=A","Dates=H","DateFormat=P","Fill=—","Direction=H","UseDPDF=Y")</f>
        <v>#NAME?</v>
      </c>
      <c r="AX209" s="1" t="e">
        <f ca="1">_xll.BDH($C$203,"WORKING_CAPITAL_5_YEAR_GROWTH","FQ1 2015","FQ1 2015","Currency=INR","Period=FQ","BEST_FPERIOD_OVERRIDE=FQ","FILING_STATUS=OR","EQY_CONSOLIDATED=Y","Sort=A","Dates=H","DateFormat=P","Fill=—","Direction=H","UseDPDF=Y")</f>
        <v>#NAME?</v>
      </c>
      <c r="AY209" s="1" t="e">
        <f ca="1">_xll.BDH($C$203,"ACCOUNTS_PAYABLE_5_YEAR_GROWTH","FQ1 2015","FQ1 2015","Currency=INR","Period=FQ","BEST_FPERIOD_OVERRIDE=FQ","FILING_STATUS=OR","EQY_CONSOLIDATED=Y","Sort=A","Dates=H","DateFormat=P","Fill=—","Direction=H","UseDPDF=Y")</f>
        <v>#NAME?</v>
      </c>
      <c r="AZ209" s="1" t="e">
        <f ca="1">_xll.BDH($C$203,"SHORT_TERM_DEBT_5_YEAR_GROWTH","FQ1 2015","FQ1 2015","Currency=INR","Period=FQ","BEST_FPERIOD_OVERRIDE=FQ","FILING_STATUS=OR","EQY_CONSOLIDATED=Y","Sort=A","Dates=H","DateFormat=P","Fill=—","Direction=H","UseDPDF=Y")</f>
        <v>#NAME?</v>
      </c>
      <c r="BA209" s="1" t="e">
        <f ca="1">_xll.BDH($C$203,"TOTAL_DEBT_5_YEAR_GROWTH","FQ1 2015","FQ1 2015","Currency=INR","Period=FQ","BEST_FPERIOD_OVERRIDE=FQ","FILING_STATUS=OR","EQY_CONSOLIDATED=Y","Sort=A","Dates=H","DateFormat=P","Fill=—","Direction=H","UseDPDF=Y")</f>
        <v>#NAME?</v>
      </c>
      <c r="BB209" s="1" t="e">
        <f ca="1">_xll.BDH($C$203,"GEO_GROW_TOT_SHRHLDR_EQY","FQ1 2015","FQ1 2015","Currency=INR","Period=FQ","BEST_FPERIOD_OVERRIDE=FQ","FILING_STATUS=OR","EQY_CONSOLIDATED=Y","Sort=A","Dates=H","DateFormat=P","Fill=—","Direction=H","UseDPDF=Y")</f>
        <v>#NAME?</v>
      </c>
      <c r="BC209" s="1" t="e">
        <f ca="1">_xll.BDH($C$203,"TOTAL_CAPITAL_5_YEAR_GROWTH","FQ1 2015","FQ1 2015","Currency=INR","Period=FQ","BEST_FPERIOD_OVERRIDE=FQ","FILING_STATUS=OR","EQY_CONSOLIDATED=Y","Sort=A","Dates=H","DateFormat=P","Fill=—","Direction=H","UseDPDF=Y")</f>
        <v>#NAME?</v>
      </c>
      <c r="BD209" s="1" t="e">
        <f ca="1">_xll.BDH($C$203,"GEO_GROW_BOOK_VAL","FQ1 2015","FQ1 2015","Currency=INR","Period=FQ","BEST_FPERIOD_OVERRIDE=FQ","FILING_STATUS=OR","EQY_CONSOLIDATED=Y","Sort=A","Dates=H","DateFormat=P","Fill=—","Direction=H","UseDPDF=Y")</f>
        <v>#NAME?</v>
      </c>
      <c r="BE209" s="1" t="e">
        <f ca="1">_xll.BDH($C$203,"GEO_GROW_CASH_OPER_ACT","FQ1 2015","FQ1 2015","Currency=INR","Period=FQ","BEST_FPERIOD_OVERRIDE=FQ","FILING_STATUS=OR","EQY_CONSOLIDATED=Y","Sort=A","Dates=H","DateFormat=P","Fill=—","Direction=H","UseDPDF=Y")</f>
        <v>#NAME?</v>
      </c>
      <c r="BF209" s="1" t="e">
        <f ca="1">_xll.BDH($C$203,"REVENUE_SEQUENTIAL_GROWTH","FQ1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09" s="1" t="e">
        <f ca="1">_xll.BDH($C$203,"EBITDA_SEQUENTIAL_GROWTH","FQ1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09" s="1" t="e">
        <f ca="1">_xll.BDH($C$203,"OPERATING_INCOME_SEQ_GROWTH","FQ1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09" s="1" t="e">
        <f ca="1">_xll.BDH($C$203,"NET_INCOME_TO_COMMON_SEQ_GROWTH","FQ1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09" s="1" t="e">
        <f ca="1">_xll.BDH($C$203,"EPS_DILUTED_SEQUENTIAL_GROWTH","FQ1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09" s="1" t="e">
        <f ca="1">_xll.BDH($C$203,"DPS_SEQUENTIAL_GROWTH","FQ1 2015","FQ1 2015","Currency=INR","Period=FQ","BEST_FPERIOD_OVERRIDE=FQ","FILING_STATUS=OR","EQY_CONSOLIDATED=Y","Sort=A","Dates=H","DateFormat=P","Fill=—","Direction=H","UseDPDF=Y")</f>
        <v>#NAME?</v>
      </c>
      <c r="BL209" s="1" t="e">
        <f ca="1">_xll.BDH($C$203,"ACCOUNTS_RECEIVABLE_SEQ_GROWTH","FQ1 2015","FQ1 2015","Currency=INR","Period=FQ","BEST_FPERIOD_OVERRIDE=FQ","FILING_STATUS=OR","EQY_CONSOLIDATED=Y","Sort=A","Dates=H","DateFormat=P","Fill=—","Direction=H","UseDPDF=Y")</f>
        <v>#NAME?</v>
      </c>
      <c r="BM209" s="1" t="e">
        <f ca="1">_xll.BDH($C$203,"INVENTORY_SEQUENTIAL_GROWTH","FQ1 2015","FQ1 2015","Currency=INR","Period=FQ","BEST_FPERIOD_OVERRIDE=FQ","FILING_STATUS=OR","EQY_CONSOLIDATED=Y","Sort=A","Dates=H","DateFormat=P","Fill=—","Direction=H","UseDPDF=Y")</f>
        <v>#NAME?</v>
      </c>
      <c r="BN209" s="1" t="e">
        <f ca="1">_xll.BDH($C$203,"FIXED_ASSETS_SEQUENTIAL_GROWTH","FQ1 2015","FQ1 2015","Currency=INR","Period=FQ","BEST_FPERIOD_OVERRIDE=FQ","FILING_STATUS=OR","EQY_CONSOLIDATED=Y","Sort=A","Dates=H","DateFormat=P","Fill=—","Direction=H","UseDPDF=Y")</f>
        <v>#NAME?</v>
      </c>
      <c r="BO209" s="1" t="e">
        <f ca="1">_xll.BDH($C$203,"TOTAL_ASSETS_SEQUENTIAL_GROWTH","FQ1 2015","FQ1 2015","Currency=INR","Period=FQ","BEST_FPERIOD_OVERRIDE=FQ","FILING_STATUS=OR","EQY_CONSOLIDATED=Y","Sort=A","Dates=H","DateFormat=P","Fill=—","Direction=H","UseDPDF=Y")</f>
        <v>#NAME?</v>
      </c>
      <c r="BP209" s="1" t="e">
        <f ca="1">_xll.BDH($C$203,"MODIFIED_WORKING_CPTL_SEQ_GRWTH","FQ1 2015","FQ1 2015","Currency=INR","Period=FQ","BEST_FPERIOD_OVERRIDE=FQ","FILING_STATUS=OR","EQY_CONSOLIDATED=Y","Sort=A","Dates=H","DateFormat=P","Fill=—","Direction=H","UseDPDF=Y")</f>
        <v>#NAME?</v>
      </c>
      <c r="BQ209" s="1" t="e">
        <f ca="1">_xll.BDH($C$203,"WORKING_CAPITAL_SEQ_GROWTH","FQ1 2015","FQ1 2015","Currency=INR","Period=FQ","BEST_FPERIOD_OVERRIDE=FQ","FILING_STATUS=OR","EQY_CONSOLIDATED=Y","Sort=A","Dates=H","DateFormat=P","Fill=—","Direction=H","UseDPDF=Y")</f>
        <v>#NAME?</v>
      </c>
      <c r="BR209" s="1" t="e">
        <f ca="1">_xll.BDH($C$203,"ACCOUNTS_PAYABLE_SEQ_GROWTH","FQ1 2015","FQ1 2015","Currency=INR","Period=FQ","BEST_FPERIOD_OVERRIDE=FQ","FILING_STATUS=OR","EQY_CONSOLIDATED=Y","Sort=A","Dates=H","DateFormat=P","Fill=—","Direction=H","UseDPDF=Y")</f>
        <v>#NAME?</v>
      </c>
      <c r="BS209" s="1" t="e">
        <f ca="1">_xll.BDH($C$203,"ST_DEBT_SEQUENTIAL_GROWTH","FQ1 2015","FQ1 2015","Currency=INR","Period=FQ","BEST_FPERIOD_OVERRIDE=FQ","FILING_STATUS=OR","EQY_CONSOLIDATED=Y","Sort=A","Dates=H","DateFormat=P","Fill=—","Direction=H","UseDPDF=Y")</f>
        <v>#NAME?</v>
      </c>
      <c r="BT209" s="1" t="e">
        <f ca="1">_xll.BDH($C$203,"TOTAL_DEBT_SEQUENTIAL_GROWTH","FQ1 2015","FQ1 2015","Currency=INR","Period=FQ","BEST_FPERIOD_OVERRIDE=FQ","FILING_STATUS=OR","EQY_CONSOLIDATED=Y","Sort=A","Dates=H","DateFormat=P","Fill=—","Direction=H","UseDPDF=Y")</f>
        <v>#NAME?</v>
      </c>
      <c r="BU209" s="1" t="e">
        <f ca="1">_xll.BDH($C$203,"TOTAL_EQUITY_SEQUENTIAL_GROWTH","FQ1 2015","FQ1 2015","Currency=INR","Period=FQ","BEST_FPERIOD_OVERRIDE=FQ","FILING_STATUS=OR","EQY_CONSOLIDATED=Y","Sort=A","Dates=H","DateFormat=P","Fill=—","Direction=H","UseDPDF=Y")</f>
        <v>#NAME?</v>
      </c>
      <c r="BV209" s="1" t="e">
        <f ca="1">_xll.BDH($C$203,"TOTAL_CAPITAL_SEQUENTIAL_GROWTH","FQ1 2015","FQ1 2015","Currency=INR","Period=FQ","BEST_FPERIOD_OVERRIDE=FQ","FILING_STATUS=OR","EQY_CONSOLIDATED=Y","Sort=A","Dates=H","DateFormat=P","Fill=—","Direction=H","UseDPDF=Y")</f>
        <v>#NAME?</v>
      </c>
      <c r="BW209" s="1" t="e">
        <f ca="1">_xll.BDH($C$203,"BPS_SEQUENTIAL_GROWTH","FQ1 2015","FQ1 2015","Currency=INR","Period=FQ","BEST_FPERIOD_OVERRIDE=FQ","FILING_STATUS=OR","EQY_CONSOLIDATED=Y","Sort=A","Dates=H","DateFormat=P","Fill=—","Direction=H","UseDPDF=Y")</f>
        <v>#NAME?</v>
      </c>
      <c r="BX209" s="1" t="e">
        <f ca="1">_xll.BDH($C$203,"CFO_SEQUENTIAL_GROWTH","FQ1 2015","FQ1 2015","Currency=INR","Period=FQ","BEST_FPERIOD_OVERRIDE=FQ","FILING_STATUS=OR","EQY_CONSOLIDATED=Y","Sort=A","Dates=H","DateFormat=P","Fill=—","Direction=H","UseDPDF=Y")</f>
        <v>#NAME?</v>
      </c>
      <c r="BY209" s="2" t="e">
        <f ca="1">_xll.BDH($C$203,"SHORT_AND_LONG_TERM_DEBT","FQ1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09" s="2" t="e">
        <f ca="1">_xll.BDH($C$203,"BS_ST_BORROW","FQ1 2015","FQ1 2015","Currency=INR","Period=FQ","BEST_FPERIOD_OVERRIDE=FQ","FILING_STATUS=OR","EQY_CONSOLIDATED=Y","SCALING_FORMAT=MLN","Sort=A","Dates=H","DateFormat=P","Fill=—","Direction=H","UseDPDF=Y")</f>
        <v>#NAME?</v>
      </c>
      <c r="CA209" s="2" t="e">
        <f ca="1">_xll.BDH($C$203,"BS_LT_BORROW","FQ1 2015","FQ1 2015","Currency=INR","Period=FQ","BEST_FPERIOD_OVERRIDE=FQ","FILING_STATUS=OR","EQY_CONSOLIDATED=Y","SCALING_FORMAT=MLN","Sort=A","Dates=H","DateFormat=P","Fill=—","Direction=H","UseDPDF=Y")</f>
        <v>#NAME?</v>
      </c>
      <c r="CB209" s="1" t="e">
        <f ca="1">_xll.BDH($C$203,"TOT_DEBT_TO_EBITDA","FQ1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09" s="1" t="e">
        <f ca="1">_xll.BDH($C$203,"NET_DEBT_TO_EBITDA","FQ1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09" s="1" t="e">
        <f ca="1">_xll.BDH($C$203,"TOTAL_DEBT_TO_EBIT","FQ1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09" s="1" t="e">
        <f ca="1">_xll.BDH($C$203,"NET_DEBT_TO_EBIT","FQ1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209" s="1" t="e">
        <f ca="1">_xll.BDH($C$203,"EBITDA_TO_INTEREST_EXPN","FQ1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09" s="1" t="e">
        <f ca="1">_xll.BDH($C$203,"COM_EQY_TO_TOT_ASSET","FQ1 2015","FQ1 2015","Currency=INR","Period=FQ","BEST_FPERIOD_OVERRIDE=FQ","FILING_STATUS=OR","EQY_CONSOLIDATED=Y","Sort=A","Dates=H","DateFormat=P","Fill=—","Direction=H","UseDPDF=Y")</f>
        <v>#NAME?</v>
      </c>
      <c r="CH209" s="1" t="e">
        <f ca="1">_xll.BDH($C$203,"LT_DEBT_TO_TOT_EQY","FQ1 2015","FQ1 2015","Currency=INR","Period=FQ","BEST_FPERIOD_OVERRIDE=FQ","FILING_STATUS=OR","EQY_CONSOLIDATED=Y","Sort=A","Dates=H","DateFormat=P","Fill=—","Direction=H","UseDPDF=Y")</f>
        <v>#NAME?</v>
      </c>
      <c r="CI209" s="1" t="e">
        <f ca="1">_xll.BDH($C$203,"LT_DEBT_TO_TOT_CAP","FQ1 2015","FQ1 2015","Currency=INR","Period=FQ","BEST_FPERIOD_OVERRIDE=FQ","FILING_STATUS=OR","EQY_CONSOLIDATED=Y","Sort=A","Dates=H","DateFormat=P","Fill=—","Direction=H","UseDPDF=Y")</f>
        <v>#NAME?</v>
      </c>
      <c r="CJ209" s="1" t="e">
        <f ca="1">_xll.BDH($C$203,"LT_DEBT_TO_TOT_ASSET","FQ1 2015","FQ1 2015","Currency=INR","Period=FQ","BEST_FPERIOD_OVERRIDE=FQ","FILING_STATUS=OR","EQY_CONSOLIDATED=Y","Sort=A","Dates=H","DateFormat=P","Fill=—","Direction=H","UseDPDF=Y")</f>
        <v>#NAME?</v>
      </c>
      <c r="CK209" s="1" t="e">
        <f ca="1">_xll.BDH($C$203,"TOT_DEBT_TO_TOT_EQY","FQ1 2015","FQ1 2015","Currency=INR","Period=FQ","BEST_FPERIOD_OVERRIDE=FQ","FILING_STATUS=OR","EQY_CONSOLIDATED=Y","Sort=A","Dates=H","DateFormat=P","Fill=—","Direction=H","UseDPDF=Y")</f>
        <v>#NAME?</v>
      </c>
      <c r="CL209" s="1" t="e">
        <f ca="1">_xll.BDH($C$203,"TOT_DEBT_TO_TOT_CAP","FQ1 2015","FQ1 2015","Currency=INR","Period=FQ","BEST_FPERIOD_OVERRIDE=FQ","FILING_STATUS=OR","EQY_CONSOLIDATED=Y","Sort=A","Dates=H","DateFormat=P","Fill=—","Direction=H","UseDPDF=Y")</f>
        <v>#NAME?</v>
      </c>
      <c r="CM209" s="1" t="e">
        <f ca="1">_xll.BDH($C$203,"TOT_DEBT_TO_TOT_ASSET","FQ1 2015","FQ1 2015","Currency=INR","Period=FQ","BEST_FPERIOD_OVERRIDE=FQ","FILING_STATUS=OR","EQY_CONSOLIDATED=Y","Sort=A","Dates=H","DateFormat=P","Fill=—","Direction=H","UseDPDF=Y")</f>
        <v>#NAME?</v>
      </c>
      <c r="CN209" s="1" t="e">
        <f ca="1">_xll.BDH($C$203,"NET_DEBT_TO_SHRHLDR_EQTY","FQ1 2015","FQ1 2015","Currency=INR","Period=FQ","BEST_FPERIOD_OVERRIDE=FQ","FILING_STATUS=OR","EQY_CONSOLIDATED=Y","Sort=A","Dates=H","DateFormat=P","Fill=—","Direction=H","UseDPDF=Y")</f>
        <v>#NAME?</v>
      </c>
      <c r="CO209" s="1" t="e">
        <f ca="1">_xll.BDH($C$203,"NET_DEBT_%_CAPITAL","FQ1 2015","FQ1 2015","Currency=INR","Period=FQ","BEST_FPERIOD_OVERRIDE=FQ","FILING_STATUS=OR","EQY_CONSOLIDATED=Y","Sort=A","Dates=H","DateFormat=P","Fill=—","Direction=H","UseDPDF=Y")</f>
        <v>#NAME?</v>
      </c>
      <c r="CP209" s="2" t="e">
        <f ca="1">_xll.BDH($C$203,"EBITDA","FQ1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09" s="2" t="e">
        <f ca="1">_xll.BDH($C$203,"EBITDA_AFTER_CAPEX","FQ1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09" s="2" t="e">
        <f ca="1">_xll.BDH($C$203,"IS_OPER_INC","FQ1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09" s="1" t="e">
        <f ca="1">_xll.BDH($C$203,"CASH_RATIO","FQ1 2015","FQ1 2015","Currency=INR","Period=FQ","BEST_FPERIOD_OVERRIDE=FQ","FILING_STATUS=OR","EQY_CONSOLIDATED=Y","Sort=A","Dates=H","DateFormat=P","Fill=—","Direction=H","UseDPDF=Y")</f>
        <v>#NAME?</v>
      </c>
      <c r="CT209" s="1" t="e">
        <f ca="1">_xll.BDH($C$203,"CUR_RATIO","FQ1 2015","FQ1 2015","Currency=INR","Period=FQ","BEST_FPERIOD_OVERRIDE=FQ","FILING_STATUS=OR","EQY_CONSOLIDATED=Y","Sort=A","Dates=H","DateFormat=P","Fill=—","Direction=H","UseDPDF=Y")</f>
        <v>#NAME?</v>
      </c>
      <c r="CU209" s="1" t="e">
        <f ca="1">_xll.BDH($C$203,"QUICK_RATIO","FQ1 2015","FQ1 2015","Currency=INR","Period=FQ","BEST_FPERIOD_OVERRIDE=FQ","FILING_STATUS=OR","EQY_CONSOLIDATED=Y","Sort=A","Dates=H","DateFormat=P","Fill=—","Direction=H","UseDPDF=Y")</f>
        <v>#NAME?</v>
      </c>
      <c r="CV209" s="1" t="e">
        <f ca="1">_xll.BDH($C$203,"ALTMAN_Z_SCORE","FQ1 2015","FQ1 2015","Currency=INR","Period=FQ","BEST_FPERIOD_OVERRIDE=FQ","FILING_STATUS=OR","EQY_CONSOLIDATED=Y","Sort=A","Dates=H","DateFormat=P","Fill=—","Direction=H","UseDPDF=Y")</f>
        <v>#NAME?</v>
      </c>
      <c r="CW209" s="3" t="e">
        <f ca="1">_xll.BDH($C$203,"ACCT_RCV_TURN","FQ1 2015","FQ1 2015","Currency=INR","Period=FQ","BEST_FPERIOD_OVERRIDE=FQ","FILING_STATUS=OR","EQY_CONSOLIDATED=Y","FA_ADJUSTED=GAAP","Sort=A","Dates=H","DateFormat=P","Fill=—","Direction=H","UseDPDF=Y")</f>
        <v>#NAME?</v>
      </c>
      <c r="CX209" s="1" t="e">
        <f ca="1">_xll.BDH($C$203,"ACCT_RCV_DAYS","FQ1 2015","FQ1 2015","Currency=INR","Period=FQ","BEST_FPERIOD_OVERRIDE=FQ","FILING_STATUS=OR","EQY_CONSOLIDATED=Y","FA_ADJUSTED=GAAP","Sort=A","Dates=H","DateFormat=P","Fill=—","Direction=H","UseDPDF=Y")</f>
        <v>#NAME?</v>
      </c>
      <c r="CY209" s="3" t="e">
        <f ca="1">_xll.BDH($C$203,"INVENT_TURN","FQ1 2015","FQ1 2015","Currency=INR","Period=FQ","BEST_FPERIOD_OVERRIDE=FQ","FILING_STATUS=OR","EQY_CONSOLIDATED=Y","FA_ADJUSTED=GAAP","Sort=A","Dates=H","DateFormat=P","Fill=—","Direction=H","UseDPDF=Y")</f>
        <v>#NAME?</v>
      </c>
      <c r="CZ209" s="1" t="e">
        <f ca="1">_xll.BDH($C$203,"INVENT_DAYS","FQ1 2015","FQ1 2015","Currency=INR","Period=FQ","BEST_FPERIOD_OVERRIDE=FQ","FILING_STATUS=OR","EQY_CONSOLIDATED=Y","FA_ADJUSTED=GAAP","Sort=A","Dates=H","DateFormat=P","Fill=—","Direction=H","UseDPDF=Y")</f>
        <v>#NAME?</v>
      </c>
      <c r="DA209" s="3" t="e">
        <f ca="1">_xll.BDH($C$203,"ACCOUNTS_PAYABLE_TURNOVER","FQ1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09" s="1" t="e">
        <f ca="1">_xll.BDH($C$203,"ACCOUNTS_PAYABLE_TURNOVER_DAYS","FQ1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09" s="3" t="e">
        <f ca="1">_xll.BDH($C$203,"CASH_CONVERSION_CYCLE","FQ1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09" s="3" t="e">
        <f ca="1">_xll.BDH($C$203,"INV_TO_CASH_DAYS","FQ1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209" s="4" t="e">
        <f ca="1">_xll.BDH($C$203,"BS_INVENTORIES","FQ1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209" s="2" t="e">
        <f ca="1">_xll.BDH($C$203,"INVTRY_RAW_MATERIALS","FQ1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09" s="2" t="e">
        <f ca="1">_xll.BDH($C$203,"INVTRY_IN_PROGRESS","FQ1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09" s="2" t="e">
        <f ca="1">_xll.BDH($C$203,"INVTRY_FINISHED_GOODS","FQ1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09" s="2" t="e">
        <f ca="1">_xll.BDH($C$203,"BS_OTHER_INV","FQ1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10" spans="1:113" x14ac:dyDescent="0.3">
      <c r="A210" s="6"/>
      <c r="B210" s="6"/>
      <c r="C210" s="6"/>
      <c r="D210" s="6"/>
      <c r="E210" t="s">
        <v>5</v>
      </c>
      <c r="F210" t="e">
        <f ca="1">_xll.BDH($C$203,"RETURN_COM_EQY","FQ2 2015","FQ2 2015","Currency=INR","Period=FQ","BEST_FPERIOD_OVERRIDE=FQ","FILING_STATUS=OR","EQY_CONSOLIDATED=Y","FA_ADJUSTED=GAAP","Sort=A","Dates=H","DateFormat=P","Fill=—","Direction=H","UseDPDF=Y")</f>
        <v>#NAME?</v>
      </c>
      <c r="G210" t="e">
        <f ca="1">_xll.BDH($C$203,"RETURN_ON_ASSET","FQ2 2015","FQ2 2015","Currency=INR","Period=FQ","BEST_FPERIOD_OVERRIDE=FQ","FILING_STATUS=OR","EQY_CONSOLIDATED=Y","FA_ADJUSTED=GAAP","Sort=A","Dates=H","DateFormat=P","Fill=—","Direction=H","UseDPDF=Y")</f>
        <v>#NAME?</v>
      </c>
      <c r="H210" t="e">
        <f ca="1">_xll.BDH($C$203,"RETURN_ON_CAP","FQ2 2015","FQ2 2015","Currency=INR","Period=FQ","BEST_FPERIOD_OVERRIDE=FQ","FILING_STATUS=OR","EQY_CONSOLIDATED=Y","FA_ADJUSTED=GAAP","Sort=A","Dates=H","DateFormat=P","Fill=—","Direction=H","UseDPDF=Y")</f>
        <v>#NAME?</v>
      </c>
      <c r="I210" t="e">
        <f ca="1">_xll.BDH($C$203,"RETURN_ON_INV_CAPITAL","FQ2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10" t="e">
        <f ca="1">_xll.BDH($C$203,"EBITDA_TO_REVENUE","FQ2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210" t="e">
        <f ca="1">_xll.BDH($C$203,"OPER_MARGIN","FQ2 2015","FQ2 2015","Currency=INR","Period=FQ","BEST_FPERIOD_OVERRIDE=FQ","FILING_STATUS=OR","EQY_CONSOLIDATED=Y","FA_ADJUSTED=GAAP","Sort=A","Dates=H","DateFormat=P","Fill=—","Direction=H","UseDPDF=Y")</f>
        <v>#NAME?</v>
      </c>
      <c r="L210" t="e">
        <f ca="1">_xll.BDH($C$203,"INCREMENTAL_OPERATING_MARGIN","FQ2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10" t="e">
        <f ca="1">_xll.BDH($C$203,"PRETAX_INC_TO_NET_SALES","FQ2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10" t="e">
        <f ca="1">_xll.BDH($C$203,"INC_BEF_XO_ITEMS_TO_NET_SALES","FQ2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10" t="e">
        <f ca="1">_xll.BDH($C$203,"PROF_MARGIN","FQ2 2015","FQ2 2015","Currency=INR","Period=FQ","BEST_FPERIOD_OVERRIDE=FQ","FILING_STATUS=OR","EQY_CONSOLIDATED=Y","FA_ADJUSTED=GAAP","Sort=A","Dates=H","DateFormat=P","Fill=—","Direction=H","UseDPDF=Y")</f>
        <v>#NAME?</v>
      </c>
      <c r="P210" t="e">
        <f ca="1">_xll.BDH($C$203,"NET_INCOME_TO_COMMON_MARGIN","FQ2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10" t="e">
        <f ca="1">_xll.BDH($C$203,"EFF_TAX_RATE","FQ2 2015","FQ2 2015","Currency=INR","Period=FQ","BEST_FPERIOD_OVERRIDE=FQ","FILING_STATUS=OR","EQY_CONSOLIDATED=Y","FA_ADJUSTED=GAAP","Sort=A","Dates=H","DateFormat=P","Fill=—","Direction=H","UseDPDF=Y")</f>
        <v>#NAME?</v>
      </c>
      <c r="R210" t="e">
        <f ca="1">_xll.BDH($C$203,"DVD_PAYOUT_RATIO","FQ2 2015","FQ2 2015","Currency=INR","Period=FQ","BEST_FPERIOD_OVERRIDE=FQ","FILING_STATUS=OR","EQY_CONSOLIDATED=Y","FA_ADJUSTED=GAAP","Sort=A","Dates=H","DateFormat=P","Fill=—","Direction=H","UseDPDF=Y")</f>
        <v>#NAME?</v>
      </c>
      <c r="S210" t="e">
        <f ca="1">_xll.BDH($C$203,"SUSTAIN_GROWTH_RT","FQ2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210" s="1" t="e">
        <f ca="1">_xll.BDH($C$203,"SALES_GROWTH","FQ2 2015","FQ2 2015","Currency=INR","Period=FQ","BEST_FPERIOD_OVERRIDE=FQ","FILING_STATUS=OR","EQY_CONSOLIDATED=Y","FA_ADJUSTED=GAAP","Sort=A","Dates=H","DateFormat=P","Fill=—","Direction=H","UseDPDF=Y")</f>
        <v>#NAME?</v>
      </c>
      <c r="U210" s="1" t="e">
        <f ca="1">_xll.BDH($C$203,"EBITDA_GROWTH","FQ2 2015","FQ2 2015","Currency=INR","Period=FQ","BEST_FPERIOD_OVERRIDE=FQ","FILING_STATUS=OR","EQY_CONSOLIDATED=Y","FA_ADJUSTED=GAAP","Sort=A","Dates=H","DateFormat=P","Fill=—","Direction=H","UseDPDF=Y")</f>
        <v>#NAME?</v>
      </c>
      <c r="V210" s="1" t="e">
        <f ca="1">_xll.BDH($C$203,"OPER_INC_GROWTH","FQ2 2015","FQ2 2015","Currency=INR","Period=FQ","BEST_FPERIOD_OVERRIDE=FQ","FILING_STATUS=OR","EQY_CONSOLIDATED=Y","FA_ADJUSTED=GAAP","Sort=A","Dates=H","DateFormat=P","Fill=—","Direction=H","UseDPDF=Y")</f>
        <v>#NAME?</v>
      </c>
      <c r="W210" s="1" t="e">
        <f ca="1">_xll.BDH($C$203,"EARN_FOR_COM_GROWTH","FQ2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10" s="1" t="e">
        <f ca="1">_xll.BDH($C$203,"DILUTED_EPS_AFT_XO_ITEMS_GROWTH","FQ2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10" s="1" t="e">
        <f ca="1">_xll.BDH($C$203,"DIVIDEND_PER_SHARE_1_YEAR_GROWTH","FQ2 2015","FQ2 2015","Currency=INR","Period=FQ","BEST_FPERIOD_OVERRIDE=FQ","FILING_STATUS=OR","EQY_CONSOLIDATED=Y","Sort=A","Dates=H","DateFormat=P","Fill=—","Direction=H","UseDPDF=Y")</f>
        <v>#NAME?</v>
      </c>
      <c r="Z210" s="1" t="e">
        <f ca="1">_xll.BDH($C$203,"ACCOUNTS_RECEIVABLE_GROWTH","FQ2 2015","FQ2 2015","Currency=INR","Period=FQ","BEST_FPERIOD_OVERRIDE=FQ","FILING_STATUS=OR","EQY_CONSOLIDATED=Y","Sort=A","Dates=H","DateFormat=P","Fill=—","Direction=H","UseDPDF=Y")</f>
        <v>#NAME?</v>
      </c>
      <c r="AA210" s="1" t="e">
        <f ca="1">_xll.BDH($C$203,"INVENTORY_GROWTH","FQ2 2015","FQ2 2015","Currency=INR","Period=FQ","BEST_FPERIOD_OVERRIDE=FQ","FILING_STATUS=OR","EQY_CONSOLIDATED=Y","Sort=A","Dates=H","DateFormat=P","Fill=—","Direction=H","UseDPDF=Y")</f>
        <v>#NAME?</v>
      </c>
      <c r="AB210" s="1" t="e">
        <f ca="1">_xll.BDH($C$203,"NET_FIXED_ASSETS_1_YEAR_GROWTH","FQ2 2015","FQ2 2015","Currency=INR","Period=FQ","BEST_FPERIOD_OVERRIDE=FQ","FILING_STATUS=OR","EQY_CONSOLIDATED=Y","Sort=A","Dates=H","DateFormat=P","Fill=—","Direction=H","UseDPDF=Y")</f>
        <v>#NAME?</v>
      </c>
      <c r="AC210" s="1" t="e">
        <f ca="1">_xll.BDH($C$203,"ASSET_GROWTH","FQ2 2015","FQ2 2015","Currency=INR","Period=FQ","BEST_FPERIOD_OVERRIDE=FQ","FILING_STATUS=OR","EQY_CONSOLIDATED=Y","Sort=A","Dates=H","DateFormat=P","Fill=—","Direction=H","UseDPDF=Y")</f>
        <v>#NAME?</v>
      </c>
      <c r="AD210" s="1" t="e">
        <f ca="1">_xll.BDH($C$203,"MODIFIED_WORK_CAP_GROWTH","FQ2 2015","FQ2 2015","Currency=INR","Period=FQ","BEST_FPERIOD_OVERRIDE=FQ","FILING_STATUS=OR","EQY_CONSOLIDATED=Y","Sort=A","Dates=H","DateFormat=P","Fill=—","Direction=H","UseDPDF=Y")</f>
        <v>#NAME?</v>
      </c>
      <c r="AE210" s="1" t="e">
        <f ca="1">_xll.BDH($C$203,"WORK_CAP_GROWTH","FQ2 2015","FQ2 2015","Currency=INR","Period=FQ","BEST_FPERIOD_OVERRIDE=FQ","FILING_STATUS=OR","EQY_CONSOLIDATED=Y","Sort=A","Dates=H","DateFormat=P","Fill=—","Direction=H","UseDPDF=Y")</f>
        <v>#NAME?</v>
      </c>
      <c r="AF210" s="1" t="e">
        <f ca="1">_xll.BDH($C$203,"ACCOUNTS_PAYABLE_GROWTH_1YR","FQ2 2015","FQ2 2015","Currency=INR","Period=FQ","BEST_FPERIOD_OVERRIDE=FQ","FILING_STATUS=OR","EQY_CONSOLIDATED=Y","Sort=A","Dates=H","DateFormat=P","Fill=—","Direction=H","UseDPDF=Y")</f>
        <v>#NAME?</v>
      </c>
      <c r="AG210" s="1" t="e">
        <f ca="1">_xll.BDH($C$203,"SHORT_TERM_DEBT_1_YEAR_GROWTH","FQ2 2015","FQ2 2015","Currency=INR","Period=FQ","BEST_FPERIOD_OVERRIDE=FQ","FILING_STATUS=OR","EQY_CONSOLIDATED=Y","Sort=A","Dates=H","DateFormat=P","Fill=—","Direction=H","UseDPDF=Y")</f>
        <v>#NAME?</v>
      </c>
      <c r="AH210" s="1" t="e">
        <f ca="1">_xll.BDH($C$203,"TOTAL_DEBT_1_YEAR_GROWTH","FQ2 2015","FQ2 2015","Currency=INR","Period=FQ","BEST_FPERIOD_OVERRIDE=FQ","FILING_STATUS=OR","EQY_CONSOLIDATED=Y","Sort=A","Dates=H","DateFormat=P","Fill=—","Direction=H","UseDPDF=Y")</f>
        <v>#NAME?</v>
      </c>
      <c r="AI210" s="1" t="e">
        <f ca="1">_xll.BDH($C$203,"TOTAL_EQUITY_1_YEAR_GROWTH","FQ2 2015","FQ2 2015","Currency=INR","Period=FQ","BEST_FPERIOD_OVERRIDE=FQ","FILING_STATUS=OR","EQY_CONSOLIDATED=Y","Sort=A","Dates=H","DateFormat=P","Fill=—","Direction=H","UseDPDF=Y")</f>
        <v>#NAME?</v>
      </c>
      <c r="AJ210" s="1" t="e">
        <f ca="1">_xll.BDH($C$203,"GROWTH_IN_CAP","FQ2 2015","FQ2 2015","Currency=INR","Period=FQ","BEST_FPERIOD_OVERRIDE=FQ","FILING_STATUS=OR","EQY_CONSOLIDATED=Y","Sort=A","Dates=H","DateFormat=P","Fill=—","Direction=H","UseDPDF=Y")</f>
        <v>#NAME?</v>
      </c>
      <c r="AK210" s="1" t="e">
        <f ca="1">_xll.BDH($C$203,"BVPS_GROWTH","FQ2 2015","FQ2 2015","Currency=INR","Period=FQ","BEST_FPERIOD_OVERRIDE=FQ","FILING_STATUS=OR","EQY_CONSOLIDATED=Y","Sort=A","Dates=H","DateFormat=P","Fill=—","Direction=H","UseDPDF=Y")</f>
        <v>#NAME?</v>
      </c>
      <c r="AL210" s="1" t="e">
        <f ca="1">_xll.BDH($C$203,"CASH_FLOW_GROWTH","FQ2 2015","FQ2 2015","Currency=INR","Period=FQ","BEST_FPERIOD_OVERRIDE=FQ","FILING_STATUS=OR","EQY_CONSOLIDATED=Y","Sort=A","Dates=H","DateFormat=P","Fill=—","Direction=H","UseDPDF=Y")</f>
        <v>#NAME?</v>
      </c>
      <c r="AM210" s="1" t="e">
        <f ca="1">_xll.BDH($C$203,"GEO_GROW_NET_SALES","FQ2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10" s="1" t="e">
        <f ca="1">_xll.BDH($C$203,"GEO_GROW_EBITDA","FQ2 2015","FQ2 2015","Currency=INR","Period=FQ","BEST_FPERIOD_OVERRIDE=FQ","FILING_STATUS=OR","EQY_CONSOLIDATED=Y","FA_ADJUSTED=GAAP","Sort=A","Dates=H","DateFormat=P","Fill=—","Direction=H","UseDPDF=Y")</f>
        <v>#NAME?</v>
      </c>
      <c r="AO210" s="1" t="e">
        <f ca="1">_xll.BDH($C$203,"GEO_GROW_OPER_INC","FQ2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10" s="1" t="e">
        <f ca="1">_xll.BDH($C$203,"NET_INCOME_TO_COMMON_5_YR_GROWTH","FQ2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10" s="1" t="e">
        <f ca="1">_xll.BDH($C$203,"5Y_GEO_GROWTH_DILUTED_EPS","FQ2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10" s="1" t="e">
        <f ca="1">_xll.BDH($C$203,"GEO_GROW_DVD_PER_SH","FQ2 2015","FQ2 2015","Currency=INR","Period=FQ","BEST_FPERIOD_OVERRIDE=FQ","FILING_STATUS=OR","EQY_CONSOLIDATED=Y","Sort=A","Dates=H","DateFormat=P","Fill=—","Direction=H","UseDPDF=Y")</f>
        <v>#NAME?</v>
      </c>
      <c r="AS210" s="1" t="e">
        <f ca="1">_xll.BDH($C$203,"ACCOUNTS_RECEIVABLE_5_YR_GROWTH","FQ2 2015","FQ2 2015","Currency=INR","Period=FQ","BEST_FPERIOD_OVERRIDE=FQ","FILING_STATUS=OR","EQY_CONSOLIDATED=Y","Sort=A","Dates=H","DateFormat=P","Fill=—","Direction=H","UseDPDF=Y")</f>
        <v>#NAME?</v>
      </c>
      <c r="AT210" s="1" t="e">
        <f ca="1">_xll.BDH($C$203,"INVENTORY_5_YEAR_GROWTH","FQ2 2015","FQ2 2015","Currency=INR","Period=FQ","BEST_FPERIOD_OVERRIDE=FQ","FILING_STATUS=OR","EQY_CONSOLIDATED=Y","Sort=A","Dates=H","DateFormat=P","Fill=—","Direction=H","UseDPDF=Y")</f>
        <v>#NAME?</v>
      </c>
      <c r="AU210" s="1" t="e">
        <f ca="1">_xll.BDH($C$203,"NET_FIXED_ASSETS_5_YEAR_GROWTH","FQ2 2015","FQ2 2015","Currency=INR","Period=FQ","BEST_FPERIOD_OVERRIDE=FQ","FILING_STATUS=OR","EQY_CONSOLIDATED=Y","Sort=A","Dates=H","DateFormat=P","Fill=—","Direction=H","UseDPDF=Y")</f>
        <v>#NAME?</v>
      </c>
      <c r="AV210" s="1" t="e">
        <f ca="1">_xll.BDH($C$203,"GEO_GROW_TOT_ASSET","FQ2 2015","FQ2 2015","Currency=INR","Period=FQ","BEST_FPERIOD_OVERRIDE=FQ","FILING_STATUS=OR","EQY_CONSOLIDATED=Y","Sort=A","Dates=H","DateFormat=P","Fill=—","Direction=H","UseDPDF=Y")</f>
        <v>#NAME?</v>
      </c>
      <c r="AW210" s="1" t="e">
        <f ca="1">_xll.BDH($C$203,"MODIFIED_WORKING_CPTL_5YR_GRWTH","FQ2 2015","FQ2 2015","Currency=INR","Period=FQ","BEST_FPERIOD_OVERRIDE=FQ","FILING_STATUS=OR","EQY_CONSOLIDATED=Y","Sort=A","Dates=H","DateFormat=P","Fill=—","Direction=H","UseDPDF=Y")</f>
        <v>#NAME?</v>
      </c>
      <c r="AX210" s="1" t="e">
        <f ca="1">_xll.BDH($C$203,"WORKING_CAPITAL_5_YEAR_GROWTH","FQ2 2015","FQ2 2015","Currency=INR","Period=FQ","BEST_FPERIOD_OVERRIDE=FQ","FILING_STATUS=OR","EQY_CONSOLIDATED=Y","Sort=A","Dates=H","DateFormat=P","Fill=—","Direction=H","UseDPDF=Y")</f>
        <v>#NAME?</v>
      </c>
      <c r="AY210" s="1" t="e">
        <f ca="1">_xll.BDH($C$203,"ACCOUNTS_PAYABLE_5_YEAR_GROWTH","FQ2 2015","FQ2 2015","Currency=INR","Period=FQ","BEST_FPERIOD_OVERRIDE=FQ","FILING_STATUS=OR","EQY_CONSOLIDATED=Y","Sort=A","Dates=H","DateFormat=P","Fill=—","Direction=H","UseDPDF=Y")</f>
        <v>#NAME?</v>
      </c>
      <c r="AZ210" s="1" t="e">
        <f ca="1">_xll.BDH($C$203,"SHORT_TERM_DEBT_5_YEAR_GROWTH","FQ2 2015","FQ2 2015","Currency=INR","Period=FQ","BEST_FPERIOD_OVERRIDE=FQ","FILING_STATUS=OR","EQY_CONSOLIDATED=Y","Sort=A","Dates=H","DateFormat=P","Fill=—","Direction=H","UseDPDF=Y")</f>
        <v>#NAME?</v>
      </c>
      <c r="BA210" s="1" t="e">
        <f ca="1">_xll.BDH($C$203,"TOTAL_DEBT_5_YEAR_GROWTH","FQ2 2015","FQ2 2015","Currency=INR","Period=FQ","BEST_FPERIOD_OVERRIDE=FQ","FILING_STATUS=OR","EQY_CONSOLIDATED=Y","Sort=A","Dates=H","DateFormat=P","Fill=—","Direction=H","UseDPDF=Y")</f>
        <v>#NAME?</v>
      </c>
      <c r="BB210" s="1" t="e">
        <f ca="1">_xll.BDH($C$203,"GEO_GROW_TOT_SHRHLDR_EQY","FQ2 2015","FQ2 2015","Currency=INR","Period=FQ","BEST_FPERIOD_OVERRIDE=FQ","FILING_STATUS=OR","EQY_CONSOLIDATED=Y","Sort=A","Dates=H","DateFormat=P","Fill=—","Direction=H","UseDPDF=Y")</f>
        <v>#NAME?</v>
      </c>
      <c r="BC210" s="1" t="e">
        <f ca="1">_xll.BDH($C$203,"TOTAL_CAPITAL_5_YEAR_GROWTH","FQ2 2015","FQ2 2015","Currency=INR","Period=FQ","BEST_FPERIOD_OVERRIDE=FQ","FILING_STATUS=OR","EQY_CONSOLIDATED=Y","Sort=A","Dates=H","DateFormat=P","Fill=—","Direction=H","UseDPDF=Y")</f>
        <v>#NAME?</v>
      </c>
      <c r="BD210" s="1" t="e">
        <f ca="1">_xll.BDH($C$203,"GEO_GROW_BOOK_VAL","FQ2 2015","FQ2 2015","Currency=INR","Period=FQ","BEST_FPERIOD_OVERRIDE=FQ","FILING_STATUS=OR","EQY_CONSOLIDATED=Y","Sort=A","Dates=H","DateFormat=P","Fill=—","Direction=H","UseDPDF=Y")</f>
        <v>#NAME?</v>
      </c>
      <c r="BE210" s="1" t="e">
        <f ca="1">_xll.BDH($C$203,"GEO_GROW_CASH_OPER_ACT","FQ2 2015","FQ2 2015","Currency=INR","Period=FQ","BEST_FPERIOD_OVERRIDE=FQ","FILING_STATUS=OR","EQY_CONSOLIDATED=Y","Sort=A","Dates=H","DateFormat=P","Fill=—","Direction=H","UseDPDF=Y")</f>
        <v>#NAME?</v>
      </c>
      <c r="BF210" s="1" t="e">
        <f ca="1">_xll.BDH($C$203,"REVENUE_SEQUENTIAL_GROWTH","FQ2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10" s="1" t="e">
        <f ca="1">_xll.BDH($C$203,"EBITDA_SEQUENTIAL_GROWTH","FQ2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10" s="1" t="e">
        <f ca="1">_xll.BDH($C$203,"OPERATING_INCOME_SEQ_GROWTH","FQ2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10" s="1" t="e">
        <f ca="1">_xll.BDH($C$203,"NET_INCOME_TO_COMMON_SEQ_GROWTH","FQ2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10" s="1" t="e">
        <f ca="1">_xll.BDH($C$203,"EPS_DILUTED_SEQUENTIAL_GROWTH","FQ2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10" s="1" t="e">
        <f ca="1">_xll.BDH($C$203,"DPS_SEQUENTIAL_GROWTH","FQ2 2015","FQ2 2015","Currency=INR","Period=FQ","BEST_FPERIOD_OVERRIDE=FQ","FILING_STATUS=OR","EQY_CONSOLIDATED=Y","Sort=A","Dates=H","DateFormat=P","Fill=—","Direction=H","UseDPDF=Y")</f>
        <v>#NAME?</v>
      </c>
      <c r="BL210" s="1" t="e">
        <f ca="1">_xll.BDH($C$203,"ACCOUNTS_RECEIVABLE_SEQ_GROWTH","FQ2 2015","FQ2 2015","Currency=INR","Period=FQ","BEST_FPERIOD_OVERRIDE=FQ","FILING_STATUS=OR","EQY_CONSOLIDATED=Y","Sort=A","Dates=H","DateFormat=P","Fill=—","Direction=H","UseDPDF=Y")</f>
        <v>#NAME?</v>
      </c>
      <c r="BM210" s="1" t="e">
        <f ca="1">_xll.BDH($C$203,"INVENTORY_SEQUENTIAL_GROWTH","FQ2 2015","FQ2 2015","Currency=INR","Period=FQ","BEST_FPERIOD_OVERRIDE=FQ","FILING_STATUS=OR","EQY_CONSOLIDATED=Y","Sort=A","Dates=H","DateFormat=P","Fill=—","Direction=H","UseDPDF=Y")</f>
        <v>#NAME?</v>
      </c>
      <c r="BN210" s="1" t="e">
        <f ca="1">_xll.BDH($C$203,"FIXED_ASSETS_SEQUENTIAL_GROWTH","FQ2 2015","FQ2 2015","Currency=INR","Period=FQ","BEST_FPERIOD_OVERRIDE=FQ","FILING_STATUS=OR","EQY_CONSOLIDATED=Y","Sort=A","Dates=H","DateFormat=P","Fill=—","Direction=H","UseDPDF=Y")</f>
        <v>#NAME?</v>
      </c>
      <c r="BO210" s="1" t="e">
        <f ca="1">_xll.BDH($C$203,"TOTAL_ASSETS_SEQUENTIAL_GROWTH","FQ2 2015","FQ2 2015","Currency=INR","Period=FQ","BEST_FPERIOD_OVERRIDE=FQ","FILING_STATUS=OR","EQY_CONSOLIDATED=Y","Sort=A","Dates=H","DateFormat=P","Fill=—","Direction=H","UseDPDF=Y")</f>
        <v>#NAME?</v>
      </c>
      <c r="BP210" s="1" t="e">
        <f ca="1">_xll.BDH($C$203,"MODIFIED_WORKING_CPTL_SEQ_GRWTH","FQ2 2015","FQ2 2015","Currency=INR","Period=FQ","BEST_FPERIOD_OVERRIDE=FQ","FILING_STATUS=OR","EQY_CONSOLIDATED=Y","Sort=A","Dates=H","DateFormat=P","Fill=—","Direction=H","UseDPDF=Y")</f>
        <v>#NAME?</v>
      </c>
      <c r="BQ210" s="1" t="e">
        <f ca="1">_xll.BDH($C$203,"WORKING_CAPITAL_SEQ_GROWTH","FQ2 2015","FQ2 2015","Currency=INR","Period=FQ","BEST_FPERIOD_OVERRIDE=FQ","FILING_STATUS=OR","EQY_CONSOLIDATED=Y","Sort=A","Dates=H","DateFormat=P","Fill=—","Direction=H","UseDPDF=Y")</f>
        <v>#NAME?</v>
      </c>
      <c r="BR210" s="1" t="e">
        <f ca="1">_xll.BDH($C$203,"ACCOUNTS_PAYABLE_SEQ_GROWTH","FQ2 2015","FQ2 2015","Currency=INR","Period=FQ","BEST_FPERIOD_OVERRIDE=FQ","FILING_STATUS=OR","EQY_CONSOLIDATED=Y","Sort=A","Dates=H","DateFormat=P","Fill=—","Direction=H","UseDPDF=Y")</f>
        <v>#NAME?</v>
      </c>
      <c r="BS210" s="1" t="e">
        <f ca="1">_xll.BDH($C$203,"ST_DEBT_SEQUENTIAL_GROWTH","FQ2 2015","FQ2 2015","Currency=INR","Period=FQ","BEST_FPERIOD_OVERRIDE=FQ","FILING_STATUS=OR","EQY_CONSOLIDATED=Y","Sort=A","Dates=H","DateFormat=P","Fill=—","Direction=H","UseDPDF=Y")</f>
        <v>#NAME?</v>
      </c>
      <c r="BT210" s="1" t="e">
        <f ca="1">_xll.BDH($C$203,"TOTAL_DEBT_SEQUENTIAL_GROWTH","FQ2 2015","FQ2 2015","Currency=INR","Period=FQ","BEST_FPERIOD_OVERRIDE=FQ","FILING_STATUS=OR","EQY_CONSOLIDATED=Y","Sort=A","Dates=H","DateFormat=P","Fill=—","Direction=H","UseDPDF=Y")</f>
        <v>#NAME?</v>
      </c>
      <c r="BU210" s="1" t="e">
        <f ca="1">_xll.BDH($C$203,"TOTAL_EQUITY_SEQUENTIAL_GROWTH","FQ2 2015","FQ2 2015","Currency=INR","Period=FQ","BEST_FPERIOD_OVERRIDE=FQ","FILING_STATUS=OR","EQY_CONSOLIDATED=Y","Sort=A","Dates=H","DateFormat=P","Fill=—","Direction=H","UseDPDF=Y")</f>
        <v>#NAME?</v>
      </c>
      <c r="BV210" s="1" t="e">
        <f ca="1">_xll.BDH($C$203,"TOTAL_CAPITAL_SEQUENTIAL_GROWTH","FQ2 2015","FQ2 2015","Currency=INR","Period=FQ","BEST_FPERIOD_OVERRIDE=FQ","FILING_STATUS=OR","EQY_CONSOLIDATED=Y","Sort=A","Dates=H","DateFormat=P","Fill=—","Direction=H","UseDPDF=Y")</f>
        <v>#NAME?</v>
      </c>
      <c r="BW210" s="1" t="e">
        <f ca="1">_xll.BDH($C$203,"BPS_SEQUENTIAL_GROWTH","FQ2 2015","FQ2 2015","Currency=INR","Period=FQ","BEST_FPERIOD_OVERRIDE=FQ","FILING_STATUS=OR","EQY_CONSOLIDATED=Y","Sort=A","Dates=H","DateFormat=P","Fill=—","Direction=H","UseDPDF=Y")</f>
        <v>#NAME?</v>
      </c>
      <c r="BX210" s="1" t="e">
        <f ca="1">_xll.BDH($C$203,"CFO_SEQUENTIAL_GROWTH","FQ2 2015","FQ2 2015","Currency=INR","Period=FQ","BEST_FPERIOD_OVERRIDE=FQ","FILING_STATUS=OR","EQY_CONSOLIDATED=Y","Sort=A","Dates=H","DateFormat=P","Fill=—","Direction=H","UseDPDF=Y")</f>
        <v>#NAME?</v>
      </c>
      <c r="BY210" s="2" t="e">
        <f ca="1">_xll.BDH($C$203,"SHORT_AND_LONG_TERM_DEBT","FQ2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10" s="2" t="e">
        <f ca="1">_xll.BDH($C$203,"BS_ST_BORROW","FQ2 2015","FQ2 2015","Currency=INR","Period=FQ","BEST_FPERIOD_OVERRIDE=FQ","FILING_STATUS=OR","EQY_CONSOLIDATED=Y","SCALING_FORMAT=MLN","Sort=A","Dates=H","DateFormat=P","Fill=—","Direction=H","UseDPDF=Y")</f>
        <v>#NAME?</v>
      </c>
      <c r="CA210" s="2" t="e">
        <f ca="1">_xll.BDH($C$203,"BS_LT_BORROW","FQ2 2015","FQ2 2015","Currency=INR","Period=FQ","BEST_FPERIOD_OVERRIDE=FQ","FILING_STATUS=OR","EQY_CONSOLIDATED=Y","SCALING_FORMAT=MLN","Sort=A","Dates=H","DateFormat=P","Fill=—","Direction=H","UseDPDF=Y")</f>
        <v>#NAME?</v>
      </c>
      <c r="CB210" s="1" t="e">
        <f ca="1">_xll.BDH($C$203,"TOT_DEBT_TO_EBITDA","FQ2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10" s="1" t="e">
        <f ca="1">_xll.BDH($C$203,"NET_DEBT_TO_EBITDA","FQ2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10" s="1" t="e">
        <f ca="1">_xll.BDH($C$203,"TOTAL_DEBT_TO_EBIT","FQ2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10" s="1" t="e">
        <f ca="1">_xll.BDH($C$203,"NET_DEBT_TO_EBIT","FQ2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210" s="1" t="e">
        <f ca="1">_xll.BDH($C$203,"EBITDA_TO_INTEREST_EXPN","FQ2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10" s="1" t="e">
        <f ca="1">_xll.BDH($C$203,"COM_EQY_TO_TOT_ASSET","FQ2 2015","FQ2 2015","Currency=INR","Period=FQ","BEST_FPERIOD_OVERRIDE=FQ","FILING_STATUS=OR","EQY_CONSOLIDATED=Y","Sort=A","Dates=H","DateFormat=P","Fill=—","Direction=H","UseDPDF=Y")</f>
        <v>#NAME?</v>
      </c>
      <c r="CH210" s="1" t="e">
        <f ca="1">_xll.BDH($C$203,"LT_DEBT_TO_TOT_EQY","FQ2 2015","FQ2 2015","Currency=INR","Period=FQ","BEST_FPERIOD_OVERRIDE=FQ","FILING_STATUS=OR","EQY_CONSOLIDATED=Y","Sort=A","Dates=H","DateFormat=P","Fill=—","Direction=H","UseDPDF=Y")</f>
        <v>#NAME?</v>
      </c>
      <c r="CI210" s="1" t="e">
        <f ca="1">_xll.BDH($C$203,"LT_DEBT_TO_TOT_CAP","FQ2 2015","FQ2 2015","Currency=INR","Period=FQ","BEST_FPERIOD_OVERRIDE=FQ","FILING_STATUS=OR","EQY_CONSOLIDATED=Y","Sort=A","Dates=H","DateFormat=P","Fill=—","Direction=H","UseDPDF=Y")</f>
        <v>#NAME?</v>
      </c>
      <c r="CJ210" s="1" t="e">
        <f ca="1">_xll.BDH($C$203,"LT_DEBT_TO_TOT_ASSET","FQ2 2015","FQ2 2015","Currency=INR","Period=FQ","BEST_FPERIOD_OVERRIDE=FQ","FILING_STATUS=OR","EQY_CONSOLIDATED=Y","Sort=A","Dates=H","DateFormat=P","Fill=—","Direction=H","UseDPDF=Y")</f>
        <v>#NAME?</v>
      </c>
      <c r="CK210" s="1" t="e">
        <f ca="1">_xll.BDH($C$203,"TOT_DEBT_TO_TOT_EQY","FQ2 2015","FQ2 2015","Currency=INR","Period=FQ","BEST_FPERIOD_OVERRIDE=FQ","FILING_STATUS=OR","EQY_CONSOLIDATED=Y","Sort=A","Dates=H","DateFormat=P","Fill=—","Direction=H","UseDPDF=Y")</f>
        <v>#NAME?</v>
      </c>
      <c r="CL210" s="1" t="e">
        <f ca="1">_xll.BDH($C$203,"TOT_DEBT_TO_TOT_CAP","FQ2 2015","FQ2 2015","Currency=INR","Period=FQ","BEST_FPERIOD_OVERRIDE=FQ","FILING_STATUS=OR","EQY_CONSOLIDATED=Y","Sort=A","Dates=H","DateFormat=P","Fill=—","Direction=H","UseDPDF=Y")</f>
        <v>#NAME?</v>
      </c>
      <c r="CM210" s="1" t="e">
        <f ca="1">_xll.BDH($C$203,"TOT_DEBT_TO_TOT_ASSET","FQ2 2015","FQ2 2015","Currency=INR","Period=FQ","BEST_FPERIOD_OVERRIDE=FQ","FILING_STATUS=OR","EQY_CONSOLIDATED=Y","Sort=A","Dates=H","DateFormat=P","Fill=—","Direction=H","UseDPDF=Y")</f>
        <v>#NAME?</v>
      </c>
      <c r="CN210" s="1" t="e">
        <f ca="1">_xll.BDH($C$203,"NET_DEBT_TO_SHRHLDR_EQTY","FQ2 2015","FQ2 2015","Currency=INR","Period=FQ","BEST_FPERIOD_OVERRIDE=FQ","FILING_STATUS=OR","EQY_CONSOLIDATED=Y","Sort=A","Dates=H","DateFormat=P","Fill=—","Direction=H","UseDPDF=Y")</f>
        <v>#NAME?</v>
      </c>
      <c r="CO210" s="1" t="e">
        <f ca="1">_xll.BDH($C$203,"NET_DEBT_%_CAPITAL","FQ2 2015","FQ2 2015","Currency=INR","Period=FQ","BEST_FPERIOD_OVERRIDE=FQ","FILING_STATUS=OR","EQY_CONSOLIDATED=Y","Sort=A","Dates=H","DateFormat=P","Fill=—","Direction=H","UseDPDF=Y")</f>
        <v>#NAME?</v>
      </c>
      <c r="CP210" s="2" t="e">
        <f ca="1">_xll.BDH($C$203,"EBITDA","FQ2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10" s="2" t="e">
        <f ca="1">_xll.BDH($C$203,"EBITDA_AFTER_CAPEX","FQ2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10" s="2" t="e">
        <f ca="1">_xll.BDH($C$203,"IS_OPER_INC","FQ2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10" s="1" t="e">
        <f ca="1">_xll.BDH($C$203,"CASH_RATIO","FQ2 2015","FQ2 2015","Currency=INR","Period=FQ","BEST_FPERIOD_OVERRIDE=FQ","FILING_STATUS=OR","EQY_CONSOLIDATED=Y","Sort=A","Dates=H","DateFormat=P","Fill=—","Direction=H","UseDPDF=Y")</f>
        <v>#NAME?</v>
      </c>
      <c r="CT210" s="1" t="e">
        <f ca="1">_xll.BDH($C$203,"CUR_RATIO","FQ2 2015","FQ2 2015","Currency=INR","Period=FQ","BEST_FPERIOD_OVERRIDE=FQ","FILING_STATUS=OR","EQY_CONSOLIDATED=Y","Sort=A","Dates=H","DateFormat=P","Fill=—","Direction=H","UseDPDF=Y")</f>
        <v>#NAME?</v>
      </c>
      <c r="CU210" s="1" t="e">
        <f ca="1">_xll.BDH($C$203,"QUICK_RATIO","FQ2 2015","FQ2 2015","Currency=INR","Period=FQ","BEST_FPERIOD_OVERRIDE=FQ","FILING_STATUS=OR","EQY_CONSOLIDATED=Y","Sort=A","Dates=H","DateFormat=P","Fill=—","Direction=H","UseDPDF=Y")</f>
        <v>#NAME?</v>
      </c>
      <c r="CV210" s="1" t="e">
        <f ca="1">_xll.BDH($C$203,"ALTMAN_Z_SCORE","FQ2 2015","FQ2 2015","Currency=INR","Period=FQ","BEST_FPERIOD_OVERRIDE=FQ","FILING_STATUS=OR","EQY_CONSOLIDATED=Y","Sort=A","Dates=H","DateFormat=P","Fill=—","Direction=H","UseDPDF=Y")</f>
        <v>#NAME?</v>
      </c>
      <c r="CW210" s="3" t="e">
        <f ca="1">_xll.BDH($C$203,"ACCT_RCV_TURN","FQ2 2015","FQ2 2015","Currency=INR","Period=FQ","BEST_FPERIOD_OVERRIDE=FQ","FILING_STATUS=OR","EQY_CONSOLIDATED=Y","FA_ADJUSTED=GAAP","Sort=A","Dates=H","DateFormat=P","Fill=—","Direction=H","UseDPDF=Y")</f>
        <v>#NAME?</v>
      </c>
      <c r="CX210" s="1" t="e">
        <f ca="1">_xll.BDH($C$203,"ACCT_RCV_DAYS","FQ2 2015","FQ2 2015","Currency=INR","Period=FQ","BEST_FPERIOD_OVERRIDE=FQ","FILING_STATUS=OR","EQY_CONSOLIDATED=Y","FA_ADJUSTED=GAAP","Sort=A","Dates=H","DateFormat=P","Fill=—","Direction=H","UseDPDF=Y")</f>
        <v>#NAME?</v>
      </c>
      <c r="CY210" s="3" t="e">
        <f ca="1">_xll.BDH($C$203,"INVENT_TURN","FQ2 2015","FQ2 2015","Currency=INR","Period=FQ","BEST_FPERIOD_OVERRIDE=FQ","FILING_STATUS=OR","EQY_CONSOLIDATED=Y","FA_ADJUSTED=GAAP","Sort=A","Dates=H","DateFormat=P","Fill=—","Direction=H","UseDPDF=Y")</f>
        <v>#NAME?</v>
      </c>
      <c r="CZ210" s="1" t="e">
        <f ca="1">_xll.BDH($C$203,"INVENT_DAYS","FQ2 2015","FQ2 2015","Currency=INR","Period=FQ","BEST_FPERIOD_OVERRIDE=FQ","FILING_STATUS=OR","EQY_CONSOLIDATED=Y","FA_ADJUSTED=GAAP","Sort=A","Dates=H","DateFormat=P","Fill=—","Direction=H","UseDPDF=Y")</f>
        <v>#NAME?</v>
      </c>
      <c r="DA210" s="3" t="e">
        <f ca="1">_xll.BDH($C$203,"ACCOUNTS_PAYABLE_TURNOVER","FQ2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10" s="1" t="e">
        <f ca="1">_xll.BDH($C$203,"ACCOUNTS_PAYABLE_TURNOVER_DAYS","FQ2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10" s="3" t="e">
        <f ca="1">_xll.BDH($C$203,"CASH_CONVERSION_CYCLE","FQ2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10" s="3" t="e">
        <f ca="1">_xll.BDH($C$203,"INV_TO_CASH_DAYS","FQ2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210" s="4" t="e">
        <f ca="1">_xll.BDH($C$203,"BS_INVENTORIES","FQ2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210" s="2" t="e">
        <f ca="1">_xll.BDH($C$203,"INVTRY_RAW_MATERIALS","FQ2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10" s="2" t="e">
        <f ca="1">_xll.BDH($C$203,"INVTRY_IN_PROGRESS","FQ2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10" s="2" t="e">
        <f ca="1">_xll.BDH($C$203,"INVTRY_FINISHED_GOODS","FQ2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10" s="2" t="e">
        <f ca="1">_xll.BDH($C$203,"BS_OTHER_INV","FQ2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11" spans="1:113" x14ac:dyDescent="0.3">
      <c r="A211" s="6"/>
      <c r="B211" s="6"/>
      <c r="C211" s="6"/>
      <c r="D211" s="6"/>
      <c r="E211" t="s">
        <v>6</v>
      </c>
      <c r="F211" t="e">
        <f ca="1">_xll.BDH($C$203,"RETURN_COM_EQY","FQ3 2015","FQ3 2015","Currency=INR","Period=FQ","BEST_FPERIOD_OVERRIDE=FQ","FILING_STATUS=OR","EQY_CONSOLIDATED=Y","FA_ADJUSTED=GAAP","Sort=A","Dates=H","DateFormat=P","Fill=—","Direction=H","UseDPDF=Y")</f>
        <v>#NAME?</v>
      </c>
      <c r="G211" t="e">
        <f ca="1">_xll.BDH($C$203,"RETURN_ON_ASSET","FQ3 2015","FQ3 2015","Currency=INR","Period=FQ","BEST_FPERIOD_OVERRIDE=FQ","FILING_STATUS=OR","EQY_CONSOLIDATED=Y","FA_ADJUSTED=GAAP","Sort=A","Dates=H","DateFormat=P","Fill=—","Direction=H","UseDPDF=Y")</f>
        <v>#NAME?</v>
      </c>
      <c r="H211" t="e">
        <f ca="1">_xll.BDH($C$203,"RETURN_ON_CAP","FQ3 2015","FQ3 2015","Currency=INR","Period=FQ","BEST_FPERIOD_OVERRIDE=FQ","FILING_STATUS=OR","EQY_CONSOLIDATED=Y","FA_ADJUSTED=GAAP","Sort=A","Dates=H","DateFormat=P","Fill=—","Direction=H","UseDPDF=Y")</f>
        <v>#NAME?</v>
      </c>
      <c r="I211" t="e">
        <f ca="1">_xll.BDH($C$203,"RETURN_ON_INV_CAPITAL","FQ3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11" t="e">
        <f ca="1">_xll.BDH($C$203,"EBITDA_TO_REVENUE","FQ3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211" t="e">
        <f ca="1">_xll.BDH($C$203,"OPER_MARGIN","FQ3 2015","FQ3 2015","Currency=INR","Period=FQ","BEST_FPERIOD_OVERRIDE=FQ","FILING_STATUS=OR","EQY_CONSOLIDATED=Y","FA_ADJUSTED=GAAP","Sort=A","Dates=H","DateFormat=P","Fill=—","Direction=H","UseDPDF=Y")</f>
        <v>#NAME?</v>
      </c>
      <c r="L211" t="e">
        <f ca="1">_xll.BDH($C$203,"INCREMENTAL_OPERATING_MARGIN","FQ3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11" t="e">
        <f ca="1">_xll.BDH($C$203,"PRETAX_INC_TO_NET_SALES","FQ3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11" t="e">
        <f ca="1">_xll.BDH($C$203,"INC_BEF_XO_ITEMS_TO_NET_SALES","FQ3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11" t="e">
        <f ca="1">_xll.BDH($C$203,"PROF_MARGIN","FQ3 2015","FQ3 2015","Currency=INR","Period=FQ","BEST_FPERIOD_OVERRIDE=FQ","FILING_STATUS=OR","EQY_CONSOLIDATED=Y","FA_ADJUSTED=GAAP","Sort=A","Dates=H","DateFormat=P","Fill=—","Direction=H","UseDPDF=Y")</f>
        <v>#NAME?</v>
      </c>
      <c r="P211" t="e">
        <f ca="1">_xll.BDH($C$203,"NET_INCOME_TO_COMMON_MARGIN","FQ3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11" t="e">
        <f ca="1">_xll.BDH($C$203,"EFF_TAX_RATE","FQ3 2015","FQ3 2015","Currency=INR","Period=FQ","BEST_FPERIOD_OVERRIDE=FQ","FILING_STATUS=OR","EQY_CONSOLIDATED=Y","FA_ADJUSTED=GAAP","Sort=A","Dates=H","DateFormat=P","Fill=—","Direction=H","UseDPDF=Y")</f>
        <v>#NAME?</v>
      </c>
      <c r="R211" t="e">
        <f ca="1">_xll.BDH($C$203,"DVD_PAYOUT_RATIO","FQ3 2015","FQ3 2015","Currency=INR","Period=FQ","BEST_FPERIOD_OVERRIDE=FQ","FILING_STATUS=OR","EQY_CONSOLIDATED=Y","FA_ADJUSTED=GAAP","Sort=A","Dates=H","DateFormat=P","Fill=—","Direction=H","UseDPDF=Y")</f>
        <v>#NAME?</v>
      </c>
      <c r="S211" t="e">
        <f ca="1">_xll.BDH($C$203,"SUSTAIN_GROWTH_RT","FQ3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211" s="1" t="e">
        <f ca="1">_xll.BDH($C$203,"SALES_GROWTH","FQ3 2015","FQ3 2015","Currency=INR","Period=FQ","BEST_FPERIOD_OVERRIDE=FQ","FILING_STATUS=OR","EQY_CONSOLIDATED=Y","FA_ADJUSTED=GAAP","Sort=A","Dates=H","DateFormat=P","Fill=—","Direction=H","UseDPDF=Y")</f>
        <v>#NAME?</v>
      </c>
      <c r="U211" s="1" t="e">
        <f ca="1">_xll.BDH($C$203,"EBITDA_GROWTH","FQ3 2015","FQ3 2015","Currency=INR","Period=FQ","BEST_FPERIOD_OVERRIDE=FQ","FILING_STATUS=OR","EQY_CONSOLIDATED=Y","FA_ADJUSTED=GAAP","Sort=A","Dates=H","DateFormat=P","Fill=—","Direction=H","UseDPDF=Y")</f>
        <v>#NAME?</v>
      </c>
      <c r="V211" s="1" t="e">
        <f ca="1">_xll.BDH($C$203,"OPER_INC_GROWTH","FQ3 2015","FQ3 2015","Currency=INR","Period=FQ","BEST_FPERIOD_OVERRIDE=FQ","FILING_STATUS=OR","EQY_CONSOLIDATED=Y","FA_ADJUSTED=GAAP","Sort=A","Dates=H","DateFormat=P","Fill=—","Direction=H","UseDPDF=Y")</f>
        <v>#NAME?</v>
      </c>
      <c r="W211" s="1" t="e">
        <f ca="1">_xll.BDH($C$203,"EARN_FOR_COM_GROWTH","FQ3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11" s="1" t="e">
        <f ca="1">_xll.BDH($C$203,"DILUTED_EPS_AFT_XO_ITEMS_GROWTH","FQ3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11" s="1" t="e">
        <f ca="1">_xll.BDH($C$203,"DIVIDEND_PER_SHARE_1_YEAR_GROWTH","FQ3 2015","FQ3 2015","Currency=INR","Period=FQ","BEST_FPERIOD_OVERRIDE=FQ","FILING_STATUS=OR","EQY_CONSOLIDATED=Y","Sort=A","Dates=H","DateFormat=P","Fill=—","Direction=H","UseDPDF=Y")</f>
        <v>#NAME?</v>
      </c>
      <c r="Z211" s="1" t="e">
        <f ca="1">_xll.BDH($C$203,"ACCOUNTS_RECEIVABLE_GROWTH","FQ3 2015","FQ3 2015","Currency=INR","Period=FQ","BEST_FPERIOD_OVERRIDE=FQ","FILING_STATUS=OR","EQY_CONSOLIDATED=Y","Sort=A","Dates=H","DateFormat=P","Fill=—","Direction=H","UseDPDF=Y")</f>
        <v>#NAME?</v>
      </c>
      <c r="AA211" s="1" t="e">
        <f ca="1">_xll.BDH($C$203,"INVENTORY_GROWTH","FQ3 2015","FQ3 2015","Currency=INR","Period=FQ","BEST_FPERIOD_OVERRIDE=FQ","FILING_STATUS=OR","EQY_CONSOLIDATED=Y","Sort=A","Dates=H","DateFormat=P","Fill=—","Direction=H","UseDPDF=Y")</f>
        <v>#NAME?</v>
      </c>
      <c r="AB211" s="1" t="e">
        <f ca="1">_xll.BDH($C$203,"NET_FIXED_ASSETS_1_YEAR_GROWTH","FQ3 2015","FQ3 2015","Currency=INR","Period=FQ","BEST_FPERIOD_OVERRIDE=FQ","FILING_STATUS=OR","EQY_CONSOLIDATED=Y","Sort=A","Dates=H","DateFormat=P","Fill=—","Direction=H","UseDPDF=Y")</f>
        <v>#NAME?</v>
      </c>
      <c r="AC211" s="1" t="e">
        <f ca="1">_xll.BDH($C$203,"ASSET_GROWTH","FQ3 2015","FQ3 2015","Currency=INR","Period=FQ","BEST_FPERIOD_OVERRIDE=FQ","FILING_STATUS=OR","EQY_CONSOLIDATED=Y","Sort=A","Dates=H","DateFormat=P","Fill=—","Direction=H","UseDPDF=Y")</f>
        <v>#NAME?</v>
      </c>
      <c r="AD211" s="1" t="e">
        <f ca="1">_xll.BDH($C$203,"MODIFIED_WORK_CAP_GROWTH","FQ3 2015","FQ3 2015","Currency=INR","Period=FQ","BEST_FPERIOD_OVERRIDE=FQ","FILING_STATUS=OR","EQY_CONSOLIDATED=Y","Sort=A","Dates=H","DateFormat=P","Fill=—","Direction=H","UseDPDF=Y")</f>
        <v>#NAME?</v>
      </c>
      <c r="AE211" s="1" t="e">
        <f ca="1">_xll.BDH($C$203,"WORK_CAP_GROWTH","FQ3 2015","FQ3 2015","Currency=INR","Period=FQ","BEST_FPERIOD_OVERRIDE=FQ","FILING_STATUS=OR","EQY_CONSOLIDATED=Y","Sort=A","Dates=H","DateFormat=P","Fill=—","Direction=H","UseDPDF=Y")</f>
        <v>#NAME?</v>
      </c>
      <c r="AF211" s="1" t="e">
        <f ca="1">_xll.BDH($C$203,"ACCOUNTS_PAYABLE_GROWTH_1YR","FQ3 2015","FQ3 2015","Currency=INR","Period=FQ","BEST_FPERIOD_OVERRIDE=FQ","FILING_STATUS=OR","EQY_CONSOLIDATED=Y","Sort=A","Dates=H","DateFormat=P","Fill=—","Direction=H","UseDPDF=Y")</f>
        <v>#NAME?</v>
      </c>
      <c r="AG211" s="1" t="e">
        <f ca="1">_xll.BDH($C$203,"SHORT_TERM_DEBT_1_YEAR_GROWTH","FQ3 2015","FQ3 2015","Currency=INR","Period=FQ","BEST_FPERIOD_OVERRIDE=FQ","FILING_STATUS=OR","EQY_CONSOLIDATED=Y","Sort=A","Dates=H","DateFormat=P","Fill=—","Direction=H","UseDPDF=Y")</f>
        <v>#NAME?</v>
      </c>
      <c r="AH211" s="1" t="e">
        <f ca="1">_xll.BDH($C$203,"TOTAL_DEBT_1_YEAR_GROWTH","FQ3 2015","FQ3 2015","Currency=INR","Period=FQ","BEST_FPERIOD_OVERRIDE=FQ","FILING_STATUS=OR","EQY_CONSOLIDATED=Y","Sort=A","Dates=H","DateFormat=P","Fill=—","Direction=H","UseDPDF=Y")</f>
        <v>#NAME?</v>
      </c>
      <c r="AI211" s="1" t="e">
        <f ca="1">_xll.BDH($C$203,"TOTAL_EQUITY_1_YEAR_GROWTH","FQ3 2015","FQ3 2015","Currency=INR","Period=FQ","BEST_FPERIOD_OVERRIDE=FQ","FILING_STATUS=OR","EQY_CONSOLIDATED=Y","Sort=A","Dates=H","DateFormat=P","Fill=—","Direction=H","UseDPDF=Y")</f>
        <v>#NAME?</v>
      </c>
      <c r="AJ211" s="1" t="e">
        <f ca="1">_xll.BDH($C$203,"GROWTH_IN_CAP","FQ3 2015","FQ3 2015","Currency=INR","Period=FQ","BEST_FPERIOD_OVERRIDE=FQ","FILING_STATUS=OR","EQY_CONSOLIDATED=Y","Sort=A","Dates=H","DateFormat=P","Fill=—","Direction=H","UseDPDF=Y")</f>
        <v>#NAME?</v>
      </c>
      <c r="AK211" s="1" t="e">
        <f ca="1">_xll.BDH($C$203,"BVPS_GROWTH","FQ3 2015","FQ3 2015","Currency=INR","Period=FQ","BEST_FPERIOD_OVERRIDE=FQ","FILING_STATUS=OR","EQY_CONSOLIDATED=Y","Sort=A","Dates=H","DateFormat=P","Fill=—","Direction=H","UseDPDF=Y")</f>
        <v>#NAME?</v>
      </c>
      <c r="AL211" s="1" t="e">
        <f ca="1">_xll.BDH($C$203,"CASH_FLOW_GROWTH","FQ3 2015","FQ3 2015","Currency=INR","Period=FQ","BEST_FPERIOD_OVERRIDE=FQ","FILING_STATUS=OR","EQY_CONSOLIDATED=Y","Sort=A","Dates=H","DateFormat=P","Fill=—","Direction=H","UseDPDF=Y")</f>
        <v>#NAME?</v>
      </c>
      <c r="AM211" s="1" t="e">
        <f ca="1">_xll.BDH($C$203,"GEO_GROW_NET_SALES","FQ3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11" s="1" t="e">
        <f ca="1">_xll.BDH($C$203,"GEO_GROW_EBITDA","FQ3 2015","FQ3 2015","Currency=INR","Period=FQ","BEST_FPERIOD_OVERRIDE=FQ","FILING_STATUS=OR","EQY_CONSOLIDATED=Y","FA_ADJUSTED=GAAP","Sort=A","Dates=H","DateFormat=P","Fill=—","Direction=H","UseDPDF=Y")</f>
        <v>#NAME?</v>
      </c>
      <c r="AO211" s="1" t="e">
        <f ca="1">_xll.BDH($C$203,"GEO_GROW_OPER_INC","FQ3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11" s="1" t="e">
        <f ca="1">_xll.BDH($C$203,"NET_INCOME_TO_COMMON_5_YR_GROWTH","FQ3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11" s="1" t="e">
        <f ca="1">_xll.BDH($C$203,"5Y_GEO_GROWTH_DILUTED_EPS","FQ3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11" s="1" t="e">
        <f ca="1">_xll.BDH($C$203,"GEO_GROW_DVD_PER_SH","FQ3 2015","FQ3 2015","Currency=INR","Period=FQ","BEST_FPERIOD_OVERRIDE=FQ","FILING_STATUS=OR","EQY_CONSOLIDATED=Y","Sort=A","Dates=H","DateFormat=P","Fill=—","Direction=H","UseDPDF=Y")</f>
        <v>#NAME?</v>
      </c>
      <c r="AS211" s="1" t="e">
        <f ca="1">_xll.BDH($C$203,"ACCOUNTS_RECEIVABLE_5_YR_GROWTH","FQ3 2015","FQ3 2015","Currency=INR","Period=FQ","BEST_FPERIOD_OVERRIDE=FQ","FILING_STATUS=OR","EQY_CONSOLIDATED=Y","Sort=A","Dates=H","DateFormat=P","Fill=—","Direction=H","UseDPDF=Y")</f>
        <v>#NAME?</v>
      </c>
      <c r="AT211" s="1" t="e">
        <f ca="1">_xll.BDH($C$203,"INVENTORY_5_YEAR_GROWTH","FQ3 2015","FQ3 2015","Currency=INR","Period=FQ","BEST_FPERIOD_OVERRIDE=FQ","FILING_STATUS=OR","EQY_CONSOLIDATED=Y","Sort=A","Dates=H","DateFormat=P","Fill=—","Direction=H","UseDPDF=Y")</f>
        <v>#NAME?</v>
      </c>
      <c r="AU211" s="1" t="e">
        <f ca="1">_xll.BDH($C$203,"NET_FIXED_ASSETS_5_YEAR_GROWTH","FQ3 2015","FQ3 2015","Currency=INR","Period=FQ","BEST_FPERIOD_OVERRIDE=FQ","FILING_STATUS=OR","EQY_CONSOLIDATED=Y","Sort=A","Dates=H","DateFormat=P","Fill=—","Direction=H","UseDPDF=Y")</f>
        <v>#NAME?</v>
      </c>
      <c r="AV211" s="1" t="e">
        <f ca="1">_xll.BDH($C$203,"GEO_GROW_TOT_ASSET","FQ3 2015","FQ3 2015","Currency=INR","Period=FQ","BEST_FPERIOD_OVERRIDE=FQ","FILING_STATUS=OR","EQY_CONSOLIDATED=Y","Sort=A","Dates=H","DateFormat=P","Fill=—","Direction=H","UseDPDF=Y")</f>
        <v>#NAME?</v>
      </c>
      <c r="AW211" s="1" t="e">
        <f ca="1">_xll.BDH($C$203,"MODIFIED_WORKING_CPTL_5YR_GRWTH","FQ3 2015","FQ3 2015","Currency=INR","Period=FQ","BEST_FPERIOD_OVERRIDE=FQ","FILING_STATUS=OR","EQY_CONSOLIDATED=Y","Sort=A","Dates=H","DateFormat=P","Fill=—","Direction=H","UseDPDF=Y")</f>
        <v>#NAME?</v>
      </c>
      <c r="AX211" s="1" t="e">
        <f ca="1">_xll.BDH($C$203,"WORKING_CAPITAL_5_YEAR_GROWTH","FQ3 2015","FQ3 2015","Currency=INR","Period=FQ","BEST_FPERIOD_OVERRIDE=FQ","FILING_STATUS=OR","EQY_CONSOLIDATED=Y","Sort=A","Dates=H","DateFormat=P","Fill=—","Direction=H","UseDPDF=Y")</f>
        <v>#NAME?</v>
      </c>
      <c r="AY211" s="1" t="e">
        <f ca="1">_xll.BDH($C$203,"ACCOUNTS_PAYABLE_5_YEAR_GROWTH","FQ3 2015","FQ3 2015","Currency=INR","Period=FQ","BEST_FPERIOD_OVERRIDE=FQ","FILING_STATUS=OR","EQY_CONSOLIDATED=Y","Sort=A","Dates=H","DateFormat=P","Fill=—","Direction=H","UseDPDF=Y")</f>
        <v>#NAME?</v>
      </c>
      <c r="AZ211" s="1" t="e">
        <f ca="1">_xll.BDH($C$203,"SHORT_TERM_DEBT_5_YEAR_GROWTH","FQ3 2015","FQ3 2015","Currency=INR","Period=FQ","BEST_FPERIOD_OVERRIDE=FQ","FILING_STATUS=OR","EQY_CONSOLIDATED=Y","Sort=A","Dates=H","DateFormat=P","Fill=—","Direction=H","UseDPDF=Y")</f>
        <v>#NAME?</v>
      </c>
      <c r="BA211" s="1" t="e">
        <f ca="1">_xll.BDH($C$203,"TOTAL_DEBT_5_YEAR_GROWTH","FQ3 2015","FQ3 2015","Currency=INR","Period=FQ","BEST_FPERIOD_OVERRIDE=FQ","FILING_STATUS=OR","EQY_CONSOLIDATED=Y","Sort=A","Dates=H","DateFormat=P","Fill=—","Direction=H","UseDPDF=Y")</f>
        <v>#NAME?</v>
      </c>
      <c r="BB211" s="1" t="e">
        <f ca="1">_xll.BDH($C$203,"GEO_GROW_TOT_SHRHLDR_EQY","FQ3 2015","FQ3 2015","Currency=INR","Period=FQ","BEST_FPERIOD_OVERRIDE=FQ","FILING_STATUS=OR","EQY_CONSOLIDATED=Y","Sort=A","Dates=H","DateFormat=P","Fill=—","Direction=H","UseDPDF=Y")</f>
        <v>#NAME?</v>
      </c>
      <c r="BC211" s="1" t="e">
        <f ca="1">_xll.BDH($C$203,"TOTAL_CAPITAL_5_YEAR_GROWTH","FQ3 2015","FQ3 2015","Currency=INR","Period=FQ","BEST_FPERIOD_OVERRIDE=FQ","FILING_STATUS=OR","EQY_CONSOLIDATED=Y","Sort=A","Dates=H","DateFormat=P","Fill=—","Direction=H","UseDPDF=Y")</f>
        <v>#NAME?</v>
      </c>
      <c r="BD211" s="1" t="e">
        <f ca="1">_xll.BDH($C$203,"GEO_GROW_BOOK_VAL","FQ3 2015","FQ3 2015","Currency=INR","Period=FQ","BEST_FPERIOD_OVERRIDE=FQ","FILING_STATUS=OR","EQY_CONSOLIDATED=Y","Sort=A","Dates=H","DateFormat=P","Fill=—","Direction=H","UseDPDF=Y")</f>
        <v>#NAME?</v>
      </c>
      <c r="BE211" s="1" t="e">
        <f ca="1">_xll.BDH($C$203,"GEO_GROW_CASH_OPER_ACT","FQ3 2015","FQ3 2015","Currency=INR","Period=FQ","BEST_FPERIOD_OVERRIDE=FQ","FILING_STATUS=OR","EQY_CONSOLIDATED=Y","Sort=A","Dates=H","DateFormat=P","Fill=—","Direction=H","UseDPDF=Y")</f>
        <v>#NAME?</v>
      </c>
      <c r="BF211" s="1" t="e">
        <f ca="1">_xll.BDH($C$203,"REVENUE_SEQUENTIAL_GROWTH","FQ3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11" s="1" t="e">
        <f ca="1">_xll.BDH($C$203,"EBITDA_SEQUENTIAL_GROWTH","FQ3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11" s="1" t="e">
        <f ca="1">_xll.BDH($C$203,"OPERATING_INCOME_SEQ_GROWTH","FQ3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11" s="1" t="e">
        <f ca="1">_xll.BDH($C$203,"NET_INCOME_TO_COMMON_SEQ_GROWTH","FQ3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11" s="1" t="e">
        <f ca="1">_xll.BDH($C$203,"EPS_DILUTED_SEQUENTIAL_GROWTH","FQ3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11" s="1" t="e">
        <f ca="1">_xll.BDH($C$203,"DPS_SEQUENTIAL_GROWTH","FQ3 2015","FQ3 2015","Currency=INR","Period=FQ","BEST_FPERIOD_OVERRIDE=FQ","FILING_STATUS=OR","EQY_CONSOLIDATED=Y","Sort=A","Dates=H","DateFormat=P","Fill=—","Direction=H","UseDPDF=Y")</f>
        <v>#NAME?</v>
      </c>
      <c r="BL211" s="1" t="e">
        <f ca="1">_xll.BDH($C$203,"ACCOUNTS_RECEIVABLE_SEQ_GROWTH","FQ3 2015","FQ3 2015","Currency=INR","Period=FQ","BEST_FPERIOD_OVERRIDE=FQ","FILING_STATUS=OR","EQY_CONSOLIDATED=Y","Sort=A","Dates=H","DateFormat=P","Fill=—","Direction=H","UseDPDF=Y")</f>
        <v>#NAME?</v>
      </c>
      <c r="BM211" s="1" t="e">
        <f ca="1">_xll.BDH($C$203,"INVENTORY_SEQUENTIAL_GROWTH","FQ3 2015","FQ3 2015","Currency=INR","Period=FQ","BEST_FPERIOD_OVERRIDE=FQ","FILING_STATUS=OR","EQY_CONSOLIDATED=Y","Sort=A","Dates=H","DateFormat=P","Fill=—","Direction=H","UseDPDF=Y")</f>
        <v>#NAME?</v>
      </c>
      <c r="BN211" s="1" t="e">
        <f ca="1">_xll.BDH($C$203,"FIXED_ASSETS_SEQUENTIAL_GROWTH","FQ3 2015","FQ3 2015","Currency=INR","Period=FQ","BEST_FPERIOD_OVERRIDE=FQ","FILING_STATUS=OR","EQY_CONSOLIDATED=Y","Sort=A","Dates=H","DateFormat=P","Fill=—","Direction=H","UseDPDF=Y")</f>
        <v>#NAME?</v>
      </c>
      <c r="BO211" s="1" t="e">
        <f ca="1">_xll.BDH($C$203,"TOTAL_ASSETS_SEQUENTIAL_GROWTH","FQ3 2015","FQ3 2015","Currency=INR","Period=FQ","BEST_FPERIOD_OVERRIDE=FQ","FILING_STATUS=OR","EQY_CONSOLIDATED=Y","Sort=A","Dates=H","DateFormat=P","Fill=—","Direction=H","UseDPDF=Y")</f>
        <v>#NAME?</v>
      </c>
      <c r="BP211" s="1" t="e">
        <f ca="1">_xll.BDH($C$203,"MODIFIED_WORKING_CPTL_SEQ_GRWTH","FQ3 2015","FQ3 2015","Currency=INR","Period=FQ","BEST_FPERIOD_OVERRIDE=FQ","FILING_STATUS=OR","EQY_CONSOLIDATED=Y","Sort=A","Dates=H","DateFormat=P","Fill=—","Direction=H","UseDPDF=Y")</f>
        <v>#NAME?</v>
      </c>
      <c r="BQ211" s="1" t="e">
        <f ca="1">_xll.BDH($C$203,"WORKING_CAPITAL_SEQ_GROWTH","FQ3 2015","FQ3 2015","Currency=INR","Period=FQ","BEST_FPERIOD_OVERRIDE=FQ","FILING_STATUS=OR","EQY_CONSOLIDATED=Y","Sort=A","Dates=H","DateFormat=P","Fill=—","Direction=H","UseDPDF=Y")</f>
        <v>#NAME?</v>
      </c>
      <c r="BR211" s="1" t="e">
        <f ca="1">_xll.BDH($C$203,"ACCOUNTS_PAYABLE_SEQ_GROWTH","FQ3 2015","FQ3 2015","Currency=INR","Period=FQ","BEST_FPERIOD_OVERRIDE=FQ","FILING_STATUS=OR","EQY_CONSOLIDATED=Y","Sort=A","Dates=H","DateFormat=P","Fill=—","Direction=H","UseDPDF=Y")</f>
        <v>#NAME?</v>
      </c>
      <c r="BS211" s="1" t="e">
        <f ca="1">_xll.BDH($C$203,"ST_DEBT_SEQUENTIAL_GROWTH","FQ3 2015","FQ3 2015","Currency=INR","Period=FQ","BEST_FPERIOD_OVERRIDE=FQ","FILING_STATUS=OR","EQY_CONSOLIDATED=Y","Sort=A","Dates=H","DateFormat=P","Fill=—","Direction=H","UseDPDF=Y")</f>
        <v>#NAME?</v>
      </c>
      <c r="BT211" s="1" t="e">
        <f ca="1">_xll.BDH($C$203,"TOTAL_DEBT_SEQUENTIAL_GROWTH","FQ3 2015","FQ3 2015","Currency=INR","Period=FQ","BEST_FPERIOD_OVERRIDE=FQ","FILING_STATUS=OR","EQY_CONSOLIDATED=Y","Sort=A","Dates=H","DateFormat=P","Fill=—","Direction=H","UseDPDF=Y")</f>
        <v>#NAME?</v>
      </c>
      <c r="BU211" s="1" t="e">
        <f ca="1">_xll.BDH($C$203,"TOTAL_EQUITY_SEQUENTIAL_GROWTH","FQ3 2015","FQ3 2015","Currency=INR","Period=FQ","BEST_FPERIOD_OVERRIDE=FQ","FILING_STATUS=OR","EQY_CONSOLIDATED=Y","Sort=A","Dates=H","DateFormat=P","Fill=—","Direction=H","UseDPDF=Y")</f>
        <v>#NAME?</v>
      </c>
      <c r="BV211" s="1" t="e">
        <f ca="1">_xll.BDH($C$203,"TOTAL_CAPITAL_SEQUENTIAL_GROWTH","FQ3 2015","FQ3 2015","Currency=INR","Period=FQ","BEST_FPERIOD_OVERRIDE=FQ","FILING_STATUS=OR","EQY_CONSOLIDATED=Y","Sort=A","Dates=H","DateFormat=P","Fill=—","Direction=H","UseDPDF=Y")</f>
        <v>#NAME?</v>
      </c>
      <c r="BW211" s="1" t="e">
        <f ca="1">_xll.BDH($C$203,"BPS_SEQUENTIAL_GROWTH","FQ3 2015","FQ3 2015","Currency=INR","Period=FQ","BEST_FPERIOD_OVERRIDE=FQ","FILING_STATUS=OR","EQY_CONSOLIDATED=Y","Sort=A","Dates=H","DateFormat=P","Fill=—","Direction=H","UseDPDF=Y")</f>
        <v>#NAME?</v>
      </c>
      <c r="BX211" s="1" t="e">
        <f ca="1">_xll.BDH($C$203,"CFO_SEQUENTIAL_GROWTH","FQ3 2015","FQ3 2015","Currency=INR","Period=FQ","BEST_FPERIOD_OVERRIDE=FQ","FILING_STATUS=OR","EQY_CONSOLIDATED=Y","Sort=A","Dates=H","DateFormat=P","Fill=—","Direction=H","UseDPDF=Y")</f>
        <v>#NAME?</v>
      </c>
      <c r="BY211" s="2" t="e">
        <f ca="1">_xll.BDH($C$203,"SHORT_AND_LONG_TERM_DEBT","FQ3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11" s="2" t="e">
        <f ca="1">_xll.BDH($C$203,"BS_ST_BORROW","FQ3 2015","FQ3 2015","Currency=INR","Period=FQ","BEST_FPERIOD_OVERRIDE=FQ","FILING_STATUS=OR","EQY_CONSOLIDATED=Y","SCALING_FORMAT=MLN","Sort=A","Dates=H","DateFormat=P","Fill=—","Direction=H","UseDPDF=Y")</f>
        <v>#NAME?</v>
      </c>
      <c r="CA211" s="2" t="e">
        <f ca="1">_xll.BDH($C$203,"BS_LT_BORROW","FQ3 2015","FQ3 2015","Currency=INR","Period=FQ","BEST_FPERIOD_OVERRIDE=FQ","FILING_STATUS=OR","EQY_CONSOLIDATED=Y","SCALING_FORMAT=MLN","Sort=A","Dates=H","DateFormat=P","Fill=—","Direction=H","UseDPDF=Y")</f>
        <v>#NAME?</v>
      </c>
      <c r="CB211" s="1" t="e">
        <f ca="1">_xll.BDH($C$203,"TOT_DEBT_TO_EBITDA","FQ3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11" s="1" t="e">
        <f ca="1">_xll.BDH($C$203,"NET_DEBT_TO_EBITDA","FQ3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11" s="1" t="e">
        <f ca="1">_xll.BDH($C$203,"TOTAL_DEBT_TO_EBIT","FQ3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11" s="1" t="e">
        <f ca="1">_xll.BDH($C$203,"NET_DEBT_TO_EBIT","FQ3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211" s="1" t="e">
        <f ca="1">_xll.BDH($C$203,"EBITDA_TO_INTEREST_EXPN","FQ3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11" s="1" t="e">
        <f ca="1">_xll.BDH($C$203,"COM_EQY_TO_TOT_ASSET","FQ3 2015","FQ3 2015","Currency=INR","Period=FQ","BEST_FPERIOD_OVERRIDE=FQ","FILING_STATUS=OR","EQY_CONSOLIDATED=Y","Sort=A","Dates=H","DateFormat=P","Fill=—","Direction=H","UseDPDF=Y")</f>
        <v>#NAME?</v>
      </c>
      <c r="CH211" s="1" t="e">
        <f ca="1">_xll.BDH($C$203,"LT_DEBT_TO_TOT_EQY","FQ3 2015","FQ3 2015","Currency=INR","Period=FQ","BEST_FPERIOD_OVERRIDE=FQ","FILING_STATUS=OR","EQY_CONSOLIDATED=Y","Sort=A","Dates=H","DateFormat=P","Fill=—","Direction=H","UseDPDF=Y")</f>
        <v>#NAME?</v>
      </c>
      <c r="CI211" s="1" t="e">
        <f ca="1">_xll.BDH($C$203,"LT_DEBT_TO_TOT_CAP","FQ3 2015","FQ3 2015","Currency=INR","Period=FQ","BEST_FPERIOD_OVERRIDE=FQ","FILING_STATUS=OR","EQY_CONSOLIDATED=Y","Sort=A","Dates=H","DateFormat=P","Fill=—","Direction=H","UseDPDF=Y")</f>
        <v>#NAME?</v>
      </c>
      <c r="CJ211" s="1" t="e">
        <f ca="1">_xll.BDH($C$203,"LT_DEBT_TO_TOT_ASSET","FQ3 2015","FQ3 2015","Currency=INR","Period=FQ","BEST_FPERIOD_OVERRIDE=FQ","FILING_STATUS=OR","EQY_CONSOLIDATED=Y","Sort=A","Dates=H","DateFormat=P","Fill=—","Direction=H","UseDPDF=Y")</f>
        <v>#NAME?</v>
      </c>
      <c r="CK211" s="1" t="e">
        <f ca="1">_xll.BDH($C$203,"TOT_DEBT_TO_TOT_EQY","FQ3 2015","FQ3 2015","Currency=INR","Period=FQ","BEST_FPERIOD_OVERRIDE=FQ","FILING_STATUS=OR","EQY_CONSOLIDATED=Y","Sort=A","Dates=H","DateFormat=P","Fill=—","Direction=H","UseDPDF=Y")</f>
        <v>#NAME?</v>
      </c>
      <c r="CL211" s="1" t="e">
        <f ca="1">_xll.BDH($C$203,"TOT_DEBT_TO_TOT_CAP","FQ3 2015","FQ3 2015","Currency=INR","Period=FQ","BEST_FPERIOD_OVERRIDE=FQ","FILING_STATUS=OR","EQY_CONSOLIDATED=Y","Sort=A","Dates=H","DateFormat=P","Fill=—","Direction=H","UseDPDF=Y")</f>
        <v>#NAME?</v>
      </c>
      <c r="CM211" s="1" t="e">
        <f ca="1">_xll.BDH($C$203,"TOT_DEBT_TO_TOT_ASSET","FQ3 2015","FQ3 2015","Currency=INR","Period=FQ","BEST_FPERIOD_OVERRIDE=FQ","FILING_STATUS=OR","EQY_CONSOLIDATED=Y","Sort=A","Dates=H","DateFormat=P","Fill=—","Direction=H","UseDPDF=Y")</f>
        <v>#NAME?</v>
      </c>
      <c r="CN211" s="1" t="e">
        <f ca="1">_xll.BDH($C$203,"NET_DEBT_TO_SHRHLDR_EQTY","FQ3 2015","FQ3 2015","Currency=INR","Period=FQ","BEST_FPERIOD_OVERRIDE=FQ","FILING_STATUS=OR","EQY_CONSOLIDATED=Y","Sort=A","Dates=H","DateFormat=P","Fill=—","Direction=H","UseDPDF=Y")</f>
        <v>#NAME?</v>
      </c>
      <c r="CO211" s="1" t="e">
        <f ca="1">_xll.BDH($C$203,"NET_DEBT_%_CAPITAL","FQ3 2015","FQ3 2015","Currency=INR","Period=FQ","BEST_FPERIOD_OVERRIDE=FQ","FILING_STATUS=OR","EQY_CONSOLIDATED=Y","Sort=A","Dates=H","DateFormat=P","Fill=—","Direction=H","UseDPDF=Y")</f>
        <v>#NAME?</v>
      </c>
      <c r="CP211" s="2" t="e">
        <f ca="1">_xll.BDH($C$203,"EBITDA","FQ3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11" s="2" t="e">
        <f ca="1">_xll.BDH($C$203,"EBITDA_AFTER_CAPEX","FQ3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11" s="2" t="e">
        <f ca="1">_xll.BDH($C$203,"IS_OPER_INC","FQ3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11" s="1" t="e">
        <f ca="1">_xll.BDH($C$203,"CASH_RATIO","FQ3 2015","FQ3 2015","Currency=INR","Period=FQ","BEST_FPERIOD_OVERRIDE=FQ","FILING_STATUS=OR","EQY_CONSOLIDATED=Y","Sort=A","Dates=H","DateFormat=P","Fill=—","Direction=H","UseDPDF=Y")</f>
        <v>#NAME?</v>
      </c>
      <c r="CT211" s="1" t="e">
        <f ca="1">_xll.BDH($C$203,"CUR_RATIO","FQ3 2015","FQ3 2015","Currency=INR","Period=FQ","BEST_FPERIOD_OVERRIDE=FQ","FILING_STATUS=OR","EQY_CONSOLIDATED=Y","Sort=A","Dates=H","DateFormat=P","Fill=—","Direction=H","UseDPDF=Y")</f>
        <v>#NAME?</v>
      </c>
      <c r="CU211" s="1" t="e">
        <f ca="1">_xll.BDH($C$203,"QUICK_RATIO","FQ3 2015","FQ3 2015","Currency=INR","Period=FQ","BEST_FPERIOD_OVERRIDE=FQ","FILING_STATUS=OR","EQY_CONSOLIDATED=Y","Sort=A","Dates=H","DateFormat=P","Fill=—","Direction=H","UseDPDF=Y")</f>
        <v>#NAME?</v>
      </c>
      <c r="CV211" s="1" t="e">
        <f ca="1">_xll.BDH($C$203,"ALTMAN_Z_SCORE","FQ3 2015","FQ3 2015","Currency=INR","Period=FQ","BEST_FPERIOD_OVERRIDE=FQ","FILING_STATUS=OR","EQY_CONSOLIDATED=Y","Sort=A","Dates=H","DateFormat=P","Fill=—","Direction=H","UseDPDF=Y")</f>
        <v>#NAME?</v>
      </c>
      <c r="CW211" s="3" t="e">
        <f ca="1">_xll.BDH($C$203,"ACCT_RCV_TURN","FQ3 2015","FQ3 2015","Currency=INR","Period=FQ","BEST_FPERIOD_OVERRIDE=FQ","FILING_STATUS=OR","EQY_CONSOLIDATED=Y","FA_ADJUSTED=GAAP","Sort=A","Dates=H","DateFormat=P","Fill=—","Direction=H","UseDPDF=Y")</f>
        <v>#NAME?</v>
      </c>
      <c r="CX211" s="1" t="e">
        <f ca="1">_xll.BDH($C$203,"ACCT_RCV_DAYS","FQ3 2015","FQ3 2015","Currency=INR","Period=FQ","BEST_FPERIOD_OVERRIDE=FQ","FILING_STATUS=OR","EQY_CONSOLIDATED=Y","FA_ADJUSTED=GAAP","Sort=A","Dates=H","DateFormat=P","Fill=—","Direction=H","UseDPDF=Y")</f>
        <v>#NAME?</v>
      </c>
      <c r="CY211" s="3" t="e">
        <f ca="1">_xll.BDH($C$203,"INVENT_TURN","FQ3 2015","FQ3 2015","Currency=INR","Period=FQ","BEST_FPERIOD_OVERRIDE=FQ","FILING_STATUS=OR","EQY_CONSOLIDATED=Y","FA_ADJUSTED=GAAP","Sort=A","Dates=H","DateFormat=P","Fill=—","Direction=H","UseDPDF=Y")</f>
        <v>#NAME?</v>
      </c>
      <c r="CZ211" s="1" t="e">
        <f ca="1">_xll.BDH($C$203,"INVENT_DAYS","FQ3 2015","FQ3 2015","Currency=INR","Period=FQ","BEST_FPERIOD_OVERRIDE=FQ","FILING_STATUS=OR","EQY_CONSOLIDATED=Y","FA_ADJUSTED=GAAP","Sort=A","Dates=H","DateFormat=P","Fill=—","Direction=H","UseDPDF=Y")</f>
        <v>#NAME?</v>
      </c>
      <c r="DA211" s="3" t="e">
        <f ca="1">_xll.BDH($C$203,"ACCOUNTS_PAYABLE_TURNOVER","FQ3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11" s="1" t="e">
        <f ca="1">_xll.BDH($C$203,"ACCOUNTS_PAYABLE_TURNOVER_DAYS","FQ3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11" s="3" t="e">
        <f ca="1">_xll.BDH($C$203,"CASH_CONVERSION_CYCLE","FQ3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11" s="3" t="e">
        <f ca="1">_xll.BDH($C$203,"INV_TO_CASH_DAYS","FQ3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211" s="4" t="e">
        <f ca="1">_xll.BDH($C$203,"BS_INVENTORIES","FQ3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211" s="2" t="e">
        <f ca="1">_xll.BDH($C$203,"INVTRY_RAW_MATERIALS","FQ3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11" s="2" t="e">
        <f ca="1">_xll.BDH($C$203,"INVTRY_IN_PROGRESS","FQ3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11" s="2" t="e">
        <f ca="1">_xll.BDH($C$203,"INVTRY_FINISHED_GOODS","FQ3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11" s="2" t="e">
        <f ca="1">_xll.BDH($C$203,"BS_OTHER_INV","FQ3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12" spans="1:113" x14ac:dyDescent="0.3">
      <c r="A212" s="6"/>
      <c r="B212" s="6"/>
      <c r="C212" s="6"/>
      <c r="D212" s="6"/>
      <c r="E212" t="s">
        <v>7</v>
      </c>
      <c r="F212" t="e">
        <f ca="1">_xll.BDH($C$203,"RETURN_COM_EQY","FQ4 2015","FQ4 2015","Currency=INR","Period=FQ","BEST_FPERIOD_OVERRIDE=FQ","FILING_STATUS=OR","EQY_CONSOLIDATED=Y","FA_ADJUSTED=GAAP","Sort=A","Dates=H","DateFormat=P","Fill=—","Direction=H","UseDPDF=Y")</f>
        <v>#NAME?</v>
      </c>
      <c r="G212" t="e">
        <f ca="1">_xll.BDH($C$203,"RETURN_ON_ASSET","FQ4 2015","FQ4 2015","Currency=INR","Period=FQ","BEST_FPERIOD_OVERRIDE=FQ","FILING_STATUS=OR","EQY_CONSOLIDATED=Y","FA_ADJUSTED=GAAP","Sort=A","Dates=H","DateFormat=P","Fill=—","Direction=H","UseDPDF=Y")</f>
        <v>#NAME?</v>
      </c>
      <c r="H212" t="e">
        <f ca="1">_xll.BDH($C$203,"RETURN_ON_CAP","FQ4 2015","FQ4 2015","Currency=INR","Period=FQ","BEST_FPERIOD_OVERRIDE=FQ","FILING_STATUS=OR","EQY_CONSOLIDATED=Y","FA_ADJUSTED=GAAP","Sort=A","Dates=H","DateFormat=P","Fill=—","Direction=H","UseDPDF=Y")</f>
        <v>#NAME?</v>
      </c>
      <c r="I212" t="e">
        <f ca="1">_xll.BDH($C$203,"RETURN_ON_INV_CAPITAL","FQ4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12" t="e">
        <f ca="1">_xll.BDH($C$203,"EBITDA_TO_REVENUE","FQ4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212" t="e">
        <f ca="1">_xll.BDH($C$203,"OPER_MARGIN","FQ4 2015","FQ4 2015","Currency=INR","Period=FQ","BEST_FPERIOD_OVERRIDE=FQ","FILING_STATUS=OR","EQY_CONSOLIDATED=Y","FA_ADJUSTED=GAAP","Sort=A","Dates=H","DateFormat=P","Fill=—","Direction=H","UseDPDF=Y")</f>
        <v>#NAME?</v>
      </c>
      <c r="L212" t="e">
        <f ca="1">_xll.BDH($C$203,"INCREMENTAL_OPERATING_MARGIN","FQ4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12" t="e">
        <f ca="1">_xll.BDH($C$203,"PRETAX_INC_TO_NET_SALES","FQ4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12" t="e">
        <f ca="1">_xll.BDH($C$203,"INC_BEF_XO_ITEMS_TO_NET_SALES","FQ4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12" t="e">
        <f ca="1">_xll.BDH($C$203,"PROF_MARGIN","FQ4 2015","FQ4 2015","Currency=INR","Period=FQ","BEST_FPERIOD_OVERRIDE=FQ","FILING_STATUS=OR","EQY_CONSOLIDATED=Y","FA_ADJUSTED=GAAP","Sort=A","Dates=H","DateFormat=P","Fill=—","Direction=H","UseDPDF=Y")</f>
        <v>#NAME?</v>
      </c>
      <c r="P212" t="e">
        <f ca="1">_xll.BDH($C$203,"NET_INCOME_TO_COMMON_MARGIN","FQ4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12" t="e">
        <f ca="1">_xll.BDH($C$203,"EFF_TAX_RATE","FQ4 2015","FQ4 2015","Currency=INR","Period=FQ","BEST_FPERIOD_OVERRIDE=FQ","FILING_STATUS=OR","EQY_CONSOLIDATED=Y","FA_ADJUSTED=GAAP","Sort=A","Dates=H","DateFormat=P","Fill=—","Direction=H","UseDPDF=Y")</f>
        <v>#NAME?</v>
      </c>
      <c r="R212" t="e">
        <f ca="1">_xll.BDH($C$203,"DVD_PAYOUT_RATIO","FQ4 2015","FQ4 2015","Currency=INR","Period=FQ","BEST_FPERIOD_OVERRIDE=FQ","FILING_STATUS=OR","EQY_CONSOLIDATED=Y","FA_ADJUSTED=GAAP","Sort=A","Dates=H","DateFormat=P","Fill=—","Direction=H","UseDPDF=Y")</f>
        <v>#NAME?</v>
      </c>
      <c r="S212" t="e">
        <f ca="1">_xll.BDH($C$203,"SUSTAIN_GROWTH_RT","FQ4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212" s="1" t="e">
        <f ca="1">_xll.BDH($C$203,"SALES_GROWTH","FQ4 2015","FQ4 2015","Currency=INR","Period=FQ","BEST_FPERIOD_OVERRIDE=FQ","FILING_STATUS=OR","EQY_CONSOLIDATED=Y","FA_ADJUSTED=GAAP","Sort=A","Dates=H","DateFormat=P","Fill=—","Direction=H","UseDPDF=Y")</f>
        <v>#NAME?</v>
      </c>
      <c r="U212" s="1" t="e">
        <f ca="1">_xll.BDH($C$203,"EBITDA_GROWTH","FQ4 2015","FQ4 2015","Currency=INR","Period=FQ","BEST_FPERIOD_OVERRIDE=FQ","FILING_STATUS=OR","EQY_CONSOLIDATED=Y","FA_ADJUSTED=GAAP","Sort=A","Dates=H","DateFormat=P","Fill=—","Direction=H","UseDPDF=Y")</f>
        <v>#NAME?</v>
      </c>
      <c r="V212" s="1" t="e">
        <f ca="1">_xll.BDH($C$203,"OPER_INC_GROWTH","FQ4 2015","FQ4 2015","Currency=INR","Period=FQ","BEST_FPERIOD_OVERRIDE=FQ","FILING_STATUS=OR","EQY_CONSOLIDATED=Y","FA_ADJUSTED=GAAP","Sort=A","Dates=H","DateFormat=P","Fill=—","Direction=H","UseDPDF=Y")</f>
        <v>#NAME?</v>
      </c>
      <c r="W212" s="1" t="e">
        <f ca="1">_xll.BDH($C$203,"EARN_FOR_COM_GROWTH","FQ4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12" s="1" t="e">
        <f ca="1">_xll.BDH($C$203,"DILUTED_EPS_AFT_XO_ITEMS_GROWTH","FQ4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12" s="1" t="e">
        <f ca="1">_xll.BDH($C$203,"DIVIDEND_PER_SHARE_1_YEAR_GROWTH","FQ4 2015","FQ4 2015","Currency=INR","Period=FQ","BEST_FPERIOD_OVERRIDE=FQ","FILING_STATUS=OR","EQY_CONSOLIDATED=Y","Sort=A","Dates=H","DateFormat=P","Fill=—","Direction=H","UseDPDF=Y")</f>
        <v>#NAME?</v>
      </c>
      <c r="Z212" s="1" t="e">
        <f ca="1">_xll.BDH($C$203,"ACCOUNTS_RECEIVABLE_GROWTH","FQ4 2015","FQ4 2015","Currency=INR","Period=FQ","BEST_FPERIOD_OVERRIDE=FQ","FILING_STATUS=OR","EQY_CONSOLIDATED=Y","Sort=A","Dates=H","DateFormat=P","Fill=—","Direction=H","UseDPDF=Y")</f>
        <v>#NAME?</v>
      </c>
      <c r="AA212" s="1" t="e">
        <f ca="1">_xll.BDH($C$203,"INVENTORY_GROWTH","FQ4 2015","FQ4 2015","Currency=INR","Period=FQ","BEST_FPERIOD_OVERRIDE=FQ","FILING_STATUS=OR","EQY_CONSOLIDATED=Y","Sort=A","Dates=H","DateFormat=P","Fill=—","Direction=H","UseDPDF=Y")</f>
        <v>#NAME?</v>
      </c>
      <c r="AB212" s="1" t="e">
        <f ca="1">_xll.BDH($C$203,"NET_FIXED_ASSETS_1_YEAR_GROWTH","FQ4 2015","FQ4 2015","Currency=INR","Period=FQ","BEST_FPERIOD_OVERRIDE=FQ","FILING_STATUS=OR","EQY_CONSOLIDATED=Y","Sort=A","Dates=H","DateFormat=P","Fill=—","Direction=H","UseDPDF=Y")</f>
        <v>#NAME?</v>
      </c>
      <c r="AC212" s="1" t="e">
        <f ca="1">_xll.BDH($C$203,"ASSET_GROWTH","FQ4 2015","FQ4 2015","Currency=INR","Period=FQ","BEST_FPERIOD_OVERRIDE=FQ","FILING_STATUS=OR","EQY_CONSOLIDATED=Y","Sort=A","Dates=H","DateFormat=P","Fill=—","Direction=H","UseDPDF=Y")</f>
        <v>#NAME?</v>
      </c>
      <c r="AD212" s="1" t="e">
        <f ca="1">_xll.BDH($C$203,"MODIFIED_WORK_CAP_GROWTH","FQ4 2015","FQ4 2015","Currency=INR","Period=FQ","BEST_FPERIOD_OVERRIDE=FQ","FILING_STATUS=OR","EQY_CONSOLIDATED=Y","Sort=A","Dates=H","DateFormat=P","Fill=—","Direction=H","UseDPDF=Y")</f>
        <v>#NAME?</v>
      </c>
      <c r="AE212" s="1" t="e">
        <f ca="1">_xll.BDH($C$203,"WORK_CAP_GROWTH","FQ4 2015","FQ4 2015","Currency=INR","Period=FQ","BEST_FPERIOD_OVERRIDE=FQ","FILING_STATUS=OR","EQY_CONSOLIDATED=Y","Sort=A","Dates=H","DateFormat=P","Fill=—","Direction=H","UseDPDF=Y")</f>
        <v>#NAME?</v>
      </c>
      <c r="AF212" s="1" t="e">
        <f ca="1">_xll.BDH($C$203,"ACCOUNTS_PAYABLE_GROWTH_1YR","FQ4 2015","FQ4 2015","Currency=INR","Period=FQ","BEST_FPERIOD_OVERRIDE=FQ","FILING_STATUS=OR","EQY_CONSOLIDATED=Y","Sort=A","Dates=H","DateFormat=P","Fill=—","Direction=H","UseDPDF=Y")</f>
        <v>#NAME?</v>
      </c>
      <c r="AG212" s="1" t="e">
        <f ca="1">_xll.BDH($C$203,"SHORT_TERM_DEBT_1_YEAR_GROWTH","FQ4 2015","FQ4 2015","Currency=INR","Period=FQ","BEST_FPERIOD_OVERRIDE=FQ","FILING_STATUS=OR","EQY_CONSOLIDATED=Y","Sort=A","Dates=H","DateFormat=P","Fill=—","Direction=H","UseDPDF=Y")</f>
        <v>#NAME?</v>
      </c>
      <c r="AH212" s="1" t="e">
        <f ca="1">_xll.BDH($C$203,"TOTAL_DEBT_1_YEAR_GROWTH","FQ4 2015","FQ4 2015","Currency=INR","Period=FQ","BEST_FPERIOD_OVERRIDE=FQ","FILING_STATUS=OR","EQY_CONSOLIDATED=Y","Sort=A","Dates=H","DateFormat=P","Fill=—","Direction=H","UseDPDF=Y")</f>
        <v>#NAME?</v>
      </c>
      <c r="AI212" s="1" t="e">
        <f ca="1">_xll.BDH($C$203,"TOTAL_EQUITY_1_YEAR_GROWTH","FQ4 2015","FQ4 2015","Currency=INR","Period=FQ","BEST_FPERIOD_OVERRIDE=FQ","FILING_STATUS=OR","EQY_CONSOLIDATED=Y","Sort=A","Dates=H","DateFormat=P","Fill=—","Direction=H","UseDPDF=Y")</f>
        <v>#NAME?</v>
      </c>
      <c r="AJ212" s="1" t="e">
        <f ca="1">_xll.BDH($C$203,"GROWTH_IN_CAP","FQ4 2015","FQ4 2015","Currency=INR","Period=FQ","BEST_FPERIOD_OVERRIDE=FQ","FILING_STATUS=OR","EQY_CONSOLIDATED=Y","Sort=A","Dates=H","DateFormat=P","Fill=—","Direction=H","UseDPDF=Y")</f>
        <v>#NAME?</v>
      </c>
      <c r="AK212" s="1" t="e">
        <f ca="1">_xll.BDH($C$203,"BVPS_GROWTH","FQ4 2015","FQ4 2015","Currency=INR","Period=FQ","BEST_FPERIOD_OVERRIDE=FQ","FILING_STATUS=OR","EQY_CONSOLIDATED=Y","Sort=A","Dates=H","DateFormat=P","Fill=—","Direction=H","UseDPDF=Y")</f>
        <v>#NAME?</v>
      </c>
      <c r="AL212" s="1" t="e">
        <f ca="1">_xll.BDH($C$203,"CASH_FLOW_GROWTH","FQ4 2015","FQ4 2015","Currency=INR","Period=FQ","BEST_FPERIOD_OVERRIDE=FQ","FILING_STATUS=OR","EQY_CONSOLIDATED=Y","Sort=A","Dates=H","DateFormat=P","Fill=—","Direction=H","UseDPDF=Y")</f>
        <v>#NAME?</v>
      </c>
      <c r="AM212" s="1" t="e">
        <f ca="1">_xll.BDH($C$203,"GEO_GROW_NET_SALES","FQ4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12" s="1" t="e">
        <f ca="1">_xll.BDH($C$203,"GEO_GROW_EBITDA","FQ4 2015","FQ4 2015","Currency=INR","Period=FQ","BEST_FPERIOD_OVERRIDE=FQ","FILING_STATUS=OR","EQY_CONSOLIDATED=Y","FA_ADJUSTED=GAAP","Sort=A","Dates=H","DateFormat=P","Fill=—","Direction=H","UseDPDF=Y")</f>
        <v>#NAME?</v>
      </c>
      <c r="AO212" s="1" t="e">
        <f ca="1">_xll.BDH($C$203,"GEO_GROW_OPER_INC","FQ4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12" s="1" t="e">
        <f ca="1">_xll.BDH($C$203,"NET_INCOME_TO_COMMON_5_YR_GROWTH","FQ4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12" s="1" t="e">
        <f ca="1">_xll.BDH($C$203,"5Y_GEO_GROWTH_DILUTED_EPS","FQ4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12" s="1" t="e">
        <f ca="1">_xll.BDH($C$203,"GEO_GROW_DVD_PER_SH","FQ4 2015","FQ4 2015","Currency=INR","Period=FQ","BEST_FPERIOD_OVERRIDE=FQ","FILING_STATUS=OR","EQY_CONSOLIDATED=Y","Sort=A","Dates=H","DateFormat=P","Fill=—","Direction=H","UseDPDF=Y")</f>
        <v>#NAME?</v>
      </c>
      <c r="AS212" s="1" t="e">
        <f ca="1">_xll.BDH($C$203,"ACCOUNTS_RECEIVABLE_5_YR_GROWTH","FQ4 2015","FQ4 2015","Currency=INR","Period=FQ","BEST_FPERIOD_OVERRIDE=FQ","FILING_STATUS=OR","EQY_CONSOLIDATED=Y","Sort=A","Dates=H","DateFormat=P","Fill=—","Direction=H","UseDPDF=Y")</f>
        <v>#NAME?</v>
      </c>
      <c r="AT212" s="1" t="e">
        <f ca="1">_xll.BDH($C$203,"INVENTORY_5_YEAR_GROWTH","FQ4 2015","FQ4 2015","Currency=INR","Period=FQ","BEST_FPERIOD_OVERRIDE=FQ","FILING_STATUS=OR","EQY_CONSOLIDATED=Y","Sort=A","Dates=H","DateFormat=P","Fill=—","Direction=H","UseDPDF=Y")</f>
        <v>#NAME?</v>
      </c>
      <c r="AU212" s="1" t="e">
        <f ca="1">_xll.BDH($C$203,"NET_FIXED_ASSETS_5_YEAR_GROWTH","FQ4 2015","FQ4 2015","Currency=INR","Period=FQ","BEST_FPERIOD_OVERRIDE=FQ","FILING_STATUS=OR","EQY_CONSOLIDATED=Y","Sort=A","Dates=H","DateFormat=P","Fill=—","Direction=H","UseDPDF=Y")</f>
        <v>#NAME?</v>
      </c>
      <c r="AV212" s="1" t="e">
        <f ca="1">_xll.BDH($C$203,"GEO_GROW_TOT_ASSET","FQ4 2015","FQ4 2015","Currency=INR","Period=FQ","BEST_FPERIOD_OVERRIDE=FQ","FILING_STATUS=OR","EQY_CONSOLIDATED=Y","Sort=A","Dates=H","DateFormat=P","Fill=—","Direction=H","UseDPDF=Y")</f>
        <v>#NAME?</v>
      </c>
      <c r="AW212" s="1" t="e">
        <f ca="1">_xll.BDH($C$203,"MODIFIED_WORKING_CPTL_5YR_GRWTH","FQ4 2015","FQ4 2015","Currency=INR","Period=FQ","BEST_FPERIOD_OVERRIDE=FQ","FILING_STATUS=OR","EQY_CONSOLIDATED=Y","Sort=A","Dates=H","DateFormat=P","Fill=—","Direction=H","UseDPDF=Y")</f>
        <v>#NAME?</v>
      </c>
      <c r="AX212" s="1" t="e">
        <f ca="1">_xll.BDH($C$203,"WORKING_CAPITAL_5_YEAR_GROWTH","FQ4 2015","FQ4 2015","Currency=INR","Period=FQ","BEST_FPERIOD_OVERRIDE=FQ","FILING_STATUS=OR","EQY_CONSOLIDATED=Y","Sort=A","Dates=H","DateFormat=P","Fill=—","Direction=H","UseDPDF=Y")</f>
        <v>#NAME?</v>
      </c>
      <c r="AY212" s="1" t="e">
        <f ca="1">_xll.BDH($C$203,"ACCOUNTS_PAYABLE_5_YEAR_GROWTH","FQ4 2015","FQ4 2015","Currency=INR","Period=FQ","BEST_FPERIOD_OVERRIDE=FQ","FILING_STATUS=OR","EQY_CONSOLIDATED=Y","Sort=A","Dates=H","DateFormat=P","Fill=—","Direction=H","UseDPDF=Y")</f>
        <v>#NAME?</v>
      </c>
      <c r="AZ212" s="1" t="e">
        <f ca="1">_xll.BDH($C$203,"SHORT_TERM_DEBT_5_YEAR_GROWTH","FQ4 2015","FQ4 2015","Currency=INR","Period=FQ","BEST_FPERIOD_OVERRIDE=FQ","FILING_STATUS=OR","EQY_CONSOLIDATED=Y","Sort=A","Dates=H","DateFormat=P","Fill=—","Direction=H","UseDPDF=Y")</f>
        <v>#NAME?</v>
      </c>
      <c r="BA212" s="1" t="e">
        <f ca="1">_xll.BDH($C$203,"TOTAL_DEBT_5_YEAR_GROWTH","FQ4 2015","FQ4 2015","Currency=INR","Period=FQ","BEST_FPERIOD_OVERRIDE=FQ","FILING_STATUS=OR","EQY_CONSOLIDATED=Y","Sort=A","Dates=H","DateFormat=P","Fill=—","Direction=H","UseDPDF=Y")</f>
        <v>#NAME?</v>
      </c>
      <c r="BB212" s="1" t="e">
        <f ca="1">_xll.BDH($C$203,"GEO_GROW_TOT_SHRHLDR_EQY","FQ4 2015","FQ4 2015","Currency=INR","Period=FQ","BEST_FPERIOD_OVERRIDE=FQ","FILING_STATUS=OR","EQY_CONSOLIDATED=Y","Sort=A","Dates=H","DateFormat=P","Fill=—","Direction=H","UseDPDF=Y")</f>
        <v>#NAME?</v>
      </c>
      <c r="BC212" s="1" t="e">
        <f ca="1">_xll.BDH($C$203,"TOTAL_CAPITAL_5_YEAR_GROWTH","FQ4 2015","FQ4 2015","Currency=INR","Period=FQ","BEST_FPERIOD_OVERRIDE=FQ","FILING_STATUS=OR","EQY_CONSOLIDATED=Y","Sort=A","Dates=H","DateFormat=P","Fill=—","Direction=H","UseDPDF=Y")</f>
        <v>#NAME?</v>
      </c>
      <c r="BD212" s="1" t="e">
        <f ca="1">_xll.BDH($C$203,"GEO_GROW_BOOK_VAL","FQ4 2015","FQ4 2015","Currency=INR","Period=FQ","BEST_FPERIOD_OVERRIDE=FQ","FILING_STATUS=OR","EQY_CONSOLIDATED=Y","Sort=A","Dates=H","DateFormat=P","Fill=—","Direction=H","UseDPDF=Y")</f>
        <v>#NAME?</v>
      </c>
      <c r="BE212" s="1" t="e">
        <f ca="1">_xll.BDH($C$203,"GEO_GROW_CASH_OPER_ACT","FQ4 2015","FQ4 2015","Currency=INR","Period=FQ","BEST_FPERIOD_OVERRIDE=FQ","FILING_STATUS=OR","EQY_CONSOLIDATED=Y","Sort=A","Dates=H","DateFormat=P","Fill=—","Direction=H","UseDPDF=Y")</f>
        <v>#NAME?</v>
      </c>
      <c r="BF212" s="1" t="e">
        <f ca="1">_xll.BDH($C$203,"REVENUE_SEQUENTIAL_GROWTH","FQ4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12" s="1" t="e">
        <f ca="1">_xll.BDH($C$203,"EBITDA_SEQUENTIAL_GROWTH","FQ4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12" s="1" t="e">
        <f ca="1">_xll.BDH($C$203,"OPERATING_INCOME_SEQ_GROWTH","FQ4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12" s="1" t="e">
        <f ca="1">_xll.BDH($C$203,"NET_INCOME_TO_COMMON_SEQ_GROWTH","FQ4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12" s="1" t="e">
        <f ca="1">_xll.BDH($C$203,"EPS_DILUTED_SEQUENTIAL_GROWTH","FQ4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12" s="1" t="e">
        <f ca="1">_xll.BDH($C$203,"DPS_SEQUENTIAL_GROWTH","FQ4 2015","FQ4 2015","Currency=INR","Period=FQ","BEST_FPERIOD_OVERRIDE=FQ","FILING_STATUS=OR","EQY_CONSOLIDATED=Y","Sort=A","Dates=H","DateFormat=P","Fill=—","Direction=H","UseDPDF=Y")</f>
        <v>#NAME?</v>
      </c>
      <c r="BL212" s="1" t="e">
        <f ca="1">_xll.BDH($C$203,"ACCOUNTS_RECEIVABLE_SEQ_GROWTH","FQ4 2015","FQ4 2015","Currency=INR","Period=FQ","BEST_FPERIOD_OVERRIDE=FQ","FILING_STATUS=OR","EQY_CONSOLIDATED=Y","Sort=A","Dates=H","DateFormat=P","Fill=—","Direction=H","UseDPDF=Y")</f>
        <v>#NAME?</v>
      </c>
      <c r="BM212" s="1" t="e">
        <f ca="1">_xll.BDH($C$203,"INVENTORY_SEQUENTIAL_GROWTH","FQ4 2015","FQ4 2015","Currency=INR","Period=FQ","BEST_FPERIOD_OVERRIDE=FQ","FILING_STATUS=OR","EQY_CONSOLIDATED=Y","Sort=A","Dates=H","DateFormat=P","Fill=—","Direction=H","UseDPDF=Y")</f>
        <v>#NAME?</v>
      </c>
      <c r="BN212" s="1" t="e">
        <f ca="1">_xll.BDH($C$203,"FIXED_ASSETS_SEQUENTIAL_GROWTH","FQ4 2015","FQ4 2015","Currency=INR","Period=FQ","BEST_FPERIOD_OVERRIDE=FQ","FILING_STATUS=OR","EQY_CONSOLIDATED=Y","Sort=A","Dates=H","DateFormat=P","Fill=—","Direction=H","UseDPDF=Y")</f>
        <v>#NAME?</v>
      </c>
      <c r="BO212" s="1" t="e">
        <f ca="1">_xll.BDH($C$203,"TOTAL_ASSETS_SEQUENTIAL_GROWTH","FQ4 2015","FQ4 2015","Currency=INR","Period=FQ","BEST_FPERIOD_OVERRIDE=FQ","FILING_STATUS=OR","EQY_CONSOLIDATED=Y","Sort=A","Dates=H","DateFormat=P","Fill=—","Direction=H","UseDPDF=Y")</f>
        <v>#NAME?</v>
      </c>
      <c r="BP212" s="1" t="e">
        <f ca="1">_xll.BDH($C$203,"MODIFIED_WORKING_CPTL_SEQ_GRWTH","FQ4 2015","FQ4 2015","Currency=INR","Period=FQ","BEST_FPERIOD_OVERRIDE=FQ","FILING_STATUS=OR","EQY_CONSOLIDATED=Y","Sort=A","Dates=H","DateFormat=P","Fill=—","Direction=H","UseDPDF=Y")</f>
        <v>#NAME?</v>
      </c>
      <c r="BQ212" s="1" t="e">
        <f ca="1">_xll.BDH($C$203,"WORKING_CAPITAL_SEQ_GROWTH","FQ4 2015","FQ4 2015","Currency=INR","Period=FQ","BEST_FPERIOD_OVERRIDE=FQ","FILING_STATUS=OR","EQY_CONSOLIDATED=Y","Sort=A","Dates=H","DateFormat=P","Fill=—","Direction=H","UseDPDF=Y")</f>
        <v>#NAME?</v>
      </c>
      <c r="BR212" s="1" t="e">
        <f ca="1">_xll.BDH($C$203,"ACCOUNTS_PAYABLE_SEQ_GROWTH","FQ4 2015","FQ4 2015","Currency=INR","Period=FQ","BEST_FPERIOD_OVERRIDE=FQ","FILING_STATUS=OR","EQY_CONSOLIDATED=Y","Sort=A","Dates=H","DateFormat=P","Fill=—","Direction=H","UseDPDF=Y")</f>
        <v>#NAME?</v>
      </c>
      <c r="BS212" s="1" t="e">
        <f ca="1">_xll.BDH($C$203,"ST_DEBT_SEQUENTIAL_GROWTH","FQ4 2015","FQ4 2015","Currency=INR","Period=FQ","BEST_FPERIOD_OVERRIDE=FQ","FILING_STATUS=OR","EQY_CONSOLIDATED=Y","Sort=A","Dates=H","DateFormat=P","Fill=—","Direction=H","UseDPDF=Y")</f>
        <v>#NAME?</v>
      </c>
      <c r="BT212" s="1" t="e">
        <f ca="1">_xll.BDH($C$203,"TOTAL_DEBT_SEQUENTIAL_GROWTH","FQ4 2015","FQ4 2015","Currency=INR","Period=FQ","BEST_FPERIOD_OVERRIDE=FQ","FILING_STATUS=OR","EQY_CONSOLIDATED=Y","Sort=A","Dates=H","DateFormat=P","Fill=—","Direction=H","UseDPDF=Y")</f>
        <v>#NAME?</v>
      </c>
      <c r="BU212" s="1" t="e">
        <f ca="1">_xll.BDH($C$203,"TOTAL_EQUITY_SEQUENTIAL_GROWTH","FQ4 2015","FQ4 2015","Currency=INR","Period=FQ","BEST_FPERIOD_OVERRIDE=FQ","FILING_STATUS=OR","EQY_CONSOLIDATED=Y","Sort=A","Dates=H","DateFormat=P","Fill=—","Direction=H","UseDPDF=Y")</f>
        <v>#NAME?</v>
      </c>
      <c r="BV212" s="1" t="e">
        <f ca="1">_xll.BDH($C$203,"TOTAL_CAPITAL_SEQUENTIAL_GROWTH","FQ4 2015","FQ4 2015","Currency=INR","Period=FQ","BEST_FPERIOD_OVERRIDE=FQ","FILING_STATUS=OR","EQY_CONSOLIDATED=Y","Sort=A","Dates=H","DateFormat=P","Fill=—","Direction=H","UseDPDF=Y")</f>
        <v>#NAME?</v>
      </c>
      <c r="BW212" s="1" t="e">
        <f ca="1">_xll.BDH($C$203,"BPS_SEQUENTIAL_GROWTH","FQ4 2015","FQ4 2015","Currency=INR","Period=FQ","BEST_FPERIOD_OVERRIDE=FQ","FILING_STATUS=OR","EQY_CONSOLIDATED=Y","Sort=A","Dates=H","DateFormat=P","Fill=—","Direction=H","UseDPDF=Y")</f>
        <v>#NAME?</v>
      </c>
      <c r="BX212" s="1" t="e">
        <f ca="1">_xll.BDH($C$203,"CFO_SEQUENTIAL_GROWTH","FQ4 2015","FQ4 2015","Currency=INR","Period=FQ","BEST_FPERIOD_OVERRIDE=FQ","FILING_STATUS=OR","EQY_CONSOLIDATED=Y","Sort=A","Dates=H","DateFormat=P","Fill=—","Direction=H","UseDPDF=Y")</f>
        <v>#NAME?</v>
      </c>
      <c r="BY212" s="2" t="e">
        <f ca="1">_xll.BDH($C$203,"SHORT_AND_LONG_TERM_DEBT","FQ4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12" s="2" t="e">
        <f ca="1">_xll.BDH($C$203,"BS_ST_BORROW","FQ4 2015","FQ4 2015","Currency=INR","Period=FQ","BEST_FPERIOD_OVERRIDE=FQ","FILING_STATUS=OR","EQY_CONSOLIDATED=Y","SCALING_FORMAT=MLN","Sort=A","Dates=H","DateFormat=P","Fill=—","Direction=H","UseDPDF=Y")</f>
        <v>#NAME?</v>
      </c>
      <c r="CA212" s="2" t="e">
        <f ca="1">_xll.BDH($C$203,"BS_LT_BORROW","FQ4 2015","FQ4 2015","Currency=INR","Period=FQ","BEST_FPERIOD_OVERRIDE=FQ","FILING_STATUS=OR","EQY_CONSOLIDATED=Y","SCALING_FORMAT=MLN","Sort=A","Dates=H","DateFormat=P","Fill=—","Direction=H","UseDPDF=Y")</f>
        <v>#NAME?</v>
      </c>
      <c r="CB212" s="1" t="e">
        <f ca="1">_xll.BDH($C$203,"TOT_DEBT_TO_EBITDA","FQ4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12" s="1" t="e">
        <f ca="1">_xll.BDH($C$203,"NET_DEBT_TO_EBITDA","FQ4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12" s="1" t="e">
        <f ca="1">_xll.BDH($C$203,"TOTAL_DEBT_TO_EBIT","FQ4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12" s="1" t="e">
        <f ca="1">_xll.BDH($C$203,"NET_DEBT_TO_EBIT","FQ4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212" s="1" t="e">
        <f ca="1">_xll.BDH($C$203,"EBITDA_TO_INTEREST_EXPN","FQ4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12" s="1" t="e">
        <f ca="1">_xll.BDH($C$203,"COM_EQY_TO_TOT_ASSET","FQ4 2015","FQ4 2015","Currency=INR","Period=FQ","BEST_FPERIOD_OVERRIDE=FQ","FILING_STATUS=OR","EQY_CONSOLIDATED=Y","Sort=A","Dates=H","DateFormat=P","Fill=—","Direction=H","UseDPDF=Y")</f>
        <v>#NAME?</v>
      </c>
      <c r="CH212" s="1" t="e">
        <f ca="1">_xll.BDH($C$203,"LT_DEBT_TO_TOT_EQY","FQ4 2015","FQ4 2015","Currency=INR","Period=FQ","BEST_FPERIOD_OVERRIDE=FQ","FILING_STATUS=OR","EQY_CONSOLIDATED=Y","Sort=A","Dates=H","DateFormat=P","Fill=—","Direction=H","UseDPDF=Y")</f>
        <v>#NAME?</v>
      </c>
      <c r="CI212" s="1" t="e">
        <f ca="1">_xll.BDH($C$203,"LT_DEBT_TO_TOT_CAP","FQ4 2015","FQ4 2015","Currency=INR","Period=FQ","BEST_FPERIOD_OVERRIDE=FQ","FILING_STATUS=OR","EQY_CONSOLIDATED=Y","Sort=A","Dates=H","DateFormat=P","Fill=—","Direction=H","UseDPDF=Y")</f>
        <v>#NAME?</v>
      </c>
      <c r="CJ212" s="1" t="e">
        <f ca="1">_xll.BDH($C$203,"LT_DEBT_TO_TOT_ASSET","FQ4 2015","FQ4 2015","Currency=INR","Period=FQ","BEST_FPERIOD_OVERRIDE=FQ","FILING_STATUS=OR","EQY_CONSOLIDATED=Y","Sort=A","Dates=H","DateFormat=P","Fill=—","Direction=H","UseDPDF=Y")</f>
        <v>#NAME?</v>
      </c>
      <c r="CK212" s="1" t="e">
        <f ca="1">_xll.BDH($C$203,"TOT_DEBT_TO_TOT_EQY","FQ4 2015","FQ4 2015","Currency=INR","Period=FQ","BEST_FPERIOD_OVERRIDE=FQ","FILING_STATUS=OR","EQY_CONSOLIDATED=Y","Sort=A","Dates=H","DateFormat=P","Fill=—","Direction=H","UseDPDF=Y")</f>
        <v>#NAME?</v>
      </c>
      <c r="CL212" s="1" t="e">
        <f ca="1">_xll.BDH($C$203,"TOT_DEBT_TO_TOT_CAP","FQ4 2015","FQ4 2015","Currency=INR","Period=FQ","BEST_FPERIOD_OVERRIDE=FQ","FILING_STATUS=OR","EQY_CONSOLIDATED=Y","Sort=A","Dates=H","DateFormat=P","Fill=—","Direction=H","UseDPDF=Y")</f>
        <v>#NAME?</v>
      </c>
      <c r="CM212" s="1" t="e">
        <f ca="1">_xll.BDH($C$203,"TOT_DEBT_TO_TOT_ASSET","FQ4 2015","FQ4 2015","Currency=INR","Period=FQ","BEST_FPERIOD_OVERRIDE=FQ","FILING_STATUS=OR","EQY_CONSOLIDATED=Y","Sort=A","Dates=H","DateFormat=P","Fill=—","Direction=H","UseDPDF=Y")</f>
        <v>#NAME?</v>
      </c>
      <c r="CN212" s="1" t="e">
        <f ca="1">_xll.BDH($C$203,"NET_DEBT_TO_SHRHLDR_EQTY","FQ4 2015","FQ4 2015","Currency=INR","Period=FQ","BEST_FPERIOD_OVERRIDE=FQ","FILING_STATUS=OR","EQY_CONSOLIDATED=Y","Sort=A","Dates=H","DateFormat=P","Fill=—","Direction=H","UseDPDF=Y")</f>
        <v>#NAME?</v>
      </c>
      <c r="CO212" s="1" t="e">
        <f ca="1">_xll.BDH($C$203,"NET_DEBT_%_CAPITAL","FQ4 2015","FQ4 2015","Currency=INR","Period=FQ","BEST_FPERIOD_OVERRIDE=FQ","FILING_STATUS=OR","EQY_CONSOLIDATED=Y","Sort=A","Dates=H","DateFormat=P","Fill=—","Direction=H","UseDPDF=Y")</f>
        <v>#NAME?</v>
      </c>
      <c r="CP212" s="2" t="e">
        <f ca="1">_xll.BDH($C$203,"EBITDA","FQ4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12" s="2" t="e">
        <f ca="1">_xll.BDH($C$203,"EBITDA_AFTER_CAPEX","FQ4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12" s="2" t="e">
        <f ca="1">_xll.BDH($C$203,"IS_OPER_INC","FQ4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12" s="1" t="e">
        <f ca="1">_xll.BDH($C$203,"CASH_RATIO","FQ4 2015","FQ4 2015","Currency=INR","Period=FQ","BEST_FPERIOD_OVERRIDE=FQ","FILING_STATUS=OR","EQY_CONSOLIDATED=Y","Sort=A","Dates=H","DateFormat=P","Fill=—","Direction=H","UseDPDF=Y")</f>
        <v>#NAME?</v>
      </c>
      <c r="CT212" s="1" t="e">
        <f ca="1">_xll.BDH($C$203,"CUR_RATIO","FQ4 2015","FQ4 2015","Currency=INR","Period=FQ","BEST_FPERIOD_OVERRIDE=FQ","FILING_STATUS=OR","EQY_CONSOLIDATED=Y","Sort=A","Dates=H","DateFormat=P","Fill=—","Direction=H","UseDPDF=Y")</f>
        <v>#NAME?</v>
      </c>
      <c r="CU212" s="1" t="e">
        <f ca="1">_xll.BDH($C$203,"QUICK_RATIO","FQ4 2015","FQ4 2015","Currency=INR","Period=FQ","BEST_FPERIOD_OVERRIDE=FQ","FILING_STATUS=OR","EQY_CONSOLIDATED=Y","Sort=A","Dates=H","DateFormat=P","Fill=—","Direction=H","UseDPDF=Y")</f>
        <v>#NAME?</v>
      </c>
      <c r="CV212" s="1" t="e">
        <f ca="1">_xll.BDH($C$203,"ALTMAN_Z_SCORE","FQ4 2015","FQ4 2015","Currency=INR","Period=FQ","BEST_FPERIOD_OVERRIDE=FQ","FILING_STATUS=OR","EQY_CONSOLIDATED=Y","Sort=A","Dates=H","DateFormat=P","Fill=—","Direction=H","UseDPDF=Y")</f>
        <v>#NAME?</v>
      </c>
      <c r="CW212" s="3" t="e">
        <f ca="1">_xll.BDH($C$203,"ACCT_RCV_TURN","FQ4 2015","FQ4 2015","Currency=INR","Period=FQ","BEST_FPERIOD_OVERRIDE=FQ","FILING_STATUS=OR","EQY_CONSOLIDATED=Y","FA_ADJUSTED=GAAP","Sort=A","Dates=H","DateFormat=P","Fill=—","Direction=H","UseDPDF=Y")</f>
        <v>#NAME?</v>
      </c>
      <c r="CX212" s="1" t="e">
        <f ca="1">_xll.BDH($C$203,"ACCT_RCV_DAYS","FQ4 2015","FQ4 2015","Currency=INR","Period=FQ","BEST_FPERIOD_OVERRIDE=FQ","FILING_STATUS=OR","EQY_CONSOLIDATED=Y","FA_ADJUSTED=GAAP","Sort=A","Dates=H","DateFormat=P","Fill=—","Direction=H","UseDPDF=Y")</f>
        <v>#NAME?</v>
      </c>
      <c r="CY212" s="3" t="e">
        <f ca="1">_xll.BDH($C$203,"INVENT_TURN","FQ4 2015","FQ4 2015","Currency=INR","Period=FQ","BEST_FPERIOD_OVERRIDE=FQ","FILING_STATUS=OR","EQY_CONSOLIDATED=Y","FA_ADJUSTED=GAAP","Sort=A","Dates=H","DateFormat=P","Fill=—","Direction=H","UseDPDF=Y")</f>
        <v>#NAME?</v>
      </c>
      <c r="CZ212" s="1" t="e">
        <f ca="1">_xll.BDH($C$203,"INVENT_DAYS","FQ4 2015","FQ4 2015","Currency=INR","Period=FQ","BEST_FPERIOD_OVERRIDE=FQ","FILING_STATUS=OR","EQY_CONSOLIDATED=Y","FA_ADJUSTED=GAAP","Sort=A","Dates=H","DateFormat=P","Fill=—","Direction=H","UseDPDF=Y")</f>
        <v>#NAME?</v>
      </c>
      <c r="DA212" s="3" t="e">
        <f ca="1">_xll.BDH($C$203,"ACCOUNTS_PAYABLE_TURNOVER","FQ4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12" s="1" t="e">
        <f ca="1">_xll.BDH($C$203,"ACCOUNTS_PAYABLE_TURNOVER_DAYS","FQ4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12" s="3" t="e">
        <f ca="1">_xll.BDH($C$203,"CASH_CONVERSION_CYCLE","FQ4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12" s="3" t="e">
        <f ca="1">_xll.BDH($C$203,"INV_TO_CASH_DAYS","FQ4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212" s="4" t="e">
        <f ca="1">_xll.BDH($C$203,"BS_INVENTORIES","FQ4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212" s="2" t="e">
        <f ca="1">_xll.BDH($C$203,"INVTRY_RAW_MATERIALS","FQ4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12" s="2" t="e">
        <f ca="1">_xll.BDH($C$203,"INVTRY_IN_PROGRESS","FQ4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12" s="2" t="e">
        <f ca="1">_xll.BDH($C$203,"INVTRY_FINISHED_GOODS","FQ4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12" s="2" t="e">
        <f ca="1">_xll.BDH($C$203,"BS_OTHER_INV","FQ4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13" spans="1:113" x14ac:dyDescent="0.3">
      <c r="A213" s="6"/>
      <c r="B213" s="6"/>
      <c r="C213" s="6"/>
      <c r="D213" s="6" t="s">
        <v>9</v>
      </c>
      <c r="E213" t="s">
        <v>3</v>
      </c>
      <c r="F213" t="e">
        <f ca="1">_xll.BDH($C$203,"RETURN_COM_EQY","FY 2016","FY 2016","Currency=INR","Period=FY","BEST_FPERIOD_OVERRIDE=FY","FILING_STATUS=OR","EQY_CONSOLIDATED=Y","FA_ADJUSTED=GAAP","Sort=A","Dates=H","DateFormat=P","Fill=—","Direction=H","UseDPDF=Y")</f>
        <v>#NAME?</v>
      </c>
      <c r="G213" t="e">
        <f ca="1">_xll.BDH($C$203,"RETURN_ON_ASSET","FY 2016","FY 2016","Currency=INR","Period=FY","BEST_FPERIOD_OVERRIDE=FY","FILING_STATUS=OR","EQY_CONSOLIDATED=Y","FA_ADJUSTED=GAAP","Sort=A","Dates=H","DateFormat=P","Fill=—","Direction=H","UseDPDF=Y")</f>
        <v>#NAME?</v>
      </c>
      <c r="H213" t="e">
        <f ca="1">_xll.BDH($C$203,"RETURN_ON_CAP","FY 2016","FY 2016","Currency=INR","Period=FY","BEST_FPERIOD_OVERRIDE=FY","FILING_STATUS=OR","EQY_CONSOLIDATED=Y","FA_ADJUSTED=GAAP","Sort=A","Dates=H","DateFormat=P","Fill=—","Direction=H","UseDPDF=Y")</f>
        <v>#NAME?</v>
      </c>
      <c r="I213" t="e">
        <f ca="1">_xll.BDH($C$203,"RETURN_ON_INV_CAPITAL","FY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13" t="e">
        <f ca="1">_xll.BDH($C$203,"EBITDA_TO_REVENUE","FY 2016","FY 2016","Currency=INR","Period=FY","BEST_FPERIOD_OVERRIDE=FY","FILING_STATUS=OR","EQY_CONSOLIDATED=Y","FA_ADJUSTED=GAAP","Sort=A","Dates=H","DateFormat=P","Fill=—","Direction=H","UseDPDF=Y")</f>
        <v>#NAME?</v>
      </c>
      <c r="K213" t="e">
        <f ca="1">_xll.BDH($C$203,"OPER_MARGIN","FY 2016","FY 2016","Currency=INR","Period=FY","BEST_FPERIOD_OVERRIDE=FY","FILING_STATUS=OR","EQY_CONSOLIDATED=Y","FA_ADJUSTED=GAAP","Sort=A","Dates=H","DateFormat=P","Fill=—","Direction=H","UseDPDF=Y")</f>
        <v>#NAME?</v>
      </c>
      <c r="L213" t="e">
        <f ca="1">_xll.BDH($C$203,"INCREMENTAL_OPERATING_MARGIN","FY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13" t="e">
        <f ca="1">_xll.BDH($C$203,"PRETAX_INC_TO_NET_SALES","FY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13" t="e">
        <f ca="1">_xll.BDH($C$203,"INC_BEF_XO_ITEMS_TO_NET_SALES","FY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13" t="e">
        <f ca="1">_xll.BDH($C$203,"PROF_MARGIN","FY 2016","FY 2016","Currency=INR","Period=FY","BEST_FPERIOD_OVERRIDE=FY","FILING_STATUS=OR","EQY_CONSOLIDATED=Y","FA_ADJUSTED=GAAP","Sort=A","Dates=H","DateFormat=P","Fill=—","Direction=H","UseDPDF=Y")</f>
        <v>#NAME?</v>
      </c>
      <c r="P213" t="e">
        <f ca="1">_xll.BDH($C$203,"NET_INCOME_TO_COMMON_MARGIN","FY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13" t="e">
        <f ca="1">_xll.BDH($C$203,"EFF_TAX_RATE","FY 2016","FY 2016","Currency=INR","Period=FY","BEST_FPERIOD_OVERRIDE=FY","FILING_STATUS=OR","EQY_CONSOLIDATED=Y","FA_ADJUSTED=GAAP","Sort=A","Dates=H","DateFormat=P","Fill=—","Direction=H","UseDPDF=Y")</f>
        <v>#NAME?</v>
      </c>
      <c r="R213" t="e">
        <f ca="1">_xll.BDH($C$203,"DVD_PAYOUT_RATIO","FY 2016","FY 2016","Currency=INR","Period=FY","BEST_FPERIOD_OVERRIDE=FY","FILING_STATUS=OR","EQY_CONSOLIDATED=Y","FA_ADJUSTED=GAAP","Sort=A","Dates=H","DateFormat=P","Fill=—","Direction=H","UseDPDF=Y")</f>
        <v>#NAME?</v>
      </c>
      <c r="S213" t="e">
        <f ca="1">_xll.BDH($C$203,"SUSTAIN_GROWTH_RT","FY 2016","FY 2016","Currency=INR","Period=FY","BEST_FPERIOD_OVERRIDE=FY","FILING_STATUS=OR","EQY_CONSOLIDATED=Y","FA_ADJUSTED=GAAP","Sort=A","Dates=H","DateFormat=P","Fill=—","Direction=H","UseDPDF=Y")</f>
        <v>#NAME?</v>
      </c>
      <c r="T213" s="1" t="e">
        <f ca="1">_xll.BDH($C$203,"SALES_GROWTH","FY 2016","FY 2016","Currency=INR","Period=FY","BEST_FPERIOD_OVERRIDE=FY","FILING_STATUS=OR","EQY_CONSOLIDATED=Y","FA_ADJUSTED=GAAP","Sort=A","Dates=H","DateFormat=P","Fill=—","Direction=H","UseDPDF=Y")</f>
        <v>#NAME?</v>
      </c>
      <c r="U213" s="1" t="e">
        <f ca="1">_xll.BDH($C$203,"EBITDA_GROWTH","FY 2016","FY 2016","Currency=INR","Period=FY","BEST_FPERIOD_OVERRIDE=FY","FILING_STATUS=OR","EQY_CONSOLIDATED=Y","FA_ADJUSTED=GAAP","Sort=A","Dates=H","DateFormat=P","Fill=—","Direction=H","UseDPDF=Y")</f>
        <v>#NAME?</v>
      </c>
      <c r="V213" s="1" t="e">
        <f ca="1">_xll.BDH($C$203,"OPER_INC_GROWTH","FY 2016","FY 2016","Currency=INR","Period=FY","BEST_FPERIOD_OVERRIDE=FY","FILING_STATUS=OR","EQY_CONSOLIDATED=Y","FA_ADJUSTED=GAAP","Sort=A","Dates=H","DateFormat=P","Fill=—","Direction=H","UseDPDF=Y")</f>
        <v>#NAME?</v>
      </c>
      <c r="W213" s="1" t="e">
        <f ca="1">_xll.BDH($C$203,"EARN_FOR_COM_GROWTH","FY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213" s="1" t="e">
        <f ca="1">_xll.BDH($C$203,"DILUTED_EPS_AFT_XO_ITEMS_GROWTH","FY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13" s="1" t="e">
        <f ca="1">_xll.BDH($C$203,"DIVIDEND_PER_SHARE_1_YEAR_GROWTH","FY 2016","FY 2016","Currency=INR","Period=FY","BEST_FPERIOD_OVERRIDE=FY","FILING_STATUS=OR","EQY_CONSOLIDATED=Y","Sort=A","Dates=H","DateFormat=P","Fill=—","Direction=H","UseDPDF=Y")</f>
        <v>#NAME?</v>
      </c>
      <c r="Z213" s="1" t="e">
        <f ca="1">_xll.BDH($C$203,"ACCOUNTS_RECEIVABLE_GROWTH","FY 2016","FY 2016","Currency=INR","Period=FY","BEST_FPERIOD_OVERRIDE=FY","FILING_STATUS=OR","EQY_CONSOLIDATED=Y","Sort=A","Dates=H","DateFormat=P","Fill=—","Direction=H","UseDPDF=Y")</f>
        <v>#NAME?</v>
      </c>
      <c r="AA213" s="1" t="e">
        <f ca="1">_xll.BDH($C$203,"INVENTORY_GROWTH","FY 2016","FY 2016","Currency=INR","Period=FY","BEST_FPERIOD_OVERRIDE=FY","FILING_STATUS=OR","EQY_CONSOLIDATED=Y","Sort=A","Dates=H","DateFormat=P","Fill=—","Direction=H","UseDPDF=Y")</f>
        <v>#NAME?</v>
      </c>
      <c r="AB213" s="1" t="e">
        <f ca="1">_xll.BDH($C$203,"NET_FIXED_ASSETS_1_YEAR_GROWTH","FY 2016","FY 2016","Currency=INR","Period=FY","BEST_FPERIOD_OVERRIDE=FY","FILING_STATUS=OR","EQY_CONSOLIDATED=Y","Sort=A","Dates=H","DateFormat=P","Fill=—","Direction=H","UseDPDF=Y")</f>
        <v>#NAME?</v>
      </c>
      <c r="AC213" s="1" t="e">
        <f ca="1">_xll.BDH($C$203,"ASSET_GROWTH","FY 2016","FY 2016","Currency=INR","Period=FY","BEST_FPERIOD_OVERRIDE=FY","FILING_STATUS=OR","EQY_CONSOLIDATED=Y","Sort=A","Dates=H","DateFormat=P","Fill=—","Direction=H","UseDPDF=Y")</f>
        <v>#NAME?</v>
      </c>
      <c r="AD213" s="1" t="e">
        <f ca="1">_xll.BDH($C$203,"MODIFIED_WORK_CAP_GROWTH","FY 2016","FY 2016","Currency=INR","Period=FY","BEST_FPERIOD_OVERRIDE=FY","FILING_STATUS=OR","EQY_CONSOLIDATED=Y","Sort=A","Dates=H","DateFormat=P","Fill=—","Direction=H","UseDPDF=Y")</f>
        <v>#NAME?</v>
      </c>
      <c r="AE213" s="1" t="e">
        <f ca="1">_xll.BDH($C$203,"WORK_CAP_GROWTH","FY 2016","FY 2016","Currency=INR","Period=FY","BEST_FPERIOD_OVERRIDE=FY","FILING_STATUS=OR","EQY_CONSOLIDATED=Y","Sort=A","Dates=H","DateFormat=P","Fill=—","Direction=H","UseDPDF=Y")</f>
        <v>#NAME?</v>
      </c>
      <c r="AF213" s="1" t="e">
        <f ca="1">_xll.BDH($C$203,"ACCOUNTS_PAYABLE_GROWTH_1YR","FY 2016","FY 2016","Currency=INR","Period=FY","BEST_FPERIOD_OVERRIDE=FY","FILING_STATUS=OR","EQY_CONSOLIDATED=Y","Sort=A","Dates=H","DateFormat=P","Fill=—","Direction=H","UseDPDF=Y")</f>
        <v>#NAME?</v>
      </c>
      <c r="AG213" s="1" t="e">
        <f ca="1">_xll.BDH($C$203,"SHORT_TERM_DEBT_1_YEAR_GROWTH","FY 2016","FY 2016","Currency=INR","Period=FY","BEST_FPERIOD_OVERRIDE=FY","FILING_STATUS=OR","EQY_CONSOLIDATED=Y","Sort=A","Dates=H","DateFormat=P","Fill=—","Direction=H","UseDPDF=Y")</f>
        <v>#NAME?</v>
      </c>
      <c r="AH213" s="1" t="e">
        <f ca="1">_xll.BDH($C$203,"TOTAL_DEBT_1_YEAR_GROWTH","FY 2016","FY 2016","Currency=INR","Period=FY","BEST_FPERIOD_OVERRIDE=FY","FILING_STATUS=OR","EQY_CONSOLIDATED=Y","Sort=A","Dates=H","DateFormat=P","Fill=—","Direction=H","UseDPDF=Y")</f>
        <v>#NAME?</v>
      </c>
      <c r="AI213" s="1" t="e">
        <f ca="1">_xll.BDH($C$203,"TOTAL_EQUITY_1_YEAR_GROWTH","FY 2016","FY 2016","Currency=INR","Period=FY","BEST_FPERIOD_OVERRIDE=FY","FILING_STATUS=OR","EQY_CONSOLIDATED=Y","Sort=A","Dates=H","DateFormat=P","Fill=—","Direction=H","UseDPDF=Y")</f>
        <v>#NAME?</v>
      </c>
      <c r="AJ213" s="1" t="e">
        <f ca="1">_xll.BDH($C$203,"GROWTH_IN_CAP","FY 2016","FY 2016","Currency=INR","Period=FY","BEST_FPERIOD_OVERRIDE=FY","FILING_STATUS=OR","EQY_CONSOLIDATED=Y","Sort=A","Dates=H","DateFormat=P","Fill=—","Direction=H","UseDPDF=Y")</f>
        <v>#NAME?</v>
      </c>
      <c r="AK213" s="1" t="e">
        <f ca="1">_xll.BDH($C$203,"BVPS_GROWTH","FY 2016","FY 2016","Currency=INR","Period=FY","BEST_FPERIOD_OVERRIDE=FY","FILING_STATUS=OR","EQY_CONSOLIDATED=Y","Sort=A","Dates=H","DateFormat=P","Fill=—","Direction=H","UseDPDF=Y")</f>
        <v>#NAME?</v>
      </c>
      <c r="AL213" s="1" t="e">
        <f ca="1">_xll.BDH($C$203,"CASH_FLOW_GROWTH","FY 2016","FY 2016","Currency=INR","Period=FY","BEST_FPERIOD_OVERRIDE=FY","FILING_STATUS=OR","EQY_CONSOLIDATED=Y","Sort=A","Dates=H","DateFormat=P","Fill=—","Direction=H","UseDPDF=Y")</f>
        <v>#NAME?</v>
      </c>
      <c r="AM213" s="1" t="e">
        <f ca="1">_xll.BDH($C$203,"GEO_GROW_NET_SALES","FY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213" s="1" t="e">
        <f ca="1">_xll.BDH($C$203,"GEO_GROW_EBITDA","FY 2016","FY 2016","Currency=INR","Period=FY","BEST_FPERIOD_OVERRIDE=FY","FILING_STATUS=OR","EQY_CONSOLIDATED=Y","FA_ADJUSTED=GAAP","Sort=A","Dates=H","DateFormat=P","Fill=—","Direction=H","UseDPDF=Y")</f>
        <v>#NAME?</v>
      </c>
      <c r="AO213" s="1" t="e">
        <f ca="1">_xll.BDH($C$203,"GEO_GROW_OPER_INC","FY 2016","FY 2016","Currency=INR","Period=FY","BEST_FPERIOD_OVERRIDE=FY","FILING_STATUS=OR","EQY_CONSOLIDATED=Y","FA_ADJUSTED=GAAP","Sort=A","Dates=H","DateFormat=P","Fill=—","Direction=H","UseDPDF=Y")</f>
        <v>#NAME?</v>
      </c>
      <c r="AP213" s="1" t="e">
        <f ca="1">_xll.BDH($C$203,"NET_INCOME_TO_COMMON_5_YR_GROWTH","FY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13" s="1" t="e">
        <f ca="1">_xll.BDH($C$203,"5Y_GEO_GROWTH_DILUTED_EPS","FY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13" s="1" t="e">
        <f ca="1">_xll.BDH($C$203,"GEO_GROW_DVD_PER_SH","FY 2016","FY 2016","Currency=INR","Period=FY","BEST_FPERIOD_OVERRIDE=FY","FILING_STATUS=OR","EQY_CONSOLIDATED=Y","Sort=A","Dates=H","DateFormat=P","Fill=—","Direction=H","UseDPDF=Y")</f>
        <v>#NAME?</v>
      </c>
      <c r="AS213" s="1" t="e">
        <f ca="1">_xll.BDH($C$203,"ACCOUNTS_RECEIVABLE_5_YR_GROWTH","FY 2016","FY 2016","Currency=INR","Period=FY","BEST_FPERIOD_OVERRIDE=FY","FILING_STATUS=OR","EQY_CONSOLIDATED=Y","Sort=A","Dates=H","DateFormat=P","Fill=—","Direction=H","UseDPDF=Y")</f>
        <v>#NAME?</v>
      </c>
      <c r="AT213" s="1" t="e">
        <f ca="1">_xll.BDH($C$203,"INVENTORY_5_YEAR_GROWTH","FY 2016","FY 2016","Currency=INR","Period=FY","BEST_FPERIOD_OVERRIDE=FY","FILING_STATUS=OR","EQY_CONSOLIDATED=Y","Sort=A","Dates=H","DateFormat=P","Fill=—","Direction=H","UseDPDF=Y")</f>
        <v>#NAME?</v>
      </c>
      <c r="AU213" s="1" t="e">
        <f ca="1">_xll.BDH($C$203,"NET_FIXED_ASSETS_5_YEAR_GROWTH","FY 2016","FY 2016","Currency=INR","Period=FY","BEST_FPERIOD_OVERRIDE=FY","FILING_STATUS=OR","EQY_CONSOLIDATED=Y","Sort=A","Dates=H","DateFormat=P","Fill=—","Direction=H","UseDPDF=Y")</f>
        <v>#NAME?</v>
      </c>
      <c r="AV213" s="1" t="e">
        <f ca="1">_xll.BDH($C$203,"GEO_GROW_TOT_ASSET","FY 2016","FY 2016","Currency=INR","Period=FY","BEST_FPERIOD_OVERRIDE=FY","FILING_STATUS=OR","EQY_CONSOLIDATED=Y","Sort=A","Dates=H","DateFormat=P","Fill=—","Direction=H","UseDPDF=Y")</f>
        <v>#NAME?</v>
      </c>
      <c r="AW213" s="1" t="e">
        <f ca="1">_xll.BDH($C$203,"MODIFIED_WORKING_CPTL_5YR_GRWTH","FY 2016","FY 2016","Currency=INR","Period=FY","BEST_FPERIOD_OVERRIDE=FY","FILING_STATUS=OR","EQY_CONSOLIDATED=Y","Sort=A","Dates=H","DateFormat=P","Fill=—","Direction=H","UseDPDF=Y")</f>
        <v>#NAME?</v>
      </c>
      <c r="AX213" s="1" t="e">
        <f ca="1">_xll.BDH($C$203,"WORKING_CAPITAL_5_YEAR_GROWTH","FY 2016","FY 2016","Currency=INR","Period=FY","BEST_FPERIOD_OVERRIDE=FY","FILING_STATUS=OR","EQY_CONSOLIDATED=Y","Sort=A","Dates=H","DateFormat=P","Fill=—","Direction=H","UseDPDF=Y")</f>
        <v>#NAME?</v>
      </c>
      <c r="AY213" s="1" t="e">
        <f ca="1">_xll.BDH($C$203,"ACCOUNTS_PAYABLE_5_YEAR_GROWTH","FY 2016","FY 2016","Currency=INR","Period=FY","BEST_FPERIOD_OVERRIDE=FY","FILING_STATUS=OR","EQY_CONSOLIDATED=Y","Sort=A","Dates=H","DateFormat=P","Fill=—","Direction=H","UseDPDF=Y")</f>
        <v>#NAME?</v>
      </c>
      <c r="AZ213" s="1" t="e">
        <f ca="1">_xll.BDH($C$203,"SHORT_TERM_DEBT_5_YEAR_GROWTH","FY 2016","FY 2016","Currency=INR","Period=FY","BEST_FPERIOD_OVERRIDE=FY","FILING_STATUS=OR","EQY_CONSOLIDATED=Y","Sort=A","Dates=H","DateFormat=P","Fill=—","Direction=H","UseDPDF=Y")</f>
        <v>#NAME?</v>
      </c>
      <c r="BA213" s="1" t="e">
        <f ca="1">_xll.BDH($C$203,"TOTAL_DEBT_5_YEAR_GROWTH","FY 2016","FY 2016","Currency=INR","Period=FY","BEST_FPERIOD_OVERRIDE=FY","FILING_STATUS=OR","EQY_CONSOLIDATED=Y","Sort=A","Dates=H","DateFormat=P","Fill=—","Direction=H","UseDPDF=Y")</f>
        <v>#NAME?</v>
      </c>
      <c r="BB213" s="1" t="e">
        <f ca="1">_xll.BDH($C$203,"GEO_GROW_TOT_SHRHLDR_EQY","FY 2016","FY 2016","Currency=INR","Period=FY","BEST_FPERIOD_OVERRIDE=FY","FILING_STATUS=OR","EQY_CONSOLIDATED=Y","Sort=A","Dates=H","DateFormat=P","Fill=—","Direction=H","UseDPDF=Y")</f>
        <v>#NAME?</v>
      </c>
      <c r="BC213" s="1" t="e">
        <f ca="1">_xll.BDH($C$203,"TOTAL_CAPITAL_5_YEAR_GROWTH","FY 2016","FY 2016","Currency=INR","Period=FY","BEST_FPERIOD_OVERRIDE=FY","FILING_STATUS=OR","EQY_CONSOLIDATED=Y","Sort=A","Dates=H","DateFormat=P","Fill=—","Direction=H","UseDPDF=Y")</f>
        <v>#NAME?</v>
      </c>
      <c r="BD213" s="1" t="e">
        <f ca="1">_xll.BDH($C$203,"GEO_GROW_BOOK_VAL","FY 2016","FY 2016","Currency=INR","Period=FY","BEST_FPERIOD_OVERRIDE=FY","FILING_STATUS=OR","EQY_CONSOLIDATED=Y","Sort=A","Dates=H","DateFormat=P","Fill=—","Direction=H","UseDPDF=Y")</f>
        <v>#NAME?</v>
      </c>
      <c r="BE213" s="1" t="e">
        <f ca="1">_xll.BDH($C$203,"GEO_GROW_CASH_OPER_ACT","FY 2016","FY 2016","Currency=INR","Period=FY","BEST_FPERIOD_OVERRIDE=FY","FILING_STATUS=OR","EQY_CONSOLIDATED=Y","Sort=A","Dates=H","DateFormat=P","Fill=—","Direction=H","UseDPDF=Y")</f>
        <v>#NAME?</v>
      </c>
      <c r="BF213" s="1" t="e">
        <f ca="1">_xll.BDH($C$203,"REVENUE_SEQUENTIAL_GROWTH","FY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13" s="1" t="e">
        <f ca="1">_xll.BDH($C$203,"EBITDA_SEQUENTIAL_GROWTH","FY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13" s="1" t="e">
        <f ca="1">_xll.BDH($C$203,"OPERATING_INCOME_SEQ_GROWTH","FY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13" s="1" t="e">
        <f ca="1">_xll.BDH($C$203,"NET_INCOME_TO_COMMON_SEQ_GROWTH","FY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13" s="1" t="e">
        <f ca="1">_xll.BDH($C$203,"EPS_DILUTED_SEQUENTIAL_GROWTH","FY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13" s="1" t="e">
        <f ca="1">_xll.BDH($C$203,"DPS_SEQUENTIAL_GROWTH","FY 2016","FY 2016","Currency=INR","Period=FY","BEST_FPERIOD_OVERRIDE=FY","FILING_STATUS=OR","EQY_CONSOLIDATED=Y","Sort=A","Dates=H","DateFormat=P","Fill=—","Direction=H","UseDPDF=Y")</f>
        <v>#NAME?</v>
      </c>
      <c r="BL213" s="1" t="e">
        <f ca="1">_xll.BDH($C$203,"ACCOUNTS_RECEIVABLE_SEQ_GROWTH","FY 2016","FY 2016","Currency=INR","Period=FY","BEST_FPERIOD_OVERRIDE=FY","FILING_STATUS=OR","EQY_CONSOLIDATED=Y","Sort=A","Dates=H","DateFormat=P","Fill=—","Direction=H","UseDPDF=Y")</f>
        <v>#NAME?</v>
      </c>
      <c r="BM213" s="1" t="e">
        <f ca="1">_xll.BDH($C$203,"INVENTORY_SEQUENTIAL_GROWTH","FY 2016","FY 2016","Currency=INR","Period=FY","BEST_FPERIOD_OVERRIDE=FY","FILING_STATUS=OR","EQY_CONSOLIDATED=Y","Sort=A","Dates=H","DateFormat=P","Fill=—","Direction=H","UseDPDF=Y")</f>
        <v>#NAME?</v>
      </c>
      <c r="BN213" s="1" t="e">
        <f ca="1">_xll.BDH($C$203,"FIXED_ASSETS_SEQUENTIAL_GROWTH","FY 2016","FY 2016","Currency=INR","Period=FY","BEST_FPERIOD_OVERRIDE=FY","FILING_STATUS=OR","EQY_CONSOLIDATED=Y","Sort=A","Dates=H","DateFormat=P","Fill=—","Direction=H","UseDPDF=Y")</f>
        <v>#NAME?</v>
      </c>
      <c r="BO213" s="1" t="e">
        <f ca="1">_xll.BDH($C$203,"TOTAL_ASSETS_SEQUENTIAL_GROWTH","FY 2016","FY 2016","Currency=INR","Period=FY","BEST_FPERIOD_OVERRIDE=FY","FILING_STATUS=OR","EQY_CONSOLIDATED=Y","Sort=A","Dates=H","DateFormat=P","Fill=—","Direction=H","UseDPDF=Y")</f>
        <v>#NAME?</v>
      </c>
      <c r="BP213" s="1" t="e">
        <f ca="1">_xll.BDH($C$203,"MODIFIED_WORKING_CPTL_SEQ_GRWTH","FY 2016","FY 2016","Currency=INR","Period=FY","BEST_FPERIOD_OVERRIDE=FY","FILING_STATUS=OR","EQY_CONSOLIDATED=Y","Sort=A","Dates=H","DateFormat=P","Fill=—","Direction=H","UseDPDF=Y")</f>
        <v>#NAME?</v>
      </c>
      <c r="BQ213" s="1" t="e">
        <f ca="1">_xll.BDH($C$203,"WORKING_CAPITAL_SEQ_GROWTH","FY 2016","FY 2016","Currency=INR","Period=FY","BEST_FPERIOD_OVERRIDE=FY","FILING_STATUS=OR","EQY_CONSOLIDATED=Y","Sort=A","Dates=H","DateFormat=P","Fill=—","Direction=H","UseDPDF=Y")</f>
        <v>#NAME?</v>
      </c>
      <c r="BR213" s="1" t="e">
        <f ca="1">_xll.BDH($C$203,"ACCOUNTS_PAYABLE_SEQ_GROWTH","FY 2016","FY 2016","Currency=INR","Period=FY","BEST_FPERIOD_OVERRIDE=FY","FILING_STATUS=OR","EQY_CONSOLIDATED=Y","Sort=A","Dates=H","DateFormat=P","Fill=—","Direction=H","UseDPDF=Y")</f>
        <v>#NAME?</v>
      </c>
      <c r="BS213" s="1" t="e">
        <f ca="1">_xll.BDH($C$203,"ST_DEBT_SEQUENTIAL_GROWTH","FY 2016","FY 2016","Currency=INR","Period=FY","BEST_FPERIOD_OVERRIDE=FY","FILING_STATUS=OR","EQY_CONSOLIDATED=Y","Sort=A","Dates=H","DateFormat=P","Fill=—","Direction=H","UseDPDF=Y")</f>
        <v>#NAME?</v>
      </c>
      <c r="BT213" s="1" t="e">
        <f ca="1">_xll.BDH($C$203,"TOTAL_DEBT_SEQUENTIAL_GROWTH","FY 2016","FY 2016","Currency=INR","Period=FY","BEST_FPERIOD_OVERRIDE=FY","FILING_STATUS=OR","EQY_CONSOLIDATED=Y","Sort=A","Dates=H","DateFormat=P","Fill=—","Direction=H","UseDPDF=Y")</f>
        <v>#NAME?</v>
      </c>
      <c r="BU213" s="1" t="e">
        <f ca="1">_xll.BDH($C$203,"TOTAL_EQUITY_SEQUENTIAL_GROWTH","FY 2016","FY 2016","Currency=INR","Period=FY","BEST_FPERIOD_OVERRIDE=FY","FILING_STATUS=OR","EQY_CONSOLIDATED=Y","Sort=A","Dates=H","DateFormat=P","Fill=—","Direction=H","UseDPDF=Y")</f>
        <v>#NAME?</v>
      </c>
      <c r="BV213" s="1" t="e">
        <f ca="1">_xll.BDH($C$203,"TOTAL_CAPITAL_SEQUENTIAL_GROWTH","FY 2016","FY 2016","Currency=INR","Period=FY","BEST_FPERIOD_OVERRIDE=FY","FILING_STATUS=OR","EQY_CONSOLIDATED=Y","Sort=A","Dates=H","DateFormat=P","Fill=—","Direction=H","UseDPDF=Y")</f>
        <v>#NAME?</v>
      </c>
      <c r="BW213" s="1" t="e">
        <f ca="1">_xll.BDH($C$203,"BPS_SEQUENTIAL_GROWTH","FY 2016","FY 2016","Currency=INR","Period=FY","BEST_FPERIOD_OVERRIDE=FY","FILING_STATUS=OR","EQY_CONSOLIDATED=Y","Sort=A","Dates=H","DateFormat=P","Fill=—","Direction=H","UseDPDF=Y")</f>
        <v>#NAME?</v>
      </c>
      <c r="BX213" s="1" t="e">
        <f ca="1">_xll.BDH($C$203,"CFO_SEQUENTIAL_GROWTH","FY 2016","FY 2016","Currency=INR","Period=FY","BEST_FPERIOD_OVERRIDE=FY","FILING_STATUS=OR","EQY_CONSOLIDATED=Y","Sort=A","Dates=H","DateFormat=P","Fill=—","Direction=H","UseDPDF=Y")</f>
        <v>#NAME?</v>
      </c>
      <c r="BY213" s="2" t="e">
        <f ca="1">_xll.BDH($C$203,"SHORT_AND_LONG_TERM_DEBT","FY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13" s="2" t="e">
        <f ca="1">_xll.BDH($C$203,"BS_ST_BORROW","FY 2016","FY 2016","Currency=INR","Period=FY","BEST_FPERIOD_OVERRIDE=FY","FILING_STATUS=OR","EQY_CONSOLIDATED=Y","SCALING_FORMAT=MLN","Sort=A","Dates=H","DateFormat=P","Fill=—","Direction=H","UseDPDF=Y")</f>
        <v>#NAME?</v>
      </c>
      <c r="CA213" s="2" t="e">
        <f ca="1">_xll.BDH($C$203,"BS_LT_BORROW","FY 2016","FY 2016","Currency=INR","Period=FY","BEST_FPERIOD_OVERRIDE=FY","FILING_STATUS=OR","EQY_CONSOLIDATED=Y","SCALING_FORMAT=MLN","Sort=A","Dates=H","DateFormat=P","Fill=—","Direction=H","UseDPDF=Y")</f>
        <v>#NAME?</v>
      </c>
      <c r="CB213" s="1" t="e">
        <f ca="1">_xll.BDH($C$203,"TOT_DEBT_TO_EBITDA","FY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213" s="1" t="e">
        <f ca="1">_xll.BDH($C$203,"NET_DEBT_TO_EBITDA","FY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213" s="1" t="e">
        <f ca="1">_xll.BDH($C$203,"TOTAL_DEBT_TO_EBIT","FY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213" s="1" t="e">
        <f ca="1">_xll.BDH($C$203,"NET_DEBT_TO_EBIT","FY 2016","FY 2016","Currency=INR","Period=FY","BEST_FPERIOD_OVERRIDE=FY","FILING_STATUS=OR","EQY_CONSOLIDATED=Y","FA_ADJUSTED=GAAP","Sort=A","Dates=H","DateFormat=P","Fill=—","Direction=H","UseDPDF=Y")</f>
        <v>#NAME?</v>
      </c>
      <c r="CF213" s="1" t="e">
        <f ca="1">_xll.BDH($C$203,"EBITDA_TO_INTEREST_EXPN","FY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13" s="1" t="e">
        <f ca="1">_xll.BDH($C$203,"COM_EQY_TO_TOT_ASSET","FY 2016","FY 2016","Currency=INR","Period=FY","BEST_FPERIOD_OVERRIDE=FY","FILING_STATUS=OR","EQY_CONSOLIDATED=Y","Sort=A","Dates=H","DateFormat=P","Fill=—","Direction=H","UseDPDF=Y")</f>
        <v>#NAME?</v>
      </c>
      <c r="CH213" s="1" t="e">
        <f ca="1">_xll.BDH($C$203,"LT_DEBT_TO_TOT_EQY","FY 2016","FY 2016","Currency=INR","Period=FY","BEST_FPERIOD_OVERRIDE=FY","FILING_STATUS=OR","EQY_CONSOLIDATED=Y","Sort=A","Dates=H","DateFormat=P","Fill=—","Direction=H","UseDPDF=Y")</f>
        <v>#NAME?</v>
      </c>
      <c r="CI213" s="1" t="e">
        <f ca="1">_xll.BDH($C$203,"LT_DEBT_TO_TOT_CAP","FY 2016","FY 2016","Currency=INR","Period=FY","BEST_FPERIOD_OVERRIDE=FY","FILING_STATUS=OR","EQY_CONSOLIDATED=Y","Sort=A","Dates=H","DateFormat=P","Fill=—","Direction=H","UseDPDF=Y")</f>
        <v>#NAME?</v>
      </c>
      <c r="CJ213" s="1" t="e">
        <f ca="1">_xll.BDH($C$203,"LT_DEBT_TO_TOT_ASSET","FY 2016","FY 2016","Currency=INR","Period=FY","BEST_FPERIOD_OVERRIDE=FY","FILING_STATUS=OR","EQY_CONSOLIDATED=Y","Sort=A","Dates=H","DateFormat=P","Fill=—","Direction=H","UseDPDF=Y")</f>
        <v>#NAME?</v>
      </c>
      <c r="CK213" s="1" t="e">
        <f ca="1">_xll.BDH($C$203,"TOT_DEBT_TO_TOT_EQY","FY 2016","FY 2016","Currency=INR","Period=FY","BEST_FPERIOD_OVERRIDE=FY","FILING_STATUS=OR","EQY_CONSOLIDATED=Y","Sort=A","Dates=H","DateFormat=P","Fill=—","Direction=H","UseDPDF=Y")</f>
        <v>#NAME?</v>
      </c>
      <c r="CL213" s="1" t="e">
        <f ca="1">_xll.BDH($C$203,"TOT_DEBT_TO_TOT_CAP","FY 2016","FY 2016","Currency=INR","Period=FY","BEST_FPERIOD_OVERRIDE=FY","FILING_STATUS=OR","EQY_CONSOLIDATED=Y","Sort=A","Dates=H","DateFormat=P","Fill=—","Direction=H","UseDPDF=Y")</f>
        <v>#NAME?</v>
      </c>
      <c r="CM213" s="1" t="e">
        <f ca="1">_xll.BDH($C$203,"TOT_DEBT_TO_TOT_ASSET","FY 2016","FY 2016","Currency=INR","Period=FY","BEST_FPERIOD_OVERRIDE=FY","FILING_STATUS=OR","EQY_CONSOLIDATED=Y","Sort=A","Dates=H","DateFormat=P","Fill=—","Direction=H","UseDPDF=Y")</f>
        <v>#NAME?</v>
      </c>
      <c r="CN213" s="1" t="e">
        <f ca="1">_xll.BDH($C$203,"NET_DEBT_TO_SHRHLDR_EQTY","FY 2016","FY 2016","Currency=INR","Period=FY","BEST_FPERIOD_OVERRIDE=FY","FILING_STATUS=OR","EQY_CONSOLIDATED=Y","Sort=A","Dates=H","DateFormat=P","Fill=—","Direction=H","UseDPDF=Y")</f>
        <v>#NAME?</v>
      </c>
      <c r="CO213" s="1" t="e">
        <f ca="1">_xll.BDH($C$203,"NET_DEBT_%_CAPITAL","FY 2016","FY 2016","Currency=INR","Period=FY","BEST_FPERIOD_OVERRIDE=FY","FILING_STATUS=OR","EQY_CONSOLIDATED=Y","Sort=A","Dates=H","DateFormat=P","Fill=—","Direction=H","UseDPDF=Y")</f>
        <v>#NAME?</v>
      </c>
      <c r="CP213" s="2" t="e">
        <f ca="1">_xll.BDH($C$203,"EBITDA","FY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13" s="2" t="e">
        <f ca="1">_xll.BDH($C$203,"EBITDA_AFTER_CAPEX","FY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13" s="2" t="e">
        <f ca="1">_xll.BDH($C$203,"IS_OPER_INC","FY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13" s="1" t="e">
        <f ca="1">_xll.BDH($C$203,"CASH_RATIO","FY 2016","FY 2016","Currency=INR","Period=FY","BEST_FPERIOD_OVERRIDE=FY","FILING_STATUS=OR","EQY_CONSOLIDATED=Y","Sort=A","Dates=H","DateFormat=P","Fill=—","Direction=H","UseDPDF=Y")</f>
        <v>#NAME?</v>
      </c>
      <c r="CT213" s="1" t="e">
        <f ca="1">_xll.BDH($C$203,"CUR_RATIO","FY 2016","FY 2016","Currency=INR","Period=FY","BEST_FPERIOD_OVERRIDE=FY","FILING_STATUS=OR","EQY_CONSOLIDATED=Y","Sort=A","Dates=H","DateFormat=P","Fill=—","Direction=H","UseDPDF=Y")</f>
        <v>#NAME?</v>
      </c>
      <c r="CU213" s="1" t="e">
        <f ca="1">_xll.BDH($C$203,"QUICK_RATIO","FY 2016","FY 2016","Currency=INR","Period=FY","BEST_FPERIOD_OVERRIDE=FY","FILING_STATUS=OR","EQY_CONSOLIDATED=Y","Sort=A","Dates=H","DateFormat=P","Fill=—","Direction=H","UseDPDF=Y")</f>
        <v>#NAME?</v>
      </c>
      <c r="CV213" s="1" t="e">
        <f ca="1">_xll.BDH($C$203,"ALTMAN_Z_SCORE","FY 2016","FY 2016","Currency=INR","Period=FY","BEST_FPERIOD_OVERRIDE=FY","FILING_STATUS=OR","EQY_CONSOLIDATED=Y","Sort=A","Dates=H","DateFormat=P","Fill=—","Direction=H","UseDPDF=Y")</f>
        <v>#NAME?</v>
      </c>
      <c r="CW213" s="3" t="e">
        <f ca="1">_xll.BDH($C$203,"ACCT_RCV_TURN","FY 2016","FY 2016","Currency=INR","Period=FY","BEST_FPERIOD_OVERRIDE=FY","FILING_STATUS=OR","EQY_CONSOLIDATED=Y","FA_ADJUSTED=GAAP","Sort=A","Dates=H","DateFormat=P","Fill=—","Direction=H","UseDPDF=Y")</f>
        <v>#NAME?</v>
      </c>
      <c r="CX213" s="1" t="e">
        <f ca="1">_xll.BDH($C$203,"ACCT_RCV_DAYS","FY 2016","FY 2016","Currency=INR","Period=FY","BEST_FPERIOD_OVERRIDE=FY","FILING_STATUS=OR","EQY_CONSOLIDATED=Y","FA_ADJUSTED=GAAP","Sort=A","Dates=H","DateFormat=P","Fill=—","Direction=H","UseDPDF=Y")</f>
        <v>#NAME?</v>
      </c>
      <c r="CY213" s="3" t="e">
        <f ca="1">_xll.BDH($C$203,"INVENT_TURN","FY 2016","FY 2016","Currency=INR","Period=FY","BEST_FPERIOD_OVERRIDE=FY","FILING_STATUS=OR","EQY_CONSOLIDATED=Y","FA_ADJUSTED=GAAP","Sort=A","Dates=H","DateFormat=P","Fill=—","Direction=H","UseDPDF=Y")</f>
        <v>#NAME?</v>
      </c>
      <c r="CZ213" s="1" t="e">
        <f ca="1">_xll.BDH($C$203,"INVENT_DAYS","FY 2016","FY 2016","Currency=INR","Period=FY","BEST_FPERIOD_OVERRIDE=FY","FILING_STATUS=OR","EQY_CONSOLIDATED=Y","FA_ADJUSTED=GAAP","Sort=A","Dates=H","DateFormat=P","Fill=—","Direction=H","UseDPDF=Y")</f>
        <v>#NAME?</v>
      </c>
      <c r="DA213" s="3" t="e">
        <f ca="1">_xll.BDH($C$203,"ACCOUNTS_PAYABLE_TURNOVER","FY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13" s="1" t="e">
        <f ca="1">_xll.BDH($C$203,"ACCOUNTS_PAYABLE_TURNOVER_DAYS","FY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13" s="3" t="e">
        <f ca="1">_xll.BDH($C$203,"CASH_CONVERSION_CYCLE","FY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13" s="3" t="e">
        <f ca="1">_xll.BDH($C$203,"INV_TO_CASH_DAYS","FY 2016","FY 2016","Currency=INR","Period=FY","BEST_FPERIOD_OVERRIDE=FY","FILING_STATUS=OR","EQY_CONSOLIDATED=Y","FA_ADJUSTED=GAAP","Sort=A","Dates=H","DateFormat=P","Fill=—","Direction=H","UseDPDF=Y")</f>
        <v>#NAME?</v>
      </c>
      <c r="DE213" s="4" t="e">
        <f ca="1">_xll.BDH($C$203,"BS_INVENTORIES","FY 2016","FY 2016","Currency=INR","Period=FY","BEST_FPERIOD_OVERRIDE=FY","FILING_STATUS=OR","EQY_CONSOLIDATED=Y","SCALING_FORMAT=MLN","Sort=A","Dates=H","DateFormat=P","Fill=—","Direction=H","UseDPDF=Y")</f>
        <v>#NAME?</v>
      </c>
      <c r="DF213" s="2" t="e">
        <f ca="1">_xll.BDH($C$203,"INVTRY_RAW_MATERIALS","FY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13" s="2" t="e">
        <f ca="1">_xll.BDH($C$203,"INVTRY_IN_PROGRESS","FY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13" s="2" t="e">
        <f ca="1">_xll.BDH($C$203,"INVTRY_FINISHED_GOODS","FY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13" s="2" t="e">
        <f ca="1">_xll.BDH($C$203,"BS_OTHER_INV","FY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14" spans="1:113" x14ac:dyDescent="0.3">
      <c r="A214" s="6"/>
      <c r="B214" s="6"/>
      <c r="C214" s="6"/>
      <c r="D214" s="6"/>
      <c r="E214" t="s">
        <v>4</v>
      </c>
      <c r="F214" t="e">
        <f ca="1">_xll.BDH($C$203,"RETURN_COM_EQY","FQ1 2016","FQ1 2016","Currency=INR","Period=FQ","BEST_FPERIOD_OVERRIDE=FQ","FILING_STATUS=OR","EQY_CONSOLIDATED=Y","FA_ADJUSTED=GAAP","Sort=A","Dates=H","DateFormat=P","Fill=—","Direction=H","UseDPDF=Y")</f>
        <v>#NAME?</v>
      </c>
      <c r="G214" t="e">
        <f ca="1">_xll.BDH($C$203,"RETURN_ON_ASSET","FQ1 2016","FQ1 2016","Currency=INR","Period=FQ","BEST_FPERIOD_OVERRIDE=FQ","FILING_STATUS=OR","EQY_CONSOLIDATED=Y","FA_ADJUSTED=GAAP","Sort=A","Dates=H","DateFormat=P","Fill=—","Direction=H","UseDPDF=Y")</f>
        <v>#NAME?</v>
      </c>
      <c r="H214" t="e">
        <f ca="1">_xll.BDH($C$203,"RETURN_ON_CAP","FQ1 2016","FQ1 2016","Currency=INR","Period=FQ","BEST_FPERIOD_OVERRIDE=FQ","FILING_STATUS=OR","EQY_CONSOLIDATED=Y","FA_ADJUSTED=GAAP","Sort=A","Dates=H","DateFormat=P","Fill=—","Direction=H","UseDPDF=Y")</f>
        <v>#NAME?</v>
      </c>
      <c r="I214" t="e">
        <f ca="1">_xll.BDH($C$203,"RETURN_ON_INV_CAPITAL","FQ1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14" t="e">
        <f ca="1">_xll.BDH($C$203,"EBITDA_TO_REVENUE","FQ1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214" t="e">
        <f ca="1">_xll.BDH($C$203,"OPER_MARGIN","FQ1 2016","FQ1 2016","Currency=INR","Period=FQ","BEST_FPERIOD_OVERRIDE=FQ","FILING_STATUS=OR","EQY_CONSOLIDATED=Y","FA_ADJUSTED=GAAP","Sort=A","Dates=H","DateFormat=P","Fill=—","Direction=H","UseDPDF=Y")</f>
        <v>#NAME?</v>
      </c>
      <c r="L214" t="e">
        <f ca="1">_xll.BDH($C$203,"INCREMENTAL_OPERATING_MARGIN","FQ1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14" t="e">
        <f ca="1">_xll.BDH($C$203,"PRETAX_INC_TO_NET_SALES","FQ1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14" t="e">
        <f ca="1">_xll.BDH($C$203,"INC_BEF_XO_ITEMS_TO_NET_SALES","FQ1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14" t="e">
        <f ca="1">_xll.BDH($C$203,"PROF_MARGIN","FQ1 2016","FQ1 2016","Currency=INR","Period=FQ","BEST_FPERIOD_OVERRIDE=FQ","FILING_STATUS=OR","EQY_CONSOLIDATED=Y","FA_ADJUSTED=GAAP","Sort=A","Dates=H","DateFormat=P","Fill=—","Direction=H","UseDPDF=Y")</f>
        <v>#NAME?</v>
      </c>
      <c r="P214" t="e">
        <f ca="1">_xll.BDH($C$203,"NET_INCOME_TO_COMMON_MARGIN","FQ1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14" t="e">
        <f ca="1">_xll.BDH($C$203,"EFF_TAX_RATE","FQ1 2016","FQ1 2016","Currency=INR","Period=FQ","BEST_FPERIOD_OVERRIDE=FQ","FILING_STATUS=OR","EQY_CONSOLIDATED=Y","FA_ADJUSTED=GAAP","Sort=A","Dates=H","DateFormat=P","Fill=—","Direction=H","UseDPDF=Y")</f>
        <v>#NAME?</v>
      </c>
      <c r="R214" t="e">
        <f ca="1">_xll.BDH($C$203,"DVD_PAYOUT_RATIO","FQ1 2016","FQ1 2016","Currency=INR","Period=FQ","BEST_FPERIOD_OVERRIDE=FQ","FILING_STATUS=OR","EQY_CONSOLIDATED=Y","FA_ADJUSTED=GAAP","Sort=A","Dates=H","DateFormat=P","Fill=—","Direction=H","UseDPDF=Y")</f>
        <v>#NAME?</v>
      </c>
      <c r="S214" t="e">
        <f ca="1">_xll.BDH($C$203,"SUSTAIN_GROWTH_RT","FQ1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214" s="1" t="e">
        <f ca="1">_xll.BDH($C$203,"SALES_GROWTH","FQ1 2016","FQ1 2016","Currency=INR","Period=FQ","BEST_FPERIOD_OVERRIDE=FQ","FILING_STATUS=OR","EQY_CONSOLIDATED=Y","FA_ADJUSTED=GAAP","Sort=A","Dates=H","DateFormat=P","Fill=—","Direction=H","UseDPDF=Y")</f>
        <v>#NAME?</v>
      </c>
      <c r="U214" s="1" t="e">
        <f ca="1">_xll.BDH($C$203,"EBITDA_GROWTH","FQ1 2016","FQ1 2016","Currency=INR","Period=FQ","BEST_FPERIOD_OVERRIDE=FQ","FILING_STATUS=OR","EQY_CONSOLIDATED=Y","FA_ADJUSTED=GAAP","Sort=A","Dates=H","DateFormat=P","Fill=—","Direction=H","UseDPDF=Y")</f>
        <v>#NAME?</v>
      </c>
      <c r="V214" s="1" t="e">
        <f ca="1">_xll.BDH($C$203,"OPER_INC_GROWTH","FQ1 2016","FQ1 2016","Currency=INR","Period=FQ","BEST_FPERIOD_OVERRIDE=FQ","FILING_STATUS=OR","EQY_CONSOLIDATED=Y","FA_ADJUSTED=GAAP","Sort=A","Dates=H","DateFormat=P","Fill=—","Direction=H","UseDPDF=Y")</f>
        <v>#NAME?</v>
      </c>
      <c r="W214" s="1" t="e">
        <f ca="1">_xll.BDH($C$203,"EARN_FOR_COM_GROWTH","FQ1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14" s="1" t="e">
        <f ca="1">_xll.BDH($C$203,"DILUTED_EPS_AFT_XO_ITEMS_GROWTH","FQ1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14" s="1" t="e">
        <f ca="1">_xll.BDH($C$203,"DIVIDEND_PER_SHARE_1_YEAR_GROWTH","FQ1 2016","FQ1 2016","Currency=INR","Period=FQ","BEST_FPERIOD_OVERRIDE=FQ","FILING_STATUS=OR","EQY_CONSOLIDATED=Y","Sort=A","Dates=H","DateFormat=P","Fill=—","Direction=H","UseDPDF=Y")</f>
        <v>#NAME?</v>
      </c>
      <c r="Z214" s="1" t="e">
        <f ca="1">_xll.BDH($C$203,"ACCOUNTS_RECEIVABLE_GROWTH","FQ1 2016","FQ1 2016","Currency=INR","Period=FQ","BEST_FPERIOD_OVERRIDE=FQ","FILING_STATUS=OR","EQY_CONSOLIDATED=Y","Sort=A","Dates=H","DateFormat=P","Fill=—","Direction=H","UseDPDF=Y")</f>
        <v>#NAME?</v>
      </c>
      <c r="AA214" s="1" t="e">
        <f ca="1">_xll.BDH($C$203,"INVENTORY_GROWTH","FQ1 2016","FQ1 2016","Currency=INR","Period=FQ","BEST_FPERIOD_OVERRIDE=FQ","FILING_STATUS=OR","EQY_CONSOLIDATED=Y","Sort=A","Dates=H","DateFormat=P","Fill=—","Direction=H","UseDPDF=Y")</f>
        <v>#NAME?</v>
      </c>
      <c r="AB214" s="1" t="e">
        <f ca="1">_xll.BDH($C$203,"NET_FIXED_ASSETS_1_YEAR_GROWTH","FQ1 2016","FQ1 2016","Currency=INR","Period=FQ","BEST_FPERIOD_OVERRIDE=FQ","FILING_STATUS=OR","EQY_CONSOLIDATED=Y","Sort=A","Dates=H","DateFormat=P","Fill=—","Direction=H","UseDPDF=Y")</f>
        <v>#NAME?</v>
      </c>
      <c r="AC214" s="1" t="e">
        <f ca="1">_xll.BDH($C$203,"ASSET_GROWTH","FQ1 2016","FQ1 2016","Currency=INR","Period=FQ","BEST_FPERIOD_OVERRIDE=FQ","FILING_STATUS=OR","EQY_CONSOLIDATED=Y","Sort=A","Dates=H","DateFormat=P","Fill=—","Direction=H","UseDPDF=Y")</f>
        <v>#NAME?</v>
      </c>
      <c r="AD214" s="1" t="e">
        <f ca="1">_xll.BDH($C$203,"MODIFIED_WORK_CAP_GROWTH","FQ1 2016","FQ1 2016","Currency=INR","Period=FQ","BEST_FPERIOD_OVERRIDE=FQ","FILING_STATUS=OR","EQY_CONSOLIDATED=Y","Sort=A","Dates=H","DateFormat=P","Fill=—","Direction=H","UseDPDF=Y")</f>
        <v>#NAME?</v>
      </c>
      <c r="AE214" s="1" t="e">
        <f ca="1">_xll.BDH($C$203,"WORK_CAP_GROWTH","FQ1 2016","FQ1 2016","Currency=INR","Period=FQ","BEST_FPERIOD_OVERRIDE=FQ","FILING_STATUS=OR","EQY_CONSOLIDATED=Y","Sort=A","Dates=H","DateFormat=P","Fill=—","Direction=H","UseDPDF=Y")</f>
        <v>#NAME?</v>
      </c>
      <c r="AF214" s="1" t="e">
        <f ca="1">_xll.BDH($C$203,"ACCOUNTS_PAYABLE_GROWTH_1YR","FQ1 2016","FQ1 2016","Currency=INR","Period=FQ","BEST_FPERIOD_OVERRIDE=FQ","FILING_STATUS=OR","EQY_CONSOLIDATED=Y","Sort=A","Dates=H","DateFormat=P","Fill=—","Direction=H","UseDPDF=Y")</f>
        <v>#NAME?</v>
      </c>
      <c r="AG214" s="1" t="e">
        <f ca="1">_xll.BDH($C$203,"SHORT_TERM_DEBT_1_YEAR_GROWTH","FQ1 2016","FQ1 2016","Currency=INR","Period=FQ","BEST_FPERIOD_OVERRIDE=FQ","FILING_STATUS=OR","EQY_CONSOLIDATED=Y","Sort=A","Dates=H","DateFormat=P","Fill=—","Direction=H","UseDPDF=Y")</f>
        <v>#NAME?</v>
      </c>
      <c r="AH214" s="1" t="e">
        <f ca="1">_xll.BDH($C$203,"TOTAL_DEBT_1_YEAR_GROWTH","FQ1 2016","FQ1 2016","Currency=INR","Period=FQ","BEST_FPERIOD_OVERRIDE=FQ","FILING_STATUS=OR","EQY_CONSOLIDATED=Y","Sort=A","Dates=H","DateFormat=P","Fill=—","Direction=H","UseDPDF=Y")</f>
        <v>#NAME?</v>
      </c>
      <c r="AI214" s="1" t="e">
        <f ca="1">_xll.BDH($C$203,"TOTAL_EQUITY_1_YEAR_GROWTH","FQ1 2016","FQ1 2016","Currency=INR","Period=FQ","BEST_FPERIOD_OVERRIDE=FQ","FILING_STATUS=OR","EQY_CONSOLIDATED=Y","Sort=A","Dates=H","DateFormat=P","Fill=—","Direction=H","UseDPDF=Y")</f>
        <v>#NAME?</v>
      </c>
      <c r="AJ214" s="1" t="e">
        <f ca="1">_xll.BDH($C$203,"GROWTH_IN_CAP","FQ1 2016","FQ1 2016","Currency=INR","Period=FQ","BEST_FPERIOD_OVERRIDE=FQ","FILING_STATUS=OR","EQY_CONSOLIDATED=Y","Sort=A","Dates=H","DateFormat=P","Fill=—","Direction=H","UseDPDF=Y")</f>
        <v>#NAME?</v>
      </c>
      <c r="AK214" s="1" t="e">
        <f ca="1">_xll.BDH($C$203,"BVPS_GROWTH","FQ1 2016","FQ1 2016","Currency=INR","Period=FQ","BEST_FPERIOD_OVERRIDE=FQ","FILING_STATUS=OR","EQY_CONSOLIDATED=Y","Sort=A","Dates=H","DateFormat=P","Fill=—","Direction=H","UseDPDF=Y")</f>
        <v>#NAME?</v>
      </c>
      <c r="AL214" s="1" t="e">
        <f ca="1">_xll.BDH($C$203,"CASH_FLOW_GROWTH","FQ1 2016","FQ1 2016","Currency=INR","Period=FQ","BEST_FPERIOD_OVERRIDE=FQ","FILING_STATUS=OR","EQY_CONSOLIDATED=Y","Sort=A","Dates=H","DateFormat=P","Fill=—","Direction=H","UseDPDF=Y")</f>
        <v>#NAME?</v>
      </c>
      <c r="AM214" s="1" t="e">
        <f ca="1">_xll.BDH($C$203,"GEO_GROW_NET_SALES","FQ1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14" s="1" t="e">
        <f ca="1">_xll.BDH($C$203,"GEO_GROW_EBITDA","FQ1 2016","FQ1 2016","Currency=INR","Period=FQ","BEST_FPERIOD_OVERRIDE=FQ","FILING_STATUS=OR","EQY_CONSOLIDATED=Y","FA_ADJUSTED=GAAP","Sort=A","Dates=H","DateFormat=P","Fill=—","Direction=H","UseDPDF=Y")</f>
        <v>#NAME?</v>
      </c>
      <c r="AO214" s="1" t="e">
        <f ca="1">_xll.BDH($C$203,"GEO_GROW_OPER_INC","FQ1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14" s="1" t="e">
        <f ca="1">_xll.BDH($C$203,"NET_INCOME_TO_COMMON_5_YR_GROWTH","FQ1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14" s="1" t="e">
        <f ca="1">_xll.BDH($C$203,"5Y_GEO_GROWTH_DILUTED_EPS","FQ1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14" s="1" t="e">
        <f ca="1">_xll.BDH($C$203,"GEO_GROW_DVD_PER_SH","FQ1 2016","FQ1 2016","Currency=INR","Period=FQ","BEST_FPERIOD_OVERRIDE=FQ","FILING_STATUS=OR","EQY_CONSOLIDATED=Y","Sort=A","Dates=H","DateFormat=P","Fill=—","Direction=H","UseDPDF=Y")</f>
        <v>#NAME?</v>
      </c>
      <c r="AS214" s="1" t="e">
        <f ca="1">_xll.BDH($C$203,"ACCOUNTS_RECEIVABLE_5_YR_GROWTH","FQ1 2016","FQ1 2016","Currency=INR","Period=FQ","BEST_FPERIOD_OVERRIDE=FQ","FILING_STATUS=OR","EQY_CONSOLIDATED=Y","Sort=A","Dates=H","DateFormat=P","Fill=—","Direction=H","UseDPDF=Y")</f>
        <v>#NAME?</v>
      </c>
      <c r="AT214" s="1" t="e">
        <f ca="1">_xll.BDH($C$203,"INVENTORY_5_YEAR_GROWTH","FQ1 2016","FQ1 2016","Currency=INR","Period=FQ","BEST_FPERIOD_OVERRIDE=FQ","FILING_STATUS=OR","EQY_CONSOLIDATED=Y","Sort=A","Dates=H","DateFormat=P","Fill=—","Direction=H","UseDPDF=Y")</f>
        <v>#NAME?</v>
      </c>
      <c r="AU214" s="1" t="e">
        <f ca="1">_xll.BDH($C$203,"NET_FIXED_ASSETS_5_YEAR_GROWTH","FQ1 2016","FQ1 2016","Currency=INR","Period=FQ","BEST_FPERIOD_OVERRIDE=FQ","FILING_STATUS=OR","EQY_CONSOLIDATED=Y","Sort=A","Dates=H","DateFormat=P","Fill=—","Direction=H","UseDPDF=Y")</f>
        <v>#NAME?</v>
      </c>
      <c r="AV214" s="1" t="e">
        <f ca="1">_xll.BDH($C$203,"GEO_GROW_TOT_ASSET","FQ1 2016","FQ1 2016","Currency=INR","Period=FQ","BEST_FPERIOD_OVERRIDE=FQ","FILING_STATUS=OR","EQY_CONSOLIDATED=Y","Sort=A","Dates=H","DateFormat=P","Fill=—","Direction=H","UseDPDF=Y")</f>
        <v>#NAME?</v>
      </c>
      <c r="AW214" s="1" t="e">
        <f ca="1">_xll.BDH($C$203,"MODIFIED_WORKING_CPTL_5YR_GRWTH","FQ1 2016","FQ1 2016","Currency=INR","Period=FQ","BEST_FPERIOD_OVERRIDE=FQ","FILING_STATUS=OR","EQY_CONSOLIDATED=Y","Sort=A","Dates=H","DateFormat=P","Fill=—","Direction=H","UseDPDF=Y")</f>
        <v>#NAME?</v>
      </c>
      <c r="AX214" s="1" t="e">
        <f ca="1">_xll.BDH($C$203,"WORKING_CAPITAL_5_YEAR_GROWTH","FQ1 2016","FQ1 2016","Currency=INR","Period=FQ","BEST_FPERIOD_OVERRIDE=FQ","FILING_STATUS=OR","EQY_CONSOLIDATED=Y","Sort=A","Dates=H","DateFormat=P","Fill=—","Direction=H","UseDPDF=Y")</f>
        <v>#NAME?</v>
      </c>
      <c r="AY214" s="1" t="e">
        <f ca="1">_xll.BDH($C$203,"ACCOUNTS_PAYABLE_5_YEAR_GROWTH","FQ1 2016","FQ1 2016","Currency=INR","Period=FQ","BEST_FPERIOD_OVERRIDE=FQ","FILING_STATUS=OR","EQY_CONSOLIDATED=Y","Sort=A","Dates=H","DateFormat=P","Fill=—","Direction=H","UseDPDF=Y")</f>
        <v>#NAME?</v>
      </c>
      <c r="AZ214" s="1" t="e">
        <f ca="1">_xll.BDH($C$203,"SHORT_TERM_DEBT_5_YEAR_GROWTH","FQ1 2016","FQ1 2016","Currency=INR","Period=FQ","BEST_FPERIOD_OVERRIDE=FQ","FILING_STATUS=OR","EQY_CONSOLIDATED=Y","Sort=A","Dates=H","DateFormat=P","Fill=—","Direction=H","UseDPDF=Y")</f>
        <v>#NAME?</v>
      </c>
      <c r="BA214" s="1" t="e">
        <f ca="1">_xll.BDH($C$203,"TOTAL_DEBT_5_YEAR_GROWTH","FQ1 2016","FQ1 2016","Currency=INR","Period=FQ","BEST_FPERIOD_OVERRIDE=FQ","FILING_STATUS=OR","EQY_CONSOLIDATED=Y","Sort=A","Dates=H","DateFormat=P","Fill=—","Direction=H","UseDPDF=Y")</f>
        <v>#NAME?</v>
      </c>
      <c r="BB214" s="1" t="e">
        <f ca="1">_xll.BDH($C$203,"GEO_GROW_TOT_SHRHLDR_EQY","FQ1 2016","FQ1 2016","Currency=INR","Period=FQ","BEST_FPERIOD_OVERRIDE=FQ","FILING_STATUS=OR","EQY_CONSOLIDATED=Y","Sort=A","Dates=H","DateFormat=P","Fill=—","Direction=H","UseDPDF=Y")</f>
        <v>#NAME?</v>
      </c>
      <c r="BC214" s="1" t="e">
        <f ca="1">_xll.BDH($C$203,"TOTAL_CAPITAL_5_YEAR_GROWTH","FQ1 2016","FQ1 2016","Currency=INR","Period=FQ","BEST_FPERIOD_OVERRIDE=FQ","FILING_STATUS=OR","EQY_CONSOLIDATED=Y","Sort=A","Dates=H","DateFormat=P","Fill=—","Direction=H","UseDPDF=Y")</f>
        <v>#NAME?</v>
      </c>
      <c r="BD214" s="1" t="e">
        <f ca="1">_xll.BDH($C$203,"GEO_GROW_BOOK_VAL","FQ1 2016","FQ1 2016","Currency=INR","Period=FQ","BEST_FPERIOD_OVERRIDE=FQ","FILING_STATUS=OR","EQY_CONSOLIDATED=Y","Sort=A","Dates=H","DateFormat=P","Fill=—","Direction=H","UseDPDF=Y")</f>
        <v>#NAME?</v>
      </c>
      <c r="BE214" s="1" t="e">
        <f ca="1">_xll.BDH($C$203,"GEO_GROW_CASH_OPER_ACT","FQ1 2016","FQ1 2016","Currency=INR","Period=FQ","BEST_FPERIOD_OVERRIDE=FQ","FILING_STATUS=OR","EQY_CONSOLIDATED=Y","Sort=A","Dates=H","DateFormat=P","Fill=—","Direction=H","UseDPDF=Y")</f>
        <v>#NAME?</v>
      </c>
      <c r="BF214" s="1" t="e">
        <f ca="1">_xll.BDH($C$203,"REVENUE_SEQUENTIAL_GROWTH","FQ1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14" s="1" t="e">
        <f ca="1">_xll.BDH($C$203,"EBITDA_SEQUENTIAL_GROWTH","FQ1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14" s="1" t="e">
        <f ca="1">_xll.BDH($C$203,"OPERATING_INCOME_SEQ_GROWTH","FQ1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14" s="1" t="e">
        <f ca="1">_xll.BDH($C$203,"NET_INCOME_TO_COMMON_SEQ_GROWTH","FQ1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14" s="1" t="e">
        <f ca="1">_xll.BDH($C$203,"EPS_DILUTED_SEQUENTIAL_GROWTH","FQ1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14" s="1" t="e">
        <f ca="1">_xll.BDH($C$203,"DPS_SEQUENTIAL_GROWTH","FQ1 2016","FQ1 2016","Currency=INR","Period=FQ","BEST_FPERIOD_OVERRIDE=FQ","FILING_STATUS=OR","EQY_CONSOLIDATED=Y","Sort=A","Dates=H","DateFormat=P","Fill=—","Direction=H","UseDPDF=Y")</f>
        <v>#NAME?</v>
      </c>
      <c r="BL214" s="1" t="e">
        <f ca="1">_xll.BDH($C$203,"ACCOUNTS_RECEIVABLE_SEQ_GROWTH","FQ1 2016","FQ1 2016","Currency=INR","Period=FQ","BEST_FPERIOD_OVERRIDE=FQ","FILING_STATUS=OR","EQY_CONSOLIDATED=Y","Sort=A","Dates=H","DateFormat=P","Fill=—","Direction=H","UseDPDF=Y")</f>
        <v>#NAME?</v>
      </c>
      <c r="BM214" s="1" t="e">
        <f ca="1">_xll.BDH($C$203,"INVENTORY_SEQUENTIAL_GROWTH","FQ1 2016","FQ1 2016","Currency=INR","Period=FQ","BEST_FPERIOD_OVERRIDE=FQ","FILING_STATUS=OR","EQY_CONSOLIDATED=Y","Sort=A","Dates=H","DateFormat=P","Fill=—","Direction=H","UseDPDF=Y")</f>
        <v>#NAME?</v>
      </c>
      <c r="BN214" s="1" t="e">
        <f ca="1">_xll.BDH($C$203,"FIXED_ASSETS_SEQUENTIAL_GROWTH","FQ1 2016","FQ1 2016","Currency=INR","Period=FQ","BEST_FPERIOD_OVERRIDE=FQ","FILING_STATUS=OR","EQY_CONSOLIDATED=Y","Sort=A","Dates=H","DateFormat=P","Fill=—","Direction=H","UseDPDF=Y")</f>
        <v>#NAME?</v>
      </c>
      <c r="BO214" s="1" t="e">
        <f ca="1">_xll.BDH($C$203,"TOTAL_ASSETS_SEQUENTIAL_GROWTH","FQ1 2016","FQ1 2016","Currency=INR","Period=FQ","BEST_FPERIOD_OVERRIDE=FQ","FILING_STATUS=OR","EQY_CONSOLIDATED=Y","Sort=A","Dates=H","DateFormat=P","Fill=—","Direction=H","UseDPDF=Y")</f>
        <v>#NAME?</v>
      </c>
      <c r="BP214" s="1" t="e">
        <f ca="1">_xll.BDH($C$203,"MODIFIED_WORKING_CPTL_SEQ_GRWTH","FQ1 2016","FQ1 2016","Currency=INR","Period=FQ","BEST_FPERIOD_OVERRIDE=FQ","FILING_STATUS=OR","EQY_CONSOLIDATED=Y","Sort=A","Dates=H","DateFormat=P","Fill=—","Direction=H","UseDPDF=Y")</f>
        <v>#NAME?</v>
      </c>
      <c r="BQ214" s="1" t="e">
        <f ca="1">_xll.BDH($C$203,"WORKING_CAPITAL_SEQ_GROWTH","FQ1 2016","FQ1 2016","Currency=INR","Period=FQ","BEST_FPERIOD_OVERRIDE=FQ","FILING_STATUS=OR","EQY_CONSOLIDATED=Y","Sort=A","Dates=H","DateFormat=P","Fill=—","Direction=H","UseDPDF=Y")</f>
        <v>#NAME?</v>
      </c>
      <c r="BR214" s="1" t="e">
        <f ca="1">_xll.BDH($C$203,"ACCOUNTS_PAYABLE_SEQ_GROWTH","FQ1 2016","FQ1 2016","Currency=INR","Period=FQ","BEST_FPERIOD_OVERRIDE=FQ","FILING_STATUS=OR","EQY_CONSOLIDATED=Y","Sort=A","Dates=H","DateFormat=P","Fill=—","Direction=H","UseDPDF=Y")</f>
        <v>#NAME?</v>
      </c>
      <c r="BS214" s="1" t="e">
        <f ca="1">_xll.BDH($C$203,"ST_DEBT_SEQUENTIAL_GROWTH","FQ1 2016","FQ1 2016","Currency=INR","Period=FQ","BEST_FPERIOD_OVERRIDE=FQ","FILING_STATUS=OR","EQY_CONSOLIDATED=Y","Sort=A","Dates=H","DateFormat=P","Fill=—","Direction=H","UseDPDF=Y")</f>
        <v>#NAME?</v>
      </c>
      <c r="BT214" s="1" t="e">
        <f ca="1">_xll.BDH($C$203,"TOTAL_DEBT_SEQUENTIAL_GROWTH","FQ1 2016","FQ1 2016","Currency=INR","Period=FQ","BEST_FPERIOD_OVERRIDE=FQ","FILING_STATUS=OR","EQY_CONSOLIDATED=Y","Sort=A","Dates=H","DateFormat=P","Fill=—","Direction=H","UseDPDF=Y")</f>
        <v>#NAME?</v>
      </c>
      <c r="BU214" s="1" t="e">
        <f ca="1">_xll.BDH($C$203,"TOTAL_EQUITY_SEQUENTIAL_GROWTH","FQ1 2016","FQ1 2016","Currency=INR","Period=FQ","BEST_FPERIOD_OVERRIDE=FQ","FILING_STATUS=OR","EQY_CONSOLIDATED=Y","Sort=A","Dates=H","DateFormat=P","Fill=—","Direction=H","UseDPDF=Y")</f>
        <v>#NAME?</v>
      </c>
      <c r="BV214" s="1" t="e">
        <f ca="1">_xll.BDH($C$203,"TOTAL_CAPITAL_SEQUENTIAL_GROWTH","FQ1 2016","FQ1 2016","Currency=INR","Period=FQ","BEST_FPERIOD_OVERRIDE=FQ","FILING_STATUS=OR","EQY_CONSOLIDATED=Y","Sort=A","Dates=H","DateFormat=P","Fill=—","Direction=H","UseDPDF=Y")</f>
        <v>#NAME?</v>
      </c>
      <c r="BW214" s="1" t="e">
        <f ca="1">_xll.BDH($C$203,"BPS_SEQUENTIAL_GROWTH","FQ1 2016","FQ1 2016","Currency=INR","Period=FQ","BEST_FPERIOD_OVERRIDE=FQ","FILING_STATUS=OR","EQY_CONSOLIDATED=Y","Sort=A","Dates=H","DateFormat=P","Fill=—","Direction=H","UseDPDF=Y")</f>
        <v>#NAME?</v>
      </c>
      <c r="BX214" s="1" t="e">
        <f ca="1">_xll.BDH($C$203,"CFO_SEQUENTIAL_GROWTH","FQ1 2016","FQ1 2016","Currency=INR","Period=FQ","BEST_FPERIOD_OVERRIDE=FQ","FILING_STATUS=OR","EQY_CONSOLIDATED=Y","Sort=A","Dates=H","DateFormat=P","Fill=—","Direction=H","UseDPDF=Y")</f>
        <v>#NAME?</v>
      </c>
      <c r="BY214" s="2" t="e">
        <f ca="1">_xll.BDH($C$203,"SHORT_AND_LONG_TERM_DEBT","FQ1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14" s="2" t="e">
        <f ca="1">_xll.BDH($C$203,"BS_ST_BORROW","FQ1 2016","FQ1 2016","Currency=INR","Period=FQ","BEST_FPERIOD_OVERRIDE=FQ","FILING_STATUS=OR","EQY_CONSOLIDATED=Y","SCALING_FORMAT=MLN","Sort=A","Dates=H","DateFormat=P","Fill=—","Direction=H","UseDPDF=Y")</f>
        <v>#NAME?</v>
      </c>
      <c r="CA214" s="2" t="e">
        <f ca="1">_xll.BDH($C$203,"BS_LT_BORROW","FQ1 2016","FQ1 2016","Currency=INR","Period=FQ","BEST_FPERIOD_OVERRIDE=FQ","FILING_STATUS=OR","EQY_CONSOLIDATED=Y","SCALING_FORMAT=MLN","Sort=A","Dates=H","DateFormat=P","Fill=—","Direction=H","UseDPDF=Y")</f>
        <v>#NAME?</v>
      </c>
      <c r="CB214" s="1" t="e">
        <f ca="1">_xll.BDH($C$203,"TOT_DEBT_TO_EBITDA","FQ1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14" s="1" t="e">
        <f ca="1">_xll.BDH($C$203,"NET_DEBT_TO_EBITDA","FQ1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14" s="1" t="e">
        <f ca="1">_xll.BDH($C$203,"TOTAL_DEBT_TO_EBIT","FQ1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14" s="1" t="e">
        <f ca="1">_xll.BDH($C$203,"NET_DEBT_TO_EBIT","FQ1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214" s="1" t="e">
        <f ca="1">_xll.BDH($C$203,"EBITDA_TO_INTEREST_EXPN","FQ1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14" s="1" t="e">
        <f ca="1">_xll.BDH($C$203,"COM_EQY_TO_TOT_ASSET","FQ1 2016","FQ1 2016","Currency=INR","Period=FQ","BEST_FPERIOD_OVERRIDE=FQ","FILING_STATUS=OR","EQY_CONSOLIDATED=Y","Sort=A","Dates=H","DateFormat=P","Fill=—","Direction=H","UseDPDF=Y")</f>
        <v>#NAME?</v>
      </c>
      <c r="CH214" s="1" t="e">
        <f ca="1">_xll.BDH($C$203,"LT_DEBT_TO_TOT_EQY","FQ1 2016","FQ1 2016","Currency=INR","Period=FQ","BEST_FPERIOD_OVERRIDE=FQ","FILING_STATUS=OR","EQY_CONSOLIDATED=Y","Sort=A","Dates=H","DateFormat=P","Fill=—","Direction=H","UseDPDF=Y")</f>
        <v>#NAME?</v>
      </c>
      <c r="CI214" s="1" t="e">
        <f ca="1">_xll.BDH($C$203,"LT_DEBT_TO_TOT_CAP","FQ1 2016","FQ1 2016","Currency=INR","Period=FQ","BEST_FPERIOD_OVERRIDE=FQ","FILING_STATUS=OR","EQY_CONSOLIDATED=Y","Sort=A","Dates=H","DateFormat=P","Fill=—","Direction=H","UseDPDF=Y")</f>
        <v>#NAME?</v>
      </c>
      <c r="CJ214" s="1" t="e">
        <f ca="1">_xll.BDH($C$203,"LT_DEBT_TO_TOT_ASSET","FQ1 2016","FQ1 2016","Currency=INR","Period=FQ","BEST_FPERIOD_OVERRIDE=FQ","FILING_STATUS=OR","EQY_CONSOLIDATED=Y","Sort=A","Dates=H","DateFormat=P","Fill=—","Direction=H","UseDPDF=Y")</f>
        <v>#NAME?</v>
      </c>
      <c r="CK214" s="1" t="e">
        <f ca="1">_xll.BDH($C$203,"TOT_DEBT_TO_TOT_EQY","FQ1 2016","FQ1 2016","Currency=INR","Period=FQ","BEST_FPERIOD_OVERRIDE=FQ","FILING_STATUS=OR","EQY_CONSOLIDATED=Y","Sort=A","Dates=H","DateFormat=P","Fill=—","Direction=H","UseDPDF=Y")</f>
        <v>#NAME?</v>
      </c>
      <c r="CL214" s="1" t="e">
        <f ca="1">_xll.BDH($C$203,"TOT_DEBT_TO_TOT_CAP","FQ1 2016","FQ1 2016","Currency=INR","Period=FQ","BEST_FPERIOD_OVERRIDE=FQ","FILING_STATUS=OR","EQY_CONSOLIDATED=Y","Sort=A","Dates=H","DateFormat=P","Fill=—","Direction=H","UseDPDF=Y")</f>
        <v>#NAME?</v>
      </c>
      <c r="CM214" s="1" t="e">
        <f ca="1">_xll.BDH($C$203,"TOT_DEBT_TO_TOT_ASSET","FQ1 2016","FQ1 2016","Currency=INR","Period=FQ","BEST_FPERIOD_OVERRIDE=FQ","FILING_STATUS=OR","EQY_CONSOLIDATED=Y","Sort=A","Dates=H","DateFormat=P","Fill=—","Direction=H","UseDPDF=Y")</f>
        <v>#NAME?</v>
      </c>
      <c r="CN214" s="1" t="e">
        <f ca="1">_xll.BDH($C$203,"NET_DEBT_TO_SHRHLDR_EQTY","FQ1 2016","FQ1 2016","Currency=INR","Period=FQ","BEST_FPERIOD_OVERRIDE=FQ","FILING_STATUS=OR","EQY_CONSOLIDATED=Y","Sort=A","Dates=H","DateFormat=P","Fill=—","Direction=H","UseDPDF=Y")</f>
        <v>#NAME?</v>
      </c>
      <c r="CO214" s="1" t="e">
        <f ca="1">_xll.BDH($C$203,"NET_DEBT_%_CAPITAL","FQ1 2016","FQ1 2016","Currency=INR","Period=FQ","BEST_FPERIOD_OVERRIDE=FQ","FILING_STATUS=OR","EQY_CONSOLIDATED=Y","Sort=A","Dates=H","DateFormat=P","Fill=—","Direction=H","UseDPDF=Y")</f>
        <v>#NAME?</v>
      </c>
      <c r="CP214" s="2" t="e">
        <f ca="1">_xll.BDH($C$203,"EBITDA","FQ1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14" s="2" t="e">
        <f ca="1">_xll.BDH($C$203,"EBITDA_AFTER_CAPEX","FQ1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14" s="2" t="e">
        <f ca="1">_xll.BDH($C$203,"IS_OPER_INC","FQ1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14" s="1" t="e">
        <f ca="1">_xll.BDH($C$203,"CASH_RATIO","FQ1 2016","FQ1 2016","Currency=INR","Period=FQ","BEST_FPERIOD_OVERRIDE=FQ","FILING_STATUS=OR","EQY_CONSOLIDATED=Y","Sort=A","Dates=H","DateFormat=P","Fill=—","Direction=H","UseDPDF=Y")</f>
        <v>#NAME?</v>
      </c>
      <c r="CT214" s="1" t="e">
        <f ca="1">_xll.BDH($C$203,"CUR_RATIO","FQ1 2016","FQ1 2016","Currency=INR","Period=FQ","BEST_FPERIOD_OVERRIDE=FQ","FILING_STATUS=OR","EQY_CONSOLIDATED=Y","Sort=A","Dates=H","DateFormat=P","Fill=—","Direction=H","UseDPDF=Y")</f>
        <v>#NAME?</v>
      </c>
      <c r="CU214" s="1" t="e">
        <f ca="1">_xll.BDH($C$203,"QUICK_RATIO","FQ1 2016","FQ1 2016","Currency=INR","Period=FQ","BEST_FPERIOD_OVERRIDE=FQ","FILING_STATUS=OR","EQY_CONSOLIDATED=Y","Sort=A","Dates=H","DateFormat=P","Fill=—","Direction=H","UseDPDF=Y")</f>
        <v>#NAME?</v>
      </c>
      <c r="CV214" s="1" t="e">
        <f ca="1">_xll.BDH($C$203,"ALTMAN_Z_SCORE","FQ1 2016","FQ1 2016","Currency=INR","Period=FQ","BEST_FPERIOD_OVERRIDE=FQ","FILING_STATUS=OR","EQY_CONSOLIDATED=Y","Sort=A","Dates=H","DateFormat=P","Fill=—","Direction=H","UseDPDF=Y")</f>
        <v>#NAME?</v>
      </c>
      <c r="CW214" s="3" t="e">
        <f ca="1">_xll.BDH($C$203,"ACCT_RCV_TURN","FQ1 2016","FQ1 2016","Currency=INR","Period=FQ","BEST_FPERIOD_OVERRIDE=FQ","FILING_STATUS=OR","EQY_CONSOLIDATED=Y","FA_ADJUSTED=GAAP","Sort=A","Dates=H","DateFormat=P","Fill=—","Direction=H","UseDPDF=Y")</f>
        <v>#NAME?</v>
      </c>
      <c r="CX214" s="1" t="e">
        <f ca="1">_xll.BDH($C$203,"ACCT_RCV_DAYS","FQ1 2016","FQ1 2016","Currency=INR","Period=FQ","BEST_FPERIOD_OVERRIDE=FQ","FILING_STATUS=OR","EQY_CONSOLIDATED=Y","FA_ADJUSTED=GAAP","Sort=A","Dates=H","DateFormat=P","Fill=—","Direction=H","UseDPDF=Y")</f>
        <v>#NAME?</v>
      </c>
      <c r="CY214" s="3" t="e">
        <f ca="1">_xll.BDH($C$203,"INVENT_TURN","FQ1 2016","FQ1 2016","Currency=INR","Period=FQ","BEST_FPERIOD_OVERRIDE=FQ","FILING_STATUS=OR","EQY_CONSOLIDATED=Y","FA_ADJUSTED=GAAP","Sort=A","Dates=H","DateFormat=P","Fill=—","Direction=H","UseDPDF=Y")</f>
        <v>#NAME?</v>
      </c>
      <c r="CZ214" s="1" t="e">
        <f ca="1">_xll.BDH($C$203,"INVENT_DAYS","FQ1 2016","FQ1 2016","Currency=INR","Period=FQ","BEST_FPERIOD_OVERRIDE=FQ","FILING_STATUS=OR","EQY_CONSOLIDATED=Y","FA_ADJUSTED=GAAP","Sort=A","Dates=H","DateFormat=P","Fill=—","Direction=H","UseDPDF=Y")</f>
        <v>#NAME?</v>
      </c>
      <c r="DA214" s="3" t="e">
        <f ca="1">_xll.BDH($C$203,"ACCOUNTS_PAYABLE_TURNOVER","FQ1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14" s="1" t="e">
        <f ca="1">_xll.BDH($C$203,"ACCOUNTS_PAYABLE_TURNOVER_DAYS","FQ1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14" s="3" t="e">
        <f ca="1">_xll.BDH($C$203,"CASH_CONVERSION_CYCLE","FQ1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14" s="3" t="e">
        <f ca="1">_xll.BDH($C$203,"INV_TO_CASH_DAYS","FQ1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214" s="4" t="e">
        <f ca="1">_xll.BDH($C$203,"BS_INVENTORIES","FQ1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214" s="2" t="e">
        <f ca="1">_xll.BDH($C$203,"INVTRY_RAW_MATERIALS","FQ1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14" s="2" t="e">
        <f ca="1">_xll.BDH($C$203,"INVTRY_IN_PROGRESS","FQ1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14" s="2" t="e">
        <f ca="1">_xll.BDH($C$203,"INVTRY_FINISHED_GOODS","FQ1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14" s="2" t="e">
        <f ca="1">_xll.BDH($C$203,"BS_OTHER_INV","FQ1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15" spans="1:113" x14ac:dyDescent="0.3">
      <c r="A215" s="6"/>
      <c r="B215" s="6"/>
      <c r="C215" s="6"/>
      <c r="D215" s="6"/>
      <c r="E215" t="s">
        <v>5</v>
      </c>
      <c r="F215" t="e">
        <f ca="1">_xll.BDH($C$203,"RETURN_COM_EQY","FQ2 2016","FQ2 2016","Currency=INR","Period=FQ","BEST_FPERIOD_OVERRIDE=FQ","FILING_STATUS=OR","EQY_CONSOLIDATED=Y","FA_ADJUSTED=GAAP","Sort=A","Dates=H","DateFormat=P","Fill=—","Direction=H","UseDPDF=Y")</f>
        <v>#NAME?</v>
      </c>
      <c r="G215" t="e">
        <f ca="1">_xll.BDH($C$203,"RETURN_ON_ASSET","FQ2 2016","FQ2 2016","Currency=INR","Period=FQ","BEST_FPERIOD_OVERRIDE=FQ","FILING_STATUS=OR","EQY_CONSOLIDATED=Y","FA_ADJUSTED=GAAP","Sort=A","Dates=H","DateFormat=P","Fill=—","Direction=H","UseDPDF=Y")</f>
        <v>#NAME?</v>
      </c>
      <c r="H215" t="e">
        <f ca="1">_xll.BDH($C$203,"RETURN_ON_CAP","FQ2 2016","FQ2 2016","Currency=INR","Period=FQ","BEST_FPERIOD_OVERRIDE=FQ","FILING_STATUS=OR","EQY_CONSOLIDATED=Y","FA_ADJUSTED=GAAP","Sort=A","Dates=H","DateFormat=P","Fill=—","Direction=H","UseDPDF=Y")</f>
        <v>#NAME?</v>
      </c>
      <c r="I215" t="e">
        <f ca="1">_xll.BDH($C$203,"RETURN_ON_INV_CAPITAL","FQ2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15" t="e">
        <f ca="1">_xll.BDH($C$203,"EBITDA_TO_REVENUE","FQ2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215" t="e">
        <f ca="1">_xll.BDH($C$203,"OPER_MARGIN","FQ2 2016","FQ2 2016","Currency=INR","Period=FQ","BEST_FPERIOD_OVERRIDE=FQ","FILING_STATUS=OR","EQY_CONSOLIDATED=Y","FA_ADJUSTED=GAAP","Sort=A","Dates=H","DateFormat=P","Fill=—","Direction=H","UseDPDF=Y")</f>
        <v>#NAME?</v>
      </c>
      <c r="L215" t="e">
        <f ca="1">_xll.BDH($C$203,"INCREMENTAL_OPERATING_MARGIN","FQ2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15" t="e">
        <f ca="1">_xll.BDH($C$203,"PRETAX_INC_TO_NET_SALES","FQ2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15" t="e">
        <f ca="1">_xll.BDH($C$203,"INC_BEF_XO_ITEMS_TO_NET_SALES","FQ2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15" t="e">
        <f ca="1">_xll.BDH($C$203,"PROF_MARGIN","FQ2 2016","FQ2 2016","Currency=INR","Period=FQ","BEST_FPERIOD_OVERRIDE=FQ","FILING_STATUS=OR","EQY_CONSOLIDATED=Y","FA_ADJUSTED=GAAP","Sort=A","Dates=H","DateFormat=P","Fill=—","Direction=H","UseDPDF=Y")</f>
        <v>#NAME?</v>
      </c>
      <c r="P215" t="e">
        <f ca="1">_xll.BDH($C$203,"NET_INCOME_TO_COMMON_MARGIN","FQ2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15" t="e">
        <f ca="1">_xll.BDH($C$203,"EFF_TAX_RATE","FQ2 2016","FQ2 2016","Currency=INR","Period=FQ","BEST_FPERIOD_OVERRIDE=FQ","FILING_STATUS=OR","EQY_CONSOLIDATED=Y","FA_ADJUSTED=GAAP","Sort=A","Dates=H","DateFormat=P","Fill=—","Direction=H","UseDPDF=Y")</f>
        <v>#NAME?</v>
      </c>
      <c r="R215" t="e">
        <f ca="1">_xll.BDH($C$203,"DVD_PAYOUT_RATIO","FQ2 2016","FQ2 2016","Currency=INR","Period=FQ","BEST_FPERIOD_OVERRIDE=FQ","FILING_STATUS=OR","EQY_CONSOLIDATED=Y","FA_ADJUSTED=GAAP","Sort=A","Dates=H","DateFormat=P","Fill=—","Direction=H","UseDPDF=Y")</f>
        <v>#NAME?</v>
      </c>
      <c r="S215" t="e">
        <f ca="1">_xll.BDH($C$203,"SUSTAIN_GROWTH_RT","FQ2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215" s="1" t="e">
        <f ca="1">_xll.BDH($C$203,"SALES_GROWTH","FQ2 2016","FQ2 2016","Currency=INR","Period=FQ","BEST_FPERIOD_OVERRIDE=FQ","FILING_STATUS=OR","EQY_CONSOLIDATED=Y","FA_ADJUSTED=GAAP","Sort=A","Dates=H","DateFormat=P","Fill=—","Direction=H","UseDPDF=Y")</f>
        <v>#NAME?</v>
      </c>
      <c r="U215" s="1" t="e">
        <f ca="1">_xll.BDH($C$203,"EBITDA_GROWTH","FQ2 2016","FQ2 2016","Currency=INR","Period=FQ","BEST_FPERIOD_OVERRIDE=FQ","FILING_STATUS=OR","EQY_CONSOLIDATED=Y","FA_ADJUSTED=GAAP","Sort=A","Dates=H","DateFormat=P","Fill=—","Direction=H","UseDPDF=Y")</f>
        <v>#NAME?</v>
      </c>
      <c r="V215" s="1" t="e">
        <f ca="1">_xll.BDH($C$203,"OPER_INC_GROWTH","FQ2 2016","FQ2 2016","Currency=INR","Period=FQ","BEST_FPERIOD_OVERRIDE=FQ","FILING_STATUS=OR","EQY_CONSOLIDATED=Y","FA_ADJUSTED=GAAP","Sort=A","Dates=H","DateFormat=P","Fill=—","Direction=H","UseDPDF=Y")</f>
        <v>#NAME?</v>
      </c>
      <c r="W215" s="1" t="e">
        <f ca="1">_xll.BDH($C$203,"EARN_FOR_COM_GROWTH","FQ2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15" s="1" t="e">
        <f ca="1">_xll.BDH($C$203,"DILUTED_EPS_AFT_XO_ITEMS_GROWTH","FQ2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15" s="1" t="e">
        <f ca="1">_xll.BDH($C$203,"DIVIDEND_PER_SHARE_1_YEAR_GROWTH","FQ2 2016","FQ2 2016","Currency=INR","Period=FQ","BEST_FPERIOD_OVERRIDE=FQ","FILING_STATUS=OR","EQY_CONSOLIDATED=Y","Sort=A","Dates=H","DateFormat=P","Fill=—","Direction=H","UseDPDF=Y")</f>
        <v>#NAME?</v>
      </c>
      <c r="Z215" s="1" t="e">
        <f ca="1">_xll.BDH($C$203,"ACCOUNTS_RECEIVABLE_GROWTH","FQ2 2016","FQ2 2016","Currency=INR","Period=FQ","BEST_FPERIOD_OVERRIDE=FQ","FILING_STATUS=OR","EQY_CONSOLIDATED=Y","Sort=A","Dates=H","DateFormat=P","Fill=—","Direction=H","UseDPDF=Y")</f>
        <v>#NAME?</v>
      </c>
      <c r="AA215" s="1" t="e">
        <f ca="1">_xll.BDH($C$203,"INVENTORY_GROWTH","FQ2 2016","FQ2 2016","Currency=INR","Period=FQ","BEST_FPERIOD_OVERRIDE=FQ","FILING_STATUS=OR","EQY_CONSOLIDATED=Y","Sort=A","Dates=H","DateFormat=P","Fill=—","Direction=H","UseDPDF=Y")</f>
        <v>#NAME?</v>
      </c>
      <c r="AB215" s="1" t="e">
        <f ca="1">_xll.BDH($C$203,"NET_FIXED_ASSETS_1_YEAR_GROWTH","FQ2 2016","FQ2 2016","Currency=INR","Period=FQ","BEST_FPERIOD_OVERRIDE=FQ","FILING_STATUS=OR","EQY_CONSOLIDATED=Y","Sort=A","Dates=H","DateFormat=P","Fill=—","Direction=H","UseDPDF=Y")</f>
        <v>#NAME?</v>
      </c>
      <c r="AC215" s="1" t="e">
        <f ca="1">_xll.BDH($C$203,"ASSET_GROWTH","FQ2 2016","FQ2 2016","Currency=INR","Period=FQ","BEST_FPERIOD_OVERRIDE=FQ","FILING_STATUS=OR","EQY_CONSOLIDATED=Y","Sort=A","Dates=H","DateFormat=P","Fill=—","Direction=H","UseDPDF=Y")</f>
        <v>#NAME?</v>
      </c>
      <c r="AD215" s="1" t="e">
        <f ca="1">_xll.BDH($C$203,"MODIFIED_WORK_CAP_GROWTH","FQ2 2016","FQ2 2016","Currency=INR","Period=FQ","BEST_FPERIOD_OVERRIDE=FQ","FILING_STATUS=OR","EQY_CONSOLIDATED=Y","Sort=A","Dates=H","DateFormat=P","Fill=—","Direction=H","UseDPDF=Y")</f>
        <v>#NAME?</v>
      </c>
      <c r="AE215" s="1" t="e">
        <f ca="1">_xll.BDH($C$203,"WORK_CAP_GROWTH","FQ2 2016","FQ2 2016","Currency=INR","Period=FQ","BEST_FPERIOD_OVERRIDE=FQ","FILING_STATUS=OR","EQY_CONSOLIDATED=Y","Sort=A","Dates=H","DateFormat=P","Fill=—","Direction=H","UseDPDF=Y")</f>
        <v>#NAME?</v>
      </c>
      <c r="AF215" s="1" t="e">
        <f ca="1">_xll.BDH($C$203,"ACCOUNTS_PAYABLE_GROWTH_1YR","FQ2 2016","FQ2 2016","Currency=INR","Period=FQ","BEST_FPERIOD_OVERRIDE=FQ","FILING_STATUS=OR","EQY_CONSOLIDATED=Y","Sort=A","Dates=H","DateFormat=P","Fill=—","Direction=H","UseDPDF=Y")</f>
        <v>#NAME?</v>
      </c>
      <c r="AG215" s="1" t="e">
        <f ca="1">_xll.BDH($C$203,"SHORT_TERM_DEBT_1_YEAR_GROWTH","FQ2 2016","FQ2 2016","Currency=INR","Period=FQ","BEST_FPERIOD_OVERRIDE=FQ","FILING_STATUS=OR","EQY_CONSOLIDATED=Y","Sort=A","Dates=H","DateFormat=P","Fill=—","Direction=H","UseDPDF=Y")</f>
        <v>#NAME?</v>
      </c>
      <c r="AH215" s="1" t="e">
        <f ca="1">_xll.BDH($C$203,"TOTAL_DEBT_1_YEAR_GROWTH","FQ2 2016","FQ2 2016","Currency=INR","Period=FQ","BEST_FPERIOD_OVERRIDE=FQ","FILING_STATUS=OR","EQY_CONSOLIDATED=Y","Sort=A","Dates=H","DateFormat=P","Fill=—","Direction=H","UseDPDF=Y")</f>
        <v>#NAME?</v>
      </c>
      <c r="AI215" s="1" t="e">
        <f ca="1">_xll.BDH($C$203,"TOTAL_EQUITY_1_YEAR_GROWTH","FQ2 2016","FQ2 2016","Currency=INR","Period=FQ","BEST_FPERIOD_OVERRIDE=FQ","FILING_STATUS=OR","EQY_CONSOLIDATED=Y","Sort=A","Dates=H","DateFormat=P","Fill=—","Direction=H","UseDPDF=Y")</f>
        <v>#NAME?</v>
      </c>
      <c r="AJ215" s="1" t="e">
        <f ca="1">_xll.BDH($C$203,"GROWTH_IN_CAP","FQ2 2016","FQ2 2016","Currency=INR","Period=FQ","BEST_FPERIOD_OVERRIDE=FQ","FILING_STATUS=OR","EQY_CONSOLIDATED=Y","Sort=A","Dates=H","DateFormat=P","Fill=—","Direction=H","UseDPDF=Y")</f>
        <v>#NAME?</v>
      </c>
      <c r="AK215" s="1" t="e">
        <f ca="1">_xll.BDH($C$203,"BVPS_GROWTH","FQ2 2016","FQ2 2016","Currency=INR","Period=FQ","BEST_FPERIOD_OVERRIDE=FQ","FILING_STATUS=OR","EQY_CONSOLIDATED=Y","Sort=A","Dates=H","DateFormat=P","Fill=—","Direction=H","UseDPDF=Y")</f>
        <v>#NAME?</v>
      </c>
      <c r="AL215" s="1" t="e">
        <f ca="1">_xll.BDH($C$203,"CASH_FLOW_GROWTH","FQ2 2016","FQ2 2016","Currency=INR","Period=FQ","BEST_FPERIOD_OVERRIDE=FQ","FILING_STATUS=OR","EQY_CONSOLIDATED=Y","Sort=A","Dates=H","DateFormat=P","Fill=—","Direction=H","UseDPDF=Y")</f>
        <v>#NAME?</v>
      </c>
      <c r="AM215" s="1" t="e">
        <f ca="1">_xll.BDH($C$203,"GEO_GROW_NET_SALES","FQ2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15" s="1" t="e">
        <f ca="1">_xll.BDH($C$203,"GEO_GROW_EBITDA","FQ2 2016","FQ2 2016","Currency=INR","Period=FQ","BEST_FPERIOD_OVERRIDE=FQ","FILING_STATUS=OR","EQY_CONSOLIDATED=Y","FA_ADJUSTED=GAAP","Sort=A","Dates=H","DateFormat=P","Fill=—","Direction=H","UseDPDF=Y")</f>
        <v>#NAME?</v>
      </c>
      <c r="AO215" s="1" t="e">
        <f ca="1">_xll.BDH($C$203,"GEO_GROW_OPER_INC","FQ2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15" s="1" t="e">
        <f ca="1">_xll.BDH($C$203,"NET_INCOME_TO_COMMON_5_YR_GROWTH","FQ2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15" s="1" t="e">
        <f ca="1">_xll.BDH($C$203,"5Y_GEO_GROWTH_DILUTED_EPS","FQ2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15" s="1" t="e">
        <f ca="1">_xll.BDH($C$203,"GEO_GROW_DVD_PER_SH","FQ2 2016","FQ2 2016","Currency=INR","Period=FQ","BEST_FPERIOD_OVERRIDE=FQ","FILING_STATUS=OR","EQY_CONSOLIDATED=Y","Sort=A","Dates=H","DateFormat=P","Fill=—","Direction=H","UseDPDF=Y")</f>
        <v>#NAME?</v>
      </c>
      <c r="AS215" s="1" t="e">
        <f ca="1">_xll.BDH($C$203,"ACCOUNTS_RECEIVABLE_5_YR_GROWTH","FQ2 2016","FQ2 2016","Currency=INR","Period=FQ","BEST_FPERIOD_OVERRIDE=FQ","FILING_STATUS=OR","EQY_CONSOLIDATED=Y","Sort=A","Dates=H","DateFormat=P","Fill=—","Direction=H","UseDPDF=Y")</f>
        <v>#NAME?</v>
      </c>
      <c r="AT215" s="1" t="e">
        <f ca="1">_xll.BDH($C$203,"INVENTORY_5_YEAR_GROWTH","FQ2 2016","FQ2 2016","Currency=INR","Period=FQ","BEST_FPERIOD_OVERRIDE=FQ","FILING_STATUS=OR","EQY_CONSOLIDATED=Y","Sort=A","Dates=H","DateFormat=P","Fill=—","Direction=H","UseDPDF=Y")</f>
        <v>#NAME?</v>
      </c>
      <c r="AU215" s="1" t="e">
        <f ca="1">_xll.BDH($C$203,"NET_FIXED_ASSETS_5_YEAR_GROWTH","FQ2 2016","FQ2 2016","Currency=INR","Period=FQ","BEST_FPERIOD_OVERRIDE=FQ","FILING_STATUS=OR","EQY_CONSOLIDATED=Y","Sort=A","Dates=H","DateFormat=P","Fill=—","Direction=H","UseDPDF=Y")</f>
        <v>#NAME?</v>
      </c>
      <c r="AV215" s="1" t="e">
        <f ca="1">_xll.BDH($C$203,"GEO_GROW_TOT_ASSET","FQ2 2016","FQ2 2016","Currency=INR","Period=FQ","BEST_FPERIOD_OVERRIDE=FQ","FILING_STATUS=OR","EQY_CONSOLIDATED=Y","Sort=A","Dates=H","DateFormat=P","Fill=—","Direction=H","UseDPDF=Y")</f>
        <v>#NAME?</v>
      </c>
      <c r="AW215" s="1" t="e">
        <f ca="1">_xll.BDH($C$203,"MODIFIED_WORKING_CPTL_5YR_GRWTH","FQ2 2016","FQ2 2016","Currency=INR","Period=FQ","BEST_FPERIOD_OVERRIDE=FQ","FILING_STATUS=OR","EQY_CONSOLIDATED=Y","Sort=A","Dates=H","DateFormat=P","Fill=—","Direction=H","UseDPDF=Y")</f>
        <v>#NAME?</v>
      </c>
      <c r="AX215" s="1" t="e">
        <f ca="1">_xll.BDH($C$203,"WORKING_CAPITAL_5_YEAR_GROWTH","FQ2 2016","FQ2 2016","Currency=INR","Period=FQ","BEST_FPERIOD_OVERRIDE=FQ","FILING_STATUS=OR","EQY_CONSOLIDATED=Y","Sort=A","Dates=H","DateFormat=P","Fill=—","Direction=H","UseDPDF=Y")</f>
        <v>#NAME?</v>
      </c>
      <c r="AY215" s="1" t="e">
        <f ca="1">_xll.BDH($C$203,"ACCOUNTS_PAYABLE_5_YEAR_GROWTH","FQ2 2016","FQ2 2016","Currency=INR","Period=FQ","BEST_FPERIOD_OVERRIDE=FQ","FILING_STATUS=OR","EQY_CONSOLIDATED=Y","Sort=A","Dates=H","DateFormat=P","Fill=—","Direction=H","UseDPDF=Y")</f>
        <v>#NAME?</v>
      </c>
      <c r="AZ215" s="1" t="e">
        <f ca="1">_xll.BDH($C$203,"SHORT_TERM_DEBT_5_YEAR_GROWTH","FQ2 2016","FQ2 2016","Currency=INR","Period=FQ","BEST_FPERIOD_OVERRIDE=FQ","FILING_STATUS=OR","EQY_CONSOLIDATED=Y","Sort=A","Dates=H","DateFormat=P","Fill=—","Direction=H","UseDPDF=Y")</f>
        <v>#NAME?</v>
      </c>
      <c r="BA215" s="1" t="e">
        <f ca="1">_xll.BDH($C$203,"TOTAL_DEBT_5_YEAR_GROWTH","FQ2 2016","FQ2 2016","Currency=INR","Period=FQ","BEST_FPERIOD_OVERRIDE=FQ","FILING_STATUS=OR","EQY_CONSOLIDATED=Y","Sort=A","Dates=H","DateFormat=P","Fill=—","Direction=H","UseDPDF=Y")</f>
        <v>#NAME?</v>
      </c>
      <c r="BB215" s="1" t="e">
        <f ca="1">_xll.BDH($C$203,"GEO_GROW_TOT_SHRHLDR_EQY","FQ2 2016","FQ2 2016","Currency=INR","Period=FQ","BEST_FPERIOD_OVERRIDE=FQ","FILING_STATUS=OR","EQY_CONSOLIDATED=Y","Sort=A","Dates=H","DateFormat=P","Fill=—","Direction=H","UseDPDF=Y")</f>
        <v>#NAME?</v>
      </c>
      <c r="BC215" s="1" t="e">
        <f ca="1">_xll.BDH($C$203,"TOTAL_CAPITAL_5_YEAR_GROWTH","FQ2 2016","FQ2 2016","Currency=INR","Period=FQ","BEST_FPERIOD_OVERRIDE=FQ","FILING_STATUS=OR","EQY_CONSOLIDATED=Y","Sort=A","Dates=H","DateFormat=P","Fill=—","Direction=H","UseDPDF=Y")</f>
        <v>#NAME?</v>
      </c>
      <c r="BD215" s="1" t="e">
        <f ca="1">_xll.BDH($C$203,"GEO_GROW_BOOK_VAL","FQ2 2016","FQ2 2016","Currency=INR","Period=FQ","BEST_FPERIOD_OVERRIDE=FQ","FILING_STATUS=OR","EQY_CONSOLIDATED=Y","Sort=A","Dates=H","DateFormat=P","Fill=—","Direction=H","UseDPDF=Y")</f>
        <v>#NAME?</v>
      </c>
      <c r="BE215" s="1" t="e">
        <f ca="1">_xll.BDH($C$203,"GEO_GROW_CASH_OPER_ACT","FQ2 2016","FQ2 2016","Currency=INR","Period=FQ","BEST_FPERIOD_OVERRIDE=FQ","FILING_STATUS=OR","EQY_CONSOLIDATED=Y","Sort=A","Dates=H","DateFormat=P","Fill=—","Direction=H","UseDPDF=Y")</f>
        <v>#NAME?</v>
      </c>
      <c r="BF215" s="1" t="e">
        <f ca="1">_xll.BDH($C$203,"REVENUE_SEQUENTIAL_GROWTH","FQ2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15" s="1" t="e">
        <f ca="1">_xll.BDH($C$203,"EBITDA_SEQUENTIAL_GROWTH","FQ2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15" s="1" t="e">
        <f ca="1">_xll.BDH($C$203,"OPERATING_INCOME_SEQ_GROWTH","FQ2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15" s="1" t="e">
        <f ca="1">_xll.BDH($C$203,"NET_INCOME_TO_COMMON_SEQ_GROWTH","FQ2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15" s="1" t="e">
        <f ca="1">_xll.BDH($C$203,"EPS_DILUTED_SEQUENTIAL_GROWTH","FQ2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15" s="1" t="e">
        <f ca="1">_xll.BDH($C$203,"DPS_SEQUENTIAL_GROWTH","FQ2 2016","FQ2 2016","Currency=INR","Period=FQ","BEST_FPERIOD_OVERRIDE=FQ","FILING_STATUS=OR","EQY_CONSOLIDATED=Y","Sort=A","Dates=H","DateFormat=P","Fill=—","Direction=H","UseDPDF=Y")</f>
        <v>#NAME?</v>
      </c>
      <c r="BL215" s="1" t="e">
        <f ca="1">_xll.BDH($C$203,"ACCOUNTS_RECEIVABLE_SEQ_GROWTH","FQ2 2016","FQ2 2016","Currency=INR","Period=FQ","BEST_FPERIOD_OVERRIDE=FQ","FILING_STATUS=OR","EQY_CONSOLIDATED=Y","Sort=A","Dates=H","DateFormat=P","Fill=—","Direction=H","UseDPDF=Y")</f>
        <v>#NAME?</v>
      </c>
      <c r="BM215" s="1" t="e">
        <f ca="1">_xll.BDH($C$203,"INVENTORY_SEQUENTIAL_GROWTH","FQ2 2016","FQ2 2016","Currency=INR","Period=FQ","BEST_FPERIOD_OVERRIDE=FQ","FILING_STATUS=OR","EQY_CONSOLIDATED=Y","Sort=A","Dates=H","DateFormat=P","Fill=—","Direction=H","UseDPDF=Y")</f>
        <v>#NAME?</v>
      </c>
      <c r="BN215" s="1" t="e">
        <f ca="1">_xll.BDH($C$203,"FIXED_ASSETS_SEQUENTIAL_GROWTH","FQ2 2016","FQ2 2016","Currency=INR","Period=FQ","BEST_FPERIOD_OVERRIDE=FQ","FILING_STATUS=OR","EQY_CONSOLIDATED=Y","Sort=A","Dates=H","DateFormat=P","Fill=—","Direction=H","UseDPDF=Y")</f>
        <v>#NAME?</v>
      </c>
      <c r="BO215" s="1" t="e">
        <f ca="1">_xll.BDH($C$203,"TOTAL_ASSETS_SEQUENTIAL_GROWTH","FQ2 2016","FQ2 2016","Currency=INR","Period=FQ","BEST_FPERIOD_OVERRIDE=FQ","FILING_STATUS=OR","EQY_CONSOLIDATED=Y","Sort=A","Dates=H","DateFormat=P","Fill=—","Direction=H","UseDPDF=Y")</f>
        <v>#NAME?</v>
      </c>
      <c r="BP215" s="1" t="e">
        <f ca="1">_xll.BDH($C$203,"MODIFIED_WORKING_CPTL_SEQ_GRWTH","FQ2 2016","FQ2 2016","Currency=INR","Period=FQ","BEST_FPERIOD_OVERRIDE=FQ","FILING_STATUS=OR","EQY_CONSOLIDATED=Y","Sort=A","Dates=H","DateFormat=P","Fill=—","Direction=H","UseDPDF=Y")</f>
        <v>#NAME?</v>
      </c>
      <c r="BQ215" s="1" t="e">
        <f ca="1">_xll.BDH($C$203,"WORKING_CAPITAL_SEQ_GROWTH","FQ2 2016","FQ2 2016","Currency=INR","Period=FQ","BEST_FPERIOD_OVERRIDE=FQ","FILING_STATUS=OR","EQY_CONSOLIDATED=Y","Sort=A","Dates=H","DateFormat=P","Fill=—","Direction=H","UseDPDF=Y")</f>
        <v>#NAME?</v>
      </c>
      <c r="BR215" s="1" t="e">
        <f ca="1">_xll.BDH($C$203,"ACCOUNTS_PAYABLE_SEQ_GROWTH","FQ2 2016","FQ2 2016","Currency=INR","Period=FQ","BEST_FPERIOD_OVERRIDE=FQ","FILING_STATUS=OR","EQY_CONSOLIDATED=Y","Sort=A","Dates=H","DateFormat=P","Fill=—","Direction=H","UseDPDF=Y")</f>
        <v>#NAME?</v>
      </c>
      <c r="BS215" s="1" t="e">
        <f ca="1">_xll.BDH($C$203,"ST_DEBT_SEQUENTIAL_GROWTH","FQ2 2016","FQ2 2016","Currency=INR","Period=FQ","BEST_FPERIOD_OVERRIDE=FQ","FILING_STATUS=OR","EQY_CONSOLIDATED=Y","Sort=A","Dates=H","DateFormat=P","Fill=—","Direction=H","UseDPDF=Y")</f>
        <v>#NAME?</v>
      </c>
      <c r="BT215" s="1" t="e">
        <f ca="1">_xll.BDH($C$203,"TOTAL_DEBT_SEQUENTIAL_GROWTH","FQ2 2016","FQ2 2016","Currency=INR","Period=FQ","BEST_FPERIOD_OVERRIDE=FQ","FILING_STATUS=OR","EQY_CONSOLIDATED=Y","Sort=A","Dates=H","DateFormat=P","Fill=—","Direction=H","UseDPDF=Y")</f>
        <v>#NAME?</v>
      </c>
      <c r="BU215" s="1" t="e">
        <f ca="1">_xll.BDH($C$203,"TOTAL_EQUITY_SEQUENTIAL_GROWTH","FQ2 2016","FQ2 2016","Currency=INR","Period=FQ","BEST_FPERIOD_OVERRIDE=FQ","FILING_STATUS=OR","EQY_CONSOLIDATED=Y","Sort=A","Dates=H","DateFormat=P","Fill=—","Direction=H","UseDPDF=Y")</f>
        <v>#NAME?</v>
      </c>
      <c r="BV215" s="1" t="e">
        <f ca="1">_xll.BDH($C$203,"TOTAL_CAPITAL_SEQUENTIAL_GROWTH","FQ2 2016","FQ2 2016","Currency=INR","Period=FQ","BEST_FPERIOD_OVERRIDE=FQ","FILING_STATUS=OR","EQY_CONSOLIDATED=Y","Sort=A","Dates=H","DateFormat=P","Fill=—","Direction=H","UseDPDF=Y")</f>
        <v>#NAME?</v>
      </c>
      <c r="BW215" s="1" t="e">
        <f ca="1">_xll.BDH($C$203,"BPS_SEQUENTIAL_GROWTH","FQ2 2016","FQ2 2016","Currency=INR","Period=FQ","BEST_FPERIOD_OVERRIDE=FQ","FILING_STATUS=OR","EQY_CONSOLIDATED=Y","Sort=A","Dates=H","DateFormat=P","Fill=—","Direction=H","UseDPDF=Y")</f>
        <v>#NAME?</v>
      </c>
      <c r="BX215" s="1" t="e">
        <f ca="1">_xll.BDH($C$203,"CFO_SEQUENTIAL_GROWTH","FQ2 2016","FQ2 2016","Currency=INR","Period=FQ","BEST_FPERIOD_OVERRIDE=FQ","FILING_STATUS=OR","EQY_CONSOLIDATED=Y","Sort=A","Dates=H","DateFormat=P","Fill=—","Direction=H","UseDPDF=Y")</f>
        <v>#NAME?</v>
      </c>
      <c r="BY215" s="2" t="e">
        <f ca="1">_xll.BDH($C$203,"SHORT_AND_LONG_TERM_DEBT","FQ2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15" s="2" t="e">
        <f ca="1">_xll.BDH($C$203,"BS_ST_BORROW","FQ2 2016","FQ2 2016","Currency=INR","Period=FQ","BEST_FPERIOD_OVERRIDE=FQ","FILING_STATUS=OR","EQY_CONSOLIDATED=Y","SCALING_FORMAT=MLN","Sort=A","Dates=H","DateFormat=P","Fill=—","Direction=H","UseDPDF=Y")</f>
        <v>#NAME?</v>
      </c>
      <c r="CA215" s="2" t="e">
        <f ca="1">_xll.BDH($C$203,"BS_LT_BORROW","FQ2 2016","FQ2 2016","Currency=INR","Period=FQ","BEST_FPERIOD_OVERRIDE=FQ","FILING_STATUS=OR","EQY_CONSOLIDATED=Y","SCALING_FORMAT=MLN","Sort=A","Dates=H","DateFormat=P","Fill=—","Direction=H","UseDPDF=Y")</f>
        <v>#NAME?</v>
      </c>
      <c r="CB215" s="1" t="e">
        <f ca="1">_xll.BDH($C$203,"TOT_DEBT_TO_EBITDA","FQ2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15" s="1" t="e">
        <f ca="1">_xll.BDH($C$203,"NET_DEBT_TO_EBITDA","FQ2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15" s="1" t="e">
        <f ca="1">_xll.BDH($C$203,"TOTAL_DEBT_TO_EBIT","FQ2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15" s="1" t="e">
        <f ca="1">_xll.BDH($C$203,"NET_DEBT_TO_EBIT","FQ2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215" s="1" t="e">
        <f ca="1">_xll.BDH($C$203,"EBITDA_TO_INTEREST_EXPN","FQ2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15" s="1" t="e">
        <f ca="1">_xll.BDH($C$203,"COM_EQY_TO_TOT_ASSET","FQ2 2016","FQ2 2016","Currency=INR","Period=FQ","BEST_FPERIOD_OVERRIDE=FQ","FILING_STATUS=OR","EQY_CONSOLIDATED=Y","Sort=A","Dates=H","DateFormat=P","Fill=—","Direction=H","UseDPDF=Y")</f>
        <v>#NAME?</v>
      </c>
      <c r="CH215" s="1" t="e">
        <f ca="1">_xll.BDH($C$203,"LT_DEBT_TO_TOT_EQY","FQ2 2016","FQ2 2016","Currency=INR","Period=FQ","BEST_FPERIOD_OVERRIDE=FQ","FILING_STATUS=OR","EQY_CONSOLIDATED=Y","Sort=A","Dates=H","DateFormat=P","Fill=—","Direction=H","UseDPDF=Y")</f>
        <v>#NAME?</v>
      </c>
      <c r="CI215" s="1" t="e">
        <f ca="1">_xll.BDH($C$203,"LT_DEBT_TO_TOT_CAP","FQ2 2016","FQ2 2016","Currency=INR","Period=FQ","BEST_FPERIOD_OVERRIDE=FQ","FILING_STATUS=OR","EQY_CONSOLIDATED=Y","Sort=A","Dates=H","DateFormat=P","Fill=—","Direction=H","UseDPDF=Y")</f>
        <v>#NAME?</v>
      </c>
      <c r="CJ215" s="1" t="e">
        <f ca="1">_xll.BDH($C$203,"LT_DEBT_TO_TOT_ASSET","FQ2 2016","FQ2 2016","Currency=INR","Period=FQ","BEST_FPERIOD_OVERRIDE=FQ","FILING_STATUS=OR","EQY_CONSOLIDATED=Y","Sort=A","Dates=H","DateFormat=P","Fill=—","Direction=H","UseDPDF=Y")</f>
        <v>#NAME?</v>
      </c>
      <c r="CK215" s="1" t="e">
        <f ca="1">_xll.BDH($C$203,"TOT_DEBT_TO_TOT_EQY","FQ2 2016","FQ2 2016","Currency=INR","Period=FQ","BEST_FPERIOD_OVERRIDE=FQ","FILING_STATUS=OR","EQY_CONSOLIDATED=Y","Sort=A","Dates=H","DateFormat=P","Fill=—","Direction=H","UseDPDF=Y")</f>
        <v>#NAME?</v>
      </c>
      <c r="CL215" s="1" t="e">
        <f ca="1">_xll.BDH($C$203,"TOT_DEBT_TO_TOT_CAP","FQ2 2016","FQ2 2016","Currency=INR","Period=FQ","BEST_FPERIOD_OVERRIDE=FQ","FILING_STATUS=OR","EQY_CONSOLIDATED=Y","Sort=A","Dates=H","DateFormat=P","Fill=—","Direction=H","UseDPDF=Y")</f>
        <v>#NAME?</v>
      </c>
      <c r="CM215" s="1" t="e">
        <f ca="1">_xll.BDH($C$203,"TOT_DEBT_TO_TOT_ASSET","FQ2 2016","FQ2 2016","Currency=INR","Period=FQ","BEST_FPERIOD_OVERRIDE=FQ","FILING_STATUS=OR","EQY_CONSOLIDATED=Y","Sort=A","Dates=H","DateFormat=P","Fill=—","Direction=H","UseDPDF=Y")</f>
        <v>#NAME?</v>
      </c>
      <c r="CN215" s="1" t="e">
        <f ca="1">_xll.BDH($C$203,"NET_DEBT_TO_SHRHLDR_EQTY","FQ2 2016","FQ2 2016","Currency=INR","Period=FQ","BEST_FPERIOD_OVERRIDE=FQ","FILING_STATUS=OR","EQY_CONSOLIDATED=Y","Sort=A","Dates=H","DateFormat=P","Fill=—","Direction=H","UseDPDF=Y")</f>
        <v>#NAME?</v>
      </c>
      <c r="CO215" s="1" t="e">
        <f ca="1">_xll.BDH($C$203,"NET_DEBT_%_CAPITAL","FQ2 2016","FQ2 2016","Currency=INR","Period=FQ","BEST_FPERIOD_OVERRIDE=FQ","FILING_STATUS=OR","EQY_CONSOLIDATED=Y","Sort=A","Dates=H","DateFormat=P","Fill=—","Direction=H","UseDPDF=Y")</f>
        <v>#NAME?</v>
      </c>
      <c r="CP215" s="2" t="e">
        <f ca="1">_xll.BDH($C$203,"EBITDA","FQ2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15" s="2" t="e">
        <f ca="1">_xll.BDH($C$203,"EBITDA_AFTER_CAPEX","FQ2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15" s="2" t="e">
        <f ca="1">_xll.BDH($C$203,"IS_OPER_INC","FQ2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15" s="1" t="e">
        <f ca="1">_xll.BDH($C$203,"CASH_RATIO","FQ2 2016","FQ2 2016","Currency=INR","Period=FQ","BEST_FPERIOD_OVERRIDE=FQ","FILING_STATUS=OR","EQY_CONSOLIDATED=Y","Sort=A","Dates=H","DateFormat=P","Fill=—","Direction=H","UseDPDF=Y")</f>
        <v>#NAME?</v>
      </c>
      <c r="CT215" s="1" t="e">
        <f ca="1">_xll.BDH($C$203,"CUR_RATIO","FQ2 2016","FQ2 2016","Currency=INR","Period=FQ","BEST_FPERIOD_OVERRIDE=FQ","FILING_STATUS=OR","EQY_CONSOLIDATED=Y","Sort=A","Dates=H","DateFormat=P","Fill=—","Direction=H","UseDPDF=Y")</f>
        <v>#NAME?</v>
      </c>
      <c r="CU215" s="1" t="e">
        <f ca="1">_xll.BDH($C$203,"QUICK_RATIO","FQ2 2016","FQ2 2016","Currency=INR","Period=FQ","BEST_FPERIOD_OVERRIDE=FQ","FILING_STATUS=OR","EQY_CONSOLIDATED=Y","Sort=A","Dates=H","DateFormat=P","Fill=—","Direction=H","UseDPDF=Y")</f>
        <v>#NAME?</v>
      </c>
      <c r="CV215" s="1" t="e">
        <f ca="1">_xll.BDH($C$203,"ALTMAN_Z_SCORE","FQ2 2016","FQ2 2016","Currency=INR","Period=FQ","BEST_FPERIOD_OVERRIDE=FQ","FILING_STATUS=OR","EQY_CONSOLIDATED=Y","Sort=A","Dates=H","DateFormat=P","Fill=—","Direction=H","UseDPDF=Y")</f>
        <v>#NAME?</v>
      </c>
      <c r="CW215" s="3" t="e">
        <f ca="1">_xll.BDH($C$203,"ACCT_RCV_TURN","FQ2 2016","FQ2 2016","Currency=INR","Period=FQ","BEST_FPERIOD_OVERRIDE=FQ","FILING_STATUS=OR","EQY_CONSOLIDATED=Y","FA_ADJUSTED=GAAP","Sort=A","Dates=H","DateFormat=P","Fill=—","Direction=H","UseDPDF=Y")</f>
        <v>#NAME?</v>
      </c>
      <c r="CX215" s="1" t="e">
        <f ca="1">_xll.BDH($C$203,"ACCT_RCV_DAYS","FQ2 2016","FQ2 2016","Currency=INR","Period=FQ","BEST_FPERIOD_OVERRIDE=FQ","FILING_STATUS=OR","EQY_CONSOLIDATED=Y","FA_ADJUSTED=GAAP","Sort=A","Dates=H","DateFormat=P","Fill=—","Direction=H","UseDPDF=Y")</f>
        <v>#NAME?</v>
      </c>
      <c r="CY215" s="3" t="e">
        <f ca="1">_xll.BDH($C$203,"INVENT_TURN","FQ2 2016","FQ2 2016","Currency=INR","Period=FQ","BEST_FPERIOD_OVERRIDE=FQ","FILING_STATUS=OR","EQY_CONSOLIDATED=Y","FA_ADJUSTED=GAAP","Sort=A","Dates=H","DateFormat=P","Fill=—","Direction=H","UseDPDF=Y")</f>
        <v>#NAME?</v>
      </c>
      <c r="CZ215" s="1" t="e">
        <f ca="1">_xll.BDH($C$203,"INVENT_DAYS","FQ2 2016","FQ2 2016","Currency=INR","Period=FQ","BEST_FPERIOD_OVERRIDE=FQ","FILING_STATUS=OR","EQY_CONSOLIDATED=Y","FA_ADJUSTED=GAAP","Sort=A","Dates=H","DateFormat=P","Fill=—","Direction=H","UseDPDF=Y")</f>
        <v>#NAME?</v>
      </c>
      <c r="DA215" s="3" t="e">
        <f ca="1">_xll.BDH($C$203,"ACCOUNTS_PAYABLE_TURNOVER","FQ2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15" s="1" t="e">
        <f ca="1">_xll.BDH($C$203,"ACCOUNTS_PAYABLE_TURNOVER_DAYS","FQ2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15" s="3" t="e">
        <f ca="1">_xll.BDH($C$203,"CASH_CONVERSION_CYCLE","FQ2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15" s="3" t="e">
        <f ca="1">_xll.BDH($C$203,"INV_TO_CASH_DAYS","FQ2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215" s="4" t="e">
        <f ca="1">_xll.BDH($C$203,"BS_INVENTORIES","FQ2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215" s="2" t="e">
        <f ca="1">_xll.BDH($C$203,"INVTRY_RAW_MATERIALS","FQ2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15" s="2" t="e">
        <f ca="1">_xll.BDH($C$203,"INVTRY_IN_PROGRESS","FQ2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15" s="2" t="e">
        <f ca="1">_xll.BDH($C$203,"INVTRY_FINISHED_GOODS","FQ2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15" s="2" t="e">
        <f ca="1">_xll.BDH($C$203,"BS_OTHER_INV","FQ2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16" spans="1:113" x14ac:dyDescent="0.3">
      <c r="A216" s="6"/>
      <c r="B216" s="6"/>
      <c r="C216" s="6"/>
      <c r="D216" s="6"/>
      <c r="E216" t="s">
        <v>6</v>
      </c>
      <c r="F216" t="e">
        <f ca="1">_xll.BDH($C$203,"RETURN_COM_EQY","FQ3 2016","FQ3 2016","Currency=INR","Period=FQ","BEST_FPERIOD_OVERRIDE=FQ","FILING_STATUS=OR","EQY_CONSOLIDATED=Y","FA_ADJUSTED=GAAP","Sort=A","Dates=H","DateFormat=P","Fill=—","Direction=H","UseDPDF=Y")</f>
        <v>#NAME?</v>
      </c>
      <c r="G216" t="e">
        <f ca="1">_xll.BDH($C$203,"RETURN_ON_ASSET","FQ3 2016","FQ3 2016","Currency=INR","Period=FQ","BEST_FPERIOD_OVERRIDE=FQ","FILING_STATUS=OR","EQY_CONSOLIDATED=Y","FA_ADJUSTED=GAAP","Sort=A","Dates=H","DateFormat=P","Fill=—","Direction=H","UseDPDF=Y")</f>
        <v>#NAME?</v>
      </c>
      <c r="H216" t="e">
        <f ca="1">_xll.BDH($C$203,"RETURN_ON_CAP","FQ3 2016","FQ3 2016","Currency=INR","Period=FQ","BEST_FPERIOD_OVERRIDE=FQ","FILING_STATUS=OR","EQY_CONSOLIDATED=Y","FA_ADJUSTED=GAAP","Sort=A","Dates=H","DateFormat=P","Fill=—","Direction=H","UseDPDF=Y")</f>
        <v>#NAME?</v>
      </c>
      <c r="I216" t="e">
        <f ca="1">_xll.BDH($C$203,"RETURN_ON_INV_CAPITAL","FQ3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16" t="e">
        <f ca="1">_xll.BDH($C$203,"EBITDA_TO_REVENUE","FQ3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216" t="e">
        <f ca="1">_xll.BDH($C$203,"OPER_MARGIN","FQ3 2016","FQ3 2016","Currency=INR","Period=FQ","BEST_FPERIOD_OVERRIDE=FQ","FILING_STATUS=OR","EQY_CONSOLIDATED=Y","FA_ADJUSTED=GAAP","Sort=A","Dates=H","DateFormat=P","Fill=—","Direction=H","UseDPDF=Y")</f>
        <v>#NAME?</v>
      </c>
      <c r="L216" t="e">
        <f ca="1">_xll.BDH($C$203,"INCREMENTAL_OPERATING_MARGIN","FQ3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16" t="e">
        <f ca="1">_xll.BDH($C$203,"PRETAX_INC_TO_NET_SALES","FQ3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16" t="e">
        <f ca="1">_xll.BDH($C$203,"INC_BEF_XO_ITEMS_TO_NET_SALES","FQ3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16" t="e">
        <f ca="1">_xll.BDH($C$203,"PROF_MARGIN","FQ3 2016","FQ3 2016","Currency=INR","Period=FQ","BEST_FPERIOD_OVERRIDE=FQ","FILING_STATUS=OR","EQY_CONSOLIDATED=Y","FA_ADJUSTED=GAAP","Sort=A","Dates=H","DateFormat=P","Fill=—","Direction=H","UseDPDF=Y")</f>
        <v>#NAME?</v>
      </c>
      <c r="P216" t="e">
        <f ca="1">_xll.BDH($C$203,"NET_INCOME_TO_COMMON_MARGIN","FQ3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16" t="e">
        <f ca="1">_xll.BDH($C$203,"EFF_TAX_RATE","FQ3 2016","FQ3 2016","Currency=INR","Period=FQ","BEST_FPERIOD_OVERRIDE=FQ","FILING_STATUS=OR","EQY_CONSOLIDATED=Y","FA_ADJUSTED=GAAP","Sort=A","Dates=H","DateFormat=P","Fill=—","Direction=H","UseDPDF=Y")</f>
        <v>#NAME?</v>
      </c>
      <c r="R216" t="e">
        <f ca="1">_xll.BDH($C$203,"DVD_PAYOUT_RATIO","FQ3 2016","FQ3 2016","Currency=INR","Period=FQ","BEST_FPERIOD_OVERRIDE=FQ","FILING_STATUS=OR","EQY_CONSOLIDATED=Y","FA_ADJUSTED=GAAP","Sort=A","Dates=H","DateFormat=P","Fill=—","Direction=H","UseDPDF=Y")</f>
        <v>#NAME?</v>
      </c>
      <c r="S216" t="e">
        <f ca="1">_xll.BDH($C$203,"SUSTAIN_GROWTH_RT","FQ3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216" s="1" t="e">
        <f ca="1">_xll.BDH($C$203,"SALES_GROWTH","FQ3 2016","FQ3 2016","Currency=INR","Period=FQ","BEST_FPERIOD_OVERRIDE=FQ","FILING_STATUS=OR","EQY_CONSOLIDATED=Y","FA_ADJUSTED=GAAP","Sort=A","Dates=H","DateFormat=P","Fill=—","Direction=H","UseDPDF=Y")</f>
        <v>#NAME?</v>
      </c>
      <c r="U216" s="1" t="e">
        <f ca="1">_xll.BDH($C$203,"EBITDA_GROWTH","FQ3 2016","FQ3 2016","Currency=INR","Period=FQ","BEST_FPERIOD_OVERRIDE=FQ","FILING_STATUS=OR","EQY_CONSOLIDATED=Y","FA_ADJUSTED=GAAP","Sort=A","Dates=H","DateFormat=P","Fill=—","Direction=H","UseDPDF=Y")</f>
        <v>#NAME?</v>
      </c>
      <c r="V216" s="1" t="e">
        <f ca="1">_xll.BDH($C$203,"OPER_INC_GROWTH","FQ3 2016","FQ3 2016","Currency=INR","Period=FQ","BEST_FPERIOD_OVERRIDE=FQ","FILING_STATUS=OR","EQY_CONSOLIDATED=Y","FA_ADJUSTED=GAAP","Sort=A","Dates=H","DateFormat=P","Fill=—","Direction=H","UseDPDF=Y")</f>
        <v>#NAME?</v>
      </c>
      <c r="W216" s="1" t="e">
        <f ca="1">_xll.BDH($C$203,"EARN_FOR_COM_GROWTH","FQ3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16" s="1" t="e">
        <f ca="1">_xll.BDH($C$203,"DILUTED_EPS_AFT_XO_ITEMS_GROWTH","FQ3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16" s="1" t="e">
        <f ca="1">_xll.BDH($C$203,"DIVIDEND_PER_SHARE_1_YEAR_GROWTH","FQ3 2016","FQ3 2016","Currency=INR","Period=FQ","BEST_FPERIOD_OVERRIDE=FQ","FILING_STATUS=OR","EQY_CONSOLIDATED=Y","Sort=A","Dates=H","DateFormat=P","Fill=—","Direction=H","UseDPDF=Y")</f>
        <v>#NAME?</v>
      </c>
      <c r="Z216" s="1" t="e">
        <f ca="1">_xll.BDH($C$203,"ACCOUNTS_RECEIVABLE_GROWTH","FQ3 2016","FQ3 2016","Currency=INR","Period=FQ","BEST_FPERIOD_OVERRIDE=FQ","FILING_STATUS=OR","EQY_CONSOLIDATED=Y","Sort=A","Dates=H","DateFormat=P","Fill=—","Direction=H","UseDPDF=Y")</f>
        <v>#NAME?</v>
      </c>
      <c r="AA216" s="1" t="e">
        <f ca="1">_xll.BDH($C$203,"INVENTORY_GROWTH","FQ3 2016","FQ3 2016","Currency=INR","Period=FQ","BEST_FPERIOD_OVERRIDE=FQ","FILING_STATUS=OR","EQY_CONSOLIDATED=Y","Sort=A","Dates=H","DateFormat=P","Fill=—","Direction=H","UseDPDF=Y")</f>
        <v>#NAME?</v>
      </c>
      <c r="AB216" s="1" t="e">
        <f ca="1">_xll.BDH($C$203,"NET_FIXED_ASSETS_1_YEAR_GROWTH","FQ3 2016","FQ3 2016","Currency=INR","Period=FQ","BEST_FPERIOD_OVERRIDE=FQ","FILING_STATUS=OR","EQY_CONSOLIDATED=Y","Sort=A","Dates=H","DateFormat=P","Fill=—","Direction=H","UseDPDF=Y")</f>
        <v>#NAME?</v>
      </c>
      <c r="AC216" s="1" t="e">
        <f ca="1">_xll.BDH($C$203,"ASSET_GROWTH","FQ3 2016","FQ3 2016","Currency=INR","Period=FQ","BEST_FPERIOD_OVERRIDE=FQ","FILING_STATUS=OR","EQY_CONSOLIDATED=Y","Sort=A","Dates=H","DateFormat=P","Fill=—","Direction=H","UseDPDF=Y")</f>
        <v>#NAME?</v>
      </c>
      <c r="AD216" s="1" t="e">
        <f ca="1">_xll.BDH($C$203,"MODIFIED_WORK_CAP_GROWTH","FQ3 2016","FQ3 2016","Currency=INR","Period=FQ","BEST_FPERIOD_OVERRIDE=FQ","FILING_STATUS=OR","EQY_CONSOLIDATED=Y","Sort=A","Dates=H","DateFormat=P","Fill=—","Direction=H","UseDPDF=Y")</f>
        <v>#NAME?</v>
      </c>
      <c r="AE216" s="1" t="e">
        <f ca="1">_xll.BDH($C$203,"WORK_CAP_GROWTH","FQ3 2016","FQ3 2016","Currency=INR","Period=FQ","BEST_FPERIOD_OVERRIDE=FQ","FILING_STATUS=OR","EQY_CONSOLIDATED=Y","Sort=A","Dates=H","DateFormat=P","Fill=—","Direction=H","UseDPDF=Y")</f>
        <v>#NAME?</v>
      </c>
      <c r="AF216" s="1" t="e">
        <f ca="1">_xll.BDH($C$203,"ACCOUNTS_PAYABLE_GROWTH_1YR","FQ3 2016","FQ3 2016","Currency=INR","Period=FQ","BEST_FPERIOD_OVERRIDE=FQ","FILING_STATUS=OR","EQY_CONSOLIDATED=Y","Sort=A","Dates=H","DateFormat=P","Fill=—","Direction=H","UseDPDF=Y")</f>
        <v>#NAME?</v>
      </c>
      <c r="AG216" s="1" t="e">
        <f ca="1">_xll.BDH($C$203,"SHORT_TERM_DEBT_1_YEAR_GROWTH","FQ3 2016","FQ3 2016","Currency=INR","Period=FQ","BEST_FPERIOD_OVERRIDE=FQ","FILING_STATUS=OR","EQY_CONSOLIDATED=Y","Sort=A","Dates=H","DateFormat=P","Fill=—","Direction=H","UseDPDF=Y")</f>
        <v>#NAME?</v>
      </c>
      <c r="AH216" s="1" t="e">
        <f ca="1">_xll.BDH($C$203,"TOTAL_DEBT_1_YEAR_GROWTH","FQ3 2016","FQ3 2016","Currency=INR","Period=FQ","BEST_FPERIOD_OVERRIDE=FQ","FILING_STATUS=OR","EQY_CONSOLIDATED=Y","Sort=A","Dates=H","DateFormat=P","Fill=—","Direction=H","UseDPDF=Y")</f>
        <v>#NAME?</v>
      </c>
      <c r="AI216" s="1" t="e">
        <f ca="1">_xll.BDH($C$203,"TOTAL_EQUITY_1_YEAR_GROWTH","FQ3 2016","FQ3 2016","Currency=INR","Period=FQ","BEST_FPERIOD_OVERRIDE=FQ","FILING_STATUS=OR","EQY_CONSOLIDATED=Y","Sort=A","Dates=H","DateFormat=P","Fill=—","Direction=H","UseDPDF=Y")</f>
        <v>#NAME?</v>
      </c>
      <c r="AJ216" s="1" t="e">
        <f ca="1">_xll.BDH($C$203,"GROWTH_IN_CAP","FQ3 2016","FQ3 2016","Currency=INR","Period=FQ","BEST_FPERIOD_OVERRIDE=FQ","FILING_STATUS=OR","EQY_CONSOLIDATED=Y","Sort=A","Dates=H","DateFormat=P","Fill=—","Direction=H","UseDPDF=Y")</f>
        <v>#NAME?</v>
      </c>
      <c r="AK216" s="1" t="e">
        <f ca="1">_xll.BDH($C$203,"BVPS_GROWTH","FQ3 2016","FQ3 2016","Currency=INR","Period=FQ","BEST_FPERIOD_OVERRIDE=FQ","FILING_STATUS=OR","EQY_CONSOLIDATED=Y","Sort=A","Dates=H","DateFormat=P","Fill=—","Direction=H","UseDPDF=Y")</f>
        <v>#NAME?</v>
      </c>
      <c r="AL216" s="1" t="e">
        <f ca="1">_xll.BDH($C$203,"CASH_FLOW_GROWTH","FQ3 2016","FQ3 2016","Currency=INR","Period=FQ","BEST_FPERIOD_OVERRIDE=FQ","FILING_STATUS=OR","EQY_CONSOLIDATED=Y","Sort=A","Dates=H","DateFormat=P","Fill=—","Direction=H","UseDPDF=Y")</f>
        <v>#NAME?</v>
      </c>
      <c r="AM216" s="1" t="e">
        <f ca="1">_xll.BDH($C$203,"GEO_GROW_NET_SALES","FQ3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16" s="1" t="e">
        <f ca="1">_xll.BDH($C$203,"GEO_GROW_EBITDA","FQ3 2016","FQ3 2016","Currency=INR","Period=FQ","BEST_FPERIOD_OVERRIDE=FQ","FILING_STATUS=OR","EQY_CONSOLIDATED=Y","FA_ADJUSTED=GAAP","Sort=A","Dates=H","DateFormat=P","Fill=—","Direction=H","UseDPDF=Y")</f>
        <v>#NAME?</v>
      </c>
      <c r="AO216" s="1" t="e">
        <f ca="1">_xll.BDH($C$203,"GEO_GROW_OPER_INC","FQ3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16" s="1" t="e">
        <f ca="1">_xll.BDH($C$203,"NET_INCOME_TO_COMMON_5_YR_GROWTH","FQ3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16" s="1" t="e">
        <f ca="1">_xll.BDH($C$203,"5Y_GEO_GROWTH_DILUTED_EPS","FQ3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16" s="1" t="e">
        <f ca="1">_xll.BDH($C$203,"GEO_GROW_DVD_PER_SH","FQ3 2016","FQ3 2016","Currency=INR","Period=FQ","BEST_FPERIOD_OVERRIDE=FQ","FILING_STATUS=OR","EQY_CONSOLIDATED=Y","Sort=A","Dates=H","DateFormat=P","Fill=—","Direction=H","UseDPDF=Y")</f>
        <v>#NAME?</v>
      </c>
      <c r="AS216" s="1" t="e">
        <f ca="1">_xll.BDH($C$203,"ACCOUNTS_RECEIVABLE_5_YR_GROWTH","FQ3 2016","FQ3 2016","Currency=INR","Period=FQ","BEST_FPERIOD_OVERRIDE=FQ","FILING_STATUS=OR","EQY_CONSOLIDATED=Y","Sort=A","Dates=H","DateFormat=P","Fill=—","Direction=H","UseDPDF=Y")</f>
        <v>#NAME?</v>
      </c>
      <c r="AT216" s="1" t="e">
        <f ca="1">_xll.BDH($C$203,"INVENTORY_5_YEAR_GROWTH","FQ3 2016","FQ3 2016","Currency=INR","Period=FQ","BEST_FPERIOD_OVERRIDE=FQ","FILING_STATUS=OR","EQY_CONSOLIDATED=Y","Sort=A","Dates=H","DateFormat=P","Fill=—","Direction=H","UseDPDF=Y")</f>
        <v>#NAME?</v>
      </c>
      <c r="AU216" s="1" t="e">
        <f ca="1">_xll.BDH($C$203,"NET_FIXED_ASSETS_5_YEAR_GROWTH","FQ3 2016","FQ3 2016","Currency=INR","Period=FQ","BEST_FPERIOD_OVERRIDE=FQ","FILING_STATUS=OR","EQY_CONSOLIDATED=Y","Sort=A","Dates=H","DateFormat=P","Fill=—","Direction=H","UseDPDF=Y")</f>
        <v>#NAME?</v>
      </c>
      <c r="AV216" s="1" t="e">
        <f ca="1">_xll.BDH($C$203,"GEO_GROW_TOT_ASSET","FQ3 2016","FQ3 2016","Currency=INR","Period=FQ","BEST_FPERIOD_OVERRIDE=FQ","FILING_STATUS=OR","EQY_CONSOLIDATED=Y","Sort=A","Dates=H","DateFormat=P","Fill=—","Direction=H","UseDPDF=Y")</f>
        <v>#NAME?</v>
      </c>
      <c r="AW216" s="1" t="e">
        <f ca="1">_xll.BDH($C$203,"MODIFIED_WORKING_CPTL_5YR_GRWTH","FQ3 2016","FQ3 2016","Currency=INR","Period=FQ","BEST_FPERIOD_OVERRIDE=FQ","FILING_STATUS=OR","EQY_CONSOLIDATED=Y","Sort=A","Dates=H","DateFormat=P","Fill=—","Direction=H","UseDPDF=Y")</f>
        <v>#NAME?</v>
      </c>
      <c r="AX216" s="1" t="e">
        <f ca="1">_xll.BDH($C$203,"WORKING_CAPITAL_5_YEAR_GROWTH","FQ3 2016","FQ3 2016","Currency=INR","Period=FQ","BEST_FPERIOD_OVERRIDE=FQ","FILING_STATUS=OR","EQY_CONSOLIDATED=Y","Sort=A","Dates=H","DateFormat=P","Fill=—","Direction=H","UseDPDF=Y")</f>
        <v>#NAME?</v>
      </c>
      <c r="AY216" s="1" t="e">
        <f ca="1">_xll.BDH($C$203,"ACCOUNTS_PAYABLE_5_YEAR_GROWTH","FQ3 2016","FQ3 2016","Currency=INR","Period=FQ","BEST_FPERIOD_OVERRIDE=FQ","FILING_STATUS=OR","EQY_CONSOLIDATED=Y","Sort=A","Dates=H","DateFormat=P","Fill=—","Direction=H","UseDPDF=Y")</f>
        <v>#NAME?</v>
      </c>
      <c r="AZ216" s="1" t="e">
        <f ca="1">_xll.BDH($C$203,"SHORT_TERM_DEBT_5_YEAR_GROWTH","FQ3 2016","FQ3 2016","Currency=INR","Period=FQ","BEST_FPERIOD_OVERRIDE=FQ","FILING_STATUS=OR","EQY_CONSOLIDATED=Y","Sort=A","Dates=H","DateFormat=P","Fill=—","Direction=H","UseDPDF=Y")</f>
        <v>#NAME?</v>
      </c>
      <c r="BA216" s="1" t="e">
        <f ca="1">_xll.BDH($C$203,"TOTAL_DEBT_5_YEAR_GROWTH","FQ3 2016","FQ3 2016","Currency=INR","Period=FQ","BEST_FPERIOD_OVERRIDE=FQ","FILING_STATUS=OR","EQY_CONSOLIDATED=Y","Sort=A","Dates=H","DateFormat=P","Fill=—","Direction=H","UseDPDF=Y")</f>
        <v>#NAME?</v>
      </c>
      <c r="BB216" s="1" t="e">
        <f ca="1">_xll.BDH($C$203,"GEO_GROW_TOT_SHRHLDR_EQY","FQ3 2016","FQ3 2016","Currency=INR","Period=FQ","BEST_FPERIOD_OVERRIDE=FQ","FILING_STATUS=OR","EQY_CONSOLIDATED=Y","Sort=A","Dates=H","DateFormat=P","Fill=—","Direction=H","UseDPDF=Y")</f>
        <v>#NAME?</v>
      </c>
      <c r="BC216" s="1" t="e">
        <f ca="1">_xll.BDH($C$203,"TOTAL_CAPITAL_5_YEAR_GROWTH","FQ3 2016","FQ3 2016","Currency=INR","Period=FQ","BEST_FPERIOD_OVERRIDE=FQ","FILING_STATUS=OR","EQY_CONSOLIDATED=Y","Sort=A","Dates=H","DateFormat=P","Fill=—","Direction=H","UseDPDF=Y")</f>
        <v>#NAME?</v>
      </c>
      <c r="BD216" s="1" t="e">
        <f ca="1">_xll.BDH($C$203,"GEO_GROW_BOOK_VAL","FQ3 2016","FQ3 2016","Currency=INR","Period=FQ","BEST_FPERIOD_OVERRIDE=FQ","FILING_STATUS=OR","EQY_CONSOLIDATED=Y","Sort=A","Dates=H","DateFormat=P","Fill=—","Direction=H","UseDPDF=Y")</f>
        <v>#NAME?</v>
      </c>
      <c r="BE216" s="1" t="e">
        <f ca="1">_xll.BDH($C$203,"GEO_GROW_CASH_OPER_ACT","FQ3 2016","FQ3 2016","Currency=INR","Period=FQ","BEST_FPERIOD_OVERRIDE=FQ","FILING_STATUS=OR","EQY_CONSOLIDATED=Y","Sort=A","Dates=H","DateFormat=P","Fill=—","Direction=H","UseDPDF=Y")</f>
        <v>#NAME?</v>
      </c>
      <c r="BF216" s="1" t="e">
        <f ca="1">_xll.BDH($C$203,"REVENUE_SEQUENTIAL_GROWTH","FQ3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16" s="1" t="e">
        <f ca="1">_xll.BDH($C$203,"EBITDA_SEQUENTIAL_GROWTH","FQ3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16" s="1" t="e">
        <f ca="1">_xll.BDH($C$203,"OPERATING_INCOME_SEQ_GROWTH","FQ3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16" s="1" t="e">
        <f ca="1">_xll.BDH($C$203,"NET_INCOME_TO_COMMON_SEQ_GROWTH","FQ3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16" s="1" t="e">
        <f ca="1">_xll.BDH($C$203,"EPS_DILUTED_SEQUENTIAL_GROWTH","FQ3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16" s="1" t="e">
        <f ca="1">_xll.BDH($C$203,"DPS_SEQUENTIAL_GROWTH","FQ3 2016","FQ3 2016","Currency=INR","Period=FQ","BEST_FPERIOD_OVERRIDE=FQ","FILING_STATUS=OR","EQY_CONSOLIDATED=Y","Sort=A","Dates=H","DateFormat=P","Fill=—","Direction=H","UseDPDF=Y")</f>
        <v>#NAME?</v>
      </c>
      <c r="BL216" s="1" t="e">
        <f ca="1">_xll.BDH($C$203,"ACCOUNTS_RECEIVABLE_SEQ_GROWTH","FQ3 2016","FQ3 2016","Currency=INR","Period=FQ","BEST_FPERIOD_OVERRIDE=FQ","FILING_STATUS=OR","EQY_CONSOLIDATED=Y","Sort=A","Dates=H","DateFormat=P","Fill=—","Direction=H","UseDPDF=Y")</f>
        <v>#NAME?</v>
      </c>
      <c r="BM216" s="1" t="e">
        <f ca="1">_xll.BDH($C$203,"INVENTORY_SEQUENTIAL_GROWTH","FQ3 2016","FQ3 2016","Currency=INR","Period=FQ","BEST_FPERIOD_OVERRIDE=FQ","FILING_STATUS=OR","EQY_CONSOLIDATED=Y","Sort=A","Dates=H","DateFormat=P","Fill=—","Direction=H","UseDPDF=Y")</f>
        <v>#NAME?</v>
      </c>
      <c r="BN216" s="1" t="e">
        <f ca="1">_xll.BDH($C$203,"FIXED_ASSETS_SEQUENTIAL_GROWTH","FQ3 2016","FQ3 2016","Currency=INR","Period=FQ","BEST_FPERIOD_OVERRIDE=FQ","FILING_STATUS=OR","EQY_CONSOLIDATED=Y","Sort=A","Dates=H","DateFormat=P","Fill=—","Direction=H","UseDPDF=Y")</f>
        <v>#NAME?</v>
      </c>
      <c r="BO216" s="1" t="e">
        <f ca="1">_xll.BDH($C$203,"TOTAL_ASSETS_SEQUENTIAL_GROWTH","FQ3 2016","FQ3 2016","Currency=INR","Period=FQ","BEST_FPERIOD_OVERRIDE=FQ","FILING_STATUS=OR","EQY_CONSOLIDATED=Y","Sort=A","Dates=H","DateFormat=P","Fill=—","Direction=H","UseDPDF=Y")</f>
        <v>#NAME?</v>
      </c>
      <c r="BP216" s="1" t="e">
        <f ca="1">_xll.BDH($C$203,"MODIFIED_WORKING_CPTL_SEQ_GRWTH","FQ3 2016","FQ3 2016","Currency=INR","Period=FQ","BEST_FPERIOD_OVERRIDE=FQ","FILING_STATUS=OR","EQY_CONSOLIDATED=Y","Sort=A","Dates=H","DateFormat=P","Fill=—","Direction=H","UseDPDF=Y")</f>
        <v>#NAME?</v>
      </c>
      <c r="BQ216" s="1" t="e">
        <f ca="1">_xll.BDH($C$203,"WORKING_CAPITAL_SEQ_GROWTH","FQ3 2016","FQ3 2016","Currency=INR","Period=FQ","BEST_FPERIOD_OVERRIDE=FQ","FILING_STATUS=OR","EQY_CONSOLIDATED=Y","Sort=A","Dates=H","DateFormat=P","Fill=—","Direction=H","UseDPDF=Y")</f>
        <v>#NAME?</v>
      </c>
      <c r="BR216" s="1" t="e">
        <f ca="1">_xll.BDH($C$203,"ACCOUNTS_PAYABLE_SEQ_GROWTH","FQ3 2016","FQ3 2016","Currency=INR","Period=FQ","BEST_FPERIOD_OVERRIDE=FQ","FILING_STATUS=OR","EQY_CONSOLIDATED=Y","Sort=A","Dates=H","DateFormat=P","Fill=—","Direction=H","UseDPDF=Y")</f>
        <v>#NAME?</v>
      </c>
      <c r="BS216" s="1" t="e">
        <f ca="1">_xll.BDH($C$203,"ST_DEBT_SEQUENTIAL_GROWTH","FQ3 2016","FQ3 2016","Currency=INR","Period=FQ","BEST_FPERIOD_OVERRIDE=FQ","FILING_STATUS=OR","EQY_CONSOLIDATED=Y","Sort=A","Dates=H","DateFormat=P","Fill=—","Direction=H","UseDPDF=Y")</f>
        <v>#NAME?</v>
      </c>
      <c r="BT216" s="1" t="e">
        <f ca="1">_xll.BDH($C$203,"TOTAL_DEBT_SEQUENTIAL_GROWTH","FQ3 2016","FQ3 2016","Currency=INR","Period=FQ","BEST_FPERIOD_OVERRIDE=FQ","FILING_STATUS=OR","EQY_CONSOLIDATED=Y","Sort=A","Dates=H","DateFormat=P","Fill=—","Direction=H","UseDPDF=Y")</f>
        <v>#NAME?</v>
      </c>
      <c r="BU216" s="1" t="e">
        <f ca="1">_xll.BDH($C$203,"TOTAL_EQUITY_SEQUENTIAL_GROWTH","FQ3 2016","FQ3 2016","Currency=INR","Period=FQ","BEST_FPERIOD_OVERRIDE=FQ","FILING_STATUS=OR","EQY_CONSOLIDATED=Y","Sort=A","Dates=H","DateFormat=P","Fill=—","Direction=H","UseDPDF=Y")</f>
        <v>#NAME?</v>
      </c>
      <c r="BV216" s="1" t="e">
        <f ca="1">_xll.BDH($C$203,"TOTAL_CAPITAL_SEQUENTIAL_GROWTH","FQ3 2016","FQ3 2016","Currency=INR","Period=FQ","BEST_FPERIOD_OVERRIDE=FQ","FILING_STATUS=OR","EQY_CONSOLIDATED=Y","Sort=A","Dates=H","DateFormat=P","Fill=—","Direction=H","UseDPDF=Y")</f>
        <v>#NAME?</v>
      </c>
      <c r="BW216" s="1" t="e">
        <f ca="1">_xll.BDH($C$203,"BPS_SEQUENTIAL_GROWTH","FQ3 2016","FQ3 2016","Currency=INR","Period=FQ","BEST_FPERIOD_OVERRIDE=FQ","FILING_STATUS=OR","EQY_CONSOLIDATED=Y","Sort=A","Dates=H","DateFormat=P","Fill=—","Direction=H","UseDPDF=Y")</f>
        <v>#NAME?</v>
      </c>
      <c r="BX216" s="1" t="e">
        <f ca="1">_xll.BDH($C$203,"CFO_SEQUENTIAL_GROWTH","FQ3 2016","FQ3 2016","Currency=INR","Period=FQ","BEST_FPERIOD_OVERRIDE=FQ","FILING_STATUS=OR","EQY_CONSOLIDATED=Y","Sort=A","Dates=H","DateFormat=P","Fill=—","Direction=H","UseDPDF=Y")</f>
        <v>#NAME?</v>
      </c>
      <c r="BY216" s="2" t="e">
        <f ca="1">_xll.BDH($C$203,"SHORT_AND_LONG_TERM_DEBT","FQ3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16" s="2" t="e">
        <f ca="1">_xll.BDH($C$203,"BS_ST_BORROW","FQ3 2016","FQ3 2016","Currency=INR","Period=FQ","BEST_FPERIOD_OVERRIDE=FQ","FILING_STATUS=OR","EQY_CONSOLIDATED=Y","SCALING_FORMAT=MLN","Sort=A","Dates=H","DateFormat=P","Fill=—","Direction=H","UseDPDF=Y")</f>
        <v>#NAME?</v>
      </c>
      <c r="CA216" s="2" t="e">
        <f ca="1">_xll.BDH($C$203,"BS_LT_BORROW","FQ3 2016","FQ3 2016","Currency=INR","Period=FQ","BEST_FPERIOD_OVERRIDE=FQ","FILING_STATUS=OR","EQY_CONSOLIDATED=Y","SCALING_FORMAT=MLN","Sort=A","Dates=H","DateFormat=P","Fill=—","Direction=H","UseDPDF=Y")</f>
        <v>#NAME?</v>
      </c>
      <c r="CB216" s="1" t="e">
        <f ca="1">_xll.BDH($C$203,"TOT_DEBT_TO_EBITDA","FQ3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16" s="1" t="e">
        <f ca="1">_xll.BDH($C$203,"NET_DEBT_TO_EBITDA","FQ3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16" s="1" t="e">
        <f ca="1">_xll.BDH($C$203,"TOTAL_DEBT_TO_EBIT","FQ3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16" s="1" t="e">
        <f ca="1">_xll.BDH($C$203,"NET_DEBT_TO_EBIT","FQ3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216" s="1" t="e">
        <f ca="1">_xll.BDH($C$203,"EBITDA_TO_INTEREST_EXPN","FQ3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16" s="1" t="e">
        <f ca="1">_xll.BDH($C$203,"COM_EQY_TO_TOT_ASSET","FQ3 2016","FQ3 2016","Currency=INR","Period=FQ","BEST_FPERIOD_OVERRIDE=FQ","FILING_STATUS=OR","EQY_CONSOLIDATED=Y","Sort=A","Dates=H","DateFormat=P","Fill=—","Direction=H","UseDPDF=Y")</f>
        <v>#NAME?</v>
      </c>
      <c r="CH216" s="1" t="e">
        <f ca="1">_xll.BDH($C$203,"LT_DEBT_TO_TOT_EQY","FQ3 2016","FQ3 2016","Currency=INR","Period=FQ","BEST_FPERIOD_OVERRIDE=FQ","FILING_STATUS=OR","EQY_CONSOLIDATED=Y","Sort=A","Dates=H","DateFormat=P","Fill=—","Direction=H","UseDPDF=Y")</f>
        <v>#NAME?</v>
      </c>
      <c r="CI216" s="1" t="e">
        <f ca="1">_xll.BDH($C$203,"LT_DEBT_TO_TOT_CAP","FQ3 2016","FQ3 2016","Currency=INR","Period=FQ","BEST_FPERIOD_OVERRIDE=FQ","FILING_STATUS=OR","EQY_CONSOLIDATED=Y","Sort=A","Dates=H","DateFormat=P","Fill=—","Direction=H","UseDPDF=Y")</f>
        <v>#NAME?</v>
      </c>
      <c r="CJ216" s="1" t="e">
        <f ca="1">_xll.BDH($C$203,"LT_DEBT_TO_TOT_ASSET","FQ3 2016","FQ3 2016","Currency=INR","Period=FQ","BEST_FPERIOD_OVERRIDE=FQ","FILING_STATUS=OR","EQY_CONSOLIDATED=Y","Sort=A","Dates=H","DateFormat=P","Fill=—","Direction=H","UseDPDF=Y")</f>
        <v>#NAME?</v>
      </c>
      <c r="CK216" s="1" t="e">
        <f ca="1">_xll.BDH($C$203,"TOT_DEBT_TO_TOT_EQY","FQ3 2016","FQ3 2016","Currency=INR","Period=FQ","BEST_FPERIOD_OVERRIDE=FQ","FILING_STATUS=OR","EQY_CONSOLIDATED=Y","Sort=A","Dates=H","DateFormat=P","Fill=—","Direction=H","UseDPDF=Y")</f>
        <v>#NAME?</v>
      </c>
      <c r="CL216" s="1" t="e">
        <f ca="1">_xll.BDH($C$203,"TOT_DEBT_TO_TOT_CAP","FQ3 2016","FQ3 2016","Currency=INR","Period=FQ","BEST_FPERIOD_OVERRIDE=FQ","FILING_STATUS=OR","EQY_CONSOLIDATED=Y","Sort=A","Dates=H","DateFormat=P","Fill=—","Direction=H","UseDPDF=Y")</f>
        <v>#NAME?</v>
      </c>
      <c r="CM216" s="1" t="e">
        <f ca="1">_xll.BDH($C$203,"TOT_DEBT_TO_TOT_ASSET","FQ3 2016","FQ3 2016","Currency=INR","Period=FQ","BEST_FPERIOD_OVERRIDE=FQ","FILING_STATUS=OR","EQY_CONSOLIDATED=Y","Sort=A","Dates=H","DateFormat=P","Fill=—","Direction=H","UseDPDF=Y")</f>
        <v>#NAME?</v>
      </c>
      <c r="CN216" s="1" t="e">
        <f ca="1">_xll.BDH($C$203,"NET_DEBT_TO_SHRHLDR_EQTY","FQ3 2016","FQ3 2016","Currency=INR","Period=FQ","BEST_FPERIOD_OVERRIDE=FQ","FILING_STATUS=OR","EQY_CONSOLIDATED=Y","Sort=A","Dates=H","DateFormat=P","Fill=—","Direction=H","UseDPDF=Y")</f>
        <v>#NAME?</v>
      </c>
      <c r="CO216" s="1" t="e">
        <f ca="1">_xll.BDH($C$203,"NET_DEBT_%_CAPITAL","FQ3 2016","FQ3 2016","Currency=INR","Period=FQ","BEST_FPERIOD_OVERRIDE=FQ","FILING_STATUS=OR","EQY_CONSOLIDATED=Y","Sort=A","Dates=H","DateFormat=P","Fill=—","Direction=H","UseDPDF=Y")</f>
        <v>#NAME?</v>
      </c>
      <c r="CP216" s="2" t="e">
        <f ca="1">_xll.BDH($C$203,"EBITDA","FQ3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16" s="2" t="e">
        <f ca="1">_xll.BDH($C$203,"EBITDA_AFTER_CAPEX","FQ3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16" s="2" t="e">
        <f ca="1">_xll.BDH($C$203,"IS_OPER_INC","FQ3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16" s="1" t="e">
        <f ca="1">_xll.BDH($C$203,"CASH_RATIO","FQ3 2016","FQ3 2016","Currency=INR","Period=FQ","BEST_FPERIOD_OVERRIDE=FQ","FILING_STATUS=OR","EQY_CONSOLIDATED=Y","Sort=A","Dates=H","DateFormat=P","Fill=—","Direction=H","UseDPDF=Y")</f>
        <v>#NAME?</v>
      </c>
      <c r="CT216" s="1" t="e">
        <f ca="1">_xll.BDH($C$203,"CUR_RATIO","FQ3 2016","FQ3 2016","Currency=INR","Period=FQ","BEST_FPERIOD_OVERRIDE=FQ","FILING_STATUS=OR","EQY_CONSOLIDATED=Y","Sort=A","Dates=H","DateFormat=P","Fill=—","Direction=H","UseDPDF=Y")</f>
        <v>#NAME?</v>
      </c>
      <c r="CU216" s="1" t="e">
        <f ca="1">_xll.BDH($C$203,"QUICK_RATIO","FQ3 2016","FQ3 2016","Currency=INR","Period=FQ","BEST_FPERIOD_OVERRIDE=FQ","FILING_STATUS=OR","EQY_CONSOLIDATED=Y","Sort=A","Dates=H","DateFormat=P","Fill=—","Direction=H","UseDPDF=Y")</f>
        <v>#NAME?</v>
      </c>
      <c r="CV216" s="1" t="e">
        <f ca="1">_xll.BDH($C$203,"ALTMAN_Z_SCORE","FQ3 2016","FQ3 2016","Currency=INR","Period=FQ","BEST_FPERIOD_OVERRIDE=FQ","FILING_STATUS=OR","EQY_CONSOLIDATED=Y","Sort=A","Dates=H","DateFormat=P","Fill=—","Direction=H","UseDPDF=Y")</f>
        <v>#NAME?</v>
      </c>
      <c r="CW216" s="3" t="e">
        <f ca="1">_xll.BDH($C$203,"ACCT_RCV_TURN","FQ3 2016","FQ3 2016","Currency=INR","Period=FQ","BEST_FPERIOD_OVERRIDE=FQ","FILING_STATUS=OR","EQY_CONSOLIDATED=Y","FA_ADJUSTED=GAAP","Sort=A","Dates=H","DateFormat=P","Fill=—","Direction=H","UseDPDF=Y")</f>
        <v>#NAME?</v>
      </c>
      <c r="CX216" s="1" t="e">
        <f ca="1">_xll.BDH($C$203,"ACCT_RCV_DAYS","FQ3 2016","FQ3 2016","Currency=INR","Period=FQ","BEST_FPERIOD_OVERRIDE=FQ","FILING_STATUS=OR","EQY_CONSOLIDATED=Y","FA_ADJUSTED=GAAP","Sort=A","Dates=H","DateFormat=P","Fill=—","Direction=H","UseDPDF=Y")</f>
        <v>#NAME?</v>
      </c>
      <c r="CY216" s="3" t="e">
        <f ca="1">_xll.BDH($C$203,"INVENT_TURN","FQ3 2016","FQ3 2016","Currency=INR","Period=FQ","BEST_FPERIOD_OVERRIDE=FQ","FILING_STATUS=OR","EQY_CONSOLIDATED=Y","FA_ADJUSTED=GAAP","Sort=A","Dates=H","DateFormat=P","Fill=—","Direction=H","UseDPDF=Y")</f>
        <v>#NAME?</v>
      </c>
      <c r="CZ216" s="1" t="e">
        <f ca="1">_xll.BDH($C$203,"INVENT_DAYS","FQ3 2016","FQ3 2016","Currency=INR","Period=FQ","BEST_FPERIOD_OVERRIDE=FQ","FILING_STATUS=OR","EQY_CONSOLIDATED=Y","FA_ADJUSTED=GAAP","Sort=A","Dates=H","DateFormat=P","Fill=—","Direction=H","UseDPDF=Y")</f>
        <v>#NAME?</v>
      </c>
      <c r="DA216" s="3" t="e">
        <f ca="1">_xll.BDH($C$203,"ACCOUNTS_PAYABLE_TURNOVER","FQ3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16" s="1" t="e">
        <f ca="1">_xll.BDH($C$203,"ACCOUNTS_PAYABLE_TURNOVER_DAYS","FQ3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16" s="3" t="e">
        <f ca="1">_xll.BDH($C$203,"CASH_CONVERSION_CYCLE","FQ3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16" s="3" t="e">
        <f ca="1">_xll.BDH($C$203,"INV_TO_CASH_DAYS","FQ3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216" s="4" t="e">
        <f ca="1">_xll.BDH($C$203,"BS_INVENTORIES","FQ3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216" s="2" t="e">
        <f ca="1">_xll.BDH($C$203,"INVTRY_RAW_MATERIALS","FQ3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16" s="2" t="e">
        <f ca="1">_xll.BDH($C$203,"INVTRY_IN_PROGRESS","FQ3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16" s="2" t="e">
        <f ca="1">_xll.BDH($C$203,"INVTRY_FINISHED_GOODS","FQ3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16" s="2" t="e">
        <f ca="1">_xll.BDH($C$203,"BS_OTHER_INV","FQ3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17" spans="1:113" x14ac:dyDescent="0.3">
      <c r="A217" s="6"/>
      <c r="B217" s="6"/>
      <c r="C217" s="6"/>
      <c r="D217" s="6"/>
      <c r="E217" t="s">
        <v>7</v>
      </c>
      <c r="F217" t="e">
        <f ca="1">_xll.BDH($C$203,"RETURN_COM_EQY","FQ4 2016","FQ4 2016","Currency=INR","Period=FQ","BEST_FPERIOD_OVERRIDE=FQ","FILING_STATUS=OR","EQY_CONSOLIDATED=Y","FA_ADJUSTED=GAAP","Sort=A","Dates=H","DateFormat=P","Fill=—","Direction=H","UseDPDF=Y")</f>
        <v>#NAME?</v>
      </c>
      <c r="G217" t="e">
        <f ca="1">_xll.BDH($C$203,"RETURN_ON_ASSET","FQ4 2016","FQ4 2016","Currency=INR","Period=FQ","BEST_FPERIOD_OVERRIDE=FQ","FILING_STATUS=OR","EQY_CONSOLIDATED=Y","FA_ADJUSTED=GAAP","Sort=A","Dates=H","DateFormat=P","Fill=—","Direction=H","UseDPDF=Y")</f>
        <v>#NAME?</v>
      </c>
      <c r="H217" t="e">
        <f ca="1">_xll.BDH($C$203,"RETURN_ON_CAP","FQ4 2016","FQ4 2016","Currency=INR","Period=FQ","BEST_FPERIOD_OVERRIDE=FQ","FILING_STATUS=OR","EQY_CONSOLIDATED=Y","FA_ADJUSTED=GAAP","Sort=A","Dates=H","DateFormat=P","Fill=—","Direction=H","UseDPDF=Y")</f>
        <v>#NAME?</v>
      </c>
      <c r="I217" t="e">
        <f ca="1">_xll.BDH($C$203,"RETURN_ON_INV_CAPITAL","FQ4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17" t="e">
        <f ca="1">_xll.BDH($C$203,"EBITDA_TO_REVENUE","FQ4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217" t="e">
        <f ca="1">_xll.BDH($C$203,"OPER_MARGIN","FQ4 2016","FQ4 2016","Currency=INR","Period=FQ","BEST_FPERIOD_OVERRIDE=FQ","FILING_STATUS=OR","EQY_CONSOLIDATED=Y","FA_ADJUSTED=GAAP","Sort=A","Dates=H","DateFormat=P","Fill=—","Direction=H","UseDPDF=Y")</f>
        <v>#NAME?</v>
      </c>
      <c r="L217" t="e">
        <f ca="1">_xll.BDH($C$203,"INCREMENTAL_OPERATING_MARGIN","FQ4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17" t="e">
        <f ca="1">_xll.BDH($C$203,"PRETAX_INC_TO_NET_SALES","FQ4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17" t="e">
        <f ca="1">_xll.BDH($C$203,"INC_BEF_XO_ITEMS_TO_NET_SALES","FQ4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17" t="e">
        <f ca="1">_xll.BDH($C$203,"PROF_MARGIN","FQ4 2016","FQ4 2016","Currency=INR","Period=FQ","BEST_FPERIOD_OVERRIDE=FQ","FILING_STATUS=OR","EQY_CONSOLIDATED=Y","FA_ADJUSTED=GAAP","Sort=A","Dates=H","DateFormat=P","Fill=—","Direction=H","UseDPDF=Y")</f>
        <v>#NAME?</v>
      </c>
      <c r="P217" t="e">
        <f ca="1">_xll.BDH($C$203,"NET_INCOME_TO_COMMON_MARGIN","FQ4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17" t="e">
        <f ca="1">_xll.BDH($C$203,"EFF_TAX_RATE","FQ4 2016","FQ4 2016","Currency=INR","Period=FQ","BEST_FPERIOD_OVERRIDE=FQ","FILING_STATUS=OR","EQY_CONSOLIDATED=Y","FA_ADJUSTED=GAAP","Sort=A","Dates=H","DateFormat=P","Fill=—","Direction=H","UseDPDF=Y")</f>
        <v>#NAME?</v>
      </c>
      <c r="R217" t="e">
        <f ca="1">_xll.BDH($C$203,"DVD_PAYOUT_RATIO","FQ4 2016","FQ4 2016","Currency=INR","Period=FQ","BEST_FPERIOD_OVERRIDE=FQ","FILING_STATUS=OR","EQY_CONSOLIDATED=Y","FA_ADJUSTED=GAAP","Sort=A","Dates=H","DateFormat=P","Fill=—","Direction=H","UseDPDF=Y")</f>
        <v>#NAME?</v>
      </c>
      <c r="S217" t="e">
        <f ca="1">_xll.BDH($C$203,"SUSTAIN_GROWTH_RT","FQ4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217" s="1" t="e">
        <f ca="1">_xll.BDH($C$203,"SALES_GROWTH","FQ4 2016","FQ4 2016","Currency=INR","Period=FQ","BEST_FPERIOD_OVERRIDE=FQ","FILING_STATUS=OR","EQY_CONSOLIDATED=Y","FA_ADJUSTED=GAAP","Sort=A","Dates=H","DateFormat=P","Fill=—","Direction=H","UseDPDF=Y")</f>
        <v>#NAME?</v>
      </c>
      <c r="U217" s="1" t="e">
        <f ca="1">_xll.BDH($C$203,"EBITDA_GROWTH","FQ4 2016","FQ4 2016","Currency=INR","Period=FQ","BEST_FPERIOD_OVERRIDE=FQ","FILING_STATUS=OR","EQY_CONSOLIDATED=Y","FA_ADJUSTED=GAAP","Sort=A","Dates=H","DateFormat=P","Fill=—","Direction=H","UseDPDF=Y")</f>
        <v>#NAME?</v>
      </c>
      <c r="V217" s="1" t="e">
        <f ca="1">_xll.BDH($C$203,"OPER_INC_GROWTH","FQ4 2016","FQ4 2016","Currency=INR","Period=FQ","BEST_FPERIOD_OVERRIDE=FQ","FILING_STATUS=OR","EQY_CONSOLIDATED=Y","FA_ADJUSTED=GAAP","Sort=A","Dates=H","DateFormat=P","Fill=—","Direction=H","UseDPDF=Y")</f>
        <v>#NAME?</v>
      </c>
      <c r="W217" s="1" t="e">
        <f ca="1">_xll.BDH($C$203,"EARN_FOR_COM_GROWTH","FQ4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17" s="1" t="e">
        <f ca="1">_xll.BDH($C$203,"DILUTED_EPS_AFT_XO_ITEMS_GROWTH","FQ4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17" s="1" t="e">
        <f ca="1">_xll.BDH($C$203,"DIVIDEND_PER_SHARE_1_YEAR_GROWTH","FQ4 2016","FQ4 2016","Currency=INR","Period=FQ","BEST_FPERIOD_OVERRIDE=FQ","FILING_STATUS=OR","EQY_CONSOLIDATED=Y","Sort=A","Dates=H","DateFormat=P","Fill=—","Direction=H","UseDPDF=Y")</f>
        <v>#NAME?</v>
      </c>
      <c r="Z217" s="1" t="e">
        <f ca="1">_xll.BDH($C$203,"ACCOUNTS_RECEIVABLE_GROWTH","FQ4 2016","FQ4 2016","Currency=INR","Period=FQ","BEST_FPERIOD_OVERRIDE=FQ","FILING_STATUS=OR","EQY_CONSOLIDATED=Y","Sort=A","Dates=H","DateFormat=P","Fill=—","Direction=H","UseDPDF=Y")</f>
        <v>#NAME?</v>
      </c>
      <c r="AA217" s="1" t="e">
        <f ca="1">_xll.BDH($C$203,"INVENTORY_GROWTH","FQ4 2016","FQ4 2016","Currency=INR","Period=FQ","BEST_FPERIOD_OVERRIDE=FQ","FILING_STATUS=OR","EQY_CONSOLIDATED=Y","Sort=A","Dates=H","DateFormat=P","Fill=—","Direction=H","UseDPDF=Y")</f>
        <v>#NAME?</v>
      </c>
      <c r="AB217" s="1" t="e">
        <f ca="1">_xll.BDH($C$203,"NET_FIXED_ASSETS_1_YEAR_GROWTH","FQ4 2016","FQ4 2016","Currency=INR","Period=FQ","BEST_FPERIOD_OVERRIDE=FQ","FILING_STATUS=OR","EQY_CONSOLIDATED=Y","Sort=A","Dates=H","DateFormat=P","Fill=—","Direction=H","UseDPDF=Y")</f>
        <v>#NAME?</v>
      </c>
      <c r="AC217" s="1" t="e">
        <f ca="1">_xll.BDH($C$203,"ASSET_GROWTH","FQ4 2016","FQ4 2016","Currency=INR","Period=FQ","BEST_FPERIOD_OVERRIDE=FQ","FILING_STATUS=OR","EQY_CONSOLIDATED=Y","Sort=A","Dates=H","DateFormat=P","Fill=—","Direction=H","UseDPDF=Y")</f>
        <v>#NAME?</v>
      </c>
      <c r="AD217" s="1" t="e">
        <f ca="1">_xll.BDH($C$203,"MODIFIED_WORK_CAP_GROWTH","FQ4 2016","FQ4 2016","Currency=INR","Period=FQ","BEST_FPERIOD_OVERRIDE=FQ","FILING_STATUS=OR","EQY_CONSOLIDATED=Y","Sort=A","Dates=H","DateFormat=P","Fill=—","Direction=H","UseDPDF=Y")</f>
        <v>#NAME?</v>
      </c>
      <c r="AE217" s="1" t="e">
        <f ca="1">_xll.BDH($C$203,"WORK_CAP_GROWTH","FQ4 2016","FQ4 2016","Currency=INR","Period=FQ","BEST_FPERIOD_OVERRIDE=FQ","FILING_STATUS=OR","EQY_CONSOLIDATED=Y","Sort=A","Dates=H","DateFormat=P","Fill=—","Direction=H","UseDPDF=Y")</f>
        <v>#NAME?</v>
      </c>
      <c r="AF217" s="1" t="e">
        <f ca="1">_xll.BDH($C$203,"ACCOUNTS_PAYABLE_GROWTH_1YR","FQ4 2016","FQ4 2016","Currency=INR","Period=FQ","BEST_FPERIOD_OVERRIDE=FQ","FILING_STATUS=OR","EQY_CONSOLIDATED=Y","Sort=A","Dates=H","DateFormat=P","Fill=—","Direction=H","UseDPDF=Y")</f>
        <v>#NAME?</v>
      </c>
      <c r="AG217" s="1" t="e">
        <f ca="1">_xll.BDH($C$203,"SHORT_TERM_DEBT_1_YEAR_GROWTH","FQ4 2016","FQ4 2016","Currency=INR","Period=FQ","BEST_FPERIOD_OVERRIDE=FQ","FILING_STATUS=OR","EQY_CONSOLIDATED=Y","Sort=A","Dates=H","DateFormat=P","Fill=—","Direction=H","UseDPDF=Y")</f>
        <v>#NAME?</v>
      </c>
      <c r="AH217" s="1" t="e">
        <f ca="1">_xll.BDH($C$203,"TOTAL_DEBT_1_YEAR_GROWTH","FQ4 2016","FQ4 2016","Currency=INR","Period=FQ","BEST_FPERIOD_OVERRIDE=FQ","FILING_STATUS=OR","EQY_CONSOLIDATED=Y","Sort=A","Dates=H","DateFormat=P","Fill=—","Direction=H","UseDPDF=Y")</f>
        <v>#NAME?</v>
      </c>
      <c r="AI217" s="1" t="e">
        <f ca="1">_xll.BDH($C$203,"TOTAL_EQUITY_1_YEAR_GROWTH","FQ4 2016","FQ4 2016","Currency=INR","Period=FQ","BEST_FPERIOD_OVERRIDE=FQ","FILING_STATUS=OR","EQY_CONSOLIDATED=Y","Sort=A","Dates=H","DateFormat=P","Fill=—","Direction=H","UseDPDF=Y")</f>
        <v>#NAME?</v>
      </c>
      <c r="AJ217" s="1" t="e">
        <f ca="1">_xll.BDH($C$203,"GROWTH_IN_CAP","FQ4 2016","FQ4 2016","Currency=INR","Period=FQ","BEST_FPERIOD_OVERRIDE=FQ","FILING_STATUS=OR","EQY_CONSOLIDATED=Y","Sort=A","Dates=H","DateFormat=P","Fill=—","Direction=H","UseDPDF=Y")</f>
        <v>#NAME?</v>
      </c>
      <c r="AK217" s="1" t="e">
        <f ca="1">_xll.BDH($C$203,"BVPS_GROWTH","FQ4 2016","FQ4 2016","Currency=INR","Period=FQ","BEST_FPERIOD_OVERRIDE=FQ","FILING_STATUS=OR","EQY_CONSOLIDATED=Y","Sort=A","Dates=H","DateFormat=P","Fill=—","Direction=H","UseDPDF=Y")</f>
        <v>#NAME?</v>
      </c>
      <c r="AL217" s="1" t="e">
        <f ca="1">_xll.BDH($C$203,"CASH_FLOW_GROWTH","FQ4 2016","FQ4 2016","Currency=INR","Period=FQ","BEST_FPERIOD_OVERRIDE=FQ","FILING_STATUS=OR","EQY_CONSOLIDATED=Y","Sort=A","Dates=H","DateFormat=P","Fill=—","Direction=H","UseDPDF=Y")</f>
        <v>#NAME?</v>
      </c>
      <c r="AM217" s="1" t="e">
        <f ca="1">_xll.BDH($C$203,"GEO_GROW_NET_SALES","FQ4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17" s="1" t="e">
        <f ca="1">_xll.BDH($C$203,"GEO_GROW_EBITDA","FQ4 2016","FQ4 2016","Currency=INR","Period=FQ","BEST_FPERIOD_OVERRIDE=FQ","FILING_STATUS=OR","EQY_CONSOLIDATED=Y","FA_ADJUSTED=GAAP","Sort=A","Dates=H","DateFormat=P","Fill=—","Direction=H","UseDPDF=Y")</f>
        <v>#NAME?</v>
      </c>
      <c r="AO217" s="1" t="e">
        <f ca="1">_xll.BDH($C$203,"GEO_GROW_OPER_INC","FQ4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17" s="1" t="e">
        <f ca="1">_xll.BDH($C$203,"NET_INCOME_TO_COMMON_5_YR_GROWTH","FQ4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17" s="1" t="e">
        <f ca="1">_xll.BDH($C$203,"5Y_GEO_GROWTH_DILUTED_EPS","FQ4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17" s="1" t="e">
        <f ca="1">_xll.BDH($C$203,"GEO_GROW_DVD_PER_SH","FQ4 2016","FQ4 2016","Currency=INR","Period=FQ","BEST_FPERIOD_OVERRIDE=FQ","FILING_STATUS=OR","EQY_CONSOLIDATED=Y","Sort=A","Dates=H","DateFormat=P","Fill=—","Direction=H","UseDPDF=Y")</f>
        <v>#NAME?</v>
      </c>
      <c r="AS217" s="1" t="e">
        <f ca="1">_xll.BDH($C$203,"ACCOUNTS_RECEIVABLE_5_YR_GROWTH","FQ4 2016","FQ4 2016","Currency=INR","Period=FQ","BEST_FPERIOD_OVERRIDE=FQ","FILING_STATUS=OR","EQY_CONSOLIDATED=Y","Sort=A","Dates=H","DateFormat=P","Fill=—","Direction=H","UseDPDF=Y")</f>
        <v>#NAME?</v>
      </c>
      <c r="AT217" s="1" t="e">
        <f ca="1">_xll.BDH($C$203,"INVENTORY_5_YEAR_GROWTH","FQ4 2016","FQ4 2016","Currency=INR","Period=FQ","BEST_FPERIOD_OVERRIDE=FQ","FILING_STATUS=OR","EQY_CONSOLIDATED=Y","Sort=A","Dates=H","DateFormat=P","Fill=—","Direction=H","UseDPDF=Y")</f>
        <v>#NAME?</v>
      </c>
      <c r="AU217" s="1" t="e">
        <f ca="1">_xll.BDH($C$203,"NET_FIXED_ASSETS_5_YEAR_GROWTH","FQ4 2016","FQ4 2016","Currency=INR","Period=FQ","BEST_FPERIOD_OVERRIDE=FQ","FILING_STATUS=OR","EQY_CONSOLIDATED=Y","Sort=A","Dates=H","DateFormat=P","Fill=—","Direction=H","UseDPDF=Y")</f>
        <v>#NAME?</v>
      </c>
      <c r="AV217" s="1" t="e">
        <f ca="1">_xll.BDH($C$203,"GEO_GROW_TOT_ASSET","FQ4 2016","FQ4 2016","Currency=INR","Period=FQ","BEST_FPERIOD_OVERRIDE=FQ","FILING_STATUS=OR","EQY_CONSOLIDATED=Y","Sort=A","Dates=H","DateFormat=P","Fill=—","Direction=H","UseDPDF=Y")</f>
        <v>#NAME?</v>
      </c>
      <c r="AW217" s="1" t="e">
        <f ca="1">_xll.BDH($C$203,"MODIFIED_WORKING_CPTL_5YR_GRWTH","FQ4 2016","FQ4 2016","Currency=INR","Period=FQ","BEST_FPERIOD_OVERRIDE=FQ","FILING_STATUS=OR","EQY_CONSOLIDATED=Y","Sort=A","Dates=H","DateFormat=P","Fill=—","Direction=H","UseDPDF=Y")</f>
        <v>#NAME?</v>
      </c>
      <c r="AX217" s="1" t="e">
        <f ca="1">_xll.BDH($C$203,"WORKING_CAPITAL_5_YEAR_GROWTH","FQ4 2016","FQ4 2016","Currency=INR","Period=FQ","BEST_FPERIOD_OVERRIDE=FQ","FILING_STATUS=OR","EQY_CONSOLIDATED=Y","Sort=A","Dates=H","DateFormat=P","Fill=—","Direction=H","UseDPDF=Y")</f>
        <v>#NAME?</v>
      </c>
      <c r="AY217" s="1" t="e">
        <f ca="1">_xll.BDH($C$203,"ACCOUNTS_PAYABLE_5_YEAR_GROWTH","FQ4 2016","FQ4 2016","Currency=INR","Period=FQ","BEST_FPERIOD_OVERRIDE=FQ","FILING_STATUS=OR","EQY_CONSOLIDATED=Y","Sort=A","Dates=H","DateFormat=P","Fill=—","Direction=H","UseDPDF=Y")</f>
        <v>#NAME?</v>
      </c>
      <c r="AZ217" s="1" t="e">
        <f ca="1">_xll.BDH($C$203,"SHORT_TERM_DEBT_5_YEAR_GROWTH","FQ4 2016","FQ4 2016","Currency=INR","Period=FQ","BEST_FPERIOD_OVERRIDE=FQ","FILING_STATUS=OR","EQY_CONSOLIDATED=Y","Sort=A","Dates=H","DateFormat=P","Fill=—","Direction=H","UseDPDF=Y")</f>
        <v>#NAME?</v>
      </c>
      <c r="BA217" s="1" t="e">
        <f ca="1">_xll.BDH($C$203,"TOTAL_DEBT_5_YEAR_GROWTH","FQ4 2016","FQ4 2016","Currency=INR","Period=FQ","BEST_FPERIOD_OVERRIDE=FQ","FILING_STATUS=OR","EQY_CONSOLIDATED=Y","Sort=A","Dates=H","DateFormat=P","Fill=—","Direction=H","UseDPDF=Y")</f>
        <v>#NAME?</v>
      </c>
      <c r="BB217" s="1" t="e">
        <f ca="1">_xll.BDH($C$203,"GEO_GROW_TOT_SHRHLDR_EQY","FQ4 2016","FQ4 2016","Currency=INR","Period=FQ","BEST_FPERIOD_OVERRIDE=FQ","FILING_STATUS=OR","EQY_CONSOLIDATED=Y","Sort=A","Dates=H","DateFormat=P","Fill=—","Direction=H","UseDPDF=Y")</f>
        <v>#NAME?</v>
      </c>
      <c r="BC217" s="1" t="e">
        <f ca="1">_xll.BDH($C$203,"TOTAL_CAPITAL_5_YEAR_GROWTH","FQ4 2016","FQ4 2016","Currency=INR","Period=FQ","BEST_FPERIOD_OVERRIDE=FQ","FILING_STATUS=OR","EQY_CONSOLIDATED=Y","Sort=A","Dates=H","DateFormat=P","Fill=—","Direction=H","UseDPDF=Y")</f>
        <v>#NAME?</v>
      </c>
      <c r="BD217" s="1" t="e">
        <f ca="1">_xll.BDH($C$203,"GEO_GROW_BOOK_VAL","FQ4 2016","FQ4 2016","Currency=INR","Period=FQ","BEST_FPERIOD_OVERRIDE=FQ","FILING_STATUS=OR","EQY_CONSOLIDATED=Y","Sort=A","Dates=H","DateFormat=P","Fill=—","Direction=H","UseDPDF=Y")</f>
        <v>#NAME?</v>
      </c>
      <c r="BE217" s="1" t="e">
        <f ca="1">_xll.BDH($C$203,"GEO_GROW_CASH_OPER_ACT","FQ4 2016","FQ4 2016","Currency=INR","Period=FQ","BEST_FPERIOD_OVERRIDE=FQ","FILING_STATUS=OR","EQY_CONSOLIDATED=Y","Sort=A","Dates=H","DateFormat=P","Fill=—","Direction=H","UseDPDF=Y")</f>
        <v>#NAME?</v>
      </c>
      <c r="BF217" s="1" t="e">
        <f ca="1">_xll.BDH($C$203,"REVENUE_SEQUENTIAL_GROWTH","FQ4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17" s="1" t="e">
        <f ca="1">_xll.BDH($C$203,"EBITDA_SEQUENTIAL_GROWTH","FQ4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17" s="1" t="e">
        <f ca="1">_xll.BDH($C$203,"OPERATING_INCOME_SEQ_GROWTH","FQ4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17" s="1" t="e">
        <f ca="1">_xll.BDH($C$203,"NET_INCOME_TO_COMMON_SEQ_GROWTH","FQ4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17" s="1" t="e">
        <f ca="1">_xll.BDH($C$203,"EPS_DILUTED_SEQUENTIAL_GROWTH","FQ4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17" s="1" t="e">
        <f ca="1">_xll.BDH($C$203,"DPS_SEQUENTIAL_GROWTH","FQ4 2016","FQ4 2016","Currency=INR","Period=FQ","BEST_FPERIOD_OVERRIDE=FQ","FILING_STATUS=OR","EQY_CONSOLIDATED=Y","Sort=A","Dates=H","DateFormat=P","Fill=—","Direction=H","UseDPDF=Y")</f>
        <v>#NAME?</v>
      </c>
      <c r="BL217" s="1" t="e">
        <f ca="1">_xll.BDH($C$203,"ACCOUNTS_RECEIVABLE_SEQ_GROWTH","FQ4 2016","FQ4 2016","Currency=INR","Period=FQ","BEST_FPERIOD_OVERRIDE=FQ","FILING_STATUS=OR","EQY_CONSOLIDATED=Y","Sort=A","Dates=H","DateFormat=P","Fill=—","Direction=H","UseDPDF=Y")</f>
        <v>#NAME?</v>
      </c>
      <c r="BM217" s="1" t="e">
        <f ca="1">_xll.BDH($C$203,"INVENTORY_SEQUENTIAL_GROWTH","FQ4 2016","FQ4 2016","Currency=INR","Period=FQ","BEST_FPERIOD_OVERRIDE=FQ","FILING_STATUS=OR","EQY_CONSOLIDATED=Y","Sort=A","Dates=H","DateFormat=P","Fill=—","Direction=H","UseDPDF=Y")</f>
        <v>#NAME?</v>
      </c>
      <c r="BN217" s="1" t="e">
        <f ca="1">_xll.BDH($C$203,"FIXED_ASSETS_SEQUENTIAL_GROWTH","FQ4 2016","FQ4 2016","Currency=INR","Period=FQ","BEST_FPERIOD_OVERRIDE=FQ","FILING_STATUS=OR","EQY_CONSOLIDATED=Y","Sort=A","Dates=H","DateFormat=P","Fill=—","Direction=H","UseDPDF=Y")</f>
        <v>#NAME?</v>
      </c>
      <c r="BO217" s="1" t="e">
        <f ca="1">_xll.BDH($C$203,"TOTAL_ASSETS_SEQUENTIAL_GROWTH","FQ4 2016","FQ4 2016","Currency=INR","Period=FQ","BEST_FPERIOD_OVERRIDE=FQ","FILING_STATUS=OR","EQY_CONSOLIDATED=Y","Sort=A","Dates=H","DateFormat=P","Fill=—","Direction=H","UseDPDF=Y")</f>
        <v>#NAME?</v>
      </c>
      <c r="BP217" s="1" t="e">
        <f ca="1">_xll.BDH($C$203,"MODIFIED_WORKING_CPTL_SEQ_GRWTH","FQ4 2016","FQ4 2016","Currency=INR","Period=FQ","BEST_FPERIOD_OVERRIDE=FQ","FILING_STATUS=OR","EQY_CONSOLIDATED=Y","Sort=A","Dates=H","DateFormat=P","Fill=—","Direction=H","UseDPDF=Y")</f>
        <v>#NAME?</v>
      </c>
      <c r="BQ217" s="1" t="e">
        <f ca="1">_xll.BDH($C$203,"WORKING_CAPITAL_SEQ_GROWTH","FQ4 2016","FQ4 2016","Currency=INR","Period=FQ","BEST_FPERIOD_OVERRIDE=FQ","FILING_STATUS=OR","EQY_CONSOLIDATED=Y","Sort=A","Dates=H","DateFormat=P","Fill=—","Direction=H","UseDPDF=Y")</f>
        <v>#NAME?</v>
      </c>
      <c r="BR217" s="1" t="e">
        <f ca="1">_xll.BDH($C$203,"ACCOUNTS_PAYABLE_SEQ_GROWTH","FQ4 2016","FQ4 2016","Currency=INR","Period=FQ","BEST_FPERIOD_OVERRIDE=FQ","FILING_STATUS=OR","EQY_CONSOLIDATED=Y","Sort=A","Dates=H","DateFormat=P","Fill=—","Direction=H","UseDPDF=Y")</f>
        <v>#NAME?</v>
      </c>
      <c r="BS217" s="1" t="e">
        <f ca="1">_xll.BDH($C$203,"ST_DEBT_SEQUENTIAL_GROWTH","FQ4 2016","FQ4 2016","Currency=INR","Period=FQ","BEST_FPERIOD_OVERRIDE=FQ","FILING_STATUS=OR","EQY_CONSOLIDATED=Y","Sort=A","Dates=H","DateFormat=P","Fill=—","Direction=H","UseDPDF=Y")</f>
        <v>#NAME?</v>
      </c>
      <c r="BT217" s="1" t="e">
        <f ca="1">_xll.BDH($C$203,"TOTAL_DEBT_SEQUENTIAL_GROWTH","FQ4 2016","FQ4 2016","Currency=INR","Period=FQ","BEST_FPERIOD_OVERRIDE=FQ","FILING_STATUS=OR","EQY_CONSOLIDATED=Y","Sort=A","Dates=H","DateFormat=P","Fill=—","Direction=H","UseDPDF=Y")</f>
        <v>#NAME?</v>
      </c>
      <c r="BU217" s="1" t="e">
        <f ca="1">_xll.BDH($C$203,"TOTAL_EQUITY_SEQUENTIAL_GROWTH","FQ4 2016","FQ4 2016","Currency=INR","Period=FQ","BEST_FPERIOD_OVERRIDE=FQ","FILING_STATUS=OR","EQY_CONSOLIDATED=Y","Sort=A","Dates=H","DateFormat=P","Fill=—","Direction=H","UseDPDF=Y")</f>
        <v>#NAME?</v>
      </c>
      <c r="BV217" s="1" t="e">
        <f ca="1">_xll.BDH($C$203,"TOTAL_CAPITAL_SEQUENTIAL_GROWTH","FQ4 2016","FQ4 2016","Currency=INR","Period=FQ","BEST_FPERIOD_OVERRIDE=FQ","FILING_STATUS=OR","EQY_CONSOLIDATED=Y","Sort=A","Dates=H","DateFormat=P","Fill=—","Direction=H","UseDPDF=Y")</f>
        <v>#NAME?</v>
      </c>
      <c r="BW217" s="1" t="e">
        <f ca="1">_xll.BDH($C$203,"BPS_SEQUENTIAL_GROWTH","FQ4 2016","FQ4 2016","Currency=INR","Period=FQ","BEST_FPERIOD_OVERRIDE=FQ","FILING_STATUS=OR","EQY_CONSOLIDATED=Y","Sort=A","Dates=H","DateFormat=P","Fill=—","Direction=H","UseDPDF=Y")</f>
        <v>#NAME?</v>
      </c>
      <c r="BX217" s="1" t="e">
        <f ca="1">_xll.BDH($C$203,"CFO_SEQUENTIAL_GROWTH","FQ4 2016","FQ4 2016","Currency=INR","Period=FQ","BEST_FPERIOD_OVERRIDE=FQ","FILING_STATUS=OR","EQY_CONSOLIDATED=Y","Sort=A","Dates=H","DateFormat=P","Fill=—","Direction=H","UseDPDF=Y")</f>
        <v>#NAME?</v>
      </c>
      <c r="BY217" s="2" t="e">
        <f ca="1">_xll.BDH($C$203,"SHORT_AND_LONG_TERM_DEBT","FQ4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17" s="2" t="e">
        <f ca="1">_xll.BDH($C$203,"BS_ST_BORROW","FQ4 2016","FQ4 2016","Currency=INR","Period=FQ","BEST_FPERIOD_OVERRIDE=FQ","FILING_STATUS=OR","EQY_CONSOLIDATED=Y","SCALING_FORMAT=MLN","Sort=A","Dates=H","DateFormat=P","Fill=—","Direction=H","UseDPDF=Y")</f>
        <v>#NAME?</v>
      </c>
      <c r="CA217" s="2" t="e">
        <f ca="1">_xll.BDH($C$203,"BS_LT_BORROW","FQ4 2016","FQ4 2016","Currency=INR","Period=FQ","BEST_FPERIOD_OVERRIDE=FQ","FILING_STATUS=OR","EQY_CONSOLIDATED=Y","SCALING_FORMAT=MLN","Sort=A","Dates=H","DateFormat=P","Fill=—","Direction=H","UseDPDF=Y")</f>
        <v>#NAME?</v>
      </c>
      <c r="CB217" s="1" t="e">
        <f ca="1">_xll.BDH($C$203,"TOT_DEBT_TO_EBITDA","FQ4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17" s="1" t="e">
        <f ca="1">_xll.BDH($C$203,"NET_DEBT_TO_EBITDA","FQ4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17" s="1" t="e">
        <f ca="1">_xll.BDH($C$203,"TOTAL_DEBT_TO_EBIT","FQ4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17" s="1" t="e">
        <f ca="1">_xll.BDH($C$203,"NET_DEBT_TO_EBIT","FQ4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217" s="1" t="e">
        <f ca="1">_xll.BDH($C$203,"EBITDA_TO_INTEREST_EXPN","FQ4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17" s="1" t="e">
        <f ca="1">_xll.BDH($C$203,"COM_EQY_TO_TOT_ASSET","FQ4 2016","FQ4 2016","Currency=INR","Period=FQ","BEST_FPERIOD_OVERRIDE=FQ","FILING_STATUS=OR","EQY_CONSOLIDATED=Y","Sort=A","Dates=H","DateFormat=P","Fill=—","Direction=H","UseDPDF=Y")</f>
        <v>#NAME?</v>
      </c>
      <c r="CH217" s="1" t="e">
        <f ca="1">_xll.BDH($C$203,"LT_DEBT_TO_TOT_EQY","FQ4 2016","FQ4 2016","Currency=INR","Period=FQ","BEST_FPERIOD_OVERRIDE=FQ","FILING_STATUS=OR","EQY_CONSOLIDATED=Y","Sort=A","Dates=H","DateFormat=P","Fill=—","Direction=H","UseDPDF=Y")</f>
        <v>#NAME?</v>
      </c>
      <c r="CI217" s="1" t="e">
        <f ca="1">_xll.BDH($C$203,"LT_DEBT_TO_TOT_CAP","FQ4 2016","FQ4 2016","Currency=INR","Period=FQ","BEST_FPERIOD_OVERRIDE=FQ","FILING_STATUS=OR","EQY_CONSOLIDATED=Y","Sort=A","Dates=H","DateFormat=P","Fill=—","Direction=H","UseDPDF=Y")</f>
        <v>#NAME?</v>
      </c>
      <c r="CJ217" s="1" t="e">
        <f ca="1">_xll.BDH($C$203,"LT_DEBT_TO_TOT_ASSET","FQ4 2016","FQ4 2016","Currency=INR","Period=FQ","BEST_FPERIOD_OVERRIDE=FQ","FILING_STATUS=OR","EQY_CONSOLIDATED=Y","Sort=A","Dates=H","DateFormat=P","Fill=—","Direction=H","UseDPDF=Y")</f>
        <v>#NAME?</v>
      </c>
      <c r="CK217" s="1" t="e">
        <f ca="1">_xll.BDH($C$203,"TOT_DEBT_TO_TOT_EQY","FQ4 2016","FQ4 2016","Currency=INR","Period=FQ","BEST_FPERIOD_OVERRIDE=FQ","FILING_STATUS=OR","EQY_CONSOLIDATED=Y","Sort=A","Dates=H","DateFormat=P","Fill=—","Direction=H","UseDPDF=Y")</f>
        <v>#NAME?</v>
      </c>
      <c r="CL217" s="1" t="e">
        <f ca="1">_xll.BDH($C$203,"TOT_DEBT_TO_TOT_CAP","FQ4 2016","FQ4 2016","Currency=INR","Period=FQ","BEST_FPERIOD_OVERRIDE=FQ","FILING_STATUS=OR","EQY_CONSOLIDATED=Y","Sort=A","Dates=H","DateFormat=P","Fill=—","Direction=H","UseDPDF=Y")</f>
        <v>#NAME?</v>
      </c>
      <c r="CM217" s="1" t="e">
        <f ca="1">_xll.BDH($C$203,"TOT_DEBT_TO_TOT_ASSET","FQ4 2016","FQ4 2016","Currency=INR","Period=FQ","BEST_FPERIOD_OVERRIDE=FQ","FILING_STATUS=OR","EQY_CONSOLIDATED=Y","Sort=A","Dates=H","DateFormat=P","Fill=—","Direction=H","UseDPDF=Y")</f>
        <v>#NAME?</v>
      </c>
      <c r="CN217" s="1" t="e">
        <f ca="1">_xll.BDH($C$203,"NET_DEBT_TO_SHRHLDR_EQTY","FQ4 2016","FQ4 2016","Currency=INR","Period=FQ","BEST_FPERIOD_OVERRIDE=FQ","FILING_STATUS=OR","EQY_CONSOLIDATED=Y","Sort=A","Dates=H","DateFormat=P","Fill=—","Direction=H","UseDPDF=Y")</f>
        <v>#NAME?</v>
      </c>
      <c r="CO217" s="1" t="e">
        <f ca="1">_xll.BDH($C$203,"NET_DEBT_%_CAPITAL","FQ4 2016","FQ4 2016","Currency=INR","Period=FQ","BEST_FPERIOD_OVERRIDE=FQ","FILING_STATUS=OR","EQY_CONSOLIDATED=Y","Sort=A","Dates=H","DateFormat=P","Fill=—","Direction=H","UseDPDF=Y")</f>
        <v>#NAME?</v>
      </c>
      <c r="CP217" s="2" t="e">
        <f ca="1">_xll.BDH($C$203,"EBITDA","FQ4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17" s="2" t="e">
        <f ca="1">_xll.BDH($C$203,"EBITDA_AFTER_CAPEX","FQ4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17" s="2" t="e">
        <f ca="1">_xll.BDH($C$203,"IS_OPER_INC","FQ4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17" s="1" t="e">
        <f ca="1">_xll.BDH($C$203,"CASH_RATIO","FQ4 2016","FQ4 2016","Currency=INR","Period=FQ","BEST_FPERIOD_OVERRIDE=FQ","FILING_STATUS=OR","EQY_CONSOLIDATED=Y","Sort=A","Dates=H","DateFormat=P","Fill=—","Direction=H","UseDPDF=Y")</f>
        <v>#NAME?</v>
      </c>
      <c r="CT217" s="1" t="e">
        <f ca="1">_xll.BDH($C$203,"CUR_RATIO","FQ4 2016","FQ4 2016","Currency=INR","Period=FQ","BEST_FPERIOD_OVERRIDE=FQ","FILING_STATUS=OR","EQY_CONSOLIDATED=Y","Sort=A","Dates=H","DateFormat=P","Fill=—","Direction=H","UseDPDF=Y")</f>
        <v>#NAME?</v>
      </c>
      <c r="CU217" s="1" t="e">
        <f ca="1">_xll.BDH($C$203,"QUICK_RATIO","FQ4 2016","FQ4 2016","Currency=INR","Period=FQ","BEST_FPERIOD_OVERRIDE=FQ","FILING_STATUS=OR","EQY_CONSOLIDATED=Y","Sort=A","Dates=H","DateFormat=P","Fill=—","Direction=H","UseDPDF=Y")</f>
        <v>#NAME?</v>
      </c>
      <c r="CV217" s="1" t="e">
        <f ca="1">_xll.BDH($C$203,"ALTMAN_Z_SCORE","FQ4 2016","FQ4 2016","Currency=INR","Period=FQ","BEST_FPERIOD_OVERRIDE=FQ","FILING_STATUS=OR","EQY_CONSOLIDATED=Y","Sort=A","Dates=H","DateFormat=P","Fill=—","Direction=H","UseDPDF=Y")</f>
        <v>#NAME?</v>
      </c>
      <c r="CW217" s="3" t="e">
        <f ca="1">_xll.BDH($C$203,"ACCT_RCV_TURN","FQ4 2016","FQ4 2016","Currency=INR","Period=FQ","BEST_FPERIOD_OVERRIDE=FQ","FILING_STATUS=OR","EQY_CONSOLIDATED=Y","FA_ADJUSTED=GAAP","Sort=A","Dates=H","DateFormat=P","Fill=—","Direction=H","UseDPDF=Y")</f>
        <v>#NAME?</v>
      </c>
      <c r="CX217" s="1" t="e">
        <f ca="1">_xll.BDH($C$203,"ACCT_RCV_DAYS","FQ4 2016","FQ4 2016","Currency=INR","Period=FQ","BEST_FPERIOD_OVERRIDE=FQ","FILING_STATUS=OR","EQY_CONSOLIDATED=Y","FA_ADJUSTED=GAAP","Sort=A","Dates=H","DateFormat=P","Fill=—","Direction=H","UseDPDF=Y")</f>
        <v>#NAME?</v>
      </c>
      <c r="CY217" s="3" t="e">
        <f ca="1">_xll.BDH($C$203,"INVENT_TURN","FQ4 2016","FQ4 2016","Currency=INR","Period=FQ","BEST_FPERIOD_OVERRIDE=FQ","FILING_STATUS=OR","EQY_CONSOLIDATED=Y","FA_ADJUSTED=GAAP","Sort=A","Dates=H","DateFormat=P","Fill=—","Direction=H","UseDPDF=Y")</f>
        <v>#NAME?</v>
      </c>
      <c r="CZ217" s="1" t="e">
        <f ca="1">_xll.BDH($C$203,"INVENT_DAYS","FQ4 2016","FQ4 2016","Currency=INR","Period=FQ","BEST_FPERIOD_OVERRIDE=FQ","FILING_STATUS=OR","EQY_CONSOLIDATED=Y","FA_ADJUSTED=GAAP","Sort=A","Dates=H","DateFormat=P","Fill=—","Direction=H","UseDPDF=Y")</f>
        <v>#NAME?</v>
      </c>
      <c r="DA217" s="3" t="e">
        <f ca="1">_xll.BDH($C$203,"ACCOUNTS_PAYABLE_TURNOVER","FQ4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17" s="1" t="e">
        <f ca="1">_xll.BDH($C$203,"ACCOUNTS_PAYABLE_TURNOVER_DAYS","FQ4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17" s="3" t="e">
        <f ca="1">_xll.BDH($C$203,"CASH_CONVERSION_CYCLE","FQ4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17" s="3" t="e">
        <f ca="1">_xll.BDH($C$203,"INV_TO_CASH_DAYS","FQ4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217" s="4" t="e">
        <f ca="1">_xll.BDH($C$203,"BS_INVENTORIES","FQ4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217" s="2" t="e">
        <f ca="1">_xll.BDH($C$203,"INVTRY_RAW_MATERIALS","FQ4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17" s="2" t="e">
        <f ca="1">_xll.BDH($C$203,"INVTRY_IN_PROGRESS","FQ4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17" s="2" t="e">
        <f ca="1">_xll.BDH($C$203,"INVTRY_FINISHED_GOODS","FQ4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17" s="2" t="e">
        <f ca="1">_xll.BDH($C$203,"BS_OTHER_INV","FQ4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18" spans="1:113" x14ac:dyDescent="0.3">
      <c r="A218" s="6"/>
      <c r="B218" s="6"/>
      <c r="C218" s="6"/>
      <c r="D218" s="6" t="s">
        <v>10</v>
      </c>
      <c r="E218" t="s">
        <v>3</v>
      </c>
      <c r="F218" t="e">
        <f ca="1">_xll.BDH($C$203,"RETURN_COM_EQY","FY 2017","FY 2017","Currency=INR","Period=FY","BEST_FPERIOD_OVERRIDE=FY","FILING_STATUS=OR","EQY_CONSOLIDATED=Y","FA_ADJUSTED=GAAP","Sort=A","Dates=H","DateFormat=P","Fill=—","Direction=H","UseDPDF=Y")</f>
        <v>#NAME?</v>
      </c>
      <c r="G218" t="e">
        <f ca="1">_xll.BDH($C$203,"RETURN_ON_ASSET","FY 2017","FY 2017","Currency=INR","Period=FY","BEST_FPERIOD_OVERRIDE=FY","FILING_STATUS=OR","EQY_CONSOLIDATED=Y","FA_ADJUSTED=GAAP","Sort=A","Dates=H","DateFormat=P","Fill=—","Direction=H","UseDPDF=Y")</f>
        <v>#NAME?</v>
      </c>
      <c r="H218" t="e">
        <f ca="1">_xll.BDH($C$203,"RETURN_ON_CAP","FY 2017","FY 2017","Currency=INR","Period=FY","BEST_FPERIOD_OVERRIDE=FY","FILING_STATUS=OR","EQY_CONSOLIDATED=Y","FA_ADJUSTED=GAAP","Sort=A","Dates=H","DateFormat=P","Fill=—","Direction=H","UseDPDF=Y")</f>
        <v>#NAME?</v>
      </c>
      <c r="I218" t="e">
        <f ca="1">_xll.BDH($C$203,"RETURN_ON_INV_CAPITAL","FY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18" t="e">
        <f ca="1">_xll.BDH($C$203,"EBITDA_TO_REVENUE","FY 2017","FY 2017","Currency=INR","Period=FY","BEST_FPERIOD_OVERRIDE=FY","FILING_STATUS=OR","EQY_CONSOLIDATED=Y","FA_ADJUSTED=GAAP","Sort=A","Dates=H","DateFormat=P","Fill=—","Direction=H","UseDPDF=Y")</f>
        <v>#NAME?</v>
      </c>
      <c r="K218" t="e">
        <f ca="1">_xll.BDH($C$203,"OPER_MARGIN","FY 2017","FY 2017","Currency=INR","Period=FY","BEST_FPERIOD_OVERRIDE=FY","FILING_STATUS=OR","EQY_CONSOLIDATED=Y","FA_ADJUSTED=GAAP","Sort=A","Dates=H","DateFormat=P","Fill=—","Direction=H","UseDPDF=Y")</f>
        <v>#NAME?</v>
      </c>
      <c r="L218" t="e">
        <f ca="1">_xll.BDH($C$203,"INCREMENTAL_OPERATING_MARGIN","FY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18" t="e">
        <f ca="1">_xll.BDH($C$203,"PRETAX_INC_TO_NET_SALES","FY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18" t="e">
        <f ca="1">_xll.BDH($C$203,"INC_BEF_XO_ITEMS_TO_NET_SALES","FY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18" t="e">
        <f ca="1">_xll.BDH($C$203,"PROF_MARGIN","FY 2017","FY 2017","Currency=INR","Period=FY","BEST_FPERIOD_OVERRIDE=FY","FILING_STATUS=OR","EQY_CONSOLIDATED=Y","FA_ADJUSTED=GAAP","Sort=A","Dates=H","DateFormat=P","Fill=—","Direction=H","UseDPDF=Y")</f>
        <v>#NAME?</v>
      </c>
      <c r="P218" t="e">
        <f ca="1">_xll.BDH($C$203,"NET_INCOME_TO_COMMON_MARGIN","FY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18" t="e">
        <f ca="1">_xll.BDH($C$203,"EFF_TAX_RATE","FY 2017","FY 2017","Currency=INR","Period=FY","BEST_FPERIOD_OVERRIDE=FY","FILING_STATUS=OR","EQY_CONSOLIDATED=Y","FA_ADJUSTED=GAAP","Sort=A","Dates=H","DateFormat=P","Fill=—","Direction=H","UseDPDF=Y")</f>
        <v>#NAME?</v>
      </c>
      <c r="R218" t="e">
        <f ca="1">_xll.BDH($C$203,"DVD_PAYOUT_RATIO","FY 2017","FY 2017","Currency=INR","Period=FY","BEST_FPERIOD_OVERRIDE=FY","FILING_STATUS=OR","EQY_CONSOLIDATED=Y","FA_ADJUSTED=GAAP","Sort=A","Dates=H","DateFormat=P","Fill=—","Direction=H","UseDPDF=Y")</f>
        <v>#NAME?</v>
      </c>
      <c r="S218" t="e">
        <f ca="1">_xll.BDH($C$203,"SUSTAIN_GROWTH_RT","FY 2017","FY 2017","Currency=INR","Period=FY","BEST_FPERIOD_OVERRIDE=FY","FILING_STATUS=OR","EQY_CONSOLIDATED=Y","FA_ADJUSTED=GAAP","Sort=A","Dates=H","DateFormat=P","Fill=—","Direction=H","UseDPDF=Y")</f>
        <v>#NAME?</v>
      </c>
      <c r="T218" s="1" t="e">
        <f ca="1">_xll.BDH($C$203,"SALES_GROWTH","FY 2017","FY 2017","Currency=INR","Period=FY","BEST_FPERIOD_OVERRIDE=FY","FILING_STATUS=OR","EQY_CONSOLIDATED=Y","FA_ADJUSTED=GAAP","Sort=A","Dates=H","DateFormat=P","Fill=—","Direction=H","UseDPDF=Y")</f>
        <v>#NAME?</v>
      </c>
      <c r="U218" s="1" t="e">
        <f ca="1">_xll.BDH($C$203,"EBITDA_GROWTH","FY 2017","FY 2017","Currency=INR","Period=FY","BEST_FPERIOD_OVERRIDE=FY","FILING_STATUS=OR","EQY_CONSOLIDATED=Y","FA_ADJUSTED=GAAP","Sort=A","Dates=H","DateFormat=P","Fill=—","Direction=H","UseDPDF=Y")</f>
        <v>#NAME?</v>
      </c>
      <c r="V218" s="1" t="e">
        <f ca="1">_xll.BDH($C$203,"OPER_INC_GROWTH","FY 2017","FY 2017","Currency=INR","Period=FY","BEST_FPERIOD_OVERRIDE=FY","FILING_STATUS=OR","EQY_CONSOLIDATED=Y","FA_ADJUSTED=GAAP","Sort=A","Dates=H","DateFormat=P","Fill=—","Direction=H","UseDPDF=Y")</f>
        <v>#NAME?</v>
      </c>
      <c r="W218" s="1" t="e">
        <f ca="1">_xll.BDH($C$203,"EARN_FOR_COM_GROWTH","FY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218" s="1" t="e">
        <f ca="1">_xll.BDH($C$203,"DILUTED_EPS_AFT_XO_ITEMS_GROWTH","FY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18" s="1" t="e">
        <f ca="1">_xll.BDH($C$203,"DIVIDEND_PER_SHARE_1_YEAR_GROWTH","FY 2017","FY 2017","Currency=INR","Period=FY","BEST_FPERIOD_OVERRIDE=FY","FILING_STATUS=OR","EQY_CONSOLIDATED=Y","Sort=A","Dates=H","DateFormat=P","Fill=—","Direction=H","UseDPDF=Y")</f>
        <v>#NAME?</v>
      </c>
      <c r="Z218" s="1" t="e">
        <f ca="1">_xll.BDH($C$203,"ACCOUNTS_RECEIVABLE_GROWTH","FY 2017","FY 2017","Currency=INR","Period=FY","BEST_FPERIOD_OVERRIDE=FY","FILING_STATUS=OR","EQY_CONSOLIDATED=Y","Sort=A","Dates=H","DateFormat=P","Fill=—","Direction=H","UseDPDF=Y")</f>
        <v>#NAME?</v>
      </c>
      <c r="AA218" s="1" t="e">
        <f ca="1">_xll.BDH($C$203,"INVENTORY_GROWTH","FY 2017","FY 2017","Currency=INR","Period=FY","BEST_FPERIOD_OVERRIDE=FY","FILING_STATUS=OR","EQY_CONSOLIDATED=Y","Sort=A","Dates=H","DateFormat=P","Fill=—","Direction=H","UseDPDF=Y")</f>
        <v>#NAME?</v>
      </c>
      <c r="AB218" s="1" t="e">
        <f ca="1">_xll.BDH($C$203,"NET_FIXED_ASSETS_1_YEAR_GROWTH","FY 2017","FY 2017","Currency=INR","Period=FY","BEST_FPERIOD_OVERRIDE=FY","FILING_STATUS=OR","EQY_CONSOLIDATED=Y","Sort=A","Dates=H","DateFormat=P","Fill=—","Direction=H","UseDPDF=Y")</f>
        <v>#NAME?</v>
      </c>
      <c r="AC218" s="1" t="e">
        <f ca="1">_xll.BDH($C$203,"ASSET_GROWTH","FY 2017","FY 2017","Currency=INR","Period=FY","BEST_FPERIOD_OVERRIDE=FY","FILING_STATUS=OR","EQY_CONSOLIDATED=Y","Sort=A","Dates=H","DateFormat=P","Fill=—","Direction=H","UseDPDF=Y")</f>
        <v>#NAME?</v>
      </c>
      <c r="AD218" s="1" t="e">
        <f ca="1">_xll.BDH($C$203,"MODIFIED_WORK_CAP_GROWTH","FY 2017","FY 2017","Currency=INR","Period=FY","BEST_FPERIOD_OVERRIDE=FY","FILING_STATUS=OR","EQY_CONSOLIDATED=Y","Sort=A","Dates=H","DateFormat=P","Fill=—","Direction=H","UseDPDF=Y")</f>
        <v>#NAME?</v>
      </c>
      <c r="AE218" s="1" t="e">
        <f ca="1">_xll.BDH($C$203,"WORK_CAP_GROWTH","FY 2017","FY 2017","Currency=INR","Period=FY","BEST_FPERIOD_OVERRIDE=FY","FILING_STATUS=OR","EQY_CONSOLIDATED=Y","Sort=A","Dates=H","DateFormat=P","Fill=—","Direction=H","UseDPDF=Y")</f>
        <v>#NAME?</v>
      </c>
      <c r="AF218" s="1" t="e">
        <f ca="1">_xll.BDH($C$203,"ACCOUNTS_PAYABLE_GROWTH_1YR","FY 2017","FY 2017","Currency=INR","Period=FY","BEST_FPERIOD_OVERRIDE=FY","FILING_STATUS=OR","EQY_CONSOLIDATED=Y","Sort=A","Dates=H","DateFormat=P","Fill=—","Direction=H","UseDPDF=Y")</f>
        <v>#NAME?</v>
      </c>
      <c r="AG218" s="1" t="e">
        <f ca="1">_xll.BDH($C$203,"SHORT_TERM_DEBT_1_YEAR_GROWTH","FY 2017","FY 2017","Currency=INR","Period=FY","BEST_FPERIOD_OVERRIDE=FY","FILING_STATUS=OR","EQY_CONSOLIDATED=Y","Sort=A","Dates=H","DateFormat=P","Fill=—","Direction=H","UseDPDF=Y")</f>
        <v>#NAME?</v>
      </c>
      <c r="AH218" s="1" t="e">
        <f ca="1">_xll.BDH($C$203,"TOTAL_DEBT_1_YEAR_GROWTH","FY 2017","FY 2017","Currency=INR","Period=FY","BEST_FPERIOD_OVERRIDE=FY","FILING_STATUS=OR","EQY_CONSOLIDATED=Y","Sort=A","Dates=H","DateFormat=P","Fill=—","Direction=H","UseDPDF=Y")</f>
        <v>#NAME?</v>
      </c>
      <c r="AI218" s="1" t="e">
        <f ca="1">_xll.BDH($C$203,"TOTAL_EQUITY_1_YEAR_GROWTH","FY 2017","FY 2017","Currency=INR","Period=FY","BEST_FPERIOD_OVERRIDE=FY","FILING_STATUS=OR","EQY_CONSOLIDATED=Y","Sort=A","Dates=H","DateFormat=P","Fill=—","Direction=H","UseDPDF=Y")</f>
        <v>#NAME?</v>
      </c>
      <c r="AJ218" s="1" t="e">
        <f ca="1">_xll.BDH($C$203,"GROWTH_IN_CAP","FY 2017","FY 2017","Currency=INR","Period=FY","BEST_FPERIOD_OVERRIDE=FY","FILING_STATUS=OR","EQY_CONSOLIDATED=Y","Sort=A","Dates=H","DateFormat=P","Fill=—","Direction=H","UseDPDF=Y")</f>
        <v>#NAME?</v>
      </c>
      <c r="AK218" s="1" t="e">
        <f ca="1">_xll.BDH($C$203,"BVPS_GROWTH","FY 2017","FY 2017","Currency=INR","Period=FY","BEST_FPERIOD_OVERRIDE=FY","FILING_STATUS=OR","EQY_CONSOLIDATED=Y","Sort=A","Dates=H","DateFormat=P","Fill=—","Direction=H","UseDPDF=Y")</f>
        <v>#NAME?</v>
      </c>
      <c r="AL218" s="1" t="e">
        <f ca="1">_xll.BDH($C$203,"CASH_FLOW_GROWTH","FY 2017","FY 2017","Currency=INR","Period=FY","BEST_FPERIOD_OVERRIDE=FY","FILING_STATUS=OR","EQY_CONSOLIDATED=Y","Sort=A","Dates=H","DateFormat=P","Fill=—","Direction=H","UseDPDF=Y")</f>
        <v>#NAME?</v>
      </c>
      <c r="AM218" s="1" t="e">
        <f ca="1">_xll.BDH($C$203,"GEO_GROW_NET_SALES","FY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218" s="1" t="e">
        <f ca="1">_xll.BDH($C$203,"GEO_GROW_EBITDA","FY 2017","FY 2017","Currency=INR","Period=FY","BEST_FPERIOD_OVERRIDE=FY","FILING_STATUS=OR","EQY_CONSOLIDATED=Y","FA_ADJUSTED=GAAP","Sort=A","Dates=H","DateFormat=P","Fill=—","Direction=H","UseDPDF=Y")</f>
        <v>#NAME?</v>
      </c>
      <c r="AO218" s="1" t="e">
        <f ca="1">_xll.BDH($C$203,"GEO_GROW_OPER_INC","FY 2017","FY 2017","Currency=INR","Period=FY","BEST_FPERIOD_OVERRIDE=FY","FILING_STATUS=OR","EQY_CONSOLIDATED=Y","FA_ADJUSTED=GAAP","Sort=A","Dates=H","DateFormat=P","Fill=—","Direction=H","UseDPDF=Y")</f>
        <v>#NAME?</v>
      </c>
      <c r="AP218" s="1" t="e">
        <f ca="1">_xll.BDH($C$203,"NET_INCOME_TO_COMMON_5_YR_GROWTH","FY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18" s="1" t="e">
        <f ca="1">_xll.BDH($C$203,"5Y_GEO_GROWTH_DILUTED_EPS","FY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18" s="1" t="e">
        <f ca="1">_xll.BDH($C$203,"GEO_GROW_DVD_PER_SH","FY 2017","FY 2017","Currency=INR","Period=FY","BEST_FPERIOD_OVERRIDE=FY","FILING_STATUS=OR","EQY_CONSOLIDATED=Y","Sort=A","Dates=H","DateFormat=P","Fill=—","Direction=H","UseDPDF=Y")</f>
        <v>#NAME?</v>
      </c>
      <c r="AS218" s="1" t="e">
        <f ca="1">_xll.BDH($C$203,"ACCOUNTS_RECEIVABLE_5_YR_GROWTH","FY 2017","FY 2017","Currency=INR","Period=FY","BEST_FPERIOD_OVERRIDE=FY","FILING_STATUS=OR","EQY_CONSOLIDATED=Y","Sort=A","Dates=H","DateFormat=P","Fill=—","Direction=H","UseDPDF=Y")</f>
        <v>#NAME?</v>
      </c>
      <c r="AT218" s="1" t="e">
        <f ca="1">_xll.BDH($C$203,"INVENTORY_5_YEAR_GROWTH","FY 2017","FY 2017","Currency=INR","Period=FY","BEST_FPERIOD_OVERRIDE=FY","FILING_STATUS=OR","EQY_CONSOLIDATED=Y","Sort=A","Dates=H","DateFormat=P","Fill=—","Direction=H","UseDPDF=Y")</f>
        <v>#NAME?</v>
      </c>
      <c r="AU218" s="1" t="e">
        <f ca="1">_xll.BDH($C$203,"NET_FIXED_ASSETS_5_YEAR_GROWTH","FY 2017","FY 2017","Currency=INR","Period=FY","BEST_FPERIOD_OVERRIDE=FY","FILING_STATUS=OR","EQY_CONSOLIDATED=Y","Sort=A","Dates=H","DateFormat=P","Fill=—","Direction=H","UseDPDF=Y")</f>
        <v>#NAME?</v>
      </c>
      <c r="AV218" s="1" t="e">
        <f ca="1">_xll.BDH($C$203,"GEO_GROW_TOT_ASSET","FY 2017","FY 2017","Currency=INR","Period=FY","BEST_FPERIOD_OVERRIDE=FY","FILING_STATUS=OR","EQY_CONSOLIDATED=Y","Sort=A","Dates=H","DateFormat=P","Fill=—","Direction=H","UseDPDF=Y")</f>
        <v>#NAME?</v>
      </c>
      <c r="AW218" s="1" t="e">
        <f ca="1">_xll.BDH($C$203,"MODIFIED_WORKING_CPTL_5YR_GRWTH","FY 2017","FY 2017","Currency=INR","Period=FY","BEST_FPERIOD_OVERRIDE=FY","FILING_STATUS=OR","EQY_CONSOLIDATED=Y","Sort=A","Dates=H","DateFormat=P","Fill=—","Direction=H","UseDPDF=Y")</f>
        <v>#NAME?</v>
      </c>
      <c r="AX218" s="1" t="e">
        <f ca="1">_xll.BDH($C$203,"WORKING_CAPITAL_5_YEAR_GROWTH","FY 2017","FY 2017","Currency=INR","Period=FY","BEST_FPERIOD_OVERRIDE=FY","FILING_STATUS=OR","EQY_CONSOLIDATED=Y","Sort=A","Dates=H","DateFormat=P","Fill=—","Direction=H","UseDPDF=Y")</f>
        <v>#NAME?</v>
      </c>
      <c r="AY218" s="1" t="e">
        <f ca="1">_xll.BDH($C$203,"ACCOUNTS_PAYABLE_5_YEAR_GROWTH","FY 2017","FY 2017","Currency=INR","Period=FY","BEST_FPERIOD_OVERRIDE=FY","FILING_STATUS=OR","EQY_CONSOLIDATED=Y","Sort=A","Dates=H","DateFormat=P","Fill=—","Direction=H","UseDPDF=Y")</f>
        <v>#NAME?</v>
      </c>
      <c r="AZ218" s="1" t="e">
        <f ca="1">_xll.BDH($C$203,"SHORT_TERM_DEBT_5_YEAR_GROWTH","FY 2017","FY 2017","Currency=INR","Period=FY","BEST_FPERIOD_OVERRIDE=FY","FILING_STATUS=OR","EQY_CONSOLIDATED=Y","Sort=A","Dates=H","DateFormat=P","Fill=—","Direction=H","UseDPDF=Y")</f>
        <v>#NAME?</v>
      </c>
      <c r="BA218" s="1" t="e">
        <f ca="1">_xll.BDH($C$203,"TOTAL_DEBT_5_YEAR_GROWTH","FY 2017","FY 2017","Currency=INR","Period=FY","BEST_FPERIOD_OVERRIDE=FY","FILING_STATUS=OR","EQY_CONSOLIDATED=Y","Sort=A","Dates=H","DateFormat=P","Fill=—","Direction=H","UseDPDF=Y")</f>
        <v>#NAME?</v>
      </c>
      <c r="BB218" s="1" t="e">
        <f ca="1">_xll.BDH($C$203,"GEO_GROW_TOT_SHRHLDR_EQY","FY 2017","FY 2017","Currency=INR","Period=FY","BEST_FPERIOD_OVERRIDE=FY","FILING_STATUS=OR","EQY_CONSOLIDATED=Y","Sort=A","Dates=H","DateFormat=P","Fill=—","Direction=H","UseDPDF=Y")</f>
        <v>#NAME?</v>
      </c>
      <c r="BC218" s="1" t="e">
        <f ca="1">_xll.BDH($C$203,"TOTAL_CAPITAL_5_YEAR_GROWTH","FY 2017","FY 2017","Currency=INR","Period=FY","BEST_FPERIOD_OVERRIDE=FY","FILING_STATUS=OR","EQY_CONSOLIDATED=Y","Sort=A","Dates=H","DateFormat=P","Fill=—","Direction=H","UseDPDF=Y")</f>
        <v>#NAME?</v>
      </c>
      <c r="BD218" s="1" t="e">
        <f ca="1">_xll.BDH($C$203,"GEO_GROW_BOOK_VAL","FY 2017","FY 2017","Currency=INR","Period=FY","BEST_FPERIOD_OVERRIDE=FY","FILING_STATUS=OR","EQY_CONSOLIDATED=Y","Sort=A","Dates=H","DateFormat=P","Fill=—","Direction=H","UseDPDF=Y")</f>
        <v>#NAME?</v>
      </c>
      <c r="BE218" s="1" t="e">
        <f ca="1">_xll.BDH($C$203,"GEO_GROW_CASH_OPER_ACT","FY 2017","FY 2017","Currency=INR","Period=FY","BEST_FPERIOD_OVERRIDE=FY","FILING_STATUS=OR","EQY_CONSOLIDATED=Y","Sort=A","Dates=H","DateFormat=P","Fill=—","Direction=H","UseDPDF=Y")</f>
        <v>#NAME?</v>
      </c>
      <c r="BF218" s="1" t="e">
        <f ca="1">_xll.BDH($C$203,"REVENUE_SEQUENTIAL_GROWTH","FY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18" s="1" t="e">
        <f ca="1">_xll.BDH($C$203,"EBITDA_SEQUENTIAL_GROWTH","FY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18" s="1" t="e">
        <f ca="1">_xll.BDH($C$203,"OPERATING_INCOME_SEQ_GROWTH","FY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18" s="1" t="e">
        <f ca="1">_xll.BDH($C$203,"NET_INCOME_TO_COMMON_SEQ_GROWTH","FY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18" s="1" t="e">
        <f ca="1">_xll.BDH($C$203,"EPS_DILUTED_SEQUENTIAL_GROWTH","FY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18" s="1" t="e">
        <f ca="1">_xll.BDH($C$203,"DPS_SEQUENTIAL_GROWTH","FY 2017","FY 2017","Currency=INR","Period=FY","BEST_FPERIOD_OVERRIDE=FY","FILING_STATUS=OR","EQY_CONSOLIDATED=Y","Sort=A","Dates=H","DateFormat=P","Fill=—","Direction=H","UseDPDF=Y")</f>
        <v>#NAME?</v>
      </c>
      <c r="BL218" s="1" t="e">
        <f ca="1">_xll.BDH($C$203,"ACCOUNTS_RECEIVABLE_SEQ_GROWTH","FY 2017","FY 2017","Currency=INR","Period=FY","BEST_FPERIOD_OVERRIDE=FY","FILING_STATUS=OR","EQY_CONSOLIDATED=Y","Sort=A","Dates=H","DateFormat=P","Fill=—","Direction=H","UseDPDF=Y")</f>
        <v>#NAME?</v>
      </c>
      <c r="BM218" s="1" t="e">
        <f ca="1">_xll.BDH($C$203,"INVENTORY_SEQUENTIAL_GROWTH","FY 2017","FY 2017","Currency=INR","Period=FY","BEST_FPERIOD_OVERRIDE=FY","FILING_STATUS=OR","EQY_CONSOLIDATED=Y","Sort=A","Dates=H","DateFormat=P","Fill=—","Direction=H","UseDPDF=Y")</f>
        <v>#NAME?</v>
      </c>
      <c r="BN218" s="1" t="e">
        <f ca="1">_xll.BDH($C$203,"FIXED_ASSETS_SEQUENTIAL_GROWTH","FY 2017","FY 2017","Currency=INR","Period=FY","BEST_FPERIOD_OVERRIDE=FY","FILING_STATUS=OR","EQY_CONSOLIDATED=Y","Sort=A","Dates=H","DateFormat=P","Fill=—","Direction=H","UseDPDF=Y")</f>
        <v>#NAME?</v>
      </c>
      <c r="BO218" s="1" t="e">
        <f ca="1">_xll.BDH($C$203,"TOTAL_ASSETS_SEQUENTIAL_GROWTH","FY 2017","FY 2017","Currency=INR","Period=FY","BEST_FPERIOD_OVERRIDE=FY","FILING_STATUS=OR","EQY_CONSOLIDATED=Y","Sort=A","Dates=H","DateFormat=P","Fill=—","Direction=H","UseDPDF=Y")</f>
        <v>#NAME?</v>
      </c>
      <c r="BP218" s="1" t="e">
        <f ca="1">_xll.BDH($C$203,"MODIFIED_WORKING_CPTL_SEQ_GRWTH","FY 2017","FY 2017","Currency=INR","Period=FY","BEST_FPERIOD_OVERRIDE=FY","FILING_STATUS=OR","EQY_CONSOLIDATED=Y","Sort=A","Dates=H","DateFormat=P","Fill=—","Direction=H","UseDPDF=Y")</f>
        <v>#NAME?</v>
      </c>
      <c r="BQ218" s="1" t="e">
        <f ca="1">_xll.BDH($C$203,"WORKING_CAPITAL_SEQ_GROWTH","FY 2017","FY 2017","Currency=INR","Period=FY","BEST_FPERIOD_OVERRIDE=FY","FILING_STATUS=OR","EQY_CONSOLIDATED=Y","Sort=A","Dates=H","DateFormat=P","Fill=—","Direction=H","UseDPDF=Y")</f>
        <v>#NAME?</v>
      </c>
      <c r="BR218" s="1" t="e">
        <f ca="1">_xll.BDH($C$203,"ACCOUNTS_PAYABLE_SEQ_GROWTH","FY 2017","FY 2017","Currency=INR","Period=FY","BEST_FPERIOD_OVERRIDE=FY","FILING_STATUS=OR","EQY_CONSOLIDATED=Y","Sort=A","Dates=H","DateFormat=P","Fill=—","Direction=H","UseDPDF=Y")</f>
        <v>#NAME?</v>
      </c>
      <c r="BS218" s="1" t="e">
        <f ca="1">_xll.BDH($C$203,"ST_DEBT_SEQUENTIAL_GROWTH","FY 2017","FY 2017","Currency=INR","Period=FY","BEST_FPERIOD_OVERRIDE=FY","FILING_STATUS=OR","EQY_CONSOLIDATED=Y","Sort=A","Dates=H","DateFormat=P","Fill=—","Direction=H","UseDPDF=Y")</f>
        <v>#NAME?</v>
      </c>
      <c r="BT218" s="1" t="e">
        <f ca="1">_xll.BDH($C$203,"TOTAL_DEBT_SEQUENTIAL_GROWTH","FY 2017","FY 2017","Currency=INR","Period=FY","BEST_FPERIOD_OVERRIDE=FY","FILING_STATUS=OR","EQY_CONSOLIDATED=Y","Sort=A","Dates=H","DateFormat=P","Fill=—","Direction=H","UseDPDF=Y")</f>
        <v>#NAME?</v>
      </c>
      <c r="BU218" s="1" t="e">
        <f ca="1">_xll.BDH($C$203,"TOTAL_EQUITY_SEQUENTIAL_GROWTH","FY 2017","FY 2017","Currency=INR","Period=FY","BEST_FPERIOD_OVERRIDE=FY","FILING_STATUS=OR","EQY_CONSOLIDATED=Y","Sort=A","Dates=H","DateFormat=P","Fill=—","Direction=H","UseDPDF=Y")</f>
        <v>#NAME?</v>
      </c>
      <c r="BV218" s="1" t="e">
        <f ca="1">_xll.BDH($C$203,"TOTAL_CAPITAL_SEQUENTIAL_GROWTH","FY 2017","FY 2017","Currency=INR","Period=FY","BEST_FPERIOD_OVERRIDE=FY","FILING_STATUS=OR","EQY_CONSOLIDATED=Y","Sort=A","Dates=H","DateFormat=P","Fill=—","Direction=H","UseDPDF=Y")</f>
        <v>#NAME?</v>
      </c>
      <c r="BW218" s="1" t="e">
        <f ca="1">_xll.BDH($C$203,"BPS_SEQUENTIAL_GROWTH","FY 2017","FY 2017","Currency=INR","Period=FY","BEST_FPERIOD_OVERRIDE=FY","FILING_STATUS=OR","EQY_CONSOLIDATED=Y","Sort=A","Dates=H","DateFormat=P","Fill=—","Direction=H","UseDPDF=Y")</f>
        <v>#NAME?</v>
      </c>
      <c r="BX218" s="1" t="e">
        <f ca="1">_xll.BDH($C$203,"CFO_SEQUENTIAL_GROWTH","FY 2017","FY 2017","Currency=INR","Period=FY","BEST_FPERIOD_OVERRIDE=FY","FILING_STATUS=OR","EQY_CONSOLIDATED=Y","Sort=A","Dates=H","DateFormat=P","Fill=—","Direction=H","UseDPDF=Y")</f>
        <v>#NAME?</v>
      </c>
      <c r="BY218" s="2" t="e">
        <f ca="1">_xll.BDH($C$203,"SHORT_AND_LONG_TERM_DEBT","FY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18" s="2" t="e">
        <f ca="1">_xll.BDH($C$203,"BS_ST_BORROW","FY 2017","FY 2017","Currency=INR","Period=FY","BEST_FPERIOD_OVERRIDE=FY","FILING_STATUS=OR","EQY_CONSOLIDATED=Y","SCALING_FORMAT=MLN","Sort=A","Dates=H","DateFormat=P","Fill=—","Direction=H","UseDPDF=Y")</f>
        <v>#NAME?</v>
      </c>
      <c r="CA218" s="2" t="e">
        <f ca="1">_xll.BDH($C$203,"BS_LT_BORROW","FY 2017","FY 2017","Currency=INR","Period=FY","BEST_FPERIOD_OVERRIDE=FY","FILING_STATUS=OR","EQY_CONSOLIDATED=Y","SCALING_FORMAT=MLN","Sort=A","Dates=H","DateFormat=P","Fill=—","Direction=H","UseDPDF=Y")</f>
        <v>#NAME?</v>
      </c>
      <c r="CB218" s="1" t="e">
        <f ca="1">_xll.BDH($C$203,"TOT_DEBT_TO_EBITDA","FY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218" s="1" t="e">
        <f ca="1">_xll.BDH($C$203,"NET_DEBT_TO_EBITDA","FY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218" s="1" t="e">
        <f ca="1">_xll.BDH($C$203,"TOTAL_DEBT_TO_EBIT","FY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218" s="1" t="e">
        <f ca="1">_xll.BDH($C$203,"NET_DEBT_TO_EBIT","FY 2017","FY 2017","Currency=INR","Period=FY","BEST_FPERIOD_OVERRIDE=FY","FILING_STATUS=OR","EQY_CONSOLIDATED=Y","FA_ADJUSTED=GAAP","Sort=A","Dates=H","DateFormat=P","Fill=—","Direction=H","UseDPDF=Y")</f>
        <v>#NAME?</v>
      </c>
      <c r="CF218" s="1" t="e">
        <f ca="1">_xll.BDH($C$203,"EBITDA_TO_INTEREST_EXPN","FY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18" s="1" t="e">
        <f ca="1">_xll.BDH($C$203,"COM_EQY_TO_TOT_ASSET","FY 2017","FY 2017","Currency=INR","Period=FY","BEST_FPERIOD_OVERRIDE=FY","FILING_STATUS=OR","EQY_CONSOLIDATED=Y","Sort=A","Dates=H","DateFormat=P","Fill=—","Direction=H","UseDPDF=Y")</f>
        <v>#NAME?</v>
      </c>
      <c r="CH218" s="1" t="e">
        <f ca="1">_xll.BDH($C$203,"LT_DEBT_TO_TOT_EQY","FY 2017","FY 2017","Currency=INR","Period=FY","BEST_FPERIOD_OVERRIDE=FY","FILING_STATUS=OR","EQY_CONSOLIDATED=Y","Sort=A","Dates=H","DateFormat=P","Fill=—","Direction=H","UseDPDF=Y")</f>
        <v>#NAME?</v>
      </c>
      <c r="CI218" s="1" t="e">
        <f ca="1">_xll.BDH($C$203,"LT_DEBT_TO_TOT_CAP","FY 2017","FY 2017","Currency=INR","Period=FY","BEST_FPERIOD_OVERRIDE=FY","FILING_STATUS=OR","EQY_CONSOLIDATED=Y","Sort=A","Dates=H","DateFormat=P","Fill=—","Direction=H","UseDPDF=Y")</f>
        <v>#NAME?</v>
      </c>
      <c r="CJ218" s="1" t="e">
        <f ca="1">_xll.BDH($C$203,"LT_DEBT_TO_TOT_ASSET","FY 2017","FY 2017","Currency=INR","Period=FY","BEST_FPERIOD_OVERRIDE=FY","FILING_STATUS=OR","EQY_CONSOLIDATED=Y","Sort=A","Dates=H","DateFormat=P","Fill=—","Direction=H","UseDPDF=Y")</f>
        <v>#NAME?</v>
      </c>
      <c r="CK218" s="1" t="e">
        <f ca="1">_xll.BDH($C$203,"TOT_DEBT_TO_TOT_EQY","FY 2017","FY 2017","Currency=INR","Period=FY","BEST_FPERIOD_OVERRIDE=FY","FILING_STATUS=OR","EQY_CONSOLIDATED=Y","Sort=A","Dates=H","DateFormat=P","Fill=—","Direction=H","UseDPDF=Y")</f>
        <v>#NAME?</v>
      </c>
      <c r="CL218" s="1" t="e">
        <f ca="1">_xll.BDH($C$203,"TOT_DEBT_TO_TOT_CAP","FY 2017","FY 2017","Currency=INR","Period=FY","BEST_FPERIOD_OVERRIDE=FY","FILING_STATUS=OR","EQY_CONSOLIDATED=Y","Sort=A","Dates=H","DateFormat=P","Fill=—","Direction=H","UseDPDF=Y")</f>
        <v>#NAME?</v>
      </c>
      <c r="CM218" s="1" t="e">
        <f ca="1">_xll.BDH($C$203,"TOT_DEBT_TO_TOT_ASSET","FY 2017","FY 2017","Currency=INR","Period=FY","BEST_FPERIOD_OVERRIDE=FY","FILING_STATUS=OR","EQY_CONSOLIDATED=Y","Sort=A","Dates=H","DateFormat=P","Fill=—","Direction=H","UseDPDF=Y")</f>
        <v>#NAME?</v>
      </c>
      <c r="CN218" s="1" t="e">
        <f ca="1">_xll.BDH($C$203,"NET_DEBT_TO_SHRHLDR_EQTY","FY 2017","FY 2017","Currency=INR","Period=FY","BEST_FPERIOD_OVERRIDE=FY","FILING_STATUS=OR","EQY_CONSOLIDATED=Y","Sort=A","Dates=H","DateFormat=P","Fill=—","Direction=H","UseDPDF=Y")</f>
        <v>#NAME?</v>
      </c>
      <c r="CO218" s="1" t="e">
        <f ca="1">_xll.BDH($C$203,"NET_DEBT_%_CAPITAL","FY 2017","FY 2017","Currency=INR","Period=FY","BEST_FPERIOD_OVERRIDE=FY","FILING_STATUS=OR","EQY_CONSOLIDATED=Y","Sort=A","Dates=H","DateFormat=P","Fill=—","Direction=H","UseDPDF=Y")</f>
        <v>#NAME?</v>
      </c>
      <c r="CP218" s="2" t="e">
        <f ca="1">_xll.BDH($C$203,"EBITDA","FY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18" s="2" t="e">
        <f ca="1">_xll.BDH($C$203,"EBITDA_AFTER_CAPEX","FY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18" s="2" t="e">
        <f ca="1">_xll.BDH($C$203,"IS_OPER_INC","FY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18" s="1" t="e">
        <f ca="1">_xll.BDH($C$203,"CASH_RATIO","FY 2017","FY 2017","Currency=INR","Period=FY","BEST_FPERIOD_OVERRIDE=FY","FILING_STATUS=OR","EQY_CONSOLIDATED=Y","Sort=A","Dates=H","DateFormat=P","Fill=—","Direction=H","UseDPDF=Y")</f>
        <v>#NAME?</v>
      </c>
      <c r="CT218" s="1" t="e">
        <f ca="1">_xll.BDH($C$203,"CUR_RATIO","FY 2017","FY 2017","Currency=INR","Period=FY","BEST_FPERIOD_OVERRIDE=FY","FILING_STATUS=OR","EQY_CONSOLIDATED=Y","Sort=A","Dates=H","DateFormat=P","Fill=—","Direction=H","UseDPDF=Y")</f>
        <v>#NAME?</v>
      </c>
      <c r="CU218" s="1" t="e">
        <f ca="1">_xll.BDH($C$203,"QUICK_RATIO","FY 2017","FY 2017","Currency=INR","Period=FY","BEST_FPERIOD_OVERRIDE=FY","FILING_STATUS=OR","EQY_CONSOLIDATED=Y","Sort=A","Dates=H","DateFormat=P","Fill=—","Direction=H","UseDPDF=Y")</f>
        <v>#NAME?</v>
      </c>
      <c r="CV218" s="1" t="e">
        <f ca="1">_xll.BDH($C$203,"ALTMAN_Z_SCORE","FY 2017","FY 2017","Currency=INR","Period=FY","BEST_FPERIOD_OVERRIDE=FY","FILING_STATUS=OR","EQY_CONSOLIDATED=Y","Sort=A","Dates=H","DateFormat=P","Fill=—","Direction=H","UseDPDF=Y")</f>
        <v>#NAME?</v>
      </c>
      <c r="CW218" s="3" t="e">
        <f ca="1">_xll.BDH($C$203,"ACCT_RCV_TURN","FY 2017","FY 2017","Currency=INR","Period=FY","BEST_FPERIOD_OVERRIDE=FY","FILING_STATUS=OR","EQY_CONSOLIDATED=Y","FA_ADJUSTED=GAAP","Sort=A","Dates=H","DateFormat=P","Fill=—","Direction=H","UseDPDF=Y")</f>
        <v>#NAME?</v>
      </c>
      <c r="CX218" s="1" t="e">
        <f ca="1">_xll.BDH($C$203,"ACCT_RCV_DAYS","FY 2017","FY 2017","Currency=INR","Period=FY","BEST_FPERIOD_OVERRIDE=FY","FILING_STATUS=OR","EQY_CONSOLIDATED=Y","FA_ADJUSTED=GAAP","Sort=A","Dates=H","DateFormat=P","Fill=—","Direction=H","UseDPDF=Y")</f>
        <v>#NAME?</v>
      </c>
      <c r="CY218" s="3" t="e">
        <f ca="1">_xll.BDH($C$203,"INVENT_TURN","FY 2017","FY 2017","Currency=INR","Period=FY","BEST_FPERIOD_OVERRIDE=FY","FILING_STATUS=OR","EQY_CONSOLIDATED=Y","FA_ADJUSTED=GAAP","Sort=A","Dates=H","DateFormat=P","Fill=—","Direction=H","UseDPDF=Y")</f>
        <v>#NAME?</v>
      </c>
      <c r="CZ218" s="1" t="e">
        <f ca="1">_xll.BDH($C$203,"INVENT_DAYS","FY 2017","FY 2017","Currency=INR","Period=FY","BEST_FPERIOD_OVERRIDE=FY","FILING_STATUS=OR","EQY_CONSOLIDATED=Y","FA_ADJUSTED=GAAP","Sort=A","Dates=H","DateFormat=P","Fill=—","Direction=H","UseDPDF=Y")</f>
        <v>#NAME?</v>
      </c>
      <c r="DA218" s="3" t="e">
        <f ca="1">_xll.BDH($C$203,"ACCOUNTS_PAYABLE_TURNOVER","FY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18" s="1" t="e">
        <f ca="1">_xll.BDH($C$203,"ACCOUNTS_PAYABLE_TURNOVER_DAYS","FY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18" s="3" t="e">
        <f ca="1">_xll.BDH($C$203,"CASH_CONVERSION_CYCLE","FY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18" s="3" t="e">
        <f ca="1">_xll.BDH($C$203,"INV_TO_CASH_DAYS","FY 2017","FY 2017","Currency=INR","Period=FY","BEST_FPERIOD_OVERRIDE=FY","FILING_STATUS=OR","EQY_CONSOLIDATED=Y","FA_ADJUSTED=GAAP","Sort=A","Dates=H","DateFormat=P","Fill=—","Direction=H","UseDPDF=Y")</f>
        <v>#NAME?</v>
      </c>
      <c r="DE218" s="4" t="e">
        <f ca="1">_xll.BDH($C$203,"BS_INVENTORIES","FY 2017","FY 2017","Currency=INR","Period=FY","BEST_FPERIOD_OVERRIDE=FY","FILING_STATUS=OR","EQY_CONSOLIDATED=Y","SCALING_FORMAT=MLN","Sort=A","Dates=H","DateFormat=P","Fill=—","Direction=H","UseDPDF=Y")</f>
        <v>#NAME?</v>
      </c>
      <c r="DF218" s="2" t="e">
        <f ca="1">_xll.BDH($C$203,"INVTRY_RAW_MATERIALS","FY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18" s="2" t="e">
        <f ca="1">_xll.BDH($C$203,"INVTRY_IN_PROGRESS","FY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18" s="2" t="e">
        <f ca="1">_xll.BDH($C$203,"INVTRY_FINISHED_GOODS","FY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18" s="2" t="e">
        <f ca="1">_xll.BDH($C$203,"BS_OTHER_INV","FY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19" spans="1:113" x14ac:dyDescent="0.3">
      <c r="A219" s="6"/>
      <c r="B219" s="6"/>
      <c r="C219" s="6"/>
      <c r="D219" s="6"/>
      <c r="E219" t="s">
        <v>4</v>
      </c>
      <c r="F219" t="e">
        <f ca="1">_xll.BDH($C$203,"RETURN_COM_EQY","FQ1 2017","FQ1 2017","Currency=INR","Period=FQ","BEST_FPERIOD_OVERRIDE=FQ","FILING_STATUS=OR","EQY_CONSOLIDATED=Y","FA_ADJUSTED=GAAP","Sort=A","Dates=H","DateFormat=P","Fill=—","Direction=H","UseDPDF=Y")</f>
        <v>#NAME?</v>
      </c>
      <c r="G219" t="e">
        <f ca="1">_xll.BDH($C$203,"RETURN_ON_ASSET","FQ1 2017","FQ1 2017","Currency=INR","Period=FQ","BEST_FPERIOD_OVERRIDE=FQ","FILING_STATUS=OR","EQY_CONSOLIDATED=Y","FA_ADJUSTED=GAAP","Sort=A","Dates=H","DateFormat=P","Fill=—","Direction=H","UseDPDF=Y")</f>
        <v>#NAME?</v>
      </c>
      <c r="H219" t="e">
        <f ca="1">_xll.BDH($C$203,"RETURN_ON_CAP","FQ1 2017","FQ1 2017","Currency=INR","Period=FQ","BEST_FPERIOD_OVERRIDE=FQ","FILING_STATUS=OR","EQY_CONSOLIDATED=Y","FA_ADJUSTED=GAAP","Sort=A","Dates=H","DateFormat=P","Fill=—","Direction=H","UseDPDF=Y")</f>
        <v>#NAME?</v>
      </c>
      <c r="I219" t="e">
        <f ca="1">_xll.BDH($C$203,"RETURN_ON_INV_CAPITAL","FQ1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19" t="e">
        <f ca="1">_xll.BDH($C$203,"EBITDA_TO_REVENUE","FQ1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219" t="e">
        <f ca="1">_xll.BDH($C$203,"OPER_MARGIN","FQ1 2017","FQ1 2017","Currency=INR","Period=FQ","BEST_FPERIOD_OVERRIDE=FQ","FILING_STATUS=OR","EQY_CONSOLIDATED=Y","FA_ADJUSTED=GAAP","Sort=A","Dates=H","DateFormat=P","Fill=—","Direction=H","UseDPDF=Y")</f>
        <v>#NAME?</v>
      </c>
      <c r="L219" t="e">
        <f ca="1">_xll.BDH($C$203,"INCREMENTAL_OPERATING_MARGIN","FQ1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19" t="e">
        <f ca="1">_xll.BDH($C$203,"PRETAX_INC_TO_NET_SALES","FQ1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19" t="e">
        <f ca="1">_xll.BDH($C$203,"INC_BEF_XO_ITEMS_TO_NET_SALES","FQ1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19" t="e">
        <f ca="1">_xll.BDH($C$203,"PROF_MARGIN","FQ1 2017","FQ1 2017","Currency=INR","Period=FQ","BEST_FPERIOD_OVERRIDE=FQ","FILING_STATUS=OR","EQY_CONSOLIDATED=Y","FA_ADJUSTED=GAAP","Sort=A","Dates=H","DateFormat=P","Fill=—","Direction=H","UseDPDF=Y")</f>
        <v>#NAME?</v>
      </c>
      <c r="P219" t="e">
        <f ca="1">_xll.BDH($C$203,"NET_INCOME_TO_COMMON_MARGIN","FQ1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19" t="e">
        <f ca="1">_xll.BDH($C$203,"EFF_TAX_RATE","FQ1 2017","FQ1 2017","Currency=INR","Period=FQ","BEST_FPERIOD_OVERRIDE=FQ","FILING_STATUS=OR","EQY_CONSOLIDATED=Y","FA_ADJUSTED=GAAP","Sort=A","Dates=H","DateFormat=P","Fill=—","Direction=H","UseDPDF=Y")</f>
        <v>#NAME?</v>
      </c>
      <c r="R219" t="e">
        <f ca="1">_xll.BDH($C$203,"DVD_PAYOUT_RATIO","FQ1 2017","FQ1 2017","Currency=INR","Period=FQ","BEST_FPERIOD_OVERRIDE=FQ","FILING_STATUS=OR","EQY_CONSOLIDATED=Y","FA_ADJUSTED=GAAP","Sort=A","Dates=H","DateFormat=P","Fill=—","Direction=H","UseDPDF=Y")</f>
        <v>#NAME?</v>
      </c>
      <c r="S219" t="e">
        <f ca="1">_xll.BDH($C$203,"SUSTAIN_GROWTH_RT","FQ1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219" s="1" t="e">
        <f ca="1">_xll.BDH($C$203,"SALES_GROWTH","FQ1 2017","FQ1 2017","Currency=INR","Period=FQ","BEST_FPERIOD_OVERRIDE=FQ","FILING_STATUS=OR","EQY_CONSOLIDATED=Y","FA_ADJUSTED=GAAP","Sort=A","Dates=H","DateFormat=P","Fill=—","Direction=H","UseDPDF=Y")</f>
        <v>#NAME?</v>
      </c>
      <c r="U219" s="1" t="e">
        <f ca="1">_xll.BDH($C$203,"EBITDA_GROWTH","FQ1 2017","FQ1 2017","Currency=INR","Period=FQ","BEST_FPERIOD_OVERRIDE=FQ","FILING_STATUS=OR","EQY_CONSOLIDATED=Y","FA_ADJUSTED=GAAP","Sort=A","Dates=H","DateFormat=P","Fill=—","Direction=H","UseDPDF=Y")</f>
        <v>#NAME?</v>
      </c>
      <c r="V219" s="1" t="e">
        <f ca="1">_xll.BDH($C$203,"OPER_INC_GROWTH","FQ1 2017","FQ1 2017","Currency=INR","Period=FQ","BEST_FPERIOD_OVERRIDE=FQ","FILING_STATUS=OR","EQY_CONSOLIDATED=Y","FA_ADJUSTED=GAAP","Sort=A","Dates=H","DateFormat=P","Fill=—","Direction=H","UseDPDF=Y")</f>
        <v>#NAME?</v>
      </c>
      <c r="W219" s="1" t="e">
        <f ca="1">_xll.BDH($C$203,"EARN_FOR_COM_GROWTH","FQ1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19" s="1" t="e">
        <f ca="1">_xll.BDH($C$203,"DILUTED_EPS_AFT_XO_ITEMS_GROWTH","FQ1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19" s="1" t="e">
        <f ca="1">_xll.BDH($C$203,"DIVIDEND_PER_SHARE_1_YEAR_GROWTH","FQ1 2017","FQ1 2017","Currency=INR","Period=FQ","BEST_FPERIOD_OVERRIDE=FQ","FILING_STATUS=OR","EQY_CONSOLIDATED=Y","Sort=A","Dates=H","DateFormat=P","Fill=—","Direction=H","UseDPDF=Y")</f>
        <v>#NAME?</v>
      </c>
      <c r="Z219" s="1" t="e">
        <f ca="1">_xll.BDH($C$203,"ACCOUNTS_RECEIVABLE_GROWTH","FQ1 2017","FQ1 2017","Currency=INR","Period=FQ","BEST_FPERIOD_OVERRIDE=FQ","FILING_STATUS=OR","EQY_CONSOLIDATED=Y","Sort=A","Dates=H","DateFormat=P","Fill=—","Direction=H","UseDPDF=Y")</f>
        <v>#NAME?</v>
      </c>
      <c r="AA219" s="1" t="e">
        <f ca="1">_xll.BDH($C$203,"INVENTORY_GROWTH","FQ1 2017","FQ1 2017","Currency=INR","Period=FQ","BEST_FPERIOD_OVERRIDE=FQ","FILING_STATUS=OR","EQY_CONSOLIDATED=Y","Sort=A","Dates=H","DateFormat=P","Fill=—","Direction=H","UseDPDF=Y")</f>
        <v>#NAME?</v>
      </c>
      <c r="AB219" s="1" t="e">
        <f ca="1">_xll.BDH($C$203,"NET_FIXED_ASSETS_1_YEAR_GROWTH","FQ1 2017","FQ1 2017","Currency=INR","Period=FQ","BEST_FPERIOD_OVERRIDE=FQ","FILING_STATUS=OR","EQY_CONSOLIDATED=Y","Sort=A","Dates=H","DateFormat=P","Fill=—","Direction=H","UseDPDF=Y")</f>
        <v>#NAME?</v>
      </c>
      <c r="AC219" s="1" t="e">
        <f ca="1">_xll.BDH($C$203,"ASSET_GROWTH","FQ1 2017","FQ1 2017","Currency=INR","Period=FQ","BEST_FPERIOD_OVERRIDE=FQ","FILING_STATUS=OR","EQY_CONSOLIDATED=Y","Sort=A","Dates=H","DateFormat=P","Fill=—","Direction=H","UseDPDF=Y")</f>
        <v>#NAME?</v>
      </c>
      <c r="AD219" s="1" t="e">
        <f ca="1">_xll.BDH($C$203,"MODIFIED_WORK_CAP_GROWTH","FQ1 2017","FQ1 2017","Currency=INR","Period=FQ","BEST_FPERIOD_OVERRIDE=FQ","FILING_STATUS=OR","EQY_CONSOLIDATED=Y","Sort=A","Dates=H","DateFormat=P","Fill=—","Direction=H","UseDPDF=Y")</f>
        <v>#NAME?</v>
      </c>
      <c r="AE219" s="1" t="e">
        <f ca="1">_xll.BDH($C$203,"WORK_CAP_GROWTH","FQ1 2017","FQ1 2017","Currency=INR","Period=FQ","BEST_FPERIOD_OVERRIDE=FQ","FILING_STATUS=OR","EQY_CONSOLIDATED=Y","Sort=A","Dates=H","DateFormat=P","Fill=—","Direction=H","UseDPDF=Y")</f>
        <v>#NAME?</v>
      </c>
      <c r="AF219" s="1" t="e">
        <f ca="1">_xll.BDH($C$203,"ACCOUNTS_PAYABLE_GROWTH_1YR","FQ1 2017","FQ1 2017","Currency=INR","Period=FQ","BEST_FPERIOD_OVERRIDE=FQ","FILING_STATUS=OR","EQY_CONSOLIDATED=Y","Sort=A","Dates=H","DateFormat=P","Fill=—","Direction=H","UseDPDF=Y")</f>
        <v>#NAME?</v>
      </c>
      <c r="AG219" s="1" t="e">
        <f ca="1">_xll.BDH($C$203,"SHORT_TERM_DEBT_1_YEAR_GROWTH","FQ1 2017","FQ1 2017","Currency=INR","Period=FQ","BEST_FPERIOD_OVERRIDE=FQ","FILING_STATUS=OR","EQY_CONSOLIDATED=Y","Sort=A","Dates=H","DateFormat=P","Fill=—","Direction=H","UseDPDF=Y")</f>
        <v>#NAME?</v>
      </c>
      <c r="AH219" s="1" t="e">
        <f ca="1">_xll.BDH($C$203,"TOTAL_DEBT_1_YEAR_GROWTH","FQ1 2017","FQ1 2017","Currency=INR","Period=FQ","BEST_FPERIOD_OVERRIDE=FQ","FILING_STATUS=OR","EQY_CONSOLIDATED=Y","Sort=A","Dates=H","DateFormat=P","Fill=—","Direction=H","UseDPDF=Y")</f>
        <v>#NAME?</v>
      </c>
      <c r="AI219" s="1" t="e">
        <f ca="1">_xll.BDH($C$203,"TOTAL_EQUITY_1_YEAR_GROWTH","FQ1 2017","FQ1 2017","Currency=INR","Period=FQ","BEST_FPERIOD_OVERRIDE=FQ","FILING_STATUS=OR","EQY_CONSOLIDATED=Y","Sort=A","Dates=H","DateFormat=P","Fill=—","Direction=H","UseDPDF=Y")</f>
        <v>#NAME?</v>
      </c>
      <c r="AJ219" s="1" t="e">
        <f ca="1">_xll.BDH($C$203,"GROWTH_IN_CAP","FQ1 2017","FQ1 2017","Currency=INR","Period=FQ","BEST_FPERIOD_OVERRIDE=FQ","FILING_STATUS=OR","EQY_CONSOLIDATED=Y","Sort=A","Dates=H","DateFormat=P","Fill=—","Direction=H","UseDPDF=Y")</f>
        <v>#NAME?</v>
      </c>
      <c r="AK219" s="1" t="e">
        <f ca="1">_xll.BDH($C$203,"BVPS_GROWTH","FQ1 2017","FQ1 2017","Currency=INR","Period=FQ","BEST_FPERIOD_OVERRIDE=FQ","FILING_STATUS=OR","EQY_CONSOLIDATED=Y","Sort=A","Dates=H","DateFormat=P","Fill=—","Direction=H","UseDPDF=Y")</f>
        <v>#NAME?</v>
      </c>
      <c r="AL219" s="1" t="e">
        <f ca="1">_xll.BDH($C$203,"CASH_FLOW_GROWTH","FQ1 2017","FQ1 2017","Currency=INR","Period=FQ","BEST_FPERIOD_OVERRIDE=FQ","FILING_STATUS=OR","EQY_CONSOLIDATED=Y","Sort=A","Dates=H","DateFormat=P","Fill=—","Direction=H","UseDPDF=Y")</f>
        <v>#NAME?</v>
      </c>
      <c r="AM219" s="1" t="e">
        <f ca="1">_xll.BDH($C$203,"GEO_GROW_NET_SALES","FQ1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19" s="1" t="e">
        <f ca="1">_xll.BDH($C$203,"GEO_GROW_EBITDA","FQ1 2017","FQ1 2017","Currency=INR","Period=FQ","BEST_FPERIOD_OVERRIDE=FQ","FILING_STATUS=OR","EQY_CONSOLIDATED=Y","FA_ADJUSTED=GAAP","Sort=A","Dates=H","DateFormat=P","Fill=—","Direction=H","UseDPDF=Y")</f>
        <v>#NAME?</v>
      </c>
      <c r="AO219" s="1" t="e">
        <f ca="1">_xll.BDH($C$203,"GEO_GROW_OPER_INC","FQ1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19" s="1" t="e">
        <f ca="1">_xll.BDH($C$203,"NET_INCOME_TO_COMMON_5_YR_GROWTH","FQ1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19" s="1" t="e">
        <f ca="1">_xll.BDH($C$203,"5Y_GEO_GROWTH_DILUTED_EPS","FQ1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19" s="1" t="e">
        <f ca="1">_xll.BDH($C$203,"GEO_GROW_DVD_PER_SH","FQ1 2017","FQ1 2017","Currency=INR","Period=FQ","BEST_FPERIOD_OVERRIDE=FQ","FILING_STATUS=OR","EQY_CONSOLIDATED=Y","Sort=A","Dates=H","DateFormat=P","Fill=—","Direction=H","UseDPDF=Y")</f>
        <v>#NAME?</v>
      </c>
      <c r="AS219" s="1" t="e">
        <f ca="1">_xll.BDH($C$203,"ACCOUNTS_RECEIVABLE_5_YR_GROWTH","FQ1 2017","FQ1 2017","Currency=INR","Period=FQ","BEST_FPERIOD_OVERRIDE=FQ","FILING_STATUS=OR","EQY_CONSOLIDATED=Y","Sort=A","Dates=H","DateFormat=P","Fill=—","Direction=H","UseDPDF=Y")</f>
        <v>#NAME?</v>
      </c>
      <c r="AT219" s="1" t="e">
        <f ca="1">_xll.BDH($C$203,"INVENTORY_5_YEAR_GROWTH","FQ1 2017","FQ1 2017","Currency=INR","Period=FQ","BEST_FPERIOD_OVERRIDE=FQ","FILING_STATUS=OR","EQY_CONSOLIDATED=Y","Sort=A","Dates=H","DateFormat=P","Fill=—","Direction=H","UseDPDF=Y")</f>
        <v>#NAME?</v>
      </c>
      <c r="AU219" s="1" t="e">
        <f ca="1">_xll.BDH($C$203,"NET_FIXED_ASSETS_5_YEAR_GROWTH","FQ1 2017","FQ1 2017","Currency=INR","Period=FQ","BEST_FPERIOD_OVERRIDE=FQ","FILING_STATUS=OR","EQY_CONSOLIDATED=Y","Sort=A","Dates=H","DateFormat=P","Fill=—","Direction=H","UseDPDF=Y")</f>
        <v>#NAME?</v>
      </c>
      <c r="AV219" s="1" t="e">
        <f ca="1">_xll.BDH($C$203,"GEO_GROW_TOT_ASSET","FQ1 2017","FQ1 2017","Currency=INR","Period=FQ","BEST_FPERIOD_OVERRIDE=FQ","FILING_STATUS=OR","EQY_CONSOLIDATED=Y","Sort=A","Dates=H","DateFormat=P","Fill=—","Direction=H","UseDPDF=Y")</f>
        <v>#NAME?</v>
      </c>
      <c r="AW219" s="1" t="e">
        <f ca="1">_xll.BDH($C$203,"MODIFIED_WORKING_CPTL_5YR_GRWTH","FQ1 2017","FQ1 2017","Currency=INR","Period=FQ","BEST_FPERIOD_OVERRIDE=FQ","FILING_STATUS=OR","EQY_CONSOLIDATED=Y","Sort=A","Dates=H","DateFormat=P","Fill=—","Direction=H","UseDPDF=Y")</f>
        <v>#NAME?</v>
      </c>
      <c r="AX219" s="1" t="e">
        <f ca="1">_xll.BDH($C$203,"WORKING_CAPITAL_5_YEAR_GROWTH","FQ1 2017","FQ1 2017","Currency=INR","Period=FQ","BEST_FPERIOD_OVERRIDE=FQ","FILING_STATUS=OR","EQY_CONSOLIDATED=Y","Sort=A","Dates=H","DateFormat=P","Fill=—","Direction=H","UseDPDF=Y")</f>
        <v>#NAME?</v>
      </c>
      <c r="AY219" s="1" t="e">
        <f ca="1">_xll.BDH($C$203,"ACCOUNTS_PAYABLE_5_YEAR_GROWTH","FQ1 2017","FQ1 2017","Currency=INR","Period=FQ","BEST_FPERIOD_OVERRIDE=FQ","FILING_STATUS=OR","EQY_CONSOLIDATED=Y","Sort=A","Dates=H","DateFormat=P","Fill=—","Direction=H","UseDPDF=Y")</f>
        <v>#NAME?</v>
      </c>
      <c r="AZ219" s="1" t="e">
        <f ca="1">_xll.BDH($C$203,"SHORT_TERM_DEBT_5_YEAR_GROWTH","FQ1 2017","FQ1 2017","Currency=INR","Period=FQ","BEST_FPERIOD_OVERRIDE=FQ","FILING_STATUS=OR","EQY_CONSOLIDATED=Y","Sort=A","Dates=H","DateFormat=P","Fill=—","Direction=H","UseDPDF=Y")</f>
        <v>#NAME?</v>
      </c>
      <c r="BA219" s="1" t="e">
        <f ca="1">_xll.BDH($C$203,"TOTAL_DEBT_5_YEAR_GROWTH","FQ1 2017","FQ1 2017","Currency=INR","Period=FQ","BEST_FPERIOD_OVERRIDE=FQ","FILING_STATUS=OR","EQY_CONSOLIDATED=Y","Sort=A","Dates=H","DateFormat=P","Fill=—","Direction=H","UseDPDF=Y")</f>
        <v>#NAME?</v>
      </c>
      <c r="BB219" s="1" t="e">
        <f ca="1">_xll.BDH($C$203,"GEO_GROW_TOT_SHRHLDR_EQY","FQ1 2017","FQ1 2017","Currency=INR","Period=FQ","BEST_FPERIOD_OVERRIDE=FQ","FILING_STATUS=OR","EQY_CONSOLIDATED=Y","Sort=A","Dates=H","DateFormat=P","Fill=—","Direction=H","UseDPDF=Y")</f>
        <v>#NAME?</v>
      </c>
      <c r="BC219" s="1" t="e">
        <f ca="1">_xll.BDH($C$203,"TOTAL_CAPITAL_5_YEAR_GROWTH","FQ1 2017","FQ1 2017","Currency=INR","Period=FQ","BEST_FPERIOD_OVERRIDE=FQ","FILING_STATUS=OR","EQY_CONSOLIDATED=Y","Sort=A","Dates=H","DateFormat=P","Fill=—","Direction=H","UseDPDF=Y")</f>
        <v>#NAME?</v>
      </c>
      <c r="BD219" s="1" t="e">
        <f ca="1">_xll.BDH($C$203,"GEO_GROW_BOOK_VAL","FQ1 2017","FQ1 2017","Currency=INR","Period=FQ","BEST_FPERIOD_OVERRIDE=FQ","FILING_STATUS=OR","EQY_CONSOLIDATED=Y","Sort=A","Dates=H","DateFormat=P","Fill=—","Direction=H","UseDPDF=Y")</f>
        <v>#NAME?</v>
      </c>
      <c r="BE219" s="1" t="e">
        <f ca="1">_xll.BDH($C$203,"GEO_GROW_CASH_OPER_ACT","FQ1 2017","FQ1 2017","Currency=INR","Period=FQ","BEST_FPERIOD_OVERRIDE=FQ","FILING_STATUS=OR","EQY_CONSOLIDATED=Y","Sort=A","Dates=H","DateFormat=P","Fill=—","Direction=H","UseDPDF=Y")</f>
        <v>#NAME?</v>
      </c>
      <c r="BF219" s="1" t="e">
        <f ca="1">_xll.BDH($C$203,"REVENUE_SEQUENTIAL_GROWTH","FQ1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19" s="1" t="e">
        <f ca="1">_xll.BDH($C$203,"EBITDA_SEQUENTIAL_GROWTH","FQ1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19" s="1" t="e">
        <f ca="1">_xll.BDH($C$203,"OPERATING_INCOME_SEQ_GROWTH","FQ1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19" s="1" t="e">
        <f ca="1">_xll.BDH($C$203,"NET_INCOME_TO_COMMON_SEQ_GROWTH","FQ1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19" s="1" t="e">
        <f ca="1">_xll.BDH($C$203,"EPS_DILUTED_SEQUENTIAL_GROWTH","FQ1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19" s="1" t="e">
        <f ca="1">_xll.BDH($C$203,"DPS_SEQUENTIAL_GROWTH","FQ1 2017","FQ1 2017","Currency=INR","Period=FQ","BEST_FPERIOD_OVERRIDE=FQ","FILING_STATUS=OR","EQY_CONSOLIDATED=Y","Sort=A","Dates=H","DateFormat=P","Fill=—","Direction=H","UseDPDF=Y")</f>
        <v>#NAME?</v>
      </c>
      <c r="BL219" s="1" t="e">
        <f ca="1">_xll.BDH($C$203,"ACCOUNTS_RECEIVABLE_SEQ_GROWTH","FQ1 2017","FQ1 2017","Currency=INR","Period=FQ","BEST_FPERIOD_OVERRIDE=FQ","FILING_STATUS=OR","EQY_CONSOLIDATED=Y","Sort=A","Dates=H","DateFormat=P","Fill=—","Direction=H","UseDPDF=Y")</f>
        <v>#NAME?</v>
      </c>
      <c r="BM219" s="1" t="e">
        <f ca="1">_xll.BDH($C$203,"INVENTORY_SEQUENTIAL_GROWTH","FQ1 2017","FQ1 2017","Currency=INR","Period=FQ","BEST_FPERIOD_OVERRIDE=FQ","FILING_STATUS=OR","EQY_CONSOLIDATED=Y","Sort=A","Dates=H","DateFormat=P","Fill=—","Direction=H","UseDPDF=Y")</f>
        <v>#NAME?</v>
      </c>
      <c r="BN219" s="1" t="e">
        <f ca="1">_xll.BDH($C$203,"FIXED_ASSETS_SEQUENTIAL_GROWTH","FQ1 2017","FQ1 2017","Currency=INR","Period=FQ","BEST_FPERIOD_OVERRIDE=FQ","FILING_STATUS=OR","EQY_CONSOLIDATED=Y","Sort=A","Dates=H","DateFormat=P","Fill=—","Direction=H","UseDPDF=Y")</f>
        <v>#NAME?</v>
      </c>
      <c r="BO219" s="1" t="e">
        <f ca="1">_xll.BDH($C$203,"TOTAL_ASSETS_SEQUENTIAL_GROWTH","FQ1 2017","FQ1 2017","Currency=INR","Period=FQ","BEST_FPERIOD_OVERRIDE=FQ","FILING_STATUS=OR","EQY_CONSOLIDATED=Y","Sort=A","Dates=H","DateFormat=P","Fill=—","Direction=H","UseDPDF=Y")</f>
        <v>#NAME?</v>
      </c>
      <c r="BP219" s="1" t="e">
        <f ca="1">_xll.BDH($C$203,"MODIFIED_WORKING_CPTL_SEQ_GRWTH","FQ1 2017","FQ1 2017","Currency=INR","Period=FQ","BEST_FPERIOD_OVERRIDE=FQ","FILING_STATUS=OR","EQY_CONSOLIDATED=Y","Sort=A","Dates=H","DateFormat=P","Fill=—","Direction=H","UseDPDF=Y")</f>
        <v>#NAME?</v>
      </c>
      <c r="BQ219" s="1" t="e">
        <f ca="1">_xll.BDH($C$203,"WORKING_CAPITAL_SEQ_GROWTH","FQ1 2017","FQ1 2017","Currency=INR","Period=FQ","BEST_FPERIOD_OVERRIDE=FQ","FILING_STATUS=OR","EQY_CONSOLIDATED=Y","Sort=A","Dates=H","DateFormat=P","Fill=—","Direction=H","UseDPDF=Y")</f>
        <v>#NAME?</v>
      </c>
      <c r="BR219" s="1" t="e">
        <f ca="1">_xll.BDH($C$203,"ACCOUNTS_PAYABLE_SEQ_GROWTH","FQ1 2017","FQ1 2017","Currency=INR","Period=FQ","BEST_FPERIOD_OVERRIDE=FQ","FILING_STATUS=OR","EQY_CONSOLIDATED=Y","Sort=A","Dates=H","DateFormat=P","Fill=—","Direction=H","UseDPDF=Y")</f>
        <v>#NAME?</v>
      </c>
      <c r="BS219" s="1" t="e">
        <f ca="1">_xll.BDH($C$203,"ST_DEBT_SEQUENTIAL_GROWTH","FQ1 2017","FQ1 2017","Currency=INR","Period=FQ","BEST_FPERIOD_OVERRIDE=FQ","FILING_STATUS=OR","EQY_CONSOLIDATED=Y","Sort=A","Dates=H","DateFormat=P","Fill=—","Direction=H","UseDPDF=Y")</f>
        <v>#NAME?</v>
      </c>
      <c r="BT219" s="1" t="e">
        <f ca="1">_xll.BDH($C$203,"TOTAL_DEBT_SEQUENTIAL_GROWTH","FQ1 2017","FQ1 2017","Currency=INR","Period=FQ","BEST_FPERIOD_OVERRIDE=FQ","FILING_STATUS=OR","EQY_CONSOLIDATED=Y","Sort=A","Dates=H","DateFormat=P","Fill=—","Direction=H","UseDPDF=Y")</f>
        <v>#NAME?</v>
      </c>
      <c r="BU219" s="1" t="e">
        <f ca="1">_xll.BDH($C$203,"TOTAL_EQUITY_SEQUENTIAL_GROWTH","FQ1 2017","FQ1 2017","Currency=INR","Period=FQ","BEST_FPERIOD_OVERRIDE=FQ","FILING_STATUS=OR","EQY_CONSOLIDATED=Y","Sort=A","Dates=H","DateFormat=P","Fill=—","Direction=H","UseDPDF=Y")</f>
        <v>#NAME?</v>
      </c>
      <c r="BV219" s="1" t="e">
        <f ca="1">_xll.BDH($C$203,"TOTAL_CAPITAL_SEQUENTIAL_GROWTH","FQ1 2017","FQ1 2017","Currency=INR","Period=FQ","BEST_FPERIOD_OVERRIDE=FQ","FILING_STATUS=OR","EQY_CONSOLIDATED=Y","Sort=A","Dates=H","DateFormat=P","Fill=—","Direction=H","UseDPDF=Y")</f>
        <v>#NAME?</v>
      </c>
      <c r="BW219" s="1" t="e">
        <f ca="1">_xll.BDH($C$203,"BPS_SEQUENTIAL_GROWTH","FQ1 2017","FQ1 2017","Currency=INR","Period=FQ","BEST_FPERIOD_OVERRIDE=FQ","FILING_STATUS=OR","EQY_CONSOLIDATED=Y","Sort=A","Dates=H","DateFormat=P","Fill=—","Direction=H","UseDPDF=Y")</f>
        <v>#NAME?</v>
      </c>
      <c r="BX219" s="1" t="e">
        <f ca="1">_xll.BDH($C$203,"CFO_SEQUENTIAL_GROWTH","FQ1 2017","FQ1 2017","Currency=INR","Period=FQ","BEST_FPERIOD_OVERRIDE=FQ","FILING_STATUS=OR","EQY_CONSOLIDATED=Y","Sort=A","Dates=H","DateFormat=P","Fill=—","Direction=H","UseDPDF=Y")</f>
        <v>#NAME?</v>
      </c>
      <c r="BY219" s="2" t="e">
        <f ca="1">_xll.BDH($C$203,"SHORT_AND_LONG_TERM_DEBT","FQ1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19" s="2" t="e">
        <f ca="1">_xll.BDH($C$203,"BS_ST_BORROW","FQ1 2017","FQ1 2017","Currency=INR","Period=FQ","BEST_FPERIOD_OVERRIDE=FQ","FILING_STATUS=OR","EQY_CONSOLIDATED=Y","SCALING_FORMAT=MLN","Sort=A","Dates=H","DateFormat=P","Fill=—","Direction=H","UseDPDF=Y")</f>
        <v>#NAME?</v>
      </c>
      <c r="CA219" s="2" t="e">
        <f ca="1">_xll.BDH($C$203,"BS_LT_BORROW","FQ1 2017","FQ1 2017","Currency=INR","Period=FQ","BEST_FPERIOD_OVERRIDE=FQ","FILING_STATUS=OR","EQY_CONSOLIDATED=Y","SCALING_FORMAT=MLN","Sort=A","Dates=H","DateFormat=P","Fill=—","Direction=H","UseDPDF=Y")</f>
        <v>#NAME?</v>
      </c>
      <c r="CB219" s="1" t="e">
        <f ca="1">_xll.BDH($C$203,"TOT_DEBT_TO_EBITDA","FQ1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19" s="1" t="e">
        <f ca="1">_xll.BDH($C$203,"NET_DEBT_TO_EBITDA","FQ1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19" s="1" t="e">
        <f ca="1">_xll.BDH($C$203,"TOTAL_DEBT_TO_EBIT","FQ1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19" s="1" t="e">
        <f ca="1">_xll.BDH($C$203,"NET_DEBT_TO_EBIT","FQ1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219" s="1" t="e">
        <f ca="1">_xll.BDH($C$203,"EBITDA_TO_INTEREST_EXPN","FQ1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19" s="1" t="e">
        <f ca="1">_xll.BDH($C$203,"COM_EQY_TO_TOT_ASSET","FQ1 2017","FQ1 2017","Currency=INR","Period=FQ","BEST_FPERIOD_OVERRIDE=FQ","FILING_STATUS=OR","EQY_CONSOLIDATED=Y","Sort=A","Dates=H","DateFormat=P","Fill=—","Direction=H","UseDPDF=Y")</f>
        <v>#NAME?</v>
      </c>
      <c r="CH219" s="1" t="e">
        <f ca="1">_xll.BDH($C$203,"LT_DEBT_TO_TOT_EQY","FQ1 2017","FQ1 2017","Currency=INR","Period=FQ","BEST_FPERIOD_OVERRIDE=FQ","FILING_STATUS=OR","EQY_CONSOLIDATED=Y","Sort=A","Dates=H","DateFormat=P","Fill=—","Direction=H","UseDPDF=Y")</f>
        <v>#NAME?</v>
      </c>
      <c r="CI219" s="1" t="e">
        <f ca="1">_xll.BDH($C$203,"LT_DEBT_TO_TOT_CAP","FQ1 2017","FQ1 2017","Currency=INR","Period=FQ","BEST_FPERIOD_OVERRIDE=FQ","FILING_STATUS=OR","EQY_CONSOLIDATED=Y","Sort=A","Dates=H","DateFormat=P","Fill=—","Direction=H","UseDPDF=Y")</f>
        <v>#NAME?</v>
      </c>
      <c r="CJ219" s="1" t="e">
        <f ca="1">_xll.BDH($C$203,"LT_DEBT_TO_TOT_ASSET","FQ1 2017","FQ1 2017","Currency=INR","Period=FQ","BEST_FPERIOD_OVERRIDE=FQ","FILING_STATUS=OR","EQY_CONSOLIDATED=Y","Sort=A","Dates=H","DateFormat=P","Fill=—","Direction=H","UseDPDF=Y")</f>
        <v>#NAME?</v>
      </c>
      <c r="CK219" s="1" t="e">
        <f ca="1">_xll.BDH($C$203,"TOT_DEBT_TO_TOT_EQY","FQ1 2017","FQ1 2017","Currency=INR","Period=FQ","BEST_FPERIOD_OVERRIDE=FQ","FILING_STATUS=OR","EQY_CONSOLIDATED=Y","Sort=A","Dates=H","DateFormat=P","Fill=—","Direction=H","UseDPDF=Y")</f>
        <v>#NAME?</v>
      </c>
      <c r="CL219" s="1" t="e">
        <f ca="1">_xll.BDH($C$203,"TOT_DEBT_TO_TOT_CAP","FQ1 2017","FQ1 2017","Currency=INR","Period=FQ","BEST_FPERIOD_OVERRIDE=FQ","FILING_STATUS=OR","EQY_CONSOLIDATED=Y","Sort=A","Dates=H","DateFormat=P","Fill=—","Direction=H","UseDPDF=Y")</f>
        <v>#NAME?</v>
      </c>
      <c r="CM219" s="1" t="e">
        <f ca="1">_xll.BDH($C$203,"TOT_DEBT_TO_TOT_ASSET","FQ1 2017","FQ1 2017","Currency=INR","Period=FQ","BEST_FPERIOD_OVERRIDE=FQ","FILING_STATUS=OR","EQY_CONSOLIDATED=Y","Sort=A","Dates=H","DateFormat=P","Fill=—","Direction=H","UseDPDF=Y")</f>
        <v>#NAME?</v>
      </c>
      <c r="CN219" s="1" t="e">
        <f ca="1">_xll.BDH($C$203,"NET_DEBT_TO_SHRHLDR_EQTY","FQ1 2017","FQ1 2017","Currency=INR","Period=FQ","BEST_FPERIOD_OVERRIDE=FQ","FILING_STATUS=OR","EQY_CONSOLIDATED=Y","Sort=A","Dates=H","DateFormat=P","Fill=—","Direction=H","UseDPDF=Y")</f>
        <v>#NAME?</v>
      </c>
      <c r="CO219" s="1" t="e">
        <f ca="1">_xll.BDH($C$203,"NET_DEBT_%_CAPITAL","FQ1 2017","FQ1 2017","Currency=INR","Period=FQ","BEST_FPERIOD_OVERRIDE=FQ","FILING_STATUS=OR","EQY_CONSOLIDATED=Y","Sort=A","Dates=H","DateFormat=P","Fill=—","Direction=H","UseDPDF=Y")</f>
        <v>#NAME?</v>
      </c>
      <c r="CP219" s="2" t="e">
        <f ca="1">_xll.BDH($C$203,"EBITDA","FQ1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19" s="2" t="e">
        <f ca="1">_xll.BDH($C$203,"EBITDA_AFTER_CAPEX","FQ1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19" s="2" t="e">
        <f ca="1">_xll.BDH($C$203,"IS_OPER_INC","FQ1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19" s="1" t="e">
        <f ca="1">_xll.BDH($C$203,"CASH_RATIO","FQ1 2017","FQ1 2017","Currency=INR","Period=FQ","BEST_FPERIOD_OVERRIDE=FQ","FILING_STATUS=OR","EQY_CONSOLIDATED=Y","Sort=A","Dates=H","DateFormat=P","Fill=—","Direction=H","UseDPDF=Y")</f>
        <v>#NAME?</v>
      </c>
      <c r="CT219" s="1" t="e">
        <f ca="1">_xll.BDH($C$203,"CUR_RATIO","FQ1 2017","FQ1 2017","Currency=INR","Period=FQ","BEST_FPERIOD_OVERRIDE=FQ","FILING_STATUS=OR","EQY_CONSOLIDATED=Y","Sort=A","Dates=H","DateFormat=P","Fill=—","Direction=H","UseDPDF=Y")</f>
        <v>#NAME?</v>
      </c>
      <c r="CU219" s="1" t="e">
        <f ca="1">_xll.BDH($C$203,"QUICK_RATIO","FQ1 2017","FQ1 2017","Currency=INR","Period=FQ","BEST_FPERIOD_OVERRIDE=FQ","FILING_STATUS=OR","EQY_CONSOLIDATED=Y","Sort=A","Dates=H","DateFormat=P","Fill=—","Direction=H","UseDPDF=Y")</f>
        <v>#NAME?</v>
      </c>
      <c r="CV219" s="1" t="e">
        <f ca="1">_xll.BDH($C$203,"ALTMAN_Z_SCORE","FQ1 2017","FQ1 2017","Currency=INR","Period=FQ","BEST_FPERIOD_OVERRIDE=FQ","FILING_STATUS=OR","EQY_CONSOLIDATED=Y","Sort=A","Dates=H","DateFormat=P","Fill=—","Direction=H","UseDPDF=Y")</f>
        <v>#NAME?</v>
      </c>
      <c r="CW219" s="3" t="e">
        <f ca="1">_xll.BDH($C$203,"ACCT_RCV_TURN","FQ1 2017","FQ1 2017","Currency=INR","Period=FQ","BEST_FPERIOD_OVERRIDE=FQ","FILING_STATUS=OR","EQY_CONSOLIDATED=Y","FA_ADJUSTED=GAAP","Sort=A","Dates=H","DateFormat=P","Fill=—","Direction=H","UseDPDF=Y")</f>
        <v>#NAME?</v>
      </c>
      <c r="CX219" s="1" t="e">
        <f ca="1">_xll.BDH($C$203,"ACCT_RCV_DAYS","FQ1 2017","FQ1 2017","Currency=INR","Period=FQ","BEST_FPERIOD_OVERRIDE=FQ","FILING_STATUS=OR","EQY_CONSOLIDATED=Y","FA_ADJUSTED=GAAP","Sort=A","Dates=H","DateFormat=P","Fill=—","Direction=H","UseDPDF=Y")</f>
        <v>#NAME?</v>
      </c>
      <c r="CY219" s="3" t="e">
        <f ca="1">_xll.BDH($C$203,"INVENT_TURN","FQ1 2017","FQ1 2017","Currency=INR","Period=FQ","BEST_FPERIOD_OVERRIDE=FQ","FILING_STATUS=OR","EQY_CONSOLIDATED=Y","FA_ADJUSTED=GAAP","Sort=A","Dates=H","DateFormat=P","Fill=—","Direction=H","UseDPDF=Y")</f>
        <v>#NAME?</v>
      </c>
      <c r="CZ219" s="1" t="e">
        <f ca="1">_xll.BDH($C$203,"INVENT_DAYS","FQ1 2017","FQ1 2017","Currency=INR","Period=FQ","BEST_FPERIOD_OVERRIDE=FQ","FILING_STATUS=OR","EQY_CONSOLIDATED=Y","FA_ADJUSTED=GAAP","Sort=A","Dates=H","DateFormat=P","Fill=—","Direction=H","UseDPDF=Y")</f>
        <v>#NAME?</v>
      </c>
      <c r="DA219" s="3" t="e">
        <f ca="1">_xll.BDH($C$203,"ACCOUNTS_PAYABLE_TURNOVER","FQ1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19" s="1" t="e">
        <f ca="1">_xll.BDH($C$203,"ACCOUNTS_PAYABLE_TURNOVER_DAYS","FQ1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19" s="3" t="e">
        <f ca="1">_xll.BDH($C$203,"CASH_CONVERSION_CYCLE","FQ1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19" s="3" t="e">
        <f ca="1">_xll.BDH($C$203,"INV_TO_CASH_DAYS","FQ1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219" s="4" t="e">
        <f ca="1">_xll.BDH($C$203,"BS_INVENTORIES","FQ1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219" s="2" t="e">
        <f ca="1">_xll.BDH($C$203,"INVTRY_RAW_MATERIALS","FQ1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19" s="2" t="e">
        <f ca="1">_xll.BDH($C$203,"INVTRY_IN_PROGRESS","FQ1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19" s="2" t="e">
        <f ca="1">_xll.BDH($C$203,"INVTRY_FINISHED_GOODS","FQ1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19" s="2" t="e">
        <f ca="1">_xll.BDH($C$203,"BS_OTHER_INV","FQ1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20" spans="1:113" x14ac:dyDescent="0.3">
      <c r="A220" s="6"/>
      <c r="B220" s="6"/>
      <c r="C220" s="6"/>
      <c r="D220" s="6"/>
      <c r="E220" t="s">
        <v>5</v>
      </c>
      <c r="F220" t="e">
        <f ca="1">_xll.BDH($C$203,"RETURN_COM_EQY","FQ2 2017","FQ2 2017","Currency=INR","Period=FQ","BEST_FPERIOD_OVERRIDE=FQ","FILING_STATUS=OR","EQY_CONSOLIDATED=Y","FA_ADJUSTED=GAAP","Sort=A","Dates=H","DateFormat=P","Fill=—","Direction=H","UseDPDF=Y")</f>
        <v>#NAME?</v>
      </c>
      <c r="G220" t="e">
        <f ca="1">_xll.BDH($C$203,"RETURN_ON_ASSET","FQ2 2017","FQ2 2017","Currency=INR","Period=FQ","BEST_FPERIOD_OVERRIDE=FQ","FILING_STATUS=OR","EQY_CONSOLIDATED=Y","FA_ADJUSTED=GAAP","Sort=A","Dates=H","DateFormat=P","Fill=—","Direction=H","UseDPDF=Y")</f>
        <v>#NAME?</v>
      </c>
      <c r="H220" t="e">
        <f ca="1">_xll.BDH($C$203,"RETURN_ON_CAP","FQ2 2017","FQ2 2017","Currency=INR","Period=FQ","BEST_FPERIOD_OVERRIDE=FQ","FILING_STATUS=OR","EQY_CONSOLIDATED=Y","FA_ADJUSTED=GAAP","Sort=A","Dates=H","DateFormat=P","Fill=—","Direction=H","UseDPDF=Y")</f>
        <v>#NAME?</v>
      </c>
      <c r="I220" t="e">
        <f ca="1">_xll.BDH($C$203,"RETURN_ON_INV_CAPITAL","FQ2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20" t="e">
        <f ca="1">_xll.BDH($C$203,"EBITDA_TO_REVENUE","FQ2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220" t="e">
        <f ca="1">_xll.BDH($C$203,"OPER_MARGIN","FQ2 2017","FQ2 2017","Currency=INR","Period=FQ","BEST_FPERIOD_OVERRIDE=FQ","FILING_STATUS=OR","EQY_CONSOLIDATED=Y","FA_ADJUSTED=GAAP","Sort=A","Dates=H","DateFormat=P","Fill=—","Direction=H","UseDPDF=Y")</f>
        <v>#NAME?</v>
      </c>
      <c r="L220" t="e">
        <f ca="1">_xll.BDH($C$203,"INCREMENTAL_OPERATING_MARGIN","FQ2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20" t="e">
        <f ca="1">_xll.BDH($C$203,"PRETAX_INC_TO_NET_SALES","FQ2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20" t="e">
        <f ca="1">_xll.BDH($C$203,"INC_BEF_XO_ITEMS_TO_NET_SALES","FQ2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20" t="e">
        <f ca="1">_xll.BDH($C$203,"PROF_MARGIN","FQ2 2017","FQ2 2017","Currency=INR","Period=FQ","BEST_FPERIOD_OVERRIDE=FQ","FILING_STATUS=OR","EQY_CONSOLIDATED=Y","FA_ADJUSTED=GAAP","Sort=A","Dates=H","DateFormat=P","Fill=—","Direction=H","UseDPDF=Y")</f>
        <v>#NAME?</v>
      </c>
      <c r="P220" t="e">
        <f ca="1">_xll.BDH($C$203,"NET_INCOME_TO_COMMON_MARGIN","FQ2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20" t="e">
        <f ca="1">_xll.BDH($C$203,"EFF_TAX_RATE","FQ2 2017","FQ2 2017","Currency=INR","Period=FQ","BEST_FPERIOD_OVERRIDE=FQ","FILING_STATUS=OR","EQY_CONSOLIDATED=Y","FA_ADJUSTED=GAAP","Sort=A","Dates=H","DateFormat=P","Fill=—","Direction=H","UseDPDF=Y")</f>
        <v>#NAME?</v>
      </c>
      <c r="R220" t="e">
        <f ca="1">_xll.BDH($C$203,"DVD_PAYOUT_RATIO","FQ2 2017","FQ2 2017","Currency=INR","Period=FQ","BEST_FPERIOD_OVERRIDE=FQ","FILING_STATUS=OR","EQY_CONSOLIDATED=Y","FA_ADJUSTED=GAAP","Sort=A","Dates=H","DateFormat=P","Fill=—","Direction=H","UseDPDF=Y")</f>
        <v>#NAME?</v>
      </c>
      <c r="S220" t="e">
        <f ca="1">_xll.BDH($C$203,"SUSTAIN_GROWTH_RT","FQ2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220" s="1" t="e">
        <f ca="1">_xll.BDH($C$203,"SALES_GROWTH","FQ2 2017","FQ2 2017","Currency=INR","Period=FQ","BEST_FPERIOD_OVERRIDE=FQ","FILING_STATUS=OR","EQY_CONSOLIDATED=Y","FA_ADJUSTED=GAAP","Sort=A","Dates=H","DateFormat=P","Fill=—","Direction=H","UseDPDF=Y")</f>
        <v>#NAME?</v>
      </c>
      <c r="U220" s="1" t="e">
        <f ca="1">_xll.BDH($C$203,"EBITDA_GROWTH","FQ2 2017","FQ2 2017","Currency=INR","Period=FQ","BEST_FPERIOD_OVERRIDE=FQ","FILING_STATUS=OR","EQY_CONSOLIDATED=Y","FA_ADJUSTED=GAAP","Sort=A","Dates=H","DateFormat=P","Fill=—","Direction=H","UseDPDF=Y")</f>
        <v>#NAME?</v>
      </c>
      <c r="V220" s="1" t="e">
        <f ca="1">_xll.BDH($C$203,"OPER_INC_GROWTH","FQ2 2017","FQ2 2017","Currency=INR","Period=FQ","BEST_FPERIOD_OVERRIDE=FQ","FILING_STATUS=OR","EQY_CONSOLIDATED=Y","FA_ADJUSTED=GAAP","Sort=A","Dates=H","DateFormat=P","Fill=—","Direction=H","UseDPDF=Y")</f>
        <v>#NAME?</v>
      </c>
      <c r="W220" s="1" t="e">
        <f ca="1">_xll.BDH($C$203,"EARN_FOR_COM_GROWTH","FQ2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20" s="1" t="e">
        <f ca="1">_xll.BDH($C$203,"DILUTED_EPS_AFT_XO_ITEMS_GROWTH","FQ2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20" s="1" t="e">
        <f ca="1">_xll.BDH($C$203,"DIVIDEND_PER_SHARE_1_YEAR_GROWTH","FQ2 2017","FQ2 2017","Currency=INR","Period=FQ","BEST_FPERIOD_OVERRIDE=FQ","FILING_STATUS=OR","EQY_CONSOLIDATED=Y","Sort=A","Dates=H","DateFormat=P","Fill=—","Direction=H","UseDPDF=Y")</f>
        <v>#NAME?</v>
      </c>
      <c r="Z220" s="1" t="e">
        <f ca="1">_xll.BDH($C$203,"ACCOUNTS_RECEIVABLE_GROWTH","FQ2 2017","FQ2 2017","Currency=INR","Period=FQ","BEST_FPERIOD_OVERRIDE=FQ","FILING_STATUS=OR","EQY_CONSOLIDATED=Y","Sort=A","Dates=H","DateFormat=P","Fill=—","Direction=H","UseDPDF=Y")</f>
        <v>#NAME?</v>
      </c>
      <c r="AA220" s="1" t="e">
        <f ca="1">_xll.BDH($C$203,"INVENTORY_GROWTH","FQ2 2017","FQ2 2017","Currency=INR","Period=FQ","BEST_FPERIOD_OVERRIDE=FQ","FILING_STATUS=OR","EQY_CONSOLIDATED=Y","Sort=A","Dates=H","DateFormat=P","Fill=—","Direction=H","UseDPDF=Y")</f>
        <v>#NAME?</v>
      </c>
      <c r="AB220" s="1" t="e">
        <f ca="1">_xll.BDH($C$203,"NET_FIXED_ASSETS_1_YEAR_GROWTH","FQ2 2017","FQ2 2017","Currency=INR","Period=FQ","BEST_FPERIOD_OVERRIDE=FQ","FILING_STATUS=OR","EQY_CONSOLIDATED=Y","Sort=A","Dates=H","DateFormat=P","Fill=—","Direction=H","UseDPDF=Y")</f>
        <v>#NAME?</v>
      </c>
      <c r="AC220" s="1" t="e">
        <f ca="1">_xll.BDH($C$203,"ASSET_GROWTH","FQ2 2017","FQ2 2017","Currency=INR","Period=FQ","BEST_FPERIOD_OVERRIDE=FQ","FILING_STATUS=OR","EQY_CONSOLIDATED=Y","Sort=A","Dates=H","DateFormat=P","Fill=—","Direction=H","UseDPDF=Y")</f>
        <v>#NAME?</v>
      </c>
      <c r="AD220" s="1" t="e">
        <f ca="1">_xll.BDH($C$203,"MODIFIED_WORK_CAP_GROWTH","FQ2 2017","FQ2 2017","Currency=INR","Period=FQ","BEST_FPERIOD_OVERRIDE=FQ","FILING_STATUS=OR","EQY_CONSOLIDATED=Y","Sort=A","Dates=H","DateFormat=P","Fill=—","Direction=H","UseDPDF=Y")</f>
        <v>#NAME?</v>
      </c>
      <c r="AE220" s="1" t="e">
        <f ca="1">_xll.BDH($C$203,"WORK_CAP_GROWTH","FQ2 2017","FQ2 2017","Currency=INR","Period=FQ","BEST_FPERIOD_OVERRIDE=FQ","FILING_STATUS=OR","EQY_CONSOLIDATED=Y","Sort=A","Dates=H","DateFormat=P","Fill=—","Direction=H","UseDPDF=Y")</f>
        <v>#NAME?</v>
      </c>
      <c r="AF220" s="1" t="e">
        <f ca="1">_xll.BDH($C$203,"ACCOUNTS_PAYABLE_GROWTH_1YR","FQ2 2017","FQ2 2017","Currency=INR","Period=FQ","BEST_FPERIOD_OVERRIDE=FQ","FILING_STATUS=OR","EQY_CONSOLIDATED=Y","Sort=A","Dates=H","DateFormat=P","Fill=—","Direction=H","UseDPDF=Y")</f>
        <v>#NAME?</v>
      </c>
      <c r="AG220" s="1" t="e">
        <f ca="1">_xll.BDH($C$203,"SHORT_TERM_DEBT_1_YEAR_GROWTH","FQ2 2017","FQ2 2017","Currency=INR","Period=FQ","BEST_FPERIOD_OVERRIDE=FQ","FILING_STATUS=OR","EQY_CONSOLIDATED=Y","Sort=A","Dates=H","DateFormat=P","Fill=—","Direction=H","UseDPDF=Y")</f>
        <v>#NAME?</v>
      </c>
      <c r="AH220" s="1" t="e">
        <f ca="1">_xll.BDH($C$203,"TOTAL_DEBT_1_YEAR_GROWTH","FQ2 2017","FQ2 2017","Currency=INR","Period=FQ","BEST_FPERIOD_OVERRIDE=FQ","FILING_STATUS=OR","EQY_CONSOLIDATED=Y","Sort=A","Dates=H","DateFormat=P","Fill=—","Direction=H","UseDPDF=Y")</f>
        <v>#NAME?</v>
      </c>
      <c r="AI220" s="1" t="e">
        <f ca="1">_xll.BDH($C$203,"TOTAL_EQUITY_1_YEAR_GROWTH","FQ2 2017","FQ2 2017","Currency=INR","Period=FQ","BEST_FPERIOD_OVERRIDE=FQ","FILING_STATUS=OR","EQY_CONSOLIDATED=Y","Sort=A","Dates=H","DateFormat=P","Fill=—","Direction=H","UseDPDF=Y")</f>
        <v>#NAME?</v>
      </c>
      <c r="AJ220" s="1" t="e">
        <f ca="1">_xll.BDH($C$203,"GROWTH_IN_CAP","FQ2 2017","FQ2 2017","Currency=INR","Period=FQ","BEST_FPERIOD_OVERRIDE=FQ","FILING_STATUS=OR","EQY_CONSOLIDATED=Y","Sort=A","Dates=H","DateFormat=P","Fill=—","Direction=H","UseDPDF=Y")</f>
        <v>#NAME?</v>
      </c>
      <c r="AK220" s="1" t="e">
        <f ca="1">_xll.BDH($C$203,"BVPS_GROWTH","FQ2 2017","FQ2 2017","Currency=INR","Period=FQ","BEST_FPERIOD_OVERRIDE=FQ","FILING_STATUS=OR","EQY_CONSOLIDATED=Y","Sort=A","Dates=H","DateFormat=P","Fill=—","Direction=H","UseDPDF=Y")</f>
        <v>#NAME?</v>
      </c>
      <c r="AL220" s="1" t="e">
        <f ca="1">_xll.BDH($C$203,"CASH_FLOW_GROWTH","FQ2 2017","FQ2 2017","Currency=INR","Period=FQ","BEST_FPERIOD_OVERRIDE=FQ","FILING_STATUS=OR","EQY_CONSOLIDATED=Y","Sort=A","Dates=H","DateFormat=P","Fill=—","Direction=H","UseDPDF=Y")</f>
        <v>#NAME?</v>
      </c>
      <c r="AM220" s="1" t="e">
        <f ca="1">_xll.BDH($C$203,"GEO_GROW_NET_SALES","FQ2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20" s="1" t="e">
        <f ca="1">_xll.BDH($C$203,"GEO_GROW_EBITDA","FQ2 2017","FQ2 2017","Currency=INR","Period=FQ","BEST_FPERIOD_OVERRIDE=FQ","FILING_STATUS=OR","EQY_CONSOLIDATED=Y","FA_ADJUSTED=GAAP","Sort=A","Dates=H","DateFormat=P","Fill=—","Direction=H","UseDPDF=Y")</f>
        <v>#NAME?</v>
      </c>
      <c r="AO220" s="1" t="e">
        <f ca="1">_xll.BDH($C$203,"GEO_GROW_OPER_INC","FQ2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20" s="1" t="e">
        <f ca="1">_xll.BDH($C$203,"NET_INCOME_TO_COMMON_5_YR_GROWTH","FQ2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20" s="1" t="e">
        <f ca="1">_xll.BDH($C$203,"5Y_GEO_GROWTH_DILUTED_EPS","FQ2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20" s="1" t="e">
        <f ca="1">_xll.BDH($C$203,"GEO_GROW_DVD_PER_SH","FQ2 2017","FQ2 2017","Currency=INR","Period=FQ","BEST_FPERIOD_OVERRIDE=FQ","FILING_STATUS=OR","EQY_CONSOLIDATED=Y","Sort=A","Dates=H","DateFormat=P","Fill=—","Direction=H","UseDPDF=Y")</f>
        <v>#NAME?</v>
      </c>
      <c r="AS220" s="1" t="e">
        <f ca="1">_xll.BDH($C$203,"ACCOUNTS_RECEIVABLE_5_YR_GROWTH","FQ2 2017","FQ2 2017","Currency=INR","Period=FQ","BEST_FPERIOD_OVERRIDE=FQ","FILING_STATUS=OR","EQY_CONSOLIDATED=Y","Sort=A","Dates=H","DateFormat=P","Fill=—","Direction=H","UseDPDF=Y")</f>
        <v>#NAME?</v>
      </c>
      <c r="AT220" s="1" t="e">
        <f ca="1">_xll.BDH($C$203,"INVENTORY_5_YEAR_GROWTH","FQ2 2017","FQ2 2017","Currency=INR","Period=FQ","BEST_FPERIOD_OVERRIDE=FQ","FILING_STATUS=OR","EQY_CONSOLIDATED=Y","Sort=A","Dates=H","DateFormat=P","Fill=—","Direction=H","UseDPDF=Y")</f>
        <v>#NAME?</v>
      </c>
      <c r="AU220" s="1" t="e">
        <f ca="1">_xll.BDH($C$203,"NET_FIXED_ASSETS_5_YEAR_GROWTH","FQ2 2017","FQ2 2017","Currency=INR","Period=FQ","BEST_FPERIOD_OVERRIDE=FQ","FILING_STATUS=OR","EQY_CONSOLIDATED=Y","Sort=A","Dates=H","DateFormat=P","Fill=—","Direction=H","UseDPDF=Y")</f>
        <v>#NAME?</v>
      </c>
      <c r="AV220" s="1" t="e">
        <f ca="1">_xll.BDH($C$203,"GEO_GROW_TOT_ASSET","FQ2 2017","FQ2 2017","Currency=INR","Period=FQ","BEST_FPERIOD_OVERRIDE=FQ","FILING_STATUS=OR","EQY_CONSOLIDATED=Y","Sort=A","Dates=H","DateFormat=P","Fill=—","Direction=H","UseDPDF=Y")</f>
        <v>#NAME?</v>
      </c>
      <c r="AW220" s="1" t="e">
        <f ca="1">_xll.BDH($C$203,"MODIFIED_WORKING_CPTL_5YR_GRWTH","FQ2 2017","FQ2 2017","Currency=INR","Period=FQ","BEST_FPERIOD_OVERRIDE=FQ","FILING_STATUS=OR","EQY_CONSOLIDATED=Y","Sort=A","Dates=H","DateFormat=P","Fill=—","Direction=H","UseDPDF=Y")</f>
        <v>#NAME?</v>
      </c>
      <c r="AX220" s="1" t="e">
        <f ca="1">_xll.BDH($C$203,"WORKING_CAPITAL_5_YEAR_GROWTH","FQ2 2017","FQ2 2017","Currency=INR","Period=FQ","BEST_FPERIOD_OVERRIDE=FQ","FILING_STATUS=OR","EQY_CONSOLIDATED=Y","Sort=A","Dates=H","DateFormat=P","Fill=—","Direction=H","UseDPDF=Y")</f>
        <v>#NAME?</v>
      </c>
      <c r="AY220" s="1" t="e">
        <f ca="1">_xll.BDH($C$203,"ACCOUNTS_PAYABLE_5_YEAR_GROWTH","FQ2 2017","FQ2 2017","Currency=INR","Period=FQ","BEST_FPERIOD_OVERRIDE=FQ","FILING_STATUS=OR","EQY_CONSOLIDATED=Y","Sort=A","Dates=H","DateFormat=P","Fill=—","Direction=H","UseDPDF=Y")</f>
        <v>#NAME?</v>
      </c>
      <c r="AZ220" s="1" t="e">
        <f ca="1">_xll.BDH($C$203,"SHORT_TERM_DEBT_5_YEAR_GROWTH","FQ2 2017","FQ2 2017","Currency=INR","Period=FQ","BEST_FPERIOD_OVERRIDE=FQ","FILING_STATUS=OR","EQY_CONSOLIDATED=Y","Sort=A","Dates=H","DateFormat=P","Fill=—","Direction=H","UseDPDF=Y")</f>
        <v>#NAME?</v>
      </c>
      <c r="BA220" s="1" t="e">
        <f ca="1">_xll.BDH($C$203,"TOTAL_DEBT_5_YEAR_GROWTH","FQ2 2017","FQ2 2017","Currency=INR","Period=FQ","BEST_FPERIOD_OVERRIDE=FQ","FILING_STATUS=OR","EQY_CONSOLIDATED=Y","Sort=A","Dates=H","DateFormat=P","Fill=—","Direction=H","UseDPDF=Y")</f>
        <v>#NAME?</v>
      </c>
      <c r="BB220" s="1" t="e">
        <f ca="1">_xll.BDH($C$203,"GEO_GROW_TOT_SHRHLDR_EQY","FQ2 2017","FQ2 2017","Currency=INR","Period=FQ","BEST_FPERIOD_OVERRIDE=FQ","FILING_STATUS=OR","EQY_CONSOLIDATED=Y","Sort=A","Dates=H","DateFormat=P","Fill=—","Direction=H","UseDPDF=Y")</f>
        <v>#NAME?</v>
      </c>
      <c r="BC220" s="1" t="e">
        <f ca="1">_xll.BDH($C$203,"TOTAL_CAPITAL_5_YEAR_GROWTH","FQ2 2017","FQ2 2017","Currency=INR","Period=FQ","BEST_FPERIOD_OVERRIDE=FQ","FILING_STATUS=OR","EQY_CONSOLIDATED=Y","Sort=A","Dates=H","DateFormat=P","Fill=—","Direction=H","UseDPDF=Y")</f>
        <v>#NAME?</v>
      </c>
      <c r="BD220" s="1" t="e">
        <f ca="1">_xll.BDH($C$203,"GEO_GROW_BOOK_VAL","FQ2 2017","FQ2 2017","Currency=INR","Period=FQ","BEST_FPERIOD_OVERRIDE=FQ","FILING_STATUS=OR","EQY_CONSOLIDATED=Y","Sort=A","Dates=H","DateFormat=P","Fill=—","Direction=H","UseDPDF=Y")</f>
        <v>#NAME?</v>
      </c>
      <c r="BE220" s="1" t="e">
        <f ca="1">_xll.BDH($C$203,"GEO_GROW_CASH_OPER_ACT","FQ2 2017","FQ2 2017","Currency=INR","Period=FQ","BEST_FPERIOD_OVERRIDE=FQ","FILING_STATUS=OR","EQY_CONSOLIDATED=Y","Sort=A","Dates=H","DateFormat=P","Fill=—","Direction=H","UseDPDF=Y")</f>
        <v>#NAME?</v>
      </c>
      <c r="BF220" s="1" t="e">
        <f ca="1">_xll.BDH($C$203,"REVENUE_SEQUENTIAL_GROWTH","FQ2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20" s="1" t="e">
        <f ca="1">_xll.BDH($C$203,"EBITDA_SEQUENTIAL_GROWTH","FQ2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20" s="1" t="e">
        <f ca="1">_xll.BDH($C$203,"OPERATING_INCOME_SEQ_GROWTH","FQ2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20" s="1" t="e">
        <f ca="1">_xll.BDH($C$203,"NET_INCOME_TO_COMMON_SEQ_GROWTH","FQ2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20" s="1" t="e">
        <f ca="1">_xll.BDH($C$203,"EPS_DILUTED_SEQUENTIAL_GROWTH","FQ2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20" s="1" t="e">
        <f ca="1">_xll.BDH($C$203,"DPS_SEQUENTIAL_GROWTH","FQ2 2017","FQ2 2017","Currency=INR","Period=FQ","BEST_FPERIOD_OVERRIDE=FQ","FILING_STATUS=OR","EQY_CONSOLIDATED=Y","Sort=A","Dates=H","DateFormat=P","Fill=—","Direction=H","UseDPDF=Y")</f>
        <v>#NAME?</v>
      </c>
      <c r="BL220" s="1" t="e">
        <f ca="1">_xll.BDH($C$203,"ACCOUNTS_RECEIVABLE_SEQ_GROWTH","FQ2 2017","FQ2 2017","Currency=INR","Period=FQ","BEST_FPERIOD_OVERRIDE=FQ","FILING_STATUS=OR","EQY_CONSOLIDATED=Y","Sort=A","Dates=H","DateFormat=P","Fill=—","Direction=H","UseDPDF=Y")</f>
        <v>#NAME?</v>
      </c>
      <c r="BM220" s="1" t="e">
        <f ca="1">_xll.BDH($C$203,"INVENTORY_SEQUENTIAL_GROWTH","FQ2 2017","FQ2 2017","Currency=INR","Period=FQ","BEST_FPERIOD_OVERRIDE=FQ","FILING_STATUS=OR","EQY_CONSOLIDATED=Y","Sort=A","Dates=H","DateFormat=P","Fill=—","Direction=H","UseDPDF=Y")</f>
        <v>#NAME?</v>
      </c>
      <c r="BN220" s="1" t="e">
        <f ca="1">_xll.BDH($C$203,"FIXED_ASSETS_SEQUENTIAL_GROWTH","FQ2 2017","FQ2 2017","Currency=INR","Period=FQ","BEST_FPERIOD_OVERRIDE=FQ","FILING_STATUS=OR","EQY_CONSOLIDATED=Y","Sort=A","Dates=H","DateFormat=P","Fill=—","Direction=H","UseDPDF=Y")</f>
        <v>#NAME?</v>
      </c>
      <c r="BO220" s="1" t="e">
        <f ca="1">_xll.BDH($C$203,"TOTAL_ASSETS_SEQUENTIAL_GROWTH","FQ2 2017","FQ2 2017","Currency=INR","Period=FQ","BEST_FPERIOD_OVERRIDE=FQ","FILING_STATUS=OR","EQY_CONSOLIDATED=Y","Sort=A","Dates=H","DateFormat=P","Fill=—","Direction=H","UseDPDF=Y")</f>
        <v>#NAME?</v>
      </c>
      <c r="BP220" s="1" t="e">
        <f ca="1">_xll.BDH($C$203,"MODIFIED_WORKING_CPTL_SEQ_GRWTH","FQ2 2017","FQ2 2017","Currency=INR","Period=FQ","BEST_FPERIOD_OVERRIDE=FQ","FILING_STATUS=OR","EQY_CONSOLIDATED=Y","Sort=A","Dates=H","DateFormat=P","Fill=—","Direction=H","UseDPDF=Y")</f>
        <v>#NAME?</v>
      </c>
      <c r="BQ220" s="1" t="e">
        <f ca="1">_xll.BDH($C$203,"WORKING_CAPITAL_SEQ_GROWTH","FQ2 2017","FQ2 2017","Currency=INR","Period=FQ","BEST_FPERIOD_OVERRIDE=FQ","FILING_STATUS=OR","EQY_CONSOLIDATED=Y","Sort=A","Dates=H","DateFormat=P","Fill=—","Direction=H","UseDPDF=Y")</f>
        <v>#NAME?</v>
      </c>
      <c r="BR220" s="1" t="e">
        <f ca="1">_xll.BDH($C$203,"ACCOUNTS_PAYABLE_SEQ_GROWTH","FQ2 2017","FQ2 2017","Currency=INR","Period=FQ","BEST_FPERIOD_OVERRIDE=FQ","FILING_STATUS=OR","EQY_CONSOLIDATED=Y","Sort=A","Dates=H","DateFormat=P","Fill=—","Direction=H","UseDPDF=Y")</f>
        <v>#NAME?</v>
      </c>
      <c r="BS220" s="1" t="e">
        <f ca="1">_xll.BDH($C$203,"ST_DEBT_SEQUENTIAL_GROWTH","FQ2 2017","FQ2 2017","Currency=INR","Period=FQ","BEST_FPERIOD_OVERRIDE=FQ","FILING_STATUS=OR","EQY_CONSOLIDATED=Y","Sort=A","Dates=H","DateFormat=P","Fill=—","Direction=H","UseDPDF=Y")</f>
        <v>#NAME?</v>
      </c>
      <c r="BT220" s="1" t="e">
        <f ca="1">_xll.BDH($C$203,"TOTAL_DEBT_SEQUENTIAL_GROWTH","FQ2 2017","FQ2 2017","Currency=INR","Period=FQ","BEST_FPERIOD_OVERRIDE=FQ","FILING_STATUS=OR","EQY_CONSOLIDATED=Y","Sort=A","Dates=H","DateFormat=P","Fill=—","Direction=H","UseDPDF=Y")</f>
        <v>#NAME?</v>
      </c>
      <c r="BU220" s="1" t="e">
        <f ca="1">_xll.BDH($C$203,"TOTAL_EQUITY_SEQUENTIAL_GROWTH","FQ2 2017","FQ2 2017","Currency=INR","Period=FQ","BEST_FPERIOD_OVERRIDE=FQ","FILING_STATUS=OR","EQY_CONSOLIDATED=Y","Sort=A","Dates=H","DateFormat=P","Fill=—","Direction=H","UseDPDF=Y")</f>
        <v>#NAME?</v>
      </c>
      <c r="BV220" s="1" t="e">
        <f ca="1">_xll.BDH($C$203,"TOTAL_CAPITAL_SEQUENTIAL_GROWTH","FQ2 2017","FQ2 2017","Currency=INR","Period=FQ","BEST_FPERIOD_OVERRIDE=FQ","FILING_STATUS=OR","EQY_CONSOLIDATED=Y","Sort=A","Dates=H","DateFormat=P","Fill=—","Direction=H","UseDPDF=Y")</f>
        <v>#NAME?</v>
      </c>
      <c r="BW220" s="1" t="e">
        <f ca="1">_xll.BDH($C$203,"BPS_SEQUENTIAL_GROWTH","FQ2 2017","FQ2 2017","Currency=INR","Period=FQ","BEST_FPERIOD_OVERRIDE=FQ","FILING_STATUS=OR","EQY_CONSOLIDATED=Y","Sort=A","Dates=H","DateFormat=P","Fill=—","Direction=H","UseDPDF=Y")</f>
        <v>#NAME?</v>
      </c>
      <c r="BX220" s="1" t="e">
        <f ca="1">_xll.BDH($C$203,"CFO_SEQUENTIAL_GROWTH","FQ2 2017","FQ2 2017","Currency=INR","Period=FQ","BEST_FPERIOD_OVERRIDE=FQ","FILING_STATUS=OR","EQY_CONSOLIDATED=Y","Sort=A","Dates=H","DateFormat=P","Fill=—","Direction=H","UseDPDF=Y")</f>
        <v>#NAME?</v>
      </c>
      <c r="BY220" s="2" t="e">
        <f ca="1">_xll.BDH($C$203,"SHORT_AND_LONG_TERM_DEBT","FQ2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20" s="2" t="e">
        <f ca="1">_xll.BDH($C$203,"BS_ST_BORROW","FQ2 2017","FQ2 2017","Currency=INR","Period=FQ","BEST_FPERIOD_OVERRIDE=FQ","FILING_STATUS=OR","EQY_CONSOLIDATED=Y","SCALING_FORMAT=MLN","Sort=A","Dates=H","DateFormat=P","Fill=—","Direction=H","UseDPDF=Y")</f>
        <v>#NAME?</v>
      </c>
      <c r="CA220" s="2" t="e">
        <f ca="1">_xll.BDH($C$203,"BS_LT_BORROW","FQ2 2017","FQ2 2017","Currency=INR","Period=FQ","BEST_FPERIOD_OVERRIDE=FQ","FILING_STATUS=OR","EQY_CONSOLIDATED=Y","SCALING_FORMAT=MLN","Sort=A","Dates=H","DateFormat=P","Fill=—","Direction=H","UseDPDF=Y")</f>
        <v>#NAME?</v>
      </c>
      <c r="CB220" s="1" t="e">
        <f ca="1">_xll.BDH($C$203,"TOT_DEBT_TO_EBITDA","FQ2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20" s="1" t="e">
        <f ca="1">_xll.BDH($C$203,"NET_DEBT_TO_EBITDA","FQ2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20" s="1" t="e">
        <f ca="1">_xll.BDH($C$203,"TOTAL_DEBT_TO_EBIT","FQ2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20" s="1" t="e">
        <f ca="1">_xll.BDH($C$203,"NET_DEBT_TO_EBIT","FQ2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220" s="1" t="e">
        <f ca="1">_xll.BDH($C$203,"EBITDA_TO_INTEREST_EXPN","FQ2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20" s="1" t="e">
        <f ca="1">_xll.BDH($C$203,"COM_EQY_TO_TOT_ASSET","FQ2 2017","FQ2 2017","Currency=INR","Period=FQ","BEST_FPERIOD_OVERRIDE=FQ","FILING_STATUS=OR","EQY_CONSOLIDATED=Y","Sort=A","Dates=H","DateFormat=P","Fill=—","Direction=H","UseDPDF=Y")</f>
        <v>#NAME?</v>
      </c>
      <c r="CH220" s="1" t="e">
        <f ca="1">_xll.BDH($C$203,"LT_DEBT_TO_TOT_EQY","FQ2 2017","FQ2 2017","Currency=INR","Period=FQ","BEST_FPERIOD_OVERRIDE=FQ","FILING_STATUS=OR","EQY_CONSOLIDATED=Y","Sort=A","Dates=H","DateFormat=P","Fill=—","Direction=H","UseDPDF=Y")</f>
        <v>#NAME?</v>
      </c>
      <c r="CI220" s="1" t="e">
        <f ca="1">_xll.BDH($C$203,"LT_DEBT_TO_TOT_CAP","FQ2 2017","FQ2 2017","Currency=INR","Period=FQ","BEST_FPERIOD_OVERRIDE=FQ","FILING_STATUS=OR","EQY_CONSOLIDATED=Y","Sort=A","Dates=H","DateFormat=P","Fill=—","Direction=H","UseDPDF=Y")</f>
        <v>#NAME?</v>
      </c>
      <c r="CJ220" s="1" t="e">
        <f ca="1">_xll.BDH($C$203,"LT_DEBT_TO_TOT_ASSET","FQ2 2017","FQ2 2017","Currency=INR","Period=FQ","BEST_FPERIOD_OVERRIDE=FQ","FILING_STATUS=OR","EQY_CONSOLIDATED=Y","Sort=A","Dates=H","DateFormat=P","Fill=—","Direction=H","UseDPDF=Y")</f>
        <v>#NAME?</v>
      </c>
      <c r="CK220" s="1" t="e">
        <f ca="1">_xll.BDH($C$203,"TOT_DEBT_TO_TOT_EQY","FQ2 2017","FQ2 2017","Currency=INR","Period=FQ","BEST_FPERIOD_OVERRIDE=FQ","FILING_STATUS=OR","EQY_CONSOLIDATED=Y","Sort=A","Dates=H","DateFormat=P","Fill=—","Direction=H","UseDPDF=Y")</f>
        <v>#NAME?</v>
      </c>
      <c r="CL220" s="1" t="e">
        <f ca="1">_xll.BDH($C$203,"TOT_DEBT_TO_TOT_CAP","FQ2 2017","FQ2 2017","Currency=INR","Period=FQ","BEST_FPERIOD_OVERRIDE=FQ","FILING_STATUS=OR","EQY_CONSOLIDATED=Y","Sort=A","Dates=H","DateFormat=P","Fill=—","Direction=H","UseDPDF=Y")</f>
        <v>#NAME?</v>
      </c>
      <c r="CM220" s="1" t="e">
        <f ca="1">_xll.BDH($C$203,"TOT_DEBT_TO_TOT_ASSET","FQ2 2017","FQ2 2017","Currency=INR","Period=FQ","BEST_FPERIOD_OVERRIDE=FQ","FILING_STATUS=OR","EQY_CONSOLIDATED=Y","Sort=A","Dates=H","DateFormat=P","Fill=—","Direction=H","UseDPDF=Y")</f>
        <v>#NAME?</v>
      </c>
      <c r="CN220" s="1" t="e">
        <f ca="1">_xll.BDH($C$203,"NET_DEBT_TO_SHRHLDR_EQTY","FQ2 2017","FQ2 2017","Currency=INR","Period=FQ","BEST_FPERIOD_OVERRIDE=FQ","FILING_STATUS=OR","EQY_CONSOLIDATED=Y","Sort=A","Dates=H","DateFormat=P","Fill=—","Direction=H","UseDPDF=Y")</f>
        <v>#NAME?</v>
      </c>
      <c r="CO220" s="1" t="e">
        <f ca="1">_xll.BDH($C$203,"NET_DEBT_%_CAPITAL","FQ2 2017","FQ2 2017","Currency=INR","Period=FQ","BEST_FPERIOD_OVERRIDE=FQ","FILING_STATUS=OR","EQY_CONSOLIDATED=Y","Sort=A","Dates=H","DateFormat=P","Fill=—","Direction=H","UseDPDF=Y")</f>
        <v>#NAME?</v>
      </c>
      <c r="CP220" s="2" t="e">
        <f ca="1">_xll.BDH($C$203,"EBITDA","FQ2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20" s="2" t="e">
        <f ca="1">_xll.BDH($C$203,"EBITDA_AFTER_CAPEX","FQ2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20" s="2" t="e">
        <f ca="1">_xll.BDH($C$203,"IS_OPER_INC","FQ2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20" s="1" t="e">
        <f ca="1">_xll.BDH($C$203,"CASH_RATIO","FQ2 2017","FQ2 2017","Currency=INR","Period=FQ","BEST_FPERIOD_OVERRIDE=FQ","FILING_STATUS=OR","EQY_CONSOLIDATED=Y","Sort=A","Dates=H","DateFormat=P","Fill=—","Direction=H","UseDPDF=Y")</f>
        <v>#NAME?</v>
      </c>
      <c r="CT220" s="1" t="e">
        <f ca="1">_xll.BDH($C$203,"CUR_RATIO","FQ2 2017","FQ2 2017","Currency=INR","Period=FQ","BEST_FPERIOD_OVERRIDE=FQ","FILING_STATUS=OR","EQY_CONSOLIDATED=Y","Sort=A","Dates=H","DateFormat=P","Fill=—","Direction=H","UseDPDF=Y")</f>
        <v>#NAME?</v>
      </c>
      <c r="CU220" s="1" t="e">
        <f ca="1">_xll.BDH($C$203,"QUICK_RATIO","FQ2 2017","FQ2 2017","Currency=INR","Period=FQ","BEST_FPERIOD_OVERRIDE=FQ","FILING_STATUS=OR","EQY_CONSOLIDATED=Y","Sort=A","Dates=H","DateFormat=P","Fill=—","Direction=H","UseDPDF=Y")</f>
        <v>#NAME?</v>
      </c>
      <c r="CV220" s="1" t="e">
        <f ca="1">_xll.BDH($C$203,"ALTMAN_Z_SCORE","FQ2 2017","FQ2 2017","Currency=INR","Period=FQ","BEST_FPERIOD_OVERRIDE=FQ","FILING_STATUS=OR","EQY_CONSOLIDATED=Y","Sort=A","Dates=H","DateFormat=P","Fill=—","Direction=H","UseDPDF=Y")</f>
        <v>#NAME?</v>
      </c>
      <c r="CW220" s="3" t="e">
        <f ca="1">_xll.BDH($C$203,"ACCT_RCV_TURN","FQ2 2017","FQ2 2017","Currency=INR","Period=FQ","BEST_FPERIOD_OVERRIDE=FQ","FILING_STATUS=OR","EQY_CONSOLIDATED=Y","FA_ADJUSTED=GAAP","Sort=A","Dates=H","DateFormat=P","Fill=—","Direction=H","UseDPDF=Y")</f>
        <v>#NAME?</v>
      </c>
      <c r="CX220" s="1" t="e">
        <f ca="1">_xll.BDH($C$203,"ACCT_RCV_DAYS","FQ2 2017","FQ2 2017","Currency=INR","Period=FQ","BEST_FPERIOD_OVERRIDE=FQ","FILING_STATUS=OR","EQY_CONSOLIDATED=Y","FA_ADJUSTED=GAAP","Sort=A","Dates=H","DateFormat=P","Fill=—","Direction=H","UseDPDF=Y")</f>
        <v>#NAME?</v>
      </c>
      <c r="CY220" s="3" t="e">
        <f ca="1">_xll.BDH($C$203,"INVENT_TURN","FQ2 2017","FQ2 2017","Currency=INR","Period=FQ","BEST_FPERIOD_OVERRIDE=FQ","FILING_STATUS=OR","EQY_CONSOLIDATED=Y","FA_ADJUSTED=GAAP","Sort=A","Dates=H","DateFormat=P","Fill=—","Direction=H","UseDPDF=Y")</f>
        <v>#NAME?</v>
      </c>
      <c r="CZ220" s="1" t="e">
        <f ca="1">_xll.BDH($C$203,"INVENT_DAYS","FQ2 2017","FQ2 2017","Currency=INR","Period=FQ","BEST_FPERIOD_OVERRIDE=FQ","FILING_STATUS=OR","EQY_CONSOLIDATED=Y","FA_ADJUSTED=GAAP","Sort=A","Dates=H","DateFormat=P","Fill=—","Direction=H","UseDPDF=Y")</f>
        <v>#NAME?</v>
      </c>
      <c r="DA220" s="3" t="e">
        <f ca="1">_xll.BDH($C$203,"ACCOUNTS_PAYABLE_TURNOVER","FQ2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20" s="1" t="e">
        <f ca="1">_xll.BDH($C$203,"ACCOUNTS_PAYABLE_TURNOVER_DAYS","FQ2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20" s="3" t="e">
        <f ca="1">_xll.BDH($C$203,"CASH_CONVERSION_CYCLE","FQ2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20" s="3" t="e">
        <f ca="1">_xll.BDH($C$203,"INV_TO_CASH_DAYS","FQ2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220" s="4" t="e">
        <f ca="1">_xll.BDH($C$203,"BS_INVENTORIES","FQ2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220" s="2" t="e">
        <f ca="1">_xll.BDH($C$203,"INVTRY_RAW_MATERIALS","FQ2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20" s="2" t="e">
        <f ca="1">_xll.BDH($C$203,"INVTRY_IN_PROGRESS","FQ2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20" s="2" t="e">
        <f ca="1">_xll.BDH($C$203,"INVTRY_FINISHED_GOODS","FQ2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20" s="2" t="e">
        <f ca="1">_xll.BDH($C$203,"BS_OTHER_INV","FQ2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21" spans="1:113" x14ac:dyDescent="0.3">
      <c r="A221" s="6"/>
      <c r="B221" s="6"/>
      <c r="C221" s="6"/>
      <c r="D221" s="6"/>
      <c r="E221" t="s">
        <v>6</v>
      </c>
      <c r="F221" t="e">
        <f ca="1">_xll.BDH($C$203,"RETURN_COM_EQY","FQ3 2017","FQ3 2017","Currency=INR","Period=FQ","BEST_FPERIOD_OVERRIDE=FQ","FILING_STATUS=OR","EQY_CONSOLIDATED=Y","FA_ADJUSTED=GAAP","Sort=A","Dates=H","DateFormat=P","Fill=—","Direction=H","UseDPDF=Y")</f>
        <v>#NAME?</v>
      </c>
      <c r="G221" t="e">
        <f ca="1">_xll.BDH($C$203,"RETURN_ON_ASSET","FQ3 2017","FQ3 2017","Currency=INR","Period=FQ","BEST_FPERIOD_OVERRIDE=FQ","FILING_STATUS=OR","EQY_CONSOLIDATED=Y","FA_ADJUSTED=GAAP","Sort=A","Dates=H","DateFormat=P","Fill=—","Direction=H","UseDPDF=Y")</f>
        <v>#NAME?</v>
      </c>
      <c r="H221" t="e">
        <f ca="1">_xll.BDH($C$203,"RETURN_ON_CAP","FQ3 2017","FQ3 2017","Currency=INR","Period=FQ","BEST_FPERIOD_OVERRIDE=FQ","FILING_STATUS=OR","EQY_CONSOLIDATED=Y","FA_ADJUSTED=GAAP","Sort=A","Dates=H","DateFormat=P","Fill=—","Direction=H","UseDPDF=Y")</f>
        <v>#NAME?</v>
      </c>
      <c r="I221" t="e">
        <f ca="1">_xll.BDH($C$203,"RETURN_ON_INV_CAPITAL","FQ3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21" t="e">
        <f ca="1">_xll.BDH($C$203,"EBITDA_TO_REVENUE","FQ3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221" t="e">
        <f ca="1">_xll.BDH($C$203,"OPER_MARGIN","FQ3 2017","FQ3 2017","Currency=INR","Period=FQ","BEST_FPERIOD_OVERRIDE=FQ","FILING_STATUS=OR","EQY_CONSOLIDATED=Y","FA_ADJUSTED=GAAP","Sort=A","Dates=H","DateFormat=P","Fill=—","Direction=H","UseDPDF=Y")</f>
        <v>#NAME?</v>
      </c>
      <c r="L221" t="e">
        <f ca="1">_xll.BDH($C$203,"INCREMENTAL_OPERATING_MARGIN","FQ3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21" t="e">
        <f ca="1">_xll.BDH($C$203,"PRETAX_INC_TO_NET_SALES","FQ3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21" t="e">
        <f ca="1">_xll.BDH($C$203,"INC_BEF_XO_ITEMS_TO_NET_SALES","FQ3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21" t="e">
        <f ca="1">_xll.BDH($C$203,"PROF_MARGIN","FQ3 2017","FQ3 2017","Currency=INR","Period=FQ","BEST_FPERIOD_OVERRIDE=FQ","FILING_STATUS=OR","EQY_CONSOLIDATED=Y","FA_ADJUSTED=GAAP","Sort=A","Dates=H","DateFormat=P","Fill=—","Direction=H","UseDPDF=Y")</f>
        <v>#NAME?</v>
      </c>
      <c r="P221" t="e">
        <f ca="1">_xll.BDH($C$203,"NET_INCOME_TO_COMMON_MARGIN","FQ3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21" t="e">
        <f ca="1">_xll.BDH($C$203,"EFF_TAX_RATE","FQ3 2017","FQ3 2017","Currency=INR","Period=FQ","BEST_FPERIOD_OVERRIDE=FQ","FILING_STATUS=OR","EQY_CONSOLIDATED=Y","FA_ADJUSTED=GAAP","Sort=A","Dates=H","DateFormat=P","Fill=—","Direction=H","UseDPDF=Y")</f>
        <v>#NAME?</v>
      </c>
      <c r="R221" t="e">
        <f ca="1">_xll.BDH($C$203,"DVD_PAYOUT_RATIO","FQ3 2017","FQ3 2017","Currency=INR","Period=FQ","BEST_FPERIOD_OVERRIDE=FQ","FILING_STATUS=OR","EQY_CONSOLIDATED=Y","FA_ADJUSTED=GAAP","Sort=A","Dates=H","DateFormat=P","Fill=—","Direction=H","UseDPDF=Y")</f>
        <v>#NAME?</v>
      </c>
      <c r="S221" t="e">
        <f ca="1">_xll.BDH($C$203,"SUSTAIN_GROWTH_RT","FQ3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221" s="1" t="e">
        <f ca="1">_xll.BDH($C$203,"SALES_GROWTH","FQ3 2017","FQ3 2017","Currency=INR","Period=FQ","BEST_FPERIOD_OVERRIDE=FQ","FILING_STATUS=OR","EQY_CONSOLIDATED=Y","FA_ADJUSTED=GAAP","Sort=A","Dates=H","DateFormat=P","Fill=—","Direction=H","UseDPDF=Y")</f>
        <v>#NAME?</v>
      </c>
      <c r="U221" s="1" t="e">
        <f ca="1">_xll.BDH($C$203,"EBITDA_GROWTH","FQ3 2017","FQ3 2017","Currency=INR","Period=FQ","BEST_FPERIOD_OVERRIDE=FQ","FILING_STATUS=OR","EQY_CONSOLIDATED=Y","FA_ADJUSTED=GAAP","Sort=A","Dates=H","DateFormat=P","Fill=—","Direction=H","UseDPDF=Y")</f>
        <v>#NAME?</v>
      </c>
      <c r="V221" s="1" t="e">
        <f ca="1">_xll.BDH($C$203,"OPER_INC_GROWTH","FQ3 2017","FQ3 2017","Currency=INR","Period=FQ","BEST_FPERIOD_OVERRIDE=FQ","FILING_STATUS=OR","EQY_CONSOLIDATED=Y","FA_ADJUSTED=GAAP","Sort=A","Dates=H","DateFormat=P","Fill=—","Direction=H","UseDPDF=Y")</f>
        <v>#NAME?</v>
      </c>
      <c r="W221" s="1" t="e">
        <f ca="1">_xll.BDH($C$203,"EARN_FOR_COM_GROWTH","FQ3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21" s="1" t="e">
        <f ca="1">_xll.BDH($C$203,"DILUTED_EPS_AFT_XO_ITEMS_GROWTH","FQ3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21" s="1" t="e">
        <f ca="1">_xll.BDH($C$203,"DIVIDEND_PER_SHARE_1_YEAR_GROWTH","FQ3 2017","FQ3 2017","Currency=INR","Period=FQ","BEST_FPERIOD_OVERRIDE=FQ","FILING_STATUS=OR","EQY_CONSOLIDATED=Y","Sort=A","Dates=H","DateFormat=P","Fill=—","Direction=H","UseDPDF=Y")</f>
        <v>#NAME?</v>
      </c>
      <c r="Z221" s="1" t="e">
        <f ca="1">_xll.BDH($C$203,"ACCOUNTS_RECEIVABLE_GROWTH","FQ3 2017","FQ3 2017","Currency=INR","Period=FQ","BEST_FPERIOD_OVERRIDE=FQ","FILING_STATUS=OR","EQY_CONSOLIDATED=Y","Sort=A","Dates=H","DateFormat=P","Fill=—","Direction=H","UseDPDF=Y")</f>
        <v>#NAME?</v>
      </c>
      <c r="AA221" s="1" t="e">
        <f ca="1">_xll.BDH($C$203,"INVENTORY_GROWTH","FQ3 2017","FQ3 2017","Currency=INR","Period=FQ","BEST_FPERIOD_OVERRIDE=FQ","FILING_STATUS=OR","EQY_CONSOLIDATED=Y","Sort=A","Dates=H","DateFormat=P","Fill=—","Direction=H","UseDPDF=Y")</f>
        <v>#NAME?</v>
      </c>
      <c r="AB221" s="1" t="e">
        <f ca="1">_xll.BDH($C$203,"NET_FIXED_ASSETS_1_YEAR_GROWTH","FQ3 2017","FQ3 2017","Currency=INR","Period=FQ","BEST_FPERIOD_OVERRIDE=FQ","FILING_STATUS=OR","EQY_CONSOLIDATED=Y","Sort=A","Dates=H","DateFormat=P","Fill=—","Direction=H","UseDPDF=Y")</f>
        <v>#NAME?</v>
      </c>
      <c r="AC221" s="1" t="e">
        <f ca="1">_xll.BDH($C$203,"ASSET_GROWTH","FQ3 2017","FQ3 2017","Currency=INR","Period=FQ","BEST_FPERIOD_OVERRIDE=FQ","FILING_STATUS=OR","EQY_CONSOLIDATED=Y","Sort=A","Dates=H","DateFormat=P","Fill=—","Direction=H","UseDPDF=Y")</f>
        <v>#NAME?</v>
      </c>
      <c r="AD221" s="1" t="e">
        <f ca="1">_xll.BDH($C$203,"MODIFIED_WORK_CAP_GROWTH","FQ3 2017","FQ3 2017","Currency=INR","Period=FQ","BEST_FPERIOD_OVERRIDE=FQ","FILING_STATUS=OR","EQY_CONSOLIDATED=Y","Sort=A","Dates=H","DateFormat=P","Fill=—","Direction=H","UseDPDF=Y")</f>
        <v>#NAME?</v>
      </c>
      <c r="AE221" s="1" t="e">
        <f ca="1">_xll.BDH($C$203,"WORK_CAP_GROWTH","FQ3 2017","FQ3 2017","Currency=INR","Period=FQ","BEST_FPERIOD_OVERRIDE=FQ","FILING_STATUS=OR","EQY_CONSOLIDATED=Y","Sort=A","Dates=H","DateFormat=P","Fill=—","Direction=H","UseDPDF=Y")</f>
        <v>#NAME?</v>
      </c>
      <c r="AF221" s="1" t="e">
        <f ca="1">_xll.BDH($C$203,"ACCOUNTS_PAYABLE_GROWTH_1YR","FQ3 2017","FQ3 2017","Currency=INR","Period=FQ","BEST_FPERIOD_OVERRIDE=FQ","FILING_STATUS=OR","EQY_CONSOLIDATED=Y","Sort=A","Dates=H","DateFormat=P","Fill=—","Direction=H","UseDPDF=Y")</f>
        <v>#NAME?</v>
      </c>
      <c r="AG221" s="1" t="e">
        <f ca="1">_xll.BDH($C$203,"SHORT_TERM_DEBT_1_YEAR_GROWTH","FQ3 2017","FQ3 2017","Currency=INR","Period=FQ","BEST_FPERIOD_OVERRIDE=FQ","FILING_STATUS=OR","EQY_CONSOLIDATED=Y","Sort=A","Dates=H","DateFormat=P","Fill=—","Direction=H","UseDPDF=Y")</f>
        <v>#NAME?</v>
      </c>
      <c r="AH221" s="1" t="e">
        <f ca="1">_xll.BDH($C$203,"TOTAL_DEBT_1_YEAR_GROWTH","FQ3 2017","FQ3 2017","Currency=INR","Period=FQ","BEST_FPERIOD_OVERRIDE=FQ","FILING_STATUS=OR","EQY_CONSOLIDATED=Y","Sort=A","Dates=H","DateFormat=P","Fill=—","Direction=H","UseDPDF=Y")</f>
        <v>#NAME?</v>
      </c>
      <c r="AI221" s="1" t="e">
        <f ca="1">_xll.BDH($C$203,"TOTAL_EQUITY_1_YEAR_GROWTH","FQ3 2017","FQ3 2017","Currency=INR","Period=FQ","BEST_FPERIOD_OVERRIDE=FQ","FILING_STATUS=OR","EQY_CONSOLIDATED=Y","Sort=A","Dates=H","DateFormat=P","Fill=—","Direction=H","UseDPDF=Y")</f>
        <v>#NAME?</v>
      </c>
      <c r="AJ221" s="1" t="e">
        <f ca="1">_xll.BDH($C$203,"GROWTH_IN_CAP","FQ3 2017","FQ3 2017","Currency=INR","Period=FQ","BEST_FPERIOD_OVERRIDE=FQ","FILING_STATUS=OR","EQY_CONSOLIDATED=Y","Sort=A","Dates=H","DateFormat=P","Fill=—","Direction=H","UseDPDF=Y")</f>
        <v>#NAME?</v>
      </c>
      <c r="AK221" s="1" t="e">
        <f ca="1">_xll.BDH($C$203,"BVPS_GROWTH","FQ3 2017","FQ3 2017","Currency=INR","Period=FQ","BEST_FPERIOD_OVERRIDE=FQ","FILING_STATUS=OR","EQY_CONSOLIDATED=Y","Sort=A","Dates=H","DateFormat=P","Fill=—","Direction=H","UseDPDF=Y")</f>
        <v>#NAME?</v>
      </c>
      <c r="AL221" s="1" t="e">
        <f ca="1">_xll.BDH($C$203,"CASH_FLOW_GROWTH","FQ3 2017","FQ3 2017","Currency=INR","Period=FQ","BEST_FPERIOD_OVERRIDE=FQ","FILING_STATUS=OR","EQY_CONSOLIDATED=Y","Sort=A","Dates=H","DateFormat=P","Fill=—","Direction=H","UseDPDF=Y")</f>
        <v>#NAME?</v>
      </c>
      <c r="AM221" s="1" t="e">
        <f ca="1">_xll.BDH($C$203,"GEO_GROW_NET_SALES","FQ3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21" s="1" t="e">
        <f ca="1">_xll.BDH($C$203,"GEO_GROW_EBITDA","FQ3 2017","FQ3 2017","Currency=INR","Period=FQ","BEST_FPERIOD_OVERRIDE=FQ","FILING_STATUS=OR","EQY_CONSOLIDATED=Y","FA_ADJUSTED=GAAP","Sort=A","Dates=H","DateFormat=P","Fill=—","Direction=H","UseDPDF=Y")</f>
        <v>#NAME?</v>
      </c>
      <c r="AO221" s="1" t="e">
        <f ca="1">_xll.BDH($C$203,"GEO_GROW_OPER_INC","FQ3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21" s="1" t="e">
        <f ca="1">_xll.BDH($C$203,"NET_INCOME_TO_COMMON_5_YR_GROWTH","FQ3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21" s="1" t="e">
        <f ca="1">_xll.BDH($C$203,"5Y_GEO_GROWTH_DILUTED_EPS","FQ3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21" s="1" t="e">
        <f ca="1">_xll.BDH($C$203,"GEO_GROW_DVD_PER_SH","FQ3 2017","FQ3 2017","Currency=INR","Period=FQ","BEST_FPERIOD_OVERRIDE=FQ","FILING_STATUS=OR","EQY_CONSOLIDATED=Y","Sort=A","Dates=H","DateFormat=P","Fill=—","Direction=H","UseDPDF=Y")</f>
        <v>#NAME?</v>
      </c>
      <c r="AS221" s="1" t="e">
        <f ca="1">_xll.BDH($C$203,"ACCOUNTS_RECEIVABLE_5_YR_GROWTH","FQ3 2017","FQ3 2017","Currency=INR","Period=FQ","BEST_FPERIOD_OVERRIDE=FQ","FILING_STATUS=OR","EQY_CONSOLIDATED=Y","Sort=A","Dates=H","DateFormat=P","Fill=—","Direction=H","UseDPDF=Y")</f>
        <v>#NAME?</v>
      </c>
      <c r="AT221" s="1" t="e">
        <f ca="1">_xll.BDH($C$203,"INVENTORY_5_YEAR_GROWTH","FQ3 2017","FQ3 2017","Currency=INR","Period=FQ","BEST_FPERIOD_OVERRIDE=FQ","FILING_STATUS=OR","EQY_CONSOLIDATED=Y","Sort=A","Dates=H","DateFormat=P","Fill=—","Direction=H","UseDPDF=Y")</f>
        <v>#NAME?</v>
      </c>
      <c r="AU221" s="1" t="e">
        <f ca="1">_xll.BDH($C$203,"NET_FIXED_ASSETS_5_YEAR_GROWTH","FQ3 2017","FQ3 2017","Currency=INR","Period=FQ","BEST_FPERIOD_OVERRIDE=FQ","FILING_STATUS=OR","EQY_CONSOLIDATED=Y","Sort=A","Dates=H","DateFormat=P","Fill=—","Direction=H","UseDPDF=Y")</f>
        <v>#NAME?</v>
      </c>
      <c r="AV221" s="1" t="e">
        <f ca="1">_xll.BDH($C$203,"GEO_GROW_TOT_ASSET","FQ3 2017","FQ3 2017","Currency=INR","Period=FQ","BEST_FPERIOD_OVERRIDE=FQ","FILING_STATUS=OR","EQY_CONSOLIDATED=Y","Sort=A","Dates=H","DateFormat=P","Fill=—","Direction=H","UseDPDF=Y")</f>
        <v>#NAME?</v>
      </c>
      <c r="AW221" s="1" t="e">
        <f ca="1">_xll.BDH($C$203,"MODIFIED_WORKING_CPTL_5YR_GRWTH","FQ3 2017","FQ3 2017","Currency=INR","Period=FQ","BEST_FPERIOD_OVERRIDE=FQ","FILING_STATUS=OR","EQY_CONSOLIDATED=Y","Sort=A","Dates=H","DateFormat=P","Fill=—","Direction=H","UseDPDF=Y")</f>
        <v>#NAME?</v>
      </c>
      <c r="AX221" s="1" t="e">
        <f ca="1">_xll.BDH($C$203,"WORKING_CAPITAL_5_YEAR_GROWTH","FQ3 2017","FQ3 2017","Currency=INR","Period=FQ","BEST_FPERIOD_OVERRIDE=FQ","FILING_STATUS=OR","EQY_CONSOLIDATED=Y","Sort=A","Dates=H","DateFormat=P","Fill=—","Direction=H","UseDPDF=Y")</f>
        <v>#NAME?</v>
      </c>
      <c r="AY221" s="1" t="e">
        <f ca="1">_xll.BDH($C$203,"ACCOUNTS_PAYABLE_5_YEAR_GROWTH","FQ3 2017","FQ3 2017","Currency=INR","Period=FQ","BEST_FPERIOD_OVERRIDE=FQ","FILING_STATUS=OR","EQY_CONSOLIDATED=Y","Sort=A","Dates=H","DateFormat=P","Fill=—","Direction=H","UseDPDF=Y")</f>
        <v>#NAME?</v>
      </c>
      <c r="AZ221" s="1" t="e">
        <f ca="1">_xll.BDH($C$203,"SHORT_TERM_DEBT_5_YEAR_GROWTH","FQ3 2017","FQ3 2017","Currency=INR","Period=FQ","BEST_FPERIOD_OVERRIDE=FQ","FILING_STATUS=OR","EQY_CONSOLIDATED=Y","Sort=A","Dates=H","DateFormat=P","Fill=—","Direction=H","UseDPDF=Y")</f>
        <v>#NAME?</v>
      </c>
      <c r="BA221" s="1" t="e">
        <f ca="1">_xll.BDH($C$203,"TOTAL_DEBT_5_YEAR_GROWTH","FQ3 2017","FQ3 2017","Currency=INR","Period=FQ","BEST_FPERIOD_OVERRIDE=FQ","FILING_STATUS=OR","EQY_CONSOLIDATED=Y","Sort=A","Dates=H","DateFormat=P","Fill=—","Direction=H","UseDPDF=Y")</f>
        <v>#NAME?</v>
      </c>
      <c r="BB221" s="1" t="e">
        <f ca="1">_xll.BDH($C$203,"GEO_GROW_TOT_SHRHLDR_EQY","FQ3 2017","FQ3 2017","Currency=INR","Period=FQ","BEST_FPERIOD_OVERRIDE=FQ","FILING_STATUS=OR","EQY_CONSOLIDATED=Y","Sort=A","Dates=H","DateFormat=P","Fill=—","Direction=H","UseDPDF=Y")</f>
        <v>#NAME?</v>
      </c>
      <c r="BC221" s="1" t="e">
        <f ca="1">_xll.BDH($C$203,"TOTAL_CAPITAL_5_YEAR_GROWTH","FQ3 2017","FQ3 2017","Currency=INR","Period=FQ","BEST_FPERIOD_OVERRIDE=FQ","FILING_STATUS=OR","EQY_CONSOLIDATED=Y","Sort=A","Dates=H","DateFormat=P","Fill=—","Direction=H","UseDPDF=Y")</f>
        <v>#NAME?</v>
      </c>
      <c r="BD221" s="1" t="e">
        <f ca="1">_xll.BDH($C$203,"GEO_GROW_BOOK_VAL","FQ3 2017","FQ3 2017","Currency=INR","Period=FQ","BEST_FPERIOD_OVERRIDE=FQ","FILING_STATUS=OR","EQY_CONSOLIDATED=Y","Sort=A","Dates=H","DateFormat=P","Fill=—","Direction=H","UseDPDF=Y")</f>
        <v>#NAME?</v>
      </c>
      <c r="BE221" s="1" t="e">
        <f ca="1">_xll.BDH($C$203,"GEO_GROW_CASH_OPER_ACT","FQ3 2017","FQ3 2017","Currency=INR","Period=FQ","BEST_FPERIOD_OVERRIDE=FQ","FILING_STATUS=OR","EQY_CONSOLIDATED=Y","Sort=A","Dates=H","DateFormat=P","Fill=—","Direction=H","UseDPDF=Y")</f>
        <v>#NAME?</v>
      </c>
      <c r="BF221" s="1" t="e">
        <f ca="1">_xll.BDH($C$203,"REVENUE_SEQUENTIAL_GROWTH","FQ3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21" s="1" t="e">
        <f ca="1">_xll.BDH($C$203,"EBITDA_SEQUENTIAL_GROWTH","FQ3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21" s="1" t="e">
        <f ca="1">_xll.BDH($C$203,"OPERATING_INCOME_SEQ_GROWTH","FQ3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21" s="1" t="e">
        <f ca="1">_xll.BDH($C$203,"NET_INCOME_TO_COMMON_SEQ_GROWTH","FQ3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21" s="1" t="e">
        <f ca="1">_xll.BDH($C$203,"EPS_DILUTED_SEQUENTIAL_GROWTH","FQ3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21" s="1" t="e">
        <f ca="1">_xll.BDH($C$203,"DPS_SEQUENTIAL_GROWTH","FQ3 2017","FQ3 2017","Currency=INR","Period=FQ","BEST_FPERIOD_OVERRIDE=FQ","FILING_STATUS=OR","EQY_CONSOLIDATED=Y","Sort=A","Dates=H","DateFormat=P","Fill=—","Direction=H","UseDPDF=Y")</f>
        <v>#NAME?</v>
      </c>
      <c r="BL221" s="1" t="e">
        <f ca="1">_xll.BDH($C$203,"ACCOUNTS_RECEIVABLE_SEQ_GROWTH","FQ3 2017","FQ3 2017","Currency=INR","Period=FQ","BEST_FPERIOD_OVERRIDE=FQ","FILING_STATUS=OR","EQY_CONSOLIDATED=Y","Sort=A","Dates=H","DateFormat=P","Fill=—","Direction=H","UseDPDF=Y")</f>
        <v>#NAME?</v>
      </c>
      <c r="BM221" s="1" t="e">
        <f ca="1">_xll.BDH($C$203,"INVENTORY_SEQUENTIAL_GROWTH","FQ3 2017","FQ3 2017","Currency=INR","Period=FQ","BEST_FPERIOD_OVERRIDE=FQ","FILING_STATUS=OR","EQY_CONSOLIDATED=Y","Sort=A","Dates=H","DateFormat=P","Fill=—","Direction=H","UseDPDF=Y")</f>
        <v>#NAME?</v>
      </c>
      <c r="BN221" s="1" t="e">
        <f ca="1">_xll.BDH($C$203,"FIXED_ASSETS_SEQUENTIAL_GROWTH","FQ3 2017","FQ3 2017","Currency=INR","Period=FQ","BEST_FPERIOD_OVERRIDE=FQ","FILING_STATUS=OR","EQY_CONSOLIDATED=Y","Sort=A","Dates=H","DateFormat=P","Fill=—","Direction=H","UseDPDF=Y")</f>
        <v>#NAME?</v>
      </c>
      <c r="BO221" s="1" t="e">
        <f ca="1">_xll.BDH($C$203,"TOTAL_ASSETS_SEQUENTIAL_GROWTH","FQ3 2017","FQ3 2017","Currency=INR","Period=FQ","BEST_FPERIOD_OVERRIDE=FQ","FILING_STATUS=OR","EQY_CONSOLIDATED=Y","Sort=A","Dates=H","DateFormat=P","Fill=—","Direction=H","UseDPDF=Y")</f>
        <v>#NAME?</v>
      </c>
      <c r="BP221" s="1" t="e">
        <f ca="1">_xll.BDH($C$203,"MODIFIED_WORKING_CPTL_SEQ_GRWTH","FQ3 2017","FQ3 2017","Currency=INR","Period=FQ","BEST_FPERIOD_OVERRIDE=FQ","FILING_STATUS=OR","EQY_CONSOLIDATED=Y","Sort=A","Dates=H","DateFormat=P","Fill=—","Direction=H","UseDPDF=Y")</f>
        <v>#NAME?</v>
      </c>
      <c r="BQ221" s="1" t="e">
        <f ca="1">_xll.BDH($C$203,"WORKING_CAPITAL_SEQ_GROWTH","FQ3 2017","FQ3 2017","Currency=INR","Period=FQ","BEST_FPERIOD_OVERRIDE=FQ","FILING_STATUS=OR","EQY_CONSOLIDATED=Y","Sort=A","Dates=H","DateFormat=P","Fill=—","Direction=H","UseDPDF=Y")</f>
        <v>#NAME?</v>
      </c>
      <c r="BR221" s="1" t="e">
        <f ca="1">_xll.BDH($C$203,"ACCOUNTS_PAYABLE_SEQ_GROWTH","FQ3 2017","FQ3 2017","Currency=INR","Period=FQ","BEST_FPERIOD_OVERRIDE=FQ","FILING_STATUS=OR","EQY_CONSOLIDATED=Y","Sort=A","Dates=H","DateFormat=P","Fill=—","Direction=H","UseDPDF=Y")</f>
        <v>#NAME?</v>
      </c>
      <c r="BS221" s="1" t="e">
        <f ca="1">_xll.BDH($C$203,"ST_DEBT_SEQUENTIAL_GROWTH","FQ3 2017","FQ3 2017","Currency=INR","Period=FQ","BEST_FPERIOD_OVERRIDE=FQ","FILING_STATUS=OR","EQY_CONSOLIDATED=Y","Sort=A","Dates=H","DateFormat=P","Fill=—","Direction=H","UseDPDF=Y")</f>
        <v>#NAME?</v>
      </c>
      <c r="BT221" s="1" t="e">
        <f ca="1">_xll.BDH($C$203,"TOTAL_DEBT_SEQUENTIAL_GROWTH","FQ3 2017","FQ3 2017","Currency=INR","Period=FQ","BEST_FPERIOD_OVERRIDE=FQ","FILING_STATUS=OR","EQY_CONSOLIDATED=Y","Sort=A","Dates=H","DateFormat=P","Fill=—","Direction=H","UseDPDF=Y")</f>
        <v>#NAME?</v>
      </c>
      <c r="BU221" s="1" t="e">
        <f ca="1">_xll.BDH($C$203,"TOTAL_EQUITY_SEQUENTIAL_GROWTH","FQ3 2017","FQ3 2017","Currency=INR","Period=FQ","BEST_FPERIOD_OVERRIDE=FQ","FILING_STATUS=OR","EQY_CONSOLIDATED=Y","Sort=A","Dates=H","DateFormat=P","Fill=—","Direction=H","UseDPDF=Y")</f>
        <v>#NAME?</v>
      </c>
      <c r="BV221" s="1" t="e">
        <f ca="1">_xll.BDH($C$203,"TOTAL_CAPITAL_SEQUENTIAL_GROWTH","FQ3 2017","FQ3 2017","Currency=INR","Period=FQ","BEST_FPERIOD_OVERRIDE=FQ","FILING_STATUS=OR","EQY_CONSOLIDATED=Y","Sort=A","Dates=H","DateFormat=P","Fill=—","Direction=H","UseDPDF=Y")</f>
        <v>#NAME?</v>
      </c>
      <c r="BW221" s="1" t="e">
        <f ca="1">_xll.BDH($C$203,"BPS_SEQUENTIAL_GROWTH","FQ3 2017","FQ3 2017","Currency=INR","Period=FQ","BEST_FPERIOD_OVERRIDE=FQ","FILING_STATUS=OR","EQY_CONSOLIDATED=Y","Sort=A","Dates=H","DateFormat=P","Fill=—","Direction=H","UseDPDF=Y")</f>
        <v>#NAME?</v>
      </c>
      <c r="BX221" s="1" t="e">
        <f ca="1">_xll.BDH($C$203,"CFO_SEQUENTIAL_GROWTH","FQ3 2017","FQ3 2017","Currency=INR","Period=FQ","BEST_FPERIOD_OVERRIDE=FQ","FILING_STATUS=OR","EQY_CONSOLIDATED=Y","Sort=A","Dates=H","DateFormat=P","Fill=—","Direction=H","UseDPDF=Y")</f>
        <v>#NAME?</v>
      </c>
      <c r="BY221" s="2" t="e">
        <f ca="1">_xll.BDH($C$203,"SHORT_AND_LONG_TERM_DEBT","FQ3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21" s="2" t="e">
        <f ca="1">_xll.BDH($C$203,"BS_ST_BORROW","FQ3 2017","FQ3 2017","Currency=INR","Period=FQ","BEST_FPERIOD_OVERRIDE=FQ","FILING_STATUS=OR","EQY_CONSOLIDATED=Y","SCALING_FORMAT=MLN","Sort=A","Dates=H","DateFormat=P","Fill=—","Direction=H","UseDPDF=Y")</f>
        <v>#NAME?</v>
      </c>
      <c r="CA221" s="2" t="e">
        <f ca="1">_xll.BDH($C$203,"BS_LT_BORROW","FQ3 2017","FQ3 2017","Currency=INR","Period=FQ","BEST_FPERIOD_OVERRIDE=FQ","FILING_STATUS=OR","EQY_CONSOLIDATED=Y","SCALING_FORMAT=MLN","Sort=A","Dates=H","DateFormat=P","Fill=—","Direction=H","UseDPDF=Y")</f>
        <v>#NAME?</v>
      </c>
      <c r="CB221" s="1" t="e">
        <f ca="1">_xll.BDH($C$203,"TOT_DEBT_TO_EBITDA","FQ3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21" s="1" t="e">
        <f ca="1">_xll.BDH($C$203,"NET_DEBT_TO_EBITDA","FQ3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21" s="1" t="e">
        <f ca="1">_xll.BDH($C$203,"TOTAL_DEBT_TO_EBIT","FQ3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21" s="1" t="e">
        <f ca="1">_xll.BDH($C$203,"NET_DEBT_TO_EBIT","FQ3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221" s="1" t="e">
        <f ca="1">_xll.BDH($C$203,"EBITDA_TO_INTEREST_EXPN","FQ3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21" s="1" t="e">
        <f ca="1">_xll.BDH($C$203,"COM_EQY_TO_TOT_ASSET","FQ3 2017","FQ3 2017","Currency=INR","Period=FQ","BEST_FPERIOD_OVERRIDE=FQ","FILING_STATUS=OR","EQY_CONSOLIDATED=Y","Sort=A","Dates=H","DateFormat=P","Fill=—","Direction=H","UseDPDF=Y")</f>
        <v>#NAME?</v>
      </c>
      <c r="CH221" s="1" t="e">
        <f ca="1">_xll.BDH($C$203,"LT_DEBT_TO_TOT_EQY","FQ3 2017","FQ3 2017","Currency=INR","Period=FQ","BEST_FPERIOD_OVERRIDE=FQ","FILING_STATUS=OR","EQY_CONSOLIDATED=Y","Sort=A","Dates=H","DateFormat=P","Fill=—","Direction=H","UseDPDF=Y")</f>
        <v>#NAME?</v>
      </c>
      <c r="CI221" s="1" t="e">
        <f ca="1">_xll.BDH($C$203,"LT_DEBT_TO_TOT_CAP","FQ3 2017","FQ3 2017","Currency=INR","Period=FQ","BEST_FPERIOD_OVERRIDE=FQ","FILING_STATUS=OR","EQY_CONSOLIDATED=Y","Sort=A","Dates=H","DateFormat=P","Fill=—","Direction=H","UseDPDF=Y")</f>
        <v>#NAME?</v>
      </c>
      <c r="CJ221" s="1" t="e">
        <f ca="1">_xll.BDH($C$203,"LT_DEBT_TO_TOT_ASSET","FQ3 2017","FQ3 2017","Currency=INR","Period=FQ","BEST_FPERIOD_OVERRIDE=FQ","FILING_STATUS=OR","EQY_CONSOLIDATED=Y","Sort=A","Dates=H","DateFormat=P","Fill=—","Direction=H","UseDPDF=Y")</f>
        <v>#NAME?</v>
      </c>
      <c r="CK221" s="1" t="e">
        <f ca="1">_xll.BDH($C$203,"TOT_DEBT_TO_TOT_EQY","FQ3 2017","FQ3 2017","Currency=INR","Period=FQ","BEST_FPERIOD_OVERRIDE=FQ","FILING_STATUS=OR","EQY_CONSOLIDATED=Y","Sort=A","Dates=H","DateFormat=P","Fill=—","Direction=H","UseDPDF=Y")</f>
        <v>#NAME?</v>
      </c>
      <c r="CL221" s="1" t="e">
        <f ca="1">_xll.BDH($C$203,"TOT_DEBT_TO_TOT_CAP","FQ3 2017","FQ3 2017","Currency=INR","Period=FQ","BEST_FPERIOD_OVERRIDE=FQ","FILING_STATUS=OR","EQY_CONSOLIDATED=Y","Sort=A","Dates=H","DateFormat=P","Fill=—","Direction=H","UseDPDF=Y")</f>
        <v>#NAME?</v>
      </c>
      <c r="CM221" s="1" t="e">
        <f ca="1">_xll.BDH($C$203,"TOT_DEBT_TO_TOT_ASSET","FQ3 2017","FQ3 2017","Currency=INR","Period=FQ","BEST_FPERIOD_OVERRIDE=FQ","FILING_STATUS=OR","EQY_CONSOLIDATED=Y","Sort=A","Dates=H","DateFormat=P","Fill=—","Direction=H","UseDPDF=Y")</f>
        <v>#NAME?</v>
      </c>
      <c r="CN221" s="1" t="e">
        <f ca="1">_xll.BDH($C$203,"NET_DEBT_TO_SHRHLDR_EQTY","FQ3 2017","FQ3 2017","Currency=INR","Period=FQ","BEST_FPERIOD_OVERRIDE=FQ","FILING_STATUS=OR","EQY_CONSOLIDATED=Y","Sort=A","Dates=H","DateFormat=P","Fill=—","Direction=H","UseDPDF=Y")</f>
        <v>#NAME?</v>
      </c>
      <c r="CO221" s="1" t="e">
        <f ca="1">_xll.BDH($C$203,"NET_DEBT_%_CAPITAL","FQ3 2017","FQ3 2017","Currency=INR","Period=FQ","BEST_FPERIOD_OVERRIDE=FQ","FILING_STATUS=OR","EQY_CONSOLIDATED=Y","Sort=A","Dates=H","DateFormat=P","Fill=—","Direction=H","UseDPDF=Y")</f>
        <v>#NAME?</v>
      </c>
      <c r="CP221" s="2" t="e">
        <f ca="1">_xll.BDH($C$203,"EBITDA","FQ3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21" s="2" t="e">
        <f ca="1">_xll.BDH($C$203,"EBITDA_AFTER_CAPEX","FQ3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21" s="2" t="e">
        <f ca="1">_xll.BDH($C$203,"IS_OPER_INC","FQ3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21" s="1" t="e">
        <f ca="1">_xll.BDH($C$203,"CASH_RATIO","FQ3 2017","FQ3 2017","Currency=INR","Period=FQ","BEST_FPERIOD_OVERRIDE=FQ","FILING_STATUS=OR","EQY_CONSOLIDATED=Y","Sort=A","Dates=H","DateFormat=P","Fill=—","Direction=H","UseDPDF=Y")</f>
        <v>#NAME?</v>
      </c>
      <c r="CT221" s="1" t="e">
        <f ca="1">_xll.BDH($C$203,"CUR_RATIO","FQ3 2017","FQ3 2017","Currency=INR","Period=FQ","BEST_FPERIOD_OVERRIDE=FQ","FILING_STATUS=OR","EQY_CONSOLIDATED=Y","Sort=A","Dates=H","DateFormat=P","Fill=—","Direction=H","UseDPDF=Y")</f>
        <v>#NAME?</v>
      </c>
      <c r="CU221" s="1" t="e">
        <f ca="1">_xll.BDH($C$203,"QUICK_RATIO","FQ3 2017","FQ3 2017","Currency=INR","Period=FQ","BEST_FPERIOD_OVERRIDE=FQ","FILING_STATUS=OR","EQY_CONSOLIDATED=Y","Sort=A","Dates=H","DateFormat=P","Fill=—","Direction=H","UseDPDF=Y")</f>
        <v>#NAME?</v>
      </c>
      <c r="CV221" s="1" t="e">
        <f ca="1">_xll.BDH($C$203,"ALTMAN_Z_SCORE","FQ3 2017","FQ3 2017","Currency=INR","Period=FQ","BEST_FPERIOD_OVERRIDE=FQ","FILING_STATUS=OR","EQY_CONSOLIDATED=Y","Sort=A","Dates=H","DateFormat=P","Fill=—","Direction=H","UseDPDF=Y")</f>
        <v>#NAME?</v>
      </c>
      <c r="CW221" s="3" t="e">
        <f ca="1">_xll.BDH($C$203,"ACCT_RCV_TURN","FQ3 2017","FQ3 2017","Currency=INR","Period=FQ","BEST_FPERIOD_OVERRIDE=FQ","FILING_STATUS=OR","EQY_CONSOLIDATED=Y","FA_ADJUSTED=GAAP","Sort=A","Dates=H","DateFormat=P","Fill=—","Direction=H","UseDPDF=Y")</f>
        <v>#NAME?</v>
      </c>
      <c r="CX221" s="1" t="e">
        <f ca="1">_xll.BDH($C$203,"ACCT_RCV_DAYS","FQ3 2017","FQ3 2017","Currency=INR","Period=FQ","BEST_FPERIOD_OVERRIDE=FQ","FILING_STATUS=OR","EQY_CONSOLIDATED=Y","FA_ADJUSTED=GAAP","Sort=A","Dates=H","DateFormat=P","Fill=—","Direction=H","UseDPDF=Y")</f>
        <v>#NAME?</v>
      </c>
      <c r="CY221" s="3" t="e">
        <f ca="1">_xll.BDH($C$203,"INVENT_TURN","FQ3 2017","FQ3 2017","Currency=INR","Period=FQ","BEST_FPERIOD_OVERRIDE=FQ","FILING_STATUS=OR","EQY_CONSOLIDATED=Y","FA_ADJUSTED=GAAP","Sort=A","Dates=H","DateFormat=P","Fill=—","Direction=H","UseDPDF=Y")</f>
        <v>#NAME?</v>
      </c>
      <c r="CZ221" s="1" t="e">
        <f ca="1">_xll.BDH($C$203,"INVENT_DAYS","FQ3 2017","FQ3 2017","Currency=INR","Period=FQ","BEST_FPERIOD_OVERRIDE=FQ","FILING_STATUS=OR","EQY_CONSOLIDATED=Y","FA_ADJUSTED=GAAP","Sort=A","Dates=H","DateFormat=P","Fill=—","Direction=H","UseDPDF=Y")</f>
        <v>#NAME?</v>
      </c>
      <c r="DA221" s="3" t="e">
        <f ca="1">_xll.BDH($C$203,"ACCOUNTS_PAYABLE_TURNOVER","FQ3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21" s="1" t="e">
        <f ca="1">_xll.BDH($C$203,"ACCOUNTS_PAYABLE_TURNOVER_DAYS","FQ3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21" s="3" t="e">
        <f ca="1">_xll.BDH($C$203,"CASH_CONVERSION_CYCLE","FQ3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21" s="3" t="e">
        <f ca="1">_xll.BDH($C$203,"INV_TO_CASH_DAYS","FQ3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221" s="4" t="e">
        <f ca="1">_xll.BDH($C$203,"BS_INVENTORIES","FQ3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221" s="2" t="e">
        <f ca="1">_xll.BDH($C$203,"INVTRY_RAW_MATERIALS","FQ3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21" s="2" t="e">
        <f ca="1">_xll.BDH($C$203,"INVTRY_IN_PROGRESS","FQ3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21" s="2" t="e">
        <f ca="1">_xll.BDH($C$203,"INVTRY_FINISHED_GOODS","FQ3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21" s="2" t="e">
        <f ca="1">_xll.BDH($C$203,"BS_OTHER_INV","FQ3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22" spans="1:113" x14ac:dyDescent="0.3">
      <c r="A222" s="6"/>
      <c r="B222" s="6"/>
      <c r="C222" s="6"/>
      <c r="D222" s="6"/>
      <c r="E222" t="s">
        <v>7</v>
      </c>
      <c r="F222" t="e">
        <f ca="1">_xll.BDH($C$203,"RETURN_COM_EQY","FQ4 2017","FQ4 2017","Currency=INR","Period=FQ","BEST_FPERIOD_OVERRIDE=FQ","FILING_STATUS=OR","EQY_CONSOLIDATED=Y","FA_ADJUSTED=GAAP","Sort=A","Dates=H","DateFormat=P","Fill=—","Direction=H","UseDPDF=Y")</f>
        <v>#NAME?</v>
      </c>
      <c r="G222" t="e">
        <f ca="1">_xll.BDH($C$203,"RETURN_ON_ASSET","FQ4 2017","FQ4 2017","Currency=INR","Period=FQ","BEST_FPERIOD_OVERRIDE=FQ","FILING_STATUS=OR","EQY_CONSOLIDATED=Y","FA_ADJUSTED=GAAP","Sort=A","Dates=H","DateFormat=P","Fill=—","Direction=H","UseDPDF=Y")</f>
        <v>#NAME?</v>
      </c>
      <c r="H222" t="e">
        <f ca="1">_xll.BDH($C$203,"RETURN_ON_CAP","FQ4 2017","FQ4 2017","Currency=INR","Period=FQ","BEST_FPERIOD_OVERRIDE=FQ","FILING_STATUS=OR","EQY_CONSOLIDATED=Y","FA_ADJUSTED=GAAP","Sort=A","Dates=H","DateFormat=P","Fill=—","Direction=H","UseDPDF=Y")</f>
        <v>#NAME?</v>
      </c>
      <c r="I222" t="e">
        <f ca="1">_xll.BDH($C$203,"RETURN_ON_INV_CAPITAL","FQ4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22" t="e">
        <f ca="1">_xll.BDH($C$203,"EBITDA_TO_REVENUE","FQ4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222" t="e">
        <f ca="1">_xll.BDH($C$203,"OPER_MARGIN","FQ4 2017","FQ4 2017","Currency=INR","Period=FQ","BEST_FPERIOD_OVERRIDE=FQ","FILING_STATUS=OR","EQY_CONSOLIDATED=Y","FA_ADJUSTED=GAAP","Sort=A","Dates=H","DateFormat=P","Fill=—","Direction=H","UseDPDF=Y")</f>
        <v>#NAME?</v>
      </c>
      <c r="L222" t="e">
        <f ca="1">_xll.BDH($C$203,"INCREMENTAL_OPERATING_MARGIN","FQ4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22" t="e">
        <f ca="1">_xll.BDH($C$203,"PRETAX_INC_TO_NET_SALES","FQ4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22" t="e">
        <f ca="1">_xll.BDH($C$203,"INC_BEF_XO_ITEMS_TO_NET_SALES","FQ4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22" t="e">
        <f ca="1">_xll.BDH($C$203,"PROF_MARGIN","FQ4 2017","FQ4 2017","Currency=INR","Period=FQ","BEST_FPERIOD_OVERRIDE=FQ","FILING_STATUS=OR","EQY_CONSOLIDATED=Y","FA_ADJUSTED=GAAP","Sort=A","Dates=H","DateFormat=P","Fill=—","Direction=H","UseDPDF=Y")</f>
        <v>#NAME?</v>
      </c>
      <c r="P222" t="e">
        <f ca="1">_xll.BDH($C$203,"NET_INCOME_TO_COMMON_MARGIN","FQ4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22" t="e">
        <f ca="1">_xll.BDH($C$203,"EFF_TAX_RATE","FQ4 2017","FQ4 2017","Currency=INR","Period=FQ","BEST_FPERIOD_OVERRIDE=FQ","FILING_STATUS=OR","EQY_CONSOLIDATED=Y","FA_ADJUSTED=GAAP","Sort=A","Dates=H","DateFormat=P","Fill=—","Direction=H","UseDPDF=Y")</f>
        <v>#NAME?</v>
      </c>
      <c r="R222" t="e">
        <f ca="1">_xll.BDH($C$203,"DVD_PAYOUT_RATIO","FQ4 2017","FQ4 2017","Currency=INR","Period=FQ","BEST_FPERIOD_OVERRIDE=FQ","FILING_STATUS=OR","EQY_CONSOLIDATED=Y","FA_ADJUSTED=GAAP","Sort=A","Dates=H","DateFormat=P","Fill=—","Direction=H","UseDPDF=Y")</f>
        <v>#NAME?</v>
      </c>
      <c r="S222" t="e">
        <f ca="1">_xll.BDH($C$203,"SUSTAIN_GROWTH_RT","FQ4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222" s="1" t="e">
        <f ca="1">_xll.BDH($C$203,"SALES_GROWTH","FQ4 2017","FQ4 2017","Currency=INR","Period=FQ","BEST_FPERIOD_OVERRIDE=FQ","FILING_STATUS=OR","EQY_CONSOLIDATED=Y","FA_ADJUSTED=GAAP","Sort=A","Dates=H","DateFormat=P","Fill=—","Direction=H","UseDPDF=Y")</f>
        <v>#NAME?</v>
      </c>
      <c r="U222" s="1" t="e">
        <f ca="1">_xll.BDH($C$203,"EBITDA_GROWTH","FQ4 2017","FQ4 2017","Currency=INR","Period=FQ","BEST_FPERIOD_OVERRIDE=FQ","FILING_STATUS=OR","EQY_CONSOLIDATED=Y","FA_ADJUSTED=GAAP","Sort=A","Dates=H","DateFormat=P","Fill=—","Direction=H","UseDPDF=Y")</f>
        <v>#NAME?</v>
      </c>
      <c r="V222" s="1" t="e">
        <f ca="1">_xll.BDH($C$203,"OPER_INC_GROWTH","FQ4 2017","FQ4 2017","Currency=INR","Period=FQ","BEST_FPERIOD_OVERRIDE=FQ","FILING_STATUS=OR","EQY_CONSOLIDATED=Y","FA_ADJUSTED=GAAP","Sort=A","Dates=H","DateFormat=P","Fill=—","Direction=H","UseDPDF=Y")</f>
        <v>#NAME?</v>
      </c>
      <c r="W222" s="1" t="e">
        <f ca="1">_xll.BDH($C$203,"EARN_FOR_COM_GROWTH","FQ4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22" s="1" t="e">
        <f ca="1">_xll.BDH($C$203,"DILUTED_EPS_AFT_XO_ITEMS_GROWTH","FQ4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22" s="1" t="e">
        <f ca="1">_xll.BDH($C$203,"DIVIDEND_PER_SHARE_1_YEAR_GROWTH","FQ4 2017","FQ4 2017","Currency=INR","Period=FQ","BEST_FPERIOD_OVERRIDE=FQ","FILING_STATUS=OR","EQY_CONSOLIDATED=Y","Sort=A","Dates=H","DateFormat=P","Fill=—","Direction=H","UseDPDF=Y")</f>
        <v>#NAME?</v>
      </c>
      <c r="Z222" s="1" t="e">
        <f ca="1">_xll.BDH($C$203,"ACCOUNTS_RECEIVABLE_GROWTH","FQ4 2017","FQ4 2017","Currency=INR","Period=FQ","BEST_FPERIOD_OVERRIDE=FQ","FILING_STATUS=OR","EQY_CONSOLIDATED=Y","Sort=A","Dates=H","DateFormat=P","Fill=—","Direction=H","UseDPDF=Y")</f>
        <v>#NAME?</v>
      </c>
      <c r="AA222" s="1" t="e">
        <f ca="1">_xll.BDH($C$203,"INVENTORY_GROWTH","FQ4 2017","FQ4 2017","Currency=INR","Period=FQ","BEST_FPERIOD_OVERRIDE=FQ","FILING_STATUS=OR","EQY_CONSOLIDATED=Y","Sort=A","Dates=H","DateFormat=P","Fill=—","Direction=H","UseDPDF=Y")</f>
        <v>#NAME?</v>
      </c>
      <c r="AB222" s="1" t="e">
        <f ca="1">_xll.BDH($C$203,"NET_FIXED_ASSETS_1_YEAR_GROWTH","FQ4 2017","FQ4 2017","Currency=INR","Period=FQ","BEST_FPERIOD_OVERRIDE=FQ","FILING_STATUS=OR","EQY_CONSOLIDATED=Y","Sort=A","Dates=H","DateFormat=P","Fill=—","Direction=H","UseDPDF=Y")</f>
        <v>#NAME?</v>
      </c>
      <c r="AC222" s="1" t="e">
        <f ca="1">_xll.BDH($C$203,"ASSET_GROWTH","FQ4 2017","FQ4 2017","Currency=INR","Period=FQ","BEST_FPERIOD_OVERRIDE=FQ","FILING_STATUS=OR","EQY_CONSOLIDATED=Y","Sort=A","Dates=H","DateFormat=P","Fill=—","Direction=H","UseDPDF=Y")</f>
        <v>#NAME?</v>
      </c>
      <c r="AD222" s="1" t="e">
        <f ca="1">_xll.BDH($C$203,"MODIFIED_WORK_CAP_GROWTH","FQ4 2017","FQ4 2017","Currency=INR","Period=FQ","BEST_FPERIOD_OVERRIDE=FQ","FILING_STATUS=OR","EQY_CONSOLIDATED=Y","Sort=A","Dates=H","DateFormat=P","Fill=—","Direction=H","UseDPDF=Y")</f>
        <v>#NAME?</v>
      </c>
      <c r="AE222" s="1" t="e">
        <f ca="1">_xll.BDH($C$203,"WORK_CAP_GROWTH","FQ4 2017","FQ4 2017","Currency=INR","Period=FQ","BEST_FPERIOD_OVERRIDE=FQ","FILING_STATUS=OR","EQY_CONSOLIDATED=Y","Sort=A","Dates=H","DateFormat=P","Fill=—","Direction=H","UseDPDF=Y")</f>
        <v>#NAME?</v>
      </c>
      <c r="AF222" s="1" t="e">
        <f ca="1">_xll.BDH($C$203,"ACCOUNTS_PAYABLE_GROWTH_1YR","FQ4 2017","FQ4 2017","Currency=INR","Period=FQ","BEST_FPERIOD_OVERRIDE=FQ","FILING_STATUS=OR","EQY_CONSOLIDATED=Y","Sort=A","Dates=H","DateFormat=P","Fill=—","Direction=H","UseDPDF=Y")</f>
        <v>#NAME?</v>
      </c>
      <c r="AG222" s="1" t="e">
        <f ca="1">_xll.BDH($C$203,"SHORT_TERM_DEBT_1_YEAR_GROWTH","FQ4 2017","FQ4 2017","Currency=INR","Period=FQ","BEST_FPERIOD_OVERRIDE=FQ","FILING_STATUS=OR","EQY_CONSOLIDATED=Y","Sort=A","Dates=H","DateFormat=P","Fill=—","Direction=H","UseDPDF=Y")</f>
        <v>#NAME?</v>
      </c>
      <c r="AH222" s="1" t="e">
        <f ca="1">_xll.BDH($C$203,"TOTAL_DEBT_1_YEAR_GROWTH","FQ4 2017","FQ4 2017","Currency=INR","Period=FQ","BEST_FPERIOD_OVERRIDE=FQ","FILING_STATUS=OR","EQY_CONSOLIDATED=Y","Sort=A","Dates=H","DateFormat=P","Fill=—","Direction=H","UseDPDF=Y")</f>
        <v>#NAME?</v>
      </c>
      <c r="AI222" s="1" t="e">
        <f ca="1">_xll.BDH($C$203,"TOTAL_EQUITY_1_YEAR_GROWTH","FQ4 2017","FQ4 2017","Currency=INR","Period=FQ","BEST_FPERIOD_OVERRIDE=FQ","FILING_STATUS=OR","EQY_CONSOLIDATED=Y","Sort=A","Dates=H","DateFormat=P","Fill=—","Direction=H","UseDPDF=Y")</f>
        <v>#NAME?</v>
      </c>
      <c r="AJ222" s="1" t="e">
        <f ca="1">_xll.BDH($C$203,"GROWTH_IN_CAP","FQ4 2017","FQ4 2017","Currency=INR","Period=FQ","BEST_FPERIOD_OVERRIDE=FQ","FILING_STATUS=OR","EQY_CONSOLIDATED=Y","Sort=A","Dates=H","DateFormat=P","Fill=—","Direction=H","UseDPDF=Y")</f>
        <v>#NAME?</v>
      </c>
      <c r="AK222" s="1" t="e">
        <f ca="1">_xll.BDH($C$203,"BVPS_GROWTH","FQ4 2017","FQ4 2017","Currency=INR","Period=FQ","BEST_FPERIOD_OVERRIDE=FQ","FILING_STATUS=OR","EQY_CONSOLIDATED=Y","Sort=A","Dates=H","DateFormat=P","Fill=—","Direction=H","UseDPDF=Y")</f>
        <v>#NAME?</v>
      </c>
      <c r="AL222" s="1" t="e">
        <f ca="1">_xll.BDH($C$203,"CASH_FLOW_GROWTH","FQ4 2017","FQ4 2017","Currency=INR","Period=FQ","BEST_FPERIOD_OVERRIDE=FQ","FILING_STATUS=OR","EQY_CONSOLIDATED=Y","Sort=A","Dates=H","DateFormat=P","Fill=—","Direction=H","UseDPDF=Y")</f>
        <v>#NAME?</v>
      </c>
      <c r="AM222" s="1" t="e">
        <f ca="1">_xll.BDH($C$203,"GEO_GROW_NET_SALES","FQ4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22" s="1" t="e">
        <f ca="1">_xll.BDH($C$203,"GEO_GROW_EBITDA","FQ4 2017","FQ4 2017","Currency=INR","Period=FQ","BEST_FPERIOD_OVERRIDE=FQ","FILING_STATUS=OR","EQY_CONSOLIDATED=Y","FA_ADJUSTED=GAAP","Sort=A","Dates=H","DateFormat=P","Fill=—","Direction=H","UseDPDF=Y")</f>
        <v>#NAME?</v>
      </c>
      <c r="AO222" s="1" t="e">
        <f ca="1">_xll.BDH($C$203,"GEO_GROW_OPER_INC","FQ4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22" s="1" t="e">
        <f ca="1">_xll.BDH($C$203,"NET_INCOME_TO_COMMON_5_YR_GROWTH","FQ4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22" s="1" t="e">
        <f ca="1">_xll.BDH($C$203,"5Y_GEO_GROWTH_DILUTED_EPS","FQ4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22" s="1" t="e">
        <f ca="1">_xll.BDH($C$203,"GEO_GROW_DVD_PER_SH","FQ4 2017","FQ4 2017","Currency=INR","Period=FQ","BEST_FPERIOD_OVERRIDE=FQ","FILING_STATUS=OR","EQY_CONSOLIDATED=Y","Sort=A","Dates=H","DateFormat=P","Fill=—","Direction=H","UseDPDF=Y")</f>
        <v>#NAME?</v>
      </c>
      <c r="AS222" s="1" t="e">
        <f ca="1">_xll.BDH($C$203,"ACCOUNTS_RECEIVABLE_5_YR_GROWTH","FQ4 2017","FQ4 2017","Currency=INR","Period=FQ","BEST_FPERIOD_OVERRIDE=FQ","FILING_STATUS=OR","EQY_CONSOLIDATED=Y","Sort=A","Dates=H","DateFormat=P","Fill=—","Direction=H","UseDPDF=Y")</f>
        <v>#NAME?</v>
      </c>
      <c r="AT222" s="1" t="e">
        <f ca="1">_xll.BDH($C$203,"INVENTORY_5_YEAR_GROWTH","FQ4 2017","FQ4 2017","Currency=INR","Period=FQ","BEST_FPERIOD_OVERRIDE=FQ","FILING_STATUS=OR","EQY_CONSOLIDATED=Y","Sort=A","Dates=H","DateFormat=P","Fill=—","Direction=H","UseDPDF=Y")</f>
        <v>#NAME?</v>
      </c>
      <c r="AU222" s="1" t="e">
        <f ca="1">_xll.BDH($C$203,"NET_FIXED_ASSETS_5_YEAR_GROWTH","FQ4 2017","FQ4 2017","Currency=INR","Period=FQ","BEST_FPERIOD_OVERRIDE=FQ","FILING_STATUS=OR","EQY_CONSOLIDATED=Y","Sort=A","Dates=H","DateFormat=P","Fill=—","Direction=H","UseDPDF=Y")</f>
        <v>#NAME?</v>
      </c>
      <c r="AV222" s="1" t="e">
        <f ca="1">_xll.BDH($C$203,"GEO_GROW_TOT_ASSET","FQ4 2017","FQ4 2017","Currency=INR","Period=FQ","BEST_FPERIOD_OVERRIDE=FQ","FILING_STATUS=OR","EQY_CONSOLIDATED=Y","Sort=A","Dates=H","DateFormat=P","Fill=—","Direction=H","UseDPDF=Y")</f>
        <v>#NAME?</v>
      </c>
      <c r="AW222" s="1" t="e">
        <f ca="1">_xll.BDH($C$203,"MODIFIED_WORKING_CPTL_5YR_GRWTH","FQ4 2017","FQ4 2017","Currency=INR","Period=FQ","BEST_FPERIOD_OVERRIDE=FQ","FILING_STATUS=OR","EQY_CONSOLIDATED=Y","Sort=A","Dates=H","DateFormat=P","Fill=—","Direction=H","UseDPDF=Y")</f>
        <v>#NAME?</v>
      </c>
      <c r="AX222" s="1" t="e">
        <f ca="1">_xll.BDH($C$203,"WORKING_CAPITAL_5_YEAR_GROWTH","FQ4 2017","FQ4 2017","Currency=INR","Period=FQ","BEST_FPERIOD_OVERRIDE=FQ","FILING_STATUS=OR","EQY_CONSOLIDATED=Y","Sort=A","Dates=H","DateFormat=P","Fill=—","Direction=H","UseDPDF=Y")</f>
        <v>#NAME?</v>
      </c>
      <c r="AY222" s="1" t="e">
        <f ca="1">_xll.BDH($C$203,"ACCOUNTS_PAYABLE_5_YEAR_GROWTH","FQ4 2017","FQ4 2017","Currency=INR","Period=FQ","BEST_FPERIOD_OVERRIDE=FQ","FILING_STATUS=OR","EQY_CONSOLIDATED=Y","Sort=A","Dates=H","DateFormat=P","Fill=—","Direction=H","UseDPDF=Y")</f>
        <v>#NAME?</v>
      </c>
      <c r="AZ222" s="1" t="e">
        <f ca="1">_xll.BDH($C$203,"SHORT_TERM_DEBT_5_YEAR_GROWTH","FQ4 2017","FQ4 2017","Currency=INR","Period=FQ","BEST_FPERIOD_OVERRIDE=FQ","FILING_STATUS=OR","EQY_CONSOLIDATED=Y","Sort=A","Dates=H","DateFormat=P","Fill=—","Direction=H","UseDPDF=Y")</f>
        <v>#NAME?</v>
      </c>
      <c r="BA222" s="1" t="e">
        <f ca="1">_xll.BDH($C$203,"TOTAL_DEBT_5_YEAR_GROWTH","FQ4 2017","FQ4 2017","Currency=INR","Period=FQ","BEST_FPERIOD_OVERRIDE=FQ","FILING_STATUS=OR","EQY_CONSOLIDATED=Y","Sort=A","Dates=H","DateFormat=P","Fill=—","Direction=H","UseDPDF=Y")</f>
        <v>#NAME?</v>
      </c>
      <c r="BB222" s="1" t="e">
        <f ca="1">_xll.BDH($C$203,"GEO_GROW_TOT_SHRHLDR_EQY","FQ4 2017","FQ4 2017","Currency=INR","Period=FQ","BEST_FPERIOD_OVERRIDE=FQ","FILING_STATUS=OR","EQY_CONSOLIDATED=Y","Sort=A","Dates=H","DateFormat=P","Fill=—","Direction=H","UseDPDF=Y")</f>
        <v>#NAME?</v>
      </c>
      <c r="BC222" s="1" t="e">
        <f ca="1">_xll.BDH($C$203,"TOTAL_CAPITAL_5_YEAR_GROWTH","FQ4 2017","FQ4 2017","Currency=INR","Period=FQ","BEST_FPERIOD_OVERRIDE=FQ","FILING_STATUS=OR","EQY_CONSOLIDATED=Y","Sort=A","Dates=H","DateFormat=P","Fill=—","Direction=H","UseDPDF=Y")</f>
        <v>#NAME?</v>
      </c>
      <c r="BD222" s="1" t="e">
        <f ca="1">_xll.BDH($C$203,"GEO_GROW_BOOK_VAL","FQ4 2017","FQ4 2017","Currency=INR","Period=FQ","BEST_FPERIOD_OVERRIDE=FQ","FILING_STATUS=OR","EQY_CONSOLIDATED=Y","Sort=A","Dates=H","DateFormat=P","Fill=—","Direction=H","UseDPDF=Y")</f>
        <v>#NAME?</v>
      </c>
      <c r="BE222" s="1" t="e">
        <f ca="1">_xll.BDH($C$203,"GEO_GROW_CASH_OPER_ACT","FQ4 2017","FQ4 2017","Currency=INR","Period=FQ","BEST_FPERIOD_OVERRIDE=FQ","FILING_STATUS=OR","EQY_CONSOLIDATED=Y","Sort=A","Dates=H","DateFormat=P","Fill=—","Direction=H","UseDPDF=Y")</f>
        <v>#NAME?</v>
      </c>
      <c r="BF222" s="1" t="e">
        <f ca="1">_xll.BDH($C$203,"REVENUE_SEQUENTIAL_GROWTH","FQ4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22" s="1" t="e">
        <f ca="1">_xll.BDH($C$203,"EBITDA_SEQUENTIAL_GROWTH","FQ4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22" s="1" t="e">
        <f ca="1">_xll.BDH($C$203,"OPERATING_INCOME_SEQ_GROWTH","FQ4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22" s="1" t="e">
        <f ca="1">_xll.BDH($C$203,"NET_INCOME_TO_COMMON_SEQ_GROWTH","FQ4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22" s="1" t="e">
        <f ca="1">_xll.BDH($C$203,"EPS_DILUTED_SEQUENTIAL_GROWTH","FQ4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22" s="1" t="e">
        <f ca="1">_xll.BDH($C$203,"DPS_SEQUENTIAL_GROWTH","FQ4 2017","FQ4 2017","Currency=INR","Period=FQ","BEST_FPERIOD_OVERRIDE=FQ","FILING_STATUS=OR","EQY_CONSOLIDATED=Y","Sort=A","Dates=H","DateFormat=P","Fill=—","Direction=H","UseDPDF=Y")</f>
        <v>#NAME?</v>
      </c>
      <c r="BL222" s="1" t="e">
        <f ca="1">_xll.BDH($C$203,"ACCOUNTS_RECEIVABLE_SEQ_GROWTH","FQ4 2017","FQ4 2017","Currency=INR","Period=FQ","BEST_FPERIOD_OVERRIDE=FQ","FILING_STATUS=OR","EQY_CONSOLIDATED=Y","Sort=A","Dates=H","DateFormat=P","Fill=—","Direction=H","UseDPDF=Y")</f>
        <v>#NAME?</v>
      </c>
      <c r="BM222" s="1" t="e">
        <f ca="1">_xll.BDH($C$203,"INVENTORY_SEQUENTIAL_GROWTH","FQ4 2017","FQ4 2017","Currency=INR","Period=FQ","BEST_FPERIOD_OVERRIDE=FQ","FILING_STATUS=OR","EQY_CONSOLIDATED=Y","Sort=A","Dates=H","DateFormat=P","Fill=—","Direction=H","UseDPDF=Y")</f>
        <v>#NAME?</v>
      </c>
      <c r="BN222" s="1" t="e">
        <f ca="1">_xll.BDH($C$203,"FIXED_ASSETS_SEQUENTIAL_GROWTH","FQ4 2017","FQ4 2017","Currency=INR","Period=FQ","BEST_FPERIOD_OVERRIDE=FQ","FILING_STATUS=OR","EQY_CONSOLIDATED=Y","Sort=A","Dates=H","DateFormat=P","Fill=—","Direction=H","UseDPDF=Y")</f>
        <v>#NAME?</v>
      </c>
      <c r="BO222" s="1" t="e">
        <f ca="1">_xll.BDH($C$203,"TOTAL_ASSETS_SEQUENTIAL_GROWTH","FQ4 2017","FQ4 2017","Currency=INR","Period=FQ","BEST_FPERIOD_OVERRIDE=FQ","FILING_STATUS=OR","EQY_CONSOLIDATED=Y","Sort=A","Dates=H","DateFormat=P","Fill=—","Direction=H","UseDPDF=Y")</f>
        <v>#NAME?</v>
      </c>
      <c r="BP222" s="1" t="e">
        <f ca="1">_xll.BDH($C$203,"MODIFIED_WORKING_CPTL_SEQ_GRWTH","FQ4 2017","FQ4 2017","Currency=INR","Period=FQ","BEST_FPERIOD_OVERRIDE=FQ","FILING_STATUS=OR","EQY_CONSOLIDATED=Y","Sort=A","Dates=H","DateFormat=P","Fill=—","Direction=H","UseDPDF=Y")</f>
        <v>#NAME?</v>
      </c>
      <c r="BQ222" s="1" t="e">
        <f ca="1">_xll.BDH($C$203,"WORKING_CAPITAL_SEQ_GROWTH","FQ4 2017","FQ4 2017","Currency=INR","Period=FQ","BEST_FPERIOD_OVERRIDE=FQ","FILING_STATUS=OR","EQY_CONSOLIDATED=Y","Sort=A","Dates=H","DateFormat=P","Fill=—","Direction=H","UseDPDF=Y")</f>
        <v>#NAME?</v>
      </c>
      <c r="BR222" s="1" t="e">
        <f ca="1">_xll.BDH($C$203,"ACCOUNTS_PAYABLE_SEQ_GROWTH","FQ4 2017","FQ4 2017","Currency=INR","Period=FQ","BEST_FPERIOD_OVERRIDE=FQ","FILING_STATUS=OR","EQY_CONSOLIDATED=Y","Sort=A","Dates=H","DateFormat=P","Fill=—","Direction=H","UseDPDF=Y")</f>
        <v>#NAME?</v>
      </c>
      <c r="BS222" s="1" t="e">
        <f ca="1">_xll.BDH($C$203,"ST_DEBT_SEQUENTIAL_GROWTH","FQ4 2017","FQ4 2017","Currency=INR","Period=FQ","BEST_FPERIOD_OVERRIDE=FQ","FILING_STATUS=OR","EQY_CONSOLIDATED=Y","Sort=A","Dates=H","DateFormat=P","Fill=—","Direction=H","UseDPDF=Y")</f>
        <v>#NAME?</v>
      </c>
      <c r="BT222" s="1" t="e">
        <f ca="1">_xll.BDH($C$203,"TOTAL_DEBT_SEQUENTIAL_GROWTH","FQ4 2017","FQ4 2017","Currency=INR","Period=FQ","BEST_FPERIOD_OVERRIDE=FQ","FILING_STATUS=OR","EQY_CONSOLIDATED=Y","Sort=A","Dates=H","DateFormat=P","Fill=—","Direction=H","UseDPDF=Y")</f>
        <v>#NAME?</v>
      </c>
      <c r="BU222" s="1" t="e">
        <f ca="1">_xll.BDH($C$203,"TOTAL_EQUITY_SEQUENTIAL_GROWTH","FQ4 2017","FQ4 2017","Currency=INR","Period=FQ","BEST_FPERIOD_OVERRIDE=FQ","FILING_STATUS=OR","EQY_CONSOLIDATED=Y","Sort=A","Dates=H","DateFormat=P","Fill=—","Direction=H","UseDPDF=Y")</f>
        <v>#NAME?</v>
      </c>
      <c r="BV222" s="1" t="e">
        <f ca="1">_xll.BDH($C$203,"TOTAL_CAPITAL_SEQUENTIAL_GROWTH","FQ4 2017","FQ4 2017","Currency=INR","Period=FQ","BEST_FPERIOD_OVERRIDE=FQ","FILING_STATUS=OR","EQY_CONSOLIDATED=Y","Sort=A","Dates=H","DateFormat=P","Fill=—","Direction=H","UseDPDF=Y")</f>
        <v>#NAME?</v>
      </c>
      <c r="BW222" s="1" t="e">
        <f ca="1">_xll.BDH($C$203,"BPS_SEQUENTIAL_GROWTH","FQ4 2017","FQ4 2017","Currency=INR","Period=FQ","BEST_FPERIOD_OVERRIDE=FQ","FILING_STATUS=OR","EQY_CONSOLIDATED=Y","Sort=A","Dates=H","DateFormat=P","Fill=—","Direction=H","UseDPDF=Y")</f>
        <v>#NAME?</v>
      </c>
      <c r="BX222" s="1" t="e">
        <f ca="1">_xll.BDH($C$203,"CFO_SEQUENTIAL_GROWTH","FQ4 2017","FQ4 2017","Currency=INR","Period=FQ","BEST_FPERIOD_OVERRIDE=FQ","FILING_STATUS=OR","EQY_CONSOLIDATED=Y","Sort=A","Dates=H","DateFormat=P","Fill=—","Direction=H","UseDPDF=Y")</f>
        <v>#NAME?</v>
      </c>
      <c r="BY222" s="2" t="e">
        <f ca="1">_xll.BDH($C$203,"SHORT_AND_LONG_TERM_DEBT","FQ4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22" s="2" t="e">
        <f ca="1">_xll.BDH($C$203,"BS_ST_BORROW","FQ4 2017","FQ4 2017","Currency=INR","Period=FQ","BEST_FPERIOD_OVERRIDE=FQ","FILING_STATUS=OR","EQY_CONSOLIDATED=Y","SCALING_FORMAT=MLN","Sort=A","Dates=H","DateFormat=P","Fill=—","Direction=H","UseDPDF=Y")</f>
        <v>#NAME?</v>
      </c>
      <c r="CA222" s="2" t="e">
        <f ca="1">_xll.BDH($C$203,"BS_LT_BORROW","FQ4 2017","FQ4 2017","Currency=INR","Period=FQ","BEST_FPERIOD_OVERRIDE=FQ","FILING_STATUS=OR","EQY_CONSOLIDATED=Y","SCALING_FORMAT=MLN","Sort=A","Dates=H","DateFormat=P","Fill=—","Direction=H","UseDPDF=Y")</f>
        <v>#NAME?</v>
      </c>
      <c r="CB222" s="1" t="e">
        <f ca="1">_xll.BDH($C$203,"TOT_DEBT_TO_EBITDA","FQ4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22" s="1" t="e">
        <f ca="1">_xll.BDH($C$203,"NET_DEBT_TO_EBITDA","FQ4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22" s="1" t="e">
        <f ca="1">_xll.BDH($C$203,"TOTAL_DEBT_TO_EBIT","FQ4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22" s="1" t="e">
        <f ca="1">_xll.BDH($C$203,"NET_DEBT_TO_EBIT","FQ4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222" s="1" t="e">
        <f ca="1">_xll.BDH($C$203,"EBITDA_TO_INTEREST_EXPN","FQ4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22" s="1" t="e">
        <f ca="1">_xll.BDH($C$203,"COM_EQY_TO_TOT_ASSET","FQ4 2017","FQ4 2017","Currency=INR","Period=FQ","BEST_FPERIOD_OVERRIDE=FQ","FILING_STATUS=OR","EQY_CONSOLIDATED=Y","Sort=A","Dates=H","DateFormat=P","Fill=—","Direction=H","UseDPDF=Y")</f>
        <v>#NAME?</v>
      </c>
      <c r="CH222" s="1" t="e">
        <f ca="1">_xll.BDH($C$203,"LT_DEBT_TO_TOT_EQY","FQ4 2017","FQ4 2017","Currency=INR","Period=FQ","BEST_FPERIOD_OVERRIDE=FQ","FILING_STATUS=OR","EQY_CONSOLIDATED=Y","Sort=A","Dates=H","DateFormat=P","Fill=—","Direction=H","UseDPDF=Y")</f>
        <v>#NAME?</v>
      </c>
      <c r="CI222" s="1" t="e">
        <f ca="1">_xll.BDH($C$203,"LT_DEBT_TO_TOT_CAP","FQ4 2017","FQ4 2017","Currency=INR","Period=FQ","BEST_FPERIOD_OVERRIDE=FQ","FILING_STATUS=OR","EQY_CONSOLIDATED=Y","Sort=A","Dates=H","DateFormat=P","Fill=—","Direction=H","UseDPDF=Y")</f>
        <v>#NAME?</v>
      </c>
      <c r="CJ222" s="1" t="e">
        <f ca="1">_xll.BDH($C$203,"LT_DEBT_TO_TOT_ASSET","FQ4 2017","FQ4 2017","Currency=INR","Period=FQ","BEST_FPERIOD_OVERRIDE=FQ","FILING_STATUS=OR","EQY_CONSOLIDATED=Y","Sort=A","Dates=H","DateFormat=P","Fill=—","Direction=H","UseDPDF=Y")</f>
        <v>#NAME?</v>
      </c>
      <c r="CK222" s="1" t="e">
        <f ca="1">_xll.BDH($C$203,"TOT_DEBT_TO_TOT_EQY","FQ4 2017","FQ4 2017","Currency=INR","Period=FQ","BEST_FPERIOD_OVERRIDE=FQ","FILING_STATUS=OR","EQY_CONSOLIDATED=Y","Sort=A","Dates=H","DateFormat=P","Fill=—","Direction=H","UseDPDF=Y")</f>
        <v>#NAME?</v>
      </c>
      <c r="CL222" s="1" t="e">
        <f ca="1">_xll.BDH($C$203,"TOT_DEBT_TO_TOT_CAP","FQ4 2017","FQ4 2017","Currency=INR","Period=FQ","BEST_FPERIOD_OVERRIDE=FQ","FILING_STATUS=OR","EQY_CONSOLIDATED=Y","Sort=A","Dates=H","DateFormat=P","Fill=—","Direction=H","UseDPDF=Y")</f>
        <v>#NAME?</v>
      </c>
      <c r="CM222" s="1" t="e">
        <f ca="1">_xll.BDH($C$203,"TOT_DEBT_TO_TOT_ASSET","FQ4 2017","FQ4 2017","Currency=INR","Period=FQ","BEST_FPERIOD_OVERRIDE=FQ","FILING_STATUS=OR","EQY_CONSOLIDATED=Y","Sort=A","Dates=H","DateFormat=P","Fill=—","Direction=H","UseDPDF=Y")</f>
        <v>#NAME?</v>
      </c>
      <c r="CN222" s="1" t="e">
        <f ca="1">_xll.BDH($C$203,"NET_DEBT_TO_SHRHLDR_EQTY","FQ4 2017","FQ4 2017","Currency=INR","Period=FQ","BEST_FPERIOD_OVERRIDE=FQ","FILING_STATUS=OR","EQY_CONSOLIDATED=Y","Sort=A","Dates=H","DateFormat=P","Fill=—","Direction=H","UseDPDF=Y")</f>
        <v>#NAME?</v>
      </c>
      <c r="CO222" s="1" t="e">
        <f ca="1">_xll.BDH($C$203,"NET_DEBT_%_CAPITAL","FQ4 2017","FQ4 2017","Currency=INR","Period=FQ","BEST_FPERIOD_OVERRIDE=FQ","FILING_STATUS=OR","EQY_CONSOLIDATED=Y","Sort=A","Dates=H","DateFormat=P","Fill=—","Direction=H","UseDPDF=Y")</f>
        <v>#NAME?</v>
      </c>
      <c r="CP222" s="2" t="e">
        <f ca="1">_xll.BDH($C$203,"EBITDA","FQ4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22" s="2" t="e">
        <f ca="1">_xll.BDH($C$203,"EBITDA_AFTER_CAPEX","FQ4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22" s="2" t="e">
        <f ca="1">_xll.BDH($C$203,"IS_OPER_INC","FQ4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22" s="1" t="e">
        <f ca="1">_xll.BDH($C$203,"CASH_RATIO","FQ4 2017","FQ4 2017","Currency=INR","Period=FQ","BEST_FPERIOD_OVERRIDE=FQ","FILING_STATUS=OR","EQY_CONSOLIDATED=Y","Sort=A","Dates=H","DateFormat=P","Fill=—","Direction=H","UseDPDF=Y")</f>
        <v>#NAME?</v>
      </c>
      <c r="CT222" s="1" t="e">
        <f ca="1">_xll.BDH($C$203,"CUR_RATIO","FQ4 2017","FQ4 2017","Currency=INR","Period=FQ","BEST_FPERIOD_OVERRIDE=FQ","FILING_STATUS=OR","EQY_CONSOLIDATED=Y","Sort=A","Dates=H","DateFormat=P","Fill=—","Direction=H","UseDPDF=Y")</f>
        <v>#NAME?</v>
      </c>
      <c r="CU222" s="1" t="e">
        <f ca="1">_xll.BDH($C$203,"QUICK_RATIO","FQ4 2017","FQ4 2017","Currency=INR","Period=FQ","BEST_FPERIOD_OVERRIDE=FQ","FILING_STATUS=OR","EQY_CONSOLIDATED=Y","Sort=A","Dates=H","DateFormat=P","Fill=—","Direction=H","UseDPDF=Y")</f>
        <v>#NAME?</v>
      </c>
      <c r="CV222" s="1" t="e">
        <f ca="1">_xll.BDH($C$203,"ALTMAN_Z_SCORE","FQ4 2017","FQ4 2017","Currency=INR","Period=FQ","BEST_FPERIOD_OVERRIDE=FQ","FILING_STATUS=OR","EQY_CONSOLIDATED=Y","Sort=A","Dates=H","DateFormat=P","Fill=—","Direction=H","UseDPDF=Y")</f>
        <v>#NAME?</v>
      </c>
      <c r="CW222" s="3" t="e">
        <f ca="1">_xll.BDH($C$203,"ACCT_RCV_TURN","FQ4 2017","FQ4 2017","Currency=INR","Period=FQ","BEST_FPERIOD_OVERRIDE=FQ","FILING_STATUS=OR","EQY_CONSOLIDATED=Y","FA_ADJUSTED=GAAP","Sort=A","Dates=H","DateFormat=P","Fill=—","Direction=H","UseDPDF=Y")</f>
        <v>#NAME?</v>
      </c>
      <c r="CX222" s="1" t="e">
        <f ca="1">_xll.BDH($C$203,"ACCT_RCV_DAYS","FQ4 2017","FQ4 2017","Currency=INR","Period=FQ","BEST_FPERIOD_OVERRIDE=FQ","FILING_STATUS=OR","EQY_CONSOLIDATED=Y","FA_ADJUSTED=GAAP","Sort=A","Dates=H","DateFormat=P","Fill=—","Direction=H","UseDPDF=Y")</f>
        <v>#NAME?</v>
      </c>
      <c r="CY222" s="3" t="e">
        <f ca="1">_xll.BDH($C$203,"INVENT_TURN","FQ4 2017","FQ4 2017","Currency=INR","Period=FQ","BEST_FPERIOD_OVERRIDE=FQ","FILING_STATUS=OR","EQY_CONSOLIDATED=Y","FA_ADJUSTED=GAAP","Sort=A","Dates=H","DateFormat=P","Fill=—","Direction=H","UseDPDF=Y")</f>
        <v>#NAME?</v>
      </c>
      <c r="CZ222" s="1" t="e">
        <f ca="1">_xll.BDH($C$203,"INVENT_DAYS","FQ4 2017","FQ4 2017","Currency=INR","Period=FQ","BEST_FPERIOD_OVERRIDE=FQ","FILING_STATUS=OR","EQY_CONSOLIDATED=Y","FA_ADJUSTED=GAAP","Sort=A","Dates=H","DateFormat=P","Fill=—","Direction=H","UseDPDF=Y")</f>
        <v>#NAME?</v>
      </c>
      <c r="DA222" s="3" t="e">
        <f ca="1">_xll.BDH($C$203,"ACCOUNTS_PAYABLE_TURNOVER","FQ4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22" s="1" t="e">
        <f ca="1">_xll.BDH($C$203,"ACCOUNTS_PAYABLE_TURNOVER_DAYS","FQ4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22" s="3" t="e">
        <f ca="1">_xll.BDH($C$203,"CASH_CONVERSION_CYCLE","FQ4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22" s="3" t="e">
        <f ca="1">_xll.BDH($C$203,"INV_TO_CASH_DAYS","FQ4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222" s="4" t="e">
        <f ca="1">_xll.BDH($C$203,"BS_INVENTORIES","FQ4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222" s="2" t="e">
        <f ca="1">_xll.BDH($C$203,"INVTRY_RAW_MATERIALS","FQ4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22" s="2" t="e">
        <f ca="1">_xll.BDH($C$203,"INVTRY_IN_PROGRESS","FQ4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22" s="2" t="e">
        <f ca="1">_xll.BDH($C$203,"INVTRY_FINISHED_GOODS","FQ4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22" s="2" t="e">
        <f ca="1">_xll.BDH($C$203,"BS_OTHER_INV","FQ4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23" spans="1:113" x14ac:dyDescent="0.3">
      <c r="A223" s="6"/>
      <c r="B223" s="6"/>
      <c r="C223" s="6"/>
      <c r="D223" s="6" t="s">
        <v>11</v>
      </c>
      <c r="E223" t="s">
        <v>3</v>
      </c>
      <c r="F223" t="e">
        <f ca="1">_xll.BDH($C$203,"RETURN_COM_EQY","FY 2018","FY 2018","Currency=INR","Period=FY","BEST_FPERIOD_OVERRIDE=FY","FILING_STATUS=OR","EQY_CONSOLIDATED=Y","FA_ADJUSTED=GAAP","Sort=A","Dates=H","DateFormat=P","Fill=—","Direction=H","UseDPDF=Y")</f>
        <v>#NAME?</v>
      </c>
      <c r="G223" t="e">
        <f ca="1">_xll.BDH($C$203,"RETURN_ON_ASSET","FY 2018","FY 2018","Currency=INR","Period=FY","BEST_FPERIOD_OVERRIDE=FY","FILING_STATUS=OR","EQY_CONSOLIDATED=Y","FA_ADJUSTED=GAAP","Sort=A","Dates=H","DateFormat=P","Fill=—","Direction=H","UseDPDF=Y")</f>
        <v>#NAME?</v>
      </c>
      <c r="H223" t="e">
        <f ca="1">_xll.BDH($C$203,"RETURN_ON_CAP","FY 2018","FY 2018","Currency=INR","Period=FY","BEST_FPERIOD_OVERRIDE=FY","FILING_STATUS=OR","EQY_CONSOLIDATED=Y","FA_ADJUSTED=GAAP","Sort=A","Dates=H","DateFormat=P","Fill=—","Direction=H","UseDPDF=Y")</f>
        <v>#NAME?</v>
      </c>
      <c r="I223" t="e">
        <f ca="1">_xll.BDH($C$203,"RETURN_ON_INV_CAPITAL","FY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23" t="e">
        <f ca="1">_xll.BDH($C$203,"EBITDA_TO_REVENUE","FY 2018","FY 2018","Currency=INR","Period=FY","BEST_FPERIOD_OVERRIDE=FY","FILING_STATUS=OR","EQY_CONSOLIDATED=Y","FA_ADJUSTED=GAAP","Sort=A","Dates=H","DateFormat=P","Fill=—","Direction=H","UseDPDF=Y")</f>
        <v>#NAME?</v>
      </c>
      <c r="K223" t="e">
        <f ca="1">_xll.BDH($C$203,"OPER_MARGIN","FY 2018","FY 2018","Currency=INR","Period=FY","BEST_FPERIOD_OVERRIDE=FY","FILING_STATUS=OR","EQY_CONSOLIDATED=Y","FA_ADJUSTED=GAAP","Sort=A","Dates=H","DateFormat=P","Fill=—","Direction=H","UseDPDF=Y")</f>
        <v>#NAME?</v>
      </c>
      <c r="L223" t="e">
        <f ca="1">_xll.BDH($C$203,"INCREMENTAL_OPERATING_MARGIN","FY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23" t="e">
        <f ca="1">_xll.BDH($C$203,"PRETAX_INC_TO_NET_SALES","FY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23" t="e">
        <f ca="1">_xll.BDH($C$203,"INC_BEF_XO_ITEMS_TO_NET_SALES","FY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23" t="e">
        <f ca="1">_xll.BDH($C$203,"PROF_MARGIN","FY 2018","FY 2018","Currency=INR","Period=FY","BEST_FPERIOD_OVERRIDE=FY","FILING_STATUS=OR","EQY_CONSOLIDATED=Y","FA_ADJUSTED=GAAP","Sort=A","Dates=H","DateFormat=P","Fill=—","Direction=H","UseDPDF=Y")</f>
        <v>#NAME?</v>
      </c>
      <c r="P223" t="e">
        <f ca="1">_xll.BDH($C$203,"NET_INCOME_TO_COMMON_MARGIN","FY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23" t="e">
        <f ca="1">_xll.BDH($C$203,"EFF_TAX_RATE","FY 2018","FY 2018","Currency=INR","Period=FY","BEST_FPERIOD_OVERRIDE=FY","FILING_STATUS=OR","EQY_CONSOLIDATED=Y","FA_ADJUSTED=GAAP","Sort=A","Dates=H","DateFormat=P","Fill=—","Direction=H","UseDPDF=Y")</f>
        <v>#NAME?</v>
      </c>
      <c r="R223" t="e">
        <f ca="1">_xll.BDH($C$203,"DVD_PAYOUT_RATIO","FY 2018","FY 2018","Currency=INR","Period=FY","BEST_FPERIOD_OVERRIDE=FY","FILING_STATUS=OR","EQY_CONSOLIDATED=Y","FA_ADJUSTED=GAAP","Sort=A","Dates=H","DateFormat=P","Fill=—","Direction=H","UseDPDF=Y")</f>
        <v>#NAME?</v>
      </c>
      <c r="S223" t="e">
        <f ca="1">_xll.BDH($C$203,"SUSTAIN_GROWTH_RT","FY 2018","FY 2018","Currency=INR","Period=FY","BEST_FPERIOD_OVERRIDE=FY","FILING_STATUS=OR","EQY_CONSOLIDATED=Y","FA_ADJUSTED=GAAP","Sort=A","Dates=H","DateFormat=P","Fill=—","Direction=H","UseDPDF=Y")</f>
        <v>#NAME?</v>
      </c>
      <c r="T223" s="1" t="e">
        <f ca="1">_xll.BDH($C$203,"SALES_GROWTH","FY 2018","FY 2018","Currency=INR","Period=FY","BEST_FPERIOD_OVERRIDE=FY","FILING_STATUS=OR","EQY_CONSOLIDATED=Y","FA_ADJUSTED=GAAP","Sort=A","Dates=H","DateFormat=P","Fill=—","Direction=H","UseDPDF=Y")</f>
        <v>#NAME?</v>
      </c>
      <c r="U223" s="1" t="e">
        <f ca="1">_xll.BDH($C$203,"EBITDA_GROWTH","FY 2018","FY 2018","Currency=INR","Period=FY","BEST_FPERIOD_OVERRIDE=FY","FILING_STATUS=OR","EQY_CONSOLIDATED=Y","FA_ADJUSTED=GAAP","Sort=A","Dates=H","DateFormat=P","Fill=—","Direction=H","UseDPDF=Y")</f>
        <v>#NAME?</v>
      </c>
      <c r="V223" s="1" t="e">
        <f ca="1">_xll.BDH($C$203,"OPER_INC_GROWTH","FY 2018","FY 2018","Currency=INR","Period=FY","BEST_FPERIOD_OVERRIDE=FY","FILING_STATUS=OR","EQY_CONSOLIDATED=Y","FA_ADJUSTED=GAAP","Sort=A","Dates=H","DateFormat=P","Fill=—","Direction=H","UseDPDF=Y")</f>
        <v>#NAME?</v>
      </c>
      <c r="W223" s="1" t="e">
        <f ca="1">_xll.BDH($C$203,"EARN_FOR_COM_GROWTH","FY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223" s="1" t="e">
        <f ca="1">_xll.BDH($C$203,"DILUTED_EPS_AFT_XO_ITEMS_GROWTH","FY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23" s="1" t="e">
        <f ca="1">_xll.BDH($C$203,"DIVIDEND_PER_SHARE_1_YEAR_GROWTH","FY 2018","FY 2018","Currency=INR","Period=FY","BEST_FPERIOD_OVERRIDE=FY","FILING_STATUS=OR","EQY_CONSOLIDATED=Y","Sort=A","Dates=H","DateFormat=P","Fill=—","Direction=H","UseDPDF=Y")</f>
        <v>#NAME?</v>
      </c>
      <c r="Z223" s="1" t="e">
        <f ca="1">_xll.BDH($C$203,"ACCOUNTS_RECEIVABLE_GROWTH","FY 2018","FY 2018","Currency=INR","Period=FY","BEST_FPERIOD_OVERRIDE=FY","FILING_STATUS=OR","EQY_CONSOLIDATED=Y","Sort=A","Dates=H","DateFormat=P","Fill=—","Direction=H","UseDPDF=Y")</f>
        <v>#NAME?</v>
      </c>
      <c r="AA223" s="1" t="e">
        <f ca="1">_xll.BDH($C$203,"INVENTORY_GROWTH","FY 2018","FY 2018","Currency=INR","Period=FY","BEST_FPERIOD_OVERRIDE=FY","FILING_STATUS=OR","EQY_CONSOLIDATED=Y","Sort=A","Dates=H","DateFormat=P","Fill=—","Direction=H","UseDPDF=Y")</f>
        <v>#NAME?</v>
      </c>
      <c r="AB223" s="1" t="e">
        <f ca="1">_xll.BDH($C$203,"NET_FIXED_ASSETS_1_YEAR_GROWTH","FY 2018","FY 2018","Currency=INR","Period=FY","BEST_FPERIOD_OVERRIDE=FY","FILING_STATUS=OR","EQY_CONSOLIDATED=Y","Sort=A","Dates=H","DateFormat=P","Fill=—","Direction=H","UseDPDF=Y")</f>
        <v>#NAME?</v>
      </c>
      <c r="AC223" s="1" t="e">
        <f ca="1">_xll.BDH($C$203,"ASSET_GROWTH","FY 2018","FY 2018","Currency=INR","Period=FY","BEST_FPERIOD_OVERRIDE=FY","FILING_STATUS=OR","EQY_CONSOLIDATED=Y","Sort=A","Dates=H","DateFormat=P","Fill=—","Direction=H","UseDPDF=Y")</f>
        <v>#NAME?</v>
      </c>
      <c r="AD223" s="1" t="e">
        <f ca="1">_xll.BDH($C$203,"MODIFIED_WORK_CAP_GROWTH","FY 2018","FY 2018","Currency=INR","Period=FY","BEST_FPERIOD_OVERRIDE=FY","FILING_STATUS=OR","EQY_CONSOLIDATED=Y","Sort=A","Dates=H","DateFormat=P","Fill=—","Direction=H","UseDPDF=Y")</f>
        <v>#NAME?</v>
      </c>
      <c r="AE223" s="1" t="e">
        <f ca="1">_xll.BDH($C$203,"WORK_CAP_GROWTH","FY 2018","FY 2018","Currency=INR","Period=FY","BEST_FPERIOD_OVERRIDE=FY","FILING_STATUS=OR","EQY_CONSOLIDATED=Y","Sort=A","Dates=H","DateFormat=P","Fill=—","Direction=H","UseDPDF=Y")</f>
        <v>#NAME?</v>
      </c>
      <c r="AF223" s="1" t="e">
        <f ca="1">_xll.BDH($C$203,"ACCOUNTS_PAYABLE_GROWTH_1YR","FY 2018","FY 2018","Currency=INR","Period=FY","BEST_FPERIOD_OVERRIDE=FY","FILING_STATUS=OR","EQY_CONSOLIDATED=Y","Sort=A","Dates=H","DateFormat=P","Fill=—","Direction=H","UseDPDF=Y")</f>
        <v>#NAME?</v>
      </c>
      <c r="AG223" s="1" t="e">
        <f ca="1">_xll.BDH($C$203,"SHORT_TERM_DEBT_1_YEAR_GROWTH","FY 2018","FY 2018","Currency=INR","Period=FY","BEST_FPERIOD_OVERRIDE=FY","FILING_STATUS=OR","EQY_CONSOLIDATED=Y","Sort=A","Dates=H","DateFormat=P","Fill=—","Direction=H","UseDPDF=Y")</f>
        <v>#NAME?</v>
      </c>
      <c r="AH223" s="1" t="e">
        <f ca="1">_xll.BDH($C$203,"TOTAL_DEBT_1_YEAR_GROWTH","FY 2018","FY 2018","Currency=INR","Period=FY","BEST_FPERIOD_OVERRIDE=FY","FILING_STATUS=OR","EQY_CONSOLIDATED=Y","Sort=A","Dates=H","DateFormat=P","Fill=—","Direction=H","UseDPDF=Y")</f>
        <v>#NAME?</v>
      </c>
      <c r="AI223" s="1" t="e">
        <f ca="1">_xll.BDH($C$203,"TOTAL_EQUITY_1_YEAR_GROWTH","FY 2018","FY 2018","Currency=INR","Period=FY","BEST_FPERIOD_OVERRIDE=FY","FILING_STATUS=OR","EQY_CONSOLIDATED=Y","Sort=A","Dates=H","DateFormat=P","Fill=—","Direction=H","UseDPDF=Y")</f>
        <v>#NAME?</v>
      </c>
      <c r="AJ223" s="1" t="e">
        <f ca="1">_xll.BDH($C$203,"GROWTH_IN_CAP","FY 2018","FY 2018","Currency=INR","Period=FY","BEST_FPERIOD_OVERRIDE=FY","FILING_STATUS=OR","EQY_CONSOLIDATED=Y","Sort=A","Dates=H","DateFormat=P","Fill=—","Direction=H","UseDPDF=Y")</f>
        <v>#NAME?</v>
      </c>
      <c r="AK223" s="1" t="e">
        <f ca="1">_xll.BDH($C$203,"BVPS_GROWTH","FY 2018","FY 2018","Currency=INR","Period=FY","BEST_FPERIOD_OVERRIDE=FY","FILING_STATUS=OR","EQY_CONSOLIDATED=Y","Sort=A","Dates=H","DateFormat=P","Fill=—","Direction=H","UseDPDF=Y")</f>
        <v>#NAME?</v>
      </c>
      <c r="AL223" s="1" t="e">
        <f ca="1">_xll.BDH($C$203,"CASH_FLOW_GROWTH","FY 2018","FY 2018","Currency=INR","Period=FY","BEST_FPERIOD_OVERRIDE=FY","FILING_STATUS=OR","EQY_CONSOLIDATED=Y","Sort=A","Dates=H","DateFormat=P","Fill=—","Direction=H","UseDPDF=Y")</f>
        <v>#NAME?</v>
      </c>
      <c r="AM223" s="1" t="e">
        <f ca="1">_xll.BDH($C$203,"GEO_GROW_NET_SALES","FY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223" s="1" t="e">
        <f ca="1">_xll.BDH($C$203,"GEO_GROW_EBITDA","FY 2018","FY 2018","Currency=INR","Period=FY","BEST_FPERIOD_OVERRIDE=FY","FILING_STATUS=OR","EQY_CONSOLIDATED=Y","FA_ADJUSTED=GAAP","Sort=A","Dates=H","DateFormat=P","Fill=—","Direction=H","UseDPDF=Y")</f>
        <v>#NAME?</v>
      </c>
      <c r="AO223" s="1" t="e">
        <f ca="1">_xll.BDH($C$203,"GEO_GROW_OPER_INC","FY 2018","FY 2018","Currency=INR","Period=FY","BEST_FPERIOD_OVERRIDE=FY","FILING_STATUS=OR","EQY_CONSOLIDATED=Y","FA_ADJUSTED=GAAP","Sort=A","Dates=H","DateFormat=P","Fill=—","Direction=H","UseDPDF=Y")</f>
        <v>#NAME?</v>
      </c>
      <c r="AP223" s="1" t="e">
        <f ca="1">_xll.BDH($C$203,"NET_INCOME_TO_COMMON_5_YR_GROWTH","FY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23" s="1" t="e">
        <f ca="1">_xll.BDH($C$203,"5Y_GEO_GROWTH_DILUTED_EPS","FY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23" s="1" t="e">
        <f ca="1">_xll.BDH($C$203,"GEO_GROW_DVD_PER_SH","FY 2018","FY 2018","Currency=INR","Period=FY","BEST_FPERIOD_OVERRIDE=FY","FILING_STATUS=OR","EQY_CONSOLIDATED=Y","Sort=A","Dates=H","DateFormat=P","Fill=—","Direction=H","UseDPDF=Y")</f>
        <v>#NAME?</v>
      </c>
      <c r="AS223" s="1" t="e">
        <f ca="1">_xll.BDH($C$203,"ACCOUNTS_RECEIVABLE_5_YR_GROWTH","FY 2018","FY 2018","Currency=INR","Period=FY","BEST_FPERIOD_OVERRIDE=FY","FILING_STATUS=OR","EQY_CONSOLIDATED=Y","Sort=A","Dates=H","DateFormat=P","Fill=—","Direction=H","UseDPDF=Y")</f>
        <v>#NAME?</v>
      </c>
      <c r="AT223" s="1" t="e">
        <f ca="1">_xll.BDH($C$203,"INVENTORY_5_YEAR_GROWTH","FY 2018","FY 2018","Currency=INR","Period=FY","BEST_FPERIOD_OVERRIDE=FY","FILING_STATUS=OR","EQY_CONSOLIDATED=Y","Sort=A","Dates=H","DateFormat=P","Fill=—","Direction=H","UseDPDF=Y")</f>
        <v>#NAME?</v>
      </c>
      <c r="AU223" s="1" t="e">
        <f ca="1">_xll.BDH($C$203,"NET_FIXED_ASSETS_5_YEAR_GROWTH","FY 2018","FY 2018","Currency=INR","Period=FY","BEST_FPERIOD_OVERRIDE=FY","FILING_STATUS=OR","EQY_CONSOLIDATED=Y","Sort=A","Dates=H","DateFormat=P","Fill=—","Direction=H","UseDPDF=Y")</f>
        <v>#NAME?</v>
      </c>
      <c r="AV223" s="1" t="e">
        <f ca="1">_xll.BDH($C$203,"GEO_GROW_TOT_ASSET","FY 2018","FY 2018","Currency=INR","Period=FY","BEST_FPERIOD_OVERRIDE=FY","FILING_STATUS=OR","EQY_CONSOLIDATED=Y","Sort=A","Dates=H","DateFormat=P","Fill=—","Direction=H","UseDPDF=Y")</f>
        <v>#NAME?</v>
      </c>
      <c r="AW223" s="1" t="e">
        <f ca="1">_xll.BDH($C$203,"MODIFIED_WORKING_CPTL_5YR_GRWTH","FY 2018","FY 2018","Currency=INR","Period=FY","BEST_FPERIOD_OVERRIDE=FY","FILING_STATUS=OR","EQY_CONSOLIDATED=Y","Sort=A","Dates=H","DateFormat=P","Fill=—","Direction=H","UseDPDF=Y")</f>
        <v>#NAME?</v>
      </c>
      <c r="AX223" s="1" t="e">
        <f ca="1">_xll.BDH($C$203,"WORKING_CAPITAL_5_YEAR_GROWTH","FY 2018","FY 2018","Currency=INR","Period=FY","BEST_FPERIOD_OVERRIDE=FY","FILING_STATUS=OR","EQY_CONSOLIDATED=Y","Sort=A","Dates=H","DateFormat=P","Fill=—","Direction=H","UseDPDF=Y")</f>
        <v>#NAME?</v>
      </c>
      <c r="AY223" s="1" t="e">
        <f ca="1">_xll.BDH($C$203,"ACCOUNTS_PAYABLE_5_YEAR_GROWTH","FY 2018","FY 2018","Currency=INR","Period=FY","BEST_FPERIOD_OVERRIDE=FY","FILING_STATUS=OR","EQY_CONSOLIDATED=Y","Sort=A","Dates=H","DateFormat=P","Fill=—","Direction=H","UseDPDF=Y")</f>
        <v>#NAME?</v>
      </c>
      <c r="AZ223" s="1" t="e">
        <f ca="1">_xll.BDH($C$203,"SHORT_TERM_DEBT_5_YEAR_GROWTH","FY 2018","FY 2018","Currency=INR","Period=FY","BEST_FPERIOD_OVERRIDE=FY","FILING_STATUS=OR","EQY_CONSOLIDATED=Y","Sort=A","Dates=H","DateFormat=P","Fill=—","Direction=H","UseDPDF=Y")</f>
        <v>#NAME?</v>
      </c>
      <c r="BA223" s="1" t="e">
        <f ca="1">_xll.BDH($C$203,"TOTAL_DEBT_5_YEAR_GROWTH","FY 2018","FY 2018","Currency=INR","Period=FY","BEST_FPERIOD_OVERRIDE=FY","FILING_STATUS=OR","EQY_CONSOLIDATED=Y","Sort=A","Dates=H","DateFormat=P","Fill=—","Direction=H","UseDPDF=Y")</f>
        <v>#NAME?</v>
      </c>
      <c r="BB223" s="1" t="e">
        <f ca="1">_xll.BDH($C$203,"GEO_GROW_TOT_SHRHLDR_EQY","FY 2018","FY 2018","Currency=INR","Period=FY","BEST_FPERIOD_OVERRIDE=FY","FILING_STATUS=OR","EQY_CONSOLIDATED=Y","Sort=A","Dates=H","DateFormat=P","Fill=—","Direction=H","UseDPDF=Y")</f>
        <v>#NAME?</v>
      </c>
      <c r="BC223" s="1" t="e">
        <f ca="1">_xll.BDH($C$203,"TOTAL_CAPITAL_5_YEAR_GROWTH","FY 2018","FY 2018","Currency=INR","Period=FY","BEST_FPERIOD_OVERRIDE=FY","FILING_STATUS=OR","EQY_CONSOLIDATED=Y","Sort=A","Dates=H","DateFormat=P","Fill=—","Direction=H","UseDPDF=Y")</f>
        <v>#NAME?</v>
      </c>
      <c r="BD223" s="1" t="e">
        <f ca="1">_xll.BDH($C$203,"GEO_GROW_BOOK_VAL","FY 2018","FY 2018","Currency=INR","Period=FY","BEST_FPERIOD_OVERRIDE=FY","FILING_STATUS=OR","EQY_CONSOLIDATED=Y","Sort=A","Dates=H","DateFormat=P","Fill=—","Direction=H","UseDPDF=Y")</f>
        <v>#NAME?</v>
      </c>
      <c r="BE223" s="1" t="e">
        <f ca="1">_xll.BDH($C$203,"GEO_GROW_CASH_OPER_ACT","FY 2018","FY 2018","Currency=INR","Period=FY","BEST_FPERIOD_OVERRIDE=FY","FILING_STATUS=OR","EQY_CONSOLIDATED=Y","Sort=A","Dates=H","DateFormat=P","Fill=—","Direction=H","UseDPDF=Y")</f>
        <v>#NAME?</v>
      </c>
      <c r="BF223" s="1" t="e">
        <f ca="1">_xll.BDH($C$203,"REVENUE_SEQUENTIAL_GROWTH","FY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23" s="1" t="e">
        <f ca="1">_xll.BDH($C$203,"EBITDA_SEQUENTIAL_GROWTH","FY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23" s="1" t="e">
        <f ca="1">_xll.BDH($C$203,"OPERATING_INCOME_SEQ_GROWTH","FY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23" s="1" t="e">
        <f ca="1">_xll.BDH($C$203,"NET_INCOME_TO_COMMON_SEQ_GROWTH","FY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23" s="1" t="e">
        <f ca="1">_xll.BDH($C$203,"EPS_DILUTED_SEQUENTIAL_GROWTH","FY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23" s="1" t="e">
        <f ca="1">_xll.BDH($C$203,"DPS_SEQUENTIAL_GROWTH","FY 2018","FY 2018","Currency=INR","Period=FY","BEST_FPERIOD_OVERRIDE=FY","FILING_STATUS=OR","EQY_CONSOLIDATED=Y","Sort=A","Dates=H","DateFormat=P","Fill=—","Direction=H","UseDPDF=Y")</f>
        <v>#NAME?</v>
      </c>
      <c r="BL223" s="1" t="e">
        <f ca="1">_xll.BDH($C$203,"ACCOUNTS_RECEIVABLE_SEQ_GROWTH","FY 2018","FY 2018","Currency=INR","Period=FY","BEST_FPERIOD_OVERRIDE=FY","FILING_STATUS=OR","EQY_CONSOLIDATED=Y","Sort=A","Dates=H","DateFormat=P","Fill=—","Direction=H","UseDPDF=Y")</f>
        <v>#NAME?</v>
      </c>
      <c r="BM223" s="1" t="e">
        <f ca="1">_xll.BDH($C$203,"INVENTORY_SEQUENTIAL_GROWTH","FY 2018","FY 2018","Currency=INR","Period=FY","BEST_FPERIOD_OVERRIDE=FY","FILING_STATUS=OR","EQY_CONSOLIDATED=Y","Sort=A","Dates=H","DateFormat=P","Fill=—","Direction=H","UseDPDF=Y")</f>
        <v>#NAME?</v>
      </c>
      <c r="BN223" s="1" t="e">
        <f ca="1">_xll.BDH($C$203,"FIXED_ASSETS_SEQUENTIAL_GROWTH","FY 2018","FY 2018","Currency=INR","Period=FY","BEST_FPERIOD_OVERRIDE=FY","FILING_STATUS=OR","EQY_CONSOLIDATED=Y","Sort=A","Dates=H","DateFormat=P","Fill=—","Direction=H","UseDPDF=Y")</f>
        <v>#NAME?</v>
      </c>
      <c r="BO223" s="1" t="e">
        <f ca="1">_xll.BDH($C$203,"TOTAL_ASSETS_SEQUENTIAL_GROWTH","FY 2018","FY 2018","Currency=INR","Period=FY","BEST_FPERIOD_OVERRIDE=FY","FILING_STATUS=OR","EQY_CONSOLIDATED=Y","Sort=A","Dates=H","DateFormat=P","Fill=—","Direction=H","UseDPDF=Y")</f>
        <v>#NAME?</v>
      </c>
      <c r="BP223" s="1" t="e">
        <f ca="1">_xll.BDH($C$203,"MODIFIED_WORKING_CPTL_SEQ_GRWTH","FY 2018","FY 2018","Currency=INR","Period=FY","BEST_FPERIOD_OVERRIDE=FY","FILING_STATUS=OR","EQY_CONSOLIDATED=Y","Sort=A","Dates=H","DateFormat=P","Fill=—","Direction=H","UseDPDF=Y")</f>
        <v>#NAME?</v>
      </c>
      <c r="BQ223" s="1" t="e">
        <f ca="1">_xll.BDH($C$203,"WORKING_CAPITAL_SEQ_GROWTH","FY 2018","FY 2018","Currency=INR","Period=FY","BEST_FPERIOD_OVERRIDE=FY","FILING_STATUS=OR","EQY_CONSOLIDATED=Y","Sort=A","Dates=H","DateFormat=P","Fill=—","Direction=H","UseDPDF=Y")</f>
        <v>#NAME?</v>
      </c>
      <c r="BR223" s="1" t="e">
        <f ca="1">_xll.BDH($C$203,"ACCOUNTS_PAYABLE_SEQ_GROWTH","FY 2018","FY 2018","Currency=INR","Period=FY","BEST_FPERIOD_OVERRIDE=FY","FILING_STATUS=OR","EQY_CONSOLIDATED=Y","Sort=A","Dates=H","DateFormat=P","Fill=—","Direction=H","UseDPDF=Y")</f>
        <v>#NAME?</v>
      </c>
      <c r="BS223" s="1" t="e">
        <f ca="1">_xll.BDH($C$203,"ST_DEBT_SEQUENTIAL_GROWTH","FY 2018","FY 2018","Currency=INR","Period=FY","BEST_FPERIOD_OVERRIDE=FY","FILING_STATUS=OR","EQY_CONSOLIDATED=Y","Sort=A","Dates=H","DateFormat=P","Fill=—","Direction=H","UseDPDF=Y")</f>
        <v>#NAME?</v>
      </c>
      <c r="BT223" s="1" t="e">
        <f ca="1">_xll.BDH($C$203,"TOTAL_DEBT_SEQUENTIAL_GROWTH","FY 2018","FY 2018","Currency=INR","Period=FY","BEST_FPERIOD_OVERRIDE=FY","FILING_STATUS=OR","EQY_CONSOLIDATED=Y","Sort=A","Dates=H","DateFormat=P","Fill=—","Direction=H","UseDPDF=Y")</f>
        <v>#NAME?</v>
      </c>
      <c r="BU223" s="1" t="e">
        <f ca="1">_xll.BDH($C$203,"TOTAL_EQUITY_SEQUENTIAL_GROWTH","FY 2018","FY 2018","Currency=INR","Period=FY","BEST_FPERIOD_OVERRIDE=FY","FILING_STATUS=OR","EQY_CONSOLIDATED=Y","Sort=A","Dates=H","DateFormat=P","Fill=—","Direction=H","UseDPDF=Y")</f>
        <v>#NAME?</v>
      </c>
      <c r="BV223" s="1" t="e">
        <f ca="1">_xll.BDH($C$203,"TOTAL_CAPITAL_SEQUENTIAL_GROWTH","FY 2018","FY 2018","Currency=INR","Period=FY","BEST_FPERIOD_OVERRIDE=FY","FILING_STATUS=OR","EQY_CONSOLIDATED=Y","Sort=A","Dates=H","DateFormat=P","Fill=—","Direction=H","UseDPDF=Y")</f>
        <v>#NAME?</v>
      </c>
      <c r="BW223" s="1" t="e">
        <f ca="1">_xll.BDH($C$203,"BPS_SEQUENTIAL_GROWTH","FY 2018","FY 2018","Currency=INR","Period=FY","BEST_FPERIOD_OVERRIDE=FY","FILING_STATUS=OR","EQY_CONSOLIDATED=Y","Sort=A","Dates=H","DateFormat=P","Fill=—","Direction=H","UseDPDF=Y")</f>
        <v>#NAME?</v>
      </c>
      <c r="BX223" s="1" t="e">
        <f ca="1">_xll.BDH($C$203,"CFO_SEQUENTIAL_GROWTH","FY 2018","FY 2018","Currency=INR","Period=FY","BEST_FPERIOD_OVERRIDE=FY","FILING_STATUS=OR","EQY_CONSOLIDATED=Y","Sort=A","Dates=H","DateFormat=P","Fill=—","Direction=H","UseDPDF=Y")</f>
        <v>#NAME?</v>
      </c>
      <c r="BY223" s="2" t="e">
        <f ca="1">_xll.BDH($C$203,"SHORT_AND_LONG_TERM_DEBT","FY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23" s="2" t="e">
        <f ca="1">_xll.BDH($C$203,"BS_ST_BORROW","FY 2018","FY 2018","Currency=INR","Period=FY","BEST_FPERIOD_OVERRIDE=FY","FILING_STATUS=OR","EQY_CONSOLIDATED=Y","SCALING_FORMAT=MLN","Sort=A","Dates=H","DateFormat=P","Fill=—","Direction=H","UseDPDF=Y")</f>
        <v>#NAME?</v>
      </c>
      <c r="CA223" s="2" t="e">
        <f ca="1">_xll.BDH($C$203,"BS_LT_BORROW","FY 2018","FY 2018","Currency=INR","Period=FY","BEST_FPERIOD_OVERRIDE=FY","FILING_STATUS=OR","EQY_CONSOLIDATED=Y","SCALING_FORMAT=MLN","Sort=A","Dates=H","DateFormat=P","Fill=—","Direction=H","UseDPDF=Y")</f>
        <v>#NAME?</v>
      </c>
      <c r="CB223" s="1" t="e">
        <f ca="1">_xll.BDH($C$203,"TOT_DEBT_TO_EBITDA","FY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223" s="1" t="e">
        <f ca="1">_xll.BDH($C$203,"NET_DEBT_TO_EBITDA","FY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223" s="1" t="e">
        <f ca="1">_xll.BDH($C$203,"TOTAL_DEBT_TO_EBIT","FY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223" s="1" t="e">
        <f ca="1">_xll.BDH($C$203,"NET_DEBT_TO_EBIT","FY 2018","FY 2018","Currency=INR","Period=FY","BEST_FPERIOD_OVERRIDE=FY","FILING_STATUS=OR","EQY_CONSOLIDATED=Y","FA_ADJUSTED=GAAP","Sort=A","Dates=H","DateFormat=P","Fill=—","Direction=H","UseDPDF=Y")</f>
        <v>#NAME?</v>
      </c>
      <c r="CF223" s="1" t="e">
        <f ca="1">_xll.BDH($C$203,"EBITDA_TO_INTEREST_EXPN","FY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23" s="1" t="e">
        <f ca="1">_xll.BDH($C$203,"COM_EQY_TO_TOT_ASSET","FY 2018","FY 2018","Currency=INR","Period=FY","BEST_FPERIOD_OVERRIDE=FY","FILING_STATUS=OR","EQY_CONSOLIDATED=Y","Sort=A","Dates=H","DateFormat=P","Fill=—","Direction=H","UseDPDF=Y")</f>
        <v>#NAME?</v>
      </c>
      <c r="CH223" s="1" t="e">
        <f ca="1">_xll.BDH($C$203,"LT_DEBT_TO_TOT_EQY","FY 2018","FY 2018","Currency=INR","Period=FY","BEST_FPERIOD_OVERRIDE=FY","FILING_STATUS=OR","EQY_CONSOLIDATED=Y","Sort=A","Dates=H","DateFormat=P","Fill=—","Direction=H","UseDPDF=Y")</f>
        <v>#NAME?</v>
      </c>
      <c r="CI223" s="1" t="e">
        <f ca="1">_xll.BDH($C$203,"LT_DEBT_TO_TOT_CAP","FY 2018","FY 2018","Currency=INR","Period=FY","BEST_FPERIOD_OVERRIDE=FY","FILING_STATUS=OR","EQY_CONSOLIDATED=Y","Sort=A","Dates=H","DateFormat=P","Fill=—","Direction=H","UseDPDF=Y")</f>
        <v>#NAME?</v>
      </c>
      <c r="CJ223" s="1" t="e">
        <f ca="1">_xll.BDH($C$203,"LT_DEBT_TO_TOT_ASSET","FY 2018","FY 2018","Currency=INR","Period=FY","BEST_FPERIOD_OVERRIDE=FY","FILING_STATUS=OR","EQY_CONSOLIDATED=Y","Sort=A","Dates=H","DateFormat=P","Fill=—","Direction=H","UseDPDF=Y")</f>
        <v>#NAME?</v>
      </c>
      <c r="CK223" s="1" t="e">
        <f ca="1">_xll.BDH($C$203,"TOT_DEBT_TO_TOT_EQY","FY 2018","FY 2018","Currency=INR","Period=FY","BEST_FPERIOD_OVERRIDE=FY","FILING_STATUS=OR","EQY_CONSOLIDATED=Y","Sort=A","Dates=H","DateFormat=P","Fill=—","Direction=H","UseDPDF=Y")</f>
        <v>#NAME?</v>
      </c>
      <c r="CL223" s="1" t="e">
        <f ca="1">_xll.BDH($C$203,"TOT_DEBT_TO_TOT_CAP","FY 2018","FY 2018","Currency=INR","Period=FY","BEST_FPERIOD_OVERRIDE=FY","FILING_STATUS=OR","EQY_CONSOLIDATED=Y","Sort=A","Dates=H","DateFormat=P","Fill=—","Direction=H","UseDPDF=Y")</f>
        <v>#NAME?</v>
      </c>
      <c r="CM223" s="1" t="e">
        <f ca="1">_xll.BDH($C$203,"TOT_DEBT_TO_TOT_ASSET","FY 2018","FY 2018","Currency=INR","Period=FY","BEST_FPERIOD_OVERRIDE=FY","FILING_STATUS=OR","EQY_CONSOLIDATED=Y","Sort=A","Dates=H","DateFormat=P","Fill=—","Direction=H","UseDPDF=Y")</f>
        <v>#NAME?</v>
      </c>
      <c r="CN223" s="1" t="e">
        <f ca="1">_xll.BDH($C$203,"NET_DEBT_TO_SHRHLDR_EQTY","FY 2018","FY 2018","Currency=INR","Period=FY","BEST_FPERIOD_OVERRIDE=FY","FILING_STATUS=OR","EQY_CONSOLIDATED=Y","Sort=A","Dates=H","DateFormat=P","Fill=—","Direction=H","UseDPDF=Y")</f>
        <v>#NAME?</v>
      </c>
      <c r="CO223" s="1" t="e">
        <f ca="1">_xll.BDH($C$203,"NET_DEBT_%_CAPITAL","FY 2018","FY 2018","Currency=INR","Period=FY","BEST_FPERIOD_OVERRIDE=FY","FILING_STATUS=OR","EQY_CONSOLIDATED=Y","Sort=A","Dates=H","DateFormat=P","Fill=—","Direction=H","UseDPDF=Y")</f>
        <v>#NAME?</v>
      </c>
      <c r="CP223" s="2" t="e">
        <f ca="1">_xll.BDH($C$203,"EBITDA","FY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23" s="2" t="e">
        <f ca="1">_xll.BDH($C$203,"EBITDA_AFTER_CAPEX","FY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23" s="2" t="e">
        <f ca="1">_xll.BDH($C$203,"IS_OPER_INC","FY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23" s="1" t="e">
        <f ca="1">_xll.BDH($C$203,"CASH_RATIO","FY 2018","FY 2018","Currency=INR","Period=FY","BEST_FPERIOD_OVERRIDE=FY","FILING_STATUS=OR","EQY_CONSOLIDATED=Y","Sort=A","Dates=H","DateFormat=P","Fill=—","Direction=H","UseDPDF=Y")</f>
        <v>#NAME?</v>
      </c>
      <c r="CT223" s="1" t="e">
        <f ca="1">_xll.BDH($C$203,"CUR_RATIO","FY 2018","FY 2018","Currency=INR","Period=FY","BEST_FPERIOD_OVERRIDE=FY","FILING_STATUS=OR","EQY_CONSOLIDATED=Y","Sort=A","Dates=H","DateFormat=P","Fill=—","Direction=H","UseDPDF=Y")</f>
        <v>#NAME?</v>
      </c>
      <c r="CU223" s="1" t="e">
        <f ca="1">_xll.BDH($C$203,"QUICK_RATIO","FY 2018","FY 2018","Currency=INR","Period=FY","BEST_FPERIOD_OVERRIDE=FY","FILING_STATUS=OR","EQY_CONSOLIDATED=Y","Sort=A","Dates=H","DateFormat=P","Fill=—","Direction=H","UseDPDF=Y")</f>
        <v>#NAME?</v>
      </c>
      <c r="CV223" s="1" t="e">
        <f ca="1">_xll.BDH($C$203,"ALTMAN_Z_SCORE","FY 2018","FY 2018","Currency=INR","Period=FY","BEST_FPERIOD_OVERRIDE=FY","FILING_STATUS=OR","EQY_CONSOLIDATED=Y","Sort=A","Dates=H","DateFormat=P","Fill=—","Direction=H","UseDPDF=Y")</f>
        <v>#NAME?</v>
      </c>
      <c r="CW223" s="3" t="e">
        <f ca="1">_xll.BDH($C$203,"ACCT_RCV_TURN","FY 2018","FY 2018","Currency=INR","Period=FY","BEST_FPERIOD_OVERRIDE=FY","FILING_STATUS=OR","EQY_CONSOLIDATED=Y","FA_ADJUSTED=GAAP","Sort=A","Dates=H","DateFormat=P","Fill=—","Direction=H","UseDPDF=Y")</f>
        <v>#NAME?</v>
      </c>
      <c r="CX223" s="1" t="e">
        <f ca="1">_xll.BDH($C$203,"ACCT_RCV_DAYS","FY 2018","FY 2018","Currency=INR","Period=FY","BEST_FPERIOD_OVERRIDE=FY","FILING_STATUS=OR","EQY_CONSOLIDATED=Y","FA_ADJUSTED=GAAP","Sort=A","Dates=H","DateFormat=P","Fill=—","Direction=H","UseDPDF=Y")</f>
        <v>#NAME?</v>
      </c>
      <c r="CY223" s="3" t="e">
        <f ca="1">_xll.BDH($C$203,"INVENT_TURN","FY 2018","FY 2018","Currency=INR","Period=FY","BEST_FPERIOD_OVERRIDE=FY","FILING_STATUS=OR","EQY_CONSOLIDATED=Y","FA_ADJUSTED=GAAP","Sort=A","Dates=H","DateFormat=P","Fill=—","Direction=H","UseDPDF=Y")</f>
        <v>#NAME?</v>
      </c>
      <c r="CZ223" s="1" t="e">
        <f ca="1">_xll.BDH($C$203,"INVENT_DAYS","FY 2018","FY 2018","Currency=INR","Period=FY","BEST_FPERIOD_OVERRIDE=FY","FILING_STATUS=OR","EQY_CONSOLIDATED=Y","FA_ADJUSTED=GAAP","Sort=A","Dates=H","DateFormat=P","Fill=—","Direction=H","UseDPDF=Y")</f>
        <v>#NAME?</v>
      </c>
      <c r="DA223" s="3" t="e">
        <f ca="1">_xll.BDH($C$203,"ACCOUNTS_PAYABLE_TURNOVER","FY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23" s="1" t="e">
        <f ca="1">_xll.BDH($C$203,"ACCOUNTS_PAYABLE_TURNOVER_DAYS","FY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23" s="3" t="e">
        <f ca="1">_xll.BDH($C$203,"CASH_CONVERSION_CYCLE","FY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23" s="3" t="e">
        <f ca="1">_xll.BDH($C$203,"INV_TO_CASH_DAYS","FY 2018","FY 2018","Currency=INR","Period=FY","BEST_FPERIOD_OVERRIDE=FY","FILING_STATUS=OR","EQY_CONSOLIDATED=Y","FA_ADJUSTED=GAAP","Sort=A","Dates=H","DateFormat=P","Fill=—","Direction=H","UseDPDF=Y")</f>
        <v>#NAME?</v>
      </c>
      <c r="DE223" s="4" t="e">
        <f ca="1">_xll.BDH($C$203,"BS_INVENTORIES","FY 2018","FY 2018","Currency=INR","Period=FY","BEST_FPERIOD_OVERRIDE=FY","FILING_STATUS=OR","EQY_CONSOLIDATED=Y","SCALING_FORMAT=MLN","Sort=A","Dates=H","DateFormat=P","Fill=—","Direction=H","UseDPDF=Y")</f>
        <v>#NAME?</v>
      </c>
      <c r="DF223" s="2" t="e">
        <f ca="1">_xll.BDH($C$203,"INVTRY_RAW_MATERIALS","FY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23" s="2" t="e">
        <f ca="1">_xll.BDH($C$203,"INVTRY_IN_PROGRESS","FY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23" s="2" t="e">
        <f ca="1">_xll.BDH($C$203,"INVTRY_FINISHED_GOODS","FY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23" s="2" t="e">
        <f ca="1">_xll.BDH($C$203,"BS_OTHER_INV","FY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24" spans="1:113" x14ac:dyDescent="0.3">
      <c r="A224" s="6"/>
      <c r="B224" s="6"/>
      <c r="C224" s="6"/>
      <c r="D224" s="6"/>
      <c r="E224" t="s">
        <v>4</v>
      </c>
      <c r="F224" t="e">
        <f ca="1">_xll.BDH($C$203,"RETURN_COM_EQY","FQ1 2018","FQ1 2018","Currency=INR","Period=FQ","BEST_FPERIOD_OVERRIDE=FQ","FILING_STATUS=OR","EQY_CONSOLIDATED=Y","FA_ADJUSTED=GAAP","Sort=A","Dates=H","DateFormat=P","Fill=—","Direction=H","UseDPDF=Y")</f>
        <v>#NAME?</v>
      </c>
      <c r="G224" t="e">
        <f ca="1">_xll.BDH($C$203,"RETURN_ON_ASSET","FQ1 2018","FQ1 2018","Currency=INR","Period=FQ","BEST_FPERIOD_OVERRIDE=FQ","FILING_STATUS=OR","EQY_CONSOLIDATED=Y","FA_ADJUSTED=GAAP","Sort=A","Dates=H","DateFormat=P","Fill=—","Direction=H","UseDPDF=Y")</f>
        <v>#NAME?</v>
      </c>
      <c r="H224" t="e">
        <f ca="1">_xll.BDH($C$203,"RETURN_ON_CAP","FQ1 2018","FQ1 2018","Currency=INR","Period=FQ","BEST_FPERIOD_OVERRIDE=FQ","FILING_STATUS=OR","EQY_CONSOLIDATED=Y","FA_ADJUSTED=GAAP","Sort=A","Dates=H","DateFormat=P","Fill=—","Direction=H","UseDPDF=Y")</f>
        <v>#NAME?</v>
      </c>
      <c r="I224" t="e">
        <f ca="1">_xll.BDH($C$203,"RETURN_ON_INV_CAPITAL","FQ1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24" t="e">
        <f ca="1">_xll.BDH($C$203,"EBITDA_TO_REVENUE","FQ1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224" t="e">
        <f ca="1">_xll.BDH($C$203,"OPER_MARGIN","FQ1 2018","FQ1 2018","Currency=INR","Period=FQ","BEST_FPERIOD_OVERRIDE=FQ","FILING_STATUS=OR","EQY_CONSOLIDATED=Y","FA_ADJUSTED=GAAP","Sort=A","Dates=H","DateFormat=P","Fill=—","Direction=H","UseDPDF=Y")</f>
        <v>#NAME?</v>
      </c>
      <c r="L224" t="e">
        <f ca="1">_xll.BDH($C$203,"INCREMENTAL_OPERATING_MARGIN","FQ1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24" t="e">
        <f ca="1">_xll.BDH($C$203,"PRETAX_INC_TO_NET_SALES","FQ1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24" t="e">
        <f ca="1">_xll.BDH($C$203,"INC_BEF_XO_ITEMS_TO_NET_SALES","FQ1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24" t="e">
        <f ca="1">_xll.BDH($C$203,"PROF_MARGIN","FQ1 2018","FQ1 2018","Currency=INR","Period=FQ","BEST_FPERIOD_OVERRIDE=FQ","FILING_STATUS=OR","EQY_CONSOLIDATED=Y","FA_ADJUSTED=GAAP","Sort=A","Dates=H","DateFormat=P","Fill=—","Direction=H","UseDPDF=Y")</f>
        <v>#NAME?</v>
      </c>
      <c r="P224" t="e">
        <f ca="1">_xll.BDH($C$203,"NET_INCOME_TO_COMMON_MARGIN","FQ1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24" t="e">
        <f ca="1">_xll.BDH($C$203,"EFF_TAX_RATE","FQ1 2018","FQ1 2018","Currency=INR","Period=FQ","BEST_FPERIOD_OVERRIDE=FQ","FILING_STATUS=OR","EQY_CONSOLIDATED=Y","FA_ADJUSTED=GAAP","Sort=A","Dates=H","DateFormat=P","Fill=—","Direction=H","UseDPDF=Y")</f>
        <v>#NAME?</v>
      </c>
      <c r="R224" t="e">
        <f ca="1">_xll.BDH($C$203,"DVD_PAYOUT_RATIO","FQ1 2018","FQ1 2018","Currency=INR","Period=FQ","BEST_FPERIOD_OVERRIDE=FQ","FILING_STATUS=OR","EQY_CONSOLIDATED=Y","FA_ADJUSTED=GAAP","Sort=A","Dates=H","DateFormat=P","Fill=—","Direction=H","UseDPDF=Y")</f>
        <v>#NAME?</v>
      </c>
      <c r="S224" t="e">
        <f ca="1">_xll.BDH($C$203,"SUSTAIN_GROWTH_RT","FQ1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224" s="1" t="e">
        <f ca="1">_xll.BDH($C$203,"SALES_GROWTH","FQ1 2018","FQ1 2018","Currency=INR","Period=FQ","BEST_FPERIOD_OVERRIDE=FQ","FILING_STATUS=OR","EQY_CONSOLIDATED=Y","FA_ADJUSTED=GAAP","Sort=A","Dates=H","DateFormat=P","Fill=—","Direction=H","UseDPDF=Y")</f>
        <v>#NAME?</v>
      </c>
      <c r="U224" s="1" t="e">
        <f ca="1">_xll.BDH($C$203,"EBITDA_GROWTH","FQ1 2018","FQ1 2018","Currency=INR","Period=FQ","BEST_FPERIOD_OVERRIDE=FQ","FILING_STATUS=OR","EQY_CONSOLIDATED=Y","FA_ADJUSTED=GAAP","Sort=A","Dates=H","DateFormat=P","Fill=—","Direction=H","UseDPDF=Y")</f>
        <v>#NAME?</v>
      </c>
      <c r="V224" s="1" t="e">
        <f ca="1">_xll.BDH($C$203,"OPER_INC_GROWTH","FQ1 2018","FQ1 2018","Currency=INR","Period=FQ","BEST_FPERIOD_OVERRIDE=FQ","FILING_STATUS=OR","EQY_CONSOLIDATED=Y","FA_ADJUSTED=GAAP","Sort=A","Dates=H","DateFormat=P","Fill=—","Direction=H","UseDPDF=Y")</f>
        <v>#NAME?</v>
      </c>
      <c r="W224" s="1" t="e">
        <f ca="1">_xll.BDH($C$203,"EARN_FOR_COM_GROWTH","FQ1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24" s="1" t="e">
        <f ca="1">_xll.BDH($C$203,"DILUTED_EPS_AFT_XO_ITEMS_GROWTH","FQ1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24" s="1" t="e">
        <f ca="1">_xll.BDH($C$203,"DIVIDEND_PER_SHARE_1_YEAR_GROWTH","FQ1 2018","FQ1 2018","Currency=INR","Period=FQ","BEST_FPERIOD_OVERRIDE=FQ","FILING_STATUS=OR","EQY_CONSOLIDATED=Y","Sort=A","Dates=H","DateFormat=P","Fill=—","Direction=H","UseDPDF=Y")</f>
        <v>#NAME?</v>
      </c>
      <c r="Z224" s="1" t="e">
        <f ca="1">_xll.BDH($C$203,"ACCOUNTS_RECEIVABLE_GROWTH","FQ1 2018","FQ1 2018","Currency=INR","Period=FQ","BEST_FPERIOD_OVERRIDE=FQ","FILING_STATUS=OR","EQY_CONSOLIDATED=Y","Sort=A","Dates=H","DateFormat=P","Fill=—","Direction=H","UseDPDF=Y")</f>
        <v>#NAME?</v>
      </c>
      <c r="AA224" s="1" t="e">
        <f ca="1">_xll.BDH($C$203,"INVENTORY_GROWTH","FQ1 2018","FQ1 2018","Currency=INR","Period=FQ","BEST_FPERIOD_OVERRIDE=FQ","FILING_STATUS=OR","EQY_CONSOLIDATED=Y","Sort=A","Dates=H","DateFormat=P","Fill=—","Direction=H","UseDPDF=Y")</f>
        <v>#NAME?</v>
      </c>
      <c r="AB224" s="1" t="e">
        <f ca="1">_xll.BDH($C$203,"NET_FIXED_ASSETS_1_YEAR_GROWTH","FQ1 2018","FQ1 2018","Currency=INR","Period=FQ","BEST_FPERIOD_OVERRIDE=FQ","FILING_STATUS=OR","EQY_CONSOLIDATED=Y","Sort=A","Dates=H","DateFormat=P","Fill=—","Direction=H","UseDPDF=Y")</f>
        <v>#NAME?</v>
      </c>
      <c r="AC224" s="1" t="e">
        <f ca="1">_xll.BDH($C$203,"ASSET_GROWTH","FQ1 2018","FQ1 2018","Currency=INR","Period=FQ","BEST_FPERIOD_OVERRIDE=FQ","FILING_STATUS=OR","EQY_CONSOLIDATED=Y","Sort=A","Dates=H","DateFormat=P","Fill=—","Direction=H","UseDPDF=Y")</f>
        <v>#NAME?</v>
      </c>
      <c r="AD224" s="1" t="e">
        <f ca="1">_xll.BDH($C$203,"MODIFIED_WORK_CAP_GROWTH","FQ1 2018","FQ1 2018","Currency=INR","Period=FQ","BEST_FPERIOD_OVERRIDE=FQ","FILING_STATUS=OR","EQY_CONSOLIDATED=Y","Sort=A","Dates=H","DateFormat=P","Fill=—","Direction=H","UseDPDF=Y")</f>
        <v>#NAME?</v>
      </c>
      <c r="AE224" s="1" t="e">
        <f ca="1">_xll.BDH($C$203,"WORK_CAP_GROWTH","FQ1 2018","FQ1 2018","Currency=INR","Period=FQ","BEST_FPERIOD_OVERRIDE=FQ","FILING_STATUS=OR","EQY_CONSOLIDATED=Y","Sort=A","Dates=H","DateFormat=P","Fill=—","Direction=H","UseDPDF=Y")</f>
        <v>#NAME?</v>
      </c>
      <c r="AF224" s="1" t="e">
        <f ca="1">_xll.BDH($C$203,"ACCOUNTS_PAYABLE_GROWTH_1YR","FQ1 2018","FQ1 2018","Currency=INR","Period=FQ","BEST_FPERIOD_OVERRIDE=FQ","FILING_STATUS=OR","EQY_CONSOLIDATED=Y","Sort=A","Dates=H","DateFormat=P","Fill=—","Direction=H","UseDPDF=Y")</f>
        <v>#NAME?</v>
      </c>
      <c r="AG224" s="1" t="e">
        <f ca="1">_xll.BDH($C$203,"SHORT_TERM_DEBT_1_YEAR_GROWTH","FQ1 2018","FQ1 2018","Currency=INR","Period=FQ","BEST_FPERIOD_OVERRIDE=FQ","FILING_STATUS=OR","EQY_CONSOLIDATED=Y","Sort=A","Dates=H","DateFormat=P","Fill=—","Direction=H","UseDPDF=Y")</f>
        <v>#NAME?</v>
      </c>
      <c r="AH224" s="1" t="e">
        <f ca="1">_xll.BDH($C$203,"TOTAL_DEBT_1_YEAR_GROWTH","FQ1 2018","FQ1 2018","Currency=INR","Period=FQ","BEST_FPERIOD_OVERRIDE=FQ","FILING_STATUS=OR","EQY_CONSOLIDATED=Y","Sort=A","Dates=H","DateFormat=P","Fill=—","Direction=H","UseDPDF=Y")</f>
        <v>#NAME?</v>
      </c>
      <c r="AI224" s="1" t="e">
        <f ca="1">_xll.BDH($C$203,"TOTAL_EQUITY_1_YEAR_GROWTH","FQ1 2018","FQ1 2018","Currency=INR","Period=FQ","BEST_FPERIOD_OVERRIDE=FQ","FILING_STATUS=OR","EQY_CONSOLIDATED=Y","Sort=A","Dates=H","DateFormat=P","Fill=—","Direction=H","UseDPDF=Y")</f>
        <v>#NAME?</v>
      </c>
      <c r="AJ224" s="1" t="e">
        <f ca="1">_xll.BDH($C$203,"GROWTH_IN_CAP","FQ1 2018","FQ1 2018","Currency=INR","Period=FQ","BEST_FPERIOD_OVERRIDE=FQ","FILING_STATUS=OR","EQY_CONSOLIDATED=Y","Sort=A","Dates=H","DateFormat=P","Fill=—","Direction=H","UseDPDF=Y")</f>
        <v>#NAME?</v>
      </c>
      <c r="AK224" s="1" t="e">
        <f ca="1">_xll.BDH($C$203,"BVPS_GROWTH","FQ1 2018","FQ1 2018","Currency=INR","Period=FQ","BEST_FPERIOD_OVERRIDE=FQ","FILING_STATUS=OR","EQY_CONSOLIDATED=Y","Sort=A","Dates=H","DateFormat=P","Fill=—","Direction=H","UseDPDF=Y")</f>
        <v>#NAME?</v>
      </c>
      <c r="AL224" s="1" t="e">
        <f ca="1">_xll.BDH($C$203,"CASH_FLOW_GROWTH","FQ1 2018","FQ1 2018","Currency=INR","Period=FQ","BEST_FPERIOD_OVERRIDE=FQ","FILING_STATUS=OR","EQY_CONSOLIDATED=Y","Sort=A","Dates=H","DateFormat=P","Fill=—","Direction=H","UseDPDF=Y")</f>
        <v>#NAME?</v>
      </c>
      <c r="AM224" s="1" t="e">
        <f ca="1">_xll.BDH($C$203,"GEO_GROW_NET_SALES","FQ1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24" s="1" t="e">
        <f ca="1">_xll.BDH($C$203,"GEO_GROW_EBITDA","FQ1 2018","FQ1 2018","Currency=INR","Period=FQ","BEST_FPERIOD_OVERRIDE=FQ","FILING_STATUS=OR","EQY_CONSOLIDATED=Y","FA_ADJUSTED=GAAP","Sort=A","Dates=H","DateFormat=P","Fill=—","Direction=H","UseDPDF=Y")</f>
        <v>#NAME?</v>
      </c>
      <c r="AO224" s="1" t="e">
        <f ca="1">_xll.BDH($C$203,"GEO_GROW_OPER_INC","FQ1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24" s="1" t="e">
        <f ca="1">_xll.BDH($C$203,"NET_INCOME_TO_COMMON_5_YR_GROWTH","FQ1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24" s="1" t="e">
        <f ca="1">_xll.BDH($C$203,"5Y_GEO_GROWTH_DILUTED_EPS","FQ1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24" s="1" t="e">
        <f ca="1">_xll.BDH($C$203,"GEO_GROW_DVD_PER_SH","FQ1 2018","FQ1 2018","Currency=INR","Period=FQ","BEST_FPERIOD_OVERRIDE=FQ","FILING_STATUS=OR","EQY_CONSOLIDATED=Y","Sort=A","Dates=H","DateFormat=P","Fill=—","Direction=H","UseDPDF=Y")</f>
        <v>#NAME?</v>
      </c>
      <c r="AS224" s="1" t="e">
        <f ca="1">_xll.BDH($C$203,"ACCOUNTS_RECEIVABLE_5_YR_GROWTH","FQ1 2018","FQ1 2018","Currency=INR","Period=FQ","BEST_FPERIOD_OVERRIDE=FQ","FILING_STATUS=OR","EQY_CONSOLIDATED=Y","Sort=A","Dates=H","DateFormat=P","Fill=—","Direction=H","UseDPDF=Y")</f>
        <v>#NAME?</v>
      </c>
      <c r="AT224" s="1" t="e">
        <f ca="1">_xll.BDH($C$203,"INVENTORY_5_YEAR_GROWTH","FQ1 2018","FQ1 2018","Currency=INR","Period=FQ","BEST_FPERIOD_OVERRIDE=FQ","FILING_STATUS=OR","EQY_CONSOLIDATED=Y","Sort=A","Dates=H","DateFormat=P","Fill=—","Direction=H","UseDPDF=Y")</f>
        <v>#NAME?</v>
      </c>
      <c r="AU224" s="1" t="e">
        <f ca="1">_xll.BDH($C$203,"NET_FIXED_ASSETS_5_YEAR_GROWTH","FQ1 2018","FQ1 2018","Currency=INR","Period=FQ","BEST_FPERIOD_OVERRIDE=FQ","FILING_STATUS=OR","EQY_CONSOLIDATED=Y","Sort=A","Dates=H","DateFormat=P","Fill=—","Direction=H","UseDPDF=Y")</f>
        <v>#NAME?</v>
      </c>
      <c r="AV224" s="1" t="e">
        <f ca="1">_xll.BDH($C$203,"GEO_GROW_TOT_ASSET","FQ1 2018","FQ1 2018","Currency=INR","Period=FQ","BEST_FPERIOD_OVERRIDE=FQ","FILING_STATUS=OR","EQY_CONSOLIDATED=Y","Sort=A","Dates=H","DateFormat=P","Fill=—","Direction=H","UseDPDF=Y")</f>
        <v>#NAME?</v>
      </c>
      <c r="AW224" s="1" t="e">
        <f ca="1">_xll.BDH($C$203,"MODIFIED_WORKING_CPTL_5YR_GRWTH","FQ1 2018","FQ1 2018","Currency=INR","Period=FQ","BEST_FPERIOD_OVERRIDE=FQ","FILING_STATUS=OR","EQY_CONSOLIDATED=Y","Sort=A","Dates=H","DateFormat=P","Fill=—","Direction=H","UseDPDF=Y")</f>
        <v>#NAME?</v>
      </c>
      <c r="AX224" s="1" t="e">
        <f ca="1">_xll.BDH($C$203,"WORKING_CAPITAL_5_YEAR_GROWTH","FQ1 2018","FQ1 2018","Currency=INR","Period=FQ","BEST_FPERIOD_OVERRIDE=FQ","FILING_STATUS=OR","EQY_CONSOLIDATED=Y","Sort=A","Dates=H","DateFormat=P","Fill=—","Direction=H","UseDPDF=Y")</f>
        <v>#NAME?</v>
      </c>
      <c r="AY224" s="1" t="e">
        <f ca="1">_xll.BDH($C$203,"ACCOUNTS_PAYABLE_5_YEAR_GROWTH","FQ1 2018","FQ1 2018","Currency=INR","Period=FQ","BEST_FPERIOD_OVERRIDE=FQ","FILING_STATUS=OR","EQY_CONSOLIDATED=Y","Sort=A","Dates=H","DateFormat=P","Fill=—","Direction=H","UseDPDF=Y")</f>
        <v>#NAME?</v>
      </c>
      <c r="AZ224" s="1" t="e">
        <f ca="1">_xll.BDH($C$203,"SHORT_TERM_DEBT_5_YEAR_GROWTH","FQ1 2018","FQ1 2018","Currency=INR","Period=FQ","BEST_FPERIOD_OVERRIDE=FQ","FILING_STATUS=OR","EQY_CONSOLIDATED=Y","Sort=A","Dates=H","DateFormat=P","Fill=—","Direction=H","UseDPDF=Y")</f>
        <v>#NAME?</v>
      </c>
      <c r="BA224" s="1" t="e">
        <f ca="1">_xll.BDH($C$203,"TOTAL_DEBT_5_YEAR_GROWTH","FQ1 2018","FQ1 2018","Currency=INR","Period=FQ","BEST_FPERIOD_OVERRIDE=FQ","FILING_STATUS=OR","EQY_CONSOLIDATED=Y","Sort=A","Dates=H","DateFormat=P","Fill=—","Direction=H","UseDPDF=Y")</f>
        <v>#NAME?</v>
      </c>
      <c r="BB224" s="1" t="e">
        <f ca="1">_xll.BDH($C$203,"GEO_GROW_TOT_SHRHLDR_EQY","FQ1 2018","FQ1 2018","Currency=INR","Period=FQ","BEST_FPERIOD_OVERRIDE=FQ","FILING_STATUS=OR","EQY_CONSOLIDATED=Y","Sort=A","Dates=H","DateFormat=P","Fill=—","Direction=H","UseDPDF=Y")</f>
        <v>#NAME?</v>
      </c>
      <c r="BC224" s="1" t="e">
        <f ca="1">_xll.BDH($C$203,"TOTAL_CAPITAL_5_YEAR_GROWTH","FQ1 2018","FQ1 2018","Currency=INR","Period=FQ","BEST_FPERIOD_OVERRIDE=FQ","FILING_STATUS=OR","EQY_CONSOLIDATED=Y","Sort=A","Dates=H","DateFormat=P","Fill=—","Direction=H","UseDPDF=Y")</f>
        <v>#NAME?</v>
      </c>
      <c r="BD224" s="1" t="e">
        <f ca="1">_xll.BDH($C$203,"GEO_GROW_BOOK_VAL","FQ1 2018","FQ1 2018","Currency=INR","Period=FQ","BEST_FPERIOD_OVERRIDE=FQ","FILING_STATUS=OR","EQY_CONSOLIDATED=Y","Sort=A","Dates=H","DateFormat=P","Fill=—","Direction=H","UseDPDF=Y")</f>
        <v>#NAME?</v>
      </c>
      <c r="BE224" s="1" t="e">
        <f ca="1">_xll.BDH($C$203,"GEO_GROW_CASH_OPER_ACT","FQ1 2018","FQ1 2018","Currency=INR","Period=FQ","BEST_FPERIOD_OVERRIDE=FQ","FILING_STATUS=OR","EQY_CONSOLIDATED=Y","Sort=A","Dates=H","DateFormat=P","Fill=—","Direction=H","UseDPDF=Y")</f>
        <v>#NAME?</v>
      </c>
      <c r="BF224" s="1" t="e">
        <f ca="1">_xll.BDH($C$203,"REVENUE_SEQUENTIAL_GROWTH","FQ1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24" s="1" t="e">
        <f ca="1">_xll.BDH($C$203,"EBITDA_SEQUENTIAL_GROWTH","FQ1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24" s="1" t="e">
        <f ca="1">_xll.BDH($C$203,"OPERATING_INCOME_SEQ_GROWTH","FQ1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24" s="1" t="e">
        <f ca="1">_xll.BDH($C$203,"NET_INCOME_TO_COMMON_SEQ_GROWTH","FQ1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24" s="1" t="e">
        <f ca="1">_xll.BDH($C$203,"EPS_DILUTED_SEQUENTIAL_GROWTH","FQ1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24" s="1" t="e">
        <f ca="1">_xll.BDH($C$203,"DPS_SEQUENTIAL_GROWTH","FQ1 2018","FQ1 2018","Currency=INR","Period=FQ","BEST_FPERIOD_OVERRIDE=FQ","FILING_STATUS=OR","EQY_CONSOLIDATED=Y","Sort=A","Dates=H","DateFormat=P","Fill=—","Direction=H","UseDPDF=Y")</f>
        <v>#NAME?</v>
      </c>
      <c r="BL224" s="1" t="e">
        <f ca="1">_xll.BDH($C$203,"ACCOUNTS_RECEIVABLE_SEQ_GROWTH","FQ1 2018","FQ1 2018","Currency=INR","Period=FQ","BEST_FPERIOD_OVERRIDE=FQ","FILING_STATUS=OR","EQY_CONSOLIDATED=Y","Sort=A","Dates=H","DateFormat=P","Fill=—","Direction=H","UseDPDF=Y")</f>
        <v>#NAME?</v>
      </c>
      <c r="BM224" s="1" t="e">
        <f ca="1">_xll.BDH($C$203,"INVENTORY_SEQUENTIAL_GROWTH","FQ1 2018","FQ1 2018","Currency=INR","Period=FQ","BEST_FPERIOD_OVERRIDE=FQ","FILING_STATUS=OR","EQY_CONSOLIDATED=Y","Sort=A","Dates=H","DateFormat=P","Fill=—","Direction=H","UseDPDF=Y")</f>
        <v>#NAME?</v>
      </c>
      <c r="BN224" s="1" t="e">
        <f ca="1">_xll.BDH($C$203,"FIXED_ASSETS_SEQUENTIAL_GROWTH","FQ1 2018","FQ1 2018","Currency=INR","Period=FQ","BEST_FPERIOD_OVERRIDE=FQ","FILING_STATUS=OR","EQY_CONSOLIDATED=Y","Sort=A","Dates=H","DateFormat=P","Fill=—","Direction=H","UseDPDF=Y")</f>
        <v>#NAME?</v>
      </c>
      <c r="BO224" s="1" t="e">
        <f ca="1">_xll.BDH($C$203,"TOTAL_ASSETS_SEQUENTIAL_GROWTH","FQ1 2018","FQ1 2018","Currency=INR","Period=FQ","BEST_FPERIOD_OVERRIDE=FQ","FILING_STATUS=OR","EQY_CONSOLIDATED=Y","Sort=A","Dates=H","DateFormat=P","Fill=—","Direction=H","UseDPDF=Y")</f>
        <v>#NAME?</v>
      </c>
      <c r="BP224" s="1" t="e">
        <f ca="1">_xll.BDH($C$203,"MODIFIED_WORKING_CPTL_SEQ_GRWTH","FQ1 2018","FQ1 2018","Currency=INR","Period=FQ","BEST_FPERIOD_OVERRIDE=FQ","FILING_STATUS=OR","EQY_CONSOLIDATED=Y","Sort=A","Dates=H","DateFormat=P","Fill=—","Direction=H","UseDPDF=Y")</f>
        <v>#NAME?</v>
      </c>
      <c r="BQ224" s="1" t="e">
        <f ca="1">_xll.BDH($C$203,"WORKING_CAPITAL_SEQ_GROWTH","FQ1 2018","FQ1 2018","Currency=INR","Period=FQ","BEST_FPERIOD_OVERRIDE=FQ","FILING_STATUS=OR","EQY_CONSOLIDATED=Y","Sort=A","Dates=H","DateFormat=P","Fill=—","Direction=H","UseDPDF=Y")</f>
        <v>#NAME?</v>
      </c>
      <c r="BR224" s="1" t="e">
        <f ca="1">_xll.BDH($C$203,"ACCOUNTS_PAYABLE_SEQ_GROWTH","FQ1 2018","FQ1 2018","Currency=INR","Period=FQ","BEST_FPERIOD_OVERRIDE=FQ","FILING_STATUS=OR","EQY_CONSOLIDATED=Y","Sort=A","Dates=H","DateFormat=P","Fill=—","Direction=H","UseDPDF=Y")</f>
        <v>#NAME?</v>
      </c>
      <c r="BS224" s="1" t="e">
        <f ca="1">_xll.BDH($C$203,"ST_DEBT_SEQUENTIAL_GROWTH","FQ1 2018","FQ1 2018","Currency=INR","Period=FQ","BEST_FPERIOD_OVERRIDE=FQ","FILING_STATUS=OR","EQY_CONSOLIDATED=Y","Sort=A","Dates=H","DateFormat=P","Fill=—","Direction=H","UseDPDF=Y")</f>
        <v>#NAME?</v>
      </c>
      <c r="BT224" s="1" t="e">
        <f ca="1">_xll.BDH($C$203,"TOTAL_DEBT_SEQUENTIAL_GROWTH","FQ1 2018","FQ1 2018","Currency=INR","Period=FQ","BEST_FPERIOD_OVERRIDE=FQ","FILING_STATUS=OR","EQY_CONSOLIDATED=Y","Sort=A","Dates=H","DateFormat=P","Fill=—","Direction=H","UseDPDF=Y")</f>
        <v>#NAME?</v>
      </c>
      <c r="BU224" s="1" t="e">
        <f ca="1">_xll.BDH($C$203,"TOTAL_EQUITY_SEQUENTIAL_GROWTH","FQ1 2018","FQ1 2018","Currency=INR","Period=FQ","BEST_FPERIOD_OVERRIDE=FQ","FILING_STATUS=OR","EQY_CONSOLIDATED=Y","Sort=A","Dates=H","DateFormat=P","Fill=—","Direction=H","UseDPDF=Y")</f>
        <v>#NAME?</v>
      </c>
      <c r="BV224" s="1" t="e">
        <f ca="1">_xll.BDH($C$203,"TOTAL_CAPITAL_SEQUENTIAL_GROWTH","FQ1 2018","FQ1 2018","Currency=INR","Period=FQ","BEST_FPERIOD_OVERRIDE=FQ","FILING_STATUS=OR","EQY_CONSOLIDATED=Y","Sort=A","Dates=H","DateFormat=P","Fill=—","Direction=H","UseDPDF=Y")</f>
        <v>#NAME?</v>
      </c>
      <c r="BW224" s="1" t="e">
        <f ca="1">_xll.BDH($C$203,"BPS_SEQUENTIAL_GROWTH","FQ1 2018","FQ1 2018","Currency=INR","Period=FQ","BEST_FPERIOD_OVERRIDE=FQ","FILING_STATUS=OR","EQY_CONSOLIDATED=Y","Sort=A","Dates=H","DateFormat=P","Fill=—","Direction=H","UseDPDF=Y")</f>
        <v>#NAME?</v>
      </c>
      <c r="BX224" s="1" t="e">
        <f ca="1">_xll.BDH($C$203,"CFO_SEQUENTIAL_GROWTH","FQ1 2018","FQ1 2018","Currency=INR","Period=FQ","BEST_FPERIOD_OVERRIDE=FQ","FILING_STATUS=OR","EQY_CONSOLIDATED=Y","Sort=A","Dates=H","DateFormat=P","Fill=—","Direction=H","UseDPDF=Y")</f>
        <v>#NAME?</v>
      </c>
      <c r="BY224" s="2" t="e">
        <f ca="1">_xll.BDH($C$203,"SHORT_AND_LONG_TERM_DEBT","FQ1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24" s="2" t="e">
        <f ca="1">_xll.BDH($C$203,"BS_ST_BORROW","FQ1 2018","FQ1 2018","Currency=INR","Period=FQ","BEST_FPERIOD_OVERRIDE=FQ","FILING_STATUS=OR","EQY_CONSOLIDATED=Y","SCALING_FORMAT=MLN","Sort=A","Dates=H","DateFormat=P","Fill=—","Direction=H","UseDPDF=Y")</f>
        <v>#NAME?</v>
      </c>
      <c r="CA224" s="2" t="e">
        <f ca="1">_xll.BDH($C$203,"BS_LT_BORROW","FQ1 2018","FQ1 2018","Currency=INR","Period=FQ","BEST_FPERIOD_OVERRIDE=FQ","FILING_STATUS=OR","EQY_CONSOLIDATED=Y","SCALING_FORMAT=MLN","Sort=A","Dates=H","DateFormat=P","Fill=—","Direction=H","UseDPDF=Y")</f>
        <v>#NAME?</v>
      </c>
      <c r="CB224" s="1" t="e">
        <f ca="1">_xll.BDH($C$203,"TOT_DEBT_TO_EBITDA","FQ1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24" s="1" t="e">
        <f ca="1">_xll.BDH($C$203,"NET_DEBT_TO_EBITDA","FQ1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24" s="1" t="e">
        <f ca="1">_xll.BDH($C$203,"TOTAL_DEBT_TO_EBIT","FQ1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24" s="1" t="e">
        <f ca="1">_xll.BDH($C$203,"NET_DEBT_TO_EBIT","FQ1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224" s="1" t="e">
        <f ca="1">_xll.BDH($C$203,"EBITDA_TO_INTEREST_EXPN","FQ1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24" s="1" t="e">
        <f ca="1">_xll.BDH($C$203,"COM_EQY_TO_TOT_ASSET","FQ1 2018","FQ1 2018","Currency=INR","Period=FQ","BEST_FPERIOD_OVERRIDE=FQ","FILING_STATUS=OR","EQY_CONSOLIDATED=Y","Sort=A","Dates=H","DateFormat=P","Fill=—","Direction=H","UseDPDF=Y")</f>
        <v>#NAME?</v>
      </c>
      <c r="CH224" s="1" t="e">
        <f ca="1">_xll.BDH($C$203,"LT_DEBT_TO_TOT_EQY","FQ1 2018","FQ1 2018","Currency=INR","Period=FQ","BEST_FPERIOD_OVERRIDE=FQ","FILING_STATUS=OR","EQY_CONSOLIDATED=Y","Sort=A","Dates=H","DateFormat=P","Fill=—","Direction=H","UseDPDF=Y")</f>
        <v>#NAME?</v>
      </c>
      <c r="CI224" s="1" t="e">
        <f ca="1">_xll.BDH($C$203,"LT_DEBT_TO_TOT_CAP","FQ1 2018","FQ1 2018","Currency=INR","Period=FQ","BEST_FPERIOD_OVERRIDE=FQ","FILING_STATUS=OR","EQY_CONSOLIDATED=Y","Sort=A","Dates=H","DateFormat=P","Fill=—","Direction=H","UseDPDF=Y")</f>
        <v>#NAME?</v>
      </c>
      <c r="CJ224" s="1" t="e">
        <f ca="1">_xll.BDH($C$203,"LT_DEBT_TO_TOT_ASSET","FQ1 2018","FQ1 2018","Currency=INR","Period=FQ","BEST_FPERIOD_OVERRIDE=FQ","FILING_STATUS=OR","EQY_CONSOLIDATED=Y","Sort=A","Dates=H","DateFormat=P","Fill=—","Direction=H","UseDPDF=Y")</f>
        <v>#NAME?</v>
      </c>
      <c r="CK224" s="1" t="e">
        <f ca="1">_xll.BDH($C$203,"TOT_DEBT_TO_TOT_EQY","FQ1 2018","FQ1 2018","Currency=INR","Period=FQ","BEST_FPERIOD_OVERRIDE=FQ","FILING_STATUS=OR","EQY_CONSOLIDATED=Y","Sort=A","Dates=H","DateFormat=P","Fill=—","Direction=H","UseDPDF=Y")</f>
        <v>#NAME?</v>
      </c>
      <c r="CL224" s="1" t="e">
        <f ca="1">_xll.BDH($C$203,"TOT_DEBT_TO_TOT_CAP","FQ1 2018","FQ1 2018","Currency=INR","Period=FQ","BEST_FPERIOD_OVERRIDE=FQ","FILING_STATUS=OR","EQY_CONSOLIDATED=Y","Sort=A","Dates=H","DateFormat=P","Fill=—","Direction=H","UseDPDF=Y")</f>
        <v>#NAME?</v>
      </c>
      <c r="CM224" s="1" t="e">
        <f ca="1">_xll.BDH($C$203,"TOT_DEBT_TO_TOT_ASSET","FQ1 2018","FQ1 2018","Currency=INR","Period=FQ","BEST_FPERIOD_OVERRIDE=FQ","FILING_STATUS=OR","EQY_CONSOLIDATED=Y","Sort=A","Dates=H","DateFormat=P","Fill=—","Direction=H","UseDPDF=Y")</f>
        <v>#NAME?</v>
      </c>
      <c r="CN224" s="1" t="e">
        <f ca="1">_xll.BDH($C$203,"NET_DEBT_TO_SHRHLDR_EQTY","FQ1 2018","FQ1 2018","Currency=INR","Period=FQ","BEST_FPERIOD_OVERRIDE=FQ","FILING_STATUS=OR","EQY_CONSOLIDATED=Y","Sort=A","Dates=H","DateFormat=P","Fill=—","Direction=H","UseDPDF=Y")</f>
        <v>#NAME?</v>
      </c>
      <c r="CO224" s="1" t="e">
        <f ca="1">_xll.BDH($C$203,"NET_DEBT_%_CAPITAL","FQ1 2018","FQ1 2018","Currency=INR","Period=FQ","BEST_FPERIOD_OVERRIDE=FQ","FILING_STATUS=OR","EQY_CONSOLIDATED=Y","Sort=A","Dates=H","DateFormat=P","Fill=—","Direction=H","UseDPDF=Y")</f>
        <v>#NAME?</v>
      </c>
      <c r="CP224" s="2" t="e">
        <f ca="1">_xll.BDH($C$203,"EBITDA","FQ1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24" s="2" t="e">
        <f ca="1">_xll.BDH($C$203,"EBITDA_AFTER_CAPEX","FQ1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24" s="2" t="e">
        <f ca="1">_xll.BDH($C$203,"IS_OPER_INC","FQ1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24" s="1" t="e">
        <f ca="1">_xll.BDH($C$203,"CASH_RATIO","FQ1 2018","FQ1 2018","Currency=INR","Period=FQ","BEST_FPERIOD_OVERRIDE=FQ","FILING_STATUS=OR","EQY_CONSOLIDATED=Y","Sort=A","Dates=H","DateFormat=P","Fill=—","Direction=H","UseDPDF=Y")</f>
        <v>#NAME?</v>
      </c>
      <c r="CT224" s="1" t="e">
        <f ca="1">_xll.BDH($C$203,"CUR_RATIO","FQ1 2018","FQ1 2018","Currency=INR","Period=FQ","BEST_FPERIOD_OVERRIDE=FQ","FILING_STATUS=OR","EQY_CONSOLIDATED=Y","Sort=A","Dates=H","DateFormat=P","Fill=—","Direction=H","UseDPDF=Y")</f>
        <v>#NAME?</v>
      </c>
      <c r="CU224" s="1" t="e">
        <f ca="1">_xll.BDH($C$203,"QUICK_RATIO","FQ1 2018","FQ1 2018","Currency=INR","Period=FQ","BEST_FPERIOD_OVERRIDE=FQ","FILING_STATUS=OR","EQY_CONSOLIDATED=Y","Sort=A","Dates=H","DateFormat=P","Fill=—","Direction=H","UseDPDF=Y")</f>
        <v>#NAME?</v>
      </c>
      <c r="CV224" s="1" t="e">
        <f ca="1">_xll.BDH($C$203,"ALTMAN_Z_SCORE","FQ1 2018","FQ1 2018","Currency=INR","Period=FQ","BEST_FPERIOD_OVERRIDE=FQ","FILING_STATUS=OR","EQY_CONSOLIDATED=Y","Sort=A","Dates=H","DateFormat=P","Fill=—","Direction=H","UseDPDF=Y")</f>
        <v>#NAME?</v>
      </c>
      <c r="CW224" s="3" t="e">
        <f ca="1">_xll.BDH($C$203,"ACCT_RCV_TURN","FQ1 2018","FQ1 2018","Currency=INR","Period=FQ","BEST_FPERIOD_OVERRIDE=FQ","FILING_STATUS=OR","EQY_CONSOLIDATED=Y","FA_ADJUSTED=GAAP","Sort=A","Dates=H","DateFormat=P","Fill=—","Direction=H","UseDPDF=Y")</f>
        <v>#NAME?</v>
      </c>
      <c r="CX224" s="1" t="e">
        <f ca="1">_xll.BDH($C$203,"ACCT_RCV_DAYS","FQ1 2018","FQ1 2018","Currency=INR","Period=FQ","BEST_FPERIOD_OVERRIDE=FQ","FILING_STATUS=OR","EQY_CONSOLIDATED=Y","FA_ADJUSTED=GAAP","Sort=A","Dates=H","DateFormat=P","Fill=—","Direction=H","UseDPDF=Y")</f>
        <v>#NAME?</v>
      </c>
      <c r="CY224" s="3" t="e">
        <f ca="1">_xll.BDH($C$203,"INVENT_TURN","FQ1 2018","FQ1 2018","Currency=INR","Period=FQ","BEST_FPERIOD_OVERRIDE=FQ","FILING_STATUS=OR","EQY_CONSOLIDATED=Y","FA_ADJUSTED=GAAP","Sort=A","Dates=H","DateFormat=P","Fill=—","Direction=H","UseDPDF=Y")</f>
        <v>#NAME?</v>
      </c>
      <c r="CZ224" s="1" t="e">
        <f ca="1">_xll.BDH($C$203,"INVENT_DAYS","FQ1 2018","FQ1 2018","Currency=INR","Period=FQ","BEST_FPERIOD_OVERRIDE=FQ","FILING_STATUS=OR","EQY_CONSOLIDATED=Y","FA_ADJUSTED=GAAP","Sort=A","Dates=H","DateFormat=P","Fill=—","Direction=H","UseDPDF=Y")</f>
        <v>#NAME?</v>
      </c>
      <c r="DA224" s="3" t="e">
        <f ca="1">_xll.BDH($C$203,"ACCOUNTS_PAYABLE_TURNOVER","FQ1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24" s="1" t="e">
        <f ca="1">_xll.BDH($C$203,"ACCOUNTS_PAYABLE_TURNOVER_DAYS","FQ1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24" s="3" t="e">
        <f ca="1">_xll.BDH($C$203,"CASH_CONVERSION_CYCLE","FQ1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24" s="3" t="e">
        <f ca="1">_xll.BDH($C$203,"INV_TO_CASH_DAYS","FQ1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224" s="4" t="e">
        <f ca="1">_xll.BDH($C$203,"BS_INVENTORIES","FQ1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224" s="2" t="e">
        <f ca="1">_xll.BDH($C$203,"INVTRY_RAW_MATERIALS","FQ1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24" s="2" t="e">
        <f ca="1">_xll.BDH($C$203,"INVTRY_IN_PROGRESS","FQ1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24" s="2" t="e">
        <f ca="1">_xll.BDH($C$203,"INVTRY_FINISHED_GOODS","FQ1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24" s="2" t="e">
        <f ca="1">_xll.BDH($C$203,"BS_OTHER_INV","FQ1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25" spans="1:113" x14ac:dyDescent="0.3">
      <c r="A225" s="6"/>
      <c r="B225" s="6"/>
      <c r="C225" s="6"/>
      <c r="D225" s="6"/>
      <c r="E225" t="s">
        <v>5</v>
      </c>
      <c r="F225" t="e">
        <f ca="1">_xll.BDH($C$203,"RETURN_COM_EQY","FQ2 2018","FQ2 2018","Currency=INR","Period=FQ","BEST_FPERIOD_OVERRIDE=FQ","FILING_STATUS=OR","EQY_CONSOLIDATED=Y","FA_ADJUSTED=GAAP","Sort=A","Dates=H","DateFormat=P","Fill=—","Direction=H","UseDPDF=Y")</f>
        <v>#NAME?</v>
      </c>
      <c r="G225" t="e">
        <f ca="1">_xll.BDH($C$203,"RETURN_ON_ASSET","FQ2 2018","FQ2 2018","Currency=INR","Period=FQ","BEST_FPERIOD_OVERRIDE=FQ","FILING_STATUS=OR","EQY_CONSOLIDATED=Y","FA_ADJUSTED=GAAP","Sort=A","Dates=H","DateFormat=P","Fill=—","Direction=H","UseDPDF=Y")</f>
        <v>#NAME?</v>
      </c>
      <c r="H225" t="e">
        <f ca="1">_xll.BDH($C$203,"RETURN_ON_CAP","FQ2 2018","FQ2 2018","Currency=INR","Period=FQ","BEST_FPERIOD_OVERRIDE=FQ","FILING_STATUS=OR","EQY_CONSOLIDATED=Y","FA_ADJUSTED=GAAP","Sort=A","Dates=H","DateFormat=P","Fill=—","Direction=H","UseDPDF=Y")</f>
        <v>#NAME?</v>
      </c>
      <c r="I225" t="e">
        <f ca="1">_xll.BDH($C$203,"RETURN_ON_INV_CAPITAL","FQ2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25" t="e">
        <f ca="1">_xll.BDH($C$203,"EBITDA_TO_REVENUE","FQ2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225" t="e">
        <f ca="1">_xll.BDH($C$203,"OPER_MARGIN","FQ2 2018","FQ2 2018","Currency=INR","Period=FQ","BEST_FPERIOD_OVERRIDE=FQ","FILING_STATUS=OR","EQY_CONSOLIDATED=Y","FA_ADJUSTED=GAAP","Sort=A","Dates=H","DateFormat=P","Fill=—","Direction=H","UseDPDF=Y")</f>
        <v>#NAME?</v>
      </c>
      <c r="L225" t="e">
        <f ca="1">_xll.BDH($C$203,"INCREMENTAL_OPERATING_MARGIN","FQ2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25" t="e">
        <f ca="1">_xll.BDH($C$203,"PRETAX_INC_TO_NET_SALES","FQ2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25" t="e">
        <f ca="1">_xll.BDH($C$203,"INC_BEF_XO_ITEMS_TO_NET_SALES","FQ2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25" t="e">
        <f ca="1">_xll.BDH($C$203,"PROF_MARGIN","FQ2 2018","FQ2 2018","Currency=INR","Period=FQ","BEST_FPERIOD_OVERRIDE=FQ","FILING_STATUS=OR","EQY_CONSOLIDATED=Y","FA_ADJUSTED=GAAP","Sort=A","Dates=H","DateFormat=P","Fill=—","Direction=H","UseDPDF=Y")</f>
        <v>#NAME?</v>
      </c>
      <c r="P225" t="e">
        <f ca="1">_xll.BDH($C$203,"NET_INCOME_TO_COMMON_MARGIN","FQ2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25" t="e">
        <f ca="1">_xll.BDH($C$203,"EFF_TAX_RATE","FQ2 2018","FQ2 2018","Currency=INR","Period=FQ","BEST_FPERIOD_OVERRIDE=FQ","FILING_STATUS=OR","EQY_CONSOLIDATED=Y","FA_ADJUSTED=GAAP","Sort=A","Dates=H","DateFormat=P","Fill=—","Direction=H","UseDPDF=Y")</f>
        <v>#NAME?</v>
      </c>
      <c r="R225" t="e">
        <f ca="1">_xll.BDH($C$203,"DVD_PAYOUT_RATIO","FQ2 2018","FQ2 2018","Currency=INR","Period=FQ","BEST_FPERIOD_OVERRIDE=FQ","FILING_STATUS=OR","EQY_CONSOLIDATED=Y","FA_ADJUSTED=GAAP","Sort=A","Dates=H","DateFormat=P","Fill=—","Direction=H","UseDPDF=Y")</f>
        <v>#NAME?</v>
      </c>
      <c r="S225" t="e">
        <f ca="1">_xll.BDH($C$203,"SUSTAIN_GROWTH_RT","FQ2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225" s="1" t="e">
        <f ca="1">_xll.BDH($C$203,"SALES_GROWTH","FQ2 2018","FQ2 2018","Currency=INR","Period=FQ","BEST_FPERIOD_OVERRIDE=FQ","FILING_STATUS=OR","EQY_CONSOLIDATED=Y","FA_ADJUSTED=GAAP","Sort=A","Dates=H","DateFormat=P","Fill=—","Direction=H","UseDPDF=Y")</f>
        <v>#NAME?</v>
      </c>
      <c r="U225" s="1" t="e">
        <f ca="1">_xll.BDH($C$203,"EBITDA_GROWTH","FQ2 2018","FQ2 2018","Currency=INR","Period=FQ","BEST_FPERIOD_OVERRIDE=FQ","FILING_STATUS=OR","EQY_CONSOLIDATED=Y","FA_ADJUSTED=GAAP","Sort=A","Dates=H","DateFormat=P","Fill=—","Direction=H","UseDPDF=Y")</f>
        <v>#NAME?</v>
      </c>
      <c r="V225" s="1" t="e">
        <f ca="1">_xll.BDH($C$203,"OPER_INC_GROWTH","FQ2 2018","FQ2 2018","Currency=INR","Period=FQ","BEST_FPERIOD_OVERRIDE=FQ","FILING_STATUS=OR","EQY_CONSOLIDATED=Y","FA_ADJUSTED=GAAP","Sort=A","Dates=H","DateFormat=P","Fill=—","Direction=H","UseDPDF=Y")</f>
        <v>#NAME?</v>
      </c>
      <c r="W225" s="1" t="e">
        <f ca="1">_xll.BDH($C$203,"EARN_FOR_COM_GROWTH","FQ2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25" s="1" t="e">
        <f ca="1">_xll.BDH($C$203,"DILUTED_EPS_AFT_XO_ITEMS_GROWTH","FQ2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25" s="1" t="e">
        <f ca="1">_xll.BDH($C$203,"DIVIDEND_PER_SHARE_1_YEAR_GROWTH","FQ2 2018","FQ2 2018","Currency=INR","Period=FQ","BEST_FPERIOD_OVERRIDE=FQ","FILING_STATUS=OR","EQY_CONSOLIDATED=Y","Sort=A","Dates=H","DateFormat=P","Fill=—","Direction=H","UseDPDF=Y")</f>
        <v>#NAME?</v>
      </c>
      <c r="Z225" s="1" t="e">
        <f ca="1">_xll.BDH($C$203,"ACCOUNTS_RECEIVABLE_GROWTH","FQ2 2018","FQ2 2018","Currency=INR","Period=FQ","BEST_FPERIOD_OVERRIDE=FQ","FILING_STATUS=OR","EQY_CONSOLIDATED=Y","Sort=A","Dates=H","DateFormat=P","Fill=—","Direction=H","UseDPDF=Y")</f>
        <v>#NAME?</v>
      </c>
      <c r="AA225" s="1" t="e">
        <f ca="1">_xll.BDH($C$203,"INVENTORY_GROWTH","FQ2 2018","FQ2 2018","Currency=INR","Period=FQ","BEST_FPERIOD_OVERRIDE=FQ","FILING_STATUS=OR","EQY_CONSOLIDATED=Y","Sort=A","Dates=H","DateFormat=P","Fill=—","Direction=H","UseDPDF=Y")</f>
        <v>#NAME?</v>
      </c>
      <c r="AB225" s="1" t="e">
        <f ca="1">_xll.BDH($C$203,"NET_FIXED_ASSETS_1_YEAR_GROWTH","FQ2 2018","FQ2 2018","Currency=INR","Period=FQ","BEST_FPERIOD_OVERRIDE=FQ","FILING_STATUS=OR","EQY_CONSOLIDATED=Y","Sort=A","Dates=H","DateFormat=P","Fill=—","Direction=H","UseDPDF=Y")</f>
        <v>#NAME?</v>
      </c>
      <c r="AC225" s="1" t="e">
        <f ca="1">_xll.BDH($C$203,"ASSET_GROWTH","FQ2 2018","FQ2 2018","Currency=INR","Period=FQ","BEST_FPERIOD_OVERRIDE=FQ","FILING_STATUS=OR","EQY_CONSOLIDATED=Y","Sort=A","Dates=H","DateFormat=P","Fill=—","Direction=H","UseDPDF=Y")</f>
        <v>#NAME?</v>
      </c>
      <c r="AD225" s="1" t="e">
        <f ca="1">_xll.BDH($C$203,"MODIFIED_WORK_CAP_GROWTH","FQ2 2018","FQ2 2018","Currency=INR","Period=FQ","BEST_FPERIOD_OVERRIDE=FQ","FILING_STATUS=OR","EQY_CONSOLIDATED=Y","Sort=A","Dates=H","DateFormat=P","Fill=—","Direction=H","UseDPDF=Y")</f>
        <v>#NAME?</v>
      </c>
      <c r="AE225" s="1" t="e">
        <f ca="1">_xll.BDH($C$203,"WORK_CAP_GROWTH","FQ2 2018","FQ2 2018","Currency=INR","Period=FQ","BEST_FPERIOD_OVERRIDE=FQ","FILING_STATUS=OR","EQY_CONSOLIDATED=Y","Sort=A","Dates=H","DateFormat=P","Fill=—","Direction=H","UseDPDF=Y")</f>
        <v>#NAME?</v>
      </c>
      <c r="AF225" s="1" t="e">
        <f ca="1">_xll.BDH($C$203,"ACCOUNTS_PAYABLE_GROWTH_1YR","FQ2 2018","FQ2 2018","Currency=INR","Period=FQ","BEST_FPERIOD_OVERRIDE=FQ","FILING_STATUS=OR","EQY_CONSOLIDATED=Y","Sort=A","Dates=H","DateFormat=P","Fill=—","Direction=H","UseDPDF=Y")</f>
        <v>#NAME?</v>
      </c>
      <c r="AG225" s="1" t="e">
        <f ca="1">_xll.BDH($C$203,"SHORT_TERM_DEBT_1_YEAR_GROWTH","FQ2 2018","FQ2 2018","Currency=INR","Period=FQ","BEST_FPERIOD_OVERRIDE=FQ","FILING_STATUS=OR","EQY_CONSOLIDATED=Y","Sort=A","Dates=H","DateFormat=P","Fill=—","Direction=H","UseDPDF=Y")</f>
        <v>#NAME?</v>
      </c>
      <c r="AH225" s="1" t="e">
        <f ca="1">_xll.BDH($C$203,"TOTAL_DEBT_1_YEAR_GROWTH","FQ2 2018","FQ2 2018","Currency=INR","Period=FQ","BEST_FPERIOD_OVERRIDE=FQ","FILING_STATUS=OR","EQY_CONSOLIDATED=Y","Sort=A","Dates=H","DateFormat=P","Fill=—","Direction=H","UseDPDF=Y")</f>
        <v>#NAME?</v>
      </c>
      <c r="AI225" s="1" t="e">
        <f ca="1">_xll.BDH($C$203,"TOTAL_EQUITY_1_YEAR_GROWTH","FQ2 2018","FQ2 2018","Currency=INR","Period=FQ","BEST_FPERIOD_OVERRIDE=FQ","FILING_STATUS=OR","EQY_CONSOLIDATED=Y","Sort=A","Dates=H","DateFormat=P","Fill=—","Direction=H","UseDPDF=Y")</f>
        <v>#NAME?</v>
      </c>
      <c r="AJ225" s="1" t="e">
        <f ca="1">_xll.BDH($C$203,"GROWTH_IN_CAP","FQ2 2018","FQ2 2018","Currency=INR","Period=FQ","BEST_FPERIOD_OVERRIDE=FQ","FILING_STATUS=OR","EQY_CONSOLIDATED=Y","Sort=A","Dates=H","DateFormat=P","Fill=—","Direction=H","UseDPDF=Y")</f>
        <v>#NAME?</v>
      </c>
      <c r="AK225" s="1" t="e">
        <f ca="1">_xll.BDH($C$203,"BVPS_GROWTH","FQ2 2018","FQ2 2018","Currency=INR","Period=FQ","BEST_FPERIOD_OVERRIDE=FQ","FILING_STATUS=OR","EQY_CONSOLIDATED=Y","Sort=A","Dates=H","DateFormat=P","Fill=—","Direction=H","UseDPDF=Y")</f>
        <v>#NAME?</v>
      </c>
      <c r="AL225" s="1" t="e">
        <f ca="1">_xll.BDH($C$203,"CASH_FLOW_GROWTH","FQ2 2018","FQ2 2018","Currency=INR","Period=FQ","BEST_FPERIOD_OVERRIDE=FQ","FILING_STATUS=OR","EQY_CONSOLIDATED=Y","Sort=A","Dates=H","DateFormat=P","Fill=—","Direction=H","UseDPDF=Y")</f>
        <v>#NAME?</v>
      </c>
      <c r="AM225" s="1" t="e">
        <f ca="1">_xll.BDH($C$203,"GEO_GROW_NET_SALES","FQ2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25" s="1" t="e">
        <f ca="1">_xll.BDH($C$203,"GEO_GROW_EBITDA","FQ2 2018","FQ2 2018","Currency=INR","Period=FQ","BEST_FPERIOD_OVERRIDE=FQ","FILING_STATUS=OR","EQY_CONSOLIDATED=Y","FA_ADJUSTED=GAAP","Sort=A","Dates=H","DateFormat=P","Fill=—","Direction=H","UseDPDF=Y")</f>
        <v>#NAME?</v>
      </c>
      <c r="AO225" s="1" t="e">
        <f ca="1">_xll.BDH($C$203,"GEO_GROW_OPER_INC","FQ2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25" s="1" t="e">
        <f ca="1">_xll.BDH($C$203,"NET_INCOME_TO_COMMON_5_YR_GROWTH","FQ2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25" s="1" t="e">
        <f ca="1">_xll.BDH($C$203,"5Y_GEO_GROWTH_DILUTED_EPS","FQ2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25" s="1" t="e">
        <f ca="1">_xll.BDH($C$203,"GEO_GROW_DVD_PER_SH","FQ2 2018","FQ2 2018","Currency=INR","Period=FQ","BEST_FPERIOD_OVERRIDE=FQ","FILING_STATUS=OR","EQY_CONSOLIDATED=Y","Sort=A","Dates=H","DateFormat=P","Fill=—","Direction=H","UseDPDF=Y")</f>
        <v>#NAME?</v>
      </c>
      <c r="AS225" s="1" t="e">
        <f ca="1">_xll.BDH($C$203,"ACCOUNTS_RECEIVABLE_5_YR_GROWTH","FQ2 2018","FQ2 2018","Currency=INR","Period=FQ","BEST_FPERIOD_OVERRIDE=FQ","FILING_STATUS=OR","EQY_CONSOLIDATED=Y","Sort=A","Dates=H","DateFormat=P","Fill=—","Direction=H","UseDPDF=Y")</f>
        <v>#NAME?</v>
      </c>
      <c r="AT225" s="1" t="e">
        <f ca="1">_xll.BDH($C$203,"INVENTORY_5_YEAR_GROWTH","FQ2 2018","FQ2 2018","Currency=INR","Period=FQ","BEST_FPERIOD_OVERRIDE=FQ","FILING_STATUS=OR","EQY_CONSOLIDATED=Y","Sort=A","Dates=H","DateFormat=P","Fill=—","Direction=H","UseDPDF=Y")</f>
        <v>#NAME?</v>
      </c>
      <c r="AU225" s="1" t="e">
        <f ca="1">_xll.BDH($C$203,"NET_FIXED_ASSETS_5_YEAR_GROWTH","FQ2 2018","FQ2 2018","Currency=INR","Period=FQ","BEST_FPERIOD_OVERRIDE=FQ","FILING_STATUS=OR","EQY_CONSOLIDATED=Y","Sort=A","Dates=H","DateFormat=P","Fill=—","Direction=H","UseDPDF=Y")</f>
        <v>#NAME?</v>
      </c>
      <c r="AV225" s="1" t="e">
        <f ca="1">_xll.BDH($C$203,"GEO_GROW_TOT_ASSET","FQ2 2018","FQ2 2018","Currency=INR","Period=FQ","BEST_FPERIOD_OVERRIDE=FQ","FILING_STATUS=OR","EQY_CONSOLIDATED=Y","Sort=A","Dates=H","DateFormat=P","Fill=—","Direction=H","UseDPDF=Y")</f>
        <v>#NAME?</v>
      </c>
      <c r="AW225" s="1" t="e">
        <f ca="1">_xll.BDH($C$203,"MODIFIED_WORKING_CPTL_5YR_GRWTH","FQ2 2018","FQ2 2018","Currency=INR","Period=FQ","BEST_FPERIOD_OVERRIDE=FQ","FILING_STATUS=OR","EQY_CONSOLIDATED=Y","Sort=A","Dates=H","DateFormat=P","Fill=—","Direction=H","UseDPDF=Y")</f>
        <v>#NAME?</v>
      </c>
      <c r="AX225" s="1" t="e">
        <f ca="1">_xll.BDH($C$203,"WORKING_CAPITAL_5_YEAR_GROWTH","FQ2 2018","FQ2 2018","Currency=INR","Period=FQ","BEST_FPERIOD_OVERRIDE=FQ","FILING_STATUS=OR","EQY_CONSOLIDATED=Y","Sort=A","Dates=H","DateFormat=P","Fill=—","Direction=H","UseDPDF=Y")</f>
        <v>#NAME?</v>
      </c>
      <c r="AY225" s="1" t="e">
        <f ca="1">_xll.BDH($C$203,"ACCOUNTS_PAYABLE_5_YEAR_GROWTH","FQ2 2018","FQ2 2018","Currency=INR","Period=FQ","BEST_FPERIOD_OVERRIDE=FQ","FILING_STATUS=OR","EQY_CONSOLIDATED=Y","Sort=A","Dates=H","DateFormat=P","Fill=—","Direction=H","UseDPDF=Y")</f>
        <v>#NAME?</v>
      </c>
      <c r="AZ225" s="1" t="e">
        <f ca="1">_xll.BDH($C$203,"SHORT_TERM_DEBT_5_YEAR_GROWTH","FQ2 2018","FQ2 2018","Currency=INR","Period=FQ","BEST_FPERIOD_OVERRIDE=FQ","FILING_STATUS=OR","EQY_CONSOLIDATED=Y","Sort=A","Dates=H","DateFormat=P","Fill=—","Direction=H","UseDPDF=Y")</f>
        <v>#NAME?</v>
      </c>
      <c r="BA225" s="1" t="e">
        <f ca="1">_xll.BDH($C$203,"TOTAL_DEBT_5_YEAR_GROWTH","FQ2 2018","FQ2 2018","Currency=INR","Period=FQ","BEST_FPERIOD_OVERRIDE=FQ","FILING_STATUS=OR","EQY_CONSOLIDATED=Y","Sort=A","Dates=H","DateFormat=P","Fill=—","Direction=H","UseDPDF=Y")</f>
        <v>#NAME?</v>
      </c>
      <c r="BB225" s="1" t="e">
        <f ca="1">_xll.BDH($C$203,"GEO_GROW_TOT_SHRHLDR_EQY","FQ2 2018","FQ2 2018","Currency=INR","Period=FQ","BEST_FPERIOD_OVERRIDE=FQ","FILING_STATUS=OR","EQY_CONSOLIDATED=Y","Sort=A","Dates=H","DateFormat=P","Fill=—","Direction=H","UseDPDF=Y")</f>
        <v>#NAME?</v>
      </c>
      <c r="BC225" s="1" t="e">
        <f ca="1">_xll.BDH($C$203,"TOTAL_CAPITAL_5_YEAR_GROWTH","FQ2 2018","FQ2 2018","Currency=INR","Period=FQ","BEST_FPERIOD_OVERRIDE=FQ","FILING_STATUS=OR","EQY_CONSOLIDATED=Y","Sort=A","Dates=H","DateFormat=P","Fill=—","Direction=H","UseDPDF=Y")</f>
        <v>#NAME?</v>
      </c>
      <c r="BD225" s="1" t="e">
        <f ca="1">_xll.BDH($C$203,"GEO_GROW_BOOK_VAL","FQ2 2018","FQ2 2018","Currency=INR","Period=FQ","BEST_FPERIOD_OVERRIDE=FQ","FILING_STATUS=OR","EQY_CONSOLIDATED=Y","Sort=A","Dates=H","DateFormat=P","Fill=—","Direction=H","UseDPDF=Y")</f>
        <v>#NAME?</v>
      </c>
      <c r="BE225" s="1" t="e">
        <f ca="1">_xll.BDH($C$203,"GEO_GROW_CASH_OPER_ACT","FQ2 2018","FQ2 2018","Currency=INR","Period=FQ","BEST_FPERIOD_OVERRIDE=FQ","FILING_STATUS=OR","EQY_CONSOLIDATED=Y","Sort=A","Dates=H","DateFormat=P","Fill=—","Direction=H","UseDPDF=Y")</f>
        <v>#NAME?</v>
      </c>
      <c r="BF225" s="1" t="e">
        <f ca="1">_xll.BDH($C$203,"REVENUE_SEQUENTIAL_GROWTH","FQ2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25" s="1" t="e">
        <f ca="1">_xll.BDH($C$203,"EBITDA_SEQUENTIAL_GROWTH","FQ2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25" s="1" t="e">
        <f ca="1">_xll.BDH($C$203,"OPERATING_INCOME_SEQ_GROWTH","FQ2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25" s="1" t="e">
        <f ca="1">_xll.BDH($C$203,"NET_INCOME_TO_COMMON_SEQ_GROWTH","FQ2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25" s="1" t="e">
        <f ca="1">_xll.BDH($C$203,"EPS_DILUTED_SEQUENTIAL_GROWTH","FQ2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25" s="1" t="e">
        <f ca="1">_xll.BDH($C$203,"DPS_SEQUENTIAL_GROWTH","FQ2 2018","FQ2 2018","Currency=INR","Period=FQ","BEST_FPERIOD_OVERRIDE=FQ","FILING_STATUS=OR","EQY_CONSOLIDATED=Y","Sort=A","Dates=H","DateFormat=P","Fill=—","Direction=H","UseDPDF=Y")</f>
        <v>#NAME?</v>
      </c>
      <c r="BL225" s="1" t="e">
        <f ca="1">_xll.BDH($C$203,"ACCOUNTS_RECEIVABLE_SEQ_GROWTH","FQ2 2018","FQ2 2018","Currency=INR","Period=FQ","BEST_FPERIOD_OVERRIDE=FQ","FILING_STATUS=OR","EQY_CONSOLIDATED=Y","Sort=A","Dates=H","DateFormat=P","Fill=—","Direction=H","UseDPDF=Y")</f>
        <v>#NAME?</v>
      </c>
      <c r="BM225" s="1" t="e">
        <f ca="1">_xll.BDH($C$203,"INVENTORY_SEQUENTIAL_GROWTH","FQ2 2018","FQ2 2018","Currency=INR","Period=FQ","BEST_FPERIOD_OVERRIDE=FQ","FILING_STATUS=OR","EQY_CONSOLIDATED=Y","Sort=A","Dates=H","DateFormat=P","Fill=—","Direction=H","UseDPDF=Y")</f>
        <v>#NAME?</v>
      </c>
      <c r="BN225" s="1" t="e">
        <f ca="1">_xll.BDH($C$203,"FIXED_ASSETS_SEQUENTIAL_GROWTH","FQ2 2018","FQ2 2018","Currency=INR","Period=FQ","BEST_FPERIOD_OVERRIDE=FQ","FILING_STATUS=OR","EQY_CONSOLIDATED=Y","Sort=A","Dates=H","DateFormat=P","Fill=—","Direction=H","UseDPDF=Y")</f>
        <v>#NAME?</v>
      </c>
      <c r="BO225" s="1" t="e">
        <f ca="1">_xll.BDH($C$203,"TOTAL_ASSETS_SEQUENTIAL_GROWTH","FQ2 2018","FQ2 2018","Currency=INR","Period=FQ","BEST_FPERIOD_OVERRIDE=FQ","FILING_STATUS=OR","EQY_CONSOLIDATED=Y","Sort=A","Dates=H","DateFormat=P","Fill=—","Direction=H","UseDPDF=Y")</f>
        <v>#NAME?</v>
      </c>
      <c r="BP225" s="1" t="e">
        <f ca="1">_xll.BDH($C$203,"MODIFIED_WORKING_CPTL_SEQ_GRWTH","FQ2 2018","FQ2 2018","Currency=INR","Period=FQ","BEST_FPERIOD_OVERRIDE=FQ","FILING_STATUS=OR","EQY_CONSOLIDATED=Y","Sort=A","Dates=H","DateFormat=P","Fill=—","Direction=H","UseDPDF=Y")</f>
        <v>#NAME?</v>
      </c>
      <c r="BQ225" s="1" t="e">
        <f ca="1">_xll.BDH($C$203,"WORKING_CAPITAL_SEQ_GROWTH","FQ2 2018","FQ2 2018","Currency=INR","Period=FQ","BEST_FPERIOD_OVERRIDE=FQ","FILING_STATUS=OR","EQY_CONSOLIDATED=Y","Sort=A","Dates=H","DateFormat=P","Fill=—","Direction=H","UseDPDF=Y")</f>
        <v>#NAME?</v>
      </c>
      <c r="BR225" s="1" t="e">
        <f ca="1">_xll.BDH($C$203,"ACCOUNTS_PAYABLE_SEQ_GROWTH","FQ2 2018","FQ2 2018","Currency=INR","Period=FQ","BEST_FPERIOD_OVERRIDE=FQ","FILING_STATUS=OR","EQY_CONSOLIDATED=Y","Sort=A","Dates=H","DateFormat=P","Fill=—","Direction=H","UseDPDF=Y")</f>
        <v>#NAME?</v>
      </c>
      <c r="BS225" s="1" t="e">
        <f ca="1">_xll.BDH($C$203,"ST_DEBT_SEQUENTIAL_GROWTH","FQ2 2018","FQ2 2018","Currency=INR","Period=FQ","BEST_FPERIOD_OVERRIDE=FQ","FILING_STATUS=OR","EQY_CONSOLIDATED=Y","Sort=A","Dates=H","DateFormat=P","Fill=—","Direction=H","UseDPDF=Y")</f>
        <v>#NAME?</v>
      </c>
      <c r="BT225" s="1" t="e">
        <f ca="1">_xll.BDH($C$203,"TOTAL_DEBT_SEQUENTIAL_GROWTH","FQ2 2018","FQ2 2018","Currency=INR","Period=FQ","BEST_FPERIOD_OVERRIDE=FQ","FILING_STATUS=OR","EQY_CONSOLIDATED=Y","Sort=A","Dates=H","DateFormat=P","Fill=—","Direction=H","UseDPDF=Y")</f>
        <v>#NAME?</v>
      </c>
      <c r="BU225" s="1" t="e">
        <f ca="1">_xll.BDH($C$203,"TOTAL_EQUITY_SEQUENTIAL_GROWTH","FQ2 2018","FQ2 2018","Currency=INR","Period=FQ","BEST_FPERIOD_OVERRIDE=FQ","FILING_STATUS=OR","EQY_CONSOLIDATED=Y","Sort=A","Dates=H","DateFormat=P","Fill=—","Direction=H","UseDPDF=Y")</f>
        <v>#NAME?</v>
      </c>
      <c r="BV225" s="1" t="e">
        <f ca="1">_xll.BDH($C$203,"TOTAL_CAPITAL_SEQUENTIAL_GROWTH","FQ2 2018","FQ2 2018","Currency=INR","Period=FQ","BEST_FPERIOD_OVERRIDE=FQ","FILING_STATUS=OR","EQY_CONSOLIDATED=Y","Sort=A","Dates=H","DateFormat=P","Fill=—","Direction=H","UseDPDF=Y")</f>
        <v>#NAME?</v>
      </c>
      <c r="BW225" s="1" t="e">
        <f ca="1">_xll.BDH($C$203,"BPS_SEQUENTIAL_GROWTH","FQ2 2018","FQ2 2018","Currency=INR","Period=FQ","BEST_FPERIOD_OVERRIDE=FQ","FILING_STATUS=OR","EQY_CONSOLIDATED=Y","Sort=A","Dates=H","DateFormat=P","Fill=—","Direction=H","UseDPDF=Y")</f>
        <v>#NAME?</v>
      </c>
      <c r="BX225" s="1" t="e">
        <f ca="1">_xll.BDH($C$203,"CFO_SEQUENTIAL_GROWTH","FQ2 2018","FQ2 2018","Currency=INR","Period=FQ","BEST_FPERIOD_OVERRIDE=FQ","FILING_STATUS=OR","EQY_CONSOLIDATED=Y","Sort=A","Dates=H","DateFormat=P","Fill=—","Direction=H","UseDPDF=Y")</f>
        <v>#NAME?</v>
      </c>
      <c r="BY225" s="2" t="e">
        <f ca="1">_xll.BDH($C$203,"SHORT_AND_LONG_TERM_DEBT","FQ2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25" s="2" t="e">
        <f ca="1">_xll.BDH($C$203,"BS_ST_BORROW","FQ2 2018","FQ2 2018","Currency=INR","Period=FQ","BEST_FPERIOD_OVERRIDE=FQ","FILING_STATUS=OR","EQY_CONSOLIDATED=Y","SCALING_FORMAT=MLN","Sort=A","Dates=H","DateFormat=P","Fill=—","Direction=H","UseDPDF=Y")</f>
        <v>#NAME?</v>
      </c>
      <c r="CA225" s="2" t="e">
        <f ca="1">_xll.BDH($C$203,"BS_LT_BORROW","FQ2 2018","FQ2 2018","Currency=INR","Period=FQ","BEST_FPERIOD_OVERRIDE=FQ","FILING_STATUS=OR","EQY_CONSOLIDATED=Y","SCALING_FORMAT=MLN","Sort=A","Dates=H","DateFormat=P","Fill=—","Direction=H","UseDPDF=Y")</f>
        <v>#NAME?</v>
      </c>
      <c r="CB225" s="1" t="e">
        <f ca="1">_xll.BDH($C$203,"TOT_DEBT_TO_EBITDA","FQ2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25" s="1" t="e">
        <f ca="1">_xll.BDH($C$203,"NET_DEBT_TO_EBITDA","FQ2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25" s="1" t="e">
        <f ca="1">_xll.BDH($C$203,"TOTAL_DEBT_TO_EBIT","FQ2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25" s="1" t="e">
        <f ca="1">_xll.BDH($C$203,"NET_DEBT_TO_EBIT","FQ2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225" s="1" t="e">
        <f ca="1">_xll.BDH($C$203,"EBITDA_TO_INTEREST_EXPN","FQ2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25" s="1" t="e">
        <f ca="1">_xll.BDH($C$203,"COM_EQY_TO_TOT_ASSET","FQ2 2018","FQ2 2018","Currency=INR","Period=FQ","BEST_FPERIOD_OVERRIDE=FQ","FILING_STATUS=OR","EQY_CONSOLIDATED=Y","Sort=A","Dates=H","DateFormat=P","Fill=—","Direction=H","UseDPDF=Y")</f>
        <v>#NAME?</v>
      </c>
      <c r="CH225" s="1" t="e">
        <f ca="1">_xll.BDH($C$203,"LT_DEBT_TO_TOT_EQY","FQ2 2018","FQ2 2018","Currency=INR","Period=FQ","BEST_FPERIOD_OVERRIDE=FQ","FILING_STATUS=OR","EQY_CONSOLIDATED=Y","Sort=A","Dates=H","DateFormat=P","Fill=—","Direction=H","UseDPDF=Y")</f>
        <v>#NAME?</v>
      </c>
      <c r="CI225" s="1" t="e">
        <f ca="1">_xll.BDH($C$203,"LT_DEBT_TO_TOT_CAP","FQ2 2018","FQ2 2018","Currency=INR","Period=FQ","BEST_FPERIOD_OVERRIDE=FQ","FILING_STATUS=OR","EQY_CONSOLIDATED=Y","Sort=A","Dates=H","DateFormat=P","Fill=—","Direction=H","UseDPDF=Y")</f>
        <v>#NAME?</v>
      </c>
      <c r="CJ225" s="1" t="e">
        <f ca="1">_xll.BDH($C$203,"LT_DEBT_TO_TOT_ASSET","FQ2 2018","FQ2 2018","Currency=INR","Period=FQ","BEST_FPERIOD_OVERRIDE=FQ","FILING_STATUS=OR","EQY_CONSOLIDATED=Y","Sort=A","Dates=H","DateFormat=P","Fill=—","Direction=H","UseDPDF=Y")</f>
        <v>#NAME?</v>
      </c>
      <c r="CK225" s="1" t="e">
        <f ca="1">_xll.BDH($C$203,"TOT_DEBT_TO_TOT_EQY","FQ2 2018","FQ2 2018","Currency=INR","Period=FQ","BEST_FPERIOD_OVERRIDE=FQ","FILING_STATUS=OR","EQY_CONSOLIDATED=Y","Sort=A","Dates=H","DateFormat=P","Fill=—","Direction=H","UseDPDF=Y")</f>
        <v>#NAME?</v>
      </c>
      <c r="CL225" s="1" t="e">
        <f ca="1">_xll.BDH($C$203,"TOT_DEBT_TO_TOT_CAP","FQ2 2018","FQ2 2018","Currency=INR","Period=FQ","BEST_FPERIOD_OVERRIDE=FQ","FILING_STATUS=OR","EQY_CONSOLIDATED=Y","Sort=A","Dates=H","DateFormat=P","Fill=—","Direction=H","UseDPDF=Y")</f>
        <v>#NAME?</v>
      </c>
      <c r="CM225" s="1" t="e">
        <f ca="1">_xll.BDH($C$203,"TOT_DEBT_TO_TOT_ASSET","FQ2 2018","FQ2 2018","Currency=INR","Period=FQ","BEST_FPERIOD_OVERRIDE=FQ","FILING_STATUS=OR","EQY_CONSOLIDATED=Y","Sort=A","Dates=H","DateFormat=P","Fill=—","Direction=H","UseDPDF=Y")</f>
        <v>#NAME?</v>
      </c>
      <c r="CN225" s="1" t="e">
        <f ca="1">_xll.BDH($C$203,"NET_DEBT_TO_SHRHLDR_EQTY","FQ2 2018","FQ2 2018","Currency=INR","Period=FQ","BEST_FPERIOD_OVERRIDE=FQ","FILING_STATUS=OR","EQY_CONSOLIDATED=Y","Sort=A","Dates=H","DateFormat=P","Fill=—","Direction=H","UseDPDF=Y")</f>
        <v>#NAME?</v>
      </c>
      <c r="CO225" s="1" t="e">
        <f ca="1">_xll.BDH($C$203,"NET_DEBT_%_CAPITAL","FQ2 2018","FQ2 2018","Currency=INR","Period=FQ","BEST_FPERIOD_OVERRIDE=FQ","FILING_STATUS=OR","EQY_CONSOLIDATED=Y","Sort=A","Dates=H","DateFormat=P","Fill=—","Direction=H","UseDPDF=Y")</f>
        <v>#NAME?</v>
      </c>
      <c r="CP225" s="2" t="e">
        <f ca="1">_xll.BDH($C$203,"EBITDA","FQ2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25" s="2" t="e">
        <f ca="1">_xll.BDH($C$203,"EBITDA_AFTER_CAPEX","FQ2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25" s="2" t="e">
        <f ca="1">_xll.BDH($C$203,"IS_OPER_INC","FQ2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25" s="1" t="e">
        <f ca="1">_xll.BDH($C$203,"CASH_RATIO","FQ2 2018","FQ2 2018","Currency=INR","Period=FQ","BEST_FPERIOD_OVERRIDE=FQ","FILING_STATUS=OR","EQY_CONSOLIDATED=Y","Sort=A","Dates=H","DateFormat=P","Fill=—","Direction=H","UseDPDF=Y")</f>
        <v>#NAME?</v>
      </c>
      <c r="CT225" s="1" t="e">
        <f ca="1">_xll.BDH($C$203,"CUR_RATIO","FQ2 2018","FQ2 2018","Currency=INR","Period=FQ","BEST_FPERIOD_OVERRIDE=FQ","FILING_STATUS=OR","EQY_CONSOLIDATED=Y","Sort=A","Dates=H","DateFormat=P","Fill=—","Direction=H","UseDPDF=Y")</f>
        <v>#NAME?</v>
      </c>
      <c r="CU225" s="1" t="e">
        <f ca="1">_xll.BDH($C$203,"QUICK_RATIO","FQ2 2018","FQ2 2018","Currency=INR","Period=FQ","BEST_FPERIOD_OVERRIDE=FQ","FILING_STATUS=OR","EQY_CONSOLIDATED=Y","Sort=A","Dates=H","DateFormat=P","Fill=—","Direction=H","UseDPDF=Y")</f>
        <v>#NAME?</v>
      </c>
      <c r="CV225" s="1" t="e">
        <f ca="1">_xll.BDH($C$203,"ALTMAN_Z_SCORE","FQ2 2018","FQ2 2018","Currency=INR","Period=FQ","BEST_FPERIOD_OVERRIDE=FQ","FILING_STATUS=OR","EQY_CONSOLIDATED=Y","Sort=A","Dates=H","DateFormat=P","Fill=—","Direction=H","UseDPDF=Y")</f>
        <v>#NAME?</v>
      </c>
      <c r="CW225" s="3" t="e">
        <f ca="1">_xll.BDH($C$203,"ACCT_RCV_TURN","FQ2 2018","FQ2 2018","Currency=INR","Period=FQ","BEST_FPERIOD_OVERRIDE=FQ","FILING_STATUS=OR","EQY_CONSOLIDATED=Y","FA_ADJUSTED=GAAP","Sort=A","Dates=H","DateFormat=P","Fill=—","Direction=H","UseDPDF=Y")</f>
        <v>#NAME?</v>
      </c>
      <c r="CX225" s="1" t="e">
        <f ca="1">_xll.BDH($C$203,"ACCT_RCV_DAYS","FQ2 2018","FQ2 2018","Currency=INR","Period=FQ","BEST_FPERIOD_OVERRIDE=FQ","FILING_STATUS=OR","EQY_CONSOLIDATED=Y","FA_ADJUSTED=GAAP","Sort=A","Dates=H","DateFormat=P","Fill=—","Direction=H","UseDPDF=Y")</f>
        <v>#NAME?</v>
      </c>
      <c r="CY225" s="3" t="e">
        <f ca="1">_xll.BDH($C$203,"INVENT_TURN","FQ2 2018","FQ2 2018","Currency=INR","Period=FQ","BEST_FPERIOD_OVERRIDE=FQ","FILING_STATUS=OR","EQY_CONSOLIDATED=Y","FA_ADJUSTED=GAAP","Sort=A","Dates=H","DateFormat=P","Fill=—","Direction=H","UseDPDF=Y")</f>
        <v>#NAME?</v>
      </c>
      <c r="CZ225" s="1" t="e">
        <f ca="1">_xll.BDH($C$203,"INVENT_DAYS","FQ2 2018","FQ2 2018","Currency=INR","Period=FQ","BEST_FPERIOD_OVERRIDE=FQ","FILING_STATUS=OR","EQY_CONSOLIDATED=Y","FA_ADJUSTED=GAAP","Sort=A","Dates=H","DateFormat=P","Fill=—","Direction=H","UseDPDF=Y")</f>
        <v>#NAME?</v>
      </c>
      <c r="DA225" s="3" t="e">
        <f ca="1">_xll.BDH($C$203,"ACCOUNTS_PAYABLE_TURNOVER","FQ2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25" s="1" t="e">
        <f ca="1">_xll.BDH($C$203,"ACCOUNTS_PAYABLE_TURNOVER_DAYS","FQ2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25" s="3" t="e">
        <f ca="1">_xll.BDH($C$203,"CASH_CONVERSION_CYCLE","FQ2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25" s="3" t="e">
        <f ca="1">_xll.BDH($C$203,"INV_TO_CASH_DAYS","FQ2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225" s="4" t="e">
        <f ca="1">_xll.BDH($C$203,"BS_INVENTORIES","FQ2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225" s="2" t="e">
        <f ca="1">_xll.BDH($C$203,"INVTRY_RAW_MATERIALS","FQ2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25" s="2" t="e">
        <f ca="1">_xll.BDH($C$203,"INVTRY_IN_PROGRESS","FQ2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25" s="2" t="e">
        <f ca="1">_xll.BDH($C$203,"INVTRY_FINISHED_GOODS","FQ2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25" s="2" t="e">
        <f ca="1">_xll.BDH($C$203,"BS_OTHER_INV","FQ2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26" spans="1:113" x14ac:dyDescent="0.3">
      <c r="A226" s="6"/>
      <c r="B226" s="6"/>
      <c r="C226" s="6"/>
      <c r="D226" s="6"/>
      <c r="E226" t="s">
        <v>6</v>
      </c>
      <c r="F226" t="e">
        <f ca="1">_xll.BDH($C$203,"RETURN_COM_EQY","FQ3 2018","FQ3 2018","Currency=INR","Period=FQ","BEST_FPERIOD_OVERRIDE=FQ","FILING_STATUS=OR","EQY_CONSOLIDATED=Y","FA_ADJUSTED=GAAP","Sort=A","Dates=H","DateFormat=P","Fill=—","Direction=H","UseDPDF=Y")</f>
        <v>#NAME?</v>
      </c>
      <c r="G226" t="e">
        <f ca="1">_xll.BDH($C$203,"RETURN_ON_ASSET","FQ3 2018","FQ3 2018","Currency=INR","Period=FQ","BEST_FPERIOD_OVERRIDE=FQ","FILING_STATUS=OR","EQY_CONSOLIDATED=Y","FA_ADJUSTED=GAAP","Sort=A","Dates=H","DateFormat=P","Fill=—","Direction=H","UseDPDF=Y")</f>
        <v>#NAME?</v>
      </c>
      <c r="H226" t="e">
        <f ca="1">_xll.BDH($C$203,"RETURN_ON_CAP","FQ3 2018","FQ3 2018","Currency=INR","Period=FQ","BEST_FPERIOD_OVERRIDE=FQ","FILING_STATUS=OR","EQY_CONSOLIDATED=Y","FA_ADJUSTED=GAAP","Sort=A","Dates=H","DateFormat=P","Fill=—","Direction=H","UseDPDF=Y")</f>
        <v>#NAME?</v>
      </c>
      <c r="I226" t="e">
        <f ca="1">_xll.BDH($C$203,"RETURN_ON_INV_CAPITAL","FQ3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26" t="e">
        <f ca="1">_xll.BDH($C$203,"EBITDA_TO_REVENUE","FQ3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226" t="e">
        <f ca="1">_xll.BDH($C$203,"OPER_MARGIN","FQ3 2018","FQ3 2018","Currency=INR","Period=FQ","BEST_FPERIOD_OVERRIDE=FQ","FILING_STATUS=OR","EQY_CONSOLIDATED=Y","FA_ADJUSTED=GAAP","Sort=A","Dates=H","DateFormat=P","Fill=—","Direction=H","UseDPDF=Y")</f>
        <v>#NAME?</v>
      </c>
      <c r="L226" t="e">
        <f ca="1">_xll.BDH($C$203,"INCREMENTAL_OPERATING_MARGIN","FQ3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26" t="e">
        <f ca="1">_xll.BDH($C$203,"PRETAX_INC_TO_NET_SALES","FQ3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26" t="e">
        <f ca="1">_xll.BDH($C$203,"INC_BEF_XO_ITEMS_TO_NET_SALES","FQ3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26" t="e">
        <f ca="1">_xll.BDH($C$203,"PROF_MARGIN","FQ3 2018","FQ3 2018","Currency=INR","Period=FQ","BEST_FPERIOD_OVERRIDE=FQ","FILING_STATUS=OR","EQY_CONSOLIDATED=Y","FA_ADJUSTED=GAAP","Sort=A","Dates=H","DateFormat=P","Fill=—","Direction=H","UseDPDF=Y")</f>
        <v>#NAME?</v>
      </c>
      <c r="P226" t="e">
        <f ca="1">_xll.BDH($C$203,"NET_INCOME_TO_COMMON_MARGIN","FQ3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26" t="e">
        <f ca="1">_xll.BDH($C$203,"EFF_TAX_RATE","FQ3 2018","FQ3 2018","Currency=INR","Period=FQ","BEST_FPERIOD_OVERRIDE=FQ","FILING_STATUS=OR","EQY_CONSOLIDATED=Y","FA_ADJUSTED=GAAP","Sort=A","Dates=H","DateFormat=P","Fill=—","Direction=H","UseDPDF=Y")</f>
        <v>#NAME?</v>
      </c>
      <c r="R226" t="e">
        <f ca="1">_xll.BDH($C$203,"DVD_PAYOUT_RATIO","FQ3 2018","FQ3 2018","Currency=INR","Period=FQ","BEST_FPERIOD_OVERRIDE=FQ","FILING_STATUS=OR","EQY_CONSOLIDATED=Y","FA_ADJUSTED=GAAP","Sort=A","Dates=H","DateFormat=P","Fill=—","Direction=H","UseDPDF=Y")</f>
        <v>#NAME?</v>
      </c>
      <c r="S226" t="e">
        <f ca="1">_xll.BDH($C$203,"SUSTAIN_GROWTH_RT","FQ3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226" s="1" t="e">
        <f ca="1">_xll.BDH($C$203,"SALES_GROWTH","FQ3 2018","FQ3 2018","Currency=INR","Period=FQ","BEST_FPERIOD_OVERRIDE=FQ","FILING_STATUS=OR","EQY_CONSOLIDATED=Y","FA_ADJUSTED=GAAP","Sort=A","Dates=H","DateFormat=P","Fill=—","Direction=H","UseDPDF=Y")</f>
        <v>#NAME?</v>
      </c>
      <c r="U226" s="1" t="e">
        <f ca="1">_xll.BDH($C$203,"EBITDA_GROWTH","FQ3 2018","FQ3 2018","Currency=INR","Period=FQ","BEST_FPERIOD_OVERRIDE=FQ","FILING_STATUS=OR","EQY_CONSOLIDATED=Y","FA_ADJUSTED=GAAP","Sort=A","Dates=H","DateFormat=P","Fill=—","Direction=H","UseDPDF=Y")</f>
        <v>#NAME?</v>
      </c>
      <c r="V226" s="1" t="e">
        <f ca="1">_xll.BDH($C$203,"OPER_INC_GROWTH","FQ3 2018","FQ3 2018","Currency=INR","Period=FQ","BEST_FPERIOD_OVERRIDE=FQ","FILING_STATUS=OR","EQY_CONSOLIDATED=Y","FA_ADJUSTED=GAAP","Sort=A","Dates=H","DateFormat=P","Fill=—","Direction=H","UseDPDF=Y")</f>
        <v>#NAME?</v>
      </c>
      <c r="W226" s="1" t="e">
        <f ca="1">_xll.BDH($C$203,"EARN_FOR_COM_GROWTH","FQ3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26" s="1" t="e">
        <f ca="1">_xll.BDH($C$203,"DILUTED_EPS_AFT_XO_ITEMS_GROWTH","FQ3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26" s="1" t="e">
        <f ca="1">_xll.BDH($C$203,"DIVIDEND_PER_SHARE_1_YEAR_GROWTH","FQ3 2018","FQ3 2018","Currency=INR","Period=FQ","BEST_FPERIOD_OVERRIDE=FQ","FILING_STATUS=OR","EQY_CONSOLIDATED=Y","Sort=A","Dates=H","DateFormat=P","Fill=—","Direction=H","UseDPDF=Y")</f>
        <v>#NAME?</v>
      </c>
      <c r="Z226" s="1" t="e">
        <f ca="1">_xll.BDH($C$203,"ACCOUNTS_RECEIVABLE_GROWTH","FQ3 2018","FQ3 2018","Currency=INR","Period=FQ","BEST_FPERIOD_OVERRIDE=FQ","FILING_STATUS=OR","EQY_CONSOLIDATED=Y","Sort=A","Dates=H","DateFormat=P","Fill=—","Direction=H","UseDPDF=Y")</f>
        <v>#NAME?</v>
      </c>
      <c r="AA226" s="1" t="e">
        <f ca="1">_xll.BDH($C$203,"INVENTORY_GROWTH","FQ3 2018","FQ3 2018","Currency=INR","Period=FQ","BEST_FPERIOD_OVERRIDE=FQ","FILING_STATUS=OR","EQY_CONSOLIDATED=Y","Sort=A","Dates=H","DateFormat=P","Fill=—","Direction=H","UseDPDF=Y")</f>
        <v>#NAME?</v>
      </c>
      <c r="AB226" s="1" t="e">
        <f ca="1">_xll.BDH($C$203,"NET_FIXED_ASSETS_1_YEAR_GROWTH","FQ3 2018","FQ3 2018","Currency=INR","Period=FQ","BEST_FPERIOD_OVERRIDE=FQ","FILING_STATUS=OR","EQY_CONSOLIDATED=Y","Sort=A","Dates=H","DateFormat=P","Fill=—","Direction=H","UseDPDF=Y")</f>
        <v>#NAME?</v>
      </c>
      <c r="AC226" s="1" t="e">
        <f ca="1">_xll.BDH($C$203,"ASSET_GROWTH","FQ3 2018","FQ3 2018","Currency=INR","Period=FQ","BEST_FPERIOD_OVERRIDE=FQ","FILING_STATUS=OR","EQY_CONSOLIDATED=Y","Sort=A","Dates=H","DateFormat=P","Fill=—","Direction=H","UseDPDF=Y")</f>
        <v>#NAME?</v>
      </c>
      <c r="AD226" s="1" t="e">
        <f ca="1">_xll.BDH($C$203,"MODIFIED_WORK_CAP_GROWTH","FQ3 2018","FQ3 2018","Currency=INR","Period=FQ","BEST_FPERIOD_OVERRIDE=FQ","FILING_STATUS=OR","EQY_CONSOLIDATED=Y","Sort=A","Dates=H","DateFormat=P","Fill=—","Direction=H","UseDPDF=Y")</f>
        <v>#NAME?</v>
      </c>
      <c r="AE226" s="1" t="e">
        <f ca="1">_xll.BDH($C$203,"WORK_CAP_GROWTH","FQ3 2018","FQ3 2018","Currency=INR","Period=FQ","BEST_FPERIOD_OVERRIDE=FQ","FILING_STATUS=OR","EQY_CONSOLIDATED=Y","Sort=A","Dates=H","DateFormat=P","Fill=—","Direction=H","UseDPDF=Y")</f>
        <v>#NAME?</v>
      </c>
      <c r="AF226" s="1" t="e">
        <f ca="1">_xll.BDH($C$203,"ACCOUNTS_PAYABLE_GROWTH_1YR","FQ3 2018","FQ3 2018","Currency=INR","Period=FQ","BEST_FPERIOD_OVERRIDE=FQ","FILING_STATUS=OR","EQY_CONSOLIDATED=Y","Sort=A","Dates=H","DateFormat=P","Fill=—","Direction=H","UseDPDF=Y")</f>
        <v>#NAME?</v>
      </c>
      <c r="AG226" s="1" t="e">
        <f ca="1">_xll.BDH($C$203,"SHORT_TERM_DEBT_1_YEAR_GROWTH","FQ3 2018","FQ3 2018","Currency=INR","Period=FQ","BEST_FPERIOD_OVERRIDE=FQ","FILING_STATUS=OR","EQY_CONSOLIDATED=Y","Sort=A","Dates=H","DateFormat=P","Fill=—","Direction=H","UseDPDF=Y")</f>
        <v>#NAME?</v>
      </c>
      <c r="AH226" s="1" t="e">
        <f ca="1">_xll.BDH($C$203,"TOTAL_DEBT_1_YEAR_GROWTH","FQ3 2018","FQ3 2018","Currency=INR","Period=FQ","BEST_FPERIOD_OVERRIDE=FQ","FILING_STATUS=OR","EQY_CONSOLIDATED=Y","Sort=A","Dates=H","DateFormat=P","Fill=—","Direction=H","UseDPDF=Y")</f>
        <v>#NAME?</v>
      </c>
      <c r="AI226" s="1" t="e">
        <f ca="1">_xll.BDH($C$203,"TOTAL_EQUITY_1_YEAR_GROWTH","FQ3 2018","FQ3 2018","Currency=INR","Period=FQ","BEST_FPERIOD_OVERRIDE=FQ","FILING_STATUS=OR","EQY_CONSOLIDATED=Y","Sort=A","Dates=H","DateFormat=P","Fill=—","Direction=H","UseDPDF=Y")</f>
        <v>#NAME?</v>
      </c>
      <c r="AJ226" s="1" t="e">
        <f ca="1">_xll.BDH($C$203,"GROWTH_IN_CAP","FQ3 2018","FQ3 2018","Currency=INR","Period=FQ","BEST_FPERIOD_OVERRIDE=FQ","FILING_STATUS=OR","EQY_CONSOLIDATED=Y","Sort=A","Dates=H","DateFormat=P","Fill=—","Direction=H","UseDPDF=Y")</f>
        <v>#NAME?</v>
      </c>
      <c r="AK226" s="1" t="e">
        <f ca="1">_xll.BDH($C$203,"BVPS_GROWTH","FQ3 2018","FQ3 2018","Currency=INR","Period=FQ","BEST_FPERIOD_OVERRIDE=FQ","FILING_STATUS=OR","EQY_CONSOLIDATED=Y","Sort=A","Dates=H","DateFormat=P","Fill=—","Direction=H","UseDPDF=Y")</f>
        <v>#NAME?</v>
      </c>
      <c r="AL226" s="1" t="e">
        <f ca="1">_xll.BDH($C$203,"CASH_FLOW_GROWTH","FQ3 2018","FQ3 2018","Currency=INR","Period=FQ","BEST_FPERIOD_OVERRIDE=FQ","FILING_STATUS=OR","EQY_CONSOLIDATED=Y","Sort=A","Dates=H","DateFormat=P","Fill=—","Direction=H","UseDPDF=Y")</f>
        <v>#NAME?</v>
      </c>
      <c r="AM226" s="1" t="e">
        <f ca="1">_xll.BDH($C$203,"GEO_GROW_NET_SALES","FQ3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26" s="1" t="e">
        <f ca="1">_xll.BDH($C$203,"GEO_GROW_EBITDA","FQ3 2018","FQ3 2018","Currency=INR","Period=FQ","BEST_FPERIOD_OVERRIDE=FQ","FILING_STATUS=OR","EQY_CONSOLIDATED=Y","FA_ADJUSTED=GAAP","Sort=A","Dates=H","DateFormat=P","Fill=—","Direction=H","UseDPDF=Y")</f>
        <v>#NAME?</v>
      </c>
      <c r="AO226" s="1" t="e">
        <f ca="1">_xll.BDH($C$203,"GEO_GROW_OPER_INC","FQ3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26" s="1" t="e">
        <f ca="1">_xll.BDH($C$203,"NET_INCOME_TO_COMMON_5_YR_GROWTH","FQ3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26" s="1" t="e">
        <f ca="1">_xll.BDH($C$203,"5Y_GEO_GROWTH_DILUTED_EPS","FQ3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26" s="1" t="e">
        <f ca="1">_xll.BDH($C$203,"GEO_GROW_DVD_PER_SH","FQ3 2018","FQ3 2018","Currency=INR","Period=FQ","BEST_FPERIOD_OVERRIDE=FQ","FILING_STATUS=OR","EQY_CONSOLIDATED=Y","Sort=A","Dates=H","DateFormat=P","Fill=—","Direction=H","UseDPDF=Y")</f>
        <v>#NAME?</v>
      </c>
      <c r="AS226" s="1" t="e">
        <f ca="1">_xll.BDH($C$203,"ACCOUNTS_RECEIVABLE_5_YR_GROWTH","FQ3 2018","FQ3 2018","Currency=INR","Period=FQ","BEST_FPERIOD_OVERRIDE=FQ","FILING_STATUS=OR","EQY_CONSOLIDATED=Y","Sort=A","Dates=H","DateFormat=P","Fill=—","Direction=H","UseDPDF=Y")</f>
        <v>#NAME?</v>
      </c>
      <c r="AT226" s="1" t="e">
        <f ca="1">_xll.BDH($C$203,"INVENTORY_5_YEAR_GROWTH","FQ3 2018","FQ3 2018","Currency=INR","Period=FQ","BEST_FPERIOD_OVERRIDE=FQ","FILING_STATUS=OR","EQY_CONSOLIDATED=Y","Sort=A","Dates=H","DateFormat=P","Fill=—","Direction=H","UseDPDF=Y")</f>
        <v>#NAME?</v>
      </c>
      <c r="AU226" s="1" t="e">
        <f ca="1">_xll.BDH($C$203,"NET_FIXED_ASSETS_5_YEAR_GROWTH","FQ3 2018","FQ3 2018","Currency=INR","Period=FQ","BEST_FPERIOD_OVERRIDE=FQ","FILING_STATUS=OR","EQY_CONSOLIDATED=Y","Sort=A","Dates=H","DateFormat=P","Fill=—","Direction=H","UseDPDF=Y")</f>
        <v>#NAME?</v>
      </c>
      <c r="AV226" s="1" t="e">
        <f ca="1">_xll.BDH($C$203,"GEO_GROW_TOT_ASSET","FQ3 2018","FQ3 2018","Currency=INR","Period=FQ","BEST_FPERIOD_OVERRIDE=FQ","FILING_STATUS=OR","EQY_CONSOLIDATED=Y","Sort=A","Dates=H","DateFormat=P","Fill=—","Direction=H","UseDPDF=Y")</f>
        <v>#NAME?</v>
      </c>
      <c r="AW226" s="1" t="e">
        <f ca="1">_xll.BDH($C$203,"MODIFIED_WORKING_CPTL_5YR_GRWTH","FQ3 2018","FQ3 2018","Currency=INR","Period=FQ","BEST_FPERIOD_OVERRIDE=FQ","FILING_STATUS=OR","EQY_CONSOLIDATED=Y","Sort=A","Dates=H","DateFormat=P","Fill=—","Direction=H","UseDPDF=Y")</f>
        <v>#NAME?</v>
      </c>
      <c r="AX226" s="1" t="e">
        <f ca="1">_xll.BDH($C$203,"WORKING_CAPITAL_5_YEAR_GROWTH","FQ3 2018","FQ3 2018","Currency=INR","Period=FQ","BEST_FPERIOD_OVERRIDE=FQ","FILING_STATUS=OR","EQY_CONSOLIDATED=Y","Sort=A","Dates=H","DateFormat=P","Fill=—","Direction=H","UseDPDF=Y")</f>
        <v>#NAME?</v>
      </c>
      <c r="AY226" s="1" t="e">
        <f ca="1">_xll.BDH($C$203,"ACCOUNTS_PAYABLE_5_YEAR_GROWTH","FQ3 2018","FQ3 2018","Currency=INR","Period=FQ","BEST_FPERIOD_OVERRIDE=FQ","FILING_STATUS=OR","EQY_CONSOLIDATED=Y","Sort=A","Dates=H","DateFormat=P","Fill=—","Direction=H","UseDPDF=Y")</f>
        <v>#NAME?</v>
      </c>
      <c r="AZ226" s="1" t="e">
        <f ca="1">_xll.BDH($C$203,"SHORT_TERM_DEBT_5_YEAR_GROWTH","FQ3 2018","FQ3 2018","Currency=INR","Period=FQ","BEST_FPERIOD_OVERRIDE=FQ","FILING_STATUS=OR","EQY_CONSOLIDATED=Y","Sort=A","Dates=H","DateFormat=P","Fill=—","Direction=H","UseDPDF=Y")</f>
        <v>#NAME?</v>
      </c>
      <c r="BA226" s="1" t="e">
        <f ca="1">_xll.BDH($C$203,"TOTAL_DEBT_5_YEAR_GROWTH","FQ3 2018","FQ3 2018","Currency=INR","Period=FQ","BEST_FPERIOD_OVERRIDE=FQ","FILING_STATUS=OR","EQY_CONSOLIDATED=Y","Sort=A","Dates=H","DateFormat=P","Fill=—","Direction=H","UseDPDF=Y")</f>
        <v>#NAME?</v>
      </c>
      <c r="BB226" s="1" t="e">
        <f ca="1">_xll.BDH($C$203,"GEO_GROW_TOT_SHRHLDR_EQY","FQ3 2018","FQ3 2018","Currency=INR","Period=FQ","BEST_FPERIOD_OVERRIDE=FQ","FILING_STATUS=OR","EQY_CONSOLIDATED=Y","Sort=A","Dates=H","DateFormat=P","Fill=—","Direction=H","UseDPDF=Y")</f>
        <v>#NAME?</v>
      </c>
      <c r="BC226" s="1" t="e">
        <f ca="1">_xll.BDH($C$203,"TOTAL_CAPITAL_5_YEAR_GROWTH","FQ3 2018","FQ3 2018","Currency=INR","Period=FQ","BEST_FPERIOD_OVERRIDE=FQ","FILING_STATUS=OR","EQY_CONSOLIDATED=Y","Sort=A","Dates=H","DateFormat=P","Fill=—","Direction=H","UseDPDF=Y")</f>
        <v>#NAME?</v>
      </c>
      <c r="BD226" s="1" t="e">
        <f ca="1">_xll.BDH($C$203,"GEO_GROW_BOOK_VAL","FQ3 2018","FQ3 2018","Currency=INR","Period=FQ","BEST_FPERIOD_OVERRIDE=FQ","FILING_STATUS=OR","EQY_CONSOLIDATED=Y","Sort=A","Dates=H","DateFormat=P","Fill=—","Direction=H","UseDPDF=Y")</f>
        <v>#NAME?</v>
      </c>
      <c r="BE226" s="1" t="e">
        <f ca="1">_xll.BDH($C$203,"GEO_GROW_CASH_OPER_ACT","FQ3 2018","FQ3 2018","Currency=INR","Period=FQ","BEST_FPERIOD_OVERRIDE=FQ","FILING_STATUS=OR","EQY_CONSOLIDATED=Y","Sort=A","Dates=H","DateFormat=P","Fill=—","Direction=H","UseDPDF=Y")</f>
        <v>#NAME?</v>
      </c>
      <c r="BF226" s="1" t="e">
        <f ca="1">_xll.BDH($C$203,"REVENUE_SEQUENTIAL_GROWTH","FQ3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26" s="1" t="e">
        <f ca="1">_xll.BDH($C$203,"EBITDA_SEQUENTIAL_GROWTH","FQ3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26" s="1" t="e">
        <f ca="1">_xll.BDH($C$203,"OPERATING_INCOME_SEQ_GROWTH","FQ3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26" s="1" t="e">
        <f ca="1">_xll.BDH($C$203,"NET_INCOME_TO_COMMON_SEQ_GROWTH","FQ3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26" s="1" t="e">
        <f ca="1">_xll.BDH($C$203,"EPS_DILUTED_SEQUENTIAL_GROWTH","FQ3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26" s="1" t="e">
        <f ca="1">_xll.BDH($C$203,"DPS_SEQUENTIAL_GROWTH","FQ3 2018","FQ3 2018","Currency=INR","Period=FQ","BEST_FPERIOD_OVERRIDE=FQ","FILING_STATUS=OR","EQY_CONSOLIDATED=Y","Sort=A","Dates=H","DateFormat=P","Fill=—","Direction=H","UseDPDF=Y")</f>
        <v>#NAME?</v>
      </c>
      <c r="BL226" s="1" t="e">
        <f ca="1">_xll.BDH($C$203,"ACCOUNTS_RECEIVABLE_SEQ_GROWTH","FQ3 2018","FQ3 2018","Currency=INR","Period=FQ","BEST_FPERIOD_OVERRIDE=FQ","FILING_STATUS=OR","EQY_CONSOLIDATED=Y","Sort=A","Dates=H","DateFormat=P","Fill=—","Direction=H","UseDPDF=Y")</f>
        <v>#NAME?</v>
      </c>
      <c r="BM226" s="1" t="e">
        <f ca="1">_xll.BDH($C$203,"INVENTORY_SEQUENTIAL_GROWTH","FQ3 2018","FQ3 2018","Currency=INR","Period=FQ","BEST_FPERIOD_OVERRIDE=FQ","FILING_STATUS=OR","EQY_CONSOLIDATED=Y","Sort=A","Dates=H","DateFormat=P","Fill=—","Direction=H","UseDPDF=Y")</f>
        <v>#NAME?</v>
      </c>
      <c r="BN226" s="1" t="e">
        <f ca="1">_xll.BDH($C$203,"FIXED_ASSETS_SEQUENTIAL_GROWTH","FQ3 2018","FQ3 2018","Currency=INR","Period=FQ","BEST_FPERIOD_OVERRIDE=FQ","FILING_STATUS=OR","EQY_CONSOLIDATED=Y","Sort=A","Dates=H","DateFormat=P","Fill=—","Direction=H","UseDPDF=Y")</f>
        <v>#NAME?</v>
      </c>
      <c r="BO226" s="1" t="e">
        <f ca="1">_xll.BDH($C$203,"TOTAL_ASSETS_SEQUENTIAL_GROWTH","FQ3 2018","FQ3 2018","Currency=INR","Period=FQ","BEST_FPERIOD_OVERRIDE=FQ","FILING_STATUS=OR","EQY_CONSOLIDATED=Y","Sort=A","Dates=H","DateFormat=P","Fill=—","Direction=H","UseDPDF=Y")</f>
        <v>#NAME?</v>
      </c>
      <c r="BP226" s="1" t="e">
        <f ca="1">_xll.BDH($C$203,"MODIFIED_WORKING_CPTL_SEQ_GRWTH","FQ3 2018","FQ3 2018","Currency=INR","Period=FQ","BEST_FPERIOD_OVERRIDE=FQ","FILING_STATUS=OR","EQY_CONSOLIDATED=Y","Sort=A","Dates=H","DateFormat=P","Fill=—","Direction=H","UseDPDF=Y")</f>
        <v>#NAME?</v>
      </c>
      <c r="BQ226" s="1" t="e">
        <f ca="1">_xll.BDH($C$203,"WORKING_CAPITAL_SEQ_GROWTH","FQ3 2018","FQ3 2018","Currency=INR","Period=FQ","BEST_FPERIOD_OVERRIDE=FQ","FILING_STATUS=OR","EQY_CONSOLIDATED=Y","Sort=A","Dates=H","DateFormat=P","Fill=—","Direction=H","UseDPDF=Y")</f>
        <v>#NAME?</v>
      </c>
      <c r="BR226" s="1" t="e">
        <f ca="1">_xll.BDH($C$203,"ACCOUNTS_PAYABLE_SEQ_GROWTH","FQ3 2018","FQ3 2018","Currency=INR","Period=FQ","BEST_FPERIOD_OVERRIDE=FQ","FILING_STATUS=OR","EQY_CONSOLIDATED=Y","Sort=A","Dates=H","DateFormat=P","Fill=—","Direction=H","UseDPDF=Y")</f>
        <v>#NAME?</v>
      </c>
      <c r="BS226" s="1" t="e">
        <f ca="1">_xll.BDH($C$203,"ST_DEBT_SEQUENTIAL_GROWTH","FQ3 2018","FQ3 2018","Currency=INR","Period=FQ","BEST_FPERIOD_OVERRIDE=FQ","FILING_STATUS=OR","EQY_CONSOLIDATED=Y","Sort=A","Dates=H","DateFormat=P","Fill=—","Direction=H","UseDPDF=Y")</f>
        <v>#NAME?</v>
      </c>
      <c r="BT226" s="1" t="e">
        <f ca="1">_xll.BDH($C$203,"TOTAL_DEBT_SEQUENTIAL_GROWTH","FQ3 2018","FQ3 2018","Currency=INR","Period=FQ","BEST_FPERIOD_OVERRIDE=FQ","FILING_STATUS=OR","EQY_CONSOLIDATED=Y","Sort=A","Dates=H","DateFormat=P","Fill=—","Direction=H","UseDPDF=Y")</f>
        <v>#NAME?</v>
      </c>
      <c r="BU226" s="1" t="e">
        <f ca="1">_xll.BDH($C$203,"TOTAL_EQUITY_SEQUENTIAL_GROWTH","FQ3 2018","FQ3 2018","Currency=INR","Period=FQ","BEST_FPERIOD_OVERRIDE=FQ","FILING_STATUS=OR","EQY_CONSOLIDATED=Y","Sort=A","Dates=H","DateFormat=P","Fill=—","Direction=H","UseDPDF=Y")</f>
        <v>#NAME?</v>
      </c>
      <c r="BV226" s="1" t="e">
        <f ca="1">_xll.BDH($C$203,"TOTAL_CAPITAL_SEQUENTIAL_GROWTH","FQ3 2018","FQ3 2018","Currency=INR","Period=FQ","BEST_FPERIOD_OVERRIDE=FQ","FILING_STATUS=OR","EQY_CONSOLIDATED=Y","Sort=A","Dates=H","DateFormat=P","Fill=—","Direction=H","UseDPDF=Y")</f>
        <v>#NAME?</v>
      </c>
      <c r="BW226" s="1" t="e">
        <f ca="1">_xll.BDH($C$203,"BPS_SEQUENTIAL_GROWTH","FQ3 2018","FQ3 2018","Currency=INR","Period=FQ","BEST_FPERIOD_OVERRIDE=FQ","FILING_STATUS=OR","EQY_CONSOLIDATED=Y","Sort=A","Dates=H","DateFormat=P","Fill=—","Direction=H","UseDPDF=Y")</f>
        <v>#NAME?</v>
      </c>
      <c r="BX226" s="1" t="e">
        <f ca="1">_xll.BDH($C$203,"CFO_SEQUENTIAL_GROWTH","FQ3 2018","FQ3 2018","Currency=INR","Period=FQ","BEST_FPERIOD_OVERRIDE=FQ","FILING_STATUS=OR","EQY_CONSOLIDATED=Y","Sort=A","Dates=H","DateFormat=P","Fill=—","Direction=H","UseDPDF=Y")</f>
        <v>#NAME?</v>
      </c>
      <c r="BY226" s="2" t="e">
        <f ca="1">_xll.BDH($C$203,"SHORT_AND_LONG_TERM_DEBT","FQ3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26" s="2" t="e">
        <f ca="1">_xll.BDH($C$203,"BS_ST_BORROW","FQ3 2018","FQ3 2018","Currency=INR","Period=FQ","BEST_FPERIOD_OVERRIDE=FQ","FILING_STATUS=OR","EQY_CONSOLIDATED=Y","SCALING_FORMAT=MLN","Sort=A","Dates=H","DateFormat=P","Fill=—","Direction=H","UseDPDF=Y")</f>
        <v>#NAME?</v>
      </c>
      <c r="CA226" s="2" t="e">
        <f ca="1">_xll.BDH($C$203,"BS_LT_BORROW","FQ3 2018","FQ3 2018","Currency=INR","Period=FQ","BEST_FPERIOD_OVERRIDE=FQ","FILING_STATUS=OR","EQY_CONSOLIDATED=Y","SCALING_FORMAT=MLN","Sort=A","Dates=H","DateFormat=P","Fill=—","Direction=H","UseDPDF=Y")</f>
        <v>#NAME?</v>
      </c>
      <c r="CB226" s="1" t="e">
        <f ca="1">_xll.BDH($C$203,"TOT_DEBT_TO_EBITDA","FQ3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26" s="1" t="e">
        <f ca="1">_xll.BDH($C$203,"NET_DEBT_TO_EBITDA","FQ3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26" s="1" t="e">
        <f ca="1">_xll.BDH($C$203,"TOTAL_DEBT_TO_EBIT","FQ3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26" s="1" t="e">
        <f ca="1">_xll.BDH($C$203,"NET_DEBT_TO_EBIT","FQ3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226" s="1" t="e">
        <f ca="1">_xll.BDH($C$203,"EBITDA_TO_INTEREST_EXPN","FQ3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26" s="1" t="e">
        <f ca="1">_xll.BDH($C$203,"COM_EQY_TO_TOT_ASSET","FQ3 2018","FQ3 2018","Currency=INR","Period=FQ","BEST_FPERIOD_OVERRIDE=FQ","FILING_STATUS=OR","EQY_CONSOLIDATED=Y","Sort=A","Dates=H","DateFormat=P","Fill=—","Direction=H","UseDPDF=Y")</f>
        <v>#NAME?</v>
      </c>
      <c r="CH226" s="1" t="e">
        <f ca="1">_xll.BDH($C$203,"LT_DEBT_TO_TOT_EQY","FQ3 2018","FQ3 2018","Currency=INR","Period=FQ","BEST_FPERIOD_OVERRIDE=FQ","FILING_STATUS=OR","EQY_CONSOLIDATED=Y","Sort=A","Dates=H","DateFormat=P","Fill=—","Direction=H","UseDPDF=Y")</f>
        <v>#NAME?</v>
      </c>
      <c r="CI226" s="1" t="e">
        <f ca="1">_xll.BDH($C$203,"LT_DEBT_TO_TOT_CAP","FQ3 2018","FQ3 2018","Currency=INR","Period=FQ","BEST_FPERIOD_OVERRIDE=FQ","FILING_STATUS=OR","EQY_CONSOLIDATED=Y","Sort=A","Dates=H","DateFormat=P","Fill=—","Direction=H","UseDPDF=Y")</f>
        <v>#NAME?</v>
      </c>
      <c r="CJ226" s="1" t="e">
        <f ca="1">_xll.BDH($C$203,"LT_DEBT_TO_TOT_ASSET","FQ3 2018","FQ3 2018","Currency=INR","Period=FQ","BEST_FPERIOD_OVERRIDE=FQ","FILING_STATUS=OR","EQY_CONSOLIDATED=Y","Sort=A","Dates=H","DateFormat=P","Fill=—","Direction=H","UseDPDF=Y")</f>
        <v>#NAME?</v>
      </c>
      <c r="CK226" s="1" t="e">
        <f ca="1">_xll.BDH($C$203,"TOT_DEBT_TO_TOT_EQY","FQ3 2018","FQ3 2018","Currency=INR","Period=FQ","BEST_FPERIOD_OVERRIDE=FQ","FILING_STATUS=OR","EQY_CONSOLIDATED=Y","Sort=A","Dates=H","DateFormat=P","Fill=—","Direction=H","UseDPDF=Y")</f>
        <v>#NAME?</v>
      </c>
      <c r="CL226" s="1" t="e">
        <f ca="1">_xll.BDH($C$203,"TOT_DEBT_TO_TOT_CAP","FQ3 2018","FQ3 2018","Currency=INR","Period=FQ","BEST_FPERIOD_OVERRIDE=FQ","FILING_STATUS=OR","EQY_CONSOLIDATED=Y","Sort=A","Dates=H","DateFormat=P","Fill=—","Direction=H","UseDPDF=Y")</f>
        <v>#NAME?</v>
      </c>
      <c r="CM226" s="1" t="e">
        <f ca="1">_xll.BDH($C$203,"TOT_DEBT_TO_TOT_ASSET","FQ3 2018","FQ3 2018","Currency=INR","Period=FQ","BEST_FPERIOD_OVERRIDE=FQ","FILING_STATUS=OR","EQY_CONSOLIDATED=Y","Sort=A","Dates=H","DateFormat=P","Fill=—","Direction=H","UseDPDF=Y")</f>
        <v>#NAME?</v>
      </c>
      <c r="CN226" s="1" t="e">
        <f ca="1">_xll.BDH($C$203,"NET_DEBT_TO_SHRHLDR_EQTY","FQ3 2018","FQ3 2018","Currency=INR","Period=FQ","BEST_FPERIOD_OVERRIDE=FQ","FILING_STATUS=OR","EQY_CONSOLIDATED=Y","Sort=A","Dates=H","DateFormat=P","Fill=—","Direction=H","UseDPDF=Y")</f>
        <v>#NAME?</v>
      </c>
      <c r="CO226" s="1" t="e">
        <f ca="1">_xll.BDH($C$203,"NET_DEBT_%_CAPITAL","FQ3 2018","FQ3 2018","Currency=INR","Period=FQ","BEST_FPERIOD_OVERRIDE=FQ","FILING_STATUS=OR","EQY_CONSOLIDATED=Y","Sort=A","Dates=H","DateFormat=P","Fill=—","Direction=H","UseDPDF=Y")</f>
        <v>#NAME?</v>
      </c>
      <c r="CP226" s="2" t="e">
        <f ca="1">_xll.BDH($C$203,"EBITDA","FQ3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26" s="2" t="e">
        <f ca="1">_xll.BDH($C$203,"EBITDA_AFTER_CAPEX","FQ3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26" s="2" t="e">
        <f ca="1">_xll.BDH($C$203,"IS_OPER_INC","FQ3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26" s="1" t="e">
        <f ca="1">_xll.BDH($C$203,"CASH_RATIO","FQ3 2018","FQ3 2018","Currency=INR","Period=FQ","BEST_FPERIOD_OVERRIDE=FQ","FILING_STATUS=OR","EQY_CONSOLIDATED=Y","Sort=A","Dates=H","DateFormat=P","Fill=—","Direction=H","UseDPDF=Y")</f>
        <v>#NAME?</v>
      </c>
      <c r="CT226" s="1" t="e">
        <f ca="1">_xll.BDH($C$203,"CUR_RATIO","FQ3 2018","FQ3 2018","Currency=INR","Period=FQ","BEST_FPERIOD_OVERRIDE=FQ","FILING_STATUS=OR","EQY_CONSOLIDATED=Y","Sort=A","Dates=H","DateFormat=P","Fill=—","Direction=H","UseDPDF=Y")</f>
        <v>#NAME?</v>
      </c>
      <c r="CU226" s="1" t="e">
        <f ca="1">_xll.BDH($C$203,"QUICK_RATIO","FQ3 2018","FQ3 2018","Currency=INR","Period=FQ","BEST_FPERIOD_OVERRIDE=FQ","FILING_STATUS=OR","EQY_CONSOLIDATED=Y","Sort=A","Dates=H","DateFormat=P","Fill=—","Direction=H","UseDPDF=Y")</f>
        <v>#NAME?</v>
      </c>
      <c r="CV226" s="1" t="e">
        <f ca="1">_xll.BDH($C$203,"ALTMAN_Z_SCORE","FQ3 2018","FQ3 2018","Currency=INR","Period=FQ","BEST_FPERIOD_OVERRIDE=FQ","FILING_STATUS=OR","EQY_CONSOLIDATED=Y","Sort=A","Dates=H","DateFormat=P","Fill=—","Direction=H","UseDPDF=Y")</f>
        <v>#NAME?</v>
      </c>
      <c r="CW226" s="3" t="e">
        <f ca="1">_xll.BDH($C$203,"ACCT_RCV_TURN","FQ3 2018","FQ3 2018","Currency=INR","Period=FQ","BEST_FPERIOD_OVERRIDE=FQ","FILING_STATUS=OR","EQY_CONSOLIDATED=Y","FA_ADJUSTED=GAAP","Sort=A","Dates=H","DateFormat=P","Fill=—","Direction=H","UseDPDF=Y")</f>
        <v>#NAME?</v>
      </c>
      <c r="CX226" s="1" t="e">
        <f ca="1">_xll.BDH($C$203,"ACCT_RCV_DAYS","FQ3 2018","FQ3 2018","Currency=INR","Period=FQ","BEST_FPERIOD_OVERRIDE=FQ","FILING_STATUS=OR","EQY_CONSOLIDATED=Y","FA_ADJUSTED=GAAP","Sort=A","Dates=H","DateFormat=P","Fill=—","Direction=H","UseDPDF=Y")</f>
        <v>#NAME?</v>
      </c>
      <c r="CY226" s="3" t="e">
        <f ca="1">_xll.BDH($C$203,"INVENT_TURN","FQ3 2018","FQ3 2018","Currency=INR","Period=FQ","BEST_FPERIOD_OVERRIDE=FQ","FILING_STATUS=OR","EQY_CONSOLIDATED=Y","FA_ADJUSTED=GAAP","Sort=A","Dates=H","DateFormat=P","Fill=—","Direction=H","UseDPDF=Y")</f>
        <v>#NAME?</v>
      </c>
      <c r="CZ226" s="1" t="e">
        <f ca="1">_xll.BDH($C$203,"INVENT_DAYS","FQ3 2018","FQ3 2018","Currency=INR","Period=FQ","BEST_FPERIOD_OVERRIDE=FQ","FILING_STATUS=OR","EQY_CONSOLIDATED=Y","FA_ADJUSTED=GAAP","Sort=A","Dates=H","DateFormat=P","Fill=—","Direction=H","UseDPDF=Y")</f>
        <v>#NAME?</v>
      </c>
      <c r="DA226" s="3" t="e">
        <f ca="1">_xll.BDH($C$203,"ACCOUNTS_PAYABLE_TURNOVER","FQ3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26" s="1" t="e">
        <f ca="1">_xll.BDH($C$203,"ACCOUNTS_PAYABLE_TURNOVER_DAYS","FQ3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26" s="3" t="e">
        <f ca="1">_xll.BDH($C$203,"CASH_CONVERSION_CYCLE","FQ3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26" s="3" t="e">
        <f ca="1">_xll.BDH($C$203,"INV_TO_CASH_DAYS","FQ3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226" s="4" t="e">
        <f ca="1">_xll.BDH($C$203,"BS_INVENTORIES","FQ3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226" s="2" t="e">
        <f ca="1">_xll.BDH($C$203,"INVTRY_RAW_MATERIALS","FQ3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26" s="2" t="e">
        <f ca="1">_xll.BDH($C$203,"INVTRY_IN_PROGRESS","FQ3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26" s="2" t="e">
        <f ca="1">_xll.BDH($C$203,"INVTRY_FINISHED_GOODS","FQ3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26" s="2" t="e">
        <f ca="1">_xll.BDH($C$203,"BS_OTHER_INV","FQ3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27" spans="1:113" x14ac:dyDescent="0.3">
      <c r="A227" s="6"/>
      <c r="B227" s="6"/>
      <c r="C227" s="6"/>
      <c r="D227" s="6"/>
      <c r="E227" t="s">
        <v>7</v>
      </c>
      <c r="F227" t="e">
        <f ca="1">_xll.BDH($C$203,"RETURN_COM_EQY","FQ4 2018","FQ4 2018","Currency=INR","Period=FQ","BEST_FPERIOD_OVERRIDE=FQ","FILING_STATUS=OR","EQY_CONSOLIDATED=Y","FA_ADJUSTED=GAAP","Sort=A","Dates=H","DateFormat=P","Fill=—","Direction=H","UseDPDF=Y")</f>
        <v>#NAME?</v>
      </c>
      <c r="G227" t="e">
        <f ca="1">_xll.BDH($C$203,"RETURN_ON_ASSET","FQ4 2018","FQ4 2018","Currency=INR","Period=FQ","BEST_FPERIOD_OVERRIDE=FQ","FILING_STATUS=OR","EQY_CONSOLIDATED=Y","FA_ADJUSTED=GAAP","Sort=A","Dates=H","DateFormat=P","Fill=—","Direction=H","UseDPDF=Y")</f>
        <v>#NAME?</v>
      </c>
      <c r="H227" t="e">
        <f ca="1">_xll.BDH($C$203,"RETURN_ON_CAP","FQ4 2018","FQ4 2018","Currency=INR","Period=FQ","BEST_FPERIOD_OVERRIDE=FQ","FILING_STATUS=OR","EQY_CONSOLIDATED=Y","FA_ADJUSTED=GAAP","Sort=A","Dates=H","DateFormat=P","Fill=—","Direction=H","UseDPDF=Y")</f>
        <v>#NAME?</v>
      </c>
      <c r="I227" t="e">
        <f ca="1">_xll.BDH($C$203,"RETURN_ON_INV_CAPITAL","FQ4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27" t="e">
        <f ca="1">_xll.BDH($C$203,"EBITDA_TO_REVENUE","FQ4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227" t="e">
        <f ca="1">_xll.BDH($C$203,"OPER_MARGIN","FQ4 2018","FQ4 2018","Currency=INR","Period=FQ","BEST_FPERIOD_OVERRIDE=FQ","FILING_STATUS=OR","EQY_CONSOLIDATED=Y","FA_ADJUSTED=GAAP","Sort=A","Dates=H","DateFormat=P","Fill=—","Direction=H","UseDPDF=Y")</f>
        <v>#NAME?</v>
      </c>
      <c r="L227" t="e">
        <f ca="1">_xll.BDH($C$203,"INCREMENTAL_OPERATING_MARGIN","FQ4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27" t="e">
        <f ca="1">_xll.BDH($C$203,"PRETAX_INC_TO_NET_SALES","FQ4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27" t="e">
        <f ca="1">_xll.BDH($C$203,"INC_BEF_XO_ITEMS_TO_NET_SALES","FQ4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27" t="e">
        <f ca="1">_xll.BDH($C$203,"PROF_MARGIN","FQ4 2018","FQ4 2018","Currency=INR","Period=FQ","BEST_FPERIOD_OVERRIDE=FQ","FILING_STATUS=OR","EQY_CONSOLIDATED=Y","FA_ADJUSTED=GAAP","Sort=A","Dates=H","DateFormat=P","Fill=—","Direction=H","UseDPDF=Y")</f>
        <v>#NAME?</v>
      </c>
      <c r="P227" t="e">
        <f ca="1">_xll.BDH($C$203,"NET_INCOME_TO_COMMON_MARGIN","FQ4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27" t="e">
        <f ca="1">_xll.BDH($C$203,"EFF_TAX_RATE","FQ4 2018","FQ4 2018","Currency=INR","Period=FQ","BEST_FPERIOD_OVERRIDE=FQ","FILING_STATUS=OR","EQY_CONSOLIDATED=Y","FA_ADJUSTED=GAAP","Sort=A","Dates=H","DateFormat=P","Fill=—","Direction=H","UseDPDF=Y")</f>
        <v>#NAME?</v>
      </c>
      <c r="R227" t="e">
        <f ca="1">_xll.BDH($C$203,"DVD_PAYOUT_RATIO","FQ4 2018","FQ4 2018","Currency=INR","Period=FQ","BEST_FPERIOD_OVERRIDE=FQ","FILING_STATUS=OR","EQY_CONSOLIDATED=Y","FA_ADJUSTED=GAAP","Sort=A","Dates=H","DateFormat=P","Fill=—","Direction=H","UseDPDF=Y")</f>
        <v>#NAME?</v>
      </c>
      <c r="S227" t="e">
        <f ca="1">_xll.BDH($C$203,"SUSTAIN_GROWTH_RT","FQ4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227" s="1" t="e">
        <f ca="1">_xll.BDH($C$203,"SALES_GROWTH","FQ4 2018","FQ4 2018","Currency=INR","Period=FQ","BEST_FPERIOD_OVERRIDE=FQ","FILING_STATUS=OR","EQY_CONSOLIDATED=Y","FA_ADJUSTED=GAAP","Sort=A","Dates=H","DateFormat=P","Fill=—","Direction=H","UseDPDF=Y")</f>
        <v>#NAME?</v>
      </c>
      <c r="U227" s="1" t="e">
        <f ca="1">_xll.BDH($C$203,"EBITDA_GROWTH","FQ4 2018","FQ4 2018","Currency=INR","Period=FQ","BEST_FPERIOD_OVERRIDE=FQ","FILING_STATUS=OR","EQY_CONSOLIDATED=Y","FA_ADJUSTED=GAAP","Sort=A","Dates=H","DateFormat=P","Fill=—","Direction=H","UseDPDF=Y")</f>
        <v>#NAME?</v>
      </c>
      <c r="V227" s="1" t="e">
        <f ca="1">_xll.BDH($C$203,"OPER_INC_GROWTH","FQ4 2018","FQ4 2018","Currency=INR","Period=FQ","BEST_FPERIOD_OVERRIDE=FQ","FILING_STATUS=OR","EQY_CONSOLIDATED=Y","FA_ADJUSTED=GAAP","Sort=A","Dates=H","DateFormat=P","Fill=—","Direction=H","UseDPDF=Y")</f>
        <v>#NAME?</v>
      </c>
      <c r="W227" s="1" t="e">
        <f ca="1">_xll.BDH($C$203,"EARN_FOR_COM_GROWTH","FQ4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27" s="1" t="e">
        <f ca="1">_xll.BDH($C$203,"DILUTED_EPS_AFT_XO_ITEMS_GROWTH","FQ4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27" s="1" t="e">
        <f ca="1">_xll.BDH($C$203,"DIVIDEND_PER_SHARE_1_YEAR_GROWTH","FQ4 2018","FQ4 2018","Currency=INR","Period=FQ","BEST_FPERIOD_OVERRIDE=FQ","FILING_STATUS=OR","EQY_CONSOLIDATED=Y","Sort=A","Dates=H","DateFormat=P","Fill=—","Direction=H","UseDPDF=Y")</f>
        <v>#NAME?</v>
      </c>
      <c r="Z227" s="1" t="e">
        <f ca="1">_xll.BDH($C$203,"ACCOUNTS_RECEIVABLE_GROWTH","FQ4 2018","FQ4 2018","Currency=INR","Period=FQ","BEST_FPERIOD_OVERRIDE=FQ","FILING_STATUS=OR","EQY_CONSOLIDATED=Y","Sort=A","Dates=H","DateFormat=P","Fill=—","Direction=H","UseDPDF=Y")</f>
        <v>#NAME?</v>
      </c>
      <c r="AA227" s="1" t="e">
        <f ca="1">_xll.BDH($C$203,"INVENTORY_GROWTH","FQ4 2018","FQ4 2018","Currency=INR","Period=FQ","BEST_FPERIOD_OVERRIDE=FQ","FILING_STATUS=OR","EQY_CONSOLIDATED=Y","Sort=A","Dates=H","DateFormat=P","Fill=—","Direction=H","UseDPDF=Y")</f>
        <v>#NAME?</v>
      </c>
      <c r="AB227" s="1" t="e">
        <f ca="1">_xll.BDH($C$203,"NET_FIXED_ASSETS_1_YEAR_GROWTH","FQ4 2018","FQ4 2018","Currency=INR","Period=FQ","BEST_FPERIOD_OVERRIDE=FQ","FILING_STATUS=OR","EQY_CONSOLIDATED=Y","Sort=A","Dates=H","DateFormat=P","Fill=—","Direction=H","UseDPDF=Y")</f>
        <v>#NAME?</v>
      </c>
      <c r="AC227" s="1" t="e">
        <f ca="1">_xll.BDH($C$203,"ASSET_GROWTH","FQ4 2018","FQ4 2018","Currency=INR","Period=FQ","BEST_FPERIOD_OVERRIDE=FQ","FILING_STATUS=OR","EQY_CONSOLIDATED=Y","Sort=A","Dates=H","DateFormat=P","Fill=—","Direction=H","UseDPDF=Y")</f>
        <v>#NAME?</v>
      </c>
      <c r="AD227" s="1" t="e">
        <f ca="1">_xll.BDH($C$203,"MODIFIED_WORK_CAP_GROWTH","FQ4 2018","FQ4 2018","Currency=INR","Period=FQ","BEST_FPERIOD_OVERRIDE=FQ","FILING_STATUS=OR","EQY_CONSOLIDATED=Y","Sort=A","Dates=H","DateFormat=P","Fill=—","Direction=H","UseDPDF=Y")</f>
        <v>#NAME?</v>
      </c>
      <c r="AE227" s="1" t="e">
        <f ca="1">_xll.BDH($C$203,"WORK_CAP_GROWTH","FQ4 2018","FQ4 2018","Currency=INR","Period=FQ","BEST_FPERIOD_OVERRIDE=FQ","FILING_STATUS=OR","EQY_CONSOLIDATED=Y","Sort=A","Dates=H","DateFormat=P","Fill=—","Direction=H","UseDPDF=Y")</f>
        <v>#NAME?</v>
      </c>
      <c r="AF227" s="1" t="e">
        <f ca="1">_xll.BDH($C$203,"ACCOUNTS_PAYABLE_GROWTH_1YR","FQ4 2018","FQ4 2018","Currency=INR","Period=FQ","BEST_FPERIOD_OVERRIDE=FQ","FILING_STATUS=OR","EQY_CONSOLIDATED=Y","Sort=A","Dates=H","DateFormat=P","Fill=—","Direction=H","UseDPDF=Y")</f>
        <v>#NAME?</v>
      </c>
      <c r="AG227" s="1" t="e">
        <f ca="1">_xll.BDH($C$203,"SHORT_TERM_DEBT_1_YEAR_GROWTH","FQ4 2018","FQ4 2018","Currency=INR","Period=FQ","BEST_FPERIOD_OVERRIDE=FQ","FILING_STATUS=OR","EQY_CONSOLIDATED=Y","Sort=A","Dates=H","DateFormat=P","Fill=—","Direction=H","UseDPDF=Y")</f>
        <v>#NAME?</v>
      </c>
      <c r="AH227" s="1" t="e">
        <f ca="1">_xll.BDH($C$203,"TOTAL_DEBT_1_YEAR_GROWTH","FQ4 2018","FQ4 2018","Currency=INR","Period=FQ","BEST_FPERIOD_OVERRIDE=FQ","FILING_STATUS=OR","EQY_CONSOLIDATED=Y","Sort=A","Dates=H","DateFormat=P","Fill=—","Direction=H","UseDPDF=Y")</f>
        <v>#NAME?</v>
      </c>
      <c r="AI227" s="1" t="e">
        <f ca="1">_xll.BDH($C$203,"TOTAL_EQUITY_1_YEAR_GROWTH","FQ4 2018","FQ4 2018","Currency=INR","Period=FQ","BEST_FPERIOD_OVERRIDE=FQ","FILING_STATUS=OR","EQY_CONSOLIDATED=Y","Sort=A","Dates=H","DateFormat=P","Fill=—","Direction=H","UseDPDF=Y")</f>
        <v>#NAME?</v>
      </c>
      <c r="AJ227" s="1" t="e">
        <f ca="1">_xll.BDH($C$203,"GROWTH_IN_CAP","FQ4 2018","FQ4 2018","Currency=INR","Period=FQ","BEST_FPERIOD_OVERRIDE=FQ","FILING_STATUS=OR","EQY_CONSOLIDATED=Y","Sort=A","Dates=H","DateFormat=P","Fill=—","Direction=H","UseDPDF=Y")</f>
        <v>#NAME?</v>
      </c>
      <c r="AK227" s="1" t="e">
        <f ca="1">_xll.BDH($C$203,"BVPS_GROWTH","FQ4 2018","FQ4 2018","Currency=INR","Period=FQ","BEST_FPERIOD_OVERRIDE=FQ","FILING_STATUS=OR","EQY_CONSOLIDATED=Y","Sort=A","Dates=H","DateFormat=P","Fill=—","Direction=H","UseDPDF=Y")</f>
        <v>#NAME?</v>
      </c>
      <c r="AL227" s="1" t="e">
        <f ca="1">_xll.BDH($C$203,"CASH_FLOW_GROWTH","FQ4 2018","FQ4 2018","Currency=INR","Period=FQ","BEST_FPERIOD_OVERRIDE=FQ","FILING_STATUS=OR","EQY_CONSOLIDATED=Y","Sort=A","Dates=H","DateFormat=P","Fill=—","Direction=H","UseDPDF=Y")</f>
        <v>#NAME?</v>
      </c>
      <c r="AM227" s="1" t="e">
        <f ca="1">_xll.BDH($C$203,"GEO_GROW_NET_SALES","FQ4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27" s="1" t="e">
        <f ca="1">_xll.BDH($C$203,"GEO_GROW_EBITDA","FQ4 2018","FQ4 2018","Currency=INR","Period=FQ","BEST_FPERIOD_OVERRIDE=FQ","FILING_STATUS=OR","EQY_CONSOLIDATED=Y","FA_ADJUSTED=GAAP","Sort=A","Dates=H","DateFormat=P","Fill=—","Direction=H","UseDPDF=Y")</f>
        <v>#NAME?</v>
      </c>
      <c r="AO227" s="1" t="e">
        <f ca="1">_xll.BDH($C$203,"GEO_GROW_OPER_INC","FQ4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27" s="1" t="e">
        <f ca="1">_xll.BDH($C$203,"NET_INCOME_TO_COMMON_5_YR_GROWTH","FQ4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27" s="1" t="e">
        <f ca="1">_xll.BDH($C$203,"5Y_GEO_GROWTH_DILUTED_EPS","FQ4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27" s="1" t="e">
        <f ca="1">_xll.BDH($C$203,"GEO_GROW_DVD_PER_SH","FQ4 2018","FQ4 2018","Currency=INR","Period=FQ","BEST_FPERIOD_OVERRIDE=FQ","FILING_STATUS=OR","EQY_CONSOLIDATED=Y","Sort=A","Dates=H","DateFormat=P","Fill=—","Direction=H","UseDPDF=Y")</f>
        <v>#NAME?</v>
      </c>
      <c r="AS227" s="1" t="e">
        <f ca="1">_xll.BDH($C$203,"ACCOUNTS_RECEIVABLE_5_YR_GROWTH","FQ4 2018","FQ4 2018","Currency=INR","Period=FQ","BEST_FPERIOD_OVERRIDE=FQ","FILING_STATUS=OR","EQY_CONSOLIDATED=Y","Sort=A","Dates=H","DateFormat=P","Fill=—","Direction=H","UseDPDF=Y")</f>
        <v>#NAME?</v>
      </c>
      <c r="AT227" s="1" t="e">
        <f ca="1">_xll.BDH($C$203,"INVENTORY_5_YEAR_GROWTH","FQ4 2018","FQ4 2018","Currency=INR","Period=FQ","BEST_FPERIOD_OVERRIDE=FQ","FILING_STATUS=OR","EQY_CONSOLIDATED=Y","Sort=A","Dates=H","DateFormat=P","Fill=—","Direction=H","UseDPDF=Y")</f>
        <v>#NAME?</v>
      </c>
      <c r="AU227" s="1" t="e">
        <f ca="1">_xll.BDH($C$203,"NET_FIXED_ASSETS_5_YEAR_GROWTH","FQ4 2018","FQ4 2018","Currency=INR","Period=FQ","BEST_FPERIOD_OVERRIDE=FQ","FILING_STATUS=OR","EQY_CONSOLIDATED=Y","Sort=A","Dates=H","DateFormat=P","Fill=—","Direction=H","UseDPDF=Y")</f>
        <v>#NAME?</v>
      </c>
      <c r="AV227" s="1" t="e">
        <f ca="1">_xll.BDH($C$203,"GEO_GROW_TOT_ASSET","FQ4 2018","FQ4 2018","Currency=INR","Period=FQ","BEST_FPERIOD_OVERRIDE=FQ","FILING_STATUS=OR","EQY_CONSOLIDATED=Y","Sort=A","Dates=H","DateFormat=P","Fill=—","Direction=H","UseDPDF=Y")</f>
        <v>#NAME?</v>
      </c>
      <c r="AW227" s="1" t="e">
        <f ca="1">_xll.BDH($C$203,"MODIFIED_WORKING_CPTL_5YR_GRWTH","FQ4 2018","FQ4 2018","Currency=INR","Period=FQ","BEST_FPERIOD_OVERRIDE=FQ","FILING_STATUS=OR","EQY_CONSOLIDATED=Y","Sort=A","Dates=H","DateFormat=P","Fill=—","Direction=H","UseDPDF=Y")</f>
        <v>#NAME?</v>
      </c>
      <c r="AX227" s="1" t="e">
        <f ca="1">_xll.BDH($C$203,"WORKING_CAPITAL_5_YEAR_GROWTH","FQ4 2018","FQ4 2018","Currency=INR","Period=FQ","BEST_FPERIOD_OVERRIDE=FQ","FILING_STATUS=OR","EQY_CONSOLIDATED=Y","Sort=A","Dates=H","DateFormat=P","Fill=—","Direction=H","UseDPDF=Y")</f>
        <v>#NAME?</v>
      </c>
      <c r="AY227" s="1" t="e">
        <f ca="1">_xll.BDH($C$203,"ACCOUNTS_PAYABLE_5_YEAR_GROWTH","FQ4 2018","FQ4 2018","Currency=INR","Period=FQ","BEST_FPERIOD_OVERRIDE=FQ","FILING_STATUS=OR","EQY_CONSOLIDATED=Y","Sort=A","Dates=H","DateFormat=P","Fill=—","Direction=H","UseDPDF=Y")</f>
        <v>#NAME?</v>
      </c>
      <c r="AZ227" s="1" t="e">
        <f ca="1">_xll.BDH($C$203,"SHORT_TERM_DEBT_5_YEAR_GROWTH","FQ4 2018","FQ4 2018","Currency=INR","Period=FQ","BEST_FPERIOD_OVERRIDE=FQ","FILING_STATUS=OR","EQY_CONSOLIDATED=Y","Sort=A","Dates=H","DateFormat=P","Fill=—","Direction=H","UseDPDF=Y")</f>
        <v>#NAME?</v>
      </c>
      <c r="BA227" s="1" t="e">
        <f ca="1">_xll.BDH($C$203,"TOTAL_DEBT_5_YEAR_GROWTH","FQ4 2018","FQ4 2018","Currency=INR","Period=FQ","BEST_FPERIOD_OVERRIDE=FQ","FILING_STATUS=OR","EQY_CONSOLIDATED=Y","Sort=A","Dates=H","DateFormat=P","Fill=—","Direction=H","UseDPDF=Y")</f>
        <v>#NAME?</v>
      </c>
      <c r="BB227" s="1" t="e">
        <f ca="1">_xll.BDH($C$203,"GEO_GROW_TOT_SHRHLDR_EQY","FQ4 2018","FQ4 2018","Currency=INR","Period=FQ","BEST_FPERIOD_OVERRIDE=FQ","FILING_STATUS=OR","EQY_CONSOLIDATED=Y","Sort=A","Dates=H","DateFormat=P","Fill=—","Direction=H","UseDPDF=Y")</f>
        <v>#NAME?</v>
      </c>
      <c r="BC227" s="1" t="e">
        <f ca="1">_xll.BDH($C$203,"TOTAL_CAPITAL_5_YEAR_GROWTH","FQ4 2018","FQ4 2018","Currency=INR","Period=FQ","BEST_FPERIOD_OVERRIDE=FQ","FILING_STATUS=OR","EQY_CONSOLIDATED=Y","Sort=A","Dates=H","DateFormat=P","Fill=—","Direction=H","UseDPDF=Y")</f>
        <v>#NAME?</v>
      </c>
      <c r="BD227" s="1" t="e">
        <f ca="1">_xll.BDH($C$203,"GEO_GROW_BOOK_VAL","FQ4 2018","FQ4 2018","Currency=INR","Period=FQ","BEST_FPERIOD_OVERRIDE=FQ","FILING_STATUS=OR","EQY_CONSOLIDATED=Y","Sort=A","Dates=H","DateFormat=P","Fill=—","Direction=H","UseDPDF=Y")</f>
        <v>#NAME?</v>
      </c>
      <c r="BE227" s="1" t="e">
        <f ca="1">_xll.BDH($C$203,"GEO_GROW_CASH_OPER_ACT","FQ4 2018","FQ4 2018","Currency=INR","Period=FQ","BEST_FPERIOD_OVERRIDE=FQ","FILING_STATUS=OR","EQY_CONSOLIDATED=Y","Sort=A","Dates=H","DateFormat=P","Fill=—","Direction=H","UseDPDF=Y")</f>
        <v>#NAME?</v>
      </c>
      <c r="BF227" s="1" t="e">
        <f ca="1">_xll.BDH($C$203,"REVENUE_SEQUENTIAL_GROWTH","FQ4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27" s="1" t="e">
        <f ca="1">_xll.BDH($C$203,"EBITDA_SEQUENTIAL_GROWTH","FQ4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27" s="1" t="e">
        <f ca="1">_xll.BDH($C$203,"OPERATING_INCOME_SEQ_GROWTH","FQ4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27" s="1" t="e">
        <f ca="1">_xll.BDH($C$203,"NET_INCOME_TO_COMMON_SEQ_GROWTH","FQ4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27" s="1" t="e">
        <f ca="1">_xll.BDH($C$203,"EPS_DILUTED_SEQUENTIAL_GROWTH","FQ4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27" s="1" t="e">
        <f ca="1">_xll.BDH($C$203,"DPS_SEQUENTIAL_GROWTH","FQ4 2018","FQ4 2018","Currency=INR","Period=FQ","BEST_FPERIOD_OVERRIDE=FQ","FILING_STATUS=OR","EQY_CONSOLIDATED=Y","Sort=A","Dates=H","DateFormat=P","Fill=—","Direction=H","UseDPDF=Y")</f>
        <v>#NAME?</v>
      </c>
      <c r="BL227" s="1" t="e">
        <f ca="1">_xll.BDH($C$203,"ACCOUNTS_RECEIVABLE_SEQ_GROWTH","FQ4 2018","FQ4 2018","Currency=INR","Period=FQ","BEST_FPERIOD_OVERRIDE=FQ","FILING_STATUS=OR","EQY_CONSOLIDATED=Y","Sort=A","Dates=H","DateFormat=P","Fill=—","Direction=H","UseDPDF=Y")</f>
        <v>#NAME?</v>
      </c>
      <c r="BM227" s="1" t="e">
        <f ca="1">_xll.BDH($C$203,"INVENTORY_SEQUENTIAL_GROWTH","FQ4 2018","FQ4 2018","Currency=INR","Period=FQ","BEST_FPERIOD_OVERRIDE=FQ","FILING_STATUS=OR","EQY_CONSOLIDATED=Y","Sort=A","Dates=H","DateFormat=P","Fill=—","Direction=H","UseDPDF=Y")</f>
        <v>#NAME?</v>
      </c>
      <c r="BN227" s="1" t="e">
        <f ca="1">_xll.BDH($C$203,"FIXED_ASSETS_SEQUENTIAL_GROWTH","FQ4 2018","FQ4 2018","Currency=INR","Period=FQ","BEST_FPERIOD_OVERRIDE=FQ","FILING_STATUS=OR","EQY_CONSOLIDATED=Y","Sort=A","Dates=H","DateFormat=P","Fill=—","Direction=H","UseDPDF=Y")</f>
        <v>#NAME?</v>
      </c>
      <c r="BO227" s="1" t="e">
        <f ca="1">_xll.BDH($C$203,"TOTAL_ASSETS_SEQUENTIAL_GROWTH","FQ4 2018","FQ4 2018","Currency=INR","Period=FQ","BEST_FPERIOD_OVERRIDE=FQ","FILING_STATUS=OR","EQY_CONSOLIDATED=Y","Sort=A","Dates=H","DateFormat=P","Fill=—","Direction=H","UseDPDF=Y")</f>
        <v>#NAME?</v>
      </c>
      <c r="BP227" s="1" t="e">
        <f ca="1">_xll.BDH($C$203,"MODIFIED_WORKING_CPTL_SEQ_GRWTH","FQ4 2018","FQ4 2018","Currency=INR","Period=FQ","BEST_FPERIOD_OVERRIDE=FQ","FILING_STATUS=OR","EQY_CONSOLIDATED=Y","Sort=A","Dates=H","DateFormat=P","Fill=—","Direction=H","UseDPDF=Y")</f>
        <v>#NAME?</v>
      </c>
      <c r="BQ227" s="1" t="e">
        <f ca="1">_xll.BDH($C$203,"WORKING_CAPITAL_SEQ_GROWTH","FQ4 2018","FQ4 2018","Currency=INR","Period=FQ","BEST_FPERIOD_OVERRIDE=FQ","FILING_STATUS=OR","EQY_CONSOLIDATED=Y","Sort=A","Dates=H","DateFormat=P","Fill=—","Direction=H","UseDPDF=Y")</f>
        <v>#NAME?</v>
      </c>
      <c r="BR227" s="1" t="e">
        <f ca="1">_xll.BDH($C$203,"ACCOUNTS_PAYABLE_SEQ_GROWTH","FQ4 2018","FQ4 2018","Currency=INR","Period=FQ","BEST_FPERIOD_OVERRIDE=FQ","FILING_STATUS=OR","EQY_CONSOLIDATED=Y","Sort=A","Dates=H","DateFormat=P","Fill=—","Direction=H","UseDPDF=Y")</f>
        <v>#NAME?</v>
      </c>
      <c r="BS227" s="1" t="e">
        <f ca="1">_xll.BDH($C$203,"ST_DEBT_SEQUENTIAL_GROWTH","FQ4 2018","FQ4 2018","Currency=INR","Period=FQ","BEST_FPERIOD_OVERRIDE=FQ","FILING_STATUS=OR","EQY_CONSOLIDATED=Y","Sort=A","Dates=H","DateFormat=P","Fill=—","Direction=H","UseDPDF=Y")</f>
        <v>#NAME?</v>
      </c>
      <c r="BT227" s="1" t="e">
        <f ca="1">_xll.BDH($C$203,"TOTAL_DEBT_SEQUENTIAL_GROWTH","FQ4 2018","FQ4 2018","Currency=INR","Period=FQ","BEST_FPERIOD_OVERRIDE=FQ","FILING_STATUS=OR","EQY_CONSOLIDATED=Y","Sort=A","Dates=H","DateFormat=P","Fill=—","Direction=H","UseDPDF=Y")</f>
        <v>#NAME?</v>
      </c>
      <c r="BU227" s="1" t="e">
        <f ca="1">_xll.BDH($C$203,"TOTAL_EQUITY_SEQUENTIAL_GROWTH","FQ4 2018","FQ4 2018","Currency=INR","Period=FQ","BEST_FPERIOD_OVERRIDE=FQ","FILING_STATUS=OR","EQY_CONSOLIDATED=Y","Sort=A","Dates=H","DateFormat=P","Fill=—","Direction=H","UseDPDF=Y")</f>
        <v>#NAME?</v>
      </c>
      <c r="BV227" s="1" t="e">
        <f ca="1">_xll.BDH($C$203,"TOTAL_CAPITAL_SEQUENTIAL_GROWTH","FQ4 2018","FQ4 2018","Currency=INR","Period=FQ","BEST_FPERIOD_OVERRIDE=FQ","FILING_STATUS=OR","EQY_CONSOLIDATED=Y","Sort=A","Dates=H","DateFormat=P","Fill=—","Direction=H","UseDPDF=Y")</f>
        <v>#NAME?</v>
      </c>
      <c r="BW227" s="1" t="e">
        <f ca="1">_xll.BDH($C$203,"BPS_SEQUENTIAL_GROWTH","FQ4 2018","FQ4 2018","Currency=INR","Period=FQ","BEST_FPERIOD_OVERRIDE=FQ","FILING_STATUS=OR","EQY_CONSOLIDATED=Y","Sort=A","Dates=H","DateFormat=P","Fill=—","Direction=H","UseDPDF=Y")</f>
        <v>#NAME?</v>
      </c>
      <c r="BX227" s="1" t="e">
        <f ca="1">_xll.BDH($C$203,"CFO_SEQUENTIAL_GROWTH","FQ4 2018","FQ4 2018","Currency=INR","Period=FQ","BEST_FPERIOD_OVERRIDE=FQ","FILING_STATUS=OR","EQY_CONSOLIDATED=Y","Sort=A","Dates=H","DateFormat=P","Fill=—","Direction=H","UseDPDF=Y")</f>
        <v>#NAME?</v>
      </c>
      <c r="BY227" s="2" t="e">
        <f ca="1">_xll.BDH($C$203,"SHORT_AND_LONG_TERM_DEBT","FQ4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27" s="2" t="e">
        <f ca="1">_xll.BDH($C$203,"BS_ST_BORROW","FQ4 2018","FQ4 2018","Currency=INR","Period=FQ","BEST_FPERIOD_OVERRIDE=FQ","FILING_STATUS=OR","EQY_CONSOLIDATED=Y","SCALING_FORMAT=MLN","Sort=A","Dates=H","DateFormat=P","Fill=—","Direction=H","UseDPDF=Y")</f>
        <v>#NAME?</v>
      </c>
      <c r="CA227" s="2" t="e">
        <f ca="1">_xll.BDH($C$203,"BS_LT_BORROW","FQ4 2018","FQ4 2018","Currency=INR","Period=FQ","BEST_FPERIOD_OVERRIDE=FQ","FILING_STATUS=OR","EQY_CONSOLIDATED=Y","SCALING_FORMAT=MLN","Sort=A","Dates=H","DateFormat=P","Fill=—","Direction=H","UseDPDF=Y")</f>
        <v>#NAME?</v>
      </c>
      <c r="CB227" s="1" t="e">
        <f ca="1">_xll.BDH($C$203,"TOT_DEBT_TO_EBITDA","FQ4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27" s="1" t="e">
        <f ca="1">_xll.BDH($C$203,"NET_DEBT_TO_EBITDA","FQ4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27" s="1" t="e">
        <f ca="1">_xll.BDH($C$203,"TOTAL_DEBT_TO_EBIT","FQ4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27" s="1" t="e">
        <f ca="1">_xll.BDH($C$203,"NET_DEBT_TO_EBIT","FQ4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227" s="1" t="e">
        <f ca="1">_xll.BDH($C$203,"EBITDA_TO_INTEREST_EXPN","FQ4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27" s="1" t="e">
        <f ca="1">_xll.BDH($C$203,"COM_EQY_TO_TOT_ASSET","FQ4 2018","FQ4 2018","Currency=INR","Period=FQ","BEST_FPERIOD_OVERRIDE=FQ","FILING_STATUS=OR","EQY_CONSOLIDATED=Y","Sort=A","Dates=H","DateFormat=P","Fill=—","Direction=H","UseDPDF=Y")</f>
        <v>#NAME?</v>
      </c>
      <c r="CH227" s="1" t="e">
        <f ca="1">_xll.BDH($C$203,"LT_DEBT_TO_TOT_EQY","FQ4 2018","FQ4 2018","Currency=INR","Period=FQ","BEST_FPERIOD_OVERRIDE=FQ","FILING_STATUS=OR","EQY_CONSOLIDATED=Y","Sort=A","Dates=H","DateFormat=P","Fill=—","Direction=H","UseDPDF=Y")</f>
        <v>#NAME?</v>
      </c>
      <c r="CI227" s="1" t="e">
        <f ca="1">_xll.BDH($C$203,"LT_DEBT_TO_TOT_CAP","FQ4 2018","FQ4 2018","Currency=INR","Period=FQ","BEST_FPERIOD_OVERRIDE=FQ","FILING_STATUS=OR","EQY_CONSOLIDATED=Y","Sort=A","Dates=H","DateFormat=P","Fill=—","Direction=H","UseDPDF=Y")</f>
        <v>#NAME?</v>
      </c>
      <c r="CJ227" s="1" t="e">
        <f ca="1">_xll.BDH($C$203,"LT_DEBT_TO_TOT_ASSET","FQ4 2018","FQ4 2018","Currency=INR","Period=FQ","BEST_FPERIOD_OVERRIDE=FQ","FILING_STATUS=OR","EQY_CONSOLIDATED=Y","Sort=A","Dates=H","DateFormat=P","Fill=—","Direction=H","UseDPDF=Y")</f>
        <v>#NAME?</v>
      </c>
      <c r="CK227" s="1" t="e">
        <f ca="1">_xll.BDH($C$203,"TOT_DEBT_TO_TOT_EQY","FQ4 2018","FQ4 2018","Currency=INR","Period=FQ","BEST_FPERIOD_OVERRIDE=FQ","FILING_STATUS=OR","EQY_CONSOLIDATED=Y","Sort=A","Dates=H","DateFormat=P","Fill=—","Direction=H","UseDPDF=Y")</f>
        <v>#NAME?</v>
      </c>
      <c r="CL227" s="1" t="e">
        <f ca="1">_xll.BDH($C$203,"TOT_DEBT_TO_TOT_CAP","FQ4 2018","FQ4 2018","Currency=INR","Period=FQ","BEST_FPERIOD_OVERRIDE=FQ","FILING_STATUS=OR","EQY_CONSOLIDATED=Y","Sort=A","Dates=H","DateFormat=P","Fill=—","Direction=H","UseDPDF=Y")</f>
        <v>#NAME?</v>
      </c>
      <c r="CM227" s="1" t="e">
        <f ca="1">_xll.BDH($C$203,"TOT_DEBT_TO_TOT_ASSET","FQ4 2018","FQ4 2018","Currency=INR","Period=FQ","BEST_FPERIOD_OVERRIDE=FQ","FILING_STATUS=OR","EQY_CONSOLIDATED=Y","Sort=A","Dates=H","DateFormat=P","Fill=—","Direction=H","UseDPDF=Y")</f>
        <v>#NAME?</v>
      </c>
      <c r="CN227" s="1" t="e">
        <f ca="1">_xll.BDH($C$203,"NET_DEBT_TO_SHRHLDR_EQTY","FQ4 2018","FQ4 2018","Currency=INR","Period=FQ","BEST_FPERIOD_OVERRIDE=FQ","FILING_STATUS=OR","EQY_CONSOLIDATED=Y","Sort=A","Dates=H","DateFormat=P","Fill=—","Direction=H","UseDPDF=Y")</f>
        <v>#NAME?</v>
      </c>
      <c r="CO227" s="1" t="e">
        <f ca="1">_xll.BDH($C$203,"NET_DEBT_%_CAPITAL","FQ4 2018","FQ4 2018","Currency=INR","Period=FQ","BEST_FPERIOD_OVERRIDE=FQ","FILING_STATUS=OR","EQY_CONSOLIDATED=Y","Sort=A","Dates=H","DateFormat=P","Fill=—","Direction=H","UseDPDF=Y")</f>
        <v>#NAME?</v>
      </c>
      <c r="CP227" s="2" t="e">
        <f ca="1">_xll.BDH($C$203,"EBITDA","FQ4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27" s="2" t="e">
        <f ca="1">_xll.BDH($C$203,"EBITDA_AFTER_CAPEX","FQ4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27" s="2" t="e">
        <f ca="1">_xll.BDH($C$203,"IS_OPER_INC","FQ4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27" s="1" t="e">
        <f ca="1">_xll.BDH($C$203,"CASH_RATIO","FQ4 2018","FQ4 2018","Currency=INR","Period=FQ","BEST_FPERIOD_OVERRIDE=FQ","FILING_STATUS=OR","EQY_CONSOLIDATED=Y","Sort=A","Dates=H","DateFormat=P","Fill=—","Direction=H","UseDPDF=Y")</f>
        <v>#NAME?</v>
      </c>
      <c r="CT227" s="1" t="e">
        <f ca="1">_xll.BDH($C$203,"CUR_RATIO","FQ4 2018","FQ4 2018","Currency=INR","Period=FQ","BEST_FPERIOD_OVERRIDE=FQ","FILING_STATUS=OR","EQY_CONSOLIDATED=Y","Sort=A","Dates=H","DateFormat=P","Fill=—","Direction=H","UseDPDF=Y")</f>
        <v>#NAME?</v>
      </c>
      <c r="CU227" s="1" t="e">
        <f ca="1">_xll.BDH($C$203,"QUICK_RATIO","FQ4 2018","FQ4 2018","Currency=INR","Period=FQ","BEST_FPERIOD_OVERRIDE=FQ","FILING_STATUS=OR","EQY_CONSOLIDATED=Y","Sort=A","Dates=H","DateFormat=P","Fill=—","Direction=H","UseDPDF=Y")</f>
        <v>#NAME?</v>
      </c>
      <c r="CV227" s="1" t="e">
        <f ca="1">_xll.BDH($C$203,"ALTMAN_Z_SCORE","FQ4 2018","FQ4 2018","Currency=INR","Period=FQ","BEST_FPERIOD_OVERRIDE=FQ","FILING_STATUS=OR","EQY_CONSOLIDATED=Y","Sort=A","Dates=H","DateFormat=P","Fill=—","Direction=H","UseDPDF=Y")</f>
        <v>#NAME?</v>
      </c>
      <c r="CW227" s="3" t="e">
        <f ca="1">_xll.BDH($C$203,"ACCT_RCV_TURN","FQ4 2018","FQ4 2018","Currency=INR","Period=FQ","BEST_FPERIOD_OVERRIDE=FQ","FILING_STATUS=OR","EQY_CONSOLIDATED=Y","FA_ADJUSTED=GAAP","Sort=A","Dates=H","DateFormat=P","Fill=—","Direction=H","UseDPDF=Y")</f>
        <v>#NAME?</v>
      </c>
      <c r="CX227" s="1" t="e">
        <f ca="1">_xll.BDH($C$203,"ACCT_RCV_DAYS","FQ4 2018","FQ4 2018","Currency=INR","Period=FQ","BEST_FPERIOD_OVERRIDE=FQ","FILING_STATUS=OR","EQY_CONSOLIDATED=Y","FA_ADJUSTED=GAAP","Sort=A","Dates=H","DateFormat=P","Fill=—","Direction=H","UseDPDF=Y")</f>
        <v>#NAME?</v>
      </c>
      <c r="CY227" s="3" t="e">
        <f ca="1">_xll.BDH($C$203,"INVENT_TURN","FQ4 2018","FQ4 2018","Currency=INR","Period=FQ","BEST_FPERIOD_OVERRIDE=FQ","FILING_STATUS=OR","EQY_CONSOLIDATED=Y","FA_ADJUSTED=GAAP","Sort=A","Dates=H","DateFormat=P","Fill=—","Direction=H","UseDPDF=Y")</f>
        <v>#NAME?</v>
      </c>
      <c r="CZ227" s="1" t="e">
        <f ca="1">_xll.BDH($C$203,"INVENT_DAYS","FQ4 2018","FQ4 2018","Currency=INR","Period=FQ","BEST_FPERIOD_OVERRIDE=FQ","FILING_STATUS=OR","EQY_CONSOLIDATED=Y","FA_ADJUSTED=GAAP","Sort=A","Dates=H","DateFormat=P","Fill=—","Direction=H","UseDPDF=Y")</f>
        <v>#NAME?</v>
      </c>
      <c r="DA227" s="3" t="e">
        <f ca="1">_xll.BDH($C$203,"ACCOUNTS_PAYABLE_TURNOVER","FQ4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27" s="1" t="e">
        <f ca="1">_xll.BDH($C$203,"ACCOUNTS_PAYABLE_TURNOVER_DAYS","FQ4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27" s="3" t="e">
        <f ca="1">_xll.BDH($C$203,"CASH_CONVERSION_CYCLE","FQ4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27" s="3" t="e">
        <f ca="1">_xll.BDH($C$203,"INV_TO_CASH_DAYS","FQ4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227" s="4" t="e">
        <f ca="1">_xll.BDH($C$203,"BS_INVENTORIES","FQ4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227" s="2" t="e">
        <f ca="1">_xll.BDH($C$203,"INVTRY_RAW_MATERIALS","FQ4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27" s="2" t="e">
        <f ca="1">_xll.BDH($C$203,"INVTRY_IN_PROGRESS","FQ4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27" s="2" t="e">
        <f ca="1">_xll.BDH($C$203,"INVTRY_FINISHED_GOODS","FQ4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27" s="2" t="e">
        <f ca="1">_xll.BDH($C$203,"BS_OTHER_INV","FQ4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28" spans="1:113" x14ac:dyDescent="0.3">
      <c r="A228" s="6">
        <v>60</v>
      </c>
      <c r="B228" s="6" t="s">
        <v>28</v>
      </c>
      <c r="C228" s="6" t="s">
        <v>29</v>
      </c>
      <c r="D228" s="6" t="s">
        <v>2</v>
      </c>
      <c r="E228" t="s">
        <v>3</v>
      </c>
      <c r="F228" t="e">
        <f ca="1">_xll.BDH($C$228,"RETURN_COM_EQY","FY 2014","FY 2014","Currency=INR","Period=FY","BEST_FPERIOD_OVERRIDE=FY","FILING_STATUS=OR","EQY_CONSOLIDATED=Y","FA_ADJUSTED=GAAP","Sort=A","Dates=H","DateFormat=P","Fill=—","Direction=H","UseDPDF=Y")</f>
        <v>#NAME?</v>
      </c>
      <c r="G228" t="e">
        <f ca="1">_xll.BDH($C$228,"RETURN_ON_ASSET","FY 2014","FY 2014","Currency=INR","Period=FY","BEST_FPERIOD_OVERRIDE=FY","FILING_STATUS=OR","EQY_CONSOLIDATED=Y","FA_ADJUSTED=GAAP","Sort=A","Dates=H","DateFormat=P","Fill=—","Direction=H","UseDPDF=Y")</f>
        <v>#NAME?</v>
      </c>
      <c r="H228" t="e">
        <f ca="1">_xll.BDH($C$228,"RETURN_ON_CAP","FY 2014","FY 2014","Currency=INR","Period=FY","BEST_FPERIOD_OVERRIDE=FY","FILING_STATUS=OR","EQY_CONSOLIDATED=Y","FA_ADJUSTED=GAAP","Sort=A","Dates=H","DateFormat=P","Fill=—","Direction=H","UseDPDF=Y")</f>
        <v>#NAME?</v>
      </c>
      <c r="I228" t="e">
        <f ca="1">_xll.BDH($C$228,"RETURN_ON_INV_CAPITAL","FY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28" t="e">
        <f ca="1">_xll.BDH($C$228,"EBITDA_TO_REVENUE","FY 2014","FY 2014","Currency=INR","Period=FY","BEST_FPERIOD_OVERRIDE=FY","FILING_STATUS=OR","EQY_CONSOLIDATED=Y","FA_ADJUSTED=GAAP","Sort=A","Dates=H","DateFormat=P","Fill=—","Direction=H","UseDPDF=Y")</f>
        <v>#NAME?</v>
      </c>
      <c r="K228" t="e">
        <f ca="1">_xll.BDH($C$228,"OPER_MARGIN","FY 2014","FY 2014","Currency=INR","Period=FY","BEST_FPERIOD_OVERRIDE=FY","FILING_STATUS=OR","EQY_CONSOLIDATED=Y","FA_ADJUSTED=GAAP","Sort=A","Dates=H","DateFormat=P","Fill=—","Direction=H","UseDPDF=Y")</f>
        <v>#NAME?</v>
      </c>
      <c r="L228" t="e">
        <f ca="1">_xll.BDH($C$228,"INCREMENTAL_OPERATING_MARGIN","FY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28" t="e">
        <f ca="1">_xll.BDH($C$228,"PRETAX_INC_TO_NET_SALES","FY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28" t="e">
        <f ca="1">_xll.BDH($C$228,"INC_BEF_XO_ITEMS_TO_NET_SALES","FY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28" t="e">
        <f ca="1">_xll.BDH($C$228,"PROF_MARGIN","FY 2014","FY 2014","Currency=INR","Period=FY","BEST_FPERIOD_OVERRIDE=FY","FILING_STATUS=OR","EQY_CONSOLIDATED=Y","FA_ADJUSTED=GAAP","Sort=A","Dates=H","DateFormat=P","Fill=—","Direction=H","UseDPDF=Y")</f>
        <v>#NAME?</v>
      </c>
      <c r="P228" t="e">
        <f ca="1">_xll.BDH($C$228,"NET_INCOME_TO_COMMON_MARGIN","FY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28" t="e">
        <f ca="1">_xll.BDH($C$228,"EFF_TAX_RATE","FY 2014","FY 2014","Currency=INR","Period=FY","BEST_FPERIOD_OVERRIDE=FY","FILING_STATUS=OR","EQY_CONSOLIDATED=Y","FA_ADJUSTED=GAAP","Sort=A","Dates=H","DateFormat=P","Fill=—","Direction=H","UseDPDF=Y")</f>
        <v>#NAME?</v>
      </c>
      <c r="R228" t="e">
        <f ca="1">_xll.BDH($C$228,"DVD_PAYOUT_RATIO","FY 2014","FY 2014","Currency=INR","Period=FY","BEST_FPERIOD_OVERRIDE=FY","FILING_STATUS=OR","EQY_CONSOLIDATED=Y","FA_ADJUSTED=GAAP","Sort=A","Dates=H","DateFormat=P","Fill=—","Direction=H","UseDPDF=Y")</f>
        <v>#NAME?</v>
      </c>
      <c r="S228" t="e">
        <f ca="1">_xll.BDH($C$228,"SUSTAIN_GROWTH_RT","FY 2014","FY 2014","Currency=INR","Period=FY","BEST_FPERIOD_OVERRIDE=FY","FILING_STATUS=OR","EQY_CONSOLIDATED=Y","FA_ADJUSTED=GAAP","Sort=A","Dates=H","DateFormat=P","Fill=—","Direction=H","UseDPDF=Y")</f>
        <v>#NAME?</v>
      </c>
      <c r="T228" s="1" t="e">
        <f ca="1">_xll.BDH($C$228,"SALES_GROWTH","FY 2014","FY 2014","Currency=INR","Period=FY","BEST_FPERIOD_OVERRIDE=FY","FILING_STATUS=OR","EQY_CONSOLIDATED=Y","FA_ADJUSTED=GAAP","Sort=A","Dates=H","DateFormat=P","Fill=—","Direction=H","UseDPDF=Y")</f>
        <v>#NAME?</v>
      </c>
      <c r="U228" s="1" t="e">
        <f ca="1">_xll.BDH($C$228,"EBITDA_GROWTH","FY 2014","FY 2014","Currency=INR","Period=FY","BEST_FPERIOD_OVERRIDE=FY","FILING_STATUS=OR","EQY_CONSOLIDATED=Y","FA_ADJUSTED=GAAP","Sort=A","Dates=H","DateFormat=P","Fill=—","Direction=H","UseDPDF=Y")</f>
        <v>#NAME?</v>
      </c>
      <c r="V228" s="1" t="e">
        <f ca="1">_xll.BDH($C$228,"OPER_INC_GROWTH","FY 2014","FY 2014","Currency=INR","Period=FY","BEST_FPERIOD_OVERRIDE=FY","FILING_STATUS=OR","EQY_CONSOLIDATED=Y","FA_ADJUSTED=GAAP","Sort=A","Dates=H","DateFormat=P","Fill=—","Direction=H","UseDPDF=Y")</f>
        <v>#NAME?</v>
      </c>
      <c r="W228" s="1" t="e">
        <f ca="1">_xll.BDH($C$228,"EARN_FOR_COM_GROWTH","FY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228" s="1" t="e">
        <f ca="1">_xll.BDH($C$228,"DILUTED_EPS_AFT_XO_ITEMS_GROWTH","FY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28" s="1" t="e">
        <f ca="1">_xll.BDH($C$228,"DIVIDEND_PER_SHARE_1_YEAR_GROWTH","FY 2014","FY 2014","Currency=INR","Period=FY","BEST_FPERIOD_OVERRIDE=FY","FILING_STATUS=OR","EQY_CONSOLIDATED=Y","Sort=A","Dates=H","DateFormat=P","Fill=—","Direction=H","UseDPDF=Y")</f>
        <v>#NAME?</v>
      </c>
      <c r="Z228" s="1" t="e">
        <f ca="1">_xll.BDH($C$228,"ACCOUNTS_RECEIVABLE_GROWTH","FY 2014","FY 2014","Currency=INR","Period=FY","BEST_FPERIOD_OVERRIDE=FY","FILING_STATUS=OR","EQY_CONSOLIDATED=Y","Sort=A","Dates=H","DateFormat=P","Fill=—","Direction=H","UseDPDF=Y")</f>
        <v>#NAME?</v>
      </c>
      <c r="AA228" s="1" t="e">
        <f ca="1">_xll.BDH($C$228,"INVENTORY_GROWTH","FY 2014","FY 2014","Currency=INR","Period=FY","BEST_FPERIOD_OVERRIDE=FY","FILING_STATUS=OR","EQY_CONSOLIDATED=Y","Sort=A","Dates=H","DateFormat=P","Fill=—","Direction=H","UseDPDF=Y")</f>
        <v>#NAME?</v>
      </c>
      <c r="AB228" s="1" t="e">
        <f ca="1">_xll.BDH($C$228,"NET_FIXED_ASSETS_1_YEAR_GROWTH","FY 2014","FY 2014","Currency=INR","Period=FY","BEST_FPERIOD_OVERRIDE=FY","FILING_STATUS=OR","EQY_CONSOLIDATED=Y","Sort=A","Dates=H","DateFormat=P","Fill=—","Direction=H","UseDPDF=Y")</f>
        <v>#NAME?</v>
      </c>
      <c r="AC228" s="1" t="e">
        <f ca="1">_xll.BDH($C$228,"ASSET_GROWTH","FY 2014","FY 2014","Currency=INR","Period=FY","BEST_FPERIOD_OVERRIDE=FY","FILING_STATUS=OR","EQY_CONSOLIDATED=Y","Sort=A","Dates=H","DateFormat=P","Fill=—","Direction=H","UseDPDF=Y")</f>
        <v>#NAME?</v>
      </c>
      <c r="AD228" s="1" t="e">
        <f ca="1">_xll.BDH($C$228,"MODIFIED_WORK_CAP_GROWTH","FY 2014","FY 2014","Currency=INR","Period=FY","BEST_FPERIOD_OVERRIDE=FY","FILING_STATUS=OR","EQY_CONSOLIDATED=Y","Sort=A","Dates=H","DateFormat=P","Fill=—","Direction=H","UseDPDF=Y")</f>
        <v>#NAME?</v>
      </c>
      <c r="AE228" s="1" t="e">
        <f ca="1">_xll.BDH($C$228,"WORK_CAP_GROWTH","FY 2014","FY 2014","Currency=INR","Period=FY","BEST_FPERIOD_OVERRIDE=FY","FILING_STATUS=OR","EQY_CONSOLIDATED=Y","Sort=A","Dates=H","DateFormat=P","Fill=—","Direction=H","UseDPDF=Y")</f>
        <v>#NAME?</v>
      </c>
      <c r="AF228" s="1" t="e">
        <f ca="1">_xll.BDH($C$228,"ACCOUNTS_PAYABLE_GROWTH_1YR","FY 2014","FY 2014","Currency=INR","Period=FY","BEST_FPERIOD_OVERRIDE=FY","FILING_STATUS=OR","EQY_CONSOLIDATED=Y","Sort=A","Dates=H","DateFormat=P","Fill=—","Direction=H","UseDPDF=Y")</f>
        <v>#NAME?</v>
      </c>
      <c r="AG228" s="1" t="e">
        <f ca="1">_xll.BDH($C$228,"SHORT_TERM_DEBT_1_YEAR_GROWTH","FY 2014","FY 2014","Currency=INR","Period=FY","BEST_FPERIOD_OVERRIDE=FY","FILING_STATUS=OR","EQY_CONSOLIDATED=Y","Sort=A","Dates=H","DateFormat=P","Fill=—","Direction=H","UseDPDF=Y")</f>
        <v>#NAME?</v>
      </c>
      <c r="AH228" s="1" t="e">
        <f ca="1">_xll.BDH($C$228,"TOTAL_DEBT_1_YEAR_GROWTH","FY 2014","FY 2014","Currency=INR","Period=FY","BEST_FPERIOD_OVERRIDE=FY","FILING_STATUS=OR","EQY_CONSOLIDATED=Y","Sort=A","Dates=H","DateFormat=P","Fill=—","Direction=H","UseDPDF=Y")</f>
        <v>#NAME?</v>
      </c>
      <c r="AI228" s="1" t="e">
        <f ca="1">_xll.BDH($C$228,"TOTAL_EQUITY_1_YEAR_GROWTH","FY 2014","FY 2014","Currency=INR","Period=FY","BEST_FPERIOD_OVERRIDE=FY","FILING_STATUS=OR","EQY_CONSOLIDATED=Y","Sort=A","Dates=H","DateFormat=P","Fill=—","Direction=H","UseDPDF=Y")</f>
        <v>#NAME?</v>
      </c>
      <c r="AJ228" s="1" t="e">
        <f ca="1">_xll.BDH($C$228,"GROWTH_IN_CAP","FY 2014","FY 2014","Currency=INR","Period=FY","BEST_FPERIOD_OVERRIDE=FY","FILING_STATUS=OR","EQY_CONSOLIDATED=Y","Sort=A","Dates=H","DateFormat=P","Fill=—","Direction=H","UseDPDF=Y")</f>
        <v>#NAME?</v>
      </c>
      <c r="AK228" s="1" t="e">
        <f ca="1">_xll.BDH($C$228,"BVPS_GROWTH","FY 2014","FY 2014","Currency=INR","Period=FY","BEST_FPERIOD_OVERRIDE=FY","FILING_STATUS=OR","EQY_CONSOLIDATED=Y","Sort=A","Dates=H","DateFormat=P","Fill=—","Direction=H","UseDPDF=Y")</f>
        <v>#NAME?</v>
      </c>
      <c r="AL228" s="1" t="e">
        <f ca="1">_xll.BDH($C$228,"CASH_FLOW_GROWTH","FY 2014","FY 2014","Currency=INR","Period=FY","BEST_FPERIOD_OVERRIDE=FY","FILING_STATUS=OR","EQY_CONSOLIDATED=Y","Sort=A","Dates=H","DateFormat=P","Fill=—","Direction=H","UseDPDF=Y")</f>
        <v>#NAME?</v>
      </c>
      <c r="AM228" s="1" t="e">
        <f ca="1">_xll.BDH($C$228,"GEO_GROW_NET_SALES","FY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228" s="1" t="e">
        <f ca="1">_xll.BDH($C$228,"GEO_GROW_EBITDA","FY 2014","FY 2014","Currency=INR","Period=FY","BEST_FPERIOD_OVERRIDE=FY","FILING_STATUS=OR","EQY_CONSOLIDATED=Y","FA_ADJUSTED=GAAP","Sort=A","Dates=H","DateFormat=P","Fill=—","Direction=H","UseDPDF=Y")</f>
        <v>#NAME?</v>
      </c>
      <c r="AO228" s="1" t="e">
        <f ca="1">_xll.BDH($C$228,"GEO_GROW_OPER_INC","FY 2014","FY 2014","Currency=INR","Period=FY","BEST_FPERIOD_OVERRIDE=FY","FILING_STATUS=OR","EQY_CONSOLIDATED=Y","FA_ADJUSTED=GAAP","Sort=A","Dates=H","DateFormat=P","Fill=—","Direction=H","UseDPDF=Y")</f>
        <v>#NAME?</v>
      </c>
      <c r="AP228" s="1" t="e">
        <f ca="1">_xll.BDH($C$228,"NET_INCOME_TO_COMMON_5_YR_GROWTH","FY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28" s="1" t="e">
        <f ca="1">_xll.BDH($C$228,"5Y_GEO_GROWTH_DILUTED_EPS","FY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28" s="1" t="e">
        <f ca="1">_xll.BDH($C$228,"GEO_GROW_DVD_PER_SH","FY 2014","FY 2014","Currency=INR","Period=FY","BEST_FPERIOD_OVERRIDE=FY","FILING_STATUS=OR","EQY_CONSOLIDATED=Y","Sort=A","Dates=H","DateFormat=P","Fill=—","Direction=H","UseDPDF=Y")</f>
        <v>#NAME?</v>
      </c>
      <c r="AS228" s="1" t="e">
        <f ca="1">_xll.BDH($C$228,"ACCOUNTS_RECEIVABLE_5_YR_GROWTH","FY 2014","FY 2014","Currency=INR","Period=FY","BEST_FPERIOD_OVERRIDE=FY","FILING_STATUS=OR","EQY_CONSOLIDATED=Y","Sort=A","Dates=H","DateFormat=P","Fill=—","Direction=H","UseDPDF=Y")</f>
        <v>#NAME?</v>
      </c>
      <c r="AT228" s="1" t="e">
        <f ca="1">_xll.BDH($C$228,"INVENTORY_5_YEAR_GROWTH","FY 2014","FY 2014","Currency=INR","Period=FY","BEST_FPERIOD_OVERRIDE=FY","FILING_STATUS=OR","EQY_CONSOLIDATED=Y","Sort=A","Dates=H","DateFormat=P","Fill=—","Direction=H","UseDPDF=Y")</f>
        <v>#NAME?</v>
      </c>
      <c r="AU228" s="1" t="e">
        <f ca="1">_xll.BDH($C$228,"NET_FIXED_ASSETS_5_YEAR_GROWTH","FY 2014","FY 2014","Currency=INR","Period=FY","BEST_FPERIOD_OVERRIDE=FY","FILING_STATUS=OR","EQY_CONSOLIDATED=Y","Sort=A","Dates=H","DateFormat=P","Fill=—","Direction=H","UseDPDF=Y")</f>
        <v>#NAME?</v>
      </c>
      <c r="AV228" s="1" t="e">
        <f ca="1">_xll.BDH($C$228,"GEO_GROW_TOT_ASSET","FY 2014","FY 2014","Currency=INR","Period=FY","BEST_FPERIOD_OVERRIDE=FY","FILING_STATUS=OR","EQY_CONSOLIDATED=Y","Sort=A","Dates=H","DateFormat=P","Fill=—","Direction=H","UseDPDF=Y")</f>
        <v>#NAME?</v>
      </c>
      <c r="AW228" s="1" t="e">
        <f ca="1">_xll.BDH($C$228,"MODIFIED_WORKING_CPTL_5YR_GRWTH","FY 2014","FY 2014","Currency=INR","Period=FY","BEST_FPERIOD_OVERRIDE=FY","FILING_STATUS=OR","EQY_CONSOLIDATED=Y","Sort=A","Dates=H","DateFormat=P","Fill=—","Direction=H","UseDPDF=Y")</f>
        <v>#NAME?</v>
      </c>
      <c r="AX228" s="1" t="e">
        <f ca="1">_xll.BDH($C$228,"WORKING_CAPITAL_5_YEAR_GROWTH","FY 2014","FY 2014","Currency=INR","Period=FY","BEST_FPERIOD_OVERRIDE=FY","FILING_STATUS=OR","EQY_CONSOLIDATED=Y","Sort=A","Dates=H","DateFormat=P","Fill=—","Direction=H","UseDPDF=Y")</f>
        <v>#NAME?</v>
      </c>
      <c r="AY228" s="1" t="e">
        <f ca="1">_xll.BDH($C$228,"ACCOUNTS_PAYABLE_5_YEAR_GROWTH","FY 2014","FY 2014","Currency=INR","Period=FY","BEST_FPERIOD_OVERRIDE=FY","FILING_STATUS=OR","EQY_CONSOLIDATED=Y","Sort=A","Dates=H","DateFormat=P","Fill=—","Direction=H","UseDPDF=Y")</f>
        <v>#NAME?</v>
      </c>
      <c r="AZ228" s="1" t="e">
        <f ca="1">_xll.BDH($C$228,"SHORT_TERM_DEBT_5_YEAR_GROWTH","FY 2014","FY 2014","Currency=INR","Period=FY","BEST_FPERIOD_OVERRIDE=FY","FILING_STATUS=OR","EQY_CONSOLIDATED=Y","Sort=A","Dates=H","DateFormat=P","Fill=—","Direction=H","UseDPDF=Y")</f>
        <v>#NAME?</v>
      </c>
      <c r="BA228" s="1" t="e">
        <f ca="1">_xll.BDH($C$228,"TOTAL_DEBT_5_YEAR_GROWTH","FY 2014","FY 2014","Currency=INR","Period=FY","BEST_FPERIOD_OVERRIDE=FY","FILING_STATUS=OR","EQY_CONSOLIDATED=Y","Sort=A","Dates=H","DateFormat=P","Fill=—","Direction=H","UseDPDF=Y")</f>
        <v>#NAME?</v>
      </c>
      <c r="BB228" s="1" t="e">
        <f ca="1">_xll.BDH($C$228,"GEO_GROW_TOT_SHRHLDR_EQY","FY 2014","FY 2014","Currency=INR","Period=FY","BEST_FPERIOD_OVERRIDE=FY","FILING_STATUS=OR","EQY_CONSOLIDATED=Y","Sort=A","Dates=H","DateFormat=P","Fill=—","Direction=H","UseDPDF=Y")</f>
        <v>#NAME?</v>
      </c>
      <c r="BC228" s="1" t="e">
        <f ca="1">_xll.BDH($C$228,"TOTAL_CAPITAL_5_YEAR_GROWTH","FY 2014","FY 2014","Currency=INR","Period=FY","BEST_FPERIOD_OVERRIDE=FY","FILING_STATUS=OR","EQY_CONSOLIDATED=Y","Sort=A","Dates=H","DateFormat=P","Fill=—","Direction=H","UseDPDF=Y")</f>
        <v>#NAME?</v>
      </c>
      <c r="BD228" s="1" t="e">
        <f ca="1">_xll.BDH($C$228,"GEO_GROW_BOOK_VAL","FY 2014","FY 2014","Currency=INR","Period=FY","BEST_FPERIOD_OVERRIDE=FY","FILING_STATUS=OR","EQY_CONSOLIDATED=Y","Sort=A","Dates=H","DateFormat=P","Fill=—","Direction=H","UseDPDF=Y")</f>
        <v>#NAME?</v>
      </c>
      <c r="BE228" s="1" t="e">
        <f ca="1">_xll.BDH($C$228,"GEO_GROW_CASH_OPER_ACT","FY 2014","FY 2014","Currency=INR","Period=FY","BEST_FPERIOD_OVERRIDE=FY","FILING_STATUS=OR","EQY_CONSOLIDATED=Y","Sort=A","Dates=H","DateFormat=P","Fill=—","Direction=H","UseDPDF=Y")</f>
        <v>#NAME?</v>
      </c>
      <c r="BF228" s="1" t="e">
        <f ca="1">_xll.BDH($C$228,"REVENUE_SEQUENTIAL_GROWTH","FY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28" s="1" t="e">
        <f ca="1">_xll.BDH($C$228,"EBITDA_SEQUENTIAL_GROWTH","FY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28" s="1" t="e">
        <f ca="1">_xll.BDH($C$228,"OPERATING_INCOME_SEQ_GROWTH","FY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28" s="1" t="e">
        <f ca="1">_xll.BDH($C$228,"NET_INCOME_TO_COMMON_SEQ_GROWTH","FY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28" s="1" t="e">
        <f ca="1">_xll.BDH($C$228,"EPS_DILUTED_SEQUENTIAL_GROWTH","FY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28" s="1" t="e">
        <f ca="1">_xll.BDH($C$228,"DPS_SEQUENTIAL_GROWTH","FY 2014","FY 2014","Currency=INR","Period=FY","BEST_FPERIOD_OVERRIDE=FY","FILING_STATUS=OR","EQY_CONSOLIDATED=Y","Sort=A","Dates=H","DateFormat=P","Fill=—","Direction=H","UseDPDF=Y")</f>
        <v>#NAME?</v>
      </c>
      <c r="BL228" s="1" t="e">
        <f ca="1">_xll.BDH($C$228,"ACCOUNTS_RECEIVABLE_SEQ_GROWTH","FY 2014","FY 2014","Currency=INR","Period=FY","BEST_FPERIOD_OVERRIDE=FY","FILING_STATUS=OR","EQY_CONSOLIDATED=Y","Sort=A","Dates=H","DateFormat=P","Fill=—","Direction=H","UseDPDF=Y")</f>
        <v>#NAME?</v>
      </c>
      <c r="BM228" s="1" t="e">
        <f ca="1">_xll.BDH($C$228,"INVENTORY_SEQUENTIAL_GROWTH","FY 2014","FY 2014","Currency=INR","Period=FY","BEST_FPERIOD_OVERRIDE=FY","FILING_STATUS=OR","EQY_CONSOLIDATED=Y","Sort=A","Dates=H","DateFormat=P","Fill=—","Direction=H","UseDPDF=Y")</f>
        <v>#NAME?</v>
      </c>
      <c r="BN228" s="1" t="e">
        <f ca="1">_xll.BDH($C$228,"FIXED_ASSETS_SEQUENTIAL_GROWTH","FY 2014","FY 2014","Currency=INR","Period=FY","BEST_FPERIOD_OVERRIDE=FY","FILING_STATUS=OR","EQY_CONSOLIDATED=Y","Sort=A","Dates=H","DateFormat=P","Fill=—","Direction=H","UseDPDF=Y")</f>
        <v>#NAME?</v>
      </c>
      <c r="BO228" s="1" t="e">
        <f ca="1">_xll.BDH($C$228,"TOTAL_ASSETS_SEQUENTIAL_GROWTH","FY 2014","FY 2014","Currency=INR","Period=FY","BEST_FPERIOD_OVERRIDE=FY","FILING_STATUS=OR","EQY_CONSOLIDATED=Y","Sort=A","Dates=H","DateFormat=P","Fill=—","Direction=H","UseDPDF=Y")</f>
        <v>#NAME?</v>
      </c>
      <c r="BP228" s="1" t="e">
        <f ca="1">_xll.BDH($C$228,"MODIFIED_WORKING_CPTL_SEQ_GRWTH","FY 2014","FY 2014","Currency=INR","Period=FY","BEST_FPERIOD_OVERRIDE=FY","FILING_STATUS=OR","EQY_CONSOLIDATED=Y","Sort=A","Dates=H","DateFormat=P","Fill=—","Direction=H","UseDPDF=Y")</f>
        <v>#NAME?</v>
      </c>
      <c r="BQ228" s="1" t="e">
        <f ca="1">_xll.BDH($C$228,"WORKING_CAPITAL_SEQ_GROWTH","FY 2014","FY 2014","Currency=INR","Period=FY","BEST_FPERIOD_OVERRIDE=FY","FILING_STATUS=OR","EQY_CONSOLIDATED=Y","Sort=A","Dates=H","DateFormat=P","Fill=—","Direction=H","UseDPDF=Y")</f>
        <v>#NAME?</v>
      </c>
      <c r="BR228" s="1" t="e">
        <f ca="1">_xll.BDH($C$228,"ACCOUNTS_PAYABLE_SEQ_GROWTH","FY 2014","FY 2014","Currency=INR","Period=FY","BEST_FPERIOD_OVERRIDE=FY","FILING_STATUS=OR","EQY_CONSOLIDATED=Y","Sort=A","Dates=H","DateFormat=P","Fill=—","Direction=H","UseDPDF=Y")</f>
        <v>#NAME?</v>
      </c>
      <c r="BS228" s="1" t="e">
        <f ca="1">_xll.BDH($C$228,"ST_DEBT_SEQUENTIAL_GROWTH","FY 2014","FY 2014","Currency=INR","Period=FY","BEST_FPERIOD_OVERRIDE=FY","FILING_STATUS=OR","EQY_CONSOLIDATED=Y","Sort=A","Dates=H","DateFormat=P","Fill=—","Direction=H","UseDPDF=Y")</f>
        <v>#NAME?</v>
      </c>
      <c r="BT228" s="1" t="e">
        <f ca="1">_xll.BDH($C$228,"TOTAL_DEBT_SEQUENTIAL_GROWTH","FY 2014","FY 2014","Currency=INR","Period=FY","BEST_FPERIOD_OVERRIDE=FY","FILING_STATUS=OR","EQY_CONSOLIDATED=Y","Sort=A","Dates=H","DateFormat=P","Fill=—","Direction=H","UseDPDF=Y")</f>
        <v>#NAME?</v>
      </c>
      <c r="BU228" s="1" t="e">
        <f ca="1">_xll.BDH($C$228,"TOTAL_EQUITY_SEQUENTIAL_GROWTH","FY 2014","FY 2014","Currency=INR","Period=FY","BEST_FPERIOD_OVERRIDE=FY","FILING_STATUS=OR","EQY_CONSOLIDATED=Y","Sort=A","Dates=H","DateFormat=P","Fill=—","Direction=H","UseDPDF=Y")</f>
        <v>#NAME?</v>
      </c>
      <c r="BV228" s="1" t="e">
        <f ca="1">_xll.BDH($C$228,"TOTAL_CAPITAL_SEQUENTIAL_GROWTH","FY 2014","FY 2014","Currency=INR","Period=FY","BEST_FPERIOD_OVERRIDE=FY","FILING_STATUS=OR","EQY_CONSOLIDATED=Y","Sort=A","Dates=H","DateFormat=P","Fill=—","Direction=H","UseDPDF=Y")</f>
        <v>#NAME?</v>
      </c>
      <c r="BW228" s="1" t="e">
        <f ca="1">_xll.BDH($C$228,"BPS_SEQUENTIAL_GROWTH","FY 2014","FY 2014","Currency=INR","Period=FY","BEST_FPERIOD_OVERRIDE=FY","FILING_STATUS=OR","EQY_CONSOLIDATED=Y","Sort=A","Dates=H","DateFormat=P","Fill=—","Direction=H","UseDPDF=Y")</f>
        <v>#NAME?</v>
      </c>
      <c r="BX228" s="1" t="e">
        <f ca="1">_xll.BDH($C$228,"CFO_SEQUENTIAL_GROWTH","FY 2014","FY 2014","Currency=INR","Period=FY","BEST_FPERIOD_OVERRIDE=FY","FILING_STATUS=OR","EQY_CONSOLIDATED=Y","Sort=A","Dates=H","DateFormat=P","Fill=—","Direction=H","UseDPDF=Y")</f>
        <v>#NAME?</v>
      </c>
      <c r="BY228" s="2" t="e">
        <f ca="1">_xll.BDH($C$228,"SHORT_AND_LONG_TERM_DEBT","FY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28" s="2" t="e">
        <f ca="1">_xll.BDH($C$228,"BS_ST_BORROW","FY 2014","FY 2014","Currency=INR","Period=FY","BEST_FPERIOD_OVERRIDE=FY","FILING_STATUS=OR","EQY_CONSOLIDATED=Y","SCALING_FORMAT=MLN","Sort=A","Dates=H","DateFormat=P","Fill=—","Direction=H","UseDPDF=Y")</f>
        <v>#NAME?</v>
      </c>
      <c r="CA228" s="2" t="e">
        <f ca="1">_xll.BDH($C$228,"BS_LT_BORROW","FY 2014","FY 2014","Currency=INR","Period=FY","BEST_FPERIOD_OVERRIDE=FY","FILING_STATUS=OR","EQY_CONSOLIDATED=Y","SCALING_FORMAT=MLN","Sort=A","Dates=H","DateFormat=P","Fill=—","Direction=H","UseDPDF=Y")</f>
        <v>#NAME?</v>
      </c>
      <c r="CB228" s="1" t="e">
        <f ca="1">_xll.BDH($C$228,"TOT_DEBT_TO_EBITDA","FY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228" s="1" t="e">
        <f ca="1">_xll.BDH($C$228,"NET_DEBT_TO_EBITDA","FY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228" s="1" t="e">
        <f ca="1">_xll.BDH($C$228,"TOTAL_DEBT_TO_EBIT","FY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228" s="1" t="e">
        <f ca="1">_xll.BDH($C$228,"NET_DEBT_TO_EBIT","FY 2014","FY 2014","Currency=INR","Period=FY","BEST_FPERIOD_OVERRIDE=FY","FILING_STATUS=OR","EQY_CONSOLIDATED=Y","FA_ADJUSTED=GAAP","Sort=A","Dates=H","DateFormat=P","Fill=—","Direction=H","UseDPDF=Y")</f>
        <v>#NAME?</v>
      </c>
      <c r="CF228" s="1" t="e">
        <f ca="1">_xll.BDH($C$228,"EBITDA_TO_INTEREST_EXPN","FY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28" s="1" t="e">
        <f ca="1">_xll.BDH($C$228,"COM_EQY_TO_TOT_ASSET","FY 2014","FY 2014","Currency=INR","Period=FY","BEST_FPERIOD_OVERRIDE=FY","FILING_STATUS=OR","EQY_CONSOLIDATED=Y","Sort=A","Dates=H","DateFormat=P","Fill=—","Direction=H","UseDPDF=Y")</f>
        <v>#NAME?</v>
      </c>
      <c r="CH228" s="1" t="e">
        <f ca="1">_xll.BDH($C$228,"LT_DEBT_TO_TOT_EQY","FY 2014","FY 2014","Currency=INR","Period=FY","BEST_FPERIOD_OVERRIDE=FY","FILING_STATUS=OR","EQY_CONSOLIDATED=Y","Sort=A","Dates=H","DateFormat=P","Fill=—","Direction=H","UseDPDF=Y")</f>
        <v>#NAME?</v>
      </c>
      <c r="CI228" s="1" t="e">
        <f ca="1">_xll.BDH($C$228,"LT_DEBT_TO_TOT_CAP","FY 2014","FY 2014","Currency=INR","Period=FY","BEST_FPERIOD_OVERRIDE=FY","FILING_STATUS=OR","EQY_CONSOLIDATED=Y","Sort=A","Dates=H","DateFormat=P","Fill=—","Direction=H","UseDPDF=Y")</f>
        <v>#NAME?</v>
      </c>
      <c r="CJ228" s="1" t="e">
        <f ca="1">_xll.BDH($C$228,"LT_DEBT_TO_TOT_ASSET","FY 2014","FY 2014","Currency=INR","Period=FY","BEST_FPERIOD_OVERRIDE=FY","FILING_STATUS=OR","EQY_CONSOLIDATED=Y","Sort=A","Dates=H","DateFormat=P","Fill=—","Direction=H","UseDPDF=Y")</f>
        <v>#NAME?</v>
      </c>
      <c r="CK228" s="1" t="e">
        <f ca="1">_xll.BDH($C$228,"TOT_DEBT_TO_TOT_EQY","FY 2014","FY 2014","Currency=INR","Period=FY","BEST_FPERIOD_OVERRIDE=FY","FILING_STATUS=OR","EQY_CONSOLIDATED=Y","Sort=A","Dates=H","DateFormat=P","Fill=—","Direction=H","UseDPDF=Y")</f>
        <v>#NAME?</v>
      </c>
      <c r="CL228" s="1" t="e">
        <f ca="1">_xll.BDH($C$228,"TOT_DEBT_TO_TOT_CAP","FY 2014","FY 2014","Currency=INR","Period=FY","BEST_FPERIOD_OVERRIDE=FY","FILING_STATUS=OR","EQY_CONSOLIDATED=Y","Sort=A","Dates=H","DateFormat=P","Fill=—","Direction=H","UseDPDF=Y")</f>
        <v>#NAME?</v>
      </c>
      <c r="CM228" s="1" t="e">
        <f ca="1">_xll.BDH($C$228,"TOT_DEBT_TO_TOT_ASSET","FY 2014","FY 2014","Currency=INR","Period=FY","BEST_FPERIOD_OVERRIDE=FY","FILING_STATUS=OR","EQY_CONSOLIDATED=Y","Sort=A","Dates=H","DateFormat=P","Fill=—","Direction=H","UseDPDF=Y")</f>
        <v>#NAME?</v>
      </c>
      <c r="CN228" s="1" t="e">
        <f ca="1">_xll.BDH($C$228,"NET_DEBT_TO_SHRHLDR_EQTY","FY 2014","FY 2014","Currency=INR","Period=FY","BEST_FPERIOD_OVERRIDE=FY","FILING_STATUS=OR","EQY_CONSOLIDATED=Y","Sort=A","Dates=H","DateFormat=P","Fill=—","Direction=H","UseDPDF=Y")</f>
        <v>#NAME?</v>
      </c>
      <c r="CO228" s="1" t="e">
        <f ca="1">_xll.BDH($C$228,"NET_DEBT_%_CAPITAL","FY 2014","FY 2014","Currency=INR","Period=FY","BEST_FPERIOD_OVERRIDE=FY","FILING_STATUS=OR","EQY_CONSOLIDATED=Y","Sort=A","Dates=H","DateFormat=P","Fill=—","Direction=H","UseDPDF=Y")</f>
        <v>#NAME?</v>
      </c>
      <c r="CP228" s="2" t="e">
        <f ca="1">_xll.BDH($C$228,"EBITDA","FY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28" s="2" t="e">
        <f ca="1">_xll.BDH($C$228,"EBITDA_AFTER_CAPEX","FY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28" s="2" t="e">
        <f ca="1">_xll.BDH($C$228,"IS_OPER_INC","FY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28" s="1" t="e">
        <f ca="1">_xll.BDH($C$228,"CASH_RATIO","FY 2014","FY 2014","Currency=INR","Period=FY","BEST_FPERIOD_OVERRIDE=FY","FILING_STATUS=OR","EQY_CONSOLIDATED=Y","Sort=A","Dates=H","DateFormat=P","Fill=—","Direction=H","UseDPDF=Y")</f>
        <v>#NAME?</v>
      </c>
      <c r="CT228" s="1" t="e">
        <f ca="1">_xll.BDH($C$228,"CUR_RATIO","FY 2014","FY 2014","Currency=INR","Period=FY","BEST_FPERIOD_OVERRIDE=FY","FILING_STATUS=OR","EQY_CONSOLIDATED=Y","Sort=A","Dates=H","DateFormat=P","Fill=—","Direction=H","UseDPDF=Y")</f>
        <v>#NAME?</v>
      </c>
      <c r="CU228" s="1" t="e">
        <f ca="1">_xll.BDH($C$228,"QUICK_RATIO","FY 2014","FY 2014","Currency=INR","Period=FY","BEST_FPERIOD_OVERRIDE=FY","FILING_STATUS=OR","EQY_CONSOLIDATED=Y","Sort=A","Dates=H","DateFormat=P","Fill=—","Direction=H","UseDPDF=Y")</f>
        <v>#NAME?</v>
      </c>
      <c r="CV228" s="1" t="e">
        <f ca="1">_xll.BDH($C$228,"ALTMAN_Z_SCORE","FY 2014","FY 2014","Currency=INR","Period=FY","BEST_FPERIOD_OVERRIDE=FY","FILING_STATUS=OR","EQY_CONSOLIDATED=Y","Sort=A","Dates=H","DateFormat=P","Fill=—","Direction=H","UseDPDF=Y")</f>
        <v>#NAME?</v>
      </c>
      <c r="CW228" s="3" t="e">
        <f ca="1">_xll.BDH($C$228,"ACCT_RCV_TURN","FY 2014","FY 2014","Currency=INR","Period=FY","BEST_FPERIOD_OVERRIDE=FY","FILING_STATUS=OR","EQY_CONSOLIDATED=Y","FA_ADJUSTED=GAAP","Sort=A","Dates=H","DateFormat=P","Fill=—","Direction=H","UseDPDF=Y")</f>
        <v>#NAME?</v>
      </c>
      <c r="CX228" s="1" t="e">
        <f ca="1">_xll.BDH($C$228,"ACCT_RCV_DAYS","FY 2014","FY 2014","Currency=INR","Period=FY","BEST_FPERIOD_OVERRIDE=FY","FILING_STATUS=OR","EQY_CONSOLIDATED=Y","FA_ADJUSTED=GAAP","Sort=A","Dates=H","DateFormat=P","Fill=—","Direction=H","UseDPDF=Y")</f>
        <v>#NAME?</v>
      </c>
      <c r="CY228" s="3" t="e">
        <f ca="1">_xll.BDH($C$228,"INVENT_TURN","FY 2014","FY 2014","Currency=INR","Period=FY","BEST_FPERIOD_OVERRIDE=FY","FILING_STATUS=OR","EQY_CONSOLIDATED=Y","FA_ADJUSTED=GAAP","Sort=A","Dates=H","DateFormat=P","Fill=—","Direction=H","UseDPDF=Y")</f>
        <v>#NAME?</v>
      </c>
      <c r="CZ228" s="1" t="e">
        <f ca="1">_xll.BDH($C$228,"INVENT_DAYS","FY 2014","FY 2014","Currency=INR","Period=FY","BEST_FPERIOD_OVERRIDE=FY","FILING_STATUS=OR","EQY_CONSOLIDATED=Y","FA_ADJUSTED=GAAP","Sort=A","Dates=H","DateFormat=P","Fill=—","Direction=H","UseDPDF=Y")</f>
        <v>#NAME?</v>
      </c>
      <c r="DA228" s="3" t="e">
        <f ca="1">_xll.BDH($C$228,"ACCOUNTS_PAYABLE_TURNOVER","FY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28" s="1" t="e">
        <f ca="1">_xll.BDH($C$228,"ACCOUNTS_PAYABLE_TURNOVER_DAYS","FY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28" s="3" t="e">
        <f ca="1">_xll.BDH($C$228,"CASH_CONVERSION_CYCLE","FY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28" s="3" t="e">
        <f ca="1">_xll.BDH($C$228,"INV_TO_CASH_DAYS","FY 2014","FY 2014","Currency=INR","Period=FY","BEST_FPERIOD_OVERRIDE=FY","FILING_STATUS=OR","EQY_CONSOLIDATED=Y","FA_ADJUSTED=GAAP","Sort=A","Dates=H","DateFormat=P","Fill=—","Direction=H","UseDPDF=Y")</f>
        <v>#NAME?</v>
      </c>
      <c r="DE228" s="4" t="e">
        <f ca="1">_xll.BDH($C$228,"BS_INVENTORIES","FY 2014","FY 2014","Currency=INR","Period=FY","BEST_FPERIOD_OVERRIDE=FY","FILING_STATUS=OR","EQY_CONSOLIDATED=Y","SCALING_FORMAT=MLN","Sort=A","Dates=H","DateFormat=P","Fill=—","Direction=H","UseDPDF=Y")</f>
        <v>#NAME?</v>
      </c>
      <c r="DF228" s="2" t="e">
        <f ca="1">_xll.BDH($C$228,"INVTRY_RAW_MATERIALS","FY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28" s="2" t="e">
        <f ca="1">_xll.BDH($C$228,"INVTRY_IN_PROGRESS","FY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28" s="2" t="e">
        <f ca="1">_xll.BDH($C$228,"INVTRY_FINISHED_GOODS","FY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28" s="2" t="e">
        <f ca="1">_xll.BDH($C$228,"BS_OTHER_INV","FY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29" spans="1:113" x14ac:dyDescent="0.3">
      <c r="A229" s="6"/>
      <c r="B229" s="6"/>
      <c r="C229" s="6"/>
      <c r="D229" s="6"/>
      <c r="E229" t="s">
        <v>4</v>
      </c>
      <c r="F229" t="e">
        <f ca="1">_xll.BDH($C$228,"RETURN_COM_EQY","FQ1 2014","FQ1 2014","Currency=INR","Period=FQ","BEST_FPERIOD_OVERRIDE=FQ","FILING_STATUS=OR","EQY_CONSOLIDATED=Y","FA_ADJUSTED=GAAP","Sort=A","Dates=H","DateFormat=P","Fill=—","Direction=H","UseDPDF=Y")</f>
        <v>#NAME?</v>
      </c>
      <c r="G229" t="e">
        <f ca="1">_xll.BDH($C$228,"RETURN_ON_ASSET","FQ1 2014","FQ1 2014","Currency=INR","Period=FQ","BEST_FPERIOD_OVERRIDE=FQ","FILING_STATUS=OR","EQY_CONSOLIDATED=Y","FA_ADJUSTED=GAAP","Sort=A","Dates=H","DateFormat=P","Fill=—","Direction=H","UseDPDF=Y")</f>
        <v>#NAME?</v>
      </c>
      <c r="H229" t="e">
        <f ca="1">_xll.BDH($C$228,"RETURN_ON_CAP","FQ1 2014","FQ1 2014","Currency=INR","Period=FQ","BEST_FPERIOD_OVERRIDE=FQ","FILING_STATUS=OR","EQY_CONSOLIDATED=Y","FA_ADJUSTED=GAAP","Sort=A","Dates=H","DateFormat=P","Fill=—","Direction=H","UseDPDF=Y")</f>
        <v>#NAME?</v>
      </c>
      <c r="I229" t="e">
        <f ca="1">_xll.BDH($C$228,"RETURN_ON_INV_CAPITAL","FQ1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29" t="e">
        <f ca="1">_xll.BDH($C$228,"EBITDA_TO_REVENUE","FQ1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229" t="e">
        <f ca="1">_xll.BDH($C$228,"OPER_MARGIN","FQ1 2014","FQ1 2014","Currency=INR","Period=FQ","BEST_FPERIOD_OVERRIDE=FQ","FILING_STATUS=OR","EQY_CONSOLIDATED=Y","FA_ADJUSTED=GAAP","Sort=A","Dates=H","DateFormat=P","Fill=—","Direction=H","UseDPDF=Y")</f>
        <v>#NAME?</v>
      </c>
      <c r="L229" t="e">
        <f ca="1">_xll.BDH($C$228,"INCREMENTAL_OPERATING_MARGIN","FQ1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29" t="e">
        <f ca="1">_xll.BDH($C$228,"PRETAX_INC_TO_NET_SALES","FQ1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29" t="e">
        <f ca="1">_xll.BDH($C$228,"INC_BEF_XO_ITEMS_TO_NET_SALES","FQ1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29" t="e">
        <f ca="1">_xll.BDH($C$228,"PROF_MARGIN","FQ1 2014","FQ1 2014","Currency=INR","Period=FQ","BEST_FPERIOD_OVERRIDE=FQ","FILING_STATUS=OR","EQY_CONSOLIDATED=Y","FA_ADJUSTED=GAAP","Sort=A","Dates=H","DateFormat=P","Fill=—","Direction=H","UseDPDF=Y")</f>
        <v>#NAME?</v>
      </c>
      <c r="P229" t="e">
        <f ca="1">_xll.BDH($C$228,"NET_INCOME_TO_COMMON_MARGIN","FQ1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29" t="e">
        <f ca="1">_xll.BDH($C$228,"EFF_TAX_RATE","FQ1 2014","FQ1 2014","Currency=INR","Period=FQ","BEST_FPERIOD_OVERRIDE=FQ","FILING_STATUS=OR","EQY_CONSOLIDATED=Y","FA_ADJUSTED=GAAP","Sort=A","Dates=H","DateFormat=P","Fill=—","Direction=H","UseDPDF=Y")</f>
        <v>#NAME?</v>
      </c>
      <c r="R229" t="e">
        <f ca="1">_xll.BDH($C$228,"DVD_PAYOUT_RATIO","FQ1 2014","FQ1 2014","Currency=INR","Period=FQ","BEST_FPERIOD_OVERRIDE=FQ","FILING_STATUS=OR","EQY_CONSOLIDATED=Y","FA_ADJUSTED=GAAP","Sort=A","Dates=H","DateFormat=P","Fill=—","Direction=H","UseDPDF=Y")</f>
        <v>#NAME?</v>
      </c>
      <c r="S229" t="e">
        <f ca="1">_xll.BDH($C$228,"SUSTAIN_GROWTH_RT","FQ1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229" s="1" t="e">
        <f ca="1">_xll.BDH($C$228,"SALES_GROWTH","FQ1 2014","FQ1 2014","Currency=INR","Period=FQ","BEST_FPERIOD_OVERRIDE=FQ","FILING_STATUS=OR","EQY_CONSOLIDATED=Y","FA_ADJUSTED=GAAP","Sort=A","Dates=H","DateFormat=P","Fill=—","Direction=H","UseDPDF=Y")</f>
        <v>#NAME?</v>
      </c>
      <c r="U229" s="1" t="e">
        <f ca="1">_xll.BDH($C$228,"EBITDA_GROWTH","FQ1 2014","FQ1 2014","Currency=INR","Period=FQ","BEST_FPERIOD_OVERRIDE=FQ","FILING_STATUS=OR","EQY_CONSOLIDATED=Y","FA_ADJUSTED=GAAP","Sort=A","Dates=H","DateFormat=P","Fill=—","Direction=H","UseDPDF=Y")</f>
        <v>#NAME?</v>
      </c>
      <c r="V229" s="1" t="e">
        <f ca="1">_xll.BDH($C$228,"OPER_INC_GROWTH","FQ1 2014","FQ1 2014","Currency=INR","Period=FQ","BEST_FPERIOD_OVERRIDE=FQ","FILING_STATUS=OR","EQY_CONSOLIDATED=Y","FA_ADJUSTED=GAAP","Sort=A","Dates=H","DateFormat=P","Fill=—","Direction=H","UseDPDF=Y")</f>
        <v>#NAME?</v>
      </c>
      <c r="W229" s="1" t="e">
        <f ca="1">_xll.BDH($C$228,"EARN_FOR_COM_GROWTH","FQ1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29" s="1" t="e">
        <f ca="1">_xll.BDH($C$228,"DILUTED_EPS_AFT_XO_ITEMS_GROWTH","FQ1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29" s="1" t="e">
        <f ca="1">_xll.BDH($C$228,"DIVIDEND_PER_SHARE_1_YEAR_GROWTH","FQ1 2014","FQ1 2014","Currency=INR","Period=FQ","BEST_FPERIOD_OVERRIDE=FQ","FILING_STATUS=OR","EQY_CONSOLIDATED=Y","Sort=A","Dates=H","DateFormat=P","Fill=—","Direction=H","UseDPDF=Y")</f>
        <v>#NAME?</v>
      </c>
      <c r="Z229" s="1" t="e">
        <f ca="1">_xll.BDH($C$228,"ACCOUNTS_RECEIVABLE_GROWTH","FQ1 2014","FQ1 2014","Currency=INR","Period=FQ","BEST_FPERIOD_OVERRIDE=FQ","FILING_STATUS=OR","EQY_CONSOLIDATED=Y","Sort=A","Dates=H","DateFormat=P","Fill=—","Direction=H","UseDPDF=Y")</f>
        <v>#NAME?</v>
      </c>
      <c r="AA229" s="1" t="e">
        <f ca="1">_xll.BDH($C$228,"INVENTORY_GROWTH","FQ1 2014","FQ1 2014","Currency=INR","Period=FQ","BEST_FPERIOD_OVERRIDE=FQ","FILING_STATUS=OR","EQY_CONSOLIDATED=Y","Sort=A","Dates=H","DateFormat=P","Fill=—","Direction=H","UseDPDF=Y")</f>
        <v>#NAME?</v>
      </c>
      <c r="AB229" s="1" t="e">
        <f ca="1">_xll.BDH($C$228,"NET_FIXED_ASSETS_1_YEAR_GROWTH","FQ1 2014","FQ1 2014","Currency=INR","Period=FQ","BEST_FPERIOD_OVERRIDE=FQ","FILING_STATUS=OR","EQY_CONSOLIDATED=Y","Sort=A","Dates=H","DateFormat=P","Fill=—","Direction=H","UseDPDF=Y")</f>
        <v>#NAME?</v>
      </c>
      <c r="AC229" s="1" t="e">
        <f ca="1">_xll.BDH($C$228,"ASSET_GROWTH","FQ1 2014","FQ1 2014","Currency=INR","Period=FQ","BEST_FPERIOD_OVERRIDE=FQ","FILING_STATUS=OR","EQY_CONSOLIDATED=Y","Sort=A","Dates=H","DateFormat=P","Fill=—","Direction=H","UseDPDF=Y")</f>
        <v>#NAME?</v>
      </c>
      <c r="AD229" s="1" t="e">
        <f ca="1">_xll.BDH($C$228,"MODIFIED_WORK_CAP_GROWTH","FQ1 2014","FQ1 2014","Currency=INR","Period=FQ","BEST_FPERIOD_OVERRIDE=FQ","FILING_STATUS=OR","EQY_CONSOLIDATED=Y","Sort=A","Dates=H","DateFormat=P","Fill=—","Direction=H","UseDPDF=Y")</f>
        <v>#NAME?</v>
      </c>
      <c r="AE229" s="1" t="e">
        <f ca="1">_xll.BDH($C$228,"WORK_CAP_GROWTH","FQ1 2014","FQ1 2014","Currency=INR","Period=FQ","BEST_FPERIOD_OVERRIDE=FQ","FILING_STATUS=OR","EQY_CONSOLIDATED=Y","Sort=A","Dates=H","DateFormat=P","Fill=—","Direction=H","UseDPDF=Y")</f>
        <v>#NAME?</v>
      </c>
      <c r="AF229" s="1" t="e">
        <f ca="1">_xll.BDH($C$228,"ACCOUNTS_PAYABLE_GROWTH_1YR","FQ1 2014","FQ1 2014","Currency=INR","Period=FQ","BEST_FPERIOD_OVERRIDE=FQ","FILING_STATUS=OR","EQY_CONSOLIDATED=Y","Sort=A","Dates=H","DateFormat=P","Fill=—","Direction=H","UseDPDF=Y")</f>
        <v>#NAME?</v>
      </c>
      <c r="AG229" s="1" t="e">
        <f ca="1">_xll.BDH($C$228,"SHORT_TERM_DEBT_1_YEAR_GROWTH","FQ1 2014","FQ1 2014","Currency=INR","Period=FQ","BEST_FPERIOD_OVERRIDE=FQ","FILING_STATUS=OR","EQY_CONSOLIDATED=Y","Sort=A","Dates=H","DateFormat=P","Fill=—","Direction=H","UseDPDF=Y")</f>
        <v>#NAME?</v>
      </c>
      <c r="AH229" s="1" t="e">
        <f ca="1">_xll.BDH($C$228,"TOTAL_DEBT_1_YEAR_GROWTH","FQ1 2014","FQ1 2014","Currency=INR","Period=FQ","BEST_FPERIOD_OVERRIDE=FQ","FILING_STATUS=OR","EQY_CONSOLIDATED=Y","Sort=A","Dates=H","DateFormat=P","Fill=—","Direction=H","UseDPDF=Y")</f>
        <v>#NAME?</v>
      </c>
      <c r="AI229" s="1" t="e">
        <f ca="1">_xll.BDH($C$228,"TOTAL_EQUITY_1_YEAR_GROWTH","FQ1 2014","FQ1 2014","Currency=INR","Period=FQ","BEST_FPERIOD_OVERRIDE=FQ","FILING_STATUS=OR","EQY_CONSOLIDATED=Y","Sort=A","Dates=H","DateFormat=P","Fill=—","Direction=H","UseDPDF=Y")</f>
        <v>#NAME?</v>
      </c>
      <c r="AJ229" s="1" t="e">
        <f ca="1">_xll.BDH($C$228,"GROWTH_IN_CAP","FQ1 2014","FQ1 2014","Currency=INR","Period=FQ","BEST_FPERIOD_OVERRIDE=FQ","FILING_STATUS=OR","EQY_CONSOLIDATED=Y","Sort=A","Dates=H","DateFormat=P","Fill=—","Direction=H","UseDPDF=Y")</f>
        <v>#NAME?</v>
      </c>
      <c r="AK229" s="1" t="e">
        <f ca="1">_xll.BDH($C$228,"BVPS_GROWTH","FQ1 2014","FQ1 2014","Currency=INR","Period=FQ","BEST_FPERIOD_OVERRIDE=FQ","FILING_STATUS=OR","EQY_CONSOLIDATED=Y","Sort=A","Dates=H","DateFormat=P","Fill=—","Direction=H","UseDPDF=Y")</f>
        <v>#NAME?</v>
      </c>
      <c r="AL229" s="1" t="e">
        <f ca="1">_xll.BDH($C$228,"CASH_FLOW_GROWTH","FQ1 2014","FQ1 2014","Currency=INR","Period=FQ","BEST_FPERIOD_OVERRIDE=FQ","FILING_STATUS=OR","EQY_CONSOLIDATED=Y","Sort=A","Dates=H","DateFormat=P","Fill=—","Direction=H","UseDPDF=Y")</f>
        <v>#NAME?</v>
      </c>
      <c r="AM229" s="1" t="e">
        <f ca="1">_xll.BDH($C$228,"GEO_GROW_NET_SALES","FQ1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29" s="1" t="e">
        <f ca="1">_xll.BDH($C$228,"GEO_GROW_EBITDA","FQ1 2014","FQ1 2014","Currency=INR","Period=FQ","BEST_FPERIOD_OVERRIDE=FQ","FILING_STATUS=OR","EQY_CONSOLIDATED=Y","FA_ADJUSTED=GAAP","Sort=A","Dates=H","DateFormat=P","Fill=—","Direction=H","UseDPDF=Y")</f>
        <v>#NAME?</v>
      </c>
      <c r="AO229" s="1" t="e">
        <f ca="1">_xll.BDH($C$228,"GEO_GROW_OPER_INC","FQ1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29" s="1" t="e">
        <f ca="1">_xll.BDH($C$228,"NET_INCOME_TO_COMMON_5_YR_GROWTH","FQ1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29" s="1" t="e">
        <f ca="1">_xll.BDH($C$228,"5Y_GEO_GROWTH_DILUTED_EPS","FQ1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29" s="1" t="e">
        <f ca="1">_xll.BDH($C$228,"GEO_GROW_DVD_PER_SH","FQ1 2014","FQ1 2014","Currency=INR","Period=FQ","BEST_FPERIOD_OVERRIDE=FQ","FILING_STATUS=OR","EQY_CONSOLIDATED=Y","Sort=A","Dates=H","DateFormat=P","Fill=—","Direction=H","UseDPDF=Y")</f>
        <v>#NAME?</v>
      </c>
      <c r="AS229" s="1" t="e">
        <f ca="1">_xll.BDH($C$228,"ACCOUNTS_RECEIVABLE_5_YR_GROWTH","FQ1 2014","FQ1 2014","Currency=INR","Period=FQ","BEST_FPERIOD_OVERRIDE=FQ","FILING_STATUS=OR","EQY_CONSOLIDATED=Y","Sort=A","Dates=H","DateFormat=P","Fill=—","Direction=H","UseDPDF=Y")</f>
        <v>#NAME?</v>
      </c>
      <c r="AT229" s="1" t="e">
        <f ca="1">_xll.BDH($C$228,"INVENTORY_5_YEAR_GROWTH","FQ1 2014","FQ1 2014","Currency=INR","Period=FQ","BEST_FPERIOD_OVERRIDE=FQ","FILING_STATUS=OR","EQY_CONSOLIDATED=Y","Sort=A","Dates=H","DateFormat=P","Fill=—","Direction=H","UseDPDF=Y")</f>
        <v>#NAME?</v>
      </c>
      <c r="AU229" s="1" t="e">
        <f ca="1">_xll.BDH($C$228,"NET_FIXED_ASSETS_5_YEAR_GROWTH","FQ1 2014","FQ1 2014","Currency=INR","Period=FQ","BEST_FPERIOD_OVERRIDE=FQ","FILING_STATUS=OR","EQY_CONSOLIDATED=Y","Sort=A","Dates=H","DateFormat=P","Fill=—","Direction=H","UseDPDF=Y")</f>
        <v>#NAME?</v>
      </c>
      <c r="AV229" s="1" t="e">
        <f ca="1">_xll.BDH($C$228,"GEO_GROW_TOT_ASSET","FQ1 2014","FQ1 2014","Currency=INR","Period=FQ","BEST_FPERIOD_OVERRIDE=FQ","FILING_STATUS=OR","EQY_CONSOLIDATED=Y","Sort=A","Dates=H","DateFormat=P","Fill=—","Direction=H","UseDPDF=Y")</f>
        <v>#NAME?</v>
      </c>
      <c r="AW229" s="1" t="e">
        <f ca="1">_xll.BDH($C$228,"MODIFIED_WORKING_CPTL_5YR_GRWTH","FQ1 2014","FQ1 2014","Currency=INR","Period=FQ","BEST_FPERIOD_OVERRIDE=FQ","FILING_STATUS=OR","EQY_CONSOLIDATED=Y","Sort=A","Dates=H","DateFormat=P","Fill=—","Direction=H","UseDPDF=Y")</f>
        <v>#NAME?</v>
      </c>
      <c r="AX229" s="1" t="e">
        <f ca="1">_xll.BDH($C$228,"WORKING_CAPITAL_5_YEAR_GROWTH","FQ1 2014","FQ1 2014","Currency=INR","Period=FQ","BEST_FPERIOD_OVERRIDE=FQ","FILING_STATUS=OR","EQY_CONSOLIDATED=Y","Sort=A","Dates=H","DateFormat=P","Fill=—","Direction=H","UseDPDF=Y")</f>
        <v>#NAME?</v>
      </c>
      <c r="AY229" s="1" t="e">
        <f ca="1">_xll.BDH($C$228,"ACCOUNTS_PAYABLE_5_YEAR_GROWTH","FQ1 2014","FQ1 2014","Currency=INR","Period=FQ","BEST_FPERIOD_OVERRIDE=FQ","FILING_STATUS=OR","EQY_CONSOLIDATED=Y","Sort=A","Dates=H","DateFormat=P","Fill=—","Direction=H","UseDPDF=Y")</f>
        <v>#NAME?</v>
      </c>
      <c r="AZ229" s="1" t="e">
        <f ca="1">_xll.BDH($C$228,"SHORT_TERM_DEBT_5_YEAR_GROWTH","FQ1 2014","FQ1 2014","Currency=INR","Period=FQ","BEST_FPERIOD_OVERRIDE=FQ","FILING_STATUS=OR","EQY_CONSOLIDATED=Y","Sort=A","Dates=H","DateFormat=P","Fill=—","Direction=H","UseDPDF=Y")</f>
        <v>#NAME?</v>
      </c>
      <c r="BA229" s="1" t="e">
        <f ca="1">_xll.BDH($C$228,"TOTAL_DEBT_5_YEAR_GROWTH","FQ1 2014","FQ1 2014","Currency=INR","Period=FQ","BEST_FPERIOD_OVERRIDE=FQ","FILING_STATUS=OR","EQY_CONSOLIDATED=Y","Sort=A","Dates=H","DateFormat=P","Fill=—","Direction=H","UseDPDF=Y")</f>
        <v>#NAME?</v>
      </c>
      <c r="BB229" s="1" t="e">
        <f ca="1">_xll.BDH($C$228,"GEO_GROW_TOT_SHRHLDR_EQY","FQ1 2014","FQ1 2014","Currency=INR","Period=FQ","BEST_FPERIOD_OVERRIDE=FQ","FILING_STATUS=OR","EQY_CONSOLIDATED=Y","Sort=A","Dates=H","DateFormat=P","Fill=—","Direction=H","UseDPDF=Y")</f>
        <v>#NAME?</v>
      </c>
      <c r="BC229" s="1" t="e">
        <f ca="1">_xll.BDH($C$228,"TOTAL_CAPITAL_5_YEAR_GROWTH","FQ1 2014","FQ1 2014","Currency=INR","Period=FQ","BEST_FPERIOD_OVERRIDE=FQ","FILING_STATUS=OR","EQY_CONSOLIDATED=Y","Sort=A","Dates=H","DateFormat=P","Fill=—","Direction=H","UseDPDF=Y")</f>
        <v>#NAME?</v>
      </c>
      <c r="BD229" s="1" t="e">
        <f ca="1">_xll.BDH($C$228,"GEO_GROW_BOOK_VAL","FQ1 2014","FQ1 2014","Currency=INR","Period=FQ","BEST_FPERIOD_OVERRIDE=FQ","FILING_STATUS=OR","EQY_CONSOLIDATED=Y","Sort=A","Dates=H","DateFormat=P","Fill=—","Direction=H","UseDPDF=Y")</f>
        <v>#NAME?</v>
      </c>
      <c r="BE229" s="1" t="e">
        <f ca="1">_xll.BDH($C$228,"GEO_GROW_CASH_OPER_ACT","FQ1 2014","FQ1 2014","Currency=INR","Period=FQ","BEST_FPERIOD_OVERRIDE=FQ","FILING_STATUS=OR","EQY_CONSOLIDATED=Y","Sort=A","Dates=H","DateFormat=P","Fill=—","Direction=H","UseDPDF=Y")</f>
        <v>#NAME?</v>
      </c>
      <c r="BF229" s="1" t="e">
        <f ca="1">_xll.BDH($C$228,"REVENUE_SEQUENTIAL_GROWTH","FQ1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29" s="1" t="e">
        <f ca="1">_xll.BDH($C$228,"EBITDA_SEQUENTIAL_GROWTH","FQ1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29" s="1" t="e">
        <f ca="1">_xll.BDH($C$228,"OPERATING_INCOME_SEQ_GROWTH","FQ1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29" s="1" t="e">
        <f ca="1">_xll.BDH($C$228,"NET_INCOME_TO_COMMON_SEQ_GROWTH","FQ1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29" s="1" t="e">
        <f ca="1">_xll.BDH($C$228,"EPS_DILUTED_SEQUENTIAL_GROWTH","FQ1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29" s="1" t="e">
        <f ca="1">_xll.BDH($C$228,"DPS_SEQUENTIAL_GROWTH","FQ1 2014","FQ1 2014","Currency=INR","Period=FQ","BEST_FPERIOD_OVERRIDE=FQ","FILING_STATUS=OR","EQY_CONSOLIDATED=Y","Sort=A","Dates=H","DateFormat=P","Fill=—","Direction=H","UseDPDF=Y")</f>
        <v>#NAME?</v>
      </c>
      <c r="BL229" s="1" t="e">
        <f ca="1">_xll.BDH($C$228,"ACCOUNTS_RECEIVABLE_SEQ_GROWTH","FQ1 2014","FQ1 2014","Currency=INR","Period=FQ","BEST_FPERIOD_OVERRIDE=FQ","FILING_STATUS=OR","EQY_CONSOLIDATED=Y","Sort=A","Dates=H","DateFormat=P","Fill=—","Direction=H","UseDPDF=Y")</f>
        <v>#NAME?</v>
      </c>
      <c r="BM229" s="1" t="e">
        <f ca="1">_xll.BDH($C$228,"INVENTORY_SEQUENTIAL_GROWTH","FQ1 2014","FQ1 2014","Currency=INR","Period=FQ","BEST_FPERIOD_OVERRIDE=FQ","FILING_STATUS=OR","EQY_CONSOLIDATED=Y","Sort=A","Dates=H","DateFormat=P","Fill=—","Direction=H","UseDPDF=Y")</f>
        <v>#NAME?</v>
      </c>
      <c r="BN229" s="1" t="e">
        <f ca="1">_xll.BDH($C$228,"FIXED_ASSETS_SEQUENTIAL_GROWTH","FQ1 2014","FQ1 2014","Currency=INR","Period=FQ","BEST_FPERIOD_OVERRIDE=FQ","FILING_STATUS=OR","EQY_CONSOLIDATED=Y","Sort=A","Dates=H","DateFormat=P","Fill=—","Direction=H","UseDPDF=Y")</f>
        <v>#NAME?</v>
      </c>
      <c r="BO229" s="1" t="e">
        <f ca="1">_xll.BDH($C$228,"TOTAL_ASSETS_SEQUENTIAL_GROWTH","FQ1 2014","FQ1 2014","Currency=INR","Period=FQ","BEST_FPERIOD_OVERRIDE=FQ","FILING_STATUS=OR","EQY_CONSOLIDATED=Y","Sort=A","Dates=H","DateFormat=P","Fill=—","Direction=H","UseDPDF=Y")</f>
        <v>#NAME?</v>
      </c>
      <c r="BP229" s="1" t="e">
        <f ca="1">_xll.BDH($C$228,"MODIFIED_WORKING_CPTL_SEQ_GRWTH","FQ1 2014","FQ1 2014","Currency=INR","Period=FQ","BEST_FPERIOD_OVERRIDE=FQ","FILING_STATUS=OR","EQY_CONSOLIDATED=Y","Sort=A","Dates=H","DateFormat=P","Fill=—","Direction=H","UseDPDF=Y")</f>
        <v>#NAME?</v>
      </c>
      <c r="BQ229" s="1" t="e">
        <f ca="1">_xll.BDH($C$228,"WORKING_CAPITAL_SEQ_GROWTH","FQ1 2014","FQ1 2014","Currency=INR","Period=FQ","BEST_FPERIOD_OVERRIDE=FQ","FILING_STATUS=OR","EQY_CONSOLIDATED=Y","Sort=A","Dates=H","DateFormat=P","Fill=—","Direction=H","UseDPDF=Y")</f>
        <v>#NAME?</v>
      </c>
      <c r="BR229" s="1" t="e">
        <f ca="1">_xll.BDH($C$228,"ACCOUNTS_PAYABLE_SEQ_GROWTH","FQ1 2014","FQ1 2014","Currency=INR","Period=FQ","BEST_FPERIOD_OVERRIDE=FQ","FILING_STATUS=OR","EQY_CONSOLIDATED=Y","Sort=A","Dates=H","DateFormat=P","Fill=—","Direction=H","UseDPDF=Y")</f>
        <v>#NAME?</v>
      </c>
      <c r="BS229" s="1" t="e">
        <f ca="1">_xll.BDH($C$228,"ST_DEBT_SEQUENTIAL_GROWTH","FQ1 2014","FQ1 2014","Currency=INR","Period=FQ","BEST_FPERIOD_OVERRIDE=FQ","FILING_STATUS=OR","EQY_CONSOLIDATED=Y","Sort=A","Dates=H","DateFormat=P","Fill=—","Direction=H","UseDPDF=Y")</f>
        <v>#NAME?</v>
      </c>
      <c r="BT229" s="1" t="e">
        <f ca="1">_xll.BDH($C$228,"TOTAL_DEBT_SEQUENTIAL_GROWTH","FQ1 2014","FQ1 2014","Currency=INR","Period=FQ","BEST_FPERIOD_OVERRIDE=FQ","FILING_STATUS=OR","EQY_CONSOLIDATED=Y","Sort=A","Dates=H","DateFormat=P","Fill=—","Direction=H","UseDPDF=Y")</f>
        <v>#NAME?</v>
      </c>
      <c r="BU229" s="1" t="e">
        <f ca="1">_xll.BDH($C$228,"TOTAL_EQUITY_SEQUENTIAL_GROWTH","FQ1 2014","FQ1 2014","Currency=INR","Period=FQ","BEST_FPERIOD_OVERRIDE=FQ","FILING_STATUS=OR","EQY_CONSOLIDATED=Y","Sort=A","Dates=H","DateFormat=P","Fill=—","Direction=H","UseDPDF=Y")</f>
        <v>#NAME?</v>
      </c>
      <c r="BV229" s="1" t="e">
        <f ca="1">_xll.BDH($C$228,"TOTAL_CAPITAL_SEQUENTIAL_GROWTH","FQ1 2014","FQ1 2014","Currency=INR","Period=FQ","BEST_FPERIOD_OVERRIDE=FQ","FILING_STATUS=OR","EQY_CONSOLIDATED=Y","Sort=A","Dates=H","DateFormat=P","Fill=—","Direction=H","UseDPDF=Y")</f>
        <v>#NAME?</v>
      </c>
      <c r="BW229" s="1" t="e">
        <f ca="1">_xll.BDH($C$228,"BPS_SEQUENTIAL_GROWTH","FQ1 2014","FQ1 2014","Currency=INR","Period=FQ","BEST_FPERIOD_OVERRIDE=FQ","FILING_STATUS=OR","EQY_CONSOLIDATED=Y","Sort=A","Dates=H","DateFormat=P","Fill=—","Direction=H","UseDPDF=Y")</f>
        <v>#NAME?</v>
      </c>
      <c r="BX229" s="1" t="e">
        <f ca="1">_xll.BDH($C$228,"CFO_SEQUENTIAL_GROWTH","FQ1 2014","FQ1 2014","Currency=INR","Period=FQ","BEST_FPERIOD_OVERRIDE=FQ","FILING_STATUS=OR","EQY_CONSOLIDATED=Y","Sort=A","Dates=H","DateFormat=P","Fill=—","Direction=H","UseDPDF=Y")</f>
        <v>#NAME?</v>
      </c>
      <c r="BY229" s="2" t="e">
        <f ca="1">_xll.BDH($C$228,"SHORT_AND_LONG_TERM_DEBT","FQ1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29" s="2" t="e">
        <f ca="1">_xll.BDH($C$228,"BS_ST_BORROW","FQ1 2014","FQ1 2014","Currency=INR","Period=FQ","BEST_FPERIOD_OVERRIDE=FQ","FILING_STATUS=OR","EQY_CONSOLIDATED=Y","SCALING_FORMAT=MLN","Sort=A","Dates=H","DateFormat=P","Fill=—","Direction=H","UseDPDF=Y")</f>
        <v>#NAME?</v>
      </c>
      <c r="CA229" s="2" t="e">
        <f ca="1">_xll.BDH($C$228,"BS_LT_BORROW","FQ1 2014","FQ1 2014","Currency=INR","Period=FQ","BEST_FPERIOD_OVERRIDE=FQ","FILING_STATUS=OR","EQY_CONSOLIDATED=Y","SCALING_FORMAT=MLN","Sort=A","Dates=H","DateFormat=P","Fill=—","Direction=H","UseDPDF=Y")</f>
        <v>#NAME?</v>
      </c>
      <c r="CB229" s="1" t="e">
        <f ca="1">_xll.BDH($C$228,"TOT_DEBT_TO_EBITDA","FQ1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29" s="1" t="e">
        <f ca="1">_xll.BDH($C$228,"NET_DEBT_TO_EBITDA","FQ1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29" s="1" t="e">
        <f ca="1">_xll.BDH($C$228,"TOTAL_DEBT_TO_EBIT","FQ1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29" s="1" t="e">
        <f ca="1">_xll.BDH($C$228,"NET_DEBT_TO_EBIT","FQ1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229" s="1" t="e">
        <f ca="1">_xll.BDH($C$228,"EBITDA_TO_INTEREST_EXPN","FQ1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29" s="1" t="e">
        <f ca="1">_xll.BDH($C$228,"COM_EQY_TO_TOT_ASSET","FQ1 2014","FQ1 2014","Currency=INR","Period=FQ","BEST_FPERIOD_OVERRIDE=FQ","FILING_STATUS=OR","EQY_CONSOLIDATED=Y","Sort=A","Dates=H","DateFormat=P","Fill=—","Direction=H","UseDPDF=Y")</f>
        <v>#NAME?</v>
      </c>
      <c r="CH229" s="1" t="e">
        <f ca="1">_xll.BDH($C$228,"LT_DEBT_TO_TOT_EQY","FQ1 2014","FQ1 2014","Currency=INR","Period=FQ","BEST_FPERIOD_OVERRIDE=FQ","FILING_STATUS=OR","EQY_CONSOLIDATED=Y","Sort=A","Dates=H","DateFormat=P","Fill=—","Direction=H","UseDPDF=Y")</f>
        <v>#NAME?</v>
      </c>
      <c r="CI229" s="1" t="e">
        <f ca="1">_xll.BDH($C$228,"LT_DEBT_TO_TOT_CAP","FQ1 2014","FQ1 2014","Currency=INR","Period=FQ","BEST_FPERIOD_OVERRIDE=FQ","FILING_STATUS=OR","EQY_CONSOLIDATED=Y","Sort=A","Dates=H","DateFormat=P","Fill=—","Direction=H","UseDPDF=Y")</f>
        <v>#NAME?</v>
      </c>
      <c r="CJ229" s="1" t="e">
        <f ca="1">_xll.BDH($C$228,"LT_DEBT_TO_TOT_ASSET","FQ1 2014","FQ1 2014","Currency=INR","Period=FQ","BEST_FPERIOD_OVERRIDE=FQ","FILING_STATUS=OR","EQY_CONSOLIDATED=Y","Sort=A","Dates=H","DateFormat=P","Fill=—","Direction=H","UseDPDF=Y")</f>
        <v>#NAME?</v>
      </c>
      <c r="CK229" s="1" t="e">
        <f ca="1">_xll.BDH($C$228,"TOT_DEBT_TO_TOT_EQY","FQ1 2014","FQ1 2014","Currency=INR","Period=FQ","BEST_FPERIOD_OVERRIDE=FQ","FILING_STATUS=OR","EQY_CONSOLIDATED=Y","Sort=A","Dates=H","DateFormat=P","Fill=—","Direction=H","UseDPDF=Y")</f>
        <v>#NAME?</v>
      </c>
      <c r="CL229" s="1" t="e">
        <f ca="1">_xll.BDH($C$228,"TOT_DEBT_TO_TOT_CAP","FQ1 2014","FQ1 2014","Currency=INR","Period=FQ","BEST_FPERIOD_OVERRIDE=FQ","FILING_STATUS=OR","EQY_CONSOLIDATED=Y","Sort=A","Dates=H","DateFormat=P","Fill=—","Direction=H","UseDPDF=Y")</f>
        <v>#NAME?</v>
      </c>
      <c r="CM229" s="1" t="e">
        <f ca="1">_xll.BDH($C$228,"TOT_DEBT_TO_TOT_ASSET","FQ1 2014","FQ1 2014","Currency=INR","Period=FQ","BEST_FPERIOD_OVERRIDE=FQ","FILING_STATUS=OR","EQY_CONSOLIDATED=Y","Sort=A","Dates=H","DateFormat=P","Fill=—","Direction=H","UseDPDF=Y")</f>
        <v>#NAME?</v>
      </c>
      <c r="CN229" s="1" t="e">
        <f ca="1">_xll.BDH($C$228,"NET_DEBT_TO_SHRHLDR_EQTY","FQ1 2014","FQ1 2014","Currency=INR","Period=FQ","BEST_FPERIOD_OVERRIDE=FQ","FILING_STATUS=OR","EQY_CONSOLIDATED=Y","Sort=A","Dates=H","DateFormat=P","Fill=—","Direction=H","UseDPDF=Y")</f>
        <v>#NAME?</v>
      </c>
      <c r="CO229" s="1" t="e">
        <f ca="1">_xll.BDH($C$228,"NET_DEBT_%_CAPITAL","FQ1 2014","FQ1 2014","Currency=INR","Period=FQ","BEST_FPERIOD_OVERRIDE=FQ","FILING_STATUS=OR","EQY_CONSOLIDATED=Y","Sort=A","Dates=H","DateFormat=P","Fill=—","Direction=H","UseDPDF=Y")</f>
        <v>#NAME?</v>
      </c>
      <c r="CP229" s="2" t="e">
        <f ca="1">_xll.BDH($C$228,"EBITDA","FQ1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29" s="2" t="e">
        <f ca="1">_xll.BDH($C$228,"EBITDA_AFTER_CAPEX","FQ1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29" s="2" t="e">
        <f ca="1">_xll.BDH($C$228,"IS_OPER_INC","FQ1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29" s="1" t="e">
        <f ca="1">_xll.BDH($C$228,"CASH_RATIO","FQ1 2014","FQ1 2014","Currency=INR","Period=FQ","BEST_FPERIOD_OVERRIDE=FQ","FILING_STATUS=OR","EQY_CONSOLIDATED=Y","Sort=A","Dates=H","DateFormat=P","Fill=—","Direction=H","UseDPDF=Y")</f>
        <v>#NAME?</v>
      </c>
      <c r="CT229" s="1" t="e">
        <f ca="1">_xll.BDH($C$228,"CUR_RATIO","FQ1 2014","FQ1 2014","Currency=INR","Period=FQ","BEST_FPERIOD_OVERRIDE=FQ","FILING_STATUS=OR","EQY_CONSOLIDATED=Y","Sort=A","Dates=H","DateFormat=P","Fill=—","Direction=H","UseDPDF=Y")</f>
        <v>#NAME?</v>
      </c>
      <c r="CU229" s="1" t="e">
        <f ca="1">_xll.BDH($C$228,"QUICK_RATIO","FQ1 2014","FQ1 2014","Currency=INR","Period=FQ","BEST_FPERIOD_OVERRIDE=FQ","FILING_STATUS=OR","EQY_CONSOLIDATED=Y","Sort=A","Dates=H","DateFormat=P","Fill=—","Direction=H","UseDPDF=Y")</f>
        <v>#NAME?</v>
      </c>
      <c r="CV229" s="1" t="e">
        <f ca="1">_xll.BDH($C$228,"ALTMAN_Z_SCORE","FQ1 2014","FQ1 2014","Currency=INR","Period=FQ","BEST_FPERIOD_OVERRIDE=FQ","FILING_STATUS=OR","EQY_CONSOLIDATED=Y","Sort=A","Dates=H","DateFormat=P","Fill=—","Direction=H","UseDPDF=Y")</f>
        <v>#NAME?</v>
      </c>
      <c r="CW229" s="3" t="e">
        <f ca="1">_xll.BDH($C$228,"ACCT_RCV_TURN","FQ1 2014","FQ1 2014","Currency=INR","Period=FQ","BEST_FPERIOD_OVERRIDE=FQ","FILING_STATUS=OR","EQY_CONSOLIDATED=Y","FA_ADJUSTED=GAAP","Sort=A","Dates=H","DateFormat=P","Fill=—","Direction=H","UseDPDF=Y")</f>
        <v>#NAME?</v>
      </c>
      <c r="CX229" s="1" t="e">
        <f ca="1">_xll.BDH($C$228,"ACCT_RCV_DAYS","FQ1 2014","FQ1 2014","Currency=INR","Period=FQ","BEST_FPERIOD_OVERRIDE=FQ","FILING_STATUS=OR","EQY_CONSOLIDATED=Y","FA_ADJUSTED=GAAP","Sort=A","Dates=H","DateFormat=P","Fill=—","Direction=H","UseDPDF=Y")</f>
        <v>#NAME?</v>
      </c>
      <c r="CY229" s="3" t="e">
        <f ca="1">_xll.BDH($C$228,"INVENT_TURN","FQ1 2014","FQ1 2014","Currency=INR","Period=FQ","BEST_FPERIOD_OVERRIDE=FQ","FILING_STATUS=OR","EQY_CONSOLIDATED=Y","FA_ADJUSTED=GAAP","Sort=A","Dates=H","DateFormat=P","Fill=—","Direction=H","UseDPDF=Y")</f>
        <v>#NAME?</v>
      </c>
      <c r="CZ229" s="1" t="e">
        <f ca="1">_xll.BDH($C$228,"INVENT_DAYS","FQ1 2014","FQ1 2014","Currency=INR","Period=FQ","BEST_FPERIOD_OVERRIDE=FQ","FILING_STATUS=OR","EQY_CONSOLIDATED=Y","FA_ADJUSTED=GAAP","Sort=A","Dates=H","DateFormat=P","Fill=—","Direction=H","UseDPDF=Y")</f>
        <v>#NAME?</v>
      </c>
      <c r="DA229" s="3" t="e">
        <f ca="1">_xll.BDH($C$228,"ACCOUNTS_PAYABLE_TURNOVER","FQ1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29" s="1" t="e">
        <f ca="1">_xll.BDH($C$228,"ACCOUNTS_PAYABLE_TURNOVER_DAYS","FQ1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29" s="3" t="e">
        <f ca="1">_xll.BDH($C$228,"CASH_CONVERSION_CYCLE","FQ1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29" s="3" t="e">
        <f ca="1">_xll.BDH($C$228,"INV_TO_CASH_DAYS","FQ1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229" s="4" t="e">
        <f ca="1">_xll.BDH($C$228,"BS_INVENTORIES","FQ1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229" s="2" t="e">
        <f ca="1">_xll.BDH($C$228,"INVTRY_RAW_MATERIALS","FQ1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29" s="2" t="e">
        <f ca="1">_xll.BDH($C$228,"INVTRY_IN_PROGRESS","FQ1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29" s="2" t="e">
        <f ca="1">_xll.BDH($C$228,"INVTRY_FINISHED_GOODS","FQ1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29" s="2" t="e">
        <f ca="1">_xll.BDH($C$228,"BS_OTHER_INV","FQ1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30" spans="1:113" x14ac:dyDescent="0.3">
      <c r="A230" s="6"/>
      <c r="B230" s="6"/>
      <c r="C230" s="6"/>
      <c r="D230" s="6"/>
      <c r="E230" t="s">
        <v>5</v>
      </c>
      <c r="F230" t="e">
        <f ca="1">_xll.BDH($C$228,"RETURN_COM_EQY","FQ2 2014","FQ2 2014","Currency=INR","Period=FQ","BEST_FPERIOD_OVERRIDE=FQ","FILING_STATUS=OR","EQY_CONSOLIDATED=Y","FA_ADJUSTED=GAAP","Sort=A","Dates=H","DateFormat=P","Fill=—","Direction=H","UseDPDF=Y")</f>
        <v>#NAME?</v>
      </c>
      <c r="G230" t="e">
        <f ca="1">_xll.BDH($C$228,"RETURN_ON_ASSET","FQ2 2014","FQ2 2014","Currency=INR","Period=FQ","BEST_FPERIOD_OVERRIDE=FQ","FILING_STATUS=OR","EQY_CONSOLIDATED=Y","FA_ADJUSTED=GAAP","Sort=A","Dates=H","DateFormat=P","Fill=—","Direction=H","UseDPDF=Y")</f>
        <v>#NAME?</v>
      </c>
      <c r="H230" t="e">
        <f ca="1">_xll.BDH($C$228,"RETURN_ON_CAP","FQ2 2014","FQ2 2014","Currency=INR","Period=FQ","BEST_FPERIOD_OVERRIDE=FQ","FILING_STATUS=OR","EQY_CONSOLIDATED=Y","FA_ADJUSTED=GAAP","Sort=A","Dates=H","DateFormat=P","Fill=—","Direction=H","UseDPDF=Y")</f>
        <v>#NAME?</v>
      </c>
      <c r="I230" t="e">
        <f ca="1">_xll.BDH($C$228,"RETURN_ON_INV_CAPITAL","FQ2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30" t="e">
        <f ca="1">_xll.BDH($C$228,"EBITDA_TO_REVENUE","FQ2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230" t="e">
        <f ca="1">_xll.BDH($C$228,"OPER_MARGIN","FQ2 2014","FQ2 2014","Currency=INR","Period=FQ","BEST_FPERIOD_OVERRIDE=FQ","FILING_STATUS=OR","EQY_CONSOLIDATED=Y","FA_ADJUSTED=GAAP","Sort=A","Dates=H","DateFormat=P","Fill=—","Direction=H","UseDPDF=Y")</f>
        <v>#NAME?</v>
      </c>
      <c r="L230" t="e">
        <f ca="1">_xll.BDH($C$228,"INCREMENTAL_OPERATING_MARGIN","FQ2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30" t="e">
        <f ca="1">_xll.BDH($C$228,"PRETAX_INC_TO_NET_SALES","FQ2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30" t="e">
        <f ca="1">_xll.BDH($C$228,"INC_BEF_XO_ITEMS_TO_NET_SALES","FQ2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30" t="e">
        <f ca="1">_xll.BDH($C$228,"PROF_MARGIN","FQ2 2014","FQ2 2014","Currency=INR","Period=FQ","BEST_FPERIOD_OVERRIDE=FQ","FILING_STATUS=OR","EQY_CONSOLIDATED=Y","FA_ADJUSTED=GAAP","Sort=A","Dates=H","DateFormat=P","Fill=—","Direction=H","UseDPDF=Y")</f>
        <v>#NAME?</v>
      </c>
      <c r="P230" t="e">
        <f ca="1">_xll.BDH($C$228,"NET_INCOME_TO_COMMON_MARGIN","FQ2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30" t="e">
        <f ca="1">_xll.BDH($C$228,"EFF_TAX_RATE","FQ2 2014","FQ2 2014","Currency=INR","Period=FQ","BEST_FPERIOD_OVERRIDE=FQ","FILING_STATUS=OR","EQY_CONSOLIDATED=Y","FA_ADJUSTED=GAAP","Sort=A","Dates=H","DateFormat=P","Fill=—","Direction=H","UseDPDF=Y")</f>
        <v>#NAME?</v>
      </c>
      <c r="R230" t="e">
        <f ca="1">_xll.BDH($C$228,"DVD_PAYOUT_RATIO","FQ2 2014","FQ2 2014","Currency=INR","Period=FQ","BEST_FPERIOD_OVERRIDE=FQ","FILING_STATUS=OR","EQY_CONSOLIDATED=Y","FA_ADJUSTED=GAAP","Sort=A","Dates=H","DateFormat=P","Fill=—","Direction=H","UseDPDF=Y")</f>
        <v>#NAME?</v>
      </c>
      <c r="S230" t="e">
        <f ca="1">_xll.BDH($C$228,"SUSTAIN_GROWTH_RT","FQ2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230" s="1" t="e">
        <f ca="1">_xll.BDH($C$228,"SALES_GROWTH","FQ2 2014","FQ2 2014","Currency=INR","Period=FQ","BEST_FPERIOD_OVERRIDE=FQ","FILING_STATUS=OR","EQY_CONSOLIDATED=Y","FA_ADJUSTED=GAAP","Sort=A","Dates=H","DateFormat=P","Fill=—","Direction=H","UseDPDF=Y")</f>
        <v>#NAME?</v>
      </c>
      <c r="U230" s="1" t="e">
        <f ca="1">_xll.BDH($C$228,"EBITDA_GROWTH","FQ2 2014","FQ2 2014","Currency=INR","Period=FQ","BEST_FPERIOD_OVERRIDE=FQ","FILING_STATUS=OR","EQY_CONSOLIDATED=Y","FA_ADJUSTED=GAAP","Sort=A","Dates=H","DateFormat=P","Fill=—","Direction=H","UseDPDF=Y")</f>
        <v>#NAME?</v>
      </c>
      <c r="V230" s="1" t="e">
        <f ca="1">_xll.BDH($C$228,"OPER_INC_GROWTH","FQ2 2014","FQ2 2014","Currency=INR","Period=FQ","BEST_FPERIOD_OVERRIDE=FQ","FILING_STATUS=OR","EQY_CONSOLIDATED=Y","FA_ADJUSTED=GAAP","Sort=A","Dates=H","DateFormat=P","Fill=—","Direction=H","UseDPDF=Y")</f>
        <v>#NAME?</v>
      </c>
      <c r="W230" s="1" t="e">
        <f ca="1">_xll.BDH($C$228,"EARN_FOR_COM_GROWTH","FQ2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30" s="1" t="e">
        <f ca="1">_xll.BDH($C$228,"DILUTED_EPS_AFT_XO_ITEMS_GROWTH","FQ2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30" s="1" t="e">
        <f ca="1">_xll.BDH($C$228,"DIVIDEND_PER_SHARE_1_YEAR_GROWTH","FQ2 2014","FQ2 2014","Currency=INR","Period=FQ","BEST_FPERIOD_OVERRIDE=FQ","FILING_STATUS=OR","EQY_CONSOLIDATED=Y","Sort=A","Dates=H","DateFormat=P","Fill=—","Direction=H","UseDPDF=Y")</f>
        <v>#NAME?</v>
      </c>
      <c r="Z230" s="1" t="e">
        <f ca="1">_xll.BDH($C$228,"ACCOUNTS_RECEIVABLE_GROWTH","FQ2 2014","FQ2 2014","Currency=INR","Period=FQ","BEST_FPERIOD_OVERRIDE=FQ","FILING_STATUS=OR","EQY_CONSOLIDATED=Y","Sort=A","Dates=H","DateFormat=P","Fill=—","Direction=H","UseDPDF=Y")</f>
        <v>#NAME?</v>
      </c>
      <c r="AA230" s="1" t="e">
        <f ca="1">_xll.BDH($C$228,"INVENTORY_GROWTH","FQ2 2014","FQ2 2014","Currency=INR","Period=FQ","BEST_FPERIOD_OVERRIDE=FQ","FILING_STATUS=OR","EQY_CONSOLIDATED=Y","Sort=A","Dates=H","DateFormat=P","Fill=—","Direction=H","UseDPDF=Y")</f>
        <v>#NAME?</v>
      </c>
      <c r="AB230" s="1" t="e">
        <f ca="1">_xll.BDH($C$228,"NET_FIXED_ASSETS_1_YEAR_GROWTH","FQ2 2014","FQ2 2014","Currency=INR","Period=FQ","BEST_FPERIOD_OVERRIDE=FQ","FILING_STATUS=OR","EQY_CONSOLIDATED=Y","Sort=A","Dates=H","DateFormat=P","Fill=—","Direction=H","UseDPDF=Y")</f>
        <v>#NAME?</v>
      </c>
      <c r="AC230" s="1" t="e">
        <f ca="1">_xll.BDH($C$228,"ASSET_GROWTH","FQ2 2014","FQ2 2014","Currency=INR","Period=FQ","BEST_FPERIOD_OVERRIDE=FQ","FILING_STATUS=OR","EQY_CONSOLIDATED=Y","Sort=A","Dates=H","DateFormat=P","Fill=—","Direction=H","UseDPDF=Y")</f>
        <v>#NAME?</v>
      </c>
      <c r="AD230" s="1" t="e">
        <f ca="1">_xll.BDH($C$228,"MODIFIED_WORK_CAP_GROWTH","FQ2 2014","FQ2 2014","Currency=INR","Period=FQ","BEST_FPERIOD_OVERRIDE=FQ","FILING_STATUS=OR","EQY_CONSOLIDATED=Y","Sort=A","Dates=H","DateFormat=P","Fill=—","Direction=H","UseDPDF=Y")</f>
        <v>#NAME?</v>
      </c>
      <c r="AE230" s="1" t="e">
        <f ca="1">_xll.BDH($C$228,"WORK_CAP_GROWTH","FQ2 2014","FQ2 2014","Currency=INR","Period=FQ","BEST_FPERIOD_OVERRIDE=FQ","FILING_STATUS=OR","EQY_CONSOLIDATED=Y","Sort=A","Dates=H","DateFormat=P","Fill=—","Direction=H","UseDPDF=Y")</f>
        <v>#NAME?</v>
      </c>
      <c r="AF230" s="1" t="e">
        <f ca="1">_xll.BDH($C$228,"ACCOUNTS_PAYABLE_GROWTH_1YR","FQ2 2014","FQ2 2014","Currency=INR","Period=FQ","BEST_FPERIOD_OVERRIDE=FQ","FILING_STATUS=OR","EQY_CONSOLIDATED=Y","Sort=A","Dates=H","DateFormat=P","Fill=—","Direction=H","UseDPDF=Y")</f>
        <v>#NAME?</v>
      </c>
      <c r="AG230" s="1" t="e">
        <f ca="1">_xll.BDH($C$228,"SHORT_TERM_DEBT_1_YEAR_GROWTH","FQ2 2014","FQ2 2014","Currency=INR","Period=FQ","BEST_FPERIOD_OVERRIDE=FQ","FILING_STATUS=OR","EQY_CONSOLIDATED=Y","Sort=A","Dates=H","DateFormat=P","Fill=—","Direction=H","UseDPDF=Y")</f>
        <v>#NAME?</v>
      </c>
      <c r="AH230" s="1" t="e">
        <f ca="1">_xll.BDH($C$228,"TOTAL_DEBT_1_YEAR_GROWTH","FQ2 2014","FQ2 2014","Currency=INR","Period=FQ","BEST_FPERIOD_OVERRIDE=FQ","FILING_STATUS=OR","EQY_CONSOLIDATED=Y","Sort=A","Dates=H","DateFormat=P","Fill=—","Direction=H","UseDPDF=Y")</f>
        <v>#NAME?</v>
      </c>
      <c r="AI230" s="1" t="e">
        <f ca="1">_xll.BDH($C$228,"TOTAL_EQUITY_1_YEAR_GROWTH","FQ2 2014","FQ2 2014","Currency=INR","Period=FQ","BEST_FPERIOD_OVERRIDE=FQ","FILING_STATUS=OR","EQY_CONSOLIDATED=Y","Sort=A","Dates=H","DateFormat=P","Fill=—","Direction=H","UseDPDF=Y")</f>
        <v>#NAME?</v>
      </c>
      <c r="AJ230" s="1" t="e">
        <f ca="1">_xll.BDH($C$228,"GROWTH_IN_CAP","FQ2 2014","FQ2 2014","Currency=INR","Period=FQ","BEST_FPERIOD_OVERRIDE=FQ","FILING_STATUS=OR","EQY_CONSOLIDATED=Y","Sort=A","Dates=H","DateFormat=P","Fill=—","Direction=H","UseDPDF=Y")</f>
        <v>#NAME?</v>
      </c>
      <c r="AK230" s="1" t="e">
        <f ca="1">_xll.BDH($C$228,"BVPS_GROWTH","FQ2 2014","FQ2 2014","Currency=INR","Period=FQ","BEST_FPERIOD_OVERRIDE=FQ","FILING_STATUS=OR","EQY_CONSOLIDATED=Y","Sort=A","Dates=H","DateFormat=P","Fill=—","Direction=H","UseDPDF=Y")</f>
        <v>#NAME?</v>
      </c>
      <c r="AL230" s="1" t="e">
        <f ca="1">_xll.BDH($C$228,"CASH_FLOW_GROWTH","FQ2 2014","FQ2 2014","Currency=INR","Period=FQ","BEST_FPERIOD_OVERRIDE=FQ","FILING_STATUS=OR","EQY_CONSOLIDATED=Y","Sort=A","Dates=H","DateFormat=P","Fill=—","Direction=H","UseDPDF=Y")</f>
        <v>#NAME?</v>
      </c>
      <c r="AM230" s="1" t="e">
        <f ca="1">_xll.BDH($C$228,"GEO_GROW_NET_SALES","FQ2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30" s="1" t="e">
        <f ca="1">_xll.BDH($C$228,"GEO_GROW_EBITDA","FQ2 2014","FQ2 2014","Currency=INR","Period=FQ","BEST_FPERIOD_OVERRIDE=FQ","FILING_STATUS=OR","EQY_CONSOLIDATED=Y","FA_ADJUSTED=GAAP","Sort=A","Dates=H","DateFormat=P","Fill=—","Direction=H","UseDPDF=Y")</f>
        <v>#NAME?</v>
      </c>
      <c r="AO230" s="1" t="e">
        <f ca="1">_xll.BDH($C$228,"GEO_GROW_OPER_INC","FQ2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30" s="1" t="e">
        <f ca="1">_xll.BDH($C$228,"NET_INCOME_TO_COMMON_5_YR_GROWTH","FQ2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30" s="1" t="e">
        <f ca="1">_xll.BDH($C$228,"5Y_GEO_GROWTH_DILUTED_EPS","FQ2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30" s="1" t="e">
        <f ca="1">_xll.BDH($C$228,"GEO_GROW_DVD_PER_SH","FQ2 2014","FQ2 2014","Currency=INR","Period=FQ","BEST_FPERIOD_OVERRIDE=FQ","FILING_STATUS=OR","EQY_CONSOLIDATED=Y","Sort=A","Dates=H","DateFormat=P","Fill=—","Direction=H","UseDPDF=Y")</f>
        <v>#NAME?</v>
      </c>
      <c r="AS230" s="1" t="e">
        <f ca="1">_xll.BDH($C$228,"ACCOUNTS_RECEIVABLE_5_YR_GROWTH","FQ2 2014","FQ2 2014","Currency=INR","Period=FQ","BEST_FPERIOD_OVERRIDE=FQ","FILING_STATUS=OR","EQY_CONSOLIDATED=Y","Sort=A","Dates=H","DateFormat=P","Fill=—","Direction=H","UseDPDF=Y")</f>
        <v>#NAME?</v>
      </c>
      <c r="AT230" s="1" t="e">
        <f ca="1">_xll.BDH($C$228,"INVENTORY_5_YEAR_GROWTH","FQ2 2014","FQ2 2014","Currency=INR","Period=FQ","BEST_FPERIOD_OVERRIDE=FQ","FILING_STATUS=OR","EQY_CONSOLIDATED=Y","Sort=A","Dates=H","DateFormat=P","Fill=—","Direction=H","UseDPDF=Y")</f>
        <v>#NAME?</v>
      </c>
      <c r="AU230" s="1" t="e">
        <f ca="1">_xll.BDH($C$228,"NET_FIXED_ASSETS_5_YEAR_GROWTH","FQ2 2014","FQ2 2014","Currency=INR","Period=FQ","BEST_FPERIOD_OVERRIDE=FQ","FILING_STATUS=OR","EQY_CONSOLIDATED=Y","Sort=A","Dates=H","DateFormat=P","Fill=—","Direction=H","UseDPDF=Y")</f>
        <v>#NAME?</v>
      </c>
      <c r="AV230" s="1" t="e">
        <f ca="1">_xll.BDH($C$228,"GEO_GROW_TOT_ASSET","FQ2 2014","FQ2 2014","Currency=INR","Period=FQ","BEST_FPERIOD_OVERRIDE=FQ","FILING_STATUS=OR","EQY_CONSOLIDATED=Y","Sort=A","Dates=H","DateFormat=P","Fill=—","Direction=H","UseDPDF=Y")</f>
        <v>#NAME?</v>
      </c>
      <c r="AW230" s="1" t="e">
        <f ca="1">_xll.BDH($C$228,"MODIFIED_WORKING_CPTL_5YR_GRWTH","FQ2 2014","FQ2 2014","Currency=INR","Period=FQ","BEST_FPERIOD_OVERRIDE=FQ","FILING_STATUS=OR","EQY_CONSOLIDATED=Y","Sort=A","Dates=H","DateFormat=P","Fill=—","Direction=H","UseDPDF=Y")</f>
        <v>#NAME?</v>
      </c>
      <c r="AX230" s="1" t="e">
        <f ca="1">_xll.BDH($C$228,"WORKING_CAPITAL_5_YEAR_GROWTH","FQ2 2014","FQ2 2014","Currency=INR","Period=FQ","BEST_FPERIOD_OVERRIDE=FQ","FILING_STATUS=OR","EQY_CONSOLIDATED=Y","Sort=A","Dates=H","DateFormat=P","Fill=—","Direction=H","UseDPDF=Y")</f>
        <v>#NAME?</v>
      </c>
      <c r="AY230" s="1" t="e">
        <f ca="1">_xll.BDH($C$228,"ACCOUNTS_PAYABLE_5_YEAR_GROWTH","FQ2 2014","FQ2 2014","Currency=INR","Period=FQ","BEST_FPERIOD_OVERRIDE=FQ","FILING_STATUS=OR","EQY_CONSOLIDATED=Y","Sort=A","Dates=H","DateFormat=P","Fill=—","Direction=H","UseDPDF=Y")</f>
        <v>#NAME?</v>
      </c>
      <c r="AZ230" s="1" t="e">
        <f ca="1">_xll.BDH($C$228,"SHORT_TERM_DEBT_5_YEAR_GROWTH","FQ2 2014","FQ2 2014","Currency=INR","Period=FQ","BEST_FPERIOD_OVERRIDE=FQ","FILING_STATUS=OR","EQY_CONSOLIDATED=Y","Sort=A","Dates=H","DateFormat=P","Fill=—","Direction=H","UseDPDF=Y")</f>
        <v>#NAME?</v>
      </c>
      <c r="BA230" s="1" t="e">
        <f ca="1">_xll.BDH($C$228,"TOTAL_DEBT_5_YEAR_GROWTH","FQ2 2014","FQ2 2014","Currency=INR","Period=FQ","BEST_FPERIOD_OVERRIDE=FQ","FILING_STATUS=OR","EQY_CONSOLIDATED=Y","Sort=A","Dates=H","DateFormat=P","Fill=—","Direction=H","UseDPDF=Y")</f>
        <v>#NAME?</v>
      </c>
      <c r="BB230" s="1" t="e">
        <f ca="1">_xll.BDH($C$228,"GEO_GROW_TOT_SHRHLDR_EQY","FQ2 2014","FQ2 2014","Currency=INR","Period=FQ","BEST_FPERIOD_OVERRIDE=FQ","FILING_STATUS=OR","EQY_CONSOLIDATED=Y","Sort=A","Dates=H","DateFormat=P","Fill=—","Direction=H","UseDPDF=Y")</f>
        <v>#NAME?</v>
      </c>
      <c r="BC230" s="1" t="e">
        <f ca="1">_xll.BDH($C$228,"TOTAL_CAPITAL_5_YEAR_GROWTH","FQ2 2014","FQ2 2014","Currency=INR","Period=FQ","BEST_FPERIOD_OVERRIDE=FQ","FILING_STATUS=OR","EQY_CONSOLIDATED=Y","Sort=A","Dates=H","DateFormat=P","Fill=—","Direction=H","UseDPDF=Y")</f>
        <v>#NAME?</v>
      </c>
      <c r="BD230" s="1" t="e">
        <f ca="1">_xll.BDH($C$228,"GEO_GROW_BOOK_VAL","FQ2 2014","FQ2 2014","Currency=INR","Period=FQ","BEST_FPERIOD_OVERRIDE=FQ","FILING_STATUS=OR","EQY_CONSOLIDATED=Y","Sort=A","Dates=H","DateFormat=P","Fill=—","Direction=H","UseDPDF=Y")</f>
        <v>#NAME?</v>
      </c>
      <c r="BE230" s="1" t="e">
        <f ca="1">_xll.BDH($C$228,"GEO_GROW_CASH_OPER_ACT","FQ2 2014","FQ2 2014","Currency=INR","Period=FQ","BEST_FPERIOD_OVERRIDE=FQ","FILING_STATUS=OR","EQY_CONSOLIDATED=Y","Sort=A","Dates=H","DateFormat=P","Fill=—","Direction=H","UseDPDF=Y")</f>
        <v>#NAME?</v>
      </c>
      <c r="BF230" s="1" t="e">
        <f ca="1">_xll.BDH($C$228,"REVENUE_SEQUENTIAL_GROWTH","FQ2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30" s="1" t="e">
        <f ca="1">_xll.BDH($C$228,"EBITDA_SEQUENTIAL_GROWTH","FQ2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30" s="1" t="e">
        <f ca="1">_xll.BDH($C$228,"OPERATING_INCOME_SEQ_GROWTH","FQ2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30" s="1" t="e">
        <f ca="1">_xll.BDH($C$228,"NET_INCOME_TO_COMMON_SEQ_GROWTH","FQ2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30" s="1" t="e">
        <f ca="1">_xll.BDH($C$228,"EPS_DILUTED_SEQUENTIAL_GROWTH","FQ2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30" s="1" t="e">
        <f ca="1">_xll.BDH($C$228,"DPS_SEQUENTIAL_GROWTH","FQ2 2014","FQ2 2014","Currency=INR","Period=FQ","BEST_FPERIOD_OVERRIDE=FQ","FILING_STATUS=OR","EQY_CONSOLIDATED=Y","Sort=A","Dates=H","DateFormat=P","Fill=—","Direction=H","UseDPDF=Y")</f>
        <v>#NAME?</v>
      </c>
      <c r="BL230" s="1" t="e">
        <f ca="1">_xll.BDH($C$228,"ACCOUNTS_RECEIVABLE_SEQ_GROWTH","FQ2 2014","FQ2 2014","Currency=INR","Period=FQ","BEST_FPERIOD_OVERRIDE=FQ","FILING_STATUS=OR","EQY_CONSOLIDATED=Y","Sort=A","Dates=H","DateFormat=P","Fill=—","Direction=H","UseDPDF=Y")</f>
        <v>#NAME?</v>
      </c>
      <c r="BM230" s="1" t="e">
        <f ca="1">_xll.BDH($C$228,"INVENTORY_SEQUENTIAL_GROWTH","FQ2 2014","FQ2 2014","Currency=INR","Period=FQ","BEST_FPERIOD_OVERRIDE=FQ","FILING_STATUS=OR","EQY_CONSOLIDATED=Y","Sort=A","Dates=H","DateFormat=P","Fill=—","Direction=H","UseDPDF=Y")</f>
        <v>#NAME?</v>
      </c>
      <c r="BN230" s="1" t="e">
        <f ca="1">_xll.BDH($C$228,"FIXED_ASSETS_SEQUENTIAL_GROWTH","FQ2 2014","FQ2 2014","Currency=INR","Period=FQ","BEST_FPERIOD_OVERRIDE=FQ","FILING_STATUS=OR","EQY_CONSOLIDATED=Y","Sort=A","Dates=H","DateFormat=P","Fill=—","Direction=H","UseDPDF=Y")</f>
        <v>#NAME?</v>
      </c>
      <c r="BO230" s="1" t="e">
        <f ca="1">_xll.BDH($C$228,"TOTAL_ASSETS_SEQUENTIAL_GROWTH","FQ2 2014","FQ2 2014","Currency=INR","Period=FQ","BEST_FPERIOD_OVERRIDE=FQ","FILING_STATUS=OR","EQY_CONSOLIDATED=Y","Sort=A","Dates=H","DateFormat=P","Fill=—","Direction=H","UseDPDF=Y")</f>
        <v>#NAME?</v>
      </c>
      <c r="BP230" s="1" t="e">
        <f ca="1">_xll.BDH($C$228,"MODIFIED_WORKING_CPTL_SEQ_GRWTH","FQ2 2014","FQ2 2014","Currency=INR","Period=FQ","BEST_FPERIOD_OVERRIDE=FQ","FILING_STATUS=OR","EQY_CONSOLIDATED=Y","Sort=A","Dates=H","DateFormat=P","Fill=—","Direction=H","UseDPDF=Y")</f>
        <v>#NAME?</v>
      </c>
      <c r="BQ230" s="1" t="e">
        <f ca="1">_xll.BDH($C$228,"WORKING_CAPITAL_SEQ_GROWTH","FQ2 2014","FQ2 2014","Currency=INR","Period=FQ","BEST_FPERIOD_OVERRIDE=FQ","FILING_STATUS=OR","EQY_CONSOLIDATED=Y","Sort=A","Dates=H","DateFormat=P","Fill=—","Direction=H","UseDPDF=Y")</f>
        <v>#NAME?</v>
      </c>
      <c r="BR230" s="1" t="e">
        <f ca="1">_xll.BDH($C$228,"ACCOUNTS_PAYABLE_SEQ_GROWTH","FQ2 2014","FQ2 2014","Currency=INR","Period=FQ","BEST_FPERIOD_OVERRIDE=FQ","FILING_STATUS=OR","EQY_CONSOLIDATED=Y","Sort=A","Dates=H","DateFormat=P","Fill=—","Direction=H","UseDPDF=Y")</f>
        <v>#NAME?</v>
      </c>
      <c r="BS230" s="1" t="e">
        <f ca="1">_xll.BDH($C$228,"ST_DEBT_SEQUENTIAL_GROWTH","FQ2 2014","FQ2 2014","Currency=INR","Period=FQ","BEST_FPERIOD_OVERRIDE=FQ","FILING_STATUS=OR","EQY_CONSOLIDATED=Y","Sort=A","Dates=H","DateFormat=P","Fill=—","Direction=H","UseDPDF=Y")</f>
        <v>#NAME?</v>
      </c>
      <c r="BT230" s="1" t="e">
        <f ca="1">_xll.BDH($C$228,"TOTAL_DEBT_SEQUENTIAL_GROWTH","FQ2 2014","FQ2 2014","Currency=INR","Period=FQ","BEST_FPERIOD_OVERRIDE=FQ","FILING_STATUS=OR","EQY_CONSOLIDATED=Y","Sort=A","Dates=H","DateFormat=P","Fill=—","Direction=H","UseDPDF=Y")</f>
        <v>#NAME?</v>
      </c>
      <c r="BU230" s="1" t="e">
        <f ca="1">_xll.BDH($C$228,"TOTAL_EQUITY_SEQUENTIAL_GROWTH","FQ2 2014","FQ2 2014","Currency=INR","Period=FQ","BEST_FPERIOD_OVERRIDE=FQ","FILING_STATUS=OR","EQY_CONSOLIDATED=Y","Sort=A","Dates=H","DateFormat=P","Fill=—","Direction=H","UseDPDF=Y")</f>
        <v>#NAME?</v>
      </c>
      <c r="BV230" s="1" t="e">
        <f ca="1">_xll.BDH($C$228,"TOTAL_CAPITAL_SEQUENTIAL_GROWTH","FQ2 2014","FQ2 2014","Currency=INR","Period=FQ","BEST_FPERIOD_OVERRIDE=FQ","FILING_STATUS=OR","EQY_CONSOLIDATED=Y","Sort=A","Dates=H","DateFormat=P","Fill=—","Direction=H","UseDPDF=Y")</f>
        <v>#NAME?</v>
      </c>
      <c r="BW230" s="1" t="e">
        <f ca="1">_xll.BDH($C$228,"BPS_SEQUENTIAL_GROWTH","FQ2 2014","FQ2 2014","Currency=INR","Period=FQ","BEST_FPERIOD_OVERRIDE=FQ","FILING_STATUS=OR","EQY_CONSOLIDATED=Y","Sort=A","Dates=H","DateFormat=P","Fill=—","Direction=H","UseDPDF=Y")</f>
        <v>#NAME?</v>
      </c>
      <c r="BX230" s="1" t="e">
        <f ca="1">_xll.BDH($C$228,"CFO_SEQUENTIAL_GROWTH","FQ2 2014","FQ2 2014","Currency=INR","Period=FQ","BEST_FPERIOD_OVERRIDE=FQ","FILING_STATUS=OR","EQY_CONSOLIDATED=Y","Sort=A","Dates=H","DateFormat=P","Fill=—","Direction=H","UseDPDF=Y")</f>
        <v>#NAME?</v>
      </c>
      <c r="BY230" s="2" t="e">
        <f ca="1">_xll.BDH($C$228,"SHORT_AND_LONG_TERM_DEBT","FQ2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30" s="2" t="e">
        <f ca="1">_xll.BDH($C$228,"BS_ST_BORROW","FQ2 2014","FQ2 2014","Currency=INR","Period=FQ","BEST_FPERIOD_OVERRIDE=FQ","FILING_STATUS=OR","EQY_CONSOLIDATED=Y","SCALING_FORMAT=MLN","Sort=A","Dates=H","DateFormat=P","Fill=—","Direction=H","UseDPDF=Y")</f>
        <v>#NAME?</v>
      </c>
      <c r="CA230" s="2" t="e">
        <f ca="1">_xll.BDH($C$228,"BS_LT_BORROW","FQ2 2014","FQ2 2014","Currency=INR","Period=FQ","BEST_FPERIOD_OVERRIDE=FQ","FILING_STATUS=OR","EQY_CONSOLIDATED=Y","SCALING_FORMAT=MLN","Sort=A","Dates=H","DateFormat=P","Fill=—","Direction=H","UseDPDF=Y")</f>
        <v>#NAME?</v>
      </c>
      <c r="CB230" s="1" t="e">
        <f ca="1">_xll.BDH($C$228,"TOT_DEBT_TO_EBITDA","FQ2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30" s="1" t="e">
        <f ca="1">_xll.BDH($C$228,"NET_DEBT_TO_EBITDA","FQ2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30" s="1" t="e">
        <f ca="1">_xll.BDH($C$228,"TOTAL_DEBT_TO_EBIT","FQ2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30" s="1" t="e">
        <f ca="1">_xll.BDH($C$228,"NET_DEBT_TO_EBIT","FQ2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230" s="1" t="e">
        <f ca="1">_xll.BDH($C$228,"EBITDA_TO_INTEREST_EXPN","FQ2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30" s="1" t="e">
        <f ca="1">_xll.BDH($C$228,"COM_EQY_TO_TOT_ASSET","FQ2 2014","FQ2 2014","Currency=INR","Period=FQ","BEST_FPERIOD_OVERRIDE=FQ","FILING_STATUS=OR","EQY_CONSOLIDATED=Y","Sort=A","Dates=H","DateFormat=P","Fill=—","Direction=H","UseDPDF=Y")</f>
        <v>#NAME?</v>
      </c>
      <c r="CH230" s="1" t="e">
        <f ca="1">_xll.BDH($C$228,"LT_DEBT_TO_TOT_EQY","FQ2 2014","FQ2 2014","Currency=INR","Period=FQ","BEST_FPERIOD_OVERRIDE=FQ","FILING_STATUS=OR","EQY_CONSOLIDATED=Y","Sort=A","Dates=H","DateFormat=P","Fill=—","Direction=H","UseDPDF=Y")</f>
        <v>#NAME?</v>
      </c>
      <c r="CI230" s="1" t="e">
        <f ca="1">_xll.BDH($C$228,"LT_DEBT_TO_TOT_CAP","FQ2 2014","FQ2 2014","Currency=INR","Period=FQ","BEST_FPERIOD_OVERRIDE=FQ","FILING_STATUS=OR","EQY_CONSOLIDATED=Y","Sort=A","Dates=H","DateFormat=P","Fill=—","Direction=H","UseDPDF=Y")</f>
        <v>#NAME?</v>
      </c>
      <c r="CJ230" s="1" t="e">
        <f ca="1">_xll.BDH($C$228,"LT_DEBT_TO_TOT_ASSET","FQ2 2014","FQ2 2014","Currency=INR","Period=FQ","BEST_FPERIOD_OVERRIDE=FQ","FILING_STATUS=OR","EQY_CONSOLIDATED=Y","Sort=A","Dates=H","DateFormat=P","Fill=—","Direction=H","UseDPDF=Y")</f>
        <v>#NAME?</v>
      </c>
      <c r="CK230" s="1" t="e">
        <f ca="1">_xll.BDH($C$228,"TOT_DEBT_TO_TOT_EQY","FQ2 2014","FQ2 2014","Currency=INR","Period=FQ","BEST_FPERIOD_OVERRIDE=FQ","FILING_STATUS=OR","EQY_CONSOLIDATED=Y","Sort=A","Dates=H","DateFormat=P","Fill=—","Direction=H","UseDPDF=Y")</f>
        <v>#NAME?</v>
      </c>
      <c r="CL230" s="1" t="e">
        <f ca="1">_xll.BDH($C$228,"TOT_DEBT_TO_TOT_CAP","FQ2 2014","FQ2 2014","Currency=INR","Period=FQ","BEST_FPERIOD_OVERRIDE=FQ","FILING_STATUS=OR","EQY_CONSOLIDATED=Y","Sort=A","Dates=H","DateFormat=P","Fill=—","Direction=H","UseDPDF=Y")</f>
        <v>#NAME?</v>
      </c>
      <c r="CM230" s="1" t="e">
        <f ca="1">_xll.BDH($C$228,"TOT_DEBT_TO_TOT_ASSET","FQ2 2014","FQ2 2014","Currency=INR","Period=FQ","BEST_FPERIOD_OVERRIDE=FQ","FILING_STATUS=OR","EQY_CONSOLIDATED=Y","Sort=A","Dates=H","DateFormat=P","Fill=—","Direction=H","UseDPDF=Y")</f>
        <v>#NAME?</v>
      </c>
      <c r="CN230" s="1" t="e">
        <f ca="1">_xll.BDH($C$228,"NET_DEBT_TO_SHRHLDR_EQTY","FQ2 2014","FQ2 2014","Currency=INR","Period=FQ","BEST_FPERIOD_OVERRIDE=FQ","FILING_STATUS=OR","EQY_CONSOLIDATED=Y","Sort=A","Dates=H","DateFormat=P","Fill=—","Direction=H","UseDPDF=Y")</f>
        <v>#NAME?</v>
      </c>
      <c r="CO230" s="1" t="e">
        <f ca="1">_xll.BDH($C$228,"NET_DEBT_%_CAPITAL","FQ2 2014","FQ2 2014","Currency=INR","Period=FQ","BEST_FPERIOD_OVERRIDE=FQ","FILING_STATUS=OR","EQY_CONSOLIDATED=Y","Sort=A","Dates=H","DateFormat=P","Fill=—","Direction=H","UseDPDF=Y")</f>
        <v>#NAME?</v>
      </c>
      <c r="CP230" s="2" t="e">
        <f ca="1">_xll.BDH($C$228,"EBITDA","FQ2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30" s="2" t="e">
        <f ca="1">_xll.BDH($C$228,"EBITDA_AFTER_CAPEX","FQ2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30" s="2" t="e">
        <f ca="1">_xll.BDH($C$228,"IS_OPER_INC","FQ2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30" s="1" t="e">
        <f ca="1">_xll.BDH($C$228,"CASH_RATIO","FQ2 2014","FQ2 2014","Currency=INR","Period=FQ","BEST_FPERIOD_OVERRIDE=FQ","FILING_STATUS=OR","EQY_CONSOLIDATED=Y","Sort=A","Dates=H","DateFormat=P","Fill=—","Direction=H","UseDPDF=Y")</f>
        <v>#NAME?</v>
      </c>
      <c r="CT230" s="1" t="e">
        <f ca="1">_xll.BDH($C$228,"CUR_RATIO","FQ2 2014","FQ2 2014","Currency=INR","Period=FQ","BEST_FPERIOD_OVERRIDE=FQ","FILING_STATUS=OR","EQY_CONSOLIDATED=Y","Sort=A","Dates=H","DateFormat=P","Fill=—","Direction=H","UseDPDF=Y")</f>
        <v>#NAME?</v>
      </c>
      <c r="CU230" s="1" t="e">
        <f ca="1">_xll.BDH($C$228,"QUICK_RATIO","FQ2 2014","FQ2 2014","Currency=INR","Period=FQ","BEST_FPERIOD_OVERRIDE=FQ","FILING_STATUS=OR","EQY_CONSOLIDATED=Y","Sort=A","Dates=H","DateFormat=P","Fill=—","Direction=H","UseDPDF=Y")</f>
        <v>#NAME?</v>
      </c>
      <c r="CV230" s="1" t="e">
        <f ca="1">_xll.BDH($C$228,"ALTMAN_Z_SCORE","FQ2 2014","FQ2 2014","Currency=INR","Period=FQ","BEST_FPERIOD_OVERRIDE=FQ","FILING_STATUS=OR","EQY_CONSOLIDATED=Y","Sort=A","Dates=H","DateFormat=P","Fill=—","Direction=H","UseDPDF=Y")</f>
        <v>#NAME?</v>
      </c>
      <c r="CW230" s="3" t="e">
        <f ca="1">_xll.BDH($C$228,"ACCT_RCV_TURN","FQ2 2014","FQ2 2014","Currency=INR","Period=FQ","BEST_FPERIOD_OVERRIDE=FQ","FILING_STATUS=OR","EQY_CONSOLIDATED=Y","FA_ADJUSTED=GAAP","Sort=A","Dates=H","DateFormat=P","Fill=—","Direction=H","UseDPDF=Y")</f>
        <v>#NAME?</v>
      </c>
      <c r="CX230" s="1" t="e">
        <f ca="1">_xll.BDH($C$228,"ACCT_RCV_DAYS","FQ2 2014","FQ2 2014","Currency=INR","Period=FQ","BEST_FPERIOD_OVERRIDE=FQ","FILING_STATUS=OR","EQY_CONSOLIDATED=Y","FA_ADJUSTED=GAAP","Sort=A","Dates=H","DateFormat=P","Fill=—","Direction=H","UseDPDF=Y")</f>
        <v>#NAME?</v>
      </c>
      <c r="CY230" s="3" t="e">
        <f ca="1">_xll.BDH($C$228,"INVENT_TURN","FQ2 2014","FQ2 2014","Currency=INR","Period=FQ","BEST_FPERIOD_OVERRIDE=FQ","FILING_STATUS=OR","EQY_CONSOLIDATED=Y","FA_ADJUSTED=GAAP","Sort=A","Dates=H","DateFormat=P","Fill=—","Direction=H","UseDPDF=Y")</f>
        <v>#NAME?</v>
      </c>
      <c r="CZ230" s="1" t="e">
        <f ca="1">_xll.BDH($C$228,"INVENT_DAYS","FQ2 2014","FQ2 2014","Currency=INR","Period=FQ","BEST_FPERIOD_OVERRIDE=FQ","FILING_STATUS=OR","EQY_CONSOLIDATED=Y","FA_ADJUSTED=GAAP","Sort=A","Dates=H","DateFormat=P","Fill=—","Direction=H","UseDPDF=Y")</f>
        <v>#NAME?</v>
      </c>
      <c r="DA230" s="3" t="e">
        <f ca="1">_xll.BDH($C$228,"ACCOUNTS_PAYABLE_TURNOVER","FQ2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30" s="1" t="e">
        <f ca="1">_xll.BDH($C$228,"ACCOUNTS_PAYABLE_TURNOVER_DAYS","FQ2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30" s="3" t="e">
        <f ca="1">_xll.BDH($C$228,"CASH_CONVERSION_CYCLE","FQ2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30" s="3" t="e">
        <f ca="1">_xll.BDH($C$228,"INV_TO_CASH_DAYS","FQ2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230" s="4" t="e">
        <f ca="1">_xll.BDH($C$228,"BS_INVENTORIES","FQ2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230" s="2" t="e">
        <f ca="1">_xll.BDH($C$228,"INVTRY_RAW_MATERIALS","FQ2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30" s="2" t="e">
        <f ca="1">_xll.BDH($C$228,"INVTRY_IN_PROGRESS","FQ2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30" s="2" t="e">
        <f ca="1">_xll.BDH($C$228,"INVTRY_FINISHED_GOODS","FQ2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30" s="2" t="e">
        <f ca="1">_xll.BDH($C$228,"BS_OTHER_INV","FQ2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31" spans="1:113" x14ac:dyDescent="0.3">
      <c r="A231" s="6"/>
      <c r="B231" s="6"/>
      <c r="C231" s="6"/>
      <c r="D231" s="6"/>
      <c r="E231" t="s">
        <v>6</v>
      </c>
      <c r="F231" t="e">
        <f ca="1">_xll.BDH($C$228,"RETURN_COM_EQY","FQ3 2014","FQ3 2014","Currency=INR","Period=FQ","BEST_FPERIOD_OVERRIDE=FQ","FILING_STATUS=OR","EQY_CONSOLIDATED=Y","FA_ADJUSTED=GAAP","Sort=A","Dates=H","DateFormat=P","Fill=—","Direction=H","UseDPDF=Y")</f>
        <v>#NAME?</v>
      </c>
      <c r="G231" t="e">
        <f ca="1">_xll.BDH($C$228,"RETURN_ON_ASSET","FQ3 2014","FQ3 2014","Currency=INR","Period=FQ","BEST_FPERIOD_OVERRIDE=FQ","FILING_STATUS=OR","EQY_CONSOLIDATED=Y","FA_ADJUSTED=GAAP","Sort=A","Dates=H","DateFormat=P","Fill=—","Direction=H","UseDPDF=Y")</f>
        <v>#NAME?</v>
      </c>
      <c r="H231" t="e">
        <f ca="1">_xll.BDH($C$228,"RETURN_ON_CAP","FQ3 2014","FQ3 2014","Currency=INR","Period=FQ","BEST_FPERIOD_OVERRIDE=FQ","FILING_STATUS=OR","EQY_CONSOLIDATED=Y","FA_ADJUSTED=GAAP","Sort=A","Dates=H","DateFormat=P","Fill=—","Direction=H","UseDPDF=Y")</f>
        <v>#NAME?</v>
      </c>
      <c r="I231" t="e">
        <f ca="1">_xll.BDH($C$228,"RETURN_ON_INV_CAPITAL","FQ3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31" t="e">
        <f ca="1">_xll.BDH($C$228,"EBITDA_TO_REVENUE","FQ3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231" t="e">
        <f ca="1">_xll.BDH($C$228,"OPER_MARGIN","FQ3 2014","FQ3 2014","Currency=INR","Period=FQ","BEST_FPERIOD_OVERRIDE=FQ","FILING_STATUS=OR","EQY_CONSOLIDATED=Y","FA_ADJUSTED=GAAP","Sort=A","Dates=H","DateFormat=P","Fill=—","Direction=H","UseDPDF=Y")</f>
        <v>#NAME?</v>
      </c>
      <c r="L231" t="e">
        <f ca="1">_xll.BDH($C$228,"INCREMENTAL_OPERATING_MARGIN","FQ3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31" t="e">
        <f ca="1">_xll.BDH($C$228,"PRETAX_INC_TO_NET_SALES","FQ3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31" t="e">
        <f ca="1">_xll.BDH($C$228,"INC_BEF_XO_ITEMS_TO_NET_SALES","FQ3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31" t="e">
        <f ca="1">_xll.BDH($C$228,"PROF_MARGIN","FQ3 2014","FQ3 2014","Currency=INR","Period=FQ","BEST_FPERIOD_OVERRIDE=FQ","FILING_STATUS=OR","EQY_CONSOLIDATED=Y","FA_ADJUSTED=GAAP","Sort=A","Dates=H","DateFormat=P","Fill=—","Direction=H","UseDPDF=Y")</f>
        <v>#NAME?</v>
      </c>
      <c r="P231" t="e">
        <f ca="1">_xll.BDH($C$228,"NET_INCOME_TO_COMMON_MARGIN","FQ3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31" t="e">
        <f ca="1">_xll.BDH($C$228,"EFF_TAX_RATE","FQ3 2014","FQ3 2014","Currency=INR","Period=FQ","BEST_FPERIOD_OVERRIDE=FQ","FILING_STATUS=OR","EQY_CONSOLIDATED=Y","FA_ADJUSTED=GAAP","Sort=A","Dates=H","DateFormat=P","Fill=—","Direction=H","UseDPDF=Y")</f>
        <v>#NAME?</v>
      </c>
      <c r="R231" t="e">
        <f ca="1">_xll.BDH($C$228,"DVD_PAYOUT_RATIO","FQ3 2014","FQ3 2014","Currency=INR","Period=FQ","BEST_FPERIOD_OVERRIDE=FQ","FILING_STATUS=OR","EQY_CONSOLIDATED=Y","FA_ADJUSTED=GAAP","Sort=A","Dates=H","DateFormat=P","Fill=—","Direction=H","UseDPDF=Y")</f>
        <v>#NAME?</v>
      </c>
      <c r="S231" t="e">
        <f ca="1">_xll.BDH($C$228,"SUSTAIN_GROWTH_RT","FQ3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231" s="1" t="e">
        <f ca="1">_xll.BDH($C$228,"SALES_GROWTH","FQ3 2014","FQ3 2014","Currency=INR","Period=FQ","BEST_FPERIOD_OVERRIDE=FQ","FILING_STATUS=OR","EQY_CONSOLIDATED=Y","FA_ADJUSTED=GAAP","Sort=A","Dates=H","DateFormat=P","Fill=—","Direction=H","UseDPDF=Y")</f>
        <v>#NAME?</v>
      </c>
      <c r="U231" s="1" t="e">
        <f ca="1">_xll.BDH($C$228,"EBITDA_GROWTH","FQ3 2014","FQ3 2014","Currency=INR","Period=FQ","BEST_FPERIOD_OVERRIDE=FQ","FILING_STATUS=OR","EQY_CONSOLIDATED=Y","FA_ADJUSTED=GAAP","Sort=A","Dates=H","DateFormat=P","Fill=—","Direction=H","UseDPDF=Y")</f>
        <v>#NAME?</v>
      </c>
      <c r="V231" s="1" t="e">
        <f ca="1">_xll.BDH($C$228,"OPER_INC_GROWTH","FQ3 2014","FQ3 2014","Currency=INR","Period=FQ","BEST_FPERIOD_OVERRIDE=FQ","FILING_STATUS=OR","EQY_CONSOLIDATED=Y","FA_ADJUSTED=GAAP","Sort=A","Dates=H","DateFormat=P","Fill=—","Direction=H","UseDPDF=Y")</f>
        <v>#NAME?</v>
      </c>
      <c r="W231" s="1" t="e">
        <f ca="1">_xll.BDH($C$228,"EARN_FOR_COM_GROWTH","FQ3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31" s="1" t="e">
        <f ca="1">_xll.BDH($C$228,"DILUTED_EPS_AFT_XO_ITEMS_GROWTH","FQ3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31" s="1" t="e">
        <f ca="1">_xll.BDH($C$228,"DIVIDEND_PER_SHARE_1_YEAR_GROWTH","FQ3 2014","FQ3 2014","Currency=INR","Period=FQ","BEST_FPERIOD_OVERRIDE=FQ","FILING_STATUS=OR","EQY_CONSOLIDATED=Y","Sort=A","Dates=H","DateFormat=P","Fill=—","Direction=H","UseDPDF=Y")</f>
        <v>#NAME?</v>
      </c>
      <c r="Z231" s="1" t="e">
        <f ca="1">_xll.BDH($C$228,"ACCOUNTS_RECEIVABLE_GROWTH","FQ3 2014","FQ3 2014","Currency=INR","Period=FQ","BEST_FPERIOD_OVERRIDE=FQ","FILING_STATUS=OR","EQY_CONSOLIDATED=Y","Sort=A","Dates=H","DateFormat=P","Fill=—","Direction=H","UseDPDF=Y")</f>
        <v>#NAME?</v>
      </c>
      <c r="AA231" s="1" t="e">
        <f ca="1">_xll.BDH($C$228,"INVENTORY_GROWTH","FQ3 2014","FQ3 2014","Currency=INR","Period=FQ","BEST_FPERIOD_OVERRIDE=FQ","FILING_STATUS=OR","EQY_CONSOLIDATED=Y","Sort=A","Dates=H","DateFormat=P","Fill=—","Direction=H","UseDPDF=Y")</f>
        <v>#NAME?</v>
      </c>
      <c r="AB231" s="1" t="e">
        <f ca="1">_xll.BDH($C$228,"NET_FIXED_ASSETS_1_YEAR_GROWTH","FQ3 2014","FQ3 2014","Currency=INR","Period=FQ","BEST_FPERIOD_OVERRIDE=FQ","FILING_STATUS=OR","EQY_CONSOLIDATED=Y","Sort=A","Dates=H","DateFormat=P","Fill=—","Direction=H","UseDPDF=Y")</f>
        <v>#NAME?</v>
      </c>
      <c r="AC231" s="1" t="e">
        <f ca="1">_xll.BDH($C$228,"ASSET_GROWTH","FQ3 2014","FQ3 2014","Currency=INR","Period=FQ","BEST_FPERIOD_OVERRIDE=FQ","FILING_STATUS=OR","EQY_CONSOLIDATED=Y","Sort=A","Dates=H","DateFormat=P","Fill=—","Direction=H","UseDPDF=Y")</f>
        <v>#NAME?</v>
      </c>
      <c r="AD231" s="1" t="e">
        <f ca="1">_xll.BDH($C$228,"MODIFIED_WORK_CAP_GROWTH","FQ3 2014","FQ3 2014","Currency=INR","Period=FQ","BEST_FPERIOD_OVERRIDE=FQ","FILING_STATUS=OR","EQY_CONSOLIDATED=Y","Sort=A","Dates=H","DateFormat=P","Fill=—","Direction=H","UseDPDF=Y")</f>
        <v>#NAME?</v>
      </c>
      <c r="AE231" s="1" t="e">
        <f ca="1">_xll.BDH($C$228,"WORK_CAP_GROWTH","FQ3 2014","FQ3 2014","Currency=INR","Period=FQ","BEST_FPERIOD_OVERRIDE=FQ","FILING_STATUS=OR","EQY_CONSOLIDATED=Y","Sort=A","Dates=H","DateFormat=P","Fill=—","Direction=H","UseDPDF=Y")</f>
        <v>#NAME?</v>
      </c>
      <c r="AF231" s="1" t="e">
        <f ca="1">_xll.BDH($C$228,"ACCOUNTS_PAYABLE_GROWTH_1YR","FQ3 2014","FQ3 2014","Currency=INR","Period=FQ","BEST_FPERIOD_OVERRIDE=FQ","FILING_STATUS=OR","EQY_CONSOLIDATED=Y","Sort=A","Dates=H","DateFormat=P","Fill=—","Direction=H","UseDPDF=Y")</f>
        <v>#NAME?</v>
      </c>
      <c r="AG231" s="1" t="e">
        <f ca="1">_xll.BDH($C$228,"SHORT_TERM_DEBT_1_YEAR_GROWTH","FQ3 2014","FQ3 2014","Currency=INR","Period=FQ","BEST_FPERIOD_OVERRIDE=FQ","FILING_STATUS=OR","EQY_CONSOLIDATED=Y","Sort=A","Dates=H","DateFormat=P","Fill=—","Direction=H","UseDPDF=Y")</f>
        <v>#NAME?</v>
      </c>
      <c r="AH231" s="1" t="e">
        <f ca="1">_xll.BDH($C$228,"TOTAL_DEBT_1_YEAR_GROWTH","FQ3 2014","FQ3 2014","Currency=INR","Period=FQ","BEST_FPERIOD_OVERRIDE=FQ","FILING_STATUS=OR","EQY_CONSOLIDATED=Y","Sort=A","Dates=H","DateFormat=P","Fill=—","Direction=H","UseDPDF=Y")</f>
        <v>#NAME?</v>
      </c>
      <c r="AI231" s="1" t="e">
        <f ca="1">_xll.BDH($C$228,"TOTAL_EQUITY_1_YEAR_GROWTH","FQ3 2014","FQ3 2014","Currency=INR","Period=FQ","BEST_FPERIOD_OVERRIDE=FQ","FILING_STATUS=OR","EQY_CONSOLIDATED=Y","Sort=A","Dates=H","DateFormat=P","Fill=—","Direction=H","UseDPDF=Y")</f>
        <v>#NAME?</v>
      </c>
      <c r="AJ231" s="1" t="e">
        <f ca="1">_xll.BDH($C$228,"GROWTH_IN_CAP","FQ3 2014","FQ3 2014","Currency=INR","Period=FQ","BEST_FPERIOD_OVERRIDE=FQ","FILING_STATUS=OR","EQY_CONSOLIDATED=Y","Sort=A","Dates=H","DateFormat=P","Fill=—","Direction=H","UseDPDF=Y")</f>
        <v>#NAME?</v>
      </c>
      <c r="AK231" s="1" t="e">
        <f ca="1">_xll.BDH($C$228,"BVPS_GROWTH","FQ3 2014","FQ3 2014","Currency=INR","Period=FQ","BEST_FPERIOD_OVERRIDE=FQ","FILING_STATUS=OR","EQY_CONSOLIDATED=Y","Sort=A","Dates=H","DateFormat=P","Fill=—","Direction=H","UseDPDF=Y")</f>
        <v>#NAME?</v>
      </c>
      <c r="AL231" s="1" t="e">
        <f ca="1">_xll.BDH($C$228,"CASH_FLOW_GROWTH","FQ3 2014","FQ3 2014","Currency=INR","Period=FQ","BEST_FPERIOD_OVERRIDE=FQ","FILING_STATUS=OR","EQY_CONSOLIDATED=Y","Sort=A","Dates=H","DateFormat=P","Fill=—","Direction=H","UseDPDF=Y")</f>
        <v>#NAME?</v>
      </c>
      <c r="AM231" s="1" t="e">
        <f ca="1">_xll.BDH($C$228,"GEO_GROW_NET_SALES","FQ3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31" s="1" t="e">
        <f ca="1">_xll.BDH($C$228,"GEO_GROW_EBITDA","FQ3 2014","FQ3 2014","Currency=INR","Period=FQ","BEST_FPERIOD_OVERRIDE=FQ","FILING_STATUS=OR","EQY_CONSOLIDATED=Y","FA_ADJUSTED=GAAP","Sort=A","Dates=H","DateFormat=P","Fill=—","Direction=H","UseDPDF=Y")</f>
        <v>#NAME?</v>
      </c>
      <c r="AO231" s="1" t="e">
        <f ca="1">_xll.BDH($C$228,"GEO_GROW_OPER_INC","FQ3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31" s="1" t="e">
        <f ca="1">_xll.BDH($C$228,"NET_INCOME_TO_COMMON_5_YR_GROWTH","FQ3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31" s="1" t="e">
        <f ca="1">_xll.BDH($C$228,"5Y_GEO_GROWTH_DILUTED_EPS","FQ3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31" s="1" t="e">
        <f ca="1">_xll.BDH($C$228,"GEO_GROW_DVD_PER_SH","FQ3 2014","FQ3 2014","Currency=INR","Period=FQ","BEST_FPERIOD_OVERRIDE=FQ","FILING_STATUS=OR","EQY_CONSOLIDATED=Y","Sort=A","Dates=H","DateFormat=P","Fill=—","Direction=H","UseDPDF=Y")</f>
        <v>#NAME?</v>
      </c>
      <c r="AS231" s="1" t="e">
        <f ca="1">_xll.BDH($C$228,"ACCOUNTS_RECEIVABLE_5_YR_GROWTH","FQ3 2014","FQ3 2014","Currency=INR","Period=FQ","BEST_FPERIOD_OVERRIDE=FQ","FILING_STATUS=OR","EQY_CONSOLIDATED=Y","Sort=A","Dates=H","DateFormat=P","Fill=—","Direction=H","UseDPDF=Y")</f>
        <v>#NAME?</v>
      </c>
      <c r="AT231" s="1" t="e">
        <f ca="1">_xll.BDH($C$228,"INVENTORY_5_YEAR_GROWTH","FQ3 2014","FQ3 2014","Currency=INR","Period=FQ","BEST_FPERIOD_OVERRIDE=FQ","FILING_STATUS=OR","EQY_CONSOLIDATED=Y","Sort=A","Dates=H","DateFormat=P","Fill=—","Direction=H","UseDPDF=Y")</f>
        <v>#NAME?</v>
      </c>
      <c r="AU231" s="1" t="e">
        <f ca="1">_xll.BDH($C$228,"NET_FIXED_ASSETS_5_YEAR_GROWTH","FQ3 2014","FQ3 2014","Currency=INR","Period=FQ","BEST_FPERIOD_OVERRIDE=FQ","FILING_STATUS=OR","EQY_CONSOLIDATED=Y","Sort=A","Dates=H","DateFormat=P","Fill=—","Direction=H","UseDPDF=Y")</f>
        <v>#NAME?</v>
      </c>
      <c r="AV231" s="1" t="e">
        <f ca="1">_xll.BDH($C$228,"GEO_GROW_TOT_ASSET","FQ3 2014","FQ3 2014","Currency=INR","Period=FQ","BEST_FPERIOD_OVERRIDE=FQ","FILING_STATUS=OR","EQY_CONSOLIDATED=Y","Sort=A","Dates=H","DateFormat=P","Fill=—","Direction=H","UseDPDF=Y")</f>
        <v>#NAME?</v>
      </c>
      <c r="AW231" s="1" t="e">
        <f ca="1">_xll.BDH($C$228,"MODIFIED_WORKING_CPTL_5YR_GRWTH","FQ3 2014","FQ3 2014","Currency=INR","Period=FQ","BEST_FPERIOD_OVERRIDE=FQ","FILING_STATUS=OR","EQY_CONSOLIDATED=Y","Sort=A","Dates=H","DateFormat=P","Fill=—","Direction=H","UseDPDF=Y")</f>
        <v>#NAME?</v>
      </c>
      <c r="AX231" s="1" t="e">
        <f ca="1">_xll.BDH($C$228,"WORKING_CAPITAL_5_YEAR_GROWTH","FQ3 2014","FQ3 2014","Currency=INR","Period=FQ","BEST_FPERIOD_OVERRIDE=FQ","FILING_STATUS=OR","EQY_CONSOLIDATED=Y","Sort=A","Dates=H","DateFormat=P","Fill=—","Direction=H","UseDPDF=Y")</f>
        <v>#NAME?</v>
      </c>
      <c r="AY231" s="1" t="e">
        <f ca="1">_xll.BDH($C$228,"ACCOUNTS_PAYABLE_5_YEAR_GROWTH","FQ3 2014","FQ3 2014","Currency=INR","Period=FQ","BEST_FPERIOD_OVERRIDE=FQ","FILING_STATUS=OR","EQY_CONSOLIDATED=Y","Sort=A","Dates=H","DateFormat=P","Fill=—","Direction=H","UseDPDF=Y")</f>
        <v>#NAME?</v>
      </c>
      <c r="AZ231" s="1" t="e">
        <f ca="1">_xll.BDH($C$228,"SHORT_TERM_DEBT_5_YEAR_GROWTH","FQ3 2014","FQ3 2014","Currency=INR","Period=FQ","BEST_FPERIOD_OVERRIDE=FQ","FILING_STATUS=OR","EQY_CONSOLIDATED=Y","Sort=A","Dates=H","DateFormat=P","Fill=—","Direction=H","UseDPDF=Y")</f>
        <v>#NAME?</v>
      </c>
      <c r="BA231" s="1" t="e">
        <f ca="1">_xll.BDH($C$228,"TOTAL_DEBT_5_YEAR_GROWTH","FQ3 2014","FQ3 2014","Currency=INR","Period=FQ","BEST_FPERIOD_OVERRIDE=FQ","FILING_STATUS=OR","EQY_CONSOLIDATED=Y","Sort=A","Dates=H","DateFormat=P","Fill=—","Direction=H","UseDPDF=Y")</f>
        <v>#NAME?</v>
      </c>
      <c r="BB231" s="1" t="e">
        <f ca="1">_xll.BDH($C$228,"GEO_GROW_TOT_SHRHLDR_EQY","FQ3 2014","FQ3 2014","Currency=INR","Period=FQ","BEST_FPERIOD_OVERRIDE=FQ","FILING_STATUS=OR","EQY_CONSOLIDATED=Y","Sort=A","Dates=H","DateFormat=P","Fill=—","Direction=H","UseDPDF=Y")</f>
        <v>#NAME?</v>
      </c>
      <c r="BC231" s="1" t="e">
        <f ca="1">_xll.BDH($C$228,"TOTAL_CAPITAL_5_YEAR_GROWTH","FQ3 2014","FQ3 2014","Currency=INR","Period=FQ","BEST_FPERIOD_OVERRIDE=FQ","FILING_STATUS=OR","EQY_CONSOLIDATED=Y","Sort=A","Dates=H","DateFormat=P","Fill=—","Direction=H","UseDPDF=Y")</f>
        <v>#NAME?</v>
      </c>
      <c r="BD231" s="1" t="e">
        <f ca="1">_xll.BDH($C$228,"GEO_GROW_BOOK_VAL","FQ3 2014","FQ3 2014","Currency=INR","Period=FQ","BEST_FPERIOD_OVERRIDE=FQ","FILING_STATUS=OR","EQY_CONSOLIDATED=Y","Sort=A","Dates=H","DateFormat=P","Fill=—","Direction=H","UseDPDF=Y")</f>
        <v>#NAME?</v>
      </c>
      <c r="BE231" s="1" t="e">
        <f ca="1">_xll.BDH($C$228,"GEO_GROW_CASH_OPER_ACT","FQ3 2014","FQ3 2014","Currency=INR","Period=FQ","BEST_FPERIOD_OVERRIDE=FQ","FILING_STATUS=OR","EQY_CONSOLIDATED=Y","Sort=A","Dates=H","DateFormat=P","Fill=—","Direction=H","UseDPDF=Y")</f>
        <v>#NAME?</v>
      </c>
      <c r="BF231" s="1" t="e">
        <f ca="1">_xll.BDH($C$228,"REVENUE_SEQUENTIAL_GROWTH","FQ3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31" s="1" t="e">
        <f ca="1">_xll.BDH($C$228,"EBITDA_SEQUENTIAL_GROWTH","FQ3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31" s="1" t="e">
        <f ca="1">_xll.BDH($C$228,"OPERATING_INCOME_SEQ_GROWTH","FQ3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31" s="1" t="e">
        <f ca="1">_xll.BDH($C$228,"NET_INCOME_TO_COMMON_SEQ_GROWTH","FQ3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31" s="1" t="e">
        <f ca="1">_xll.BDH($C$228,"EPS_DILUTED_SEQUENTIAL_GROWTH","FQ3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31" s="1" t="e">
        <f ca="1">_xll.BDH($C$228,"DPS_SEQUENTIAL_GROWTH","FQ3 2014","FQ3 2014","Currency=INR","Period=FQ","BEST_FPERIOD_OVERRIDE=FQ","FILING_STATUS=OR","EQY_CONSOLIDATED=Y","Sort=A","Dates=H","DateFormat=P","Fill=—","Direction=H","UseDPDF=Y")</f>
        <v>#NAME?</v>
      </c>
      <c r="BL231" s="1" t="e">
        <f ca="1">_xll.BDH($C$228,"ACCOUNTS_RECEIVABLE_SEQ_GROWTH","FQ3 2014","FQ3 2014","Currency=INR","Period=FQ","BEST_FPERIOD_OVERRIDE=FQ","FILING_STATUS=OR","EQY_CONSOLIDATED=Y","Sort=A","Dates=H","DateFormat=P","Fill=—","Direction=H","UseDPDF=Y")</f>
        <v>#NAME?</v>
      </c>
      <c r="BM231" s="1" t="e">
        <f ca="1">_xll.BDH($C$228,"INVENTORY_SEQUENTIAL_GROWTH","FQ3 2014","FQ3 2014","Currency=INR","Period=FQ","BEST_FPERIOD_OVERRIDE=FQ","FILING_STATUS=OR","EQY_CONSOLIDATED=Y","Sort=A","Dates=H","DateFormat=P","Fill=—","Direction=H","UseDPDF=Y")</f>
        <v>#NAME?</v>
      </c>
      <c r="BN231" s="1" t="e">
        <f ca="1">_xll.BDH($C$228,"FIXED_ASSETS_SEQUENTIAL_GROWTH","FQ3 2014","FQ3 2014","Currency=INR","Period=FQ","BEST_FPERIOD_OVERRIDE=FQ","FILING_STATUS=OR","EQY_CONSOLIDATED=Y","Sort=A","Dates=H","DateFormat=P","Fill=—","Direction=H","UseDPDF=Y")</f>
        <v>#NAME?</v>
      </c>
      <c r="BO231" s="1" t="e">
        <f ca="1">_xll.BDH($C$228,"TOTAL_ASSETS_SEQUENTIAL_GROWTH","FQ3 2014","FQ3 2014","Currency=INR","Period=FQ","BEST_FPERIOD_OVERRIDE=FQ","FILING_STATUS=OR","EQY_CONSOLIDATED=Y","Sort=A","Dates=H","DateFormat=P","Fill=—","Direction=H","UseDPDF=Y")</f>
        <v>#NAME?</v>
      </c>
      <c r="BP231" s="1" t="e">
        <f ca="1">_xll.BDH($C$228,"MODIFIED_WORKING_CPTL_SEQ_GRWTH","FQ3 2014","FQ3 2014","Currency=INR","Period=FQ","BEST_FPERIOD_OVERRIDE=FQ","FILING_STATUS=OR","EQY_CONSOLIDATED=Y","Sort=A","Dates=H","DateFormat=P","Fill=—","Direction=H","UseDPDF=Y")</f>
        <v>#NAME?</v>
      </c>
      <c r="BQ231" s="1" t="e">
        <f ca="1">_xll.BDH($C$228,"WORKING_CAPITAL_SEQ_GROWTH","FQ3 2014","FQ3 2014","Currency=INR","Period=FQ","BEST_FPERIOD_OVERRIDE=FQ","FILING_STATUS=OR","EQY_CONSOLIDATED=Y","Sort=A","Dates=H","DateFormat=P","Fill=—","Direction=H","UseDPDF=Y")</f>
        <v>#NAME?</v>
      </c>
      <c r="BR231" s="1" t="e">
        <f ca="1">_xll.BDH($C$228,"ACCOUNTS_PAYABLE_SEQ_GROWTH","FQ3 2014","FQ3 2014","Currency=INR","Period=FQ","BEST_FPERIOD_OVERRIDE=FQ","FILING_STATUS=OR","EQY_CONSOLIDATED=Y","Sort=A","Dates=H","DateFormat=P","Fill=—","Direction=H","UseDPDF=Y")</f>
        <v>#NAME?</v>
      </c>
      <c r="BS231" s="1" t="e">
        <f ca="1">_xll.BDH($C$228,"ST_DEBT_SEQUENTIAL_GROWTH","FQ3 2014","FQ3 2014","Currency=INR","Period=FQ","BEST_FPERIOD_OVERRIDE=FQ","FILING_STATUS=OR","EQY_CONSOLIDATED=Y","Sort=A","Dates=H","DateFormat=P","Fill=—","Direction=H","UseDPDF=Y")</f>
        <v>#NAME?</v>
      </c>
      <c r="BT231" s="1" t="e">
        <f ca="1">_xll.BDH($C$228,"TOTAL_DEBT_SEQUENTIAL_GROWTH","FQ3 2014","FQ3 2014","Currency=INR","Period=FQ","BEST_FPERIOD_OVERRIDE=FQ","FILING_STATUS=OR","EQY_CONSOLIDATED=Y","Sort=A","Dates=H","DateFormat=P","Fill=—","Direction=H","UseDPDF=Y")</f>
        <v>#NAME?</v>
      </c>
      <c r="BU231" s="1" t="e">
        <f ca="1">_xll.BDH($C$228,"TOTAL_EQUITY_SEQUENTIAL_GROWTH","FQ3 2014","FQ3 2014","Currency=INR","Period=FQ","BEST_FPERIOD_OVERRIDE=FQ","FILING_STATUS=OR","EQY_CONSOLIDATED=Y","Sort=A","Dates=H","DateFormat=P","Fill=—","Direction=H","UseDPDF=Y")</f>
        <v>#NAME?</v>
      </c>
      <c r="BV231" s="1" t="e">
        <f ca="1">_xll.BDH($C$228,"TOTAL_CAPITAL_SEQUENTIAL_GROWTH","FQ3 2014","FQ3 2014","Currency=INR","Period=FQ","BEST_FPERIOD_OVERRIDE=FQ","FILING_STATUS=OR","EQY_CONSOLIDATED=Y","Sort=A","Dates=H","DateFormat=P","Fill=—","Direction=H","UseDPDF=Y")</f>
        <v>#NAME?</v>
      </c>
      <c r="BW231" s="1" t="e">
        <f ca="1">_xll.BDH($C$228,"BPS_SEQUENTIAL_GROWTH","FQ3 2014","FQ3 2014","Currency=INR","Period=FQ","BEST_FPERIOD_OVERRIDE=FQ","FILING_STATUS=OR","EQY_CONSOLIDATED=Y","Sort=A","Dates=H","DateFormat=P","Fill=—","Direction=H","UseDPDF=Y")</f>
        <v>#NAME?</v>
      </c>
      <c r="BX231" s="1" t="e">
        <f ca="1">_xll.BDH($C$228,"CFO_SEQUENTIAL_GROWTH","FQ3 2014","FQ3 2014","Currency=INR","Period=FQ","BEST_FPERIOD_OVERRIDE=FQ","FILING_STATUS=OR","EQY_CONSOLIDATED=Y","Sort=A","Dates=H","DateFormat=P","Fill=—","Direction=H","UseDPDF=Y")</f>
        <v>#NAME?</v>
      </c>
      <c r="BY231" s="2" t="e">
        <f ca="1">_xll.BDH($C$228,"SHORT_AND_LONG_TERM_DEBT","FQ3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31" s="2" t="e">
        <f ca="1">_xll.BDH($C$228,"BS_ST_BORROW","FQ3 2014","FQ3 2014","Currency=INR","Period=FQ","BEST_FPERIOD_OVERRIDE=FQ","FILING_STATUS=OR","EQY_CONSOLIDATED=Y","SCALING_FORMAT=MLN","Sort=A","Dates=H","DateFormat=P","Fill=—","Direction=H","UseDPDF=Y")</f>
        <v>#NAME?</v>
      </c>
      <c r="CA231" s="2" t="e">
        <f ca="1">_xll.BDH($C$228,"BS_LT_BORROW","FQ3 2014","FQ3 2014","Currency=INR","Period=FQ","BEST_FPERIOD_OVERRIDE=FQ","FILING_STATUS=OR","EQY_CONSOLIDATED=Y","SCALING_FORMAT=MLN","Sort=A","Dates=H","DateFormat=P","Fill=—","Direction=H","UseDPDF=Y")</f>
        <v>#NAME?</v>
      </c>
      <c r="CB231" s="1" t="e">
        <f ca="1">_xll.BDH($C$228,"TOT_DEBT_TO_EBITDA","FQ3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31" s="1" t="e">
        <f ca="1">_xll.BDH($C$228,"NET_DEBT_TO_EBITDA","FQ3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31" s="1" t="e">
        <f ca="1">_xll.BDH($C$228,"TOTAL_DEBT_TO_EBIT","FQ3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31" s="1" t="e">
        <f ca="1">_xll.BDH($C$228,"NET_DEBT_TO_EBIT","FQ3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231" s="1" t="e">
        <f ca="1">_xll.BDH($C$228,"EBITDA_TO_INTEREST_EXPN","FQ3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31" s="1" t="e">
        <f ca="1">_xll.BDH($C$228,"COM_EQY_TO_TOT_ASSET","FQ3 2014","FQ3 2014","Currency=INR","Period=FQ","BEST_FPERIOD_OVERRIDE=FQ","FILING_STATUS=OR","EQY_CONSOLIDATED=Y","Sort=A","Dates=H","DateFormat=P","Fill=—","Direction=H","UseDPDF=Y")</f>
        <v>#NAME?</v>
      </c>
      <c r="CH231" s="1" t="e">
        <f ca="1">_xll.BDH($C$228,"LT_DEBT_TO_TOT_EQY","FQ3 2014","FQ3 2014","Currency=INR","Period=FQ","BEST_FPERIOD_OVERRIDE=FQ","FILING_STATUS=OR","EQY_CONSOLIDATED=Y","Sort=A","Dates=H","DateFormat=P","Fill=—","Direction=H","UseDPDF=Y")</f>
        <v>#NAME?</v>
      </c>
      <c r="CI231" s="1" t="e">
        <f ca="1">_xll.BDH($C$228,"LT_DEBT_TO_TOT_CAP","FQ3 2014","FQ3 2014","Currency=INR","Period=FQ","BEST_FPERIOD_OVERRIDE=FQ","FILING_STATUS=OR","EQY_CONSOLIDATED=Y","Sort=A","Dates=H","DateFormat=P","Fill=—","Direction=H","UseDPDF=Y")</f>
        <v>#NAME?</v>
      </c>
      <c r="CJ231" s="1" t="e">
        <f ca="1">_xll.BDH($C$228,"LT_DEBT_TO_TOT_ASSET","FQ3 2014","FQ3 2014","Currency=INR","Period=FQ","BEST_FPERIOD_OVERRIDE=FQ","FILING_STATUS=OR","EQY_CONSOLIDATED=Y","Sort=A","Dates=H","DateFormat=P","Fill=—","Direction=H","UseDPDF=Y")</f>
        <v>#NAME?</v>
      </c>
      <c r="CK231" s="1" t="e">
        <f ca="1">_xll.BDH($C$228,"TOT_DEBT_TO_TOT_EQY","FQ3 2014","FQ3 2014","Currency=INR","Period=FQ","BEST_FPERIOD_OVERRIDE=FQ","FILING_STATUS=OR","EQY_CONSOLIDATED=Y","Sort=A","Dates=H","DateFormat=P","Fill=—","Direction=H","UseDPDF=Y")</f>
        <v>#NAME?</v>
      </c>
      <c r="CL231" s="1" t="e">
        <f ca="1">_xll.BDH($C$228,"TOT_DEBT_TO_TOT_CAP","FQ3 2014","FQ3 2014","Currency=INR","Period=FQ","BEST_FPERIOD_OVERRIDE=FQ","FILING_STATUS=OR","EQY_CONSOLIDATED=Y","Sort=A","Dates=H","DateFormat=P","Fill=—","Direction=H","UseDPDF=Y")</f>
        <v>#NAME?</v>
      </c>
      <c r="CM231" s="1" t="e">
        <f ca="1">_xll.BDH($C$228,"TOT_DEBT_TO_TOT_ASSET","FQ3 2014","FQ3 2014","Currency=INR","Period=FQ","BEST_FPERIOD_OVERRIDE=FQ","FILING_STATUS=OR","EQY_CONSOLIDATED=Y","Sort=A","Dates=H","DateFormat=P","Fill=—","Direction=H","UseDPDF=Y")</f>
        <v>#NAME?</v>
      </c>
      <c r="CN231" s="1" t="e">
        <f ca="1">_xll.BDH($C$228,"NET_DEBT_TO_SHRHLDR_EQTY","FQ3 2014","FQ3 2014","Currency=INR","Period=FQ","BEST_FPERIOD_OVERRIDE=FQ","FILING_STATUS=OR","EQY_CONSOLIDATED=Y","Sort=A","Dates=H","DateFormat=P","Fill=—","Direction=H","UseDPDF=Y")</f>
        <v>#NAME?</v>
      </c>
      <c r="CO231" s="1" t="e">
        <f ca="1">_xll.BDH($C$228,"NET_DEBT_%_CAPITAL","FQ3 2014","FQ3 2014","Currency=INR","Period=FQ","BEST_FPERIOD_OVERRIDE=FQ","FILING_STATUS=OR","EQY_CONSOLIDATED=Y","Sort=A","Dates=H","DateFormat=P","Fill=—","Direction=H","UseDPDF=Y")</f>
        <v>#NAME?</v>
      </c>
      <c r="CP231" s="2" t="e">
        <f ca="1">_xll.BDH($C$228,"EBITDA","FQ3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31" s="2" t="e">
        <f ca="1">_xll.BDH($C$228,"EBITDA_AFTER_CAPEX","FQ3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31" s="2" t="e">
        <f ca="1">_xll.BDH($C$228,"IS_OPER_INC","FQ3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31" s="1" t="e">
        <f ca="1">_xll.BDH($C$228,"CASH_RATIO","FQ3 2014","FQ3 2014","Currency=INR","Period=FQ","BEST_FPERIOD_OVERRIDE=FQ","FILING_STATUS=OR","EQY_CONSOLIDATED=Y","Sort=A","Dates=H","DateFormat=P","Fill=—","Direction=H","UseDPDF=Y")</f>
        <v>#NAME?</v>
      </c>
      <c r="CT231" s="1" t="e">
        <f ca="1">_xll.BDH($C$228,"CUR_RATIO","FQ3 2014","FQ3 2014","Currency=INR","Period=FQ","BEST_FPERIOD_OVERRIDE=FQ","FILING_STATUS=OR","EQY_CONSOLIDATED=Y","Sort=A","Dates=H","DateFormat=P","Fill=—","Direction=H","UseDPDF=Y")</f>
        <v>#NAME?</v>
      </c>
      <c r="CU231" s="1" t="e">
        <f ca="1">_xll.BDH($C$228,"QUICK_RATIO","FQ3 2014","FQ3 2014","Currency=INR","Period=FQ","BEST_FPERIOD_OVERRIDE=FQ","FILING_STATUS=OR","EQY_CONSOLIDATED=Y","Sort=A","Dates=H","DateFormat=P","Fill=—","Direction=H","UseDPDF=Y")</f>
        <v>#NAME?</v>
      </c>
      <c r="CV231" s="1" t="e">
        <f ca="1">_xll.BDH($C$228,"ALTMAN_Z_SCORE","FQ3 2014","FQ3 2014","Currency=INR","Period=FQ","BEST_FPERIOD_OVERRIDE=FQ","FILING_STATUS=OR","EQY_CONSOLIDATED=Y","Sort=A","Dates=H","DateFormat=P","Fill=—","Direction=H","UseDPDF=Y")</f>
        <v>#NAME?</v>
      </c>
      <c r="CW231" s="3" t="e">
        <f ca="1">_xll.BDH($C$228,"ACCT_RCV_TURN","FQ3 2014","FQ3 2014","Currency=INR","Period=FQ","BEST_FPERIOD_OVERRIDE=FQ","FILING_STATUS=OR","EQY_CONSOLIDATED=Y","FA_ADJUSTED=GAAP","Sort=A","Dates=H","DateFormat=P","Fill=—","Direction=H","UseDPDF=Y")</f>
        <v>#NAME?</v>
      </c>
      <c r="CX231" s="1" t="e">
        <f ca="1">_xll.BDH($C$228,"ACCT_RCV_DAYS","FQ3 2014","FQ3 2014","Currency=INR","Period=FQ","BEST_FPERIOD_OVERRIDE=FQ","FILING_STATUS=OR","EQY_CONSOLIDATED=Y","FA_ADJUSTED=GAAP","Sort=A","Dates=H","DateFormat=P","Fill=—","Direction=H","UseDPDF=Y")</f>
        <v>#NAME?</v>
      </c>
      <c r="CY231" s="3" t="e">
        <f ca="1">_xll.BDH($C$228,"INVENT_TURN","FQ3 2014","FQ3 2014","Currency=INR","Period=FQ","BEST_FPERIOD_OVERRIDE=FQ","FILING_STATUS=OR","EQY_CONSOLIDATED=Y","FA_ADJUSTED=GAAP","Sort=A","Dates=H","DateFormat=P","Fill=—","Direction=H","UseDPDF=Y")</f>
        <v>#NAME?</v>
      </c>
      <c r="CZ231" s="1" t="e">
        <f ca="1">_xll.BDH($C$228,"INVENT_DAYS","FQ3 2014","FQ3 2014","Currency=INR","Period=FQ","BEST_FPERIOD_OVERRIDE=FQ","FILING_STATUS=OR","EQY_CONSOLIDATED=Y","FA_ADJUSTED=GAAP","Sort=A","Dates=H","DateFormat=P","Fill=—","Direction=H","UseDPDF=Y")</f>
        <v>#NAME?</v>
      </c>
      <c r="DA231" s="3" t="e">
        <f ca="1">_xll.BDH($C$228,"ACCOUNTS_PAYABLE_TURNOVER","FQ3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31" s="1" t="e">
        <f ca="1">_xll.BDH($C$228,"ACCOUNTS_PAYABLE_TURNOVER_DAYS","FQ3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31" s="3" t="e">
        <f ca="1">_xll.BDH($C$228,"CASH_CONVERSION_CYCLE","FQ3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31" s="3" t="e">
        <f ca="1">_xll.BDH($C$228,"INV_TO_CASH_DAYS","FQ3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231" s="4" t="e">
        <f ca="1">_xll.BDH($C$228,"BS_INVENTORIES","FQ3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231" s="2" t="e">
        <f ca="1">_xll.BDH($C$228,"INVTRY_RAW_MATERIALS","FQ3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31" s="2" t="e">
        <f ca="1">_xll.BDH($C$228,"INVTRY_IN_PROGRESS","FQ3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31" s="2" t="e">
        <f ca="1">_xll.BDH($C$228,"INVTRY_FINISHED_GOODS","FQ3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31" s="2" t="e">
        <f ca="1">_xll.BDH($C$228,"BS_OTHER_INV","FQ3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32" spans="1:113" x14ac:dyDescent="0.3">
      <c r="A232" s="6"/>
      <c r="B232" s="6"/>
      <c r="C232" s="6"/>
      <c r="D232" s="6"/>
      <c r="E232" t="s">
        <v>7</v>
      </c>
      <c r="F232" t="e">
        <f ca="1">_xll.BDH($C$228,"RETURN_COM_EQY","FQ4 2014","FQ4 2014","Currency=INR","Period=FQ","BEST_FPERIOD_OVERRIDE=FQ","FILING_STATUS=OR","EQY_CONSOLIDATED=Y","FA_ADJUSTED=GAAP","Sort=A","Dates=H","DateFormat=P","Fill=—","Direction=H","UseDPDF=Y")</f>
        <v>#NAME?</v>
      </c>
      <c r="G232" t="e">
        <f ca="1">_xll.BDH($C$228,"RETURN_ON_ASSET","FQ4 2014","FQ4 2014","Currency=INR","Period=FQ","BEST_FPERIOD_OVERRIDE=FQ","FILING_STATUS=OR","EQY_CONSOLIDATED=Y","FA_ADJUSTED=GAAP","Sort=A","Dates=H","DateFormat=P","Fill=—","Direction=H","UseDPDF=Y")</f>
        <v>#NAME?</v>
      </c>
      <c r="H232" t="e">
        <f ca="1">_xll.BDH($C$228,"RETURN_ON_CAP","FQ4 2014","FQ4 2014","Currency=INR","Period=FQ","BEST_FPERIOD_OVERRIDE=FQ","FILING_STATUS=OR","EQY_CONSOLIDATED=Y","FA_ADJUSTED=GAAP","Sort=A","Dates=H","DateFormat=P","Fill=—","Direction=H","UseDPDF=Y")</f>
        <v>#NAME?</v>
      </c>
      <c r="I232" t="e">
        <f ca="1">_xll.BDH($C$228,"RETURN_ON_INV_CAPITAL","FQ4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32" t="e">
        <f ca="1">_xll.BDH($C$228,"EBITDA_TO_REVENUE","FQ4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232" t="e">
        <f ca="1">_xll.BDH($C$228,"OPER_MARGIN","FQ4 2014","FQ4 2014","Currency=INR","Period=FQ","BEST_FPERIOD_OVERRIDE=FQ","FILING_STATUS=OR","EQY_CONSOLIDATED=Y","FA_ADJUSTED=GAAP","Sort=A","Dates=H","DateFormat=P","Fill=—","Direction=H","UseDPDF=Y")</f>
        <v>#NAME?</v>
      </c>
      <c r="L232" t="e">
        <f ca="1">_xll.BDH($C$228,"INCREMENTAL_OPERATING_MARGIN","FQ4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32" t="e">
        <f ca="1">_xll.BDH($C$228,"PRETAX_INC_TO_NET_SALES","FQ4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32" t="e">
        <f ca="1">_xll.BDH($C$228,"INC_BEF_XO_ITEMS_TO_NET_SALES","FQ4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32" t="e">
        <f ca="1">_xll.BDH($C$228,"PROF_MARGIN","FQ4 2014","FQ4 2014","Currency=INR","Period=FQ","BEST_FPERIOD_OVERRIDE=FQ","FILING_STATUS=OR","EQY_CONSOLIDATED=Y","FA_ADJUSTED=GAAP","Sort=A","Dates=H","DateFormat=P","Fill=—","Direction=H","UseDPDF=Y")</f>
        <v>#NAME?</v>
      </c>
      <c r="P232" t="e">
        <f ca="1">_xll.BDH($C$228,"NET_INCOME_TO_COMMON_MARGIN","FQ4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32" t="e">
        <f ca="1">_xll.BDH($C$228,"EFF_TAX_RATE","FQ4 2014","FQ4 2014","Currency=INR","Period=FQ","BEST_FPERIOD_OVERRIDE=FQ","FILING_STATUS=OR","EQY_CONSOLIDATED=Y","FA_ADJUSTED=GAAP","Sort=A","Dates=H","DateFormat=P","Fill=—","Direction=H","UseDPDF=Y")</f>
        <v>#NAME?</v>
      </c>
      <c r="R232" t="e">
        <f ca="1">_xll.BDH($C$228,"DVD_PAYOUT_RATIO","FQ4 2014","FQ4 2014","Currency=INR","Period=FQ","BEST_FPERIOD_OVERRIDE=FQ","FILING_STATUS=OR","EQY_CONSOLIDATED=Y","FA_ADJUSTED=GAAP","Sort=A","Dates=H","DateFormat=P","Fill=—","Direction=H","UseDPDF=Y")</f>
        <v>#NAME?</v>
      </c>
      <c r="S232" t="e">
        <f ca="1">_xll.BDH($C$228,"SUSTAIN_GROWTH_RT","FQ4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232" s="1" t="e">
        <f ca="1">_xll.BDH($C$228,"SALES_GROWTH","FQ4 2014","FQ4 2014","Currency=INR","Period=FQ","BEST_FPERIOD_OVERRIDE=FQ","FILING_STATUS=OR","EQY_CONSOLIDATED=Y","FA_ADJUSTED=GAAP","Sort=A","Dates=H","DateFormat=P","Fill=—","Direction=H","UseDPDF=Y")</f>
        <v>#NAME?</v>
      </c>
      <c r="U232" s="1" t="e">
        <f ca="1">_xll.BDH($C$228,"EBITDA_GROWTH","FQ4 2014","FQ4 2014","Currency=INR","Period=FQ","BEST_FPERIOD_OVERRIDE=FQ","FILING_STATUS=OR","EQY_CONSOLIDATED=Y","FA_ADJUSTED=GAAP","Sort=A","Dates=H","DateFormat=P","Fill=—","Direction=H","UseDPDF=Y")</f>
        <v>#NAME?</v>
      </c>
      <c r="V232" s="1" t="e">
        <f ca="1">_xll.BDH($C$228,"OPER_INC_GROWTH","FQ4 2014","FQ4 2014","Currency=INR","Period=FQ","BEST_FPERIOD_OVERRIDE=FQ","FILING_STATUS=OR","EQY_CONSOLIDATED=Y","FA_ADJUSTED=GAAP","Sort=A","Dates=H","DateFormat=P","Fill=—","Direction=H","UseDPDF=Y")</f>
        <v>#NAME?</v>
      </c>
      <c r="W232" s="1" t="e">
        <f ca="1">_xll.BDH($C$228,"EARN_FOR_COM_GROWTH","FQ4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32" s="1" t="e">
        <f ca="1">_xll.BDH($C$228,"DILUTED_EPS_AFT_XO_ITEMS_GROWTH","FQ4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32" s="1" t="e">
        <f ca="1">_xll.BDH($C$228,"DIVIDEND_PER_SHARE_1_YEAR_GROWTH","FQ4 2014","FQ4 2014","Currency=INR","Period=FQ","BEST_FPERIOD_OVERRIDE=FQ","FILING_STATUS=OR","EQY_CONSOLIDATED=Y","Sort=A","Dates=H","DateFormat=P","Fill=—","Direction=H","UseDPDF=Y")</f>
        <v>#NAME?</v>
      </c>
      <c r="Z232" s="1" t="e">
        <f ca="1">_xll.BDH($C$228,"ACCOUNTS_RECEIVABLE_GROWTH","FQ4 2014","FQ4 2014","Currency=INR","Period=FQ","BEST_FPERIOD_OVERRIDE=FQ","FILING_STATUS=OR","EQY_CONSOLIDATED=Y","Sort=A","Dates=H","DateFormat=P","Fill=—","Direction=H","UseDPDF=Y")</f>
        <v>#NAME?</v>
      </c>
      <c r="AA232" s="1" t="e">
        <f ca="1">_xll.BDH($C$228,"INVENTORY_GROWTH","FQ4 2014","FQ4 2014","Currency=INR","Period=FQ","BEST_FPERIOD_OVERRIDE=FQ","FILING_STATUS=OR","EQY_CONSOLIDATED=Y","Sort=A","Dates=H","DateFormat=P","Fill=—","Direction=H","UseDPDF=Y")</f>
        <v>#NAME?</v>
      </c>
      <c r="AB232" s="1" t="e">
        <f ca="1">_xll.BDH($C$228,"NET_FIXED_ASSETS_1_YEAR_GROWTH","FQ4 2014","FQ4 2014","Currency=INR","Period=FQ","BEST_FPERIOD_OVERRIDE=FQ","FILING_STATUS=OR","EQY_CONSOLIDATED=Y","Sort=A","Dates=H","DateFormat=P","Fill=—","Direction=H","UseDPDF=Y")</f>
        <v>#NAME?</v>
      </c>
      <c r="AC232" s="1" t="e">
        <f ca="1">_xll.BDH($C$228,"ASSET_GROWTH","FQ4 2014","FQ4 2014","Currency=INR","Period=FQ","BEST_FPERIOD_OVERRIDE=FQ","FILING_STATUS=OR","EQY_CONSOLIDATED=Y","Sort=A","Dates=H","DateFormat=P","Fill=—","Direction=H","UseDPDF=Y")</f>
        <v>#NAME?</v>
      </c>
      <c r="AD232" s="1" t="e">
        <f ca="1">_xll.BDH($C$228,"MODIFIED_WORK_CAP_GROWTH","FQ4 2014","FQ4 2014","Currency=INR","Period=FQ","BEST_FPERIOD_OVERRIDE=FQ","FILING_STATUS=OR","EQY_CONSOLIDATED=Y","Sort=A","Dates=H","DateFormat=P","Fill=—","Direction=H","UseDPDF=Y")</f>
        <v>#NAME?</v>
      </c>
      <c r="AE232" s="1" t="e">
        <f ca="1">_xll.BDH($C$228,"WORK_CAP_GROWTH","FQ4 2014","FQ4 2014","Currency=INR","Period=FQ","BEST_FPERIOD_OVERRIDE=FQ","FILING_STATUS=OR","EQY_CONSOLIDATED=Y","Sort=A","Dates=H","DateFormat=P","Fill=—","Direction=H","UseDPDF=Y")</f>
        <v>#NAME?</v>
      </c>
      <c r="AF232" s="1" t="e">
        <f ca="1">_xll.BDH($C$228,"ACCOUNTS_PAYABLE_GROWTH_1YR","FQ4 2014","FQ4 2014","Currency=INR","Period=FQ","BEST_FPERIOD_OVERRIDE=FQ","FILING_STATUS=OR","EQY_CONSOLIDATED=Y","Sort=A","Dates=H","DateFormat=P","Fill=—","Direction=H","UseDPDF=Y")</f>
        <v>#NAME?</v>
      </c>
      <c r="AG232" s="1" t="e">
        <f ca="1">_xll.BDH($C$228,"SHORT_TERM_DEBT_1_YEAR_GROWTH","FQ4 2014","FQ4 2014","Currency=INR","Period=FQ","BEST_FPERIOD_OVERRIDE=FQ","FILING_STATUS=OR","EQY_CONSOLIDATED=Y","Sort=A","Dates=H","DateFormat=P","Fill=—","Direction=H","UseDPDF=Y")</f>
        <v>#NAME?</v>
      </c>
      <c r="AH232" s="1" t="e">
        <f ca="1">_xll.BDH($C$228,"TOTAL_DEBT_1_YEAR_GROWTH","FQ4 2014","FQ4 2014","Currency=INR","Period=FQ","BEST_FPERIOD_OVERRIDE=FQ","FILING_STATUS=OR","EQY_CONSOLIDATED=Y","Sort=A","Dates=H","DateFormat=P","Fill=—","Direction=H","UseDPDF=Y")</f>
        <v>#NAME?</v>
      </c>
      <c r="AI232" s="1" t="e">
        <f ca="1">_xll.BDH($C$228,"TOTAL_EQUITY_1_YEAR_GROWTH","FQ4 2014","FQ4 2014","Currency=INR","Period=FQ","BEST_FPERIOD_OVERRIDE=FQ","FILING_STATUS=OR","EQY_CONSOLIDATED=Y","Sort=A","Dates=H","DateFormat=P","Fill=—","Direction=H","UseDPDF=Y")</f>
        <v>#NAME?</v>
      </c>
      <c r="AJ232" s="1" t="e">
        <f ca="1">_xll.BDH($C$228,"GROWTH_IN_CAP","FQ4 2014","FQ4 2014","Currency=INR","Period=FQ","BEST_FPERIOD_OVERRIDE=FQ","FILING_STATUS=OR","EQY_CONSOLIDATED=Y","Sort=A","Dates=H","DateFormat=P","Fill=—","Direction=H","UseDPDF=Y")</f>
        <v>#NAME?</v>
      </c>
      <c r="AK232" s="1" t="e">
        <f ca="1">_xll.BDH($C$228,"BVPS_GROWTH","FQ4 2014","FQ4 2014","Currency=INR","Period=FQ","BEST_FPERIOD_OVERRIDE=FQ","FILING_STATUS=OR","EQY_CONSOLIDATED=Y","Sort=A","Dates=H","DateFormat=P","Fill=—","Direction=H","UseDPDF=Y")</f>
        <v>#NAME?</v>
      </c>
      <c r="AL232" s="1" t="e">
        <f ca="1">_xll.BDH($C$228,"CASH_FLOW_GROWTH","FQ4 2014","FQ4 2014","Currency=INR","Period=FQ","BEST_FPERIOD_OVERRIDE=FQ","FILING_STATUS=OR","EQY_CONSOLIDATED=Y","Sort=A","Dates=H","DateFormat=P","Fill=—","Direction=H","UseDPDF=Y")</f>
        <v>#NAME?</v>
      </c>
      <c r="AM232" s="1" t="e">
        <f ca="1">_xll.BDH($C$228,"GEO_GROW_NET_SALES","FQ4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32" s="1" t="e">
        <f ca="1">_xll.BDH($C$228,"GEO_GROW_EBITDA","FQ4 2014","FQ4 2014","Currency=INR","Period=FQ","BEST_FPERIOD_OVERRIDE=FQ","FILING_STATUS=OR","EQY_CONSOLIDATED=Y","FA_ADJUSTED=GAAP","Sort=A","Dates=H","DateFormat=P","Fill=—","Direction=H","UseDPDF=Y")</f>
        <v>#NAME?</v>
      </c>
      <c r="AO232" s="1" t="e">
        <f ca="1">_xll.BDH($C$228,"GEO_GROW_OPER_INC","FQ4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32" s="1" t="e">
        <f ca="1">_xll.BDH($C$228,"NET_INCOME_TO_COMMON_5_YR_GROWTH","FQ4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32" s="1" t="e">
        <f ca="1">_xll.BDH($C$228,"5Y_GEO_GROWTH_DILUTED_EPS","FQ4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32" s="1" t="e">
        <f ca="1">_xll.BDH($C$228,"GEO_GROW_DVD_PER_SH","FQ4 2014","FQ4 2014","Currency=INR","Period=FQ","BEST_FPERIOD_OVERRIDE=FQ","FILING_STATUS=OR","EQY_CONSOLIDATED=Y","Sort=A","Dates=H","DateFormat=P","Fill=—","Direction=H","UseDPDF=Y")</f>
        <v>#NAME?</v>
      </c>
      <c r="AS232" s="1" t="e">
        <f ca="1">_xll.BDH($C$228,"ACCOUNTS_RECEIVABLE_5_YR_GROWTH","FQ4 2014","FQ4 2014","Currency=INR","Period=FQ","BEST_FPERIOD_OVERRIDE=FQ","FILING_STATUS=OR","EQY_CONSOLIDATED=Y","Sort=A","Dates=H","DateFormat=P","Fill=—","Direction=H","UseDPDF=Y")</f>
        <v>#NAME?</v>
      </c>
      <c r="AT232" s="1" t="e">
        <f ca="1">_xll.BDH($C$228,"INVENTORY_5_YEAR_GROWTH","FQ4 2014","FQ4 2014","Currency=INR","Period=FQ","BEST_FPERIOD_OVERRIDE=FQ","FILING_STATUS=OR","EQY_CONSOLIDATED=Y","Sort=A","Dates=H","DateFormat=P","Fill=—","Direction=H","UseDPDF=Y")</f>
        <v>#NAME?</v>
      </c>
      <c r="AU232" s="1" t="e">
        <f ca="1">_xll.BDH($C$228,"NET_FIXED_ASSETS_5_YEAR_GROWTH","FQ4 2014","FQ4 2014","Currency=INR","Period=FQ","BEST_FPERIOD_OVERRIDE=FQ","FILING_STATUS=OR","EQY_CONSOLIDATED=Y","Sort=A","Dates=H","DateFormat=P","Fill=—","Direction=H","UseDPDF=Y")</f>
        <v>#NAME?</v>
      </c>
      <c r="AV232" s="1" t="e">
        <f ca="1">_xll.BDH($C$228,"GEO_GROW_TOT_ASSET","FQ4 2014","FQ4 2014","Currency=INR","Period=FQ","BEST_FPERIOD_OVERRIDE=FQ","FILING_STATUS=OR","EQY_CONSOLIDATED=Y","Sort=A","Dates=H","DateFormat=P","Fill=—","Direction=H","UseDPDF=Y")</f>
        <v>#NAME?</v>
      </c>
      <c r="AW232" s="1" t="e">
        <f ca="1">_xll.BDH($C$228,"MODIFIED_WORKING_CPTL_5YR_GRWTH","FQ4 2014","FQ4 2014","Currency=INR","Period=FQ","BEST_FPERIOD_OVERRIDE=FQ","FILING_STATUS=OR","EQY_CONSOLIDATED=Y","Sort=A","Dates=H","DateFormat=P","Fill=—","Direction=H","UseDPDF=Y")</f>
        <v>#NAME?</v>
      </c>
      <c r="AX232" s="1" t="e">
        <f ca="1">_xll.BDH($C$228,"WORKING_CAPITAL_5_YEAR_GROWTH","FQ4 2014","FQ4 2014","Currency=INR","Period=FQ","BEST_FPERIOD_OVERRIDE=FQ","FILING_STATUS=OR","EQY_CONSOLIDATED=Y","Sort=A","Dates=H","DateFormat=P","Fill=—","Direction=H","UseDPDF=Y")</f>
        <v>#NAME?</v>
      </c>
      <c r="AY232" s="1" t="e">
        <f ca="1">_xll.BDH($C$228,"ACCOUNTS_PAYABLE_5_YEAR_GROWTH","FQ4 2014","FQ4 2014","Currency=INR","Period=FQ","BEST_FPERIOD_OVERRIDE=FQ","FILING_STATUS=OR","EQY_CONSOLIDATED=Y","Sort=A","Dates=H","DateFormat=P","Fill=—","Direction=H","UseDPDF=Y")</f>
        <v>#NAME?</v>
      </c>
      <c r="AZ232" s="1" t="e">
        <f ca="1">_xll.BDH($C$228,"SHORT_TERM_DEBT_5_YEAR_GROWTH","FQ4 2014","FQ4 2014","Currency=INR","Period=FQ","BEST_FPERIOD_OVERRIDE=FQ","FILING_STATUS=OR","EQY_CONSOLIDATED=Y","Sort=A","Dates=H","DateFormat=P","Fill=—","Direction=H","UseDPDF=Y")</f>
        <v>#NAME?</v>
      </c>
      <c r="BA232" s="1" t="e">
        <f ca="1">_xll.BDH($C$228,"TOTAL_DEBT_5_YEAR_GROWTH","FQ4 2014","FQ4 2014","Currency=INR","Period=FQ","BEST_FPERIOD_OVERRIDE=FQ","FILING_STATUS=OR","EQY_CONSOLIDATED=Y","Sort=A","Dates=H","DateFormat=P","Fill=—","Direction=H","UseDPDF=Y")</f>
        <v>#NAME?</v>
      </c>
      <c r="BB232" s="1" t="e">
        <f ca="1">_xll.BDH($C$228,"GEO_GROW_TOT_SHRHLDR_EQY","FQ4 2014","FQ4 2014","Currency=INR","Period=FQ","BEST_FPERIOD_OVERRIDE=FQ","FILING_STATUS=OR","EQY_CONSOLIDATED=Y","Sort=A","Dates=H","DateFormat=P","Fill=—","Direction=H","UseDPDF=Y")</f>
        <v>#NAME?</v>
      </c>
      <c r="BC232" s="1" t="e">
        <f ca="1">_xll.BDH($C$228,"TOTAL_CAPITAL_5_YEAR_GROWTH","FQ4 2014","FQ4 2014","Currency=INR","Period=FQ","BEST_FPERIOD_OVERRIDE=FQ","FILING_STATUS=OR","EQY_CONSOLIDATED=Y","Sort=A","Dates=H","DateFormat=P","Fill=—","Direction=H","UseDPDF=Y")</f>
        <v>#NAME?</v>
      </c>
      <c r="BD232" s="1" t="e">
        <f ca="1">_xll.BDH($C$228,"GEO_GROW_BOOK_VAL","FQ4 2014","FQ4 2014","Currency=INR","Period=FQ","BEST_FPERIOD_OVERRIDE=FQ","FILING_STATUS=OR","EQY_CONSOLIDATED=Y","Sort=A","Dates=H","DateFormat=P","Fill=—","Direction=H","UseDPDF=Y")</f>
        <v>#NAME?</v>
      </c>
      <c r="BE232" s="1" t="e">
        <f ca="1">_xll.BDH($C$228,"GEO_GROW_CASH_OPER_ACT","FQ4 2014","FQ4 2014","Currency=INR","Period=FQ","BEST_FPERIOD_OVERRIDE=FQ","FILING_STATUS=OR","EQY_CONSOLIDATED=Y","Sort=A","Dates=H","DateFormat=P","Fill=—","Direction=H","UseDPDF=Y")</f>
        <v>#NAME?</v>
      </c>
      <c r="BF232" s="1" t="e">
        <f ca="1">_xll.BDH($C$228,"REVENUE_SEQUENTIAL_GROWTH","FQ4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32" s="1" t="e">
        <f ca="1">_xll.BDH($C$228,"EBITDA_SEQUENTIAL_GROWTH","FQ4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32" s="1" t="e">
        <f ca="1">_xll.BDH($C$228,"OPERATING_INCOME_SEQ_GROWTH","FQ4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32" s="1" t="e">
        <f ca="1">_xll.BDH($C$228,"NET_INCOME_TO_COMMON_SEQ_GROWTH","FQ4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32" s="1" t="e">
        <f ca="1">_xll.BDH($C$228,"EPS_DILUTED_SEQUENTIAL_GROWTH","FQ4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32" s="1" t="e">
        <f ca="1">_xll.BDH($C$228,"DPS_SEQUENTIAL_GROWTH","FQ4 2014","FQ4 2014","Currency=INR","Period=FQ","BEST_FPERIOD_OVERRIDE=FQ","FILING_STATUS=OR","EQY_CONSOLIDATED=Y","Sort=A","Dates=H","DateFormat=P","Fill=—","Direction=H","UseDPDF=Y")</f>
        <v>#NAME?</v>
      </c>
      <c r="BL232" s="1" t="e">
        <f ca="1">_xll.BDH($C$228,"ACCOUNTS_RECEIVABLE_SEQ_GROWTH","FQ4 2014","FQ4 2014","Currency=INR","Period=FQ","BEST_FPERIOD_OVERRIDE=FQ","FILING_STATUS=OR","EQY_CONSOLIDATED=Y","Sort=A","Dates=H","DateFormat=P","Fill=—","Direction=H","UseDPDF=Y")</f>
        <v>#NAME?</v>
      </c>
      <c r="BM232" s="1" t="e">
        <f ca="1">_xll.BDH($C$228,"INVENTORY_SEQUENTIAL_GROWTH","FQ4 2014","FQ4 2014","Currency=INR","Period=FQ","BEST_FPERIOD_OVERRIDE=FQ","FILING_STATUS=OR","EQY_CONSOLIDATED=Y","Sort=A","Dates=H","DateFormat=P","Fill=—","Direction=H","UseDPDF=Y")</f>
        <v>#NAME?</v>
      </c>
      <c r="BN232" s="1" t="e">
        <f ca="1">_xll.BDH($C$228,"FIXED_ASSETS_SEQUENTIAL_GROWTH","FQ4 2014","FQ4 2014","Currency=INR","Period=FQ","BEST_FPERIOD_OVERRIDE=FQ","FILING_STATUS=OR","EQY_CONSOLIDATED=Y","Sort=A","Dates=H","DateFormat=P","Fill=—","Direction=H","UseDPDF=Y")</f>
        <v>#NAME?</v>
      </c>
      <c r="BO232" s="1" t="e">
        <f ca="1">_xll.BDH($C$228,"TOTAL_ASSETS_SEQUENTIAL_GROWTH","FQ4 2014","FQ4 2014","Currency=INR","Period=FQ","BEST_FPERIOD_OVERRIDE=FQ","FILING_STATUS=OR","EQY_CONSOLIDATED=Y","Sort=A","Dates=H","DateFormat=P","Fill=—","Direction=H","UseDPDF=Y")</f>
        <v>#NAME?</v>
      </c>
      <c r="BP232" s="1" t="e">
        <f ca="1">_xll.BDH($C$228,"MODIFIED_WORKING_CPTL_SEQ_GRWTH","FQ4 2014","FQ4 2014","Currency=INR","Period=FQ","BEST_FPERIOD_OVERRIDE=FQ","FILING_STATUS=OR","EQY_CONSOLIDATED=Y","Sort=A","Dates=H","DateFormat=P","Fill=—","Direction=H","UseDPDF=Y")</f>
        <v>#NAME?</v>
      </c>
      <c r="BQ232" s="1" t="e">
        <f ca="1">_xll.BDH($C$228,"WORKING_CAPITAL_SEQ_GROWTH","FQ4 2014","FQ4 2014","Currency=INR","Period=FQ","BEST_FPERIOD_OVERRIDE=FQ","FILING_STATUS=OR","EQY_CONSOLIDATED=Y","Sort=A","Dates=H","DateFormat=P","Fill=—","Direction=H","UseDPDF=Y")</f>
        <v>#NAME?</v>
      </c>
      <c r="BR232" s="1" t="e">
        <f ca="1">_xll.BDH($C$228,"ACCOUNTS_PAYABLE_SEQ_GROWTH","FQ4 2014","FQ4 2014","Currency=INR","Period=FQ","BEST_FPERIOD_OVERRIDE=FQ","FILING_STATUS=OR","EQY_CONSOLIDATED=Y","Sort=A","Dates=H","DateFormat=P","Fill=—","Direction=H","UseDPDF=Y")</f>
        <v>#NAME?</v>
      </c>
      <c r="BS232" s="1" t="e">
        <f ca="1">_xll.BDH($C$228,"ST_DEBT_SEQUENTIAL_GROWTH","FQ4 2014","FQ4 2014","Currency=INR","Period=FQ","BEST_FPERIOD_OVERRIDE=FQ","FILING_STATUS=OR","EQY_CONSOLIDATED=Y","Sort=A","Dates=H","DateFormat=P","Fill=—","Direction=H","UseDPDF=Y")</f>
        <v>#NAME?</v>
      </c>
      <c r="BT232" s="1" t="e">
        <f ca="1">_xll.BDH($C$228,"TOTAL_DEBT_SEQUENTIAL_GROWTH","FQ4 2014","FQ4 2014","Currency=INR","Period=FQ","BEST_FPERIOD_OVERRIDE=FQ","FILING_STATUS=OR","EQY_CONSOLIDATED=Y","Sort=A","Dates=H","DateFormat=P","Fill=—","Direction=H","UseDPDF=Y")</f>
        <v>#NAME?</v>
      </c>
      <c r="BU232" s="1" t="e">
        <f ca="1">_xll.BDH($C$228,"TOTAL_EQUITY_SEQUENTIAL_GROWTH","FQ4 2014","FQ4 2014","Currency=INR","Period=FQ","BEST_FPERIOD_OVERRIDE=FQ","FILING_STATUS=OR","EQY_CONSOLIDATED=Y","Sort=A","Dates=H","DateFormat=P","Fill=—","Direction=H","UseDPDF=Y")</f>
        <v>#NAME?</v>
      </c>
      <c r="BV232" s="1" t="e">
        <f ca="1">_xll.BDH($C$228,"TOTAL_CAPITAL_SEQUENTIAL_GROWTH","FQ4 2014","FQ4 2014","Currency=INR","Period=FQ","BEST_FPERIOD_OVERRIDE=FQ","FILING_STATUS=OR","EQY_CONSOLIDATED=Y","Sort=A","Dates=H","DateFormat=P","Fill=—","Direction=H","UseDPDF=Y")</f>
        <v>#NAME?</v>
      </c>
      <c r="BW232" s="1" t="e">
        <f ca="1">_xll.BDH($C$228,"BPS_SEQUENTIAL_GROWTH","FQ4 2014","FQ4 2014","Currency=INR","Period=FQ","BEST_FPERIOD_OVERRIDE=FQ","FILING_STATUS=OR","EQY_CONSOLIDATED=Y","Sort=A","Dates=H","DateFormat=P","Fill=—","Direction=H","UseDPDF=Y")</f>
        <v>#NAME?</v>
      </c>
      <c r="BX232" s="1" t="e">
        <f ca="1">_xll.BDH($C$228,"CFO_SEQUENTIAL_GROWTH","FQ4 2014","FQ4 2014","Currency=INR","Period=FQ","BEST_FPERIOD_OVERRIDE=FQ","FILING_STATUS=OR","EQY_CONSOLIDATED=Y","Sort=A","Dates=H","DateFormat=P","Fill=—","Direction=H","UseDPDF=Y")</f>
        <v>#NAME?</v>
      </c>
      <c r="BY232" s="2" t="e">
        <f ca="1">_xll.BDH($C$228,"SHORT_AND_LONG_TERM_DEBT","FQ4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32" s="2" t="e">
        <f ca="1">_xll.BDH($C$228,"BS_ST_BORROW","FQ4 2014","FQ4 2014","Currency=INR","Period=FQ","BEST_FPERIOD_OVERRIDE=FQ","FILING_STATUS=OR","EQY_CONSOLIDATED=Y","SCALING_FORMAT=MLN","Sort=A","Dates=H","DateFormat=P","Fill=—","Direction=H","UseDPDF=Y")</f>
        <v>#NAME?</v>
      </c>
      <c r="CA232" s="2" t="e">
        <f ca="1">_xll.BDH($C$228,"BS_LT_BORROW","FQ4 2014","FQ4 2014","Currency=INR","Period=FQ","BEST_FPERIOD_OVERRIDE=FQ","FILING_STATUS=OR","EQY_CONSOLIDATED=Y","SCALING_FORMAT=MLN","Sort=A","Dates=H","DateFormat=P","Fill=—","Direction=H","UseDPDF=Y")</f>
        <v>#NAME?</v>
      </c>
      <c r="CB232" s="1" t="e">
        <f ca="1">_xll.BDH($C$228,"TOT_DEBT_TO_EBITDA","FQ4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32" s="1" t="e">
        <f ca="1">_xll.BDH($C$228,"NET_DEBT_TO_EBITDA","FQ4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32" s="1" t="e">
        <f ca="1">_xll.BDH($C$228,"TOTAL_DEBT_TO_EBIT","FQ4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32" s="1" t="e">
        <f ca="1">_xll.BDH($C$228,"NET_DEBT_TO_EBIT","FQ4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232" s="1" t="e">
        <f ca="1">_xll.BDH($C$228,"EBITDA_TO_INTEREST_EXPN","FQ4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32" s="1" t="e">
        <f ca="1">_xll.BDH($C$228,"COM_EQY_TO_TOT_ASSET","FQ4 2014","FQ4 2014","Currency=INR","Period=FQ","BEST_FPERIOD_OVERRIDE=FQ","FILING_STATUS=OR","EQY_CONSOLIDATED=Y","Sort=A","Dates=H","DateFormat=P","Fill=—","Direction=H","UseDPDF=Y")</f>
        <v>#NAME?</v>
      </c>
      <c r="CH232" s="1" t="e">
        <f ca="1">_xll.BDH($C$228,"LT_DEBT_TO_TOT_EQY","FQ4 2014","FQ4 2014","Currency=INR","Period=FQ","BEST_FPERIOD_OVERRIDE=FQ","FILING_STATUS=OR","EQY_CONSOLIDATED=Y","Sort=A","Dates=H","DateFormat=P","Fill=—","Direction=H","UseDPDF=Y")</f>
        <v>#NAME?</v>
      </c>
      <c r="CI232" s="1" t="e">
        <f ca="1">_xll.BDH($C$228,"LT_DEBT_TO_TOT_CAP","FQ4 2014","FQ4 2014","Currency=INR","Period=FQ","BEST_FPERIOD_OVERRIDE=FQ","FILING_STATUS=OR","EQY_CONSOLIDATED=Y","Sort=A","Dates=H","DateFormat=P","Fill=—","Direction=H","UseDPDF=Y")</f>
        <v>#NAME?</v>
      </c>
      <c r="CJ232" s="1" t="e">
        <f ca="1">_xll.BDH($C$228,"LT_DEBT_TO_TOT_ASSET","FQ4 2014","FQ4 2014","Currency=INR","Period=FQ","BEST_FPERIOD_OVERRIDE=FQ","FILING_STATUS=OR","EQY_CONSOLIDATED=Y","Sort=A","Dates=H","DateFormat=P","Fill=—","Direction=H","UseDPDF=Y")</f>
        <v>#NAME?</v>
      </c>
      <c r="CK232" s="1" t="e">
        <f ca="1">_xll.BDH($C$228,"TOT_DEBT_TO_TOT_EQY","FQ4 2014","FQ4 2014","Currency=INR","Period=FQ","BEST_FPERIOD_OVERRIDE=FQ","FILING_STATUS=OR","EQY_CONSOLIDATED=Y","Sort=A","Dates=H","DateFormat=P","Fill=—","Direction=H","UseDPDF=Y")</f>
        <v>#NAME?</v>
      </c>
      <c r="CL232" s="1" t="e">
        <f ca="1">_xll.BDH($C$228,"TOT_DEBT_TO_TOT_CAP","FQ4 2014","FQ4 2014","Currency=INR","Period=FQ","BEST_FPERIOD_OVERRIDE=FQ","FILING_STATUS=OR","EQY_CONSOLIDATED=Y","Sort=A","Dates=H","DateFormat=P","Fill=—","Direction=H","UseDPDF=Y")</f>
        <v>#NAME?</v>
      </c>
      <c r="CM232" s="1" t="e">
        <f ca="1">_xll.BDH($C$228,"TOT_DEBT_TO_TOT_ASSET","FQ4 2014","FQ4 2014","Currency=INR","Period=FQ","BEST_FPERIOD_OVERRIDE=FQ","FILING_STATUS=OR","EQY_CONSOLIDATED=Y","Sort=A","Dates=H","DateFormat=P","Fill=—","Direction=H","UseDPDF=Y")</f>
        <v>#NAME?</v>
      </c>
      <c r="CN232" s="1" t="e">
        <f ca="1">_xll.BDH($C$228,"NET_DEBT_TO_SHRHLDR_EQTY","FQ4 2014","FQ4 2014","Currency=INR","Period=FQ","BEST_FPERIOD_OVERRIDE=FQ","FILING_STATUS=OR","EQY_CONSOLIDATED=Y","Sort=A","Dates=H","DateFormat=P","Fill=—","Direction=H","UseDPDF=Y")</f>
        <v>#NAME?</v>
      </c>
      <c r="CO232" s="1" t="e">
        <f ca="1">_xll.BDH($C$228,"NET_DEBT_%_CAPITAL","FQ4 2014","FQ4 2014","Currency=INR","Period=FQ","BEST_FPERIOD_OVERRIDE=FQ","FILING_STATUS=OR","EQY_CONSOLIDATED=Y","Sort=A","Dates=H","DateFormat=P","Fill=—","Direction=H","UseDPDF=Y")</f>
        <v>#NAME?</v>
      </c>
      <c r="CP232" s="2" t="e">
        <f ca="1">_xll.BDH($C$228,"EBITDA","FQ4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32" s="2" t="e">
        <f ca="1">_xll.BDH($C$228,"EBITDA_AFTER_CAPEX","FQ4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32" s="2" t="e">
        <f ca="1">_xll.BDH($C$228,"IS_OPER_INC","FQ4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32" s="1" t="e">
        <f ca="1">_xll.BDH($C$228,"CASH_RATIO","FQ4 2014","FQ4 2014","Currency=INR","Period=FQ","BEST_FPERIOD_OVERRIDE=FQ","FILING_STATUS=OR","EQY_CONSOLIDATED=Y","Sort=A","Dates=H","DateFormat=P","Fill=—","Direction=H","UseDPDF=Y")</f>
        <v>#NAME?</v>
      </c>
      <c r="CT232" s="1" t="e">
        <f ca="1">_xll.BDH($C$228,"CUR_RATIO","FQ4 2014","FQ4 2014","Currency=INR","Period=FQ","BEST_FPERIOD_OVERRIDE=FQ","FILING_STATUS=OR","EQY_CONSOLIDATED=Y","Sort=A","Dates=H","DateFormat=P","Fill=—","Direction=H","UseDPDF=Y")</f>
        <v>#NAME?</v>
      </c>
      <c r="CU232" s="1" t="e">
        <f ca="1">_xll.BDH($C$228,"QUICK_RATIO","FQ4 2014","FQ4 2014","Currency=INR","Period=FQ","BEST_FPERIOD_OVERRIDE=FQ","FILING_STATUS=OR","EQY_CONSOLIDATED=Y","Sort=A","Dates=H","DateFormat=P","Fill=—","Direction=H","UseDPDF=Y")</f>
        <v>#NAME?</v>
      </c>
      <c r="CV232" s="1" t="e">
        <f ca="1">_xll.BDH($C$228,"ALTMAN_Z_SCORE","FQ4 2014","FQ4 2014","Currency=INR","Period=FQ","BEST_FPERIOD_OVERRIDE=FQ","FILING_STATUS=OR","EQY_CONSOLIDATED=Y","Sort=A","Dates=H","DateFormat=P","Fill=—","Direction=H","UseDPDF=Y")</f>
        <v>#NAME?</v>
      </c>
      <c r="CW232" s="3" t="e">
        <f ca="1">_xll.BDH($C$228,"ACCT_RCV_TURN","FQ4 2014","FQ4 2014","Currency=INR","Period=FQ","BEST_FPERIOD_OVERRIDE=FQ","FILING_STATUS=OR","EQY_CONSOLIDATED=Y","FA_ADJUSTED=GAAP","Sort=A","Dates=H","DateFormat=P","Fill=—","Direction=H","UseDPDF=Y")</f>
        <v>#NAME?</v>
      </c>
      <c r="CX232" s="1" t="e">
        <f ca="1">_xll.BDH($C$228,"ACCT_RCV_DAYS","FQ4 2014","FQ4 2014","Currency=INR","Period=FQ","BEST_FPERIOD_OVERRIDE=FQ","FILING_STATUS=OR","EQY_CONSOLIDATED=Y","FA_ADJUSTED=GAAP","Sort=A","Dates=H","DateFormat=P","Fill=—","Direction=H","UseDPDF=Y")</f>
        <v>#NAME?</v>
      </c>
      <c r="CY232" s="3" t="e">
        <f ca="1">_xll.BDH($C$228,"INVENT_TURN","FQ4 2014","FQ4 2014","Currency=INR","Period=FQ","BEST_FPERIOD_OVERRIDE=FQ","FILING_STATUS=OR","EQY_CONSOLIDATED=Y","FA_ADJUSTED=GAAP","Sort=A","Dates=H","DateFormat=P","Fill=—","Direction=H","UseDPDF=Y")</f>
        <v>#NAME?</v>
      </c>
      <c r="CZ232" s="1" t="e">
        <f ca="1">_xll.BDH($C$228,"INVENT_DAYS","FQ4 2014","FQ4 2014","Currency=INR","Period=FQ","BEST_FPERIOD_OVERRIDE=FQ","FILING_STATUS=OR","EQY_CONSOLIDATED=Y","FA_ADJUSTED=GAAP","Sort=A","Dates=H","DateFormat=P","Fill=—","Direction=H","UseDPDF=Y")</f>
        <v>#NAME?</v>
      </c>
      <c r="DA232" s="3" t="e">
        <f ca="1">_xll.BDH($C$228,"ACCOUNTS_PAYABLE_TURNOVER","FQ4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32" s="1" t="e">
        <f ca="1">_xll.BDH($C$228,"ACCOUNTS_PAYABLE_TURNOVER_DAYS","FQ4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32" s="3" t="e">
        <f ca="1">_xll.BDH($C$228,"CASH_CONVERSION_CYCLE","FQ4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32" s="3" t="e">
        <f ca="1">_xll.BDH($C$228,"INV_TO_CASH_DAYS","FQ4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232" s="4" t="e">
        <f ca="1">_xll.BDH($C$228,"BS_INVENTORIES","FQ4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232" s="2" t="e">
        <f ca="1">_xll.BDH($C$228,"INVTRY_RAW_MATERIALS","FQ4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32" s="2" t="e">
        <f ca="1">_xll.BDH($C$228,"INVTRY_IN_PROGRESS","FQ4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32" s="2" t="e">
        <f ca="1">_xll.BDH($C$228,"INVTRY_FINISHED_GOODS","FQ4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32" s="2" t="e">
        <f ca="1">_xll.BDH($C$228,"BS_OTHER_INV","FQ4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33" spans="1:113" x14ac:dyDescent="0.3">
      <c r="A233" s="6"/>
      <c r="B233" s="6"/>
      <c r="C233" s="6"/>
      <c r="D233" s="6" t="s">
        <v>8</v>
      </c>
      <c r="E233" t="s">
        <v>3</v>
      </c>
      <c r="F233" t="e">
        <f ca="1">_xll.BDH($C$228,"RETURN_COM_EQY","FY 2015","FY 2015","Currency=INR","Period=FY","BEST_FPERIOD_OVERRIDE=FY","FILING_STATUS=OR","EQY_CONSOLIDATED=Y","FA_ADJUSTED=GAAP","Sort=A","Dates=H","DateFormat=P","Fill=—","Direction=H","UseDPDF=Y")</f>
        <v>#NAME?</v>
      </c>
      <c r="G233" t="e">
        <f ca="1">_xll.BDH($C$228,"RETURN_ON_ASSET","FY 2015","FY 2015","Currency=INR","Period=FY","BEST_FPERIOD_OVERRIDE=FY","FILING_STATUS=OR","EQY_CONSOLIDATED=Y","FA_ADJUSTED=GAAP","Sort=A","Dates=H","DateFormat=P","Fill=—","Direction=H","UseDPDF=Y")</f>
        <v>#NAME?</v>
      </c>
      <c r="H233" t="e">
        <f ca="1">_xll.BDH($C$228,"RETURN_ON_CAP","FY 2015","FY 2015","Currency=INR","Period=FY","BEST_FPERIOD_OVERRIDE=FY","FILING_STATUS=OR","EQY_CONSOLIDATED=Y","FA_ADJUSTED=GAAP","Sort=A","Dates=H","DateFormat=P","Fill=—","Direction=H","UseDPDF=Y")</f>
        <v>#NAME?</v>
      </c>
      <c r="I233" t="e">
        <f ca="1">_xll.BDH($C$228,"RETURN_ON_INV_CAPITAL","FY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33" t="e">
        <f ca="1">_xll.BDH($C$228,"EBITDA_TO_REVENUE","FY 2015","FY 2015","Currency=INR","Period=FY","BEST_FPERIOD_OVERRIDE=FY","FILING_STATUS=OR","EQY_CONSOLIDATED=Y","FA_ADJUSTED=GAAP","Sort=A","Dates=H","DateFormat=P","Fill=—","Direction=H","UseDPDF=Y")</f>
        <v>#NAME?</v>
      </c>
      <c r="K233" t="e">
        <f ca="1">_xll.BDH($C$228,"OPER_MARGIN","FY 2015","FY 2015","Currency=INR","Period=FY","BEST_FPERIOD_OVERRIDE=FY","FILING_STATUS=OR","EQY_CONSOLIDATED=Y","FA_ADJUSTED=GAAP","Sort=A","Dates=H","DateFormat=P","Fill=—","Direction=H","UseDPDF=Y")</f>
        <v>#NAME?</v>
      </c>
      <c r="L233" t="e">
        <f ca="1">_xll.BDH($C$228,"INCREMENTAL_OPERATING_MARGIN","FY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33" t="e">
        <f ca="1">_xll.BDH($C$228,"PRETAX_INC_TO_NET_SALES","FY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33" t="e">
        <f ca="1">_xll.BDH($C$228,"INC_BEF_XO_ITEMS_TO_NET_SALES","FY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33" t="e">
        <f ca="1">_xll.BDH($C$228,"PROF_MARGIN","FY 2015","FY 2015","Currency=INR","Period=FY","BEST_FPERIOD_OVERRIDE=FY","FILING_STATUS=OR","EQY_CONSOLIDATED=Y","FA_ADJUSTED=GAAP","Sort=A","Dates=H","DateFormat=P","Fill=—","Direction=H","UseDPDF=Y")</f>
        <v>#NAME?</v>
      </c>
      <c r="P233" t="e">
        <f ca="1">_xll.BDH($C$228,"NET_INCOME_TO_COMMON_MARGIN","FY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33" t="e">
        <f ca="1">_xll.BDH($C$228,"EFF_TAX_RATE","FY 2015","FY 2015","Currency=INR","Period=FY","BEST_FPERIOD_OVERRIDE=FY","FILING_STATUS=OR","EQY_CONSOLIDATED=Y","FA_ADJUSTED=GAAP","Sort=A","Dates=H","DateFormat=P","Fill=—","Direction=H","UseDPDF=Y")</f>
        <v>#NAME?</v>
      </c>
      <c r="R233" t="e">
        <f ca="1">_xll.BDH($C$228,"DVD_PAYOUT_RATIO","FY 2015","FY 2015","Currency=INR","Period=FY","BEST_FPERIOD_OVERRIDE=FY","FILING_STATUS=OR","EQY_CONSOLIDATED=Y","FA_ADJUSTED=GAAP","Sort=A","Dates=H","DateFormat=P","Fill=—","Direction=H","UseDPDF=Y")</f>
        <v>#NAME?</v>
      </c>
      <c r="S233" t="e">
        <f ca="1">_xll.BDH($C$228,"SUSTAIN_GROWTH_RT","FY 2015","FY 2015","Currency=INR","Period=FY","BEST_FPERIOD_OVERRIDE=FY","FILING_STATUS=OR","EQY_CONSOLIDATED=Y","FA_ADJUSTED=GAAP","Sort=A","Dates=H","DateFormat=P","Fill=—","Direction=H","UseDPDF=Y")</f>
        <v>#NAME?</v>
      </c>
      <c r="T233" s="1" t="e">
        <f ca="1">_xll.BDH($C$228,"SALES_GROWTH","FY 2015","FY 2015","Currency=INR","Period=FY","BEST_FPERIOD_OVERRIDE=FY","FILING_STATUS=OR","EQY_CONSOLIDATED=Y","FA_ADJUSTED=GAAP","Sort=A","Dates=H","DateFormat=P","Fill=—","Direction=H","UseDPDF=Y")</f>
        <v>#NAME?</v>
      </c>
      <c r="U233" s="1" t="e">
        <f ca="1">_xll.BDH($C$228,"EBITDA_GROWTH","FY 2015","FY 2015","Currency=INR","Period=FY","BEST_FPERIOD_OVERRIDE=FY","FILING_STATUS=OR","EQY_CONSOLIDATED=Y","FA_ADJUSTED=GAAP","Sort=A","Dates=H","DateFormat=P","Fill=—","Direction=H","UseDPDF=Y")</f>
        <v>#NAME?</v>
      </c>
      <c r="V233" s="1" t="e">
        <f ca="1">_xll.BDH($C$228,"OPER_INC_GROWTH","FY 2015","FY 2015","Currency=INR","Period=FY","BEST_FPERIOD_OVERRIDE=FY","FILING_STATUS=OR","EQY_CONSOLIDATED=Y","FA_ADJUSTED=GAAP","Sort=A","Dates=H","DateFormat=P","Fill=—","Direction=H","UseDPDF=Y")</f>
        <v>#NAME?</v>
      </c>
      <c r="W233" s="1" t="e">
        <f ca="1">_xll.BDH($C$228,"EARN_FOR_COM_GROWTH","FY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233" s="1" t="e">
        <f ca="1">_xll.BDH($C$228,"DILUTED_EPS_AFT_XO_ITEMS_GROWTH","FY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33" s="1" t="e">
        <f ca="1">_xll.BDH($C$228,"DIVIDEND_PER_SHARE_1_YEAR_GROWTH","FY 2015","FY 2015","Currency=INR","Period=FY","BEST_FPERIOD_OVERRIDE=FY","FILING_STATUS=OR","EQY_CONSOLIDATED=Y","Sort=A","Dates=H","DateFormat=P","Fill=—","Direction=H","UseDPDF=Y")</f>
        <v>#NAME?</v>
      </c>
      <c r="Z233" s="1" t="e">
        <f ca="1">_xll.BDH($C$228,"ACCOUNTS_RECEIVABLE_GROWTH","FY 2015","FY 2015","Currency=INR","Period=FY","BEST_FPERIOD_OVERRIDE=FY","FILING_STATUS=OR","EQY_CONSOLIDATED=Y","Sort=A","Dates=H","DateFormat=P","Fill=—","Direction=H","UseDPDF=Y")</f>
        <v>#NAME?</v>
      </c>
      <c r="AA233" s="1" t="e">
        <f ca="1">_xll.BDH($C$228,"INVENTORY_GROWTH","FY 2015","FY 2015","Currency=INR","Period=FY","BEST_FPERIOD_OVERRIDE=FY","FILING_STATUS=OR","EQY_CONSOLIDATED=Y","Sort=A","Dates=H","DateFormat=P","Fill=—","Direction=H","UseDPDF=Y")</f>
        <v>#NAME?</v>
      </c>
      <c r="AB233" s="1" t="e">
        <f ca="1">_xll.BDH($C$228,"NET_FIXED_ASSETS_1_YEAR_GROWTH","FY 2015","FY 2015","Currency=INR","Period=FY","BEST_FPERIOD_OVERRIDE=FY","FILING_STATUS=OR","EQY_CONSOLIDATED=Y","Sort=A","Dates=H","DateFormat=P","Fill=—","Direction=H","UseDPDF=Y")</f>
        <v>#NAME?</v>
      </c>
      <c r="AC233" s="1" t="e">
        <f ca="1">_xll.BDH($C$228,"ASSET_GROWTH","FY 2015","FY 2015","Currency=INR","Period=FY","BEST_FPERIOD_OVERRIDE=FY","FILING_STATUS=OR","EQY_CONSOLIDATED=Y","Sort=A","Dates=H","DateFormat=P","Fill=—","Direction=H","UseDPDF=Y")</f>
        <v>#NAME?</v>
      </c>
      <c r="AD233" s="1" t="e">
        <f ca="1">_xll.BDH($C$228,"MODIFIED_WORK_CAP_GROWTH","FY 2015","FY 2015","Currency=INR","Period=FY","BEST_FPERIOD_OVERRIDE=FY","FILING_STATUS=OR","EQY_CONSOLIDATED=Y","Sort=A","Dates=H","DateFormat=P","Fill=—","Direction=H","UseDPDF=Y")</f>
        <v>#NAME?</v>
      </c>
      <c r="AE233" s="1" t="e">
        <f ca="1">_xll.BDH($C$228,"WORK_CAP_GROWTH","FY 2015","FY 2015","Currency=INR","Period=FY","BEST_FPERIOD_OVERRIDE=FY","FILING_STATUS=OR","EQY_CONSOLIDATED=Y","Sort=A","Dates=H","DateFormat=P","Fill=—","Direction=H","UseDPDF=Y")</f>
        <v>#NAME?</v>
      </c>
      <c r="AF233" s="1" t="e">
        <f ca="1">_xll.BDH($C$228,"ACCOUNTS_PAYABLE_GROWTH_1YR","FY 2015","FY 2015","Currency=INR","Period=FY","BEST_FPERIOD_OVERRIDE=FY","FILING_STATUS=OR","EQY_CONSOLIDATED=Y","Sort=A","Dates=H","DateFormat=P","Fill=—","Direction=H","UseDPDF=Y")</f>
        <v>#NAME?</v>
      </c>
      <c r="AG233" s="1" t="e">
        <f ca="1">_xll.BDH($C$228,"SHORT_TERM_DEBT_1_YEAR_GROWTH","FY 2015","FY 2015","Currency=INR","Period=FY","BEST_FPERIOD_OVERRIDE=FY","FILING_STATUS=OR","EQY_CONSOLIDATED=Y","Sort=A","Dates=H","DateFormat=P","Fill=—","Direction=H","UseDPDF=Y")</f>
        <v>#NAME?</v>
      </c>
      <c r="AH233" s="1" t="e">
        <f ca="1">_xll.BDH($C$228,"TOTAL_DEBT_1_YEAR_GROWTH","FY 2015","FY 2015","Currency=INR","Period=FY","BEST_FPERIOD_OVERRIDE=FY","FILING_STATUS=OR","EQY_CONSOLIDATED=Y","Sort=A","Dates=H","DateFormat=P","Fill=—","Direction=H","UseDPDF=Y")</f>
        <v>#NAME?</v>
      </c>
      <c r="AI233" s="1" t="e">
        <f ca="1">_xll.BDH($C$228,"TOTAL_EQUITY_1_YEAR_GROWTH","FY 2015","FY 2015","Currency=INR","Period=FY","BEST_FPERIOD_OVERRIDE=FY","FILING_STATUS=OR","EQY_CONSOLIDATED=Y","Sort=A","Dates=H","DateFormat=P","Fill=—","Direction=H","UseDPDF=Y")</f>
        <v>#NAME?</v>
      </c>
      <c r="AJ233" s="1" t="e">
        <f ca="1">_xll.BDH($C$228,"GROWTH_IN_CAP","FY 2015","FY 2015","Currency=INR","Period=FY","BEST_FPERIOD_OVERRIDE=FY","FILING_STATUS=OR","EQY_CONSOLIDATED=Y","Sort=A","Dates=H","DateFormat=P","Fill=—","Direction=H","UseDPDF=Y")</f>
        <v>#NAME?</v>
      </c>
      <c r="AK233" s="1" t="e">
        <f ca="1">_xll.BDH($C$228,"BVPS_GROWTH","FY 2015","FY 2015","Currency=INR","Period=FY","BEST_FPERIOD_OVERRIDE=FY","FILING_STATUS=OR","EQY_CONSOLIDATED=Y","Sort=A","Dates=H","DateFormat=P","Fill=—","Direction=H","UseDPDF=Y")</f>
        <v>#NAME?</v>
      </c>
      <c r="AL233" s="1" t="e">
        <f ca="1">_xll.BDH($C$228,"CASH_FLOW_GROWTH","FY 2015","FY 2015","Currency=INR","Period=FY","BEST_FPERIOD_OVERRIDE=FY","FILING_STATUS=OR","EQY_CONSOLIDATED=Y","Sort=A","Dates=H","DateFormat=P","Fill=—","Direction=H","UseDPDF=Y")</f>
        <v>#NAME?</v>
      </c>
      <c r="AM233" s="1" t="e">
        <f ca="1">_xll.BDH($C$228,"GEO_GROW_NET_SALES","FY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233" s="1" t="e">
        <f ca="1">_xll.BDH($C$228,"GEO_GROW_EBITDA","FY 2015","FY 2015","Currency=INR","Period=FY","BEST_FPERIOD_OVERRIDE=FY","FILING_STATUS=OR","EQY_CONSOLIDATED=Y","FA_ADJUSTED=GAAP","Sort=A","Dates=H","DateFormat=P","Fill=—","Direction=H","UseDPDF=Y")</f>
        <v>#NAME?</v>
      </c>
      <c r="AO233" s="1" t="e">
        <f ca="1">_xll.BDH($C$228,"GEO_GROW_OPER_INC","FY 2015","FY 2015","Currency=INR","Period=FY","BEST_FPERIOD_OVERRIDE=FY","FILING_STATUS=OR","EQY_CONSOLIDATED=Y","FA_ADJUSTED=GAAP","Sort=A","Dates=H","DateFormat=P","Fill=—","Direction=H","UseDPDF=Y")</f>
        <v>#NAME?</v>
      </c>
      <c r="AP233" s="1" t="e">
        <f ca="1">_xll.BDH($C$228,"NET_INCOME_TO_COMMON_5_YR_GROWTH","FY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33" s="1" t="e">
        <f ca="1">_xll.BDH($C$228,"5Y_GEO_GROWTH_DILUTED_EPS","FY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33" s="1" t="e">
        <f ca="1">_xll.BDH($C$228,"GEO_GROW_DVD_PER_SH","FY 2015","FY 2015","Currency=INR","Period=FY","BEST_FPERIOD_OVERRIDE=FY","FILING_STATUS=OR","EQY_CONSOLIDATED=Y","Sort=A","Dates=H","DateFormat=P","Fill=—","Direction=H","UseDPDF=Y")</f>
        <v>#NAME?</v>
      </c>
      <c r="AS233" s="1" t="e">
        <f ca="1">_xll.BDH($C$228,"ACCOUNTS_RECEIVABLE_5_YR_GROWTH","FY 2015","FY 2015","Currency=INR","Period=FY","BEST_FPERIOD_OVERRIDE=FY","FILING_STATUS=OR","EQY_CONSOLIDATED=Y","Sort=A","Dates=H","DateFormat=P","Fill=—","Direction=H","UseDPDF=Y")</f>
        <v>#NAME?</v>
      </c>
      <c r="AT233" s="1" t="e">
        <f ca="1">_xll.BDH($C$228,"INVENTORY_5_YEAR_GROWTH","FY 2015","FY 2015","Currency=INR","Period=FY","BEST_FPERIOD_OVERRIDE=FY","FILING_STATUS=OR","EQY_CONSOLIDATED=Y","Sort=A","Dates=H","DateFormat=P","Fill=—","Direction=H","UseDPDF=Y")</f>
        <v>#NAME?</v>
      </c>
      <c r="AU233" s="1" t="e">
        <f ca="1">_xll.BDH($C$228,"NET_FIXED_ASSETS_5_YEAR_GROWTH","FY 2015","FY 2015","Currency=INR","Period=FY","BEST_FPERIOD_OVERRIDE=FY","FILING_STATUS=OR","EQY_CONSOLIDATED=Y","Sort=A","Dates=H","DateFormat=P","Fill=—","Direction=H","UseDPDF=Y")</f>
        <v>#NAME?</v>
      </c>
      <c r="AV233" s="1" t="e">
        <f ca="1">_xll.BDH($C$228,"GEO_GROW_TOT_ASSET","FY 2015","FY 2015","Currency=INR","Period=FY","BEST_FPERIOD_OVERRIDE=FY","FILING_STATUS=OR","EQY_CONSOLIDATED=Y","Sort=A","Dates=H","DateFormat=P","Fill=—","Direction=H","UseDPDF=Y")</f>
        <v>#NAME?</v>
      </c>
      <c r="AW233" s="1" t="e">
        <f ca="1">_xll.BDH($C$228,"MODIFIED_WORKING_CPTL_5YR_GRWTH","FY 2015","FY 2015","Currency=INR","Period=FY","BEST_FPERIOD_OVERRIDE=FY","FILING_STATUS=OR","EQY_CONSOLIDATED=Y","Sort=A","Dates=H","DateFormat=P","Fill=—","Direction=H","UseDPDF=Y")</f>
        <v>#NAME?</v>
      </c>
      <c r="AX233" s="1" t="e">
        <f ca="1">_xll.BDH($C$228,"WORKING_CAPITAL_5_YEAR_GROWTH","FY 2015","FY 2015","Currency=INR","Period=FY","BEST_FPERIOD_OVERRIDE=FY","FILING_STATUS=OR","EQY_CONSOLIDATED=Y","Sort=A","Dates=H","DateFormat=P","Fill=—","Direction=H","UseDPDF=Y")</f>
        <v>#NAME?</v>
      </c>
      <c r="AY233" s="1" t="e">
        <f ca="1">_xll.BDH($C$228,"ACCOUNTS_PAYABLE_5_YEAR_GROWTH","FY 2015","FY 2015","Currency=INR","Period=FY","BEST_FPERIOD_OVERRIDE=FY","FILING_STATUS=OR","EQY_CONSOLIDATED=Y","Sort=A","Dates=H","DateFormat=P","Fill=—","Direction=H","UseDPDF=Y")</f>
        <v>#NAME?</v>
      </c>
      <c r="AZ233" s="1" t="e">
        <f ca="1">_xll.BDH($C$228,"SHORT_TERM_DEBT_5_YEAR_GROWTH","FY 2015","FY 2015","Currency=INR","Period=FY","BEST_FPERIOD_OVERRIDE=FY","FILING_STATUS=OR","EQY_CONSOLIDATED=Y","Sort=A","Dates=H","DateFormat=P","Fill=—","Direction=H","UseDPDF=Y")</f>
        <v>#NAME?</v>
      </c>
      <c r="BA233" s="1" t="e">
        <f ca="1">_xll.BDH($C$228,"TOTAL_DEBT_5_YEAR_GROWTH","FY 2015","FY 2015","Currency=INR","Period=FY","BEST_FPERIOD_OVERRIDE=FY","FILING_STATUS=OR","EQY_CONSOLIDATED=Y","Sort=A","Dates=H","DateFormat=P","Fill=—","Direction=H","UseDPDF=Y")</f>
        <v>#NAME?</v>
      </c>
      <c r="BB233" s="1" t="e">
        <f ca="1">_xll.BDH($C$228,"GEO_GROW_TOT_SHRHLDR_EQY","FY 2015","FY 2015","Currency=INR","Period=FY","BEST_FPERIOD_OVERRIDE=FY","FILING_STATUS=OR","EQY_CONSOLIDATED=Y","Sort=A","Dates=H","DateFormat=P","Fill=—","Direction=H","UseDPDF=Y")</f>
        <v>#NAME?</v>
      </c>
      <c r="BC233" s="1" t="e">
        <f ca="1">_xll.BDH($C$228,"TOTAL_CAPITAL_5_YEAR_GROWTH","FY 2015","FY 2015","Currency=INR","Period=FY","BEST_FPERIOD_OVERRIDE=FY","FILING_STATUS=OR","EQY_CONSOLIDATED=Y","Sort=A","Dates=H","DateFormat=P","Fill=—","Direction=H","UseDPDF=Y")</f>
        <v>#NAME?</v>
      </c>
      <c r="BD233" s="1" t="e">
        <f ca="1">_xll.BDH($C$228,"GEO_GROW_BOOK_VAL","FY 2015","FY 2015","Currency=INR","Period=FY","BEST_FPERIOD_OVERRIDE=FY","FILING_STATUS=OR","EQY_CONSOLIDATED=Y","Sort=A","Dates=H","DateFormat=P","Fill=—","Direction=H","UseDPDF=Y")</f>
        <v>#NAME?</v>
      </c>
      <c r="BE233" s="1" t="e">
        <f ca="1">_xll.BDH($C$228,"GEO_GROW_CASH_OPER_ACT","FY 2015","FY 2015","Currency=INR","Period=FY","BEST_FPERIOD_OVERRIDE=FY","FILING_STATUS=OR","EQY_CONSOLIDATED=Y","Sort=A","Dates=H","DateFormat=P","Fill=—","Direction=H","UseDPDF=Y")</f>
        <v>#NAME?</v>
      </c>
      <c r="BF233" s="1" t="e">
        <f ca="1">_xll.BDH($C$228,"REVENUE_SEQUENTIAL_GROWTH","FY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33" s="1" t="e">
        <f ca="1">_xll.BDH($C$228,"EBITDA_SEQUENTIAL_GROWTH","FY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33" s="1" t="e">
        <f ca="1">_xll.BDH($C$228,"OPERATING_INCOME_SEQ_GROWTH","FY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33" s="1" t="e">
        <f ca="1">_xll.BDH($C$228,"NET_INCOME_TO_COMMON_SEQ_GROWTH","FY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33" s="1" t="e">
        <f ca="1">_xll.BDH($C$228,"EPS_DILUTED_SEQUENTIAL_GROWTH","FY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33" s="1" t="e">
        <f ca="1">_xll.BDH($C$228,"DPS_SEQUENTIAL_GROWTH","FY 2015","FY 2015","Currency=INR","Period=FY","BEST_FPERIOD_OVERRIDE=FY","FILING_STATUS=OR","EQY_CONSOLIDATED=Y","Sort=A","Dates=H","DateFormat=P","Fill=—","Direction=H","UseDPDF=Y")</f>
        <v>#NAME?</v>
      </c>
      <c r="BL233" s="1" t="e">
        <f ca="1">_xll.BDH($C$228,"ACCOUNTS_RECEIVABLE_SEQ_GROWTH","FY 2015","FY 2015","Currency=INR","Period=FY","BEST_FPERIOD_OVERRIDE=FY","FILING_STATUS=OR","EQY_CONSOLIDATED=Y","Sort=A","Dates=H","DateFormat=P","Fill=—","Direction=H","UseDPDF=Y")</f>
        <v>#NAME?</v>
      </c>
      <c r="BM233" s="1" t="e">
        <f ca="1">_xll.BDH($C$228,"INVENTORY_SEQUENTIAL_GROWTH","FY 2015","FY 2015","Currency=INR","Period=FY","BEST_FPERIOD_OVERRIDE=FY","FILING_STATUS=OR","EQY_CONSOLIDATED=Y","Sort=A","Dates=H","DateFormat=P","Fill=—","Direction=H","UseDPDF=Y")</f>
        <v>#NAME?</v>
      </c>
      <c r="BN233" s="1" t="e">
        <f ca="1">_xll.BDH($C$228,"FIXED_ASSETS_SEQUENTIAL_GROWTH","FY 2015","FY 2015","Currency=INR","Period=FY","BEST_FPERIOD_OVERRIDE=FY","FILING_STATUS=OR","EQY_CONSOLIDATED=Y","Sort=A","Dates=H","DateFormat=P","Fill=—","Direction=H","UseDPDF=Y")</f>
        <v>#NAME?</v>
      </c>
      <c r="BO233" s="1" t="e">
        <f ca="1">_xll.BDH($C$228,"TOTAL_ASSETS_SEQUENTIAL_GROWTH","FY 2015","FY 2015","Currency=INR","Period=FY","BEST_FPERIOD_OVERRIDE=FY","FILING_STATUS=OR","EQY_CONSOLIDATED=Y","Sort=A","Dates=H","DateFormat=P","Fill=—","Direction=H","UseDPDF=Y")</f>
        <v>#NAME?</v>
      </c>
      <c r="BP233" s="1" t="e">
        <f ca="1">_xll.BDH($C$228,"MODIFIED_WORKING_CPTL_SEQ_GRWTH","FY 2015","FY 2015","Currency=INR","Period=FY","BEST_FPERIOD_OVERRIDE=FY","FILING_STATUS=OR","EQY_CONSOLIDATED=Y","Sort=A","Dates=H","DateFormat=P","Fill=—","Direction=H","UseDPDF=Y")</f>
        <v>#NAME?</v>
      </c>
      <c r="BQ233" s="1" t="e">
        <f ca="1">_xll.BDH($C$228,"WORKING_CAPITAL_SEQ_GROWTH","FY 2015","FY 2015","Currency=INR","Period=FY","BEST_FPERIOD_OVERRIDE=FY","FILING_STATUS=OR","EQY_CONSOLIDATED=Y","Sort=A","Dates=H","DateFormat=P","Fill=—","Direction=H","UseDPDF=Y")</f>
        <v>#NAME?</v>
      </c>
      <c r="BR233" s="1" t="e">
        <f ca="1">_xll.BDH($C$228,"ACCOUNTS_PAYABLE_SEQ_GROWTH","FY 2015","FY 2015","Currency=INR","Period=FY","BEST_FPERIOD_OVERRIDE=FY","FILING_STATUS=OR","EQY_CONSOLIDATED=Y","Sort=A","Dates=H","DateFormat=P","Fill=—","Direction=H","UseDPDF=Y")</f>
        <v>#NAME?</v>
      </c>
      <c r="BS233" s="1" t="e">
        <f ca="1">_xll.BDH($C$228,"ST_DEBT_SEQUENTIAL_GROWTH","FY 2015","FY 2015","Currency=INR","Period=FY","BEST_FPERIOD_OVERRIDE=FY","FILING_STATUS=OR","EQY_CONSOLIDATED=Y","Sort=A","Dates=H","DateFormat=P","Fill=—","Direction=H","UseDPDF=Y")</f>
        <v>#NAME?</v>
      </c>
      <c r="BT233" s="1" t="e">
        <f ca="1">_xll.BDH($C$228,"TOTAL_DEBT_SEQUENTIAL_GROWTH","FY 2015","FY 2015","Currency=INR","Period=FY","BEST_FPERIOD_OVERRIDE=FY","FILING_STATUS=OR","EQY_CONSOLIDATED=Y","Sort=A","Dates=H","DateFormat=P","Fill=—","Direction=H","UseDPDF=Y")</f>
        <v>#NAME?</v>
      </c>
      <c r="BU233" s="1" t="e">
        <f ca="1">_xll.BDH($C$228,"TOTAL_EQUITY_SEQUENTIAL_GROWTH","FY 2015","FY 2015","Currency=INR","Period=FY","BEST_FPERIOD_OVERRIDE=FY","FILING_STATUS=OR","EQY_CONSOLIDATED=Y","Sort=A","Dates=H","DateFormat=P","Fill=—","Direction=H","UseDPDF=Y")</f>
        <v>#NAME?</v>
      </c>
      <c r="BV233" s="1" t="e">
        <f ca="1">_xll.BDH($C$228,"TOTAL_CAPITAL_SEQUENTIAL_GROWTH","FY 2015","FY 2015","Currency=INR","Period=FY","BEST_FPERIOD_OVERRIDE=FY","FILING_STATUS=OR","EQY_CONSOLIDATED=Y","Sort=A","Dates=H","DateFormat=P","Fill=—","Direction=H","UseDPDF=Y")</f>
        <v>#NAME?</v>
      </c>
      <c r="BW233" s="1" t="e">
        <f ca="1">_xll.BDH($C$228,"BPS_SEQUENTIAL_GROWTH","FY 2015","FY 2015","Currency=INR","Period=FY","BEST_FPERIOD_OVERRIDE=FY","FILING_STATUS=OR","EQY_CONSOLIDATED=Y","Sort=A","Dates=H","DateFormat=P","Fill=—","Direction=H","UseDPDF=Y")</f>
        <v>#NAME?</v>
      </c>
      <c r="BX233" s="1" t="e">
        <f ca="1">_xll.BDH($C$228,"CFO_SEQUENTIAL_GROWTH","FY 2015","FY 2015","Currency=INR","Period=FY","BEST_FPERIOD_OVERRIDE=FY","FILING_STATUS=OR","EQY_CONSOLIDATED=Y","Sort=A","Dates=H","DateFormat=P","Fill=—","Direction=H","UseDPDF=Y")</f>
        <v>#NAME?</v>
      </c>
      <c r="BY233" s="2" t="e">
        <f ca="1">_xll.BDH($C$228,"SHORT_AND_LONG_TERM_DEBT","FY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33" s="2" t="e">
        <f ca="1">_xll.BDH($C$228,"BS_ST_BORROW","FY 2015","FY 2015","Currency=INR","Period=FY","BEST_FPERIOD_OVERRIDE=FY","FILING_STATUS=OR","EQY_CONSOLIDATED=Y","SCALING_FORMAT=MLN","Sort=A","Dates=H","DateFormat=P","Fill=—","Direction=H","UseDPDF=Y")</f>
        <v>#NAME?</v>
      </c>
      <c r="CA233" s="2" t="e">
        <f ca="1">_xll.BDH($C$228,"BS_LT_BORROW","FY 2015","FY 2015","Currency=INR","Period=FY","BEST_FPERIOD_OVERRIDE=FY","FILING_STATUS=OR","EQY_CONSOLIDATED=Y","SCALING_FORMAT=MLN","Sort=A","Dates=H","DateFormat=P","Fill=—","Direction=H","UseDPDF=Y")</f>
        <v>#NAME?</v>
      </c>
      <c r="CB233" s="1" t="e">
        <f ca="1">_xll.BDH($C$228,"TOT_DEBT_TO_EBITDA","FY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233" s="1" t="e">
        <f ca="1">_xll.BDH($C$228,"NET_DEBT_TO_EBITDA","FY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233" s="1" t="e">
        <f ca="1">_xll.BDH($C$228,"TOTAL_DEBT_TO_EBIT","FY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233" s="1" t="e">
        <f ca="1">_xll.BDH($C$228,"NET_DEBT_TO_EBIT","FY 2015","FY 2015","Currency=INR","Period=FY","BEST_FPERIOD_OVERRIDE=FY","FILING_STATUS=OR","EQY_CONSOLIDATED=Y","FA_ADJUSTED=GAAP","Sort=A","Dates=H","DateFormat=P","Fill=—","Direction=H","UseDPDF=Y")</f>
        <v>#NAME?</v>
      </c>
      <c r="CF233" s="1" t="e">
        <f ca="1">_xll.BDH($C$228,"EBITDA_TO_INTEREST_EXPN","FY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33" s="1" t="e">
        <f ca="1">_xll.BDH($C$228,"COM_EQY_TO_TOT_ASSET","FY 2015","FY 2015","Currency=INR","Period=FY","BEST_FPERIOD_OVERRIDE=FY","FILING_STATUS=OR","EQY_CONSOLIDATED=Y","Sort=A","Dates=H","DateFormat=P","Fill=—","Direction=H","UseDPDF=Y")</f>
        <v>#NAME?</v>
      </c>
      <c r="CH233" s="1" t="e">
        <f ca="1">_xll.BDH($C$228,"LT_DEBT_TO_TOT_EQY","FY 2015","FY 2015","Currency=INR","Period=FY","BEST_FPERIOD_OVERRIDE=FY","FILING_STATUS=OR","EQY_CONSOLIDATED=Y","Sort=A","Dates=H","DateFormat=P","Fill=—","Direction=H","UseDPDF=Y")</f>
        <v>#NAME?</v>
      </c>
      <c r="CI233" s="1" t="e">
        <f ca="1">_xll.BDH($C$228,"LT_DEBT_TO_TOT_CAP","FY 2015","FY 2015","Currency=INR","Period=FY","BEST_FPERIOD_OVERRIDE=FY","FILING_STATUS=OR","EQY_CONSOLIDATED=Y","Sort=A","Dates=H","DateFormat=P","Fill=—","Direction=H","UseDPDF=Y")</f>
        <v>#NAME?</v>
      </c>
      <c r="CJ233" s="1" t="e">
        <f ca="1">_xll.BDH($C$228,"LT_DEBT_TO_TOT_ASSET","FY 2015","FY 2015","Currency=INR","Period=FY","BEST_FPERIOD_OVERRIDE=FY","FILING_STATUS=OR","EQY_CONSOLIDATED=Y","Sort=A","Dates=H","DateFormat=P","Fill=—","Direction=H","UseDPDF=Y")</f>
        <v>#NAME?</v>
      </c>
      <c r="CK233" s="1" t="e">
        <f ca="1">_xll.BDH($C$228,"TOT_DEBT_TO_TOT_EQY","FY 2015","FY 2015","Currency=INR","Period=FY","BEST_FPERIOD_OVERRIDE=FY","FILING_STATUS=OR","EQY_CONSOLIDATED=Y","Sort=A","Dates=H","DateFormat=P","Fill=—","Direction=H","UseDPDF=Y")</f>
        <v>#NAME?</v>
      </c>
      <c r="CL233" s="1" t="e">
        <f ca="1">_xll.BDH($C$228,"TOT_DEBT_TO_TOT_CAP","FY 2015","FY 2015","Currency=INR","Period=FY","BEST_FPERIOD_OVERRIDE=FY","FILING_STATUS=OR","EQY_CONSOLIDATED=Y","Sort=A","Dates=H","DateFormat=P","Fill=—","Direction=H","UseDPDF=Y")</f>
        <v>#NAME?</v>
      </c>
      <c r="CM233" s="1" t="e">
        <f ca="1">_xll.BDH($C$228,"TOT_DEBT_TO_TOT_ASSET","FY 2015","FY 2015","Currency=INR","Period=FY","BEST_FPERIOD_OVERRIDE=FY","FILING_STATUS=OR","EQY_CONSOLIDATED=Y","Sort=A","Dates=H","DateFormat=P","Fill=—","Direction=H","UseDPDF=Y")</f>
        <v>#NAME?</v>
      </c>
      <c r="CN233" s="1" t="e">
        <f ca="1">_xll.BDH($C$228,"NET_DEBT_TO_SHRHLDR_EQTY","FY 2015","FY 2015","Currency=INR","Period=FY","BEST_FPERIOD_OVERRIDE=FY","FILING_STATUS=OR","EQY_CONSOLIDATED=Y","Sort=A","Dates=H","DateFormat=P","Fill=—","Direction=H","UseDPDF=Y")</f>
        <v>#NAME?</v>
      </c>
      <c r="CO233" s="1" t="e">
        <f ca="1">_xll.BDH($C$228,"NET_DEBT_%_CAPITAL","FY 2015","FY 2015","Currency=INR","Period=FY","BEST_FPERIOD_OVERRIDE=FY","FILING_STATUS=OR","EQY_CONSOLIDATED=Y","Sort=A","Dates=H","DateFormat=P","Fill=—","Direction=H","UseDPDF=Y")</f>
        <v>#NAME?</v>
      </c>
      <c r="CP233" s="2" t="e">
        <f ca="1">_xll.BDH($C$228,"EBITDA","FY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33" s="2" t="e">
        <f ca="1">_xll.BDH($C$228,"EBITDA_AFTER_CAPEX","FY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33" s="2" t="e">
        <f ca="1">_xll.BDH($C$228,"IS_OPER_INC","FY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33" s="1" t="e">
        <f ca="1">_xll.BDH($C$228,"CASH_RATIO","FY 2015","FY 2015","Currency=INR","Period=FY","BEST_FPERIOD_OVERRIDE=FY","FILING_STATUS=OR","EQY_CONSOLIDATED=Y","Sort=A","Dates=H","DateFormat=P","Fill=—","Direction=H","UseDPDF=Y")</f>
        <v>#NAME?</v>
      </c>
      <c r="CT233" s="1" t="e">
        <f ca="1">_xll.BDH($C$228,"CUR_RATIO","FY 2015","FY 2015","Currency=INR","Period=FY","BEST_FPERIOD_OVERRIDE=FY","FILING_STATUS=OR","EQY_CONSOLIDATED=Y","Sort=A","Dates=H","DateFormat=P","Fill=—","Direction=H","UseDPDF=Y")</f>
        <v>#NAME?</v>
      </c>
      <c r="CU233" s="1" t="e">
        <f ca="1">_xll.BDH($C$228,"QUICK_RATIO","FY 2015","FY 2015","Currency=INR","Period=FY","BEST_FPERIOD_OVERRIDE=FY","FILING_STATUS=OR","EQY_CONSOLIDATED=Y","Sort=A","Dates=H","DateFormat=P","Fill=—","Direction=H","UseDPDF=Y")</f>
        <v>#NAME?</v>
      </c>
      <c r="CV233" s="1" t="e">
        <f ca="1">_xll.BDH($C$228,"ALTMAN_Z_SCORE","FY 2015","FY 2015","Currency=INR","Period=FY","BEST_FPERIOD_OVERRIDE=FY","FILING_STATUS=OR","EQY_CONSOLIDATED=Y","Sort=A","Dates=H","DateFormat=P","Fill=—","Direction=H","UseDPDF=Y")</f>
        <v>#NAME?</v>
      </c>
      <c r="CW233" s="3" t="e">
        <f ca="1">_xll.BDH($C$228,"ACCT_RCV_TURN","FY 2015","FY 2015","Currency=INR","Period=FY","BEST_FPERIOD_OVERRIDE=FY","FILING_STATUS=OR","EQY_CONSOLIDATED=Y","FA_ADJUSTED=GAAP","Sort=A","Dates=H","DateFormat=P","Fill=—","Direction=H","UseDPDF=Y")</f>
        <v>#NAME?</v>
      </c>
      <c r="CX233" s="1" t="e">
        <f ca="1">_xll.BDH($C$228,"ACCT_RCV_DAYS","FY 2015","FY 2015","Currency=INR","Period=FY","BEST_FPERIOD_OVERRIDE=FY","FILING_STATUS=OR","EQY_CONSOLIDATED=Y","FA_ADJUSTED=GAAP","Sort=A","Dates=H","DateFormat=P","Fill=—","Direction=H","UseDPDF=Y")</f>
        <v>#NAME?</v>
      </c>
      <c r="CY233" s="3" t="e">
        <f ca="1">_xll.BDH($C$228,"INVENT_TURN","FY 2015","FY 2015","Currency=INR","Period=FY","BEST_FPERIOD_OVERRIDE=FY","FILING_STATUS=OR","EQY_CONSOLIDATED=Y","FA_ADJUSTED=GAAP","Sort=A","Dates=H","DateFormat=P","Fill=—","Direction=H","UseDPDF=Y")</f>
        <v>#NAME?</v>
      </c>
      <c r="CZ233" s="1" t="e">
        <f ca="1">_xll.BDH($C$228,"INVENT_DAYS","FY 2015","FY 2015","Currency=INR","Period=FY","BEST_FPERIOD_OVERRIDE=FY","FILING_STATUS=OR","EQY_CONSOLIDATED=Y","FA_ADJUSTED=GAAP","Sort=A","Dates=H","DateFormat=P","Fill=—","Direction=H","UseDPDF=Y")</f>
        <v>#NAME?</v>
      </c>
      <c r="DA233" s="3" t="e">
        <f ca="1">_xll.BDH($C$228,"ACCOUNTS_PAYABLE_TURNOVER","FY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33" s="1" t="e">
        <f ca="1">_xll.BDH($C$228,"ACCOUNTS_PAYABLE_TURNOVER_DAYS","FY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33" s="3" t="e">
        <f ca="1">_xll.BDH($C$228,"CASH_CONVERSION_CYCLE","FY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33" s="3" t="e">
        <f ca="1">_xll.BDH($C$228,"INV_TO_CASH_DAYS","FY 2015","FY 2015","Currency=INR","Period=FY","BEST_FPERIOD_OVERRIDE=FY","FILING_STATUS=OR","EQY_CONSOLIDATED=Y","FA_ADJUSTED=GAAP","Sort=A","Dates=H","DateFormat=P","Fill=—","Direction=H","UseDPDF=Y")</f>
        <v>#NAME?</v>
      </c>
      <c r="DE233" s="4" t="e">
        <f ca="1">_xll.BDH($C$228,"BS_INVENTORIES","FY 2015","FY 2015","Currency=INR","Period=FY","BEST_FPERIOD_OVERRIDE=FY","FILING_STATUS=OR","EQY_CONSOLIDATED=Y","SCALING_FORMAT=MLN","Sort=A","Dates=H","DateFormat=P","Fill=—","Direction=H","UseDPDF=Y")</f>
        <v>#NAME?</v>
      </c>
      <c r="DF233" s="2" t="e">
        <f ca="1">_xll.BDH($C$228,"INVTRY_RAW_MATERIALS","FY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33" s="2" t="e">
        <f ca="1">_xll.BDH($C$228,"INVTRY_IN_PROGRESS","FY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33" s="2" t="e">
        <f ca="1">_xll.BDH($C$228,"INVTRY_FINISHED_GOODS","FY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33" s="2" t="e">
        <f ca="1">_xll.BDH($C$228,"BS_OTHER_INV","FY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34" spans="1:113" x14ac:dyDescent="0.3">
      <c r="A234" s="6"/>
      <c r="B234" s="6"/>
      <c r="C234" s="6"/>
      <c r="D234" s="6"/>
      <c r="E234" t="s">
        <v>4</v>
      </c>
      <c r="F234" t="e">
        <f ca="1">_xll.BDH($C$228,"RETURN_COM_EQY","FQ1 2015","FQ1 2015","Currency=INR","Period=FQ","BEST_FPERIOD_OVERRIDE=FQ","FILING_STATUS=OR","EQY_CONSOLIDATED=Y","FA_ADJUSTED=GAAP","Sort=A","Dates=H","DateFormat=P","Fill=—","Direction=H","UseDPDF=Y")</f>
        <v>#NAME?</v>
      </c>
      <c r="G234" t="e">
        <f ca="1">_xll.BDH($C$228,"RETURN_ON_ASSET","FQ1 2015","FQ1 2015","Currency=INR","Period=FQ","BEST_FPERIOD_OVERRIDE=FQ","FILING_STATUS=OR","EQY_CONSOLIDATED=Y","FA_ADJUSTED=GAAP","Sort=A","Dates=H","DateFormat=P","Fill=—","Direction=H","UseDPDF=Y")</f>
        <v>#NAME?</v>
      </c>
      <c r="H234" t="e">
        <f ca="1">_xll.BDH($C$228,"RETURN_ON_CAP","FQ1 2015","FQ1 2015","Currency=INR","Period=FQ","BEST_FPERIOD_OVERRIDE=FQ","FILING_STATUS=OR","EQY_CONSOLIDATED=Y","FA_ADJUSTED=GAAP","Sort=A","Dates=H","DateFormat=P","Fill=—","Direction=H","UseDPDF=Y")</f>
        <v>#NAME?</v>
      </c>
      <c r="I234" t="e">
        <f ca="1">_xll.BDH($C$228,"RETURN_ON_INV_CAPITAL","FQ1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34" t="e">
        <f ca="1">_xll.BDH($C$228,"EBITDA_TO_REVENUE","FQ1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234" t="e">
        <f ca="1">_xll.BDH($C$228,"OPER_MARGIN","FQ1 2015","FQ1 2015","Currency=INR","Period=FQ","BEST_FPERIOD_OVERRIDE=FQ","FILING_STATUS=OR","EQY_CONSOLIDATED=Y","FA_ADJUSTED=GAAP","Sort=A","Dates=H","DateFormat=P","Fill=—","Direction=H","UseDPDF=Y")</f>
        <v>#NAME?</v>
      </c>
      <c r="L234" t="e">
        <f ca="1">_xll.BDH($C$228,"INCREMENTAL_OPERATING_MARGIN","FQ1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34" t="e">
        <f ca="1">_xll.BDH($C$228,"PRETAX_INC_TO_NET_SALES","FQ1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34" t="e">
        <f ca="1">_xll.BDH($C$228,"INC_BEF_XO_ITEMS_TO_NET_SALES","FQ1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34" t="e">
        <f ca="1">_xll.BDH($C$228,"PROF_MARGIN","FQ1 2015","FQ1 2015","Currency=INR","Period=FQ","BEST_FPERIOD_OVERRIDE=FQ","FILING_STATUS=OR","EQY_CONSOLIDATED=Y","FA_ADJUSTED=GAAP","Sort=A","Dates=H","DateFormat=P","Fill=—","Direction=H","UseDPDF=Y")</f>
        <v>#NAME?</v>
      </c>
      <c r="P234" t="e">
        <f ca="1">_xll.BDH($C$228,"NET_INCOME_TO_COMMON_MARGIN","FQ1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34" t="e">
        <f ca="1">_xll.BDH($C$228,"EFF_TAX_RATE","FQ1 2015","FQ1 2015","Currency=INR","Period=FQ","BEST_FPERIOD_OVERRIDE=FQ","FILING_STATUS=OR","EQY_CONSOLIDATED=Y","FA_ADJUSTED=GAAP","Sort=A","Dates=H","DateFormat=P","Fill=—","Direction=H","UseDPDF=Y")</f>
        <v>#NAME?</v>
      </c>
      <c r="R234" t="e">
        <f ca="1">_xll.BDH($C$228,"DVD_PAYOUT_RATIO","FQ1 2015","FQ1 2015","Currency=INR","Period=FQ","BEST_FPERIOD_OVERRIDE=FQ","FILING_STATUS=OR","EQY_CONSOLIDATED=Y","FA_ADJUSTED=GAAP","Sort=A","Dates=H","DateFormat=P","Fill=—","Direction=H","UseDPDF=Y")</f>
        <v>#NAME?</v>
      </c>
      <c r="S234" t="e">
        <f ca="1">_xll.BDH($C$228,"SUSTAIN_GROWTH_RT","FQ1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234" s="1" t="e">
        <f ca="1">_xll.BDH($C$228,"SALES_GROWTH","FQ1 2015","FQ1 2015","Currency=INR","Period=FQ","BEST_FPERIOD_OVERRIDE=FQ","FILING_STATUS=OR","EQY_CONSOLIDATED=Y","FA_ADJUSTED=GAAP","Sort=A","Dates=H","DateFormat=P","Fill=—","Direction=H","UseDPDF=Y")</f>
        <v>#NAME?</v>
      </c>
      <c r="U234" s="1" t="e">
        <f ca="1">_xll.BDH($C$228,"EBITDA_GROWTH","FQ1 2015","FQ1 2015","Currency=INR","Period=FQ","BEST_FPERIOD_OVERRIDE=FQ","FILING_STATUS=OR","EQY_CONSOLIDATED=Y","FA_ADJUSTED=GAAP","Sort=A","Dates=H","DateFormat=P","Fill=—","Direction=H","UseDPDF=Y")</f>
        <v>#NAME?</v>
      </c>
      <c r="V234" s="1" t="e">
        <f ca="1">_xll.BDH($C$228,"OPER_INC_GROWTH","FQ1 2015","FQ1 2015","Currency=INR","Period=FQ","BEST_FPERIOD_OVERRIDE=FQ","FILING_STATUS=OR","EQY_CONSOLIDATED=Y","FA_ADJUSTED=GAAP","Sort=A","Dates=H","DateFormat=P","Fill=—","Direction=H","UseDPDF=Y")</f>
        <v>#NAME?</v>
      </c>
      <c r="W234" s="1" t="e">
        <f ca="1">_xll.BDH($C$228,"EARN_FOR_COM_GROWTH","FQ1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34" s="1" t="e">
        <f ca="1">_xll.BDH($C$228,"DILUTED_EPS_AFT_XO_ITEMS_GROWTH","FQ1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34" s="1" t="e">
        <f ca="1">_xll.BDH($C$228,"DIVIDEND_PER_SHARE_1_YEAR_GROWTH","FQ1 2015","FQ1 2015","Currency=INR","Period=FQ","BEST_FPERIOD_OVERRIDE=FQ","FILING_STATUS=OR","EQY_CONSOLIDATED=Y","Sort=A","Dates=H","DateFormat=P","Fill=—","Direction=H","UseDPDF=Y")</f>
        <v>#NAME?</v>
      </c>
      <c r="Z234" s="1" t="e">
        <f ca="1">_xll.BDH($C$228,"ACCOUNTS_RECEIVABLE_GROWTH","FQ1 2015","FQ1 2015","Currency=INR","Period=FQ","BEST_FPERIOD_OVERRIDE=FQ","FILING_STATUS=OR","EQY_CONSOLIDATED=Y","Sort=A","Dates=H","DateFormat=P","Fill=—","Direction=H","UseDPDF=Y")</f>
        <v>#NAME?</v>
      </c>
      <c r="AA234" s="1" t="e">
        <f ca="1">_xll.BDH($C$228,"INVENTORY_GROWTH","FQ1 2015","FQ1 2015","Currency=INR","Period=FQ","BEST_FPERIOD_OVERRIDE=FQ","FILING_STATUS=OR","EQY_CONSOLIDATED=Y","Sort=A","Dates=H","DateFormat=P","Fill=—","Direction=H","UseDPDF=Y")</f>
        <v>#NAME?</v>
      </c>
      <c r="AB234" s="1" t="e">
        <f ca="1">_xll.BDH($C$228,"NET_FIXED_ASSETS_1_YEAR_GROWTH","FQ1 2015","FQ1 2015","Currency=INR","Period=FQ","BEST_FPERIOD_OVERRIDE=FQ","FILING_STATUS=OR","EQY_CONSOLIDATED=Y","Sort=A","Dates=H","DateFormat=P","Fill=—","Direction=H","UseDPDF=Y")</f>
        <v>#NAME?</v>
      </c>
      <c r="AC234" s="1" t="e">
        <f ca="1">_xll.BDH($C$228,"ASSET_GROWTH","FQ1 2015","FQ1 2015","Currency=INR","Period=FQ","BEST_FPERIOD_OVERRIDE=FQ","FILING_STATUS=OR","EQY_CONSOLIDATED=Y","Sort=A","Dates=H","DateFormat=P","Fill=—","Direction=H","UseDPDF=Y")</f>
        <v>#NAME?</v>
      </c>
      <c r="AD234" s="1" t="e">
        <f ca="1">_xll.BDH($C$228,"MODIFIED_WORK_CAP_GROWTH","FQ1 2015","FQ1 2015","Currency=INR","Period=FQ","BEST_FPERIOD_OVERRIDE=FQ","FILING_STATUS=OR","EQY_CONSOLIDATED=Y","Sort=A","Dates=H","DateFormat=P","Fill=—","Direction=H","UseDPDF=Y")</f>
        <v>#NAME?</v>
      </c>
      <c r="AE234" s="1" t="e">
        <f ca="1">_xll.BDH($C$228,"WORK_CAP_GROWTH","FQ1 2015","FQ1 2015","Currency=INR","Period=FQ","BEST_FPERIOD_OVERRIDE=FQ","FILING_STATUS=OR","EQY_CONSOLIDATED=Y","Sort=A","Dates=H","DateFormat=P","Fill=—","Direction=H","UseDPDF=Y")</f>
        <v>#NAME?</v>
      </c>
      <c r="AF234" s="1" t="e">
        <f ca="1">_xll.BDH($C$228,"ACCOUNTS_PAYABLE_GROWTH_1YR","FQ1 2015","FQ1 2015","Currency=INR","Period=FQ","BEST_FPERIOD_OVERRIDE=FQ","FILING_STATUS=OR","EQY_CONSOLIDATED=Y","Sort=A","Dates=H","DateFormat=P","Fill=—","Direction=H","UseDPDF=Y")</f>
        <v>#NAME?</v>
      </c>
      <c r="AG234" s="1" t="e">
        <f ca="1">_xll.BDH($C$228,"SHORT_TERM_DEBT_1_YEAR_GROWTH","FQ1 2015","FQ1 2015","Currency=INR","Period=FQ","BEST_FPERIOD_OVERRIDE=FQ","FILING_STATUS=OR","EQY_CONSOLIDATED=Y","Sort=A","Dates=H","DateFormat=P","Fill=—","Direction=H","UseDPDF=Y")</f>
        <v>#NAME?</v>
      </c>
      <c r="AH234" s="1" t="e">
        <f ca="1">_xll.BDH($C$228,"TOTAL_DEBT_1_YEAR_GROWTH","FQ1 2015","FQ1 2015","Currency=INR","Period=FQ","BEST_FPERIOD_OVERRIDE=FQ","FILING_STATUS=OR","EQY_CONSOLIDATED=Y","Sort=A","Dates=H","DateFormat=P","Fill=—","Direction=H","UseDPDF=Y")</f>
        <v>#NAME?</v>
      </c>
      <c r="AI234" s="1" t="e">
        <f ca="1">_xll.BDH($C$228,"TOTAL_EQUITY_1_YEAR_GROWTH","FQ1 2015","FQ1 2015","Currency=INR","Period=FQ","BEST_FPERIOD_OVERRIDE=FQ","FILING_STATUS=OR","EQY_CONSOLIDATED=Y","Sort=A","Dates=H","DateFormat=P","Fill=—","Direction=H","UseDPDF=Y")</f>
        <v>#NAME?</v>
      </c>
      <c r="AJ234" s="1" t="e">
        <f ca="1">_xll.BDH($C$228,"GROWTH_IN_CAP","FQ1 2015","FQ1 2015","Currency=INR","Period=FQ","BEST_FPERIOD_OVERRIDE=FQ","FILING_STATUS=OR","EQY_CONSOLIDATED=Y","Sort=A","Dates=H","DateFormat=P","Fill=—","Direction=H","UseDPDF=Y")</f>
        <v>#NAME?</v>
      </c>
      <c r="AK234" s="1" t="e">
        <f ca="1">_xll.BDH($C$228,"BVPS_GROWTH","FQ1 2015","FQ1 2015","Currency=INR","Period=FQ","BEST_FPERIOD_OVERRIDE=FQ","FILING_STATUS=OR","EQY_CONSOLIDATED=Y","Sort=A","Dates=H","DateFormat=P","Fill=—","Direction=H","UseDPDF=Y")</f>
        <v>#NAME?</v>
      </c>
      <c r="AL234" s="1" t="e">
        <f ca="1">_xll.BDH($C$228,"CASH_FLOW_GROWTH","FQ1 2015","FQ1 2015","Currency=INR","Period=FQ","BEST_FPERIOD_OVERRIDE=FQ","FILING_STATUS=OR","EQY_CONSOLIDATED=Y","Sort=A","Dates=H","DateFormat=P","Fill=—","Direction=H","UseDPDF=Y")</f>
        <v>#NAME?</v>
      </c>
      <c r="AM234" s="1" t="e">
        <f ca="1">_xll.BDH($C$228,"GEO_GROW_NET_SALES","FQ1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34" s="1" t="e">
        <f ca="1">_xll.BDH($C$228,"GEO_GROW_EBITDA","FQ1 2015","FQ1 2015","Currency=INR","Period=FQ","BEST_FPERIOD_OVERRIDE=FQ","FILING_STATUS=OR","EQY_CONSOLIDATED=Y","FA_ADJUSTED=GAAP","Sort=A","Dates=H","DateFormat=P","Fill=—","Direction=H","UseDPDF=Y")</f>
        <v>#NAME?</v>
      </c>
      <c r="AO234" s="1" t="e">
        <f ca="1">_xll.BDH($C$228,"GEO_GROW_OPER_INC","FQ1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34" s="1" t="e">
        <f ca="1">_xll.BDH($C$228,"NET_INCOME_TO_COMMON_5_YR_GROWTH","FQ1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34" s="1" t="e">
        <f ca="1">_xll.BDH($C$228,"5Y_GEO_GROWTH_DILUTED_EPS","FQ1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34" s="1" t="e">
        <f ca="1">_xll.BDH($C$228,"GEO_GROW_DVD_PER_SH","FQ1 2015","FQ1 2015","Currency=INR","Period=FQ","BEST_FPERIOD_OVERRIDE=FQ","FILING_STATUS=OR","EQY_CONSOLIDATED=Y","Sort=A","Dates=H","DateFormat=P","Fill=—","Direction=H","UseDPDF=Y")</f>
        <v>#NAME?</v>
      </c>
      <c r="AS234" s="1" t="e">
        <f ca="1">_xll.BDH($C$228,"ACCOUNTS_RECEIVABLE_5_YR_GROWTH","FQ1 2015","FQ1 2015","Currency=INR","Period=FQ","BEST_FPERIOD_OVERRIDE=FQ","FILING_STATUS=OR","EQY_CONSOLIDATED=Y","Sort=A","Dates=H","DateFormat=P","Fill=—","Direction=H","UseDPDF=Y")</f>
        <v>#NAME?</v>
      </c>
      <c r="AT234" s="1" t="e">
        <f ca="1">_xll.BDH($C$228,"INVENTORY_5_YEAR_GROWTH","FQ1 2015","FQ1 2015","Currency=INR","Period=FQ","BEST_FPERIOD_OVERRIDE=FQ","FILING_STATUS=OR","EQY_CONSOLIDATED=Y","Sort=A","Dates=H","DateFormat=P","Fill=—","Direction=H","UseDPDF=Y")</f>
        <v>#NAME?</v>
      </c>
      <c r="AU234" s="1" t="e">
        <f ca="1">_xll.BDH($C$228,"NET_FIXED_ASSETS_5_YEAR_GROWTH","FQ1 2015","FQ1 2015","Currency=INR","Period=FQ","BEST_FPERIOD_OVERRIDE=FQ","FILING_STATUS=OR","EQY_CONSOLIDATED=Y","Sort=A","Dates=H","DateFormat=P","Fill=—","Direction=H","UseDPDF=Y")</f>
        <v>#NAME?</v>
      </c>
      <c r="AV234" s="1" t="e">
        <f ca="1">_xll.BDH($C$228,"GEO_GROW_TOT_ASSET","FQ1 2015","FQ1 2015","Currency=INR","Period=FQ","BEST_FPERIOD_OVERRIDE=FQ","FILING_STATUS=OR","EQY_CONSOLIDATED=Y","Sort=A","Dates=H","DateFormat=P","Fill=—","Direction=H","UseDPDF=Y")</f>
        <v>#NAME?</v>
      </c>
      <c r="AW234" s="1" t="e">
        <f ca="1">_xll.BDH($C$228,"MODIFIED_WORKING_CPTL_5YR_GRWTH","FQ1 2015","FQ1 2015","Currency=INR","Period=FQ","BEST_FPERIOD_OVERRIDE=FQ","FILING_STATUS=OR","EQY_CONSOLIDATED=Y","Sort=A","Dates=H","DateFormat=P","Fill=—","Direction=H","UseDPDF=Y")</f>
        <v>#NAME?</v>
      </c>
      <c r="AX234" s="1" t="e">
        <f ca="1">_xll.BDH($C$228,"WORKING_CAPITAL_5_YEAR_GROWTH","FQ1 2015","FQ1 2015","Currency=INR","Period=FQ","BEST_FPERIOD_OVERRIDE=FQ","FILING_STATUS=OR","EQY_CONSOLIDATED=Y","Sort=A","Dates=H","DateFormat=P","Fill=—","Direction=H","UseDPDF=Y")</f>
        <v>#NAME?</v>
      </c>
      <c r="AY234" s="1" t="e">
        <f ca="1">_xll.BDH($C$228,"ACCOUNTS_PAYABLE_5_YEAR_GROWTH","FQ1 2015","FQ1 2015","Currency=INR","Period=FQ","BEST_FPERIOD_OVERRIDE=FQ","FILING_STATUS=OR","EQY_CONSOLIDATED=Y","Sort=A","Dates=H","DateFormat=P","Fill=—","Direction=H","UseDPDF=Y")</f>
        <v>#NAME?</v>
      </c>
      <c r="AZ234" s="1" t="e">
        <f ca="1">_xll.BDH($C$228,"SHORT_TERM_DEBT_5_YEAR_GROWTH","FQ1 2015","FQ1 2015","Currency=INR","Period=FQ","BEST_FPERIOD_OVERRIDE=FQ","FILING_STATUS=OR","EQY_CONSOLIDATED=Y","Sort=A","Dates=H","DateFormat=P","Fill=—","Direction=H","UseDPDF=Y")</f>
        <v>#NAME?</v>
      </c>
      <c r="BA234" s="1" t="e">
        <f ca="1">_xll.BDH($C$228,"TOTAL_DEBT_5_YEAR_GROWTH","FQ1 2015","FQ1 2015","Currency=INR","Period=FQ","BEST_FPERIOD_OVERRIDE=FQ","FILING_STATUS=OR","EQY_CONSOLIDATED=Y","Sort=A","Dates=H","DateFormat=P","Fill=—","Direction=H","UseDPDF=Y")</f>
        <v>#NAME?</v>
      </c>
      <c r="BB234" s="1" t="e">
        <f ca="1">_xll.BDH($C$228,"GEO_GROW_TOT_SHRHLDR_EQY","FQ1 2015","FQ1 2015","Currency=INR","Period=FQ","BEST_FPERIOD_OVERRIDE=FQ","FILING_STATUS=OR","EQY_CONSOLIDATED=Y","Sort=A","Dates=H","DateFormat=P","Fill=—","Direction=H","UseDPDF=Y")</f>
        <v>#NAME?</v>
      </c>
      <c r="BC234" s="1" t="e">
        <f ca="1">_xll.BDH($C$228,"TOTAL_CAPITAL_5_YEAR_GROWTH","FQ1 2015","FQ1 2015","Currency=INR","Period=FQ","BEST_FPERIOD_OVERRIDE=FQ","FILING_STATUS=OR","EQY_CONSOLIDATED=Y","Sort=A","Dates=H","DateFormat=P","Fill=—","Direction=H","UseDPDF=Y")</f>
        <v>#NAME?</v>
      </c>
      <c r="BD234" s="1" t="e">
        <f ca="1">_xll.BDH($C$228,"GEO_GROW_BOOK_VAL","FQ1 2015","FQ1 2015","Currency=INR","Period=FQ","BEST_FPERIOD_OVERRIDE=FQ","FILING_STATUS=OR","EQY_CONSOLIDATED=Y","Sort=A","Dates=H","DateFormat=P","Fill=—","Direction=H","UseDPDF=Y")</f>
        <v>#NAME?</v>
      </c>
      <c r="BE234" s="1" t="e">
        <f ca="1">_xll.BDH($C$228,"GEO_GROW_CASH_OPER_ACT","FQ1 2015","FQ1 2015","Currency=INR","Period=FQ","BEST_FPERIOD_OVERRIDE=FQ","FILING_STATUS=OR","EQY_CONSOLIDATED=Y","Sort=A","Dates=H","DateFormat=P","Fill=—","Direction=H","UseDPDF=Y")</f>
        <v>#NAME?</v>
      </c>
      <c r="BF234" s="1" t="e">
        <f ca="1">_xll.BDH($C$228,"REVENUE_SEQUENTIAL_GROWTH","FQ1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34" s="1" t="e">
        <f ca="1">_xll.BDH($C$228,"EBITDA_SEQUENTIAL_GROWTH","FQ1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34" s="1" t="e">
        <f ca="1">_xll.BDH($C$228,"OPERATING_INCOME_SEQ_GROWTH","FQ1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34" s="1" t="e">
        <f ca="1">_xll.BDH($C$228,"NET_INCOME_TO_COMMON_SEQ_GROWTH","FQ1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34" s="1" t="e">
        <f ca="1">_xll.BDH($C$228,"EPS_DILUTED_SEQUENTIAL_GROWTH","FQ1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34" s="1" t="e">
        <f ca="1">_xll.BDH($C$228,"DPS_SEQUENTIAL_GROWTH","FQ1 2015","FQ1 2015","Currency=INR","Period=FQ","BEST_FPERIOD_OVERRIDE=FQ","FILING_STATUS=OR","EQY_CONSOLIDATED=Y","Sort=A","Dates=H","DateFormat=P","Fill=—","Direction=H","UseDPDF=Y")</f>
        <v>#NAME?</v>
      </c>
      <c r="BL234" s="1" t="e">
        <f ca="1">_xll.BDH($C$228,"ACCOUNTS_RECEIVABLE_SEQ_GROWTH","FQ1 2015","FQ1 2015","Currency=INR","Period=FQ","BEST_FPERIOD_OVERRIDE=FQ","FILING_STATUS=OR","EQY_CONSOLIDATED=Y","Sort=A","Dates=H","DateFormat=P","Fill=—","Direction=H","UseDPDF=Y")</f>
        <v>#NAME?</v>
      </c>
      <c r="BM234" s="1" t="e">
        <f ca="1">_xll.BDH($C$228,"INVENTORY_SEQUENTIAL_GROWTH","FQ1 2015","FQ1 2015","Currency=INR","Period=FQ","BEST_FPERIOD_OVERRIDE=FQ","FILING_STATUS=OR","EQY_CONSOLIDATED=Y","Sort=A","Dates=H","DateFormat=P","Fill=—","Direction=H","UseDPDF=Y")</f>
        <v>#NAME?</v>
      </c>
      <c r="BN234" s="1" t="e">
        <f ca="1">_xll.BDH($C$228,"FIXED_ASSETS_SEQUENTIAL_GROWTH","FQ1 2015","FQ1 2015","Currency=INR","Period=FQ","BEST_FPERIOD_OVERRIDE=FQ","FILING_STATUS=OR","EQY_CONSOLIDATED=Y","Sort=A","Dates=H","DateFormat=P","Fill=—","Direction=H","UseDPDF=Y")</f>
        <v>#NAME?</v>
      </c>
      <c r="BO234" s="1" t="e">
        <f ca="1">_xll.BDH($C$228,"TOTAL_ASSETS_SEQUENTIAL_GROWTH","FQ1 2015","FQ1 2015","Currency=INR","Period=FQ","BEST_FPERIOD_OVERRIDE=FQ","FILING_STATUS=OR","EQY_CONSOLIDATED=Y","Sort=A","Dates=H","DateFormat=P","Fill=—","Direction=H","UseDPDF=Y")</f>
        <v>#NAME?</v>
      </c>
      <c r="BP234" s="1" t="e">
        <f ca="1">_xll.BDH($C$228,"MODIFIED_WORKING_CPTL_SEQ_GRWTH","FQ1 2015","FQ1 2015","Currency=INR","Period=FQ","BEST_FPERIOD_OVERRIDE=FQ","FILING_STATUS=OR","EQY_CONSOLIDATED=Y","Sort=A","Dates=H","DateFormat=P","Fill=—","Direction=H","UseDPDF=Y")</f>
        <v>#NAME?</v>
      </c>
      <c r="BQ234" s="1" t="e">
        <f ca="1">_xll.BDH($C$228,"WORKING_CAPITAL_SEQ_GROWTH","FQ1 2015","FQ1 2015","Currency=INR","Period=FQ","BEST_FPERIOD_OVERRIDE=FQ","FILING_STATUS=OR","EQY_CONSOLIDATED=Y","Sort=A","Dates=H","DateFormat=P","Fill=—","Direction=H","UseDPDF=Y")</f>
        <v>#NAME?</v>
      </c>
      <c r="BR234" s="1" t="e">
        <f ca="1">_xll.BDH($C$228,"ACCOUNTS_PAYABLE_SEQ_GROWTH","FQ1 2015","FQ1 2015","Currency=INR","Period=FQ","BEST_FPERIOD_OVERRIDE=FQ","FILING_STATUS=OR","EQY_CONSOLIDATED=Y","Sort=A","Dates=H","DateFormat=P","Fill=—","Direction=H","UseDPDF=Y")</f>
        <v>#NAME?</v>
      </c>
      <c r="BS234" s="1" t="e">
        <f ca="1">_xll.BDH($C$228,"ST_DEBT_SEQUENTIAL_GROWTH","FQ1 2015","FQ1 2015","Currency=INR","Period=FQ","BEST_FPERIOD_OVERRIDE=FQ","FILING_STATUS=OR","EQY_CONSOLIDATED=Y","Sort=A","Dates=H","DateFormat=P","Fill=—","Direction=H","UseDPDF=Y")</f>
        <v>#NAME?</v>
      </c>
      <c r="BT234" s="1" t="e">
        <f ca="1">_xll.BDH($C$228,"TOTAL_DEBT_SEQUENTIAL_GROWTH","FQ1 2015","FQ1 2015","Currency=INR","Period=FQ","BEST_FPERIOD_OVERRIDE=FQ","FILING_STATUS=OR","EQY_CONSOLIDATED=Y","Sort=A","Dates=H","DateFormat=P","Fill=—","Direction=H","UseDPDF=Y")</f>
        <v>#NAME?</v>
      </c>
      <c r="BU234" s="1" t="e">
        <f ca="1">_xll.BDH($C$228,"TOTAL_EQUITY_SEQUENTIAL_GROWTH","FQ1 2015","FQ1 2015","Currency=INR","Period=FQ","BEST_FPERIOD_OVERRIDE=FQ","FILING_STATUS=OR","EQY_CONSOLIDATED=Y","Sort=A","Dates=H","DateFormat=P","Fill=—","Direction=H","UseDPDF=Y")</f>
        <v>#NAME?</v>
      </c>
      <c r="BV234" s="1" t="e">
        <f ca="1">_xll.BDH($C$228,"TOTAL_CAPITAL_SEQUENTIAL_GROWTH","FQ1 2015","FQ1 2015","Currency=INR","Period=FQ","BEST_FPERIOD_OVERRIDE=FQ","FILING_STATUS=OR","EQY_CONSOLIDATED=Y","Sort=A","Dates=H","DateFormat=P","Fill=—","Direction=H","UseDPDF=Y")</f>
        <v>#NAME?</v>
      </c>
      <c r="BW234" s="1" t="e">
        <f ca="1">_xll.BDH($C$228,"BPS_SEQUENTIAL_GROWTH","FQ1 2015","FQ1 2015","Currency=INR","Period=FQ","BEST_FPERIOD_OVERRIDE=FQ","FILING_STATUS=OR","EQY_CONSOLIDATED=Y","Sort=A","Dates=H","DateFormat=P","Fill=—","Direction=H","UseDPDF=Y")</f>
        <v>#NAME?</v>
      </c>
      <c r="BX234" s="1" t="e">
        <f ca="1">_xll.BDH($C$228,"CFO_SEQUENTIAL_GROWTH","FQ1 2015","FQ1 2015","Currency=INR","Period=FQ","BEST_FPERIOD_OVERRIDE=FQ","FILING_STATUS=OR","EQY_CONSOLIDATED=Y","Sort=A","Dates=H","DateFormat=P","Fill=—","Direction=H","UseDPDF=Y")</f>
        <v>#NAME?</v>
      </c>
      <c r="BY234" s="2" t="e">
        <f ca="1">_xll.BDH($C$228,"SHORT_AND_LONG_TERM_DEBT","FQ1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34" s="2" t="e">
        <f ca="1">_xll.BDH($C$228,"BS_ST_BORROW","FQ1 2015","FQ1 2015","Currency=INR","Period=FQ","BEST_FPERIOD_OVERRIDE=FQ","FILING_STATUS=OR","EQY_CONSOLIDATED=Y","SCALING_FORMAT=MLN","Sort=A","Dates=H","DateFormat=P","Fill=—","Direction=H","UseDPDF=Y")</f>
        <v>#NAME?</v>
      </c>
      <c r="CA234" s="2" t="e">
        <f ca="1">_xll.BDH($C$228,"BS_LT_BORROW","FQ1 2015","FQ1 2015","Currency=INR","Period=FQ","BEST_FPERIOD_OVERRIDE=FQ","FILING_STATUS=OR","EQY_CONSOLIDATED=Y","SCALING_FORMAT=MLN","Sort=A","Dates=H","DateFormat=P","Fill=—","Direction=H","UseDPDF=Y")</f>
        <v>#NAME?</v>
      </c>
      <c r="CB234" s="1" t="e">
        <f ca="1">_xll.BDH($C$228,"TOT_DEBT_TO_EBITDA","FQ1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34" s="1" t="e">
        <f ca="1">_xll.BDH($C$228,"NET_DEBT_TO_EBITDA","FQ1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34" s="1" t="e">
        <f ca="1">_xll.BDH($C$228,"TOTAL_DEBT_TO_EBIT","FQ1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34" s="1" t="e">
        <f ca="1">_xll.BDH($C$228,"NET_DEBT_TO_EBIT","FQ1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234" s="1" t="e">
        <f ca="1">_xll.BDH($C$228,"EBITDA_TO_INTEREST_EXPN","FQ1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34" s="1" t="e">
        <f ca="1">_xll.BDH($C$228,"COM_EQY_TO_TOT_ASSET","FQ1 2015","FQ1 2015","Currency=INR","Period=FQ","BEST_FPERIOD_OVERRIDE=FQ","FILING_STATUS=OR","EQY_CONSOLIDATED=Y","Sort=A","Dates=H","DateFormat=P","Fill=—","Direction=H","UseDPDF=Y")</f>
        <v>#NAME?</v>
      </c>
      <c r="CH234" s="1" t="e">
        <f ca="1">_xll.BDH($C$228,"LT_DEBT_TO_TOT_EQY","FQ1 2015","FQ1 2015","Currency=INR","Period=FQ","BEST_FPERIOD_OVERRIDE=FQ","FILING_STATUS=OR","EQY_CONSOLIDATED=Y","Sort=A","Dates=H","DateFormat=P","Fill=—","Direction=H","UseDPDF=Y")</f>
        <v>#NAME?</v>
      </c>
      <c r="CI234" s="1" t="e">
        <f ca="1">_xll.BDH($C$228,"LT_DEBT_TO_TOT_CAP","FQ1 2015","FQ1 2015","Currency=INR","Period=FQ","BEST_FPERIOD_OVERRIDE=FQ","FILING_STATUS=OR","EQY_CONSOLIDATED=Y","Sort=A","Dates=H","DateFormat=P","Fill=—","Direction=H","UseDPDF=Y")</f>
        <v>#NAME?</v>
      </c>
      <c r="CJ234" s="1" t="e">
        <f ca="1">_xll.BDH($C$228,"LT_DEBT_TO_TOT_ASSET","FQ1 2015","FQ1 2015","Currency=INR","Period=FQ","BEST_FPERIOD_OVERRIDE=FQ","FILING_STATUS=OR","EQY_CONSOLIDATED=Y","Sort=A","Dates=H","DateFormat=P","Fill=—","Direction=H","UseDPDF=Y")</f>
        <v>#NAME?</v>
      </c>
      <c r="CK234" s="1" t="e">
        <f ca="1">_xll.BDH($C$228,"TOT_DEBT_TO_TOT_EQY","FQ1 2015","FQ1 2015","Currency=INR","Period=FQ","BEST_FPERIOD_OVERRIDE=FQ","FILING_STATUS=OR","EQY_CONSOLIDATED=Y","Sort=A","Dates=H","DateFormat=P","Fill=—","Direction=H","UseDPDF=Y")</f>
        <v>#NAME?</v>
      </c>
      <c r="CL234" s="1" t="e">
        <f ca="1">_xll.BDH($C$228,"TOT_DEBT_TO_TOT_CAP","FQ1 2015","FQ1 2015","Currency=INR","Period=FQ","BEST_FPERIOD_OVERRIDE=FQ","FILING_STATUS=OR","EQY_CONSOLIDATED=Y","Sort=A","Dates=H","DateFormat=P","Fill=—","Direction=H","UseDPDF=Y")</f>
        <v>#NAME?</v>
      </c>
      <c r="CM234" s="1" t="e">
        <f ca="1">_xll.BDH($C$228,"TOT_DEBT_TO_TOT_ASSET","FQ1 2015","FQ1 2015","Currency=INR","Period=FQ","BEST_FPERIOD_OVERRIDE=FQ","FILING_STATUS=OR","EQY_CONSOLIDATED=Y","Sort=A","Dates=H","DateFormat=P","Fill=—","Direction=H","UseDPDF=Y")</f>
        <v>#NAME?</v>
      </c>
      <c r="CN234" s="1" t="e">
        <f ca="1">_xll.BDH($C$228,"NET_DEBT_TO_SHRHLDR_EQTY","FQ1 2015","FQ1 2015","Currency=INR","Period=FQ","BEST_FPERIOD_OVERRIDE=FQ","FILING_STATUS=OR","EQY_CONSOLIDATED=Y","Sort=A","Dates=H","DateFormat=P","Fill=—","Direction=H","UseDPDF=Y")</f>
        <v>#NAME?</v>
      </c>
      <c r="CO234" s="1" t="e">
        <f ca="1">_xll.BDH($C$228,"NET_DEBT_%_CAPITAL","FQ1 2015","FQ1 2015","Currency=INR","Period=FQ","BEST_FPERIOD_OVERRIDE=FQ","FILING_STATUS=OR","EQY_CONSOLIDATED=Y","Sort=A","Dates=H","DateFormat=P","Fill=—","Direction=H","UseDPDF=Y")</f>
        <v>#NAME?</v>
      </c>
      <c r="CP234" s="2" t="e">
        <f ca="1">_xll.BDH($C$228,"EBITDA","FQ1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34" s="2" t="e">
        <f ca="1">_xll.BDH($C$228,"EBITDA_AFTER_CAPEX","FQ1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34" s="2" t="e">
        <f ca="1">_xll.BDH($C$228,"IS_OPER_INC","FQ1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34" s="1" t="e">
        <f ca="1">_xll.BDH($C$228,"CASH_RATIO","FQ1 2015","FQ1 2015","Currency=INR","Period=FQ","BEST_FPERIOD_OVERRIDE=FQ","FILING_STATUS=OR","EQY_CONSOLIDATED=Y","Sort=A","Dates=H","DateFormat=P","Fill=—","Direction=H","UseDPDF=Y")</f>
        <v>#NAME?</v>
      </c>
      <c r="CT234" s="1" t="e">
        <f ca="1">_xll.BDH($C$228,"CUR_RATIO","FQ1 2015","FQ1 2015","Currency=INR","Period=FQ","BEST_FPERIOD_OVERRIDE=FQ","FILING_STATUS=OR","EQY_CONSOLIDATED=Y","Sort=A","Dates=H","DateFormat=P","Fill=—","Direction=H","UseDPDF=Y")</f>
        <v>#NAME?</v>
      </c>
      <c r="CU234" s="1" t="e">
        <f ca="1">_xll.BDH($C$228,"QUICK_RATIO","FQ1 2015","FQ1 2015","Currency=INR","Period=FQ","BEST_FPERIOD_OVERRIDE=FQ","FILING_STATUS=OR","EQY_CONSOLIDATED=Y","Sort=A","Dates=H","DateFormat=P","Fill=—","Direction=H","UseDPDF=Y")</f>
        <v>#NAME?</v>
      </c>
      <c r="CV234" s="1" t="e">
        <f ca="1">_xll.BDH($C$228,"ALTMAN_Z_SCORE","FQ1 2015","FQ1 2015","Currency=INR","Period=FQ","BEST_FPERIOD_OVERRIDE=FQ","FILING_STATUS=OR","EQY_CONSOLIDATED=Y","Sort=A","Dates=H","DateFormat=P","Fill=—","Direction=H","UseDPDF=Y")</f>
        <v>#NAME?</v>
      </c>
      <c r="CW234" s="3" t="e">
        <f ca="1">_xll.BDH($C$228,"ACCT_RCV_TURN","FQ1 2015","FQ1 2015","Currency=INR","Period=FQ","BEST_FPERIOD_OVERRIDE=FQ","FILING_STATUS=OR","EQY_CONSOLIDATED=Y","FA_ADJUSTED=GAAP","Sort=A","Dates=H","DateFormat=P","Fill=—","Direction=H","UseDPDF=Y")</f>
        <v>#NAME?</v>
      </c>
      <c r="CX234" s="1" t="e">
        <f ca="1">_xll.BDH($C$228,"ACCT_RCV_DAYS","FQ1 2015","FQ1 2015","Currency=INR","Period=FQ","BEST_FPERIOD_OVERRIDE=FQ","FILING_STATUS=OR","EQY_CONSOLIDATED=Y","FA_ADJUSTED=GAAP","Sort=A","Dates=H","DateFormat=P","Fill=—","Direction=H","UseDPDF=Y")</f>
        <v>#NAME?</v>
      </c>
      <c r="CY234" s="3" t="e">
        <f ca="1">_xll.BDH($C$228,"INVENT_TURN","FQ1 2015","FQ1 2015","Currency=INR","Period=FQ","BEST_FPERIOD_OVERRIDE=FQ","FILING_STATUS=OR","EQY_CONSOLIDATED=Y","FA_ADJUSTED=GAAP","Sort=A","Dates=H","DateFormat=P","Fill=—","Direction=H","UseDPDF=Y")</f>
        <v>#NAME?</v>
      </c>
      <c r="CZ234" s="1" t="e">
        <f ca="1">_xll.BDH($C$228,"INVENT_DAYS","FQ1 2015","FQ1 2015","Currency=INR","Period=FQ","BEST_FPERIOD_OVERRIDE=FQ","FILING_STATUS=OR","EQY_CONSOLIDATED=Y","FA_ADJUSTED=GAAP","Sort=A","Dates=H","DateFormat=P","Fill=—","Direction=H","UseDPDF=Y")</f>
        <v>#NAME?</v>
      </c>
      <c r="DA234" s="3" t="e">
        <f ca="1">_xll.BDH($C$228,"ACCOUNTS_PAYABLE_TURNOVER","FQ1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34" s="1" t="e">
        <f ca="1">_xll.BDH($C$228,"ACCOUNTS_PAYABLE_TURNOVER_DAYS","FQ1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34" s="3" t="e">
        <f ca="1">_xll.BDH($C$228,"CASH_CONVERSION_CYCLE","FQ1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34" s="3" t="e">
        <f ca="1">_xll.BDH($C$228,"INV_TO_CASH_DAYS","FQ1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234" s="4" t="e">
        <f ca="1">_xll.BDH($C$228,"BS_INVENTORIES","FQ1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234" s="2" t="e">
        <f ca="1">_xll.BDH($C$228,"INVTRY_RAW_MATERIALS","FQ1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34" s="2" t="e">
        <f ca="1">_xll.BDH($C$228,"INVTRY_IN_PROGRESS","FQ1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34" s="2" t="e">
        <f ca="1">_xll.BDH($C$228,"INVTRY_FINISHED_GOODS","FQ1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34" s="2" t="e">
        <f ca="1">_xll.BDH($C$228,"BS_OTHER_INV","FQ1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35" spans="1:113" x14ac:dyDescent="0.3">
      <c r="A235" s="6"/>
      <c r="B235" s="6"/>
      <c r="C235" s="6"/>
      <c r="D235" s="6"/>
      <c r="E235" t="s">
        <v>5</v>
      </c>
      <c r="F235" t="e">
        <f ca="1">_xll.BDH($C$228,"RETURN_COM_EQY","FQ2 2015","FQ2 2015","Currency=INR","Period=FQ","BEST_FPERIOD_OVERRIDE=FQ","FILING_STATUS=OR","EQY_CONSOLIDATED=Y","FA_ADJUSTED=GAAP","Sort=A","Dates=H","DateFormat=P","Fill=—","Direction=H","UseDPDF=Y")</f>
        <v>#NAME?</v>
      </c>
      <c r="G235" t="e">
        <f ca="1">_xll.BDH($C$228,"RETURN_ON_ASSET","FQ2 2015","FQ2 2015","Currency=INR","Period=FQ","BEST_FPERIOD_OVERRIDE=FQ","FILING_STATUS=OR","EQY_CONSOLIDATED=Y","FA_ADJUSTED=GAAP","Sort=A","Dates=H","DateFormat=P","Fill=—","Direction=H","UseDPDF=Y")</f>
        <v>#NAME?</v>
      </c>
      <c r="H235" t="e">
        <f ca="1">_xll.BDH($C$228,"RETURN_ON_CAP","FQ2 2015","FQ2 2015","Currency=INR","Period=FQ","BEST_FPERIOD_OVERRIDE=FQ","FILING_STATUS=OR","EQY_CONSOLIDATED=Y","FA_ADJUSTED=GAAP","Sort=A","Dates=H","DateFormat=P","Fill=—","Direction=H","UseDPDF=Y")</f>
        <v>#NAME?</v>
      </c>
      <c r="I235" t="e">
        <f ca="1">_xll.BDH($C$228,"RETURN_ON_INV_CAPITAL","FQ2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35" t="e">
        <f ca="1">_xll.BDH($C$228,"EBITDA_TO_REVENUE","FQ2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235" t="e">
        <f ca="1">_xll.BDH($C$228,"OPER_MARGIN","FQ2 2015","FQ2 2015","Currency=INR","Period=FQ","BEST_FPERIOD_OVERRIDE=FQ","FILING_STATUS=OR","EQY_CONSOLIDATED=Y","FA_ADJUSTED=GAAP","Sort=A","Dates=H","DateFormat=P","Fill=—","Direction=H","UseDPDF=Y")</f>
        <v>#NAME?</v>
      </c>
      <c r="L235" t="e">
        <f ca="1">_xll.BDH($C$228,"INCREMENTAL_OPERATING_MARGIN","FQ2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35" t="e">
        <f ca="1">_xll.BDH($C$228,"PRETAX_INC_TO_NET_SALES","FQ2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35" t="e">
        <f ca="1">_xll.BDH($C$228,"INC_BEF_XO_ITEMS_TO_NET_SALES","FQ2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35" t="e">
        <f ca="1">_xll.BDH($C$228,"PROF_MARGIN","FQ2 2015","FQ2 2015","Currency=INR","Period=FQ","BEST_FPERIOD_OVERRIDE=FQ","FILING_STATUS=OR","EQY_CONSOLIDATED=Y","FA_ADJUSTED=GAAP","Sort=A","Dates=H","DateFormat=P","Fill=—","Direction=H","UseDPDF=Y")</f>
        <v>#NAME?</v>
      </c>
      <c r="P235" t="e">
        <f ca="1">_xll.BDH($C$228,"NET_INCOME_TO_COMMON_MARGIN","FQ2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35" t="e">
        <f ca="1">_xll.BDH($C$228,"EFF_TAX_RATE","FQ2 2015","FQ2 2015","Currency=INR","Period=FQ","BEST_FPERIOD_OVERRIDE=FQ","FILING_STATUS=OR","EQY_CONSOLIDATED=Y","FA_ADJUSTED=GAAP","Sort=A","Dates=H","DateFormat=P","Fill=—","Direction=H","UseDPDF=Y")</f>
        <v>#NAME?</v>
      </c>
      <c r="R235" t="e">
        <f ca="1">_xll.BDH($C$228,"DVD_PAYOUT_RATIO","FQ2 2015","FQ2 2015","Currency=INR","Period=FQ","BEST_FPERIOD_OVERRIDE=FQ","FILING_STATUS=OR","EQY_CONSOLIDATED=Y","FA_ADJUSTED=GAAP","Sort=A","Dates=H","DateFormat=P","Fill=—","Direction=H","UseDPDF=Y")</f>
        <v>#NAME?</v>
      </c>
      <c r="S235" t="e">
        <f ca="1">_xll.BDH($C$228,"SUSTAIN_GROWTH_RT","FQ2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235" s="1" t="e">
        <f ca="1">_xll.BDH($C$228,"SALES_GROWTH","FQ2 2015","FQ2 2015","Currency=INR","Period=FQ","BEST_FPERIOD_OVERRIDE=FQ","FILING_STATUS=OR","EQY_CONSOLIDATED=Y","FA_ADJUSTED=GAAP","Sort=A","Dates=H","DateFormat=P","Fill=—","Direction=H","UseDPDF=Y")</f>
        <v>#NAME?</v>
      </c>
      <c r="U235" s="1" t="e">
        <f ca="1">_xll.BDH($C$228,"EBITDA_GROWTH","FQ2 2015","FQ2 2015","Currency=INR","Period=FQ","BEST_FPERIOD_OVERRIDE=FQ","FILING_STATUS=OR","EQY_CONSOLIDATED=Y","FA_ADJUSTED=GAAP","Sort=A","Dates=H","DateFormat=P","Fill=—","Direction=H","UseDPDF=Y")</f>
        <v>#NAME?</v>
      </c>
      <c r="V235" s="1" t="e">
        <f ca="1">_xll.BDH($C$228,"OPER_INC_GROWTH","FQ2 2015","FQ2 2015","Currency=INR","Period=FQ","BEST_FPERIOD_OVERRIDE=FQ","FILING_STATUS=OR","EQY_CONSOLIDATED=Y","FA_ADJUSTED=GAAP","Sort=A","Dates=H","DateFormat=P","Fill=—","Direction=H","UseDPDF=Y")</f>
        <v>#NAME?</v>
      </c>
      <c r="W235" s="1" t="e">
        <f ca="1">_xll.BDH($C$228,"EARN_FOR_COM_GROWTH","FQ2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35" s="1" t="e">
        <f ca="1">_xll.BDH($C$228,"DILUTED_EPS_AFT_XO_ITEMS_GROWTH","FQ2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35" s="1" t="e">
        <f ca="1">_xll.BDH($C$228,"DIVIDEND_PER_SHARE_1_YEAR_GROWTH","FQ2 2015","FQ2 2015","Currency=INR","Period=FQ","BEST_FPERIOD_OVERRIDE=FQ","FILING_STATUS=OR","EQY_CONSOLIDATED=Y","Sort=A","Dates=H","DateFormat=P","Fill=—","Direction=H","UseDPDF=Y")</f>
        <v>#NAME?</v>
      </c>
      <c r="Z235" s="1" t="e">
        <f ca="1">_xll.BDH($C$228,"ACCOUNTS_RECEIVABLE_GROWTH","FQ2 2015","FQ2 2015","Currency=INR","Period=FQ","BEST_FPERIOD_OVERRIDE=FQ","FILING_STATUS=OR","EQY_CONSOLIDATED=Y","Sort=A","Dates=H","DateFormat=P","Fill=—","Direction=H","UseDPDF=Y")</f>
        <v>#NAME?</v>
      </c>
      <c r="AA235" s="1" t="e">
        <f ca="1">_xll.BDH($C$228,"INVENTORY_GROWTH","FQ2 2015","FQ2 2015","Currency=INR","Period=FQ","BEST_FPERIOD_OVERRIDE=FQ","FILING_STATUS=OR","EQY_CONSOLIDATED=Y","Sort=A","Dates=H","DateFormat=P","Fill=—","Direction=H","UseDPDF=Y")</f>
        <v>#NAME?</v>
      </c>
      <c r="AB235" s="1" t="e">
        <f ca="1">_xll.BDH($C$228,"NET_FIXED_ASSETS_1_YEAR_GROWTH","FQ2 2015","FQ2 2015","Currency=INR","Period=FQ","BEST_FPERIOD_OVERRIDE=FQ","FILING_STATUS=OR","EQY_CONSOLIDATED=Y","Sort=A","Dates=H","DateFormat=P","Fill=—","Direction=H","UseDPDF=Y")</f>
        <v>#NAME?</v>
      </c>
      <c r="AC235" s="1" t="e">
        <f ca="1">_xll.BDH($C$228,"ASSET_GROWTH","FQ2 2015","FQ2 2015","Currency=INR","Period=FQ","BEST_FPERIOD_OVERRIDE=FQ","FILING_STATUS=OR","EQY_CONSOLIDATED=Y","Sort=A","Dates=H","DateFormat=P","Fill=—","Direction=H","UseDPDF=Y")</f>
        <v>#NAME?</v>
      </c>
      <c r="AD235" s="1" t="e">
        <f ca="1">_xll.BDH($C$228,"MODIFIED_WORK_CAP_GROWTH","FQ2 2015","FQ2 2015","Currency=INR","Period=FQ","BEST_FPERIOD_OVERRIDE=FQ","FILING_STATUS=OR","EQY_CONSOLIDATED=Y","Sort=A","Dates=H","DateFormat=P","Fill=—","Direction=H","UseDPDF=Y")</f>
        <v>#NAME?</v>
      </c>
      <c r="AE235" s="1" t="e">
        <f ca="1">_xll.BDH($C$228,"WORK_CAP_GROWTH","FQ2 2015","FQ2 2015","Currency=INR","Period=FQ","BEST_FPERIOD_OVERRIDE=FQ","FILING_STATUS=OR","EQY_CONSOLIDATED=Y","Sort=A","Dates=H","DateFormat=P","Fill=—","Direction=H","UseDPDF=Y")</f>
        <v>#NAME?</v>
      </c>
      <c r="AF235" s="1" t="e">
        <f ca="1">_xll.BDH($C$228,"ACCOUNTS_PAYABLE_GROWTH_1YR","FQ2 2015","FQ2 2015","Currency=INR","Period=FQ","BEST_FPERIOD_OVERRIDE=FQ","FILING_STATUS=OR","EQY_CONSOLIDATED=Y","Sort=A","Dates=H","DateFormat=P","Fill=—","Direction=H","UseDPDF=Y")</f>
        <v>#NAME?</v>
      </c>
      <c r="AG235" s="1" t="e">
        <f ca="1">_xll.BDH($C$228,"SHORT_TERM_DEBT_1_YEAR_GROWTH","FQ2 2015","FQ2 2015","Currency=INR","Period=FQ","BEST_FPERIOD_OVERRIDE=FQ","FILING_STATUS=OR","EQY_CONSOLIDATED=Y","Sort=A","Dates=H","DateFormat=P","Fill=—","Direction=H","UseDPDF=Y")</f>
        <v>#NAME?</v>
      </c>
      <c r="AH235" s="1" t="e">
        <f ca="1">_xll.BDH($C$228,"TOTAL_DEBT_1_YEAR_GROWTH","FQ2 2015","FQ2 2015","Currency=INR","Period=FQ","BEST_FPERIOD_OVERRIDE=FQ","FILING_STATUS=OR","EQY_CONSOLIDATED=Y","Sort=A","Dates=H","DateFormat=P","Fill=—","Direction=H","UseDPDF=Y")</f>
        <v>#NAME?</v>
      </c>
      <c r="AI235" s="1" t="e">
        <f ca="1">_xll.BDH($C$228,"TOTAL_EQUITY_1_YEAR_GROWTH","FQ2 2015","FQ2 2015","Currency=INR","Period=FQ","BEST_FPERIOD_OVERRIDE=FQ","FILING_STATUS=OR","EQY_CONSOLIDATED=Y","Sort=A","Dates=H","DateFormat=P","Fill=—","Direction=H","UseDPDF=Y")</f>
        <v>#NAME?</v>
      </c>
      <c r="AJ235" s="1" t="e">
        <f ca="1">_xll.BDH($C$228,"GROWTH_IN_CAP","FQ2 2015","FQ2 2015","Currency=INR","Period=FQ","BEST_FPERIOD_OVERRIDE=FQ","FILING_STATUS=OR","EQY_CONSOLIDATED=Y","Sort=A","Dates=H","DateFormat=P","Fill=—","Direction=H","UseDPDF=Y")</f>
        <v>#NAME?</v>
      </c>
      <c r="AK235" s="1" t="e">
        <f ca="1">_xll.BDH($C$228,"BVPS_GROWTH","FQ2 2015","FQ2 2015","Currency=INR","Period=FQ","BEST_FPERIOD_OVERRIDE=FQ","FILING_STATUS=OR","EQY_CONSOLIDATED=Y","Sort=A","Dates=H","DateFormat=P","Fill=—","Direction=H","UseDPDF=Y")</f>
        <v>#NAME?</v>
      </c>
      <c r="AL235" s="1" t="e">
        <f ca="1">_xll.BDH($C$228,"CASH_FLOW_GROWTH","FQ2 2015","FQ2 2015","Currency=INR","Period=FQ","BEST_FPERIOD_OVERRIDE=FQ","FILING_STATUS=OR","EQY_CONSOLIDATED=Y","Sort=A","Dates=H","DateFormat=P","Fill=—","Direction=H","UseDPDF=Y")</f>
        <v>#NAME?</v>
      </c>
      <c r="AM235" s="1" t="e">
        <f ca="1">_xll.BDH($C$228,"GEO_GROW_NET_SALES","FQ2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35" s="1" t="e">
        <f ca="1">_xll.BDH($C$228,"GEO_GROW_EBITDA","FQ2 2015","FQ2 2015","Currency=INR","Period=FQ","BEST_FPERIOD_OVERRIDE=FQ","FILING_STATUS=OR","EQY_CONSOLIDATED=Y","FA_ADJUSTED=GAAP","Sort=A","Dates=H","DateFormat=P","Fill=—","Direction=H","UseDPDF=Y")</f>
        <v>#NAME?</v>
      </c>
      <c r="AO235" s="1" t="e">
        <f ca="1">_xll.BDH($C$228,"GEO_GROW_OPER_INC","FQ2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35" s="1" t="e">
        <f ca="1">_xll.BDH($C$228,"NET_INCOME_TO_COMMON_5_YR_GROWTH","FQ2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35" s="1" t="e">
        <f ca="1">_xll.BDH($C$228,"5Y_GEO_GROWTH_DILUTED_EPS","FQ2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35" s="1" t="e">
        <f ca="1">_xll.BDH($C$228,"GEO_GROW_DVD_PER_SH","FQ2 2015","FQ2 2015","Currency=INR","Period=FQ","BEST_FPERIOD_OVERRIDE=FQ","FILING_STATUS=OR","EQY_CONSOLIDATED=Y","Sort=A","Dates=H","DateFormat=P","Fill=—","Direction=H","UseDPDF=Y")</f>
        <v>#NAME?</v>
      </c>
      <c r="AS235" s="1" t="e">
        <f ca="1">_xll.BDH($C$228,"ACCOUNTS_RECEIVABLE_5_YR_GROWTH","FQ2 2015","FQ2 2015","Currency=INR","Period=FQ","BEST_FPERIOD_OVERRIDE=FQ","FILING_STATUS=OR","EQY_CONSOLIDATED=Y","Sort=A","Dates=H","DateFormat=P","Fill=—","Direction=H","UseDPDF=Y")</f>
        <v>#NAME?</v>
      </c>
      <c r="AT235" s="1" t="e">
        <f ca="1">_xll.BDH($C$228,"INVENTORY_5_YEAR_GROWTH","FQ2 2015","FQ2 2015","Currency=INR","Period=FQ","BEST_FPERIOD_OVERRIDE=FQ","FILING_STATUS=OR","EQY_CONSOLIDATED=Y","Sort=A","Dates=H","DateFormat=P","Fill=—","Direction=H","UseDPDF=Y")</f>
        <v>#NAME?</v>
      </c>
      <c r="AU235" s="1" t="e">
        <f ca="1">_xll.BDH($C$228,"NET_FIXED_ASSETS_5_YEAR_GROWTH","FQ2 2015","FQ2 2015","Currency=INR","Period=FQ","BEST_FPERIOD_OVERRIDE=FQ","FILING_STATUS=OR","EQY_CONSOLIDATED=Y","Sort=A","Dates=H","DateFormat=P","Fill=—","Direction=H","UseDPDF=Y")</f>
        <v>#NAME?</v>
      </c>
      <c r="AV235" s="1" t="e">
        <f ca="1">_xll.BDH($C$228,"GEO_GROW_TOT_ASSET","FQ2 2015","FQ2 2015","Currency=INR","Period=FQ","BEST_FPERIOD_OVERRIDE=FQ","FILING_STATUS=OR","EQY_CONSOLIDATED=Y","Sort=A","Dates=H","DateFormat=P","Fill=—","Direction=H","UseDPDF=Y")</f>
        <v>#NAME?</v>
      </c>
      <c r="AW235" s="1" t="e">
        <f ca="1">_xll.BDH($C$228,"MODIFIED_WORKING_CPTL_5YR_GRWTH","FQ2 2015","FQ2 2015","Currency=INR","Period=FQ","BEST_FPERIOD_OVERRIDE=FQ","FILING_STATUS=OR","EQY_CONSOLIDATED=Y","Sort=A","Dates=H","DateFormat=P","Fill=—","Direction=H","UseDPDF=Y")</f>
        <v>#NAME?</v>
      </c>
      <c r="AX235" s="1" t="e">
        <f ca="1">_xll.BDH($C$228,"WORKING_CAPITAL_5_YEAR_GROWTH","FQ2 2015","FQ2 2015","Currency=INR","Period=FQ","BEST_FPERIOD_OVERRIDE=FQ","FILING_STATUS=OR","EQY_CONSOLIDATED=Y","Sort=A","Dates=H","DateFormat=P","Fill=—","Direction=H","UseDPDF=Y")</f>
        <v>#NAME?</v>
      </c>
      <c r="AY235" s="1" t="e">
        <f ca="1">_xll.BDH($C$228,"ACCOUNTS_PAYABLE_5_YEAR_GROWTH","FQ2 2015","FQ2 2015","Currency=INR","Period=FQ","BEST_FPERIOD_OVERRIDE=FQ","FILING_STATUS=OR","EQY_CONSOLIDATED=Y","Sort=A","Dates=H","DateFormat=P","Fill=—","Direction=H","UseDPDF=Y")</f>
        <v>#NAME?</v>
      </c>
      <c r="AZ235" s="1" t="e">
        <f ca="1">_xll.BDH($C$228,"SHORT_TERM_DEBT_5_YEAR_GROWTH","FQ2 2015","FQ2 2015","Currency=INR","Period=FQ","BEST_FPERIOD_OVERRIDE=FQ","FILING_STATUS=OR","EQY_CONSOLIDATED=Y","Sort=A","Dates=H","DateFormat=P","Fill=—","Direction=H","UseDPDF=Y")</f>
        <v>#NAME?</v>
      </c>
      <c r="BA235" s="1" t="e">
        <f ca="1">_xll.BDH($C$228,"TOTAL_DEBT_5_YEAR_GROWTH","FQ2 2015","FQ2 2015","Currency=INR","Period=FQ","BEST_FPERIOD_OVERRIDE=FQ","FILING_STATUS=OR","EQY_CONSOLIDATED=Y","Sort=A","Dates=H","DateFormat=P","Fill=—","Direction=H","UseDPDF=Y")</f>
        <v>#NAME?</v>
      </c>
      <c r="BB235" s="1" t="e">
        <f ca="1">_xll.BDH($C$228,"GEO_GROW_TOT_SHRHLDR_EQY","FQ2 2015","FQ2 2015","Currency=INR","Period=FQ","BEST_FPERIOD_OVERRIDE=FQ","FILING_STATUS=OR","EQY_CONSOLIDATED=Y","Sort=A","Dates=H","DateFormat=P","Fill=—","Direction=H","UseDPDF=Y")</f>
        <v>#NAME?</v>
      </c>
      <c r="BC235" s="1" t="e">
        <f ca="1">_xll.BDH($C$228,"TOTAL_CAPITAL_5_YEAR_GROWTH","FQ2 2015","FQ2 2015","Currency=INR","Period=FQ","BEST_FPERIOD_OVERRIDE=FQ","FILING_STATUS=OR","EQY_CONSOLIDATED=Y","Sort=A","Dates=H","DateFormat=P","Fill=—","Direction=H","UseDPDF=Y")</f>
        <v>#NAME?</v>
      </c>
      <c r="BD235" s="1" t="e">
        <f ca="1">_xll.BDH($C$228,"GEO_GROW_BOOK_VAL","FQ2 2015","FQ2 2015","Currency=INR","Period=FQ","BEST_FPERIOD_OVERRIDE=FQ","FILING_STATUS=OR","EQY_CONSOLIDATED=Y","Sort=A","Dates=H","DateFormat=P","Fill=—","Direction=H","UseDPDF=Y")</f>
        <v>#NAME?</v>
      </c>
      <c r="BE235" s="1" t="e">
        <f ca="1">_xll.BDH($C$228,"GEO_GROW_CASH_OPER_ACT","FQ2 2015","FQ2 2015","Currency=INR","Period=FQ","BEST_FPERIOD_OVERRIDE=FQ","FILING_STATUS=OR","EQY_CONSOLIDATED=Y","Sort=A","Dates=H","DateFormat=P","Fill=—","Direction=H","UseDPDF=Y")</f>
        <v>#NAME?</v>
      </c>
      <c r="BF235" s="1" t="e">
        <f ca="1">_xll.BDH($C$228,"REVENUE_SEQUENTIAL_GROWTH","FQ2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35" s="1" t="e">
        <f ca="1">_xll.BDH($C$228,"EBITDA_SEQUENTIAL_GROWTH","FQ2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35" s="1" t="e">
        <f ca="1">_xll.BDH($C$228,"OPERATING_INCOME_SEQ_GROWTH","FQ2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35" s="1" t="e">
        <f ca="1">_xll.BDH($C$228,"NET_INCOME_TO_COMMON_SEQ_GROWTH","FQ2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35" s="1" t="e">
        <f ca="1">_xll.BDH($C$228,"EPS_DILUTED_SEQUENTIAL_GROWTH","FQ2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35" s="1" t="e">
        <f ca="1">_xll.BDH($C$228,"DPS_SEQUENTIAL_GROWTH","FQ2 2015","FQ2 2015","Currency=INR","Period=FQ","BEST_FPERIOD_OVERRIDE=FQ","FILING_STATUS=OR","EQY_CONSOLIDATED=Y","Sort=A","Dates=H","DateFormat=P","Fill=—","Direction=H","UseDPDF=Y")</f>
        <v>#NAME?</v>
      </c>
      <c r="BL235" s="1" t="e">
        <f ca="1">_xll.BDH($C$228,"ACCOUNTS_RECEIVABLE_SEQ_GROWTH","FQ2 2015","FQ2 2015","Currency=INR","Period=FQ","BEST_FPERIOD_OVERRIDE=FQ","FILING_STATUS=OR","EQY_CONSOLIDATED=Y","Sort=A","Dates=H","DateFormat=P","Fill=—","Direction=H","UseDPDF=Y")</f>
        <v>#NAME?</v>
      </c>
      <c r="BM235" s="1" t="e">
        <f ca="1">_xll.BDH($C$228,"INVENTORY_SEQUENTIAL_GROWTH","FQ2 2015","FQ2 2015","Currency=INR","Period=FQ","BEST_FPERIOD_OVERRIDE=FQ","FILING_STATUS=OR","EQY_CONSOLIDATED=Y","Sort=A","Dates=H","DateFormat=P","Fill=—","Direction=H","UseDPDF=Y")</f>
        <v>#NAME?</v>
      </c>
      <c r="BN235" s="1" t="e">
        <f ca="1">_xll.BDH($C$228,"FIXED_ASSETS_SEQUENTIAL_GROWTH","FQ2 2015","FQ2 2015","Currency=INR","Period=FQ","BEST_FPERIOD_OVERRIDE=FQ","FILING_STATUS=OR","EQY_CONSOLIDATED=Y","Sort=A","Dates=H","DateFormat=P","Fill=—","Direction=H","UseDPDF=Y")</f>
        <v>#NAME?</v>
      </c>
      <c r="BO235" s="1" t="e">
        <f ca="1">_xll.BDH($C$228,"TOTAL_ASSETS_SEQUENTIAL_GROWTH","FQ2 2015","FQ2 2015","Currency=INR","Period=FQ","BEST_FPERIOD_OVERRIDE=FQ","FILING_STATUS=OR","EQY_CONSOLIDATED=Y","Sort=A","Dates=H","DateFormat=P","Fill=—","Direction=H","UseDPDF=Y")</f>
        <v>#NAME?</v>
      </c>
      <c r="BP235" s="1" t="e">
        <f ca="1">_xll.BDH($C$228,"MODIFIED_WORKING_CPTL_SEQ_GRWTH","FQ2 2015","FQ2 2015","Currency=INR","Period=FQ","BEST_FPERIOD_OVERRIDE=FQ","FILING_STATUS=OR","EQY_CONSOLIDATED=Y","Sort=A","Dates=H","DateFormat=P","Fill=—","Direction=H","UseDPDF=Y")</f>
        <v>#NAME?</v>
      </c>
      <c r="BQ235" s="1" t="e">
        <f ca="1">_xll.BDH($C$228,"WORKING_CAPITAL_SEQ_GROWTH","FQ2 2015","FQ2 2015","Currency=INR","Period=FQ","BEST_FPERIOD_OVERRIDE=FQ","FILING_STATUS=OR","EQY_CONSOLIDATED=Y","Sort=A","Dates=H","DateFormat=P","Fill=—","Direction=H","UseDPDF=Y")</f>
        <v>#NAME?</v>
      </c>
      <c r="BR235" s="1" t="e">
        <f ca="1">_xll.BDH($C$228,"ACCOUNTS_PAYABLE_SEQ_GROWTH","FQ2 2015","FQ2 2015","Currency=INR","Period=FQ","BEST_FPERIOD_OVERRIDE=FQ","FILING_STATUS=OR","EQY_CONSOLIDATED=Y","Sort=A","Dates=H","DateFormat=P","Fill=—","Direction=H","UseDPDF=Y")</f>
        <v>#NAME?</v>
      </c>
      <c r="BS235" s="1" t="e">
        <f ca="1">_xll.BDH($C$228,"ST_DEBT_SEQUENTIAL_GROWTH","FQ2 2015","FQ2 2015","Currency=INR","Period=FQ","BEST_FPERIOD_OVERRIDE=FQ","FILING_STATUS=OR","EQY_CONSOLIDATED=Y","Sort=A","Dates=H","DateFormat=P","Fill=—","Direction=H","UseDPDF=Y")</f>
        <v>#NAME?</v>
      </c>
      <c r="BT235" s="1" t="e">
        <f ca="1">_xll.BDH($C$228,"TOTAL_DEBT_SEQUENTIAL_GROWTH","FQ2 2015","FQ2 2015","Currency=INR","Period=FQ","BEST_FPERIOD_OVERRIDE=FQ","FILING_STATUS=OR","EQY_CONSOLIDATED=Y","Sort=A","Dates=H","DateFormat=P","Fill=—","Direction=H","UseDPDF=Y")</f>
        <v>#NAME?</v>
      </c>
      <c r="BU235" s="1" t="e">
        <f ca="1">_xll.BDH($C$228,"TOTAL_EQUITY_SEQUENTIAL_GROWTH","FQ2 2015","FQ2 2015","Currency=INR","Period=FQ","BEST_FPERIOD_OVERRIDE=FQ","FILING_STATUS=OR","EQY_CONSOLIDATED=Y","Sort=A","Dates=H","DateFormat=P","Fill=—","Direction=H","UseDPDF=Y")</f>
        <v>#NAME?</v>
      </c>
      <c r="BV235" s="1" t="e">
        <f ca="1">_xll.BDH($C$228,"TOTAL_CAPITAL_SEQUENTIAL_GROWTH","FQ2 2015","FQ2 2015","Currency=INR","Period=FQ","BEST_FPERIOD_OVERRIDE=FQ","FILING_STATUS=OR","EQY_CONSOLIDATED=Y","Sort=A","Dates=H","DateFormat=P","Fill=—","Direction=H","UseDPDF=Y")</f>
        <v>#NAME?</v>
      </c>
      <c r="BW235" s="1" t="e">
        <f ca="1">_xll.BDH($C$228,"BPS_SEQUENTIAL_GROWTH","FQ2 2015","FQ2 2015","Currency=INR","Period=FQ","BEST_FPERIOD_OVERRIDE=FQ","FILING_STATUS=OR","EQY_CONSOLIDATED=Y","Sort=A","Dates=H","DateFormat=P","Fill=—","Direction=H","UseDPDF=Y")</f>
        <v>#NAME?</v>
      </c>
      <c r="BX235" s="1" t="e">
        <f ca="1">_xll.BDH($C$228,"CFO_SEQUENTIAL_GROWTH","FQ2 2015","FQ2 2015","Currency=INR","Period=FQ","BEST_FPERIOD_OVERRIDE=FQ","FILING_STATUS=OR","EQY_CONSOLIDATED=Y","Sort=A","Dates=H","DateFormat=P","Fill=—","Direction=H","UseDPDF=Y")</f>
        <v>#NAME?</v>
      </c>
      <c r="BY235" s="2" t="e">
        <f ca="1">_xll.BDH($C$228,"SHORT_AND_LONG_TERM_DEBT","FQ2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35" s="2" t="e">
        <f ca="1">_xll.BDH($C$228,"BS_ST_BORROW","FQ2 2015","FQ2 2015","Currency=INR","Period=FQ","BEST_FPERIOD_OVERRIDE=FQ","FILING_STATUS=OR","EQY_CONSOLIDATED=Y","SCALING_FORMAT=MLN","Sort=A","Dates=H","DateFormat=P","Fill=—","Direction=H","UseDPDF=Y")</f>
        <v>#NAME?</v>
      </c>
      <c r="CA235" s="2" t="e">
        <f ca="1">_xll.BDH($C$228,"BS_LT_BORROW","FQ2 2015","FQ2 2015","Currency=INR","Period=FQ","BEST_FPERIOD_OVERRIDE=FQ","FILING_STATUS=OR","EQY_CONSOLIDATED=Y","SCALING_FORMAT=MLN","Sort=A","Dates=H","DateFormat=P","Fill=—","Direction=H","UseDPDF=Y")</f>
        <v>#NAME?</v>
      </c>
      <c r="CB235" s="1" t="e">
        <f ca="1">_xll.BDH($C$228,"TOT_DEBT_TO_EBITDA","FQ2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35" s="1" t="e">
        <f ca="1">_xll.BDH($C$228,"NET_DEBT_TO_EBITDA","FQ2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35" s="1" t="e">
        <f ca="1">_xll.BDH($C$228,"TOTAL_DEBT_TO_EBIT","FQ2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35" s="1" t="e">
        <f ca="1">_xll.BDH($C$228,"NET_DEBT_TO_EBIT","FQ2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235" s="1" t="e">
        <f ca="1">_xll.BDH($C$228,"EBITDA_TO_INTEREST_EXPN","FQ2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35" s="1" t="e">
        <f ca="1">_xll.BDH($C$228,"COM_EQY_TO_TOT_ASSET","FQ2 2015","FQ2 2015","Currency=INR","Period=FQ","BEST_FPERIOD_OVERRIDE=FQ","FILING_STATUS=OR","EQY_CONSOLIDATED=Y","Sort=A","Dates=H","DateFormat=P","Fill=—","Direction=H","UseDPDF=Y")</f>
        <v>#NAME?</v>
      </c>
      <c r="CH235" s="1" t="e">
        <f ca="1">_xll.BDH($C$228,"LT_DEBT_TO_TOT_EQY","FQ2 2015","FQ2 2015","Currency=INR","Period=FQ","BEST_FPERIOD_OVERRIDE=FQ","FILING_STATUS=OR","EQY_CONSOLIDATED=Y","Sort=A","Dates=H","DateFormat=P","Fill=—","Direction=H","UseDPDF=Y")</f>
        <v>#NAME?</v>
      </c>
      <c r="CI235" s="1" t="e">
        <f ca="1">_xll.BDH($C$228,"LT_DEBT_TO_TOT_CAP","FQ2 2015","FQ2 2015","Currency=INR","Period=FQ","BEST_FPERIOD_OVERRIDE=FQ","FILING_STATUS=OR","EQY_CONSOLIDATED=Y","Sort=A","Dates=H","DateFormat=P","Fill=—","Direction=H","UseDPDF=Y")</f>
        <v>#NAME?</v>
      </c>
      <c r="CJ235" s="1" t="e">
        <f ca="1">_xll.BDH($C$228,"LT_DEBT_TO_TOT_ASSET","FQ2 2015","FQ2 2015","Currency=INR","Period=FQ","BEST_FPERIOD_OVERRIDE=FQ","FILING_STATUS=OR","EQY_CONSOLIDATED=Y","Sort=A","Dates=H","DateFormat=P","Fill=—","Direction=H","UseDPDF=Y")</f>
        <v>#NAME?</v>
      </c>
      <c r="CK235" s="1" t="e">
        <f ca="1">_xll.BDH($C$228,"TOT_DEBT_TO_TOT_EQY","FQ2 2015","FQ2 2015","Currency=INR","Period=FQ","BEST_FPERIOD_OVERRIDE=FQ","FILING_STATUS=OR","EQY_CONSOLIDATED=Y","Sort=A","Dates=H","DateFormat=P","Fill=—","Direction=H","UseDPDF=Y")</f>
        <v>#NAME?</v>
      </c>
      <c r="CL235" s="1" t="e">
        <f ca="1">_xll.BDH($C$228,"TOT_DEBT_TO_TOT_CAP","FQ2 2015","FQ2 2015","Currency=INR","Period=FQ","BEST_FPERIOD_OVERRIDE=FQ","FILING_STATUS=OR","EQY_CONSOLIDATED=Y","Sort=A","Dates=H","DateFormat=P","Fill=—","Direction=H","UseDPDF=Y")</f>
        <v>#NAME?</v>
      </c>
      <c r="CM235" s="1" t="e">
        <f ca="1">_xll.BDH($C$228,"TOT_DEBT_TO_TOT_ASSET","FQ2 2015","FQ2 2015","Currency=INR","Period=FQ","BEST_FPERIOD_OVERRIDE=FQ","FILING_STATUS=OR","EQY_CONSOLIDATED=Y","Sort=A","Dates=H","DateFormat=P","Fill=—","Direction=H","UseDPDF=Y")</f>
        <v>#NAME?</v>
      </c>
      <c r="CN235" s="1" t="e">
        <f ca="1">_xll.BDH($C$228,"NET_DEBT_TO_SHRHLDR_EQTY","FQ2 2015","FQ2 2015","Currency=INR","Period=FQ","BEST_FPERIOD_OVERRIDE=FQ","FILING_STATUS=OR","EQY_CONSOLIDATED=Y","Sort=A","Dates=H","DateFormat=P","Fill=—","Direction=H","UseDPDF=Y")</f>
        <v>#NAME?</v>
      </c>
      <c r="CO235" s="1" t="e">
        <f ca="1">_xll.BDH($C$228,"NET_DEBT_%_CAPITAL","FQ2 2015","FQ2 2015","Currency=INR","Period=FQ","BEST_FPERIOD_OVERRIDE=FQ","FILING_STATUS=OR","EQY_CONSOLIDATED=Y","Sort=A","Dates=H","DateFormat=P","Fill=—","Direction=H","UseDPDF=Y")</f>
        <v>#NAME?</v>
      </c>
      <c r="CP235" s="2" t="e">
        <f ca="1">_xll.BDH($C$228,"EBITDA","FQ2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35" s="2" t="e">
        <f ca="1">_xll.BDH($C$228,"EBITDA_AFTER_CAPEX","FQ2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35" s="2" t="e">
        <f ca="1">_xll.BDH($C$228,"IS_OPER_INC","FQ2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35" s="1" t="e">
        <f ca="1">_xll.BDH($C$228,"CASH_RATIO","FQ2 2015","FQ2 2015","Currency=INR","Period=FQ","BEST_FPERIOD_OVERRIDE=FQ","FILING_STATUS=OR","EQY_CONSOLIDATED=Y","Sort=A","Dates=H","DateFormat=P","Fill=—","Direction=H","UseDPDF=Y")</f>
        <v>#NAME?</v>
      </c>
      <c r="CT235" s="1" t="e">
        <f ca="1">_xll.BDH($C$228,"CUR_RATIO","FQ2 2015","FQ2 2015","Currency=INR","Period=FQ","BEST_FPERIOD_OVERRIDE=FQ","FILING_STATUS=OR","EQY_CONSOLIDATED=Y","Sort=A","Dates=H","DateFormat=P","Fill=—","Direction=H","UseDPDF=Y")</f>
        <v>#NAME?</v>
      </c>
      <c r="CU235" s="1" t="e">
        <f ca="1">_xll.BDH($C$228,"QUICK_RATIO","FQ2 2015","FQ2 2015","Currency=INR","Period=FQ","BEST_FPERIOD_OVERRIDE=FQ","FILING_STATUS=OR","EQY_CONSOLIDATED=Y","Sort=A","Dates=H","DateFormat=P","Fill=—","Direction=H","UseDPDF=Y")</f>
        <v>#NAME?</v>
      </c>
      <c r="CV235" s="1" t="e">
        <f ca="1">_xll.BDH($C$228,"ALTMAN_Z_SCORE","FQ2 2015","FQ2 2015","Currency=INR","Period=FQ","BEST_FPERIOD_OVERRIDE=FQ","FILING_STATUS=OR","EQY_CONSOLIDATED=Y","Sort=A","Dates=H","DateFormat=P","Fill=—","Direction=H","UseDPDF=Y")</f>
        <v>#NAME?</v>
      </c>
      <c r="CW235" s="3" t="e">
        <f ca="1">_xll.BDH($C$228,"ACCT_RCV_TURN","FQ2 2015","FQ2 2015","Currency=INR","Period=FQ","BEST_FPERIOD_OVERRIDE=FQ","FILING_STATUS=OR","EQY_CONSOLIDATED=Y","FA_ADJUSTED=GAAP","Sort=A","Dates=H","DateFormat=P","Fill=—","Direction=H","UseDPDF=Y")</f>
        <v>#NAME?</v>
      </c>
      <c r="CX235" s="1" t="e">
        <f ca="1">_xll.BDH($C$228,"ACCT_RCV_DAYS","FQ2 2015","FQ2 2015","Currency=INR","Period=FQ","BEST_FPERIOD_OVERRIDE=FQ","FILING_STATUS=OR","EQY_CONSOLIDATED=Y","FA_ADJUSTED=GAAP","Sort=A","Dates=H","DateFormat=P","Fill=—","Direction=H","UseDPDF=Y")</f>
        <v>#NAME?</v>
      </c>
      <c r="CY235" s="3" t="e">
        <f ca="1">_xll.BDH($C$228,"INVENT_TURN","FQ2 2015","FQ2 2015","Currency=INR","Period=FQ","BEST_FPERIOD_OVERRIDE=FQ","FILING_STATUS=OR","EQY_CONSOLIDATED=Y","FA_ADJUSTED=GAAP","Sort=A","Dates=H","DateFormat=P","Fill=—","Direction=H","UseDPDF=Y")</f>
        <v>#NAME?</v>
      </c>
      <c r="CZ235" s="1" t="e">
        <f ca="1">_xll.BDH($C$228,"INVENT_DAYS","FQ2 2015","FQ2 2015","Currency=INR","Period=FQ","BEST_FPERIOD_OVERRIDE=FQ","FILING_STATUS=OR","EQY_CONSOLIDATED=Y","FA_ADJUSTED=GAAP","Sort=A","Dates=H","DateFormat=P","Fill=—","Direction=H","UseDPDF=Y")</f>
        <v>#NAME?</v>
      </c>
      <c r="DA235" s="3" t="e">
        <f ca="1">_xll.BDH($C$228,"ACCOUNTS_PAYABLE_TURNOVER","FQ2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35" s="1" t="e">
        <f ca="1">_xll.BDH($C$228,"ACCOUNTS_PAYABLE_TURNOVER_DAYS","FQ2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35" s="3" t="e">
        <f ca="1">_xll.BDH($C$228,"CASH_CONVERSION_CYCLE","FQ2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35" s="3" t="e">
        <f ca="1">_xll.BDH($C$228,"INV_TO_CASH_DAYS","FQ2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235" s="4" t="e">
        <f ca="1">_xll.BDH($C$228,"BS_INVENTORIES","FQ2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235" s="2" t="e">
        <f ca="1">_xll.BDH($C$228,"INVTRY_RAW_MATERIALS","FQ2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35" s="2" t="e">
        <f ca="1">_xll.BDH($C$228,"INVTRY_IN_PROGRESS","FQ2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35" s="2" t="e">
        <f ca="1">_xll.BDH($C$228,"INVTRY_FINISHED_GOODS","FQ2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35" s="2" t="e">
        <f ca="1">_xll.BDH($C$228,"BS_OTHER_INV","FQ2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36" spans="1:113" x14ac:dyDescent="0.3">
      <c r="A236" s="6"/>
      <c r="B236" s="6"/>
      <c r="C236" s="6"/>
      <c r="D236" s="6"/>
      <c r="E236" t="s">
        <v>6</v>
      </c>
      <c r="F236" t="e">
        <f ca="1">_xll.BDH($C$228,"RETURN_COM_EQY","FQ3 2015","FQ3 2015","Currency=INR","Period=FQ","BEST_FPERIOD_OVERRIDE=FQ","FILING_STATUS=OR","EQY_CONSOLIDATED=Y","FA_ADJUSTED=GAAP","Sort=A","Dates=H","DateFormat=P","Fill=—","Direction=H","UseDPDF=Y")</f>
        <v>#NAME?</v>
      </c>
      <c r="G236" t="e">
        <f ca="1">_xll.BDH($C$228,"RETURN_ON_ASSET","FQ3 2015","FQ3 2015","Currency=INR","Period=FQ","BEST_FPERIOD_OVERRIDE=FQ","FILING_STATUS=OR","EQY_CONSOLIDATED=Y","FA_ADJUSTED=GAAP","Sort=A","Dates=H","DateFormat=P","Fill=—","Direction=H","UseDPDF=Y")</f>
        <v>#NAME?</v>
      </c>
      <c r="H236" t="e">
        <f ca="1">_xll.BDH($C$228,"RETURN_ON_CAP","FQ3 2015","FQ3 2015","Currency=INR","Period=FQ","BEST_FPERIOD_OVERRIDE=FQ","FILING_STATUS=OR","EQY_CONSOLIDATED=Y","FA_ADJUSTED=GAAP","Sort=A","Dates=H","DateFormat=P","Fill=—","Direction=H","UseDPDF=Y")</f>
        <v>#NAME?</v>
      </c>
      <c r="I236" t="e">
        <f ca="1">_xll.BDH($C$228,"RETURN_ON_INV_CAPITAL","FQ3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36" t="e">
        <f ca="1">_xll.BDH($C$228,"EBITDA_TO_REVENUE","FQ3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236" t="e">
        <f ca="1">_xll.BDH($C$228,"OPER_MARGIN","FQ3 2015","FQ3 2015","Currency=INR","Period=FQ","BEST_FPERIOD_OVERRIDE=FQ","FILING_STATUS=OR","EQY_CONSOLIDATED=Y","FA_ADJUSTED=GAAP","Sort=A","Dates=H","DateFormat=P","Fill=—","Direction=H","UseDPDF=Y")</f>
        <v>#NAME?</v>
      </c>
      <c r="L236" t="e">
        <f ca="1">_xll.BDH($C$228,"INCREMENTAL_OPERATING_MARGIN","FQ3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36" t="e">
        <f ca="1">_xll.BDH($C$228,"PRETAX_INC_TO_NET_SALES","FQ3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36" t="e">
        <f ca="1">_xll.BDH($C$228,"INC_BEF_XO_ITEMS_TO_NET_SALES","FQ3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36" t="e">
        <f ca="1">_xll.BDH($C$228,"PROF_MARGIN","FQ3 2015","FQ3 2015","Currency=INR","Period=FQ","BEST_FPERIOD_OVERRIDE=FQ","FILING_STATUS=OR","EQY_CONSOLIDATED=Y","FA_ADJUSTED=GAAP","Sort=A","Dates=H","DateFormat=P","Fill=—","Direction=H","UseDPDF=Y")</f>
        <v>#NAME?</v>
      </c>
      <c r="P236" t="e">
        <f ca="1">_xll.BDH($C$228,"NET_INCOME_TO_COMMON_MARGIN","FQ3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36" t="e">
        <f ca="1">_xll.BDH($C$228,"EFF_TAX_RATE","FQ3 2015","FQ3 2015","Currency=INR","Period=FQ","BEST_FPERIOD_OVERRIDE=FQ","FILING_STATUS=OR","EQY_CONSOLIDATED=Y","FA_ADJUSTED=GAAP","Sort=A","Dates=H","DateFormat=P","Fill=—","Direction=H","UseDPDF=Y")</f>
        <v>#NAME?</v>
      </c>
      <c r="R236" t="e">
        <f ca="1">_xll.BDH($C$228,"DVD_PAYOUT_RATIO","FQ3 2015","FQ3 2015","Currency=INR","Period=FQ","BEST_FPERIOD_OVERRIDE=FQ","FILING_STATUS=OR","EQY_CONSOLIDATED=Y","FA_ADJUSTED=GAAP","Sort=A","Dates=H","DateFormat=P","Fill=—","Direction=H","UseDPDF=Y")</f>
        <v>#NAME?</v>
      </c>
      <c r="S236" t="e">
        <f ca="1">_xll.BDH($C$228,"SUSTAIN_GROWTH_RT","FQ3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236" s="1" t="e">
        <f ca="1">_xll.BDH($C$228,"SALES_GROWTH","FQ3 2015","FQ3 2015","Currency=INR","Period=FQ","BEST_FPERIOD_OVERRIDE=FQ","FILING_STATUS=OR","EQY_CONSOLIDATED=Y","FA_ADJUSTED=GAAP","Sort=A","Dates=H","DateFormat=P","Fill=—","Direction=H","UseDPDF=Y")</f>
        <v>#NAME?</v>
      </c>
      <c r="U236" s="1" t="e">
        <f ca="1">_xll.BDH($C$228,"EBITDA_GROWTH","FQ3 2015","FQ3 2015","Currency=INR","Period=FQ","BEST_FPERIOD_OVERRIDE=FQ","FILING_STATUS=OR","EQY_CONSOLIDATED=Y","FA_ADJUSTED=GAAP","Sort=A","Dates=H","DateFormat=P","Fill=—","Direction=H","UseDPDF=Y")</f>
        <v>#NAME?</v>
      </c>
      <c r="V236" s="1" t="e">
        <f ca="1">_xll.BDH($C$228,"OPER_INC_GROWTH","FQ3 2015","FQ3 2015","Currency=INR","Period=FQ","BEST_FPERIOD_OVERRIDE=FQ","FILING_STATUS=OR","EQY_CONSOLIDATED=Y","FA_ADJUSTED=GAAP","Sort=A","Dates=H","DateFormat=P","Fill=—","Direction=H","UseDPDF=Y")</f>
        <v>#NAME?</v>
      </c>
      <c r="W236" s="1" t="e">
        <f ca="1">_xll.BDH($C$228,"EARN_FOR_COM_GROWTH","FQ3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36" s="1" t="e">
        <f ca="1">_xll.BDH($C$228,"DILUTED_EPS_AFT_XO_ITEMS_GROWTH","FQ3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36" s="1" t="e">
        <f ca="1">_xll.BDH($C$228,"DIVIDEND_PER_SHARE_1_YEAR_GROWTH","FQ3 2015","FQ3 2015","Currency=INR","Period=FQ","BEST_FPERIOD_OVERRIDE=FQ","FILING_STATUS=OR","EQY_CONSOLIDATED=Y","Sort=A","Dates=H","DateFormat=P","Fill=—","Direction=H","UseDPDF=Y")</f>
        <v>#NAME?</v>
      </c>
      <c r="Z236" s="1" t="e">
        <f ca="1">_xll.BDH($C$228,"ACCOUNTS_RECEIVABLE_GROWTH","FQ3 2015","FQ3 2015","Currency=INR","Period=FQ","BEST_FPERIOD_OVERRIDE=FQ","FILING_STATUS=OR","EQY_CONSOLIDATED=Y","Sort=A","Dates=H","DateFormat=P","Fill=—","Direction=H","UseDPDF=Y")</f>
        <v>#NAME?</v>
      </c>
      <c r="AA236" s="1" t="e">
        <f ca="1">_xll.BDH($C$228,"INVENTORY_GROWTH","FQ3 2015","FQ3 2015","Currency=INR","Period=FQ","BEST_FPERIOD_OVERRIDE=FQ","FILING_STATUS=OR","EQY_CONSOLIDATED=Y","Sort=A","Dates=H","DateFormat=P","Fill=—","Direction=H","UseDPDF=Y")</f>
        <v>#NAME?</v>
      </c>
      <c r="AB236" s="1" t="e">
        <f ca="1">_xll.BDH($C$228,"NET_FIXED_ASSETS_1_YEAR_GROWTH","FQ3 2015","FQ3 2015","Currency=INR","Period=FQ","BEST_FPERIOD_OVERRIDE=FQ","FILING_STATUS=OR","EQY_CONSOLIDATED=Y","Sort=A","Dates=H","DateFormat=P","Fill=—","Direction=H","UseDPDF=Y")</f>
        <v>#NAME?</v>
      </c>
      <c r="AC236" s="1" t="e">
        <f ca="1">_xll.BDH($C$228,"ASSET_GROWTH","FQ3 2015","FQ3 2015","Currency=INR","Period=FQ","BEST_FPERIOD_OVERRIDE=FQ","FILING_STATUS=OR","EQY_CONSOLIDATED=Y","Sort=A","Dates=H","DateFormat=P","Fill=—","Direction=H","UseDPDF=Y")</f>
        <v>#NAME?</v>
      </c>
      <c r="AD236" s="1" t="e">
        <f ca="1">_xll.BDH($C$228,"MODIFIED_WORK_CAP_GROWTH","FQ3 2015","FQ3 2015","Currency=INR","Period=FQ","BEST_FPERIOD_OVERRIDE=FQ","FILING_STATUS=OR","EQY_CONSOLIDATED=Y","Sort=A","Dates=H","DateFormat=P","Fill=—","Direction=H","UseDPDF=Y")</f>
        <v>#NAME?</v>
      </c>
      <c r="AE236" s="1" t="e">
        <f ca="1">_xll.BDH($C$228,"WORK_CAP_GROWTH","FQ3 2015","FQ3 2015","Currency=INR","Period=FQ","BEST_FPERIOD_OVERRIDE=FQ","FILING_STATUS=OR","EQY_CONSOLIDATED=Y","Sort=A","Dates=H","DateFormat=P","Fill=—","Direction=H","UseDPDF=Y")</f>
        <v>#NAME?</v>
      </c>
      <c r="AF236" s="1" t="e">
        <f ca="1">_xll.BDH($C$228,"ACCOUNTS_PAYABLE_GROWTH_1YR","FQ3 2015","FQ3 2015","Currency=INR","Period=FQ","BEST_FPERIOD_OVERRIDE=FQ","FILING_STATUS=OR","EQY_CONSOLIDATED=Y","Sort=A","Dates=H","DateFormat=P","Fill=—","Direction=H","UseDPDF=Y")</f>
        <v>#NAME?</v>
      </c>
      <c r="AG236" s="1" t="e">
        <f ca="1">_xll.BDH($C$228,"SHORT_TERM_DEBT_1_YEAR_GROWTH","FQ3 2015","FQ3 2015","Currency=INR","Period=FQ","BEST_FPERIOD_OVERRIDE=FQ","FILING_STATUS=OR","EQY_CONSOLIDATED=Y","Sort=A","Dates=H","DateFormat=P","Fill=—","Direction=H","UseDPDF=Y")</f>
        <v>#NAME?</v>
      </c>
      <c r="AH236" s="1" t="e">
        <f ca="1">_xll.BDH($C$228,"TOTAL_DEBT_1_YEAR_GROWTH","FQ3 2015","FQ3 2015","Currency=INR","Period=FQ","BEST_FPERIOD_OVERRIDE=FQ","FILING_STATUS=OR","EQY_CONSOLIDATED=Y","Sort=A","Dates=H","DateFormat=P","Fill=—","Direction=H","UseDPDF=Y")</f>
        <v>#NAME?</v>
      </c>
      <c r="AI236" s="1" t="e">
        <f ca="1">_xll.BDH($C$228,"TOTAL_EQUITY_1_YEAR_GROWTH","FQ3 2015","FQ3 2015","Currency=INR","Period=FQ","BEST_FPERIOD_OVERRIDE=FQ","FILING_STATUS=OR","EQY_CONSOLIDATED=Y","Sort=A","Dates=H","DateFormat=P","Fill=—","Direction=H","UseDPDF=Y")</f>
        <v>#NAME?</v>
      </c>
      <c r="AJ236" s="1" t="e">
        <f ca="1">_xll.BDH($C$228,"GROWTH_IN_CAP","FQ3 2015","FQ3 2015","Currency=INR","Period=FQ","BEST_FPERIOD_OVERRIDE=FQ","FILING_STATUS=OR","EQY_CONSOLIDATED=Y","Sort=A","Dates=H","DateFormat=P","Fill=—","Direction=H","UseDPDF=Y")</f>
        <v>#NAME?</v>
      </c>
      <c r="AK236" s="1" t="e">
        <f ca="1">_xll.BDH($C$228,"BVPS_GROWTH","FQ3 2015","FQ3 2015","Currency=INR","Period=FQ","BEST_FPERIOD_OVERRIDE=FQ","FILING_STATUS=OR","EQY_CONSOLIDATED=Y","Sort=A","Dates=H","DateFormat=P","Fill=—","Direction=H","UseDPDF=Y")</f>
        <v>#NAME?</v>
      </c>
      <c r="AL236" s="1" t="e">
        <f ca="1">_xll.BDH($C$228,"CASH_FLOW_GROWTH","FQ3 2015","FQ3 2015","Currency=INR","Period=FQ","BEST_FPERIOD_OVERRIDE=FQ","FILING_STATUS=OR","EQY_CONSOLIDATED=Y","Sort=A","Dates=H","DateFormat=P","Fill=—","Direction=H","UseDPDF=Y")</f>
        <v>#NAME?</v>
      </c>
      <c r="AM236" s="1" t="e">
        <f ca="1">_xll.BDH($C$228,"GEO_GROW_NET_SALES","FQ3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36" s="1" t="e">
        <f ca="1">_xll.BDH($C$228,"GEO_GROW_EBITDA","FQ3 2015","FQ3 2015","Currency=INR","Period=FQ","BEST_FPERIOD_OVERRIDE=FQ","FILING_STATUS=OR","EQY_CONSOLIDATED=Y","FA_ADJUSTED=GAAP","Sort=A","Dates=H","DateFormat=P","Fill=—","Direction=H","UseDPDF=Y")</f>
        <v>#NAME?</v>
      </c>
      <c r="AO236" s="1" t="e">
        <f ca="1">_xll.BDH($C$228,"GEO_GROW_OPER_INC","FQ3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36" s="1" t="e">
        <f ca="1">_xll.BDH($C$228,"NET_INCOME_TO_COMMON_5_YR_GROWTH","FQ3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36" s="1" t="e">
        <f ca="1">_xll.BDH($C$228,"5Y_GEO_GROWTH_DILUTED_EPS","FQ3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36" s="1" t="e">
        <f ca="1">_xll.BDH($C$228,"GEO_GROW_DVD_PER_SH","FQ3 2015","FQ3 2015","Currency=INR","Period=FQ","BEST_FPERIOD_OVERRIDE=FQ","FILING_STATUS=OR","EQY_CONSOLIDATED=Y","Sort=A","Dates=H","DateFormat=P","Fill=—","Direction=H","UseDPDF=Y")</f>
        <v>#NAME?</v>
      </c>
      <c r="AS236" s="1" t="e">
        <f ca="1">_xll.BDH($C$228,"ACCOUNTS_RECEIVABLE_5_YR_GROWTH","FQ3 2015","FQ3 2015","Currency=INR","Period=FQ","BEST_FPERIOD_OVERRIDE=FQ","FILING_STATUS=OR","EQY_CONSOLIDATED=Y","Sort=A","Dates=H","DateFormat=P","Fill=—","Direction=H","UseDPDF=Y")</f>
        <v>#NAME?</v>
      </c>
      <c r="AT236" s="1" t="e">
        <f ca="1">_xll.BDH($C$228,"INVENTORY_5_YEAR_GROWTH","FQ3 2015","FQ3 2015","Currency=INR","Period=FQ","BEST_FPERIOD_OVERRIDE=FQ","FILING_STATUS=OR","EQY_CONSOLIDATED=Y","Sort=A","Dates=H","DateFormat=P","Fill=—","Direction=H","UseDPDF=Y")</f>
        <v>#NAME?</v>
      </c>
      <c r="AU236" s="1" t="e">
        <f ca="1">_xll.BDH($C$228,"NET_FIXED_ASSETS_5_YEAR_GROWTH","FQ3 2015","FQ3 2015","Currency=INR","Period=FQ","BEST_FPERIOD_OVERRIDE=FQ","FILING_STATUS=OR","EQY_CONSOLIDATED=Y","Sort=A","Dates=H","DateFormat=P","Fill=—","Direction=H","UseDPDF=Y")</f>
        <v>#NAME?</v>
      </c>
      <c r="AV236" s="1" t="e">
        <f ca="1">_xll.BDH($C$228,"GEO_GROW_TOT_ASSET","FQ3 2015","FQ3 2015","Currency=INR","Period=FQ","BEST_FPERIOD_OVERRIDE=FQ","FILING_STATUS=OR","EQY_CONSOLIDATED=Y","Sort=A","Dates=H","DateFormat=P","Fill=—","Direction=H","UseDPDF=Y")</f>
        <v>#NAME?</v>
      </c>
      <c r="AW236" s="1" t="e">
        <f ca="1">_xll.BDH($C$228,"MODIFIED_WORKING_CPTL_5YR_GRWTH","FQ3 2015","FQ3 2015","Currency=INR","Period=FQ","BEST_FPERIOD_OVERRIDE=FQ","FILING_STATUS=OR","EQY_CONSOLIDATED=Y","Sort=A","Dates=H","DateFormat=P","Fill=—","Direction=H","UseDPDF=Y")</f>
        <v>#NAME?</v>
      </c>
      <c r="AX236" s="1" t="e">
        <f ca="1">_xll.BDH($C$228,"WORKING_CAPITAL_5_YEAR_GROWTH","FQ3 2015","FQ3 2015","Currency=INR","Period=FQ","BEST_FPERIOD_OVERRIDE=FQ","FILING_STATUS=OR","EQY_CONSOLIDATED=Y","Sort=A","Dates=H","DateFormat=P","Fill=—","Direction=H","UseDPDF=Y")</f>
        <v>#NAME?</v>
      </c>
      <c r="AY236" s="1" t="e">
        <f ca="1">_xll.BDH($C$228,"ACCOUNTS_PAYABLE_5_YEAR_GROWTH","FQ3 2015","FQ3 2015","Currency=INR","Period=FQ","BEST_FPERIOD_OVERRIDE=FQ","FILING_STATUS=OR","EQY_CONSOLIDATED=Y","Sort=A","Dates=H","DateFormat=P","Fill=—","Direction=H","UseDPDF=Y")</f>
        <v>#NAME?</v>
      </c>
      <c r="AZ236" s="1" t="e">
        <f ca="1">_xll.BDH($C$228,"SHORT_TERM_DEBT_5_YEAR_GROWTH","FQ3 2015","FQ3 2015","Currency=INR","Period=FQ","BEST_FPERIOD_OVERRIDE=FQ","FILING_STATUS=OR","EQY_CONSOLIDATED=Y","Sort=A","Dates=H","DateFormat=P","Fill=—","Direction=H","UseDPDF=Y")</f>
        <v>#NAME?</v>
      </c>
      <c r="BA236" s="1" t="e">
        <f ca="1">_xll.BDH($C$228,"TOTAL_DEBT_5_YEAR_GROWTH","FQ3 2015","FQ3 2015","Currency=INR","Period=FQ","BEST_FPERIOD_OVERRIDE=FQ","FILING_STATUS=OR","EQY_CONSOLIDATED=Y","Sort=A","Dates=H","DateFormat=P","Fill=—","Direction=H","UseDPDF=Y")</f>
        <v>#NAME?</v>
      </c>
      <c r="BB236" s="1" t="e">
        <f ca="1">_xll.BDH($C$228,"GEO_GROW_TOT_SHRHLDR_EQY","FQ3 2015","FQ3 2015","Currency=INR","Period=FQ","BEST_FPERIOD_OVERRIDE=FQ","FILING_STATUS=OR","EQY_CONSOLIDATED=Y","Sort=A","Dates=H","DateFormat=P","Fill=—","Direction=H","UseDPDF=Y")</f>
        <v>#NAME?</v>
      </c>
      <c r="BC236" s="1" t="e">
        <f ca="1">_xll.BDH($C$228,"TOTAL_CAPITAL_5_YEAR_GROWTH","FQ3 2015","FQ3 2015","Currency=INR","Period=FQ","BEST_FPERIOD_OVERRIDE=FQ","FILING_STATUS=OR","EQY_CONSOLIDATED=Y","Sort=A","Dates=H","DateFormat=P","Fill=—","Direction=H","UseDPDF=Y")</f>
        <v>#NAME?</v>
      </c>
      <c r="BD236" s="1" t="e">
        <f ca="1">_xll.BDH($C$228,"GEO_GROW_BOOK_VAL","FQ3 2015","FQ3 2015","Currency=INR","Period=FQ","BEST_FPERIOD_OVERRIDE=FQ","FILING_STATUS=OR","EQY_CONSOLIDATED=Y","Sort=A","Dates=H","DateFormat=P","Fill=—","Direction=H","UseDPDF=Y")</f>
        <v>#NAME?</v>
      </c>
      <c r="BE236" s="1" t="e">
        <f ca="1">_xll.BDH($C$228,"GEO_GROW_CASH_OPER_ACT","FQ3 2015","FQ3 2015","Currency=INR","Period=FQ","BEST_FPERIOD_OVERRIDE=FQ","FILING_STATUS=OR","EQY_CONSOLIDATED=Y","Sort=A","Dates=H","DateFormat=P","Fill=—","Direction=H","UseDPDF=Y")</f>
        <v>#NAME?</v>
      </c>
      <c r="BF236" s="1" t="e">
        <f ca="1">_xll.BDH($C$228,"REVENUE_SEQUENTIAL_GROWTH","FQ3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36" s="1" t="e">
        <f ca="1">_xll.BDH($C$228,"EBITDA_SEQUENTIAL_GROWTH","FQ3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36" s="1" t="e">
        <f ca="1">_xll.BDH($C$228,"OPERATING_INCOME_SEQ_GROWTH","FQ3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36" s="1" t="e">
        <f ca="1">_xll.BDH($C$228,"NET_INCOME_TO_COMMON_SEQ_GROWTH","FQ3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36" s="1" t="e">
        <f ca="1">_xll.BDH($C$228,"EPS_DILUTED_SEQUENTIAL_GROWTH","FQ3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36" s="1" t="e">
        <f ca="1">_xll.BDH($C$228,"DPS_SEQUENTIAL_GROWTH","FQ3 2015","FQ3 2015","Currency=INR","Period=FQ","BEST_FPERIOD_OVERRIDE=FQ","FILING_STATUS=OR","EQY_CONSOLIDATED=Y","Sort=A","Dates=H","DateFormat=P","Fill=—","Direction=H","UseDPDF=Y")</f>
        <v>#NAME?</v>
      </c>
      <c r="BL236" s="1" t="e">
        <f ca="1">_xll.BDH($C$228,"ACCOUNTS_RECEIVABLE_SEQ_GROWTH","FQ3 2015","FQ3 2015","Currency=INR","Period=FQ","BEST_FPERIOD_OVERRIDE=FQ","FILING_STATUS=OR","EQY_CONSOLIDATED=Y","Sort=A","Dates=H","DateFormat=P","Fill=—","Direction=H","UseDPDF=Y")</f>
        <v>#NAME?</v>
      </c>
      <c r="BM236" s="1" t="e">
        <f ca="1">_xll.BDH($C$228,"INVENTORY_SEQUENTIAL_GROWTH","FQ3 2015","FQ3 2015","Currency=INR","Period=FQ","BEST_FPERIOD_OVERRIDE=FQ","FILING_STATUS=OR","EQY_CONSOLIDATED=Y","Sort=A","Dates=H","DateFormat=P","Fill=—","Direction=H","UseDPDF=Y")</f>
        <v>#NAME?</v>
      </c>
      <c r="BN236" s="1" t="e">
        <f ca="1">_xll.BDH($C$228,"FIXED_ASSETS_SEQUENTIAL_GROWTH","FQ3 2015","FQ3 2015","Currency=INR","Period=FQ","BEST_FPERIOD_OVERRIDE=FQ","FILING_STATUS=OR","EQY_CONSOLIDATED=Y","Sort=A","Dates=H","DateFormat=P","Fill=—","Direction=H","UseDPDF=Y")</f>
        <v>#NAME?</v>
      </c>
      <c r="BO236" s="1" t="e">
        <f ca="1">_xll.BDH($C$228,"TOTAL_ASSETS_SEQUENTIAL_GROWTH","FQ3 2015","FQ3 2015","Currency=INR","Period=FQ","BEST_FPERIOD_OVERRIDE=FQ","FILING_STATUS=OR","EQY_CONSOLIDATED=Y","Sort=A","Dates=H","DateFormat=P","Fill=—","Direction=H","UseDPDF=Y")</f>
        <v>#NAME?</v>
      </c>
      <c r="BP236" s="1" t="e">
        <f ca="1">_xll.BDH($C$228,"MODIFIED_WORKING_CPTL_SEQ_GRWTH","FQ3 2015","FQ3 2015","Currency=INR","Period=FQ","BEST_FPERIOD_OVERRIDE=FQ","FILING_STATUS=OR","EQY_CONSOLIDATED=Y","Sort=A","Dates=H","DateFormat=P","Fill=—","Direction=H","UseDPDF=Y")</f>
        <v>#NAME?</v>
      </c>
      <c r="BQ236" s="1" t="e">
        <f ca="1">_xll.BDH($C$228,"WORKING_CAPITAL_SEQ_GROWTH","FQ3 2015","FQ3 2015","Currency=INR","Period=FQ","BEST_FPERIOD_OVERRIDE=FQ","FILING_STATUS=OR","EQY_CONSOLIDATED=Y","Sort=A","Dates=H","DateFormat=P","Fill=—","Direction=H","UseDPDF=Y")</f>
        <v>#NAME?</v>
      </c>
      <c r="BR236" s="1" t="e">
        <f ca="1">_xll.BDH($C$228,"ACCOUNTS_PAYABLE_SEQ_GROWTH","FQ3 2015","FQ3 2015","Currency=INR","Period=FQ","BEST_FPERIOD_OVERRIDE=FQ","FILING_STATUS=OR","EQY_CONSOLIDATED=Y","Sort=A","Dates=H","DateFormat=P","Fill=—","Direction=H","UseDPDF=Y")</f>
        <v>#NAME?</v>
      </c>
      <c r="BS236" s="1" t="e">
        <f ca="1">_xll.BDH($C$228,"ST_DEBT_SEQUENTIAL_GROWTH","FQ3 2015","FQ3 2015","Currency=INR","Period=FQ","BEST_FPERIOD_OVERRIDE=FQ","FILING_STATUS=OR","EQY_CONSOLIDATED=Y","Sort=A","Dates=H","DateFormat=P","Fill=—","Direction=H","UseDPDF=Y")</f>
        <v>#NAME?</v>
      </c>
      <c r="BT236" s="1" t="e">
        <f ca="1">_xll.BDH($C$228,"TOTAL_DEBT_SEQUENTIAL_GROWTH","FQ3 2015","FQ3 2015","Currency=INR","Period=FQ","BEST_FPERIOD_OVERRIDE=FQ","FILING_STATUS=OR","EQY_CONSOLIDATED=Y","Sort=A","Dates=H","DateFormat=P","Fill=—","Direction=H","UseDPDF=Y")</f>
        <v>#NAME?</v>
      </c>
      <c r="BU236" s="1" t="e">
        <f ca="1">_xll.BDH($C$228,"TOTAL_EQUITY_SEQUENTIAL_GROWTH","FQ3 2015","FQ3 2015","Currency=INR","Period=FQ","BEST_FPERIOD_OVERRIDE=FQ","FILING_STATUS=OR","EQY_CONSOLIDATED=Y","Sort=A","Dates=H","DateFormat=P","Fill=—","Direction=H","UseDPDF=Y")</f>
        <v>#NAME?</v>
      </c>
      <c r="BV236" s="1" t="e">
        <f ca="1">_xll.BDH($C$228,"TOTAL_CAPITAL_SEQUENTIAL_GROWTH","FQ3 2015","FQ3 2015","Currency=INR","Period=FQ","BEST_FPERIOD_OVERRIDE=FQ","FILING_STATUS=OR","EQY_CONSOLIDATED=Y","Sort=A","Dates=H","DateFormat=P","Fill=—","Direction=H","UseDPDF=Y")</f>
        <v>#NAME?</v>
      </c>
      <c r="BW236" s="1" t="e">
        <f ca="1">_xll.BDH($C$228,"BPS_SEQUENTIAL_GROWTH","FQ3 2015","FQ3 2015","Currency=INR","Period=FQ","BEST_FPERIOD_OVERRIDE=FQ","FILING_STATUS=OR","EQY_CONSOLIDATED=Y","Sort=A","Dates=H","DateFormat=P","Fill=—","Direction=H","UseDPDF=Y")</f>
        <v>#NAME?</v>
      </c>
      <c r="BX236" s="1" t="e">
        <f ca="1">_xll.BDH($C$228,"CFO_SEQUENTIAL_GROWTH","FQ3 2015","FQ3 2015","Currency=INR","Period=FQ","BEST_FPERIOD_OVERRIDE=FQ","FILING_STATUS=OR","EQY_CONSOLIDATED=Y","Sort=A","Dates=H","DateFormat=P","Fill=—","Direction=H","UseDPDF=Y")</f>
        <v>#NAME?</v>
      </c>
      <c r="BY236" s="2" t="e">
        <f ca="1">_xll.BDH($C$228,"SHORT_AND_LONG_TERM_DEBT","FQ3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36" s="2" t="e">
        <f ca="1">_xll.BDH($C$228,"BS_ST_BORROW","FQ3 2015","FQ3 2015","Currency=INR","Period=FQ","BEST_FPERIOD_OVERRIDE=FQ","FILING_STATUS=OR","EQY_CONSOLIDATED=Y","SCALING_FORMAT=MLN","Sort=A","Dates=H","DateFormat=P","Fill=—","Direction=H","UseDPDF=Y")</f>
        <v>#NAME?</v>
      </c>
      <c r="CA236" s="2" t="e">
        <f ca="1">_xll.BDH($C$228,"BS_LT_BORROW","FQ3 2015","FQ3 2015","Currency=INR","Period=FQ","BEST_FPERIOD_OVERRIDE=FQ","FILING_STATUS=OR","EQY_CONSOLIDATED=Y","SCALING_FORMAT=MLN","Sort=A","Dates=H","DateFormat=P","Fill=—","Direction=H","UseDPDF=Y")</f>
        <v>#NAME?</v>
      </c>
      <c r="CB236" s="1" t="e">
        <f ca="1">_xll.BDH($C$228,"TOT_DEBT_TO_EBITDA","FQ3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36" s="1" t="e">
        <f ca="1">_xll.BDH($C$228,"NET_DEBT_TO_EBITDA","FQ3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36" s="1" t="e">
        <f ca="1">_xll.BDH($C$228,"TOTAL_DEBT_TO_EBIT","FQ3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36" s="1" t="e">
        <f ca="1">_xll.BDH($C$228,"NET_DEBT_TO_EBIT","FQ3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236" s="1" t="e">
        <f ca="1">_xll.BDH($C$228,"EBITDA_TO_INTEREST_EXPN","FQ3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36" s="1" t="e">
        <f ca="1">_xll.BDH($C$228,"COM_EQY_TO_TOT_ASSET","FQ3 2015","FQ3 2015","Currency=INR","Period=FQ","BEST_FPERIOD_OVERRIDE=FQ","FILING_STATUS=OR","EQY_CONSOLIDATED=Y","Sort=A","Dates=H","DateFormat=P","Fill=—","Direction=H","UseDPDF=Y")</f>
        <v>#NAME?</v>
      </c>
      <c r="CH236" s="1" t="e">
        <f ca="1">_xll.BDH($C$228,"LT_DEBT_TO_TOT_EQY","FQ3 2015","FQ3 2015","Currency=INR","Period=FQ","BEST_FPERIOD_OVERRIDE=FQ","FILING_STATUS=OR","EQY_CONSOLIDATED=Y","Sort=A","Dates=H","DateFormat=P","Fill=—","Direction=H","UseDPDF=Y")</f>
        <v>#NAME?</v>
      </c>
      <c r="CI236" s="1" t="e">
        <f ca="1">_xll.BDH($C$228,"LT_DEBT_TO_TOT_CAP","FQ3 2015","FQ3 2015","Currency=INR","Period=FQ","BEST_FPERIOD_OVERRIDE=FQ","FILING_STATUS=OR","EQY_CONSOLIDATED=Y","Sort=A","Dates=H","DateFormat=P","Fill=—","Direction=H","UseDPDF=Y")</f>
        <v>#NAME?</v>
      </c>
      <c r="CJ236" s="1" t="e">
        <f ca="1">_xll.BDH($C$228,"LT_DEBT_TO_TOT_ASSET","FQ3 2015","FQ3 2015","Currency=INR","Period=FQ","BEST_FPERIOD_OVERRIDE=FQ","FILING_STATUS=OR","EQY_CONSOLIDATED=Y","Sort=A","Dates=H","DateFormat=P","Fill=—","Direction=H","UseDPDF=Y")</f>
        <v>#NAME?</v>
      </c>
      <c r="CK236" s="1" t="e">
        <f ca="1">_xll.BDH($C$228,"TOT_DEBT_TO_TOT_EQY","FQ3 2015","FQ3 2015","Currency=INR","Period=FQ","BEST_FPERIOD_OVERRIDE=FQ","FILING_STATUS=OR","EQY_CONSOLIDATED=Y","Sort=A","Dates=H","DateFormat=P","Fill=—","Direction=H","UseDPDF=Y")</f>
        <v>#NAME?</v>
      </c>
      <c r="CL236" s="1" t="e">
        <f ca="1">_xll.BDH($C$228,"TOT_DEBT_TO_TOT_CAP","FQ3 2015","FQ3 2015","Currency=INR","Period=FQ","BEST_FPERIOD_OVERRIDE=FQ","FILING_STATUS=OR","EQY_CONSOLIDATED=Y","Sort=A","Dates=H","DateFormat=P","Fill=—","Direction=H","UseDPDF=Y")</f>
        <v>#NAME?</v>
      </c>
      <c r="CM236" s="1" t="e">
        <f ca="1">_xll.BDH($C$228,"TOT_DEBT_TO_TOT_ASSET","FQ3 2015","FQ3 2015","Currency=INR","Period=FQ","BEST_FPERIOD_OVERRIDE=FQ","FILING_STATUS=OR","EQY_CONSOLIDATED=Y","Sort=A","Dates=H","DateFormat=P","Fill=—","Direction=H","UseDPDF=Y")</f>
        <v>#NAME?</v>
      </c>
      <c r="CN236" s="1" t="e">
        <f ca="1">_xll.BDH($C$228,"NET_DEBT_TO_SHRHLDR_EQTY","FQ3 2015","FQ3 2015","Currency=INR","Period=FQ","BEST_FPERIOD_OVERRIDE=FQ","FILING_STATUS=OR","EQY_CONSOLIDATED=Y","Sort=A","Dates=H","DateFormat=P","Fill=—","Direction=H","UseDPDF=Y")</f>
        <v>#NAME?</v>
      </c>
      <c r="CO236" s="1" t="e">
        <f ca="1">_xll.BDH($C$228,"NET_DEBT_%_CAPITAL","FQ3 2015","FQ3 2015","Currency=INR","Period=FQ","BEST_FPERIOD_OVERRIDE=FQ","FILING_STATUS=OR","EQY_CONSOLIDATED=Y","Sort=A","Dates=H","DateFormat=P","Fill=—","Direction=H","UseDPDF=Y")</f>
        <v>#NAME?</v>
      </c>
      <c r="CP236" s="2" t="e">
        <f ca="1">_xll.BDH($C$228,"EBITDA","FQ3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36" s="2" t="e">
        <f ca="1">_xll.BDH($C$228,"EBITDA_AFTER_CAPEX","FQ3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36" s="2" t="e">
        <f ca="1">_xll.BDH($C$228,"IS_OPER_INC","FQ3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36" s="1" t="e">
        <f ca="1">_xll.BDH($C$228,"CASH_RATIO","FQ3 2015","FQ3 2015","Currency=INR","Period=FQ","BEST_FPERIOD_OVERRIDE=FQ","FILING_STATUS=OR","EQY_CONSOLIDATED=Y","Sort=A","Dates=H","DateFormat=P","Fill=—","Direction=H","UseDPDF=Y")</f>
        <v>#NAME?</v>
      </c>
      <c r="CT236" s="1" t="e">
        <f ca="1">_xll.BDH($C$228,"CUR_RATIO","FQ3 2015","FQ3 2015","Currency=INR","Period=FQ","BEST_FPERIOD_OVERRIDE=FQ","FILING_STATUS=OR","EQY_CONSOLIDATED=Y","Sort=A","Dates=H","DateFormat=P","Fill=—","Direction=H","UseDPDF=Y")</f>
        <v>#NAME?</v>
      </c>
      <c r="CU236" s="1" t="e">
        <f ca="1">_xll.BDH($C$228,"QUICK_RATIO","FQ3 2015","FQ3 2015","Currency=INR","Period=FQ","BEST_FPERIOD_OVERRIDE=FQ","FILING_STATUS=OR","EQY_CONSOLIDATED=Y","Sort=A","Dates=H","DateFormat=P","Fill=—","Direction=H","UseDPDF=Y")</f>
        <v>#NAME?</v>
      </c>
      <c r="CV236" s="1" t="e">
        <f ca="1">_xll.BDH($C$228,"ALTMAN_Z_SCORE","FQ3 2015","FQ3 2015","Currency=INR","Period=FQ","BEST_FPERIOD_OVERRIDE=FQ","FILING_STATUS=OR","EQY_CONSOLIDATED=Y","Sort=A","Dates=H","DateFormat=P","Fill=—","Direction=H","UseDPDF=Y")</f>
        <v>#NAME?</v>
      </c>
      <c r="CW236" s="3" t="e">
        <f ca="1">_xll.BDH($C$228,"ACCT_RCV_TURN","FQ3 2015","FQ3 2015","Currency=INR","Period=FQ","BEST_FPERIOD_OVERRIDE=FQ","FILING_STATUS=OR","EQY_CONSOLIDATED=Y","FA_ADJUSTED=GAAP","Sort=A","Dates=H","DateFormat=P","Fill=—","Direction=H","UseDPDF=Y")</f>
        <v>#NAME?</v>
      </c>
      <c r="CX236" s="1" t="e">
        <f ca="1">_xll.BDH($C$228,"ACCT_RCV_DAYS","FQ3 2015","FQ3 2015","Currency=INR","Period=FQ","BEST_FPERIOD_OVERRIDE=FQ","FILING_STATUS=OR","EQY_CONSOLIDATED=Y","FA_ADJUSTED=GAAP","Sort=A","Dates=H","DateFormat=P","Fill=—","Direction=H","UseDPDF=Y")</f>
        <v>#NAME?</v>
      </c>
      <c r="CY236" s="3" t="e">
        <f ca="1">_xll.BDH($C$228,"INVENT_TURN","FQ3 2015","FQ3 2015","Currency=INR","Period=FQ","BEST_FPERIOD_OVERRIDE=FQ","FILING_STATUS=OR","EQY_CONSOLIDATED=Y","FA_ADJUSTED=GAAP","Sort=A","Dates=H","DateFormat=P","Fill=—","Direction=H","UseDPDF=Y")</f>
        <v>#NAME?</v>
      </c>
      <c r="CZ236" s="1" t="e">
        <f ca="1">_xll.BDH($C$228,"INVENT_DAYS","FQ3 2015","FQ3 2015","Currency=INR","Period=FQ","BEST_FPERIOD_OVERRIDE=FQ","FILING_STATUS=OR","EQY_CONSOLIDATED=Y","FA_ADJUSTED=GAAP","Sort=A","Dates=H","DateFormat=P","Fill=—","Direction=H","UseDPDF=Y")</f>
        <v>#NAME?</v>
      </c>
      <c r="DA236" s="3" t="e">
        <f ca="1">_xll.BDH($C$228,"ACCOUNTS_PAYABLE_TURNOVER","FQ3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36" s="1" t="e">
        <f ca="1">_xll.BDH($C$228,"ACCOUNTS_PAYABLE_TURNOVER_DAYS","FQ3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36" s="3" t="e">
        <f ca="1">_xll.BDH($C$228,"CASH_CONVERSION_CYCLE","FQ3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36" s="3" t="e">
        <f ca="1">_xll.BDH($C$228,"INV_TO_CASH_DAYS","FQ3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236" s="4" t="e">
        <f ca="1">_xll.BDH($C$228,"BS_INVENTORIES","FQ3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236" s="2" t="e">
        <f ca="1">_xll.BDH($C$228,"INVTRY_RAW_MATERIALS","FQ3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36" s="2" t="e">
        <f ca="1">_xll.BDH($C$228,"INVTRY_IN_PROGRESS","FQ3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36" s="2" t="e">
        <f ca="1">_xll.BDH($C$228,"INVTRY_FINISHED_GOODS","FQ3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36" s="2" t="e">
        <f ca="1">_xll.BDH($C$228,"BS_OTHER_INV","FQ3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37" spans="1:113" x14ac:dyDescent="0.3">
      <c r="A237" s="6"/>
      <c r="B237" s="6"/>
      <c r="C237" s="6"/>
      <c r="D237" s="6"/>
      <c r="E237" t="s">
        <v>7</v>
      </c>
      <c r="F237" t="e">
        <f ca="1">_xll.BDH($C$228,"RETURN_COM_EQY","FQ4 2015","FQ4 2015","Currency=INR","Period=FQ","BEST_FPERIOD_OVERRIDE=FQ","FILING_STATUS=OR","EQY_CONSOLIDATED=Y","FA_ADJUSTED=GAAP","Sort=A","Dates=H","DateFormat=P","Fill=—","Direction=H","UseDPDF=Y")</f>
        <v>#NAME?</v>
      </c>
      <c r="G237" t="e">
        <f ca="1">_xll.BDH($C$228,"RETURN_ON_ASSET","FQ4 2015","FQ4 2015","Currency=INR","Period=FQ","BEST_FPERIOD_OVERRIDE=FQ","FILING_STATUS=OR","EQY_CONSOLIDATED=Y","FA_ADJUSTED=GAAP","Sort=A","Dates=H","DateFormat=P","Fill=—","Direction=H","UseDPDF=Y")</f>
        <v>#NAME?</v>
      </c>
      <c r="H237" t="e">
        <f ca="1">_xll.BDH($C$228,"RETURN_ON_CAP","FQ4 2015","FQ4 2015","Currency=INR","Period=FQ","BEST_FPERIOD_OVERRIDE=FQ","FILING_STATUS=OR","EQY_CONSOLIDATED=Y","FA_ADJUSTED=GAAP","Sort=A","Dates=H","DateFormat=P","Fill=—","Direction=H","UseDPDF=Y")</f>
        <v>#NAME?</v>
      </c>
      <c r="I237" t="e">
        <f ca="1">_xll.BDH($C$228,"RETURN_ON_INV_CAPITAL","FQ4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37" t="e">
        <f ca="1">_xll.BDH($C$228,"EBITDA_TO_REVENUE","FQ4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237" t="e">
        <f ca="1">_xll.BDH($C$228,"OPER_MARGIN","FQ4 2015","FQ4 2015","Currency=INR","Period=FQ","BEST_FPERIOD_OVERRIDE=FQ","FILING_STATUS=OR","EQY_CONSOLIDATED=Y","FA_ADJUSTED=GAAP","Sort=A","Dates=H","DateFormat=P","Fill=—","Direction=H","UseDPDF=Y")</f>
        <v>#NAME?</v>
      </c>
      <c r="L237" t="e">
        <f ca="1">_xll.BDH($C$228,"INCREMENTAL_OPERATING_MARGIN","FQ4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37" t="e">
        <f ca="1">_xll.BDH($C$228,"PRETAX_INC_TO_NET_SALES","FQ4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37" t="e">
        <f ca="1">_xll.BDH($C$228,"INC_BEF_XO_ITEMS_TO_NET_SALES","FQ4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37" t="e">
        <f ca="1">_xll.BDH($C$228,"PROF_MARGIN","FQ4 2015","FQ4 2015","Currency=INR","Period=FQ","BEST_FPERIOD_OVERRIDE=FQ","FILING_STATUS=OR","EQY_CONSOLIDATED=Y","FA_ADJUSTED=GAAP","Sort=A","Dates=H","DateFormat=P","Fill=—","Direction=H","UseDPDF=Y")</f>
        <v>#NAME?</v>
      </c>
      <c r="P237" t="e">
        <f ca="1">_xll.BDH($C$228,"NET_INCOME_TO_COMMON_MARGIN","FQ4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37" t="e">
        <f ca="1">_xll.BDH($C$228,"EFF_TAX_RATE","FQ4 2015","FQ4 2015","Currency=INR","Period=FQ","BEST_FPERIOD_OVERRIDE=FQ","FILING_STATUS=OR","EQY_CONSOLIDATED=Y","FA_ADJUSTED=GAAP","Sort=A","Dates=H","DateFormat=P","Fill=—","Direction=H","UseDPDF=Y")</f>
        <v>#NAME?</v>
      </c>
      <c r="R237" t="e">
        <f ca="1">_xll.BDH($C$228,"DVD_PAYOUT_RATIO","FQ4 2015","FQ4 2015","Currency=INR","Period=FQ","BEST_FPERIOD_OVERRIDE=FQ","FILING_STATUS=OR","EQY_CONSOLIDATED=Y","FA_ADJUSTED=GAAP","Sort=A","Dates=H","DateFormat=P","Fill=—","Direction=H","UseDPDF=Y")</f>
        <v>#NAME?</v>
      </c>
      <c r="S237" t="e">
        <f ca="1">_xll.BDH($C$228,"SUSTAIN_GROWTH_RT","FQ4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237" s="1" t="e">
        <f ca="1">_xll.BDH($C$228,"SALES_GROWTH","FQ4 2015","FQ4 2015","Currency=INR","Period=FQ","BEST_FPERIOD_OVERRIDE=FQ","FILING_STATUS=OR","EQY_CONSOLIDATED=Y","FA_ADJUSTED=GAAP","Sort=A","Dates=H","DateFormat=P","Fill=—","Direction=H","UseDPDF=Y")</f>
        <v>#NAME?</v>
      </c>
      <c r="U237" s="1" t="e">
        <f ca="1">_xll.BDH($C$228,"EBITDA_GROWTH","FQ4 2015","FQ4 2015","Currency=INR","Period=FQ","BEST_FPERIOD_OVERRIDE=FQ","FILING_STATUS=OR","EQY_CONSOLIDATED=Y","FA_ADJUSTED=GAAP","Sort=A","Dates=H","DateFormat=P","Fill=—","Direction=H","UseDPDF=Y")</f>
        <v>#NAME?</v>
      </c>
      <c r="V237" s="1" t="e">
        <f ca="1">_xll.BDH($C$228,"OPER_INC_GROWTH","FQ4 2015","FQ4 2015","Currency=INR","Period=FQ","BEST_FPERIOD_OVERRIDE=FQ","FILING_STATUS=OR","EQY_CONSOLIDATED=Y","FA_ADJUSTED=GAAP","Sort=A","Dates=H","DateFormat=P","Fill=—","Direction=H","UseDPDF=Y")</f>
        <v>#NAME?</v>
      </c>
      <c r="W237" s="1" t="e">
        <f ca="1">_xll.BDH($C$228,"EARN_FOR_COM_GROWTH","FQ4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37" s="1" t="e">
        <f ca="1">_xll.BDH($C$228,"DILUTED_EPS_AFT_XO_ITEMS_GROWTH","FQ4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37" s="1" t="e">
        <f ca="1">_xll.BDH($C$228,"DIVIDEND_PER_SHARE_1_YEAR_GROWTH","FQ4 2015","FQ4 2015","Currency=INR","Period=FQ","BEST_FPERIOD_OVERRIDE=FQ","FILING_STATUS=OR","EQY_CONSOLIDATED=Y","Sort=A","Dates=H","DateFormat=P","Fill=—","Direction=H","UseDPDF=Y")</f>
        <v>#NAME?</v>
      </c>
      <c r="Z237" s="1" t="e">
        <f ca="1">_xll.BDH($C$228,"ACCOUNTS_RECEIVABLE_GROWTH","FQ4 2015","FQ4 2015","Currency=INR","Period=FQ","BEST_FPERIOD_OVERRIDE=FQ","FILING_STATUS=OR","EQY_CONSOLIDATED=Y","Sort=A","Dates=H","DateFormat=P","Fill=—","Direction=H","UseDPDF=Y")</f>
        <v>#NAME?</v>
      </c>
      <c r="AA237" s="1" t="e">
        <f ca="1">_xll.BDH($C$228,"INVENTORY_GROWTH","FQ4 2015","FQ4 2015","Currency=INR","Period=FQ","BEST_FPERIOD_OVERRIDE=FQ","FILING_STATUS=OR","EQY_CONSOLIDATED=Y","Sort=A","Dates=H","DateFormat=P","Fill=—","Direction=H","UseDPDF=Y")</f>
        <v>#NAME?</v>
      </c>
      <c r="AB237" s="1" t="e">
        <f ca="1">_xll.BDH($C$228,"NET_FIXED_ASSETS_1_YEAR_GROWTH","FQ4 2015","FQ4 2015","Currency=INR","Period=FQ","BEST_FPERIOD_OVERRIDE=FQ","FILING_STATUS=OR","EQY_CONSOLIDATED=Y","Sort=A","Dates=H","DateFormat=P","Fill=—","Direction=H","UseDPDF=Y")</f>
        <v>#NAME?</v>
      </c>
      <c r="AC237" s="1" t="e">
        <f ca="1">_xll.BDH($C$228,"ASSET_GROWTH","FQ4 2015","FQ4 2015","Currency=INR","Period=FQ","BEST_FPERIOD_OVERRIDE=FQ","FILING_STATUS=OR","EQY_CONSOLIDATED=Y","Sort=A","Dates=H","DateFormat=P","Fill=—","Direction=H","UseDPDF=Y")</f>
        <v>#NAME?</v>
      </c>
      <c r="AD237" s="1" t="e">
        <f ca="1">_xll.BDH($C$228,"MODIFIED_WORK_CAP_GROWTH","FQ4 2015","FQ4 2015","Currency=INR","Period=FQ","BEST_FPERIOD_OVERRIDE=FQ","FILING_STATUS=OR","EQY_CONSOLIDATED=Y","Sort=A","Dates=H","DateFormat=P","Fill=—","Direction=H","UseDPDF=Y")</f>
        <v>#NAME?</v>
      </c>
      <c r="AE237" s="1" t="e">
        <f ca="1">_xll.BDH($C$228,"WORK_CAP_GROWTH","FQ4 2015","FQ4 2015","Currency=INR","Period=FQ","BEST_FPERIOD_OVERRIDE=FQ","FILING_STATUS=OR","EQY_CONSOLIDATED=Y","Sort=A","Dates=H","DateFormat=P","Fill=—","Direction=H","UseDPDF=Y")</f>
        <v>#NAME?</v>
      </c>
      <c r="AF237" s="1" t="e">
        <f ca="1">_xll.BDH($C$228,"ACCOUNTS_PAYABLE_GROWTH_1YR","FQ4 2015","FQ4 2015","Currency=INR","Period=FQ","BEST_FPERIOD_OVERRIDE=FQ","FILING_STATUS=OR","EQY_CONSOLIDATED=Y","Sort=A","Dates=H","DateFormat=P","Fill=—","Direction=H","UseDPDF=Y")</f>
        <v>#NAME?</v>
      </c>
      <c r="AG237" s="1" t="e">
        <f ca="1">_xll.BDH($C$228,"SHORT_TERM_DEBT_1_YEAR_GROWTH","FQ4 2015","FQ4 2015","Currency=INR","Period=FQ","BEST_FPERIOD_OVERRIDE=FQ","FILING_STATUS=OR","EQY_CONSOLIDATED=Y","Sort=A","Dates=H","DateFormat=P","Fill=—","Direction=H","UseDPDF=Y")</f>
        <v>#NAME?</v>
      </c>
      <c r="AH237" s="1" t="e">
        <f ca="1">_xll.BDH($C$228,"TOTAL_DEBT_1_YEAR_GROWTH","FQ4 2015","FQ4 2015","Currency=INR","Period=FQ","BEST_FPERIOD_OVERRIDE=FQ","FILING_STATUS=OR","EQY_CONSOLIDATED=Y","Sort=A","Dates=H","DateFormat=P","Fill=—","Direction=H","UseDPDF=Y")</f>
        <v>#NAME?</v>
      </c>
      <c r="AI237" s="1" t="e">
        <f ca="1">_xll.BDH($C$228,"TOTAL_EQUITY_1_YEAR_GROWTH","FQ4 2015","FQ4 2015","Currency=INR","Period=FQ","BEST_FPERIOD_OVERRIDE=FQ","FILING_STATUS=OR","EQY_CONSOLIDATED=Y","Sort=A","Dates=H","DateFormat=P","Fill=—","Direction=H","UseDPDF=Y")</f>
        <v>#NAME?</v>
      </c>
      <c r="AJ237" s="1" t="e">
        <f ca="1">_xll.BDH($C$228,"GROWTH_IN_CAP","FQ4 2015","FQ4 2015","Currency=INR","Period=FQ","BEST_FPERIOD_OVERRIDE=FQ","FILING_STATUS=OR","EQY_CONSOLIDATED=Y","Sort=A","Dates=H","DateFormat=P","Fill=—","Direction=H","UseDPDF=Y")</f>
        <v>#NAME?</v>
      </c>
      <c r="AK237" s="1" t="e">
        <f ca="1">_xll.BDH($C$228,"BVPS_GROWTH","FQ4 2015","FQ4 2015","Currency=INR","Period=FQ","BEST_FPERIOD_OVERRIDE=FQ","FILING_STATUS=OR","EQY_CONSOLIDATED=Y","Sort=A","Dates=H","DateFormat=P","Fill=—","Direction=H","UseDPDF=Y")</f>
        <v>#NAME?</v>
      </c>
      <c r="AL237" s="1" t="e">
        <f ca="1">_xll.BDH($C$228,"CASH_FLOW_GROWTH","FQ4 2015","FQ4 2015","Currency=INR","Period=FQ","BEST_FPERIOD_OVERRIDE=FQ","FILING_STATUS=OR","EQY_CONSOLIDATED=Y","Sort=A","Dates=H","DateFormat=P","Fill=—","Direction=H","UseDPDF=Y")</f>
        <v>#NAME?</v>
      </c>
      <c r="AM237" s="1" t="e">
        <f ca="1">_xll.BDH($C$228,"GEO_GROW_NET_SALES","FQ4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37" s="1" t="e">
        <f ca="1">_xll.BDH($C$228,"GEO_GROW_EBITDA","FQ4 2015","FQ4 2015","Currency=INR","Period=FQ","BEST_FPERIOD_OVERRIDE=FQ","FILING_STATUS=OR","EQY_CONSOLIDATED=Y","FA_ADJUSTED=GAAP","Sort=A","Dates=H","DateFormat=P","Fill=—","Direction=H","UseDPDF=Y")</f>
        <v>#NAME?</v>
      </c>
      <c r="AO237" s="1" t="e">
        <f ca="1">_xll.BDH($C$228,"GEO_GROW_OPER_INC","FQ4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37" s="1" t="e">
        <f ca="1">_xll.BDH($C$228,"NET_INCOME_TO_COMMON_5_YR_GROWTH","FQ4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37" s="1" t="e">
        <f ca="1">_xll.BDH($C$228,"5Y_GEO_GROWTH_DILUTED_EPS","FQ4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37" s="1" t="e">
        <f ca="1">_xll.BDH($C$228,"GEO_GROW_DVD_PER_SH","FQ4 2015","FQ4 2015","Currency=INR","Period=FQ","BEST_FPERIOD_OVERRIDE=FQ","FILING_STATUS=OR","EQY_CONSOLIDATED=Y","Sort=A","Dates=H","DateFormat=P","Fill=—","Direction=H","UseDPDF=Y")</f>
        <v>#NAME?</v>
      </c>
      <c r="AS237" s="1" t="e">
        <f ca="1">_xll.BDH($C$228,"ACCOUNTS_RECEIVABLE_5_YR_GROWTH","FQ4 2015","FQ4 2015","Currency=INR","Period=FQ","BEST_FPERIOD_OVERRIDE=FQ","FILING_STATUS=OR","EQY_CONSOLIDATED=Y","Sort=A","Dates=H","DateFormat=P","Fill=—","Direction=H","UseDPDF=Y")</f>
        <v>#NAME?</v>
      </c>
      <c r="AT237" s="1" t="e">
        <f ca="1">_xll.BDH($C$228,"INVENTORY_5_YEAR_GROWTH","FQ4 2015","FQ4 2015","Currency=INR","Period=FQ","BEST_FPERIOD_OVERRIDE=FQ","FILING_STATUS=OR","EQY_CONSOLIDATED=Y","Sort=A","Dates=H","DateFormat=P","Fill=—","Direction=H","UseDPDF=Y")</f>
        <v>#NAME?</v>
      </c>
      <c r="AU237" s="1" t="e">
        <f ca="1">_xll.BDH($C$228,"NET_FIXED_ASSETS_5_YEAR_GROWTH","FQ4 2015","FQ4 2015","Currency=INR","Period=FQ","BEST_FPERIOD_OVERRIDE=FQ","FILING_STATUS=OR","EQY_CONSOLIDATED=Y","Sort=A","Dates=H","DateFormat=P","Fill=—","Direction=H","UseDPDF=Y")</f>
        <v>#NAME?</v>
      </c>
      <c r="AV237" s="1" t="e">
        <f ca="1">_xll.BDH($C$228,"GEO_GROW_TOT_ASSET","FQ4 2015","FQ4 2015","Currency=INR","Period=FQ","BEST_FPERIOD_OVERRIDE=FQ","FILING_STATUS=OR","EQY_CONSOLIDATED=Y","Sort=A","Dates=H","DateFormat=P","Fill=—","Direction=H","UseDPDF=Y")</f>
        <v>#NAME?</v>
      </c>
      <c r="AW237" s="1" t="e">
        <f ca="1">_xll.BDH($C$228,"MODIFIED_WORKING_CPTL_5YR_GRWTH","FQ4 2015","FQ4 2015","Currency=INR","Period=FQ","BEST_FPERIOD_OVERRIDE=FQ","FILING_STATUS=OR","EQY_CONSOLIDATED=Y","Sort=A","Dates=H","DateFormat=P","Fill=—","Direction=H","UseDPDF=Y")</f>
        <v>#NAME?</v>
      </c>
      <c r="AX237" s="1" t="e">
        <f ca="1">_xll.BDH($C$228,"WORKING_CAPITAL_5_YEAR_GROWTH","FQ4 2015","FQ4 2015","Currency=INR","Period=FQ","BEST_FPERIOD_OVERRIDE=FQ","FILING_STATUS=OR","EQY_CONSOLIDATED=Y","Sort=A","Dates=H","DateFormat=P","Fill=—","Direction=H","UseDPDF=Y")</f>
        <v>#NAME?</v>
      </c>
      <c r="AY237" s="1" t="e">
        <f ca="1">_xll.BDH($C$228,"ACCOUNTS_PAYABLE_5_YEAR_GROWTH","FQ4 2015","FQ4 2015","Currency=INR","Period=FQ","BEST_FPERIOD_OVERRIDE=FQ","FILING_STATUS=OR","EQY_CONSOLIDATED=Y","Sort=A","Dates=H","DateFormat=P","Fill=—","Direction=H","UseDPDF=Y")</f>
        <v>#NAME?</v>
      </c>
      <c r="AZ237" s="1" t="e">
        <f ca="1">_xll.BDH($C$228,"SHORT_TERM_DEBT_5_YEAR_GROWTH","FQ4 2015","FQ4 2015","Currency=INR","Period=FQ","BEST_FPERIOD_OVERRIDE=FQ","FILING_STATUS=OR","EQY_CONSOLIDATED=Y","Sort=A","Dates=H","DateFormat=P","Fill=—","Direction=H","UseDPDF=Y")</f>
        <v>#NAME?</v>
      </c>
      <c r="BA237" s="1" t="e">
        <f ca="1">_xll.BDH($C$228,"TOTAL_DEBT_5_YEAR_GROWTH","FQ4 2015","FQ4 2015","Currency=INR","Period=FQ","BEST_FPERIOD_OVERRIDE=FQ","FILING_STATUS=OR","EQY_CONSOLIDATED=Y","Sort=A","Dates=H","DateFormat=P","Fill=—","Direction=H","UseDPDF=Y")</f>
        <v>#NAME?</v>
      </c>
      <c r="BB237" s="1" t="e">
        <f ca="1">_xll.BDH($C$228,"GEO_GROW_TOT_SHRHLDR_EQY","FQ4 2015","FQ4 2015","Currency=INR","Period=FQ","BEST_FPERIOD_OVERRIDE=FQ","FILING_STATUS=OR","EQY_CONSOLIDATED=Y","Sort=A","Dates=H","DateFormat=P","Fill=—","Direction=H","UseDPDF=Y")</f>
        <v>#NAME?</v>
      </c>
      <c r="BC237" s="1" t="e">
        <f ca="1">_xll.BDH($C$228,"TOTAL_CAPITAL_5_YEAR_GROWTH","FQ4 2015","FQ4 2015","Currency=INR","Period=FQ","BEST_FPERIOD_OVERRIDE=FQ","FILING_STATUS=OR","EQY_CONSOLIDATED=Y","Sort=A","Dates=H","DateFormat=P","Fill=—","Direction=H","UseDPDF=Y")</f>
        <v>#NAME?</v>
      </c>
      <c r="BD237" s="1" t="e">
        <f ca="1">_xll.BDH($C$228,"GEO_GROW_BOOK_VAL","FQ4 2015","FQ4 2015","Currency=INR","Period=FQ","BEST_FPERIOD_OVERRIDE=FQ","FILING_STATUS=OR","EQY_CONSOLIDATED=Y","Sort=A","Dates=H","DateFormat=P","Fill=—","Direction=H","UseDPDF=Y")</f>
        <v>#NAME?</v>
      </c>
      <c r="BE237" s="1" t="e">
        <f ca="1">_xll.BDH($C$228,"GEO_GROW_CASH_OPER_ACT","FQ4 2015","FQ4 2015","Currency=INR","Period=FQ","BEST_FPERIOD_OVERRIDE=FQ","FILING_STATUS=OR","EQY_CONSOLIDATED=Y","Sort=A","Dates=H","DateFormat=P","Fill=—","Direction=H","UseDPDF=Y")</f>
        <v>#NAME?</v>
      </c>
      <c r="BF237" s="1" t="e">
        <f ca="1">_xll.BDH($C$228,"REVENUE_SEQUENTIAL_GROWTH","FQ4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37" s="1" t="e">
        <f ca="1">_xll.BDH($C$228,"EBITDA_SEQUENTIAL_GROWTH","FQ4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37" s="1" t="e">
        <f ca="1">_xll.BDH($C$228,"OPERATING_INCOME_SEQ_GROWTH","FQ4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37" s="1" t="e">
        <f ca="1">_xll.BDH($C$228,"NET_INCOME_TO_COMMON_SEQ_GROWTH","FQ4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37" s="1" t="e">
        <f ca="1">_xll.BDH($C$228,"EPS_DILUTED_SEQUENTIAL_GROWTH","FQ4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37" s="1" t="e">
        <f ca="1">_xll.BDH($C$228,"DPS_SEQUENTIAL_GROWTH","FQ4 2015","FQ4 2015","Currency=INR","Period=FQ","BEST_FPERIOD_OVERRIDE=FQ","FILING_STATUS=OR","EQY_CONSOLIDATED=Y","Sort=A","Dates=H","DateFormat=P","Fill=—","Direction=H","UseDPDF=Y")</f>
        <v>#NAME?</v>
      </c>
      <c r="BL237" s="1" t="e">
        <f ca="1">_xll.BDH($C$228,"ACCOUNTS_RECEIVABLE_SEQ_GROWTH","FQ4 2015","FQ4 2015","Currency=INR","Period=FQ","BEST_FPERIOD_OVERRIDE=FQ","FILING_STATUS=OR","EQY_CONSOLIDATED=Y","Sort=A","Dates=H","DateFormat=P","Fill=—","Direction=H","UseDPDF=Y")</f>
        <v>#NAME?</v>
      </c>
      <c r="BM237" s="1" t="e">
        <f ca="1">_xll.BDH($C$228,"INVENTORY_SEQUENTIAL_GROWTH","FQ4 2015","FQ4 2015","Currency=INR","Period=FQ","BEST_FPERIOD_OVERRIDE=FQ","FILING_STATUS=OR","EQY_CONSOLIDATED=Y","Sort=A","Dates=H","DateFormat=P","Fill=—","Direction=H","UseDPDF=Y")</f>
        <v>#NAME?</v>
      </c>
      <c r="BN237" s="1" t="e">
        <f ca="1">_xll.BDH($C$228,"FIXED_ASSETS_SEQUENTIAL_GROWTH","FQ4 2015","FQ4 2015","Currency=INR","Period=FQ","BEST_FPERIOD_OVERRIDE=FQ","FILING_STATUS=OR","EQY_CONSOLIDATED=Y","Sort=A","Dates=H","DateFormat=P","Fill=—","Direction=H","UseDPDF=Y")</f>
        <v>#NAME?</v>
      </c>
      <c r="BO237" s="1" t="e">
        <f ca="1">_xll.BDH($C$228,"TOTAL_ASSETS_SEQUENTIAL_GROWTH","FQ4 2015","FQ4 2015","Currency=INR","Period=FQ","BEST_FPERIOD_OVERRIDE=FQ","FILING_STATUS=OR","EQY_CONSOLIDATED=Y","Sort=A","Dates=H","DateFormat=P","Fill=—","Direction=H","UseDPDF=Y")</f>
        <v>#NAME?</v>
      </c>
      <c r="BP237" s="1" t="e">
        <f ca="1">_xll.BDH($C$228,"MODIFIED_WORKING_CPTL_SEQ_GRWTH","FQ4 2015","FQ4 2015","Currency=INR","Period=FQ","BEST_FPERIOD_OVERRIDE=FQ","FILING_STATUS=OR","EQY_CONSOLIDATED=Y","Sort=A","Dates=H","DateFormat=P","Fill=—","Direction=H","UseDPDF=Y")</f>
        <v>#NAME?</v>
      </c>
      <c r="BQ237" s="1" t="e">
        <f ca="1">_xll.BDH($C$228,"WORKING_CAPITAL_SEQ_GROWTH","FQ4 2015","FQ4 2015","Currency=INR","Period=FQ","BEST_FPERIOD_OVERRIDE=FQ","FILING_STATUS=OR","EQY_CONSOLIDATED=Y","Sort=A","Dates=H","DateFormat=P","Fill=—","Direction=H","UseDPDF=Y")</f>
        <v>#NAME?</v>
      </c>
      <c r="BR237" s="1" t="e">
        <f ca="1">_xll.BDH($C$228,"ACCOUNTS_PAYABLE_SEQ_GROWTH","FQ4 2015","FQ4 2015","Currency=INR","Period=FQ","BEST_FPERIOD_OVERRIDE=FQ","FILING_STATUS=OR","EQY_CONSOLIDATED=Y","Sort=A","Dates=H","DateFormat=P","Fill=—","Direction=H","UseDPDF=Y")</f>
        <v>#NAME?</v>
      </c>
      <c r="BS237" s="1" t="e">
        <f ca="1">_xll.BDH($C$228,"ST_DEBT_SEQUENTIAL_GROWTH","FQ4 2015","FQ4 2015","Currency=INR","Period=FQ","BEST_FPERIOD_OVERRIDE=FQ","FILING_STATUS=OR","EQY_CONSOLIDATED=Y","Sort=A","Dates=H","DateFormat=P","Fill=—","Direction=H","UseDPDF=Y")</f>
        <v>#NAME?</v>
      </c>
      <c r="BT237" s="1" t="e">
        <f ca="1">_xll.BDH($C$228,"TOTAL_DEBT_SEQUENTIAL_GROWTH","FQ4 2015","FQ4 2015","Currency=INR","Period=FQ","BEST_FPERIOD_OVERRIDE=FQ","FILING_STATUS=OR","EQY_CONSOLIDATED=Y","Sort=A","Dates=H","DateFormat=P","Fill=—","Direction=H","UseDPDF=Y")</f>
        <v>#NAME?</v>
      </c>
      <c r="BU237" s="1" t="e">
        <f ca="1">_xll.BDH($C$228,"TOTAL_EQUITY_SEQUENTIAL_GROWTH","FQ4 2015","FQ4 2015","Currency=INR","Period=FQ","BEST_FPERIOD_OVERRIDE=FQ","FILING_STATUS=OR","EQY_CONSOLIDATED=Y","Sort=A","Dates=H","DateFormat=P","Fill=—","Direction=H","UseDPDF=Y")</f>
        <v>#NAME?</v>
      </c>
      <c r="BV237" s="1" t="e">
        <f ca="1">_xll.BDH($C$228,"TOTAL_CAPITAL_SEQUENTIAL_GROWTH","FQ4 2015","FQ4 2015","Currency=INR","Period=FQ","BEST_FPERIOD_OVERRIDE=FQ","FILING_STATUS=OR","EQY_CONSOLIDATED=Y","Sort=A","Dates=H","DateFormat=P","Fill=—","Direction=H","UseDPDF=Y")</f>
        <v>#NAME?</v>
      </c>
      <c r="BW237" s="1" t="e">
        <f ca="1">_xll.BDH($C$228,"BPS_SEQUENTIAL_GROWTH","FQ4 2015","FQ4 2015","Currency=INR","Period=FQ","BEST_FPERIOD_OVERRIDE=FQ","FILING_STATUS=OR","EQY_CONSOLIDATED=Y","Sort=A","Dates=H","DateFormat=P","Fill=—","Direction=H","UseDPDF=Y")</f>
        <v>#NAME?</v>
      </c>
      <c r="BX237" s="1" t="e">
        <f ca="1">_xll.BDH($C$228,"CFO_SEQUENTIAL_GROWTH","FQ4 2015","FQ4 2015","Currency=INR","Period=FQ","BEST_FPERIOD_OVERRIDE=FQ","FILING_STATUS=OR","EQY_CONSOLIDATED=Y","Sort=A","Dates=H","DateFormat=P","Fill=—","Direction=H","UseDPDF=Y")</f>
        <v>#NAME?</v>
      </c>
      <c r="BY237" s="2" t="e">
        <f ca="1">_xll.BDH($C$228,"SHORT_AND_LONG_TERM_DEBT","FQ4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37" s="2" t="e">
        <f ca="1">_xll.BDH($C$228,"BS_ST_BORROW","FQ4 2015","FQ4 2015","Currency=INR","Period=FQ","BEST_FPERIOD_OVERRIDE=FQ","FILING_STATUS=OR","EQY_CONSOLIDATED=Y","SCALING_FORMAT=MLN","Sort=A","Dates=H","DateFormat=P","Fill=—","Direction=H","UseDPDF=Y")</f>
        <v>#NAME?</v>
      </c>
      <c r="CA237" s="2" t="e">
        <f ca="1">_xll.BDH($C$228,"BS_LT_BORROW","FQ4 2015","FQ4 2015","Currency=INR","Period=FQ","BEST_FPERIOD_OVERRIDE=FQ","FILING_STATUS=OR","EQY_CONSOLIDATED=Y","SCALING_FORMAT=MLN","Sort=A","Dates=H","DateFormat=P","Fill=—","Direction=H","UseDPDF=Y")</f>
        <v>#NAME?</v>
      </c>
      <c r="CB237" s="1" t="e">
        <f ca="1">_xll.BDH($C$228,"TOT_DEBT_TO_EBITDA","FQ4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37" s="1" t="e">
        <f ca="1">_xll.BDH($C$228,"NET_DEBT_TO_EBITDA","FQ4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37" s="1" t="e">
        <f ca="1">_xll.BDH($C$228,"TOTAL_DEBT_TO_EBIT","FQ4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37" s="1" t="e">
        <f ca="1">_xll.BDH($C$228,"NET_DEBT_TO_EBIT","FQ4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237" s="1" t="e">
        <f ca="1">_xll.BDH($C$228,"EBITDA_TO_INTEREST_EXPN","FQ4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37" s="1" t="e">
        <f ca="1">_xll.BDH($C$228,"COM_EQY_TO_TOT_ASSET","FQ4 2015","FQ4 2015","Currency=INR","Period=FQ","BEST_FPERIOD_OVERRIDE=FQ","FILING_STATUS=OR","EQY_CONSOLIDATED=Y","Sort=A","Dates=H","DateFormat=P","Fill=—","Direction=H","UseDPDF=Y")</f>
        <v>#NAME?</v>
      </c>
      <c r="CH237" s="1" t="e">
        <f ca="1">_xll.BDH($C$228,"LT_DEBT_TO_TOT_EQY","FQ4 2015","FQ4 2015","Currency=INR","Period=FQ","BEST_FPERIOD_OVERRIDE=FQ","FILING_STATUS=OR","EQY_CONSOLIDATED=Y","Sort=A","Dates=H","DateFormat=P","Fill=—","Direction=H","UseDPDF=Y")</f>
        <v>#NAME?</v>
      </c>
      <c r="CI237" s="1" t="e">
        <f ca="1">_xll.BDH($C$228,"LT_DEBT_TO_TOT_CAP","FQ4 2015","FQ4 2015","Currency=INR","Period=FQ","BEST_FPERIOD_OVERRIDE=FQ","FILING_STATUS=OR","EQY_CONSOLIDATED=Y","Sort=A","Dates=H","DateFormat=P","Fill=—","Direction=H","UseDPDF=Y")</f>
        <v>#NAME?</v>
      </c>
      <c r="CJ237" s="1" t="e">
        <f ca="1">_xll.BDH($C$228,"LT_DEBT_TO_TOT_ASSET","FQ4 2015","FQ4 2015","Currency=INR","Period=FQ","BEST_FPERIOD_OVERRIDE=FQ","FILING_STATUS=OR","EQY_CONSOLIDATED=Y","Sort=A","Dates=H","DateFormat=P","Fill=—","Direction=H","UseDPDF=Y")</f>
        <v>#NAME?</v>
      </c>
      <c r="CK237" s="1" t="e">
        <f ca="1">_xll.BDH($C$228,"TOT_DEBT_TO_TOT_EQY","FQ4 2015","FQ4 2015","Currency=INR","Period=FQ","BEST_FPERIOD_OVERRIDE=FQ","FILING_STATUS=OR","EQY_CONSOLIDATED=Y","Sort=A","Dates=H","DateFormat=P","Fill=—","Direction=H","UseDPDF=Y")</f>
        <v>#NAME?</v>
      </c>
      <c r="CL237" s="1" t="e">
        <f ca="1">_xll.BDH($C$228,"TOT_DEBT_TO_TOT_CAP","FQ4 2015","FQ4 2015","Currency=INR","Period=FQ","BEST_FPERIOD_OVERRIDE=FQ","FILING_STATUS=OR","EQY_CONSOLIDATED=Y","Sort=A","Dates=H","DateFormat=P","Fill=—","Direction=H","UseDPDF=Y")</f>
        <v>#NAME?</v>
      </c>
      <c r="CM237" s="1" t="e">
        <f ca="1">_xll.BDH($C$228,"TOT_DEBT_TO_TOT_ASSET","FQ4 2015","FQ4 2015","Currency=INR","Period=FQ","BEST_FPERIOD_OVERRIDE=FQ","FILING_STATUS=OR","EQY_CONSOLIDATED=Y","Sort=A","Dates=H","DateFormat=P","Fill=—","Direction=H","UseDPDF=Y")</f>
        <v>#NAME?</v>
      </c>
      <c r="CN237" s="1" t="e">
        <f ca="1">_xll.BDH($C$228,"NET_DEBT_TO_SHRHLDR_EQTY","FQ4 2015","FQ4 2015","Currency=INR","Period=FQ","BEST_FPERIOD_OVERRIDE=FQ","FILING_STATUS=OR","EQY_CONSOLIDATED=Y","Sort=A","Dates=H","DateFormat=P","Fill=—","Direction=H","UseDPDF=Y")</f>
        <v>#NAME?</v>
      </c>
      <c r="CO237" s="1" t="e">
        <f ca="1">_xll.BDH($C$228,"NET_DEBT_%_CAPITAL","FQ4 2015","FQ4 2015","Currency=INR","Period=FQ","BEST_FPERIOD_OVERRIDE=FQ","FILING_STATUS=OR","EQY_CONSOLIDATED=Y","Sort=A","Dates=H","DateFormat=P","Fill=—","Direction=H","UseDPDF=Y")</f>
        <v>#NAME?</v>
      </c>
      <c r="CP237" s="2" t="e">
        <f ca="1">_xll.BDH($C$228,"EBITDA","FQ4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37" s="2" t="e">
        <f ca="1">_xll.BDH($C$228,"EBITDA_AFTER_CAPEX","FQ4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37" s="2" t="e">
        <f ca="1">_xll.BDH($C$228,"IS_OPER_INC","FQ4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37" s="1" t="e">
        <f ca="1">_xll.BDH($C$228,"CASH_RATIO","FQ4 2015","FQ4 2015","Currency=INR","Period=FQ","BEST_FPERIOD_OVERRIDE=FQ","FILING_STATUS=OR","EQY_CONSOLIDATED=Y","Sort=A","Dates=H","DateFormat=P","Fill=—","Direction=H","UseDPDF=Y")</f>
        <v>#NAME?</v>
      </c>
      <c r="CT237" s="1" t="e">
        <f ca="1">_xll.BDH($C$228,"CUR_RATIO","FQ4 2015","FQ4 2015","Currency=INR","Period=FQ","BEST_FPERIOD_OVERRIDE=FQ","FILING_STATUS=OR","EQY_CONSOLIDATED=Y","Sort=A","Dates=H","DateFormat=P","Fill=—","Direction=H","UseDPDF=Y")</f>
        <v>#NAME?</v>
      </c>
      <c r="CU237" s="1" t="e">
        <f ca="1">_xll.BDH($C$228,"QUICK_RATIO","FQ4 2015","FQ4 2015","Currency=INR","Period=FQ","BEST_FPERIOD_OVERRIDE=FQ","FILING_STATUS=OR","EQY_CONSOLIDATED=Y","Sort=A","Dates=H","DateFormat=P","Fill=—","Direction=H","UseDPDF=Y")</f>
        <v>#NAME?</v>
      </c>
      <c r="CV237" s="1" t="e">
        <f ca="1">_xll.BDH($C$228,"ALTMAN_Z_SCORE","FQ4 2015","FQ4 2015","Currency=INR","Period=FQ","BEST_FPERIOD_OVERRIDE=FQ","FILING_STATUS=OR","EQY_CONSOLIDATED=Y","Sort=A","Dates=H","DateFormat=P","Fill=—","Direction=H","UseDPDF=Y")</f>
        <v>#NAME?</v>
      </c>
      <c r="CW237" s="3" t="e">
        <f ca="1">_xll.BDH($C$228,"ACCT_RCV_TURN","FQ4 2015","FQ4 2015","Currency=INR","Period=FQ","BEST_FPERIOD_OVERRIDE=FQ","FILING_STATUS=OR","EQY_CONSOLIDATED=Y","FA_ADJUSTED=GAAP","Sort=A","Dates=H","DateFormat=P","Fill=—","Direction=H","UseDPDF=Y")</f>
        <v>#NAME?</v>
      </c>
      <c r="CX237" s="1" t="e">
        <f ca="1">_xll.BDH($C$228,"ACCT_RCV_DAYS","FQ4 2015","FQ4 2015","Currency=INR","Period=FQ","BEST_FPERIOD_OVERRIDE=FQ","FILING_STATUS=OR","EQY_CONSOLIDATED=Y","FA_ADJUSTED=GAAP","Sort=A","Dates=H","DateFormat=P","Fill=—","Direction=H","UseDPDF=Y")</f>
        <v>#NAME?</v>
      </c>
      <c r="CY237" s="3" t="e">
        <f ca="1">_xll.BDH($C$228,"INVENT_TURN","FQ4 2015","FQ4 2015","Currency=INR","Period=FQ","BEST_FPERIOD_OVERRIDE=FQ","FILING_STATUS=OR","EQY_CONSOLIDATED=Y","FA_ADJUSTED=GAAP","Sort=A","Dates=H","DateFormat=P","Fill=—","Direction=H","UseDPDF=Y")</f>
        <v>#NAME?</v>
      </c>
      <c r="CZ237" s="1" t="e">
        <f ca="1">_xll.BDH($C$228,"INVENT_DAYS","FQ4 2015","FQ4 2015","Currency=INR","Period=FQ","BEST_FPERIOD_OVERRIDE=FQ","FILING_STATUS=OR","EQY_CONSOLIDATED=Y","FA_ADJUSTED=GAAP","Sort=A","Dates=H","DateFormat=P","Fill=—","Direction=H","UseDPDF=Y")</f>
        <v>#NAME?</v>
      </c>
      <c r="DA237" s="3" t="e">
        <f ca="1">_xll.BDH($C$228,"ACCOUNTS_PAYABLE_TURNOVER","FQ4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37" s="1" t="e">
        <f ca="1">_xll.BDH($C$228,"ACCOUNTS_PAYABLE_TURNOVER_DAYS","FQ4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37" s="3" t="e">
        <f ca="1">_xll.BDH($C$228,"CASH_CONVERSION_CYCLE","FQ4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37" s="3" t="e">
        <f ca="1">_xll.BDH($C$228,"INV_TO_CASH_DAYS","FQ4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237" s="4" t="e">
        <f ca="1">_xll.BDH($C$228,"BS_INVENTORIES","FQ4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237" s="2" t="e">
        <f ca="1">_xll.BDH($C$228,"INVTRY_RAW_MATERIALS","FQ4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37" s="2" t="e">
        <f ca="1">_xll.BDH($C$228,"INVTRY_IN_PROGRESS","FQ4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37" s="2" t="e">
        <f ca="1">_xll.BDH($C$228,"INVTRY_FINISHED_GOODS","FQ4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37" s="2" t="e">
        <f ca="1">_xll.BDH($C$228,"BS_OTHER_INV","FQ4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38" spans="1:113" x14ac:dyDescent="0.3">
      <c r="A238" s="6"/>
      <c r="B238" s="6"/>
      <c r="C238" s="6"/>
      <c r="D238" s="6" t="s">
        <v>9</v>
      </c>
      <c r="E238" t="s">
        <v>3</v>
      </c>
      <c r="F238" t="e">
        <f ca="1">_xll.BDH($C$228,"RETURN_COM_EQY","FY 2016","FY 2016","Currency=INR","Period=FY","BEST_FPERIOD_OVERRIDE=FY","FILING_STATUS=OR","EQY_CONSOLIDATED=Y","FA_ADJUSTED=GAAP","Sort=A","Dates=H","DateFormat=P","Fill=—","Direction=H","UseDPDF=Y")</f>
        <v>#NAME?</v>
      </c>
      <c r="G238" t="e">
        <f ca="1">_xll.BDH($C$228,"RETURN_ON_ASSET","FY 2016","FY 2016","Currency=INR","Period=FY","BEST_FPERIOD_OVERRIDE=FY","FILING_STATUS=OR","EQY_CONSOLIDATED=Y","FA_ADJUSTED=GAAP","Sort=A","Dates=H","DateFormat=P","Fill=—","Direction=H","UseDPDF=Y")</f>
        <v>#NAME?</v>
      </c>
      <c r="H238" t="e">
        <f ca="1">_xll.BDH($C$228,"RETURN_ON_CAP","FY 2016","FY 2016","Currency=INR","Period=FY","BEST_FPERIOD_OVERRIDE=FY","FILING_STATUS=OR","EQY_CONSOLIDATED=Y","FA_ADJUSTED=GAAP","Sort=A","Dates=H","DateFormat=P","Fill=—","Direction=H","UseDPDF=Y")</f>
        <v>#NAME?</v>
      </c>
      <c r="I238" t="e">
        <f ca="1">_xll.BDH($C$228,"RETURN_ON_INV_CAPITAL","FY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38" t="e">
        <f ca="1">_xll.BDH($C$228,"EBITDA_TO_REVENUE","FY 2016","FY 2016","Currency=INR","Period=FY","BEST_FPERIOD_OVERRIDE=FY","FILING_STATUS=OR","EQY_CONSOLIDATED=Y","FA_ADJUSTED=GAAP","Sort=A","Dates=H","DateFormat=P","Fill=—","Direction=H","UseDPDF=Y")</f>
        <v>#NAME?</v>
      </c>
      <c r="K238" t="e">
        <f ca="1">_xll.BDH($C$228,"OPER_MARGIN","FY 2016","FY 2016","Currency=INR","Period=FY","BEST_FPERIOD_OVERRIDE=FY","FILING_STATUS=OR","EQY_CONSOLIDATED=Y","FA_ADJUSTED=GAAP","Sort=A","Dates=H","DateFormat=P","Fill=—","Direction=H","UseDPDF=Y")</f>
        <v>#NAME?</v>
      </c>
      <c r="L238" t="e">
        <f ca="1">_xll.BDH($C$228,"INCREMENTAL_OPERATING_MARGIN","FY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38" t="e">
        <f ca="1">_xll.BDH($C$228,"PRETAX_INC_TO_NET_SALES","FY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38" t="e">
        <f ca="1">_xll.BDH($C$228,"INC_BEF_XO_ITEMS_TO_NET_SALES","FY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38" t="e">
        <f ca="1">_xll.BDH($C$228,"PROF_MARGIN","FY 2016","FY 2016","Currency=INR","Period=FY","BEST_FPERIOD_OVERRIDE=FY","FILING_STATUS=OR","EQY_CONSOLIDATED=Y","FA_ADJUSTED=GAAP","Sort=A","Dates=H","DateFormat=P","Fill=—","Direction=H","UseDPDF=Y")</f>
        <v>#NAME?</v>
      </c>
      <c r="P238" t="e">
        <f ca="1">_xll.BDH($C$228,"NET_INCOME_TO_COMMON_MARGIN","FY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38" t="e">
        <f ca="1">_xll.BDH($C$228,"EFF_TAX_RATE","FY 2016","FY 2016","Currency=INR","Period=FY","BEST_FPERIOD_OVERRIDE=FY","FILING_STATUS=OR","EQY_CONSOLIDATED=Y","FA_ADJUSTED=GAAP","Sort=A","Dates=H","DateFormat=P","Fill=—","Direction=H","UseDPDF=Y")</f>
        <v>#NAME?</v>
      </c>
      <c r="R238" t="e">
        <f ca="1">_xll.BDH($C$228,"DVD_PAYOUT_RATIO","FY 2016","FY 2016","Currency=INR","Period=FY","BEST_FPERIOD_OVERRIDE=FY","FILING_STATUS=OR","EQY_CONSOLIDATED=Y","FA_ADJUSTED=GAAP","Sort=A","Dates=H","DateFormat=P","Fill=—","Direction=H","UseDPDF=Y")</f>
        <v>#NAME?</v>
      </c>
      <c r="S238" t="e">
        <f ca="1">_xll.BDH($C$228,"SUSTAIN_GROWTH_RT","FY 2016","FY 2016","Currency=INR","Period=FY","BEST_FPERIOD_OVERRIDE=FY","FILING_STATUS=OR","EQY_CONSOLIDATED=Y","FA_ADJUSTED=GAAP","Sort=A","Dates=H","DateFormat=P","Fill=—","Direction=H","UseDPDF=Y")</f>
        <v>#NAME?</v>
      </c>
      <c r="T238" s="1" t="e">
        <f ca="1">_xll.BDH($C$228,"SALES_GROWTH","FY 2016","FY 2016","Currency=INR","Period=FY","BEST_FPERIOD_OVERRIDE=FY","FILING_STATUS=OR","EQY_CONSOLIDATED=Y","FA_ADJUSTED=GAAP","Sort=A","Dates=H","DateFormat=P","Fill=—","Direction=H","UseDPDF=Y")</f>
        <v>#NAME?</v>
      </c>
      <c r="U238" s="1" t="e">
        <f ca="1">_xll.BDH($C$228,"EBITDA_GROWTH","FY 2016","FY 2016","Currency=INR","Period=FY","BEST_FPERIOD_OVERRIDE=FY","FILING_STATUS=OR","EQY_CONSOLIDATED=Y","FA_ADJUSTED=GAAP","Sort=A","Dates=H","DateFormat=P","Fill=—","Direction=H","UseDPDF=Y")</f>
        <v>#NAME?</v>
      </c>
      <c r="V238" s="1" t="e">
        <f ca="1">_xll.BDH($C$228,"OPER_INC_GROWTH","FY 2016","FY 2016","Currency=INR","Period=FY","BEST_FPERIOD_OVERRIDE=FY","FILING_STATUS=OR","EQY_CONSOLIDATED=Y","FA_ADJUSTED=GAAP","Sort=A","Dates=H","DateFormat=P","Fill=—","Direction=H","UseDPDF=Y")</f>
        <v>#NAME?</v>
      </c>
      <c r="W238" s="1" t="e">
        <f ca="1">_xll.BDH($C$228,"EARN_FOR_COM_GROWTH","FY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238" s="1" t="e">
        <f ca="1">_xll.BDH($C$228,"DILUTED_EPS_AFT_XO_ITEMS_GROWTH","FY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38" s="1" t="e">
        <f ca="1">_xll.BDH($C$228,"DIVIDEND_PER_SHARE_1_YEAR_GROWTH","FY 2016","FY 2016","Currency=INR","Period=FY","BEST_FPERIOD_OVERRIDE=FY","FILING_STATUS=OR","EQY_CONSOLIDATED=Y","Sort=A","Dates=H","DateFormat=P","Fill=—","Direction=H","UseDPDF=Y")</f>
        <v>#NAME?</v>
      </c>
      <c r="Z238" s="1" t="e">
        <f ca="1">_xll.BDH($C$228,"ACCOUNTS_RECEIVABLE_GROWTH","FY 2016","FY 2016","Currency=INR","Period=FY","BEST_FPERIOD_OVERRIDE=FY","FILING_STATUS=OR","EQY_CONSOLIDATED=Y","Sort=A","Dates=H","DateFormat=P","Fill=—","Direction=H","UseDPDF=Y")</f>
        <v>#NAME?</v>
      </c>
      <c r="AA238" s="1" t="e">
        <f ca="1">_xll.BDH($C$228,"INVENTORY_GROWTH","FY 2016","FY 2016","Currency=INR","Period=FY","BEST_FPERIOD_OVERRIDE=FY","FILING_STATUS=OR","EQY_CONSOLIDATED=Y","Sort=A","Dates=H","DateFormat=P","Fill=—","Direction=H","UseDPDF=Y")</f>
        <v>#NAME?</v>
      </c>
      <c r="AB238" s="1" t="e">
        <f ca="1">_xll.BDH($C$228,"NET_FIXED_ASSETS_1_YEAR_GROWTH","FY 2016","FY 2016","Currency=INR","Period=FY","BEST_FPERIOD_OVERRIDE=FY","FILING_STATUS=OR","EQY_CONSOLIDATED=Y","Sort=A","Dates=H","DateFormat=P","Fill=—","Direction=H","UseDPDF=Y")</f>
        <v>#NAME?</v>
      </c>
      <c r="AC238" s="1" t="e">
        <f ca="1">_xll.BDH($C$228,"ASSET_GROWTH","FY 2016","FY 2016","Currency=INR","Period=FY","BEST_FPERIOD_OVERRIDE=FY","FILING_STATUS=OR","EQY_CONSOLIDATED=Y","Sort=A","Dates=H","DateFormat=P","Fill=—","Direction=H","UseDPDF=Y")</f>
        <v>#NAME?</v>
      </c>
      <c r="AD238" s="1" t="e">
        <f ca="1">_xll.BDH($C$228,"MODIFIED_WORK_CAP_GROWTH","FY 2016","FY 2016","Currency=INR","Period=FY","BEST_FPERIOD_OVERRIDE=FY","FILING_STATUS=OR","EQY_CONSOLIDATED=Y","Sort=A","Dates=H","DateFormat=P","Fill=—","Direction=H","UseDPDF=Y")</f>
        <v>#NAME?</v>
      </c>
      <c r="AE238" s="1" t="e">
        <f ca="1">_xll.BDH($C$228,"WORK_CAP_GROWTH","FY 2016","FY 2016","Currency=INR","Period=FY","BEST_FPERIOD_OVERRIDE=FY","FILING_STATUS=OR","EQY_CONSOLIDATED=Y","Sort=A","Dates=H","DateFormat=P","Fill=—","Direction=H","UseDPDF=Y")</f>
        <v>#NAME?</v>
      </c>
      <c r="AF238" s="1" t="e">
        <f ca="1">_xll.BDH($C$228,"ACCOUNTS_PAYABLE_GROWTH_1YR","FY 2016","FY 2016","Currency=INR","Period=FY","BEST_FPERIOD_OVERRIDE=FY","FILING_STATUS=OR","EQY_CONSOLIDATED=Y","Sort=A","Dates=H","DateFormat=P","Fill=—","Direction=H","UseDPDF=Y")</f>
        <v>#NAME?</v>
      </c>
      <c r="AG238" s="1" t="e">
        <f ca="1">_xll.BDH($C$228,"SHORT_TERM_DEBT_1_YEAR_GROWTH","FY 2016","FY 2016","Currency=INR","Period=FY","BEST_FPERIOD_OVERRIDE=FY","FILING_STATUS=OR","EQY_CONSOLIDATED=Y","Sort=A","Dates=H","DateFormat=P","Fill=—","Direction=H","UseDPDF=Y")</f>
        <v>#NAME?</v>
      </c>
      <c r="AH238" s="1" t="e">
        <f ca="1">_xll.BDH($C$228,"TOTAL_DEBT_1_YEAR_GROWTH","FY 2016","FY 2016","Currency=INR","Period=FY","BEST_FPERIOD_OVERRIDE=FY","FILING_STATUS=OR","EQY_CONSOLIDATED=Y","Sort=A","Dates=H","DateFormat=P","Fill=—","Direction=H","UseDPDF=Y")</f>
        <v>#NAME?</v>
      </c>
      <c r="AI238" s="1" t="e">
        <f ca="1">_xll.BDH($C$228,"TOTAL_EQUITY_1_YEAR_GROWTH","FY 2016","FY 2016","Currency=INR","Period=FY","BEST_FPERIOD_OVERRIDE=FY","FILING_STATUS=OR","EQY_CONSOLIDATED=Y","Sort=A","Dates=H","DateFormat=P","Fill=—","Direction=H","UseDPDF=Y")</f>
        <v>#NAME?</v>
      </c>
      <c r="AJ238" s="1" t="e">
        <f ca="1">_xll.BDH($C$228,"GROWTH_IN_CAP","FY 2016","FY 2016","Currency=INR","Period=FY","BEST_FPERIOD_OVERRIDE=FY","FILING_STATUS=OR","EQY_CONSOLIDATED=Y","Sort=A","Dates=H","DateFormat=P","Fill=—","Direction=H","UseDPDF=Y")</f>
        <v>#NAME?</v>
      </c>
      <c r="AK238" s="1" t="e">
        <f ca="1">_xll.BDH($C$228,"BVPS_GROWTH","FY 2016","FY 2016","Currency=INR","Period=FY","BEST_FPERIOD_OVERRIDE=FY","FILING_STATUS=OR","EQY_CONSOLIDATED=Y","Sort=A","Dates=H","DateFormat=P","Fill=—","Direction=H","UseDPDF=Y")</f>
        <v>#NAME?</v>
      </c>
      <c r="AL238" s="1" t="e">
        <f ca="1">_xll.BDH($C$228,"CASH_FLOW_GROWTH","FY 2016","FY 2016","Currency=INR","Period=FY","BEST_FPERIOD_OVERRIDE=FY","FILING_STATUS=OR","EQY_CONSOLIDATED=Y","Sort=A","Dates=H","DateFormat=P","Fill=—","Direction=H","UseDPDF=Y")</f>
        <v>#NAME?</v>
      </c>
      <c r="AM238" s="1" t="e">
        <f ca="1">_xll.BDH($C$228,"GEO_GROW_NET_SALES","FY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238" s="1" t="e">
        <f ca="1">_xll.BDH($C$228,"GEO_GROW_EBITDA","FY 2016","FY 2016","Currency=INR","Period=FY","BEST_FPERIOD_OVERRIDE=FY","FILING_STATUS=OR","EQY_CONSOLIDATED=Y","FA_ADJUSTED=GAAP","Sort=A","Dates=H","DateFormat=P","Fill=—","Direction=H","UseDPDF=Y")</f>
        <v>#NAME?</v>
      </c>
      <c r="AO238" s="1" t="e">
        <f ca="1">_xll.BDH($C$228,"GEO_GROW_OPER_INC","FY 2016","FY 2016","Currency=INR","Period=FY","BEST_FPERIOD_OVERRIDE=FY","FILING_STATUS=OR","EQY_CONSOLIDATED=Y","FA_ADJUSTED=GAAP","Sort=A","Dates=H","DateFormat=P","Fill=—","Direction=H","UseDPDF=Y")</f>
        <v>#NAME?</v>
      </c>
      <c r="AP238" s="1" t="e">
        <f ca="1">_xll.BDH($C$228,"NET_INCOME_TO_COMMON_5_YR_GROWTH","FY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38" s="1" t="e">
        <f ca="1">_xll.BDH($C$228,"5Y_GEO_GROWTH_DILUTED_EPS","FY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38" s="1" t="e">
        <f ca="1">_xll.BDH($C$228,"GEO_GROW_DVD_PER_SH","FY 2016","FY 2016","Currency=INR","Period=FY","BEST_FPERIOD_OVERRIDE=FY","FILING_STATUS=OR","EQY_CONSOLIDATED=Y","Sort=A","Dates=H","DateFormat=P","Fill=—","Direction=H","UseDPDF=Y")</f>
        <v>#NAME?</v>
      </c>
      <c r="AS238" s="1" t="e">
        <f ca="1">_xll.BDH($C$228,"ACCOUNTS_RECEIVABLE_5_YR_GROWTH","FY 2016","FY 2016","Currency=INR","Period=FY","BEST_FPERIOD_OVERRIDE=FY","FILING_STATUS=OR","EQY_CONSOLIDATED=Y","Sort=A","Dates=H","DateFormat=P","Fill=—","Direction=H","UseDPDF=Y")</f>
        <v>#NAME?</v>
      </c>
      <c r="AT238" s="1" t="e">
        <f ca="1">_xll.BDH($C$228,"INVENTORY_5_YEAR_GROWTH","FY 2016","FY 2016","Currency=INR","Period=FY","BEST_FPERIOD_OVERRIDE=FY","FILING_STATUS=OR","EQY_CONSOLIDATED=Y","Sort=A","Dates=H","DateFormat=P","Fill=—","Direction=H","UseDPDF=Y")</f>
        <v>#NAME?</v>
      </c>
      <c r="AU238" s="1" t="e">
        <f ca="1">_xll.BDH($C$228,"NET_FIXED_ASSETS_5_YEAR_GROWTH","FY 2016","FY 2016","Currency=INR","Period=FY","BEST_FPERIOD_OVERRIDE=FY","FILING_STATUS=OR","EQY_CONSOLIDATED=Y","Sort=A","Dates=H","DateFormat=P","Fill=—","Direction=H","UseDPDF=Y")</f>
        <v>#NAME?</v>
      </c>
      <c r="AV238" s="1" t="e">
        <f ca="1">_xll.BDH($C$228,"GEO_GROW_TOT_ASSET","FY 2016","FY 2016","Currency=INR","Period=FY","BEST_FPERIOD_OVERRIDE=FY","FILING_STATUS=OR","EQY_CONSOLIDATED=Y","Sort=A","Dates=H","DateFormat=P","Fill=—","Direction=H","UseDPDF=Y")</f>
        <v>#NAME?</v>
      </c>
      <c r="AW238" s="1" t="e">
        <f ca="1">_xll.BDH($C$228,"MODIFIED_WORKING_CPTL_5YR_GRWTH","FY 2016","FY 2016","Currency=INR","Period=FY","BEST_FPERIOD_OVERRIDE=FY","FILING_STATUS=OR","EQY_CONSOLIDATED=Y","Sort=A","Dates=H","DateFormat=P","Fill=—","Direction=H","UseDPDF=Y")</f>
        <v>#NAME?</v>
      </c>
      <c r="AX238" s="1" t="e">
        <f ca="1">_xll.BDH($C$228,"WORKING_CAPITAL_5_YEAR_GROWTH","FY 2016","FY 2016","Currency=INR","Period=FY","BEST_FPERIOD_OVERRIDE=FY","FILING_STATUS=OR","EQY_CONSOLIDATED=Y","Sort=A","Dates=H","DateFormat=P","Fill=—","Direction=H","UseDPDF=Y")</f>
        <v>#NAME?</v>
      </c>
      <c r="AY238" s="1" t="e">
        <f ca="1">_xll.BDH($C$228,"ACCOUNTS_PAYABLE_5_YEAR_GROWTH","FY 2016","FY 2016","Currency=INR","Period=FY","BEST_FPERIOD_OVERRIDE=FY","FILING_STATUS=OR","EQY_CONSOLIDATED=Y","Sort=A","Dates=H","DateFormat=P","Fill=—","Direction=H","UseDPDF=Y")</f>
        <v>#NAME?</v>
      </c>
      <c r="AZ238" s="1" t="e">
        <f ca="1">_xll.BDH($C$228,"SHORT_TERM_DEBT_5_YEAR_GROWTH","FY 2016","FY 2016","Currency=INR","Period=FY","BEST_FPERIOD_OVERRIDE=FY","FILING_STATUS=OR","EQY_CONSOLIDATED=Y","Sort=A","Dates=H","DateFormat=P","Fill=—","Direction=H","UseDPDF=Y")</f>
        <v>#NAME?</v>
      </c>
      <c r="BA238" s="1" t="e">
        <f ca="1">_xll.BDH($C$228,"TOTAL_DEBT_5_YEAR_GROWTH","FY 2016","FY 2016","Currency=INR","Period=FY","BEST_FPERIOD_OVERRIDE=FY","FILING_STATUS=OR","EQY_CONSOLIDATED=Y","Sort=A","Dates=H","DateFormat=P","Fill=—","Direction=H","UseDPDF=Y")</f>
        <v>#NAME?</v>
      </c>
      <c r="BB238" s="1" t="e">
        <f ca="1">_xll.BDH($C$228,"GEO_GROW_TOT_SHRHLDR_EQY","FY 2016","FY 2016","Currency=INR","Period=FY","BEST_FPERIOD_OVERRIDE=FY","FILING_STATUS=OR","EQY_CONSOLIDATED=Y","Sort=A","Dates=H","DateFormat=P","Fill=—","Direction=H","UseDPDF=Y")</f>
        <v>#NAME?</v>
      </c>
      <c r="BC238" s="1" t="e">
        <f ca="1">_xll.BDH($C$228,"TOTAL_CAPITAL_5_YEAR_GROWTH","FY 2016","FY 2016","Currency=INR","Period=FY","BEST_FPERIOD_OVERRIDE=FY","FILING_STATUS=OR","EQY_CONSOLIDATED=Y","Sort=A","Dates=H","DateFormat=P","Fill=—","Direction=H","UseDPDF=Y")</f>
        <v>#NAME?</v>
      </c>
      <c r="BD238" s="1" t="e">
        <f ca="1">_xll.BDH($C$228,"GEO_GROW_BOOK_VAL","FY 2016","FY 2016","Currency=INR","Period=FY","BEST_FPERIOD_OVERRIDE=FY","FILING_STATUS=OR","EQY_CONSOLIDATED=Y","Sort=A","Dates=H","DateFormat=P","Fill=—","Direction=H","UseDPDF=Y")</f>
        <v>#NAME?</v>
      </c>
      <c r="BE238" s="1" t="e">
        <f ca="1">_xll.BDH($C$228,"GEO_GROW_CASH_OPER_ACT","FY 2016","FY 2016","Currency=INR","Period=FY","BEST_FPERIOD_OVERRIDE=FY","FILING_STATUS=OR","EQY_CONSOLIDATED=Y","Sort=A","Dates=H","DateFormat=P","Fill=—","Direction=H","UseDPDF=Y")</f>
        <v>#NAME?</v>
      </c>
      <c r="BF238" s="1" t="e">
        <f ca="1">_xll.BDH($C$228,"REVENUE_SEQUENTIAL_GROWTH","FY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38" s="1" t="e">
        <f ca="1">_xll.BDH($C$228,"EBITDA_SEQUENTIAL_GROWTH","FY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38" s="1" t="e">
        <f ca="1">_xll.BDH($C$228,"OPERATING_INCOME_SEQ_GROWTH","FY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38" s="1" t="e">
        <f ca="1">_xll.BDH($C$228,"NET_INCOME_TO_COMMON_SEQ_GROWTH","FY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38" s="1" t="e">
        <f ca="1">_xll.BDH($C$228,"EPS_DILUTED_SEQUENTIAL_GROWTH","FY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38" s="1" t="e">
        <f ca="1">_xll.BDH($C$228,"DPS_SEQUENTIAL_GROWTH","FY 2016","FY 2016","Currency=INR","Period=FY","BEST_FPERIOD_OVERRIDE=FY","FILING_STATUS=OR","EQY_CONSOLIDATED=Y","Sort=A","Dates=H","DateFormat=P","Fill=—","Direction=H","UseDPDF=Y")</f>
        <v>#NAME?</v>
      </c>
      <c r="BL238" s="1" t="e">
        <f ca="1">_xll.BDH($C$228,"ACCOUNTS_RECEIVABLE_SEQ_GROWTH","FY 2016","FY 2016","Currency=INR","Period=FY","BEST_FPERIOD_OVERRIDE=FY","FILING_STATUS=OR","EQY_CONSOLIDATED=Y","Sort=A","Dates=H","DateFormat=P","Fill=—","Direction=H","UseDPDF=Y")</f>
        <v>#NAME?</v>
      </c>
      <c r="BM238" s="1" t="e">
        <f ca="1">_xll.BDH($C$228,"INVENTORY_SEQUENTIAL_GROWTH","FY 2016","FY 2016","Currency=INR","Period=FY","BEST_FPERIOD_OVERRIDE=FY","FILING_STATUS=OR","EQY_CONSOLIDATED=Y","Sort=A","Dates=H","DateFormat=P","Fill=—","Direction=H","UseDPDF=Y")</f>
        <v>#NAME?</v>
      </c>
      <c r="BN238" s="1" t="e">
        <f ca="1">_xll.BDH($C$228,"FIXED_ASSETS_SEQUENTIAL_GROWTH","FY 2016","FY 2016","Currency=INR","Period=FY","BEST_FPERIOD_OVERRIDE=FY","FILING_STATUS=OR","EQY_CONSOLIDATED=Y","Sort=A","Dates=H","DateFormat=P","Fill=—","Direction=H","UseDPDF=Y")</f>
        <v>#NAME?</v>
      </c>
      <c r="BO238" s="1" t="e">
        <f ca="1">_xll.BDH($C$228,"TOTAL_ASSETS_SEQUENTIAL_GROWTH","FY 2016","FY 2016","Currency=INR","Period=FY","BEST_FPERIOD_OVERRIDE=FY","FILING_STATUS=OR","EQY_CONSOLIDATED=Y","Sort=A","Dates=H","DateFormat=P","Fill=—","Direction=H","UseDPDF=Y")</f>
        <v>#NAME?</v>
      </c>
      <c r="BP238" s="1" t="e">
        <f ca="1">_xll.BDH($C$228,"MODIFIED_WORKING_CPTL_SEQ_GRWTH","FY 2016","FY 2016","Currency=INR","Period=FY","BEST_FPERIOD_OVERRIDE=FY","FILING_STATUS=OR","EQY_CONSOLIDATED=Y","Sort=A","Dates=H","DateFormat=P","Fill=—","Direction=H","UseDPDF=Y")</f>
        <v>#NAME?</v>
      </c>
      <c r="BQ238" s="1" t="e">
        <f ca="1">_xll.BDH($C$228,"WORKING_CAPITAL_SEQ_GROWTH","FY 2016","FY 2016","Currency=INR","Period=FY","BEST_FPERIOD_OVERRIDE=FY","FILING_STATUS=OR","EQY_CONSOLIDATED=Y","Sort=A","Dates=H","DateFormat=P","Fill=—","Direction=H","UseDPDF=Y")</f>
        <v>#NAME?</v>
      </c>
      <c r="BR238" s="1" t="e">
        <f ca="1">_xll.BDH($C$228,"ACCOUNTS_PAYABLE_SEQ_GROWTH","FY 2016","FY 2016","Currency=INR","Period=FY","BEST_FPERIOD_OVERRIDE=FY","FILING_STATUS=OR","EQY_CONSOLIDATED=Y","Sort=A","Dates=H","DateFormat=P","Fill=—","Direction=H","UseDPDF=Y")</f>
        <v>#NAME?</v>
      </c>
      <c r="BS238" s="1" t="e">
        <f ca="1">_xll.BDH($C$228,"ST_DEBT_SEQUENTIAL_GROWTH","FY 2016","FY 2016","Currency=INR","Period=FY","BEST_FPERIOD_OVERRIDE=FY","FILING_STATUS=OR","EQY_CONSOLIDATED=Y","Sort=A","Dates=H","DateFormat=P","Fill=—","Direction=H","UseDPDF=Y")</f>
        <v>#NAME?</v>
      </c>
      <c r="BT238" s="1" t="e">
        <f ca="1">_xll.BDH($C$228,"TOTAL_DEBT_SEQUENTIAL_GROWTH","FY 2016","FY 2016","Currency=INR","Period=FY","BEST_FPERIOD_OVERRIDE=FY","FILING_STATUS=OR","EQY_CONSOLIDATED=Y","Sort=A","Dates=H","DateFormat=P","Fill=—","Direction=H","UseDPDF=Y")</f>
        <v>#NAME?</v>
      </c>
      <c r="BU238" s="1" t="e">
        <f ca="1">_xll.BDH($C$228,"TOTAL_EQUITY_SEQUENTIAL_GROWTH","FY 2016","FY 2016","Currency=INR","Period=FY","BEST_FPERIOD_OVERRIDE=FY","FILING_STATUS=OR","EQY_CONSOLIDATED=Y","Sort=A","Dates=H","DateFormat=P","Fill=—","Direction=H","UseDPDF=Y")</f>
        <v>#NAME?</v>
      </c>
      <c r="BV238" s="1" t="e">
        <f ca="1">_xll.BDH($C$228,"TOTAL_CAPITAL_SEQUENTIAL_GROWTH","FY 2016","FY 2016","Currency=INR","Period=FY","BEST_FPERIOD_OVERRIDE=FY","FILING_STATUS=OR","EQY_CONSOLIDATED=Y","Sort=A","Dates=H","DateFormat=P","Fill=—","Direction=H","UseDPDF=Y")</f>
        <v>#NAME?</v>
      </c>
      <c r="BW238" s="1" t="e">
        <f ca="1">_xll.BDH($C$228,"BPS_SEQUENTIAL_GROWTH","FY 2016","FY 2016","Currency=INR","Period=FY","BEST_FPERIOD_OVERRIDE=FY","FILING_STATUS=OR","EQY_CONSOLIDATED=Y","Sort=A","Dates=H","DateFormat=P","Fill=—","Direction=H","UseDPDF=Y")</f>
        <v>#NAME?</v>
      </c>
      <c r="BX238" s="1" t="e">
        <f ca="1">_xll.BDH($C$228,"CFO_SEQUENTIAL_GROWTH","FY 2016","FY 2016","Currency=INR","Period=FY","BEST_FPERIOD_OVERRIDE=FY","FILING_STATUS=OR","EQY_CONSOLIDATED=Y","Sort=A","Dates=H","DateFormat=P","Fill=—","Direction=H","UseDPDF=Y")</f>
        <v>#NAME?</v>
      </c>
      <c r="BY238" s="2" t="e">
        <f ca="1">_xll.BDH($C$228,"SHORT_AND_LONG_TERM_DEBT","FY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38" s="2" t="e">
        <f ca="1">_xll.BDH($C$228,"BS_ST_BORROW","FY 2016","FY 2016","Currency=INR","Period=FY","BEST_FPERIOD_OVERRIDE=FY","FILING_STATUS=OR","EQY_CONSOLIDATED=Y","SCALING_FORMAT=MLN","Sort=A","Dates=H","DateFormat=P","Fill=—","Direction=H","UseDPDF=Y")</f>
        <v>#NAME?</v>
      </c>
      <c r="CA238" s="2" t="e">
        <f ca="1">_xll.BDH($C$228,"BS_LT_BORROW","FY 2016","FY 2016","Currency=INR","Period=FY","BEST_FPERIOD_OVERRIDE=FY","FILING_STATUS=OR","EQY_CONSOLIDATED=Y","SCALING_FORMAT=MLN","Sort=A","Dates=H","DateFormat=P","Fill=—","Direction=H","UseDPDF=Y")</f>
        <v>#NAME?</v>
      </c>
      <c r="CB238" s="1" t="e">
        <f ca="1">_xll.BDH($C$228,"TOT_DEBT_TO_EBITDA","FY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238" s="1" t="e">
        <f ca="1">_xll.BDH($C$228,"NET_DEBT_TO_EBITDA","FY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238" s="1" t="e">
        <f ca="1">_xll.BDH($C$228,"TOTAL_DEBT_TO_EBIT","FY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238" s="1" t="e">
        <f ca="1">_xll.BDH($C$228,"NET_DEBT_TO_EBIT","FY 2016","FY 2016","Currency=INR","Period=FY","BEST_FPERIOD_OVERRIDE=FY","FILING_STATUS=OR","EQY_CONSOLIDATED=Y","FA_ADJUSTED=GAAP","Sort=A","Dates=H","DateFormat=P","Fill=—","Direction=H","UseDPDF=Y")</f>
        <v>#NAME?</v>
      </c>
      <c r="CF238" s="1" t="e">
        <f ca="1">_xll.BDH($C$228,"EBITDA_TO_INTEREST_EXPN","FY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38" s="1" t="e">
        <f ca="1">_xll.BDH($C$228,"COM_EQY_TO_TOT_ASSET","FY 2016","FY 2016","Currency=INR","Period=FY","BEST_FPERIOD_OVERRIDE=FY","FILING_STATUS=OR","EQY_CONSOLIDATED=Y","Sort=A","Dates=H","DateFormat=P","Fill=—","Direction=H","UseDPDF=Y")</f>
        <v>#NAME?</v>
      </c>
      <c r="CH238" s="1" t="e">
        <f ca="1">_xll.BDH($C$228,"LT_DEBT_TO_TOT_EQY","FY 2016","FY 2016","Currency=INR","Period=FY","BEST_FPERIOD_OVERRIDE=FY","FILING_STATUS=OR","EQY_CONSOLIDATED=Y","Sort=A","Dates=H","DateFormat=P","Fill=—","Direction=H","UseDPDF=Y")</f>
        <v>#NAME?</v>
      </c>
      <c r="CI238" s="1" t="e">
        <f ca="1">_xll.BDH($C$228,"LT_DEBT_TO_TOT_CAP","FY 2016","FY 2016","Currency=INR","Period=FY","BEST_FPERIOD_OVERRIDE=FY","FILING_STATUS=OR","EQY_CONSOLIDATED=Y","Sort=A","Dates=H","DateFormat=P","Fill=—","Direction=H","UseDPDF=Y")</f>
        <v>#NAME?</v>
      </c>
      <c r="CJ238" s="1" t="e">
        <f ca="1">_xll.BDH($C$228,"LT_DEBT_TO_TOT_ASSET","FY 2016","FY 2016","Currency=INR","Period=FY","BEST_FPERIOD_OVERRIDE=FY","FILING_STATUS=OR","EQY_CONSOLIDATED=Y","Sort=A","Dates=H","DateFormat=P","Fill=—","Direction=H","UseDPDF=Y")</f>
        <v>#NAME?</v>
      </c>
      <c r="CK238" s="1" t="e">
        <f ca="1">_xll.BDH($C$228,"TOT_DEBT_TO_TOT_EQY","FY 2016","FY 2016","Currency=INR","Period=FY","BEST_FPERIOD_OVERRIDE=FY","FILING_STATUS=OR","EQY_CONSOLIDATED=Y","Sort=A","Dates=H","DateFormat=P","Fill=—","Direction=H","UseDPDF=Y")</f>
        <v>#NAME?</v>
      </c>
      <c r="CL238" s="1" t="e">
        <f ca="1">_xll.BDH($C$228,"TOT_DEBT_TO_TOT_CAP","FY 2016","FY 2016","Currency=INR","Period=FY","BEST_FPERIOD_OVERRIDE=FY","FILING_STATUS=OR","EQY_CONSOLIDATED=Y","Sort=A","Dates=H","DateFormat=P","Fill=—","Direction=H","UseDPDF=Y")</f>
        <v>#NAME?</v>
      </c>
      <c r="CM238" s="1" t="e">
        <f ca="1">_xll.BDH($C$228,"TOT_DEBT_TO_TOT_ASSET","FY 2016","FY 2016","Currency=INR","Period=FY","BEST_FPERIOD_OVERRIDE=FY","FILING_STATUS=OR","EQY_CONSOLIDATED=Y","Sort=A","Dates=H","DateFormat=P","Fill=—","Direction=H","UseDPDF=Y")</f>
        <v>#NAME?</v>
      </c>
      <c r="CN238" s="1" t="e">
        <f ca="1">_xll.BDH($C$228,"NET_DEBT_TO_SHRHLDR_EQTY","FY 2016","FY 2016","Currency=INR","Period=FY","BEST_FPERIOD_OVERRIDE=FY","FILING_STATUS=OR","EQY_CONSOLIDATED=Y","Sort=A","Dates=H","DateFormat=P","Fill=—","Direction=H","UseDPDF=Y")</f>
        <v>#NAME?</v>
      </c>
      <c r="CO238" s="1" t="e">
        <f ca="1">_xll.BDH($C$228,"NET_DEBT_%_CAPITAL","FY 2016","FY 2016","Currency=INR","Period=FY","BEST_FPERIOD_OVERRIDE=FY","FILING_STATUS=OR","EQY_CONSOLIDATED=Y","Sort=A","Dates=H","DateFormat=P","Fill=—","Direction=H","UseDPDF=Y")</f>
        <v>#NAME?</v>
      </c>
      <c r="CP238" s="2" t="e">
        <f ca="1">_xll.BDH($C$228,"EBITDA","FY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38" s="2" t="e">
        <f ca="1">_xll.BDH($C$228,"EBITDA_AFTER_CAPEX","FY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38" s="2" t="e">
        <f ca="1">_xll.BDH($C$228,"IS_OPER_INC","FY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38" s="1" t="e">
        <f ca="1">_xll.BDH($C$228,"CASH_RATIO","FY 2016","FY 2016","Currency=INR","Period=FY","BEST_FPERIOD_OVERRIDE=FY","FILING_STATUS=OR","EQY_CONSOLIDATED=Y","Sort=A","Dates=H","DateFormat=P","Fill=—","Direction=H","UseDPDF=Y")</f>
        <v>#NAME?</v>
      </c>
      <c r="CT238" s="1" t="e">
        <f ca="1">_xll.BDH($C$228,"CUR_RATIO","FY 2016","FY 2016","Currency=INR","Period=FY","BEST_FPERIOD_OVERRIDE=FY","FILING_STATUS=OR","EQY_CONSOLIDATED=Y","Sort=A","Dates=H","DateFormat=P","Fill=—","Direction=H","UseDPDF=Y")</f>
        <v>#NAME?</v>
      </c>
      <c r="CU238" s="1" t="e">
        <f ca="1">_xll.BDH($C$228,"QUICK_RATIO","FY 2016","FY 2016","Currency=INR","Period=FY","BEST_FPERIOD_OVERRIDE=FY","FILING_STATUS=OR","EQY_CONSOLIDATED=Y","Sort=A","Dates=H","DateFormat=P","Fill=—","Direction=H","UseDPDF=Y")</f>
        <v>#NAME?</v>
      </c>
      <c r="CV238" s="1" t="e">
        <f ca="1">_xll.BDH($C$228,"ALTMAN_Z_SCORE","FY 2016","FY 2016","Currency=INR","Period=FY","BEST_FPERIOD_OVERRIDE=FY","FILING_STATUS=OR","EQY_CONSOLIDATED=Y","Sort=A","Dates=H","DateFormat=P","Fill=—","Direction=H","UseDPDF=Y")</f>
        <v>#NAME?</v>
      </c>
      <c r="CW238" s="3" t="e">
        <f ca="1">_xll.BDH($C$228,"ACCT_RCV_TURN","FY 2016","FY 2016","Currency=INR","Period=FY","BEST_FPERIOD_OVERRIDE=FY","FILING_STATUS=OR","EQY_CONSOLIDATED=Y","FA_ADJUSTED=GAAP","Sort=A","Dates=H","DateFormat=P","Fill=—","Direction=H","UseDPDF=Y")</f>
        <v>#NAME?</v>
      </c>
      <c r="CX238" s="1" t="e">
        <f ca="1">_xll.BDH($C$228,"ACCT_RCV_DAYS","FY 2016","FY 2016","Currency=INR","Period=FY","BEST_FPERIOD_OVERRIDE=FY","FILING_STATUS=OR","EQY_CONSOLIDATED=Y","FA_ADJUSTED=GAAP","Sort=A","Dates=H","DateFormat=P","Fill=—","Direction=H","UseDPDF=Y")</f>
        <v>#NAME?</v>
      </c>
      <c r="CY238" s="3" t="e">
        <f ca="1">_xll.BDH($C$228,"INVENT_TURN","FY 2016","FY 2016","Currency=INR","Period=FY","BEST_FPERIOD_OVERRIDE=FY","FILING_STATUS=OR","EQY_CONSOLIDATED=Y","FA_ADJUSTED=GAAP","Sort=A","Dates=H","DateFormat=P","Fill=—","Direction=H","UseDPDF=Y")</f>
        <v>#NAME?</v>
      </c>
      <c r="CZ238" s="1" t="e">
        <f ca="1">_xll.BDH($C$228,"INVENT_DAYS","FY 2016","FY 2016","Currency=INR","Period=FY","BEST_FPERIOD_OVERRIDE=FY","FILING_STATUS=OR","EQY_CONSOLIDATED=Y","FA_ADJUSTED=GAAP","Sort=A","Dates=H","DateFormat=P","Fill=—","Direction=H","UseDPDF=Y")</f>
        <v>#NAME?</v>
      </c>
      <c r="DA238" s="3" t="e">
        <f ca="1">_xll.BDH($C$228,"ACCOUNTS_PAYABLE_TURNOVER","FY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38" s="1" t="e">
        <f ca="1">_xll.BDH($C$228,"ACCOUNTS_PAYABLE_TURNOVER_DAYS","FY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38" s="3" t="e">
        <f ca="1">_xll.BDH($C$228,"CASH_CONVERSION_CYCLE","FY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38" s="3" t="e">
        <f ca="1">_xll.BDH($C$228,"INV_TO_CASH_DAYS","FY 2016","FY 2016","Currency=INR","Period=FY","BEST_FPERIOD_OVERRIDE=FY","FILING_STATUS=OR","EQY_CONSOLIDATED=Y","FA_ADJUSTED=GAAP","Sort=A","Dates=H","DateFormat=P","Fill=—","Direction=H","UseDPDF=Y")</f>
        <v>#NAME?</v>
      </c>
      <c r="DE238" s="4" t="e">
        <f ca="1">_xll.BDH($C$228,"BS_INVENTORIES","FY 2016","FY 2016","Currency=INR","Period=FY","BEST_FPERIOD_OVERRIDE=FY","FILING_STATUS=OR","EQY_CONSOLIDATED=Y","SCALING_FORMAT=MLN","Sort=A","Dates=H","DateFormat=P","Fill=—","Direction=H","UseDPDF=Y")</f>
        <v>#NAME?</v>
      </c>
      <c r="DF238" s="2" t="e">
        <f ca="1">_xll.BDH($C$228,"INVTRY_RAW_MATERIALS","FY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38" s="2" t="e">
        <f ca="1">_xll.BDH($C$228,"INVTRY_IN_PROGRESS","FY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38" s="2" t="e">
        <f ca="1">_xll.BDH($C$228,"INVTRY_FINISHED_GOODS","FY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38" s="2" t="e">
        <f ca="1">_xll.BDH($C$228,"BS_OTHER_INV","FY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39" spans="1:113" x14ac:dyDescent="0.3">
      <c r="A239" s="6"/>
      <c r="B239" s="6"/>
      <c r="C239" s="6"/>
      <c r="D239" s="6"/>
      <c r="E239" t="s">
        <v>4</v>
      </c>
      <c r="F239" t="e">
        <f ca="1">_xll.BDH($C$228,"RETURN_COM_EQY","FQ1 2016","FQ1 2016","Currency=INR","Period=FQ","BEST_FPERIOD_OVERRIDE=FQ","FILING_STATUS=OR","EQY_CONSOLIDATED=Y","FA_ADJUSTED=GAAP","Sort=A","Dates=H","DateFormat=P","Fill=—","Direction=H","UseDPDF=Y")</f>
        <v>#NAME?</v>
      </c>
      <c r="G239" t="e">
        <f ca="1">_xll.BDH($C$228,"RETURN_ON_ASSET","FQ1 2016","FQ1 2016","Currency=INR","Period=FQ","BEST_FPERIOD_OVERRIDE=FQ","FILING_STATUS=OR","EQY_CONSOLIDATED=Y","FA_ADJUSTED=GAAP","Sort=A","Dates=H","DateFormat=P","Fill=—","Direction=H","UseDPDF=Y")</f>
        <v>#NAME?</v>
      </c>
      <c r="H239" t="e">
        <f ca="1">_xll.BDH($C$228,"RETURN_ON_CAP","FQ1 2016","FQ1 2016","Currency=INR","Period=FQ","BEST_FPERIOD_OVERRIDE=FQ","FILING_STATUS=OR","EQY_CONSOLIDATED=Y","FA_ADJUSTED=GAAP","Sort=A","Dates=H","DateFormat=P","Fill=—","Direction=H","UseDPDF=Y")</f>
        <v>#NAME?</v>
      </c>
      <c r="I239" t="e">
        <f ca="1">_xll.BDH($C$228,"RETURN_ON_INV_CAPITAL","FQ1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39" t="e">
        <f ca="1">_xll.BDH($C$228,"EBITDA_TO_REVENUE","FQ1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239" t="e">
        <f ca="1">_xll.BDH($C$228,"OPER_MARGIN","FQ1 2016","FQ1 2016","Currency=INR","Period=FQ","BEST_FPERIOD_OVERRIDE=FQ","FILING_STATUS=OR","EQY_CONSOLIDATED=Y","FA_ADJUSTED=GAAP","Sort=A","Dates=H","DateFormat=P","Fill=—","Direction=H","UseDPDF=Y")</f>
        <v>#NAME?</v>
      </c>
      <c r="L239" t="e">
        <f ca="1">_xll.BDH($C$228,"INCREMENTAL_OPERATING_MARGIN","FQ1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39" t="e">
        <f ca="1">_xll.BDH($C$228,"PRETAX_INC_TO_NET_SALES","FQ1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39" t="e">
        <f ca="1">_xll.BDH($C$228,"INC_BEF_XO_ITEMS_TO_NET_SALES","FQ1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39" t="e">
        <f ca="1">_xll.BDH($C$228,"PROF_MARGIN","FQ1 2016","FQ1 2016","Currency=INR","Period=FQ","BEST_FPERIOD_OVERRIDE=FQ","FILING_STATUS=OR","EQY_CONSOLIDATED=Y","FA_ADJUSTED=GAAP","Sort=A","Dates=H","DateFormat=P","Fill=—","Direction=H","UseDPDF=Y")</f>
        <v>#NAME?</v>
      </c>
      <c r="P239" t="e">
        <f ca="1">_xll.BDH($C$228,"NET_INCOME_TO_COMMON_MARGIN","FQ1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39" t="e">
        <f ca="1">_xll.BDH($C$228,"EFF_TAX_RATE","FQ1 2016","FQ1 2016","Currency=INR","Period=FQ","BEST_FPERIOD_OVERRIDE=FQ","FILING_STATUS=OR","EQY_CONSOLIDATED=Y","FA_ADJUSTED=GAAP","Sort=A","Dates=H","DateFormat=P","Fill=—","Direction=H","UseDPDF=Y")</f>
        <v>#NAME?</v>
      </c>
      <c r="R239" t="e">
        <f ca="1">_xll.BDH($C$228,"DVD_PAYOUT_RATIO","FQ1 2016","FQ1 2016","Currency=INR","Period=FQ","BEST_FPERIOD_OVERRIDE=FQ","FILING_STATUS=OR","EQY_CONSOLIDATED=Y","FA_ADJUSTED=GAAP","Sort=A","Dates=H","DateFormat=P","Fill=—","Direction=H","UseDPDF=Y")</f>
        <v>#NAME?</v>
      </c>
      <c r="S239" t="e">
        <f ca="1">_xll.BDH($C$228,"SUSTAIN_GROWTH_RT","FQ1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239" s="1" t="e">
        <f ca="1">_xll.BDH($C$228,"SALES_GROWTH","FQ1 2016","FQ1 2016","Currency=INR","Period=FQ","BEST_FPERIOD_OVERRIDE=FQ","FILING_STATUS=OR","EQY_CONSOLIDATED=Y","FA_ADJUSTED=GAAP","Sort=A","Dates=H","DateFormat=P","Fill=—","Direction=H","UseDPDF=Y")</f>
        <v>#NAME?</v>
      </c>
      <c r="U239" s="1" t="e">
        <f ca="1">_xll.BDH($C$228,"EBITDA_GROWTH","FQ1 2016","FQ1 2016","Currency=INR","Period=FQ","BEST_FPERIOD_OVERRIDE=FQ","FILING_STATUS=OR","EQY_CONSOLIDATED=Y","FA_ADJUSTED=GAAP","Sort=A","Dates=H","DateFormat=P","Fill=—","Direction=H","UseDPDF=Y")</f>
        <v>#NAME?</v>
      </c>
      <c r="V239" s="1" t="e">
        <f ca="1">_xll.BDH($C$228,"OPER_INC_GROWTH","FQ1 2016","FQ1 2016","Currency=INR","Period=FQ","BEST_FPERIOD_OVERRIDE=FQ","FILING_STATUS=OR","EQY_CONSOLIDATED=Y","FA_ADJUSTED=GAAP","Sort=A","Dates=H","DateFormat=P","Fill=—","Direction=H","UseDPDF=Y")</f>
        <v>#NAME?</v>
      </c>
      <c r="W239" s="1" t="e">
        <f ca="1">_xll.BDH($C$228,"EARN_FOR_COM_GROWTH","FQ1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39" s="1" t="e">
        <f ca="1">_xll.BDH($C$228,"DILUTED_EPS_AFT_XO_ITEMS_GROWTH","FQ1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39" s="1" t="e">
        <f ca="1">_xll.BDH($C$228,"DIVIDEND_PER_SHARE_1_YEAR_GROWTH","FQ1 2016","FQ1 2016","Currency=INR","Period=FQ","BEST_FPERIOD_OVERRIDE=FQ","FILING_STATUS=OR","EQY_CONSOLIDATED=Y","Sort=A","Dates=H","DateFormat=P","Fill=—","Direction=H","UseDPDF=Y")</f>
        <v>#NAME?</v>
      </c>
      <c r="Z239" s="1" t="e">
        <f ca="1">_xll.BDH($C$228,"ACCOUNTS_RECEIVABLE_GROWTH","FQ1 2016","FQ1 2016","Currency=INR","Period=FQ","BEST_FPERIOD_OVERRIDE=FQ","FILING_STATUS=OR","EQY_CONSOLIDATED=Y","Sort=A","Dates=H","DateFormat=P","Fill=—","Direction=H","UseDPDF=Y")</f>
        <v>#NAME?</v>
      </c>
      <c r="AA239" s="1" t="e">
        <f ca="1">_xll.BDH($C$228,"INVENTORY_GROWTH","FQ1 2016","FQ1 2016","Currency=INR","Period=FQ","BEST_FPERIOD_OVERRIDE=FQ","FILING_STATUS=OR","EQY_CONSOLIDATED=Y","Sort=A","Dates=H","DateFormat=P","Fill=—","Direction=H","UseDPDF=Y")</f>
        <v>#NAME?</v>
      </c>
      <c r="AB239" s="1" t="e">
        <f ca="1">_xll.BDH($C$228,"NET_FIXED_ASSETS_1_YEAR_GROWTH","FQ1 2016","FQ1 2016","Currency=INR","Period=FQ","BEST_FPERIOD_OVERRIDE=FQ","FILING_STATUS=OR","EQY_CONSOLIDATED=Y","Sort=A","Dates=H","DateFormat=P","Fill=—","Direction=H","UseDPDF=Y")</f>
        <v>#NAME?</v>
      </c>
      <c r="AC239" s="1" t="e">
        <f ca="1">_xll.BDH($C$228,"ASSET_GROWTH","FQ1 2016","FQ1 2016","Currency=INR","Period=FQ","BEST_FPERIOD_OVERRIDE=FQ","FILING_STATUS=OR","EQY_CONSOLIDATED=Y","Sort=A","Dates=H","DateFormat=P","Fill=—","Direction=H","UseDPDF=Y")</f>
        <v>#NAME?</v>
      </c>
      <c r="AD239" s="1" t="e">
        <f ca="1">_xll.BDH($C$228,"MODIFIED_WORK_CAP_GROWTH","FQ1 2016","FQ1 2016","Currency=INR","Period=FQ","BEST_FPERIOD_OVERRIDE=FQ","FILING_STATUS=OR","EQY_CONSOLIDATED=Y","Sort=A","Dates=H","DateFormat=P","Fill=—","Direction=H","UseDPDF=Y")</f>
        <v>#NAME?</v>
      </c>
      <c r="AE239" s="1" t="e">
        <f ca="1">_xll.BDH($C$228,"WORK_CAP_GROWTH","FQ1 2016","FQ1 2016","Currency=INR","Period=FQ","BEST_FPERIOD_OVERRIDE=FQ","FILING_STATUS=OR","EQY_CONSOLIDATED=Y","Sort=A","Dates=H","DateFormat=P","Fill=—","Direction=H","UseDPDF=Y")</f>
        <v>#NAME?</v>
      </c>
      <c r="AF239" s="1" t="e">
        <f ca="1">_xll.BDH($C$228,"ACCOUNTS_PAYABLE_GROWTH_1YR","FQ1 2016","FQ1 2016","Currency=INR","Period=FQ","BEST_FPERIOD_OVERRIDE=FQ","FILING_STATUS=OR","EQY_CONSOLIDATED=Y","Sort=A","Dates=H","DateFormat=P","Fill=—","Direction=H","UseDPDF=Y")</f>
        <v>#NAME?</v>
      </c>
      <c r="AG239" s="1" t="e">
        <f ca="1">_xll.BDH($C$228,"SHORT_TERM_DEBT_1_YEAR_GROWTH","FQ1 2016","FQ1 2016","Currency=INR","Period=FQ","BEST_FPERIOD_OVERRIDE=FQ","FILING_STATUS=OR","EQY_CONSOLIDATED=Y","Sort=A","Dates=H","DateFormat=P","Fill=—","Direction=H","UseDPDF=Y")</f>
        <v>#NAME?</v>
      </c>
      <c r="AH239" s="1" t="e">
        <f ca="1">_xll.BDH($C$228,"TOTAL_DEBT_1_YEAR_GROWTH","FQ1 2016","FQ1 2016","Currency=INR","Period=FQ","BEST_FPERIOD_OVERRIDE=FQ","FILING_STATUS=OR","EQY_CONSOLIDATED=Y","Sort=A","Dates=H","DateFormat=P","Fill=—","Direction=H","UseDPDF=Y")</f>
        <v>#NAME?</v>
      </c>
      <c r="AI239" s="1" t="e">
        <f ca="1">_xll.BDH($C$228,"TOTAL_EQUITY_1_YEAR_GROWTH","FQ1 2016","FQ1 2016","Currency=INR","Period=FQ","BEST_FPERIOD_OVERRIDE=FQ","FILING_STATUS=OR","EQY_CONSOLIDATED=Y","Sort=A","Dates=H","DateFormat=P","Fill=—","Direction=H","UseDPDF=Y")</f>
        <v>#NAME?</v>
      </c>
      <c r="AJ239" s="1" t="e">
        <f ca="1">_xll.BDH($C$228,"GROWTH_IN_CAP","FQ1 2016","FQ1 2016","Currency=INR","Period=FQ","BEST_FPERIOD_OVERRIDE=FQ","FILING_STATUS=OR","EQY_CONSOLIDATED=Y","Sort=A","Dates=H","DateFormat=P","Fill=—","Direction=H","UseDPDF=Y")</f>
        <v>#NAME?</v>
      </c>
      <c r="AK239" s="1" t="e">
        <f ca="1">_xll.BDH($C$228,"BVPS_GROWTH","FQ1 2016","FQ1 2016","Currency=INR","Period=FQ","BEST_FPERIOD_OVERRIDE=FQ","FILING_STATUS=OR","EQY_CONSOLIDATED=Y","Sort=A","Dates=H","DateFormat=P","Fill=—","Direction=H","UseDPDF=Y")</f>
        <v>#NAME?</v>
      </c>
      <c r="AL239" s="1" t="e">
        <f ca="1">_xll.BDH($C$228,"CASH_FLOW_GROWTH","FQ1 2016","FQ1 2016","Currency=INR","Period=FQ","BEST_FPERIOD_OVERRIDE=FQ","FILING_STATUS=OR","EQY_CONSOLIDATED=Y","Sort=A","Dates=H","DateFormat=P","Fill=—","Direction=H","UseDPDF=Y")</f>
        <v>#NAME?</v>
      </c>
      <c r="AM239" s="1" t="e">
        <f ca="1">_xll.BDH($C$228,"GEO_GROW_NET_SALES","FQ1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39" s="1" t="e">
        <f ca="1">_xll.BDH($C$228,"GEO_GROW_EBITDA","FQ1 2016","FQ1 2016","Currency=INR","Period=FQ","BEST_FPERIOD_OVERRIDE=FQ","FILING_STATUS=OR","EQY_CONSOLIDATED=Y","FA_ADJUSTED=GAAP","Sort=A","Dates=H","DateFormat=P","Fill=—","Direction=H","UseDPDF=Y")</f>
        <v>#NAME?</v>
      </c>
      <c r="AO239" s="1" t="e">
        <f ca="1">_xll.BDH($C$228,"GEO_GROW_OPER_INC","FQ1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39" s="1" t="e">
        <f ca="1">_xll.BDH($C$228,"NET_INCOME_TO_COMMON_5_YR_GROWTH","FQ1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39" s="1" t="e">
        <f ca="1">_xll.BDH($C$228,"5Y_GEO_GROWTH_DILUTED_EPS","FQ1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39" s="1" t="e">
        <f ca="1">_xll.BDH($C$228,"GEO_GROW_DVD_PER_SH","FQ1 2016","FQ1 2016","Currency=INR","Period=FQ","BEST_FPERIOD_OVERRIDE=FQ","FILING_STATUS=OR","EQY_CONSOLIDATED=Y","Sort=A","Dates=H","DateFormat=P","Fill=—","Direction=H","UseDPDF=Y")</f>
        <v>#NAME?</v>
      </c>
      <c r="AS239" s="1" t="e">
        <f ca="1">_xll.BDH($C$228,"ACCOUNTS_RECEIVABLE_5_YR_GROWTH","FQ1 2016","FQ1 2016","Currency=INR","Period=FQ","BEST_FPERIOD_OVERRIDE=FQ","FILING_STATUS=OR","EQY_CONSOLIDATED=Y","Sort=A","Dates=H","DateFormat=P","Fill=—","Direction=H","UseDPDF=Y")</f>
        <v>#NAME?</v>
      </c>
      <c r="AT239" s="1" t="e">
        <f ca="1">_xll.BDH($C$228,"INVENTORY_5_YEAR_GROWTH","FQ1 2016","FQ1 2016","Currency=INR","Period=FQ","BEST_FPERIOD_OVERRIDE=FQ","FILING_STATUS=OR","EQY_CONSOLIDATED=Y","Sort=A","Dates=H","DateFormat=P","Fill=—","Direction=H","UseDPDF=Y")</f>
        <v>#NAME?</v>
      </c>
      <c r="AU239" s="1" t="e">
        <f ca="1">_xll.BDH($C$228,"NET_FIXED_ASSETS_5_YEAR_GROWTH","FQ1 2016","FQ1 2016","Currency=INR","Period=FQ","BEST_FPERIOD_OVERRIDE=FQ","FILING_STATUS=OR","EQY_CONSOLIDATED=Y","Sort=A","Dates=H","DateFormat=P","Fill=—","Direction=H","UseDPDF=Y")</f>
        <v>#NAME?</v>
      </c>
      <c r="AV239" s="1" t="e">
        <f ca="1">_xll.BDH($C$228,"GEO_GROW_TOT_ASSET","FQ1 2016","FQ1 2016","Currency=INR","Period=FQ","BEST_FPERIOD_OVERRIDE=FQ","FILING_STATUS=OR","EQY_CONSOLIDATED=Y","Sort=A","Dates=H","DateFormat=P","Fill=—","Direction=H","UseDPDF=Y")</f>
        <v>#NAME?</v>
      </c>
      <c r="AW239" s="1" t="e">
        <f ca="1">_xll.BDH($C$228,"MODIFIED_WORKING_CPTL_5YR_GRWTH","FQ1 2016","FQ1 2016","Currency=INR","Period=FQ","BEST_FPERIOD_OVERRIDE=FQ","FILING_STATUS=OR","EQY_CONSOLIDATED=Y","Sort=A","Dates=H","DateFormat=P","Fill=—","Direction=H","UseDPDF=Y")</f>
        <v>#NAME?</v>
      </c>
      <c r="AX239" s="1" t="e">
        <f ca="1">_xll.BDH($C$228,"WORKING_CAPITAL_5_YEAR_GROWTH","FQ1 2016","FQ1 2016","Currency=INR","Period=FQ","BEST_FPERIOD_OVERRIDE=FQ","FILING_STATUS=OR","EQY_CONSOLIDATED=Y","Sort=A","Dates=H","DateFormat=P","Fill=—","Direction=H","UseDPDF=Y")</f>
        <v>#NAME?</v>
      </c>
      <c r="AY239" s="1" t="e">
        <f ca="1">_xll.BDH($C$228,"ACCOUNTS_PAYABLE_5_YEAR_GROWTH","FQ1 2016","FQ1 2016","Currency=INR","Period=FQ","BEST_FPERIOD_OVERRIDE=FQ","FILING_STATUS=OR","EQY_CONSOLIDATED=Y","Sort=A","Dates=H","DateFormat=P","Fill=—","Direction=H","UseDPDF=Y")</f>
        <v>#NAME?</v>
      </c>
      <c r="AZ239" s="1" t="e">
        <f ca="1">_xll.BDH($C$228,"SHORT_TERM_DEBT_5_YEAR_GROWTH","FQ1 2016","FQ1 2016","Currency=INR","Period=FQ","BEST_FPERIOD_OVERRIDE=FQ","FILING_STATUS=OR","EQY_CONSOLIDATED=Y","Sort=A","Dates=H","DateFormat=P","Fill=—","Direction=H","UseDPDF=Y")</f>
        <v>#NAME?</v>
      </c>
      <c r="BA239" s="1" t="e">
        <f ca="1">_xll.BDH($C$228,"TOTAL_DEBT_5_YEAR_GROWTH","FQ1 2016","FQ1 2016","Currency=INR","Period=FQ","BEST_FPERIOD_OVERRIDE=FQ","FILING_STATUS=OR","EQY_CONSOLIDATED=Y","Sort=A","Dates=H","DateFormat=P","Fill=—","Direction=H","UseDPDF=Y")</f>
        <v>#NAME?</v>
      </c>
      <c r="BB239" s="1" t="e">
        <f ca="1">_xll.BDH($C$228,"GEO_GROW_TOT_SHRHLDR_EQY","FQ1 2016","FQ1 2016","Currency=INR","Period=FQ","BEST_FPERIOD_OVERRIDE=FQ","FILING_STATUS=OR","EQY_CONSOLIDATED=Y","Sort=A","Dates=H","DateFormat=P","Fill=—","Direction=H","UseDPDF=Y")</f>
        <v>#NAME?</v>
      </c>
      <c r="BC239" s="1" t="e">
        <f ca="1">_xll.BDH($C$228,"TOTAL_CAPITAL_5_YEAR_GROWTH","FQ1 2016","FQ1 2016","Currency=INR","Period=FQ","BEST_FPERIOD_OVERRIDE=FQ","FILING_STATUS=OR","EQY_CONSOLIDATED=Y","Sort=A","Dates=H","DateFormat=P","Fill=—","Direction=H","UseDPDF=Y")</f>
        <v>#NAME?</v>
      </c>
      <c r="BD239" s="1" t="e">
        <f ca="1">_xll.BDH($C$228,"GEO_GROW_BOOK_VAL","FQ1 2016","FQ1 2016","Currency=INR","Period=FQ","BEST_FPERIOD_OVERRIDE=FQ","FILING_STATUS=OR","EQY_CONSOLIDATED=Y","Sort=A","Dates=H","DateFormat=P","Fill=—","Direction=H","UseDPDF=Y")</f>
        <v>#NAME?</v>
      </c>
      <c r="BE239" s="1" t="e">
        <f ca="1">_xll.BDH($C$228,"GEO_GROW_CASH_OPER_ACT","FQ1 2016","FQ1 2016","Currency=INR","Period=FQ","BEST_FPERIOD_OVERRIDE=FQ","FILING_STATUS=OR","EQY_CONSOLIDATED=Y","Sort=A","Dates=H","DateFormat=P","Fill=—","Direction=H","UseDPDF=Y")</f>
        <v>#NAME?</v>
      </c>
      <c r="BF239" s="1" t="e">
        <f ca="1">_xll.BDH($C$228,"REVENUE_SEQUENTIAL_GROWTH","FQ1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39" s="1" t="e">
        <f ca="1">_xll.BDH($C$228,"EBITDA_SEQUENTIAL_GROWTH","FQ1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39" s="1" t="e">
        <f ca="1">_xll.BDH($C$228,"OPERATING_INCOME_SEQ_GROWTH","FQ1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39" s="1" t="e">
        <f ca="1">_xll.BDH($C$228,"NET_INCOME_TO_COMMON_SEQ_GROWTH","FQ1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39" s="1" t="e">
        <f ca="1">_xll.BDH($C$228,"EPS_DILUTED_SEQUENTIAL_GROWTH","FQ1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39" s="1" t="e">
        <f ca="1">_xll.BDH($C$228,"DPS_SEQUENTIAL_GROWTH","FQ1 2016","FQ1 2016","Currency=INR","Period=FQ","BEST_FPERIOD_OVERRIDE=FQ","FILING_STATUS=OR","EQY_CONSOLIDATED=Y","Sort=A","Dates=H","DateFormat=P","Fill=—","Direction=H","UseDPDF=Y")</f>
        <v>#NAME?</v>
      </c>
      <c r="BL239" s="1" t="e">
        <f ca="1">_xll.BDH($C$228,"ACCOUNTS_RECEIVABLE_SEQ_GROWTH","FQ1 2016","FQ1 2016","Currency=INR","Period=FQ","BEST_FPERIOD_OVERRIDE=FQ","FILING_STATUS=OR","EQY_CONSOLIDATED=Y","Sort=A","Dates=H","DateFormat=P","Fill=—","Direction=H","UseDPDF=Y")</f>
        <v>#NAME?</v>
      </c>
      <c r="BM239" s="1" t="e">
        <f ca="1">_xll.BDH($C$228,"INVENTORY_SEQUENTIAL_GROWTH","FQ1 2016","FQ1 2016","Currency=INR","Period=FQ","BEST_FPERIOD_OVERRIDE=FQ","FILING_STATUS=OR","EQY_CONSOLIDATED=Y","Sort=A","Dates=H","DateFormat=P","Fill=—","Direction=H","UseDPDF=Y")</f>
        <v>#NAME?</v>
      </c>
      <c r="BN239" s="1" t="e">
        <f ca="1">_xll.BDH($C$228,"FIXED_ASSETS_SEQUENTIAL_GROWTH","FQ1 2016","FQ1 2016","Currency=INR","Period=FQ","BEST_FPERIOD_OVERRIDE=FQ","FILING_STATUS=OR","EQY_CONSOLIDATED=Y","Sort=A","Dates=H","DateFormat=P","Fill=—","Direction=H","UseDPDF=Y")</f>
        <v>#NAME?</v>
      </c>
      <c r="BO239" s="1" t="e">
        <f ca="1">_xll.BDH($C$228,"TOTAL_ASSETS_SEQUENTIAL_GROWTH","FQ1 2016","FQ1 2016","Currency=INR","Period=FQ","BEST_FPERIOD_OVERRIDE=FQ","FILING_STATUS=OR","EQY_CONSOLIDATED=Y","Sort=A","Dates=H","DateFormat=P","Fill=—","Direction=H","UseDPDF=Y")</f>
        <v>#NAME?</v>
      </c>
      <c r="BP239" s="1" t="e">
        <f ca="1">_xll.BDH($C$228,"MODIFIED_WORKING_CPTL_SEQ_GRWTH","FQ1 2016","FQ1 2016","Currency=INR","Period=FQ","BEST_FPERIOD_OVERRIDE=FQ","FILING_STATUS=OR","EQY_CONSOLIDATED=Y","Sort=A","Dates=H","DateFormat=P","Fill=—","Direction=H","UseDPDF=Y")</f>
        <v>#NAME?</v>
      </c>
      <c r="BQ239" s="1" t="e">
        <f ca="1">_xll.BDH($C$228,"WORKING_CAPITAL_SEQ_GROWTH","FQ1 2016","FQ1 2016","Currency=INR","Period=FQ","BEST_FPERIOD_OVERRIDE=FQ","FILING_STATUS=OR","EQY_CONSOLIDATED=Y","Sort=A","Dates=H","DateFormat=P","Fill=—","Direction=H","UseDPDF=Y")</f>
        <v>#NAME?</v>
      </c>
      <c r="BR239" s="1" t="e">
        <f ca="1">_xll.BDH($C$228,"ACCOUNTS_PAYABLE_SEQ_GROWTH","FQ1 2016","FQ1 2016","Currency=INR","Period=FQ","BEST_FPERIOD_OVERRIDE=FQ","FILING_STATUS=OR","EQY_CONSOLIDATED=Y","Sort=A","Dates=H","DateFormat=P","Fill=—","Direction=H","UseDPDF=Y")</f>
        <v>#NAME?</v>
      </c>
      <c r="BS239" s="1" t="e">
        <f ca="1">_xll.BDH($C$228,"ST_DEBT_SEQUENTIAL_GROWTH","FQ1 2016","FQ1 2016","Currency=INR","Period=FQ","BEST_FPERIOD_OVERRIDE=FQ","FILING_STATUS=OR","EQY_CONSOLIDATED=Y","Sort=A","Dates=H","DateFormat=P","Fill=—","Direction=H","UseDPDF=Y")</f>
        <v>#NAME?</v>
      </c>
      <c r="BT239" s="1" t="e">
        <f ca="1">_xll.BDH($C$228,"TOTAL_DEBT_SEQUENTIAL_GROWTH","FQ1 2016","FQ1 2016","Currency=INR","Period=FQ","BEST_FPERIOD_OVERRIDE=FQ","FILING_STATUS=OR","EQY_CONSOLIDATED=Y","Sort=A","Dates=H","DateFormat=P","Fill=—","Direction=H","UseDPDF=Y")</f>
        <v>#NAME?</v>
      </c>
      <c r="BU239" s="1" t="e">
        <f ca="1">_xll.BDH($C$228,"TOTAL_EQUITY_SEQUENTIAL_GROWTH","FQ1 2016","FQ1 2016","Currency=INR","Period=FQ","BEST_FPERIOD_OVERRIDE=FQ","FILING_STATUS=OR","EQY_CONSOLIDATED=Y","Sort=A","Dates=H","DateFormat=P","Fill=—","Direction=H","UseDPDF=Y")</f>
        <v>#NAME?</v>
      </c>
      <c r="BV239" s="1" t="e">
        <f ca="1">_xll.BDH($C$228,"TOTAL_CAPITAL_SEQUENTIAL_GROWTH","FQ1 2016","FQ1 2016","Currency=INR","Period=FQ","BEST_FPERIOD_OVERRIDE=FQ","FILING_STATUS=OR","EQY_CONSOLIDATED=Y","Sort=A","Dates=H","DateFormat=P","Fill=—","Direction=H","UseDPDF=Y")</f>
        <v>#NAME?</v>
      </c>
      <c r="BW239" s="1" t="e">
        <f ca="1">_xll.BDH($C$228,"BPS_SEQUENTIAL_GROWTH","FQ1 2016","FQ1 2016","Currency=INR","Period=FQ","BEST_FPERIOD_OVERRIDE=FQ","FILING_STATUS=OR","EQY_CONSOLIDATED=Y","Sort=A","Dates=H","DateFormat=P","Fill=—","Direction=H","UseDPDF=Y")</f>
        <v>#NAME?</v>
      </c>
      <c r="BX239" s="1" t="e">
        <f ca="1">_xll.BDH($C$228,"CFO_SEQUENTIAL_GROWTH","FQ1 2016","FQ1 2016","Currency=INR","Period=FQ","BEST_FPERIOD_OVERRIDE=FQ","FILING_STATUS=OR","EQY_CONSOLIDATED=Y","Sort=A","Dates=H","DateFormat=P","Fill=—","Direction=H","UseDPDF=Y")</f>
        <v>#NAME?</v>
      </c>
      <c r="BY239" s="2" t="e">
        <f ca="1">_xll.BDH($C$228,"SHORT_AND_LONG_TERM_DEBT","FQ1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39" s="2" t="e">
        <f ca="1">_xll.BDH($C$228,"BS_ST_BORROW","FQ1 2016","FQ1 2016","Currency=INR","Period=FQ","BEST_FPERIOD_OVERRIDE=FQ","FILING_STATUS=OR","EQY_CONSOLIDATED=Y","SCALING_FORMAT=MLN","Sort=A","Dates=H","DateFormat=P","Fill=—","Direction=H","UseDPDF=Y")</f>
        <v>#NAME?</v>
      </c>
      <c r="CA239" s="2" t="e">
        <f ca="1">_xll.BDH($C$228,"BS_LT_BORROW","FQ1 2016","FQ1 2016","Currency=INR","Period=FQ","BEST_FPERIOD_OVERRIDE=FQ","FILING_STATUS=OR","EQY_CONSOLIDATED=Y","SCALING_FORMAT=MLN","Sort=A","Dates=H","DateFormat=P","Fill=—","Direction=H","UseDPDF=Y")</f>
        <v>#NAME?</v>
      </c>
      <c r="CB239" s="1" t="e">
        <f ca="1">_xll.BDH($C$228,"TOT_DEBT_TO_EBITDA","FQ1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39" s="1" t="e">
        <f ca="1">_xll.BDH($C$228,"NET_DEBT_TO_EBITDA","FQ1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39" s="1" t="e">
        <f ca="1">_xll.BDH($C$228,"TOTAL_DEBT_TO_EBIT","FQ1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39" s="1" t="e">
        <f ca="1">_xll.BDH($C$228,"NET_DEBT_TO_EBIT","FQ1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239" s="1" t="e">
        <f ca="1">_xll.BDH($C$228,"EBITDA_TO_INTEREST_EXPN","FQ1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39" s="1" t="e">
        <f ca="1">_xll.BDH($C$228,"COM_EQY_TO_TOT_ASSET","FQ1 2016","FQ1 2016","Currency=INR","Period=FQ","BEST_FPERIOD_OVERRIDE=FQ","FILING_STATUS=OR","EQY_CONSOLIDATED=Y","Sort=A","Dates=H","DateFormat=P","Fill=—","Direction=H","UseDPDF=Y")</f>
        <v>#NAME?</v>
      </c>
      <c r="CH239" s="1" t="e">
        <f ca="1">_xll.BDH($C$228,"LT_DEBT_TO_TOT_EQY","FQ1 2016","FQ1 2016","Currency=INR","Period=FQ","BEST_FPERIOD_OVERRIDE=FQ","FILING_STATUS=OR","EQY_CONSOLIDATED=Y","Sort=A","Dates=H","DateFormat=P","Fill=—","Direction=H","UseDPDF=Y")</f>
        <v>#NAME?</v>
      </c>
      <c r="CI239" s="1" t="e">
        <f ca="1">_xll.BDH($C$228,"LT_DEBT_TO_TOT_CAP","FQ1 2016","FQ1 2016","Currency=INR","Period=FQ","BEST_FPERIOD_OVERRIDE=FQ","FILING_STATUS=OR","EQY_CONSOLIDATED=Y","Sort=A","Dates=H","DateFormat=P","Fill=—","Direction=H","UseDPDF=Y")</f>
        <v>#NAME?</v>
      </c>
      <c r="CJ239" s="1" t="e">
        <f ca="1">_xll.BDH($C$228,"LT_DEBT_TO_TOT_ASSET","FQ1 2016","FQ1 2016","Currency=INR","Period=FQ","BEST_FPERIOD_OVERRIDE=FQ","FILING_STATUS=OR","EQY_CONSOLIDATED=Y","Sort=A","Dates=H","DateFormat=P","Fill=—","Direction=H","UseDPDF=Y")</f>
        <v>#NAME?</v>
      </c>
      <c r="CK239" s="1" t="e">
        <f ca="1">_xll.BDH($C$228,"TOT_DEBT_TO_TOT_EQY","FQ1 2016","FQ1 2016","Currency=INR","Period=FQ","BEST_FPERIOD_OVERRIDE=FQ","FILING_STATUS=OR","EQY_CONSOLIDATED=Y","Sort=A","Dates=H","DateFormat=P","Fill=—","Direction=H","UseDPDF=Y")</f>
        <v>#NAME?</v>
      </c>
      <c r="CL239" s="1" t="e">
        <f ca="1">_xll.BDH($C$228,"TOT_DEBT_TO_TOT_CAP","FQ1 2016","FQ1 2016","Currency=INR","Period=FQ","BEST_FPERIOD_OVERRIDE=FQ","FILING_STATUS=OR","EQY_CONSOLIDATED=Y","Sort=A","Dates=H","DateFormat=P","Fill=—","Direction=H","UseDPDF=Y")</f>
        <v>#NAME?</v>
      </c>
      <c r="CM239" s="1" t="e">
        <f ca="1">_xll.BDH($C$228,"TOT_DEBT_TO_TOT_ASSET","FQ1 2016","FQ1 2016","Currency=INR","Period=FQ","BEST_FPERIOD_OVERRIDE=FQ","FILING_STATUS=OR","EQY_CONSOLIDATED=Y","Sort=A","Dates=H","DateFormat=P","Fill=—","Direction=H","UseDPDF=Y")</f>
        <v>#NAME?</v>
      </c>
      <c r="CN239" s="1" t="e">
        <f ca="1">_xll.BDH($C$228,"NET_DEBT_TO_SHRHLDR_EQTY","FQ1 2016","FQ1 2016","Currency=INR","Period=FQ","BEST_FPERIOD_OVERRIDE=FQ","FILING_STATUS=OR","EQY_CONSOLIDATED=Y","Sort=A","Dates=H","DateFormat=P","Fill=—","Direction=H","UseDPDF=Y")</f>
        <v>#NAME?</v>
      </c>
      <c r="CO239" s="1" t="e">
        <f ca="1">_xll.BDH($C$228,"NET_DEBT_%_CAPITAL","FQ1 2016","FQ1 2016","Currency=INR","Period=FQ","BEST_FPERIOD_OVERRIDE=FQ","FILING_STATUS=OR","EQY_CONSOLIDATED=Y","Sort=A","Dates=H","DateFormat=P","Fill=—","Direction=H","UseDPDF=Y")</f>
        <v>#NAME?</v>
      </c>
      <c r="CP239" s="2" t="e">
        <f ca="1">_xll.BDH($C$228,"EBITDA","FQ1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39" s="2" t="e">
        <f ca="1">_xll.BDH($C$228,"EBITDA_AFTER_CAPEX","FQ1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39" s="2" t="e">
        <f ca="1">_xll.BDH($C$228,"IS_OPER_INC","FQ1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39" s="1" t="e">
        <f ca="1">_xll.BDH($C$228,"CASH_RATIO","FQ1 2016","FQ1 2016","Currency=INR","Period=FQ","BEST_FPERIOD_OVERRIDE=FQ","FILING_STATUS=OR","EQY_CONSOLIDATED=Y","Sort=A","Dates=H","DateFormat=P","Fill=—","Direction=H","UseDPDF=Y")</f>
        <v>#NAME?</v>
      </c>
      <c r="CT239" s="1" t="e">
        <f ca="1">_xll.BDH($C$228,"CUR_RATIO","FQ1 2016","FQ1 2016","Currency=INR","Period=FQ","BEST_FPERIOD_OVERRIDE=FQ","FILING_STATUS=OR","EQY_CONSOLIDATED=Y","Sort=A","Dates=H","DateFormat=P","Fill=—","Direction=H","UseDPDF=Y")</f>
        <v>#NAME?</v>
      </c>
      <c r="CU239" s="1" t="e">
        <f ca="1">_xll.BDH($C$228,"QUICK_RATIO","FQ1 2016","FQ1 2016","Currency=INR","Period=FQ","BEST_FPERIOD_OVERRIDE=FQ","FILING_STATUS=OR","EQY_CONSOLIDATED=Y","Sort=A","Dates=H","DateFormat=P","Fill=—","Direction=H","UseDPDF=Y")</f>
        <v>#NAME?</v>
      </c>
      <c r="CV239" s="1" t="e">
        <f ca="1">_xll.BDH($C$228,"ALTMAN_Z_SCORE","FQ1 2016","FQ1 2016","Currency=INR","Period=FQ","BEST_FPERIOD_OVERRIDE=FQ","FILING_STATUS=OR","EQY_CONSOLIDATED=Y","Sort=A","Dates=H","DateFormat=P","Fill=—","Direction=H","UseDPDF=Y")</f>
        <v>#NAME?</v>
      </c>
      <c r="CW239" s="3" t="e">
        <f ca="1">_xll.BDH($C$228,"ACCT_RCV_TURN","FQ1 2016","FQ1 2016","Currency=INR","Period=FQ","BEST_FPERIOD_OVERRIDE=FQ","FILING_STATUS=OR","EQY_CONSOLIDATED=Y","FA_ADJUSTED=GAAP","Sort=A","Dates=H","DateFormat=P","Fill=—","Direction=H","UseDPDF=Y")</f>
        <v>#NAME?</v>
      </c>
      <c r="CX239" s="1" t="e">
        <f ca="1">_xll.BDH($C$228,"ACCT_RCV_DAYS","FQ1 2016","FQ1 2016","Currency=INR","Period=FQ","BEST_FPERIOD_OVERRIDE=FQ","FILING_STATUS=OR","EQY_CONSOLIDATED=Y","FA_ADJUSTED=GAAP","Sort=A","Dates=H","DateFormat=P","Fill=—","Direction=H","UseDPDF=Y")</f>
        <v>#NAME?</v>
      </c>
      <c r="CY239" s="3" t="e">
        <f ca="1">_xll.BDH($C$228,"INVENT_TURN","FQ1 2016","FQ1 2016","Currency=INR","Period=FQ","BEST_FPERIOD_OVERRIDE=FQ","FILING_STATUS=OR","EQY_CONSOLIDATED=Y","FA_ADJUSTED=GAAP","Sort=A","Dates=H","DateFormat=P","Fill=—","Direction=H","UseDPDF=Y")</f>
        <v>#NAME?</v>
      </c>
      <c r="CZ239" s="1" t="e">
        <f ca="1">_xll.BDH($C$228,"INVENT_DAYS","FQ1 2016","FQ1 2016","Currency=INR","Period=FQ","BEST_FPERIOD_OVERRIDE=FQ","FILING_STATUS=OR","EQY_CONSOLIDATED=Y","FA_ADJUSTED=GAAP","Sort=A","Dates=H","DateFormat=P","Fill=—","Direction=H","UseDPDF=Y")</f>
        <v>#NAME?</v>
      </c>
      <c r="DA239" s="3" t="e">
        <f ca="1">_xll.BDH($C$228,"ACCOUNTS_PAYABLE_TURNOVER","FQ1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39" s="1" t="e">
        <f ca="1">_xll.BDH($C$228,"ACCOUNTS_PAYABLE_TURNOVER_DAYS","FQ1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39" s="3" t="e">
        <f ca="1">_xll.BDH($C$228,"CASH_CONVERSION_CYCLE","FQ1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39" s="3" t="e">
        <f ca="1">_xll.BDH($C$228,"INV_TO_CASH_DAYS","FQ1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239" s="4" t="e">
        <f ca="1">_xll.BDH($C$228,"BS_INVENTORIES","FQ1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239" s="2" t="e">
        <f ca="1">_xll.BDH($C$228,"INVTRY_RAW_MATERIALS","FQ1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39" s="2" t="e">
        <f ca="1">_xll.BDH($C$228,"INVTRY_IN_PROGRESS","FQ1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39" s="2" t="e">
        <f ca="1">_xll.BDH($C$228,"INVTRY_FINISHED_GOODS","FQ1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39" s="2" t="e">
        <f ca="1">_xll.BDH($C$228,"BS_OTHER_INV","FQ1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40" spans="1:113" x14ac:dyDescent="0.3">
      <c r="A240" s="6"/>
      <c r="B240" s="6"/>
      <c r="C240" s="6"/>
      <c r="D240" s="6"/>
      <c r="E240" t="s">
        <v>5</v>
      </c>
      <c r="F240" t="e">
        <f ca="1">_xll.BDH($C$228,"RETURN_COM_EQY","FQ2 2016","FQ2 2016","Currency=INR","Period=FQ","BEST_FPERIOD_OVERRIDE=FQ","FILING_STATUS=OR","EQY_CONSOLIDATED=Y","FA_ADJUSTED=GAAP","Sort=A","Dates=H","DateFormat=P","Fill=—","Direction=H","UseDPDF=Y")</f>
        <v>#NAME?</v>
      </c>
      <c r="G240" t="e">
        <f ca="1">_xll.BDH($C$228,"RETURN_ON_ASSET","FQ2 2016","FQ2 2016","Currency=INR","Period=FQ","BEST_FPERIOD_OVERRIDE=FQ","FILING_STATUS=OR","EQY_CONSOLIDATED=Y","FA_ADJUSTED=GAAP","Sort=A","Dates=H","DateFormat=P","Fill=—","Direction=H","UseDPDF=Y")</f>
        <v>#NAME?</v>
      </c>
      <c r="H240" t="e">
        <f ca="1">_xll.BDH($C$228,"RETURN_ON_CAP","FQ2 2016","FQ2 2016","Currency=INR","Period=FQ","BEST_FPERIOD_OVERRIDE=FQ","FILING_STATUS=OR","EQY_CONSOLIDATED=Y","FA_ADJUSTED=GAAP","Sort=A","Dates=H","DateFormat=P","Fill=—","Direction=H","UseDPDF=Y")</f>
        <v>#NAME?</v>
      </c>
      <c r="I240" t="e">
        <f ca="1">_xll.BDH($C$228,"RETURN_ON_INV_CAPITAL","FQ2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40" t="e">
        <f ca="1">_xll.BDH($C$228,"EBITDA_TO_REVENUE","FQ2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240" t="e">
        <f ca="1">_xll.BDH($C$228,"OPER_MARGIN","FQ2 2016","FQ2 2016","Currency=INR","Period=FQ","BEST_FPERIOD_OVERRIDE=FQ","FILING_STATUS=OR","EQY_CONSOLIDATED=Y","FA_ADJUSTED=GAAP","Sort=A","Dates=H","DateFormat=P","Fill=—","Direction=H","UseDPDF=Y")</f>
        <v>#NAME?</v>
      </c>
      <c r="L240" t="e">
        <f ca="1">_xll.BDH($C$228,"INCREMENTAL_OPERATING_MARGIN","FQ2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40" t="e">
        <f ca="1">_xll.BDH($C$228,"PRETAX_INC_TO_NET_SALES","FQ2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40" t="e">
        <f ca="1">_xll.BDH($C$228,"INC_BEF_XO_ITEMS_TO_NET_SALES","FQ2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40" t="e">
        <f ca="1">_xll.BDH($C$228,"PROF_MARGIN","FQ2 2016","FQ2 2016","Currency=INR","Period=FQ","BEST_FPERIOD_OVERRIDE=FQ","FILING_STATUS=OR","EQY_CONSOLIDATED=Y","FA_ADJUSTED=GAAP","Sort=A","Dates=H","DateFormat=P","Fill=—","Direction=H","UseDPDF=Y")</f>
        <v>#NAME?</v>
      </c>
      <c r="P240" t="e">
        <f ca="1">_xll.BDH($C$228,"NET_INCOME_TO_COMMON_MARGIN","FQ2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40" t="e">
        <f ca="1">_xll.BDH($C$228,"EFF_TAX_RATE","FQ2 2016","FQ2 2016","Currency=INR","Period=FQ","BEST_FPERIOD_OVERRIDE=FQ","FILING_STATUS=OR","EQY_CONSOLIDATED=Y","FA_ADJUSTED=GAAP","Sort=A","Dates=H","DateFormat=P","Fill=—","Direction=H","UseDPDF=Y")</f>
        <v>#NAME?</v>
      </c>
      <c r="R240" t="e">
        <f ca="1">_xll.BDH($C$228,"DVD_PAYOUT_RATIO","FQ2 2016","FQ2 2016","Currency=INR","Period=FQ","BEST_FPERIOD_OVERRIDE=FQ","FILING_STATUS=OR","EQY_CONSOLIDATED=Y","FA_ADJUSTED=GAAP","Sort=A","Dates=H","DateFormat=P","Fill=—","Direction=H","UseDPDF=Y")</f>
        <v>#NAME?</v>
      </c>
      <c r="S240" t="e">
        <f ca="1">_xll.BDH($C$228,"SUSTAIN_GROWTH_RT","FQ2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240" s="1" t="e">
        <f ca="1">_xll.BDH($C$228,"SALES_GROWTH","FQ2 2016","FQ2 2016","Currency=INR","Period=FQ","BEST_FPERIOD_OVERRIDE=FQ","FILING_STATUS=OR","EQY_CONSOLIDATED=Y","FA_ADJUSTED=GAAP","Sort=A","Dates=H","DateFormat=P","Fill=—","Direction=H","UseDPDF=Y")</f>
        <v>#NAME?</v>
      </c>
      <c r="U240" s="1" t="e">
        <f ca="1">_xll.BDH($C$228,"EBITDA_GROWTH","FQ2 2016","FQ2 2016","Currency=INR","Period=FQ","BEST_FPERIOD_OVERRIDE=FQ","FILING_STATUS=OR","EQY_CONSOLIDATED=Y","FA_ADJUSTED=GAAP","Sort=A","Dates=H","DateFormat=P","Fill=—","Direction=H","UseDPDF=Y")</f>
        <v>#NAME?</v>
      </c>
      <c r="V240" s="1" t="e">
        <f ca="1">_xll.BDH($C$228,"OPER_INC_GROWTH","FQ2 2016","FQ2 2016","Currency=INR","Period=FQ","BEST_FPERIOD_OVERRIDE=FQ","FILING_STATUS=OR","EQY_CONSOLIDATED=Y","FA_ADJUSTED=GAAP","Sort=A","Dates=H","DateFormat=P","Fill=—","Direction=H","UseDPDF=Y")</f>
        <v>#NAME?</v>
      </c>
      <c r="W240" s="1" t="e">
        <f ca="1">_xll.BDH($C$228,"EARN_FOR_COM_GROWTH","FQ2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40" s="1" t="e">
        <f ca="1">_xll.BDH($C$228,"DILUTED_EPS_AFT_XO_ITEMS_GROWTH","FQ2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40" s="1" t="e">
        <f ca="1">_xll.BDH($C$228,"DIVIDEND_PER_SHARE_1_YEAR_GROWTH","FQ2 2016","FQ2 2016","Currency=INR","Period=FQ","BEST_FPERIOD_OVERRIDE=FQ","FILING_STATUS=OR","EQY_CONSOLIDATED=Y","Sort=A","Dates=H","DateFormat=P","Fill=—","Direction=H","UseDPDF=Y")</f>
        <v>#NAME?</v>
      </c>
      <c r="Z240" s="1" t="e">
        <f ca="1">_xll.BDH($C$228,"ACCOUNTS_RECEIVABLE_GROWTH","FQ2 2016","FQ2 2016","Currency=INR","Period=FQ","BEST_FPERIOD_OVERRIDE=FQ","FILING_STATUS=OR","EQY_CONSOLIDATED=Y","Sort=A","Dates=H","DateFormat=P","Fill=—","Direction=H","UseDPDF=Y")</f>
        <v>#NAME?</v>
      </c>
      <c r="AA240" s="1" t="e">
        <f ca="1">_xll.BDH($C$228,"INVENTORY_GROWTH","FQ2 2016","FQ2 2016","Currency=INR","Period=FQ","BEST_FPERIOD_OVERRIDE=FQ","FILING_STATUS=OR","EQY_CONSOLIDATED=Y","Sort=A","Dates=H","DateFormat=P","Fill=—","Direction=H","UseDPDF=Y")</f>
        <v>#NAME?</v>
      </c>
      <c r="AB240" s="1" t="e">
        <f ca="1">_xll.BDH($C$228,"NET_FIXED_ASSETS_1_YEAR_GROWTH","FQ2 2016","FQ2 2016","Currency=INR","Period=FQ","BEST_FPERIOD_OVERRIDE=FQ","FILING_STATUS=OR","EQY_CONSOLIDATED=Y","Sort=A","Dates=H","DateFormat=P","Fill=—","Direction=H","UseDPDF=Y")</f>
        <v>#NAME?</v>
      </c>
      <c r="AC240" s="1" t="e">
        <f ca="1">_xll.BDH($C$228,"ASSET_GROWTH","FQ2 2016","FQ2 2016","Currency=INR","Period=FQ","BEST_FPERIOD_OVERRIDE=FQ","FILING_STATUS=OR","EQY_CONSOLIDATED=Y","Sort=A","Dates=H","DateFormat=P","Fill=—","Direction=H","UseDPDF=Y")</f>
        <v>#NAME?</v>
      </c>
      <c r="AD240" s="1" t="e">
        <f ca="1">_xll.BDH($C$228,"MODIFIED_WORK_CAP_GROWTH","FQ2 2016","FQ2 2016","Currency=INR","Period=FQ","BEST_FPERIOD_OVERRIDE=FQ","FILING_STATUS=OR","EQY_CONSOLIDATED=Y","Sort=A","Dates=H","DateFormat=P","Fill=—","Direction=H","UseDPDF=Y")</f>
        <v>#NAME?</v>
      </c>
      <c r="AE240" s="1" t="e">
        <f ca="1">_xll.BDH($C$228,"WORK_CAP_GROWTH","FQ2 2016","FQ2 2016","Currency=INR","Period=FQ","BEST_FPERIOD_OVERRIDE=FQ","FILING_STATUS=OR","EQY_CONSOLIDATED=Y","Sort=A","Dates=H","DateFormat=P","Fill=—","Direction=H","UseDPDF=Y")</f>
        <v>#NAME?</v>
      </c>
      <c r="AF240" s="1" t="e">
        <f ca="1">_xll.BDH($C$228,"ACCOUNTS_PAYABLE_GROWTH_1YR","FQ2 2016","FQ2 2016","Currency=INR","Period=FQ","BEST_FPERIOD_OVERRIDE=FQ","FILING_STATUS=OR","EQY_CONSOLIDATED=Y","Sort=A","Dates=H","DateFormat=P","Fill=—","Direction=H","UseDPDF=Y")</f>
        <v>#NAME?</v>
      </c>
      <c r="AG240" s="1" t="e">
        <f ca="1">_xll.BDH($C$228,"SHORT_TERM_DEBT_1_YEAR_GROWTH","FQ2 2016","FQ2 2016","Currency=INR","Period=FQ","BEST_FPERIOD_OVERRIDE=FQ","FILING_STATUS=OR","EQY_CONSOLIDATED=Y","Sort=A","Dates=H","DateFormat=P","Fill=—","Direction=H","UseDPDF=Y")</f>
        <v>#NAME?</v>
      </c>
      <c r="AH240" s="1" t="e">
        <f ca="1">_xll.BDH($C$228,"TOTAL_DEBT_1_YEAR_GROWTH","FQ2 2016","FQ2 2016","Currency=INR","Period=FQ","BEST_FPERIOD_OVERRIDE=FQ","FILING_STATUS=OR","EQY_CONSOLIDATED=Y","Sort=A","Dates=H","DateFormat=P","Fill=—","Direction=H","UseDPDF=Y")</f>
        <v>#NAME?</v>
      </c>
      <c r="AI240" s="1" t="e">
        <f ca="1">_xll.BDH($C$228,"TOTAL_EQUITY_1_YEAR_GROWTH","FQ2 2016","FQ2 2016","Currency=INR","Period=FQ","BEST_FPERIOD_OVERRIDE=FQ","FILING_STATUS=OR","EQY_CONSOLIDATED=Y","Sort=A","Dates=H","DateFormat=P","Fill=—","Direction=H","UseDPDF=Y")</f>
        <v>#NAME?</v>
      </c>
      <c r="AJ240" s="1" t="e">
        <f ca="1">_xll.BDH($C$228,"GROWTH_IN_CAP","FQ2 2016","FQ2 2016","Currency=INR","Period=FQ","BEST_FPERIOD_OVERRIDE=FQ","FILING_STATUS=OR","EQY_CONSOLIDATED=Y","Sort=A","Dates=H","DateFormat=P","Fill=—","Direction=H","UseDPDF=Y")</f>
        <v>#NAME?</v>
      </c>
      <c r="AK240" s="1" t="e">
        <f ca="1">_xll.BDH($C$228,"BVPS_GROWTH","FQ2 2016","FQ2 2016","Currency=INR","Period=FQ","BEST_FPERIOD_OVERRIDE=FQ","FILING_STATUS=OR","EQY_CONSOLIDATED=Y","Sort=A","Dates=H","DateFormat=P","Fill=—","Direction=H","UseDPDF=Y")</f>
        <v>#NAME?</v>
      </c>
      <c r="AL240" s="1" t="e">
        <f ca="1">_xll.BDH($C$228,"CASH_FLOW_GROWTH","FQ2 2016","FQ2 2016","Currency=INR","Period=FQ","BEST_FPERIOD_OVERRIDE=FQ","FILING_STATUS=OR","EQY_CONSOLIDATED=Y","Sort=A","Dates=H","DateFormat=P","Fill=—","Direction=H","UseDPDF=Y")</f>
        <v>#NAME?</v>
      </c>
      <c r="AM240" s="1" t="e">
        <f ca="1">_xll.BDH($C$228,"GEO_GROW_NET_SALES","FQ2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40" s="1" t="e">
        <f ca="1">_xll.BDH($C$228,"GEO_GROW_EBITDA","FQ2 2016","FQ2 2016","Currency=INR","Period=FQ","BEST_FPERIOD_OVERRIDE=FQ","FILING_STATUS=OR","EQY_CONSOLIDATED=Y","FA_ADJUSTED=GAAP","Sort=A","Dates=H","DateFormat=P","Fill=—","Direction=H","UseDPDF=Y")</f>
        <v>#NAME?</v>
      </c>
      <c r="AO240" s="1" t="e">
        <f ca="1">_xll.BDH($C$228,"GEO_GROW_OPER_INC","FQ2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40" s="1" t="e">
        <f ca="1">_xll.BDH($C$228,"NET_INCOME_TO_COMMON_5_YR_GROWTH","FQ2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40" s="1" t="e">
        <f ca="1">_xll.BDH($C$228,"5Y_GEO_GROWTH_DILUTED_EPS","FQ2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40" s="1" t="e">
        <f ca="1">_xll.BDH($C$228,"GEO_GROW_DVD_PER_SH","FQ2 2016","FQ2 2016","Currency=INR","Period=FQ","BEST_FPERIOD_OVERRIDE=FQ","FILING_STATUS=OR","EQY_CONSOLIDATED=Y","Sort=A","Dates=H","DateFormat=P","Fill=—","Direction=H","UseDPDF=Y")</f>
        <v>#NAME?</v>
      </c>
      <c r="AS240" s="1" t="e">
        <f ca="1">_xll.BDH($C$228,"ACCOUNTS_RECEIVABLE_5_YR_GROWTH","FQ2 2016","FQ2 2016","Currency=INR","Period=FQ","BEST_FPERIOD_OVERRIDE=FQ","FILING_STATUS=OR","EQY_CONSOLIDATED=Y","Sort=A","Dates=H","DateFormat=P","Fill=—","Direction=H","UseDPDF=Y")</f>
        <v>#NAME?</v>
      </c>
      <c r="AT240" s="1" t="e">
        <f ca="1">_xll.BDH($C$228,"INVENTORY_5_YEAR_GROWTH","FQ2 2016","FQ2 2016","Currency=INR","Period=FQ","BEST_FPERIOD_OVERRIDE=FQ","FILING_STATUS=OR","EQY_CONSOLIDATED=Y","Sort=A","Dates=H","DateFormat=P","Fill=—","Direction=H","UseDPDF=Y")</f>
        <v>#NAME?</v>
      </c>
      <c r="AU240" s="1" t="e">
        <f ca="1">_xll.BDH($C$228,"NET_FIXED_ASSETS_5_YEAR_GROWTH","FQ2 2016","FQ2 2016","Currency=INR","Period=FQ","BEST_FPERIOD_OVERRIDE=FQ","FILING_STATUS=OR","EQY_CONSOLIDATED=Y","Sort=A","Dates=H","DateFormat=P","Fill=—","Direction=H","UseDPDF=Y")</f>
        <v>#NAME?</v>
      </c>
      <c r="AV240" s="1" t="e">
        <f ca="1">_xll.BDH($C$228,"GEO_GROW_TOT_ASSET","FQ2 2016","FQ2 2016","Currency=INR","Period=FQ","BEST_FPERIOD_OVERRIDE=FQ","FILING_STATUS=OR","EQY_CONSOLIDATED=Y","Sort=A","Dates=H","DateFormat=P","Fill=—","Direction=H","UseDPDF=Y")</f>
        <v>#NAME?</v>
      </c>
      <c r="AW240" s="1" t="e">
        <f ca="1">_xll.BDH($C$228,"MODIFIED_WORKING_CPTL_5YR_GRWTH","FQ2 2016","FQ2 2016","Currency=INR","Period=FQ","BEST_FPERIOD_OVERRIDE=FQ","FILING_STATUS=OR","EQY_CONSOLIDATED=Y","Sort=A","Dates=H","DateFormat=P","Fill=—","Direction=H","UseDPDF=Y")</f>
        <v>#NAME?</v>
      </c>
      <c r="AX240" s="1" t="e">
        <f ca="1">_xll.BDH($C$228,"WORKING_CAPITAL_5_YEAR_GROWTH","FQ2 2016","FQ2 2016","Currency=INR","Period=FQ","BEST_FPERIOD_OVERRIDE=FQ","FILING_STATUS=OR","EQY_CONSOLIDATED=Y","Sort=A","Dates=H","DateFormat=P","Fill=—","Direction=H","UseDPDF=Y")</f>
        <v>#NAME?</v>
      </c>
      <c r="AY240" s="1" t="e">
        <f ca="1">_xll.BDH($C$228,"ACCOUNTS_PAYABLE_5_YEAR_GROWTH","FQ2 2016","FQ2 2016","Currency=INR","Period=FQ","BEST_FPERIOD_OVERRIDE=FQ","FILING_STATUS=OR","EQY_CONSOLIDATED=Y","Sort=A","Dates=H","DateFormat=P","Fill=—","Direction=H","UseDPDF=Y")</f>
        <v>#NAME?</v>
      </c>
      <c r="AZ240" s="1" t="e">
        <f ca="1">_xll.BDH($C$228,"SHORT_TERM_DEBT_5_YEAR_GROWTH","FQ2 2016","FQ2 2016","Currency=INR","Period=FQ","BEST_FPERIOD_OVERRIDE=FQ","FILING_STATUS=OR","EQY_CONSOLIDATED=Y","Sort=A","Dates=H","DateFormat=P","Fill=—","Direction=H","UseDPDF=Y")</f>
        <v>#NAME?</v>
      </c>
      <c r="BA240" s="1" t="e">
        <f ca="1">_xll.BDH($C$228,"TOTAL_DEBT_5_YEAR_GROWTH","FQ2 2016","FQ2 2016","Currency=INR","Period=FQ","BEST_FPERIOD_OVERRIDE=FQ","FILING_STATUS=OR","EQY_CONSOLIDATED=Y","Sort=A","Dates=H","DateFormat=P","Fill=—","Direction=H","UseDPDF=Y")</f>
        <v>#NAME?</v>
      </c>
      <c r="BB240" s="1" t="e">
        <f ca="1">_xll.BDH($C$228,"GEO_GROW_TOT_SHRHLDR_EQY","FQ2 2016","FQ2 2016","Currency=INR","Period=FQ","BEST_FPERIOD_OVERRIDE=FQ","FILING_STATUS=OR","EQY_CONSOLIDATED=Y","Sort=A","Dates=H","DateFormat=P","Fill=—","Direction=H","UseDPDF=Y")</f>
        <v>#NAME?</v>
      </c>
      <c r="BC240" s="1" t="e">
        <f ca="1">_xll.BDH($C$228,"TOTAL_CAPITAL_5_YEAR_GROWTH","FQ2 2016","FQ2 2016","Currency=INR","Period=FQ","BEST_FPERIOD_OVERRIDE=FQ","FILING_STATUS=OR","EQY_CONSOLIDATED=Y","Sort=A","Dates=H","DateFormat=P","Fill=—","Direction=H","UseDPDF=Y")</f>
        <v>#NAME?</v>
      </c>
      <c r="BD240" s="1" t="e">
        <f ca="1">_xll.BDH($C$228,"GEO_GROW_BOOK_VAL","FQ2 2016","FQ2 2016","Currency=INR","Period=FQ","BEST_FPERIOD_OVERRIDE=FQ","FILING_STATUS=OR","EQY_CONSOLIDATED=Y","Sort=A","Dates=H","DateFormat=P","Fill=—","Direction=H","UseDPDF=Y")</f>
        <v>#NAME?</v>
      </c>
      <c r="BE240" s="1" t="e">
        <f ca="1">_xll.BDH($C$228,"GEO_GROW_CASH_OPER_ACT","FQ2 2016","FQ2 2016","Currency=INR","Period=FQ","BEST_FPERIOD_OVERRIDE=FQ","FILING_STATUS=OR","EQY_CONSOLIDATED=Y","Sort=A","Dates=H","DateFormat=P","Fill=—","Direction=H","UseDPDF=Y")</f>
        <v>#NAME?</v>
      </c>
      <c r="BF240" s="1" t="e">
        <f ca="1">_xll.BDH($C$228,"REVENUE_SEQUENTIAL_GROWTH","FQ2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40" s="1" t="e">
        <f ca="1">_xll.BDH($C$228,"EBITDA_SEQUENTIAL_GROWTH","FQ2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40" s="1" t="e">
        <f ca="1">_xll.BDH($C$228,"OPERATING_INCOME_SEQ_GROWTH","FQ2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40" s="1" t="e">
        <f ca="1">_xll.BDH($C$228,"NET_INCOME_TO_COMMON_SEQ_GROWTH","FQ2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40" s="1" t="e">
        <f ca="1">_xll.BDH($C$228,"EPS_DILUTED_SEQUENTIAL_GROWTH","FQ2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40" s="1" t="e">
        <f ca="1">_xll.BDH($C$228,"DPS_SEQUENTIAL_GROWTH","FQ2 2016","FQ2 2016","Currency=INR","Period=FQ","BEST_FPERIOD_OVERRIDE=FQ","FILING_STATUS=OR","EQY_CONSOLIDATED=Y","Sort=A","Dates=H","DateFormat=P","Fill=—","Direction=H","UseDPDF=Y")</f>
        <v>#NAME?</v>
      </c>
      <c r="BL240" s="1" t="e">
        <f ca="1">_xll.BDH($C$228,"ACCOUNTS_RECEIVABLE_SEQ_GROWTH","FQ2 2016","FQ2 2016","Currency=INR","Period=FQ","BEST_FPERIOD_OVERRIDE=FQ","FILING_STATUS=OR","EQY_CONSOLIDATED=Y","Sort=A","Dates=H","DateFormat=P","Fill=—","Direction=H","UseDPDF=Y")</f>
        <v>#NAME?</v>
      </c>
      <c r="BM240" s="1" t="e">
        <f ca="1">_xll.BDH($C$228,"INVENTORY_SEQUENTIAL_GROWTH","FQ2 2016","FQ2 2016","Currency=INR","Period=FQ","BEST_FPERIOD_OVERRIDE=FQ","FILING_STATUS=OR","EQY_CONSOLIDATED=Y","Sort=A","Dates=H","DateFormat=P","Fill=—","Direction=H","UseDPDF=Y")</f>
        <v>#NAME?</v>
      </c>
      <c r="BN240" s="1" t="e">
        <f ca="1">_xll.BDH($C$228,"FIXED_ASSETS_SEQUENTIAL_GROWTH","FQ2 2016","FQ2 2016","Currency=INR","Period=FQ","BEST_FPERIOD_OVERRIDE=FQ","FILING_STATUS=OR","EQY_CONSOLIDATED=Y","Sort=A","Dates=H","DateFormat=P","Fill=—","Direction=H","UseDPDF=Y")</f>
        <v>#NAME?</v>
      </c>
      <c r="BO240" s="1" t="e">
        <f ca="1">_xll.BDH($C$228,"TOTAL_ASSETS_SEQUENTIAL_GROWTH","FQ2 2016","FQ2 2016","Currency=INR","Period=FQ","BEST_FPERIOD_OVERRIDE=FQ","FILING_STATUS=OR","EQY_CONSOLIDATED=Y","Sort=A","Dates=H","DateFormat=P","Fill=—","Direction=H","UseDPDF=Y")</f>
        <v>#NAME?</v>
      </c>
      <c r="BP240" s="1" t="e">
        <f ca="1">_xll.BDH($C$228,"MODIFIED_WORKING_CPTL_SEQ_GRWTH","FQ2 2016","FQ2 2016","Currency=INR","Period=FQ","BEST_FPERIOD_OVERRIDE=FQ","FILING_STATUS=OR","EQY_CONSOLIDATED=Y","Sort=A","Dates=H","DateFormat=P","Fill=—","Direction=H","UseDPDF=Y")</f>
        <v>#NAME?</v>
      </c>
      <c r="BQ240" s="1" t="e">
        <f ca="1">_xll.BDH($C$228,"WORKING_CAPITAL_SEQ_GROWTH","FQ2 2016","FQ2 2016","Currency=INR","Period=FQ","BEST_FPERIOD_OVERRIDE=FQ","FILING_STATUS=OR","EQY_CONSOLIDATED=Y","Sort=A","Dates=H","DateFormat=P","Fill=—","Direction=H","UseDPDF=Y")</f>
        <v>#NAME?</v>
      </c>
      <c r="BR240" s="1" t="e">
        <f ca="1">_xll.BDH($C$228,"ACCOUNTS_PAYABLE_SEQ_GROWTH","FQ2 2016","FQ2 2016","Currency=INR","Period=FQ","BEST_FPERIOD_OVERRIDE=FQ","FILING_STATUS=OR","EQY_CONSOLIDATED=Y","Sort=A","Dates=H","DateFormat=P","Fill=—","Direction=H","UseDPDF=Y")</f>
        <v>#NAME?</v>
      </c>
      <c r="BS240" s="1" t="e">
        <f ca="1">_xll.BDH($C$228,"ST_DEBT_SEQUENTIAL_GROWTH","FQ2 2016","FQ2 2016","Currency=INR","Period=FQ","BEST_FPERIOD_OVERRIDE=FQ","FILING_STATUS=OR","EQY_CONSOLIDATED=Y","Sort=A","Dates=H","DateFormat=P","Fill=—","Direction=H","UseDPDF=Y")</f>
        <v>#NAME?</v>
      </c>
      <c r="BT240" s="1" t="e">
        <f ca="1">_xll.BDH($C$228,"TOTAL_DEBT_SEQUENTIAL_GROWTH","FQ2 2016","FQ2 2016","Currency=INR","Period=FQ","BEST_FPERIOD_OVERRIDE=FQ","FILING_STATUS=OR","EQY_CONSOLIDATED=Y","Sort=A","Dates=H","DateFormat=P","Fill=—","Direction=H","UseDPDF=Y")</f>
        <v>#NAME?</v>
      </c>
      <c r="BU240" s="1" t="e">
        <f ca="1">_xll.BDH($C$228,"TOTAL_EQUITY_SEQUENTIAL_GROWTH","FQ2 2016","FQ2 2016","Currency=INR","Period=FQ","BEST_FPERIOD_OVERRIDE=FQ","FILING_STATUS=OR","EQY_CONSOLIDATED=Y","Sort=A","Dates=H","DateFormat=P","Fill=—","Direction=H","UseDPDF=Y")</f>
        <v>#NAME?</v>
      </c>
      <c r="BV240" s="1" t="e">
        <f ca="1">_xll.BDH($C$228,"TOTAL_CAPITAL_SEQUENTIAL_GROWTH","FQ2 2016","FQ2 2016","Currency=INR","Period=FQ","BEST_FPERIOD_OVERRIDE=FQ","FILING_STATUS=OR","EQY_CONSOLIDATED=Y","Sort=A","Dates=H","DateFormat=P","Fill=—","Direction=H","UseDPDF=Y")</f>
        <v>#NAME?</v>
      </c>
      <c r="BW240" s="1" t="e">
        <f ca="1">_xll.BDH($C$228,"BPS_SEQUENTIAL_GROWTH","FQ2 2016","FQ2 2016","Currency=INR","Period=FQ","BEST_FPERIOD_OVERRIDE=FQ","FILING_STATUS=OR","EQY_CONSOLIDATED=Y","Sort=A","Dates=H","DateFormat=P","Fill=—","Direction=H","UseDPDF=Y")</f>
        <v>#NAME?</v>
      </c>
      <c r="BX240" s="1" t="e">
        <f ca="1">_xll.BDH($C$228,"CFO_SEQUENTIAL_GROWTH","FQ2 2016","FQ2 2016","Currency=INR","Period=FQ","BEST_FPERIOD_OVERRIDE=FQ","FILING_STATUS=OR","EQY_CONSOLIDATED=Y","Sort=A","Dates=H","DateFormat=P","Fill=—","Direction=H","UseDPDF=Y")</f>
        <v>#NAME?</v>
      </c>
      <c r="BY240" s="2" t="e">
        <f ca="1">_xll.BDH($C$228,"SHORT_AND_LONG_TERM_DEBT","FQ2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40" s="2" t="e">
        <f ca="1">_xll.BDH($C$228,"BS_ST_BORROW","FQ2 2016","FQ2 2016","Currency=INR","Period=FQ","BEST_FPERIOD_OVERRIDE=FQ","FILING_STATUS=OR","EQY_CONSOLIDATED=Y","SCALING_FORMAT=MLN","Sort=A","Dates=H","DateFormat=P","Fill=—","Direction=H","UseDPDF=Y")</f>
        <v>#NAME?</v>
      </c>
      <c r="CA240" s="2" t="e">
        <f ca="1">_xll.BDH($C$228,"BS_LT_BORROW","FQ2 2016","FQ2 2016","Currency=INR","Period=FQ","BEST_FPERIOD_OVERRIDE=FQ","FILING_STATUS=OR","EQY_CONSOLIDATED=Y","SCALING_FORMAT=MLN","Sort=A","Dates=H","DateFormat=P","Fill=—","Direction=H","UseDPDF=Y")</f>
        <v>#NAME?</v>
      </c>
      <c r="CB240" s="1" t="e">
        <f ca="1">_xll.BDH($C$228,"TOT_DEBT_TO_EBITDA","FQ2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40" s="1" t="e">
        <f ca="1">_xll.BDH($C$228,"NET_DEBT_TO_EBITDA","FQ2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40" s="1" t="e">
        <f ca="1">_xll.BDH($C$228,"TOTAL_DEBT_TO_EBIT","FQ2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40" s="1" t="e">
        <f ca="1">_xll.BDH($C$228,"NET_DEBT_TO_EBIT","FQ2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240" s="1" t="e">
        <f ca="1">_xll.BDH($C$228,"EBITDA_TO_INTEREST_EXPN","FQ2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40" s="1" t="e">
        <f ca="1">_xll.BDH($C$228,"COM_EQY_TO_TOT_ASSET","FQ2 2016","FQ2 2016","Currency=INR","Period=FQ","BEST_FPERIOD_OVERRIDE=FQ","FILING_STATUS=OR","EQY_CONSOLIDATED=Y","Sort=A","Dates=H","DateFormat=P","Fill=—","Direction=H","UseDPDF=Y")</f>
        <v>#NAME?</v>
      </c>
      <c r="CH240" s="1" t="e">
        <f ca="1">_xll.BDH($C$228,"LT_DEBT_TO_TOT_EQY","FQ2 2016","FQ2 2016","Currency=INR","Period=FQ","BEST_FPERIOD_OVERRIDE=FQ","FILING_STATUS=OR","EQY_CONSOLIDATED=Y","Sort=A","Dates=H","DateFormat=P","Fill=—","Direction=H","UseDPDF=Y")</f>
        <v>#NAME?</v>
      </c>
      <c r="CI240" s="1" t="e">
        <f ca="1">_xll.BDH($C$228,"LT_DEBT_TO_TOT_CAP","FQ2 2016","FQ2 2016","Currency=INR","Period=FQ","BEST_FPERIOD_OVERRIDE=FQ","FILING_STATUS=OR","EQY_CONSOLIDATED=Y","Sort=A","Dates=H","DateFormat=P","Fill=—","Direction=H","UseDPDF=Y")</f>
        <v>#NAME?</v>
      </c>
      <c r="CJ240" s="1" t="e">
        <f ca="1">_xll.BDH($C$228,"LT_DEBT_TO_TOT_ASSET","FQ2 2016","FQ2 2016","Currency=INR","Period=FQ","BEST_FPERIOD_OVERRIDE=FQ","FILING_STATUS=OR","EQY_CONSOLIDATED=Y","Sort=A","Dates=H","DateFormat=P","Fill=—","Direction=H","UseDPDF=Y")</f>
        <v>#NAME?</v>
      </c>
      <c r="CK240" s="1" t="e">
        <f ca="1">_xll.BDH($C$228,"TOT_DEBT_TO_TOT_EQY","FQ2 2016","FQ2 2016","Currency=INR","Period=FQ","BEST_FPERIOD_OVERRIDE=FQ","FILING_STATUS=OR","EQY_CONSOLIDATED=Y","Sort=A","Dates=H","DateFormat=P","Fill=—","Direction=H","UseDPDF=Y")</f>
        <v>#NAME?</v>
      </c>
      <c r="CL240" s="1" t="e">
        <f ca="1">_xll.BDH($C$228,"TOT_DEBT_TO_TOT_CAP","FQ2 2016","FQ2 2016","Currency=INR","Period=FQ","BEST_FPERIOD_OVERRIDE=FQ","FILING_STATUS=OR","EQY_CONSOLIDATED=Y","Sort=A","Dates=H","DateFormat=P","Fill=—","Direction=H","UseDPDF=Y")</f>
        <v>#NAME?</v>
      </c>
      <c r="CM240" s="1" t="e">
        <f ca="1">_xll.BDH($C$228,"TOT_DEBT_TO_TOT_ASSET","FQ2 2016","FQ2 2016","Currency=INR","Period=FQ","BEST_FPERIOD_OVERRIDE=FQ","FILING_STATUS=OR","EQY_CONSOLIDATED=Y","Sort=A","Dates=H","DateFormat=P","Fill=—","Direction=H","UseDPDF=Y")</f>
        <v>#NAME?</v>
      </c>
      <c r="CN240" s="1" t="e">
        <f ca="1">_xll.BDH($C$228,"NET_DEBT_TO_SHRHLDR_EQTY","FQ2 2016","FQ2 2016","Currency=INR","Period=FQ","BEST_FPERIOD_OVERRIDE=FQ","FILING_STATUS=OR","EQY_CONSOLIDATED=Y","Sort=A","Dates=H","DateFormat=P","Fill=—","Direction=H","UseDPDF=Y")</f>
        <v>#NAME?</v>
      </c>
      <c r="CO240" s="1" t="e">
        <f ca="1">_xll.BDH($C$228,"NET_DEBT_%_CAPITAL","FQ2 2016","FQ2 2016","Currency=INR","Period=FQ","BEST_FPERIOD_OVERRIDE=FQ","FILING_STATUS=OR","EQY_CONSOLIDATED=Y","Sort=A","Dates=H","DateFormat=P","Fill=—","Direction=H","UseDPDF=Y")</f>
        <v>#NAME?</v>
      </c>
      <c r="CP240" s="2" t="e">
        <f ca="1">_xll.BDH($C$228,"EBITDA","FQ2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40" s="2" t="e">
        <f ca="1">_xll.BDH($C$228,"EBITDA_AFTER_CAPEX","FQ2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40" s="2" t="e">
        <f ca="1">_xll.BDH($C$228,"IS_OPER_INC","FQ2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40" s="1" t="e">
        <f ca="1">_xll.BDH($C$228,"CASH_RATIO","FQ2 2016","FQ2 2016","Currency=INR","Period=FQ","BEST_FPERIOD_OVERRIDE=FQ","FILING_STATUS=OR","EQY_CONSOLIDATED=Y","Sort=A","Dates=H","DateFormat=P","Fill=—","Direction=H","UseDPDF=Y")</f>
        <v>#NAME?</v>
      </c>
      <c r="CT240" s="1" t="e">
        <f ca="1">_xll.BDH($C$228,"CUR_RATIO","FQ2 2016","FQ2 2016","Currency=INR","Period=FQ","BEST_FPERIOD_OVERRIDE=FQ","FILING_STATUS=OR","EQY_CONSOLIDATED=Y","Sort=A","Dates=H","DateFormat=P","Fill=—","Direction=H","UseDPDF=Y")</f>
        <v>#NAME?</v>
      </c>
      <c r="CU240" s="1" t="e">
        <f ca="1">_xll.BDH($C$228,"QUICK_RATIO","FQ2 2016","FQ2 2016","Currency=INR","Period=FQ","BEST_FPERIOD_OVERRIDE=FQ","FILING_STATUS=OR","EQY_CONSOLIDATED=Y","Sort=A","Dates=H","DateFormat=P","Fill=—","Direction=H","UseDPDF=Y")</f>
        <v>#NAME?</v>
      </c>
      <c r="CV240" s="1" t="e">
        <f ca="1">_xll.BDH($C$228,"ALTMAN_Z_SCORE","FQ2 2016","FQ2 2016","Currency=INR","Period=FQ","BEST_FPERIOD_OVERRIDE=FQ","FILING_STATUS=OR","EQY_CONSOLIDATED=Y","Sort=A","Dates=H","DateFormat=P","Fill=—","Direction=H","UseDPDF=Y")</f>
        <v>#NAME?</v>
      </c>
      <c r="CW240" s="3" t="e">
        <f ca="1">_xll.BDH($C$228,"ACCT_RCV_TURN","FQ2 2016","FQ2 2016","Currency=INR","Period=FQ","BEST_FPERIOD_OVERRIDE=FQ","FILING_STATUS=OR","EQY_CONSOLIDATED=Y","FA_ADJUSTED=GAAP","Sort=A","Dates=H","DateFormat=P","Fill=—","Direction=H","UseDPDF=Y")</f>
        <v>#NAME?</v>
      </c>
      <c r="CX240" s="1" t="e">
        <f ca="1">_xll.BDH($C$228,"ACCT_RCV_DAYS","FQ2 2016","FQ2 2016","Currency=INR","Period=FQ","BEST_FPERIOD_OVERRIDE=FQ","FILING_STATUS=OR","EQY_CONSOLIDATED=Y","FA_ADJUSTED=GAAP","Sort=A","Dates=H","DateFormat=P","Fill=—","Direction=H","UseDPDF=Y")</f>
        <v>#NAME?</v>
      </c>
      <c r="CY240" s="3" t="e">
        <f ca="1">_xll.BDH($C$228,"INVENT_TURN","FQ2 2016","FQ2 2016","Currency=INR","Period=FQ","BEST_FPERIOD_OVERRIDE=FQ","FILING_STATUS=OR","EQY_CONSOLIDATED=Y","FA_ADJUSTED=GAAP","Sort=A","Dates=H","DateFormat=P","Fill=—","Direction=H","UseDPDF=Y")</f>
        <v>#NAME?</v>
      </c>
      <c r="CZ240" s="1" t="e">
        <f ca="1">_xll.BDH($C$228,"INVENT_DAYS","FQ2 2016","FQ2 2016","Currency=INR","Period=FQ","BEST_FPERIOD_OVERRIDE=FQ","FILING_STATUS=OR","EQY_CONSOLIDATED=Y","FA_ADJUSTED=GAAP","Sort=A","Dates=H","DateFormat=P","Fill=—","Direction=H","UseDPDF=Y")</f>
        <v>#NAME?</v>
      </c>
      <c r="DA240" s="3" t="e">
        <f ca="1">_xll.BDH($C$228,"ACCOUNTS_PAYABLE_TURNOVER","FQ2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40" s="1" t="e">
        <f ca="1">_xll.BDH($C$228,"ACCOUNTS_PAYABLE_TURNOVER_DAYS","FQ2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40" s="3" t="e">
        <f ca="1">_xll.BDH($C$228,"CASH_CONVERSION_CYCLE","FQ2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40" s="3" t="e">
        <f ca="1">_xll.BDH($C$228,"INV_TO_CASH_DAYS","FQ2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240" s="4" t="e">
        <f ca="1">_xll.BDH($C$228,"BS_INVENTORIES","FQ2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240" s="2" t="e">
        <f ca="1">_xll.BDH($C$228,"INVTRY_RAW_MATERIALS","FQ2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40" s="2" t="e">
        <f ca="1">_xll.BDH($C$228,"INVTRY_IN_PROGRESS","FQ2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40" s="2" t="e">
        <f ca="1">_xll.BDH($C$228,"INVTRY_FINISHED_GOODS","FQ2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40" s="2" t="e">
        <f ca="1">_xll.BDH($C$228,"BS_OTHER_INV","FQ2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41" spans="1:113" x14ac:dyDescent="0.3">
      <c r="A241" s="6"/>
      <c r="B241" s="6"/>
      <c r="C241" s="6"/>
      <c r="D241" s="6"/>
      <c r="E241" t="s">
        <v>6</v>
      </c>
      <c r="F241" t="e">
        <f ca="1">_xll.BDH($C$228,"RETURN_COM_EQY","FQ3 2016","FQ3 2016","Currency=INR","Period=FQ","BEST_FPERIOD_OVERRIDE=FQ","FILING_STATUS=OR","EQY_CONSOLIDATED=Y","FA_ADJUSTED=GAAP","Sort=A","Dates=H","DateFormat=P","Fill=—","Direction=H","UseDPDF=Y")</f>
        <v>#NAME?</v>
      </c>
      <c r="G241" t="e">
        <f ca="1">_xll.BDH($C$228,"RETURN_ON_ASSET","FQ3 2016","FQ3 2016","Currency=INR","Period=FQ","BEST_FPERIOD_OVERRIDE=FQ","FILING_STATUS=OR","EQY_CONSOLIDATED=Y","FA_ADJUSTED=GAAP","Sort=A","Dates=H","DateFormat=P","Fill=—","Direction=H","UseDPDF=Y")</f>
        <v>#NAME?</v>
      </c>
      <c r="H241" t="e">
        <f ca="1">_xll.BDH($C$228,"RETURN_ON_CAP","FQ3 2016","FQ3 2016","Currency=INR","Period=FQ","BEST_FPERIOD_OVERRIDE=FQ","FILING_STATUS=OR","EQY_CONSOLIDATED=Y","FA_ADJUSTED=GAAP","Sort=A","Dates=H","DateFormat=P","Fill=—","Direction=H","UseDPDF=Y")</f>
        <v>#NAME?</v>
      </c>
      <c r="I241" t="e">
        <f ca="1">_xll.BDH($C$228,"RETURN_ON_INV_CAPITAL","FQ3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41" t="e">
        <f ca="1">_xll.BDH($C$228,"EBITDA_TO_REVENUE","FQ3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241" t="e">
        <f ca="1">_xll.BDH($C$228,"OPER_MARGIN","FQ3 2016","FQ3 2016","Currency=INR","Period=FQ","BEST_FPERIOD_OVERRIDE=FQ","FILING_STATUS=OR","EQY_CONSOLIDATED=Y","FA_ADJUSTED=GAAP","Sort=A","Dates=H","DateFormat=P","Fill=—","Direction=H","UseDPDF=Y")</f>
        <v>#NAME?</v>
      </c>
      <c r="L241" t="e">
        <f ca="1">_xll.BDH($C$228,"INCREMENTAL_OPERATING_MARGIN","FQ3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41" t="e">
        <f ca="1">_xll.BDH($C$228,"PRETAX_INC_TO_NET_SALES","FQ3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41" t="e">
        <f ca="1">_xll.BDH($C$228,"INC_BEF_XO_ITEMS_TO_NET_SALES","FQ3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41" t="e">
        <f ca="1">_xll.BDH($C$228,"PROF_MARGIN","FQ3 2016","FQ3 2016","Currency=INR","Period=FQ","BEST_FPERIOD_OVERRIDE=FQ","FILING_STATUS=OR","EQY_CONSOLIDATED=Y","FA_ADJUSTED=GAAP","Sort=A","Dates=H","DateFormat=P","Fill=—","Direction=H","UseDPDF=Y")</f>
        <v>#NAME?</v>
      </c>
      <c r="P241" t="e">
        <f ca="1">_xll.BDH($C$228,"NET_INCOME_TO_COMMON_MARGIN","FQ3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41" t="e">
        <f ca="1">_xll.BDH($C$228,"EFF_TAX_RATE","FQ3 2016","FQ3 2016","Currency=INR","Period=FQ","BEST_FPERIOD_OVERRIDE=FQ","FILING_STATUS=OR","EQY_CONSOLIDATED=Y","FA_ADJUSTED=GAAP","Sort=A","Dates=H","DateFormat=P","Fill=—","Direction=H","UseDPDF=Y")</f>
        <v>#NAME?</v>
      </c>
      <c r="R241" t="e">
        <f ca="1">_xll.BDH($C$228,"DVD_PAYOUT_RATIO","FQ3 2016","FQ3 2016","Currency=INR","Period=FQ","BEST_FPERIOD_OVERRIDE=FQ","FILING_STATUS=OR","EQY_CONSOLIDATED=Y","FA_ADJUSTED=GAAP","Sort=A","Dates=H","DateFormat=P","Fill=—","Direction=H","UseDPDF=Y")</f>
        <v>#NAME?</v>
      </c>
      <c r="S241" t="e">
        <f ca="1">_xll.BDH($C$228,"SUSTAIN_GROWTH_RT","FQ3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241" s="1" t="e">
        <f ca="1">_xll.BDH($C$228,"SALES_GROWTH","FQ3 2016","FQ3 2016","Currency=INR","Period=FQ","BEST_FPERIOD_OVERRIDE=FQ","FILING_STATUS=OR","EQY_CONSOLIDATED=Y","FA_ADJUSTED=GAAP","Sort=A","Dates=H","DateFormat=P","Fill=—","Direction=H","UseDPDF=Y")</f>
        <v>#NAME?</v>
      </c>
      <c r="U241" s="1" t="e">
        <f ca="1">_xll.BDH($C$228,"EBITDA_GROWTH","FQ3 2016","FQ3 2016","Currency=INR","Period=FQ","BEST_FPERIOD_OVERRIDE=FQ","FILING_STATUS=OR","EQY_CONSOLIDATED=Y","FA_ADJUSTED=GAAP","Sort=A","Dates=H","DateFormat=P","Fill=—","Direction=H","UseDPDF=Y")</f>
        <v>#NAME?</v>
      </c>
      <c r="V241" s="1" t="e">
        <f ca="1">_xll.BDH($C$228,"OPER_INC_GROWTH","FQ3 2016","FQ3 2016","Currency=INR","Period=FQ","BEST_FPERIOD_OVERRIDE=FQ","FILING_STATUS=OR","EQY_CONSOLIDATED=Y","FA_ADJUSTED=GAAP","Sort=A","Dates=H","DateFormat=P","Fill=—","Direction=H","UseDPDF=Y")</f>
        <v>#NAME?</v>
      </c>
      <c r="W241" s="1" t="e">
        <f ca="1">_xll.BDH($C$228,"EARN_FOR_COM_GROWTH","FQ3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41" s="1" t="e">
        <f ca="1">_xll.BDH($C$228,"DILUTED_EPS_AFT_XO_ITEMS_GROWTH","FQ3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41" s="1" t="e">
        <f ca="1">_xll.BDH($C$228,"DIVIDEND_PER_SHARE_1_YEAR_GROWTH","FQ3 2016","FQ3 2016","Currency=INR","Period=FQ","BEST_FPERIOD_OVERRIDE=FQ","FILING_STATUS=OR","EQY_CONSOLIDATED=Y","Sort=A","Dates=H","DateFormat=P","Fill=—","Direction=H","UseDPDF=Y")</f>
        <v>#NAME?</v>
      </c>
      <c r="Z241" s="1" t="e">
        <f ca="1">_xll.BDH($C$228,"ACCOUNTS_RECEIVABLE_GROWTH","FQ3 2016","FQ3 2016","Currency=INR","Period=FQ","BEST_FPERIOD_OVERRIDE=FQ","FILING_STATUS=OR","EQY_CONSOLIDATED=Y","Sort=A","Dates=H","DateFormat=P","Fill=—","Direction=H","UseDPDF=Y")</f>
        <v>#NAME?</v>
      </c>
      <c r="AA241" s="1" t="e">
        <f ca="1">_xll.BDH($C$228,"INVENTORY_GROWTH","FQ3 2016","FQ3 2016","Currency=INR","Period=FQ","BEST_FPERIOD_OVERRIDE=FQ","FILING_STATUS=OR","EQY_CONSOLIDATED=Y","Sort=A","Dates=H","DateFormat=P","Fill=—","Direction=H","UseDPDF=Y")</f>
        <v>#NAME?</v>
      </c>
      <c r="AB241" s="1" t="e">
        <f ca="1">_xll.BDH($C$228,"NET_FIXED_ASSETS_1_YEAR_GROWTH","FQ3 2016","FQ3 2016","Currency=INR","Period=FQ","BEST_FPERIOD_OVERRIDE=FQ","FILING_STATUS=OR","EQY_CONSOLIDATED=Y","Sort=A","Dates=H","DateFormat=P","Fill=—","Direction=H","UseDPDF=Y")</f>
        <v>#NAME?</v>
      </c>
      <c r="AC241" s="1" t="e">
        <f ca="1">_xll.BDH($C$228,"ASSET_GROWTH","FQ3 2016","FQ3 2016","Currency=INR","Period=FQ","BEST_FPERIOD_OVERRIDE=FQ","FILING_STATUS=OR","EQY_CONSOLIDATED=Y","Sort=A","Dates=H","DateFormat=P","Fill=—","Direction=H","UseDPDF=Y")</f>
        <v>#NAME?</v>
      </c>
      <c r="AD241" s="1" t="e">
        <f ca="1">_xll.BDH($C$228,"MODIFIED_WORK_CAP_GROWTH","FQ3 2016","FQ3 2016","Currency=INR","Period=FQ","BEST_FPERIOD_OVERRIDE=FQ","FILING_STATUS=OR","EQY_CONSOLIDATED=Y","Sort=A","Dates=H","DateFormat=P","Fill=—","Direction=H","UseDPDF=Y")</f>
        <v>#NAME?</v>
      </c>
      <c r="AE241" s="1" t="e">
        <f ca="1">_xll.BDH($C$228,"WORK_CAP_GROWTH","FQ3 2016","FQ3 2016","Currency=INR","Period=FQ","BEST_FPERIOD_OVERRIDE=FQ","FILING_STATUS=OR","EQY_CONSOLIDATED=Y","Sort=A","Dates=H","DateFormat=P","Fill=—","Direction=H","UseDPDF=Y")</f>
        <v>#NAME?</v>
      </c>
      <c r="AF241" s="1" t="e">
        <f ca="1">_xll.BDH($C$228,"ACCOUNTS_PAYABLE_GROWTH_1YR","FQ3 2016","FQ3 2016","Currency=INR","Period=FQ","BEST_FPERIOD_OVERRIDE=FQ","FILING_STATUS=OR","EQY_CONSOLIDATED=Y","Sort=A","Dates=H","DateFormat=P","Fill=—","Direction=H","UseDPDF=Y")</f>
        <v>#NAME?</v>
      </c>
      <c r="AG241" s="1" t="e">
        <f ca="1">_xll.BDH($C$228,"SHORT_TERM_DEBT_1_YEAR_GROWTH","FQ3 2016","FQ3 2016","Currency=INR","Period=FQ","BEST_FPERIOD_OVERRIDE=FQ","FILING_STATUS=OR","EQY_CONSOLIDATED=Y","Sort=A","Dates=H","DateFormat=P","Fill=—","Direction=H","UseDPDF=Y")</f>
        <v>#NAME?</v>
      </c>
      <c r="AH241" s="1" t="e">
        <f ca="1">_xll.BDH($C$228,"TOTAL_DEBT_1_YEAR_GROWTH","FQ3 2016","FQ3 2016","Currency=INR","Period=FQ","BEST_FPERIOD_OVERRIDE=FQ","FILING_STATUS=OR","EQY_CONSOLIDATED=Y","Sort=A","Dates=H","DateFormat=P","Fill=—","Direction=H","UseDPDF=Y")</f>
        <v>#NAME?</v>
      </c>
      <c r="AI241" s="1" t="e">
        <f ca="1">_xll.BDH($C$228,"TOTAL_EQUITY_1_YEAR_GROWTH","FQ3 2016","FQ3 2016","Currency=INR","Period=FQ","BEST_FPERIOD_OVERRIDE=FQ","FILING_STATUS=OR","EQY_CONSOLIDATED=Y","Sort=A","Dates=H","DateFormat=P","Fill=—","Direction=H","UseDPDF=Y")</f>
        <v>#NAME?</v>
      </c>
      <c r="AJ241" s="1" t="e">
        <f ca="1">_xll.BDH($C$228,"GROWTH_IN_CAP","FQ3 2016","FQ3 2016","Currency=INR","Period=FQ","BEST_FPERIOD_OVERRIDE=FQ","FILING_STATUS=OR","EQY_CONSOLIDATED=Y","Sort=A","Dates=H","DateFormat=P","Fill=—","Direction=H","UseDPDF=Y")</f>
        <v>#NAME?</v>
      </c>
      <c r="AK241" s="1" t="e">
        <f ca="1">_xll.BDH($C$228,"BVPS_GROWTH","FQ3 2016","FQ3 2016","Currency=INR","Period=FQ","BEST_FPERIOD_OVERRIDE=FQ","FILING_STATUS=OR","EQY_CONSOLIDATED=Y","Sort=A","Dates=H","DateFormat=P","Fill=—","Direction=H","UseDPDF=Y")</f>
        <v>#NAME?</v>
      </c>
      <c r="AL241" s="1" t="e">
        <f ca="1">_xll.BDH($C$228,"CASH_FLOW_GROWTH","FQ3 2016","FQ3 2016","Currency=INR","Period=FQ","BEST_FPERIOD_OVERRIDE=FQ","FILING_STATUS=OR","EQY_CONSOLIDATED=Y","Sort=A","Dates=H","DateFormat=P","Fill=—","Direction=H","UseDPDF=Y")</f>
        <v>#NAME?</v>
      </c>
      <c r="AM241" s="1" t="e">
        <f ca="1">_xll.BDH($C$228,"GEO_GROW_NET_SALES","FQ3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41" s="1" t="e">
        <f ca="1">_xll.BDH($C$228,"GEO_GROW_EBITDA","FQ3 2016","FQ3 2016","Currency=INR","Period=FQ","BEST_FPERIOD_OVERRIDE=FQ","FILING_STATUS=OR","EQY_CONSOLIDATED=Y","FA_ADJUSTED=GAAP","Sort=A","Dates=H","DateFormat=P","Fill=—","Direction=H","UseDPDF=Y")</f>
        <v>#NAME?</v>
      </c>
      <c r="AO241" s="1" t="e">
        <f ca="1">_xll.BDH($C$228,"GEO_GROW_OPER_INC","FQ3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41" s="1" t="e">
        <f ca="1">_xll.BDH($C$228,"NET_INCOME_TO_COMMON_5_YR_GROWTH","FQ3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41" s="1" t="e">
        <f ca="1">_xll.BDH($C$228,"5Y_GEO_GROWTH_DILUTED_EPS","FQ3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41" s="1" t="e">
        <f ca="1">_xll.BDH($C$228,"GEO_GROW_DVD_PER_SH","FQ3 2016","FQ3 2016","Currency=INR","Period=FQ","BEST_FPERIOD_OVERRIDE=FQ","FILING_STATUS=OR","EQY_CONSOLIDATED=Y","Sort=A","Dates=H","DateFormat=P","Fill=—","Direction=H","UseDPDF=Y")</f>
        <v>#NAME?</v>
      </c>
      <c r="AS241" s="1" t="e">
        <f ca="1">_xll.BDH($C$228,"ACCOUNTS_RECEIVABLE_5_YR_GROWTH","FQ3 2016","FQ3 2016","Currency=INR","Period=FQ","BEST_FPERIOD_OVERRIDE=FQ","FILING_STATUS=OR","EQY_CONSOLIDATED=Y","Sort=A","Dates=H","DateFormat=P","Fill=—","Direction=H","UseDPDF=Y")</f>
        <v>#NAME?</v>
      </c>
      <c r="AT241" s="1" t="e">
        <f ca="1">_xll.BDH($C$228,"INVENTORY_5_YEAR_GROWTH","FQ3 2016","FQ3 2016","Currency=INR","Period=FQ","BEST_FPERIOD_OVERRIDE=FQ","FILING_STATUS=OR","EQY_CONSOLIDATED=Y","Sort=A","Dates=H","DateFormat=P","Fill=—","Direction=H","UseDPDF=Y")</f>
        <v>#NAME?</v>
      </c>
      <c r="AU241" s="1" t="e">
        <f ca="1">_xll.BDH($C$228,"NET_FIXED_ASSETS_5_YEAR_GROWTH","FQ3 2016","FQ3 2016","Currency=INR","Period=FQ","BEST_FPERIOD_OVERRIDE=FQ","FILING_STATUS=OR","EQY_CONSOLIDATED=Y","Sort=A","Dates=H","DateFormat=P","Fill=—","Direction=H","UseDPDF=Y")</f>
        <v>#NAME?</v>
      </c>
      <c r="AV241" s="1" t="e">
        <f ca="1">_xll.BDH($C$228,"GEO_GROW_TOT_ASSET","FQ3 2016","FQ3 2016","Currency=INR","Period=FQ","BEST_FPERIOD_OVERRIDE=FQ","FILING_STATUS=OR","EQY_CONSOLIDATED=Y","Sort=A","Dates=H","DateFormat=P","Fill=—","Direction=H","UseDPDF=Y")</f>
        <v>#NAME?</v>
      </c>
      <c r="AW241" s="1" t="e">
        <f ca="1">_xll.BDH($C$228,"MODIFIED_WORKING_CPTL_5YR_GRWTH","FQ3 2016","FQ3 2016","Currency=INR","Period=FQ","BEST_FPERIOD_OVERRIDE=FQ","FILING_STATUS=OR","EQY_CONSOLIDATED=Y","Sort=A","Dates=H","DateFormat=P","Fill=—","Direction=H","UseDPDF=Y")</f>
        <v>#NAME?</v>
      </c>
      <c r="AX241" s="1" t="e">
        <f ca="1">_xll.BDH($C$228,"WORKING_CAPITAL_5_YEAR_GROWTH","FQ3 2016","FQ3 2016","Currency=INR","Period=FQ","BEST_FPERIOD_OVERRIDE=FQ","FILING_STATUS=OR","EQY_CONSOLIDATED=Y","Sort=A","Dates=H","DateFormat=P","Fill=—","Direction=H","UseDPDF=Y")</f>
        <v>#NAME?</v>
      </c>
      <c r="AY241" s="1" t="e">
        <f ca="1">_xll.BDH($C$228,"ACCOUNTS_PAYABLE_5_YEAR_GROWTH","FQ3 2016","FQ3 2016","Currency=INR","Period=FQ","BEST_FPERIOD_OVERRIDE=FQ","FILING_STATUS=OR","EQY_CONSOLIDATED=Y","Sort=A","Dates=H","DateFormat=P","Fill=—","Direction=H","UseDPDF=Y")</f>
        <v>#NAME?</v>
      </c>
      <c r="AZ241" s="1" t="e">
        <f ca="1">_xll.BDH($C$228,"SHORT_TERM_DEBT_5_YEAR_GROWTH","FQ3 2016","FQ3 2016","Currency=INR","Period=FQ","BEST_FPERIOD_OVERRIDE=FQ","FILING_STATUS=OR","EQY_CONSOLIDATED=Y","Sort=A","Dates=H","DateFormat=P","Fill=—","Direction=H","UseDPDF=Y")</f>
        <v>#NAME?</v>
      </c>
      <c r="BA241" s="1" t="e">
        <f ca="1">_xll.BDH($C$228,"TOTAL_DEBT_5_YEAR_GROWTH","FQ3 2016","FQ3 2016","Currency=INR","Period=FQ","BEST_FPERIOD_OVERRIDE=FQ","FILING_STATUS=OR","EQY_CONSOLIDATED=Y","Sort=A","Dates=H","DateFormat=P","Fill=—","Direction=H","UseDPDF=Y")</f>
        <v>#NAME?</v>
      </c>
      <c r="BB241" s="1" t="e">
        <f ca="1">_xll.BDH($C$228,"GEO_GROW_TOT_SHRHLDR_EQY","FQ3 2016","FQ3 2016","Currency=INR","Period=FQ","BEST_FPERIOD_OVERRIDE=FQ","FILING_STATUS=OR","EQY_CONSOLIDATED=Y","Sort=A","Dates=H","DateFormat=P","Fill=—","Direction=H","UseDPDF=Y")</f>
        <v>#NAME?</v>
      </c>
      <c r="BC241" s="1" t="e">
        <f ca="1">_xll.BDH($C$228,"TOTAL_CAPITAL_5_YEAR_GROWTH","FQ3 2016","FQ3 2016","Currency=INR","Period=FQ","BEST_FPERIOD_OVERRIDE=FQ","FILING_STATUS=OR","EQY_CONSOLIDATED=Y","Sort=A","Dates=H","DateFormat=P","Fill=—","Direction=H","UseDPDF=Y")</f>
        <v>#NAME?</v>
      </c>
      <c r="BD241" s="1" t="e">
        <f ca="1">_xll.BDH($C$228,"GEO_GROW_BOOK_VAL","FQ3 2016","FQ3 2016","Currency=INR","Period=FQ","BEST_FPERIOD_OVERRIDE=FQ","FILING_STATUS=OR","EQY_CONSOLIDATED=Y","Sort=A","Dates=H","DateFormat=P","Fill=—","Direction=H","UseDPDF=Y")</f>
        <v>#NAME?</v>
      </c>
      <c r="BE241" s="1" t="e">
        <f ca="1">_xll.BDH($C$228,"GEO_GROW_CASH_OPER_ACT","FQ3 2016","FQ3 2016","Currency=INR","Period=FQ","BEST_FPERIOD_OVERRIDE=FQ","FILING_STATUS=OR","EQY_CONSOLIDATED=Y","Sort=A","Dates=H","DateFormat=P","Fill=—","Direction=H","UseDPDF=Y")</f>
        <v>#NAME?</v>
      </c>
      <c r="BF241" s="1" t="e">
        <f ca="1">_xll.BDH($C$228,"REVENUE_SEQUENTIAL_GROWTH","FQ3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41" s="1" t="e">
        <f ca="1">_xll.BDH($C$228,"EBITDA_SEQUENTIAL_GROWTH","FQ3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41" s="1" t="e">
        <f ca="1">_xll.BDH($C$228,"OPERATING_INCOME_SEQ_GROWTH","FQ3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41" s="1" t="e">
        <f ca="1">_xll.BDH($C$228,"NET_INCOME_TO_COMMON_SEQ_GROWTH","FQ3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41" s="1" t="e">
        <f ca="1">_xll.BDH($C$228,"EPS_DILUTED_SEQUENTIAL_GROWTH","FQ3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41" s="1" t="e">
        <f ca="1">_xll.BDH($C$228,"DPS_SEQUENTIAL_GROWTH","FQ3 2016","FQ3 2016","Currency=INR","Period=FQ","BEST_FPERIOD_OVERRIDE=FQ","FILING_STATUS=OR","EQY_CONSOLIDATED=Y","Sort=A","Dates=H","DateFormat=P","Fill=—","Direction=H","UseDPDF=Y")</f>
        <v>#NAME?</v>
      </c>
      <c r="BL241" s="1" t="e">
        <f ca="1">_xll.BDH($C$228,"ACCOUNTS_RECEIVABLE_SEQ_GROWTH","FQ3 2016","FQ3 2016","Currency=INR","Period=FQ","BEST_FPERIOD_OVERRIDE=FQ","FILING_STATUS=OR","EQY_CONSOLIDATED=Y","Sort=A","Dates=H","DateFormat=P","Fill=—","Direction=H","UseDPDF=Y")</f>
        <v>#NAME?</v>
      </c>
      <c r="BM241" s="1" t="e">
        <f ca="1">_xll.BDH($C$228,"INVENTORY_SEQUENTIAL_GROWTH","FQ3 2016","FQ3 2016","Currency=INR","Period=FQ","BEST_FPERIOD_OVERRIDE=FQ","FILING_STATUS=OR","EQY_CONSOLIDATED=Y","Sort=A","Dates=H","DateFormat=P","Fill=—","Direction=H","UseDPDF=Y")</f>
        <v>#NAME?</v>
      </c>
      <c r="BN241" s="1" t="e">
        <f ca="1">_xll.BDH($C$228,"FIXED_ASSETS_SEQUENTIAL_GROWTH","FQ3 2016","FQ3 2016","Currency=INR","Period=FQ","BEST_FPERIOD_OVERRIDE=FQ","FILING_STATUS=OR","EQY_CONSOLIDATED=Y","Sort=A","Dates=H","DateFormat=P","Fill=—","Direction=H","UseDPDF=Y")</f>
        <v>#NAME?</v>
      </c>
      <c r="BO241" s="1" t="e">
        <f ca="1">_xll.BDH($C$228,"TOTAL_ASSETS_SEQUENTIAL_GROWTH","FQ3 2016","FQ3 2016","Currency=INR","Period=FQ","BEST_FPERIOD_OVERRIDE=FQ","FILING_STATUS=OR","EQY_CONSOLIDATED=Y","Sort=A","Dates=H","DateFormat=P","Fill=—","Direction=H","UseDPDF=Y")</f>
        <v>#NAME?</v>
      </c>
      <c r="BP241" s="1" t="e">
        <f ca="1">_xll.BDH($C$228,"MODIFIED_WORKING_CPTL_SEQ_GRWTH","FQ3 2016","FQ3 2016","Currency=INR","Period=FQ","BEST_FPERIOD_OVERRIDE=FQ","FILING_STATUS=OR","EQY_CONSOLIDATED=Y","Sort=A","Dates=H","DateFormat=P","Fill=—","Direction=H","UseDPDF=Y")</f>
        <v>#NAME?</v>
      </c>
      <c r="BQ241" s="1" t="e">
        <f ca="1">_xll.BDH($C$228,"WORKING_CAPITAL_SEQ_GROWTH","FQ3 2016","FQ3 2016","Currency=INR","Period=FQ","BEST_FPERIOD_OVERRIDE=FQ","FILING_STATUS=OR","EQY_CONSOLIDATED=Y","Sort=A","Dates=H","DateFormat=P","Fill=—","Direction=H","UseDPDF=Y")</f>
        <v>#NAME?</v>
      </c>
      <c r="BR241" s="1" t="e">
        <f ca="1">_xll.BDH($C$228,"ACCOUNTS_PAYABLE_SEQ_GROWTH","FQ3 2016","FQ3 2016","Currency=INR","Period=FQ","BEST_FPERIOD_OVERRIDE=FQ","FILING_STATUS=OR","EQY_CONSOLIDATED=Y","Sort=A","Dates=H","DateFormat=P","Fill=—","Direction=H","UseDPDF=Y")</f>
        <v>#NAME?</v>
      </c>
      <c r="BS241" s="1" t="e">
        <f ca="1">_xll.BDH($C$228,"ST_DEBT_SEQUENTIAL_GROWTH","FQ3 2016","FQ3 2016","Currency=INR","Period=FQ","BEST_FPERIOD_OVERRIDE=FQ","FILING_STATUS=OR","EQY_CONSOLIDATED=Y","Sort=A","Dates=H","DateFormat=P","Fill=—","Direction=H","UseDPDF=Y")</f>
        <v>#NAME?</v>
      </c>
      <c r="BT241" s="1" t="e">
        <f ca="1">_xll.BDH($C$228,"TOTAL_DEBT_SEQUENTIAL_GROWTH","FQ3 2016","FQ3 2016","Currency=INR","Period=FQ","BEST_FPERIOD_OVERRIDE=FQ","FILING_STATUS=OR","EQY_CONSOLIDATED=Y","Sort=A","Dates=H","DateFormat=P","Fill=—","Direction=H","UseDPDF=Y")</f>
        <v>#NAME?</v>
      </c>
      <c r="BU241" s="1" t="e">
        <f ca="1">_xll.BDH($C$228,"TOTAL_EQUITY_SEQUENTIAL_GROWTH","FQ3 2016","FQ3 2016","Currency=INR","Period=FQ","BEST_FPERIOD_OVERRIDE=FQ","FILING_STATUS=OR","EQY_CONSOLIDATED=Y","Sort=A","Dates=H","DateFormat=P","Fill=—","Direction=H","UseDPDF=Y")</f>
        <v>#NAME?</v>
      </c>
      <c r="BV241" s="1" t="e">
        <f ca="1">_xll.BDH($C$228,"TOTAL_CAPITAL_SEQUENTIAL_GROWTH","FQ3 2016","FQ3 2016","Currency=INR","Period=FQ","BEST_FPERIOD_OVERRIDE=FQ","FILING_STATUS=OR","EQY_CONSOLIDATED=Y","Sort=A","Dates=H","DateFormat=P","Fill=—","Direction=H","UseDPDF=Y")</f>
        <v>#NAME?</v>
      </c>
      <c r="BW241" s="1" t="e">
        <f ca="1">_xll.BDH($C$228,"BPS_SEQUENTIAL_GROWTH","FQ3 2016","FQ3 2016","Currency=INR","Period=FQ","BEST_FPERIOD_OVERRIDE=FQ","FILING_STATUS=OR","EQY_CONSOLIDATED=Y","Sort=A","Dates=H","DateFormat=P","Fill=—","Direction=H","UseDPDF=Y")</f>
        <v>#NAME?</v>
      </c>
      <c r="BX241" s="1" t="e">
        <f ca="1">_xll.BDH($C$228,"CFO_SEQUENTIAL_GROWTH","FQ3 2016","FQ3 2016","Currency=INR","Period=FQ","BEST_FPERIOD_OVERRIDE=FQ","FILING_STATUS=OR","EQY_CONSOLIDATED=Y","Sort=A","Dates=H","DateFormat=P","Fill=—","Direction=H","UseDPDF=Y")</f>
        <v>#NAME?</v>
      </c>
      <c r="BY241" s="2" t="e">
        <f ca="1">_xll.BDH($C$228,"SHORT_AND_LONG_TERM_DEBT","FQ3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41" s="2" t="e">
        <f ca="1">_xll.BDH($C$228,"BS_ST_BORROW","FQ3 2016","FQ3 2016","Currency=INR","Period=FQ","BEST_FPERIOD_OVERRIDE=FQ","FILING_STATUS=OR","EQY_CONSOLIDATED=Y","SCALING_FORMAT=MLN","Sort=A","Dates=H","DateFormat=P","Fill=—","Direction=H","UseDPDF=Y")</f>
        <v>#NAME?</v>
      </c>
      <c r="CA241" s="2" t="e">
        <f ca="1">_xll.BDH($C$228,"BS_LT_BORROW","FQ3 2016","FQ3 2016","Currency=INR","Period=FQ","BEST_FPERIOD_OVERRIDE=FQ","FILING_STATUS=OR","EQY_CONSOLIDATED=Y","SCALING_FORMAT=MLN","Sort=A","Dates=H","DateFormat=P","Fill=—","Direction=H","UseDPDF=Y")</f>
        <v>#NAME?</v>
      </c>
      <c r="CB241" s="1" t="e">
        <f ca="1">_xll.BDH($C$228,"TOT_DEBT_TO_EBITDA","FQ3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41" s="1" t="e">
        <f ca="1">_xll.BDH($C$228,"NET_DEBT_TO_EBITDA","FQ3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41" s="1" t="e">
        <f ca="1">_xll.BDH($C$228,"TOTAL_DEBT_TO_EBIT","FQ3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41" s="1" t="e">
        <f ca="1">_xll.BDH($C$228,"NET_DEBT_TO_EBIT","FQ3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241" s="1" t="e">
        <f ca="1">_xll.BDH($C$228,"EBITDA_TO_INTEREST_EXPN","FQ3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41" s="1" t="e">
        <f ca="1">_xll.BDH($C$228,"COM_EQY_TO_TOT_ASSET","FQ3 2016","FQ3 2016","Currency=INR","Period=FQ","BEST_FPERIOD_OVERRIDE=FQ","FILING_STATUS=OR","EQY_CONSOLIDATED=Y","Sort=A","Dates=H","DateFormat=P","Fill=—","Direction=H","UseDPDF=Y")</f>
        <v>#NAME?</v>
      </c>
      <c r="CH241" s="1" t="e">
        <f ca="1">_xll.BDH($C$228,"LT_DEBT_TO_TOT_EQY","FQ3 2016","FQ3 2016","Currency=INR","Period=FQ","BEST_FPERIOD_OVERRIDE=FQ","FILING_STATUS=OR","EQY_CONSOLIDATED=Y","Sort=A","Dates=H","DateFormat=P","Fill=—","Direction=H","UseDPDF=Y")</f>
        <v>#NAME?</v>
      </c>
      <c r="CI241" s="1" t="e">
        <f ca="1">_xll.BDH($C$228,"LT_DEBT_TO_TOT_CAP","FQ3 2016","FQ3 2016","Currency=INR","Period=FQ","BEST_FPERIOD_OVERRIDE=FQ","FILING_STATUS=OR","EQY_CONSOLIDATED=Y","Sort=A","Dates=H","DateFormat=P","Fill=—","Direction=H","UseDPDF=Y")</f>
        <v>#NAME?</v>
      </c>
      <c r="CJ241" s="1" t="e">
        <f ca="1">_xll.BDH($C$228,"LT_DEBT_TO_TOT_ASSET","FQ3 2016","FQ3 2016","Currency=INR","Period=FQ","BEST_FPERIOD_OVERRIDE=FQ","FILING_STATUS=OR","EQY_CONSOLIDATED=Y","Sort=A","Dates=H","DateFormat=P","Fill=—","Direction=H","UseDPDF=Y")</f>
        <v>#NAME?</v>
      </c>
      <c r="CK241" s="1" t="e">
        <f ca="1">_xll.BDH($C$228,"TOT_DEBT_TO_TOT_EQY","FQ3 2016","FQ3 2016","Currency=INR","Period=FQ","BEST_FPERIOD_OVERRIDE=FQ","FILING_STATUS=OR","EQY_CONSOLIDATED=Y","Sort=A","Dates=H","DateFormat=P","Fill=—","Direction=H","UseDPDF=Y")</f>
        <v>#NAME?</v>
      </c>
      <c r="CL241" s="1" t="e">
        <f ca="1">_xll.BDH($C$228,"TOT_DEBT_TO_TOT_CAP","FQ3 2016","FQ3 2016","Currency=INR","Period=FQ","BEST_FPERIOD_OVERRIDE=FQ","FILING_STATUS=OR","EQY_CONSOLIDATED=Y","Sort=A","Dates=H","DateFormat=P","Fill=—","Direction=H","UseDPDF=Y")</f>
        <v>#NAME?</v>
      </c>
      <c r="CM241" s="1" t="e">
        <f ca="1">_xll.BDH($C$228,"TOT_DEBT_TO_TOT_ASSET","FQ3 2016","FQ3 2016","Currency=INR","Period=FQ","BEST_FPERIOD_OVERRIDE=FQ","FILING_STATUS=OR","EQY_CONSOLIDATED=Y","Sort=A","Dates=H","DateFormat=P","Fill=—","Direction=H","UseDPDF=Y")</f>
        <v>#NAME?</v>
      </c>
      <c r="CN241" s="1" t="e">
        <f ca="1">_xll.BDH($C$228,"NET_DEBT_TO_SHRHLDR_EQTY","FQ3 2016","FQ3 2016","Currency=INR","Period=FQ","BEST_FPERIOD_OVERRIDE=FQ","FILING_STATUS=OR","EQY_CONSOLIDATED=Y","Sort=A","Dates=H","DateFormat=P","Fill=—","Direction=H","UseDPDF=Y")</f>
        <v>#NAME?</v>
      </c>
      <c r="CO241" s="1" t="e">
        <f ca="1">_xll.BDH($C$228,"NET_DEBT_%_CAPITAL","FQ3 2016","FQ3 2016","Currency=INR","Period=FQ","BEST_FPERIOD_OVERRIDE=FQ","FILING_STATUS=OR","EQY_CONSOLIDATED=Y","Sort=A","Dates=H","DateFormat=P","Fill=—","Direction=H","UseDPDF=Y")</f>
        <v>#NAME?</v>
      </c>
      <c r="CP241" s="2" t="e">
        <f ca="1">_xll.BDH($C$228,"EBITDA","FQ3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41" s="2" t="e">
        <f ca="1">_xll.BDH($C$228,"EBITDA_AFTER_CAPEX","FQ3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41" s="2" t="e">
        <f ca="1">_xll.BDH($C$228,"IS_OPER_INC","FQ3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41" s="1" t="e">
        <f ca="1">_xll.BDH($C$228,"CASH_RATIO","FQ3 2016","FQ3 2016","Currency=INR","Period=FQ","BEST_FPERIOD_OVERRIDE=FQ","FILING_STATUS=OR","EQY_CONSOLIDATED=Y","Sort=A","Dates=H","DateFormat=P","Fill=—","Direction=H","UseDPDF=Y")</f>
        <v>#NAME?</v>
      </c>
      <c r="CT241" s="1" t="e">
        <f ca="1">_xll.BDH($C$228,"CUR_RATIO","FQ3 2016","FQ3 2016","Currency=INR","Period=FQ","BEST_FPERIOD_OVERRIDE=FQ","FILING_STATUS=OR","EQY_CONSOLIDATED=Y","Sort=A","Dates=H","DateFormat=P","Fill=—","Direction=H","UseDPDF=Y")</f>
        <v>#NAME?</v>
      </c>
      <c r="CU241" s="1" t="e">
        <f ca="1">_xll.BDH($C$228,"QUICK_RATIO","FQ3 2016","FQ3 2016","Currency=INR","Period=FQ","BEST_FPERIOD_OVERRIDE=FQ","FILING_STATUS=OR","EQY_CONSOLIDATED=Y","Sort=A","Dates=H","DateFormat=P","Fill=—","Direction=H","UseDPDF=Y")</f>
        <v>#NAME?</v>
      </c>
      <c r="CV241" s="1" t="e">
        <f ca="1">_xll.BDH($C$228,"ALTMAN_Z_SCORE","FQ3 2016","FQ3 2016","Currency=INR","Period=FQ","BEST_FPERIOD_OVERRIDE=FQ","FILING_STATUS=OR","EQY_CONSOLIDATED=Y","Sort=A","Dates=H","DateFormat=P","Fill=—","Direction=H","UseDPDF=Y")</f>
        <v>#NAME?</v>
      </c>
      <c r="CW241" s="3" t="e">
        <f ca="1">_xll.BDH($C$228,"ACCT_RCV_TURN","FQ3 2016","FQ3 2016","Currency=INR","Period=FQ","BEST_FPERIOD_OVERRIDE=FQ","FILING_STATUS=OR","EQY_CONSOLIDATED=Y","FA_ADJUSTED=GAAP","Sort=A","Dates=H","DateFormat=P","Fill=—","Direction=H","UseDPDF=Y")</f>
        <v>#NAME?</v>
      </c>
      <c r="CX241" s="1" t="e">
        <f ca="1">_xll.BDH($C$228,"ACCT_RCV_DAYS","FQ3 2016","FQ3 2016","Currency=INR","Period=FQ","BEST_FPERIOD_OVERRIDE=FQ","FILING_STATUS=OR","EQY_CONSOLIDATED=Y","FA_ADJUSTED=GAAP","Sort=A","Dates=H","DateFormat=P","Fill=—","Direction=H","UseDPDF=Y")</f>
        <v>#NAME?</v>
      </c>
      <c r="CY241" s="3" t="e">
        <f ca="1">_xll.BDH($C$228,"INVENT_TURN","FQ3 2016","FQ3 2016","Currency=INR","Period=FQ","BEST_FPERIOD_OVERRIDE=FQ","FILING_STATUS=OR","EQY_CONSOLIDATED=Y","FA_ADJUSTED=GAAP","Sort=A","Dates=H","DateFormat=P","Fill=—","Direction=H","UseDPDF=Y")</f>
        <v>#NAME?</v>
      </c>
      <c r="CZ241" s="1" t="e">
        <f ca="1">_xll.BDH($C$228,"INVENT_DAYS","FQ3 2016","FQ3 2016","Currency=INR","Period=FQ","BEST_FPERIOD_OVERRIDE=FQ","FILING_STATUS=OR","EQY_CONSOLIDATED=Y","FA_ADJUSTED=GAAP","Sort=A","Dates=H","DateFormat=P","Fill=—","Direction=H","UseDPDF=Y")</f>
        <v>#NAME?</v>
      </c>
      <c r="DA241" s="3" t="e">
        <f ca="1">_xll.BDH($C$228,"ACCOUNTS_PAYABLE_TURNOVER","FQ3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41" s="1" t="e">
        <f ca="1">_xll.BDH($C$228,"ACCOUNTS_PAYABLE_TURNOVER_DAYS","FQ3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41" s="3" t="e">
        <f ca="1">_xll.BDH($C$228,"CASH_CONVERSION_CYCLE","FQ3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41" s="3" t="e">
        <f ca="1">_xll.BDH($C$228,"INV_TO_CASH_DAYS","FQ3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241" s="4" t="e">
        <f ca="1">_xll.BDH($C$228,"BS_INVENTORIES","FQ3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241" s="2" t="e">
        <f ca="1">_xll.BDH($C$228,"INVTRY_RAW_MATERIALS","FQ3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41" s="2" t="e">
        <f ca="1">_xll.BDH($C$228,"INVTRY_IN_PROGRESS","FQ3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41" s="2" t="e">
        <f ca="1">_xll.BDH($C$228,"INVTRY_FINISHED_GOODS","FQ3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41" s="2" t="e">
        <f ca="1">_xll.BDH($C$228,"BS_OTHER_INV","FQ3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42" spans="1:113" x14ac:dyDescent="0.3">
      <c r="A242" s="6"/>
      <c r="B242" s="6"/>
      <c r="C242" s="6"/>
      <c r="D242" s="6"/>
      <c r="E242" t="s">
        <v>7</v>
      </c>
      <c r="F242" t="e">
        <f ca="1">_xll.BDH($C$228,"RETURN_COM_EQY","FQ4 2016","FQ4 2016","Currency=INR","Period=FQ","BEST_FPERIOD_OVERRIDE=FQ","FILING_STATUS=OR","EQY_CONSOLIDATED=Y","FA_ADJUSTED=GAAP","Sort=A","Dates=H","DateFormat=P","Fill=—","Direction=H","UseDPDF=Y")</f>
        <v>#NAME?</v>
      </c>
      <c r="G242" t="e">
        <f ca="1">_xll.BDH($C$228,"RETURN_ON_ASSET","FQ4 2016","FQ4 2016","Currency=INR","Period=FQ","BEST_FPERIOD_OVERRIDE=FQ","FILING_STATUS=OR","EQY_CONSOLIDATED=Y","FA_ADJUSTED=GAAP","Sort=A","Dates=H","DateFormat=P","Fill=—","Direction=H","UseDPDF=Y")</f>
        <v>#NAME?</v>
      </c>
      <c r="H242" t="e">
        <f ca="1">_xll.BDH($C$228,"RETURN_ON_CAP","FQ4 2016","FQ4 2016","Currency=INR","Period=FQ","BEST_FPERIOD_OVERRIDE=FQ","FILING_STATUS=OR","EQY_CONSOLIDATED=Y","FA_ADJUSTED=GAAP","Sort=A","Dates=H","DateFormat=P","Fill=—","Direction=H","UseDPDF=Y")</f>
        <v>#NAME?</v>
      </c>
      <c r="I242" t="e">
        <f ca="1">_xll.BDH($C$228,"RETURN_ON_INV_CAPITAL","FQ4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42" t="e">
        <f ca="1">_xll.BDH($C$228,"EBITDA_TO_REVENUE","FQ4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242" t="e">
        <f ca="1">_xll.BDH($C$228,"OPER_MARGIN","FQ4 2016","FQ4 2016","Currency=INR","Period=FQ","BEST_FPERIOD_OVERRIDE=FQ","FILING_STATUS=OR","EQY_CONSOLIDATED=Y","FA_ADJUSTED=GAAP","Sort=A","Dates=H","DateFormat=P","Fill=—","Direction=H","UseDPDF=Y")</f>
        <v>#NAME?</v>
      </c>
      <c r="L242" t="e">
        <f ca="1">_xll.BDH($C$228,"INCREMENTAL_OPERATING_MARGIN","FQ4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42" t="e">
        <f ca="1">_xll.BDH($C$228,"PRETAX_INC_TO_NET_SALES","FQ4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42" t="e">
        <f ca="1">_xll.BDH($C$228,"INC_BEF_XO_ITEMS_TO_NET_SALES","FQ4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42" t="e">
        <f ca="1">_xll.BDH($C$228,"PROF_MARGIN","FQ4 2016","FQ4 2016","Currency=INR","Period=FQ","BEST_FPERIOD_OVERRIDE=FQ","FILING_STATUS=OR","EQY_CONSOLIDATED=Y","FA_ADJUSTED=GAAP","Sort=A","Dates=H","DateFormat=P","Fill=—","Direction=H","UseDPDF=Y")</f>
        <v>#NAME?</v>
      </c>
      <c r="P242" t="e">
        <f ca="1">_xll.BDH($C$228,"NET_INCOME_TO_COMMON_MARGIN","FQ4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42" t="e">
        <f ca="1">_xll.BDH($C$228,"EFF_TAX_RATE","FQ4 2016","FQ4 2016","Currency=INR","Period=FQ","BEST_FPERIOD_OVERRIDE=FQ","FILING_STATUS=OR","EQY_CONSOLIDATED=Y","FA_ADJUSTED=GAAP","Sort=A","Dates=H","DateFormat=P","Fill=—","Direction=H","UseDPDF=Y")</f>
        <v>#NAME?</v>
      </c>
      <c r="R242" t="e">
        <f ca="1">_xll.BDH($C$228,"DVD_PAYOUT_RATIO","FQ4 2016","FQ4 2016","Currency=INR","Period=FQ","BEST_FPERIOD_OVERRIDE=FQ","FILING_STATUS=OR","EQY_CONSOLIDATED=Y","FA_ADJUSTED=GAAP","Sort=A","Dates=H","DateFormat=P","Fill=—","Direction=H","UseDPDF=Y")</f>
        <v>#NAME?</v>
      </c>
      <c r="S242" t="e">
        <f ca="1">_xll.BDH($C$228,"SUSTAIN_GROWTH_RT","FQ4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242" s="1" t="e">
        <f ca="1">_xll.BDH($C$228,"SALES_GROWTH","FQ4 2016","FQ4 2016","Currency=INR","Period=FQ","BEST_FPERIOD_OVERRIDE=FQ","FILING_STATUS=OR","EQY_CONSOLIDATED=Y","FA_ADJUSTED=GAAP","Sort=A","Dates=H","DateFormat=P","Fill=—","Direction=H","UseDPDF=Y")</f>
        <v>#NAME?</v>
      </c>
      <c r="U242" s="1" t="e">
        <f ca="1">_xll.BDH($C$228,"EBITDA_GROWTH","FQ4 2016","FQ4 2016","Currency=INR","Period=FQ","BEST_FPERIOD_OVERRIDE=FQ","FILING_STATUS=OR","EQY_CONSOLIDATED=Y","FA_ADJUSTED=GAAP","Sort=A","Dates=H","DateFormat=P","Fill=—","Direction=H","UseDPDF=Y")</f>
        <v>#NAME?</v>
      </c>
      <c r="V242" s="1" t="e">
        <f ca="1">_xll.BDH($C$228,"OPER_INC_GROWTH","FQ4 2016","FQ4 2016","Currency=INR","Period=FQ","BEST_FPERIOD_OVERRIDE=FQ","FILING_STATUS=OR","EQY_CONSOLIDATED=Y","FA_ADJUSTED=GAAP","Sort=A","Dates=H","DateFormat=P","Fill=—","Direction=H","UseDPDF=Y")</f>
        <v>#NAME?</v>
      </c>
      <c r="W242" s="1" t="e">
        <f ca="1">_xll.BDH($C$228,"EARN_FOR_COM_GROWTH","FQ4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42" s="1" t="e">
        <f ca="1">_xll.BDH($C$228,"DILUTED_EPS_AFT_XO_ITEMS_GROWTH","FQ4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42" s="1" t="e">
        <f ca="1">_xll.BDH($C$228,"DIVIDEND_PER_SHARE_1_YEAR_GROWTH","FQ4 2016","FQ4 2016","Currency=INR","Period=FQ","BEST_FPERIOD_OVERRIDE=FQ","FILING_STATUS=OR","EQY_CONSOLIDATED=Y","Sort=A","Dates=H","DateFormat=P","Fill=—","Direction=H","UseDPDF=Y")</f>
        <v>#NAME?</v>
      </c>
      <c r="Z242" s="1" t="e">
        <f ca="1">_xll.BDH($C$228,"ACCOUNTS_RECEIVABLE_GROWTH","FQ4 2016","FQ4 2016","Currency=INR","Period=FQ","BEST_FPERIOD_OVERRIDE=FQ","FILING_STATUS=OR","EQY_CONSOLIDATED=Y","Sort=A","Dates=H","DateFormat=P","Fill=—","Direction=H","UseDPDF=Y")</f>
        <v>#NAME?</v>
      </c>
      <c r="AA242" s="1" t="e">
        <f ca="1">_xll.BDH($C$228,"INVENTORY_GROWTH","FQ4 2016","FQ4 2016","Currency=INR","Period=FQ","BEST_FPERIOD_OVERRIDE=FQ","FILING_STATUS=OR","EQY_CONSOLIDATED=Y","Sort=A","Dates=H","DateFormat=P","Fill=—","Direction=H","UseDPDF=Y")</f>
        <v>#NAME?</v>
      </c>
      <c r="AB242" s="1" t="e">
        <f ca="1">_xll.BDH($C$228,"NET_FIXED_ASSETS_1_YEAR_GROWTH","FQ4 2016","FQ4 2016","Currency=INR","Period=FQ","BEST_FPERIOD_OVERRIDE=FQ","FILING_STATUS=OR","EQY_CONSOLIDATED=Y","Sort=A","Dates=H","DateFormat=P","Fill=—","Direction=H","UseDPDF=Y")</f>
        <v>#NAME?</v>
      </c>
      <c r="AC242" s="1" t="e">
        <f ca="1">_xll.BDH($C$228,"ASSET_GROWTH","FQ4 2016","FQ4 2016","Currency=INR","Period=FQ","BEST_FPERIOD_OVERRIDE=FQ","FILING_STATUS=OR","EQY_CONSOLIDATED=Y","Sort=A","Dates=H","DateFormat=P","Fill=—","Direction=H","UseDPDF=Y")</f>
        <v>#NAME?</v>
      </c>
      <c r="AD242" s="1" t="e">
        <f ca="1">_xll.BDH($C$228,"MODIFIED_WORK_CAP_GROWTH","FQ4 2016","FQ4 2016","Currency=INR","Period=FQ","BEST_FPERIOD_OVERRIDE=FQ","FILING_STATUS=OR","EQY_CONSOLIDATED=Y","Sort=A","Dates=H","DateFormat=P","Fill=—","Direction=H","UseDPDF=Y")</f>
        <v>#NAME?</v>
      </c>
      <c r="AE242" s="1" t="e">
        <f ca="1">_xll.BDH($C$228,"WORK_CAP_GROWTH","FQ4 2016","FQ4 2016","Currency=INR","Period=FQ","BEST_FPERIOD_OVERRIDE=FQ","FILING_STATUS=OR","EQY_CONSOLIDATED=Y","Sort=A","Dates=H","DateFormat=P","Fill=—","Direction=H","UseDPDF=Y")</f>
        <v>#NAME?</v>
      </c>
      <c r="AF242" s="1" t="e">
        <f ca="1">_xll.BDH($C$228,"ACCOUNTS_PAYABLE_GROWTH_1YR","FQ4 2016","FQ4 2016","Currency=INR","Period=FQ","BEST_FPERIOD_OVERRIDE=FQ","FILING_STATUS=OR","EQY_CONSOLIDATED=Y","Sort=A","Dates=H","DateFormat=P","Fill=—","Direction=H","UseDPDF=Y")</f>
        <v>#NAME?</v>
      </c>
      <c r="AG242" s="1" t="e">
        <f ca="1">_xll.BDH($C$228,"SHORT_TERM_DEBT_1_YEAR_GROWTH","FQ4 2016","FQ4 2016","Currency=INR","Period=FQ","BEST_FPERIOD_OVERRIDE=FQ","FILING_STATUS=OR","EQY_CONSOLIDATED=Y","Sort=A","Dates=H","DateFormat=P","Fill=—","Direction=H","UseDPDF=Y")</f>
        <v>#NAME?</v>
      </c>
      <c r="AH242" s="1" t="e">
        <f ca="1">_xll.BDH($C$228,"TOTAL_DEBT_1_YEAR_GROWTH","FQ4 2016","FQ4 2016","Currency=INR","Period=FQ","BEST_FPERIOD_OVERRIDE=FQ","FILING_STATUS=OR","EQY_CONSOLIDATED=Y","Sort=A","Dates=H","DateFormat=P","Fill=—","Direction=H","UseDPDF=Y")</f>
        <v>#NAME?</v>
      </c>
      <c r="AI242" s="1" t="e">
        <f ca="1">_xll.BDH($C$228,"TOTAL_EQUITY_1_YEAR_GROWTH","FQ4 2016","FQ4 2016","Currency=INR","Period=FQ","BEST_FPERIOD_OVERRIDE=FQ","FILING_STATUS=OR","EQY_CONSOLIDATED=Y","Sort=A","Dates=H","DateFormat=P","Fill=—","Direction=H","UseDPDF=Y")</f>
        <v>#NAME?</v>
      </c>
      <c r="AJ242" s="1" t="e">
        <f ca="1">_xll.BDH($C$228,"GROWTH_IN_CAP","FQ4 2016","FQ4 2016","Currency=INR","Period=FQ","BEST_FPERIOD_OVERRIDE=FQ","FILING_STATUS=OR","EQY_CONSOLIDATED=Y","Sort=A","Dates=H","DateFormat=P","Fill=—","Direction=H","UseDPDF=Y")</f>
        <v>#NAME?</v>
      </c>
      <c r="AK242" s="1" t="e">
        <f ca="1">_xll.BDH($C$228,"BVPS_GROWTH","FQ4 2016","FQ4 2016","Currency=INR","Period=FQ","BEST_FPERIOD_OVERRIDE=FQ","FILING_STATUS=OR","EQY_CONSOLIDATED=Y","Sort=A","Dates=H","DateFormat=P","Fill=—","Direction=H","UseDPDF=Y")</f>
        <v>#NAME?</v>
      </c>
      <c r="AL242" s="1" t="e">
        <f ca="1">_xll.BDH($C$228,"CASH_FLOW_GROWTH","FQ4 2016","FQ4 2016","Currency=INR","Period=FQ","BEST_FPERIOD_OVERRIDE=FQ","FILING_STATUS=OR","EQY_CONSOLIDATED=Y","Sort=A","Dates=H","DateFormat=P","Fill=—","Direction=H","UseDPDF=Y")</f>
        <v>#NAME?</v>
      </c>
      <c r="AM242" s="1" t="e">
        <f ca="1">_xll.BDH($C$228,"GEO_GROW_NET_SALES","FQ4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42" s="1" t="e">
        <f ca="1">_xll.BDH($C$228,"GEO_GROW_EBITDA","FQ4 2016","FQ4 2016","Currency=INR","Period=FQ","BEST_FPERIOD_OVERRIDE=FQ","FILING_STATUS=OR","EQY_CONSOLIDATED=Y","FA_ADJUSTED=GAAP","Sort=A","Dates=H","DateFormat=P","Fill=—","Direction=H","UseDPDF=Y")</f>
        <v>#NAME?</v>
      </c>
      <c r="AO242" s="1" t="e">
        <f ca="1">_xll.BDH($C$228,"GEO_GROW_OPER_INC","FQ4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42" s="1" t="e">
        <f ca="1">_xll.BDH($C$228,"NET_INCOME_TO_COMMON_5_YR_GROWTH","FQ4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42" s="1" t="e">
        <f ca="1">_xll.BDH($C$228,"5Y_GEO_GROWTH_DILUTED_EPS","FQ4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42" s="1" t="e">
        <f ca="1">_xll.BDH($C$228,"GEO_GROW_DVD_PER_SH","FQ4 2016","FQ4 2016","Currency=INR","Period=FQ","BEST_FPERIOD_OVERRIDE=FQ","FILING_STATUS=OR","EQY_CONSOLIDATED=Y","Sort=A","Dates=H","DateFormat=P","Fill=—","Direction=H","UseDPDF=Y")</f>
        <v>#NAME?</v>
      </c>
      <c r="AS242" s="1" t="e">
        <f ca="1">_xll.BDH($C$228,"ACCOUNTS_RECEIVABLE_5_YR_GROWTH","FQ4 2016","FQ4 2016","Currency=INR","Period=FQ","BEST_FPERIOD_OVERRIDE=FQ","FILING_STATUS=OR","EQY_CONSOLIDATED=Y","Sort=A","Dates=H","DateFormat=P","Fill=—","Direction=H","UseDPDF=Y")</f>
        <v>#NAME?</v>
      </c>
      <c r="AT242" s="1" t="e">
        <f ca="1">_xll.BDH($C$228,"INVENTORY_5_YEAR_GROWTH","FQ4 2016","FQ4 2016","Currency=INR","Period=FQ","BEST_FPERIOD_OVERRIDE=FQ","FILING_STATUS=OR","EQY_CONSOLIDATED=Y","Sort=A","Dates=H","DateFormat=P","Fill=—","Direction=H","UseDPDF=Y")</f>
        <v>#NAME?</v>
      </c>
      <c r="AU242" s="1" t="e">
        <f ca="1">_xll.BDH($C$228,"NET_FIXED_ASSETS_5_YEAR_GROWTH","FQ4 2016","FQ4 2016","Currency=INR","Period=FQ","BEST_FPERIOD_OVERRIDE=FQ","FILING_STATUS=OR","EQY_CONSOLIDATED=Y","Sort=A","Dates=H","DateFormat=P","Fill=—","Direction=H","UseDPDF=Y")</f>
        <v>#NAME?</v>
      </c>
      <c r="AV242" s="1" t="e">
        <f ca="1">_xll.BDH($C$228,"GEO_GROW_TOT_ASSET","FQ4 2016","FQ4 2016","Currency=INR","Period=FQ","BEST_FPERIOD_OVERRIDE=FQ","FILING_STATUS=OR","EQY_CONSOLIDATED=Y","Sort=A","Dates=H","DateFormat=P","Fill=—","Direction=H","UseDPDF=Y")</f>
        <v>#NAME?</v>
      </c>
      <c r="AW242" s="1" t="e">
        <f ca="1">_xll.BDH($C$228,"MODIFIED_WORKING_CPTL_5YR_GRWTH","FQ4 2016","FQ4 2016","Currency=INR","Period=FQ","BEST_FPERIOD_OVERRIDE=FQ","FILING_STATUS=OR","EQY_CONSOLIDATED=Y","Sort=A","Dates=H","DateFormat=P","Fill=—","Direction=H","UseDPDF=Y")</f>
        <v>#NAME?</v>
      </c>
      <c r="AX242" s="1" t="e">
        <f ca="1">_xll.BDH($C$228,"WORKING_CAPITAL_5_YEAR_GROWTH","FQ4 2016","FQ4 2016","Currency=INR","Period=FQ","BEST_FPERIOD_OVERRIDE=FQ","FILING_STATUS=OR","EQY_CONSOLIDATED=Y","Sort=A","Dates=H","DateFormat=P","Fill=—","Direction=H","UseDPDF=Y")</f>
        <v>#NAME?</v>
      </c>
      <c r="AY242" s="1" t="e">
        <f ca="1">_xll.BDH($C$228,"ACCOUNTS_PAYABLE_5_YEAR_GROWTH","FQ4 2016","FQ4 2016","Currency=INR","Period=FQ","BEST_FPERIOD_OVERRIDE=FQ","FILING_STATUS=OR","EQY_CONSOLIDATED=Y","Sort=A","Dates=H","DateFormat=P","Fill=—","Direction=H","UseDPDF=Y")</f>
        <v>#NAME?</v>
      </c>
      <c r="AZ242" s="1" t="e">
        <f ca="1">_xll.BDH($C$228,"SHORT_TERM_DEBT_5_YEAR_GROWTH","FQ4 2016","FQ4 2016","Currency=INR","Period=FQ","BEST_FPERIOD_OVERRIDE=FQ","FILING_STATUS=OR","EQY_CONSOLIDATED=Y","Sort=A","Dates=H","DateFormat=P","Fill=—","Direction=H","UseDPDF=Y")</f>
        <v>#NAME?</v>
      </c>
      <c r="BA242" s="1" t="e">
        <f ca="1">_xll.BDH($C$228,"TOTAL_DEBT_5_YEAR_GROWTH","FQ4 2016","FQ4 2016","Currency=INR","Period=FQ","BEST_FPERIOD_OVERRIDE=FQ","FILING_STATUS=OR","EQY_CONSOLIDATED=Y","Sort=A","Dates=H","DateFormat=P","Fill=—","Direction=H","UseDPDF=Y")</f>
        <v>#NAME?</v>
      </c>
      <c r="BB242" s="1" t="e">
        <f ca="1">_xll.BDH($C$228,"GEO_GROW_TOT_SHRHLDR_EQY","FQ4 2016","FQ4 2016","Currency=INR","Period=FQ","BEST_FPERIOD_OVERRIDE=FQ","FILING_STATUS=OR","EQY_CONSOLIDATED=Y","Sort=A","Dates=H","DateFormat=P","Fill=—","Direction=H","UseDPDF=Y")</f>
        <v>#NAME?</v>
      </c>
      <c r="BC242" s="1" t="e">
        <f ca="1">_xll.BDH($C$228,"TOTAL_CAPITAL_5_YEAR_GROWTH","FQ4 2016","FQ4 2016","Currency=INR","Period=FQ","BEST_FPERIOD_OVERRIDE=FQ","FILING_STATUS=OR","EQY_CONSOLIDATED=Y","Sort=A","Dates=H","DateFormat=P","Fill=—","Direction=H","UseDPDF=Y")</f>
        <v>#NAME?</v>
      </c>
      <c r="BD242" s="1" t="e">
        <f ca="1">_xll.BDH($C$228,"GEO_GROW_BOOK_VAL","FQ4 2016","FQ4 2016","Currency=INR","Period=FQ","BEST_FPERIOD_OVERRIDE=FQ","FILING_STATUS=OR","EQY_CONSOLIDATED=Y","Sort=A","Dates=H","DateFormat=P","Fill=—","Direction=H","UseDPDF=Y")</f>
        <v>#NAME?</v>
      </c>
      <c r="BE242" s="1" t="e">
        <f ca="1">_xll.BDH($C$228,"GEO_GROW_CASH_OPER_ACT","FQ4 2016","FQ4 2016","Currency=INR","Period=FQ","BEST_FPERIOD_OVERRIDE=FQ","FILING_STATUS=OR","EQY_CONSOLIDATED=Y","Sort=A","Dates=H","DateFormat=P","Fill=—","Direction=H","UseDPDF=Y")</f>
        <v>#NAME?</v>
      </c>
      <c r="BF242" s="1" t="e">
        <f ca="1">_xll.BDH($C$228,"REVENUE_SEQUENTIAL_GROWTH","FQ4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42" s="1" t="e">
        <f ca="1">_xll.BDH($C$228,"EBITDA_SEQUENTIAL_GROWTH","FQ4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42" s="1" t="e">
        <f ca="1">_xll.BDH($C$228,"OPERATING_INCOME_SEQ_GROWTH","FQ4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42" s="1" t="e">
        <f ca="1">_xll.BDH($C$228,"NET_INCOME_TO_COMMON_SEQ_GROWTH","FQ4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42" s="1" t="e">
        <f ca="1">_xll.BDH($C$228,"EPS_DILUTED_SEQUENTIAL_GROWTH","FQ4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42" s="1" t="e">
        <f ca="1">_xll.BDH($C$228,"DPS_SEQUENTIAL_GROWTH","FQ4 2016","FQ4 2016","Currency=INR","Period=FQ","BEST_FPERIOD_OVERRIDE=FQ","FILING_STATUS=OR","EQY_CONSOLIDATED=Y","Sort=A","Dates=H","DateFormat=P","Fill=—","Direction=H","UseDPDF=Y")</f>
        <v>#NAME?</v>
      </c>
      <c r="BL242" s="1" t="e">
        <f ca="1">_xll.BDH($C$228,"ACCOUNTS_RECEIVABLE_SEQ_GROWTH","FQ4 2016","FQ4 2016","Currency=INR","Period=FQ","BEST_FPERIOD_OVERRIDE=FQ","FILING_STATUS=OR","EQY_CONSOLIDATED=Y","Sort=A","Dates=H","DateFormat=P","Fill=—","Direction=H","UseDPDF=Y")</f>
        <v>#NAME?</v>
      </c>
      <c r="BM242" s="1" t="e">
        <f ca="1">_xll.BDH($C$228,"INVENTORY_SEQUENTIAL_GROWTH","FQ4 2016","FQ4 2016","Currency=INR","Period=FQ","BEST_FPERIOD_OVERRIDE=FQ","FILING_STATUS=OR","EQY_CONSOLIDATED=Y","Sort=A","Dates=H","DateFormat=P","Fill=—","Direction=H","UseDPDF=Y")</f>
        <v>#NAME?</v>
      </c>
      <c r="BN242" s="1" t="e">
        <f ca="1">_xll.BDH($C$228,"FIXED_ASSETS_SEQUENTIAL_GROWTH","FQ4 2016","FQ4 2016","Currency=INR","Period=FQ","BEST_FPERIOD_OVERRIDE=FQ","FILING_STATUS=OR","EQY_CONSOLIDATED=Y","Sort=A","Dates=H","DateFormat=P","Fill=—","Direction=H","UseDPDF=Y")</f>
        <v>#NAME?</v>
      </c>
      <c r="BO242" s="1" t="e">
        <f ca="1">_xll.BDH($C$228,"TOTAL_ASSETS_SEQUENTIAL_GROWTH","FQ4 2016","FQ4 2016","Currency=INR","Period=FQ","BEST_FPERIOD_OVERRIDE=FQ","FILING_STATUS=OR","EQY_CONSOLIDATED=Y","Sort=A","Dates=H","DateFormat=P","Fill=—","Direction=H","UseDPDF=Y")</f>
        <v>#NAME?</v>
      </c>
      <c r="BP242" s="1" t="e">
        <f ca="1">_xll.BDH($C$228,"MODIFIED_WORKING_CPTL_SEQ_GRWTH","FQ4 2016","FQ4 2016","Currency=INR","Period=FQ","BEST_FPERIOD_OVERRIDE=FQ","FILING_STATUS=OR","EQY_CONSOLIDATED=Y","Sort=A","Dates=H","DateFormat=P","Fill=—","Direction=H","UseDPDF=Y")</f>
        <v>#NAME?</v>
      </c>
      <c r="BQ242" s="1" t="e">
        <f ca="1">_xll.BDH($C$228,"WORKING_CAPITAL_SEQ_GROWTH","FQ4 2016","FQ4 2016","Currency=INR","Period=FQ","BEST_FPERIOD_OVERRIDE=FQ","FILING_STATUS=OR","EQY_CONSOLIDATED=Y","Sort=A","Dates=H","DateFormat=P","Fill=—","Direction=H","UseDPDF=Y")</f>
        <v>#NAME?</v>
      </c>
      <c r="BR242" s="1" t="e">
        <f ca="1">_xll.BDH($C$228,"ACCOUNTS_PAYABLE_SEQ_GROWTH","FQ4 2016","FQ4 2016","Currency=INR","Period=FQ","BEST_FPERIOD_OVERRIDE=FQ","FILING_STATUS=OR","EQY_CONSOLIDATED=Y","Sort=A","Dates=H","DateFormat=P","Fill=—","Direction=H","UseDPDF=Y")</f>
        <v>#NAME?</v>
      </c>
      <c r="BS242" s="1" t="e">
        <f ca="1">_xll.BDH($C$228,"ST_DEBT_SEQUENTIAL_GROWTH","FQ4 2016","FQ4 2016","Currency=INR","Period=FQ","BEST_FPERIOD_OVERRIDE=FQ","FILING_STATUS=OR","EQY_CONSOLIDATED=Y","Sort=A","Dates=H","DateFormat=P","Fill=—","Direction=H","UseDPDF=Y")</f>
        <v>#NAME?</v>
      </c>
      <c r="BT242" s="1" t="e">
        <f ca="1">_xll.BDH($C$228,"TOTAL_DEBT_SEQUENTIAL_GROWTH","FQ4 2016","FQ4 2016","Currency=INR","Period=FQ","BEST_FPERIOD_OVERRIDE=FQ","FILING_STATUS=OR","EQY_CONSOLIDATED=Y","Sort=A","Dates=H","DateFormat=P","Fill=—","Direction=H","UseDPDF=Y")</f>
        <v>#NAME?</v>
      </c>
      <c r="BU242" s="1" t="e">
        <f ca="1">_xll.BDH($C$228,"TOTAL_EQUITY_SEQUENTIAL_GROWTH","FQ4 2016","FQ4 2016","Currency=INR","Period=FQ","BEST_FPERIOD_OVERRIDE=FQ","FILING_STATUS=OR","EQY_CONSOLIDATED=Y","Sort=A","Dates=H","DateFormat=P","Fill=—","Direction=H","UseDPDF=Y")</f>
        <v>#NAME?</v>
      </c>
      <c r="BV242" s="1" t="e">
        <f ca="1">_xll.BDH($C$228,"TOTAL_CAPITAL_SEQUENTIAL_GROWTH","FQ4 2016","FQ4 2016","Currency=INR","Period=FQ","BEST_FPERIOD_OVERRIDE=FQ","FILING_STATUS=OR","EQY_CONSOLIDATED=Y","Sort=A","Dates=H","DateFormat=P","Fill=—","Direction=H","UseDPDF=Y")</f>
        <v>#NAME?</v>
      </c>
      <c r="BW242" s="1" t="e">
        <f ca="1">_xll.BDH($C$228,"BPS_SEQUENTIAL_GROWTH","FQ4 2016","FQ4 2016","Currency=INR","Period=FQ","BEST_FPERIOD_OVERRIDE=FQ","FILING_STATUS=OR","EQY_CONSOLIDATED=Y","Sort=A","Dates=H","DateFormat=P","Fill=—","Direction=H","UseDPDF=Y")</f>
        <v>#NAME?</v>
      </c>
      <c r="BX242" s="1" t="e">
        <f ca="1">_xll.BDH($C$228,"CFO_SEQUENTIAL_GROWTH","FQ4 2016","FQ4 2016","Currency=INR","Period=FQ","BEST_FPERIOD_OVERRIDE=FQ","FILING_STATUS=OR","EQY_CONSOLIDATED=Y","Sort=A","Dates=H","DateFormat=P","Fill=—","Direction=H","UseDPDF=Y")</f>
        <v>#NAME?</v>
      </c>
      <c r="BY242" s="2" t="e">
        <f ca="1">_xll.BDH($C$228,"SHORT_AND_LONG_TERM_DEBT","FQ4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42" s="2" t="e">
        <f ca="1">_xll.BDH($C$228,"BS_ST_BORROW","FQ4 2016","FQ4 2016","Currency=INR","Period=FQ","BEST_FPERIOD_OVERRIDE=FQ","FILING_STATUS=OR","EQY_CONSOLIDATED=Y","SCALING_FORMAT=MLN","Sort=A","Dates=H","DateFormat=P","Fill=—","Direction=H","UseDPDF=Y")</f>
        <v>#NAME?</v>
      </c>
      <c r="CA242" s="2" t="e">
        <f ca="1">_xll.BDH($C$228,"BS_LT_BORROW","FQ4 2016","FQ4 2016","Currency=INR","Period=FQ","BEST_FPERIOD_OVERRIDE=FQ","FILING_STATUS=OR","EQY_CONSOLIDATED=Y","SCALING_FORMAT=MLN","Sort=A","Dates=H","DateFormat=P","Fill=—","Direction=H","UseDPDF=Y")</f>
        <v>#NAME?</v>
      </c>
      <c r="CB242" s="1" t="e">
        <f ca="1">_xll.BDH($C$228,"TOT_DEBT_TO_EBITDA","FQ4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42" s="1" t="e">
        <f ca="1">_xll.BDH($C$228,"NET_DEBT_TO_EBITDA","FQ4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42" s="1" t="e">
        <f ca="1">_xll.BDH($C$228,"TOTAL_DEBT_TO_EBIT","FQ4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42" s="1" t="e">
        <f ca="1">_xll.BDH($C$228,"NET_DEBT_TO_EBIT","FQ4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242" s="1" t="e">
        <f ca="1">_xll.BDH($C$228,"EBITDA_TO_INTEREST_EXPN","FQ4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42" s="1" t="e">
        <f ca="1">_xll.BDH($C$228,"COM_EQY_TO_TOT_ASSET","FQ4 2016","FQ4 2016","Currency=INR","Period=FQ","BEST_FPERIOD_OVERRIDE=FQ","FILING_STATUS=OR","EQY_CONSOLIDATED=Y","Sort=A","Dates=H","DateFormat=P","Fill=—","Direction=H","UseDPDF=Y")</f>
        <v>#NAME?</v>
      </c>
      <c r="CH242" s="1" t="e">
        <f ca="1">_xll.BDH($C$228,"LT_DEBT_TO_TOT_EQY","FQ4 2016","FQ4 2016","Currency=INR","Period=FQ","BEST_FPERIOD_OVERRIDE=FQ","FILING_STATUS=OR","EQY_CONSOLIDATED=Y","Sort=A","Dates=H","DateFormat=P","Fill=—","Direction=H","UseDPDF=Y")</f>
        <v>#NAME?</v>
      </c>
      <c r="CI242" s="1" t="e">
        <f ca="1">_xll.BDH($C$228,"LT_DEBT_TO_TOT_CAP","FQ4 2016","FQ4 2016","Currency=INR","Period=FQ","BEST_FPERIOD_OVERRIDE=FQ","FILING_STATUS=OR","EQY_CONSOLIDATED=Y","Sort=A","Dates=H","DateFormat=P","Fill=—","Direction=H","UseDPDF=Y")</f>
        <v>#NAME?</v>
      </c>
      <c r="CJ242" s="1" t="e">
        <f ca="1">_xll.BDH($C$228,"LT_DEBT_TO_TOT_ASSET","FQ4 2016","FQ4 2016","Currency=INR","Period=FQ","BEST_FPERIOD_OVERRIDE=FQ","FILING_STATUS=OR","EQY_CONSOLIDATED=Y","Sort=A","Dates=H","DateFormat=P","Fill=—","Direction=H","UseDPDF=Y")</f>
        <v>#NAME?</v>
      </c>
      <c r="CK242" s="1" t="e">
        <f ca="1">_xll.BDH($C$228,"TOT_DEBT_TO_TOT_EQY","FQ4 2016","FQ4 2016","Currency=INR","Period=FQ","BEST_FPERIOD_OVERRIDE=FQ","FILING_STATUS=OR","EQY_CONSOLIDATED=Y","Sort=A","Dates=H","DateFormat=P","Fill=—","Direction=H","UseDPDF=Y")</f>
        <v>#NAME?</v>
      </c>
      <c r="CL242" s="1" t="e">
        <f ca="1">_xll.BDH($C$228,"TOT_DEBT_TO_TOT_CAP","FQ4 2016","FQ4 2016","Currency=INR","Period=FQ","BEST_FPERIOD_OVERRIDE=FQ","FILING_STATUS=OR","EQY_CONSOLIDATED=Y","Sort=A","Dates=H","DateFormat=P","Fill=—","Direction=H","UseDPDF=Y")</f>
        <v>#NAME?</v>
      </c>
      <c r="CM242" s="1" t="e">
        <f ca="1">_xll.BDH($C$228,"TOT_DEBT_TO_TOT_ASSET","FQ4 2016","FQ4 2016","Currency=INR","Period=FQ","BEST_FPERIOD_OVERRIDE=FQ","FILING_STATUS=OR","EQY_CONSOLIDATED=Y","Sort=A","Dates=H","DateFormat=P","Fill=—","Direction=H","UseDPDF=Y")</f>
        <v>#NAME?</v>
      </c>
      <c r="CN242" s="1" t="e">
        <f ca="1">_xll.BDH($C$228,"NET_DEBT_TO_SHRHLDR_EQTY","FQ4 2016","FQ4 2016","Currency=INR","Period=FQ","BEST_FPERIOD_OVERRIDE=FQ","FILING_STATUS=OR","EQY_CONSOLIDATED=Y","Sort=A","Dates=H","DateFormat=P","Fill=—","Direction=H","UseDPDF=Y")</f>
        <v>#NAME?</v>
      </c>
      <c r="CO242" s="1" t="e">
        <f ca="1">_xll.BDH($C$228,"NET_DEBT_%_CAPITAL","FQ4 2016","FQ4 2016","Currency=INR","Period=FQ","BEST_FPERIOD_OVERRIDE=FQ","FILING_STATUS=OR","EQY_CONSOLIDATED=Y","Sort=A","Dates=H","DateFormat=P","Fill=—","Direction=H","UseDPDF=Y")</f>
        <v>#NAME?</v>
      </c>
      <c r="CP242" s="2" t="e">
        <f ca="1">_xll.BDH($C$228,"EBITDA","FQ4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42" s="2" t="e">
        <f ca="1">_xll.BDH($C$228,"EBITDA_AFTER_CAPEX","FQ4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42" s="2" t="e">
        <f ca="1">_xll.BDH($C$228,"IS_OPER_INC","FQ4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42" s="1" t="e">
        <f ca="1">_xll.BDH($C$228,"CASH_RATIO","FQ4 2016","FQ4 2016","Currency=INR","Period=FQ","BEST_FPERIOD_OVERRIDE=FQ","FILING_STATUS=OR","EQY_CONSOLIDATED=Y","Sort=A","Dates=H","DateFormat=P","Fill=—","Direction=H","UseDPDF=Y")</f>
        <v>#NAME?</v>
      </c>
      <c r="CT242" s="1" t="e">
        <f ca="1">_xll.BDH($C$228,"CUR_RATIO","FQ4 2016","FQ4 2016","Currency=INR","Period=FQ","BEST_FPERIOD_OVERRIDE=FQ","FILING_STATUS=OR","EQY_CONSOLIDATED=Y","Sort=A","Dates=H","DateFormat=P","Fill=—","Direction=H","UseDPDF=Y")</f>
        <v>#NAME?</v>
      </c>
      <c r="CU242" s="1" t="e">
        <f ca="1">_xll.BDH($C$228,"QUICK_RATIO","FQ4 2016","FQ4 2016","Currency=INR","Period=FQ","BEST_FPERIOD_OVERRIDE=FQ","FILING_STATUS=OR","EQY_CONSOLIDATED=Y","Sort=A","Dates=H","DateFormat=P","Fill=—","Direction=H","UseDPDF=Y")</f>
        <v>#NAME?</v>
      </c>
      <c r="CV242" s="1" t="e">
        <f ca="1">_xll.BDH($C$228,"ALTMAN_Z_SCORE","FQ4 2016","FQ4 2016","Currency=INR","Period=FQ","BEST_FPERIOD_OVERRIDE=FQ","FILING_STATUS=OR","EQY_CONSOLIDATED=Y","Sort=A","Dates=H","DateFormat=P","Fill=—","Direction=H","UseDPDF=Y")</f>
        <v>#NAME?</v>
      </c>
      <c r="CW242" s="3" t="e">
        <f ca="1">_xll.BDH($C$228,"ACCT_RCV_TURN","FQ4 2016","FQ4 2016","Currency=INR","Period=FQ","BEST_FPERIOD_OVERRIDE=FQ","FILING_STATUS=OR","EQY_CONSOLIDATED=Y","FA_ADJUSTED=GAAP","Sort=A","Dates=H","DateFormat=P","Fill=—","Direction=H","UseDPDF=Y")</f>
        <v>#NAME?</v>
      </c>
      <c r="CX242" s="1" t="e">
        <f ca="1">_xll.BDH($C$228,"ACCT_RCV_DAYS","FQ4 2016","FQ4 2016","Currency=INR","Period=FQ","BEST_FPERIOD_OVERRIDE=FQ","FILING_STATUS=OR","EQY_CONSOLIDATED=Y","FA_ADJUSTED=GAAP","Sort=A","Dates=H","DateFormat=P","Fill=—","Direction=H","UseDPDF=Y")</f>
        <v>#NAME?</v>
      </c>
      <c r="CY242" s="3" t="e">
        <f ca="1">_xll.BDH($C$228,"INVENT_TURN","FQ4 2016","FQ4 2016","Currency=INR","Period=FQ","BEST_FPERIOD_OVERRIDE=FQ","FILING_STATUS=OR","EQY_CONSOLIDATED=Y","FA_ADJUSTED=GAAP","Sort=A","Dates=H","DateFormat=P","Fill=—","Direction=H","UseDPDF=Y")</f>
        <v>#NAME?</v>
      </c>
      <c r="CZ242" s="1" t="e">
        <f ca="1">_xll.BDH($C$228,"INVENT_DAYS","FQ4 2016","FQ4 2016","Currency=INR","Period=FQ","BEST_FPERIOD_OVERRIDE=FQ","FILING_STATUS=OR","EQY_CONSOLIDATED=Y","FA_ADJUSTED=GAAP","Sort=A","Dates=H","DateFormat=P","Fill=—","Direction=H","UseDPDF=Y")</f>
        <v>#NAME?</v>
      </c>
      <c r="DA242" s="3" t="e">
        <f ca="1">_xll.BDH($C$228,"ACCOUNTS_PAYABLE_TURNOVER","FQ4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42" s="1" t="e">
        <f ca="1">_xll.BDH($C$228,"ACCOUNTS_PAYABLE_TURNOVER_DAYS","FQ4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42" s="3" t="e">
        <f ca="1">_xll.BDH($C$228,"CASH_CONVERSION_CYCLE","FQ4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42" s="3" t="e">
        <f ca="1">_xll.BDH($C$228,"INV_TO_CASH_DAYS","FQ4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242" s="4" t="e">
        <f ca="1">_xll.BDH($C$228,"BS_INVENTORIES","FQ4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242" s="2" t="e">
        <f ca="1">_xll.BDH($C$228,"INVTRY_RAW_MATERIALS","FQ4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42" s="2" t="e">
        <f ca="1">_xll.BDH($C$228,"INVTRY_IN_PROGRESS","FQ4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42" s="2" t="e">
        <f ca="1">_xll.BDH($C$228,"INVTRY_FINISHED_GOODS","FQ4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42" s="2" t="e">
        <f ca="1">_xll.BDH($C$228,"BS_OTHER_INV","FQ4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43" spans="1:113" x14ac:dyDescent="0.3">
      <c r="A243" s="6"/>
      <c r="B243" s="6"/>
      <c r="C243" s="6"/>
      <c r="D243" s="6" t="s">
        <v>10</v>
      </c>
      <c r="E243" t="s">
        <v>3</v>
      </c>
      <c r="F243" t="e">
        <f ca="1">_xll.BDH($C$228,"RETURN_COM_EQY","FY 2017","FY 2017","Currency=INR","Period=FY","BEST_FPERIOD_OVERRIDE=FY","FILING_STATUS=OR","EQY_CONSOLIDATED=Y","FA_ADJUSTED=GAAP","Sort=A","Dates=H","DateFormat=P","Fill=—","Direction=H","UseDPDF=Y")</f>
        <v>#NAME?</v>
      </c>
      <c r="G243" t="e">
        <f ca="1">_xll.BDH($C$228,"RETURN_ON_ASSET","FY 2017","FY 2017","Currency=INR","Period=FY","BEST_FPERIOD_OVERRIDE=FY","FILING_STATUS=OR","EQY_CONSOLIDATED=Y","FA_ADJUSTED=GAAP","Sort=A","Dates=H","DateFormat=P","Fill=—","Direction=H","UseDPDF=Y")</f>
        <v>#NAME?</v>
      </c>
      <c r="H243" t="e">
        <f ca="1">_xll.BDH($C$228,"RETURN_ON_CAP","FY 2017","FY 2017","Currency=INR","Period=FY","BEST_FPERIOD_OVERRIDE=FY","FILING_STATUS=OR","EQY_CONSOLIDATED=Y","FA_ADJUSTED=GAAP","Sort=A","Dates=H","DateFormat=P","Fill=—","Direction=H","UseDPDF=Y")</f>
        <v>#NAME?</v>
      </c>
      <c r="I243" t="e">
        <f ca="1">_xll.BDH($C$228,"RETURN_ON_INV_CAPITAL","FY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43" t="e">
        <f ca="1">_xll.BDH($C$228,"EBITDA_TO_REVENUE","FY 2017","FY 2017","Currency=INR","Period=FY","BEST_FPERIOD_OVERRIDE=FY","FILING_STATUS=OR","EQY_CONSOLIDATED=Y","FA_ADJUSTED=GAAP","Sort=A","Dates=H","DateFormat=P","Fill=—","Direction=H","UseDPDF=Y")</f>
        <v>#NAME?</v>
      </c>
      <c r="K243" t="e">
        <f ca="1">_xll.BDH($C$228,"OPER_MARGIN","FY 2017","FY 2017","Currency=INR","Period=FY","BEST_FPERIOD_OVERRIDE=FY","FILING_STATUS=OR","EQY_CONSOLIDATED=Y","FA_ADJUSTED=GAAP","Sort=A","Dates=H","DateFormat=P","Fill=—","Direction=H","UseDPDF=Y")</f>
        <v>#NAME?</v>
      </c>
      <c r="L243" t="e">
        <f ca="1">_xll.BDH($C$228,"INCREMENTAL_OPERATING_MARGIN","FY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43" t="e">
        <f ca="1">_xll.BDH($C$228,"PRETAX_INC_TO_NET_SALES","FY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43" t="e">
        <f ca="1">_xll.BDH($C$228,"INC_BEF_XO_ITEMS_TO_NET_SALES","FY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43" t="e">
        <f ca="1">_xll.BDH($C$228,"PROF_MARGIN","FY 2017","FY 2017","Currency=INR","Period=FY","BEST_FPERIOD_OVERRIDE=FY","FILING_STATUS=OR","EQY_CONSOLIDATED=Y","FA_ADJUSTED=GAAP","Sort=A","Dates=H","DateFormat=P","Fill=—","Direction=H","UseDPDF=Y")</f>
        <v>#NAME?</v>
      </c>
      <c r="P243" t="e">
        <f ca="1">_xll.BDH($C$228,"NET_INCOME_TO_COMMON_MARGIN","FY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43" t="e">
        <f ca="1">_xll.BDH($C$228,"EFF_TAX_RATE","FY 2017","FY 2017","Currency=INR","Period=FY","BEST_FPERIOD_OVERRIDE=FY","FILING_STATUS=OR","EQY_CONSOLIDATED=Y","FA_ADJUSTED=GAAP","Sort=A","Dates=H","DateFormat=P","Fill=—","Direction=H","UseDPDF=Y")</f>
        <v>#NAME?</v>
      </c>
      <c r="R243" t="e">
        <f ca="1">_xll.BDH($C$228,"DVD_PAYOUT_RATIO","FY 2017","FY 2017","Currency=INR","Period=FY","BEST_FPERIOD_OVERRIDE=FY","FILING_STATUS=OR","EQY_CONSOLIDATED=Y","FA_ADJUSTED=GAAP","Sort=A","Dates=H","DateFormat=P","Fill=—","Direction=H","UseDPDF=Y")</f>
        <v>#NAME?</v>
      </c>
      <c r="S243" t="e">
        <f ca="1">_xll.BDH($C$228,"SUSTAIN_GROWTH_RT","FY 2017","FY 2017","Currency=INR","Period=FY","BEST_FPERIOD_OVERRIDE=FY","FILING_STATUS=OR","EQY_CONSOLIDATED=Y","FA_ADJUSTED=GAAP","Sort=A","Dates=H","DateFormat=P","Fill=—","Direction=H","UseDPDF=Y")</f>
        <v>#NAME?</v>
      </c>
      <c r="T243" s="1" t="e">
        <f ca="1">_xll.BDH($C$228,"SALES_GROWTH","FY 2017","FY 2017","Currency=INR","Period=FY","BEST_FPERIOD_OVERRIDE=FY","FILING_STATUS=OR","EQY_CONSOLIDATED=Y","FA_ADJUSTED=GAAP","Sort=A","Dates=H","DateFormat=P","Fill=—","Direction=H","UseDPDF=Y")</f>
        <v>#NAME?</v>
      </c>
      <c r="U243" s="1" t="e">
        <f ca="1">_xll.BDH($C$228,"EBITDA_GROWTH","FY 2017","FY 2017","Currency=INR","Period=FY","BEST_FPERIOD_OVERRIDE=FY","FILING_STATUS=OR","EQY_CONSOLIDATED=Y","FA_ADJUSTED=GAAP","Sort=A","Dates=H","DateFormat=P","Fill=—","Direction=H","UseDPDF=Y")</f>
        <v>#NAME?</v>
      </c>
      <c r="V243" s="1" t="e">
        <f ca="1">_xll.BDH($C$228,"OPER_INC_GROWTH","FY 2017","FY 2017","Currency=INR","Period=FY","BEST_FPERIOD_OVERRIDE=FY","FILING_STATUS=OR","EQY_CONSOLIDATED=Y","FA_ADJUSTED=GAAP","Sort=A","Dates=H","DateFormat=P","Fill=—","Direction=H","UseDPDF=Y")</f>
        <v>#NAME?</v>
      </c>
      <c r="W243" s="1" t="e">
        <f ca="1">_xll.BDH($C$228,"EARN_FOR_COM_GROWTH","FY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243" s="1" t="e">
        <f ca="1">_xll.BDH($C$228,"DILUTED_EPS_AFT_XO_ITEMS_GROWTH","FY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43" s="1" t="e">
        <f ca="1">_xll.BDH($C$228,"DIVIDEND_PER_SHARE_1_YEAR_GROWTH","FY 2017","FY 2017","Currency=INR","Period=FY","BEST_FPERIOD_OVERRIDE=FY","FILING_STATUS=OR","EQY_CONSOLIDATED=Y","Sort=A","Dates=H","DateFormat=P","Fill=—","Direction=H","UseDPDF=Y")</f>
        <v>#NAME?</v>
      </c>
      <c r="Z243" s="1" t="e">
        <f ca="1">_xll.BDH($C$228,"ACCOUNTS_RECEIVABLE_GROWTH","FY 2017","FY 2017","Currency=INR","Period=FY","BEST_FPERIOD_OVERRIDE=FY","FILING_STATUS=OR","EQY_CONSOLIDATED=Y","Sort=A","Dates=H","DateFormat=P","Fill=—","Direction=H","UseDPDF=Y")</f>
        <v>#NAME?</v>
      </c>
      <c r="AA243" s="1" t="e">
        <f ca="1">_xll.BDH($C$228,"INVENTORY_GROWTH","FY 2017","FY 2017","Currency=INR","Period=FY","BEST_FPERIOD_OVERRIDE=FY","FILING_STATUS=OR","EQY_CONSOLIDATED=Y","Sort=A","Dates=H","DateFormat=P","Fill=—","Direction=H","UseDPDF=Y")</f>
        <v>#NAME?</v>
      </c>
      <c r="AB243" s="1" t="e">
        <f ca="1">_xll.BDH($C$228,"NET_FIXED_ASSETS_1_YEAR_GROWTH","FY 2017","FY 2017","Currency=INR","Period=FY","BEST_FPERIOD_OVERRIDE=FY","FILING_STATUS=OR","EQY_CONSOLIDATED=Y","Sort=A","Dates=H","DateFormat=P","Fill=—","Direction=H","UseDPDF=Y")</f>
        <v>#NAME?</v>
      </c>
      <c r="AC243" s="1" t="e">
        <f ca="1">_xll.BDH($C$228,"ASSET_GROWTH","FY 2017","FY 2017","Currency=INR","Period=FY","BEST_FPERIOD_OVERRIDE=FY","FILING_STATUS=OR","EQY_CONSOLIDATED=Y","Sort=A","Dates=H","DateFormat=P","Fill=—","Direction=H","UseDPDF=Y")</f>
        <v>#NAME?</v>
      </c>
      <c r="AD243" s="1" t="e">
        <f ca="1">_xll.BDH($C$228,"MODIFIED_WORK_CAP_GROWTH","FY 2017","FY 2017","Currency=INR","Period=FY","BEST_FPERIOD_OVERRIDE=FY","FILING_STATUS=OR","EQY_CONSOLIDATED=Y","Sort=A","Dates=H","DateFormat=P","Fill=—","Direction=H","UseDPDF=Y")</f>
        <v>#NAME?</v>
      </c>
      <c r="AE243" s="1" t="e">
        <f ca="1">_xll.BDH($C$228,"WORK_CAP_GROWTH","FY 2017","FY 2017","Currency=INR","Period=FY","BEST_FPERIOD_OVERRIDE=FY","FILING_STATUS=OR","EQY_CONSOLIDATED=Y","Sort=A","Dates=H","DateFormat=P","Fill=—","Direction=H","UseDPDF=Y")</f>
        <v>#NAME?</v>
      </c>
      <c r="AF243" s="1" t="e">
        <f ca="1">_xll.BDH($C$228,"ACCOUNTS_PAYABLE_GROWTH_1YR","FY 2017","FY 2017","Currency=INR","Period=FY","BEST_FPERIOD_OVERRIDE=FY","FILING_STATUS=OR","EQY_CONSOLIDATED=Y","Sort=A","Dates=H","DateFormat=P","Fill=—","Direction=H","UseDPDF=Y")</f>
        <v>#NAME?</v>
      </c>
      <c r="AG243" s="1" t="e">
        <f ca="1">_xll.BDH($C$228,"SHORT_TERM_DEBT_1_YEAR_GROWTH","FY 2017","FY 2017","Currency=INR","Period=FY","BEST_FPERIOD_OVERRIDE=FY","FILING_STATUS=OR","EQY_CONSOLIDATED=Y","Sort=A","Dates=H","DateFormat=P","Fill=—","Direction=H","UseDPDF=Y")</f>
        <v>#NAME?</v>
      </c>
      <c r="AH243" s="1" t="e">
        <f ca="1">_xll.BDH($C$228,"TOTAL_DEBT_1_YEAR_GROWTH","FY 2017","FY 2017","Currency=INR","Period=FY","BEST_FPERIOD_OVERRIDE=FY","FILING_STATUS=OR","EQY_CONSOLIDATED=Y","Sort=A","Dates=H","DateFormat=P","Fill=—","Direction=H","UseDPDF=Y")</f>
        <v>#NAME?</v>
      </c>
      <c r="AI243" s="1" t="e">
        <f ca="1">_xll.BDH($C$228,"TOTAL_EQUITY_1_YEAR_GROWTH","FY 2017","FY 2017","Currency=INR","Period=FY","BEST_FPERIOD_OVERRIDE=FY","FILING_STATUS=OR","EQY_CONSOLIDATED=Y","Sort=A","Dates=H","DateFormat=P","Fill=—","Direction=H","UseDPDF=Y")</f>
        <v>#NAME?</v>
      </c>
      <c r="AJ243" s="1" t="e">
        <f ca="1">_xll.BDH($C$228,"GROWTH_IN_CAP","FY 2017","FY 2017","Currency=INR","Period=FY","BEST_FPERIOD_OVERRIDE=FY","FILING_STATUS=OR","EQY_CONSOLIDATED=Y","Sort=A","Dates=H","DateFormat=P","Fill=—","Direction=H","UseDPDF=Y")</f>
        <v>#NAME?</v>
      </c>
      <c r="AK243" s="1" t="e">
        <f ca="1">_xll.BDH($C$228,"BVPS_GROWTH","FY 2017","FY 2017","Currency=INR","Period=FY","BEST_FPERIOD_OVERRIDE=FY","FILING_STATUS=OR","EQY_CONSOLIDATED=Y","Sort=A","Dates=H","DateFormat=P","Fill=—","Direction=H","UseDPDF=Y")</f>
        <v>#NAME?</v>
      </c>
      <c r="AL243" s="1" t="e">
        <f ca="1">_xll.BDH($C$228,"CASH_FLOW_GROWTH","FY 2017","FY 2017","Currency=INR","Period=FY","BEST_FPERIOD_OVERRIDE=FY","FILING_STATUS=OR","EQY_CONSOLIDATED=Y","Sort=A","Dates=H","DateFormat=P","Fill=—","Direction=H","UseDPDF=Y")</f>
        <v>#NAME?</v>
      </c>
      <c r="AM243" s="1" t="e">
        <f ca="1">_xll.BDH($C$228,"GEO_GROW_NET_SALES","FY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243" s="1" t="e">
        <f ca="1">_xll.BDH($C$228,"GEO_GROW_EBITDA","FY 2017","FY 2017","Currency=INR","Period=FY","BEST_FPERIOD_OVERRIDE=FY","FILING_STATUS=OR","EQY_CONSOLIDATED=Y","FA_ADJUSTED=GAAP","Sort=A","Dates=H","DateFormat=P","Fill=—","Direction=H","UseDPDF=Y")</f>
        <v>#NAME?</v>
      </c>
      <c r="AO243" s="1" t="e">
        <f ca="1">_xll.BDH($C$228,"GEO_GROW_OPER_INC","FY 2017","FY 2017","Currency=INR","Period=FY","BEST_FPERIOD_OVERRIDE=FY","FILING_STATUS=OR","EQY_CONSOLIDATED=Y","FA_ADJUSTED=GAAP","Sort=A","Dates=H","DateFormat=P","Fill=—","Direction=H","UseDPDF=Y")</f>
        <v>#NAME?</v>
      </c>
      <c r="AP243" s="1" t="e">
        <f ca="1">_xll.BDH($C$228,"NET_INCOME_TO_COMMON_5_YR_GROWTH","FY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43" s="1" t="e">
        <f ca="1">_xll.BDH($C$228,"5Y_GEO_GROWTH_DILUTED_EPS","FY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43" s="1" t="e">
        <f ca="1">_xll.BDH($C$228,"GEO_GROW_DVD_PER_SH","FY 2017","FY 2017","Currency=INR","Period=FY","BEST_FPERIOD_OVERRIDE=FY","FILING_STATUS=OR","EQY_CONSOLIDATED=Y","Sort=A","Dates=H","DateFormat=P","Fill=—","Direction=H","UseDPDF=Y")</f>
        <v>#NAME?</v>
      </c>
      <c r="AS243" s="1" t="e">
        <f ca="1">_xll.BDH($C$228,"ACCOUNTS_RECEIVABLE_5_YR_GROWTH","FY 2017","FY 2017","Currency=INR","Period=FY","BEST_FPERIOD_OVERRIDE=FY","FILING_STATUS=OR","EQY_CONSOLIDATED=Y","Sort=A","Dates=H","DateFormat=P","Fill=—","Direction=H","UseDPDF=Y")</f>
        <v>#NAME?</v>
      </c>
      <c r="AT243" s="1" t="e">
        <f ca="1">_xll.BDH($C$228,"INVENTORY_5_YEAR_GROWTH","FY 2017","FY 2017","Currency=INR","Period=FY","BEST_FPERIOD_OVERRIDE=FY","FILING_STATUS=OR","EQY_CONSOLIDATED=Y","Sort=A","Dates=H","DateFormat=P","Fill=—","Direction=H","UseDPDF=Y")</f>
        <v>#NAME?</v>
      </c>
      <c r="AU243" s="1" t="e">
        <f ca="1">_xll.BDH($C$228,"NET_FIXED_ASSETS_5_YEAR_GROWTH","FY 2017","FY 2017","Currency=INR","Period=FY","BEST_FPERIOD_OVERRIDE=FY","FILING_STATUS=OR","EQY_CONSOLIDATED=Y","Sort=A","Dates=H","DateFormat=P","Fill=—","Direction=H","UseDPDF=Y")</f>
        <v>#NAME?</v>
      </c>
      <c r="AV243" s="1" t="e">
        <f ca="1">_xll.BDH($C$228,"GEO_GROW_TOT_ASSET","FY 2017","FY 2017","Currency=INR","Period=FY","BEST_FPERIOD_OVERRIDE=FY","FILING_STATUS=OR","EQY_CONSOLIDATED=Y","Sort=A","Dates=H","DateFormat=P","Fill=—","Direction=H","UseDPDF=Y")</f>
        <v>#NAME?</v>
      </c>
      <c r="AW243" s="1" t="e">
        <f ca="1">_xll.BDH($C$228,"MODIFIED_WORKING_CPTL_5YR_GRWTH","FY 2017","FY 2017","Currency=INR","Period=FY","BEST_FPERIOD_OVERRIDE=FY","FILING_STATUS=OR","EQY_CONSOLIDATED=Y","Sort=A","Dates=H","DateFormat=P","Fill=—","Direction=H","UseDPDF=Y")</f>
        <v>#NAME?</v>
      </c>
      <c r="AX243" s="1" t="e">
        <f ca="1">_xll.BDH($C$228,"WORKING_CAPITAL_5_YEAR_GROWTH","FY 2017","FY 2017","Currency=INR","Period=FY","BEST_FPERIOD_OVERRIDE=FY","FILING_STATUS=OR","EQY_CONSOLIDATED=Y","Sort=A","Dates=H","DateFormat=P","Fill=—","Direction=H","UseDPDF=Y")</f>
        <v>#NAME?</v>
      </c>
      <c r="AY243" s="1" t="e">
        <f ca="1">_xll.BDH($C$228,"ACCOUNTS_PAYABLE_5_YEAR_GROWTH","FY 2017","FY 2017","Currency=INR","Period=FY","BEST_FPERIOD_OVERRIDE=FY","FILING_STATUS=OR","EQY_CONSOLIDATED=Y","Sort=A","Dates=H","DateFormat=P","Fill=—","Direction=H","UseDPDF=Y")</f>
        <v>#NAME?</v>
      </c>
      <c r="AZ243" s="1" t="e">
        <f ca="1">_xll.BDH($C$228,"SHORT_TERM_DEBT_5_YEAR_GROWTH","FY 2017","FY 2017","Currency=INR","Period=FY","BEST_FPERIOD_OVERRIDE=FY","FILING_STATUS=OR","EQY_CONSOLIDATED=Y","Sort=A","Dates=H","DateFormat=P","Fill=—","Direction=H","UseDPDF=Y")</f>
        <v>#NAME?</v>
      </c>
      <c r="BA243" s="1" t="e">
        <f ca="1">_xll.BDH($C$228,"TOTAL_DEBT_5_YEAR_GROWTH","FY 2017","FY 2017","Currency=INR","Period=FY","BEST_FPERIOD_OVERRIDE=FY","FILING_STATUS=OR","EQY_CONSOLIDATED=Y","Sort=A","Dates=H","DateFormat=P","Fill=—","Direction=H","UseDPDF=Y")</f>
        <v>#NAME?</v>
      </c>
      <c r="BB243" s="1" t="e">
        <f ca="1">_xll.BDH($C$228,"GEO_GROW_TOT_SHRHLDR_EQY","FY 2017","FY 2017","Currency=INR","Period=FY","BEST_FPERIOD_OVERRIDE=FY","FILING_STATUS=OR","EQY_CONSOLIDATED=Y","Sort=A","Dates=H","DateFormat=P","Fill=—","Direction=H","UseDPDF=Y")</f>
        <v>#NAME?</v>
      </c>
      <c r="BC243" s="1" t="e">
        <f ca="1">_xll.BDH($C$228,"TOTAL_CAPITAL_5_YEAR_GROWTH","FY 2017","FY 2017","Currency=INR","Period=FY","BEST_FPERIOD_OVERRIDE=FY","FILING_STATUS=OR","EQY_CONSOLIDATED=Y","Sort=A","Dates=H","DateFormat=P","Fill=—","Direction=H","UseDPDF=Y")</f>
        <v>#NAME?</v>
      </c>
      <c r="BD243" s="1" t="e">
        <f ca="1">_xll.BDH($C$228,"GEO_GROW_BOOK_VAL","FY 2017","FY 2017","Currency=INR","Period=FY","BEST_FPERIOD_OVERRIDE=FY","FILING_STATUS=OR","EQY_CONSOLIDATED=Y","Sort=A","Dates=H","DateFormat=P","Fill=—","Direction=H","UseDPDF=Y")</f>
        <v>#NAME?</v>
      </c>
      <c r="BE243" s="1" t="e">
        <f ca="1">_xll.BDH($C$228,"GEO_GROW_CASH_OPER_ACT","FY 2017","FY 2017","Currency=INR","Period=FY","BEST_FPERIOD_OVERRIDE=FY","FILING_STATUS=OR","EQY_CONSOLIDATED=Y","Sort=A","Dates=H","DateFormat=P","Fill=—","Direction=H","UseDPDF=Y")</f>
        <v>#NAME?</v>
      </c>
      <c r="BF243" s="1" t="e">
        <f ca="1">_xll.BDH($C$228,"REVENUE_SEQUENTIAL_GROWTH","FY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43" s="1" t="e">
        <f ca="1">_xll.BDH($C$228,"EBITDA_SEQUENTIAL_GROWTH","FY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43" s="1" t="e">
        <f ca="1">_xll.BDH($C$228,"OPERATING_INCOME_SEQ_GROWTH","FY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43" s="1" t="e">
        <f ca="1">_xll.BDH($C$228,"NET_INCOME_TO_COMMON_SEQ_GROWTH","FY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43" s="1" t="e">
        <f ca="1">_xll.BDH($C$228,"EPS_DILUTED_SEQUENTIAL_GROWTH","FY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43" s="1" t="e">
        <f ca="1">_xll.BDH($C$228,"DPS_SEQUENTIAL_GROWTH","FY 2017","FY 2017","Currency=INR","Period=FY","BEST_FPERIOD_OVERRIDE=FY","FILING_STATUS=OR","EQY_CONSOLIDATED=Y","Sort=A","Dates=H","DateFormat=P","Fill=—","Direction=H","UseDPDF=Y")</f>
        <v>#NAME?</v>
      </c>
      <c r="BL243" s="1" t="e">
        <f ca="1">_xll.BDH($C$228,"ACCOUNTS_RECEIVABLE_SEQ_GROWTH","FY 2017","FY 2017","Currency=INR","Period=FY","BEST_FPERIOD_OVERRIDE=FY","FILING_STATUS=OR","EQY_CONSOLIDATED=Y","Sort=A","Dates=H","DateFormat=P","Fill=—","Direction=H","UseDPDF=Y")</f>
        <v>#NAME?</v>
      </c>
      <c r="BM243" s="1" t="e">
        <f ca="1">_xll.BDH($C$228,"INVENTORY_SEQUENTIAL_GROWTH","FY 2017","FY 2017","Currency=INR","Period=FY","BEST_FPERIOD_OVERRIDE=FY","FILING_STATUS=OR","EQY_CONSOLIDATED=Y","Sort=A","Dates=H","DateFormat=P","Fill=—","Direction=H","UseDPDF=Y")</f>
        <v>#NAME?</v>
      </c>
      <c r="BN243" s="1" t="e">
        <f ca="1">_xll.BDH($C$228,"FIXED_ASSETS_SEQUENTIAL_GROWTH","FY 2017","FY 2017","Currency=INR","Period=FY","BEST_FPERIOD_OVERRIDE=FY","FILING_STATUS=OR","EQY_CONSOLIDATED=Y","Sort=A","Dates=H","DateFormat=P","Fill=—","Direction=H","UseDPDF=Y")</f>
        <v>#NAME?</v>
      </c>
      <c r="BO243" s="1" t="e">
        <f ca="1">_xll.BDH($C$228,"TOTAL_ASSETS_SEQUENTIAL_GROWTH","FY 2017","FY 2017","Currency=INR","Period=FY","BEST_FPERIOD_OVERRIDE=FY","FILING_STATUS=OR","EQY_CONSOLIDATED=Y","Sort=A","Dates=H","DateFormat=P","Fill=—","Direction=H","UseDPDF=Y")</f>
        <v>#NAME?</v>
      </c>
      <c r="BP243" s="1" t="e">
        <f ca="1">_xll.BDH($C$228,"MODIFIED_WORKING_CPTL_SEQ_GRWTH","FY 2017","FY 2017","Currency=INR","Period=FY","BEST_FPERIOD_OVERRIDE=FY","FILING_STATUS=OR","EQY_CONSOLIDATED=Y","Sort=A","Dates=H","DateFormat=P","Fill=—","Direction=H","UseDPDF=Y")</f>
        <v>#NAME?</v>
      </c>
      <c r="BQ243" s="1" t="e">
        <f ca="1">_xll.BDH($C$228,"WORKING_CAPITAL_SEQ_GROWTH","FY 2017","FY 2017","Currency=INR","Period=FY","BEST_FPERIOD_OVERRIDE=FY","FILING_STATUS=OR","EQY_CONSOLIDATED=Y","Sort=A","Dates=H","DateFormat=P","Fill=—","Direction=H","UseDPDF=Y")</f>
        <v>#NAME?</v>
      </c>
      <c r="BR243" s="1" t="e">
        <f ca="1">_xll.BDH($C$228,"ACCOUNTS_PAYABLE_SEQ_GROWTH","FY 2017","FY 2017","Currency=INR","Period=FY","BEST_FPERIOD_OVERRIDE=FY","FILING_STATUS=OR","EQY_CONSOLIDATED=Y","Sort=A","Dates=H","DateFormat=P","Fill=—","Direction=H","UseDPDF=Y")</f>
        <v>#NAME?</v>
      </c>
      <c r="BS243" s="1" t="e">
        <f ca="1">_xll.BDH($C$228,"ST_DEBT_SEQUENTIAL_GROWTH","FY 2017","FY 2017","Currency=INR","Period=FY","BEST_FPERIOD_OVERRIDE=FY","FILING_STATUS=OR","EQY_CONSOLIDATED=Y","Sort=A","Dates=H","DateFormat=P","Fill=—","Direction=H","UseDPDF=Y")</f>
        <v>#NAME?</v>
      </c>
      <c r="BT243" s="1" t="e">
        <f ca="1">_xll.BDH($C$228,"TOTAL_DEBT_SEQUENTIAL_GROWTH","FY 2017","FY 2017","Currency=INR","Period=FY","BEST_FPERIOD_OVERRIDE=FY","FILING_STATUS=OR","EQY_CONSOLIDATED=Y","Sort=A","Dates=H","DateFormat=P","Fill=—","Direction=H","UseDPDF=Y")</f>
        <v>#NAME?</v>
      </c>
      <c r="BU243" s="1" t="e">
        <f ca="1">_xll.BDH($C$228,"TOTAL_EQUITY_SEQUENTIAL_GROWTH","FY 2017","FY 2017","Currency=INR","Period=FY","BEST_FPERIOD_OVERRIDE=FY","FILING_STATUS=OR","EQY_CONSOLIDATED=Y","Sort=A","Dates=H","DateFormat=P","Fill=—","Direction=H","UseDPDF=Y")</f>
        <v>#NAME?</v>
      </c>
      <c r="BV243" s="1" t="e">
        <f ca="1">_xll.BDH($C$228,"TOTAL_CAPITAL_SEQUENTIAL_GROWTH","FY 2017","FY 2017","Currency=INR","Period=FY","BEST_FPERIOD_OVERRIDE=FY","FILING_STATUS=OR","EQY_CONSOLIDATED=Y","Sort=A","Dates=H","DateFormat=P","Fill=—","Direction=H","UseDPDF=Y")</f>
        <v>#NAME?</v>
      </c>
      <c r="BW243" s="1" t="e">
        <f ca="1">_xll.BDH($C$228,"BPS_SEQUENTIAL_GROWTH","FY 2017","FY 2017","Currency=INR","Period=FY","BEST_FPERIOD_OVERRIDE=FY","FILING_STATUS=OR","EQY_CONSOLIDATED=Y","Sort=A","Dates=H","DateFormat=P","Fill=—","Direction=H","UseDPDF=Y")</f>
        <v>#NAME?</v>
      </c>
      <c r="BX243" s="1" t="e">
        <f ca="1">_xll.BDH($C$228,"CFO_SEQUENTIAL_GROWTH","FY 2017","FY 2017","Currency=INR","Period=FY","BEST_FPERIOD_OVERRIDE=FY","FILING_STATUS=OR","EQY_CONSOLIDATED=Y","Sort=A","Dates=H","DateFormat=P","Fill=—","Direction=H","UseDPDF=Y")</f>
        <v>#NAME?</v>
      </c>
      <c r="BY243" s="2" t="e">
        <f ca="1">_xll.BDH($C$228,"SHORT_AND_LONG_TERM_DEBT","FY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43" s="2" t="e">
        <f ca="1">_xll.BDH($C$228,"BS_ST_BORROW","FY 2017","FY 2017","Currency=INR","Period=FY","BEST_FPERIOD_OVERRIDE=FY","FILING_STATUS=OR","EQY_CONSOLIDATED=Y","SCALING_FORMAT=MLN","Sort=A","Dates=H","DateFormat=P","Fill=—","Direction=H","UseDPDF=Y")</f>
        <v>#NAME?</v>
      </c>
      <c r="CA243" s="2" t="e">
        <f ca="1">_xll.BDH($C$228,"BS_LT_BORROW","FY 2017","FY 2017","Currency=INR","Period=FY","BEST_FPERIOD_OVERRIDE=FY","FILING_STATUS=OR","EQY_CONSOLIDATED=Y","SCALING_FORMAT=MLN","Sort=A","Dates=H","DateFormat=P","Fill=—","Direction=H","UseDPDF=Y")</f>
        <v>#NAME?</v>
      </c>
      <c r="CB243" s="1" t="e">
        <f ca="1">_xll.BDH($C$228,"TOT_DEBT_TO_EBITDA","FY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243" s="1" t="e">
        <f ca="1">_xll.BDH($C$228,"NET_DEBT_TO_EBITDA","FY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243" s="1" t="e">
        <f ca="1">_xll.BDH($C$228,"TOTAL_DEBT_TO_EBIT","FY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243" s="1" t="e">
        <f ca="1">_xll.BDH($C$228,"NET_DEBT_TO_EBIT","FY 2017","FY 2017","Currency=INR","Period=FY","BEST_FPERIOD_OVERRIDE=FY","FILING_STATUS=OR","EQY_CONSOLIDATED=Y","FA_ADJUSTED=GAAP","Sort=A","Dates=H","DateFormat=P","Fill=—","Direction=H","UseDPDF=Y")</f>
        <v>#NAME?</v>
      </c>
      <c r="CF243" s="1" t="e">
        <f ca="1">_xll.BDH($C$228,"EBITDA_TO_INTEREST_EXPN","FY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43" s="1" t="e">
        <f ca="1">_xll.BDH($C$228,"COM_EQY_TO_TOT_ASSET","FY 2017","FY 2017","Currency=INR","Period=FY","BEST_FPERIOD_OVERRIDE=FY","FILING_STATUS=OR","EQY_CONSOLIDATED=Y","Sort=A","Dates=H","DateFormat=P","Fill=—","Direction=H","UseDPDF=Y")</f>
        <v>#NAME?</v>
      </c>
      <c r="CH243" s="1" t="e">
        <f ca="1">_xll.BDH($C$228,"LT_DEBT_TO_TOT_EQY","FY 2017","FY 2017","Currency=INR","Period=FY","BEST_FPERIOD_OVERRIDE=FY","FILING_STATUS=OR","EQY_CONSOLIDATED=Y","Sort=A","Dates=H","DateFormat=P","Fill=—","Direction=H","UseDPDF=Y")</f>
        <v>#NAME?</v>
      </c>
      <c r="CI243" s="1" t="e">
        <f ca="1">_xll.BDH($C$228,"LT_DEBT_TO_TOT_CAP","FY 2017","FY 2017","Currency=INR","Period=FY","BEST_FPERIOD_OVERRIDE=FY","FILING_STATUS=OR","EQY_CONSOLIDATED=Y","Sort=A","Dates=H","DateFormat=P","Fill=—","Direction=H","UseDPDF=Y")</f>
        <v>#NAME?</v>
      </c>
      <c r="CJ243" s="1" t="e">
        <f ca="1">_xll.BDH($C$228,"LT_DEBT_TO_TOT_ASSET","FY 2017","FY 2017","Currency=INR","Period=FY","BEST_FPERIOD_OVERRIDE=FY","FILING_STATUS=OR","EQY_CONSOLIDATED=Y","Sort=A","Dates=H","DateFormat=P","Fill=—","Direction=H","UseDPDF=Y")</f>
        <v>#NAME?</v>
      </c>
      <c r="CK243" s="1" t="e">
        <f ca="1">_xll.BDH($C$228,"TOT_DEBT_TO_TOT_EQY","FY 2017","FY 2017","Currency=INR","Period=FY","BEST_FPERIOD_OVERRIDE=FY","FILING_STATUS=OR","EQY_CONSOLIDATED=Y","Sort=A","Dates=H","DateFormat=P","Fill=—","Direction=H","UseDPDF=Y")</f>
        <v>#NAME?</v>
      </c>
      <c r="CL243" s="1" t="e">
        <f ca="1">_xll.BDH($C$228,"TOT_DEBT_TO_TOT_CAP","FY 2017","FY 2017","Currency=INR","Period=FY","BEST_FPERIOD_OVERRIDE=FY","FILING_STATUS=OR","EQY_CONSOLIDATED=Y","Sort=A","Dates=H","DateFormat=P","Fill=—","Direction=H","UseDPDF=Y")</f>
        <v>#NAME?</v>
      </c>
      <c r="CM243" s="1" t="e">
        <f ca="1">_xll.BDH($C$228,"TOT_DEBT_TO_TOT_ASSET","FY 2017","FY 2017","Currency=INR","Period=FY","BEST_FPERIOD_OVERRIDE=FY","FILING_STATUS=OR","EQY_CONSOLIDATED=Y","Sort=A","Dates=H","DateFormat=P","Fill=—","Direction=H","UseDPDF=Y")</f>
        <v>#NAME?</v>
      </c>
      <c r="CN243" s="1" t="e">
        <f ca="1">_xll.BDH($C$228,"NET_DEBT_TO_SHRHLDR_EQTY","FY 2017","FY 2017","Currency=INR","Period=FY","BEST_FPERIOD_OVERRIDE=FY","FILING_STATUS=OR","EQY_CONSOLIDATED=Y","Sort=A","Dates=H","DateFormat=P","Fill=—","Direction=H","UseDPDF=Y")</f>
        <v>#NAME?</v>
      </c>
      <c r="CO243" s="1" t="e">
        <f ca="1">_xll.BDH($C$228,"NET_DEBT_%_CAPITAL","FY 2017","FY 2017","Currency=INR","Period=FY","BEST_FPERIOD_OVERRIDE=FY","FILING_STATUS=OR","EQY_CONSOLIDATED=Y","Sort=A","Dates=H","DateFormat=P","Fill=—","Direction=H","UseDPDF=Y")</f>
        <v>#NAME?</v>
      </c>
      <c r="CP243" s="2" t="e">
        <f ca="1">_xll.BDH($C$228,"EBITDA","FY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43" s="2" t="e">
        <f ca="1">_xll.BDH($C$228,"EBITDA_AFTER_CAPEX","FY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43" s="2" t="e">
        <f ca="1">_xll.BDH($C$228,"IS_OPER_INC","FY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43" s="1" t="e">
        <f ca="1">_xll.BDH($C$228,"CASH_RATIO","FY 2017","FY 2017","Currency=INR","Period=FY","BEST_FPERIOD_OVERRIDE=FY","FILING_STATUS=OR","EQY_CONSOLIDATED=Y","Sort=A","Dates=H","DateFormat=P","Fill=—","Direction=H","UseDPDF=Y")</f>
        <v>#NAME?</v>
      </c>
      <c r="CT243" s="1" t="e">
        <f ca="1">_xll.BDH($C$228,"CUR_RATIO","FY 2017","FY 2017","Currency=INR","Period=FY","BEST_FPERIOD_OVERRIDE=FY","FILING_STATUS=OR","EQY_CONSOLIDATED=Y","Sort=A","Dates=H","DateFormat=P","Fill=—","Direction=H","UseDPDF=Y")</f>
        <v>#NAME?</v>
      </c>
      <c r="CU243" s="1" t="e">
        <f ca="1">_xll.BDH($C$228,"QUICK_RATIO","FY 2017","FY 2017","Currency=INR","Period=FY","BEST_FPERIOD_OVERRIDE=FY","FILING_STATUS=OR","EQY_CONSOLIDATED=Y","Sort=A","Dates=H","DateFormat=P","Fill=—","Direction=H","UseDPDF=Y")</f>
        <v>#NAME?</v>
      </c>
      <c r="CV243" s="1" t="e">
        <f ca="1">_xll.BDH($C$228,"ALTMAN_Z_SCORE","FY 2017","FY 2017","Currency=INR","Period=FY","BEST_FPERIOD_OVERRIDE=FY","FILING_STATUS=OR","EQY_CONSOLIDATED=Y","Sort=A","Dates=H","DateFormat=P","Fill=—","Direction=H","UseDPDF=Y")</f>
        <v>#NAME?</v>
      </c>
      <c r="CW243" s="3" t="e">
        <f ca="1">_xll.BDH($C$228,"ACCT_RCV_TURN","FY 2017","FY 2017","Currency=INR","Period=FY","BEST_FPERIOD_OVERRIDE=FY","FILING_STATUS=OR","EQY_CONSOLIDATED=Y","FA_ADJUSTED=GAAP","Sort=A","Dates=H","DateFormat=P","Fill=—","Direction=H","UseDPDF=Y")</f>
        <v>#NAME?</v>
      </c>
      <c r="CX243" s="1" t="e">
        <f ca="1">_xll.BDH($C$228,"ACCT_RCV_DAYS","FY 2017","FY 2017","Currency=INR","Period=FY","BEST_FPERIOD_OVERRIDE=FY","FILING_STATUS=OR","EQY_CONSOLIDATED=Y","FA_ADJUSTED=GAAP","Sort=A","Dates=H","DateFormat=P","Fill=—","Direction=H","UseDPDF=Y")</f>
        <v>#NAME?</v>
      </c>
      <c r="CY243" s="3" t="e">
        <f ca="1">_xll.BDH($C$228,"INVENT_TURN","FY 2017","FY 2017","Currency=INR","Period=FY","BEST_FPERIOD_OVERRIDE=FY","FILING_STATUS=OR","EQY_CONSOLIDATED=Y","FA_ADJUSTED=GAAP","Sort=A","Dates=H","DateFormat=P","Fill=—","Direction=H","UseDPDF=Y")</f>
        <v>#NAME?</v>
      </c>
      <c r="CZ243" s="1" t="e">
        <f ca="1">_xll.BDH($C$228,"INVENT_DAYS","FY 2017","FY 2017","Currency=INR","Period=FY","BEST_FPERIOD_OVERRIDE=FY","FILING_STATUS=OR","EQY_CONSOLIDATED=Y","FA_ADJUSTED=GAAP","Sort=A","Dates=H","DateFormat=P","Fill=—","Direction=H","UseDPDF=Y")</f>
        <v>#NAME?</v>
      </c>
      <c r="DA243" s="3" t="e">
        <f ca="1">_xll.BDH($C$228,"ACCOUNTS_PAYABLE_TURNOVER","FY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43" s="1" t="e">
        <f ca="1">_xll.BDH($C$228,"ACCOUNTS_PAYABLE_TURNOVER_DAYS","FY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43" s="3" t="e">
        <f ca="1">_xll.BDH($C$228,"CASH_CONVERSION_CYCLE","FY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43" s="3" t="e">
        <f ca="1">_xll.BDH($C$228,"INV_TO_CASH_DAYS","FY 2017","FY 2017","Currency=INR","Period=FY","BEST_FPERIOD_OVERRIDE=FY","FILING_STATUS=OR","EQY_CONSOLIDATED=Y","FA_ADJUSTED=GAAP","Sort=A","Dates=H","DateFormat=P","Fill=—","Direction=H","UseDPDF=Y")</f>
        <v>#NAME?</v>
      </c>
      <c r="DE243" s="4" t="e">
        <f ca="1">_xll.BDH($C$228,"BS_INVENTORIES","FY 2017","FY 2017","Currency=INR","Period=FY","BEST_FPERIOD_OVERRIDE=FY","FILING_STATUS=OR","EQY_CONSOLIDATED=Y","SCALING_FORMAT=MLN","Sort=A","Dates=H","DateFormat=P","Fill=—","Direction=H","UseDPDF=Y")</f>
        <v>#NAME?</v>
      </c>
      <c r="DF243" s="2" t="e">
        <f ca="1">_xll.BDH($C$228,"INVTRY_RAW_MATERIALS","FY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43" s="2" t="e">
        <f ca="1">_xll.BDH($C$228,"INVTRY_IN_PROGRESS","FY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43" s="2" t="e">
        <f ca="1">_xll.BDH($C$228,"INVTRY_FINISHED_GOODS","FY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43" s="2" t="e">
        <f ca="1">_xll.BDH($C$228,"BS_OTHER_INV","FY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44" spans="1:113" x14ac:dyDescent="0.3">
      <c r="A244" s="6"/>
      <c r="B244" s="6"/>
      <c r="C244" s="6"/>
      <c r="D244" s="6"/>
      <c r="E244" t="s">
        <v>4</v>
      </c>
      <c r="F244" t="e">
        <f ca="1">_xll.BDH($C$228,"RETURN_COM_EQY","FQ1 2017","FQ1 2017","Currency=INR","Period=FQ","BEST_FPERIOD_OVERRIDE=FQ","FILING_STATUS=OR","EQY_CONSOLIDATED=Y","FA_ADJUSTED=GAAP","Sort=A","Dates=H","DateFormat=P","Fill=—","Direction=H","UseDPDF=Y")</f>
        <v>#NAME?</v>
      </c>
      <c r="G244" t="e">
        <f ca="1">_xll.BDH($C$228,"RETURN_ON_ASSET","FQ1 2017","FQ1 2017","Currency=INR","Period=FQ","BEST_FPERIOD_OVERRIDE=FQ","FILING_STATUS=OR","EQY_CONSOLIDATED=Y","FA_ADJUSTED=GAAP","Sort=A","Dates=H","DateFormat=P","Fill=—","Direction=H","UseDPDF=Y")</f>
        <v>#NAME?</v>
      </c>
      <c r="H244" t="e">
        <f ca="1">_xll.BDH($C$228,"RETURN_ON_CAP","FQ1 2017","FQ1 2017","Currency=INR","Period=FQ","BEST_FPERIOD_OVERRIDE=FQ","FILING_STATUS=OR","EQY_CONSOLIDATED=Y","FA_ADJUSTED=GAAP","Sort=A","Dates=H","DateFormat=P","Fill=—","Direction=H","UseDPDF=Y")</f>
        <v>#NAME?</v>
      </c>
      <c r="I244" t="e">
        <f ca="1">_xll.BDH($C$228,"RETURN_ON_INV_CAPITAL","FQ1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44" t="e">
        <f ca="1">_xll.BDH($C$228,"EBITDA_TO_REVENUE","FQ1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244" t="e">
        <f ca="1">_xll.BDH($C$228,"OPER_MARGIN","FQ1 2017","FQ1 2017","Currency=INR","Period=FQ","BEST_FPERIOD_OVERRIDE=FQ","FILING_STATUS=OR","EQY_CONSOLIDATED=Y","FA_ADJUSTED=GAAP","Sort=A","Dates=H","DateFormat=P","Fill=—","Direction=H","UseDPDF=Y")</f>
        <v>#NAME?</v>
      </c>
      <c r="L244" t="e">
        <f ca="1">_xll.BDH($C$228,"INCREMENTAL_OPERATING_MARGIN","FQ1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44" t="e">
        <f ca="1">_xll.BDH($C$228,"PRETAX_INC_TO_NET_SALES","FQ1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44" t="e">
        <f ca="1">_xll.BDH($C$228,"INC_BEF_XO_ITEMS_TO_NET_SALES","FQ1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44" t="e">
        <f ca="1">_xll.BDH($C$228,"PROF_MARGIN","FQ1 2017","FQ1 2017","Currency=INR","Period=FQ","BEST_FPERIOD_OVERRIDE=FQ","FILING_STATUS=OR","EQY_CONSOLIDATED=Y","FA_ADJUSTED=GAAP","Sort=A","Dates=H","DateFormat=P","Fill=—","Direction=H","UseDPDF=Y")</f>
        <v>#NAME?</v>
      </c>
      <c r="P244" t="e">
        <f ca="1">_xll.BDH($C$228,"NET_INCOME_TO_COMMON_MARGIN","FQ1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44" t="e">
        <f ca="1">_xll.BDH($C$228,"EFF_TAX_RATE","FQ1 2017","FQ1 2017","Currency=INR","Period=FQ","BEST_FPERIOD_OVERRIDE=FQ","FILING_STATUS=OR","EQY_CONSOLIDATED=Y","FA_ADJUSTED=GAAP","Sort=A","Dates=H","DateFormat=P","Fill=—","Direction=H","UseDPDF=Y")</f>
        <v>#NAME?</v>
      </c>
      <c r="R244" t="e">
        <f ca="1">_xll.BDH($C$228,"DVD_PAYOUT_RATIO","FQ1 2017","FQ1 2017","Currency=INR","Period=FQ","BEST_FPERIOD_OVERRIDE=FQ","FILING_STATUS=OR","EQY_CONSOLIDATED=Y","FA_ADJUSTED=GAAP","Sort=A","Dates=H","DateFormat=P","Fill=—","Direction=H","UseDPDF=Y")</f>
        <v>#NAME?</v>
      </c>
      <c r="S244" t="e">
        <f ca="1">_xll.BDH($C$228,"SUSTAIN_GROWTH_RT","FQ1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244" s="1" t="e">
        <f ca="1">_xll.BDH($C$228,"SALES_GROWTH","FQ1 2017","FQ1 2017","Currency=INR","Period=FQ","BEST_FPERIOD_OVERRIDE=FQ","FILING_STATUS=OR","EQY_CONSOLIDATED=Y","FA_ADJUSTED=GAAP","Sort=A","Dates=H","DateFormat=P","Fill=—","Direction=H","UseDPDF=Y")</f>
        <v>#NAME?</v>
      </c>
      <c r="U244" s="1" t="e">
        <f ca="1">_xll.BDH($C$228,"EBITDA_GROWTH","FQ1 2017","FQ1 2017","Currency=INR","Period=FQ","BEST_FPERIOD_OVERRIDE=FQ","FILING_STATUS=OR","EQY_CONSOLIDATED=Y","FA_ADJUSTED=GAAP","Sort=A","Dates=H","DateFormat=P","Fill=—","Direction=H","UseDPDF=Y")</f>
        <v>#NAME?</v>
      </c>
      <c r="V244" s="1" t="e">
        <f ca="1">_xll.BDH($C$228,"OPER_INC_GROWTH","FQ1 2017","FQ1 2017","Currency=INR","Period=FQ","BEST_FPERIOD_OVERRIDE=FQ","FILING_STATUS=OR","EQY_CONSOLIDATED=Y","FA_ADJUSTED=GAAP","Sort=A","Dates=H","DateFormat=P","Fill=—","Direction=H","UseDPDF=Y")</f>
        <v>#NAME?</v>
      </c>
      <c r="W244" s="1" t="e">
        <f ca="1">_xll.BDH($C$228,"EARN_FOR_COM_GROWTH","FQ1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44" s="1" t="e">
        <f ca="1">_xll.BDH($C$228,"DILUTED_EPS_AFT_XO_ITEMS_GROWTH","FQ1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44" s="1" t="e">
        <f ca="1">_xll.BDH($C$228,"DIVIDEND_PER_SHARE_1_YEAR_GROWTH","FQ1 2017","FQ1 2017","Currency=INR","Period=FQ","BEST_FPERIOD_OVERRIDE=FQ","FILING_STATUS=OR","EQY_CONSOLIDATED=Y","Sort=A","Dates=H","DateFormat=P","Fill=—","Direction=H","UseDPDF=Y")</f>
        <v>#NAME?</v>
      </c>
      <c r="Z244" s="1" t="e">
        <f ca="1">_xll.BDH($C$228,"ACCOUNTS_RECEIVABLE_GROWTH","FQ1 2017","FQ1 2017","Currency=INR","Period=FQ","BEST_FPERIOD_OVERRIDE=FQ","FILING_STATUS=OR","EQY_CONSOLIDATED=Y","Sort=A","Dates=H","DateFormat=P","Fill=—","Direction=H","UseDPDF=Y")</f>
        <v>#NAME?</v>
      </c>
      <c r="AA244" s="1" t="e">
        <f ca="1">_xll.BDH($C$228,"INVENTORY_GROWTH","FQ1 2017","FQ1 2017","Currency=INR","Period=FQ","BEST_FPERIOD_OVERRIDE=FQ","FILING_STATUS=OR","EQY_CONSOLIDATED=Y","Sort=A","Dates=H","DateFormat=P","Fill=—","Direction=H","UseDPDF=Y")</f>
        <v>#NAME?</v>
      </c>
      <c r="AB244" s="1" t="e">
        <f ca="1">_xll.BDH($C$228,"NET_FIXED_ASSETS_1_YEAR_GROWTH","FQ1 2017","FQ1 2017","Currency=INR","Period=FQ","BEST_FPERIOD_OVERRIDE=FQ","FILING_STATUS=OR","EQY_CONSOLIDATED=Y","Sort=A","Dates=H","DateFormat=P","Fill=—","Direction=H","UseDPDF=Y")</f>
        <v>#NAME?</v>
      </c>
      <c r="AC244" s="1" t="e">
        <f ca="1">_xll.BDH($C$228,"ASSET_GROWTH","FQ1 2017","FQ1 2017","Currency=INR","Period=FQ","BEST_FPERIOD_OVERRIDE=FQ","FILING_STATUS=OR","EQY_CONSOLIDATED=Y","Sort=A","Dates=H","DateFormat=P","Fill=—","Direction=H","UseDPDF=Y")</f>
        <v>#NAME?</v>
      </c>
      <c r="AD244" s="1" t="e">
        <f ca="1">_xll.BDH($C$228,"MODIFIED_WORK_CAP_GROWTH","FQ1 2017","FQ1 2017","Currency=INR","Period=FQ","BEST_FPERIOD_OVERRIDE=FQ","FILING_STATUS=OR","EQY_CONSOLIDATED=Y","Sort=A","Dates=H","DateFormat=P","Fill=—","Direction=H","UseDPDF=Y")</f>
        <v>#NAME?</v>
      </c>
      <c r="AE244" s="1" t="e">
        <f ca="1">_xll.BDH($C$228,"WORK_CAP_GROWTH","FQ1 2017","FQ1 2017","Currency=INR","Period=FQ","BEST_FPERIOD_OVERRIDE=FQ","FILING_STATUS=OR","EQY_CONSOLIDATED=Y","Sort=A","Dates=H","DateFormat=P","Fill=—","Direction=H","UseDPDF=Y")</f>
        <v>#NAME?</v>
      </c>
      <c r="AF244" s="1" t="e">
        <f ca="1">_xll.BDH($C$228,"ACCOUNTS_PAYABLE_GROWTH_1YR","FQ1 2017","FQ1 2017","Currency=INR","Period=FQ","BEST_FPERIOD_OVERRIDE=FQ","FILING_STATUS=OR","EQY_CONSOLIDATED=Y","Sort=A","Dates=H","DateFormat=P","Fill=—","Direction=H","UseDPDF=Y")</f>
        <v>#NAME?</v>
      </c>
      <c r="AG244" s="1" t="e">
        <f ca="1">_xll.BDH($C$228,"SHORT_TERM_DEBT_1_YEAR_GROWTH","FQ1 2017","FQ1 2017","Currency=INR","Period=FQ","BEST_FPERIOD_OVERRIDE=FQ","FILING_STATUS=OR","EQY_CONSOLIDATED=Y","Sort=A","Dates=H","DateFormat=P","Fill=—","Direction=H","UseDPDF=Y")</f>
        <v>#NAME?</v>
      </c>
      <c r="AH244" s="1" t="e">
        <f ca="1">_xll.BDH($C$228,"TOTAL_DEBT_1_YEAR_GROWTH","FQ1 2017","FQ1 2017","Currency=INR","Period=FQ","BEST_FPERIOD_OVERRIDE=FQ","FILING_STATUS=OR","EQY_CONSOLIDATED=Y","Sort=A","Dates=H","DateFormat=P","Fill=—","Direction=H","UseDPDF=Y")</f>
        <v>#NAME?</v>
      </c>
      <c r="AI244" s="1" t="e">
        <f ca="1">_xll.BDH($C$228,"TOTAL_EQUITY_1_YEAR_GROWTH","FQ1 2017","FQ1 2017","Currency=INR","Period=FQ","BEST_FPERIOD_OVERRIDE=FQ","FILING_STATUS=OR","EQY_CONSOLIDATED=Y","Sort=A","Dates=H","DateFormat=P","Fill=—","Direction=H","UseDPDF=Y")</f>
        <v>#NAME?</v>
      </c>
      <c r="AJ244" s="1" t="e">
        <f ca="1">_xll.BDH($C$228,"GROWTH_IN_CAP","FQ1 2017","FQ1 2017","Currency=INR","Period=FQ","BEST_FPERIOD_OVERRIDE=FQ","FILING_STATUS=OR","EQY_CONSOLIDATED=Y","Sort=A","Dates=H","DateFormat=P","Fill=—","Direction=H","UseDPDF=Y")</f>
        <v>#NAME?</v>
      </c>
      <c r="AK244" s="1" t="e">
        <f ca="1">_xll.BDH($C$228,"BVPS_GROWTH","FQ1 2017","FQ1 2017","Currency=INR","Period=FQ","BEST_FPERIOD_OVERRIDE=FQ","FILING_STATUS=OR","EQY_CONSOLIDATED=Y","Sort=A","Dates=H","DateFormat=P","Fill=—","Direction=H","UseDPDF=Y")</f>
        <v>#NAME?</v>
      </c>
      <c r="AL244" s="1" t="e">
        <f ca="1">_xll.BDH($C$228,"CASH_FLOW_GROWTH","FQ1 2017","FQ1 2017","Currency=INR","Period=FQ","BEST_FPERIOD_OVERRIDE=FQ","FILING_STATUS=OR","EQY_CONSOLIDATED=Y","Sort=A","Dates=H","DateFormat=P","Fill=—","Direction=H","UseDPDF=Y")</f>
        <v>#NAME?</v>
      </c>
      <c r="AM244" s="1" t="e">
        <f ca="1">_xll.BDH($C$228,"GEO_GROW_NET_SALES","FQ1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44" s="1" t="e">
        <f ca="1">_xll.BDH($C$228,"GEO_GROW_EBITDA","FQ1 2017","FQ1 2017","Currency=INR","Period=FQ","BEST_FPERIOD_OVERRIDE=FQ","FILING_STATUS=OR","EQY_CONSOLIDATED=Y","FA_ADJUSTED=GAAP","Sort=A","Dates=H","DateFormat=P","Fill=—","Direction=H","UseDPDF=Y")</f>
        <v>#NAME?</v>
      </c>
      <c r="AO244" s="1" t="e">
        <f ca="1">_xll.BDH($C$228,"GEO_GROW_OPER_INC","FQ1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44" s="1" t="e">
        <f ca="1">_xll.BDH($C$228,"NET_INCOME_TO_COMMON_5_YR_GROWTH","FQ1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44" s="1" t="e">
        <f ca="1">_xll.BDH($C$228,"5Y_GEO_GROWTH_DILUTED_EPS","FQ1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44" s="1" t="e">
        <f ca="1">_xll.BDH($C$228,"GEO_GROW_DVD_PER_SH","FQ1 2017","FQ1 2017","Currency=INR","Period=FQ","BEST_FPERIOD_OVERRIDE=FQ","FILING_STATUS=OR","EQY_CONSOLIDATED=Y","Sort=A","Dates=H","DateFormat=P","Fill=—","Direction=H","UseDPDF=Y")</f>
        <v>#NAME?</v>
      </c>
      <c r="AS244" s="1" t="e">
        <f ca="1">_xll.BDH($C$228,"ACCOUNTS_RECEIVABLE_5_YR_GROWTH","FQ1 2017","FQ1 2017","Currency=INR","Period=FQ","BEST_FPERIOD_OVERRIDE=FQ","FILING_STATUS=OR","EQY_CONSOLIDATED=Y","Sort=A","Dates=H","DateFormat=P","Fill=—","Direction=H","UseDPDF=Y")</f>
        <v>#NAME?</v>
      </c>
      <c r="AT244" s="1" t="e">
        <f ca="1">_xll.BDH($C$228,"INVENTORY_5_YEAR_GROWTH","FQ1 2017","FQ1 2017","Currency=INR","Period=FQ","BEST_FPERIOD_OVERRIDE=FQ","FILING_STATUS=OR","EQY_CONSOLIDATED=Y","Sort=A","Dates=H","DateFormat=P","Fill=—","Direction=H","UseDPDF=Y")</f>
        <v>#NAME?</v>
      </c>
      <c r="AU244" s="1" t="e">
        <f ca="1">_xll.BDH($C$228,"NET_FIXED_ASSETS_5_YEAR_GROWTH","FQ1 2017","FQ1 2017","Currency=INR","Period=FQ","BEST_FPERIOD_OVERRIDE=FQ","FILING_STATUS=OR","EQY_CONSOLIDATED=Y","Sort=A","Dates=H","DateFormat=P","Fill=—","Direction=H","UseDPDF=Y")</f>
        <v>#NAME?</v>
      </c>
      <c r="AV244" s="1" t="e">
        <f ca="1">_xll.BDH($C$228,"GEO_GROW_TOT_ASSET","FQ1 2017","FQ1 2017","Currency=INR","Period=FQ","BEST_FPERIOD_OVERRIDE=FQ","FILING_STATUS=OR","EQY_CONSOLIDATED=Y","Sort=A","Dates=H","DateFormat=P","Fill=—","Direction=H","UseDPDF=Y")</f>
        <v>#NAME?</v>
      </c>
      <c r="AW244" s="1" t="e">
        <f ca="1">_xll.BDH($C$228,"MODIFIED_WORKING_CPTL_5YR_GRWTH","FQ1 2017","FQ1 2017","Currency=INR","Period=FQ","BEST_FPERIOD_OVERRIDE=FQ","FILING_STATUS=OR","EQY_CONSOLIDATED=Y","Sort=A","Dates=H","DateFormat=P","Fill=—","Direction=H","UseDPDF=Y")</f>
        <v>#NAME?</v>
      </c>
      <c r="AX244" s="1" t="e">
        <f ca="1">_xll.BDH($C$228,"WORKING_CAPITAL_5_YEAR_GROWTH","FQ1 2017","FQ1 2017","Currency=INR","Period=FQ","BEST_FPERIOD_OVERRIDE=FQ","FILING_STATUS=OR","EQY_CONSOLIDATED=Y","Sort=A","Dates=H","DateFormat=P","Fill=—","Direction=H","UseDPDF=Y")</f>
        <v>#NAME?</v>
      </c>
      <c r="AY244" s="1" t="e">
        <f ca="1">_xll.BDH($C$228,"ACCOUNTS_PAYABLE_5_YEAR_GROWTH","FQ1 2017","FQ1 2017","Currency=INR","Period=FQ","BEST_FPERIOD_OVERRIDE=FQ","FILING_STATUS=OR","EQY_CONSOLIDATED=Y","Sort=A","Dates=H","DateFormat=P","Fill=—","Direction=H","UseDPDF=Y")</f>
        <v>#NAME?</v>
      </c>
      <c r="AZ244" s="1" t="e">
        <f ca="1">_xll.BDH($C$228,"SHORT_TERM_DEBT_5_YEAR_GROWTH","FQ1 2017","FQ1 2017","Currency=INR","Period=FQ","BEST_FPERIOD_OVERRIDE=FQ","FILING_STATUS=OR","EQY_CONSOLIDATED=Y","Sort=A","Dates=H","DateFormat=P","Fill=—","Direction=H","UseDPDF=Y")</f>
        <v>#NAME?</v>
      </c>
      <c r="BA244" s="1" t="e">
        <f ca="1">_xll.BDH($C$228,"TOTAL_DEBT_5_YEAR_GROWTH","FQ1 2017","FQ1 2017","Currency=INR","Period=FQ","BEST_FPERIOD_OVERRIDE=FQ","FILING_STATUS=OR","EQY_CONSOLIDATED=Y","Sort=A","Dates=H","DateFormat=P","Fill=—","Direction=H","UseDPDF=Y")</f>
        <v>#NAME?</v>
      </c>
      <c r="BB244" s="1" t="e">
        <f ca="1">_xll.BDH($C$228,"GEO_GROW_TOT_SHRHLDR_EQY","FQ1 2017","FQ1 2017","Currency=INR","Period=FQ","BEST_FPERIOD_OVERRIDE=FQ","FILING_STATUS=OR","EQY_CONSOLIDATED=Y","Sort=A","Dates=H","DateFormat=P","Fill=—","Direction=H","UseDPDF=Y")</f>
        <v>#NAME?</v>
      </c>
      <c r="BC244" s="1" t="e">
        <f ca="1">_xll.BDH($C$228,"TOTAL_CAPITAL_5_YEAR_GROWTH","FQ1 2017","FQ1 2017","Currency=INR","Period=FQ","BEST_FPERIOD_OVERRIDE=FQ","FILING_STATUS=OR","EQY_CONSOLIDATED=Y","Sort=A","Dates=H","DateFormat=P","Fill=—","Direction=H","UseDPDF=Y")</f>
        <v>#NAME?</v>
      </c>
      <c r="BD244" s="1" t="e">
        <f ca="1">_xll.BDH($C$228,"GEO_GROW_BOOK_VAL","FQ1 2017","FQ1 2017","Currency=INR","Period=FQ","BEST_FPERIOD_OVERRIDE=FQ","FILING_STATUS=OR","EQY_CONSOLIDATED=Y","Sort=A","Dates=H","DateFormat=P","Fill=—","Direction=H","UseDPDF=Y")</f>
        <v>#NAME?</v>
      </c>
      <c r="BE244" s="1" t="e">
        <f ca="1">_xll.BDH($C$228,"GEO_GROW_CASH_OPER_ACT","FQ1 2017","FQ1 2017","Currency=INR","Period=FQ","BEST_FPERIOD_OVERRIDE=FQ","FILING_STATUS=OR","EQY_CONSOLIDATED=Y","Sort=A","Dates=H","DateFormat=P","Fill=—","Direction=H","UseDPDF=Y")</f>
        <v>#NAME?</v>
      </c>
      <c r="BF244" s="1" t="e">
        <f ca="1">_xll.BDH($C$228,"REVENUE_SEQUENTIAL_GROWTH","FQ1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44" s="1" t="e">
        <f ca="1">_xll.BDH($C$228,"EBITDA_SEQUENTIAL_GROWTH","FQ1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44" s="1" t="e">
        <f ca="1">_xll.BDH($C$228,"OPERATING_INCOME_SEQ_GROWTH","FQ1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44" s="1" t="e">
        <f ca="1">_xll.BDH($C$228,"NET_INCOME_TO_COMMON_SEQ_GROWTH","FQ1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44" s="1" t="e">
        <f ca="1">_xll.BDH($C$228,"EPS_DILUTED_SEQUENTIAL_GROWTH","FQ1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44" s="1" t="e">
        <f ca="1">_xll.BDH($C$228,"DPS_SEQUENTIAL_GROWTH","FQ1 2017","FQ1 2017","Currency=INR","Period=FQ","BEST_FPERIOD_OVERRIDE=FQ","FILING_STATUS=OR","EQY_CONSOLIDATED=Y","Sort=A","Dates=H","DateFormat=P","Fill=—","Direction=H","UseDPDF=Y")</f>
        <v>#NAME?</v>
      </c>
      <c r="BL244" s="1" t="e">
        <f ca="1">_xll.BDH($C$228,"ACCOUNTS_RECEIVABLE_SEQ_GROWTH","FQ1 2017","FQ1 2017","Currency=INR","Period=FQ","BEST_FPERIOD_OVERRIDE=FQ","FILING_STATUS=OR","EQY_CONSOLIDATED=Y","Sort=A","Dates=H","DateFormat=P","Fill=—","Direction=H","UseDPDF=Y")</f>
        <v>#NAME?</v>
      </c>
      <c r="BM244" s="1" t="e">
        <f ca="1">_xll.BDH($C$228,"INVENTORY_SEQUENTIAL_GROWTH","FQ1 2017","FQ1 2017","Currency=INR","Period=FQ","BEST_FPERIOD_OVERRIDE=FQ","FILING_STATUS=OR","EQY_CONSOLIDATED=Y","Sort=A","Dates=H","DateFormat=P","Fill=—","Direction=H","UseDPDF=Y")</f>
        <v>#NAME?</v>
      </c>
      <c r="BN244" s="1" t="e">
        <f ca="1">_xll.BDH($C$228,"FIXED_ASSETS_SEQUENTIAL_GROWTH","FQ1 2017","FQ1 2017","Currency=INR","Period=FQ","BEST_FPERIOD_OVERRIDE=FQ","FILING_STATUS=OR","EQY_CONSOLIDATED=Y","Sort=A","Dates=H","DateFormat=P","Fill=—","Direction=H","UseDPDF=Y")</f>
        <v>#NAME?</v>
      </c>
      <c r="BO244" s="1" t="e">
        <f ca="1">_xll.BDH($C$228,"TOTAL_ASSETS_SEQUENTIAL_GROWTH","FQ1 2017","FQ1 2017","Currency=INR","Period=FQ","BEST_FPERIOD_OVERRIDE=FQ","FILING_STATUS=OR","EQY_CONSOLIDATED=Y","Sort=A","Dates=H","DateFormat=P","Fill=—","Direction=H","UseDPDF=Y")</f>
        <v>#NAME?</v>
      </c>
      <c r="BP244" s="1" t="e">
        <f ca="1">_xll.BDH($C$228,"MODIFIED_WORKING_CPTL_SEQ_GRWTH","FQ1 2017","FQ1 2017","Currency=INR","Period=FQ","BEST_FPERIOD_OVERRIDE=FQ","FILING_STATUS=OR","EQY_CONSOLIDATED=Y","Sort=A","Dates=H","DateFormat=P","Fill=—","Direction=H","UseDPDF=Y")</f>
        <v>#NAME?</v>
      </c>
      <c r="BQ244" s="1" t="e">
        <f ca="1">_xll.BDH($C$228,"WORKING_CAPITAL_SEQ_GROWTH","FQ1 2017","FQ1 2017","Currency=INR","Period=FQ","BEST_FPERIOD_OVERRIDE=FQ","FILING_STATUS=OR","EQY_CONSOLIDATED=Y","Sort=A","Dates=H","DateFormat=P","Fill=—","Direction=H","UseDPDF=Y")</f>
        <v>#NAME?</v>
      </c>
      <c r="BR244" s="1" t="e">
        <f ca="1">_xll.BDH($C$228,"ACCOUNTS_PAYABLE_SEQ_GROWTH","FQ1 2017","FQ1 2017","Currency=INR","Period=FQ","BEST_FPERIOD_OVERRIDE=FQ","FILING_STATUS=OR","EQY_CONSOLIDATED=Y","Sort=A","Dates=H","DateFormat=P","Fill=—","Direction=H","UseDPDF=Y")</f>
        <v>#NAME?</v>
      </c>
      <c r="BS244" s="1" t="e">
        <f ca="1">_xll.BDH($C$228,"ST_DEBT_SEQUENTIAL_GROWTH","FQ1 2017","FQ1 2017","Currency=INR","Period=FQ","BEST_FPERIOD_OVERRIDE=FQ","FILING_STATUS=OR","EQY_CONSOLIDATED=Y","Sort=A","Dates=H","DateFormat=P","Fill=—","Direction=H","UseDPDF=Y")</f>
        <v>#NAME?</v>
      </c>
      <c r="BT244" s="1" t="e">
        <f ca="1">_xll.BDH($C$228,"TOTAL_DEBT_SEQUENTIAL_GROWTH","FQ1 2017","FQ1 2017","Currency=INR","Period=FQ","BEST_FPERIOD_OVERRIDE=FQ","FILING_STATUS=OR","EQY_CONSOLIDATED=Y","Sort=A","Dates=H","DateFormat=P","Fill=—","Direction=H","UseDPDF=Y")</f>
        <v>#NAME?</v>
      </c>
      <c r="BU244" s="1" t="e">
        <f ca="1">_xll.BDH($C$228,"TOTAL_EQUITY_SEQUENTIAL_GROWTH","FQ1 2017","FQ1 2017","Currency=INR","Period=FQ","BEST_FPERIOD_OVERRIDE=FQ","FILING_STATUS=OR","EQY_CONSOLIDATED=Y","Sort=A","Dates=H","DateFormat=P","Fill=—","Direction=H","UseDPDF=Y")</f>
        <v>#NAME?</v>
      </c>
      <c r="BV244" s="1" t="e">
        <f ca="1">_xll.BDH($C$228,"TOTAL_CAPITAL_SEQUENTIAL_GROWTH","FQ1 2017","FQ1 2017","Currency=INR","Period=FQ","BEST_FPERIOD_OVERRIDE=FQ","FILING_STATUS=OR","EQY_CONSOLIDATED=Y","Sort=A","Dates=H","DateFormat=P","Fill=—","Direction=H","UseDPDF=Y")</f>
        <v>#NAME?</v>
      </c>
      <c r="BW244" s="1" t="e">
        <f ca="1">_xll.BDH($C$228,"BPS_SEQUENTIAL_GROWTH","FQ1 2017","FQ1 2017","Currency=INR","Period=FQ","BEST_FPERIOD_OVERRIDE=FQ","FILING_STATUS=OR","EQY_CONSOLIDATED=Y","Sort=A","Dates=H","DateFormat=P","Fill=—","Direction=H","UseDPDF=Y")</f>
        <v>#NAME?</v>
      </c>
      <c r="BX244" s="1" t="e">
        <f ca="1">_xll.BDH($C$228,"CFO_SEQUENTIAL_GROWTH","FQ1 2017","FQ1 2017","Currency=INR","Period=FQ","BEST_FPERIOD_OVERRIDE=FQ","FILING_STATUS=OR","EQY_CONSOLIDATED=Y","Sort=A","Dates=H","DateFormat=P","Fill=—","Direction=H","UseDPDF=Y")</f>
        <v>#NAME?</v>
      </c>
      <c r="BY244" s="2" t="e">
        <f ca="1">_xll.BDH($C$228,"SHORT_AND_LONG_TERM_DEBT","FQ1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44" s="2" t="e">
        <f ca="1">_xll.BDH($C$228,"BS_ST_BORROW","FQ1 2017","FQ1 2017","Currency=INR","Period=FQ","BEST_FPERIOD_OVERRIDE=FQ","FILING_STATUS=OR","EQY_CONSOLIDATED=Y","SCALING_FORMAT=MLN","Sort=A","Dates=H","DateFormat=P","Fill=—","Direction=H","UseDPDF=Y")</f>
        <v>#NAME?</v>
      </c>
      <c r="CA244" s="2" t="e">
        <f ca="1">_xll.BDH($C$228,"BS_LT_BORROW","FQ1 2017","FQ1 2017","Currency=INR","Period=FQ","BEST_FPERIOD_OVERRIDE=FQ","FILING_STATUS=OR","EQY_CONSOLIDATED=Y","SCALING_FORMAT=MLN","Sort=A","Dates=H","DateFormat=P","Fill=—","Direction=H","UseDPDF=Y")</f>
        <v>#NAME?</v>
      </c>
      <c r="CB244" s="1" t="e">
        <f ca="1">_xll.BDH($C$228,"TOT_DEBT_TO_EBITDA","FQ1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44" s="1" t="e">
        <f ca="1">_xll.BDH($C$228,"NET_DEBT_TO_EBITDA","FQ1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44" s="1" t="e">
        <f ca="1">_xll.BDH($C$228,"TOTAL_DEBT_TO_EBIT","FQ1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44" s="1" t="e">
        <f ca="1">_xll.BDH($C$228,"NET_DEBT_TO_EBIT","FQ1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244" s="1" t="e">
        <f ca="1">_xll.BDH($C$228,"EBITDA_TO_INTEREST_EXPN","FQ1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44" s="1" t="e">
        <f ca="1">_xll.BDH($C$228,"COM_EQY_TO_TOT_ASSET","FQ1 2017","FQ1 2017","Currency=INR","Period=FQ","BEST_FPERIOD_OVERRIDE=FQ","FILING_STATUS=OR","EQY_CONSOLIDATED=Y","Sort=A","Dates=H","DateFormat=P","Fill=—","Direction=H","UseDPDF=Y")</f>
        <v>#NAME?</v>
      </c>
      <c r="CH244" s="1" t="e">
        <f ca="1">_xll.BDH($C$228,"LT_DEBT_TO_TOT_EQY","FQ1 2017","FQ1 2017","Currency=INR","Period=FQ","BEST_FPERIOD_OVERRIDE=FQ","FILING_STATUS=OR","EQY_CONSOLIDATED=Y","Sort=A","Dates=H","DateFormat=P","Fill=—","Direction=H","UseDPDF=Y")</f>
        <v>#NAME?</v>
      </c>
      <c r="CI244" s="1" t="e">
        <f ca="1">_xll.BDH($C$228,"LT_DEBT_TO_TOT_CAP","FQ1 2017","FQ1 2017","Currency=INR","Period=FQ","BEST_FPERIOD_OVERRIDE=FQ","FILING_STATUS=OR","EQY_CONSOLIDATED=Y","Sort=A","Dates=H","DateFormat=P","Fill=—","Direction=H","UseDPDF=Y")</f>
        <v>#NAME?</v>
      </c>
      <c r="CJ244" s="1" t="e">
        <f ca="1">_xll.BDH($C$228,"LT_DEBT_TO_TOT_ASSET","FQ1 2017","FQ1 2017","Currency=INR","Period=FQ","BEST_FPERIOD_OVERRIDE=FQ","FILING_STATUS=OR","EQY_CONSOLIDATED=Y","Sort=A","Dates=H","DateFormat=P","Fill=—","Direction=H","UseDPDF=Y")</f>
        <v>#NAME?</v>
      </c>
      <c r="CK244" s="1" t="e">
        <f ca="1">_xll.BDH($C$228,"TOT_DEBT_TO_TOT_EQY","FQ1 2017","FQ1 2017","Currency=INR","Period=FQ","BEST_FPERIOD_OVERRIDE=FQ","FILING_STATUS=OR","EQY_CONSOLIDATED=Y","Sort=A","Dates=H","DateFormat=P","Fill=—","Direction=H","UseDPDF=Y")</f>
        <v>#NAME?</v>
      </c>
      <c r="CL244" s="1" t="e">
        <f ca="1">_xll.BDH($C$228,"TOT_DEBT_TO_TOT_CAP","FQ1 2017","FQ1 2017","Currency=INR","Period=FQ","BEST_FPERIOD_OVERRIDE=FQ","FILING_STATUS=OR","EQY_CONSOLIDATED=Y","Sort=A","Dates=H","DateFormat=P","Fill=—","Direction=H","UseDPDF=Y")</f>
        <v>#NAME?</v>
      </c>
      <c r="CM244" s="1" t="e">
        <f ca="1">_xll.BDH($C$228,"TOT_DEBT_TO_TOT_ASSET","FQ1 2017","FQ1 2017","Currency=INR","Period=FQ","BEST_FPERIOD_OVERRIDE=FQ","FILING_STATUS=OR","EQY_CONSOLIDATED=Y","Sort=A","Dates=H","DateFormat=P","Fill=—","Direction=H","UseDPDF=Y")</f>
        <v>#NAME?</v>
      </c>
      <c r="CN244" s="1" t="e">
        <f ca="1">_xll.BDH($C$228,"NET_DEBT_TO_SHRHLDR_EQTY","FQ1 2017","FQ1 2017","Currency=INR","Period=FQ","BEST_FPERIOD_OVERRIDE=FQ","FILING_STATUS=OR","EQY_CONSOLIDATED=Y","Sort=A","Dates=H","DateFormat=P","Fill=—","Direction=H","UseDPDF=Y")</f>
        <v>#NAME?</v>
      </c>
      <c r="CO244" s="1" t="e">
        <f ca="1">_xll.BDH($C$228,"NET_DEBT_%_CAPITAL","FQ1 2017","FQ1 2017","Currency=INR","Period=FQ","BEST_FPERIOD_OVERRIDE=FQ","FILING_STATUS=OR","EQY_CONSOLIDATED=Y","Sort=A","Dates=H","DateFormat=P","Fill=—","Direction=H","UseDPDF=Y")</f>
        <v>#NAME?</v>
      </c>
      <c r="CP244" s="2" t="e">
        <f ca="1">_xll.BDH($C$228,"EBITDA","FQ1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44" s="2" t="e">
        <f ca="1">_xll.BDH($C$228,"EBITDA_AFTER_CAPEX","FQ1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44" s="2" t="e">
        <f ca="1">_xll.BDH($C$228,"IS_OPER_INC","FQ1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44" s="1" t="e">
        <f ca="1">_xll.BDH($C$228,"CASH_RATIO","FQ1 2017","FQ1 2017","Currency=INR","Period=FQ","BEST_FPERIOD_OVERRIDE=FQ","FILING_STATUS=OR","EQY_CONSOLIDATED=Y","Sort=A","Dates=H","DateFormat=P","Fill=—","Direction=H","UseDPDF=Y")</f>
        <v>#NAME?</v>
      </c>
      <c r="CT244" s="1" t="e">
        <f ca="1">_xll.BDH($C$228,"CUR_RATIO","FQ1 2017","FQ1 2017","Currency=INR","Period=FQ","BEST_FPERIOD_OVERRIDE=FQ","FILING_STATUS=OR","EQY_CONSOLIDATED=Y","Sort=A","Dates=H","DateFormat=P","Fill=—","Direction=H","UseDPDF=Y")</f>
        <v>#NAME?</v>
      </c>
      <c r="CU244" s="1" t="e">
        <f ca="1">_xll.BDH($C$228,"QUICK_RATIO","FQ1 2017","FQ1 2017","Currency=INR","Period=FQ","BEST_FPERIOD_OVERRIDE=FQ","FILING_STATUS=OR","EQY_CONSOLIDATED=Y","Sort=A","Dates=H","DateFormat=P","Fill=—","Direction=H","UseDPDF=Y")</f>
        <v>#NAME?</v>
      </c>
      <c r="CV244" s="1" t="e">
        <f ca="1">_xll.BDH($C$228,"ALTMAN_Z_SCORE","FQ1 2017","FQ1 2017","Currency=INR","Period=FQ","BEST_FPERIOD_OVERRIDE=FQ","FILING_STATUS=OR","EQY_CONSOLIDATED=Y","Sort=A","Dates=H","DateFormat=P","Fill=—","Direction=H","UseDPDF=Y")</f>
        <v>#NAME?</v>
      </c>
      <c r="CW244" s="3" t="e">
        <f ca="1">_xll.BDH($C$228,"ACCT_RCV_TURN","FQ1 2017","FQ1 2017","Currency=INR","Period=FQ","BEST_FPERIOD_OVERRIDE=FQ","FILING_STATUS=OR","EQY_CONSOLIDATED=Y","FA_ADJUSTED=GAAP","Sort=A","Dates=H","DateFormat=P","Fill=—","Direction=H","UseDPDF=Y")</f>
        <v>#NAME?</v>
      </c>
      <c r="CX244" s="1" t="e">
        <f ca="1">_xll.BDH($C$228,"ACCT_RCV_DAYS","FQ1 2017","FQ1 2017","Currency=INR","Period=FQ","BEST_FPERIOD_OVERRIDE=FQ","FILING_STATUS=OR","EQY_CONSOLIDATED=Y","FA_ADJUSTED=GAAP","Sort=A","Dates=H","DateFormat=P","Fill=—","Direction=H","UseDPDF=Y")</f>
        <v>#NAME?</v>
      </c>
      <c r="CY244" s="3" t="e">
        <f ca="1">_xll.BDH($C$228,"INVENT_TURN","FQ1 2017","FQ1 2017","Currency=INR","Period=FQ","BEST_FPERIOD_OVERRIDE=FQ","FILING_STATUS=OR","EQY_CONSOLIDATED=Y","FA_ADJUSTED=GAAP","Sort=A","Dates=H","DateFormat=P","Fill=—","Direction=H","UseDPDF=Y")</f>
        <v>#NAME?</v>
      </c>
      <c r="CZ244" s="1" t="e">
        <f ca="1">_xll.BDH($C$228,"INVENT_DAYS","FQ1 2017","FQ1 2017","Currency=INR","Period=FQ","BEST_FPERIOD_OVERRIDE=FQ","FILING_STATUS=OR","EQY_CONSOLIDATED=Y","FA_ADJUSTED=GAAP","Sort=A","Dates=H","DateFormat=P","Fill=—","Direction=H","UseDPDF=Y")</f>
        <v>#NAME?</v>
      </c>
      <c r="DA244" s="3" t="e">
        <f ca="1">_xll.BDH($C$228,"ACCOUNTS_PAYABLE_TURNOVER","FQ1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44" s="1" t="e">
        <f ca="1">_xll.BDH($C$228,"ACCOUNTS_PAYABLE_TURNOVER_DAYS","FQ1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44" s="3" t="e">
        <f ca="1">_xll.BDH($C$228,"CASH_CONVERSION_CYCLE","FQ1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44" s="3" t="e">
        <f ca="1">_xll.BDH($C$228,"INV_TO_CASH_DAYS","FQ1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244" s="4" t="e">
        <f ca="1">_xll.BDH($C$228,"BS_INVENTORIES","FQ1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244" s="2" t="e">
        <f ca="1">_xll.BDH($C$228,"INVTRY_RAW_MATERIALS","FQ1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44" s="2" t="e">
        <f ca="1">_xll.BDH($C$228,"INVTRY_IN_PROGRESS","FQ1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44" s="2" t="e">
        <f ca="1">_xll.BDH($C$228,"INVTRY_FINISHED_GOODS","FQ1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44" s="2" t="e">
        <f ca="1">_xll.BDH($C$228,"BS_OTHER_INV","FQ1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45" spans="1:113" x14ac:dyDescent="0.3">
      <c r="A245" s="6"/>
      <c r="B245" s="6"/>
      <c r="C245" s="6"/>
      <c r="D245" s="6"/>
      <c r="E245" t="s">
        <v>5</v>
      </c>
      <c r="F245" t="e">
        <f ca="1">_xll.BDH($C$228,"RETURN_COM_EQY","FQ2 2017","FQ2 2017","Currency=INR","Period=FQ","BEST_FPERIOD_OVERRIDE=FQ","FILING_STATUS=OR","EQY_CONSOLIDATED=Y","FA_ADJUSTED=GAAP","Sort=A","Dates=H","DateFormat=P","Fill=—","Direction=H","UseDPDF=Y")</f>
        <v>#NAME?</v>
      </c>
      <c r="G245" t="e">
        <f ca="1">_xll.BDH($C$228,"RETURN_ON_ASSET","FQ2 2017","FQ2 2017","Currency=INR","Period=FQ","BEST_FPERIOD_OVERRIDE=FQ","FILING_STATUS=OR","EQY_CONSOLIDATED=Y","FA_ADJUSTED=GAAP","Sort=A","Dates=H","DateFormat=P","Fill=—","Direction=H","UseDPDF=Y")</f>
        <v>#NAME?</v>
      </c>
      <c r="H245" t="e">
        <f ca="1">_xll.BDH($C$228,"RETURN_ON_CAP","FQ2 2017","FQ2 2017","Currency=INR","Period=FQ","BEST_FPERIOD_OVERRIDE=FQ","FILING_STATUS=OR","EQY_CONSOLIDATED=Y","FA_ADJUSTED=GAAP","Sort=A","Dates=H","DateFormat=P","Fill=—","Direction=H","UseDPDF=Y")</f>
        <v>#NAME?</v>
      </c>
      <c r="I245" t="e">
        <f ca="1">_xll.BDH($C$228,"RETURN_ON_INV_CAPITAL","FQ2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45" t="e">
        <f ca="1">_xll.BDH($C$228,"EBITDA_TO_REVENUE","FQ2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245" t="e">
        <f ca="1">_xll.BDH($C$228,"OPER_MARGIN","FQ2 2017","FQ2 2017","Currency=INR","Period=FQ","BEST_FPERIOD_OVERRIDE=FQ","FILING_STATUS=OR","EQY_CONSOLIDATED=Y","FA_ADJUSTED=GAAP","Sort=A","Dates=H","DateFormat=P","Fill=—","Direction=H","UseDPDF=Y")</f>
        <v>#NAME?</v>
      </c>
      <c r="L245" t="e">
        <f ca="1">_xll.BDH($C$228,"INCREMENTAL_OPERATING_MARGIN","FQ2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45" t="e">
        <f ca="1">_xll.BDH($C$228,"PRETAX_INC_TO_NET_SALES","FQ2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45" t="e">
        <f ca="1">_xll.BDH($C$228,"INC_BEF_XO_ITEMS_TO_NET_SALES","FQ2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45" t="e">
        <f ca="1">_xll.BDH($C$228,"PROF_MARGIN","FQ2 2017","FQ2 2017","Currency=INR","Period=FQ","BEST_FPERIOD_OVERRIDE=FQ","FILING_STATUS=OR","EQY_CONSOLIDATED=Y","FA_ADJUSTED=GAAP","Sort=A","Dates=H","DateFormat=P","Fill=—","Direction=H","UseDPDF=Y")</f>
        <v>#NAME?</v>
      </c>
      <c r="P245" t="e">
        <f ca="1">_xll.BDH($C$228,"NET_INCOME_TO_COMMON_MARGIN","FQ2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45" t="e">
        <f ca="1">_xll.BDH($C$228,"EFF_TAX_RATE","FQ2 2017","FQ2 2017","Currency=INR","Period=FQ","BEST_FPERIOD_OVERRIDE=FQ","FILING_STATUS=OR","EQY_CONSOLIDATED=Y","FA_ADJUSTED=GAAP","Sort=A","Dates=H","DateFormat=P","Fill=—","Direction=H","UseDPDF=Y")</f>
        <v>#NAME?</v>
      </c>
      <c r="R245" t="e">
        <f ca="1">_xll.BDH($C$228,"DVD_PAYOUT_RATIO","FQ2 2017","FQ2 2017","Currency=INR","Period=FQ","BEST_FPERIOD_OVERRIDE=FQ","FILING_STATUS=OR","EQY_CONSOLIDATED=Y","FA_ADJUSTED=GAAP","Sort=A","Dates=H","DateFormat=P","Fill=—","Direction=H","UseDPDF=Y")</f>
        <v>#NAME?</v>
      </c>
      <c r="S245" t="e">
        <f ca="1">_xll.BDH($C$228,"SUSTAIN_GROWTH_RT","FQ2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245" s="1" t="e">
        <f ca="1">_xll.BDH($C$228,"SALES_GROWTH","FQ2 2017","FQ2 2017","Currency=INR","Period=FQ","BEST_FPERIOD_OVERRIDE=FQ","FILING_STATUS=OR","EQY_CONSOLIDATED=Y","FA_ADJUSTED=GAAP","Sort=A","Dates=H","DateFormat=P","Fill=—","Direction=H","UseDPDF=Y")</f>
        <v>#NAME?</v>
      </c>
      <c r="U245" s="1" t="e">
        <f ca="1">_xll.BDH($C$228,"EBITDA_GROWTH","FQ2 2017","FQ2 2017","Currency=INR","Period=FQ","BEST_FPERIOD_OVERRIDE=FQ","FILING_STATUS=OR","EQY_CONSOLIDATED=Y","FA_ADJUSTED=GAAP","Sort=A","Dates=H","DateFormat=P","Fill=—","Direction=H","UseDPDF=Y")</f>
        <v>#NAME?</v>
      </c>
      <c r="V245" s="1" t="e">
        <f ca="1">_xll.BDH($C$228,"OPER_INC_GROWTH","FQ2 2017","FQ2 2017","Currency=INR","Period=FQ","BEST_FPERIOD_OVERRIDE=FQ","FILING_STATUS=OR","EQY_CONSOLIDATED=Y","FA_ADJUSTED=GAAP","Sort=A","Dates=H","DateFormat=P","Fill=—","Direction=H","UseDPDF=Y")</f>
        <v>#NAME?</v>
      </c>
      <c r="W245" s="1" t="e">
        <f ca="1">_xll.BDH($C$228,"EARN_FOR_COM_GROWTH","FQ2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45" s="1" t="e">
        <f ca="1">_xll.BDH($C$228,"DILUTED_EPS_AFT_XO_ITEMS_GROWTH","FQ2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45" s="1" t="e">
        <f ca="1">_xll.BDH($C$228,"DIVIDEND_PER_SHARE_1_YEAR_GROWTH","FQ2 2017","FQ2 2017","Currency=INR","Period=FQ","BEST_FPERIOD_OVERRIDE=FQ","FILING_STATUS=OR","EQY_CONSOLIDATED=Y","Sort=A","Dates=H","DateFormat=P","Fill=—","Direction=H","UseDPDF=Y")</f>
        <v>#NAME?</v>
      </c>
      <c r="Z245" s="1" t="e">
        <f ca="1">_xll.BDH($C$228,"ACCOUNTS_RECEIVABLE_GROWTH","FQ2 2017","FQ2 2017","Currency=INR","Period=FQ","BEST_FPERIOD_OVERRIDE=FQ","FILING_STATUS=OR","EQY_CONSOLIDATED=Y","Sort=A","Dates=H","DateFormat=P","Fill=—","Direction=H","UseDPDF=Y")</f>
        <v>#NAME?</v>
      </c>
      <c r="AA245" s="1" t="e">
        <f ca="1">_xll.BDH($C$228,"INVENTORY_GROWTH","FQ2 2017","FQ2 2017","Currency=INR","Period=FQ","BEST_FPERIOD_OVERRIDE=FQ","FILING_STATUS=OR","EQY_CONSOLIDATED=Y","Sort=A","Dates=H","DateFormat=P","Fill=—","Direction=H","UseDPDF=Y")</f>
        <v>#NAME?</v>
      </c>
      <c r="AB245" s="1" t="e">
        <f ca="1">_xll.BDH($C$228,"NET_FIXED_ASSETS_1_YEAR_GROWTH","FQ2 2017","FQ2 2017","Currency=INR","Period=FQ","BEST_FPERIOD_OVERRIDE=FQ","FILING_STATUS=OR","EQY_CONSOLIDATED=Y","Sort=A","Dates=H","DateFormat=P","Fill=—","Direction=H","UseDPDF=Y")</f>
        <v>#NAME?</v>
      </c>
      <c r="AC245" s="1" t="e">
        <f ca="1">_xll.BDH($C$228,"ASSET_GROWTH","FQ2 2017","FQ2 2017","Currency=INR","Period=FQ","BEST_FPERIOD_OVERRIDE=FQ","FILING_STATUS=OR","EQY_CONSOLIDATED=Y","Sort=A","Dates=H","DateFormat=P","Fill=—","Direction=H","UseDPDF=Y")</f>
        <v>#NAME?</v>
      </c>
      <c r="AD245" s="1" t="e">
        <f ca="1">_xll.BDH($C$228,"MODIFIED_WORK_CAP_GROWTH","FQ2 2017","FQ2 2017","Currency=INR","Period=FQ","BEST_FPERIOD_OVERRIDE=FQ","FILING_STATUS=OR","EQY_CONSOLIDATED=Y","Sort=A","Dates=H","DateFormat=P","Fill=—","Direction=H","UseDPDF=Y")</f>
        <v>#NAME?</v>
      </c>
      <c r="AE245" s="1" t="e">
        <f ca="1">_xll.BDH($C$228,"WORK_CAP_GROWTH","FQ2 2017","FQ2 2017","Currency=INR","Period=FQ","BEST_FPERIOD_OVERRIDE=FQ","FILING_STATUS=OR","EQY_CONSOLIDATED=Y","Sort=A","Dates=H","DateFormat=P","Fill=—","Direction=H","UseDPDF=Y")</f>
        <v>#NAME?</v>
      </c>
      <c r="AF245" s="1" t="e">
        <f ca="1">_xll.BDH($C$228,"ACCOUNTS_PAYABLE_GROWTH_1YR","FQ2 2017","FQ2 2017","Currency=INR","Period=FQ","BEST_FPERIOD_OVERRIDE=FQ","FILING_STATUS=OR","EQY_CONSOLIDATED=Y","Sort=A","Dates=H","DateFormat=P","Fill=—","Direction=H","UseDPDF=Y")</f>
        <v>#NAME?</v>
      </c>
      <c r="AG245" s="1" t="e">
        <f ca="1">_xll.BDH($C$228,"SHORT_TERM_DEBT_1_YEAR_GROWTH","FQ2 2017","FQ2 2017","Currency=INR","Period=FQ","BEST_FPERIOD_OVERRIDE=FQ","FILING_STATUS=OR","EQY_CONSOLIDATED=Y","Sort=A","Dates=H","DateFormat=P","Fill=—","Direction=H","UseDPDF=Y")</f>
        <v>#NAME?</v>
      </c>
      <c r="AH245" s="1" t="e">
        <f ca="1">_xll.BDH($C$228,"TOTAL_DEBT_1_YEAR_GROWTH","FQ2 2017","FQ2 2017","Currency=INR","Period=FQ","BEST_FPERIOD_OVERRIDE=FQ","FILING_STATUS=OR","EQY_CONSOLIDATED=Y","Sort=A","Dates=H","DateFormat=P","Fill=—","Direction=H","UseDPDF=Y")</f>
        <v>#NAME?</v>
      </c>
      <c r="AI245" s="1" t="e">
        <f ca="1">_xll.BDH($C$228,"TOTAL_EQUITY_1_YEAR_GROWTH","FQ2 2017","FQ2 2017","Currency=INR","Period=FQ","BEST_FPERIOD_OVERRIDE=FQ","FILING_STATUS=OR","EQY_CONSOLIDATED=Y","Sort=A","Dates=H","DateFormat=P","Fill=—","Direction=H","UseDPDF=Y")</f>
        <v>#NAME?</v>
      </c>
      <c r="AJ245" s="1" t="e">
        <f ca="1">_xll.BDH($C$228,"GROWTH_IN_CAP","FQ2 2017","FQ2 2017","Currency=INR","Period=FQ","BEST_FPERIOD_OVERRIDE=FQ","FILING_STATUS=OR","EQY_CONSOLIDATED=Y","Sort=A","Dates=H","DateFormat=P","Fill=—","Direction=H","UseDPDF=Y")</f>
        <v>#NAME?</v>
      </c>
      <c r="AK245" s="1" t="e">
        <f ca="1">_xll.BDH($C$228,"BVPS_GROWTH","FQ2 2017","FQ2 2017","Currency=INR","Period=FQ","BEST_FPERIOD_OVERRIDE=FQ","FILING_STATUS=OR","EQY_CONSOLIDATED=Y","Sort=A","Dates=H","DateFormat=P","Fill=—","Direction=H","UseDPDF=Y")</f>
        <v>#NAME?</v>
      </c>
      <c r="AL245" s="1" t="e">
        <f ca="1">_xll.BDH($C$228,"CASH_FLOW_GROWTH","FQ2 2017","FQ2 2017","Currency=INR","Period=FQ","BEST_FPERIOD_OVERRIDE=FQ","FILING_STATUS=OR","EQY_CONSOLIDATED=Y","Sort=A","Dates=H","DateFormat=P","Fill=—","Direction=H","UseDPDF=Y")</f>
        <v>#NAME?</v>
      </c>
      <c r="AM245" s="1" t="e">
        <f ca="1">_xll.BDH($C$228,"GEO_GROW_NET_SALES","FQ2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45" s="1" t="e">
        <f ca="1">_xll.BDH($C$228,"GEO_GROW_EBITDA","FQ2 2017","FQ2 2017","Currency=INR","Period=FQ","BEST_FPERIOD_OVERRIDE=FQ","FILING_STATUS=OR","EQY_CONSOLIDATED=Y","FA_ADJUSTED=GAAP","Sort=A","Dates=H","DateFormat=P","Fill=—","Direction=H","UseDPDF=Y")</f>
        <v>#NAME?</v>
      </c>
      <c r="AO245" s="1" t="e">
        <f ca="1">_xll.BDH($C$228,"GEO_GROW_OPER_INC","FQ2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45" s="1" t="e">
        <f ca="1">_xll.BDH($C$228,"NET_INCOME_TO_COMMON_5_YR_GROWTH","FQ2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45" s="1" t="e">
        <f ca="1">_xll.BDH($C$228,"5Y_GEO_GROWTH_DILUTED_EPS","FQ2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45" s="1" t="e">
        <f ca="1">_xll.BDH($C$228,"GEO_GROW_DVD_PER_SH","FQ2 2017","FQ2 2017","Currency=INR","Period=FQ","BEST_FPERIOD_OVERRIDE=FQ","FILING_STATUS=OR","EQY_CONSOLIDATED=Y","Sort=A","Dates=H","DateFormat=P","Fill=—","Direction=H","UseDPDF=Y")</f>
        <v>#NAME?</v>
      </c>
      <c r="AS245" s="1" t="e">
        <f ca="1">_xll.BDH($C$228,"ACCOUNTS_RECEIVABLE_5_YR_GROWTH","FQ2 2017","FQ2 2017","Currency=INR","Period=FQ","BEST_FPERIOD_OVERRIDE=FQ","FILING_STATUS=OR","EQY_CONSOLIDATED=Y","Sort=A","Dates=H","DateFormat=P","Fill=—","Direction=H","UseDPDF=Y")</f>
        <v>#NAME?</v>
      </c>
      <c r="AT245" s="1" t="e">
        <f ca="1">_xll.BDH($C$228,"INVENTORY_5_YEAR_GROWTH","FQ2 2017","FQ2 2017","Currency=INR","Period=FQ","BEST_FPERIOD_OVERRIDE=FQ","FILING_STATUS=OR","EQY_CONSOLIDATED=Y","Sort=A","Dates=H","DateFormat=P","Fill=—","Direction=H","UseDPDF=Y")</f>
        <v>#NAME?</v>
      </c>
      <c r="AU245" s="1" t="e">
        <f ca="1">_xll.BDH($C$228,"NET_FIXED_ASSETS_5_YEAR_GROWTH","FQ2 2017","FQ2 2017","Currency=INR","Period=FQ","BEST_FPERIOD_OVERRIDE=FQ","FILING_STATUS=OR","EQY_CONSOLIDATED=Y","Sort=A","Dates=H","DateFormat=P","Fill=—","Direction=H","UseDPDF=Y")</f>
        <v>#NAME?</v>
      </c>
      <c r="AV245" s="1" t="e">
        <f ca="1">_xll.BDH($C$228,"GEO_GROW_TOT_ASSET","FQ2 2017","FQ2 2017","Currency=INR","Period=FQ","BEST_FPERIOD_OVERRIDE=FQ","FILING_STATUS=OR","EQY_CONSOLIDATED=Y","Sort=A","Dates=H","DateFormat=P","Fill=—","Direction=H","UseDPDF=Y")</f>
        <v>#NAME?</v>
      </c>
      <c r="AW245" s="1" t="e">
        <f ca="1">_xll.BDH($C$228,"MODIFIED_WORKING_CPTL_5YR_GRWTH","FQ2 2017","FQ2 2017","Currency=INR","Period=FQ","BEST_FPERIOD_OVERRIDE=FQ","FILING_STATUS=OR","EQY_CONSOLIDATED=Y","Sort=A","Dates=H","DateFormat=P","Fill=—","Direction=H","UseDPDF=Y")</f>
        <v>#NAME?</v>
      </c>
      <c r="AX245" s="1" t="e">
        <f ca="1">_xll.BDH($C$228,"WORKING_CAPITAL_5_YEAR_GROWTH","FQ2 2017","FQ2 2017","Currency=INR","Period=FQ","BEST_FPERIOD_OVERRIDE=FQ","FILING_STATUS=OR","EQY_CONSOLIDATED=Y","Sort=A","Dates=H","DateFormat=P","Fill=—","Direction=H","UseDPDF=Y")</f>
        <v>#NAME?</v>
      </c>
      <c r="AY245" s="1" t="e">
        <f ca="1">_xll.BDH($C$228,"ACCOUNTS_PAYABLE_5_YEAR_GROWTH","FQ2 2017","FQ2 2017","Currency=INR","Period=FQ","BEST_FPERIOD_OVERRIDE=FQ","FILING_STATUS=OR","EQY_CONSOLIDATED=Y","Sort=A","Dates=H","DateFormat=P","Fill=—","Direction=H","UseDPDF=Y")</f>
        <v>#NAME?</v>
      </c>
      <c r="AZ245" s="1" t="e">
        <f ca="1">_xll.BDH($C$228,"SHORT_TERM_DEBT_5_YEAR_GROWTH","FQ2 2017","FQ2 2017","Currency=INR","Period=FQ","BEST_FPERIOD_OVERRIDE=FQ","FILING_STATUS=OR","EQY_CONSOLIDATED=Y","Sort=A","Dates=H","DateFormat=P","Fill=—","Direction=H","UseDPDF=Y")</f>
        <v>#NAME?</v>
      </c>
      <c r="BA245" s="1" t="e">
        <f ca="1">_xll.BDH($C$228,"TOTAL_DEBT_5_YEAR_GROWTH","FQ2 2017","FQ2 2017","Currency=INR","Period=FQ","BEST_FPERIOD_OVERRIDE=FQ","FILING_STATUS=OR","EQY_CONSOLIDATED=Y","Sort=A","Dates=H","DateFormat=P","Fill=—","Direction=H","UseDPDF=Y")</f>
        <v>#NAME?</v>
      </c>
      <c r="BB245" s="1" t="e">
        <f ca="1">_xll.BDH($C$228,"GEO_GROW_TOT_SHRHLDR_EQY","FQ2 2017","FQ2 2017","Currency=INR","Period=FQ","BEST_FPERIOD_OVERRIDE=FQ","FILING_STATUS=OR","EQY_CONSOLIDATED=Y","Sort=A","Dates=H","DateFormat=P","Fill=—","Direction=H","UseDPDF=Y")</f>
        <v>#NAME?</v>
      </c>
      <c r="BC245" s="1" t="e">
        <f ca="1">_xll.BDH($C$228,"TOTAL_CAPITAL_5_YEAR_GROWTH","FQ2 2017","FQ2 2017","Currency=INR","Period=FQ","BEST_FPERIOD_OVERRIDE=FQ","FILING_STATUS=OR","EQY_CONSOLIDATED=Y","Sort=A","Dates=H","DateFormat=P","Fill=—","Direction=H","UseDPDF=Y")</f>
        <v>#NAME?</v>
      </c>
      <c r="BD245" s="1" t="e">
        <f ca="1">_xll.BDH($C$228,"GEO_GROW_BOOK_VAL","FQ2 2017","FQ2 2017","Currency=INR","Period=FQ","BEST_FPERIOD_OVERRIDE=FQ","FILING_STATUS=OR","EQY_CONSOLIDATED=Y","Sort=A","Dates=H","DateFormat=P","Fill=—","Direction=H","UseDPDF=Y")</f>
        <v>#NAME?</v>
      </c>
      <c r="BE245" s="1" t="e">
        <f ca="1">_xll.BDH($C$228,"GEO_GROW_CASH_OPER_ACT","FQ2 2017","FQ2 2017","Currency=INR","Period=FQ","BEST_FPERIOD_OVERRIDE=FQ","FILING_STATUS=OR","EQY_CONSOLIDATED=Y","Sort=A","Dates=H","DateFormat=P","Fill=—","Direction=H","UseDPDF=Y")</f>
        <v>#NAME?</v>
      </c>
      <c r="BF245" s="1" t="e">
        <f ca="1">_xll.BDH($C$228,"REVENUE_SEQUENTIAL_GROWTH","FQ2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45" s="1" t="e">
        <f ca="1">_xll.BDH($C$228,"EBITDA_SEQUENTIAL_GROWTH","FQ2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45" s="1" t="e">
        <f ca="1">_xll.BDH($C$228,"OPERATING_INCOME_SEQ_GROWTH","FQ2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45" s="1" t="e">
        <f ca="1">_xll.BDH($C$228,"NET_INCOME_TO_COMMON_SEQ_GROWTH","FQ2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45" s="1" t="e">
        <f ca="1">_xll.BDH($C$228,"EPS_DILUTED_SEQUENTIAL_GROWTH","FQ2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45" s="1" t="e">
        <f ca="1">_xll.BDH($C$228,"DPS_SEQUENTIAL_GROWTH","FQ2 2017","FQ2 2017","Currency=INR","Period=FQ","BEST_FPERIOD_OVERRIDE=FQ","FILING_STATUS=OR","EQY_CONSOLIDATED=Y","Sort=A","Dates=H","DateFormat=P","Fill=—","Direction=H","UseDPDF=Y")</f>
        <v>#NAME?</v>
      </c>
      <c r="BL245" s="1" t="e">
        <f ca="1">_xll.BDH($C$228,"ACCOUNTS_RECEIVABLE_SEQ_GROWTH","FQ2 2017","FQ2 2017","Currency=INR","Period=FQ","BEST_FPERIOD_OVERRIDE=FQ","FILING_STATUS=OR","EQY_CONSOLIDATED=Y","Sort=A","Dates=H","DateFormat=P","Fill=—","Direction=H","UseDPDF=Y")</f>
        <v>#NAME?</v>
      </c>
      <c r="BM245" s="1" t="e">
        <f ca="1">_xll.BDH($C$228,"INVENTORY_SEQUENTIAL_GROWTH","FQ2 2017","FQ2 2017","Currency=INR","Period=FQ","BEST_FPERIOD_OVERRIDE=FQ","FILING_STATUS=OR","EQY_CONSOLIDATED=Y","Sort=A","Dates=H","DateFormat=P","Fill=—","Direction=H","UseDPDF=Y")</f>
        <v>#NAME?</v>
      </c>
      <c r="BN245" s="1" t="e">
        <f ca="1">_xll.BDH($C$228,"FIXED_ASSETS_SEQUENTIAL_GROWTH","FQ2 2017","FQ2 2017","Currency=INR","Period=FQ","BEST_FPERIOD_OVERRIDE=FQ","FILING_STATUS=OR","EQY_CONSOLIDATED=Y","Sort=A","Dates=H","DateFormat=P","Fill=—","Direction=H","UseDPDF=Y")</f>
        <v>#NAME?</v>
      </c>
      <c r="BO245" s="1" t="e">
        <f ca="1">_xll.BDH($C$228,"TOTAL_ASSETS_SEQUENTIAL_GROWTH","FQ2 2017","FQ2 2017","Currency=INR","Period=FQ","BEST_FPERIOD_OVERRIDE=FQ","FILING_STATUS=OR","EQY_CONSOLIDATED=Y","Sort=A","Dates=H","DateFormat=P","Fill=—","Direction=H","UseDPDF=Y")</f>
        <v>#NAME?</v>
      </c>
      <c r="BP245" s="1" t="e">
        <f ca="1">_xll.BDH($C$228,"MODIFIED_WORKING_CPTL_SEQ_GRWTH","FQ2 2017","FQ2 2017","Currency=INR","Period=FQ","BEST_FPERIOD_OVERRIDE=FQ","FILING_STATUS=OR","EQY_CONSOLIDATED=Y","Sort=A","Dates=H","DateFormat=P","Fill=—","Direction=H","UseDPDF=Y")</f>
        <v>#NAME?</v>
      </c>
      <c r="BQ245" s="1" t="e">
        <f ca="1">_xll.BDH($C$228,"WORKING_CAPITAL_SEQ_GROWTH","FQ2 2017","FQ2 2017","Currency=INR","Period=FQ","BEST_FPERIOD_OVERRIDE=FQ","FILING_STATUS=OR","EQY_CONSOLIDATED=Y","Sort=A","Dates=H","DateFormat=P","Fill=—","Direction=H","UseDPDF=Y")</f>
        <v>#NAME?</v>
      </c>
      <c r="BR245" s="1" t="e">
        <f ca="1">_xll.BDH($C$228,"ACCOUNTS_PAYABLE_SEQ_GROWTH","FQ2 2017","FQ2 2017","Currency=INR","Period=FQ","BEST_FPERIOD_OVERRIDE=FQ","FILING_STATUS=OR","EQY_CONSOLIDATED=Y","Sort=A","Dates=H","DateFormat=P","Fill=—","Direction=H","UseDPDF=Y")</f>
        <v>#NAME?</v>
      </c>
      <c r="BS245" s="1" t="e">
        <f ca="1">_xll.BDH($C$228,"ST_DEBT_SEQUENTIAL_GROWTH","FQ2 2017","FQ2 2017","Currency=INR","Period=FQ","BEST_FPERIOD_OVERRIDE=FQ","FILING_STATUS=OR","EQY_CONSOLIDATED=Y","Sort=A","Dates=H","DateFormat=P","Fill=—","Direction=H","UseDPDF=Y")</f>
        <v>#NAME?</v>
      </c>
      <c r="BT245" s="1" t="e">
        <f ca="1">_xll.BDH($C$228,"TOTAL_DEBT_SEQUENTIAL_GROWTH","FQ2 2017","FQ2 2017","Currency=INR","Period=FQ","BEST_FPERIOD_OVERRIDE=FQ","FILING_STATUS=OR","EQY_CONSOLIDATED=Y","Sort=A","Dates=H","DateFormat=P","Fill=—","Direction=H","UseDPDF=Y")</f>
        <v>#NAME?</v>
      </c>
      <c r="BU245" s="1" t="e">
        <f ca="1">_xll.BDH($C$228,"TOTAL_EQUITY_SEQUENTIAL_GROWTH","FQ2 2017","FQ2 2017","Currency=INR","Period=FQ","BEST_FPERIOD_OVERRIDE=FQ","FILING_STATUS=OR","EQY_CONSOLIDATED=Y","Sort=A","Dates=H","DateFormat=P","Fill=—","Direction=H","UseDPDF=Y")</f>
        <v>#NAME?</v>
      </c>
      <c r="BV245" s="1" t="e">
        <f ca="1">_xll.BDH($C$228,"TOTAL_CAPITAL_SEQUENTIAL_GROWTH","FQ2 2017","FQ2 2017","Currency=INR","Period=FQ","BEST_FPERIOD_OVERRIDE=FQ","FILING_STATUS=OR","EQY_CONSOLIDATED=Y","Sort=A","Dates=H","DateFormat=P","Fill=—","Direction=H","UseDPDF=Y")</f>
        <v>#NAME?</v>
      </c>
      <c r="BW245" s="1" t="e">
        <f ca="1">_xll.BDH($C$228,"BPS_SEQUENTIAL_GROWTH","FQ2 2017","FQ2 2017","Currency=INR","Period=FQ","BEST_FPERIOD_OVERRIDE=FQ","FILING_STATUS=OR","EQY_CONSOLIDATED=Y","Sort=A","Dates=H","DateFormat=P","Fill=—","Direction=H","UseDPDF=Y")</f>
        <v>#NAME?</v>
      </c>
      <c r="BX245" s="1" t="e">
        <f ca="1">_xll.BDH($C$228,"CFO_SEQUENTIAL_GROWTH","FQ2 2017","FQ2 2017","Currency=INR","Period=FQ","BEST_FPERIOD_OVERRIDE=FQ","FILING_STATUS=OR","EQY_CONSOLIDATED=Y","Sort=A","Dates=H","DateFormat=P","Fill=—","Direction=H","UseDPDF=Y")</f>
        <v>#NAME?</v>
      </c>
      <c r="BY245" s="2" t="e">
        <f ca="1">_xll.BDH($C$228,"SHORT_AND_LONG_TERM_DEBT","FQ2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45" s="2" t="e">
        <f ca="1">_xll.BDH($C$228,"BS_ST_BORROW","FQ2 2017","FQ2 2017","Currency=INR","Period=FQ","BEST_FPERIOD_OVERRIDE=FQ","FILING_STATUS=OR","EQY_CONSOLIDATED=Y","SCALING_FORMAT=MLN","Sort=A","Dates=H","DateFormat=P","Fill=—","Direction=H","UseDPDF=Y")</f>
        <v>#NAME?</v>
      </c>
      <c r="CA245" s="2" t="e">
        <f ca="1">_xll.BDH($C$228,"BS_LT_BORROW","FQ2 2017","FQ2 2017","Currency=INR","Period=FQ","BEST_FPERIOD_OVERRIDE=FQ","FILING_STATUS=OR","EQY_CONSOLIDATED=Y","SCALING_FORMAT=MLN","Sort=A","Dates=H","DateFormat=P","Fill=—","Direction=H","UseDPDF=Y")</f>
        <v>#NAME?</v>
      </c>
      <c r="CB245" s="1" t="e">
        <f ca="1">_xll.BDH($C$228,"TOT_DEBT_TO_EBITDA","FQ2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45" s="1" t="e">
        <f ca="1">_xll.BDH($C$228,"NET_DEBT_TO_EBITDA","FQ2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45" s="1" t="e">
        <f ca="1">_xll.BDH($C$228,"TOTAL_DEBT_TO_EBIT","FQ2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45" s="1" t="e">
        <f ca="1">_xll.BDH($C$228,"NET_DEBT_TO_EBIT","FQ2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245" s="1" t="e">
        <f ca="1">_xll.BDH($C$228,"EBITDA_TO_INTEREST_EXPN","FQ2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45" s="1" t="e">
        <f ca="1">_xll.BDH($C$228,"COM_EQY_TO_TOT_ASSET","FQ2 2017","FQ2 2017","Currency=INR","Period=FQ","BEST_FPERIOD_OVERRIDE=FQ","FILING_STATUS=OR","EQY_CONSOLIDATED=Y","Sort=A","Dates=H","DateFormat=P","Fill=—","Direction=H","UseDPDF=Y")</f>
        <v>#NAME?</v>
      </c>
      <c r="CH245" s="1" t="e">
        <f ca="1">_xll.BDH($C$228,"LT_DEBT_TO_TOT_EQY","FQ2 2017","FQ2 2017","Currency=INR","Period=FQ","BEST_FPERIOD_OVERRIDE=FQ","FILING_STATUS=OR","EQY_CONSOLIDATED=Y","Sort=A","Dates=H","DateFormat=P","Fill=—","Direction=H","UseDPDF=Y")</f>
        <v>#NAME?</v>
      </c>
      <c r="CI245" s="1" t="e">
        <f ca="1">_xll.BDH($C$228,"LT_DEBT_TO_TOT_CAP","FQ2 2017","FQ2 2017","Currency=INR","Period=FQ","BEST_FPERIOD_OVERRIDE=FQ","FILING_STATUS=OR","EQY_CONSOLIDATED=Y","Sort=A","Dates=H","DateFormat=P","Fill=—","Direction=H","UseDPDF=Y")</f>
        <v>#NAME?</v>
      </c>
      <c r="CJ245" s="1" t="e">
        <f ca="1">_xll.BDH($C$228,"LT_DEBT_TO_TOT_ASSET","FQ2 2017","FQ2 2017","Currency=INR","Period=FQ","BEST_FPERIOD_OVERRIDE=FQ","FILING_STATUS=OR","EQY_CONSOLIDATED=Y","Sort=A","Dates=H","DateFormat=P","Fill=—","Direction=H","UseDPDF=Y")</f>
        <v>#NAME?</v>
      </c>
      <c r="CK245" s="1" t="e">
        <f ca="1">_xll.BDH($C$228,"TOT_DEBT_TO_TOT_EQY","FQ2 2017","FQ2 2017","Currency=INR","Period=FQ","BEST_FPERIOD_OVERRIDE=FQ","FILING_STATUS=OR","EQY_CONSOLIDATED=Y","Sort=A","Dates=H","DateFormat=P","Fill=—","Direction=H","UseDPDF=Y")</f>
        <v>#NAME?</v>
      </c>
      <c r="CL245" s="1" t="e">
        <f ca="1">_xll.BDH($C$228,"TOT_DEBT_TO_TOT_CAP","FQ2 2017","FQ2 2017","Currency=INR","Period=FQ","BEST_FPERIOD_OVERRIDE=FQ","FILING_STATUS=OR","EQY_CONSOLIDATED=Y","Sort=A","Dates=H","DateFormat=P","Fill=—","Direction=H","UseDPDF=Y")</f>
        <v>#NAME?</v>
      </c>
      <c r="CM245" s="1" t="e">
        <f ca="1">_xll.BDH($C$228,"TOT_DEBT_TO_TOT_ASSET","FQ2 2017","FQ2 2017","Currency=INR","Period=FQ","BEST_FPERIOD_OVERRIDE=FQ","FILING_STATUS=OR","EQY_CONSOLIDATED=Y","Sort=A","Dates=H","DateFormat=P","Fill=—","Direction=H","UseDPDF=Y")</f>
        <v>#NAME?</v>
      </c>
      <c r="CN245" s="1" t="e">
        <f ca="1">_xll.BDH($C$228,"NET_DEBT_TO_SHRHLDR_EQTY","FQ2 2017","FQ2 2017","Currency=INR","Period=FQ","BEST_FPERIOD_OVERRIDE=FQ","FILING_STATUS=OR","EQY_CONSOLIDATED=Y","Sort=A","Dates=H","DateFormat=P","Fill=—","Direction=H","UseDPDF=Y")</f>
        <v>#NAME?</v>
      </c>
      <c r="CO245" s="1" t="e">
        <f ca="1">_xll.BDH($C$228,"NET_DEBT_%_CAPITAL","FQ2 2017","FQ2 2017","Currency=INR","Period=FQ","BEST_FPERIOD_OVERRIDE=FQ","FILING_STATUS=OR","EQY_CONSOLIDATED=Y","Sort=A","Dates=H","DateFormat=P","Fill=—","Direction=H","UseDPDF=Y")</f>
        <v>#NAME?</v>
      </c>
      <c r="CP245" s="2" t="e">
        <f ca="1">_xll.BDH($C$228,"EBITDA","FQ2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45" s="2" t="e">
        <f ca="1">_xll.BDH($C$228,"EBITDA_AFTER_CAPEX","FQ2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45" s="2" t="e">
        <f ca="1">_xll.BDH($C$228,"IS_OPER_INC","FQ2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45" s="1" t="e">
        <f ca="1">_xll.BDH($C$228,"CASH_RATIO","FQ2 2017","FQ2 2017","Currency=INR","Period=FQ","BEST_FPERIOD_OVERRIDE=FQ","FILING_STATUS=OR","EQY_CONSOLIDATED=Y","Sort=A","Dates=H","DateFormat=P","Fill=—","Direction=H","UseDPDF=Y")</f>
        <v>#NAME?</v>
      </c>
      <c r="CT245" s="1" t="e">
        <f ca="1">_xll.BDH($C$228,"CUR_RATIO","FQ2 2017","FQ2 2017","Currency=INR","Period=FQ","BEST_FPERIOD_OVERRIDE=FQ","FILING_STATUS=OR","EQY_CONSOLIDATED=Y","Sort=A","Dates=H","DateFormat=P","Fill=—","Direction=H","UseDPDF=Y")</f>
        <v>#NAME?</v>
      </c>
      <c r="CU245" s="1" t="e">
        <f ca="1">_xll.BDH($C$228,"QUICK_RATIO","FQ2 2017","FQ2 2017","Currency=INR","Period=FQ","BEST_FPERIOD_OVERRIDE=FQ","FILING_STATUS=OR","EQY_CONSOLIDATED=Y","Sort=A","Dates=H","DateFormat=P","Fill=—","Direction=H","UseDPDF=Y")</f>
        <v>#NAME?</v>
      </c>
      <c r="CV245" s="1" t="e">
        <f ca="1">_xll.BDH($C$228,"ALTMAN_Z_SCORE","FQ2 2017","FQ2 2017","Currency=INR","Period=FQ","BEST_FPERIOD_OVERRIDE=FQ","FILING_STATUS=OR","EQY_CONSOLIDATED=Y","Sort=A","Dates=H","DateFormat=P","Fill=—","Direction=H","UseDPDF=Y")</f>
        <v>#NAME?</v>
      </c>
      <c r="CW245" s="3" t="e">
        <f ca="1">_xll.BDH($C$228,"ACCT_RCV_TURN","FQ2 2017","FQ2 2017","Currency=INR","Period=FQ","BEST_FPERIOD_OVERRIDE=FQ","FILING_STATUS=OR","EQY_CONSOLIDATED=Y","FA_ADJUSTED=GAAP","Sort=A","Dates=H","DateFormat=P","Fill=—","Direction=H","UseDPDF=Y")</f>
        <v>#NAME?</v>
      </c>
      <c r="CX245" s="1" t="e">
        <f ca="1">_xll.BDH($C$228,"ACCT_RCV_DAYS","FQ2 2017","FQ2 2017","Currency=INR","Period=FQ","BEST_FPERIOD_OVERRIDE=FQ","FILING_STATUS=OR","EQY_CONSOLIDATED=Y","FA_ADJUSTED=GAAP","Sort=A","Dates=H","DateFormat=P","Fill=—","Direction=H","UseDPDF=Y")</f>
        <v>#NAME?</v>
      </c>
      <c r="CY245" s="3" t="e">
        <f ca="1">_xll.BDH($C$228,"INVENT_TURN","FQ2 2017","FQ2 2017","Currency=INR","Period=FQ","BEST_FPERIOD_OVERRIDE=FQ","FILING_STATUS=OR","EQY_CONSOLIDATED=Y","FA_ADJUSTED=GAAP","Sort=A","Dates=H","DateFormat=P","Fill=—","Direction=H","UseDPDF=Y")</f>
        <v>#NAME?</v>
      </c>
      <c r="CZ245" s="1" t="e">
        <f ca="1">_xll.BDH($C$228,"INVENT_DAYS","FQ2 2017","FQ2 2017","Currency=INR","Period=FQ","BEST_FPERIOD_OVERRIDE=FQ","FILING_STATUS=OR","EQY_CONSOLIDATED=Y","FA_ADJUSTED=GAAP","Sort=A","Dates=H","DateFormat=P","Fill=—","Direction=H","UseDPDF=Y")</f>
        <v>#NAME?</v>
      </c>
      <c r="DA245" s="3" t="e">
        <f ca="1">_xll.BDH($C$228,"ACCOUNTS_PAYABLE_TURNOVER","FQ2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45" s="1" t="e">
        <f ca="1">_xll.BDH($C$228,"ACCOUNTS_PAYABLE_TURNOVER_DAYS","FQ2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45" s="3" t="e">
        <f ca="1">_xll.BDH($C$228,"CASH_CONVERSION_CYCLE","FQ2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45" s="3" t="e">
        <f ca="1">_xll.BDH($C$228,"INV_TO_CASH_DAYS","FQ2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245" s="4" t="e">
        <f ca="1">_xll.BDH($C$228,"BS_INVENTORIES","FQ2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245" s="2" t="e">
        <f ca="1">_xll.BDH($C$228,"INVTRY_RAW_MATERIALS","FQ2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45" s="2" t="e">
        <f ca="1">_xll.BDH($C$228,"INVTRY_IN_PROGRESS","FQ2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45" s="2" t="e">
        <f ca="1">_xll.BDH($C$228,"INVTRY_FINISHED_GOODS","FQ2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45" s="2" t="e">
        <f ca="1">_xll.BDH($C$228,"BS_OTHER_INV","FQ2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46" spans="1:113" x14ac:dyDescent="0.3">
      <c r="A246" s="6"/>
      <c r="B246" s="6"/>
      <c r="C246" s="6"/>
      <c r="D246" s="6"/>
      <c r="E246" t="s">
        <v>6</v>
      </c>
      <c r="F246" t="e">
        <f ca="1">_xll.BDH($C$228,"RETURN_COM_EQY","FQ3 2017","FQ3 2017","Currency=INR","Period=FQ","BEST_FPERIOD_OVERRIDE=FQ","FILING_STATUS=OR","EQY_CONSOLIDATED=Y","FA_ADJUSTED=GAAP","Sort=A","Dates=H","DateFormat=P","Fill=—","Direction=H","UseDPDF=Y")</f>
        <v>#NAME?</v>
      </c>
      <c r="G246" t="e">
        <f ca="1">_xll.BDH($C$228,"RETURN_ON_ASSET","FQ3 2017","FQ3 2017","Currency=INR","Period=FQ","BEST_FPERIOD_OVERRIDE=FQ","FILING_STATUS=OR","EQY_CONSOLIDATED=Y","FA_ADJUSTED=GAAP","Sort=A","Dates=H","DateFormat=P","Fill=—","Direction=H","UseDPDF=Y")</f>
        <v>#NAME?</v>
      </c>
      <c r="H246" t="e">
        <f ca="1">_xll.BDH($C$228,"RETURN_ON_CAP","FQ3 2017","FQ3 2017","Currency=INR","Period=FQ","BEST_FPERIOD_OVERRIDE=FQ","FILING_STATUS=OR","EQY_CONSOLIDATED=Y","FA_ADJUSTED=GAAP","Sort=A","Dates=H","DateFormat=P","Fill=—","Direction=H","UseDPDF=Y")</f>
        <v>#NAME?</v>
      </c>
      <c r="I246" t="e">
        <f ca="1">_xll.BDH($C$228,"RETURN_ON_INV_CAPITAL","FQ3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46" t="e">
        <f ca="1">_xll.BDH($C$228,"EBITDA_TO_REVENUE","FQ3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246" t="e">
        <f ca="1">_xll.BDH($C$228,"OPER_MARGIN","FQ3 2017","FQ3 2017","Currency=INR","Period=FQ","BEST_FPERIOD_OVERRIDE=FQ","FILING_STATUS=OR","EQY_CONSOLIDATED=Y","FA_ADJUSTED=GAAP","Sort=A","Dates=H","DateFormat=P","Fill=—","Direction=H","UseDPDF=Y")</f>
        <v>#NAME?</v>
      </c>
      <c r="L246" t="e">
        <f ca="1">_xll.BDH($C$228,"INCREMENTAL_OPERATING_MARGIN","FQ3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46" t="e">
        <f ca="1">_xll.BDH($C$228,"PRETAX_INC_TO_NET_SALES","FQ3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46" t="e">
        <f ca="1">_xll.BDH($C$228,"INC_BEF_XO_ITEMS_TO_NET_SALES","FQ3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46" t="e">
        <f ca="1">_xll.BDH($C$228,"PROF_MARGIN","FQ3 2017","FQ3 2017","Currency=INR","Period=FQ","BEST_FPERIOD_OVERRIDE=FQ","FILING_STATUS=OR","EQY_CONSOLIDATED=Y","FA_ADJUSTED=GAAP","Sort=A","Dates=H","DateFormat=P","Fill=—","Direction=H","UseDPDF=Y")</f>
        <v>#NAME?</v>
      </c>
      <c r="P246" t="e">
        <f ca="1">_xll.BDH($C$228,"NET_INCOME_TO_COMMON_MARGIN","FQ3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46" t="e">
        <f ca="1">_xll.BDH($C$228,"EFF_TAX_RATE","FQ3 2017","FQ3 2017","Currency=INR","Period=FQ","BEST_FPERIOD_OVERRIDE=FQ","FILING_STATUS=OR","EQY_CONSOLIDATED=Y","FA_ADJUSTED=GAAP","Sort=A","Dates=H","DateFormat=P","Fill=—","Direction=H","UseDPDF=Y")</f>
        <v>#NAME?</v>
      </c>
      <c r="R246" t="e">
        <f ca="1">_xll.BDH($C$228,"DVD_PAYOUT_RATIO","FQ3 2017","FQ3 2017","Currency=INR","Period=FQ","BEST_FPERIOD_OVERRIDE=FQ","FILING_STATUS=OR","EQY_CONSOLIDATED=Y","FA_ADJUSTED=GAAP","Sort=A","Dates=H","DateFormat=P","Fill=—","Direction=H","UseDPDF=Y")</f>
        <v>#NAME?</v>
      </c>
      <c r="S246" t="e">
        <f ca="1">_xll.BDH($C$228,"SUSTAIN_GROWTH_RT","FQ3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246" s="1" t="e">
        <f ca="1">_xll.BDH($C$228,"SALES_GROWTH","FQ3 2017","FQ3 2017","Currency=INR","Period=FQ","BEST_FPERIOD_OVERRIDE=FQ","FILING_STATUS=OR","EQY_CONSOLIDATED=Y","FA_ADJUSTED=GAAP","Sort=A","Dates=H","DateFormat=P","Fill=—","Direction=H","UseDPDF=Y")</f>
        <v>#NAME?</v>
      </c>
      <c r="U246" s="1" t="e">
        <f ca="1">_xll.BDH($C$228,"EBITDA_GROWTH","FQ3 2017","FQ3 2017","Currency=INR","Period=FQ","BEST_FPERIOD_OVERRIDE=FQ","FILING_STATUS=OR","EQY_CONSOLIDATED=Y","FA_ADJUSTED=GAAP","Sort=A","Dates=H","DateFormat=P","Fill=—","Direction=H","UseDPDF=Y")</f>
        <v>#NAME?</v>
      </c>
      <c r="V246" s="1" t="e">
        <f ca="1">_xll.BDH($C$228,"OPER_INC_GROWTH","FQ3 2017","FQ3 2017","Currency=INR","Period=FQ","BEST_FPERIOD_OVERRIDE=FQ","FILING_STATUS=OR","EQY_CONSOLIDATED=Y","FA_ADJUSTED=GAAP","Sort=A","Dates=H","DateFormat=P","Fill=—","Direction=H","UseDPDF=Y")</f>
        <v>#NAME?</v>
      </c>
      <c r="W246" s="1" t="e">
        <f ca="1">_xll.BDH($C$228,"EARN_FOR_COM_GROWTH","FQ3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46" s="1" t="e">
        <f ca="1">_xll.BDH($C$228,"DILUTED_EPS_AFT_XO_ITEMS_GROWTH","FQ3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46" s="1" t="e">
        <f ca="1">_xll.BDH($C$228,"DIVIDEND_PER_SHARE_1_YEAR_GROWTH","FQ3 2017","FQ3 2017","Currency=INR","Period=FQ","BEST_FPERIOD_OVERRIDE=FQ","FILING_STATUS=OR","EQY_CONSOLIDATED=Y","Sort=A","Dates=H","DateFormat=P","Fill=—","Direction=H","UseDPDF=Y")</f>
        <v>#NAME?</v>
      </c>
      <c r="Z246" s="1" t="e">
        <f ca="1">_xll.BDH($C$228,"ACCOUNTS_RECEIVABLE_GROWTH","FQ3 2017","FQ3 2017","Currency=INR","Period=FQ","BEST_FPERIOD_OVERRIDE=FQ","FILING_STATUS=OR","EQY_CONSOLIDATED=Y","Sort=A","Dates=H","DateFormat=P","Fill=—","Direction=H","UseDPDF=Y")</f>
        <v>#NAME?</v>
      </c>
      <c r="AA246" s="1" t="e">
        <f ca="1">_xll.BDH($C$228,"INVENTORY_GROWTH","FQ3 2017","FQ3 2017","Currency=INR","Period=FQ","BEST_FPERIOD_OVERRIDE=FQ","FILING_STATUS=OR","EQY_CONSOLIDATED=Y","Sort=A","Dates=H","DateFormat=P","Fill=—","Direction=H","UseDPDF=Y")</f>
        <v>#NAME?</v>
      </c>
      <c r="AB246" s="1" t="e">
        <f ca="1">_xll.BDH($C$228,"NET_FIXED_ASSETS_1_YEAR_GROWTH","FQ3 2017","FQ3 2017","Currency=INR","Period=FQ","BEST_FPERIOD_OVERRIDE=FQ","FILING_STATUS=OR","EQY_CONSOLIDATED=Y","Sort=A","Dates=H","DateFormat=P","Fill=—","Direction=H","UseDPDF=Y")</f>
        <v>#NAME?</v>
      </c>
      <c r="AC246" s="1" t="e">
        <f ca="1">_xll.BDH($C$228,"ASSET_GROWTH","FQ3 2017","FQ3 2017","Currency=INR","Period=FQ","BEST_FPERIOD_OVERRIDE=FQ","FILING_STATUS=OR","EQY_CONSOLIDATED=Y","Sort=A","Dates=H","DateFormat=P","Fill=—","Direction=H","UseDPDF=Y")</f>
        <v>#NAME?</v>
      </c>
      <c r="AD246" s="1" t="e">
        <f ca="1">_xll.BDH($C$228,"MODIFIED_WORK_CAP_GROWTH","FQ3 2017","FQ3 2017","Currency=INR","Period=FQ","BEST_FPERIOD_OVERRIDE=FQ","FILING_STATUS=OR","EQY_CONSOLIDATED=Y","Sort=A","Dates=H","DateFormat=P","Fill=—","Direction=H","UseDPDF=Y")</f>
        <v>#NAME?</v>
      </c>
      <c r="AE246" s="1" t="e">
        <f ca="1">_xll.BDH($C$228,"WORK_CAP_GROWTH","FQ3 2017","FQ3 2017","Currency=INR","Period=FQ","BEST_FPERIOD_OVERRIDE=FQ","FILING_STATUS=OR","EQY_CONSOLIDATED=Y","Sort=A","Dates=H","DateFormat=P","Fill=—","Direction=H","UseDPDF=Y")</f>
        <v>#NAME?</v>
      </c>
      <c r="AF246" s="1" t="e">
        <f ca="1">_xll.BDH($C$228,"ACCOUNTS_PAYABLE_GROWTH_1YR","FQ3 2017","FQ3 2017","Currency=INR","Period=FQ","BEST_FPERIOD_OVERRIDE=FQ","FILING_STATUS=OR","EQY_CONSOLIDATED=Y","Sort=A","Dates=H","DateFormat=P","Fill=—","Direction=H","UseDPDF=Y")</f>
        <v>#NAME?</v>
      </c>
      <c r="AG246" s="1" t="e">
        <f ca="1">_xll.BDH($C$228,"SHORT_TERM_DEBT_1_YEAR_GROWTH","FQ3 2017","FQ3 2017","Currency=INR","Period=FQ","BEST_FPERIOD_OVERRIDE=FQ","FILING_STATUS=OR","EQY_CONSOLIDATED=Y","Sort=A","Dates=H","DateFormat=P","Fill=—","Direction=H","UseDPDF=Y")</f>
        <v>#NAME?</v>
      </c>
      <c r="AH246" s="1" t="e">
        <f ca="1">_xll.BDH($C$228,"TOTAL_DEBT_1_YEAR_GROWTH","FQ3 2017","FQ3 2017","Currency=INR","Period=FQ","BEST_FPERIOD_OVERRIDE=FQ","FILING_STATUS=OR","EQY_CONSOLIDATED=Y","Sort=A","Dates=H","DateFormat=P","Fill=—","Direction=H","UseDPDF=Y")</f>
        <v>#NAME?</v>
      </c>
      <c r="AI246" s="1" t="e">
        <f ca="1">_xll.BDH($C$228,"TOTAL_EQUITY_1_YEAR_GROWTH","FQ3 2017","FQ3 2017","Currency=INR","Period=FQ","BEST_FPERIOD_OVERRIDE=FQ","FILING_STATUS=OR","EQY_CONSOLIDATED=Y","Sort=A","Dates=H","DateFormat=P","Fill=—","Direction=H","UseDPDF=Y")</f>
        <v>#NAME?</v>
      </c>
      <c r="AJ246" s="1" t="e">
        <f ca="1">_xll.BDH($C$228,"GROWTH_IN_CAP","FQ3 2017","FQ3 2017","Currency=INR","Period=FQ","BEST_FPERIOD_OVERRIDE=FQ","FILING_STATUS=OR","EQY_CONSOLIDATED=Y","Sort=A","Dates=H","DateFormat=P","Fill=—","Direction=H","UseDPDF=Y")</f>
        <v>#NAME?</v>
      </c>
      <c r="AK246" s="1" t="e">
        <f ca="1">_xll.BDH($C$228,"BVPS_GROWTH","FQ3 2017","FQ3 2017","Currency=INR","Period=FQ","BEST_FPERIOD_OVERRIDE=FQ","FILING_STATUS=OR","EQY_CONSOLIDATED=Y","Sort=A","Dates=H","DateFormat=P","Fill=—","Direction=H","UseDPDF=Y")</f>
        <v>#NAME?</v>
      </c>
      <c r="AL246" s="1" t="e">
        <f ca="1">_xll.BDH($C$228,"CASH_FLOW_GROWTH","FQ3 2017","FQ3 2017","Currency=INR","Period=FQ","BEST_FPERIOD_OVERRIDE=FQ","FILING_STATUS=OR","EQY_CONSOLIDATED=Y","Sort=A","Dates=H","DateFormat=P","Fill=—","Direction=H","UseDPDF=Y")</f>
        <v>#NAME?</v>
      </c>
      <c r="AM246" s="1" t="e">
        <f ca="1">_xll.BDH($C$228,"GEO_GROW_NET_SALES","FQ3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46" s="1" t="e">
        <f ca="1">_xll.BDH($C$228,"GEO_GROW_EBITDA","FQ3 2017","FQ3 2017","Currency=INR","Period=FQ","BEST_FPERIOD_OVERRIDE=FQ","FILING_STATUS=OR","EQY_CONSOLIDATED=Y","FA_ADJUSTED=GAAP","Sort=A","Dates=H","DateFormat=P","Fill=—","Direction=H","UseDPDF=Y")</f>
        <v>#NAME?</v>
      </c>
      <c r="AO246" s="1" t="e">
        <f ca="1">_xll.BDH($C$228,"GEO_GROW_OPER_INC","FQ3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46" s="1" t="e">
        <f ca="1">_xll.BDH($C$228,"NET_INCOME_TO_COMMON_5_YR_GROWTH","FQ3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46" s="1" t="e">
        <f ca="1">_xll.BDH($C$228,"5Y_GEO_GROWTH_DILUTED_EPS","FQ3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46" s="1" t="e">
        <f ca="1">_xll.BDH($C$228,"GEO_GROW_DVD_PER_SH","FQ3 2017","FQ3 2017","Currency=INR","Period=FQ","BEST_FPERIOD_OVERRIDE=FQ","FILING_STATUS=OR","EQY_CONSOLIDATED=Y","Sort=A","Dates=H","DateFormat=P","Fill=—","Direction=H","UseDPDF=Y")</f>
        <v>#NAME?</v>
      </c>
      <c r="AS246" s="1" t="e">
        <f ca="1">_xll.BDH($C$228,"ACCOUNTS_RECEIVABLE_5_YR_GROWTH","FQ3 2017","FQ3 2017","Currency=INR","Period=FQ","BEST_FPERIOD_OVERRIDE=FQ","FILING_STATUS=OR","EQY_CONSOLIDATED=Y","Sort=A","Dates=H","DateFormat=P","Fill=—","Direction=H","UseDPDF=Y")</f>
        <v>#NAME?</v>
      </c>
      <c r="AT246" s="1" t="e">
        <f ca="1">_xll.BDH($C$228,"INVENTORY_5_YEAR_GROWTH","FQ3 2017","FQ3 2017","Currency=INR","Period=FQ","BEST_FPERIOD_OVERRIDE=FQ","FILING_STATUS=OR","EQY_CONSOLIDATED=Y","Sort=A","Dates=H","DateFormat=P","Fill=—","Direction=H","UseDPDF=Y")</f>
        <v>#NAME?</v>
      </c>
      <c r="AU246" s="1" t="e">
        <f ca="1">_xll.BDH($C$228,"NET_FIXED_ASSETS_5_YEAR_GROWTH","FQ3 2017","FQ3 2017","Currency=INR","Period=FQ","BEST_FPERIOD_OVERRIDE=FQ","FILING_STATUS=OR","EQY_CONSOLIDATED=Y","Sort=A","Dates=H","DateFormat=P","Fill=—","Direction=H","UseDPDF=Y")</f>
        <v>#NAME?</v>
      </c>
      <c r="AV246" s="1" t="e">
        <f ca="1">_xll.BDH($C$228,"GEO_GROW_TOT_ASSET","FQ3 2017","FQ3 2017","Currency=INR","Period=FQ","BEST_FPERIOD_OVERRIDE=FQ","FILING_STATUS=OR","EQY_CONSOLIDATED=Y","Sort=A","Dates=H","DateFormat=P","Fill=—","Direction=H","UseDPDF=Y")</f>
        <v>#NAME?</v>
      </c>
      <c r="AW246" s="1" t="e">
        <f ca="1">_xll.BDH($C$228,"MODIFIED_WORKING_CPTL_5YR_GRWTH","FQ3 2017","FQ3 2017","Currency=INR","Period=FQ","BEST_FPERIOD_OVERRIDE=FQ","FILING_STATUS=OR","EQY_CONSOLIDATED=Y","Sort=A","Dates=H","DateFormat=P","Fill=—","Direction=H","UseDPDF=Y")</f>
        <v>#NAME?</v>
      </c>
      <c r="AX246" s="1" t="e">
        <f ca="1">_xll.BDH($C$228,"WORKING_CAPITAL_5_YEAR_GROWTH","FQ3 2017","FQ3 2017","Currency=INR","Period=FQ","BEST_FPERIOD_OVERRIDE=FQ","FILING_STATUS=OR","EQY_CONSOLIDATED=Y","Sort=A","Dates=H","DateFormat=P","Fill=—","Direction=H","UseDPDF=Y")</f>
        <v>#NAME?</v>
      </c>
      <c r="AY246" s="1" t="e">
        <f ca="1">_xll.BDH($C$228,"ACCOUNTS_PAYABLE_5_YEAR_GROWTH","FQ3 2017","FQ3 2017","Currency=INR","Period=FQ","BEST_FPERIOD_OVERRIDE=FQ","FILING_STATUS=OR","EQY_CONSOLIDATED=Y","Sort=A","Dates=H","DateFormat=P","Fill=—","Direction=H","UseDPDF=Y")</f>
        <v>#NAME?</v>
      </c>
      <c r="AZ246" s="1" t="e">
        <f ca="1">_xll.BDH($C$228,"SHORT_TERM_DEBT_5_YEAR_GROWTH","FQ3 2017","FQ3 2017","Currency=INR","Period=FQ","BEST_FPERIOD_OVERRIDE=FQ","FILING_STATUS=OR","EQY_CONSOLIDATED=Y","Sort=A","Dates=H","DateFormat=P","Fill=—","Direction=H","UseDPDF=Y")</f>
        <v>#NAME?</v>
      </c>
      <c r="BA246" s="1" t="e">
        <f ca="1">_xll.BDH($C$228,"TOTAL_DEBT_5_YEAR_GROWTH","FQ3 2017","FQ3 2017","Currency=INR","Period=FQ","BEST_FPERIOD_OVERRIDE=FQ","FILING_STATUS=OR","EQY_CONSOLIDATED=Y","Sort=A","Dates=H","DateFormat=P","Fill=—","Direction=H","UseDPDF=Y")</f>
        <v>#NAME?</v>
      </c>
      <c r="BB246" s="1" t="e">
        <f ca="1">_xll.BDH($C$228,"GEO_GROW_TOT_SHRHLDR_EQY","FQ3 2017","FQ3 2017","Currency=INR","Period=FQ","BEST_FPERIOD_OVERRIDE=FQ","FILING_STATUS=OR","EQY_CONSOLIDATED=Y","Sort=A","Dates=H","DateFormat=P","Fill=—","Direction=H","UseDPDF=Y")</f>
        <v>#NAME?</v>
      </c>
      <c r="BC246" s="1" t="e">
        <f ca="1">_xll.BDH($C$228,"TOTAL_CAPITAL_5_YEAR_GROWTH","FQ3 2017","FQ3 2017","Currency=INR","Period=FQ","BEST_FPERIOD_OVERRIDE=FQ","FILING_STATUS=OR","EQY_CONSOLIDATED=Y","Sort=A","Dates=H","DateFormat=P","Fill=—","Direction=H","UseDPDF=Y")</f>
        <v>#NAME?</v>
      </c>
      <c r="BD246" s="1" t="e">
        <f ca="1">_xll.BDH($C$228,"GEO_GROW_BOOK_VAL","FQ3 2017","FQ3 2017","Currency=INR","Period=FQ","BEST_FPERIOD_OVERRIDE=FQ","FILING_STATUS=OR","EQY_CONSOLIDATED=Y","Sort=A","Dates=H","DateFormat=P","Fill=—","Direction=H","UseDPDF=Y")</f>
        <v>#NAME?</v>
      </c>
      <c r="BE246" s="1" t="e">
        <f ca="1">_xll.BDH($C$228,"GEO_GROW_CASH_OPER_ACT","FQ3 2017","FQ3 2017","Currency=INR","Period=FQ","BEST_FPERIOD_OVERRIDE=FQ","FILING_STATUS=OR","EQY_CONSOLIDATED=Y","Sort=A","Dates=H","DateFormat=P","Fill=—","Direction=H","UseDPDF=Y")</f>
        <v>#NAME?</v>
      </c>
      <c r="BF246" s="1" t="e">
        <f ca="1">_xll.BDH($C$228,"REVENUE_SEQUENTIAL_GROWTH","FQ3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46" s="1" t="e">
        <f ca="1">_xll.BDH($C$228,"EBITDA_SEQUENTIAL_GROWTH","FQ3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46" s="1" t="e">
        <f ca="1">_xll.BDH($C$228,"OPERATING_INCOME_SEQ_GROWTH","FQ3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46" s="1" t="e">
        <f ca="1">_xll.BDH($C$228,"NET_INCOME_TO_COMMON_SEQ_GROWTH","FQ3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46" s="1" t="e">
        <f ca="1">_xll.BDH($C$228,"EPS_DILUTED_SEQUENTIAL_GROWTH","FQ3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46" s="1" t="e">
        <f ca="1">_xll.BDH($C$228,"DPS_SEQUENTIAL_GROWTH","FQ3 2017","FQ3 2017","Currency=INR","Period=FQ","BEST_FPERIOD_OVERRIDE=FQ","FILING_STATUS=OR","EQY_CONSOLIDATED=Y","Sort=A","Dates=H","DateFormat=P","Fill=—","Direction=H","UseDPDF=Y")</f>
        <v>#NAME?</v>
      </c>
      <c r="BL246" s="1" t="e">
        <f ca="1">_xll.BDH($C$228,"ACCOUNTS_RECEIVABLE_SEQ_GROWTH","FQ3 2017","FQ3 2017","Currency=INR","Period=FQ","BEST_FPERIOD_OVERRIDE=FQ","FILING_STATUS=OR","EQY_CONSOLIDATED=Y","Sort=A","Dates=H","DateFormat=P","Fill=—","Direction=H","UseDPDF=Y")</f>
        <v>#NAME?</v>
      </c>
      <c r="BM246" s="1" t="e">
        <f ca="1">_xll.BDH($C$228,"INVENTORY_SEQUENTIAL_GROWTH","FQ3 2017","FQ3 2017","Currency=INR","Period=FQ","BEST_FPERIOD_OVERRIDE=FQ","FILING_STATUS=OR","EQY_CONSOLIDATED=Y","Sort=A","Dates=H","DateFormat=P","Fill=—","Direction=H","UseDPDF=Y")</f>
        <v>#NAME?</v>
      </c>
      <c r="BN246" s="1" t="e">
        <f ca="1">_xll.BDH($C$228,"FIXED_ASSETS_SEQUENTIAL_GROWTH","FQ3 2017","FQ3 2017","Currency=INR","Period=FQ","BEST_FPERIOD_OVERRIDE=FQ","FILING_STATUS=OR","EQY_CONSOLIDATED=Y","Sort=A","Dates=H","DateFormat=P","Fill=—","Direction=H","UseDPDF=Y")</f>
        <v>#NAME?</v>
      </c>
      <c r="BO246" s="1" t="e">
        <f ca="1">_xll.BDH($C$228,"TOTAL_ASSETS_SEQUENTIAL_GROWTH","FQ3 2017","FQ3 2017","Currency=INR","Period=FQ","BEST_FPERIOD_OVERRIDE=FQ","FILING_STATUS=OR","EQY_CONSOLIDATED=Y","Sort=A","Dates=H","DateFormat=P","Fill=—","Direction=H","UseDPDF=Y")</f>
        <v>#NAME?</v>
      </c>
      <c r="BP246" s="1" t="e">
        <f ca="1">_xll.BDH($C$228,"MODIFIED_WORKING_CPTL_SEQ_GRWTH","FQ3 2017","FQ3 2017","Currency=INR","Period=FQ","BEST_FPERIOD_OVERRIDE=FQ","FILING_STATUS=OR","EQY_CONSOLIDATED=Y","Sort=A","Dates=H","DateFormat=P","Fill=—","Direction=H","UseDPDF=Y")</f>
        <v>#NAME?</v>
      </c>
      <c r="BQ246" s="1" t="e">
        <f ca="1">_xll.BDH($C$228,"WORKING_CAPITAL_SEQ_GROWTH","FQ3 2017","FQ3 2017","Currency=INR","Period=FQ","BEST_FPERIOD_OVERRIDE=FQ","FILING_STATUS=OR","EQY_CONSOLIDATED=Y","Sort=A","Dates=H","DateFormat=P","Fill=—","Direction=H","UseDPDF=Y")</f>
        <v>#NAME?</v>
      </c>
      <c r="BR246" s="1" t="e">
        <f ca="1">_xll.BDH($C$228,"ACCOUNTS_PAYABLE_SEQ_GROWTH","FQ3 2017","FQ3 2017","Currency=INR","Period=FQ","BEST_FPERIOD_OVERRIDE=FQ","FILING_STATUS=OR","EQY_CONSOLIDATED=Y","Sort=A","Dates=H","DateFormat=P","Fill=—","Direction=H","UseDPDF=Y")</f>
        <v>#NAME?</v>
      </c>
      <c r="BS246" s="1" t="e">
        <f ca="1">_xll.BDH($C$228,"ST_DEBT_SEQUENTIAL_GROWTH","FQ3 2017","FQ3 2017","Currency=INR","Period=FQ","BEST_FPERIOD_OVERRIDE=FQ","FILING_STATUS=OR","EQY_CONSOLIDATED=Y","Sort=A","Dates=H","DateFormat=P","Fill=—","Direction=H","UseDPDF=Y")</f>
        <v>#NAME?</v>
      </c>
      <c r="BT246" s="1" t="e">
        <f ca="1">_xll.BDH($C$228,"TOTAL_DEBT_SEQUENTIAL_GROWTH","FQ3 2017","FQ3 2017","Currency=INR","Period=FQ","BEST_FPERIOD_OVERRIDE=FQ","FILING_STATUS=OR","EQY_CONSOLIDATED=Y","Sort=A","Dates=H","DateFormat=P","Fill=—","Direction=H","UseDPDF=Y")</f>
        <v>#NAME?</v>
      </c>
      <c r="BU246" s="1" t="e">
        <f ca="1">_xll.BDH($C$228,"TOTAL_EQUITY_SEQUENTIAL_GROWTH","FQ3 2017","FQ3 2017","Currency=INR","Period=FQ","BEST_FPERIOD_OVERRIDE=FQ","FILING_STATUS=OR","EQY_CONSOLIDATED=Y","Sort=A","Dates=H","DateFormat=P","Fill=—","Direction=H","UseDPDF=Y")</f>
        <v>#NAME?</v>
      </c>
      <c r="BV246" s="1" t="e">
        <f ca="1">_xll.BDH($C$228,"TOTAL_CAPITAL_SEQUENTIAL_GROWTH","FQ3 2017","FQ3 2017","Currency=INR","Period=FQ","BEST_FPERIOD_OVERRIDE=FQ","FILING_STATUS=OR","EQY_CONSOLIDATED=Y","Sort=A","Dates=H","DateFormat=P","Fill=—","Direction=H","UseDPDF=Y")</f>
        <v>#NAME?</v>
      </c>
      <c r="BW246" s="1" t="e">
        <f ca="1">_xll.BDH($C$228,"BPS_SEQUENTIAL_GROWTH","FQ3 2017","FQ3 2017","Currency=INR","Period=FQ","BEST_FPERIOD_OVERRIDE=FQ","FILING_STATUS=OR","EQY_CONSOLIDATED=Y","Sort=A","Dates=H","DateFormat=P","Fill=—","Direction=H","UseDPDF=Y")</f>
        <v>#NAME?</v>
      </c>
      <c r="BX246" s="1" t="e">
        <f ca="1">_xll.BDH($C$228,"CFO_SEQUENTIAL_GROWTH","FQ3 2017","FQ3 2017","Currency=INR","Period=FQ","BEST_FPERIOD_OVERRIDE=FQ","FILING_STATUS=OR","EQY_CONSOLIDATED=Y","Sort=A","Dates=H","DateFormat=P","Fill=—","Direction=H","UseDPDF=Y")</f>
        <v>#NAME?</v>
      </c>
      <c r="BY246" s="2" t="e">
        <f ca="1">_xll.BDH($C$228,"SHORT_AND_LONG_TERM_DEBT","FQ3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46" s="2" t="e">
        <f ca="1">_xll.BDH($C$228,"BS_ST_BORROW","FQ3 2017","FQ3 2017","Currency=INR","Period=FQ","BEST_FPERIOD_OVERRIDE=FQ","FILING_STATUS=OR","EQY_CONSOLIDATED=Y","SCALING_FORMAT=MLN","Sort=A","Dates=H","DateFormat=P","Fill=—","Direction=H","UseDPDF=Y")</f>
        <v>#NAME?</v>
      </c>
      <c r="CA246" s="2" t="e">
        <f ca="1">_xll.BDH($C$228,"BS_LT_BORROW","FQ3 2017","FQ3 2017","Currency=INR","Period=FQ","BEST_FPERIOD_OVERRIDE=FQ","FILING_STATUS=OR","EQY_CONSOLIDATED=Y","SCALING_FORMAT=MLN","Sort=A","Dates=H","DateFormat=P","Fill=—","Direction=H","UseDPDF=Y")</f>
        <v>#NAME?</v>
      </c>
      <c r="CB246" s="1" t="e">
        <f ca="1">_xll.BDH($C$228,"TOT_DEBT_TO_EBITDA","FQ3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46" s="1" t="e">
        <f ca="1">_xll.BDH($C$228,"NET_DEBT_TO_EBITDA","FQ3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46" s="1" t="e">
        <f ca="1">_xll.BDH($C$228,"TOTAL_DEBT_TO_EBIT","FQ3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46" s="1" t="e">
        <f ca="1">_xll.BDH($C$228,"NET_DEBT_TO_EBIT","FQ3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246" s="1" t="e">
        <f ca="1">_xll.BDH($C$228,"EBITDA_TO_INTEREST_EXPN","FQ3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46" s="1" t="e">
        <f ca="1">_xll.BDH($C$228,"COM_EQY_TO_TOT_ASSET","FQ3 2017","FQ3 2017","Currency=INR","Period=FQ","BEST_FPERIOD_OVERRIDE=FQ","FILING_STATUS=OR","EQY_CONSOLIDATED=Y","Sort=A","Dates=H","DateFormat=P","Fill=—","Direction=H","UseDPDF=Y")</f>
        <v>#NAME?</v>
      </c>
      <c r="CH246" s="1" t="e">
        <f ca="1">_xll.BDH($C$228,"LT_DEBT_TO_TOT_EQY","FQ3 2017","FQ3 2017","Currency=INR","Period=FQ","BEST_FPERIOD_OVERRIDE=FQ","FILING_STATUS=OR","EQY_CONSOLIDATED=Y","Sort=A","Dates=H","DateFormat=P","Fill=—","Direction=H","UseDPDF=Y")</f>
        <v>#NAME?</v>
      </c>
      <c r="CI246" s="1" t="e">
        <f ca="1">_xll.BDH($C$228,"LT_DEBT_TO_TOT_CAP","FQ3 2017","FQ3 2017","Currency=INR","Period=FQ","BEST_FPERIOD_OVERRIDE=FQ","FILING_STATUS=OR","EQY_CONSOLIDATED=Y","Sort=A","Dates=H","DateFormat=P","Fill=—","Direction=H","UseDPDF=Y")</f>
        <v>#NAME?</v>
      </c>
      <c r="CJ246" s="1" t="e">
        <f ca="1">_xll.BDH($C$228,"LT_DEBT_TO_TOT_ASSET","FQ3 2017","FQ3 2017","Currency=INR","Period=FQ","BEST_FPERIOD_OVERRIDE=FQ","FILING_STATUS=OR","EQY_CONSOLIDATED=Y","Sort=A","Dates=H","DateFormat=P","Fill=—","Direction=H","UseDPDF=Y")</f>
        <v>#NAME?</v>
      </c>
      <c r="CK246" s="1" t="e">
        <f ca="1">_xll.BDH($C$228,"TOT_DEBT_TO_TOT_EQY","FQ3 2017","FQ3 2017","Currency=INR","Period=FQ","BEST_FPERIOD_OVERRIDE=FQ","FILING_STATUS=OR","EQY_CONSOLIDATED=Y","Sort=A","Dates=H","DateFormat=P","Fill=—","Direction=H","UseDPDF=Y")</f>
        <v>#NAME?</v>
      </c>
      <c r="CL246" s="1" t="e">
        <f ca="1">_xll.BDH($C$228,"TOT_DEBT_TO_TOT_CAP","FQ3 2017","FQ3 2017","Currency=INR","Period=FQ","BEST_FPERIOD_OVERRIDE=FQ","FILING_STATUS=OR","EQY_CONSOLIDATED=Y","Sort=A","Dates=H","DateFormat=P","Fill=—","Direction=H","UseDPDF=Y")</f>
        <v>#NAME?</v>
      </c>
      <c r="CM246" s="1" t="e">
        <f ca="1">_xll.BDH($C$228,"TOT_DEBT_TO_TOT_ASSET","FQ3 2017","FQ3 2017","Currency=INR","Period=FQ","BEST_FPERIOD_OVERRIDE=FQ","FILING_STATUS=OR","EQY_CONSOLIDATED=Y","Sort=A","Dates=H","DateFormat=P","Fill=—","Direction=H","UseDPDF=Y")</f>
        <v>#NAME?</v>
      </c>
      <c r="CN246" s="1" t="e">
        <f ca="1">_xll.BDH($C$228,"NET_DEBT_TO_SHRHLDR_EQTY","FQ3 2017","FQ3 2017","Currency=INR","Period=FQ","BEST_FPERIOD_OVERRIDE=FQ","FILING_STATUS=OR","EQY_CONSOLIDATED=Y","Sort=A","Dates=H","DateFormat=P","Fill=—","Direction=H","UseDPDF=Y")</f>
        <v>#NAME?</v>
      </c>
      <c r="CO246" s="1" t="e">
        <f ca="1">_xll.BDH($C$228,"NET_DEBT_%_CAPITAL","FQ3 2017","FQ3 2017","Currency=INR","Period=FQ","BEST_FPERIOD_OVERRIDE=FQ","FILING_STATUS=OR","EQY_CONSOLIDATED=Y","Sort=A","Dates=H","DateFormat=P","Fill=—","Direction=H","UseDPDF=Y")</f>
        <v>#NAME?</v>
      </c>
      <c r="CP246" s="2" t="e">
        <f ca="1">_xll.BDH($C$228,"EBITDA","FQ3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46" s="2" t="e">
        <f ca="1">_xll.BDH($C$228,"EBITDA_AFTER_CAPEX","FQ3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46" s="2" t="e">
        <f ca="1">_xll.BDH($C$228,"IS_OPER_INC","FQ3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46" s="1" t="e">
        <f ca="1">_xll.BDH($C$228,"CASH_RATIO","FQ3 2017","FQ3 2017","Currency=INR","Period=FQ","BEST_FPERIOD_OVERRIDE=FQ","FILING_STATUS=OR","EQY_CONSOLIDATED=Y","Sort=A","Dates=H","DateFormat=P","Fill=—","Direction=H","UseDPDF=Y")</f>
        <v>#NAME?</v>
      </c>
      <c r="CT246" s="1" t="e">
        <f ca="1">_xll.BDH($C$228,"CUR_RATIO","FQ3 2017","FQ3 2017","Currency=INR","Period=FQ","BEST_FPERIOD_OVERRIDE=FQ","FILING_STATUS=OR","EQY_CONSOLIDATED=Y","Sort=A","Dates=H","DateFormat=P","Fill=—","Direction=H","UseDPDF=Y")</f>
        <v>#NAME?</v>
      </c>
      <c r="CU246" s="1" t="e">
        <f ca="1">_xll.BDH($C$228,"QUICK_RATIO","FQ3 2017","FQ3 2017","Currency=INR","Period=FQ","BEST_FPERIOD_OVERRIDE=FQ","FILING_STATUS=OR","EQY_CONSOLIDATED=Y","Sort=A","Dates=H","DateFormat=P","Fill=—","Direction=H","UseDPDF=Y")</f>
        <v>#NAME?</v>
      </c>
      <c r="CV246" s="1" t="e">
        <f ca="1">_xll.BDH($C$228,"ALTMAN_Z_SCORE","FQ3 2017","FQ3 2017","Currency=INR","Period=FQ","BEST_FPERIOD_OVERRIDE=FQ","FILING_STATUS=OR","EQY_CONSOLIDATED=Y","Sort=A","Dates=H","DateFormat=P","Fill=—","Direction=H","UseDPDF=Y")</f>
        <v>#NAME?</v>
      </c>
      <c r="CW246" s="3" t="e">
        <f ca="1">_xll.BDH($C$228,"ACCT_RCV_TURN","FQ3 2017","FQ3 2017","Currency=INR","Period=FQ","BEST_FPERIOD_OVERRIDE=FQ","FILING_STATUS=OR","EQY_CONSOLIDATED=Y","FA_ADJUSTED=GAAP","Sort=A","Dates=H","DateFormat=P","Fill=—","Direction=H","UseDPDF=Y")</f>
        <v>#NAME?</v>
      </c>
      <c r="CX246" s="1" t="e">
        <f ca="1">_xll.BDH($C$228,"ACCT_RCV_DAYS","FQ3 2017","FQ3 2017","Currency=INR","Period=FQ","BEST_FPERIOD_OVERRIDE=FQ","FILING_STATUS=OR","EQY_CONSOLIDATED=Y","FA_ADJUSTED=GAAP","Sort=A","Dates=H","DateFormat=P","Fill=—","Direction=H","UseDPDF=Y")</f>
        <v>#NAME?</v>
      </c>
      <c r="CY246" s="3" t="e">
        <f ca="1">_xll.BDH($C$228,"INVENT_TURN","FQ3 2017","FQ3 2017","Currency=INR","Period=FQ","BEST_FPERIOD_OVERRIDE=FQ","FILING_STATUS=OR","EQY_CONSOLIDATED=Y","FA_ADJUSTED=GAAP","Sort=A","Dates=H","DateFormat=P","Fill=—","Direction=H","UseDPDF=Y")</f>
        <v>#NAME?</v>
      </c>
      <c r="CZ246" s="1" t="e">
        <f ca="1">_xll.BDH($C$228,"INVENT_DAYS","FQ3 2017","FQ3 2017","Currency=INR","Period=FQ","BEST_FPERIOD_OVERRIDE=FQ","FILING_STATUS=OR","EQY_CONSOLIDATED=Y","FA_ADJUSTED=GAAP","Sort=A","Dates=H","DateFormat=P","Fill=—","Direction=H","UseDPDF=Y")</f>
        <v>#NAME?</v>
      </c>
      <c r="DA246" s="3" t="e">
        <f ca="1">_xll.BDH($C$228,"ACCOUNTS_PAYABLE_TURNOVER","FQ3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46" s="1" t="e">
        <f ca="1">_xll.BDH($C$228,"ACCOUNTS_PAYABLE_TURNOVER_DAYS","FQ3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46" s="3" t="e">
        <f ca="1">_xll.BDH($C$228,"CASH_CONVERSION_CYCLE","FQ3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46" s="3" t="e">
        <f ca="1">_xll.BDH($C$228,"INV_TO_CASH_DAYS","FQ3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246" s="4" t="e">
        <f ca="1">_xll.BDH($C$228,"BS_INVENTORIES","FQ3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246" s="2" t="e">
        <f ca="1">_xll.BDH($C$228,"INVTRY_RAW_MATERIALS","FQ3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46" s="2" t="e">
        <f ca="1">_xll.BDH($C$228,"INVTRY_IN_PROGRESS","FQ3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46" s="2" t="e">
        <f ca="1">_xll.BDH($C$228,"INVTRY_FINISHED_GOODS","FQ3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46" s="2" t="e">
        <f ca="1">_xll.BDH($C$228,"BS_OTHER_INV","FQ3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47" spans="1:113" x14ac:dyDescent="0.3">
      <c r="A247" s="6"/>
      <c r="B247" s="6"/>
      <c r="C247" s="6"/>
      <c r="D247" s="6"/>
      <c r="E247" t="s">
        <v>7</v>
      </c>
      <c r="F247" t="e">
        <f ca="1">_xll.BDH($C$228,"RETURN_COM_EQY","FQ4 2017","FQ4 2017","Currency=INR","Period=FQ","BEST_FPERIOD_OVERRIDE=FQ","FILING_STATUS=OR","EQY_CONSOLIDATED=Y","FA_ADJUSTED=GAAP","Sort=A","Dates=H","DateFormat=P","Fill=—","Direction=H","UseDPDF=Y")</f>
        <v>#NAME?</v>
      </c>
      <c r="G247" t="e">
        <f ca="1">_xll.BDH($C$228,"RETURN_ON_ASSET","FQ4 2017","FQ4 2017","Currency=INR","Period=FQ","BEST_FPERIOD_OVERRIDE=FQ","FILING_STATUS=OR","EQY_CONSOLIDATED=Y","FA_ADJUSTED=GAAP","Sort=A","Dates=H","DateFormat=P","Fill=—","Direction=H","UseDPDF=Y")</f>
        <v>#NAME?</v>
      </c>
      <c r="H247" t="e">
        <f ca="1">_xll.BDH($C$228,"RETURN_ON_CAP","FQ4 2017","FQ4 2017","Currency=INR","Period=FQ","BEST_FPERIOD_OVERRIDE=FQ","FILING_STATUS=OR","EQY_CONSOLIDATED=Y","FA_ADJUSTED=GAAP","Sort=A","Dates=H","DateFormat=P","Fill=—","Direction=H","UseDPDF=Y")</f>
        <v>#NAME?</v>
      </c>
      <c r="I247" t="e">
        <f ca="1">_xll.BDH($C$228,"RETURN_ON_INV_CAPITAL","FQ4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47" t="e">
        <f ca="1">_xll.BDH($C$228,"EBITDA_TO_REVENUE","FQ4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247" t="e">
        <f ca="1">_xll.BDH($C$228,"OPER_MARGIN","FQ4 2017","FQ4 2017","Currency=INR","Period=FQ","BEST_FPERIOD_OVERRIDE=FQ","FILING_STATUS=OR","EQY_CONSOLIDATED=Y","FA_ADJUSTED=GAAP","Sort=A","Dates=H","DateFormat=P","Fill=—","Direction=H","UseDPDF=Y")</f>
        <v>#NAME?</v>
      </c>
      <c r="L247" t="e">
        <f ca="1">_xll.BDH($C$228,"INCREMENTAL_OPERATING_MARGIN","FQ4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47" t="e">
        <f ca="1">_xll.BDH($C$228,"PRETAX_INC_TO_NET_SALES","FQ4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47" t="e">
        <f ca="1">_xll.BDH($C$228,"INC_BEF_XO_ITEMS_TO_NET_SALES","FQ4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47" t="e">
        <f ca="1">_xll.BDH($C$228,"PROF_MARGIN","FQ4 2017","FQ4 2017","Currency=INR","Period=FQ","BEST_FPERIOD_OVERRIDE=FQ","FILING_STATUS=OR","EQY_CONSOLIDATED=Y","FA_ADJUSTED=GAAP","Sort=A","Dates=H","DateFormat=P","Fill=—","Direction=H","UseDPDF=Y")</f>
        <v>#NAME?</v>
      </c>
      <c r="P247" t="e">
        <f ca="1">_xll.BDH($C$228,"NET_INCOME_TO_COMMON_MARGIN","FQ4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47" t="e">
        <f ca="1">_xll.BDH($C$228,"EFF_TAX_RATE","FQ4 2017","FQ4 2017","Currency=INR","Period=FQ","BEST_FPERIOD_OVERRIDE=FQ","FILING_STATUS=OR","EQY_CONSOLIDATED=Y","FA_ADJUSTED=GAAP","Sort=A","Dates=H","DateFormat=P","Fill=—","Direction=H","UseDPDF=Y")</f>
        <v>#NAME?</v>
      </c>
      <c r="R247" t="e">
        <f ca="1">_xll.BDH($C$228,"DVD_PAYOUT_RATIO","FQ4 2017","FQ4 2017","Currency=INR","Period=FQ","BEST_FPERIOD_OVERRIDE=FQ","FILING_STATUS=OR","EQY_CONSOLIDATED=Y","FA_ADJUSTED=GAAP","Sort=A","Dates=H","DateFormat=P","Fill=—","Direction=H","UseDPDF=Y")</f>
        <v>#NAME?</v>
      </c>
      <c r="S247" t="e">
        <f ca="1">_xll.BDH($C$228,"SUSTAIN_GROWTH_RT","FQ4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247" s="1" t="e">
        <f ca="1">_xll.BDH($C$228,"SALES_GROWTH","FQ4 2017","FQ4 2017","Currency=INR","Period=FQ","BEST_FPERIOD_OVERRIDE=FQ","FILING_STATUS=OR","EQY_CONSOLIDATED=Y","FA_ADJUSTED=GAAP","Sort=A","Dates=H","DateFormat=P","Fill=—","Direction=H","UseDPDF=Y")</f>
        <v>#NAME?</v>
      </c>
      <c r="U247" s="1" t="e">
        <f ca="1">_xll.BDH($C$228,"EBITDA_GROWTH","FQ4 2017","FQ4 2017","Currency=INR","Period=FQ","BEST_FPERIOD_OVERRIDE=FQ","FILING_STATUS=OR","EQY_CONSOLIDATED=Y","FA_ADJUSTED=GAAP","Sort=A","Dates=H","DateFormat=P","Fill=—","Direction=H","UseDPDF=Y")</f>
        <v>#NAME?</v>
      </c>
      <c r="V247" s="1" t="e">
        <f ca="1">_xll.BDH($C$228,"OPER_INC_GROWTH","FQ4 2017","FQ4 2017","Currency=INR","Period=FQ","BEST_FPERIOD_OVERRIDE=FQ","FILING_STATUS=OR","EQY_CONSOLIDATED=Y","FA_ADJUSTED=GAAP","Sort=A","Dates=H","DateFormat=P","Fill=—","Direction=H","UseDPDF=Y")</f>
        <v>#NAME?</v>
      </c>
      <c r="W247" s="1" t="e">
        <f ca="1">_xll.BDH($C$228,"EARN_FOR_COM_GROWTH","FQ4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47" s="1" t="e">
        <f ca="1">_xll.BDH($C$228,"DILUTED_EPS_AFT_XO_ITEMS_GROWTH","FQ4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47" s="1" t="e">
        <f ca="1">_xll.BDH($C$228,"DIVIDEND_PER_SHARE_1_YEAR_GROWTH","FQ4 2017","FQ4 2017","Currency=INR","Period=FQ","BEST_FPERIOD_OVERRIDE=FQ","FILING_STATUS=OR","EQY_CONSOLIDATED=Y","Sort=A","Dates=H","DateFormat=P","Fill=—","Direction=H","UseDPDF=Y")</f>
        <v>#NAME?</v>
      </c>
      <c r="Z247" s="1" t="e">
        <f ca="1">_xll.BDH($C$228,"ACCOUNTS_RECEIVABLE_GROWTH","FQ4 2017","FQ4 2017","Currency=INR","Period=FQ","BEST_FPERIOD_OVERRIDE=FQ","FILING_STATUS=OR","EQY_CONSOLIDATED=Y","Sort=A","Dates=H","DateFormat=P","Fill=—","Direction=H","UseDPDF=Y")</f>
        <v>#NAME?</v>
      </c>
      <c r="AA247" s="1" t="e">
        <f ca="1">_xll.BDH($C$228,"INVENTORY_GROWTH","FQ4 2017","FQ4 2017","Currency=INR","Period=FQ","BEST_FPERIOD_OVERRIDE=FQ","FILING_STATUS=OR","EQY_CONSOLIDATED=Y","Sort=A","Dates=H","DateFormat=P","Fill=—","Direction=H","UseDPDF=Y")</f>
        <v>#NAME?</v>
      </c>
      <c r="AB247" s="1" t="e">
        <f ca="1">_xll.BDH($C$228,"NET_FIXED_ASSETS_1_YEAR_GROWTH","FQ4 2017","FQ4 2017","Currency=INR","Period=FQ","BEST_FPERIOD_OVERRIDE=FQ","FILING_STATUS=OR","EQY_CONSOLIDATED=Y","Sort=A","Dates=H","DateFormat=P","Fill=—","Direction=H","UseDPDF=Y")</f>
        <v>#NAME?</v>
      </c>
      <c r="AC247" s="1" t="e">
        <f ca="1">_xll.BDH($C$228,"ASSET_GROWTH","FQ4 2017","FQ4 2017","Currency=INR","Period=FQ","BEST_FPERIOD_OVERRIDE=FQ","FILING_STATUS=OR","EQY_CONSOLIDATED=Y","Sort=A","Dates=H","DateFormat=P","Fill=—","Direction=H","UseDPDF=Y")</f>
        <v>#NAME?</v>
      </c>
      <c r="AD247" s="1" t="e">
        <f ca="1">_xll.BDH($C$228,"MODIFIED_WORK_CAP_GROWTH","FQ4 2017","FQ4 2017","Currency=INR","Period=FQ","BEST_FPERIOD_OVERRIDE=FQ","FILING_STATUS=OR","EQY_CONSOLIDATED=Y","Sort=A","Dates=H","DateFormat=P","Fill=—","Direction=H","UseDPDF=Y")</f>
        <v>#NAME?</v>
      </c>
      <c r="AE247" s="1" t="e">
        <f ca="1">_xll.BDH($C$228,"WORK_CAP_GROWTH","FQ4 2017","FQ4 2017","Currency=INR","Period=FQ","BEST_FPERIOD_OVERRIDE=FQ","FILING_STATUS=OR","EQY_CONSOLIDATED=Y","Sort=A","Dates=H","DateFormat=P","Fill=—","Direction=H","UseDPDF=Y")</f>
        <v>#NAME?</v>
      </c>
      <c r="AF247" s="1" t="e">
        <f ca="1">_xll.BDH($C$228,"ACCOUNTS_PAYABLE_GROWTH_1YR","FQ4 2017","FQ4 2017","Currency=INR","Period=FQ","BEST_FPERIOD_OVERRIDE=FQ","FILING_STATUS=OR","EQY_CONSOLIDATED=Y","Sort=A","Dates=H","DateFormat=P","Fill=—","Direction=H","UseDPDF=Y")</f>
        <v>#NAME?</v>
      </c>
      <c r="AG247" s="1" t="e">
        <f ca="1">_xll.BDH($C$228,"SHORT_TERM_DEBT_1_YEAR_GROWTH","FQ4 2017","FQ4 2017","Currency=INR","Period=FQ","BEST_FPERIOD_OVERRIDE=FQ","FILING_STATUS=OR","EQY_CONSOLIDATED=Y","Sort=A","Dates=H","DateFormat=P","Fill=—","Direction=H","UseDPDF=Y")</f>
        <v>#NAME?</v>
      </c>
      <c r="AH247" s="1" t="e">
        <f ca="1">_xll.BDH($C$228,"TOTAL_DEBT_1_YEAR_GROWTH","FQ4 2017","FQ4 2017","Currency=INR","Period=FQ","BEST_FPERIOD_OVERRIDE=FQ","FILING_STATUS=OR","EQY_CONSOLIDATED=Y","Sort=A","Dates=H","DateFormat=P","Fill=—","Direction=H","UseDPDF=Y")</f>
        <v>#NAME?</v>
      </c>
      <c r="AI247" s="1" t="e">
        <f ca="1">_xll.BDH($C$228,"TOTAL_EQUITY_1_YEAR_GROWTH","FQ4 2017","FQ4 2017","Currency=INR","Period=FQ","BEST_FPERIOD_OVERRIDE=FQ","FILING_STATUS=OR","EQY_CONSOLIDATED=Y","Sort=A","Dates=H","DateFormat=P","Fill=—","Direction=H","UseDPDF=Y")</f>
        <v>#NAME?</v>
      </c>
      <c r="AJ247" s="1" t="e">
        <f ca="1">_xll.BDH($C$228,"GROWTH_IN_CAP","FQ4 2017","FQ4 2017","Currency=INR","Period=FQ","BEST_FPERIOD_OVERRIDE=FQ","FILING_STATUS=OR","EQY_CONSOLIDATED=Y","Sort=A","Dates=H","DateFormat=P","Fill=—","Direction=H","UseDPDF=Y")</f>
        <v>#NAME?</v>
      </c>
      <c r="AK247" s="1" t="e">
        <f ca="1">_xll.BDH($C$228,"BVPS_GROWTH","FQ4 2017","FQ4 2017","Currency=INR","Period=FQ","BEST_FPERIOD_OVERRIDE=FQ","FILING_STATUS=OR","EQY_CONSOLIDATED=Y","Sort=A","Dates=H","DateFormat=P","Fill=—","Direction=H","UseDPDF=Y")</f>
        <v>#NAME?</v>
      </c>
      <c r="AL247" s="1" t="e">
        <f ca="1">_xll.BDH($C$228,"CASH_FLOW_GROWTH","FQ4 2017","FQ4 2017","Currency=INR","Period=FQ","BEST_FPERIOD_OVERRIDE=FQ","FILING_STATUS=OR","EQY_CONSOLIDATED=Y","Sort=A","Dates=H","DateFormat=P","Fill=—","Direction=H","UseDPDF=Y")</f>
        <v>#NAME?</v>
      </c>
      <c r="AM247" s="1" t="e">
        <f ca="1">_xll.BDH($C$228,"GEO_GROW_NET_SALES","FQ4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47" s="1" t="e">
        <f ca="1">_xll.BDH($C$228,"GEO_GROW_EBITDA","FQ4 2017","FQ4 2017","Currency=INR","Period=FQ","BEST_FPERIOD_OVERRIDE=FQ","FILING_STATUS=OR","EQY_CONSOLIDATED=Y","FA_ADJUSTED=GAAP","Sort=A","Dates=H","DateFormat=P","Fill=—","Direction=H","UseDPDF=Y")</f>
        <v>#NAME?</v>
      </c>
      <c r="AO247" s="1" t="e">
        <f ca="1">_xll.BDH($C$228,"GEO_GROW_OPER_INC","FQ4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47" s="1" t="e">
        <f ca="1">_xll.BDH($C$228,"NET_INCOME_TO_COMMON_5_YR_GROWTH","FQ4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47" s="1" t="e">
        <f ca="1">_xll.BDH($C$228,"5Y_GEO_GROWTH_DILUTED_EPS","FQ4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47" s="1" t="e">
        <f ca="1">_xll.BDH($C$228,"GEO_GROW_DVD_PER_SH","FQ4 2017","FQ4 2017","Currency=INR","Period=FQ","BEST_FPERIOD_OVERRIDE=FQ","FILING_STATUS=OR","EQY_CONSOLIDATED=Y","Sort=A","Dates=H","DateFormat=P","Fill=—","Direction=H","UseDPDF=Y")</f>
        <v>#NAME?</v>
      </c>
      <c r="AS247" s="1" t="e">
        <f ca="1">_xll.BDH($C$228,"ACCOUNTS_RECEIVABLE_5_YR_GROWTH","FQ4 2017","FQ4 2017","Currency=INR","Period=FQ","BEST_FPERIOD_OVERRIDE=FQ","FILING_STATUS=OR","EQY_CONSOLIDATED=Y","Sort=A","Dates=H","DateFormat=P","Fill=—","Direction=H","UseDPDF=Y")</f>
        <v>#NAME?</v>
      </c>
      <c r="AT247" s="1" t="e">
        <f ca="1">_xll.BDH($C$228,"INVENTORY_5_YEAR_GROWTH","FQ4 2017","FQ4 2017","Currency=INR","Period=FQ","BEST_FPERIOD_OVERRIDE=FQ","FILING_STATUS=OR","EQY_CONSOLIDATED=Y","Sort=A","Dates=H","DateFormat=P","Fill=—","Direction=H","UseDPDF=Y")</f>
        <v>#NAME?</v>
      </c>
      <c r="AU247" s="1" t="e">
        <f ca="1">_xll.BDH($C$228,"NET_FIXED_ASSETS_5_YEAR_GROWTH","FQ4 2017","FQ4 2017","Currency=INR","Period=FQ","BEST_FPERIOD_OVERRIDE=FQ","FILING_STATUS=OR","EQY_CONSOLIDATED=Y","Sort=A","Dates=H","DateFormat=P","Fill=—","Direction=H","UseDPDF=Y")</f>
        <v>#NAME?</v>
      </c>
      <c r="AV247" s="1" t="e">
        <f ca="1">_xll.BDH($C$228,"GEO_GROW_TOT_ASSET","FQ4 2017","FQ4 2017","Currency=INR","Period=FQ","BEST_FPERIOD_OVERRIDE=FQ","FILING_STATUS=OR","EQY_CONSOLIDATED=Y","Sort=A","Dates=H","DateFormat=P","Fill=—","Direction=H","UseDPDF=Y")</f>
        <v>#NAME?</v>
      </c>
      <c r="AW247" s="1" t="e">
        <f ca="1">_xll.BDH($C$228,"MODIFIED_WORKING_CPTL_5YR_GRWTH","FQ4 2017","FQ4 2017","Currency=INR","Period=FQ","BEST_FPERIOD_OVERRIDE=FQ","FILING_STATUS=OR","EQY_CONSOLIDATED=Y","Sort=A","Dates=H","DateFormat=P","Fill=—","Direction=H","UseDPDF=Y")</f>
        <v>#NAME?</v>
      </c>
      <c r="AX247" s="1" t="e">
        <f ca="1">_xll.BDH($C$228,"WORKING_CAPITAL_5_YEAR_GROWTH","FQ4 2017","FQ4 2017","Currency=INR","Period=FQ","BEST_FPERIOD_OVERRIDE=FQ","FILING_STATUS=OR","EQY_CONSOLIDATED=Y","Sort=A","Dates=H","DateFormat=P","Fill=—","Direction=H","UseDPDF=Y")</f>
        <v>#NAME?</v>
      </c>
      <c r="AY247" s="1" t="e">
        <f ca="1">_xll.BDH($C$228,"ACCOUNTS_PAYABLE_5_YEAR_GROWTH","FQ4 2017","FQ4 2017","Currency=INR","Period=FQ","BEST_FPERIOD_OVERRIDE=FQ","FILING_STATUS=OR","EQY_CONSOLIDATED=Y","Sort=A","Dates=H","DateFormat=P","Fill=—","Direction=H","UseDPDF=Y")</f>
        <v>#NAME?</v>
      </c>
      <c r="AZ247" s="1" t="e">
        <f ca="1">_xll.BDH($C$228,"SHORT_TERM_DEBT_5_YEAR_GROWTH","FQ4 2017","FQ4 2017","Currency=INR","Period=FQ","BEST_FPERIOD_OVERRIDE=FQ","FILING_STATUS=OR","EQY_CONSOLIDATED=Y","Sort=A","Dates=H","DateFormat=P","Fill=—","Direction=H","UseDPDF=Y")</f>
        <v>#NAME?</v>
      </c>
      <c r="BA247" s="1" t="e">
        <f ca="1">_xll.BDH($C$228,"TOTAL_DEBT_5_YEAR_GROWTH","FQ4 2017","FQ4 2017","Currency=INR","Period=FQ","BEST_FPERIOD_OVERRIDE=FQ","FILING_STATUS=OR","EQY_CONSOLIDATED=Y","Sort=A","Dates=H","DateFormat=P","Fill=—","Direction=H","UseDPDF=Y")</f>
        <v>#NAME?</v>
      </c>
      <c r="BB247" s="1" t="e">
        <f ca="1">_xll.BDH($C$228,"GEO_GROW_TOT_SHRHLDR_EQY","FQ4 2017","FQ4 2017","Currency=INR","Period=FQ","BEST_FPERIOD_OVERRIDE=FQ","FILING_STATUS=OR","EQY_CONSOLIDATED=Y","Sort=A","Dates=H","DateFormat=P","Fill=—","Direction=H","UseDPDF=Y")</f>
        <v>#NAME?</v>
      </c>
      <c r="BC247" s="1" t="e">
        <f ca="1">_xll.BDH($C$228,"TOTAL_CAPITAL_5_YEAR_GROWTH","FQ4 2017","FQ4 2017","Currency=INR","Period=FQ","BEST_FPERIOD_OVERRIDE=FQ","FILING_STATUS=OR","EQY_CONSOLIDATED=Y","Sort=A","Dates=H","DateFormat=P","Fill=—","Direction=H","UseDPDF=Y")</f>
        <v>#NAME?</v>
      </c>
      <c r="BD247" s="1" t="e">
        <f ca="1">_xll.BDH($C$228,"GEO_GROW_BOOK_VAL","FQ4 2017","FQ4 2017","Currency=INR","Period=FQ","BEST_FPERIOD_OVERRIDE=FQ","FILING_STATUS=OR","EQY_CONSOLIDATED=Y","Sort=A","Dates=H","DateFormat=P","Fill=—","Direction=H","UseDPDF=Y")</f>
        <v>#NAME?</v>
      </c>
      <c r="BE247" s="1" t="e">
        <f ca="1">_xll.BDH($C$228,"GEO_GROW_CASH_OPER_ACT","FQ4 2017","FQ4 2017","Currency=INR","Period=FQ","BEST_FPERIOD_OVERRIDE=FQ","FILING_STATUS=OR","EQY_CONSOLIDATED=Y","Sort=A","Dates=H","DateFormat=P","Fill=—","Direction=H","UseDPDF=Y")</f>
        <v>#NAME?</v>
      </c>
      <c r="BF247" s="1" t="e">
        <f ca="1">_xll.BDH($C$228,"REVENUE_SEQUENTIAL_GROWTH","FQ4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47" s="1" t="e">
        <f ca="1">_xll.BDH($C$228,"EBITDA_SEQUENTIAL_GROWTH","FQ4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47" s="1" t="e">
        <f ca="1">_xll.BDH($C$228,"OPERATING_INCOME_SEQ_GROWTH","FQ4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47" s="1" t="e">
        <f ca="1">_xll.BDH($C$228,"NET_INCOME_TO_COMMON_SEQ_GROWTH","FQ4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47" s="1" t="e">
        <f ca="1">_xll.BDH($C$228,"EPS_DILUTED_SEQUENTIAL_GROWTH","FQ4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47" s="1" t="e">
        <f ca="1">_xll.BDH($C$228,"DPS_SEQUENTIAL_GROWTH","FQ4 2017","FQ4 2017","Currency=INR","Period=FQ","BEST_FPERIOD_OVERRIDE=FQ","FILING_STATUS=OR","EQY_CONSOLIDATED=Y","Sort=A","Dates=H","DateFormat=P","Fill=—","Direction=H","UseDPDF=Y")</f>
        <v>#NAME?</v>
      </c>
      <c r="BL247" s="1" t="e">
        <f ca="1">_xll.BDH($C$228,"ACCOUNTS_RECEIVABLE_SEQ_GROWTH","FQ4 2017","FQ4 2017","Currency=INR","Period=FQ","BEST_FPERIOD_OVERRIDE=FQ","FILING_STATUS=OR","EQY_CONSOLIDATED=Y","Sort=A","Dates=H","DateFormat=P","Fill=—","Direction=H","UseDPDF=Y")</f>
        <v>#NAME?</v>
      </c>
      <c r="BM247" s="1" t="e">
        <f ca="1">_xll.BDH($C$228,"INVENTORY_SEQUENTIAL_GROWTH","FQ4 2017","FQ4 2017","Currency=INR","Period=FQ","BEST_FPERIOD_OVERRIDE=FQ","FILING_STATUS=OR","EQY_CONSOLIDATED=Y","Sort=A","Dates=H","DateFormat=P","Fill=—","Direction=H","UseDPDF=Y")</f>
        <v>#NAME?</v>
      </c>
      <c r="BN247" s="1" t="e">
        <f ca="1">_xll.BDH($C$228,"FIXED_ASSETS_SEQUENTIAL_GROWTH","FQ4 2017","FQ4 2017","Currency=INR","Period=FQ","BEST_FPERIOD_OVERRIDE=FQ","FILING_STATUS=OR","EQY_CONSOLIDATED=Y","Sort=A","Dates=H","DateFormat=P","Fill=—","Direction=H","UseDPDF=Y")</f>
        <v>#NAME?</v>
      </c>
      <c r="BO247" s="1" t="e">
        <f ca="1">_xll.BDH($C$228,"TOTAL_ASSETS_SEQUENTIAL_GROWTH","FQ4 2017","FQ4 2017","Currency=INR","Period=FQ","BEST_FPERIOD_OVERRIDE=FQ","FILING_STATUS=OR","EQY_CONSOLIDATED=Y","Sort=A","Dates=H","DateFormat=P","Fill=—","Direction=H","UseDPDF=Y")</f>
        <v>#NAME?</v>
      </c>
      <c r="BP247" s="1" t="e">
        <f ca="1">_xll.BDH($C$228,"MODIFIED_WORKING_CPTL_SEQ_GRWTH","FQ4 2017","FQ4 2017","Currency=INR","Period=FQ","BEST_FPERIOD_OVERRIDE=FQ","FILING_STATUS=OR","EQY_CONSOLIDATED=Y","Sort=A","Dates=H","DateFormat=P","Fill=—","Direction=H","UseDPDF=Y")</f>
        <v>#NAME?</v>
      </c>
      <c r="BQ247" s="1" t="e">
        <f ca="1">_xll.BDH($C$228,"WORKING_CAPITAL_SEQ_GROWTH","FQ4 2017","FQ4 2017","Currency=INR","Period=FQ","BEST_FPERIOD_OVERRIDE=FQ","FILING_STATUS=OR","EQY_CONSOLIDATED=Y","Sort=A","Dates=H","DateFormat=P","Fill=—","Direction=H","UseDPDF=Y")</f>
        <v>#NAME?</v>
      </c>
      <c r="BR247" s="1" t="e">
        <f ca="1">_xll.BDH($C$228,"ACCOUNTS_PAYABLE_SEQ_GROWTH","FQ4 2017","FQ4 2017","Currency=INR","Period=FQ","BEST_FPERIOD_OVERRIDE=FQ","FILING_STATUS=OR","EQY_CONSOLIDATED=Y","Sort=A","Dates=H","DateFormat=P","Fill=—","Direction=H","UseDPDF=Y")</f>
        <v>#NAME?</v>
      </c>
      <c r="BS247" s="1" t="e">
        <f ca="1">_xll.BDH($C$228,"ST_DEBT_SEQUENTIAL_GROWTH","FQ4 2017","FQ4 2017","Currency=INR","Period=FQ","BEST_FPERIOD_OVERRIDE=FQ","FILING_STATUS=OR","EQY_CONSOLIDATED=Y","Sort=A","Dates=H","DateFormat=P","Fill=—","Direction=H","UseDPDF=Y")</f>
        <v>#NAME?</v>
      </c>
      <c r="BT247" s="1" t="e">
        <f ca="1">_xll.BDH($C$228,"TOTAL_DEBT_SEQUENTIAL_GROWTH","FQ4 2017","FQ4 2017","Currency=INR","Period=FQ","BEST_FPERIOD_OVERRIDE=FQ","FILING_STATUS=OR","EQY_CONSOLIDATED=Y","Sort=A","Dates=H","DateFormat=P","Fill=—","Direction=H","UseDPDF=Y")</f>
        <v>#NAME?</v>
      </c>
      <c r="BU247" s="1" t="e">
        <f ca="1">_xll.BDH($C$228,"TOTAL_EQUITY_SEQUENTIAL_GROWTH","FQ4 2017","FQ4 2017","Currency=INR","Period=FQ","BEST_FPERIOD_OVERRIDE=FQ","FILING_STATUS=OR","EQY_CONSOLIDATED=Y","Sort=A","Dates=H","DateFormat=P","Fill=—","Direction=H","UseDPDF=Y")</f>
        <v>#NAME?</v>
      </c>
      <c r="BV247" s="1" t="e">
        <f ca="1">_xll.BDH($C$228,"TOTAL_CAPITAL_SEQUENTIAL_GROWTH","FQ4 2017","FQ4 2017","Currency=INR","Period=FQ","BEST_FPERIOD_OVERRIDE=FQ","FILING_STATUS=OR","EQY_CONSOLIDATED=Y","Sort=A","Dates=H","DateFormat=P","Fill=—","Direction=H","UseDPDF=Y")</f>
        <v>#NAME?</v>
      </c>
      <c r="BW247" s="1" t="e">
        <f ca="1">_xll.BDH($C$228,"BPS_SEQUENTIAL_GROWTH","FQ4 2017","FQ4 2017","Currency=INR","Period=FQ","BEST_FPERIOD_OVERRIDE=FQ","FILING_STATUS=OR","EQY_CONSOLIDATED=Y","Sort=A","Dates=H","DateFormat=P","Fill=—","Direction=H","UseDPDF=Y")</f>
        <v>#NAME?</v>
      </c>
      <c r="BX247" s="1" t="e">
        <f ca="1">_xll.BDH($C$228,"CFO_SEQUENTIAL_GROWTH","FQ4 2017","FQ4 2017","Currency=INR","Period=FQ","BEST_FPERIOD_OVERRIDE=FQ","FILING_STATUS=OR","EQY_CONSOLIDATED=Y","Sort=A","Dates=H","DateFormat=P","Fill=—","Direction=H","UseDPDF=Y")</f>
        <v>#NAME?</v>
      </c>
      <c r="BY247" s="2" t="e">
        <f ca="1">_xll.BDH($C$228,"SHORT_AND_LONG_TERM_DEBT","FQ4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47" s="2" t="e">
        <f ca="1">_xll.BDH($C$228,"BS_ST_BORROW","FQ4 2017","FQ4 2017","Currency=INR","Period=FQ","BEST_FPERIOD_OVERRIDE=FQ","FILING_STATUS=OR","EQY_CONSOLIDATED=Y","SCALING_FORMAT=MLN","Sort=A","Dates=H","DateFormat=P","Fill=—","Direction=H","UseDPDF=Y")</f>
        <v>#NAME?</v>
      </c>
      <c r="CA247" s="2" t="e">
        <f ca="1">_xll.BDH($C$228,"BS_LT_BORROW","FQ4 2017","FQ4 2017","Currency=INR","Period=FQ","BEST_FPERIOD_OVERRIDE=FQ","FILING_STATUS=OR","EQY_CONSOLIDATED=Y","SCALING_FORMAT=MLN","Sort=A","Dates=H","DateFormat=P","Fill=—","Direction=H","UseDPDF=Y")</f>
        <v>#NAME?</v>
      </c>
      <c r="CB247" s="1" t="e">
        <f ca="1">_xll.BDH($C$228,"TOT_DEBT_TO_EBITDA","FQ4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47" s="1" t="e">
        <f ca="1">_xll.BDH($C$228,"NET_DEBT_TO_EBITDA","FQ4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47" s="1" t="e">
        <f ca="1">_xll.BDH($C$228,"TOTAL_DEBT_TO_EBIT","FQ4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47" s="1" t="e">
        <f ca="1">_xll.BDH($C$228,"NET_DEBT_TO_EBIT","FQ4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247" s="1" t="e">
        <f ca="1">_xll.BDH($C$228,"EBITDA_TO_INTEREST_EXPN","FQ4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47" s="1" t="e">
        <f ca="1">_xll.BDH($C$228,"COM_EQY_TO_TOT_ASSET","FQ4 2017","FQ4 2017","Currency=INR","Period=FQ","BEST_FPERIOD_OVERRIDE=FQ","FILING_STATUS=OR","EQY_CONSOLIDATED=Y","Sort=A","Dates=H","DateFormat=P","Fill=—","Direction=H","UseDPDF=Y")</f>
        <v>#NAME?</v>
      </c>
      <c r="CH247" s="1" t="e">
        <f ca="1">_xll.BDH($C$228,"LT_DEBT_TO_TOT_EQY","FQ4 2017","FQ4 2017","Currency=INR","Period=FQ","BEST_FPERIOD_OVERRIDE=FQ","FILING_STATUS=OR","EQY_CONSOLIDATED=Y","Sort=A","Dates=H","DateFormat=P","Fill=—","Direction=H","UseDPDF=Y")</f>
        <v>#NAME?</v>
      </c>
      <c r="CI247" s="1" t="e">
        <f ca="1">_xll.BDH($C$228,"LT_DEBT_TO_TOT_CAP","FQ4 2017","FQ4 2017","Currency=INR","Period=FQ","BEST_FPERIOD_OVERRIDE=FQ","FILING_STATUS=OR","EQY_CONSOLIDATED=Y","Sort=A","Dates=H","DateFormat=P","Fill=—","Direction=H","UseDPDF=Y")</f>
        <v>#NAME?</v>
      </c>
      <c r="CJ247" s="1" t="e">
        <f ca="1">_xll.BDH($C$228,"LT_DEBT_TO_TOT_ASSET","FQ4 2017","FQ4 2017","Currency=INR","Period=FQ","BEST_FPERIOD_OVERRIDE=FQ","FILING_STATUS=OR","EQY_CONSOLIDATED=Y","Sort=A","Dates=H","DateFormat=P","Fill=—","Direction=H","UseDPDF=Y")</f>
        <v>#NAME?</v>
      </c>
      <c r="CK247" s="1" t="e">
        <f ca="1">_xll.BDH($C$228,"TOT_DEBT_TO_TOT_EQY","FQ4 2017","FQ4 2017","Currency=INR","Period=FQ","BEST_FPERIOD_OVERRIDE=FQ","FILING_STATUS=OR","EQY_CONSOLIDATED=Y","Sort=A","Dates=H","DateFormat=P","Fill=—","Direction=H","UseDPDF=Y")</f>
        <v>#NAME?</v>
      </c>
      <c r="CL247" s="1" t="e">
        <f ca="1">_xll.BDH($C$228,"TOT_DEBT_TO_TOT_CAP","FQ4 2017","FQ4 2017","Currency=INR","Period=FQ","BEST_FPERIOD_OVERRIDE=FQ","FILING_STATUS=OR","EQY_CONSOLIDATED=Y","Sort=A","Dates=H","DateFormat=P","Fill=—","Direction=H","UseDPDF=Y")</f>
        <v>#NAME?</v>
      </c>
      <c r="CM247" s="1" t="e">
        <f ca="1">_xll.BDH($C$228,"TOT_DEBT_TO_TOT_ASSET","FQ4 2017","FQ4 2017","Currency=INR","Period=FQ","BEST_FPERIOD_OVERRIDE=FQ","FILING_STATUS=OR","EQY_CONSOLIDATED=Y","Sort=A","Dates=H","DateFormat=P","Fill=—","Direction=H","UseDPDF=Y")</f>
        <v>#NAME?</v>
      </c>
      <c r="CN247" s="1" t="e">
        <f ca="1">_xll.BDH($C$228,"NET_DEBT_TO_SHRHLDR_EQTY","FQ4 2017","FQ4 2017","Currency=INR","Period=FQ","BEST_FPERIOD_OVERRIDE=FQ","FILING_STATUS=OR","EQY_CONSOLIDATED=Y","Sort=A","Dates=H","DateFormat=P","Fill=—","Direction=H","UseDPDF=Y")</f>
        <v>#NAME?</v>
      </c>
      <c r="CO247" s="1" t="e">
        <f ca="1">_xll.BDH($C$228,"NET_DEBT_%_CAPITAL","FQ4 2017","FQ4 2017","Currency=INR","Period=FQ","BEST_FPERIOD_OVERRIDE=FQ","FILING_STATUS=OR","EQY_CONSOLIDATED=Y","Sort=A","Dates=H","DateFormat=P","Fill=—","Direction=H","UseDPDF=Y")</f>
        <v>#NAME?</v>
      </c>
      <c r="CP247" s="2" t="e">
        <f ca="1">_xll.BDH($C$228,"EBITDA","FQ4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47" s="2" t="e">
        <f ca="1">_xll.BDH($C$228,"EBITDA_AFTER_CAPEX","FQ4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47" s="2" t="e">
        <f ca="1">_xll.BDH($C$228,"IS_OPER_INC","FQ4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47" s="1" t="e">
        <f ca="1">_xll.BDH($C$228,"CASH_RATIO","FQ4 2017","FQ4 2017","Currency=INR","Period=FQ","BEST_FPERIOD_OVERRIDE=FQ","FILING_STATUS=OR","EQY_CONSOLIDATED=Y","Sort=A","Dates=H","DateFormat=P","Fill=—","Direction=H","UseDPDF=Y")</f>
        <v>#NAME?</v>
      </c>
      <c r="CT247" s="1" t="e">
        <f ca="1">_xll.BDH($C$228,"CUR_RATIO","FQ4 2017","FQ4 2017","Currency=INR","Period=FQ","BEST_FPERIOD_OVERRIDE=FQ","FILING_STATUS=OR","EQY_CONSOLIDATED=Y","Sort=A","Dates=H","DateFormat=P","Fill=—","Direction=H","UseDPDF=Y")</f>
        <v>#NAME?</v>
      </c>
      <c r="CU247" s="1" t="e">
        <f ca="1">_xll.BDH($C$228,"QUICK_RATIO","FQ4 2017","FQ4 2017","Currency=INR","Period=FQ","BEST_FPERIOD_OVERRIDE=FQ","FILING_STATUS=OR","EQY_CONSOLIDATED=Y","Sort=A","Dates=H","DateFormat=P","Fill=—","Direction=H","UseDPDF=Y")</f>
        <v>#NAME?</v>
      </c>
      <c r="CV247" s="1" t="e">
        <f ca="1">_xll.BDH($C$228,"ALTMAN_Z_SCORE","FQ4 2017","FQ4 2017","Currency=INR","Period=FQ","BEST_FPERIOD_OVERRIDE=FQ","FILING_STATUS=OR","EQY_CONSOLIDATED=Y","Sort=A","Dates=H","DateFormat=P","Fill=—","Direction=H","UseDPDF=Y")</f>
        <v>#NAME?</v>
      </c>
      <c r="CW247" s="3" t="e">
        <f ca="1">_xll.BDH($C$228,"ACCT_RCV_TURN","FQ4 2017","FQ4 2017","Currency=INR","Period=FQ","BEST_FPERIOD_OVERRIDE=FQ","FILING_STATUS=OR","EQY_CONSOLIDATED=Y","FA_ADJUSTED=GAAP","Sort=A","Dates=H","DateFormat=P","Fill=—","Direction=H","UseDPDF=Y")</f>
        <v>#NAME?</v>
      </c>
      <c r="CX247" s="1" t="e">
        <f ca="1">_xll.BDH($C$228,"ACCT_RCV_DAYS","FQ4 2017","FQ4 2017","Currency=INR","Period=FQ","BEST_FPERIOD_OVERRIDE=FQ","FILING_STATUS=OR","EQY_CONSOLIDATED=Y","FA_ADJUSTED=GAAP","Sort=A","Dates=H","DateFormat=P","Fill=—","Direction=H","UseDPDF=Y")</f>
        <v>#NAME?</v>
      </c>
      <c r="CY247" s="3" t="e">
        <f ca="1">_xll.BDH($C$228,"INVENT_TURN","FQ4 2017","FQ4 2017","Currency=INR","Period=FQ","BEST_FPERIOD_OVERRIDE=FQ","FILING_STATUS=OR","EQY_CONSOLIDATED=Y","FA_ADJUSTED=GAAP","Sort=A","Dates=H","DateFormat=P","Fill=—","Direction=H","UseDPDF=Y")</f>
        <v>#NAME?</v>
      </c>
      <c r="CZ247" s="1" t="e">
        <f ca="1">_xll.BDH($C$228,"INVENT_DAYS","FQ4 2017","FQ4 2017","Currency=INR","Period=FQ","BEST_FPERIOD_OVERRIDE=FQ","FILING_STATUS=OR","EQY_CONSOLIDATED=Y","FA_ADJUSTED=GAAP","Sort=A","Dates=H","DateFormat=P","Fill=—","Direction=H","UseDPDF=Y")</f>
        <v>#NAME?</v>
      </c>
      <c r="DA247" s="3" t="e">
        <f ca="1">_xll.BDH($C$228,"ACCOUNTS_PAYABLE_TURNOVER","FQ4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47" s="1" t="e">
        <f ca="1">_xll.BDH($C$228,"ACCOUNTS_PAYABLE_TURNOVER_DAYS","FQ4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47" s="3" t="e">
        <f ca="1">_xll.BDH($C$228,"CASH_CONVERSION_CYCLE","FQ4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47" s="3" t="e">
        <f ca="1">_xll.BDH($C$228,"INV_TO_CASH_DAYS","FQ4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247" s="4" t="e">
        <f ca="1">_xll.BDH($C$228,"BS_INVENTORIES","FQ4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247" s="2" t="e">
        <f ca="1">_xll.BDH($C$228,"INVTRY_RAW_MATERIALS","FQ4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47" s="2" t="e">
        <f ca="1">_xll.BDH($C$228,"INVTRY_IN_PROGRESS","FQ4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47" s="2" t="e">
        <f ca="1">_xll.BDH($C$228,"INVTRY_FINISHED_GOODS","FQ4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47" s="2" t="e">
        <f ca="1">_xll.BDH($C$228,"BS_OTHER_INV","FQ4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48" spans="1:113" x14ac:dyDescent="0.3">
      <c r="A248" s="6"/>
      <c r="B248" s="6"/>
      <c r="C248" s="6"/>
      <c r="D248" s="6" t="s">
        <v>11</v>
      </c>
      <c r="E248" t="s">
        <v>3</v>
      </c>
      <c r="F248" t="e">
        <f ca="1">_xll.BDH($C$228,"RETURN_COM_EQY","FY 2018","FY 2018","Currency=INR","Period=FY","BEST_FPERIOD_OVERRIDE=FY","FILING_STATUS=OR","EQY_CONSOLIDATED=Y","FA_ADJUSTED=GAAP","Sort=A","Dates=H","DateFormat=P","Fill=—","Direction=H","UseDPDF=Y")</f>
        <v>#NAME?</v>
      </c>
      <c r="G248" t="e">
        <f ca="1">_xll.BDH($C$228,"RETURN_ON_ASSET","FY 2018","FY 2018","Currency=INR","Period=FY","BEST_FPERIOD_OVERRIDE=FY","FILING_STATUS=OR","EQY_CONSOLIDATED=Y","FA_ADJUSTED=GAAP","Sort=A","Dates=H","DateFormat=P","Fill=—","Direction=H","UseDPDF=Y")</f>
        <v>#NAME?</v>
      </c>
      <c r="H248" t="e">
        <f ca="1">_xll.BDH($C$228,"RETURN_ON_CAP","FY 2018","FY 2018","Currency=INR","Period=FY","BEST_FPERIOD_OVERRIDE=FY","FILING_STATUS=OR","EQY_CONSOLIDATED=Y","FA_ADJUSTED=GAAP","Sort=A","Dates=H","DateFormat=P","Fill=—","Direction=H","UseDPDF=Y")</f>
        <v>#NAME?</v>
      </c>
      <c r="I248" t="e">
        <f ca="1">_xll.BDH($C$228,"RETURN_ON_INV_CAPITAL","FY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48" t="e">
        <f ca="1">_xll.BDH($C$228,"EBITDA_TO_REVENUE","FY 2018","FY 2018","Currency=INR","Period=FY","BEST_FPERIOD_OVERRIDE=FY","FILING_STATUS=OR","EQY_CONSOLIDATED=Y","FA_ADJUSTED=GAAP","Sort=A","Dates=H","DateFormat=P","Fill=—","Direction=H","UseDPDF=Y")</f>
        <v>#NAME?</v>
      </c>
      <c r="K248" t="e">
        <f ca="1">_xll.BDH($C$228,"OPER_MARGIN","FY 2018","FY 2018","Currency=INR","Period=FY","BEST_FPERIOD_OVERRIDE=FY","FILING_STATUS=OR","EQY_CONSOLIDATED=Y","FA_ADJUSTED=GAAP","Sort=A","Dates=H","DateFormat=P","Fill=—","Direction=H","UseDPDF=Y")</f>
        <v>#NAME?</v>
      </c>
      <c r="L248" t="e">
        <f ca="1">_xll.BDH($C$228,"INCREMENTAL_OPERATING_MARGIN","FY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48" t="e">
        <f ca="1">_xll.BDH($C$228,"PRETAX_INC_TO_NET_SALES","FY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48" t="e">
        <f ca="1">_xll.BDH($C$228,"INC_BEF_XO_ITEMS_TO_NET_SALES","FY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48" t="e">
        <f ca="1">_xll.BDH($C$228,"PROF_MARGIN","FY 2018","FY 2018","Currency=INR","Period=FY","BEST_FPERIOD_OVERRIDE=FY","FILING_STATUS=OR","EQY_CONSOLIDATED=Y","FA_ADJUSTED=GAAP","Sort=A","Dates=H","DateFormat=P","Fill=—","Direction=H","UseDPDF=Y")</f>
        <v>#NAME?</v>
      </c>
      <c r="P248" t="e">
        <f ca="1">_xll.BDH($C$228,"NET_INCOME_TO_COMMON_MARGIN","FY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48" t="e">
        <f ca="1">_xll.BDH($C$228,"EFF_TAX_RATE","FY 2018","FY 2018","Currency=INR","Period=FY","BEST_FPERIOD_OVERRIDE=FY","FILING_STATUS=OR","EQY_CONSOLIDATED=Y","FA_ADJUSTED=GAAP","Sort=A","Dates=H","DateFormat=P","Fill=—","Direction=H","UseDPDF=Y")</f>
        <v>#NAME?</v>
      </c>
      <c r="R248" t="e">
        <f ca="1">_xll.BDH($C$228,"DVD_PAYOUT_RATIO","FY 2018","FY 2018","Currency=INR","Period=FY","BEST_FPERIOD_OVERRIDE=FY","FILING_STATUS=OR","EQY_CONSOLIDATED=Y","FA_ADJUSTED=GAAP","Sort=A","Dates=H","DateFormat=P","Fill=—","Direction=H","UseDPDF=Y")</f>
        <v>#NAME?</v>
      </c>
      <c r="S248" t="e">
        <f ca="1">_xll.BDH($C$228,"SUSTAIN_GROWTH_RT","FY 2018","FY 2018","Currency=INR","Period=FY","BEST_FPERIOD_OVERRIDE=FY","FILING_STATUS=OR","EQY_CONSOLIDATED=Y","FA_ADJUSTED=GAAP","Sort=A","Dates=H","DateFormat=P","Fill=—","Direction=H","UseDPDF=Y")</f>
        <v>#NAME?</v>
      </c>
      <c r="T248" s="1" t="e">
        <f ca="1">_xll.BDH($C$228,"SALES_GROWTH","FY 2018","FY 2018","Currency=INR","Period=FY","BEST_FPERIOD_OVERRIDE=FY","FILING_STATUS=OR","EQY_CONSOLIDATED=Y","FA_ADJUSTED=GAAP","Sort=A","Dates=H","DateFormat=P","Fill=—","Direction=H","UseDPDF=Y")</f>
        <v>#NAME?</v>
      </c>
      <c r="U248" s="1" t="e">
        <f ca="1">_xll.BDH($C$228,"EBITDA_GROWTH","FY 2018","FY 2018","Currency=INR","Period=FY","BEST_FPERIOD_OVERRIDE=FY","FILING_STATUS=OR","EQY_CONSOLIDATED=Y","FA_ADJUSTED=GAAP","Sort=A","Dates=H","DateFormat=P","Fill=—","Direction=H","UseDPDF=Y")</f>
        <v>#NAME?</v>
      </c>
      <c r="V248" s="1" t="e">
        <f ca="1">_xll.BDH($C$228,"OPER_INC_GROWTH","FY 2018","FY 2018","Currency=INR","Period=FY","BEST_FPERIOD_OVERRIDE=FY","FILING_STATUS=OR","EQY_CONSOLIDATED=Y","FA_ADJUSTED=GAAP","Sort=A","Dates=H","DateFormat=P","Fill=—","Direction=H","UseDPDF=Y")</f>
        <v>#NAME?</v>
      </c>
      <c r="W248" s="1" t="e">
        <f ca="1">_xll.BDH($C$228,"EARN_FOR_COM_GROWTH","FY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248" s="1" t="e">
        <f ca="1">_xll.BDH($C$228,"DILUTED_EPS_AFT_XO_ITEMS_GROWTH","FY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48" s="1" t="e">
        <f ca="1">_xll.BDH($C$228,"DIVIDEND_PER_SHARE_1_YEAR_GROWTH","FY 2018","FY 2018","Currency=INR","Period=FY","BEST_FPERIOD_OVERRIDE=FY","FILING_STATUS=OR","EQY_CONSOLIDATED=Y","Sort=A","Dates=H","DateFormat=P","Fill=—","Direction=H","UseDPDF=Y")</f>
        <v>#NAME?</v>
      </c>
      <c r="Z248" s="1" t="e">
        <f ca="1">_xll.BDH($C$228,"ACCOUNTS_RECEIVABLE_GROWTH","FY 2018","FY 2018","Currency=INR","Period=FY","BEST_FPERIOD_OVERRIDE=FY","FILING_STATUS=OR","EQY_CONSOLIDATED=Y","Sort=A","Dates=H","DateFormat=P","Fill=—","Direction=H","UseDPDF=Y")</f>
        <v>#NAME?</v>
      </c>
      <c r="AA248" s="1" t="e">
        <f ca="1">_xll.BDH($C$228,"INVENTORY_GROWTH","FY 2018","FY 2018","Currency=INR","Period=FY","BEST_FPERIOD_OVERRIDE=FY","FILING_STATUS=OR","EQY_CONSOLIDATED=Y","Sort=A","Dates=H","DateFormat=P","Fill=—","Direction=H","UseDPDF=Y")</f>
        <v>#NAME?</v>
      </c>
      <c r="AB248" s="1" t="e">
        <f ca="1">_xll.BDH($C$228,"NET_FIXED_ASSETS_1_YEAR_GROWTH","FY 2018","FY 2018","Currency=INR","Period=FY","BEST_FPERIOD_OVERRIDE=FY","FILING_STATUS=OR","EQY_CONSOLIDATED=Y","Sort=A","Dates=H","DateFormat=P","Fill=—","Direction=H","UseDPDF=Y")</f>
        <v>#NAME?</v>
      </c>
      <c r="AC248" s="1" t="e">
        <f ca="1">_xll.BDH($C$228,"ASSET_GROWTH","FY 2018","FY 2018","Currency=INR","Period=FY","BEST_FPERIOD_OVERRIDE=FY","FILING_STATUS=OR","EQY_CONSOLIDATED=Y","Sort=A","Dates=H","DateFormat=P","Fill=—","Direction=H","UseDPDF=Y")</f>
        <v>#NAME?</v>
      </c>
      <c r="AD248" s="1" t="e">
        <f ca="1">_xll.BDH($C$228,"MODIFIED_WORK_CAP_GROWTH","FY 2018","FY 2018","Currency=INR","Period=FY","BEST_FPERIOD_OVERRIDE=FY","FILING_STATUS=OR","EQY_CONSOLIDATED=Y","Sort=A","Dates=H","DateFormat=P","Fill=—","Direction=H","UseDPDF=Y")</f>
        <v>#NAME?</v>
      </c>
      <c r="AE248" s="1" t="e">
        <f ca="1">_xll.BDH($C$228,"WORK_CAP_GROWTH","FY 2018","FY 2018","Currency=INR","Period=FY","BEST_FPERIOD_OVERRIDE=FY","FILING_STATUS=OR","EQY_CONSOLIDATED=Y","Sort=A","Dates=H","DateFormat=P","Fill=—","Direction=H","UseDPDF=Y")</f>
        <v>#NAME?</v>
      </c>
      <c r="AF248" s="1" t="e">
        <f ca="1">_xll.BDH($C$228,"ACCOUNTS_PAYABLE_GROWTH_1YR","FY 2018","FY 2018","Currency=INR","Period=FY","BEST_FPERIOD_OVERRIDE=FY","FILING_STATUS=OR","EQY_CONSOLIDATED=Y","Sort=A","Dates=H","DateFormat=P","Fill=—","Direction=H","UseDPDF=Y")</f>
        <v>#NAME?</v>
      </c>
      <c r="AG248" s="1" t="e">
        <f ca="1">_xll.BDH($C$228,"SHORT_TERM_DEBT_1_YEAR_GROWTH","FY 2018","FY 2018","Currency=INR","Period=FY","BEST_FPERIOD_OVERRIDE=FY","FILING_STATUS=OR","EQY_CONSOLIDATED=Y","Sort=A","Dates=H","DateFormat=P","Fill=—","Direction=H","UseDPDF=Y")</f>
        <v>#NAME?</v>
      </c>
      <c r="AH248" s="1" t="e">
        <f ca="1">_xll.BDH($C$228,"TOTAL_DEBT_1_YEAR_GROWTH","FY 2018","FY 2018","Currency=INR","Period=FY","BEST_FPERIOD_OVERRIDE=FY","FILING_STATUS=OR","EQY_CONSOLIDATED=Y","Sort=A","Dates=H","DateFormat=P","Fill=—","Direction=H","UseDPDF=Y")</f>
        <v>#NAME?</v>
      </c>
      <c r="AI248" s="1" t="e">
        <f ca="1">_xll.BDH($C$228,"TOTAL_EQUITY_1_YEAR_GROWTH","FY 2018","FY 2018","Currency=INR","Period=FY","BEST_FPERIOD_OVERRIDE=FY","FILING_STATUS=OR","EQY_CONSOLIDATED=Y","Sort=A","Dates=H","DateFormat=P","Fill=—","Direction=H","UseDPDF=Y")</f>
        <v>#NAME?</v>
      </c>
      <c r="AJ248" s="1" t="e">
        <f ca="1">_xll.BDH($C$228,"GROWTH_IN_CAP","FY 2018","FY 2018","Currency=INR","Period=FY","BEST_FPERIOD_OVERRIDE=FY","FILING_STATUS=OR","EQY_CONSOLIDATED=Y","Sort=A","Dates=H","DateFormat=P","Fill=—","Direction=H","UseDPDF=Y")</f>
        <v>#NAME?</v>
      </c>
      <c r="AK248" s="1" t="e">
        <f ca="1">_xll.BDH($C$228,"BVPS_GROWTH","FY 2018","FY 2018","Currency=INR","Period=FY","BEST_FPERIOD_OVERRIDE=FY","FILING_STATUS=OR","EQY_CONSOLIDATED=Y","Sort=A","Dates=H","DateFormat=P","Fill=—","Direction=H","UseDPDF=Y")</f>
        <v>#NAME?</v>
      </c>
      <c r="AL248" s="1" t="e">
        <f ca="1">_xll.BDH($C$228,"CASH_FLOW_GROWTH","FY 2018","FY 2018","Currency=INR","Period=FY","BEST_FPERIOD_OVERRIDE=FY","FILING_STATUS=OR","EQY_CONSOLIDATED=Y","Sort=A","Dates=H","DateFormat=P","Fill=—","Direction=H","UseDPDF=Y")</f>
        <v>#NAME?</v>
      </c>
      <c r="AM248" s="1" t="e">
        <f ca="1">_xll.BDH($C$228,"GEO_GROW_NET_SALES","FY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248" s="1" t="e">
        <f ca="1">_xll.BDH($C$228,"GEO_GROW_EBITDA","FY 2018","FY 2018","Currency=INR","Period=FY","BEST_FPERIOD_OVERRIDE=FY","FILING_STATUS=OR","EQY_CONSOLIDATED=Y","FA_ADJUSTED=GAAP","Sort=A","Dates=H","DateFormat=P","Fill=—","Direction=H","UseDPDF=Y")</f>
        <v>#NAME?</v>
      </c>
      <c r="AO248" s="1" t="e">
        <f ca="1">_xll.BDH($C$228,"GEO_GROW_OPER_INC","FY 2018","FY 2018","Currency=INR","Period=FY","BEST_FPERIOD_OVERRIDE=FY","FILING_STATUS=OR","EQY_CONSOLIDATED=Y","FA_ADJUSTED=GAAP","Sort=A","Dates=H","DateFormat=P","Fill=—","Direction=H","UseDPDF=Y")</f>
        <v>#NAME?</v>
      </c>
      <c r="AP248" s="1" t="e">
        <f ca="1">_xll.BDH($C$228,"NET_INCOME_TO_COMMON_5_YR_GROWTH","FY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48" s="1" t="e">
        <f ca="1">_xll.BDH($C$228,"5Y_GEO_GROWTH_DILUTED_EPS","FY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48" s="1" t="e">
        <f ca="1">_xll.BDH($C$228,"GEO_GROW_DVD_PER_SH","FY 2018","FY 2018","Currency=INR","Period=FY","BEST_FPERIOD_OVERRIDE=FY","FILING_STATUS=OR","EQY_CONSOLIDATED=Y","Sort=A","Dates=H","DateFormat=P","Fill=—","Direction=H","UseDPDF=Y")</f>
        <v>#NAME?</v>
      </c>
      <c r="AS248" s="1" t="e">
        <f ca="1">_xll.BDH($C$228,"ACCOUNTS_RECEIVABLE_5_YR_GROWTH","FY 2018","FY 2018","Currency=INR","Period=FY","BEST_FPERIOD_OVERRIDE=FY","FILING_STATUS=OR","EQY_CONSOLIDATED=Y","Sort=A","Dates=H","DateFormat=P","Fill=—","Direction=H","UseDPDF=Y")</f>
        <v>#NAME?</v>
      </c>
      <c r="AT248" s="1" t="e">
        <f ca="1">_xll.BDH($C$228,"INVENTORY_5_YEAR_GROWTH","FY 2018","FY 2018","Currency=INR","Period=FY","BEST_FPERIOD_OVERRIDE=FY","FILING_STATUS=OR","EQY_CONSOLIDATED=Y","Sort=A","Dates=H","DateFormat=P","Fill=—","Direction=H","UseDPDF=Y")</f>
        <v>#NAME?</v>
      </c>
      <c r="AU248" s="1" t="e">
        <f ca="1">_xll.BDH($C$228,"NET_FIXED_ASSETS_5_YEAR_GROWTH","FY 2018","FY 2018","Currency=INR","Period=FY","BEST_FPERIOD_OVERRIDE=FY","FILING_STATUS=OR","EQY_CONSOLIDATED=Y","Sort=A","Dates=H","DateFormat=P","Fill=—","Direction=H","UseDPDF=Y")</f>
        <v>#NAME?</v>
      </c>
      <c r="AV248" s="1" t="e">
        <f ca="1">_xll.BDH($C$228,"GEO_GROW_TOT_ASSET","FY 2018","FY 2018","Currency=INR","Period=FY","BEST_FPERIOD_OVERRIDE=FY","FILING_STATUS=OR","EQY_CONSOLIDATED=Y","Sort=A","Dates=H","DateFormat=P","Fill=—","Direction=H","UseDPDF=Y")</f>
        <v>#NAME?</v>
      </c>
      <c r="AW248" s="1" t="e">
        <f ca="1">_xll.BDH($C$228,"MODIFIED_WORKING_CPTL_5YR_GRWTH","FY 2018","FY 2018","Currency=INR","Period=FY","BEST_FPERIOD_OVERRIDE=FY","FILING_STATUS=OR","EQY_CONSOLIDATED=Y","Sort=A","Dates=H","DateFormat=P","Fill=—","Direction=H","UseDPDF=Y")</f>
        <v>#NAME?</v>
      </c>
      <c r="AX248" s="1" t="e">
        <f ca="1">_xll.BDH($C$228,"WORKING_CAPITAL_5_YEAR_GROWTH","FY 2018","FY 2018","Currency=INR","Period=FY","BEST_FPERIOD_OVERRIDE=FY","FILING_STATUS=OR","EQY_CONSOLIDATED=Y","Sort=A","Dates=H","DateFormat=P","Fill=—","Direction=H","UseDPDF=Y")</f>
        <v>#NAME?</v>
      </c>
      <c r="AY248" s="1" t="e">
        <f ca="1">_xll.BDH($C$228,"ACCOUNTS_PAYABLE_5_YEAR_GROWTH","FY 2018","FY 2018","Currency=INR","Period=FY","BEST_FPERIOD_OVERRIDE=FY","FILING_STATUS=OR","EQY_CONSOLIDATED=Y","Sort=A","Dates=H","DateFormat=P","Fill=—","Direction=H","UseDPDF=Y")</f>
        <v>#NAME?</v>
      </c>
      <c r="AZ248" s="1" t="e">
        <f ca="1">_xll.BDH($C$228,"SHORT_TERM_DEBT_5_YEAR_GROWTH","FY 2018","FY 2018","Currency=INR","Period=FY","BEST_FPERIOD_OVERRIDE=FY","FILING_STATUS=OR","EQY_CONSOLIDATED=Y","Sort=A","Dates=H","DateFormat=P","Fill=—","Direction=H","UseDPDF=Y")</f>
        <v>#NAME?</v>
      </c>
      <c r="BA248" s="1" t="e">
        <f ca="1">_xll.BDH($C$228,"TOTAL_DEBT_5_YEAR_GROWTH","FY 2018","FY 2018","Currency=INR","Period=FY","BEST_FPERIOD_OVERRIDE=FY","FILING_STATUS=OR","EQY_CONSOLIDATED=Y","Sort=A","Dates=H","DateFormat=P","Fill=—","Direction=H","UseDPDF=Y")</f>
        <v>#NAME?</v>
      </c>
      <c r="BB248" s="1" t="e">
        <f ca="1">_xll.BDH($C$228,"GEO_GROW_TOT_SHRHLDR_EQY","FY 2018","FY 2018","Currency=INR","Period=FY","BEST_FPERIOD_OVERRIDE=FY","FILING_STATUS=OR","EQY_CONSOLIDATED=Y","Sort=A","Dates=H","DateFormat=P","Fill=—","Direction=H","UseDPDF=Y")</f>
        <v>#NAME?</v>
      </c>
      <c r="BC248" s="1" t="e">
        <f ca="1">_xll.BDH($C$228,"TOTAL_CAPITAL_5_YEAR_GROWTH","FY 2018","FY 2018","Currency=INR","Period=FY","BEST_FPERIOD_OVERRIDE=FY","FILING_STATUS=OR","EQY_CONSOLIDATED=Y","Sort=A","Dates=H","DateFormat=P","Fill=—","Direction=H","UseDPDF=Y")</f>
        <v>#NAME?</v>
      </c>
      <c r="BD248" s="1" t="e">
        <f ca="1">_xll.BDH($C$228,"GEO_GROW_BOOK_VAL","FY 2018","FY 2018","Currency=INR","Period=FY","BEST_FPERIOD_OVERRIDE=FY","FILING_STATUS=OR","EQY_CONSOLIDATED=Y","Sort=A","Dates=H","DateFormat=P","Fill=—","Direction=H","UseDPDF=Y")</f>
        <v>#NAME?</v>
      </c>
      <c r="BE248" s="1" t="e">
        <f ca="1">_xll.BDH($C$228,"GEO_GROW_CASH_OPER_ACT","FY 2018","FY 2018","Currency=INR","Period=FY","BEST_FPERIOD_OVERRIDE=FY","FILING_STATUS=OR","EQY_CONSOLIDATED=Y","Sort=A","Dates=H","DateFormat=P","Fill=—","Direction=H","UseDPDF=Y")</f>
        <v>#NAME?</v>
      </c>
      <c r="BF248" s="1" t="e">
        <f ca="1">_xll.BDH($C$228,"REVENUE_SEQUENTIAL_GROWTH","FY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48" s="1" t="e">
        <f ca="1">_xll.BDH($C$228,"EBITDA_SEQUENTIAL_GROWTH","FY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48" s="1" t="e">
        <f ca="1">_xll.BDH($C$228,"OPERATING_INCOME_SEQ_GROWTH","FY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48" s="1" t="e">
        <f ca="1">_xll.BDH($C$228,"NET_INCOME_TO_COMMON_SEQ_GROWTH","FY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48" s="1" t="e">
        <f ca="1">_xll.BDH($C$228,"EPS_DILUTED_SEQUENTIAL_GROWTH","FY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48" s="1" t="e">
        <f ca="1">_xll.BDH($C$228,"DPS_SEQUENTIAL_GROWTH","FY 2018","FY 2018","Currency=INR","Period=FY","BEST_FPERIOD_OVERRIDE=FY","FILING_STATUS=OR","EQY_CONSOLIDATED=Y","Sort=A","Dates=H","DateFormat=P","Fill=—","Direction=H","UseDPDF=Y")</f>
        <v>#NAME?</v>
      </c>
      <c r="BL248" s="1" t="e">
        <f ca="1">_xll.BDH($C$228,"ACCOUNTS_RECEIVABLE_SEQ_GROWTH","FY 2018","FY 2018","Currency=INR","Period=FY","BEST_FPERIOD_OVERRIDE=FY","FILING_STATUS=OR","EQY_CONSOLIDATED=Y","Sort=A","Dates=H","DateFormat=P","Fill=—","Direction=H","UseDPDF=Y")</f>
        <v>#NAME?</v>
      </c>
      <c r="BM248" s="1" t="e">
        <f ca="1">_xll.BDH($C$228,"INVENTORY_SEQUENTIAL_GROWTH","FY 2018","FY 2018","Currency=INR","Period=FY","BEST_FPERIOD_OVERRIDE=FY","FILING_STATUS=OR","EQY_CONSOLIDATED=Y","Sort=A","Dates=H","DateFormat=P","Fill=—","Direction=H","UseDPDF=Y")</f>
        <v>#NAME?</v>
      </c>
      <c r="BN248" s="1" t="e">
        <f ca="1">_xll.BDH($C$228,"FIXED_ASSETS_SEQUENTIAL_GROWTH","FY 2018","FY 2018","Currency=INR","Period=FY","BEST_FPERIOD_OVERRIDE=FY","FILING_STATUS=OR","EQY_CONSOLIDATED=Y","Sort=A","Dates=H","DateFormat=P","Fill=—","Direction=H","UseDPDF=Y")</f>
        <v>#NAME?</v>
      </c>
      <c r="BO248" s="1" t="e">
        <f ca="1">_xll.BDH($C$228,"TOTAL_ASSETS_SEQUENTIAL_GROWTH","FY 2018","FY 2018","Currency=INR","Period=FY","BEST_FPERIOD_OVERRIDE=FY","FILING_STATUS=OR","EQY_CONSOLIDATED=Y","Sort=A","Dates=H","DateFormat=P","Fill=—","Direction=H","UseDPDF=Y")</f>
        <v>#NAME?</v>
      </c>
      <c r="BP248" s="1" t="e">
        <f ca="1">_xll.BDH($C$228,"MODIFIED_WORKING_CPTL_SEQ_GRWTH","FY 2018","FY 2018","Currency=INR","Period=FY","BEST_FPERIOD_OVERRIDE=FY","FILING_STATUS=OR","EQY_CONSOLIDATED=Y","Sort=A","Dates=H","DateFormat=P","Fill=—","Direction=H","UseDPDF=Y")</f>
        <v>#NAME?</v>
      </c>
      <c r="BQ248" s="1" t="e">
        <f ca="1">_xll.BDH($C$228,"WORKING_CAPITAL_SEQ_GROWTH","FY 2018","FY 2018","Currency=INR","Period=FY","BEST_FPERIOD_OVERRIDE=FY","FILING_STATUS=OR","EQY_CONSOLIDATED=Y","Sort=A","Dates=H","DateFormat=P","Fill=—","Direction=H","UseDPDF=Y")</f>
        <v>#NAME?</v>
      </c>
      <c r="BR248" s="1" t="e">
        <f ca="1">_xll.BDH($C$228,"ACCOUNTS_PAYABLE_SEQ_GROWTH","FY 2018","FY 2018","Currency=INR","Period=FY","BEST_FPERIOD_OVERRIDE=FY","FILING_STATUS=OR","EQY_CONSOLIDATED=Y","Sort=A","Dates=H","DateFormat=P","Fill=—","Direction=H","UseDPDF=Y")</f>
        <v>#NAME?</v>
      </c>
      <c r="BS248" s="1" t="e">
        <f ca="1">_xll.BDH($C$228,"ST_DEBT_SEQUENTIAL_GROWTH","FY 2018","FY 2018","Currency=INR","Period=FY","BEST_FPERIOD_OVERRIDE=FY","FILING_STATUS=OR","EQY_CONSOLIDATED=Y","Sort=A","Dates=H","DateFormat=P","Fill=—","Direction=H","UseDPDF=Y")</f>
        <v>#NAME?</v>
      </c>
      <c r="BT248" s="1" t="e">
        <f ca="1">_xll.BDH($C$228,"TOTAL_DEBT_SEQUENTIAL_GROWTH","FY 2018","FY 2018","Currency=INR","Period=FY","BEST_FPERIOD_OVERRIDE=FY","FILING_STATUS=OR","EQY_CONSOLIDATED=Y","Sort=A","Dates=H","DateFormat=P","Fill=—","Direction=H","UseDPDF=Y")</f>
        <v>#NAME?</v>
      </c>
      <c r="BU248" s="1" t="e">
        <f ca="1">_xll.BDH($C$228,"TOTAL_EQUITY_SEQUENTIAL_GROWTH","FY 2018","FY 2018","Currency=INR","Period=FY","BEST_FPERIOD_OVERRIDE=FY","FILING_STATUS=OR","EQY_CONSOLIDATED=Y","Sort=A","Dates=H","DateFormat=P","Fill=—","Direction=H","UseDPDF=Y")</f>
        <v>#NAME?</v>
      </c>
      <c r="BV248" s="1" t="e">
        <f ca="1">_xll.BDH($C$228,"TOTAL_CAPITAL_SEQUENTIAL_GROWTH","FY 2018","FY 2018","Currency=INR","Period=FY","BEST_FPERIOD_OVERRIDE=FY","FILING_STATUS=OR","EQY_CONSOLIDATED=Y","Sort=A","Dates=H","DateFormat=P","Fill=—","Direction=H","UseDPDF=Y")</f>
        <v>#NAME?</v>
      </c>
      <c r="BW248" s="1" t="e">
        <f ca="1">_xll.BDH($C$228,"BPS_SEQUENTIAL_GROWTH","FY 2018","FY 2018","Currency=INR","Period=FY","BEST_FPERIOD_OVERRIDE=FY","FILING_STATUS=OR","EQY_CONSOLIDATED=Y","Sort=A","Dates=H","DateFormat=P","Fill=—","Direction=H","UseDPDF=Y")</f>
        <v>#NAME?</v>
      </c>
      <c r="BX248" s="1" t="e">
        <f ca="1">_xll.BDH($C$228,"CFO_SEQUENTIAL_GROWTH","FY 2018","FY 2018","Currency=INR","Period=FY","BEST_FPERIOD_OVERRIDE=FY","FILING_STATUS=OR","EQY_CONSOLIDATED=Y","Sort=A","Dates=H","DateFormat=P","Fill=—","Direction=H","UseDPDF=Y")</f>
        <v>#NAME?</v>
      </c>
      <c r="BY248" s="2" t="e">
        <f ca="1">_xll.BDH($C$228,"SHORT_AND_LONG_TERM_DEBT","FY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48" s="2" t="e">
        <f ca="1">_xll.BDH($C$228,"BS_ST_BORROW","FY 2018","FY 2018","Currency=INR","Period=FY","BEST_FPERIOD_OVERRIDE=FY","FILING_STATUS=OR","EQY_CONSOLIDATED=Y","SCALING_FORMAT=MLN","Sort=A","Dates=H","DateFormat=P","Fill=—","Direction=H","UseDPDF=Y")</f>
        <v>#NAME?</v>
      </c>
      <c r="CA248" s="2" t="e">
        <f ca="1">_xll.BDH($C$228,"BS_LT_BORROW","FY 2018","FY 2018","Currency=INR","Period=FY","BEST_FPERIOD_OVERRIDE=FY","FILING_STATUS=OR","EQY_CONSOLIDATED=Y","SCALING_FORMAT=MLN","Sort=A","Dates=H","DateFormat=P","Fill=—","Direction=H","UseDPDF=Y")</f>
        <v>#NAME?</v>
      </c>
      <c r="CB248" s="1" t="e">
        <f ca="1">_xll.BDH($C$228,"TOT_DEBT_TO_EBITDA","FY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248" s="1" t="e">
        <f ca="1">_xll.BDH($C$228,"NET_DEBT_TO_EBITDA","FY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248" s="1" t="e">
        <f ca="1">_xll.BDH($C$228,"TOTAL_DEBT_TO_EBIT","FY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248" s="1" t="e">
        <f ca="1">_xll.BDH($C$228,"NET_DEBT_TO_EBIT","FY 2018","FY 2018","Currency=INR","Period=FY","BEST_FPERIOD_OVERRIDE=FY","FILING_STATUS=OR","EQY_CONSOLIDATED=Y","FA_ADJUSTED=GAAP","Sort=A","Dates=H","DateFormat=P","Fill=—","Direction=H","UseDPDF=Y")</f>
        <v>#NAME?</v>
      </c>
      <c r="CF248" s="1" t="e">
        <f ca="1">_xll.BDH($C$228,"EBITDA_TO_INTEREST_EXPN","FY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48" s="1" t="e">
        <f ca="1">_xll.BDH($C$228,"COM_EQY_TO_TOT_ASSET","FY 2018","FY 2018","Currency=INR","Period=FY","BEST_FPERIOD_OVERRIDE=FY","FILING_STATUS=OR","EQY_CONSOLIDATED=Y","Sort=A","Dates=H","DateFormat=P","Fill=—","Direction=H","UseDPDF=Y")</f>
        <v>#NAME?</v>
      </c>
      <c r="CH248" s="1" t="e">
        <f ca="1">_xll.BDH($C$228,"LT_DEBT_TO_TOT_EQY","FY 2018","FY 2018","Currency=INR","Period=FY","BEST_FPERIOD_OVERRIDE=FY","FILING_STATUS=OR","EQY_CONSOLIDATED=Y","Sort=A","Dates=H","DateFormat=P","Fill=—","Direction=H","UseDPDF=Y")</f>
        <v>#NAME?</v>
      </c>
      <c r="CI248" s="1" t="e">
        <f ca="1">_xll.BDH($C$228,"LT_DEBT_TO_TOT_CAP","FY 2018","FY 2018","Currency=INR","Period=FY","BEST_FPERIOD_OVERRIDE=FY","FILING_STATUS=OR","EQY_CONSOLIDATED=Y","Sort=A","Dates=H","DateFormat=P","Fill=—","Direction=H","UseDPDF=Y")</f>
        <v>#NAME?</v>
      </c>
      <c r="CJ248" s="1" t="e">
        <f ca="1">_xll.BDH($C$228,"LT_DEBT_TO_TOT_ASSET","FY 2018","FY 2018","Currency=INR","Period=FY","BEST_FPERIOD_OVERRIDE=FY","FILING_STATUS=OR","EQY_CONSOLIDATED=Y","Sort=A","Dates=H","DateFormat=P","Fill=—","Direction=H","UseDPDF=Y")</f>
        <v>#NAME?</v>
      </c>
      <c r="CK248" s="1" t="e">
        <f ca="1">_xll.BDH($C$228,"TOT_DEBT_TO_TOT_EQY","FY 2018","FY 2018","Currency=INR","Period=FY","BEST_FPERIOD_OVERRIDE=FY","FILING_STATUS=OR","EQY_CONSOLIDATED=Y","Sort=A","Dates=H","DateFormat=P","Fill=—","Direction=H","UseDPDF=Y")</f>
        <v>#NAME?</v>
      </c>
      <c r="CL248" s="1" t="e">
        <f ca="1">_xll.BDH($C$228,"TOT_DEBT_TO_TOT_CAP","FY 2018","FY 2018","Currency=INR","Period=FY","BEST_FPERIOD_OVERRIDE=FY","FILING_STATUS=OR","EQY_CONSOLIDATED=Y","Sort=A","Dates=H","DateFormat=P","Fill=—","Direction=H","UseDPDF=Y")</f>
        <v>#NAME?</v>
      </c>
      <c r="CM248" s="1" t="e">
        <f ca="1">_xll.BDH($C$228,"TOT_DEBT_TO_TOT_ASSET","FY 2018","FY 2018","Currency=INR","Period=FY","BEST_FPERIOD_OVERRIDE=FY","FILING_STATUS=OR","EQY_CONSOLIDATED=Y","Sort=A","Dates=H","DateFormat=P","Fill=—","Direction=H","UseDPDF=Y")</f>
        <v>#NAME?</v>
      </c>
      <c r="CN248" s="1" t="e">
        <f ca="1">_xll.BDH($C$228,"NET_DEBT_TO_SHRHLDR_EQTY","FY 2018","FY 2018","Currency=INR","Period=FY","BEST_FPERIOD_OVERRIDE=FY","FILING_STATUS=OR","EQY_CONSOLIDATED=Y","Sort=A","Dates=H","DateFormat=P","Fill=—","Direction=H","UseDPDF=Y")</f>
        <v>#NAME?</v>
      </c>
      <c r="CO248" s="1" t="e">
        <f ca="1">_xll.BDH($C$228,"NET_DEBT_%_CAPITAL","FY 2018","FY 2018","Currency=INR","Period=FY","BEST_FPERIOD_OVERRIDE=FY","FILING_STATUS=OR","EQY_CONSOLIDATED=Y","Sort=A","Dates=H","DateFormat=P","Fill=—","Direction=H","UseDPDF=Y")</f>
        <v>#NAME?</v>
      </c>
      <c r="CP248" s="2" t="e">
        <f ca="1">_xll.BDH($C$228,"EBITDA","FY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48" s="2" t="e">
        <f ca="1">_xll.BDH($C$228,"EBITDA_AFTER_CAPEX","FY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48" s="2" t="e">
        <f ca="1">_xll.BDH($C$228,"IS_OPER_INC","FY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48" s="1" t="e">
        <f ca="1">_xll.BDH($C$228,"CASH_RATIO","FY 2018","FY 2018","Currency=INR","Period=FY","BEST_FPERIOD_OVERRIDE=FY","FILING_STATUS=OR","EQY_CONSOLIDATED=Y","Sort=A","Dates=H","DateFormat=P","Fill=—","Direction=H","UseDPDF=Y")</f>
        <v>#NAME?</v>
      </c>
      <c r="CT248" s="1" t="e">
        <f ca="1">_xll.BDH($C$228,"CUR_RATIO","FY 2018","FY 2018","Currency=INR","Period=FY","BEST_FPERIOD_OVERRIDE=FY","FILING_STATUS=OR","EQY_CONSOLIDATED=Y","Sort=A","Dates=H","DateFormat=P","Fill=—","Direction=H","UseDPDF=Y")</f>
        <v>#NAME?</v>
      </c>
      <c r="CU248" s="1" t="e">
        <f ca="1">_xll.BDH($C$228,"QUICK_RATIO","FY 2018","FY 2018","Currency=INR","Period=FY","BEST_FPERIOD_OVERRIDE=FY","FILING_STATUS=OR","EQY_CONSOLIDATED=Y","Sort=A","Dates=H","DateFormat=P","Fill=—","Direction=H","UseDPDF=Y")</f>
        <v>#NAME?</v>
      </c>
      <c r="CV248" s="1" t="e">
        <f ca="1">_xll.BDH($C$228,"ALTMAN_Z_SCORE","FY 2018","FY 2018","Currency=INR","Period=FY","BEST_FPERIOD_OVERRIDE=FY","FILING_STATUS=OR","EQY_CONSOLIDATED=Y","Sort=A","Dates=H","DateFormat=P","Fill=—","Direction=H","UseDPDF=Y")</f>
        <v>#NAME?</v>
      </c>
      <c r="CW248" s="3" t="e">
        <f ca="1">_xll.BDH($C$228,"ACCT_RCV_TURN","FY 2018","FY 2018","Currency=INR","Period=FY","BEST_FPERIOD_OVERRIDE=FY","FILING_STATUS=OR","EQY_CONSOLIDATED=Y","FA_ADJUSTED=GAAP","Sort=A","Dates=H","DateFormat=P","Fill=—","Direction=H","UseDPDF=Y")</f>
        <v>#NAME?</v>
      </c>
      <c r="CX248" s="1" t="e">
        <f ca="1">_xll.BDH($C$228,"ACCT_RCV_DAYS","FY 2018","FY 2018","Currency=INR","Period=FY","BEST_FPERIOD_OVERRIDE=FY","FILING_STATUS=OR","EQY_CONSOLIDATED=Y","FA_ADJUSTED=GAAP","Sort=A","Dates=H","DateFormat=P","Fill=—","Direction=H","UseDPDF=Y")</f>
        <v>#NAME?</v>
      </c>
      <c r="CY248" s="3" t="e">
        <f ca="1">_xll.BDH($C$228,"INVENT_TURN","FY 2018","FY 2018","Currency=INR","Period=FY","BEST_FPERIOD_OVERRIDE=FY","FILING_STATUS=OR","EQY_CONSOLIDATED=Y","FA_ADJUSTED=GAAP","Sort=A","Dates=H","DateFormat=P","Fill=—","Direction=H","UseDPDF=Y")</f>
        <v>#NAME?</v>
      </c>
      <c r="CZ248" s="1" t="e">
        <f ca="1">_xll.BDH($C$228,"INVENT_DAYS","FY 2018","FY 2018","Currency=INR","Period=FY","BEST_FPERIOD_OVERRIDE=FY","FILING_STATUS=OR","EQY_CONSOLIDATED=Y","FA_ADJUSTED=GAAP","Sort=A","Dates=H","DateFormat=P","Fill=—","Direction=H","UseDPDF=Y")</f>
        <v>#NAME?</v>
      </c>
      <c r="DA248" s="3" t="e">
        <f ca="1">_xll.BDH($C$228,"ACCOUNTS_PAYABLE_TURNOVER","FY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48" s="1" t="e">
        <f ca="1">_xll.BDH($C$228,"ACCOUNTS_PAYABLE_TURNOVER_DAYS","FY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48" s="3" t="e">
        <f ca="1">_xll.BDH($C$228,"CASH_CONVERSION_CYCLE","FY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48" s="3" t="e">
        <f ca="1">_xll.BDH($C$228,"INV_TO_CASH_DAYS","FY 2018","FY 2018","Currency=INR","Period=FY","BEST_FPERIOD_OVERRIDE=FY","FILING_STATUS=OR","EQY_CONSOLIDATED=Y","FA_ADJUSTED=GAAP","Sort=A","Dates=H","DateFormat=P","Fill=—","Direction=H","UseDPDF=Y")</f>
        <v>#NAME?</v>
      </c>
      <c r="DE248" s="4" t="e">
        <f ca="1">_xll.BDH($C$228,"BS_INVENTORIES","FY 2018","FY 2018","Currency=INR","Period=FY","BEST_FPERIOD_OVERRIDE=FY","FILING_STATUS=OR","EQY_CONSOLIDATED=Y","SCALING_FORMAT=MLN","Sort=A","Dates=H","DateFormat=P","Fill=—","Direction=H","UseDPDF=Y")</f>
        <v>#NAME?</v>
      </c>
      <c r="DF248" s="2" t="e">
        <f ca="1">_xll.BDH($C$228,"INVTRY_RAW_MATERIALS","FY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48" s="2" t="e">
        <f ca="1">_xll.BDH($C$228,"INVTRY_IN_PROGRESS","FY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48" s="2" t="e">
        <f ca="1">_xll.BDH($C$228,"INVTRY_FINISHED_GOODS","FY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48" s="2" t="e">
        <f ca="1">_xll.BDH($C$228,"BS_OTHER_INV","FY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49" spans="1:113" x14ac:dyDescent="0.3">
      <c r="A249" s="6"/>
      <c r="B249" s="6"/>
      <c r="C249" s="6"/>
      <c r="D249" s="6"/>
      <c r="E249" t="s">
        <v>4</v>
      </c>
      <c r="F249" t="e">
        <f ca="1">_xll.BDH($C$228,"RETURN_COM_EQY","FQ1 2018","FQ1 2018","Currency=INR","Period=FQ","BEST_FPERIOD_OVERRIDE=FQ","FILING_STATUS=OR","EQY_CONSOLIDATED=Y","FA_ADJUSTED=GAAP","Sort=A","Dates=H","DateFormat=P","Fill=—","Direction=H","UseDPDF=Y")</f>
        <v>#NAME?</v>
      </c>
      <c r="G249" t="e">
        <f ca="1">_xll.BDH($C$228,"RETURN_ON_ASSET","FQ1 2018","FQ1 2018","Currency=INR","Period=FQ","BEST_FPERIOD_OVERRIDE=FQ","FILING_STATUS=OR","EQY_CONSOLIDATED=Y","FA_ADJUSTED=GAAP","Sort=A","Dates=H","DateFormat=P","Fill=—","Direction=H","UseDPDF=Y")</f>
        <v>#NAME?</v>
      </c>
      <c r="H249" t="e">
        <f ca="1">_xll.BDH($C$228,"RETURN_ON_CAP","FQ1 2018","FQ1 2018","Currency=INR","Period=FQ","BEST_FPERIOD_OVERRIDE=FQ","FILING_STATUS=OR","EQY_CONSOLIDATED=Y","FA_ADJUSTED=GAAP","Sort=A","Dates=H","DateFormat=P","Fill=—","Direction=H","UseDPDF=Y")</f>
        <v>#NAME?</v>
      </c>
      <c r="I249" t="e">
        <f ca="1">_xll.BDH($C$228,"RETURN_ON_INV_CAPITAL","FQ1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49" t="e">
        <f ca="1">_xll.BDH($C$228,"EBITDA_TO_REVENUE","FQ1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249" t="e">
        <f ca="1">_xll.BDH($C$228,"OPER_MARGIN","FQ1 2018","FQ1 2018","Currency=INR","Period=FQ","BEST_FPERIOD_OVERRIDE=FQ","FILING_STATUS=OR","EQY_CONSOLIDATED=Y","FA_ADJUSTED=GAAP","Sort=A","Dates=H","DateFormat=P","Fill=—","Direction=H","UseDPDF=Y")</f>
        <v>#NAME?</v>
      </c>
      <c r="L249" t="e">
        <f ca="1">_xll.BDH($C$228,"INCREMENTAL_OPERATING_MARGIN","FQ1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49" t="e">
        <f ca="1">_xll.BDH($C$228,"PRETAX_INC_TO_NET_SALES","FQ1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49" t="e">
        <f ca="1">_xll.BDH($C$228,"INC_BEF_XO_ITEMS_TO_NET_SALES","FQ1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49" t="e">
        <f ca="1">_xll.BDH($C$228,"PROF_MARGIN","FQ1 2018","FQ1 2018","Currency=INR","Period=FQ","BEST_FPERIOD_OVERRIDE=FQ","FILING_STATUS=OR","EQY_CONSOLIDATED=Y","FA_ADJUSTED=GAAP","Sort=A","Dates=H","DateFormat=P","Fill=—","Direction=H","UseDPDF=Y")</f>
        <v>#NAME?</v>
      </c>
      <c r="P249" t="e">
        <f ca="1">_xll.BDH($C$228,"NET_INCOME_TO_COMMON_MARGIN","FQ1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49" t="e">
        <f ca="1">_xll.BDH($C$228,"EFF_TAX_RATE","FQ1 2018","FQ1 2018","Currency=INR","Period=FQ","BEST_FPERIOD_OVERRIDE=FQ","FILING_STATUS=OR","EQY_CONSOLIDATED=Y","FA_ADJUSTED=GAAP","Sort=A","Dates=H","DateFormat=P","Fill=—","Direction=H","UseDPDF=Y")</f>
        <v>#NAME?</v>
      </c>
      <c r="R249" t="e">
        <f ca="1">_xll.BDH($C$228,"DVD_PAYOUT_RATIO","FQ1 2018","FQ1 2018","Currency=INR","Period=FQ","BEST_FPERIOD_OVERRIDE=FQ","FILING_STATUS=OR","EQY_CONSOLIDATED=Y","FA_ADJUSTED=GAAP","Sort=A","Dates=H","DateFormat=P","Fill=—","Direction=H","UseDPDF=Y")</f>
        <v>#NAME?</v>
      </c>
      <c r="S249" t="e">
        <f ca="1">_xll.BDH($C$228,"SUSTAIN_GROWTH_RT","FQ1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249" s="1" t="e">
        <f ca="1">_xll.BDH($C$228,"SALES_GROWTH","FQ1 2018","FQ1 2018","Currency=INR","Period=FQ","BEST_FPERIOD_OVERRIDE=FQ","FILING_STATUS=OR","EQY_CONSOLIDATED=Y","FA_ADJUSTED=GAAP","Sort=A","Dates=H","DateFormat=P","Fill=—","Direction=H","UseDPDF=Y")</f>
        <v>#NAME?</v>
      </c>
      <c r="U249" s="1" t="e">
        <f ca="1">_xll.BDH($C$228,"EBITDA_GROWTH","FQ1 2018","FQ1 2018","Currency=INR","Period=FQ","BEST_FPERIOD_OVERRIDE=FQ","FILING_STATUS=OR","EQY_CONSOLIDATED=Y","FA_ADJUSTED=GAAP","Sort=A","Dates=H","DateFormat=P","Fill=—","Direction=H","UseDPDF=Y")</f>
        <v>#NAME?</v>
      </c>
      <c r="V249" s="1" t="e">
        <f ca="1">_xll.BDH($C$228,"OPER_INC_GROWTH","FQ1 2018","FQ1 2018","Currency=INR","Period=FQ","BEST_FPERIOD_OVERRIDE=FQ","FILING_STATUS=OR","EQY_CONSOLIDATED=Y","FA_ADJUSTED=GAAP","Sort=A","Dates=H","DateFormat=P","Fill=—","Direction=H","UseDPDF=Y")</f>
        <v>#NAME?</v>
      </c>
      <c r="W249" s="1" t="e">
        <f ca="1">_xll.BDH($C$228,"EARN_FOR_COM_GROWTH","FQ1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49" s="1" t="e">
        <f ca="1">_xll.BDH($C$228,"DILUTED_EPS_AFT_XO_ITEMS_GROWTH","FQ1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49" s="1" t="e">
        <f ca="1">_xll.BDH($C$228,"DIVIDEND_PER_SHARE_1_YEAR_GROWTH","FQ1 2018","FQ1 2018","Currency=INR","Period=FQ","BEST_FPERIOD_OVERRIDE=FQ","FILING_STATUS=OR","EQY_CONSOLIDATED=Y","Sort=A","Dates=H","DateFormat=P","Fill=—","Direction=H","UseDPDF=Y")</f>
        <v>#NAME?</v>
      </c>
      <c r="Z249" s="1" t="e">
        <f ca="1">_xll.BDH($C$228,"ACCOUNTS_RECEIVABLE_GROWTH","FQ1 2018","FQ1 2018","Currency=INR","Period=FQ","BEST_FPERIOD_OVERRIDE=FQ","FILING_STATUS=OR","EQY_CONSOLIDATED=Y","Sort=A","Dates=H","DateFormat=P","Fill=—","Direction=H","UseDPDF=Y")</f>
        <v>#NAME?</v>
      </c>
      <c r="AA249" s="1" t="e">
        <f ca="1">_xll.BDH($C$228,"INVENTORY_GROWTH","FQ1 2018","FQ1 2018","Currency=INR","Period=FQ","BEST_FPERIOD_OVERRIDE=FQ","FILING_STATUS=OR","EQY_CONSOLIDATED=Y","Sort=A","Dates=H","DateFormat=P","Fill=—","Direction=H","UseDPDF=Y")</f>
        <v>#NAME?</v>
      </c>
      <c r="AB249" s="1" t="e">
        <f ca="1">_xll.BDH($C$228,"NET_FIXED_ASSETS_1_YEAR_GROWTH","FQ1 2018","FQ1 2018","Currency=INR","Period=FQ","BEST_FPERIOD_OVERRIDE=FQ","FILING_STATUS=OR","EQY_CONSOLIDATED=Y","Sort=A","Dates=H","DateFormat=P","Fill=—","Direction=H","UseDPDF=Y")</f>
        <v>#NAME?</v>
      </c>
      <c r="AC249" s="1" t="e">
        <f ca="1">_xll.BDH($C$228,"ASSET_GROWTH","FQ1 2018","FQ1 2018","Currency=INR","Period=FQ","BEST_FPERIOD_OVERRIDE=FQ","FILING_STATUS=OR","EQY_CONSOLIDATED=Y","Sort=A","Dates=H","DateFormat=P","Fill=—","Direction=H","UseDPDF=Y")</f>
        <v>#NAME?</v>
      </c>
      <c r="AD249" s="1" t="e">
        <f ca="1">_xll.BDH($C$228,"MODIFIED_WORK_CAP_GROWTH","FQ1 2018","FQ1 2018","Currency=INR","Period=FQ","BEST_FPERIOD_OVERRIDE=FQ","FILING_STATUS=OR","EQY_CONSOLIDATED=Y","Sort=A","Dates=H","DateFormat=P","Fill=—","Direction=H","UseDPDF=Y")</f>
        <v>#NAME?</v>
      </c>
      <c r="AE249" s="1" t="e">
        <f ca="1">_xll.BDH($C$228,"WORK_CAP_GROWTH","FQ1 2018","FQ1 2018","Currency=INR","Period=FQ","BEST_FPERIOD_OVERRIDE=FQ","FILING_STATUS=OR","EQY_CONSOLIDATED=Y","Sort=A","Dates=H","DateFormat=P","Fill=—","Direction=H","UseDPDF=Y")</f>
        <v>#NAME?</v>
      </c>
      <c r="AF249" s="1" t="e">
        <f ca="1">_xll.BDH($C$228,"ACCOUNTS_PAYABLE_GROWTH_1YR","FQ1 2018","FQ1 2018","Currency=INR","Period=FQ","BEST_FPERIOD_OVERRIDE=FQ","FILING_STATUS=OR","EQY_CONSOLIDATED=Y","Sort=A","Dates=H","DateFormat=P","Fill=—","Direction=H","UseDPDF=Y")</f>
        <v>#NAME?</v>
      </c>
      <c r="AG249" s="1" t="e">
        <f ca="1">_xll.BDH($C$228,"SHORT_TERM_DEBT_1_YEAR_GROWTH","FQ1 2018","FQ1 2018","Currency=INR","Period=FQ","BEST_FPERIOD_OVERRIDE=FQ","FILING_STATUS=OR","EQY_CONSOLIDATED=Y","Sort=A","Dates=H","DateFormat=P","Fill=—","Direction=H","UseDPDF=Y")</f>
        <v>#NAME?</v>
      </c>
      <c r="AH249" s="1" t="e">
        <f ca="1">_xll.BDH($C$228,"TOTAL_DEBT_1_YEAR_GROWTH","FQ1 2018","FQ1 2018","Currency=INR","Period=FQ","BEST_FPERIOD_OVERRIDE=FQ","FILING_STATUS=OR","EQY_CONSOLIDATED=Y","Sort=A","Dates=H","DateFormat=P","Fill=—","Direction=H","UseDPDF=Y")</f>
        <v>#NAME?</v>
      </c>
      <c r="AI249" s="1" t="e">
        <f ca="1">_xll.BDH($C$228,"TOTAL_EQUITY_1_YEAR_GROWTH","FQ1 2018","FQ1 2018","Currency=INR","Period=FQ","BEST_FPERIOD_OVERRIDE=FQ","FILING_STATUS=OR","EQY_CONSOLIDATED=Y","Sort=A","Dates=H","DateFormat=P","Fill=—","Direction=H","UseDPDF=Y")</f>
        <v>#NAME?</v>
      </c>
      <c r="AJ249" s="1" t="e">
        <f ca="1">_xll.BDH($C$228,"GROWTH_IN_CAP","FQ1 2018","FQ1 2018","Currency=INR","Period=FQ","BEST_FPERIOD_OVERRIDE=FQ","FILING_STATUS=OR","EQY_CONSOLIDATED=Y","Sort=A","Dates=H","DateFormat=P","Fill=—","Direction=H","UseDPDF=Y")</f>
        <v>#NAME?</v>
      </c>
      <c r="AK249" s="1" t="e">
        <f ca="1">_xll.BDH($C$228,"BVPS_GROWTH","FQ1 2018","FQ1 2018","Currency=INR","Period=FQ","BEST_FPERIOD_OVERRIDE=FQ","FILING_STATUS=OR","EQY_CONSOLIDATED=Y","Sort=A","Dates=H","DateFormat=P","Fill=—","Direction=H","UseDPDF=Y")</f>
        <v>#NAME?</v>
      </c>
      <c r="AL249" s="1" t="e">
        <f ca="1">_xll.BDH($C$228,"CASH_FLOW_GROWTH","FQ1 2018","FQ1 2018","Currency=INR","Period=FQ","BEST_FPERIOD_OVERRIDE=FQ","FILING_STATUS=OR","EQY_CONSOLIDATED=Y","Sort=A","Dates=H","DateFormat=P","Fill=—","Direction=H","UseDPDF=Y")</f>
        <v>#NAME?</v>
      </c>
      <c r="AM249" s="1" t="e">
        <f ca="1">_xll.BDH($C$228,"GEO_GROW_NET_SALES","FQ1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49" s="1" t="e">
        <f ca="1">_xll.BDH($C$228,"GEO_GROW_EBITDA","FQ1 2018","FQ1 2018","Currency=INR","Period=FQ","BEST_FPERIOD_OVERRIDE=FQ","FILING_STATUS=OR","EQY_CONSOLIDATED=Y","FA_ADJUSTED=GAAP","Sort=A","Dates=H","DateFormat=P","Fill=—","Direction=H","UseDPDF=Y")</f>
        <v>#NAME?</v>
      </c>
      <c r="AO249" s="1" t="e">
        <f ca="1">_xll.BDH($C$228,"GEO_GROW_OPER_INC","FQ1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49" s="1" t="e">
        <f ca="1">_xll.BDH($C$228,"NET_INCOME_TO_COMMON_5_YR_GROWTH","FQ1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49" s="1" t="e">
        <f ca="1">_xll.BDH($C$228,"5Y_GEO_GROWTH_DILUTED_EPS","FQ1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49" s="1" t="e">
        <f ca="1">_xll.BDH($C$228,"GEO_GROW_DVD_PER_SH","FQ1 2018","FQ1 2018","Currency=INR","Period=FQ","BEST_FPERIOD_OVERRIDE=FQ","FILING_STATUS=OR","EQY_CONSOLIDATED=Y","Sort=A","Dates=H","DateFormat=P","Fill=—","Direction=H","UseDPDF=Y")</f>
        <v>#NAME?</v>
      </c>
      <c r="AS249" s="1" t="e">
        <f ca="1">_xll.BDH($C$228,"ACCOUNTS_RECEIVABLE_5_YR_GROWTH","FQ1 2018","FQ1 2018","Currency=INR","Period=FQ","BEST_FPERIOD_OVERRIDE=FQ","FILING_STATUS=OR","EQY_CONSOLIDATED=Y","Sort=A","Dates=H","DateFormat=P","Fill=—","Direction=H","UseDPDF=Y")</f>
        <v>#NAME?</v>
      </c>
      <c r="AT249" s="1" t="e">
        <f ca="1">_xll.BDH($C$228,"INVENTORY_5_YEAR_GROWTH","FQ1 2018","FQ1 2018","Currency=INR","Period=FQ","BEST_FPERIOD_OVERRIDE=FQ","FILING_STATUS=OR","EQY_CONSOLIDATED=Y","Sort=A","Dates=H","DateFormat=P","Fill=—","Direction=H","UseDPDF=Y")</f>
        <v>#NAME?</v>
      </c>
      <c r="AU249" s="1" t="e">
        <f ca="1">_xll.BDH($C$228,"NET_FIXED_ASSETS_5_YEAR_GROWTH","FQ1 2018","FQ1 2018","Currency=INR","Period=FQ","BEST_FPERIOD_OVERRIDE=FQ","FILING_STATUS=OR","EQY_CONSOLIDATED=Y","Sort=A","Dates=H","DateFormat=P","Fill=—","Direction=H","UseDPDF=Y")</f>
        <v>#NAME?</v>
      </c>
      <c r="AV249" s="1" t="e">
        <f ca="1">_xll.BDH($C$228,"GEO_GROW_TOT_ASSET","FQ1 2018","FQ1 2018","Currency=INR","Period=FQ","BEST_FPERIOD_OVERRIDE=FQ","FILING_STATUS=OR","EQY_CONSOLIDATED=Y","Sort=A","Dates=H","DateFormat=P","Fill=—","Direction=H","UseDPDF=Y")</f>
        <v>#NAME?</v>
      </c>
      <c r="AW249" s="1" t="e">
        <f ca="1">_xll.BDH($C$228,"MODIFIED_WORKING_CPTL_5YR_GRWTH","FQ1 2018","FQ1 2018","Currency=INR","Period=FQ","BEST_FPERIOD_OVERRIDE=FQ","FILING_STATUS=OR","EQY_CONSOLIDATED=Y","Sort=A","Dates=H","DateFormat=P","Fill=—","Direction=H","UseDPDF=Y")</f>
        <v>#NAME?</v>
      </c>
      <c r="AX249" s="1" t="e">
        <f ca="1">_xll.BDH($C$228,"WORKING_CAPITAL_5_YEAR_GROWTH","FQ1 2018","FQ1 2018","Currency=INR","Period=FQ","BEST_FPERIOD_OVERRIDE=FQ","FILING_STATUS=OR","EQY_CONSOLIDATED=Y","Sort=A","Dates=H","DateFormat=P","Fill=—","Direction=H","UseDPDF=Y")</f>
        <v>#NAME?</v>
      </c>
      <c r="AY249" s="1" t="e">
        <f ca="1">_xll.BDH($C$228,"ACCOUNTS_PAYABLE_5_YEAR_GROWTH","FQ1 2018","FQ1 2018","Currency=INR","Period=FQ","BEST_FPERIOD_OVERRIDE=FQ","FILING_STATUS=OR","EQY_CONSOLIDATED=Y","Sort=A","Dates=H","DateFormat=P","Fill=—","Direction=H","UseDPDF=Y")</f>
        <v>#NAME?</v>
      </c>
      <c r="AZ249" s="1" t="e">
        <f ca="1">_xll.BDH($C$228,"SHORT_TERM_DEBT_5_YEAR_GROWTH","FQ1 2018","FQ1 2018","Currency=INR","Period=FQ","BEST_FPERIOD_OVERRIDE=FQ","FILING_STATUS=OR","EQY_CONSOLIDATED=Y","Sort=A","Dates=H","DateFormat=P","Fill=—","Direction=H","UseDPDF=Y")</f>
        <v>#NAME?</v>
      </c>
      <c r="BA249" s="1" t="e">
        <f ca="1">_xll.BDH($C$228,"TOTAL_DEBT_5_YEAR_GROWTH","FQ1 2018","FQ1 2018","Currency=INR","Period=FQ","BEST_FPERIOD_OVERRIDE=FQ","FILING_STATUS=OR","EQY_CONSOLIDATED=Y","Sort=A","Dates=H","DateFormat=P","Fill=—","Direction=H","UseDPDF=Y")</f>
        <v>#NAME?</v>
      </c>
      <c r="BB249" s="1" t="e">
        <f ca="1">_xll.BDH($C$228,"GEO_GROW_TOT_SHRHLDR_EQY","FQ1 2018","FQ1 2018","Currency=INR","Period=FQ","BEST_FPERIOD_OVERRIDE=FQ","FILING_STATUS=OR","EQY_CONSOLIDATED=Y","Sort=A","Dates=H","DateFormat=P","Fill=—","Direction=H","UseDPDF=Y")</f>
        <v>#NAME?</v>
      </c>
      <c r="BC249" s="1" t="e">
        <f ca="1">_xll.BDH($C$228,"TOTAL_CAPITAL_5_YEAR_GROWTH","FQ1 2018","FQ1 2018","Currency=INR","Period=FQ","BEST_FPERIOD_OVERRIDE=FQ","FILING_STATUS=OR","EQY_CONSOLIDATED=Y","Sort=A","Dates=H","DateFormat=P","Fill=—","Direction=H","UseDPDF=Y")</f>
        <v>#NAME?</v>
      </c>
      <c r="BD249" s="1" t="e">
        <f ca="1">_xll.BDH($C$228,"GEO_GROW_BOOK_VAL","FQ1 2018","FQ1 2018","Currency=INR","Period=FQ","BEST_FPERIOD_OVERRIDE=FQ","FILING_STATUS=OR","EQY_CONSOLIDATED=Y","Sort=A","Dates=H","DateFormat=P","Fill=—","Direction=H","UseDPDF=Y")</f>
        <v>#NAME?</v>
      </c>
      <c r="BE249" s="1" t="e">
        <f ca="1">_xll.BDH($C$228,"GEO_GROW_CASH_OPER_ACT","FQ1 2018","FQ1 2018","Currency=INR","Period=FQ","BEST_FPERIOD_OVERRIDE=FQ","FILING_STATUS=OR","EQY_CONSOLIDATED=Y","Sort=A","Dates=H","DateFormat=P","Fill=—","Direction=H","UseDPDF=Y")</f>
        <v>#NAME?</v>
      </c>
      <c r="BF249" s="1" t="e">
        <f ca="1">_xll.BDH($C$228,"REVENUE_SEQUENTIAL_GROWTH","FQ1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49" s="1" t="e">
        <f ca="1">_xll.BDH($C$228,"EBITDA_SEQUENTIAL_GROWTH","FQ1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49" s="1" t="e">
        <f ca="1">_xll.BDH($C$228,"OPERATING_INCOME_SEQ_GROWTH","FQ1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49" s="1" t="e">
        <f ca="1">_xll.BDH($C$228,"NET_INCOME_TO_COMMON_SEQ_GROWTH","FQ1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49" s="1" t="e">
        <f ca="1">_xll.BDH($C$228,"EPS_DILUTED_SEQUENTIAL_GROWTH","FQ1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49" s="1" t="e">
        <f ca="1">_xll.BDH($C$228,"DPS_SEQUENTIAL_GROWTH","FQ1 2018","FQ1 2018","Currency=INR","Period=FQ","BEST_FPERIOD_OVERRIDE=FQ","FILING_STATUS=OR","EQY_CONSOLIDATED=Y","Sort=A","Dates=H","DateFormat=P","Fill=—","Direction=H","UseDPDF=Y")</f>
        <v>#NAME?</v>
      </c>
      <c r="BL249" s="1" t="e">
        <f ca="1">_xll.BDH($C$228,"ACCOUNTS_RECEIVABLE_SEQ_GROWTH","FQ1 2018","FQ1 2018","Currency=INR","Period=FQ","BEST_FPERIOD_OVERRIDE=FQ","FILING_STATUS=OR","EQY_CONSOLIDATED=Y","Sort=A","Dates=H","DateFormat=P","Fill=—","Direction=H","UseDPDF=Y")</f>
        <v>#NAME?</v>
      </c>
      <c r="BM249" s="1" t="e">
        <f ca="1">_xll.BDH($C$228,"INVENTORY_SEQUENTIAL_GROWTH","FQ1 2018","FQ1 2018","Currency=INR","Period=FQ","BEST_FPERIOD_OVERRIDE=FQ","FILING_STATUS=OR","EQY_CONSOLIDATED=Y","Sort=A","Dates=H","DateFormat=P","Fill=—","Direction=H","UseDPDF=Y")</f>
        <v>#NAME?</v>
      </c>
      <c r="BN249" s="1" t="e">
        <f ca="1">_xll.BDH($C$228,"FIXED_ASSETS_SEQUENTIAL_GROWTH","FQ1 2018","FQ1 2018","Currency=INR","Period=FQ","BEST_FPERIOD_OVERRIDE=FQ","FILING_STATUS=OR","EQY_CONSOLIDATED=Y","Sort=A","Dates=H","DateFormat=P","Fill=—","Direction=H","UseDPDF=Y")</f>
        <v>#NAME?</v>
      </c>
      <c r="BO249" s="1" t="e">
        <f ca="1">_xll.BDH($C$228,"TOTAL_ASSETS_SEQUENTIAL_GROWTH","FQ1 2018","FQ1 2018","Currency=INR","Period=FQ","BEST_FPERIOD_OVERRIDE=FQ","FILING_STATUS=OR","EQY_CONSOLIDATED=Y","Sort=A","Dates=H","DateFormat=P","Fill=—","Direction=H","UseDPDF=Y")</f>
        <v>#NAME?</v>
      </c>
      <c r="BP249" s="1" t="e">
        <f ca="1">_xll.BDH($C$228,"MODIFIED_WORKING_CPTL_SEQ_GRWTH","FQ1 2018","FQ1 2018","Currency=INR","Period=FQ","BEST_FPERIOD_OVERRIDE=FQ","FILING_STATUS=OR","EQY_CONSOLIDATED=Y","Sort=A","Dates=H","DateFormat=P","Fill=—","Direction=H","UseDPDF=Y")</f>
        <v>#NAME?</v>
      </c>
      <c r="BQ249" s="1" t="e">
        <f ca="1">_xll.BDH($C$228,"WORKING_CAPITAL_SEQ_GROWTH","FQ1 2018","FQ1 2018","Currency=INR","Period=FQ","BEST_FPERIOD_OVERRIDE=FQ","FILING_STATUS=OR","EQY_CONSOLIDATED=Y","Sort=A","Dates=H","DateFormat=P","Fill=—","Direction=H","UseDPDF=Y")</f>
        <v>#NAME?</v>
      </c>
      <c r="BR249" s="1" t="e">
        <f ca="1">_xll.BDH($C$228,"ACCOUNTS_PAYABLE_SEQ_GROWTH","FQ1 2018","FQ1 2018","Currency=INR","Period=FQ","BEST_FPERIOD_OVERRIDE=FQ","FILING_STATUS=OR","EQY_CONSOLIDATED=Y","Sort=A","Dates=H","DateFormat=P","Fill=—","Direction=H","UseDPDF=Y")</f>
        <v>#NAME?</v>
      </c>
      <c r="BS249" s="1" t="e">
        <f ca="1">_xll.BDH($C$228,"ST_DEBT_SEQUENTIAL_GROWTH","FQ1 2018","FQ1 2018","Currency=INR","Period=FQ","BEST_FPERIOD_OVERRIDE=FQ","FILING_STATUS=OR","EQY_CONSOLIDATED=Y","Sort=A","Dates=H","DateFormat=P","Fill=—","Direction=H","UseDPDF=Y")</f>
        <v>#NAME?</v>
      </c>
      <c r="BT249" s="1" t="e">
        <f ca="1">_xll.BDH($C$228,"TOTAL_DEBT_SEQUENTIAL_GROWTH","FQ1 2018","FQ1 2018","Currency=INR","Period=FQ","BEST_FPERIOD_OVERRIDE=FQ","FILING_STATUS=OR","EQY_CONSOLIDATED=Y","Sort=A","Dates=H","DateFormat=P","Fill=—","Direction=H","UseDPDF=Y")</f>
        <v>#NAME?</v>
      </c>
      <c r="BU249" s="1" t="e">
        <f ca="1">_xll.BDH($C$228,"TOTAL_EQUITY_SEQUENTIAL_GROWTH","FQ1 2018","FQ1 2018","Currency=INR","Period=FQ","BEST_FPERIOD_OVERRIDE=FQ","FILING_STATUS=OR","EQY_CONSOLIDATED=Y","Sort=A","Dates=H","DateFormat=P","Fill=—","Direction=H","UseDPDF=Y")</f>
        <v>#NAME?</v>
      </c>
      <c r="BV249" s="1" t="e">
        <f ca="1">_xll.BDH($C$228,"TOTAL_CAPITAL_SEQUENTIAL_GROWTH","FQ1 2018","FQ1 2018","Currency=INR","Period=FQ","BEST_FPERIOD_OVERRIDE=FQ","FILING_STATUS=OR","EQY_CONSOLIDATED=Y","Sort=A","Dates=H","DateFormat=P","Fill=—","Direction=H","UseDPDF=Y")</f>
        <v>#NAME?</v>
      </c>
      <c r="BW249" s="1" t="e">
        <f ca="1">_xll.BDH($C$228,"BPS_SEQUENTIAL_GROWTH","FQ1 2018","FQ1 2018","Currency=INR","Period=FQ","BEST_FPERIOD_OVERRIDE=FQ","FILING_STATUS=OR","EQY_CONSOLIDATED=Y","Sort=A","Dates=H","DateFormat=P","Fill=—","Direction=H","UseDPDF=Y")</f>
        <v>#NAME?</v>
      </c>
      <c r="BX249" s="1" t="e">
        <f ca="1">_xll.BDH($C$228,"CFO_SEQUENTIAL_GROWTH","FQ1 2018","FQ1 2018","Currency=INR","Period=FQ","BEST_FPERIOD_OVERRIDE=FQ","FILING_STATUS=OR","EQY_CONSOLIDATED=Y","Sort=A","Dates=H","DateFormat=P","Fill=—","Direction=H","UseDPDF=Y")</f>
        <v>#NAME?</v>
      </c>
      <c r="BY249" s="2" t="e">
        <f ca="1">_xll.BDH($C$228,"SHORT_AND_LONG_TERM_DEBT","FQ1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49" s="2" t="e">
        <f ca="1">_xll.BDH($C$228,"BS_ST_BORROW","FQ1 2018","FQ1 2018","Currency=INR","Period=FQ","BEST_FPERIOD_OVERRIDE=FQ","FILING_STATUS=OR","EQY_CONSOLIDATED=Y","SCALING_FORMAT=MLN","Sort=A","Dates=H","DateFormat=P","Fill=—","Direction=H","UseDPDF=Y")</f>
        <v>#NAME?</v>
      </c>
      <c r="CA249" s="2" t="e">
        <f ca="1">_xll.BDH($C$228,"BS_LT_BORROW","FQ1 2018","FQ1 2018","Currency=INR","Period=FQ","BEST_FPERIOD_OVERRIDE=FQ","FILING_STATUS=OR","EQY_CONSOLIDATED=Y","SCALING_FORMAT=MLN","Sort=A","Dates=H","DateFormat=P","Fill=—","Direction=H","UseDPDF=Y")</f>
        <v>#NAME?</v>
      </c>
      <c r="CB249" s="1" t="e">
        <f ca="1">_xll.BDH($C$228,"TOT_DEBT_TO_EBITDA","FQ1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49" s="1" t="e">
        <f ca="1">_xll.BDH($C$228,"NET_DEBT_TO_EBITDA","FQ1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49" s="1" t="e">
        <f ca="1">_xll.BDH($C$228,"TOTAL_DEBT_TO_EBIT","FQ1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49" s="1" t="e">
        <f ca="1">_xll.BDH($C$228,"NET_DEBT_TO_EBIT","FQ1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249" s="1" t="e">
        <f ca="1">_xll.BDH($C$228,"EBITDA_TO_INTEREST_EXPN","FQ1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49" s="1" t="e">
        <f ca="1">_xll.BDH($C$228,"COM_EQY_TO_TOT_ASSET","FQ1 2018","FQ1 2018","Currency=INR","Period=FQ","BEST_FPERIOD_OVERRIDE=FQ","FILING_STATUS=OR","EQY_CONSOLIDATED=Y","Sort=A","Dates=H","DateFormat=P","Fill=—","Direction=H","UseDPDF=Y")</f>
        <v>#NAME?</v>
      </c>
      <c r="CH249" s="1" t="e">
        <f ca="1">_xll.BDH($C$228,"LT_DEBT_TO_TOT_EQY","FQ1 2018","FQ1 2018","Currency=INR","Period=FQ","BEST_FPERIOD_OVERRIDE=FQ","FILING_STATUS=OR","EQY_CONSOLIDATED=Y","Sort=A","Dates=H","DateFormat=P","Fill=—","Direction=H","UseDPDF=Y")</f>
        <v>#NAME?</v>
      </c>
      <c r="CI249" s="1" t="e">
        <f ca="1">_xll.BDH($C$228,"LT_DEBT_TO_TOT_CAP","FQ1 2018","FQ1 2018","Currency=INR","Period=FQ","BEST_FPERIOD_OVERRIDE=FQ","FILING_STATUS=OR","EQY_CONSOLIDATED=Y","Sort=A","Dates=H","DateFormat=P","Fill=—","Direction=H","UseDPDF=Y")</f>
        <v>#NAME?</v>
      </c>
      <c r="CJ249" s="1" t="e">
        <f ca="1">_xll.BDH($C$228,"LT_DEBT_TO_TOT_ASSET","FQ1 2018","FQ1 2018","Currency=INR","Period=FQ","BEST_FPERIOD_OVERRIDE=FQ","FILING_STATUS=OR","EQY_CONSOLIDATED=Y","Sort=A","Dates=H","DateFormat=P","Fill=—","Direction=H","UseDPDF=Y")</f>
        <v>#NAME?</v>
      </c>
      <c r="CK249" s="1" t="e">
        <f ca="1">_xll.BDH($C$228,"TOT_DEBT_TO_TOT_EQY","FQ1 2018","FQ1 2018","Currency=INR","Period=FQ","BEST_FPERIOD_OVERRIDE=FQ","FILING_STATUS=OR","EQY_CONSOLIDATED=Y","Sort=A","Dates=H","DateFormat=P","Fill=—","Direction=H","UseDPDF=Y")</f>
        <v>#NAME?</v>
      </c>
      <c r="CL249" s="1" t="e">
        <f ca="1">_xll.BDH($C$228,"TOT_DEBT_TO_TOT_CAP","FQ1 2018","FQ1 2018","Currency=INR","Period=FQ","BEST_FPERIOD_OVERRIDE=FQ","FILING_STATUS=OR","EQY_CONSOLIDATED=Y","Sort=A","Dates=H","DateFormat=P","Fill=—","Direction=H","UseDPDF=Y")</f>
        <v>#NAME?</v>
      </c>
      <c r="CM249" s="1" t="e">
        <f ca="1">_xll.BDH($C$228,"TOT_DEBT_TO_TOT_ASSET","FQ1 2018","FQ1 2018","Currency=INR","Period=FQ","BEST_FPERIOD_OVERRIDE=FQ","FILING_STATUS=OR","EQY_CONSOLIDATED=Y","Sort=A","Dates=H","DateFormat=P","Fill=—","Direction=H","UseDPDF=Y")</f>
        <v>#NAME?</v>
      </c>
      <c r="CN249" s="1" t="e">
        <f ca="1">_xll.BDH($C$228,"NET_DEBT_TO_SHRHLDR_EQTY","FQ1 2018","FQ1 2018","Currency=INR","Period=FQ","BEST_FPERIOD_OVERRIDE=FQ","FILING_STATUS=OR","EQY_CONSOLIDATED=Y","Sort=A","Dates=H","DateFormat=P","Fill=—","Direction=H","UseDPDF=Y")</f>
        <v>#NAME?</v>
      </c>
      <c r="CO249" s="1" t="e">
        <f ca="1">_xll.BDH($C$228,"NET_DEBT_%_CAPITAL","FQ1 2018","FQ1 2018","Currency=INR","Period=FQ","BEST_FPERIOD_OVERRIDE=FQ","FILING_STATUS=OR","EQY_CONSOLIDATED=Y","Sort=A","Dates=H","DateFormat=P","Fill=—","Direction=H","UseDPDF=Y")</f>
        <v>#NAME?</v>
      </c>
      <c r="CP249" s="2" t="e">
        <f ca="1">_xll.BDH($C$228,"EBITDA","FQ1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49" s="2" t="e">
        <f ca="1">_xll.BDH($C$228,"EBITDA_AFTER_CAPEX","FQ1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49" s="2" t="e">
        <f ca="1">_xll.BDH($C$228,"IS_OPER_INC","FQ1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49" s="1" t="e">
        <f ca="1">_xll.BDH($C$228,"CASH_RATIO","FQ1 2018","FQ1 2018","Currency=INR","Period=FQ","BEST_FPERIOD_OVERRIDE=FQ","FILING_STATUS=OR","EQY_CONSOLIDATED=Y","Sort=A","Dates=H","DateFormat=P","Fill=—","Direction=H","UseDPDF=Y")</f>
        <v>#NAME?</v>
      </c>
      <c r="CT249" s="1" t="e">
        <f ca="1">_xll.BDH($C$228,"CUR_RATIO","FQ1 2018","FQ1 2018","Currency=INR","Period=FQ","BEST_FPERIOD_OVERRIDE=FQ","FILING_STATUS=OR","EQY_CONSOLIDATED=Y","Sort=A","Dates=H","DateFormat=P","Fill=—","Direction=H","UseDPDF=Y")</f>
        <v>#NAME?</v>
      </c>
      <c r="CU249" s="1" t="e">
        <f ca="1">_xll.BDH($C$228,"QUICK_RATIO","FQ1 2018","FQ1 2018","Currency=INR","Period=FQ","BEST_FPERIOD_OVERRIDE=FQ","FILING_STATUS=OR","EQY_CONSOLIDATED=Y","Sort=A","Dates=H","DateFormat=P","Fill=—","Direction=H","UseDPDF=Y")</f>
        <v>#NAME?</v>
      </c>
      <c r="CV249" s="1" t="e">
        <f ca="1">_xll.BDH($C$228,"ALTMAN_Z_SCORE","FQ1 2018","FQ1 2018","Currency=INR","Period=FQ","BEST_FPERIOD_OVERRIDE=FQ","FILING_STATUS=OR","EQY_CONSOLIDATED=Y","Sort=A","Dates=H","DateFormat=P","Fill=—","Direction=H","UseDPDF=Y")</f>
        <v>#NAME?</v>
      </c>
      <c r="CW249" s="3" t="e">
        <f ca="1">_xll.BDH($C$228,"ACCT_RCV_TURN","FQ1 2018","FQ1 2018","Currency=INR","Period=FQ","BEST_FPERIOD_OVERRIDE=FQ","FILING_STATUS=OR","EQY_CONSOLIDATED=Y","FA_ADJUSTED=GAAP","Sort=A","Dates=H","DateFormat=P","Fill=—","Direction=H","UseDPDF=Y")</f>
        <v>#NAME?</v>
      </c>
      <c r="CX249" s="1" t="e">
        <f ca="1">_xll.BDH($C$228,"ACCT_RCV_DAYS","FQ1 2018","FQ1 2018","Currency=INR","Period=FQ","BEST_FPERIOD_OVERRIDE=FQ","FILING_STATUS=OR","EQY_CONSOLIDATED=Y","FA_ADJUSTED=GAAP","Sort=A","Dates=H","DateFormat=P","Fill=—","Direction=H","UseDPDF=Y")</f>
        <v>#NAME?</v>
      </c>
      <c r="CY249" s="3" t="e">
        <f ca="1">_xll.BDH($C$228,"INVENT_TURN","FQ1 2018","FQ1 2018","Currency=INR","Period=FQ","BEST_FPERIOD_OVERRIDE=FQ","FILING_STATUS=OR","EQY_CONSOLIDATED=Y","FA_ADJUSTED=GAAP","Sort=A","Dates=H","DateFormat=P","Fill=—","Direction=H","UseDPDF=Y")</f>
        <v>#NAME?</v>
      </c>
      <c r="CZ249" s="1" t="e">
        <f ca="1">_xll.BDH($C$228,"INVENT_DAYS","FQ1 2018","FQ1 2018","Currency=INR","Period=FQ","BEST_FPERIOD_OVERRIDE=FQ","FILING_STATUS=OR","EQY_CONSOLIDATED=Y","FA_ADJUSTED=GAAP","Sort=A","Dates=H","DateFormat=P","Fill=—","Direction=H","UseDPDF=Y")</f>
        <v>#NAME?</v>
      </c>
      <c r="DA249" s="3" t="e">
        <f ca="1">_xll.BDH($C$228,"ACCOUNTS_PAYABLE_TURNOVER","FQ1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49" s="1" t="e">
        <f ca="1">_xll.BDH($C$228,"ACCOUNTS_PAYABLE_TURNOVER_DAYS","FQ1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49" s="3" t="e">
        <f ca="1">_xll.BDH($C$228,"CASH_CONVERSION_CYCLE","FQ1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49" s="3" t="e">
        <f ca="1">_xll.BDH($C$228,"INV_TO_CASH_DAYS","FQ1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249" s="4" t="e">
        <f ca="1">_xll.BDH($C$228,"BS_INVENTORIES","FQ1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249" s="2" t="e">
        <f ca="1">_xll.BDH($C$228,"INVTRY_RAW_MATERIALS","FQ1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49" s="2" t="e">
        <f ca="1">_xll.BDH($C$228,"INVTRY_IN_PROGRESS","FQ1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49" s="2" t="e">
        <f ca="1">_xll.BDH($C$228,"INVTRY_FINISHED_GOODS","FQ1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49" s="2" t="e">
        <f ca="1">_xll.BDH($C$228,"BS_OTHER_INV","FQ1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50" spans="1:113" x14ac:dyDescent="0.3">
      <c r="A250" s="6"/>
      <c r="B250" s="6"/>
      <c r="C250" s="6"/>
      <c r="D250" s="6"/>
      <c r="E250" t="s">
        <v>5</v>
      </c>
      <c r="F250" t="e">
        <f ca="1">_xll.BDH($C$228,"RETURN_COM_EQY","FQ2 2018","FQ2 2018","Currency=INR","Period=FQ","BEST_FPERIOD_OVERRIDE=FQ","FILING_STATUS=OR","EQY_CONSOLIDATED=Y","FA_ADJUSTED=GAAP","Sort=A","Dates=H","DateFormat=P","Fill=—","Direction=H","UseDPDF=Y")</f>
        <v>#NAME?</v>
      </c>
      <c r="G250" t="e">
        <f ca="1">_xll.BDH($C$228,"RETURN_ON_ASSET","FQ2 2018","FQ2 2018","Currency=INR","Period=FQ","BEST_FPERIOD_OVERRIDE=FQ","FILING_STATUS=OR","EQY_CONSOLIDATED=Y","FA_ADJUSTED=GAAP","Sort=A","Dates=H","DateFormat=P","Fill=—","Direction=H","UseDPDF=Y")</f>
        <v>#NAME?</v>
      </c>
      <c r="H250" t="e">
        <f ca="1">_xll.BDH($C$228,"RETURN_ON_CAP","FQ2 2018","FQ2 2018","Currency=INR","Period=FQ","BEST_FPERIOD_OVERRIDE=FQ","FILING_STATUS=OR","EQY_CONSOLIDATED=Y","FA_ADJUSTED=GAAP","Sort=A","Dates=H","DateFormat=P","Fill=—","Direction=H","UseDPDF=Y")</f>
        <v>#NAME?</v>
      </c>
      <c r="I250" t="e">
        <f ca="1">_xll.BDH($C$228,"RETURN_ON_INV_CAPITAL","FQ2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50" t="e">
        <f ca="1">_xll.BDH($C$228,"EBITDA_TO_REVENUE","FQ2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250" t="e">
        <f ca="1">_xll.BDH($C$228,"OPER_MARGIN","FQ2 2018","FQ2 2018","Currency=INR","Period=FQ","BEST_FPERIOD_OVERRIDE=FQ","FILING_STATUS=OR","EQY_CONSOLIDATED=Y","FA_ADJUSTED=GAAP","Sort=A","Dates=H","DateFormat=P","Fill=—","Direction=H","UseDPDF=Y")</f>
        <v>#NAME?</v>
      </c>
      <c r="L250" t="e">
        <f ca="1">_xll.BDH($C$228,"INCREMENTAL_OPERATING_MARGIN","FQ2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50" t="e">
        <f ca="1">_xll.BDH($C$228,"PRETAX_INC_TO_NET_SALES","FQ2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50" t="e">
        <f ca="1">_xll.BDH($C$228,"INC_BEF_XO_ITEMS_TO_NET_SALES","FQ2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50" t="e">
        <f ca="1">_xll.BDH($C$228,"PROF_MARGIN","FQ2 2018","FQ2 2018","Currency=INR","Period=FQ","BEST_FPERIOD_OVERRIDE=FQ","FILING_STATUS=OR","EQY_CONSOLIDATED=Y","FA_ADJUSTED=GAAP","Sort=A","Dates=H","DateFormat=P","Fill=—","Direction=H","UseDPDF=Y")</f>
        <v>#NAME?</v>
      </c>
      <c r="P250" t="e">
        <f ca="1">_xll.BDH($C$228,"NET_INCOME_TO_COMMON_MARGIN","FQ2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50" t="e">
        <f ca="1">_xll.BDH($C$228,"EFF_TAX_RATE","FQ2 2018","FQ2 2018","Currency=INR","Period=FQ","BEST_FPERIOD_OVERRIDE=FQ","FILING_STATUS=OR","EQY_CONSOLIDATED=Y","FA_ADJUSTED=GAAP","Sort=A","Dates=H","DateFormat=P","Fill=—","Direction=H","UseDPDF=Y")</f>
        <v>#NAME?</v>
      </c>
      <c r="R250" t="e">
        <f ca="1">_xll.BDH($C$228,"DVD_PAYOUT_RATIO","FQ2 2018","FQ2 2018","Currency=INR","Period=FQ","BEST_FPERIOD_OVERRIDE=FQ","FILING_STATUS=OR","EQY_CONSOLIDATED=Y","FA_ADJUSTED=GAAP","Sort=A","Dates=H","DateFormat=P","Fill=—","Direction=H","UseDPDF=Y")</f>
        <v>#NAME?</v>
      </c>
      <c r="S250" t="e">
        <f ca="1">_xll.BDH($C$228,"SUSTAIN_GROWTH_RT","FQ2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250" s="1" t="e">
        <f ca="1">_xll.BDH($C$228,"SALES_GROWTH","FQ2 2018","FQ2 2018","Currency=INR","Period=FQ","BEST_FPERIOD_OVERRIDE=FQ","FILING_STATUS=OR","EQY_CONSOLIDATED=Y","FA_ADJUSTED=GAAP","Sort=A","Dates=H","DateFormat=P","Fill=—","Direction=H","UseDPDF=Y")</f>
        <v>#NAME?</v>
      </c>
      <c r="U250" s="1" t="e">
        <f ca="1">_xll.BDH($C$228,"EBITDA_GROWTH","FQ2 2018","FQ2 2018","Currency=INR","Period=FQ","BEST_FPERIOD_OVERRIDE=FQ","FILING_STATUS=OR","EQY_CONSOLIDATED=Y","FA_ADJUSTED=GAAP","Sort=A","Dates=H","DateFormat=P","Fill=—","Direction=H","UseDPDF=Y")</f>
        <v>#NAME?</v>
      </c>
      <c r="V250" s="1" t="e">
        <f ca="1">_xll.BDH($C$228,"OPER_INC_GROWTH","FQ2 2018","FQ2 2018","Currency=INR","Period=FQ","BEST_FPERIOD_OVERRIDE=FQ","FILING_STATUS=OR","EQY_CONSOLIDATED=Y","FA_ADJUSTED=GAAP","Sort=A","Dates=H","DateFormat=P","Fill=—","Direction=H","UseDPDF=Y")</f>
        <v>#NAME?</v>
      </c>
      <c r="W250" s="1" t="e">
        <f ca="1">_xll.BDH($C$228,"EARN_FOR_COM_GROWTH","FQ2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50" s="1" t="e">
        <f ca="1">_xll.BDH($C$228,"DILUTED_EPS_AFT_XO_ITEMS_GROWTH","FQ2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50" s="1" t="e">
        <f ca="1">_xll.BDH($C$228,"DIVIDEND_PER_SHARE_1_YEAR_GROWTH","FQ2 2018","FQ2 2018","Currency=INR","Period=FQ","BEST_FPERIOD_OVERRIDE=FQ","FILING_STATUS=OR","EQY_CONSOLIDATED=Y","Sort=A","Dates=H","DateFormat=P","Fill=—","Direction=H","UseDPDF=Y")</f>
        <v>#NAME?</v>
      </c>
      <c r="Z250" s="1" t="e">
        <f ca="1">_xll.BDH($C$228,"ACCOUNTS_RECEIVABLE_GROWTH","FQ2 2018","FQ2 2018","Currency=INR","Period=FQ","BEST_FPERIOD_OVERRIDE=FQ","FILING_STATUS=OR","EQY_CONSOLIDATED=Y","Sort=A","Dates=H","DateFormat=P","Fill=—","Direction=H","UseDPDF=Y")</f>
        <v>#NAME?</v>
      </c>
      <c r="AA250" s="1" t="e">
        <f ca="1">_xll.BDH($C$228,"INVENTORY_GROWTH","FQ2 2018","FQ2 2018","Currency=INR","Period=FQ","BEST_FPERIOD_OVERRIDE=FQ","FILING_STATUS=OR","EQY_CONSOLIDATED=Y","Sort=A","Dates=H","DateFormat=P","Fill=—","Direction=H","UseDPDF=Y")</f>
        <v>#NAME?</v>
      </c>
      <c r="AB250" s="1" t="e">
        <f ca="1">_xll.BDH($C$228,"NET_FIXED_ASSETS_1_YEAR_GROWTH","FQ2 2018","FQ2 2018","Currency=INR","Period=FQ","BEST_FPERIOD_OVERRIDE=FQ","FILING_STATUS=OR","EQY_CONSOLIDATED=Y","Sort=A","Dates=H","DateFormat=P","Fill=—","Direction=H","UseDPDF=Y")</f>
        <v>#NAME?</v>
      </c>
      <c r="AC250" s="1" t="e">
        <f ca="1">_xll.BDH($C$228,"ASSET_GROWTH","FQ2 2018","FQ2 2018","Currency=INR","Period=FQ","BEST_FPERIOD_OVERRIDE=FQ","FILING_STATUS=OR","EQY_CONSOLIDATED=Y","Sort=A","Dates=H","DateFormat=P","Fill=—","Direction=H","UseDPDF=Y")</f>
        <v>#NAME?</v>
      </c>
      <c r="AD250" s="1" t="e">
        <f ca="1">_xll.BDH($C$228,"MODIFIED_WORK_CAP_GROWTH","FQ2 2018","FQ2 2018","Currency=INR","Period=FQ","BEST_FPERIOD_OVERRIDE=FQ","FILING_STATUS=OR","EQY_CONSOLIDATED=Y","Sort=A","Dates=H","DateFormat=P","Fill=—","Direction=H","UseDPDF=Y")</f>
        <v>#NAME?</v>
      </c>
      <c r="AE250" s="1" t="e">
        <f ca="1">_xll.BDH($C$228,"WORK_CAP_GROWTH","FQ2 2018","FQ2 2018","Currency=INR","Period=FQ","BEST_FPERIOD_OVERRIDE=FQ","FILING_STATUS=OR","EQY_CONSOLIDATED=Y","Sort=A","Dates=H","DateFormat=P","Fill=—","Direction=H","UseDPDF=Y")</f>
        <v>#NAME?</v>
      </c>
      <c r="AF250" s="1" t="e">
        <f ca="1">_xll.BDH($C$228,"ACCOUNTS_PAYABLE_GROWTH_1YR","FQ2 2018","FQ2 2018","Currency=INR","Period=FQ","BEST_FPERIOD_OVERRIDE=FQ","FILING_STATUS=OR","EQY_CONSOLIDATED=Y","Sort=A","Dates=H","DateFormat=P","Fill=—","Direction=H","UseDPDF=Y")</f>
        <v>#NAME?</v>
      </c>
      <c r="AG250" s="1" t="e">
        <f ca="1">_xll.BDH($C$228,"SHORT_TERM_DEBT_1_YEAR_GROWTH","FQ2 2018","FQ2 2018","Currency=INR","Period=FQ","BEST_FPERIOD_OVERRIDE=FQ","FILING_STATUS=OR","EQY_CONSOLIDATED=Y","Sort=A","Dates=H","DateFormat=P","Fill=—","Direction=H","UseDPDF=Y")</f>
        <v>#NAME?</v>
      </c>
      <c r="AH250" s="1" t="e">
        <f ca="1">_xll.BDH($C$228,"TOTAL_DEBT_1_YEAR_GROWTH","FQ2 2018","FQ2 2018","Currency=INR","Period=FQ","BEST_FPERIOD_OVERRIDE=FQ","FILING_STATUS=OR","EQY_CONSOLIDATED=Y","Sort=A","Dates=H","DateFormat=P","Fill=—","Direction=H","UseDPDF=Y")</f>
        <v>#NAME?</v>
      </c>
      <c r="AI250" s="1" t="e">
        <f ca="1">_xll.BDH($C$228,"TOTAL_EQUITY_1_YEAR_GROWTH","FQ2 2018","FQ2 2018","Currency=INR","Period=FQ","BEST_FPERIOD_OVERRIDE=FQ","FILING_STATUS=OR","EQY_CONSOLIDATED=Y","Sort=A","Dates=H","DateFormat=P","Fill=—","Direction=H","UseDPDF=Y")</f>
        <v>#NAME?</v>
      </c>
      <c r="AJ250" s="1" t="e">
        <f ca="1">_xll.BDH($C$228,"GROWTH_IN_CAP","FQ2 2018","FQ2 2018","Currency=INR","Period=FQ","BEST_FPERIOD_OVERRIDE=FQ","FILING_STATUS=OR","EQY_CONSOLIDATED=Y","Sort=A","Dates=H","DateFormat=P","Fill=—","Direction=H","UseDPDF=Y")</f>
        <v>#NAME?</v>
      </c>
      <c r="AK250" s="1" t="e">
        <f ca="1">_xll.BDH($C$228,"BVPS_GROWTH","FQ2 2018","FQ2 2018","Currency=INR","Period=FQ","BEST_FPERIOD_OVERRIDE=FQ","FILING_STATUS=OR","EQY_CONSOLIDATED=Y","Sort=A","Dates=H","DateFormat=P","Fill=—","Direction=H","UseDPDF=Y")</f>
        <v>#NAME?</v>
      </c>
      <c r="AL250" s="1" t="e">
        <f ca="1">_xll.BDH($C$228,"CASH_FLOW_GROWTH","FQ2 2018","FQ2 2018","Currency=INR","Period=FQ","BEST_FPERIOD_OVERRIDE=FQ","FILING_STATUS=OR","EQY_CONSOLIDATED=Y","Sort=A","Dates=H","DateFormat=P","Fill=—","Direction=H","UseDPDF=Y")</f>
        <v>#NAME?</v>
      </c>
      <c r="AM250" s="1" t="e">
        <f ca="1">_xll.BDH($C$228,"GEO_GROW_NET_SALES","FQ2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50" s="1" t="e">
        <f ca="1">_xll.BDH($C$228,"GEO_GROW_EBITDA","FQ2 2018","FQ2 2018","Currency=INR","Period=FQ","BEST_FPERIOD_OVERRIDE=FQ","FILING_STATUS=OR","EQY_CONSOLIDATED=Y","FA_ADJUSTED=GAAP","Sort=A","Dates=H","DateFormat=P","Fill=—","Direction=H","UseDPDF=Y")</f>
        <v>#NAME?</v>
      </c>
      <c r="AO250" s="1" t="e">
        <f ca="1">_xll.BDH($C$228,"GEO_GROW_OPER_INC","FQ2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50" s="1" t="e">
        <f ca="1">_xll.BDH($C$228,"NET_INCOME_TO_COMMON_5_YR_GROWTH","FQ2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50" s="1" t="e">
        <f ca="1">_xll.BDH($C$228,"5Y_GEO_GROWTH_DILUTED_EPS","FQ2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50" s="1" t="e">
        <f ca="1">_xll.BDH($C$228,"GEO_GROW_DVD_PER_SH","FQ2 2018","FQ2 2018","Currency=INR","Period=FQ","BEST_FPERIOD_OVERRIDE=FQ","FILING_STATUS=OR","EQY_CONSOLIDATED=Y","Sort=A","Dates=H","DateFormat=P","Fill=—","Direction=H","UseDPDF=Y")</f>
        <v>#NAME?</v>
      </c>
      <c r="AS250" s="1" t="e">
        <f ca="1">_xll.BDH($C$228,"ACCOUNTS_RECEIVABLE_5_YR_GROWTH","FQ2 2018","FQ2 2018","Currency=INR","Period=FQ","BEST_FPERIOD_OVERRIDE=FQ","FILING_STATUS=OR","EQY_CONSOLIDATED=Y","Sort=A","Dates=H","DateFormat=P","Fill=—","Direction=H","UseDPDF=Y")</f>
        <v>#NAME?</v>
      </c>
      <c r="AT250" s="1" t="e">
        <f ca="1">_xll.BDH($C$228,"INVENTORY_5_YEAR_GROWTH","FQ2 2018","FQ2 2018","Currency=INR","Period=FQ","BEST_FPERIOD_OVERRIDE=FQ","FILING_STATUS=OR","EQY_CONSOLIDATED=Y","Sort=A","Dates=H","DateFormat=P","Fill=—","Direction=H","UseDPDF=Y")</f>
        <v>#NAME?</v>
      </c>
      <c r="AU250" s="1" t="e">
        <f ca="1">_xll.BDH($C$228,"NET_FIXED_ASSETS_5_YEAR_GROWTH","FQ2 2018","FQ2 2018","Currency=INR","Period=FQ","BEST_FPERIOD_OVERRIDE=FQ","FILING_STATUS=OR","EQY_CONSOLIDATED=Y","Sort=A","Dates=H","DateFormat=P","Fill=—","Direction=H","UseDPDF=Y")</f>
        <v>#NAME?</v>
      </c>
      <c r="AV250" s="1" t="e">
        <f ca="1">_xll.BDH($C$228,"GEO_GROW_TOT_ASSET","FQ2 2018","FQ2 2018","Currency=INR","Period=FQ","BEST_FPERIOD_OVERRIDE=FQ","FILING_STATUS=OR","EQY_CONSOLIDATED=Y","Sort=A","Dates=H","DateFormat=P","Fill=—","Direction=H","UseDPDF=Y")</f>
        <v>#NAME?</v>
      </c>
      <c r="AW250" s="1" t="e">
        <f ca="1">_xll.BDH($C$228,"MODIFIED_WORKING_CPTL_5YR_GRWTH","FQ2 2018","FQ2 2018","Currency=INR","Period=FQ","BEST_FPERIOD_OVERRIDE=FQ","FILING_STATUS=OR","EQY_CONSOLIDATED=Y","Sort=A","Dates=H","DateFormat=P","Fill=—","Direction=H","UseDPDF=Y")</f>
        <v>#NAME?</v>
      </c>
      <c r="AX250" s="1" t="e">
        <f ca="1">_xll.BDH($C$228,"WORKING_CAPITAL_5_YEAR_GROWTH","FQ2 2018","FQ2 2018","Currency=INR","Period=FQ","BEST_FPERIOD_OVERRIDE=FQ","FILING_STATUS=OR","EQY_CONSOLIDATED=Y","Sort=A","Dates=H","DateFormat=P","Fill=—","Direction=H","UseDPDF=Y")</f>
        <v>#NAME?</v>
      </c>
      <c r="AY250" s="1" t="e">
        <f ca="1">_xll.BDH($C$228,"ACCOUNTS_PAYABLE_5_YEAR_GROWTH","FQ2 2018","FQ2 2018","Currency=INR","Period=FQ","BEST_FPERIOD_OVERRIDE=FQ","FILING_STATUS=OR","EQY_CONSOLIDATED=Y","Sort=A","Dates=H","DateFormat=P","Fill=—","Direction=H","UseDPDF=Y")</f>
        <v>#NAME?</v>
      </c>
      <c r="AZ250" s="1" t="e">
        <f ca="1">_xll.BDH($C$228,"SHORT_TERM_DEBT_5_YEAR_GROWTH","FQ2 2018","FQ2 2018","Currency=INR","Period=FQ","BEST_FPERIOD_OVERRIDE=FQ","FILING_STATUS=OR","EQY_CONSOLIDATED=Y","Sort=A","Dates=H","DateFormat=P","Fill=—","Direction=H","UseDPDF=Y")</f>
        <v>#NAME?</v>
      </c>
      <c r="BA250" s="1" t="e">
        <f ca="1">_xll.BDH($C$228,"TOTAL_DEBT_5_YEAR_GROWTH","FQ2 2018","FQ2 2018","Currency=INR","Period=FQ","BEST_FPERIOD_OVERRIDE=FQ","FILING_STATUS=OR","EQY_CONSOLIDATED=Y","Sort=A","Dates=H","DateFormat=P","Fill=—","Direction=H","UseDPDF=Y")</f>
        <v>#NAME?</v>
      </c>
      <c r="BB250" s="1" t="e">
        <f ca="1">_xll.BDH($C$228,"GEO_GROW_TOT_SHRHLDR_EQY","FQ2 2018","FQ2 2018","Currency=INR","Period=FQ","BEST_FPERIOD_OVERRIDE=FQ","FILING_STATUS=OR","EQY_CONSOLIDATED=Y","Sort=A","Dates=H","DateFormat=P","Fill=—","Direction=H","UseDPDF=Y")</f>
        <v>#NAME?</v>
      </c>
      <c r="BC250" s="1" t="e">
        <f ca="1">_xll.BDH($C$228,"TOTAL_CAPITAL_5_YEAR_GROWTH","FQ2 2018","FQ2 2018","Currency=INR","Period=FQ","BEST_FPERIOD_OVERRIDE=FQ","FILING_STATUS=OR","EQY_CONSOLIDATED=Y","Sort=A","Dates=H","DateFormat=P","Fill=—","Direction=H","UseDPDF=Y")</f>
        <v>#NAME?</v>
      </c>
      <c r="BD250" s="1" t="e">
        <f ca="1">_xll.BDH($C$228,"GEO_GROW_BOOK_VAL","FQ2 2018","FQ2 2018","Currency=INR","Period=FQ","BEST_FPERIOD_OVERRIDE=FQ","FILING_STATUS=OR","EQY_CONSOLIDATED=Y","Sort=A","Dates=H","DateFormat=P","Fill=—","Direction=H","UseDPDF=Y")</f>
        <v>#NAME?</v>
      </c>
      <c r="BE250" s="1" t="e">
        <f ca="1">_xll.BDH($C$228,"GEO_GROW_CASH_OPER_ACT","FQ2 2018","FQ2 2018","Currency=INR","Period=FQ","BEST_FPERIOD_OVERRIDE=FQ","FILING_STATUS=OR","EQY_CONSOLIDATED=Y","Sort=A","Dates=H","DateFormat=P","Fill=—","Direction=H","UseDPDF=Y")</f>
        <v>#NAME?</v>
      </c>
      <c r="BF250" s="1" t="e">
        <f ca="1">_xll.BDH($C$228,"REVENUE_SEQUENTIAL_GROWTH","FQ2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50" s="1" t="e">
        <f ca="1">_xll.BDH($C$228,"EBITDA_SEQUENTIAL_GROWTH","FQ2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50" s="1" t="e">
        <f ca="1">_xll.BDH($C$228,"OPERATING_INCOME_SEQ_GROWTH","FQ2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50" s="1" t="e">
        <f ca="1">_xll.BDH($C$228,"NET_INCOME_TO_COMMON_SEQ_GROWTH","FQ2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50" s="1" t="e">
        <f ca="1">_xll.BDH($C$228,"EPS_DILUTED_SEQUENTIAL_GROWTH","FQ2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50" s="1" t="e">
        <f ca="1">_xll.BDH($C$228,"DPS_SEQUENTIAL_GROWTH","FQ2 2018","FQ2 2018","Currency=INR","Period=FQ","BEST_FPERIOD_OVERRIDE=FQ","FILING_STATUS=OR","EQY_CONSOLIDATED=Y","Sort=A","Dates=H","DateFormat=P","Fill=—","Direction=H","UseDPDF=Y")</f>
        <v>#NAME?</v>
      </c>
      <c r="BL250" s="1" t="e">
        <f ca="1">_xll.BDH($C$228,"ACCOUNTS_RECEIVABLE_SEQ_GROWTH","FQ2 2018","FQ2 2018","Currency=INR","Period=FQ","BEST_FPERIOD_OVERRIDE=FQ","FILING_STATUS=OR","EQY_CONSOLIDATED=Y","Sort=A","Dates=H","DateFormat=P","Fill=—","Direction=H","UseDPDF=Y")</f>
        <v>#NAME?</v>
      </c>
      <c r="BM250" s="1" t="e">
        <f ca="1">_xll.BDH($C$228,"INVENTORY_SEQUENTIAL_GROWTH","FQ2 2018","FQ2 2018","Currency=INR","Period=FQ","BEST_FPERIOD_OVERRIDE=FQ","FILING_STATUS=OR","EQY_CONSOLIDATED=Y","Sort=A","Dates=H","DateFormat=P","Fill=—","Direction=H","UseDPDF=Y")</f>
        <v>#NAME?</v>
      </c>
      <c r="BN250" s="1" t="e">
        <f ca="1">_xll.BDH($C$228,"FIXED_ASSETS_SEQUENTIAL_GROWTH","FQ2 2018","FQ2 2018","Currency=INR","Period=FQ","BEST_FPERIOD_OVERRIDE=FQ","FILING_STATUS=OR","EQY_CONSOLIDATED=Y","Sort=A","Dates=H","DateFormat=P","Fill=—","Direction=H","UseDPDF=Y")</f>
        <v>#NAME?</v>
      </c>
      <c r="BO250" s="1" t="e">
        <f ca="1">_xll.BDH($C$228,"TOTAL_ASSETS_SEQUENTIAL_GROWTH","FQ2 2018","FQ2 2018","Currency=INR","Period=FQ","BEST_FPERIOD_OVERRIDE=FQ","FILING_STATUS=OR","EQY_CONSOLIDATED=Y","Sort=A","Dates=H","DateFormat=P","Fill=—","Direction=H","UseDPDF=Y")</f>
        <v>#NAME?</v>
      </c>
      <c r="BP250" s="1" t="e">
        <f ca="1">_xll.BDH($C$228,"MODIFIED_WORKING_CPTL_SEQ_GRWTH","FQ2 2018","FQ2 2018","Currency=INR","Period=FQ","BEST_FPERIOD_OVERRIDE=FQ","FILING_STATUS=OR","EQY_CONSOLIDATED=Y","Sort=A","Dates=H","DateFormat=P","Fill=—","Direction=H","UseDPDF=Y")</f>
        <v>#NAME?</v>
      </c>
      <c r="BQ250" s="1" t="e">
        <f ca="1">_xll.BDH($C$228,"WORKING_CAPITAL_SEQ_GROWTH","FQ2 2018","FQ2 2018","Currency=INR","Period=FQ","BEST_FPERIOD_OVERRIDE=FQ","FILING_STATUS=OR","EQY_CONSOLIDATED=Y","Sort=A","Dates=H","DateFormat=P","Fill=—","Direction=H","UseDPDF=Y")</f>
        <v>#NAME?</v>
      </c>
      <c r="BR250" s="1" t="e">
        <f ca="1">_xll.BDH($C$228,"ACCOUNTS_PAYABLE_SEQ_GROWTH","FQ2 2018","FQ2 2018","Currency=INR","Period=FQ","BEST_FPERIOD_OVERRIDE=FQ","FILING_STATUS=OR","EQY_CONSOLIDATED=Y","Sort=A","Dates=H","DateFormat=P","Fill=—","Direction=H","UseDPDF=Y")</f>
        <v>#NAME?</v>
      </c>
      <c r="BS250" s="1" t="e">
        <f ca="1">_xll.BDH($C$228,"ST_DEBT_SEQUENTIAL_GROWTH","FQ2 2018","FQ2 2018","Currency=INR","Period=FQ","BEST_FPERIOD_OVERRIDE=FQ","FILING_STATUS=OR","EQY_CONSOLIDATED=Y","Sort=A","Dates=H","DateFormat=P","Fill=—","Direction=H","UseDPDF=Y")</f>
        <v>#NAME?</v>
      </c>
      <c r="BT250" s="1" t="e">
        <f ca="1">_xll.BDH($C$228,"TOTAL_DEBT_SEQUENTIAL_GROWTH","FQ2 2018","FQ2 2018","Currency=INR","Period=FQ","BEST_FPERIOD_OVERRIDE=FQ","FILING_STATUS=OR","EQY_CONSOLIDATED=Y","Sort=A","Dates=H","DateFormat=P","Fill=—","Direction=H","UseDPDF=Y")</f>
        <v>#NAME?</v>
      </c>
      <c r="BU250" s="1" t="e">
        <f ca="1">_xll.BDH($C$228,"TOTAL_EQUITY_SEQUENTIAL_GROWTH","FQ2 2018","FQ2 2018","Currency=INR","Period=FQ","BEST_FPERIOD_OVERRIDE=FQ","FILING_STATUS=OR","EQY_CONSOLIDATED=Y","Sort=A","Dates=H","DateFormat=P","Fill=—","Direction=H","UseDPDF=Y")</f>
        <v>#NAME?</v>
      </c>
      <c r="BV250" s="1" t="e">
        <f ca="1">_xll.BDH($C$228,"TOTAL_CAPITAL_SEQUENTIAL_GROWTH","FQ2 2018","FQ2 2018","Currency=INR","Period=FQ","BEST_FPERIOD_OVERRIDE=FQ","FILING_STATUS=OR","EQY_CONSOLIDATED=Y","Sort=A","Dates=H","DateFormat=P","Fill=—","Direction=H","UseDPDF=Y")</f>
        <v>#NAME?</v>
      </c>
      <c r="BW250" s="1" t="e">
        <f ca="1">_xll.BDH($C$228,"BPS_SEQUENTIAL_GROWTH","FQ2 2018","FQ2 2018","Currency=INR","Period=FQ","BEST_FPERIOD_OVERRIDE=FQ","FILING_STATUS=OR","EQY_CONSOLIDATED=Y","Sort=A","Dates=H","DateFormat=P","Fill=—","Direction=H","UseDPDF=Y")</f>
        <v>#NAME?</v>
      </c>
      <c r="BX250" s="1" t="e">
        <f ca="1">_xll.BDH($C$228,"CFO_SEQUENTIAL_GROWTH","FQ2 2018","FQ2 2018","Currency=INR","Period=FQ","BEST_FPERIOD_OVERRIDE=FQ","FILING_STATUS=OR","EQY_CONSOLIDATED=Y","Sort=A","Dates=H","DateFormat=P","Fill=—","Direction=H","UseDPDF=Y")</f>
        <v>#NAME?</v>
      </c>
      <c r="BY250" s="2" t="e">
        <f ca="1">_xll.BDH($C$228,"SHORT_AND_LONG_TERM_DEBT","FQ2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50" s="2" t="e">
        <f ca="1">_xll.BDH($C$228,"BS_ST_BORROW","FQ2 2018","FQ2 2018","Currency=INR","Period=FQ","BEST_FPERIOD_OVERRIDE=FQ","FILING_STATUS=OR","EQY_CONSOLIDATED=Y","SCALING_FORMAT=MLN","Sort=A","Dates=H","DateFormat=P","Fill=—","Direction=H","UseDPDF=Y")</f>
        <v>#NAME?</v>
      </c>
      <c r="CA250" s="2" t="e">
        <f ca="1">_xll.BDH($C$228,"BS_LT_BORROW","FQ2 2018","FQ2 2018","Currency=INR","Period=FQ","BEST_FPERIOD_OVERRIDE=FQ","FILING_STATUS=OR","EQY_CONSOLIDATED=Y","SCALING_FORMAT=MLN","Sort=A","Dates=H","DateFormat=P","Fill=—","Direction=H","UseDPDF=Y")</f>
        <v>#NAME?</v>
      </c>
      <c r="CB250" s="1" t="e">
        <f ca="1">_xll.BDH($C$228,"TOT_DEBT_TO_EBITDA","FQ2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50" s="1" t="e">
        <f ca="1">_xll.BDH($C$228,"NET_DEBT_TO_EBITDA","FQ2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50" s="1" t="e">
        <f ca="1">_xll.BDH($C$228,"TOTAL_DEBT_TO_EBIT","FQ2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50" s="1" t="e">
        <f ca="1">_xll.BDH($C$228,"NET_DEBT_TO_EBIT","FQ2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250" s="1" t="e">
        <f ca="1">_xll.BDH($C$228,"EBITDA_TO_INTEREST_EXPN","FQ2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50" s="1" t="e">
        <f ca="1">_xll.BDH($C$228,"COM_EQY_TO_TOT_ASSET","FQ2 2018","FQ2 2018","Currency=INR","Period=FQ","BEST_FPERIOD_OVERRIDE=FQ","FILING_STATUS=OR","EQY_CONSOLIDATED=Y","Sort=A","Dates=H","DateFormat=P","Fill=—","Direction=H","UseDPDF=Y")</f>
        <v>#NAME?</v>
      </c>
      <c r="CH250" s="1" t="e">
        <f ca="1">_xll.BDH($C$228,"LT_DEBT_TO_TOT_EQY","FQ2 2018","FQ2 2018","Currency=INR","Period=FQ","BEST_FPERIOD_OVERRIDE=FQ","FILING_STATUS=OR","EQY_CONSOLIDATED=Y","Sort=A","Dates=H","DateFormat=P","Fill=—","Direction=H","UseDPDF=Y")</f>
        <v>#NAME?</v>
      </c>
      <c r="CI250" s="1" t="e">
        <f ca="1">_xll.BDH($C$228,"LT_DEBT_TO_TOT_CAP","FQ2 2018","FQ2 2018","Currency=INR","Period=FQ","BEST_FPERIOD_OVERRIDE=FQ","FILING_STATUS=OR","EQY_CONSOLIDATED=Y","Sort=A","Dates=H","DateFormat=P","Fill=—","Direction=H","UseDPDF=Y")</f>
        <v>#NAME?</v>
      </c>
      <c r="CJ250" s="1" t="e">
        <f ca="1">_xll.BDH($C$228,"LT_DEBT_TO_TOT_ASSET","FQ2 2018","FQ2 2018","Currency=INR","Period=FQ","BEST_FPERIOD_OVERRIDE=FQ","FILING_STATUS=OR","EQY_CONSOLIDATED=Y","Sort=A","Dates=H","DateFormat=P","Fill=—","Direction=H","UseDPDF=Y")</f>
        <v>#NAME?</v>
      </c>
      <c r="CK250" s="1" t="e">
        <f ca="1">_xll.BDH($C$228,"TOT_DEBT_TO_TOT_EQY","FQ2 2018","FQ2 2018","Currency=INR","Period=FQ","BEST_FPERIOD_OVERRIDE=FQ","FILING_STATUS=OR","EQY_CONSOLIDATED=Y","Sort=A","Dates=H","DateFormat=P","Fill=—","Direction=H","UseDPDF=Y")</f>
        <v>#NAME?</v>
      </c>
      <c r="CL250" s="1" t="e">
        <f ca="1">_xll.BDH($C$228,"TOT_DEBT_TO_TOT_CAP","FQ2 2018","FQ2 2018","Currency=INR","Period=FQ","BEST_FPERIOD_OVERRIDE=FQ","FILING_STATUS=OR","EQY_CONSOLIDATED=Y","Sort=A","Dates=H","DateFormat=P","Fill=—","Direction=H","UseDPDF=Y")</f>
        <v>#NAME?</v>
      </c>
      <c r="CM250" s="1" t="e">
        <f ca="1">_xll.BDH($C$228,"TOT_DEBT_TO_TOT_ASSET","FQ2 2018","FQ2 2018","Currency=INR","Period=FQ","BEST_FPERIOD_OVERRIDE=FQ","FILING_STATUS=OR","EQY_CONSOLIDATED=Y","Sort=A","Dates=H","DateFormat=P","Fill=—","Direction=H","UseDPDF=Y")</f>
        <v>#NAME?</v>
      </c>
      <c r="CN250" s="1" t="e">
        <f ca="1">_xll.BDH($C$228,"NET_DEBT_TO_SHRHLDR_EQTY","FQ2 2018","FQ2 2018","Currency=INR","Period=FQ","BEST_FPERIOD_OVERRIDE=FQ","FILING_STATUS=OR","EQY_CONSOLIDATED=Y","Sort=A","Dates=H","DateFormat=P","Fill=—","Direction=H","UseDPDF=Y")</f>
        <v>#NAME?</v>
      </c>
      <c r="CO250" s="1" t="e">
        <f ca="1">_xll.BDH($C$228,"NET_DEBT_%_CAPITAL","FQ2 2018","FQ2 2018","Currency=INR","Period=FQ","BEST_FPERIOD_OVERRIDE=FQ","FILING_STATUS=OR","EQY_CONSOLIDATED=Y","Sort=A","Dates=H","DateFormat=P","Fill=—","Direction=H","UseDPDF=Y")</f>
        <v>#NAME?</v>
      </c>
      <c r="CP250" s="2" t="e">
        <f ca="1">_xll.BDH($C$228,"EBITDA","FQ2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50" s="2" t="e">
        <f ca="1">_xll.BDH($C$228,"EBITDA_AFTER_CAPEX","FQ2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50" s="2" t="e">
        <f ca="1">_xll.BDH($C$228,"IS_OPER_INC","FQ2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50" s="1" t="e">
        <f ca="1">_xll.BDH($C$228,"CASH_RATIO","FQ2 2018","FQ2 2018","Currency=INR","Period=FQ","BEST_FPERIOD_OVERRIDE=FQ","FILING_STATUS=OR","EQY_CONSOLIDATED=Y","Sort=A","Dates=H","DateFormat=P","Fill=—","Direction=H","UseDPDF=Y")</f>
        <v>#NAME?</v>
      </c>
      <c r="CT250" s="1" t="e">
        <f ca="1">_xll.BDH($C$228,"CUR_RATIO","FQ2 2018","FQ2 2018","Currency=INR","Period=FQ","BEST_FPERIOD_OVERRIDE=FQ","FILING_STATUS=OR","EQY_CONSOLIDATED=Y","Sort=A","Dates=H","DateFormat=P","Fill=—","Direction=H","UseDPDF=Y")</f>
        <v>#NAME?</v>
      </c>
      <c r="CU250" s="1" t="e">
        <f ca="1">_xll.BDH($C$228,"QUICK_RATIO","FQ2 2018","FQ2 2018","Currency=INR","Period=FQ","BEST_FPERIOD_OVERRIDE=FQ","FILING_STATUS=OR","EQY_CONSOLIDATED=Y","Sort=A","Dates=H","DateFormat=P","Fill=—","Direction=H","UseDPDF=Y")</f>
        <v>#NAME?</v>
      </c>
      <c r="CV250" s="1" t="e">
        <f ca="1">_xll.BDH($C$228,"ALTMAN_Z_SCORE","FQ2 2018","FQ2 2018","Currency=INR","Period=FQ","BEST_FPERIOD_OVERRIDE=FQ","FILING_STATUS=OR","EQY_CONSOLIDATED=Y","Sort=A","Dates=H","DateFormat=P","Fill=—","Direction=H","UseDPDF=Y")</f>
        <v>#NAME?</v>
      </c>
      <c r="CW250" s="3" t="e">
        <f ca="1">_xll.BDH($C$228,"ACCT_RCV_TURN","FQ2 2018","FQ2 2018","Currency=INR","Period=FQ","BEST_FPERIOD_OVERRIDE=FQ","FILING_STATUS=OR","EQY_CONSOLIDATED=Y","FA_ADJUSTED=GAAP","Sort=A","Dates=H","DateFormat=P","Fill=—","Direction=H","UseDPDF=Y")</f>
        <v>#NAME?</v>
      </c>
      <c r="CX250" s="1" t="e">
        <f ca="1">_xll.BDH($C$228,"ACCT_RCV_DAYS","FQ2 2018","FQ2 2018","Currency=INR","Period=FQ","BEST_FPERIOD_OVERRIDE=FQ","FILING_STATUS=OR","EQY_CONSOLIDATED=Y","FA_ADJUSTED=GAAP","Sort=A","Dates=H","DateFormat=P","Fill=—","Direction=H","UseDPDF=Y")</f>
        <v>#NAME?</v>
      </c>
      <c r="CY250" s="3" t="e">
        <f ca="1">_xll.BDH($C$228,"INVENT_TURN","FQ2 2018","FQ2 2018","Currency=INR","Period=FQ","BEST_FPERIOD_OVERRIDE=FQ","FILING_STATUS=OR","EQY_CONSOLIDATED=Y","FA_ADJUSTED=GAAP","Sort=A","Dates=H","DateFormat=P","Fill=—","Direction=H","UseDPDF=Y")</f>
        <v>#NAME?</v>
      </c>
      <c r="CZ250" s="1" t="e">
        <f ca="1">_xll.BDH($C$228,"INVENT_DAYS","FQ2 2018","FQ2 2018","Currency=INR","Period=FQ","BEST_FPERIOD_OVERRIDE=FQ","FILING_STATUS=OR","EQY_CONSOLIDATED=Y","FA_ADJUSTED=GAAP","Sort=A","Dates=H","DateFormat=P","Fill=—","Direction=H","UseDPDF=Y")</f>
        <v>#NAME?</v>
      </c>
      <c r="DA250" s="3" t="e">
        <f ca="1">_xll.BDH($C$228,"ACCOUNTS_PAYABLE_TURNOVER","FQ2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50" s="1" t="e">
        <f ca="1">_xll.BDH($C$228,"ACCOUNTS_PAYABLE_TURNOVER_DAYS","FQ2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50" s="3" t="e">
        <f ca="1">_xll.BDH($C$228,"CASH_CONVERSION_CYCLE","FQ2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50" s="3" t="e">
        <f ca="1">_xll.BDH($C$228,"INV_TO_CASH_DAYS","FQ2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250" s="4" t="e">
        <f ca="1">_xll.BDH($C$228,"BS_INVENTORIES","FQ2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250" s="2" t="e">
        <f ca="1">_xll.BDH($C$228,"INVTRY_RAW_MATERIALS","FQ2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50" s="2" t="e">
        <f ca="1">_xll.BDH($C$228,"INVTRY_IN_PROGRESS","FQ2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50" s="2" t="e">
        <f ca="1">_xll.BDH($C$228,"INVTRY_FINISHED_GOODS","FQ2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50" s="2" t="e">
        <f ca="1">_xll.BDH($C$228,"BS_OTHER_INV","FQ2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51" spans="1:113" x14ac:dyDescent="0.3">
      <c r="A251" s="6"/>
      <c r="B251" s="6"/>
      <c r="C251" s="6"/>
      <c r="D251" s="6"/>
      <c r="E251" t="s">
        <v>6</v>
      </c>
      <c r="F251" t="e">
        <f ca="1">_xll.BDH($C$228,"RETURN_COM_EQY","FQ3 2018","FQ3 2018","Currency=INR","Period=FQ","BEST_FPERIOD_OVERRIDE=FQ","FILING_STATUS=OR","EQY_CONSOLIDATED=Y","FA_ADJUSTED=GAAP","Sort=A","Dates=H","DateFormat=P","Fill=—","Direction=H","UseDPDF=Y")</f>
        <v>#NAME?</v>
      </c>
      <c r="G251" t="e">
        <f ca="1">_xll.BDH($C$228,"RETURN_ON_ASSET","FQ3 2018","FQ3 2018","Currency=INR","Period=FQ","BEST_FPERIOD_OVERRIDE=FQ","FILING_STATUS=OR","EQY_CONSOLIDATED=Y","FA_ADJUSTED=GAAP","Sort=A","Dates=H","DateFormat=P","Fill=—","Direction=H","UseDPDF=Y")</f>
        <v>#NAME?</v>
      </c>
      <c r="H251" t="e">
        <f ca="1">_xll.BDH($C$228,"RETURN_ON_CAP","FQ3 2018","FQ3 2018","Currency=INR","Period=FQ","BEST_FPERIOD_OVERRIDE=FQ","FILING_STATUS=OR","EQY_CONSOLIDATED=Y","FA_ADJUSTED=GAAP","Sort=A","Dates=H","DateFormat=P","Fill=—","Direction=H","UseDPDF=Y")</f>
        <v>#NAME?</v>
      </c>
      <c r="I251" t="e">
        <f ca="1">_xll.BDH($C$228,"RETURN_ON_INV_CAPITAL","FQ3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51" t="e">
        <f ca="1">_xll.BDH($C$228,"EBITDA_TO_REVENUE","FQ3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251" t="e">
        <f ca="1">_xll.BDH($C$228,"OPER_MARGIN","FQ3 2018","FQ3 2018","Currency=INR","Period=FQ","BEST_FPERIOD_OVERRIDE=FQ","FILING_STATUS=OR","EQY_CONSOLIDATED=Y","FA_ADJUSTED=GAAP","Sort=A","Dates=H","DateFormat=P","Fill=—","Direction=H","UseDPDF=Y")</f>
        <v>#NAME?</v>
      </c>
      <c r="L251" t="e">
        <f ca="1">_xll.BDH($C$228,"INCREMENTAL_OPERATING_MARGIN","FQ3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51" t="e">
        <f ca="1">_xll.BDH($C$228,"PRETAX_INC_TO_NET_SALES","FQ3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51" t="e">
        <f ca="1">_xll.BDH($C$228,"INC_BEF_XO_ITEMS_TO_NET_SALES","FQ3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51" t="e">
        <f ca="1">_xll.BDH($C$228,"PROF_MARGIN","FQ3 2018","FQ3 2018","Currency=INR","Period=FQ","BEST_FPERIOD_OVERRIDE=FQ","FILING_STATUS=OR","EQY_CONSOLIDATED=Y","FA_ADJUSTED=GAAP","Sort=A","Dates=H","DateFormat=P","Fill=—","Direction=H","UseDPDF=Y")</f>
        <v>#NAME?</v>
      </c>
      <c r="P251" t="e">
        <f ca="1">_xll.BDH($C$228,"NET_INCOME_TO_COMMON_MARGIN","FQ3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51" t="e">
        <f ca="1">_xll.BDH($C$228,"EFF_TAX_RATE","FQ3 2018","FQ3 2018","Currency=INR","Period=FQ","BEST_FPERIOD_OVERRIDE=FQ","FILING_STATUS=OR","EQY_CONSOLIDATED=Y","FA_ADJUSTED=GAAP","Sort=A","Dates=H","DateFormat=P","Fill=—","Direction=H","UseDPDF=Y")</f>
        <v>#NAME?</v>
      </c>
      <c r="R251" t="e">
        <f ca="1">_xll.BDH($C$228,"DVD_PAYOUT_RATIO","FQ3 2018","FQ3 2018","Currency=INR","Period=FQ","BEST_FPERIOD_OVERRIDE=FQ","FILING_STATUS=OR","EQY_CONSOLIDATED=Y","FA_ADJUSTED=GAAP","Sort=A","Dates=H","DateFormat=P","Fill=—","Direction=H","UseDPDF=Y")</f>
        <v>#NAME?</v>
      </c>
      <c r="S251" t="e">
        <f ca="1">_xll.BDH($C$228,"SUSTAIN_GROWTH_RT","FQ3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251" s="1" t="e">
        <f ca="1">_xll.BDH($C$228,"SALES_GROWTH","FQ3 2018","FQ3 2018","Currency=INR","Period=FQ","BEST_FPERIOD_OVERRIDE=FQ","FILING_STATUS=OR","EQY_CONSOLIDATED=Y","FA_ADJUSTED=GAAP","Sort=A","Dates=H","DateFormat=P","Fill=—","Direction=H","UseDPDF=Y")</f>
        <v>#NAME?</v>
      </c>
      <c r="U251" s="1" t="e">
        <f ca="1">_xll.BDH($C$228,"EBITDA_GROWTH","FQ3 2018","FQ3 2018","Currency=INR","Period=FQ","BEST_FPERIOD_OVERRIDE=FQ","FILING_STATUS=OR","EQY_CONSOLIDATED=Y","FA_ADJUSTED=GAAP","Sort=A","Dates=H","DateFormat=P","Fill=—","Direction=H","UseDPDF=Y")</f>
        <v>#NAME?</v>
      </c>
      <c r="V251" s="1" t="e">
        <f ca="1">_xll.BDH($C$228,"OPER_INC_GROWTH","FQ3 2018","FQ3 2018","Currency=INR","Period=FQ","BEST_FPERIOD_OVERRIDE=FQ","FILING_STATUS=OR","EQY_CONSOLIDATED=Y","FA_ADJUSTED=GAAP","Sort=A","Dates=H","DateFormat=P","Fill=—","Direction=H","UseDPDF=Y")</f>
        <v>#NAME?</v>
      </c>
      <c r="W251" s="1" t="e">
        <f ca="1">_xll.BDH($C$228,"EARN_FOR_COM_GROWTH","FQ3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51" s="1" t="e">
        <f ca="1">_xll.BDH($C$228,"DILUTED_EPS_AFT_XO_ITEMS_GROWTH","FQ3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51" s="1" t="e">
        <f ca="1">_xll.BDH($C$228,"DIVIDEND_PER_SHARE_1_YEAR_GROWTH","FQ3 2018","FQ3 2018","Currency=INR","Period=FQ","BEST_FPERIOD_OVERRIDE=FQ","FILING_STATUS=OR","EQY_CONSOLIDATED=Y","Sort=A","Dates=H","DateFormat=P","Fill=—","Direction=H","UseDPDF=Y")</f>
        <v>#NAME?</v>
      </c>
      <c r="Z251" s="1" t="e">
        <f ca="1">_xll.BDH($C$228,"ACCOUNTS_RECEIVABLE_GROWTH","FQ3 2018","FQ3 2018","Currency=INR","Period=FQ","BEST_FPERIOD_OVERRIDE=FQ","FILING_STATUS=OR","EQY_CONSOLIDATED=Y","Sort=A","Dates=H","DateFormat=P","Fill=—","Direction=H","UseDPDF=Y")</f>
        <v>#NAME?</v>
      </c>
      <c r="AA251" s="1" t="e">
        <f ca="1">_xll.BDH($C$228,"INVENTORY_GROWTH","FQ3 2018","FQ3 2018","Currency=INR","Period=FQ","BEST_FPERIOD_OVERRIDE=FQ","FILING_STATUS=OR","EQY_CONSOLIDATED=Y","Sort=A","Dates=H","DateFormat=P","Fill=—","Direction=H","UseDPDF=Y")</f>
        <v>#NAME?</v>
      </c>
      <c r="AB251" s="1" t="e">
        <f ca="1">_xll.BDH($C$228,"NET_FIXED_ASSETS_1_YEAR_GROWTH","FQ3 2018","FQ3 2018","Currency=INR","Period=FQ","BEST_FPERIOD_OVERRIDE=FQ","FILING_STATUS=OR","EQY_CONSOLIDATED=Y","Sort=A","Dates=H","DateFormat=P","Fill=—","Direction=H","UseDPDF=Y")</f>
        <v>#NAME?</v>
      </c>
      <c r="AC251" s="1" t="e">
        <f ca="1">_xll.BDH($C$228,"ASSET_GROWTH","FQ3 2018","FQ3 2018","Currency=INR","Period=FQ","BEST_FPERIOD_OVERRIDE=FQ","FILING_STATUS=OR","EQY_CONSOLIDATED=Y","Sort=A","Dates=H","DateFormat=P","Fill=—","Direction=H","UseDPDF=Y")</f>
        <v>#NAME?</v>
      </c>
      <c r="AD251" s="1" t="e">
        <f ca="1">_xll.BDH($C$228,"MODIFIED_WORK_CAP_GROWTH","FQ3 2018","FQ3 2018","Currency=INR","Period=FQ","BEST_FPERIOD_OVERRIDE=FQ","FILING_STATUS=OR","EQY_CONSOLIDATED=Y","Sort=A","Dates=H","DateFormat=P","Fill=—","Direction=H","UseDPDF=Y")</f>
        <v>#NAME?</v>
      </c>
      <c r="AE251" s="1" t="e">
        <f ca="1">_xll.BDH($C$228,"WORK_CAP_GROWTH","FQ3 2018","FQ3 2018","Currency=INR","Period=FQ","BEST_FPERIOD_OVERRIDE=FQ","FILING_STATUS=OR","EQY_CONSOLIDATED=Y","Sort=A","Dates=H","DateFormat=P","Fill=—","Direction=H","UseDPDF=Y")</f>
        <v>#NAME?</v>
      </c>
      <c r="AF251" s="1" t="e">
        <f ca="1">_xll.BDH($C$228,"ACCOUNTS_PAYABLE_GROWTH_1YR","FQ3 2018","FQ3 2018","Currency=INR","Period=FQ","BEST_FPERIOD_OVERRIDE=FQ","FILING_STATUS=OR","EQY_CONSOLIDATED=Y","Sort=A","Dates=H","DateFormat=P","Fill=—","Direction=H","UseDPDF=Y")</f>
        <v>#NAME?</v>
      </c>
      <c r="AG251" s="1" t="e">
        <f ca="1">_xll.BDH($C$228,"SHORT_TERM_DEBT_1_YEAR_GROWTH","FQ3 2018","FQ3 2018","Currency=INR","Period=FQ","BEST_FPERIOD_OVERRIDE=FQ","FILING_STATUS=OR","EQY_CONSOLIDATED=Y","Sort=A","Dates=H","DateFormat=P","Fill=—","Direction=H","UseDPDF=Y")</f>
        <v>#NAME?</v>
      </c>
      <c r="AH251" s="1" t="e">
        <f ca="1">_xll.BDH($C$228,"TOTAL_DEBT_1_YEAR_GROWTH","FQ3 2018","FQ3 2018","Currency=INR","Period=FQ","BEST_FPERIOD_OVERRIDE=FQ","FILING_STATUS=OR","EQY_CONSOLIDATED=Y","Sort=A","Dates=H","DateFormat=P","Fill=—","Direction=H","UseDPDF=Y")</f>
        <v>#NAME?</v>
      </c>
      <c r="AI251" s="1" t="e">
        <f ca="1">_xll.BDH($C$228,"TOTAL_EQUITY_1_YEAR_GROWTH","FQ3 2018","FQ3 2018","Currency=INR","Period=FQ","BEST_FPERIOD_OVERRIDE=FQ","FILING_STATUS=OR","EQY_CONSOLIDATED=Y","Sort=A","Dates=H","DateFormat=P","Fill=—","Direction=H","UseDPDF=Y")</f>
        <v>#NAME?</v>
      </c>
      <c r="AJ251" s="1" t="e">
        <f ca="1">_xll.BDH($C$228,"GROWTH_IN_CAP","FQ3 2018","FQ3 2018","Currency=INR","Period=FQ","BEST_FPERIOD_OVERRIDE=FQ","FILING_STATUS=OR","EQY_CONSOLIDATED=Y","Sort=A","Dates=H","DateFormat=P","Fill=—","Direction=H","UseDPDF=Y")</f>
        <v>#NAME?</v>
      </c>
      <c r="AK251" s="1" t="e">
        <f ca="1">_xll.BDH($C$228,"BVPS_GROWTH","FQ3 2018","FQ3 2018","Currency=INR","Period=FQ","BEST_FPERIOD_OVERRIDE=FQ","FILING_STATUS=OR","EQY_CONSOLIDATED=Y","Sort=A","Dates=H","DateFormat=P","Fill=—","Direction=H","UseDPDF=Y")</f>
        <v>#NAME?</v>
      </c>
      <c r="AL251" s="1" t="e">
        <f ca="1">_xll.BDH($C$228,"CASH_FLOW_GROWTH","FQ3 2018","FQ3 2018","Currency=INR","Period=FQ","BEST_FPERIOD_OVERRIDE=FQ","FILING_STATUS=OR","EQY_CONSOLIDATED=Y","Sort=A","Dates=H","DateFormat=P","Fill=—","Direction=H","UseDPDF=Y")</f>
        <v>#NAME?</v>
      </c>
      <c r="AM251" s="1" t="e">
        <f ca="1">_xll.BDH($C$228,"GEO_GROW_NET_SALES","FQ3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51" s="1" t="e">
        <f ca="1">_xll.BDH($C$228,"GEO_GROW_EBITDA","FQ3 2018","FQ3 2018","Currency=INR","Period=FQ","BEST_FPERIOD_OVERRIDE=FQ","FILING_STATUS=OR","EQY_CONSOLIDATED=Y","FA_ADJUSTED=GAAP","Sort=A","Dates=H","DateFormat=P","Fill=—","Direction=H","UseDPDF=Y")</f>
        <v>#NAME?</v>
      </c>
      <c r="AO251" s="1" t="e">
        <f ca="1">_xll.BDH($C$228,"GEO_GROW_OPER_INC","FQ3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51" s="1" t="e">
        <f ca="1">_xll.BDH($C$228,"NET_INCOME_TO_COMMON_5_YR_GROWTH","FQ3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51" s="1" t="e">
        <f ca="1">_xll.BDH($C$228,"5Y_GEO_GROWTH_DILUTED_EPS","FQ3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51" s="1" t="e">
        <f ca="1">_xll.BDH($C$228,"GEO_GROW_DVD_PER_SH","FQ3 2018","FQ3 2018","Currency=INR","Period=FQ","BEST_FPERIOD_OVERRIDE=FQ","FILING_STATUS=OR","EQY_CONSOLIDATED=Y","Sort=A","Dates=H","DateFormat=P","Fill=—","Direction=H","UseDPDF=Y")</f>
        <v>#NAME?</v>
      </c>
      <c r="AS251" s="1" t="e">
        <f ca="1">_xll.BDH($C$228,"ACCOUNTS_RECEIVABLE_5_YR_GROWTH","FQ3 2018","FQ3 2018","Currency=INR","Period=FQ","BEST_FPERIOD_OVERRIDE=FQ","FILING_STATUS=OR","EQY_CONSOLIDATED=Y","Sort=A","Dates=H","DateFormat=P","Fill=—","Direction=H","UseDPDF=Y")</f>
        <v>#NAME?</v>
      </c>
      <c r="AT251" s="1" t="e">
        <f ca="1">_xll.BDH($C$228,"INVENTORY_5_YEAR_GROWTH","FQ3 2018","FQ3 2018","Currency=INR","Period=FQ","BEST_FPERIOD_OVERRIDE=FQ","FILING_STATUS=OR","EQY_CONSOLIDATED=Y","Sort=A","Dates=H","DateFormat=P","Fill=—","Direction=H","UseDPDF=Y")</f>
        <v>#NAME?</v>
      </c>
      <c r="AU251" s="1" t="e">
        <f ca="1">_xll.BDH($C$228,"NET_FIXED_ASSETS_5_YEAR_GROWTH","FQ3 2018","FQ3 2018","Currency=INR","Period=FQ","BEST_FPERIOD_OVERRIDE=FQ","FILING_STATUS=OR","EQY_CONSOLIDATED=Y","Sort=A","Dates=H","DateFormat=P","Fill=—","Direction=H","UseDPDF=Y")</f>
        <v>#NAME?</v>
      </c>
      <c r="AV251" s="1" t="e">
        <f ca="1">_xll.BDH($C$228,"GEO_GROW_TOT_ASSET","FQ3 2018","FQ3 2018","Currency=INR","Period=FQ","BEST_FPERIOD_OVERRIDE=FQ","FILING_STATUS=OR","EQY_CONSOLIDATED=Y","Sort=A","Dates=H","DateFormat=P","Fill=—","Direction=H","UseDPDF=Y")</f>
        <v>#NAME?</v>
      </c>
      <c r="AW251" s="1" t="e">
        <f ca="1">_xll.BDH($C$228,"MODIFIED_WORKING_CPTL_5YR_GRWTH","FQ3 2018","FQ3 2018","Currency=INR","Period=FQ","BEST_FPERIOD_OVERRIDE=FQ","FILING_STATUS=OR","EQY_CONSOLIDATED=Y","Sort=A","Dates=H","DateFormat=P","Fill=—","Direction=H","UseDPDF=Y")</f>
        <v>#NAME?</v>
      </c>
      <c r="AX251" s="1" t="e">
        <f ca="1">_xll.BDH($C$228,"WORKING_CAPITAL_5_YEAR_GROWTH","FQ3 2018","FQ3 2018","Currency=INR","Period=FQ","BEST_FPERIOD_OVERRIDE=FQ","FILING_STATUS=OR","EQY_CONSOLIDATED=Y","Sort=A","Dates=H","DateFormat=P","Fill=—","Direction=H","UseDPDF=Y")</f>
        <v>#NAME?</v>
      </c>
      <c r="AY251" s="1" t="e">
        <f ca="1">_xll.BDH($C$228,"ACCOUNTS_PAYABLE_5_YEAR_GROWTH","FQ3 2018","FQ3 2018","Currency=INR","Period=FQ","BEST_FPERIOD_OVERRIDE=FQ","FILING_STATUS=OR","EQY_CONSOLIDATED=Y","Sort=A","Dates=H","DateFormat=P","Fill=—","Direction=H","UseDPDF=Y")</f>
        <v>#NAME?</v>
      </c>
      <c r="AZ251" s="1" t="e">
        <f ca="1">_xll.BDH($C$228,"SHORT_TERM_DEBT_5_YEAR_GROWTH","FQ3 2018","FQ3 2018","Currency=INR","Period=FQ","BEST_FPERIOD_OVERRIDE=FQ","FILING_STATUS=OR","EQY_CONSOLIDATED=Y","Sort=A","Dates=H","DateFormat=P","Fill=—","Direction=H","UseDPDF=Y")</f>
        <v>#NAME?</v>
      </c>
      <c r="BA251" s="1" t="e">
        <f ca="1">_xll.BDH($C$228,"TOTAL_DEBT_5_YEAR_GROWTH","FQ3 2018","FQ3 2018","Currency=INR","Period=FQ","BEST_FPERIOD_OVERRIDE=FQ","FILING_STATUS=OR","EQY_CONSOLIDATED=Y","Sort=A","Dates=H","DateFormat=P","Fill=—","Direction=H","UseDPDF=Y")</f>
        <v>#NAME?</v>
      </c>
      <c r="BB251" s="1" t="e">
        <f ca="1">_xll.BDH($C$228,"GEO_GROW_TOT_SHRHLDR_EQY","FQ3 2018","FQ3 2018","Currency=INR","Period=FQ","BEST_FPERIOD_OVERRIDE=FQ","FILING_STATUS=OR","EQY_CONSOLIDATED=Y","Sort=A","Dates=H","DateFormat=P","Fill=—","Direction=H","UseDPDF=Y")</f>
        <v>#NAME?</v>
      </c>
      <c r="BC251" s="1" t="e">
        <f ca="1">_xll.BDH($C$228,"TOTAL_CAPITAL_5_YEAR_GROWTH","FQ3 2018","FQ3 2018","Currency=INR","Period=FQ","BEST_FPERIOD_OVERRIDE=FQ","FILING_STATUS=OR","EQY_CONSOLIDATED=Y","Sort=A","Dates=H","DateFormat=P","Fill=—","Direction=H","UseDPDF=Y")</f>
        <v>#NAME?</v>
      </c>
      <c r="BD251" s="1" t="e">
        <f ca="1">_xll.BDH($C$228,"GEO_GROW_BOOK_VAL","FQ3 2018","FQ3 2018","Currency=INR","Period=FQ","BEST_FPERIOD_OVERRIDE=FQ","FILING_STATUS=OR","EQY_CONSOLIDATED=Y","Sort=A","Dates=H","DateFormat=P","Fill=—","Direction=H","UseDPDF=Y")</f>
        <v>#NAME?</v>
      </c>
      <c r="BE251" s="1" t="e">
        <f ca="1">_xll.BDH($C$228,"GEO_GROW_CASH_OPER_ACT","FQ3 2018","FQ3 2018","Currency=INR","Period=FQ","BEST_FPERIOD_OVERRIDE=FQ","FILING_STATUS=OR","EQY_CONSOLIDATED=Y","Sort=A","Dates=H","DateFormat=P","Fill=—","Direction=H","UseDPDF=Y")</f>
        <v>#NAME?</v>
      </c>
      <c r="BF251" s="1" t="e">
        <f ca="1">_xll.BDH($C$228,"REVENUE_SEQUENTIAL_GROWTH","FQ3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51" s="1" t="e">
        <f ca="1">_xll.BDH($C$228,"EBITDA_SEQUENTIAL_GROWTH","FQ3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51" s="1" t="e">
        <f ca="1">_xll.BDH($C$228,"OPERATING_INCOME_SEQ_GROWTH","FQ3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51" s="1" t="e">
        <f ca="1">_xll.BDH($C$228,"NET_INCOME_TO_COMMON_SEQ_GROWTH","FQ3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51" s="1" t="e">
        <f ca="1">_xll.BDH($C$228,"EPS_DILUTED_SEQUENTIAL_GROWTH","FQ3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51" s="1" t="e">
        <f ca="1">_xll.BDH($C$228,"DPS_SEQUENTIAL_GROWTH","FQ3 2018","FQ3 2018","Currency=INR","Period=FQ","BEST_FPERIOD_OVERRIDE=FQ","FILING_STATUS=OR","EQY_CONSOLIDATED=Y","Sort=A","Dates=H","DateFormat=P","Fill=—","Direction=H","UseDPDF=Y")</f>
        <v>#NAME?</v>
      </c>
      <c r="BL251" s="1" t="e">
        <f ca="1">_xll.BDH($C$228,"ACCOUNTS_RECEIVABLE_SEQ_GROWTH","FQ3 2018","FQ3 2018","Currency=INR","Period=FQ","BEST_FPERIOD_OVERRIDE=FQ","FILING_STATUS=OR","EQY_CONSOLIDATED=Y","Sort=A","Dates=H","DateFormat=P","Fill=—","Direction=H","UseDPDF=Y")</f>
        <v>#NAME?</v>
      </c>
      <c r="BM251" s="1" t="e">
        <f ca="1">_xll.BDH($C$228,"INVENTORY_SEQUENTIAL_GROWTH","FQ3 2018","FQ3 2018","Currency=INR","Period=FQ","BEST_FPERIOD_OVERRIDE=FQ","FILING_STATUS=OR","EQY_CONSOLIDATED=Y","Sort=A","Dates=H","DateFormat=P","Fill=—","Direction=H","UseDPDF=Y")</f>
        <v>#NAME?</v>
      </c>
      <c r="BN251" s="1" t="e">
        <f ca="1">_xll.BDH($C$228,"FIXED_ASSETS_SEQUENTIAL_GROWTH","FQ3 2018","FQ3 2018","Currency=INR","Period=FQ","BEST_FPERIOD_OVERRIDE=FQ","FILING_STATUS=OR","EQY_CONSOLIDATED=Y","Sort=A","Dates=H","DateFormat=P","Fill=—","Direction=H","UseDPDF=Y")</f>
        <v>#NAME?</v>
      </c>
      <c r="BO251" s="1" t="e">
        <f ca="1">_xll.BDH($C$228,"TOTAL_ASSETS_SEQUENTIAL_GROWTH","FQ3 2018","FQ3 2018","Currency=INR","Period=FQ","BEST_FPERIOD_OVERRIDE=FQ","FILING_STATUS=OR","EQY_CONSOLIDATED=Y","Sort=A","Dates=H","DateFormat=P","Fill=—","Direction=H","UseDPDF=Y")</f>
        <v>#NAME?</v>
      </c>
      <c r="BP251" s="1" t="e">
        <f ca="1">_xll.BDH($C$228,"MODIFIED_WORKING_CPTL_SEQ_GRWTH","FQ3 2018","FQ3 2018","Currency=INR","Period=FQ","BEST_FPERIOD_OVERRIDE=FQ","FILING_STATUS=OR","EQY_CONSOLIDATED=Y","Sort=A","Dates=H","DateFormat=P","Fill=—","Direction=H","UseDPDF=Y")</f>
        <v>#NAME?</v>
      </c>
      <c r="BQ251" s="1" t="e">
        <f ca="1">_xll.BDH($C$228,"WORKING_CAPITAL_SEQ_GROWTH","FQ3 2018","FQ3 2018","Currency=INR","Period=FQ","BEST_FPERIOD_OVERRIDE=FQ","FILING_STATUS=OR","EQY_CONSOLIDATED=Y","Sort=A","Dates=H","DateFormat=P","Fill=—","Direction=H","UseDPDF=Y")</f>
        <v>#NAME?</v>
      </c>
      <c r="BR251" s="1" t="e">
        <f ca="1">_xll.BDH($C$228,"ACCOUNTS_PAYABLE_SEQ_GROWTH","FQ3 2018","FQ3 2018","Currency=INR","Period=FQ","BEST_FPERIOD_OVERRIDE=FQ","FILING_STATUS=OR","EQY_CONSOLIDATED=Y","Sort=A","Dates=H","DateFormat=P","Fill=—","Direction=H","UseDPDF=Y")</f>
        <v>#NAME?</v>
      </c>
      <c r="BS251" s="1" t="e">
        <f ca="1">_xll.BDH($C$228,"ST_DEBT_SEQUENTIAL_GROWTH","FQ3 2018","FQ3 2018","Currency=INR","Period=FQ","BEST_FPERIOD_OVERRIDE=FQ","FILING_STATUS=OR","EQY_CONSOLIDATED=Y","Sort=A","Dates=H","DateFormat=P","Fill=—","Direction=H","UseDPDF=Y")</f>
        <v>#NAME?</v>
      </c>
      <c r="BT251" s="1" t="e">
        <f ca="1">_xll.BDH($C$228,"TOTAL_DEBT_SEQUENTIAL_GROWTH","FQ3 2018","FQ3 2018","Currency=INR","Period=FQ","BEST_FPERIOD_OVERRIDE=FQ","FILING_STATUS=OR","EQY_CONSOLIDATED=Y","Sort=A","Dates=H","DateFormat=P","Fill=—","Direction=H","UseDPDF=Y")</f>
        <v>#NAME?</v>
      </c>
      <c r="BU251" s="1" t="e">
        <f ca="1">_xll.BDH($C$228,"TOTAL_EQUITY_SEQUENTIAL_GROWTH","FQ3 2018","FQ3 2018","Currency=INR","Period=FQ","BEST_FPERIOD_OVERRIDE=FQ","FILING_STATUS=OR","EQY_CONSOLIDATED=Y","Sort=A","Dates=H","DateFormat=P","Fill=—","Direction=H","UseDPDF=Y")</f>
        <v>#NAME?</v>
      </c>
      <c r="BV251" s="1" t="e">
        <f ca="1">_xll.BDH($C$228,"TOTAL_CAPITAL_SEQUENTIAL_GROWTH","FQ3 2018","FQ3 2018","Currency=INR","Period=FQ","BEST_FPERIOD_OVERRIDE=FQ","FILING_STATUS=OR","EQY_CONSOLIDATED=Y","Sort=A","Dates=H","DateFormat=P","Fill=—","Direction=H","UseDPDF=Y")</f>
        <v>#NAME?</v>
      </c>
      <c r="BW251" s="1" t="e">
        <f ca="1">_xll.BDH($C$228,"BPS_SEQUENTIAL_GROWTH","FQ3 2018","FQ3 2018","Currency=INR","Period=FQ","BEST_FPERIOD_OVERRIDE=FQ","FILING_STATUS=OR","EQY_CONSOLIDATED=Y","Sort=A","Dates=H","DateFormat=P","Fill=—","Direction=H","UseDPDF=Y")</f>
        <v>#NAME?</v>
      </c>
      <c r="BX251" s="1" t="e">
        <f ca="1">_xll.BDH($C$228,"CFO_SEQUENTIAL_GROWTH","FQ3 2018","FQ3 2018","Currency=INR","Period=FQ","BEST_FPERIOD_OVERRIDE=FQ","FILING_STATUS=OR","EQY_CONSOLIDATED=Y","Sort=A","Dates=H","DateFormat=P","Fill=—","Direction=H","UseDPDF=Y")</f>
        <v>#NAME?</v>
      </c>
      <c r="BY251" s="2" t="e">
        <f ca="1">_xll.BDH($C$228,"SHORT_AND_LONG_TERM_DEBT","FQ3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51" s="2" t="e">
        <f ca="1">_xll.BDH($C$228,"BS_ST_BORROW","FQ3 2018","FQ3 2018","Currency=INR","Period=FQ","BEST_FPERIOD_OVERRIDE=FQ","FILING_STATUS=OR","EQY_CONSOLIDATED=Y","SCALING_FORMAT=MLN","Sort=A","Dates=H","DateFormat=P","Fill=—","Direction=H","UseDPDF=Y")</f>
        <v>#NAME?</v>
      </c>
      <c r="CA251" s="2" t="e">
        <f ca="1">_xll.BDH($C$228,"BS_LT_BORROW","FQ3 2018","FQ3 2018","Currency=INR","Period=FQ","BEST_FPERIOD_OVERRIDE=FQ","FILING_STATUS=OR","EQY_CONSOLIDATED=Y","SCALING_FORMAT=MLN","Sort=A","Dates=H","DateFormat=P","Fill=—","Direction=H","UseDPDF=Y")</f>
        <v>#NAME?</v>
      </c>
      <c r="CB251" s="1" t="e">
        <f ca="1">_xll.BDH($C$228,"TOT_DEBT_TO_EBITDA","FQ3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51" s="1" t="e">
        <f ca="1">_xll.BDH($C$228,"NET_DEBT_TO_EBITDA","FQ3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51" s="1" t="e">
        <f ca="1">_xll.BDH($C$228,"TOTAL_DEBT_TO_EBIT","FQ3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51" s="1" t="e">
        <f ca="1">_xll.BDH($C$228,"NET_DEBT_TO_EBIT","FQ3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251" s="1" t="e">
        <f ca="1">_xll.BDH($C$228,"EBITDA_TO_INTEREST_EXPN","FQ3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51" s="1" t="e">
        <f ca="1">_xll.BDH($C$228,"COM_EQY_TO_TOT_ASSET","FQ3 2018","FQ3 2018","Currency=INR","Period=FQ","BEST_FPERIOD_OVERRIDE=FQ","FILING_STATUS=OR","EQY_CONSOLIDATED=Y","Sort=A","Dates=H","DateFormat=P","Fill=—","Direction=H","UseDPDF=Y")</f>
        <v>#NAME?</v>
      </c>
      <c r="CH251" s="1" t="e">
        <f ca="1">_xll.BDH($C$228,"LT_DEBT_TO_TOT_EQY","FQ3 2018","FQ3 2018","Currency=INR","Period=FQ","BEST_FPERIOD_OVERRIDE=FQ","FILING_STATUS=OR","EQY_CONSOLIDATED=Y","Sort=A","Dates=H","DateFormat=P","Fill=—","Direction=H","UseDPDF=Y")</f>
        <v>#NAME?</v>
      </c>
      <c r="CI251" s="1" t="e">
        <f ca="1">_xll.BDH($C$228,"LT_DEBT_TO_TOT_CAP","FQ3 2018","FQ3 2018","Currency=INR","Period=FQ","BEST_FPERIOD_OVERRIDE=FQ","FILING_STATUS=OR","EQY_CONSOLIDATED=Y","Sort=A","Dates=H","DateFormat=P","Fill=—","Direction=H","UseDPDF=Y")</f>
        <v>#NAME?</v>
      </c>
      <c r="CJ251" s="1" t="e">
        <f ca="1">_xll.BDH($C$228,"LT_DEBT_TO_TOT_ASSET","FQ3 2018","FQ3 2018","Currency=INR","Period=FQ","BEST_FPERIOD_OVERRIDE=FQ","FILING_STATUS=OR","EQY_CONSOLIDATED=Y","Sort=A","Dates=H","DateFormat=P","Fill=—","Direction=H","UseDPDF=Y")</f>
        <v>#NAME?</v>
      </c>
      <c r="CK251" s="1" t="e">
        <f ca="1">_xll.BDH($C$228,"TOT_DEBT_TO_TOT_EQY","FQ3 2018","FQ3 2018","Currency=INR","Period=FQ","BEST_FPERIOD_OVERRIDE=FQ","FILING_STATUS=OR","EQY_CONSOLIDATED=Y","Sort=A","Dates=H","DateFormat=P","Fill=—","Direction=H","UseDPDF=Y")</f>
        <v>#NAME?</v>
      </c>
      <c r="CL251" s="1" t="e">
        <f ca="1">_xll.BDH($C$228,"TOT_DEBT_TO_TOT_CAP","FQ3 2018","FQ3 2018","Currency=INR","Period=FQ","BEST_FPERIOD_OVERRIDE=FQ","FILING_STATUS=OR","EQY_CONSOLIDATED=Y","Sort=A","Dates=H","DateFormat=P","Fill=—","Direction=H","UseDPDF=Y")</f>
        <v>#NAME?</v>
      </c>
      <c r="CM251" s="1" t="e">
        <f ca="1">_xll.BDH($C$228,"TOT_DEBT_TO_TOT_ASSET","FQ3 2018","FQ3 2018","Currency=INR","Period=FQ","BEST_FPERIOD_OVERRIDE=FQ","FILING_STATUS=OR","EQY_CONSOLIDATED=Y","Sort=A","Dates=H","DateFormat=P","Fill=—","Direction=H","UseDPDF=Y")</f>
        <v>#NAME?</v>
      </c>
      <c r="CN251" s="1" t="e">
        <f ca="1">_xll.BDH($C$228,"NET_DEBT_TO_SHRHLDR_EQTY","FQ3 2018","FQ3 2018","Currency=INR","Period=FQ","BEST_FPERIOD_OVERRIDE=FQ","FILING_STATUS=OR","EQY_CONSOLIDATED=Y","Sort=A","Dates=H","DateFormat=P","Fill=—","Direction=H","UseDPDF=Y")</f>
        <v>#NAME?</v>
      </c>
      <c r="CO251" s="1" t="e">
        <f ca="1">_xll.BDH($C$228,"NET_DEBT_%_CAPITAL","FQ3 2018","FQ3 2018","Currency=INR","Period=FQ","BEST_FPERIOD_OVERRIDE=FQ","FILING_STATUS=OR","EQY_CONSOLIDATED=Y","Sort=A","Dates=H","DateFormat=P","Fill=—","Direction=H","UseDPDF=Y")</f>
        <v>#NAME?</v>
      </c>
      <c r="CP251" s="2" t="e">
        <f ca="1">_xll.BDH($C$228,"EBITDA","FQ3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51" s="2" t="e">
        <f ca="1">_xll.BDH($C$228,"EBITDA_AFTER_CAPEX","FQ3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51" s="2" t="e">
        <f ca="1">_xll.BDH($C$228,"IS_OPER_INC","FQ3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51" s="1" t="e">
        <f ca="1">_xll.BDH($C$228,"CASH_RATIO","FQ3 2018","FQ3 2018","Currency=INR","Period=FQ","BEST_FPERIOD_OVERRIDE=FQ","FILING_STATUS=OR","EQY_CONSOLIDATED=Y","Sort=A","Dates=H","DateFormat=P","Fill=—","Direction=H","UseDPDF=Y")</f>
        <v>#NAME?</v>
      </c>
      <c r="CT251" s="1" t="e">
        <f ca="1">_xll.BDH($C$228,"CUR_RATIO","FQ3 2018","FQ3 2018","Currency=INR","Period=FQ","BEST_FPERIOD_OVERRIDE=FQ","FILING_STATUS=OR","EQY_CONSOLIDATED=Y","Sort=A","Dates=H","DateFormat=P","Fill=—","Direction=H","UseDPDF=Y")</f>
        <v>#NAME?</v>
      </c>
      <c r="CU251" s="1" t="e">
        <f ca="1">_xll.BDH($C$228,"QUICK_RATIO","FQ3 2018","FQ3 2018","Currency=INR","Period=FQ","BEST_FPERIOD_OVERRIDE=FQ","FILING_STATUS=OR","EQY_CONSOLIDATED=Y","Sort=A","Dates=H","DateFormat=P","Fill=—","Direction=H","UseDPDF=Y")</f>
        <v>#NAME?</v>
      </c>
      <c r="CV251" s="1" t="e">
        <f ca="1">_xll.BDH($C$228,"ALTMAN_Z_SCORE","FQ3 2018","FQ3 2018","Currency=INR","Period=FQ","BEST_FPERIOD_OVERRIDE=FQ","FILING_STATUS=OR","EQY_CONSOLIDATED=Y","Sort=A","Dates=H","DateFormat=P","Fill=—","Direction=H","UseDPDF=Y")</f>
        <v>#NAME?</v>
      </c>
      <c r="CW251" s="3" t="e">
        <f ca="1">_xll.BDH($C$228,"ACCT_RCV_TURN","FQ3 2018","FQ3 2018","Currency=INR","Period=FQ","BEST_FPERIOD_OVERRIDE=FQ","FILING_STATUS=OR","EQY_CONSOLIDATED=Y","FA_ADJUSTED=GAAP","Sort=A","Dates=H","DateFormat=P","Fill=—","Direction=H","UseDPDF=Y")</f>
        <v>#NAME?</v>
      </c>
      <c r="CX251" s="1" t="e">
        <f ca="1">_xll.BDH($C$228,"ACCT_RCV_DAYS","FQ3 2018","FQ3 2018","Currency=INR","Period=FQ","BEST_FPERIOD_OVERRIDE=FQ","FILING_STATUS=OR","EQY_CONSOLIDATED=Y","FA_ADJUSTED=GAAP","Sort=A","Dates=H","DateFormat=P","Fill=—","Direction=H","UseDPDF=Y")</f>
        <v>#NAME?</v>
      </c>
      <c r="CY251" s="3" t="e">
        <f ca="1">_xll.BDH($C$228,"INVENT_TURN","FQ3 2018","FQ3 2018","Currency=INR","Period=FQ","BEST_FPERIOD_OVERRIDE=FQ","FILING_STATUS=OR","EQY_CONSOLIDATED=Y","FA_ADJUSTED=GAAP","Sort=A","Dates=H","DateFormat=P","Fill=—","Direction=H","UseDPDF=Y")</f>
        <v>#NAME?</v>
      </c>
      <c r="CZ251" s="1" t="e">
        <f ca="1">_xll.BDH($C$228,"INVENT_DAYS","FQ3 2018","FQ3 2018","Currency=INR","Period=FQ","BEST_FPERIOD_OVERRIDE=FQ","FILING_STATUS=OR","EQY_CONSOLIDATED=Y","FA_ADJUSTED=GAAP","Sort=A","Dates=H","DateFormat=P","Fill=—","Direction=H","UseDPDF=Y")</f>
        <v>#NAME?</v>
      </c>
      <c r="DA251" s="3" t="e">
        <f ca="1">_xll.BDH($C$228,"ACCOUNTS_PAYABLE_TURNOVER","FQ3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51" s="1" t="e">
        <f ca="1">_xll.BDH($C$228,"ACCOUNTS_PAYABLE_TURNOVER_DAYS","FQ3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51" s="3" t="e">
        <f ca="1">_xll.BDH($C$228,"CASH_CONVERSION_CYCLE","FQ3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51" s="3" t="e">
        <f ca="1">_xll.BDH($C$228,"INV_TO_CASH_DAYS","FQ3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251" s="4" t="e">
        <f ca="1">_xll.BDH($C$228,"BS_INVENTORIES","FQ3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251" s="2" t="e">
        <f ca="1">_xll.BDH($C$228,"INVTRY_RAW_MATERIALS","FQ3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51" s="2" t="e">
        <f ca="1">_xll.BDH($C$228,"INVTRY_IN_PROGRESS","FQ3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51" s="2" t="e">
        <f ca="1">_xll.BDH($C$228,"INVTRY_FINISHED_GOODS","FQ3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51" s="2" t="e">
        <f ca="1">_xll.BDH($C$228,"BS_OTHER_INV","FQ3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52" spans="1:113" x14ac:dyDescent="0.3">
      <c r="A252" s="6"/>
      <c r="B252" s="6"/>
      <c r="C252" s="6"/>
      <c r="D252" s="6"/>
      <c r="E252" t="s">
        <v>7</v>
      </c>
      <c r="F252" t="e">
        <f ca="1">_xll.BDH($C$228,"RETURN_COM_EQY","FQ4 2018","FQ4 2018","Currency=INR","Period=FQ","BEST_FPERIOD_OVERRIDE=FQ","FILING_STATUS=OR","EQY_CONSOLIDATED=Y","FA_ADJUSTED=GAAP","Sort=A","Dates=H","DateFormat=P","Fill=—","Direction=H","UseDPDF=Y")</f>
        <v>#NAME?</v>
      </c>
      <c r="G252" t="e">
        <f ca="1">_xll.BDH($C$228,"RETURN_ON_ASSET","FQ4 2018","FQ4 2018","Currency=INR","Period=FQ","BEST_FPERIOD_OVERRIDE=FQ","FILING_STATUS=OR","EQY_CONSOLIDATED=Y","FA_ADJUSTED=GAAP","Sort=A","Dates=H","DateFormat=P","Fill=—","Direction=H","UseDPDF=Y")</f>
        <v>#NAME?</v>
      </c>
      <c r="H252" t="e">
        <f ca="1">_xll.BDH($C$228,"RETURN_ON_CAP","FQ4 2018","FQ4 2018","Currency=INR","Period=FQ","BEST_FPERIOD_OVERRIDE=FQ","FILING_STATUS=OR","EQY_CONSOLIDATED=Y","FA_ADJUSTED=GAAP","Sort=A","Dates=H","DateFormat=P","Fill=—","Direction=H","UseDPDF=Y")</f>
        <v>#NAME?</v>
      </c>
      <c r="I252" t="e">
        <f ca="1">_xll.BDH($C$228,"RETURN_ON_INV_CAPITAL","FQ4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52" t="e">
        <f ca="1">_xll.BDH($C$228,"EBITDA_TO_REVENUE","FQ4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252" t="e">
        <f ca="1">_xll.BDH($C$228,"OPER_MARGIN","FQ4 2018","FQ4 2018","Currency=INR","Period=FQ","BEST_FPERIOD_OVERRIDE=FQ","FILING_STATUS=OR","EQY_CONSOLIDATED=Y","FA_ADJUSTED=GAAP","Sort=A","Dates=H","DateFormat=P","Fill=—","Direction=H","UseDPDF=Y")</f>
        <v>#NAME?</v>
      </c>
      <c r="L252" t="e">
        <f ca="1">_xll.BDH($C$228,"INCREMENTAL_OPERATING_MARGIN","FQ4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52" t="e">
        <f ca="1">_xll.BDH($C$228,"PRETAX_INC_TO_NET_SALES","FQ4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52" t="e">
        <f ca="1">_xll.BDH($C$228,"INC_BEF_XO_ITEMS_TO_NET_SALES","FQ4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52" t="e">
        <f ca="1">_xll.BDH($C$228,"PROF_MARGIN","FQ4 2018","FQ4 2018","Currency=INR","Period=FQ","BEST_FPERIOD_OVERRIDE=FQ","FILING_STATUS=OR","EQY_CONSOLIDATED=Y","FA_ADJUSTED=GAAP","Sort=A","Dates=H","DateFormat=P","Fill=—","Direction=H","UseDPDF=Y")</f>
        <v>#NAME?</v>
      </c>
      <c r="P252" t="e">
        <f ca="1">_xll.BDH($C$228,"NET_INCOME_TO_COMMON_MARGIN","FQ4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52" t="e">
        <f ca="1">_xll.BDH($C$228,"EFF_TAX_RATE","FQ4 2018","FQ4 2018","Currency=INR","Period=FQ","BEST_FPERIOD_OVERRIDE=FQ","FILING_STATUS=OR","EQY_CONSOLIDATED=Y","FA_ADJUSTED=GAAP","Sort=A","Dates=H","DateFormat=P","Fill=—","Direction=H","UseDPDF=Y")</f>
        <v>#NAME?</v>
      </c>
      <c r="R252" t="e">
        <f ca="1">_xll.BDH($C$228,"DVD_PAYOUT_RATIO","FQ4 2018","FQ4 2018","Currency=INR","Period=FQ","BEST_FPERIOD_OVERRIDE=FQ","FILING_STATUS=OR","EQY_CONSOLIDATED=Y","FA_ADJUSTED=GAAP","Sort=A","Dates=H","DateFormat=P","Fill=—","Direction=H","UseDPDF=Y")</f>
        <v>#NAME?</v>
      </c>
      <c r="S252" t="e">
        <f ca="1">_xll.BDH($C$228,"SUSTAIN_GROWTH_RT","FQ4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252" s="1" t="e">
        <f ca="1">_xll.BDH($C$228,"SALES_GROWTH","FQ4 2018","FQ4 2018","Currency=INR","Period=FQ","BEST_FPERIOD_OVERRIDE=FQ","FILING_STATUS=OR","EQY_CONSOLIDATED=Y","FA_ADJUSTED=GAAP","Sort=A","Dates=H","DateFormat=P","Fill=—","Direction=H","UseDPDF=Y")</f>
        <v>#NAME?</v>
      </c>
      <c r="U252" s="1" t="e">
        <f ca="1">_xll.BDH($C$228,"EBITDA_GROWTH","FQ4 2018","FQ4 2018","Currency=INR","Period=FQ","BEST_FPERIOD_OVERRIDE=FQ","FILING_STATUS=OR","EQY_CONSOLIDATED=Y","FA_ADJUSTED=GAAP","Sort=A","Dates=H","DateFormat=P","Fill=—","Direction=H","UseDPDF=Y")</f>
        <v>#NAME?</v>
      </c>
      <c r="V252" s="1" t="e">
        <f ca="1">_xll.BDH($C$228,"OPER_INC_GROWTH","FQ4 2018","FQ4 2018","Currency=INR","Period=FQ","BEST_FPERIOD_OVERRIDE=FQ","FILING_STATUS=OR","EQY_CONSOLIDATED=Y","FA_ADJUSTED=GAAP","Sort=A","Dates=H","DateFormat=P","Fill=—","Direction=H","UseDPDF=Y")</f>
        <v>#NAME?</v>
      </c>
      <c r="W252" s="1" t="e">
        <f ca="1">_xll.BDH($C$228,"EARN_FOR_COM_GROWTH","FQ4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52" s="1" t="e">
        <f ca="1">_xll.BDH($C$228,"DILUTED_EPS_AFT_XO_ITEMS_GROWTH","FQ4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52" s="1" t="e">
        <f ca="1">_xll.BDH($C$228,"DIVIDEND_PER_SHARE_1_YEAR_GROWTH","FQ4 2018","FQ4 2018","Currency=INR","Period=FQ","BEST_FPERIOD_OVERRIDE=FQ","FILING_STATUS=OR","EQY_CONSOLIDATED=Y","Sort=A","Dates=H","DateFormat=P","Fill=—","Direction=H","UseDPDF=Y")</f>
        <v>#NAME?</v>
      </c>
      <c r="Z252" s="1" t="e">
        <f ca="1">_xll.BDH($C$228,"ACCOUNTS_RECEIVABLE_GROWTH","FQ4 2018","FQ4 2018","Currency=INR","Period=FQ","BEST_FPERIOD_OVERRIDE=FQ","FILING_STATUS=OR","EQY_CONSOLIDATED=Y","Sort=A","Dates=H","DateFormat=P","Fill=—","Direction=H","UseDPDF=Y")</f>
        <v>#NAME?</v>
      </c>
      <c r="AA252" s="1" t="e">
        <f ca="1">_xll.BDH($C$228,"INVENTORY_GROWTH","FQ4 2018","FQ4 2018","Currency=INR","Period=FQ","BEST_FPERIOD_OVERRIDE=FQ","FILING_STATUS=OR","EQY_CONSOLIDATED=Y","Sort=A","Dates=H","DateFormat=P","Fill=—","Direction=H","UseDPDF=Y")</f>
        <v>#NAME?</v>
      </c>
      <c r="AB252" s="1" t="e">
        <f ca="1">_xll.BDH($C$228,"NET_FIXED_ASSETS_1_YEAR_GROWTH","FQ4 2018","FQ4 2018","Currency=INR","Period=FQ","BEST_FPERIOD_OVERRIDE=FQ","FILING_STATUS=OR","EQY_CONSOLIDATED=Y","Sort=A","Dates=H","DateFormat=P","Fill=—","Direction=H","UseDPDF=Y")</f>
        <v>#NAME?</v>
      </c>
      <c r="AC252" s="1" t="e">
        <f ca="1">_xll.BDH($C$228,"ASSET_GROWTH","FQ4 2018","FQ4 2018","Currency=INR","Period=FQ","BEST_FPERIOD_OVERRIDE=FQ","FILING_STATUS=OR","EQY_CONSOLIDATED=Y","Sort=A","Dates=H","DateFormat=P","Fill=—","Direction=H","UseDPDF=Y")</f>
        <v>#NAME?</v>
      </c>
      <c r="AD252" s="1" t="e">
        <f ca="1">_xll.BDH($C$228,"MODIFIED_WORK_CAP_GROWTH","FQ4 2018","FQ4 2018","Currency=INR","Period=FQ","BEST_FPERIOD_OVERRIDE=FQ","FILING_STATUS=OR","EQY_CONSOLIDATED=Y","Sort=A","Dates=H","DateFormat=P","Fill=—","Direction=H","UseDPDF=Y")</f>
        <v>#NAME?</v>
      </c>
      <c r="AE252" s="1" t="e">
        <f ca="1">_xll.BDH($C$228,"WORK_CAP_GROWTH","FQ4 2018","FQ4 2018","Currency=INR","Period=FQ","BEST_FPERIOD_OVERRIDE=FQ","FILING_STATUS=OR","EQY_CONSOLIDATED=Y","Sort=A","Dates=H","DateFormat=P","Fill=—","Direction=H","UseDPDF=Y")</f>
        <v>#NAME?</v>
      </c>
      <c r="AF252" s="1" t="e">
        <f ca="1">_xll.BDH($C$228,"ACCOUNTS_PAYABLE_GROWTH_1YR","FQ4 2018","FQ4 2018","Currency=INR","Period=FQ","BEST_FPERIOD_OVERRIDE=FQ","FILING_STATUS=OR","EQY_CONSOLIDATED=Y","Sort=A","Dates=H","DateFormat=P","Fill=—","Direction=H","UseDPDF=Y")</f>
        <v>#NAME?</v>
      </c>
      <c r="AG252" s="1" t="e">
        <f ca="1">_xll.BDH($C$228,"SHORT_TERM_DEBT_1_YEAR_GROWTH","FQ4 2018","FQ4 2018","Currency=INR","Period=FQ","BEST_FPERIOD_OVERRIDE=FQ","FILING_STATUS=OR","EQY_CONSOLIDATED=Y","Sort=A","Dates=H","DateFormat=P","Fill=—","Direction=H","UseDPDF=Y")</f>
        <v>#NAME?</v>
      </c>
      <c r="AH252" s="1" t="e">
        <f ca="1">_xll.BDH($C$228,"TOTAL_DEBT_1_YEAR_GROWTH","FQ4 2018","FQ4 2018","Currency=INR","Period=FQ","BEST_FPERIOD_OVERRIDE=FQ","FILING_STATUS=OR","EQY_CONSOLIDATED=Y","Sort=A","Dates=H","DateFormat=P","Fill=—","Direction=H","UseDPDF=Y")</f>
        <v>#NAME?</v>
      </c>
      <c r="AI252" s="1" t="e">
        <f ca="1">_xll.BDH($C$228,"TOTAL_EQUITY_1_YEAR_GROWTH","FQ4 2018","FQ4 2018","Currency=INR","Period=FQ","BEST_FPERIOD_OVERRIDE=FQ","FILING_STATUS=OR","EQY_CONSOLIDATED=Y","Sort=A","Dates=H","DateFormat=P","Fill=—","Direction=H","UseDPDF=Y")</f>
        <v>#NAME?</v>
      </c>
      <c r="AJ252" s="1" t="e">
        <f ca="1">_xll.BDH($C$228,"GROWTH_IN_CAP","FQ4 2018","FQ4 2018","Currency=INR","Period=FQ","BEST_FPERIOD_OVERRIDE=FQ","FILING_STATUS=OR","EQY_CONSOLIDATED=Y","Sort=A","Dates=H","DateFormat=P","Fill=—","Direction=H","UseDPDF=Y")</f>
        <v>#NAME?</v>
      </c>
      <c r="AK252" s="1" t="e">
        <f ca="1">_xll.BDH($C$228,"BVPS_GROWTH","FQ4 2018","FQ4 2018","Currency=INR","Period=FQ","BEST_FPERIOD_OVERRIDE=FQ","FILING_STATUS=OR","EQY_CONSOLIDATED=Y","Sort=A","Dates=H","DateFormat=P","Fill=—","Direction=H","UseDPDF=Y")</f>
        <v>#NAME?</v>
      </c>
      <c r="AL252" s="1" t="e">
        <f ca="1">_xll.BDH($C$228,"CASH_FLOW_GROWTH","FQ4 2018","FQ4 2018","Currency=INR","Period=FQ","BEST_FPERIOD_OVERRIDE=FQ","FILING_STATUS=OR","EQY_CONSOLIDATED=Y","Sort=A","Dates=H","DateFormat=P","Fill=—","Direction=H","UseDPDF=Y")</f>
        <v>#NAME?</v>
      </c>
      <c r="AM252" s="1" t="e">
        <f ca="1">_xll.BDH($C$228,"GEO_GROW_NET_SALES","FQ4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52" s="1" t="e">
        <f ca="1">_xll.BDH($C$228,"GEO_GROW_EBITDA","FQ4 2018","FQ4 2018","Currency=INR","Period=FQ","BEST_FPERIOD_OVERRIDE=FQ","FILING_STATUS=OR","EQY_CONSOLIDATED=Y","FA_ADJUSTED=GAAP","Sort=A","Dates=H","DateFormat=P","Fill=—","Direction=H","UseDPDF=Y")</f>
        <v>#NAME?</v>
      </c>
      <c r="AO252" s="1" t="e">
        <f ca="1">_xll.BDH($C$228,"GEO_GROW_OPER_INC","FQ4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52" s="1" t="e">
        <f ca="1">_xll.BDH($C$228,"NET_INCOME_TO_COMMON_5_YR_GROWTH","FQ4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52" s="1" t="e">
        <f ca="1">_xll.BDH($C$228,"5Y_GEO_GROWTH_DILUTED_EPS","FQ4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52" s="1" t="e">
        <f ca="1">_xll.BDH($C$228,"GEO_GROW_DVD_PER_SH","FQ4 2018","FQ4 2018","Currency=INR","Period=FQ","BEST_FPERIOD_OVERRIDE=FQ","FILING_STATUS=OR","EQY_CONSOLIDATED=Y","Sort=A","Dates=H","DateFormat=P","Fill=—","Direction=H","UseDPDF=Y")</f>
        <v>#NAME?</v>
      </c>
      <c r="AS252" s="1" t="e">
        <f ca="1">_xll.BDH($C$228,"ACCOUNTS_RECEIVABLE_5_YR_GROWTH","FQ4 2018","FQ4 2018","Currency=INR","Period=FQ","BEST_FPERIOD_OVERRIDE=FQ","FILING_STATUS=OR","EQY_CONSOLIDATED=Y","Sort=A","Dates=H","DateFormat=P","Fill=—","Direction=H","UseDPDF=Y")</f>
        <v>#NAME?</v>
      </c>
      <c r="AT252" s="1" t="e">
        <f ca="1">_xll.BDH($C$228,"INVENTORY_5_YEAR_GROWTH","FQ4 2018","FQ4 2018","Currency=INR","Period=FQ","BEST_FPERIOD_OVERRIDE=FQ","FILING_STATUS=OR","EQY_CONSOLIDATED=Y","Sort=A","Dates=H","DateFormat=P","Fill=—","Direction=H","UseDPDF=Y")</f>
        <v>#NAME?</v>
      </c>
      <c r="AU252" s="1" t="e">
        <f ca="1">_xll.BDH($C$228,"NET_FIXED_ASSETS_5_YEAR_GROWTH","FQ4 2018","FQ4 2018","Currency=INR","Period=FQ","BEST_FPERIOD_OVERRIDE=FQ","FILING_STATUS=OR","EQY_CONSOLIDATED=Y","Sort=A","Dates=H","DateFormat=P","Fill=—","Direction=H","UseDPDF=Y")</f>
        <v>#NAME?</v>
      </c>
      <c r="AV252" s="1" t="e">
        <f ca="1">_xll.BDH($C$228,"GEO_GROW_TOT_ASSET","FQ4 2018","FQ4 2018","Currency=INR","Period=FQ","BEST_FPERIOD_OVERRIDE=FQ","FILING_STATUS=OR","EQY_CONSOLIDATED=Y","Sort=A","Dates=H","DateFormat=P","Fill=—","Direction=H","UseDPDF=Y")</f>
        <v>#NAME?</v>
      </c>
      <c r="AW252" s="1" t="e">
        <f ca="1">_xll.BDH($C$228,"MODIFIED_WORKING_CPTL_5YR_GRWTH","FQ4 2018","FQ4 2018","Currency=INR","Period=FQ","BEST_FPERIOD_OVERRIDE=FQ","FILING_STATUS=OR","EQY_CONSOLIDATED=Y","Sort=A","Dates=H","DateFormat=P","Fill=—","Direction=H","UseDPDF=Y")</f>
        <v>#NAME?</v>
      </c>
      <c r="AX252" s="1" t="e">
        <f ca="1">_xll.BDH($C$228,"WORKING_CAPITAL_5_YEAR_GROWTH","FQ4 2018","FQ4 2018","Currency=INR","Period=FQ","BEST_FPERIOD_OVERRIDE=FQ","FILING_STATUS=OR","EQY_CONSOLIDATED=Y","Sort=A","Dates=H","DateFormat=P","Fill=—","Direction=H","UseDPDF=Y")</f>
        <v>#NAME?</v>
      </c>
      <c r="AY252" s="1" t="e">
        <f ca="1">_xll.BDH($C$228,"ACCOUNTS_PAYABLE_5_YEAR_GROWTH","FQ4 2018","FQ4 2018","Currency=INR","Period=FQ","BEST_FPERIOD_OVERRIDE=FQ","FILING_STATUS=OR","EQY_CONSOLIDATED=Y","Sort=A","Dates=H","DateFormat=P","Fill=—","Direction=H","UseDPDF=Y")</f>
        <v>#NAME?</v>
      </c>
      <c r="AZ252" s="1" t="e">
        <f ca="1">_xll.BDH($C$228,"SHORT_TERM_DEBT_5_YEAR_GROWTH","FQ4 2018","FQ4 2018","Currency=INR","Period=FQ","BEST_FPERIOD_OVERRIDE=FQ","FILING_STATUS=OR","EQY_CONSOLIDATED=Y","Sort=A","Dates=H","DateFormat=P","Fill=—","Direction=H","UseDPDF=Y")</f>
        <v>#NAME?</v>
      </c>
      <c r="BA252" s="1" t="e">
        <f ca="1">_xll.BDH($C$228,"TOTAL_DEBT_5_YEAR_GROWTH","FQ4 2018","FQ4 2018","Currency=INR","Period=FQ","BEST_FPERIOD_OVERRIDE=FQ","FILING_STATUS=OR","EQY_CONSOLIDATED=Y","Sort=A","Dates=H","DateFormat=P","Fill=—","Direction=H","UseDPDF=Y")</f>
        <v>#NAME?</v>
      </c>
      <c r="BB252" s="1" t="e">
        <f ca="1">_xll.BDH($C$228,"GEO_GROW_TOT_SHRHLDR_EQY","FQ4 2018","FQ4 2018","Currency=INR","Period=FQ","BEST_FPERIOD_OVERRIDE=FQ","FILING_STATUS=OR","EQY_CONSOLIDATED=Y","Sort=A","Dates=H","DateFormat=P","Fill=—","Direction=H","UseDPDF=Y")</f>
        <v>#NAME?</v>
      </c>
      <c r="BC252" s="1" t="e">
        <f ca="1">_xll.BDH($C$228,"TOTAL_CAPITAL_5_YEAR_GROWTH","FQ4 2018","FQ4 2018","Currency=INR","Period=FQ","BEST_FPERIOD_OVERRIDE=FQ","FILING_STATUS=OR","EQY_CONSOLIDATED=Y","Sort=A","Dates=H","DateFormat=P","Fill=—","Direction=H","UseDPDF=Y")</f>
        <v>#NAME?</v>
      </c>
      <c r="BD252" s="1" t="e">
        <f ca="1">_xll.BDH($C$228,"GEO_GROW_BOOK_VAL","FQ4 2018","FQ4 2018","Currency=INR","Period=FQ","BEST_FPERIOD_OVERRIDE=FQ","FILING_STATUS=OR","EQY_CONSOLIDATED=Y","Sort=A","Dates=H","DateFormat=P","Fill=—","Direction=H","UseDPDF=Y")</f>
        <v>#NAME?</v>
      </c>
      <c r="BE252" s="1" t="e">
        <f ca="1">_xll.BDH($C$228,"GEO_GROW_CASH_OPER_ACT","FQ4 2018","FQ4 2018","Currency=INR","Period=FQ","BEST_FPERIOD_OVERRIDE=FQ","FILING_STATUS=OR","EQY_CONSOLIDATED=Y","Sort=A","Dates=H","DateFormat=P","Fill=—","Direction=H","UseDPDF=Y")</f>
        <v>#NAME?</v>
      </c>
      <c r="BF252" s="1" t="e">
        <f ca="1">_xll.BDH($C$228,"REVENUE_SEQUENTIAL_GROWTH","FQ4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52" s="1" t="e">
        <f ca="1">_xll.BDH($C$228,"EBITDA_SEQUENTIAL_GROWTH","FQ4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52" s="1" t="e">
        <f ca="1">_xll.BDH($C$228,"OPERATING_INCOME_SEQ_GROWTH","FQ4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52" s="1" t="e">
        <f ca="1">_xll.BDH($C$228,"NET_INCOME_TO_COMMON_SEQ_GROWTH","FQ4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52" s="1" t="e">
        <f ca="1">_xll.BDH($C$228,"EPS_DILUTED_SEQUENTIAL_GROWTH","FQ4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52" s="1" t="e">
        <f ca="1">_xll.BDH($C$228,"DPS_SEQUENTIAL_GROWTH","FQ4 2018","FQ4 2018","Currency=INR","Period=FQ","BEST_FPERIOD_OVERRIDE=FQ","FILING_STATUS=OR","EQY_CONSOLIDATED=Y","Sort=A","Dates=H","DateFormat=P","Fill=—","Direction=H","UseDPDF=Y")</f>
        <v>#NAME?</v>
      </c>
      <c r="BL252" s="1" t="e">
        <f ca="1">_xll.BDH($C$228,"ACCOUNTS_RECEIVABLE_SEQ_GROWTH","FQ4 2018","FQ4 2018","Currency=INR","Period=FQ","BEST_FPERIOD_OVERRIDE=FQ","FILING_STATUS=OR","EQY_CONSOLIDATED=Y","Sort=A","Dates=H","DateFormat=P","Fill=—","Direction=H","UseDPDF=Y")</f>
        <v>#NAME?</v>
      </c>
      <c r="BM252" s="1" t="e">
        <f ca="1">_xll.BDH($C$228,"INVENTORY_SEQUENTIAL_GROWTH","FQ4 2018","FQ4 2018","Currency=INR","Period=FQ","BEST_FPERIOD_OVERRIDE=FQ","FILING_STATUS=OR","EQY_CONSOLIDATED=Y","Sort=A","Dates=H","DateFormat=P","Fill=—","Direction=H","UseDPDF=Y")</f>
        <v>#NAME?</v>
      </c>
      <c r="BN252" s="1" t="e">
        <f ca="1">_xll.BDH($C$228,"FIXED_ASSETS_SEQUENTIAL_GROWTH","FQ4 2018","FQ4 2018","Currency=INR","Period=FQ","BEST_FPERIOD_OVERRIDE=FQ","FILING_STATUS=OR","EQY_CONSOLIDATED=Y","Sort=A","Dates=H","DateFormat=P","Fill=—","Direction=H","UseDPDF=Y")</f>
        <v>#NAME?</v>
      </c>
      <c r="BO252" s="1" t="e">
        <f ca="1">_xll.BDH($C$228,"TOTAL_ASSETS_SEQUENTIAL_GROWTH","FQ4 2018","FQ4 2018","Currency=INR","Period=FQ","BEST_FPERIOD_OVERRIDE=FQ","FILING_STATUS=OR","EQY_CONSOLIDATED=Y","Sort=A","Dates=H","DateFormat=P","Fill=—","Direction=H","UseDPDF=Y")</f>
        <v>#NAME?</v>
      </c>
      <c r="BP252" s="1" t="e">
        <f ca="1">_xll.BDH($C$228,"MODIFIED_WORKING_CPTL_SEQ_GRWTH","FQ4 2018","FQ4 2018","Currency=INR","Period=FQ","BEST_FPERIOD_OVERRIDE=FQ","FILING_STATUS=OR","EQY_CONSOLIDATED=Y","Sort=A","Dates=H","DateFormat=P","Fill=—","Direction=H","UseDPDF=Y")</f>
        <v>#NAME?</v>
      </c>
      <c r="BQ252" s="1" t="e">
        <f ca="1">_xll.BDH($C$228,"WORKING_CAPITAL_SEQ_GROWTH","FQ4 2018","FQ4 2018","Currency=INR","Period=FQ","BEST_FPERIOD_OVERRIDE=FQ","FILING_STATUS=OR","EQY_CONSOLIDATED=Y","Sort=A","Dates=H","DateFormat=P","Fill=—","Direction=H","UseDPDF=Y")</f>
        <v>#NAME?</v>
      </c>
      <c r="BR252" s="1" t="e">
        <f ca="1">_xll.BDH($C$228,"ACCOUNTS_PAYABLE_SEQ_GROWTH","FQ4 2018","FQ4 2018","Currency=INR","Period=FQ","BEST_FPERIOD_OVERRIDE=FQ","FILING_STATUS=OR","EQY_CONSOLIDATED=Y","Sort=A","Dates=H","DateFormat=P","Fill=—","Direction=H","UseDPDF=Y")</f>
        <v>#NAME?</v>
      </c>
      <c r="BS252" s="1" t="e">
        <f ca="1">_xll.BDH($C$228,"ST_DEBT_SEQUENTIAL_GROWTH","FQ4 2018","FQ4 2018","Currency=INR","Period=FQ","BEST_FPERIOD_OVERRIDE=FQ","FILING_STATUS=OR","EQY_CONSOLIDATED=Y","Sort=A","Dates=H","DateFormat=P","Fill=—","Direction=H","UseDPDF=Y")</f>
        <v>#NAME?</v>
      </c>
      <c r="BT252" s="1" t="e">
        <f ca="1">_xll.BDH($C$228,"TOTAL_DEBT_SEQUENTIAL_GROWTH","FQ4 2018","FQ4 2018","Currency=INR","Period=FQ","BEST_FPERIOD_OVERRIDE=FQ","FILING_STATUS=OR","EQY_CONSOLIDATED=Y","Sort=A","Dates=H","DateFormat=P","Fill=—","Direction=H","UseDPDF=Y")</f>
        <v>#NAME?</v>
      </c>
      <c r="BU252" s="1" t="e">
        <f ca="1">_xll.BDH($C$228,"TOTAL_EQUITY_SEQUENTIAL_GROWTH","FQ4 2018","FQ4 2018","Currency=INR","Period=FQ","BEST_FPERIOD_OVERRIDE=FQ","FILING_STATUS=OR","EQY_CONSOLIDATED=Y","Sort=A","Dates=H","DateFormat=P","Fill=—","Direction=H","UseDPDF=Y")</f>
        <v>#NAME?</v>
      </c>
      <c r="BV252" s="1" t="e">
        <f ca="1">_xll.BDH($C$228,"TOTAL_CAPITAL_SEQUENTIAL_GROWTH","FQ4 2018","FQ4 2018","Currency=INR","Period=FQ","BEST_FPERIOD_OVERRIDE=FQ","FILING_STATUS=OR","EQY_CONSOLIDATED=Y","Sort=A","Dates=H","DateFormat=P","Fill=—","Direction=H","UseDPDF=Y")</f>
        <v>#NAME?</v>
      </c>
      <c r="BW252" s="1" t="e">
        <f ca="1">_xll.BDH($C$228,"BPS_SEQUENTIAL_GROWTH","FQ4 2018","FQ4 2018","Currency=INR","Period=FQ","BEST_FPERIOD_OVERRIDE=FQ","FILING_STATUS=OR","EQY_CONSOLIDATED=Y","Sort=A","Dates=H","DateFormat=P","Fill=—","Direction=H","UseDPDF=Y")</f>
        <v>#NAME?</v>
      </c>
      <c r="BX252" s="1" t="e">
        <f ca="1">_xll.BDH($C$228,"CFO_SEQUENTIAL_GROWTH","FQ4 2018","FQ4 2018","Currency=INR","Period=FQ","BEST_FPERIOD_OVERRIDE=FQ","FILING_STATUS=OR","EQY_CONSOLIDATED=Y","Sort=A","Dates=H","DateFormat=P","Fill=—","Direction=H","UseDPDF=Y")</f>
        <v>#NAME?</v>
      </c>
      <c r="BY252" s="2" t="e">
        <f ca="1">_xll.BDH($C$228,"SHORT_AND_LONG_TERM_DEBT","FQ4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52" s="2" t="e">
        <f ca="1">_xll.BDH($C$228,"BS_ST_BORROW","FQ4 2018","FQ4 2018","Currency=INR","Period=FQ","BEST_FPERIOD_OVERRIDE=FQ","FILING_STATUS=OR","EQY_CONSOLIDATED=Y","SCALING_FORMAT=MLN","Sort=A","Dates=H","DateFormat=P","Fill=—","Direction=H","UseDPDF=Y")</f>
        <v>#NAME?</v>
      </c>
      <c r="CA252" s="2" t="e">
        <f ca="1">_xll.BDH($C$228,"BS_LT_BORROW","FQ4 2018","FQ4 2018","Currency=INR","Period=FQ","BEST_FPERIOD_OVERRIDE=FQ","FILING_STATUS=OR","EQY_CONSOLIDATED=Y","SCALING_FORMAT=MLN","Sort=A","Dates=H","DateFormat=P","Fill=—","Direction=H","UseDPDF=Y")</f>
        <v>#NAME?</v>
      </c>
      <c r="CB252" s="1" t="e">
        <f ca="1">_xll.BDH($C$228,"TOT_DEBT_TO_EBITDA","FQ4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52" s="1" t="e">
        <f ca="1">_xll.BDH($C$228,"NET_DEBT_TO_EBITDA","FQ4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52" s="1" t="e">
        <f ca="1">_xll.BDH($C$228,"TOTAL_DEBT_TO_EBIT","FQ4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52" s="1" t="e">
        <f ca="1">_xll.BDH($C$228,"NET_DEBT_TO_EBIT","FQ4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252" s="1" t="e">
        <f ca="1">_xll.BDH($C$228,"EBITDA_TO_INTEREST_EXPN","FQ4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52" s="1" t="e">
        <f ca="1">_xll.BDH($C$228,"COM_EQY_TO_TOT_ASSET","FQ4 2018","FQ4 2018","Currency=INR","Period=FQ","BEST_FPERIOD_OVERRIDE=FQ","FILING_STATUS=OR","EQY_CONSOLIDATED=Y","Sort=A","Dates=H","DateFormat=P","Fill=—","Direction=H","UseDPDF=Y")</f>
        <v>#NAME?</v>
      </c>
      <c r="CH252" s="1" t="e">
        <f ca="1">_xll.BDH($C$228,"LT_DEBT_TO_TOT_EQY","FQ4 2018","FQ4 2018","Currency=INR","Period=FQ","BEST_FPERIOD_OVERRIDE=FQ","FILING_STATUS=OR","EQY_CONSOLIDATED=Y","Sort=A","Dates=H","DateFormat=P","Fill=—","Direction=H","UseDPDF=Y")</f>
        <v>#NAME?</v>
      </c>
      <c r="CI252" s="1" t="e">
        <f ca="1">_xll.BDH($C$228,"LT_DEBT_TO_TOT_CAP","FQ4 2018","FQ4 2018","Currency=INR","Period=FQ","BEST_FPERIOD_OVERRIDE=FQ","FILING_STATUS=OR","EQY_CONSOLIDATED=Y","Sort=A","Dates=H","DateFormat=P","Fill=—","Direction=H","UseDPDF=Y")</f>
        <v>#NAME?</v>
      </c>
      <c r="CJ252" s="1" t="e">
        <f ca="1">_xll.BDH($C$228,"LT_DEBT_TO_TOT_ASSET","FQ4 2018","FQ4 2018","Currency=INR","Period=FQ","BEST_FPERIOD_OVERRIDE=FQ","FILING_STATUS=OR","EQY_CONSOLIDATED=Y","Sort=A","Dates=H","DateFormat=P","Fill=—","Direction=H","UseDPDF=Y")</f>
        <v>#NAME?</v>
      </c>
      <c r="CK252" s="1" t="e">
        <f ca="1">_xll.BDH($C$228,"TOT_DEBT_TO_TOT_EQY","FQ4 2018","FQ4 2018","Currency=INR","Period=FQ","BEST_FPERIOD_OVERRIDE=FQ","FILING_STATUS=OR","EQY_CONSOLIDATED=Y","Sort=A","Dates=H","DateFormat=P","Fill=—","Direction=H","UseDPDF=Y")</f>
        <v>#NAME?</v>
      </c>
      <c r="CL252" s="1" t="e">
        <f ca="1">_xll.BDH($C$228,"TOT_DEBT_TO_TOT_CAP","FQ4 2018","FQ4 2018","Currency=INR","Period=FQ","BEST_FPERIOD_OVERRIDE=FQ","FILING_STATUS=OR","EQY_CONSOLIDATED=Y","Sort=A","Dates=H","DateFormat=P","Fill=—","Direction=H","UseDPDF=Y")</f>
        <v>#NAME?</v>
      </c>
      <c r="CM252" s="1" t="e">
        <f ca="1">_xll.BDH($C$228,"TOT_DEBT_TO_TOT_ASSET","FQ4 2018","FQ4 2018","Currency=INR","Period=FQ","BEST_FPERIOD_OVERRIDE=FQ","FILING_STATUS=OR","EQY_CONSOLIDATED=Y","Sort=A","Dates=H","DateFormat=P","Fill=—","Direction=H","UseDPDF=Y")</f>
        <v>#NAME?</v>
      </c>
      <c r="CN252" s="1" t="e">
        <f ca="1">_xll.BDH($C$228,"NET_DEBT_TO_SHRHLDR_EQTY","FQ4 2018","FQ4 2018","Currency=INR","Period=FQ","BEST_FPERIOD_OVERRIDE=FQ","FILING_STATUS=OR","EQY_CONSOLIDATED=Y","Sort=A","Dates=H","DateFormat=P","Fill=—","Direction=H","UseDPDF=Y")</f>
        <v>#NAME?</v>
      </c>
      <c r="CO252" s="1" t="e">
        <f ca="1">_xll.BDH($C$228,"NET_DEBT_%_CAPITAL","FQ4 2018","FQ4 2018","Currency=INR","Period=FQ","BEST_FPERIOD_OVERRIDE=FQ","FILING_STATUS=OR","EQY_CONSOLIDATED=Y","Sort=A","Dates=H","DateFormat=P","Fill=—","Direction=H","UseDPDF=Y")</f>
        <v>#NAME?</v>
      </c>
      <c r="CP252" s="2" t="e">
        <f ca="1">_xll.BDH($C$228,"EBITDA","FQ4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52" s="2" t="e">
        <f ca="1">_xll.BDH($C$228,"EBITDA_AFTER_CAPEX","FQ4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52" s="2" t="e">
        <f ca="1">_xll.BDH($C$228,"IS_OPER_INC","FQ4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52" s="1" t="e">
        <f ca="1">_xll.BDH($C$228,"CASH_RATIO","FQ4 2018","FQ4 2018","Currency=INR","Period=FQ","BEST_FPERIOD_OVERRIDE=FQ","FILING_STATUS=OR","EQY_CONSOLIDATED=Y","Sort=A","Dates=H","DateFormat=P","Fill=—","Direction=H","UseDPDF=Y")</f>
        <v>#NAME?</v>
      </c>
      <c r="CT252" s="1" t="e">
        <f ca="1">_xll.BDH($C$228,"CUR_RATIO","FQ4 2018","FQ4 2018","Currency=INR","Period=FQ","BEST_FPERIOD_OVERRIDE=FQ","FILING_STATUS=OR","EQY_CONSOLIDATED=Y","Sort=A","Dates=H","DateFormat=P","Fill=—","Direction=H","UseDPDF=Y")</f>
        <v>#NAME?</v>
      </c>
      <c r="CU252" s="1" t="e">
        <f ca="1">_xll.BDH($C$228,"QUICK_RATIO","FQ4 2018","FQ4 2018","Currency=INR","Period=FQ","BEST_FPERIOD_OVERRIDE=FQ","FILING_STATUS=OR","EQY_CONSOLIDATED=Y","Sort=A","Dates=H","DateFormat=P","Fill=—","Direction=H","UseDPDF=Y")</f>
        <v>#NAME?</v>
      </c>
      <c r="CV252" s="1" t="e">
        <f ca="1">_xll.BDH($C$228,"ALTMAN_Z_SCORE","FQ4 2018","FQ4 2018","Currency=INR","Period=FQ","BEST_FPERIOD_OVERRIDE=FQ","FILING_STATUS=OR","EQY_CONSOLIDATED=Y","Sort=A","Dates=H","DateFormat=P","Fill=—","Direction=H","UseDPDF=Y")</f>
        <v>#NAME?</v>
      </c>
      <c r="CW252" s="3" t="e">
        <f ca="1">_xll.BDH($C$228,"ACCT_RCV_TURN","FQ4 2018","FQ4 2018","Currency=INR","Period=FQ","BEST_FPERIOD_OVERRIDE=FQ","FILING_STATUS=OR","EQY_CONSOLIDATED=Y","FA_ADJUSTED=GAAP","Sort=A","Dates=H","DateFormat=P","Fill=—","Direction=H","UseDPDF=Y")</f>
        <v>#NAME?</v>
      </c>
      <c r="CX252" s="1" t="e">
        <f ca="1">_xll.BDH($C$228,"ACCT_RCV_DAYS","FQ4 2018","FQ4 2018","Currency=INR","Period=FQ","BEST_FPERIOD_OVERRIDE=FQ","FILING_STATUS=OR","EQY_CONSOLIDATED=Y","FA_ADJUSTED=GAAP","Sort=A","Dates=H","DateFormat=P","Fill=—","Direction=H","UseDPDF=Y")</f>
        <v>#NAME?</v>
      </c>
      <c r="CY252" s="3" t="e">
        <f ca="1">_xll.BDH($C$228,"INVENT_TURN","FQ4 2018","FQ4 2018","Currency=INR","Period=FQ","BEST_FPERIOD_OVERRIDE=FQ","FILING_STATUS=OR","EQY_CONSOLIDATED=Y","FA_ADJUSTED=GAAP","Sort=A","Dates=H","DateFormat=P","Fill=—","Direction=H","UseDPDF=Y")</f>
        <v>#NAME?</v>
      </c>
      <c r="CZ252" s="1" t="e">
        <f ca="1">_xll.BDH($C$228,"INVENT_DAYS","FQ4 2018","FQ4 2018","Currency=INR","Period=FQ","BEST_FPERIOD_OVERRIDE=FQ","FILING_STATUS=OR","EQY_CONSOLIDATED=Y","FA_ADJUSTED=GAAP","Sort=A","Dates=H","DateFormat=P","Fill=—","Direction=H","UseDPDF=Y")</f>
        <v>#NAME?</v>
      </c>
      <c r="DA252" s="3" t="e">
        <f ca="1">_xll.BDH($C$228,"ACCOUNTS_PAYABLE_TURNOVER","FQ4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52" s="1" t="e">
        <f ca="1">_xll.BDH($C$228,"ACCOUNTS_PAYABLE_TURNOVER_DAYS","FQ4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52" s="3" t="e">
        <f ca="1">_xll.BDH($C$228,"CASH_CONVERSION_CYCLE","FQ4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52" s="3" t="e">
        <f ca="1">_xll.BDH($C$228,"INV_TO_CASH_DAYS","FQ4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252" s="4" t="e">
        <f ca="1">_xll.BDH($C$228,"BS_INVENTORIES","FQ4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252" s="2" t="e">
        <f ca="1">_xll.BDH($C$228,"INVTRY_RAW_MATERIALS","FQ4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52" s="2" t="e">
        <f ca="1">_xll.BDH($C$228,"INVTRY_IN_PROGRESS","FQ4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52" s="2" t="e">
        <f ca="1">_xll.BDH($C$228,"INVTRY_FINISHED_GOODS","FQ4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52" s="2" t="e">
        <f ca="1">_xll.BDH($C$228,"BS_OTHER_INV","FQ4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53" spans="1:113" x14ac:dyDescent="0.3">
      <c r="A253" s="6">
        <v>61</v>
      </c>
      <c r="B253" s="6" t="s">
        <v>30</v>
      </c>
      <c r="C253" s="6" t="s">
        <v>31</v>
      </c>
      <c r="D253" s="6" t="s">
        <v>2</v>
      </c>
      <c r="E253" t="s">
        <v>3</v>
      </c>
      <c r="F253" t="e">
        <f ca="1">_xll.BDH($C$253,"RETURN_COM_EQY","FY 2014","FY 2014","Currency=INR","Period=FY","BEST_FPERIOD_OVERRIDE=FY","FILING_STATUS=OR","EQY_CONSOLIDATED=Y","FA_ADJUSTED=GAAP","Sort=A","Dates=H","DateFormat=P","Fill=—","Direction=H","UseDPDF=Y")</f>
        <v>#NAME?</v>
      </c>
      <c r="G253" t="e">
        <f ca="1">_xll.BDH($C$253,"RETURN_ON_ASSET","FY 2014","FY 2014","Currency=INR","Period=FY","BEST_FPERIOD_OVERRIDE=FY","FILING_STATUS=OR","EQY_CONSOLIDATED=Y","FA_ADJUSTED=GAAP","Sort=A","Dates=H","DateFormat=P","Fill=—","Direction=H","UseDPDF=Y")</f>
        <v>#NAME?</v>
      </c>
      <c r="H253" t="e">
        <f ca="1">_xll.BDH($C$253,"RETURN_ON_CAP","FY 2014","FY 2014","Currency=INR","Period=FY","BEST_FPERIOD_OVERRIDE=FY","FILING_STATUS=OR","EQY_CONSOLIDATED=Y","FA_ADJUSTED=GAAP","Sort=A","Dates=H","DateFormat=P","Fill=—","Direction=H","UseDPDF=Y")</f>
        <v>#NAME?</v>
      </c>
      <c r="I253" t="e">
        <f ca="1">_xll.BDH($C$253,"RETURN_ON_INV_CAPITAL","FY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53" t="e">
        <f ca="1">_xll.BDH($C$253,"EBITDA_TO_REVENUE","FY 2014","FY 2014","Currency=INR","Period=FY","BEST_FPERIOD_OVERRIDE=FY","FILING_STATUS=OR","EQY_CONSOLIDATED=Y","FA_ADJUSTED=GAAP","Sort=A","Dates=H","DateFormat=P","Fill=—","Direction=H","UseDPDF=Y")</f>
        <v>#NAME?</v>
      </c>
      <c r="K253" t="e">
        <f ca="1">_xll.BDH($C$253,"OPER_MARGIN","FY 2014","FY 2014","Currency=INR","Period=FY","BEST_FPERIOD_OVERRIDE=FY","FILING_STATUS=OR","EQY_CONSOLIDATED=Y","FA_ADJUSTED=GAAP","Sort=A","Dates=H","DateFormat=P","Fill=—","Direction=H","UseDPDF=Y")</f>
        <v>#NAME?</v>
      </c>
      <c r="L253" t="e">
        <f ca="1">_xll.BDH($C$253,"INCREMENTAL_OPERATING_MARGIN","FY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53" t="e">
        <f ca="1">_xll.BDH($C$253,"PRETAX_INC_TO_NET_SALES","FY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53" t="e">
        <f ca="1">_xll.BDH($C$253,"INC_BEF_XO_ITEMS_TO_NET_SALES","FY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53" t="e">
        <f ca="1">_xll.BDH($C$253,"PROF_MARGIN","FY 2014","FY 2014","Currency=INR","Period=FY","BEST_FPERIOD_OVERRIDE=FY","FILING_STATUS=OR","EQY_CONSOLIDATED=Y","FA_ADJUSTED=GAAP","Sort=A","Dates=H","DateFormat=P","Fill=—","Direction=H","UseDPDF=Y")</f>
        <v>#NAME?</v>
      </c>
      <c r="P253" t="e">
        <f ca="1">_xll.BDH($C$253,"NET_INCOME_TO_COMMON_MARGIN","FY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53" t="e">
        <f ca="1">_xll.BDH($C$253,"EFF_TAX_RATE","FY 2014","FY 2014","Currency=INR","Period=FY","BEST_FPERIOD_OVERRIDE=FY","FILING_STATUS=OR","EQY_CONSOLIDATED=Y","FA_ADJUSTED=GAAP","Sort=A","Dates=H","DateFormat=P","Fill=—","Direction=H","UseDPDF=Y")</f>
        <v>#NAME?</v>
      </c>
      <c r="R253" t="e">
        <f ca="1">_xll.BDH($C$253,"DVD_PAYOUT_RATIO","FY 2014","FY 2014","Currency=INR","Period=FY","BEST_FPERIOD_OVERRIDE=FY","FILING_STATUS=OR","EQY_CONSOLIDATED=Y","FA_ADJUSTED=GAAP","Sort=A","Dates=H","DateFormat=P","Fill=—","Direction=H","UseDPDF=Y")</f>
        <v>#NAME?</v>
      </c>
      <c r="S253" t="e">
        <f ca="1">_xll.BDH($C$253,"SUSTAIN_GROWTH_RT","FY 2014","FY 2014","Currency=INR","Period=FY","BEST_FPERIOD_OVERRIDE=FY","FILING_STATUS=OR","EQY_CONSOLIDATED=Y","FA_ADJUSTED=GAAP","Sort=A","Dates=H","DateFormat=P","Fill=—","Direction=H","UseDPDF=Y")</f>
        <v>#NAME?</v>
      </c>
      <c r="T253" s="1" t="e">
        <f ca="1">_xll.BDH($C$253,"SALES_GROWTH","FY 2014","FY 2014","Currency=INR","Period=FY","BEST_FPERIOD_OVERRIDE=FY","FILING_STATUS=OR","EQY_CONSOLIDATED=Y","FA_ADJUSTED=GAAP","Sort=A","Dates=H","DateFormat=P","Fill=—","Direction=H","UseDPDF=Y")</f>
        <v>#NAME?</v>
      </c>
      <c r="U253" s="1" t="e">
        <f ca="1">_xll.BDH($C$253,"EBITDA_GROWTH","FY 2014","FY 2014","Currency=INR","Period=FY","BEST_FPERIOD_OVERRIDE=FY","FILING_STATUS=OR","EQY_CONSOLIDATED=Y","FA_ADJUSTED=GAAP","Sort=A","Dates=H","DateFormat=P","Fill=—","Direction=H","UseDPDF=Y")</f>
        <v>#NAME?</v>
      </c>
      <c r="V253" s="1" t="e">
        <f ca="1">_xll.BDH($C$253,"OPER_INC_GROWTH","FY 2014","FY 2014","Currency=INR","Period=FY","BEST_FPERIOD_OVERRIDE=FY","FILING_STATUS=OR","EQY_CONSOLIDATED=Y","FA_ADJUSTED=GAAP","Sort=A","Dates=H","DateFormat=P","Fill=—","Direction=H","UseDPDF=Y")</f>
        <v>#NAME?</v>
      </c>
      <c r="W253" s="1" t="e">
        <f ca="1">_xll.BDH($C$253,"EARN_FOR_COM_GROWTH","FY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253" s="1" t="e">
        <f ca="1">_xll.BDH($C$253,"DILUTED_EPS_AFT_XO_ITEMS_GROWTH","FY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53" s="1" t="e">
        <f ca="1">_xll.BDH($C$253,"DIVIDEND_PER_SHARE_1_YEAR_GROWTH","FY 2014","FY 2014","Currency=INR","Period=FY","BEST_FPERIOD_OVERRIDE=FY","FILING_STATUS=OR","EQY_CONSOLIDATED=Y","Sort=A","Dates=H","DateFormat=P","Fill=—","Direction=H","UseDPDF=Y")</f>
        <v>#NAME?</v>
      </c>
      <c r="Z253" s="1" t="e">
        <f ca="1">_xll.BDH($C$253,"ACCOUNTS_RECEIVABLE_GROWTH","FY 2014","FY 2014","Currency=INR","Period=FY","BEST_FPERIOD_OVERRIDE=FY","FILING_STATUS=OR","EQY_CONSOLIDATED=Y","Sort=A","Dates=H","DateFormat=P","Fill=—","Direction=H","UseDPDF=Y")</f>
        <v>#NAME?</v>
      </c>
      <c r="AA253" s="1" t="e">
        <f ca="1">_xll.BDH($C$253,"INVENTORY_GROWTH","FY 2014","FY 2014","Currency=INR","Period=FY","BEST_FPERIOD_OVERRIDE=FY","FILING_STATUS=OR","EQY_CONSOLIDATED=Y","Sort=A","Dates=H","DateFormat=P","Fill=—","Direction=H","UseDPDF=Y")</f>
        <v>#NAME?</v>
      </c>
      <c r="AB253" s="1" t="e">
        <f ca="1">_xll.BDH($C$253,"NET_FIXED_ASSETS_1_YEAR_GROWTH","FY 2014","FY 2014","Currency=INR","Period=FY","BEST_FPERIOD_OVERRIDE=FY","FILING_STATUS=OR","EQY_CONSOLIDATED=Y","Sort=A","Dates=H","DateFormat=P","Fill=—","Direction=H","UseDPDF=Y")</f>
        <v>#NAME?</v>
      </c>
      <c r="AC253" s="1" t="e">
        <f ca="1">_xll.BDH($C$253,"ASSET_GROWTH","FY 2014","FY 2014","Currency=INR","Period=FY","BEST_FPERIOD_OVERRIDE=FY","FILING_STATUS=OR","EQY_CONSOLIDATED=Y","Sort=A","Dates=H","DateFormat=P","Fill=—","Direction=H","UseDPDF=Y")</f>
        <v>#NAME?</v>
      </c>
      <c r="AD253" s="1" t="e">
        <f ca="1">_xll.BDH($C$253,"MODIFIED_WORK_CAP_GROWTH","FY 2014","FY 2014","Currency=INR","Period=FY","BEST_FPERIOD_OVERRIDE=FY","FILING_STATUS=OR","EQY_CONSOLIDATED=Y","Sort=A","Dates=H","DateFormat=P","Fill=—","Direction=H","UseDPDF=Y")</f>
        <v>#NAME?</v>
      </c>
      <c r="AE253" s="1" t="e">
        <f ca="1">_xll.BDH($C$253,"WORK_CAP_GROWTH","FY 2014","FY 2014","Currency=INR","Period=FY","BEST_FPERIOD_OVERRIDE=FY","FILING_STATUS=OR","EQY_CONSOLIDATED=Y","Sort=A","Dates=H","DateFormat=P","Fill=—","Direction=H","UseDPDF=Y")</f>
        <v>#NAME?</v>
      </c>
      <c r="AF253" s="1" t="e">
        <f ca="1">_xll.BDH($C$253,"ACCOUNTS_PAYABLE_GROWTH_1YR","FY 2014","FY 2014","Currency=INR","Period=FY","BEST_FPERIOD_OVERRIDE=FY","FILING_STATUS=OR","EQY_CONSOLIDATED=Y","Sort=A","Dates=H","DateFormat=P","Fill=—","Direction=H","UseDPDF=Y")</f>
        <v>#NAME?</v>
      </c>
      <c r="AG253" s="1" t="e">
        <f ca="1">_xll.BDH($C$253,"SHORT_TERM_DEBT_1_YEAR_GROWTH","FY 2014","FY 2014","Currency=INR","Period=FY","BEST_FPERIOD_OVERRIDE=FY","FILING_STATUS=OR","EQY_CONSOLIDATED=Y","Sort=A","Dates=H","DateFormat=P","Fill=—","Direction=H","UseDPDF=Y")</f>
        <v>#NAME?</v>
      </c>
      <c r="AH253" s="1" t="e">
        <f ca="1">_xll.BDH($C$253,"TOTAL_DEBT_1_YEAR_GROWTH","FY 2014","FY 2014","Currency=INR","Period=FY","BEST_FPERIOD_OVERRIDE=FY","FILING_STATUS=OR","EQY_CONSOLIDATED=Y","Sort=A","Dates=H","DateFormat=P","Fill=—","Direction=H","UseDPDF=Y")</f>
        <v>#NAME?</v>
      </c>
      <c r="AI253" s="1" t="e">
        <f ca="1">_xll.BDH($C$253,"TOTAL_EQUITY_1_YEAR_GROWTH","FY 2014","FY 2014","Currency=INR","Period=FY","BEST_FPERIOD_OVERRIDE=FY","FILING_STATUS=OR","EQY_CONSOLIDATED=Y","Sort=A","Dates=H","DateFormat=P","Fill=—","Direction=H","UseDPDF=Y")</f>
        <v>#NAME?</v>
      </c>
      <c r="AJ253" s="1" t="e">
        <f ca="1">_xll.BDH($C$253,"GROWTH_IN_CAP","FY 2014","FY 2014","Currency=INR","Period=FY","BEST_FPERIOD_OVERRIDE=FY","FILING_STATUS=OR","EQY_CONSOLIDATED=Y","Sort=A","Dates=H","DateFormat=P","Fill=—","Direction=H","UseDPDF=Y")</f>
        <v>#NAME?</v>
      </c>
      <c r="AK253" s="1" t="e">
        <f ca="1">_xll.BDH($C$253,"BVPS_GROWTH","FY 2014","FY 2014","Currency=INR","Period=FY","BEST_FPERIOD_OVERRIDE=FY","FILING_STATUS=OR","EQY_CONSOLIDATED=Y","Sort=A","Dates=H","DateFormat=P","Fill=—","Direction=H","UseDPDF=Y")</f>
        <v>#NAME?</v>
      </c>
      <c r="AL253" s="1" t="e">
        <f ca="1">_xll.BDH($C$253,"CASH_FLOW_GROWTH","FY 2014","FY 2014","Currency=INR","Period=FY","BEST_FPERIOD_OVERRIDE=FY","FILING_STATUS=OR","EQY_CONSOLIDATED=Y","Sort=A","Dates=H","DateFormat=P","Fill=—","Direction=H","UseDPDF=Y")</f>
        <v>#NAME?</v>
      </c>
      <c r="AM253" s="1" t="e">
        <f ca="1">_xll.BDH($C$253,"GEO_GROW_NET_SALES","FY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253" s="1" t="e">
        <f ca="1">_xll.BDH($C$253,"GEO_GROW_EBITDA","FY 2014","FY 2014","Currency=INR","Period=FY","BEST_FPERIOD_OVERRIDE=FY","FILING_STATUS=OR","EQY_CONSOLIDATED=Y","FA_ADJUSTED=GAAP","Sort=A","Dates=H","DateFormat=P","Fill=—","Direction=H","UseDPDF=Y")</f>
        <v>#NAME?</v>
      </c>
      <c r="AO253" s="1" t="e">
        <f ca="1">_xll.BDH($C$253,"GEO_GROW_OPER_INC","FY 2014","FY 2014","Currency=INR","Period=FY","BEST_FPERIOD_OVERRIDE=FY","FILING_STATUS=OR","EQY_CONSOLIDATED=Y","FA_ADJUSTED=GAAP","Sort=A","Dates=H","DateFormat=P","Fill=—","Direction=H","UseDPDF=Y")</f>
        <v>#NAME?</v>
      </c>
      <c r="AP253" s="1" t="e">
        <f ca="1">_xll.BDH($C$253,"NET_INCOME_TO_COMMON_5_YR_GROWTH","FY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53" s="1" t="e">
        <f ca="1">_xll.BDH($C$253,"5Y_GEO_GROWTH_DILUTED_EPS","FY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53" s="1" t="e">
        <f ca="1">_xll.BDH($C$253,"GEO_GROW_DVD_PER_SH","FY 2014","FY 2014","Currency=INR","Period=FY","BEST_FPERIOD_OVERRIDE=FY","FILING_STATUS=OR","EQY_CONSOLIDATED=Y","Sort=A","Dates=H","DateFormat=P","Fill=—","Direction=H","UseDPDF=Y")</f>
        <v>#NAME?</v>
      </c>
      <c r="AS253" s="1" t="e">
        <f ca="1">_xll.BDH($C$253,"ACCOUNTS_RECEIVABLE_5_YR_GROWTH","FY 2014","FY 2014","Currency=INR","Period=FY","BEST_FPERIOD_OVERRIDE=FY","FILING_STATUS=OR","EQY_CONSOLIDATED=Y","Sort=A","Dates=H","DateFormat=P","Fill=—","Direction=H","UseDPDF=Y")</f>
        <v>#NAME?</v>
      </c>
      <c r="AT253" s="1" t="e">
        <f ca="1">_xll.BDH($C$253,"INVENTORY_5_YEAR_GROWTH","FY 2014","FY 2014","Currency=INR","Period=FY","BEST_FPERIOD_OVERRIDE=FY","FILING_STATUS=OR","EQY_CONSOLIDATED=Y","Sort=A","Dates=H","DateFormat=P","Fill=—","Direction=H","UseDPDF=Y")</f>
        <v>#NAME?</v>
      </c>
      <c r="AU253" s="1" t="e">
        <f ca="1">_xll.BDH($C$253,"NET_FIXED_ASSETS_5_YEAR_GROWTH","FY 2014","FY 2014","Currency=INR","Period=FY","BEST_FPERIOD_OVERRIDE=FY","FILING_STATUS=OR","EQY_CONSOLIDATED=Y","Sort=A","Dates=H","DateFormat=P","Fill=—","Direction=H","UseDPDF=Y")</f>
        <v>#NAME?</v>
      </c>
      <c r="AV253" s="1" t="e">
        <f ca="1">_xll.BDH($C$253,"GEO_GROW_TOT_ASSET","FY 2014","FY 2014","Currency=INR","Period=FY","BEST_FPERIOD_OVERRIDE=FY","FILING_STATUS=OR","EQY_CONSOLIDATED=Y","Sort=A","Dates=H","DateFormat=P","Fill=—","Direction=H","UseDPDF=Y")</f>
        <v>#NAME?</v>
      </c>
      <c r="AW253" s="1" t="e">
        <f ca="1">_xll.BDH($C$253,"MODIFIED_WORKING_CPTL_5YR_GRWTH","FY 2014","FY 2014","Currency=INR","Period=FY","BEST_FPERIOD_OVERRIDE=FY","FILING_STATUS=OR","EQY_CONSOLIDATED=Y","Sort=A","Dates=H","DateFormat=P","Fill=—","Direction=H","UseDPDF=Y")</f>
        <v>#NAME?</v>
      </c>
      <c r="AX253" s="1" t="e">
        <f ca="1">_xll.BDH($C$253,"WORKING_CAPITAL_5_YEAR_GROWTH","FY 2014","FY 2014","Currency=INR","Period=FY","BEST_FPERIOD_OVERRIDE=FY","FILING_STATUS=OR","EQY_CONSOLIDATED=Y","Sort=A","Dates=H","DateFormat=P","Fill=—","Direction=H","UseDPDF=Y")</f>
        <v>#NAME?</v>
      </c>
      <c r="AY253" s="1" t="e">
        <f ca="1">_xll.BDH($C$253,"ACCOUNTS_PAYABLE_5_YEAR_GROWTH","FY 2014","FY 2014","Currency=INR","Period=FY","BEST_FPERIOD_OVERRIDE=FY","FILING_STATUS=OR","EQY_CONSOLIDATED=Y","Sort=A","Dates=H","DateFormat=P","Fill=—","Direction=H","UseDPDF=Y")</f>
        <v>#NAME?</v>
      </c>
      <c r="AZ253" s="1" t="e">
        <f ca="1">_xll.BDH($C$253,"SHORT_TERM_DEBT_5_YEAR_GROWTH","FY 2014","FY 2014","Currency=INR","Period=FY","BEST_FPERIOD_OVERRIDE=FY","FILING_STATUS=OR","EQY_CONSOLIDATED=Y","Sort=A","Dates=H","DateFormat=P","Fill=—","Direction=H","UseDPDF=Y")</f>
        <v>#NAME?</v>
      </c>
      <c r="BA253" s="1" t="e">
        <f ca="1">_xll.BDH($C$253,"TOTAL_DEBT_5_YEAR_GROWTH","FY 2014","FY 2014","Currency=INR","Period=FY","BEST_FPERIOD_OVERRIDE=FY","FILING_STATUS=OR","EQY_CONSOLIDATED=Y","Sort=A","Dates=H","DateFormat=P","Fill=—","Direction=H","UseDPDF=Y")</f>
        <v>#NAME?</v>
      </c>
      <c r="BB253" s="1" t="e">
        <f ca="1">_xll.BDH($C$253,"GEO_GROW_TOT_SHRHLDR_EQY","FY 2014","FY 2014","Currency=INR","Period=FY","BEST_FPERIOD_OVERRIDE=FY","FILING_STATUS=OR","EQY_CONSOLIDATED=Y","Sort=A","Dates=H","DateFormat=P","Fill=—","Direction=H","UseDPDF=Y")</f>
        <v>#NAME?</v>
      </c>
      <c r="BC253" s="1" t="e">
        <f ca="1">_xll.BDH($C$253,"TOTAL_CAPITAL_5_YEAR_GROWTH","FY 2014","FY 2014","Currency=INR","Period=FY","BEST_FPERIOD_OVERRIDE=FY","FILING_STATUS=OR","EQY_CONSOLIDATED=Y","Sort=A","Dates=H","DateFormat=P","Fill=—","Direction=H","UseDPDF=Y")</f>
        <v>#NAME?</v>
      </c>
      <c r="BD253" s="1" t="e">
        <f ca="1">_xll.BDH($C$253,"GEO_GROW_BOOK_VAL","FY 2014","FY 2014","Currency=INR","Period=FY","BEST_FPERIOD_OVERRIDE=FY","FILING_STATUS=OR","EQY_CONSOLIDATED=Y","Sort=A","Dates=H","DateFormat=P","Fill=—","Direction=H","UseDPDF=Y")</f>
        <v>#NAME?</v>
      </c>
      <c r="BE253" s="1" t="e">
        <f ca="1">_xll.BDH($C$253,"GEO_GROW_CASH_OPER_ACT","FY 2014","FY 2014","Currency=INR","Period=FY","BEST_FPERIOD_OVERRIDE=FY","FILING_STATUS=OR","EQY_CONSOLIDATED=Y","Sort=A","Dates=H","DateFormat=P","Fill=—","Direction=H","UseDPDF=Y")</f>
        <v>#NAME?</v>
      </c>
      <c r="BF253" s="1" t="e">
        <f ca="1">_xll.BDH($C$253,"REVENUE_SEQUENTIAL_GROWTH","FY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53" s="1" t="e">
        <f ca="1">_xll.BDH($C$253,"EBITDA_SEQUENTIAL_GROWTH","FY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53" s="1" t="e">
        <f ca="1">_xll.BDH($C$253,"OPERATING_INCOME_SEQ_GROWTH","FY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53" s="1" t="e">
        <f ca="1">_xll.BDH($C$253,"NET_INCOME_TO_COMMON_SEQ_GROWTH","FY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53" s="1" t="e">
        <f ca="1">_xll.BDH($C$253,"EPS_DILUTED_SEQUENTIAL_GROWTH","FY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53" s="1" t="e">
        <f ca="1">_xll.BDH($C$253,"DPS_SEQUENTIAL_GROWTH","FY 2014","FY 2014","Currency=INR","Period=FY","BEST_FPERIOD_OVERRIDE=FY","FILING_STATUS=OR","EQY_CONSOLIDATED=Y","Sort=A","Dates=H","DateFormat=P","Fill=—","Direction=H","UseDPDF=Y")</f>
        <v>#NAME?</v>
      </c>
      <c r="BL253" s="1" t="e">
        <f ca="1">_xll.BDH($C$253,"ACCOUNTS_RECEIVABLE_SEQ_GROWTH","FY 2014","FY 2014","Currency=INR","Period=FY","BEST_FPERIOD_OVERRIDE=FY","FILING_STATUS=OR","EQY_CONSOLIDATED=Y","Sort=A","Dates=H","DateFormat=P","Fill=—","Direction=H","UseDPDF=Y")</f>
        <v>#NAME?</v>
      </c>
      <c r="BM253" s="1" t="e">
        <f ca="1">_xll.BDH($C$253,"INVENTORY_SEQUENTIAL_GROWTH","FY 2014","FY 2014","Currency=INR","Period=FY","BEST_FPERIOD_OVERRIDE=FY","FILING_STATUS=OR","EQY_CONSOLIDATED=Y","Sort=A","Dates=H","DateFormat=P","Fill=—","Direction=H","UseDPDF=Y")</f>
        <v>#NAME?</v>
      </c>
      <c r="BN253" s="1" t="e">
        <f ca="1">_xll.BDH($C$253,"FIXED_ASSETS_SEQUENTIAL_GROWTH","FY 2014","FY 2014","Currency=INR","Period=FY","BEST_FPERIOD_OVERRIDE=FY","FILING_STATUS=OR","EQY_CONSOLIDATED=Y","Sort=A","Dates=H","DateFormat=P","Fill=—","Direction=H","UseDPDF=Y")</f>
        <v>#NAME?</v>
      </c>
      <c r="BO253" s="1" t="e">
        <f ca="1">_xll.BDH($C$253,"TOTAL_ASSETS_SEQUENTIAL_GROWTH","FY 2014","FY 2014","Currency=INR","Period=FY","BEST_FPERIOD_OVERRIDE=FY","FILING_STATUS=OR","EQY_CONSOLIDATED=Y","Sort=A","Dates=H","DateFormat=P","Fill=—","Direction=H","UseDPDF=Y")</f>
        <v>#NAME?</v>
      </c>
      <c r="BP253" s="1" t="e">
        <f ca="1">_xll.BDH($C$253,"MODIFIED_WORKING_CPTL_SEQ_GRWTH","FY 2014","FY 2014","Currency=INR","Period=FY","BEST_FPERIOD_OVERRIDE=FY","FILING_STATUS=OR","EQY_CONSOLIDATED=Y","Sort=A","Dates=H","DateFormat=P","Fill=—","Direction=H","UseDPDF=Y")</f>
        <v>#NAME?</v>
      </c>
      <c r="BQ253" s="1" t="e">
        <f ca="1">_xll.BDH($C$253,"WORKING_CAPITAL_SEQ_GROWTH","FY 2014","FY 2014","Currency=INR","Period=FY","BEST_FPERIOD_OVERRIDE=FY","FILING_STATUS=OR","EQY_CONSOLIDATED=Y","Sort=A","Dates=H","DateFormat=P","Fill=—","Direction=H","UseDPDF=Y")</f>
        <v>#NAME?</v>
      </c>
      <c r="BR253" s="1" t="e">
        <f ca="1">_xll.BDH($C$253,"ACCOUNTS_PAYABLE_SEQ_GROWTH","FY 2014","FY 2014","Currency=INR","Period=FY","BEST_FPERIOD_OVERRIDE=FY","FILING_STATUS=OR","EQY_CONSOLIDATED=Y","Sort=A","Dates=H","DateFormat=P","Fill=—","Direction=H","UseDPDF=Y")</f>
        <v>#NAME?</v>
      </c>
      <c r="BS253" s="1" t="e">
        <f ca="1">_xll.BDH($C$253,"ST_DEBT_SEQUENTIAL_GROWTH","FY 2014","FY 2014","Currency=INR","Period=FY","BEST_FPERIOD_OVERRIDE=FY","FILING_STATUS=OR","EQY_CONSOLIDATED=Y","Sort=A","Dates=H","DateFormat=P","Fill=—","Direction=H","UseDPDF=Y")</f>
        <v>#NAME?</v>
      </c>
      <c r="BT253" s="1" t="e">
        <f ca="1">_xll.BDH($C$253,"TOTAL_DEBT_SEQUENTIAL_GROWTH","FY 2014","FY 2014","Currency=INR","Period=FY","BEST_FPERIOD_OVERRIDE=FY","FILING_STATUS=OR","EQY_CONSOLIDATED=Y","Sort=A","Dates=H","DateFormat=P","Fill=—","Direction=H","UseDPDF=Y")</f>
        <v>#NAME?</v>
      </c>
      <c r="BU253" s="1" t="e">
        <f ca="1">_xll.BDH($C$253,"TOTAL_EQUITY_SEQUENTIAL_GROWTH","FY 2014","FY 2014","Currency=INR","Period=FY","BEST_FPERIOD_OVERRIDE=FY","FILING_STATUS=OR","EQY_CONSOLIDATED=Y","Sort=A","Dates=H","DateFormat=P","Fill=—","Direction=H","UseDPDF=Y")</f>
        <v>#NAME?</v>
      </c>
      <c r="BV253" s="1" t="e">
        <f ca="1">_xll.BDH($C$253,"TOTAL_CAPITAL_SEQUENTIAL_GROWTH","FY 2014","FY 2014","Currency=INR","Period=FY","BEST_FPERIOD_OVERRIDE=FY","FILING_STATUS=OR","EQY_CONSOLIDATED=Y","Sort=A","Dates=H","DateFormat=P","Fill=—","Direction=H","UseDPDF=Y")</f>
        <v>#NAME?</v>
      </c>
      <c r="BW253" s="1" t="e">
        <f ca="1">_xll.BDH($C$253,"BPS_SEQUENTIAL_GROWTH","FY 2014","FY 2014","Currency=INR","Period=FY","BEST_FPERIOD_OVERRIDE=FY","FILING_STATUS=OR","EQY_CONSOLIDATED=Y","Sort=A","Dates=H","DateFormat=P","Fill=—","Direction=H","UseDPDF=Y")</f>
        <v>#NAME?</v>
      </c>
      <c r="BX253" s="1" t="e">
        <f ca="1">_xll.BDH($C$253,"CFO_SEQUENTIAL_GROWTH","FY 2014","FY 2014","Currency=INR","Period=FY","BEST_FPERIOD_OVERRIDE=FY","FILING_STATUS=OR","EQY_CONSOLIDATED=Y","Sort=A","Dates=H","DateFormat=P","Fill=—","Direction=H","UseDPDF=Y")</f>
        <v>#NAME?</v>
      </c>
      <c r="BY253" s="2" t="e">
        <f ca="1">_xll.BDH($C$253,"SHORT_AND_LONG_TERM_DEBT","FY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53" s="2" t="e">
        <f ca="1">_xll.BDH($C$253,"BS_ST_BORROW","FY 2014","FY 2014","Currency=INR","Period=FY","BEST_FPERIOD_OVERRIDE=FY","FILING_STATUS=OR","EQY_CONSOLIDATED=Y","SCALING_FORMAT=MLN","Sort=A","Dates=H","DateFormat=P","Fill=—","Direction=H","UseDPDF=Y")</f>
        <v>#NAME?</v>
      </c>
      <c r="CA253" s="2" t="e">
        <f ca="1">_xll.BDH($C$253,"BS_LT_BORROW","FY 2014","FY 2014","Currency=INR","Period=FY","BEST_FPERIOD_OVERRIDE=FY","FILING_STATUS=OR","EQY_CONSOLIDATED=Y","SCALING_FORMAT=MLN","Sort=A","Dates=H","DateFormat=P","Fill=—","Direction=H","UseDPDF=Y")</f>
        <v>#NAME?</v>
      </c>
      <c r="CB253" s="1" t="e">
        <f ca="1">_xll.BDH($C$253,"TOT_DEBT_TO_EBITDA","FY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253" s="1" t="e">
        <f ca="1">_xll.BDH($C$253,"NET_DEBT_TO_EBITDA","FY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253" s="1" t="e">
        <f ca="1">_xll.BDH($C$253,"TOTAL_DEBT_TO_EBIT","FY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253" s="1" t="e">
        <f ca="1">_xll.BDH($C$253,"NET_DEBT_TO_EBIT","FY 2014","FY 2014","Currency=INR","Period=FY","BEST_FPERIOD_OVERRIDE=FY","FILING_STATUS=OR","EQY_CONSOLIDATED=Y","FA_ADJUSTED=GAAP","Sort=A","Dates=H","DateFormat=P","Fill=—","Direction=H","UseDPDF=Y")</f>
        <v>#NAME?</v>
      </c>
      <c r="CF253" s="1" t="e">
        <f ca="1">_xll.BDH($C$253,"EBITDA_TO_INTEREST_EXPN","FY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53" s="1" t="e">
        <f ca="1">_xll.BDH($C$253,"COM_EQY_TO_TOT_ASSET","FY 2014","FY 2014","Currency=INR","Period=FY","BEST_FPERIOD_OVERRIDE=FY","FILING_STATUS=OR","EQY_CONSOLIDATED=Y","Sort=A","Dates=H","DateFormat=P","Fill=—","Direction=H","UseDPDF=Y")</f>
        <v>#NAME?</v>
      </c>
      <c r="CH253" s="1" t="e">
        <f ca="1">_xll.BDH($C$253,"LT_DEBT_TO_TOT_EQY","FY 2014","FY 2014","Currency=INR","Period=FY","BEST_FPERIOD_OVERRIDE=FY","FILING_STATUS=OR","EQY_CONSOLIDATED=Y","Sort=A","Dates=H","DateFormat=P","Fill=—","Direction=H","UseDPDF=Y")</f>
        <v>#NAME?</v>
      </c>
      <c r="CI253" s="1" t="e">
        <f ca="1">_xll.BDH($C$253,"LT_DEBT_TO_TOT_CAP","FY 2014","FY 2014","Currency=INR","Period=FY","BEST_FPERIOD_OVERRIDE=FY","FILING_STATUS=OR","EQY_CONSOLIDATED=Y","Sort=A","Dates=H","DateFormat=P","Fill=—","Direction=H","UseDPDF=Y")</f>
        <v>#NAME?</v>
      </c>
      <c r="CJ253" s="1" t="e">
        <f ca="1">_xll.BDH($C$253,"LT_DEBT_TO_TOT_ASSET","FY 2014","FY 2014","Currency=INR","Period=FY","BEST_FPERIOD_OVERRIDE=FY","FILING_STATUS=OR","EQY_CONSOLIDATED=Y","Sort=A","Dates=H","DateFormat=P","Fill=—","Direction=H","UseDPDF=Y")</f>
        <v>#NAME?</v>
      </c>
      <c r="CK253" s="1" t="e">
        <f ca="1">_xll.BDH($C$253,"TOT_DEBT_TO_TOT_EQY","FY 2014","FY 2014","Currency=INR","Period=FY","BEST_FPERIOD_OVERRIDE=FY","FILING_STATUS=OR","EQY_CONSOLIDATED=Y","Sort=A","Dates=H","DateFormat=P","Fill=—","Direction=H","UseDPDF=Y")</f>
        <v>#NAME?</v>
      </c>
      <c r="CL253" s="1" t="e">
        <f ca="1">_xll.BDH($C$253,"TOT_DEBT_TO_TOT_CAP","FY 2014","FY 2014","Currency=INR","Period=FY","BEST_FPERIOD_OVERRIDE=FY","FILING_STATUS=OR","EQY_CONSOLIDATED=Y","Sort=A","Dates=H","DateFormat=P","Fill=—","Direction=H","UseDPDF=Y")</f>
        <v>#NAME?</v>
      </c>
      <c r="CM253" s="1" t="e">
        <f ca="1">_xll.BDH($C$253,"TOT_DEBT_TO_TOT_ASSET","FY 2014","FY 2014","Currency=INR","Period=FY","BEST_FPERIOD_OVERRIDE=FY","FILING_STATUS=OR","EQY_CONSOLIDATED=Y","Sort=A","Dates=H","DateFormat=P","Fill=—","Direction=H","UseDPDF=Y")</f>
        <v>#NAME?</v>
      </c>
      <c r="CN253" s="1" t="e">
        <f ca="1">_xll.BDH($C$253,"NET_DEBT_TO_SHRHLDR_EQTY","FY 2014","FY 2014","Currency=INR","Period=FY","BEST_FPERIOD_OVERRIDE=FY","FILING_STATUS=OR","EQY_CONSOLIDATED=Y","Sort=A","Dates=H","DateFormat=P","Fill=—","Direction=H","UseDPDF=Y")</f>
        <v>#NAME?</v>
      </c>
      <c r="CO253" s="1" t="e">
        <f ca="1">_xll.BDH($C$253,"NET_DEBT_%_CAPITAL","FY 2014","FY 2014","Currency=INR","Period=FY","BEST_FPERIOD_OVERRIDE=FY","FILING_STATUS=OR","EQY_CONSOLIDATED=Y","Sort=A","Dates=H","DateFormat=P","Fill=—","Direction=H","UseDPDF=Y")</f>
        <v>#NAME?</v>
      </c>
      <c r="CP253" s="2" t="e">
        <f ca="1">_xll.BDH($C$253,"EBITDA","FY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53" s="2" t="e">
        <f ca="1">_xll.BDH($C$253,"EBITDA_AFTER_CAPEX","FY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53" s="2" t="e">
        <f ca="1">_xll.BDH($C$253,"IS_OPER_INC","FY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53" s="1" t="e">
        <f ca="1">_xll.BDH($C$253,"CASH_RATIO","FY 2014","FY 2014","Currency=INR","Period=FY","BEST_FPERIOD_OVERRIDE=FY","FILING_STATUS=OR","EQY_CONSOLIDATED=Y","Sort=A","Dates=H","DateFormat=P","Fill=—","Direction=H","UseDPDF=Y")</f>
        <v>#NAME?</v>
      </c>
      <c r="CT253" s="1" t="e">
        <f ca="1">_xll.BDH($C$253,"CUR_RATIO","FY 2014","FY 2014","Currency=INR","Period=FY","BEST_FPERIOD_OVERRIDE=FY","FILING_STATUS=OR","EQY_CONSOLIDATED=Y","Sort=A","Dates=H","DateFormat=P","Fill=—","Direction=H","UseDPDF=Y")</f>
        <v>#NAME?</v>
      </c>
      <c r="CU253" s="1" t="e">
        <f ca="1">_xll.BDH($C$253,"QUICK_RATIO","FY 2014","FY 2014","Currency=INR","Period=FY","BEST_FPERIOD_OVERRIDE=FY","FILING_STATUS=OR","EQY_CONSOLIDATED=Y","Sort=A","Dates=H","DateFormat=P","Fill=—","Direction=H","UseDPDF=Y")</f>
        <v>#NAME?</v>
      </c>
      <c r="CV253" s="1" t="e">
        <f ca="1">_xll.BDH($C$253,"ALTMAN_Z_SCORE","FY 2014","FY 2014","Currency=INR","Period=FY","BEST_FPERIOD_OVERRIDE=FY","FILING_STATUS=OR","EQY_CONSOLIDATED=Y","Sort=A","Dates=H","DateFormat=P","Fill=—","Direction=H","UseDPDF=Y")</f>
        <v>#NAME?</v>
      </c>
      <c r="CW253" s="3" t="e">
        <f ca="1">_xll.BDH($C$253,"ACCT_RCV_TURN","FY 2014","FY 2014","Currency=INR","Period=FY","BEST_FPERIOD_OVERRIDE=FY","FILING_STATUS=OR","EQY_CONSOLIDATED=Y","FA_ADJUSTED=GAAP","Sort=A","Dates=H","DateFormat=P","Fill=—","Direction=H","UseDPDF=Y")</f>
        <v>#NAME?</v>
      </c>
      <c r="CX253" s="1" t="e">
        <f ca="1">_xll.BDH($C$253,"ACCT_RCV_DAYS","FY 2014","FY 2014","Currency=INR","Period=FY","BEST_FPERIOD_OVERRIDE=FY","FILING_STATUS=OR","EQY_CONSOLIDATED=Y","FA_ADJUSTED=GAAP","Sort=A","Dates=H","DateFormat=P","Fill=—","Direction=H","UseDPDF=Y")</f>
        <v>#NAME?</v>
      </c>
      <c r="CY253" s="3" t="e">
        <f ca="1">_xll.BDH($C$253,"INVENT_TURN","FY 2014","FY 2014","Currency=INR","Period=FY","BEST_FPERIOD_OVERRIDE=FY","FILING_STATUS=OR","EQY_CONSOLIDATED=Y","FA_ADJUSTED=GAAP","Sort=A","Dates=H","DateFormat=P","Fill=—","Direction=H","UseDPDF=Y")</f>
        <v>#NAME?</v>
      </c>
      <c r="CZ253" s="1" t="e">
        <f ca="1">_xll.BDH($C$253,"INVENT_DAYS","FY 2014","FY 2014","Currency=INR","Period=FY","BEST_FPERIOD_OVERRIDE=FY","FILING_STATUS=OR","EQY_CONSOLIDATED=Y","FA_ADJUSTED=GAAP","Sort=A","Dates=H","DateFormat=P","Fill=—","Direction=H","UseDPDF=Y")</f>
        <v>#NAME?</v>
      </c>
      <c r="DA253" s="3" t="e">
        <f ca="1">_xll.BDH($C$253,"ACCOUNTS_PAYABLE_TURNOVER","FY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53" s="1" t="e">
        <f ca="1">_xll.BDH($C$253,"ACCOUNTS_PAYABLE_TURNOVER_DAYS","FY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53" s="3" t="e">
        <f ca="1">_xll.BDH($C$253,"CASH_CONVERSION_CYCLE","FY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53" s="3" t="e">
        <f ca="1">_xll.BDH($C$253,"INV_TO_CASH_DAYS","FY 2014","FY 2014","Currency=INR","Period=FY","BEST_FPERIOD_OVERRIDE=FY","FILING_STATUS=OR","EQY_CONSOLIDATED=Y","FA_ADJUSTED=GAAP","Sort=A","Dates=H","DateFormat=P","Fill=—","Direction=H","UseDPDF=Y")</f>
        <v>#NAME?</v>
      </c>
      <c r="DE253" s="4" t="e">
        <f ca="1">_xll.BDH($C$253,"BS_INVENTORIES","FY 2014","FY 2014","Currency=INR","Period=FY","BEST_FPERIOD_OVERRIDE=FY","FILING_STATUS=OR","EQY_CONSOLIDATED=Y","SCALING_FORMAT=MLN","Sort=A","Dates=H","DateFormat=P","Fill=—","Direction=H","UseDPDF=Y")</f>
        <v>#NAME?</v>
      </c>
      <c r="DF253" s="2" t="e">
        <f ca="1">_xll.BDH($C$253,"INVTRY_RAW_MATERIALS","FY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53" s="2" t="e">
        <f ca="1">_xll.BDH($C$253,"INVTRY_IN_PROGRESS","FY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53" s="2" t="e">
        <f ca="1">_xll.BDH($C$253,"INVTRY_FINISHED_GOODS","FY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53" s="2" t="e">
        <f ca="1">_xll.BDH($C$253,"BS_OTHER_INV","FY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54" spans="1:113" x14ac:dyDescent="0.3">
      <c r="A254" s="6"/>
      <c r="B254" s="6"/>
      <c r="C254" s="6"/>
      <c r="D254" s="6"/>
      <c r="E254" t="s">
        <v>4</v>
      </c>
      <c r="F254" t="e">
        <f ca="1">_xll.BDH($C$253,"RETURN_COM_EQY","FQ1 2014","FQ1 2014","Currency=INR","Period=FQ","BEST_FPERIOD_OVERRIDE=FQ","FILING_STATUS=OR","EQY_CONSOLIDATED=Y","FA_ADJUSTED=GAAP","Sort=A","Dates=H","DateFormat=P","Fill=—","Direction=H","UseDPDF=Y")</f>
        <v>#NAME?</v>
      </c>
      <c r="G254" t="e">
        <f ca="1">_xll.BDH($C$253,"RETURN_ON_ASSET","FQ1 2014","FQ1 2014","Currency=INR","Period=FQ","BEST_FPERIOD_OVERRIDE=FQ","FILING_STATUS=OR","EQY_CONSOLIDATED=Y","FA_ADJUSTED=GAAP","Sort=A","Dates=H","DateFormat=P","Fill=—","Direction=H","UseDPDF=Y")</f>
        <v>#NAME?</v>
      </c>
      <c r="H254" t="e">
        <f ca="1">_xll.BDH($C$253,"RETURN_ON_CAP","FQ1 2014","FQ1 2014","Currency=INR","Period=FQ","BEST_FPERIOD_OVERRIDE=FQ","FILING_STATUS=OR","EQY_CONSOLIDATED=Y","FA_ADJUSTED=GAAP","Sort=A","Dates=H","DateFormat=P","Fill=—","Direction=H","UseDPDF=Y")</f>
        <v>#NAME?</v>
      </c>
      <c r="I254" t="e">
        <f ca="1">_xll.BDH($C$253,"RETURN_ON_INV_CAPITAL","FQ1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54" t="e">
        <f ca="1">_xll.BDH($C$253,"EBITDA_TO_REVENUE","FQ1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254" t="e">
        <f ca="1">_xll.BDH($C$253,"OPER_MARGIN","FQ1 2014","FQ1 2014","Currency=INR","Period=FQ","BEST_FPERIOD_OVERRIDE=FQ","FILING_STATUS=OR","EQY_CONSOLIDATED=Y","FA_ADJUSTED=GAAP","Sort=A","Dates=H","DateFormat=P","Fill=—","Direction=H","UseDPDF=Y")</f>
        <v>#NAME?</v>
      </c>
      <c r="L254" t="e">
        <f ca="1">_xll.BDH($C$253,"INCREMENTAL_OPERATING_MARGIN","FQ1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54" t="e">
        <f ca="1">_xll.BDH($C$253,"PRETAX_INC_TO_NET_SALES","FQ1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54" t="e">
        <f ca="1">_xll.BDH($C$253,"INC_BEF_XO_ITEMS_TO_NET_SALES","FQ1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54" t="e">
        <f ca="1">_xll.BDH($C$253,"PROF_MARGIN","FQ1 2014","FQ1 2014","Currency=INR","Period=FQ","BEST_FPERIOD_OVERRIDE=FQ","FILING_STATUS=OR","EQY_CONSOLIDATED=Y","FA_ADJUSTED=GAAP","Sort=A","Dates=H","DateFormat=P","Fill=—","Direction=H","UseDPDF=Y")</f>
        <v>#NAME?</v>
      </c>
      <c r="P254" t="e">
        <f ca="1">_xll.BDH($C$253,"NET_INCOME_TO_COMMON_MARGIN","FQ1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54" t="e">
        <f ca="1">_xll.BDH($C$253,"EFF_TAX_RATE","FQ1 2014","FQ1 2014","Currency=INR","Period=FQ","BEST_FPERIOD_OVERRIDE=FQ","FILING_STATUS=OR","EQY_CONSOLIDATED=Y","FA_ADJUSTED=GAAP","Sort=A","Dates=H","DateFormat=P","Fill=—","Direction=H","UseDPDF=Y")</f>
        <v>#NAME?</v>
      </c>
      <c r="R254" t="e">
        <f ca="1">_xll.BDH($C$253,"DVD_PAYOUT_RATIO","FQ1 2014","FQ1 2014","Currency=INR","Period=FQ","BEST_FPERIOD_OVERRIDE=FQ","FILING_STATUS=OR","EQY_CONSOLIDATED=Y","FA_ADJUSTED=GAAP","Sort=A","Dates=H","DateFormat=P","Fill=—","Direction=H","UseDPDF=Y")</f>
        <v>#NAME?</v>
      </c>
      <c r="S254" t="e">
        <f ca="1">_xll.BDH($C$253,"SUSTAIN_GROWTH_RT","FQ1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254" s="1" t="e">
        <f ca="1">_xll.BDH($C$253,"SALES_GROWTH","FQ1 2014","FQ1 2014","Currency=INR","Period=FQ","BEST_FPERIOD_OVERRIDE=FQ","FILING_STATUS=OR","EQY_CONSOLIDATED=Y","FA_ADJUSTED=GAAP","Sort=A","Dates=H","DateFormat=P","Fill=—","Direction=H","UseDPDF=Y")</f>
        <v>#NAME?</v>
      </c>
      <c r="U254" s="1" t="e">
        <f ca="1">_xll.BDH($C$253,"EBITDA_GROWTH","FQ1 2014","FQ1 2014","Currency=INR","Period=FQ","BEST_FPERIOD_OVERRIDE=FQ","FILING_STATUS=OR","EQY_CONSOLIDATED=Y","FA_ADJUSTED=GAAP","Sort=A","Dates=H","DateFormat=P","Fill=—","Direction=H","UseDPDF=Y")</f>
        <v>#NAME?</v>
      </c>
      <c r="V254" s="1" t="e">
        <f ca="1">_xll.BDH($C$253,"OPER_INC_GROWTH","FQ1 2014","FQ1 2014","Currency=INR","Period=FQ","BEST_FPERIOD_OVERRIDE=FQ","FILING_STATUS=OR","EQY_CONSOLIDATED=Y","FA_ADJUSTED=GAAP","Sort=A","Dates=H","DateFormat=P","Fill=—","Direction=H","UseDPDF=Y")</f>
        <v>#NAME?</v>
      </c>
      <c r="W254" s="1" t="e">
        <f ca="1">_xll.BDH($C$253,"EARN_FOR_COM_GROWTH","FQ1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54" s="1" t="e">
        <f ca="1">_xll.BDH($C$253,"DILUTED_EPS_AFT_XO_ITEMS_GROWTH","FQ1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54" s="1" t="e">
        <f ca="1">_xll.BDH($C$253,"DIVIDEND_PER_SHARE_1_YEAR_GROWTH","FQ1 2014","FQ1 2014","Currency=INR","Period=FQ","BEST_FPERIOD_OVERRIDE=FQ","FILING_STATUS=OR","EQY_CONSOLIDATED=Y","Sort=A","Dates=H","DateFormat=P","Fill=—","Direction=H","UseDPDF=Y")</f>
        <v>#NAME?</v>
      </c>
      <c r="Z254" s="1" t="e">
        <f ca="1">_xll.BDH($C$253,"ACCOUNTS_RECEIVABLE_GROWTH","FQ1 2014","FQ1 2014","Currency=INR","Period=FQ","BEST_FPERIOD_OVERRIDE=FQ","FILING_STATUS=OR","EQY_CONSOLIDATED=Y","Sort=A","Dates=H","DateFormat=P","Fill=—","Direction=H","UseDPDF=Y")</f>
        <v>#NAME?</v>
      </c>
      <c r="AA254" s="1" t="e">
        <f ca="1">_xll.BDH($C$253,"INVENTORY_GROWTH","FQ1 2014","FQ1 2014","Currency=INR","Period=FQ","BEST_FPERIOD_OVERRIDE=FQ","FILING_STATUS=OR","EQY_CONSOLIDATED=Y","Sort=A","Dates=H","DateFormat=P","Fill=—","Direction=H","UseDPDF=Y")</f>
        <v>#NAME?</v>
      </c>
      <c r="AB254" s="1" t="e">
        <f ca="1">_xll.BDH($C$253,"NET_FIXED_ASSETS_1_YEAR_GROWTH","FQ1 2014","FQ1 2014","Currency=INR","Period=FQ","BEST_FPERIOD_OVERRIDE=FQ","FILING_STATUS=OR","EQY_CONSOLIDATED=Y","Sort=A","Dates=H","DateFormat=P","Fill=—","Direction=H","UseDPDF=Y")</f>
        <v>#NAME?</v>
      </c>
      <c r="AC254" s="1" t="e">
        <f ca="1">_xll.BDH($C$253,"ASSET_GROWTH","FQ1 2014","FQ1 2014","Currency=INR","Period=FQ","BEST_FPERIOD_OVERRIDE=FQ","FILING_STATUS=OR","EQY_CONSOLIDATED=Y","Sort=A","Dates=H","DateFormat=P","Fill=—","Direction=H","UseDPDF=Y")</f>
        <v>#NAME?</v>
      </c>
      <c r="AD254" s="1" t="e">
        <f ca="1">_xll.BDH($C$253,"MODIFIED_WORK_CAP_GROWTH","FQ1 2014","FQ1 2014","Currency=INR","Period=FQ","BEST_FPERIOD_OVERRIDE=FQ","FILING_STATUS=OR","EQY_CONSOLIDATED=Y","Sort=A","Dates=H","DateFormat=P","Fill=—","Direction=H","UseDPDF=Y")</f>
        <v>#NAME?</v>
      </c>
      <c r="AE254" s="1" t="e">
        <f ca="1">_xll.BDH($C$253,"WORK_CAP_GROWTH","FQ1 2014","FQ1 2014","Currency=INR","Period=FQ","BEST_FPERIOD_OVERRIDE=FQ","FILING_STATUS=OR","EQY_CONSOLIDATED=Y","Sort=A","Dates=H","DateFormat=P","Fill=—","Direction=H","UseDPDF=Y")</f>
        <v>#NAME?</v>
      </c>
      <c r="AF254" s="1" t="e">
        <f ca="1">_xll.BDH($C$253,"ACCOUNTS_PAYABLE_GROWTH_1YR","FQ1 2014","FQ1 2014","Currency=INR","Period=FQ","BEST_FPERIOD_OVERRIDE=FQ","FILING_STATUS=OR","EQY_CONSOLIDATED=Y","Sort=A","Dates=H","DateFormat=P","Fill=—","Direction=H","UseDPDF=Y")</f>
        <v>#NAME?</v>
      </c>
      <c r="AG254" s="1" t="e">
        <f ca="1">_xll.BDH($C$253,"SHORT_TERM_DEBT_1_YEAR_GROWTH","FQ1 2014","FQ1 2014","Currency=INR","Period=FQ","BEST_FPERIOD_OVERRIDE=FQ","FILING_STATUS=OR","EQY_CONSOLIDATED=Y","Sort=A","Dates=H","DateFormat=P","Fill=—","Direction=H","UseDPDF=Y")</f>
        <v>#NAME?</v>
      </c>
      <c r="AH254" s="1" t="e">
        <f ca="1">_xll.BDH($C$253,"TOTAL_DEBT_1_YEAR_GROWTH","FQ1 2014","FQ1 2014","Currency=INR","Period=FQ","BEST_FPERIOD_OVERRIDE=FQ","FILING_STATUS=OR","EQY_CONSOLIDATED=Y","Sort=A","Dates=H","DateFormat=P","Fill=—","Direction=H","UseDPDF=Y")</f>
        <v>#NAME?</v>
      </c>
      <c r="AI254" s="1" t="e">
        <f ca="1">_xll.BDH($C$253,"TOTAL_EQUITY_1_YEAR_GROWTH","FQ1 2014","FQ1 2014","Currency=INR","Period=FQ","BEST_FPERIOD_OVERRIDE=FQ","FILING_STATUS=OR","EQY_CONSOLIDATED=Y","Sort=A","Dates=H","DateFormat=P","Fill=—","Direction=H","UseDPDF=Y")</f>
        <v>#NAME?</v>
      </c>
      <c r="AJ254" s="1" t="e">
        <f ca="1">_xll.BDH($C$253,"GROWTH_IN_CAP","FQ1 2014","FQ1 2014","Currency=INR","Period=FQ","BEST_FPERIOD_OVERRIDE=FQ","FILING_STATUS=OR","EQY_CONSOLIDATED=Y","Sort=A","Dates=H","DateFormat=P","Fill=—","Direction=H","UseDPDF=Y")</f>
        <v>#NAME?</v>
      </c>
      <c r="AK254" s="1" t="e">
        <f ca="1">_xll.BDH($C$253,"BVPS_GROWTH","FQ1 2014","FQ1 2014","Currency=INR","Period=FQ","BEST_FPERIOD_OVERRIDE=FQ","FILING_STATUS=OR","EQY_CONSOLIDATED=Y","Sort=A","Dates=H","DateFormat=P","Fill=—","Direction=H","UseDPDF=Y")</f>
        <v>#NAME?</v>
      </c>
      <c r="AL254" s="1" t="e">
        <f ca="1">_xll.BDH($C$253,"CASH_FLOW_GROWTH","FQ1 2014","FQ1 2014","Currency=INR","Period=FQ","BEST_FPERIOD_OVERRIDE=FQ","FILING_STATUS=OR","EQY_CONSOLIDATED=Y","Sort=A","Dates=H","DateFormat=P","Fill=—","Direction=H","UseDPDF=Y")</f>
        <v>#NAME?</v>
      </c>
      <c r="AM254" s="1" t="e">
        <f ca="1">_xll.BDH($C$253,"GEO_GROW_NET_SALES","FQ1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54" s="1" t="e">
        <f ca="1">_xll.BDH($C$253,"GEO_GROW_EBITDA","FQ1 2014","FQ1 2014","Currency=INR","Period=FQ","BEST_FPERIOD_OVERRIDE=FQ","FILING_STATUS=OR","EQY_CONSOLIDATED=Y","FA_ADJUSTED=GAAP","Sort=A","Dates=H","DateFormat=P","Fill=—","Direction=H","UseDPDF=Y")</f>
        <v>#NAME?</v>
      </c>
      <c r="AO254" s="1" t="e">
        <f ca="1">_xll.BDH($C$253,"GEO_GROW_OPER_INC","FQ1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54" s="1" t="e">
        <f ca="1">_xll.BDH($C$253,"NET_INCOME_TO_COMMON_5_YR_GROWTH","FQ1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54" s="1" t="e">
        <f ca="1">_xll.BDH($C$253,"5Y_GEO_GROWTH_DILUTED_EPS","FQ1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54" s="1" t="e">
        <f ca="1">_xll.BDH($C$253,"GEO_GROW_DVD_PER_SH","FQ1 2014","FQ1 2014","Currency=INR","Period=FQ","BEST_FPERIOD_OVERRIDE=FQ","FILING_STATUS=OR","EQY_CONSOLIDATED=Y","Sort=A","Dates=H","DateFormat=P","Fill=—","Direction=H","UseDPDF=Y")</f>
        <v>#NAME?</v>
      </c>
      <c r="AS254" s="1" t="e">
        <f ca="1">_xll.BDH($C$253,"ACCOUNTS_RECEIVABLE_5_YR_GROWTH","FQ1 2014","FQ1 2014","Currency=INR","Period=FQ","BEST_FPERIOD_OVERRIDE=FQ","FILING_STATUS=OR","EQY_CONSOLIDATED=Y","Sort=A","Dates=H","DateFormat=P","Fill=—","Direction=H","UseDPDF=Y")</f>
        <v>#NAME?</v>
      </c>
      <c r="AT254" s="1" t="e">
        <f ca="1">_xll.BDH($C$253,"INVENTORY_5_YEAR_GROWTH","FQ1 2014","FQ1 2014","Currency=INR","Period=FQ","BEST_FPERIOD_OVERRIDE=FQ","FILING_STATUS=OR","EQY_CONSOLIDATED=Y","Sort=A","Dates=H","DateFormat=P","Fill=—","Direction=H","UseDPDF=Y")</f>
        <v>#NAME?</v>
      </c>
      <c r="AU254" s="1" t="e">
        <f ca="1">_xll.BDH($C$253,"NET_FIXED_ASSETS_5_YEAR_GROWTH","FQ1 2014","FQ1 2014","Currency=INR","Period=FQ","BEST_FPERIOD_OVERRIDE=FQ","FILING_STATUS=OR","EQY_CONSOLIDATED=Y","Sort=A","Dates=H","DateFormat=P","Fill=—","Direction=H","UseDPDF=Y")</f>
        <v>#NAME?</v>
      </c>
      <c r="AV254" s="1" t="e">
        <f ca="1">_xll.BDH($C$253,"GEO_GROW_TOT_ASSET","FQ1 2014","FQ1 2014","Currency=INR","Period=FQ","BEST_FPERIOD_OVERRIDE=FQ","FILING_STATUS=OR","EQY_CONSOLIDATED=Y","Sort=A","Dates=H","DateFormat=P","Fill=—","Direction=H","UseDPDF=Y")</f>
        <v>#NAME?</v>
      </c>
      <c r="AW254" s="1" t="e">
        <f ca="1">_xll.BDH($C$253,"MODIFIED_WORKING_CPTL_5YR_GRWTH","FQ1 2014","FQ1 2014","Currency=INR","Period=FQ","BEST_FPERIOD_OVERRIDE=FQ","FILING_STATUS=OR","EQY_CONSOLIDATED=Y","Sort=A","Dates=H","DateFormat=P","Fill=—","Direction=H","UseDPDF=Y")</f>
        <v>#NAME?</v>
      </c>
      <c r="AX254" s="1" t="e">
        <f ca="1">_xll.BDH($C$253,"WORKING_CAPITAL_5_YEAR_GROWTH","FQ1 2014","FQ1 2014","Currency=INR","Period=FQ","BEST_FPERIOD_OVERRIDE=FQ","FILING_STATUS=OR","EQY_CONSOLIDATED=Y","Sort=A","Dates=H","DateFormat=P","Fill=—","Direction=H","UseDPDF=Y")</f>
        <v>#NAME?</v>
      </c>
      <c r="AY254" s="1" t="e">
        <f ca="1">_xll.BDH($C$253,"ACCOUNTS_PAYABLE_5_YEAR_GROWTH","FQ1 2014","FQ1 2014","Currency=INR","Period=FQ","BEST_FPERIOD_OVERRIDE=FQ","FILING_STATUS=OR","EQY_CONSOLIDATED=Y","Sort=A","Dates=H","DateFormat=P","Fill=—","Direction=H","UseDPDF=Y")</f>
        <v>#NAME?</v>
      </c>
      <c r="AZ254" s="1" t="e">
        <f ca="1">_xll.BDH($C$253,"SHORT_TERM_DEBT_5_YEAR_GROWTH","FQ1 2014","FQ1 2014","Currency=INR","Period=FQ","BEST_FPERIOD_OVERRIDE=FQ","FILING_STATUS=OR","EQY_CONSOLIDATED=Y","Sort=A","Dates=H","DateFormat=P","Fill=—","Direction=H","UseDPDF=Y")</f>
        <v>#NAME?</v>
      </c>
      <c r="BA254" s="1" t="e">
        <f ca="1">_xll.BDH($C$253,"TOTAL_DEBT_5_YEAR_GROWTH","FQ1 2014","FQ1 2014","Currency=INR","Period=FQ","BEST_FPERIOD_OVERRIDE=FQ","FILING_STATUS=OR","EQY_CONSOLIDATED=Y","Sort=A","Dates=H","DateFormat=P","Fill=—","Direction=H","UseDPDF=Y")</f>
        <v>#NAME?</v>
      </c>
      <c r="BB254" s="1" t="e">
        <f ca="1">_xll.BDH($C$253,"GEO_GROW_TOT_SHRHLDR_EQY","FQ1 2014","FQ1 2014","Currency=INR","Period=FQ","BEST_FPERIOD_OVERRIDE=FQ","FILING_STATUS=OR","EQY_CONSOLIDATED=Y","Sort=A","Dates=H","DateFormat=P","Fill=—","Direction=H","UseDPDF=Y")</f>
        <v>#NAME?</v>
      </c>
      <c r="BC254" s="1" t="e">
        <f ca="1">_xll.BDH($C$253,"TOTAL_CAPITAL_5_YEAR_GROWTH","FQ1 2014","FQ1 2014","Currency=INR","Period=FQ","BEST_FPERIOD_OVERRIDE=FQ","FILING_STATUS=OR","EQY_CONSOLIDATED=Y","Sort=A","Dates=H","DateFormat=P","Fill=—","Direction=H","UseDPDF=Y")</f>
        <v>#NAME?</v>
      </c>
      <c r="BD254" s="1" t="e">
        <f ca="1">_xll.BDH($C$253,"GEO_GROW_BOOK_VAL","FQ1 2014","FQ1 2014","Currency=INR","Period=FQ","BEST_FPERIOD_OVERRIDE=FQ","FILING_STATUS=OR","EQY_CONSOLIDATED=Y","Sort=A","Dates=H","DateFormat=P","Fill=—","Direction=H","UseDPDF=Y")</f>
        <v>#NAME?</v>
      </c>
      <c r="BE254" s="1" t="e">
        <f ca="1">_xll.BDH($C$253,"GEO_GROW_CASH_OPER_ACT","FQ1 2014","FQ1 2014","Currency=INR","Period=FQ","BEST_FPERIOD_OVERRIDE=FQ","FILING_STATUS=OR","EQY_CONSOLIDATED=Y","Sort=A","Dates=H","DateFormat=P","Fill=—","Direction=H","UseDPDF=Y")</f>
        <v>#NAME?</v>
      </c>
      <c r="BF254" s="1" t="e">
        <f ca="1">_xll.BDH($C$253,"REVENUE_SEQUENTIAL_GROWTH","FQ1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54" s="1" t="e">
        <f ca="1">_xll.BDH($C$253,"EBITDA_SEQUENTIAL_GROWTH","FQ1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54" s="1" t="e">
        <f ca="1">_xll.BDH($C$253,"OPERATING_INCOME_SEQ_GROWTH","FQ1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54" s="1" t="e">
        <f ca="1">_xll.BDH($C$253,"NET_INCOME_TO_COMMON_SEQ_GROWTH","FQ1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54" s="1" t="e">
        <f ca="1">_xll.BDH($C$253,"EPS_DILUTED_SEQUENTIAL_GROWTH","FQ1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54" s="1" t="e">
        <f ca="1">_xll.BDH($C$253,"DPS_SEQUENTIAL_GROWTH","FQ1 2014","FQ1 2014","Currency=INR","Period=FQ","BEST_FPERIOD_OVERRIDE=FQ","FILING_STATUS=OR","EQY_CONSOLIDATED=Y","Sort=A","Dates=H","DateFormat=P","Fill=—","Direction=H","UseDPDF=Y")</f>
        <v>#NAME?</v>
      </c>
      <c r="BL254" s="1" t="e">
        <f ca="1">_xll.BDH($C$253,"ACCOUNTS_RECEIVABLE_SEQ_GROWTH","FQ1 2014","FQ1 2014","Currency=INR","Period=FQ","BEST_FPERIOD_OVERRIDE=FQ","FILING_STATUS=OR","EQY_CONSOLIDATED=Y","Sort=A","Dates=H","DateFormat=P","Fill=—","Direction=H","UseDPDF=Y")</f>
        <v>#NAME?</v>
      </c>
      <c r="BM254" s="1" t="e">
        <f ca="1">_xll.BDH($C$253,"INVENTORY_SEQUENTIAL_GROWTH","FQ1 2014","FQ1 2014","Currency=INR","Period=FQ","BEST_FPERIOD_OVERRIDE=FQ","FILING_STATUS=OR","EQY_CONSOLIDATED=Y","Sort=A","Dates=H","DateFormat=P","Fill=—","Direction=H","UseDPDF=Y")</f>
        <v>#NAME?</v>
      </c>
      <c r="BN254" s="1" t="e">
        <f ca="1">_xll.BDH($C$253,"FIXED_ASSETS_SEQUENTIAL_GROWTH","FQ1 2014","FQ1 2014","Currency=INR","Period=FQ","BEST_FPERIOD_OVERRIDE=FQ","FILING_STATUS=OR","EQY_CONSOLIDATED=Y","Sort=A","Dates=H","DateFormat=P","Fill=—","Direction=H","UseDPDF=Y")</f>
        <v>#NAME?</v>
      </c>
      <c r="BO254" s="1" t="e">
        <f ca="1">_xll.BDH($C$253,"TOTAL_ASSETS_SEQUENTIAL_GROWTH","FQ1 2014","FQ1 2014","Currency=INR","Period=FQ","BEST_FPERIOD_OVERRIDE=FQ","FILING_STATUS=OR","EQY_CONSOLIDATED=Y","Sort=A","Dates=H","DateFormat=P","Fill=—","Direction=H","UseDPDF=Y")</f>
        <v>#NAME?</v>
      </c>
      <c r="BP254" s="1" t="e">
        <f ca="1">_xll.BDH($C$253,"MODIFIED_WORKING_CPTL_SEQ_GRWTH","FQ1 2014","FQ1 2014","Currency=INR","Period=FQ","BEST_FPERIOD_OVERRIDE=FQ","FILING_STATUS=OR","EQY_CONSOLIDATED=Y","Sort=A","Dates=H","DateFormat=P","Fill=—","Direction=H","UseDPDF=Y")</f>
        <v>#NAME?</v>
      </c>
      <c r="BQ254" s="1" t="e">
        <f ca="1">_xll.BDH($C$253,"WORKING_CAPITAL_SEQ_GROWTH","FQ1 2014","FQ1 2014","Currency=INR","Period=FQ","BEST_FPERIOD_OVERRIDE=FQ","FILING_STATUS=OR","EQY_CONSOLIDATED=Y","Sort=A","Dates=H","DateFormat=P","Fill=—","Direction=H","UseDPDF=Y")</f>
        <v>#NAME?</v>
      </c>
      <c r="BR254" s="1" t="e">
        <f ca="1">_xll.BDH($C$253,"ACCOUNTS_PAYABLE_SEQ_GROWTH","FQ1 2014","FQ1 2014","Currency=INR","Period=FQ","BEST_FPERIOD_OVERRIDE=FQ","FILING_STATUS=OR","EQY_CONSOLIDATED=Y","Sort=A","Dates=H","DateFormat=P","Fill=—","Direction=H","UseDPDF=Y")</f>
        <v>#NAME?</v>
      </c>
      <c r="BS254" s="1" t="e">
        <f ca="1">_xll.BDH($C$253,"ST_DEBT_SEQUENTIAL_GROWTH","FQ1 2014","FQ1 2014","Currency=INR","Period=FQ","BEST_FPERIOD_OVERRIDE=FQ","FILING_STATUS=OR","EQY_CONSOLIDATED=Y","Sort=A","Dates=H","DateFormat=P","Fill=—","Direction=H","UseDPDF=Y")</f>
        <v>#NAME?</v>
      </c>
      <c r="BT254" s="1" t="e">
        <f ca="1">_xll.BDH($C$253,"TOTAL_DEBT_SEQUENTIAL_GROWTH","FQ1 2014","FQ1 2014","Currency=INR","Period=FQ","BEST_FPERIOD_OVERRIDE=FQ","FILING_STATUS=OR","EQY_CONSOLIDATED=Y","Sort=A","Dates=H","DateFormat=P","Fill=—","Direction=H","UseDPDF=Y")</f>
        <v>#NAME?</v>
      </c>
      <c r="BU254" s="1" t="e">
        <f ca="1">_xll.BDH($C$253,"TOTAL_EQUITY_SEQUENTIAL_GROWTH","FQ1 2014","FQ1 2014","Currency=INR","Period=FQ","BEST_FPERIOD_OVERRIDE=FQ","FILING_STATUS=OR","EQY_CONSOLIDATED=Y","Sort=A","Dates=H","DateFormat=P","Fill=—","Direction=H","UseDPDF=Y")</f>
        <v>#NAME?</v>
      </c>
      <c r="BV254" s="1" t="e">
        <f ca="1">_xll.BDH($C$253,"TOTAL_CAPITAL_SEQUENTIAL_GROWTH","FQ1 2014","FQ1 2014","Currency=INR","Period=FQ","BEST_FPERIOD_OVERRIDE=FQ","FILING_STATUS=OR","EQY_CONSOLIDATED=Y","Sort=A","Dates=H","DateFormat=P","Fill=—","Direction=H","UseDPDF=Y")</f>
        <v>#NAME?</v>
      </c>
      <c r="BW254" s="1" t="e">
        <f ca="1">_xll.BDH($C$253,"BPS_SEQUENTIAL_GROWTH","FQ1 2014","FQ1 2014","Currency=INR","Period=FQ","BEST_FPERIOD_OVERRIDE=FQ","FILING_STATUS=OR","EQY_CONSOLIDATED=Y","Sort=A","Dates=H","DateFormat=P","Fill=—","Direction=H","UseDPDF=Y")</f>
        <v>#NAME?</v>
      </c>
      <c r="BX254" s="1" t="e">
        <f ca="1">_xll.BDH($C$253,"CFO_SEQUENTIAL_GROWTH","FQ1 2014","FQ1 2014","Currency=INR","Period=FQ","BEST_FPERIOD_OVERRIDE=FQ","FILING_STATUS=OR","EQY_CONSOLIDATED=Y","Sort=A","Dates=H","DateFormat=P","Fill=—","Direction=H","UseDPDF=Y")</f>
        <v>#NAME?</v>
      </c>
      <c r="BY254" s="2" t="e">
        <f ca="1">_xll.BDH($C$253,"SHORT_AND_LONG_TERM_DEBT","FQ1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54" s="2" t="e">
        <f ca="1">_xll.BDH($C$253,"BS_ST_BORROW","FQ1 2014","FQ1 2014","Currency=INR","Period=FQ","BEST_FPERIOD_OVERRIDE=FQ","FILING_STATUS=OR","EQY_CONSOLIDATED=Y","SCALING_FORMAT=MLN","Sort=A","Dates=H","DateFormat=P","Fill=—","Direction=H","UseDPDF=Y")</f>
        <v>#NAME?</v>
      </c>
      <c r="CA254" s="2" t="e">
        <f ca="1">_xll.BDH($C$253,"BS_LT_BORROW","FQ1 2014","FQ1 2014","Currency=INR","Period=FQ","BEST_FPERIOD_OVERRIDE=FQ","FILING_STATUS=OR","EQY_CONSOLIDATED=Y","SCALING_FORMAT=MLN","Sort=A","Dates=H","DateFormat=P","Fill=—","Direction=H","UseDPDF=Y")</f>
        <v>#NAME?</v>
      </c>
      <c r="CB254" s="1" t="e">
        <f ca="1">_xll.BDH($C$253,"TOT_DEBT_TO_EBITDA","FQ1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54" s="1" t="e">
        <f ca="1">_xll.BDH($C$253,"NET_DEBT_TO_EBITDA","FQ1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54" s="1" t="e">
        <f ca="1">_xll.BDH($C$253,"TOTAL_DEBT_TO_EBIT","FQ1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54" s="1" t="e">
        <f ca="1">_xll.BDH($C$253,"NET_DEBT_TO_EBIT","FQ1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254" s="1" t="e">
        <f ca="1">_xll.BDH($C$253,"EBITDA_TO_INTEREST_EXPN","FQ1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54" s="1" t="e">
        <f ca="1">_xll.BDH($C$253,"COM_EQY_TO_TOT_ASSET","FQ1 2014","FQ1 2014","Currency=INR","Period=FQ","BEST_FPERIOD_OVERRIDE=FQ","FILING_STATUS=OR","EQY_CONSOLIDATED=Y","Sort=A","Dates=H","DateFormat=P","Fill=—","Direction=H","UseDPDF=Y")</f>
        <v>#NAME?</v>
      </c>
      <c r="CH254" s="1" t="e">
        <f ca="1">_xll.BDH($C$253,"LT_DEBT_TO_TOT_EQY","FQ1 2014","FQ1 2014","Currency=INR","Period=FQ","BEST_FPERIOD_OVERRIDE=FQ","FILING_STATUS=OR","EQY_CONSOLIDATED=Y","Sort=A","Dates=H","DateFormat=P","Fill=—","Direction=H","UseDPDF=Y")</f>
        <v>#NAME?</v>
      </c>
      <c r="CI254" s="1" t="e">
        <f ca="1">_xll.BDH($C$253,"LT_DEBT_TO_TOT_CAP","FQ1 2014","FQ1 2014","Currency=INR","Period=FQ","BEST_FPERIOD_OVERRIDE=FQ","FILING_STATUS=OR","EQY_CONSOLIDATED=Y","Sort=A","Dates=H","DateFormat=P","Fill=—","Direction=H","UseDPDF=Y")</f>
        <v>#NAME?</v>
      </c>
      <c r="CJ254" s="1" t="e">
        <f ca="1">_xll.BDH($C$253,"LT_DEBT_TO_TOT_ASSET","FQ1 2014","FQ1 2014","Currency=INR","Period=FQ","BEST_FPERIOD_OVERRIDE=FQ","FILING_STATUS=OR","EQY_CONSOLIDATED=Y","Sort=A","Dates=H","DateFormat=P","Fill=—","Direction=H","UseDPDF=Y")</f>
        <v>#NAME?</v>
      </c>
      <c r="CK254" s="1" t="e">
        <f ca="1">_xll.BDH($C$253,"TOT_DEBT_TO_TOT_EQY","FQ1 2014","FQ1 2014","Currency=INR","Period=FQ","BEST_FPERIOD_OVERRIDE=FQ","FILING_STATUS=OR","EQY_CONSOLIDATED=Y","Sort=A","Dates=H","DateFormat=P","Fill=—","Direction=H","UseDPDF=Y")</f>
        <v>#NAME?</v>
      </c>
      <c r="CL254" s="1" t="e">
        <f ca="1">_xll.BDH($C$253,"TOT_DEBT_TO_TOT_CAP","FQ1 2014","FQ1 2014","Currency=INR","Period=FQ","BEST_FPERIOD_OVERRIDE=FQ","FILING_STATUS=OR","EQY_CONSOLIDATED=Y","Sort=A","Dates=H","DateFormat=P","Fill=—","Direction=H","UseDPDF=Y")</f>
        <v>#NAME?</v>
      </c>
      <c r="CM254" s="1" t="e">
        <f ca="1">_xll.BDH($C$253,"TOT_DEBT_TO_TOT_ASSET","FQ1 2014","FQ1 2014","Currency=INR","Period=FQ","BEST_FPERIOD_OVERRIDE=FQ","FILING_STATUS=OR","EQY_CONSOLIDATED=Y","Sort=A","Dates=H","DateFormat=P","Fill=—","Direction=H","UseDPDF=Y")</f>
        <v>#NAME?</v>
      </c>
      <c r="CN254" s="1" t="e">
        <f ca="1">_xll.BDH($C$253,"NET_DEBT_TO_SHRHLDR_EQTY","FQ1 2014","FQ1 2014","Currency=INR","Period=FQ","BEST_FPERIOD_OVERRIDE=FQ","FILING_STATUS=OR","EQY_CONSOLIDATED=Y","Sort=A","Dates=H","DateFormat=P","Fill=—","Direction=H","UseDPDF=Y")</f>
        <v>#NAME?</v>
      </c>
      <c r="CO254" s="1" t="e">
        <f ca="1">_xll.BDH($C$253,"NET_DEBT_%_CAPITAL","FQ1 2014","FQ1 2014","Currency=INR","Period=FQ","BEST_FPERIOD_OVERRIDE=FQ","FILING_STATUS=OR","EQY_CONSOLIDATED=Y","Sort=A","Dates=H","DateFormat=P","Fill=—","Direction=H","UseDPDF=Y")</f>
        <v>#NAME?</v>
      </c>
      <c r="CP254" s="2" t="e">
        <f ca="1">_xll.BDH($C$253,"EBITDA","FQ1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54" s="2" t="e">
        <f ca="1">_xll.BDH($C$253,"EBITDA_AFTER_CAPEX","FQ1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54" s="2" t="e">
        <f ca="1">_xll.BDH($C$253,"IS_OPER_INC","FQ1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54" s="1" t="e">
        <f ca="1">_xll.BDH($C$253,"CASH_RATIO","FQ1 2014","FQ1 2014","Currency=INR","Period=FQ","BEST_FPERIOD_OVERRIDE=FQ","FILING_STATUS=OR","EQY_CONSOLIDATED=Y","Sort=A","Dates=H","DateFormat=P","Fill=—","Direction=H","UseDPDF=Y")</f>
        <v>#NAME?</v>
      </c>
      <c r="CT254" s="1" t="e">
        <f ca="1">_xll.BDH($C$253,"CUR_RATIO","FQ1 2014","FQ1 2014","Currency=INR","Period=FQ","BEST_FPERIOD_OVERRIDE=FQ","FILING_STATUS=OR","EQY_CONSOLIDATED=Y","Sort=A","Dates=H","DateFormat=P","Fill=—","Direction=H","UseDPDF=Y")</f>
        <v>#NAME?</v>
      </c>
      <c r="CU254" s="1" t="e">
        <f ca="1">_xll.BDH($C$253,"QUICK_RATIO","FQ1 2014","FQ1 2014","Currency=INR","Period=FQ","BEST_FPERIOD_OVERRIDE=FQ","FILING_STATUS=OR","EQY_CONSOLIDATED=Y","Sort=A","Dates=H","DateFormat=P","Fill=—","Direction=H","UseDPDF=Y")</f>
        <v>#NAME?</v>
      </c>
      <c r="CV254" s="1" t="e">
        <f ca="1">_xll.BDH($C$253,"ALTMAN_Z_SCORE","FQ1 2014","FQ1 2014","Currency=INR","Period=FQ","BEST_FPERIOD_OVERRIDE=FQ","FILING_STATUS=OR","EQY_CONSOLIDATED=Y","Sort=A","Dates=H","DateFormat=P","Fill=—","Direction=H","UseDPDF=Y")</f>
        <v>#NAME?</v>
      </c>
      <c r="CW254" s="3" t="e">
        <f ca="1">_xll.BDH($C$253,"ACCT_RCV_TURN","FQ1 2014","FQ1 2014","Currency=INR","Period=FQ","BEST_FPERIOD_OVERRIDE=FQ","FILING_STATUS=OR","EQY_CONSOLIDATED=Y","FA_ADJUSTED=GAAP","Sort=A","Dates=H","DateFormat=P","Fill=—","Direction=H","UseDPDF=Y")</f>
        <v>#NAME?</v>
      </c>
      <c r="CX254" s="1" t="e">
        <f ca="1">_xll.BDH($C$253,"ACCT_RCV_DAYS","FQ1 2014","FQ1 2014","Currency=INR","Period=FQ","BEST_FPERIOD_OVERRIDE=FQ","FILING_STATUS=OR","EQY_CONSOLIDATED=Y","FA_ADJUSTED=GAAP","Sort=A","Dates=H","DateFormat=P","Fill=—","Direction=H","UseDPDF=Y")</f>
        <v>#NAME?</v>
      </c>
      <c r="CY254" s="3" t="e">
        <f ca="1">_xll.BDH($C$253,"INVENT_TURN","FQ1 2014","FQ1 2014","Currency=INR","Period=FQ","BEST_FPERIOD_OVERRIDE=FQ","FILING_STATUS=OR","EQY_CONSOLIDATED=Y","FA_ADJUSTED=GAAP","Sort=A","Dates=H","DateFormat=P","Fill=—","Direction=H","UseDPDF=Y")</f>
        <v>#NAME?</v>
      </c>
      <c r="CZ254" s="1" t="e">
        <f ca="1">_xll.BDH($C$253,"INVENT_DAYS","FQ1 2014","FQ1 2014","Currency=INR","Period=FQ","BEST_FPERIOD_OVERRIDE=FQ","FILING_STATUS=OR","EQY_CONSOLIDATED=Y","FA_ADJUSTED=GAAP","Sort=A","Dates=H","DateFormat=P","Fill=—","Direction=H","UseDPDF=Y")</f>
        <v>#NAME?</v>
      </c>
      <c r="DA254" s="3" t="e">
        <f ca="1">_xll.BDH($C$253,"ACCOUNTS_PAYABLE_TURNOVER","FQ1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54" s="1" t="e">
        <f ca="1">_xll.BDH($C$253,"ACCOUNTS_PAYABLE_TURNOVER_DAYS","FQ1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54" s="3" t="e">
        <f ca="1">_xll.BDH($C$253,"CASH_CONVERSION_CYCLE","FQ1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54" s="3" t="e">
        <f ca="1">_xll.BDH($C$253,"INV_TO_CASH_DAYS","FQ1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254" s="4" t="e">
        <f ca="1">_xll.BDH($C$253,"BS_INVENTORIES","FQ1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254" s="2" t="e">
        <f ca="1">_xll.BDH($C$253,"INVTRY_RAW_MATERIALS","FQ1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54" s="2" t="e">
        <f ca="1">_xll.BDH($C$253,"INVTRY_IN_PROGRESS","FQ1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54" s="2" t="e">
        <f ca="1">_xll.BDH($C$253,"INVTRY_FINISHED_GOODS","FQ1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54" s="2" t="e">
        <f ca="1">_xll.BDH($C$253,"BS_OTHER_INV","FQ1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55" spans="1:113" x14ac:dyDescent="0.3">
      <c r="A255" s="6"/>
      <c r="B255" s="6"/>
      <c r="C255" s="6"/>
      <c r="D255" s="6"/>
      <c r="E255" t="s">
        <v>5</v>
      </c>
      <c r="F255" t="e">
        <f ca="1">_xll.BDH($C$253,"RETURN_COM_EQY","FQ2 2014","FQ2 2014","Currency=INR","Period=FQ","BEST_FPERIOD_OVERRIDE=FQ","FILING_STATUS=OR","EQY_CONSOLIDATED=Y","FA_ADJUSTED=GAAP","Sort=A","Dates=H","DateFormat=P","Fill=—","Direction=H","UseDPDF=Y")</f>
        <v>#NAME?</v>
      </c>
      <c r="G255" t="e">
        <f ca="1">_xll.BDH($C$253,"RETURN_ON_ASSET","FQ2 2014","FQ2 2014","Currency=INR","Period=FQ","BEST_FPERIOD_OVERRIDE=FQ","FILING_STATUS=OR","EQY_CONSOLIDATED=Y","FA_ADJUSTED=GAAP","Sort=A","Dates=H","DateFormat=P","Fill=—","Direction=H","UseDPDF=Y")</f>
        <v>#NAME?</v>
      </c>
      <c r="H255" t="e">
        <f ca="1">_xll.BDH($C$253,"RETURN_ON_CAP","FQ2 2014","FQ2 2014","Currency=INR","Period=FQ","BEST_FPERIOD_OVERRIDE=FQ","FILING_STATUS=OR","EQY_CONSOLIDATED=Y","FA_ADJUSTED=GAAP","Sort=A","Dates=H","DateFormat=P","Fill=—","Direction=H","UseDPDF=Y")</f>
        <v>#NAME?</v>
      </c>
      <c r="I255" t="e">
        <f ca="1">_xll.BDH($C$253,"RETURN_ON_INV_CAPITAL","FQ2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55" t="e">
        <f ca="1">_xll.BDH($C$253,"EBITDA_TO_REVENUE","FQ2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255" t="e">
        <f ca="1">_xll.BDH($C$253,"OPER_MARGIN","FQ2 2014","FQ2 2014","Currency=INR","Period=FQ","BEST_FPERIOD_OVERRIDE=FQ","FILING_STATUS=OR","EQY_CONSOLIDATED=Y","FA_ADJUSTED=GAAP","Sort=A","Dates=H","DateFormat=P","Fill=—","Direction=H","UseDPDF=Y")</f>
        <v>#NAME?</v>
      </c>
      <c r="L255" t="e">
        <f ca="1">_xll.BDH($C$253,"INCREMENTAL_OPERATING_MARGIN","FQ2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55" t="e">
        <f ca="1">_xll.BDH($C$253,"PRETAX_INC_TO_NET_SALES","FQ2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55" t="e">
        <f ca="1">_xll.BDH($C$253,"INC_BEF_XO_ITEMS_TO_NET_SALES","FQ2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55" t="e">
        <f ca="1">_xll.BDH($C$253,"PROF_MARGIN","FQ2 2014","FQ2 2014","Currency=INR","Period=FQ","BEST_FPERIOD_OVERRIDE=FQ","FILING_STATUS=OR","EQY_CONSOLIDATED=Y","FA_ADJUSTED=GAAP","Sort=A","Dates=H","DateFormat=P","Fill=—","Direction=H","UseDPDF=Y")</f>
        <v>#NAME?</v>
      </c>
      <c r="P255" t="e">
        <f ca="1">_xll.BDH($C$253,"NET_INCOME_TO_COMMON_MARGIN","FQ2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55" t="e">
        <f ca="1">_xll.BDH($C$253,"EFF_TAX_RATE","FQ2 2014","FQ2 2014","Currency=INR","Period=FQ","BEST_FPERIOD_OVERRIDE=FQ","FILING_STATUS=OR","EQY_CONSOLIDATED=Y","FA_ADJUSTED=GAAP","Sort=A","Dates=H","DateFormat=P","Fill=—","Direction=H","UseDPDF=Y")</f>
        <v>#NAME?</v>
      </c>
      <c r="R255" t="e">
        <f ca="1">_xll.BDH($C$253,"DVD_PAYOUT_RATIO","FQ2 2014","FQ2 2014","Currency=INR","Period=FQ","BEST_FPERIOD_OVERRIDE=FQ","FILING_STATUS=OR","EQY_CONSOLIDATED=Y","FA_ADJUSTED=GAAP","Sort=A","Dates=H","DateFormat=P","Fill=—","Direction=H","UseDPDF=Y")</f>
        <v>#NAME?</v>
      </c>
      <c r="S255" t="e">
        <f ca="1">_xll.BDH($C$253,"SUSTAIN_GROWTH_RT","FQ2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255" s="1" t="e">
        <f ca="1">_xll.BDH($C$253,"SALES_GROWTH","FQ2 2014","FQ2 2014","Currency=INR","Period=FQ","BEST_FPERIOD_OVERRIDE=FQ","FILING_STATUS=OR","EQY_CONSOLIDATED=Y","FA_ADJUSTED=GAAP","Sort=A","Dates=H","DateFormat=P","Fill=—","Direction=H","UseDPDF=Y")</f>
        <v>#NAME?</v>
      </c>
      <c r="U255" s="1" t="e">
        <f ca="1">_xll.BDH($C$253,"EBITDA_GROWTH","FQ2 2014","FQ2 2014","Currency=INR","Period=FQ","BEST_FPERIOD_OVERRIDE=FQ","FILING_STATUS=OR","EQY_CONSOLIDATED=Y","FA_ADJUSTED=GAAP","Sort=A","Dates=H","DateFormat=P","Fill=—","Direction=H","UseDPDF=Y")</f>
        <v>#NAME?</v>
      </c>
      <c r="V255" s="1" t="e">
        <f ca="1">_xll.BDH($C$253,"OPER_INC_GROWTH","FQ2 2014","FQ2 2014","Currency=INR","Period=FQ","BEST_FPERIOD_OVERRIDE=FQ","FILING_STATUS=OR","EQY_CONSOLIDATED=Y","FA_ADJUSTED=GAAP","Sort=A","Dates=H","DateFormat=P","Fill=—","Direction=H","UseDPDF=Y")</f>
        <v>#NAME?</v>
      </c>
      <c r="W255" s="1" t="e">
        <f ca="1">_xll.BDH($C$253,"EARN_FOR_COM_GROWTH","FQ2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55" s="1" t="e">
        <f ca="1">_xll.BDH($C$253,"DILUTED_EPS_AFT_XO_ITEMS_GROWTH","FQ2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55" s="1" t="e">
        <f ca="1">_xll.BDH($C$253,"DIVIDEND_PER_SHARE_1_YEAR_GROWTH","FQ2 2014","FQ2 2014","Currency=INR","Period=FQ","BEST_FPERIOD_OVERRIDE=FQ","FILING_STATUS=OR","EQY_CONSOLIDATED=Y","Sort=A","Dates=H","DateFormat=P","Fill=—","Direction=H","UseDPDF=Y")</f>
        <v>#NAME?</v>
      </c>
      <c r="Z255" s="1" t="e">
        <f ca="1">_xll.BDH($C$253,"ACCOUNTS_RECEIVABLE_GROWTH","FQ2 2014","FQ2 2014","Currency=INR","Period=FQ","BEST_FPERIOD_OVERRIDE=FQ","FILING_STATUS=OR","EQY_CONSOLIDATED=Y","Sort=A","Dates=H","DateFormat=P","Fill=—","Direction=H","UseDPDF=Y")</f>
        <v>#NAME?</v>
      </c>
      <c r="AA255" s="1" t="e">
        <f ca="1">_xll.BDH($C$253,"INVENTORY_GROWTH","FQ2 2014","FQ2 2014","Currency=INR","Period=FQ","BEST_FPERIOD_OVERRIDE=FQ","FILING_STATUS=OR","EQY_CONSOLIDATED=Y","Sort=A","Dates=H","DateFormat=P","Fill=—","Direction=H","UseDPDF=Y")</f>
        <v>#NAME?</v>
      </c>
      <c r="AB255" s="1" t="e">
        <f ca="1">_xll.BDH($C$253,"NET_FIXED_ASSETS_1_YEAR_GROWTH","FQ2 2014","FQ2 2014","Currency=INR","Period=FQ","BEST_FPERIOD_OVERRIDE=FQ","FILING_STATUS=OR","EQY_CONSOLIDATED=Y","Sort=A","Dates=H","DateFormat=P","Fill=—","Direction=H","UseDPDF=Y")</f>
        <v>#NAME?</v>
      </c>
      <c r="AC255" s="1" t="e">
        <f ca="1">_xll.BDH($C$253,"ASSET_GROWTH","FQ2 2014","FQ2 2014","Currency=INR","Period=FQ","BEST_FPERIOD_OVERRIDE=FQ","FILING_STATUS=OR","EQY_CONSOLIDATED=Y","Sort=A","Dates=H","DateFormat=P","Fill=—","Direction=H","UseDPDF=Y")</f>
        <v>#NAME?</v>
      </c>
      <c r="AD255" s="1" t="e">
        <f ca="1">_xll.BDH($C$253,"MODIFIED_WORK_CAP_GROWTH","FQ2 2014","FQ2 2014","Currency=INR","Period=FQ","BEST_FPERIOD_OVERRIDE=FQ","FILING_STATUS=OR","EQY_CONSOLIDATED=Y","Sort=A","Dates=H","DateFormat=P","Fill=—","Direction=H","UseDPDF=Y")</f>
        <v>#NAME?</v>
      </c>
      <c r="AE255" s="1" t="e">
        <f ca="1">_xll.BDH($C$253,"WORK_CAP_GROWTH","FQ2 2014","FQ2 2014","Currency=INR","Period=FQ","BEST_FPERIOD_OVERRIDE=FQ","FILING_STATUS=OR","EQY_CONSOLIDATED=Y","Sort=A","Dates=H","DateFormat=P","Fill=—","Direction=H","UseDPDF=Y")</f>
        <v>#NAME?</v>
      </c>
      <c r="AF255" s="1" t="e">
        <f ca="1">_xll.BDH($C$253,"ACCOUNTS_PAYABLE_GROWTH_1YR","FQ2 2014","FQ2 2014","Currency=INR","Period=FQ","BEST_FPERIOD_OVERRIDE=FQ","FILING_STATUS=OR","EQY_CONSOLIDATED=Y","Sort=A","Dates=H","DateFormat=P","Fill=—","Direction=H","UseDPDF=Y")</f>
        <v>#NAME?</v>
      </c>
      <c r="AG255" s="1" t="e">
        <f ca="1">_xll.BDH($C$253,"SHORT_TERM_DEBT_1_YEAR_GROWTH","FQ2 2014","FQ2 2014","Currency=INR","Period=FQ","BEST_FPERIOD_OVERRIDE=FQ","FILING_STATUS=OR","EQY_CONSOLIDATED=Y","Sort=A","Dates=H","DateFormat=P","Fill=—","Direction=H","UseDPDF=Y")</f>
        <v>#NAME?</v>
      </c>
      <c r="AH255" s="1" t="e">
        <f ca="1">_xll.BDH($C$253,"TOTAL_DEBT_1_YEAR_GROWTH","FQ2 2014","FQ2 2014","Currency=INR","Period=FQ","BEST_FPERIOD_OVERRIDE=FQ","FILING_STATUS=OR","EQY_CONSOLIDATED=Y","Sort=A","Dates=H","DateFormat=P","Fill=—","Direction=H","UseDPDF=Y")</f>
        <v>#NAME?</v>
      </c>
      <c r="AI255" s="1" t="e">
        <f ca="1">_xll.BDH($C$253,"TOTAL_EQUITY_1_YEAR_GROWTH","FQ2 2014","FQ2 2014","Currency=INR","Period=FQ","BEST_FPERIOD_OVERRIDE=FQ","FILING_STATUS=OR","EQY_CONSOLIDATED=Y","Sort=A","Dates=H","DateFormat=P","Fill=—","Direction=H","UseDPDF=Y")</f>
        <v>#NAME?</v>
      </c>
      <c r="AJ255" s="1" t="e">
        <f ca="1">_xll.BDH($C$253,"GROWTH_IN_CAP","FQ2 2014","FQ2 2014","Currency=INR","Period=FQ","BEST_FPERIOD_OVERRIDE=FQ","FILING_STATUS=OR","EQY_CONSOLIDATED=Y","Sort=A","Dates=H","DateFormat=P","Fill=—","Direction=H","UseDPDF=Y")</f>
        <v>#NAME?</v>
      </c>
      <c r="AK255" s="1" t="e">
        <f ca="1">_xll.BDH($C$253,"BVPS_GROWTH","FQ2 2014","FQ2 2014","Currency=INR","Period=FQ","BEST_FPERIOD_OVERRIDE=FQ","FILING_STATUS=OR","EQY_CONSOLIDATED=Y","Sort=A","Dates=H","DateFormat=P","Fill=—","Direction=H","UseDPDF=Y")</f>
        <v>#NAME?</v>
      </c>
      <c r="AL255" s="1" t="e">
        <f ca="1">_xll.BDH($C$253,"CASH_FLOW_GROWTH","FQ2 2014","FQ2 2014","Currency=INR","Period=FQ","BEST_FPERIOD_OVERRIDE=FQ","FILING_STATUS=OR","EQY_CONSOLIDATED=Y","Sort=A","Dates=H","DateFormat=P","Fill=—","Direction=H","UseDPDF=Y")</f>
        <v>#NAME?</v>
      </c>
      <c r="AM255" s="1" t="e">
        <f ca="1">_xll.BDH($C$253,"GEO_GROW_NET_SALES","FQ2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55" s="1" t="e">
        <f ca="1">_xll.BDH($C$253,"GEO_GROW_EBITDA","FQ2 2014","FQ2 2014","Currency=INR","Period=FQ","BEST_FPERIOD_OVERRIDE=FQ","FILING_STATUS=OR","EQY_CONSOLIDATED=Y","FA_ADJUSTED=GAAP","Sort=A","Dates=H","DateFormat=P","Fill=—","Direction=H","UseDPDF=Y")</f>
        <v>#NAME?</v>
      </c>
      <c r="AO255" s="1" t="e">
        <f ca="1">_xll.BDH($C$253,"GEO_GROW_OPER_INC","FQ2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55" s="1" t="e">
        <f ca="1">_xll.BDH($C$253,"NET_INCOME_TO_COMMON_5_YR_GROWTH","FQ2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55" s="1" t="e">
        <f ca="1">_xll.BDH($C$253,"5Y_GEO_GROWTH_DILUTED_EPS","FQ2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55" s="1" t="e">
        <f ca="1">_xll.BDH($C$253,"GEO_GROW_DVD_PER_SH","FQ2 2014","FQ2 2014","Currency=INR","Period=FQ","BEST_FPERIOD_OVERRIDE=FQ","FILING_STATUS=OR","EQY_CONSOLIDATED=Y","Sort=A","Dates=H","DateFormat=P","Fill=—","Direction=H","UseDPDF=Y")</f>
        <v>#NAME?</v>
      </c>
      <c r="AS255" s="1" t="e">
        <f ca="1">_xll.BDH($C$253,"ACCOUNTS_RECEIVABLE_5_YR_GROWTH","FQ2 2014","FQ2 2014","Currency=INR","Period=FQ","BEST_FPERIOD_OVERRIDE=FQ","FILING_STATUS=OR","EQY_CONSOLIDATED=Y","Sort=A","Dates=H","DateFormat=P","Fill=—","Direction=H","UseDPDF=Y")</f>
        <v>#NAME?</v>
      </c>
      <c r="AT255" s="1" t="e">
        <f ca="1">_xll.BDH($C$253,"INVENTORY_5_YEAR_GROWTH","FQ2 2014","FQ2 2014","Currency=INR","Period=FQ","BEST_FPERIOD_OVERRIDE=FQ","FILING_STATUS=OR","EQY_CONSOLIDATED=Y","Sort=A","Dates=H","DateFormat=P","Fill=—","Direction=H","UseDPDF=Y")</f>
        <v>#NAME?</v>
      </c>
      <c r="AU255" s="1" t="e">
        <f ca="1">_xll.BDH($C$253,"NET_FIXED_ASSETS_5_YEAR_GROWTH","FQ2 2014","FQ2 2014","Currency=INR","Period=FQ","BEST_FPERIOD_OVERRIDE=FQ","FILING_STATUS=OR","EQY_CONSOLIDATED=Y","Sort=A","Dates=H","DateFormat=P","Fill=—","Direction=H","UseDPDF=Y")</f>
        <v>#NAME?</v>
      </c>
      <c r="AV255" s="1" t="e">
        <f ca="1">_xll.BDH($C$253,"GEO_GROW_TOT_ASSET","FQ2 2014","FQ2 2014","Currency=INR","Period=FQ","BEST_FPERIOD_OVERRIDE=FQ","FILING_STATUS=OR","EQY_CONSOLIDATED=Y","Sort=A","Dates=H","DateFormat=P","Fill=—","Direction=H","UseDPDF=Y")</f>
        <v>#NAME?</v>
      </c>
      <c r="AW255" s="1" t="e">
        <f ca="1">_xll.BDH($C$253,"MODIFIED_WORKING_CPTL_5YR_GRWTH","FQ2 2014","FQ2 2014","Currency=INR","Period=FQ","BEST_FPERIOD_OVERRIDE=FQ","FILING_STATUS=OR","EQY_CONSOLIDATED=Y","Sort=A","Dates=H","DateFormat=P","Fill=—","Direction=H","UseDPDF=Y")</f>
        <v>#NAME?</v>
      </c>
      <c r="AX255" s="1" t="e">
        <f ca="1">_xll.BDH($C$253,"WORKING_CAPITAL_5_YEAR_GROWTH","FQ2 2014","FQ2 2014","Currency=INR","Period=FQ","BEST_FPERIOD_OVERRIDE=FQ","FILING_STATUS=OR","EQY_CONSOLIDATED=Y","Sort=A","Dates=H","DateFormat=P","Fill=—","Direction=H","UseDPDF=Y")</f>
        <v>#NAME?</v>
      </c>
      <c r="AY255" s="1" t="e">
        <f ca="1">_xll.BDH($C$253,"ACCOUNTS_PAYABLE_5_YEAR_GROWTH","FQ2 2014","FQ2 2014","Currency=INR","Period=FQ","BEST_FPERIOD_OVERRIDE=FQ","FILING_STATUS=OR","EQY_CONSOLIDATED=Y","Sort=A","Dates=H","DateFormat=P","Fill=—","Direction=H","UseDPDF=Y")</f>
        <v>#NAME?</v>
      </c>
      <c r="AZ255" s="1" t="e">
        <f ca="1">_xll.BDH($C$253,"SHORT_TERM_DEBT_5_YEAR_GROWTH","FQ2 2014","FQ2 2014","Currency=INR","Period=FQ","BEST_FPERIOD_OVERRIDE=FQ","FILING_STATUS=OR","EQY_CONSOLIDATED=Y","Sort=A","Dates=H","DateFormat=P","Fill=—","Direction=H","UseDPDF=Y")</f>
        <v>#NAME?</v>
      </c>
      <c r="BA255" s="1" t="e">
        <f ca="1">_xll.BDH($C$253,"TOTAL_DEBT_5_YEAR_GROWTH","FQ2 2014","FQ2 2014","Currency=INR","Period=FQ","BEST_FPERIOD_OVERRIDE=FQ","FILING_STATUS=OR","EQY_CONSOLIDATED=Y","Sort=A","Dates=H","DateFormat=P","Fill=—","Direction=H","UseDPDF=Y")</f>
        <v>#NAME?</v>
      </c>
      <c r="BB255" s="1" t="e">
        <f ca="1">_xll.BDH($C$253,"GEO_GROW_TOT_SHRHLDR_EQY","FQ2 2014","FQ2 2014","Currency=INR","Period=FQ","BEST_FPERIOD_OVERRIDE=FQ","FILING_STATUS=OR","EQY_CONSOLIDATED=Y","Sort=A","Dates=H","DateFormat=P","Fill=—","Direction=H","UseDPDF=Y")</f>
        <v>#NAME?</v>
      </c>
      <c r="BC255" s="1" t="e">
        <f ca="1">_xll.BDH($C$253,"TOTAL_CAPITAL_5_YEAR_GROWTH","FQ2 2014","FQ2 2014","Currency=INR","Period=FQ","BEST_FPERIOD_OVERRIDE=FQ","FILING_STATUS=OR","EQY_CONSOLIDATED=Y","Sort=A","Dates=H","DateFormat=P","Fill=—","Direction=H","UseDPDF=Y")</f>
        <v>#NAME?</v>
      </c>
      <c r="BD255" s="1" t="e">
        <f ca="1">_xll.BDH($C$253,"GEO_GROW_BOOK_VAL","FQ2 2014","FQ2 2014","Currency=INR","Period=FQ","BEST_FPERIOD_OVERRIDE=FQ","FILING_STATUS=OR","EQY_CONSOLIDATED=Y","Sort=A","Dates=H","DateFormat=P","Fill=—","Direction=H","UseDPDF=Y")</f>
        <v>#NAME?</v>
      </c>
      <c r="BE255" s="1" t="e">
        <f ca="1">_xll.BDH($C$253,"GEO_GROW_CASH_OPER_ACT","FQ2 2014","FQ2 2014","Currency=INR","Period=FQ","BEST_FPERIOD_OVERRIDE=FQ","FILING_STATUS=OR","EQY_CONSOLIDATED=Y","Sort=A","Dates=H","DateFormat=P","Fill=—","Direction=H","UseDPDF=Y")</f>
        <v>#NAME?</v>
      </c>
      <c r="BF255" s="1" t="e">
        <f ca="1">_xll.BDH($C$253,"REVENUE_SEQUENTIAL_GROWTH","FQ2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55" s="1" t="e">
        <f ca="1">_xll.BDH($C$253,"EBITDA_SEQUENTIAL_GROWTH","FQ2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55" s="1" t="e">
        <f ca="1">_xll.BDH($C$253,"OPERATING_INCOME_SEQ_GROWTH","FQ2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55" s="1" t="e">
        <f ca="1">_xll.BDH($C$253,"NET_INCOME_TO_COMMON_SEQ_GROWTH","FQ2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55" s="1" t="e">
        <f ca="1">_xll.BDH($C$253,"EPS_DILUTED_SEQUENTIAL_GROWTH","FQ2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55" s="1" t="e">
        <f ca="1">_xll.BDH($C$253,"DPS_SEQUENTIAL_GROWTH","FQ2 2014","FQ2 2014","Currency=INR","Period=FQ","BEST_FPERIOD_OVERRIDE=FQ","FILING_STATUS=OR","EQY_CONSOLIDATED=Y","Sort=A","Dates=H","DateFormat=P","Fill=—","Direction=H","UseDPDF=Y")</f>
        <v>#NAME?</v>
      </c>
      <c r="BL255" s="1" t="e">
        <f ca="1">_xll.BDH($C$253,"ACCOUNTS_RECEIVABLE_SEQ_GROWTH","FQ2 2014","FQ2 2014","Currency=INR","Period=FQ","BEST_FPERIOD_OVERRIDE=FQ","FILING_STATUS=OR","EQY_CONSOLIDATED=Y","Sort=A","Dates=H","DateFormat=P","Fill=—","Direction=H","UseDPDF=Y")</f>
        <v>#NAME?</v>
      </c>
      <c r="BM255" s="1" t="e">
        <f ca="1">_xll.BDH($C$253,"INVENTORY_SEQUENTIAL_GROWTH","FQ2 2014","FQ2 2014","Currency=INR","Period=FQ","BEST_FPERIOD_OVERRIDE=FQ","FILING_STATUS=OR","EQY_CONSOLIDATED=Y","Sort=A","Dates=H","DateFormat=P","Fill=—","Direction=H","UseDPDF=Y")</f>
        <v>#NAME?</v>
      </c>
      <c r="BN255" s="1" t="e">
        <f ca="1">_xll.BDH($C$253,"FIXED_ASSETS_SEQUENTIAL_GROWTH","FQ2 2014","FQ2 2014","Currency=INR","Period=FQ","BEST_FPERIOD_OVERRIDE=FQ","FILING_STATUS=OR","EQY_CONSOLIDATED=Y","Sort=A","Dates=H","DateFormat=P","Fill=—","Direction=H","UseDPDF=Y")</f>
        <v>#NAME?</v>
      </c>
      <c r="BO255" s="1" t="e">
        <f ca="1">_xll.BDH($C$253,"TOTAL_ASSETS_SEQUENTIAL_GROWTH","FQ2 2014","FQ2 2014","Currency=INR","Period=FQ","BEST_FPERIOD_OVERRIDE=FQ","FILING_STATUS=OR","EQY_CONSOLIDATED=Y","Sort=A","Dates=H","DateFormat=P","Fill=—","Direction=H","UseDPDF=Y")</f>
        <v>#NAME?</v>
      </c>
      <c r="BP255" s="1" t="e">
        <f ca="1">_xll.BDH($C$253,"MODIFIED_WORKING_CPTL_SEQ_GRWTH","FQ2 2014","FQ2 2014","Currency=INR","Period=FQ","BEST_FPERIOD_OVERRIDE=FQ","FILING_STATUS=OR","EQY_CONSOLIDATED=Y","Sort=A","Dates=H","DateFormat=P","Fill=—","Direction=H","UseDPDF=Y")</f>
        <v>#NAME?</v>
      </c>
      <c r="BQ255" s="1" t="e">
        <f ca="1">_xll.BDH($C$253,"WORKING_CAPITAL_SEQ_GROWTH","FQ2 2014","FQ2 2014","Currency=INR","Period=FQ","BEST_FPERIOD_OVERRIDE=FQ","FILING_STATUS=OR","EQY_CONSOLIDATED=Y","Sort=A","Dates=H","DateFormat=P","Fill=—","Direction=H","UseDPDF=Y")</f>
        <v>#NAME?</v>
      </c>
      <c r="BR255" s="1" t="e">
        <f ca="1">_xll.BDH($C$253,"ACCOUNTS_PAYABLE_SEQ_GROWTH","FQ2 2014","FQ2 2014","Currency=INR","Period=FQ","BEST_FPERIOD_OVERRIDE=FQ","FILING_STATUS=OR","EQY_CONSOLIDATED=Y","Sort=A","Dates=H","DateFormat=P","Fill=—","Direction=H","UseDPDF=Y")</f>
        <v>#NAME?</v>
      </c>
      <c r="BS255" s="1" t="e">
        <f ca="1">_xll.BDH($C$253,"ST_DEBT_SEQUENTIAL_GROWTH","FQ2 2014","FQ2 2014","Currency=INR","Period=FQ","BEST_FPERIOD_OVERRIDE=FQ","FILING_STATUS=OR","EQY_CONSOLIDATED=Y","Sort=A","Dates=H","DateFormat=P","Fill=—","Direction=H","UseDPDF=Y")</f>
        <v>#NAME?</v>
      </c>
      <c r="BT255" s="1" t="e">
        <f ca="1">_xll.BDH($C$253,"TOTAL_DEBT_SEQUENTIAL_GROWTH","FQ2 2014","FQ2 2014","Currency=INR","Period=FQ","BEST_FPERIOD_OVERRIDE=FQ","FILING_STATUS=OR","EQY_CONSOLIDATED=Y","Sort=A","Dates=H","DateFormat=P","Fill=—","Direction=H","UseDPDF=Y")</f>
        <v>#NAME?</v>
      </c>
      <c r="BU255" s="1" t="e">
        <f ca="1">_xll.BDH($C$253,"TOTAL_EQUITY_SEQUENTIAL_GROWTH","FQ2 2014","FQ2 2014","Currency=INR","Period=FQ","BEST_FPERIOD_OVERRIDE=FQ","FILING_STATUS=OR","EQY_CONSOLIDATED=Y","Sort=A","Dates=H","DateFormat=P","Fill=—","Direction=H","UseDPDF=Y")</f>
        <v>#NAME?</v>
      </c>
      <c r="BV255" s="1" t="e">
        <f ca="1">_xll.BDH($C$253,"TOTAL_CAPITAL_SEQUENTIAL_GROWTH","FQ2 2014","FQ2 2014","Currency=INR","Period=FQ","BEST_FPERIOD_OVERRIDE=FQ","FILING_STATUS=OR","EQY_CONSOLIDATED=Y","Sort=A","Dates=H","DateFormat=P","Fill=—","Direction=H","UseDPDF=Y")</f>
        <v>#NAME?</v>
      </c>
      <c r="BW255" s="1" t="e">
        <f ca="1">_xll.BDH($C$253,"BPS_SEQUENTIAL_GROWTH","FQ2 2014","FQ2 2014","Currency=INR","Period=FQ","BEST_FPERIOD_OVERRIDE=FQ","FILING_STATUS=OR","EQY_CONSOLIDATED=Y","Sort=A","Dates=H","DateFormat=P","Fill=—","Direction=H","UseDPDF=Y")</f>
        <v>#NAME?</v>
      </c>
      <c r="BX255" s="1" t="e">
        <f ca="1">_xll.BDH($C$253,"CFO_SEQUENTIAL_GROWTH","FQ2 2014","FQ2 2014","Currency=INR","Period=FQ","BEST_FPERIOD_OVERRIDE=FQ","FILING_STATUS=OR","EQY_CONSOLIDATED=Y","Sort=A","Dates=H","DateFormat=P","Fill=—","Direction=H","UseDPDF=Y")</f>
        <v>#NAME?</v>
      </c>
      <c r="BY255" s="2" t="e">
        <f ca="1">_xll.BDH($C$253,"SHORT_AND_LONG_TERM_DEBT","FQ2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55" s="2" t="e">
        <f ca="1">_xll.BDH($C$253,"BS_ST_BORROW","FQ2 2014","FQ2 2014","Currency=INR","Period=FQ","BEST_FPERIOD_OVERRIDE=FQ","FILING_STATUS=OR","EQY_CONSOLIDATED=Y","SCALING_FORMAT=MLN","Sort=A","Dates=H","DateFormat=P","Fill=—","Direction=H","UseDPDF=Y")</f>
        <v>#NAME?</v>
      </c>
      <c r="CA255" s="2" t="e">
        <f ca="1">_xll.BDH($C$253,"BS_LT_BORROW","FQ2 2014","FQ2 2014","Currency=INR","Period=FQ","BEST_FPERIOD_OVERRIDE=FQ","FILING_STATUS=OR","EQY_CONSOLIDATED=Y","SCALING_FORMAT=MLN","Sort=A","Dates=H","DateFormat=P","Fill=—","Direction=H","UseDPDF=Y")</f>
        <v>#NAME?</v>
      </c>
      <c r="CB255" s="1" t="e">
        <f ca="1">_xll.BDH($C$253,"TOT_DEBT_TO_EBITDA","FQ2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55" s="1" t="e">
        <f ca="1">_xll.BDH($C$253,"NET_DEBT_TO_EBITDA","FQ2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55" s="1" t="e">
        <f ca="1">_xll.BDH($C$253,"TOTAL_DEBT_TO_EBIT","FQ2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55" s="1" t="e">
        <f ca="1">_xll.BDH($C$253,"NET_DEBT_TO_EBIT","FQ2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255" s="1" t="e">
        <f ca="1">_xll.BDH($C$253,"EBITDA_TO_INTEREST_EXPN","FQ2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55" s="1" t="e">
        <f ca="1">_xll.BDH($C$253,"COM_EQY_TO_TOT_ASSET","FQ2 2014","FQ2 2014","Currency=INR","Period=FQ","BEST_FPERIOD_OVERRIDE=FQ","FILING_STATUS=OR","EQY_CONSOLIDATED=Y","Sort=A","Dates=H","DateFormat=P","Fill=—","Direction=H","UseDPDF=Y")</f>
        <v>#NAME?</v>
      </c>
      <c r="CH255" s="1" t="e">
        <f ca="1">_xll.BDH($C$253,"LT_DEBT_TO_TOT_EQY","FQ2 2014","FQ2 2014","Currency=INR","Period=FQ","BEST_FPERIOD_OVERRIDE=FQ","FILING_STATUS=OR","EQY_CONSOLIDATED=Y","Sort=A","Dates=H","DateFormat=P","Fill=—","Direction=H","UseDPDF=Y")</f>
        <v>#NAME?</v>
      </c>
      <c r="CI255" s="1" t="e">
        <f ca="1">_xll.BDH($C$253,"LT_DEBT_TO_TOT_CAP","FQ2 2014","FQ2 2014","Currency=INR","Period=FQ","BEST_FPERIOD_OVERRIDE=FQ","FILING_STATUS=OR","EQY_CONSOLIDATED=Y","Sort=A","Dates=H","DateFormat=P","Fill=—","Direction=H","UseDPDF=Y")</f>
        <v>#NAME?</v>
      </c>
      <c r="CJ255" s="1" t="e">
        <f ca="1">_xll.BDH($C$253,"LT_DEBT_TO_TOT_ASSET","FQ2 2014","FQ2 2014","Currency=INR","Period=FQ","BEST_FPERIOD_OVERRIDE=FQ","FILING_STATUS=OR","EQY_CONSOLIDATED=Y","Sort=A","Dates=H","DateFormat=P","Fill=—","Direction=H","UseDPDF=Y")</f>
        <v>#NAME?</v>
      </c>
      <c r="CK255" s="1" t="e">
        <f ca="1">_xll.BDH($C$253,"TOT_DEBT_TO_TOT_EQY","FQ2 2014","FQ2 2014","Currency=INR","Period=FQ","BEST_FPERIOD_OVERRIDE=FQ","FILING_STATUS=OR","EQY_CONSOLIDATED=Y","Sort=A","Dates=H","DateFormat=P","Fill=—","Direction=H","UseDPDF=Y")</f>
        <v>#NAME?</v>
      </c>
      <c r="CL255" s="1" t="e">
        <f ca="1">_xll.BDH($C$253,"TOT_DEBT_TO_TOT_CAP","FQ2 2014","FQ2 2014","Currency=INR","Period=FQ","BEST_FPERIOD_OVERRIDE=FQ","FILING_STATUS=OR","EQY_CONSOLIDATED=Y","Sort=A","Dates=H","DateFormat=P","Fill=—","Direction=H","UseDPDF=Y")</f>
        <v>#NAME?</v>
      </c>
      <c r="CM255" s="1" t="e">
        <f ca="1">_xll.BDH($C$253,"TOT_DEBT_TO_TOT_ASSET","FQ2 2014","FQ2 2014","Currency=INR","Period=FQ","BEST_FPERIOD_OVERRIDE=FQ","FILING_STATUS=OR","EQY_CONSOLIDATED=Y","Sort=A","Dates=H","DateFormat=P","Fill=—","Direction=H","UseDPDF=Y")</f>
        <v>#NAME?</v>
      </c>
      <c r="CN255" s="1" t="e">
        <f ca="1">_xll.BDH($C$253,"NET_DEBT_TO_SHRHLDR_EQTY","FQ2 2014","FQ2 2014","Currency=INR","Period=FQ","BEST_FPERIOD_OVERRIDE=FQ","FILING_STATUS=OR","EQY_CONSOLIDATED=Y","Sort=A","Dates=H","DateFormat=P","Fill=—","Direction=H","UseDPDF=Y")</f>
        <v>#NAME?</v>
      </c>
      <c r="CO255" s="1" t="e">
        <f ca="1">_xll.BDH($C$253,"NET_DEBT_%_CAPITAL","FQ2 2014","FQ2 2014","Currency=INR","Period=FQ","BEST_FPERIOD_OVERRIDE=FQ","FILING_STATUS=OR","EQY_CONSOLIDATED=Y","Sort=A","Dates=H","DateFormat=P","Fill=—","Direction=H","UseDPDF=Y")</f>
        <v>#NAME?</v>
      </c>
      <c r="CP255" s="2" t="e">
        <f ca="1">_xll.BDH($C$253,"EBITDA","FQ2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55" s="2" t="e">
        <f ca="1">_xll.BDH($C$253,"EBITDA_AFTER_CAPEX","FQ2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55" s="2" t="e">
        <f ca="1">_xll.BDH($C$253,"IS_OPER_INC","FQ2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55" s="1" t="e">
        <f ca="1">_xll.BDH($C$253,"CASH_RATIO","FQ2 2014","FQ2 2014","Currency=INR","Period=FQ","BEST_FPERIOD_OVERRIDE=FQ","FILING_STATUS=OR","EQY_CONSOLIDATED=Y","Sort=A","Dates=H","DateFormat=P","Fill=—","Direction=H","UseDPDF=Y")</f>
        <v>#NAME?</v>
      </c>
      <c r="CT255" s="1" t="e">
        <f ca="1">_xll.BDH($C$253,"CUR_RATIO","FQ2 2014","FQ2 2014","Currency=INR","Period=FQ","BEST_FPERIOD_OVERRIDE=FQ","FILING_STATUS=OR","EQY_CONSOLIDATED=Y","Sort=A","Dates=H","DateFormat=P","Fill=—","Direction=H","UseDPDF=Y")</f>
        <v>#NAME?</v>
      </c>
      <c r="CU255" s="1" t="e">
        <f ca="1">_xll.BDH($C$253,"QUICK_RATIO","FQ2 2014","FQ2 2014","Currency=INR","Period=FQ","BEST_FPERIOD_OVERRIDE=FQ","FILING_STATUS=OR","EQY_CONSOLIDATED=Y","Sort=A","Dates=H","DateFormat=P","Fill=—","Direction=H","UseDPDF=Y")</f>
        <v>#NAME?</v>
      </c>
      <c r="CV255" s="1" t="e">
        <f ca="1">_xll.BDH($C$253,"ALTMAN_Z_SCORE","FQ2 2014","FQ2 2014","Currency=INR","Period=FQ","BEST_FPERIOD_OVERRIDE=FQ","FILING_STATUS=OR","EQY_CONSOLIDATED=Y","Sort=A","Dates=H","DateFormat=P","Fill=—","Direction=H","UseDPDF=Y")</f>
        <v>#NAME?</v>
      </c>
      <c r="CW255" s="3" t="e">
        <f ca="1">_xll.BDH($C$253,"ACCT_RCV_TURN","FQ2 2014","FQ2 2014","Currency=INR","Period=FQ","BEST_FPERIOD_OVERRIDE=FQ","FILING_STATUS=OR","EQY_CONSOLIDATED=Y","FA_ADJUSTED=GAAP","Sort=A","Dates=H","DateFormat=P","Fill=—","Direction=H","UseDPDF=Y")</f>
        <v>#NAME?</v>
      </c>
      <c r="CX255" s="1" t="e">
        <f ca="1">_xll.BDH($C$253,"ACCT_RCV_DAYS","FQ2 2014","FQ2 2014","Currency=INR","Period=FQ","BEST_FPERIOD_OVERRIDE=FQ","FILING_STATUS=OR","EQY_CONSOLIDATED=Y","FA_ADJUSTED=GAAP","Sort=A","Dates=H","DateFormat=P","Fill=—","Direction=H","UseDPDF=Y")</f>
        <v>#NAME?</v>
      </c>
      <c r="CY255" s="3" t="e">
        <f ca="1">_xll.BDH($C$253,"INVENT_TURN","FQ2 2014","FQ2 2014","Currency=INR","Period=FQ","BEST_FPERIOD_OVERRIDE=FQ","FILING_STATUS=OR","EQY_CONSOLIDATED=Y","FA_ADJUSTED=GAAP","Sort=A","Dates=H","DateFormat=P","Fill=—","Direction=H","UseDPDF=Y")</f>
        <v>#NAME?</v>
      </c>
      <c r="CZ255" s="1" t="e">
        <f ca="1">_xll.BDH($C$253,"INVENT_DAYS","FQ2 2014","FQ2 2014","Currency=INR","Period=FQ","BEST_FPERIOD_OVERRIDE=FQ","FILING_STATUS=OR","EQY_CONSOLIDATED=Y","FA_ADJUSTED=GAAP","Sort=A","Dates=H","DateFormat=P","Fill=—","Direction=H","UseDPDF=Y")</f>
        <v>#NAME?</v>
      </c>
      <c r="DA255" s="3" t="e">
        <f ca="1">_xll.BDH($C$253,"ACCOUNTS_PAYABLE_TURNOVER","FQ2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55" s="1" t="e">
        <f ca="1">_xll.BDH($C$253,"ACCOUNTS_PAYABLE_TURNOVER_DAYS","FQ2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55" s="3" t="e">
        <f ca="1">_xll.BDH($C$253,"CASH_CONVERSION_CYCLE","FQ2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55" s="3" t="e">
        <f ca="1">_xll.BDH($C$253,"INV_TO_CASH_DAYS","FQ2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255" s="4" t="e">
        <f ca="1">_xll.BDH($C$253,"BS_INVENTORIES","FQ2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255" s="2" t="e">
        <f ca="1">_xll.BDH($C$253,"INVTRY_RAW_MATERIALS","FQ2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55" s="2" t="e">
        <f ca="1">_xll.BDH($C$253,"INVTRY_IN_PROGRESS","FQ2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55" s="2" t="e">
        <f ca="1">_xll.BDH($C$253,"INVTRY_FINISHED_GOODS","FQ2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55" s="2" t="e">
        <f ca="1">_xll.BDH($C$253,"BS_OTHER_INV","FQ2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56" spans="1:113" x14ac:dyDescent="0.3">
      <c r="A256" s="6"/>
      <c r="B256" s="6"/>
      <c r="C256" s="6"/>
      <c r="D256" s="6"/>
      <c r="E256" t="s">
        <v>6</v>
      </c>
      <c r="F256" t="e">
        <f ca="1">_xll.BDH($C$253,"RETURN_COM_EQY","FQ3 2014","FQ3 2014","Currency=INR","Period=FQ","BEST_FPERIOD_OVERRIDE=FQ","FILING_STATUS=OR","EQY_CONSOLIDATED=Y","FA_ADJUSTED=GAAP","Sort=A","Dates=H","DateFormat=P","Fill=—","Direction=H","UseDPDF=Y")</f>
        <v>#NAME?</v>
      </c>
      <c r="G256" t="e">
        <f ca="1">_xll.BDH($C$253,"RETURN_ON_ASSET","FQ3 2014","FQ3 2014","Currency=INR","Period=FQ","BEST_FPERIOD_OVERRIDE=FQ","FILING_STATUS=OR","EQY_CONSOLIDATED=Y","FA_ADJUSTED=GAAP","Sort=A","Dates=H","DateFormat=P","Fill=—","Direction=H","UseDPDF=Y")</f>
        <v>#NAME?</v>
      </c>
      <c r="H256" t="e">
        <f ca="1">_xll.BDH($C$253,"RETURN_ON_CAP","FQ3 2014","FQ3 2014","Currency=INR","Period=FQ","BEST_FPERIOD_OVERRIDE=FQ","FILING_STATUS=OR","EQY_CONSOLIDATED=Y","FA_ADJUSTED=GAAP","Sort=A","Dates=H","DateFormat=P","Fill=—","Direction=H","UseDPDF=Y")</f>
        <v>#NAME?</v>
      </c>
      <c r="I256" t="e">
        <f ca="1">_xll.BDH($C$253,"RETURN_ON_INV_CAPITAL","FQ3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56" t="e">
        <f ca="1">_xll.BDH($C$253,"EBITDA_TO_REVENUE","FQ3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256" t="e">
        <f ca="1">_xll.BDH($C$253,"OPER_MARGIN","FQ3 2014","FQ3 2014","Currency=INR","Period=FQ","BEST_FPERIOD_OVERRIDE=FQ","FILING_STATUS=OR","EQY_CONSOLIDATED=Y","FA_ADJUSTED=GAAP","Sort=A","Dates=H","DateFormat=P","Fill=—","Direction=H","UseDPDF=Y")</f>
        <v>#NAME?</v>
      </c>
      <c r="L256" t="e">
        <f ca="1">_xll.BDH($C$253,"INCREMENTAL_OPERATING_MARGIN","FQ3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56" t="e">
        <f ca="1">_xll.BDH($C$253,"PRETAX_INC_TO_NET_SALES","FQ3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56" t="e">
        <f ca="1">_xll.BDH($C$253,"INC_BEF_XO_ITEMS_TO_NET_SALES","FQ3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56" t="e">
        <f ca="1">_xll.BDH($C$253,"PROF_MARGIN","FQ3 2014","FQ3 2014","Currency=INR","Period=FQ","BEST_FPERIOD_OVERRIDE=FQ","FILING_STATUS=OR","EQY_CONSOLIDATED=Y","FA_ADJUSTED=GAAP","Sort=A","Dates=H","DateFormat=P","Fill=—","Direction=H","UseDPDF=Y")</f>
        <v>#NAME?</v>
      </c>
      <c r="P256" t="e">
        <f ca="1">_xll.BDH($C$253,"NET_INCOME_TO_COMMON_MARGIN","FQ3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56" t="e">
        <f ca="1">_xll.BDH($C$253,"EFF_TAX_RATE","FQ3 2014","FQ3 2014","Currency=INR","Period=FQ","BEST_FPERIOD_OVERRIDE=FQ","FILING_STATUS=OR","EQY_CONSOLIDATED=Y","FA_ADJUSTED=GAAP","Sort=A","Dates=H","DateFormat=P","Fill=—","Direction=H","UseDPDF=Y")</f>
        <v>#NAME?</v>
      </c>
      <c r="R256" t="e">
        <f ca="1">_xll.BDH($C$253,"DVD_PAYOUT_RATIO","FQ3 2014","FQ3 2014","Currency=INR","Period=FQ","BEST_FPERIOD_OVERRIDE=FQ","FILING_STATUS=OR","EQY_CONSOLIDATED=Y","FA_ADJUSTED=GAAP","Sort=A","Dates=H","DateFormat=P","Fill=—","Direction=H","UseDPDF=Y")</f>
        <v>#NAME?</v>
      </c>
      <c r="S256" t="e">
        <f ca="1">_xll.BDH($C$253,"SUSTAIN_GROWTH_RT","FQ3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256" s="1" t="e">
        <f ca="1">_xll.BDH($C$253,"SALES_GROWTH","FQ3 2014","FQ3 2014","Currency=INR","Period=FQ","BEST_FPERIOD_OVERRIDE=FQ","FILING_STATUS=OR","EQY_CONSOLIDATED=Y","FA_ADJUSTED=GAAP","Sort=A","Dates=H","DateFormat=P","Fill=—","Direction=H","UseDPDF=Y")</f>
        <v>#NAME?</v>
      </c>
      <c r="U256" s="1" t="e">
        <f ca="1">_xll.BDH($C$253,"EBITDA_GROWTH","FQ3 2014","FQ3 2014","Currency=INR","Period=FQ","BEST_FPERIOD_OVERRIDE=FQ","FILING_STATUS=OR","EQY_CONSOLIDATED=Y","FA_ADJUSTED=GAAP","Sort=A","Dates=H","DateFormat=P","Fill=—","Direction=H","UseDPDF=Y")</f>
        <v>#NAME?</v>
      </c>
      <c r="V256" s="1" t="e">
        <f ca="1">_xll.BDH($C$253,"OPER_INC_GROWTH","FQ3 2014","FQ3 2014","Currency=INR","Period=FQ","BEST_FPERIOD_OVERRIDE=FQ","FILING_STATUS=OR","EQY_CONSOLIDATED=Y","FA_ADJUSTED=GAAP","Sort=A","Dates=H","DateFormat=P","Fill=—","Direction=H","UseDPDF=Y")</f>
        <v>#NAME?</v>
      </c>
      <c r="W256" s="1" t="e">
        <f ca="1">_xll.BDH($C$253,"EARN_FOR_COM_GROWTH","FQ3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56" s="1" t="e">
        <f ca="1">_xll.BDH($C$253,"DILUTED_EPS_AFT_XO_ITEMS_GROWTH","FQ3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56" s="1" t="e">
        <f ca="1">_xll.BDH($C$253,"DIVIDEND_PER_SHARE_1_YEAR_GROWTH","FQ3 2014","FQ3 2014","Currency=INR","Period=FQ","BEST_FPERIOD_OVERRIDE=FQ","FILING_STATUS=OR","EQY_CONSOLIDATED=Y","Sort=A","Dates=H","DateFormat=P","Fill=—","Direction=H","UseDPDF=Y")</f>
        <v>#NAME?</v>
      </c>
      <c r="Z256" s="1" t="e">
        <f ca="1">_xll.BDH($C$253,"ACCOUNTS_RECEIVABLE_GROWTH","FQ3 2014","FQ3 2014","Currency=INR","Period=FQ","BEST_FPERIOD_OVERRIDE=FQ","FILING_STATUS=OR","EQY_CONSOLIDATED=Y","Sort=A","Dates=H","DateFormat=P","Fill=—","Direction=H","UseDPDF=Y")</f>
        <v>#NAME?</v>
      </c>
      <c r="AA256" s="1" t="e">
        <f ca="1">_xll.BDH($C$253,"INVENTORY_GROWTH","FQ3 2014","FQ3 2014","Currency=INR","Period=FQ","BEST_FPERIOD_OVERRIDE=FQ","FILING_STATUS=OR","EQY_CONSOLIDATED=Y","Sort=A","Dates=H","DateFormat=P","Fill=—","Direction=H","UseDPDF=Y")</f>
        <v>#NAME?</v>
      </c>
      <c r="AB256" s="1" t="e">
        <f ca="1">_xll.BDH($C$253,"NET_FIXED_ASSETS_1_YEAR_GROWTH","FQ3 2014","FQ3 2014","Currency=INR","Period=FQ","BEST_FPERIOD_OVERRIDE=FQ","FILING_STATUS=OR","EQY_CONSOLIDATED=Y","Sort=A","Dates=H","DateFormat=P","Fill=—","Direction=H","UseDPDF=Y")</f>
        <v>#NAME?</v>
      </c>
      <c r="AC256" s="1" t="e">
        <f ca="1">_xll.BDH($C$253,"ASSET_GROWTH","FQ3 2014","FQ3 2014","Currency=INR","Period=FQ","BEST_FPERIOD_OVERRIDE=FQ","FILING_STATUS=OR","EQY_CONSOLIDATED=Y","Sort=A","Dates=H","DateFormat=P","Fill=—","Direction=H","UseDPDF=Y")</f>
        <v>#NAME?</v>
      </c>
      <c r="AD256" s="1" t="e">
        <f ca="1">_xll.BDH($C$253,"MODIFIED_WORK_CAP_GROWTH","FQ3 2014","FQ3 2014","Currency=INR","Period=FQ","BEST_FPERIOD_OVERRIDE=FQ","FILING_STATUS=OR","EQY_CONSOLIDATED=Y","Sort=A","Dates=H","DateFormat=P","Fill=—","Direction=H","UseDPDF=Y")</f>
        <v>#NAME?</v>
      </c>
      <c r="AE256" s="1" t="e">
        <f ca="1">_xll.BDH($C$253,"WORK_CAP_GROWTH","FQ3 2014","FQ3 2014","Currency=INR","Period=FQ","BEST_FPERIOD_OVERRIDE=FQ","FILING_STATUS=OR","EQY_CONSOLIDATED=Y","Sort=A","Dates=H","DateFormat=P","Fill=—","Direction=H","UseDPDF=Y")</f>
        <v>#NAME?</v>
      </c>
      <c r="AF256" s="1" t="e">
        <f ca="1">_xll.BDH($C$253,"ACCOUNTS_PAYABLE_GROWTH_1YR","FQ3 2014","FQ3 2014","Currency=INR","Period=FQ","BEST_FPERIOD_OVERRIDE=FQ","FILING_STATUS=OR","EQY_CONSOLIDATED=Y","Sort=A","Dates=H","DateFormat=P","Fill=—","Direction=H","UseDPDF=Y")</f>
        <v>#NAME?</v>
      </c>
      <c r="AG256" s="1" t="e">
        <f ca="1">_xll.BDH($C$253,"SHORT_TERM_DEBT_1_YEAR_GROWTH","FQ3 2014","FQ3 2014","Currency=INR","Period=FQ","BEST_FPERIOD_OVERRIDE=FQ","FILING_STATUS=OR","EQY_CONSOLIDATED=Y","Sort=A","Dates=H","DateFormat=P","Fill=—","Direction=H","UseDPDF=Y")</f>
        <v>#NAME?</v>
      </c>
      <c r="AH256" s="1" t="e">
        <f ca="1">_xll.BDH($C$253,"TOTAL_DEBT_1_YEAR_GROWTH","FQ3 2014","FQ3 2014","Currency=INR","Period=FQ","BEST_FPERIOD_OVERRIDE=FQ","FILING_STATUS=OR","EQY_CONSOLIDATED=Y","Sort=A","Dates=H","DateFormat=P","Fill=—","Direction=H","UseDPDF=Y")</f>
        <v>#NAME?</v>
      </c>
      <c r="AI256" s="1" t="e">
        <f ca="1">_xll.BDH($C$253,"TOTAL_EQUITY_1_YEAR_GROWTH","FQ3 2014","FQ3 2014","Currency=INR","Period=FQ","BEST_FPERIOD_OVERRIDE=FQ","FILING_STATUS=OR","EQY_CONSOLIDATED=Y","Sort=A","Dates=H","DateFormat=P","Fill=—","Direction=H","UseDPDF=Y")</f>
        <v>#NAME?</v>
      </c>
      <c r="AJ256" s="1" t="e">
        <f ca="1">_xll.BDH($C$253,"GROWTH_IN_CAP","FQ3 2014","FQ3 2014","Currency=INR","Period=FQ","BEST_FPERIOD_OVERRIDE=FQ","FILING_STATUS=OR","EQY_CONSOLIDATED=Y","Sort=A","Dates=H","DateFormat=P","Fill=—","Direction=H","UseDPDF=Y")</f>
        <v>#NAME?</v>
      </c>
      <c r="AK256" s="1" t="e">
        <f ca="1">_xll.BDH($C$253,"BVPS_GROWTH","FQ3 2014","FQ3 2014","Currency=INR","Period=FQ","BEST_FPERIOD_OVERRIDE=FQ","FILING_STATUS=OR","EQY_CONSOLIDATED=Y","Sort=A","Dates=H","DateFormat=P","Fill=—","Direction=H","UseDPDF=Y")</f>
        <v>#NAME?</v>
      </c>
      <c r="AL256" s="1" t="e">
        <f ca="1">_xll.BDH($C$253,"CASH_FLOW_GROWTH","FQ3 2014","FQ3 2014","Currency=INR","Period=FQ","BEST_FPERIOD_OVERRIDE=FQ","FILING_STATUS=OR","EQY_CONSOLIDATED=Y","Sort=A","Dates=H","DateFormat=P","Fill=—","Direction=H","UseDPDF=Y")</f>
        <v>#NAME?</v>
      </c>
      <c r="AM256" s="1" t="e">
        <f ca="1">_xll.BDH($C$253,"GEO_GROW_NET_SALES","FQ3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56" s="1" t="e">
        <f ca="1">_xll.BDH($C$253,"GEO_GROW_EBITDA","FQ3 2014","FQ3 2014","Currency=INR","Period=FQ","BEST_FPERIOD_OVERRIDE=FQ","FILING_STATUS=OR","EQY_CONSOLIDATED=Y","FA_ADJUSTED=GAAP","Sort=A","Dates=H","DateFormat=P","Fill=—","Direction=H","UseDPDF=Y")</f>
        <v>#NAME?</v>
      </c>
      <c r="AO256" s="1" t="e">
        <f ca="1">_xll.BDH($C$253,"GEO_GROW_OPER_INC","FQ3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56" s="1" t="e">
        <f ca="1">_xll.BDH($C$253,"NET_INCOME_TO_COMMON_5_YR_GROWTH","FQ3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56" s="1" t="e">
        <f ca="1">_xll.BDH($C$253,"5Y_GEO_GROWTH_DILUTED_EPS","FQ3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56" s="1" t="e">
        <f ca="1">_xll.BDH($C$253,"GEO_GROW_DVD_PER_SH","FQ3 2014","FQ3 2014","Currency=INR","Period=FQ","BEST_FPERIOD_OVERRIDE=FQ","FILING_STATUS=OR","EQY_CONSOLIDATED=Y","Sort=A","Dates=H","DateFormat=P","Fill=—","Direction=H","UseDPDF=Y")</f>
        <v>#NAME?</v>
      </c>
      <c r="AS256" s="1" t="e">
        <f ca="1">_xll.BDH($C$253,"ACCOUNTS_RECEIVABLE_5_YR_GROWTH","FQ3 2014","FQ3 2014","Currency=INR","Period=FQ","BEST_FPERIOD_OVERRIDE=FQ","FILING_STATUS=OR","EQY_CONSOLIDATED=Y","Sort=A","Dates=H","DateFormat=P","Fill=—","Direction=H","UseDPDF=Y")</f>
        <v>#NAME?</v>
      </c>
      <c r="AT256" s="1" t="e">
        <f ca="1">_xll.BDH($C$253,"INVENTORY_5_YEAR_GROWTH","FQ3 2014","FQ3 2014","Currency=INR","Period=FQ","BEST_FPERIOD_OVERRIDE=FQ","FILING_STATUS=OR","EQY_CONSOLIDATED=Y","Sort=A","Dates=H","DateFormat=P","Fill=—","Direction=H","UseDPDF=Y")</f>
        <v>#NAME?</v>
      </c>
      <c r="AU256" s="1" t="e">
        <f ca="1">_xll.BDH($C$253,"NET_FIXED_ASSETS_5_YEAR_GROWTH","FQ3 2014","FQ3 2014","Currency=INR","Period=FQ","BEST_FPERIOD_OVERRIDE=FQ","FILING_STATUS=OR","EQY_CONSOLIDATED=Y","Sort=A","Dates=H","DateFormat=P","Fill=—","Direction=H","UseDPDF=Y")</f>
        <v>#NAME?</v>
      </c>
      <c r="AV256" s="1" t="e">
        <f ca="1">_xll.BDH($C$253,"GEO_GROW_TOT_ASSET","FQ3 2014","FQ3 2014","Currency=INR","Period=FQ","BEST_FPERIOD_OVERRIDE=FQ","FILING_STATUS=OR","EQY_CONSOLIDATED=Y","Sort=A","Dates=H","DateFormat=P","Fill=—","Direction=H","UseDPDF=Y")</f>
        <v>#NAME?</v>
      </c>
      <c r="AW256" s="1" t="e">
        <f ca="1">_xll.BDH($C$253,"MODIFIED_WORKING_CPTL_5YR_GRWTH","FQ3 2014","FQ3 2014","Currency=INR","Period=FQ","BEST_FPERIOD_OVERRIDE=FQ","FILING_STATUS=OR","EQY_CONSOLIDATED=Y","Sort=A","Dates=H","DateFormat=P","Fill=—","Direction=H","UseDPDF=Y")</f>
        <v>#NAME?</v>
      </c>
      <c r="AX256" s="1" t="e">
        <f ca="1">_xll.BDH($C$253,"WORKING_CAPITAL_5_YEAR_GROWTH","FQ3 2014","FQ3 2014","Currency=INR","Period=FQ","BEST_FPERIOD_OVERRIDE=FQ","FILING_STATUS=OR","EQY_CONSOLIDATED=Y","Sort=A","Dates=H","DateFormat=P","Fill=—","Direction=H","UseDPDF=Y")</f>
        <v>#NAME?</v>
      </c>
      <c r="AY256" s="1" t="e">
        <f ca="1">_xll.BDH($C$253,"ACCOUNTS_PAYABLE_5_YEAR_GROWTH","FQ3 2014","FQ3 2014","Currency=INR","Period=FQ","BEST_FPERIOD_OVERRIDE=FQ","FILING_STATUS=OR","EQY_CONSOLIDATED=Y","Sort=A","Dates=H","DateFormat=P","Fill=—","Direction=H","UseDPDF=Y")</f>
        <v>#NAME?</v>
      </c>
      <c r="AZ256" s="1" t="e">
        <f ca="1">_xll.BDH($C$253,"SHORT_TERM_DEBT_5_YEAR_GROWTH","FQ3 2014","FQ3 2014","Currency=INR","Period=FQ","BEST_FPERIOD_OVERRIDE=FQ","FILING_STATUS=OR","EQY_CONSOLIDATED=Y","Sort=A","Dates=H","DateFormat=P","Fill=—","Direction=H","UseDPDF=Y")</f>
        <v>#NAME?</v>
      </c>
      <c r="BA256" s="1" t="e">
        <f ca="1">_xll.BDH($C$253,"TOTAL_DEBT_5_YEAR_GROWTH","FQ3 2014","FQ3 2014","Currency=INR","Period=FQ","BEST_FPERIOD_OVERRIDE=FQ","FILING_STATUS=OR","EQY_CONSOLIDATED=Y","Sort=A","Dates=H","DateFormat=P","Fill=—","Direction=H","UseDPDF=Y")</f>
        <v>#NAME?</v>
      </c>
      <c r="BB256" s="1" t="e">
        <f ca="1">_xll.BDH($C$253,"GEO_GROW_TOT_SHRHLDR_EQY","FQ3 2014","FQ3 2014","Currency=INR","Period=FQ","BEST_FPERIOD_OVERRIDE=FQ","FILING_STATUS=OR","EQY_CONSOLIDATED=Y","Sort=A","Dates=H","DateFormat=P","Fill=—","Direction=H","UseDPDF=Y")</f>
        <v>#NAME?</v>
      </c>
      <c r="BC256" s="1" t="e">
        <f ca="1">_xll.BDH($C$253,"TOTAL_CAPITAL_5_YEAR_GROWTH","FQ3 2014","FQ3 2014","Currency=INR","Period=FQ","BEST_FPERIOD_OVERRIDE=FQ","FILING_STATUS=OR","EQY_CONSOLIDATED=Y","Sort=A","Dates=H","DateFormat=P","Fill=—","Direction=H","UseDPDF=Y")</f>
        <v>#NAME?</v>
      </c>
      <c r="BD256" s="1" t="e">
        <f ca="1">_xll.BDH($C$253,"GEO_GROW_BOOK_VAL","FQ3 2014","FQ3 2014","Currency=INR","Period=FQ","BEST_FPERIOD_OVERRIDE=FQ","FILING_STATUS=OR","EQY_CONSOLIDATED=Y","Sort=A","Dates=H","DateFormat=P","Fill=—","Direction=H","UseDPDF=Y")</f>
        <v>#NAME?</v>
      </c>
      <c r="BE256" s="1" t="e">
        <f ca="1">_xll.BDH($C$253,"GEO_GROW_CASH_OPER_ACT","FQ3 2014","FQ3 2014","Currency=INR","Period=FQ","BEST_FPERIOD_OVERRIDE=FQ","FILING_STATUS=OR","EQY_CONSOLIDATED=Y","Sort=A","Dates=H","DateFormat=P","Fill=—","Direction=H","UseDPDF=Y")</f>
        <v>#NAME?</v>
      </c>
      <c r="BF256" s="1" t="e">
        <f ca="1">_xll.BDH($C$253,"REVENUE_SEQUENTIAL_GROWTH","FQ3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56" s="1" t="e">
        <f ca="1">_xll.BDH($C$253,"EBITDA_SEQUENTIAL_GROWTH","FQ3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56" s="1" t="e">
        <f ca="1">_xll.BDH($C$253,"OPERATING_INCOME_SEQ_GROWTH","FQ3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56" s="1" t="e">
        <f ca="1">_xll.BDH($C$253,"NET_INCOME_TO_COMMON_SEQ_GROWTH","FQ3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56" s="1" t="e">
        <f ca="1">_xll.BDH($C$253,"EPS_DILUTED_SEQUENTIAL_GROWTH","FQ3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56" s="1" t="e">
        <f ca="1">_xll.BDH($C$253,"DPS_SEQUENTIAL_GROWTH","FQ3 2014","FQ3 2014","Currency=INR","Period=FQ","BEST_FPERIOD_OVERRIDE=FQ","FILING_STATUS=OR","EQY_CONSOLIDATED=Y","Sort=A","Dates=H","DateFormat=P","Fill=—","Direction=H","UseDPDF=Y")</f>
        <v>#NAME?</v>
      </c>
      <c r="BL256" s="1" t="e">
        <f ca="1">_xll.BDH($C$253,"ACCOUNTS_RECEIVABLE_SEQ_GROWTH","FQ3 2014","FQ3 2014","Currency=INR","Period=FQ","BEST_FPERIOD_OVERRIDE=FQ","FILING_STATUS=OR","EQY_CONSOLIDATED=Y","Sort=A","Dates=H","DateFormat=P","Fill=—","Direction=H","UseDPDF=Y")</f>
        <v>#NAME?</v>
      </c>
      <c r="BM256" s="1" t="e">
        <f ca="1">_xll.BDH($C$253,"INVENTORY_SEQUENTIAL_GROWTH","FQ3 2014","FQ3 2014","Currency=INR","Period=FQ","BEST_FPERIOD_OVERRIDE=FQ","FILING_STATUS=OR","EQY_CONSOLIDATED=Y","Sort=A","Dates=H","DateFormat=P","Fill=—","Direction=H","UseDPDF=Y")</f>
        <v>#NAME?</v>
      </c>
      <c r="BN256" s="1" t="e">
        <f ca="1">_xll.BDH($C$253,"FIXED_ASSETS_SEQUENTIAL_GROWTH","FQ3 2014","FQ3 2014","Currency=INR","Period=FQ","BEST_FPERIOD_OVERRIDE=FQ","FILING_STATUS=OR","EQY_CONSOLIDATED=Y","Sort=A","Dates=H","DateFormat=P","Fill=—","Direction=H","UseDPDF=Y")</f>
        <v>#NAME?</v>
      </c>
      <c r="BO256" s="1" t="e">
        <f ca="1">_xll.BDH($C$253,"TOTAL_ASSETS_SEQUENTIAL_GROWTH","FQ3 2014","FQ3 2014","Currency=INR","Period=FQ","BEST_FPERIOD_OVERRIDE=FQ","FILING_STATUS=OR","EQY_CONSOLIDATED=Y","Sort=A","Dates=H","DateFormat=P","Fill=—","Direction=H","UseDPDF=Y")</f>
        <v>#NAME?</v>
      </c>
      <c r="BP256" s="1" t="e">
        <f ca="1">_xll.BDH($C$253,"MODIFIED_WORKING_CPTL_SEQ_GRWTH","FQ3 2014","FQ3 2014","Currency=INR","Period=FQ","BEST_FPERIOD_OVERRIDE=FQ","FILING_STATUS=OR","EQY_CONSOLIDATED=Y","Sort=A","Dates=H","DateFormat=P","Fill=—","Direction=H","UseDPDF=Y")</f>
        <v>#NAME?</v>
      </c>
      <c r="BQ256" s="1" t="e">
        <f ca="1">_xll.BDH($C$253,"WORKING_CAPITAL_SEQ_GROWTH","FQ3 2014","FQ3 2014","Currency=INR","Period=FQ","BEST_FPERIOD_OVERRIDE=FQ","FILING_STATUS=OR","EQY_CONSOLIDATED=Y","Sort=A","Dates=H","DateFormat=P","Fill=—","Direction=H","UseDPDF=Y")</f>
        <v>#NAME?</v>
      </c>
      <c r="BR256" s="1" t="e">
        <f ca="1">_xll.BDH($C$253,"ACCOUNTS_PAYABLE_SEQ_GROWTH","FQ3 2014","FQ3 2014","Currency=INR","Period=FQ","BEST_FPERIOD_OVERRIDE=FQ","FILING_STATUS=OR","EQY_CONSOLIDATED=Y","Sort=A","Dates=H","DateFormat=P","Fill=—","Direction=H","UseDPDF=Y")</f>
        <v>#NAME?</v>
      </c>
      <c r="BS256" s="1" t="e">
        <f ca="1">_xll.BDH($C$253,"ST_DEBT_SEQUENTIAL_GROWTH","FQ3 2014","FQ3 2014","Currency=INR","Period=FQ","BEST_FPERIOD_OVERRIDE=FQ","FILING_STATUS=OR","EQY_CONSOLIDATED=Y","Sort=A","Dates=H","DateFormat=P","Fill=—","Direction=H","UseDPDF=Y")</f>
        <v>#NAME?</v>
      </c>
      <c r="BT256" s="1" t="e">
        <f ca="1">_xll.BDH($C$253,"TOTAL_DEBT_SEQUENTIAL_GROWTH","FQ3 2014","FQ3 2014","Currency=INR","Period=FQ","BEST_FPERIOD_OVERRIDE=FQ","FILING_STATUS=OR","EQY_CONSOLIDATED=Y","Sort=A","Dates=H","DateFormat=P","Fill=—","Direction=H","UseDPDF=Y")</f>
        <v>#NAME?</v>
      </c>
      <c r="BU256" s="1" t="e">
        <f ca="1">_xll.BDH($C$253,"TOTAL_EQUITY_SEQUENTIAL_GROWTH","FQ3 2014","FQ3 2014","Currency=INR","Period=FQ","BEST_FPERIOD_OVERRIDE=FQ","FILING_STATUS=OR","EQY_CONSOLIDATED=Y","Sort=A","Dates=H","DateFormat=P","Fill=—","Direction=H","UseDPDF=Y")</f>
        <v>#NAME?</v>
      </c>
      <c r="BV256" s="1" t="e">
        <f ca="1">_xll.BDH($C$253,"TOTAL_CAPITAL_SEQUENTIAL_GROWTH","FQ3 2014","FQ3 2014","Currency=INR","Period=FQ","BEST_FPERIOD_OVERRIDE=FQ","FILING_STATUS=OR","EQY_CONSOLIDATED=Y","Sort=A","Dates=H","DateFormat=P","Fill=—","Direction=H","UseDPDF=Y")</f>
        <v>#NAME?</v>
      </c>
      <c r="BW256" s="1" t="e">
        <f ca="1">_xll.BDH($C$253,"BPS_SEQUENTIAL_GROWTH","FQ3 2014","FQ3 2014","Currency=INR","Period=FQ","BEST_FPERIOD_OVERRIDE=FQ","FILING_STATUS=OR","EQY_CONSOLIDATED=Y","Sort=A","Dates=H","DateFormat=P","Fill=—","Direction=H","UseDPDF=Y")</f>
        <v>#NAME?</v>
      </c>
      <c r="BX256" s="1" t="e">
        <f ca="1">_xll.BDH($C$253,"CFO_SEQUENTIAL_GROWTH","FQ3 2014","FQ3 2014","Currency=INR","Period=FQ","BEST_FPERIOD_OVERRIDE=FQ","FILING_STATUS=OR","EQY_CONSOLIDATED=Y","Sort=A","Dates=H","DateFormat=P","Fill=—","Direction=H","UseDPDF=Y")</f>
        <v>#NAME?</v>
      </c>
      <c r="BY256" s="2" t="e">
        <f ca="1">_xll.BDH($C$253,"SHORT_AND_LONG_TERM_DEBT","FQ3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56" s="2" t="e">
        <f ca="1">_xll.BDH($C$253,"BS_ST_BORROW","FQ3 2014","FQ3 2014","Currency=INR","Period=FQ","BEST_FPERIOD_OVERRIDE=FQ","FILING_STATUS=OR","EQY_CONSOLIDATED=Y","SCALING_FORMAT=MLN","Sort=A","Dates=H","DateFormat=P","Fill=—","Direction=H","UseDPDF=Y")</f>
        <v>#NAME?</v>
      </c>
      <c r="CA256" s="2" t="e">
        <f ca="1">_xll.BDH($C$253,"BS_LT_BORROW","FQ3 2014","FQ3 2014","Currency=INR","Period=FQ","BEST_FPERIOD_OVERRIDE=FQ","FILING_STATUS=OR","EQY_CONSOLIDATED=Y","SCALING_FORMAT=MLN","Sort=A","Dates=H","DateFormat=P","Fill=—","Direction=H","UseDPDF=Y")</f>
        <v>#NAME?</v>
      </c>
      <c r="CB256" s="1" t="e">
        <f ca="1">_xll.BDH($C$253,"TOT_DEBT_TO_EBITDA","FQ3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56" s="1" t="e">
        <f ca="1">_xll.BDH($C$253,"NET_DEBT_TO_EBITDA","FQ3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56" s="1" t="e">
        <f ca="1">_xll.BDH($C$253,"TOTAL_DEBT_TO_EBIT","FQ3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56" s="1" t="e">
        <f ca="1">_xll.BDH($C$253,"NET_DEBT_TO_EBIT","FQ3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256" s="1" t="e">
        <f ca="1">_xll.BDH($C$253,"EBITDA_TO_INTEREST_EXPN","FQ3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56" s="1" t="e">
        <f ca="1">_xll.BDH($C$253,"COM_EQY_TO_TOT_ASSET","FQ3 2014","FQ3 2014","Currency=INR","Period=FQ","BEST_FPERIOD_OVERRIDE=FQ","FILING_STATUS=OR","EQY_CONSOLIDATED=Y","Sort=A","Dates=H","DateFormat=P","Fill=—","Direction=H","UseDPDF=Y")</f>
        <v>#NAME?</v>
      </c>
      <c r="CH256" s="1" t="e">
        <f ca="1">_xll.BDH($C$253,"LT_DEBT_TO_TOT_EQY","FQ3 2014","FQ3 2014","Currency=INR","Period=FQ","BEST_FPERIOD_OVERRIDE=FQ","FILING_STATUS=OR","EQY_CONSOLIDATED=Y","Sort=A","Dates=H","DateFormat=P","Fill=—","Direction=H","UseDPDF=Y")</f>
        <v>#NAME?</v>
      </c>
      <c r="CI256" s="1" t="e">
        <f ca="1">_xll.BDH($C$253,"LT_DEBT_TO_TOT_CAP","FQ3 2014","FQ3 2014","Currency=INR","Period=FQ","BEST_FPERIOD_OVERRIDE=FQ","FILING_STATUS=OR","EQY_CONSOLIDATED=Y","Sort=A","Dates=H","DateFormat=P","Fill=—","Direction=H","UseDPDF=Y")</f>
        <v>#NAME?</v>
      </c>
      <c r="CJ256" s="1" t="e">
        <f ca="1">_xll.BDH($C$253,"LT_DEBT_TO_TOT_ASSET","FQ3 2014","FQ3 2014","Currency=INR","Period=FQ","BEST_FPERIOD_OVERRIDE=FQ","FILING_STATUS=OR","EQY_CONSOLIDATED=Y","Sort=A","Dates=H","DateFormat=P","Fill=—","Direction=H","UseDPDF=Y")</f>
        <v>#NAME?</v>
      </c>
      <c r="CK256" s="1" t="e">
        <f ca="1">_xll.BDH($C$253,"TOT_DEBT_TO_TOT_EQY","FQ3 2014","FQ3 2014","Currency=INR","Period=FQ","BEST_FPERIOD_OVERRIDE=FQ","FILING_STATUS=OR","EQY_CONSOLIDATED=Y","Sort=A","Dates=H","DateFormat=P","Fill=—","Direction=H","UseDPDF=Y")</f>
        <v>#NAME?</v>
      </c>
      <c r="CL256" s="1" t="e">
        <f ca="1">_xll.BDH($C$253,"TOT_DEBT_TO_TOT_CAP","FQ3 2014","FQ3 2014","Currency=INR","Period=FQ","BEST_FPERIOD_OVERRIDE=FQ","FILING_STATUS=OR","EQY_CONSOLIDATED=Y","Sort=A","Dates=H","DateFormat=P","Fill=—","Direction=H","UseDPDF=Y")</f>
        <v>#NAME?</v>
      </c>
      <c r="CM256" s="1" t="e">
        <f ca="1">_xll.BDH($C$253,"TOT_DEBT_TO_TOT_ASSET","FQ3 2014","FQ3 2014","Currency=INR","Period=FQ","BEST_FPERIOD_OVERRIDE=FQ","FILING_STATUS=OR","EQY_CONSOLIDATED=Y","Sort=A","Dates=H","DateFormat=P","Fill=—","Direction=H","UseDPDF=Y")</f>
        <v>#NAME?</v>
      </c>
      <c r="CN256" s="1" t="e">
        <f ca="1">_xll.BDH($C$253,"NET_DEBT_TO_SHRHLDR_EQTY","FQ3 2014","FQ3 2014","Currency=INR","Period=FQ","BEST_FPERIOD_OVERRIDE=FQ","FILING_STATUS=OR","EQY_CONSOLIDATED=Y","Sort=A","Dates=H","DateFormat=P","Fill=—","Direction=H","UseDPDF=Y")</f>
        <v>#NAME?</v>
      </c>
      <c r="CO256" s="1" t="e">
        <f ca="1">_xll.BDH($C$253,"NET_DEBT_%_CAPITAL","FQ3 2014","FQ3 2014","Currency=INR","Period=FQ","BEST_FPERIOD_OVERRIDE=FQ","FILING_STATUS=OR","EQY_CONSOLIDATED=Y","Sort=A","Dates=H","DateFormat=P","Fill=—","Direction=H","UseDPDF=Y")</f>
        <v>#NAME?</v>
      </c>
      <c r="CP256" s="2" t="e">
        <f ca="1">_xll.BDH($C$253,"EBITDA","FQ3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56" s="2" t="e">
        <f ca="1">_xll.BDH($C$253,"EBITDA_AFTER_CAPEX","FQ3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56" s="2" t="e">
        <f ca="1">_xll.BDH($C$253,"IS_OPER_INC","FQ3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56" s="1" t="e">
        <f ca="1">_xll.BDH($C$253,"CASH_RATIO","FQ3 2014","FQ3 2014","Currency=INR","Period=FQ","BEST_FPERIOD_OVERRIDE=FQ","FILING_STATUS=OR","EQY_CONSOLIDATED=Y","Sort=A","Dates=H","DateFormat=P","Fill=—","Direction=H","UseDPDF=Y")</f>
        <v>#NAME?</v>
      </c>
      <c r="CT256" s="1" t="e">
        <f ca="1">_xll.BDH($C$253,"CUR_RATIO","FQ3 2014","FQ3 2014","Currency=INR","Period=FQ","BEST_FPERIOD_OVERRIDE=FQ","FILING_STATUS=OR","EQY_CONSOLIDATED=Y","Sort=A","Dates=H","DateFormat=P","Fill=—","Direction=H","UseDPDF=Y")</f>
        <v>#NAME?</v>
      </c>
      <c r="CU256" s="1" t="e">
        <f ca="1">_xll.BDH($C$253,"QUICK_RATIO","FQ3 2014","FQ3 2014","Currency=INR","Period=FQ","BEST_FPERIOD_OVERRIDE=FQ","FILING_STATUS=OR","EQY_CONSOLIDATED=Y","Sort=A","Dates=H","DateFormat=P","Fill=—","Direction=H","UseDPDF=Y")</f>
        <v>#NAME?</v>
      </c>
      <c r="CV256" s="1" t="e">
        <f ca="1">_xll.BDH($C$253,"ALTMAN_Z_SCORE","FQ3 2014","FQ3 2014","Currency=INR","Period=FQ","BEST_FPERIOD_OVERRIDE=FQ","FILING_STATUS=OR","EQY_CONSOLIDATED=Y","Sort=A","Dates=H","DateFormat=P","Fill=—","Direction=H","UseDPDF=Y")</f>
        <v>#NAME?</v>
      </c>
      <c r="CW256" s="3" t="e">
        <f ca="1">_xll.BDH($C$253,"ACCT_RCV_TURN","FQ3 2014","FQ3 2014","Currency=INR","Period=FQ","BEST_FPERIOD_OVERRIDE=FQ","FILING_STATUS=OR","EQY_CONSOLIDATED=Y","FA_ADJUSTED=GAAP","Sort=A","Dates=H","DateFormat=P","Fill=—","Direction=H","UseDPDF=Y")</f>
        <v>#NAME?</v>
      </c>
      <c r="CX256" s="1" t="e">
        <f ca="1">_xll.BDH($C$253,"ACCT_RCV_DAYS","FQ3 2014","FQ3 2014","Currency=INR","Period=FQ","BEST_FPERIOD_OVERRIDE=FQ","FILING_STATUS=OR","EQY_CONSOLIDATED=Y","FA_ADJUSTED=GAAP","Sort=A","Dates=H","DateFormat=P","Fill=—","Direction=H","UseDPDF=Y")</f>
        <v>#NAME?</v>
      </c>
      <c r="CY256" s="3" t="e">
        <f ca="1">_xll.BDH($C$253,"INVENT_TURN","FQ3 2014","FQ3 2014","Currency=INR","Period=FQ","BEST_FPERIOD_OVERRIDE=FQ","FILING_STATUS=OR","EQY_CONSOLIDATED=Y","FA_ADJUSTED=GAAP","Sort=A","Dates=H","DateFormat=P","Fill=—","Direction=H","UseDPDF=Y")</f>
        <v>#NAME?</v>
      </c>
      <c r="CZ256" s="1" t="e">
        <f ca="1">_xll.BDH($C$253,"INVENT_DAYS","FQ3 2014","FQ3 2014","Currency=INR","Period=FQ","BEST_FPERIOD_OVERRIDE=FQ","FILING_STATUS=OR","EQY_CONSOLIDATED=Y","FA_ADJUSTED=GAAP","Sort=A","Dates=H","DateFormat=P","Fill=—","Direction=H","UseDPDF=Y")</f>
        <v>#NAME?</v>
      </c>
      <c r="DA256" s="3" t="e">
        <f ca="1">_xll.BDH($C$253,"ACCOUNTS_PAYABLE_TURNOVER","FQ3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56" s="1" t="e">
        <f ca="1">_xll.BDH($C$253,"ACCOUNTS_PAYABLE_TURNOVER_DAYS","FQ3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56" s="3" t="e">
        <f ca="1">_xll.BDH($C$253,"CASH_CONVERSION_CYCLE","FQ3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56" s="3" t="e">
        <f ca="1">_xll.BDH($C$253,"INV_TO_CASH_DAYS","FQ3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256" s="4" t="e">
        <f ca="1">_xll.BDH($C$253,"BS_INVENTORIES","FQ3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256" s="2" t="e">
        <f ca="1">_xll.BDH($C$253,"INVTRY_RAW_MATERIALS","FQ3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56" s="2" t="e">
        <f ca="1">_xll.BDH($C$253,"INVTRY_IN_PROGRESS","FQ3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56" s="2" t="e">
        <f ca="1">_xll.BDH($C$253,"INVTRY_FINISHED_GOODS","FQ3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56" s="2" t="e">
        <f ca="1">_xll.BDH($C$253,"BS_OTHER_INV","FQ3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57" spans="1:113" x14ac:dyDescent="0.3">
      <c r="A257" s="6"/>
      <c r="B257" s="6"/>
      <c r="C257" s="6"/>
      <c r="D257" s="6"/>
      <c r="E257" t="s">
        <v>7</v>
      </c>
      <c r="F257" t="e">
        <f ca="1">_xll.BDH($C$253,"RETURN_COM_EQY","FQ4 2014","FQ4 2014","Currency=INR","Period=FQ","BEST_FPERIOD_OVERRIDE=FQ","FILING_STATUS=OR","EQY_CONSOLIDATED=Y","FA_ADJUSTED=GAAP","Sort=A","Dates=H","DateFormat=P","Fill=—","Direction=H","UseDPDF=Y")</f>
        <v>#NAME?</v>
      </c>
      <c r="G257" t="e">
        <f ca="1">_xll.BDH($C$253,"RETURN_ON_ASSET","FQ4 2014","FQ4 2014","Currency=INR","Period=FQ","BEST_FPERIOD_OVERRIDE=FQ","FILING_STATUS=OR","EQY_CONSOLIDATED=Y","FA_ADJUSTED=GAAP","Sort=A","Dates=H","DateFormat=P","Fill=—","Direction=H","UseDPDF=Y")</f>
        <v>#NAME?</v>
      </c>
      <c r="H257" t="e">
        <f ca="1">_xll.BDH($C$253,"RETURN_ON_CAP","FQ4 2014","FQ4 2014","Currency=INR","Period=FQ","BEST_FPERIOD_OVERRIDE=FQ","FILING_STATUS=OR","EQY_CONSOLIDATED=Y","FA_ADJUSTED=GAAP","Sort=A","Dates=H","DateFormat=P","Fill=—","Direction=H","UseDPDF=Y")</f>
        <v>#NAME?</v>
      </c>
      <c r="I257" t="e">
        <f ca="1">_xll.BDH($C$253,"RETURN_ON_INV_CAPITAL","FQ4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57" t="e">
        <f ca="1">_xll.BDH($C$253,"EBITDA_TO_REVENUE","FQ4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257" t="e">
        <f ca="1">_xll.BDH($C$253,"OPER_MARGIN","FQ4 2014","FQ4 2014","Currency=INR","Period=FQ","BEST_FPERIOD_OVERRIDE=FQ","FILING_STATUS=OR","EQY_CONSOLIDATED=Y","FA_ADJUSTED=GAAP","Sort=A","Dates=H","DateFormat=P","Fill=—","Direction=H","UseDPDF=Y")</f>
        <v>#NAME?</v>
      </c>
      <c r="L257" t="e">
        <f ca="1">_xll.BDH($C$253,"INCREMENTAL_OPERATING_MARGIN","FQ4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57" t="e">
        <f ca="1">_xll.BDH($C$253,"PRETAX_INC_TO_NET_SALES","FQ4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57" t="e">
        <f ca="1">_xll.BDH($C$253,"INC_BEF_XO_ITEMS_TO_NET_SALES","FQ4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57" t="e">
        <f ca="1">_xll.BDH($C$253,"PROF_MARGIN","FQ4 2014","FQ4 2014","Currency=INR","Period=FQ","BEST_FPERIOD_OVERRIDE=FQ","FILING_STATUS=OR","EQY_CONSOLIDATED=Y","FA_ADJUSTED=GAAP","Sort=A","Dates=H","DateFormat=P","Fill=—","Direction=H","UseDPDF=Y")</f>
        <v>#NAME?</v>
      </c>
      <c r="P257" t="e">
        <f ca="1">_xll.BDH($C$253,"NET_INCOME_TO_COMMON_MARGIN","FQ4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57" t="e">
        <f ca="1">_xll.BDH($C$253,"EFF_TAX_RATE","FQ4 2014","FQ4 2014","Currency=INR","Period=FQ","BEST_FPERIOD_OVERRIDE=FQ","FILING_STATUS=OR","EQY_CONSOLIDATED=Y","FA_ADJUSTED=GAAP","Sort=A","Dates=H","DateFormat=P","Fill=—","Direction=H","UseDPDF=Y")</f>
        <v>#NAME?</v>
      </c>
      <c r="R257" t="e">
        <f ca="1">_xll.BDH($C$253,"DVD_PAYOUT_RATIO","FQ4 2014","FQ4 2014","Currency=INR","Period=FQ","BEST_FPERIOD_OVERRIDE=FQ","FILING_STATUS=OR","EQY_CONSOLIDATED=Y","FA_ADJUSTED=GAAP","Sort=A","Dates=H","DateFormat=P","Fill=—","Direction=H","UseDPDF=Y")</f>
        <v>#NAME?</v>
      </c>
      <c r="S257" t="e">
        <f ca="1">_xll.BDH($C$253,"SUSTAIN_GROWTH_RT","FQ4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257" s="1" t="e">
        <f ca="1">_xll.BDH($C$253,"SALES_GROWTH","FQ4 2014","FQ4 2014","Currency=INR","Period=FQ","BEST_FPERIOD_OVERRIDE=FQ","FILING_STATUS=OR","EQY_CONSOLIDATED=Y","FA_ADJUSTED=GAAP","Sort=A","Dates=H","DateFormat=P","Fill=—","Direction=H","UseDPDF=Y")</f>
        <v>#NAME?</v>
      </c>
      <c r="U257" s="1" t="e">
        <f ca="1">_xll.BDH($C$253,"EBITDA_GROWTH","FQ4 2014","FQ4 2014","Currency=INR","Period=FQ","BEST_FPERIOD_OVERRIDE=FQ","FILING_STATUS=OR","EQY_CONSOLIDATED=Y","FA_ADJUSTED=GAAP","Sort=A","Dates=H","DateFormat=P","Fill=—","Direction=H","UseDPDF=Y")</f>
        <v>#NAME?</v>
      </c>
      <c r="V257" s="1" t="e">
        <f ca="1">_xll.BDH($C$253,"OPER_INC_GROWTH","FQ4 2014","FQ4 2014","Currency=INR","Period=FQ","BEST_FPERIOD_OVERRIDE=FQ","FILING_STATUS=OR","EQY_CONSOLIDATED=Y","FA_ADJUSTED=GAAP","Sort=A","Dates=H","DateFormat=P","Fill=—","Direction=H","UseDPDF=Y")</f>
        <v>#NAME?</v>
      </c>
      <c r="W257" s="1" t="e">
        <f ca="1">_xll.BDH($C$253,"EARN_FOR_COM_GROWTH","FQ4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57" s="1" t="e">
        <f ca="1">_xll.BDH($C$253,"DILUTED_EPS_AFT_XO_ITEMS_GROWTH","FQ4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57" s="1" t="e">
        <f ca="1">_xll.BDH($C$253,"DIVIDEND_PER_SHARE_1_YEAR_GROWTH","FQ4 2014","FQ4 2014","Currency=INR","Period=FQ","BEST_FPERIOD_OVERRIDE=FQ","FILING_STATUS=OR","EQY_CONSOLIDATED=Y","Sort=A","Dates=H","DateFormat=P","Fill=—","Direction=H","UseDPDF=Y")</f>
        <v>#NAME?</v>
      </c>
      <c r="Z257" s="1" t="e">
        <f ca="1">_xll.BDH($C$253,"ACCOUNTS_RECEIVABLE_GROWTH","FQ4 2014","FQ4 2014","Currency=INR","Period=FQ","BEST_FPERIOD_OVERRIDE=FQ","FILING_STATUS=OR","EQY_CONSOLIDATED=Y","Sort=A","Dates=H","DateFormat=P","Fill=—","Direction=H","UseDPDF=Y")</f>
        <v>#NAME?</v>
      </c>
      <c r="AA257" s="1" t="e">
        <f ca="1">_xll.BDH($C$253,"INVENTORY_GROWTH","FQ4 2014","FQ4 2014","Currency=INR","Period=FQ","BEST_FPERIOD_OVERRIDE=FQ","FILING_STATUS=OR","EQY_CONSOLIDATED=Y","Sort=A","Dates=H","DateFormat=P","Fill=—","Direction=H","UseDPDF=Y")</f>
        <v>#NAME?</v>
      </c>
      <c r="AB257" s="1" t="e">
        <f ca="1">_xll.BDH($C$253,"NET_FIXED_ASSETS_1_YEAR_GROWTH","FQ4 2014","FQ4 2014","Currency=INR","Period=FQ","BEST_FPERIOD_OVERRIDE=FQ","FILING_STATUS=OR","EQY_CONSOLIDATED=Y","Sort=A","Dates=H","DateFormat=P","Fill=—","Direction=H","UseDPDF=Y")</f>
        <v>#NAME?</v>
      </c>
      <c r="AC257" s="1" t="e">
        <f ca="1">_xll.BDH($C$253,"ASSET_GROWTH","FQ4 2014","FQ4 2014","Currency=INR","Period=FQ","BEST_FPERIOD_OVERRIDE=FQ","FILING_STATUS=OR","EQY_CONSOLIDATED=Y","Sort=A","Dates=H","DateFormat=P","Fill=—","Direction=H","UseDPDF=Y")</f>
        <v>#NAME?</v>
      </c>
      <c r="AD257" s="1" t="e">
        <f ca="1">_xll.BDH($C$253,"MODIFIED_WORK_CAP_GROWTH","FQ4 2014","FQ4 2014","Currency=INR","Period=FQ","BEST_FPERIOD_OVERRIDE=FQ","FILING_STATUS=OR","EQY_CONSOLIDATED=Y","Sort=A","Dates=H","DateFormat=P","Fill=—","Direction=H","UseDPDF=Y")</f>
        <v>#NAME?</v>
      </c>
      <c r="AE257" s="1" t="e">
        <f ca="1">_xll.BDH($C$253,"WORK_CAP_GROWTH","FQ4 2014","FQ4 2014","Currency=INR","Period=FQ","BEST_FPERIOD_OVERRIDE=FQ","FILING_STATUS=OR","EQY_CONSOLIDATED=Y","Sort=A","Dates=H","DateFormat=P","Fill=—","Direction=H","UseDPDF=Y")</f>
        <v>#NAME?</v>
      </c>
      <c r="AF257" s="1" t="e">
        <f ca="1">_xll.BDH($C$253,"ACCOUNTS_PAYABLE_GROWTH_1YR","FQ4 2014","FQ4 2014","Currency=INR","Period=FQ","BEST_FPERIOD_OVERRIDE=FQ","FILING_STATUS=OR","EQY_CONSOLIDATED=Y","Sort=A","Dates=H","DateFormat=P","Fill=—","Direction=H","UseDPDF=Y")</f>
        <v>#NAME?</v>
      </c>
      <c r="AG257" s="1" t="e">
        <f ca="1">_xll.BDH($C$253,"SHORT_TERM_DEBT_1_YEAR_GROWTH","FQ4 2014","FQ4 2014","Currency=INR","Period=FQ","BEST_FPERIOD_OVERRIDE=FQ","FILING_STATUS=OR","EQY_CONSOLIDATED=Y","Sort=A","Dates=H","DateFormat=P","Fill=—","Direction=H","UseDPDF=Y")</f>
        <v>#NAME?</v>
      </c>
      <c r="AH257" s="1" t="e">
        <f ca="1">_xll.BDH($C$253,"TOTAL_DEBT_1_YEAR_GROWTH","FQ4 2014","FQ4 2014","Currency=INR","Period=FQ","BEST_FPERIOD_OVERRIDE=FQ","FILING_STATUS=OR","EQY_CONSOLIDATED=Y","Sort=A","Dates=H","DateFormat=P","Fill=—","Direction=H","UseDPDF=Y")</f>
        <v>#NAME?</v>
      </c>
      <c r="AI257" s="1" t="e">
        <f ca="1">_xll.BDH($C$253,"TOTAL_EQUITY_1_YEAR_GROWTH","FQ4 2014","FQ4 2014","Currency=INR","Period=FQ","BEST_FPERIOD_OVERRIDE=FQ","FILING_STATUS=OR","EQY_CONSOLIDATED=Y","Sort=A","Dates=H","DateFormat=P","Fill=—","Direction=H","UseDPDF=Y")</f>
        <v>#NAME?</v>
      </c>
      <c r="AJ257" s="1" t="e">
        <f ca="1">_xll.BDH($C$253,"GROWTH_IN_CAP","FQ4 2014","FQ4 2014","Currency=INR","Period=FQ","BEST_FPERIOD_OVERRIDE=FQ","FILING_STATUS=OR","EQY_CONSOLIDATED=Y","Sort=A","Dates=H","DateFormat=P","Fill=—","Direction=H","UseDPDF=Y")</f>
        <v>#NAME?</v>
      </c>
      <c r="AK257" s="1" t="e">
        <f ca="1">_xll.BDH($C$253,"BVPS_GROWTH","FQ4 2014","FQ4 2014","Currency=INR","Period=FQ","BEST_FPERIOD_OVERRIDE=FQ","FILING_STATUS=OR","EQY_CONSOLIDATED=Y","Sort=A","Dates=H","DateFormat=P","Fill=—","Direction=H","UseDPDF=Y")</f>
        <v>#NAME?</v>
      </c>
      <c r="AL257" s="1" t="e">
        <f ca="1">_xll.BDH($C$253,"CASH_FLOW_GROWTH","FQ4 2014","FQ4 2014","Currency=INR","Period=FQ","BEST_FPERIOD_OVERRIDE=FQ","FILING_STATUS=OR","EQY_CONSOLIDATED=Y","Sort=A","Dates=H","DateFormat=P","Fill=—","Direction=H","UseDPDF=Y")</f>
        <v>#NAME?</v>
      </c>
      <c r="AM257" s="1" t="e">
        <f ca="1">_xll.BDH($C$253,"GEO_GROW_NET_SALES","FQ4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57" s="1" t="e">
        <f ca="1">_xll.BDH($C$253,"GEO_GROW_EBITDA","FQ4 2014","FQ4 2014","Currency=INR","Period=FQ","BEST_FPERIOD_OVERRIDE=FQ","FILING_STATUS=OR","EQY_CONSOLIDATED=Y","FA_ADJUSTED=GAAP","Sort=A","Dates=H","DateFormat=P","Fill=—","Direction=H","UseDPDF=Y")</f>
        <v>#NAME?</v>
      </c>
      <c r="AO257" s="1" t="e">
        <f ca="1">_xll.BDH($C$253,"GEO_GROW_OPER_INC","FQ4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57" s="1" t="e">
        <f ca="1">_xll.BDH($C$253,"NET_INCOME_TO_COMMON_5_YR_GROWTH","FQ4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57" s="1" t="e">
        <f ca="1">_xll.BDH($C$253,"5Y_GEO_GROWTH_DILUTED_EPS","FQ4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57" s="1" t="e">
        <f ca="1">_xll.BDH($C$253,"GEO_GROW_DVD_PER_SH","FQ4 2014","FQ4 2014","Currency=INR","Period=FQ","BEST_FPERIOD_OVERRIDE=FQ","FILING_STATUS=OR","EQY_CONSOLIDATED=Y","Sort=A","Dates=H","DateFormat=P","Fill=—","Direction=H","UseDPDF=Y")</f>
        <v>#NAME?</v>
      </c>
      <c r="AS257" s="1" t="e">
        <f ca="1">_xll.BDH($C$253,"ACCOUNTS_RECEIVABLE_5_YR_GROWTH","FQ4 2014","FQ4 2014","Currency=INR","Period=FQ","BEST_FPERIOD_OVERRIDE=FQ","FILING_STATUS=OR","EQY_CONSOLIDATED=Y","Sort=A","Dates=H","DateFormat=P","Fill=—","Direction=H","UseDPDF=Y")</f>
        <v>#NAME?</v>
      </c>
      <c r="AT257" s="1" t="e">
        <f ca="1">_xll.BDH($C$253,"INVENTORY_5_YEAR_GROWTH","FQ4 2014","FQ4 2014","Currency=INR","Period=FQ","BEST_FPERIOD_OVERRIDE=FQ","FILING_STATUS=OR","EQY_CONSOLIDATED=Y","Sort=A","Dates=H","DateFormat=P","Fill=—","Direction=H","UseDPDF=Y")</f>
        <v>#NAME?</v>
      </c>
      <c r="AU257" s="1" t="e">
        <f ca="1">_xll.BDH($C$253,"NET_FIXED_ASSETS_5_YEAR_GROWTH","FQ4 2014","FQ4 2014","Currency=INR","Period=FQ","BEST_FPERIOD_OVERRIDE=FQ","FILING_STATUS=OR","EQY_CONSOLIDATED=Y","Sort=A","Dates=H","DateFormat=P","Fill=—","Direction=H","UseDPDF=Y")</f>
        <v>#NAME?</v>
      </c>
      <c r="AV257" s="1" t="e">
        <f ca="1">_xll.BDH($C$253,"GEO_GROW_TOT_ASSET","FQ4 2014","FQ4 2014","Currency=INR","Period=FQ","BEST_FPERIOD_OVERRIDE=FQ","FILING_STATUS=OR","EQY_CONSOLIDATED=Y","Sort=A","Dates=H","DateFormat=P","Fill=—","Direction=H","UseDPDF=Y")</f>
        <v>#NAME?</v>
      </c>
      <c r="AW257" s="1" t="e">
        <f ca="1">_xll.BDH($C$253,"MODIFIED_WORKING_CPTL_5YR_GRWTH","FQ4 2014","FQ4 2014","Currency=INR","Period=FQ","BEST_FPERIOD_OVERRIDE=FQ","FILING_STATUS=OR","EQY_CONSOLIDATED=Y","Sort=A","Dates=H","DateFormat=P","Fill=—","Direction=H","UseDPDF=Y")</f>
        <v>#NAME?</v>
      </c>
      <c r="AX257" s="1" t="e">
        <f ca="1">_xll.BDH($C$253,"WORKING_CAPITAL_5_YEAR_GROWTH","FQ4 2014","FQ4 2014","Currency=INR","Period=FQ","BEST_FPERIOD_OVERRIDE=FQ","FILING_STATUS=OR","EQY_CONSOLIDATED=Y","Sort=A","Dates=H","DateFormat=P","Fill=—","Direction=H","UseDPDF=Y")</f>
        <v>#NAME?</v>
      </c>
      <c r="AY257" s="1" t="e">
        <f ca="1">_xll.BDH($C$253,"ACCOUNTS_PAYABLE_5_YEAR_GROWTH","FQ4 2014","FQ4 2014","Currency=INR","Period=FQ","BEST_FPERIOD_OVERRIDE=FQ","FILING_STATUS=OR","EQY_CONSOLIDATED=Y","Sort=A","Dates=H","DateFormat=P","Fill=—","Direction=H","UseDPDF=Y")</f>
        <v>#NAME?</v>
      </c>
      <c r="AZ257" s="1" t="e">
        <f ca="1">_xll.BDH($C$253,"SHORT_TERM_DEBT_5_YEAR_GROWTH","FQ4 2014","FQ4 2014","Currency=INR","Period=FQ","BEST_FPERIOD_OVERRIDE=FQ","FILING_STATUS=OR","EQY_CONSOLIDATED=Y","Sort=A","Dates=H","DateFormat=P","Fill=—","Direction=H","UseDPDF=Y")</f>
        <v>#NAME?</v>
      </c>
      <c r="BA257" s="1" t="e">
        <f ca="1">_xll.BDH($C$253,"TOTAL_DEBT_5_YEAR_GROWTH","FQ4 2014","FQ4 2014","Currency=INR","Period=FQ","BEST_FPERIOD_OVERRIDE=FQ","FILING_STATUS=OR","EQY_CONSOLIDATED=Y","Sort=A","Dates=H","DateFormat=P","Fill=—","Direction=H","UseDPDF=Y")</f>
        <v>#NAME?</v>
      </c>
      <c r="BB257" s="1" t="e">
        <f ca="1">_xll.BDH($C$253,"GEO_GROW_TOT_SHRHLDR_EQY","FQ4 2014","FQ4 2014","Currency=INR","Period=FQ","BEST_FPERIOD_OVERRIDE=FQ","FILING_STATUS=OR","EQY_CONSOLIDATED=Y","Sort=A","Dates=H","DateFormat=P","Fill=—","Direction=H","UseDPDF=Y")</f>
        <v>#NAME?</v>
      </c>
      <c r="BC257" s="1" t="e">
        <f ca="1">_xll.BDH($C$253,"TOTAL_CAPITAL_5_YEAR_GROWTH","FQ4 2014","FQ4 2014","Currency=INR","Period=FQ","BEST_FPERIOD_OVERRIDE=FQ","FILING_STATUS=OR","EQY_CONSOLIDATED=Y","Sort=A","Dates=H","DateFormat=P","Fill=—","Direction=H","UseDPDF=Y")</f>
        <v>#NAME?</v>
      </c>
      <c r="BD257" s="1" t="e">
        <f ca="1">_xll.BDH($C$253,"GEO_GROW_BOOK_VAL","FQ4 2014","FQ4 2014","Currency=INR","Period=FQ","BEST_FPERIOD_OVERRIDE=FQ","FILING_STATUS=OR","EQY_CONSOLIDATED=Y","Sort=A","Dates=H","DateFormat=P","Fill=—","Direction=H","UseDPDF=Y")</f>
        <v>#NAME?</v>
      </c>
      <c r="BE257" s="1" t="e">
        <f ca="1">_xll.BDH($C$253,"GEO_GROW_CASH_OPER_ACT","FQ4 2014","FQ4 2014","Currency=INR","Period=FQ","BEST_FPERIOD_OVERRIDE=FQ","FILING_STATUS=OR","EQY_CONSOLIDATED=Y","Sort=A","Dates=H","DateFormat=P","Fill=—","Direction=H","UseDPDF=Y")</f>
        <v>#NAME?</v>
      </c>
      <c r="BF257" s="1" t="e">
        <f ca="1">_xll.BDH($C$253,"REVENUE_SEQUENTIAL_GROWTH","FQ4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57" s="1" t="e">
        <f ca="1">_xll.BDH($C$253,"EBITDA_SEQUENTIAL_GROWTH","FQ4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57" s="1" t="e">
        <f ca="1">_xll.BDH($C$253,"OPERATING_INCOME_SEQ_GROWTH","FQ4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57" s="1" t="e">
        <f ca="1">_xll.BDH($C$253,"NET_INCOME_TO_COMMON_SEQ_GROWTH","FQ4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57" s="1" t="e">
        <f ca="1">_xll.BDH($C$253,"EPS_DILUTED_SEQUENTIAL_GROWTH","FQ4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57" s="1" t="e">
        <f ca="1">_xll.BDH($C$253,"DPS_SEQUENTIAL_GROWTH","FQ4 2014","FQ4 2014","Currency=INR","Period=FQ","BEST_FPERIOD_OVERRIDE=FQ","FILING_STATUS=OR","EQY_CONSOLIDATED=Y","Sort=A","Dates=H","DateFormat=P","Fill=—","Direction=H","UseDPDF=Y")</f>
        <v>#NAME?</v>
      </c>
      <c r="BL257" s="1" t="e">
        <f ca="1">_xll.BDH($C$253,"ACCOUNTS_RECEIVABLE_SEQ_GROWTH","FQ4 2014","FQ4 2014","Currency=INR","Period=FQ","BEST_FPERIOD_OVERRIDE=FQ","FILING_STATUS=OR","EQY_CONSOLIDATED=Y","Sort=A","Dates=H","DateFormat=P","Fill=—","Direction=H","UseDPDF=Y")</f>
        <v>#NAME?</v>
      </c>
      <c r="BM257" s="1" t="e">
        <f ca="1">_xll.BDH($C$253,"INVENTORY_SEQUENTIAL_GROWTH","FQ4 2014","FQ4 2014","Currency=INR","Period=FQ","BEST_FPERIOD_OVERRIDE=FQ","FILING_STATUS=OR","EQY_CONSOLIDATED=Y","Sort=A","Dates=H","DateFormat=P","Fill=—","Direction=H","UseDPDF=Y")</f>
        <v>#NAME?</v>
      </c>
      <c r="BN257" s="1" t="e">
        <f ca="1">_xll.BDH($C$253,"FIXED_ASSETS_SEQUENTIAL_GROWTH","FQ4 2014","FQ4 2014","Currency=INR","Period=FQ","BEST_FPERIOD_OVERRIDE=FQ","FILING_STATUS=OR","EQY_CONSOLIDATED=Y","Sort=A","Dates=H","DateFormat=P","Fill=—","Direction=H","UseDPDF=Y")</f>
        <v>#NAME?</v>
      </c>
      <c r="BO257" s="1" t="e">
        <f ca="1">_xll.BDH($C$253,"TOTAL_ASSETS_SEQUENTIAL_GROWTH","FQ4 2014","FQ4 2014","Currency=INR","Period=FQ","BEST_FPERIOD_OVERRIDE=FQ","FILING_STATUS=OR","EQY_CONSOLIDATED=Y","Sort=A","Dates=H","DateFormat=P","Fill=—","Direction=H","UseDPDF=Y")</f>
        <v>#NAME?</v>
      </c>
      <c r="BP257" s="1" t="e">
        <f ca="1">_xll.BDH($C$253,"MODIFIED_WORKING_CPTL_SEQ_GRWTH","FQ4 2014","FQ4 2014","Currency=INR","Period=FQ","BEST_FPERIOD_OVERRIDE=FQ","FILING_STATUS=OR","EQY_CONSOLIDATED=Y","Sort=A","Dates=H","DateFormat=P","Fill=—","Direction=H","UseDPDF=Y")</f>
        <v>#NAME?</v>
      </c>
      <c r="BQ257" s="1" t="e">
        <f ca="1">_xll.BDH($C$253,"WORKING_CAPITAL_SEQ_GROWTH","FQ4 2014","FQ4 2014","Currency=INR","Period=FQ","BEST_FPERIOD_OVERRIDE=FQ","FILING_STATUS=OR","EQY_CONSOLIDATED=Y","Sort=A","Dates=H","DateFormat=P","Fill=—","Direction=H","UseDPDF=Y")</f>
        <v>#NAME?</v>
      </c>
      <c r="BR257" s="1" t="e">
        <f ca="1">_xll.BDH($C$253,"ACCOUNTS_PAYABLE_SEQ_GROWTH","FQ4 2014","FQ4 2014","Currency=INR","Period=FQ","BEST_FPERIOD_OVERRIDE=FQ","FILING_STATUS=OR","EQY_CONSOLIDATED=Y","Sort=A","Dates=H","DateFormat=P","Fill=—","Direction=H","UseDPDF=Y")</f>
        <v>#NAME?</v>
      </c>
      <c r="BS257" s="1" t="e">
        <f ca="1">_xll.BDH($C$253,"ST_DEBT_SEQUENTIAL_GROWTH","FQ4 2014","FQ4 2014","Currency=INR","Period=FQ","BEST_FPERIOD_OVERRIDE=FQ","FILING_STATUS=OR","EQY_CONSOLIDATED=Y","Sort=A","Dates=H","DateFormat=P","Fill=—","Direction=H","UseDPDF=Y")</f>
        <v>#NAME?</v>
      </c>
      <c r="BT257" s="1" t="e">
        <f ca="1">_xll.BDH($C$253,"TOTAL_DEBT_SEQUENTIAL_GROWTH","FQ4 2014","FQ4 2014","Currency=INR","Period=FQ","BEST_FPERIOD_OVERRIDE=FQ","FILING_STATUS=OR","EQY_CONSOLIDATED=Y","Sort=A","Dates=H","DateFormat=P","Fill=—","Direction=H","UseDPDF=Y")</f>
        <v>#NAME?</v>
      </c>
      <c r="BU257" s="1" t="e">
        <f ca="1">_xll.BDH($C$253,"TOTAL_EQUITY_SEQUENTIAL_GROWTH","FQ4 2014","FQ4 2014","Currency=INR","Period=FQ","BEST_FPERIOD_OVERRIDE=FQ","FILING_STATUS=OR","EQY_CONSOLIDATED=Y","Sort=A","Dates=H","DateFormat=P","Fill=—","Direction=H","UseDPDF=Y")</f>
        <v>#NAME?</v>
      </c>
      <c r="BV257" s="1" t="e">
        <f ca="1">_xll.BDH($C$253,"TOTAL_CAPITAL_SEQUENTIAL_GROWTH","FQ4 2014","FQ4 2014","Currency=INR","Period=FQ","BEST_FPERIOD_OVERRIDE=FQ","FILING_STATUS=OR","EQY_CONSOLIDATED=Y","Sort=A","Dates=H","DateFormat=P","Fill=—","Direction=H","UseDPDF=Y")</f>
        <v>#NAME?</v>
      </c>
      <c r="BW257" s="1" t="e">
        <f ca="1">_xll.BDH($C$253,"BPS_SEQUENTIAL_GROWTH","FQ4 2014","FQ4 2014","Currency=INR","Period=FQ","BEST_FPERIOD_OVERRIDE=FQ","FILING_STATUS=OR","EQY_CONSOLIDATED=Y","Sort=A","Dates=H","DateFormat=P","Fill=—","Direction=H","UseDPDF=Y")</f>
        <v>#NAME?</v>
      </c>
      <c r="BX257" s="1" t="e">
        <f ca="1">_xll.BDH($C$253,"CFO_SEQUENTIAL_GROWTH","FQ4 2014","FQ4 2014","Currency=INR","Period=FQ","BEST_FPERIOD_OVERRIDE=FQ","FILING_STATUS=OR","EQY_CONSOLIDATED=Y","Sort=A","Dates=H","DateFormat=P","Fill=—","Direction=H","UseDPDF=Y")</f>
        <v>#NAME?</v>
      </c>
      <c r="BY257" s="2" t="e">
        <f ca="1">_xll.BDH($C$253,"SHORT_AND_LONG_TERM_DEBT","FQ4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57" s="2" t="e">
        <f ca="1">_xll.BDH($C$253,"BS_ST_BORROW","FQ4 2014","FQ4 2014","Currency=INR","Period=FQ","BEST_FPERIOD_OVERRIDE=FQ","FILING_STATUS=OR","EQY_CONSOLIDATED=Y","SCALING_FORMAT=MLN","Sort=A","Dates=H","DateFormat=P","Fill=—","Direction=H","UseDPDF=Y")</f>
        <v>#NAME?</v>
      </c>
      <c r="CA257" s="2" t="e">
        <f ca="1">_xll.BDH($C$253,"BS_LT_BORROW","FQ4 2014","FQ4 2014","Currency=INR","Period=FQ","BEST_FPERIOD_OVERRIDE=FQ","FILING_STATUS=OR","EQY_CONSOLIDATED=Y","SCALING_FORMAT=MLN","Sort=A","Dates=H","DateFormat=P","Fill=—","Direction=H","UseDPDF=Y")</f>
        <v>#NAME?</v>
      </c>
      <c r="CB257" s="1" t="e">
        <f ca="1">_xll.BDH($C$253,"TOT_DEBT_TO_EBITDA","FQ4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57" s="1" t="e">
        <f ca="1">_xll.BDH($C$253,"NET_DEBT_TO_EBITDA","FQ4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57" s="1" t="e">
        <f ca="1">_xll.BDH($C$253,"TOTAL_DEBT_TO_EBIT","FQ4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57" s="1" t="e">
        <f ca="1">_xll.BDH($C$253,"NET_DEBT_TO_EBIT","FQ4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257" s="1" t="e">
        <f ca="1">_xll.BDH($C$253,"EBITDA_TO_INTEREST_EXPN","FQ4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57" s="1" t="e">
        <f ca="1">_xll.BDH($C$253,"COM_EQY_TO_TOT_ASSET","FQ4 2014","FQ4 2014","Currency=INR","Period=FQ","BEST_FPERIOD_OVERRIDE=FQ","FILING_STATUS=OR","EQY_CONSOLIDATED=Y","Sort=A","Dates=H","DateFormat=P","Fill=—","Direction=H","UseDPDF=Y")</f>
        <v>#NAME?</v>
      </c>
      <c r="CH257" s="1" t="e">
        <f ca="1">_xll.BDH($C$253,"LT_DEBT_TO_TOT_EQY","FQ4 2014","FQ4 2014","Currency=INR","Period=FQ","BEST_FPERIOD_OVERRIDE=FQ","FILING_STATUS=OR","EQY_CONSOLIDATED=Y","Sort=A","Dates=H","DateFormat=P","Fill=—","Direction=H","UseDPDF=Y")</f>
        <v>#NAME?</v>
      </c>
      <c r="CI257" s="1" t="e">
        <f ca="1">_xll.BDH($C$253,"LT_DEBT_TO_TOT_CAP","FQ4 2014","FQ4 2014","Currency=INR","Period=FQ","BEST_FPERIOD_OVERRIDE=FQ","FILING_STATUS=OR","EQY_CONSOLIDATED=Y","Sort=A","Dates=H","DateFormat=P","Fill=—","Direction=H","UseDPDF=Y")</f>
        <v>#NAME?</v>
      </c>
      <c r="CJ257" s="1" t="e">
        <f ca="1">_xll.BDH($C$253,"LT_DEBT_TO_TOT_ASSET","FQ4 2014","FQ4 2014","Currency=INR","Period=FQ","BEST_FPERIOD_OVERRIDE=FQ","FILING_STATUS=OR","EQY_CONSOLIDATED=Y","Sort=A","Dates=H","DateFormat=P","Fill=—","Direction=H","UseDPDF=Y")</f>
        <v>#NAME?</v>
      </c>
      <c r="CK257" s="1" t="e">
        <f ca="1">_xll.BDH($C$253,"TOT_DEBT_TO_TOT_EQY","FQ4 2014","FQ4 2014","Currency=INR","Period=FQ","BEST_FPERIOD_OVERRIDE=FQ","FILING_STATUS=OR","EQY_CONSOLIDATED=Y","Sort=A","Dates=H","DateFormat=P","Fill=—","Direction=H","UseDPDF=Y")</f>
        <v>#NAME?</v>
      </c>
      <c r="CL257" s="1" t="e">
        <f ca="1">_xll.BDH($C$253,"TOT_DEBT_TO_TOT_CAP","FQ4 2014","FQ4 2014","Currency=INR","Period=FQ","BEST_FPERIOD_OVERRIDE=FQ","FILING_STATUS=OR","EQY_CONSOLIDATED=Y","Sort=A","Dates=H","DateFormat=P","Fill=—","Direction=H","UseDPDF=Y")</f>
        <v>#NAME?</v>
      </c>
      <c r="CM257" s="1" t="e">
        <f ca="1">_xll.BDH($C$253,"TOT_DEBT_TO_TOT_ASSET","FQ4 2014","FQ4 2014","Currency=INR","Period=FQ","BEST_FPERIOD_OVERRIDE=FQ","FILING_STATUS=OR","EQY_CONSOLIDATED=Y","Sort=A","Dates=H","DateFormat=P","Fill=—","Direction=H","UseDPDF=Y")</f>
        <v>#NAME?</v>
      </c>
      <c r="CN257" s="1" t="e">
        <f ca="1">_xll.BDH($C$253,"NET_DEBT_TO_SHRHLDR_EQTY","FQ4 2014","FQ4 2014","Currency=INR","Period=FQ","BEST_FPERIOD_OVERRIDE=FQ","FILING_STATUS=OR","EQY_CONSOLIDATED=Y","Sort=A","Dates=H","DateFormat=P","Fill=—","Direction=H","UseDPDF=Y")</f>
        <v>#NAME?</v>
      </c>
      <c r="CO257" s="1" t="e">
        <f ca="1">_xll.BDH($C$253,"NET_DEBT_%_CAPITAL","FQ4 2014","FQ4 2014","Currency=INR","Period=FQ","BEST_FPERIOD_OVERRIDE=FQ","FILING_STATUS=OR","EQY_CONSOLIDATED=Y","Sort=A","Dates=H","DateFormat=P","Fill=—","Direction=H","UseDPDF=Y")</f>
        <v>#NAME?</v>
      </c>
      <c r="CP257" s="2" t="e">
        <f ca="1">_xll.BDH($C$253,"EBITDA","FQ4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57" s="2" t="e">
        <f ca="1">_xll.BDH($C$253,"EBITDA_AFTER_CAPEX","FQ4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57" s="2" t="e">
        <f ca="1">_xll.BDH($C$253,"IS_OPER_INC","FQ4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57" s="1" t="e">
        <f ca="1">_xll.BDH($C$253,"CASH_RATIO","FQ4 2014","FQ4 2014","Currency=INR","Period=FQ","BEST_FPERIOD_OVERRIDE=FQ","FILING_STATUS=OR","EQY_CONSOLIDATED=Y","Sort=A","Dates=H","DateFormat=P","Fill=—","Direction=H","UseDPDF=Y")</f>
        <v>#NAME?</v>
      </c>
      <c r="CT257" s="1" t="e">
        <f ca="1">_xll.BDH($C$253,"CUR_RATIO","FQ4 2014","FQ4 2014","Currency=INR","Period=FQ","BEST_FPERIOD_OVERRIDE=FQ","FILING_STATUS=OR","EQY_CONSOLIDATED=Y","Sort=A","Dates=H","DateFormat=P","Fill=—","Direction=H","UseDPDF=Y")</f>
        <v>#NAME?</v>
      </c>
      <c r="CU257" s="1" t="e">
        <f ca="1">_xll.BDH($C$253,"QUICK_RATIO","FQ4 2014","FQ4 2014","Currency=INR","Period=FQ","BEST_FPERIOD_OVERRIDE=FQ","FILING_STATUS=OR","EQY_CONSOLIDATED=Y","Sort=A","Dates=H","DateFormat=P","Fill=—","Direction=H","UseDPDF=Y")</f>
        <v>#NAME?</v>
      </c>
      <c r="CV257" s="1" t="e">
        <f ca="1">_xll.BDH($C$253,"ALTMAN_Z_SCORE","FQ4 2014","FQ4 2014","Currency=INR","Period=FQ","BEST_FPERIOD_OVERRIDE=FQ","FILING_STATUS=OR","EQY_CONSOLIDATED=Y","Sort=A","Dates=H","DateFormat=P","Fill=—","Direction=H","UseDPDF=Y")</f>
        <v>#NAME?</v>
      </c>
      <c r="CW257" s="3" t="e">
        <f ca="1">_xll.BDH($C$253,"ACCT_RCV_TURN","FQ4 2014","FQ4 2014","Currency=INR","Period=FQ","BEST_FPERIOD_OVERRIDE=FQ","FILING_STATUS=OR","EQY_CONSOLIDATED=Y","FA_ADJUSTED=GAAP","Sort=A","Dates=H","DateFormat=P","Fill=—","Direction=H","UseDPDF=Y")</f>
        <v>#NAME?</v>
      </c>
      <c r="CX257" s="1" t="e">
        <f ca="1">_xll.BDH($C$253,"ACCT_RCV_DAYS","FQ4 2014","FQ4 2014","Currency=INR","Period=FQ","BEST_FPERIOD_OVERRIDE=FQ","FILING_STATUS=OR","EQY_CONSOLIDATED=Y","FA_ADJUSTED=GAAP","Sort=A","Dates=H","DateFormat=P","Fill=—","Direction=H","UseDPDF=Y")</f>
        <v>#NAME?</v>
      </c>
      <c r="CY257" s="3" t="e">
        <f ca="1">_xll.BDH($C$253,"INVENT_TURN","FQ4 2014","FQ4 2014","Currency=INR","Period=FQ","BEST_FPERIOD_OVERRIDE=FQ","FILING_STATUS=OR","EQY_CONSOLIDATED=Y","FA_ADJUSTED=GAAP","Sort=A","Dates=H","DateFormat=P","Fill=—","Direction=H","UseDPDF=Y")</f>
        <v>#NAME?</v>
      </c>
      <c r="CZ257" s="1" t="e">
        <f ca="1">_xll.BDH($C$253,"INVENT_DAYS","FQ4 2014","FQ4 2014","Currency=INR","Period=FQ","BEST_FPERIOD_OVERRIDE=FQ","FILING_STATUS=OR","EQY_CONSOLIDATED=Y","FA_ADJUSTED=GAAP","Sort=A","Dates=H","DateFormat=P","Fill=—","Direction=H","UseDPDF=Y")</f>
        <v>#NAME?</v>
      </c>
      <c r="DA257" s="3" t="e">
        <f ca="1">_xll.BDH($C$253,"ACCOUNTS_PAYABLE_TURNOVER","FQ4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57" s="1" t="e">
        <f ca="1">_xll.BDH($C$253,"ACCOUNTS_PAYABLE_TURNOVER_DAYS","FQ4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57" s="3" t="e">
        <f ca="1">_xll.BDH($C$253,"CASH_CONVERSION_CYCLE","FQ4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57" s="3" t="e">
        <f ca="1">_xll.BDH($C$253,"INV_TO_CASH_DAYS","FQ4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257" s="4" t="e">
        <f ca="1">_xll.BDH($C$253,"BS_INVENTORIES","FQ4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257" s="2" t="e">
        <f ca="1">_xll.BDH($C$253,"INVTRY_RAW_MATERIALS","FQ4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57" s="2" t="e">
        <f ca="1">_xll.BDH($C$253,"INVTRY_IN_PROGRESS","FQ4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57" s="2" t="e">
        <f ca="1">_xll.BDH($C$253,"INVTRY_FINISHED_GOODS","FQ4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57" s="2" t="e">
        <f ca="1">_xll.BDH($C$253,"BS_OTHER_INV","FQ4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58" spans="1:113" x14ac:dyDescent="0.3">
      <c r="A258" s="6"/>
      <c r="B258" s="6"/>
      <c r="C258" s="6"/>
      <c r="D258" s="6" t="s">
        <v>8</v>
      </c>
      <c r="E258" t="s">
        <v>3</v>
      </c>
      <c r="F258" t="e">
        <f ca="1">_xll.BDH($C$253,"RETURN_COM_EQY","FY 2015","FY 2015","Currency=INR","Period=FY","BEST_FPERIOD_OVERRIDE=FY","FILING_STATUS=OR","EQY_CONSOLIDATED=Y","FA_ADJUSTED=GAAP","Sort=A","Dates=H","DateFormat=P","Fill=—","Direction=H","UseDPDF=Y")</f>
        <v>#NAME?</v>
      </c>
      <c r="G258" t="e">
        <f ca="1">_xll.BDH($C$253,"RETURN_ON_ASSET","FY 2015","FY 2015","Currency=INR","Period=FY","BEST_FPERIOD_OVERRIDE=FY","FILING_STATUS=OR","EQY_CONSOLIDATED=Y","FA_ADJUSTED=GAAP","Sort=A","Dates=H","DateFormat=P","Fill=—","Direction=H","UseDPDF=Y")</f>
        <v>#NAME?</v>
      </c>
      <c r="H258" t="e">
        <f ca="1">_xll.BDH($C$253,"RETURN_ON_CAP","FY 2015","FY 2015","Currency=INR","Period=FY","BEST_FPERIOD_OVERRIDE=FY","FILING_STATUS=OR","EQY_CONSOLIDATED=Y","FA_ADJUSTED=GAAP","Sort=A","Dates=H","DateFormat=P","Fill=—","Direction=H","UseDPDF=Y")</f>
        <v>#NAME?</v>
      </c>
      <c r="I258" t="e">
        <f ca="1">_xll.BDH($C$253,"RETURN_ON_INV_CAPITAL","FY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58" t="e">
        <f ca="1">_xll.BDH($C$253,"EBITDA_TO_REVENUE","FY 2015","FY 2015","Currency=INR","Period=FY","BEST_FPERIOD_OVERRIDE=FY","FILING_STATUS=OR","EQY_CONSOLIDATED=Y","FA_ADJUSTED=GAAP","Sort=A","Dates=H","DateFormat=P","Fill=—","Direction=H","UseDPDF=Y")</f>
        <v>#NAME?</v>
      </c>
      <c r="K258" t="e">
        <f ca="1">_xll.BDH($C$253,"OPER_MARGIN","FY 2015","FY 2015","Currency=INR","Period=FY","BEST_FPERIOD_OVERRIDE=FY","FILING_STATUS=OR","EQY_CONSOLIDATED=Y","FA_ADJUSTED=GAAP","Sort=A","Dates=H","DateFormat=P","Fill=—","Direction=H","UseDPDF=Y")</f>
        <v>#NAME?</v>
      </c>
      <c r="L258" t="e">
        <f ca="1">_xll.BDH($C$253,"INCREMENTAL_OPERATING_MARGIN","FY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58" t="e">
        <f ca="1">_xll.BDH($C$253,"PRETAX_INC_TO_NET_SALES","FY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58" t="e">
        <f ca="1">_xll.BDH($C$253,"INC_BEF_XO_ITEMS_TO_NET_SALES","FY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58" t="e">
        <f ca="1">_xll.BDH($C$253,"PROF_MARGIN","FY 2015","FY 2015","Currency=INR","Period=FY","BEST_FPERIOD_OVERRIDE=FY","FILING_STATUS=OR","EQY_CONSOLIDATED=Y","FA_ADJUSTED=GAAP","Sort=A","Dates=H","DateFormat=P","Fill=—","Direction=H","UseDPDF=Y")</f>
        <v>#NAME?</v>
      </c>
      <c r="P258" t="e">
        <f ca="1">_xll.BDH($C$253,"NET_INCOME_TO_COMMON_MARGIN","FY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58" t="e">
        <f ca="1">_xll.BDH($C$253,"EFF_TAX_RATE","FY 2015","FY 2015","Currency=INR","Period=FY","BEST_FPERIOD_OVERRIDE=FY","FILING_STATUS=OR","EQY_CONSOLIDATED=Y","FA_ADJUSTED=GAAP","Sort=A","Dates=H","DateFormat=P","Fill=—","Direction=H","UseDPDF=Y")</f>
        <v>#NAME?</v>
      </c>
      <c r="R258" t="e">
        <f ca="1">_xll.BDH($C$253,"DVD_PAYOUT_RATIO","FY 2015","FY 2015","Currency=INR","Period=FY","BEST_FPERIOD_OVERRIDE=FY","FILING_STATUS=OR","EQY_CONSOLIDATED=Y","FA_ADJUSTED=GAAP","Sort=A","Dates=H","DateFormat=P","Fill=—","Direction=H","UseDPDF=Y")</f>
        <v>#NAME?</v>
      </c>
      <c r="S258" t="e">
        <f ca="1">_xll.BDH($C$253,"SUSTAIN_GROWTH_RT","FY 2015","FY 2015","Currency=INR","Period=FY","BEST_FPERIOD_OVERRIDE=FY","FILING_STATUS=OR","EQY_CONSOLIDATED=Y","FA_ADJUSTED=GAAP","Sort=A","Dates=H","DateFormat=P","Fill=—","Direction=H","UseDPDF=Y")</f>
        <v>#NAME?</v>
      </c>
      <c r="T258" s="1" t="e">
        <f ca="1">_xll.BDH($C$253,"SALES_GROWTH","FY 2015","FY 2015","Currency=INR","Period=FY","BEST_FPERIOD_OVERRIDE=FY","FILING_STATUS=OR","EQY_CONSOLIDATED=Y","FA_ADJUSTED=GAAP","Sort=A","Dates=H","DateFormat=P","Fill=—","Direction=H","UseDPDF=Y")</f>
        <v>#NAME?</v>
      </c>
      <c r="U258" s="1" t="e">
        <f ca="1">_xll.BDH($C$253,"EBITDA_GROWTH","FY 2015","FY 2015","Currency=INR","Period=FY","BEST_FPERIOD_OVERRIDE=FY","FILING_STATUS=OR","EQY_CONSOLIDATED=Y","FA_ADJUSTED=GAAP","Sort=A","Dates=H","DateFormat=P","Fill=—","Direction=H","UseDPDF=Y")</f>
        <v>#NAME?</v>
      </c>
      <c r="V258" s="1" t="e">
        <f ca="1">_xll.BDH($C$253,"OPER_INC_GROWTH","FY 2015","FY 2015","Currency=INR","Period=FY","BEST_FPERIOD_OVERRIDE=FY","FILING_STATUS=OR","EQY_CONSOLIDATED=Y","FA_ADJUSTED=GAAP","Sort=A","Dates=H","DateFormat=P","Fill=—","Direction=H","UseDPDF=Y")</f>
        <v>#NAME?</v>
      </c>
      <c r="W258" s="1" t="e">
        <f ca="1">_xll.BDH($C$253,"EARN_FOR_COM_GROWTH","FY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258" s="1" t="e">
        <f ca="1">_xll.BDH($C$253,"DILUTED_EPS_AFT_XO_ITEMS_GROWTH","FY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58" s="1" t="e">
        <f ca="1">_xll.BDH($C$253,"DIVIDEND_PER_SHARE_1_YEAR_GROWTH","FY 2015","FY 2015","Currency=INR","Period=FY","BEST_FPERIOD_OVERRIDE=FY","FILING_STATUS=OR","EQY_CONSOLIDATED=Y","Sort=A","Dates=H","DateFormat=P","Fill=—","Direction=H","UseDPDF=Y")</f>
        <v>#NAME?</v>
      </c>
      <c r="Z258" s="1" t="e">
        <f ca="1">_xll.BDH($C$253,"ACCOUNTS_RECEIVABLE_GROWTH","FY 2015","FY 2015","Currency=INR","Period=FY","BEST_FPERIOD_OVERRIDE=FY","FILING_STATUS=OR","EQY_CONSOLIDATED=Y","Sort=A","Dates=H","DateFormat=P","Fill=—","Direction=H","UseDPDF=Y")</f>
        <v>#NAME?</v>
      </c>
      <c r="AA258" s="1" t="e">
        <f ca="1">_xll.BDH($C$253,"INVENTORY_GROWTH","FY 2015","FY 2015","Currency=INR","Period=FY","BEST_FPERIOD_OVERRIDE=FY","FILING_STATUS=OR","EQY_CONSOLIDATED=Y","Sort=A","Dates=H","DateFormat=P","Fill=—","Direction=H","UseDPDF=Y")</f>
        <v>#NAME?</v>
      </c>
      <c r="AB258" s="1" t="e">
        <f ca="1">_xll.BDH($C$253,"NET_FIXED_ASSETS_1_YEAR_GROWTH","FY 2015","FY 2015","Currency=INR","Period=FY","BEST_FPERIOD_OVERRIDE=FY","FILING_STATUS=OR","EQY_CONSOLIDATED=Y","Sort=A","Dates=H","DateFormat=P","Fill=—","Direction=H","UseDPDF=Y")</f>
        <v>#NAME?</v>
      </c>
      <c r="AC258" s="1" t="e">
        <f ca="1">_xll.BDH($C$253,"ASSET_GROWTH","FY 2015","FY 2015","Currency=INR","Period=FY","BEST_FPERIOD_OVERRIDE=FY","FILING_STATUS=OR","EQY_CONSOLIDATED=Y","Sort=A","Dates=H","DateFormat=P","Fill=—","Direction=H","UseDPDF=Y")</f>
        <v>#NAME?</v>
      </c>
      <c r="AD258" s="1" t="e">
        <f ca="1">_xll.BDH($C$253,"MODIFIED_WORK_CAP_GROWTH","FY 2015","FY 2015","Currency=INR","Period=FY","BEST_FPERIOD_OVERRIDE=FY","FILING_STATUS=OR","EQY_CONSOLIDATED=Y","Sort=A","Dates=H","DateFormat=P","Fill=—","Direction=H","UseDPDF=Y")</f>
        <v>#NAME?</v>
      </c>
      <c r="AE258" s="1" t="e">
        <f ca="1">_xll.BDH($C$253,"WORK_CAP_GROWTH","FY 2015","FY 2015","Currency=INR","Period=FY","BEST_FPERIOD_OVERRIDE=FY","FILING_STATUS=OR","EQY_CONSOLIDATED=Y","Sort=A","Dates=H","DateFormat=P","Fill=—","Direction=H","UseDPDF=Y")</f>
        <v>#NAME?</v>
      </c>
      <c r="AF258" s="1" t="e">
        <f ca="1">_xll.BDH($C$253,"ACCOUNTS_PAYABLE_GROWTH_1YR","FY 2015","FY 2015","Currency=INR","Period=FY","BEST_FPERIOD_OVERRIDE=FY","FILING_STATUS=OR","EQY_CONSOLIDATED=Y","Sort=A","Dates=H","DateFormat=P","Fill=—","Direction=H","UseDPDF=Y")</f>
        <v>#NAME?</v>
      </c>
      <c r="AG258" s="1" t="e">
        <f ca="1">_xll.BDH($C$253,"SHORT_TERM_DEBT_1_YEAR_GROWTH","FY 2015","FY 2015","Currency=INR","Period=FY","BEST_FPERIOD_OVERRIDE=FY","FILING_STATUS=OR","EQY_CONSOLIDATED=Y","Sort=A","Dates=H","DateFormat=P","Fill=—","Direction=H","UseDPDF=Y")</f>
        <v>#NAME?</v>
      </c>
      <c r="AH258" s="1" t="e">
        <f ca="1">_xll.BDH($C$253,"TOTAL_DEBT_1_YEAR_GROWTH","FY 2015","FY 2015","Currency=INR","Period=FY","BEST_FPERIOD_OVERRIDE=FY","FILING_STATUS=OR","EQY_CONSOLIDATED=Y","Sort=A","Dates=H","DateFormat=P","Fill=—","Direction=H","UseDPDF=Y")</f>
        <v>#NAME?</v>
      </c>
      <c r="AI258" s="1" t="e">
        <f ca="1">_xll.BDH($C$253,"TOTAL_EQUITY_1_YEAR_GROWTH","FY 2015","FY 2015","Currency=INR","Period=FY","BEST_FPERIOD_OVERRIDE=FY","FILING_STATUS=OR","EQY_CONSOLIDATED=Y","Sort=A","Dates=H","DateFormat=P","Fill=—","Direction=H","UseDPDF=Y")</f>
        <v>#NAME?</v>
      </c>
      <c r="AJ258" s="1" t="e">
        <f ca="1">_xll.BDH($C$253,"GROWTH_IN_CAP","FY 2015","FY 2015","Currency=INR","Period=FY","BEST_FPERIOD_OVERRIDE=FY","FILING_STATUS=OR","EQY_CONSOLIDATED=Y","Sort=A","Dates=H","DateFormat=P","Fill=—","Direction=H","UseDPDF=Y")</f>
        <v>#NAME?</v>
      </c>
      <c r="AK258" s="1" t="e">
        <f ca="1">_xll.BDH($C$253,"BVPS_GROWTH","FY 2015","FY 2015","Currency=INR","Period=FY","BEST_FPERIOD_OVERRIDE=FY","FILING_STATUS=OR","EQY_CONSOLIDATED=Y","Sort=A","Dates=H","DateFormat=P","Fill=—","Direction=H","UseDPDF=Y")</f>
        <v>#NAME?</v>
      </c>
      <c r="AL258" s="1" t="e">
        <f ca="1">_xll.BDH($C$253,"CASH_FLOW_GROWTH","FY 2015","FY 2015","Currency=INR","Period=FY","BEST_FPERIOD_OVERRIDE=FY","FILING_STATUS=OR","EQY_CONSOLIDATED=Y","Sort=A","Dates=H","DateFormat=P","Fill=—","Direction=H","UseDPDF=Y")</f>
        <v>#NAME?</v>
      </c>
      <c r="AM258" s="1" t="e">
        <f ca="1">_xll.BDH($C$253,"GEO_GROW_NET_SALES","FY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258" s="1" t="e">
        <f ca="1">_xll.BDH($C$253,"GEO_GROW_EBITDA","FY 2015","FY 2015","Currency=INR","Period=FY","BEST_FPERIOD_OVERRIDE=FY","FILING_STATUS=OR","EQY_CONSOLIDATED=Y","FA_ADJUSTED=GAAP","Sort=A","Dates=H","DateFormat=P","Fill=—","Direction=H","UseDPDF=Y")</f>
        <v>#NAME?</v>
      </c>
      <c r="AO258" s="1" t="e">
        <f ca="1">_xll.BDH($C$253,"GEO_GROW_OPER_INC","FY 2015","FY 2015","Currency=INR","Period=FY","BEST_FPERIOD_OVERRIDE=FY","FILING_STATUS=OR","EQY_CONSOLIDATED=Y","FA_ADJUSTED=GAAP","Sort=A","Dates=H","DateFormat=P","Fill=—","Direction=H","UseDPDF=Y")</f>
        <v>#NAME?</v>
      </c>
      <c r="AP258" s="1" t="e">
        <f ca="1">_xll.BDH($C$253,"NET_INCOME_TO_COMMON_5_YR_GROWTH","FY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58" s="1" t="e">
        <f ca="1">_xll.BDH($C$253,"5Y_GEO_GROWTH_DILUTED_EPS","FY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58" s="1" t="e">
        <f ca="1">_xll.BDH($C$253,"GEO_GROW_DVD_PER_SH","FY 2015","FY 2015","Currency=INR","Period=FY","BEST_FPERIOD_OVERRIDE=FY","FILING_STATUS=OR","EQY_CONSOLIDATED=Y","Sort=A","Dates=H","DateFormat=P","Fill=—","Direction=H","UseDPDF=Y")</f>
        <v>#NAME?</v>
      </c>
      <c r="AS258" s="1" t="e">
        <f ca="1">_xll.BDH($C$253,"ACCOUNTS_RECEIVABLE_5_YR_GROWTH","FY 2015","FY 2015","Currency=INR","Period=FY","BEST_FPERIOD_OVERRIDE=FY","FILING_STATUS=OR","EQY_CONSOLIDATED=Y","Sort=A","Dates=H","DateFormat=P","Fill=—","Direction=H","UseDPDF=Y")</f>
        <v>#NAME?</v>
      </c>
      <c r="AT258" s="1" t="e">
        <f ca="1">_xll.BDH($C$253,"INVENTORY_5_YEAR_GROWTH","FY 2015","FY 2015","Currency=INR","Period=FY","BEST_FPERIOD_OVERRIDE=FY","FILING_STATUS=OR","EQY_CONSOLIDATED=Y","Sort=A","Dates=H","DateFormat=P","Fill=—","Direction=H","UseDPDF=Y")</f>
        <v>#NAME?</v>
      </c>
      <c r="AU258" s="1" t="e">
        <f ca="1">_xll.BDH($C$253,"NET_FIXED_ASSETS_5_YEAR_GROWTH","FY 2015","FY 2015","Currency=INR","Period=FY","BEST_FPERIOD_OVERRIDE=FY","FILING_STATUS=OR","EQY_CONSOLIDATED=Y","Sort=A","Dates=H","DateFormat=P","Fill=—","Direction=H","UseDPDF=Y")</f>
        <v>#NAME?</v>
      </c>
      <c r="AV258" s="1" t="e">
        <f ca="1">_xll.BDH($C$253,"GEO_GROW_TOT_ASSET","FY 2015","FY 2015","Currency=INR","Period=FY","BEST_FPERIOD_OVERRIDE=FY","FILING_STATUS=OR","EQY_CONSOLIDATED=Y","Sort=A","Dates=H","DateFormat=P","Fill=—","Direction=H","UseDPDF=Y")</f>
        <v>#NAME?</v>
      </c>
      <c r="AW258" s="1" t="e">
        <f ca="1">_xll.BDH($C$253,"MODIFIED_WORKING_CPTL_5YR_GRWTH","FY 2015","FY 2015","Currency=INR","Period=FY","BEST_FPERIOD_OVERRIDE=FY","FILING_STATUS=OR","EQY_CONSOLIDATED=Y","Sort=A","Dates=H","DateFormat=P","Fill=—","Direction=H","UseDPDF=Y")</f>
        <v>#NAME?</v>
      </c>
      <c r="AX258" s="1" t="e">
        <f ca="1">_xll.BDH($C$253,"WORKING_CAPITAL_5_YEAR_GROWTH","FY 2015","FY 2015","Currency=INR","Period=FY","BEST_FPERIOD_OVERRIDE=FY","FILING_STATUS=OR","EQY_CONSOLIDATED=Y","Sort=A","Dates=H","DateFormat=P","Fill=—","Direction=H","UseDPDF=Y")</f>
        <v>#NAME?</v>
      </c>
      <c r="AY258" s="1" t="e">
        <f ca="1">_xll.BDH($C$253,"ACCOUNTS_PAYABLE_5_YEAR_GROWTH","FY 2015","FY 2015","Currency=INR","Period=FY","BEST_FPERIOD_OVERRIDE=FY","FILING_STATUS=OR","EQY_CONSOLIDATED=Y","Sort=A","Dates=H","DateFormat=P","Fill=—","Direction=H","UseDPDF=Y")</f>
        <v>#NAME?</v>
      </c>
      <c r="AZ258" s="1" t="e">
        <f ca="1">_xll.BDH($C$253,"SHORT_TERM_DEBT_5_YEAR_GROWTH","FY 2015","FY 2015","Currency=INR","Period=FY","BEST_FPERIOD_OVERRIDE=FY","FILING_STATUS=OR","EQY_CONSOLIDATED=Y","Sort=A","Dates=H","DateFormat=P","Fill=—","Direction=H","UseDPDF=Y")</f>
        <v>#NAME?</v>
      </c>
      <c r="BA258" s="1" t="e">
        <f ca="1">_xll.BDH($C$253,"TOTAL_DEBT_5_YEAR_GROWTH","FY 2015","FY 2015","Currency=INR","Period=FY","BEST_FPERIOD_OVERRIDE=FY","FILING_STATUS=OR","EQY_CONSOLIDATED=Y","Sort=A","Dates=H","DateFormat=P","Fill=—","Direction=H","UseDPDF=Y")</f>
        <v>#NAME?</v>
      </c>
      <c r="BB258" s="1" t="e">
        <f ca="1">_xll.BDH($C$253,"GEO_GROW_TOT_SHRHLDR_EQY","FY 2015","FY 2015","Currency=INR","Period=FY","BEST_FPERIOD_OVERRIDE=FY","FILING_STATUS=OR","EQY_CONSOLIDATED=Y","Sort=A","Dates=H","DateFormat=P","Fill=—","Direction=H","UseDPDF=Y")</f>
        <v>#NAME?</v>
      </c>
      <c r="BC258" s="1" t="e">
        <f ca="1">_xll.BDH($C$253,"TOTAL_CAPITAL_5_YEAR_GROWTH","FY 2015","FY 2015","Currency=INR","Period=FY","BEST_FPERIOD_OVERRIDE=FY","FILING_STATUS=OR","EQY_CONSOLIDATED=Y","Sort=A","Dates=H","DateFormat=P","Fill=—","Direction=H","UseDPDF=Y")</f>
        <v>#NAME?</v>
      </c>
      <c r="BD258" s="1" t="e">
        <f ca="1">_xll.BDH($C$253,"GEO_GROW_BOOK_VAL","FY 2015","FY 2015","Currency=INR","Period=FY","BEST_FPERIOD_OVERRIDE=FY","FILING_STATUS=OR","EQY_CONSOLIDATED=Y","Sort=A","Dates=H","DateFormat=P","Fill=—","Direction=H","UseDPDF=Y")</f>
        <v>#NAME?</v>
      </c>
      <c r="BE258" s="1" t="e">
        <f ca="1">_xll.BDH($C$253,"GEO_GROW_CASH_OPER_ACT","FY 2015","FY 2015","Currency=INR","Period=FY","BEST_FPERIOD_OVERRIDE=FY","FILING_STATUS=OR","EQY_CONSOLIDATED=Y","Sort=A","Dates=H","DateFormat=P","Fill=—","Direction=H","UseDPDF=Y")</f>
        <v>#NAME?</v>
      </c>
      <c r="BF258" s="1" t="e">
        <f ca="1">_xll.BDH($C$253,"REVENUE_SEQUENTIAL_GROWTH","FY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58" s="1" t="e">
        <f ca="1">_xll.BDH($C$253,"EBITDA_SEQUENTIAL_GROWTH","FY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58" s="1" t="e">
        <f ca="1">_xll.BDH($C$253,"OPERATING_INCOME_SEQ_GROWTH","FY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58" s="1" t="e">
        <f ca="1">_xll.BDH($C$253,"NET_INCOME_TO_COMMON_SEQ_GROWTH","FY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58" s="1" t="e">
        <f ca="1">_xll.BDH($C$253,"EPS_DILUTED_SEQUENTIAL_GROWTH","FY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58" s="1" t="e">
        <f ca="1">_xll.BDH($C$253,"DPS_SEQUENTIAL_GROWTH","FY 2015","FY 2015","Currency=INR","Period=FY","BEST_FPERIOD_OVERRIDE=FY","FILING_STATUS=OR","EQY_CONSOLIDATED=Y","Sort=A","Dates=H","DateFormat=P","Fill=—","Direction=H","UseDPDF=Y")</f>
        <v>#NAME?</v>
      </c>
      <c r="BL258" s="1" t="e">
        <f ca="1">_xll.BDH($C$253,"ACCOUNTS_RECEIVABLE_SEQ_GROWTH","FY 2015","FY 2015","Currency=INR","Period=FY","BEST_FPERIOD_OVERRIDE=FY","FILING_STATUS=OR","EQY_CONSOLIDATED=Y","Sort=A","Dates=H","DateFormat=P","Fill=—","Direction=H","UseDPDF=Y")</f>
        <v>#NAME?</v>
      </c>
      <c r="BM258" s="1" t="e">
        <f ca="1">_xll.BDH($C$253,"INVENTORY_SEQUENTIAL_GROWTH","FY 2015","FY 2015","Currency=INR","Period=FY","BEST_FPERIOD_OVERRIDE=FY","FILING_STATUS=OR","EQY_CONSOLIDATED=Y","Sort=A","Dates=H","DateFormat=P","Fill=—","Direction=H","UseDPDF=Y")</f>
        <v>#NAME?</v>
      </c>
      <c r="BN258" s="1" t="e">
        <f ca="1">_xll.BDH($C$253,"FIXED_ASSETS_SEQUENTIAL_GROWTH","FY 2015","FY 2015","Currency=INR","Period=FY","BEST_FPERIOD_OVERRIDE=FY","FILING_STATUS=OR","EQY_CONSOLIDATED=Y","Sort=A","Dates=H","DateFormat=P","Fill=—","Direction=H","UseDPDF=Y")</f>
        <v>#NAME?</v>
      </c>
      <c r="BO258" s="1" t="e">
        <f ca="1">_xll.BDH($C$253,"TOTAL_ASSETS_SEQUENTIAL_GROWTH","FY 2015","FY 2015","Currency=INR","Period=FY","BEST_FPERIOD_OVERRIDE=FY","FILING_STATUS=OR","EQY_CONSOLIDATED=Y","Sort=A","Dates=H","DateFormat=P","Fill=—","Direction=H","UseDPDF=Y")</f>
        <v>#NAME?</v>
      </c>
      <c r="BP258" s="1" t="e">
        <f ca="1">_xll.BDH($C$253,"MODIFIED_WORKING_CPTL_SEQ_GRWTH","FY 2015","FY 2015","Currency=INR","Period=FY","BEST_FPERIOD_OVERRIDE=FY","FILING_STATUS=OR","EQY_CONSOLIDATED=Y","Sort=A","Dates=H","DateFormat=P","Fill=—","Direction=H","UseDPDF=Y")</f>
        <v>#NAME?</v>
      </c>
      <c r="BQ258" s="1" t="e">
        <f ca="1">_xll.BDH($C$253,"WORKING_CAPITAL_SEQ_GROWTH","FY 2015","FY 2015","Currency=INR","Period=FY","BEST_FPERIOD_OVERRIDE=FY","FILING_STATUS=OR","EQY_CONSOLIDATED=Y","Sort=A","Dates=H","DateFormat=P","Fill=—","Direction=H","UseDPDF=Y")</f>
        <v>#NAME?</v>
      </c>
      <c r="BR258" s="1" t="e">
        <f ca="1">_xll.BDH($C$253,"ACCOUNTS_PAYABLE_SEQ_GROWTH","FY 2015","FY 2015","Currency=INR","Period=FY","BEST_FPERIOD_OVERRIDE=FY","FILING_STATUS=OR","EQY_CONSOLIDATED=Y","Sort=A","Dates=H","DateFormat=P","Fill=—","Direction=H","UseDPDF=Y")</f>
        <v>#NAME?</v>
      </c>
      <c r="BS258" s="1" t="e">
        <f ca="1">_xll.BDH($C$253,"ST_DEBT_SEQUENTIAL_GROWTH","FY 2015","FY 2015","Currency=INR","Period=FY","BEST_FPERIOD_OVERRIDE=FY","FILING_STATUS=OR","EQY_CONSOLIDATED=Y","Sort=A","Dates=H","DateFormat=P","Fill=—","Direction=H","UseDPDF=Y")</f>
        <v>#NAME?</v>
      </c>
      <c r="BT258" s="1" t="e">
        <f ca="1">_xll.BDH($C$253,"TOTAL_DEBT_SEQUENTIAL_GROWTH","FY 2015","FY 2015","Currency=INR","Period=FY","BEST_FPERIOD_OVERRIDE=FY","FILING_STATUS=OR","EQY_CONSOLIDATED=Y","Sort=A","Dates=H","DateFormat=P","Fill=—","Direction=H","UseDPDF=Y")</f>
        <v>#NAME?</v>
      </c>
      <c r="BU258" s="1" t="e">
        <f ca="1">_xll.BDH($C$253,"TOTAL_EQUITY_SEQUENTIAL_GROWTH","FY 2015","FY 2015","Currency=INR","Period=FY","BEST_FPERIOD_OVERRIDE=FY","FILING_STATUS=OR","EQY_CONSOLIDATED=Y","Sort=A","Dates=H","DateFormat=P","Fill=—","Direction=H","UseDPDF=Y")</f>
        <v>#NAME?</v>
      </c>
      <c r="BV258" s="1" t="e">
        <f ca="1">_xll.BDH($C$253,"TOTAL_CAPITAL_SEQUENTIAL_GROWTH","FY 2015","FY 2015","Currency=INR","Period=FY","BEST_FPERIOD_OVERRIDE=FY","FILING_STATUS=OR","EQY_CONSOLIDATED=Y","Sort=A","Dates=H","DateFormat=P","Fill=—","Direction=H","UseDPDF=Y")</f>
        <v>#NAME?</v>
      </c>
      <c r="BW258" s="1" t="e">
        <f ca="1">_xll.BDH($C$253,"BPS_SEQUENTIAL_GROWTH","FY 2015","FY 2015","Currency=INR","Period=FY","BEST_FPERIOD_OVERRIDE=FY","FILING_STATUS=OR","EQY_CONSOLIDATED=Y","Sort=A","Dates=H","DateFormat=P","Fill=—","Direction=H","UseDPDF=Y")</f>
        <v>#NAME?</v>
      </c>
      <c r="BX258" s="1" t="e">
        <f ca="1">_xll.BDH($C$253,"CFO_SEQUENTIAL_GROWTH","FY 2015","FY 2015","Currency=INR","Period=FY","BEST_FPERIOD_OVERRIDE=FY","FILING_STATUS=OR","EQY_CONSOLIDATED=Y","Sort=A","Dates=H","DateFormat=P","Fill=—","Direction=H","UseDPDF=Y")</f>
        <v>#NAME?</v>
      </c>
      <c r="BY258" s="2" t="e">
        <f ca="1">_xll.BDH($C$253,"SHORT_AND_LONG_TERM_DEBT","FY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58" s="2" t="e">
        <f ca="1">_xll.BDH($C$253,"BS_ST_BORROW","FY 2015","FY 2015","Currency=INR","Period=FY","BEST_FPERIOD_OVERRIDE=FY","FILING_STATUS=OR","EQY_CONSOLIDATED=Y","SCALING_FORMAT=MLN","Sort=A","Dates=H","DateFormat=P","Fill=—","Direction=H","UseDPDF=Y")</f>
        <v>#NAME?</v>
      </c>
      <c r="CA258" s="2" t="e">
        <f ca="1">_xll.BDH($C$253,"BS_LT_BORROW","FY 2015","FY 2015","Currency=INR","Period=FY","BEST_FPERIOD_OVERRIDE=FY","FILING_STATUS=OR","EQY_CONSOLIDATED=Y","SCALING_FORMAT=MLN","Sort=A","Dates=H","DateFormat=P","Fill=—","Direction=H","UseDPDF=Y")</f>
        <v>#NAME?</v>
      </c>
      <c r="CB258" s="1" t="e">
        <f ca="1">_xll.BDH($C$253,"TOT_DEBT_TO_EBITDA","FY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258" s="1" t="e">
        <f ca="1">_xll.BDH($C$253,"NET_DEBT_TO_EBITDA","FY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258" s="1" t="e">
        <f ca="1">_xll.BDH($C$253,"TOTAL_DEBT_TO_EBIT","FY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258" s="1" t="e">
        <f ca="1">_xll.BDH($C$253,"NET_DEBT_TO_EBIT","FY 2015","FY 2015","Currency=INR","Period=FY","BEST_FPERIOD_OVERRIDE=FY","FILING_STATUS=OR","EQY_CONSOLIDATED=Y","FA_ADJUSTED=GAAP","Sort=A","Dates=H","DateFormat=P","Fill=—","Direction=H","UseDPDF=Y")</f>
        <v>#NAME?</v>
      </c>
      <c r="CF258" s="1" t="e">
        <f ca="1">_xll.BDH($C$253,"EBITDA_TO_INTEREST_EXPN","FY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58" s="1" t="e">
        <f ca="1">_xll.BDH($C$253,"COM_EQY_TO_TOT_ASSET","FY 2015","FY 2015","Currency=INR","Period=FY","BEST_FPERIOD_OVERRIDE=FY","FILING_STATUS=OR","EQY_CONSOLIDATED=Y","Sort=A","Dates=H","DateFormat=P","Fill=—","Direction=H","UseDPDF=Y")</f>
        <v>#NAME?</v>
      </c>
      <c r="CH258" s="1" t="e">
        <f ca="1">_xll.BDH($C$253,"LT_DEBT_TO_TOT_EQY","FY 2015","FY 2015","Currency=INR","Period=FY","BEST_FPERIOD_OVERRIDE=FY","FILING_STATUS=OR","EQY_CONSOLIDATED=Y","Sort=A","Dates=H","DateFormat=P","Fill=—","Direction=H","UseDPDF=Y")</f>
        <v>#NAME?</v>
      </c>
      <c r="CI258" s="1" t="e">
        <f ca="1">_xll.BDH($C$253,"LT_DEBT_TO_TOT_CAP","FY 2015","FY 2015","Currency=INR","Period=FY","BEST_FPERIOD_OVERRIDE=FY","FILING_STATUS=OR","EQY_CONSOLIDATED=Y","Sort=A","Dates=H","DateFormat=P","Fill=—","Direction=H","UseDPDF=Y")</f>
        <v>#NAME?</v>
      </c>
      <c r="CJ258" s="1" t="e">
        <f ca="1">_xll.BDH($C$253,"LT_DEBT_TO_TOT_ASSET","FY 2015","FY 2015","Currency=INR","Period=FY","BEST_FPERIOD_OVERRIDE=FY","FILING_STATUS=OR","EQY_CONSOLIDATED=Y","Sort=A","Dates=H","DateFormat=P","Fill=—","Direction=H","UseDPDF=Y")</f>
        <v>#NAME?</v>
      </c>
      <c r="CK258" s="1" t="e">
        <f ca="1">_xll.BDH($C$253,"TOT_DEBT_TO_TOT_EQY","FY 2015","FY 2015","Currency=INR","Period=FY","BEST_FPERIOD_OVERRIDE=FY","FILING_STATUS=OR","EQY_CONSOLIDATED=Y","Sort=A","Dates=H","DateFormat=P","Fill=—","Direction=H","UseDPDF=Y")</f>
        <v>#NAME?</v>
      </c>
      <c r="CL258" s="1" t="e">
        <f ca="1">_xll.BDH($C$253,"TOT_DEBT_TO_TOT_CAP","FY 2015","FY 2015","Currency=INR","Period=FY","BEST_FPERIOD_OVERRIDE=FY","FILING_STATUS=OR","EQY_CONSOLIDATED=Y","Sort=A","Dates=H","DateFormat=P","Fill=—","Direction=H","UseDPDF=Y")</f>
        <v>#NAME?</v>
      </c>
      <c r="CM258" s="1" t="e">
        <f ca="1">_xll.BDH($C$253,"TOT_DEBT_TO_TOT_ASSET","FY 2015","FY 2015","Currency=INR","Period=FY","BEST_FPERIOD_OVERRIDE=FY","FILING_STATUS=OR","EQY_CONSOLIDATED=Y","Sort=A","Dates=H","DateFormat=P","Fill=—","Direction=H","UseDPDF=Y")</f>
        <v>#NAME?</v>
      </c>
      <c r="CN258" s="1" t="e">
        <f ca="1">_xll.BDH($C$253,"NET_DEBT_TO_SHRHLDR_EQTY","FY 2015","FY 2015","Currency=INR","Period=FY","BEST_FPERIOD_OVERRIDE=FY","FILING_STATUS=OR","EQY_CONSOLIDATED=Y","Sort=A","Dates=H","DateFormat=P","Fill=—","Direction=H","UseDPDF=Y")</f>
        <v>#NAME?</v>
      </c>
      <c r="CO258" s="1" t="e">
        <f ca="1">_xll.BDH($C$253,"NET_DEBT_%_CAPITAL","FY 2015","FY 2015","Currency=INR","Period=FY","BEST_FPERIOD_OVERRIDE=FY","FILING_STATUS=OR","EQY_CONSOLIDATED=Y","Sort=A","Dates=H","DateFormat=P","Fill=—","Direction=H","UseDPDF=Y")</f>
        <v>#NAME?</v>
      </c>
      <c r="CP258" s="2" t="e">
        <f ca="1">_xll.BDH($C$253,"EBITDA","FY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58" s="2" t="e">
        <f ca="1">_xll.BDH($C$253,"EBITDA_AFTER_CAPEX","FY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58" s="2" t="e">
        <f ca="1">_xll.BDH($C$253,"IS_OPER_INC","FY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58" s="1" t="e">
        <f ca="1">_xll.BDH($C$253,"CASH_RATIO","FY 2015","FY 2015","Currency=INR","Period=FY","BEST_FPERIOD_OVERRIDE=FY","FILING_STATUS=OR","EQY_CONSOLIDATED=Y","Sort=A","Dates=H","DateFormat=P","Fill=—","Direction=H","UseDPDF=Y")</f>
        <v>#NAME?</v>
      </c>
      <c r="CT258" s="1" t="e">
        <f ca="1">_xll.BDH($C$253,"CUR_RATIO","FY 2015","FY 2015","Currency=INR","Period=FY","BEST_FPERIOD_OVERRIDE=FY","FILING_STATUS=OR","EQY_CONSOLIDATED=Y","Sort=A","Dates=H","DateFormat=P","Fill=—","Direction=H","UseDPDF=Y")</f>
        <v>#NAME?</v>
      </c>
      <c r="CU258" s="1" t="e">
        <f ca="1">_xll.BDH($C$253,"QUICK_RATIO","FY 2015","FY 2015","Currency=INR","Period=FY","BEST_FPERIOD_OVERRIDE=FY","FILING_STATUS=OR","EQY_CONSOLIDATED=Y","Sort=A","Dates=H","DateFormat=P","Fill=—","Direction=H","UseDPDF=Y")</f>
        <v>#NAME?</v>
      </c>
      <c r="CV258" s="1" t="e">
        <f ca="1">_xll.BDH($C$253,"ALTMAN_Z_SCORE","FY 2015","FY 2015","Currency=INR","Period=FY","BEST_FPERIOD_OVERRIDE=FY","FILING_STATUS=OR","EQY_CONSOLIDATED=Y","Sort=A","Dates=H","DateFormat=P","Fill=—","Direction=H","UseDPDF=Y")</f>
        <v>#NAME?</v>
      </c>
      <c r="CW258" s="3" t="e">
        <f ca="1">_xll.BDH($C$253,"ACCT_RCV_TURN","FY 2015","FY 2015","Currency=INR","Period=FY","BEST_FPERIOD_OVERRIDE=FY","FILING_STATUS=OR","EQY_CONSOLIDATED=Y","FA_ADJUSTED=GAAP","Sort=A","Dates=H","DateFormat=P","Fill=—","Direction=H","UseDPDF=Y")</f>
        <v>#NAME?</v>
      </c>
      <c r="CX258" s="1" t="e">
        <f ca="1">_xll.BDH($C$253,"ACCT_RCV_DAYS","FY 2015","FY 2015","Currency=INR","Period=FY","BEST_FPERIOD_OVERRIDE=FY","FILING_STATUS=OR","EQY_CONSOLIDATED=Y","FA_ADJUSTED=GAAP","Sort=A","Dates=H","DateFormat=P","Fill=—","Direction=H","UseDPDF=Y")</f>
        <v>#NAME?</v>
      </c>
      <c r="CY258" s="3" t="e">
        <f ca="1">_xll.BDH($C$253,"INVENT_TURN","FY 2015","FY 2015","Currency=INR","Period=FY","BEST_FPERIOD_OVERRIDE=FY","FILING_STATUS=OR","EQY_CONSOLIDATED=Y","FA_ADJUSTED=GAAP","Sort=A","Dates=H","DateFormat=P","Fill=—","Direction=H","UseDPDF=Y")</f>
        <v>#NAME?</v>
      </c>
      <c r="CZ258" s="1" t="e">
        <f ca="1">_xll.BDH($C$253,"INVENT_DAYS","FY 2015","FY 2015","Currency=INR","Period=FY","BEST_FPERIOD_OVERRIDE=FY","FILING_STATUS=OR","EQY_CONSOLIDATED=Y","FA_ADJUSTED=GAAP","Sort=A","Dates=H","DateFormat=P","Fill=—","Direction=H","UseDPDF=Y")</f>
        <v>#NAME?</v>
      </c>
      <c r="DA258" s="3" t="e">
        <f ca="1">_xll.BDH($C$253,"ACCOUNTS_PAYABLE_TURNOVER","FY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58" s="1" t="e">
        <f ca="1">_xll.BDH($C$253,"ACCOUNTS_PAYABLE_TURNOVER_DAYS","FY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58" s="3" t="e">
        <f ca="1">_xll.BDH($C$253,"CASH_CONVERSION_CYCLE","FY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58" s="3" t="e">
        <f ca="1">_xll.BDH($C$253,"INV_TO_CASH_DAYS","FY 2015","FY 2015","Currency=INR","Period=FY","BEST_FPERIOD_OVERRIDE=FY","FILING_STATUS=OR","EQY_CONSOLIDATED=Y","FA_ADJUSTED=GAAP","Sort=A","Dates=H","DateFormat=P","Fill=—","Direction=H","UseDPDF=Y")</f>
        <v>#NAME?</v>
      </c>
      <c r="DE258" s="4" t="e">
        <f ca="1">_xll.BDH($C$253,"BS_INVENTORIES","FY 2015","FY 2015","Currency=INR","Period=FY","BEST_FPERIOD_OVERRIDE=FY","FILING_STATUS=OR","EQY_CONSOLIDATED=Y","SCALING_FORMAT=MLN","Sort=A","Dates=H","DateFormat=P","Fill=—","Direction=H","UseDPDF=Y")</f>
        <v>#NAME?</v>
      </c>
      <c r="DF258" s="2" t="e">
        <f ca="1">_xll.BDH($C$253,"INVTRY_RAW_MATERIALS","FY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58" s="2" t="e">
        <f ca="1">_xll.BDH($C$253,"INVTRY_IN_PROGRESS","FY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58" s="2" t="e">
        <f ca="1">_xll.BDH($C$253,"INVTRY_FINISHED_GOODS","FY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58" s="2" t="e">
        <f ca="1">_xll.BDH($C$253,"BS_OTHER_INV","FY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59" spans="1:113" x14ac:dyDescent="0.3">
      <c r="A259" s="6"/>
      <c r="B259" s="6"/>
      <c r="C259" s="6"/>
      <c r="D259" s="6"/>
      <c r="E259" t="s">
        <v>4</v>
      </c>
      <c r="F259" t="e">
        <f ca="1">_xll.BDH($C$253,"RETURN_COM_EQY","FQ1 2015","FQ1 2015","Currency=INR","Period=FQ","BEST_FPERIOD_OVERRIDE=FQ","FILING_STATUS=OR","EQY_CONSOLIDATED=Y","FA_ADJUSTED=GAAP","Sort=A","Dates=H","DateFormat=P","Fill=—","Direction=H","UseDPDF=Y")</f>
        <v>#NAME?</v>
      </c>
      <c r="G259" t="e">
        <f ca="1">_xll.BDH($C$253,"RETURN_ON_ASSET","FQ1 2015","FQ1 2015","Currency=INR","Period=FQ","BEST_FPERIOD_OVERRIDE=FQ","FILING_STATUS=OR","EQY_CONSOLIDATED=Y","FA_ADJUSTED=GAAP","Sort=A","Dates=H","DateFormat=P","Fill=—","Direction=H","UseDPDF=Y")</f>
        <v>#NAME?</v>
      </c>
      <c r="H259" t="e">
        <f ca="1">_xll.BDH($C$253,"RETURN_ON_CAP","FQ1 2015","FQ1 2015","Currency=INR","Period=FQ","BEST_FPERIOD_OVERRIDE=FQ","FILING_STATUS=OR","EQY_CONSOLIDATED=Y","FA_ADJUSTED=GAAP","Sort=A","Dates=H","DateFormat=P","Fill=—","Direction=H","UseDPDF=Y")</f>
        <v>#NAME?</v>
      </c>
      <c r="I259" t="e">
        <f ca="1">_xll.BDH($C$253,"RETURN_ON_INV_CAPITAL","FQ1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59" t="e">
        <f ca="1">_xll.BDH($C$253,"EBITDA_TO_REVENUE","FQ1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259" t="e">
        <f ca="1">_xll.BDH($C$253,"OPER_MARGIN","FQ1 2015","FQ1 2015","Currency=INR","Period=FQ","BEST_FPERIOD_OVERRIDE=FQ","FILING_STATUS=OR","EQY_CONSOLIDATED=Y","FA_ADJUSTED=GAAP","Sort=A","Dates=H","DateFormat=P","Fill=—","Direction=H","UseDPDF=Y")</f>
        <v>#NAME?</v>
      </c>
      <c r="L259" t="e">
        <f ca="1">_xll.BDH($C$253,"INCREMENTAL_OPERATING_MARGIN","FQ1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59" t="e">
        <f ca="1">_xll.BDH($C$253,"PRETAX_INC_TO_NET_SALES","FQ1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59" t="e">
        <f ca="1">_xll.BDH($C$253,"INC_BEF_XO_ITEMS_TO_NET_SALES","FQ1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59" t="e">
        <f ca="1">_xll.BDH($C$253,"PROF_MARGIN","FQ1 2015","FQ1 2015","Currency=INR","Period=FQ","BEST_FPERIOD_OVERRIDE=FQ","FILING_STATUS=OR","EQY_CONSOLIDATED=Y","FA_ADJUSTED=GAAP","Sort=A","Dates=H","DateFormat=P","Fill=—","Direction=H","UseDPDF=Y")</f>
        <v>#NAME?</v>
      </c>
      <c r="P259" t="e">
        <f ca="1">_xll.BDH($C$253,"NET_INCOME_TO_COMMON_MARGIN","FQ1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59" t="e">
        <f ca="1">_xll.BDH($C$253,"EFF_TAX_RATE","FQ1 2015","FQ1 2015","Currency=INR","Period=FQ","BEST_FPERIOD_OVERRIDE=FQ","FILING_STATUS=OR","EQY_CONSOLIDATED=Y","FA_ADJUSTED=GAAP","Sort=A","Dates=H","DateFormat=P","Fill=—","Direction=H","UseDPDF=Y")</f>
        <v>#NAME?</v>
      </c>
      <c r="R259" t="e">
        <f ca="1">_xll.BDH($C$253,"DVD_PAYOUT_RATIO","FQ1 2015","FQ1 2015","Currency=INR","Period=FQ","BEST_FPERIOD_OVERRIDE=FQ","FILING_STATUS=OR","EQY_CONSOLIDATED=Y","FA_ADJUSTED=GAAP","Sort=A","Dates=H","DateFormat=P","Fill=—","Direction=H","UseDPDF=Y")</f>
        <v>#NAME?</v>
      </c>
      <c r="S259" t="e">
        <f ca="1">_xll.BDH($C$253,"SUSTAIN_GROWTH_RT","FQ1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259" s="1" t="e">
        <f ca="1">_xll.BDH($C$253,"SALES_GROWTH","FQ1 2015","FQ1 2015","Currency=INR","Period=FQ","BEST_FPERIOD_OVERRIDE=FQ","FILING_STATUS=OR","EQY_CONSOLIDATED=Y","FA_ADJUSTED=GAAP","Sort=A","Dates=H","DateFormat=P","Fill=—","Direction=H","UseDPDF=Y")</f>
        <v>#NAME?</v>
      </c>
      <c r="U259" s="1" t="e">
        <f ca="1">_xll.BDH($C$253,"EBITDA_GROWTH","FQ1 2015","FQ1 2015","Currency=INR","Period=FQ","BEST_FPERIOD_OVERRIDE=FQ","FILING_STATUS=OR","EQY_CONSOLIDATED=Y","FA_ADJUSTED=GAAP","Sort=A","Dates=H","DateFormat=P","Fill=—","Direction=H","UseDPDF=Y")</f>
        <v>#NAME?</v>
      </c>
      <c r="V259" s="1" t="e">
        <f ca="1">_xll.BDH($C$253,"OPER_INC_GROWTH","FQ1 2015","FQ1 2015","Currency=INR","Period=FQ","BEST_FPERIOD_OVERRIDE=FQ","FILING_STATUS=OR","EQY_CONSOLIDATED=Y","FA_ADJUSTED=GAAP","Sort=A","Dates=H","DateFormat=P","Fill=—","Direction=H","UseDPDF=Y")</f>
        <v>#NAME?</v>
      </c>
      <c r="W259" s="1" t="e">
        <f ca="1">_xll.BDH($C$253,"EARN_FOR_COM_GROWTH","FQ1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59" s="1" t="e">
        <f ca="1">_xll.BDH($C$253,"DILUTED_EPS_AFT_XO_ITEMS_GROWTH","FQ1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59" s="1" t="e">
        <f ca="1">_xll.BDH($C$253,"DIVIDEND_PER_SHARE_1_YEAR_GROWTH","FQ1 2015","FQ1 2015","Currency=INR","Period=FQ","BEST_FPERIOD_OVERRIDE=FQ","FILING_STATUS=OR","EQY_CONSOLIDATED=Y","Sort=A","Dates=H","DateFormat=P","Fill=—","Direction=H","UseDPDF=Y")</f>
        <v>#NAME?</v>
      </c>
      <c r="Z259" s="1" t="e">
        <f ca="1">_xll.BDH($C$253,"ACCOUNTS_RECEIVABLE_GROWTH","FQ1 2015","FQ1 2015","Currency=INR","Period=FQ","BEST_FPERIOD_OVERRIDE=FQ","FILING_STATUS=OR","EQY_CONSOLIDATED=Y","Sort=A","Dates=H","DateFormat=P","Fill=—","Direction=H","UseDPDF=Y")</f>
        <v>#NAME?</v>
      </c>
      <c r="AA259" s="1" t="e">
        <f ca="1">_xll.BDH($C$253,"INVENTORY_GROWTH","FQ1 2015","FQ1 2015","Currency=INR","Period=FQ","BEST_FPERIOD_OVERRIDE=FQ","FILING_STATUS=OR","EQY_CONSOLIDATED=Y","Sort=A","Dates=H","DateFormat=P","Fill=—","Direction=H","UseDPDF=Y")</f>
        <v>#NAME?</v>
      </c>
      <c r="AB259" s="1" t="e">
        <f ca="1">_xll.BDH($C$253,"NET_FIXED_ASSETS_1_YEAR_GROWTH","FQ1 2015","FQ1 2015","Currency=INR","Period=FQ","BEST_FPERIOD_OVERRIDE=FQ","FILING_STATUS=OR","EQY_CONSOLIDATED=Y","Sort=A","Dates=H","DateFormat=P","Fill=—","Direction=H","UseDPDF=Y")</f>
        <v>#NAME?</v>
      </c>
      <c r="AC259" s="1" t="e">
        <f ca="1">_xll.BDH($C$253,"ASSET_GROWTH","FQ1 2015","FQ1 2015","Currency=INR","Period=FQ","BEST_FPERIOD_OVERRIDE=FQ","FILING_STATUS=OR","EQY_CONSOLIDATED=Y","Sort=A","Dates=H","DateFormat=P","Fill=—","Direction=H","UseDPDF=Y")</f>
        <v>#NAME?</v>
      </c>
      <c r="AD259" s="1" t="e">
        <f ca="1">_xll.BDH($C$253,"MODIFIED_WORK_CAP_GROWTH","FQ1 2015","FQ1 2015","Currency=INR","Period=FQ","BEST_FPERIOD_OVERRIDE=FQ","FILING_STATUS=OR","EQY_CONSOLIDATED=Y","Sort=A","Dates=H","DateFormat=P","Fill=—","Direction=H","UseDPDF=Y")</f>
        <v>#NAME?</v>
      </c>
      <c r="AE259" s="1" t="e">
        <f ca="1">_xll.BDH($C$253,"WORK_CAP_GROWTH","FQ1 2015","FQ1 2015","Currency=INR","Period=FQ","BEST_FPERIOD_OVERRIDE=FQ","FILING_STATUS=OR","EQY_CONSOLIDATED=Y","Sort=A","Dates=H","DateFormat=P","Fill=—","Direction=H","UseDPDF=Y")</f>
        <v>#NAME?</v>
      </c>
      <c r="AF259" s="1" t="e">
        <f ca="1">_xll.BDH($C$253,"ACCOUNTS_PAYABLE_GROWTH_1YR","FQ1 2015","FQ1 2015","Currency=INR","Period=FQ","BEST_FPERIOD_OVERRIDE=FQ","FILING_STATUS=OR","EQY_CONSOLIDATED=Y","Sort=A","Dates=H","DateFormat=P","Fill=—","Direction=H","UseDPDF=Y")</f>
        <v>#NAME?</v>
      </c>
      <c r="AG259" s="1" t="e">
        <f ca="1">_xll.BDH($C$253,"SHORT_TERM_DEBT_1_YEAR_GROWTH","FQ1 2015","FQ1 2015","Currency=INR","Period=FQ","BEST_FPERIOD_OVERRIDE=FQ","FILING_STATUS=OR","EQY_CONSOLIDATED=Y","Sort=A","Dates=H","DateFormat=P","Fill=—","Direction=H","UseDPDF=Y")</f>
        <v>#NAME?</v>
      </c>
      <c r="AH259" s="1" t="e">
        <f ca="1">_xll.BDH($C$253,"TOTAL_DEBT_1_YEAR_GROWTH","FQ1 2015","FQ1 2015","Currency=INR","Period=FQ","BEST_FPERIOD_OVERRIDE=FQ","FILING_STATUS=OR","EQY_CONSOLIDATED=Y","Sort=A","Dates=H","DateFormat=P","Fill=—","Direction=H","UseDPDF=Y")</f>
        <v>#NAME?</v>
      </c>
      <c r="AI259" s="1" t="e">
        <f ca="1">_xll.BDH($C$253,"TOTAL_EQUITY_1_YEAR_GROWTH","FQ1 2015","FQ1 2015","Currency=INR","Period=FQ","BEST_FPERIOD_OVERRIDE=FQ","FILING_STATUS=OR","EQY_CONSOLIDATED=Y","Sort=A","Dates=H","DateFormat=P","Fill=—","Direction=H","UseDPDF=Y")</f>
        <v>#NAME?</v>
      </c>
      <c r="AJ259" s="1" t="e">
        <f ca="1">_xll.BDH($C$253,"GROWTH_IN_CAP","FQ1 2015","FQ1 2015","Currency=INR","Period=FQ","BEST_FPERIOD_OVERRIDE=FQ","FILING_STATUS=OR","EQY_CONSOLIDATED=Y","Sort=A","Dates=H","DateFormat=P","Fill=—","Direction=H","UseDPDF=Y")</f>
        <v>#NAME?</v>
      </c>
      <c r="AK259" s="1" t="e">
        <f ca="1">_xll.BDH($C$253,"BVPS_GROWTH","FQ1 2015","FQ1 2015","Currency=INR","Period=FQ","BEST_FPERIOD_OVERRIDE=FQ","FILING_STATUS=OR","EQY_CONSOLIDATED=Y","Sort=A","Dates=H","DateFormat=P","Fill=—","Direction=H","UseDPDF=Y")</f>
        <v>#NAME?</v>
      </c>
      <c r="AL259" s="1" t="e">
        <f ca="1">_xll.BDH($C$253,"CASH_FLOW_GROWTH","FQ1 2015","FQ1 2015","Currency=INR","Period=FQ","BEST_FPERIOD_OVERRIDE=FQ","FILING_STATUS=OR","EQY_CONSOLIDATED=Y","Sort=A","Dates=H","DateFormat=P","Fill=—","Direction=H","UseDPDF=Y")</f>
        <v>#NAME?</v>
      </c>
      <c r="AM259" s="1" t="e">
        <f ca="1">_xll.BDH($C$253,"GEO_GROW_NET_SALES","FQ1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59" s="1" t="e">
        <f ca="1">_xll.BDH($C$253,"GEO_GROW_EBITDA","FQ1 2015","FQ1 2015","Currency=INR","Period=FQ","BEST_FPERIOD_OVERRIDE=FQ","FILING_STATUS=OR","EQY_CONSOLIDATED=Y","FA_ADJUSTED=GAAP","Sort=A","Dates=H","DateFormat=P","Fill=—","Direction=H","UseDPDF=Y")</f>
        <v>#NAME?</v>
      </c>
      <c r="AO259" s="1" t="e">
        <f ca="1">_xll.BDH($C$253,"GEO_GROW_OPER_INC","FQ1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59" s="1" t="e">
        <f ca="1">_xll.BDH($C$253,"NET_INCOME_TO_COMMON_5_YR_GROWTH","FQ1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59" s="1" t="e">
        <f ca="1">_xll.BDH($C$253,"5Y_GEO_GROWTH_DILUTED_EPS","FQ1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59" s="1" t="e">
        <f ca="1">_xll.BDH($C$253,"GEO_GROW_DVD_PER_SH","FQ1 2015","FQ1 2015","Currency=INR","Period=FQ","BEST_FPERIOD_OVERRIDE=FQ","FILING_STATUS=OR","EQY_CONSOLIDATED=Y","Sort=A","Dates=H","DateFormat=P","Fill=—","Direction=H","UseDPDF=Y")</f>
        <v>#NAME?</v>
      </c>
      <c r="AS259" s="1" t="e">
        <f ca="1">_xll.BDH($C$253,"ACCOUNTS_RECEIVABLE_5_YR_GROWTH","FQ1 2015","FQ1 2015","Currency=INR","Period=FQ","BEST_FPERIOD_OVERRIDE=FQ","FILING_STATUS=OR","EQY_CONSOLIDATED=Y","Sort=A","Dates=H","DateFormat=P","Fill=—","Direction=H","UseDPDF=Y")</f>
        <v>#NAME?</v>
      </c>
      <c r="AT259" s="1" t="e">
        <f ca="1">_xll.BDH($C$253,"INVENTORY_5_YEAR_GROWTH","FQ1 2015","FQ1 2015","Currency=INR","Period=FQ","BEST_FPERIOD_OVERRIDE=FQ","FILING_STATUS=OR","EQY_CONSOLIDATED=Y","Sort=A","Dates=H","DateFormat=P","Fill=—","Direction=H","UseDPDF=Y")</f>
        <v>#NAME?</v>
      </c>
      <c r="AU259" s="1" t="e">
        <f ca="1">_xll.BDH($C$253,"NET_FIXED_ASSETS_5_YEAR_GROWTH","FQ1 2015","FQ1 2015","Currency=INR","Period=FQ","BEST_FPERIOD_OVERRIDE=FQ","FILING_STATUS=OR","EQY_CONSOLIDATED=Y","Sort=A","Dates=H","DateFormat=P","Fill=—","Direction=H","UseDPDF=Y")</f>
        <v>#NAME?</v>
      </c>
      <c r="AV259" s="1" t="e">
        <f ca="1">_xll.BDH($C$253,"GEO_GROW_TOT_ASSET","FQ1 2015","FQ1 2015","Currency=INR","Period=FQ","BEST_FPERIOD_OVERRIDE=FQ","FILING_STATUS=OR","EQY_CONSOLIDATED=Y","Sort=A","Dates=H","DateFormat=P","Fill=—","Direction=H","UseDPDF=Y")</f>
        <v>#NAME?</v>
      </c>
      <c r="AW259" s="1" t="e">
        <f ca="1">_xll.BDH($C$253,"MODIFIED_WORKING_CPTL_5YR_GRWTH","FQ1 2015","FQ1 2015","Currency=INR","Period=FQ","BEST_FPERIOD_OVERRIDE=FQ","FILING_STATUS=OR","EQY_CONSOLIDATED=Y","Sort=A","Dates=H","DateFormat=P","Fill=—","Direction=H","UseDPDF=Y")</f>
        <v>#NAME?</v>
      </c>
      <c r="AX259" s="1" t="e">
        <f ca="1">_xll.BDH($C$253,"WORKING_CAPITAL_5_YEAR_GROWTH","FQ1 2015","FQ1 2015","Currency=INR","Period=FQ","BEST_FPERIOD_OVERRIDE=FQ","FILING_STATUS=OR","EQY_CONSOLIDATED=Y","Sort=A","Dates=H","DateFormat=P","Fill=—","Direction=H","UseDPDF=Y")</f>
        <v>#NAME?</v>
      </c>
      <c r="AY259" s="1" t="e">
        <f ca="1">_xll.BDH($C$253,"ACCOUNTS_PAYABLE_5_YEAR_GROWTH","FQ1 2015","FQ1 2015","Currency=INR","Period=FQ","BEST_FPERIOD_OVERRIDE=FQ","FILING_STATUS=OR","EQY_CONSOLIDATED=Y","Sort=A","Dates=H","DateFormat=P","Fill=—","Direction=H","UseDPDF=Y")</f>
        <v>#NAME?</v>
      </c>
      <c r="AZ259" s="1" t="e">
        <f ca="1">_xll.BDH($C$253,"SHORT_TERM_DEBT_5_YEAR_GROWTH","FQ1 2015","FQ1 2015","Currency=INR","Period=FQ","BEST_FPERIOD_OVERRIDE=FQ","FILING_STATUS=OR","EQY_CONSOLIDATED=Y","Sort=A","Dates=H","DateFormat=P","Fill=—","Direction=H","UseDPDF=Y")</f>
        <v>#NAME?</v>
      </c>
      <c r="BA259" s="1" t="e">
        <f ca="1">_xll.BDH($C$253,"TOTAL_DEBT_5_YEAR_GROWTH","FQ1 2015","FQ1 2015","Currency=INR","Period=FQ","BEST_FPERIOD_OVERRIDE=FQ","FILING_STATUS=OR","EQY_CONSOLIDATED=Y","Sort=A","Dates=H","DateFormat=P","Fill=—","Direction=H","UseDPDF=Y")</f>
        <v>#NAME?</v>
      </c>
      <c r="BB259" s="1" t="e">
        <f ca="1">_xll.BDH($C$253,"GEO_GROW_TOT_SHRHLDR_EQY","FQ1 2015","FQ1 2015","Currency=INR","Period=FQ","BEST_FPERIOD_OVERRIDE=FQ","FILING_STATUS=OR","EQY_CONSOLIDATED=Y","Sort=A","Dates=H","DateFormat=P","Fill=—","Direction=H","UseDPDF=Y")</f>
        <v>#NAME?</v>
      </c>
      <c r="BC259" s="1" t="e">
        <f ca="1">_xll.BDH($C$253,"TOTAL_CAPITAL_5_YEAR_GROWTH","FQ1 2015","FQ1 2015","Currency=INR","Period=FQ","BEST_FPERIOD_OVERRIDE=FQ","FILING_STATUS=OR","EQY_CONSOLIDATED=Y","Sort=A","Dates=H","DateFormat=P","Fill=—","Direction=H","UseDPDF=Y")</f>
        <v>#NAME?</v>
      </c>
      <c r="BD259" s="1" t="e">
        <f ca="1">_xll.BDH($C$253,"GEO_GROW_BOOK_VAL","FQ1 2015","FQ1 2015","Currency=INR","Period=FQ","BEST_FPERIOD_OVERRIDE=FQ","FILING_STATUS=OR","EQY_CONSOLIDATED=Y","Sort=A","Dates=H","DateFormat=P","Fill=—","Direction=H","UseDPDF=Y")</f>
        <v>#NAME?</v>
      </c>
      <c r="BE259" s="1" t="e">
        <f ca="1">_xll.BDH($C$253,"GEO_GROW_CASH_OPER_ACT","FQ1 2015","FQ1 2015","Currency=INR","Period=FQ","BEST_FPERIOD_OVERRIDE=FQ","FILING_STATUS=OR","EQY_CONSOLIDATED=Y","Sort=A","Dates=H","DateFormat=P","Fill=—","Direction=H","UseDPDF=Y")</f>
        <v>#NAME?</v>
      </c>
      <c r="BF259" s="1" t="e">
        <f ca="1">_xll.BDH($C$253,"REVENUE_SEQUENTIAL_GROWTH","FQ1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59" s="1" t="e">
        <f ca="1">_xll.BDH($C$253,"EBITDA_SEQUENTIAL_GROWTH","FQ1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59" s="1" t="e">
        <f ca="1">_xll.BDH($C$253,"OPERATING_INCOME_SEQ_GROWTH","FQ1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59" s="1" t="e">
        <f ca="1">_xll.BDH($C$253,"NET_INCOME_TO_COMMON_SEQ_GROWTH","FQ1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59" s="1" t="e">
        <f ca="1">_xll.BDH($C$253,"EPS_DILUTED_SEQUENTIAL_GROWTH","FQ1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59" s="1" t="e">
        <f ca="1">_xll.BDH($C$253,"DPS_SEQUENTIAL_GROWTH","FQ1 2015","FQ1 2015","Currency=INR","Period=FQ","BEST_FPERIOD_OVERRIDE=FQ","FILING_STATUS=OR","EQY_CONSOLIDATED=Y","Sort=A","Dates=H","DateFormat=P","Fill=—","Direction=H","UseDPDF=Y")</f>
        <v>#NAME?</v>
      </c>
      <c r="BL259" s="1" t="e">
        <f ca="1">_xll.BDH($C$253,"ACCOUNTS_RECEIVABLE_SEQ_GROWTH","FQ1 2015","FQ1 2015","Currency=INR","Period=FQ","BEST_FPERIOD_OVERRIDE=FQ","FILING_STATUS=OR","EQY_CONSOLIDATED=Y","Sort=A","Dates=H","DateFormat=P","Fill=—","Direction=H","UseDPDF=Y")</f>
        <v>#NAME?</v>
      </c>
      <c r="BM259" s="1" t="e">
        <f ca="1">_xll.BDH($C$253,"INVENTORY_SEQUENTIAL_GROWTH","FQ1 2015","FQ1 2015","Currency=INR","Period=FQ","BEST_FPERIOD_OVERRIDE=FQ","FILING_STATUS=OR","EQY_CONSOLIDATED=Y","Sort=A","Dates=H","DateFormat=P","Fill=—","Direction=H","UseDPDF=Y")</f>
        <v>#NAME?</v>
      </c>
      <c r="BN259" s="1" t="e">
        <f ca="1">_xll.BDH($C$253,"FIXED_ASSETS_SEQUENTIAL_GROWTH","FQ1 2015","FQ1 2015","Currency=INR","Period=FQ","BEST_FPERIOD_OVERRIDE=FQ","FILING_STATUS=OR","EQY_CONSOLIDATED=Y","Sort=A","Dates=H","DateFormat=P","Fill=—","Direction=H","UseDPDF=Y")</f>
        <v>#NAME?</v>
      </c>
      <c r="BO259" s="1" t="e">
        <f ca="1">_xll.BDH($C$253,"TOTAL_ASSETS_SEQUENTIAL_GROWTH","FQ1 2015","FQ1 2015","Currency=INR","Period=FQ","BEST_FPERIOD_OVERRIDE=FQ","FILING_STATUS=OR","EQY_CONSOLIDATED=Y","Sort=A","Dates=H","DateFormat=P","Fill=—","Direction=H","UseDPDF=Y")</f>
        <v>#NAME?</v>
      </c>
      <c r="BP259" s="1" t="e">
        <f ca="1">_xll.BDH($C$253,"MODIFIED_WORKING_CPTL_SEQ_GRWTH","FQ1 2015","FQ1 2015","Currency=INR","Period=FQ","BEST_FPERIOD_OVERRIDE=FQ","FILING_STATUS=OR","EQY_CONSOLIDATED=Y","Sort=A","Dates=H","DateFormat=P","Fill=—","Direction=H","UseDPDF=Y")</f>
        <v>#NAME?</v>
      </c>
      <c r="BQ259" s="1" t="e">
        <f ca="1">_xll.BDH($C$253,"WORKING_CAPITAL_SEQ_GROWTH","FQ1 2015","FQ1 2015","Currency=INR","Period=FQ","BEST_FPERIOD_OVERRIDE=FQ","FILING_STATUS=OR","EQY_CONSOLIDATED=Y","Sort=A","Dates=H","DateFormat=P","Fill=—","Direction=H","UseDPDF=Y")</f>
        <v>#NAME?</v>
      </c>
      <c r="BR259" s="1" t="e">
        <f ca="1">_xll.BDH($C$253,"ACCOUNTS_PAYABLE_SEQ_GROWTH","FQ1 2015","FQ1 2015","Currency=INR","Period=FQ","BEST_FPERIOD_OVERRIDE=FQ","FILING_STATUS=OR","EQY_CONSOLIDATED=Y","Sort=A","Dates=H","DateFormat=P","Fill=—","Direction=H","UseDPDF=Y")</f>
        <v>#NAME?</v>
      </c>
      <c r="BS259" s="1" t="e">
        <f ca="1">_xll.BDH($C$253,"ST_DEBT_SEQUENTIAL_GROWTH","FQ1 2015","FQ1 2015","Currency=INR","Period=FQ","BEST_FPERIOD_OVERRIDE=FQ","FILING_STATUS=OR","EQY_CONSOLIDATED=Y","Sort=A","Dates=H","DateFormat=P","Fill=—","Direction=H","UseDPDF=Y")</f>
        <v>#NAME?</v>
      </c>
      <c r="BT259" s="1" t="e">
        <f ca="1">_xll.BDH($C$253,"TOTAL_DEBT_SEQUENTIAL_GROWTH","FQ1 2015","FQ1 2015","Currency=INR","Period=FQ","BEST_FPERIOD_OVERRIDE=FQ","FILING_STATUS=OR","EQY_CONSOLIDATED=Y","Sort=A","Dates=H","DateFormat=P","Fill=—","Direction=H","UseDPDF=Y")</f>
        <v>#NAME?</v>
      </c>
      <c r="BU259" s="1" t="e">
        <f ca="1">_xll.BDH($C$253,"TOTAL_EQUITY_SEQUENTIAL_GROWTH","FQ1 2015","FQ1 2015","Currency=INR","Period=FQ","BEST_FPERIOD_OVERRIDE=FQ","FILING_STATUS=OR","EQY_CONSOLIDATED=Y","Sort=A","Dates=H","DateFormat=P","Fill=—","Direction=H","UseDPDF=Y")</f>
        <v>#NAME?</v>
      </c>
      <c r="BV259" s="1" t="e">
        <f ca="1">_xll.BDH($C$253,"TOTAL_CAPITAL_SEQUENTIAL_GROWTH","FQ1 2015","FQ1 2015","Currency=INR","Period=FQ","BEST_FPERIOD_OVERRIDE=FQ","FILING_STATUS=OR","EQY_CONSOLIDATED=Y","Sort=A","Dates=H","DateFormat=P","Fill=—","Direction=H","UseDPDF=Y")</f>
        <v>#NAME?</v>
      </c>
      <c r="BW259" s="1" t="e">
        <f ca="1">_xll.BDH($C$253,"BPS_SEQUENTIAL_GROWTH","FQ1 2015","FQ1 2015","Currency=INR","Period=FQ","BEST_FPERIOD_OVERRIDE=FQ","FILING_STATUS=OR","EQY_CONSOLIDATED=Y","Sort=A","Dates=H","DateFormat=P","Fill=—","Direction=H","UseDPDF=Y")</f>
        <v>#NAME?</v>
      </c>
      <c r="BX259" s="1" t="e">
        <f ca="1">_xll.BDH($C$253,"CFO_SEQUENTIAL_GROWTH","FQ1 2015","FQ1 2015","Currency=INR","Period=FQ","BEST_FPERIOD_OVERRIDE=FQ","FILING_STATUS=OR","EQY_CONSOLIDATED=Y","Sort=A","Dates=H","DateFormat=P","Fill=—","Direction=H","UseDPDF=Y")</f>
        <v>#NAME?</v>
      </c>
      <c r="BY259" s="2" t="e">
        <f ca="1">_xll.BDH($C$253,"SHORT_AND_LONG_TERM_DEBT","FQ1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59" s="2" t="e">
        <f ca="1">_xll.BDH($C$253,"BS_ST_BORROW","FQ1 2015","FQ1 2015","Currency=INR","Period=FQ","BEST_FPERIOD_OVERRIDE=FQ","FILING_STATUS=OR","EQY_CONSOLIDATED=Y","SCALING_FORMAT=MLN","Sort=A","Dates=H","DateFormat=P","Fill=—","Direction=H","UseDPDF=Y")</f>
        <v>#NAME?</v>
      </c>
      <c r="CA259" s="2" t="e">
        <f ca="1">_xll.BDH($C$253,"BS_LT_BORROW","FQ1 2015","FQ1 2015","Currency=INR","Period=FQ","BEST_FPERIOD_OVERRIDE=FQ","FILING_STATUS=OR","EQY_CONSOLIDATED=Y","SCALING_FORMAT=MLN","Sort=A","Dates=H","DateFormat=P","Fill=—","Direction=H","UseDPDF=Y")</f>
        <v>#NAME?</v>
      </c>
      <c r="CB259" s="1" t="e">
        <f ca="1">_xll.BDH($C$253,"TOT_DEBT_TO_EBITDA","FQ1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59" s="1" t="e">
        <f ca="1">_xll.BDH($C$253,"NET_DEBT_TO_EBITDA","FQ1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59" s="1" t="e">
        <f ca="1">_xll.BDH($C$253,"TOTAL_DEBT_TO_EBIT","FQ1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59" s="1" t="e">
        <f ca="1">_xll.BDH($C$253,"NET_DEBT_TO_EBIT","FQ1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259" s="1" t="e">
        <f ca="1">_xll.BDH($C$253,"EBITDA_TO_INTEREST_EXPN","FQ1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59" s="1" t="e">
        <f ca="1">_xll.BDH($C$253,"COM_EQY_TO_TOT_ASSET","FQ1 2015","FQ1 2015","Currency=INR","Period=FQ","BEST_FPERIOD_OVERRIDE=FQ","FILING_STATUS=OR","EQY_CONSOLIDATED=Y","Sort=A","Dates=H","DateFormat=P","Fill=—","Direction=H","UseDPDF=Y")</f>
        <v>#NAME?</v>
      </c>
      <c r="CH259" s="1" t="e">
        <f ca="1">_xll.BDH($C$253,"LT_DEBT_TO_TOT_EQY","FQ1 2015","FQ1 2015","Currency=INR","Period=FQ","BEST_FPERIOD_OVERRIDE=FQ","FILING_STATUS=OR","EQY_CONSOLIDATED=Y","Sort=A","Dates=H","DateFormat=P","Fill=—","Direction=H","UseDPDF=Y")</f>
        <v>#NAME?</v>
      </c>
      <c r="CI259" s="1" t="e">
        <f ca="1">_xll.BDH($C$253,"LT_DEBT_TO_TOT_CAP","FQ1 2015","FQ1 2015","Currency=INR","Period=FQ","BEST_FPERIOD_OVERRIDE=FQ","FILING_STATUS=OR","EQY_CONSOLIDATED=Y","Sort=A","Dates=H","DateFormat=P","Fill=—","Direction=H","UseDPDF=Y")</f>
        <v>#NAME?</v>
      </c>
      <c r="CJ259" s="1" t="e">
        <f ca="1">_xll.BDH($C$253,"LT_DEBT_TO_TOT_ASSET","FQ1 2015","FQ1 2015","Currency=INR","Period=FQ","BEST_FPERIOD_OVERRIDE=FQ","FILING_STATUS=OR","EQY_CONSOLIDATED=Y","Sort=A","Dates=H","DateFormat=P","Fill=—","Direction=H","UseDPDF=Y")</f>
        <v>#NAME?</v>
      </c>
      <c r="CK259" s="1" t="e">
        <f ca="1">_xll.BDH($C$253,"TOT_DEBT_TO_TOT_EQY","FQ1 2015","FQ1 2015","Currency=INR","Period=FQ","BEST_FPERIOD_OVERRIDE=FQ","FILING_STATUS=OR","EQY_CONSOLIDATED=Y","Sort=A","Dates=H","DateFormat=P","Fill=—","Direction=H","UseDPDF=Y")</f>
        <v>#NAME?</v>
      </c>
      <c r="CL259" s="1" t="e">
        <f ca="1">_xll.BDH($C$253,"TOT_DEBT_TO_TOT_CAP","FQ1 2015","FQ1 2015","Currency=INR","Period=FQ","BEST_FPERIOD_OVERRIDE=FQ","FILING_STATUS=OR","EQY_CONSOLIDATED=Y","Sort=A","Dates=H","DateFormat=P","Fill=—","Direction=H","UseDPDF=Y")</f>
        <v>#NAME?</v>
      </c>
      <c r="CM259" s="1" t="e">
        <f ca="1">_xll.BDH($C$253,"TOT_DEBT_TO_TOT_ASSET","FQ1 2015","FQ1 2015","Currency=INR","Period=FQ","BEST_FPERIOD_OVERRIDE=FQ","FILING_STATUS=OR","EQY_CONSOLIDATED=Y","Sort=A","Dates=H","DateFormat=P","Fill=—","Direction=H","UseDPDF=Y")</f>
        <v>#NAME?</v>
      </c>
      <c r="CN259" s="1" t="e">
        <f ca="1">_xll.BDH($C$253,"NET_DEBT_TO_SHRHLDR_EQTY","FQ1 2015","FQ1 2015","Currency=INR","Period=FQ","BEST_FPERIOD_OVERRIDE=FQ","FILING_STATUS=OR","EQY_CONSOLIDATED=Y","Sort=A","Dates=H","DateFormat=P","Fill=—","Direction=H","UseDPDF=Y")</f>
        <v>#NAME?</v>
      </c>
      <c r="CO259" s="1" t="e">
        <f ca="1">_xll.BDH($C$253,"NET_DEBT_%_CAPITAL","FQ1 2015","FQ1 2015","Currency=INR","Period=FQ","BEST_FPERIOD_OVERRIDE=FQ","FILING_STATUS=OR","EQY_CONSOLIDATED=Y","Sort=A","Dates=H","DateFormat=P","Fill=—","Direction=H","UseDPDF=Y")</f>
        <v>#NAME?</v>
      </c>
      <c r="CP259" s="2" t="e">
        <f ca="1">_xll.BDH($C$253,"EBITDA","FQ1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59" s="2" t="e">
        <f ca="1">_xll.BDH($C$253,"EBITDA_AFTER_CAPEX","FQ1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59" s="2" t="e">
        <f ca="1">_xll.BDH($C$253,"IS_OPER_INC","FQ1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59" s="1" t="e">
        <f ca="1">_xll.BDH($C$253,"CASH_RATIO","FQ1 2015","FQ1 2015","Currency=INR","Period=FQ","BEST_FPERIOD_OVERRIDE=FQ","FILING_STATUS=OR","EQY_CONSOLIDATED=Y","Sort=A","Dates=H","DateFormat=P","Fill=—","Direction=H","UseDPDF=Y")</f>
        <v>#NAME?</v>
      </c>
      <c r="CT259" s="1" t="e">
        <f ca="1">_xll.BDH($C$253,"CUR_RATIO","FQ1 2015","FQ1 2015","Currency=INR","Period=FQ","BEST_FPERIOD_OVERRIDE=FQ","FILING_STATUS=OR","EQY_CONSOLIDATED=Y","Sort=A","Dates=H","DateFormat=P","Fill=—","Direction=H","UseDPDF=Y")</f>
        <v>#NAME?</v>
      </c>
      <c r="CU259" s="1" t="e">
        <f ca="1">_xll.BDH($C$253,"QUICK_RATIO","FQ1 2015","FQ1 2015","Currency=INR","Period=FQ","BEST_FPERIOD_OVERRIDE=FQ","FILING_STATUS=OR","EQY_CONSOLIDATED=Y","Sort=A","Dates=H","DateFormat=P","Fill=—","Direction=H","UseDPDF=Y")</f>
        <v>#NAME?</v>
      </c>
      <c r="CV259" s="1" t="e">
        <f ca="1">_xll.BDH($C$253,"ALTMAN_Z_SCORE","FQ1 2015","FQ1 2015","Currency=INR","Period=FQ","BEST_FPERIOD_OVERRIDE=FQ","FILING_STATUS=OR","EQY_CONSOLIDATED=Y","Sort=A","Dates=H","DateFormat=P","Fill=—","Direction=H","UseDPDF=Y")</f>
        <v>#NAME?</v>
      </c>
      <c r="CW259" s="3" t="e">
        <f ca="1">_xll.BDH($C$253,"ACCT_RCV_TURN","FQ1 2015","FQ1 2015","Currency=INR","Period=FQ","BEST_FPERIOD_OVERRIDE=FQ","FILING_STATUS=OR","EQY_CONSOLIDATED=Y","FA_ADJUSTED=GAAP","Sort=A","Dates=H","DateFormat=P","Fill=—","Direction=H","UseDPDF=Y")</f>
        <v>#NAME?</v>
      </c>
      <c r="CX259" s="1" t="e">
        <f ca="1">_xll.BDH($C$253,"ACCT_RCV_DAYS","FQ1 2015","FQ1 2015","Currency=INR","Period=FQ","BEST_FPERIOD_OVERRIDE=FQ","FILING_STATUS=OR","EQY_CONSOLIDATED=Y","FA_ADJUSTED=GAAP","Sort=A","Dates=H","DateFormat=P","Fill=—","Direction=H","UseDPDF=Y")</f>
        <v>#NAME?</v>
      </c>
      <c r="CY259" s="3" t="e">
        <f ca="1">_xll.BDH($C$253,"INVENT_TURN","FQ1 2015","FQ1 2015","Currency=INR","Period=FQ","BEST_FPERIOD_OVERRIDE=FQ","FILING_STATUS=OR","EQY_CONSOLIDATED=Y","FA_ADJUSTED=GAAP","Sort=A","Dates=H","DateFormat=P","Fill=—","Direction=H","UseDPDF=Y")</f>
        <v>#NAME?</v>
      </c>
      <c r="CZ259" s="1" t="e">
        <f ca="1">_xll.BDH($C$253,"INVENT_DAYS","FQ1 2015","FQ1 2015","Currency=INR","Period=FQ","BEST_FPERIOD_OVERRIDE=FQ","FILING_STATUS=OR","EQY_CONSOLIDATED=Y","FA_ADJUSTED=GAAP","Sort=A","Dates=H","DateFormat=P","Fill=—","Direction=H","UseDPDF=Y")</f>
        <v>#NAME?</v>
      </c>
      <c r="DA259" s="3" t="e">
        <f ca="1">_xll.BDH($C$253,"ACCOUNTS_PAYABLE_TURNOVER","FQ1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59" s="1" t="e">
        <f ca="1">_xll.BDH($C$253,"ACCOUNTS_PAYABLE_TURNOVER_DAYS","FQ1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59" s="3" t="e">
        <f ca="1">_xll.BDH($C$253,"CASH_CONVERSION_CYCLE","FQ1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59" s="3" t="e">
        <f ca="1">_xll.BDH($C$253,"INV_TO_CASH_DAYS","FQ1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259" s="4" t="e">
        <f ca="1">_xll.BDH($C$253,"BS_INVENTORIES","FQ1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259" s="2" t="e">
        <f ca="1">_xll.BDH($C$253,"INVTRY_RAW_MATERIALS","FQ1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59" s="2" t="e">
        <f ca="1">_xll.BDH($C$253,"INVTRY_IN_PROGRESS","FQ1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59" s="2" t="e">
        <f ca="1">_xll.BDH($C$253,"INVTRY_FINISHED_GOODS","FQ1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59" s="2" t="e">
        <f ca="1">_xll.BDH($C$253,"BS_OTHER_INV","FQ1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60" spans="1:113" x14ac:dyDescent="0.3">
      <c r="A260" s="6"/>
      <c r="B260" s="6"/>
      <c r="C260" s="6"/>
      <c r="D260" s="6"/>
      <c r="E260" t="s">
        <v>5</v>
      </c>
      <c r="F260" t="e">
        <f ca="1">_xll.BDH($C$253,"RETURN_COM_EQY","FQ2 2015","FQ2 2015","Currency=INR","Period=FQ","BEST_FPERIOD_OVERRIDE=FQ","FILING_STATUS=OR","EQY_CONSOLIDATED=Y","FA_ADJUSTED=GAAP","Sort=A","Dates=H","DateFormat=P","Fill=—","Direction=H","UseDPDF=Y")</f>
        <v>#NAME?</v>
      </c>
      <c r="G260" t="e">
        <f ca="1">_xll.BDH($C$253,"RETURN_ON_ASSET","FQ2 2015","FQ2 2015","Currency=INR","Period=FQ","BEST_FPERIOD_OVERRIDE=FQ","FILING_STATUS=OR","EQY_CONSOLIDATED=Y","FA_ADJUSTED=GAAP","Sort=A","Dates=H","DateFormat=P","Fill=—","Direction=H","UseDPDF=Y")</f>
        <v>#NAME?</v>
      </c>
      <c r="H260" t="e">
        <f ca="1">_xll.BDH($C$253,"RETURN_ON_CAP","FQ2 2015","FQ2 2015","Currency=INR","Period=FQ","BEST_FPERIOD_OVERRIDE=FQ","FILING_STATUS=OR","EQY_CONSOLIDATED=Y","FA_ADJUSTED=GAAP","Sort=A","Dates=H","DateFormat=P","Fill=—","Direction=H","UseDPDF=Y")</f>
        <v>#NAME?</v>
      </c>
      <c r="I260" t="e">
        <f ca="1">_xll.BDH($C$253,"RETURN_ON_INV_CAPITAL","FQ2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60" t="e">
        <f ca="1">_xll.BDH($C$253,"EBITDA_TO_REVENUE","FQ2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260" t="e">
        <f ca="1">_xll.BDH($C$253,"OPER_MARGIN","FQ2 2015","FQ2 2015","Currency=INR","Period=FQ","BEST_FPERIOD_OVERRIDE=FQ","FILING_STATUS=OR","EQY_CONSOLIDATED=Y","FA_ADJUSTED=GAAP","Sort=A","Dates=H","DateFormat=P","Fill=—","Direction=H","UseDPDF=Y")</f>
        <v>#NAME?</v>
      </c>
      <c r="L260" t="e">
        <f ca="1">_xll.BDH($C$253,"INCREMENTAL_OPERATING_MARGIN","FQ2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60" t="e">
        <f ca="1">_xll.BDH($C$253,"PRETAX_INC_TO_NET_SALES","FQ2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60" t="e">
        <f ca="1">_xll.BDH($C$253,"INC_BEF_XO_ITEMS_TO_NET_SALES","FQ2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60" t="e">
        <f ca="1">_xll.BDH($C$253,"PROF_MARGIN","FQ2 2015","FQ2 2015","Currency=INR","Period=FQ","BEST_FPERIOD_OVERRIDE=FQ","FILING_STATUS=OR","EQY_CONSOLIDATED=Y","FA_ADJUSTED=GAAP","Sort=A","Dates=H","DateFormat=P","Fill=—","Direction=H","UseDPDF=Y")</f>
        <v>#NAME?</v>
      </c>
      <c r="P260" t="e">
        <f ca="1">_xll.BDH($C$253,"NET_INCOME_TO_COMMON_MARGIN","FQ2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60" t="e">
        <f ca="1">_xll.BDH($C$253,"EFF_TAX_RATE","FQ2 2015","FQ2 2015","Currency=INR","Period=FQ","BEST_FPERIOD_OVERRIDE=FQ","FILING_STATUS=OR","EQY_CONSOLIDATED=Y","FA_ADJUSTED=GAAP","Sort=A","Dates=H","DateFormat=P","Fill=—","Direction=H","UseDPDF=Y")</f>
        <v>#NAME?</v>
      </c>
      <c r="R260" t="e">
        <f ca="1">_xll.BDH($C$253,"DVD_PAYOUT_RATIO","FQ2 2015","FQ2 2015","Currency=INR","Period=FQ","BEST_FPERIOD_OVERRIDE=FQ","FILING_STATUS=OR","EQY_CONSOLIDATED=Y","FA_ADJUSTED=GAAP","Sort=A","Dates=H","DateFormat=P","Fill=—","Direction=H","UseDPDF=Y")</f>
        <v>#NAME?</v>
      </c>
      <c r="S260" t="e">
        <f ca="1">_xll.BDH($C$253,"SUSTAIN_GROWTH_RT","FQ2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260" s="1" t="e">
        <f ca="1">_xll.BDH($C$253,"SALES_GROWTH","FQ2 2015","FQ2 2015","Currency=INR","Period=FQ","BEST_FPERIOD_OVERRIDE=FQ","FILING_STATUS=OR","EQY_CONSOLIDATED=Y","FA_ADJUSTED=GAAP","Sort=A","Dates=H","DateFormat=P","Fill=—","Direction=H","UseDPDF=Y")</f>
        <v>#NAME?</v>
      </c>
      <c r="U260" s="1" t="e">
        <f ca="1">_xll.BDH($C$253,"EBITDA_GROWTH","FQ2 2015","FQ2 2015","Currency=INR","Period=FQ","BEST_FPERIOD_OVERRIDE=FQ","FILING_STATUS=OR","EQY_CONSOLIDATED=Y","FA_ADJUSTED=GAAP","Sort=A","Dates=H","DateFormat=P","Fill=—","Direction=H","UseDPDF=Y")</f>
        <v>#NAME?</v>
      </c>
      <c r="V260" s="1" t="e">
        <f ca="1">_xll.BDH($C$253,"OPER_INC_GROWTH","FQ2 2015","FQ2 2015","Currency=INR","Period=FQ","BEST_FPERIOD_OVERRIDE=FQ","FILING_STATUS=OR","EQY_CONSOLIDATED=Y","FA_ADJUSTED=GAAP","Sort=A","Dates=H","DateFormat=P","Fill=—","Direction=H","UseDPDF=Y")</f>
        <v>#NAME?</v>
      </c>
      <c r="W260" s="1" t="e">
        <f ca="1">_xll.BDH($C$253,"EARN_FOR_COM_GROWTH","FQ2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60" s="1" t="e">
        <f ca="1">_xll.BDH($C$253,"DILUTED_EPS_AFT_XO_ITEMS_GROWTH","FQ2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60" s="1" t="e">
        <f ca="1">_xll.BDH($C$253,"DIVIDEND_PER_SHARE_1_YEAR_GROWTH","FQ2 2015","FQ2 2015","Currency=INR","Period=FQ","BEST_FPERIOD_OVERRIDE=FQ","FILING_STATUS=OR","EQY_CONSOLIDATED=Y","Sort=A","Dates=H","DateFormat=P","Fill=—","Direction=H","UseDPDF=Y")</f>
        <v>#NAME?</v>
      </c>
      <c r="Z260" s="1" t="e">
        <f ca="1">_xll.BDH($C$253,"ACCOUNTS_RECEIVABLE_GROWTH","FQ2 2015","FQ2 2015","Currency=INR","Period=FQ","BEST_FPERIOD_OVERRIDE=FQ","FILING_STATUS=OR","EQY_CONSOLIDATED=Y","Sort=A","Dates=H","DateFormat=P","Fill=—","Direction=H","UseDPDF=Y")</f>
        <v>#NAME?</v>
      </c>
      <c r="AA260" s="1" t="e">
        <f ca="1">_xll.BDH($C$253,"INVENTORY_GROWTH","FQ2 2015","FQ2 2015","Currency=INR","Period=FQ","BEST_FPERIOD_OVERRIDE=FQ","FILING_STATUS=OR","EQY_CONSOLIDATED=Y","Sort=A","Dates=H","DateFormat=P","Fill=—","Direction=H","UseDPDF=Y")</f>
        <v>#NAME?</v>
      </c>
      <c r="AB260" s="1" t="e">
        <f ca="1">_xll.BDH($C$253,"NET_FIXED_ASSETS_1_YEAR_GROWTH","FQ2 2015","FQ2 2015","Currency=INR","Period=FQ","BEST_FPERIOD_OVERRIDE=FQ","FILING_STATUS=OR","EQY_CONSOLIDATED=Y","Sort=A","Dates=H","DateFormat=P","Fill=—","Direction=H","UseDPDF=Y")</f>
        <v>#NAME?</v>
      </c>
      <c r="AC260" s="1" t="e">
        <f ca="1">_xll.BDH($C$253,"ASSET_GROWTH","FQ2 2015","FQ2 2015","Currency=INR","Period=FQ","BEST_FPERIOD_OVERRIDE=FQ","FILING_STATUS=OR","EQY_CONSOLIDATED=Y","Sort=A","Dates=H","DateFormat=P","Fill=—","Direction=H","UseDPDF=Y")</f>
        <v>#NAME?</v>
      </c>
      <c r="AD260" s="1" t="e">
        <f ca="1">_xll.BDH($C$253,"MODIFIED_WORK_CAP_GROWTH","FQ2 2015","FQ2 2015","Currency=INR","Period=FQ","BEST_FPERIOD_OVERRIDE=FQ","FILING_STATUS=OR","EQY_CONSOLIDATED=Y","Sort=A","Dates=H","DateFormat=P","Fill=—","Direction=H","UseDPDF=Y")</f>
        <v>#NAME?</v>
      </c>
      <c r="AE260" s="1" t="e">
        <f ca="1">_xll.BDH($C$253,"WORK_CAP_GROWTH","FQ2 2015","FQ2 2015","Currency=INR","Period=FQ","BEST_FPERIOD_OVERRIDE=FQ","FILING_STATUS=OR","EQY_CONSOLIDATED=Y","Sort=A","Dates=H","DateFormat=P","Fill=—","Direction=H","UseDPDF=Y")</f>
        <v>#NAME?</v>
      </c>
      <c r="AF260" s="1" t="e">
        <f ca="1">_xll.BDH($C$253,"ACCOUNTS_PAYABLE_GROWTH_1YR","FQ2 2015","FQ2 2015","Currency=INR","Period=FQ","BEST_FPERIOD_OVERRIDE=FQ","FILING_STATUS=OR","EQY_CONSOLIDATED=Y","Sort=A","Dates=H","DateFormat=P","Fill=—","Direction=H","UseDPDF=Y")</f>
        <v>#NAME?</v>
      </c>
      <c r="AG260" s="1" t="e">
        <f ca="1">_xll.BDH($C$253,"SHORT_TERM_DEBT_1_YEAR_GROWTH","FQ2 2015","FQ2 2015","Currency=INR","Period=FQ","BEST_FPERIOD_OVERRIDE=FQ","FILING_STATUS=OR","EQY_CONSOLIDATED=Y","Sort=A","Dates=H","DateFormat=P","Fill=—","Direction=H","UseDPDF=Y")</f>
        <v>#NAME?</v>
      </c>
      <c r="AH260" s="1" t="e">
        <f ca="1">_xll.BDH($C$253,"TOTAL_DEBT_1_YEAR_GROWTH","FQ2 2015","FQ2 2015","Currency=INR","Period=FQ","BEST_FPERIOD_OVERRIDE=FQ","FILING_STATUS=OR","EQY_CONSOLIDATED=Y","Sort=A","Dates=H","DateFormat=P","Fill=—","Direction=H","UseDPDF=Y")</f>
        <v>#NAME?</v>
      </c>
      <c r="AI260" s="1" t="e">
        <f ca="1">_xll.BDH($C$253,"TOTAL_EQUITY_1_YEAR_GROWTH","FQ2 2015","FQ2 2015","Currency=INR","Period=FQ","BEST_FPERIOD_OVERRIDE=FQ","FILING_STATUS=OR","EQY_CONSOLIDATED=Y","Sort=A","Dates=H","DateFormat=P","Fill=—","Direction=H","UseDPDF=Y")</f>
        <v>#NAME?</v>
      </c>
      <c r="AJ260" s="1" t="e">
        <f ca="1">_xll.BDH($C$253,"GROWTH_IN_CAP","FQ2 2015","FQ2 2015","Currency=INR","Period=FQ","BEST_FPERIOD_OVERRIDE=FQ","FILING_STATUS=OR","EQY_CONSOLIDATED=Y","Sort=A","Dates=H","DateFormat=P","Fill=—","Direction=H","UseDPDF=Y")</f>
        <v>#NAME?</v>
      </c>
      <c r="AK260" s="1" t="e">
        <f ca="1">_xll.BDH($C$253,"BVPS_GROWTH","FQ2 2015","FQ2 2015","Currency=INR","Period=FQ","BEST_FPERIOD_OVERRIDE=FQ","FILING_STATUS=OR","EQY_CONSOLIDATED=Y","Sort=A","Dates=H","DateFormat=P","Fill=—","Direction=H","UseDPDF=Y")</f>
        <v>#NAME?</v>
      </c>
      <c r="AL260" s="1" t="e">
        <f ca="1">_xll.BDH($C$253,"CASH_FLOW_GROWTH","FQ2 2015","FQ2 2015","Currency=INR","Period=FQ","BEST_FPERIOD_OVERRIDE=FQ","FILING_STATUS=OR","EQY_CONSOLIDATED=Y","Sort=A","Dates=H","DateFormat=P","Fill=—","Direction=H","UseDPDF=Y")</f>
        <v>#NAME?</v>
      </c>
      <c r="AM260" s="1" t="e">
        <f ca="1">_xll.BDH($C$253,"GEO_GROW_NET_SALES","FQ2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60" s="1" t="e">
        <f ca="1">_xll.BDH($C$253,"GEO_GROW_EBITDA","FQ2 2015","FQ2 2015","Currency=INR","Period=FQ","BEST_FPERIOD_OVERRIDE=FQ","FILING_STATUS=OR","EQY_CONSOLIDATED=Y","FA_ADJUSTED=GAAP","Sort=A","Dates=H","DateFormat=P","Fill=—","Direction=H","UseDPDF=Y")</f>
        <v>#NAME?</v>
      </c>
      <c r="AO260" s="1" t="e">
        <f ca="1">_xll.BDH($C$253,"GEO_GROW_OPER_INC","FQ2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60" s="1" t="e">
        <f ca="1">_xll.BDH($C$253,"NET_INCOME_TO_COMMON_5_YR_GROWTH","FQ2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60" s="1" t="e">
        <f ca="1">_xll.BDH($C$253,"5Y_GEO_GROWTH_DILUTED_EPS","FQ2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60" s="1" t="e">
        <f ca="1">_xll.BDH($C$253,"GEO_GROW_DVD_PER_SH","FQ2 2015","FQ2 2015","Currency=INR","Period=FQ","BEST_FPERIOD_OVERRIDE=FQ","FILING_STATUS=OR","EQY_CONSOLIDATED=Y","Sort=A","Dates=H","DateFormat=P","Fill=—","Direction=H","UseDPDF=Y")</f>
        <v>#NAME?</v>
      </c>
      <c r="AS260" s="1" t="e">
        <f ca="1">_xll.BDH($C$253,"ACCOUNTS_RECEIVABLE_5_YR_GROWTH","FQ2 2015","FQ2 2015","Currency=INR","Period=FQ","BEST_FPERIOD_OVERRIDE=FQ","FILING_STATUS=OR","EQY_CONSOLIDATED=Y","Sort=A","Dates=H","DateFormat=P","Fill=—","Direction=H","UseDPDF=Y")</f>
        <v>#NAME?</v>
      </c>
      <c r="AT260" s="1" t="e">
        <f ca="1">_xll.BDH($C$253,"INVENTORY_5_YEAR_GROWTH","FQ2 2015","FQ2 2015","Currency=INR","Period=FQ","BEST_FPERIOD_OVERRIDE=FQ","FILING_STATUS=OR","EQY_CONSOLIDATED=Y","Sort=A","Dates=H","DateFormat=P","Fill=—","Direction=H","UseDPDF=Y")</f>
        <v>#NAME?</v>
      </c>
      <c r="AU260" s="1" t="e">
        <f ca="1">_xll.BDH($C$253,"NET_FIXED_ASSETS_5_YEAR_GROWTH","FQ2 2015","FQ2 2015","Currency=INR","Period=FQ","BEST_FPERIOD_OVERRIDE=FQ","FILING_STATUS=OR","EQY_CONSOLIDATED=Y","Sort=A","Dates=H","DateFormat=P","Fill=—","Direction=H","UseDPDF=Y")</f>
        <v>#NAME?</v>
      </c>
      <c r="AV260" s="1" t="e">
        <f ca="1">_xll.BDH($C$253,"GEO_GROW_TOT_ASSET","FQ2 2015","FQ2 2015","Currency=INR","Period=FQ","BEST_FPERIOD_OVERRIDE=FQ","FILING_STATUS=OR","EQY_CONSOLIDATED=Y","Sort=A","Dates=H","DateFormat=P","Fill=—","Direction=H","UseDPDF=Y")</f>
        <v>#NAME?</v>
      </c>
      <c r="AW260" s="1" t="e">
        <f ca="1">_xll.BDH($C$253,"MODIFIED_WORKING_CPTL_5YR_GRWTH","FQ2 2015","FQ2 2015","Currency=INR","Period=FQ","BEST_FPERIOD_OVERRIDE=FQ","FILING_STATUS=OR","EQY_CONSOLIDATED=Y","Sort=A","Dates=H","DateFormat=P","Fill=—","Direction=H","UseDPDF=Y")</f>
        <v>#NAME?</v>
      </c>
      <c r="AX260" s="1" t="e">
        <f ca="1">_xll.BDH($C$253,"WORKING_CAPITAL_5_YEAR_GROWTH","FQ2 2015","FQ2 2015","Currency=INR","Period=FQ","BEST_FPERIOD_OVERRIDE=FQ","FILING_STATUS=OR","EQY_CONSOLIDATED=Y","Sort=A","Dates=H","DateFormat=P","Fill=—","Direction=H","UseDPDF=Y")</f>
        <v>#NAME?</v>
      </c>
      <c r="AY260" s="1" t="e">
        <f ca="1">_xll.BDH($C$253,"ACCOUNTS_PAYABLE_5_YEAR_GROWTH","FQ2 2015","FQ2 2015","Currency=INR","Period=FQ","BEST_FPERIOD_OVERRIDE=FQ","FILING_STATUS=OR","EQY_CONSOLIDATED=Y","Sort=A","Dates=H","DateFormat=P","Fill=—","Direction=H","UseDPDF=Y")</f>
        <v>#NAME?</v>
      </c>
      <c r="AZ260" s="1" t="e">
        <f ca="1">_xll.BDH($C$253,"SHORT_TERM_DEBT_5_YEAR_GROWTH","FQ2 2015","FQ2 2015","Currency=INR","Period=FQ","BEST_FPERIOD_OVERRIDE=FQ","FILING_STATUS=OR","EQY_CONSOLIDATED=Y","Sort=A","Dates=H","DateFormat=P","Fill=—","Direction=H","UseDPDF=Y")</f>
        <v>#NAME?</v>
      </c>
      <c r="BA260" s="1" t="e">
        <f ca="1">_xll.BDH($C$253,"TOTAL_DEBT_5_YEAR_GROWTH","FQ2 2015","FQ2 2015","Currency=INR","Period=FQ","BEST_FPERIOD_OVERRIDE=FQ","FILING_STATUS=OR","EQY_CONSOLIDATED=Y","Sort=A","Dates=H","DateFormat=P","Fill=—","Direction=H","UseDPDF=Y")</f>
        <v>#NAME?</v>
      </c>
      <c r="BB260" s="1" t="e">
        <f ca="1">_xll.BDH($C$253,"GEO_GROW_TOT_SHRHLDR_EQY","FQ2 2015","FQ2 2015","Currency=INR","Period=FQ","BEST_FPERIOD_OVERRIDE=FQ","FILING_STATUS=OR","EQY_CONSOLIDATED=Y","Sort=A","Dates=H","DateFormat=P","Fill=—","Direction=H","UseDPDF=Y")</f>
        <v>#NAME?</v>
      </c>
      <c r="BC260" s="1" t="e">
        <f ca="1">_xll.BDH($C$253,"TOTAL_CAPITAL_5_YEAR_GROWTH","FQ2 2015","FQ2 2015","Currency=INR","Period=FQ","BEST_FPERIOD_OVERRIDE=FQ","FILING_STATUS=OR","EQY_CONSOLIDATED=Y","Sort=A","Dates=H","DateFormat=P","Fill=—","Direction=H","UseDPDF=Y")</f>
        <v>#NAME?</v>
      </c>
      <c r="BD260" s="1" t="e">
        <f ca="1">_xll.BDH($C$253,"GEO_GROW_BOOK_VAL","FQ2 2015","FQ2 2015","Currency=INR","Period=FQ","BEST_FPERIOD_OVERRIDE=FQ","FILING_STATUS=OR","EQY_CONSOLIDATED=Y","Sort=A","Dates=H","DateFormat=P","Fill=—","Direction=H","UseDPDF=Y")</f>
        <v>#NAME?</v>
      </c>
      <c r="BE260" s="1" t="e">
        <f ca="1">_xll.BDH($C$253,"GEO_GROW_CASH_OPER_ACT","FQ2 2015","FQ2 2015","Currency=INR","Period=FQ","BEST_FPERIOD_OVERRIDE=FQ","FILING_STATUS=OR","EQY_CONSOLIDATED=Y","Sort=A","Dates=H","DateFormat=P","Fill=—","Direction=H","UseDPDF=Y")</f>
        <v>#NAME?</v>
      </c>
      <c r="BF260" s="1" t="e">
        <f ca="1">_xll.BDH($C$253,"REVENUE_SEQUENTIAL_GROWTH","FQ2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60" s="1" t="e">
        <f ca="1">_xll.BDH($C$253,"EBITDA_SEQUENTIAL_GROWTH","FQ2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60" s="1" t="e">
        <f ca="1">_xll.BDH($C$253,"OPERATING_INCOME_SEQ_GROWTH","FQ2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60" s="1" t="e">
        <f ca="1">_xll.BDH($C$253,"NET_INCOME_TO_COMMON_SEQ_GROWTH","FQ2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60" s="1" t="e">
        <f ca="1">_xll.BDH($C$253,"EPS_DILUTED_SEQUENTIAL_GROWTH","FQ2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60" s="1" t="e">
        <f ca="1">_xll.BDH($C$253,"DPS_SEQUENTIAL_GROWTH","FQ2 2015","FQ2 2015","Currency=INR","Period=FQ","BEST_FPERIOD_OVERRIDE=FQ","FILING_STATUS=OR","EQY_CONSOLIDATED=Y","Sort=A","Dates=H","DateFormat=P","Fill=—","Direction=H","UseDPDF=Y")</f>
        <v>#NAME?</v>
      </c>
      <c r="BL260" s="1" t="e">
        <f ca="1">_xll.BDH($C$253,"ACCOUNTS_RECEIVABLE_SEQ_GROWTH","FQ2 2015","FQ2 2015","Currency=INR","Period=FQ","BEST_FPERIOD_OVERRIDE=FQ","FILING_STATUS=OR","EQY_CONSOLIDATED=Y","Sort=A","Dates=H","DateFormat=P","Fill=—","Direction=H","UseDPDF=Y")</f>
        <v>#NAME?</v>
      </c>
      <c r="BM260" s="1" t="e">
        <f ca="1">_xll.BDH($C$253,"INVENTORY_SEQUENTIAL_GROWTH","FQ2 2015","FQ2 2015","Currency=INR","Period=FQ","BEST_FPERIOD_OVERRIDE=FQ","FILING_STATUS=OR","EQY_CONSOLIDATED=Y","Sort=A","Dates=H","DateFormat=P","Fill=—","Direction=H","UseDPDF=Y")</f>
        <v>#NAME?</v>
      </c>
      <c r="BN260" s="1" t="e">
        <f ca="1">_xll.BDH($C$253,"FIXED_ASSETS_SEQUENTIAL_GROWTH","FQ2 2015","FQ2 2015","Currency=INR","Period=FQ","BEST_FPERIOD_OVERRIDE=FQ","FILING_STATUS=OR","EQY_CONSOLIDATED=Y","Sort=A","Dates=H","DateFormat=P","Fill=—","Direction=H","UseDPDF=Y")</f>
        <v>#NAME?</v>
      </c>
      <c r="BO260" s="1" t="e">
        <f ca="1">_xll.BDH($C$253,"TOTAL_ASSETS_SEQUENTIAL_GROWTH","FQ2 2015","FQ2 2015","Currency=INR","Period=FQ","BEST_FPERIOD_OVERRIDE=FQ","FILING_STATUS=OR","EQY_CONSOLIDATED=Y","Sort=A","Dates=H","DateFormat=P","Fill=—","Direction=H","UseDPDF=Y")</f>
        <v>#NAME?</v>
      </c>
      <c r="BP260" s="1" t="e">
        <f ca="1">_xll.BDH($C$253,"MODIFIED_WORKING_CPTL_SEQ_GRWTH","FQ2 2015","FQ2 2015","Currency=INR","Period=FQ","BEST_FPERIOD_OVERRIDE=FQ","FILING_STATUS=OR","EQY_CONSOLIDATED=Y","Sort=A","Dates=H","DateFormat=P","Fill=—","Direction=H","UseDPDF=Y")</f>
        <v>#NAME?</v>
      </c>
      <c r="BQ260" s="1" t="e">
        <f ca="1">_xll.BDH($C$253,"WORKING_CAPITAL_SEQ_GROWTH","FQ2 2015","FQ2 2015","Currency=INR","Period=FQ","BEST_FPERIOD_OVERRIDE=FQ","FILING_STATUS=OR","EQY_CONSOLIDATED=Y","Sort=A","Dates=H","DateFormat=P","Fill=—","Direction=H","UseDPDF=Y")</f>
        <v>#NAME?</v>
      </c>
      <c r="BR260" s="1" t="e">
        <f ca="1">_xll.BDH($C$253,"ACCOUNTS_PAYABLE_SEQ_GROWTH","FQ2 2015","FQ2 2015","Currency=INR","Period=FQ","BEST_FPERIOD_OVERRIDE=FQ","FILING_STATUS=OR","EQY_CONSOLIDATED=Y","Sort=A","Dates=H","DateFormat=P","Fill=—","Direction=H","UseDPDF=Y")</f>
        <v>#NAME?</v>
      </c>
      <c r="BS260" s="1" t="e">
        <f ca="1">_xll.BDH($C$253,"ST_DEBT_SEQUENTIAL_GROWTH","FQ2 2015","FQ2 2015","Currency=INR","Period=FQ","BEST_FPERIOD_OVERRIDE=FQ","FILING_STATUS=OR","EQY_CONSOLIDATED=Y","Sort=A","Dates=H","DateFormat=P","Fill=—","Direction=H","UseDPDF=Y")</f>
        <v>#NAME?</v>
      </c>
      <c r="BT260" s="1" t="e">
        <f ca="1">_xll.BDH($C$253,"TOTAL_DEBT_SEQUENTIAL_GROWTH","FQ2 2015","FQ2 2015","Currency=INR","Period=FQ","BEST_FPERIOD_OVERRIDE=FQ","FILING_STATUS=OR","EQY_CONSOLIDATED=Y","Sort=A","Dates=H","DateFormat=P","Fill=—","Direction=H","UseDPDF=Y")</f>
        <v>#NAME?</v>
      </c>
      <c r="BU260" s="1" t="e">
        <f ca="1">_xll.BDH($C$253,"TOTAL_EQUITY_SEQUENTIAL_GROWTH","FQ2 2015","FQ2 2015","Currency=INR","Period=FQ","BEST_FPERIOD_OVERRIDE=FQ","FILING_STATUS=OR","EQY_CONSOLIDATED=Y","Sort=A","Dates=H","DateFormat=P","Fill=—","Direction=H","UseDPDF=Y")</f>
        <v>#NAME?</v>
      </c>
      <c r="BV260" s="1" t="e">
        <f ca="1">_xll.BDH($C$253,"TOTAL_CAPITAL_SEQUENTIAL_GROWTH","FQ2 2015","FQ2 2015","Currency=INR","Period=FQ","BEST_FPERIOD_OVERRIDE=FQ","FILING_STATUS=OR","EQY_CONSOLIDATED=Y","Sort=A","Dates=H","DateFormat=P","Fill=—","Direction=H","UseDPDF=Y")</f>
        <v>#NAME?</v>
      </c>
      <c r="BW260" s="1" t="e">
        <f ca="1">_xll.BDH($C$253,"BPS_SEQUENTIAL_GROWTH","FQ2 2015","FQ2 2015","Currency=INR","Period=FQ","BEST_FPERIOD_OVERRIDE=FQ","FILING_STATUS=OR","EQY_CONSOLIDATED=Y","Sort=A","Dates=H","DateFormat=P","Fill=—","Direction=H","UseDPDF=Y")</f>
        <v>#NAME?</v>
      </c>
      <c r="BX260" s="1" t="e">
        <f ca="1">_xll.BDH($C$253,"CFO_SEQUENTIAL_GROWTH","FQ2 2015","FQ2 2015","Currency=INR","Period=FQ","BEST_FPERIOD_OVERRIDE=FQ","FILING_STATUS=OR","EQY_CONSOLIDATED=Y","Sort=A","Dates=H","DateFormat=P","Fill=—","Direction=H","UseDPDF=Y")</f>
        <v>#NAME?</v>
      </c>
      <c r="BY260" s="2" t="e">
        <f ca="1">_xll.BDH($C$253,"SHORT_AND_LONG_TERM_DEBT","FQ2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60" s="2" t="e">
        <f ca="1">_xll.BDH($C$253,"BS_ST_BORROW","FQ2 2015","FQ2 2015","Currency=INR","Period=FQ","BEST_FPERIOD_OVERRIDE=FQ","FILING_STATUS=OR","EQY_CONSOLIDATED=Y","SCALING_FORMAT=MLN","Sort=A","Dates=H","DateFormat=P","Fill=—","Direction=H","UseDPDF=Y")</f>
        <v>#NAME?</v>
      </c>
      <c r="CA260" s="2" t="e">
        <f ca="1">_xll.BDH($C$253,"BS_LT_BORROW","FQ2 2015","FQ2 2015","Currency=INR","Period=FQ","BEST_FPERIOD_OVERRIDE=FQ","FILING_STATUS=OR","EQY_CONSOLIDATED=Y","SCALING_FORMAT=MLN","Sort=A","Dates=H","DateFormat=P","Fill=—","Direction=H","UseDPDF=Y")</f>
        <v>#NAME?</v>
      </c>
      <c r="CB260" s="1" t="e">
        <f ca="1">_xll.BDH($C$253,"TOT_DEBT_TO_EBITDA","FQ2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60" s="1" t="e">
        <f ca="1">_xll.BDH($C$253,"NET_DEBT_TO_EBITDA","FQ2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60" s="1" t="e">
        <f ca="1">_xll.BDH($C$253,"TOTAL_DEBT_TO_EBIT","FQ2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60" s="1" t="e">
        <f ca="1">_xll.BDH($C$253,"NET_DEBT_TO_EBIT","FQ2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260" s="1" t="e">
        <f ca="1">_xll.BDH($C$253,"EBITDA_TO_INTEREST_EXPN","FQ2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60" s="1" t="e">
        <f ca="1">_xll.BDH($C$253,"COM_EQY_TO_TOT_ASSET","FQ2 2015","FQ2 2015","Currency=INR","Period=FQ","BEST_FPERIOD_OVERRIDE=FQ","FILING_STATUS=OR","EQY_CONSOLIDATED=Y","Sort=A","Dates=H","DateFormat=P","Fill=—","Direction=H","UseDPDF=Y")</f>
        <v>#NAME?</v>
      </c>
      <c r="CH260" s="1" t="e">
        <f ca="1">_xll.BDH($C$253,"LT_DEBT_TO_TOT_EQY","FQ2 2015","FQ2 2015","Currency=INR","Period=FQ","BEST_FPERIOD_OVERRIDE=FQ","FILING_STATUS=OR","EQY_CONSOLIDATED=Y","Sort=A","Dates=H","DateFormat=P","Fill=—","Direction=H","UseDPDF=Y")</f>
        <v>#NAME?</v>
      </c>
      <c r="CI260" s="1" t="e">
        <f ca="1">_xll.BDH($C$253,"LT_DEBT_TO_TOT_CAP","FQ2 2015","FQ2 2015","Currency=INR","Period=FQ","BEST_FPERIOD_OVERRIDE=FQ","FILING_STATUS=OR","EQY_CONSOLIDATED=Y","Sort=A","Dates=H","DateFormat=P","Fill=—","Direction=H","UseDPDF=Y")</f>
        <v>#NAME?</v>
      </c>
      <c r="CJ260" s="1" t="e">
        <f ca="1">_xll.BDH($C$253,"LT_DEBT_TO_TOT_ASSET","FQ2 2015","FQ2 2015","Currency=INR","Period=FQ","BEST_FPERIOD_OVERRIDE=FQ","FILING_STATUS=OR","EQY_CONSOLIDATED=Y","Sort=A","Dates=H","DateFormat=P","Fill=—","Direction=H","UseDPDF=Y")</f>
        <v>#NAME?</v>
      </c>
      <c r="CK260" s="1" t="e">
        <f ca="1">_xll.BDH($C$253,"TOT_DEBT_TO_TOT_EQY","FQ2 2015","FQ2 2015","Currency=INR","Period=FQ","BEST_FPERIOD_OVERRIDE=FQ","FILING_STATUS=OR","EQY_CONSOLIDATED=Y","Sort=A","Dates=H","DateFormat=P","Fill=—","Direction=H","UseDPDF=Y")</f>
        <v>#NAME?</v>
      </c>
      <c r="CL260" s="1" t="e">
        <f ca="1">_xll.BDH($C$253,"TOT_DEBT_TO_TOT_CAP","FQ2 2015","FQ2 2015","Currency=INR","Period=FQ","BEST_FPERIOD_OVERRIDE=FQ","FILING_STATUS=OR","EQY_CONSOLIDATED=Y","Sort=A","Dates=H","DateFormat=P","Fill=—","Direction=H","UseDPDF=Y")</f>
        <v>#NAME?</v>
      </c>
      <c r="CM260" s="1" t="e">
        <f ca="1">_xll.BDH($C$253,"TOT_DEBT_TO_TOT_ASSET","FQ2 2015","FQ2 2015","Currency=INR","Period=FQ","BEST_FPERIOD_OVERRIDE=FQ","FILING_STATUS=OR","EQY_CONSOLIDATED=Y","Sort=A","Dates=H","DateFormat=P","Fill=—","Direction=H","UseDPDF=Y")</f>
        <v>#NAME?</v>
      </c>
      <c r="CN260" s="1" t="e">
        <f ca="1">_xll.BDH($C$253,"NET_DEBT_TO_SHRHLDR_EQTY","FQ2 2015","FQ2 2015","Currency=INR","Period=FQ","BEST_FPERIOD_OVERRIDE=FQ","FILING_STATUS=OR","EQY_CONSOLIDATED=Y","Sort=A","Dates=H","DateFormat=P","Fill=—","Direction=H","UseDPDF=Y")</f>
        <v>#NAME?</v>
      </c>
      <c r="CO260" s="1" t="e">
        <f ca="1">_xll.BDH($C$253,"NET_DEBT_%_CAPITAL","FQ2 2015","FQ2 2015","Currency=INR","Period=FQ","BEST_FPERIOD_OVERRIDE=FQ","FILING_STATUS=OR","EQY_CONSOLIDATED=Y","Sort=A","Dates=H","DateFormat=P","Fill=—","Direction=H","UseDPDF=Y")</f>
        <v>#NAME?</v>
      </c>
      <c r="CP260" s="2" t="e">
        <f ca="1">_xll.BDH($C$253,"EBITDA","FQ2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60" s="2" t="e">
        <f ca="1">_xll.BDH($C$253,"EBITDA_AFTER_CAPEX","FQ2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60" s="2" t="e">
        <f ca="1">_xll.BDH($C$253,"IS_OPER_INC","FQ2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60" s="1" t="e">
        <f ca="1">_xll.BDH($C$253,"CASH_RATIO","FQ2 2015","FQ2 2015","Currency=INR","Period=FQ","BEST_FPERIOD_OVERRIDE=FQ","FILING_STATUS=OR","EQY_CONSOLIDATED=Y","Sort=A","Dates=H","DateFormat=P","Fill=—","Direction=H","UseDPDF=Y")</f>
        <v>#NAME?</v>
      </c>
      <c r="CT260" s="1" t="e">
        <f ca="1">_xll.BDH($C$253,"CUR_RATIO","FQ2 2015","FQ2 2015","Currency=INR","Period=FQ","BEST_FPERIOD_OVERRIDE=FQ","FILING_STATUS=OR","EQY_CONSOLIDATED=Y","Sort=A","Dates=H","DateFormat=P","Fill=—","Direction=H","UseDPDF=Y")</f>
        <v>#NAME?</v>
      </c>
      <c r="CU260" s="1" t="e">
        <f ca="1">_xll.BDH($C$253,"QUICK_RATIO","FQ2 2015","FQ2 2015","Currency=INR","Period=FQ","BEST_FPERIOD_OVERRIDE=FQ","FILING_STATUS=OR","EQY_CONSOLIDATED=Y","Sort=A","Dates=H","DateFormat=P","Fill=—","Direction=H","UseDPDF=Y")</f>
        <v>#NAME?</v>
      </c>
      <c r="CV260" s="1" t="e">
        <f ca="1">_xll.BDH($C$253,"ALTMAN_Z_SCORE","FQ2 2015","FQ2 2015","Currency=INR","Period=FQ","BEST_FPERIOD_OVERRIDE=FQ","FILING_STATUS=OR","EQY_CONSOLIDATED=Y","Sort=A","Dates=H","DateFormat=P","Fill=—","Direction=H","UseDPDF=Y")</f>
        <v>#NAME?</v>
      </c>
      <c r="CW260" s="3" t="e">
        <f ca="1">_xll.BDH($C$253,"ACCT_RCV_TURN","FQ2 2015","FQ2 2015","Currency=INR","Period=FQ","BEST_FPERIOD_OVERRIDE=FQ","FILING_STATUS=OR","EQY_CONSOLIDATED=Y","FA_ADJUSTED=GAAP","Sort=A","Dates=H","DateFormat=P","Fill=—","Direction=H","UseDPDF=Y")</f>
        <v>#NAME?</v>
      </c>
      <c r="CX260" s="1" t="e">
        <f ca="1">_xll.BDH($C$253,"ACCT_RCV_DAYS","FQ2 2015","FQ2 2015","Currency=INR","Period=FQ","BEST_FPERIOD_OVERRIDE=FQ","FILING_STATUS=OR","EQY_CONSOLIDATED=Y","FA_ADJUSTED=GAAP","Sort=A","Dates=H","DateFormat=P","Fill=—","Direction=H","UseDPDF=Y")</f>
        <v>#NAME?</v>
      </c>
      <c r="CY260" s="3" t="e">
        <f ca="1">_xll.BDH($C$253,"INVENT_TURN","FQ2 2015","FQ2 2015","Currency=INR","Period=FQ","BEST_FPERIOD_OVERRIDE=FQ","FILING_STATUS=OR","EQY_CONSOLIDATED=Y","FA_ADJUSTED=GAAP","Sort=A","Dates=H","DateFormat=P","Fill=—","Direction=H","UseDPDF=Y")</f>
        <v>#NAME?</v>
      </c>
      <c r="CZ260" s="1" t="e">
        <f ca="1">_xll.BDH($C$253,"INVENT_DAYS","FQ2 2015","FQ2 2015","Currency=INR","Period=FQ","BEST_FPERIOD_OVERRIDE=FQ","FILING_STATUS=OR","EQY_CONSOLIDATED=Y","FA_ADJUSTED=GAAP","Sort=A","Dates=H","DateFormat=P","Fill=—","Direction=H","UseDPDF=Y")</f>
        <v>#NAME?</v>
      </c>
      <c r="DA260" s="3" t="e">
        <f ca="1">_xll.BDH($C$253,"ACCOUNTS_PAYABLE_TURNOVER","FQ2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60" s="1" t="e">
        <f ca="1">_xll.BDH($C$253,"ACCOUNTS_PAYABLE_TURNOVER_DAYS","FQ2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60" s="3" t="e">
        <f ca="1">_xll.BDH($C$253,"CASH_CONVERSION_CYCLE","FQ2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60" s="3" t="e">
        <f ca="1">_xll.BDH($C$253,"INV_TO_CASH_DAYS","FQ2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260" s="4" t="e">
        <f ca="1">_xll.BDH($C$253,"BS_INVENTORIES","FQ2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260" s="2" t="e">
        <f ca="1">_xll.BDH($C$253,"INVTRY_RAW_MATERIALS","FQ2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60" s="2" t="e">
        <f ca="1">_xll.BDH($C$253,"INVTRY_IN_PROGRESS","FQ2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60" s="2" t="e">
        <f ca="1">_xll.BDH($C$253,"INVTRY_FINISHED_GOODS","FQ2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60" s="2" t="e">
        <f ca="1">_xll.BDH($C$253,"BS_OTHER_INV","FQ2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61" spans="1:113" x14ac:dyDescent="0.3">
      <c r="A261" s="6"/>
      <c r="B261" s="6"/>
      <c r="C261" s="6"/>
      <c r="D261" s="6"/>
      <c r="E261" t="s">
        <v>6</v>
      </c>
      <c r="F261" t="e">
        <f ca="1">_xll.BDH($C$253,"RETURN_COM_EQY","FQ3 2015","FQ3 2015","Currency=INR","Period=FQ","BEST_FPERIOD_OVERRIDE=FQ","FILING_STATUS=OR","EQY_CONSOLIDATED=Y","FA_ADJUSTED=GAAP","Sort=A","Dates=H","DateFormat=P","Fill=—","Direction=H","UseDPDF=Y")</f>
        <v>#NAME?</v>
      </c>
      <c r="G261" t="e">
        <f ca="1">_xll.BDH($C$253,"RETURN_ON_ASSET","FQ3 2015","FQ3 2015","Currency=INR","Period=FQ","BEST_FPERIOD_OVERRIDE=FQ","FILING_STATUS=OR","EQY_CONSOLIDATED=Y","FA_ADJUSTED=GAAP","Sort=A","Dates=H","DateFormat=P","Fill=—","Direction=H","UseDPDF=Y")</f>
        <v>#NAME?</v>
      </c>
      <c r="H261" t="e">
        <f ca="1">_xll.BDH($C$253,"RETURN_ON_CAP","FQ3 2015","FQ3 2015","Currency=INR","Period=FQ","BEST_FPERIOD_OVERRIDE=FQ","FILING_STATUS=OR","EQY_CONSOLIDATED=Y","FA_ADJUSTED=GAAP","Sort=A","Dates=H","DateFormat=P","Fill=—","Direction=H","UseDPDF=Y")</f>
        <v>#NAME?</v>
      </c>
      <c r="I261" t="e">
        <f ca="1">_xll.BDH($C$253,"RETURN_ON_INV_CAPITAL","FQ3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61" t="e">
        <f ca="1">_xll.BDH($C$253,"EBITDA_TO_REVENUE","FQ3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261" t="e">
        <f ca="1">_xll.BDH($C$253,"OPER_MARGIN","FQ3 2015","FQ3 2015","Currency=INR","Period=FQ","BEST_FPERIOD_OVERRIDE=FQ","FILING_STATUS=OR","EQY_CONSOLIDATED=Y","FA_ADJUSTED=GAAP","Sort=A","Dates=H","DateFormat=P","Fill=—","Direction=H","UseDPDF=Y")</f>
        <v>#NAME?</v>
      </c>
      <c r="L261" t="e">
        <f ca="1">_xll.BDH($C$253,"INCREMENTAL_OPERATING_MARGIN","FQ3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61" t="e">
        <f ca="1">_xll.BDH($C$253,"PRETAX_INC_TO_NET_SALES","FQ3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61" t="e">
        <f ca="1">_xll.BDH($C$253,"INC_BEF_XO_ITEMS_TO_NET_SALES","FQ3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61" t="e">
        <f ca="1">_xll.BDH($C$253,"PROF_MARGIN","FQ3 2015","FQ3 2015","Currency=INR","Period=FQ","BEST_FPERIOD_OVERRIDE=FQ","FILING_STATUS=OR","EQY_CONSOLIDATED=Y","FA_ADJUSTED=GAAP","Sort=A","Dates=H","DateFormat=P","Fill=—","Direction=H","UseDPDF=Y")</f>
        <v>#NAME?</v>
      </c>
      <c r="P261" t="e">
        <f ca="1">_xll.BDH($C$253,"NET_INCOME_TO_COMMON_MARGIN","FQ3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61" t="e">
        <f ca="1">_xll.BDH($C$253,"EFF_TAX_RATE","FQ3 2015","FQ3 2015","Currency=INR","Period=FQ","BEST_FPERIOD_OVERRIDE=FQ","FILING_STATUS=OR","EQY_CONSOLIDATED=Y","FA_ADJUSTED=GAAP","Sort=A","Dates=H","DateFormat=P","Fill=—","Direction=H","UseDPDF=Y")</f>
        <v>#NAME?</v>
      </c>
      <c r="R261" t="e">
        <f ca="1">_xll.BDH($C$253,"DVD_PAYOUT_RATIO","FQ3 2015","FQ3 2015","Currency=INR","Period=FQ","BEST_FPERIOD_OVERRIDE=FQ","FILING_STATUS=OR","EQY_CONSOLIDATED=Y","FA_ADJUSTED=GAAP","Sort=A","Dates=H","DateFormat=P","Fill=—","Direction=H","UseDPDF=Y")</f>
        <v>#NAME?</v>
      </c>
      <c r="S261" t="e">
        <f ca="1">_xll.BDH($C$253,"SUSTAIN_GROWTH_RT","FQ3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261" s="1" t="e">
        <f ca="1">_xll.BDH($C$253,"SALES_GROWTH","FQ3 2015","FQ3 2015","Currency=INR","Period=FQ","BEST_FPERIOD_OVERRIDE=FQ","FILING_STATUS=OR","EQY_CONSOLIDATED=Y","FA_ADJUSTED=GAAP","Sort=A","Dates=H","DateFormat=P","Fill=—","Direction=H","UseDPDF=Y")</f>
        <v>#NAME?</v>
      </c>
      <c r="U261" s="1" t="e">
        <f ca="1">_xll.BDH($C$253,"EBITDA_GROWTH","FQ3 2015","FQ3 2015","Currency=INR","Period=FQ","BEST_FPERIOD_OVERRIDE=FQ","FILING_STATUS=OR","EQY_CONSOLIDATED=Y","FA_ADJUSTED=GAAP","Sort=A","Dates=H","DateFormat=P","Fill=—","Direction=H","UseDPDF=Y")</f>
        <v>#NAME?</v>
      </c>
      <c r="V261" s="1" t="e">
        <f ca="1">_xll.BDH($C$253,"OPER_INC_GROWTH","FQ3 2015","FQ3 2015","Currency=INR","Period=FQ","BEST_FPERIOD_OVERRIDE=FQ","FILING_STATUS=OR","EQY_CONSOLIDATED=Y","FA_ADJUSTED=GAAP","Sort=A","Dates=H","DateFormat=P","Fill=—","Direction=H","UseDPDF=Y")</f>
        <v>#NAME?</v>
      </c>
      <c r="W261" s="1" t="e">
        <f ca="1">_xll.BDH($C$253,"EARN_FOR_COM_GROWTH","FQ3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61" s="1" t="e">
        <f ca="1">_xll.BDH($C$253,"DILUTED_EPS_AFT_XO_ITEMS_GROWTH","FQ3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61" s="1" t="e">
        <f ca="1">_xll.BDH($C$253,"DIVIDEND_PER_SHARE_1_YEAR_GROWTH","FQ3 2015","FQ3 2015","Currency=INR","Period=FQ","BEST_FPERIOD_OVERRIDE=FQ","FILING_STATUS=OR","EQY_CONSOLIDATED=Y","Sort=A","Dates=H","DateFormat=P","Fill=—","Direction=H","UseDPDF=Y")</f>
        <v>#NAME?</v>
      </c>
      <c r="Z261" s="1" t="e">
        <f ca="1">_xll.BDH($C$253,"ACCOUNTS_RECEIVABLE_GROWTH","FQ3 2015","FQ3 2015","Currency=INR","Period=FQ","BEST_FPERIOD_OVERRIDE=FQ","FILING_STATUS=OR","EQY_CONSOLIDATED=Y","Sort=A","Dates=H","DateFormat=P","Fill=—","Direction=H","UseDPDF=Y")</f>
        <v>#NAME?</v>
      </c>
      <c r="AA261" s="1" t="e">
        <f ca="1">_xll.BDH($C$253,"INVENTORY_GROWTH","FQ3 2015","FQ3 2015","Currency=INR","Period=FQ","BEST_FPERIOD_OVERRIDE=FQ","FILING_STATUS=OR","EQY_CONSOLIDATED=Y","Sort=A","Dates=H","DateFormat=P","Fill=—","Direction=H","UseDPDF=Y")</f>
        <v>#NAME?</v>
      </c>
      <c r="AB261" s="1" t="e">
        <f ca="1">_xll.BDH($C$253,"NET_FIXED_ASSETS_1_YEAR_GROWTH","FQ3 2015","FQ3 2015","Currency=INR","Period=FQ","BEST_FPERIOD_OVERRIDE=FQ","FILING_STATUS=OR","EQY_CONSOLIDATED=Y","Sort=A","Dates=H","DateFormat=P","Fill=—","Direction=H","UseDPDF=Y")</f>
        <v>#NAME?</v>
      </c>
      <c r="AC261" s="1" t="e">
        <f ca="1">_xll.BDH($C$253,"ASSET_GROWTH","FQ3 2015","FQ3 2015","Currency=INR","Period=FQ","BEST_FPERIOD_OVERRIDE=FQ","FILING_STATUS=OR","EQY_CONSOLIDATED=Y","Sort=A","Dates=H","DateFormat=P","Fill=—","Direction=H","UseDPDF=Y")</f>
        <v>#NAME?</v>
      </c>
      <c r="AD261" s="1" t="e">
        <f ca="1">_xll.BDH($C$253,"MODIFIED_WORK_CAP_GROWTH","FQ3 2015","FQ3 2015","Currency=INR","Period=FQ","BEST_FPERIOD_OVERRIDE=FQ","FILING_STATUS=OR","EQY_CONSOLIDATED=Y","Sort=A","Dates=H","DateFormat=P","Fill=—","Direction=H","UseDPDF=Y")</f>
        <v>#NAME?</v>
      </c>
      <c r="AE261" s="1" t="e">
        <f ca="1">_xll.BDH($C$253,"WORK_CAP_GROWTH","FQ3 2015","FQ3 2015","Currency=INR","Period=FQ","BEST_FPERIOD_OVERRIDE=FQ","FILING_STATUS=OR","EQY_CONSOLIDATED=Y","Sort=A","Dates=H","DateFormat=P","Fill=—","Direction=H","UseDPDF=Y")</f>
        <v>#NAME?</v>
      </c>
      <c r="AF261" s="1" t="e">
        <f ca="1">_xll.BDH($C$253,"ACCOUNTS_PAYABLE_GROWTH_1YR","FQ3 2015","FQ3 2015","Currency=INR","Period=FQ","BEST_FPERIOD_OVERRIDE=FQ","FILING_STATUS=OR","EQY_CONSOLIDATED=Y","Sort=A","Dates=H","DateFormat=P","Fill=—","Direction=H","UseDPDF=Y")</f>
        <v>#NAME?</v>
      </c>
      <c r="AG261" s="1" t="e">
        <f ca="1">_xll.BDH($C$253,"SHORT_TERM_DEBT_1_YEAR_GROWTH","FQ3 2015","FQ3 2015","Currency=INR","Period=FQ","BEST_FPERIOD_OVERRIDE=FQ","FILING_STATUS=OR","EQY_CONSOLIDATED=Y","Sort=A","Dates=H","DateFormat=P","Fill=—","Direction=H","UseDPDF=Y")</f>
        <v>#NAME?</v>
      </c>
      <c r="AH261" s="1" t="e">
        <f ca="1">_xll.BDH($C$253,"TOTAL_DEBT_1_YEAR_GROWTH","FQ3 2015","FQ3 2015","Currency=INR","Period=FQ","BEST_FPERIOD_OVERRIDE=FQ","FILING_STATUS=OR","EQY_CONSOLIDATED=Y","Sort=A","Dates=H","DateFormat=P","Fill=—","Direction=H","UseDPDF=Y")</f>
        <v>#NAME?</v>
      </c>
      <c r="AI261" s="1" t="e">
        <f ca="1">_xll.BDH($C$253,"TOTAL_EQUITY_1_YEAR_GROWTH","FQ3 2015","FQ3 2015","Currency=INR","Period=FQ","BEST_FPERIOD_OVERRIDE=FQ","FILING_STATUS=OR","EQY_CONSOLIDATED=Y","Sort=A","Dates=H","DateFormat=P","Fill=—","Direction=H","UseDPDF=Y")</f>
        <v>#NAME?</v>
      </c>
      <c r="AJ261" s="1" t="e">
        <f ca="1">_xll.BDH($C$253,"GROWTH_IN_CAP","FQ3 2015","FQ3 2015","Currency=INR","Period=FQ","BEST_FPERIOD_OVERRIDE=FQ","FILING_STATUS=OR","EQY_CONSOLIDATED=Y","Sort=A","Dates=H","DateFormat=P","Fill=—","Direction=H","UseDPDF=Y")</f>
        <v>#NAME?</v>
      </c>
      <c r="AK261" s="1" t="e">
        <f ca="1">_xll.BDH($C$253,"BVPS_GROWTH","FQ3 2015","FQ3 2015","Currency=INR","Period=FQ","BEST_FPERIOD_OVERRIDE=FQ","FILING_STATUS=OR","EQY_CONSOLIDATED=Y","Sort=A","Dates=H","DateFormat=P","Fill=—","Direction=H","UseDPDF=Y")</f>
        <v>#NAME?</v>
      </c>
      <c r="AL261" s="1" t="e">
        <f ca="1">_xll.BDH($C$253,"CASH_FLOW_GROWTH","FQ3 2015","FQ3 2015","Currency=INR","Period=FQ","BEST_FPERIOD_OVERRIDE=FQ","FILING_STATUS=OR","EQY_CONSOLIDATED=Y","Sort=A","Dates=H","DateFormat=P","Fill=—","Direction=H","UseDPDF=Y")</f>
        <v>#NAME?</v>
      </c>
      <c r="AM261" s="1" t="e">
        <f ca="1">_xll.BDH($C$253,"GEO_GROW_NET_SALES","FQ3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61" s="1" t="e">
        <f ca="1">_xll.BDH($C$253,"GEO_GROW_EBITDA","FQ3 2015","FQ3 2015","Currency=INR","Period=FQ","BEST_FPERIOD_OVERRIDE=FQ","FILING_STATUS=OR","EQY_CONSOLIDATED=Y","FA_ADJUSTED=GAAP","Sort=A","Dates=H","DateFormat=P","Fill=—","Direction=H","UseDPDF=Y")</f>
        <v>#NAME?</v>
      </c>
      <c r="AO261" s="1" t="e">
        <f ca="1">_xll.BDH($C$253,"GEO_GROW_OPER_INC","FQ3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61" s="1" t="e">
        <f ca="1">_xll.BDH($C$253,"NET_INCOME_TO_COMMON_5_YR_GROWTH","FQ3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61" s="1" t="e">
        <f ca="1">_xll.BDH($C$253,"5Y_GEO_GROWTH_DILUTED_EPS","FQ3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61" s="1" t="e">
        <f ca="1">_xll.BDH($C$253,"GEO_GROW_DVD_PER_SH","FQ3 2015","FQ3 2015","Currency=INR","Period=FQ","BEST_FPERIOD_OVERRIDE=FQ","FILING_STATUS=OR","EQY_CONSOLIDATED=Y","Sort=A","Dates=H","DateFormat=P","Fill=—","Direction=H","UseDPDF=Y")</f>
        <v>#NAME?</v>
      </c>
      <c r="AS261" s="1" t="e">
        <f ca="1">_xll.BDH($C$253,"ACCOUNTS_RECEIVABLE_5_YR_GROWTH","FQ3 2015","FQ3 2015","Currency=INR","Period=FQ","BEST_FPERIOD_OVERRIDE=FQ","FILING_STATUS=OR","EQY_CONSOLIDATED=Y","Sort=A","Dates=H","DateFormat=P","Fill=—","Direction=H","UseDPDF=Y")</f>
        <v>#NAME?</v>
      </c>
      <c r="AT261" s="1" t="e">
        <f ca="1">_xll.BDH($C$253,"INVENTORY_5_YEAR_GROWTH","FQ3 2015","FQ3 2015","Currency=INR","Period=FQ","BEST_FPERIOD_OVERRIDE=FQ","FILING_STATUS=OR","EQY_CONSOLIDATED=Y","Sort=A","Dates=H","DateFormat=P","Fill=—","Direction=H","UseDPDF=Y")</f>
        <v>#NAME?</v>
      </c>
      <c r="AU261" s="1" t="e">
        <f ca="1">_xll.BDH($C$253,"NET_FIXED_ASSETS_5_YEAR_GROWTH","FQ3 2015","FQ3 2015","Currency=INR","Period=FQ","BEST_FPERIOD_OVERRIDE=FQ","FILING_STATUS=OR","EQY_CONSOLIDATED=Y","Sort=A","Dates=H","DateFormat=P","Fill=—","Direction=H","UseDPDF=Y")</f>
        <v>#NAME?</v>
      </c>
      <c r="AV261" s="1" t="e">
        <f ca="1">_xll.BDH($C$253,"GEO_GROW_TOT_ASSET","FQ3 2015","FQ3 2015","Currency=INR","Period=FQ","BEST_FPERIOD_OVERRIDE=FQ","FILING_STATUS=OR","EQY_CONSOLIDATED=Y","Sort=A","Dates=H","DateFormat=P","Fill=—","Direction=H","UseDPDF=Y")</f>
        <v>#NAME?</v>
      </c>
      <c r="AW261" s="1" t="e">
        <f ca="1">_xll.BDH($C$253,"MODIFIED_WORKING_CPTL_5YR_GRWTH","FQ3 2015","FQ3 2015","Currency=INR","Period=FQ","BEST_FPERIOD_OVERRIDE=FQ","FILING_STATUS=OR","EQY_CONSOLIDATED=Y","Sort=A","Dates=H","DateFormat=P","Fill=—","Direction=H","UseDPDF=Y")</f>
        <v>#NAME?</v>
      </c>
      <c r="AX261" s="1" t="e">
        <f ca="1">_xll.BDH($C$253,"WORKING_CAPITAL_5_YEAR_GROWTH","FQ3 2015","FQ3 2015","Currency=INR","Period=FQ","BEST_FPERIOD_OVERRIDE=FQ","FILING_STATUS=OR","EQY_CONSOLIDATED=Y","Sort=A","Dates=H","DateFormat=P","Fill=—","Direction=H","UseDPDF=Y")</f>
        <v>#NAME?</v>
      </c>
      <c r="AY261" s="1" t="e">
        <f ca="1">_xll.BDH($C$253,"ACCOUNTS_PAYABLE_5_YEAR_GROWTH","FQ3 2015","FQ3 2015","Currency=INR","Period=FQ","BEST_FPERIOD_OVERRIDE=FQ","FILING_STATUS=OR","EQY_CONSOLIDATED=Y","Sort=A","Dates=H","DateFormat=P","Fill=—","Direction=H","UseDPDF=Y")</f>
        <v>#NAME?</v>
      </c>
      <c r="AZ261" s="1" t="e">
        <f ca="1">_xll.BDH($C$253,"SHORT_TERM_DEBT_5_YEAR_GROWTH","FQ3 2015","FQ3 2015","Currency=INR","Period=FQ","BEST_FPERIOD_OVERRIDE=FQ","FILING_STATUS=OR","EQY_CONSOLIDATED=Y","Sort=A","Dates=H","DateFormat=P","Fill=—","Direction=H","UseDPDF=Y")</f>
        <v>#NAME?</v>
      </c>
      <c r="BA261" s="1" t="e">
        <f ca="1">_xll.BDH($C$253,"TOTAL_DEBT_5_YEAR_GROWTH","FQ3 2015","FQ3 2015","Currency=INR","Period=FQ","BEST_FPERIOD_OVERRIDE=FQ","FILING_STATUS=OR","EQY_CONSOLIDATED=Y","Sort=A","Dates=H","DateFormat=P","Fill=—","Direction=H","UseDPDF=Y")</f>
        <v>#NAME?</v>
      </c>
      <c r="BB261" s="1" t="e">
        <f ca="1">_xll.BDH($C$253,"GEO_GROW_TOT_SHRHLDR_EQY","FQ3 2015","FQ3 2015","Currency=INR","Period=FQ","BEST_FPERIOD_OVERRIDE=FQ","FILING_STATUS=OR","EQY_CONSOLIDATED=Y","Sort=A","Dates=H","DateFormat=P","Fill=—","Direction=H","UseDPDF=Y")</f>
        <v>#NAME?</v>
      </c>
      <c r="BC261" s="1" t="e">
        <f ca="1">_xll.BDH($C$253,"TOTAL_CAPITAL_5_YEAR_GROWTH","FQ3 2015","FQ3 2015","Currency=INR","Period=FQ","BEST_FPERIOD_OVERRIDE=FQ","FILING_STATUS=OR","EQY_CONSOLIDATED=Y","Sort=A","Dates=H","DateFormat=P","Fill=—","Direction=H","UseDPDF=Y")</f>
        <v>#NAME?</v>
      </c>
      <c r="BD261" s="1" t="e">
        <f ca="1">_xll.BDH($C$253,"GEO_GROW_BOOK_VAL","FQ3 2015","FQ3 2015","Currency=INR","Period=FQ","BEST_FPERIOD_OVERRIDE=FQ","FILING_STATUS=OR","EQY_CONSOLIDATED=Y","Sort=A","Dates=H","DateFormat=P","Fill=—","Direction=H","UseDPDF=Y")</f>
        <v>#NAME?</v>
      </c>
      <c r="BE261" s="1" t="e">
        <f ca="1">_xll.BDH($C$253,"GEO_GROW_CASH_OPER_ACT","FQ3 2015","FQ3 2015","Currency=INR","Period=FQ","BEST_FPERIOD_OVERRIDE=FQ","FILING_STATUS=OR","EQY_CONSOLIDATED=Y","Sort=A","Dates=H","DateFormat=P","Fill=—","Direction=H","UseDPDF=Y")</f>
        <v>#NAME?</v>
      </c>
      <c r="BF261" s="1" t="e">
        <f ca="1">_xll.BDH($C$253,"REVENUE_SEQUENTIAL_GROWTH","FQ3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61" s="1" t="e">
        <f ca="1">_xll.BDH($C$253,"EBITDA_SEQUENTIAL_GROWTH","FQ3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61" s="1" t="e">
        <f ca="1">_xll.BDH($C$253,"OPERATING_INCOME_SEQ_GROWTH","FQ3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61" s="1" t="e">
        <f ca="1">_xll.BDH($C$253,"NET_INCOME_TO_COMMON_SEQ_GROWTH","FQ3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61" s="1" t="e">
        <f ca="1">_xll.BDH($C$253,"EPS_DILUTED_SEQUENTIAL_GROWTH","FQ3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61" s="1" t="e">
        <f ca="1">_xll.BDH($C$253,"DPS_SEQUENTIAL_GROWTH","FQ3 2015","FQ3 2015","Currency=INR","Period=FQ","BEST_FPERIOD_OVERRIDE=FQ","FILING_STATUS=OR","EQY_CONSOLIDATED=Y","Sort=A","Dates=H","DateFormat=P","Fill=—","Direction=H","UseDPDF=Y")</f>
        <v>#NAME?</v>
      </c>
      <c r="BL261" s="1" t="e">
        <f ca="1">_xll.BDH($C$253,"ACCOUNTS_RECEIVABLE_SEQ_GROWTH","FQ3 2015","FQ3 2015","Currency=INR","Period=FQ","BEST_FPERIOD_OVERRIDE=FQ","FILING_STATUS=OR","EQY_CONSOLIDATED=Y","Sort=A","Dates=H","DateFormat=P","Fill=—","Direction=H","UseDPDF=Y")</f>
        <v>#NAME?</v>
      </c>
      <c r="BM261" s="1" t="e">
        <f ca="1">_xll.BDH($C$253,"INVENTORY_SEQUENTIAL_GROWTH","FQ3 2015","FQ3 2015","Currency=INR","Period=FQ","BEST_FPERIOD_OVERRIDE=FQ","FILING_STATUS=OR","EQY_CONSOLIDATED=Y","Sort=A","Dates=H","DateFormat=P","Fill=—","Direction=H","UseDPDF=Y")</f>
        <v>#NAME?</v>
      </c>
      <c r="BN261" s="1" t="e">
        <f ca="1">_xll.BDH($C$253,"FIXED_ASSETS_SEQUENTIAL_GROWTH","FQ3 2015","FQ3 2015","Currency=INR","Period=FQ","BEST_FPERIOD_OVERRIDE=FQ","FILING_STATUS=OR","EQY_CONSOLIDATED=Y","Sort=A","Dates=H","DateFormat=P","Fill=—","Direction=H","UseDPDF=Y")</f>
        <v>#NAME?</v>
      </c>
      <c r="BO261" s="1" t="e">
        <f ca="1">_xll.BDH($C$253,"TOTAL_ASSETS_SEQUENTIAL_GROWTH","FQ3 2015","FQ3 2015","Currency=INR","Period=FQ","BEST_FPERIOD_OVERRIDE=FQ","FILING_STATUS=OR","EQY_CONSOLIDATED=Y","Sort=A","Dates=H","DateFormat=P","Fill=—","Direction=H","UseDPDF=Y")</f>
        <v>#NAME?</v>
      </c>
      <c r="BP261" s="1" t="e">
        <f ca="1">_xll.BDH($C$253,"MODIFIED_WORKING_CPTL_SEQ_GRWTH","FQ3 2015","FQ3 2015","Currency=INR","Period=FQ","BEST_FPERIOD_OVERRIDE=FQ","FILING_STATUS=OR","EQY_CONSOLIDATED=Y","Sort=A","Dates=H","DateFormat=P","Fill=—","Direction=H","UseDPDF=Y")</f>
        <v>#NAME?</v>
      </c>
      <c r="BQ261" s="1" t="e">
        <f ca="1">_xll.BDH($C$253,"WORKING_CAPITAL_SEQ_GROWTH","FQ3 2015","FQ3 2015","Currency=INR","Period=FQ","BEST_FPERIOD_OVERRIDE=FQ","FILING_STATUS=OR","EQY_CONSOLIDATED=Y","Sort=A","Dates=H","DateFormat=P","Fill=—","Direction=H","UseDPDF=Y")</f>
        <v>#NAME?</v>
      </c>
      <c r="BR261" s="1" t="e">
        <f ca="1">_xll.BDH($C$253,"ACCOUNTS_PAYABLE_SEQ_GROWTH","FQ3 2015","FQ3 2015","Currency=INR","Period=FQ","BEST_FPERIOD_OVERRIDE=FQ","FILING_STATUS=OR","EQY_CONSOLIDATED=Y","Sort=A","Dates=H","DateFormat=P","Fill=—","Direction=H","UseDPDF=Y")</f>
        <v>#NAME?</v>
      </c>
      <c r="BS261" s="1" t="e">
        <f ca="1">_xll.BDH($C$253,"ST_DEBT_SEQUENTIAL_GROWTH","FQ3 2015","FQ3 2015","Currency=INR","Period=FQ","BEST_FPERIOD_OVERRIDE=FQ","FILING_STATUS=OR","EQY_CONSOLIDATED=Y","Sort=A","Dates=H","DateFormat=P","Fill=—","Direction=H","UseDPDF=Y")</f>
        <v>#NAME?</v>
      </c>
      <c r="BT261" s="1" t="e">
        <f ca="1">_xll.BDH($C$253,"TOTAL_DEBT_SEQUENTIAL_GROWTH","FQ3 2015","FQ3 2015","Currency=INR","Period=FQ","BEST_FPERIOD_OVERRIDE=FQ","FILING_STATUS=OR","EQY_CONSOLIDATED=Y","Sort=A","Dates=H","DateFormat=P","Fill=—","Direction=H","UseDPDF=Y")</f>
        <v>#NAME?</v>
      </c>
      <c r="BU261" s="1" t="e">
        <f ca="1">_xll.BDH($C$253,"TOTAL_EQUITY_SEQUENTIAL_GROWTH","FQ3 2015","FQ3 2015","Currency=INR","Period=FQ","BEST_FPERIOD_OVERRIDE=FQ","FILING_STATUS=OR","EQY_CONSOLIDATED=Y","Sort=A","Dates=H","DateFormat=P","Fill=—","Direction=H","UseDPDF=Y")</f>
        <v>#NAME?</v>
      </c>
      <c r="BV261" s="1" t="e">
        <f ca="1">_xll.BDH($C$253,"TOTAL_CAPITAL_SEQUENTIAL_GROWTH","FQ3 2015","FQ3 2015","Currency=INR","Period=FQ","BEST_FPERIOD_OVERRIDE=FQ","FILING_STATUS=OR","EQY_CONSOLIDATED=Y","Sort=A","Dates=H","DateFormat=P","Fill=—","Direction=H","UseDPDF=Y")</f>
        <v>#NAME?</v>
      </c>
      <c r="BW261" s="1" t="e">
        <f ca="1">_xll.BDH($C$253,"BPS_SEQUENTIAL_GROWTH","FQ3 2015","FQ3 2015","Currency=INR","Period=FQ","BEST_FPERIOD_OVERRIDE=FQ","FILING_STATUS=OR","EQY_CONSOLIDATED=Y","Sort=A","Dates=H","DateFormat=P","Fill=—","Direction=H","UseDPDF=Y")</f>
        <v>#NAME?</v>
      </c>
      <c r="BX261" s="1" t="e">
        <f ca="1">_xll.BDH($C$253,"CFO_SEQUENTIAL_GROWTH","FQ3 2015","FQ3 2015","Currency=INR","Period=FQ","BEST_FPERIOD_OVERRIDE=FQ","FILING_STATUS=OR","EQY_CONSOLIDATED=Y","Sort=A","Dates=H","DateFormat=P","Fill=—","Direction=H","UseDPDF=Y")</f>
        <v>#NAME?</v>
      </c>
      <c r="BY261" s="2" t="e">
        <f ca="1">_xll.BDH($C$253,"SHORT_AND_LONG_TERM_DEBT","FQ3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61" s="2" t="e">
        <f ca="1">_xll.BDH($C$253,"BS_ST_BORROW","FQ3 2015","FQ3 2015","Currency=INR","Period=FQ","BEST_FPERIOD_OVERRIDE=FQ","FILING_STATUS=OR","EQY_CONSOLIDATED=Y","SCALING_FORMAT=MLN","Sort=A","Dates=H","DateFormat=P","Fill=—","Direction=H","UseDPDF=Y")</f>
        <v>#NAME?</v>
      </c>
      <c r="CA261" s="2" t="e">
        <f ca="1">_xll.BDH($C$253,"BS_LT_BORROW","FQ3 2015","FQ3 2015","Currency=INR","Period=FQ","BEST_FPERIOD_OVERRIDE=FQ","FILING_STATUS=OR","EQY_CONSOLIDATED=Y","SCALING_FORMAT=MLN","Sort=A","Dates=H","DateFormat=P","Fill=—","Direction=H","UseDPDF=Y")</f>
        <v>#NAME?</v>
      </c>
      <c r="CB261" s="1" t="e">
        <f ca="1">_xll.BDH($C$253,"TOT_DEBT_TO_EBITDA","FQ3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61" s="1" t="e">
        <f ca="1">_xll.BDH($C$253,"NET_DEBT_TO_EBITDA","FQ3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61" s="1" t="e">
        <f ca="1">_xll.BDH($C$253,"TOTAL_DEBT_TO_EBIT","FQ3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61" s="1" t="e">
        <f ca="1">_xll.BDH($C$253,"NET_DEBT_TO_EBIT","FQ3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261" s="1" t="e">
        <f ca="1">_xll.BDH($C$253,"EBITDA_TO_INTEREST_EXPN","FQ3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61" s="1" t="e">
        <f ca="1">_xll.BDH($C$253,"COM_EQY_TO_TOT_ASSET","FQ3 2015","FQ3 2015","Currency=INR","Period=FQ","BEST_FPERIOD_OVERRIDE=FQ","FILING_STATUS=OR","EQY_CONSOLIDATED=Y","Sort=A","Dates=H","DateFormat=P","Fill=—","Direction=H","UseDPDF=Y")</f>
        <v>#NAME?</v>
      </c>
      <c r="CH261" s="1" t="e">
        <f ca="1">_xll.BDH($C$253,"LT_DEBT_TO_TOT_EQY","FQ3 2015","FQ3 2015","Currency=INR","Period=FQ","BEST_FPERIOD_OVERRIDE=FQ","FILING_STATUS=OR","EQY_CONSOLIDATED=Y","Sort=A","Dates=H","DateFormat=P","Fill=—","Direction=H","UseDPDF=Y")</f>
        <v>#NAME?</v>
      </c>
      <c r="CI261" s="1" t="e">
        <f ca="1">_xll.BDH($C$253,"LT_DEBT_TO_TOT_CAP","FQ3 2015","FQ3 2015","Currency=INR","Period=FQ","BEST_FPERIOD_OVERRIDE=FQ","FILING_STATUS=OR","EQY_CONSOLIDATED=Y","Sort=A","Dates=H","DateFormat=P","Fill=—","Direction=H","UseDPDF=Y")</f>
        <v>#NAME?</v>
      </c>
      <c r="CJ261" s="1" t="e">
        <f ca="1">_xll.BDH($C$253,"LT_DEBT_TO_TOT_ASSET","FQ3 2015","FQ3 2015","Currency=INR","Period=FQ","BEST_FPERIOD_OVERRIDE=FQ","FILING_STATUS=OR","EQY_CONSOLIDATED=Y","Sort=A","Dates=H","DateFormat=P","Fill=—","Direction=H","UseDPDF=Y")</f>
        <v>#NAME?</v>
      </c>
      <c r="CK261" s="1" t="e">
        <f ca="1">_xll.BDH($C$253,"TOT_DEBT_TO_TOT_EQY","FQ3 2015","FQ3 2015","Currency=INR","Period=FQ","BEST_FPERIOD_OVERRIDE=FQ","FILING_STATUS=OR","EQY_CONSOLIDATED=Y","Sort=A","Dates=H","DateFormat=P","Fill=—","Direction=H","UseDPDF=Y")</f>
        <v>#NAME?</v>
      </c>
      <c r="CL261" s="1" t="e">
        <f ca="1">_xll.BDH($C$253,"TOT_DEBT_TO_TOT_CAP","FQ3 2015","FQ3 2015","Currency=INR","Period=FQ","BEST_FPERIOD_OVERRIDE=FQ","FILING_STATUS=OR","EQY_CONSOLIDATED=Y","Sort=A","Dates=H","DateFormat=P","Fill=—","Direction=H","UseDPDF=Y")</f>
        <v>#NAME?</v>
      </c>
      <c r="CM261" s="1" t="e">
        <f ca="1">_xll.BDH($C$253,"TOT_DEBT_TO_TOT_ASSET","FQ3 2015","FQ3 2015","Currency=INR","Period=FQ","BEST_FPERIOD_OVERRIDE=FQ","FILING_STATUS=OR","EQY_CONSOLIDATED=Y","Sort=A","Dates=H","DateFormat=P","Fill=—","Direction=H","UseDPDF=Y")</f>
        <v>#NAME?</v>
      </c>
      <c r="CN261" s="1" t="e">
        <f ca="1">_xll.BDH($C$253,"NET_DEBT_TO_SHRHLDR_EQTY","FQ3 2015","FQ3 2015","Currency=INR","Period=FQ","BEST_FPERIOD_OVERRIDE=FQ","FILING_STATUS=OR","EQY_CONSOLIDATED=Y","Sort=A","Dates=H","DateFormat=P","Fill=—","Direction=H","UseDPDF=Y")</f>
        <v>#NAME?</v>
      </c>
      <c r="CO261" s="1" t="e">
        <f ca="1">_xll.BDH($C$253,"NET_DEBT_%_CAPITAL","FQ3 2015","FQ3 2015","Currency=INR","Period=FQ","BEST_FPERIOD_OVERRIDE=FQ","FILING_STATUS=OR","EQY_CONSOLIDATED=Y","Sort=A","Dates=H","DateFormat=P","Fill=—","Direction=H","UseDPDF=Y")</f>
        <v>#NAME?</v>
      </c>
      <c r="CP261" s="2" t="e">
        <f ca="1">_xll.BDH($C$253,"EBITDA","FQ3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61" s="2" t="e">
        <f ca="1">_xll.BDH($C$253,"EBITDA_AFTER_CAPEX","FQ3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61" s="2" t="e">
        <f ca="1">_xll.BDH($C$253,"IS_OPER_INC","FQ3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61" s="1" t="e">
        <f ca="1">_xll.BDH($C$253,"CASH_RATIO","FQ3 2015","FQ3 2015","Currency=INR","Period=FQ","BEST_FPERIOD_OVERRIDE=FQ","FILING_STATUS=OR","EQY_CONSOLIDATED=Y","Sort=A","Dates=H","DateFormat=P","Fill=—","Direction=H","UseDPDF=Y")</f>
        <v>#NAME?</v>
      </c>
      <c r="CT261" s="1" t="e">
        <f ca="1">_xll.BDH($C$253,"CUR_RATIO","FQ3 2015","FQ3 2015","Currency=INR","Period=FQ","BEST_FPERIOD_OVERRIDE=FQ","FILING_STATUS=OR","EQY_CONSOLIDATED=Y","Sort=A","Dates=H","DateFormat=P","Fill=—","Direction=H","UseDPDF=Y")</f>
        <v>#NAME?</v>
      </c>
      <c r="CU261" s="1" t="e">
        <f ca="1">_xll.BDH($C$253,"QUICK_RATIO","FQ3 2015","FQ3 2015","Currency=INR","Period=FQ","BEST_FPERIOD_OVERRIDE=FQ","FILING_STATUS=OR","EQY_CONSOLIDATED=Y","Sort=A","Dates=H","DateFormat=P","Fill=—","Direction=H","UseDPDF=Y")</f>
        <v>#NAME?</v>
      </c>
      <c r="CV261" s="1" t="e">
        <f ca="1">_xll.BDH($C$253,"ALTMAN_Z_SCORE","FQ3 2015","FQ3 2015","Currency=INR","Period=FQ","BEST_FPERIOD_OVERRIDE=FQ","FILING_STATUS=OR","EQY_CONSOLIDATED=Y","Sort=A","Dates=H","DateFormat=P","Fill=—","Direction=H","UseDPDF=Y")</f>
        <v>#NAME?</v>
      </c>
      <c r="CW261" s="3" t="e">
        <f ca="1">_xll.BDH($C$253,"ACCT_RCV_TURN","FQ3 2015","FQ3 2015","Currency=INR","Period=FQ","BEST_FPERIOD_OVERRIDE=FQ","FILING_STATUS=OR","EQY_CONSOLIDATED=Y","FA_ADJUSTED=GAAP","Sort=A","Dates=H","DateFormat=P","Fill=—","Direction=H","UseDPDF=Y")</f>
        <v>#NAME?</v>
      </c>
      <c r="CX261" s="1" t="e">
        <f ca="1">_xll.BDH($C$253,"ACCT_RCV_DAYS","FQ3 2015","FQ3 2015","Currency=INR","Period=FQ","BEST_FPERIOD_OVERRIDE=FQ","FILING_STATUS=OR","EQY_CONSOLIDATED=Y","FA_ADJUSTED=GAAP","Sort=A","Dates=H","DateFormat=P","Fill=—","Direction=H","UseDPDF=Y")</f>
        <v>#NAME?</v>
      </c>
      <c r="CY261" s="3" t="e">
        <f ca="1">_xll.BDH($C$253,"INVENT_TURN","FQ3 2015","FQ3 2015","Currency=INR","Period=FQ","BEST_FPERIOD_OVERRIDE=FQ","FILING_STATUS=OR","EQY_CONSOLIDATED=Y","FA_ADJUSTED=GAAP","Sort=A","Dates=H","DateFormat=P","Fill=—","Direction=H","UseDPDF=Y")</f>
        <v>#NAME?</v>
      </c>
      <c r="CZ261" s="1" t="e">
        <f ca="1">_xll.BDH($C$253,"INVENT_DAYS","FQ3 2015","FQ3 2015","Currency=INR","Period=FQ","BEST_FPERIOD_OVERRIDE=FQ","FILING_STATUS=OR","EQY_CONSOLIDATED=Y","FA_ADJUSTED=GAAP","Sort=A","Dates=H","DateFormat=P","Fill=—","Direction=H","UseDPDF=Y")</f>
        <v>#NAME?</v>
      </c>
      <c r="DA261" s="3" t="e">
        <f ca="1">_xll.BDH($C$253,"ACCOUNTS_PAYABLE_TURNOVER","FQ3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61" s="1" t="e">
        <f ca="1">_xll.BDH($C$253,"ACCOUNTS_PAYABLE_TURNOVER_DAYS","FQ3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61" s="3" t="e">
        <f ca="1">_xll.BDH($C$253,"CASH_CONVERSION_CYCLE","FQ3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61" s="3" t="e">
        <f ca="1">_xll.BDH($C$253,"INV_TO_CASH_DAYS","FQ3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261" s="4" t="e">
        <f ca="1">_xll.BDH($C$253,"BS_INVENTORIES","FQ3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261" s="2" t="e">
        <f ca="1">_xll.BDH($C$253,"INVTRY_RAW_MATERIALS","FQ3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61" s="2" t="e">
        <f ca="1">_xll.BDH($C$253,"INVTRY_IN_PROGRESS","FQ3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61" s="2" t="e">
        <f ca="1">_xll.BDH($C$253,"INVTRY_FINISHED_GOODS","FQ3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61" s="2" t="e">
        <f ca="1">_xll.BDH($C$253,"BS_OTHER_INV","FQ3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62" spans="1:113" x14ac:dyDescent="0.3">
      <c r="A262" s="6"/>
      <c r="B262" s="6"/>
      <c r="C262" s="6"/>
      <c r="D262" s="6"/>
      <c r="E262" t="s">
        <v>7</v>
      </c>
      <c r="F262" t="e">
        <f ca="1">_xll.BDH($C$253,"RETURN_COM_EQY","FQ4 2015","FQ4 2015","Currency=INR","Period=FQ","BEST_FPERIOD_OVERRIDE=FQ","FILING_STATUS=OR","EQY_CONSOLIDATED=Y","FA_ADJUSTED=GAAP","Sort=A","Dates=H","DateFormat=P","Fill=—","Direction=H","UseDPDF=Y")</f>
        <v>#NAME?</v>
      </c>
      <c r="G262" t="e">
        <f ca="1">_xll.BDH($C$253,"RETURN_ON_ASSET","FQ4 2015","FQ4 2015","Currency=INR","Period=FQ","BEST_FPERIOD_OVERRIDE=FQ","FILING_STATUS=OR","EQY_CONSOLIDATED=Y","FA_ADJUSTED=GAAP","Sort=A","Dates=H","DateFormat=P","Fill=—","Direction=H","UseDPDF=Y")</f>
        <v>#NAME?</v>
      </c>
      <c r="H262" t="e">
        <f ca="1">_xll.BDH($C$253,"RETURN_ON_CAP","FQ4 2015","FQ4 2015","Currency=INR","Period=FQ","BEST_FPERIOD_OVERRIDE=FQ","FILING_STATUS=OR","EQY_CONSOLIDATED=Y","FA_ADJUSTED=GAAP","Sort=A","Dates=H","DateFormat=P","Fill=—","Direction=H","UseDPDF=Y")</f>
        <v>#NAME?</v>
      </c>
      <c r="I262" t="e">
        <f ca="1">_xll.BDH($C$253,"RETURN_ON_INV_CAPITAL","FQ4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62" t="e">
        <f ca="1">_xll.BDH($C$253,"EBITDA_TO_REVENUE","FQ4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262" t="e">
        <f ca="1">_xll.BDH($C$253,"OPER_MARGIN","FQ4 2015","FQ4 2015","Currency=INR","Period=FQ","BEST_FPERIOD_OVERRIDE=FQ","FILING_STATUS=OR","EQY_CONSOLIDATED=Y","FA_ADJUSTED=GAAP","Sort=A","Dates=H","DateFormat=P","Fill=—","Direction=H","UseDPDF=Y")</f>
        <v>#NAME?</v>
      </c>
      <c r="L262" t="e">
        <f ca="1">_xll.BDH($C$253,"INCREMENTAL_OPERATING_MARGIN","FQ4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62" t="e">
        <f ca="1">_xll.BDH($C$253,"PRETAX_INC_TO_NET_SALES","FQ4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62" t="e">
        <f ca="1">_xll.BDH($C$253,"INC_BEF_XO_ITEMS_TO_NET_SALES","FQ4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62" t="e">
        <f ca="1">_xll.BDH($C$253,"PROF_MARGIN","FQ4 2015","FQ4 2015","Currency=INR","Period=FQ","BEST_FPERIOD_OVERRIDE=FQ","FILING_STATUS=OR","EQY_CONSOLIDATED=Y","FA_ADJUSTED=GAAP","Sort=A","Dates=H","DateFormat=P","Fill=—","Direction=H","UseDPDF=Y")</f>
        <v>#NAME?</v>
      </c>
      <c r="P262" t="e">
        <f ca="1">_xll.BDH($C$253,"NET_INCOME_TO_COMMON_MARGIN","FQ4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62" t="e">
        <f ca="1">_xll.BDH($C$253,"EFF_TAX_RATE","FQ4 2015","FQ4 2015","Currency=INR","Period=FQ","BEST_FPERIOD_OVERRIDE=FQ","FILING_STATUS=OR","EQY_CONSOLIDATED=Y","FA_ADJUSTED=GAAP","Sort=A","Dates=H","DateFormat=P","Fill=—","Direction=H","UseDPDF=Y")</f>
        <v>#NAME?</v>
      </c>
      <c r="R262" t="e">
        <f ca="1">_xll.BDH($C$253,"DVD_PAYOUT_RATIO","FQ4 2015","FQ4 2015","Currency=INR","Period=FQ","BEST_FPERIOD_OVERRIDE=FQ","FILING_STATUS=OR","EQY_CONSOLIDATED=Y","FA_ADJUSTED=GAAP","Sort=A","Dates=H","DateFormat=P","Fill=—","Direction=H","UseDPDF=Y")</f>
        <v>#NAME?</v>
      </c>
      <c r="S262" t="e">
        <f ca="1">_xll.BDH($C$253,"SUSTAIN_GROWTH_RT","FQ4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262" s="1" t="e">
        <f ca="1">_xll.BDH($C$253,"SALES_GROWTH","FQ4 2015","FQ4 2015","Currency=INR","Period=FQ","BEST_FPERIOD_OVERRIDE=FQ","FILING_STATUS=OR","EQY_CONSOLIDATED=Y","FA_ADJUSTED=GAAP","Sort=A","Dates=H","DateFormat=P","Fill=—","Direction=H","UseDPDF=Y")</f>
        <v>#NAME?</v>
      </c>
      <c r="U262" s="1" t="e">
        <f ca="1">_xll.BDH($C$253,"EBITDA_GROWTH","FQ4 2015","FQ4 2015","Currency=INR","Period=FQ","BEST_FPERIOD_OVERRIDE=FQ","FILING_STATUS=OR","EQY_CONSOLIDATED=Y","FA_ADJUSTED=GAAP","Sort=A","Dates=H","DateFormat=P","Fill=—","Direction=H","UseDPDF=Y")</f>
        <v>#NAME?</v>
      </c>
      <c r="V262" s="1" t="e">
        <f ca="1">_xll.BDH($C$253,"OPER_INC_GROWTH","FQ4 2015","FQ4 2015","Currency=INR","Period=FQ","BEST_FPERIOD_OVERRIDE=FQ","FILING_STATUS=OR","EQY_CONSOLIDATED=Y","FA_ADJUSTED=GAAP","Sort=A","Dates=H","DateFormat=P","Fill=—","Direction=H","UseDPDF=Y")</f>
        <v>#NAME?</v>
      </c>
      <c r="W262" s="1" t="e">
        <f ca="1">_xll.BDH($C$253,"EARN_FOR_COM_GROWTH","FQ4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62" s="1" t="e">
        <f ca="1">_xll.BDH($C$253,"DILUTED_EPS_AFT_XO_ITEMS_GROWTH","FQ4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62" s="1" t="e">
        <f ca="1">_xll.BDH($C$253,"DIVIDEND_PER_SHARE_1_YEAR_GROWTH","FQ4 2015","FQ4 2015","Currency=INR","Period=FQ","BEST_FPERIOD_OVERRIDE=FQ","FILING_STATUS=OR","EQY_CONSOLIDATED=Y","Sort=A","Dates=H","DateFormat=P","Fill=—","Direction=H","UseDPDF=Y")</f>
        <v>#NAME?</v>
      </c>
      <c r="Z262" s="1" t="e">
        <f ca="1">_xll.BDH($C$253,"ACCOUNTS_RECEIVABLE_GROWTH","FQ4 2015","FQ4 2015","Currency=INR","Period=FQ","BEST_FPERIOD_OVERRIDE=FQ","FILING_STATUS=OR","EQY_CONSOLIDATED=Y","Sort=A","Dates=H","DateFormat=P","Fill=—","Direction=H","UseDPDF=Y")</f>
        <v>#NAME?</v>
      </c>
      <c r="AA262" s="1" t="e">
        <f ca="1">_xll.BDH($C$253,"INVENTORY_GROWTH","FQ4 2015","FQ4 2015","Currency=INR","Period=FQ","BEST_FPERIOD_OVERRIDE=FQ","FILING_STATUS=OR","EQY_CONSOLIDATED=Y","Sort=A","Dates=H","DateFormat=P","Fill=—","Direction=H","UseDPDF=Y")</f>
        <v>#NAME?</v>
      </c>
      <c r="AB262" s="1" t="e">
        <f ca="1">_xll.BDH($C$253,"NET_FIXED_ASSETS_1_YEAR_GROWTH","FQ4 2015","FQ4 2015","Currency=INR","Period=FQ","BEST_FPERIOD_OVERRIDE=FQ","FILING_STATUS=OR","EQY_CONSOLIDATED=Y","Sort=A","Dates=H","DateFormat=P","Fill=—","Direction=H","UseDPDF=Y")</f>
        <v>#NAME?</v>
      </c>
      <c r="AC262" s="1" t="e">
        <f ca="1">_xll.BDH($C$253,"ASSET_GROWTH","FQ4 2015","FQ4 2015","Currency=INR","Period=FQ","BEST_FPERIOD_OVERRIDE=FQ","FILING_STATUS=OR","EQY_CONSOLIDATED=Y","Sort=A","Dates=H","DateFormat=P","Fill=—","Direction=H","UseDPDF=Y")</f>
        <v>#NAME?</v>
      </c>
      <c r="AD262" s="1" t="e">
        <f ca="1">_xll.BDH($C$253,"MODIFIED_WORK_CAP_GROWTH","FQ4 2015","FQ4 2015","Currency=INR","Period=FQ","BEST_FPERIOD_OVERRIDE=FQ","FILING_STATUS=OR","EQY_CONSOLIDATED=Y","Sort=A","Dates=H","DateFormat=P","Fill=—","Direction=H","UseDPDF=Y")</f>
        <v>#NAME?</v>
      </c>
      <c r="AE262" s="1" t="e">
        <f ca="1">_xll.BDH($C$253,"WORK_CAP_GROWTH","FQ4 2015","FQ4 2015","Currency=INR","Period=FQ","BEST_FPERIOD_OVERRIDE=FQ","FILING_STATUS=OR","EQY_CONSOLIDATED=Y","Sort=A","Dates=H","DateFormat=P","Fill=—","Direction=H","UseDPDF=Y")</f>
        <v>#NAME?</v>
      </c>
      <c r="AF262" s="1" t="e">
        <f ca="1">_xll.BDH($C$253,"ACCOUNTS_PAYABLE_GROWTH_1YR","FQ4 2015","FQ4 2015","Currency=INR","Period=FQ","BEST_FPERIOD_OVERRIDE=FQ","FILING_STATUS=OR","EQY_CONSOLIDATED=Y","Sort=A","Dates=H","DateFormat=P","Fill=—","Direction=H","UseDPDF=Y")</f>
        <v>#NAME?</v>
      </c>
      <c r="AG262" s="1" t="e">
        <f ca="1">_xll.BDH($C$253,"SHORT_TERM_DEBT_1_YEAR_GROWTH","FQ4 2015","FQ4 2015","Currency=INR","Period=FQ","BEST_FPERIOD_OVERRIDE=FQ","FILING_STATUS=OR","EQY_CONSOLIDATED=Y","Sort=A","Dates=H","DateFormat=P","Fill=—","Direction=H","UseDPDF=Y")</f>
        <v>#NAME?</v>
      </c>
      <c r="AH262" s="1" t="e">
        <f ca="1">_xll.BDH($C$253,"TOTAL_DEBT_1_YEAR_GROWTH","FQ4 2015","FQ4 2015","Currency=INR","Period=FQ","BEST_FPERIOD_OVERRIDE=FQ","FILING_STATUS=OR","EQY_CONSOLIDATED=Y","Sort=A","Dates=H","DateFormat=P","Fill=—","Direction=H","UseDPDF=Y")</f>
        <v>#NAME?</v>
      </c>
      <c r="AI262" s="1" t="e">
        <f ca="1">_xll.BDH($C$253,"TOTAL_EQUITY_1_YEAR_GROWTH","FQ4 2015","FQ4 2015","Currency=INR","Period=FQ","BEST_FPERIOD_OVERRIDE=FQ","FILING_STATUS=OR","EQY_CONSOLIDATED=Y","Sort=A","Dates=H","DateFormat=P","Fill=—","Direction=H","UseDPDF=Y")</f>
        <v>#NAME?</v>
      </c>
      <c r="AJ262" s="1" t="e">
        <f ca="1">_xll.BDH($C$253,"GROWTH_IN_CAP","FQ4 2015","FQ4 2015","Currency=INR","Period=FQ","BEST_FPERIOD_OVERRIDE=FQ","FILING_STATUS=OR","EQY_CONSOLIDATED=Y","Sort=A","Dates=H","DateFormat=P","Fill=—","Direction=H","UseDPDF=Y")</f>
        <v>#NAME?</v>
      </c>
      <c r="AK262" s="1" t="e">
        <f ca="1">_xll.BDH($C$253,"BVPS_GROWTH","FQ4 2015","FQ4 2015","Currency=INR","Period=FQ","BEST_FPERIOD_OVERRIDE=FQ","FILING_STATUS=OR","EQY_CONSOLIDATED=Y","Sort=A","Dates=H","DateFormat=P","Fill=—","Direction=H","UseDPDF=Y")</f>
        <v>#NAME?</v>
      </c>
      <c r="AL262" s="1" t="e">
        <f ca="1">_xll.BDH($C$253,"CASH_FLOW_GROWTH","FQ4 2015","FQ4 2015","Currency=INR","Period=FQ","BEST_FPERIOD_OVERRIDE=FQ","FILING_STATUS=OR","EQY_CONSOLIDATED=Y","Sort=A","Dates=H","DateFormat=P","Fill=—","Direction=H","UseDPDF=Y")</f>
        <v>#NAME?</v>
      </c>
      <c r="AM262" s="1" t="e">
        <f ca="1">_xll.BDH($C$253,"GEO_GROW_NET_SALES","FQ4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62" s="1" t="e">
        <f ca="1">_xll.BDH($C$253,"GEO_GROW_EBITDA","FQ4 2015","FQ4 2015","Currency=INR","Period=FQ","BEST_FPERIOD_OVERRIDE=FQ","FILING_STATUS=OR","EQY_CONSOLIDATED=Y","FA_ADJUSTED=GAAP","Sort=A","Dates=H","DateFormat=P","Fill=—","Direction=H","UseDPDF=Y")</f>
        <v>#NAME?</v>
      </c>
      <c r="AO262" s="1" t="e">
        <f ca="1">_xll.BDH($C$253,"GEO_GROW_OPER_INC","FQ4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62" s="1" t="e">
        <f ca="1">_xll.BDH($C$253,"NET_INCOME_TO_COMMON_5_YR_GROWTH","FQ4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62" s="1" t="e">
        <f ca="1">_xll.BDH($C$253,"5Y_GEO_GROWTH_DILUTED_EPS","FQ4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62" s="1" t="e">
        <f ca="1">_xll.BDH($C$253,"GEO_GROW_DVD_PER_SH","FQ4 2015","FQ4 2015","Currency=INR","Period=FQ","BEST_FPERIOD_OVERRIDE=FQ","FILING_STATUS=OR","EQY_CONSOLIDATED=Y","Sort=A","Dates=H","DateFormat=P","Fill=—","Direction=H","UseDPDF=Y")</f>
        <v>#NAME?</v>
      </c>
      <c r="AS262" s="1" t="e">
        <f ca="1">_xll.BDH($C$253,"ACCOUNTS_RECEIVABLE_5_YR_GROWTH","FQ4 2015","FQ4 2015","Currency=INR","Period=FQ","BEST_FPERIOD_OVERRIDE=FQ","FILING_STATUS=OR","EQY_CONSOLIDATED=Y","Sort=A","Dates=H","DateFormat=P","Fill=—","Direction=H","UseDPDF=Y")</f>
        <v>#NAME?</v>
      </c>
      <c r="AT262" s="1" t="e">
        <f ca="1">_xll.BDH($C$253,"INVENTORY_5_YEAR_GROWTH","FQ4 2015","FQ4 2015","Currency=INR","Period=FQ","BEST_FPERIOD_OVERRIDE=FQ","FILING_STATUS=OR","EQY_CONSOLIDATED=Y","Sort=A","Dates=H","DateFormat=P","Fill=—","Direction=H","UseDPDF=Y")</f>
        <v>#NAME?</v>
      </c>
      <c r="AU262" s="1" t="e">
        <f ca="1">_xll.BDH($C$253,"NET_FIXED_ASSETS_5_YEAR_GROWTH","FQ4 2015","FQ4 2015","Currency=INR","Period=FQ","BEST_FPERIOD_OVERRIDE=FQ","FILING_STATUS=OR","EQY_CONSOLIDATED=Y","Sort=A","Dates=H","DateFormat=P","Fill=—","Direction=H","UseDPDF=Y")</f>
        <v>#NAME?</v>
      </c>
      <c r="AV262" s="1" t="e">
        <f ca="1">_xll.BDH($C$253,"GEO_GROW_TOT_ASSET","FQ4 2015","FQ4 2015","Currency=INR","Period=FQ","BEST_FPERIOD_OVERRIDE=FQ","FILING_STATUS=OR","EQY_CONSOLIDATED=Y","Sort=A","Dates=H","DateFormat=P","Fill=—","Direction=H","UseDPDF=Y")</f>
        <v>#NAME?</v>
      </c>
      <c r="AW262" s="1" t="e">
        <f ca="1">_xll.BDH($C$253,"MODIFIED_WORKING_CPTL_5YR_GRWTH","FQ4 2015","FQ4 2015","Currency=INR","Period=FQ","BEST_FPERIOD_OVERRIDE=FQ","FILING_STATUS=OR","EQY_CONSOLIDATED=Y","Sort=A","Dates=H","DateFormat=P","Fill=—","Direction=H","UseDPDF=Y")</f>
        <v>#NAME?</v>
      </c>
      <c r="AX262" s="1" t="e">
        <f ca="1">_xll.BDH($C$253,"WORKING_CAPITAL_5_YEAR_GROWTH","FQ4 2015","FQ4 2015","Currency=INR","Period=FQ","BEST_FPERIOD_OVERRIDE=FQ","FILING_STATUS=OR","EQY_CONSOLIDATED=Y","Sort=A","Dates=H","DateFormat=P","Fill=—","Direction=H","UseDPDF=Y")</f>
        <v>#NAME?</v>
      </c>
      <c r="AY262" s="1" t="e">
        <f ca="1">_xll.BDH($C$253,"ACCOUNTS_PAYABLE_5_YEAR_GROWTH","FQ4 2015","FQ4 2015","Currency=INR","Period=FQ","BEST_FPERIOD_OVERRIDE=FQ","FILING_STATUS=OR","EQY_CONSOLIDATED=Y","Sort=A","Dates=H","DateFormat=P","Fill=—","Direction=H","UseDPDF=Y")</f>
        <v>#NAME?</v>
      </c>
      <c r="AZ262" s="1" t="e">
        <f ca="1">_xll.BDH($C$253,"SHORT_TERM_DEBT_5_YEAR_GROWTH","FQ4 2015","FQ4 2015","Currency=INR","Period=FQ","BEST_FPERIOD_OVERRIDE=FQ","FILING_STATUS=OR","EQY_CONSOLIDATED=Y","Sort=A","Dates=H","DateFormat=P","Fill=—","Direction=H","UseDPDF=Y")</f>
        <v>#NAME?</v>
      </c>
      <c r="BA262" s="1" t="e">
        <f ca="1">_xll.BDH($C$253,"TOTAL_DEBT_5_YEAR_GROWTH","FQ4 2015","FQ4 2015","Currency=INR","Period=FQ","BEST_FPERIOD_OVERRIDE=FQ","FILING_STATUS=OR","EQY_CONSOLIDATED=Y","Sort=A","Dates=H","DateFormat=P","Fill=—","Direction=H","UseDPDF=Y")</f>
        <v>#NAME?</v>
      </c>
      <c r="BB262" s="1" t="e">
        <f ca="1">_xll.BDH($C$253,"GEO_GROW_TOT_SHRHLDR_EQY","FQ4 2015","FQ4 2015","Currency=INR","Period=FQ","BEST_FPERIOD_OVERRIDE=FQ","FILING_STATUS=OR","EQY_CONSOLIDATED=Y","Sort=A","Dates=H","DateFormat=P","Fill=—","Direction=H","UseDPDF=Y")</f>
        <v>#NAME?</v>
      </c>
      <c r="BC262" s="1" t="e">
        <f ca="1">_xll.BDH($C$253,"TOTAL_CAPITAL_5_YEAR_GROWTH","FQ4 2015","FQ4 2015","Currency=INR","Period=FQ","BEST_FPERIOD_OVERRIDE=FQ","FILING_STATUS=OR","EQY_CONSOLIDATED=Y","Sort=A","Dates=H","DateFormat=P","Fill=—","Direction=H","UseDPDF=Y")</f>
        <v>#NAME?</v>
      </c>
      <c r="BD262" s="1" t="e">
        <f ca="1">_xll.BDH($C$253,"GEO_GROW_BOOK_VAL","FQ4 2015","FQ4 2015","Currency=INR","Period=FQ","BEST_FPERIOD_OVERRIDE=FQ","FILING_STATUS=OR","EQY_CONSOLIDATED=Y","Sort=A","Dates=H","DateFormat=P","Fill=—","Direction=H","UseDPDF=Y")</f>
        <v>#NAME?</v>
      </c>
      <c r="BE262" s="1" t="e">
        <f ca="1">_xll.BDH($C$253,"GEO_GROW_CASH_OPER_ACT","FQ4 2015","FQ4 2015","Currency=INR","Period=FQ","BEST_FPERIOD_OVERRIDE=FQ","FILING_STATUS=OR","EQY_CONSOLIDATED=Y","Sort=A","Dates=H","DateFormat=P","Fill=—","Direction=H","UseDPDF=Y")</f>
        <v>#NAME?</v>
      </c>
      <c r="BF262" s="1" t="e">
        <f ca="1">_xll.BDH($C$253,"REVENUE_SEQUENTIAL_GROWTH","FQ4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62" s="1" t="e">
        <f ca="1">_xll.BDH($C$253,"EBITDA_SEQUENTIAL_GROWTH","FQ4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62" s="1" t="e">
        <f ca="1">_xll.BDH($C$253,"OPERATING_INCOME_SEQ_GROWTH","FQ4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62" s="1" t="e">
        <f ca="1">_xll.BDH($C$253,"NET_INCOME_TO_COMMON_SEQ_GROWTH","FQ4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62" s="1" t="e">
        <f ca="1">_xll.BDH($C$253,"EPS_DILUTED_SEQUENTIAL_GROWTH","FQ4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62" s="1" t="e">
        <f ca="1">_xll.BDH($C$253,"DPS_SEQUENTIAL_GROWTH","FQ4 2015","FQ4 2015","Currency=INR","Period=FQ","BEST_FPERIOD_OVERRIDE=FQ","FILING_STATUS=OR","EQY_CONSOLIDATED=Y","Sort=A","Dates=H","DateFormat=P","Fill=—","Direction=H","UseDPDF=Y")</f>
        <v>#NAME?</v>
      </c>
      <c r="BL262" s="1" t="e">
        <f ca="1">_xll.BDH($C$253,"ACCOUNTS_RECEIVABLE_SEQ_GROWTH","FQ4 2015","FQ4 2015","Currency=INR","Period=FQ","BEST_FPERIOD_OVERRIDE=FQ","FILING_STATUS=OR","EQY_CONSOLIDATED=Y","Sort=A","Dates=H","DateFormat=P","Fill=—","Direction=H","UseDPDF=Y")</f>
        <v>#NAME?</v>
      </c>
      <c r="BM262" s="1" t="e">
        <f ca="1">_xll.BDH($C$253,"INVENTORY_SEQUENTIAL_GROWTH","FQ4 2015","FQ4 2015","Currency=INR","Period=FQ","BEST_FPERIOD_OVERRIDE=FQ","FILING_STATUS=OR","EQY_CONSOLIDATED=Y","Sort=A","Dates=H","DateFormat=P","Fill=—","Direction=H","UseDPDF=Y")</f>
        <v>#NAME?</v>
      </c>
      <c r="BN262" s="1" t="e">
        <f ca="1">_xll.BDH($C$253,"FIXED_ASSETS_SEQUENTIAL_GROWTH","FQ4 2015","FQ4 2015","Currency=INR","Period=FQ","BEST_FPERIOD_OVERRIDE=FQ","FILING_STATUS=OR","EQY_CONSOLIDATED=Y","Sort=A","Dates=H","DateFormat=P","Fill=—","Direction=H","UseDPDF=Y")</f>
        <v>#NAME?</v>
      </c>
      <c r="BO262" s="1" t="e">
        <f ca="1">_xll.BDH($C$253,"TOTAL_ASSETS_SEQUENTIAL_GROWTH","FQ4 2015","FQ4 2015","Currency=INR","Period=FQ","BEST_FPERIOD_OVERRIDE=FQ","FILING_STATUS=OR","EQY_CONSOLIDATED=Y","Sort=A","Dates=H","DateFormat=P","Fill=—","Direction=H","UseDPDF=Y")</f>
        <v>#NAME?</v>
      </c>
      <c r="BP262" s="1" t="e">
        <f ca="1">_xll.BDH($C$253,"MODIFIED_WORKING_CPTL_SEQ_GRWTH","FQ4 2015","FQ4 2015","Currency=INR","Period=FQ","BEST_FPERIOD_OVERRIDE=FQ","FILING_STATUS=OR","EQY_CONSOLIDATED=Y","Sort=A","Dates=H","DateFormat=P","Fill=—","Direction=H","UseDPDF=Y")</f>
        <v>#NAME?</v>
      </c>
      <c r="BQ262" s="1" t="e">
        <f ca="1">_xll.BDH($C$253,"WORKING_CAPITAL_SEQ_GROWTH","FQ4 2015","FQ4 2015","Currency=INR","Period=FQ","BEST_FPERIOD_OVERRIDE=FQ","FILING_STATUS=OR","EQY_CONSOLIDATED=Y","Sort=A","Dates=H","DateFormat=P","Fill=—","Direction=H","UseDPDF=Y")</f>
        <v>#NAME?</v>
      </c>
      <c r="BR262" s="1" t="e">
        <f ca="1">_xll.BDH($C$253,"ACCOUNTS_PAYABLE_SEQ_GROWTH","FQ4 2015","FQ4 2015","Currency=INR","Period=FQ","BEST_FPERIOD_OVERRIDE=FQ","FILING_STATUS=OR","EQY_CONSOLIDATED=Y","Sort=A","Dates=H","DateFormat=P","Fill=—","Direction=H","UseDPDF=Y")</f>
        <v>#NAME?</v>
      </c>
      <c r="BS262" s="1" t="e">
        <f ca="1">_xll.BDH($C$253,"ST_DEBT_SEQUENTIAL_GROWTH","FQ4 2015","FQ4 2015","Currency=INR","Period=FQ","BEST_FPERIOD_OVERRIDE=FQ","FILING_STATUS=OR","EQY_CONSOLIDATED=Y","Sort=A","Dates=H","DateFormat=P","Fill=—","Direction=H","UseDPDF=Y")</f>
        <v>#NAME?</v>
      </c>
      <c r="BT262" s="1" t="e">
        <f ca="1">_xll.BDH($C$253,"TOTAL_DEBT_SEQUENTIAL_GROWTH","FQ4 2015","FQ4 2015","Currency=INR","Period=FQ","BEST_FPERIOD_OVERRIDE=FQ","FILING_STATUS=OR","EQY_CONSOLIDATED=Y","Sort=A","Dates=H","DateFormat=P","Fill=—","Direction=H","UseDPDF=Y")</f>
        <v>#NAME?</v>
      </c>
      <c r="BU262" s="1" t="e">
        <f ca="1">_xll.BDH($C$253,"TOTAL_EQUITY_SEQUENTIAL_GROWTH","FQ4 2015","FQ4 2015","Currency=INR","Period=FQ","BEST_FPERIOD_OVERRIDE=FQ","FILING_STATUS=OR","EQY_CONSOLIDATED=Y","Sort=A","Dates=H","DateFormat=P","Fill=—","Direction=H","UseDPDF=Y")</f>
        <v>#NAME?</v>
      </c>
      <c r="BV262" s="1" t="e">
        <f ca="1">_xll.BDH($C$253,"TOTAL_CAPITAL_SEQUENTIAL_GROWTH","FQ4 2015","FQ4 2015","Currency=INR","Period=FQ","BEST_FPERIOD_OVERRIDE=FQ","FILING_STATUS=OR","EQY_CONSOLIDATED=Y","Sort=A","Dates=H","DateFormat=P","Fill=—","Direction=H","UseDPDF=Y")</f>
        <v>#NAME?</v>
      </c>
      <c r="BW262" s="1" t="e">
        <f ca="1">_xll.BDH($C$253,"BPS_SEQUENTIAL_GROWTH","FQ4 2015","FQ4 2015","Currency=INR","Period=FQ","BEST_FPERIOD_OVERRIDE=FQ","FILING_STATUS=OR","EQY_CONSOLIDATED=Y","Sort=A","Dates=H","DateFormat=P","Fill=—","Direction=H","UseDPDF=Y")</f>
        <v>#NAME?</v>
      </c>
      <c r="BX262" s="1" t="e">
        <f ca="1">_xll.BDH($C$253,"CFO_SEQUENTIAL_GROWTH","FQ4 2015","FQ4 2015","Currency=INR","Period=FQ","BEST_FPERIOD_OVERRIDE=FQ","FILING_STATUS=OR","EQY_CONSOLIDATED=Y","Sort=A","Dates=H","DateFormat=P","Fill=—","Direction=H","UseDPDF=Y")</f>
        <v>#NAME?</v>
      </c>
      <c r="BY262" s="2" t="e">
        <f ca="1">_xll.BDH($C$253,"SHORT_AND_LONG_TERM_DEBT","FQ4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62" s="2" t="e">
        <f ca="1">_xll.BDH($C$253,"BS_ST_BORROW","FQ4 2015","FQ4 2015","Currency=INR","Period=FQ","BEST_FPERIOD_OVERRIDE=FQ","FILING_STATUS=OR","EQY_CONSOLIDATED=Y","SCALING_FORMAT=MLN","Sort=A","Dates=H","DateFormat=P","Fill=—","Direction=H","UseDPDF=Y")</f>
        <v>#NAME?</v>
      </c>
      <c r="CA262" s="2" t="e">
        <f ca="1">_xll.BDH($C$253,"BS_LT_BORROW","FQ4 2015","FQ4 2015","Currency=INR","Period=FQ","BEST_FPERIOD_OVERRIDE=FQ","FILING_STATUS=OR","EQY_CONSOLIDATED=Y","SCALING_FORMAT=MLN","Sort=A","Dates=H","DateFormat=P","Fill=—","Direction=H","UseDPDF=Y")</f>
        <v>#NAME?</v>
      </c>
      <c r="CB262" s="1" t="e">
        <f ca="1">_xll.BDH($C$253,"TOT_DEBT_TO_EBITDA","FQ4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62" s="1" t="e">
        <f ca="1">_xll.BDH($C$253,"NET_DEBT_TO_EBITDA","FQ4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62" s="1" t="e">
        <f ca="1">_xll.BDH($C$253,"TOTAL_DEBT_TO_EBIT","FQ4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62" s="1" t="e">
        <f ca="1">_xll.BDH($C$253,"NET_DEBT_TO_EBIT","FQ4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262" s="1" t="e">
        <f ca="1">_xll.BDH($C$253,"EBITDA_TO_INTEREST_EXPN","FQ4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62" s="1" t="e">
        <f ca="1">_xll.BDH($C$253,"COM_EQY_TO_TOT_ASSET","FQ4 2015","FQ4 2015","Currency=INR","Period=FQ","BEST_FPERIOD_OVERRIDE=FQ","FILING_STATUS=OR","EQY_CONSOLIDATED=Y","Sort=A","Dates=H","DateFormat=P","Fill=—","Direction=H","UseDPDF=Y")</f>
        <v>#NAME?</v>
      </c>
      <c r="CH262" s="1" t="e">
        <f ca="1">_xll.BDH($C$253,"LT_DEBT_TO_TOT_EQY","FQ4 2015","FQ4 2015","Currency=INR","Period=FQ","BEST_FPERIOD_OVERRIDE=FQ","FILING_STATUS=OR","EQY_CONSOLIDATED=Y","Sort=A","Dates=H","DateFormat=P","Fill=—","Direction=H","UseDPDF=Y")</f>
        <v>#NAME?</v>
      </c>
      <c r="CI262" s="1" t="e">
        <f ca="1">_xll.BDH($C$253,"LT_DEBT_TO_TOT_CAP","FQ4 2015","FQ4 2015","Currency=INR","Period=FQ","BEST_FPERIOD_OVERRIDE=FQ","FILING_STATUS=OR","EQY_CONSOLIDATED=Y","Sort=A","Dates=H","DateFormat=P","Fill=—","Direction=H","UseDPDF=Y")</f>
        <v>#NAME?</v>
      </c>
      <c r="CJ262" s="1" t="e">
        <f ca="1">_xll.BDH($C$253,"LT_DEBT_TO_TOT_ASSET","FQ4 2015","FQ4 2015","Currency=INR","Period=FQ","BEST_FPERIOD_OVERRIDE=FQ","FILING_STATUS=OR","EQY_CONSOLIDATED=Y","Sort=A","Dates=H","DateFormat=P","Fill=—","Direction=H","UseDPDF=Y")</f>
        <v>#NAME?</v>
      </c>
      <c r="CK262" s="1" t="e">
        <f ca="1">_xll.BDH($C$253,"TOT_DEBT_TO_TOT_EQY","FQ4 2015","FQ4 2015","Currency=INR","Period=FQ","BEST_FPERIOD_OVERRIDE=FQ","FILING_STATUS=OR","EQY_CONSOLIDATED=Y","Sort=A","Dates=H","DateFormat=P","Fill=—","Direction=H","UseDPDF=Y")</f>
        <v>#NAME?</v>
      </c>
      <c r="CL262" s="1" t="e">
        <f ca="1">_xll.BDH($C$253,"TOT_DEBT_TO_TOT_CAP","FQ4 2015","FQ4 2015","Currency=INR","Period=FQ","BEST_FPERIOD_OVERRIDE=FQ","FILING_STATUS=OR","EQY_CONSOLIDATED=Y","Sort=A","Dates=H","DateFormat=P","Fill=—","Direction=H","UseDPDF=Y")</f>
        <v>#NAME?</v>
      </c>
      <c r="CM262" s="1" t="e">
        <f ca="1">_xll.BDH($C$253,"TOT_DEBT_TO_TOT_ASSET","FQ4 2015","FQ4 2015","Currency=INR","Period=FQ","BEST_FPERIOD_OVERRIDE=FQ","FILING_STATUS=OR","EQY_CONSOLIDATED=Y","Sort=A","Dates=H","DateFormat=P","Fill=—","Direction=H","UseDPDF=Y")</f>
        <v>#NAME?</v>
      </c>
      <c r="CN262" s="1" t="e">
        <f ca="1">_xll.BDH($C$253,"NET_DEBT_TO_SHRHLDR_EQTY","FQ4 2015","FQ4 2015","Currency=INR","Period=FQ","BEST_FPERIOD_OVERRIDE=FQ","FILING_STATUS=OR","EQY_CONSOLIDATED=Y","Sort=A","Dates=H","DateFormat=P","Fill=—","Direction=H","UseDPDF=Y")</f>
        <v>#NAME?</v>
      </c>
      <c r="CO262" s="1" t="e">
        <f ca="1">_xll.BDH($C$253,"NET_DEBT_%_CAPITAL","FQ4 2015","FQ4 2015","Currency=INR","Period=FQ","BEST_FPERIOD_OVERRIDE=FQ","FILING_STATUS=OR","EQY_CONSOLIDATED=Y","Sort=A","Dates=H","DateFormat=P","Fill=—","Direction=H","UseDPDF=Y")</f>
        <v>#NAME?</v>
      </c>
      <c r="CP262" s="2" t="e">
        <f ca="1">_xll.BDH($C$253,"EBITDA","FQ4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62" s="2" t="e">
        <f ca="1">_xll.BDH($C$253,"EBITDA_AFTER_CAPEX","FQ4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62" s="2" t="e">
        <f ca="1">_xll.BDH($C$253,"IS_OPER_INC","FQ4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62" s="1" t="e">
        <f ca="1">_xll.BDH($C$253,"CASH_RATIO","FQ4 2015","FQ4 2015","Currency=INR","Period=FQ","BEST_FPERIOD_OVERRIDE=FQ","FILING_STATUS=OR","EQY_CONSOLIDATED=Y","Sort=A","Dates=H","DateFormat=P","Fill=—","Direction=H","UseDPDF=Y")</f>
        <v>#NAME?</v>
      </c>
      <c r="CT262" s="1" t="e">
        <f ca="1">_xll.BDH($C$253,"CUR_RATIO","FQ4 2015","FQ4 2015","Currency=INR","Period=FQ","BEST_FPERIOD_OVERRIDE=FQ","FILING_STATUS=OR","EQY_CONSOLIDATED=Y","Sort=A","Dates=H","DateFormat=P","Fill=—","Direction=H","UseDPDF=Y")</f>
        <v>#NAME?</v>
      </c>
      <c r="CU262" s="1" t="e">
        <f ca="1">_xll.BDH($C$253,"QUICK_RATIO","FQ4 2015","FQ4 2015","Currency=INR","Period=FQ","BEST_FPERIOD_OVERRIDE=FQ","FILING_STATUS=OR","EQY_CONSOLIDATED=Y","Sort=A","Dates=H","DateFormat=P","Fill=—","Direction=H","UseDPDF=Y")</f>
        <v>#NAME?</v>
      </c>
      <c r="CV262" s="1" t="e">
        <f ca="1">_xll.BDH($C$253,"ALTMAN_Z_SCORE","FQ4 2015","FQ4 2015","Currency=INR","Period=FQ","BEST_FPERIOD_OVERRIDE=FQ","FILING_STATUS=OR","EQY_CONSOLIDATED=Y","Sort=A","Dates=H","DateFormat=P","Fill=—","Direction=H","UseDPDF=Y")</f>
        <v>#NAME?</v>
      </c>
      <c r="CW262" s="3" t="e">
        <f ca="1">_xll.BDH($C$253,"ACCT_RCV_TURN","FQ4 2015","FQ4 2015","Currency=INR","Period=FQ","BEST_FPERIOD_OVERRIDE=FQ","FILING_STATUS=OR","EQY_CONSOLIDATED=Y","FA_ADJUSTED=GAAP","Sort=A","Dates=H","DateFormat=P","Fill=—","Direction=H","UseDPDF=Y")</f>
        <v>#NAME?</v>
      </c>
      <c r="CX262" s="1" t="e">
        <f ca="1">_xll.BDH($C$253,"ACCT_RCV_DAYS","FQ4 2015","FQ4 2015","Currency=INR","Period=FQ","BEST_FPERIOD_OVERRIDE=FQ","FILING_STATUS=OR","EQY_CONSOLIDATED=Y","FA_ADJUSTED=GAAP","Sort=A","Dates=H","DateFormat=P","Fill=—","Direction=H","UseDPDF=Y")</f>
        <v>#NAME?</v>
      </c>
      <c r="CY262" s="3" t="e">
        <f ca="1">_xll.BDH($C$253,"INVENT_TURN","FQ4 2015","FQ4 2015","Currency=INR","Period=FQ","BEST_FPERIOD_OVERRIDE=FQ","FILING_STATUS=OR","EQY_CONSOLIDATED=Y","FA_ADJUSTED=GAAP","Sort=A","Dates=H","DateFormat=P","Fill=—","Direction=H","UseDPDF=Y")</f>
        <v>#NAME?</v>
      </c>
      <c r="CZ262" s="1" t="e">
        <f ca="1">_xll.BDH($C$253,"INVENT_DAYS","FQ4 2015","FQ4 2015","Currency=INR","Period=FQ","BEST_FPERIOD_OVERRIDE=FQ","FILING_STATUS=OR","EQY_CONSOLIDATED=Y","FA_ADJUSTED=GAAP","Sort=A","Dates=H","DateFormat=P","Fill=—","Direction=H","UseDPDF=Y")</f>
        <v>#NAME?</v>
      </c>
      <c r="DA262" s="3" t="e">
        <f ca="1">_xll.BDH($C$253,"ACCOUNTS_PAYABLE_TURNOVER","FQ4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62" s="1" t="e">
        <f ca="1">_xll.BDH($C$253,"ACCOUNTS_PAYABLE_TURNOVER_DAYS","FQ4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62" s="3" t="e">
        <f ca="1">_xll.BDH($C$253,"CASH_CONVERSION_CYCLE","FQ4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62" s="3" t="e">
        <f ca="1">_xll.BDH($C$253,"INV_TO_CASH_DAYS","FQ4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262" s="4" t="e">
        <f ca="1">_xll.BDH($C$253,"BS_INVENTORIES","FQ4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262" s="2" t="e">
        <f ca="1">_xll.BDH($C$253,"INVTRY_RAW_MATERIALS","FQ4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62" s="2" t="e">
        <f ca="1">_xll.BDH($C$253,"INVTRY_IN_PROGRESS","FQ4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62" s="2" t="e">
        <f ca="1">_xll.BDH($C$253,"INVTRY_FINISHED_GOODS","FQ4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62" s="2" t="e">
        <f ca="1">_xll.BDH($C$253,"BS_OTHER_INV","FQ4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63" spans="1:113" x14ac:dyDescent="0.3">
      <c r="A263" s="6"/>
      <c r="B263" s="6"/>
      <c r="C263" s="6"/>
      <c r="D263" s="6" t="s">
        <v>9</v>
      </c>
      <c r="E263" t="s">
        <v>3</v>
      </c>
      <c r="F263" t="e">
        <f ca="1">_xll.BDH($C$253,"RETURN_COM_EQY","FY 2016","FY 2016","Currency=INR","Period=FY","BEST_FPERIOD_OVERRIDE=FY","FILING_STATUS=OR","EQY_CONSOLIDATED=Y","FA_ADJUSTED=GAAP","Sort=A","Dates=H","DateFormat=P","Fill=—","Direction=H","UseDPDF=Y")</f>
        <v>#NAME?</v>
      </c>
      <c r="G263" t="e">
        <f ca="1">_xll.BDH($C$253,"RETURN_ON_ASSET","FY 2016","FY 2016","Currency=INR","Period=FY","BEST_FPERIOD_OVERRIDE=FY","FILING_STATUS=OR","EQY_CONSOLIDATED=Y","FA_ADJUSTED=GAAP","Sort=A","Dates=H","DateFormat=P","Fill=—","Direction=H","UseDPDF=Y")</f>
        <v>#NAME?</v>
      </c>
      <c r="H263" t="e">
        <f ca="1">_xll.BDH($C$253,"RETURN_ON_CAP","FY 2016","FY 2016","Currency=INR","Period=FY","BEST_FPERIOD_OVERRIDE=FY","FILING_STATUS=OR","EQY_CONSOLIDATED=Y","FA_ADJUSTED=GAAP","Sort=A","Dates=H","DateFormat=P","Fill=—","Direction=H","UseDPDF=Y")</f>
        <v>#NAME?</v>
      </c>
      <c r="I263" t="e">
        <f ca="1">_xll.BDH($C$253,"RETURN_ON_INV_CAPITAL","FY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63" t="e">
        <f ca="1">_xll.BDH($C$253,"EBITDA_TO_REVENUE","FY 2016","FY 2016","Currency=INR","Period=FY","BEST_FPERIOD_OVERRIDE=FY","FILING_STATUS=OR","EQY_CONSOLIDATED=Y","FA_ADJUSTED=GAAP","Sort=A","Dates=H","DateFormat=P","Fill=—","Direction=H","UseDPDF=Y")</f>
        <v>#NAME?</v>
      </c>
      <c r="K263" t="e">
        <f ca="1">_xll.BDH($C$253,"OPER_MARGIN","FY 2016","FY 2016","Currency=INR","Period=FY","BEST_FPERIOD_OVERRIDE=FY","FILING_STATUS=OR","EQY_CONSOLIDATED=Y","FA_ADJUSTED=GAAP","Sort=A","Dates=H","DateFormat=P","Fill=—","Direction=H","UseDPDF=Y")</f>
        <v>#NAME?</v>
      </c>
      <c r="L263" t="e">
        <f ca="1">_xll.BDH($C$253,"INCREMENTAL_OPERATING_MARGIN","FY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63" t="e">
        <f ca="1">_xll.BDH($C$253,"PRETAX_INC_TO_NET_SALES","FY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63" t="e">
        <f ca="1">_xll.BDH($C$253,"INC_BEF_XO_ITEMS_TO_NET_SALES","FY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63" t="e">
        <f ca="1">_xll.BDH($C$253,"PROF_MARGIN","FY 2016","FY 2016","Currency=INR","Period=FY","BEST_FPERIOD_OVERRIDE=FY","FILING_STATUS=OR","EQY_CONSOLIDATED=Y","FA_ADJUSTED=GAAP","Sort=A","Dates=H","DateFormat=P","Fill=—","Direction=H","UseDPDF=Y")</f>
        <v>#NAME?</v>
      </c>
      <c r="P263" t="e">
        <f ca="1">_xll.BDH($C$253,"NET_INCOME_TO_COMMON_MARGIN","FY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63" t="e">
        <f ca="1">_xll.BDH($C$253,"EFF_TAX_RATE","FY 2016","FY 2016","Currency=INR","Period=FY","BEST_FPERIOD_OVERRIDE=FY","FILING_STATUS=OR","EQY_CONSOLIDATED=Y","FA_ADJUSTED=GAAP","Sort=A","Dates=H","DateFormat=P","Fill=—","Direction=H","UseDPDF=Y")</f>
        <v>#NAME?</v>
      </c>
      <c r="R263" t="e">
        <f ca="1">_xll.BDH($C$253,"DVD_PAYOUT_RATIO","FY 2016","FY 2016","Currency=INR","Period=FY","BEST_FPERIOD_OVERRIDE=FY","FILING_STATUS=OR","EQY_CONSOLIDATED=Y","FA_ADJUSTED=GAAP","Sort=A","Dates=H","DateFormat=P","Fill=—","Direction=H","UseDPDF=Y")</f>
        <v>#NAME?</v>
      </c>
      <c r="S263" t="e">
        <f ca="1">_xll.BDH($C$253,"SUSTAIN_GROWTH_RT","FY 2016","FY 2016","Currency=INR","Period=FY","BEST_FPERIOD_OVERRIDE=FY","FILING_STATUS=OR","EQY_CONSOLIDATED=Y","FA_ADJUSTED=GAAP","Sort=A","Dates=H","DateFormat=P","Fill=—","Direction=H","UseDPDF=Y")</f>
        <v>#NAME?</v>
      </c>
      <c r="T263" s="1" t="e">
        <f ca="1">_xll.BDH($C$253,"SALES_GROWTH","FY 2016","FY 2016","Currency=INR","Period=FY","BEST_FPERIOD_OVERRIDE=FY","FILING_STATUS=OR","EQY_CONSOLIDATED=Y","FA_ADJUSTED=GAAP","Sort=A","Dates=H","DateFormat=P","Fill=—","Direction=H","UseDPDF=Y")</f>
        <v>#NAME?</v>
      </c>
      <c r="U263" s="1" t="e">
        <f ca="1">_xll.BDH($C$253,"EBITDA_GROWTH","FY 2016","FY 2016","Currency=INR","Period=FY","BEST_FPERIOD_OVERRIDE=FY","FILING_STATUS=OR","EQY_CONSOLIDATED=Y","FA_ADJUSTED=GAAP","Sort=A","Dates=H","DateFormat=P","Fill=—","Direction=H","UseDPDF=Y")</f>
        <v>#NAME?</v>
      </c>
      <c r="V263" s="1" t="e">
        <f ca="1">_xll.BDH($C$253,"OPER_INC_GROWTH","FY 2016","FY 2016","Currency=INR","Period=FY","BEST_FPERIOD_OVERRIDE=FY","FILING_STATUS=OR","EQY_CONSOLIDATED=Y","FA_ADJUSTED=GAAP","Sort=A","Dates=H","DateFormat=P","Fill=—","Direction=H","UseDPDF=Y")</f>
        <v>#NAME?</v>
      </c>
      <c r="W263" s="1" t="e">
        <f ca="1">_xll.BDH($C$253,"EARN_FOR_COM_GROWTH","FY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263" s="1" t="e">
        <f ca="1">_xll.BDH($C$253,"DILUTED_EPS_AFT_XO_ITEMS_GROWTH","FY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63" s="1" t="e">
        <f ca="1">_xll.BDH($C$253,"DIVIDEND_PER_SHARE_1_YEAR_GROWTH","FY 2016","FY 2016","Currency=INR","Period=FY","BEST_FPERIOD_OVERRIDE=FY","FILING_STATUS=OR","EQY_CONSOLIDATED=Y","Sort=A","Dates=H","DateFormat=P","Fill=—","Direction=H","UseDPDF=Y")</f>
        <v>#NAME?</v>
      </c>
      <c r="Z263" s="1" t="e">
        <f ca="1">_xll.BDH($C$253,"ACCOUNTS_RECEIVABLE_GROWTH","FY 2016","FY 2016","Currency=INR","Period=FY","BEST_FPERIOD_OVERRIDE=FY","FILING_STATUS=OR","EQY_CONSOLIDATED=Y","Sort=A","Dates=H","DateFormat=P","Fill=—","Direction=H","UseDPDF=Y")</f>
        <v>#NAME?</v>
      </c>
      <c r="AA263" s="1" t="e">
        <f ca="1">_xll.BDH($C$253,"INVENTORY_GROWTH","FY 2016","FY 2016","Currency=INR","Period=FY","BEST_FPERIOD_OVERRIDE=FY","FILING_STATUS=OR","EQY_CONSOLIDATED=Y","Sort=A","Dates=H","DateFormat=P","Fill=—","Direction=H","UseDPDF=Y")</f>
        <v>#NAME?</v>
      </c>
      <c r="AB263" s="1" t="e">
        <f ca="1">_xll.BDH($C$253,"NET_FIXED_ASSETS_1_YEAR_GROWTH","FY 2016","FY 2016","Currency=INR","Period=FY","BEST_FPERIOD_OVERRIDE=FY","FILING_STATUS=OR","EQY_CONSOLIDATED=Y","Sort=A","Dates=H","DateFormat=P","Fill=—","Direction=H","UseDPDF=Y")</f>
        <v>#NAME?</v>
      </c>
      <c r="AC263" s="1" t="e">
        <f ca="1">_xll.BDH($C$253,"ASSET_GROWTH","FY 2016","FY 2016","Currency=INR","Period=FY","BEST_FPERIOD_OVERRIDE=FY","FILING_STATUS=OR","EQY_CONSOLIDATED=Y","Sort=A","Dates=H","DateFormat=P","Fill=—","Direction=H","UseDPDF=Y")</f>
        <v>#NAME?</v>
      </c>
      <c r="AD263" s="1" t="e">
        <f ca="1">_xll.BDH($C$253,"MODIFIED_WORK_CAP_GROWTH","FY 2016","FY 2016","Currency=INR","Period=FY","BEST_FPERIOD_OVERRIDE=FY","FILING_STATUS=OR","EQY_CONSOLIDATED=Y","Sort=A","Dates=H","DateFormat=P","Fill=—","Direction=H","UseDPDF=Y")</f>
        <v>#NAME?</v>
      </c>
      <c r="AE263" s="1" t="e">
        <f ca="1">_xll.BDH($C$253,"WORK_CAP_GROWTH","FY 2016","FY 2016","Currency=INR","Period=FY","BEST_FPERIOD_OVERRIDE=FY","FILING_STATUS=OR","EQY_CONSOLIDATED=Y","Sort=A","Dates=H","DateFormat=P","Fill=—","Direction=H","UseDPDF=Y")</f>
        <v>#NAME?</v>
      </c>
      <c r="AF263" s="1" t="e">
        <f ca="1">_xll.BDH($C$253,"ACCOUNTS_PAYABLE_GROWTH_1YR","FY 2016","FY 2016","Currency=INR","Period=FY","BEST_FPERIOD_OVERRIDE=FY","FILING_STATUS=OR","EQY_CONSOLIDATED=Y","Sort=A","Dates=H","DateFormat=P","Fill=—","Direction=H","UseDPDF=Y")</f>
        <v>#NAME?</v>
      </c>
      <c r="AG263" s="1" t="e">
        <f ca="1">_xll.BDH($C$253,"SHORT_TERM_DEBT_1_YEAR_GROWTH","FY 2016","FY 2016","Currency=INR","Period=FY","BEST_FPERIOD_OVERRIDE=FY","FILING_STATUS=OR","EQY_CONSOLIDATED=Y","Sort=A","Dates=H","DateFormat=P","Fill=—","Direction=H","UseDPDF=Y")</f>
        <v>#NAME?</v>
      </c>
      <c r="AH263" s="1" t="e">
        <f ca="1">_xll.BDH($C$253,"TOTAL_DEBT_1_YEAR_GROWTH","FY 2016","FY 2016","Currency=INR","Period=FY","BEST_FPERIOD_OVERRIDE=FY","FILING_STATUS=OR","EQY_CONSOLIDATED=Y","Sort=A","Dates=H","DateFormat=P","Fill=—","Direction=H","UseDPDF=Y")</f>
        <v>#NAME?</v>
      </c>
      <c r="AI263" s="1" t="e">
        <f ca="1">_xll.BDH($C$253,"TOTAL_EQUITY_1_YEAR_GROWTH","FY 2016","FY 2016","Currency=INR","Period=FY","BEST_FPERIOD_OVERRIDE=FY","FILING_STATUS=OR","EQY_CONSOLIDATED=Y","Sort=A","Dates=H","DateFormat=P","Fill=—","Direction=H","UseDPDF=Y")</f>
        <v>#NAME?</v>
      </c>
      <c r="AJ263" s="1" t="e">
        <f ca="1">_xll.BDH($C$253,"GROWTH_IN_CAP","FY 2016","FY 2016","Currency=INR","Period=FY","BEST_FPERIOD_OVERRIDE=FY","FILING_STATUS=OR","EQY_CONSOLIDATED=Y","Sort=A","Dates=H","DateFormat=P","Fill=—","Direction=H","UseDPDF=Y")</f>
        <v>#NAME?</v>
      </c>
      <c r="AK263" s="1" t="e">
        <f ca="1">_xll.BDH($C$253,"BVPS_GROWTH","FY 2016","FY 2016","Currency=INR","Period=FY","BEST_FPERIOD_OVERRIDE=FY","FILING_STATUS=OR","EQY_CONSOLIDATED=Y","Sort=A","Dates=H","DateFormat=P","Fill=—","Direction=H","UseDPDF=Y")</f>
        <v>#NAME?</v>
      </c>
      <c r="AL263" s="1" t="e">
        <f ca="1">_xll.BDH($C$253,"CASH_FLOW_GROWTH","FY 2016","FY 2016","Currency=INR","Period=FY","BEST_FPERIOD_OVERRIDE=FY","FILING_STATUS=OR","EQY_CONSOLIDATED=Y","Sort=A","Dates=H","DateFormat=P","Fill=—","Direction=H","UseDPDF=Y")</f>
        <v>#NAME?</v>
      </c>
      <c r="AM263" s="1" t="e">
        <f ca="1">_xll.BDH($C$253,"GEO_GROW_NET_SALES","FY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263" s="1" t="e">
        <f ca="1">_xll.BDH($C$253,"GEO_GROW_EBITDA","FY 2016","FY 2016","Currency=INR","Period=FY","BEST_FPERIOD_OVERRIDE=FY","FILING_STATUS=OR","EQY_CONSOLIDATED=Y","FA_ADJUSTED=GAAP","Sort=A","Dates=H","DateFormat=P","Fill=—","Direction=H","UseDPDF=Y")</f>
        <v>#NAME?</v>
      </c>
      <c r="AO263" s="1" t="e">
        <f ca="1">_xll.BDH($C$253,"GEO_GROW_OPER_INC","FY 2016","FY 2016","Currency=INR","Period=FY","BEST_FPERIOD_OVERRIDE=FY","FILING_STATUS=OR","EQY_CONSOLIDATED=Y","FA_ADJUSTED=GAAP","Sort=A","Dates=H","DateFormat=P","Fill=—","Direction=H","UseDPDF=Y")</f>
        <v>#NAME?</v>
      </c>
      <c r="AP263" s="1" t="e">
        <f ca="1">_xll.BDH($C$253,"NET_INCOME_TO_COMMON_5_YR_GROWTH","FY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63" s="1" t="e">
        <f ca="1">_xll.BDH($C$253,"5Y_GEO_GROWTH_DILUTED_EPS","FY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63" s="1" t="e">
        <f ca="1">_xll.BDH($C$253,"GEO_GROW_DVD_PER_SH","FY 2016","FY 2016","Currency=INR","Period=FY","BEST_FPERIOD_OVERRIDE=FY","FILING_STATUS=OR","EQY_CONSOLIDATED=Y","Sort=A","Dates=H","DateFormat=P","Fill=—","Direction=H","UseDPDF=Y")</f>
        <v>#NAME?</v>
      </c>
      <c r="AS263" s="1" t="e">
        <f ca="1">_xll.BDH($C$253,"ACCOUNTS_RECEIVABLE_5_YR_GROWTH","FY 2016","FY 2016","Currency=INR","Period=FY","BEST_FPERIOD_OVERRIDE=FY","FILING_STATUS=OR","EQY_CONSOLIDATED=Y","Sort=A","Dates=H","DateFormat=P","Fill=—","Direction=H","UseDPDF=Y")</f>
        <v>#NAME?</v>
      </c>
      <c r="AT263" s="1" t="e">
        <f ca="1">_xll.BDH($C$253,"INVENTORY_5_YEAR_GROWTH","FY 2016","FY 2016","Currency=INR","Period=FY","BEST_FPERIOD_OVERRIDE=FY","FILING_STATUS=OR","EQY_CONSOLIDATED=Y","Sort=A","Dates=H","DateFormat=P","Fill=—","Direction=H","UseDPDF=Y")</f>
        <v>#NAME?</v>
      </c>
      <c r="AU263" s="1" t="e">
        <f ca="1">_xll.BDH($C$253,"NET_FIXED_ASSETS_5_YEAR_GROWTH","FY 2016","FY 2016","Currency=INR","Period=FY","BEST_FPERIOD_OVERRIDE=FY","FILING_STATUS=OR","EQY_CONSOLIDATED=Y","Sort=A","Dates=H","DateFormat=P","Fill=—","Direction=H","UseDPDF=Y")</f>
        <v>#NAME?</v>
      </c>
      <c r="AV263" s="1" t="e">
        <f ca="1">_xll.BDH($C$253,"GEO_GROW_TOT_ASSET","FY 2016","FY 2016","Currency=INR","Period=FY","BEST_FPERIOD_OVERRIDE=FY","FILING_STATUS=OR","EQY_CONSOLIDATED=Y","Sort=A","Dates=H","DateFormat=P","Fill=—","Direction=H","UseDPDF=Y")</f>
        <v>#NAME?</v>
      </c>
      <c r="AW263" s="1" t="e">
        <f ca="1">_xll.BDH($C$253,"MODIFIED_WORKING_CPTL_5YR_GRWTH","FY 2016","FY 2016","Currency=INR","Period=FY","BEST_FPERIOD_OVERRIDE=FY","FILING_STATUS=OR","EQY_CONSOLIDATED=Y","Sort=A","Dates=H","DateFormat=P","Fill=—","Direction=H","UseDPDF=Y")</f>
        <v>#NAME?</v>
      </c>
      <c r="AX263" s="1" t="e">
        <f ca="1">_xll.BDH($C$253,"WORKING_CAPITAL_5_YEAR_GROWTH","FY 2016","FY 2016","Currency=INR","Period=FY","BEST_FPERIOD_OVERRIDE=FY","FILING_STATUS=OR","EQY_CONSOLIDATED=Y","Sort=A","Dates=H","DateFormat=P","Fill=—","Direction=H","UseDPDF=Y")</f>
        <v>#NAME?</v>
      </c>
      <c r="AY263" s="1" t="e">
        <f ca="1">_xll.BDH($C$253,"ACCOUNTS_PAYABLE_5_YEAR_GROWTH","FY 2016","FY 2016","Currency=INR","Period=FY","BEST_FPERIOD_OVERRIDE=FY","FILING_STATUS=OR","EQY_CONSOLIDATED=Y","Sort=A","Dates=H","DateFormat=P","Fill=—","Direction=H","UseDPDF=Y")</f>
        <v>#NAME?</v>
      </c>
      <c r="AZ263" s="1" t="e">
        <f ca="1">_xll.BDH($C$253,"SHORT_TERM_DEBT_5_YEAR_GROWTH","FY 2016","FY 2016","Currency=INR","Period=FY","BEST_FPERIOD_OVERRIDE=FY","FILING_STATUS=OR","EQY_CONSOLIDATED=Y","Sort=A","Dates=H","DateFormat=P","Fill=—","Direction=H","UseDPDF=Y")</f>
        <v>#NAME?</v>
      </c>
      <c r="BA263" s="1" t="e">
        <f ca="1">_xll.BDH($C$253,"TOTAL_DEBT_5_YEAR_GROWTH","FY 2016","FY 2016","Currency=INR","Period=FY","BEST_FPERIOD_OVERRIDE=FY","FILING_STATUS=OR","EQY_CONSOLIDATED=Y","Sort=A","Dates=H","DateFormat=P","Fill=—","Direction=H","UseDPDF=Y")</f>
        <v>#NAME?</v>
      </c>
      <c r="BB263" s="1" t="e">
        <f ca="1">_xll.BDH($C$253,"GEO_GROW_TOT_SHRHLDR_EQY","FY 2016","FY 2016","Currency=INR","Period=FY","BEST_FPERIOD_OVERRIDE=FY","FILING_STATUS=OR","EQY_CONSOLIDATED=Y","Sort=A","Dates=H","DateFormat=P","Fill=—","Direction=H","UseDPDF=Y")</f>
        <v>#NAME?</v>
      </c>
      <c r="BC263" s="1" t="e">
        <f ca="1">_xll.BDH($C$253,"TOTAL_CAPITAL_5_YEAR_GROWTH","FY 2016","FY 2016","Currency=INR","Period=FY","BEST_FPERIOD_OVERRIDE=FY","FILING_STATUS=OR","EQY_CONSOLIDATED=Y","Sort=A","Dates=H","DateFormat=P","Fill=—","Direction=H","UseDPDF=Y")</f>
        <v>#NAME?</v>
      </c>
      <c r="BD263" s="1" t="e">
        <f ca="1">_xll.BDH($C$253,"GEO_GROW_BOOK_VAL","FY 2016","FY 2016","Currency=INR","Period=FY","BEST_FPERIOD_OVERRIDE=FY","FILING_STATUS=OR","EQY_CONSOLIDATED=Y","Sort=A","Dates=H","DateFormat=P","Fill=—","Direction=H","UseDPDF=Y")</f>
        <v>#NAME?</v>
      </c>
      <c r="BE263" s="1" t="e">
        <f ca="1">_xll.BDH($C$253,"GEO_GROW_CASH_OPER_ACT","FY 2016","FY 2016","Currency=INR","Period=FY","BEST_FPERIOD_OVERRIDE=FY","FILING_STATUS=OR","EQY_CONSOLIDATED=Y","Sort=A","Dates=H","DateFormat=P","Fill=—","Direction=H","UseDPDF=Y")</f>
        <v>#NAME?</v>
      </c>
      <c r="BF263" s="1" t="e">
        <f ca="1">_xll.BDH($C$253,"REVENUE_SEQUENTIAL_GROWTH","FY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63" s="1" t="e">
        <f ca="1">_xll.BDH($C$253,"EBITDA_SEQUENTIAL_GROWTH","FY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63" s="1" t="e">
        <f ca="1">_xll.BDH($C$253,"OPERATING_INCOME_SEQ_GROWTH","FY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63" s="1" t="e">
        <f ca="1">_xll.BDH($C$253,"NET_INCOME_TO_COMMON_SEQ_GROWTH","FY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63" s="1" t="e">
        <f ca="1">_xll.BDH($C$253,"EPS_DILUTED_SEQUENTIAL_GROWTH","FY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63" s="1" t="e">
        <f ca="1">_xll.BDH($C$253,"DPS_SEQUENTIAL_GROWTH","FY 2016","FY 2016","Currency=INR","Period=FY","BEST_FPERIOD_OVERRIDE=FY","FILING_STATUS=OR","EQY_CONSOLIDATED=Y","Sort=A","Dates=H","DateFormat=P","Fill=—","Direction=H","UseDPDF=Y")</f>
        <v>#NAME?</v>
      </c>
      <c r="BL263" s="1" t="e">
        <f ca="1">_xll.BDH($C$253,"ACCOUNTS_RECEIVABLE_SEQ_GROWTH","FY 2016","FY 2016","Currency=INR","Period=FY","BEST_FPERIOD_OVERRIDE=FY","FILING_STATUS=OR","EQY_CONSOLIDATED=Y","Sort=A","Dates=H","DateFormat=P","Fill=—","Direction=H","UseDPDF=Y")</f>
        <v>#NAME?</v>
      </c>
      <c r="BM263" s="1" t="e">
        <f ca="1">_xll.BDH($C$253,"INVENTORY_SEQUENTIAL_GROWTH","FY 2016","FY 2016","Currency=INR","Period=FY","BEST_FPERIOD_OVERRIDE=FY","FILING_STATUS=OR","EQY_CONSOLIDATED=Y","Sort=A","Dates=H","DateFormat=P","Fill=—","Direction=H","UseDPDF=Y")</f>
        <v>#NAME?</v>
      </c>
      <c r="BN263" s="1" t="e">
        <f ca="1">_xll.BDH($C$253,"FIXED_ASSETS_SEQUENTIAL_GROWTH","FY 2016","FY 2016","Currency=INR","Period=FY","BEST_FPERIOD_OVERRIDE=FY","FILING_STATUS=OR","EQY_CONSOLIDATED=Y","Sort=A","Dates=H","DateFormat=P","Fill=—","Direction=H","UseDPDF=Y")</f>
        <v>#NAME?</v>
      </c>
      <c r="BO263" s="1" t="e">
        <f ca="1">_xll.BDH($C$253,"TOTAL_ASSETS_SEQUENTIAL_GROWTH","FY 2016","FY 2016","Currency=INR","Period=FY","BEST_FPERIOD_OVERRIDE=FY","FILING_STATUS=OR","EQY_CONSOLIDATED=Y","Sort=A","Dates=H","DateFormat=P","Fill=—","Direction=H","UseDPDF=Y")</f>
        <v>#NAME?</v>
      </c>
      <c r="BP263" s="1" t="e">
        <f ca="1">_xll.BDH($C$253,"MODIFIED_WORKING_CPTL_SEQ_GRWTH","FY 2016","FY 2016","Currency=INR","Period=FY","BEST_FPERIOD_OVERRIDE=FY","FILING_STATUS=OR","EQY_CONSOLIDATED=Y","Sort=A","Dates=H","DateFormat=P","Fill=—","Direction=H","UseDPDF=Y")</f>
        <v>#NAME?</v>
      </c>
      <c r="BQ263" s="1" t="e">
        <f ca="1">_xll.BDH($C$253,"WORKING_CAPITAL_SEQ_GROWTH","FY 2016","FY 2016","Currency=INR","Period=FY","BEST_FPERIOD_OVERRIDE=FY","FILING_STATUS=OR","EQY_CONSOLIDATED=Y","Sort=A","Dates=H","DateFormat=P","Fill=—","Direction=H","UseDPDF=Y")</f>
        <v>#NAME?</v>
      </c>
      <c r="BR263" s="1" t="e">
        <f ca="1">_xll.BDH($C$253,"ACCOUNTS_PAYABLE_SEQ_GROWTH","FY 2016","FY 2016","Currency=INR","Period=FY","BEST_FPERIOD_OVERRIDE=FY","FILING_STATUS=OR","EQY_CONSOLIDATED=Y","Sort=A","Dates=H","DateFormat=P","Fill=—","Direction=H","UseDPDF=Y")</f>
        <v>#NAME?</v>
      </c>
      <c r="BS263" s="1" t="e">
        <f ca="1">_xll.BDH($C$253,"ST_DEBT_SEQUENTIAL_GROWTH","FY 2016","FY 2016","Currency=INR","Period=FY","BEST_FPERIOD_OVERRIDE=FY","FILING_STATUS=OR","EQY_CONSOLIDATED=Y","Sort=A","Dates=H","DateFormat=P","Fill=—","Direction=H","UseDPDF=Y")</f>
        <v>#NAME?</v>
      </c>
      <c r="BT263" s="1" t="e">
        <f ca="1">_xll.BDH($C$253,"TOTAL_DEBT_SEQUENTIAL_GROWTH","FY 2016","FY 2016","Currency=INR","Period=FY","BEST_FPERIOD_OVERRIDE=FY","FILING_STATUS=OR","EQY_CONSOLIDATED=Y","Sort=A","Dates=H","DateFormat=P","Fill=—","Direction=H","UseDPDF=Y")</f>
        <v>#NAME?</v>
      </c>
      <c r="BU263" s="1" t="e">
        <f ca="1">_xll.BDH($C$253,"TOTAL_EQUITY_SEQUENTIAL_GROWTH","FY 2016","FY 2016","Currency=INR","Period=FY","BEST_FPERIOD_OVERRIDE=FY","FILING_STATUS=OR","EQY_CONSOLIDATED=Y","Sort=A","Dates=H","DateFormat=P","Fill=—","Direction=H","UseDPDF=Y")</f>
        <v>#NAME?</v>
      </c>
      <c r="BV263" s="1" t="e">
        <f ca="1">_xll.BDH($C$253,"TOTAL_CAPITAL_SEQUENTIAL_GROWTH","FY 2016","FY 2016","Currency=INR","Period=FY","BEST_FPERIOD_OVERRIDE=FY","FILING_STATUS=OR","EQY_CONSOLIDATED=Y","Sort=A","Dates=H","DateFormat=P","Fill=—","Direction=H","UseDPDF=Y")</f>
        <v>#NAME?</v>
      </c>
      <c r="BW263" s="1" t="e">
        <f ca="1">_xll.BDH($C$253,"BPS_SEQUENTIAL_GROWTH","FY 2016","FY 2016","Currency=INR","Period=FY","BEST_FPERIOD_OVERRIDE=FY","FILING_STATUS=OR","EQY_CONSOLIDATED=Y","Sort=A","Dates=H","DateFormat=P","Fill=—","Direction=H","UseDPDF=Y")</f>
        <v>#NAME?</v>
      </c>
      <c r="BX263" s="1" t="e">
        <f ca="1">_xll.BDH($C$253,"CFO_SEQUENTIAL_GROWTH","FY 2016","FY 2016","Currency=INR","Period=FY","BEST_FPERIOD_OVERRIDE=FY","FILING_STATUS=OR","EQY_CONSOLIDATED=Y","Sort=A","Dates=H","DateFormat=P","Fill=—","Direction=H","UseDPDF=Y")</f>
        <v>#NAME?</v>
      </c>
      <c r="BY263" s="2" t="e">
        <f ca="1">_xll.BDH($C$253,"SHORT_AND_LONG_TERM_DEBT","FY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63" s="2" t="e">
        <f ca="1">_xll.BDH($C$253,"BS_ST_BORROW","FY 2016","FY 2016","Currency=INR","Period=FY","BEST_FPERIOD_OVERRIDE=FY","FILING_STATUS=OR","EQY_CONSOLIDATED=Y","SCALING_FORMAT=MLN","Sort=A","Dates=H","DateFormat=P","Fill=—","Direction=H","UseDPDF=Y")</f>
        <v>#NAME?</v>
      </c>
      <c r="CA263" s="2" t="e">
        <f ca="1">_xll.BDH($C$253,"BS_LT_BORROW","FY 2016","FY 2016","Currency=INR","Period=FY","BEST_FPERIOD_OVERRIDE=FY","FILING_STATUS=OR","EQY_CONSOLIDATED=Y","SCALING_FORMAT=MLN","Sort=A","Dates=H","DateFormat=P","Fill=—","Direction=H","UseDPDF=Y")</f>
        <v>#NAME?</v>
      </c>
      <c r="CB263" s="1" t="e">
        <f ca="1">_xll.BDH($C$253,"TOT_DEBT_TO_EBITDA","FY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263" s="1" t="e">
        <f ca="1">_xll.BDH($C$253,"NET_DEBT_TO_EBITDA","FY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263" s="1" t="e">
        <f ca="1">_xll.BDH($C$253,"TOTAL_DEBT_TO_EBIT","FY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263" s="1" t="e">
        <f ca="1">_xll.BDH($C$253,"NET_DEBT_TO_EBIT","FY 2016","FY 2016","Currency=INR","Period=FY","BEST_FPERIOD_OVERRIDE=FY","FILING_STATUS=OR","EQY_CONSOLIDATED=Y","FA_ADJUSTED=GAAP","Sort=A","Dates=H","DateFormat=P","Fill=—","Direction=H","UseDPDF=Y")</f>
        <v>#NAME?</v>
      </c>
      <c r="CF263" s="1" t="e">
        <f ca="1">_xll.BDH($C$253,"EBITDA_TO_INTEREST_EXPN","FY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63" s="1" t="e">
        <f ca="1">_xll.BDH($C$253,"COM_EQY_TO_TOT_ASSET","FY 2016","FY 2016","Currency=INR","Period=FY","BEST_FPERIOD_OVERRIDE=FY","FILING_STATUS=OR","EQY_CONSOLIDATED=Y","Sort=A","Dates=H","DateFormat=P","Fill=—","Direction=H","UseDPDF=Y")</f>
        <v>#NAME?</v>
      </c>
      <c r="CH263" s="1" t="e">
        <f ca="1">_xll.BDH($C$253,"LT_DEBT_TO_TOT_EQY","FY 2016","FY 2016","Currency=INR","Period=FY","BEST_FPERIOD_OVERRIDE=FY","FILING_STATUS=OR","EQY_CONSOLIDATED=Y","Sort=A","Dates=H","DateFormat=P","Fill=—","Direction=H","UseDPDF=Y")</f>
        <v>#NAME?</v>
      </c>
      <c r="CI263" s="1" t="e">
        <f ca="1">_xll.BDH($C$253,"LT_DEBT_TO_TOT_CAP","FY 2016","FY 2016","Currency=INR","Period=FY","BEST_FPERIOD_OVERRIDE=FY","FILING_STATUS=OR","EQY_CONSOLIDATED=Y","Sort=A","Dates=H","DateFormat=P","Fill=—","Direction=H","UseDPDF=Y")</f>
        <v>#NAME?</v>
      </c>
      <c r="CJ263" s="1" t="e">
        <f ca="1">_xll.BDH($C$253,"LT_DEBT_TO_TOT_ASSET","FY 2016","FY 2016","Currency=INR","Period=FY","BEST_FPERIOD_OVERRIDE=FY","FILING_STATUS=OR","EQY_CONSOLIDATED=Y","Sort=A","Dates=H","DateFormat=P","Fill=—","Direction=H","UseDPDF=Y")</f>
        <v>#NAME?</v>
      </c>
      <c r="CK263" s="1" t="e">
        <f ca="1">_xll.BDH($C$253,"TOT_DEBT_TO_TOT_EQY","FY 2016","FY 2016","Currency=INR","Period=FY","BEST_FPERIOD_OVERRIDE=FY","FILING_STATUS=OR","EQY_CONSOLIDATED=Y","Sort=A","Dates=H","DateFormat=P","Fill=—","Direction=H","UseDPDF=Y")</f>
        <v>#NAME?</v>
      </c>
      <c r="CL263" s="1" t="e">
        <f ca="1">_xll.BDH($C$253,"TOT_DEBT_TO_TOT_CAP","FY 2016","FY 2016","Currency=INR","Period=FY","BEST_FPERIOD_OVERRIDE=FY","FILING_STATUS=OR","EQY_CONSOLIDATED=Y","Sort=A","Dates=H","DateFormat=P","Fill=—","Direction=H","UseDPDF=Y")</f>
        <v>#NAME?</v>
      </c>
      <c r="CM263" s="1" t="e">
        <f ca="1">_xll.BDH($C$253,"TOT_DEBT_TO_TOT_ASSET","FY 2016","FY 2016","Currency=INR","Period=FY","BEST_FPERIOD_OVERRIDE=FY","FILING_STATUS=OR","EQY_CONSOLIDATED=Y","Sort=A","Dates=H","DateFormat=P","Fill=—","Direction=H","UseDPDF=Y")</f>
        <v>#NAME?</v>
      </c>
      <c r="CN263" s="1" t="e">
        <f ca="1">_xll.BDH($C$253,"NET_DEBT_TO_SHRHLDR_EQTY","FY 2016","FY 2016","Currency=INR","Period=FY","BEST_FPERIOD_OVERRIDE=FY","FILING_STATUS=OR","EQY_CONSOLIDATED=Y","Sort=A","Dates=H","DateFormat=P","Fill=—","Direction=H","UseDPDF=Y")</f>
        <v>#NAME?</v>
      </c>
      <c r="CO263" s="1" t="e">
        <f ca="1">_xll.BDH($C$253,"NET_DEBT_%_CAPITAL","FY 2016","FY 2016","Currency=INR","Period=FY","BEST_FPERIOD_OVERRIDE=FY","FILING_STATUS=OR","EQY_CONSOLIDATED=Y","Sort=A","Dates=H","DateFormat=P","Fill=—","Direction=H","UseDPDF=Y")</f>
        <v>#NAME?</v>
      </c>
      <c r="CP263" s="2" t="e">
        <f ca="1">_xll.BDH($C$253,"EBITDA","FY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63" s="2" t="e">
        <f ca="1">_xll.BDH($C$253,"EBITDA_AFTER_CAPEX","FY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63" s="2" t="e">
        <f ca="1">_xll.BDH($C$253,"IS_OPER_INC","FY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63" s="1" t="e">
        <f ca="1">_xll.BDH($C$253,"CASH_RATIO","FY 2016","FY 2016","Currency=INR","Period=FY","BEST_FPERIOD_OVERRIDE=FY","FILING_STATUS=OR","EQY_CONSOLIDATED=Y","Sort=A","Dates=H","DateFormat=P","Fill=—","Direction=H","UseDPDF=Y")</f>
        <v>#NAME?</v>
      </c>
      <c r="CT263" s="1" t="e">
        <f ca="1">_xll.BDH($C$253,"CUR_RATIO","FY 2016","FY 2016","Currency=INR","Period=FY","BEST_FPERIOD_OVERRIDE=FY","FILING_STATUS=OR","EQY_CONSOLIDATED=Y","Sort=A","Dates=H","DateFormat=P","Fill=—","Direction=H","UseDPDF=Y")</f>
        <v>#NAME?</v>
      </c>
      <c r="CU263" s="1" t="e">
        <f ca="1">_xll.BDH($C$253,"QUICK_RATIO","FY 2016","FY 2016","Currency=INR","Period=FY","BEST_FPERIOD_OVERRIDE=FY","FILING_STATUS=OR","EQY_CONSOLIDATED=Y","Sort=A","Dates=H","DateFormat=P","Fill=—","Direction=H","UseDPDF=Y")</f>
        <v>#NAME?</v>
      </c>
      <c r="CV263" s="1" t="e">
        <f ca="1">_xll.BDH($C$253,"ALTMAN_Z_SCORE","FY 2016","FY 2016","Currency=INR","Period=FY","BEST_FPERIOD_OVERRIDE=FY","FILING_STATUS=OR","EQY_CONSOLIDATED=Y","Sort=A","Dates=H","DateFormat=P","Fill=—","Direction=H","UseDPDF=Y")</f>
        <v>#NAME?</v>
      </c>
      <c r="CW263" s="3" t="e">
        <f ca="1">_xll.BDH($C$253,"ACCT_RCV_TURN","FY 2016","FY 2016","Currency=INR","Period=FY","BEST_FPERIOD_OVERRIDE=FY","FILING_STATUS=OR","EQY_CONSOLIDATED=Y","FA_ADJUSTED=GAAP","Sort=A","Dates=H","DateFormat=P","Fill=—","Direction=H","UseDPDF=Y")</f>
        <v>#NAME?</v>
      </c>
      <c r="CX263" s="1" t="e">
        <f ca="1">_xll.BDH($C$253,"ACCT_RCV_DAYS","FY 2016","FY 2016","Currency=INR","Period=FY","BEST_FPERIOD_OVERRIDE=FY","FILING_STATUS=OR","EQY_CONSOLIDATED=Y","FA_ADJUSTED=GAAP","Sort=A","Dates=H","DateFormat=P","Fill=—","Direction=H","UseDPDF=Y")</f>
        <v>#NAME?</v>
      </c>
      <c r="CY263" s="3" t="e">
        <f ca="1">_xll.BDH($C$253,"INVENT_TURN","FY 2016","FY 2016","Currency=INR","Period=FY","BEST_FPERIOD_OVERRIDE=FY","FILING_STATUS=OR","EQY_CONSOLIDATED=Y","FA_ADJUSTED=GAAP","Sort=A","Dates=H","DateFormat=P","Fill=—","Direction=H","UseDPDF=Y")</f>
        <v>#NAME?</v>
      </c>
      <c r="CZ263" s="1" t="e">
        <f ca="1">_xll.BDH($C$253,"INVENT_DAYS","FY 2016","FY 2016","Currency=INR","Period=FY","BEST_FPERIOD_OVERRIDE=FY","FILING_STATUS=OR","EQY_CONSOLIDATED=Y","FA_ADJUSTED=GAAP","Sort=A","Dates=H","DateFormat=P","Fill=—","Direction=H","UseDPDF=Y")</f>
        <v>#NAME?</v>
      </c>
      <c r="DA263" s="3" t="e">
        <f ca="1">_xll.BDH($C$253,"ACCOUNTS_PAYABLE_TURNOVER","FY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63" s="1" t="e">
        <f ca="1">_xll.BDH($C$253,"ACCOUNTS_PAYABLE_TURNOVER_DAYS","FY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63" s="3" t="e">
        <f ca="1">_xll.BDH($C$253,"CASH_CONVERSION_CYCLE","FY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63" s="3" t="e">
        <f ca="1">_xll.BDH($C$253,"INV_TO_CASH_DAYS","FY 2016","FY 2016","Currency=INR","Period=FY","BEST_FPERIOD_OVERRIDE=FY","FILING_STATUS=OR","EQY_CONSOLIDATED=Y","FA_ADJUSTED=GAAP","Sort=A","Dates=H","DateFormat=P","Fill=—","Direction=H","UseDPDF=Y")</f>
        <v>#NAME?</v>
      </c>
      <c r="DE263" s="4" t="e">
        <f ca="1">_xll.BDH($C$253,"BS_INVENTORIES","FY 2016","FY 2016","Currency=INR","Period=FY","BEST_FPERIOD_OVERRIDE=FY","FILING_STATUS=OR","EQY_CONSOLIDATED=Y","SCALING_FORMAT=MLN","Sort=A","Dates=H","DateFormat=P","Fill=—","Direction=H","UseDPDF=Y")</f>
        <v>#NAME?</v>
      </c>
      <c r="DF263" s="2" t="e">
        <f ca="1">_xll.BDH($C$253,"INVTRY_RAW_MATERIALS","FY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63" s="2" t="e">
        <f ca="1">_xll.BDH($C$253,"INVTRY_IN_PROGRESS","FY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63" s="2" t="e">
        <f ca="1">_xll.BDH($C$253,"INVTRY_FINISHED_GOODS","FY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63" s="2" t="e">
        <f ca="1">_xll.BDH($C$253,"BS_OTHER_INV","FY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64" spans="1:113" x14ac:dyDescent="0.3">
      <c r="A264" s="6"/>
      <c r="B264" s="6"/>
      <c r="C264" s="6"/>
      <c r="D264" s="6"/>
      <c r="E264" t="s">
        <v>4</v>
      </c>
      <c r="F264" t="e">
        <f ca="1">_xll.BDH($C$253,"RETURN_COM_EQY","FQ1 2016","FQ1 2016","Currency=INR","Period=FQ","BEST_FPERIOD_OVERRIDE=FQ","FILING_STATUS=OR","EQY_CONSOLIDATED=Y","FA_ADJUSTED=GAAP","Sort=A","Dates=H","DateFormat=P","Fill=—","Direction=H","UseDPDF=Y")</f>
        <v>#NAME?</v>
      </c>
      <c r="G264" t="e">
        <f ca="1">_xll.BDH($C$253,"RETURN_ON_ASSET","FQ1 2016","FQ1 2016","Currency=INR","Period=FQ","BEST_FPERIOD_OVERRIDE=FQ","FILING_STATUS=OR","EQY_CONSOLIDATED=Y","FA_ADJUSTED=GAAP","Sort=A","Dates=H","DateFormat=P","Fill=—","Direction=H","UseDPDF=Y")</f>
        <v>#NAME?</v>
      </c>
      <c r="H264" t="e">
        <f ca="1">_xll.BDH($C$253,"RETURN_ON_CAP","FQ1 2016","FQ1 2016","Currency=INR","Period=FQ","BEST_FPERIOD_OVERRIDE=FQ","FILING_STATUS=OR","EQY_CONSOLIDATED=Y","FA_ADJUSTED=GAAP","Sort=A","Dates=H","DateFormat=P","Fill=—","Direction=H","UseDPDF=Y")</f>
        <v>#NAME?</v>
      </c>
      <c r="I264" t="e">
        <f ca="1">_xll.BDH($C$253,"RETURN_ON_INV_CAPITAL","FQ1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64" t="e">
        <f ca="1">_xll.BDH($C$253,"EBITDA_TO_REVENUE","FQ1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264" t="e">
        <f ca="1">_xll.BDH($C$253,"OPER_MARGIN","FQ1 2016","FQ1 2016","Currency=INR","Period=FQ","BEST_FPERIOD_OVERRIDE=FQ","FILING_STATUS=OR","EQY_CONSOLIDATED=Y","FA_ADJUSTED=GAAP","Sort=A","Dates=H","DateFormat=P","Fill=—","Direction=H","UseDPDF=Y")</f>
        <v>#NAME?</v>
      </c>
      <c r="L264" t="e">
        <f ca="1">_xll.BDH($C$253,"INCREMENTAL_OPERATING_MARGIN","FQ1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64" t="e">
        <f ca="1">_xll.BDH($C$253,"PRETAX_INC_TO_NET_SALES","FQ1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64" t="e">
        <f ca="1">_xll.BDH($C$253,"INC_BEF_XO_ITEMS_TO_NET_SALES","FQ1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64" t="e">
        <f ca="1">_xll.BDH($C$253,"PROF_MARGIN","FQ1 2016","FQ1 2016","Currency=INR","Period=FQ","BEST_FPERIOD_OVERRIDE=FQ","FILING_STATUS=OR","EQY_CONSOLIDATED=Y","FA_ADJUSTED=GAAP","Sort=A","Dates=H","DateFormat=P","Fill=—","Direction=H","UseDPDF=Y")</f>
        <v>#NAME?</v>
      </c>
      <c r="P264" t="e">
        <f ca="1">_xll.BDH($C$253,"NET_INCOME_TO_COMMON_MARGIN","FQ1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64" t="e">
        <f ca="1">_xll.BDH($C$253,"EFF_TAX_RATE","FQ1 2016","FQ1 2016","Currency=INR","Period=FQ","BEST_FPERIOD_OVERRIDE=FQ","FILING_STATUS=OR","EQY_CONSOLIDATED=Y","FA_ADJUSTED=GAAP","Sort=A","Dates=H","DateFormat=P","Fill=—","Direction=H","UseDPDF=Y")</f>
        <v>#NAME?</v>
      </c>
      <c r="R264" t="e">
        <f ca="1">_xll.BDH($C$253,"DVD_PAYOUT_RATIO","FQ1 2016","FQ1 2016","Currency=INR","Period=FQ","BEST_FPERIOD_OVERRIDE=FQ","FILING_STATUS=OR","EQY_CONSOLIDATED=Y","FA_ADJUSTED=GAAP","Sort=A","Dates=H","DateFormat=P","Fill=—","Direction=H","UseDPDF=Y")</f>
        <v>#NAME?</v>
      </c>
      <c r="S264" t="e">
        <f ca="1">_xll.BDH($C$253,"SUSTAIN_GROWTH_RT","FQ1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264" s="1" t="e">
        <f ca="1">_xll.BDH($C$253,"SALES_GROWTH","FQ1 2016","FQ1 2016","Currency=INR","Period=FQ","BEST_FPERIOD_OVERRIDE=FQ","FILING_STATUS=OR","EQY_CONSOLIDATED=Y","FA_ADJUSTED=GAAP","Sort=A","Dates=H","DateFormat=P","Fill=—","Direction=H","UseDPDF=Y")</f>
        <v>#NAME?</v>
      </c>
      <c r="U264" s="1" t="e">
        <f ca="1">_xll.BDH($C$253,"EBITDA_GROWTH","FQ1 2016","FQ1 2016","Currency=INR","Period=FQ","BEST_FPERIOD_OVERRIDE=FQ","FILING_STATUS=OR","EQY_CONSOLIDATED=Y","FA_ADJUSTED=GAAP","Sort=A","Dates=H","DateFormat=P","Fill=—","Direction=H","UseDPDF=Y")</f>
        <v>#NAME?</v>
      </c>
      <c r="V264" s="1" t="e">
        <f ca="1">_xll.BDH($C$253,"OPER_INC_GROWTH","FQ1 2016","FQ1 2016","Currency=INR","Period=FQ","BEST_FPERIOD_OVERRIDE=FQ","FILING_STATUS=OR","EQY_CONSOLIDATED=Y","FA_ADJUSTED=GAAP","Sort=A","Dates=H","DateFormat=P","Fill=—","Direction=H","UseDPDF=Y")</f>
        <v>#NAME?</v>
      </c>
      <c r="W264" s="1" t="e">
        <f ca="1">_xll.BDH($C$253,"EARN_FOR_COM_GROWTH","FQ1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64" s="1" t="e">
        <f ca="1">_xll.BDH($C$253,"DILUTED_EPS_AFT_XO_ITEMS_GROWTH","FQ1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64" s="1" t="e">
        <f ca="1">_xll.BDH($C$253,"DIVIDEND_PER_SHARE_1_YEAR_GROWTH","FQ1 2016","FQ1 2016","Currency=INR","Period=FQ","BEST_FPERIOD_OVERRIDE=FQ","FILING_STATUS=OR","EQY_CONSOLIDATED=Y","Sort=A","Dates=H","DateFormat=P","Fill=—","Direction=H","UseDPDF=Y")</f>
        <v>#NAME?</v>
      </c>
      <c r="Z264" s="1" t="e">
        <f ca="1">_xll.BDH($C$253,"ACCOUNTS_RECEIVABLE_GROWTH","FQ1 2016","FQ1 2016","Currency=INR","Period=FQ","BEST_FPERIOD_OVERRIDE=FQ","FILING_STATUS=OR","EQY_CONSOLIDATED=Y","Sort=A","Dates=H","DateFormat=P","Fill=—","Direction=H","UseDPDF=Y")</f>
        <v>#NAME?</v>
      </c>
      <c r="AA264" s="1" t="e">
        <f ca="1">_xll.BDH($C$253,"INVENTORY_GROWTH","FQ1 2016","FQ1 2016","Currency=INR","Period=FQ","BEST_FPERIOD_OVERRIDE=FQ","FILING_STATUS=OR","EQY_CONSOLIDATED=Y","Sort=A","Dates=H","DateFormat=P","Fill=—","Direction=H","UseDPDF=Y")</f>
        <v>#NAME?</v>
      </c>
      <c r="AB264" s="1" t="e">
        <f ca="1">_xll.BDH($C$253,"NET_FIXED_ASSETS_1_YEAR_GROWTH","FQ1 2016","FQ1 2016","Currency=INR","Period=FQ","BEST_FPERIOD_OVERRIDE=FQ","FILING_STATUS=OR","EQY_CONSOLIDATED=Y","Sort=A","Dates=H","DateFormat=P","Fill=—","Direction=H","UseDPDF=Y")</f>
        <v>#NAME?</v>
      </c>
      <c r="AC264" s="1" t="e">
        <f ca="1">_xll.BDH($C$253,"ASSET_GROWTH","FQ1 2016","FQ1 2016","Currency=INR","Period=FQ","BEST_FPERIOD_OVERRIDE=FQ","FILING_STATUS=OR","EQY_CONSOLIDATED=Y","Sort=A","Dates=H","DateFormat=P","Fill=—","Direction=H","UseDPDF=Y")</f>
        <v>#NAME?</v>
      </c>
      <c r="AD264" s="1" t="e">
        <f ca="1">_xll.BDH($C$253,"MODIFIED_WORK_CAP_GROWTH","FQ1 2016","FQ1 2016","Currency=INR","Period=FQ","BEST_FPERIOD_OVERRIDE=FQ","FILING_STATUS=OR","EQY_CONSOLIDATED=Y","Sort=A","Dates=H","DateFormat=P","Fill=—","Direction=H","UseDPDF=Y")</f>
        <v>#NAME?</v>
      </c>
      <c r="AE264" s="1" t="e">
        <f ca="1">_xll.BDH($C$253,"WORK_CAP_GROWTH","FQ1 2016","FQ1 2016","Currency=INR","Period=FQ","BEST_FPERIOD_OVERRIDE=FQ","FILING_STATUS=OR","EQY_CONSOLIDATED=Y","Sort=A","Dates=H","DateFormat=P","Fill=—","Direction=H","UseDPDF=Y")</f>
        <v>#NAME?</v>
      </c>
      <c r="AF264" s="1" t="e">
        <f ca="1">_xll.BDH($C$253,"ACCOUNTS_PAYABLE_GROWTH_1YR","FQ1 2016","FQ1 2016","Currency=INR","Period=FQ","BEST_FPERIOD_OVERRIDE=FQ","FILING_STATUS=OR","EQY_CONSOLIDATED=Y","Sort=A","Dates=H","DateFormat=P","Fill=—","Direction=H","UseDPDF=Y")</f>
        <v>#NAME?</v>
      </c>
      <c r="AG264" s="1" t="e">
        <f ca="1">_xll.BDH($C$253,"SHORT_TERM_DEBT_1_YEAR_GROWTH","FQ1 2016","FQ1 2016","Currency=INR","Period=FQ","BEST_FPERIOD_OVERRIDE=FQ","FILING_STATUS=OR","EQY_CONSOLIDATED=Y","Sort=A","Dates=H","DateFormat=P","Fill=—","Direction=H","UseDPDF=Y")</f>
        <v>#NAME?</v>
      </c>
      <c r="AH264" s="1" t="e">
        <f ca="1">_xll.BDH($C$253,"TOTAL_DEBT_1_YEAR_GROWTH","FQ1 2016","FQ1 2016","Currency=INR","Period=FQ","BEST_FPERIOD_OVERRIDE=FQ","FILING_STATUS=OR","EQY_CONSOLIDATED=Y","Sort=A","Dates=H","DateFormat=P","Fill=—","Direction=H","UseDPDF=Y")</f>
        <v>#NAME?</v>
      </c>
      <c r="AI264" s="1" t="e">
        <f ca="1">_xll.BDH($C$253,"TOTAL_EQUITY_1_YEAR_GROWTH","FQ1 2016","FQ1 2016","Currency=INR","Period=FQ","BEST_FPERIOD_OVERRIDE=FQ","FILING_STATUS=OR","EQY_CONSOLIDATED=Y","Sort=A","Dates=H","DateFormat=P","Fill=—","Direction=H","UseDPDF=Y")</f>
        <v>#NAME?</v>
      </c>
      <c r="AJ264" s="1" t="e">
        <f ca="1">_xll.BDH($C$253,"GROWTH_IN_CAP","FQ1 2016","FQ1 2016","Currency=INR","Period=FQ","BEST_FPERIOD_OVERRIDE=FQ","FILING_STATUS=OR","EQY_CONSOLIDATED=Y","Sort=A","Dates=H","DateFormat=P","Fill=—","Direction=H","UseDPDF=Y")</f>
        <v>#NAME?</v>
      </c>
      <c r="AK264" s="1" t="e">
        <f ca="1">_xll.BDH($C$253,"BVPS_GROWTH","FQ1 2016","FQ1 2016","Currency=INR","Period=FQ","BEST_FPERIOD_OVERRIDE=FQ","FILING_STATUS=OR","EQY_CONSOLIDATED=Y","Sort=A","Dates=H","DateFormat=P","Fill=—","Direction=H","UseDPDF=Y")</f>
        <v>#NAME?</v>
      </c>
      <c r="AL264" s="1" t="e">
        <f ca="1">_xll.BDH($C$253,"CASH_FLOW_GROWTH","FQ1 2016","FQ1 2016","Currency=INR","Period=FQ","BEST_FPERIOD_OVERRIDE=FQ","FILING_STATUS=OR","EQY_CONSOLIDATED=Y","Sort=A","Dates=H","DateFormat=P","Fill=—","Direction=H","UseDPDF=Y")</f>
        <v>#NAME?</v>
      </c>
      <c r="AM264" s="1" t="e">
        <f ca="1">_xll.BDH($C$253,"GEO_GROW_NET_SALES","FQ1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64" s="1" t="e">
        <f ca="1">_xll.BDH($C$253,"GEO_GROW_EBITDA","FQ1 2016","FQ1 2016","Currency=INR","Period=FQ","BEST_FPERIOD_OVERRIDE=FQ","FILING_STATUS=OR","EQY_CONSOLIDATED=Y","FA_ADJUSTED=GAAP","Sort=A","Dates=H","DateFormat=P","Fill=—","Direction=H","UseDPDF=Y")</f>
        <v>#NAME?</v>
      </c>
      <c r="AO264" s="1" t="e">
        <f ca="1">_xll.BDH($C$253,"GEO_GROW_OPER_INC","FQ1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64" s="1" t="e">
        <f ca="1">_xll.BDH($C$253,"NET_INCOME_TO_COMMON_5_YR_GROWTH","FQ1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64" s="1" t="e">
        <f ca="1">_xll.BDH($C$253,"5Y_GEO_GROWTH_DILUTED_EPS","FQ1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64" s="1" t="e">
        <f ca="1">_xll.BDH($C$253,"GEO_GROW_DVD_PER_SH","FQ1 2016","FQ1 2016","Currency=INR","Period=FQ","BEST_FPERIOD_OVERRIDE=FQ","FILING_STATUS=OR","EQY_CONSOLIDATED=Y","Sort=A","Dates=H","DateFormat=P","Fill=—","Direction=H","UseDPDF=Y")</f>
        <v>#NAME?</v>
      </c>
      <c r="AS264" s="1" t="e">
        <f ca="1">_xll.BDH($C$253,"ACCOUNTS_RECEIVABLE_5_YR_GROWTH","FQ1 2016","FQ1 2016","Currency=INR","Period=FQ","BEST_FPERIOD_OVERRIDE=FQ","FILING_STATUS=OR","EQY_CONSOLIDATED=Y","Sort=A","Dates=H","DateFormat=P","Fill=—","Direction=H","UseDPDF=Y")</f>
        <v>#NAME?</v>
      </c>
      <c r="AT264" s="1" t="e">
        <f ca="1">_xll.BDH($C$253,"INVENTORY_5_YEAR_GROWTH","FQ1 2016","FQ1 2016","Currency=INR","Period=FQ","BEST_FPERIOD_OVERRIDE=FQ","FILING_STATUS=OR","EQY_CONSOLIDATED=Y","Sort=A","Dates=H","DateFormat=P","Fill=—","Direction=H","UseDPDF=Y")</f>
        <v>#NAME?</v>
      </c>
      <c r="AU264" s="1" t="e">
        <f ca="1">_xll.BDH($C$253,"NET_FIXED_ASSETS_5_YEAR_GROWTH","FQ1 2016","FQ1 2016","Currency=INR","Period=FQ","BEST_FPERIOD_OVERRIDE=FQ","FILING_STATUS=OR","EQY_CONSOLIDATED=Y","Sort=A","Dates=H","DateFormat=P","Fill=—","Direction=H","UseDPDF=Y")</f>
        <v>#NAME?</v>
      </c>
      <c r="AV264" s="1" t="e">
        <f ca="1">_xll.BDH($C$253,"GEO_GROW_TOT_ASSET","FQ1 2016","FQ1 2016","Currency=INR","Period=FQ","BEST_FPERIOD_OVERRIDE=FQ","FILING_STATUS=OR","EQY_CONSOLIDATED=Y","Sort=A","Dates=H","DateFormat=P","Fill=—","Direction=H","UseDPDF=Y")</f>
        <v>#NAME?</v>
      </c>
      <c r="AW264" s="1" t="e">
        <f ca="1">_xll.BDH($C$253,"MODIFIED_WORKING_CPTL_5YR_GRWTH","FQ1 2016","FQ1 2016","Currency=INR","Period=FQ","BEST_FPERIOD_OVERRIDE=FQ","FILING_STATUS=OR","EQY_CONSOLIDATED=Y","Sort=A","Dates=H","DateFormat=P","Fill=—","Direction=H","UseDPDF=Y")</f>
        <v>#NAME?</v>
      </c>
      <c r="AX264" s="1" t="e">
        <f ca="1">_xll.BDH($C$253,"WORKING_CAPITAL_5_YEAR_GROWTH","FQ1 2016","FQ1 2016","Currency=INR","Period=FQ","BEST_FPERIOD_OVERRIDE=FQ","FILING_STATUS=OR","EQY_CONSOLIDATED=Y","Sort=A","Dates=H","DateFormat=P","Fill=—","Direction=H","UseDPDF=Y")</f>
        <v>#NAME?</v>
      </c>
      <c r="AY264" s="1" t="e">
        <f ca="1">_xll.BDH($C$253,"ACCOUNTS_PAYABLE_5_YEAR_GROWTH","FQ1 2016","FQ1 2016","Currency=INR","Period=FQ","BEST_FPERIOD_OVERRIDE=FQ","FILING_STATUS=OR","EQY_CONSOLIDATED=Y","Sort=A","Dates=H","DateFormat=P","Fill=—","Direction=H","UseDPDF=Y")</f>
        <v>#NAME?</v>
      </c>
      <c r="AZ264" s="1" t="e">
        <f ca="1">_xll.BDH($C$253,"SHORT_TERM_DEBT_5_YEAR_GROWTH","FQ1 2016","FQ1 2016","Currency=INR","Period=FQ","BEST_FPERIOD_OVERRIDE=FQ","FILING_STATUS=OR","EQY_CONSOLIDATED=Y","Sort=A","Dates=H","DateFormat=P","Fill=—","Direction=H","UseDPDF=Y")</f>
        <v>#NAME?</v>
      </c>
      <c r="BA264" s="1" t="e">
        <f ca="1">_xll.BDH($C$253,"TOTAL_DEBT_5_YEAR_GROWTH","FQ1 2016","FQ1 2016","Currency=INR","Period=FQ","BEST_FPERIOD_OVERRIDE=FQ","FILING_STATUS=OR","EQY_CONSOLIDATED=Y","Sort=A","Dates=H","DateFormat=P","Fill=—","Direction=H","UseDPDF=Y")</f>
        <v>#NAME?</v>
      </c>
      <c r="BB264" s="1" t="e">
        <f ca="1">_xll.BDH($C$253,"GEO_GROW_TOT_SHRHLDR_EQY","FQ1 2016","FQ1 2016","Currency=INR","Period=FQ","BEST_FPERIOD_OVERRIDE=FQ","FILING_STATUS=OR","EQY_CONSOLIDATED=Y","Sort=A","Dates=H","DateFormat=P","Fill=—","Direction=H","UseDPDF=Y")</f>
        <v>#NAME?</v>
      </c>
      <c r="BC264" s="1" t="e">
        <f ca="1">_xll.BDH($C$253,"TOTAL_CAPITAL_5_YEAR_GROWTH","FQ1 2016","FQ1 2016","Currency=INR","Period=FQ","BEST_FPERIOD_OVERRIDE=FQ","FILING_STATUS=OR","EQY_CONSOLIDATED=Y","Sort=A","Dates=H","DateFormat=P","Fill=—","Direction=H","UseDPDF=Y")</f>
        <v>#NAME?</v>
      </c>
      <c r="BD264" s="1" t="e">
        <f ca="1">_xll.BDH($C$253,"GEO_GROW_BOOK_VAL","FQ1 2016","FQ1 2016","Currency=INR","Period=FQ","BEST_FPERIOD_OVERRIDE=FQ","FILING_STATUS=OR","EQY_CONSOLIDATED=Y","Sort=A","Dates=H","DateFormat=P","Fill=—","Direction=H","UseDPDF=Y")</f>
        <v>#NAME?</v>
      </c>
      <c r="BE264" s="1" t="e">
        <f ca="1">_xll.BDH($C$253,"GEO_GROW_CASH_OPER_ACT","FQ1 2016","FQ1 2016","Currency=INR","Period=FQ","BEST_FPERIOD_OVERRIDE=FQ","FILING_STATUS=OR","EQY_CONSOLIDATED=Y","Sort=A","Dates=H","DateFormat=P","Fill=—","Direction=H","UseDPDF=Y")</f>
        <v>#NAME?</v>
      </c>
      <c r="BF264" s="1" t="e">
        <f ca="1">_xll.BDH($C$253,"REVENUE_SEQUENTIAL_GROWTH","FQ1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64" s="1" t="e">
        <f ca="1">_xll.BDH($C$253,"EBITDA_SEQUENTIAL_GROWTH","FQ1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64" s="1" t="e">
        <f ca="1">_xll.BDH($C$253,"OPERATING_INCOME_SEQ_GROWTH","FQ1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64" s="1" t="e">
        <f ca="1">_xll.BDH($C$253,"NET_INCOME_TO_COMMON_SEQ_GROWTH","FQ1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64" s="1" t="e">
        <f ca="1">_xll.BDH($C$253,"EPS_DILUTED_SEQUENTIAL_GROWTH","FQ1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64" s="1" t="e">
        <f ca="1">_xll.BDH($C$253,"DPS_SEQUENTIAL_GROWTH","FQ1 2016","FQ1 2016","Currency=INR","Period=FQ","BEST_FPERIOD_OVERRIDE=FQ","FILING_STATUS=OR","EQY_CONSOLIDATED=Y","Sort=A","Dates=H","DateFormat=P","Fill=—","Direction=H","UseDPDF=Y")</f>
        <v>#NAME?</v>
      </c>
      <c r="BL264" s="1" t="e">
        <f ca="1">_xll.BDH($C$253,"ACCOUNTS_RECEIVABLE_SEQ_GROWTH","FQ1 2016","FQ1 2016","Currency=INR","Period=FQ","BEST_FPERIOD_OVERRIDE=FQ","FILING_STATUS=OR","EQY_CONSOLIDATED=Y","Sort=A","Dates=H","DateFormat=P","Fill=—","Direction=H","UseDPDF=Y")</f>
        <v>#NAME?</v>
      </c>
      <c r="BM264" s="1" t="e">
        <f ca="1">_xll.BDH($C$253,"INVENTORY_SEQUENTIAL_GROWTH","FQ1 2016","FQ1 2016","Currency=INR","Period=FQ","BEST_FPERIOD_OVERRIDE=FQ","FILING_STATUS=OR","EQY_CONSOLIDATED=Y","Sort=A","Dates=H","DateFormat=P","Fill=—","Direction=H","UseDPDF=Y")</f>
        <v>#NAME?</v>
      </c>
      <c r="BN264" s="1" t="e">
        <f ca="1">_xll.BDH($C$253,"FIXED_ASSETS_SEQUENTIAL_GROWTH","FQ1 2016","FQ1 2016","Currency=INR","Period=FQ","BEST_FPERIOD_OVERRIDE=FQ","FILING_STATUS=OR","EQY_CONSOLIDATED=Y","Sort=A","Dates=H","DateFormat=P","Fill=—","Direction=H","UseDPDF=Y")</f>
        <v>#NAME?</v>
      </c>
      <c r="BO264" s="1" t="e">
        <f ca="1">_xll.BDH($C$253,"TOTAL_ASSETS_SEQUENTIAL_GROWTH","FQ1 2016","FQ1 2016","Currency=INR","Period=FQ","BEST_FPERIOD_OVERRIDE=FQ","FILING_STATUS=OR","EQY_CONSOLIDATED=Y","Sort=A","Dates=H","DateFormat=P","Fill=—","Direction=H","UseDPDF=Y")</f>
        <v>#NAME?</v>
      </c>
      <c r="BP264" s="1" t="e">
        <f ca="1">_xll.BDH($C$253,"MODIFIED_WORKING_CPTL_SEQ_GRWTH","FQ1 2016","FQ1 2016","Currency=INR","Period=FQ","BEST_FPERIOD_OVERRIDE=FQ","FILING_STATUS=OR","EQY_CONSOLIDATED=Y","Sort=A","Dates=H","DateFormat=P","Fill=—","Direction=H","UseDPDF=Y")</f>
        <v>#NAME?</v>
      </c>
      <c r="BQ264" s="1" t="e">
        <f ca="1">_xll.BDH($C$253,"WORKING_CAPITAL_SEQ_GROWTH","FQ1 2016","FQ1 2016","Currency=INR","Period=FQ","BEST_FPERIOD_OVERRIDE=FQ","FILING_STATUS=OR","EQY_CONSOLIDATED=Y","Sort=A","Dates=H","DateFormat=P","Fill=—","Direction=H","UseDPDF=Y")</f>
        <v>#NAME?</v>
      </c>
      <c r="BR264" s="1" t="e">
        <f ca="1">_xll.BDH($C$253,"ACCOUNTS_PAYABLE_SEQ_GROWTH","FQ1 2016","FQ1 2016","Currency=INR","Period=FQ","BEST_FPERIOD_OVERRIDE=FQ","FILING_STATUS=OR","EQY_CONSOLIDATED=Y","Sort=A","Dates=H","DateFormat=P","Fill=—","Direction=H","UseDPDF=Y")</f>
        <v>#NAME?</v>
      </c>
      <c r="BS264" s="1" t="e">
        <f ca="1">_xll.BDH($C$253,"ST_DEBT_SEQUENTIAL_GROWTH","FQ1 2016","FQ1 2016","Currency=INR","Period=FQ","BEST_FPERIOD_OVERRIDE=FQ","FILING_STATUS=OR","EQY_CONSOLIDATED=Y","Sort=A","Dates=H","DateFormat=P","Fill=—","Direction=H","UseDPDF=Y")</f>
        <v>#NAME?</v>
      </c>
      <c r="BT264" s="1" t="e">
        <f ca="1">_xll.BDH($C$253,"TOTAL_DEBT_SEQUENTIAL_GROWTH","FQ1 2016","FQ1 2016","Currency=INR","Period=FQ","BEST_FPERIOD_OVERRIDE=FQ","FILING_STATUS=OR","EQY_CONSOLIDATED=Y","Sort=A","Dates=H","DateFormat=P","Fill=—","Direction=H","UseDPDF=Y")</f>
        <v>#NAME?</v>
      </c>
      <c r="BU264" s="1" t="e">
        <f ca="1">_xll.BDH($C$253,"TOTAL_EQUITY_SEQUENTIAL_GROWTH","FQ1 2016","FQ1 2016","Currency=INR","Period=FQ","BEST_FPERIOD_OVERRIDE=FQ","FILING_STATUS=OR","EQY_CONSOLIDATED=Y","Sort=A","Dates=H","DateFormat=P","Fill=—","Direction=H","UseDPDF=Y")</f>
        <v>#NAME?</v>
      </c>
      <c r="BV264" s="1" t="e">
        <f ca="1">_xll.BDH($C$253,"TOTAL_CAPITAL_SEQUENTIAL_GROWTH","FQ1 2016","FQ1 2016","Currency=INR","Period=FQ","BEST_FPERIOD_OVERRIDE=FQ","FILING_STATUS=OR","EQY_CONSOLIDATED=Y","Sort=A","Dates=H","DateFormat=P","Fill=—","Direction=H","UseDPDF=Y")</f>
        <v>#NAME?</v>
      </c>
      <c r="BW264" s="1" t="e">
        <f ca="1">_xll.BDH($C$253,"BPS_SEQUENTIAL_GROWTH","FQ1 2016","FQ1 2016","Currency=INR","Period=FQ","BEST_FPERIOD_OVERRIDE=FQ","FILING_STATUS=OR","EQY_CONSOLIDATED=Y","Sort=A","Dates=H","DateFormat=P","Fill=—","Direction=H","UseDPDF=Y")</f>
        <v>#NAME?</v>
      </c>
      <c r="BX264" s="1" t="e">
        <f ca="1">_xll.BDH($C$253,"CFO_SEQUENTIAL_GROWTH","FQ1 2016","FQ1 2016","Currency=INR","Period=FQ","BEST_FPERIOD_OVERRIDE=FQ","FILING_STATUS=OR","EQY_CONSOLIDATED=Y","Sort=A","Dates=H","DateFormat=P","Fill=—","Direction=H","UseDPDF=Y")</f>
        <v>#NAME?</v>
      </c>
      <c r="BY264" s="2" t="e">
        <f ca="1">_xll.BDH($C$253,"SHORT_AND_LONG_TERM_DEBT","FQ1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64" s="2" t="e">
        <f ca="1">_xll.BDH($C$253,"BS_ST_BORROW","FQ1 2016","FQ1 2016","Currency=INR","Period=FQ","BEST_FPERIOD_OVERRIDE=FQ","FILING_STATUS=OR","EQY_CONSOLIDATED=Y","SCALING_FORMAT=MLN","Sort=A","Dates=H","DateFormat=P","Fill=—","Direction=H","UseDPDF=Y")</f>
        <v>#NAME?</v>
      </c>
      <c r="CA264" s="2" t="e">
        <f ca="1">_xll.BDH($C$253,"BS_LT_BORROW","FQ1 2016","FQ1 2016","Currency=INR","Period=FQ","BEST_FPERIOD_OVERRIDE=FQ","FILING_STATUS=OR","EQY_CONSOLIDATED=Y","SCALING_FORMAT=MLN","Sort=A","Dates=H","DateFormat=P","Fill=—","Direction=H","UseDPDF=Y")</f>
        <v>#NAME?</v>
      </c>
      <c r="CB264" s="1" t="e">
        <f ca="1">_xll.BDH($C$253,"TOT_DEBT_TO_EBITDA","FQ1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64" s="1" t="e">
        <f ca="1">_xll.BDH($C$253,"NET_DEBT_TO_EBITDA","FQ1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64" s="1" t="e">
        <f ca="1">_xll.BDH($C$253,"TOTAL_DEBT_TO_EBIT","FQ1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64" s="1" t="e">
        <f ca="1">_xll.BDH($C$253,"NET_DEBT_TO_EBIT","FQ1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264" s="1" t="e">
        <f ca="1">_xll.BDH($C$253,"EBITDA_TO_INTEREST_EXPN","FQ1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64" s="1" t="e">
        <f ca="1">_xll.BDH($C$253,"COM_EQY_TO_TOT_ASSET","FQ1 2016","FQ1 2016","Currency=INR","Period=FQ","BEST_FPERIOD_OVERRIDE=FQ","FILING_STATUS=OR","EQY_CONSOLIDATED=Y","Sort=A","Dates=H","DateFormat=P","Fill=—","Direction=H","UseDPDF=Y")</f>
        <v>#NAME?</v>
      </c>
      <c r="CH264" s="1" t="e">
        <f ca="1">_xll.BDH($C$253,"LT_DEBT_TO_TOT_EQY","FQ1 2016","FQ1 2016","Currency=INR","Period=FQ","BEST_FPERIOD_OVERRIDE=FQ","FILING_STATUS=OR","EQY_CONSOLIDATED=Y","Sort=A","Dates=H","DateFormat=P","Fill=—","Direction=H","UseDPDF=Y")</f>
        <v>#NAME?</v>
      </c>
      <c r="CI264" s="1" t="e">
        <f ca="1">_xll.BDH($C$253,"LT_DEBT_TO_TOT_CAP","FQ1 2016","FQ1 2016","Currency=INR","Period=FQ","BEST_FPERIOD_OVERRIDE=FQ","FILING_STATUS=OR","EQY_CONSOLIDATED=Y","Sort=A","Dates=H","DateFormat=P","Fill=—","Direction=H","UseDPDF=Y")</f>
        <v>#NAME?</v>
      </c>
      <c r="CJ264" s="1" t="e">
        <f ca="1">_xll.BDH($C$253,"LT_DEBT_TO_TOT_ASSET","FQ1 2016","FQ1 2016","Currency=INR","Period=FQ","BEST_FPERIOD_OVERRIDE=FQ","FILING_STATUS=OR","EQY_CONSOLIDATED=Y","Sort=A","Dates=H","DateFormat=P","Fill=—","Direction=H","UseDPDF=Y")</f>
        <v>#NAME?</v>
      </c>
      <c r="CK264" s="1" t="e">
        <f ca="1">_xll.BDH($C$253,"TOT_DEBT_TO_TOT_EQY","FQ1 2016","FQ1 2016","Currency=INR","Period=FQ","BEST_FPERIOD_OVERRIDE=FQ","FILING_STATUS=OR","EQY_CONSOLIDATED=Y","Sort=A","Dates=H","DateFormat=P","Fill=—","Direction=H","UseDPDF=Y")</f>
        <v>#NAME?</v>
      </c>
      <c r="CL264" s="1" t="e">
        <f ca="1">_xll.BDH($C$253,"TOT_DEBT_TO_TOT_CAP","FQ1 2016","FQ1 2016","Currency=INR","Period=FQ","BEST_FPERIOD_OVERRIDE=FQ","FILING_STATUS=OR","EQY_CONSOLIDATED=Y","Sort=A","Dates=H","DateFormat=P","Fill=—","Direction=H","UseDPDF=Y")</f>
        <v>#NAME?</v>
      </c>
      <c r="CM264" s="1" t="e">
        <f ca="1">_xll.BDH($C$253,"TOT_DEBT_TO_TOT_ASSET","FQ1 2016","FQ1 2016","Currency=INR","Period=FQ","BEST_FPERIOD_OVERRIDE=FQ","FILING_STATUS=OR","EQY_CONSOLIDATED=Y","Sort=A","Dates=H","DateFormat=P","Fill=—","Direction=H","UseDPDF=Y")</f>
        <v>#NAME?</v>
      </c>
      <c r="CN264" s="1" t="e">
        <f ca="1">_xll.BDH($C$253,"NET_DEBT_TO_SHRHLDR_EQTY","FQ1 2016","FQ1 2016","Currency=INR","Period=FQ","BEST_FPERIOD_OVERRIDE=FQ","FILING_STATUS=OR","EQY_CONSOLIDATED=Y","Sort=A","Dates=H","DateFormat=P","Fill=—","Direction=H","UseDPDF=Y")</f>
        <v>#NAME?</v>
      </c>
      <c r="CO264" s="1" t="e">
        <f ca="1">_xll.BDH($C$253,"NET_DEBT_%_CAPITAL","FQ1 2016","FQ1 2016","Currency=INR","Period=FQ","BEST_FPERIOD_OVERRIDE=FQ","FILING_STATUS=OR","EQY_CONSOLIDATED=Y","Sort=A","Dates=H","DateFormat=P","Fill=—","Direction=H","UseDPDF=Y")</f>
        <v>#NAME?</v>
      </c>
      <c r="CP264" s="2" t="e">
        <f ca="1">_xll.BDH($C$253,"EBITDA","FQ1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64" s="2" t="e">
        <f ca="1">_xll.BDH($C$253,"EBITDA_AFTER_CAPEX","FQ1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64" s="2" t="e">
        <f ca="1">_xll.BDH($C$253,"IS_OPER_INC","FQ1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64" s="1" t="e">
        <f ca="1">_xll.BDH($C$253,"CASH_RATIO","FQ1 2016","FQ1 2016","Currency=INR","Period=FQ","BEST_FPERIOD_OVERRIDE=FQ","FILING_STATUS=OR","EQY_CONSOLIDATED=Y","Sort=A","Dates=H","DateFormat=P","Fill=—","Direction=H","UseDPDF=Y")</f>
        <v>#NAME?</v>
      </c>
      <c r="CT264" s="1" t="e">
        <f ca="1">_xll.BDH($C$253,"CUR_RATIO","FQ1 2016","FQ1 2016","Currency=INR","Period=FQ","BEST_FPERIOD_OVERRIDE=FQ","FILING_STATUS=OR","EQY_CONSOLIDATED=Y","Sort=A","Dates=H","DateFormat=P","Fill=—","Direction=H","UseDPDF=Y")</f>
        <v>#NAME?</v>
      </c>
      <c r="CU264" s="1" t="e">
        <f ca="1">_xll.BDH($C$253,"QUICK_RATIO","FQ1 2016","FQ1 2016","Currency=INR","Period=FQ","BEST_FPERIOD_OVERRIDE=FQ","FILING_STATUS=OR","EQY_CONSOLIDATED=Y","Sort=A","Dates=H","DateFormat=P","Fill=—","Direction=H","UseDPDF=Y")</f>
        <v>#NAME?</v>
      </c>
      <c r="CV264" s="1" t="e">
        <f ca="1">_xll.BDH($C$253,"ALTMAN_Z_SCORE","FQ1 2016","FQ1 2016","Currency=INR","Period=FQ","BEST_FPERIOD_OVERRIDE=FQ","FILING_STATUS=OR","EQY_CONSOLIDATED=Y","Sort=A","Dates=H","DateFormat=P","Fill=—","Direction=H","UseDPDF=Y")</f>
        <v>#NAME?</v>
      </c>
      <c r="CW264" s="3" t="e">
        <f ca="1">_xll.BDH($C$253,"ACCT_RCV_TURN","FQ1 2016","FQ1 2016","Currency=INR","Period=FQ","BEST_FPERIOD_OVERRIDE=FQ","FILING_STATUS=OR","EQY_CONSOLIDATED=Y","FA_ADJUSTED=GAAP","Sort=A","Dates=H","DateFormat=P","Fill=—","Direction=H","UseDPDF=Y")</f>
        <v>#NAME?</v>
      </c>
      <c r="CX264" s="1" t="e">
        <f ca="1">_xll.BDH($C$253,"ACCT_RCV_DAYS","FQ1 2016","FQ1 2016","Currency=INR","Period=FQ","BEST_FPERIOD_OVERRIDE=FQ","FILING_STATUS=OR","EQY_CONSOLIDATED=Y","FA_ADJUSTED=GAAP","Sort=A","Dates=H","DateFormat=P","Fill=—","Direction=H","UseDPDF=Y")</f>
        <v>#NAME?</v>
      </c>
      <c r="CY264" s="3" t="e">
        <f ca="1">_xll.BDH($C$253,"INVENT_TURN","FQ1 2016","FQ1 2016","Currency=INR","Period=FQ","BEST_FPERIOD_OVERRIDE=FQ","FILING_STATUS=OR","EQY_CONSOLIDATED=Y","FA_ADJUSTED=GAAP","Sort=A","Dates=H","DateFormat=P","Fill=—","Direction=H","UseDPDF=Y")</f>
        <v>#NAME?</v>
      </c>
      <c r="CZ264" s="1" t="e">
        <f ca="1">_xll.BDH($C$253,"INVENT_DAYS","FQ1 2016","FQ1 2016","Currency=INR","Period=FQ","BEST_FPERIOD_OVERRIDE=FQ","FILING_STATUS=OR","EQY_CONSOLIDATED=Y","FA_ADJUSTED=GAAP","Sort=A","Dates=H","DateFormat=P","Fill=—","Direction=H","UseDPDF=Y")</f>
        <v>#NAME?</v>
      </c>
      <c r="DA264" s="3" t="e">
        <f ca="1">_xll.BDH($C$253,"ACCOUNTS_PAYABLE_TURNOVER","FQ1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64" s="1" t="e">
        <f ca="1">_xll.BDH($C$253,"ACCOUNTS_PAYABLE_TURNOVER_DAYS","FQ1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64" s="3" t="e">
        <f ca="1">_xll.BDH($C$253,"CASH_CONVERSION_CYCLE","FQ1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64" s="3" t="e">
        <f ca="1">_xll.BDH($C$253,"INV_TO_CASH_DAYS","FQ1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264" s="4" t="e">
        <f ca="1">_xll.BDH($C$253,"BS_INVENTORIES","FQ1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264" s="2" t="e">
        <f ca="1">_xll.BDH($C$253,"INVTRY_RAW_MATERIALS","FQ1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64" s="2" t="e">
        <f ca="1">_xll.BDH($C$253,"INVTRY_IN_PROGRESS","FQ1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64" s="2" t="e">
        <f ca="1">_xll.BDH($C$253,"INVTRY_FINISHED_GOODS","FQ1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64" s="2" t="e">
        <f ca="1">_xll.BDH($C$253,"BS_OTHER_INV","FQ1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65" spans="1:113" x14ac:dyDescent="0.3">
      <c r="A265" s="6"/>
      <c r="B265" s="6"/>
      <c r="C265" s="6"/>
      <c r="D265" s="6"/>
      <c r="E265" t="s">
        <v>5</v>
      </c>
      <c r="F265" t="e">
        <f ca="1">_xll.BDH($C$253,"RETURN_COM_EQY","FQ2 2016","FQ2 2016","Currency=INR","Period=FQ","BEST_FPERIOD_OVERRIDE=FQ","FILING_STATUS=OR","EQY_CONSOLIDATED=Y","FA_ADJUSTED=GAAP","Sort=A","Dates=H","DateFormat=P","Fill=—","Direction=H","UseDPDF=Y")</f>
        <v>#NAME?</v>
      </c>
      <c r="G265" t="e">
        <f ca="1">_xll.BDH($C$253,"RETURN_ON_ASSET","FQ2 2016","FQ2 2016","Currency=INR","Period=FQ","BEST_FPERIOD_OVERRIDE=FQ","FILING_STATUS=OR","EQY_CONSOLIDATED=Y","FA_ADJUSTED=GAAP","Sort=A","Dates=H","DateFormat=P","Fill=—","Direction=H","UseDPDF=Y")</f>
        <v>#NAME?</v>
      </c>
      <c r="H265" t="e">
        <f ca="1">_xll.BDH($C$253,"RETURN_ON_CAP","FQ2 2016","FQ2 2016","Currency=INR","Period=FQ","BEST_FPERIOD_OVERRIDE=FQ","FILING_STATUS=OR","EQY_CONSOLIDATED=Y","FA_ADJUSTED=GAAP","Sort=A","Dates=H","DateFormat=P","Fill=—","Direction=H","UseDPDF=Y")</f>
        <v>#NAME?</v>
      </c>
      <c r="I265" t="e">
        <f ca="1">_xll.BDH($C$253,"RETURN_ON_INV_CAPITAL","FQ2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65" t="e">
        <f ca="1">_xll.BDH($C$253,"EBITDA_TO_REVENUE","FQ2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265" t="e">
        <f ca="1">_xll.BDH($C$253,"OPER_MARGIN","FQ2 2016","FQ2 2016","Currency=INR","Period=FQ","BEST_FPERIOD_OVERRIDE=FQ","FILING_STATUS=OR","EQY_CONSOLIDATED=Y","FA_ADJUSTED=GAAP","Sort=A","Dates=H","DateFormat=P","Fill=—","Direction=H","UseDPDF=Y")</f>
        <v>#NAME?</v>
      </c>
      <c r="L265" t="e">
        <f ca="1">_xll.BDH($C$253,"INCREMENTAL_OPERATING_MARGIN","FQ2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65" t="e">
        <f ca="1">_xll.BDH($C$253,"PRETAX_INC_TO_NET_SALES","FQ2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65" t="e">
        <f ca="1">_xll.BDH($C$253,"INC_BEF_XO_ITEMS_TO_NET_SALES","FQ2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65" t="e">
        <f ca="1">_xll.BDH($C$253,"PROF_MARGIN","FQ2 2016","FQ2 2016","Currency=INR","Period=FQ","BEST_FPERIOD_OVERRIDE=FQ","FILING_STATUS=OR","EQY_CONSOLIDATED=Y","FA_ADJUSTED=GAAP","Sort=A","Dates=H","DateFormat=P","Fill=—","Direction=H","UseDPDF=Y")</f>
        <v>#NAME?</v>
      </c>
      <c r="P265" t="e">
        <f ca="1">_xll.BDH($C$253,"NET_INCOME_TO_COMMON_MARGIN","FQ2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65" t="e">
        <f ca="1">_xll.BDH($C$253,"EFF_TAX_RATE","FQ2 2016","FQ2 2016","Currency=INR","Period=FQ","BEST_FPERIOD_OVERRIDE=FQ","FILING_STATUS=OR","EQY_CONSOLIDATED=Y","FA_ADJUSTED=GAAP","Sort=A","Dates=H","DateFormat=P","Fill=—","Direction=H","UseDPDF=Y")</f>
        <v>#NAME?</v>
      </c>
      <c r="R265" t="e">
        <f ca="1">_xll.BDH($C$253,"DVD_PAYOUT_RATIO","FQ2 2016","FQ2 2016","Currency=INR","Period=FQ","BEST_FPERIOD_OVERRIDE=FQ","FILING_STATUS=OR","EQY_CONSOLIDATED=Y","FA_ADJUSTED=GAAP","Sort=A","Dates=H","DateFormat=P","Fill=—","Direction=H","UseDPDF=Y")</f>
        <v>#NAME?</v>
      </c>
      <c r="S265" t="e">
        <f ca="1">_xll.BDH($C$253,"SUSTAIN_GROWTH_RT","FQ2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265" s="1" t="e">
        <f ca="1">_xll.BDH($C$253,"SALES_GROWTH","FQ2 2016","FQ2 2016","Currency=INR","Period=FQ","BEST_FPERIOD_OVERRIDE=FQ","FILING_STATUS=OR","EQY_CONSOLIDATED=Y","FA_ADJUSTED=GAAP","Sort=A","Dates=H","DateFormat=P","Fill=—","Direction=H","UseDPDF=Y")</f>
        <v>#NAME?</v>
      </c>
      <c r="U265" s="1" t="e">
        <f ca="1">_xll.BDH($C$253,"EBITDA_GROWTH","FQ2 2016","FQ2 2016","Currency=INR","Period=FQ","BEST_FPERIOD_OVERRIDE=FQ","FILING_STATUS=OR","EQY_CONSOLIDATED=Y","FA_ADJUSTED=GAAP","Sort=A","Dates=H","DateFormat=P","Fill=—","Direction=H","UseDPDF=Y")</f>
        <v>#NAME?</v>
      </c>
      <c r="V265" s="1" t="e">
        <f ca="1">_xll.BDH($C$253,"OPER_INC_GROWTH","FQ2 2016","FQ2 2016","Currency=INR","Period=FQ","BEST_FPERIOD_OVERRIDE=FQ","FILING_STATUS=OR","EQY_CONSOLIDATED=Y","FA_ADJUSTED=GAAP","Sort=A","Dates=H","DateFormat=P","Fill=—","Direction=H","UseDPDF=Y")</f>
        <v>#NAME?</v>
      </c>
      <c r="W265" s="1" t="e">
        <f ca="1">_xll.BDH($C$253,"EARN_FOR_COM_GROWTH","FQ2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65" s="1" t="e">
        <f ca="1">_xll.BDH($C$253,"DILUTED_EPS_AFT_XO_ITEMS_GROWTH","FQ2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65" s="1" t="e">
        <f ca="1">_xll.BDH($C$253,"DIVIDEND_PER_SHARE_1_YEAR_GROWTH","FQ2 2016","FQ2 2016","Currency=INR","Period=FQ","BEST_FPERIOD_OVERRIDE=FQ","FILING_STATUS=OR","EQY_CONSOLIDATED=Y","Sort=A","Dates=H","DateFormat=P","Fill=—","Direction=H","UseDPDF=Y")</f>
        <v>#NAME?</v>
      </c>
      <c r="Z265" s="1" t="e">
        <f ca="1">_xll.BDH($C$253,"ACCOUNTS_RECEIVABLE_GROWTH","FQ2 2016","FQ2 2016","Currency=INR","Period=FQ","BEST_FPERIOD_OVERRIDE=FQ","FILING_STATUS=OR","EQY_CONSOLIDATED=Y","Sort=A","Dates=H","DateFormat=P","Fill=—","Direction=H","UseDPDF=Y")</f>
        <v>#NAME?</v>
      </c>
      <c r="AA265" s="1" t="e">
        <f ca="1">_xll.BDH($C$253,"INVENTORY_GROWTH","FQ2 2016","FQ2 2016","Currency=INR","Period=FQ","BEST_FPERIOD_OVERRIDE=FQ","FILING_STATUS=OR","EQY_CONSOLIDATED=Y","Sort=A","Dates=H","DateFormat=P","Fill=—","Direction=H","UseDPDF=Y")</f>
        <v>#NAME?</v>
      </c>
      <c r="AB265" s="1" t="e">
        <f ca="1">_xll.BDH($C$253,"NET_FIXED_ASSETS_1_YEAR_GROWTH","FQ2 2016","FQ2 2016","Currency=INR","Period=FQ","BEST_FPERIOD_OVERRIDE=FQ","FILING_STATUS=OR","EQY_CONSOLIDATED=Y","Sort=A","Dates=H","DateFormat=P","Fill=—","Direction=H","UseDPDF=Y")</f>
        <v>#NAME?</v>
      </c>
      <c r="AC265" s="1" t="e">
        <f ca="1">_xll.BDH($C$253,"ASSET_GROWTH","FQ2 2016","FQ2 2016","Currency=INR","Period=FQ","BEST_FPERIOD_OVERRIDE=FQ","FILING_STATUS=OR","EQY_CONSOLIDATED=Y","Sort=A","Dates=H","DateFormat=P","Fill=—","Direction=H","UseDPDF=Y")</f>
        <v>#NAME?</v>
      </c>
      <c r="AD265" s="1" t="e">
        <f ca="1">_xll.BDH($C$253,"MODIFIED_WORK_CAP_GROWTH","FQ2 2016","FQ2 2016","Currency=INR","Period=FQ","BEST_FPERIOD_OVERRIDE=FQ","FILING_STATUS=OR","EQY_CONSOLIDATED=Y","Sort=A","Dates=H","DateFormat=P","Fill=—","Direction=H","UseDPDF=Y")</f>
        <v>#NAME?</v>
      </c>
      <c r="AE265" s="1" t="e">
        <f ca="1">_xll.BDH($C$253,"WORK_CAP_GROWTH","FQ2 2016","FQ2 2016","Currency=INR","Period=FQ","BEST_FPERIOD_OVERRIDE=FQ","FILING_STATUS=OR","EQY_CONSOLIDATED=Y","Sort=A","Dates=H","DateFormat=P","Fill=—","Direction=H","UseDPDF=Y")</f>
        <v>#NAME?</v>
      </c>
      <c r="AF265" s="1" t="e">
        <f ca="1">_xll.BDH($C$253,"ACCOUNTS_PAYABLE_GROWTH_1YR","FQ2 2016","FQ2 2016","Currency=INR","Period=FQ","BEST_FPERIOD_OVERRIDE=FQ","FILING_STATUS=OR","EQY_CONSOLIDATED=Y","Sort=A","Dates=H","DateFormat=P","Fill=—","Direction=H","UseDPDF=Y")</f>
        <v>#NAME?</v>
      </c>
      <c r="AG265" s="1" t="e">
        <f ca="1">_xll.BDH($C$253,"SHORT_TERM_DEBT_1_YEAR_GROWTH","FQ2 2016","FQ2 2016","Currency=INR","Period=FQ","BEST_FPERIOD_OVERRIDE=FQ","FILING_STATUS=OR","EQY_CONSOLIDATED=Y","Sort=A","Dates=H","DateFormat=P","Fill=—","Direction=H","UseDPDF=Y")</f>
        <v>#NAME?</v>
      </c>
      <c r="AH265" s="1" t="e">
        <f ca="1">_xll.BDH($C$253,"TOTAL_DEBT_1_YEAR_GROWTH","FQ2 2016","FQ2 2016","Currency=INR","Period=FQ","BEST_FPERIOD_OVERRIDE=FQ","FILING_STATUS=OR","EQY_CONSOLIDATED=Y","Sort=A","Dates=H","DateFormat=P","Fill=—","Direction=H","UseDPDF=Y")</f>
        <v>#NAME?</v>
      </c>
      <c r="AI265" s="1" t="e">
        <f ca="1">_xll.BDH($C$253,"TOTAL_EQUITY_1_YEAR_GROWTH","FQ2 2016","FQ2 2016","Currency=INR","Period=FQ","BEST_FPERIOD_OVERRIDE=FQ","FILING_STATUS=OR","EQY_CONSOLIDATED=Y","Sort=A","Dates=H","DateFormat=P","Fill=—","Direction=H","UseDPDF=Y")</f>
        <v>#NAME?</v>
      </c>
      <c r="AJ265" s="1" t="e">
        <f ca="1">_xll.BDH($C$253,"GROWTH_IN_CAP","FQ2 2016","FQ2 2016","Currency=INR","Period=FQ","BEST_FPERIOD_OVERRIDE=FQ","FILING_STATUS=OR","EQY_CONSOLIDATED=Y","Sort=A","Dates=H","DateFormat=P","Fill=—","Direction=H","UseDPDF=Y")</f>
        <v>#NAME?</v>
      </c>
      <c r="AK265" s="1" t="e">
        <f ca="1">_xll.BDH($C$253,"BVPS_GROWTH","FQ2 2016","FQ2 2016","Currency=INR","Period=FQ","BEST_FPERIOD_OVERRIDE=FQ","FILING_STATUS=OR","EQY_CONSOLIDATED=Y","Sort=A","Dates=H","DateFormat=P","Fill=—","Direction=H","UseDPDF=Y")</f>
        <v>#NAME?</v>
      </c>
      <c r="AL265" s="1" t="e">
        <f ca="1">_xll.BDH($C$253,"CASH_FLOW_GROWTH","FQ2 2016","FQ2 2016","Currency=INR","Period=FQ","BEST_FPERIOD_OVERRIDE=FQ","FILING_STATUS=OR","EQY_CONSOLIDATED=Y","Sort=A","Dates=H","DateFormat=P","Fill=—","Direction=H","UseDPDF=Y")</f>
        <v>#NAME?</v>
      </c>
      <c r="AM265" s="1" t="e">
        <f ca="1">_xll.BDH($C$253,"GEO_GROW_NET_SALES","FQ2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65" s="1" t="e">
        <f ca="1">_xll.BDH($C$253,"GEO_GROW_EBITDA","FQ2 2016","FQ2 2016","Currency=INR","Period=FQ","BEST_FPERIOD_OVERRIDE=FQ","FILING_STATUS=OR","EQY_CONSOLIDATED=Y","FA_ADJUSTED=GAAP","Sort=A","Dates=H","DateFormat=P","Fill=—","Direction=H","UseDPDF=Y")</f>
        <v>#NAME?</v>
      </c>
      <c r="AO265" s="1" t="e">
        <f ca="1">_xll.BDH($C$253,"GEO_GROW_OPER_INC","FQ2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65" s="1" t="e">
        <f ca="1">_xll.BDH($C$253,"NET_INCOME_TO_COMMON_5_YR_GROWTH","FQ2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65" s="1" t="e">
        <f ca="1">_xll.BDH($C$253,"5Y_GEO_GROWTH_DILUTED_EPS","FQ2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65" s="1" t="e">
        <f ca="1">_xll.BDH($C$253,"GEO_GROW_DVD_PER_SH","FQ2 2016","FQ2 2016","Currency=INR","Period=FQ","BEST_FPERIOD_OVERRIDE=FQ","FILING_STATUS=OR","EQY_CONSOLIDATED=Y","Sort=A","Dates=H","DateFormat=P","Fill=—","Direction=H","UseDPDF=Y")</f>
        <v>#NAME?</v>
      </c>
      <c r="AS265" s="1" t="e">
        <f ca="1">_xll.BDH($C$253,"ACCOUNTS_RECEIVABLE_5_YR_GROWTH","FQ2 2016","FQ2 2016","Currency=INR","Period=FQ","BEST_FPERIOD_OVERRIDE=FQ","FILING_STATUS=OR","EQY_CONSOLIDATED=Y","Sort=A","Dates=H","DateFormat=P","Fill=—","Direction=H","UseDPDF=Y")</f>
        <v>#NAME?</v>
      </c>
      <c r="AT265" s="1" t="e">
        <f ca="1">_xll.BDH($C$253,"INVENTORY_5_YEAR_GROWTH","FQ2 2016","FQ2 2016","Currency=INR","Period=FQ","BEST_FPERIOD_OVERRIDE=FQ","FILING_STATUS=OR","EQY_CONSOLIDATED=Y","Sort=A","Dates=H","DateFormat=P","Fill=—","Direction=H","UseDPDF=Y")</f>
        <v>#NAME?</v>
      </c>
      <c r="AU265" s="1" t="e">
        <f ca="1">_xll.BDH($C$253,"NET_FIXED_ASSETS_5_YEAR_GROWTH","FQ2 2016","FQ2 2016","Currency=INR","Period=FQ","BEST_FPERIOD_OVERRIDE=FQ","FILING_STATUS=OR","EQY_CONSOLIDATED=Y","Sort=A","Dates=H","DateFormat=P","Fill=—","Direction=H","UseDPDF=Y")</f>
        <v>#NAME?</v>
      </c>
      <c r="AV265" s="1" t="e">
        <f ca="1">_xll.BDH($C$253,"GEO_GROW_TOT_ASSET","FQ2 2016","FQ2 2016","Currency=INR","Period=FQ","BEST_FPERIOD_OVERRIDE=FQ","FILING_STATUS=OR","EQY_CONSOLIDATED=Y","Sort=A","Dates=H","DateFormat=P","Fill=—","Direction=H","UseDPDF=Y")</f>
        <v>#NAME?</v>
      </c>
      <c r="AW265" s="1" t="e">
        <f ca="1">_xll.BDH($C$253,"MODIFIED_WORKING_CPTL_5YR_GRWTH","FQ2 2016","FQ2 2016","Currency=INR","Period=FQ","BEST_FPERIOD_OVERRIDE=FQ","FILING_STATUS=OR","EQY_CONSOLIDATED=Y","Sort=A","Dates=H","DateFormat=P","Fill=—","Direction=H","UseDPDF=Y")</f>
        <v>#NAME?</v>
      </c>
      <c r="AX265" s="1" t="e">
        <f ca="1">_xll.BDH($C$253,"WORKING_CAPITAL_5_YEAR_GROWTH","FQ2 2016","FQ2 2016","Currency=INR","Period=FQ","BEST_FPERIOD_OVERRIDE=FQ","FILING_STATUS=OR","EQY_CONSOLIDATED=Y","Sort=A","Dates=H","DateFormat=P","Fill=—","Direction=H","UseDPDF=Y")</f>
        <v>#NAME?</v>
      </c>
      <c r="AY265" s="1" t="e">
        <f ca="1">_xll.BDH($C$253,"ACCOUNTS_PAYABLE_5_YEAR_GROWTH","FQ2 2016","FQ2 2016","Currency=INR","Period=FQ","BEST_FPERIOD_OVERRIDE=FQ","FILING_STATUS=OR","EQY_CONSOLIDATED=Y","Sort=A","Dates=H","DateFormat=P","Fill=—","Direction=H","UseDPDF=Y")</f>
        <v>#NAME?</v>
      </c>
      <c r="AZ265" s="1" t="e">
        <f ca="1">_xll.BDH($C$253,"SHORT_TERM_DEBT_5_YEAR_GROWTH","FQ2 2016","FQ2 2016","Currency=INR","Period=FQ","BEST_FPERIOD_OVERRIDE=FQ","FILING_STATUS=OR","EQY_CONSOLIDATED=Y","Sort=A","Dates=H","DateFormat=P","Fill=—","Direction=H","UseDPDF=Y")</f>
        <v>#NAME?</v>
      </c>
      <c r="BA265" s="1" t="e">
        <f ca="1">_xll.BDH($C$253,"TOTAL_DEBT_5_YEAR_GROWTH","FQ2 2016","FQ2 2016","Currency=INR","Period=FQ","BEST_FPERIOD_OVERRIDE=FQ","FILING_STATUS=OR","EQY_CONSOLIDATED=Y","Sort=A","Dates=H","DateFormat=P","Fill=—","Direction=H","UseDPDF=Y")</f>
        <v>#NAME?</v>
      </c>
      <c r="BB265" s="1" t="e">
        <f ca="1">_xll.BDH($C$253,"GEO_GROW_TOT_SHRHLDR_EQY","FQ2 2016","FQ2 2016","Currency=INR","Period=FQ","BEST_FPERIOD_OVERRIDE=FQ","FILING_STATUS=OR","EQY_CONSOLIDATED=Y","Sort=A","Dates=H","DateFormat=P","Fill=—","Direction=H","UseDPDF=Y")</f>
        <v>#NAME?</v>
      </c>
      <c r="BC265" s="1" t="e">
        <f ca="1">_xll.BDH($C$253,"TOTAL_CAPITAL_5_YEAR_GROWTH","FQ2 2016","FQ2 2016","Currency=INR","Period=FQ","BEST_FPERIOD_OVERRIDE=FQ","FILING_STATUS=OR","EQY_CONSOLIDATED=Y","Sort=A","Dates=H","DateFormat=P","Fill=—","Direction=H","UseDPDF=Y")</f>
        <v>#NAME?</v>
      </c>
      <c r="BD265" s="1" t="e">
        <f ca="1">_xll.BDH($C$253,"GEO_GROW_BOOK_VAL","FQ2 2016","FQ2 2016","Currency=INR","Period=FQ","BEST_FPERIOD_OVERRIDE=FQ","FILING_STATUS=OR","EQY_CONSOLIDATED=Y","Sort=A","Dates=H","DateFormat=P","Fill=—","Direction=H","UseDPDF=Y")</f>
        <v>#NAME?</v>
      </c>
      <c r="BE265" s="1" t="e">
        <f ca="1">_xll.BDH($C$253,"GEO_GROW_CASH_OPER_ACT","FQ2 2016","FQ2 2016","Currency=INR","Period=FQ","BEST_FPERIOD_OVERRIDE=FQ","FILING_STATUS=OR","EQY_CONSOLIDATED=Y","Sort=A","Dates=H","DateFormat=P","Fill=—","Direction=H","UseDPDF=Y")</f>
        <v>#NAME?</v>
      </c>
      <c r="BF265" s="1" t="e">
        <f ca="1">_xll.BDH($C$253,"REVENUE_SEQUENTIAL_GROWTH","FQ2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65" s="1" t="e">
        <f ca="1">_xll.BDH($C$253,"EBITDA_SEQUENTIAL_GROWTH","FQ2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65" s="1" t="e">
        <f ca="1">_xll.BDH($C$253,"OPERATING_INCOME_SEQ_GROWTH","FQ2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65" s="1" t="e">
        <f ca="1">_xll.BDH($C$253,"NET_INCOME_TO_COMMON_SEQ_GROWTH","FQ2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65" s="1" t="e">
        <f ca="1">_xll.BDH($C$253,"EPS_DILUTED_SEQUENTIAL_GROWTH","FQ2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65" s="1" t="e">
        <f ca="1">_xll.BDH($C$253,"DPS_SEQUENTIAL_GROWTH","FQ2 2016","FQ2 2016","Currency=INR","Period=FQ","BEST_FPERIOD_OVERRIDE=FQ","FILING_STATUS=OR","EQY_CONSOLIDATED=Y","Sort=A","Dates=H","DateFormat=P","Fill=—","Direction=H","UseDPDF=Y")</f>
        <v>#NAME?</v>
      </c>
      <c r="BL265" s="1" t="e">
        <f ca="1">_xll.BDH($C$253,"ACCOUNTS_RECEIVABLE_SEQ_GROWTH","FQ2 2016","FQ2 2016","Currency=INR","Period=FQ","BEST_FPERIOD_OVERRIDE=FQ","FILING_STATUS=OR","EQY_CONSOLIDATED=Y","Sort=A","Dates=H","DateFormat=P","Fill=—","Direction=H","UseDPDF=Y")</f>
        <v>#NAME?</v>
      </c>
      <c r="BM265" s="1" t="e">
        <f ca="1">_xll.BDH($C$253,"INVENTORY_SEQUENTIAL_GROWTH","FQ2 2016","FQ2 2016","Currency=INR","Period=FQ","BEST_FPERIOD_OVERRIDE=FQ","FILING_STATUS=OR","EQY_CONSOLIDATED=Y","Sort=A","Dates=H","DateFormat=P","Fill=—","Direction=H","UseDPDF=Y")</f>
        <v>#NAME?</v>
      </c>
      <c r="BN265" s="1" t="e">
        <f ca="1">_xll.BDH($C$253,"FIXED_ASSETS_SEQUENTIAL_GROWTH","FQ2 2016","FQ2 2016","Currency=INR","Period=FQ","BEST_FPERIOD_OVERRIDE=FQ","FILING_STATUS=OR","EQY_CONSOLIDATED=Y","Sort=A","Dates=H","DateFormat=P","Fill=—","Direction=H","UseDPDF=Y")</f>
        <v>#NAME?</v>
      </c>
      <c r="BO265" s="1" t="e">
        <f ca="1">_xll.BDH($C$253,"TOTAL_ASSETS_SEQUENTIAL_GROWTH","FQ2 2016","FQ2 2016","Currency=INR","Period=FQ","BEST_FPERIOD_OVERRIDE=FQ","FILING_STATUS=OR","EQY_CONSOLIDATED=Y","Sort=A","Dates=H","DateFormat=P","Fill=—","Direction=H","UseDPDF=Y")</f>
        <v>#NAME?</v>
      </c>
      <c r="BP265" s="1" t="e">
        <f ca="1">_xll.BDH($C$253,"MODIFIED_WORKING_CPTL_SEQ_GRWTH","FQ2 2016","FQ2 2016","Currency=INR","Period=FQ","BEST_FPERIOD_OVERRIDE=FQ","FILING_STATUS=OR","EQY_CONSOLIDATED=Y","Sort=A","Dates=H","DateFormat=P","Fill=—","Direction=H","UseDPDF=Y")</f>
        <v>#NAME?</v>
      </c>
      <c r="BQ265" s="1" t="e">
        <f ca="1">_xll.BDH($C$253,"WORKING_CAPITAL_SEQ_GROWTH","FQ2 2016","FQ2 2016","Currency=INR","Period=FQ","BEST_FPERIOD_OVERRIDE=FQ","FILING_STATUS=OR","EQY_CONSOLIDATED=Y","Sort=A","Dates=H","DateFormat=P","Fill=—","Direction=H","UseDPDF=Y")</f>
        <v>#NAME?</v>
      </c>
      <c r="BR265" s="1" t="e">
        <f ca="1">_xll.BDH($C$253,"ACCOUNTS_PAYABLE_SEQ_GROWTH","FQ2 2016","FQ2 2016","Currency=INR","Period=FQ","BEST_FPERIOD_OVERRIDE=FQ","FILING_STATUS=OR","EQY_CONSOLIDATED=Y","Sort=A","Dates=H","DateFormat=P","Fill=—","Direction=H","UseDPDF=Y")</f>
        <v>#NAME?</v>
      </c>
      <c r="BS265" s="1" t="e">
        <f ca="1">_xll.BDH($C$253,"ST_DEBT_SEQUENTIAL_GROWTH","FQ2 2016","FQ2 2016","Currency=INR","Period=FQ","BEST_FPERIOD_OVERRIDE=FQ","FILING_STATUS=OR","EQY_CONSOLIDATED=Y","Sort=A","Dates=H","DateFormat=P","Fill=—","Direction=H","UseDPDF=Y")</f>
        <v>#NAME?</v>
      </c>
      <c r="BT265" s="1" t="e">
        <f ca="1">_xll.BDH($C$253,"TOTAL_DEBT_SEQUENTIAL_GROWTH","FQ2 2016","FQ2 2016","Currency=INR","Period=FQ","BEST_FPERIOD_OVERRIDE=FQ","FILING_STATUS=OR","EQY_CONSOLIDATED=Y","Sort=A","Dates=H","DateFormat=P","Fill=—","Direction=H","UseDPDF=Y")</f>
        <v>#NAME?</v>
      </c>
      <c r="BU265" s="1" t="e">
        <f ca="1">_xll.BDH($C$253,"TOTAL_EQUITY_SEQUENTIAL_GROWTH","FQ2 2016","FQ2 2016","Currency=INR","Period=FQ","BEST_FPERIOD_OVERRIDE=FQ","FILING_STATUS=OR","EQY_CONSOLIDATED=Y","Sort=A","Dates=H","DateFormat=P","Fill=—","Direction=H","UseDPDF=Y")</f>
        <v>#NAME?</v>
      </c>
      <c r="BV265" s="1" t="e">
        <f ca="1">_xll.BDH($C$253,"TOTAL_CAPITAL_SEQUENTIAL_GROWTH","FQ2 2016","FQ2 2016","Currency=INR","Period=FQ","BEST_FPERIOD_OVERRIDE=FQ","FILING_STATUS=OR","EQY_CONSOLIDATED=Y","Sort=A","Dates=H","DateFormat=P","Fill=—","Direction=H","UseDPDF=Y")</f>
        <v>#NAME?</v>
      </c>
      <c r="BW265" s="1" t="e">
        <f ca="1">_xll.BDH($C$253,"BPS_SEQUENTIAL_GROWTH","FQ2 2016","FQ2 2016","Currency=INR","Period=FQ","BEST_FPERIOD_OVERRIDE=FQ","FILING_STATUS=OR","EQY_CONSOLIDATED=Y","Sort=A","Dates=H","DateFormat=P","Fill=—","Direction=H","UseDPDF=Y")</f>
        <v>#NAME?</v>
      </c>
      <c r="BX265" s="1" t="e">
        <f ca="1">_xll.BDH($C$253,"CFO_SEQUENTIAL_GROWTH","FQ2 2016","FQ2 2016","Currency=INR","Period=FQ","BEST_FPERIOD_OVERRIDE=FQ","FILING_STATUS=OR","EQY_CONSOLIDATED=Y","Sort=A","Dates=H","DateFormat=P","Fill=—","Direction=H","UseDPDF=Y")</f>
        <v>#NAME?</v>
      </c>
      <c r="BY265" s="2" t="e">
        <f ca="1">_xll.BDH($C$253,"SHORT_AND_LONG_TERM_DEBT","FQ2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65" s="2" t="e">
        <f ca="1">_xll.BDH($C$253,"BS_ST_BORROW","FQ2 2016","FQ2 2016","Currency=INR","Period=FQ","BEST_FPERIOD_OVERRIDE=FQ","FILING_STATUS=OR","EQY_CONSOLIDATED=Y","SCALING_FORMAT=MLN","Sort=A","Dates=H","DateFormat=P","Fill=—","Direction=H","UseDPDF=Y")</f>
        <v>#NAME?</v>
      </c>
      <c r="CA265" s="2" t="e">
        <f ca="1">_xll.BDH($C$253,"BS_LT_BORROW","FQ2 2016","FQ2 2016","Currency=INR","Period=FQ","BEST_FPERIOD_OVERRIDE=FQ","FILING_STATUS=OR","EQY_CONSOLIDATED=Y","SCALING_FORMAT=MLN","Sort=A","Dates=H","DateFormat=P","Fill=—","Direction=H","UseDPDF=Y")</f>
        <v>#NAME?</v>
      </c>
      <c r="CB265" s="1" t="e">
        <f ca="1">_xll.BDH($C$253,"TOT_DEBT_TO_EBITDA","FQ2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65" s="1" t="e">
        <f ca="1">_xll.BDH($C$253,"NET_DEBT_TO_EBITDA","FQ2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65" s="1" t="e">
        <f ca="1">_xll.BDH($C$253,"TOTAL_DEBT_TO_EBIT","FQ2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65" s="1" t="e">
        <f ca="1">_xll.BDH($C$253,"NET_DEBT_TO_EBIT","FQ2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265" s="1" t="e">
        <f ca="1">_xll.BDH($C$253,"EBITDA_TO_INTEREST_EXPN","FQ2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65" s="1" t="e">
        <f ca="1">_xll.BDH($C$253,"COM_EQY_TO_TOT_ASSET","FQ2 2016","FQ2 2016","Currency=INR","Period=FQ","BEST_FPERIOD_OVERRIDE=FQ","FILING_STATUS=OR","EQY_CONSOLIDATED=Y","Sort=A","Dates=H","DateFormat=P","Fill=—","Direction=H","UseDPDF=Y")</f>
        <v>#NAME?</v>
      </c>
      <c r="CH265" s="1" t="e">
        <f ca="1">_xll.BDH($C$253,"LT_DEBT_TO_TOT_EQY","FQ2 2016","FQ2 2016","Currency=INR","Period=FQ","BEST_FPERIOD_OVERRIDE=FQ","FILING_STATUS=OR","EQY_CONSOLIDATED=Y","Sort=A","Dates=H","DateFormat=P","Fill=—","Direction=H","UseDPDF=Y")</f>
        <v>#NAME?</v>
      </c>
      <c r="CI265" s="1" t="e">
        <f ca="1">_xll.BDH($C$253,"LT_DEBT_TO_TOT_CAP","FQ2 2016","FQ2 2016","Currency=INR","Period=FQ","BEST_FPERIOD_OVERRIDE=FQ","FILING_STATUS=OR","EQY_CONSOLIDATED=Y","Sort=A","Dates=H","DateFormat=P","Fill=—","Direction=H","UseDPDF=Y")</f>
        <v>#NAME?</v>
      </c>
      <c r="CJ265" s="1" t="e">
        <f ca="1">_xll.BDH($C$253,"LT_DEBT_TO_TOT_ASSET","FQ2 2016","FQ2 2016","Currency=INR","Period=FQ","BEST_FPERIOD_OVERRIDE=FQ","FILING_STATUS=OR","EQY_CONSOLIDATED=Y","Sort=A","Dates=H","DateFormat=P","Fill=—","Direction=H","UseDPDF=Y")</f>
        <v>#NAME?</v>
      </c>
      <c r="CK265" s="1" t="e">
        <f ca="1">_xll.BDH($C$253,"TOT_DEBT_TO_TOT_EQY","FQ2 2016","FQ2 2016","Currency=INR","Period=FQ","BEST_FPERIOD_OVERRIDE=FQ","FILING_STATUS=OR","EQY_CONSOLIDATED=Y","Sort=A","Dates=H","DateFormat=P","Fill=—","Direction=H","UseDPDF=Y")</f>
        <v>#NAME?</v>
      </c>
      <c r="CL265" s="1" t="e">
        <f ca="1">_xll.BDH($C$253,"TOT_DEBT_TO_TOT_CAP","FQ2 2016","FQ2 2016","Currency=INR","Period=FQ","BEST_FPERIOD_OVERRIDE=FQ","FILING_STATUS=OR","EQY_CONSOLIDATED=Y","Sort=A","Dates=H","DateFormat=P","Fill=—","Direction=H","UseDPDF=Y")</f>
        <v>#NAME?</v>
      </c>
      <c r="CM265" s="1" t="e">
        <f ca="1">_xll.BDH($C$253,"TOT_DEBT_TO_TOT_ASSET","FQ2 2016","FQ2 2016","Currency=INR","Period=FQ","BEST_FPERIOD_OVERRIDE=FQ","FILING_STATUS=OR","EQY_CONSOLIDATED=Y","Sort=A","Dates=H","DateFormat=P","Fill=—","Direction=H","UseDPDF=Y")</f>
        <v>#NAME?</v>
      </c>
      <c r="CN265" s="1" t="e">
        <f ca="1">_xll.BDH($C$253,"NET_DEBT_TO_SHRHLDR_EQTY","FQ2 2016","FQ2 2016","Currency=INR","Period=FQ","BEST_FPERIOD_OVERRIDE=FQ","FILING_STATUS=OR","EQY_CONSOLIDATED=Y","Sort=A","Dates=H","DateFormat=P","Fill=—","Direction=H","UseDPDF=Y")</f>
        <v>#NAME?</v>
      </c>
      <c r="CO265" s="1" t="e">
        <f ca="1">_xll.BDH($C$253,"NET_DEBT_%_CAPITAL","FQ2 2016","FQ2 2016","Currency=INR","Period=FQ","BEST_FPERIOD_OVERRIDE=FQ","FILING_STATUS=OR","EQY_CONSOLIDATED=Y","Sort=A","Dates=H","DateFormat=P","Fill=—","Direction=H","UseDPDF=Y")</f>
        <v>#NAME?</v>
      </c>
      <c r="CP265" s="2" t="e">
        <f ca="1">_xll.BDH($C$253,"EBITDA","FQ2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65" s="2" t="e">
        <f ca="1">_xll.BDH($C$253,"EBITDA_AFTER_CAPEX","FQ2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65" s="2" t="e">
        <f ca="1">_xll.BDH($C$253,"IS_OPER_INC","FQ2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65" s="1" t="e">
        <f ca="1">_xll.BDH($C$253,"CASH_RATIO","FQ2 2016","FQ2 2016","Currency=INR","Period=FQ","BEST_FPERIOD_OVERRIDE=FQ","FILING_STATUS=OR","EQY_CONSOLIDATED=Y","Sort=A","Dates=H","DateFormat=P","Fill=—","Direction=H","UseDPDF=Y")</f>
        <v>#NAME?</v>
      </c>
      <c r="CT265" s="1" t="e">
        <f ca="1">_xll.BDH($C$253,"CUR_RATIO","FQ2 2016","FQ2 2016","Currency=INR","Period=FQ","BEST_FPERIOD_OVERRIDE=FQ","FILING_STATUS=OR","EQY_CONSOLIDATED=Y","Sort=A","Dates=H","DateFormat=P","Fill=—","Direction=H","UseDPDF=Y")</f>
        <v>#NAME?</v>
      </c>
      <c r="CU265" s="1" t="e">
        <f ca="1">_xll.BDH($C$253,"QUICK_RATIO","FQ2 2016","FQ2 2016","Currency=INR","Period=FQ","BEST_FPERIOD_OVERRIDE=FQ","FILING_STATUS=OR","EQY_CONSOLIDATED=Y","Sort=A","Dates=H","DateFormat=P","Fill=—","Direction=H","UseDPDF=Y")</f>
        <v>#NAME?</v>
      </c>
      <c r="CV265" s="1" t="e">
        <f ca="1">_xll.BDH($C$253,"ALTMAN_Z_SCORE","FQ2 2016","FQ2 2016","Currency=INR","Period=FQ","BEST_FPERIOD_OVERRIDE=FQ","FILING_STATUS=OR","EQY_CONSOLIDATED=Y","Sort=A","Dates=H","DateFormat=P","Fill=—","Direction=H","UseDPDF=Y")</f>
        <v>#NAME?</v>
      </c>
      <c r="CW265" s="3" t="e">
        <f ca="1">_xll.BDH($C$253,"ACCT_RCV_TURN","FQ2 2016","FQ2 2016","Currency=INR","Period=FQ","BEST_FPERIOD_OVERRIDE=FQ","FILING_STATUS=OR","EQY_CONSOLIDATED=Y","FA_ADJUSTED=GAAP","Sort=A","Dates=H","DateFormat=P","Fill=—","Direction=H","UseDPDF=Y")</f>
        <v>#NAME?</v>
      </c>
      <c r="CX265" s="1" t="e">
        <f ca="1">_xll.BDH($C$253,"ACCT_RCV_DAYS","FQ2 2016","FQ2 2016","Currency=INR","Period=FQ","BEST_FPERIOD_OVERRIDE=FQ","FILING_STATUS=OR","EQY_CONSOLIDATED=Y","FA_ADJUSTED=GAAP","Sort=A","Dates=H","DateFormat=P","Fill=—","Direction=H","UseDPDF=Y")</f>
        <v>#NAME?</v>
      </c>
      <c r="CY265" s="3" t="e">
        <f ca="1">_xll.BDH($C$253,"INVENT_TURN","FQ2 2016","FQ2 2016","Currency=INR","Period=FQ","BEST_FPERIOD_OVERRIDE=FQ","FILING_STATUS=OR","EQY_CONSOLIDATED=Y","FA_ADJUSTED=GAAP","Sort=A","Dates=H","DateFormat=P","Fill=—","Direction=H","UseDPDF=Y")</f>
        <v>#NAME?</v>
      </c>
      <c r="CZ265" s="1" t="e">
        <f ca="1">_xll.BDH($C$253,"INVENT_DAYS","FQ2 2016","FQ2 2016","Currency=INR","Period=FQ","BEST_FPERIOD_OVERRIDE=FQ","FILING_STATUS=OR","EQY_CONSOLIDATED=Y","FA_ADJUSTED=GAAP","Sort=A","Dates=H","DateFormat=P","Fill=—","Direction=H","UseDPDF=Y")</f>
        <v>#NAME?</v>
      </c>
      <c r="DA265" s="3" t="e">
        <f ca="1">_xll.BDH($C$253,"ACCOUNTS_PAYABLE_TURNOVER","FQ2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65" s="1" t="e">
        <f ca="1">_xll.BDH($C$253,"ACCOUNTS_PAYABLE_TURNOVER_DAYS","FQ2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65" s="3" t="e">
        <f ca="1">_xll.BDH($C$253,"CASH_CONVERSION_CYCLE","FQ2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65" s="3" t="e">
        <f ca="1">_xll.BDH($C$253,"INV_TO_CASH_DAYS","FQ2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265" s="4" t="e">
        <f ca="1">_xll.BDH($C$253,"BS_INVENTORIES","FQ2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265" s="2" t="e">
        <f ca="1">_xll.BDH($C$253,"INVTRY_RAW_MATERIALS","FQ2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65" s="2" t="e">
        <f ca="1">_xll.BDH($C$253,"INVTRY_IN_PROGRESS","FQ2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65" s="2" t="e">
        <f ca="1">_xll.BDH($C$253,"INVTRY_FINISHED_GOODS","FQ2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65" s="2" t="e">
        <f ca="1">_xll.BDH($C$253,"BS_OTHER_INV","FQ2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66" spans="1:113" x14ac:dyDescent="0.3">
      <c r="A266" s="6"/>
      <c r="B266" s="6"/>
      <c r="C266" s="6"/>
      <c r="D266" s="6"/>
      <c r="E266" t="s">
        <v>6</v>
      </c>
      <c r="F266" t="e">
        <f ca="1">_xll.BDH($C$253,"RETURN_COM_EQY","FQ3 2016","FQ3 2016","Currency=INR","Period=FQ","BEST_FPERIOD_OVERRIDE=FQ","FILING_STATUS=OR","EQY_CONSOLIDATED=Y","FA_ADJUSTED=GAAP","Sort=A","Dates=H","DateFormat=P","Fill=—","Direction=H","UseDPDF=Y")</f>
        <v>#NAME?</v>
      </c>
      <c r="G266" t="e">
        <f ca="1">_xll.BDH($C$253,"RETURN_ON_ASSET","FQ3 2016","FQ3 2016","Currency=INR","Period=FQ","BEST_FPERIOD_OVERRIDE=FQ","FILING_STATUS=OR","EQY_CONSOLIDATED=Y","FA_ADJUSTED=GAAP","Sort=A","Dates=H","DateFormat=P","Fill=—","Direction=H","UseDPDF=Y")</f>
        <v>#NAME?</v>
      </c>
      <c r="H266" t="e">
        <f ca="1">_xll.BDH($C$253,"RETURN_ON_CAP","FQ3 2016","FQ3 2016","Currency=INR","Period=FQ","BEST_FPERIOD_OVERRIDE=FQ","FILING_STATUS=OR","EQY_CONSOLIDATED=Y","FA_ADJUSTED=GAAP","Sort=A","Dates=H","DateFormat=P","Fill=—","Direction=H","UseDPDF=Y")</f>
        <v>#NAME?</v>
      </c>
      <c r="I266" t="e">
        <f ca="1">_xll.BDH($C$253,"RETURN_ON_INV_CAPITAL","FQ3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66" t="e">
        <f ca="1">_xll.BDH($C$253,"EBITDA_TO_REVENUE","FQ3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266" t="e">
        <f ca="1">_xll.BDH($C$253,"OPER_MARGIN","FQ3 2016","FQ3 2016","Currency=INR","Period=FQ","BEST_FPERIOD_OVERRIDE=FQ","FILING_STATUS=OR","EQY_CONSOLIDATED=Y","FA_ADJUSTED=GAAP","Sort=A","Dates=H","DateFormat=P","Fill=—","Direction=H","UseDPDF=Y")</f>
        <v>#NAME?</v>
      </c>
      <c r="L266" t="e">
        <f ca="1">_xll.BDH($C$253,"INCREMENTAL_OPERATING_MARGIN","FQ3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66" t="e">
        <f ca="1">_xll.BDH($C$253,"PRETAX_INC_TO_NET_SALES","FQ3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66" t="e">
        <f ca="1">_xll.BDH($C$253,"INC_BEF_XO_ITEMS_TO_NET_SALES","FQ3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66" t="e">
        <f ca="1">_xll.BDH($C$253,"PROF_MARGIN","FQ3 2016","FQ3 2016","Currency=INR","Period=FQ","BEST_FPERIOD_OVERRIDE=FQ","FILING_STATUS=OR","EQY_CONSOLIDATED=Y","FA_ADJUSTED=GAAP","Sort=A","Dates=H","DateFormat=P","Fill=—","Direction=H","UseDPDF=Y")</f>
        <v>#NAME?</v>
      </c>
      <c r="P266" t="e">
        <f ca="1">_xll.BDH($C$253,"NET_INCOME_TO_COMMON_MARGIN","FQ3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66" t="e">
        <f ca="1">_xll.BDH($C$253,"EFF_TAX_RATE","FQ3 2016","FQ3 2016","Currency=INR","Period=FQ","BEST_FPERIOD_OVERRIDE=FQ","FILING_STATUS=OR","EQY_CONSOLIDATED=Y","FA_ADJUSTED=GAAP","Sort=A","Dates=H","DateFormat=P","Fill=—","Direction=H","UseDPDF=Y")</f>
        <v>#NAME?</v>
      </c>
      <c r="R266" t="e">
        <f ca="1">_xll.BDH($C$253,"DVD_PAYOUT_RATIO","FQ3 2016","FQ3 2016","Currency=INR","Period=FQ","BEST_FPERIOD_OVERRIDE=FQ","FILING_STATUS=OR","EQY_CONSOLIDATED=Y","FA_ADJUSTED=GAAP","Sort=A","Dates=H","DateFormat=P","Fill=—","Direction=H","UseDPDF=Y")</f>
        <v>#NAME?</v>
      </c>
      <c r="S266" t="e">
        <f ca="1">_xll.BDH($C$253,"SUSTAIN_GROWTH_RT","FQ3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266" s="1" t="e">
        <f ca="1">_xll.BDH($C$253,"SALES_GROWTH","FQ3 2016","FQ3 2016","Currency=INR","Period=FQ","BEST_FPERIOD_OVERRIDE=FQ","FILING_STATUS=OR","EQY_CONSOLIDATED=Y","FA_ADJUSTED=GAAP","Sort=A","Dates=H","DateFormat=P","Fill=—","Direction=H","UseDPDF=Y")</f>
        <v>#NAME?</v>
      </c>
      <c r="U266" s="1" t="e">
        <f ca="1">_xll.BDH($C$253,"EBITDA_GROWTH","FQ3 2016","FQ3 2016","Currency=INR","Period=FQ","BEST_FPERIOD_OVERRIDE=FQ","FILING_STATUS=OR","EQY_CONSOLIDATED=Y","FA_ADJUSTED=GAAP","Sort=A","Dates=H","DateFormat=P","Fill=—","Direction=H","UseDPDF=Y")</f>
        <v>#NAME?</v>
      </c>
      <c r="V266" s="1" t="e">
        <f ca="1">_xll.BDH($C$253,"OPER_INC_GROWTH","FQ3 2016","FQ3 2016","Currency=INR","Period=FQ","BEST_FPERIOD_OVERRIDE=FQ","FILING_STATUS=OR","EQY_CONSOLIDATED=Y","FA_ADJUSTED=GAAP","Sort=A","Dates=H","DateFormat=P","Fill=—","Direction=H","UseDPDF=Y")</f>
        <v>#NAME?</v>
      </c>
      <c r="W266" s="1" t="e">
        <f ca="1">_xll.BDH($C$253,"EARN_FOR_COM_GROWTH","FQ3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66" s="1" t="e">
        <f ca="1">_xll.BDH($C$253,"DILUTED_EPS_AFT_XO_ITEMS_GROWTH","FQ3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66" s="1" t="e">
        <f ca="1">_xll.BDH($C$253,"DIVIDEND_PER_SHARE_1_YEAR_GROWTH","FQ3 2016","FQ3 2016","Currency=INR","Period=FQ","BEST_FPERIOD_OVERRIDE=FQ","FILING_STATUS=OR","EQY_CONSOLIDATED=Y","Sort=A","Dates=H","DateFormat=P","Fill=—","Direction=H","UseDPDF=Y")</f>
        <v>#NAME?</v>
      </c>
      <c r="Z266" s="1" t="e">
        <f ca="1">_xll.BDH($C$253,"ACCOUNTS_RECEIVABLE_GROWTH","FQ3 2016","FQ3 2016","Currency=INR","Period=FQ","BEST_FPERIOD_OVERRIDE=FQ","FILING_STATUS=OR","EQY_CONSOLIDATED=Y","Sort=A","Dates=H","DateFormat=P","Fill=—","Direction=H","UseDPDF=Y")</f>
        <v>#NAME?</v>
      </c>
      <c r="AA266" s="1" t="e">
        <f ca="1">_xll.BDH($C$253,"INVENTORY_GROWTH","FQ3 2016","FQ3 2016","Currency=INR","Period=FQ","BEST_FPERIOD_OVERRIDE=FQ","FILING_STATUS=OR","EQY_CONSOLIDATED=Y","Sort=A","Dates=H","DateFormat=P","Fill=—","Direction=H","UseDPDF=Y")</f>
        <v>#NAME?</v>
      </c>
      <c r="AB266" s="1" t="e">
        <f ca="1">_xll.BDH($C$253,"NET_FIXED_ASSETS_1_YEAR_GROWTH","FQ3 2016","FQ3 2016","Currency=INR","Period=FQ","BEST_FPERIOD_OVERRIDE=FQ","FILING_STATUS=OR","EQY_CONSOLIDATED=Y","Sort=A","Dates=H","DateFormat=P","Fill=—","Direction=H","UseDPDF=Y")</f>
        <v>#NAME?</v>
      </c>
      <c r="AC266" s="1" t="e">
        <f ca="1">_xll.BDH($C$253,"ASSET_GROWTH","FQ3 2016","FQ3 2016","Currency=INR","Period=FQ","BEST_FPERIOD_OVERRIDE=FQ","FILING_STATUS=OR","EQY_CONSOLIDATED=Y","Sort=A","Dates=H","DateFormat=P","Fill=—","Direction=H","UseDPDF=Y")</f>
        <v>#NAME?</v>
      </c>
      <c r="AD266" s="1" t="e">
        <f ca="1">_xll.BDH($C$253,"MODIFIED_WORK_CAP_GROWTH","FQ3 2016","FQ3 2016","Currency=INR","Period=FQ","BEST_FPERIOD_OVERRIDE=FQ","FILING_STATUS=OR","EQY_CONSOLIDATED=Y","Sort=A","Dates=H","DateFormat=P","Fill=—","Direction=H","UseDPDF=Y")</f>
        <v>#NAME?</v>
      </c>
      <c r="AE266" s="1" t="e">
        <f ca="1">_xll.BDH($C$253,"WORK_CAP_GROWTH","FQ3 2016","FQ3 2016","Currency=INR","Period=FQ","BEST_FPERIOD_OVERRIDE=FQ","FILING_STATUS=OR","EQY_CONSOLIDATED=Y","Sort=A","Dates=H","DateFormat=P","Fill=—","Direction=H","UseDPDF=Y")</f>
        <v>#NAME?</v>
      </c>
      <c r="AF266" s="1" t="e">
        <f ca="1">_xll.BDH($C$253,"ACCOUNTS_PAYABLE_GROWTH_1YR","FQ3 2016","FQ3 2016","Currency=INR","Period=FQ","BEST_FPERIOD_OVERRIDE=FQ","FILING_STATUS=OR","EQY_CONSOLIDATED=Y","Sort=A","Dates=H","DateFormat=P","Fill=—","Direction=H","UseDPDF=Y")</f>
        <v>#NAME?</v>
      </c>
      <c r="AG266" s="1" t="e">
        <f ca="1">_xll.BDH($C$253,"SHORT_TERM_DEBT_1_YEAR_GROWTH","FQ3 2016","FQ3 2016","Currency=INR","Period=FQ","BEST_FPERIOD_OVERRIDE=FQ","FILING_STATUS=OR","EQY_CONSOLIDATED=Y","Sort=A","Dates=H","DateFormat=P","Fill=—","Direction=H","UseDPDF=Y")</f>
        <v>#NAME?</v>
      </c>
      <c r="AH266" s="1" t="e">
        <f ca="1">_xll.BDH($C$253,"TOTAL_DEBT_1_YEAR_GROWTH","FQ3 2016","FQ3 2016","Currency=INR","Period=FQ","BEST_FPERIOD_OVERRIDE=FQ","FILING_STATUS=OR","EQY_CONSOLIDATED=Y","Sort=A","Dates=H","DateFormat=P","Fill=—","Direction=H","UseDPDF=Y")</f>
        <v>#NAME?</v>
      </c>
      <c r="AI266" s="1" t="e">
        <f ca="1">_xll.BDH($C$253,"TOTAL_EQUITY_1_YEAR_GROWTH","FQ3 2016","FQ3 2016","Currency=INR","Period=FQ","BEST_FPERIOD_OVERRIDE=FQ","FILING_STATUS=OR","EQY_CONSOLIDATED=Y","Sort=A","Dates=H","DateFormat=P","Fill=—","Direction=H","UseDPDF=Y")</f>
        <v>#NAME?</v>
      </c>
      <c r="AJ266" s="1" t="e">
        <f ca="1">_xll.BDH($C$253,"GROWTH_IN_CAP","FQ3 2016","FQ3 2016","Currency=INR","Period=FQ","BEST_FPERIOD_OVERRIDE=FQ","FILING_STATUS=OR","EQY_CONSOLIDATED=Y","Sort=A","Dates=H","DateFormat=P","Fill=—","Direction=H","UseDPDF=Y")</f>
        <v>#NAME?</v>
      </c>
      <c r="AK266" s="1" t="e">
        <f ca="1">_xll.BDH($C$253,"BVPS_GROWTH","FQ3 2016","FQ3 2016","Currency=INR","Period=FQ","BEST_FPERIOD_OVERRIDE=FQ","FILING_STATUS=OR","EQY_CONSOLIDATED=Y","Sort=A","Dates=H","DateFormat=P","Fill=—","Direction=H","UseDPDF=Y")</f>
        <v>#NAME?</v>
      </c>
      <c r="AL266" s="1" t="e">
        <f ca="1">_xll.BDH($C$253,"CASH_FLOW_GROWTH","FQ3 2016","FQ3 2016","Currency=INR","Period=FQ","BEST_FPERIOD_OVERRIDE=FQ","FILING_STATUS=OR","EQY_CONSOLIDATED=Y","Sort=A","Dates=H","DateFormat=P","Fill=—","Direction=H","UseDPDF=Y")</f>
        <v>#NAME?</v>
      </c>
      <c r="AM266" s="1" t="e">
        <f ca="1">_xll.BDH($C$253,"GEO_GROW_NET_SALES","FQ3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66" s="1" t="e">
        <f ca="1">_xll.BDH($C$253,"GEO_GROW_EBITDA","FQ3 2016","FQ3 2016","Currency=INR","Period=FQ","BEST_FPERIOD_OVERRIDE=FQ","FILING_STATUS=OR","EQY_CONSOLIDATED=Y","FA_ADJUSTED=GAAP","Sort=A","Dates=H","DateFormat=P","Fill=—","Direction=H","UseDPDF=Y")</f>
        <v>#NAME?</v>
      </c>
      <c r="AO266" s="1" t="e">
        <f ca="1">_xll.BDH($C$253,"GEO_GROW_OPER_INC","FQ3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66" s="1" t="e">
        <f ca="1">_xll.BDH($C$253,"NET_INCOME_TO_COMMON_5_YR_GROWTH","FQ3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66" s="1" t="e">
        <f ca="1">_xll.BDH($C$253,"5Y_GEO_GROWTH_DILUTED_EPS","FQ3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66" s="1" t="e">
        <f ca="1">_xll.BDH($C$253,"GEO_GROW_DVD_PER_SH","FQ3 2016","FQ3 2016","Currency=INR","Period=FQ","BEST_FPERIOD_OVERRIDE=FQ","FILING_STATUS=OR","EQY_CONSOLIDATED=Y","Sort=A","Dates=H","DateFormat=P","Fill=—","Direction=H","UseDPDF=Y")</f>
        <v>#NAME?</v>
      </c>
      <c r="AS266" s="1" t="e">
        <f ca="1">_xll.BDH($C$253,"ACCOUNTS_RECEIVABLE_5_YR_GROWTH","FQ3 2016","FQ3 2016","Currency=INR","Period=FQ","BEST_FPERIOD_OVERRIDE=FQ","FILING_STATUS=OR","EQY_CONSOLIDATED=Y","Sort=A","Dates=H","DateFormat=P","Fill=—","Direction=H","UseDPDF=Y")</f>
        <v>#NAME?</v>
      </c>
      <c r="AT266" s="1" t="e">
        <f ca="1">_xll.BDH($C$253,"INVENTORY_5_YEAR_GROWTH","FQ3 2016","FQ3 2016","Currency=INR","Period=FQ","BEST_FPERIOD_OVERRIDE=FQ","FILING_STATUS=OR","EQY_CONSOLIDATED=Y","Sort=A","Dates=H","DateFormat=P","Fill=—","Direction=H","UseDPDF=Y")</f>
        <v>#NAME?</v>
      </c>
      <c r="AU266" s="1" t="e">
        <f ca="1">_xll.BDH($C$253,"NET_FIXED_ASSETS_5_YEAR_GROWTH","FQ3 2016","FQ3 2016","Currency=INR","Period=FQ","BEST_FPERIOD_OVERRIDE=FQ","FILING_STATUS=OR","EQY_CONSOLIDATED=Y","Sort=A","Dates=H","DateFormat=P","Fill=—","Direction=H","UseDPDF=Y")</f>
        <v>#NAME?</v>
      </c>
      <c r="AV266" s="1" t="e">
        <f ca="1">_xll.BDH($C$253,"GEO_GROW_TOT_ASSET","FQ3 2016","FQ3 2016","Currency=INR","Period=FQ","BEST_FPERIOD_OVERRIDE=FQ","FILING_STATUS=OR","EQY_CONSOLIDATED=Y","Sort=A","Dates=H","DateFormat=P","Fill=—","Direction=H","UseDPDF=Y")</f>
        <v>#NAME?</v>
      </c>
      <c r="AW266" s="1" t="e">
        <f ca="1">_xll.BDH($C$253,"MODIFIED_WORKING_CPTL_5YR_GRWTH","FQ3 2016","FQ3 2016","Currency=INR","Period=FQ","BEST_FPERIOD_OVERRIDE=FQ","FILING_STATUS=OR","EQY_CONSOLIDATED=Y","Sort=A","Dates=H","DateFormat=P","Fill=—","Direction=H","UseDPDF=Y")</f>
        <v>#NAME?</v>
      </c>
      <c r="AX266" s="1" t="e">
        <f ca="1">_xll.BDH($C$253,"WORKING_CAPITAL_5_YEAR_GROWTH","FQ3 2016","FQ3 2016","Currency=INR","Period=FQ","BEST_FPERIOD_OVERRIDE=FQ","FILING_STATUS=OR","EQY_CONSOLIDATED=Y","Sort=A","Dates=H","DateFormat=P","Fill=—","Direction=H","UseDPDF=Y")</f>
        <v>#NAME?</v>
      </c>
      <c r="AY266" s="1" t="e">
        <f ca="1">_xll.BDH($C$253,"ACCOUNTS_PAYABLE_5_YEAR_GROWTH","FQ3 2016","FQ3 2016","Currency=INR","Period=FQ","BEST_FPERIOD_OVERRIDE=FQ","FILING_STATUS=OR","EQY_CONSOLIDATED=Y","Sort=A","Dates=H","DateFormat=P","Fill=—","Direction=H","UseDPDF=Y")</f>
        <v>#NAME?</v>
      </c>
      <c r="AZ266" s="1" t="e">
        <f ca="1">_xll.BDH($C$253,"SHORT_TERM_DEBT_5_YEAR_GROWTH","FQ3 2016","FQ3 2016","Currency=INR","Period=FQ","BEST_FPERIOD_OVERRIDE=FQ","FILING_STATUS=OR","EQY_CONSOLIDATED=Y","Sort=A","Dates=H","DateFormat=P","Fill=—","Direction=H","UseDPDF=Y")</f>
        <v>#NAME?</v>
      </c>
      <c r="BA266" s="1" t="e">
        <f ca="1">_xll.BDH($C$253,"TOTAL_DEBT_5_YEAR_GROWTH","FQ3 2016","FQ3 2016","Currency=INR","Period=FQ","BEST_FPERIOD_OVERRIDE=FQ","FILING_STATUS=OR","EQY_CONSOLIDATED=Y","Sort=A","Dates=H","DateFormat=P","Fill=—","Direction=H","UseDPDF=Y")</f>
        <v>#NAME?</v>
      </c>
      <c r="BB266" s="1" t="e">
        <f ca="1">_xll.BDH($C$253,"GEO_GROW_TOT_SHRHLDR_EQY","FQ3 2016","FQ3 2016","Currency=INR","Period=FQ","BEST_FPERIOD_OVERRIDE=FQ","FILING_STATUS=OR","EQY_CONSOLIDATED=Y","Sort=A","Dates=H","DateFormat=P","Fill=—","Direction=H","UseDPDF=Y")</f>
        <v>#NAME?</v>
      </c>
      <c r="BC266" s="1" t="e">
        <f ca="1">_xll.BDH($C$253,"TOTAL_CAPITAL_5_YEAR_GROWTH","FQ3 2016","FQ3 2016","Currency=INR","Period=FQ","BEST_FPERIOD_OVERRIDE=FQ","FILING_STATUS=OR","EQY_CONSOLIDATED=Y","Sort=A","Dates=H","DateFormat=P","Fill=—","Direction=H","UseDPDF=Y")</f>
        <v>#NAME?</v>
      </c>
      <c r="BD266" s="1" t="e">
        <f ca="1">_xll.BDH($C$253,"GEO_GROW_BOOK_VAL","FQ3 2016","FQ3 2016","Currency=INR","Period=FQ","BEST_FPERIOD_OVERRIDE=FQ","FILING_STATUS=OR","EQY_CONSOLIDATED=Y","Sort=A","Dates=H","DateFormat=P","Fill=—","Direction=H","UseDPDF=Y")</f>
        <v>#NAME?</v>
      </c>
      <c r="BE266" s="1" t="e">
        <f ca="1">_xll.BDH($C$253,"GEO_GROW_CASH_OPER_ACT","FQ3 2016","FQ3 2016","Currency=INR","Period=FQ","BEST_FPERIOD_OVERRIDE=FQ","FILING_STATUS=OR","EQY_CONSOLIDATED=Y","Sort=A","Dates=H","DateFormat=P","Fill=—","Direction=H","UseDPDF=Y")</f>
        <v>#NAME?</v>
      </c>
      <c r="BF266" s="1" t="e">
        <f ca="1">_xll.BDH($C$253,"REVENUE_SEQUENTIAL_GROWTH","FQ3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66" s="1" t="e">
        <f ca="1">_xll.BDH($C$253,"EBITDA_SEQUENTIAL_GROWTH","FQ3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66" s="1" t="e">
        <f ca="1">_xll.BDH($C$253,"OPERATING_INCOME_SEQ_GROWTH","FQ3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66" s="1" t="e">
        <f ca="1">_xll.BDH($C$253,"NET_INCOME_TO_COMMON_SEQ_GROWTH","FQ3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66" s="1" t="e">
        <f ca="1">_xll.BDH($C$253,"EPS_DILUTED_SEQUENTIAL_GROWTH","FQ3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66" s="1" t="e">
        <f ca="1">_xll.BDH($C$253,"DPS_SEQUENTIAL_GROWTH","FQ3 2016","FQ3 2016","Currency=INR","Period=FQ","BEST_FPERIOD_OVERRIDE=FQ","FILING_STATUS=OR","EQY_CONSOLIDATED=Y","Sort=A","Dates=H","DateFormat=P","Fill=—","Direction=H","UseDPDF=Y")</f>
        <v>#NAME?</v>
      </c>
      <c r="BL266" s="1" t="e">
        <f ca="1">_xll.BDH($C$253,"ACCOUNTS_RECEIVABLE_SEQ_GROWTH","FQ3 2016","FQ3 2016","Currency=INR","Period=FQ","BEST_FPERIOD_OVERRIDE=FQ","FILING_STATUS=OR","EQY_CONSOLIDATED=Y","Sort=A","Dates=H","DateFormat=P","Fill=—","Direction=H","UseDPDF=Y")</f>
        <v>#NAME?</v>
      </c>
      <c r="BM266" s="1" t="e">
        <f ca="1">_xll.BDH($C$253,"INVENTORY_SEQUENTIAL_GROWTH","FQ3 2016","FQ3 2016","Currency=INR","Period=FQ","BEST_FPERIOD_OVERRIDE=FQ","FILING_STATUS=OR","EQY_CONSOLIDATED=Y","Sort=A","Dates=H","DateFormat=P","Fill=—","Direction=H","UseDPDF=Y")</f>
        <v>#NAME?</v>
      </c>
      <c r="BN266" s="1" t="e">
        <f ca="1">_xll.BDH($C$253,"FIXED_ASSETS_SEQUENTIAL_GROWTH","FQ3 2016","FQ3 2016","Currency=INR","Period=FQ","BEST_FPERIOD_OVERRIDE=FQ","FILING_STATUS=OR","EQY_CONSOLIDATED=Y","Sort=A","Dates=H","DateFormat=P","Fill=—","Direction=H","UseDPDF=Y")</f>
        <v>#NAME?</v>
      </c>
      <c r="BO266" s="1" t="e">
        <f ca="1">_xll.BDH($C$253,"TOTAL_ASSETS_SEQUENTIAL_GROWTH","FQ3 2016","FQ3 2016","Currency=INR","Period=FQ","BEST_FPERIOD_OVERRIDE=FQ","FILING_STATUS=OR","EQY_CONSOLIDATED=Y","Sort=A","Dates=H","DateFormat=P","Fill=—","Direction=H","UseDPDF=Y")</f>
        <v>#NAME?</v>
      </c>
      <c r="BP266" s="1" t="e">
        <f ca="1">_xll.BDH($C$253,"MODIFIED_WORKING_CPTL_SEQ_GRWTH","FQ3 2016","FQ3 2016","Currency=INR","Period=FQ","BEST_FPERIOD_OVERRIDE=FQ","FILING_STATUS=OR","EQY_CONSOLIDATED=Y","Sort=A","Dates=H","DateFormat=P","Fill=—","Direction=H","UseDPDF=Y")</f>
        <v>#NAME?</v>
      </c>
      <c r="BQ266" s="1" t="e">
        <f ca="1">_xll.BDH($C$253,"WORKING_CAPITAL_SEQ_GROWTH","FQ3 2016","FQ3 2016","Currency=INR","Period=FQ","BEST_FPERIOD_OVERRIDE=FQ","FILING_STATUS=OR","EQY_CONSOLIDATED=Y","Sort=A","Dates=H","DateFormat=P","Fill=—","Direction=H","UseDPDF=Y")</f>
        <v>#NAME?</v>
      </c>
      <c r="BR266" s="1" t="e">
        <f ca="1">_xll.BDH($C$253,"ACCOUNTS_PAYABLE_SEQ_GROWTH","FQ3 2016","FQ3 2016","Currency=INR","Period=FQ","BEST_FPERIOD_OVERRIDE=FQ","FILING_STATUS=OR","EQY_CONSOLIDATED=Y","Sort=A","Dates=H","DateFormat=P","Fill=—","Direction=H","UseDPDF=Y")</f>
        <v>#NAME?</v>
      </c>
      <c r="BS266" s="1" t="e">
        <f ca="1">_xll.BDH($C$253,"ST_DEBT_SEQUENTIAL_GROWTH","FQ3 2016","FQ3 2016","Currency=INR","Period=FQ","BEST_FPERIOD_OVERRIDE=FQ","FILING_STATUS=OR","EQY_CONSOLIDATED=Y","Sort=A","Dates=H","DateFormat=P","Fill=—","Direction=H","UseDPDF=Y")</f>
        <v>#NAME?</v>
      </c>
      <c r="BT266" s="1" t="e">
        <f ca="1">_xll.BDH($C$253,"TOTAL_DEBT_SEQUENTIAL_GROWTH","FQ3 2016","FQ3 2016","Currency=INR","Period=FQ","BEST_FPERIOD_OVERRIDE=FQ","FILING_STATUS=OR","EQY_CONSOLIDATED=Y","Sort=A","Dates=H","DateFormat=P","Fill=—","Direction=H","UseDPDF=Y")</f>
        <v>#NAME?</v>
      </c>
      <c r="BU266" s="1" t="e">
        <f ca="1">_xll.BDH($C$253,"TOTAL_EQUITY_SEQUENTIAL_GROWTH","FQ3 2016","FQ3 2016","Currency=INR","Period=FQ","BEST_FPERIOD_OVERRIDE=FQ","FILING_STATUS=OR","EQY_CONSOLIDATED=Y","Sort=A","Dates=H","DateFormat=P","Fill=—","Direction=H","UseDPDF=Y")</f>
        <v>#NAME?</v>
      </c>
      <c r="BV266" s="1" t="e">
        <f ca="1">_xll.BDH($C$253,"TOTAL_CAPITAL_SEQUENTIAL_GROWTH","FQ3 2016","FQ3 2016","Currency=INR","Period=FQ","BEST_FPERIOD_OVERRIDE=FQ","FILING_STATUS=OR","EQY_CONSOLIDATED=Y","Sort=A","Dates=H","DateFormat=P","Fill=—","Direction=H","UseDPDF=Y")</f>
        <v>#NAME?</v>
      </c>
      <c r="BW266" s="1" t="e">
        <f ca="1">_xll.BDH($C$253,"BPS_SEQUENTIAL_GROWTH","FQ3 2016","FQ3 2016","Currency=INR","Period=FQ","BEST_FPERIOD_OVERRIDE=FQ","FILING_STATUS=OR","EQY_CONSOLIDATED=Y","Sort=A","Dates=H","DateFormat=P","Fill=—","Direction=H","UseDPDF=Y")</f>
        <v>#NAME?</v>
      </c>
      <c r="BX266" s="1" t="e">
        <f ca="1">_xll.BDH($C$253,"CFO_SEQUENTIAL_GROWTH","FQ3 2016","FQ3 2016","Currency=INR","Period=FQ","BEST_FPERIOD_OVERRIDE=FQ","FILING_STATUS=OR","EQY_CONSOLIDATED=Y","Sort=A","Dates=H","DateFormat=P","Fill=—","Direction=H","UseDPDF=Y")</f>
        <v>#NAME?</v>
      </c>
      <c r="BY266" s="2" t="e">
        <f ca="1">_xll.BDH($C$253,"SHORT_AND_LONG_TERM_DEBT","FQ3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66" s="2" t="e">
        <f ca="1">_xll.BDH($C$253,"BS_ST_BORROW","FQ3 2016","FQ3 2016","Currency=INR","Period=FQ","BEST_FPERIOD_OVERRIDE=FQ","FILING_STATUS=OR","EQY_CONSOLIDATED=Y","SCALING_FORMAT=MLN","Sort=A","Dates=H","DateFormat=P","Fill=—","Direction=H","UseDPDF=Y")</f>
        <v>#NAME?</v>
      </c>
      <c r="CA266" s="2" t="e">
        <f ca="1">_xll.BDH($C$253,"BS_LT_BORROW","FQ3 2016","FQ3 2016","Currency=INR","Period=FQ","BEST_FPERIOD_OVERRIDE=FQ","FILING_STATUS=OR","EQY_CONSOLIDATED=Y","SCALING_FORMAT=MLN","Sort=A","Dates=H","DateFormat=P","Fill=—","Direction=H","UseDPDF=Y")</f>
        <v>#NAME?</v>
      </c>
      <c r="CB266" s="1" t="e">
        <f ca="1">_xll.BDH($C$253,"TOT_DEBT_TO_EBITDA","FQ3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66" s="1" t="e">
        <f ca="1">_xll.BDH($C$253,"NET_DEBT_TO_EBITDA","FQ3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66" s="1" t="e">
        <f ca="1">_xll.BDH($C$253,"TOTAL_DEBT_TO_EBIT","FQ3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66" s="1" t="e">
        <f ca="1">_xll.BDH($C$253,"NET_DEBT_TO_EBIT","FQ3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266" s="1" t="e">
        <f ca="1">_xll.BDH($C$253,"EBITDA_TO_INTEREST_EXPN","FQ3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66" s="1" t="e">
        <f ca="1">_xll.BDH($C$253,"COM_EQY_TO_TOT_ASSET","FQ3 2016","FQ3 2016","Currency=INR","Period=FQ","BEST_FPERIOD_OVERRIDE=FQ","FILING_STATUS=OR","EQY_CONSOLIDATED=Y","Sort=A","Dates=H","DateFormat=P","Fill=—","Direction=H","UseDPDF=Y")</f>
        <v>#NAME?</v>
      </c>
      <c r="CH266" s="1" t="e">
        <f ca="1">_xll.BDH($C$253,"LT_DEBT_TO_TOT_EQY","FQ3 2016","FQ3 2016","Currency=INR","Period=FQ","BEST_FPERIOD_OVERRIDE=FQ","FILING_STATUS=OR","EQY_CONSOLIDATED=Y","Sort=A","Dates=H","DateFormat=P","Fill=—","Direction=H","UseDPDF=Y")</f>
        <v>#NAME?</v>
      </c>
      <c r="CI266" s="1" t="e">
        <f ca="1">_xll.BDH($C$253,"LT_DEBT_TO_TOT_CAP","FQ3 2016","FQ3 2016","Currency=INR","Period=FQ","BEST_FPERIOD_OVERRIDE=FQ","FILING_STATUS=OR","EQY_CONSOLIDATED=Y","Sort=A","Dates=H","DateFormat=P","Fill=—","Direction=H","UseDPDF=Y")</f>
        <v>#NAME?</v>
      </c>
      <c r="CJ266" s="1" t="e">
        <f ca="1">_xll.BDH($C$253,"LT_DEBT_TO_TOT_ASSET","FQ3 2016","FQ3 2016","Currency=INR","Period=FQ","BEST_FPERIOD_OVERRIDE=FQ","FILING_STATUS=OR","EQY_CONSOLIDATED=Y","Sort=A","Dates=H","DateFormat=P","Fill=—","Direction=H","UseDPDF=Y")</f>
        <v>#NAME?</v>
      </c>
      <c r="CK266" s="1" t="e">
        <f ca="1">_xll.BDH($C$253,"TOT_DEBT_TO_TOT_EQY","FQ3 2016","FQ3 2016","Currency=INR","Period=FQ","BEST_FPERIOD_OVERRIDE=FQ","FILING_STATUS=OR","EQY_CONSOLIDATED=Y","Sort=A","Dates=H","DateFormat=P","Fill=—","Direction=H","UseDPDF=Y")</f>
        <v>#NAME?</v>
      </c>
      <c r="CL266" s="1" t="e">
        <f ca="1">_xll.BDH($C$253,"TOT_DEBT_TO_TOT_CAP","FQ3 2016","FQ3 2016","Currency=INR","Period=FQ","BEST_FPERIOD_OVERRIDE=FQ","FILING_STATUS=OR","EQY_CONSOLIDATED=Y","Sort=A","Dates=H","DateFormat=P","Fill=—","Direction=H","UseDPDF=Y")</f>
        <v>#NAME?</v>
      </c>
      <c r="CM266" s="1" t="e">
        <f ca="1">_xll.BDH($C$253,"TOT_DEBT_TO_TOT_ASSET","FQ3 2016","FQ3 2016","Currency=INR","Period=FQ","BEST_FPERIOD_OVERRIDE=FQ","FILING_STATUS=OR","EQY_CONSOLIDATED=Y","Sort=A","Dates=H","DateFormat=P","Fill=—","Direction=H","UseDPDF=Y")</f>
        <v>#NAME?</v>
      </c>
      <c r="CN266" s="1" t="e">
        <f ca="1">_xll.BDH($C$253,"NET_DEBT_TO_SHRHLDR_EQTY","FQ3 2016","FQ3 2016","Currency=INR","Period=FQ","BEST_FPERIOD_OVERRIDE=FQ","FILING_STATUS=OR","EQY_CONSOLIDATED=Y","Sort=A","Dates=H","DateFormat=P","Fill=—","Direction=H","UseDPDF=Y")</f>
        <v>#NAME?</v>
      </c>
      <c r="CO266" s="1" t="e">
        <f ca="1">_xll.BDH($C$253,"NET_DEBT_%_CAPITAL","FQ3 2016","FQ3 2016","Currency=INR","Period=FQ","BEST_FPERIOD_OVERRIDE=FQ","FILING_STATUS=OR","EQY_CONSOLIDATED=Y","Sort=A","Dates=H","DateFormat=P","Fill=—","Direction=H","UseDPDF=Y")</f>
        <v>#NAME?</v>
      </c>
      <c r="CP266" s="2" t="e">
        <f ca="1">_xll.BDH($C$253,"EBITDA","FQ3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66" s="2" t="e">
        <f ca="1">_xll.BDH($C$253,"EBITDA_AFTER_CAPEX","FQ3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66" s="2" t="e">
        <f ca="1">_xll.BDH($C$253,"IS_OPER_INC","FQ3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66" s="1" t="e">
        <f ca="1">_xll.BDH($C$253,"CASH_RATIO","FQ3 2016","FQ3 2016","Currency=INR","Period=FQ","BEST_FPERIOD_OVERRIDE=FQ","FILING_STATUS=OR","EQY_CONSOLIDATED=Y","Sort=A","Dates=H","DateFormat=P","Fill=—","Direction=H","UseDPDF=Y")</f>
        <v>#NAME?</v>
      </c>
      <c r="CT266" s="1" t="e">
        <f ca="1">_xll.BDH($C$253,"CUR_RATIO","FQ3 2016","FQ3 2016","Currency=INR","Period=FQ","BEST_FPERIOD_OVERRIDE=FQ","FILING_STATUS=OR","EQY_CONSOLIDATED=Y","Sort=A","Dates=H","DateFormat=P","Fill=—","Direction=H","UseDPDF=Y")</f>
        <v>#NAME?</v>
      </c>
      <c r="CU266" s="1" t="e">
        <f ca="1">_xll.BDH($C$253,"QUICK_RATIO","FQ3 2016","FQ3 2016","Currency=INR","Period=FQ","BEST_FPERIOD_OVERRIDE=FQ","FILING_STATUS=OR","EQY_CONSOLIDATED=Y","Sort=A","Dates=H","DateFormat=P","Fill=—","Direction=H","UseDPDF=Y")</f>
        <v>#NAME?</v>
      </c>
      <c r="CV266" s="1" t="e">
        <f ca="1">_xll.BDH($C$253,"ALTMAN_Z_SCORE","FQ3 2016","FQ3 2016","Currency=INR","Period=FQ","BEST_FPERIOD_OVERRIDE=FQ","FILING_STATUS=OR","EQY_CONSOLIDATED=Y","Sort=A","Dates=H","DateFormat=P","Fill=—","Direction=H","UseDPDF=Y")</f>
        <v>#NAME?</v>
      </c>
      <c r="CW266" s="3" t="e">
        <f ca="1">_xll.BDH($C$253,"ACCT_RCV_TURN","FQ3 2016","FQ3 2016","Currency=INR","Period=FQ","BEST_FPERIOD_OVERRIDE=FQ","FILING_STATUS=OR","EQY_CONSOLIDATED=Y","FA_ADJUSTED=GAAP","Sort=A","Dates=H","DateFormat=P","Fill=—","Direction=H","UseDPDF=Y")</f>
        <v>#NAME?</v>
      </c>
      <c r="CX266" s="1" t="e">
        <f ca="1">_xll.BDH($C$253,"ACCT_RCV_DAYS","FQ3 2016","FQ3 2016","Currency=INR","Period=FQ","BEST_FPERIOD_OVERRIDE=FQ","FILING_STATUS=OR","EQY_CONSOLIDATED=Y","FA_ADJUSTED=GAAP","Sort=A","Dates=H","DateFormat=P","Fill=—","Direction=H","UseDPDF=Y")</f>
        <v>#NAME?</v>
      </c>
      <c r="CY266" s="3" t="e">
        <f ca="1">_xll.BDH($C$253,"INVENT_TURN","FQ3 2016","FQ3 2016","Currency=INR","Period=FQ","BEST_FPERIOD_OVERRIDE=FQ","FILING_STATUS=OR","EQY_CONSOLIDATED=Y","FA_ADJUSTED=GAAP","Sort=A","Dates=H","DateFormat=P","Fill=—","Direction=H","UseDPDF=Y")</f>
        <v>#NAME?</v>
      </c>
      <c r="CZ266" s="1" t="e">
        <f ca="1">_xll.BDH($C$253,"INVENT_DAYS","FQ3 2016","FQ3 2016","Currency=INR","Period=FQ","BEST_FPERIOD_OVERRIDE=FQ","FILING_STATUS=OR","EQY_CONSOLIDATED=Y","FA_ADJUSTED=GAAP","Sort=A","Dates=H","DateFormat=P","Fill=—","Direction=H","UseDPDF=Y")</f>
        <v>#NAME?</v>
      </c>
      <c r="DA266" s="3" t="e">
        <f ca="1">_xll.BDH($C$253,"ACCOUNTS_PAYABLE_TURNOVER","FQ3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66" s="1" t="e">
        <f ca="1">_xll.BDH($C$253,"ACCOUNTS_PAYABLE_TURNOVER_DAYS","FQ3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66" s="3" t="e">
        <f ca="1">_xll.BDH($C$253,"CASH_CONVERSION_CYCLE","FQ3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66" s="3" t="e">
        <f ca="1">_xll.BDH($C$253,"INV_TO_CASH_DAYS","FQ3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266" s="4" t="e">
        <f ca="1">_xll.BDH($C$253,"BS_INVENTORIES","FQ3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266" s="2" t="e">
        <f ca="1">_xll.BDH($C$253,"INVTRY_RAW_MATERIALS","FQ3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66" s="2" t="e">
        <f ca="1">_xll.BDH($C$253,"INVTRY_IN_PROGRESS","FQ3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66" s="2" t="e">
        <f ca="1">_xll.BDH($C$253,"INVTRY_FINISHED_GOODS","FQ3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66" s="2" t="e">
        <f ca="1">_xll.BDH($C$253,"BS_OTHER_INV","FQ3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67" spans="1:113" x14ac:dyDescent="0.3">
      <c r="A267" s="6"/>
      <c r="B267" s="6"/>
      <c r="C267" s="6"/>
      <c r="D267" s="6"/>
      <c r="E267" t="s">
        <v>7</v>
      </c>
      <c r="F267" t="e">
        <f ca="1">_xll.BDH($C$253,"RETURN_COM_EQY","FQ4 2016","FQ4 2016","Currency=INR","Period=FQ","BEST_FPERIOD_OVERRIDE=FQ","FILING_STATUS=OR","EQY_CONSOLIDATED=Y","FA_ADJUSTED=GAAP","Sort=A","Dates=H","DateFormat=P","Fill=—","Direction=H","UseDPDF=Y")</f>
        <v>#NAME?</v>
      </c>
      <c r="G267" t="e">
        <f ca="1">_xll.BDH($C$253,"RETURN_ON_ASSET","FQ4 2016","FQ4 2016","Currency=INR","Period=FQ","BEST_FPERIOD_OVERRIDE=FQ","FILING_STATUS=OR","EQY_CONSOLIDATED=Y","FA_ADJUSTED=GAAP","Sort=A","Dates=H","DateFormat=P","Fill=—","Direction=H","UseDPDF=Y")</f>
        <v>#NAME?</v>
      </c>
      <c r="H267" t="e">
        <f ca="1">_xll.BDH($C$253,"RETURN_ON_CAP","FQ4 2016","FQ4 2016","Currency=INR","Period=FQ","BEST_FPERIOD_OVERRIDE=FQ","FILING_STATUS=OR","EQY_CONSOLIDATED=Y","FA_ADJUSTED=GAAP","Sort=A","Dates=H","DateFormat=P","Fill=—","Direction=H","UseDPDF=Y")</f>
        <v>#NAME?</v>
      </c>
      <c r="I267" t="e">
        <f ca="1">_xll.BDH($C$253,"RETURN_ON_INV_CAPITAL","FQ4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67" t="e">
        <f ca="1">_xll.BDH($C$253,"EBITDA_TO_REVENUE","FQ4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267" t="e">
        <f ca="1">_xll.BDH($C$253,"OPER_MARGIN","FQ4 2016","FQ4 2016","Currency=INR","Period=FQ","BEST_FPERIOD_OVERRIDE=FQ","FILING_STATUS=OR","EQY_CONSOLIDATED=Y","FA_ADJUSTED=GAAP","Sort=A","Dates=H","DateFormat=P","Fill=—","Direction=H","UseDPDF=Y")</f>
        <v>#NAME?</v>
      </c>
      <c r="L267" t="e">
        <f ca="1">_xll.BDH($C$253,"INCREMENTAL_OPERATING_MARGIN","FQ4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67" t="e">
        <f ca="1">_xll.BDH($C$253,"PRETAX_INC_TO_NET_SALES","FQ4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67" t="e">
        <f ca="1">_xll.BDH($C$253,"INC_BEF_XO_ITEMS_TO_NET_SALES","FQ4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67" t="e">
        <f ca="1">_xll.BDH($C$253,"PROF_MARGIN","FQ4 2016","FQ4 2016","Currency=INR","Period=FQ","BEST_FPERIOD_OVERRIDE=FQ","FILING_STATUS=OR","EQY_CONSOLIDATED=Y","FA_ADJUSTED=GAAP","Sort=A","Dates=H","DateFormat=P","Fill=—","Direction=H","UseDPDF=Y")</f>
        <v>#NAME?</v>
      </c>
      <c r="P267" t="e">
        <f ca="1">_xll.BDH($C$253,"NET_INCOME_TO_COMMON_MARGIN","FQ4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67" t="e">
        <f ca="1">_xll.BDH($C$253,"EFF_TAX_RATE","FQ4 2016","FQ4 2016","Currency=INR","Period=FQ","BEST_FPERIOD_OVERRIDE=FQ","FILING_STATUS=OR","EQY_CONSOLIDATED=Y","FA_ADJUSTED=GAAP","Sort=A","Dates=H","DateFormat=P","Fill=—","Direction=H","UseDPDF=Y")</f>
        <v>#NAME?</v>
      </c>
      <c r="R267" t="e">
        <f ca="1">_xll.BDH($C$253,"DVD_PAYOUT_RATIO","FQ4 2016","FQ4 2016","Currency=INR","Period=FQ","BEST_FPERIOD_OVERRIDE=FQ","FILING_STATUS=OR","EQY_CONSOLIDATED=Y","FA_ADJUSTED=GAAP","Sort=A","Dates=H","DateFormat=P","Fill=—","Direction=H","UseDPDF=Y")</f>
        <v>#NAME?</v>
      </c>
      <c r="S267" t="e">
        <f ca="1">_xll.BDH($C$253,"SUSTAIN_GROWTH_RT","FQ4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267" s="1" t="e">
        <f ca="1">_xll.BDH($C$253,"SALES_GROWTH","FQ4 2016","FQ4 2016","Currency=INR","Period=FQ","BEST_FPERIOD_OVERRIDE=FQ","FILING_STATUS=OR","EQY_CONSOLIDATED=Y","FA_ADJUSTED=GAAP","Sort=A","Dates=H","DateFormat=P","Fill=—","Direction=H","UseDPDF=Y")</f>
        <v>#NAME?</v>
      </c>
      <c r="U267" s="1" t="e">
        <f ca="1">_xll.BDH($C$253,"EBITDA_GROWTH","FQ4 2016","FQ4 2016","Currency=INR","Period=FQ","BEST_FPERIOD_OVERRIDE=FQ","FILING_STATUS=OR","EQY_CONSOLIDATED=Y","FA_ADJUSTED=GAAP","Sort=A","Dates=H","DateFormat=P","Fill=—","Direction=H","UseDPDF=Y")</f>
        <v>#NAME?</v>
      </c>
      <c r="V267" s="1" t="e">
        <f ca="1">_xll.BDH($C$253,"OPER_INC_GROWTH","FQ4 2016","FQ4 2016","Currency=INR","Period=FQ","BEST_FPERIOD_OVERRIDE=FQ","FILING_STATUS=OR","EQY_CONSOLIDATED=Y","FA_ADJUSTED=GAAP","Sort=A","Dates=H","DateFormat=P","Fill=—","Direction=H","UseDPDF=Y")</f>
        <v>#NAME?</v>
      </c>
      <c r="W267" s="1" t="e">
        <f ca="1">_xll.BDH($C$253,"EARN_FOR_COM_GROWTH","FQ4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67" s="1" t="e">
        <f ca="1">_xll.BDH($C$253,"DILUTED_EPS_AFT_XO_ITEMS_GROWTH","FQ4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67" s="1" t="e">
        <f ca="1">_xll.BDH($C$253,"DIVIDEND_PER_SHARE_1_YEAR_GROWTH","FQ4 2016","FQ4 2016","Currency=INR","Period=FQ","BEST_FPERIOD_OVERRIDE=FQ","FILING_STATUS=OR","EQY_CONSOLIDATED=Y","Sort=A","Dates=H","DateFormat=P","Fill=—","Direction=H","UseDPDF=Y")</f>
        <v>#NAME?</v>
      </c>
      <c r="Z267" s="1" t="e">
        <f ca="1">_xll.BDH($C$253,"ACCOUNTS_RECEIVABLE_GROWTH","FQ4 2016","FQ4 2016","Currency=INR","Period=FQ","BEST_FPERIOD_OVERRIDE=FQ","FILING_STATUS=OR","EQY_CONSOLIDATED=Y","Sort=A","Dates=H","DateFormat=P","Fill=—","Direction=H","UseDPDF=Y")</f>
        <v>#NAME?</v>
      </c>
      <c r="AA267" s="1" t="e">
        <f ca="1">_xll.BDH($C$253,"INVENTORY_GROWTH","FQ4 2016","FQ4 2016","Currency=INR","Period=FQ","BEST_FPERIOD_OVERRIDE=FQ","FILING_STATUS=OR","EQY_CONSOLIDATED=Y","Sort=A","Dates=H","DateFormat=P","Fill=—","Direction=H","UseDPDF=Y")</f>
        <v>#NAME?</v>
      </c>
      <c r="AB267" s="1" t="e">
        <f ca="1">_xll.BDH($C$253,"NET_FIXED_ASSETS_1_YEAR_GROWTH","FQ4 2016","FQ4 2016","Currency=INR","Period=FQ","BEST_FPERIOD_OVERRIDE=FQ","FILING_STATUS=OR","EQY_CONSOLIDATED=Y","Sort=A","Dates=H","DateFormat=P","Fill=—","Direction=H","UseDPDF=Y")</f>
        <v>#NAME?</v>
      </c>
      <c r="AC267" s="1" t="e">
        <f ca="1">_xll.BDH($C$253,"ASSET_GROWTH","FQ4 2016","FQ4 2016","Currency=INR","Period=FQ","BEST_FPERIOD_OVERRIDE=FQ","FILING_STATUS=OR","EQY_CONSOLIDATED=Y","Sort=A","Dates=H","DateFormat=P","Fill=—","Direction=H","UseDPDF=Y")</f>
        <v>#NAME?</v>
      </c>
      <c r="AD267" s="1" t="e">
        <f ca="1">_xll.BDH($C$253,"MODIFIED_WORK_CAP_GROWTH","FQ4 2016","FQ4 2016","Currency=INR","Period=FQ","BEST_FPERIOD_OVERRIDE=FQ","FILING_STATUS=OR","EQY_CONSOLIDATED=Y","Sort=A","Dates=H","DateFormat=P","Fill=—","Direction=H","UseDPDF=Y")</f>
        <v>#NAME?</v>
      </c>
      <c r="AE267" s="1" t="e">
        <f ca="1">_xll.BDH($C$253,"WORK_CAP_GROWTH","FQ4 2016","FQ4 2016","Currency=INR","Period=FQ","BEST_FPERIOD_OVERRIDE=FQ","FILING_STATUS=OR","EQY_CONSOLIDATED=Y","Sort=A","Dates=H","DateFormat=P","Fill=—","Direction=H","UseDPDF=Y")</f>
        <v>#NAME?</v>
      </c>
      <c r="AF267" s="1" t="e">
        <f ca="1">_xll.BDH($C$253,"ACCOUNTS_PAYABLE_GROWTH_1YR","FQ4 2016","FQ4 2016","Currency=INR","Period=FQ","BEST_FPERIOD_OVERRIDE=FQ","FILING_STATUS=OR","EQY_CONSOLIDATED=Y","Sort=A","Dates=H","DateFormat=P","Fill=—","Direction=H","UseDPDF=Y")</f>
        <v>#NAME?</v>
      </c>
      <c r="AG267" s="1" t="e">
        <f ca="1">_xll.BDH($C$253,"SHORT_TERM_DEBT_1_YEAR_GROWTH","FQ4 2016","FQ4 2016","Currency=INR","Period=FQ","BEST_FPERIOD_OVERRIDE=FQ","FILING_STATUS=OR","EQY_CONSOLIDATED=Y","Sort=A","Dates=H","DateFormat=P","Fill=—","Direction=H","UseDPDF=Y")</f>
        <v>#NAME?</v>
      </c>
      <c r="AH267" s="1" t="e">
        <f ca="1">_xll.BDH($C$253,"TOTAL_DEBT_1_YEAR_GROWTH","FQ4 2016","FQ4 2016","Currency=INR","Period=FQ","BEST_FPERIOD_OVERRIDE=FQ","FILING_STATUS=OR","EQY_CONSOLIDATED=Y","Sort=A","Dates=H","DateFormat=P","Fill=—","Direction=H","UseDPDF=Y")</f>
        <v>#NAME?</v>
      </c>
      <c r="AI267" s="1" t="e">
        <f ca="1">_xll.BDH($C$253,"TOTAL_EQUITY_1_YEAR_GROWTH","FQ4 2016","FQ4 2016","Currency=INR","Period=FQ","BEST_FPERIOD_OVERRIDE=FQ","FILING_STATUS=OR","EQY_CONSOLIDATED=Y","Sort=A","Dates=H","DateFormat=P","Fill=—","Direction=H","UseDPDF=Y")</f>
        <v>#NAME?</v>
      </c>
      <c r="AJ267" s="1" t="e">
        <f ca="1">_xll.BDH($C$253,"GROWTH_IN_CAP","FQ4 2016","FQ4 2016","Currency=INR","Period=FQ","BEST_FPERIOD_OVERRIDE=FQ","FILING_STATUS=OR","EQY_CONSOLIDATED=Y","Sort=A","Dates=H","DateFormat=P","Fill=—","Direction=H","UseDPDF=Y")</f>
        <v>#NAME?</v>
      </c>
      <c r="AK267" s="1" t="e">
        <f ca="1">_xll.BDH($C$253,"BVPS_GROWTH","FQ4 2016","FQ4 2016","Currency=INR","Period=FQ","BEST_FPERIOD_OVERRIDE=FQ","FILING_STATUS=OR","EQY_CONSOLIDATED=Y","Sort=A","Dates=H","DateFormat=P","Fill=—","Direction=H","UseDPDF=Y")</f>
        <v>#NAME?</v>
      </c>
      <c r="AL267" s="1" t="e">
        <f ca="1">_xll.BDH($C$253,"CASH_FLOW_GROWTH","FQ4 2016","FQ4 2016","Currency=INR","Period=FQ","BEST_FPERIOD_OVERRIDE=FQ","FILING_STATUS=OR","EQY_CONSOLIDATED=Y","Sort=A","Dates=H","DateFormat=P","Fill=—","Direction=H","UseDPDF=Y")</f>
        <v>#NAME?</v>
      </c>
      <c r="AM267" s="1" t="e">
        <f ca="1">_xll.BDH($C$253,"GEO_GROW_NET_SALES","FQ4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67" s="1" t="e">
        <f ca="1">_xll.BDH($C$253,"GEO_GROW_EBITDA","FQ4 2016","FQ4 2016","Currency=INR","Period=FQ","BEST_FPERIOD_OVERRIDE=FQ","FILING_STATUS=OR","EQY_CONSOLIDATED=Y","FA_ADJUSTED=GAAP","Sort=A","Dates=H","DateFormat=P","Fill=—","Direction=H","UseDPDF=Y")</f>
        <v>#NAME?</v>
      </c>
      <c r="AO267" s="1" t="e">
        <f ca="1">_xll.BDH($C$253,"GEO_GROW_OPER_INC","FQ4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67" s="1" t="e">
        <f ca="1">_xll.BDH($C$253,"NET_INCOME_TO_COMMON_5_YR_GROWTH","FQ4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67" s="1" t="e">
        <f ca="1">_xll.BDH($C$253,"5Y_GEO_GROWTH_DILUTED_EPS","FQ4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67" s="1" t="e">
        <f ca="1">_xll.BDH($C$253,"GEO_GROW_DVD_PER_SH","FQ4 2016","FQ4 2016","Currency=INR","Period=FQ","BEST_FPERIOD_OVERRIDE=FQ","FILING_STATUS=OR","EQY_CONSOLIDATED=Y","Sort=A","Dates=H","DateFormat=P","Fill=—","Direction=H","UseDPDF=Y")</f>
        <v>#NAME?</v>
      </c>
      <c r="AS267" s="1" t="e">
        <f ca="1">_xll.BDH($C$253,"ACCOUNTS_RECEIVABLE_5_YR_GROWTH","FQ4 2016","FQ4 2016","Currency=INR","Period=FQ","BEST_FPERIOD_OVERRIDE=FQ","FILING_STATUS=OR","EQY_CONSOLIDATED=Y","Sort=A","Dates=H","DateFormat=P","Fill=—","Direction=H","UseDPDF=Y")</f>
        <v>#NAME?</v>
      </c>
      <c r="AT267" s="1" t="e">
        <f ca="1">_xll.BDH($C$253,"INVENTORY_5_YEAR_GROWTH","FQ4 2016","FQ4 2016","Currency=INR","Period=FQ","BEST_FPERIOD_OVERRIDE=FQ","FILING_STATUS=OR","EQY_CONSOLIDATED=Y","Sort=A","Dates=H","DateFormat=P","Fill=—","Direction=H","UseDPDF=Y")</f>
        <v>#NAME?</v>
      </c>
      <c r="AU267" s="1" t="e">
        <f ca="1">_xll.BDH($C$253,"NET_FIXED_ASSETS_5_YEAR_GROWTH","FQ4 2016","FQ4 2016","Currency=INR","Period=FQ","BEST_FPERIOD_OVERRIDE=FQ","FILING_STATUS=OR","EQY_CONSOLIDATED=Y","Sort=A","Dates=H","DateFormat=P","Fill=—","Direction=H","UseDPDF=Y")</f>
        <v>#NAME?</v>
      </c>
      <c r="AV267" s="1" t="e">
        <f ca="1">_xll.BDH($C$253,"GEO_GROW_TOT_ASSET","FQ4 2016","FQ4 2016","Currency=INR","Period=FQ","BEST_FPERIOD_OVERRIDE=FQ","FILING_STATUS=OR","EQY_CONSOLIDATED=Y","Sort=A","Dates=H","DateFormat=P","Fill=—","Direction=H","UseDPDF=Y")</f>
        <v>#NAME?</v>
      </c>
      <c r="AW267" s="1" t="e">
        <f ca="1">_xll.BDH($C$253,"MODIFIED_WORKING_CPTL_5YR_GRWTH","FQ4 2016","FQ4 2016","Currency=INR","Period=FQ","BEST_FPERIOD_OVERRIDE=FQ","FILING_STATUS=OR","EQY_CONSOLIDATED=Y","Sort=A","Dates=H","DateFormat=P","Fill=—","Direction=H","UseDPDF=Y")</f>
        <v>#NAME?</v>
      </c>
      <c r="AX267" s="1" t="e">
        <f ca="1">_xll.BDH($C$253,"WORKING_CAPITAL_5_YEAR_GROWTH","FQ4 2016","FQ4 2016","Currency=INR","Period=FQ","BEST_FPERIOD_OVERRIDE=FQ","FILING_STATUS=OR","EQY_CONSOLIDATED=Y","Sort=A","Dates=H","DateFormat=P","Fill=—","Direction=H","UseDPDF=Y")</f>
        <v>#NAME?</v>
      </c>
      <c r="AY267" s="1" t="e">
        <f ca="1">_xll.BDH($C$253,"ACCOUNTS_PAYABLE_5_YEAR_GROWTH","FQ4 2016","FQ4 2016","Currency=INR","Period=FQ","BEST_FPERIOD_OVERRIDE=FQ","FILING_STATUS=OR","EQY_CONSOLIDATED=Y","Sort=A","Dates=H","DateFormat=P","Fill=—","Direction=H","UseDPDF=Y")</f>
        <v>#NAME?</v>
      </c>
      <c r="AZ267" s="1" t="e">
        <f ca="1">_xll.BDH($C$253,"SHORT_TERM_DEBT_5_YEAR_GROWTH","FQ4 2016","FQ4 2016","Currency=INR","Period=FQ","BEST_FPERIOD_OVERRIDE=FQ","FILING_STATUS=OR","EQY_CONSOLIDATED=Y","Sort=A","Dates=H","DateFormat=P","Fill=—","Direction=H","UseDPDF=Y")</f>
        <v>#NAME?</v>
      </c>
      <c r="BA267" s="1" t="e">
        <f ca="1">_xll.BDH($C$253,"TOTAL_DEBT_5_YEAR_GROWTH","FQ4 2016","FQ4 2016","Currency=INR","Period=FQ","BEST_FPERIOD_OVERRIDE=FQ","FILING_STATUS=OR","EQY_CONSOLIDATED=Y","Sort=A","Dates=H","DateFormat=P","Fill=—","Direction=H","UseDPDF=Y")</f>
        <v>#NAME?</v>
      </c>
      <c r="BB267" s="1" t="e">
        <f ca="1">_xll.BDH($C$253,"GEO_GROW_TOT_SHRHLDR_EQY","FQ4 2016","FQ4 2016","Currency=INR","Period=FQ","BEST_FPERIOD_OVERRIDE=FQ","FILING_STATUS=OR","EQY_CONSOLIDATED=Y","Sort=A","Dates=H","DateFormat=P","Fill=—","Direction=H","UseDPDF=Y")</f>
        <v>#NAME?</v>
      </c>
      <c r="BC267" s="1" t="e">
        <f ca="1">_xll.BDH($C$253,"TOTAL_CAPITAL_5_YEAR_GROWTH","FQ4 2016","FQ4 2016","Currency=INR","Period=FQ","BEST_FPERIOD_OVERRIDE=FQ","FILING_STATUS=OR","EQY_CONSOLIDATED=Y","Sort=A","Dates=H","DateFormat=P","Fill=—","Direction=H","UseDPDF=Y")</f>
        <v>#NAME?</v>
      </c>
      <c r="BD267" s="1" t="e">
        <f ca="1">_xll.BDH($C$253,"GEO_GROW_BOOK_VAL","FQ4 2016","FQ4 2016","Currency=INR","Period=FQ","BEST_FPERIOD_OVERRIDE=FQ","FILING_STATUS=OR","EQY_CONSOLIDATED=Y","Sort=A","Dates=H","DateFormat=P","Fill=—","Direction=H","UseDPDF=Y")</f>
        <v>#NAME?</v>
      </c>
      <c r="BE267" s="1" t="e">
        <f ca="1">_xll.BDH($C$253,"GEO_GROW_CASH_OPER_ACT","FQ4 2016","FQ4 2016","Currency=INR","Period=FQ","BEST_FPERIOD_OVERRIDE=FQ","FILING_STATUS=OR","EQY_CONSOLIDATED=Y","Sort=A","Dates=H","DateFormat=P","Fill=—","Direction=H","UseDPDF=Y")</f>
        <v>#NAME?</v>
      </c>
      <c r="BF267" s="1" t="e">
        <f ca="1">_xll.BDH($C$253,"REVENUE_SEQUENTIAL_GROWTH","FQ4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67" s="1" t="e">
        <f ca="1">_xll.BDH($C$253,"EBITDA_SEQUENTIAL_GROWTH","FQ4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67" s="1" t="e">
        <f ca="1">_xll.BDH($C$253,"OPERATING_INCOME_SEQ_GROWTH","FQ4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67" s="1" t="e">
        <f ca="1">_xll.BDH($C$253,"NET_INCOME_TO_COMMON_SEQ_GROWTH","FQ4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67" s="1" t="e">
        <f ca="1">_xll.BDH($C$253,"EPS_DILUTED_SEQUENTIAL_GROWTH","FQ4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67" s="1" t="e">
        <f ca="1">_xll.BDH($C$253,"DPS_SEQUENTIAL_GROWTH","FQ4 2016","FQ4 2016","Currency=INR","Period=FQ","BEST_FPERIOD_OVERRIDE=FQ","FILING_STATUS=OR","EQY_CONSOLIDATED=Y","Sort=A","Dates=H","DateFormat=P","Fill=—","Direction=H","UseDPDF=Y")</f>
        <v>#NAME?</v>
      </c>
      <c r="BL267" s="1" t="e">
        <f ca="1">_xll.BDH($C$253,"ACCOUNTS_RECEIVABLE_SEQ_GROWTH","FQ4 2016","FQ4 2016","Currency=INR","Period=FQ","BEST_FPERIOD_OVERRIDE=FQ","FILING_STATUS=OR","EQY_CONSOLIDATED=Y","Sort=A","Dates=H","DateFormat=P","Fill=—","Direction=H","UseDPDF=Y")</f>
        <v>#NAME?</v>
      </c>
      <c r="BM267" s="1" t="e">
        <f ca="1">_xll.BDH($C$253,"INVENTORY_SEQUENTIAL_GROWTH","FQ4 2016","FQ4 2016","Currency=INR","Period=FQ","BEST_FPERIOD_OVERRIDE=FQ","FILING_STATUS=OR","EQY_CONSOLIDATED=Y","Sort=A","Dates=H","DateFormat=P","Fill=—","Direction=H","UseDPDF=Y")</f>
        <v>#NAME?</v>
      </c>
      <c r="BN267" s="1" t="e">
        <f ca="1">_xll.BDH($C$253,"FIXED_ASSETS_SEQUENTIAL_GROWTH","FQ4 2016","FQ4 2016","Currency=INR","Period=FQ","BEST_FPERIOD_OVERRIDE=FQ","FILING_STATUS=OR","EQY_CONSOLIDATED=Y","Sort=A","Dates=H","DateFormat=P","Fill=—","Direction=H","UseDPDF=Y")</f>
        <v>#NAME?</v>
      </c>
      <c r="BO267" s="1" t="e">
        <f ca="1">_xll.BDH($C$253,"TOTAL_ASSETS_SEQUENTIAL_GROWTH","FQ4 2016","FQ4 2016","Currency=INR","Period=FQ","BEST_FPERIOD_OVERRIDE=FQ","FILING_STATUS=OR","EQY_CONSOLIDATED=Y","Sort=A","Dates=H","DateFormat=P","Fill=—","Direction=H","UseDPDF=Y")</f>
        <v>#NAME?</v>
      </c>
      <c r="BP267" s="1" t="e">
        <f ca="1">_xll.BDH($C$253,"MODIFIED_WORKING_CPTL_SEQ_GRWTH","FQ4 2016","FQ4 2016","Currency=INR","Period=FQ","BEST_FPERIOD_OVERRIDE=FQ","FILING_STATUS=OR","EQY_CONSOLIDATED=Y","Sort=A","Dates=H","DateFormat=P","Fill=—","Direction=H","UseDPDF=Y")</f>
        <v>#NAME?</v>
      </c>
      <c r="BQ267" s="1" t="e">
        <f ca="1">_xll.BDH($C$253,"WORKING_CAPITAL_SEQ_GROWTH","FQ4 2016","FQ4 2016","Currency=INR","Period=FQ","BEST_FPERIOD_OVERRIDE=FQ","FILING_STATUS=OR","EQY_CONSOLIDATED=Y","Sort=A","Dates=H","DateFormat=P","Fill=—","Direction=H","UseDPDF=Y")</f>
        <v>#NAME?</v>
      </c>
      <c r="BR267" s="1" t="e">
        <f ca="1">_xll.BDH($C$253,"ACCOUNTS_PAYABLE_SEQ_GROWTH","FQ4 2016","FQ4 2016","Currency=INR","Period=FQ","BEST_FPERIOD_OVERRIDE=FQ","FILING_STATUS=OR","EQY_CONSOLIDATED=Y","Sort=A","Dates=H","DateFormat=P","Fill=—","Direction=H","UseDPDF=Y")</f>
        <v>#NAME?</v>
      </c>
      <c r="BS267" s="1" t="e">
        <f ca="1">_xll.BDH($C$253,"ST_DEBT_SEQUENTIAL_GROWTH","FQ4 2016","FQ4 2016","Currency=INR","Period=FQ","BEST_FPERIOD_OVERRIDE=FQ","FILING_STATUS=OR","EQY_CONSOLIDATED=Y","Sort=A","Dates=H","DateFormat=P","Fill=—","Direction=H","UseDPDF=Y")</f>
        <v>#NAME?</v>
      </c>
      <c r="BT267" s="1" t="e">
        <f ca="1">_xll.BDH($C$253,"TOTAL_DEBT_SEQUENTIAL_GROWTH","FQ4 2016","FQ4 2016","Currency=INR","Period=FQ","BEST_FPERIOD_OVERRIDE=FQ","FILING_STATUS=OR","EQY_CONSOLIDATED=Y","Sort=A","Dates=H","DateFormat=P","Fill=—","Direction=H","UseDPDF=Y")</f>
        <v>#NAME?</v>
      </c>
      <c r="BU267" s="1" t="e">
        <f ca="1">_xll.BDH($C$253,"TOTAL_EQUITY_SEQUENTIAL_GROWTH","FQ4 2016","FQ4 2016","Currency=INR","Period=FQ","BEST_FPERIOD_OVERRIDE=FQ","FILING_STATUS=OR","EQY_CONSOLIDATED=Y","Sort=A","Dates=H","DateFormat=P","Fill=—","Direction=H","UseDPDF=Y")</f>
        <v>#NAME?</v>
      </c>
      <c r="BV267" s="1" t="e">
        <f ca="1">_xll.BDH($C$253,"TOTAL_CAPITAL_SEQUENTIAL_GROWTH","FQ4 2016","FQ4 2016","Currency=INR","Period=FQ","BEST_FPERIOD_OVERRIDE=FQ","FILING_STATUS=OR","EQY_CONSOLIDATED=Y","Sort=A","Dates=H","DateFormat=P","Fill=—","Direction=H","UseDPDF=Y")</f>
        <v>#NAME?</v>
      </c>
      <c r="BW267" s="1" t="e">
        <f ca="1">_xll.BDH($C$253,"BPS_SEQUENTIAL_GROWTH","FQ4 2016","FQ4 2016","Currency=INR","Period=FQ","BEST_FPERIOD_OVERRIDE=FQ","FILING_STATUS=OR","EQY_CONSOLIDATED=Y","Sort=A","Dates=H","DateFormat=P","Fill=—","Direction=H","UseDPDF=Y")</f>
        <v>#NAME?</v>
      </c>
      <c r="BX267" s="1" t="e">
        <f ca="1">_xll.BDH($C$253,"CFO_SEQUENTIAL_GROWTH","FQ4 2016","FQ4 2016","Currency=INR","Period=FQ","BEST_FPERIOD_OVERRIDE=FQ","FILING_STATUS=OR","EQY_CONSOLIDATED=Y","Sort=A","Dates=H","DateFormat=P","Fill=—","Direction=H","UseDPDF=Y")</f>
        <v>#NAME?</v>
      </c>
      <c r="BY267" s="2" t="e">
        <f ca="1">_xll.BDH($C$253,"SHORT_AND_LONG_TERM_DEBT","FQ4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67" s="2" t="e">
        <f ca="1">_xll.BDH($C$253,"BS_ST_BORROW","FQ4 2016","FQ4 2016","Currency=INR","Period=FQ","BEST_FPERIOD_OVERRIDE=FQ","FILING_STATUS=OR","EQY_CONSOLIDATED=Y","SCALING_FORMAT=MLN","Sort=A","Dates=H","DateFormat=P","Fill=—","Direction=H","UseDPDF=Y")</f>
        <v>#NAME?</v>
      </c>
      <c r="CA267" s="2" t="e">
        <f ca="1">_xll.BDH($C$253,"BS_LT_BORROW","FQ4 2016","FQ4 2016","Currency=INR","Period=FQ","BEST_FPERIOD_OVERRIDE=FQ","FILING_STATUS=OR","EQY_CONSOLIDATED=Y","SCALING_FORMAT=MLN","Sort=A","Dates=H","DateFormat=P","Fill=—","Direction=H","UseDPDF=Y")</f>
        <v>#NAME?</v>
      </c>
      <c r="CB267" s="1" t="e">
        <f ca="1">_xll.BDH($C$253,"TOT_DEBT_TO_EBITDA","FQ4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67" s="1" t="e">
        <f ca="1">_xll.BDH($C$253,"NET_DEBT_TO_EBITDA","FQ4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67" s="1" t="e">
        <f ca="1">_xll.BDH($C$253,"TOTAL_DEBT_TO_EBIT","FQ4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67" s="1" t="e">
        <f ca="1">_xll.BDH($C$253,"NET_DEBT_TO_EBIT","FQ4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267" s="1" t="e">
        <f ca="1">_xll.BDH($C$253,"EBITDA_TO_INTEREST_EXPN","FQ4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67" s="1" t="e">
        <f ca="1">_xll.BDH($C$253,"COM_EQY_TO_TOT_ASSET","FQ4 2016","FQ4 2016","Currency=INR","Period=FQ","BEST_FPERIOD_OVERRIDE=FQ","FILING_STATUS=OR","EQY_CONSOLIDATED=Y","Sort=A","Dates=H","DateFormat=P","Fill=—","Direction=H","UseDPDF=Y")</f>
        <v>#NAME?</v>
      </c>
      <c r="CH267" s="1" t="e">
        <f ca="1">_xll.BDH($C$253,"LT_DEBT_TO_TOT_EQY","FQ4 2016","FQ4 2016","Currency=INR","Period=FQ","BEST_FPERIOD_OVERRIDE=FQ","FILING_STATUS=OR","EQY_CONSOLIDATED=Y","Sort=A","Dates=H","DateFormat=P","Fill=—","Direction=H","UseDPDF=Y")</f>
        <v>#NAME?</v>
      </c>
      <c r="CI267" s="1" t="e">
        <f ca="1">_xll.BDH($C$253,"LT_DEBT_TO_TOT_CAP","FQ4 2016","FQ4 2016","Currency=INR","Period=FQ","BEST_FPERIOD_OVERRIDE=FQ","FILING_STATUS=OR","EQY_CONSOLIDATED=Y","Sort=A","Dates=H","DateFormat=P","Fill=—","Direction=H","UseDPDF=Y")</f>
        <v>#NAME?</v>
      </c>
      <c r="CJ267" s="1" t="e">
        <f ca="1">_xll.BDH($C$253,"LT_DEBT_TO_TOT_ASSET","FQ4 2016","FQ4 2016","Currency=INR","Period=FQ","BEST_FPERIOD_OVERRIDE=FQ","FILING_STATUS=OR","EQY_CONSOLIDATED=Y","Sort=A","Dates=H","DateFormat=P","Fill=—","Direction=H","UseDPDF=Y")</f>
        <v>#NAME?</v>
      </c>
      <c r="CK267" s="1" t="e">
        <f ca="1">_xll.BDH($C$253,"TOT_DEBT_TO_TOT_EQY","FQ4 2016","FQ4 2016","Currency=INR","Period=FQ","BEST_FPERIOD_OVERRIDE=FQ","FILING_STATUS=OR","EQY_CONSOLIDATED=Y","Sort=A","Dates=H","DateFormat=P","Fill=—","Direction=H","UseDPDF=Y")</f>
        <v>#NAME?</v>
      </c>
      <c r="CL267" s="1" t="e">
        <f ca="1">_xll.BDH($C$253,"TOT_DEBT_TO_TOT_CAP","FQ4 2016","FQ4 2016","Currency=INR","Period=FQ","BEST_FPERIOD_OVERRIDE=FQ","FILING_STATUS=OR","EQY_CONSOLIDATED=Y","Sort=A","Dates=H","DateFormat=P","Fill=—","Direction=H","UseDPDF=Y")</f>
        <v>#NAME?</v>
      </c>
      <c r="CM267" s="1" t="e">
        <f ca="1">_xll.BDH($C$253,"TOT_DEBT_TO_TOT_ASSET","FQ4 2016","FQ4 2016","Currency=INR","Period=FQ","BEST_FPERIOD_OVERRIDE=FQ","FILING_STATUS=OR","EQY_CONSOLIDATED=Y","Sort=A","Dates=H","DateFormat=P","Fill=—","Direction=H","UseDPDF=Y")</f>
        <v>#NAME?</v>
      </c>
      <c r="CN267" s="1" t="e">
        <f ca="1">_xll.BDH($C$253,"NET_DEBT_TO_SHRHLDR_EQTY","FQ4 2016","FQ4 2016","Currency=INR","Period=FQ","BEST_FPERIOD_OVERRIDE=FQ","FILING_STATUS=OR","EQY_CONSOLIDATED=Y","Sort=A","Dates=H","DateFormat=P","Fill=—","Direction=H","UseDPDF=Y")</f>
        <v>#NAME?</v>
      </c>
      <c r="CO267" s="1" t="e">
        <f ca="1">_xll.BDH($C$253,"NET_DEBT_%_CAPITAL","FQ4 2016","FQ4 2016","Currency=INR","Period=FQ","BEST_FPERIOD_OVERRIDE=FQ","FILING_STATUS=OR","EQY_CONSOLIDATED=Y","Sort=A","Dates=H","DateFormat=P","Fill=—","Direction=H","UseDPDF=Y")</f>
        <v>#NAME?</v>
      </c>
      <c r="CP267" s="2" t="e">
        <f ca="1">_xll.BDH($C$253,"EBITDA","FQ4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67" s="2" t="e">
        <f ca="1">_xll.BDH($C$253,"EBITDA_AFTER_CAPEX","FQ4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67" s="2" t="e">
        <f ca="1">_xll.BDH($C$253,"IS_OPER_INC","FQ4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67" s="1" t="e">
        <f ca="1">_xll.BDH($C$253,"CASH_RATIO","FQ4 2016","FQ4 2016","Currency=INR","Period=FQ","BEST_FPERIOD_OVERRIDE=FQ","FILING_STATUS=OR","EQY_CONSOLIDATED=Y","Sort=A","Dates=H","DateFormat=P","Fill=—","Direction=H","UseDPDF=Y")</f>
        <v>#NAME?</v>
      </c>
      <c r="CT267" s="1" t="e">
        <f ca="1">_xll.BDH($C$253,"CUR_RATIO","FQ4 2016","FQ4 2016","Currency=INR","Period=FQ","BEST_FPERIOD_OVERRIDE=FQ","FILING_STATUS=OR","EQY_CONSOLIDATED=Y","Sort=A","Dates=H","DateFormat=P","Fill=—","Direction=H","UseDPDF=Y")</f>
        <v>#NAME?</v>
      </c>
      <c r="CU267" s="1" t="e">
        <f ca="1">_xll.BDH($C$253,"QUICK_RATIO","FQ4 2016","FQ4 2016","Currency=INR","Period=FQ","BEST_FPERIOD_OVERRIDE=FQ","FILING_STATUS=OR","EQY_CONSOLIDATED=Y","Sort=A","Dates=H","DateFormat=P","Fill=—","Direction=H","UseDPDF=Y")</f>
        <v>#NAME?</v>
      </c>
      <c r="CV267" s="1" t="e">
        <f ca="1">_xll.BDH($C$253,"ALTMAN_Z_SCORE","FQ4 2016","FQ4 2016","Currency=INR","Period=FQ","BEST_FPERIOD_OVERRIDE=FQ","FILING_STATUS=OR","EQY_CONSOLIDATED=Y","Sort=A","Dates=H","DateFormat=P","Fill=—","Direction=H","UseDPDF=Y")</f>
        <v>#NAME?</v>
      </c>
      <c r="CW267" s="3" t="e">
        <f ca="1">_xll.BDH($C$253,"ACCT_RCV_TURN","FQ4 2016","FQ4 2016","Currency=INR","Period=FQ","BEST_FPERIOD_OVERRIDE=FQ","FILING_STATUS=OR","EQY_CONSOLIDATED=Y","FA_ADJUSTED=GAAP","Sort=A","Dates=H","DateFormat=P","Fill=—","Direction=H","UseDPDF=Y")</f>
        <v>#NAME?</v>
      </c>
      <c r="CX267" s="1" t="e">
        <f ca="1">_xll.BDH($C$253,"ACCT_RCV_DAYS","FQ4 2016","FQ4 2016","Currency=INR","Period=FQ","BEST_FPERIOD_OVERRIDE=FQ","FILING_STATUS=OR","EQY_CONSOLIDATED=Y","FA_ADJUSTED=GAAP","Sort=A","Dates=H","DateFormat=P","Fill=—","Direction=H","UseDPDF=Y")</f>
        <v>#NAME?</v>
      </c>
      <c r="CY267" s="3" t="e">
        <f ca="1">_xll.BDH($C$253,"INVENT_TURN","FQ4 2016","FQ4 2016","Currency=INR","Period=FQ","BEST_FPERIOD_OVERRIDE=FQ","FILING_STATUS=OR","EQY_CONSOLIDATED=Y","FA_ADJUSTED=GAAP","Sort=A","Dates=H","DateFormat=P","Fill=—","Direction=H","UseDPDF=Y")</f>
        <v>#NAME?</v>
      </c>
      <c r="CZ267" s="1" t="e">
        <f ca="1">_xll.BDH($C$253,"INVENT_DAYS","FQ4 2016","FQ4 2016","Currency=INR","Period=FQ","BEST_FPERIOD_OVERRIDE=FQ","FILING_STATUS=OR","EQY_CONSOLIDATED=Y","FA_ADJUSTED=GAAP","Sort=A","Dates=H","DateFormat=P","Fill=—","Direction=H","UseDPDF=Y")</f>
        <v>#NAME?</v>
      </c>
      <c r="DA267" s="3" t="e">
        <f ca="1">_xll.BDH($C$253,"ACCOUNTS_PAYABLE_TURNOVER","FQ4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67" s="1" t="e">
        <f ca="1">_xll.BDH($C$253,"ACCOUNTS_PAYABLE_TURNOVER_DAYS","FQ4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67" s="3" t="e">
        <f ca="1">_xll.BDH($C$253,"CASH_CONVERSION_CYCLE","FQ4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67" s="3" t="e">
        <f ca="1">_xll.BDH($C$253,"INV_TO_CASH_DAYS","FQ4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267" s="4" t="e">
        <f ca="1">_xll.BDH($C$253,"BS_INVENTORIES","FQ4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267" s="2" t="e">
        <f ca="1">_xll.BDH($C$253,"INVTRY_RAW_MATERIALS","FQ4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67" s="2" t="e">
        <f ca="1">_xll.BDH($C$253,"INVTRY_IN_PROGRESS","FQ4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67" s="2" t="e">
        <f ca="1">_xll.BDH($C$253,"INVTRY_FINISHED_GOODS","FQ4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67" s="2" t="e">
        <f ca="1">_xll.BDH($C$253,"BS_OTHER_INV","FQ4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68" spans="1:113" x14ac:dyDescent="0.3">
      <c r="A268" s="6"/>
      <c r="B268" s="6"/>
      <c r="C268" s="6"/>
      <c r="D268" s="6" t="s">
        <v>10</v>
      </c>
      <c r="E268" t="s">
        <v>3</v>
      </c>
      <c r="F268" t="e">
        <f ca="1">_xll.BDH($C$253,"RETURN_COM_EQY","FY 2017","FY 2017","Currency=INR","Period=FY","BEST_FPERIOD_OVERRIDE=FY","FILING_STATUS=OR","EQY_CONSOLIDATED=Y","FA_ADJUSTED=GAAP","Sort=A","Dates=H","DateFormat=P","Fill=—","Direction=H","UseDPDF=Y")</f>
        <v>#NAME?</v>
      </c>
      <c r="G268" t="e">
        <f ca="1">_xll.BDH($C$253,"RETURN_ON_ASSET","FY 2017","FY 2017","Currency=INR","Period=FY","BEST_FPERIOD_OVERRIDE=FY","FILING_STATUS=OR","EQY_CONSOLIDATED=Y","FA_ADJUSTED=GAAP","Sort=A","Dates=H","DateFormat=P","Fill=—","Direction=H","UseDPDF=Y")</f>
        <v>#NAME?</v>
      </c>
      <c r="H268" t="e">
        <f ca="1">_xll.BDH($C$253,"RETURN_ON_CAP","FY 2017","FY 2017","Currency=INR","Period=FY","BEST_FPERIOD_OVERRIDE=FY","FILING_STATUS=OR","EQY_CONSOLIDATED=Y","FA_ADJUSTED=GAAP","Sort=A","Dates=H","DateFormat=P","Fill=—","Direction=H","UseDPDF=Y")</f>
        <v>#NAME?</v>
      </c>
      <c r="I268" t="e">
        <f ca="1">_xll.BDH($C$253,"RETURN_ON_INV_CAPITAL","FY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68" t="e">
        <f ca="1">_xll.BDH($C$253,"EBITDA_TO_REVENUE","FY 2017","FY 2017","Currency=INR","Period=FY","BEST_FPERIOD_OVERRIDE=FY","FILING_STATUS=OR","EQY_CONSOLIDATED=Y","FA_ADJUSTED=GAAP","Sort=A","Dates=H","DateFormat=P","Fill=—","Direction=H","UseDPDF=Y")</f>
        <v>#NAME?</v>
      </c>
      <c r="K268" t="e">
        <f ca="1">_xll.BDH($C$253,"OPER_MARGIN","FY 2017","FY 2017","Currency=INR","Period=FY","BEST_FPERIOD_OVERRIDE=FY","FILING_STATUS=OR","EQY_CONSOLIDATED=Y","FA_ADJUSTED=GAAP","Sort=A","Dates=H","DateFormat=P","Fill=—","Direction=H","UseDPDF=Y")</f>
        <v>#NAME?</v>
      </c>
      <c r="L268" t="e">
        <f ca="1">_xll.BDH($C$253,"INCREMENTAL_OPERATING_MARGIN","FY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68" t="e">
        <f ca="1">_xll.BDH($C$253,"PRETAX_INC_TO_NET_SALES","FY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68" t="e">
        <f ca="1">_xll.BDH($C$253,"INC_BEF_XO_ITEMS_TO_NET_SALES","FY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68" t="e">
        <f ca="1">_xll.BDH($C$253,"PROF_MARGIN","FY 2017","FY 2017","Currency=INR","Period=FY","BEST_FPERIOD_OVERRIDE=FY","FILING_STATUS=OR","EQY_CONSOLIDATED=Y","FA_ADJUSTED=GAAP","Sort=A","Dates=H","DateFormat=P","Fill=—","Direction=H","UseDPDF=Y")</f>
        <v>#NAME?</v>
      </c>
      <c r="P268" t="e">
        <f ca="1">_xll.BDH($C$253,"NET_INCOME_TO_COMMON_MARGIN","FY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68" t="e">
        <f ca="1">_xll.BDH($C$253,"EFF_TAX_RATE","FY 2017","FY 2017","Currency=INR","Period=FY","BEST_FPERIOD_OVERRIDE=FY","FILING_STATUS=OR","EQY_CONSOLIDATED=Y","FA_ADJUSTED=GAAP","Sort=A","Dates=H","DateFormat=P","Fill=—","Direction=H","UseDPDF=Y")</f>
        <v>#NAME?</v>
      </c>
      <c r="R268" t="e">
        <f ca="1">_xll.BDH($C$253,"DVD_PAYOUT_RATIO","FY 2017","FY 2017","Currency=INR","Period=FY","BEST_FPERIOD_OVERRIDE=FY","FILING_STATUS=OR","EQY_CONSOLIDATED=Y","FA_ADJUSTED=GAAP","Sort=A","Dates=H","DateFormat=P","Fill=—","Direction=H","UseDPDF=Y")</f>
        <v>#NAME?</v>
      </c>
      <c r="S268" t="e">
        <f ca="1">_xll.BDH($C$253,"SUSTAIN_GROWTH_RT","FY 2017","FY 2017","Currency=INR","Period=FY","BEST_FPERIOD_OVERRIDE=FY","FILING_STATUS=OR","EQY_CONSOLIDATED=Y","FA_ADJUSTED=GAAP","Sort=A","Dates=H","DateFormat=P","Fill=—","Direction=H","UseDPDF=Y")</f>
        <v>#NAME?</v>
      </c>
      <c r="T268" s="1" t="e">
        <f ca="1">_xll.BDH($C$253,"SALES_GROWTH","FY 2017","FY 2017","Currency=INR","Period=FY","BEST_FPERIOD_OVERRIDE=FY","FILING_STATUS=OR","EQY_CONSOLIDATED=Y","FA_ADJUSTED=GAAP","Sort=A","Dates=H","DateFormat=P","Fill=—","Direction=H","UseDPDF=Y")</f>
        <v>#NAME?</v>
      </c>
      <c r="U268" s="1" t="e">
        <f ca="1">_xll.BDH($C$253,"EBITDA_GROWTH","FY 2017","FY 2017","Currency=INR","Period=FY","BEST_FPERIOD_OVERRIDE=FY","FILING_STATUS=OR","EQY_CONSOLIDATED=Y","FA_ADJUSTED=GAAP","Sort=A","Dates=H","DateFormat=P","Fill=—","Direction=H","UseDPDF=Y")</f>
        <v>#NAME?</v>
      </c>
      <c r="V268" s="1" t="e">
        <f ca="1">_xll.BDH($C$253,"OPER_INC_GROWTH","FY 2017","FY 2017","Currency=INR","Period=FY","BEST_FPERIOD_OVERRIDE=FY","FILING_STATUS=OR","EQY_CONSOLIDATED=Y","FA_ADJUSTED=GAAP","Sort=A","Dates=H","DateFormat=P","Fill=—","Direction=H","UseDPDF=Y")</f>
        <v>#NAME?</v>
      </c>
      <c r="W268" s="1" t="e">
        <f ca="1">_xll.BDH($C$253,"EARN_FOR_COM_GROWTH","FY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268" s="1" t="e">
        <f ca="1">_xll.BDH($C$253,"DILUTED_EPS_AFT_XO_ITEMS_GROWTH","FY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68" s="1" t="e">
        <f ca="1">_xll.BDH($C$253,"DIVIDEND_PER_SHARE_1_YEAR_GROWTH","FY 2017","FY 2017","Currency=INR","Period=FY","BEST_FPERIOD_OVERRIDE=FY","FILING_STATUS=OR","EQY_CONSOLIDATED=Y","Sort=A","Dates=H","DateFormat=P","Fill=—","Direction=H","UseDPDF=Y")</f>
        <v>#NAME?</v>
      </c>
      <c r="Z268" s="1" t="e">
        <f ca="1">_xll.BDH($C$253,"ACCOUNTS_RECEIVABLE_GROWTH","FY 2017","FY 2017","Currency=INR","Period=FY","BEST_FPERIOD_OVERRIDE=FY","FILING_STATUS=OR","EQY_CONSOLIDATED=Y","Sort=A","Dates=H","DateFormat=P","Fill=—","Direction=H","UseDPDF=Y")</f>
        <v>#NAME?</v>
      </c>
      <c r="AA268" s="1" t="e">
        <f ca="1">_xll.BDH($C$253,"INVENTORY_GROWTH","FY 2017","FY 2017","Currency=INR","Period=FY","BEST_FPERIOD_OVERRIDE=FY","FILING_STATUS=OR","EQY_CONSOLIDATED=Y","Sort=A","Dates=H","DateFormat=P","Fill=—","Direction=H","UseDPDF=Y")</f>
        <v>#NAME?</v>
      </c>
      <c r="AB268" s="1" t="e">
        <f ca="1">_xll.BDH($C$253,"NET_FIXED_ASSETS_1_YEAR_GROWTH","FY 2017","FY 2017","Currency=INR","Period=FY","BEST_FPERIOD_OVERRIDE=FY","FILING_STATUS=OR","EQY_CONSOLIDATED=Y","Sort=A","Dates=H","DateFormat=P","Fill=—","Direction=H","UseDPDF=Y")</f>
        <v>#NAME?</v>
      </c>
      <c r="AC268" s="1" t="e">
        <f ca="1">_xll.BDH($C$253,"ASSET_GROWTH","FY 2017","FY 2017","Currency=INR","Period=FY","BEST_FPERIOD_OVERRIDE=FY","FILING_STATUS=OR","EQY_CONSOLIDATED=Y","Sort=A","Dates=H","DateFormat=P","Fill=—","Direction=H","UseDPDF=Y")</f>
        <v>#NAME?</v>
      </c>
      <c r="AD268" s="1" t="e">
        <f ca="1">_xll.BDH($C$253,"MODIFIED_WORK_CAP_GROWTH","FY 2017","FY 2017","Currency=INR","Period=FY","BEST_FPERIOD_OVERRIDE=FY","FILING_STATUS=OR","EQY_CONSOLIDATED=Y","Sort=A","Dates=H","DateFormat=P","Fill=—","Direction=H","UseDPDF=Y")</f>
        <v>#NAME?</v>
      </c>
      <c r="AE268" s="1" t="e">
        <f ca="1">_xll.BDH($C$253,"WORK_CAP_GROWTH","FY 2017","FY 2017","Currency=INR","Period=FY","BEST_FPERIOD_OVERRIDE=FY","FILING_STATUS=OR","EQY_CONSOLIDATED=Y","Sort=A","Dates=H","DateFormat=P","Fill=—","Direction=H","UseDPDF=Y")</f>
        <v>#NAME?</v>
      </c>
      <c r="AF268" s="1" t="e">
        <f ca="1">_xll.BDH($C$253,"ACCOUNTS_PAYABLE_GROWTH_1YR","FY 2017","FY 2017","Currency=INR","Period=FY","BEST_FPERIOD_OVERRIDE=FY","FILING_STATUS=OR","EQY_CONSOLIDATED=Y","Sort=A","Dates=H","DateFormat=P","Fill=—","Direction=H","UseDPDF=Y")</f>
        <v>#NAME?</v>
      </c>
      <c r="AG268" s="1" t="e">
        <f ca="1">_xll.BDH($C$253,"SHORT_TERM_DEBT_1_YEAR_GROWTH","FY 2017","FY 2017","Currency=INR","Period=FY","BEST_FPERIOD_OVERRIDE=FY","FILING_STATUS=OR","EQY_CONSOLIDATED=Y","Sort=A","Dates=H","DateFormat=P","Fill=—","Direction=H","UseDPDF=Y")</f>
        <v>#NAME?</v>
      </c>
      <c r="AH268" s="1" t="e">
        <f ca="1">_xll.BDH($C$253,"TOTAL_DEBT_1_YEAR_GROWTH","FY 2017","FY 2017","Currency=INR","Period=FY","BEST_FPERIOD_OVERRIDE=FY","FILING_STATUS=OR","EQY_CONSOLIDATED=Y","Sort=A","Dates=H","DateFormat=P","Fill=—","Direction=H","UseDPDF=Y")</f>
        <v>#NAME?</v>
      </c>
      <c r="AI268" s="1" t="e">
        <f ca="1">_xll.BDH($C$253,"TOTAL_EQUITY_1_YEAR_GROWTH","FY 2017","FY 2017","Currency=INR","Period=FY","BEST_FPERIOD_OVERRIDE=FY","FILING_STATUS=OR","EQY_CONSOLIDATED=Y","Sort=A","Dates=H","DateFormat=P","Fill=—","Direction=H","UseDPDF=Y")</f>
        <v>#NAME?</v>
      </c>
      <c r="AJ268" s="1" t="e">
        <f ca="1">_xll.BDH($C$253,"GROWTH_IN_CAP","FY 2017","FY 2017","Currency=INR","Period=FY","BEST_FPERIOD_OVERRIDE=FY","FILING_STATUS=OR","EQY_CONSOLIDATED=Y","Sort=A","Dates=H","DateFormat=P","Fill=—","Direction=H","UseDPDF=Y")</f>
        <v>#NAME?</v>
      </c>
      <c r="AK268" s="1" t="e">
        <f ca="1">_xll.BDH($C$253,"BVPS_GROWTH","FY 2017","FY 2017","Currency=INR","Period=FY","BEST_FPERIOD_OVERRIDE=FY","FILING_STATUS=OR","EQY_CONSOLIDATED=Y","Sort=A","Dates=H","DateFormat=P","Fill=—","Direction=H","UseDPDF=Y")</f>
        <v>#NAME?</v>
      </c>
      <c r="AL268" s="1" t="e">
        <f ca="1">_xll.BDH($C$253,"CASH_FLOW_GROWTH","FY 2017","FY 2017","Currency=INR","Period=FY","BEST_FPERIOD_OVERRIDE=FY","FILING_STATUS=OR","EQY_CONSOLIDATED=Y","Sort=A","Dates=H","DateFormat=P","Fill=—","Direction=H","UseDPDF=Y")</f>
        <v>#NAME?</v>
      </c>
      <c r="AM268" s="1" t="e">
        <f ca="1">_xll.BDH($C$253,"GEO_GROW_NET_SALES","FY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268" s="1" t="e">
        <f ca="1">_xll.BDH($C$253,"GEO_GROW_EBITDA","FY 2017","FY 2017","Currency=INR","Period=FY","BEST_FPERIOD_OVERRIDE=FY","FILING_STATUS=OR","EQY_CONSOLIDATED=Y","FA_ADJUSTED=GAAP","Sort=A","Dates=H","DateFormat=P","Fill=—","Direction=H","UseDPDF=Y")</f>
        <v>#NAME?</v>
      </c>
      <c r="AO268" s="1" t="e">
        <f ca="1">_xll.BDH($C$253,"GEO_GROW_OPER_INC","FY 2017","FY 2017","Currency=INR","Period=FY","BEST_FPERIOD_OVERRIDE=FY","FILING_STATUS=OR","EQY_CONSOLIDATED=Y","FA_ADJUSTED=GAAP","Sort=A","Dates=H","DateFormat=P","Fill=—","Direction=H","UseDPDF=Y")</f>
        <v>#NAME?</v>
      </c>
      <c r="AP268" s="1" t="e">
        <f ca="1">_xll.BDH($C$253,"NET_INCOME_TO_COMMON_5_YR_GROWTH","FY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68" s="1" t="e">
        <f ca="1">_xll.BDH($C$253,"5Y_GEO_GROWTH_DILUTED_EPS","FY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68" s="1" t="e">
        <f ca="1">_xll.BDH($C$253,"GEO_GROW_DVD_PER_SH","FY 2017","FY 2017","Currency=INR","Period=FY","BEST_FPERIOD_OVERRIDE=FY","FILING_STATUS=OR","EQY_CONSOLIDATED=Y","Sort=A","Dates=H","DateFormat=P","Fill=—","Direction=H","UseDPDF=Y")</f>
        <v>#NAME?</v>
      </c>
      <c r="AS268" s="1" t="e">
        <f ca="1">_xll.BDH($C$253,"ACCOUNTS_RECEIVABLE_5_YR_GROWTH","FY 2017","FY 2017","Currency=INR","Period=FY","BEST_FPERIOD_OVERRIDE=FY","FILING_STATUS=OR","EQY_CONSOLIDATED=Y","Sort=A","Dates=H","DateFormat=P","Fill=—","Direction=H","UseDPDF=Y")</f>
        <v>#NAME?</v>
      </c>
      <c r="AT268" s="1" t="e">
        <f ca="1">_xll.BDH($C$253,"INVENTORY_5_YEAR_GROWTH","FY 2017","FY 2017","Currency=INR","Period=FY","BEST_FPERIOD_OVERRIDE=FY","FILING_STATUS=OR","EQY_CONSOLIDATED=Y","Sort=A","Dates=H","DateFormat=P","Fill=—","Direction=H","UseDPDF=Y")</f>
        <v>#NAME?</v>
      </c>
      <c r="AU268" s="1" t="e">
        <f ca="1">_xll.BDH($C$253,"NET_FIXED_ASSETS_5_YEAR_GROWTH","FY 2017","FY 2017","Currency=INR","Period=FY","BEST_FPERIOD_OVERRIDE=FY","FILING_STATUS=OR","EQY_CONSOLIDATED=Y","Sort=A","Dates=H","DateFormat=P","Fill=—","Direction=H","UseDPDF=Y")</f>
        <v>#NAME?</v>
      </c>
      <c r="AV268" s="1" t="e">
        <f ca="1">_xll.BDH($C$253,"GEO_GROW_TOT_ASSET","FY 2017","FY 2017","Currency=INR","Period=FY","BEST_FPERIOD_OVERRIDE=FY","FILING_STATUS=OR","EQY_CONSOLIDATED=Y","Sort=A","Dates=H","DateFormat=P","Fill=—","Direction=H","UseDPDF=Y")</f>
        <v>#NAME?</v>
      </c>
      <c r="AW268" s="1" t="e">
        <f ca="1">_xll.BDH($C$253,"MODIFIED_WORKING_CPTL_5YR_GRWTH","FY 2017","FY 2017","Currency=INR","Period=FY","BEST_FPERIOD_OVERRIDE=FY","FILING_STATUS=OR","EQY_CONSOLIDATED=Y","Sort=A","Dates=H","DateFormat=P","Fill=—","Direction=H","UseDPDF=Y")</f>
        <v>#NAME?</v>
      </c>
      <c r="AX268" s="1" t="e">
        <f ca="1">_xll.BDH($C$253,"WORKING_CAPITAL_5_YEAR_GROWTH","FY 2017","FY 2017","Currency=INR","Period=FY","BEST_FPERIOD_OVERRIDE=FY","FILING_STATUS=OR","EQY_CONSOLIDATED=Y","Sort=A","Dates=H","DateFormat=P","Fill=—","Direction=H","UseDPDF=Y")</f>
        <v>#NAME?</v>
      </c>
      <c r="AY268" s="1" t="e">
        <f ca="1">_xll.BDH($C$253,"ACCOUNTS_PAYABLE_5_YEAR_GROWTH","FY 2017","FY 2017","Currency=INR","Period=FY","BEST_FPERIOD_OVERRIDE=FY","FILING_STATUS=OR","EQY_CONSOLIDATED=Y","Sort=A","Dates=H","DateFormat=P","Fill=—","Direction=H","UseDPDF=Y")</f>
        <v>#NAME?</v>
      </c>
      <c r="AZ268" s="1" t="e">
        <f ca="1">_xll.BDH($C$253,"SHORT_TERM_DEBT_5_YEAR_GROWTH","FY 2017","FY 2017","Currency=INR","Period=FY","BEST_FPERIOD_OVERRIDE=FY","FILING_STATUS=OR","EQY_CONSOLIDATED=Y","Sort=A","Dates=H","DateFormat=P","Fill=—","Direction=H","UseDPDF=Y")</f>
        <v>#NAME?</v>
      </c>
      <c r="BA268" s="1" t="e">
        <f ca="1">_xll.BDH($C$253,"TOTAL_DEBT_5_YEAR_GROWTH","FY 2017","FY 2017","Currency=INR","Period=FY","BEST_FPERIOD_OVERRIDE=FY","FILING_STATUS=OR","EQY_CONSOLIDATED=Y","Sort=A","Dates=H","DateFormat=P","Fill=—","Direction=H","UseDPDF=Y")</f>
        <v>#NAME?</v>
      </c>
      <c r="BB268" s="1" t="e">
        <f ca="1">_xll.BDH($C$253,"GEO_GROW_TOT_SHRHLDR_EQY","FY 2017","FY 2017","Currency=INR","Period=FY","BEST_FPERIOD_OVERRIDE=FY","FILING_STATUS=OR","EQY_CONSOLIDATED=Y","Sort=A","Dates=H","DateFormat=P","Fill=—","Direction=H","UseDPDF=Y")</f>
        <v>#NAME?</v>
      </c>
      <c r="BC268" s="1" t="e">
        <f ca="1">_xll.BDH($C$253,"TOTAL_CAPITAL_5_YEAR_GROWTH","FY 2017","FY 2017","Currency=INR","Period=FY","BEST_FPERIOD_OVERRIDE=FY","FILING_STATUS=OR","EQY_CONSOLIDATED=Y","Sort=A","Dates=H","DateFormat=P","Fill=—","Direction=H","UseDPDF=Y")</f>
        <v>#NAME?</v>
      </c>
      <c r="BD268" s="1" t="e">
        <f ca="1">_xll.BDH($C$253,"GEO_GROW_BOOK_VAL","FY 2017","FY 2017","Currency=INR","Period=FY","BEST_FPERIOD_OVERRIDE=FY","FILING_STATUS=OR","EQY_CONSOLIDATED=Y","Sort=A","Dates=H","DateFormat=P","Fill=—","Direction=H","UseDPDF=Y")</f>
        <v>#NAME?</v>
      </c>
      <c r="BE268" s="1" t="e">
        <f ca="1">_xll.BDH($C$253,"GEO_GROW_CASH_OPER_ACT","FY 2017","FY 2017","Currency=INR","Period=FY","BEST_FPERIOD_OVERRIDE=FY","FILING_STATUS=OR","EQY_CONSOLIDATED=Y","Sort=A","Dates=H","DateFormat=P","Fill=—","Direction=H","UseDPDF=Y")</f>
        <v>#NAME?</v>
      </c>
      <c r="BF268" s="1" t="e">
        <f ca="1">_xll.BDH($C$253,"REVENUE_SEQUENTIAL_GROWTH","FY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68" s="1" t="e">
        <f ca="1">_xll.BDH($C$253,"EBITDA_SEQUENTIAL_GROWTH","FY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68" s="1" t="e">
        <f ca="1">_xll.BDH($C$253,"OPERATING_INCOME_SEQ_GROWTH","FY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68" s="1" t="e">
        <f ca="1">_xll.BDH($C$253,"NET_INCOME_TO_COMMON_SEQ_GROWTH","FY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68" s="1" t="e">
        <f ca="1">_xll.BDH($C$253,"EPS_DILUTED_SEQUENTIAL_GROWTH","FY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68" s="1" t="e">
        <f ca="1">_xll.BDH($C$253,"DPS_SEQUENTIAL_GROWTH","FY 2017","FY 2017","Currency=INR","Period=FY","BEST_FPERIOD_OVERRIDE=FY","FILING_STATUS=OR","EQY_CONSOLIDATED=Y","Sort=A","Dates=H","DateFormat=P","Fill=—","Direction=H","UseDPDF=Y")</f>
        <v>#NAME?</v>
      </c>
      <c r="BL268" s="1" t="e">
        <f ca="1">_xll.BDH($C$253,"ACCOUNTS_RECEIVABLE_SEQ_GROWTH","FY 2017","FY 2017","Currency=INR","Period=FY","BEST_FPERIOD_OVERRIDE=FY","FILING_STATUS=OR","EQY_CONSOLIDATED=Y","Sort=A","Dates=H","DateFormat=P","Fill=—","Direction=H","UseDPDF=Y")</f>
        <v>#NAME?</v>
      </c>
      <c r="BM268" s="1" t="e">
        <f ca="1">_xll.BDH($C$253,"INVENTORY_SEQUENTIAL_GROWTH","FY 2017","FY 2017","Currency=INR","Period=FY","BEST_FPERIOD_OVERRIDE=FY","FILING_STATUS=OR","EQY_CONSOLIDATED=Y","Sort=A","Dates=H","DateFormat=P","Fill=—","Direction=H","UseDPDF=Y")</f>
        <v>#NAME?</v>
      </c>
      <c r="BN268" s="1" t="e">
        <f ca="1">_xll.BDH($C$253,"FIXED_ASSETS_SEQUENTIAL_GROWTH","FY 2017","FY 2017","Currency=INR","Period=FY","BEST_FPERIOD_OVERRIDE=FY","FILING_STATUS=OR","EQY_CONSOLIDATED=Y","Sort=A","Dates=H","DateFormat=P","Fill=—","Direction=H","UseDPDF=Y")</f>
        <v>#NAME?</v>
      </c>
      <c r="BO268" s="1" t="e">
        <f ca="1">_xll.BDH($C$253,"TOTAL_ASSETS_SEQUENTIAL_GROWTH","FY 2017","FY 2017","Currency=INR","Period=FY","BEST_FPERIOD_OVERRIDE=FY","FILING_STATUS=OR","EQY_CONSOLIDATED=Y","Sort=A","Dates=H","DateFormat=P","Fill=—","Direction=H","UseDPDF=Y")</f>
        <v>#NAME?</v>
      </c>
      <c r="BP268" s="1" t="e">
        <f ca="1">_xll.BDH($C$253,"MODIFIED_WORKING_CPTL_SEQ_GRWTH","FY 2017","FY 2017","Currency=INR","Period=FY","BEST_FPERIOD_OVERRIDE=FY","FILING_STATUS=OR","EQY_CONSOLIDATED=Y","Sort=A","Dates=H","DateFormat=P","Fill=—","Direction=H","UseDPDF=Y")</f>
        <v>#NAME?</v>
      </c>
      <c r="BQ268" s="1" t="e">
        <f ca="1">_xll.BDH($C$253,"WORKING_CAPITAL_SEQ_GROWTH","FY 2017","FY 2017","Currency=INR","Period=FY","BEST_FPERIOD_OVERRIDE=FY","FILING_STATUS=OR","EQY_CONSOLIDATED=Y","Sort=A","Dates=H","DateFormat=P","Fill=—","Direction=H","UseDPDF=Y")</f>
        <v>#NAME?</v>
      </c>
      <c r="BR268" s="1" t="e">
        <f ca="1">_xll.BDH($C$253,"ACCOUNTS_PAYABLE_SEQ_GROWTH","FY 2017","FY 2017","Currency=INR","Period=FY","BEST_FPERIOD_OVERRIDE=FY","FILING_STATUS=OR","EQY_CONSOLIDATED=Y","Sort=A","Dates=H","DateFormat=P","Fill=—","Direction=H","UseDPDF=Y")</f>
        <v>#NAME?</v>
      </c>
      <c r="BS268" s="1" t="e">
        <f ca="1">_xll.BDH($C$253,"ST_DEBT_SEQUENTIAL_GROWTH","FY 2017","FY 2017","Currency=INR","Period=FY","BEST_FPERIOD_OVERRIDE=FY","FILING_STATUS=OR","EQY_CONSOLIDATED=Y","Sort=A","Dates=H","DateFormat=P","Fill=—","Direction=H","UseDPDF=Y")</f>
        <v>#NAME?</v>
      </c>
      <c r="BT268" s="1" t="e">
        <f ca="1">_xll.BDH($C$253,"TOTAL_DEBT_SEQUENTIAL_GROWTH","FY 2017","FY 2017","Currency=INR","Period=FY","BEST_FPERIOD_OVERRIDE=FY","FILING_STATUS=OR","EQY_CONSOLIDATED=Y","Sort=A","Dates=H","DateFormat=P","Fill=—","Direction=H","UseDPDF=Y")</f>
        <v>#NAME?</v>
      </c>
      <c r="BU268" s="1" t="e">
        <f ca="1">_xll.BDH($C$253,"TOTAL_EQUITY_SEQUENTIAL_GROWTH","FY 2017","FY 2017","Currency=INR","Period=FY","BEST_FPERIOD_OVERRIDE=FY","FILING_STATUS=OR","EQY_CONSOLIDATED=Y","Sort=A","Dates=H","DateFormat=P","Fill=—","Direction=H","UseDPDF=Y")</f>
        <v>#NAME?</v>
      </c>
      <c r="BV268" s="1" t="e">
        <f ca="1">_xll.BDH($C$253,"TOTAL_CAPITAL_SEQUENTIAL_GROWTH","FY 2017","FY 2017","Currency=INR","Period=FY","BEST_FPERIOD_OVERRIDE=FY","FILING_STATUS=OR","EQY_CONSOLIDATED=Y","Sort=A","Dates=H","DateFormat=P","Fill=—","Direction=H","UseDPDF=Y")</f>
        <v>#NAME?</v>
      </c>
      <c r="BW268" s="1" t="e">
        <f ca="1">_xll.BDH($C$253,"BPS_SEQUENTIAL_GROWTH","FY 2017","FY 2017","Currency=INR","Period=FY","BEST_FPERIOD_OVERRIDE=FY","FILING_STATUS=OR","EQY_CONSOLIDATED=Y","Sort=A","Dates=H","DateFormat=P","Fill=—","Direction=H","UseDPDF=Y")</f>
        <v>#NAME?</v>
      </c>
      <c r="BX268" s="1" t="e">
        <f ca="1">_xll.BDH($C$253,"CFO_SEQUENTIAL_GROWTH","FY 2017","FY 2017","Currency=INR","Period=FY","BEST_FPERIOD_OVERRIDE=FY","FILING_STATUS=OR","EQY_CONSOLIDATED=Y","Sort=A","Dates=H","DateFormat=P","Fill=—","Direction=H","UseDPDF=Y")</f>
        <v>#NAME?</v>
      </c>
      <c r="BY268" s="2" t="e">
        <f ca="1">_xll.BDH($C$253,"SHORT_AND_LONG_TERM_DEBT","FY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68" s="2" t="e">
        <f ca="1">_xll.BDH($C$253,"BS_ST_BORROW","FY 2017","FY 2017","Currency=INR","Period=FY","BEST_FPERIOD_OVERRIDE=FY","FILING_STATUS=OR","EQY_CONSOLIDATED=Y","SCALING_FORMAT=MLN","Sort=A","Dates=H","DateFormat=P","Fill=—","Direction=H","UseDPDF=Y")</f>
        <v>#NAME?</v>
      </c>
      <c r="CA268" s="2" t="e">
        <f ca="1">_xll.BDH($C$253,"BS_LT_BORROW","FY 2017","FY 2017","Currency=INR","Period=FY","BEST_FPERIOD_OVERRIDE=FY","FILING_STATUS=OR","EQY_CONSOLIDATED=Y","SCALING_FORMAT=MLN","Sort=A","Dates=H","DateFormat=P","Fill=—","Direction=H","UseDPDF=Y")</f>
        <v>#NAME?</v>
      </c>
      <c r="CB268" s="1" t="e">
        <f ca="1">_xll.BDH($C$253,"TOT_DEBT_TO_EBITDA","FY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268" s="1" t="e">
        <f ca="1">_xll.BDH($C$253,"NET_DEBT_TO_EBITDA","FY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268" s="1" t="e">
        <f ca="1">_xll.BDH($C$253,"TOTAL_DEBT_TO_EBIT","FY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268" s="1" t="e">
        <f ca="1">_xll.BDH($C$253,"NET_DEBT_TO_EBIT","FY 2017","FY 2017","Currency=INR","Period=FY","BEST_FPERIOD_OVERRIDE=FY","FILING_STATUS=OR","EQY_CONSOLIDATED=Y","FA_ADJUSTED=GAAP","Sort=A","Dates=H","DateFormat=P","Fill=—","Direction=H","UseDPDF=Y")</f>
        <v>#NAME?</v>
      </c>
      <c r="CF268" s="1" t="e">
        <f ca="1">_xll.BDH($C$253,"EBITDA_TO_INTEREST_EXPN","FY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68" s="1" t="e">
        <f ca="1">_xll.BDH($C$253,"COM_EQY_TO_TOT_ASSET","FY 2017","FY 2017","Currency=INR","Period=FY","BEST_FPERIOD_OVERRIDE=FY","FILING_STATUS=OR","EQY_CONSOLIDATED=Y","Sort=A","Dates=H","DateFormat=P","Fill=—","Direction=H","UseDPDF=Y")</f>
        <v>#NAME?</v>
      </c>
      <c r="CH268" s="1" t="e">
        <f ca="1">_xll.BDH($C$253,"LT_DEBT_TO_TOT_EQY","FY 2017","FY 2017","Currency=INR","Period=FY","BEST_FPERIOD_OVERRIDE=FY","FILING_STATUS=OR","EQY_CONSOLIDATED=Y","Sort=A","Dates=H","DateFormat=P","Fill=—","Direction=H","UseDPDF=Y")</f>
        <v>#NAME?</v>
      </c>
      <c r="CI268" s="1" t="e">
        <f ca="1">_xll.BDH($C$253,"LT_DEBT_TO_TOT_CAP","FY 2017","FY 2017","Currency=INR","Period=FY","BEST_FPERIOD_OVERRIDE=FY","FILING_STATUS=OR","EQY_CONSOLIDATED=Y","Sort=A","Dates=H","DateFormat=P","Fill=—","Direction=H","UseDPDF=Y")</f>
        <v>#NAME?</v>
      </c>
      <c r="CJ268" s="1" t="e">
        <f ca="1">_xll.BDH($C$253,"LT_DEBT_TO_TOT_ASSET","FY 2017","FY 2017","Currency=INR","Period=FY","BEST_FPERIOD_OVERRIDE=FY","FILING_STATUS=OR","EQY_CONSOLIDATED=Y","Sort=A","Dates=H","DateFormat=P","Fill=—","Direction=H","UseDPDF=Y")</f>
        <v>#NAME?</v>
      </c>
      <c r="CK268" s="1" t="e">
        <f ca="1">_xll.BDH($C$253,"TOT_DEBT_TO_TOT_EQY","FY 2017","FY 2017","Currency=INR","Period=FY","BEST_FPERIOD_OVERRIDE=FY","FILING_STATUS=OR","EQY_CONSOLIDATED=Y","Sort=A","Dates=H","DateFormat=P","Fill=—","Direction=H","UseDPDF=Y")</f>
        <v>#NAME?</v>
      </c>
      <c r="CL268" s="1" t="e">
        <f ca="1">_xll.BDH($C$253,"TOT_DEBT_TO_TOT_CAP","FY 2017","FY 2017","Currency=INR","Period=FY","BEST_FPERIOD_OVERRIDE=FY","FILING_STATUS=OR","EQY_CONSOLIDATED=Y","Sort=A","Dates=H","DateFormat=P","Fill=—","Direction=H","UseDPDF=Y")</f>
        <v>#NAME?</v>
      </c>
      <c r="CM268" s="1" t="e">
        <f ca="1">_xll.BDH($C$253,"TOT_DEBT_TO_TOT_ASSET","FY 2017","FY 2017","Currency=INR","Period=FY","BEST_FPERIOD_OVERRIDE=FY","FILING_STATUS=OR","EQY_CONSOLIDATED=Y","Sort=A","Dates=H","DateFormat=P","Fill=—","Direction=H","UseDPDF=Y")</f>
        <v>#NAME?</v>
      </c>
      <c r="CN268" s="1" t="e">
        <f ca="1">_xll.BDH($C$253,"NET_DEBT_TO_SHRHLDR_EQTY","FY 2017","FY 2017","Currency=INR","Period=FY","BEST_FPERIOD_OVERRIDE=FY","FILING_STATUS=OR","EQY_CONSOLIDATED=Y","Sort=A","Dates=H","DateFormat=P","Fill=—","Direction=H","UseDPDF=Y")</f>
        <v>#NAME?</v>
      </c>
      <c r="CO268" s="1" t="e">
        <f ca="1">_xll.BDH($C$253,"NET_DEBT_%_CAPITAL","FY 2017","FY 2017","Currency=INR","Period=FY","BEST_FPERIOD_OVERRIDE=FY","FILING_STATUS=OR","EQY_CONSOLIDATED=Y","Sort=A","Dates=H","DateFormat=P","Fill=—","Direction=H","UseDPDF=Y")</f>
        <v>#NAME?</v>
      </c>
      <c r="CP268" s="2" t="e">
        <f ca="1">_xll.BDH($C$253,"EBITDA","FY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68" s="2" t="e">
        <f ca="1">_xll.BDH($C$253,"EBITDA_AFTER_CAPEX","FY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68" s="2" t="e">
        <f ca="1">_xll.BDH($C$253,"IS_OPER_INC","FY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68" s="1" t="e">
        <f ca="1">_xll.BDH($C$253,"CASH_RATIO","FY 2017","FY 2017","Currency=INR","Period=FY","BEST_FPERIOD_OVERRIDE=FY","FILING_STATUS=OR","EQY_CONSOLIDATED=Y","Sort=A","Dates=H","DateFormat=P","Fill=—","Direction=H","UseDPDF=Y")</f>
        <v>#NAME?</v>
      </c>
      <c r="CT268" s="1" t="e">
        <f ca="1">_xll.BDH($C$253,"CUR_RATIO","FY 2017","FY 2017","Currency=INR","Period=FY","BEST_FPERIOD_OVERRIDE=FY","FILING_STATUS=OR","EQY_CONSOLIDATED=Y","Sort=A","Dates=H","DateFormat=P","Fill=—","Direction=H","UseDPDF=Y")</f>
        <v>#NAME?</v>
      </c>
      <c r="CU268" s="1" t="e">
        <f ca="1">_xll.BDH($C$253,"QUICK_RATIO","FY 2017","FY 2017","Currency=INR","Period=FY","BEST_FPERIOD_OVERRIDE=FY","FILING_STATUS=OR","EQY_CONSOLIDATED=Y","Sort=A","Dates=H","DateFormat=P","Fill=—","Direction=H","UseDPDF=Y")</f>
        <v>#NAME?</v>
      </c>
      <c r="CV268" s="1" t="e">
        <f ca="1">_xll.BDH($C$253,"ALTMAN_Z_SCORE","FY 2017","FY 2017","Currency=INR","Period=FY","BEST_FPERIOD_OVERRIDE=FY","FILING_STATUS=OR","EQY_CONSOLIDATED=Y","Sort=A","Dates=H","DateFormat=P","Fill=—","Direction=H","UseDPDF=Y")</f>
        <v>#NAME?</v>
      </c>
      <c r="CW268" s="3" t="e">
        <f ca="1">_xll.BDH($C$253,"ACCT_RCV_TURN","FY 2017","FY 2017","Currency=INR","Period=FY","BEST_FPERIOD_OVERRIDE=FY","FILING_STATUS=OR","EQY_CONSOLIDATED=Y","FA_ADJUSTED=GAAP","Sort=A","Dates=H","DateFormat=P","Fill=—","Direction=H","UseDPDF=Y")</f>
        <v>#NAME?</v>
      </c>
      <c r="CX268" s="1" t="e">
        <f ca="1">_xll.BDH($C$253,"ACCT_RCV_DAYS","FY 2017","FY 2017","Currency=INR","Period=FY","BEST_FPERIOD_OVERRIDE=FY","FILING_STATUS=OR","EQY_CONSOLIDATED=Y","FA_ADJUSTED=GAAP","Sort=A","Dates=H","DateFormat=P","Fill=—","Direction=H","UseDPDF=Y")</f>
        <v>#NAME?</v>
      </c>
      <c r="CY268" s="3" t="e">
        <f ca="1">_xll.BDH($C$253,"INVENT_TURN","FY 2017","FY 2017","Currency=INR","Period=FY","BEST_FPERIOD_OVERRIDE=FY","FILING_STATUS=OR","EQY_CONSOLIDATED=Y","FA_ADJUSTED=GAAP","Sort=A","Dates=H","DateFormat=P","Fill=—","Direction=H","UseDPDF=Y")</f>
        <v>#NAME?</v>
      </c>
      <c r="CZ268" s="1" t="e">
        <f ca="1">_xll.BDH($C$253,"INVENT_DAYS","FY 2017","FY 2017","Currency=INR","Period=FY","BEST_FPERIOD_OVERRIDE=FY","FILING_STATUS=OR","EQY_CONSOLIDATED=Y","FA_ADJUSTED=GAAP","Sort=A","Dates=H","DateFormat=P","Fill=—","Direction=H","UseDPDF=Y")</f>
        <v>#NAME?</v>
      </c>
      <c r="DA268" s="3" t="e">
        <f ca="1">_xll.BDH($C$253,"ACCOUNTS_PAYABLE_TURNOVER","FY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68" s="1" t="e">
        <f ca="1">_xll.BDH($C$253,"ACCOUNTS_PAYABLE_TURNOVER_DAYS","FY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68" s="3" t="e">
        <f ca="1">_xll.BDH($C$253,"CASH_CONVERSION_CYCLE","FY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68" s="3" t="e">
        <f ca="1">_xll.BDH($C$253,"INV_TO_CASH_DAYS","FY 2017","FY 2017","Currency=INR","Period=FY","BEST_FPERIOD_OVERRIDE=FY","FILING_STATUS=OR","EQY_CONSOLIDATED=Y","FA_ADJUSTED=GAAP","Sort=A","Dates=H","DateFormat=P","Fill=—","Direction=H","UseDPDF=Y")</f>
        <v>#NAME?</v>
      </c>
      <c r="DE268" s="4" t="e">
        <f ca="1">_xll.BDH($C$253,"BS_INVENTORIES","FY 2017","FY 2017","Currency=INR","Period=FY","BEST_FPERIOD_OVERRIDE=FY","FILING_STATUS=OR","EQY_CONSOLIDATED=Y","SCALING_FORMAT=MLN","Sort=A","Dates=H","DateFormat=P","Fill=—","Direction=H","UseDPDF=Y")</f>
        <v>#NAME?</v>
      </c>
      <c r="DF268" s="2" t="e">
        <f ca="1">_xll.BDH($C$253,"INVTRY_RAW_MATERIALS","FY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68" s="2" t="e">
        <f ca="1">_xll.BDH($C$253,"INVTRY_IN_PROGRESS","FY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68" s="2" t="e">
        <f ca="1">_xll.BDH($C$253,"INVTRY_FINISHED_GOODS","FY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68" s="2" t="e">
        <f ca="1">_xll.BDH($C$253,"BS_OTHER_INV","FY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69" spans="1:113" x14ac:dyDescent="0.3">
      <c r="A269" s="6"/>
      <c r="B269" s="6"/>
      <c r="C269" s="6"/>
      <c r="D269" s="6"/>
      <c r="E269" t="s">
        <v>4</v>
      </c>
      <c r="F269" t="e">
        <f ca="1">_xll.BDH($C$253,"RETURN_COM_EQY","FQ1 2017","FQ1 2017","Currency=INR","Period=FQ","BEST_FPERIOD_OVERRIDE=FQ","FILING_STATUS=OR","EQY_CONSOLIDATED=Y","FA_ADJUSTED=GAAP","Sort=A","Dates=H","DateFormat=P","Fill=—","Direction=H","UseDPDF=Y")</f>
        <v>#NAME?</v>
      </c>
      <c r="G269" t="e">
        <f ca="1">_xll.BDH($C$253,"RETURN_ON_ASSET","FQ1 2017","FQ1 2017","Currency=INR","Period=FQ","BEST_FPERIOD_OVERRIDE=FQ","FILING_STATUS=OR","EQY_CONSOLIDATED=Y","FA_ADJUSTED=GAAP","Sort=A","Dates=H","DateFormat=P","Fill=—","Direction=H","UseDPDF=Y")</f>
        <v>#NAME?</v>
      </c>
      <c r="H269" t="e">
        <f ca="1">_xll.BDH($C$253,"RETURN_ON_CAP","FQ1 2017","FQ1 2017","Currency=INR","Period=FQ","BEST_FPERIOD_OVERRIDE=FQ","FILING_STATUS=OR","EQY_CONSOLIDATED=Y","FA_ADJUSTED=GAAP","Sort=A","Dates=H","DateFormat=P","Fill=—","Direction=H","UseDPDF=Y")</f>
        <v>#NAME?</v>
      </c>
      <c r="I269" t="e">
        <f ca="1">_xll.BDH($C$253,"RETURN_ON_INV_CAPITAL","FQ1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69" t="e">
        <f ca="1">_xll.BDH($C$253,"EBITDA_TO_REVENUE","FQ1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269" t="e">
        <f ca="1">_xll.BDH($C$253,"OPER_MARGIN","FQ1 2017","FQ1 2017","Currency=INR","Period=FQ","BEST_FPERIOD_OVERRIDE=FQ","FILING_STATUS=OR","EQY_CONSOLIDATED=Y","FA_ADJUSTED=GAAP","Sort=A","Dates=H","DateFormat=P","Fill=—","Direction=H","UseDPDF=Y")</f>
        <v>#NAME?</v>
      </c>
      <c r="L269" t="e">
        <f ca="1">_xll.BDH($C$253,"INCREMENTAL_OPERATING_MARGIN","FQ1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69" t="e">
        <f ca="1">_xll.BDH($C$253,"PRETAX_INC_TO_NET_SALES","FQ1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69" t="e">
        <f ca="1">_xll.BDH($C$253,"INC_BEF_XO_ITEMS_TO_NET_SALES","FQ1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69" t="e">
        <f ca="1">_xll.BDH($C$253,"PROF_MARGIN","FQ1 2017","FQ1 2017","Currency=INR","Period=FQ","BEST_FPERIOD_OVERRIDE=FQ","FILING_STATUS=OR","EQY_CONSOLIDATED=Y","FA_ADJUSTED=GAAP","Sort=A","Dates=H","DateFormat=P","Fill=—","Direction=H","UseDPDF=Y")</f>
        <v>#NAME?</v>
      </c>
      <c r="P269" t="e">
        <f ca="1">_xll.BDH($C$253,"NET_INCOME_TO_COMMON_MARGIN","FQ1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69" t="e">
        <f ca="1">_xll.BDH($C$253,"EFF_TAX_RATE","FQ1 2017","FQ1 2017","Currency=INR","Period=FQ","BEST_FPERIOD_OVERRIDE=FQ","FILING_STATUS=OR","EQY_CONSOLIDATED=Y","FA_ADJUSTED=GAAP","Sort=A","Dates=H","DateFormat=P","Fill=—","Direction=H","UseDPDF=Y")</f>
        <v>#NAME?</v>
      </c>
      <c r="R269" t="e">
        <f ca="1">_xll.BDH($C$253,"DVD_PAYOUT_RATIO","FQ1 2017","FQ1 2017","Currency=INR","Period=FQ","BEST_FPERIOD_OVERRIDE=FQ","FILING_STATUS=OR","EQY_CONSOLIDATED=Y","FA_ADJUSTED=GAAP","Sort=A","Dates=H","DateFormat=P","Fill=—","Direction=H","UseDPDF=Y")</f>
        <v>#NAME?</v>
      </c>
      <c r="S269" t="e">
        <f ca="1">_xll.BDH($C$253,"SUSTAIN_GROWTH_RT","FQ1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269" s="1" t="e">
        <f ca="1">_xll.BDH($C$253,"SALES_GROWTH","FQ1 2017","FQ1 2017","Currency=INR","Period=FQ","BEST_FPERIOD_OVERRIDE=FQ","FILING_STATUS=OR","EQY_CONSOLIDATED=Y","FA_ADJUSTED=GAAP","Sort=A","Dates=H","DateFormat=P","Fill=—","Direction=H","UseDPDF=Y")</f>
        <v>#NAME?</v>
      </c>
      <c r="U269" s="1" t="e">
        <f ca="1">_xll.BDH($C$253,"EBITDA_GROWTH","FQ1 2017","FQ1 2017","Currency=INR","Period=FQ","BEST_FPERIOD_OVERRIDE=FQ","FILING_STATUS=OR","EQY_CONSOLIDATED=Y","FA_ADJUSTED=GAAP","Sort=A","Dates=H","DateFormat=P","Fill=—","Direction=H","UseDPDF=Y")</f>
        <v>#NAME?</v>
      </c>
      <c r="V269" s="1" t="e">
        <f ca="1">_xll.BDH($C$253,"OPER_INC_GROWTH","FQ1 2017","FQ1 2017","Currency=INR","Period=FQ","BEST_FPERIOD_OVERRIDE=FQ","FILING_STATUS=OR","EQY_CONSOLIDATED=Y","FA_ADJUSTED=GAAP","Sort=A","Dates=H","DateFormat=P","Fill=—","Direction=H","UseDPDF=Y")</f>
        <v>#NAME?</v>
      </c>
      <c r="W269" s="1" t="e">
        <f ca="1">_xll.BDH($C$253,"EARN_FOR_COM_GROWTH","FQ1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69" s="1" t="e">
        <f ca="1">_xll.BDH($C$253,"DILUTED_EPS_AFT_XO_ITEMS_GROWTH","FQ1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69" s="1" t="e">
        <f ca="1">_xll.BDH($C$253,"DIVIDEND_PER_SHARE_1_YEAR_GROWTH","FQ1 2017","FQ1 2017","Currency=INR","Period=FQ","BEST_FPERIOD_OVERRIDE=FQ","FILING_STATUS=OR","EQY_CONSOLIDATED=Y","Sort=A","Dates=H","DateFormat=P","Fill=—","Direction=H","UseDPDF=Y")</f>
        <v>#NAME?</v>
      </c>
      <c r="Z269" s="1" t="e">
        <f ca="1">_xll.BDH($C$253,"ACCOUNTS_RECEIVABLE_GROWTH","FQ1 2017","FQ1 2017","Currency=INR","Period=FQ","BEST_FPERIOD_OVERRIDE=FQ","FILING_STATUS=OR","EQY_CONSOLIDATED=Y","Sort=A","Dates=H","DateFormat=P","Fill=—","Direction=H","UseDPDF=Y")</f>
        <v>#NAME?</v>
      </c>
      <c r="AA269" s="1" t="e">
        <f ca="1">_xll.BDH($C$253,"INVENTORY_GROWTH","FQ1 2017","FQ1 2017","Currency=INR","Period=FQ","BEST_FPERIOD_OVERRIDE=FQ","FILING_STATUS=OR","EQY_CONSOLIDATED=Y","Sort=A","Dates=H","DateFormat=P","Fill=—","Direction=H","UseDPDF=Y")</f>
        <v>#NAME?</v>
      </c>
      <c r="AB269" s="1" t="e">
        <f ca="1">_xll.BDH($C$253,"NET_FIXED_ASSETS_1_YEAR_GROWTH","FQ1 2017","FQ1 2017","Currency=INR","Period=FQ","BEST_FPERIOD_OVERRIDE=FQ","FILING_STATUS=OR","EQY_CONSOLIDATED=Y","Sort=A","Dates=H","DateFormat=P","Fill=—","Direction=H","UseDPDF=Y")</f>
        <v>#NAME?</v>
      </c>
      <c r="AC269" s="1" t="e">
        <f ca="1">_xll.BDH($C$253,"ASSET_GROWTH","FQ1 2017","FQ1 2017","Currency=INR","Period=FQ","BEST_FPERIOD_OVERRIDE=FQ","FILING_STATUS=OR","EQY_CONSOLIDATED=Y","Sort=A","Dates=H","DateFormat=P","Fill=—","Direction=H","UseDPDF=Y")</f>
        <v>#NAME?</v>
      </c>
      <c r="AD269" s="1" t="e">
        <f ca="1">_xll.BDH($C$253,"MODIFIED_WORK_CAP_GROWTH","FQ1 2017","FQ1 2017","Currency=INR","Period=FQ","BEST_FPERIOD_OVERRIDE=FQ","FILING_STATUS=OR","EQY_CONSOLIDATED=Y","Sort=A","Dates=H","DateFormat=P","Fill=—","Direction=H","UseDPDF=Y")</f>
        <v>#NAME?</v>
      </c>
      <c r="AE269" s="1" t="e">
        <f ca="1">_xll.BDH($C$253,"WORK_CAP_GROWTH","FQ1 2017","FQ1 2017","Currency=INR","Period=FQ","BEST_FPERIOD_OVERRIDE=FQ","FILING_STATUS=OR","EQY_CONSOLIDATED=Y","Sort=A","Dates=H","DateFormat=P","Fill=—","Direction=H","UseDPDF=Y")</f>
        <v>#NAME?</v>
      </c>
      <c r="AF269" s="1" t="e">
        <f ca="1">_xll.BDH($C$253,"ACCOUNTS_PAYABLE_GROWTH_1YR","FQ1 2017","FQ1 2017","Currency=INR","Period=FQ","BEST_FPERIOD_OVERRIDE=FQ","FILING_STATUS=OR","EQY_CONSOLIDATED=Y","Sort=A","Dates=H","DateFormat=P","Fill=—","Direction=H","UseDPDF=Y")</f>
        <v>#NAME?</v>
      </c>
      <c r="AG269" s="1" t="e">
        <f ca="1">_xll.BDH($C$253,"SHORT_TERM_DEBT_1_YEAR_GROWTH","FQ1 2017","FQ1 2017","Currency=INR","Period=FQ","BEST_FPERIOD_OVERRIDE=FQ","FILING_STATUS=OR","EQY_CONSOLIDATED=Y","Sort=A","Dates=H","DateFormat=P","Fill=—","Direction=H","UseDPDF=Y")</f>
        <v>#NAME?</v>
      </c>
      <c r="AH269" s="1" t="e">
        <f ca="1">_xll.BDH($C$253,"TOTAL_DEBT_1_YEAR_GROWTH","FQ1 2017","FQ1 2017","Currency=INR","Period=FQ","BEST_FPERIOD_OVERRIDE=FQ","FILING_STATUS=OR","EQY_CONSOLIDATED=Y","Sort=A","Dates=H","DateFormat=P","Fill=—","Direction=H","UseDPDF=Y")</f>
        <v>#NAME?</v>
      </c>
      <c r="AI269" s="1" t="e">
        <f ca="1">_xll.BDH($C$253,"TOTAL_EQUITY_1_YEAR_GROWTH","FQ1 2017","FQ1 2017","Currency=INR","Period=FQ","BEST_FPERIOD_OVERRIDE=FQ","FILING_STATUS=OR","EQY_CONSOLIDATED=Y","Sort=A","Dates=H","DateFormat=P","Fill=—","Direction=H","UseDPDF=Y")</f>
        <v>#NAME?</v>
      </c>
      <c r="AJ269" s="1" t="e">
        <f ca="1">_xll.BDH($C$253,"GROWTH_IN_CAP","FQ1 2017","FQ1 2017","Currency=INR","Period=FQ","BEST_FPERIOD_OVERRIDE=FQ","FILING_STATUS=OR","EQY_CONSOLIDATED=Y","Sort=A","Dates=H","DateFormat=P","Fill=—","Direction=H","UseDPDF=Y")</f>
        <v>#NAME?</v>
      </c>
      <c r="AK269" s="1" t="e">
        <f ca="1">_xll.BDH($C$253,"BVPS_GROWTH","FQ1 2017","FQ1 2017","Currency=INR","Period=FQ","BEST_FPERIOD_OVERRIDE=FQ","FILING_STATUS=OR","EQY_CONSOLIDATED=Y","Sort=A","Dates=H","DateFormat=P","Fill=—","Direction=H","UseDPDF=Y")</f>
        <v>#NAME?</v>
      </c>
      <c r="AL269" s="1" t="e">
        <f ca="1">_xll.BDH($C$253,"CASH_FLOW_GROWTH","FQ1 2017","FQ1 2017","Currency=INR","Period=FQ","BEST_FPERIOD_OVERRIDE=FQ","FILING_STATUS=OR","EQY_CONSOLIDATED=Y","Sort=A","Dates=H","DateFormat=P","Fill=—","Direction=H","UseDPDF=Y")</f>
        <v>#NAME?</v>
      </c>
      <c r="AM269" s="1" t="e">
        <f ca="1">_xll.BDH($C$253,"GEO_GROW_NET_SALES","FQ1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69" s="1" t="e">
        <f ca="1">_xll.BDH($C$253,"GEO_GROW_EBITDA","FQ1 2017","FQ1 2017","Currency=INR","Period=FQ","BEST_FPERIOD_OVERRIDE=FQ","FILING_STATUS=OR","EQY_CONSOLIDATED=Y","FA_ADJUSTED=GAAP","Sort=A","Dates=H","DateFormat=P","Fill=—","Direction=H","UseDPDF=Y")</f>
        <v>#NAME?</v>
      </c>
      <c r="AO269" s="1" t="e">
        <f ca="1">_xll.BDH($C$253,"GEO_GROW_OPER_INC","FQ1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69" s="1" t="e">
        <f ca="1">_xll.BDH($C$253,"NET_INCOME_TO_COMMON_5_YR_GROWTH","FQ1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69" s="1" t="e">
        <f ca="1">_xll.BDH($C$253,"5Y_GEO_GROWTH_DILUTED_EPS","FQ1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69" s="1" t="e">
        <f ca="1">_xll.BDH($C$253,"GEO_GROW_DVD_PER_SH","FQ1 2017","FQ1 2017","Currency=INR","Period=FQ","BEST_FPERIOD_OVERRIDE=FQ","FILING_STATUS=OR","EQY_CONSOLIDATED=Y","Sort=A","Dates=H","DateFormat=P","Fill=—","Direction=H","UseDPDF=Y")</f>
        <v>#NAME?</v>
      </c>
      <c r="AS269" s="1" t="e">
        <f ca="1">_xll.BDH($C$253,"ACCOUNTS_RECEIVABLE_5_YR_GROWTH","FQ1 2017","FQ1 2017","Currency=INR","Period=FQ","BEST_FPERIOD_OVERRIDE=FQ","FILING_STATUS=OR","EQY_CONSOLIDATED=Y","Sort=A","Dates=H","DateFormat=P","Fill=—","Direction=H","UseDPDF=Y")</f>
        <v>#NAME?</v>
      </c>
      <c r="AT269" s="1" t="e">
        <f ca="1">_xll.BDH($C$253,"INVENTORY_5_YEAR_GROWTH","FQ1 2017","FQ1 2017","Currency=INR","Period=FQ","BEST_FPERIOD_OVERRIDE=FQ","FILING_STATUS=OR","EQY_CONSOLIDATED=Y","Sort=A","Dates=H","DateFormat=P","Fill=—","Direction=H","UseDPDF=Y")</f>
        <v>#NAME?</v>
      </c>
      <c r="AU269" s="1" t="e">
        <f ca="1">_xll.BDH($C$253,"NET_FIXED_ASSETS_5_YEAR_GROWTH","FQ1 2017","FQ1 2017","Currency=INR","Period=FQ","BEST_FPERIOD_OVERRIDE=FQ","FILING_STATUS=OR","EQY_CONSOLIDATED=Y","Sort=A","Dates=H","DateFormat=P","Fill=—","Direction=H","UseDPDF=Y")</f>
        <v>#NAME?</v>
      </c>
      <c r="AV269" s="1" t="e">
        <f ca="1">_xll.BDH($C$253,"GEO_GROW_TOT_ASSET","FQ1 2017","FQ1 2017","Currency=INR","Period=FQ","BEST_FPERIOD_OVERRIDE=FQ","FILING_STATUS=OR","EQY_CONSOLIDATED=Y","Sort=A","Dates=H","DateFormat=P","Fill=—","Direction=H","UseDPDF=Y")</f>
        <v>#NAME?</v>
      </c>
      <c r="AW269" s="1" t="e">
        <f ca="1">_xll.BDH($C$253,"MODIFIED_WORKING_CPTL_5YR_GRWTH","FQ1 2017","FQ1 2017","Currency=INR","Period=FQ","BEST_FPERIOD_OVERRIDE=FQ","FILING_STATUS=OR","EQY_CONSOLIDATED=Y","Sort=A","Dates=H","DateFormat=P","Fill=—","Direction=H","UseDPDF=Y")</f>
        <v>#NAME?</v>
      </c>
      <c r="AX269" s="1" t="e">
        <f ca="1">_xll.BDH($C$253,"WORKING_CAPITAL_5_YEAR_GROWTH","FQ1 2017","FQ1 2017","Currency=INR","Period=FQ","BEST_FPERIOD_OVERRIDE=FQ","FILING_STATUS=OR","EQY_CONSOLIDATED=Y","Sort=A","Dates=H","DateFormat=P","Fill=—","Direction=H","UseDPDF=Y")</f>
        <v>#NAME?</v>
      </c>
      <c r="AY269" s="1" t="e">
        <f ca="1">_xll.BDH($C$253,"ACCOUNTS_PAYABLE_5_YEAR_GROWTH","FQ1 2017","FQ1 2017","Currency=INR","Period=FQ","BEST_FPERIOD_OVERRIDE=FQ","FILING_STATUS=OR","EQY_CONSOLIDATED=Y","Sort=A","Dates=H","DateFormat=P","Fill=—","Direction=H","UseDPDF=Y")</f>
        <v>#NAME?</v>
      </c>
      <c r="AZ269" s="1" t="e">
        <f ca="1">_xll.BDH($C$253,"SHORT_TERM_DEBT_5_YEAR_GROWTH","FQ1 2017","FQ1 2017","Currency=INR","Period=FQ","BEST_FPERIOD_OVERRIDE=FQ","FILING_STATUS=OR","EQY_CONSOLIDATED=Y","Sort=A","Dates=H","DateFormat=P","Fill=—","Direction=H","UseDPDF=Y")</f>
        <v>#NAME?</v>
      </c>
      <c r="BA269" s="1" t="e">
        <f ca="1">_xll.BDH($C$253,"TOTAL_DEBT_5_YEAR_GROWTH","FQ1 2017","FQ1 2017","Currency=INR","Period=FQ","BEST_FPERIOD_OVERRIDE=FQ","FILING_STATUS=OR","EQY_CONSOLIDATED=Y","Sort=A","Dates=H","DateFormat=P","Fill=—","Direction=H","UseDPDF=Y")</f>
        <v>#NAME?</v>
      </c>
      <c r="BB269" s="1" t="e">
        <f ca="1">_xll.BDH($C$253,"GEO_GROW_TOT_SHRHLDR_EQY","FQ1 2017","FQ1 2017","Currency=INR","Period=FQ","BEST_FPERIOD_OVERRIDE=FQ","FILING_STATUS=OR","EQY_CONSOLIDATED=Y","Sort=A","Dates=H","DateFormat=P","Fill=—","Direction=H","UseDPDF=Y")</f>
        <v>#NAME?</v>
      </c>
      <c r="BC269" s="1" t="e">
        <f ca="1">_xll.BDH($C$253,"TOTAL_CAPITAL_5_YEAR_GROWTH","FQ1 2017","FQ1 2017","Currency=INR","Period=FQ","BEST_FPERIOD_OVERRIDE=FQ","FILING_STATUS=OR","EQY_CONSOLIDATED=Y","Sort=A","Dates=H","DateFormat=P","Fill=—","Direction=H","UseDPDF=Y")</f>
        <v>#NAME?</v>
      </c>
      <c r="BD269" s="1" t="e">
        <f ca="1">_xll.BDH($C$253,"GEO_GROW_BOOK_VAL","FQ1 2017","FQ1 2017","Currency=INR","Period=FQ","BEST_FPERIOD_OVERRIDE=FQ","FILING_STATUS=OR","EQY_CONSOLIDATED=Y","Sort=A","Dates=H","DateFormat=P","Fill=—","Direction=H","UseDPDF=Y")</f>
        <v>#NAME?</v>
      </c>
      <c r="BE269" s="1" t="e">
        <f ca="1">_xll.BDH($C$253,"GEO_GROW_CASH_OPER_ACT","FQ1 2017","FQ1 2017","Currency=INR","Period=FQ","BEST_FPERIOD_OVERRIDE=FQ","FILING_STATUS=OR","EQY_CONSOLIDATED=Y","Sort=A","Dates=H","DateFormat=P","Fill=—","Direction=H","UseDPDF=Y")</f>
        <v>#NAME?</v>
      </c>
      <c r="BF269" s="1" t="e">
        <f ca="1">_xll.BDH($C$253,"REVENUE_SEQUENTIAL_GROWTH","FQ1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69" s="1" t="e">
        <f ca="1">_xll.BDH($C$253,"EBITDA_SEQUENTIAL_GROWTH","FQ1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69" s="1" t="e">
        <f ca="1">_xll.BDH($C$253,"OPERATING_INCOME_SEQ_GROWTH","FQ1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69" s="1" t="e">
        <f ca="1">_xll.BDH($C$253,"NET_INCOME_TO_COMMON_SEQ_GROWTH","FQ1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69" s="1" t="e">
        <f ca="1">_xll.BDH($C$253,"EPS_DILUTED_SEQUENTIAL_GROWTH","FQ1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69" s="1" t="e">
        <f ca="1">_xll.BDH($C$253,"DPS_SEQUENTIAL_GROWTH","FQ1 2017","FQ1 2017","Currency=INR","Period=FQ","BEST_FPERIOD_OVERRIDE=FQ","FILING_STATUS=OR","EQY_CONSOLIDATED=Y","Sort=A","Dates=H","DateFormat=P","Fill=—","Direction=H","UseDPDF=Y")</f>
        <v>#NAME?</v>
      </c>
      <c r="BL269" s="1" t="e">
        <f ca="1">_xll.BDH($C$253,"ACCOUNTS_RECEIVABLE_SEQ_GROWTH","FQ1 2017","FQ1 2017","Currency=INR","Period=FQ","BEST_FPERIOD_OVERRIDE=FQ","FILING_STATUS=OR","EQY_CONSOLIDATED=Y","Sort=A","Dates=H","DateFormat=P","Fill=—","Direction=H","UseDPDF=Y")</f>
        <v>#NAME?</v>
      </c>
      <c r="BM269" s="1" t="e">
        <f ca="1">_xll.BDH($C$253,"INVENTORY_SEQUENTIAL_GROWTH","FQ1 2017","FQ1 2017","Currency=INR","Period=FQ","BEST_FPERIOD_OVERRIDE=FQ","FILING_STATUS=OR","EQY_CONSOLIDATED=Y","Sort=A","Dates=H","DateFormat=P","Fill=—","Direction=H","UseDPDF=Y")</f>
        <v>#NAME?</v>
      </c>
      <c r="BN269" s="1" t="e">
        <f ca="1">_xll.BDH($C$253,"FIXED_ASSETS_SEQUENTIAL_GROWTH","FQ1 2017","FQ1 2017","Currency=INR","Period=FQ","BEST_FPERIOD_OVERRIDE=FQ","FILING_STATUS=OR","EQY_CONSOLIDATED=Y","Sort=A","Dates=H","DateFormat=P","Fill=—","Direction=H","UseDPDF=Y")</f>
        <v>#NAME?</v>
      </c>
      <c r="BO269" s="1" t="e">
        <f ca="1">_xll.BDH($C$253,"TOTAL_ASSETS_SEQUENTIAL_GROWTH","FQ1 2017","FQ1 2017","Currency=INR","Period=FQ","BEST_FPERIOD_OVERRIDE=FQ","FILING_STATUS=OR","EQY_CONSOLIDATED=Y","Sort=A","Dates=H","DateFormat=P","Fill=—","Direction=H","UseDPDF=Y")</f>
        <v>#NAME?</v>
      </c>
      <c r="BP269" s="1" t="e">
        <f ca="1">_xll.BDH($C$253,"MODIFIED_WORKING_CPTL_SEQ_GRWTH","FQ1 2017","FQ1 2017","Currency=INR","Period=FQ","BEST_FPERIOD_OVERRIDE=FQ","FILING_STATUS=OR","EQY_CONSOLIDATED=Y","Sort=A","Dates=H","DateFormat=P","Fill=—","Direction=H","UseDPDF=Y")</f>
        <v>#NAME?</v>
      </c>
      <c r="BQ269" s="1" t="e">
        <f ca="1">_xll.BDH($C$253,"WORKING_CAPITAL_SEQ_GROWTH","FQ1 2017","FQ1 2017","Currency=INR","Period=FQ","BEST_FPERIOD_OVERRIDE=FQ","FILING_STATUS=OR","EQY_CONSOLIDATED=Y","Sort=A","Dates=H","DateFormat=P","Fill=—","Direction=H","UseDPDF=Y")</f>
        <v>#NAME?</v>
      </c>
      <c r="BR269" s="1" t="e">
        <f ca="1">_xll.BDH($C$253,"ACCOUNTS_PAYABLE_SEQ_GROWTH","FQ1 2017","FQ1 2017","Currency=INR","Period=FQ","BEST_FPERIOD_OVERRIDE=FQ","FILING_STATUS=OR","EQY_CONSOLIDATED=Y","Sort=A","Dates=H","DateFormat=P","Fill=—","Direction=H","UseDPDF=Y")</f>
        <v>#NAME?</v>
      </c>
      <c r="BS269" s="1" t="e">
        <f ca="1">_xll.BDH($C$253,"ST_DEBT_SEQUENTIAL_GROWTH","FQ1 2017","FQ1 2017","Currency=INR","Period=FQ","BEST_FPERIOD_OVERRIDE=FQ","FILING_STATUS=OR","EQY_CONSOLIDATED=Y","Sort=A","Dates=H","DateFormat=P","Fill=—","Direction=H","UseDPDF=Y")</f>
        <v>#NAME?</v>
      </c>
      <c r="BT269" s="1" t="e">
        <f ca="1">_xll.BDH($C$253,"TOTAL_DEBT_SEQUENTIAL_GROWTH","FQ1 2017","FQ1 2017","Currency=INR","Period=FQ","BEST_FPERIOD_OVERRIDE=FQ","FILING_STATUS=OR","EQY_CONSOLIDATED=Y","Sort=A","Dates=H","DateFormat=P","Fill=—","Direction=H","UseDPDF=Y")</f>
        <v>#NAME?</v>
      </c>
      <c r="BU269" s="1" t="e">
        <f ca="1">_xll.BDH($C$253,"TOTAL_EQUITY_SEQUENTIAL_GROWTH","FQ1 2017","FQ1 2017","Currency=INR","Period=FQ","BEST_FPERIOD_OVERRIDE=FQ","FILING_STATUS=OR","EQY_CONSOLIDATED=Y","Sort=A","Dates=H","DateFormat=P","Fill=—","Direction=H","UseDPDF=Y")</f>
        <v>#NAME?</v>
      </c>
      <c r="BV269" s="1" t="e">
        <f ca="1">_xll.BDH($C$253,"TOTAL_CAPITAL_SEQUENTIAL_GROWTH","FQ1 2017","FQ1 2017","Currency=INR","Period=FQ","BEST_FPERIOD_OVERRIDE=FQ","FILING_STATUS=OR","EQY_CONSOLIDATED=Y","Sort=A","Dates=H","DateFormat=P","Fill=—","Direction=H","UseDPDF=Y")</f>
        <v>#NAME?</v>
      </c>
      <c r="BW269" s="1" t="e">
        <f ca="1">_xll.BDH($C$253,"BPS_SEQUENTIAL_GROWTH","FQ1 2017","FQ1 2017","Currency=INR","Period=FQ","BEST_FPERIOD_OVERRIDE=FQ","FILING_STATUS=OR","EQY_CONSOLIDATED=Y","Sort=A","Dates=H","DateFormat=P","Fill=—","Direction=H","UseDPDF=Y")</f>
        <v>#NAME?</v>
      </c>
      <c r="BX269" s="1" t="e">
        <f ca="1">_xll.BDH($C$253,"CFO_SEQUENTIAL_GROWTH","FQ1 2017","FQ1 2017","Currency=INR","Period=FQ","BEST_FPERIOD_OVERRIDE=FQ","FILING_STATUS=OR","EQY_CONSOLIDATED=Y","Sort=A","Dates=H","DateFormat=P","Fill=—","Direction=H","UseDPDF=Y")</f>
        <v>#NAME?</v>
      </c>
      <c r="BY269" s="2" t="e">
        <f ca="1">_xll.BDH($C$253,"SHORT_AND_LONG_TERM_DEBT","FQ1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69" s="2" t="e">
        <f ca="1">_xll.BDH($C$253,"BS_ST_BORROW","FQ1 2017","FQ1 2017","Currency=INR","Period=FQ","BEST_FPERIOD_OVERRIDE=FQ","FILING_STATUS=OR","EQY_CONSOLIDATED=Y","SCALING_FORMAT=MLN","Sort=A","Dates=H","DateFormat=P","Fill=—","Direction=H","UseDPDF=Y")</f>
        <v>#NAME?</v>
      </c>
      <c r="CA269" s="2" t="e">
        <f ca="1">_xll.BDH($C$253,"BS_LT_BORROW","FQ1 2017","FQ1 2017","Currency=INR","Period=FQ","BEST_FPERIOD_OVERRIDE=FQ","FILING_STATUS=OR","EQY_CONSOLIDATED=Y","SCALING_FORMAT=MLN","Sort=A","Dates=H","DateFormat=P","Fill=—","Direction=H","UseDPDF=Y")</f>
        <v>#NAME?</v>
      </c>
      <c r="CB269" s="1" t="e">
        <f ca="1">_xll.BDH($C$253,"TOT_DEBT_TO_EBITDA","FQ1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69" s="1" t="e">
        <f ca="1">_xll.BDH($C$253,"NET_DEBT_TO_EBITDA","FQ1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69" s="1" t="e">
        <f ca="1">_xll.BDH($C$253,"TOTAL_DEBT_TO_EBIT","FQ1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69" s="1" t="e">
        <f ca="1">_xll.BDH($C$253,"NET_DEBT_TO_EBIT","FQ1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269" s="1" t="e">
        <f ca="1">_xll.BDH($C$253,"EBITDA_TO_INTEREST_EXPN","FQ1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69" s="1" t="e">
        <f ca="1">_xll.BDH($C$253,"COM_EQY_TO_TOT_ASSET","FQ1 2017","FQ1 2017","Currency=INR","Period=FQ","BEST_FPERIOD_OVERRIDE=FQ","FILING_STATUS=OR","EQY_CONSOLIDATED=Y","Sort=A","Dates=H","DateFormat=P","Fill=—","Direction=H","UseDPDF=Y")</f>
        <v>#NAME?</v>
      </c>
      <c r="CH269" s="1" t="e">
        <f ca="1">_xll.BDH($C$253,"LT_DEBT_TO_TOT_EQY","FQ1 2017","FQ1 2017","Currency=INR","Period=FQ","BEST_FPERIOD_OVERRIDE=FQ","FILING_STATUS=OR","EQY_CONSOLIDATED=Y","Sort=A","Dates=H","DateFormat=P","Fill=—","Direction=H","UseDPDF=Y")</f>
        <v>#NAME?</v>
      </c>
      <c r="CI269" s="1" t="e">
        <f ca="1">_xll.BDH($C$253,"LT_DEBT_TO_TOT_CAP","FQ1 2017","FQ1 2017","Currency=INR","Period=FQ","BEST_FPERIOD_OVERRIDE=FQ","FILING_STATUS=OR","EQY_CONSOLIDATED=Y","Sort=A","Dates=H","DateFormat=P","Fill=—","Direction=H","UseDPDF=Y")</f>
        <v>#NAME?</v>
      </c>
      <c r="CJ269" s="1" t="e">
        <f ca="1">_xll.BDH($C$253,"LT_DEBT_TO_TOT_ASSET","FQ1 2017","FQ1 2017","Currency=INR","Period=FQ","BEST_FPERIOD_OVERRIDE=FQ","FILING_STATUS=OR","EQY_CONSOLIDATED=Y","Sort=A","Dates=H","DateFormat=P","Fill=—","Direction=H","UseDPDF=Y")</f>
        <v>#NAME?</v>
      </c>
      <c r="CK269" s="1" t="e">
        <f ca="1">_xll.BDH($C$253,"TOT_DEBT_TO_TOT_EQY","FQ1 2017","FQ1 2017","Currency=INR","Period=FQ","BEST_FPERIOD_OVERRIDE=FQ","FILING_STATUS=OR","EQY_CONSOLIDATED=Y","Sort=A","Dates=H","DateFormat=P","Fill=—","Direction=H","UseDPDF=Y")</f>
        <v>#NAME?</v>
      </c>
      <c r="CL269" s="1" t="e">
        <f ca="1">_xll.BDH($C$253,"TOT_DEBT_TO_TOT_CAP","FQ1 2017","FQ1 2017","Currency=INR","Period=FQ","BEST_FPERIOD_OVERRIDE=FQ","FILING_STATUS=OR","EQY_CONSOLIDATED=Y","Sort=A","Dates=H","DateFormat=P","Fill=—","Direction=H","UseDPDF=Y")</f>
        <v>#NAME?</v>
      </c>
      <c r="CM269" s="1" t="e">
        <f ca="1">_xll.BDH($C$253,"TOT_DEBT_TO_TOT_ASSET","FQ1 2017","FQ1 2017","Currency=INR","Period=FQ","BEST_FPERIOD_OVERRIDE=FQ","FILING_STATUS=OR","EQY_CONSOLIDATED=Y","Sort=A","Dates=H","DateFormat=P","Fill=—","Direction=H","UseDPDF=Y")</f>
        <v>#NAME?</v>
      </c>
      <c r="CN269" s="1" t="e">
        <f ca="1">_xll.BDH($C$253,"NET_DEBT_TO_SHRHLDR_EQTY","FQ1 2017","FQ1 2017","Currency=INR","Period=FQ","BEST_FPERIOD_OVERRIDE=FQ","FILING_STATUS=OR","EQY_CONSOLIDATED=Y","Sort=A","Dates=H","DateFormat=P","Fill=—","Direction=H","UseDPDF=Y")</f>
        <v>#NAME?</v>
      </c>
      <c r="CO269" s="1" t="e">
        <f ca="1">_xll.BDH($C$253,"NET_DEBT_%_CAPITAL","FQ1 2017","FQ1 2017","Currency=INR","Period=FQ","BEST_FPERIOD_OVERRIDE=FQ","FILING_STATUS=OR","EQY_CONSOLIDATED=Y","Sort=A","Dates=H","DateFormat=P","Fill=—","Direction=H","UseDPDF=Y")</f>
        <v>#NAME?</v>
      </c>
      <c r="CP269" s="2" t="e">
        <f ca="1">_xll.BDH($C$253,"EBITDA","FQ1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69" s="2" t="e">
        <f ca="1">_xll.BDH($C$253,"EBITDA_AFTER_CAPEX","FQ1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69" s="2" t="e">
        <f ca="1">_xll.BDH($C$253,"IS_OPER_INC","FQ1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69" s="1" t="e">
        <f ca="1">_xll.BDH($C$253,"CASH_RATIO","FQ1 2017","FQ1 2017","Currency=INR","Period=FQ","BEST_FPERIOD_OVERRIDE=FQ","FILING_STATUS=OR","EQY_CONSOLIDATED=Y","Sort=A","Dates=H","DateFormat=P","Fill=—","Direction=H","UseDPDF=Y")</f>
        <v>#NAME?</v>
      </c>
      <c r="CT269" s="1" t="e">
        <f ca="1">_xll.BDH($C$253,"CUR_RATIO","FQ1 2017","FQ1 2017","Currency=INR","Period=FQ","BEST_FPERIOD_OVERRIDE=FQ","FILING_STATUS=OR","EQY_CONSOLIDATED=Y","Sort=A","Dates=H","DateFormat=P","Fill=—","Direction=H","UseDPDF=Y")</f>
        <v>#NAME?</v>
      </c>
      <c r="CU269" s="1" t="e">
        <f ca="1">_xll.BDH($C$253,"QUICK_RATIO","FQ1 2017","FQ1 2017","Currency=INR","Period=FQ","BEST_FPERIOD_OVERRIDE=FQ","FILING_STATUS=OR","EQY_CONSOLIDATED=Y","Sort=A","Dates=H","DateFormat=P","Fill=—","Direction=H","UseDPDF=Y")</f>
        <v>#NAME?</v>
      </c>
      <c r="CV269" s="1" t="e">
        <f ca="1">_xll.BDH($C$253,"ALTMAN_Z_SCORE","FQ1 2017","FQ1 2017","Currency=INR","Period=FQ","BEST_FPERIOD_OVERRIDE=FQ","FILING_STATUS=OR","EQY_CONSOLIDATED=Y","Sort=A","Dates=H","DateFormat=P","Fill=—","Direction=H","UseDPDF=Y")</f>
        <v>#NAME?</v>
      </c>
      <c r="CW269" s="3" t="e">
        <f ca="1">_xll.BDH($C$253,"ACCT_RCV_TURN","FQ1 2017","FQ1 2017","Currency=INR","Period=FQ","BEST_FPERIOD_OVERRIDE=FQ","FILING_STATUS=OR","EQY_CONSOLIDATED=Y","FA_ADJUSTED=GAAP","Sort=A","Dates=H","DateFormat=P","Fill=—","Direction=H","UseDPDF=Y")</f>
        <v>#NAME?</v>
      </c>
      <c r="CX269" s="1" t="e">
        <f ca="1">_xll.BDH($C$253,"ACCT_RCV_DAYS","FQ1 2017","FQ1 2017","Currency=INR","Period=FQ","BEST_FPERIOD_OVERRIDE=FQ","FILING_STATUS=OR","EQY_CONSOLIDATED=Y","FA_ADJUSTED=GAAP","Sort=A","Dates=H","DateFormat=P","Fill=—","Direction=H","UseDPDF=Y")</f>
        <v>#NAME?</v>
      </c>
      <c r="CY269" s="3" t="e">
        <f ca="1">_xll.BDH($C$253,"INVENT_TURN","FQ1 2017","FQ1 2017","Currency=INR","Period=FQ","BEST_FPERIOD_OVERRIDE=FQ","FILING_STATUS=OR","EQY_CONSOLIDATED=Y","FA_ADJUSTED=GAAP","Sort=A","Dates=H","DateFormat=P","Fill=—","Direction=H","UseDPDF=Y")</f>
        <v>#NAME?</v>
      </c>
      <c r="CZ269" s="1" t="e">
        <f ca="1">_xll.BDH($C$253,"INVENT_DAYS","FQ1 2017","FQ1 2017","Currency=INR","Period=FQ","BEST_FPERIOD_OVERRIDE=FQ","FILING_STATUS=OR","EQY_CONSOLIDATED=Y","FA_ADJUSTED=GAAP","Sort=A","Dates=H","DateFormat=P","Fill=—","Direction=H","UseDPDF=Y")</f>
        <v>#NAME?</v>
      </c>
      <c r="DA269" s="3" t="e">
        <f ca="1">_xll.BDH($C$253,"ACCOUNTS_PAYABLE_TURNOVER","FQ1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69" s="1" t="e">
        <f ca="1">_xll.BDH($C$253,"ACCOUNTS_PAYABLE_TURNOVER_DAYS","FQ1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69" s="3" t="e">
        <f ca="1">_xll.BDH($C$253,"CASH_CONVERSION_CYCLE","FQ1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69" s="3" t="e">
        <f ca="1">_xll.BDH($C$253,"INV_TO_CASH_DAYS","FQ1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269" s="4" t="e">
        <f ca="1">_xll.BDH($C$253,"BS_INVENTORIES","FQ1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269" s="2" t="e">
        <f ca="1">_xll.BDH($C$253,"INVTRY_RAW_MATERIALS","FQ1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69" s="2" t="e">
        <f ca="1">_xll.BDH($C$253,"INVTRY_IN_PROGRESS","FQ1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69" s="2" t="e">
        <f ca="1">_xll.BDH($C$253,"INVTRY_FINISHED_GOODS","FQ1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69" s="2" t="e">
        <f ca="1">_xll.BDH($C$253,"BS_OTHER_INV","FQ1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70" spans="1:113" x14ac:dyDescent="0.3">
      <c r="A270" s="6"/>
      <c r="B270" s="6"/>
      <c r="C270" s="6"/>
      <c r="D270" s="6"/>
      <c r="E270" t="s">
        <v>5</v>
      </c>
      <c r="F270" t="e">
        <f ca="1">_xll.BDH($C$253,"RETURN_COM_EQY","FQ2 2017","FQ2 2017","Currency=INR","Period=FQ","BEST_FPERIOD_OVERRIDE=FQ","FILING_STATUS=OR","EQY_CONSOLIDATED=Y","FA_ADJUSTED=GAAP","Sort=A","Dates=H","DateFormat=P","Fill=—","Direction=H","UseDPDF=Y")</f>
        <v>#NAME?</v>
      </c>
      <c r="G270" t="e">
        <f ca="1">_xll.BDH($C$253,"RETURN_ON_ASSET","FQ2 2017","FQ2 2017","Currency=INR","Period=FQ","BEST_FPERIOD_OVERRIDE=FQ","FILING_STATUS=OR","EQY_CONSOLIDATED=Y","FA_ADJUSTED=GAAP","Sort=A","Dates=H","DateFormat=P","Fill=—","Direction=H","UseDPDF=Y")</f>
        <v>#NAME?</v>
      </c>
      <c r="H270" t="e">
        <f ca="1">_xll.BDH($C$253,"RETURN_ON_CAP","FQ2 2017","FQ2 2017","Currency=INR","Period=FQ","BEST_FPERIOD_OVERRIDE=FQ","FILING_STATUS=OR","EQY_CONSOLIDATED=Y","FA_ADJUSTED=GAAP","Sort=A","Dates=H","DateFormat=P","Fill=—","Direction=H","UseDPDF=Y")</f>
        <v>#NAME?</v>
      </c>
      <c r="I270" t="e">
        <f ca="1">_xll.BDH($C$253,"RETURN_ON_INV_CAPITAL","FQ2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70" t="e">
        <f ca="1">_xll.BDH($C$253,"EBITDA_TO_REVENUE","FQ2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270" t="e">
        <f ca="1">_xll.BDH($C$253,"OPER_MARGIN","FQ2 2017","FQ2 2017","Currency=INR","Period=FQ","BEST_FPERIOD_OVERRIDE=FQ","FILING_STATUS=OR","EQY_CONSOLIDATED=Y","FA_ADJUSTED=GAAP","Sort=A","Dates=H","DateFormat=P","Fill=—","Direction=H","UseDPDF=Y")</f>
        <v>#NAME?</v>
      </c>
      <c r="L270" t="e">
        <f ca="1">_xll.BDH($C$253,"INCREMENTAL_OPERATING_MARGIN","FQ2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70" t="e">
        <f ca="1">_xll.BDH($C$253,"PRETAX_INC_TO_NET_SALES","FQ2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70" t="e">
        <f ca="1">_xll.BDH($C$253,"INC_BEF_XO_ITEMS_TO_NET_SALES","FQ2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70" t="e">
        <f ca="1">_xll.BDH($C$253,"PROF_MARGIN","FQ2 2017","FQ2 2017","Currency=INR","Period=FQ","BEST_FPERIOD_OVERRIDE=FQ","FILING_STATUS=OR","EQY_CONSOLIDATED=Y","FA_ADJUSTED=GAAP","Sort=A","Dates=H","DateFormat=P","Fill=—","Direction=H","UseDPDF=Y")</f>
        <v>#NAME?</v>
      </c>
      <c r="P270" t="e">
        <f ca="1">_xll.BDH($C$253,"NET_INCOME_TO_COMMON_MARGIN","FQ2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70" t="e">
        <f ca="1">_xll.BDH($C$253,"EFF_TAX_RATE","FQ2 2017","FQ2 2017","Currency=INR","Period=FQ","BEST_FPERIOD_OVERRIDE=FQ","FILING_STATUS=OR","EQY_CONSOLIDATED=Y","FA_ADJUSTED=GAAP","Sort=A","Dates=H","DateFormat=P","Fill=—","Direction=H","UseDPDF=Y")</f>
        <v>#NAME?</v>
      </c>
      <c r="R270" t="e">
        <f ca="1">_xll.BDH($C$253,"DVD_PAYOUT_RATIO","FQ2 2017","FQ2 2017","Currency=INR","Period=FQ","BEST_FPERIOD_OVERRIDE=FQ","FILING_STATUS=OR","EQY_CONSOLIDATED=Y","FA_ADJUSTED=GAAP","Sort=A","Dates=H","DateFormat=P","Fill=—","Direction=H","UseDPDF=Y")</f>
        <v>#NAME?</v>
      </c>
      <c r="S270" t="e">
        <f ca="1">_xll.BDH($C$253,"SUSTAIN_GROWTH_RT","FQ2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270" s="1" t="e">
        <f ca="1">_xll.BDH($C$253,"SALES_GROWTH","FQ2 2017","FQ2 2017","Currency=INR","Period=FQ","BEST_FPERIOD_OVERRIDE=FQ","FILING_STATUS=OR","EQY_CONSOLIDATED=Y","FA_ADJUSTED=GAAP","Sort=A","Dates=H","DateFormat=P","Fill=—","Direction=H","UseDPDF=Y")</f>
        <v>#NAME?</v>
      </c>
      <c r="U270" s="1" t="e">
        <f ca="1">_xll.BDH($C$253,"EBITDA_GROWTH","FQ2 2017","FQ2 2017","Currency=INR","Period=FQ","BEST_FPERIOD_OVERRIDE=FQ","FILING_STATUS=OR","EQY_CONSOLIDATED=Y","FA_ADJUSTED=GAAP","Sort=A","Dates=H","DateFormat=P","Fill=—","Direction=H","UseDPDF=Y")</f>
        <v>#NAME?</v>
      </c>
      <c r="V270" s="1" t="e">
        <f ca="1">_xll.BDH($C$253,"OPER_INC_GROWTH","FQ2 2017","FQ2 2017","Currency=INR","Period=FQ","BEST_FPERIOD_OVERRIDE=FQ","FILING_STATUS=OR","EQY_CONSOLIDATED=Y","FA_ADJUSTED=GAAP","Sort=A","Dates=H","DateFormat=P","Fill=—","Direction=H","UseDPDF=Y")</f>
        <v>#NAME?</v>
      </c>
      <c r="W270" s="1" t="e">
        <f ca="1">_xll.BDH($C$253,"EARN_FOR_COM_GROWTH","FQ2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70" s="1" t="e">
        <f ca="1">_xll.BDH($C$253,"DILUTED_EPS_AFT_XO_ITEMS_GROWTH","FQ2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70" s="1" t="e">
        <f ca="1">_xll.BDH($C$253,"DIVIDEND_PER_SHARE_1_YEAR_GROWTH","FQ2 2017","FQ2 2017","Currency=INR","Period=FQ","BEST_FPERIOD_OVERRIDE=FQ","FILING_STATUS=OR","EQY_CONSOLIDATED=Y","Sort=A","Dates=H","DateFormat=P","Fill=—","Direction=H","UseDPDF=Y")</f>
        <v>#NAME?</v>
      </c>
      <c r="Z270" s="1" t="e">
        <f ca="1">_xll.BDH($C$253,"ACCOUNTS_RECEIVABLE_GROWTH","FQ2 2017","FQ2 2017","Currency=INR","Period=FQ","BEST_FPERIOD_OVERRIDE=FQ","FILING_STATUS=OR","EQY_CONSOLIDATED=Y","Sort=A","Dates=H","DateFormat=P","Fill=—","Direction=H","UseDPDF=Y")</f>
        <v>#NAME?</v>
      </c>
      <c r="AA270" s="1" t="e">
        <f ca="1">_xll.BDH($C$253,"INVENTORY_GROWTH","FQ2 2017","FQ2 2017","Currency=INR","Period=FQ","BEST_FPERIOD_OVERRIDE=FQ","FILING_STATUS=OR","EQY_CONSOLIDATED=Y","Sort=A","Dates=H","DateFormat=P","Fill=—","Direction=H","UseDPDF=Y")</f>
        <v>#NAME?</v>
      </c>
      <c r="AB270" s="1" t="e">
        <f ca="1">_xll.BDH($C$253,"NET_FIXED_ASSETS_1_YEAR_GROWTH","FQ2 2017","FQ2 2017","Currency=INR","Period=FQ","BEST_FPERIOD_OVERRIDE=FQ","FILING_STATUS=OR","EQY_CONSOLIDATED=Y","Sort=A","Dates=H","DateFormat=P","Fill=—","Direction=H","UseDPDF=Y")</f>
        <v>#NAME?</v>
      </c>
      <c r="AC270" s="1" t="e">
        <f ca="1">_xll.BDH($C$253,"ASSET_GROWTH","FQ2 2017","FQ2 2017","Currency=INR","Period=FQ","BEST_FPERIOD_OVERRIDE=FQ","FILING_STATUS=OR","EQY_CONSOLIDATED=Y","Sort=A","Dates=H","DateFormat=P","Fill=—","Direction=H","UseDPDF=Y")</f>
        <v>#NAME?</v>
      </c>
      <c r="AD270" s="1" t="e">
        <f ca="1">_xll.BDH($C$253,"MODIFIED_WORK_CAP_GROWTH","FQ2 2017","FQ2 2017","Currency=INR","Period=FQ","BEST_FPERIOD_OVERRIDE=FQ","FILING_STATUS=OR","EQY_CONSOLIDATED=Y","Sort=A","Dates=H","DateFormat=P","Fill=—","Direction=H","UseDPDF=Y")</f>
        <v>#NAME?</v>
      </c>
      <c r="AE270" s="1" t="e">
        <f ca="1">_xll.BDH($C$253,"WORK_CAP_GROWTH","FQ2 2017","FQ2 2017","Currency=INR","Period=FQ","BEST_FPERIOD_OVERRIDE=FQ","FILING_STATUS=OR","EQY_CONSOLIDATED=Y","Sort=A","Dates=H","DateFormat=P","Fill=—","Direction=H","UseDPDF=Y")</f>
        <v>#NAME?</v>
      </c>
      <c r="AF270" s="1" t="e">
        <f ca="1">_xll.BDH($C$253,"ACCOUNTS_PAYABLE_GROWTH_1YR","FQ2 2017","FQ2 2017","Currency=INR","Period=FQ","BEST_FPERIOD_OVERRIDE=FQ","FILING_STATUS=OR","EQY_CONSOLIDATED=Y","Sort=A","Dates=H","DateFormat=P","Fill=—","Direction=H","UseDPDF=Y")</f>
        <v>#NAME?</v>
      </c>
      <c r="AG270" s="1" t="e">
        <f ca="1">_xll.BDH($C$253,"SHORT_TERM_DEBT_1_YEAR_GROWTH","FQ2 2017","FQ2 2017","Currency=INR","Period=FQ","BEST_FPERIOD_OVERRIDE=FQ","FILING_STATUS=OR","EQY_CONSOLIDATED=Y","Sort=A","Dates=H","DateFormat=P","Fill=—","Direction=H","UseDPDF=Y")</f>
        <v>#NAME?</v>
      </c>
      <c r="AH270" s="1" t="e">
        <f ca="1">_xll.BDH($C$253,"TOTAL_DEBT_1_YEAR_GROWTH","FQ2 2017","FQ2 2017","Currency=INR","Period=FQ","BEST_FPERIOD_OVERRIDE=FQ","FILING_STATUS=OR","EQY_CONSOLIDATED=Y","Sort=A","Dates=H","DateFormat=P","Fill=—","Direction=H","UseDPDF=Y")</f>
        <v>#NAME?</v>
      </c>
      <c r="AI270" s="1" t="e">
        <f ca="1">_xll.BDH($C$253,"TOTAL_EQUITY_1_YEAR_GROWTH","FQ2 2017","FQ2 2017","Currency=INR","Period=FQ","BEST_FPERIOD_OVERRIDE=FQ","FILING_STATUS=OR","EQY_CONSOLIDATED=Y","Sort=A","Dates=H","DateFormat=P","Fill=—","Direction=H","UseDPDF=Y")</f>
        <v>#NAME?</v>
      </c>
      <c r="AJ270" s="1" t="e">
        <f ca="1">_xll.BDH($C$253,"GROWTH_IN_CAP","FQ2 2017","FQ2 2017","Currency=INR","Period=FQ","BEST_FPERIOD_OVERRIDE=FQ","FILING_STATUS=OR","EQY_CONSOLIDATED=Y","Sort=A","Dates=H","DateFormat=P","Fill=—","Direction=H","UseDPDF=Y")</f>
        <v>#NAME?</v>
      </c>
      <c r="AK270" s="1" t="e">
        <f ca="1">_xll.BDH($C$253,"BVPS_GROWTH","FQ2 2017","FQ2 2017","Currency=INR","Period=FQ","BEST_FPERIOD_OVERRIDE=FQ","FILING_STATUS=OR","EQY_CONSOLIDATED=Y","Sort=A","Dates=H","DateFormat=P","Fill=—","Direction=H","UseDPDF=Y")</f>
        <v>#NAME?</v>
      </c>
      <c r="AL270" s="1" t="e">
        <f ca="1">_xll.BDH($C$253,"CASH_FLOW_GROWTH","FQ2 2017","FQ2 2017","Currency=INR","Period=FQ","BEST_FPERIOD_OVERRIDE=FQ","FILING_STATUS=OR","EQY_CONSOLIDATED=Y","Sort=A","Dates=H","DateFormat=P","Fill=—","Direction=H","UseDPDF=Y")</f>
        <v>#NAME?</v>
      </c>
      <c r="AM270" s="1" t="e">
        <f ca="1">_xll.BDH($C$253,"GEO_GROW_NET_SALES","FQ2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70" s="1" t="e">
        <f ca="1">_xll.BDH($C$253,"GEO_GROW_EBITDA","FQ2 2017","FQ2 2017","Currency=INR","Period=FQ","BEST_FPERIOD_OVERRIDE=FQ","FILING_STATUS=OR","EQY_CONSOLIDATED=Y","FA_ADJUSTED=GAAP","Sort=A","Dates=H","DateFormat=P","Fill=—","Direction=H","UseDPDF=Y")</f>
        <v>#NAME?</v>
      </c>
      <c r="AO270" s="1" t="e">
        <f ca="1">_xll.BDH($C$253,"GEO_GROW_OPER_INC","FQ2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70" s="1" t="e">
        <f ca="1">_xll.BDH($C$253,"NET_INCOME_TO_COMMON_5_YR_GROWTH","FQ2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70" s="1" t="e">
        <f ca="1">_xll.BDH($C$253,"5Y_GEO_GROWTH_DILUTED_EPS","FQ2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70" s="1" t="e">
        <f ca="1">_xll.BDH($C$253,"GEO_GROW_DVD_PER_SH","FQ2 2017","FQ2 2017","Currency=INR","Period=FQ","BEST_FPERIOD_OVERRIDE=FQ","FILING_STATUS=OR","EQY_CONSOLIDATED=Y","Sort=A","Dates=H","DateFormat=P","Fill=—","Direction=H","UseDPDF=Y")</f>
        <v>#NAME?</v>
      </c>
      <c r="AS270" s="1" t="e">
        <f ca="1">_xll.BDH($C$253,"ACCOUNTS_RECEIVABLE_5_YR_GROWTH","FQ2 2017","FQ2 2017","Currency=INR","Period=FQ","BEST_FPERIOD_OVERRIDE=FQ","FILING_STATUS=OR","EQY_CONSOLIDATED=Y","Sort=A","Dates=H","DateFormat=P","Fill=—","Direction=H","UseDPDF=Y")</f>
        <v>#NAME?</v>
      </c>
      <c r="AT270" s="1" t="e">
        <f ca="1">_xll.BDH($C$253,"INVENTORY_5_YEAR_GROWTH","FQ2 2017","FQ2 2017","Currency=INR","Period=FQ","BEST_FPERIOD_OVERRIDE=FQ","FILING_STATUS=OR","EQY_CONSOLIDATED=Y","Sort=A","Dates=H","DateFormat=P","Fill=—","Direction=H","UseDPDF=Y")</f>
        <v>#NAME?</v>
      </c>
      <c r="AU270" s="1" t="e">
        <f ca="1">_xll.BDH($C$253,"NET_FIXED_ASSETS_5_YEAR_GROWTH","FQ2 2017","FQ2 2017","Currency=INR","Period=FQ","BEST_FPERIOD_OVERRIDE=FQ","FILING_STATUS=OR","EQY_CONSOLIDATED=Y","Sort=A","Dates=H","DateFormat=P","Fill=—","Direction=H","UseDPDF=Y")</f>
        <v>#NAME?</v>
      </c>
      <c r="AV270" s="1" t="e">
        <f ca="1">_xll.BDH($C$253,"GEO_GROW_TOT_ASSET","FQ2 2017","FQ2 2017","Currency=INR","Period=FQ","BEST_FPERIOD_OVERRIDE=FQ","FILING_STATUS=OR","EQY_CONSOLIDATED=Y","Sort=A","Dates=H","DateFormat=P","Fill=—","Direction=H","UseDPDF=Y")</f>
        <v>#NAME?</v>
      </c>
      <c r="AW270" s="1" t="e">
        <f ca="1">_xll.BDH($C$253,"MODIFIED_WORKING_CPTL_5YR_GRWTH","FQ2 2017","FQ2 2017","Currency=INR","Period=FQ","BEST_FPERIOD_OVERRIDE=FQ","FILING_STATUS=OR","EQY_CONSOLIDATED=Y","Sort=A","Dates=H","DateFormat=P","Fill=—","Direction=H","UseDPDF=Y")</f>
        <v>#NAME?</v>
      </c>
      <c r="AX270" s="1" t="e">
        <f ca="1">_xll.BDH($C$253,"WORKING_CAPITAL_5_YEAR_GROWTH","FQ2 2017","FQ2 2017","Currency=INR","Period=FQ","BEST_FPERIOD_OVERRIDE=FQ","FILING_STATUS=OR","EQY_CONSOLIDATED=Y","Sort=A","Dates=H","DateFormat=P","Fill=—","Direction=H","UseDPDF=Y")</f>
        <v>#NAME?</v>
      </c>
      <c r="AY270" s="1" t="e">
        <f ca="1">_xll.BDH($C$253,"ACCOUNTS_PAYABLE_5_YEAR_GROWTH","FQ2 2017","FQ2 2017","Currency=INR","Period=FQ","BEST_FPERIOD_OVERRIDE=FQ","FILING_STATUS=OR","EQY_CONSOLIDATED=Y","Sort=A","Dates=H","DateFormat=P","Fill=—","Direction=H","UseDPDF=Y")</f>
        <v>#NAME?</v>
      </c>
      <c r="AZ270" s="1" t="e">
        <f ca="1">_xll.BDH($C$253,"SHORT_TERM_DEBT_5_YEAR_GROWTH","FQ2 2017","FQ2 2017","Currency=INR","Period=FQ","BEST_FPERIOD_OVERRIDE=FQ","FILING_STATUS=OR","EQY_CONSOLIDATED=Y","Sort=A","Dates=H","DateFormat=P","Fill=—","Direction=H","UseDPDF=Y")</f>
        <v>#NAME?</v>
      </c>
      <c r="BA270" s="1" t="e">
        <f ca="1">_xll.BDH($C$253,"TOTAL_DEBT_5_YEAR_GROWTH","FQ2 2017","FQ2 2017","Currency=INR","Period=FQ","BEST_FPERIOD_OVERRIDE=FQ","FILING_STATUS=OR","EQY_CONSOLIDATED=Y","Sort=A","Dates=H","DateFormat=P","Fill=—","Direction=H","UseDPDF=Y")</f>
        <v>#NAME?</v>
      </c>
      <c r="BB270" s="1" t="e">
        <f ca="1">_xll.BDH($C$253,"GEO_GROW_TOT_SHRHLDR_EQY","FQ2 2017","FQ2 2017","Currency=INR","Period=FQ","BEST_FPERIOD_OVERRIDE=FQ","FILING_STATUS=OR","EQY_CONSOLIDATED=Y","Sort=A","Dates=H","DateFormat=P","Fill=—","Direction=H","UseDPDF=Y")</f>
        <v>#NAME?</v>
      </c>
      <c r="BC270" s="1" t="e">
        <f ca="1">_xll.BDH($C$253,"TOTAL_CAPITAL_5_YEAR_GROWTH","FQ2 2017","FQ2 2017","Currency=INR","Period=FQ","BEST_FPERIOD_OVERRIDE=FQ","FILING_STATUS=OR","EQY_CONSOLIDATED=Y","Sort=A","Dates=H","DateFormat=P","Fill=—","Direction=H","UseDPDF=Y")</f>
        <v>#NAME?</v>
      </c>
      <c r="BD270" s="1" t="e">
        <f ca="1">_xll.BDH($C$253,"GEO_GROW_BOOK_VAL","FQ2 2017","FQ2 2017","Currency=INR","Period=FQ","BEST_FPERIOD_OVERRIDE=FQ","FILING_STATUS=OR","EQY_CONSOLIDATED=Y","Sort=A","Dates=H","DateFormat=P","Fill=—","Direction=H","UseDPDF=Y")</f>
        <v>#NAME?</v>
      </c>
      <c r="BE270" s="1" t="e">
        <f ca="1">_xll.BDH($C$253,"GEO_GROW_CASH_OPER_ACT","FQ2 2017","FQ2 2017","Currency=INR","Period=FQ","BEST_FPERIOD_OVERRIDE=FQ","FILING_STATUS=OR","EQY_CONSOLIDATED=Y","Sort=A","Dates=H","DateFormat=P","Fill=—","Direction=H","UseDPDF=Y")</f>
        <v>#NAME?</v>
      </c>
      <c r="BF270" s="1" t="e">
        <f ca="1">_xll.BDH($C$253,"REVENUE_SEQUENTIAL_GROWTH","FQ2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70" s="1" t="e">
        <f ca="1">_xll.BDH($C$253,"EBITDA_SEQUENTIAL_GROWTH","FQ2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70" s="1" t="e">
        <f ca="1">_xll.BDH($C$253,"OPERATING_INCOME_SEQ_GROWTH","FQ2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70" s="1" t="e">
        <f ca="1">_xll.BDH($C$253,"NET_INCOME_TO_COMMON_SEQ_GROWTH","FQ2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70" s="1" t="e">
        <f ca="1">_xll.BDH($C$253,"EPS_DILUTED_SEQUENTIAL_GROWTH","FQ2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70" s="1" t="e">
        <f ca="1">_xll.BDH($C$253,"DPS_SEQUENTIAL_GROWTH","FQ2 2017","FQ2 2017","Currency=INR","Period=FQ","BEST_FPERIOD_OVERRIDE=FQ","FILING_STATUS=OR","EQY_CONSOLIDATED=Y","Sort=A","Dates=H","DateFormat=P","Fill=—","Direction=H","UseDPDF=Y")</f>
        <v>#NAME?</v>
      </c>
      <c r="BL270" s="1" t="e">
        <f ca="1">_xll.BDH($C$253,"ACCOUNTS_RECEIVABLE_SEQ_GROWTH","FQ2 2017","FQ2 2017","Currency=INR","Period=FQ","BEST_FPERIOD_OVERRIDE=FQ","FILING_STATUS=OR","EQY_CONSOLIDATED=Y","Sort=A","Dates=H","DateFormat=P","Fill=—","Direction=H","UseDPDF=Y")</f>
        <v>#NAME?</v>
      </c>
      <c r="BM270" s="1" t="e">
        <f ca="1">_xll.BDH($C$253,"INVENTORY_SEQUENTIAL_GROWTH","FQ2 2017","FQ2 2017","Currency=INR","Period=FQ","BEST_FPERIOD_OVERRIDE=FQ","FILING_STATUS=OR","EQY_CONSOLIDATED=Y","Sort=A","Dates=H","DateFormat=P","Fill=—","Direction=H","UseDPDF=Y")</f>
        <v>#NAME?</v>
      </c>
      <c r="BN270" s="1" t="e">
        <f ca="1">_xll.BDH($C$253,"FIXED_ASSETS_SEQUENTIAL_GROWTH","FQ2 2017","FQ2 2017","Currency=INR","Period=FQ","BEST_FPERIOD_OVERRIDE=FQ","FILING_STATUS=OR","EQY_CONSOLIDATED=Y","Sort=A","Dates=H","DateFormat=P","Fill=—","Direction=H","UseDPDF=Y")</f>
        <v>#NAME?</v>
      </c>
      <c r="BO270" s="1" t="e">
        <f ca="1">_xll.BDH($C$253,"TOTAL_ASSETS_SEQUENTIAL_GROWTH","FQ2 2017","FQ2 2017","Currency=INR","Period=FQ","BEST_FPERIOD_OVERRIDE=FQ","FILING_STATUS=OR","EQY_CONSOLIDATED=Y","Sort=A","Dates=H","DateFormat=P","Fill=—","Direction=H","UseDPDF=Y")</f>
        <v>#NAME?</v>
      </c>
      <c r="BP270" s="1" t="e">
        <f ca="1">_xll.BDH($C$253,"MODIFIED_WORKING_CPTL_SEQ_GRWTH","FQ2 2017","FQ2 2017","Currency=INR","Period=FQ","BEST_FPERIOD_OVERRIDE=FQ","FILING_STATUS=OR","EQY_CONSOLIDATED=Y","Sort=A","Dates=H","DateFormat=P","Fill=—","Direction=H","UseDPDF=Y")</f>
        <v>#NAME?</v>
      </c>
      <c r="BQ270" s="1" t="e">
        <f ca="1">_xll.BDH($C$253,"WORKING_CAPITAL_SEQ_GROWTH","FQ2 2017","FQ2 2017","Currency=INR","Period=FQ","BEST_FPERIOD_OVERRIDE=FQ","FILING_STATUS=OR","EQY_CONSOLIDATED=Y","Sort=A","Dates=H","DateFormat=P","Fill=—","Direction=H","UseDPDF=Y")</f>
        <v>#NAME?</v>
      </c>
      <c r="BR270" s="1" t="e">
        <f ca="1">_xll.BDH($C$253,"ACCOUNTS_PAYABLE_SEQ_GROWTH","FQ2 2017","FQ2 2017","Currency=INR","Period=FQ","BEST_FPERIOD_OVERRIDE=FQ","FILING_STATUS=OR","EQY_CONSOLIDATED=Y","Sort=A","Dates=H","DateFormat=P","Fill=—","Direction=H","UseDPDF=Y")</f>
        <v>#NAME?</v>
      </c>
      <c r="BS270" s="1" t="e">
        <f ca="1">_xll.BDH($C$253,"ST_DEBT_SEQUENTIAL_GROWTH","FQ2 2017","FQ2 2017","Currency=INR","Period=FQ","BEST_FPERIOD_OVERRIDE=FQ","FILING_STATUS=OR","EQY_CONSOLIDATED=Y","Sort=A","Dates=H","DateFormat=P","Fill=—","Direction=H","UseDPDF=Y")</f>
        <v>#NAME?</v>
      </c>
      <c r="BT270" s="1" t="e">
        <f ca="1">_xll.BDH($C$253,"TOTAL_DEBT_SEQUENTIAL_GROWTH","FQ2 2017","FQ2 2017","Currency=INR","Period=FQ","BEST_FPERIOD_OVERRIDE=FQ","FILING_STATUS=OR","EQY_CONSOLIDATED=Y","Sort=A","Dates=H","DateFormat=P","Fill=—","Direction=H","UseDPDF=Y")</f>
        <v>#NAME?</v>
      </c>
      <c r="BU270" s="1" t="e">
        <f ca="1">_xll.BDH($C$253,"TOTAL_EQUITY_SEQUENTIAL_GROWTH","FQ2 2017","FQ2 2017","Currency=INR","Period=FQ","BEST_FPERIOD_OVERRIDE=FQ","FILING_STATUS=OR","EQY_CONSOLIDATED=Y","Sort=A","Dates=H","DateFormat=P","Fill=—","Direction=H","UseDPDF=Y")</f>
        <v>#NAME?</v>
      </c>
      <c r="BV270" s="1" t="e">
        <f ca="1">_xll.BDH($C$253,"TOTAL_CAPITAL_SEQUENTIAL_GROWTH","FQ2 2017","FQ2 2017","Currency=INR","Period=FQ","BEST_FPERIOD_OVERRIDE=FQ","FILING_STATUS=OR","EQY_CONSOLIDATED=Y","Sort=A","Dates=H","DateFormat=P","Fill=—","Direction=H","UseDPDF=Y")</f>
        <v>#NAME?</v>
      </c>
      <c r="BW270" s="1" t="e">
        <f ca="1">_xll.BDH($C$253,"BPS_SEQUENTIAL_GROWTH","FQ2 2017","FQ2 2017","Currency=INR","Period=FQ","BEST_FPERIOD_OVERRIDE=FQ","FILING_STATUS=OR","EQY_CONSOLIDATED=Y","Sort=A","Dates=H","DateFormat=P","Fill=—","Direction=H","UseDPDF=Y")</f>
        <v>#NAME?</v>
      </c>
      <c r="BX270" s="1" t="e">
        <f ca="1">_xll.BDH($C$253,"CFO_SEQUENTIAL_GROWTH","FQ2 2017","FQ2 2017","Currency=INR","Period=FQ","BEST_FPERIOD_OVERRIDE=FQ","FILING_STATUS=OR","EQY_CONSOLIDATED=Y","Sort=A","Dates=H","DateFormat=P","Fill=—","Direction=H","UseDPDF=Y")</f>
        <v>#NAME?</v>
      </c>
      <c r="BY270" s="2" t="e">
        <f ca="1">_xll.BDH($C$253,"SHORT_AND_LONG_TERM_DEBT","FQ2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70" s="2" t="e">
        <f ca="1">_xll.BDH($C$253,"BS_ST_BORROW","FQ2 2017","FQ2 2017","Currency=INR","Period=FQ","BEST_FPERIOD_OVERRIDE=FQ","FILING_STATUS=OR","EQY_CONSOLIDATED=Y","SCALING_FORMAT=MLN","Sort=A","Dates=H","DateFormat=P","Fill=—","Direction=H","UseDPDF=Y")</f>
        <v>#NAME?</v>
      </c>
      <c r="CA270" s="2" t="e">
        <f ca="1">_xll.BDH($C$253,"BS_LT_BORROW","FQ2 2017","FQ2 2017","Currency=INR","Period=FQ","BEST_FPERIOD_OVERRIDE=FQ","FILING_STATUS=OR","EQY_CONSOLIDATED=Y","SCALING_FORMAT=MLN","Sort=A","Dates=H","DateFormat=P","Fill=—","Direction=H","UseDPDF=Y")</f>
        <v>#NAME?</v>
      </c>
      <c r="CB270" s="1" t="e">
        <f ca="1">_xll.BDH($C$253,"TOT_DEBT_TO_EBITDA","FQ2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70" s="1" t="e">
        <f ca="1">_xll.BDH($C$253,"NET_DEBT_TO_EBITDA","FQ2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70" s="1" t="e">
        <f ca="1">_xll.BDH($C$253,"TOTAL_DEBT_TO_EBIT","FQ2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70" s="1" t="e">
        <f ca="1">_xll.BDH($C$253,"NET_DEBT_TO_EBIT","FQ2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270" s="1" t="e">
        <f ca="1">_xll.BDH($C$253,"EBITDA_TO_INTEREST_EXPN","FQ2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70" s="1" t="e">
        <f ca="1">_xll.BDH($C$253,"COM_EQY_TO_TOT_ASSET","FQ2 2017","FQ2 2017","Currency=INR","Period=FQ","BEST_FPERIOD_OVERRIDE=FQ","FILING_STATUS=OR","EQY_CONSOLIDATED=Y","Sort=A","Dates=H","DateFormat=P","Fill=—","Direction=H","UseDPDF=Y")</f>
        <v>#NAME?</v>
      </c>
      <c r="CH270" s="1" t="e">
        <f ca="1">_xll.BDH($C$253,"LT_DEBT_TO_TOT_EQY","FQ2 2017","FQ2 2017","Currency=INR","Period=FQ","BEST_FPERIOD_OVERRIDE=FQ","FILING_STATUS=OR","EQY_CONSOLIDATED=Y","Sort=A","Dates=H","DateFormat=P","Fill=—","Direction=H","UseDPDF=Y")</f>
        <v>#NAME?</v>
      </c>
      <c r="CI270" s="1" t="e">
        <f ca="1">_xll.BDH($C$253,"LT_DEBT_TO_TOT_CAP","FQ2 2017","FQ2 2017","Currency=INR","Period=FQ","BEST_FPERIOD_OVERRIDE=FQ","FILING_STATUS=OR","EQY_CONSOLIDATED=Y","Sort=A","Dates=H","DateFormat=P","Fill=—","Direction=H","UseDPDF=Y")</f>
        <v>#NAME?</v>
      </c>
      <c r="CJ270" s="1" t="e">
        <f ca="1">_xll.BDH($C$253,"LT_DEBT_TO_TOT_ASSET","FQ2 2017","FQ2 2017","Currency=INR","Period=FQ","BEST_FPERIOD_OVERRIDE=FQ","FILING_STATUS=OR","EQY_CONSOLIDATED=Y","Sort=A","Dates=H","DateFormat=P","Fill=—","Direction=H","UseDPDF=Y")</f>
        <v>#NAME?</v>
      </c>
      <c r="CK270" s="1" t="e">
        <f ca="1">_xll.BDH($C$253,"TOT_DEBT_TO_TOT_EQY","FQ2 2017","FQ2 2017","Currency=INR","Period=FQ","BEST_FPERIOD_OVERRIDE=FQ","FILING_STATUS=OR","EQY_CONSOLIDATED=Y","Sort=A","Dates=H","DateFormat=P","Fill=—","Direction=H","UseDPDF=Y")</f>
        <v>#NAME?</v>
      </c>
      <c r="CL270" s="1" t="e">
        <f ca="1">_xll.BDH($C$253,"TOT_DEBT_TO_TOT_CAP","FQ2 2017","FQ2 2017","Currency=INR","Period=FQ","BEST_FPERIOD_OVERRIDE=FQ","FILING_STATUS=OR","EQY_CONSOLIDATED=Y","Sort=A","Dates=H","DateFormat=P","Fill=—","Direction=H","UseDPDF=Y")</f>
        <v>#NAME?</v>
      </c>
      <c r="CM270" s="1" t="e">
        <f ca="1">_xll.BDH($C$253,"TOT_DEBT_TO_TOT_ASSET","FQ2 2017","FQ2 2017","Currency=INR","Period=FQ","BEST_FPERIOD_OVERRIDE=FQ","FILING_STATUS=OR","EQY_CONSOLIDATED=Y","Sort=A","Dates=H","DateFormat=P","Fill=—","Direction=H","UseDPDF=Y")</f>
        <v>#NAME?</v>
      </c>
      <c r="CN270" s="1" t="e">
        <f ca="1">_xll.BDH($C$253,"NET_DEBT_TO_SHRHLDR_EQTY","FQ2 2017","FQ2 2017","Currency=INR","Period=FQ","BEST_FPERIOD_OVERRIDE=FQ","FILING_STATUS=OR","EQY_CONSOLIDATED=Y","Sort=A","Dates=H","DateFormat=P","Fill=—","Direction=H","UseDPDF=Y")</f>
        <v>#NAME?</v>
      </c>
      <c r="CO270" s="1" t="e">
        <f ca="1">_xll.BDH($C$253,"NET_DEBT_%_CAPITAL","FQ2 2017","FQ2 2017","Currency=INR","Period=FQ","BEST_FPERIOD_OVERRIDE=FQ","FILING_STATUS=OR","EQY_CONSOLIDATED=Y","Sort=A","Dates=H","DateFormat=P","Fill=—","Direction=H","UseDPDF=Y")</f>
        <v>#NAME?</v>
      </c>
      <c r="CP270" s="2" t="e">
        <f ca="1">_xll.BDH($C$253,"EBITDA","FQ2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70" s="2" t="e">
        <f ca="1">_xll.BDH($C$253,"EBITDA_AFTER_CAPEX","FQ2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70" s="2" t="e">
        <f ca="1">_xll.BDH($C$253,"IS_OPER_INC","FQ2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70" s="1" t="e">
        <f ca="1">_xll.BDH($C$253,"CASH_RATIO","FQ2 2017","FQ2 2017","Currency=INR","Period=FQ","BEST_FPERIOD_OVERRIDE=FQ","FILING_STATUS=OR","EQY_CONSOLIDATED=Y","Sort=A","Dates=H","DateFormat=P","Fill=—","Direction=H","UseDPDF=Y")</f>
        <v>#NAME?</v>
      </c>
      <c r="CT270" s="1" t="e">
        <f ca="1">_xll.BDH($C$253,"CUR_RATIO","FQ2 2017","FQ2 2017","Currency=INR","Period=FQ","BEST_FPERIOD_OVERRIDE=FQ","FILING_STATUS=OR","EQY_CONSOLIDATED=Y","Sort=A","Dates=H","DateFormat=P","Fill=—","Direction=H","UseDPDF=Y")</f>
        <v>#NAME?</v>
      </c>
      <c r="CU270" s="1" t="e">
        <f ca="1">_xll.BDH($C$253,"QUICK_RATIO","FQ2 2017","FQ2 2017","Currency=INR","Period=FQ","BEST_FPERIOD_OVERRIDE=FQ","FILING_STATUS=OR","EQY_CONSOLIDATED=Y","Sort=A","Dates=H","DateFormat=P","Fill=—","Direction=H","UseDPDF=Y")</f>
        <v>#NAME?</v>
      </c>
      <c r="CV270" s="1" t="e">
        <f ca="1">_xll.BDH($C$253,"ALTMAN_Z_SCORE","FQ2 2017","FQ2 2017","Currency=INR","Period=FQ","BEST_FPERIOD_OVERRIDE=FQ","FILING_STATUS=OR","EQY_CONSOLIDATED=Y","Sort=A","Dates=H","DateFormat=P","Fill=—","Direction=H","UseDPDF=Y")</f>
        <v>#NAME?</v>
      </c>
      <c r="CW270" s="3" t="e">
        <f ca="1">_xll.BDH($C$253,"ACCT_RCV_TURN","FQ2 2017","FQ2 2017","Currency=INR","Period=FQ","BEST_FPERIOD_OVERRIDE=FQ","FILING_STATUS=OR","EQY_CONSOLIDATED=Y","FA_ADJUSTED=GAAP","Sort=A","Dates=H","DateFormat=P","Fill=—","Direction=H","UseDPDF=Y")</f>
        <v>#NAME?</v>
      </c>
      <c r="CX270" s="1" t="e">
        <f ca="1">_xll.BDH($C$253,"ACCT_RCV_DAYS","FQ2 2017","FQ2 2017","Currency=INR","Period=FQ","BEST_FPERIOD_OVERRIDE=FQ","FILING_STATUS=OR","EQY_CONSOLIDATED=Y","FA_ADJUSTED=GAAP","Sort=A","Dates=H","DateFormat=P","Fill=—","Direction=H","UseDPDF=Y")</f>
        <v>#NAME?</v>
      </c>
      <c r="CY270" s="3" t="e">
        <f ca="1">_xll.BDH($C$253,"INVENT_TURN","FQ2 2017","FQ2 2017","Currency=INR","Period=FQ","BEST_FPERIOD_OVERRIDE=FQ","FILING_STATUS=OR","EQY_CONSOLIDATED=Y","FA_ADJUSTED=GAAP","Sort=A","Dates=H","DateFormat=P","Fill=—","Direction=H","UseDPDF=Y")</f>
        <v>#NAME?</v>
      </c>
      <c r="CZ270" s="1" t="e">
        <f ca="1">_xll.BDH($C$253,"INVENT_DAYS","FQ2 2017","FQ2 2017","Currency=INR","Period=FQ","BEST_FPERIOD_OVERRIDE=FQ","FILING_STATUS=OR","EQY_CONSOLIDATED=Y","FA_ADJUSTED=GAAP","Sort=A","Dates=H","DateFormat=P","Fill=—","Direction=H","UseDPDF=Y")</f>
        <v>#NAME?</v>
      </c>
      <c r="DA270" s="3" t="e">
        <f ca="1">_xll.BDH($C$253,"ACCOUNTS_PAYABLE_TURNOVER","FQ2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70" s="1" t="e">
        <f ca="1">_xll.BDH($C$253,"ACCOUNTS_PAYABLE_TURNOVER_DAYS","FQ2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70" s="3" t="e">
        <f ca="1">_xll.BDH($C$253,"CASH_CONVERSION_CYCLE","FQ2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70" s="3" t="e">
        <f ca="1">_xll.BDH($C$253,"INV_TO_CASH_DAYS","FQ2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270" s="4" t="e">
        <f ca="1">_xll.BDH($C$253,"BS_INVENTORIES","FQ2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270" s="2" t="e">
        <f ca="1">_xll.BDH($C$253,"INVTRY_RAW_MATERIALS","FQ2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70" s="2" t="e">
        <f ca="1">_xll.BDH($C$253,"INVTRY_IN_PROGRESS","FQ2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70" s="2" t="e">
        <f ca="1">_xll.BDH($C$253,"INVTRY_FINISHED_GOODS","FQ2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70" s="2" t="e">
        <f ca="1">_xll.BDH($C$253,"BS_OTHER_INV","FQ2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71" spans="1:113" x14ac:dyDescent="0.3">
      <c r="A271" s="6"/>
      <c r="B271" s="6"/>
      <c r="C271" s="6"/>
      <c r="D271" s="6"/>
      <c r="E271" t="s">
        <v>6</v>
      </c>
      <c r="F271" t="e">
        <f ca="1">_xll.BDH($C$253,"RETURN_COM_EQY","FQ3 2017","FQ3 2017","Currency=INR","Period=FQ","BEST_FPERIOD_OVERRIDE=FQ","FILING_STATUS=OR","EQY_CONSOLIDATED=Y","FA_ADJUSTED=GAAP","Sort=A","Dates=H","DateFormat=P","Fill=—","Direction=H","UseDPDF=Y")</f>
        <v>#NAME?</v>
      </c>
      <c r="G271" t="e">
        <f ca="1">_xll.BDH($C$253,"RETURN_ON_ASSET","FQ3 2017","FQ3 2017","Currency=INR","Period=FQ","BEST_FPERIOD_OVERRIDE=FQ","FILING_STATUS=OR","EQY_CONSOLIDATED=Y","FA_ADJUSTED=GAAP","Sort=A","Dates=H","DateFormat=P","Fill=—","Direction=H","UseDPDF=Y")</f>
        <v>#NAME?</v>
      </c>
      <c r="H271" t="e">
        <f ca="1">_xll.BDH($C$253,"RETURN_ON_CAP","FQ3 2017","FQ3 2017","Currency=INR","Period=FQ","BEST_FPERIOD_OVERRIDE=FQ","FILING_STATUS=OR","EQY_CONSOLIDATED=Y","FA_ADJUSTED=GAAP","Sort=A","Dates=H","DateFormat=P","Fill=—","Direction=H","UseDPDF=Y")</f>
        <v>#NAME?</v>
      </c>
      <c r="I271" t="e">
        <f ca="1">_xll.BDH($C$253,"RETURN_ON_INV_CAPITAL","FQ3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71" t="e">
        <f ca="1">_xll.BDH($C$253,"EBITDA_TO_REVENUE","FQ3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271" t="e">
        <f ca="1">_xll.BDH($C$253,"OPER_MARGIN","FQ3 2017","FQ3 2017","Currency=INR","Period=FQ","BEST_FPERIOD_OVERRIDE=FQ","FILING_STATUS=OR","EQY_CONSOLIDATED=Y","FA_ADJUSTED=GAAP","Sort=A","Dates=H","DateFormat=P","Fill=—","Direction=H","UseDPDF=Y")</f>
        <v>#NAME?</v>
      </c>
      <c r="L271" t="e">
        <f ca="1">_xll.BDH($C$253,"INCREMENTAL_OPERATING_MARGIN","FQ3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71" t="e">
        <f ca="1">_xll.BDH($C$253,"PRETAX_INC_TO_NET_SALES","FQ3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71" t="e">
        <f ca="1">_xll.BDH($C$253,"INC_BEF_XO_ITEMS_TO_NET_SALES","FQ3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71" t="e">
        <f ca="1">_xll.BDH($C$253,"PROF_MARGIN","FQ3 2017","FQ3 2017","Currency=INR","Period=FQ","BEST_FPERIOD_OVERRIDE=FQ","FILING_STATUS=OR","EQY_CONSOLIDATED=Y","FA_ADJUSTED=GAAP","Sort=A","Dates=H","DateFormat=P","Fill=—","Direction=H","UseDPDF=Y")</f>
        <v>#NAME?</v>
      </c>
      <c r="P271" t="e">
        <f ca="1">_xll.BDH($C$253,"NET_INCOME_TO_COMMON_MARGIN","FQ3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71" t="e">
        <f ca="1">_xll.BDH($C$253,"EFF_TAX_RATE","FQ3 2017","FQ3 2017","Currency=INR","Period=FQ","BEST_FPERIOD_OVERRIDE=FQ","FILING_STATUS=OR","EQY_CONSOLIDATED=Y","FA_ADJUSTED=GAAP","Sort=A","Dates=H","DateFormat=P","Fill=—","Direction=H","UseDPDF=Y")</f>
        <v>#NAME?</v>
      </c>
      <c r="R271" t="e">
        <f ca="1">_xll.BDH($C$253,"DVD_PAYOUT_RATIO","FQ3 2017","FQ3 2017","Currency=INR","Period=FQ","BEST_FPERIOD_OVERRIDE=FQ","FILING_STATUS=OR","EQY_CONSOLIDATED=Y","FA_ADJUSTED=GAAP","Sort=A","Dates=H","DateFormat=P","Fill=—","Direction=H","UseDPDF=Y")</f>
        <v>#NAME?</v>
      </c>
      <c r="S271" t="e">
        <f ca="1">_xll.BDH($C$253,"SUSTAIN_GROWTH_RT","FQ3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271" s="1" t="e">
        <f ca="1">_xll.BDH($C$253,"SALES_GROWTH","FQ3 2017","FQ3 2017","Currency=INR","Period=FQ","BEST_FPERIOD_OVERRIDE=FQ","FILING_STATUS=OR","EQY_CONSOLIDATED=Y","FA_ADJUSTED=GAAP","Sort=A","Dates=H","DateFormat=P","Fill=—","Direction=H","UseDPDF=Y")</f>
        <v>#NAME?</v>
      </c>
      <c r="U271" s="1" t="e">
        <f ca="1">_xll.BDH($C$253,"EBITDA_GROWTH","FQ3 2017","FQ3 2017","Currency=INR","Period=FQ","BEST_FPERIOD_OVERRIDE=FQ","FILING_STATUS=OR","EQY_CONSOLIDATED=Y","FA_ADJUSTED=GAAP","Sort=A","Dates=H","DateFormat=P","Fill=—","Direction=H","UseDPDF=Y")</f>
        <v>#NAME?</v>
      </c>
      <c r="V271" s="1" t="e">
        <f ca="1">_xll.BDH($C$253,"OPER_INC_GROWTH","FQ3 2017","FQ3 2017","Currency=INR","Period=FQ","BEST_FPERIOD_OVERRIDE=FQ","FILING_STATUS=OR","EQY_CONSOLIDATED=Y","FA_ADJUSTED=GAAP","Sort=A","Dates=H","DateFormat=P","Fill=—","Direction=H","UseDPDF=Y")</f>
        <v>#NAME?</v>
      </c>
      <c r="W271" s="1" t="e">
        <f ca="1">_xll.BDH($C$253,"EARN_FOR_COM_GROWTH","FQ3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71" s="1" t="e">
        <f ca="1">_xll.BDH($C$253,"DILUTED_EPS_AFT_XO_ITEMS_GROWTH","FQ3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71" s="1" t="e">
        <f ca="1">_xll.BDH($C$253,"DIVIDEND_PER_SHARE_1_YEAR_GROWTH","FQ3 2017","FQ3 2017","Currency=INR","Period=FQ","BEST_FPERIOD_OVERRIDE=FQ","FILING_STATUS=OR","EQY_CONSOLIDATED=Y","Sort=A","Dates=H","DateFormat=P","Fill=—","Direction=H","UseDPDF=Y")</f>
        <v>#NAME?</v>
      </c>
      <c r="Z271" s="1" t="e">
        <f ca="1">_xll.BDH($C$253,"ACCOUNTS_RECEIVABLE_GROWTH","FQ3 2017","FQ3 2017","Currency=INR","Period=FQ","BEST_FPERIOD_OVERRIDE=FQ","FILING_STATUS=OR","EQY_CONSOLIDATED=Y","Sort=A","Dates=H","DateFormat=P","Fill=—","Direction=H","UseDPDF=Y")</f>
        <v>#NAME?</v>
      </c>
      <c r="AA271" s="1" t="e">
        <f ca="1">_xll.BDH($C$253,"INVENTORY_GROWTH","FQ3 2017","FQ3 2017","Currency=INR","Period=FQ","BEST_FPERIOD_OVERRIDE=FQ","FILING_STATUS=OR","EQY_CONSOLIDATED=Y","Sort=A","Dates=H","DateFormat=P","Fill=—","Direction=H","UseDPDF=Y")</f>
        <v>#NAME?</v>
      </c>
      <c r="AB271" s="1" t="e">
        <f ca="1">_xll.BDH($C$253,"NET_FIXED_ASSETS_1_YEAR_GROWTH","FQ3 2017","FQ3 2017","Currency=INR","Period=FQ","BEST_FPERIOD_OVERRIDE=FQ","FILING_STATUS=OR","EQY_CONSOLIDATED=Y","Sort=A","Dates=H","DateFormat=P","Fill=—","Direction=H","UseDPDF=Y")</f>
        <v>#NAME?</v>
      </c>
      <c r="AC271" s="1" t="e">
        <f ca="1">_xll.BDH($C$253,"ASSET_GROWTH","FQ3 2017","FQ3 2017","Currency=INR","Period=FQ","BEST_FPERIOD_OVERRIDE=FQ","FILING_STATUS=OR","EQY_CONSOLIDATED=Y","Sort=A","Dates=H","DateFormat=P","Fill=—","Direction=H","UseDPDF=Y")</f>
        <v>#NAME?</v>
      </c>
      <c r="AD271" s="1" t="e">
        <f ca="1">_xll.BDH($C$253,"MODIFIED_WORK_CAP_GROWTH","FQ3 2017","FQ3 2017","Currency=INR","Period=FQ","BEST_FPERIOD_OVERRIDE=FQ","FILING_STATUS=OR","EQY_CONSOLIDATED=Y","Sort=A","Dates=H","DateFormat=P","Fill=—","Direction=H","UseDPDF=Y")</f>
        <v>#NAME?</v>
      </c>
      <c r="AE271" s="1" t="e">
        <f ca="1">_xll.BDH($C$253,"WORK_CAP_GROWTH","FQ3 2017","FQ3 2017","Currency=INR","Period=FQ","BEST_FPERIOD_OVERRIDE=FQ","FILING_STATUS=OR","EQY_CONSOLIDATED=Y","Sort=A","Dates=H","DateFormat=P","Fill=—","Direction=H","UseDPDF=Y")</f>
        <v>#NAME?</v>
      </c>
      <c r="AF271" s="1" t="e">
        <f ca="1">_xll.BDH($C$253,"ACCOUNTS_PAYABLE_GROWTH_1YR","FQ3 2017","FQ3 2017","Currency=INR","Period=FQ","BEST_FPERIOD_OVERRIDE=FQ","FILING_STATUS=OR","EQY_CONSOLIDATED=Y","Sort=A","Dates=H","DateFormat=P","Fill=—","Direction=H","UseDPDF=Y")</f>
        <v>#NAME?</v>
      </c>
      <c r="AG271" s="1" t="e">
        <f ca="1">_xll.BDH($C$253,"SHORT_TERM_DEBT_1_YEAR_GROWTH","FQ3 2017","FQ3 2017","Currency=INR","Period=FQ","BEST_FPERIOD_OVERRIDE=FQ","FILING_STATUS=OR","EQY_CONSOLIDATED=Y","Sort=A","Dates=H","DateFormat=P","Fill=—","Direction=H","UseDPDF=Y")</f>
        <v>#NAME?</v>
      </c>
      <c r="AH271" s="1" t="e">
        <f ca="1">_xll.BDH($C$253,"TOTAL_DEBT_1_YEAR_GROWTH","FQ3 2017","FQ3 2017","Currency=INR","Period=FQ","BEST_FPERIOD_OVERRIDE=FQ","FILING_STATUS=OR","EQY_CONSOLIDATED=Y","Sort=A","Dates=H","DateFormat=P","Fill=—","Direction=H","UseDPDF=Y")</f>
        <v>#NAME?</v>
      </c>
      <c r="AI271" s="1" t="e">
        <f ca="1">_xll.BDH($C$253,"TOTAL_EQUITY_1_YEAR_GROWTH","FQ3 2017","FQ3 2017","Currency=INR","Period=FQ","BEST_FPERIOD_OVERRIDE=FQ","FILING_STATUS=OR","EQY_CONSOLIDATED=Y","Sort=A","Dates=H","DateFormat=P","Fill=—","Direction=H","UseDPDF=Y")</f>
        <v>#NAME?</v>
      </c>
      <c r="AJ271" s="1" t="e">
        <f ca="1">_xll.BDH($C$253,"GROWTH_IN_CAP","FQ3 2017","FQ3 2017","Currency=INR","Period=FQ","BEST_FPERIOD_OVERRIDE=FQ","FILING_STATUS=OR","EQY_CONSOLIDATED=Y","Sort=A","Dates=H","DateFormat=P","Fill=—","Direction=H","UseDPDF=Y")</f>
        <v>#NAME?</v>
      </c>
      <c r="AK271" s="1" t="e">
        <f ca="1">_xll.BDH($C$253,"BVPS_GROWTH","FQ3 2017","FQ3 2017","Currency=INR","Period=FQ","BEST_FPERIOD_OVERRIDE=FQ","FILING_STATUS=OR","EQY_CONSOLIDATED=Y","Sort=A","Dates=H","DateFormat=P","Fill=—","Direction=H","UseDPDF=Y")</f>
        <v>#NAME?</v>
      </c>
      <c r="AL271" s="1" t="e">
        <f ca="1">_xll.BDH($C$253,"CASH_FLOW_GROWTH","FQ3 2017","FQ3 2017","Currency=INR","Period=FQ","BEST_FPERIOD_OVERRIDE=FQ","FILING_STATUS=OR","EQY_CONSOLIDATED=Y","Sort=A","Dates=H","DateFormat=P","Fill=—","Direction=H","UseDPDF=Y")</f>
        <v>#NAME?</v>
      </c>
      <c r="AM271" s="1" t="e">
        <f ca="1">_xll.BDH($C$253,"GEO_GROW_NET_SALES","FQ3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71" s="1" t="e">
        <f ca="1">_xll.BDH($C$253,"GEO_GROW_EBITDA","FQ3 2017","FQ3 2017","Currency=INR","Period=FQ","BEST_FPERIOD_OVERRIDE=FQ","FILING_STATUS=OR","EQY_CONSOLIDATED=Y","FA_ADJUSTED=GAAP","Sort=A","Dates=H","DateFormat=P","Fill=—","Direction=H","UseDPDF=Y")</f>
        <v>#NAME?</v>
      </c>
      <c r="AO271" s="1" t="e">
        <f ca="1">_xll.BDH($C$253,"GEO_GROW_OPER_INC","FQ3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71" s="1" t="e">
        <f ca="1">_xll.BDH($C$253,"NET_INCOME_TO_COMMON_5_YR_GROWTH","FQ3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71" s="1" t="e">
        <f ca="1">_xll.BDH($C$253,"5Y_GEO_GROWTH_DILUTED_EPS","FQ3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71" s="1" t="e">
        <f ca="1">_xll.BDH($C$253,"GEO_GROW_DVD_PER_SH","FQ3 2017","FQ3 2017","Currency=INR","Period=FQ","BEST_FPERIOD_OVERRIDE=FQ","FILING_STATUS=OR","EQY_CONSOLIDATED=Y","Sort=A","Dates=H","DateFormat=P","Fill=—","Direction=H","UseDPDF=Y")</f>
        <v>#NAME?</v>
      </c>
      <c r="AS271" s="1" t="e">
        <f ca="1">_xll.BDH($C$253,"ACCOUNTS_RECEIVABLE_5_YR_GROWTH","FQ3 2017","FQ3 2017","Currency=INR","Period=FQ","BEST_FPERIOD_OVERRIDE=FQ","FILING_STATUS=OR","EQY_CONSOLIDATED=Y","Sort=A","Dates=H","DateFormat=P","Fill=—","Direction=H","UseDPDF=Y")</f>
        <v>#NAME?</v>
      </c>
      <c r="AT271" s="1" t="e">
        <f ca="1">_xll.BDH($C$253,"INVENTORY_5_YEAR_GROWTH","FQ3 2017","FQ3 2017","Currency=INR","Period=FQ","BEST_FPERIOD_OVERRIDE=FQ","FILING_STATUS=OR","EQY_CONSOLIDATED=Y","Sort=A","Dates=H","DateFormat=P","Fill=—","Direction=H","UseDPDF=Y")</f>
        <v>#NAME?</v>
      </c>
      <c r="AU271" s="1" t="e">
        <f ca="1">_xll.BDH($C$253,"NET_FIXED_ASSETS_5_YEAR_GROWTH","FQ3 2017","FQ3 2017","Currency=INR","Period=FQ","BEST_FPERIOD_OVERRIDE=FQ","FILING_STATUS=OR","EQY_CONSOLIDATED=Y","Sort=A","Dates=H","DateFormat=P","Fill=—","Direction=H","UseDPDF=Y")</f>
        <v>#NAME?</v>
      </c>
      <c r="AV271" s="1" t="e">
        <f ca="1">_xll.BDH($C$253,"GEO_GROW_TOT_ASSET","FQ3 2017","FQ3 2017","Currency=INR","Period=FQ","BEST_FPERIOD_OVERRIDE=FQ","FILING_STATUS=OR","EQY_CONSOLIDATED=Y","Sort=A","Dates=H","DateFormat=P","Fill=—","Direction=H","UseDPDF=Y")</f>
        <v>#NAME?</v>
      </c>
      <c r="AW271" s="1" t="e">
        <f ca="1">_xll.BDH($C$253,"MODIFIED_WORKING_CPTL_5YR_GRWTH","FQ3 2017","FQ3 2017","Currency=INR","Period=FQ","BEST_FPERIOD_OVERRIDE=FQ","FILING_STATUS=OR","EQY_CONSOLIDATED=Y","Sort=A","Dates=H","DateFormat=P","Fill=—","Direction=H","UseDPDF=Y")</f>
        <v>#NAME?</v>
      </c>
      <c r="AX271" s="1" t="e">
        <f ca="1">_xll.BDH($C$253,"WORKING_CAPITAL_5_YEAR_GROWTH","FQ3 2017","FQ3 2017","Currency=INR","Period=FQ","BEST_FPERIOD_OVERRIDE=FQ","FILING_STATUS=OR","EQY_CONSOLIDATED=Y","Sort=A","Dates=H","DateFormat=P","Fill=—","Direction=H","UseDPDF=Y")</f>
        <v>#NAME?</v>
      </c>
      <c r="AY271" s="1" t="e">
        <f ca="1">_xll.BDH($C$253,"ACCOUNTS_PAYABLE_5_YEAR_GROWTH","FQ3 2017","FQ3 2017","Currency=INR","Period=FQ","BEST_FPERIOD_OVERRIDE=FQ","FILING_STATUS=OR","EQY_CONSOLIDATED=Y","Sort=A","Dates=H","DateFormat=P","Fill=—","Direction=H","UseDPDF=Y")</f>
        <v>#NAME?</v>
      </c>
      <c r="AZ271" s="1" t="e">
        <f ca="1">_xll.BDH($C$253,"SHORT_TERM_DEBT_5_YEAR_GROWTH","FQ3 2017","FQ3 2017","Currency=INR","Period=FQ","BEST_FPERIOD_OVERRIDE=FQ","FILING_STATUS=OR","EQY_CONSOLIDATED=Y","Sort=A","Dates=H","DateFormat=P","Fill=—","Direction=H","UseDPDF=Y")</f>
        <v>#NAME?</v>
      </c>
      <c r="BA271" s="1" t="e">
        <f ca="1">_xll.BDH($C$253,"TOTAL_DEBT_5_YEAR_GROWTH","FQ3 2017","FQ3 2017","Currency=INR","Period=FQ","BEST_FPERIOD_OVERRIDE=FQ","FILING_STATUS=OR","EQY_CONSOLIDATED=Y","Sort=A","Dates=H","DateFormat=P","Fill=—","Direction=H","UseDPDF=Y")</f>
        <v>#NAME?</v>
      </c>
      <c r="BB271" s="1" t="e">
        <f ca="1">_xll.BDH($C$253,"GEO_GROW_TOT_SHRHLDR_EQY","FQ3 2017","FQ3 2017","Currency=INR","Period=FQ","BEST_FPERIOD_OVERRIDE=FQ","FILING_STATUS=OR","EQY_CONSOLIDATED=Y","Sort=A","Dates=H","DateFormat=P","Fill=—","Direction=H","UseDPDF=Y")</f>
        <v>#NAME?</v>
      </c>
      <c r="BC271" s="1" t="e">
        <f ca="1">_xll.BDH($C$253,"TOTAL_CAPITAL_5_YEAR_GROWTH","FQ3 2017","FQ3 2017","Currency=INR","Period=FQ","BEST_FPERIOD_OVERRIDE=FQ","FILING_STATUS=OR","EQY_CONSOLIDATED=Y","Sort=A","Dates=H","DateFormat=P","Fill=—","Direction=H","UseDPDF=Y")</f>
        <v>#NAME?</v>
      </c>
      <c r="BD271" s="1" t="e">
        <f ca="1">_xll.BDH($C$253,"GEO_GROW_BOOK_VAL","FQ3 2017","FQ3 2017","Currency=INR","Period=FQ","BEST_FPERIOD_OVERRIDE=FQ","FILING_STATUS=OR","EQY_CONSOLIDATED=Y","Sort=A","Dates=H","DateFormat=P","Fill=—","Direction=H","UseDPDF=Y")</f>
        <v>#NAME?</v>
      </c>
      <c r="BE271" s="1" t="e">
        <f ca="1">_xll.BDH($C$253,"GEO_GROW_CASH_OPER_ACT","FQ3 2017","FQ3 2017","Currency=INR","Period=FQ","BEST_FPERIOD_OVERRIDE=FQ","FILING_STATUS=OR","EQY_CONSOLIDATED=Y","Sort=A","Dates=H","DateFormat=P","Fill=—","Direction=H","UseDPDF=Y")</f>
        <v>#NAME?</v>
      </c>
      <c r="BF271" s="1" t="e">
        <f ca="1">_xll.BDH($C$253,"REVENUE_SEQUENTIAL_GROWTH","FQ3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71" s="1" t="e">
        <f ca="1">_xll.BDH($C$253,"EBITDA_SEQUENTIAL_GROWTH","FQ3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71" s="1" t="e">
        <f ca="1">_xll.BDH($C$253,"OPERATING_INCOME_SEQ_GROWTH","FQ3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71" s="1" t="e">
        <f ca="1">_xll.BDH($C$253,"NET_INCOME_TO_COMMON_SEQ_GROWTH","FQ3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71" s="1" t="e">
        <f ca="1">_xll.BDH($C$253,"EPS_DILUTED_SEQUENTIAL_GROWTH","FQ3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71" s="1" t="e">
        <f ca="1">_xll.BDH($C$253,"DPS_SEQUENTIAL_GROWTH","FQ3 2017","FQ3 2017","Currency=INR","Period=FQ","BEST_FPERIOD_OVERRIDE=FQ","FILING_STATUS=OR","EQY_CONSOLIDATED=Y","Sort=A","Dates=H","DateFormat=P","Fill=—","Direction=H","UseDPDF=Y")</f>
        <v>#NAME?</v>
      </c>
      <c r="BL271" s="1" t="e">
        <f ca="1">_xll.BDH($C$253,"ACCOUNTS_RECEIVABLE_SEQ_GROWTH","FQ3 2017","FQ3 2017","Currency=INR","Period=FQ","BEST_FPERIOD_OVERRIDE=FQ","FILING_STATUS=OR","EQY_CONSOLIDATED=Y","Sort=A","Dates=H","DateFormat=P","Fill=—","Direction=H","UseDPDF=Y")</f>
        <v>#NAME?</v>
      </c>
      <c r="BM271" s="1" t="e">
        <f ca="1">_xll.BDH($C$253,"INVENTORY_SEQUENTIAL_GROWTH","FQ3 2017","FQ3 2017","Currency=INR","Period=FQ","BEST_FPERIOD_OVERRIDE=FQ","FILING_STATUS=OR","EQY_CONSOLIDATED=Y","Sort=A","Dates=H","DateFormat=P","Fill=—","Direction=H","UseDPDF=Y")</f>
        <v>#NAME?</v>
      </c>
      <c r="BN271" s="1" t="e">
        <f ca="1">_xll.BDH($C$253,"FIXED_ASSETS_SEQUENTIAL_GROWTH","FQ3 2017","FQ3 2017","Currency=INR","Period=FQ","BEST_FPERIOD_OVERRIDE=FQ","FILING_STATUS=OR","EQY_CONSOLIDATED=Y","Sort=A","Dates=H","DateFormat=P","Fill=—","Direction=H","UseDPDF=Y")</f>
        <v>#NAME?</v>
      </c>
      <c r="BO271" s="1" t="e">
        <f ca="1">_xll.BDH($C$253,"TOTAL_ASSETS_SEQUENTIAL_GROWTH","FQ3 2017","FQ3 2017","Currency=INR","Period=FQ","BEST_FPERIOD_OVERRIDE=FQ","FILING_STATUS=OR","EQY_CONSOLIDATED=Y","Sort=A","Dates=H","DateFormat=P","Fill=—","Direction=H","UseDPDF=Y")</f>
        <v>#NAME?</v>
      </c>
      <c r="BP271" s="1" t="e">
        <f ca="1">_xll.BDH($C$253,"MODIFIED_WORKING_CPTL_SEQ_GRWTH","FQ3 2017","FQ3 2017","Currency=INR","Period=FQ","BEST_FPERIOD_OVERRIDE=FQ","FILING_STATUS=OR","EQY_CONSOLIDATED=Y","Sort=A","Dates=H","DateFormat=P","Fill=—","Direction=H","UseDPDF=Y")</f>
        <v>#NAME?</v>
      </c>
      <c r="BQ271" s="1" t="e">
        <f ca="1">_xll.BDH($C$253,"WORKING_CAPITAL_SEQ_GROWTH","FQ3 2017","FQ3 2017","Currency=INR","Period=FQ","BEST_FPERIOD_OVERRIDE=FQ","FILING_STATUS=OR","EQY_CONSOLIDATED=Y","Sort=A","Dates=H","DateFormat=P","Fill=—","Direction=H","UseDPDF=Y")</f>
        <v>#NAME?</v>
      </c>
      <c r="BR271" s="1" t="e">
        <f ca="1">_xll.BDH($C$253,"ACCOUNTS_PAYABLE_SEQ_GROWTH","FQ3 2017","FQ3 2017","Currency=INR","Period=FQ","BEST_FPERIOD_OVERRIDE=FQ","FILING_STATUS=OR","EQY_CONSOLIDATED=Y","Sort=A","Dates=H","DateFormat=P","Fill=—","Direction=H","UseDPDF=Y")</f>
        <v>#NAME?</v>
      </c>
      <c r="BS271" s="1" t="e">
        <f ca="1">_xll.BDH($C$253,"ST_DEBT_SEQUENTIAL_GROWTH","FQ3 2017","FQ3 2017","Currency=INR","Period=FQ","BEST_FPERIOD_OVERRIDE=FQ","FILING_STATUS=OR","EQY_CONSOLIDATED=Y","Sort=A","Dates=H","DateFormat=P","Fill=—","Direction=H","UseDPDF=Y")</f>
        <v>#NAME?</v>
      </c>
      <c r="BT271" s="1" t="e">
        <f ca="1">_xll.BDH($C$253,"TOTAL_DEBT_SEQUENTIAL_GROWTH","FQ3 2017","FQ3 2017","Currency=INR","Period=FQ","BEST_FPERIOD_OVERRIDE=FQ","FILING_STATUS=OR","EQY_CONSOLIDATED=Y","Sort=A","Dates=H","DateFormat=P","Fill=—","Direction=H","UseDPDF=Y")</f>
        <v>#NAME?</v>
      </c>
      <c r="BU271" s="1" t="e">
        <f ca="1">_xll.BDH($C$253,"TOTAL_EQUITY_SEQUENTIAL_GROWTH","FQ3 2017","FQ3 2017","Currency=INR","Period=FQ","BEST_FPERIOD_OVERRIDE=FQ","FILING_STATUS=OR","EQY_CONSOLIDATED=Y","Sort=A","Dates=H","DateFormat=P","Fill=—","Direction=H","UseDPDF=Y")</f>
        <v>#NAME?</v>
      </c>
      <c r="BV271" s="1" t="e">
        <f ca="1">_xll.BDH($C$253,"TOTAL_CAPITAL_SEQUENTIAL_GROWTH","FQ3 2017","FQ3 2017","Currency=INR","Period=FQ","BEST_FPERIOD_OVERRIDE=FQ","FILING_STATUS=OR","EQY_CONSOLIDATED=Y","Sort=A","Dates=H","DateFormat=P","Fill=—","Direction=H","UseDPDF=Y")</f>
        <v>#NAME?</v>
      </c>
      <c r="BW271" s="1" t="e">
        <f ca="1">_xll.BDH($C$253,"BPS_SEQUENTIAL_GROWTH","FQ3 2017","FQ3 2017","Currency=INR","Period=FQ","BEST_FPERIOD_OVERRIDE=FQ","FILING_STATUS=OR","EQY_CONSOLIDATED=Y","Sort=A","Dates=H","DateFormat=P","Fill=—","Direction=H","UseDPDF=Y")</f>
        <v>#NAME?</v>
      </c>
      <c r="BX271" s="1" t="e">
        <f ca="1">_xll.BDH($C$253,"CFO_SEQUENTIAL_GROWTH","FQ3 2017","FQ3 2017","Currency=INR","Period=FQ","BEST_FPERIOD_OVERRIDE=FQ","FILING_STATUS=OR","EQY_CONSOLIDATED=Y","Sort=A","Dates=H","DateFormat=P","Fill=—","Direction=H","UseDPDF=Y")</f>
        <v>#NAME?</v>
      </c>
      <c r="BY271" s="2" t="e">
        <f ca="1">_xll.BDH($C$253,"SHORT_AND_LONG_TERM_DEBT","FQ3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71" s="2" t="e">
        <f ca="1">_xll.BDH($C$253,"BS_ST_BORROW","FQ3 2017","FQ3 2017","Currency=INR","Period=FQ","BEST_FPERIOD_OVERRIDE=FQ","FILING_STATUS=OR","EQY_CONSOLIDATED=Y","SCALING_FORMAT=MLN","Sort=A","Dates=H","DateFormat=P","Fill=—","Direction=H","UseDPDF=Y")</f>
        <v>#NAME?</v>
      </c>
      <c r="CA271" s="2" t="e">
        <f ca="1">_xll.BDH($C$253,"BS_LT_BORROW","FQ3 2017","FQ3 2017","Currency=INR","Period=FQ","BEST_FPERIOD_OVERRIDE=FQ","FILING_STATUS=OR","EQY_CONSOLIDATED=Y","SCALING_FORMAT=MLN","Sort=A","Dates=H","DateFormat=P","Fill=—","Direction=H","UseDPDF=Y")</f>
        <v>#NAME?</v>
      </c>
      <c r="CB271" s="1" t="e">
        <f ca="1">_xll.BDH($C$253,"TOT_DEBT_TO_EBITDA","FQ3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71" s="1" t="e">
        <f ca="1">_xll.BDH($C$253,"NET_DEBT_TO_EBITDA","FQ3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71" s="1" t="e">
        <f ca="1">_xll.BDH($C$253,"TOTAL_DEBT_TO_EBIT","FQ3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71" s="1" t="e">
        <f ca="1">_xll.BDH($C$253,"NET_DEBT_TO_EBIT","FQ3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271" s="1" t="e">
        <f ca="1">_xll.BDH($C$253,"EBITDA_TO_INTEREST_EXPN","FQ3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71" s="1" t="e">
        <f ca="1">_xll.BDH($C$253,"COM_EQY_TO_TOT_ASSET","FQ3 2017","FQ3 2017","Currency=INR","Period=FQ","BEST_FPERIOD_OVERRIDE=FQ","FILING_STATUS=OR","EQY_CONSOLIDATED=Y","Sort=A","Dates=H","DateFormat=P","Fill=—","Direction=H","UseDPDF=Y")</f>
        <v>#NAME?</v>
      </c>
      <c r="CH271" s="1" t="e">
        <f ca="1">_xll.BDH($C$253,"LT_DEBT_TO_TOT_EQY","FQ3 2017","FQ3 2017","Currency=INR","Period=FQ","BEST_FPERIOD_OVERRIDE=FQ","FILING_STATUS=OR","EQY_CONSOLIDATED=Y","Sort=A","Dates=H","DateFormat=P","Fill=—","Direction=H","UseDPDF=Y")</f>
        <v>#NAME?</v>
      </c>
      <c r="CI271" s="1" t="e">
        <f ca="1">_xll.BDH($C$253,"LT_DEBT_TO_TOT_CAP","FQ3 2017","FQ3 2017","Currency=INR","Period=FQ","BEST_FPERIOD_OVERRIDE=FQ","FILING_STATUS=OR","EQY_CONSOLIDATED=Y","Sort=A","Dates=H","DateFormat=P","Fill=—","Direction=H","UseDPDF=Y")</f>
        <v>#NAME?</v>
      </c>
      <c r="CJ271" s="1" t="e">
        <f ca="1">_xll.BDH($C$253,"LT_DEBT_TO_TOT_ASSET","FQ3 2017","FQ3 2017","Currency=INR","Period=FQ","BEST_FPERIOD_OVERRIDE=FQ","FILING_STATUS=OR","EQY_CONSOLIDATED=Y","Sort=A","Dates=H","DateFormat=P","Fill=—","Direction=H","UseDPDF=Y")</f>
        <v>#NAME?</v>
      </c>
      <c r="CK271" s="1" t="e">
        <f ca="1">_xll.BDH($C$253,"TOT_DEBT_TO_TOT_EQY","FQ3 2017","FQ3 2017","Currency=INR","Period=FQ","BEST_FPERIOD_OVERRIDE=FQ","FILING_STATUS=OR","EQY_CONSOLIDATED=Y","Sort=A","Dates=H","DateFormat=P","Fill=—","Direction=H","UseDPDF=Y")</f>
        <v>#NAME?</v>
      </c>
      <c r="CL271" s="1" t="e">
        <f ca="1">_xll.BDH($C$253,"TOT_DEBT_TO_TOT_CAP","FQ3 2017","FQ3 2017","Currency=INR","Period=FQ","BEST_FPERIOD_OVERRIDE=FQ","FILING_STATUS=OR","EQY_CONSOLIDATED=Y","Sort=A","Dates=H","DateFormat=P","Fill=—","Direction=H","UseDPDF=Y")</f>
        <v>#NAME?</v>
      </c>
      <c r="CM271" s="1" t="e">
        <f ca="1">_xll.BDH($C$253,"TOT_DEBT_TO_TOT_ASSET","FQ3 2017","FQ3 2017","Currency=INR","Period=FQ","BEST_FPERIOD_OVERRIDE=FQ","FILING_STATUS=OR","EQY_CONSOLIDATED=Y","Sort=A","Dates=H","DateFormat=P","Fill=—","Direction=H","UseDPDF=Y")</f>
        <v>#NAME?</v>
      </c>
      <c r="CN271" s="1" t="e">
        <f ca="1">_xll.BDH($C$253,"NET_DEBT_TO_SHRHLDR_EQTY","FQ3 2017","FQ3 2017","Currency=INR","Period=FQ","BEST_FPERIOD_OVERRIDE=FQ","FILING_STATUS=OR","EQY_CONSOLIDATED=Y","Sort=A","Dates=H","DateFormat=P","Fill=—","Direction=H","UseDPDF=Y")</f>
        <v>#NAME?</v>
      </c>
      <c r="CO271" s="1" t="e">
        <f ca="1">_xll.BDH($C$253,"NET_DEBT_%_CAPITAL","FQ3 2017","FQ3 2017","Currency=INR","Period=FQ","BEST_FPERIOD_OVERRIDE=FQ","FILING_STATUS=OR","EQY_CONSOLIDATED=Y","Sort=A","Dates=H","DateFormat=P","Fill=—","Direction=H","UseDPDF=Y")</f>
        <v>#NAME?</v>
      </c>
      <c r="CP271" s="2" t="e">
        <f ca="1">_xll.BDH($C$253,"EBITDA","FQ3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71" s="2" t="e">
        <f ca="1">_xll.BDH($C$253,"EBITDA_AFTER_CAPEX","FQ3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71" s="2" t="e">
        <f ca="1">_xll.BDH($C$253,"IS_OPER_INC","FQ3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71" s="1" t="e">
        <f ca="1">_xll.BDH($C$253,"CASH_RATIO","FQ3 2017","FQ3 2017","Currency=INR","Period=FQ","BEST_FPERIOD_OVERRIDE=FQ","FILING_STATUS=OR","EQY_CONSOLIDATED=Y","Sort=A","Dates=H","DateFormat=P","Fill=—","Direction=H","UseDPDF=Y")</f>
        <v>#NAME?</v>
      </c>
      <c r="CT271" s="1" t="e">
        <f ca="1">_xll.BDH($C$253,"CUR_RATIO","FQ3 2017","FQ3 2017","Currency=INR","Period=FQ","BEST_FPERIOD_OVERRIDE=FQ","FILING_STATUS=OR","EQY_CONSOLIDATED=Y","Sort=A","Dates=H","DateFormat=P","Fill=—","Direction=H","UseDPDF=Y")</f>
        <v>#NAME?</v>
      </c>
      <c r="CU271" s="1" t="e">
        <f ca="1">_xll.BDH($C$253,"QUICK_RATIO","FQ3 2017","FQ3 2017","Currency=INR","Period=FQ","BEST_FPERIOD_OVERRIDE=FQ","FILING_STATUS=OR","EQY_CONSOLIDATED=Y","Sort=A","Dates=H","DateFormat=P","Fill=—","Direction=H","UseDPDF=Y")</f>
        <v>#NAME?</v>
      </c>
      <c r="CV271" s="1" t="e">
        <f ca="1">_xll.BDH($C$253,"ALTMAN_Z_SCORE","FQ3 2017","FQ3 2017","Currency=INR","Period=FQ","BEST_FPERIOD_OVERRIDE=FQ","FILING_STATUS=OR","EQY_CONSOLIDATED=Y","Sort=A","Dates=H","DateFormat=P","Fill=—","Direction=H","UseDPDF=Y")</f>
        <v>#NAME?</v>
      </c>
      <c r="CW271" s="3" t="e">
        <f ca="1">_xll.BDH($C$253,"ACCT_RCV_TURN","FQ3 2017","FQ3 2017","Currency=INR","Period=FQ","BEST_FPERIOD_OVERRIDE=FQ","FILING_STATUS=OR","EQY_CONSOLIDATED=Y","FA_ADJUSTED=GAAP","Sort=A","Dates=H","DateFormat=P","Fill=—","Direction=H","UseDPDF=Y")</f>
        <v>#NAME?</v>
      </c>
      <c r="CX271" s="1" t="e">
        <f ca="1">_xll.BDH($C$253,"ACCT_RCV_DAYS","FQ3 2017","FQ3 2017","Currency=INR","Period=FQ","BEST_FPERIOD_OVERRIDE=FQ","FILING_STATUS=OR","EQY_CONSOLIDATED=Y","FA_ADJUSTED=GAAP","Sort=A","Dates=H","DateFormat=P","Fill=—","Direction=H","UseDPDF=Y")</f>
        <v>#NAME?</v>
      </c>
      <c r="CY271" s="3" t="e">
        <f ca="1">_xll.BDH($C$253,"INVENT_TURN","FQ3 2017","FQ3 2017","Currency=INR","Period=FQ","BEST_FPERIOD_OVERRIDE=FQ","FILING_STATUS=OR","EQY_CONSOLIDATED=Y","FA_ADJUSTED=GAAP","Sort=A","Dates=H","DateFormat=P","Fill=—","Direction=H","UseDPDF=Y")</f>
        <v>#NAME?</v>
      </c>
      <c r="CZ271" s="1" t="e">
        <f ca="1">_xll.BDH($C$253,"INVENT_DAYS","FQ3 2017","FQ3 2017","Currency=INR","Period=FQ","BEST_FPERIOD_OVERRIDE=FQ","FILING_STATUS=OR","EQY_CONSOLIDATED=Y","FA_ADJUSTED=GAAP","Sort=A","Dates=H","DateFormat=P","Fill=—","Direction=H","UseDPDF=Y")</f>
        <v>#NAME?</v>
      </c>
      <c r="DA271" s="3" t="e">
        <f ca="1">_xll.BDH($C$253,"ACCOUNTS_PAYABLE_TURNOVER","FQ3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71" s="1" t="e">
        <f ca="1">_xll.BDH($C$253,"ACCOUNTS_PAYABLE_TURNOVER_DAYS","FQ3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71" s="3" t="e">
        <f ca="1">_xll.BDH($C$253,"CASH_CONVERSION_CYCLE","FQ3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71" s="3" t="e">
        <f ca="1">_xll.BDH($C$253,"INV_TO_CASH_DAYS","FQ3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271" s="4" t="e">
        <f ca="1">_xll.BDH($C$253,"BS_INVENTORIES","FQ3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271" s="2" t="e">
        <f ca="1">_xll.BDH($C$253,"INVTRY_RAW_MATERIALS","FQ3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71" s="2" t="e">
        <f ca="1">_xll.BDH($C$253,"INVTRY_IN_PROGRESS","FQ3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71" s="2" t="e">
        <f ca="1">_xll.BDH($C$253,"INVTRY_FINISHED_GOODS","FQ3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71" s="2" t="e">
        <f ca="1">_xll.BDH($C$253,"BS_OTHER_INV","FQ3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72" spans="1:113" x14ac:dyDescent="0.3">
      <c r="A272" s="6"/>
      <c r="B272" s="6"/>
      <c r="C272" s="6"/>
      <c r="D272" s="6"/>
      <c r="E272" t="s">
        <v>7</v>
      </c>
      <c r="F272" t="e">
        <f ca="1">_xll.BDH($C$253,"RETURN_COM_EQY","FQ4 2017","FQ4 2017","Currency=INR","Period=FQ","BEST_FPERIOD_OVERRIDE=FQ","FILING_STATUS=OR","EQY_CONSOLIDATED=Y","FA_ADJUSTED=GAAP","Sort=A","Dates=H","DateFormat=P","Fill=—","Direction=H","UseDPDF=Y")</f>
        <v>#NAME?</v>
      </c>
      <c r="G272" t="e">
        <f ca="1">_xll.BDH($C$253,"RETURN_ON_ASSET","FQ4 2017","FQ4 2017","Currency=INR","Period=FQ","BEST_FPERIOD_OVERRIDE=FQ","FILING_STATUS=OR","EQY_CONSOLIDATED=Y","FA_ADJUSTED=GAAP","Sort=A","Dates=H","DateFormat=P","Fill=—","Direction=H","UseDPDF=Y")</f>
        <v>#NAME?</v>
      </c>
      <c r="H272" t="e">
        <f ca="1">_xll.BDH($C$253,"RETURN_ON_CAP","FQ4 2017","FQ4 2017","Currency=INR","Period=FQ","BEST_FPERIOD_OVERRIDE=FQ","FILING_STATUS=OR","EQY_CONSOLIDATED=Y","FA_ADJUSTED=GAAP","Sort=A","Dates=H","DateFormat=P","Fill=—","Direction=H","UseDPDF=Y")</f>
        <v>#NAME?</v>
      </c>
      <c r="I272" t="e">
        <f ca="1">_xll.BDH($C$253,"RETURN_ON_INV_CAPITAL","FQ4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72" t="e">
        <f ca="1">_xll.BDH($C$253,"EBITDA_TO_REVENUE","FQ4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272" t="e">
        <f ca="1">_xll.BDH($C$253,"OPER_MARGIN","FQ4 2017","FQ4 2017","Currency=INR","Period=FQ","BEST_FPERIOD_OVERRIDE=FQ","FILING_STATUS=OR","EQY_CONSOLIDATED=Y","FA_ADJUSTED=GAAP","Sort=A","Dates=H","DateFormat=P","Fill=—","Direction=H","UseDPDF=Y")</f>
        <v>#NAME?</v>
      </c>
      <c r="L272" t="e">
        <f ca="1">_xll.BDH($C$253,"INCREMENTAL_OPERATING_MARGIN","FQ4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72" t="e">
        <f ca="1">_xll.BDH($C$253,"PRETAX_INC_TO_NET_SALES","FQ4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72" t="e">
        <f ca="1">_xll.BDH($C$253,"INC_BEF_XO_ITEMS_TO_NET_SALES","FQ4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72" t="e">
        <f ca="1">_xll.BDH($C$253,"PROF_MARGIN","FQ4 2017","FQ4 2017","Currency=INR","Period=FQ","BEST_FPERIOD_OVERRIDE=FQ","FILING_STATUS=OR","EQY_CONSOLIDATED=Y","FA_ADJUSTED=GAAP","Sort=A","Dates=H","DateFormat=P","Fill=—","Direction=H","UseDPDF=Y")</f>
        <v>#NAME?</v>
      </c>
      <c r="P272" t="e">
        <f ca="1">_xll.BDH($C$253,"NET_INCOME_TO_COMMON_MARGIN","FQ4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72" t="e">
        <f ca="1">_xll.BDH($C$253,"EFF_TAX_RATE","FQ4 2017","FQ4 2017","Currency=INR","Period=FQ","BEST_FPERIOD_OVERRIDE=FQ","FILING_STATUS=OR","EQY_CONSOLIDATED=Y","FA_ADJUSTED=GAAP","Sort=A","Dates=H","DateFormat=P","Fill=—","Direction=H","UseDPDF=Y")</f>
        <v>#NAME?</v>
      </c>
      <c r="R272" t="e">
        <f ca="1">_xll.BDH($C$253,"DVD_PAYOUT_RATIO","FQ4 2017","FQ4 2017","Currency=INR","Period=FQ","BEST_FPERIOD_OVERRIDE=FQ","FILING_STATUS=OR","EQY_CONSOLIDATED=Y","FA_ADJUSTED=GAAP","Sort=A","Dates=H","DateFormat=P","Fill=—","Direction=H","UseDPDF=Y")</f>
        <v>#NAME?</v>
      </c>
      <c r="S272" t="e">
        <f ca="1">_xll.BDH($C$253,"SUSTAIN_GROWTH_RT","FQ4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272" s="1" t="e">
        <f ca="1">_xll.BDH($C$253,"SALES_GROWTH","FQ4 2017","FQ4 2017","Currency=INR","Period=FQ","BEST_FPERIOD_OVERRIDE=FQ","FILING_STATUS=OR","EQY_CONSOLIDATED=Y","FA_ADJUSTED=GAAP","Sort=A","Dates=H","DateFormat=P","Fill=—","Direction=H","UseDPDF=Y")</f>
        <v>#NAME?</v>
      </c>
      <c r="U272" s="1" t="e">
        <f ca="1">_xll.BDH($C$253,"EBITDA_GROWTH","FQ4 2017","FQ4 2017","Currency=INR","Period=FQ","BEST_FPERIOD_OVERRIDE=FQ","FILING_STATUS=OR","EQY_CONSOLIDATED=Y","FA_ADJUSTED=GAAP","Sort=A","Dates=H","DateFormat=P","Fill=—","Direction=H","UseDPDF=Y")</f>
        <v>#NAME?</v>
      </c>
      <c r="V272" s="1" t="e">
        <f ca="1">_xll.BDH($C$253,"OPER_INC_GROWTH","FQ4 2017","FQ4 2017","Currency=INR","Period=FQ","BEST_FPERIOD_OVERRIDE=FQ","FILING_STATUS=OR","EQY_CONSOLIDATED=Y","FA_ADJUSTED=GAAP","Sort=A","Dates=H","DateFormat=P","Fill=—","Direction=H","UseDPDF=Y")</f>
        <v>#NAME?</v>
      </c>
      <c r="W272" s="1" t="e">
        <f ca="1">_xll.BDH($C$253,"EARN_FOR_COM_GROWTH","FQ4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72" s="1" t="e">
        <f ca="1">_xll.BDH($C$253,"DILUTED_EPS_AFT_XO_ITEMS_GROWTH","FQ4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72" s="1" t="e">
        <f ca="1">_xll.BDH($C$253,"DIVIDEND_PER_SHARE_1_YEAR_GROWTH","FQ4 2017","FQ4 2017","Currency=INR","Period=FQ","BEST_FPERIOD_OVERRIDE=FQ","FILING_STATUS=OR","EQY_CONSOLIDATED=Y","Sort=A","Dates=H","DateFormat=P","Fill=—","Direction=H","UseDPDF=Y")</f>
        <v>#NAME?</v>
      </c>
      <c r="Z272" s="1" t="e">
        <f ca="1">_xll.BDH($C$253,"ACCOUNTS_RECEIVABLE_GROWTH","FQ4 2017","FQ4 2017","Currency=INR","Period=FQ","BEST_FPERIOD_OVERRIDE=FQ","FILING_STATUS=OR","EQY_CONSOLIDATED=Y","Sort=A","Dates=H","DateFormat=P","Fill=—","Direction=H","UseDPDF=Y")</f>
        <v>#NAME?</v>
      </c>
      <c r="AA272" s="1" t="e">
        <f ca="1">_xll.BDH($C$253,"INVENTORY_GROWTH","FQ4 2017","FQ4 2017","Currency=INR","Period=FQ","BEST_FPERIOD_OVERRIDE=FQ","FILING_STATUS=OR","EQY_CONSOLIDATED=Y","Sort=A","Dates=H","DateFormat=P","Fill=—","Direction=H","UseDPDF=Y")</f>
        <v>#NAME?</v>
      </c>
      <c r="AB272" s="1" t="e">
        <f ca="1">_xll.BDH($C$253,"NET_FIXED_ASSETS_1_YEAR_GROWTH","FQ4 2017","FQ4 2017","Currency=INR","Period=FQ","BEST_FPERIOD_OVERRIDE=FQ","FILING_STATUS=OR","EQY_CONSOLIDATED=Y","Sort=A","Dates=H","DateFormat=P","Fill=—","Direction=H","UseDPDF=Y")</f>
        <v>#NAME?</v>
      </c>
      <c r="AC272" s="1" t="e">
        <f ca="1">_xll.BDH($C$253,"ASSET_GROWTH","FQ4 2017","FQ4 2017","Currency=INR","Period=FQ","BEST_FPERIOD_OVERRIDE=FQ","FILING_STATUS=OR","EQY_CONSOLIDATED=Y","Sort=A","Dates=H","DateFormat=P","Fill=—","Direction=H","UseDPDF=Y")</f>
        <v>#NAME?</v>
      </c>
      <c r="AD272" s="1" t="e">
        <f ca="1">_xll.BDH($C$253,"MODIFIED_WORK_CAP_GROWTH","FQ4 2017","FQ4 2017","Currency=INR","Period=FQ","BEST_FPERIOD_OVERRIDE=FQ","FILING_STATUS=OR","EQY_CONSOLIDATED=Y","Sort=A","Dates=H","DateFormat=P","Fill=—","Direction=H","UseDPDF=Y")</f>
        <v>#NAME?</v>
      </c>
      <c r="AE272" s="1" t="e">
        <f ca="1">_xll.BDH($C$253,"WORK_CAP_GROWTH","FQ4 2017","FQ4 2017","Currency=INR","Period=FQ","BEST_FPERIOD_OVERRIDE=FQ","FILING_STATUS=OR","EQY_CONSOLIDATED=Y","Sort=A","Dates=H","DateFormat=P","Fill=—","Direction=H","UseDPDF=Y")</f>
        <v>#NAME?</v>
      </c>
      <c r="AF272" s="1" t="e">
        <f ca="1">_xll.BDH($C$253,"ACCOUNTS_PAYABLE_GROWTH_1YR","FQ4 2017","FQ4 2017","Currency=INR","Period=FQ","BEST_FPERIOD_OVERRIDE=FQ","FILING_STATUS=OR","EQY_CONSOLIDATED=Y","Sort=A","Dates=H","DateFormat=P","Fill=—","Direction=H","UseDPDF=Y")</f>
        <v>#NAME?</v>
      </c>
      <c r="AG272" s="1" t="e">
        <f ca="1">_xll.BDH($C$253,"SHORT_TERM_DEBT_1_YEAR_GROWTH","FQ4 2017","FQ4 2017","Currency=INR","Period=FQ","BEST_FPERIOD_OVERRIDE=FQ","FILING_STATUS=OR","EQY_CONSOLIDATED=Y","Sort=A","Dates=H","DateFormat=P","Fill=—","Direction=H","UseDPDF=Y")</f>
        <v>#NAME?</v>
      </c>
      <c r="AH272" s="1" t="e">
        <f ca="1">_xll.BDH($C$253,"TOTAL_DEBT_1_YEAR_GROWTH","FQ4 2017","FQ4 2017","Currency=INR","Period=FQ","BEST_FPERIOD_OVERRIDE=FQ","FILING_STATUS=OR","EQY_CONSOLIDATED=Y","Sort=A","Dates=H","DateFormat=P","Fill=—","Direction=H","UseDPDF=Y")</f>
        <v>#NAME?</v>
      </c>
      <c r="AI272" s="1" t="e">
        <f ca="1">_xll.BDH($C$253,"TOTAL_EQUITY_1_YEAR_GROWTH","FQ4 2017","FQ4 2017","Currency=INR","Period=FQ","BEST_FPERIOD_OVERRIDE=FQ","FILING_STATUS=OR","EQY_CONSOLIDATED=Y","Sort=A","Dates=H","DateFormat=P","Fill=—","Direction=H","UseDPDF=Y")</f>
        <v>#NAME?</v>
      </c>
      <c r="AJ272" s="1" t="e">
        <f ca="1">_xll.BDH($C$253,"GROWTH_IN_CAP","FQ4 2017","FQ4 2017","Currency=INR","Period=FQ","BEST_FPERIOD_OVERRIDE=FQ","FILING_STATUS=OR","EQY_CONSOLIDATED=Y","Sort=A","Dates=H","DateFormat=P","Fill=—","Direction=H","UseDPDF=Y")</f>
        <v>#NAME?</v>
      </c>
      <c r="AK272" s="1" t="e">
        <f ca="1">_xll.BDH($C$253,"BVPS_GROWTH","FQ4 2017","FQ4 2017","Currency=INR","Period=FQ","BEST_FPERIOD_OVERRIDE=FQ","FILING_STATUS=OR","EQY_CONSOLIDATED=Y","Sort=A","Dates=H","DateFormat=P","Fill=—","Direction=H","UseDPDF=Y")</f>
        <v>#NAME?</v>
      </c>
      <c r="AL272" s="1" t="e">
        <f ca="1">_xll.BDH($C$253,"CASH_FLOW_GROWTH","FQ4 2017","FQ4 2017","Currency=INR","Period=FQ","BEST_FPERIOD_OVERRIDE=FQ","FILING_STATUS=OR","EQY_CONSOLIDATED=Y","Sort=A","Dates=H","DateFormat=P","Fill=—","Direction=H","UseDPDF=Y")</f>
        <v>#NAME?</v>
      </c>
      <c r="AM272" s="1" t="e">
        <f ca="1">_xll.BDH($C$253,"GEO_GROW_NET_SALES","FQ4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72" s="1" t="e">
        <f ca="1">_xll.BDH($C$253,"GEO_GROW_EBITDA","FQ4 2017","FQ4 2017","Currency=INR","Period=FQ","BEST_FPERIOD_OVERRIDE=FQ","FILING_STATUS=OR","EQY_CONSOLIDATED=Y","FA_ADJUSTED=GAAP","Sort=A","Dates=H","DateFormat=P","Fill=—","Direction=H","UseDPDF=Y")</f>
        <v>#NAME?</v>
      </c>
      <c r="AO272" s="1" t="e">
        <f ca="1">_xll.BDH($C$253,"GEO_GROW_OPER_INC","FQ4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72" s="1" t="e">
        <f ca="1">_xll.BDH($C$253,"NET_INCOME_TO_COMMON_5_YR_GROWTH","FQ4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72" s="1" t="e">
        <f ca="1">_xll.BDH($C$253,"5Y_GEO_GROWTH_DILUTED_EPS","FQ4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72" s="1" t="e">
        <f ca="1">_xll.BDH($C$253,"GEO_GROW_DVD_PER_SH","FQ4 2017","FQ4 2017","Currency=INR","Period=FQ","BEST_FPERIOD_OVERRIDE=FQ","FILING_STATUS=OR","EQY_CONSOLIDATED=Y","Sort=A","Dates=H","DateFormat=P","Fill=—","Direction=H","UseDPDF=Y")</f>
        <v>#NAME?</v>
      </c>
      <c r="AS272" s="1" t="e">
        <f ca="1">_xll.BDH($C$253,"ACCOUNTS_RECEIVABLE_5_YR_GROWTH","FQ4 2017","FQ4 2017","Currency=INR","Period=FQ","BEST_FPERIOD_OVERRIDE=FQ","FILING_STATUS=OR","EQY_CONSOLIDATED=Y","Sort=A","Dates=H","DateFormat=P","Fill=—","Direction=H","UseDPDF=Y")</f>
        <v>#NAME?</v>
      </c>
      <c r="AT272" s="1" t="e">
        <f ca="1">_xll.BDH($C$253,"INVENTORY_5_YEAR_GROWTH","FQ4 2017","FQ4 2017","Currency=INR","Period=FQ","BEST_FPERIOD_OVERRIDE=FQ","FILING_STATUS=OR","EQY_CONSOLIDATED=Y","Sort=A","Dates=H","DateFormat=P","Fill=—","Direction=H","UseDPDF=Y")</f>
        <v>#NAME?</v>
      </c>
      <c r="AU272" s="1" t="e">
        <f ca="1">_xll.BDH($C$253,"NET_FIXED_ASSETS_5_YEAR_GROWTH","FQ4 2017","FQ4 2017","Currency=INR","Period=FQ","BEST_FPERIOD_OVERRIDE=FQ","FILING_STATUS=OR","EQY_CONSOLIDATED=Y","Sort=A","Dates=H","DateFormat=P","Fill=—","Direction=H","UseDPDF=Y")</f>
        <v>#NAME?</v>
      </c>
      <c r="AV272" s="1" t="e">
        <f ca="1">_xll.BDH($C$253,"GEO_GROW_TOT_ASSET","FQ4 2017","FQ4 2017","Currency=INR","Period=FQ","BEST_FPERIOD_OVERRIDE=FQ","FILING_STATUS=OR","EQY_CONSOLIDATED=Y","Sort=A","Dates=H","DateFormat=P","Fill=—","Direction=H","UseDPDF=Y")</f>
        <v>#NAME?</v>
      </c>
      <c r="AW272" s="1" t="e">
        <f ca="1">_xll.BDH($C$253,"MODIFIED_WORKING_CPTL_5YR_GRWTH","FQ4 2017","FQ4 2017","Currency=INR","Period=FQ","BEST_FPERIOD_OVERRIDE=FQ","FILING_STATUS=OR","EQY_CONSOLIDATED=Y","Sort=A","Dates=H","DateFormat=P","Fill=—","Direction=H","UseDPDF=Y")</f>
        <v>#NAME?</v>
      </c>
      <c r="AX272" s="1" t="e">
        <f ca="1">_xll.BDH($C$253,"WORKING_CAPITAL_5_YEAR_GROWTH","FQ4 2017","FQ4 2017","Currency=INR","Period=FQ","BEST_FPERIOD_OVERRIDE=FQ","FILING_STATUS=OR","EQY_CONSOLIDATED=Y","Sort=A","Dates=H","DateFormat=P","Fill=—","Direction=H","UseDPDF=Y")</f>
        <v>#NAME?</v>
      </c>
      <c r="AY272" s="1" t="e">
        <f ca="1">_xll.BDH($C$253,"ACCOUNTS_PAYABLE_5_YEAR_GROWTH","FQ4 2017","FQ4 2017","Currency=INR","Period=FQ","BEST_FPERIOD_OVERRIDE=FQ","FILING_STATUS=OR","EQY_CONSOLIDATED=Y","Sort=A","Dates=H","DateFormat=P","Fill=—","Direction=H","UseDPDF=Y")</f>
        <v>#NAME?</v>
      </c>
      <c r="AZ272" s="1" t="e">
        <f ca="1">_xll.BDH($C$253,"SHORT_TERM_DEBT_5_YEAR_GROWTH","FQ4 2017","FQ4 2017","Currency=INR","Period=FQ","BEST_FPERIOD_OVERRIDE=FQ","FILING_STATUS=OR","EQY_CONSOLIDATED=Y","Sort=A","Dates=H","DateFormat=P","Fill=—","Direction=H","UseDPDF=Y")</f>
        <v>#NAME?</v>
      </c>
      <c r="BA272" s="1" t="e">
        <f ca="1">_xll.BDH($C$253,"TOTAL_DEBT_5_YEAR_GROWTH","FQ4 2017","FQ4 2017","Currency=INR","Period=FQ","BEST_FPERIOD_OVERRIDE=FQ","FILING_STATUS=OR","EQY_CONSOLIDATED=Y","Sort=A","Dates=H","DateFormat=P","Fill=—","Direction=H","UseDPDF=Y")</f>
        <v>#NAME?</v>
      </c>
      <c r="BB272" s="1" t="e">
        <f ca="1">_xll.BDH($C$253,"GEO_GROW_TOT_SHRHLDR_EQY","FQ4 2017","FQ4 2017","Currency=INR","Period=FQ","BEST_FPERIOD_OVERRIDE=FQ","FILING_STATUS=OR","EQY_CONSOLIDATED=Y","Sort=A","Dates=H","DateFormat=P","Fill=—","Direction=H","UseDPDF=Y")</f>
        <v>#NAME?</v>
      </c>
      <c r="BC272" s="1" t="e">
        <f ca="1">_xll.BDH($C$253,"TOTAL_CAPITAL_5_YEAR_GROWTH","FQ4 2017","FQ4 2017","Currency=INR","Period=FQ","BEST_FPERIOD_OVERRIDE=FQ","FILING_STATUS=OR","EQY_CONSOLIDATED=Y","Sort=A","Dates=H","DateFormat=P","Fill=—","Direction=H","UseDPDF=Y")</f>
        <v>#NAME?</v>
      </c>
      <c r="BD272" s="1" t="e">
        <f ca="1">_xll.BDH($C$253,"GEO_GROW_BOOK_VAL","FQ4 2017","FQ4 2017","Currency=INR","Period=FQ","BEST_FPERIOD_OVERRIDE=FQ","FILING_STATUS=OR","EQY_CONSOLIDATED=Y","Sort=A","Dates=H","DateFormat=P","Fill=—","Direction=H","UseDPDF=Y")</f>
        <v>#NAME?</v>
      </c>
      <c r="BE272" s="1" t="e">
        <f ca="1">_xll.BDH($C$253,"GEO_GROW_CASH_OPER_ACT","FQ4 2017","FQ4 2017","Currency=INR","Period=FQ","BEST_FPERIOD_OVERRIDE=FQ","FILING_STATUS=OR","EQY_CONSOLIDATED=Y","Sort=A","Dates=H","DateFormat=P","Fill=—","Direction=H","UseDPDF=Y")</f>
        <v>#NAME?</v>
      </c>
      <c r="BF272" s="1" t="e">
        <f ca="1">_xll.BDH($C$253,"REVENUE_SEQUENTIAL_GROWTH","FQ4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72" s="1" t="e">
        <f ca="1">_xll.BDH($C$253,"EBITDA_SEQUENTIAL_GROWTH","FQ4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72" s="1" t="e">
        <f ca="1">_xll.BDH($C$253,"OPERATING_INCOME_SEQ_GROWTH","FQ4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72" s="1" t="e">
        <f ca="1">_xll.BDH($C$253,"NET_INCOME_TO_COMMON_SEQ_GROWTH","FQ4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72" s="1" t="e">
        <f ca="1">_xll.BDH($C$253,"EPS_DILUTED_SEQUENTIAL_GROWTH","FQ4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72" s="1" t="e">
        <f ca="1">_xll.BDH($C$253,"DPS_SEQUENTIAL_GROWTH","FQ4 2017","FQ4 2017","Currency=INR","Period=FQ","BEST_FPERIOD_OVERRIDE=FQ","FILING_STATUS=OR","EQY_CONSOLIDATED=Y","Sort=A","Dates=H","DateFormat=P","Fill=—","Direction=H","UseDPDF=Y")</f>
        <v>#NAME?</v>
      </c>
      <c r="BL272" s="1" t="e">
        <f ca="1">_xll.BDH($C$253,"ACCOUNTS_RECEIVABLE_SEQ_GROWTH","FQ4 2017","FQ4 2017","Currency=INR","Period=FQ","BEST_FPERIOD_OVERRIDE=FQ","FILING_STATUS=OR","EQY_CONSOLIDATED=Y","Sort=A","Dates=H","DateFormat=P","Fill=—","Direction=H","UseDPDF=Y")</f>
        <v>#NAME?</v>
      </c>
      <c r="BM272" s="1" t="e">
        <f ca="1">_xll.BDH($C$253,"INVENTORY_SEQUENTIAL_GROWTH","FQ4 2017","FQ4 2017","Currency=INR","Period=FQ","BEST_FPERIOD_OVERRIDE=FQ","FILING_STATUS=OR","EQY_CONSOLIDATED=Y","Sort=A","Dates=H","DateFormat=P","Fill=—","Direction=H","UseDPDF=Y")</f>
        <v>#NAME?</v>
      </c>
      <c r="BN272" s="1" t="e">
        <f ca="1">_xll.BDH($C$253,"FIXED_ASSETS_SEQUENTIAL_GROWTH","FQ4 2017","FQ4 2017","Currency=INR","Period=FQ","BEST_FPERIOD_OVERRIDE=FQ","FILING_STATUS=OR","EQY_CONSOLIDATED=Y","Sort=A","Dates=H","DateFormat=P","Fill=—","Direction=H","UseDPDF=Y")</f>
        <v>#NAME?</v>
      </c>
      <c r="BO272" s="1" t="e">
        <f ca="1">_xll.BDH($C$253,"TOTAL_ASSETS_SEQUENTIAL_GROWTH","FQ4 2017","FQ4 2017","Currency=INR","Period=FQ","BEST_FPERIOD_OVERRIDE=FQ","FILING_STATUS=OR","EQY_CONSOLIDATED=Y","Sort=A","Dates=H","DateFormat=P","Fill=—","Direction=H","UseDPDF=Y")</f>
        <v>#NAME?</v>
      </c>
      <c r="BP272" s="1" t="e">
        <f ca="1">_xll.BDH($C$253,"MODIFIED_WORKING_CPTL_SEQ_GRWTH","FQ4 2017","FQ4 2017","Currency=INR","Period=FQ","BEST_FPERIOD_OVERRIDE=FQ","FILING_STATUS=OR","EQY_CONSOLIDATED=Y","Sort=A","Dates=H","DateFormat=P","Fill=—","Direction=H","UseDPDF=Y")</f>
        <v>#NAME?</v>
      </c>
      <c r="BQ272" s="1" t="e">
        <f ca="1">_xll.BDH($C$253,"WORKING_CAPITAL_SEQ_GROWTH","FQ4 2017","FQ4 2017","Currency=INR","Period=FQ","BEST_FPERIOD_OVERRIDE=FQ","FILING_STATUS=OR","EQY_CONSOLIDATED=Y","Sort=A","Dates=H","DateFormat=P","Fill=—","Direction=H","UseDPDF=Y")</f>
        <v>#NAME?</v>
      </c>
      <c r="BR272" s="1" t="e">
        <f ca="1">_xll.BDH($C$253,"ACCOUNTS_PAYABLE_SEQ_GROWTH","FQ4 2017","FQ4 2017","Currency=INR","Period=FQ","BEST_FPERIOD_OVERRIDE=FQ","FILING_STATUS=OR","EQY_CONSOLIDATED=Y","Sort=A","Dates=H","DateFormat=P","Fill=—","Direction=H","UseDPDF=Y")</f>
        <v>#NAME?</v>
      </c>
      <c r="BS272" s="1" t="e">
        <f ca="1">_xll.BDH($C$253,"ST_DEBT_SEQUENTIAL_GROWTH","FQ4 2017","FQ4 2017","Currency=INR","Period=FQ","BEST_FPERIOD_OVERRIDE=FQ","FILING_STATUS=OR","EQY_CONSOLIDATED=Y","Sort=A","Dates=H","DateFormat=P","Fill=—","Direction=H","UseDPDF=Y")</f>
        <v>#NAME?</v>
      </c>
      <c r="BT272" s="1" t="e">
        <f ca="1">_xll.BDH($C$253,"TOTAL_DEBT_SEQUENTIAL_GROWTH","FQ4 2017","FQ4 2017","Currency=INR","Period=FQ","BEST_FPERIOD_OVERRIDE=FQ","FILING_STATUS=OR","EQY_CONSOLIDATED=Y","Sort=A","Dates=H","DateFormat=P","Fill=—","Direction=H","UseDPDF=Y")</f>
        <v>#NAME?</v>
      </c>
      <c r="BU272" s="1" t="e">
        <f ca="1">_xll.BDH($C$253,"TOTAL_EQUITY_SEQUENTIAL_GROWTH","FQ4 2017","FQ4 2017","Currency=INR","Period=FQ","BEST_FPERIOD_OVERRIDE=FQ","FILING_STATUS=OR","EQY_CONSOLIDATED=Y","Sort=A","Dates=H","DateFormat=P","Fill=—","Direction=H","UseDPDF=Y")</f>
        <v>#NAME?</v>
      </c>
      <c r="BV272" s="1" t="e">
        <f ca="1">_xll.BDH($C$253,"TOTAL_CAPITAL_SEQUENTIAL_GROWTH","FQ4 2017","FQ4 2017","Currency=INR","Period=FQ","BEST_FPERIOD_OVERRIDE=FQ","FILING_STATUS=OR","EQY_CONSOLIDATED=Y","Sort=A","Dates=H","DateFormat=P","Fill=—","Direction=H","UseDPDF=Y")</f>
        <v>#NAME?</v>
      </c>
      <c r="BW272" s="1" t="e">
        <f ca="1">_xll.BDH($C$253,"BPS_SEQUENTIAL_GROWTH","FQ4 2017","FQ4 2017","Currency=INR","Period=FQ","BEST_FPERIOD_OVERRIDE=FQ","FILING_STATUS=OR","EQY_CONSOLIDATED=Y","Sort=A","Dates=H","DateFormat=P","Fill=—","Direction=H","UseDPDF=Y")</f>
        <v>#NAME?</v>
      </c>
      <c r="BX272" s="1" t="e">
        <f ca="1">_xll.BDH($C$253,"CFO_SEQUENTIAL_GROWTH","FQ4 2017","FQ4 2017","Currency=INR","Period=FQ","BEST_FPERIOD_OVERRIDE=FQ","FILING_STATUS=OR","EQY_CONSOLIDATED=Y","Sort=A","Dates=H","DateFormat=P","Fill=—","Direction=H","UseDPDF=Y")</f>
        <v>#NAME?</v>
      </c>
      <c r="BY272" s="2" t="e">
        <f ca="1">_xll.BDH($C$253,"SHORT_AND_LONG_TERM_DEBT","FQ4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72" s="2" t="e">
        <f ca="1">_xll.BDH($C$253,"BS_ST_BORROW","FQ4 2017","FQ4 2017","Currency=INR","Period=FQ","BEST_FPERIOD_OVERRIDE=FQ","FILING_STATUS=OR","EQY_CONSOLIDATED=Y","SCALING_FORMAT=MLN","Sort=A","Dates=H","DateFormat=P","Fill=—","Direction=H","UseDPDF=Y")</f>
        <v>#NAME?</v>
      </c>
      <c r="CA272" s="2" t="e">
        <f ca="1">_xll.BDH($C$253,"BS_LT_BORROW","FQ4 2017","FQ4 2017","Currency=INR","Period=FQ","BEST_FPERIOD_OVERRIDE=FQ","FILING_STATUS=OR","EQY_CONSOLIDATED=Y","SCALING_FORMAT=MLN","Sort=A","Dates=H","DateFormat=P","Fill=—","Direction=H","UseDPDF=Y")</f>
        <v>#NAME?</v>
      </c>
      <c r="CB272" s="1" t="e">
        <f ca="1">_xll.BDH($C$253,"TOT_DEBT_TO_EBITDA","FQ4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72" s="1" t="e">
        <f ca="1">_xll.BDH($C$253,"NET_DEBT_TO_EBITDA","FQ4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72" s="1" t="e">
        <f ca="1">_xll.BDH($C$253,"TOTAL_DEBT_TO_EBIT","FQ4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72" s="1" t="e">
        <f ca="1">_xll.BDH($C$253,"NET_DEBT_TO_EBIT","FQ4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272" s="1" t="e">
        <f ca="1">_xll.BDH($C$253,"EBITDA_TO_INTEREST_EXPN","FQ4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72" s="1" t="e">
        <f ca="1">_xll.BDH($C$253,"COM_EQY_TO_TOT_ASSET","FQ4 2017","FQ4 2017","Currency=INR","Period=FQ","BEST_FPERIOD_OVERRIDE=FQ","FILING_STATUS=OR","EQY_CONSOLIDATED=Y","Sort=A","Dates=H","DateFormat=P","Fill=—","Direction=H","UseDPDF=Y")</f>
        <v>#NAME?</v>
      </c>
      <c r="CH272" s="1" t="e">
        <f ca="1">_xll.BDH($C$253,"LT_DEBT_TO_TOT_EQY","FQ4 2017","FQ4 2017","Currency=INR","Period=FQ","BEST_FPERIOD_OVERRIDE=FQ","FILING_STATUS=OR","EQY_CONSOLIDATED=Y","Sort=A","Dates=H","DateFormat=P","Fill=—","Direction=H","UseDPDF=Y")</f>
        <v>#NAME?</v>
      </c>
      <c r="CI272" s="1" t="e">
        <f ca="1">_xll.BDH($C$253,"LT_DEBT_TO_TOT_CAP","FQ4 2017","FQ4 2017","Currency=INR","Period=FQ","BEST_FPERIOD_OVERRIDE=FQ","FILING_STATUS=OR","EQY_CONSOLIDATED=Y","Sort=A","Dates=H","DateFormat=P","Fill=—","Direction=H","UseDPDF=Y")</f>
        <v>#NAME?</v>
      </c>
      <c r="CJ272" s="1" t="e">
        <f ca="1">_xll.BDH($C$253,"LT_DEBT_TO_TOT_ASSET","FQ4 2017","FQ4 2017","Currency=INR","Period=FQ","BEST_FPERIOD_OVERRIDE=FQ","FILING_STATUS=OR","EQY_CONSOLIDATED=Y","Sort=A","Dates=H","DateFormat=P","Fill=—","Direction=H","UseDPDF=Y")</f>
        <v>#NAME?</v>
      </c>
      <c r="CK272" s="1" t="e">
        <f ca="1">_xll.BDH($C$253,"TOT_DEBT_TO_TOT_EQY","FQ4 2017","FQ4 2017","Currency=INR","Period=FQ","BEST_FPERIOD_OVERRIDE=FQ","FILING_STATUS=OR","EQY_CONSOLIDATED=Y","Sort=A","Dates=H","DateFormat=P","Fill=—","Direction=H","UseDPDF=Y")</f>
        <v>#NAME?</v>
      </c>
      <c r="CL272" s="1" t="e">
        <f ca="1">_xll.BDH($C$253,"TOT_DEBT_TO_TOT_CAP","FQ4 2017","FQ4 2017","Currency=INR","Period=FQ","BEST_FPERIOD_OVERRIDE=FQ","FILING_STATUS=OR","EQY_CONSOLIDATED=Y","Sort=A","Dates=H","DateFormat=P","Fill=—","Direction=H","UseDPDF=Y")</f>
        <v>#NAME?</v>
      </c>
      <c r="CM272" s="1" t="e">
        <f ca="1">_xll.BDH($C$253,"TOT_DEBT_TO_TOT_ASSET","FQ4 2017","FQ4 2017","Currency=INR","Period=FQ","BEST_FPERIOD_OVERRIDE=FQ","FILING_STATUS=OR","EQY_CONSOLIDATED=Y","Sort=A","Dates=H","DateFormat=P","Fill=—","Direction=H","UseDPDF=Y")</f>
        <v>#NAME?</v>
      </c>
      <c r="CN272" s="1" t="e">
        <f ca="1">_xll.BDH($C$253,"NET_DEBT_TO_SHRHLDR_EQTY","FQ4 2017","FQ4 2017","Currency=INR","Period=FQ","BEST_FPERIOD_OVERRIDE=FQ","FILING_STATUS=OR","EQY_CONSOLIDATED=Y","Sort=A","Dates=H","DateFormat=P","Fill=—","Direction=H","UseDPDF=Y")</f>
        <v>#NAME?</v>
      </c>
      <c r="CO272" s="1" t="e">
        <f ca="1">_xll.BDH($C$253,"NET_DEBT_%_CAPITAL","FQ4 2017","FQ4 2017","Currency=INR","Period=FQ","BEST_FPERIOD_OVERRIDE=FQ","FILING_STATUS=OR","EQY_CONSOLIDATED=Y","Sort=A","Dates=H","DateFormat=P","Fill=—","Direction=H","UseDPDF=Y")</f>
        <v>#NAME?</v>
      </c>
      <c r="CP272" s="2" t="e">
        <f ca="1">_xll.BDH($C$253,"EBITDA","FQ4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72" s="2" t="e">
        <f ca="1">_xll.BDH($C$253,"EBITDA_AFTER_CAPEX","FQ4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72" s="2" t="e">
        <f ca="1">_xll.BDH($C$253,"IS_OPER_INC","FQ4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72" s="1" t="e">
        <f ca="1">_xll.BDH($C$253,"CASH_RATIO","FQ4 2017","FQ4 2017","Currency=INR","Period=FQ","BEST_FPERIOD_OVERRIDE=FQ","FILING_STATUS=OR","EQY_CONSOLIDATED=Y","Sort=A","Dates=H","DateFormat=P","Fill=—","Direction=H","UseDPDF=Y")</f>
        <v>#NAME?</v>
      </c>
      <c r="CT272" s="1" t="e">
        <f ca="1">_xll.BDH($C$253,"CUR_RATIO","FQ4 2017","FQ4 2017","Currency=INR","Period=FQ","BEST_FPERIOD_OVERRIDE=FQ","FILING_STATUS=OR","EQY_CONSOLIDATED=Y","Sort=A","Dates=H","DateFormat=P","Fill=—","Direction=H","UseDPDF=Y")</f>
        <v>#NAME?</v>
      </c>
      <c r="CU272" s="1" t="e">
        <f ca="1">_xll.BDH($C$253,"QUICK_RATIO","FQ4 2017","FQ4 2017","Currency=INR","Period=FQ","BEST_FPERIOD_OVERRIDE=FQ","FILING_STATUS=OR","EQY_CONSOLIDATED=Y","Sort=A","Dates=H","DateFormat=P","Fill=—","Direction=H","UseDPDF=Y")</f>
        <v>#NAME?</v>
      </c>
      <c r="CV272" s="1" t="e">
        <f ca="1">_xll.BDH($C$253,"ALTMAN_Z_SCORE","FQ4 2017","FQ4 2017","Currency=INR","Period=FQ","BEST_FPERIOD_OVERRIDE=FQ","FILING_STATUS=OR","EQY_CONSOLIDATED=Y","Sort=A","Dates=H","DateFormat=P","Fill=—","Direction=H","UseDPDF=Y")</f>
        <v>#NAME?</v>
      </c>
      <c r="CW272" s="3" t="e">
        <f ca="1">_xll.BDH($C$253,"ACCT_RCV_TURN","FQ4 2017","FQ4 2017","Currency=INR","Period=FQ","BEST_FPERIOD_OVERRIDE=FQ","FILING_STATUS=OR","EQY_CONSOLIDATED=Y","FA_ADJUSTED=GAAP","Sort=A","Dates=H","DateFormat=P","Fill=—","Direction=H","UseDPDF=Y")</f>
        <v>#NAME?</v>
      </c>
      <c r="CX272" s="1" t="e">
        <f ca="1">_xll.BDH($C$253,"ACCT_RCV_DAYS","FQ4 2017","FQ4 2017","Currency=INR","Period=FQ","BEST_FPERIOD_OVERRIDE=FQ","FILING_STATUS=OR","EQY_CONSOLIDATED=Y","FA_ADJUSTED=GAAP","Sort=A","Dates=H","DateFormat=P","Fill=—","Direction=H","UseDPDF=Y")</f>
        <v>#NAME?</v>
      </c>
      <c r="CY272" s="3" t="e">
        <f ca="1">_xll.BDH($C$253,"INVENT_TURN","FQ4 2017","FQ4 2017","Currency=INR","Period=FQ","BEST_FPERIOD_OVERRIDE=FQ","FILING_STATUS=OR","EQY_CONSOLIDATED=Y","FA_ADJUSTED=GAAP","Sort=A","Dates=H","DateFormat=P","Fill=—","Direction=H","UseDPDF=Y")</f>
        <v>#NAME?</v>
      </c>
      <c r="CZ272" s="1" t="e">
        <f ca="1">_xll.BDH($C$253,"INVENT_DAYS","FQ4 2017","FQ4 2017","Currency=INR","Period=FQ","BEST_FPERIOD_OVERRIDE=FQ","FILING_STATUS=OR","EQY_CONSOLIDATED=Y","FA_ADJUSTED=GAAP","Sort=A","Dates=H","DateFormat=P","Fill=—","Direction=H","UseDPDF=Y")</f>
        <v>#NAME?</v>
      </c>
      <c r="DA272" s="3" t="e">
        <f ca="1">_xll.BDH($C$253,"ACCOUNTS_PAYABLE_TURNOVER","FQ4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72" s="1" t="e">
        <f ca="1">_xll.BDH($C$253,"ACCOUNTS_PAYABLE_TURNOVER_DAYS","FQ4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72" s="3" t="e">
        <f ca="1">_xll.BDH($C$253,"CASH_CONVERSION_CYCLE","FQ4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72" s="3" t="e">
        <f ca="1">_xll.BDH($C$253,"INV_TO_CASH_DAYS","FQ4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272" s="4" t="e">
        <f ca="1">_xll.BDH($C$253,"BS_INVENTORIES","FQ4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272" s="2" t="e">
        <f ca="1">_xll.BDH($C$253,"INVTRY_RAW_MATERIALS","FQ4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72" s="2" t="e">
        <f ca="1">_xll.BDH($C$253,"INVTRY_IN_PROGRESS","FQ4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72" s="2" t="e">
        <f ca="1">_xll.BDH($C$253,"INVTRY_FINISHED_GOODS","FQ4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72" s="2" t="e">
        <f ca="1">_xll.BDH($C$253,"BS_OTHER_INV","FQ4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73" spans="1:113" x14ac:dyDescent="0.3">
      <c r="A273" s="6"/>
      <c r="B273" s="6"/>
      <c r="C273" s="6"/>
      <c r="D273" s="6" t="s">
        <v>11</v>
      </c>
      <c r="E273" t="s">
        <v>3</v>
      </c>
      <c r="F273" t="e">
        <f ca="1">_xll.BDH($C$253,"RETURN_COM_EQY","FY 2018","FY 2018","Currency=INR","Period=FY","BEST_FPERIOD_OVERRIDE=FY","FILING_STATUS=OR","EQY_CONSOLIDATED=Y","FA_ADJUSTED=GAAP","Sort=A","Dates=H","DateFormat=P","Fill=—","Direction=H","UseDPDF=Y")</f>
        <v>#NAME?</v>
      </c>
      <c r="G273" t="e">
        <f ca="1">_xll.BDH($C$253,"RETURN_ON_ASSET","FY 2018","FY 2018","Currency=INR","Period=FY","BEST_FPERIOD_OVERRIDE=FY","FILING_STATUS=OR","EQY_CONSOLIDATED=Y","FA_ADJUSTED=GAAP","Sort=A","Dates=H","DateFormat=P","Fill=—","Direction=H","UseDPDF=Y")</f>
        <v>#NAME?</v>
      </c>
      <c r="H273" t="e">
        <f ca="1">_xll.BDH($C$253,"RETURN_ON_CAP","FY 2018","FY 2018","Currency=INR","Period=FY","BEST_FPERIOD_OVERRIDE=FY","FILING_STATUS=OR","EQY_CONSOLIDATED=Y","FA_ADJUSTED=GAAP","Sort=A","Dates=H","DateFormat=P","Fill=—","Direction=H","UseDPDF=Y")</f>
        <v>#NAME?</v>
      </c>
      <c r="I273" t="e">
        <f ca="1">_xll.BDH($C$253,"RETURN_ON_INV_CAPITAL","FY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73" t="e">
        <f ca="1">_xll.BDH($C$253,"EBITDA_TO_REVENUE","FY 2018","FY 2018","Currency=INR","Period=FY","BEST_FPERIOD_OVERRIDE=FY","FILING_STATUS=OR","EQY_CONSOLIDATED=Y","FA_ADJUSTED=GAAP","Sort=A","Dates=H","DateFormat=P","Fill=—","Direction=H","UseDPDF=Y")</f>
        <v>#NAME?</v>
      </c>
      <c r="K273" t="e">
        <f ca="1">_xll.BDH($C$253,"OPER_MARGIN","FY 2018","FY 2018","Currency=INR","Period=FY","BEST_FPERIOD_OVERRIDE=FY","FILING_STATUS=OR","EQY_CONSOLIDATED=Y","FA_ADJUSTED=GAAP","Sort=A","Dates=H","DateFormat=P","Fill=—","Direction=H","UseDPDF=Y")</f>
        <v>#NAME?</v>
      </c>
      <c r="L273" t="e">
        <f ca="1">_xll.BDH($C$253,"INCREMENTAL_OPERATING_MARGIN","FY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73" t="e">
        <f ca="1">_xll.BDH($C$253,"PRETAX_INC_TO_NET_SALES","FY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73" t="e">
        <f ca="1">_xll.BDH($C$253,"INC_BEF_XO_ITEMS_TO_NET_SALES","FY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73" t="e">
        <f ca="1">_xll.BDH($C$253,"PROF_MARGIN","FY 2018","FY 2018","Currency=INR","Period=FY","BEST_FPERIOD_OVERRIDE=FY","FILING_STATUS=OR","EQY_CONSOLIDATED=Y","FA_ADJUSTED=GAAP","Sort=A","Dates=H","DateFormat=P","Fill=—","Direction=H","UseDPDF=Y")</f>
        <v>#NAME?</v>
      </c>
      <c r="P273" t="e">
        <f ca="1">_xll.BDH($C$253,"NET_INCOME_TO_COMMON_MARGIN","FY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73" t="e">
        <f ca="1">_xll.BDH($C$253,"EFF_TAX_RATE","FY 2018","FY 2018","Currency=INR","Period=FY","BEST_FPERIOD_OVERRIDE=FY","FILING_STATUS=OR","EQY_CONSOLIDATED=Y","FA_ADJUSTED=GAAP","Sort=A","Dates=H","DateFormat=P","Fill=—","Direction=H","UseDPDF=Y")</f>
        <v>#NAME?</v>
      </c>
      <c r="R273" t="e">
        <f ca="1">_xll.BDH($C$253,"DVD_PAYOUT_RATIO","FY 2018","FY 2018","Currency=INR","Period=FY","BEST_FPERIOD_OVERRIDE=FY","FILING_STATUS=OR","EQY_CONSOLIDATED=Y","FA_ADJUSTED=GAAP","Sort=A","Dates=H","DateFormat=P","Fill=—","Direction=H","UseDPDF=Y")</f>
        <v>#NAME?</v>
      </c>
      <c r="S273" t="e">
        <f ca="1">_xll.BDH($C$253,"SUSTAIN_GROWTH_RT","FY 2018","FY 2018","Currency=INR","Period=FY","BEST_FPERIOD_OVERRIDE=FY","FILING_STATUS=OR","EQY_CONSOLIDATED=Y","FA_ADJUSTED=GAAP","Sort=A","Dates=H","DateFormat=P","Fill=—","Direction=H","UseDPDF=Y")</f>
        <v>#NAME?</v>
      </c>
      <c r="T273" s="1" t="e">
        <f ca="1">_xll.BDH($C$253,"SALES_GROWTH","FY 2018","FY 2018","Currency=INR","Period=FY","BEST_FPERIOD_OVERRIDE=FY","FILING_STATUS=OR","EQY_CONSOLIDATED=Y","FA_ADJUSTED=GAAP","Sort=A","Dates=H","DateFormat=P","Fill=—","Direction=H","UseDPDF=Y")</f>
        <v>#NAME?</v>
      </c>
      <c r="U273" s="1" t="e">
        <f ca="1">_xll.BDH($C$253,"EBITDA_GROWTH","FY 2018","FY 2018","Currency=INR","Period=FY","BEST_FPERIOD_OVERRIDE=FY","FILING_STATUS=OR","EQY_CONSOLIDATED=Y","FA_ADJUSTED=GAAP","Sort=A","Dates=H","DateFormat=P","Fill=—","Direction=H","UseDPDF=Y")</f>
        <v>#NAME?</v>
      </c>
      <c r="V273" s="1" t="e">
        <f ca="1">_xll.BDH($C$253,"OPER_INC_GROWTH","FY 2018","FY 2018","Currency=INR","Period=FY","BEST_FPERIOD_OVERRIDE=FY","FILING_STATUS=OR","EQY_CONSOLIDATED=Y","FA_ADJUSTED=GAAP","Sort=A","Dates=H","DateFormat=P","Fill=—","Direction=H","UseDPDF=Y")</f>
        <v>#NAME?</v>
      </c>
      <c r="W273" s="1" t="e">
        <f ca="1">_xll.BDH($C$253,"EARN_FOR_COM_GROWTH","FY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273" s="1" t="e">
        <f ca="1">_xll.BDH($C$253,"DILUTED_EPS_AFT_XO_ITEMS_GROWTH","FY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73" s="1" t="e">
        <f ca="1">_xll.BDH($C$253,"DIVIDEND_PER_SHARE_1_YEAR_GROWTH","FY 2018","FY 2018","Currency=INR","Period=FY","BEST_FPERIOD_OVERRIDE=FY","FILING_STATUS=OR","EQY_CONSOLIDATED=Y","Sort=A","Dates=H","DateFormat=P","Fill=—","Direction=H","UseDPDF=Y")</f>
        <v>#NAME?</v>
      </c>
      <c r="Z273" s="1" t="e">
        <f ca="1">_xll.BDH($C$253,"ACCOUNTS_RECEIVABLE_GROWTH","FY 2018","FY 2018","Currency=INR","Period=FY","BEST_FPERIOD_OVERRIDE=FY","FILING_STATUS=OR","EQY_CONSOLIDATED=Y","Sort=A","Dates=H","DateFormat=P","Fill=—","Direction=H","UseDPDF=Y")</f>
        <v>#NAME?</v>
      </c>
      <c r="AA273" s="1" t="e">
        <f ca="1">_xll.BDH($C$253,"INVENTORY_GROWTH","FY 2018","FY 2018","Currency=INR","Period=FY","BEST_FPERIOD_OVERRIDE=FY","FILING_STATUS=OR","EQY_CONSOLIDATED=Y","Sort=A","Dates=H","DateFormat=P","Fill=—","Direction=H","UseDPDF=Y")</f>
        <v>#NAME?</v>
      </c>
      <c r="AB273" s="1" t="e">
        <f ca="1">_xll.BDH($C$253,"NET_FIXED_ASSETS_1_YEAR_GROWTH","FY 2018","FY 2018","Currency=INR","Period=FY","BEST_FPERIOD_OVERRIDE=FY","FILING_STATUS=OR","EQY_CONSOLIDATED=Y","Sort=A","Dates=H","DateFormat=P","Fill=—","Direction=H","UseDPDF=Y")</f>
        <v>#NAME?</v>
      </c>
      <c r="AC273" s="1" t="e">
        <f ca="1">_xll.BDH($C$253,"ASSET_GROWTH","FY 2018","FY 2018","Currency=INR","Period=FY","BEST_FPERIOD_OVERRIDE=FY","FILING_STATUS=OR","EQY_CONSOLIDATED=Y","Sort=A","Dates=H","DateFormat=P","Fill=—","Direction=H","UseDPDF=Y")</f>
        <v>#NAME?</v>
      </c>
      <c r="AD273" s="1" t="e">
        <f ca="1">_xll.BDH($C$253,"MODIFIED_WORK_CAP_GROWTH","FY 2018","FY 2018","Currency=INR","Period=FY","BEST_FPERIOD_OVERRIDE=FY","FILING_STATUS=OR","EQY_CONSOLIDATED=Y","Sort=A","Dates=H","DateFormat=P","Fill=—","Direction=H","UseDPDF=Y")</f>
        <v>#NAME?</v>
      </c>
      <c r="AE273" s="1" t="e">
        <f ca="1">_xll.BDH($C$253,"WORK_CAP_GROWTH","FY 2018","FY 2018","Currency=INR","Period=FY","BEST_FPERIOD_OVERRIDE=FY","FILING_STATUS=OR","EQY_CONSOLIDATED=Y","Sort=A","Dates=H","DateFormat=P","Fill=—","Direction=H","UseDPDF=Y")</f>
        <v>#NAME?</v>
      </c>
      <c r="AF273" s="1" t="e">
        <f ca="1">_xll.BDH($C$253,"ACCOUNTS_PAYABLE_GROWTH_1YR","FY 2018","FY 2018","Currency=INR","Period=FY","BEST_FPERIOD_OVERRIDE=FY","FILING_STATUS=OR","EQY_CONSOLIDATED=Y","Sort=A","Dates=H","DateFormat=P","Fill=—","Direction=H","UseDPDF=Y")</f>
        <v>#NAME?</v>
      </c>
      <c r="AG273" s="1" t="e">
        <f ca="1">_xll.BDH($C$253,"SHORT_TERM_DEBT_1_YEAR_GROWTH","FY 2018","FY 2018","Currency=INR","Period=FY","BEST_FPERIOD_OVERRIDE=FY","FILING_STATUS=OR","EQY_CONSOLIDATED=Y","Sort=A","Dates=H","DateFormat=P","Fill=—","Direction=H","UseDPDF=Y")</f>
        <v>#NAME?</v>
      </c>
      <c r="AH273" s="1" t="e">
        <f ca="1">_xll.BDH($C$253,"TOTAL_DEBT_1_YEAR_GROWTH","FY 2018","FY 2018","Currency=INR","Period=FY","BEST_FPERIOD_OVERRIDE=FY","FILING_STATUS=OR","EQY_CONSOLIDATED=Y","Sort=A","Dates=H","DateFormat=P","Fill=—","Direction=H","UseDPDF=Y")</f>
        <v>#NAME?</v>
      </c>
      <c r="AI273" s="1" t="e">
        <f ca="1">_xll.BDH($C$253,"TOTAL_EQUITY_1_YEAR_GROWTH","FY 2018","FY 2018","Currency=INR","Period=FY","BEST_FPERIOD_OVERRIDE=FY","FILING_STATUS=OR","EQY_CONSOLIDATED=Y","Sort=A","Dates=H","DateFormat=P","Fill=—","Direction=H","UseDPDF=Y")</f>
        <v>#NAME?</v>
      </c>
      <c r="AJ273" s="1" t="e">
        <f ca="1">_xll.BDH($C$253,"GROWTH_IN_CAP","FY 2018","FY 2018","Currency=INR","Period=FY","BEST_FPERIOD_OVERRIDE=FY","FILING_STATUS=OR","EQY_CONSOLIDATED=Y","Sort=A","Dates=H","DateFormat=P","Fill=—","Direction=H","UseDPDF=Y")</f>
        <v>#NAME?</v>
      </c>
      <c r="AK273" s="1" t="e">
        <f ca="1">_xll.BDH($C$253,"BVPS_GROWTH","FY 2018","FY 2018","Currency=INR","Period=FY","BEST_FPERIOD_OVERRIDE=FY","FILING_STATUS=OR","EQY_CONSOLIDATED=Y","Sort=A","Dates=H","DateFormat=P","Fill=—","Direction=H","UseDPDF=Y")</f>
        <v>#NAME?</v>
      </c>
      <c r="AL273" s="1" t="e">
        <f ca="1">_xll.BDH($C$253,"CASH_FLOW_GROWTH","FY 2018","FY 2018","Currency=INR","Period=FY","BEST_FPERIOD_OVERRIDE=FY","FILING_STATUS=OR","EQY_CONSOLIDATED=Y","Sort=A","Dates=H","DateFormat=P","Fill=—","Direction=H","UseDPDF=Y")</f>
        <v>#NAME?</v>
      </c>
      <c r="AM273" s="1" t="e">
        <f ca="1">_xll.BDH($C$253,"GEO_GROW_NET_SALES","FY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273" s="1" t="e">
        <f ca="1">_xll.BDH($C$253,"GEO_GROW_EBITDA","FY 2018","FY 2018","Currency=INR","Period=FY","BEST_FPERIOD_OVERRIDE=FY","FILING_STATUS=OR","EQY_CONSOLIDATED=Y","FA_ADJUSTED=GAAP","Sort=A","Dates=H","DateFormat=P","Fill=—","Direction=H","UseDPDF=Y")</f>
        <v>#NAME?</v>
      </c>
      <c r="AO273" s="1" t="e">
        <f ca="1">_xll.BDH($C$253,"GEO_GROW_OPER_INC","FY 2018","FY 2018","Currency=INR","Period=FY","BEST_FPERIOD_OVERRIDE=FY","FILING_STATUS=OR","EQY_CONSOLIDATED=Y","FA_ADJUSTED=GAAP","Sort=A","Dates=H","DateFormat=P","Fill=—","Direction=H","UseDPDF=Y")</f>
        <v>#NAME?</v>
      </c>
      <c r="AP273" s="1" t="e">
        <f ca="1">_xll.BDH($C$253,"NET_INCOME_TO_COMMON_5_YR_GROWTH","FY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73" s="1" t="e">
        <f ca="1">_xll.BDH($C$253,"5Y_GEO_GROWTH_DILUTED_EPS","FY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73" s="1" t="e">
        <f ca="1">_xll.BDH($C$253,"GEO_GROW_DVD_PER_SH","FY 2018","FY 2018","Currency=INR","Period=FY","BEST_FPERIOD_OVERRIDE=FY","FILING_STATUS=OR","EQY_CONSOLIDATED=Y","Sort=A","Dates=H","DateFormat=P","Fill=—","Direction=H","UseDPDF=Y")</f>
        <v>#NAME?</v>
      </c>
      <c r="AS273" s="1" t="e">
        <f ca="1">_xll.BDH($C$253,"ACCOUNTS_RECEIVABLE_5_YR_GROWTH","FY 2018","FY 2018","Currency=INR","Period=FY","BEST_FPERIOD_OVERRIDE=FY","FILING_STATUS=OR","EQY_CONSOLIDATED=Y","Sort=A","Dates=H","DateFormat=P","Fill=—","Direction=H","UseDPDF=Y")</f>
        <v>#NAME?</v>
      </c>
      <c r="AT273" s="1" t="e">
        <f ca="1">_xll.BDH($C$253,"INVENTORY_5_YEAR_GROWTH","FY 2018","FY 2018","Currency=INR","Period=FY","BEST_FPERIOD_OVERRIDE=FY","FILING_STATUS=OR","EQY_CONSOLIDATED=Y","Sort=A","Dates=H","DateFormat=P","Fill=—","Direction=H","UseDPDF=Y")</f>
        <v>#NAME?</v>
      </c>
      <c r="AU273" s="1" t="e">
        <f ca="1">_xll.BDH($C$253,"NET_FIXED_ASSETS_5_YEAR_GROWTH","FY 2018","FY 2018","Currency=INR","Period=FY","BEST_FPERIOD_OVERRIDE=FY","FILING_STATUS=OR","EQY_CONSOLIDATED=Y","Sort=A","Dates=H","DateFormat=P","Fill=—","Direction=H","UseDPDF=Y")</f>
        <v>#NAME?</v>
      </c>
      <c r="AV273" s="1" t="e">
        <f ca="1">_xll.BDH($C$253,"GEO_GROW_TOT_ASSET","FY 2018","FY 2018","Currency=INR","Period=FY","BEST_FPERIOD_OVERRIDE=FY","FILING_STATUS=OR","EQY_CONSOLIDATED=Y","Sort=A","Dates=H","DateFormat=P","Fill=—","Direction=H","UseDPDF=Y")</f>
        <v>#NAME?</v>
      </c>
      <c r="AW273" s="1" t="e">
        <f ca="1">_xll.BDH($C$253,"MODIFIED_WORKING_CPTL_5YR_GRWTH","FY 2018","FY 2018","Currency=INR","Period=FY","BEST_FPERIOD_OVERRIDE=FY","FILING_STATUS=OR","EQY_CONSOLIDATED=Y","Sort=A","Dates=H","DateFormat=P","Fill=—","Direction=H","UseDPDF=Y")</f>
        <v>#NAME?</v>
      </c>
      <c r="AX273" s="1" t="e">
        <f ca="1">_xll.BDH($C$253,"WORKING_CAPITAL_5_YEAR_GROWTH","FY 2018","FY 2018","Currency=INR","Period=FY","BEST_FPERIOD_OVERRIDE=FY","FILING_STATUS=OR","EQY_CONSOLIDATED=Y","Sort=A","Dates=H","DateFormat=P","Fill=—","Direction=H","UseDPDF=Y")</f>
        <v>#NAME?</v>
      </c>
      <c r="AY273" s="1" t="e">
        <f ca="1">_xll.BDH($C$253,"ACCOUNTS_PAYABLE_5_YEAR_GROWTH","FY 2018","FY 2018","Currency=INR","Period=FY","BEST_FPERIOD_OVERRIDE=FY","FILING_STATUS=OR","EQY_CONSOLIDATED=Y","Sort=A","Dates=H","DateFormat=P","Fill=—","Direction=H","UseDPDF=Y")</f>
        <v>#NAME?</v>
      </c>
      <c r="AZ273" s="1" t="e">
        <f ca="1">_xll.BDH($C$253,"SHORT_TERM_DEBT_5_YEAR_GROWTH","FY 2018","FY 2018","Currency=INR","Period=FY","BEST_FPERIOD_OVERRIDE=FY","FILING_STATUS=OR","EQY_CONSOLIDATED=Y","Sort=A","Dates=H","DateFormat=P","Fill=—","Direction=H","UseDPDF=Y")</f>
        <v>#NAME?</v>
      </c>
      <c r="BA273" s="1" t="e">
        <f ca="1">_xll.BDH($C$253,"TOTAL_DEBT_5_YEAR_GROWTH","FY 2018","FY 2018","Currency=INR","Period=FY","BEST_FPERIOD_OVERRIDE=FY","FILING_STATUS=OR","EQY_CONSOLIDATED=Y","Sort=A","Dates=H","DateFormat=P","Fill=—","Direction=H","UseDPDF=Y")</f>
        <v>#NAME?</v>
      </c>
      <c r="BB273" s="1" t="e">
        <f ca="1">_xll.BDH($C$253,"GEO_GROW_TOT_SHRHLDR_EQY","FY 2018","FY 2018","Currency=INR","Period=FY","BEST_FPERIOD_OVERRIDE=FY","FILING_STATUS=OR","EQY_CONSOLIDATED=Y","Sort=A","Dates=H","DateFormat=P","Fill=—","Direction=H","UseDPDF=Y")</f>
        <v>#NAME?</v>
      </c>
      <c r="BC273" s="1" t="e">
        <f ca="1">_xll.BDH($C$253,"TOTAL_CAPITAL_5_YEAR_GROWTH","FY 2018","FY 2018","Currency=INR","Period=FY","BEST_FPERIOD_OVERRIDE=FY","FILING_STATUS=OR","EQY_CONSOLIDATED=Y","Sort=A","Dates=H","DateFormat=P","Fill=—","Direction=H","UseDPDF=Y")</f>
        <v>#NAME?</v>
      </c>
      <c r="BD273" s="1" t="e">
        <f ca="1">_xll.BDH($C$253,"GEO_GROW_BOOK_VAL","FY 2018","FY 2018","Currency=INR","Period=FY","BEST_FPERIOD_OVERRIDE=FY","FILING_STATUS=OR","EQY_CONSOLIDATED=Y","Sort=A","Dates=H","DateFormat=P","Fill=—","Direction=H","UseDPDF=Y")</f>
        <v>#NAME?</v>
      </c>
      <c r="BE273" s="1" t="e">
        <f ca="1">_xll.BDH($C$253,"GEO_GROW_CASH_OPER_ACT","FY 2018","FY 2018","Currency=INR","Period=FY","BEST_FPERIOD_OVERRIDE=FY","FILING_STATUS=OR","EQY_CONSOLIDATED=Y","Sort=A","Dates=H","DateFormat=P","Fill=—","Direction=H","UseDPDF=Y")</f>
        <v>#NAME?</v>
      </c>
      <c r="BF273" s="1" t="e">
        <f ca="1">_xll.BDH($C$253,"REVENUE_SEQUENTIAL_GROWTH","FY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73" s="1" t="e">
        <f ca="1">_xll.BDH($C$253,"EBITDA_SEQUENTIAL_GROWTH","FY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73" s="1" t="e">
        <f ca="1">_xll.BDH($C$253,"OPERATING_INCOME_SEQ_GROWTH","FY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73" s="1" t="e">
        <f ca="1">_xll.BDH($C$253,"NET_INCOME_TO_COMMON_SEQ_GROWTH","FY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73" s="1" t="e">
        <f ca="1">_xll.BDH($C$253,"EPS_DILUTED_SEQUENTIAL_GROWTH","FY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73" s="1" t="e">
        <f ca="1">_xll.BDH($C$253,"DPS_SEQUENTIAL_GROWTH","FY 2018","FY 2018","Currency=INR","Period=FY","BEST_FPERIOD_OVERRIDE=FY","FILING_STATUS=OR","EQY_CONSOLIDATED=Y","Sort=A","Dates=H","DateFormat=P","Fill=—","Direction=H","UseDPDF=Y")</f>
        <v>#NAME?</v>
      </c>
      <c r="BL273" s="1" t="e">
        <f ca="1">_xll.BDH($C$253,"ACCOUNTS_RECEIVABLE_SEQ_GROWTH","FY 2018","FY 2018","Currency=INR","Period=FY","BEST_FPERIOD_OVERRIDE=FY","FILING_STATUS=OR","EQY_CONSOLIDATED=Y","Sort=A","Dates=H","DateFormat=P","Fill=—","Direction=H","UseDPDF=Y")</f>
        <v>#NAME?</v>
      </c>
      <c r="BM273" s="1" t="e">
        <f ca="1">_xll.BDH($C$253,"INVENTORY_SEQUENTIAL_GROWTH","FY 2018","FY 2018","Currency=INR","Period=FY","BEST_FPERIOD_OVERRIDE=FY","FILING_STATUS=OR","EQY_CONSOLIDATED=Y","Sort=A","Dates=H","DateFormat=P","Fill=—","Direction=H","UseDPDF=Y")</f>
        <v>#NAME?</v>
      </c>
      <c r="BN273" s="1" t="e">
        <f ca="1">_xll.BDH($C$253,"FIXED_ASSETS_SEQUENTIAL_GROWTH","FY 2018","FY 2018","Currency=INR","Period=FY","BEST_FPERIOD_OVERRIDE=FY","FILING_STATUS=OR","EQY_CONSOLIDATED=Y","Sort=A","Dates=H","DateFormat=P","Fill=—","Direction=H","UseDPDF=Y")</f>
        <v>#NAME?</v>
      </c>
      <c r="BO273" s="1" t="e">
        <f ca="1">_xll.BDH($C$253,"TOTAL_ASSETS_SEQUENTIAL_GROWTH","FY 2018","FY 2018","Currency=INR","Period=FY","BEST_FPERIOD_OVERRIDE=FY","FILING_STATUS=OR","EQY_CONSOLIDATED=Y","Sort=A","Dates=H","DateFormat=P","Fill=—","Direction=H","UseDPDF=Y")</f>
        <v>#NAME?</v>
      </c>
      <c r="BP273" s="1" t="e">
        <f ca="1">_xll.BDH($C$253,"MODIFIED_WORKING_CPTL_SEQ_GRWTH","FY 2018","FY 2018","Currency=INR","Period=FY","BEST_FPERIOD_OVERRIDE=FY","FILING_STATUS=OR","EQY_CONSOLIDATED=Y","Sort=A","Dates=H","DateFormat=P","Fill=—","Direction=H","UseDPDF=Y")</f>
        <v>#NAME?</v>
      </c>
      <c r="BQ273" s="1" t="e">
        <f ca="1">_xll.BDH($C$253,"WORKING_CAPITAL_SEQ_GROWTH","FY 2018","FY 2018","Currency=INR","Period=FY","BEST_FPERIOD_OVERRIDE=FY","FILING_STATUS=OR","EQY_CONSOLIDATED=Y","Sort=A","Dates=H","DateFormat=P","Fill=—","Direction=H","UseDPDF=Y")</f>
        <v>#NAME?</v>
      </c>
      <c r="BR273" s="1" t="e">
        <f ca="1">_xll.BDH($C$253,"ACCOUNTS_PAYABLE_SEQ_GROWTH","FY 2018","FY 2018","Currency=INR","Period=FY","BEST_FPERIOD_OVERRIDE=FY","FILING_STATUS=OR","EQY_CONSOLIDATED=Y","Sort=A","Dates=H","DateFormat=P","Fill=—","Direction=H","UseDPDF=Y")</f>
        <v>#NAME?</v>
      </c>
      <c r="BS273" s="1" t="e">
        <f ca="1">_xll.BDH($C$253,"ST_DEBT_SEQUENTIAL_GROWTH","FY 2018","FY 2018","Currency=INR","Period=FY","BEST_FPERIOD_OVERRIDE=FY","FILING_STATUS=OR","EQY_CONSOLIDATED=Y","Sort=A","Dates=H","DateFormat=P","Fill=—","Direction=H","UseDPDF=Y")</f>
        <v>#NAME?</v>
      </c>
      <c r="BT273" s="1" t="e">
        <f ca="1">_xll.BDH($C$253,"TOTAL_DEBT_SEQUENTIAL_GROWTH","FY 2018","FY 2018","Currency=INR","Period=FY","BEST_FPERIOD_OVERRIDE=FY","FILING_STATUS=OR","EQY_CONSOLIDATED=Y","Sort=A","Dates=H","DateFormat=P","Fill=—","Direction=H","UseDPDF=Y")</f>
        <v>#NAME?</v>
      </c>
      <c r="BU273" s="1" t="e">
        <f ca="1">_xll.BDH($C$253,"TOTAL_EQUITY_SEQUENTIAL_GROWTH","FY 2018","FY 2018","Currency=INR","Period=FY","BEST_FPERIOD_OVERRIDE=FY","FILING_STATUS=OR","EQY_CONSOLIDATED=Y","Sort=A","Dates=H","DateFormat=P","Fill=—","Direction=H","UseDPDF=Y")</f>
        <v>#NAME?</v>
      </c>
      <c r="BV273" s="1" t="e">
        <f ca="1">_xll.BDH($C$253,"TOTAL_CAPITAL_SEQUENTIAL_GROWTH","FY 2018","FY 2018","Currency=INR","Period=FY","BEST_FPERIOD_OVERRIDE=FY","FILING_STATUS=OR","EQY_CONSOLIDATED=Y","Sort=A","Dates=H","DateFormat=P","Fill=—","Direction=H","UseDPDF=Y")</f>
        <v>#NAME?</v>
      </c>
      <c r="BW273" s="1" t="e">
        <f ca="1">_xll.BDH($C$253,"BPS_SEQUENTIAL_GROWTH","FY 2018","FY 2018","Currency=INR","Period=FY","BEST_FPERIOD_OVERRIDE=FY","FILING_STATUS=OR","EQY_CONSOLIDATED=Y","Sort=A","Dates=H","DateFormat=P","Fill=—","Direction=H","UseDPDF=Y")</f>
        <v>#NAME?</v>
      </c>
      <c r="BX273" s="1" t="e">
        <f ca="1">_xll.BDH($C$253,"CFO_SEQUENTIAL_GROWTH","FY 2018","FY 2018","Currency=INR","Period=FY","BEST_FPERIOD_OVERRIDE=FY","FILING_STATUS=OR","EQY_CONSOLIDATED=Y","Sort=A","Dates=H","DateFormat=P","Fill=—","Direction=H","UseDPDF=Y")</f>
        <v>#NAME?</v>
      </c>
      <c r="BY273" s="2" t="e">
        <f ca="1">_xll.BDH($C$253,"SHORT_AND_LONG_TERM_DEBT","FY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73" s="2" t="e">
        <f ca="1">_xll.BDH($C$253,"BS_ST_BORROW","FY 2018","FY 2018","Currency=INR","Period=FY","BEST_FPERIOD_OVERRIDE=FY","FILING_STATUS=OR","EQY_CONSOLIDATED=Y","SCALING_FORMAT=MLN","Sort=A","Dates=H","DateFormat=P","Fill=—","Direction=H","UseDPDF=Y")</f>
        <v>#NAME?</v>
      </c>
      <c r="CA273" s="2" t="e">
        <f ca="1">_xll.BDH($C$253,"BS_LT_BORROW","FY 2018","FY 2018","Currency=INR","Period=FY","BEST_FPERIOD_OVERRIDE=FY","FILING_STATUS=OR","EQY_CONSOLIDATED=Y","SCALING_FORMAT=MLN","Sort=A","Dates=H","DateFormat=P","Fill=—","Direction=H","UseDPDF=Y")</f>
        <v>#NAME?</v>
      </c>
      <c r="CB273" s="1" t="e">
        <f ca="1">_xll.BDH($C$253,"TOT_DEBT_TO_EBITDA","FY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273" s="1" t="e">
        <f ca="1">_xll.BDH($C$253,"NET_DEBT_TO_EBITDA","FY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273" s="1" t="e">
        <f ca="1">_xll.BDH($C$253,"TOTAL_DEBT_TO_EBIT","FY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273" s="1" t="e">
        <f ca="1">_xll.BDH($C$253,"NET_DEBT_TO_EBIT","FY 2018","FY 2018","Currency=INR","Period=FY","BEST_FPERIOD_OVERRIDE=FY","FILING_STATUS=OR","EQY_CONSOLIDATED=Y","FA_ADJUSTED=GAAP","Sort=A","Dates=H","DateFormat=P","Fill=—","Direction=H","UseDPDF=Y")</f>
        <v>#NAME?</v>
      </c>
      <c r="CF273" s="1" t="e">
        <f ca="1">_xll.BDH($C$253,"EBITDA_TO_INTEREST_EXPN","FY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73" s="1" t="e">
        <f ca="1">_xll.BDH($C$253,"COM_EQY_TO_TOT_ASSET","FY 2018","FY 2018","Currency=INR","Period=FY","BEST_FPERIOD_OVERRIDE=FY","FILING_STATUS=OR","EQY_CONSOLIDATED=Y","Sort=A","Dates=H","DateFormat=P","Fill=—","Direction=H","UseDPDF=Y")</f>
        <v>#NAME?</v>
      </c>
      <c r="CH273" s="1" t="e">
        <f ca="1">_xll.BDH($C$253,"LT_DEBT_TO_TOT_EQY","FY 2018","FY 2018","Currency=INR","Period=FY","BEST_FPERIOD_OVERRIDE=FY","FILING_STATUS=OR","EQY_CONSOLIDATED=Y","Sort=A","Dates=H","DateFormat=P","Fill=—","Direction=H","UseDPDF=Y")</f>
        <v>#NAME?</v>
      </c>
      <c r="CI273" s="1" t="e">
        <f ca="1">_xll.BDH($C$253,"LT_DEBT_TO_TOT_CAP","FY 2018","FY 2018","Currency=INR","Period=FY","BEST_FPERIOD_OVERRIDE=FY","FILING_STATUS=OR","EQY_CONSOLIDATED=Y","Sort=A","Dates=H","DateFormat=P","Fill=—","Direction=H","UseDPDF=Y")</f>
        <v>#NAME?</v>
      </c>
      <c r="CJ273" s="1" t="e">
        <f ca="1">_xll.BDH($C$253,"LT_DEBT_TO_TOT_ASSET","FY 2018","FY 2018","Currency=INR","Period=FY","BEST_FPERIOD_OVERRIDE=FY","FILING_STATUS=OR","EQY_CONSOLIDATED=Y","Sort=A","Dates=H","DateFormat=P","Fill=—","Direction=H","UseDPDF=Y")</f>
        <v>#NAME?</v>
      </c>
      <c r="CK273" s="1" t="e">
        <f ca="1">_xll.BDH($C$253,"TOT_DEBT_TO_TOT_EQY","FY 2018","FY 2018","Currency=INR","Period=FY","BEST_FPERIOD_OVERRIDE=FY","FILING_STATUS=OR","EQY_CONSOLIDATED=Y","Sort=A","Dates=H","DateFormat=P","Fill=—","Direction=H","UseDPDF=Y")</f>
        <v>#NAME?</v>
      </c>
      <c r="CL273" s="1" t="e">
        <f ca="1">_xll.BDH($C$253,"TOT_DEBT_TO_TOT_CAP","FY 2018","FY 2018","Currency=INR","Period=FY","BEST_FPERIOD_OVERRIDE=FY","FILING_STATUS=OR","EQY_CONSOLIDATED=Y","Sort=A","Dates=H","DateFormat=P","Fill=—","Direction=H","UseDPDF=Y")</f>
        <v>#NAME?</v>
      </c>
      <c r="CM273" s="1" t="e">
        <f ca="1">_xll.BDH($C$253,"TOT_DEBT_TO_TOT_ASSET","FY 2018","FY 2018","Currency=INR","Period=FY","BEST_FPERIOD_OVERRIDE=FY","FILING_STATUS=OR","EQY_CONSOLIDATED=Y","Sort=A","Dates=H","DateFormat=P","Fill=—","Direction=H","UseDPDF=Y")</f>
        <v>#NAME?</v>
      </c>
      <c r="CN273" s="1" t="e">
        <f ca="1">_xll.BDH($C$253,"NET_DEBT_TO_SHRHLDR_EQTY","FY 2018","FY 2018","Currency=INR","Period=FY","BEST_FPERIOD_OVERRIDE=FY","FILING_STATUS=OR","EQY_CONSOLIDATED=Y","Sort=A","Dates=H","DateFormat=P","Fill=—","Direction=H","UseDPDF=Y")</f>
        <v>#NAME?</v>
      </c>
      <c r="CO273" s="1" t="e">
        <f ca="1">_xll.BDH($C$253,"NET_DEBT_%_CAPITAL","FY 2018","FY 2018","Currency=INR","Period=FY","BEST_FPERIOD_OVERRIDE=FY","FILING_STATUS=OR","EQY_CONSOLIDATED=Y","Sort=A","Dates=H","DateFormat=P","Fill=—","Direction=H","UseDPDF=Y")</f>
        <v>#NAME?</v>
      </c>
      <c r="CP273" s="2" t="e">
        <f ca="1">_xll.BDH($C$253,"EBITDA","FY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73" s="2" t="e">
        <f ca="1">_xll.BDH($C$253,"EBITDA_AFTER_CAPEX","FY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73" s="2" t="e">
        <f ca="1">_xll.BDH($C$253,"IS_OPER_INC","FY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73" s="1" t="e">
        <f ca="1">_xll.BDH($C$253,"CASH_RATIO","FY 2018","FY 2018","Currency=INR","Period=FY","BEST_FPERIOD_OVERRIDE=FY","FILING_STATUS=OR","EQY_CONSOLIDATED=Y","Sort=A","Dates=H","DateFormat=P","Fill=—","Direction=H","UseDPDF=Y")</f>
        <v>#NAME?</v>
      </c>
      <c r="CT273" s="1" t="e">
        <f ca="1">_xll.BDH($C$253,"CUR_RATIO","FY 2018","FY 2018","Currency=INR","Period=FY","BEST_FPERIOD_OVERRIDE=FY","FILING_STATUS=OR","EQY_CONSOLIDATED=Y","Sort=A","Dates=H","DateFormat=P","Fill=—","Direction=H","UseDPDF=Y")</f>
        <v>#NAME?</v>
      </c>
      <c r="CU273" s="1" t="e">
        <f ca="1">_xll.BDH($C$253,"QUICK_RATIO","FY 2018","FY 2018","Currency=INR","Period=FY","BEST_FPERIOD_OVERRIDE=FY","FILING_STATUS=OR","EQY_CONSOLIDATED=Y","Sort=A","Dates=H","DateFormat=P","Fill=—","Direction=H","UseDPDF=Y")</f>
        <v>#NAME?</v>
      </c>
      <c r="CV273" s="1" t="e">
        <f ca="1">_xll.BDH($C$253,"ALTMAN_Z_SCORE","FY 2018","FY 2018","Currency=INR","Period=FY","BEST_FPERIOD_OVERRIDE=FY","FILING_STATUS=OR","EQY_CONSOLIDATED=Y","Sort=A","Dates=H","DateFormat=P","Fill=—","Direction=H","UseDPDF=Y")</f>
        <v>#NAME?</v>
      </c>
      <c r="CW273" s="3" t="e">
        <f ca="1">_xll.BDH($C$253,"ACCT_RCV_TURN","FY 2018","FY 2018","Currency=INR","Period=FY","BEST_FPERIOD_OVERRIDE=FY","FILING_STATUS=OR","EQY_CONSOLIDATED=Y","FA_ADJUSTED=GAAP","Sort=A","Dates=H","DateFormat=P","Fill=—","Direction=H","UseDPDF=Y")</f>
        <v>#NAME?</v>
      </c>
      <c r="CX273" s="1" t="e">
        <f ca="1">_xll.BDH($C$253,"ACCT_RCV_DAYS","FY 2018","FY 2018","Currency=INR","Period=FY","BEST_FPERIOD_OVERRIDE=FY","FILING_STATUS=OR","EQY_CONSOLIDATED=Y","FA_ADJUSTED=GAAP","Sort=A","Dates=H","DateFormat=P","Fill=—","Direction=H","UseDPDF=Y")</f>
        <v>#NAME?</v>
      </c>
      <c r="CY273" s="3" t="e">
        <f ca="1">_xll.BDH($C$253,"INVENT_TURN","FY 2018","FY 2018","Currency=INR","Period=FY","BEST_FPERIOD_OVERRIDE=FY","FILING_STATUS=OR","EQY_CONSOLIDATED=Y","FA_ADJUSTED=GAAP","Sort=A","Dates=H","DateFormat=P","Fill=—","Direction=H","UseDPDF=Y")</f>
        <v>#NAME?</v>
      </c>
      <c r="CZ273" s="1" t="e">
        <f ca="1">_xll.BDH($C$253,"INVENT_DAYS","FY 2018","FY 2018","Currency=INR","Period=FY","BEST_FPERIOD_OVERRIDE=FY","FILING_STATUS=OR","EQY_CONSOLIDATED=Y","FA_ADJUSTED=GAAP","Sort=A","Dates=H","DateFormat=P","Fill=—","Direction=H","UseDPDF=Y")</f>
        <v>#NAME?</v>
      </c>
      <c r="DA273" s="3" t="e">
        <f ca="1">_xll.BDH($C$253,"ACCOUNTS_PAYABLE_TURNOVER","FY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73" s="1" t="e">
        <f ca="1">_xll.BDH($C$253,"ACCOUNTS_PAYABLE_TURNOVER_DAYS","FY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73" s="3" t="e">
        <f ca="1">_xll.BDH($C$253,"CASH_CONVERSION_CYCLE","FY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73" s="3" t="e">
        <f ca="1">_xll.BDH($C$253,"INV_TO_CASH_DAYS","FY 2018","FY 2018","Currency=INR","Period=FY","BEST_FPERIOD_OVERRIDE=FY","FILING_STATUS=OR","EQY_CONSOLIDATED=Y","FA_ADJUSTED=GAAP","Sort=A","Dates=H","DateFormat=P","Fill=—","Direction=H","UseDPDF=Y")</f>
        <v>#NAME?</v>
      </c>
      <c r="DE273" s="4" t="e">
        <f ca="1">_xll.BDH($C$253,"BS_INVENTORIES","FY 2018","FY 2018","Currency=INR","Period=FY","BEST_FPERIOD_OVERRIDE=FY","FILING_STATUS=OR","EQY_CONSOLIDATED=Y","SCALING_FORMAT=MLN","Sort=A","Dates=H","DateFormat=P","Fill=—","Direction=H","UseDPDF=Y")</f>
        <v>#NAME?</v>
      </c>
      <c r="DF273" s="2" t="e">
        <f ca="1">_xll.BDH($C$253,"INVTRY_RAW_MATERIALS","FY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73" s="2" t="e">
        <f ca="1">_xll.BDH($C$253,"INVTRY_IN_PROGRESS","FY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73" s="2" t="e">
        <f ca="1">_xll.BDH($C$253,"INVTRY_FINISHED_GOODS","FY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73" s="2" t="e">
        <f ca="1">_xll.BDH($C$253,"BS_OTHER_INV","FY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74" spans="1:113" x14ac:dyDescent="0.3">
      <c r="A274" s="6"/>
      <c r="B274" s="6"/>
      <c r="C274" s="6"/>
      <c r="D274" s="6"/>
      <c r="E274" t="s">
        <v>4</v>
      </c>
      <c r="F274" t="e">
        <f ca="1">_xll.BDH($C$253,"RETURN_COM_EQY","FQ1 2018","FQ1 2018","Currency=INR","Period=FQ","BEST_FPERIOD_OVERRIDE=FQ","FILING_STATUS=OR","EQY_CONSOLIDATED=Y","FA_ADJUSTED=GAAP","Sort=A","Dates=H","DateFormat=P","Fill=—","Direction=H","UseDPDF=Y")</f>
        <v>#NAME?</v>
      </c>
      <c r="G274" t="e">
        <f ca="1">_xll.BDH($C$253,"RETURN_ON_ASSET","FQ1 2018","FQ1 2018","Currency=INR","Period=FQ","BEST_FPERIOD_OVERRIDE=FQ","FILING_STATUS=OR","EQY_CONSOLIDATED=Y","FA_ADJUSTED=GAAP","Sort=A","Dates=H","DateFormat=P","Fill=—","Direction=H","UseDPDF=Y")</f>
        <v>#NAME?</v>
      </c>
      <c r="H274" t="e">
        <f ca="1">_xll.BDH($C$253,"RETURN_ON_CAP","FQ1 2018","FQ1 2018","Currency=INR","Period=FQ","BEST_FPERIOD_OVERRIDE=FQ","FILING_STATUS=OR","EQY_CONSOLIDATED=Y","FA_ADJUSTED=GAAP","Sort=A","Dates=H","DateFormat=P","Fill=—","Direction=H","UseDPDF=Y")</f>
        <v>#NAME?</v>
      </c>
      <c r="I274" t="e">
        <f ca="1">_xll.BDH($C$253,"RETURN_ON_INV_CAPITAL","FQ1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74" t="e">
        <f ca="1">_xll.BDH($C$253,"EBITDA_TO_REVENUE","FQ1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274" t="e">
        <f ca="1">_xll.BDH($C$253,"OPER_MARGIN","FQ1 2018","FQ1 2018","Currency=INR","Period=FQ","BEST_FPERIOD_OVERRIDE=FQ","FILING_STATUS=OR","EQY_CONSOLIDATED=Y","FA_ADJUSTED=GAAP","Sort=A","Dates=H","DateFormat=P","Fill=—","Direction=H","UseDPDF=Y")</f>
        <v>#NAME?</v>
      </c>
      <c r="L274" t="e">
        <f ca="1">_xll.BDH($C$253,"INCREMENTAL_OPERATING_MARGIN","FQ1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74" t="e">
        <f ca="1">_xll.BDH($C$253,"PRETAX_INC_TO_NET_SALES","FQ1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74" t="e">
        <f ca="1">_xll.BDH($C$253,"INC_BEF_XO_ITEMS_TO_NET_SALES","FQ1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74" t="e">
        <f ca="1">_xll.BDH($C$253,"PROF_MARGIN","FQ1 2018","FQ1 2018","Currency=INR","Period=FQ","BEST_FPERIOD_OVERRIDE=FQ","FILING_STATUS=OR","EQY_CONSOLIDATED=Y","FA_ADJUSTED=GAAP","Sort=A","Dates=H","DateFormat=P","Fill=—","Direction=H","UseDPDF=Y")</f>
        <v>#NAME?</v>
      </c>
      <c r="P274" t="e">
        <f ca="1">_xll.BDH($C$253,"NET_INCOME_TO_COMMON_MARGIN","FQ1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74" t="e">
        <f ca="1">_xll.BDH($C$253,"EFF_TAX_RATE","FQ1 2018","FQ1 2018","Currency=INR","Period=FQ","BEST_FPERIOD_OVERRIDE=FQ","FILING_STATUS=OR","EQY_CONSOLIDATED=Y","FA_ADJUSTED=GAAP","Sort=A","Dates=H","DateFormat=P","Fill=—","Direction=H","UseDPDF=Y")</f>
        <v>#NAME?</v>
      </c>
      <c r="R274" t="e">
        <f ca="1">_xll.BDH($C$253,"DVD_PAYOUT_RATIO","FQ1 2018","FQ1 2018","Currency=INR","Period=FQ","BEST_FPERIOD_OVERRIDE=FQ","FILING_STATUS=OR","EQY_CONSOLIDATED=Y","FA_ADJUSTED=GAAP","Sort=A","Dates=H","DateFormat=P","Fill=—","Direction=H","UseDPDF=Y")</f>
        <v>#NAME?</v>
      </c>
      <c r="S274" t="e">
        <f ca="1">_xll.BDH($C$253,"SUSTAIN_GROWTH_RT","FQ1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274" s="1" t="e">
        <f ca="1">_xll.BDH($C$253,"SALES_GROWTH","FQ1 2018","FQ1 2018","Currency=INR","Period=FQ","BEST_FPERIOD_OVERRIDE=FQ","FILING_STATUS=OR","EQY_CONSOLIDATED=Y","FA_ADJUSTED=GAAP","Sort=A","Dates=H","DateFormat=P","Fill=—","Direction=H","UseDPDF=Y")</f>
        <v>#NAME?</v>
      </c>
      <c r="U274" s="1" t="e">
        <f ca="1">_xll.BDH($C$253,"EBITDA_GROWTH","FQ1 2018","FQ1 2018","Currency=INR","Period=FQ","BEST_FPERIOD_OVERRIDE=FQ","FILING_STATUS=OR","EQY_CONSOLIDATED=Y","FA_ADJUSTED=GAAP","Sort=A","Dates=H","DateFormat=P","Fill=—","Direction=H","UseDPDF=Y")</f>
        <v>#NAME?</v>
      </c>
      <c r="V274" s="1" t="e">
        <f ca="1">_xll.BDH($C$253,"OPER_INC_GROWTH","FQ1 2018","FQ1 2018","Currency=INR","Period=FQ","BEST_FPERIOD_OVERRIDE=FQ","FILING_STATUS=OR","EQY_CONSOLIDATED=Y","FA_ADJUSTED=GAAP","Sort=A","Dates=H","DateFormat=P","Fill=—","Direction=H","UseDPDF=Y")</f>
        <v>#NAME?</v>
      </c>
      <c r="W274" s="1" t="e">
        <f ca="1">_xll.BDH($C$253,"EARN_FOR_COM_GROWTH","FQ1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74" s="1" t="e">
        <f ca="1">_xll.BDH($C$253,"DILUTED_EPS_AFT_XO_ITEMS_GROWTH","FQ1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74" s="1" t="e">
        <f ca="1">_xll.BDH($C$253,"DIVIDEND_PER_SHARE_1_YEAR_GROWTH","FQ1 2018","FQ1 2018","Currency=INR","Period=FQ","BEST_FPERIOD_OVERRIDE=FQ","FILING_STATUS=OR","EQY_CONSOLIDATED=Y","Sort=A","Dates=H","DateFormat=P","Fill=—","Direction=H","UseDPDF=Y")</f>
        <v>#NAME?</v>
      </c>
      <c r="Z274" s="1" t="e">
        <f ca="1">_xll.BDH($C$253,"ACCOUNTS_RECEIVABLE_GROWTH","FQ1 2018","FQ1 2018","Currency=INR","Period=FQ","BEST_FPERIOD_OVERRIDE=FQ","FILING_STATUS=OR","EQY_CONSOLIDATED=Y","Sort=A","Dates=H","DateFormat=P","Fill=—","Direction=H","UseDPDF=Y")</f>
        <v>#NAME?</v>
      </c>
      <c r="AA274" s="1" t="e">
        <f ca="1">_xll.BDH($C$253,"INVENTORY_GROWTH","FQ1 2018","FQ1 2018","Currency=INR","Period=FQ","BEST_FPERIOD_OVERRIDE=FQ","FILING_STATUS=OR","EQY_CONSOLIDATED=Y","Sort=A","Dates=H","DateFormat=P","Fill=—","Direction=H","UseDPDF=Y")</f>
        <v>#NAME?</v>
      </c>
      <c r="AB274" s="1" t="e">
        <f ca="1">_xll.BDH($C$253,"NET_FIXED_ASSETS_1_YEAR_GROWTH","FQ1 2018","FQ1 2018","Currency=INR","Period=FQ","BEST_FPERIOD_OVERRIDE=FQ","FILING_STATUS=OR","EQY_CONSOLIDATED=Y","Sort=A","Dates=H","DateFormat=P","Fill=—","Direction=H","UseDPDF=Y")</f>
        <v>#NAME?</v>
      </c>
      <c r="AC274" s="1" t="e">
        <f ca="1">_xll.BDH($C$253,"ASSET_GROWTH","FQ1 2018","FQ1 2018","Currency=INR","Period=FQ","BEST_FPERIOD_OVERRIDE=FQ","FILING_STATUS=OR","EQY_CONSOLIDATED=Y","Sort=A","Dates=H","DateFormat=P","Fill=—","Direction=H","UseDPDF=Y")</f>
        <v>#NAME?</v>
      </c>
      <c r="AD274" s="1" t="e">
        <f ca="1">_xll.BDH($C$253,"MODIFIED_WORK_CAP_GROWTH","FQ1 2018","FQ1 2018","Currency=INR","Period=FQ","BEST_FPERIOD_OVERRIDE=FQ","FILING_STATUS=OR","EQY_CONSOLIDATED=Y","Sort=A","Dates=H","DateFormat=P","Fill=—","Direction=H","UseDPDF=Y")</f>
        <v>#NAME?</v>
      </c>
      <c r="AE274" s="1" t="e">
        <f ca="1">_xll.BDH($C$253,"WORK_CAP_GROWTH","FQ1 2018","FQ1 2018","Currency=INR","Period=FQ","BEST_FPERIOD_OVERRIDE=FQ","FILING_STATUS=OR","EQY_CONSOLIDATED=Y","Sort=A","Dates=H","DateFormat=P","Fill=—","Direction=H","UseDPDF=Y")</f>
        <v>#NAME?</v>
      </c>
      <c r="AF274" s="1" t="e">
        <f ca="1">_xll.BDH($C$253,"ACCOUNTS_PAYABLE_GROWTH_1YR","FQ1 2018","FQ1 2018","Currency=INR","Period=FQ","BEST_FPERIOD_OVERRIDE=FQ","FILING_STATUS=OR","EQY_CONSOLIDATED=Y","Sort=A","Dates=H","DateFormat=P","Fill=—","Direction=H","UseDPDF=Y")</f>
        <v>#NAME?</v>
      </c>
      <c r="AG274" s="1" t="e">
        <f ca="1">_xll.BDH($C$253,"SHORT_TERM_DEBT_1_YEAR_GROWTH","FQ1 2018","FQ1 2018","Currency=INR","Period=FQ","BEST_FPERIOD_OVERRIDE=FQ","FILING_STATUS=OR","EQY_CONSOLIDATED=Y","Sort=A","Dates=H","DateFormat=P","Fill=—","Direction=H","UseDPDF=Y")</f>
        <v>#NAME?</v>
      </c>
      <c r="AH274" s="1" t="e">
        <f ca="1">_xll.BDH($C$253,"TOTAL_DEBT_1_YEAR_GROWTH","FQ1 2018","FQ1 2018","Currency=INR","Period=FQ","BEST_FPERIOD_OVERRIDE=FQ","FILING_STATUS=OR","EQY_CONSOLIDATED=Y","Sort=A","Dates=H","DateFormat=P","Fill=—","Direction=H","UseDPDF=Y")</f>
        <v>#NAME?</v>
      </c>
      <c r="AI274" s="1" t="e">
        <f ca="1">_xll.BDH($C$253,"TOTAL_EQUITY_1_YEAR_GROWTH","FQ1 2018","FQ1 2018","Currency=INR","Period=FQ","BEST_FPERIOD_OVERRIDE=FQ","FILING_STATUS=OR","EQY_CONSOLIDATED=Y","Sort=A","Dates=H","DateFormat=P","Fill=—","Direction=H","UseDPDF=Y")</f>
        <v>#NAME?</v>
      </c>
      <c r="AJ274" s="1" t="e">
        <f ca="1">_xll.BDH($C$253,"GROWTH_IN_CAP","FQ1 2018","FQ1 2018","Currency=INR","Period=FQ","BEST_FPERIOD_OVERRIDE=FQ","FILING_STATUS=OR","EQY_CONSOLIDATED=Y","Sort=A","Dates=H","DateFormat=P","Fill=—","Direction=H","UseDPDF=Y")</f>
        <v>#NAME?</v>
      </c>
      <c r="AK274" s="1" t="e">
        <f ca="1">_xll.BDH($C$253,"BVPS_GROWTH","FQ1 2018","FQ1 2018","Currency=INR","Period=FQ","BEST_FPERIOD_OVERRIDE=FQ","FILING_STATUS=OR","EQY_CONSOLIDATED=Y","Sort=A","Dates=H","DateFormat=P","Fill=—","Direction=H","UseDPDF=Y")</f>
        <v>#NAME?</v>
      </c>
      <c r="AL274" s="1" t="e">
        <f ca="1">_xll.BDH($C$253,"CASH_FLOW_GROWTH","FQ1 2018","FQ1 2018","Currency=INR","Period=FQ","BEST_FPERIOD_OVERRIDE=FQ","FILING_STATUS=OR","EQY_CONSOLIDATED=Y","Sort=A","Dates=H","DateFormat=P","Fill=—","Direction=H","UseDPDF=Y")</f>
        <v>#NAME?</v>
      </c>
      <c r="AM274" s="1" t="e">
        <f ca="1">_xll.BDH($C$253,"GEO_GROW_NET_SALES","FQ1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74" s="1" t="e">
        <f ca="1">_xll.BDH($C$253,"GEO_GROW_EBITDA","FQ1 2018","FQ1 2018","Currency=INR","Period=FQ","BEST_FPERIOD_OVERRIDE=FQ","FILING_STATUS=OR","EQY_CONSOLIDATED=Y","FA_ADJUSTED=GAAP","Sort=A","Dates=H","DateFormat=P","Fill=—","Direction=H","UseDPDF=Y")</f>
        <v>#NAME?</v>
      </c>
      <c r="AO274" s="1" t="e">
        <f ca="1">_xll.BDH($C$253,"GEO_GROW_OPER_INC","FQ1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74" s="1" t="e">
        <f ca="1">_xll.BDH($C$253,"NET_INCOME_TO_COMMON_5_YR_GROWTH","FQ1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74" s="1" t="e">
        <f ca="1">_xll.BDH($C$253,"5Y_GEO_GROWTH_DILUTED_EPS","FQ1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74" s="1" t="e">
        <f ca="1">_xll.BDH($C$253,"GEO_GROW_DVD_PER_SH","FQ1 2018","FQ1 2018","Currency=INR","Period=FQ","BEST_FPERIOD_OVERRIDE=FQ","FILING_STATUS=OR","EQY_CONSOLIDATED=Y","Sort=A","Dates=H","DateFormat=P","Fill=—","Direction=H","UseDPDF=Y")</f>
        <v>#NAME?</v>
      </c>
      <c r="AS274" s="1" t="e">
        <f ca="1">_xll.BDH($C$253,"ACCOUNTS_RECEIVABLE_5_YR_GROWTH","FQ1 2018","FQ1 2018","Currency=INR","Period=FQ","BEST_FPERIOD_OVERRIDE=FQ","FILING_STATUS=OR","EQY_CONSOLIDATED=Y","Sort=A","Dates=H","DateFormat=P","Fill=—","Direction=H","UseDPDF=Y")</f>
        <v>#NAME?</v>
      </c>
      <c r="AT274" s="1" t="e">
        <f ca="1">_xll.BDH($C$253,"INVENTORY_5_YEAR_GROWTH","FQ1 2018","FQ1 2018","Currency=INR","Period=FQ","BEST_FPERIOD_OVERRIDE=FQ","FILING_STATUS=OR","EQY_CONSOLIDATED=Y","Sort=A","Dates=H","DateFormat=P","Fill=—","Direction=H","UseDPDF=Y")</f>
        <v>#NAME?</v>
      </c>
      <c r="AU274" s="1" t="e">
        <f ca="1">_xll.BDH($C$253,"NET_FIXED_ASSETS_5_YEAR_GROWTH","FQ1 2018","FQ1 2018","Currency=INR","Period=FQ","BEST_FPERIOD_OVERRIDE=FQ","FILING_STATUS=OR","EQY_CONSOLIDATED=Y","Sort=A","Dates=H","DateFormat=P","Fill=—","Direction=H","UseDPDF=Y")</f>
        <v>#NAME?</v>
      </c>
      <c r="AV274" s="1" t="e">
        <f ca="1">_xll.BDH($C$253,"GEO_GROW_TOT_ASSET","FQ1 2018","FQ1 2018","Currency=INR","Period=FQ","BEST_FPERIOD_OVERRIDE=FQ","FILING_STATUS=OR","EQY_CONSOLIDATED=Y","Sort=A","Dates=H","DateFormat=P","Fill=—","Direction=H","UseDPDF=Y")</f>
        <v>#NAME?</v>
      </c>
      <c r="AW274" s="1" t="e">
        <f ca="1">_xll.BDH($C$253,"MODIFIED_WORKING_CPTL_5YR_GRWTH","FQ1 2018","FQ1 2018","Currency=INR","Period=FQ","BEST_FPERIOD_OVERRIDE=FQ","FILING_STATUS=OR","EQY_CONSOLIDATED=Y","Sort=A","Dates=H","DateFormat=P","Fill=—","Direction=H","UseDPDF=Y")</f>
        <v>#NAME?</v>
      </c>
      <c r="AX274" s="1" t="e">
        <f ca="1">_xll.BDH($C$253,"WORKING_CAPITAL_5_YEAR_GROWTH","FQ1 2018","FQ1 2018","Currency=INR","Period=FQ","BEST_FPERIOD_OVERRIDE=FQ","FILING_STATUS=OR","EQY_CONSOLIDATED=Y","Sort=A","Dates=H","DateFormat=P","Fill=—","Direction=H","UseDPDF=Y")</f>
        <v>#NAME?</v>
      </c>
      <c r="AY274" s="1" t="e">
        <f ca="1">_xll.BDH($C$253,"ACCOUNTS_PAYABLE_5_YEAR_GROWTH","FQ1 2018","FQ1 2018","Currency=INR","Period=FQ","BEST_FPERIOD_OVERRIDE=FQ","FILING_STATUS=OR","EQY_CONSOLIDATED=Y","Sort=A","Dates=H","DateFormat=P","Fill=—","Direction=H","UseDPDF=Y")</f>
        <v>#NAME?</v>
      </c>
      <c r="AZ274" s="1" t="e">
        <f ca="1">_xll.BDH($C$253,"SHORT_TERM_DEBT_5_YEAR_GROWTH","FQ1 2018","FQ1 2018","Currency=INR","Period=FQ","BEST_FPERIOD_OVERRIDE=FQ","FILING_STATUS=OR","EQY_CONSOLIDATED=Y","Sort=A","Dates=H","DateFormat=P","Fill=—","Direction=H","UseDPDF=Y")</f>
        <v>#NAME?</v>
      </c>
      <c r="BA274" s="1" t="e">
        <f ca="1">_xll.BDH($C$253,"TOTAL_DEBT_5_YEAR_GROWTH","FQ1 2018","FQ1 2018","Currency=INR","Period=FQ","BEST_FPERIOD_OVERRIDE=FQ","FILING_STATUS=OR","EQY_CONSOLIDATED=Y","Sort=A","Dates=H","DateFormat=P","Fill=—","Direction=H","UseDPDF=Y")</f>
        <v>#NAME?</v>
      </c>
      <c r="BB274" s="1" t="e">
        <f ca="1">_xll.BDH($C$253,"GEO_GROW_TOT_SHRHLDR_EQY","FQ1 2018","FQ1 2018","Currency=INR","Period=FQ","BEST_FPERIOD_OVERRIDE=FQ","FILING_STATUS=OR","EQY_CONSOLIDATED=Y","Sort=A","Dates=H","DateFormat=P","Fill=—","Direction=H","UseDPDF=Y")</f>
        <v>#NAME?</v>
      </c>
      <c r="BC274" s="1" t="e">
        <f ca="1">_xll.BDH($C$253,"TOTAL_CAPITAL_5_YEAR_GROWTH","FQ1 2018","FQ1 2018","Currency=INR","Period=FQ","BEST_FPERIOD_OVERRIDE=FQ","FILING_STATUS=OR","EQY_CONSOLIDATED=Y","Sort=A","Dates=H","DateFormat=P","Fill=—","Direction=H","UseDPDF=Y")</f>
        <v>#NAME?</v>
      </c>
      <c r="BD274" s="1" t="e">
        <f ca="1">_xll.BDH($C$253,"GEO_GROW_BOOK_VAL","FQ1 2018","FQ1 2018","Currency=INR","Period=FQ","BEST_FPERIOD_OVERRIDE=FQ","FILING_STATUS=OR","EQY_CONSOLIDATED=Y","Sort=A","Dates=H","DateFormat=P","Fill=—","Direction=H","UseDPDF=Y")</f>
        <v>#NAME?</v>
      </c>
      <c r="BE274" s="1" t="e">
        <f ca="1">_xll.BDH($C$253,"GEO_GROW_CASH_OPER_ACT","FQ1 2018","FQ1 2018","Currency=INR","Period=FQ","BEST_FPERIOD_OVERRIDE=FQ","FILING_STATUS=OR","EQY_CONSOLIDATED=Y","Sort=A","Dates=H","DateFormat=P","Fill=—","Direction=H","UseDPDF=Y")</f>
        <v>#NAME?</v>
      </c>
      <c r="BF274" s="1" t="e">
        <f ca="1">_xll.BDH($C$253,"REVENUE_SEQUENTIAL_GROWTH","FQ1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74" s="1" t="e">
        <f ca="1">_xll.BDH($C$253,"EBITDA_SEQUENTIAL_GROWTH","FQ1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74" s="1" t="e">
        <f ca="1">_xll.BDH($C$253,"OPERATING_INCOME_SEQ_GROWTH","FQ1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74" s="1" t="e">
        <f ca="1">_xll.BDH($C$253,"NET_INCOME_TO_COMMON_SEQ_GROWTH","FQ1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74" s="1" t="e">
        <f ca="1">_xll.BDH($C$253,"EPS_DILUTED_SEQUENTIAL_GROWTH","FQ1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74" s="1" t="e">
        <f ca="1">_xll.BDH($C$253,"DPS_SEQUENTIAL_GROWTH","FQ1 2018","FQ1 2018","Currency=INR","Period=FQ","BEST_FPERIOD_OVERRIDE=FQ","FILING_STATUS=OR","EQY_CONSOLIDATED=Y","Sort=A","Dates=H","DateFormat=P","Fill=—","Direction=H","UseDPDF=Y")</f>
        <v>#NAME?</v>
      </c>
      <c r="BL274" s="1" t="e">
        <f ca="1">_xll.BDH($C$253,"ACCOUNTS_RECEIVABLE_SEQ_GROWTH","FQ1 2018","FQ1 2018","Currency=INR","Period=FQ","BEST_FPERIOD_OVERRIDE=FQ","FILING_STATUS=OR","EQY_CONSOLIDATED=Y","Sort=A","Dates=H","DateFormat=P","Fill=—","Direction=H","UseDPDF=Y")</f>
        <v>#NAME?</v>
      </c>
      <c r="BM274" s="1" t="e">
        <f ca="1">_xll.BDH($C$253,"INVENTORY_SEQUENTIAL_GROWTH","FQ1 2018","FQ1 2018","Currency=INR","Period=FQ","BEST_FPERIOD_OVERRIDE=FQ","FILING_STATUS=OR","EQY_CONSOLIDATED=Y","Sort=A","Dates=H","DateFormat=P","Fill=—","Direction=H","UseDPDF=Y")</f>
        <v>#NAME?</v>
      </c>
      <c r="BN274" s="1" t="e">
        <f ca="1">_xll.BDH($C$253,"FIXED_ASSETS_SEQUENTIAL_GROWTH","FQ1 2018","FQ1 2018","Currency=INR","Period=FQ","BEST_FPERIOD_OVERRIDE=FQ","FILING_STATUS=OR","EQY_CONSOLIDATED=Y","Sort=A","Dates=H","DateFormat=P","Fill=—","Direction=H","UseDPDF=Y")</f>
        <v>#NAME?</v>
      </c>
      <c r="BO274" s="1" t="e">
        <f ca="1">_xll.BDH($C$253,"TOTAL_ASSETS_SEQUENTIAL_GROWTH","FQ1 2018","FQ1 2018","Currency=INR","Period=FQ","BEST_FPERIOD_OVERRIDE=FQ","FILING_STATUS=OR","EQY_CONSOLIDATED=Y","Sort=A","Dates=H","DateFormat=P","Fill=—","Direction=H","UseDPDF=Y")</f>
        <v>#NAME?</v>
      </c>
      <c r="BP274" s="1" t="e">
        <f ca="1">_xll.BDH($C$253,"MODIFIED_WORKING_CPTL_SEQ_GRWTH","FQ1 2018","FQ1 2018","Currency=INR","Period=FQ","BEST_FPERIOD_OVERRIDE=FQ","FILING_STATUS=OR","EQY_CONSOLIDATED=Y","Sort=A","Dates=H","DateFormat=P","Fill=—","Direction=H","UseDPDF=Y")</f>
        <v>#NAME?</v>
      </c>
      <c r="BQ274" s="1" t="e">
        <f ca="1">_xll.BDH($C$253,"WORKING_CAPITAL_SEQ_GROWTH","FQ1 2018","FQ1 2018","Currency=INR","Period=FQ","BEST_FPERIOD_OVERRIDE=FQ","FILING_STATUS=OR","EQY_CONSOLIDATED=Y","Sort=A","Dates=H","DateFormat=P","Fill=—","Direction=H","UseDPDF=Y")</f>
        <v>#NAME?</v>
      </c>
      <c r="BR274" s="1" t="e">
        <f ca="1">_xll.BDH($C$253,"ACCOUNTS_PAYABLE_SEQ_GROWTH","FQ1 2018","FQ1 2018","Currency=INR","Period=FQ","BEST_FPERIOD_OVERRIDE=FQ","FILING_STATUS=OR","EQY_CONSOLIDATED=Y","Sort=A","Dates=H","DateFormat=P","Fill=—","Direction=H","UseDPDF=Y")</f>
        <v>#NAME?</v>
      </c>
      <c r="BS274" s="1" t="e">
        <f ca="1">_xll.BDH($C$253,"ST_DEBT_SEQUENTIAL_GROWTH","FQ1 2018","FQ1 2018","Currency=INR","Period=FQ","BEST_FPERIOD_OVERRIDE=FQ","FILING_STATUS=OR","EQY_CONSOLIDATED=Y","Sort=A","Dates=H","DateFormat=P","Fill=—","Direction=H","UseDPDF=Y")</f>
        <v>#NAME?</v>
      </c>
      <c r="BT274" s="1" t="e">
        <f ca="1">_xll.BDH($C$253,"TOTAL_DEBT_SEQUENTIAL_GROWTH","FQ1 2018","FQ1 2018","Currency=INR","Period=FQ","BEST_FPERIOD_OVERRIDE=FQ","FILING_STATUS=OR","EQY_CONSOLIDATED=Y","Sort=A","Dates=H","DateFormat=P","Fill=—","Direction=H","UseDPDF=Y")</f>
        <v>#NAME?</v>
      </c>
      <c r="BU274" s="1" t="e">
        <f ca="1">_xll.BDH($C$253,"TOTAL_EQUITY_SEQUENTIAL_GROWTH","FQ1 2018","FQ1 2018","Currency=INR","Period=FQ","BEST_FPERIOD_OVERRIDE=FQ","FILING_STATUS=OR","EQY_CONSOLIDATED=Y","Sort=A","Dates=H","DateFormat=P","Fill=—","Direction=H","UseDPDF=Y")</f>
        <v>#NAME?</v>
      </c>
      <c r="BV274" s="1" t="e">
        <f ca="1">_xll.BDH($C$253,"TOTAL_CAPITAL_SEQUENTIAL_GROWTH","FQ1 2018","FQ1 2018","Currency=INR","Period=FQ","BEST_FPERIOD_OVERRIDE=FQ","FILING_STATUS=OR","EQY_CONSOLIDATED=Y","Sort=A","Dates=H","DateFormat=P","Fill=—","Direction=H","UseDPDF=Y")</f>
        <v>#NAME?</v>
      </c>
      <c r="BW274" s="1" t="e">
        <f ca="1">_xll.BDH($C$253,"BPS_SEQUENTIAL_GROWTH","FQ1 2018","FQ1 2018","Currency=INR","Period=FQ","BEST_FPERIOD_OVERRIDE=FQ","FILING_STATUS=OR","EQY_CONSOLIDATED=Y","Sort=A","Dates=H","DateFormat=P","Fill=—","Direction=H","UseDPDF=Y")</f>
        <v>#NAME?</v>
      </c>
      <c r="BX274" s="1" t="e">
        <f ca="1">_xll.BDH($C$253,"CFO_SEQUENTIAL_GROWTH","FQ1 2018","FQ1 2018","Currency=INR","Period=FQ","BEST_FPERIOD_OVERRIDE=FQ","FILING_STATUS=OR","EQY_CONSOLIDATED=Y","Sort=A","Dates=H","DateFormat=P","Fill=—","Direction=H","UseDPDF=Y")</f>
        <v>#NAME?</v>
      </c>
      <c r="BY274" s="2" t="e">
        <f ca="1">_xll.BDH($C$253,"SHORT_AND_LONG_TERM_DEBT","FQ1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74" s="2" t="e">
        <f ca="1">_xll.BDH($C$253,"BS_ST_BORROW","FQ1 2018","FQ1 2018","Currency=INR","Period=FQ","BEST_FPERIOD_OVERRIDE=FQ","FILING_STATUS=OR","EQY_CONSOLIDATED=Y","SCALING_FORMAT=MLN","Sort=A","Dates=H","DateFormat=P","Fill=—","Direction=H","UseDPDF=Y")</f>
        <v>#NAME?</v>
      </c>
      <c r="CA274" s="2" t="e">
        <f ca="1">_xll.BDH($C$253,"BS_LT_BORROW","FQ1 2018","FQ1 2018","Currency=INR","Period=FQ","BEST_FPERIOD_OVERRIDE=FQ","FILING_STATUS=OR","EQY_CONSOLIDATED=Y","SCALING_FORMAT=MLN","Sort=A","Dates=H","DateFormat=P","Fill=—","Direction=H","UseDPDF=Y")</f>
        <v>#NAME?</v>
      </c>
      <c r="CB274" s="1" t="e">
        <f ca="1">_xll.BDH($C$253,"TOT_DEBT_TO_EBITDA","FQ1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74" s="1" t="e">
        <f ca="1">_xll.BDH($C$253,"NET_DEBT_TO_EBITDA","FQ1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74" s="1" t="e">
        <f ca="1">_xll.BDH($C$253,"TOTAL_DEBT_TO_EBIT","FQ1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74" s="1" t="e">
        <f ca="1">_xll.BDH($C$253,"NET_DEBT_TO_EBIT","FQ1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274" s="1" t="e">
        <f ca="1">_xll.BDH($C$253,"EBITDA_TO_INTEREST_EXPN","FQ1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74" s="1" t="e">
        <f ca="1">_xll.BDH($C$253,"COM_EQY_TO_TOT_ASSET","FQ1 2018","FQ1 2018","Currency=INR","Period=FQ","BEST_FPERIOD_OVERRIDE=FQ","FILING_STATUS=OR","EQY_CONSOLIDATED=Y","Sort=A","Dates=H","DateFormat=P","Fill=—","Direction=H","UseDPDF=Y")</f>
        <v>#NAME?</v>
      </c>
      <c r="CH274" s="1" t="e">
        <f ca="1">_xll.BDH($C$253,"LT_DEBT_TO_TOT_EQY","FQ1 2018","FQ1 2018","Currency=INR","Period=FQ","BEST_FPERIOD_OVERRIDE=FQ","FILING_STATUS=OR","EQY_CONSOLIDATED=Y","Sort=A","Dates=H","DateFormat=P","Fill=—","Direction=H","UseDPDF=Y")</f>
        <v>#NAME?</v>
      </c>
      <c r="CI274" s="1" t="e">
        <f ca="1">_xll.BDH($C$253,"LT_DEBT_TO_TOT_CAP","FQ1 2018","FQ1 2018","Currency=INR","Period=FQ","BEST_FPERIOD_OVERRIDE=FQ","FILING_STATUS=OR","EQY_CONSOLIDATED=Y","Sort=A","Dates=H","DateFormat=P","Fill=—","Direction=H","UseDPDF=Y")</f>
        <v>#NAME?</v>
      </c>
      <c r="CJ274" s="1" t="e">
        <f ca="1">_xll.BDH($C$253,"LT_DEBT_TO_TOT_ASSET","FQ1 2018","FQ1 2018","Currency=INR","Period=FQ","BEST_FPERIOD_OVERRIDE=FQ","FILING_STATUS=OR","EQY_CONSOLIDATED=Y","Sort=A","Dates=H","DateFormat=P","Fill=—","Direction=H","UseDPDF=Y")</f>
        <v>#NAME?</v>
      </c>
      <c r="CK274" s="1" t="e">
        <f ca="1">_xll.BDH($C$253,"TOT_DEBT_TO_TOT_EQY","FQ1 2018","FQ1 2018","Currency=INR","Period=FQ","BEST_FPERIOD_OVERRIDE=FQ","FILING_STATUS=OR","EQY_CONSOLIDATED=Y","Sort=A","Dates=H","DateFormat=P","Fill=—","Direction=H","UseDPDF=Y")</f>
        <v>#NAME?</v>
      </c>
      <c r="CL274" s="1" t="e">
        <f ca="1">_xll.BDH($C$253,"TOT_DEBT_TO_TOT_CAP","FQ1 2018","FQ1 2018","Currency=INR","Period=FQ","BEST_FPERIOD_OVERRIDE=FQ","FILING_STATUS=OR","EQY_CONSOLIDATED=Y","Sort=A","Dates=H","DateFormat=P","Fill=—","Direction=H","UseDPDF=Y")</f>
        <v>#NAME?</v>
      </c>
      <c r="CM274" s="1" t="e">
        <f ca="1">_xll.BDH($C$253,"TOT_DEBT_TO_TOT_ASSET","FQ1 2018","FQ1 2018","Currency=INR","Period=FQ","BEST_FPERIOD_OVERRIDE=FQ","FILING_STATUS=OR","EQY_CONSOLIDATED=Y","Sort=A","Dates=H","DateFormat=P","Fill=—","Direction=H","UseDPDF=Y")</f>
        <v>#NAME?</v>
      </c>
      <c r="CN274" s="1" t="e">
        <f ca="1">_xll.BDH($C$253,"NET_DEBT_TO_SHRHLDR_EQTY","FQ1 2018","FQ1 2018","Currency=INR","Period=FQ","BEST_FPERIOD_OVERRIDE=FQ","FILING_STATUS=OR","EQY_CONSOLIDATED=Y","Sort=A","Dates=H","DateFormat=P","Fill=—","Direction=H","UseDPDF=Y")</f>
        <v>#NAME?</v>
      </c>
      <c r="CO274" s="1" t="e">
        <f ca="1">_xll.BDH($C$253,"NET_DEBT_%_CAPITAL","FQ1 2018","FQ1 2018","Currency=INR","Period=FQ","BEST_FPERIOD_OVERRIDE=FQ","FILING_STATUS=OR","EQY_CONSOLIDATED=Y","Sort=A","Dates=H","DateFormat=P","Fill=—","Direction=H","UseDPDF=Y")</f>
        <v>#NAME?</v>
      </c>
      <c r="CP274" s="2" t="e">
        <f ca="1">_xll.BDH($C$253,"EBITDA","FQ1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74" s="2" t="e">
        <f ca="1">_xll.BDH($C$253,"EBITDA_AFTER_CAPEX","FQ1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74" s="2" t="e">
        <f ca="1">_xll.BDH($C$253,"IS_OPER_INC","FQ1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74" s="1" t="e">
        <f ca="1">_xll.BDH($C$253,"CASH_RATIO","FQ1 2018","FQ1 2018","Currency=INR","Period=FQ","BEST_FPERIOD_OVERRIDE=FQ","FILING_STATUS=OR","EQY_CONSOLIDATED=Y","Sort=A","Dates=H","DateFormat=P","Fill=—","Direction=H","UseDPDF=Y")</f>
        <v>#NAME?</v>
      </c>
      <c r="CT274" s="1" t="e">
        <f ca="1">_xll.BDH($C$253,"CUR_RATIO","FQ1 2018","FQ1 2018","Currency=INR","Period=FQ","BEST_FPERIOD_OVERRIDE=FQ","FILING_STATUS=OR","EQY_CONSOLIDATED=Y","Sort=A","Dates=H","DateFormat=P","Fill=—","Direction=H","UseDPDF=Y")</f>
        <v>#NAME?</v>
      </c>
      <c r="CU274" s="1" t="e">
        <f ca="1">_xll.BDH($C$253,"QUICK_RATIO","FQ1 2018","FQ1 2018","Currency=INR","Period=FQ","BEST_FPERIOD_OVERRIDE=FQ","FILING_STATUS=OR","EQY_CONSOLIDATED=Y","Sort=A","Dates=H","DateFormat=P","Fill=—","Direction=H","UseDPDF=Y")</f>
        <v>#NAME?</v>
      </c>
      <c r="CV274" s="1" t="e">
        <f ca="1">_xll.BDH($C$253,"ALTMAN_Z_SCORE","FQ1 2018","FQ1 2018","Currency=INR","Period=FQ","BEST_FPERIOD_OVERRIDE=FQ","FILING_STATUS=OR","EQY_CONSOLIDATED=Y","Sort=A","Dates=H","DateFormat=P","Fill=—","Direction=H","UseDPDF=Y")</f>
        <v>#NAME?</v>
      </c>
      <c r="CW274" s="3" t="e">
        <f ca="1">_xll.BDH($C$253,"ACCT_RCV_TURN","FQ1 2018","FQ1 2018","Currency=INR","Period=FQ","BEST_FPERIOD_OVERRIDE=FQ","FILING_STATUS=OR","EQY_CONSOLIDATED=Y","FA_ADJUSTED=GAAP","Sort=A","Dates=H","DateFormat=P","Fill=—","Direction=H","UseDPDF=Y")</f>
        <v>#NAME?</v>
      </c>
      <c r="CX274" s="1" t="e">
        <f ca="1">_xll.BDH($C$253,"ACCT_RCV_DAYS","FQ1 2018","FQ1 2018","Currency=INR","Period=FQ","BEST_FPERIOD_OVERRIDE=FQ","FILING_STATUS=OR","EQY_CONSOLIDATED=Y","FA_ADJUSTED=GAAP","Sort=A","Dates=H","DateFormat=P","Fill=—","Direction=H","UseDPDF=Y")</f>
        <v>#NAME?</v>
      </c>
      <c r="CY274" s="3" t="e">
        <f ca="1">_xll.BDH($C$253,"INVENT_TURN","FQ1 2018","FQ1 2018","Currency=INR","Period=FQ","BEST_FPERIOD_OVERRIDE=FQ","FILING_STATUS=OR","EQY_CONSOLIDATED=Y","FA_ADJUSTED=GAAP","Sort=A","Dates=H","DateFormat=P","Fill=—","Direction=H","UseDPDF=Y")</f>
        <v>#NAME?</v>
      </c>
      <c r="CZ274" s="1" t="e">
        <f ca="1">_xll.BDH($C$253,"INVENT_DAYS","FQ1 2018","FQ1 2018","Currency=INR","Period=FQ","BEST_FPERIOD_OVERRIDE=FQ","FILING_STATUS=OR","EQY_CONSOLIDATED=Y","FA_ADJUSTED=GAAP","Sort=A","Dates=H","DateFormat=P","Fill=—","Direction=H","UseDPDF=Y")</f>
        <v>#NAME?</v>
      </c>
      <c r="DA274" s="3" t="e">
        <f ca="1">_xll.BDH($C$253,"ACCOUNTS_PAYABLE_TURNOVER","FQ1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74" s="1" t="e">
        <f ca="1">_xll.BDH($C$253,"ACCOUNTS_PAYABLE_TURNOVER_DAYS","FQ1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74" s="3" t="e">
        <f ca="1">_xll.BDH($C$253,"CASH_CONVERSION_CYCLE","FQ1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74" s="3" t="e">
        <f ca="1">_xll.BDH($C$253,"INV_TO_CASH_DAYS","FQ1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274" s="4" t="e">
        <f ca="1">_xll.BDH($C$253,"BS_INVENTORIES","FQ1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274" s="2" t="e">
        <f ca="1">_xll.BDH($C$253,"INVTRY_RAW_MATERIALS","FQ1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74" s="2" t="e">
        <f ca="1">_xll.BDH($C$253,"INVTRY_IN_PROGRESS","FQ1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74" s="2" t="e">
        <f ca="1">_xll.BDH($C$253,"INVTRY_FINISHED_GOODS","FQ1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74" s="2" t="e">
        <f ca="1">_xll.BDH($C$253,"BS_OTHER_INV","FQ1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75" spans="1:113" x14ac:dyDescent="0.3">
      <c r="A275" s="6"/>
      <c r="B275" s="6"/>
      <c r="C275" s="6"/>
      <c r="D275" s="6"/>
      <c r="E275" t="s">
        <v>5</v>
      </c>
      <c r="F275" t="e">
        <f ca="1">_xll.BDH($C$253,"RETURN_COM_EQY","FQ2 2018","FQ2 2018","Currency=INR","Period=FQ","BEST_FPERIOD_OVERRIDE=FQ","FILING_STATUS=OR","EQY_CONSOLIDATED=Y","FA_ADJUSTED=GAAP","Sort=A","Dates=H","DateFormat=P","Fill=—","Direction=H","UseDPDF=Y")</f>
        <v>#NAME?</v>
      </c>
      <c r="G275" t="e">
        <f ca="1">_xll.BDH($C$253,"RETURN_ON_ASSET","FQ2 2018","FQ2 2018","Currency=INR","Period=FQ","BEST_FPERIOD_OVERRIDE=FQ","FILING_STATUS=OR","EQY_CONSOLIDATED=Y","FA_ADJUSTED=GAAP","Sort=A","Dates=H","DateFormat=P","Fill=—","Direction=H","UseDPDF=Y")</f>
        <v>#NAME?</v>
      </c>
      <c r="H275" t="e">
        <f ca="1">_xll.BDH($C$253,"RETURN_ON_CAP","FQ2 2018","FQ2 2018","Currency=INR","Period=FQ","BEST_FPERIOD_OVERRIDE=FQ","FILING_STATUS=OR","EQY_CONSOLIDATED=Y","FA_ADJUSTED=GAAP","Sort=A","Dates=H","DateFormat=P","Fill=—","Direction=H","UseDPDF=Y")</f>
        <v>#NAME?</v>
      </c>
      <c r="I275" t="e">
        <f ca="1">_xll.BDH($C$253,"RETURN_ON_INV_CAPITAL","FQ2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75" t="e">
        <f ca="1">_xll.BDH($C$253,"EBITDA_TO_REVENUE","FQ2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275" t="e">
        <f ca="1">_xll.BDH($C$253,"OPER_MARGIN","FQ2 2018","FQ2 2018","Currency=INR","Period=FQ","BEST_FPERIOD_OVERRIDE=FQ","FILING_STATUS=OR","EQY_CONSOLIDATED=Y","FA_ADJUSTED=GAAP","Sort=A","Dates=H","DateFormat=P","Fill=—","Direction=H","UseDPDF=Y")</f>
        <v>#NAME?</v>
      </c>
      <c r="L275" t="e">
        <f ca="1">_xll.BDH($C$253,"INCREMENTAL_OPERATING_MARGIN","FQ2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75" t="e">
        <f ca="1">_xll.BDH($C$253,"PRETAX_INC_TO_NET_SALES","FQ2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75" t="e">
        <f ca="1">_xll.BDH($C$253,"INC_BEF_XO_ITEMS_TO_NET_SALES","FQ2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75" t="e">
        <f ca="1">_xll.BDH($C$253,"PROF_MARGIN","FQ2 2018","FQ2 2018","Currency=INR","Period=FQ","BEST_FPERIOD_OVERRIDE=FQ","FILING_STATUS=OR","EQY_CONSOLIDATED=Y","FA_ADJUSTED=GAAP","Sort=A","Dates=H","DateFormat=P","Fill=—","Direction=H","UseDPDF=Y")</f>
        <v>#NAME?</v>
      </c>
      <c r="P275" t="e">
        <f ca="1">_xll.BDH($C$253,"NET_INCOME_TO_COMMON_MARGIN","FQ2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75" t="e">
        <f ca="1">_xll.BDH($C$253,"EFF_TAX_RATE","FQ2 2018","FQ2 2018","Currency=INR","Period=FQ","BEST_FPERIOD_OVERRIDE=FQ","FILING_STATUS=OR","EQY_CONSOLIDATED=Y","FA_ADJUSTED=GAAP","Sort=A","Dates=H","DateFormat=P","Fill=—","Direction=H","UseDPDF=Y")</f>
        <v>#NAME?</v>
      </c>
      <c r="R275" t="e">
        <f ca="1">_xll.BDH($C$253,"DVD_PAYOUT_RATIO","FQ2 2018","FQ2 2018","Currency=INR","Period=FQ","BEST_FPERIOD_OVERRIDE=FQ","FILING_STATUS=OR","EQY_CONSOLIDATED=Y","FA_ADJUSTED=GAAP","Sort=A","Dates=H","DateFormat=P","Fill=—","Direction=H","UseDPDF=Y")</f>
        <v>#NAME?</v>
      </c>
      <c r="S275" t="e">
        <f ca="1">_xll.BDH($C$253,"SUSTAIN_GROWTH_RT","FQ2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275" s="1" t="e">
        <f ca="1">_xll.BDH($C$253,"SALES_GROWTH","FQ2 2018","FQ2 2018","Currency=INR","Period=FQ","BEST_FPERIOD_OVERRIDE=FQ","FILING_STATUS=OR","EQY_CONSOLIDATED=Y","FA_ADJUSTED=GAAP","Sort=A","Dates=H","DateFormat=P","Fill=—","Direction=H","UseDPDF=Y")</f>
        <v>#NAME?</v>
      </c>
      <c r="U275" s="1" t="e">
        <f ca="1">_xll.BDH($C$253,"EBITDA_GROWTH","FQ2 2018","FQ2 2018","Currency=INR","Period=FQ","BEST_FPERIOD_OVERRIDE=FQ","FILING_STATUS=OR","EQY_CONSOLIDATED=Y","FA_ADJUSTED=GAAP","Sort=A","Dates=H","DateFormat=P","Fill=—","Direction=H","UseDPDF=Y")</f>
        <v>#NAME?</v>
      </c>
      <c r="V275" s="1" t="e">
        <f ca="1">_xll.BDH($C$253,"OPER_INC_GROWTH","FQ2 2018","FQ2 2018","Currency=INR","Period=FQ","BEST_FPERIOD_OVERRIDE=FQ","FILING_STATUS=OR","EQY_CONSOLIDATED=Y","FA_ADJUSTED=GAAP","Sort=A","Dates=H","DateFormat=P","Fill=—","Direction=H","UseDPDF=Y")</f>
        <v>#NAME?</v>
      </c>
      <c r="W275" s="1" t="e">
        <f ca="1">_xll.BDH($C$253,"EARN_FOR_COM_GROWTH","FQ2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75" s="1" t="e">
        <f ca="1">_xll.BDH($C$253,"DILUTED_EPS_AFT_XO_ITEMS_GROWTH","FQ2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75" s="1" t="e">
        <f ca="1">_xll.BDH($C$253,"DIVIDEND_PER_SHARE_1_YEAR_GROWTH","FQ2 2018","FQ2 2018","Currency=INR","Period=FQ","BEST_FPERIOD_OVERRIDE=FQ","FILING_STATUS=OR","EQY_CONSOLIDATED=Y","Sort=A","Dates=H","DateFormat=P","Fill=—","Direction=H","UseDPDF=Y")</f>
        <v>#NAME?</v>
      </c>
      <c r="Z275" s="1" t="e">
        <f ca="1">_xll.BDH($C$253,"ACCOUNTS_RECEIVABLE_GROWTH","FQ2 2018","FQ2 2018","Currency=INR","Period=FQ","BEST_FPERIOD_OVERRIDE=FQ","FILING_STATUS=OR","EQY_CONSOLIDATED=Y","Sort=A","Dates=H","DateFormat=P","Fill=—","Direction=H","UseDPDF=Y")</f>
        <v>#NAME?</v>
      </c>
      <c r="AA275" s="1" t="e">
        <f ca="1">_xll.BDH($C$253,"INVENTORY_GROWTH","FQ2 2018","FQ2 2018","Currency=INR","Period=FQ","BEST_FPERIOD_OVERRIDE=FQ","FILING_STATUS=OR","EQY_CONSOLIDATED=Y","Sort=A","Dates=H","DateFormat=P","Fill=—","Direction=H","UseDPDF=Y")</f>
        <v>#NAME?</v>
      </c>
      <c r="AB275" s="1" t="e">
        <f ca="1">_xll.BDH($C$253,"NET_FIXED_ASSETS_1_YEAR_GROWTH","FQ2 2018","FQ2 2018","Currency=INR","Period=FQ","BEST_FPERIOD_OVERRIDE=FQ","FILING_STATUS=OR","EQY_CONSOLIDATED=Y","Sort=A","Dates=H","DateFormat=P","Fill=—","Direction=H","UseDPDF=Y")</f>
        <v>#NAME?</v>
      </c>
      <c r="AC275" s="1" t="e">
        <f ca="1">_xll.BDH($C$253,"ASSET_GROWTH","FQ2 2018","FQ2 2018","Currency=INR","Period=FQ","BEST_FPERIOD_OVERRIDE=FQ","FILING_STATUS=OR","EQY_CONSOLIDATED=Y","Sort=A","Dates=H","DateFormat=P","Fill=—","Direction=H","UseDPDF=Y")</f>
        <v>#NAME?</v>
      </c>
      <c r="AD275" s="1" t="e">
        <f ca="1">_xll.BDH($C$253,"MODIFIED_WORK_CAP_GROWTH","FQ2 2018","FQ2 2018","Currency=INR","Period=FQ","BEST_FPERIOD_OVERRIDE=FQ","FILING_STATUS=OR","EQY_CONSOLIDATED=Y","Sort=A","Dates=H","DateFormat=P","Fill=—","Direction=H","UseDPDF=Y")</f>
        <v>#NAME?</v>
      </c>
      <c r="AE275" s="1" t="e">
        <f ca="1">_xll.BDH($C$253,"WORK_CAP_GROWTH","FQ2 2018","FQ2 2018","Currency=INR","Period=FQ","BEST_FPERIOD_OVERRIDE=FQ","FILING_STATUS=OR","EQY_CONSOLIDATED=Y","Sort=A","Dates=H","DateFormat=P","Fill=—","Direction=H","UseDPDF=Y")</f>
        <v>#NAME?</v>
      </c>
      <c r="AF275" s="1" t="e">
        <f ca="1">_xll.BDH($C$253,"ACCOUNTS_PAYABLE_GROWTH_1YR","FQ2 2018","FQ2 2018","Currency=INR","Period=FQ","BEST_FPERIOD_OVERRIDE=FQ","FILING_STATUS=OR","EQY_CONSOLIDATED=Y","Sort=A","Dates=H","DateFormat=P","Fill=—","Direction=H","UseDPDF=Y")</f>
        <v>#NAME?</v>
      </c>
      <c r="AG275" s="1" t="e">
        <f ca="1">_xll.BDH($C$253,"SHORT_TERM_DEBT_1_YEAR_GROWTH","FQ2 2018","FQ2 2018","Currency=INR","Period=FQ","BEST_FPERIOD_OVERRIDE=FQ","FILING_STATUS=OR","EQY_CONSOLIDATED=Y","Sort=A","Dates=H","DateFormat=P","Fill=—","Direction=H","UseDPDF=Y")</f>
        <v>#NAME?</v>
      </c>
      <c r="AH275" s="1" t="e">
        <f ca="1">_xll.BDH($C$253,"TOTAL_DEBT_1_YEAR_GROWTH","FQ2 2018","FQ2 2018","Currency=INR","Period=FQ","BEST_FPERIOD_OVERRIDE=FQ","FILING_STATUS=OR","EQY_CONSOLIDATED=Y","Sort=A","Dates=H","DateFormat=P","Fill=—","Direction=H","UseDPDF=Y")</f>
        <v>#NAME?</v>
      </c>
      <c r="AI275" s="1" t="e">
        <f ca="1">_xll.BDH($C$253,"TOTAL_EQUITY_1_YEAR_GROWTH","FQ2 2018","FQ2 2018","Currency=INR","Period=FQ","BEST_FPERIOD_OVERRIDE=FQ","FILING_STATUS=OR","EQY_CONSOLIDATED=Y","Sort=A","Dates=H","DateFormat=P","Fill=—","Direction=H","UseDPDF=Y")</f>
        <v>#NAME?</v>
      </c>
      <c r="AJ275" s="1" t="e">
        <f ca="1">_xll.BDH($C$253,"GROWTH_IN_CAP","FQ2 2018","FQ2 2018","Currency=INR","Period=FQ","BEST_FPERIOD_OVERRIDE=FQ","FILING_STATUS=OR","EQY_CONSOLIDATED=Y","Sort=A","Dates=H","DateFormat=P","Fill=—","Direction=H","UseDPDF=Y")</f>
        <v>#NAME?</v>
      </c>
      <c r="AK275" s="1" t="e">
        <f ca="1">_xll.BDH($C$253,"BVPS_GROWTH","FQ2 2018","FQ2 2018","Currency=INR","Period=FQ","BEST_FPERIOD_OVERRIDE=FQ","FILING_STATUS=OR","EQY_CONSOLIDATED=Y","Sort=A","Dates=H","DateFormat=P","Fill=—","Direction=H","UseDPDF=Y")</f>
        <v>#NAME?</v>
      </c>
      <c r="AL275" s="1" t="e">
        <f ca="1">_xll.BDH($C$253,"CASH_FLOW_GROWTH","FQ2 2018","FQ2 2018","Currency=INR","Period=FQ","BEST_FPERIOD_OVERRIDE=FQ","FILING_STATUS=OR","EQY_CONSOLIDATED=Y","Sort=A","Dates=H","DateFormat=P","Fill=—","Direction=H","UseDPDF=Y")</f>
        <v>#NAME?</v>
      </c>
      <c r="AM275" s="1" t="e">
        <f ca="1">_xll.BDH($C$253,"GEO_GROW_NET_SALES","FQ2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75" s="1" t="e">
        <f ca="1">_xll.BDH($C$253,"GEO_GROW_EBITDA","FQ2 2018","FQ2 2018","Currency=INR","Period=FQ","BEST_FPERIOD_OVERRIDE=FQ","FILING_STATUS=OR","EQY_CONSOLIDATED=Y","FA_ADJUSTED=GAAP","Sort=A","Dates=H","DateFormat=P","Fill=—","Direction=H","UseDPDF=Y")</f>
        <v>#NAME?</v>
      </c>
      <c r="AO275" s="1" t="e">
        <f ca="1">_xll.BDH($C$253,"GEO_GROW_OPER_INC","FQ2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75" s="1" t="e">
        <f ca="1">_xll.BDH($C$253,"NET_INCOME_TO_COMMON_5_YR_GROWTH","FQ2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75" s="1" t="e">
        <f ca="1">_xll.BDH($C$253,"5Y_GEO_GROWTH_DILUTED_EPS","FQ2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75" s="1" t="e">
        <f ca="1">_xll.BDH($C$253,"GEO_GROW_DVD_PER_SH","FQ2 2018","FQ2 2018","Currency=INR","Period=FQ","BEST_FPERIOD_OVERRIDE=FQ","FILING_STATUS=OR","EQY_CONSOLIDATED=Y","Sort=A","Dates=H","DateFormat=P","Fill=—","Direction=H","UseDPDF=Y")</f>
        <v>#NAME?</v>
      </c>
      <c r="AS275" s="1" t="e">
        <f ca="1">_xll.BDH($C$253,"ACCOUNTS_RECEIVABLE_5_YR_GROWTH","FQ2 2018","FQ2 2018","Currency=INR","Period=FQ","BEST_FPERIOD_OVERRIDE=FQ","FILING_STATUS=OR","EQY_CONSOLIDATED=Y","Sort=A","Dates=H","DateFormat=P","Fill=—","Direction=H","UseDPDF=Y")</f>
        <v>#NAME?</v>
      </c>
      <c r="AT275" s="1" t="e">
        <f ca="1">_xll.BDH($C$253,"INVENTORY_5_YEAR_GROWTH","FQ2 2018","FQ2 2018","Currency=INR","Period=FQ","BEST_FPERIOD_OVERRIDE=FQ","FILING_STATUS=OR","EQY_CONSOLIDATED=Y","Sort=A","Dates=H","DateFormat=P","Fill=—","Direction=H","UseDPDF=Y")</f>
        <v>#NAME?</v>
      </c>
      <c r="AU275" s="1" t="e">
        <f ca="1">_xll.BDH($C$253,"NET_FIXED_ASSETS_5_YEAR_GROWTH","FQ2 2018","FQ2 2018","Currency=INR","Period=FQ","BEST_FPERIOD_OVERRIDE=FQ","FILING_STATUS=OR","EQY_CONSOLIDATED=Y","Sort=A","Dates=H","DateFormat=P","Fill=—","Direction=H","UseDPDF=Y")</f>
        <v>#NAME?</v>
      </c>
      <c r="AV275" s="1" t="e">
        <f ca="1">_xll.BDH($C$253,"GEO_GROW_TOT_ASSET","FQ2 2018","FQ2 2018","Currency=INR","Period=FQ","BEST_FPERIOD_OVERRIDE=FQ","FILING_STATUS=OR","EQY_CONSOLIDATED=Y","Sort=A","Dates=H","DateFormat=P","Fill=—","Direction=H","UseDPDF=Y")</f>
        <v>#NAME?</v>
      </c>
      <c r="AW275" s="1" t="e">
        <f ca="1">_xll.BDH($C$253,"MODIFIED_WORKING_CPTL_5YR_GRWTH","FQ2 2018","FQ2 2018","Currency=INR","Period=FQ","BEST_FPERIOD_OVERRIDE=FQ","FILING_STATUS=OR","EQY_CONSOLIDATED=Y","Sort=A","Dates=H","DateFormat=P","Fill=—","Direction=H","UseDPDF=Y")</f>
        <v>#NAME?</v>
      </c>
      <c r="AX275" s="1" t="e">
        <f ca="1">_xll.BDH($C$253,"WORKING_CAPITAL_5_YEAR_GROWTH","FQ2 2018","FQ2 2018","Currency=INR","Period=FQ","BEST_FPERIOD_OVERRIDE=FQ","FILING_STATUS=OR","EQY_CONSOLIDATED=Y","Sort=A","Dates=H","DateFormat=P","Fill=—","Direction=H","UseDPDF=Y")</f>
        <v>#NAME?</v>
      </c>
      <c r="AY275" s="1" t="e">
        <f ca="1">_xll.BDH($C$253,"ACCOUNTS_PAYABLE_5_YEAR_GROWTH","FQ2 2018","FQ2 2018","Currency=INR","Period=FQ","BEST_FPERIOD_OVERRIDE=FQ","FILING_STATUS=OR","EQY_CONSOLIDATED=Y","Sort=A","Dates=H","DateFormat=P","Fill=—","Direction=H","UseDPDF=Y")</f>
        <v>#NAME?</v>
      </c>
      <c r="AZ275" s="1" t="e">
        <f ca="1">_xll.BDH($C$253,"SHORT_TERM_DEBT_5_YEAR_GROWTH","FQ2 2018","FQ2 2018","Currency=INR","Period=FQ","BEST_FPERIOD_OVERRIDE=FQ","FILING_STATUS=OR","EQY_CONSOLIDATED=Y","Sort=A","Dates=H","DateFormat=P","Fill=—","Direction=H","UseDPDF=Y")</f>
        <v>#NAME?</v>
      </c>
      <c r="BA275" s="1" t="e">
        <f ca="1">_xll.BDH($C$253,"TOTAL_DEBT_5_YEAR_GROWTH","FQ2 2018","FQ2 2018","Currency=INR","Period=FQ","BEST_FPERIOD_OVERRIDE=FQ","FILING_STATUS=OR","EQY_CONSOLIDATED=Y","Sort=A","Dates=H","DateFormat=P","Fill=—","Direction=H","UseDPDF=Y")</f>
        <v>#NAME?</v>
      </c>
      <c r="BB275" s="1" t="e">
        <f ca="1">_xll.BDH($C$253,"GEO_GROW_TOT_SHRHLDR_EQY","FQ2 2018","FQ2 2018","Currency=INR","Period=FQ","BEST_FPERIOD_OVERRIDE=FQ","FILING_STATUS=OR","EQY_CONSOLIDATED=Y","Sort=A","Dates=H","DateFormat=P","Fill=—","Direction=H","UseDPDF=Y")</f>
        <v>#NAME?</v>
      </c>
      <c r="BC275" s="1" t="e">
        <f ca="1">_xll.BDH($C$253,"TOTAL_CAPITAL_5_YEAR_GROWTH","FQ2 2018","FQ2 2018","Currency=INR","Period=FQ","BEST_FPERIOD_OVERRIDE=FQ","FILING_STATUS=OR","EQY_CONSOLIDATED=Y","Sort=A","Dates=H","DateFormat=P","Fill=—","Direction=H","UseDPDF=Y")</f>
        <v>#NAME?</v>
      </c>
      <c r="BD275" s="1" t="e">
        <f ca="1">_xll.BDH($C$253,"GEO_GROW_BOOK_VAL","FQ2 2018","FQ2 2018","Currency=INR","Period=FQ","BEST_FPERIOD_OVERRIDE=FQ","FILING_STATUS=OR","EQY_CONSOLIDATED=Y","Sort=A","Dates=H","DateFormat=P","Fill=—","Direction=H","UseDPDF=Y")</f>
        <v>#NAME?</v>
      </c>
      <c r="BE275" s="1" t="e">
        <f ca="1">_xll.BDH($C$253,"GEO_GROW_CASH_OPER_ACT","FQ2 2018","FQ2 2018","Currency=INR","Period=FQ","BEST_FPERIOD_OVERRIDE=FQ","FILING_STATUS=OR","EQY_CONSOLIDATED=Y","Sort=A","Dates=H","DateFormat=P","Fill=—","Direction=H","UseDPDF=Y")</f>
        <v>#NAME?</v>
      </c>
      <c r="BF275" s="1" t="e">
        <f ca="1">_xll.BDH($C$253,"REVENUE_SEQUENTIAL_GROWTH","FQ2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75" s="1" t="e">
        <f ca="1">_xll.BDH($C$253,"EBITDA_SEQUENTIAL_GROWTH","FQ2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75" s="1" t="e">
        <f ca="1">_xll.BDH($C$253,"OPERATING_INCOME_SEQ_GROWTH","FQ2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75" s="1" t="e">
        <f ca="1">_xll.BDH($C$253,"NET_INCOME_TO_COMMON_SEQ_GROWTH","FQ2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75" s="1" t="e">
        <f ca="1">_xll.BDH($C$253,"EPS_DILUTED_SEQUENTIAL_GROWTH","FQ2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75" s="1" t="e">
        <f ca="1">_xll.BDH($C$253,"DPS_SEQUENTIAL_GROWTH","FQ2 2018","FQ2 2018","Currency=INR","Period=FQ","BEST_FPERIOD_OVERRIDE=FQ","FILING_STATUS=OR","EQY_CONSOLIDATED=Y","Sort=A","Dates=H","DateFormat=P","Fill=—","Direction=H","UseDPDF=Y")</f>
        <v>#NAME?</v>
      </c>
      <c r="BL275" s="1" t="e">
        <f ca="1">_xll.BDH($C$253,"ACCOUNTS_RECEIVABLE_SEQ_GROWTH","FQ2 2018","FQ2 2018","Currency=INR","Period=FQ","BEST_FPERIOD_OVERRIDE=FQ","FILING_STATUS=OR","EQY_CONSOLIDATED=Y","Sort=A","Dates=H","DateFormat=P","Fill=—","Direction=H","UseDPDF=Y")</f>
        <v>#NAME?</v>
      </c>
      <c r="BM275" s="1" t="e">
        <f ca="1">_xll.BDH($C$253,"INVENTORY_SEQUENTIAL_GROWTH","FQ2 2018","FQ2 2018","Currency=INR","Period=FQ","BEST_FPERIOD_OVERRIDE=FQ","FILING_STATUS=OR","EQY_CONSOLIDATED=Y","Sort=A","Dates=H","DateFormat=P","Fill=—","Direction=H","UseDPDF=Y")</f>
        <v>#NAME?</v>
      </c>
      <c r="BN275" s="1" t="e">
        <f ca="1">_xll.BDH($C$253,"FIXED_ASSETS_SEQUENTIAL_GROWTH","FQ2 2018","FQ2 2018","Currency=INR","Period=FQ","BEST_FPERIOD_OVERRIDE=FQ","FILING_STATUS=OR","EQY_CONSOLIDATED=Y","Sort=A","Dates=H","DateFormat=P","Fill=—","Direction=H","UseDPDF=Y")</f>
        <v>#NAME?</v>
      </c>
      <c r="BO275" s="1" t="e">
        <f ca="1">_xll.BDH($C$253,"TOTAL_ASSETS_SEQUENTIAL_GROWTH","FQ2 2018","FQ2 2018","Currency=INR","Period=FQ","BEST_FPERIOD_OVERRIDE=FQ","FILING_STATUS=OR","EQY_CONSOLIDATED=Y","Sort=A","Dates=H","DateFormat=P","Fill=—","Direction=H","UseDPDF=Y")</f>
        <v>#NAME?</v>
      </c>
      <c r="BP275" s="1" t="e">
        <f ca="1">_xll.BDH($C$253,"MODIFIED_WORKING_CPTL_SEQ_GRWTH","FQ2 2018","FQ2 2018","Currency=INR","Period=FQ","BEST_FPERIOD_OVERRIDE=FQ","FILING_STATUS=OR","EQY_CONSOLIDATED=Y","Sort=A","Dates=H","DateFormat=P","Fill=—","Direction=H","UseDPDF=Y")</f>
        <v>#NAME?</v>
      </c>
      <c r="BQ275" s="1" t="e">
        <f ca="1">_xll.BDH($C$253,"WORKING_CAPITAL_SEQ_GROWTH","FQ2 2018","FQ2 2018","Currency=INR","Period=FQ","BEST_FPERIOD_OVERRIDE=FQ","FILING_STATUS=OR","EQY_CONSOLIDATED=Y","Sort=A","Dates=H","DateFormat=P","Fill=—","Direction=H","UseDPDF=Y")</f>
        <v>#NAME?</v>
      </c>
      <c r="BR275" s="1" t="e">
        <f ca="1">_xll.BDH($C$253,"ACCOUNTS_PAYABLE_SEQ_GROWTH","FQ2 2018","FQ2 2018","Currency=INR","Period=FQ","BEST_FPERIOD_OVERRIDE=FQ","FILING_STATUS=OR","EQY_CONSOLIDATED=Y","Sort=A","Dates=H","DateFormat=P","Fill=—","Direction=H","UseDPDF=Y")</f>
        <v>#NAME?</v>
      </c>
      <c r="BS275" s="1" t="e">
        <f ca="1">_xll.BDH($C$253,"ST_DEBT_SEQUENTIAL_GROWTH","FQ2 2018","FQ2 2018","Currency=INR","Period=FQ","BEST_FPERIOD_OVERRIDE=FQ","FILING_STATUS=OR","EQY_CONSOLIDATED=Y","Sort=A","Dates=H","DateFormat=P","Fill=—","Direction=H","UseDPDF=Y")</f>
        <v>#NAME?</v>
      </c>
      <c r="BT275" s="1" t="e">
        <f ca="1">_xll.BDH($C$253,"TOTAL_DEBT_SEQUENTIAL_GROWTH","FQ2 2018","FQ2 2018","Currency=INR","Period=FQ","BEST_FPERIOD_OVERRIDE=FQ","FILING_STATUS=OR","EQY_CONSOLIDATED=Y","Sort=A","Dates=H","DateFormat=P","Fill=—","Direction=H","UseDPDF=Y")</f>
        <v>#NAME?</v>
      </c>
      <c r="BU275" s="1" t="e">
        <f ca="1">_xll.BDH($C$253,"TOTAL_EQUITY_SEQUENTIAL_GROWTH","FQ2 2018","FQ2 2018","Currency=INR","Period=FQ","BEST_FPERIOD_OVERRIDE=FQ","FILING_STATUS=OR","EQY_CONSOLIDATED=Y","Sort=A","Dates=H","DateFormat=P","Fill=—","Direction=H","UseDPDF=Y")</f>
        <v>#NAME?</v>
      </c>
      <c r="BV275" s="1" t="e">
        <f ca="1">_xll.BDH($C$253,"TOTAL_CAPITAL_SEQUENTIAL_GROWTH","FQ2 2018","FQ2 2018","Currency=INR","Period=FQ","BEST_FPERIOD_OVERRIDE=FQ","FILING_STATUS=OR","EQY_CONSOLIDATED=Y","Sort=A","Dates=H","DateFormat=P","Fill=—","Direction=H","UseDPDF=Y")</f>
        <v>#NAME?</v>
      </c>
      <c r="BW275" s="1" t="e">
        <f ca="1">_xll.BDH($C$253,"BPS_SEQUENTIAL_GROWTH","FQ2 2018","FQ2 2018","Currency=INR","Period=FQ","BEST_FPERIOD_OVERRIDE=FQ","FILING_STATUS=OR","EQY_CONSOLIDATED=Y","Sort=A","Dates=H","DateFormat=P","Fill=—","Direction=H","UseDPDF=Y")</f>
        <v>#NAME?</v>
      </c>
      <c r="BX275" s="1" t="e">
        <f ca="1">_xll.BDH($C$253,"CFO_SEQUENTIAL_GROWTH","FQ2 2018","FQ2 2018","Currency=INR","Period=FQ","BEST_FPERIOD_OVERRIDE=FQ","FILING_STATUS=OR","EQY_CONSOLIDATED=Y","Sort=A","Dates=H","DateFormat=P","Fill=—","Direction=H","UseDPDF=Y")</f>
        <v>#NAME?</v>
      </c>
      <c r="BY275" s="2" t="e">
        <f ca="1">_xll.BDH($C$253,"SHORT_AND_LONG_TERM_DEBT","FQ2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75" s="2" t="e">
        <f ca="1">_xll.BDH($C$253,"BS_ST_BORROW","FQ2 2018","FQ2 2018","Currency=INR","Period=FQ","BEST_FPERIOD_OVERRIDE=FQ","FILING_STATUS=OR","EQY_CONSOLIDATED=Y","SCALING_FORMAT=MLN","Sort=A","Dates=H","DateFormat=P","Fill=—","Direction=H","UseDPDF=Y")</f>
        <v>#NAME?</v>
      </c>
      <c r="CA275" s="2" t="e">
        <f ca="1">_xll.BDH($C$253,"BS_LT_BORROW","FQ2 2018","FQ2 2018","Currency=INR","Period=FQ","BEST_FPERIOD_OVERRIDE=FQ","FILING_STATUS=OR","EQY_CONSOLIDATED=Y","SCALING_FORMAT=MLN","Sort=A","Dates=H","DateFormat=P","Fill=—","Direction=H","UseDPDF=Y")</f>
        <v>#NAME?</v>
      </c>
      <c r="CB275" s="1" t="e">
        <f ca="1">_xll.BDH($C$253,"TOT_DEBT_TO_EBITDA","FQ2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75" s="1" t="e">
        <f ca="1">_xll.BDH($C$253,"NET_DEBT_TO_EBITDA","FQ2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75" s="1" t="e">
        <f ca="1">_xll.BDH($C$253,"TOTAL_DEBT_TO_EBIT","FQ2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75" s="1" t="e">
        <f ca="1">_xll.BDH($C$253,"NET_DEBT_TO_EBIT","FQ2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275" s="1" t="e">
        <f ca="1">_xll.BDH($C$253,"EBITDA_TO_INTEREST_EXPN","FQ2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75" s="1" t="e">
        <f ca="1">_xll.BDH($C$253,"COM_EQY_TO_TOT_ASSET","FQ2 2018","FQ2 2018","Currency=INR","Period=FQ","BEST_FPERIOD_OVERRIDE=FQ","FILING_STATUS=OR","EQY_CONSOLIDATED=Y","Sort=A","Dates=H","DateFormat=P","Fill=—","Direction=H","UseDPDF=Y")</f>
        <v>#NAME?</v>
      </c>
      <c r="CH275" s="1" t="e">
        <f ca="1">_xll.BDH($C$253,"LT_DEBT_TO_TOT_EQY","FQ2 2018","FQ2 2018","Currency=INR","Period=FQ","BEST_FPERIOD_OVERRIDE=FQ","FILING_STATUS=OR","EQY_CONSOLIDATED=Y","Sort=A","Dates=H","DateFormat=P","Fill=—","Direction=H","UseDPDF=Y")</f>
        <v>#NAME?</v>
      </c>
      <c r="CI275" s="1" t="e">
        <f ca="1">_xll.BDH($C$253,"LT_DEBT_TO_TOT_CAP","FQ2 2018","FQ2 2018","Currency=INR","Period=FQ","BEST_FPERIOD_OVERRIDE=FQ","FILING_STATUS=OR","EQY_CONSOLIDATED=Y","Sort=A","Dates=H","DateFormat=P","Fill=—","Direction=H","UseDPDF=Y")</f>
        <v>#NAME?</v>
      </c>
      <c r="CJ275" s="1" t="e">
        <f ca="1">_xll.BDH($C$253,"LT_DEBT_TO_TOT_ASSET","FQ2 2018","FQ2 2018","Currency=INR","Period=FQ","BEST_FPERIOD_OVERRIDE=FQ","FILING_STATUS=OR","EQY_CONSOLIDATED=Y","Sort=A","Dates=H","DateFormat=P","Fill=—","Direction=H","UseDPDF=Y")</f>
        <v>#NAME?</v>
      </c>
      <c r="CK275" s="1" t="e">
        <f ca="1">_xll.BDH($C$253,"TOT_DEBT_TO_TOT_EQY","FQ2 2018","FQ2 2018","Currency=INR","Period=FQ","BEST_FPERIOD_OVERRIDE=FQ","FILING_STATUS=OR","EQY_CONSOLIDATED=Y","Sort=A","Dates=H","DateFormat=P","Fill=—","Direction=H","UseDPDF=Y")</f>
        <v>#NAME?</v>
      </c>
      <c r="CL275" s="1" t="e">
        <f ca="1">_xll.BDH($C$253,"TOT_DEBT_TO_TOT_CAP","FQ2 2018","FQ2 2018","Currency=INR","Period=FQ","BEST_FPERIOD_OVERRIDE=FQ","FILING_STATUS=OR","EQY_CONSOLIDATED=Y","Sort=A","Dates=H","DateFormat=P","Fill=—","Direction=H","UseDPDF=Y")</f>
        <v>#NAME?</v>
      </c>
      <c r="CM275" s="1" t="e">
        <f ca="1">_xll.BDH($C$253,"TOT_DEBT_TO_TOT_ASSET","FQ2 2018","FQ2 2018","Currency=INR","Period=FQ","BEST_FPERIOD_OVERRIDE=FQ","FILING_STATUS=OR","EQY_CONSOLIDATED=Y","Sort=A","Dates=H","DateFormat=P","Fill=—","Direction=H","UseDPDF=Y")</f>
        <v>#NAME?</v>
      </c>
      <c r="CN275" s="1" t="e">
        <f ca="1">_xll.BDH($C$253,"NET_DEBT_TO_SHRHLDR_EQTY","FQ2 2018","FQ2 2018","Currency=INR","Period=FQ","BEST_FPERIOD_OVERRIDE=FQ","FILING_STATUS=OR","EQY_CONSOLIDATED=Y","Sort=A","Dates=H","DateFormat=P","Fill=—","Direction=H","UseDPDF=Y")</f>
        <v>#NAME?</v>
      </c>
      <c r="CO275" s="1" t="e">
        <f ca="1">_xll.BDH($C$253,"NET_DEBT_%_CAPITAL","FQ2 2018","FQ2 2018","Currency=INR","Period=FQ","BEST_FPERIOD_OVERRIDE=FQ","FILING_STATUS=OR","EQY_CONSOLIDATED=Y","Sort=A","Dates=H","DateFormat=P","Fill=—","Direction=H","UseDPDF=Y")</f>
        <v>#NAME?</v>
      </c>
      <c r="CP275" s="2" t="e">
        <f ca="1">_xll.BDH($C$253,"EBITDA","FQ2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75" s="2" t="e">
        <f ca="1">_xll.BDH($C$253,"EBITDA_AFTER_CAPEX","FQ2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75" s="2" t="e">
        <f ca="1">_xll.BDH($C$253,"IS_OPER_INC","FQ2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75" s="1" t="e">
        <f ca="1">_xll.BDH($C$253,"CASH_RATIO","FQ2 2018","FQ2 2018","Currency=INR","Period=FQ","BEST_FPERIOD_OVERRIDE=FQ","FILING_STATUS=OR","EQY_CONSOLIDATED=Y","Sort=A","Dates=H","DateFormat=P","Fill=—","Direction=H","UseDPDF=Y")</f>
        <v>#NAME?</v>
      </c>
      <c r="CT275" s="1" t="e">
        <f ca="1">_xll.BDH($C$253,"CUR_RATIO","FQ2 2018","FQ2 2018","Currency=INR","Period=FQ","BEST_FPERIOD_OVERRIDE=FQ","FILING_STATUS=OR","EQY_CONSOLIDATED=Y","Sort=A","Dates=H","DateFormat=P","Fill=—","Direction=H","UseDPDF=Y")</f>
        <v>#NAME?</v>
      </c>
      <c r="CU275" s="1" t="e">
        <f ca="1">_xll.BDH($C$253,"QUICK_RATIO","FQ2 2018","FQ2 2018","Currency=INR","Period=FQ","BEST_FPERIOD_OVERRIDE=FQ","FILING_STATUS=OR","EQY_CONSOLIDATED=Y","Sort=A","Dates=H","DateFormat=P","Fill=—","Direction=H","UseDPDF=Y")</f>
        <v>#NAME?</v>
      </c>
      <c r="CV275" s="1" t="e">
        <f ca="1">_xll.BDH($C$253,"ALTMAN_Z_SCORE","FQ2 2018","FQ2 2018","Currency=INR","Period=FQ","BEST_FPERIOD_OVERRIDE=FQ","FILING_STATUS=OR","EQY_CONSOLIDATED=Y","Sort=A","Dates=H","DateFormat=P","Fill=—","Direction=H","UseDPDF=Y")</f>
        <v>#NAME?</v>
      </c>
      <c r="CW275" s="3" t="e">
        <f ca="1">_xll.BDH($C$253,"ACCT_RCV_TURN","FQ2 2018","FQ2 2018","Currency=INR","Period=FQ","BEST_FPERIOD_OVERRIDE=FQ","FILING_STATUS=OR","EQY_CONSOLIDATED=Y","FA_ADJUSTED=GAAP","Sort=A","Dates=H","DateFormat=P","Fill=—","Direction=H","UseDPDF=Y")</f>
        <v>#NAME?</v>
      </c>
      <c r="CX275" s="1" t="e">
        <f ca="1">_xll.BDH($C$253,"ACCT_RCV_DAYS","FQ2 2018","FQ2 2018","Currency=INR","Period=FQ","BEST_FPERIOD_OVERRIDE=FQ","FILING_STATUS=OR","EQY_CONSOLIDATED=Y","FA_ADJUSTED=GAAP","Sort=A","Dates=H","DateFormat=P","Fill=—","Direction=H","UseDPDF=Y")</f>
        <v>#NAME?</v>
      </c>
      <c r="CY275" s="3" t="e">
        <f ca="1">_xll.BDH($C$253,"INVENT_TURN","FQ2 2018","FQ2 2018","Currency=INR","Period=FQ","BEST_FPERIOD_OVERRIDE=FQ","FILING_STATUS=OR","EQY_CONSOLIDATED=Y","FA_ADJUSTED=GAAP","Sort=A","Dates=H","DateFormat=P","Fill=—","Direction=H","UseDPDF=Y")</f>
        <v>#NAME?</v>
      </c>
      <c r="CZ275" s="1" t="e">
        <f ca="1">_xll.BDH($C$253,"INVENT_DAYS","FQ2 2018","FQ2 2018","Currency=INR","Period=FQ","BEST_FPERIOD_OVERRIDE=FQ","FILING_STATUS=OR","EQY_CONSOLIDATED=Y","FA_ADJUSTED=GAAP","Sort=A","Dates=H","DateFormat=P","Fill=—","Direction=H","UseDPDF=Y")</f>
        <v>#NAME?</v>
      </c>
      <c r="DA275" s="3" t="e">
        <f ca="1">_xll.BDH($C$253,"ACCOUNTS_PAYABLE_TURNOVER","FQ2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75" s="1" t="e">
        <f ca="1">_xll.BDH($C$253,"ACCOUNTS_PAYABLE_TURNOVER_DAYS","FQ2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75" s="3" t="e">
        <f ca="1">_xll.BDH($C$253,"CASH_CONVERSION_CYCLE","FQ2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75" s="3" t="e">
        <f ca="1">_xll.BDH($C$253,"INV_TO_CASH_DAYS","FQ2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275" s="4" t="e">
        <f ca="1">_xll.BDH($C$253,"BS_INVENTORIES","FQ2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275" s="2" t="e">
        <f ca="1">_xll.BDH($C$253,"INVTRY_RAW_MATERIALS","FQ2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75" s="2" t="e">
        <f ca="1">_xll.BDH($C$253,"INVTRY_IN_PROGRESS","FQ2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75" s="2" t="e">
        <f ca="1">_xll.BDH($C$253,"INVTRY_FINISHED_GOODS","FQ2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75" s="2" t="e">
        <f ca="1">_xll.BDH($C$253,"BS_OTHER_INV","FQ2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76" spans="1:113" x14ac:dyDescent="0.3">
      <c r="A276" s="6"/>
      <c r="B276" s="6"/>
      <c r="C276" s="6"/>
      <c r="D276" s="6"/>
      <c r="E276" t="s">
        <v>6</v>
      </c>
      <c r="F276" t="e">
        <f ca="1">_xll.BDH($C$253,"RETURN_COM_EQY","FQ3 2018","FQ3 2018","Currency=INR","Period=FQ","BEST_FPERIOD_OVERRIDE=FQ","FILING_STATUS=OR","EQY_CONSOLIDATED=Y","FA_ADJUSTED=GAAP","Sort=A","Dates=H","DateFormat=P","Fill=—","Direction=H","UseDPDF=Y")</f>
        <v>#NAME?</v>
      </c>
      <c r="G276" t="e">
        <f ca="1">_xll.BDH($C$253,"RETURN_ON_ASSET","FQ3 2018","FQ3 2018","Currency=INR","Period=FQ","BEST_FPERIOD_OVERRIDE=FQ","FILING_STATUS=OR","EQY_CONSOLIDATED=Y","FA_ADJUSTED=GAAP","Sort=A","Dates=H","DateFormat=P","Fill=—","Direction=H","UseDPDF=Y")</f>
        <v>#NAME?</v>
      </c>
      <c r="H276" t="e">
        <f ca="1">_xll.BDH($C$253,"RETURN_ON_CAP","FQ3 2018","FQ3 2018","Currency=INR","Period=FQ","BEST_FPERIOD_OVERRIDE=FQ","FILING_STATUS=OR","EQY_CONSOLIDATED=Y","FA_ADJUSTED=GAAP","Sort=A","Dates=H","DateFormat=P","Fill=—","Direction=H","UseDPDF=Y")</f>
        <v>#NAME?</v>
      </c>
      <c r="I276" t="e">
        <f ca="1">_xll.BDH($C$253,"RETURN_ON_INV_CAPITAL","FQ3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76" t="e">
        <f ca="1">_xll.BDH($C$253,"EBITDA_TO_REVENUE","FQ3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276" t="e">
        <f ca="1">_xll.BDH($C$253,"OPER_MARGIN","FQ3 2018","FQ3 2018","Currency=INR","Period=FQ","BEST_FPERIOD_OVERRIDE=FQ","FILING_STATUS=OR","EQY_CONSOLIDATED=Y","FA_ADJUSTED=GAAP","Sort=A","Dates=H","DateFormat=P","Fill=—","Direction=H","UseDPDF=Y")</f>
        <v>#NAME?</v>
      </c>
      <c r="L276" t="e">
        <f ca="1">_xll.BDH($C$253,"INCREMENTAL_OPERATING_MARGIN","FQ3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76" t="e">
        <f ca="1">_xll.BDH($C$253,"PRETAX_INC_TO_NET_SALES","FQ3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76" t="e">
        <f ca="1">_xll.BDH($C$253,"INC_BEF_XO_ITEMS_TO_NET_SALES","FQ3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76" t="e">
        <f ca="1">_xll.BDH($C$253,"PROF_MARGIN","FQ3 2018","FQ3 2018","Currency=INR","Period=FQ","BEST_FPERIOD_OVERRIDE=FQ","FILING_STATUS=OR","EQY_CONSOLIDATED=Y","FA_ADJUSTED=GAAP","Sort=A","Dates=H","DateFormat=P","Fill=—","Direction=H","UseDPDF=Y")</f>
        <v>#NAME?</v>
      </c>
      <c r="P276" t="e">
        <f ca="1">_xll.BDH($C$253,"NET_INCOME_TO_COMMON_MARGIN","FQ3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76" t="e">
        <f ca="1">_xll.BDH($C$253,"EFF_TAX_RATE","FQ3 2018","FQ3 2018","Currency=INR","Period=FQ","BEST_FPERIOD_OVERRIDE=FQ","FILING_STATUS=OR","EQY_CONSOLIDATED=Y","FA_ADJUSTED=GAAP","Sort=A","Dates=H","DateFormat=P","Fill=—","Direction=H","UseDPDF=Y")</f>
        <v>#NAME?</v>
      </c>
      <c r="R276" t="e">
        <f ca="1">_xll.BDH($C$253,"DVD_PAYOUT_RATIO","FQ3 2018","FQ3 2018","Currency=INR","Period=FQ","BEST_FPERIOD_OVERRIDE=FQ","FILING_STATUS=OR","EQY_CONSOLIDATED=Y","FA_ADJUSTED=GAAP","Sort=A","Dates=H","DateFormat=P","Fill=—","Direction=H","UseDPDF=Y")</f>
        <v>#NAME?</v>
      </c>
      <c r="S276" t="e">
        <f ca="1">_xll.BDH($C$253,"SUSTAIN_GROWTH_RT","FQ3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276" s="1" t="e">
        <f ca="1">_xll.BDH($C$253,"SALES_GROWTH","FQ3 2018","FQ3 2018","Currency=INR","Period=FQ","BEST_FPERIOD_OVERRIDE=FQ","FILING_STATUS=OR","EQY_CONSOLIDATED=Y","FA_ADJUSTED=GAAP","Sort=A","Dates=H","DateFormat=P","Fill=—","Direction=H","UseDPDF=Y")</f>
        <v>#NAME?</v>
      </c>
      <c r="U276" s="1" t="e">
        <f ca="1">_xll.BDH($C$253,"EBITDA_GROWTH","FQ3 2018","FQ3 2018","Currency=INR","Period=FQ","BEST_FPERIOD_OVERRIDE=FQ","FILING_STATUS=OR","EQY_CONSOLIDATED=Y","FA_ADJUSTED=GAAP","Sort=A","Dates=H","DateFormat=P","Fill=—","Direction=H","UseDPDF=Y")</f>
        <v>#NAME?</v>
      </c>
      <c r="V276" s="1" t="e">
        <f ca="1">_xll.BDH($C$253,"OPER_INC_GROWTH","FQ3 2018","FQ3 2018","Currency=INR","Period=FQ","BEST_FPERIOD_OVERRIDE=FQ","FILING_STATUS=OR","EQY_CONSOLIDATED=Y","FA_ADJUSTED=GAAP","Sort=A","Dates=H","DateFormat=P","Fill=—","Direction=H","UseDPDF=Y")</f>
        <v>#NAME?</v>
      </c>
      <c r="W276" s="1" t="e">
        <f ca="1">_xll.BDH($C$253,"EARN_FOR_COM_GROWTH","FQ3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76" s="1" t="e">
        <f ca="1">_xll.BDH($C$253,"DILUTED_EPS_AFT_XO_ITEMS_GROWTH","FQ3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76" s="1" t="e">
        <f ca="1">_xll.BDH($C$253,"DIVIDEND_PER_SHARE_1_YEAR_GROWTH","FQ3 2018","FQ3 2018","Currency=INR","Period=FQ","BEST_FPERIOD_OVERRIDE=FQ","FILING_STATUS=OR","EQY_CONSOLIDATED=Y","Sort=A","Dates=H","DateFormat=P","Fill=—","Direction=H","UseDPDF=Y")</f>
        <v>#NAME?</v>
      </c>
      <c r="Z276" s="1" t="e">
        <f ca="1">_xll.BDH($C$253,"ACCOUNTS_RECEIVABLE_GROWTH","FQ3 2018","FQ3 2018","Currency=INR","Period=FQ","BEST_FPERIOD_OVERRIDE=FQ","FILING_STATUS=OR","EQY_CONSOLIDATED=Y","Sort=A","Dates=H","DateFormat=P","Fill=—","Direction=H","UseDPDF=Y")</f>
        <v>#NAME?</v>
      </c>
      <c r="AA276" s="1" t="e">
        <f ca="1">_xll.BDH($C$253,"INVENTORY_GROWTH","FQ3 2018","FQ3 2018","Currency=INR","Period=FQ","BEST_FPERIOD_OVERRIDE=FQ","FILING_STATUS=OR","EQY_CONSOLIDATED=Y","Sort=A","Dates=H","DateFormat=P","Fill=—","Direction=H","UseDPDF=Y")</f>
        <v>#NAME?</v>
      </c>
      <c r="AB276" s="1" t="e">
        <f ca="1">_xll.BDH($C$253,"NET_FIXED_ASSETS_1_YEAR_GROWTH","FQ3 2018","FQ3 2018","Currency=INR","Period=FQ","BEST_FPERIOD_OVERRIDE=FQ","FILING_STATUS=OR","EQY_CONSOLIDATED=Y","Sort=A","Dates=H","DateFormat=P","Fill=—","Direction=H","UseDPDF=Y")</f>
        <v>#NAME?</v>
      </c>
      <c r="AC276" s="1" t="e">
        <f ca="1">_xll.BDH($C$253,"ASSET_GROWTH","FQ3 2018","FQ3 2018","Currency=INR","Period=FQ","BEST_FPERIOD_OVERRIDE=FQ","FILING_STATUS=OR","EQY_CONSOLIDATED=Y","Sort=A","Dates=H","DateFormat=P","Fill=—","Direction=H","UseDPDF=Y")</f>
        <v>#NAME?</v>
      </c>
      <c r="AD276" s="1" t="e">
        <f ca="1">_xll.BDH($C$253,"MODIFIED_WORK_CAP_GROWTH","FQ3 2018","FQ3 2018","Currency=INR","Period=FQ","BEST_FPERIOD_OVERRIDE=FQ","FILING_STATUS=OR","EQY_CONSOLIDATED=Y","Sort=A","Dates=H","DateFormat=P","Fill=—","Direction=H","UseDPDF=Y")</f>
        <v>#NAME?</v>
      </c>
      <c r="AE276" s="1" t="e">
        <f ca="1">_xll.BDH($C$253,"WORK_CAP_GROWTH","FQ3 2018","FQ3 2018","Currency=INR","Period=FQ","BEST_FPERIOD_OVERRIDE=FQ","FILING_STATUS=OR","EQY_CONSOLIDATED=Y","Sort=A","Dates=H","DateFormat=P","Fill=—","Direction=H","UseDPDF=Y")</f>
        <v>#NAME?</v>
      </c>
      <c r="AF276" s="1" t="e">
        <f ca="1">_xll.BDH($C$253,"ACCOUNTS_PAYABLE_GROWTH_1YR","FQ3 2018","FQ3 2018","Currency=INR","Period=FQ","BEST_FPERIOD_OVERRIDE=FQ","FILING_STATUS=OR","EQY_CONSOLIDATED=Y","Sort=A","Dates=H","DateFormat=P","Fill=—","Direction=H","UseDPDF=Y")</f>
        <v>#NAME?</v>
      </c>
      <c r="AG276" s="1" t="e">
        <f ca="1">_xll.BDH($C$253,"SHORT_TERM_DEBT_1_YEAR_GROWTH","FQ3 2018","FQ3 2018","Currency=INR","Period=FQ","BEST_FPERIOD_OVERRIDE=FQ","FILING_STATUS=OR","EQY_CONSOLIDATED=Y","Sort=A","Dates=H","DateFormat=P","Fill=—","Direction=H","UseDPDF=Y")</f>
        <v>#NAME?</v>
      </c>
      <c r="AH276" s="1" t="e">
        <f ca="1">_xll.BDH($C$253,"TOTAL_DEBT_1_YEAR_GROWTH","FQ3 2018","FQ3 2018","Currency=INR","Period=FQ","BEST_FPERIOD_OVERRIDE=FQ","FILING_STATUS=OR","EQY_CONSOLIDATED=Y","Sort=A","Dates=H","DateFormat=P","Fill=—","Direction=H","UseDPDF=Y")</f>
        <v>#NAME?</v>
      </c>
      <c r="AI276" s="1" t="e">
        <f ca="1">_xll.BDH($C$253,"TOTAL_EQUITY_1_YEAR_GROWTH","FQ3 2018","FQ3 2018","Currency=INR","Period=FQ","BEST_FPERIOD_OVERRIDE=FQ","FILING_STATUS=OR","EQY_CONSOLIDATED=Y","Sort=A","Dates=H","DateFormat=P","Fill=—","Direction=H","UseDPDF=Y")</f>
        <v>#NAME?</v>
      </c>
      <c r="AJ276" s="1" t="e">
        <f ca="1">_xll.BDH($C$253,"GROWTH_IN_CAP","FQ3 2018","FQ3 2018","Currency=INR","Period=FQ","BEST_FPERIOD_OVERRIDE=FQ","FILING_STATUS=OR","EQY_CONSOLIDATED=Y","Sort=A","Dates=H","DateFormat=P","Fill=—","Direction=H","UseDPDF=Y")</f>
        <v>#NAME?</v>
      </c>
      <c r="AK276" s="1" t="e">
        <f ca="1">_xll.BDH($C$253,"BVPS_GROWTH","FQ3 2018","FQ3 2018","Currency=INR","Period=FQ","BEST_FPERIOD_OVERRIDE=FQ","FILING_STATUS=OR","EQY_CONSOLIDATED=Y","Sort=A","Dates=H","DateFormat=P","Fill=—","Direction=H","UseDPDF=Y")</f>
        <v>#NAME?</v>
      </c>
      <c r="AL276" s="1" t="e">
        <f ca="1">_xll.BDH($C$253,"CASH_FLOW_GROWTH","FQ3 2018","FQ3 2018","Currency=INR","Period=FQ","BEST_FPERIOD_OVERRIDE=FQ","FILING_STATUS=OR","EQY_CONSOLIDATED=Y","Sort=A","Dates=H","DateFormat=P","Fill=—","Direction=H","UseDPDF=Y")</f>
        <v>#NAME?</v>
      </c>
      <c r="AM276" s="1" t="e">
        <f ca="1">_xll.BDH($C$253,"GEO_GROW_NET_SALES","FQ3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76" s="1" t="e">
        <f ca="1">_xll.BDH($C$253,"GEO_GROW_EBITDA","FQ3 2018","FQ3 2018","Currency=INR","Period=FQ","BEST_FPERIOD_OVERRIDE=FQ","FILING_STATUS=OR","EQY_CONSOLIDATED=Y","FA_ADJUSTED=GAAP","Sort=A","Dates=H","DateFormat=P","Fill=—","Direction=H","UseDPDF=Y")</f>
        <v>#NAME?</v>
      </c>
      <c r="AO276" s="1" t="e">
        <f ca="1">_xll.BDH($C$253,"GEO_GROW_OPER_INC","FQ3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76" s="1" t="e">
        <f ca="1">_xll.BDH($C$253,"NET_INCOME_TO_COMMON_5_YR_GROWTH","FQ3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76" s="1" t="e">
        <f ca="1">_xll.BDH($C$253,"5Y_GEO_GROWTH_DILUTED_EPS","FQ3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76" s="1" t="e">
        <f ca="1">_xll.BDH($C$253,"GEO_GROW_DVD_PER_SH","FQ3 2018","FQ3 2018","Currency=INR","Period=FQ","BEST_FPERIOD_OVERRIDE=FQ","FILING_STATUS=OR","EQY_CONSOLIDATED=Y","Sort=A","Dates=H","DateFormat=P","Fill=—","Direction=H","UseDPDF=Y")</f>
        <v>#NAME?</v>
      </c>
      <c r="AS276" s="1" t="e">
        <f ca="1">_xll.BDH($C$253,"ACCOUNTS_RECEIVABLE_5_YR_GROWTH","FQ3 2018","FQ3 2018","Currency=INR","Period=FQ","BEST_FPERIOD_OVERRIDE=FQ","FILING_STATUS=OR","EQY_CONSOLIDATED=Y","Sort=A","Dates=H","DateFormat=P","Fill=—","Direction=H","UseDPDF=Y")</f>
        <v>#NAME?</v>
      </c>
      <c r="AT276" s="1" t="e">
        <f ca="1">_xll.BDH($C$253,"INVENTORY_5_YEAR_GROWTH","FQ3 2018","FQ3 2018","Currency=INR","Period=FQ","BEST_FPERIOD_OVERRIDE=FQ","FILING_STATUS=OR","EQY_CONSOLIDATED=Y","Sort=A","Dates=H","DateFormat=P","Fill=—","Direction=H","UseDPDF=Y")</f>
        <v>#NAME?</v>
      </c>
      <c r="AU276" s="1" t="e">
        <f ca="1">_xll.BDH($C$253,"NET_FIXED_ASSETS_5_YEAR_GROWTH","FQ3 2018","FQ3 2018","Currency=INR","Period=FQ","BEST_FPERIOD_OVERRIDE=FQ","FILING_STATUS=OR","EQY_CONSOLIDATED=Y","Sort=A","Dates=H","DateFormat=P","Fill=—","Direction=H","UseDPDF=Y")</f>
        <v>#NAME?</v>
      </c>
      <c r="AV276" s="1" t="e">
        <f ca="1">_xll.BDH($C$253,"GEO_GROW_TOT_ASSET","FQ3 2018","FQ3 2018","Currency=INR","Period=FQ","BEST_FPERIOD_OVERRIDE=FQ","FILING_STATUS=OR","EQY_CONSOLIDATED=Y","Sort=A","Dates=H","DateFormat=P","Fill=—","Direction=H","UseDPDF=Y")</f>
        <v>#NAME?</v>
      </c>
      <c r="AW276" s="1" t="e">
        <f ca="1">_xll.BDH($C$253,"MODIFIED_WORKING_CPTL_5YR_GRWTH","FQ3 2018","FQ3 2018","Currency=INR","Period=FQ","BEST_FPERIOD_OVERRIDE=FQ","FILING_STATUS=OR","EQY_CONSOLIDATED=Y","Sort=A","Dates=H","DateFormat=P","Fill=—","Direction=H","UseDPDF=Y")</f>
        <v>#NAME?</v>
      </c>
      <c r="AX276" s="1" t="e">
        <f ca="1">_xll.BDH($C$253,"WORKING_CAPITAL_5_YEAR_GROWTH","FQ3 2018","FQ3 2018","Currency=INR","Period=FQ","BEST_FPERIOD_OVERRIDE=FQ","FILING_STATUS=OR","EQY_CONSOLIDATED=Y","Sort=A","Dates=H","DateFormat=P","Fill=—","Direction=H","UseDPDF=Y")</f>
        <v>#NAME?</v>
      </c>
      <c r="AY276" s="1" t="e">
        <f ca="1">_xll.BDH($C$253,"ACCOUNTS_PAYABLE_5_YEAR_GROWTH","FQ3 2018","FQ3 2018","Currency=INR","Period=FQ","BEST_FPERIOD_OVERRIDE=FQ","FILING_STATUS=OR","EQY_CONSOLIDATED=Y","Sort=A","Dates=H","DateFormat=P","Fill=—","Direction=H","UseDPDF=Y")</f>
        <v>#NAME?</v>
      </c>
      <c r="AZ276" s="1" t="e">
        <f ca="1">_xll.BDH($C$253,"SHORT_TERM_DEBT_5_YEAR_GROWTH","FQ3 2018","FQ3 2018","Currency=INR","Period=FQ","BEST_FPERIOD_OVERRIDE=FQ","FILING_STATUS=OR","EQY_CONSOLIDATED=Y","Sort=A","Dates=H","DateFormat=P","Fill=—","Direction=H","UseDPDF=Y")</f>
        <v>#NAME?</v>
      </c>
      <c r="BA276" s="1" t="e">
        <f ca="1">_xll.BDH($C$253,"TOTAL_DEBT_5_YEAR_GROWTH","FQ3 2018","FQ3 2018","Currency=INR","Period=FQ","BEST_FPERIOD_OVERRIDE=FQ","FILING_STATUS=OR","EQY_CONSOLIDATED=Y","Sort=A","Dates=H","DateFormat=P","Fill=—","Direction=H","UseDPDF=Y")</f>
        <v>#NAME?</v>
      </c>
      <c r="BB276" s="1" t="e">
        <f ca="1">_xll.BDH($C$253,"GEO_GROW_TOT_SHRHLDR_EQY","FQ3 2018","FQ3 2018","Currency=INR","Period=FQ","BEST_FPERIOD_OVERRIDE=FQ","FILING_STATUS=OR","EQY_CONSOLIDATED=Y","Sort=A","Dates=H","DateFormat=P","Fill=—","Direction=H","UseDPDF=Y")</f>
        <v>#NAME?</v>
      </c>
      <c r="BC276" s="1" t="e">
        <f ca="1">_xll.BDH($C$253,"TOTAL_CAPITAL_5_YEAR_GROWTH","FQ3 2018","FQ3 2018","Currency=INR","Period=FQ","BEST_FPERIOD_OVERRIDE=FQ","FILING_STATUS=OR","EQY_CONSOLIDATED=Y","Sort=A","Dates=H","DateFormat=P","Fill=—","Direction=H","UseDPDF=Y")</f>
        <v>#NAME?</v>
      </c>
      <c r="BD276" s="1" t="e">
        <f ca="1">_xll.BDH($C$253,"GEO_GROW_BOOK_VAL","FQ3 2018","FQ3 2018","Currency=INR","Period=FQ","BEST_FPERIOD_OVERRIDE=FQ","FILING_STATUS=OR","EQY_CONSOLIDATED=Y","Sort=A","Dates=H","DateFormat=P","Fill=—","Direction=H","UseDPDF=Y")</f>
        <v>#NAME?</v>
      </c>
      <c r="BE276" s="1" t="e">
        <f ca="1">_xll.BDH($C$253,"GEO_GROW_CASH_OPER_ACT","FQ3 2018","FQ3 2018","Currency=INR","Period=FQ","BEST_FPERIOD_OVERRIDE=FQ","FILING_STATUS=OR","EQY_CONSOLIDATED=Y","Sort=A","Dates=H","DateFormat=P","Fill=—","Direction=H","UseDPDF=Y")</f>
        <v>#NAME?</v>
      </c>
      <c r="BF276" s="1" t="e">
        <f ca="1">_xll.BDH($C$253,"REVENUE_SEQUENTIAL_GROWTH","FQ3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76" s="1" t="e">
        <f ca="1">_xll.BDH($C$253,"EBITDA_SEQUENTIAL_GROWTH","FQ3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76" s="1" t="e">
        <f ca="1">_xll.BDH($C$253,"OPERATING_INCOME_SEQ_GROWTH","FQ3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76" s="1" t="e">
        <f ca="1">_xll.BDH($C$253,"NET_INCOME_TO_COMMON_SEQ_GROWTH","FQ3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76" s="1" t="e">
        <f ca="1">_xll.BDH($C$253,"EPS_DILUTED_SEQUENTIAL_GROWTH","FQ3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76" s="1" t="e">
        <f ca="1">_xll.BDH($C$253,"DPS_SEQUENTIAL_GROWTH","FQ3 2018","FQ3 2018","Currency=INR","Period=FQ","BEST_FPERIOD_OVERRIDE=FQ","FILING_STATUS=OR","EQY_CONSOLIDATED=Y","Sort=A","Dates=H","DateFormat=P","Fill=—","Direction=H","UseDPDF=Y")</f>
        <v>#NAME?</v>
      </c>
      <c r="BL276" s="1" t="e">
        <f ca="1">_xll.BDH($C$253,"ACCOUNTS_RECEIVABLE_SEQ_GROWTH","FQ3 2018","FQ3 2018","Currency=INR","Period=FQ","BEST_FPERIOD_OVERRIDE=FQ","FILING_STATUS=OR","EQY_CONSOLIDATED=Y","Sort=A","Dates=H","DateFormat=P","Fill=—","Direction=H","UseDPDF=Y")</f>
        <v>#NAME?</v>
      </c>
      <c r="BM276" s="1" t="e">
        <f ca="1">_xll.BDH($C$253,"INVENTORY_SEQUENTIAL_GROWTH","FQ3 2018","FQ3 2018","Currency=INR","Period=FQ","BEST_FPERIOD_OVERRIDE=FQ","FILING_STATUS=OR","EQY_CONSOLIDATED=Y","Sort=A","Dates=H","DateFormat=P","Fill=—","Direction=H","UseDPDF=Y")</f>
        <v>#NAME?</v>
      </c>
      <c r="BN276" s="1" t="e">
        <f ca="1">_xll.BDH($C$253,"FIXED_ASSETS_SEQUENTIAL_GROWTH","FQ3 2018","FQ3 2018","Currency=INR","Period=FQ","BEST_FPERIOD_OVERRIDE=FQ","FILING_STATUS=OR","EQY_CONSOLIDATED=Y","Sort=A","Dates=H","DateFormat=P","Fill=—","Direction=H","UseDPDF=Y")</f>
        <v>#NAME?</v>
      </c>
      <c r="BO276" s="1" t="e">
        <f ca="1">_xll.BDH($C$253,"TOTAL_ASSETS_SEQUENTIAL_GROWTH","FQ3 2018","FQ3 2018","Currency=INR","Period=FQ","BEST_FPERIOD_OVERRIDE=FQ","FILING_STATUS=OR","EQY_CONSOLIDATED=Y","Sort=A","Dates=H","DateFormat=P","Fill=—","Direction=H","UseDPDF=Y")</f>
        <v>#NAME?</v>
      </c>
      <c r="BP276" s="1" t="e">
        <f ca="1">_xll.BDH($C$253,"MODIFIED_WORKING_CPTL_SEQ_GRWTH","FQ3 2018","FQ3 2018","Currency=INR","Period=FQ","BEST_FPERIOD_OVERRIDE=FQ","FILING_STATUS=OR","EQY_CONSOLIDATED=Y","Sort=A","Dates=H","DateFormat=P","Fill=—","Direction=H","UseDPDF=Y")</f>
        <v>#NAME?</v>
      </c>
      <c r="BQ276" s="1" t="e">
        <f ca="1">_xll.BDH($C$253,"WORKING_CAPITAL_SEQ_GROWTH","FQ3 2018","FQ3 2018","Currency=INR","Period=FQ","BEST_FPERIOD_OVERRIDE=FQ","FILING_STATUS=OR","EQY_CONSOLIDATED=Y","Sort=A","Dates=H","DateFormat=P","Fill=—","Direction=H","UseDPDF=Y")</f>
        <v>#NAME?</v>
      </c>
      <c r="BR276" s="1" t="e">
        <f ca="1">_xll.BDH($C$253,"ACCOUNTS_PAYABLE_SEQ_GROWTH","FQ3 2018","FQ3 2018","Currency=INR","Period=FQ","BEST_FPERIOD_OVERRIDE=FQ","FILING_STATUS=OR","EQY_CONSOLIDATED=Y","Sort=A","Dates=H","DateFormat=P","Fill=—","Direction=H","UseDPDF=Y")</f>
        <v>#NAME?</v>
      </c>
      <c r="BS276" s="1" t="e">
        <f ca="1">_xll.BDH($C$253,"ST_DEBT_SEQUENTIAL_GROWTH","FQ3 2018","FQ3 2018","Currency=INR","Period=FQ","BEST_FPERIOD_OVERRIDE=FQ","FILING_STATUS=OR","EQY_CONSOLIDATED=Y","Sort=A","Dates=H","DateFormat=P","Fill=—","Direction=H","UseDPDF=Y")</f>
        <v>#NAME?</v>
      </c>
      <c r="BT276" s="1" t="e">
        <f ca="1">_xll.BDH($C$253,"TOTAL_DEBT_SEQUENTIAL_GROWTH","FQ3 2018","FQ3 2018","Currency=INR","Period=FQ","BEST_FPERIOD_OVERRIDE=FQ","FILING_STATUS=OR","EQY_CONSOLIDATED=Y","Sort=A","Dates=H","DateFormat=P","Fill=—","Direction=H","UseDPDF=Y")</f>
        <v>#NAME?</v>
      </c>
      <c r="BU276" s="1" t="e">
        <f ca="1">_xll.BDH($C$253,"TOTAL_EQUITY_SEQUENTIAL_GROWTH","FQ3 2018","FQ3 2018","Currency=INR","Period=FQ","BEST_FPERIOD_OVERRIDE=FQ","FILING_STATUS=OR","EQY_CONSOLIDATED=Y","Sort=A","Dates=H","DateFormat=P","Fill=—","Direction=H","UseDPDF=Y")</f>
        <v>#NAME?</v>
      </c>
      <c r="BV276" s="1" t="e">
        <f ca="1">_xll.BDH($C$253,"TOTAL_CAPITAL_SEQUENTIAL_GROWTH","FQ3 2018","FQ3 2018","Currency=INR","Period=FQ","BEST_FPERIOD_OVERRIDE=FQ","FILING_STATUS=OR","EQY_CONSOLIDATED=Y","Sort=A","Dates=H","DateFormat=P","Fill=—","Direction=H","UseDPDF=Y")</f>
        <v>#NAME?</v>
      </c>
      <c r="BW276" s="1" t="e">
        <f ca="1">_xll.BDH($C$253,"BPS_SEQUENTIAL_GROWTH","FQ3 2018","FQ3 2018","Currency=INR","Period=FQ","BEST_FPERIOD_OVERRIDE=FQ","FILING_STATUS=OR","EQY_CONSOLIDATED=Y","Sort=A","Dates=H","DateFormat=P","Fill=—","Direction=H","UseDPDF=Y")</f>
        <v>#NAME?</v>
      </c>
      <c r="BX276" s="1" t="e">
        <f ca="1">_xll.BDH($C$253,"CFO_SEQUENTIAL_GROWTH","FQ3 2018","FQ3 2018","Currency=INR","Period=FQ","BEST_FPERIOD_OVERRIDE=FQ","FILING_STATUS=OR","EQY_CONSOLIDATED=Y","Sort=A","Dates=H","DateFormat=P","Fill=—","Direction=H","UseDPDF=Y")</f>
        <v>#NAME?</v>
      </c>
      <c r="BY276" s="2" t="e">
        <f ca="1">_xll.BDH($C$253,"SHORT_AND_LONG_TERM_DEBT","FQ3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76" s="2" t="e">
        <f ca="1">_xll.BDH($C$253,"BS_ST_BORROW","FQ3 2018","FQ3 2018","Currency=INR","Period=FQ","BEST_FPERIOD_OVERRIDE=FQ","FILING_STATUS=OR","EQY_CONSOLIDATED=Y","SCALING_FORMAT=MLN","Sort=A","Dates=H","DateFormat=P","Fill=—","Direction=H","UseDPDF=Y")</f>
        <v>#NAME?</v>
      </c>
      <c r="CA276" s="2" t="e">
        <f ca="1">_xll.BDH($C$253,"BS_LT_BORROW","FQ3 2018","FQ3 2018","Currency=INR","Period=FQ","BEST_FPERIOD_OVERRIDE=FQ","FILING_STATUS=OR","EQY_CONSOLIDATED=Y","SCALING_FORMAT=MLN","Sort=A","Dates=H","DateFormat=P","Fill=—","Direction=H","UseDPDF=Y")</f>
        <v>#NAME?</v>
      </c>
      <c r="CB276" s="1" t="e">
        <f ca="1">_xll.BDH($C$253,"TOT_DEBT_TO_EBITDA","FQ3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76" s="1" t="e">
        <f ca="1">_xll.BDH($C$253,"NET_DEBT_TO_EBITDA","FQ3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76" s="1" t="e">
        <f ca="1">_xll.BDH($C$253,"TOTAL_DEBT_TO_EBIT","FQ3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76" s="1" t="e">
        <f ca="1">_xll.BDH($C$253,"NET_DEBT_TO_EBIT","FQ3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276" s="1" t="e">
        <f ca="1">_xll.BDH($C$253,"EBITDA_TO_INTEREST_EXPN","FQ3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76" s="1" t="e">
        <f ca="1">_xll.BDH($C$253,"COM_EQY_TO_TOT_ASSET","FQ3 2018","FQ3 2018","Currency=INR","Period=FQ","BEST_FPERIOD_OVERRIDE=FQ","FILING_STATUS=OR","EQY_CONSOLIDATED=Y","Sort=A","Dates=H","DateFormat=P","Fill=—","Direction=H","UseDPDF=Y")</f>
        <v>#NAME?</v>
      </c>
      <c r="CH276" s="1" t="e">
        <f ca="1">_xll.BDH($C$253,"LT_DEBT_TO_TOT_EQY","FQ3 2018","FQ3 2018","Currency=INR","Period=FQ","BEST_FPERIOD_OVERRIDE=FQ","FILING_STATUS=OR","EQY_CONSOLIDATED=Y","Sort=A","Dates=H","DateFormat=P","Fill=—","Direction=H","UseDPDF=Y")</f>
        <v>#NAME?</v>
      </c>
      <c r="CI276" s="1" t="e">
        <f ca="1">_xll.BDH($C$253,"LT_DEBT_TO_TOT_CAP","FQ3 2018","FQ3 2018","Currency=INR","Period=FQ","BEST_FPERIOD_OVERRIDE=FQ","FILING_STATUS=OR","EQY_CONSOLIDATED=Y","Sort=A","Dates=H","DateFormat=P","Fill=—","Direction=H","UseDPDF=Y")</f>
        <v>#NAME?</v>
      </c>
      <c r="CJ276" s="1" t="e">
        <f ca="1">_xll.BDH($C$253,"LT_DEBT_TO_TOT_ASSET","FQ3 2018","FQ3 2018","Currency=INR","Period=FQ","BEST_FPERIOD_OVERRIDE=FQ","FILING_STATUS=OR","EQY_CONSOLIDATED=Y","Sort=A","Dates=H","DateFormat=P","Fill=—","Direction=H","UseDPDF=Y")</f>
        <v>#NAME?</v>
      </c>
      <c r="CK276" s="1" t="e">
        <f ca="1">_xll.BDH($C$253,"TOT_DEBT_TO_TOT_EQY","FQ3 2018","FQ3 2018","Currency=INR","Period=FQ","BEST_FPERIOD_OVERRIDE=FQ","FILING_STATUS=OR","EQY_CONSOLIDATED=Y","Sort=A","Dates=H","DateFormat=P","Fill=—","Direction=H","UseDPDF=Y")</f>
        <v>#NAME?</v>
      </c>
      <c r="CL276" s="1" t="e">
        <f ca="1">_xll.BDH($C$253,"TOT_DEBT_TO_TOT_CAP","FQ3 2018","FQ3 2018","Currency=INR","Period=FQ","BEST_FPERIOD_OVERRIDE=FQ","FILING_STATUS=OR","EQY_CONSOLIDATED=Y","Sort=A","Dates=H","DateFormat=P","Fill=—","Direction=H","UseDPDF=Y")</f>
        <v>#NAME?</v>
      </c>
      <c r="CM276" s="1" t="e">
        <f ca="1">_xll.BDH($C$253,"TOT_DEBT_TO_TOT_ASSET","FQ3 2018","FQ3 2018","Currency=INR","Period=FQ","BEST_FPERIOD_OVERRIDE=FQ","FILING_STATUS=OR","EQY_CONSOLIDATED=Y","Sort=A","Dates=H","DateFormat=P","Fill=—","Direction=H","UseDPDF=Y")</f>
        <v>#NAME?</v>
      </c>
      <c r="CN276" s="1" t="e">
        <f ca="1">_xll.BDH($C$253,"NET_DEBT_TO_SHRHLDR_EQTY","FQ3 2018","FQ3 2018","Currency=INR","Period=FQ","BEST_FPERIOD_OVERRIDE=FQ","FILING_STATUS=OR","EQY_CONSOLIDATED=Y","Sort=A","Dates=H","DateFormat=P","Fill=—","Direction=H","UseDPDF=Y")</f>
        <v>#NAME?</v>
      </c>
      <c r="CO276" s="1" t="e">
        <f ca="1">_xll.BDH($C$253,"NET_DEBT_%_CAPITAL","FQ3 2018","FQ3 2018","Currency=INR","Period=FQ","BEST_FPERIOD_OVERRIDE=FQ","FILING_STATUS=OR","EQY_CONSOLIDATED=Y","Sort=A","Dates=H","DateFormat=P","Fill=—","Direction=H","UseDPDF=Y")</f>
        <v>#NAME?</v>
      </c>
      <c r="CP276" s="2" t="e">
        <f ca="1">_xll.BDH($C$253,"EBITDA","FQ3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76" s="2" t="e">
        <f ca="1">_xll.BDH($C$253,"EBITDA_AFTER_CAPEX","FQ3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76" s="2" t="e">
        <f ca="1">_xll.BDH($C$253,"IS_OPER_INC","FQ3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76" s="1" t="e">
        <f ca="1">_xll.BDH($C$253,"CASH_RATIO","FQ3 2018","FQ3 2018","Currency=INR","Period=FQ","BEST_FPERIOD_OVERRIDE=FQ","FILING_STATUS=OR","EQY_CONSOLIDATED=Y","Sort=A","Dates=H","DateFormat=P","Fill=—","Direction=H","UseDPDF=Y")</f>
        <v>#NAME?</v>
      </c>
      <c r="CT276" s="1" t="e">
        <f ca="1">_xll.BDH($C$253,"CUR_RATIO","FQ3 2018","FQ3 2018","Currency=INR","Period=FQ","BEST_FPERIOD_OVERRIDE=FQ","FILING_STATUS=OR","EQY_CONSOLIDATED=Y","Sort=A","Dates=H","DateFormat=P","Fill=—","Direction=H","UseDPDF=Y")</f>
        <v>#NAME?</v>
      </c>
      <c r="CU276" s="1" t="e">
        <f ca="1">_xll.BDH($C$253,"QUICK_RATIO","FQ3 2018","FQ3 2018","Currency=INR","Period=FQ","BEST_FPERIOD_OVERRIDE=FQ","FILING_STATUS=OR","EQY_CONSOLIDATED=Y","Sort=A","Dates=H","DateFormat=P","Fill=—","Direction=H","UseDPDF=Y")</f>
        <v>#NAME?</v>
      </c>
      <c r="CV276" s="1" t="e">
        <f ca="1">_xll.BDH($C$253,"ALTMAN_Z_SCORE","FQ3 2018","FQ3 2018","Currency=INR","Period=FQ","BEST_FPERIOD_OVERRIDE=FQ","FILING_STATUS=OR","EQY_CONSOLIDATED=Y","Sort=A","Dates=H","DateFormat=P","Fill=—","Direction=H","UseDPDF=Y")</f>
        <v>#NAME?</v>
      </c>
      <c r="CW276" s="3" t="e">
        <f ca="1">_xll.BDH($C$253,"ACCT_RCV_TURN","FQ3 2018","FQ3 2018","Currency=INR","Period=FQ","BEST_FPERIOD_OVERRIDE=FQ","FILING_STATUS=OR","EQY_CONSOLIDATED=Y","FA_ADJUSTED=GAAP","Sort=A","Dates=H","DateFormat=P","Fill=—","Direction=H","UseDPDF=Y")</f>
        <v>#NAME?</v>
      </c>
      <c r="CX276" s="1" t="e">
        <f ca="1">_xll.BDH($C$253,"ACCT_RCV_DAYS","FQ3 2018","FQ3 2018","Currency=INR","Period=FQ","BEST_FPERIOD_OVERRIDE=FQ","FILING_STATUS=OR","EQY_CONSOLIDATED=Y","FA_ADJUSTED=GAAP","Sort=A","Dates=H","DateFormat=P","Fill=—","Direction=H","UseDPDF=Y")</f>
        <v>#NAME?</v>
      </c>
      <c r="CY276" s="3" t="e">
        <f ca="1">_xll.BDH($C$253,"INVENT_TURN","FQ3 2018","FQ3 2018","Currency=INR","Period=FQ","BEST_FPERIOD_OVERRIDE=FQ","FILING_STATUS=OR","EQY_CONSOLIDATED=Y","FA_ADJUSTED=GAAP","Sort=A","Dates=H","DateFormat=P","Fill=—","Direction=H","UseDPDF=Y")</f>
        <v>#NAME?</v>
      </c>
      <c r="CZ276" s="1" t="e">
        <f ca="1">_xll.BDH($C$253,"INVENT_DAYS","FQ3 2018","FQ3 2018","Currency=INR","Period=FQ","BEST_FPERIOD_OVERRIDE=FQ","FILING_STATUS=OR","EQY_CONSOLIDATED=Y","FA_ADJUSTED=GAAP","Sort=A","Dates=H","DateFormat=P","Fill=—","Direction=H","UseDPDF=Y")</f>
        <v>#NAME?</v>
      </c>
      <c r="DA276" s="3" t="e">
        <f ca="1">_xll.BDH($C$253,"ACCOUNTS_PAYABLE_TURNOVER","FQ3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76" s="1" t="e">
        <f ca="1">_xll.BDH($C$253,"ACCOUNTS_PAYABLE_TURNOVER_DAYS","FQ3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76" s="3" t="e">
        <f ca="1">_xll.BDH($C$253,"CASH_CONVERSION_CYCLE","FQ3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76" s="3" t="e">
        <f ca="1">_xll.BDH($C$253,"INV_TO_CASH_DAYS","FQ3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276" s="4" t="e">
        <f ca="1">_xll.BDH($C$253,"BS_INVENTORIES","FQ3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276" s="2" t="e">
        <f ca="1">_xll.BDH($C$253,"INVTRY_RAW_MATERIALS","FQ3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76" s="2" t="e">
        <f ca="1">_xll.BDH($C$253,"INVTRY_IN_PROGRESS","FQ3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76" s="2" t="e">
        <f ca="1">_xll.BDH($C$253,"INVTRY_FINISHED_GOODS","FQ3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76" s="2" t="e">
        <f ca="1">_xll.BDH($C$253,"BS_OTHER_INV","FQ3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77" spans="1:113" x14ac:dyDescent="0.3">
      <c r="A277" s="6"/>
      <c r="B277" s="6"/>
      <c r="C277" s="6"/>
      <c r="D277" s="6"/>
      <c r="E277" t="s">
        <v>7</v>
      </c>
      <c r="F277" t="e">
        <f ca="1">_xll.BDH($C$253,"RETURN_COM_EQY","FQ4 2018","FQ4 2018","Currency=INR","Period=FQ","BEST_FPERIOD_OVERRIDE=FQ","FILING_STATUS=OR","EQY_CONSOLIDATED=Y","FA_ADJUSTED=GAAP","Sort=A","Dates=H","DateFormat=P","Fill=—","Direction=H","UseDPDF=Y")</f>
        <v>#NAME?</v>
      </c>
      <c r="G277" t="e">
        <f ca="1">_xll.BDH($C$253,"RETURN_ON_ASSET","FQ4 2018","FQ4 2018","Currency=INR","Period=FQ","BEST_FPERIOD_OVERRIDE=FQ","FILING_STATUS=OR","EQY_CONSOLIDATED=Y","FA_ADJUSTED=GAAP","Sort=A","Dates=H","DateFormat=P","Fill=—","Direction=H","UseDPDF=Y")</f>
        <v>#NAME?</v>
      </c>
      <c r="H277" t="e">
        <f ca="1">_xll.BDH($C$253,"RETURN_ON_CAP","FQ4 2018","FQ4 2018","Currency=INR","Period=FQ","BEST_FPERIOD_OVERRIDE=FQ","FILING_STATUS=OR","EQY_CONSOLIDATED=Y","FA_ADJUSTED=GAAP","Sort=A","Dates=H","DateFormat=P","Fill=—","Direction=H","UseDPDF=Y")</f>
        <v>#NAME?</v>
      </c>
      <c r="I277" t="e">
        <f ca="1">_xll.BDH($C$253,"RETURN_ON_INV_CAPITAL","FQ4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77" t="e">
        <f ca="1">_xll.BDH($C$253,"EBITDA_TO_REVENUE","FQ4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277" t="e">
        <f ca="1">_xll.BDH($C$253,"OPER_MARGIN","FQ4 2018","FQ4 2018","Currency=INR","Period=FQ","BEST_FPERIOD_OVERRIDE=FQ","FILING_STATUS=OR","EQY_CONSOLIDATED=Y","FA_ADJUSTED=GAAP","Sort=A","Dates=H","DateFormat=P","Fill=—","Direction=H","UseDPDF=Y")</f>
        <v>#NAME?</v>
      </c>
      <c r="L277" t="e">
        <f ca="1">_xll.BDH($C$253,"INCREMENTAL_OPERATING_MARGIN","FQ4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77" t="e">
        <f ca="1">_xll.BDH($C$253,"PRETAX_INC_TO_NET_SALES","FQ4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77" t="e">
        <f ca="1">_xll.BDH($C$253,"INC_BEF_XO_ITEMS_TO_NET_SALES","FQ4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77" t="e">
        <f ca="1">_xll.BDH($C$253,"PROF_MARGIN","FQ4 2018","FQ4 2018","Currency=INR","Period=FQ","BEST_FPERIOD_OVERRIDE=FQ","FILING_STATUS=OR","EQY_CONSOLIDATED=Y","FA_ADJUSTED=GAAP","Sort=A","Dates=H","DateFormat=P","Fill=—","Direction=H","UseDPDF=Y")</f>
        <v>#NAME?</v>
      </c>
      <c r="P277" t="e">
        <f ca="1">_xll.BDH($C$253,"NET_INCOME_TO_COMMON_MARGIN","FQ4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77" t="e">
        <f ca="1">_xll.BDH($C$253,"EFF_TAX_RATE","FQ4 2018","FQ4 2018","Currency=INR","Period=FQ","BEST_FPERIOD_OVERRIDE=FQ","FILING_STATUS=OR","EQY_CONSOLIDATED=Y","FA_ADJUSTED=GAAP","Sort=A","Dates=H","DateFormat=P","Fill=—","Direction=H","UseDPDF=Y")</f>
        <v>#NAME?</v>
      </c>
      <c r="R277" t="e">
        <f ca="1">_xll.BDH($C$253,"DVD_PAYOUT_RATIO","FQ4 2018","FQ4 2018","Currency=INR","Period=FQ","BEST_FPERIOD_OVERRIDE=FQ","FILING_STATUS=OR","EQY_CONSOLIDATED=Y","FA_ADJUSTED=GAAP","Sort=A","Dates=H","DateFormat=P","Fill=—","Direction=H","UseDPDF=Y")</f>
        <v>#NAME?</v>
      </c>
      <c r="S277" t="e">
        <f ca="1">_xll.BDH($C$253,"SUSTAIN_GROWTH_RT","FQ4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277" s="1" t="e">
        <f ca="1">_xll.BDH($C$253,"SALES_GROWTH","FQ4 2018","FQ4 2018","Currency=INR","Period=FQ","BEST_FPERIOD_OVERRIDE=FQ","FILING_STATUS=OR","EQY_CONSOLIDATED=Y","FA_ADJUSTED=GAAP","Sort=A","Dates=H","DateFormat=P","Fill=—","Direction=H","UseDPDF=Y")</f>
        <v>#NAME?</v>
      </c>
      <c r="U277" s="1" t="e">
        <f ca="1">_xll.BDH($C$253,"EBITDA_GROWTH","FQ4 2018","FQ4 2018","Currency=INR","Period=FQ","BEST_FPERIOD_OVERRIDE=FQ","FILING_STATUS=OR","EQY_CONSOLIDATED=Y","FA_ADJUSTED=GAAP","Sort=A","Dates=H","DateFormat=P","Fill=—","Direction=H","UseDPDF=Y")</f>
        <v>#NAME?</v>
      </c>
      <c r="V277" s="1" t="e">
        <f ca="1">_xll.BDH($C$253,"OPER_INC_GROWTH","FQ4 2018","FQ4 2018","Currency=INR","Period=FQ","BEST_FPERIOD_OVERRIDE=FQ","FILING_STATUS=OR","EQY_CONSOLIDATED=Y","FA_ADJUSTED=GAAP","Sort=A","Dates=H","DateFormat=P","Fill=—","Direction=H","UseDPDF=Y")</f>
        <v>#NAME?</v>
      </c>
      <c r="W277" s="1" t="e">
        <f ca="1">_xll.BDH($C$253,"EARN_FOR_COM_GROWTH","FQ4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77" s="1" t="e">
        <f ca="1">_xll.BDH($C$253,"DILUTED_EPS_AFT_XO_ITEMS_GROWTH","FQ4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77" s="1" t="e">
        <f ca="1">_xll.BDH($C$253,"DIVIDEND_PER_SHARE_1_YEAR_GROWTH","FQ4 2018","FQ4 2018","Currency=INR","Period=FQ","BEST_FPERIOD_OVERRIDE=FQ","FILING_STATUS=OR","EQY_CONSOLIDATED=Y","Sort=A","Dates=H","DateFormat=P","Fill=—","Direction=H","UseDPDF=Y")</f>
        <v>#NAME?</v>
      </c>
      <c r="Z277" s="1" t="e">
        <f ca="1">_xll.BDH($C$253,"ACCOUNTS_RECEIVABLE_GROWTH","FQ4 2018","FQ4 2018","Currency=INR","Period=FQ","BEST_FPERIOD_OVERRIDE=FQ","FILING_STATUS=OR","EQY_CONSOLIDATED=Y","Sort=A","Dates=H","DateFormat=P","Fill=—","Direction=H","UseDPDF=Y")</f>
        <v>#NAME?</v>
      </c>
      <c r="AA277" s="1" t="e">
        <f ca="1">_xll.BDH($C$253,"INVENTORY_GROWTH","FQ4 2018","FQ4 2018","Currency=INR","Period=FQ","BEST_FPERIOD_OVERRIDE=FQ","FILING_STATUS=OR","EQY_CONSOLIDATED=Y","Sort=A","Dates=H","DateFormat=P","Fill=—","Direction=H","UseDPDF=Y")</f>
        <v>#NAME?</v>
      </c>
      <c r="AB277" s="1" t="e">
        <f ca="1">_xll.BDH($C$253,"NET_FIXED_ASSETS_1_YEAR_GROWTH","FQ4 2018","FQ4 2018","Currency=INR","Period=FQ","BEST_FPERIOD_OVERRIDE=FQ","FILING_STATUS=OR","EQY_CONSOLIDATED=Y","Sort=A","Dates=H","DateFormat=P","Fill=—","Direction=H","UseDPDF=Y")</f>
        <v>#NAME?</v>
      </c>
      <c r="AC277" s="1" t="e">
        <f ca="1">_xll.BDH($C$253,"ASSET_GROWTH","FQ4 2018","FQ4 2018","Currency=INR","Period=FQ","BEST_FPERIOD_OVERRIDE=FQ","FILING_STATUS=OR","EQY_CONSOLIDATED=Y","Sort=A","Dates=H","DateFormat=P","Fill=—","Direction=H","UseDPDF=Y")</f>
        <v>#NAME?</v>
      </c>
      <c r="AD277" s="1" t="e">
        <f ca="1">_xll.BDH($C$253,"MODIFIED_WORK_CAP_GROWTH","FQ4 2018","FQ4 2018","Currency=INR","Period=FQ","BEST_FPERIOD_OVERRIDE=FQ","FILING_STATUS=OR","EQY_CONSOLIDATED=Y","Sort=A","Dates=H","DateFormat=P","Fill=—","Direction=H","UseDPDF=Y")</f>
        <v>#NAME?</v>
      </c>
      <c r="AE277" s="1" t="e">
        <f ca="1">_xll.BDH($C$253,"WORK_CAP_GROWTH","FQ4 2018","FQ4 2018","Currency=INR","Period=FQ","BEST_FPERIOD_OVERRIDE=FQ","FILING_STATUS=OR","EQY_CONSOLIDATED=Y","Sort=A","Dates=H","DateFormat=P","Fill=—","Direction=H","UseDPDF=Y")</f>
        <v>#NAME?</v>
      </c>
      <c r="AF277" s="1" t="e">
        <f ca="1">_xll.BDH($C$253,"ACCOUNTS_PAYABLE_GROWTH_1YR","FQ4 2018","FQ4 2018","Currency=INR","Period=FQ","BEST_FPERIOD_OVERRIDE=FQ","FILING_STATUS=OR","EQY_CONSOLIDATED=Y","Sort=A","Dates=H","DateFormat=P","Fill=—","Direction=H","UseDPDF=Y")</f>
        <v>#NAME?</v>
      </c>
      <c r="AG277" s="1" t="e">
        <f ca="1">_xll.BDH($C$253,"SHORT_TERM_DEBT_1_YEAR_GROWTH","FQ4 2018","FQ4 2018","Currency=INR","Period=FQ","BEST_FPERIOD_OVERRIDE=FQ","FILING_STATUS=OR","EQY_CONSOLIDATED=Y","Sort=A","Dates=H","DateFormat=P","Fill=—","Direction=H","UseDPDF=Y")</f>
        <v>#NAME?</v>
      </c>
      <c r="AH277" s="1" t="e">
        <f ca="1">_xll.BDH($C$253,"TOTAL_DEBT_1_YEAR_GROWTH","FQ4 2018","FQ4 2018","Currency=INR","Period=FQ","BEST_FPERIOD_OVERRIDE=FQ","FILING_STATUS=OR","EQY_CONSOLIDATED=Y","Sort=A","Dates=H","DateFormat=P","Fill=—","Direction=H","UseDPDF=Y")</f>
        <v>#NAME?</v>
      </c>
      <c r="AI277" s="1" t="e">
        <f ca="1">_xll.BDH($C$253,"TOTAL_EQUITY_1_YEAR_GROWTH","FQ4 2018","FQ4 2018","Currency=INR","Period=FQ","BEST_FPERIOD_OVERRIDE=FQ","FILING_STATUS=OR","EQY_CONSOLIDATED=Y","Sort=A","Dates=H","DateFormat=P","Fill=—","Direction=H","UseDPDF=Y")</f>
        <v>#NAME?</v>
      </c>
      <c r="AJ277" s="1" t="e">
        <f ca="1">_xll.BDH($C$253,"GROWTH_IN_CAP","FQ4 2018","FQ4 2018","Currency=INR","Period=FQ","BEST_FPERIOD_OVERRIDE=FQ","FILING_STATUS=OR","EQY_CONSOLIDATED=Y","Sort=A","Dates=H","DateFormat=P","Fill=—","Direction=H","UseDPDF=Y")</f>
        <v>#NAME?</v>
      </c>
      <c r="AK277" s="1" t="e">
        <f ca="1">_xll.BDH($C$253,"BVPS_GROWTH","FQ4 2018","FQ4 2018","Currency=INR","Period=FQ","BEST_FPERIOD_OVERRIDE=FQ","FILING_STATUS=OR","EQY_CONSOLIDATED=Y","Sort=A","Dates=H","DateFormat=P","Fill=—","Direction=H","UseDPDF=Y")</f>
        <v>#NAME?</v>
      </c>
      <c r="AL277" s="1" t="e">
        <f ca="1">_xll.BDH($C$253,"CASH_FLOW_GROWTH","FQ4 2018","FQ4 2018","Currency=INR","Period=FQ","BEST_FPERIOD_OVERRIDE=FQ","FILING_STATUS=OR","EQY_CONSOLIDATED=Y","Sort=A","Dates=H","DateFormat=P","Fill=—","Direction=H","UseDPDF=Y")</f>
        <v>#NAME?</v>
      </c>
      <c r="AM277" s="1" t="e">
        <f ca="1">_xll.BDH($C$253,"GEO_GROW_NET_SALES","FQ4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77" s="1" t="e">
        <f ca="1">_xll.BDH($C$253,"GEO_GROW_EBITDA","FQ4 2018","FQ4 2018","Currency=INR","Period=FQ","BEST_FPERIOD_OVERRIDE=FQ","FILING_STATUS=OR","EQY_CONSOLIDATED=Y","FA_ADJUSTED=GAAP","Sort=A","Dates=H","DateFormat=P","Fill=—","Direction=H","UseDPDF=Y")</f>
        <v>#NAME?</v>
      </c>
      <c r="AO277" s="1" t="e">
        <f ca="1">_xll.BDH($C$253,"GEO_GROW_OPER_INC","FQ4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77" s="1" t="e">
        <f ca="1">_xll.BDH($C$253,"NET_INCOME_TO_COMMON_5_YR_GROWTH","FQ4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77" s="1" t="e">
        <f ca="1">_xll.BDH($C$253,"5Y_GEO_GROWTH_DILUTED_EPS","FQ4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77" s="1" t="e">
        <f ca="1">_xll.BDH($C$253,"GEO_GROW_DVD_PER_SH","FQ4 2018","FQ4 2018","Currency=INR","Period=FQ","BEST_FPERIOD_OVERRIDE=FQ","FILING_STATUS=OR","EQY_CONSOLIDATED=Y","Sort=A","Dates=H","DateFormat=P","Fill=—","Direction=H","UseDPDF=Y")</f>
        <v>#NAME?</v>
      </c>
      <c r="AS277" s="1" t="e">
        <f ca="1">_xll.BDH($C$253,"ACCOUNTS_RECEIVABLE_5_YR_GROWTH","FQ4 2018","FQ4 2018","Currency=INR","Period=FQ","BEST_FPERIOD_OVERRIDE=FQ","FILING_STATUS=OR","EQY_CONSOLIDATED=Y","Sort=A","Dates=H","DateFormat=P","Fill=—","Direction=H","UseDPDF=Y")</f>
        <v>#NAME?</v>
      </c>
      <c r="AT277" s="1" t="e">
        <f ca="1">_xll.BDH($C$253,"INVENTORY_5_YEAR_GROWTH","FQ4 2018","FQ4 2018","Currency=INR","Period=FQ","BEST_FPERIOD_OVERRIDE=FQ","FILING_STATUS=OR","EQY_CONSOLIDATED=Y","Sort=A","Dates=H","DateFormat=P","Fill=—","Direction=H","UseDPDF=Y")</f>
        <v>#NAME?</v>
      </c>
      <c r="AU277" s="1" t="e">
        <f ca="1">_xll.BDH($C$253,"NET_FIXED_ASSETS_5_YEAR_GROWTH","FQ4 2018","FQ4 2018","Currency=INR","Period=FQ","BEST_FPERIOD_OVERRIDE=FQ","FILING_STATUS=OR","EQY_CONSOLIDATED=Y","Sort=A","Dates=H","DateFormat=P","Fill=—","Direction=H","UseDPDF=Y")</f>
        <v>#NAME?</v>
      </c>
      <c r="AV277" s="1" t="e">
        <f ca="1">_xll.BDH($C$253,"GEO_GROW_TOT_ASSET","FQ4 2018","FQ4 2018","Currency=INR","Period=FQ","BEST_FPERIOD_OVERRIDE=FQ","FILING_STATUS=OR","EQY_CONSOLIDATED=Y","Sort=A","Dates=H","DateFormat=P","Fill=—","Direction=H","UseDPDF=Y")</f>
        <v>#NAME?</v>
      </c>
      <c r="AW277" s="1" t="e">
        <f ca="1">_xll.BDH($C$253,"MODIFIED_WORKING_CPTL_5YR_GRWTH","FQ4 2018","FQ4 2018","Currency=INR","Period=FQ","BEST_FPERIOD_OVERRIDE=FQ","FILING_STATUS=OR","EQY_CONSOLIDATED=Y","Sort=A","Dates=H","DateFormat=P","Fill=—","Direction=H","UseDPDF=Y")</f>
        <v>#NAME?</v>
      </c>
      <c r="AX277" s="1" t="e">
        <f ca="1">_xll.BDH($C$253,"WORKING_CAPITAL_5_YEAR_GROWTH","FQ4 2018","FQ4 2018","Currency=INR","Period=FQ","BEST_FPERIOD_OVERRIDE=FQ","FILING_STATUS=OR","EQY_CONSOLIDATED=Y","Sort=A","Dates=H","DateFormat=P","Fill=—","Direction=H","UseDPDF=Y")</f>
        <v>#NAME?</v>
      </c>
      <c r="AY277" s="1" t="e">
        <f ca="1">_xll.BDH($C$253,"ACCOUNTS_PAYABLE_5_YEAR_GROWTH","FQ4 2018","FQ4 2018","Currency=INR","Period=FQ","BEST_FPERIOD_OVERRIDE=FQ","FILING_STATUS=OR","EQY_CONSOLIDATED=Y","Sort=A","Dates=H","DateFormat=P","Fill=—","Direction=H","UseDPDF=Y")</f>
        <v>#NAME?</v>
      </c>
      <c r="AZ277" s="1" t="e">
        <f ca="1">_xll.BDH($C$253,"SHORT_TERM_DEBT_5_YEAR_GROWTH","FQ4 2018","FQ4 2018","Currency=INR","Period=FQ","BEST_FPERIOD_OVERRIDE=FQ","FILING_STATUS=OR","EQY_CONSOLIDATED=Y","Sort=A","Dates=H","DateFormat=P","Fill=—","Direction=H","UseDPDF=Y")</f>
        <v>#NAME?</v>
      </c>
      <c r="BA277" s="1" t="e">
        <f ca="1">_xll.BDH($C$253,"TOTAL_DEBT_5_YEAR_GROWTH","FQ4 2018","FQ4 2018","Currency=INR","Period=FQ","BEST_FPERIOD_OVERRIDE=FQ","FILING_STATUS=OR","EQY_CONSOLIDATED=Y","Sort=A","Dates=H","DateFormat=P","Fill=—","Direction=H","UseDPDF=Y")</f>
        <v>#NAME?</v>
      </c>
      <c r="BB277" s="1" t="e">
        <f ca="1">_xll.BDH($C$253,"GEO_GROW_TOT_SHRHLDR_EQY","FQ4 2018","FQ4 2018","Currency=INR","Period=FQ","BEST_FPERIOD_OVERRIDE=FQ","FILING_STATUS=OR","EQY_CONSOLIDATED=Y","Sort=A","Dates=H","DateFormat=P","Fill=—","Direction=H","UseDPDF=Y")</f>
        <v>#NAME?</v>
      </c>
      <c r="BC277" s="1" t="e">
        <f ca="1">_xll.BDH($C$253,"TOTAL_CAPITAL_5_YEAR_GROWTH","FQ4 2018","FQ4 2018","Currency=INR","Period=FQ","BEST_FPERIOD_OVERRIDE=FQ","FILING_STATUS=OR","EQY_CONSOLIDATED=Y","Sort=A","Dates=H","DateFormat=P","Fill=—","Direction=H","UseDPDF=Y")</f>
        <v>#NAME?</v>
      </c>
      <c r="BD277" s="1" t="e">
        <f ca="1">_xll.BDH($C$253,"GEO_GROW_BOOK_VAL","FQ4 2018","FQ4 2018","Currency=INR","Period=FQ","BEST_FPERIOD_OVERRIDE=FQ","FILING_STATUS=OR","EQY_CONSOLIDATED=Y","Sort=A","Dates=H","DateFormat=P","Fill=—","Direction=H","UseDPDF=Y")</f>
        <v>#NAME?</v>
      </c>
      <c r="BE277" s="1" t="e">
        <f ca="1">_xll.BDH($C$253,"GEO_GROW_CASH_OPER_ACT","FQ4 2018","FQ4 2018","Currency=INR","Period=FQ","BEST_FPERIOD_OVERRIDE=FQ","FILING_STATUS=OR","EQY_CONSOLIDATED=Y","Sort=A","Dates=H","DateFormat=P","Fill=—","Direction=H","UseDPDF=Y")</f>
        <v>#NAME?</v>
      </c>
      <c r="BF277" s="1" t="e">
        <f ca="1">_xll.BDH($C$253,"REVENUE_SEQUENTIAL_GROWTH","FQ4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77" s="1" t="e">
        <f ca="1">_xll.BDH($C$253,"EBITDA_SEQUENTIAL_GROWTH","FQ4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77" s="1" t="e">
        <f ca="1">_xll.BDH($C$253,"OPERATING_INCOME_SEQ_GROWTH","FQ4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77" s="1" t="e">
        <f ca="1">_xll.BDH($C$253,"NET_INCOME_TO_COMMON_SEQ_GROWTH","FQ4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77" s="1" t="e">
        <f ca="1">_xll.BDH($C$253,"EPS_DILUTED_SEQUENTIAL_GROWTH","FQ4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77" s="1" t="e">
        <f ca="1">_xll.BDH($C$253,"DPS_SEQUENTIAL_GROWTH","FQ4 2018","FQ4 2018","Currency=INR","Period=FQ","BEST_FPERIOD_OVERRIDE=FQ","FILING_STATUS=OR","EQY_CONSOLIDATED=Y","Sort=A","Dates=H","DateFormat=P","Fill=—","Direction=H","UseDPDF=Y")</f>
        <v>#NAME?</v>
      </c>
      <c r="BL277" s="1" t="e">
        <f ca="1">_xll.BDH($C$253,"ACCOUNTS_RECEIVABLE_SEQ_GROWTH","FQ4 2018","FQ4 2018","Currency=INR","Period=FQ","BEST_FPERIOD_OVERRIDE=FQ","FILING_STATUS=OR","EQY_CONSOLIDATED=Y","Sort=A","Dates=H","DateFormat=P","Fill=—","Direction=H","UseDPDF=Y")</f>
        <v>#NAME?</v>
      </c>
      <c r="BM277" s="1" t="e">
        <f ca="1">_xll.BDH($C$253,"INVENTORY_SEQUENTIAL_GROWTH","FQ4 2018","FQ4 2018","Currency=INR","Period=FQ","BEST_FPERIOD_OVERRIDE=FQ","FILING_STATUS=OR","EQY_CONSOLIDATED=Y","Sort=A","Dates=H","DateFormat=P","Fill=—","Direction=H","UseDPDF=Y")</f>
        <v>#NAME?</v>
      </c>
      <c r="BN277" s="1" t="e">
        <f ca="1">_xll.BDH($C$253,"FIXED_ASSETS_SEQUENTIAL_GROWTH","FQ4 2018","FQ4 2018","Currency=INR","Period=FQ","BEST_FPERIOD_OVERRIDE=FQ","FILING_STATUS=OR","EQY_CONSOLIDATED=Y","Sort=A","Dates=H","DateFormat=P","Fill=—","Direction=H","UseDPDF=Y")</f>
        <v>#NAME?</v>
      </c>
      <c r="BO277" s="1" t="e">
        <f ca="1">_xll.BDH($C$253,"TOTAL_ASSETS_SEQUENTIAL_GROWTH","FQ4 2018","FQ4 2018","Currency=INR","Period=FQ","BEST_FPERIOD_OVERRIDE=FQ","FILING_STATUS=OR","EQY_CONSOLIDATED=Y","Sort=A","Dates=H","DateFormat=P","Fill=—","Direction=H","UseDPDF=Y")</f>
        <v>#NAME?</v>
      </c>
      <c r="BP277" s="1" t="e">
        <f ca="1">_xll.BDH($C$253,"MODIFIED_WORKING_CPTL_SEQ_GRWTH","FQ4 2018","FQ4 2018","Currency=INR","Period=FQ","BEST_FPERIOD_OVERRIDE=FQ","FILING_STATUS=OR","EQY_CONSOLIDATED=Y","Sort=A","Dates=H","DateFormat=P","Fill=—","Direction=H","UseDPDF=Y")</f>
        <v>#NAME?</v>
      </c>
      <c r="BQ277" s="1" t="e">
        <f ca="1">_xll.BDH($C$253,"WORKING_CAPITAL_SEQ_GROWTH","FQ4 2018","FQ4 2018","Currency=INR","Period=FQ","BEST_FPERIOD_OVERRIDE=FQ","FILING_STATUS=OR","EQY_CONSOLIDATED=Y","Sort=A","Dates=H","DateFormat=P","Fill=—","Direction=H","UseDPDF=Y")</f>
        <v>#NAME?</v>
      </c>
      <c r="BR277" s="1" t="e">
        <f ca="1">_xll.BDH($C$253,"ACCOUNTS_PAYABLE_SEQ_GROWTH","FQ4 2018","FQ4 2018","Currency=INR","Period=FQ","BEST_FPERIOD_OVERRIDE=FQ","FILING_STATUS=OR","EQY_CONSOLIDATED=Y","Sort=A","Dates=H","DateFormat=P","Fill=—","Direction=H","UseDPDF=Y")</f>
        <v>#NAME?</v>
      </c>
      <c r="BS277" s="1" t="e">
        <f ca="1">_xll.BDH($C$253,"ST_DEBT_SEQUENTIAL_GROWTH","FQ4 2018","FQ4 2018","Currency=INR","Period=FQ","BEST_FPERIOD_OVERRIDE=FQ","FILING_STATUS=OR","EQY_CONSOLIDATED=Y","Sort=A","Dates=H","DateFormat=P","Fill=—","Direction=H","UseDPDF=Y")</f>
        <v>#NAME?</v>
      </c>
      <c r="BT277" s="1" t="e">
        <f ca="1">_xll.BDH($C$253,"TOTAL_DEBT_SEQUENTIAL_GROWTH","FQ4 2018","FQ4 2018","Currency=INR","Period=FQ","BEST_FPERIOD_OVERRIDE=FQ","FILING_STATUS=OR","EQY_CONSOLIDATED=Y","Sort=A","Dates=H","DateFormat=P","Fill=—","Direction=H","UseDPDF=Y")</f>
        <v>#NAME?</v>
      </c>
      <c r="BU277" s="1" t="e">
        <f ca="1">_xll.BDH($C$253,"TOTAL_EQUITY_SEQUENTIAL_GROWTH","FQ4 2018","FQ4 2018","Currency=INR","Period=FQ","BEST_FPERIOD_OVERRIDE=FQ","FILING_STATUS=OR","EQY_CONSOLIDATED=Y","Sort=A","Dates=H","DateFormat=P","Fill=—","Direction=H","UseDPDF=Y")</f>
        <v>#NAME?</v>
      </c>
      <c r="BV277" s="1" t="e">
        <f ca="1">_xll.BDH($C$253,"TOTAL_CAPITAL_SEQUENTIAL_GROWTH","FQ4 2018","FQ4 2018","Currency=INR","Period=FQ","BEST_FPERIOD_OVERRIDE=FQ","FILING_STATUS=OR","EQY_CONSOLIDATED=Y","Sort=A","Dates=H","DateFormat=P","Fill=—","Direction=H","UseDPDF=Y")</f>
        <v>#NAME?</v>
      </c>
      <c r="BW277" s="1" t="e">
        <f ca="1">_xll.BDH($C$253,"BPS_SEQUENTIAL_GROWTH","FQ4 2018","FQ4 2018","Currency=INR","Period=FQ","BEST_FPERIOD_OVERRIDE=FQ","FILING_STATUS=OR","EQY_CONSOLIDATED=Y","Sort=A","Dates=H","DateFormat=P","Fill=—","Direction=H","UseDPDF=Y")</f>
        <v>#NAME?</v>
      </c>
      <c r="BX277" s="1" t="e">
        <f ca="1">_xll.BDH($C$253,"CFO_SEQUENTIAL_GROWTH","FQ4 2018","FQ4 2018","Currency=INR","Period=FQ","BEST_FPERIOD_OVERRIDE=FQ","FILING_STATUS=OR","EQY_CONSOLIDATED=Y","Sort=A","Dates=H","DateFormat=P","Fill=—","Direction=H","UseDPDF=Y")</f>
        <v>#NAME?</v>
      </c>
      <c r="BY277" s="2" t="e">
        <f ca="1">_xll.BDH($C$253,"SHORT_AND_LONG_TERM_DEBT","FQ4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77" s="2" t="e">
        <f ca="1">_xll.BDH($C$253,"BS_ST_BORROW","FQ4 2018","FQ4 2018","Currency=INR","Period=FQ","BEST_FPERIOD_OVERRIDE=FQ","FILING_STATUS=OR","EQY_CONSOLIDATED=Y","SCALING_FORMAT=MLN","Sort=A","Dates=H","DateFormat=P","Fill=—","Direction=H","UseDPDF=Y")</f>
        <v>#NAME?</v>
      </c>
      <c r="CA277" s="2" t="e">
        <f ca="1">_xll.BDH($C$253,"BS_LT_BORROW","FQ4 2018","FQ4 2018","Currency=INR","Period=FQ","BEST_FPERIOD_OVERRIDE=FQ","FILING_STATUS=OR","EQY_CONSOLIDATED=Y","SCALING_FORMAT=MLN","Sort=A","Dates=H","DateFormat=P","Fill=—","Direction=H","UseDPDF=Y")</f>
        <v>#NAME?</v>
      </c>
      <c r="CB277" s="1" t="e">
        <f ca="1">_xll.BDH($C$253,"TOT_DEBT_TO_EBITDA","FQ4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77" s="1" t="e">
        <f ca="1">_xll.BDH($C$253,"NET_DEBT_TO_EBITDA","FQ4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77" s="1" t="e">
        <f ca="1">_xll.BDH($C$253,"TOTAL_DEBT_TO_EBIT","FQ4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77" s="1" t="e">
        <f ca="1">_xll.BDH($C$253,"NET_DEBT_TO_EBIT","FQ4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277" s="1" t="e">
        <f ca="1">_xll.BDH($C$253,"EBITDA_TO_INTEREST_EXPN","FQ4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77" s="1" t="e">
        <f ca="1">_xll.BDH($C$253,"COM_EQY_TO_TOT_ASSET","FQ4 2018","FQ4 2018","Currency=INR","Period=FQ","BEST_FPERIOD_OVERRIDE=FQ","FILING_STATUS=OR","EQY_CONSOLIDATED=Y","Sort=A","Dates=H","DateFormat=P","Fill=—","Direction=H","UseDPDF=Y")</f>
        <v>#NAME?</v>
      </c>
      <c r="CH277" s="1" t="e">
        <f ca="1">_xll.BDH($C$253,"LT_DEBT_TO_TOT_EQY","FQ4 2018","FQ4 2018","Currency=INR","Period=FQ","BEST_FPERIOD_OVERRIDE=FQ","FILING_STATUS=OR","EQY_CONSOLIDATED=Y","Sort=A","Dates=H","DateFormat=P","Fill=—","Direction=H","UseDPDF=Y")</f>
        <v>#NAME?</v>
      </c>
      <c r="CI277" s="1" t="e">
        <f ca="1">_xll.BDH($C$253,"LT_DEBT_TO_TOT_CAP","FQ4 2018","FQ4 2018","Currency=INR","Period=FQ","BEST_FPERIOD_OVERRIDE=FQ","FILING_STATUS=OR","EQY_CONSOLIDATED=Y","Sort=A","Dates=H","DateFormat=P","Fill=—","Direction=H","UseDPDF=Y")</f>
        <v>#NAME?</v>
      </c>
      <c r="CJ277" s="1" t="e">
        <f ca="1">_xll.BDH($C$253,"LT_DEBT_TO_TOT_ASSET","FQ4 2018","FQ4 2018","Currency=INR","Period=FQ","BEST_FPERIOD_OVERRIDE=FQ","FILING_STATUS=OR","EQY_CONSOLIDATED=Y","Sort=A","Dates=H","DateFormat=P","Fill=—","Direction=H","UseDPDF=Y")</f>
        <v>#NAME?</v>
      </c>
      <c r="CK277" s="1" t="e">
        <f ca="1">_xll.BDH($C$253,"TOT_DEBT_TO_TOT_EQY","FQ4 2018","FQ4 2018","Currency=INR","Period=FQ","BEST_FPERIOD_OVERRIDE=FQ","FILING_STATUS=OR","EQY_CONSOLIDATED=Y","Sort=A","Dates=H","DateFormat=P","Fill=—","Direction=H","UseDPDF=Y")</f>
        <v>#NAME?</v>
      </c>
      <c r="CL277" s="1" t="e">
        <f ca="1">_xll.BDH($C$253,"TOT_DEBT_TO_TOT_CAP","FQ4 2018","FQ4 2018","Currency=INR","Period=FQ","BEST_FPERIOD_OVERRIDE=FQ","FILING_STATUS=OR","EQY_CONSOLIDATED=Y","Sort=A","Dates=H","DateFormat=P","Fill=—","Direction=H","UseDPDF=Y")</f>
        <v>#NAME?</v>
      </c>
      <c r="CM277" s="1" t="e">
        <f ca="1">_xll.BDH($C$253,"TOT_DEBT_TO_TOT_ASSET","FQ4 2018","FQ4 2018","Currency=INR","Period=FQ","BEST_FPERIOD_OVERRIDE=FQ","FILING_STATUS=OR","EQY_CONSOLIDATED=Y","Sort=A","Dates=H","DateFormat=P","Fill=—","Direction=H","UseDPDF=Y")</f>
        <v>#NAME?</v>
      </c>
      <c r="CN277" s="1" t="e">
        <f ca="1">_xll.BDH($C$253,"NET_DEBT_TO_SHRHLDR_EQTY","FQ4 2018","FQ4 2018","Currency=INR","Period=FQ","BEST_FPERIOD_OVERRIDE=FQ","FILING_STATUS=OR","EQY_CONSOLIDATED=Y","Sort=A","Dates=H","DateFormat=P","Fill=—","Direction=H","UseDPDF=Y")</f>
        <v>#NAME?</v>
      </c>
      <c r="CO277" s="1" t="e">
        <f ca="1">_xll.BDH($C$253,"NET_DEBT_%_CAPITAL","FQ4 2018","FQ4 2018","Currency=INR","Period=FQ","BEST_FPERIOD_OVERRIDE=FQ","FILING_STATUS=OR","EQY_CONSOLIDATED=Y","Sort=A","Dates=H","DateFormat=P","Fill=—","Direction=H","UseDPDF=Y")</f>
        <v>#NAME?</v>
      </c>
      <c r="CP277" s="2" t="e">
        <f ca="1">_xll.BDH($C$253,"EBITDA","FQ4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77" s="2" t="e">
        <f ca="1">_xll.BDH($C$253,"EBITDA_AFTER_CAPEX","FQ4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77" s="2" t="e">
        <f ca="1">_xll.BDH($C$253,"IS_OPER_INC","FQ4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77" s="1" t="e">
        <f ca="1">_xll.BDH($C$253,"CASH_RATIO","FQ4 2018","FQ4 2018","Currency=INR","Period=FQ","BEST_FPERIOD_OVERRIDE=FQ","FILING_STATUS=OR","EQY_CONSOLIDATED=Y","Sort=A","Dates=H","DateFormat=P","Fill=—","Direction=H","UseDPDF=Y")</f>
        <v>#NAME?</v>
      </c>
      <c r="CT277" s="1" t="e">
        <f ca="1">_xll.BDH($C$253,"CUR_RATIO","FQ4 2018","FQ4 2018","Currency=INR","Period=FQ","BEST_FPERIOD_OVERRIDE=FQ","FILING_STATUS=OR","EQY_CONSOLIDATED=Y","Sort=A","Dates=H","DateFormat=P","Fill=—","Direction=H","UseDPDF=Y")</f>
        <v>#NAME?</v>
      </c>
      <c r="CU277" s="1" t="e">
        <f ca="1">_xll.BDH($C$253,"QUICK_RATIO","FQ4 2018","FQ4 2018","Currency=INR","Period=FQ","BEST_FPERIOD_OVERRIDE=FQ","FILING_STATUS=OR","EQY_CONSOLIDATED=Y","Sort=A","Dates=H","DateFormat=P","Fill=—","Direction=H","UseDPDF=Y")</f>
        <v>#NAME?</v>
      </c>
      <c r="CV277" s="1" t="e">
        <f ca="1">_xll.BDH($C$253,"ALTMAN_Z_SCORE","FQ4 2018","FQ4 2018","Currency=INR","Period=FQ","BEST_FPERIOD_OVERRIDE=FQ","FILING_STATUS=OR","EQY_CONSOLIDATED=Y","Sort=A","Dates=H","DateFormat=P","Fill=—","Direction=H","UseDPDF=Y")</f>
        <v>#NAME?</v>
      </c>
      <c r="CW277" s="3" t="e">
        <f ca="1">_xll.BDH($C$253,"ACCT_RCV_TURN","FQ4 2018","FQ4 2018","Currency=INR","Period=FQ","BEST_FPERIOD_OVERRIDE=FQ","FILING_STATUS=OR","EQY_CONSOLIDATED=Y","FA_ADJUSTED=GAAP","Sort=A","Dates=H","DateFormat=P","Fill=—","Direction=H","UseDPDF=Y")</f>
        <v>#NAME?</v>
      </c>
      <c r="CX277" s="1" t="e">
        <f ca="1">_xll.BDH($C$253,"ACCT_RCV_DAYS","FQ4 2018","FQ4 2018","Currency=INR","Period=FQ","BEST_FPERIOD_OVERRIDE=FQ","FILING_STATUS=OR","EQY_CONSOLIDATED=Y","FA_ADJUSTED=GAAP","Sort=A","Dates=H","DateFormat=P","Fill=—","Direction=H","UseDPDF=Y")</f>
        <v>#NAME?</v>
      </c>
      <c r="CY277" s="3" t="e">
        <f ca="1">_xll.BDH($C$253,"INVENT_TURN","FQ4 2018","FQ4 2018","Currency=INR","Period=FQ","BEST_FPERIOD_OVERRIDE=FQ","FILING_STATUS=OR","EQY_CONSOLIDATED=Y","FA_ADJUSTED=GAAP","Sort=A","Dates=H","DateFormat=P","Fill=—","Direction=H","UseDPDF=Y")</f>
        <v>#NAME?</v>
      </c>
      <c r="CZ277" s="1" t="e">
        <f ca="1">_xll.BDH($C$253,"INVENT_DAYS","FQ4 2018","FQ4 2018","Currency=INR","Period=FQ","BEST_FPERIOD_OVERRIDE=FQ","FILING_STATUS=OR","EQY_CONSOLIDATED=Y","FA_ADJUSTED=GAAP","Sort=A","Dates=H","DateFormat=P","Fill=—","Direction=H","UseDPDF=Y")</f>
        <v>#NAME?</v>
      </c>
      <c r="DA277" s="3" t="e">
        <f ca="1">_xll.BDH($C$253,"ACCOUNTS_PAYABLE_TURNOVER","FQ4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77" s="1" t="e">
        <f ca="1">_xll.BDH($C$253,"ACCOUNTS_PAYABLE_TURNOVER_DAYS","FQ4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77" s="3" t="e">
        <f ca="1">_xll.BDH($C$253,"CASH_CONVERSION_CYCLE","FQ4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77" s="3" t="e">
        <f ca="1">_xll.BDH($C$253,"INV_TO_CASH_DAYS","FQ4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277" s="4" t="e">
        <f ca="1">_xll.BDH($C$253,"BS_INVENTORIES","FQ4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277" s="2" t="e">
        <f ca="1">_xll.BDH($C$253,"INVTRY_RAW_MATERIALS","FQ4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77" s="2" t="e">
        <f ca="1">_xll.BDH($C$253,"INVTRY_IN_PROGRESS","FQ4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77" s="2" t="e">
        <f ca="1">_xll.BDH($C$253,"INVTRY_FINISHED_GOODS","FQ4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77" s="2" t="e">
        <f ca="1">_xll.BDH($C$253,"BS_OTHER_INV","FQ4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78" spans="1:113" x14ac:dyDescent="0.3">
      <c r="A278" s="6">
        <v>62</v>
      </c>
      <c r="B278" s="6" t="s">
        <v>32</v>
      </c>
      <c r="C278" s="6" t="s">
        <v>33</v>
      </c>
      <c r="D278" s="6" t="s">
        <v>2</v>
      </c>
      <c r="E278" t="s">
        <v>3</v>
      </c>
      <c r="F278" t="e">
        <f ca="1">_xll.BDH($C$278,"RETURN_COM_EQY","FY 2014","FY 2014","Currency=INR","Period=FY","BEST_FPERIOD_OVERRIDE=FY","FILING_STATUS=OR","EQY_CONSOLIDATED=Y","FA_ADJUSTED=GAAP","Sort=A","Dates=H","DateFormat=P","Fill=—","Direction=H","UseDPDF=Y")</f>
        <v>#NAME?</v>
      </c>
      <c r="G278" t="e">
        <f ca="1">_xll.BDH($C$278,"RETURN_ON_ASSET","FY 2014","FY 2014","Currency=INR","Period=FY","BEST_FPERIOD_OVERRIDE=FY","FILING_STATUS=OR","EQY_CONSOLIDATED=Y","FA_ADJUSTED=GAAP","Sort=A","Dates=H","DateFormat=P","Fill=—","Direction=H","UseDPDF=Y")</f>
        <v>#NAME?</v>
      </c>
      <c r="H278" t="e">
        <f ca="1">_xll.BDH($C$278,"RETURN_ON_CAP","FY 2014","FY 2014","Currency=INR","Period=FY","BEST_FPERIOD_OVERRIDE=FY","FILING_STATUS=OR","EQY_CONSOLIDATED=Y","FA_ADJUSTED=GAAP","Sort=A","Dates=H","DateFormat=P","Fill=—","Direction=H","UseDPDF=Y")</f>
        <v>#NAME?</v>
      </c>
      <c r="I278" t="e">
        <f ca="1">_xll.BDH($C$278,"RETURN_ON_INV_CAPITAL","FY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78" t="e">
        <f ca="1">_xll.BDH($C$278,"EBITDA_TO_REVENUE","FY 2014","FY 2014","Currency=INR","Period=FY","BEST_FPERIOD_OVERRIDE=FY","FILING_STATUS=OR","EQY_CONSOLIDATED=Y","FA_ADJUSTED=GAAP","Sort=A","Dates=H","DateFormat=P","Fill=—","Direction=H","UseDPDF=Y")</f>
        <v>#NAME?</v>
      </c>
      <c r="K278" t="e">
        <f ca="1">_xll.BDH($C$278,"OPER_MARGIN","FY 2014","FY 2014","Currency=INR","Period=FY","BEST_FPERIOD_OVERRIDE=FY","FILING_STATUS=OR","EQY_CONSOLIDATED=Y","FA_ADJUSTED=GAAP","Sort=A","Dates=H","DateFormat=P","Fill=—","Direction=H","UseDPDF=Y")</f>
        <v>#NAME?</v>
      </c>
      <c r="L278" t="e">
        <f ca="1">_xll.BDH($C$278,"INCREMENTAL_OPERATING_MARGIN","FY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78" t="e">
        <f ca="1">_xll.BDH($C$278,"PRETAX_INC_TO_NET_SALES","FY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78" t="e">
        <f ca="1">_xll.BDH($C$278,"INC_BEF_XO_ITEMS_TO_NET_SALES","FY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78" t="e">
        <f ca="1">_xll.BDH($C$278,"PROF_MARGIN","FY 2014","FY 2014","Currency=INR","Period=FY","BEST_FPERIOD_OVERRIDE=FY","FILING_STATUS=OR","EQY_CONSOLIDATED=Y","FA_ADJUSTED=GAAP","Sort=A","Dates=H","DateFormat=P","Fill=—","Direction=H","UseDPDF=Y")</f>
        <v>#NAME?</v>
      </c>
      <c r="P278" t="e">
        <f ca="1">_xll.BDH($C$278,"NET_INCOME_TO_COMMON_MARGIN","FY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78" t="e">
        <f ca="1">_xll.BDH($C$278,"EFF_TAX_RATE","FY 2014","FY 2014","Currency=INR","Period=FY","BEST_FPERIOD_OVERRIDE=FY","FILING_STATUS=OR","EQY_CONSOLIDATED=Y","FA_ADJUSTED=GAAP","Sort=A","Dates=H","DateFormat=P","Fill=—","Direction=H","UseDPDF=Y")</f>
        <v>#NAME?</v>
      </c>
      <c r="R278" t="e">
        <f ca="1">_xll.BDH($C$278,"DVD_PAYOUT_RATIO","FY 2014","FY 2014","Currency=INR","Period=FY","BEST_FPERIOD_OVERRIDE=FY","FILING_STATUS=OR","EQY_CONSOLIDATED=Y","FA_ADJUSTED=GAAP","Sort=A","Dates=H","DateFormat=P","Fill=—","Direction=H","UseDPDF=Y")</f>
        <v>#NAME?</v>
      </c>
      <c r="S278" t="e">
        <f ca="1">_xll.BDH($C$278,"SUSTAIN_GROWTH_RT","FY 2014","FY 2014","Currency=INR","Period=FY","BEST_FPERIOD_OVERRIDE=FY","FILING_STATUS=OR","EQY_CONSOLIDATED=Y","FA_ADJUSTED=GAAP","Sort=A","Dates=H","DateFormat=P","Fill=—","Direction=H","UseDPDF=Y")</f>
        <v>#NAME?</v>
      </c>
      <c r="T278" s="1" t="e">
        <f ca="1">_xll.BDH($C$278,"SALES_GROWTH","FY 2014","FY 2014","Currency=INR","Period=FY","BEST_FPERIOD_OVERRIDE=FY","FILING_STATUS=OR","EQY_CONSOLIDATED=Y","FA_ADJUSTED=GAAP","Sort=A","Dates=H","DateFormat=P","Fill=—","Direction=H","UseDPDF=Y")</f>
        <v>#NAME?</v>
      </c>
      <c r="U278" s="1" t="e">
        <f ca="1">_xll.BDH($C$278,"EBITDA_GROWTH","FY 2014","FY 2014","Currency=INR","Period=FY","BEST_FPERIOD_OVERRIDE=FY","FILING_STATUS=OR","EQY_CONSOLIDATED=Y","FA_ADJUSTED=GAAP","Sort=A","Dates=H","DateFormat=P","Fill=—","Direction=H","UseDPDF=Y")</f>
        <v>#NAME?</v>
      </c>
      <c r="V278" s="1" t="e">
        <f ca="1">_xll.BDH($C$278,"OPER_INC_GROWTH","FY 2014","FY 2014","Currency=INR","Period=FY","BEST_FPERIOD_OVERRIDE=FY","FILING_STATUS=OR","EQY_CONSOLIDATED=Y","FA_ADJUSTED=GAAP","Sort=A","Dates=H","DateFormat=P","Fill=—","Direction=H","UseDPDF=Y")</f>
        <v>#NAME?</v>
      </c>
      <c r="W278" s="1" t="e">
        <f ca="1">_xll.BDH($C$278,"EARN_FOR_COM_GROWTH","FY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278" s="1" t="e">
        <f ca="1">_xll.BDH($C$278,"DILUTED_EPS_AFT_XO_ITEMS_GROWTH","FY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78" s="1" t="e">
        <f ca="1">_xll.BDH($C$278,"DIVIDEND_PER_SHARE_1_YEAR_GROWTH","FY 2014","FY 2014","Currency=INR","Period=FY","BEST_FPERIOD_OVERRIDE=FY","FILING_STATUS=OR","EQY_CONSOLIDATED=Y","Sort=A","Dates=H","DateFormat=P","Fill=—","Direction=H","UseDPDF=Y")</f>
        <v>#NAME?</v>
      </c>
      <c r="Z278" s="1" t="e">
        <f ca="1">_xll.BDH($C$278,"ACCOUNTS_RECEIVABLE_GROWTH","FY 2014","FY 2014","Currency=INR","Period=FY","BEST_FPERIOD_OVERRIDE=FY","FILING_STATUS=OR","EQY_CONSOLIDATED=Y","Sort=A","Dates=H","DateFormat=P","Fill=—","Direction=H","UseDPDF=Y")</f>
        <v>#NAME?</v>
      </c>
      <c r="AA278" s="1" t="e">
        <f ca="1">_xll.BDH($C$278,"INVENTORY_GROWTH","FY 2014","FY 2014","Currency=INR","Period=FY","BEST_FPERIOD_OVERRIDE=FY","FILING_STATUS=OR","EQY_CONSOLIDATED=Y","Sort=A","Dates=H","DateFormat=P","Fill=—","Direction=H","UseDPDF=Y")</f>
        <v>#NAME?</v>
      </c>
      <c r="AB278" s="1" t="e">
        <f ca="1">_xll.BDH($C$278,"NET_FIXED_ASSETS_1_YEAR_GROWTH","FY 2014","FY 2014","Currency=INR","Period=FY","BEST_FPERIOD_OVERRIDE=FY","FILING_STATUS=OR","EQY_CONSOLIDATED=Y","Sort=A","Dates=H","DateFormat=P","Fill=—","Direction=H","UseDPDF=Y")</f>
        <v>#NAME?</v>
      </c>
      <c r="AC278" s="1" t="e">
        <f ca="1">_xll.BDH($C$278,"ASSET_GROWTH","FY 2014","FY 2014","Currency=INR","Period=FY","BEST_FPERIOD_OVERRIDE=FY","FILING_STATUS=OR","EQY_CONSOLIDATED=Y","Sort=A","Dates=H","DateFormat=P","Fill=—","Direction=H","UseDPDF=Y")</f>
        <v>#NAME?</v>
      </c>
      <c r="AD278" s="1" t="e">
        <f ca="1">_xll.BDH($C$278,"MODIFIED_WORK_CAP_GROWTH","FY 2014","FY 2014","Currency=INR","Period=FY","BEST_FPERIOD_OVERRIDE=FY","FILING_STATUS=OR","EQY_CONSOLIDATED=Y","Sort=A","Dates=H","DateFormat=P","Fill=—","Direction=H","UseDPDF=Y")</f>
        <v>#NAME?</v>
      </c>
      <c r="AE278" s="1" t="e">
        <f ca="1">_xll.BDH($C$278,"WORK_CAP_GROWTH","FY 2014","FY 2014","Currency=INR","Period=FY","BEST_FPERIOD_OVERRIDE=FY","FILING_STATUS=OR","EQY_CONSOLIDATED=Y","Sort=A","Dates=H","DateFormat=P","Fill=—","Direction=H","UseDPDF=Y")</f>
        <v>#NAME?</v>
      </c>
      <c r="AF278" s="1" t="e">
        <f ca="1">_xll.BDH($C$278,"ACCOUNTS_PAYABLE_GROWTH_1YR","FY 2014","FY 2014","Currency=INR","Period=FY","BEST_FPERIOD_OVERRIDE=FY","FILING_STATUS=OR","EQY_CONSOLIDATED=Y","Sort=A","Dates=H","DateFormat=P","Fill=—","Direction=H","UseDPDF=Y")</f>
        <v>#NAME?</v>
      </c>
      <c r="AG278" s="1" t="e">
        <f ca="1">_xll.BDH($C$278,"SHORT_TERM_DEBT_1_YEAR_GROWTH","FY 2014","FY 2014","Currency=INR","Period=FY","BEST_FPERIOD_OVERRIDE=FY","FILING_STATUS=OR","EQY_CONSOLIDATED=Y","Sort=A","Dates=H","DateFormat=P","Fill=—","Direction=H","UseDPDF=Y")</f>
        <v>#NAME?</v>
      </c>
      <c r="AH278" s="1" t="e">
        <f ca="1">_xll.BDH($C$278,"TOTAL_DEBT_1_YEAR_GROWTH","FY 2014","FY 2014","Currency=INR","Period=FY","BEST_FPERIOD_OVERRIDE=FY","FILING_STATUS=OR","EQY_CONSOLIDATED=Y","Sort=A","Dates=H","DateFormat=P","Fill=—","Direction=H","UseDPDF=Y")</f>
        <v>#NAME?</v>
      </c>
      <c r="AI278" s="1" t="e">
        <f ca="1">_xll.BDH($C$278,"TOTAL_EQUITY_1_YEAR_GROWTH","FY 2014","FY 2014","Currency=INR","Period=FY","BEST_FPERIOD_OVERRIDE=FY","FILING_STATUS=OR","EQY_CONSOLIDATED=Y","Sort=A","Dates=H","DateFormat=P","Fill=—","Direction=H","UseDPDF=Y")</f>
        <v>#NAME?</v>
      </c>
      <c r="AJ278" s="1" t="e">
        <f ca="1">_xll.BDH($C$278,"GROWTH_IN_CAP","FY 2014","FY 2014","Currency=INR","Period=FY","BEST_FPERIOD_OVERRIDE=FY","FILING_STATUS=OR","EQY_CONSOLIDATED=Y","Sort=A","Dates=H","DateFormat=P","Fill=—","Direction=H","UseDPDF=Y")</f>
        <v>#NAME?</v>
      </c>
      <c r="AK278" s="1" t="e">
        <f ca="1">_xll.BDH($C$278,"BVPS_GROWTH","FY 2014","FY 2014","Currency=INR","Period=FY","BEST_FPERIOD_OVERRIDE=FY","FILING_STATUS=OR","EQY_CONSOLIDATED=Y","Sort=A","Dates=H","DateFormat=P","Fill=—","Direction=H","UseDPDF=Y")</f>
        <v>#NAME?</v>
      </c>
      <c r="AL278" s="1" t="e">
        <f ca="1">_xll.BDH($C$278,"CASH_FLOW_GROWTH","FY 2014","FY 2014","Currency=INR","Period=FY","BEST_FPERIOD_OVERRIDE=FY","FILING_STATUS=OR","EQY_CONSOLIDATED=Y","Sort=A","Dates=H","DateFormat=P","Fill=—","Direction=H","UseDPDF=Y")</f>
        <v>#NAME?</v>
      </c>
      <c r="AM278" s="1" t="e">
        <f ca="1">_xll.BDH($C$278,"GEO_GROW_NET_SALES","FY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278" s="1" t="e">
        <f ca="1">_xll.BDH($C$278,"GEO_GROW_EBITDA","FY 2014","FY 2014","Currency=INR","Period=FY","BEST_FPERIOD_OVERRIDE=FY","FILING_STATUS=OR","EQY_CONSOLIDATED=Y","FA_ADJUSTED=GAAP","Sort=A","Dates=H","DateFormat=P","Fill=—","Direction=H","UseDPDF=Y")</f>
        <v>#NAME?</v>
      </c>
      <c r="AO278" s="1" t="e">
        <f ca="1">_xll.BDH($C$278,"GEO_GROW_OPER_INC","FY 2014","FY 2014","Currency=INR","Period=FY","BEST_FPERIOD_OVERRIDE=FY","FILING_STATUS=OR","EQY_CONSOLIDATED=Y","FA_ADJUSTED=GAAP","Sort=A","Dates=H","DateFormat=P","Fill=—","Direction=H","UseDPDF=Y")</f>
        <v>#NAME?</v>
      </c>
      <c r="AP278" s="1" t="e">
        <f ca="1">_xll.BDH($C$278,"NET_INCOME_TO_COMMON_5_YR_GROWTH","FY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78" s="1" t="e">
        <f ca="1">_xll.BDH($C$278,"5Y_GEO_GROWTH_DILUTED_EPS","FY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78" s="1" t="e">
        <f ca="1">_xll.BDH($C$278,"GEO_GROW_DVD_PER_SH","FY 2014","FY 2014","Currency=INR","Period=FY","BEST_FPERIOD_OVERRIDE=FY","FILING_STATUS=OR","EQY_CONSOLIDATED=Y","Sort=A","Dates=H","DateFormat=P","Fill=—","Direction=H","UseDPDF=Y")</f>
        <v>#NAME?</v>
      </c>
      <c r="AS278" s="1" t="e">
        <f ca="1">_xll.BDH($C$278,"ACCOUNTS_RECEIVABLE_5_YR_GROWTH","FY 2014","FY 2014","Currency=INR","Period=FY","BEST_FPERIOD_OVERRIDE=FY","FILING_STATUS=OR","EQY_CONSOLIDATED=Y","Sort=A","Dates=H","DateFormat=P","Fill=—","Direction=H","UseDPDF=Y")</f>
        <v>#NAME?</v>
      </c>
      <c r="AT278" s="1" t="e">
        <f ca="1">_xll.BDH($C$278,"INVENTORY_5_YEAR_GROWTH","FY 2014","FY 2014","Currency=INR","Period=FY","BEST_FPERIOD_OVERRIDE=FY","FILING_STATUS=OR","EQY_CONSOLIDATED=Y","Sort=A","Dates=H","DateFormat=P","Fill=—","Direction=H","UseDPDF=Y")</f>
        <v>#NAME?</v>
      </c>
      <c r="AU278" s="1" t="e">
        <f ca="1">_xll.BDH($C$278,"NET_FIXED_ASSETS_5_YEAR_GROWTH","FY 2014","FY 2014","Currency=INR","Period=FY","BEST_FPERIOD_OVERRIDE=FY","FILING_STATUS=OR","EQY_CONSOLIDATED=Y","Sort=A","Dates=H","DateFormat=P","Fill=—","Direction=H","UseDPDF=Y")</f>
        <v>#NAME?</v>
      </c>
      <c r="AV278" s="1" t="e">
        <f ca="1">_xll.BDH($C$278,"GEO_GROW_TOT_ASSET","FY 2014","FY 2014","Currency=INR","Period=FY","BEST_FPERIOD_OVERRIDE=FY","FILING_STATUS=OR","EQY_CONSOLIDATED=Y","Sort=A","Dates=H","DateFormat=P","Fill=—","Direction=H","UseDPDF=Y")</f>
        <v>#NAME?</v>
      </c>
      <c r="AW278" s="1" t="e">
        <f ca="1">_xll.BDH($C$278,"MODIFIED_WORKING_CPTL_5YR_GRWTH","FY 2014","FY 2014","Currency=INR","Period=FY","BEST_FPERIOD_OVERRIDE=FY","FILING_STATUS=OR","EQY_CONSOLIDATED=Y","Sort=A","Dates=H","DateFormat=P","Fill=—","Direction=H","UseDPDF=Y")</f>
        <v>#NAME?</v>
      </c>
      <c r="AX278" s="1" t="e">
        <f ca="1">_xll.BDH($C$278,"WORKING_CAPITAL_5_YEAR_GROWTH","FY 2014","FY 2014","Currency=INR","Period=FY","BEST_FPERIOD_OVERRIDE=FY","FILING_STATUS=OR","EQY_CONSOLIDATED=Y","Sort=A","Dates=H","DateFormat=P","Fill=—","Direction=H","UseDPDF=Y")</f>
        <v>#NAME?</v>
      </c>
      <c r="AY278" s="1" t="e">
        <f ca="1">_xll.BDH($C$278,"ACCOUNTS_PAYABLE_5_YEAR_GROWTH","FY 2014","FY 2014","Currency=INR","Period=FY","BEST_FPERIOD_OVERRIDE=FY","FILING_STATUS=OR","EQY_CONSOLIDATED=Y","Sort=A","Dates=H","DateFormat=P","Fill=—","Direction=H","UseDPDF=Y")</f>
        <v>#NAME?</v>
      </c>
      <c r="AZ278" s="1" t="e">
        <f ca="1">_xll.BDH($C$278,"SHORT_TERM_DEBT_5_YEAR_GROWTH","FY 2014","FY 2014","Currency=INR","Period=FY","BEST_FPERIOD_OVERRIDE=FY","FILING_STATUS=OR","EQY_CONSOLIDATED=Y","Sort=A","Dates=H","DateFormat=P","Fill=—","Direction=H","UseDPDF=Y")</f>
        <v>#NAME?</v>
      </c>
      <c r="BA278" s="1" t="e">
        <f ca="1">_xll.BDH($C$278,"TOTAL_DEBT_5_YEAR_GROWTH","FY 2014","FY 2014","Currency=INR","Period=FY","BEST_FPERIOD_OVERRIDE=FY","FILING_STATUS=OR","EQY_CONSOLIDATED=Y","Sort=A","Dates=H","DateFormat=P","Fill=—","Direction=H","UseDPDF=Y")</f>
        <v>#NAME?</v>
      </c>
      <c r="BB278" s="1" t="e">
        <f ca="1">_xll.BDH($C$278,"GEO_GROW_TOT_SHRHLDR_EQY","FY 2014","FY 2014","Currency=INR","Period=FY","BEST_FPERIOD_OVERRIDE=FY","FILING_STATUS=OR","EQY_CONSOLIDATED=Y","Sort=A","Dates=H","DateFormat=P","Fill=—","Direction=H","UseDPDF=Y")</f>
        <v>#NAME?</v>
      </c>
      <c r="BC278" s="1" t="e">
        <f ca="1">_xll.BDH($C$278,"TOTAL_CAPITAL_5_YEAR_GROWTH","FY 2014","FY 2014","Currency=INR","Period=FY","BEST_FPERIOD_OVERRIDE=FY","FILING_STATUS=OR","EQY_CONSOLIDATED=Y","Sort=A","Dates=H","DateFormat=P","Fill=—","Direction=H","UseDPDF=Y")</f>
        <v>#NAME?</v>
      </c>
      <c r="BD278" s="1" t="e">
        <f ca="1">_xll.BDH($C$278,"GEO_GROW_BOOK_VAL","FY 2014","FY 2014","Currency=INR","Period=FY","BEST_FPERIOD_OVERRIDE=FY","FILING_STATUS=OR","EQY_CONSOLIDATED=Y","Sort=A","Dates=H","DateFormat=P","Fill=—","Direction=H","UseDPDF=Y")</f>
        <v>#NAME?</v>
      </c>
      <c r="BE278" s="1" t="e">
        <f ca="1">_xll.BDH($C$278,"GEO_GROW_CASH_OPER_ACT","FY 2014","FY 2014","Currency=INR","Period=FY","BEST_FPERIOD_OVERRIDE=FY","FILING_STATUS=OR","EQY_CONSOLIDATED=Y","Sort=A","Dates=H","DateFormat=P","Fill=—","Direction=H","UseDPDF=Y")</f>
        <v>#NAME?</v>
      </c>
      <c r="BF278" s="1" t="e">
        <f ca="1">_xll.BDH($C$278,"REVENUE_SEQUENTIAL_GROWTH","FY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78" s="1" t="e">
        <f ca="1">_xll.BDH($C$278,"EBITDA_SEQUENTIAL_GROWTH","FY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78" s="1" t="e">
        <f ca="1">_xll.BDH($C$278,"OPERATING_INCOME_SEQ_GROWTH","FY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78" s="1" t="e">
        <f ca="1">_xll.BDH($C$278,"NET_INCOME_TO_COMMON_SEQ_GROWTH","FY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78" s="1" t="e">
        <f ca="1">_xll.BDH($C$278,"EPS_DILUTED_SEQUENTIAL_GROWTH","FY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78" s="1" t="e">
        <f ca="1">_xll.BDH($C$278,"DPS_SEQUENTIAL_GROWTH","FY 2014","FY 2014","Currency=INR","Period=FY","BEST_FPERIOD_OVERRIDE=FY","FILING_STATUS=OR","EQY_CONSOLIDATED=Y","Sort=A","Dates=H","DateFormat=P","Fill=—","Direction=H","UseDPDF=Y")</f>
        <v>#NAME?</v>
      </c>
      <c r="BL278" s="1" t="e">
        <f ca="1">_xll.BDH($C$278,"ACCOUNTS_RECEIVABLE_SEQ_GROWTH","FY 2014","FY 2014","Currency=INR","Period=FY","BEST_FPERIOD_OVERRIDE=FY","FILING_STATUS=OR","EQY_CONSOLIDATED=Y","Sort=A","Dates=H","DateFormat=P","Fill=—","Direction=H","UseDPDF=Y")</f>
        <v>#NAME?</v>
      </c>
      <c r="BM278" s="1" t="e">
        <f ca="1">_xll.BDH($C$278,"INVENTORY_SEQUENTIAL_GROWTH","FY 2014","FY 2014","Currency=INR","Period=FY","BEST_FPERIOD_OVERRIDE=FY","FILING_STATUS=OR","EQY_CONSOLIDATED=Y","Sort=A","Dates=H","DateFormat=P","Fill=—","Direction=H","UseDPDF=Y")</f>
        <v>#NAME?</v>
      </c>
      <c r="BN278" s="1" t="e">
        <f ca="1">_xll.BDH($C$278,"FIXED_ASSETS_SEQUENTIAL_GROWTH","FY 2014","FY 2014","Currency=INR","Period=FY","BEST_FPERIOD_OVERRIDE=FY","FILING_STATUS=OR","EQY_CONSOLIDATED=Y","Sort=A","Dates=H","DateFormat=P","Fill=—","Direction=H","UseDPDF=Y")</f>
        <v>#NAME?</v>
      </c>
      <c r="BO278" s="1" t="e">
        <f ca="1">_xll.BDH($C$278,"TOTAL_ASSETS_SEQUENTIAL_GROWTH","FY 2014","FY 2014","Currency=INR","Period=FY","BEST_FPERIOD_OVERRIDE=FY","FILING_STATUS=OR","EQY_CONSOLIDATED=Y","Sort=A","Dates=H","DateFormat=P","Fill=—","Direction=H","UseDPDF=Y")</f>
        <v>#NAME?</v>
      </c>
      <c r="BP278" s="1" t="e">
        <f ca="1">_xll.BDH($C$278,"MODIFIED_WORKING_CPTL_SEQ_GRWTH","FY 2014","FY 2014","Currency=INR","Period=FY","BEST_FPERIOD_OVERRIDE=FY","FILING_STATUS=OR","EQY_CONSOLIDATED=Y","Sort=A","Dates=H","DateFormat=P","Fill=—","Direction=H","UseDPDF=Y")</f>
        <v>#NAME?</v>
      </c>
      <c r="BQ278" s="1" t="e">
        <f ca="1">_xll.BDH($C$278,"WORKING_CAPITAL_SEQ_GROWTH","FY 2014","FY 2014","Currency=INR","Period=FY","BEST_FPERIOD_OVERRIDE=FY","FILING_STATUS=OR","EQY_CONSOLIDATED=Y","Sort=A","Dates=H","DateFormat=P","Fill=—","Direction=H","UseDPDF=Y")</f>
        <v>#NAME?</v>
      </c>
      <c r="BR278" s="1" t="e">
        <f ca="1">_xll.BDH($C$278,"ACCOUNTS_PAYABLE_SEQ_GROWTH","FY 2014","FY 2014","Currency=INR","Period=FY","BEST_FPERIOD_OVERRIDE=FY","FILING_STATUS=OR","EQY_CONSOLIDATED=Y","Sort=A","Dates=H","DateFormat=P","Fill=—","Direction=H","UseDPDF=Y")</f>
        <v>#NAME?</v>
      </c>
      <c r="BS278" s="1" t="e">
        <f ca="1">_xll.BDH($C$278,"ST_DEBT_SEQUENTIAL_GROWTH","FY 2014","FY 2014","Currency=INR","Period=FY","BEST_FPERIOD_OVERRIDE=FY","FILING_STATUS=OR","EQY_CONSOLIDATED=Y","Sort=A","Dates=H","DateFormat=P","Fill=—","Direction=H","UseDPDF=Y")</f>
        <v>#NAME?</v>
      </c>
      <c r="BT278" s="1" t="e">
        <f ca="1">_xll.BDH($C$278,"TOTAL_DEBT_SEQUENTIAL_GROWTH","FY 2014","FY 2014","Currency=INR","Period=FY","BEST_FPERIOD_OVERRIDE=FY","FILING_STATUS=OR","EQY_CONSOLIDATED=Y","Sort=A","Dates=H","DateFormat=P","Fill=—","Direction=H","UseDPDF=Y")</f>
        <v>#NAME?</v>
      </c>
      <c r="BU278" s="1" t="e">
        <f ca="1">_xll.BDH($C$278,"TOTAL_EQUITY_SEQUENTIAL_GROWTH","FY 2014","FY 2014","Currency=INR","Period=FY","BEST_FPERIOD_OVERRIDE=FY","FILING_STATUS=OR","EQY_CONSOLIDATED=Y","Sort=A","Dates=H","DateFormat=P","Fill=—","Direction=H","UseDPDF=Y")</f>
        <v>#NAME?</v>
      </c>
      <c r="BV278" s="1" t="e">
        <f ca="1">_xll.BDH($C$278,"TOTAL_CAPITAL_SEQUENTIAL_GROWTH","FY 2014","FY 2014","Currency=INR","Period=FY","BEST_FPERIOD_OVERRIDE=FY","FILING_STATUS=OR","EQY_CONSOLIDATED=Y","Sort=A","Dates=H","DateFormat=P","Fill=—","Direction=H","UseDPDF=Y")</f>
        <v>#NAME?</v>
      </c>
      <c r="BW278" s="1" t="e">
        <f ca="1">_xll.BDH($C$278,"BPS_SEQUENTIAL_GROWTH","FY 2014","FY 2014","Currency=INR","Period=FY","BEST_FPERIOD_OVERRIDE=FY","FILING_STATUS=OR","EQY_CONSOLIDATED=Y","Sort=A","Dates=H","DateFormat=P","Fill=—","Direction=H","UseDPDF=Y")</f>
        <v>#NAME?</v>
      </c>
      <c r="BX278" s="1" t="e">
        <f ca="1">_xll.BDH($C$278,"CFO_SEQUENTIAL_GROWTH","FY 2014","FY 2014","Currency=INR","Period=FY","BEST_FPERIOD_OVERRIDE=FY","FILING_STATUS=OR","EQY_CONSOLIDATED=Y","Sort=A","Dates=H","DateFormat=P","Fill=—","Direction=H","UseDPDF=Y")</f>
        <v>#NAME?</v>
      </c>
      <c r="BY278" s="2" t="e">
        <f ca="1">_xll.BDH($C$278,"SHORT_AND_LONG_TERM_DEBT","FY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78" s="2" t="e">
        <f ca="1">_xll.BDH($C$278,"BS_ST_BORROW","FY 2014","FY 2014","Currency=INR","Period=FY","BEST_FPERIOD_OVERRIDE=FY","FILING_STATUS=OR","EQY_CONSOLIDATED=Y","SCALING_FORMAT=MLN","Sort=A","Dates=H","DateFormat=P","Fill=—","Direction=H","UseDPDF=Y")</f>
        <v>#NAME?</v>
      </c>
      <c r="CA278" s="2" t="e">
        <f ca="1">_xll.BDH($C$278,"BS_LT_BORROW","FY 2014","FY 2014","Currency=INR","Period=FY","BEST_FPERIOD_OVERRIDE=FY","FILING_STATUS=OR","EQY_CONSOLIDATED=Y","SCALING_FORMAT=MLN","Sort=A","Dates=H","DateFormat=P","Fill=—","Direction=H","UseDPDF=Y")</f>
        <v>#NAME?</v>
      </c>
      <c r="CB278" s="1" t="e">
        <f ca="1">_xll.BDH($C$278,"TOT_DEBT_TO_EBITDA","FY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278" s="1" t="e">
        <f ca="1">_xll.BDH($C$278,"NET_DEBT_TO_EBITDA","FY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278" s="1" t="e">
        <f ca="1">_xll.BDH($C$278,"TOTAL_DEBT_TO_EBIT","FY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278" s="1" t="e">
        <f ca="1">_xll.BDH($C$278,"NET_DEBT_TO_EBIT","FY 2014","FY 2014","Currency=INR","Period=FY","BEST_FPERIOD_OVERRIDE=FY","FILING_STATUS=OR","EQY_CONSOLIDATED=Y","FA_ADJUSTED=GAAP","Sort=A","Dates=H","DateFormat=P","Fill=—","Direction=H","UseDPDF=Y")</f>
        <v>#NAME?</v>
      </c>
      <c r="CF278" s="1" t="e">
        <f ca="1">_xll.BDH($C$278,"EBITDA_TO_INTEREST_EXPN","FY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78" s="1" t="e">
        <f ca="1">_xll.BDH($C$278,"COM_EQY_TO_TOT_ASSET","FY 2014","FY 2014","Currency=INR","Period=FY","BEST_FPERIOD_OVERRIDE=FY","FILING_STATUS=OR","EQY_CONSOLIDATED=Y","Sort=A","Dates=H","DateFormat=P","Fill=—","Direction=H","UseDPDF=Y")</f>
        <v>#NAME?</v>
      </c>
      <c r="CH278" s="1" t="e">
        <f ca="1">_xll.BDH($C$278,"LT_DEBT_TO_TOT_EQY","FY 2014","FY 2014","Currency=INR","Period=FY","BEST_FPERIOD_OVERRIDE=FY","FILING_STATUS=OR","EQY_CONSOLIDATED=Y","Sort=A","Dates=H","DateFormat=P","Fill=—","Direction=H","UseDPDF=Y")</f>
        <v>#NAME?</v>
      </c>
      <c r="CI278" s="1" t="e">
        <f ca="1">_xll.BDH($C$278,"LT_DEBT_TO_TOT_CAP","FY 2014","FY 2014","Currency=INR","Period=FY","BEST_FPERIOD_OVERRIDE=FY","FILING_STATUS=OR","EQY_CONSOLIDATED=Y","Sort=A","Dates=H","DateFormat=P","Fill=—","Direction=H","UseDPDF=Y")</f>
        <v>#NAME?</v>
      </c>
      <c r="CJ278" s="1" t="e">
        <f ca="1">_xll.BDH($C$278,"LT_DEBT_TO_TOT_ASSET","FY 2014","FY 2014","Currency=INR","Period=FY","BEST_FPERIOD_OVERRIDE=FY","FILING_STATUS=OR","EQY_CONSOLIDATED=Y","Sort=A","Dates=H","DateFormat=P","Fill=—","Direction=H","UseDPDF=Y")</f>
        <v>#NAME?</v>
      </c>
      <c r="CK278" s="1" t="e">
        <f ca="1">_xll.BDH($C$278,"TOT_DEBT_TO_TOT_EQY","FY 2014","FY 2014","Currency=INR","Period=FY","BEST_FPERIOD_OVERRIDE=FY","FILING_STATUS=OR","EQY_CONSOLIDATED=Y","Sort=A","Dates=H","DateFormat=P","Fill=—","Direction=H","UseDPDF=Y")</f>
        <v>#NAME?</v>
      </c>
      <c r="CL278" s="1" t="e">
        <f ca="1">_xll.BDH($C$278,"TOT_DEBT_TO_TOT_CAP","FY 2014","FY 2014","Currency=INR","Period=FY","BEST_FPERIOD_OVERRIDE=FY","FILING_STATUS=OR","EQY_CONSOLIDATED=Y","Sort=A","Dates=H","DateFormat=P","Fill=—","Direction=H","UseDPDF=Y")</f>
        <v>#NAME?</v>
      </c>
      <c r="CM278" s="1" t="e">
        <f ca="1">_xll.BDH($C$278,"TOT_DEBT_TO_TOT_ASSET","FY 2014","FY 2014","Currency=INR","Period=FY","BEST_FPERIOD_OVERRIDE=FY","FILING_STATUS=OR","EQY_CONSOLIDATED=Y","Sort=A","Dates=H","DateFormat=P","Fill=—","Direction=H","UseDPDF=Y")</f>
        <v>#NAME?</v>
      </c>
      <c r="CN278" s="1" t="e">
        <f ca="1">_xll.BDH($C$278,"NET_DEBT_TO_SHRHLDR_EQTY","FY 2014","FY 2014","Currency=INR","Period=FY","BEST_FPERIOD_OVERRIDE=FY","FILING_STATUS=OR","EQY_CONSOLIDATED=Y","Sort=A","Dates=H","DateFormat=P","Fill=—","Direction=H","UseDPDF=Y")</f>
        <v>#NAME?</v>
      </c>
      <c r="CO278" s="1" t="e">
        <f ca="1">_xll.BDH($C$278,"NET_DEBT_%_CAPITAL","FY 2014","FY 2014","Currency=INR","Period=FY","BEST_FPERIOD_OVERRIDE=FY","FILING_STATUS=OR","EQY_CONSOLIDATED=Y","Sort=A","Dates=H","DateFormat=P","Fill=—","Direction=H","UseDPDF=Y")</f>
        <v>#NAME?</v>
      </c>
      <c r="CP278" s="2" t="e">
        <f ca="1">_xll.BDH($C$278,"EBITDA","FY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78" s="2" t="e">
        <f ca="1">_xll.BDH($C$278,"EBITDA_AFTER_CAPEX","FY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78" s="2" t="e">
        <f ca="1">_xll.BDH($C$278,"IS_OPER_INC","FY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78" s="1" t="e">
        <f ca="1">_xll.BDH($C$278,"CASH_RATIO","FY 2014","FY 2014","Currency=INR","Period=FY","BEST_FPERIOD_OVERRIDE=FY","FILING_STATUS=OR","EQY_CONSOLIDATED=Y","Sort=A","Dates=H","DateFormat=P","Fill=—","Direction=H","UseDPDF=Y")</f>
        <v>#NAME?</v>
      </c>
      <c r="CT278" s="1" t="e">
        <f ca="1">_xll.BDH($C$278,"CUR_RATIO","FY 2014","FY 2014","Currency=INR","Period=FY","BEST_FPERIOD_OVERRIDE=FY","FILING_STATUS=OR","EQY_CONSOLIDATED=Y","Sort=A","Dates=H","DateFormat=P","Fill=—","Direction=H","UseDPDF=Y")</f>
        <v>#NAME?</v>
      </c>
      <c r="CU278" s="1" t="e">
        <f ca="1">_xll.BDH($C$278,"QUICK_RATIO","FY 2014","FY 2014","Currency=INR","Period=FY","BEST_FPERIOD_OVERRIDE=FY","FILING_STATUS=OR","EQY_CONSOLIDATED=Y","Sort=A","Dates=H","DateFormat=P","Fill=—","Direction=H","UseDPDF=Y")</f>
        <v>#NAME?</v>
      </c>
      <c r="CV278" s="1" t="e">
        <f ca="1">_xll.BDH($C$278,"ALTMAN_Z_SCORE","FY 2014","FY 2014","Currency=INR","Period=FY","BEST_FPERIOD_OVERRIDE=FY","FILING_STATUS=OR","EQY_CONSOLIDATED=Y","Sort=A","Dates=H","DateFormat=P","Fill=—","Direction=H","UseDPDF=Y")</f>
        <v>#NAME?</v>
      </c>
      <c r="CW278" s="3" t="e">
        <f ca="1">_xll.BDH($C$278,"ACCT_RCV_TURN","FY 2014","FY 2014","Currency=INR","Period=FY","BEST_FPERIOD_OVERRIDE=FY","FILING_STATUS=OR","EQY_CONSOLIDATED=Y","FA_ADJUSTED=GAAP","Sort=A","Dates=H","DateFormat=P","Fill=—","Direction=H","UseDPDF=Y")</f>
        <v>#NAME?</v>
      </c>
      <c r="CX278" s="1" t="e">
        <f ca="1">_xll.BDH($C$278,"ACCT_RCV_DAYS","FY 2014","FY 2014","Currency=INR","Period=FY","BEST_FPERIOD_OVERRIDE=FY","FILING_STATUS=OR","EQY_CONSOLIDATED=Y","FA_ADJUSTED=GAAP","Sort=A","Dates=H","DateFormat=P","Fill=—","Direction=H","UseDPDF=Y")</f>
        <v>#NAME?</v>
      </c>
      <c r="CY278" s="3" t="e">
        <f ca="1">_xll.BDH($C$278,"INVENT_TURN","FY 2014","FY 2014","Currency=INR","Period=FY","BEST_FPERIOD_OVERRIDE=FY","FILING_STATUS=OR","EQY_CONSOLIDATED=Y","FA_ADJUSTED=GAAP","Sort=A","Dates=H","DateFormat=P","Fill=—","Direction=H","UseDPDF=Y")</f>
        <v>#NAME?</v>
      </c>
      <c r="CZ278" s="1" t="e">
        <f ca="1">_xll.BDH($C$278,"INVENT_DAYS","FY 2014","FY 2014","Currency=INR","Period=FY","BEST_FPERIOD_OVERRIDE=FY","FILING_STATUS=OR","EQY_CONSOLIDATED=Y","FA_ADJUSTED=GAAP","Sort=A","Dates=H","DateFormat=P","Fill=—","Direction=H","UseDPDF=Y")</f>
        <v>#NAME?</v>
      </c>
      <c r="DA278" s="3" t="e">
        <f ca="1">_xll.BDH($C$278,"ACCOUNTS_PAYABLE_TURNOVER","FY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78" s="1" t="e">
        <f ca="1">_xll.BDH($C$278,"ACCOUNTS_PAYABLE_TURNOVER_DAYS","FY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78" s="3" t="e">
        <f ca="1">_xll.BDH($C$278,"CASH_CONVERSION_CYCLE","FY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78" s="3" t="e">
        <f ca="1">_xll.BDH($C$278,"INV_TO_CASH_DAYS","FY 2014","FY 2014","Currency=INR","Period=FY","BEST_FPERIOD_OVERRIDE=FY","FILING_STATUS=OR","EQY_CONSOLIDATED=Y","FA_ADJUSTED=GAAP","Sort=A","Dates=H","DateFormat=P","Fill=—","Direction=H","UseDPDF=Y")</f>
        <v>#NAME?</v>
      </c>
      <c r="DE278" s="4" t="e">
        <f ca="1">_xll.BDH($C$278,"BS_INVENTORIES","FY 2014","FY 2014","Currency=INR","Period=FY","BEST_FPERIOD_OVERRIDE=FY","FILING_STATUS=OR","EQY_CONSOLIDATED=Y","SCALING_FORMAT=MLN","Sort=A","Dates=H","DateFormat=P","Fill=—","Direction=H","UseDPDF=Y")</f>
        <v>#NAME?</v>
      </c>
      <c r="DF278" s="2" t="e">
        <f ca="1">_xll.BDH($C$278,"INVTRY_RAW_MATERIALS","FY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78" s="2" t="e">
        <f ca="1">_xll.BDH($C$278,"INVTRY_IN_PROGRESS","FY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78" s="2" t="e">
        <f ca="1">_xll.BDH($C$278,"INVTRY_FINISHED_GOODS","FY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78" s="2" t="e">
        <f ca="1">_xll.BDH($C$278,"BS_OTHER_INV","FY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79" spans="1:113" x14ac:dyDescent="0.3">
      <c r="A279" s="6"/>
      <c r="B279" s="6"/>
      <c r="C279" s="6"/>
      <c r="D279" s="6"/>
      <c r="E279" t="s">
        <v>4</v>
      </c>
      <c r="F279" t="e">
        <f ca="1">_xll.BDH($C$278,"RETURN_COM_EQY","FQ1 2014","FQ1 2014","Currency=INR","Period=FQ","BEST_FPERIOD_OVERRIDE=FQ","FILING_STATUS=OR","EQY_CONSOLIDATED=Y","FA_ADJUSTED=GAAP","Sort=A","Dates=H","DateFormat=P","Fill=—","Direction=H","UseDPDF=Y")</f>
        <v>#NAME?</v>
      </c>
      <c r="G279" t="e">
        <f ca="1">_xll.BDH($C$278,"RETURN_ON_ASSET","FQ1 2014","FQ1 2014","Currency=INR","Period=FQ","BEST_FPERIOD_OVERRIDE=FQ","FILING_STATUS=OR","EQY_CONSOLIDATED=Y","FA_ADJUSTED=GAAP","Sort=A","Dates=H","DateFormat=P","Fill=—","Direction=H","UseDPDF=Y")</f>
        <v>#NAME?</v>
      </c>
      <c r="H279" t="e">
        <f ca="1">_xll.BDH($C$278,"RETURN_ON_CAP","FQ1 2014","FQ1 2014","Currency=INR","Period=FQ","BEST_FPERIOD_OVERRIDE=FQ","FILING_STATUS=OR","EQY_CONSOLIDATED=Y","FA_ADJUSTED=GAAP","Sort=A","Dates=H","DateFormat=P","Fill=—","Direction=H","UseDPDF=Y")</f>
        <v>#NAME?</v>
      </c>
      <c r="I279" t="e">
        <f ca="1">_xll.BDH($C$278,"RETURN_ON_INV_CAPITAL","FQ1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79" t="e">
        <f ca="1">_xll.BDH($C$278,"EBITDA_TO_REVENUE","FQ1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279" t="e">
        <f ca="1">_xll.BDH($C$278,"OPER_MARGIN","FQ1 2014","FQ1 2014","Currency=INR","Period=FQ","BEST_FPERIOD_OVERRIDE=FQ","FILING_STATUS=OR","EQY_CONSOLIDATED=Y","FA_ADJUSTED=GAAP","Sort=A","Dates=H","DateFormat=P","Fill=—","Direction=H","UseDPDF=Y")</f>
        <v>#NAME?</v>
      </c>
      <c r="L279" t="e">
        <f ca="1">_xll.BDH($C$278,"INCREMENTAL_OPERATING_MARGIN","FQ1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79" t="e">
        <f ca="1">_xll.BDH($C$278,"PRETAX_INC_TO_NET_SALES","FQ1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79" t="e">
        <f ca="1">_xll.BDH($C$278,"INC_BEF_XO_ITEMS_TO_NET_SALES","FQ1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79" t="e">
        <f ca="1">_xll.BDH($C$278,"PROF_MARGIN","FQ1 2014","FQ1 2014","Currency=INR","Period=FQ","BEST_FPERIOD_OVERRIDE=FQ","FILING_STATUS=OR","EQY_CONSOLIDATED=Y","FA_ADJUSTED=GAAP","Sort=A","Dates=H","DateFormat=P","Fill=—","Direction=H","UseDPDF=Y")</f>
        <v>#NAME?</v>
      </c>
      <c r="P279" t="e">
        <f ca="1">_xll.BDH($C$278,"NET_INCOME_TO_COMMON_MARGIN","FQ1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79" t="e">
        <f ca="1">_xll.BDH($C$278,"EFF_TAX_RATE","FQ1 2014","FQ1 2014","Currency=INR","Period=FQ","BEST_FPERIOD_OVERRIDE=FQ","FILING_STATUS=OR","EQY_CONSOLIDATED=Y","FA_ADJUSTED=GAAP","Sort=A","Dates=H","DateFormat=P","Fill=—","Direction=H","UseDPDF=Y")</f>
        <v>#NAME?</v>
      </c>
      <c r="R279" t="e">
        <f ca="1">_xll.BDH($C$278,"DVD_PAYOUT_RATIO","FQ1 2014","FQ1 2014","Currency=INR","Period=FQ","BEST_FPERIOD_OVERRIDE=FQ","FILING_STATUS=OR","EQY_CONSOLIDATED=Y","FA_ADJUSTED=GAAP","Sort=A","Dates=H","DateFormat=P","Fill=—","Direction=H","UseDPDF=Y")</f>
        <v>#NAME?</v>
      </c>
      <c r="S279" t="e">
        <f ca="1">_xll.BDH($C$278,"SUSTAIN_GROWTH_RT","FQ1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279" s="1" t="e">
        <f ca="1">_xll.BDH($C$278,"SALES_GROWTH","FQ1 2014","FQ1 2014","Currency=INR","Period=FQ","BEST_FPERIOD_OVERRIDE=FQ","FILING_STATUS=OR","EQY_CONSOLIDATED=Y","FA_ADJUSTED=GAAP","Sort=A","Dates=H","DateFormat=P","Fill=—","Direction=H","UseDPDF=Y")</f>
        <v>#NAME?</v>
      </c>
      <c r="U279" s="1" t="e">
        <f ca="1">_xll.BDH($C$278,"EBITDA_GROWTH","FQ1 2014","FQ1 2014","Currency=INR","Period=FQ","BEST_FPERIOD_OVERRIDE=FQ","FILING_STATUS=OR","EQY_CONSOLIDATED=Y","FA_ADJUSTED=GAAP","Sort=A","Dates=H","DateFormat=P","Fill=—","Direction=H","UseDPDF=Y")</f>
        <v>#NAME?</v>
      </c>
      <c r="V279" s="1" t="e">
        <f ca="1">_xll.BDH($C$278,"OPER_INC_GROWTH","FQ1 2014","FQ1 2014","Currency=INR","Period=FQ","BEST_FPERIOD_OVERRIDE=FQ","FILING_STATUS=OR","EQY_CONSOLIDATED=Y","FA_ADJUSTED=GAAP","Sort=A","Dates=H","DateFormat=P","Fill=—","Direction=H","UseDPDF=Y")</f>
        <v>#NAME?</v>
      </c>
      <c r="W279" s="1" t="e">
        <f ca="1">_xll.BDH($C$278,"EARN_FOR_COM_GROWTH","FQ1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79" s="1" t="e">
        <f ca="1">_xll.BDH($C$278,"DILUTED_EPS_AFT_XO_ITEMS_GROWTH","FQ1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79" s="1" t="e">
        <f ca="1">_xll.BDH($C$278,"DIVIDEND_PER_SHARE_1_YEAR_GROWTH","FQ1 2014","FQ1 2014","Currency=INR","Period=FQ","BEST_FPERIOD_OVERRIDE=FQ","FILING_STATUS=OR","EQY_CONSOLIDATED=Y","Sort=A","Dates=H","DateFormat=P","Fill=—","Direction=H","UseDPDF=Y")</f>
        <v>#NAME?</v>
      </c>
      <c r="Z279" s="1" t="e">
        <f ca="1">_xll.BDH($C$278,"ACCOUNTS_RECEIVABLE_GROWTH","FQ1 2014","FQ1 2014","Currency=INR","Period=FQ","BEST_FPERIOD_OVERRIDE=FQ","FILING_STATUS=OR","EQY_CONSOLIDATED=Y","Sort=A","Dates=H","DateFormat=P","Fill=—","Direction=H","UseDPDF=Y")</f>
        <v>#NAME?</v>
      </c>
      <c r="AA279" s="1" t="e">
        <f ca="1">_xll.BDH($C$278,"INVENTORY_GROWTH","FQ1 2014","FQ1 2014","Currency=INR","Period=FQ","BEST_FPERIOD_OVERRIDE=FQ","FILING_STATUS=OR","EQY_CONSOLIDATED=Y","Sort=A","Dates=H","DateFormat=P","Fill=—","Direction=H","UseDPDF=Y")</f>
        <v>#NAME?</v>
      </c>
      <c r="AB279" s="1" t="e">
        <f ca="1">_xll.BDH($C$278,"NET_FIXED_ASSETS_1_YEAR_GROWTH","FQ1 2014","FQ1 2014","Currency=INR","Period=FQ","BEST_FPERIOD_OVERRIDE=FQ","FILING_STATUS=OR","EQY_CONSOLIDATED=Y","Sort=A","Dates=H","DateFormat=P","Fill=—","Direction=H","UseDPDF=Y")</f>
        <v>#NAME?</v>
      </c>
      <c r="AC279" s="1" t="e">
        <f ca="1">_xll.BDH($C$278,"ASSET_GROWTH","FQ1 2014","FQ1 2014","Currency=INR","Period=FQ","BEST_FPERIOD_OVERRIDE=FQ","FILING_STATUS=OR","EQY_CONSOLIDATED=Y","Sort=A","Dates=H","DateFormat=P","Fill=—","Direction=H","UseDPDF=Y")</f>
        <v>#NAME?</v>
      </c>
      <c r="AD279" s="1" t="e">
        <f ca="1">_xll.BDH($C$278,"MODIFIED_WORK_CAP_GROWTH","FQ1 2014","FQ1 2014","Currency=INR","Period=FQ","BEST_FPERIOD_OVERRIDE=FQ","FILING_STATUS=OR","EQY_CONSOLIDATED=Y","Sort=A","Dates=H","DateFormat=P","Fill=—","Direction=H","UseDPDF=Y")</f>
        <v>#NAME?</v>
      </c>
      <c r="AE279" s="1" t="e">
        <f ca="1">_xll.BDH($C$278,"WORK_CAP_GROWTH","FQ1 2014","FQ1 2014","Currency=INR","Period=FQ","BEST_FPERIOD_OVERRIDE=FQ","FILING_STATUS=OR","EQY_CONSOLIDATED=Y","Sort=A","Dates=H","DateFormat=P","Fill=—","Direction=H","UseDPDF=Y")</f>
        <v>#NAME?</v>
      </c>
      <c r="AF279" s="1" t="e">
        <f ca="1">_xll.BDH($C$278,"ACCOUNTS_PAYABLE_GROWTH_1YR","FQ1 2014","FQ1 2014","Currency=INR","Period=FQ","BEST_FPERIOD_OVERRIDE=FQ","FILING_STATUS=OR","EQY_CONSOLIDATED=Y","Sort=A","Dates=H","DateFormat=P","Fill=—","Direction=H","UseDPDF=Y")</f>
        <v>#NAME?</v>
      </c>
      <c r="AG279" s="1" t="e">
        <f ca="1">_xll.BDH($C$278,"SHORT_TERM_DEBT_1_YEAR_GROWTH","FQ1 2014","FQ1 2014","Currency=INR","Period=FQ","BEST_FPERIOD_OVERRIDE=FQ","FILING_STATUS=OR","EQY_CONSOLIDATED=Y","Sort=A","Dates=H","DateFormat=P","Fill=—","Direction=H","UseDPDF=Y")</f>
        <v>#NAME?</v>
      </c>
      <c r="AH279" s="1" t="e">
        <f ca="1">_xll.BDH($C$278,"TOTAL_DEBT_1_YEAR_GROWTH","FQ1 2014","FQ1 2014","Currency=INR","Period=FQ","BEST_FPERIOD_OVERRIDE=FQ","FILING_STATUS=OR","EQY_CONSOLIDATED=Y","Sort=A","Dates=H","DateFormat=P","Fill=—","Direction=H","UseDPDF=Y")</f>
        <v>#NAME?</v>
      </c>
      <c r="AI279" s="1" t="e">
        <f ca="1">_xll.BDH($C$278,"TOTAL_EQUITY_1_YEAR_GROWTH","FQ1 2014","FQ1 2014","Currency=INR","Period=FQ","BEST_FPERIOD_OVERRIDE=FQ","FILING_STATUS=OR","EQY_CONSOLIDATED=Y","Sort=A","Dates=H","DateFormat=P","Fill=—","Direction=H","UseDPDF=Y")</f>
        <v>#NAME?</v>
      </c>
      <c r="AJ279" s="1" t="e">
        <f ca="1">_xll.BDH($C$278,"GROWTH_IN_CAP","FQ1 2014","FQ1 2014","Currency=INR","Period=FQ","BEST_FPERIOD_OVERRIDE=FQ","FILING_STATUS=OR","EQY_CONSOLIDATED=Y","Sort=A","Dates=H","DateFormat=P","Fill=—","Direction=H","UseDPDF=Y")</f>
        <v>#NAME?</v>
      </c>
      <c r="AK279" s="1" t="e">
        <f ca="1">_xll.BDH($C$278,"BVPS_GROWTH","FQ1 2014","FQ1 2014","Currency=INR","Period=FQ","BEST_FPERIOD_OVERRIDE=FQ","FILING_STATUS=OR","EQY_CONSOLIDATED=Y","Sort=A","Dates=H","DateFormat=P","Fill=—","Direction=H","UseDPDF=Y")</f>
        <v>#NAME?</v>
      </c>
      <c r="AL279" s="1" t="e">
        <f ca="1">_xll.BDH($C$278,"CASH_FLOW_GROWTH","FQ1 2014","FQ1 2014","Currency=INR","Period=FQ","BEST_FPERIOD_OVERRIDE=FQ","FILING_STATUS=OR","EQY_CONSOLIDATED=Y","Sort=A","Dates=H","DateFormat=P","Fill=—","Direction=H","UseDPDF=Y")</f>
        <v>#NAME?</v>
      </c>
      <c r="AM279" s="1" t="e">
        <f ca="1">_xll.BDH($C$278,"GEO_GROW_NET_SALES","FQ1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79" s="1" t="e">
        <f ca="1">_xll.BDH($C$278,"GEO_GROW_EBITDA","FQ1 2014","FQ1 2014","Currency=INR","Period=FQ","BEST_FPERIOD_OVERRIDE=FQ","FILING_STATUS=OR","EQY_CONSOLIDATED=Y","FA_ADJUSTED=GAAP","Sort=A","Dates=H","DateFormat=P","Fill=—","Direction=H","UseDPDF=Y")</f>
        <v>#NAME?</v>
      </c>
      <c r="AO279" s="1" t="e">
        <f ca="1">_xll.BDH($C$278,"GEO_GROW_OPER_INC","FQ1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79" s="1" t="e">
        <f ca="1">_xll.BDH($C$278,"NET_INCOME_TO_COMMON_5_YR_GROWTH","FQ1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79" s="1" t="e">
        <f ca="1">_xll.BDH($C$278,"5Y_GEO_GROWTH_DILUTED_EPS","FQ1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79" s="1" t="e">
        <f ca="1">_xll.BDH($C$278,"GEO_GROW_DVD_PER_SH","FQ1 2014","FQ1 2014","Currency=INR","Period=FQ","BEST_FPERIOD_OVERRIDE=FQ","FILING_STATUS=OR","EQY_CONSOLIDATED=Y","Sort=A","Dates=H","DateFormat=P","Fill=—","Direction=H","UseDPDF=Y")</f>
        <v>#NAME?</v>
      </c>
      <c r="AS279" s="1" t="e">
        <f ca="1">_xll.BDH($C$278,"ACCOUNTS_RECEIVABLE_5_YR_GROWTH","FQ1 2014","FQ1 2014","Currency=INR","Period=FQ","BEST_FPERIOD_OVERRIDE=FQ","FILING_STATUS=OR","EQY_CONSOLIDATED=Y","Sort=A","Dates=H","DateFormat=P","Fill=—","Direction=H","UseDPDF=Y")</f>
        <v>#NAME?</v>
      </c>
      <c r="AT279" s="1" t="e">
        <f ca="1">_xll.BDH($C$278,"INVENTORY_5_YEAR_GROWTH","FQ1 2014","FQ1 2014","Currency=INR","Period=FQ","BEST_FPERIOD_OVERRIDE=FQ","FILING_STATUS=OR","EQY_CONSOLIDATED=Y","Sort=A","Dates=H","DateFormat=P","Fill=—","Direction=H","UseDPDF=Y")</f>
        <v>#NAME?</v>
      </c>
      <c r="AU279" s="1" t="e">
        <f ca="1">_xll.BDH($C$278,"NET_FIXED_ASSETS_5_YEAR_GROWTH","FQ1 2014","FQ1 2014","Currency=INR","Period=FQ","BEST_FPERIOD_OVERRIDE=FQ","FILING_STATUS=OR","EQY_CONSOLIDATED=Y","Sort=A","Dates=H","DateFormat=P","Fill=—","Direction=H","UseDPDF=Y")</f>
        <v>#NAME?</v>
      </c>
      <c r="AV279" s="1" t="e">
        <f ca="1">_xll.BDH($C$278,"GEO_GROW_TOT_ASSET","FQ1 2014","FQ1 2014","Currency=INR","Period=FQ","BEST_FPERIOD_OVERRIDE=FQ","FILING_STATUS=OR","EQY_CONSOLIDATED=Y","Sort=A","Dates=H","DateFormat=P","Fill=—","Direction=H","UseDPDF=Y")</f>
        <v>#NAME?</v>
      </c>
      <c r="AW279" s="1" t="e">
        <f ca="1">_xll.BDH($C$278,"MODIFIED_WORKING_CPTL_5YR_GRWTH","FQ1 2014","FQ1 2014","Currency=INR","Period=FQ","BEST_FPERIOD_OVERRIDE=FQ","FILING_STATUS=OR","EQY_CONSOLIDATED=Y","Sort=A","Dates=H","DateFormat=P","Fill=—","Direction=H","UseDPDF=Y")</f>
        <v>#NAME?</v>
      </c>
      <c r="AX279" s="1" t="e">
        <f ca="1">_xll.BDH($C$278,"WORKING_CAPITAL_5_YEAR_GROWTH","FQ1 2014","FQ1 2014","Currency=INR","Period=FQ","BEST_FPERIOD_OVERRIDE=FQ","FILING_STATUS=OR","EQY_CONSOLIDATED=Y","Sort=A","Dates=H","DateFormat=P","Fill=—","Direction=H","UseDPDF=Y")</f>
        <v>#NAME?</v>
      </c>
      <c r="AY279" s="1" t="e">
        <f ca="1">_xll.BDH($C$278,"ACCOUNTS_PAYABLE_5_YEAR_GROWTH","FQ1 2014","FQ1 2014","Currency=INR","Period=FQ","BEST_FPERIOD_OVERRIDE=FQ","FILING_STATUS=OR","EQY_CONSOLIDATED=Y","Sort=A","Dates=H","DateFormat=P","Fill=—","Direction=H","UseDPDF=Y")</f>
        <v>#NAME?</v>
      </c>
      <c r="AZ279" s="1" t="e">
        <f ca="1">_xll.BDH($C$278,"SHORT_TERM_DEBT_5_YEAR_GROWTH","FQ1 2014","FQ1 2014","Currency=INR","Period=FQ","BEST_FPERIOD_OVERRIDE=FQ","FILING_STATUS=OR","EQY_CONSOLIDATED=Y","Sort=A","Dates=H","DateFormat=P","Fill=—","Direction=H","UseDPDF=Y")</f>
        <v>#NAME?</v>
      </c>
      <c r="BA279" s="1" t="e">
        <f ca="1">_xll.BDH($C$278,"TOTAL_DEBT_5_YEAR_GROWTH","FQ1 2014","FQ1 2014","Currency=INR","Period=FQ","BEST_FPERIOD_OVERRIDE=FQ","FILING_STATUS=OR","EQY_CONSOLIDATED=Y","Sort=A","Dates=H","DateFormat=P","Fill=—","Direction=H","UseDPDF=Y")</f>
        <v>#NAME?</v>
      </c>
      <c r="BB279" s="1" t="e">
        <f ca="1">_xll.BDH($C$278,"GEO_GROW_TOT_SHRHLDR_EQY","FQ1 2014","FQ1 2014","Currency=INR","Period=FQ","BEST_FPERIOD_OVERRIDE=FQ","FILING_STATUS=OR","EQY_CONSOLIDATED=Y","Sort=A","Dates=H","DateFormat=P","Fill=—","Direction=H","UseDPDF=Y")</f>
        <v>#NAME?</v>
      </c>
      <c r="BC279" s="1" t="e">
        <f ca="1">_xll.BDH($C$278,"TOTAL_CAPITAL_5_YEAR_GROWTH","FQ1 2014","FQ1 2014","Currency=INR","Period=FQ","BEST_FPERIOD_OVERRIDE=FQ","FILING_STATUS=OR","EQY_CONSOLIDATED=Y","Sort=A","Dates=H","DateFormat=P","Fill=—","Direction=H","UseDPDF=Y")</f>
        <v>#NAME?</v>
      </c>
      <c r="BD279" s="1" t="e">
        <f ca="1">_xll.BDH($C$278,"GEO_GROW_BOOK_VAL","FQ1 2014","FQ1 2014","Currency=INR","Period=FQ","BEST_FPERIOD_OVERRIDE=FQ","FILING_STATUS=OR","EQY_CONSOLIDATED=Y","Sort=A","Dates=H","DateFormat=P","Fill=—","Direction=H","UseDPDF=Y")</f>
        <v>#NAME?</v>
      </c>
      <c r="BE279" s="1" t="e">
        <f ca="1">_xll.BDH($C$278,"GEO_GROW_CASH_OPER_ACT","FQ1 2014","FQ1 2014","Currency=INR","Period=FQ","BEST_FPERIOD_OVERRIDE=FQ","FILING_STATUS=OR","EQY_CONSOLIDATED=Y","Sort=A","Dates=H","DateFormat=P","Fill=—","Direction=H","UseDPDF=Y")</f>
        <v>#NAME?</v>
      </c>
      <c r="BF279" s="1" t="e">
        <f ca="1">_xll.BDH($C$278,"REVENUE_SEQUENTIAL_GROWTH","FQ1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79" s="1" t="e">
        <f ca="1">_xll.BDH($C$278,"EBITDA_SEQUENTIAL_GROWTH","FQ1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79" s="1" t="e">
        <f ca="1">_xll.BDH($C$278,"OPERATING_INCOME_SEQ_GROWTH","FQ1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79" s="1" t="e">
        <f ca="1">_xll.BDH($C$278,"NET_INCOME_TO_COMMON_SEQ_GROWTH","FQ1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79" s="1" t="e">
        <f ca="1">_xll.BDH($C$278,"EPS_DILUTED_SEQUENTIAL_GROWTH","FQ1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79" s="1" t="e">
        <f ca="1">_xll.BDH($C$278,"DPS_SEQUENTIAL_GROWTH","FQ1 2014","FQ1 2014","Currency=INR","Period=FQ","BEST_FPERIOD_OVERRIDE=FQ","FILING_STATUS=OR","EQY_CONSOLIDATED=Y","Sort=A","Dates=H","DateFormat=P","Fill=—","Direction=H","UseDPDF=Y")</f>
        <v>#NAME?</v>
      </c>
      <c r="BL279" s="1" t="e">
        <f ca="1">_xll.BDH($C$278,"ACCOUNTS_RECEIVABLE_SEQ_GROWTH","FQ1 2014","FQ1 2014","Currency=INR","Period=FQ","BEST_FPERIOD_OVERRIDE=FQ","FILING_STATUS=OR","EQY_CONSOLIDATED=Y","Sort=A","Dates=H","DateFormat=P","Fill=—","Direction=H","UseDPDF=Y")</f>
        <v>#NAME?</v>
      </c>
      <c r="BM279" s="1" t="e">
        <f ca="1">_xll.BDH($C$278,"INVENTORY_SEQUENTIAL_GROWTH","FQ1 2014","FQ1 2014","Currency=INR","Period=FQ","BEST_FPERIOD_OVERRIDE=FQ","FILING_STATUS=OR","EQY_CONSOLIDATED=Y","Sort=A","Dates=H","DateFormat=P","Fill=—","Direction=H","UseDPDF=Y")</f>
        <v>#NAME?</v>
      </c>
      <c r="BN279" s="1" t="e">
        <f ca="1">_xll.BDH($C$278,"FIXED_ASSETS_SEQUENTIAL_GROWTH","FQ1 2014","FQ1 2014","Currency=INR","Period=FQ","BEST_FPERIOD_OVERRIDE=FQ","FILING_STATUS=OR","EQY_CONSOLIDATED=Y","Sort=A","Dates=H","DateFormat=P","Fill=—","Direction=H","UseDPDF=Y")</f>
        <v>#NAME?</v>
      </c>
      <c r="BO279" s="1" t="e">
        <f ca="1">_xll.BDH($C$278,"TOTAL_ASSETS_SEQUENTIAL_GROWTH","FQ1 2014","FQ1 2014","Currency=INR","Period=FQ","BEST_FPERIOD_OVERRIDE=FQ","FILING_STATUS=OR","EQY_CONSOLIDATED=Y","Sort=A","Dates=H","DateFormat=P","Fill=—","Direction=H","UseDPDF=Y")</f>
        <v>#NAME?</v>
      </c>
      <c r="BP279" s="1" t="e">
        <f ca="1">_xll.BDH($C$278,"MODIFIED_WORKING_CPTL_SEQ_GRWTH","FQ1 2014","FQ1 2014","Currency=INR","Period=FQ","BEST_FPERIOD_OVERRIDE=FQ","FILING_STATUS=OR","EQY_CONSOLIDATED=Y","Sort=A","Dates=H","DateFormat=P","Fill=—","Direction=H","UseDPDF=Y")</f>
        <v>#NAME?</v>
      </c>
      <c r="BQ279" s="1" t="e">
        <f ca="1">_xll.BDH($C$278,"WORKING_CAPITAL_SEQ_GROWTH","FQ1 2014","FQ1 2014","Currency=INR","Period=FQ","BEST_FPERIOD_OVERRIDE=FQ","FILING_STATUS=OR","EQY_CONSOLIDATED=Y","Sort=A","Dates=H","DateFormat=P","Fill=—","Direction=H","UseDPDF=Y")</f>
        <v>#NAME?</v>
      </c>
      <c r="BR279" s="1" t="e">
        <f ca="1">_xll.BDH($C$278,"ACCOUNTS_PAYABLE_SEQ_GROWTH","FQ1 2014","FQ1 2014","Currency=INR","Period=FQ","BEST_FPERIOD_OVERRIDE=FQ","FILING_STATUS=OR","EQY_CONSOLIDATED=Y","Sort=A","Dates=H","DateFormat=P","Fill=—","Direction=H","UseDPDF=Y")</f>
        <v>#NAME?</v>
      </c>
      <c r="BS279" s="1" t="e">
        <f ca="1">_xll.BDH($C$278,"ST_DEBT_SEQUENTIAL_GROWTH","FQ1 2014","FQ1 2014","Currency=INR","Period=FQ","BEST_FPERIOD_OVERRIDE=FQ","FILING_STATUS=OR","EQY_CONSOLIDATED=Y","Sort=A","Dates=H","DateFormat=P","Fill=—","Direction=H","UseDPDF=Y")</f>
        <v>#NAME?</v>
      </c>
      <c r="BT279" s="1" t="e">
        <f ca="1">_xll.BDH($C$278,"TOTAL_DEBT_SEQUENTIAL_GROWTH","FQ1 2014","FQ1 2014","Currency=INR","Period=FQ","BEST_FPERIOD_OVERRIDE=FQ","FILING_STATUS=OR","EQY_CONSOLIDATED=Y","Sort=A","Dates=H","DateFormat=P","Fill=—","Direction=H","UseDPDF=Y")</f>
        <v>#NAME?</v>
      </c>
      <c r="BU279" s="1" t="e">
        <f ca="1">_xll.BDH($C$278,"TOTAL_EQUITY_SEQUENTIAL_GROWTH","FQ1 2014","FQ1 2014","Currency=INR","Period=FQ","BEST_FPERIOD_OVERRIDE=FQ","FILING_STATUS=OR","EQY_CONSOLIDATED=Y","Sort=A","Dates=H","DateFormat=P","Fill=—","Direction=H","UseDPDF=Y")</f>
        <v>#NAME?</v>
      </c>
      <c r="BV279" s="1" t="e">
        <f ca="1">_xll.BDH($C$278,"TOTAL_CAPITAL_SEQUENTIAL_GROWTH","FQ1 2014","FQ1 2014","Currency=INR","Period=FQ","BEST_FPERIOD_OVERRIDE=FQ","FILING_STATUS=OR","EQY_CONSOLIDATED=Y","Sort=A","Dates=H","DateFormat=P","Fill=—","Direction=H","UseDPDF=Y")</f>
        <v>#NAME?</v>
      </c>
      <c r="BW279" s="1" t="e">
        <f ca="1">_xll.BDH($C$278,"BPS_SEQUENTIAL_GROWTH","FQ1 2014","FQ1 2014","Currency=INR","Period=FQ","BEST_FPERIOD_OVERRIDE=FQ","FILING_STATUS=OR","EQY_CONSOLIDATED=Y","Sort=A","Dates=H","DateFormat=P","Fill=—","Direction=H","UseDPDF=Y")</f>
        <v>#NAME?</v>
      </c>
      <c r="BX279" s="1" t="e">
        <f ca="1">_xll.BDH($C$278,"CFO_SEQUENTIAL_GROWTH","FQ1 2014","FQ1 2014","Currency=INR","Period=FQ","BEST_FPERIOD_OVERRIDE=FQ","FILING_STATUS=OR","EQY_CONSOLIDATED=Y","Sort=A","Dates=H","DateFormat=P","Fill=—","Direction=H","UseDPDF=Y")</f>
        <v>#NAME?</v>
      </c>
      <c r="BY279" s="2" t="e">
        <f ca="1">_xll.BDH($C$278,"SHORT_AND_LONG_TERM_DEBT","FQ1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79" s="2" t="e">
        <f ca="1">_xll.BDH($C$278,"BS_ST_BORROW","FQ1 2014","FQ1 2014","Currency=INR","Period=FQ","BEST_FPERIOD_OVERRIDE=FQ","FILING_STATUS=OR","EQY_CONSOLIDATED=Y","SCALING_FORMAT=MLN","Sort=A","Dates=H","DateFormat=P","Fill=—","Direction=H","UseDPDF=Y")</f>
        <v>#NAME?</v>
      </c>
      <c r="CA279" s="2" t="e">
        <f ca="1">_xll.BDH($C$278,"BS_LT_BORROW","FQ1 2014","FQ1 2014","Currency=INR","Period=FQ","BEST_FPERIOD_OVERRIDE=FQ","FILING_STATUS=OR","EQY_CONSOLIDATED=Y","SCALING_FORMAT=MLN","Sort=A","Dates=H","DateFormat=P","Fill=—","Direction=H","UseDPDF=Y")</f>
        <v>#NAME?</v>
      </c>
      <c r="CB279" s="1" t="e">
        <f ca="1">_xll.BDH($C$278,"TOT_DEBT_TO_EBITDA","FQ1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79" s="1" t="e">
        <f ca="1">_xll.BDH($C$278,"NET_DEBT_TO_EBITDA","FQ1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79" s="1" t="e">
        <f ca="1">_xll.BDH($C$278,"TOTAL_DEBT_TO_EBIT","FQ1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79" s="1" t="e">
        <f ca="1">_xll.BDH($C$278,"NET_DEBT_TO_EBIT","FQ1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279" s="1" t="e">
        <f ca="1">_xll.BDH($C$278,"EBITDA_TO_INTEREST_EXPN","FQ1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79" s="1" t="e">
        <f ca="1">_xll.BDH($C$278,"COM_EQY_TO_TOT_ASSET","FQ1 2014","FQ1 2014","Currency=INR","Period=FQ","BEST_FPERIOD_OVERRIDE=FQ","FILING_STATUS=OR","EQY_CONSOLIDATED=Y","Sort=A","Dates=H","DateFormat=P","Fill=—","Direction=H","UseDPDF=Y")</f>
        <v>#NAME?</v>
      </c>
      <c r="CH279" s="1" t="e">
        <f ca="1">_xll.BDH($C$278,"LT_DEBT_TO_TOT_EQY","FQ1 2014","FQ1 2014","Currency=INR","Period=FQ","BEST_FPERIOD_OVERRIDE=FQ","FILING_STATUS=OR","EQY_CONSOLIDATED=Y","Sort=A","Dates=H","DateFormat=P","Fill=—","Direction=H","UseDPDF=Y")</f>
        <v>#NAME?</v>
      </c>
      <c r="CI279" s="1" t="e">
        <f ca="1">_xll.BDH($C$278,"LT_DEBT_TO_TOT_CAP","FQ1 2014","FQ1 2014","Currency=INR","Period=FQ","BEST_FPERIOD_OVERRIDE=FQ","FILING_STATUS=OR","EQY_CONSOLIDATED=Y","Sort=A","Dates=H","DateFormat=P","Fill=—","Direction=H","UseDPDF=Y")</f>
        <v>#NAME?</v>
      </c>
      <c r="CJ279" s="1" t="e">
        <f ca="1">_xll.BDH($C$278,"LT_DEBT_TO_TOT_ASSET","FQ1 2014","FQ1 2014","Currency=INR","Period=FQ","BEST_FPERIOD_OVERRIDE=FQ","FILING_STATUS=OR","EQY_CONSOLIDATED=Y","Sort=A","Dates=H","DateFormat=P","Fill=—","Direction=H","UseDPDF=Y")</f>
        <v>#NAME?</v>
      </c>
      <c r="CK279" s="1" t="e">
        <f ca="1">_xll.BDH($C$278,"TOT_DEBT_TO_TOT_EQY","FQ1 2014","FQ1 2014","Currency=INR","Period=FQ","BEST_FPERIOD_OVERRIDE=FQ","FILING_STATUS=OR","EQY_CONSOLIDATED=Y","Sort=A","Dates=H","DateFormat=P","Fill=—","Direction=H","UseDPDF=Y")</f>
        <v>#NAME?</v>
      </c>
      <c r="CL279" s="1" t="e">
        <f ca="1">_xll.BDH($C$278,"TOT_DEBT_TO_TOT_CAP","FQ1 2014","FQ1 2014","Currency=INR","Period=FQ","BEST_FPERIOD_OVERRIDE=FQ","FILING_STATUS=OR","EQY_CONSOLIDATED=Y","Sort=A","Dates=H","DateFormat=P","Fill=—","Direction=H","UseDPDF=Y")</f>
        <v>#NAME?</v>
      </c>
      <c r="CM279" s="1" t="e">
        <f ca="1">_xll.BDH($C$278,"TOT_DEBT_TO_TOT_ASSET","FQ1 2014","FQ1 2014","Currency=INR","Period=FQ","BEST_FPERIOD_OVERRIDE=FQ","FILING_STATUS=OR","EQY_CONSOLIDATED=Y","Sort=A","Dates=H","DateFormat=P","Fill=—","Direction=H","UseDPDF=Y")</f>
        <v>#NAME?</v>
      </c>
      <c r="CN279" s="1" t="e">
        <f ca="1">_xll.BDH($C$278,"NET_DEBT_TO_SHRHLDR_EQTY","FQ1 2014","FQ1 2014","Currency=INR","Period=FQ","BEST_FPERIOD_OVERRIDE=FQ","FILING_STATUS=OR","EQY_CONSOLIDATED=Y","Sort=A","Dates=H","DateFormat=P","Fill=—","Direction=H","UseDPDF=Y")</f>
        <v>#NAME?</v>
      </c>
      <c r="CO279" s="1" t="e">
        <f ca="1">_xll.BDH($C$278,"NET_DEBT_%_CAPITAL","FQ1 2014","FQ1 2014","Currency=INR","Period=FQ","BEST_FPERIOD_OVERRIDE=FQ","FILING_STATUS=OR","EQY_CONSOLIDATED=Y","Sort=A","Dates=H","DateFormat=P","Fill=—","Direction=H","UseDPDF=Y")</f>
        <v>#NAME?</v>
      </c>
      <c r="CP279" s="2" t="e">
        <f ca="1">_xll.BDH($C$278,"EBITDA","FQ1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79" s="2" t="e">
        <f ca="1">_xll.BDH($C$278,"EBITDA_AFTER_CAPEX","FQ1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79" s="2" t="e">
        <f ca="1">_xll.BDH($C$278,"IS_OPER_INC","FQ1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79" s="1" t="e">
        <f ca="1">_xll.BDH($C$278,"CASH_RATIO","FQ1 2014","FQ1 2014","Currency=INR","Period=FQ","BEST_FPERIOD_OVERRIDE=FQ","FILING_STATUS=OR","EQY_CONSOLIDATED=Y","Sort=A","Dates=H","DateFormat=P","Fill=—","Direction=H","UseDPDF=Y")</f>
        <v>#NAME?</v>
      </c>
      <c r="CT279" s="1" t="e">
        <f ca="1">_xll.BDH($C$278,"CUR_RATIO","FQ1 2014","FQ1 2014","Currency=INR","Period=FQ","BEST_FPERIOD_OVERRIDE=FQ","FILING_STATUS=OR","EQY_CONSOLIDATED=Y","Sort=A","Dates=H","DateFormat=P","Fill=—","Direction=H","UseDPDF=Y")</f>
        <v>#NAME?</v>
      </c>
      <c r="CU279" s="1" t="e">
        <f ca="1">_xll.BDH($C$278,"QUICK_RATIO","FQ1 2014","FQ1 2014","Currency=INR","Period=FQ","BEST_FPERIOD_OVERRIDE=FQ","FILING_STATUS=OR","EQY_CONSOLIDATED=Y","Sort=A","Dates=H","DateFormat=P","Fill=—","Direction=H","UseDPDF=Y")</f>
        <v>#NAME?</v>
      </c>
      <c r="CV279" s="1" t="e">
        <f ca="1">_xll.BDH($C$278,"ALTMAN_Z_SCORE","FQ1 2014","FQ1 2014","Currency=INR","Period=FQ","BEST_FPERIOD_OVERRIDE=FQ","FILING_STATUS=OR","EQY_CONSOLIDATED=Y","Sort=A","Dates=H","DateFormat=P","Fill=—","Direction=H","UseDPDF=Y")</f>
        <v>#NAME?</v>
      </c>
      <c r="CW279" s="3" t="e">
        <f ca="1">_xll.BDH($C$278,"ACCT_RCV_TURN","FQ1 2014","FQ1 2014","Currency=INR","Period=FQ","BEST_FPERIOD_OVERRIDE=FQ","FILING_STATUS=OR","EQY_CONSOLIDATED=Y","FA_ADJUSTED=GAAP","Sort=A","Dates=H","DateFormat=P","Fill=—","Direction=H","UseDPDF=Y")</f>
        <v>#NAME?</v>
      </c>
      <c r="CX279" s="1" t="e">
        <f ca="1">_xll.BDH($C$278,"ACCT_RCV_DAYS","FQ1 2014","FQ1 2014","Currency=INR","Period=FQ","BEST_FPERIOD_OVERRIDE=FQ","FILING_STATUS=OR","EQY_CONSOLIDATED=Y","FA_ADJUSTED=GAAP","Sort=A","Dates=H","DateFormat=P","Fill=—","Direction=H","UseDPDF=Y")</f>
        <v>#NAME?</v>
      </c>
      <c r="CY279" s="3" t="e">
        <f ca="1">_xll.BDH($C$278,"INVENT_TURN","FQ1 2014","FQ1 2014","Currency=INR","Period=FQ","BEST_FPERIOD_OVERRIDE=FQ","FILING_STATUS=OR","EQY_CONSOLIDATED=Y","FA_ADJUSTED=GAAP","Sort=A","Dates=H","DateFormat=P","Fill=—","Direction=H","UseDPDF=Y")</f>
        <v>#NAME?</v>
      </c>
      <c r="CZ279" s="1" t="e">
        <f ca="1">_xll.BDH($C$278,"INVENT_DAYS","FQ1 2014","FQ1 2014","Currency=INR","Period=FQ","BEST_FPERIOD_OVERRIDE=FQ","FILING_STATUS=OR","EQY_CONSOLIDATED=Y","FA_ADJUSTED=GAAP","Sort=A","Dates=H","DateFormat=P","Fill=—","Direction=H","UseDPDF=Y")</f>
        <v>#NAME?</v>
      </c>
      <c r="DA279" s="3" t="e">
        <f ca="1">_xll.BDH($C$278,"ACCOUNTS_PAYABLE_TURNOVER","FQ1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79" s="1" t="e">
        <f ca="1">_xll.BDH($C$278,"ACCOUNTS_PAYABLE_TURNOVER_DAYS","FQ1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79" s="3" t="e">
        <f ca="1">_xll.BDH($C$278,"CASH_CONVERSION_CYCLE","FQ1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79" s="3" t="e">
        <f ca="1">_xll.BDH($C$278,"INV_TO_CASH_DAYS","FQ1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279" s="4" t="e">
        <f ca="1">_xll.BDH($C$278,"BS_INVENTORIES","FQ1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279" s="2" t="e">
        <f ca="1">_xll.BDH($C$278,"INVTRY_RAW_MATERIALS","FQ1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79" s="2" t="e">
        <f ca="1">_xll.BDH($C$278,"INVTRY_IN_PROGRESS","FQ1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79" s="2" t="e">
        <f ca="1">_xll.BDH($C$278,"INVTRY_FINISHED_GOODS","FQ1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79" s="2" t="e">
        <f ca="1">_xll.BDH($C$278,"BS_OTHER_INV","FQ1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80" spans="1:113" x14ac:dyDescent="0.3">
      <c r="A280" s="6"/>
      <c r="B280" s="6"/>
      <c r="C280" s="6"/>
      <c r="D280" s="6"/>
      <c r="E280" t="s">
        <v>5</v>
      </c>
      <c r="F280" t="e">
        <f ca="1">_xll.BDH($C$278,"RETURN_COM_EQY","FQ2 2014","FQ2 2014","Currency=INR","Period=FQ","BEST_FPERIOD_OVERRIDE=FQ","FILING_STATUS=OR","EQY_CONSOLIDATED=Y","FA_ADJUSTED=GAAP","Sort=A","Dates=H","DateFormat=P","Fill=—","Direction=H","UseDPDF=Y")</f>
        <v>#NAME?</v>
      </c>
      <c r="G280" t="e">
        <f ca="1">_xll.BDH($C$278,"RETURN_ON_ASSET","FQ2 2014","FQ2 2014","Currency=INR","Period=FQ","BEST_FPERIOD_OVERRIDE=FQ","FILING_STATUS=OR","EQY_CONSOLIDATED=Y","FA_ADJUSTED=GAAP","Sort=A","Dates=H","DateFormat=P","Fill=—","Direction=H","UseDPDF=Y")</f>
        <v>#NAME?</v>
      </c>
      <c r="H280" t="e">
        <f ca="1">_xll.BDH($C$278,"RETURN_ON_CAP","FQ2 2014","FQ2 2014","Currency=INR","Period=FQ","BEST_FPERIOD_OVERRIDE=FQ","FILING_STATUS=OR","EQY_CONSOLIDATED=Y","FA_ADJUSTED=GAAP","Sort=A","Dates=H","DateFormat=P","Fill=—","Direction=H","UseDPDF=Y")</f>
        <v>#NAME?</v>
      </c>
      <c r="I280" t="e">
        <f ca="1">_xll.BDH($C$278,"RETURN_ON_INV_CAPITAL","FQ2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80" t="e">
        <f ca="1">_xll.BDH($C$278,"EBITDA_TO_REVENUE","FQ2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280" t="e">
        <f ca="1">_xll.BDH($C$278,"OPER_MARGIN","FQ2 2014","FQ2 2014","Currency=INR","Period=FQ","BEST_FPERIOD_OVERRIDE=FQ","FILING_STATUS=OR","EQY_CONSOLIDATED=Y","FA_ADJUSTED=GAAP","Sort=A","Dates=H","DateFormat=P","Fill=—","Direction=H","UseDPDF=Y")</f>
        <v>#NAME?</v>
      </c>
      <c r="L280" t="e">
        <f ca="1">_xll.BDH($C$278,"INCREMENTAL_OPERATING_MARGIN","FQ2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80" t="e">
        <f ca="1">_xll.BDH($C$278,"PRETAX_INC_TO_NET_SALES","FQ2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80" t="e">
        <f ca="1">_xll.BDH($C$278,"INC_BEF_XO_ITEMS_TO_NET_SALES","FQ2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80" t="e">
        <f ca="1">_xll.BDH($C$278,"PROF_MARGIN","FQ2 2014","FQ2 2014","Currency=INR","Period=FQ","BEST_FPERIOD_OVERRIDE=FQ","FILING_STATUS=OR","EQY_CONSOLIDATED=Y","FA_ADJUSTED=GAAP","Sort=A","Dates=H","DateFormat=P","Fill=—","Direction=H","UseDPDF=Y")</f>
        <v>#NAME?</v>
      </c>
      <c r="P280" t="e">
        <f ca="1">_xll.BDH($C$278,"NET_INCOME_TO_COMMON_MARGIN","FQ2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80" t="e">
        <f ca="1">_xll.BDH($C$278,"EFF_TAX_RATE","FQ2 2014","FQ2 2014","Currency=INR","Period=FQ","BEST_FPERIOD_OVERRIDE=FQ","FILING_STATUS=OR","EQY_CONSOLIDATED=Y","FA_ADJUSTED=GAAP","Sort=A","Dates=H","DateFormat=P","Fill=—","Direction=H","UseDPDF=Y")</f>
        <v>#NAME?</v>
      </c>
      <c r="R280" t="e">
        <f ca="1">_xll.BDH($C$278,"DVD_PAYOUT_RATIO","FQ2 2014","FQ2 2014","Currency=INR","Period=FQ","BEST_FPERIOD_OVERRIDE=FQ","FILING_STATUS=OR","EQY_CONSOLIDATED=Y","FA_ADJUSTED=GAAP","Sort=A","Dates=H","DateFormat=P","Fill=—","Direction=H","UseDPDF=Y")</f>
        <v>#NAME?</v>
      </c>
      <c r="S280" t="e">
        <f ca="1">_xll.BDH($C$278,"SUSTAIN_GROWTH_RT","FQ2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280" s="1" t="e">
        <f ca="1">_xll.BDH($C$278,"SALES_GROWTH","FQ2 2014","FQ2 2014","Currency=INR","Period=FQ","BEST_FPERIOD_OVERRIDE=FQ","FILING_STATUS=OR","EQY_CONSOLIDATED=Y","FA_ADJUSTED=GAAP","Sort=A","Dates=H","DateFormat=P","Fill=—","Direction=H","UseDPDF=Y")</f>
        <v>#NAME?</v>
      </c>
      <c r="U280" s="1" t="e">
        <f ca="1">_xll.BDH($C$278,"EBITDA_GROWTH","FQ2 2014","FQ2 2014","Currency=INR","Period=FQ","BEST_FPERIOD_OVERRIDE=FQ","FILING_STATUS=OR","EQY_CONSOLIDATED=Y","FA_ADJUSTED=GAAP","Sort=A","Dates=H","DateFormat=P","Fill=—","Direction=H","UseDPDF=Y")</f>
        <v>#NAME?</v>
      </c>
      <c r="V280" s="1" t="e">
        <f ca="1">_xll.BDH($C$278,"OPER_INC_GROWTH","FQ2 2014","FQ2 2014","Currency=INR","Period=FQ","BEST_FPERIOD_OVERRIDE=FQ","FILING_STATUS=OR","EQY_CONSOLIDATED=Y","FA_ADJUSTED=GAAP","Sort=A","Dates=H","DateFormat=P","Fill=—","Direction=H","UseDPDF=Y")</f>
        <v>#NAME?</v>
      </c>
      <c r="W280" s="1" t="e">
        <f ca="1">_xll.BDH($C$278,"EARN_FOR_COM_GROWTH","FQ2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80" s="1" t="e">
        <f ca="1">_xll.BDH($C$278,"DILUTED_EPS_AFT_XO_ITEMS_GROWTH","FQ2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80" s="1" t="e">
        <f ca="1">_xll.BDH($C$278,"DIVIDEND_PER_SHARE_1_YEAR_GROWTH","FQ2 2014","FQ2 2014","Currency=INR","Period=FQ","BEST_FPERIOD_OVERRIDE=FQ","FILING_STATUS=OR","EQY_CONSOLIDATED=Y","Sort=A","Dates=H","DateFormat=P","Fill=—","Direction=H","UseDPDF=Y")</f>
        <v>#NAME?</v>
      </c>
      <c r="Z280" s="1" t="e">
        <f ca="1">_xll.BDH($C$278,"ACCOUNTS_RECEIVABLE_GROWTH","FQ2 2014","FQ2 2014","Currency=INR","Period=FQ","BEST_FPERIOD_OVERRIDE=FQ","FILING_STATUS=OR","EQY_CONSOLIDATED=Y","Sort=A","Dates=H","DateFormat=P","Fill=—","Direction=H","UseDPDF=Y")</f>
        <v>#NAME?</v>
      </c>
      <c r="AA280" s="1" t="e">
        <f ca="1">_xll.BDH($C$278,"INVENTORY_GROWTH","FQ2 2014","FQ2 2014","Currency=INR","Period=FQ","BEST_FPERIOD_OVERRIDE=FQ","FILING_STATUS=OR","EQY_CONSOLIDATED=Y","Sort=A","Dates=H","DateFormat=P","Fill=—","Direction=H","UseDPDF=Y")</f>
        <v>#NAME?</v>
      </c>
      <c r="AB280" s="1" t="e">
        <f ca="1">_xll.BDH($C$278,"NET_FIXED_ASSETS_1_YEAR_GROWTH","FQ2 2014","FQ2 2014","Currency=INR","Period=FQ","BEST_FPERIOD_OVERRIDE=FQ","FILING_STATUS=OR","EQY_CONSOLIDATED=Y","Sort=A","Dates=H","DateFormat=P","Fill=—","Direction=H","UseDPDF=Y")</f>
        <v>#NAME?</v>
      </c>
      <c r="AC280" s="1" t="e">
        <f ca="1">_xll.BDH($C$278,"ASSET_GROWTH","FQ2 2014","FQ2 2014","Currency=INR","Period=FQ","BEST_FPERIOD_OVERRIDE=FQ","FILING_STATUS=OR","EQY_CONSOLIDATED=Y","Sort=A","Dates=H","DateFormat=P","Fill=—","Direction=H","UseDPDF=Y")</f>
        <v>#NAME?</v>
      </c>
      <c r="AD280" s="1" t="e">
        <f ca="1">_xll.BDH($C$278,"MODIFIED_WORK_CAP_GROWTH","FQ2 2014","FQ2 2014","Currency=INR","Period=FQ","BEST_FPERIOD_OVERRIDE=FQ","FILING_STATUS=OR","EQY_CONSOLIDATED=Y","Sort=A","Dates=H","DateFormat=P","Fill=—","Direction=H","UseDPDF=Y")</f>
        <v>#NAME?</v>
      </c>
      <c r="AE280" s="1" t="e">
        <f ca="1">_xll.BDH($C$278,"WORK_CAP_GROWTH","FQ2 2014","FQ2 2014","Currency=INR","Period=FQ","BEST_FPERIOD_OVERRIDE=FQ","FILING_STATUS=OR","EQY_CONSOLIDATED=Y","Sort=A","Dates=H","DateFormat=P","Fill=—","Direction=H","UseDPDF=Y")</f>
        <v>#NAME?</v>
      </c>
      <c r="AF280" s="1" t="e">
        <f ca="1">_xll.BDH($C$278,"ACCOUNTS_PAYABLE_GROWTH_1YR","FQ2 2014","FQ2 2014","Currency=INR","Period=FQ","BEST_FPERIOD_OVERRIDE=FQ","FILING_STATUS=OR","EQY_CONSOLIDATED=Y","Sort=A","Dates=H","DateFormat=P","Fill=—","Direction=H","UseDPDF=Y")</f>
        <v>#NAME?</v>
      </c>
      <c r="AG280" s="1" t="e">
        <f ca="1">_xll.BDH($C$278,"SHORT_TERM_DEBT_1_YEAR_GROWTH","FQ2 2014","FQ2 2014","Currency=INR","Period=FQ","BEST_FPERIOD_OVERRIDE=FQ","FILING_STATUS=OR","EQY_CONSOLIDATED=Y","Sort=A","Dates=H","DateFormat=P","Fill=—","Direction=H","UseDPDF=Y")</f>
        <v>#NAME?</v>
      </c>
      <c r="AH280" s="1" t="e">
        <f ca="1">_xll.BDH($C$278,"TOTAL_DEBT_1_YEAR_GROWTH","FQ2 2014","FQ2 2014","Currency=INR","Period=FQ","BEST_FPERIOD_OVERRIDE=FQ","FILING_STATUS=OR","EQY_CONSOLIDATED=Y","Sort=A","Dates=H","DateFormat=P","Fill=—","Direction=H","UseDPDF=Y")</f>
        <v>#NAME?</v>
      </c>
      <c r="AI280" s="1" t="e">
        <f ca="1">_xll.BDH($C$278,"TOTAL_EQUITY_1_YEAR_GROWTH","FQ2 2014","FQ2 2014","Currency=INR","Period=FQ","BEST_FPERIOD_OVERRIDE=FQ","FILING_STATUS=OR","EQY_CONSOLIDATED=Y","Sort=A","Dates=H","DateFormat=P","Fill=—","Direction=H","UseDPDF=Y")</f>
        <v>#NAME?</v>
      </c>
      <c r="AJ280" s="1" t="e">
        <f ca="1">_xll.BDH($C$278,"GROWTH_IN_CAP","FQ2 2014","FQ2 2014","Currency=INR","Period=FQ","BEST_FPERIOD_OVERRIDE=FQ","FILING_STATUS=OR","EQY_CONSOLIDATED=Y","Sort=A","Dates=H","DateFormat=P","Fill=—","Direction=H","UseDPDF=Y")</f>
        <v>#NAME?</v>
      </c>
      <c r="AK280" s="1" t="e">
        <f ca="1">_xll.BDH($C$278,"BVPS_GROWTH","FQ2 2014","FQ2 2014","Currency=INR","Period=FQ","BEST_FPERIOD_OVERRIDE=FQ","FILING_STATUS=OR","EQY_CONSOLIDATED=Y","Sort=A","Dates=H","DateFormat=P","Fill=—","Direction=H","UseDPDF=Y")</f>
        <v>#NAME?</v>
      </c>
      <c r="AL280" s="1" t="e">
        <f ca="1">_xll.BDH($C$278,"CASH_FLOW_GROWTH","FQ2 2014","FQ2 2014","Currency=INR","Period=FQ","BEST_FPERIOD_OVERRIDE=FQ","FILING_STATUS=OR","EQY_CONSOLIDATED=Y","Sort=A","Dates=H","DateFormat=P","Fill=—","Direction=H","UseDPDF=Y")</f>
        <v>#NAME?</v>
      </c>
      <c r="AM280" s="1" t="e">
        <f ca="1">_xll.BDH($C$278,"GEO_GROW_NET_SALES","FQ2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80" s="1" t="e">
        <f ca="1">_xll.BDH($C$278,"GEO_GROW_EBITDA","FQ2 2014","FQ2 2014","Currency=INR","Period=FQ","BEST_FPERIOD_OVERRIDE=FQ","FILING_STATUS=OR","EQY_CONSOLIDATED=Y","FA_ADJUSTED=GAAP","Sort=A","Dates=H","DateFormat=P","Fill=—","Direction=H","UseDPDF=Y")</f>
        <v>#NAME?</v>
      </c>
      <c r="AO280" s="1" t="e">
        <f ca="1">_xll.BDH($C$278,"GEO_GROW_OPER_INC","FQ2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80" s="1" t="e">
        <f ca="1">_xll.BDH($C$278,"NET_INCOME_TO_COMMON_5_YR_GROWTH","FQ2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80" s="1" t="e">
        <f ca="1">_xll.BDH($C$278,"5Y_GEO_GROWTH_DILUTED_EPS","FQ2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80" s="1" t="e">
        <f ca="1">_xll.BDH($C$278,"GEO_GROW_DVD_PER_SH","FQ2 2014","FQ2 2014","Currency=INR","Period=FQ","BEST_FPERIOD_OVERRIDE=FQ","FILING_STATUS=OR","EQY_CONSOLIDATED=Y","Sort=A","Dates=H","DateFormat=P","Fill=—","Direction=H","UseDPDF=Y")</f>
        <v>#NAME?</v>
      </c>
      <c r="AS280" s="1" t="e">
        <f ca="1">_xll.BDH($C$278,"ACCOUNTS_RECEIVABLE_5_YR_GROWTH","FQ2 2014","FQ2 2014","Currency=INR","Period=FQ","BEST_FPERIOD_OVERRIDE=FQ","FILING_STATUS=OR","EQY_CONSOLIDATED=Y","Sort=A","Dates=H","DateFormat=P","Fill=—","Direction=H","UseDPDF=Y")</f>
        <v>#NAME?</v>
      </c>
      <c r="AT280" s="1" t="e">
        <f ca="1">_xll.BDH($C$278,"INVENTORY_5_YEAR_GROWTH","FQ2 2014","FQ2 2014","Currency=INR","Period=FQ","BEST_FPERIOD_OVERRIDE=FQ","FILING_STATUS=OR","EQY_CONSOLIDATED=Y","Sort=A","Dates=H","DateFormat=P","Fill=—","Direction=H","UseDPDF=Y")</f>
        <v>#NAME?</v>
      </c>
      <c r="AU280" s="1" t="e">
        <f ca="1">_xll.BDH($C$278,"NET_FIXED_ASSETS_5_YEAR_GROWTH","FQ2 2014","FQ2 2014","Currency=INR","Period=FQ","BEST_FPERIOD_OVERRIDE=FQ","FILING_STATUS=OR","EQY_CONSOLIDATED=Y","Sort=A","Dates=H","DateFormat=P","Fill=—","Direction=H","UseDPDF=Y")</f>
        <v>#NAME?</v>
      </c>
      <c r="AV280" s="1" t="e">
        <f ca="1">_xll.BDH($C$278,"GEO_GROW_TOT_ASSET","FQ2 2014","FQ2 2014","Currency=INR","Period=FQ","BEST_FPERIOD_OVERRIDE=FQ","FILING_STATUS=OR","EQY_CONSOLIDATED=Y","Sort=A","Dates=H","DateFormat=P","Fill=—","Direction=H","UseDPDF=Y")</f>
        <v>#NAME?</v>
      </c>
      <c r="AW280" s="1" t="e">
        <f ca="1">_xll.BDH($C$278,"MODIFIED_WORKING_CPTL_5YR_GRWTH","FQ2 2014","FQ2 2014","Currency=INR","Period=FQ","BEST_FPERIOD_OVERRIDE=FQ","FILING_STATUS=OR","EQY_CONSOLIDATED=Y","Sort=A","Dates=H","DateFormat=P","Fill=—","Direction=H","UseDPDF=Y")</f>
        <v>#NAME?</v>
      </c>
      <c r="AX280" s="1" t="e">
        <f ca="1">_xll.BDH($C$278,"WORKING_CAPITAL_5_YEAR_GROWTH","FQ2 2014","FQ2 2014","Currency=INR","Period=FQ","BEST_FPERIOD_OVERRIDE=FQ","FILING_STATUS=OR","EQY_CONSOLIDATED=Y","Sort=A","Dates=H","DateFormat=P","Fill=—","Direction=H","UseDPDF=Y")</f>
        <v>#NAME?</v>
      </c>
      <c r="AY280" s="1" t="e">
        <f ca="1">_xll.BDH($C$278,"ACCOUNTS_PAYABLE_5_YEAR_GROWTH","FQ2 2014","FQ2 2014","Currency=INR","Period=FQ","BEST_FPERIOD_OVERRIDE=FQ","FILING_STATUS=OR","EQY_CONSOLIDATED=Y","Sort=A","Dates=H","DateFormat=P","Fill=—","Direction=H","UseDPDF=Y")</f>
        <v>#NAME?</v>
      </c>
      <c r="AZ280" s="1" t="e">
        <f ca="1">_xll.BDH($C$278,"SHORT_TERM_DEBT_5_YEAR_GROWTH","FQ2 2014","FQ2 2014","Currency=INR","Period=FQ","BEST_FPERIOD_OVERRIDE=FQ","FILING_STATUS=OR","EQY_CONSOLIDATED=Y","Sort=A","Dates=H","DateFormat=P","Fill=—","Direction=H","UseDPDF=Y")</f>
        <v>#NAME?</v>
      </c>
      <c r="BA280" s="1" t="e">
        <f ca="1">_xll.BDH($C$278,"TOTAL_DEBT_5_YEAR_GROWTH","FQ2 2014","FQ2 2014","Currency=INR","Period=FQ","BEST_FPERIOD_OVERRIDE=FQ","FILING_STATUS=OR","EQY_CONSOLIDATED=Y","Sort=A","Dates=H","DateFormat=P","Fill=—","Direction=H","UseDPDF=Y")</f>
        <v>#NAME?</v>
      </c>
      <c r="BB280" s="1" t="e">
        <f ca="1">_xll.BDH($C$278,"GEO_GROW_TOT_SHRHLDR_EQY","FQ2 2014","FQ2 2014","Currency=INR","Period=FQ","BEST_FPERIOD_OVERRIDE=FQ","FILING_STATUS=OR","EQY_CONSOLIDATED=Y","Sort=A","Dates=H","DateFormat=P","Fill=—","Direction=H","UseDPDF=Y")</f>
        <v>#NAME?</v>
      </c>
      <c r="BC280" s="1" t="e">
        <f ca="1">_xll.BDH($C$278,"TOTAL_CAPITAL_5_YEAR_GROWTH","FQ2 2014","FQ2 2014","Currency=INR","Period=FQ","BEST_FPERIOD_OVERRIDE=FQ","FILING_STATUS=OR","EQY_CONSOLIDATED=Y","Sort=A","Dates=H","DateFormat=P","Fill=—","Direction=H","UseDPDF=Y")</f>
        <v>#NAME?</v>
      </c>
      <c r="BD280" s="1" t="e">
        <f ca="1">_xll.BDH($C$278,"GEO_GROW_BOOK_VAL","FQ2 2014","FQ2 2014","Currency=INR","Period=FQ","BEST_FPERIOD_OVERRIDE=FQ","FILING_STATUS=OR","EQY_CONSOLIDATED=Y","Sort=A","Dates=H","DateFormat=P","Fill=—","Direction=H","UseDPDF=Y")</f>
        <v>#NAME?</v>
      </c>
      <c r="BE280" s="1" t="e">
        <f ca="1">_xll.BDH($C$278,"GEO_GROW_CASH_OPER_ACT","FQ2 2014","FQ2 2014","Currency=INR","Period=FQ","BEST_FPERIOD_OVERRIDE=FQ","FILING_STATUS=OR","EQY_CONSOLIDATED=Y","Sort=A","Dates=H","DateFormat=P","Fill=—","Direction=H","UseDPDF=Y")</f>
        <v>#NAME?</v>
      </c>
      <c r="BF280" s="1" t="e">
        <f ca="1">_xll.BDH($C$278,"REVENUE_SEQUENTIAL_GROWTH","FQ2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80" s="1" t="e">
        <f ca="1">_xll.BDH($C$278,"EBITDA_SEQUENTIAL_GROWTH","FQ2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80" s="1" t="e">
        <f ca="1">_xll.BDH($C$278,"OPERATING_INCOME_SEQ_GROWTH","FQ2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80" s="1" t="e">
        <f ca="1">_xll.BDH($C$278,"NET_INCOME_TO_COMMON_SEQ_GROWTH","FQ2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80" s="1" t="e">
        <f ca="1">_xll.BDH($C$278,"EPS_DILUTED_SEQUENTIAL_GROWTH","FQ2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80" s="1" t="e">
        <f ca="1">_xll.BDH($C$278,"DPS_SEQUENTIAL_GROWTH","FQ2 2014","FQ2 2014","Currency=INR","Period=FQ","BEST_FPERIOD_OVERRIDE=FQ","FILING_STATUS=OR","EQY_CONSOLIDATED=Y","Sort=A","Dates=H","DateFormat=P","Fill=—","Direction=H","UseDPDF=Y")</f>
        <v>#NAME?</v>
      </c>
      <c r="BL280" s="1" t="e">
        <f ca="1">_xll.BDH($C$278,"ACCOUNTS_RECEIVABLE_SEQ_GROWTH","FQ2 2014","FQ2 2014","Currency=INR","Period=FQ","BEST_FPERIOD_OVERRIDE=FQ","FILING_STATUS=OR","EQY_CONSOLIDATED=Y","Sort=A","Dates=H","DateFormat=P","Fill=—","Direction=H","UseDPDF=Y")</f>
        <v>#NAME?</v>
      </c>
      <c r="BM280" s="1" t="e">
        <f ca="1">_xll.BDH($C$278,"INVENTORY_SEQUENTIAL_GROWTH","FQ2 2014","FQ2 2014","Currency=INR","Period=FQ","BEST_FPERIOD_OVERRIDE=FQ","FILING_STATUS=OR","EQY_CONSOLIDATED=Y","Sort=A","Dates=H","DateFormat=P","Fill=—","Direction=H","UseDPDF=Y")</f>
        <v>#NAME?</v>
      </c>
      <c r="BN280" s="1" t="e">
        <f ca="1">_xll.BDH($C$278,"FIXED_ASSETS_SEQUENTIAL_GROWTH","FQ2 2014","FQ2 2014","Currency=INR","Period=FQ","BEST_FPERIOD_OVERRIDE=FQ","FILING_STATUS=OR","EQY_CONSOLIDATED=Y","Sort=A","Dates=H","DateFormat=P","Fill=—","Direction=H","UseDPDF=Y")</f>
        <v>#NAME?</v>
      </c>
      <c r="BO280" s="1" t="e">
        <f ca="1">_xll.BDH($C$278,"TOTAL_ASSETS_SEQUENTIAL_GROWTH","FQ2 2014","FQ2 2014","Currency=INR","Period=FQ","BEST_FPERIOD_OVERRIDE=FQ","FILING_STATUS=OR","EQY_CONSOLIDATED=Y","Sort=A","Dates=H","DateFormat=P","Fill=—","Direction=H","UseDPDF=Y")</f>
        <v>#NAME?</v>
      </c>
      <c r="BP280" s="1" t="e">
        <f ca="1">_xll.BDH($C$278,"MODIFIED_WORKING_CPTL_SEQ_GRWTH","FQ2 2014","FQ2 2014","Currency=INR","Period=FQ","BEST_FPERIOD_OVERRIDE=FQ","FILING_STATUS=OR","EQY_CONSOLIDATED=Y","Sort=A","Dates=H","DateFormat=P","Fill=—","Direction=H","UseDPDF=Y")</f>
        <v>#NAME?</v>
      </c>
      <c r="BQ280" s="1" t="e">
        <f ca="1">_xll.BDH($C$278,"WORKING_CAPITAL_SEQ_GROWTH","FQ2 2014","FQ2 2014","Currency=INR","Period=FQ","BEST_FPERIOD_OVERRIDE=FQ","FILING_STATUS=OR","EQY_CONSOLIDATED=Y","Sort=A","Dates=H","DateFormat=P","Fill=—","Direction=H","UseDPDF=Y")</f>
        <v>#NAME?</v>
      </c>
      <c r="BR280" s="1" t="e">
        <f ca="1">_xll.BDH($C$278,"ACCOUNTS_PAYABLE_SEQ_GROWTH","FQ2 2014","FQ2 2014","Currency=INR","Period=FQ","BEST_FPERIOD_OVERRIDE=FQ","FILING_STATUS=OR","EQY_CONSOLIDATED=Y","Sort=A","Dates=H","DateFormat=P","Fill=—","Direction=H","UseDPDF=Y")</f>
        <v>#NAME?</v>
      </c>
      <c r="BS280" s="1" t="e">
        <f ca="1">_xll.BDH($C$278,"ST_DEBT_SEQUENTIAL_GROWTH","FQ2 2014","FQ2 2014","Currency=INR","Period=FQ","BEST_FPERIOD_OVERRIDE=FQ","FILING_STATUS=OR","EQY_CONSOLIDATED=Y","Sort=A","Dates=H","DateFormat=P","Fill=—","Direction=H","UseDPDF=Y")</f>
        <v>#NAME?</v>
      </c>
      <c r="BT280" s="1" t="e">
        <f ca="1">_xll.BDH($C$278,"TOTAL_DEBT_SEQUENTIAL_GROWTH","FQ2 2014","FQ2 2014","Currency=INR","Period=FQ","BEST_FPERIOD_OVERRIDE=FQ","FILING_STATUS=OR","EQY_CONSOLIDATED=Y","Sort=A","Dates=H","DateFormat=P","Fill=—","Direction=H","UseDPDF=Y")</f>
        <v>#NAME?</v>
      </c>
      <c r="BU280" s="1" t="e">
        <f ca="1">_xll.BDH($C$278,"TOTAL_EQUITY_SEQUENTIAL_GROWTH","FQ2 2014","FQ2 2014","Currency=INR","Period=FQ","BEST_FPERIOD_OVERRIDE=FQ","FILING_STATUS=OR","EQY_CONSOLIDATED=Y","Sort=A","Dates=H","DateFormat=P","Fill=—","Direction=H","UseDPDF=Y")</f>
        <v>#NAME?</v>
      </c>
      <c r="BV280" s="1" t="e">
        <f ca="1">_xll.BDH($C$278,"TOTAL_CAPITAL_SEQUENTIAL_GROWTH","FQ2 2014","FQ2 2014","Currency=INR","Period=FQ","BEST_FPERIOD_OVERRIDE=FQ","FILING_STATUS=OR","EQY_CONSOLIDATED=Y","Sort=A","Dates=H","DateFormat=P","Fill=—","Direction=H","UseDPDF=Y")</f>
        <v>#NAME?</v>
      </c>
      <c r="BW280" s="1" t="e">
        <f ca="1">_xll.BDH($C$278,"BPS_SEQUENTIAL_GROWTH","FQ2 2014","FQ2 2014","Currency=INR","Period=FQ","BEST_FPERIOD_OVERRIDE=FQ","FILING_STATUS=OR","EQY_CONSOLIDATED=Y","Sort=A","Dates=H","DateFormat=P","Fill=—","Direction=H","UseDPDF=Y")</f>
        <v>#NAME?</v>
      </c>
      <c r="BX280" s="1" t="e">
        <f ca="1">_xll.BDH($C$278,"CFO_SEQUENTIAL_GROWTH","FQ2 2014","FQ2 2014","Currency=INR","Period=FQ","BEST_FPERIOD_OVERRIDE=FQ","FILING_STATUS=OR","EQY_CONSOLIDATED=Y","Sort=A","Dates=H","DateFormat=P","Fill=—","Direction=H","UseDPDF=Y")</f>
        <v>#NAME?</v>
      </c>
      <c r="BY280" s="2" t="e">
        <f ca="1">_xll.BDH($C$278,"SHORT_AND_LONG_TERM_DEBT","FQ2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80" s="2" t="e">
        <f ca="1">_xll.BDH($C$278,"BS_ST_BORROW","FQ2 2014","FQ2 2014","Currency=INR","Period=FQ","BEST_FPERIOD_OVERRIDE=FQ","FILING_STATUS=OR","EQY_CONSOLIDATED=Y","SCALING_FORMAT=MLN","Sort=A","Dates=H","DateFormat=P","Fill=—","Direction=H","UseDPDF=Y")</f>
        <v>#NAME?</v>
      </c>
      <c r="CA280" s="2" t="e">
        <f ca="1">_xll.BDH($C$278,"BS_LT_BORROW","FQ2 2014","FQ2 2014","Currency=INR","Period=FQ","BEST_FPERIOD_OVERRIDE=FQ","FILING_STATUS=OR","EQY_CONSOLIDATED=Y","SCALING_FORMAT=MLN","Sort=A","Dates=H","DateFormat=P","Fill=—","Direction=H","UseDPDF=Y")</f>
        <v>#NAME?</v>
      </c>
      <c r="CB280" s="1" t="e">
        <f ca="1">_xll.BDH($C$278,"TOT_DEBT_TO_EBITDA","FQ2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80" s="1" t="e">
        <f ca="1">_xll.BDH($C$278,"NET_DEBT_TO_EBITDA","FQ2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80" s="1" t="e">
        <f ca="1">_xll.BDH($C$278,"TOTAL_DEBT_TO_EBIT","FQ2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80" s="1" t="e">
        <f ca="1">_xll.BDH($C$278,"NET_DEBT_TO_EBIT","FQ2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280" s="1" t="e">
        <f ca="1">_xll.BDH($C$278,"EBITDA_TO_INTEREST_EXPN","FQ2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80" s="1" t="e">
        <f ca="1">_xll.BDH($C$278,"COM_EQY_TO_TOT_ASSET","FQ2 2014","FQ2 2014","Currency=INR","Period=FQ","BEST_FPERIOD_OVERRIDE=FQ","FILING_STATUS=OR","EQY_CONSOLIDATED=Y","Sort=A","Dates=H","DateFormat=P","Fill=—","Direction=H","UseDPDF=Y")</f>
        <v>#NAME?</v>
      </c>
      <c r="CH280" s="1" t="e">
        <f ca="1">_xll.BDH($C$278,"LT_DEBT_TO_TOT_EQY","FQ2 2014","FQ2 2014","Currency=INR","Period=FQ","BEST_FPERIOD_OVERRIDE=FQ","FILING_STATUS=OR","EQY_CONSOLIDATED=Y","Sort=A","Dates=H","DateFormat=P","Fill=—","Direction=H","UseDPDF=Y")</f>
        <v>#NAME?</v>
      </c>
      <c r="CI280" s="1" t="e">
        <f ca="1">_xll.BDH($C$278,"LT_DEBT_TO_TOT_CAP","FQ2 2014","FQ2 2014","Currency=INR","Period=FQ","BEST_FPERIOD_OVERRIDE=FQ","FILING_STATUS=OR","EQY_CONSOLIDATED=Y","Sort=A","Dates=H","DateFormat=P","Fill=—","Direction=H","UseDPDF=Y")</f>
        <v>#NAME?</v>
      </c>
      <c r="CJ280" s="1" t="e">
        <f ca="1">_xll.BDH($C$278,"LT_DEBT_TO_TOT_ASSET","FQ2 2014","FQ2 2014","Currency=INR","Period=FQ","BEST_FPERIOD_OVERRIDE=FQ","FILING_STATUS=OR","EQY_CONSOLIDATED=Y","Sort=A","Dates=H","DateFormat=P","Fill=—","Direction=H","UseDPDF=Y")</f>
        <v>#NAME?</v>
      </c>
      <c r="CK280" s="1" t="e">
        <f ca="1">_xll.BDH($C$278,"TOT_DEBT_TO_TOT_EQY","FQ2 2014","FQ2 2014","Currency=INR","Period=FQ","BEST_FPERIOD_OVERRIDE=FQ","FILING_STATUS=OR","EQY_CONSOLIDATED=Y","Sort=A","Dates=H","DateFormat=P","Fill=—","Direction=H","UseDPDF=Y")</f>
        <v>#NAME?</v>
      </c>
      <c r="CL280" s="1" t="e">
        <f ca="1">_xll.BDH($C$278,"TOT_DEBT_TO_TOT_CAP","FQ2 2014","FQ2 2014","Currency=INR","Period=FQ","BEST_FPERIOD_OVERRIDE=FQ","FILING_STATUS=OR","EQY_CONSOLIDATED=Y","Sort=A","Dates=H","DateFormat=P","Fill=—","Direction=H","UseDPDF=Y")</f>
        <v>#NAME?</v>
      </c>
      <c r="CM280" s="1" t="e">
        <f ca="1">_xll.BDH($C$278,"TOT_DEBT_TO_TOT_ASSET","FQ2 2014","FQ2 2014","Currency=INR","Period=FQ","BEST_FPERIOD_OVERRIDE=FQ","FILING_STATUS=OR","EQY_CONSOLIDATED=Y","Sort=A","Dates=H","DateFormat=P","Fill=—","Direction=H","UseDPDF=Y")</f>
        <v>#NAME?</v>
      </c>
      <c r="CN280" s="1" t="e">
        <f ca="1">_xll.BDH($C$278,"NET_DEBT_TO_SHRHLDR_EQTY","FQ2 2014","FQ2 2014","Currency=INR","Period=FQ","BEST_FPERIOD_OVERRIDE=FQ","FILING_STATUS=OR","EQY_CONSOLIDATED=Y","Sort=A","Dates=H","DateFormat=P","Fill=—","Direction=H","UseDPDF=Y")</f>
        <v>#NAME?</v>
      </c>
      <c r="CO280" s="1" t="e">
        <f ca="1">_xll.BDH($C$278,"NET_DEBT_%_CAPITAL","FQ2 2014","FQ2 2014","Currency=INR","Period=FQ","BEST_FPERIOD_OVERRIDE=FQ","FILING_STATUS=OR","EQY_CONSOLIDATED=Y","Sort=A","Dates=H","DateFormat=P","Fill=—","Direction=H","UseDPDF=Y")</f>
        <v>#NAME?</v>
      </c>
      <c r="CP280" s="2" t="e">
        <f ca="1">_xll.BDH($C$278,"EBITDA","FQ2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80" s="2" t="e">
        <f ca="1">_xll.BDH($C$278,"EBITDA_AFTER_CAPEX","FQ2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80" s="2" t="e">
        <f ca="1">_xll.BDH($C$278,"IS_OPER_INC","FQ2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80" s="1" t="e">
        <f ca="1">_xll.BDH($C$278,"CASH_RATIO","FQ2 2014","FQ2 2014","Currency=INR","Period=FQ","BEST_FPERIOD_OVERRIDE=FQ","FILING_STATUS=OR","EQY_CONSOLIDATED=Y","Sort=A","Dates=H","DateFormat=P","Fill=—","Direction=H","UseDPDF=Y")</f>
        <v>#NAME?</v>
      </c>
      <c r="CT280" s="1" t="e">
        <f ca="1">_xll.BDH($C$278,"CUR_RATIO","FQ2 2014","FQ2 2014","Currency=INR","Period=FQ","BEST_FPERIOD_OVERRIDE=FQ","FILING_STATUS=OR","EQY_CONSOLIDATED=Y","Sort=A","Dates=H","DateFormat=P","Fill=—","Direction=H","UseDPDF=Y")</f>
        <v>#NAME?</v>
      </c>
      <c r="CU280" s="1" t="e">
        <f ca="1">_xll.BDH($C$278,"QUICK_RATIO","FQ2 2014","FQ2 2014","Currency=INR","Period=FQ","BEST_FPERIOD_OVERRIDE=FQ","FILING_STATUS=OR","EQY_CONSOLIDATED=Y","Sort=A","Dates=H","DateFormat=P","Fill=—","Direction=H","UseDPDF=Y")</f>
        <v>#NAME?</v>
      </c>
      <c r="CV280" s="1" t="e">
        <f ca="1">_xll.BDH($C$278,"ALTMAN_Z_SCORE","FQ2 2014","FQ2 2014","Currency=INR","Period=FQ","BEST_FPERIOD_OVERRIDE=FQ","FILING_STATUS=OR","EQY_CONSOLIDATED=Y","Sort=A","Dates=H","DateFormat=P","Fill=—","Direction=H","UseDPDF=Y")</f>
        <v>#NAME?</v>
      </c>
      <c r="CW280" s="3" t="e">
        <f ca="1">_xll.BDH($C$278,"ACCT_RCV_TURN","FQ2 2014","FQ2 2014","Currency=INR","Period=FQ","BEST_FPERIOD_OVERRIDE=FQ","FILING_STATUS=OR","EQY_CONSOLIDATED=Y","FA_ADJUSTED=GAAP","Sort=A","Dates=H","DateFormat=P","Fill=—","Direction=H","UseDPDF=Y")</f>
        <v>#NAME?</v>
      </c>
      <c r="CX280" s="1" t="e">
        <f ca="1">_xll.BDH($C$278,"ACCT_RCV_DAYS","FQ2 2014","FQ2 2014","Currency=INR","Period=FQ","BEST_FPERIOD_OVERRIDE=FQ","FILING_STATUS=OR","EQY_CONSOLIDATED=Y","FA_ADJUSTED=GAAP","Sort=A","Dates=H","DateFormat=P","Fill=—","Direction=H","UseDPDF=Y")</f>
        <v>#NAME?</v>
      </c>
      <c r="CY280" s="3" t="e">
        <f ca="1">_xll.BDH($C$278,"INVENT_TURN","FQ2 2014","FQ2 2014","Currency=INR","Period=FQ","BEST_FPERIOD_OVERRIDE=FQ","FILING_STATUS=OR","EQY_CONSOLIDATED=Y","FA_ADJUSTED=GAAP","Sort=A","Dates=H","DateFormat=P","Fill=—","Direction=H","UseDPDF=Y")</f>
        <v>#NAME?</v>
      </c>
      <c r="CZ280" s="1" t="e">
        <f ca="1">_xll.BDH($C$278,"INVENT_DAYS","FQ2 2014","FQ2 2014","Currency=INR","Period=FQ","BEST_FPERIOD_OVERRIDE=FQ","FILING_STATUS=OR","EQY_CONSOLIDATED=Y","FA_ADJUSTED=GAAP","Sort=A","Dates=H","DateFormat=P","Fill=—","Direction=H","UseDPDF=Y")</f>
        <v>#NAME?</v>
      </c>
      <c r="DA280" s="3" t="e">
        <f ca="1">_xll.BDH($C$278,"ACCOUNTS_PAYABLE_TURNOVER","FQ2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80" s="1" t="e">
        <f ca="1">_xll.BDH($C$278,"ACCOUNTS_PAYABLE_TURNOVER_DAYS","FQ2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80" s="3" t="e">
        <f ca="1">_xll.BDH($C$278,"CASH_CONVERSION_CYCLE","FQ2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80" s="3" t="e">
        <f ca="1">_xll.BDH($C$278,"INV_TO_CASH_DAYS","FQ2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280" s="4" t="e">
        <f ca="1">_xll.BDH($C$278,"BS_INVENTORIES","FQ2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280" s="2" t="e">
        <f ca="1">_xll.BDH($C$278,"INVTRY_RAW_MATERIALS","FQ2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80" s="2" t="e">
        <f ca="1">_xll.BDH($C$278,"INVTRY_IN_PROGRESS","FQ2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80" s="2" t="e">
        <f ca="1">_xll.BDH($C$278,"INVTRY_FINISHED_GOODS","FQ2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80" s="2" t="e">
        <f ca="1">_xll.BDH($C$278,"BS_OTHER_INV","FQ2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81" spans="1:113" x14ac:dyDescent="0.3">
      <c r="A281" s="6"/>
      <c r="B281" s="6"/>
      <c r="C281" s="6"/>
      <c r="D281" s="6"/>
      <c r="E281" t="s">
        <v>6</v>
      </c>
      <c r="F281" t="e">
        <f ca="1">_xll.BDH($C$278,"RETURN_COM_EQY","FQ3 2014","FQ3 2014","Currency=INR","Period=FQ","BEST_FPERIOD_OVERRIDE=FQ","FILING_STATUS=OR","EQY_CONSOLIDATED=Y","FA_ADJUSTED=GAAP","Sort=A","Dates=H","DateFormat=P","Fill=—","Direction=H","UseDPDF=Y")</f>
        <v>#NAME?</v>
      </c>
      <c r="G281" t="e">
        <f ca="1">_xll.BDH($C$278,"RETURN_ON_ASSET","FQ3 2014","FQ3 2014","Currency=INR","Period=FQ","BEST_FPERIOD_OVERRIDE=FQ","FILING_STATUS=OR","EQY_CONSOLIDATED=Y","FA_ADJUSTED=GAAP","Sort=A","Dates=H","DateFormat=P","Fill=—","Direction=H","UseDPDF=Y")</f>
        <v>#NAME?</v>
      </c>
      <c r="H281" t="e">
        <f ca="1">_xll.BDH($C$278,"RETURN_ON_CAP","FQ3 2014","FQ3 2014","Currency=INR","Period=FQ","BEST_FPERIOD_OVERRIDE=FQ","FILING_STATUS=OR","EQY_CONSOLIDATED=Y","FA_ADJUSTED=GAAP","Sort=A","Dates=H","DateFormat=P","Fill=—","Direction=H","UseDPDF=Y")</f>
        <v>#NAME?</v>
      </c>
      <c r="I281" t="e">
        <f ca="1">_xll.BDH($C$278,"RETURN_ON_INV_CAPITAL","FQ3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81" t="e">
        <f ca="1">_xll.BDH($C$278,"EBITDA_TO_REVENUE","FQ3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281" t="e">
        <f ca="1">_xll.BDH($C$278,"OPER_MARGIN","FQ3 2014","FQ3 2014","Currency=INR","Period=FQ","BEST_FPERIOD_OVERRIDE=FQ","FILING_STATUS=OR","EQY_CONSOLIDATED=Y","FA_ADJUSTED=GAAP","Sort=A","Dates=H","DateFormat=P","Fill=—","Direction=H","UseDPDF=Y")</f>
        <v>#NAME?</v>
      </c>
      <c r="L281" t="e">
        <f ca="1">_xll.BDH($C$278,"INCREMENTAL_OPERATING_MARGIN","FQ3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81" t="e">
        <f ca="1">_xll.BDH($C$278,"PRETAX_INC_TO_NET_SALES","FQ3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81" t="e">
        <f ca="1">_xll.BDH($C$278,"INC_BEF_XO_ITEMS_TO_NET_SALES","FQ3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81" t="e">
        <f ca="1">_xll.BDH($C$278,"PROF_MARGIN","FQ3 2014","FQ3 2014","Currency=INR","Period=FQ","BEST_FPERIOD_OVERRIDE=FQ","FILING_STATUS=OR","EQY_CONSOLIDATED=Y","FA_ADJUSTED=GAAP","Sort=A","Dates=H","DateFormat=P","Fill=—","Direction=H","UseDPDF=Y")</f>
        <v>#NAME?</v>
      </c>
      <c r="P281" t="e">
        <f ca="1">_xll.BDH($C$278,"NET_INCOME_TO_COMMON_MARGIN","FQ3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81" t="e">
        <f ca="1">_xll.BDH($C$278,"EFF_TAX_RATE","FQ3 2014","FQ3 2014","Currency=INR","Period=FQ","BEST_FPERIOD_OVERRIDE=FQ","FILING_STATUS=OR","EQY_CONSOLIDATED=Y","FA_ADJUSTED=GAAP","Sort=A","Dates=H","DateFormat=P","Fill=—","Direction=H","UseDPDF=Y")</f>
        <v>#NAME?</v>
      </c>
      <c r="R281" t="e">
        <f ca="1">_xll.BDH($C$278,"DVD_PAYOUT_RATIO","FQ3 2014","FQ3 2014","Currency=INR","Period=FQ","BEST_FPERIOD_OVERRIDE=FQ","FILING_STATUS=OR","EQY_CONSOLIDATED=Y","FA_ADJUSTED=GAAP","Sort=A","Dates=H","DateFormat=P","Fill=—","Direction=H","UseDPDF=Y")</f>
        <v>#NAME?</v>
      </c>
      <c r="S281" t="e">
        <f ca="1">_xll.BDH($C$278,"SUSTAIN_GROWTH_RT","FQ3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281" s="1" t="e">
        <f ca="1">_xll.BDH($C$278,"SALES_GROWTH","FQ3 2014","FQ3 2014","Currency=INR","Period=FQ","BEST_FPERIOD_OVERRIDE=FQ","FILING_STATUS=OR","EQY_CONSOLIDATED=Y","FA_ADJUSTED=GAAP","Sort=A","Dates=H","DateFormat=P","Fill=—","Direction=H","UseDPDF=Y")</f>
        <v>#NAME?</v>
      </c>
      <c r="U281" s="1" t="e">
        <f ca="1">_xll.BDH($C$278,"EBITDA_GROWTH","FQ3 2014","FQ3 2014","Currency=INR","Period=FQ","BEST_FPERIOD_OVERRIDE=FQ","FILING_STATUS=OR","EQY_CONSOLIDATED=Y","FA_ADJUSTED=GAAP","Sort=A","Dates=H","DateFormat=P","Fill=—","Direction=H","UseDPDF=Y")</f>
        <v>#NAME?</v>
      </c>
      <c r="V281" s="1" t="e">
        <f ca="1">_xll.BDH($C$278,"OPER_INC_GROWTH","FQ3 2014","FQ3 2014","Currency=INR","Period=FQ","BEST_FPERIOD_OVERRIDE=FQ","FILING_STATUS=OR","EQY_CONSOLIDATED=Y","FA_ADJUSTED=GAAP","Sort=A","Dates=H","DateFormat=P","Fill=—","Direction=H","UseDPDF=Y")</f>
        <v>#NAME?</v>
      </c>
      <c r="W281" s="1" t="e">
        <f ca="1">_xll.BDH($C$278,"EARN_FOR_COM_GROWTH","FQ3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81" s="1" t="e">
        <f ca="1">_xll.BDH($C$278,"DILUTED_EPS_AFT_XO_ITEMS_GROWTH","FQ3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81" s="1" t="e">
        <f ca="1">_xll.BDH($C$278,"DIVIDEND_PER_SHARE_1_YEAR_GROWTH","FQ3 2014","FQ3 2014","Currency=INR","Period=FQ","BEST_FPERIOD_OVERRIDE=FQ","FILING_STATUS=OR","EQY_CONSOLIDATED=Y","Sort=A","Dates=H","DateFormat=P","Fill=—","Direction=H","UseDPDF=Y")</f>
        <v>#NAME?</v>
      </c>
      <c r="Z281" s="1" t="e">
        <f ca="1">_xll.BDH($C$278,"ACCOUNTS_RECEIVABLE_GROWTH","FQ3 2014","FQ3 2014","Currency=INR","Period=FQ","BEST_FPERIOD_OVERRIDE=FQ","FILING_STATUS=OR","EQY_CONSOLIDATED=Y","Sort=A","Dates=H","DateFormat=P","Fill=—","Direction=H","UseDPDF=Y")</f>
        <v>#NAME?</v>
      </c>
      <c r="AA281" s="1" t="e">
        <f ca="1">_xll.BDH($C$278,"INVENTORY_GROWTH","FQ3 2014","FQ3 2014","Currency=INR","Period=FQ","BEST_FPERIOD_OVERRIDE=FQ","FILING_STATUS=OR","EQY_CONSOLIDATED=Y","Sort=A","Dates=H","DateFormat=P","Fill=—","Direction=H","UseDPDF=Y")</f>
        <v>#NAME?</v>
      </c>
      <c r="AB281" s="1" t="e">
        <f ca="1">_xll.BDH($C$278,"NET_FIXED_ASSETS_1_YEAR_GROWTH","FQ3 2014","FQ3 2014","Currency=INR","Period=FQ","BEST_FPERIOD_OVERRIDE=FQ","FILING_STATUS=OR","EQY_CONSOLIDATED=Y","Sort=A","Dates=H","DateFormat=P","Fill=—","Direction=H","UseDPDF=Y")</f>
        <v>#NAME?</v>
      </c>
      <c r="AC281" s="1" t="e">
        <f ca="1">_xll.BDH($C$278,"ASSET_GROWTH","FQ3 2014","FQ3 2014","Currency=INR","Period=FQ","BEST_FPERIOD_OVERRIDE=FQ","FILING_STATUS=OR","EQY_CONSOLIDATED=Y","Sort=A","Dates=H","DateFormat=P","Fill=—","Direction=H","UseDPDF=Y")</f>
        <v>#NAME?</v>
      </c>
      <c r="AD281" s="1" t="e">
        <f ca="1">_xll.BDH($C$278,"MODIFIED_WORK_CAP_GROWTH","FQ3 2014","FQ3 2014","Currency=INR","Period=FQ","BEST_FPERIOD_OVERRIDE=FQ","FILING_STATUS=OR","EQY_CONSOLIDATED=Y","Sort=A","Dates=H","DateFormat=P","Fill=—","Direction=H","UseDPDF=Y")</f>
        <v>#NAME?</v>
      </c>
      <c r="AE281" s="1" t="e">
        <f ca="1">_xll.BDH($C$278,"WORK_CAP_GROWTH","FQ3 2014","FQ3 2014","Currency=INR","Period=FQ","BEST_FPERIOD_OVERRIDE=FQ","FILING_STATUS=OR","EQY_CONSOLIDATED=Y","Sort=A","Dates=H","DateFormat=P","Fill=—","Direction=H","UseDPDF=Y")</f>
        <v>#NAME?</v>
      </c>
      <c r="AF281" s="1" t="e">
        <f ca="1">_xll.BDH($C$278,"ACCOUNTS_PAYABLE_GROWTH_1YR","FQ3 2014","FQ3 2014","Currency=INR","Period=FQ","BEST_FPERIOD_OVERRIDE=FQ","FILING_STATUS=OR","EQY_CONSOLIDATED=Y","Sort=A","Dates=H","DateFormat=P","Fill=—","Direction=H","UseDPDF=Y")</f>
        <v>#NAME?</v>
      </c>
      <c r="AG281" s="1" t="e">
        <f ca="1">_xll.BDH($C$278,"SHORT_TERM_DEBT_1_YEAR_GROWTH","FQ3 2014","FQ3 2014","Currency=INR","Period=FQ","BEST_FPERIOD_OVERRIDE=FQ","FILING_STATUS=OR","EQY_CONSOLIDATED=Y","Sort=A","Dates=H","DateFormat=P","Fill=—","Direction=H","UseDPDF=Y")</f>
        <v>#NAME?</v>
      </c>
      <c r="AH281" s="1" t="e">
        <f ca="1">_xll.BDH($C$278,"TOTAL_DEBT_1_YEAR_GROWTH","FQ3 2014","FQ3 2014","Currency=INR","Period=FQ","BEST_FPERIOD_OVERRIDE=FQ","FILING_STATUS=OR","EQY_CONSOLIDATED=Y","Sort=A","Dates=H","DateFormat=P","Fill=—","Direction=H","UseDPDF=Y")</f>
        <v>#NAME?</v>
      </c>
      <c r="AI281" s="1" t="e">
        <f ca="1">_xll.BDH($C$278,"TOTAL_EQUITY_1_YEAR_GROWTH","FQ3 2014","FQ3 2014","Currency=INR","Period=FQ","BEST_FPERIOD_OVERRIDE=FQ","FILING_STATUS=OR","EQY_CONSOLIDATED=Y","Sort=A","Dates=H","DateFormat=P","Fill=—","Direction=H","UseDPDF=Y")</f>
        <v>#NAME?</v>
      </c>
      <c r="AJ281" s="1" t="e">
        <f ca="1">_xll.BDH($C$278,"GROWTH_IN_CAP","FQ3 2014","FQ3 2014","Currency=INR","Period=FQ","BEST_FPERIOD_OVERRIDE=FQ","FILING_STATUS=OR","EQY_CONSOLIDATED=Y","Sort=A","Dates=H","DateFormat=P","Fill=—","Direction=H","UseDPDF=Y")</f>
        <v>#NAME?</v>
      </c>
      <c r="AK281" s="1" t="e">
        <f ca="1">_xll.BDH($C$278,"BVPS_GROWTH","FQ3 2014","FQ3 2014","Currency=INR","Period=FQ","BEST_FPERIOD_OVERRIDE=FQ","FILING_STATUS=OR","EQY_CONSOLIDATED=Y","Sort=A","Dates=H","DateFormat=P","Fill=—","Direction=H","UseDPDF=Y")</f>
        <v>#NAME?</v>
      </c>
      <c r="AL281" s="1" t="e">
        <f ca="1">_xll.BDH($C$278,"CASH_FLOW_GROWTH","FQ3 2014","FQ3 2014","Currency=INR","Period=FQ","BEST_FPERIOD_OVERRIDE=FQ","FILING_STATUS=OR","EQY_CONSOLIDATED=Y","Sort=A","Dates=H","DateFormat=P","Fill=—","Direction=H","UseDPDF=Y")</f>
        <v>#NAME?</v>
      </c>
      <c r="AM281" s="1" t="e">
        <f ca="1">_xll.BDH($C$278,"GEO_GROW_NET_SALES","FQ3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81" s="1" t="e">
        <f ca="1">_xll.BDH($C$278,"GEO_GROW_EBITDA","FQ3 2014","FQ3 2014","Currency=INR","Period=FQ","BEST_FPERIOD_OVERRIDE=FQ","FILING_STATUS=OR","EQY_CONSOLIDATED=Y","FA_ADJUSTED=GAAP","Sort=A","Dates=H","DateFormat=P","Fill=—","Direction=H","UseDPDF=Y")</f>
        <v>#NAME?</v>
      </c>
      <c r="AO281" s="1" t="e">
        <f ca="1">_xll.BDH($C$278,"GEO_GROW_OPER_INC","FQ3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81" s="1" t="e">
        <f ca="1">_xll.BDH($C$278,"NET_INCOME_TO_COMMON_5_YR_GROWTH","FQ3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81" s="1" t="e">
        <f ca="1">_xll.BDH($C$278,"5Y_GEO_GROWTH_DILUTED_EPS","FQ3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81" s="1" t="e">
        <f ca="1">_xll.BDH($C$278,"GEO_GROW_DVD_PER_SH","FQ3 2014","FQ3 2014","Currency=INR","Period=FQ","BEST_FPERIOD_OVERRIDE=FQ","FILING_STATUS=OR","EQY_CONSOLIDATED=Y","Sort=A","Dates=H","DateFormat=P","Fill=—","Direction=H","UseDPDF=Y")</f>
        <v>#NAME?</v>
      </c>
      <c r="AS281" s="1" t="e">
        <f ca="1">_xll.BDH($C$278,"ACCOUNTS_RECEIVABLE_5_YR_GROWTH","FQ3 2014","FQ3 2014","Currency=INR","Period=FQ","BEST_FPERIOD_OVERRIDE=FQ","FILING_STATUS=OR","EQY_CONSOLIDATED=Y","Sort=A","Dates=H","DateFormat=P","Fill=—","Direction=H","UseDPDF=Y")</f>
        <v>#NAME?</v>
      </c>
      <c r="AT281" s="1" t="e">
        <f ca="1">_xll.BDH($C$278,"INVENTORY_5_YEAR_GROWTH","FQ3 2014","FQ3 2014","Currency=INR","Period=FQ","BEST_FPERIOD_OVERRIDE=FQ","FILING_STATUS=OR","EQY_CONSOLIDATED=Y","Sort=A","Dates=H","DateFormat=P","Fill=—","Direction=H","UseDPDF=Y")</f>
        <v>#NAME?</v>
      </c>
      <c r="AU281" s="1" t="e">
        <f ca="1">_xll.BDH($C$278,"NET_FIXED_ASSETS_5_YEAR_GROWTH","FQ3 2014","FQ3 2014","Currency=INR","Period=FQ","BEST_FPERIOD_OVERRIDE=FQ","FILING_STATUS=OR","EQY_CONSOLIDATED=Y","Sort=A","Dates=H","DateFormat=P","Fill=—","Direction=H","UseDPDF=Y")</f>
        <v>#NAME?</v>
      </c>
      <c r="AV281" s="1" t="e">
        <f ca="1">_xll.BDH($C$278,"GEO_GROW_TOT_ASSET","FQ3 2014","FQ3 2014","Currency=INR","Period=FQ","BEST_FPERIOD_OVERRIDE=FQ","FILING_STATUS=OR","EQY_CONSOLIDATED=Y","Sort=A","Dates=H","DateFormat=P","Fill=—","Direction=H","UseDPDF=Y")</f>
        <v>#NAME?</v>
      </c>
      <c r="AW281" s="1" t="e">
        <f ca="1">_xll.BDH($C$278,"MODIFIED_WORKING_CPTL_5YR_GRWTH","FQ3 2014","FQ3 2014","Currency=INR","Period=FQ","BEST_FPERIOD_OVERRIDE=FQ","FILING_STATUS=OR","EQY_CONSOLIDATED=Y","Sort=A","Dates=H","DateFormat=P","Fill=—","Direction=H","UseDPDF=Y")</f>
        <v>#NAME?</v>
      </c>
      <c r="AX281" s="1" t="e">
        <f ca="1">_xll.BDH($C$278,"WORKING_CAPITAL_5_YEAR_GROWTH","FQ3 2014","FQ3 2014","Currency=INR","Period=FQ","BEST_FPERIOD_OVERRIDE=FQ","FILING_STATUS=OR","EQY_CONSOLIDATED=Y","Sort=A","Dates=H","DateFormat=P","Fill=—","Direction=H","UseDPDF=Y")</f>
        <v>#NAME?</v>
      </c>
      <c r="AY281" s="1" t="e">
        <f ca="1">_xll.BDH($C$278,"ACCOUNTS_PAYABLE_5_YEAR_GROWTH","FQ3 2014","FQ3 2014","Currency=INR","Period=FQ","BEST_FPERIOD_OVERRIDE=FQ","FILING_STATUS=OR","EQY_CONSOLIDATED=Y","Sort=A","Dates=H","DateFormat=P","Fill=—","Direction=H","UseDPDF=Y")</f>
        <v>#NAME?</v>
      </c>
      <c r="AZ281" s="1" t="e">
        <f ca="1">_xll.BDH($C$278,"SHORT_TERM_DEBT_5_YEAR_GROWTH","FQ3 2014","FQ3 2014","Currency=INR","Period=FQ","BEST_FPERIOD_OVERRIDE=FQ","FILING_STATUS=OR","EQY_CONSOLIDATED=Y","Sort=A","Dates=H","DateFormat=P","Fill=—","Direction=H","UseDPDF=Y")</f>
        <v>#NAME?</v>
      </c>
      <c r="BA281" s="1" t="e">
        <f ca="1">_xll.BDH($C$278,"TOTAL_DEBT_5_YEAR_GROWTH","FQ3 2014","FQ3 2014","Currency=INR","Period=FQ","BEST_FPERIOD_OVERRIDE=FQ","FILING_STATUS=OR","EQY_CONSOLIDATED=Y","Sort=A","Dates=H","DateFormat=P","Fill=—","Direction=H","UseDPDF=Y")</f>
        <v>#NAME?</v>
      </c>
      <c r="BB281" s="1" t="e">
        <f ca="1">_xll.BDH($C$278,"GEO_GROW_TOT_SHRHLDR_EQY","FQ3 2014","FQ3 2014","Currency=INR","Period=FQ","BEST_FPERIOD_OVERRIDE=FQ","FILING_STATUS=OR","EQY_CONSOLIDATED=Y","Sort=A","Dates=H","DateFormat=P","Fill=—","Direction=H","UseDPDF=Y")</f>
        <v>#NAME?</v>
      </c>
      <c r="BC281" s="1" t="e">
        <f ca="1">_xll.BDH($C$278,"TOTAL_CAPITAL_5_YEAR_GROWTH","FQ3 2014","FQ3 2014","Currency=INR","Period=FQ","BEST_FPERIOD_OVERRIDE=FQ","FILING_STATUS=OR","EQY_CONSOLIDATED=Y","Sort=A","Dates=H","DateFormat=P","Fill=—","Direction=H","UseDPDF=Y")</f>
        <v>#NAME?</v>
      </c>
      <c r="BD281" s="1" t="e">
        <f ca="1">_xll.BDH($C$278,"GEO_GROW_BOOK_VAL","FQ3 2014","FQ3 2014","Currency=INR","Period=FQ","BEST_FPERIOD_OVERRIDE=FQ","FILING_STATUS=OR","EQY_CONSOLIDATED=Y","Sort=A","Dates=H","DateFormat=P","Fill=—","Direction=H","UseDPDF=Y")</f>
        <v>#NAME?</v>
      </c>
      <c r="BE281" s="1" t="e">
        <f ca="1">_xll.BDH($C$278,"GEO_GROW_CASH_OPER_ACT","FQ3 2014","FQ3 2014","Currency=INR","Period=FQ","BEST_FPERIOD_OVERRIDE=FQ","FILING_STATUS=OR","EQY_CONSOLIDATED=Y","Sort=A","Dates=H","DateFormat=P","Fill=—","Direction=H","UseDPDF=Y")</f>
        <v>#NAME?</v>
      </c>
      <c r="BF281" s="1" t="e">
        <f ca="1">_xll.BDH($C$278,"REVENUE_SEQUENTIAL_GROWTH","FQ3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81" s="1" t="e">
        <f ca="1">_xll.BDH($C$278,"EBITDA_SEQUENTIAL_GROWTH","FQ3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81" s="1" t="e">
        <f ca="1">_xll.BDH($C$278,"OPERATING_INCOME_SEQ_GROWTH","FQ3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81" s="1" t="e">
        <f ca="1">_xll.BDH($C$278,"NET_INCOME_TO_COMMON_SEQ_GROWTH","FQ3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81" s="1" t="e">
        <f ca="1">_xll.BDH($C$278,"EPS_DILUTED_SEQUENTIAL_GROWTH","FQ3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81" s="1" t="e">
        <f ca="1">_xll.BDH($C$278,"DPS_SEQUENTIAL_GROWTH","FQ3 2014","FQ3 2014","Currency=INR","Period=FQ","BEST_FPERIOD_OVERRIDE=FQ","FILING_STATUS=OR","EQY_CONSOLIDATED=Y","Sort=A","Dates=H","DateFormat=P","Fill=—","Direction=H","UseDPDF=Y")</f>
        <v>#NAME?</v>
      </c>
      <c r="BL281" s="1" t="e">
        <f ca="1">_xll.BDH($C$278,"ACCOUNTS_RECEIVABLE_SEQ_GROWTH","FQ3 2014","FQ3 2014","Currency=INR","Period=FQ","BEST_FPERIOD_OVERRIDE=FQ","FILING_STATUS=OR","EQY_CONSOLIDATED=Y","Sort=A","Dates=H","DateFormat=P","Fill=—","Direction=H","UseDPDF=Y")</f>
        <v>#NAME?</v>
      </c>
      <c r="BM281" s="1" t="e">
        <f ca="1">_xll.BDH($C$278,"INVENTORY_SEQUENTIAL_GROWTH","FQ3 2014","FQ3 2014","Currency=INR","Period=FQ","BEST_FPERIOD_OVERRIDE=FQ","FILING_STATUS=OR","EQY_CONSOLIDATED=Y","Sort=A","Dates=H","DateFormat=P","Fill=—","Direction=H","UseDPDF=Y")</f>
        <v>#NAME?</v>
      </c>
      <c r="BN281" s="1" t="e">
        <f ca="1">_xll.BDH($C$278,"FIXED_ASSETS_SEQUENTIAL_GROWTH","FQ3 2014","FQ3 2014","Currency=INR","Period=FQ","BEST_FPERIOD_OVERRIDE=FQ","FILING_STATUS=OR","EQY_CONSOLIDATED=Y","Sort=A","Dates=H","DateFormat=P","Fill=—","Direction=H","UseDPDF=Y")</f>
        <v>#NAME?</v>
      </c>
      <c r="BO281" s="1" t="e">
        <f ca="1">_xll.BDH($C$278,"TOTAL_ASSETS_SEQUENTIAL_GROWTH","FQ3 2014","FQ3 2014","Currency=INR","Period=FQ","BEST_FPERIOD_OVERRIDE=FQ","FILING_STATUS=OR","EQY_CONSOLIDATED=Y","Sort=A","Dates=H","DateFormat=P","Fill=—","Direction=H","UseDPDF=Y")</f>
        <v>#NAME?</v>
      </c>
      <c r="BP281" s="1" t="e">
        <f ca="1">_xll.BDH($C$278,"MODIFIED_WORKING_CPTL_SEQ_GRWTH","FQ3 2014","FQ3 2014","Currency=INR","Period=FQ","BEST_FPERIOD_OVERRIDE=FQ","FILING_STATUS=OR","EQY_CONSOLIDATED=Y","Sort=A","Dates=H","DateFormat=P","Fill=—","Direction=H","UseDPDF=Y")</f>
        <v>#NAME?</v>
      </c>
      <c r="BQ281" s="1" t="e">
        <f ca="1">_xll.BDH($C$278,"WORKING_CAPITAL_SEQ_GROWTH","FQ3 2014","FQ3 2014","Currency=INR","Period=FQ","BEST_FPERIOD_OVERRIDE=FQ","FILING_STATUS=OR","EQY_CONSOLIDATED=Y","Sort=A","Dates=H","DateFormat=P","Fill=—","Direction=H","UseDPDF=Y")</f>
        <v>#NAME?</v>
      </c>
      <c r="BR281" s="1" t="e">
        <f ca="1">_xll.BDH($C$278,"ACCOUNTS_PAYABLE_SEQ_GROWTH","FQ3 2014","FQ3 2014","Currency=INR","Period=FQ","BEST_FPERIOD_OVERRIDE=FQ","FILING_STATUS=OR","EQY_CONSOLIDATED=Y","Sort=A","Dates=H","DateFormat=P","Fill=—","Direction=H","UseDPDF=Y")</f>
        <v>#NAME?</v>
      </c>
      <c r="BS281" s="1" t="e">
        <f ca="1">_xll.BDH($C$278,"ST_DEBT_SEQUENTIAL_GROWTH","FQ3 2014","FQ3 2014","Currency=INR","Period=FQ","BEST_FPERIOD_OVERRIDE=FQ","FILING_STATUS=OR","EQY_CONSOLIDATED=Y","Sort=A","Dates=H","DateFormat=P","Fill=—","Direction=H","UseDPDF=Y")</f>
        <v>#NAME?</v>
      </c>
      <c r="BT281" s="1" t="e">
        <f ca="1">_xll.BDH($C$278,"TOTAL_DEBT_SEQUENTIAL_GROWTH","FQ3 2014","FQ3 2014","Currency=INR","Period=FQ","BEST_FPERIOD_OVERRIDE=FQ","FILING_STATUS=OR","EQY_CONSOLIDATED=Y","Sort=A","Dates=H","DateFormat=P","Fill=—","Direction=H","UseDPDF=Y")</f>
        <v>#NAME?</v>
      </c>
      <c r="BU281" s="1" t="e">
        <f ca="1">_xll.BDH($C$278,"TOTAL_EQUITY_SEQUENTIAL_GROWTH","FQ3 2014","FQ3 2014","Currency=INR","Period=FQ","BEST_FPERIOD_OVERRIDE=FQ","FILING_STATUS=OR","EQY_CONSOLIDATED=Y","Sort=A","Dates=H","DateFormat=P","Fill=—","Direction=H","UseDPDF=Y")</f>
        <v>#NAME?</v>
      </c>
      <c r="BV281" s="1" t="e">
        <f ca="1">_xll.BDH($C$278,"TOTAL_CAPITAL_SEQUENTIAL_GROWTH","FQ3 2014","FQ3 2014","Currency=INR","Period=FQ","BEST_FPERIOD_OVERRIDE=FQ","FILING_STATUS=OR","EQY_CONSOLIDATED=Y","Sort=A","Dates=H","DateFormat=P","Fill=—","Direction=H","UseDPDF=Y")</f>
        <v>#NAME?</v>
      </c>
      <c r="BW281" s="1" t="e">
        <f ca="1">_xll.BDH($C$278,"BPS_SEQUENTIAL_GROWTH","FQ3 2014","FQ3 2014","Currency=INR","Period=FQ","BEST_FPERIOD_OVERRIDE=FQ","FILING_STATUS=OR","EQY_CONSOLIDATED=Y","Sort=A","Dates=H","DateFormat=P","Fill=—","Direction=H","UseDPDF=Y")</f>
        <v>#NAME?</v>
      </c>
      <c r="BX281" s="1" t="e">
        <f ca="1">_xll.BDH($C$278,"CFO_SEQUENTIAL_GROWTH","FQ3 2014","FQ3 2014","Currency=INR","Period=FQ","BEST_FPERIOD_OVERRIDE=FQ","FILING_STATUS=OR","EQY_CONSOLIDATED=Y","Sort=A","Dates=H","DateFormat=P","Fill=—","Direction=H","UseDPDF=Y")</f>
        <v>#NAME?</v>
      </c>
      <c r="BY281" s="2" t="e">
        <f ca="1">_xll.BDH($C$278,"SHORT_AND_LONG_TERM_DEBT","FQ3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81" s="2" t="e">
        <f ca="1">_xll.BDH($C$278,"BS_ST_BORROW","FQ3 2014","FQ3 2014","Currency=INR","Period=FQ","BEST_FPERIOD_OVERRIDE=FQ","FILING_STATUS=OR","EQY_CONSOLIDATED=Y","SCALING_FORMAT=MLN","Sort=A","Dates=H","DateFormat=P","Fill=—","Direction=H","UseDPDF=Y")</f>
        <v>#NAME?</v>
      </c>
      <c r="CA281" s="2" t="e">
        <f ca="1">_xll.BDH($C$278,"BS_LT_BORROW","FQ3 2014","FQ3 2014","Currency=INR","Period=FQ","BEST_FPERIOD_OVERRIDE=FQ","FILING_STATUS=OR","EQY_CONSOLIDATED=Y","SCALING_FORMAT=MLN","Sort=A","Dates=H","DateFormat=P","Fill=—","Direction=H","UseDPDF=Y")</f>
        <v>#NAME?</v>
      </c>
      <c r="CB281" s="1" t="e">
        <f ca="1">_xll.BDH($C$278,"TOT_DEBT_TO_EBITDA","FQ3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81" s="1" t="e">
        <f ca="1">_xll.BDH($C$278,"NET_DEBT_TO_EBITDA","FQ3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81" s="1" t="e">
        <f ca="1">_xll.BDH($C$278,"TOTAL_DEBT_TO_EBIT","FQ3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81" s="1" t="e">
        <f ca="1">_xll.BDH($C$278,"NET_DEBT_TO_EBIT","FQ3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281" s="1" t="e">
        <f ca="1">_xll.BDH($C$278,"EBITDA_TO_INTEREST_EXPN","FQ3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81" s="1" t="e">
        <f ca="1">_xll.BDH($C$278,"COM_EQY_TO_TOT_ASSET","FQ3 2014","FQ3 2014","Currency=INR","Period=FQ","BEST_FPERIOD_OVERRIDE=FQ","FILING_STATUS=OR","EQY_CONSOLIDATED=Y","Sort=A","Dates=H","DateFormat=P","Fill=—","Direction=H","UseDPDF=Y")</f>
        <v>#NAME?</v>
      </c>
      <c r="CH281" s="1" t="e">
        <f ca="1">_xll.BDH($C$278,"LT_DEBT_TO_TOT_EQY","FQ3 2014","FQ3 2014","Currency=INR","Period=FQ","BEST_FPERIOD_OVERRIDE=FQ","FILING_STATUS=OR","EQY_CONSOLIDATED=Y","Sort=A","Dates=H","DateFormat=P","Fill=—","Direction=H","UseDPDF=Y")</f>
        <v>#NAME?</v>
      </c>
      <c r="CI281" s="1" t="e">
        <f ca="1">_xll.BDH($C$278,"LT_DEBT_TO_TOT_CAP","FQ3 2014","FQ3 2014","Currency=INR","Period=FQ","BEST_FPERIOD_OVERRIDE=FQ","FILING_STATUS=OR","EQY_CONSOLIDATED=Y","Sort=A","Dates=H","DateFormat=P","Fill=—","Direction=H","UseDPDF=Y")</f>
        <v>#NAME?</v>
      </c>
      <c r="CJ281" s="1" t="e">
        <f ca="1">_xll.BDH($C$278,"LT_DEBT_TO_TOT_ASSET","FQ3 2014","FQ3 2014","Currency=INR","Period=FQ","BEST_FPERIOD_OVERRIDE=FQ","FILING_STATUS=OR","EQY_CONSOLIDATED=Y","Sort=A","Dates=H","DateFormat=P","Fill=—","Direction=H","UseDPDF=Y")</f>
        <v>#NAME?</v>
      </c>
      <c r="CK281" s="1" t="e">
        <f ca="1">_xll.BDH($C$278,"TOT_DEBT_TO_TOT_EQY","FQ3 2014","FQ3 2014","Currency=INR","Period=FQ","BEST_FPERIOD_OVERRIDE=FQ","FILING_STATUS=OR","EQY_CONSOLIDATED=Y","Sort=A","Dates=H","DateFormat=P","Fill=—","Direction=H","UseDPDF=Y")</f>
        <v>#NAME?</v>
      </c>
      <c r="CL281" s="1" t="e">
        <f ca="1">_xll.BDH($C$278,"TOT_DEBT_TO_TOT_CAP","FQ3 2014","FQ3 2014","Currency=INR","Period=FQ","BEST_FPERIOD_OVERRIDE=FQ","FILING_STATUS=OR","EQY_CONSOLIDATED=Y","Sort=A","Dates=H","DateFormat=P","Fill=—","Direction=H","UseDPDF=Y")</f>
        <v>#NAME?</v>
      </c>
      <c r="CM281" s="1" t="e">
        <f ca="1">_xll.BDH($C$278,"TOT_DEBT_TO_TOT_ASSET","FQ3 2014","FQ3 2014","Currency=INR","Period=FQ","BEST_FPERIOD_OVERRIDE=FQ","FILING_STATUS=OR","EQY_CONSOLIDATED=Y","Sort=A","Dates=H","DateFormat=P","Fill=—","Direction=H","UseDPDF=Y")</f>
        <v>#NAME?</v>
      </c>
      <c r="CN281" s="1" t="e">
        <f ca="1">_xll.BDH($C$278,"NET_DEBT_TO_SHRHLDR_EQTY","FQ3 2014","FQ3 2014","Currency=INR","Period=FQ","BEST_FPERIOD_OVERRIDE=FQ","FILING_STATUS=OR","EQY_CONSOLIDATED=Y","Sort=A","Dates=H","DateFormat=P","Fill=—","Direction=H","UseDPDF=Y")</f>
        <v>#NAME?</v>
      </c>
      <c r="CO281" s="1" t="e">
        <f ca="1">_xll.BDH($C$278,"NET_DEBT_%_CAPITAL","FQ3 2014","FQ3 2014","Currency=INR","Period=FQ","BEST_FPERIOD_OVERRIDE=FQ","FILING_STATUS=OR","EQY_CONSOLIDATED=Y","Sort=A","Dates=H","DateFormat=P","Fill=—","Direction=H","UseDPDF=Y")</f>
        <v>#NAME?</v>
      </c>
      <c r="CP281" s="2" t="e">
        <f ca="1">_xll.BDH($C$278,"EBITDA","FQ3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81" s="2" t="e">
        <f ca="1">_xll.BDH($C$278,"EBITDA_AFTER_CAPEX","FQ3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81" s="2" t="e">
        <f ca="1">_xll.BDH($C$278,"IS_OPER_INC","FQ3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81" s="1" t="e">
        <f ca="1">_xll.BDH($C$278,"CASH_RATIO","FQ3 2014","FQ3 2014","Currency=INR","Period=FQ","BEST_FPERIOD_OVERRIDE=FQ","FILING_STATUS=OR","EQY_CONSOLIDATED=Y","Sort=A","Dates=H","DateFormat=P","Fill=—","Direction=H","UseDPDF=Y")</f>
        <v>#NAME?</v>
      </c>
      <c r="CT281" s="1" t="e">
        <f ca="1">_xll.BDH($C$278,"CUR_RATIO","FQ3 2014","FQ3 2014","Currency=INR","Period=FQ","BEST_FPERIOD_OVERRIDE=FQ","FILING_STATUS=OR","EQY_CONSOLIDATED=Y","Sort=A","Dates=H","DateFormat=P","Fill=—","Direction=H","UseDPDF=Y")</f>
        <v>#NAME?</v>
      </c>
      <c r="CU281" s="1" t="e">
        <f ca="1">_xll.BDH($C$278,"QUICK_RATIO","FQ3 2014","FQ3 2014","Currency=INR","Period=FQ","BEST_FPERIOD_OVERRIDE=FQ","FILING_STATUS=OR","EQY_CONSOLIDATED=Y","Sort=A","Dates=H","DateFormat=P","Fill=—","Direction=H","UseDPDF=Y")</f>
        <v>#NAME?</v>
      </c>
      <c r="CV281" s="1" t="e">
        <f ca="1">_xll.BDH($C$278,"ALTMAN_Z_SCORE","FQ3 2014","FQ3 2014","Currency=INR","Period=FQ","BEST_FPERIOD_OVERRIDE=FQ","FILING_STATUS=OR","EQY_CONSOLIDATED=Y","Sort=A","Dates=H","DateFormat=P","Fill=—","Direction=H","UseDPDF=Y")</f>
        <v>#NAME?</v>
      </c>
      <c r="CW281" s="3" t="e">
        <f ca="1">_xll.BDH($C$278,"ACCT_RCV_TURN","FQ3 2014","FQ3 2014","Currency=INR","Period=FQ","BEST_FPERIOD_OVERRIDE=FQ","FILING_STATUS=OR","EQY_CONSOLIDATED=Y","FA_ADJUSTED=GAAP","Sort=A","Dates=H","DateFormat=P","Fill=—","Direction=H","UseDPDF=Y")</f>
        <v>#NAME?</v>
      </c>
      <c r="CX281" s="1" t="e">
        <f ca="1">_xll.BDH($C$278,"ACCT_RCV_DAYS","FQ3 2014","FQ3 2014","Currency=INR","Period=FQ","BEST_FPERIOD_OVERRIDE=FQ","FILING_STATUS=OR","EQY_CONSOLIDATED=Y","FA_ADJUSTED=GAAP","Sort=A","Dates=H","DateFormat=P","Fill=—","Direction=H","UseDPDF=Y")</f>
        <v>#NAME?</v>
      </c>
      <c r="CY281" s="3" t="e">
        <f ca="1">_xll.BDH($C$278,"INVENT_TURN","FQ3 2014","FQ3 2014","Currency=INR","Period=FQ","BEST_FPERIOD_OVERRIDE=FQ","FILING_STATUS=OR","EQY_CONSOLIDATED=Y","FA_ADJUSTED=GAAP","Sort=A","Dates=H","DateFormat=P","Fill=—","Direction=H","UseDPDF=Y")</f>
        <v>#NAME?</v>
      </c>
      <c r="CZ281" s="1" t="e">
        <f ca="1">_xll.BDH($C$278,"INVENT_DAYS","FQ3 2014","FQ3 2014","Currency=INR","Period=FQ","BEST_FPERIOD_OVERRIDE=FQ","FILING_STATUS=OR","EQY_CONSOLIDATED=Y","FA_ADJUSTED=GAAP","Sort=A","Dates=H","DateFormat=P","Fill=—","Direction=H","UseDPDF=Y")</f>
        <v>#NAME?</v>
      </c>
      <c r="DA281" s="3" t="e">
        <f ca="1">_xll.BDH($C$278,"ACCOUNTS_PAYABLE_TURNOVER","FQ3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81" s="1" t="e">
        <f ca="1">_xll.BDH($C$278,"ACCOUNTS_PAYABLE_TURNOVER_DAYS","FQ3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81" s="3" t="e">
        <f ca="1">_xll.BDH($C$278,"CASH_CONVERSION_CYCLE","FQ3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81" s="3" t="e">
        <f ca="1">_xll.BDH($C$278,"INV_TO_CASH_DAYS","FQ3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281" s="4" t="e">
        <f ca="1">_xll.BDH($C$278,"BS_INVENTORIES","FQ3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281" s="2" t="e">
        <f ca="1">_xll.BDH($C$278,"INVTRY_RAW_MATERIALS","FQ3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81" s="2" t="e">
        <f ca="1">_xll.BDH($C$278,"INVTRY_IN_PROGRESS","FQ3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81" s="2" t="e">
        <f ca="1">_xll.BDH($C$278,"INVTRY_FINISHED_GOODS","FQ3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81" s="2" t="e">
        <f ca="1">_xll.BDH($C$278,"BS_OTHER_INV","FQ3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82" spans="1:113" x14ac:dyDescent="0.3">
      <c r="A282" s="6"/>
      <c r="B282" s="6"/>
      <c r="C282" s="6"/>
      <c r="D282" s="6"/>
      <c r="E282" t="s">
        <v>7</v>
      </c>
      <c r="F282" t="e">
        <f ca="1">_xll.BDH($C$278,"RETURN_COM_EQY","FQ4 2014","FQ4 2014","Currency=INR","Period=FQ","BEST_FPERIOD_OVERRIDE=FQ","FILING_STATUS=OR","EQY_CONSOLIDATED=Y","FA_ADJUSTED=GAAP","Sort=A","Dates=H","DateFormat=P","Fill=—","Direction=H","UseDPDF=Y")</f>
        <v>#NAME?</v>
      </c>
      <c r="G282" t="e">
        <f ca="1">_xll.BDH($C$278,"RETURN_ON_ASSET","FQ4 2014","FQ4 2014","Currency=INR","Period=FQ","BEST_FPERIOD_OVERRIDE=FQ","FILING_STATUS=OR","EQY_CONSOLIDATED=Y","FA_ADJUSTED=GAAP","Sort=A","Dates=H","DateFormat=P","Fill=—","Direction=H","UseDPDF=Y")</f>
        <v>#NAME?</v>
      </c>
      <c r="H282" t="e">
        <f ca="1">_xll.BDH($C$278,"RETURN_ON_CAP","FQ4 2014","FQ4 2014","Currency=INR","Period=FQ","BEST_FPERIOD_OVERRIDE=FQ","FILING_STATUS=OR","EQY_CONSOLIDATED=Y","FA_ADJUSTED=GAAP","Sort=A","Dates=H","DateFormat=P","Fill=—","Direction=H","UseDPDF=Y")</f>
        <v>#NAME?</v>
      </c>
      <c r="I282" t="e">
        <f ca="1">_xll.BDH($C$278,"RETURN_ON_INV_CAPITAL","FQ4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82" t="e">
        <f ca="1">_xll.BDH($C$278,"EBITDA_TO_REVENUE","FQ4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282" t="e">
        <f ca="1">_xll.BDH($C$278,"OPER_MARGIN","FQ4 2014","FQ4 2014","Currency=INR","Period=FQ","BEST_FPERIOD_OVERRIDE=FQ","FILING_STATUS=OR","EQY_CONSOLIDATED=Y","FA_ADJUSTED=GAAP","Sort=A","Dates=H","DateFormat=P","Fill=—","Direction=H","UseDPDF=Y")</f>
        <v>#NAME?</v>
      </c>
      <c r="L282" t="e">
        <f ca="1">_xll.BDH($C$278,"INCREMENTAL_OPERATING_MARGIN","FQ4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82" t="e">
        <f ca="1">_xll.BDH($C$278,"PRETAX_INC_TO_NET_SALES","FQ4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82" t="e">
        <f ca="1">_xll.BDH($C$278,"INC_BEF_XO_ITEMS_TO_NET_SALES","FQ4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82" t="e">
        <f ca="1">_xll.BDH($C$278,"PROF_MARGIN","FQ4 2014","FQ4 2014","Currency=INR","Period=FQ","BEST_FPERIOD_OVERRIDE=FQ","FILING_STATUS=OR","EQY_CONSOLIDATED=Y","FA_ADJUSTED=GAAP","Sort=A","Dates=H","DateFormat=P","Fill=—","Direction=H","UseDPDF=Y")</f>
        <v>#NAME?</v>
      </c>
      <c r="P282" t="e">
        <f ca="1">_xll.BDH($C$278,"NET_INCOME_TO_COMMON_MARGIN","FQ4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82" t="e">
        <f ca="1">_xll.BDH($C$278,"EFF_TAX_RATE","FQ4 2014","FQ4 2014","Currency=INR","Period=FQ","BEST_FPERIOD_OVERRIDE=FQ","FILING_STATUS=OR","EQY_CONSOLIDATED=Y","FA_ADJUSTED=GAAP","Sort=A","Dates=H","DateFormat=P","Fill=—","Direction=H","UseDPDF=Y")</f>
        <v>#NAME?</v>
      </c>
      <c r="R282" t="e">
        <f ca="1">_xll.BDH($C$278,"DVD_PAYOUT_RATIO","FQ4 2014","FQ4 2014","Currency=INR","Period=FQ","BEST_FPERIOD_OVERRIDE=FQ","FILING_STATUS=OR","EQY_CONSOLIDATED=Y","FA_ADJUSTED=GAAP","Sort=A","Dates=H","DateFormat=P","Fill=—","Direction=H","UseDPDF=Y")</f>
        <v>#NAME?</v>
      </c>
      <c r="S282" t="e">
        <f ca="1">_xll.BDH($C$278,"SUSTAIN_GROWTH_RT","FQ4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282" s="1" t="e">
        <f ca="1">_xll.BDH($C$278,"SALES_GROWTH","FQ4 2014","FQ4 2014","Currency=INR","Period=FQ","BEST_FPERIOD_OVERRIDE=FQ","FILING_STATUS=OR","EQY_CONSOLIDATED=Y","FA_ADJUSTED=GAAP","Sort=A","Dates=H","DateFormat=P","Fill=—","Direction=H","UseDPDF=Y")</f>
        <v>#NAME?</v>
      </c>
      <c r="U282" s="1" t="e">
        <f ca="1">_xll.BDH($C$278,"EBITDA_GROWTH","FQ4 2014","FQ4 2014","Currency=INR","Period=FQ","BEST_FPERIOD_OVERRIDE=FQ","FILING_STATUS=OR","EQY_CONSOLIDATED=Y","FA_ADJUSTED=GAAP","Sort=A","Dates=H","DateFormat=P","Fill=—","Direction=H","UseDPDF=Y")</f>
        <v>#NAME?</v>
      </c>
      <c r="V282" s="1" t="e">
        <f ca="1">_xll.BDH($C$278,"OPER_INC_GROWTH","FQ4 2014","FQ4 2014","Currency=INR","Period=FQ","BEST_FPERIOD_OVERRIDE=FQ","FILING_STATUS=OR","EQY_CONSOLIDATED=Y","FA_ADJUSTED=GAAP","Sort=A","Dates=H","DateFormat=P","Fill=—","Direction=H","UseDPDF=Y")</f>
        <v>#NAME?</v>
      </c>
      <c r="W282" s="1" t="e">
        <f ca="1">_xll.BDH($C$278,"EARN_FOR_COM_GROWTH","FQ4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82" s="1" t="e">
        <f ca="1">_xll.BDH($C$278,"DILUTED_EPS_AFT_XO_ITEMS_GROWTH","FQ4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82" s="1" t="e">
        <f ca="1">_xll.BDH($C$278,"DIVIDEND_PER_SHARE_1_YEAR_GROWTH","FQ4 2014","FQ4 2014","Currency=INR","Period=FQ","BEST_FPERIOD_OVERRIDE=FQ","FILING_STATUS=OR","EQY_CONSOLIDATED=Y","Sort=A","Dates=H","DateFormat=P","Fill=—","Direction=H","UseDPDF=Y")</f>
        <v>#NAME?</v>
      </c>
      <c r="Z282" s="1" t="e">
        <f ca="1">_xll.BDH($C$278,"ACCOUNTS_RECEIVABLE_GROWTH","FQ4 2014","FQ4 2014","Currency=INR","Period=FQ","BEST_FPERIOD_OVERRIDE=FQ","FILING_STATUS=OR","EQY_CONSOLIDATED=Y","Sort=A","Dates=H","DateFormat=P","Fill=—","Direction=H","UseDPDF=Y")</f>
        <v>#NAME?</v>
      </c>
      <c r="AA282" s="1" t="e">
        <f ca="1">_xll.BDH($C$278,"INVENTORY_GROWTH","FQ4 2014","FQ4 2014","Currency=INR","Period=FQ","BEST_FPERIOD_OVERRIDE=FQ","FILING_STATUS=OR","EQY_CONSOLIDATED=Y","Sort=A","Dates=H","DateFormat=P","Fill=—","Direction=H","UseDPDF=Y")</f>
        <v>#NAME?</v>
      </c>
      <c r="AB282" s="1" t="e">
        <f ca="1">_xll.BDH($C$278,"NET_FIXED_ASSETS_1_YEAR_GROWTH","FQ4 2014","FQ4 2014","Currency=INR","Period=FQ","BEST_FPERIOD_OVERRIDE=FQ","FILING_STATUS=OR","EQY_CONSOLIDATED=Y","Sort=A","Dates=H","DateFormat=P","Fill=—","Direction=H","UseDPDF=Y")</f>
        <v>#NAME?</v>
      </c>
      <c r="AC282" s="1" t="e">
        <f ca="1">_xll.BDH($C$278,"ASSET_GROWTH","FQ4 2014","FQ4 2014","Currency=INR","Period=FQ","BEST_FPERIOD_OVERRIDE=FQ","FILING_STATUS=OR","EQY_CONSOLIDATED=Y","Sort=A","Dates=H","DateFormat=P","Fill=—","Direction=H","UseDPDF=Y")</f>
        <v>#NAME?</v>
      </c>
      <c r="AD282" s="1" t="e">
        <f ca="1">_xll.BDH($C$278,"MODIFIED_WORK_CAP_GROWTH","FQ4 2014","FQ4 2014","Currency=INR","Period=FQ","BEST_FPERIOD_OVERRIDE=FQ","FILING_STATUS=OR","EQY_CONSOLIDATED=Y","Sort=A","Dates=H","DateFormat=P","Fill=—","Direction=H","UseDPDF=Y")</f>
        <v>#NAME?</v>
      </c>
      <c r="AE282" s="1" t="e">
        <f ca="1">_xll.BDH($C$278,"WORK_CAP_GROWTH","FQ4 2014","FQ4 2014","Currency=INR","Period=FQ","BEST_FPERIOD_OVERRIDE=FQ","FILING_STATUS=OR","EQY_CONSOLIDATED=Y","Sort=A","Dates=H","DateFormat=P","Fill=—","Direction=H","UseDPDF=Y")</f>
        <v>#NAME?</v>
      </c>
      <c r="AF282" s="1" t="e">
        <f ca="1">_xll.BDH($C$278,"ACCOUNTS_PAYABLE_GROWTH_1YR","FQ4 2014","FQ4 2014","Currency=INR","Period=FQ","BEST_FPERIOD_OVERRIDE=FQ","FILING_STATUS=OR","EQY_CONSOLIDATED=Y","Sort=A","Dates=H","DateFormat=P","Fill=—","Direction=H","UseDPDF=Y")</f>
        <v>#NAME?</v>
      </c>
      <c r="AG282" s="1" t="e">
        <f ca="1">_xll.BDH($C$278,"SHORT_TERM_DEBT_1_YEAR_GROWTH","FQ4 2014","FQ4 2014","Currency=INR","Period=FQ","BEST_FPERIOD_OVERRIDE=FQ","FILING_STATUS=OR","EQY_CONSOLIDATED=Y","Sort=A","Dates=H","DateFormat=P","Fill=—","Direction=H","UseDPDF=Y")</f>
        <v>#NAME?</v>
      </c>
      <c r="AH282" s="1" t="e">
        <f ca="1">_xll.BDH($C$278,"TOTAL_DEBT_1_YEAR_GROWTH","FQ4 2014","FQ4 2014","Currency=INR","Period=FQ","BEST_FPERIOD_OVERRIDE=FQ","FILING_STATUS=OR","EQY_CONSOLIDATED=Y","Sort=A","Dates=H","DateFormat=P","Fill=—","Direction=H","UseDPDF=Y")</f>
        <v>#NAME?</v>
      </c>
      <c r="AI282" s="1" t="e">
        <f ca="1">_xll.BDH($C$278,"TOTAL_EQUITY_1_YEAR_GROWTH","FQ4 2014","FQ4 2014","Currency=INR","Period=FQ","BEST_FPERIOD_OVERRIDE=FQ","FILING_STATUS=OR","EQY_CONSOLIDATED=Y","Sort=A","Dates=H","DateFormat=P","Fill=—","Direction=H","UseDPDF=Y")</f>
        <v>#NAME?</v>
      </c>
      <c r="AJ282" s="1" t="e">
        <f ca="1">_xll.BDH($C$278,"GROWTH_IN_CAP","FQ4 2014","FQ4 2014","Currency=INR","Period=FQ","BEST_FPERIOD_OVERRIDE=FQ","FILING_STATUS=OR","EQY_CONSOLIDATED=Y","Sort=A","Dates=H","DateFormat=P","Fill=—","Direction=H","UseDPDF=Y")</f>
        <v>#NAME?</v>
      </c>
      <c r="AK282" s="1" t="e">
        <f ca="1">_xll.BDH($C$278,"BVPS_GROWTH","FQ4 2014","FQ4 2014","Currency=INR","Period=FQ","BEST_FPERIOD_OVERRIDE=FQ","FILING_STATUS=OR","EQY_CONSOLIDATED=Y","Sort=A","Dates=H","DateFormat=P","Fill=—","Direction=H","UseDPDF=Y")</f>
        <v>#NAME?</v>
      </c>
      <c r="AL282" s="1" t="e">
        <f ca="1">_xll.BDH($C$278,"CASH_FLOW_GROWTH","FQ4 2014","FQ4 2014","Currency=INR","Period=FQ","BEST_FPERIOD_OVERRIDE=FQ","FILING_STATUS=OR","EQY_CONSOLIDATED=Y","Sort=A","Dates=H","DateFormat=P","Fill=—","Direction=H","UseDPDF=Y")</f>
        <v>#NAME?</v>
      </c>
      <c r="AM282" s="1" t="e">
        <f ca="1">_xll.BDH($C$278,"GEO_GROW_NET_SALES","FQ4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82" s="1" t="e">
        <f ca="1">_xll.BDH($C$278,"GEO_GROW_EBITDA","FQ4 2014","FQ4 2014","Currency=INR","Period=FQ","BEST_FPERIOD_OVERRIDE=FQ","FILING_STATUS=OR","EQY_CONSOLIDATED=Y","FA_ADJUSTED=GAAP","Sort=A","Dates=H","DateFormat=P","Fill=—","Direction=H","UseDPDF=Y")</f>
        <v>#NAME?</v>
      </c>
      <c r="AO282" s="1" t="e">
        <f ca="1">_xll.BDH($C$278,"GEO_GROW_OPER_INC","FQ4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82" s="1" t="e">
        <f ca="1">_xll.BDH($C$278,"NET_INCOME_TO_COMMON_5_YR_GROWTH","FQ4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82" s="1" t="e">
        <f ca="1">_xll.BDH($C$278,"5Y_GEO_GROWTH_DILUTED_EPS","FQ4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82" s="1" t="e">
        <f ca="1">_xll.BDH($C$278,"GEO_GROW_DVD_PER_SH","FQ4 2014","FQ4 2014","Currency=INR","Period=FQ","BEST_FPERIOD_OVERRIDE=FQ","FILING_STATUS=OR","EQY_CONSOLIDATED=Y","Sort=A","Dates=H","DateFormat=P","Fill=—","Direction=H","UseDPDF=Y")</f>
        <v>#NAME?</v>
      </c>
      <c r="AS282" s="1" t="e">
        <f ca="1">_xll.BDH($C$278,"ACCOUNTS_RECEIVABLE_5_YR_GROWTH","FQ4 2014","FQ4 2014","Currency=INR","Period=FQ","BEST_FPERIOD_OVERRIDE=FQ","FILING_STATUS=OR","EQY_CONSOLIDATED=Y","Sort=A","Dates=H","DateFormat=P","Fill=—","Direction=H","UseDPDF=Y")</f>
        <v>#NAME?</v>
      </c>
      <c r="AT282" s="1" t="e">
        <f ca="1">_xll.BDH($C$278,"INVENTORY_5_YEAR_GROWTH","FQ4 2014","FQ4 2014","Currency=INR","Period=FQ","BEST_FPERIOD_OVERRIDE=FQ","FILING_STATUS=OR","EQY_CONSOLIDATED=Y","Sort=A","Dates=H","DateFormat=P","Fill=—","Direction=H","UseDPDF=Y")</f>
        <v>#NAME?</v>
      </c>
      <c r="AU282" s="1" t="e">
        <f ca="1">_xll.BDH($C$278,"NET_FIXED_ASSETS_5_YEAR_GROWTH","FQ4 2014","FQ4 2014","Currency=INR","Period=FQ","BEST_FPERIOD_OVERRIDE=FQ","FILING_STATUS=OR","EQY_CONSOLIDATED=Y","Sort=A","Dates=H","DateFormat=P","Fill=—","Direction=H","UseDPDF=Y")</f>
        <v>#NAME?</v>
      </c>
      <c r="AV282" s="1" t="e">
        <f ca="1">_xll.BDH($C$278,"GEO_GROW_TOT_ASSET","FQ4 2014","FQ4 2014","Currency=INR","Period=FQ","BEST_FPERIOD_OVERRIDE=FQ","FILING_STATUS=OR","EQY_CONSOLIDATED=Y","Sort=A","Dates=H","DateFormat=P","Fill=—","Direction=H","UseDPDF=Y")</f>
        <v>#NAME?</v>
      </c>
      <c r="AW282" s="1" t="e">
        <f ca="1">_xll.BDH($C$278,"MODIFIED_WORKING_CPTL_5YR_GRWTH","FQ4 2014","FQ4 2014","Currency=INR","Period=FQ","BEST_FPERIOD_OVERRIDE=FQ","FILING_STATUS=OR","EQY_CONSOLIDATED=Y","Sort=A","Dates=H","DateFormat=P","Fill=—","Direction=H","UseDPDF=Y")</f>
        <v>#NAME?</v>
      </c>
      <c r="AX282" s="1" t="e">
        <f ca="1">_xll.BDH($C$278,"WORKING_CAPITAL_5_YEAR_GROWTH","FQ4 2014","FQ4 2014","Currency=INR","Period=FQ","BEST_FPERIOD_OVERRIDE=FQ","FILING_STATUS=OR","EQY_CONSOLIDATED=Y","Sort=A","Dates=H","DateFormat=P","Fill=—","Direction=H","UseDPDF=Y")</f>
        <v>#NAME?</v>
      </c>
      <c r="AY282" s="1" t="e">
        <f ca="1">_xll.BDH($C$278,"ACCOUNTS_PAYABLE_5_YEAR_GROWTH","FQ4 2014","FQ4 2014","Currency=INR","Period=FQ","BEST_FPERIOD_OVERRIDE=FQ","FILING_STATUS=OR","EQY_CONSOLIDATED=Y","Sort=A","Dates=H","DateFormat=P","Fill=—","Direction=H","UseDPDF=Y")</f>
        <v>#NAME?</v>
      </c>
      <c r="AZ282" s="1" t="e">
        <f ca="1">_xll.BDH($C$278,"SHORT_TERM_DEBT_5_YEAR_GROWTH","FQ4 2014","FQ4 2014","Currency=INR","Period=FQ","BEST_FPERIOD_OVERRIDE=FQ","FILING_STATUS=OR","EQY_CONSOLIDATED=Y","Sort=A","Dates=H","DateFormat=P","Fill=—","Direction=H","UseDPDF=Y")</f>
        <v>#NAME?</v>
      </c>
      <c r="BA282" s="1" t="e">
        <f ca="1">_xll.BDH($C$278,"TOTAL_DEBT_5_YEAR_GROWTH","FQ4 2014","FQ4 2014","Currency=INR","Period=FQ","BEST_FPERIOD_OVERRIDE=FQ","FILING_STATUS=OR","EQY_CONSOLIDATED=Y","Sort=A","Dates=H","DateFormat=P","Fill=—","Direction=H","UseDPDF=Y")</f>
        <v>#NAME?</v>
      </c>
      <c r="BB282" s="1" t="e">
        <f ca="1">_xll.BDH($C$278,"GEO_GROW_TOT_SHRHLDR_EQY","FQ4 2014","FQ4 2014","Currency=INR","Period=FQ","BEST_FPERIOD_OVERRIDE=FQ","FILING_STATUS=OR","EQY_CONSOLIDATED=Y","Sort=A","Dates=H","DateFormat=P","Fill=—","Direction=H","UseDPDF=Y")</f>
        <v>#NAME?</v>
      </c>
      <c r="BC282" s="1" t="e">
        <f ca="1">_xll.BDH($C$278,"TOTAL_CAPITAL_5_YEAR_GROWTH","FQ4 2014","FQ4 2014","Currency=INR","Period=FQ","BEST_FPERIOD_OVERRIDE=FQ","FILING_STATUS=OR","EQY_CONSOLIDATED=Y","Sort=A","Dates=H","DateFormat=P","Fill=—","Direction=H","UseDPDF=Y")</f>
        <v>#NAME?</v>
      </c>
      <c r="BD282" s="1" t="e">
        <f ca="1">_xll.BDH($C$278,"GEO_GROW_BOOK_VAL","FQ4 2014","FQ4 2014","Currency=INR","Period=FQ","BEST_FPERIOD_OVERRIDE=FQ","FILING_STATUS=OR","EQY_CONSOLIDATED=Y","Sort=A","Dates=H","DateFormat=P","Fill=—","Direction=H","UseDPDF=Y")</f>
        <v>#NAME?</v>
      </c>
      <c r="BE282" s="1" t="e">
        <f ca="1">_xll.BDH($C$278,"GEO_GROW_CASH_OPER_ACT","FQ4 2014","FQ4 2014","Currency=INR","Period=FQ","BEST_FPERIOD_OVERRIDE=FQ","FILING_STATUS=OR","EQY_CONSOLIDATED=Y","Sort=A","Dates=H","DateFormat=P","Fill=—","Direction=H","UseDPDF=Y")</f>
        <v>#NAME?</v>
      </c>
      <c r="BF282" s="1" t="e">
        <f ca="1">_xll.BDH($C$278,"REVENUE_SEQUENTIAL_GROWTH","FQ4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82" s="1" t="e">
        <f ca="1">_xll.BDH($C$278,"EBITDA_SEQUENTIAL_GROWTH","FQ4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82" s="1" t="e">
        <f ca="1">_xll.BDH($C$278,"OPERATING_INCOME_SEQ_GROWTH","FQ4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82" s="1" t="e">
        <f ca="1">_xll.BDH($C$278,"NET_INCOME_TO_COMMON_SEQ_GROWTH","FQ4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82" s="1" t="e">
        <f ca="1">_xll.BDH($C$278,"EPS_DILUTED_SEQUENTIAL_GROWTH","FQ4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82" s="1" t="e">
        <f ca="1">_xll.BDH($C$278,"DPS_SEQUENTIAL_GROWTH","FQ4 2014","FQ4 2014","Currency=INR","Period=FQ","BEST_FPERIOD_OVERRIDE=FQ","FILING_STATUS=OR","EQY_CONSOLIDATED=Y","Sort=A","Dates=H","DateFormat=P","Fill=—","Direction=H","UseDPDF=Y")</f>
        <v>#NAME?</v>
      </c>
      <c r="BL282" s="1" t="e">
        <f ca="1">_xll.BDH($C$278,"ACCOUNTS_RECEIVABLE_SEQ_GROWTH","FQ4 2014","FQ4 2014","Currency=INR","Period=FQ","BEST_FPERIOD_OVERRIDE=FQ","FILING_STATUS=OR","EQY_CONSOLIDATED=Y","Sort=A","Dates=H","DateFormat=P","Fill=—","Direction=H","UseDPDF=Y")</f>
        <v>#NAME?</v>
      </c>
      <c r="BM282" s="1" t="e">
        <f ca="1">_xll.BDH($C$278,"INVENTORY_SEQUENTIAL_GROWTH","FQ4 2014","FQ4 2014","Currency=INR","Period=FQ","BEST_FPERIOD_OVERRIDE=FQ","FILING_STATUS=OR","EQY_CONSOLIDATED=Y","Sort=A","Dates=H","DateFormat=P","Fill=—","Direction=H","UseDPDF=Y")</f>
        <v>#NAME?</v>
      </c>
      <c r="BN282" s="1" t="e">
        <f ca="1">_xll.BDH($C$278,"FIXED_ASSETS_SEQUENTIAL_GROWTH","FQ4 2014","FQ4 2014","Currency=INR","Period=FQ","BEST_FPERIOD_OVERRIDE=FQ","FILING_STATUS=OR","EQY_CONSOLIDATED=Y","Sort=A","Dates=H","DateFormat=P","Fill=—","Direction=H","UseDPDF=Y")</f>
        <v>#NAME?</v>
      </c>
      <c r="BO282" s="1" t="e">
        <f ca="1">_xll.BDH($C$278,"TOTAL_ASSETS_SEQUENTIAL_GROWTH","FQ4 2014","FQ4 2014","Currency=INR","Period=FQ","BEST_FPERIOD_OVERRIDE=FQ","FILING_STATUS=OR","EQY_CONSOLIDATED=Y","Sort=A","Dates=H","DateFormat=P","Fill=—","Direction=H","UseDPDF=Y")</f>
        <v>#NAME?</v>
      </c>
      <c r="BP282" s="1" t="e">
        <f ca="1">_xll.BDH($C$278,"MODIFIED_WORKING_CPTL_SEQ_GRWTH","FQ4 2014","FQ4 2014","Currency=INR","Period=FQ","BEST_FPERIOD_OVERRIDE=FQ","FILING_STATUS=OR","EQY_CONSOLIDATED=Y","Sort=A","Dates=H","DateFormat=P","Fill=—","Direction=H","UseDPDF=Y")</f>
        <v>#NAME?</v>
      </c>
      <c r="BQ282" s="1" t="e">
        <f ca="1">_xll.BDH($C$278,"WORKING_CAPITAL_SEQ_GROWTH","FQ4 2014","FQ4 2014","Currency=INR","Period=FQ","BEST_FPERIOD_OVERRIDE=FQ","FILING_STATUS=OR","EQY_CONSOLIDATED=Y","Sort=A","Dates=H","DateFormat=P","Fill=—","Direction=H","UseDPDF=Y")</f>
        <v>#NAME?</v>
      </c>
      <c r="BR282" s="1" t="e">
        <f ca="1">_xll.BDH($C$278,"ACCOUNTS_PAYABLE_SEQ_GROWTH","FQ4 2014","FQ4 2014","Currency=INR","Period=FQ","BEST_FPERIOD_OVERRIDE=FQ","FILING_STATUS=OR","EQY_CONSOLIDATED=Y","Sort=A","Dates=H","DateFormat=P","Fill=—","Direction=H","UseDPDF=Y")</f>
        <v>#NAME?</v>
      </c>
      <c r="BS282" s="1" t="e">
        <f ca="1">_xll.BDH($C$278,"ST_DEBT_SEQUENTIAL_GROWTH","FQ4 2014","FQ4 2014","Currency=INR","Period=FQ","BEST_FPERIOD_OVERRIDE=FQ","FILING_STATUS=OR","EQY_CONSOLIDATED=Y","Sort=A","Dates=H","DateFormat=P","Fill=—","Direction=H","UseDPDF=Y")</f>
        <v>#NAME?</v>
      </c>
      <c r="BT282" s="1" t="e">
        <f ca="1">_xll.BDH($C$278,"TOTAL_DEBT_SEQUENTIAL_GROWTH","FQ4 2014","FQ4 2014","Currency=INR","Period=FQ","BEST_FPERIOD_OVERRIDE=FQ","FILING_STATUS=OR","EQY_CONSOLIDATED=Y","Sort=A","Dates=H","DateFormat=P","Fill=—","Direction=H","UseDPDF=Y")</f>
        <v>#NAME?</v>
      </c>
      <c r="BU282" s="1" t="e">
        <f ca="1">_xll.BDH($C$278,"TOTAL_EQUITY_SEQUENTIAL_GROWTH","FQ4 2014","FQ4 2014","Currency=INR","Period=FQ","BEST_FPERIOD_OVERRIDE=FQ","FILING_STATUS=OR","EQY_CONSOLIDATED=Y","Sort=A","Dates=H","DateFormat=P","Fill=—","Direction=H","UseDPDF=Y")</f>
        <v>#NAME?</v>
      </c>
      <c r="BV282" s="1" t="e">
        <f ca="1">_xll.BDH($C$278,"TOTAL_CAPITAL_SEQUENTIAL_GROWTH","FQ4 2014","FQ4 2014","Currency=INR","Period=FQ","BEST_FPERIOD_OVERRIDE=FQ","FILING_STATUS=OR","EQY_CONSOLIDATED=Y","Sort=A","Dates=H","DateFormat=P","Fill=—","Direction=H","UseDPDF=Y")</f>
        <v>#NAME?</v>
      </c>
      <c r="BW282" s="1" t="e">
        <f ca="1">_xll.BDH($C$278,"BPS_SEQUENTIAL_GROWTH","FQ4 2014","FQ4 2014","Currency=INR","Period=FQ","BEST_FPERIOD_OVERRIDE=FQ","FILING_STATUS=OR","EQY_CONSOLIDATED=Y","Sort=A","Dates=H","DateFormat=P","Fill=—","Direction=H","UseDPDF=Y")</f>
        <v>#NAME?</v>
      </c>
      <c r="BX282" s="1" t="e">
        <f ca="1">_xll.BDH($C$278,"CFO_SEQUENTIAL_GROWTH","FQ4 2014","FQ4 2014","Currency=INR","Period=FQ","BEST_FPERIOD_OVERRIDE=FQ","FILING_STATUS=OR","EQY_CONSOLIDATED=Y","Sort=A","Dates=H","DateFormat=P","Fill=—","Direction=H","UseDPDF=Y")</f>
        <v>#NAME?</v>
      </c>
      <c r="BY282" s="2" t="e">
        <f ca="1">_xll.BDH($C$278,"SHORT_AND_LONG_TERM_DEBT","FQ4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82" s="2" t="e">
        <f ca="1">_xll.BDH($C$278,"BS_ST_BORROW","FQ4 2014","FQ4 2014","Currency=INR","Period=FQ","BEST_FPERIOD_OVERRIDE=FQ","FILING_STATUS=OR","EQY_CONSOLIDATED=Y","SCALING_FORMAT=MLN","Sort=A","Dates=H","DateFormat=P","Fill=—","Direction=H","UseDPDF=Y")</f>
        <v>#NAME?</v>
      </c>
      <c r="CA282" s="2" t="e">
        <f ca="1">_xll.BDH($C$278,"BS_LT_BORROW","FQ4 2014","FQ4 2014","Currency=INR","Period=FQ","BEST_FPERIOD_OVERRIDE=FQ","FILING_STATUS=OR","EQY_CONSOLIDATED=Y","SCALING_FORMAT=MLN","Sort=A","Dates=H","DateFormat=P","Fill=—","Direction=H","UseDPDF=Y")</f>
        <v>#NAME?</v>
      </c>
      <c r="CB282" s="1" t="e">
        <f ca="1">_xll.BDH($C$278,"TOT_DEBT_TO_EBITDA","FQ4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82" s="1" t="e">
        <f ca="1">_xll.BDH($C$278,"NET_DEBT_TO_EBITDA","FQ4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82" s="1" t="e">
        <f ca="1">_xll.BDH($C$278,"TOTAL_DEBT_TO_EBIT","FQ4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82" s="1" t="e">
        <f ca="1">_xll.BDH($C$278,"NET_DEBT_TO_EBIT","FQ4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282" s="1" t="e">
        <f ca="1">_xll.BDH($C$278,"EBITDA_TO_INTEREST_EXPN","FQ4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82" s="1" t="e">
        <f ca="1">_xll.BDH($C$278,"COM_EQY_TO_TOT_ASSET","FQ4 2014","FQ4 2014","Currency=INR","Period=FQ","BEST_FPERIOD_OVERRIDE=FQ","FILING_STATUS=OR","EQY_CONSOLIDATED=Y","Sort=A","Dates=H","DateFormat=P","Fill=—","Direction=H","UseDPDF=Y")</f>
        <v>#NAME?</v>
      </c>
      <c r="CH282" s="1" t="e">
        <f ca="1">_xll.BDH($C$278,"LT_DEBT_TO_TOT_EQY","FQ4 2014","FQ4 2014","Currency=INR","Period=FQ","BEST_FPERIOD_OVERRIDE=FQ","FILING_STATUS=OR","EQY_CONSOLIDATED=Y","Sort=A","Dates=H","DateFormat=P","Fill=—","Direction=H","UseDPDF=Y")</f>
        <v>#NAME?</v>
      </c>
      <c r="CI282" s="1" t="e">
        <f ca="1">_xll.BDH($C$278,"LT_DEBT_TO_TOT_CAP","FQ4 2014","FQ4 2014","Currency=INR","Period=FQ","BEST_FPERIOD_OVERRIDE=FQ","FILING_STATUS=OR","EQY_CONSOLIDATED=Y","Sort=A","Dates=H","DateFormat=P","Fill=—","Direction=H","UseDPDF=Y")</f>
        <v>#NAME?</v>
      </c>
      <c r="CJ282" s="1" t="e">
        <f ca="1">_xll.BDH($C$278,"LT_DEBT_TO_TOT_ASSET","FQ4 2014","FQ4 2014","Currency=INR","Period=FQ","BEST_FPERIOD_OVERRIDE=FQ","FILING_STATUS=OR","EQY_CONSOLIDATED=Y","Sort=A","Dates=H","DateFormat=P","Fill=—","Direction=H","UseDPDF=Y")</f>
        <v>#NAME?</v>
      </c>
      <c r="CK282" s="1" t="e">
        <f ca="1">_xll.BDH($C$278,"TOT_DEBT_TO_TOT_EQY","FQ4 2014","FQ4 2014","Currency=INR","Period=FQ","BEST_FPERIOD_OVERRIDE=FQ","FILING_STATUS=OR","EQY_CONSOLIDATED=Y","Sort=A","Dates=H","DateFormat=P","Fill=—","Direction=H","UseDPDF=Y")</f>
        <v>#NAME?</v>
      </c>
      <c r="CL282" s="1" t="e">
        <f ca="1">_xll.BDH($C$278,"TOT_DEBT_TO_TOT_CAP","FQ4 2014","FQ4 2014","Currency=INR","Period=FQ","BEST_FPERIOD_OVERRIDE=FQ","FILING_STATUS=OR","EQY_CONSOLIDATED=Y","Sort=A","Dates=H","DateFormat=P","Fill=—","Direction=H","UseDPDF=Y")</f>
        <v>#NAME?</v>
      </c>
      <c r="CM282" s="1" t="e">
        <f ca="1">_xll.BDH($C$278,"TOT_DEBT_TO_TOT_ASSET","FQ4 2014","FQ4 2014","Currency=INR","Period=FQ","BEST_FPERIOD_OVERRIDE=FQ","FILING_STATUS=OR","EQY_CONSOLIDATED=Y","Sort=A","Dates=H","DateFormat=P","Fill=—","Direction=H","UseDPDF=Y")</f>
        <v>#NAME?</v>
      </c>
      <c r="CN282" s="1" t="e">
        <f ca="1">_xll.BDH($C$278,"NET_DEBT_TO_SHRHLDR_EQTY","FQ4 2014","FQ4 2014","Currency=INR","Period=FQ","BEST_FPERIOD_OVERRIDE=FQ","FILING_STATUS=OR","EQY_CONSOLIDATED=Y","Sort=A","Dates=H","DateFormat=P","Fill=—","Direction=H","UseDPDF=Y")</f>
        <v>#NAME?</v>
      </c>
      <c r="CO282" s="1" t="e">
        <f ca="1">_xll.BDH($C$278,"NET_DEBT_%_CAPITAL","FQ4 2014","FQ4 2014","Currency=INR","Period=FQ","BEST_FPERIOD_OVERRIDE=FQ","FILING_STATUS=OR","EQY_CONSOLIDATED=Y","Sort=A","Dates=H","DateFormat=P","Fill=—","Direction=H","UseDPDF=Y")</f>
        <v>#NAME?</v>
      </c>
      <c r="CP282" s="2" t="e">
        <f ca="1">_xll.BDH($C$278,"EBITDA","FQ4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82" s="2" t="e">
        <f ca="1">_xll.BDH($C$278,"EBITDA_AFTER_CAPEX","FQ4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82" s="2" t="e">
        <f ca="1">_xll.BDH($C$278,"IS_OPER_INC","FQ4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82" s="1" t="e">
        <f ca="1">_xll.BDH($C$278,"CASH_RATIO","FQ4 2014","FQ4 2014","Currency=INR","Period=FQ","BEST_FPERIOD_OVERRIDE=FQ","FILING_STATUS=OR","EQY_CONSOLIDATED=Y","Sort=A","Dates=H","DateFormat=P","Fill=—","Direction=H","UseDPDF=Y")</f>
        <v>#NAME?</v>
      </c>
      <c r="CT282" s="1" t="e">
        <f ca="1">_xll.BDH($C$278,"CUR_RATIO","FQ4 2014","FQ4 2014","Currency=INR","Period=FQ","BEST_FPERIOD_OVERRIDE=FQ","FILING_STATUS=OR","EQY_CONSOLIDATED=Y","Sort=A","Dates=H","DateFormat=P","Fill=—","Direction=H","UseDPDF=Y")</f>
        <v>#NAME?</v>
      </c>
      <c r="CU282" s="1" t="e">
        <f ca="1">_xll.BDH($C$278,"QUICK_RATIO","FQ4 2014","FQ4 2014","Currency=INR","Period=FQ","BEST_FPERIOD_OVERRIDE=FQ","FILING_STATUS=OR","EQY_CONSOLIDATED=Y","Sort=A","Dates=H","DateFormat=P","Fill=—","Direction=H","UseDPDF=Y")</f>
        <v>#NAME?</v>
      </c>
      <c r="CV282" s="1" t="e">
        <f ca="1">_xll.BDH($C$278,"ALTMAN_Z_SCORE","FQ4 2014","FQ4 2014","Currency=INR","Period=FQ","BEST_FPERIOD_OVERRIDE=FQ","FILING_STATUS=OR","EQY_CONSOLIDATED=Y","Sort=A","Dates=H","DateFormat=P","Fill=—","Direction=H","UseDPDF=Y")</f>
        <v>#NAME?</v>
      </c>
      <c r="CW282" s="3" t="e">
        <f ca="1">_xll.BDH($C$278,"ACCT_RCV_TURN","FQ4 2014","FQ4 2014","Currency=INR","Period=FQ","BEST_FPERIOD_OVERRIDE=FQ","FILING_STATUS=OR","EQY_CONSOLIDATED=Y","FA_ADJUSTED=GAAP","Sort=A","Dates=H","DateFormat=P","Fill=—","Direction=H","UseDPDF=Y")</f>
        <v>#NAME?</v>
      </c>
      <c r="CX282" s="1" t="e">
        <f ca="1">_xll.BDH($C$278,"ACCT_RCV_DAYS","FQ4 2014","FQ4 2014","Currency=INR","Period=FQ","BEST_FPERIOD_OVERRIDE=FQ","FILING_STATUS=OR","EQY_CONSOLIDATED=Y","FA_ADJUSTED=GAAP","Sort=A","Dates=H","DateFormat=P","Fill=—","Direction=H","UseDPDF=Y")</f>
        <v>#NAME?</v>
      </c>
      <c r="CY282" s="3" t="e">
        <f ca="1">_xll.BDH($C$278,"INVENT_TURN","FQ4 2014","FQ4 2014","Currency=INR","Period=FQ","BEST_FPERIOD_OVERRIDE=FQ","FILING_STATUS=OR","EQY_CONSOLIDATED=Y","FA_ADJUSTED=GAAP","Sort=A","Dates=H","DateFormat=P","Fill=—","Direction=H","UseDPDF=Y")</f>
        <v>#NAME?</v>
      </c>
      <c r="CZ282" s="1" t="e">
        <f ca="1">_xll.BDH($C$278,"INVENT_DAYS","FQ4 2014","FQ4 2014","Currency=INR","Period=FQ","BEST_FPERIOD_OVERRIDE=FQ","FILING_STATUS=OR","EQY_CONSOLIDATED=Y","FA_ADJUSTED=GAAP","Sort=A","Dates=H","DateFormat=P","Fill=—","Direction=H","UseDPDF=Y")</f>
        <v>#NAME?</v>
      </c>
      <c r="DA282" s="3" t="e">
        <f ca="1">_xll.BDH($C$278,"ACCOUNTS_PAYABLE_TURNOVER","FQ4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82" s="1" t="e">
        <f ca="1">_xll.BDH($C$278,"ACCOUNTS_PAYABLE_TURNOVER_DAYS","FQ4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82" s="3" t="e">
        <f ca="1">_xll.BDH($C$278,"CASH_CONVERSION_CYCLE","FQ4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82" s="3" t="e">
        <f ca="1">_xll.BDH($C$278,"INV_TO_CASH_DAYS","FQ4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282" s="4" t="e">
        <f ca="1">_xll.BDH($C$278,"BS_INVENTORIES","FQ4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282" s="2" t="e">
        <f ca="1">_xll.BDH($C$278,"INVTRY_RAW_MATERIALS","FQ4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82" s="2" t="e">
        <f ca="1">_xll.BDH($C$278,"INVTRY_IN_PROGRESS","FQ4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82" s="2" t="e">
        <f ca="1">_xll.BDH($C$278,"INVTRY_FINISHED_GOODS","FQ4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82" s="2" t="e">
        <f ca="1">_xll.BDH($C$278,"BS_OTHER_INV","FQ4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83" spans="1:113" x14ac:dyDescent="0.3">
      <c r="A283" s="6"/>
      <c r="B283" s="6"/>
      <c r="C283" s="6"/>
      <c r="D283" s="6" t="s">
        <v>8</v>
      </c>
      <c r="E283" t="s">
        <v>3</v>
      </c>
      <c r="F283" t="e">
        <f ca="1">_xll.BDH($C$278,"RETURN_COM_EQY","FY 2015","FY 2015","Currency=INR","Period=FY","BEST_FPERIOD_OVERRIDE=FY","FILING_STATUS=OR","EQY_CONSOLIDATED=Y","FA_ADJUSTED=GAAP","Sort=A","Dates=H","DateFormat=P","Fill=—","Direction=H","UseDPDF=Y")</f>
        <v>#NAME?</v>
      </c>
      <c r="G283" t="e">
        <f ca="1">_xll.BDH($C$278,"RETURN_ON_ASSET","FY 2015","FY 2015","Currency=INR","Period=FY","BEST_FPERIOD_OVERRIDE=FY","FILING_STATUS=OR","EQY_CONSOLIDATED=Y","FA_ADJUSTED=GAAP","Sort=A","Dates=H","DateFormat=P","Fill=—","Direction=H","UseDPDF=Y")</f>
        <v>#NAME?</v>
      </c>
      <c r="H283" t="e">
        <f ca="1">_xll.BDH($C$278,"RETURN_ON_CAP","FY 2015","FY 2015","Currency=INR","Period=FY","BEST_FPERIOD_OVERRIDE=FY","FILING_STATUS=OR","EQY_CONSOLIDATED=Y","FA_ADJUSTED=GAAP","Sort=A","Dates=H","DateFormat=P","Fill=—","Direction=H","UseDPDF=Y")</f>
        <v>#NAME?</v>
      </c>
      <c r="I283" t="e">
        <f ca="1">_xll.BDH($C$278,"RETURN_ON_INV_CAPITAL","FY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83" t="e">
        <f ca="1">_xll.BDH($C$278,"EBITDA_TO_REVENUE","FY 2015","FY 2015","Currency=INR","Period=FY","BEST_FPERIOD_OVERRIDE=FY","FILING_STATUS=OR","EQY_CONSOLIDATED=Y","FA_ADJUSTED=GAAP","Sort=A","Dates=H","DateFormat=P","Fill=—","Direction=H","UseDPDF=Y")</f>
        <v>#NAME?</v>
      </c>
      <c r="K283" t="e">
        <f ca="1">_xll.BDH($C$278,"OPER_MARGIN","FY 2015","FY 2015","Currency=INR","Period=FY","BEST_FPERIOD_OVERRIDE=FY","FILING_STATUS=OR","EQY_CONSOLIDATED=Y","FA_ADJUSTED=GAAP","Sort=A","Dates=H","DateFormat=P","Fill=—","Direction=H","UseDPDF=Y")</f>
        <v>#NAME?</v>
      </c>
      <c r="L283" t="e">
        <f ca="1">_xll.BDH($C$278,"INCREMENTAL_OPERATING_MARGIN","FY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83" t="e">
        <f ca="1">_xll.BDH($C$278,"PRETAX_INC_TO_NET_SALES","FY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83" t="e">
        <f ca="1">_xll.BDH($C$278,"INC_BEF_XO_ITEMS_TO_NET_SALES","FY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83" t="e">
        <f ca="1">_xll.BDH($C$278,"PROF_MARGIN","FY 2015","FY 2015","Currency=INR","Period=FY","BEST_FPERIOD_OVERRIDE=FY","FILING_STATUS=OR","EQY_CONSOLIDATED=Y","FA_ADJUSTED=GAAP","Sort=A","Dates=H","DateFormat=P","Fill=—","Direction=H","UseDPDF=Y")</f>
        <v>#NAME?</v>
      </c>
      <c r="P283" t="e">
        <f ca="1">_xll.BDH($C$278,"NET_INCOME_TO_COMMON_MARGIN","FY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83" t="e">
        <f ca="1">_xll.BDH($C$278,"EFF_TAX_RATE","FY 2015","FY 2015","Currency=INR","Period=FY","BEST_FPERIOD_OVERRIDE=FY","FILING_STATUS=OR","EQY_CONSOLIDATED=Y","FA_ADJUSTED=GAAP","Sort=A","Dates=H","DateFormat=P","Fill=—","Direction=H","UseDPDF=Y")</f>
        <v>#NAME?</v>
      </c>
      <c r="R283" t="e">
        <f ca="1">_xll.BDH($C$278,"DVD_PAYOUT_RATIO","FY 2015","FY 2015","Currency=INR","Period=FY","BEST_FPERIOD_OVERRIDE=FY","FILING_STATUS=OR","EQY_CONSOLIDATED=Y","FA_ADJUSTED=GAAP","Sort=A","Dates=H","DateFormat=P","Fill=—","Direction=H","UseDPDF=Y")</f>
        <v>#NAME?</v>
      </c>
      <c r="S283" t="e">
        <f ca="1">_xll.BDH($C$278,"SUSTAIN_GROWTH_RT","FY 2015","FY 2015","Currency=INR","Period=FY","BEST_FPERIOD_OVERRIDE=FY","FILING_STATUS=OR","EQY_CONSOLIDATED=Y","FA_ADJUSTED=GAAP","Sort=A","Dates=H","DateFormat=P","Fill=—","Direction=H","UseDPDF=Y")</f>
        <v>#NAME?</v>
      </c>
      <c r="T283" s="1" t="e">
        <f ca="1">_xll.BDH($C$278,"SALES_GROWTH","FY 2015","FY 2015","Currency=INR","Period=FY","BEST_FPERIOD_OVERRIDE=FY","FILING_STATUS=OR","EQY_CONSOLIDATED=Y","FA_ADJUSTED=GAAP","Sort=A","Dates=H","DateFormat=P","Fill=—","Direction=H","UseDPDF=Y")</f>
        <v>#NAME?</v>
      </c>
      <c r="U283" s="1" t="e">
        <f ca="1">_xll.BDH($C$278,"EBITDA_GROWTH","FY 2015","FY 2015","Currency=INR","Period=FY","BEST_FPERIOD_OVERRIDE=FY","FILING_STATUS=OR","EQY_CONSOLIDATED=Y","FA_ADJUSTED=GAAP","Sort=A","Dates=H","DateFormat=P","Fill=—","Direction=H","UseDPDF=Y")</f>
        <v>#NAME?</v>
      </c>
      <c r="V283" s="1" t="e">
        <f ca="1">_xll.BDH($C$278,"OPER_INC_GROWTH","FY 2015","FY 2015","Currency=INR","Period=FY","BEST_FPERIOD_OVERRIDE=FY","FILING_STATUS=OR","EQY_CONSOLIDATED=Y","FA_ADJUSTED=GAAP","Sort=A","Dates=H","DateFormat=P","Fill=—","Direction=H","UseDPDF=Y")</f>
        <v>#NAME?</v>
      </c>
      <c r="W283" s="1" t="e">
        <f ca="1">_xll.BDH($C$278,"EARN_FOR_COM_GROWTH","FY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283" s="1" t="e">
        <f ca="1">_xll.BDH($C$278,"DILUTED_EPS_AFT_XO_ITEMS_GROWTH","FY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83" s="1" t="e">
        <f ca="1">_xll.BDH($C$278,"DIVIDEND_PER_SHARE_1_YEAR_GROWTH","FY 2015","FY 2015","Currency=INR","Period=FY","BEST_FPERIOD_OVERRIDE=FY","FILING_STATUS=OR","EQY_CONSOLIDATED=Y","Sort=A","Dates=H","DateFormat=P","Fill=—","Direction=H","UseDPDF=Y")</f>
        <v>#NAME?</v>
      </c>
      <c r="Z283" s="1" t="e">
        <f ca="1">_xll.BDH($C$278,"ACCOUNTS_RECEIVABLE_GROWTH","FY 2015","FY 2015","Currency=INR","Period=FY","BEST_FPERIOD_OVERRIDE=FY","FILING_STATUS=OR","EQY_CONSOLIDATED=Y","Sort=A","Dates=H","DateFormat=P","Fill=—","Direction=H","UseDPDF=Y")</f>
        <v>#NAME?</v>
      </c>
      <c r="AA283" s="1" t="e">
        <f ca="1">_xll.BDH($C$278,"INVENTORY_GROWTH","FY 2015","FY 2015","Currency=INR","Period=FY","BEST_FPERIOD_OVERRIDE=FY","FILING_STATUS=OR","EQY_CONSOLIDATED=Y","Sort=A","Dates=H","DateFormat=P","Fill=—","Direction=H","UseDPDF=Y")</f>
        <v>#NAME?</v>
      </c>
      <c r="AB283" s="1" t="e">
        <f ca="1">_xll.BDH($C$278,"NET_FIXED_ASSETS_1_YEAR_GROWTH","FY 2015","FY 2015","Currency=INR","Period=FY","BEST_FPERIOD_OVERRIDE=FY","FILING_STATUS=OR","EQY_CONSOLIDATED=Y","Sort=A","Dates=H","DateFormat=P","Fill=—","Direction=H","UseDPDF=Y")</f>
        <v>#NAME?</v>
      </c>
      <c r="AC283" s="1" t="e">
        <f ca="1">_xll.BDH($C$278,"ASSET_GROWTH","FY 2015","FY 2015","Currency=INR","Period=FY","BEST_FPERIOD_OVERRIDE=FY","FILING_STATUS=OR","EQY_CONSOLIDATED=Y","Sort=A","Dates=H","DateFormat=P","Fill=—","Direction=H","UseDPDF=Y")</f>
        <v>#NAME?</v>
      </c>
      <c r="AD283" s="1" t="e">
        <f ca="1">_xll.BDH($C$278,"MODIFIED_WORK_CAP_GROWTH","FY 2015","FY 2015","Currency=INR","Period=FY","BEST_FPERIOD_OVERRIDE=FY","FILING_STATUS=OR","EQY_CONSOLIDATED=Y","Sort=A","Dates=H","DateFormat=P","Fill=—","Direction=H","UseDPDF=Y")</f>
        <v>#NAME?</v>
      </c>
      <c r="AE283" s="1" t="e">
        <f ca="1">_xll.BDH($C$278,"WORK_CAP_GROWTH","FY 2015","FY 2015","Currency=INR","Period=FY","BEST_FPERIOD_OVERRIDE=FY","FILING_STATUS=OR","EQY_CONSOLIDATED=Y","Sort=A","Dates=H","DateFormat=P","Fill=—","Direction=H","UseDPDF=Y")</f>
        <v>#NAME?</v>
      </c>
      <c r="AF283" s="1" t="e">
        <f ca="1">_xll.BDH($C$278,"ACCOUNTS_PAYABLE_GROWTH_1YR","FY 2015","FY 2015","Currency=INR","Period=FY","BEST_FPERIOD_OVERRIDE=FY","FILING_STATUS=OR","EQY_CONSOLIDATED=Y","Sort=A","Dates=H","DateFormat=P","Fill=—","Direction=H","UseDPDF=Y")</f>
        <v>#NAME?</v>
      </c>
      <c r="AG283" s="1" t="e">
        <f ca="1">_xll.BDH($C$278,"SHORT_TERM_DEBT_1_YEAR_GROWTH","FY 2015","FY 2015","Currency=INR","Period=FY","BEST_FPERIOD_OVERRIDE=FY","FILING_STATUS=OR","EQY_CONSOLIDATED=Y","Sort=A","Dates=H","DateFormat=P","Fill=—","Direction=H","UseDPDF=Y")</f>
        <v>#NAME?</v>
      </c>
      <c r="AH283" s="1" t="e">
        <f ca="1">_xll.BDH($C$278,"TOTAL_DEBT_1_YEAR_GROWTH","FY 2015","FY 2015","Currency=INR","Period=FY","BEST_FPERIOD_OVERRIDE=FY","FILING_STATUS=OR","EQY_CONSOLIDATED=Y","Sort=A","Dates=H","DateFormat=P","Fill=—","Direction=H","UseDPDF=Y")</f>
        <v>#NAME?</v>
      </c>
      <c r="AI283" s="1" t="e">
        <f ca="1">_xll.BDH($C$278,"TOTAL_EQUITY_1_YEAR_GROWTH","FY 2015","FY 2015","Currency=INR","Period=FY","BEST_FPERIOD_OVERRIDE=FY","FILING_STATUS=OR","EQY_CONSOLIDATED=Y","Sort=A","Dates=H","DateFormat=P","Fill=—","Direction=H","UseDPDF=Y")</f>
        <v>#NAME?</v>
      </c>
      <c r="AJ283" s="1" t="e">
        <f ca="1">_xll.BDH($C$278,"GROWTH_IN_CAP","FY 2015","FY 2015","Currency=INR","Period=FY","BEST_FPERIOD_OVERRIDE=FY","FILING_STATUS=OR","EQY_CONSOLIDATED=Y","Sort=A","Dates=H","DateFormat=P","Fill=—","Direction=H","UseDPDF=Y")</f>
        <v>#NAME?</v>
      </c>
      <c r="AK283" s="1" t="e">
        <f ca="1">_xll.BDH($C$278,"BVPS_GROWTH","FY 2015","FY 2015","Currency=INR","Period=FY","BEST_FPERIOD_OVERRIDE=FY","FILING_STATUS=OR","EQY_CONSOLIDATED=Y","Sort=A","Dates=H","DateFormat=P","Fill=—","Direction=H","UseDPDF=Y")</f>
        <v>#NAME?</v>
      </c>
      <c r="AL283" s="1" t="e">
        <f ca="1">_xll.BDH($C$278,"CASH_FLOW_GROWTH","FY 2015","FY 2015","Currency=INR","Period=FY","BEST_FPERIOD_OVERRIDE=FY","FILING_STATUS=OR","EQY_CONSOLIDATED=Y","Sort=A","Dates=H","DateFormat=P","Fill=—","Direction=H","UseDPDF=Y")</f>
        <v>#NAME?</v>
      </c>
      <c r="AM283" s="1" t="e">
        <f ca="1">_xll.BDH($C$278,"GEO_GROW_NET_SALES","FY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283" s="1" t="e">
        <f ca="1">_xll.BDH($C$278,"GEO_GROW_EBITDA","FY 2015","FY 2015","Currency=INR","Period=FY","BEST_FPERIOD_OVERRIDE=FY","FILING_STATUS=OR","EQY_CONSOLIDATED=Y","FA_ADJUSTED=GAAP","Sort=A","Dates=H","DateFormat=P","Fill=—","Direction=H","UseDPDF=Y")</f>
        <v>#NAME?</v>
      </c>
      <c r="AO283" s="1" t="e">
        <f ca="1">_xll.BDH($C$278,"GEO_GROW_OPER_INC","FY 2015","FY 2015","Currency=INR","Period=FY","BEST_FPERIOD_OVERRIDE=FY","FILING_STATUS=OR","EQY_CONSOLIDATED=Y","FA_ADJUSTED=GAAP","Sort=A","Dates=H","DateFormat=P","Fill=—","Direction=H","UseDPDF=Y")</f>
        <v>#NAME?</v>
      </c>
      <c r="AP283" s="1" t="e">
        <f ca="1">_xll.BDH($C$278,"NET_INCOME_TO_COMMON_5_YR_GROWTH","FY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83" s="1" t="e">
        <f ca="1">_xll.BDH($C$278,"5Y_GEO_GROWTH_DILUTED_EPS","FY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83" s="1" t="e">
        <f ca="1">_xll.BDH($C$278,"GEO_GROW_DVD_PER_SH","FY 2015","FY 2015","Currency=INR","Period=FY","BEST_FPERIOD_OVERRIDE=FY","FILING_STATUS=OR","EQY_CONSOLIDATED=Y","Sort=A","Dates=H","DateFormat=P","Fill=—","Direction=H","UseDPDF=Y")</f>
        <v>#NAME?</v>
      </c>
      <c r="AS283" s="1" t="e">
        <f ca="1">_xll.BDH($C$278,"ACCOUNTS_RECEIVABLE_5_YR_GROWTH","FY 2015","FY 2015","Currency=INR","Period=FY","BEST_FPERIOD_OVERRIDE=FY","FILING_STATUS=OR","EQY_CONSOLIDATED=Y","Sort=A","Dates=H","DateFormat=P","Fill=—","Direction=H","UseDPDF=Y")</f>
        <v>#NAME?</v>
      </c>
      <c r="AT283" s="1" t="e">
        <f ca="1">_xll.BDH($C$278,"INVENTORY_5_YEAR_GROWTH","FY 2015","FY 2015","Currency=INR","Period=FY","BEST_FPERIOD_OVERRIDE=FY","FILING_STATUS=OR","EQY_CONSOLIDATED=Y","Sort=A","Dates=H","DateFormat=P","Fill=—","Direction=H","UseDPDF=Y")</f>
        <v>#NAME?</v>
      </c>
      <c r="AU283" s="1" t="e">
        <f ca="1">_xll.BDH($C$278,"NET_FIXED_ASSETS_5_YEAR_GROWTH","FY 2015","FY 2015","Currency=INR","Period=FY","BEST_FPERIOD_OVERRIDE=FY","FILING_STATUS=OR","EQY_CONSOLIDATED=Y","Sort=A","Dates=H","DateFormat=P","Fill=—","Direction=H","UseDPDF=Y")</f>
        <v>#NAME?</v>
      </c>
      <c r="AV283" s="1" t="e">
        <f ca="1">_xll.BDH($C$278,"GEO_GROW_TOT_ASSET","FY 2015","FY 2015","Currency=INR","Period=FY","BEST_FPERIOD_OVERRIDE=FY","FILING_STATUS=OR","EQY_CONSOLIDATED=Y","Sort=A","Dates=H","DateFormat=P","Fill=—","Direction=H","UseDPDF=Y")</f>
        <v>#NAME?</v>
      </c>
      <c r="AW283" s="1" t="e">
        <f ca="1">_xll.BDH($C$278,"MODIFIED_WORKING_CPTL_5YR_GRWTH","FY 2015","FY 2015","Currency=INR","Period=FY","BEST_FPERIOD_OVERRIDE=FY","FILING_STATUS=OR","EQY_CONSOLIDATED=Y","Sort=A","Dates=H","DateFormat=P","Fill=—","Direction=H","UseDPDF=Y")</f>
        <v>#NAME?</v>
      </c>
      <c r="AX283" s="1" t="e">
        <f ca="1">_xll.BDH($C$278,"WORKING_CAPITAL_5_YEAR_GROWTH","FY 2015","FY 2015","Currency=INR","Period=FY","BEST_FPERIOD_OVERRIDE=FY","FILING_STATUS=OR","EQY_CONSOLIDATED=Y","Sort=A","Dates=H","DateFormat=P","Fill=—","Direction=H","UseDPDF=Y")</f>
        <v>#NAME?</v>
      </c>
      <c r="AY283" s="1" t="e">
        <f ca="1">_xll.BDH($C$278,"ACCOUNTS_PAYABLE_5_YEAR_GROWTH","FY 2015","FY 2015","Currency=INR","Period=FY","BEST_FPERIOD_OVERRIDE=FY","FILING_STATUS=OR","EQY_CONSOLIDATED=Y","Sort=A","Dates=H","DateFormat=P","Fill=—","Direction=H","UseDPDF=Y")</f>
        <v>#NAME?</v>
      </c>
      <c r="AZ283" s="1" t="e">
        <f ca="1">_xll.BDH($C$278,"SHORT_TERM_DEBT_5_YEAR_GROWTH","FY 2015","FY 2015","Currency=INR","Period=FY","BEST_FPERIOD_OVERRIDE=FY","FILING_STATUS=OR","EQY_CONSOLIDATED=Y","Sort=A","Dates=H","DateFormat=P","Fill=—","Direction=H","UseDPDF=Y")</f>
        <v>#NAME?</v>
      </c>
      <c r="BA283" s="1" t="e">
        <f ca="1">_xll.BDH($C$278,"TOTAL_DEBT_5_YEAR_GROWTH","FY 2015","FY 2015","Currency=INR","Period=FY","BEST_FPERIOD_OVERRIDE=FY","FILING_STATUS=OR","EQY_CONSOLIDATED=Y","Sort=A","Dates=H","DateFormat=P","Fill=—","Direction=H","UseDPDF=Y")</f>
        <v>#NAME?</v>
      </c>
      <c r="BB283" s="1" t="e">
        <f ca="1">_xll.BDH($C$278,"GEO_GROW_TOT_SHRHLDR_EQY","FY 2015","FY 2015","Currency=INR","Period=FY","BEST_FPERIOD_OVERRIDE=FY","FILING_STATUS=OR","EQY_CONSOLIDATED=Y","Sort=A","Dates=H","DateFormat=P","Fill=—","Direction=H","UseDPDF=Y")</f>
        <v>#NAME?</v>
      </c>
      <c r="BC283" s="1" t="e">
        <f ca="1">_xll.BDH($C$278,"TOTAL_CAPITAL_5_YEAR_GROWTH","FY 2015","FY 2015","Currency=INR","Period=FY","BEST_FPERIOD_OVERRIDE=FY","FILING_STATUS=OR","EQY_CONSOLIDATED=Y","Sort=A","Dates=H","DateFormat=P","Fill=—","Direction=H","UseDPDF=Y")</f>
        <v>#NAME?</v>
      </c>
      <c r="BD283" s="1" t="e">
        <f ca="1">_xll.BDH($C$278,"GEO_GROW_BOOK_VAL","FY 2015","FY 2015","Currency=INR","Period=FY","BEST_FPERIOD_OVERRIDE=FY","FILING_STATUS=OR","EQY_CONSOLIDATED=Y","Sort=A","Dates=H","DateFormat=P","Fill=—","Direction=H","UseDPDF=Y")</f>
        <v>#NAME?</v>
      </c>
      <c r="BE283" s="1" t="e">
        <f ca="1">_xll.BDH($C$278,"GEO_GROW_CASH_OPER_ACT","FY 2015","FY 2015","Currency=INR","Period=FY","BEST_FPERIOD_OVERRIDE=FY","FILING_STATUS=OR","EQY_CONSOLIDATED=Y","Sort=A","Dates=H","DateFormat=P","Fill=—","Direction=H","UseDPDF=Y")</f>
        <v>#NAME?</v>
      </c>
      <c r="BF283" s="1" t="e">
        <f ca="1">_xll.BDH($C$278,"REVENUE_SEQUENTIAL_GROWTH","FY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83" s="1" t="e">
        <f ca="1">_xll.BDH($C$278,"EBITDA_SEQUENTIAL_GROWTH","FY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83" s="1" t="e">
        <f ca="1">_xll.BDH($C$278,"OPERATING_INCOME_SEQ_GROWTH","FY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83" s="1" t="e">
        <f ca="1">_xll.BDH($C$278,"NET_INCOME_TO_COMMON_SEQ_GROWTH","FY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83" s="1" t="e">
        <f ca="1">_xll.BDH($C$278,"EPS_DILUTED_SEQUENTIAL_GROWTH","FY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83" s="1" t="e">
        <f ca="1">_xll.BDH($C$278,"DPS_SEQUENTIAL_GROWTH","FY 2015","FY 2015","Currency=INR","Period=FY","BEST_FPERIOD_OVERRIDE=FY","FILING_STATUS=OR","EQY_CONSOLIDATED=Y","Sort=A","Dates=H","DateFormat=P","Fill=—","Direction=H","UseDPDF=Y")</f>
        <v>#NAME?</v>
      </c>
      <c r="BL283" s="1" t="e">
        <f ca="1">_xll.BDH($C$278,"ACCOUNTS_RECEIVABLE_SEQ_GROWTH","FY 2015","FY 2015","Currency=INR","Period=FY","BEST_FPERIOD_OVERRIDE=FY","FILING_STATUS=OR","EQY_CONSOLIDATED=Y","Sort=A","Dates=H","DateFormat=P","Fill=—","Direction=H","UseDPDF=Y")</f>
        <v>#NAME?</v>
      </c>
      <c r="BM283" s="1" t="e">
        <f ca="1">_xll.BDH($C$278,"INVENTORY_SEQUENTIAL_GROWTH","FY 2015","FY 2015","Currency=INR","Period=FY","BEST_FPERIOD_OVERRIDE=FY","FILING_STATUS=OR","EQY_CONSOLIDATED=Y","Sort=A","Dates=H","DateFormat=P","Fill=—","Direction=H","UseDPDF=Y")</f>
        <v>#NAME?</v>
      </c>
      <c r="BN283" s="1" t="e">
        <f ca="1">_xll.BDH($C$278,"FIXED_ASSETS_SEQUENTIAL_GROWTH","FY 2015","FY 2015","Currency=INR","Period=FY","BEST_FPERIOD_OVERRIDE=FY","FILING_STATUS=OR","EQY_CONSOLIDATED=Y","Sort=A","Dates=H","DateFormat=P","Fill=—","Direction=H","UseDPDF=Y")</f>
        <v>#NAME?</v>
      </c>
      <c r="BO283" s="1" t="e">
        <f ca="1">_xll.BDH($C$278,"TOTAL_ASSETS_SEQUENTIAL_GROWTH","FY 2015","FY 2015","Currency=INR","Period=FY","BEST_FPERIOD_OVERRIDE=FY","FILING_STATUS=OR","EQY_CONSOLIDATED=Y","Sort=A","Dates=H","DateFormat=P","Fill=—","Direction=H","UseDPDF=Y")</f>
        <v>#NAME?</v>
      </c>
      <c r="BP283" s="1" t="e">
        <f ca="1">_xll.BDH($C$278,"MODIFIED_WORKING_CPTL_SEQ_GRWTH","FY 2015","FY 2015","Currency=INR","Period=FY","BEST_FPERIOD_OVERRIDE=FY","FILING_STATUS=OR","EQY_CONSOLIDATED=Y","Sort=A","Dates=H","DateFormat=P","Fill=—","Direction=H","UseDPDF=Y")</f>
        <v>#NAME?</v>
      </c>
      <c r="BQ283" s="1" t="e">
        <f ca="1">_xll.BDH($C$278,"WORKING_CAPITAL_SEQ_GROWTH","FY 2015","FY 2015","Currency=INR","Period=FY","BEST_FPERIOD_OVERRIDE=FY","FILING_STATUS=OR","EQY_CONSOLIDATED=Y","Sort=A","Dates=H","DateFormat=P","Fill=—","Direction=H","UseDPDF=Y")</f>
        <v>#NAME?</v>
      </c>
      <c r="BR283" s="1" t="e">
        <f ca="1">_xll.BDH($C$278,"ACCOUNTS_PAYABLE_SEQ_GROWTH","FY 2015","FY 2015","Currency=INR","Period=FY","BEST_FPERIOD_OVERRIDE=FY","FILING_STATUS=OR","EQY_CONSOLIDATED=Y","Sort=A","Dates=H","DateFormat=P","Fill=—","Direction=H","UseDPDF=Y")</f>
        <v>#NAME?</v>
      </c>
      <c r="BS283" s="1" t="e">
        <f ca="1">_xll.BDH($C$278,"ST_DEBT_SEQUENTIAL_GROWTH","FY 2015","FY 2015","Currency=INR","Period=FY","BEST_FPERIOD_OVERRIDE=FY","FILING_STATUS=OR","EQY_CONSOLIDATED=Y","Sort=A","Dates=H","DateFormat=P","Fill=—","Direction=H","UseDPDF=Y")</f>
        <v>#NAME?</v>
      </c>
      <c r="BT283" s="1" t="e">
        <f ca="1">_xll.BDH($C$278,"TOTAL_DEBT_SEQUENTIAL_GROWTH","FY 2015","FY 2015","Currency=INR","Period=FY","BEST_FPERIOD_OVERRIDE=FY","FILING_STATUS=OR","EQY_CONSOLIDATED=Y","Sort=A","Dates=H","DateFormat=P","Fill=—","Direction=H","UseDPDF=Y")</f>
        <v>#NAME?</v>
      </c>
      <c r="BU283" s="1" t="e">
        <f ca="1">_xll.BDH($C$278,"TOTAL_EQUITY_SEQUENTIAL_GROWTH","FY 2015","FY 2015","Currency=INR","Period=FY","BEST_FPERIOD_OVERRIDE=FY","FILING_STATUS=OR","EQY_CONSOLIDATED=Y","Sort=A","Dates=H","DateFormat=P","Fill=—","Direction=H","UseDPDF=Y")</f>
        <v>#NAME?</v>
      </c>
      <c r="BV283" s="1" t="e">
        <f ca="1">_xll.BDH($C$278,"TOTAL_CAPITAL_SEQUENTIAL_GROWTH","FY 2015","FY 2015","Currency=INR","Period=FY","BEST_FPERIOD_OVERRIDE=FY","FILING_STATUS=OR","EQY_CONSOLIDATED=Y","Sort=A","Dates=H","DateFormat=P","Fill=—","Direction=H","UseDPDF=Y")</f>
        <v>#NAME?</v>
      </c>
      <c r="BW283" s="1" t="e">
        <f ca="1">_xll.BDH($C$278,"BPS_SEQUENTIAL_GROWTH","FY 2015","FY 2015","Currency=INR","Period=FY","BEST_FPERIOD_OVERRIDE=FY","FILING_STATUS=OR","EQY_CONSOLIDATED=Y","Sort=A","Dates=H","DateFormat=P","Fill=—","Direction=H","UseDPDF=Y")</f>
        <v>#NAME?</v>
      </c>
      <c r="BX283" s="1" t="e">
        <f ca="1">_xll.BDH($C$278,"CFO_SEQUENTIAL_GROWTH","FY 2015","FY 2015","Currency=INR","Period=FY","BEST_FPERIOD_OVERRIDE=FY","FILING_STATUS=OR","EQY_CONSOLIDATED=Y","Sort=A","Dates=H","DateFormat=P","Fill=—","Direction=H","UseDPDF=Y")</f>
        <v>#NAME?</v>
      </c>
      <c r="BY283" s="2" t="e">
        <f ca="1">_xll.BDH($C$278,"SHORT_AND_LONG_TERM_DEBT","FY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83" s="2" t="e">
        <f ca="1">_xll.BDH($C$278,"BS_ST_BORROW","FY 2015","FY 2015","Currency=INR","Period=FY","BEST_FPERIOD_OVERRIDE=FY","FILING_STATUS=OR","EQY_CONSOLIDATED=Y","SCALING_FORMAT=MLN","Sort=A","Dates=H","DateFormat=P","Fill=—","Direction=H","UseDPDF=Y")</f>
        <v>#NAME?</v>
      </c>
      <c r="CA283" s="2" t="e">
        <f ca="1">_xll.BDH($C$278,"BS_LT_BORROW","FY 2015","FY 2015","Currency=INR","Period=FY","BEST_FPERIOD_OVERRIDE=FY","FILING_STATUS=OR","EQY_CONSOLIDATED=Y","SCALING_FORMAT=MLN","Sort=A","Dates=H","DateFormat=P","Fill=—","Direction=H","UseDPDF=Y")</f>
        <v>#NAME?</v>
      </c>
      <c r="CB283" s="1" t="e">
        <f ca="1">_xll.BDH($C$278,"TOT_DEBT_TO_EBITDA","FY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283" s="1" t="e">
        <f ca="1">_xll.BDH($C$278,"NET_DEBT_TO_EBITDA","FY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283" s="1" t="e">
        <f ca="1">_xll.BDH($C$278,"TOTAL_DEBT_TO_EBIT","FY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283" s="1" t="e">
        <f ca="1">_xll.BDH($C$278,"NET_DEBT_TO_EBIT","FY 2015","FY 2015","Currency=INR","Period=FY","BEST_FPERIOD_OVERRIDE=FY","FILING_STATUS=OR","EQY_CONSOLIDATED=Y","FA_ADJUSTED=GAAP","Sort=A","Dates=H","DateFormat=P","Fill=—","Direction=H","UseDPDF=Y")</f>
        <v>#NAME?</v>
      </c>
      <c r="CF283" s="1" t="e">
        <f ca="1">_xll.BDH($C$278,"EBITDA_TO_INTEREST_EXPN","FY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83" s="1" t="e">
        <f ca="1">_xll.BDH($C$278,"COM_EQY_TO_TOT_ASSET","FY 2015","FY 2015","Currency=INR","Period=FY","BEST_FPERIOD_OVERRIDE=FY","FILING_STATUS=OR","EQY_CONSOLIDATED=Y","Sort=A","Dates=H","DateFormat=P","Fill=—","Direction=H","UseDPDF=Y")</f>
        <v>#NAME?</v>
      </c>
      <c r="CH283" s="1" t="e">
        <f ca="1">_xll.BDH($C$278,"LT_DEBT_TO_TOT_EQY","FY 2015","FY 2015","Currency=INR","Period=FY","BEST_FPERIOD_OVERRIDE=FY","FILING_STATUS=OR","EQY_CONSOLIDATED=Y","Sort=A","Dates=H","DateFormat=P","Fill=—","Direction=H","UseDPDF=Y")</f>
        <v>#NAME?</v>
      </c>
      <c r="CI283" s="1" t="e">
        <f ca="1">_xll.BDH($C$278,"LT_DEBT_TO_TOT_CAP","FY 2015","FY 2015","Currency=INR","Period=FY","BEST_FPERIOD_OVERRIDE=FY","FILING_STATUS=OR","EQY_CONSOLIDATED=Y","Sort=A","Dates=H","DateFormat=P","Fill=—","Direction=H","UseDPDF=Y")</f>
        <v>#NAME?</v>
      </c>
      <c r="CJ283" s="1" t="e">
        <f ca="1">_xll.BDH($C$278,"LT_DEBT_TO_TOT_ASSET","FY 2015","FY 2015","Currency=INR","Period=FY","BEST_FPERIOD_OVERRIDE=FY","FILING_STATUS=OR","EQY_CONSOLIDATED=Y","Sort=A","Dates=H","DateFormat=P","Fill=—","Direction=H","UseDPDF=Y")</f>
        <v>#NAME?</v>
      </c>
      <c r="CK283" s="1" t="e">
        <f ca="1">_xll.BDH($C$278,"TOT_DEBT_TO_TOT_EQY","FY 2015","FY 2015","Currency=INR","Period=FY","BEST_FPERIOD_OVERRIDE=FY","FILING_STATUS=OR","EQY_CONSOLIDATED=Y","Sort=A","Dates=H","DateFormat=P","Fill=—","Direction=H","UseDPDF=Y")</f>
        <v>#NAME?</v>
      </c>
      <c r="CL283" s="1" t="e">
        <f ca="1">_xll.BDH($C$278,"TOT_DEBT_TO_TOT_CAP","FY 2015","FY 2015","Currency=INR","Period=FY","BEST_FPERIOD_OVERRIDE=FY","FILING_STATUS=OR","EQY_CONSOLIDATED=Y","Sort=A","Dates=H","DateFormat=P","Fill=—","Direction=H","UseDPDF=Y")</f>
        <v>#NAME?</v>
      </c>
      <c r="CM283" s="1" t="e">
        <f ca="1">_xll.BDH($C$278,"TOT_DEBT_TO_TOT_ASSET","FY 2015","FY 2015","Currency=INR","Period=FY","BEST_FPERIOD_OVERRIDE=FY","FILING_STATUS=OR","EQY_CONSOLIDATED=Y","Sort=A","Dates=H","DateFormat=P","Fill=—","Direction=H","UseDPDF=Y")</f>
        <v>#NAME?</v>
      </c>
      <c r="CN283" s="1" t="e">
        <f ca="1">_xll.BDH($C$278,"NET_DEBT_TO_SHRHLDR_EQTY","FY 2015","FY 2015","Currency=INR","Period=FY","BEST_FPERIOD_OVERRIDE=FY","FILING_STATUS=OR","EQY_CONSOLIDATED=Y","Sort=A","Dates=H","DateFormat=P","Fill=—","Direction=H","UseDPDF=Y")</f>
        <v>#NAME?</v>
      </c>
      <c r="CO283" s="1" t="e">
        <f ca="1">_xll.BDH($C$278,"NET_DEBT_%_CAPITAL","FY 2015","FY 2015","Currency=INR","Period=FY","BEST_FPERIOD_OVERRIDE=FY","FILING_STATUS=OR","EQY_CONSOLIDATED=Y","Sort=A","Dates=H","DateFormat=P","Fill=—","Direction=H","UseDPDF=Y")</f>
        <v>#NAME?</v>
      </c>
      <c r="CP283" s="2" t="e">
        <f ca="1">_xll.BDH($C$278,"EBITDA","FY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83" s="2" t="e">
        <f ca="1">_xll.BDH($C$278,"EBITDA_AFTER_CAPEX","FY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83" s="2" t="e">
        <f ca="1">_xll.BDH($C$278,"IS_OPER_INC","FY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83" s="1" t="e">
        <f ca="1">_xll.BDH($C$278,"CASH_RATIO","FY 2015","FY 2015","Currency=INR","Period=FY","BEST_FPERIOD_OVERRIDE=FY","FILING_STATUS=OR","EQY_CONSOLIDATED=Y","Sort=A","Dates=H","DateFormat=P","Fill=—","Direction=H","UseDPDF=Y")</f>
        <v>#NAME?</v>
      </c>
      <c r="CT283" s="1" t="e">
        <f ca="1">_xll.BDH($C$278,"CUR_RATIO","FY 2015","FY 2015","Currency=INR","Period=FY","BEST_FPERIOD_OVERRIDE=FY","FILING_STATUS=OR","EQY_CONSOLIDATED=Y","Sort=A","Dates=H","DateFormat=P","Fill=—","Direction=H","UseDPDF=Y")</f>
        <v>#NAME?</v>
      </c>
      <c r="CU283" s="1" t="e">
        <f ca="1">_xll.BDH($C$278,"QUICK_RATIO","FY 2015","FY 2015","Currency=INR","Period=FY","BEST_FPERIOD_OVERRIDE=FY","FILING_STATUS=OR","EQY_CONSOLIDATED=Y","Sort=A","Dates=H","DateFormat=P","Fill=—","Direction=H","UseDPDF=Y")</f>
        <v>#NAME?</v>
      </c>
      <c r="CV283" s="1" t="e">
        <f ca="1">_xll.BDH($C$278,"ALTMAN_Z_SCORE","FY 2015","FY 2015","Currency=INR","Period=FY","BEST_FPERIOD_OVERRIDE=FY","FILING_STATUS=OR","EQY_CONSOLIDATED=Y","Sort=A","Dates=H","DateFormat=P","Fill=—","Direction=H","UseDPDF=Y")</f>
        <v>#NAME?</v>
      </c>
      <c r="CW283" s="3" t="e">
        <f ca="1">_xll.BDH($C$278,"ACCT_RCV_TURN","FY 2015","FY 2015","Currency=INR","Period=FY","BEST_FPERIOD_OVERRIDE=FY","FILING_STATUS=OR","EQY_CONSOLIDATED=Y","FA_ADJUSTED=GAAP","Sort=A","Dates=H","DateFormat=P","Fill=—","Direction=H","UseDPDF=Y")</f>
        <v>#NAME?</v>
      </c>
      <c r="CX283" s="1" t="e">
        <f ca="1">_xll.BDH($C$278,"ACCT_RCV_DAYS","FY 2015","FY 2015","Currency=INR","Period=FY","BEST_FPERIOD_OVERRIDE=FY","FILING_STATUS=OR","EQY_CONSOLIDATED=Y","FA_ADJUSTED=GAAP","Sort=A","Dates=H","DateFormat=P","Fill=—","Direction=H","UseDPDF=Y")</f>
        <v>#NAME?</v>
      </c>
      <c r="CY283" s="3" t="e">
        <f ca="1">_xll.BDH($C$278,"INVENT_TURN","FY 2015","FY 2015","Currency=INR","Period=FY","BEST_FPERIOD_OVERRIDE=FY","FILING_STATUS=OR","EQY_CONSOLIDATED=Y","FA_ADJUSTED=GAAP","Sort=A","Dates=H","DateFormat=P","Fill=—","Direction=H","UseDPDF=Y")</f>
        <v>#NAME?</v>
      </c>
      <c r="CZ283" s="1" t="e">
        <f ca="1">_xll.BDH($C$278,"INVENT_DAYS","FY 2015","FY 2015","Currency=INR","Period=FY","BEST_FPERIOD_OVERRIDE=FY","FILING_STATUS=OR","EQY_CONSOLIDATED=Y","FA_ADJUSTED=GAAP","Sort=A","Dates=H","DateFormat=P","Fill=—","Direction=H","UseDPDF=Y")</f>
        <v>#NAME?</v>
      </c>
      <c r="DA283" s="3" t="e">
        <f ca="1">_xll.BDH($C$278,"ACCOUNTS_PAYABLE_TURNOVER","FY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83" s="1" t="e">
        <f ca="1">_xll.BDH($C$278,"ACCOUNTS_PAYABLE_TURNOVER_DAYS","FY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83" s="3" t="e">
        <f ca="1">_xll.BDH($C$278,"CASH_CONVERSION_CYCLE","FY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83" s="3" t="e">
        <f ca="1">_xll.BDH($C$278,"INV_TO_CASH_DAYS","FY 2015","FY 2015","Currency=INR","Period=FY","BEST_FPERIOD_OVERRIDE=FY","FILING_STATUS=OR","EQY_CONSOLIDATED=Y","FA_ADJUSTED=GAAP","Sort=A","Dates=H","DateFormat=P","Fill=—","Direction=H","UseDPDF=Y")</f>
        <v>#NAME?</v>
      </c>
      <c r="DE283" s="4" t="e">
        <f ca="1">_xll.BDH($C$278,"BS_INVENTORIES","FY 2015","FY 2015","Currency=INR","Period=FY","BEST_FPERIOD_OVERRIDE=FY","FILING_STATUS=OR","EQY_CONSOLIDATED=Y","SCALING_FORMAT=MLN","Sort=A","Dates=H","DateFormat=P","Fill=—","Direction=H","UseDPDF=Y")</f>
        <v>#NAME?</v>
      </c>
      <c r="DF283" s="2" t="e">
        <f ca="1">_xll.BDH($C$278,"INVTRY_RAW_MATERIALS","FY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83" s="2" t="e">
        <f ca="1">_xll.BDH($C$278,"INVTRY_IN_PROGRESS","FY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83" s="2" t="e">
        <f ca="1">_xll.BDH($C$278,"INVTRY_FINISHED_GOODS","FY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83" s="2" t="e">
        <f ca="1">_xll.BDH($C$278,"BS_OTHER_INV","FY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84" spans="1:113" x14ac:dyDescent="0.3">
      <c r="A284" s="6"/>
      <c r="B284" s="6"/>
      <c r="C284" s="6"/>
      <c r="D284" s="6"/>
      <c r="E284" t="s">
        <v>4</v>
      </c>
      <c r="F284" t="e">
        <f ca="1">_xll.BDH($C$278,"RETURN_COM_EQY","FQ1 2015","FQ1 2015","Currency=INR","Period=FQ","BEST_FPERIOD_OVERRIDE=FQ","FILING_STATUS=OR","EQY_CONSOLIDATED=Y","FA_ADJUSTED=GAAP","Sort=A","Dates=H","DateFormat=P","Fill=—","Direction=H","UseDPDF=Y")</f>
        <v>#NAME?</v>
      </c>
      <c r="G284" t="e">
        <f ca="1">_xll.BDH($C$278,"RETURN_ON_ASSET","FQ1 2015","FQ1 2015","Currency=INR","Period=FQ","BEST_FPERIOD_OVERRIDE=FQ","FILING_STATUS=OR","EQY_CONSOLIDATED=Y","FA_ADJUSTED=GAAP","Sort=A","Dates=H","DateFormat=P","Fill=—","Direction=H","UseDPDF=Y")</f>
        <v>#NAME?</v>
      </c>
      <c r="H284" t="e">
        <f ca="1">_xll.BDH($C$278,"RETURN_ON_CAP","FQ1 2015","FQ1 2015","Currency=INR","Period=FQ","BEST_FPERIOD_OVERRIDE=FQ","FILING_STATUS=OR","EQY_CONSOLIDATED=Y","FA_ADJUSTED=GAAP","Sort=A","Dates=H","DateFormat=P","Fill=—","Direction=H","UseDPDF=Y")</f>
        <v>#NAME?</v>
      </c>
      <c r="I284" t="e">
        <f ca="1">_xll.BDH($C$278,"RETURN_ON_INV_CAPITAL","FQ1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84" t="e">
        <f ca="1">_xll.BDH($C$278,"EBITDA_TO_REVENUE","FQ1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284" t="e">
        <f ca="1">_xll.BDH($C$278,"OPER_MARGIN","FQ1 2015","FQ1 2015","Currency=INR","Period=FQ","BEST_FPERIOD_OVERRIDE=FQ","FILING_STATUS=OR","EQY_CONSOLIDATED=Y","FA_ADJUSTED=GAAP","Sort=A","Dates=H","DateFormat=P","Fill=—","Direction=H","UseDPDF=Y")</f>
        <v>#NAME?</v>
      </c>
      <c r="L284" t="e">
        <f ca="1">_xll.BDH($C$278,"INCREMENTAL_OPERATING_MARGIN","FQ1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84" t="e">
        <f ca="1">_xll.BDH($C$278,"PRETAX_INC_TO_NET_SALES","FQ1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84" t="e">
        <f ca="1">_xll.BDH($C$278,"INC_BEF_XO_ITEMS_TO_NET_SALES","FQ1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84" t="e">
        <f ca="1">_xll.BDH($C$278,"PROF_MARGIN","FQ1 2015","FQ1 2015","Currency=INR","Period=FQ","BEST_FPERIOD_OVERRIDE=FQ","FILING_STATUS=OR","EQY_CONSOLIDATED=Y","FA_ADJUSTED=GAAP","Sort=A","Dates=H","DateFormat=P","Fill=—","Direction=H","UseDPDF=Y")</f>
        <v>#NAME?</v>
      </c>
      <c r="P284" t="e">
        <f ca="1">_xll.BDH($C$278,"NET_INCOME_TO_COMMON_MARGIN","FQ1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84" t="e">
        <f ca="1">_xll.BDH($C$278,"EFF_TAX_RATE","FQ1 2015","FQ1 2015","Currency=INR","Period=FQ","BEST_FPERIOD_OVERRIDE=FQ","FILING_STATUS=OR","EQY_CONSOLIDATED=Y","FA_ADJUSTED=GAAP","Sort=A","Dates=H","DateFormat=P","Fill=—","Direction=H","UseDPDF=Y")</f>
        <v>#NAME?</v>
      </c>
      <c r="R284" t="e">
        <f ca="1">_xll.BDH($C$278,"DVD_PAYOUT_RATIO","FQ1 2015","FQ1 2015","Currency=INR","Period=FQ","BEST_FPERIOD_OVERRIDE=FQ","FILING_STATUS=OR","EQY_CONSOLIDATED=Y","FA_ADJUSTED=GAAP","Sort=A","Dates=H","DateFormat=P","Fill=—","Direction=H","UseDPDF=Y")</f>
        <v>#NAME?</v>
      </c>
      <c r="S284" t="e">
        <f ca="1">_xll.BDH($C$278,"SUSTAIN_GROWTH_RT","FQ1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284" s="1" t="e">
        <f ca="1">_xll.BDH($C$278,"SALES_GROWTH","FQ1 2015","FQ1 2015","Currency=INR","Period=FQ","BEST_FPERIOD_OVERRIDE=FQ","FILING_STATUS=OR","EQY_CONSOLIDATED=Y","FA_ADJUSTED=GAAP","Sort=A","Dates=H","DateFormat=P","Fill=—","Direction=H","UseDPDF=Y")</f>
        <v>#NAME?</v>
      </c>
      <c r="U284" s="1" t="e">
        <f ca="1">_xll.BDH($C$278,"EBITDA_GROWTH","FQ1 2015","FQ1 2015","Currency=INR","Period=FQ","BEST_FPERIOD_OVERRIDE=FQ","FILING_STATUS=OR","EQY_CONSOLIDATED=Y","FA_ADJUSTED=GAAP","Sort=A","Dates=H","DateFormat=P","Fill=—","Direction=H","UseDPDF=Y")</f>
        <v>#NAME?</v>
      </c>
      <c r="V284" s="1" t="e">
        <f ca="1">_xll.BDH($C$278,"OPER_INC_GROWTH","FQ1 2015","FQ1 2015","Currency=INR","Period=FQ","BEST_FPERIOD_OVERRIDE=FQ","FILING_STATUS=OR","EQY_CONSOLIDATED=Y","FA_ADJUSTED=GAAP","Sort=A","Dates=H","DateFormat=P","Fill=—","Direction=H","UseDPDF=Y")</f>
        <v>#NAME?</v>
      </c>
      <c r="W284" s="1" t="e">
        <f ca="1">_xll.BDH($C$278,"EARN_FOR_COM_GROWTH","FQ1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84" s="1" t="e">
        <f ca="1">_xll.BDH($C$278,"DILUTED_EPS_AFT_XO_ITEMS_GROWTH","FQ1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84" s="1" t="e">
        <f ca="1">_xll.BDH($C$278,"DIVIDEND_PER_SHARE_1_YEAR_GROWTH","FQ1 2015","FQ1 2015","Currency=INR","Period=FQ","BEST_FPERIOD_OVERRIDE=FQ","FILING_STATUS=OR","EQY_CONSOLIDATED=Y","Sort=A","Dates=H","DateFormat=P","Fill=—","Direction=H","UseDPDF=Y")</f>
        <v>#NAME?</v>
      </c>
      <c r="Z284" s="1" t="e">
        <f ca="1">_xll.BDH($C$278,"ACCOUNTS_RECEIVABLE_GROWTH","FQ1 2015","FQ1 2015","Currency=INR","Period=FQ","BEST_FPERIOD_OVERRIDE=FQ","FILING_STATUS=OR","EQY_CONSOLIDATED=Y","Sort=A","Dates=H","DateFormat=P","Fill=—","Direction=H","UseDPDF=Y")</f>
        <v>#NAME?</v>
      </c>
      <c r="AA284" s="1" t="e">
        <f ca="1">_xll.BDH($C$278,"INVENTORY_GROWTH","FQ1 2015","FQ1 2015","Currency=INR","Period=FQ","BEST_FPERIOD_OVERRIDE=FQ","FILING_STATUS=OR","EQY_CONSOLIDATED=Y","Sort=A","Dates=H","DateFormat=P","Fill=—","Direction=H","UseDPDF=Y")</f>
        <v>#NAME?</v>
      </c>
      <c r="AB284" s="1" t="e">
        <f ca="1">_xll.BDH($C$278,"NET_FIXED_ASSETS_1_YEAR_GROWTH","FQ1 2015","FQ1 2015","Currency=INR","Period=FQ","BEST_FPERIOD_OVERRIDE=FQ","FILING_STATUS=OR","EQY_CONSOLIDATED=Y","Sort=A","Dates=H","DateFormat=P","Fill=—","Direction=H","UseDPDF=Y")</f>
        <v>#NAME?</v>
      </c>
      <c r="AC284" s="1" t="e">
        <f ca="1">_xll.BDH($C$278,"ASSET_GROWTH","FQ1 2015","FQ1 2015","Currency=INR","Period=FQ","BEST_FPERIOD_OVERRIDE=FQ","FILING_STATUS=OR","EQY_CONSOLIDATED=Y","Sort=A","Dates=H","DateFormat=P","Fill=—","Direction=H","UseDPDF=Y")</f>
        <v>#NAME?</v>
      </c>
      <c r="AD284" s="1" t="e">
        <f ca="1">_xll.BDH($C$278,"MODIFIED_WORK_CAP_GROWTH","FQ1 2015","FQ1 2015","Currency=INR","Period=FQ","BEST_FPERIOD_OVERRIDE=FQ","FILING_STATUS=OR","EQY_CONSOLIDATED=Y","Sort=A","Dates=H","DateFormat=P","Fill=—","Direction=H","UseDPDF=Y")</f>
        <v>#NAME?</v>
      </c>
      <c r="AE284" s="1" t="e">
        <f ca="1">_xll.BDH($C$278,"WORK_CAP_GROWTH","FQ1 2015","FQ1 2015","Currency=INR","Period=FQ","BEST_FPERIOD_OVERRIDE=FQ","FILING_STATUS=OR","EQY_CONSOLIDATED=Y","Sort=A","Dates=H","DateFormat=P","Fill=—","Direction=H","UseDPDF=Y")</f>
        <v>#NAME?</v>
      </c>
      <c r="AF284" s="1" t="e">
        <f ca="1">_xll.BDH($C$278,"ACCOUNTS_PAYABLE_GROWTH_1YR","FQ1 2015","FQ1 2015","Currency=INR","Period=FQ","BEST_FPERIOD_OVERRIDE=FQ","FILING_STATUS=OR","EQY_CONSOLIDATED=Y","Sort=A","Dates=H","DateFormat=P","Fill=—","Direction=H","UseDPDF=Y")</f>
        <v>#NAME?</v>
      </c>
      <c r="AG284" s="1" t="e">
        <f ca="1">_xll.BDH($C$278,"SHORT_TERM_DEBT_1_YEAR_GROWTH","FQ1 2015","FQ1 2015","Currency=INR","Period=FQ","BEST_FPERIOD_OVERRIDE=FQ","FILING_STATUS=OR","EQY_CONSOLIDATED=Y","Sort=A","Dates=H","DateFormat=P","Fill=—","Direction=H","UseDPDF=Y")</f>
        <v>#NAME?</v>
      </c>
      <c r="AH284" s="1" t="e">
        <f ca="1">_xll.BDH($C$278,"TOTAL_DEBT_1_YEAR_GROWTH","FQ1 2015","FQ1 2015","Currency=INR","Period=FQ","BEST_FPERIOD_OVERRIDE=FQ","FILING_STATUS=OR","EQY_CONSOLIDATED=Y","Sort=A","Dates=H","DateFormat=P","Fill=—","Direction=H","UseDPDF=Y")</f>
        <v>#NAME?</v>
      </c>
      <c r="AI284" s="1" t="e">
        <f ca="1">_xll.BDH($C$278,"TOTAL_EQUITY_1_YEAR_GROWTH","FQ1 2015","FQ1 2015","Currency=INR","Period=FQ","BEST_FPERIOD_OVERRIDE=FQ","FILING_STATUS=OR","EQY_CONSOLIDATED=Y","Sort=A","Dates=H","DateFormat=P","Fill=—","Direction=H","UseDPDF=Y")</f>
        <v>#NAME?</v>
      </c>
      <c r="AJ284" s="1" t="e">
        <f ca="1">_xll.BDH($C$278,"GROWTH_IN_CAP","FQ1 2015","FQ1 2015","Currency=INR","Period=FQ","BEST_FPERIOD_OVERRIDE=FQ","FILING_STATUS=OR","EQY_CONSOLIDATED=Y","Sort=A","Dates=H","DateFormat=P","Fill=—","Direction=H","UseDPDF=Y")</f>
        <v>#NAME?</v>
      </c>
      <c r="AK284" s="1" t="e">
        <f ca="1">_xll.BDH($C$278,"BVPS_GROWTH","FQ1 2015","FQ1 2015","Currency=INR","Period=FQ","BEST_FPERIOD_OVERRIDE=FQ","FILING_STATUS=OR","EQY_CONSOLIDATED=Y","Sort=A","Dates=H","DateFormat=P","Fill=—","Direction=H","UseDPDF=Y")</f>
        <v>#NAME?</v>
      </c>
      <c r="AL284" s="1" t="e">
        <f ca="1">_xll.BDH($C$278,"CASH_FLOW_GROWTH","FQ1 2015","FQ1 2015","Currency=INR","Period=FQ","BEST_FPERIOD_OVERRIDE=FQ","FILING_STATUS=OR","EQY_CONSOLIDATED=Y","Sort=A","Dates=H","DateFormat=P","Fill=—","Direction=H","UseDPDF=Y")</f>
        <v>#NAME?</v>
      </c>
      <c r="AM284" s="1" t="e">
        <f ca="1">_xll.BDH($C$278,"GEO_GROW_NET_SALES","FQ1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84" s="1" t="e">
        <f ca="1">_xll.BDH($C$278,"GEO_GROW_EBITDA","FQ1 2015","FQ1 2015","Currency=INR","Period=FQ","BEST_FPERIOD_OVERRIDE=FQ","FILING_STATUS=OR","EQY_CONSOLIDATED=Y","FA_ADJUSTED=GAAP","Sort=A","Dates=H","DateFormat=P","Fill=—","Direction=H","UseDPDF=Y")</f>
        <v>#NAME?</v>
      </c>
      <c r="AO284" s="1" t="e">
        <f ca="1">_xll.BDH($C$278,"GEO_GROW_OPER_INC","FQ1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84" s="1" t="e">
        <f ca="1">_xll.BDH($C$278,"NET_INCOME_TO_COMMON_5_YR_GROWTH","FQ1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84" s="1" t="e">
        <f ca="1">_xll.BDH($C$278,"5Y_GEO_GROWTH_DILUTED_EPS","FQ1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84" s="1" t="e">
        <f ca="1">_xll.BDH($C$278,"GEO_GROW_DVD_PER_SH","FQ1 2015","FQ1 2015","Currency=INR","Period=FQ","BEST_FPERIOD_OVERRIDE=FQ","FILING_STATUS=OR","EQY_CONSOLIDATED=Y","Sort=A","Dates=H","DateFormat=P","Fill=—","Direction=H","UseDPDF=Y")</f>
        <v>#NAME?</v>
      </c>
      <c r="AS284" s="1" t="e">
        <f ca="1">_xll.BDH($C$278,"ACCOUNTS_RECEIVABLE_5_YR_GROWTH","FQ1 2015","FQ1 2015","Currency=INR","Period=FQ","BEST_FPERIOD_OVERRIDE=FQ","FILING_STATUS=OR","EQY_CONSOLIDATED=Y","Sort=A","Dates=H","DateFormat=P","Fill=—","Direction=H","UseDPDF=Y")</f>
        <v>#NAME?</v>
      </c>
      <c r="AT284" s="1" t="e">
        <f ca="1">_xll.BDH($C$278,"INVENTORY_5_YEAR_GROWTH","FQ1 2015","FQ1 2015","Currency=INR","Period=FQ","BEST_FPERIOD_OVERRIDE=FQ","FILING_STATUS=OR","EQY_CONSOLIDATED=Y","Sort=A","Dates=H","DateFormat=P","Fill=—","Direction=H","UseDPDF=Y")</f>
        <v>#NAME?</v>
      </c>
      <c r="AU284" s="1" t="e">
        <f ca="1">_xll.BDH($C$278,"NET_FIXED_ASSETS_5_YEAR_GROWTH","FQ1 2015","FQ1 2015","Currency=INR","Period=FQ","BEST_FPERIOD_OVERRIDE=FQ","FILING_STATUS=OR","EQY_CONSOLIDATED=Y","Sort=A","Dates=H","DateFormat=P","Fill=—","Direction=H","UseDPDF=Y")</f>
        <v>#NAME?</v>
      </c>
      <c r="AV284" s="1" t="e">
        <f ca="1">_xll.BDH($C$278,"GEO_GROW_TOT_ASSET","FQ1 2015","FQ1 2015","Currency=INR","Period=FQ","BEST_FPERIOD_OVERRIDE=FQ","FILING_STATUS=OR","EQY_CONSOLIDATED=Y","Sort=A","Dates=H","DateFormat=P","Fill=—","Direction=H","UseDPDF=Y")</f>
        <v>#NAME?</v>
      </c>
      <c r="AW284" s="1" t="e">
        <f ca="1">_xll.BDH($C$278,"MODIFIED_WORKING_CPTL_5YR_GRWTH","FQ1 2015","FQ1 2015","Currency=INR","Period=FQ","BEST_FPERIOD_OVERRIDE=FQ","FILING_STATUS=OR","EQY_CONSOLIDATED=Y","Sort=A","Dates=H","DateFormat=P","Fill=—","Direction=H","UseDPDF=Y")</f>
        <v>#NAME?</v>
      </c>
      <c r="AX284" s="1" t="e">
        <f ca="1">_xll.BDH($C$278,"WORKING_CAPITAL_5_YEAR_GROWTH","FQ1 2015","FQ1 2015","Currency=INR","Period=FQ","BEST_FPERIOD_OVERRIDE=FQ","FILING_STATUS=OR","EQY_CONSOLIDATED=Y","Sort=A","Dates=H","DateFormat=P","Fill=—","Direction=H","UseDPDF=Y")</f>
        <v>#NAME?</v>
      </c>
      <c r="AY284" s="1" t="e">
        <f ca="1">_xll.BDH($C$278,"ACCOUNTS_PAYABLE_5_YEAR_GROWTH","FQ1 2015","FQ1 2015","Currency=INR","Period=FQ","BEST_FPERIOD_OVERRIDE=FQ","FILING_STATUS=OR","EQY_CONSOLIDATED=Y","Sort=A","Dates=H","DateFormat=P","Fill=—","Direction=H","UseDPDF=Y")</f>
        <v>#NAME?</v>
      </c>
      <c r="AZ284" s="1" t="e">
        <f ca="1">_xll.BDH($C$278,"SHORT_TERM_DEBT_5_YEAR_GROWTH","FQ1 2015","FQ1 2015","Currency=INR","Period=FQ","BEST_FPERIOD_OVERRIDE=FQ","FILING_STATUS=OR","EQY_CONSOLIDATED=Y","Sort=A","Dates=H","DateFormat=P","Fill=—","Direction=H","UseDPDF=Y")</f>
        <v>#NAME?</v>
      </c>
      <c r="BA284" s="1" t="e">
        <f ca="1">_xll.BDH($C$278,"TOTAL_DEBT_5_YEAR_GROWTH","FQ1 2015","FQ1 2015","Currency=INR","Period=FQ","BEST_FPERIOD_OVERRIDE=FQ","FILING_STATUS=OR","EQY_CONSOLIDATED=Y","Sort=A","Dates=H","DateFormat=P","Fill=—","Direction=H","UseDPDF=Y")</f>
        <v>#NAME?</v>
      </c>
      <c r="BB284" s="1" t="e">
        <f ca="1">_xll.BDH($C$278,"GEO_GROW_TOT_SHRHLDR_EQY","FQ1 2015","FQ1 2015","Currency=INR","Period=FQ","BEST_FPERIOD_OVERRIDE=FQ","FILING_STATUS=OR","EQY_CONSOLIDATED=Y","Sort=A","Dates=H","DateFormat=P","Fill=—","Direction=H","UseDPDF=Y")</f>
        <v>#NAME?</v>
      </c>
      <c r="BC284" s="1" t="e">
        <f ca="1">_xll.BDH($C$278,"TOTAL_CAPITAL_5_YEAR_GROWTH","FQ1 2015","FQ1 2015","Currency=INR","Period=FQ","BEST_FPERIOD_OVERRIDE=FQ","FILING_STATUS=OR","EQY_CONSOLIDATED=Y","Sort=A","Dates=H","DateFormat=P","Fill=—","Direction=H","UseDPDF=Y")</f>
        <v>#NAME?</v>
      </c>
      <c r="BD284" s="1" t="e">
        <f ca="1">_xll.BDH($C$278,"GEO_GROW_BOOK_VAL","FQ1 2015","FQ1 2015","Currency=INR","Period=FQ","BEST_FPERIOD_OVERRIDE=FQ","FILING_STATUS=OR","EQY_CONSOLIDATED=Y","Sort=A","Dates=H","DateFormat=P","Fill=—","Direction=H","UseDPDF=Y")</f>
        <v>#NAME?</v>
      </c>
      <c r="BE284" s="1" t="e">
        <f ca="1">_xll.BDH($C$278,"GEO_GROW_CASH_OPER_ACT","FQ1 2015","FQ1 2015","Currency=INR","Period=FQ","BEST_FPERIOD_OVERRIDE=FQ","FILING_STATUS=OR","EQY_CONSOLIDATED=Y","Sort=A","Dates=H","DateFormat=P","Fill=—","Direction=H","UseDPDF=Y")</f>
        <v>#NAME?</v>
      </c>
      <c r="BF284" s="1" t="e">
        <f ca="1">_xll.BDH($C$278,"REVENUE_SEQUENTIAL_GROWTH","FQ1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84" s="1" t="e">
        <f ca="1">_xll.BDH($C$278,"EBITDA_SEQUENTIAL_GROWTH","FQ1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84" s="1" t="e">
        <f ca="1">_xll.BDH($C$278,"OPERATING_INCOME_SEQ_GROWTH","FQ1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84" s="1" t="e">
        <f ca="1">_xll.BDH($C$278,"NET_INCOME_TO_COMMON_SEQ_GROWTH","FQ1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84" s="1" t="e">
        <f ca="1">_xll.BDH($C$278,"EPS_DILUTED_SEQUENTIAL_GROWTH","FQ1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84" s="1" t="e">
        <f ca="1">_xll.BDH($C$278,"DPS_SEQUENTIAL_GROWTH","FQ1 2015","FQ1 2015","Currency=INR","Period=FQ","BEST_FPERIOD_OVERRIDE=FQ","FILING_STATUS=OR","EQY_CONSOLIDATED=Y","Sort=A","Dates=H","DateFormat=P","Fill=—","Direction=H","UseDPDF=Y")</f>
        <v>#NAME?</v>
      </c>
      <c r="BL284" s="1" t="e">
        <f ca="1">_xll.BDH($C$278,"ACCOUNTS_RECEIVABLE_SEQ_GROWTH","FQ1 2015","FQ1 2015","Currency=INR","Period=FQ","BEST_FPERIOD_OVERRIDE=FQ","FILING_STATUS=OR","EQY_CONSOLIDATED=Y","Sort=A","Dates=H","DateFormat=P","Fill=—","Direction=H","UseDPDF=Y")</f>
        <v>#NAME?</v>
      </c>
      <c r="BM284" s="1" t="e">
        <f ca="1">_xll.BDH($C$278,"INVENTORY_SEQUENTIAL_GROWTH","FQ1 2015","FQ1 2015","Currency=INR","Period=FQ","BEST_FPERIOD_OVERRIDE=FQ","FILING_STATUS=OR","EQY_CONSOLIDATED=Y","Sort=A","Dates=H","DateFormat=P","Fill=—","Direction=H","UseDPDF=Y")</f>
        <v>#NAME?</v>
      </c>
      <c r="BN284" s="1" t="e">
        <f ca="1">_xll.BDH($C$278,"FIXED_ASSETS_SEQUENTIAL_GROWTH","FQ1 2015","FQ1 2015","Currency=INR","Period=FQ","BEST_FPERIOD_OVERRIDE=FQ","FILING_STATUS=OR","EQY_CONSOLIDATED=Y","Sort=A","Dates=H","DateFormat=P","Fill=—","Direction=H","UseDPDF=Y")</f>
        <v>#NAME?</v>
      </c>
      <c r="BO284" s="1" t="e">
        <f ca="1">_xll.BDH($C$278,"TOTAL_ASSETS_SEQUENTIAL_GROWTH","FQ1 2015","FQ1 2015","Currency=INR","Period=FQ","BEST_FPERIOD_OVERRIDE=FQ","FILING_STATUS=OR","EQY_CONSOLIDATED=Y","Sort=A","Dates=H","DateFormat=P","Fill=—","Direction=H","UseDPDF=Y")</f>
        <v>#NAME?</v>
      </c>
      <c r="BP284" s="1" t="e">
        <f ca="1">_xll.BDH($C$278,"MODIFIED_WORKING_CPTL_SEQ_GRWTH","FQ1 2015","FQ1 2015","Currency=INR","Period=FQ","BEST_FPERIOD_OVERRIDE=FQ","FILING_STATUS=OR","EQY_CONSOLIDATED=Y","Sort=A","Dates=H","DateFormat=P","Fill=—","Direction=H","UseDPDF=Y")</f>
        <v>#NAME?</v>
      </c>
      <c r="BQ284" s="1" t="e">
        <f ca="1">_xll.BDH($C$278,"WORKING_CAPITAL_SEQ_GROWTH","FQ1 2015","FQ1 2015","Currency=INR","Period=FQ","BEST_FPERIOD_OVERRIDE=FQ","FILING_STATUS=OR","EQY_CONSOLIDATED=Y","Sort=A","Dates=H","DateFormat=P","Fill=—","Direction=H","UseDPDF=Y")</f>
        <v>#NAME?</v>
      </c>
      <c r="BR284" s="1" t="e">
        <f ca="1">_xll.BDH($C$278,"ACCOUNTS_PAYABLE_SEQ_GROWTH","FQ1 2015","FQ1 2015","Currency=INR","Period=FQ","BEST_FPERIOD_OVERRIDE=FQ","FILING_STATUS=OR","EQY_CONSOLIDATED=Y","Sort=A","Dates=H","DateFormat=P","Fill=—","Direction=H","UseDPDF=Y")</f>
        <v>#NAME?</v>
      </c>
      <c r="BS284" s="1" t="e">
        <f ca="1">_xll.BDH($C$278,"ST_DEBT_SEQUENTIAL_GROWTH","FQ1 2015","FQ1 2015","Currency=INR","Period=FQ","BEST_FPERIOD_OVERRIDE=FQ","FILING_STATUS=OR","EQY_CONSOLIDATED=Y","Sort=A","Dates=H","DateFormat=P","Fill=—","Direction=H","UseDPDF=Y")</f>
        <v>#NAME?</v>
      </c>
      <c r="BT284" s="1" t="e">
        <f ca="1">_xll.BDH($C$278,"TOTAL_DEBT_SEQUENTIAL_GROWTH","FQ1 2015","FQ1 2015","Currency=INR","Period=FQ","BEST_FPERIOD_OVERRIDE=FQ","FILING_STATUS=OR","EQY_CONSOLIDATED=Y","Sort=A","Dates=H","DateFormat=P","Fill=—","Direction=H","UseDPDF=Y")</f>
        <v>#NAME?</v>
      </c>
      <c r="BU284" s="1" t="e">
        <f ca="1">_xll.BDH($C$278,"TOTAL_EQUITY_SEQUENTIAL_GROWTH","FQ1 2015","FQ1 2015","Currency=INR","Period=FQ","BEST_FPERIOD_OVERRIDE=FQ","FILING_STATUS=OR","EQY_CONSOLIDATED=Y","Sort=A","Dates=H","DateFormat=P","Fill=—","Direction=H","UseDPDF=Y")</f>
        <v>#NAME?</v>
      </c>
      <c r="BV284" s="1" t="e">
        <f ca="1">_xll.BDH($C$278,"TOTAL_CAPITAL_SEQUENTIAL_GROWTH","FQ1 2015","FQ1 2015","Currency=INR","Period=FQ","BEST_FPERIOD_OVERRIDE=FQ","FILING_STATUS=OR","EQY_CONSOLIDATED=Y","Sort=A","Dates=H","DateFormat=P","Fill=—","Direction=H","UseDPDF=Y")</f>
        <v>#NAME?</v>
      </c>
      <c r="BW284" s="1" t="e">
        <f ca="1">_xll.BDH($C$278,"BPS_SEQUENTIAL_GROWTH","FQ1 2015","FQ1 2015","Currency=INR","Period=FQ","BEST_FPERIOD_OVERRIDE=FQ","FILING_STATUS=OR","EQY_CONSOLIDATED=Y","Sort=A","Dates=H","DateFormat=P","Fill=—","Direction=H","UseDPDF=Y")</f>
        <v>#NAME?</v>
      </c>
      <c r="BX284" s="1" t="e">
        <f ca="1">_xll.BDH($C$278,"CFO_SEQUENTIAL_GROWTH","FQ1 2015","FQ1 2015","Currency=INR","Period=FQ","BEST_FPERIOD_OVERRIDE=FQ","FILING_STATUS=OR","EQY_CONSOLIDATED=Y","Sort=A","Dates=H","DateFormat=P","Fill=—","Direction=H","UseDPDF=Y")</f>
        <v>#NAME?</v>
      </c>
      <c r="BY284" s="2" t="e">
        <f ca="1">_xll.BDH($C$278,"SHORT_AND_LONG_TERM_DEBT","FQ1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84" s="2" t="e">
        <f ca="1">_xll.BDH($C$278,"BS_ST_BORROW","FQ1 2015","FQ1 2015","Currency=INR","Period=FQ","BEST_FPERIOD_OVERRIDE=FQ","FILING_STATUS=OR","EQY_CONSOLIDATED=Y","SCALING_FORMAT=MLN","Sort=A","Dates=H","DateFormat=P","Fill=—","Direction=H","UseDPDF=Y")</f>
        <v>#NAME?</v>
      </c>
      <c r="CA284" s="2" t="e">
        <f ca="1">_xll.BDH($C$278,"BS_LT_BORROW","FQ1 2015","FQ1 2015","Currency=INR","Period=FQ","BEST_FPERIOD_OVERRIDE=FQ","FILING_STATUS=OR","EQY_CONSOLIDATED=Y","SCALING_FORMAT=MLN","Sort=A","Dates=H","DateFormat=P","Fill=—","Direction=H","UseDPDF=Y")</f>
        <v>#NAME?</v>
      </c>
      <c r="CB284" s="1" t="e">
        <f ca="1">_xll.BDH($C$278,"TOT_DEBT_TO_EBITDA","FQ1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84" s="1" t="e">
        <f ca="1">_xll.BDH($C$278,"NET_DEBT_TO_EBITDA","FQ1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84" s="1" t="e">
        <f ca="1">_xll.BDH($C$278,"TOTAL_DEBT_TO_EBIT","FQ1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84" s="1" t="e">
        <f ca="1">_xll.BDH($C$278,"NET_DEBT_TO_EBIT","FQ1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284" s="1" t="e">
        <f ca="1">_xll.BDH($C$278,"EBITDA_TO_INTEREST_EXPN","FQ1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84" s="1" t="e">
        <f ca="1">_xll.BDH($C$278,"COM_EQY_TO_TOT_ASSET","FQ1 2015","FQ1 2015","Currency=INR","Period=FQ","BEST_FPERIOD_OVERRIDE=FQ","FILING_STATUS=OR","EQY_CONSOLIDATED=Y","Sort=A","Dates=H","DateFormat=P","Fill=—","Direction=H","UseDPDF=Y")</f>
        <v>#NAME?</v>
      </c>
      <c r="CH284" s="1" t="e">
        <f ca="1">_xll.BDH($C$278,"LT_DEBT_TO_TOT_EQY","FQ1 2015","FQ1 2015","Currency=INR","Period=FQ","BEST_FPERIOD_OVERRIDE=FQ","FILING_STATUS=OR","EQY_CONSOLIDATED=Y","Sort=A","Dates=H","DateFormat=P","Fill=—","Direction=H","UseDPDF=Y")</f>
        <v>#NAME?</v>
      </c>
      <c r="CI284" s="1" t="e">
        <f ca="1">_xll.BDH($C$278,"LT_DEBT_TO_TOT_CAP","FQ1 2015","FQ1 2015","Currency=INR","Period=FQ","BEST_FPERIOD_OVERRIDE=FQ","FILING_STATUS=OR","EQY_CONSOLIDATED=Y","Sort=A","Dates=H","DateFormat=P","Fill=—","Direction=H","UseDPDF=Y")</f>
        <v>#NAME?</v>
      </c>
      <c r="CJ284" s="1" t="e">
        <f ca="1">_xll.BDH($C$278,"LT_DEBT_TO_TOT_ASSET","FQ1 2015","FQ1 2015","Currency=INR","Period=FQ","BEST_FPERIOD_OVERRIDE=FQ","FILING_STATUS=OR","EQY_CONSOLIDATED=Y","Sort=A","Dates=H","DateFormat=P","Fill=—","Direction=H","UseDPDF=Y")</f>
        <v>#NAME?</v>
      </c>
      <c r="CK284" s="1" t="e">
        <f ca="1">_xll.BDH($C$278,"TOT_DEBT_TO_TOT_EQY","FQ1 2015","FQ1 2015","Currency=INR","Period=FQ","BEST_FPERIOD_OVERRIDE=FQ","FILING_STATUS=OR","EQY_CONSOLIDATED=Y","Sort=A","Dates=H","DateFormat=P","Fill=—","Direction=H","UseDPDF=Y")</f>
        <v>#NAME?</v>
      </c>
      <c r="CL284" s="1" t="e">
        <f ca="1">_xll.BDH($C$278,"TOT_DEBT_TO_TOT_CAP","FQ1 2015","FQ1 2015","Currency=INR","Period=FQ","BEST_FPERIOD_OVERRIDE=FQ","FILING_STATUS=OR","EQY_CONSOLIDATED=Y","Sort=A","Dates=H","DateFormat=P","Fill=—","Direction=H","UseDPDF=Y")</f>
        <v>#NAME?</v>
      </c>
      <c r="CM284" s="1" t="e">
        <f ca="1">_xll.BDH($C$278,"TOT_DEBT_TO_TOT_ASSET","FQ1 2015","FQ1 2015","Currency=INR","Period=FQ","BEST_FPERIOD_OVERRIDE=FQ","FILING_STATUS=OR","EQY_CONSOLIDATED=Y","Sort=A","Dates=H","DateFormat=P","Fill=—","Direction=H","UseDPDF=Y")</f>
        <v>#NAME?</v>
      </c>
      <c r="CN284" s="1" t="e">
        <f ca="1">_xll.BDH($C$278,"NET_DEBT_TO_SHRHLDR_EQTY","FQ1 2015","FQ1 2015","Currency=INR","Period=FQ","BEST_FPERIOD_OVERRIDE=FQ","FILING_STATUS=OR","EQY_CONSOLIDATED=Y","Sort=A","Dates=H","DateFormat=P","Fill=—","Direction=H","UseDPDF=Y")</f>
        <v>#NAME?</v>
      </c>
      <c r="CO284" s="1" t="e">
        <f ca="1">_xll.BDH($C$278,"NET_DEBT_%_CAPITAL","FQ1 2015","FQ1 2015","Currency=INR","Period=FQ","BEST_FPERIOD_OVERRIDE=FQ","FILING_STATUS=OR","EQY_CONSOLIDATED=Y","Sort=A","Dates=H","DateFormat=P","Fill=—","Direction=H","UseDPDF=Y")</f>
        <v>#NAME?</v>
      </c>
      <c r="CP284" s="2" t="e">
        <f ca="1">_xll.BDH($C$278,"EBITDA","FQ1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84" s="2" t="e">
        <f ca="1">_xll.BDH($C$278,"EBITDA_AFTER_CAPEX","FQ1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84" s="2" t="e">
        <f ca="1">_xll.BDH($C$278,"IS_OPER_INC","FQ1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84" s="1" t="e">
        <f ca="1">_xll.BDH($C$278,"CASH_RATIO","FQ1 2015","FQ1 2015","Currency=INR","Period=FQ","BEST_FPERIOD_OVERRIDE=FQ","FILING_STATUS=OR","EQY_CONSOLIDATED=Y","Sort=A","Dates=H","DateFormat=P","Fill=—","Direction=H","UseDPDF=Y")</f>
        <v>#NAME?</v>
      </c>
      <c r="CT284" s="1" t="e">
        <f ca="1">_xll.BDH($C$278,"CUR_RATIO","FQ1 2015","FQ1 2015","Currency=INR","Period=FQ","BEST_FPERIOD_OVERRIDE=FQ","FILING_STATUS=OR","EQY_CONSOLIDATED=Y","Sort=A","Dates=H","DateFormat=P","Fill=—","Direction=H","UseDPDF=Y")</f>
        <v>#NAME?</v>
      </c>
      <c r="CU284" s="1" t="e">
        <f ca="1">_xll.BDH($C$278,"QUICK_RATIO","FQ1 2015","FQ1 2015","Currency=INR","Period=FQ","BEST_FPERIOD_OVERRIDE=FQ","FILING_STATUS=OR","EQY_CONSOLIDATED=Y","Sort=A","Dates=H","DateFormat=P","Fill=—","Direction=H","UseDPDF=Y")</f>
        <v>#NAME?</v>
      </c>
      <c r="CV284" s="1" t="e">
        <f ca="1">_xll.BDH($C$278,"ALTMAN_Z_SCORE","FQ1 2015","FQ1 2015","Currency=INR","Period=FQ","BEST_FPERIOD_OVERRIDE=FQ","FILING_STATUS=OR","EQY_CONSOLIDATED=Y","Sort=A","Dates=H","DateFormat=P","Fill=—","Direction=H","UseDPDF=Y")</f>
        <v>#NAME?</v>
      </c>
      <c r="CW284" s="3" t="e">
        <f ca="1">_xll.BDH($C$278,"ACCT_RCV_TURN","FQ1 2015","FQ1 2015","Currency=INR","Period=FQ","BEST_FPERIOD_OVERRIDE=FQ","FILING_STATUS=OR","EQY_CONSOLIDATED=Y","FA_ADJUSTED=GAAP","Sort=A","Dates=H","DateFormat=P","Fill=—","Direction=H","UseDPDF=Y")</f>
        <v>#NAME?</v>
      </c>
      <c r="CX284" s="1" t="e">
        <f ca="1">_xll.BDH($C$278,"ACCT_RCV_DAYS","FQ1 2015","FQ1 2015","Currency=INR","Period=FQ","BEST_FPERIOD_OVERRIDE=FQ","FILING_STATUS=OR","EQY_CONSOLIDATED=Y","FA_ADJUSTED=GAAP","Sort=A","Dates=H","DateFormat=P","Fill=—","Direction=H","UseDPDF=Y")</f>
        <v>#NAME?</v>
      </c>
      <c r="CY284" s="3" t="e">
        <f ca="1">_xll.BDH($C$278,"INVENT_TURN","FQ1 2015","FQ1 2015","Currency=INR","Period=FQ","BEST_FPERIOD_OVERRIDE=FQ","FILING_STATUS=OR","EQY_CONSOLIDATED=Y","FA_ADJUSTED=GAAP","Sort=A","Dates=H","DateFormat=P","Fill=—","Direction=H","UseDPDF=Y")</f>
        <v>#NAME?</v>
      </c>
      <c r="CZ284" s="1" t="e">
        <f ca="1">_xll.BDH($C$278,"INVENT_DAYS","FQ1 2015","FQ1 2015","Currency=INR","Period=FQ","BEST_FPERIOD_OVERRIDE=FQ","FILING_STATUS=OR","EQY_CONSOLIDATED=Y","FA_ADJUSTED=GAAP","Sort=A","Dates=H","DateFormat=P","Fill=—","Direction=H","UseDPDF=Y")</f>
        <v>#NAME?</v>
      </c>
      <c r="DA284" s="3" t="e">
        <f ca="1">_xll.BDH($C$278,"ACCOUNTS_PAYABLE_TURNOVER","FQ1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84" s="1" t="e">
        <f ca="1">_xll.BDH($C$278,"ACCOUNTS_PAYABLE_TURNOVER_DAYS","FQ1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84" s="3" t="e">
        <f ca="1">_xll.BDH($C$278,"CASH_CONVERSION_CYCLE","FQ1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84" s="3" t="e">
        <f ca="1">_xll.BDH($C$278,"INV_TO_CASH_DAYS","FQ1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284" s="4" t="e">
        <f ca="1">_xll.BDH($C$278,"BS_INVENTORIES","FQ1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284" s="2" t="e">
        <f ca="1">_xll.BDH($C$278,"INVTRY_RAW_MATERIALS","FQ1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84" s="2" t="e">
        <f ca="1">_xll.BDH($C$278,"INVTRY_IN_PROGRESS","FQ1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84" s="2" t="e">
        <f ca="1">_xll.BDH($C$278,"INVTRY_FINISHED_GOODS","FQ1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84" s="2" t="e">
        <f ca="1">_xll.BDH($C$278,"BS_OTHER_INV","FQ1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85" spans="1:113" x14ac:dyDescent="0.3">
      <c r="A285" s="6"/>
      <c r="B285" s="6"/>
      <c r="C285" s="6"/>
      <c r="D285" s="6"/>
      <c r="E285" t="s">
        <v>5</v>
      </c>
      <c r="F285" t="e">
        <f ca="1">_xll.BDH($C$278,"RETURN_COM_EQY","FQ2 2015","FQ2 2015","Currency=INR","Period=FQ","BEST_FPERIOD_OVERRIDE=FQ","FILING_STATUS=OR","EQY_CONSOLIDATED=Y","FA_ADJUSTED=GAAP","Sort=A","Dates=H","DateFormat=P","Fill=—","Direction=H","UseDPDF=Y")</f>
        <v>#NAME?</v>
      </c>
      <c r="G285" t="e">
        <f ca="1">_xll.BDH($C$278,"RETURN_ON_ASSET","FQ2 2015","FQ2 2015","Currency=INR","Period=FQ","BEST_FPERIOD_OVERRIDE=FQ","FILING_STATUS=OR","EQY_CONSOLIDATED=Y","FA_ADJUSTED=GAAP","Sort=A","Dates=H","DateFormat=P","Fill=—","Direction=H","UseDPDF=Y")</f>
        <v>#NAME?</v>
      </c>
      <c r="H285" t="e">
        <f ca="1">_xll.BDH($C$278,"RETURN_ON_CAP","FQ2 2015","FQ2 2015","Currency=INR","Period=FQ","BEST_FPERIOD_OVERRIDE=FQ","FILING_STATUS=OR","EQY_CONSOLIDATED=Y","FA_ADJUSTED=GAAP","Sort=A","Dates=H","DateFormat=P","Fill=—","Direction=H","UseDPDF=Y")</f>
        <v>#NAME?</v>
      </c>
      <c r="I285" t="e">
        <f ca="1">_xll.BDH($C$278,"RETURN_ON_INV_CAPITAL","FQ2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85" t="e">
        <f ca="1">_xll.BDH($C$278,"EBITDA_TO_REVENUE","FQ2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285" t="e">
        <f ca="1">_xll.BDH($C$278,"OPER_MARGIN","FQ2 2015","FQ2 2015","Currency=INR","Period=FQ","BEST_FPERIOD_OVERRIDE=FQ","FILING_STATUS=OR","EQY_CONSOLIDATED=Y","FA_ADJUSTED=GAAP","Sort=A","Dates=H","DateFormat=P","Fill=—","Direction=H","UseDPDF=Y")</f>
        <v>#NAME?</v>
      </c>
      <c r="L285" t="e">
        <f ca="1">_xll.BDH($C$278,"INCREMENTAL_OPERATING_MARGIN","FQ2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85" t="e">
        <f ca="1">_xll.BDH($C$278,"PRETAX_INC_TO_NET_SALES","FQ2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85" t="e">
        <f ca="1">_xll.BDH($C$278,"INC_BEF_XO_ITEMS_TO_NET_SALES","FQ2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85" t="e">
        <f ca="1">_xll.BDH($C$278,"PROF_MARGIN","FQ2 2015","FQ2 2015","Currency=INR","Period=FQ","BEST_FPERIOD_OVERRIDE=FQ","FILING_STATUS=OR","EQY_CONSOLIDATED=Y","FA_ADJUSTED=GAAP","Sort=A","Dates=H","DateFormat=P","Fill=—","Direction=H","UseDPDF=Y")</f>
        <v>#NAME?</v>
      </c>
      <c r="P285" t="e">
        <f ca="1">_xll.BDH($C$278,"NET_INCOME_TO_COMMON_MARGIN","FQ2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85" t="e">
        <f ca="1">_xll.BDH($C$278,"EFF_TAX_RATE","FQ2 2015","FQ2 2015","Currency=INR","Period=FQ","BEST_FPERIOD_OVERRIDE=FQ","FILING_STATUS=OR","EQY_CONSOLIDATED=Y","FA_ADJUSTED=GAAP","Sort=A","Dates=H","DateFormat=P","Fill=—","Direction=H","UseDPDF=Y")</f>
        <v>#NAME?</v>
      </c>
      <c r="R285" t="e">
        <f ca="1">_xll.BDH($C$278,"DVD_PAYOUT_RATIO","FQ2 2015","FQ2 2015","Currency=INR","Period=FQ","BEST_FPERIOD_OVERRIDE=FQ","FILING_STATUS=OR","EQY_CONSOLIDATED=Y","FA_ADJUSTED=GAAP","Sort=A","Dates=H","DateFormat=P","Fill=—","Direction=H","UseDPDF=Y")</f>
        <v>#NAME?</v>
      </c>
      <c r="S285" t="e">
        <f ca="1">_xll.BDH($C$278,"SUSTAIN_GROWTH_RT","FQ2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285" s="1" t="e">
        <f ca="1">_xll.BDH($C$278,"SALES_GROWTH","FQ2 2015","FQ2 2015","Currency=INR","Period=FQ","BEST_FPERIOD_OVERRIDE=FQ","FILING_STATUS=OR","EQY_CONSOLIDATED=Y","FA_ADJUSTED=GAAP","Sort=A","Dates=H","DateFormat=P","Fill=—","Direction=H","UseDPDF=Y")</f>
        <v>#NAME?</v>
      </c>
      <c r="U285" s="1" t="e">
        <f ca="1">_xll.BDH($C$278,"EBITDA_GROWTH","FQ2 2015","FQ2 2015","Currency=INR","Period=FQ","BEST_FPERIOD_OVERRIDE=FQ","FILING_STATUS=OR","EQY_CONSOLIDATED=Y","FA_ADJUSTED=GAAP","Sort=A","Dates=H","DateFormat=P","Fill=—","Direction=H","UseDPDF=Y")</f>
        <v>#NAME?</v>
      </c>
      <c r="V285" s="1" t="e">
        <f ca="1">_xll.BDH($C$278,"OPER_INC_GROWTH","FQ2 2015","FQ2 2015","Currency=INR","Period=FQ","BEST_FPERIOD_OVERRIDE=FQ","FILING_STATUS=OR","EQY_CONSOLIDATED=Y","FA_ADJUSTED=GAAP","Sort=A","Dates=H","DateFormat=P","Fill=—","Direction=H","UseDPDF=Y")</f>
        <v>#NAME?</v>
      </c>
      <c r="W285" s="1" t="e">
        <f ca="1">_xll.BDH($C$278,"EARN_FOR_COM_GROWTH","FQ2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85" s="1" t="e">
        <f ca="1">_xll.BDH($C$278,"DILUTED_EPS_AFT_XO_ITEMS_GROWTH","FQ2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85" s="1" t="e">
        <f ca="1">_xll.BDH($C$278,"DIVIDEND_PER_SHARE_1_YEAR_GROWTH","FQ2 2015","FQ2 2015","Currency=INR","Period=FQ","BEST_FPERIOD_OVERRIDE=FQ","FILING_STATUS=OR","EQY_CONSOLIDATED=Y","Sort=A","Dates=H","DateFormat=P","Fill=—","Direction=H","UseDPDF=Y")</f>
        <v>#NAME?</v>
      </c>
      <c r="Z285" s="1" t="e">
        <f ca="1">_xll.BDH($C$278,"ACCOUNTS_RECEIVABLE_GROWTH","FQ2 2015","FQ2 2015","Currency=INR","Period=FQ","BEST_FPERIOD_OVERRIDE=FQ","FILING_STATUS=OR","EQY_CONSOLIDATED=Y","Sort=A","Dates=H","DateFormat=P","Fill=—","Direction=H","UseDPDF=Y")</f>
        <v>#NAME?</v>
      </c>
      <c r="AA285" s="1" t="e">
        <f ca="1">_xll.BDH($C$278,"INVENTORY_GROWTH","FQ2 2015","FQ2 2015","Currency=INR","Period=FQ","BEST_FPERIOD_OVERRIDE=FQ","FILING_STATUS=OR","EQY_CONSOLIDATED=Y","Sort=A","Dates=H","DateFormat=P","Fill=—","Direction=H","UseDPDF=Y")</f>
        <v>#NAME?</v>
      </c>
      <c r="AB285" s="1" t="e">
        <f ca="1">_xll.BDH($C$278,"NET_FIXED_ASSETS_1_YEAR_GROWTH","FQ2 2015","FQ2 2015","Currency=INR","Period=FQ","BEST_FPERIOD_OVERRIDE=FQ","FILING_STATUS=OR","EQY_CONSOLIDATED=Y","Sort=A","Dates=H","DateFormat=P","Fill=—","Direction=H","UseDPDF=Y")</f>
        <v>#NAME?</v>
      </c>
      <c r="AC285" s="1" t="e">
        <f ca="1">_xll.BDH($C$278,"ASSET_GROWTH","FQ2 2015","FQ2 2015","Currency=INR","Period=FQ","BEST_FPERIOD_OVERRIDE=FQ","FILING_STATUS=OR","EQY_CONSOLIDATED=Y","Sort=A","Dates=H","DateFormat=P","Fill=—","Direction=H","UseDPDF=Y")</f>
        <v>#NAME?</v>
      </c>
      <c r="AD285" s="1" t="e">
        <f ca="1">_xll.BDH($C$278,"MODIFIED_WORK_CAP_GROWTH","FQ2 2015","FQ2 2015","Currency=INR","Period=FQ","BEST_FPERIOD_OVERRIDE=FQ","FILING_STATUS=OR","EQY_CONSOLIDATED=Y","Sort=A","Dates=H","DateFormat=P","Fill=—","Direction=H","UseDPDF=Y")</f>
        <v>#NAME?</v>
      </c>
      <c r="AE285" s="1" t="e">
        <f ca="1">_xll.BDH($C$278,"WORK_CAP_GROWTH","FQ2 2015","FQ2 2015","Currency=INR","Period=FQ","BEST_FPERIOD_OVERRIDE=FQ","FILING_STATUS=OR","EQY_CONSOLIDATED=Y","Sort=A","Dates=H","DateFormat=P","Fill=—","Direction=H","UseDPDF=Y")</f>
        <v>#NAME?</v>
      </c>
      <c r="AF285" s="1" t="e">
        <f ca="1">_xll.BDH($C$278,"ACCOUNTS_PAYABLE_GROWTH_1YR","FQ2 2015","FQ2 2015","Currency=INR","Period=FQ","BEST_FPERIOD_OVERRIDE=FQ","FILING_STATUS=OR","EQY_CONSOLIDATED=Y","Sort=A","Dates=H","DateFormat=P","Fill=—","Direction=H","UseDPDF=Y")</f>
        <v>#NAME?</v>
      </c>
      <c r="AG285" s="1" t="e">
        <f ca="1">_xll.BDH($C$278,"SHORT_TERM_DEBT_1_YEAR_GROWTH","FQ2 2015","FQ2 2015","Currency=INR","Period=FQ","BEST_FPERIOD_OVERRIDE=FQ","FILING_STATUS=OR","EQY_CONSOLIDATED=Y","Sort=A","Dates=H","DateFormat=P","Fill=—","Direction=H","UseDPDF=Y")</f>
        <v>#NAME?</v>
      </c>
      <c r="AH285" s="1" t="e">
        <f ca="1">_xll.BDH($C$278,"TOTAL_DEBT_1_YEAR_GROWTH","FQ2 2015","FQ2 2015","Currency=INR","Period=FQ","BEST_FPERIOD_OVERRIDE=FQ","FILING_STATUS=OR","EQY_CONSOLIDATED=Y","Sort=A","Dates=H","DateFormat=P","Fill=—","Direction=H","UseDPDF=Y")</f>
        <v>#NAME?</v>
      </c>
      <c r="AI285" s="1" t="e">
        <f ca="1">_xll.BDH($C$278,"TOTAL_EQUITY_1_YEAR_GROWTH","FQ2 2015","FQ2 2015","Currency=INR","Period=FQ","BEST_FPERIOD_OVERRIDE=FQ","FILING_STATUS=OR","EQY_CONSOLIDATED=Y","Sort=A","Dates=H","DateFormat=P","Fill=—","Direction=H","UseDPDF=Y")</f>
        <v>#NAME?</v>
      </c>
      <c r="AJ285" s="1" t="e">
        <f ca="1">_xll.BDH($C$278,"GROWTH_IN_CAP","FQ2 2015","FQ2 2015","Currency=INR","Period=FQ","BEST_FPERIOD_OVERRIDE=FQ","FILING_STATUS=OR","EQY_CONSOLIDATED=Y","Sort=A","Dates=H","DateFormat=P","Fill=—","Direction=H","UseDPDF=Y")</f>
        <v>#NAME?</v>
      </c>
      <c r="AK285" s="1" t="e">
        <f ca="1">_xll.BDH($C$278,"BVPS_GROWTH","FQ2 2015","FQ2 2015","Currency=INR","Period=FQ","BEST_FPERIOD_OVERRIDE=FQ","FILING_STATUS=OR","EQY_CONSOLIDATED=Y","Sort=A","Dates=H","DateFormat=P","Fill=—","Direction=H","UseDPDF=Y")</f>
        <v>#NAME?</v>
      </c>
      <c r="AL285" s="1" t="e">
        <f ca="1">_xll.BDH($C$278,"CASH_FLOW_GROWTH","FQ2 2015","FQ2 2015","Currency=INR","Period=FQ","BEST_FPERIOD_OVERRIDE=FQ","FILING_STATUS=OR","EQY_CONSOLIDATED=Y","Sort=A","Dates=H","DateFormat=P","Fill=—","Direction=H","UseDPDF=Y")</f>
        <v>#NAME?</v>
      </c>
      <c r="AM285" s="1" t="e">
        <f ca="1">_xll.BDH($C$278,"GEO_GROW_NET_SALES","FQ2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85" s="1" t="e">
        <f ca="1">_xll.BDH($C$278,"GEO_GROW_EBITDA","FQ2 2015","FQ2 2015","Currency=INR","Period=FQ","BEST_FPERIOD_OVERRIDE=FQ","FILING_STATUS=OR","EQY_CONSOLIDATED=Y","FA_ADJUSTED=GAAP","Sort=A","Dates=H","DateFormat=P","Fill=—","Direction=H","UseDPDF=Y")</f>
        <v>#NAME?</v>
      </c>
      <c r="AO285" s="1" t="e">
        <f ca="1">_xll.BDH($C$278,"GEO_GROW_OPER_INC","FQ2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85" s="1" t="e">
        <f ca="1">_xll.BDH($C$278,"NET_INCOME_TO_COMMON_5_YR_GROWTH","FQ2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85" s="1" t="e">
        <f ca="1">_xll.BDH($C$278,"5Y_GEO_GROWTH_DILUTED_EPS","FQ2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85" s="1" t="e">
        <f ca="1">_xll.BDH($C$278,"GEO_GROW_DVD_PER_SH","FQ2 2015","FQ2 2015","Currency=INR","Period=FQ","BEST_FPERIOD_OVERRIDE=FQ","FILING_STATUS=OR","EQY_CONSOLIDATED=Y","Sort=A","Dates=H","DateFormat=P","Fill=—","Direction=H","UseDPDF=Y")</f>
        <v>#NAME?</v>
      </c>
      <c r="AS285" s="1" t="e">
        <f ca="1">_xll.BDH($C$278,"ACCOUNTS_RECEIVABLE_5_YR_GROWTH","FQ2 2015","FQ2 2015","Currency=INR","Period=FQ","BEST_FPERIOD_OVERRIDE=FQ","FILING_STATUS=OR","EQY_CONSOLIDATED=Y","Sort=A","Dates=H","DateFormat=P","Fill=—","Direction=H","UseDPDF=Y")</f>
        <v>#NAME?</v>
      </c>
      <c r="AT285" s="1" t="e">
        <f ca="1">_xll.BDH($C$278,"INVENTORY_5_YEAR_GROWTH","FQ2 2015","FQ2 2015","Currency=INR","Period=FQ","BEST_FPERIOD_OVERRIDE=FQ","FILING_STATUS=OR","EQY_CONSOLIDATED=Y","Sort=A","Dates=H","DateFormat=P","Fill=—","Direction=H","UseDPDF=Y")</f>
        <v>#NAME?</v>
      </c>
      <c r="AU285" s="1" t="e">
        <f ca="1">_xll.BDH($C$278,"NET_FIXED_ASSETS_5_YEAR_GROWTH","FQ2 2015","FQ2 2015","Currency=INR","Period=FQ","BEST_FPERIOD_OVERRIDE=FQ","FILING_STATUS=OR","EQY_CONSOLIDATED=Y","Sort=A","Dates=H","DateFormat=P","Fill=—","Direction=H","UseDPDF=Y")</f>
        <v>#NAME?</v>
      </c>
      <c r="AV285" s="1" t="e">
        <f ca="1">_xll.BDH($C$278,"GEO_GROW_TOT_ASSET","FQ2 2015","FQ2 2015","Currency=INR","Period=FQ","BEST_FPERIOD_OVERRIDE=FQ","FILING_STATUS=OR","EQY_CONSOLIDATED=Y","Sort=A","Dates=H","DateFormat=P","Fill=—","Direction=H","UseDPDF=Y")</f>
        <v>#NAME?</v>
      </c>
      <c r="AW285" s="1" t="e">
        <f ca="1">_xll.BDH($C$278,"MODIFIED_WORKING_CPTL_5YR_GRWTH","FQ2 2015","FQ2 2015","Currency=INR","Period=FQ","BEST_FPERIOD_OVERRIDE=FQ","FILING_STATUS=OR","EQY_CONSOLIDATED=Y","Sort=A","Dates=H","DateFormat=P","Fill=—","Direction=H","UseDPDF=Y")</f>
        <v>#NAME?</v>
      </c>
      <c r="AX285" s="1" t="e">
        <f ca="1">_xll.BDH($C$278,"WORKING_CAPITAL_5_YEAR_GROWTH","FQ2 2015","FQ2 2015","Currency=INR","Period=FQ","BEST_FPERIOD_OVERRIDE=FQ","FILING_STATUS=OR","EQY_CONSOLIDATED=Y","Sort=A","Dates=H","DateFormat=P","Fill=—","Direction=H","UseDPDF=Y")</f>
        <v>#NAME?</v>
      </c>
      <c r="AY285" s="1" t="e">
        <f ca="1">_xll.BDH($C$278,"ACCOUNTS_PAYABLE_5_YEAR_GROWTH","FQ2 2015","FQ2 2015","Currency=INR","Period=FQ","BEST_FPERIOD_OVERRIDE=FQ","FILING_STATUS=OR","EQY_CONSOLIDATED=Y","Sort=A","Dates=H","DateFormat=P","Fill=—","Direction=H","UseDPDF=Y")</f>
        <v>#NAME?</v>
      </c>
      <c r="AZ285" s="1" t="e">
        <f ca="1">_xll.BDH($C$278,"SHORT_TERM_DEBT_5_YEAR_GROWTH","FQ2 2015","FQ2 2015","Currency=INR","Period=FQ","BEST_FPERIOD_OVERRIDE=FQ","FILING_STATUS=OR","EQY_CONSOLIDATED=Y","Sort=A","Dates=H","DateFormat=P","Fill=—","Direction=H","UseDPDF=Y")</f>
        <v>#NAME?</v>
      </c>
      <c r="BA285" s="1" t="e">
        <f ca="1">_xll.BDH($C$278,"TOTAL_DEBT_5_YEAR_GROWTH","FQ2 2015","FQ2 2015","Currency=INR","Period=FQ","BEST_FPERIOD_OVERRIDE=FQ","FILING_STATUS=OR","EQY_CONSOLIDATED=Y","Sort=A","Dates=H","DateFormat=P","Fill=—","Direction=H","UseDPDF=Y")</f>
        <v>#NAME?</v>
      </c>
      <c r="BB285" s="1" t="e">
        <f ca="1">_xll.BDH($C$278,"GEO_GROW_TOT_SHRHLDR_EQY","FQ2 2015","FQ2 2015","Currency=INR","Period=FQ","BEST_FPERIOD_OVERRIDE=FQ","FILING_STATUS=OR","EQY_CONSOLIDATED=Y","Sort=A","Dates=H","DateFormat=P","Fill=—","Direction=H","UseDPDF=Y")</f>
        <v>#NAME?</v>
      </c>
      <c r="BC285" s="1" t="e">
        <f ca="1">_xll.BDH($C$278,"TOTAL_CAPITAL_5_YEAR_GROWTH","FQ2 2015","FQ2 2015","Currency=INR","Period=FQ","BEST_FPERIOD_OVERRIDE=FQ","FILING_STATUS=OR","EQY_CONSOLIDATED=Y","Sort=A","Dates=H","DateFormat=P","Fill=—","Direction=H","UseDPDF=Y")</f>
        <v>#NAME?</v>
      </c>
      <c r="BD285" s="1" t="e">
        <f ca="1">_xll.BDH($C$278,"GEO_GROW_BOOK_VAL","FQ2 2015","FQ2 2015","Currency=INR","Period=FQ","BEST_FPERIOD_OVERRIDE=FQ","FILING_STATUS=OR","EQY_CONSOLIDATED=Y","Sort=A","Dates=H","DateFormat=P","Fill=—","Direction=H","UseDPDF=Y")</f>
        <v>#NAME?</v>
      </c>
      <c r="BE285" s="1" t="e">
        <f ca="1">_xll.BDH($C$278,"GEO_GROW_CASH_OPER_ACT","FQ2 2015","FQ2 2015","Currency=INR","Period=FQ","BEST_FPERIOD_OVERRIDE=FQ","FILING_STATUS=OR","EQY_CONSOLIDATED=Y","Sort=A","Dates=H","DateFormat=P","Fill=—","Direction=H","UseDPDF=Y")</f>
        <v>#NAME?</v>
      </c>
      <c r="BF285" s="1" t="e">
        <f ca="1">_xll.BDH($C$278,"REVENUE_SEQUENTIAL_GROWTH","FQ2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85" s="1" t="e">
        <f ca="1">_xll.BDH($C$278,"EBITDA_SEQUENTIAL_GROWTH","FQ2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85" s="1" t="e">
        <f ca="1">_xll.BDH($C$278,"OPERATING_INCOME_SEQ_GROWTH","FQ2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85" s="1" t="e">
        <f ca="1">_xll.BDH($C$278,"NET_INCOME_TO_COMMON_SEQ_GROWTH","FQ2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85" s="1" t="e">
        <f ca="1">_xll.BDH($C$278,"EPS_DILUTED_SEQUENTIAL_GROWTH","FQ2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85" s="1" t="e">
        <f ca="1">_xll.BDH($C$278,"DPS_SEQUENTIAL_GROWTH","FQ2 2015","FQ2 2015","Currency=INR","Period=FQ","BEST_FPERIOD_OVERRIDE=FQ","FILING_STATUS=OR","EQY_CONSOLIDATED=Y","Sort=A","Dates=H","DateFormat=P","Fill=—","Direction=H","UseDPDF=Y")</f>
        <v>#NAME?</v>
      </c>
      <c r="BL285" s="1" t="e">
        <f ca="1">_xll.BDH($C$278,"ACCOUNTS_RECEIVABLE_SEQ_GROWTH","FQ2 2015","FQ2 2015","Currency=INR","Period=FQ","BEST_FPERIOD_OVERRIDE=FQ","FILING_STATUS=OR","EQY_CONSOLIDATED=Y","Sort=A","Dates=H","DateFormat=P","Fill=—","Direction=H","UseDPDF=Y")</f>
        <v>#NAME?</v>
      </c>
      <c r="BM285" s="1" t="e">
        <f ca="1">_xll.BDH($C$278,"INVENTORY_SEQUENTIAL_GROWTH","FQ2 2015","FQ2 2015","Currency=INR","Period=FQ","BEST_FPERIOD_OVERRIDE=FQ","FILING_STATUS=OR","EQY_CONSOLIDATED=Y","Sort=A","Dates=H","DateFormat=P","Fill=—","Direction=H","UseDPDF=Y")</f>
        <v>#NAME?</v>
      </c>
      <c r="BN285" s="1" t="e">
        <f ca="1">_xll.BDH($C$278,"FIXED_ASSETS_SEQUENTIAL_GROWTH","FQ2 2015","FQ2 2015","Currency=INR","Period=FQ","BEST_FPERIOD_OVERRIDE=FQ","FILING_STATUS=OR","EQY_CONSOLIDATED=Y","Sort=A","Dates=H","DateFormat=P","Fill=—","Direction=H","UseDPDF=Y")</f>
        <v>#NAME?</v>
      </c>
      <c r="BO285" s="1" t="e">
        <f ca="1">_xll.BDH($C$278,"TOTAL_ASSETS_SEQUENTIAL_GROWTH","FQ2 2015","FQ2 2015","Currency=INR","Period=FQ","BEST_FPERIOD_OVERRIDE=FQ","FILING_STATUS=OR","EQY_CONSOLIDATED=Y","Sort=A","Dates=H","DateFormat=P","Fill=—","Direction=H","UseDPDF=Y")</f>
        <v>#NAME?</v>
      </c>
      <c r="BP285" s="1" t="e">
        <f ca="1">_xll.BDH($C$278,"MODIFIED_WORKING_CPTL_SEQ_GRWTH","FQ2 2015","FQ2 2015","Currency=INR","Period=FQ","BEST_FPERIOD_OVERRIDE=FQ","FILING_STATUS=OR","EQY_CONSOLIDATED=Y","Sort=A","Dates=H","DateFormat=P","Fill=—","Direction=H","UseDPDF=Y")</f>
        <v>#NAME?</v>
      </c>
      <c r="BQ285" s="1" t="e">
        <f ca="1">_xll.BDH($C$278,"WORKING_CAPITAL_SEQ_GROWTH","FQ2 2015","FQ2 2015","Currency=INR","Period=FQ","BEST_FPERIOD_OVERRIDE=FQ","FILING_STATUS=OR","EQY_CONSOLIDATED=Y","Sort=A","Dates=H","DateFormat=P","Fill=—","Direction=H","UseDPDF=Y")</f>
        <v>#NAME?</v>
      </c>
      <c r="BR285" s="1" t="e">
        <f ca="1">_xll.BDH($C$278,"ACCOUNTS_PAYABLE_SEQ_GROWTH","FQ2 2015","FQ2 2015","Currency=INR","Period=FQ","BEST_FPERIOD_OVERRIDE=FQ","FILING_STATUS=OR","EQY_CONSOLIDATED=Y","Sort=A","Dates=H","DateFormat=P","Fill=—","Direction=H","UseDPDF=Y")</f>
        <v>#NAME?</v>
      </c>
      <c r="BS285" s="1" t="e">
        <f ca="1">_xll.BDH($C$278,"ST_DEBT_SEQUENTIAL_GROWTH","FQ2 2015","FQ2 2015","Currency=INR","Period=FQ","BEST_FPERIOD_OVERRIDE=FQ","FILING_STATUS=OR","EQY_CONSOLIDATED=Y","Sort=A","Dates=H","DateFormat=P","Fill=—","Direction=H","UseDPDF=Y")</f>
        <v>#NAME?</v>
      </c>
      <c r="BT285" s="1" t="e">
        <f ca="1">_xll.BDH($C$278,"TOTAL_DEBT_SEQUENTIAL_GROWTH","FQ2 2015","FQ2 2015","Currency=INR","Period=FQ","BEST_FPERIOD_OVERRIDE=FQ","FILING_STATUS=OR","EQY_CONSOLIDATED=Y","Sort=A","Dates=H","DateFormat=P","Fill=—","Direction=H","UseDPDF=Y")</f>
        <v>#NAME?</v>
      </c>
      <c r="BU285" s="1" t="e">
        <f ca="1">_xll.BDH($C$278,"TOTAL_EQUITY_SEQUENTIAL_GROWTH","FQ2 2015","FQ2 2015","Currency=INR","Period=FQ","BEST_FPERIOD_OVERRIDE=FQ","FILING_STATUS=OR","EQY_CONSOLIDATED=Y","Sort=A","Dates=H","DateFormat=P","Fill=—","Direction=H","UseDPDF=Y")</f>
        <v>#NAME?</v>
      </c>
      <c r="BV285" s="1" t="e">
        <f ca="1">_xll.BDH($C$278,"TOTAL_CAPITAL_SEQUENTIAL_GROWTH","FQ2 2015","FQ2 2015","Currency=INR","Period=FQ","BEST_FPERIOD_OVERRIDE=FQ","FILING_STATUS=OR","EQY_CONSOLIDATED=Y","Sort=A","Dates=H","DateFormat=P","Fill=—","Direction=H","UseDPDF=Y")</f>
        <v>#NAME?</v>
      </c>
      <c r="BW285" s="1" t="e">
        <f ca="1">_xll.BDH($C$278,"BPS_SEQUENTIAL_GROWTH","FQ2 2015","FQ2 2015","Currency=INR","Period=FQ","BEST_FPERIOD_OVERRIDE=FQ","FILING_STATUS=OR","EQY_CONSOLIDATED=Y","Sort=A","Dates=H","DateFormat=P","Fill=—","Direction=H","UseDPDF=Y")</f>
        <v>#NAME?</v>
      </c>
      <c r="BX285" s="1" t="e">
        <f ca="1">_xll.BDH($C$278,"CFO_SEQUENTIAL_GROWTH","FQ2 2015","FQ2 2015","Currency=INR","Period=FQ","BEST_FPERIOD_OVERRIDE=FQ","FILING_STATUS=OR","EQY_CONSOLIDATED=Y","Sort=A","Dates=H","DateFormat=P","Fill=—","Direction=H","UseDPDF=Y")</f>
        <v>#NAME?</v>
      </c>
      <c r="BY285" s="2" t="e">
        <f ca="1">_xll.BDH($C$278,"SHORT_AND_LONG_TERM_DEBT","FQ2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85" s="2" t="e">
        <f ca="1">_xll.BDH($C$278,"BS_ST_BORROW","FQ2 2015","FQ2 2015","Currency=INR","Period=FQ","BEST_FPERIOD_OVERRIDE=FQ","FILING_STATUS=OR","EQY_CONSOLIDATED=Y","SCALING_FORMAT=MLN","Sort=A","Dates=H","DateFormat=P","Fill=—","Direction=H","UseDPDF=Y")</f>
        <v>#NAME?</v>
      </c>
      <c r="CA285" s="2" t="e">
        <f ca="1">_xll.BDH($C$278,"BS_LT_BORROW","FQ2 2015","FQ2 2015","Currency=INR","Period=FQ","BEST_FPERIOD_OVERRIDE=FQ","FILING_STATUS=OR","EQY_CONSOLIDATED=Y","SCALING_FORMAT=MLN","Sort=A","Dates=H","DateFormat=P","Fill=—","Direction=H","UseDPDF=Y")</f>
        <v>#NAME?</v>
      </c>
      <c r="CB285" s="1" t="e">
        <f ca="1">_xll.BDH($C$278,"TOT_DEBT_TO_EBITDA","FQ2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85" s="1" t="e">
        <f ca="1">_xll.BDH($C$278,"NET_DEBT_TO_EBITDA","FQ2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85" s="1" t="e">
        <f ca="1">_xll.BDH($C$278,"TOTAL_DEBT_TO_EBIT","FQ2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85" s="1" t="e">
        <f ca="1">_xll.BDH($C$278,"NET_DEBT_TO_EBIT","FQ2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285" s="1" t="e">
        <f ca="1">_xll.BDH($C$278,"EBITDA_TO_INTEREST_EXPN","FQ2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85" s="1" t="e">
        <f ca="1">_xll.BDH($C$278,"COM_EQY_TO_TOT_ASSET","FQ2 2015","FQ2 2015","Currency=INR","Period=FQ","BEST_FPERIOD_OVERRIDE=FQ","FILING_STATUS=OR","EQY_CONSOLIDATED=Y","Sort=A","Dates=H","DateFormat=P","Fill=—","Direction=H","UseDPDF=Y")</f>
        <v>#NAME?</v>
      </c>
      <c r="CH285" s="1" t="e">
        <f ca="1">_xll.BDH($C$278,"LT_DEBT_TO_TOT_EQY","FQ2 2015","FQ2 2015","Currency=INR","Period=FQ","BEST_FPERIOD_OVERRIDE=FQ","FILING_STATUS=OR","EQY_CONSOLIDATED=Y","Sort=A","Dates=H","DateFormat=P","Fill=—","Direction=H","UseDPDF=Y")</f>
        <v>#NAME?</v>
      </c>
      <c r="CI285" s="1" t="e">
        <f ca="1">_xll.BDH($C$278,"LT_DEBT_TO_TOT_CAP","FQ2 2015","FQ2 2015","Currency=INR","Period=FQ","BEST_FPERIOD_OVERRIDE=FQ","FILING_STATUS=OR","EQY_CONSOLIDATED=Y","Sort=A","Dates=H","DateFormat=P","Fill=—","Direction=H","UseDPDF=Y")</f>
        <v>#NAME?</v>
      </c>
      <c r="CJ285" s="1" t="e">
        <f ca="1">_xll.BDH($C$278,"LT_DEBT_TO_TOT_ASSET","FQ2 2015","FQ2 2015","Currency=INR","Period=FQ","BEST_FPERIOD_OVERRIDE=FQ","FILING_STATUS=OR","EQY_CONSOLIDATED=Y","Sort=A","Dates=H","DateFormat=P","Fill=—","Direction=H","UseDPDF=Y")</f>
        <v>#NAME?</v>
      </c>
      <c r="CK285" s="1" t="e">
        <f ca="1">_xll.BDH($C$278,"TOT_DEBT_TO_TOT_EQY","FQ2 2015","FQ2 2015","Currency=INR","Period=FQ","BEST_FPERIOD_OVERRIDE=FQ","FILING_STATUS=OR","EQY_CONSOLIDATED=Y","Sort=A","Dates=H","DateFormat=P","Fill=—","Direction=H","UseDPDF=Y")</f>
        <v>#NAME?</v>
      </c>
      <c r="CL285" s="1" t="e">
        <f ca="1">_xll.BDH($C$278,"TOT_DEBT_TO_TOT_CAP","FQ2 2015","FQ2 2015","Currency=INR","Period=FQ","BEST_FPERIOD_OVERRIDE=FQ","FILING_STATUS=OR","EQY_CONSOLIDATED=Y","Sort=A","Dates=H","DateFormat=P","Fill=—","Direction=H","UseDPDF=Y")</f>
        <v>#NAME?</v>
      </c>
      <c r="CM285" s="1" t="e">
        <f ca="1">_xll.BDH($C$278,"TOT_DEBT_TO_TOT_ASSET","FQ2 2015","FQ2 2015","Currency=INR","Period=FQ","BEST_FPERIOD_OVERRIDE=FQ","FILING_STATUS=OR","EQY_CONSOLIDATED=Y","Sort=A","Dates=H","DateFormat=P","Fill=—","Direction=H","UseDPDF=Y")</f>
        <v>#NAME?</v>
      </c>
      <c r="CN285" s="1" t="e">
        <f ca="1">_xll.BDH($C$278,"NET_DEBT_TO_SHRHLDR_EQTY","FQ2 2015","FQ2 2015","Currency=INR","Period=FQ","BEST_FPERIOD_OVERRIDE=FQ","FILING_STATUS=OR","EQY_CONSOLIDATED=Y","Sort=A","Dates=H","DateFormat=P","Fill=—","Direction=H","UseDPDF=Y")</f>
        <v>#NAME?</v>
      </c>
      <c r="CO285" s="1" t="e">
        <f ca="1">_xll.BDH($C$278,"NET_DEBT_%_CAPITAL","FQ2 2015","FQ2 2015","Currency=INR","Period=FQ","BEST_FPERIOD_OVERRIDE=FQ","FILING_STATUS=OR","EQY_CONSOLIDATED=Y","Sort=A","Dates=H","DateFormat=P","Fill=—","Direction=H","UseDPDF=Y")</f>
        <v>#NAME?</v>
      </c>
      <c r="CP285" s="2" t="e">
        <f ca="1">_xll.BDH($C$278,"EBITDA","FQ2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85" s="2" t="e">
        <f ca="1">_xll.BDH($C$278,"EBITDA_AFTER_CAPEX","FQ2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85" s="2" t="e">
        <f ca="1">_xll.BDH($C$278,"IS_OPER_INC","FQ2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85" s="1" t="e">
        <f ca="1">_xll.BDH($C$278,"CASH_RATIO","FQ2 2015","FQ2 2015","Currency=INR","Period=FQ","BEST_FPERIOD_OVERRIDE=FQ","FILING_STATUS=OR","EQY_CONSOLIDATED=Y","Sort=A","Dates=H","DateFormat=P","Fill=—","Direction=H","UseDPDF=Y")</f>
        <v>#NAME?</v>
      </c>
      <c r="CT285" s="1" t="e">
        <f ca="1">_xll.BDH($C$278,"CUR_RATIO","FQ2 2015","FQ2 2015","Currency=INR","Period=FQ","BEST_FPERIOD_OVERRIDE=FQ","FILING_STATUS=OR","EQY_CONSOLIDATED=Y","Sort=A","Dates=H","DateFormat=P","Fill=—","Direction=H","UseDPDF=Y")</f>
        <v>#NAME?</v>
      </c>
      <c r="CU285" s="1" t="e">
        <f ca="1">_xll.BDH($C$278,"QUICK_RATIO","FQ2 2015","FQ2 2015","Currency=INR","Period=FQ","BEST_FPERIOD_OVERRIDE=FQ","FILING_STATUS=OR","EQY_CONSOLIDATED=Y","Sort=A","Dates=H","DateFormat=P","Fill=—","Direction=H","UseDPDF=Y")</f>
        <v>#NAME?</v>
      </c>
      <c r="CV285" s="1" t="e">
        <f ca="1">_xll.BDH($C$278,"ALTMAN_Z_SCORE","FQ2 2015","FQ2 2015","Currency=INR","Period=FQ","BEST_FPERIOD_OVERRIDE=FQ","FILING_STATUS=OR","EQY_CONSOLIDATED=Y","Sort=A","Dates=H","DateFormat=P","Fill=—","Direction=H","UseDPDF=Y")</f>
        <v>#NAME?</v>
      </c>
      <c r="CW285" s="3" t="e">
        <f ca="1">_xll.BDH($C$278,"ACCT_RCV_TURN","FQ2 2015","FQ2 2015","Currency=INR","Period=FQ","BEST_FPERIOD_OVERRIDE=FQ","FILING_STATUS=OR","EQY_CONSOLIDATED=Y","FA_ADJUSTED=GAAP","Sort=A","Dates=H","DateFormat=P","Fill=—","Direction=H","UseDPDF=Y")</f>
        <v>#NAME?</v>
      </c>
      <c r="CX285" s="1" t="e">
        <f ca="1">_xll.BDH($C$278,"ACCT_RCV_DAYS","FQ2 2015","FQ2 2015","Currency=INR","Period=FQ","BEST_FPERIOD_OVERRIDE=FQ","FILING_STATUS=OR","EQY_CONSOLIDATED=Y","FA_ADJUSTED=GAAP","Sort=A","Dates=H","DateFormat=P","Fill=—","Direction=H","UseDPDF=Y")</f>
        <v>#NAME?</v>
      </c>
      <c r="CY285" s="3" t="e">
        <f ca="1">_xll.BDH($C$278,"INVENT_TURN","FQ2 2015","FQ2 2015","Currency=INR","Period=FQ","BEST_FPERIOD_OVERRIDE=FQ","FILING_STATUS=OR","EQY_CONSOLIDATED=Y","FA_ADJUSTED=GAAP","Sort=A","Dates=H","DateFormat=P","Fill=—","Direction=H","UseDPDF=Y")</f>
        <v>#NAME?</v>
      </c>
      <c r="CZ285" s="1" t="e">
        <f ca="1">_xll.BDH($C$278,"INVENT_DAYS","FQ2 2015","FQ2 2015","Currency=INR","Period=FQ","BEST_FPERIOD_OVERRIDE=FQ","FILING_STATUS=OR","EQY_CONSOLIDATED=Y","FA_ADJUSTED=GAAP","Sort=A","Dates=H","DateFormat=P","Fill=—","Direction=H","UseDPDF=Y")</f>
        <v>#NAME?</v>
      </c>
      <c r="DA285" s="3" t="e">
        <f ca="1">_xll.BDH($C$278,"ACCOUNTS_PAYABLE_TURNOVER","FQ2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85" s="1" t="e">
        <f ca="1">_xll.BDH($C$278,"ACCOUNTS_PAYABLE_TURNOVER_DAYS","FQ2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85" s="3" t="e">
        <f ca="1">_xll.BDH($C$278,"CASH_CONVERSION_CYCLE","FQ2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85" s="3" t="e">
        <f ca="1">_xll.BDH($C$278,"INV_TO_CASH_DAYS","FQ2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285" s="4" t="e">
        <f ca="1">_xll.BDH($C$278,"BS_INVENTORIES","FQ2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285" s="2" t="e">
        <f ca="1">_xll.BDH($C$278,"INVTRY_RAW_MATERIALS","FQ2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85" s="2" t="e">
        <f ca="1">_xll.BDH($C$278,"INVTRY_IN_PROGRESS","FQ2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85" s="2" t="e">
        <f ca="1">_xll.BDH($C$278,"INVTRY_FINISHED_GOODS","FQ2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85" s="2" t="e">
        <f ca="1">_xll.BDH($C$278,"BS_OTHER_INV","FQ2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86" spans="1:113" x14ac:dyDescent="0.3">
      <c r="A286" s="6"/>
      <c r="B286" s="6"/>
      <c r="C286" s="6"/>
      <c r="D286" s="6"/>
      <c r="E286" t="s">
        <v>6</v>
      </c>
      <c r="F286" t="e">
        <f ca="1">_xll.BDH($C$278,"RETURN_COM_EQY","FQ3 2015","FQ3 2015","Currency=INR","Period=FQ","BEST_FPERIOD_OVERRIDE=FQ","FILING_STATUS=OR","EQY_CONSOLIDATED=Y","FA_ADJUSTED=GAAP","Sort=A","Dates=H","DateFormat=P","Fill=—","Direction=H","UseDPDF=Y")</f>
        <v>#NAME?</v>
      </c>
      <c r="G286" t="e">
        <f ca="1">_xll.BDH($C$278,"RETURN_ON_ASSET","FQ3 2015","FQ3 2015","Currency=INR","Period=FQ","BEST_FPERIOD_OVERRIDE=FQ","FILING_STATUS=OR","EQY_CONSOLIDATED=Y","FA_ADJUSTED=GAAP","Sort=A","Dates=H","DateFormat=P","Fill=—","Direction=H","UseDPDF=Y")</f>
        <v>#NAME?</v>
      </c>
      <c r="H286" t="e">
        <f ca="1">_xll.BDH($C$278,"RETURN_ON_CAP","FQ3 2015","FQ3 2015","Currency=INR","Period=FQ","BEST_FPERIOD_OVERRIDE=FQ","FILING_STATUS=OR","EQY_CONSOLIDATED=Y","FA_ADJUSTED=GAAP","Sort=A","Dates=H","DateFormat=P","Fill=—","Direction=H","UseDPDF=Y")</f>
        <v>#NAME?</v>
      </c>
      <c r="I286" t="e">
        <f ca="1">_xll.BDH($C$278,"RETURN_ON_INV_CAPITAL","FQ3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86" t="e">
        <f ca="1">_xll.BDH($C$278,"EBITDA_TO_REVENUE","FQ3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286" t="e">
        <f ca="1">_xll.BDH($C$278,"OPER_MARGIN","FQ3 2015","FQ3 2015","Currency=INR","Period=FQ","BEST_FPERIOD_OVERRIDE=FQ","FILING_STATUS=OR","EQY_CONSOLIDATED=Y","FA_ADJUSTED=GAAP","Sort=A","Dates=H","DateFormat=P","Fill=—","Direction=H","UseDPDF=Y")</f>
        <v>#NAME?</v>
      </c>
      <c r="L286" t="e">
        <f ca="1">_xll.BDH($C$278,"INCREMENTAL_OPERATING_MARGIN","FQ3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86" t="e">
        <f ca="1">_xll.BDH($C$278,"PRETAX_INC_TO_NET_SALES","FQ3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86" t="e">
        <f ca="1">_xll.BDH($C$278,"INC_BEF_XO_ITEMS_TO_NET_SALES","FQ3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86" t="e">
        <f ca="1">_xll.BDH($C$278,"PROF_MARGIN","FQ3 2015","FQ3 2015","Currency=INR","Period=FQ","BEST_FPERIOD_OVERRIDE=FQ","FILING_STATUS=OR","EQY_CONSOLIDATED=Y","FA_ADJUSTED=GAAP","Sort=A","Dates=H","DateFormat=P","Fill=—","Direction=H","UseDPDF=Y")</f>
        <v>#NAME?</v>
      </c>
      <c r="P286" t="e">
        <f ca="1">_xll.BDH($C$278,"NET_INCOME_TO_COMMON_MARGIN","FQ3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86" t="e">
        <f ca="1">_xll.BDH($C$278,"EFF_TAX_RATE","FQ3 2015","FQ3 2015","Currency=INR","Period=FQ","BEST_FPERIOD_OVERRIDE=FQ","FILING_STATUS=OR","EQY_CONSOLIDATED=Y","FA_ADJUSTED=GAAP","Sort=A","Dates=H","DateFormat=P","Fill=—","Direction=H","UseDPDF=Y")</f>
        <v>#NAME?</v>
      </c>
      <c r="R286" t="e">
        <f ca="1">_xll.BDH($C$278,"DVD_PAYOUT_RATIO","FQ3 2015","FQ3 2015","Currency=INR","Period=FQ","BEST_FPERIOD_OVERRIDE=FQ","FILING_STATUS=OR","EQY_CONSOLIDATED=Y","FA_ADJUSTED=GAAP","Sort=A","Dates=H","DateFormat=P","Fill=—","Direction=H","UseDPDF=Y")</f>
        <v>#NAME?</v>
      </c>
      <c r="S286" t="e">
        <f ca="1">_xll.BDH($C$278,"SUSTAIN_GROWTH_RT","FQ3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286" s="1" t="e">
        <f ca="1">_xll.BDH($C$278,"SALES_GROWTH","FQ3 2015","FQ3 2015","Currency=INR","Period=FQ","BEST_FPERIOD_OVERRIDE=FQ","FILING_STATUS=OR","EQY_CONSOLIDATED=Y","FA_ADJUSTED=GAAP","Sort=A","Dates=H","DateFormat=P","Fill=—","Direction=H","UseDPDF=Y")</f>
        <v>#NAME?</v>
      </c>
      <c r="U286" s="1" t="e">
        <f ca="1">_xll.BDH($C$278,"EBITDA_GROWTH","FQ3 2015","FQ3 2015","Currency=INR","Period=FQ","BEST_FPERIOD_OVERRIDE=FQ","FILING_STATUS=OR","EQY_CONSOLIDATED=Y","FA_ADJUSTED=GAAP","Sort=A","Dates=H","DateFormat=P","Fill=—","Direction=H","UseDPDF=Y")</f>
        <v>#NAME?</v>
      </c>
      <c r="V286" s="1" t="e">
        <f ca="1">_xll.BDH($C$278,"OPER_INC_GROWTH","FQ3 2015","FQ3 2015","Currency=INR","Period=FQ","BEST_FPERIOD_OVERRIDE=FQ","FILING_STATUS=OR","EQY_CONSOLIDATED=Y","FA_ADJUSTED=GAAP","Sort=A","Dates=H","DateFormat=P","Fill=—","Direction=H","UseDPDF=Y")</f>
        <v>#NAME?</v>
      </c>
      <c r="W286" s="1" t="e">
        <f ca="1">_xll.BDH($C$278,"EARN_FOR_COM_GROWTH","FQ3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86" s="1" t="e">
        <f ca="1">_xll.BDH($C$278,"DILUTED_EPS_AFT_XO_ITEMS_GROWTH","FQ3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86" s="1" t="e">
        <f ca="1">_xll.BDH($C$278,"DIVIDEND_PER_SHARE_1_YEAR_GROWTH","FQ3 2015","FQ3 2015","Currency=INR","Period=FQ","BEST_FPERIOD_OVERRIDE=FQ","FILING_STATUS=OR","EQY_CONSOLIDATED=Y","Sort=A","Dates=H","DateFormat=P","Fill=—","Direction=H","UseDPDF=Y")</f>
        <v>#NAME?</v>
      </c>
      <c r="Z286" s="1" t="e">
        <f ca="1">_xll.BDH($C$278,"ACCOUNTS_RECEIVABLE_GROWTH","FQ3 2015","FQ3 2015","Currency=INR","Period=FQ","BEST_FPERIOD_OVERRIDE=FQ","FILING_STATUS=OR","EQY_CONSOLIDATED=Y","Sort=A","Dates=H","DateFormat=P","Fill=—","Direction=H","UseDPDF=Y")</f>
        <v>#NAME?</v>
      </c>
      <c r="AA286" s="1" t="e">
        <f ca="1">_xll.BDH($C$278,"INVENTORY_GROWTH","FQ3 2015","FQ3 2015","Currency=INR","Period=FQ","BEST_FPERIOD_OVERRIDE=FQ","FILING_STATUS=OR","EQY_CONSOLIDATED=Y","Sort=A","Dates=H","DateFormat=P","Fill=—","Direction=H","UseDPDF=Y")</f>
        <v>#NAME?</v>
      </c>
      <c r="AB286" s="1" t="e">
        <f ca="1">_xll.BDH($C$278,"NET_FIXED_ASSETS_1_YEAR_GROWTH","FQ3 2015","FQ3 2015","Currency=INR","Period=FQ","BEST_FPERIOD_OVERRIDE=FQ","FILING_STATUS=OR","EQY_CONSOLIDATED=Y","Sort=A","Dates=H","DateFormat=P","Fill=—","Direction=H","UseDPDF=Y")</f>
        <v>#NAME?</v>
      </c>
      <c r="AC286" s="1" t="e">
        <f ca="1">_xll.BDH($C$278,"ASSET_GROWTH","FQ3 2015","FQ3 2015","Currency=INR","Period=FQ","BEST_FPERIOD_OVERRIDE=FQ","FILING_STATUS=OR","EQY_CONSOLIDATED=Y","Sort=A","Dates=H","DateFormat=P","Fill=—","Direction=H","UseDPDF=Y")</f>
        <v>#NAME?</v>
      </c>
      <c r="AD286" s="1" t="e">
        <f ca="1">_xll.BDH($C$278,"MODIFIED_WORK_CAP_GROWTH","FQ3 2015","FQ3 2015","Currency=INR","Period=FQ","BEST_FPERIOD_OVERRIDE=FQ","FILING_STATUS=OR","EQY_CONSOLIDATED=Y","Sort=A","Dates=H","DateFormat=P","Fill=—","Direction=H","UseDPDF=Y")</f>
        <v>#NAME?</v>
      </c>
      <c r="AE286" s="1" t="e">
        <f ca="1">_xll.BDH($C$278,"WORK_CAP_GROWTH","FQ3 2015","FQ3 2015","Currency=INR","Period=FQ","BEST_FPERIOD_OVERRIDE=FQ","FILING_STATUS=OR","EQY_CONSOLIDATED=Y","Sort=A","Dates=H","DateFormat=P","Fill=—","Direction=H","UseDPDF=Y")</f>
        <v>#NAME?</v>
      </c>
      <c r="AF286" s="1" t="e">
        <f ca="1">_xll.BDH($C$278,"ACCOUNTS_PAYABLE_GROWTH_1YR","FQ3 2015","FQ3 2015","Currency=INR","Period=FQ","BEST_FPERIOD_OVERRIDE=FQ","FILING_STATUS=OR","EQY_CONSOLIDATED=Y","Sort=A","Dates=H","DateFormat=P","Fill=—","Direction=H","UseDPDF=Y")</f>
        <v>#NAME?</v>
      </c>
      <c r="AG286" s="1" t="e">
        <f ca="1">_xll.BDH($C$278,"SHORT_TERM_DEBT_1_YEAR_GROWTH","FQ3 2015","FQ3 2015","Currency=INR","Period=FQ","BEST_FPERIOD_OVERRIDE=FQ","FILING_STATUS=OR","EQY_CONSOLIDATED=Y","Sort=A","Dates=H","DateFormat=P","Fill=—","Direction=H","UseDPDF=Y")</f>
        <v>#NAME?</v>
      </c>
      <c r="AH286" s="1" t="e">
        <f ca="1">_xll.BDH($C$278,"TOTAL_DEBT_1_YEAR_GROWTH","FQ3 2015","FQ3 2015","Currency=INR","Period=FQ","BEST_FPERIOD_OVERRIDE=FQ","FILING_STATUS=OR","EQY_CONSOLIDATED=Y","Sort=A","Dates=H","DateFormat=P","Fill=—","Direction=H","UseDPDF=Y")</f>
        <v>#NAME?</v>
      </c>
      <c r="AI286" s="1" t="e">
        <f ca="1">_xll.BDH($C$278,"TOTAL_EQUITY_1_YEAR_GROWTH","FQ3 2015","FQ3 2015","Currency=INR","Period=FQ","BEST_FPERIOD_OVERRIDE=FQ","FILING_STATUS=OR","EQY_CONSOLIDATED=Y","Sort=A","Dates=H","DateFormat=P","Fill=—","Direction=H","UseDPDF=Y")</f>
        <v>#NAME?</v>
      </c>
      <c r="AJ286" s="1" t="e">
        <f ca="1">_xll.BDH($C$278,"GROWTH_IN_CAP","FQ3 2015","FQ3 2015","Currency=INR","Period=FQ","BEST_FPERIOD_OVERRIDE=FQ","FILING_STATUS=OR","EQY_CONSOLIDATED=Y","Sort=A","Dates=H","DateFormat=P","Fill=—","Direction=H","UseDPDF=Y")</f>
        <v>#NAME?</v>
      </c>
      <c r="AK286" s="1" t="e">
        <f ca="1">_xll.BDH($C$278,"BVPS_GROWTH","FQ3 2015","FQ3 2015","Currency=INR","Period=FQ","BEST_FPERIOD_OVERRIDE=FQ","FILING_STATUS=OR","EQY_CONSOLIDATED=Y","Sort=A","Dates=H","DateFormat=P","Fill=—","Direction=H","UseDPDF=Y")</f>
        <v>#NAME?</v>
      </c>
      <c r="AL286" s="1" t="e">
        <f ca="1">_xll.BDH($C$278,"CASH_FLOW_GROWTH","FQ3 2015","FQ3 2015","Currency=INR","Period=FQ","BEST_FPERIOD_OVERRIDE=FQ","FILING_STATUS=OR","EQY_CONSOLIDATED=Y","Sort=A","Dates=H","DateFormat=P","Fill=—","Direction=H","UseDPDF=Y")</f>
        <v>#NAME?</v>
      </c>
      <c r="AM286" s="1" t="e">
        <f ca="1">_xll.BDH($C$278,"GEO_GROW_NET_SALES","FQ3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86" s="1" t="e">
        <f ca="1">_xll.BDH($C$278,"GEO_GROW_EBITDA","FQ3 2015","FQ3 2015","Currency=INR","Period=FQ","BEST_FPERIOD_OVERRIDE=FQ","FILING_STATUS=OR","EQY_CONSOLIDATED=Y","FA_ADJUSTED=GAAP","Sort=A","Dates=H","DateFormat=P","Fill=—","Direction=H","UseDPDF=Y")</f>
        <v>#NAME?</v>
      </c>
      <c r="AO286" s="1" t="e">
        <f ca="1">_xll.BDH($C$278,"GEO_GROW_OPER_INC","FQ3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86" s="1" t="e">
        <f ca="1">_xll.BDH($C$278,"NET_INCOME_TO_COMMON_5_YR_GROWTH","FQ3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86" s="1" t="e">
        <f ca="1">_xll.BDH($C$278,"5Y_GEO_GROWTH_DILUTED_EPS","FQ3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86" s="1" t="e">
        <f ca="1">_xll.BDH($C$278,"GEO_GROW_DVD_PER_SH","FQ3 2015","FQ3 2015","Currency=INR","Period=FQ","BEST_FPERIOD_OVERRIDE=FQ","FILING_STATUS=OR","EQY_CONSOLIDATED=Y","Sort=A","Dates=H","DateFormat=P","Fill=—","Direction=H","UseDPDF=Y")</f>
        <v>#NAME?</v>
      </c>
      <c r="AS286" s="1" t="e">
        <f ca="1">_xll.BDH($C$278,"ACCOUNTS_RECEIVABLE_5_YR_GROWTH","FQ3 2015","FQ3 2015","Currency=INR","Period=FQ","BEST_FPERIOD_OVERRIDE=FQ","FILING_STATUS=OR","EQY_CONSOLIDATED=Y","Sort=A","Dates=H","DateFormat=P","Fill=—","Direction=H","UseDPDF=Y")</f>
        <v>#NAME?</v>
      </c>
      <c r="AT286" s="1" t="e">
        <f ca="1">_xll.BDH($C$278,"INVENTORY_5_YEAR_GROWTH","FQ3 2015","FQ3 2015","Currency=INR","Period=FQ","BEST_FPERIOD_OVERRIDE=FQ","FILING_STATUS=OR","EQY_CONSOLIDATED=Y","Sort=A","Dates=H","DateFormat=P","Fill=—","Direction=H","UseDPDF=Y")</f>
        <v>#NAME?</v>
      </c>
      <c r="AU286" s="1" t="e">
        <f ca="1">_xll.BDH($C$278,"NET_FIXED_ASSETS_5_YEAR_GROWTH","FQ3 2015","FQ3 2015","Currency=INR","Period=FQ","BEST_FPERIOD_OVERRIDE=FQ","FILING_STATUS=OR","EQY_CONSOLIDATED=Y","Sort=A","Dates=H","DateFormat=P","Fill=—","Direction=H","UseDPDF=Y")</f>
        <v>#NAME?</v>
      </c>
      <c r="AV286" s="1" t="e">
        <f ca="1">_xll.BDH($C$278,"GEO_GROW_TOT_ASSET","FQ3 2015","FQ3 2015","Currency=INR","Period=FQ","BEST_FPERIOD_OVERRIDE=FQ","FILING_STATUS=OR","EQY_CONSOLIDATED=Y","Sort=A","Dates=H","DateFormat=P","Fill=—","Direction=H","UseDPDF=Y")</f>
        <v>#NAME?</v>
      </c>
      <c r="AW286" s="1" t="e">
        <f ca="1">_xll.BDH($C$278,"MODIFIED_WORKING_CPTL_5YR_GRWTH","FQ3 2015","FQ3 2015","Currency=INR","Period=FQ","BEST_FPERIOD_OVERRIDE=FQ","FILING_STATUS=OR","EQY_CONSOLIDATED=Y","Sort=A","Dates=H","DateFormat=P","Fill=—","Direction=H","UseDPDF=Y")</f>
        <v>#NAME?</v>
      </c>
      <c r="AX286" s="1" t="e">
        <f ca="1">_xll.BDH($C$278,"WORKING_CAPITAL_5_YEAR_GROWTH","FQ3 2015","FQ3 2015","Currency=INR","Period=FQ","BEST_FPERIOD_OVERRIDE=FQ","FILING_STATUS=OR","EQY_CONSOLIDATED=Y","Sort=A","Dates=H","DateFormat=P","Fill=—","Direction=H","UseDPDF=Y")</f>
        <v>#NAME?</v>
      </c>
      <c r="AY286" s="1" t="e">
        <f ca="1">_xll.BDH($C$278,"ACCOUNTS_PAYABLE_5_YEAR_GROWTH","FQ3 2015","FQ3 2015","Currency=INR","Period=FQ","BEST_FPERIOD_OVERRIDE=FQ","FILING_STATUS=OR","EQY_CONSOLIDATED=Y","Sort=A","Dates=H","DateFormat=P","Fill=—","Direction=H","UseDPDF=Y")</f>
        <v>#NAME?</v>
      </c>
      <c r="AZ286" s="1" t="e">
        <f ca="1">_xll.BDH($C$278,"SHORT_TERM_DEBT_5_YEAR_GROWTH","FQ3 2015","FQ3 2015","Currency=INR","Period=FQ","BEST_FPERIOD_OVERRIDE=FQ","FILING_STATUS=OR","EQY_CONSOLIDATED=Y","Sort=A","Dates=H","DateFormat=P","Fill=—","Direction=H","UseDPDF=Y")</f>
        <v>#NAME?</v>
      </c>
      <c r="BA286" s="1" t="e">
        <f ca="1">_xll.BDH($C$278,"TOTAL_DEBT_5_YEAR_GROWTH","FQ3 2015","FQ3 2015","Currency=INR","Period=FQ","BEST_FPERIOD_OVERRIDE=FQ","FILING_STATUS=OR","EQY_CONSOLIDATED=Y","Sort=A","Dates=H","DateFormat=P","Fill=—","Direction=H","UseDPDF=Y")</f>
        <v>#NAME?</v>
      </c>
      <c r="BB286" s="1" t="e">
        <f ca="1">_xll.BDH($C$278,"GEO_GROW_TOT_SHRHLDR_EQY","FQ3 2015","FQ3 2015","Currency=INR","Period=FQ","BEST_FPERIOD_OVERRIDE=FQ","FILING_STATUS=OR","EQY_CONSOLIDATED=Y","Sort=A","Dates=H","DateFormat=P","Fill=—","Direction=H","UseDPDF=Y")</f>
        <v>#NAME?</v>
      </c>
      <c r="BC286" s="1" t="e">
        <f ca="1">_xll.BDH($C$278,"TOTAL_CAPITAL_5_YEAR_GROWTH","FQ3 2015","FQ3 2015","Currency=INR","Period=FQ","BEST_FPERIOD_OVERRIDE=FQ","FILING_STATUS=OR","EQY_CONSOLIDATED=Y","Sort=A","Dates=H","DateFormat=P","Fill=—","Direction=H","UseDPDF=Y")</f>
        <v>#NAME?</v>
      </c>
      <c r="BD286" s="1" t="e">
        <f ca="1">_xll.BDH($C$278,"GEO_GROW_BOOK_VAL","FQ3 2015","FQ3 2015","Currency=INR","Period=FQ","BEST_FPERIOD_OVERRIDE=FQ","FILING_STATUS=OR","EQY_CONSOLIDATED=Y","Sort=A","Dates=H","DateFormat=P","Fill=—","Direction=H","UseDPDF=Y")</f>
        <v>#NAME?</v>
      </c>
      <c r="BE286" s="1" t="e">
        <f ca="1">_xll.BDH($C$278,"GEO_GROW_CASH_OPER_ACT","FQ3 2015","FQ3 2015","Currency=INR","Period=FQ","BEST_FPERIOD_OVERRIDE=FQ","FILING_STATUS=OR","EQY_CONSOLIDATED=Y","Sort=A","Dates=H","DateFormat=P","Fill=—","Direction=H","UseDPDF=Y")</f>
        <v>#NAME?</v>
      </c>
      <c r="BF286" s="1" t="e">
        <f ca="1">_xll.BDH($C$278,"REVENUE_SEQUENTIAL_GROWTH","FQ3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86" s="1" t="e">
        <f ca="1">_xll.BDH($C$278,"EBITDA_SEQUENTIAL_GROWTH","FQ3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86" s="1" t="e">
        <f ca="1">_xll.BDH($C$278,"OPERATING_INCOME_SEQ_GROWTH","FQ3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86" s="1" t="e">
        <f ca="1">_xll.BDH($C$278,"NET_INCOME_TO_COMMON_SEQ_GROWTH","FQ3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86" s="1" t="e">
        <f ca="1">_xll.BDH($C$278,"EPS_DILUTED_SEQUENTIAL_GROWTH","FQ3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86" s="1" t="e">
        <f ca="1">_xll.BDH($C$278,"DPS_SEQUENTIAL_GROWTH","FQ3 2015","FQ3 2015","Currency=INR","Period=FQ","BEST_FPERIOD_OVERRIDE=FQ","FILING_STATUS=OR","EQY_CONSOLIDATED=Y","Sort=A","Dates=H","DateFormat=P","Fill=—","Direction=H","UseDPDF=Y")</f>
        <v>#NAME?</v>
      </c>
      <c r="BL286" s="1" t="e">
        <f ca="1">_xll.BDH($C$278,"ACCOUNTS_RECEIVABLE_SEQ_GROWTH","FQ3 2015","FQ3 2015","Currency=INR","Period=FQ","BEST_FPERIOD_OVERRIDE=FQ","FILING_STATUS=OR","EQY_CONSOLIDATED=Y","Sort=A","Dates=H","DateFormat=P","Fill=—","Direction=H","UseDPDF=Y")</f>
        <v>#NAME?</v>
      </c>
      <c r="BM286" s="1" t="e">
        <f ca="1">_xll.BDH($C$278,"INVENTORY_SEQUENTIAL_GROWTH","FQ3 2015","FQ3 2015","Currency=INR","Period=FQ","BEST_FPERIOD_OVERRIDE=FQ","FILING_STATUS=OR","EQY_CONSOLIDATED=Y","Sort=A","Dates=H","DateFormat=P","Fill=—","Direction=H","UseDPDF=Y")</f>
        <v>#NAME?</v>
      </c>
      <c r="BN286" s="1" t="e">
        <f ca="1">_xll.BDH($C$278,"FIXED_ASSETS_SEQUENTIAL_GROWTH","FQ3 2015","FQ3 2015","Currency=INR","Period=FQ","BEST_FPERIOD_OVERRIDE=FQ","FILING_STATUS=OR","EQY_CONSOLIDATED=Y","Sort=A","Dates=H","DateFormat=P","Fill=—","Direction=H","UseDPDF=Y")</f>
        <v>#NAME?</v>
      </c>
      <c r="BO286" s="1" t="e">
        <f ca="1">_xll.BDH($C$278,"TOTAL_ASSETS_SEQUENTIAL_GROWTH","FQ3 2015","FQ3 2015","Currency=INR","Period=FQ","BEST_FPERIOD_OVERRIDE=FQ","FILING_STATUS=OR","EQY_CONSOLIDATED=Y","Sort=A","Dates=H","DateFormat=P","Fill=—","Direction=H","UseDPDF=Y")</f>
        <v>#NAME?</v>
      </c>
      <c r="BP286" s="1" t="e">
        <f ca="1">_xll.BDH($C$278,"MODIFIED_WORKING_CPTL_SEQ_GRWTH","FQ3 2015","FQ3 2015","Currency=INR","Period=FQ","BEST_FPERIOD_OVERRIDE=FQ","FILING_STATUS=OR","EQY_CONSOLIDATED=Y","Sort=A","Dates=H","DateFormat=P","Fill=—","Direction=H","UseDPDF=Y")</f>
        <v>#NAME?</v>
      </c>
      <c r="BQ286" s="1" t="e">
        <f ca="1">_xll.BDH($C$278,"WORKING_CAPITAL_SEQ_GROWTH","FQ3 2015","FQ3 2015","Currency=INR","Period=FQ","BEST_FPERIOD_OVERRIDE=FQ","FILING_STATUS=OR","EQY_CONSOLIDATED=Y","Sort=A","Dates=H","DateFormat=P","Fill=—","Direction=H","UseDPDF=Y")</f>
        <v>#NAME?</v>
      </c>
      <c r="BR286" s="1" t="e">
        <f ca="1">_xll.BDH($C$278,"ACCOUNTS_PAYABLE_SEQ_GROWTH","FQ3 2015","FQ3 2015","Currency=INR","Period=FQ","BEST_FPERIOD_OVERRIDE=FQ","FILING_STATUS=OR","EQY_CONSOLIDATED=Y","Sort=A","Dates=H","DateFormat=P","Fill=—","Direction=H","UseDPDF=Y")</f>
        <v>#NAME?</v>
      </c>
      <c r="BS286" s="1" t="e">
        <f ca="1">_xll.BDH($C$278,"ST_DEBT_SEQUENTIAL_GROWTH","FQ3 2015","FQ3 2015","Currency=INR","Period=FQ","BEST_FPERIOD_OVERRIDE=FQ","FILING_STATUS=OR","EQY_CONSOLIDATED=Y","Sort=A","Dates=H","DateFormat=P","Fill=—","Direction=H","UseDPDF=Y")</f>
        <v>#NAME?</v>
      </c>
      <c r="BT286" s="1" t="e">
        <f ca="1">_xll.BDH($C$278,"TOTAL_DEBT_SEQUENTIAL_GROWTH","FQ3 2015","FQ3 2015","Currency=INR","Period=FQ","BEST_FPERIOD_OVERRIDE=FQ","FILING_STATUS=OR","EQY_CONSOLIDATED=Y","Sort=A","Dates=H","DateFormat=P","Fill=—","Direction=H","UseDPDF=Y")</f>
        <v>#NAME?</v>
      </c>
      <c r="BU286" s="1" t="e">
        <f ca="1">_xll.BDH($C$278,"TOTAL_EQUITY_SEQUENTIAL_GROWTH","FQ3 2015","FQ3 2015","Currency=INR","Period=FQ","BEST_FPERIOD_OVERRIDE=FQ","FILING_STATUS=OR","EQY_CONSOLIDATED=Y","Sort=A","Dates=H","DateFormat=P","Fill=—","Direction=H","UseDPDF=Y")</f>
        <v>#NAME?</v>
      </c>
      <c r="BV286" s="1" t="e">
        <f ca="1">_xll.BDH($C$278,"TOTAL_CAPITAL_SEQUENTIAL_GROWTH","FQ3 2015","FQ3 2015","Currency=INR","Period=FQ","BEST_FPERIOD_OVERRIDE=FQ","FILING_STATUS=OR","EQY_CONSOLIDATED=Y","Sort=A","Dates=H","DateFormat=P","Fill=—","Direction=H","UseDPDF=Y")</f>
        <v>#NAME?</v>
      </c>
      <c r="BW286" s="1" t="e">
        <f ca="1">_xll.BDH($C$278,"BPS_SEQUENTIAL_GROWTH","FQ3 2015","FQ3 2015","Currency=INR","Period=FQ","BEST_FPERIOD_OVERRIDE=FQ","FILING_STATUS=OR","EQY_CONSOLIDATED=Y","Sort=A","Dates=H","DateFormat=P","Fill=—","Direction=H","UseDPDF=Y")</f>
        <v>#NAME?</v>
      </c>
      <c r="BX286" s="1" t="e">
        <f ca="1">_xll.BDH($C$278,"CFO_SEQUENTIAL_GROWTH","FQ3 2015","FQ3 2015","Currency=INR","Period=FQ","BEST_FPERIOD_OVERRIDE=FQ","FILING_STATUS=OR","EQY_CONSOLIDATED=Y","Sort=A","Dates=H","DateFormat=P","Fill=—","Direction=H","UseDPDF=Y")</f>
        <v>#NAME?</v>
      </c>
      <c r="BY286" s="2" t="e">
        <f ca="1">_xll.BDH($C$278,"SHORT_AND_LONG_TERM_DEBT","FQ3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86" s="2" t="e">
        <f ca="1">_xll.BDH($C$278,"BS_ST_BORROW","FQ3 2015","FQ3 2015","Currency=INR","Period=FQ","BEST_FPERIOD_OVERRIDE=FQ","FILING_STATUS=OR","EQY_CONSOLIDATED=Y","SCALING_FORMAT=MLN","Sort=A","Dates=H","DateFormat=P","Fill=—","Direction=H","UseDPDF=Y")</f>
        <v>#NAME?</v>
      </c>
      <c r="CA286" s="2" t="e">
        <f ca="1">_xll.BDH($C$278,"BS_LT_BORROW","FQ3 2015","FQ3 2015","Currency=INR","Period=FQ","BEST_FPERIOD_OVERRIDE=FQ","FILING_STATUS=OR","EQY_CONSOLIDATED=Y","SCALING_FORMAT=MLN","Sort=A","Dates=H","DateFormat=P","Fill=—","Direction=H","UseDPDF=Y")</f>
        <v>#NAME?</v>
      </c>
      <c r="CB286" s="1" t="e">
        <f ca="1">_xll.BDH($C$278,"TOT_DEBT_TO_EBITDA","FQ3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86" s="1" t="e">
        <f ca="1">_xll.BDH($C$278,"NET_DEBT_TO_EBITDA","FQ3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86" s="1" t="e">
        <f ca="1">_xll.BDH($C$278,"TOTAL_DEBT_TO_EBIT","FQ3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86" s="1" t="e">
        <f ca="1">_xll.BDH($C$278,"NET_DEBT_TO_EBIT","FQ3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286" s="1" t="e">
        <f ca="1">_xll.BDH($C$278,"EBITDA_TO_INTEREST_EXPN","FQ3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86" s="1" t="e">
        <f ca="1">_xll.BDH($C$278,"COM_EQY_TO_TOT_ASSET","FQ3 2015","FQ3 2015","Currency=INR","Period=FQ","BEST_FPERIOD_OVERRIDE=FQ","FILING_STATUS=OR","EQY_CONSOLIDATED=Y","Sort=A","Dates=H","DateFormat=P","Fill=—","Direction=H","UseDPDF=Y")</f>
        <v>#NAME?</v>
      </c>
      <c r="CH286" s="1" t="e">
        <f ca="1">_xll.BDH($C$278,"LT_DEBT_TO_TOT_EQY","FQ3 2015","FQ3 2015","Currency=INR","Period=FQ","BEST_FPERIOD_OVERRIDE=FQ","FILING_STATUS=OR","EQY_CONSOLIDATED=Y","Sort=A","Dates=H","DateFormat=P","Fill=—","Direction=H","UseDPDF=Y")</f>
        <v>#NAME?</v>
      </c>
      <c r="CI286" s="1" t="e">
        <f ca="1">_xll.BDH($C$278,"LT_DEBT_TO_TOT_CAP","FQ3 2015","FQ3 2015","Currency=INR","Period=FQ","BEST_FPERIOD_OVERRIDE=FQ","FILING_STATUS=OR","EQY_CONSOLIDATED=Y","Sort=A","Dates=H","DateFormat=P","Fill=—","Direction=H","UseDPDF=Y")</f>
        <v>#NAME?</v>
      </c>
      <c r="CJ286" s="1" t="e">
        <f ca="1">_xll.BDH($C$278,"LT_DEBT_TO_TOT_ASSET","FQ3 2015","FQ3 2015","Currency=INR","Period=FQ","BEST_FPERIOD_OVERRIDE=FQ","FILING_STATUS=OR","EQY_CONSOLIDATED=Y","Sort=A","Dates=H","DateFormat=P","Fill=—","Direction=H","UseDPDF=Y")</f>
        <v>#NAME?</v>
      </c>
      <c r="CK286" s="1" t="e">
        <f ca="1">_xll.BDH($C$278,"TOT_DEBT_TO_TOT_EQY","FQ3 2015","FQ3 2015","Currency=INR","Period=FQ","BEST_FPERIOD_OVERRIDE=FQ","FILING_STATUS=OR","EQY_CONSOLIDATED=Y","Sort=A","Dates=H","DateFormat=P","Fill=—","Direction=H","UseDPDF=Y")</f>
        <v>#NAME?</v>
      </c>
      <c r="CL286" s="1" t="e">
        <f ca="1">_xll.BDH($C$278,"TOT_DEBT_TO_TOT_CAP","FQ3 2015","FQ3 2015","Currency=INR","Period=FQ","BEST_FPERIOD_OVERRIDE=FQ","FILING_STATUS=OR","EQY_CONSOLIDATED=Y","Sort=A","Dates=H","DateFormat=P","Fill=—","Direction=H","UseDPDF=Y")</f>
        <v>#NAME?</v>
      </c>
      <c r="CM286" s="1" t="e">
        <f ca="1">_xll.BDH($C$278,"TOT_DEBT_TO_TOT_ASSET","FQ3 2015","FQ3 2015","Currency=INR","Period=FQ","BEST_FPERIOD_OVERRIDE=FQ","FILING_STATUS=OR","EQY_CONSOLIDATED=Y","Sort=A","Dates=H","DateFormat=P","Fill=—","Direction=H","UseDPDF=Y")</f>
        <v>#NAME?</v>
      </c>
      <c r="CN286" s="1" t="e">
        <f ca="1">_xll.BDH($C$278,"NET_DEBT_TO_SHRHLDR_EQTY","FQ3 2015","FQ3 2015","Currency=INR","Period=FQ","BEST_FPERIOD_OVERRIDE=FQ","FILING_STATUS=OR","EQY_CONSOLIDATED=Y","Sort=A","Dates=H","DateFormat=P","Fill=—","Direction=H","UseDPDF=Y")</f>
        <v>#NAME?</v>
      </c>
      <c r="CO286" s="1" t="e">
        <f ca="1">_xll.BDH($C$278,"NET_DEBT_%_CAPITAL","FQ3 2015","FQ3 2015","Currency=INR","Period=FQ","BEST_FPERIOD_OVERRIDE=FQ","FILING_STATUS=OR","EQY_CONSOLIDATED=Y","Sort=A","Dates=H","DateFormat=P","Fill=—","Direction=H","UseDPDF=Y")</f>
        <v>#NAME?</v>
      </c>
      <c r="CP286" s="2" t="e">
        <f ca="1">_xll.BDH($C$278,"EBITDA","FQ3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86" s="2" t="e">
        <f ca="1">_xll.BDH($C$278,"EBITDA_AFTER_CAPEX","FQ3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86" s="2" t="e">
        <f ca="1">_xll.BDH($C$278,"IS_OPER_INC","FQ3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86" s="1" t="e">
        <f ca="1">_xll.BDH($C$278,"CASH_RATIO","FQ3 2015","FQ3 2015","Currency=INR","Period=FQ","BEST_FPERIOD_OVERRIDE=FQ","FILING_STATUS=OR","EQY_CONSOLIDATED=Y","Sort=A","Dates=H","DateFormat=P","Fill=—","Direction=H","UseDPDF=Y")</f>
        <v>#NAME?</v>
      </c>
      <c r="CT286" s="1" t="e">
        <f ca="1">_xll.BDH($C$278,"CUR_RATIO","FQ3 2015","FQ3 2015","Currency=INR","Period=FQ","BEST_FPERIOD_OVERRIDE=FQ","FILING_STATUS=OR","EQY_CONSOLIDATED=Y","Sort=A","Dates=H","DateFormat=P","Fill=—","Direction=H","UseDPDF=Y")</f>
        <v>#NAME?</v>
      </c>
      <c r="CU286" s="1" t="e">
        <f ca="1">_xll.BDH($C$278,"QUICK_RATIO","FQ3 2015","FQ3 2015","Currency=INR","Period=FQ","BEST_FPERIOD_OVERRIDE=FQ","FILING_STATUS=OR","EQY_CONSOLIDATED=Y","Sort=A","Dates=H","DateFormat=P","Fill=—","Direction=H","UseDPDF=Y")</f>
        <v>#NAME?</v>
      </c>
      <c r="CV286" s="1" t="e">
        <f ca="1">_xll.BDH($C$278,"ALTMAN_Z_SCORE","FQ3 2015","FQ3 2015","Currency=INR","Period=FQ","BEST_FPERIOD_OVERRIDE=FQ","FILING_STATUS=OR","EQY_CONSOLIDATED=Y","Sort=A","Dates=H","DateFormat=P","Fill=—","Direction=H","UseDPDF=Y")</f>
        <v>#NAME?</v>
      </c>
      <c r="CW286" s="3" t="e">
        <f ca="1">_xll.BDH($C$278,"ACCT_RCV_TURN","FQ3 2015","FQ3 2015","Currency=INR","Period=FQ","BEST_FPERIOD_OVERRIDE=FQ","FILING_STATUS=OR","EQY_CONSOLIDATED=Y","FA_ADJUSTED=GAAP","Sort=A","Dates=H","DateFormat=P","Fill=—","Direction=H","UseDPDF=Y")</f>
        <v>#NAME?</v>
      </c>
      <c r="CX286" s="1" t="e">
        <f ca="1">_xll.BDH($C$278,"ACCT_RCV_DAYS","FQ3 2015","FQ3 2015","Currency=INR","Period=FQ","BEST_FPERIOD_OVERRIDE=FQ","FILING_STATUS=OR","EQY_CONSOLIDATED=Y","FA_ADJUSTED=GAAP","Sort=A","Dates=H","DateFormat=P","Fill=—","Direction=H","UseDPDF=Y")</f>
        <v>#NAME?</v>
      </c>
      <c r="CY286" s="3" t="e">
        <f ca="1">_xll.BDH($C$278,"INVENT_TURN","FQ3 2015","FQ3 2015","Currency=INR","Period=FQ","BEST_FPERIOD_OVERRIDE=FQ","FILING_STATUS=OR","EQY_CONSOLIDATED=Y","FA_ADJUSTED=GAAP","Sort=A","Dates=H","DateFormat=P","Fill=—","Direction=H","UseDPDF=Y")</f>
        <v>#NAME?</v>
      </c>
      <c r="CZ286" s="1" t="e">
        <f ca="1">_xll.BDH($C$278,"INVENT_DAYS","FQ3 2015","FQ3 2015","Currency=INR","Period=FQ","BEST_FPERIOD_OVERRIDE=FQ","FILING_STATUS=OR","EQY_CONSOLIDATED=Y","FA_ADJUSTED=GAAP","Sort=A","Dates=H","DateFormat=P","Fill=—","Direction=H","UseDPDF=Y")</f>
        <v>#NAME?</v>
      </c>
      <c r="DA286" s="3" t="e">
        <f ca="1">_xll.BDH($C$278,"ACCOUNTS_PAYABLE_TURNOVER","FQ3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86" s="1" t="e">
        <f ca="1">_xll.BDH($C$278,"ACCOUNTS_PAYABLE_TURNOVER_DAYS","FQ3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86" s="3" t="e">
        <f ca="1">_xll.BDH($C$278,"CASH_CONVERSION_CYCLE","FQ3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86" s="3" t="e">
        <f ca="1">_xll.BDH($C$278,"INV_TO_CASH_DAYS","FQ3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286" s="4" t="e">
        <f ca="1">_xll.BDH($C$278,"BS_INVENTORIES","FQ3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286" s="2" t="e">
        <f ca="1">_xll.BDH($C$278,"INVTRY_RAW_MATERIALS","FQ3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86" s="2" t="e">
        <f ca="1">_xll.BDH($C$278,"INVTRY_IN_PROGRESS","FQ3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86" s="2" t="e">
        <f ca="1">_xll.BDH($C$278,"INVTRY_FINISHED_GOODS","FQ3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86" s="2" t="e">
        <f ca="1">_xll.BDH($C$278,"BS_OTHER_INV","FQ3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87" spans="1:113" x14ac:dyDescent="0.3">
      <c r="A287" s="6"/>
      <c r="B287" s="6"/>
      <c r="C287" s="6"/>
      <c r="D287" s="6"/>
      <c r="E287" t="s">
        <v>7</v>
      </c>
      <c r="F287" t="e">
        <f ca="1">_xll.BDH($C$278,"RETURN_COM_EQY","FQ4 2015","FQ4 2015","Currency=INR","Period=FQ","BEST_FPERIOD_OVERRIDE=FQ","FILING_STATUS=OR","EQY_CONSOLIDATED=Y","FA_ADJUSTED=GAAP","Sort=A","Dates=H","DateFormat=P","Fill=—","Direction=H","UseDPDF=Y")</f>
        <v>#NAME?</v>
      </c>
      <c r="G287" t="e">
        <f ca="1">_xll.BDH($C$278,"RETURN_ON_ASSET","FQ4 2015","FQ4 2015","Currency=INR","Period=FQ","BEST_FPERIOD_OVERRIDE=FQ","FILING_STATUS=OR","EQY_CONSOLIDATED=Y","FA_ADJUSTED=GAAP","Sort=A","Dates=H","DateFormat=P","Fill=—","Direction=H","UseDPDF=Y")</f>
        <v>#NAME?</v>
      </c>
      <c r="H287" t="e">
        <f ca="1">_xll.BDH($C$278,"RETURN_ON_CAP","FQ4 2015","FQ4 2015","Currency=INR","Period=FQ","BEST_FPERIOD_OVERRIDE=FQ","FILING_STATUS=OR","EQY_CONSOLIDATED=Y","FA_ADJUSTED=GAAP","Sort=A","Dates=H","DateFormat=P","Fill=—","Direction=H","UseDPDF=Y")</f>
        <v>#NAME?</v>
      </c>
      <c r="I287" t="e">
        <f ca="1">_xll.BDH($C$278,"RETURN_ON_INV_CAPITAL","FQ4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87" t="e">
        <f ca="1">_xll.BDH($C$278,"EBITDA_TO_REVENUE","FQ4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287" t="e">
        <f ca="1">_xll.BDH($C$278,"OPER_MARGIN","FQ4 2015","FQ4 2015","Currency=INR","Period=FQ","BEST_FPERIOD_OVERRIDE=FQ","FILING_STATUS=OR","EQY_CONSOLIDATED=Y","FA_ADJUSTED=GAAP","Sort=A","Dates=H","DateFormat=P","Fill=—","Direction=H","UseDPDF=Y")</f>
        <v>#NAME?</v>
      </c>
      <c r="L287" t="e">
        <f ca="1">_xll.BDH($C$278,"INCREMENTAL_OPERATING_MARGIN","FQ4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87" t="e">
        <f ca="1">_xll.BDH($C$278,"PRETAX_INC_TO_NET_SALES","FQ4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87" t="e">
        <f ca="1">_xll.BDH($C$278,"INC_BEF_XO_ITEMS_TO_NET_SALES","FQ4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87" t="e">
        <f ca="1">_xll.BDH($C$278,"PROF_MARGIN","FQ4 2015","FQ4 2015","Currency=INR","Period=FQ","BEST_FPERIOD_OVERRIDE=FQ","FILING_STATUS=OR","EQY_CONSOLIDATED=Y","FA_ADJUSTED=GAAP","Sort=A","Dates=H","DateFormat=P","Fill=—","Direction=H","UseDPDF=Y")</f>
        <v>#NAME?</v>
      </c>
      <c r="P287" t="e">
        <f ca="1">_xll.BDH($C$278,"NET_INCOME_TO_COMMON_MARGIN","FQ4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87" t="e">
        <f ca="1">_xll.BDH($C$278,"EFF_TAX_RATE","FQ4 2015","FQ4 2015","Currency=INR","Period=FQ","BEST_FPERIOD_OVERRIDE=FQ","FILING_STATUS=OR","EQY_CONSOLIDATED=Y","FA_ADJUSTED=GAAP","Sort=A","Dates=H","DateFormat=P","Fill=—","Direction=H","UseDPDF=Y")</f>
        <v>#NAME?</v>
      </c>
      <c r="R287" t="e">
        <f ca="1">_xll.BDH($C$278,"DVD_PAYOUT_RATIO","FQ4 2015","FQ4 2015","Currency=INR","Period=FQ","BEST_FPERIOD_OVERRIDE=FQ","FILING_STATUS=OR","EQY_CONSOLIDATED=Y","FA_ADJUSTED=GAAP","Sort=A","Dates=H","DateFormat=P","Fill=—","Direction=H","UseDPDF=Y")</f>
        <v>#NAME?</v>
      </c>
      <c r="S287" t="e">
        <f ca="1">_xll.BDH($C$278,"SUSTAIN_GROWTH_RT","FQ4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287" s="1" t="e">
        <f ca="1">_xll.BDH($C$278,"SALES_GROWTH","FQ4 2015","FQ4 2015","Currency=INR","Period=FQ","BEST_FPERIOD_OVERRIDE=FQ","FILING_STATUS=OR","EQY_CONSOLIDATED=Y","FA_ADJUSTED=GAAP","Sort=A","Dates=H","DateFormat=P","Fill=—","Direction=H","UseDPDF=Y")</f>
        <v>#NAME?</v>
      </c>
      <c r="U287" s="1" t="e">
        <f ca="1">_xll.BDH($C$278,"EBITDA_GROWTH","FQ4 2015","FQ4 2015","Currency=INR","Period=FQ","BEST_FPERIOD_OVERRIDE=FQ","FILING_STATUS=OR","EQY_CONSOLIDATED=Y","FA_ADJUSTED=GAAP","Sort=A","Dates=H","DateFormat=P","Fill=—","Direction=H","UseDPDF=Y")</f>
        <v>#NAME?</v>
      </c>
      <c r="V287" s="1" t="e">
        <f ca="1">_xll.BDH($C$278,"OPER_INC_GROWTH","FQ4 2015","FQ4 2015","Currency=INR","Period=FQ","BEST_FPERIOD_OVERRIDE=FQ","FILING_STATUS=OR","EQY_CONSOLIDATED=Y","FA_ADJUSTED=GAAP","Sort=A","Dates=H","DateFormat=P","Fill=—","Direction=H","UseDPDF=Y")</f>
        <v>#NAME?</v>
      </c>
      <c r="W287" s="1" t="e">
        <f ca="1">_xll.BDH($C$278,"EARN_FOR_COM_GROWTH","FQ4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87" s="1" t="e">
        <f ca="1">_xll.BDH($C$278,"DILUTED_EPS_AFT_XO_ITEMS_GROWTH","FQ4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87" s="1" t="e">
        <f ca="1">_xll.BDH($C$278,"DIVIDEND_PER_SHARE_1_YEAR_GROWTH","FQ4 2015","FQ4 2015","Currency=INR","Period=FQ","BEST_FPERIOD_OVERRIDE=FQ","FILING_STATUS=OR","EQY_CONSOLIDATED=Y","Sort=A","Dates=H","DateFormat=P","Fill=—","Direction=H","UseDPDF=Y")</f>
        <v>#NAME?</v>
      </c>
      <c r="Z287" s="1" t="e">
        <f ca="1">_xll.BDH($C$278,"ACCOUNTS_RECEIVABLE_GROWTH","FQ4 2015","FQ4 2015","Currency=INR","Period=FQ","BEST_FPERIOD_OVERRIDE=FQ","FILING_STATUS=OR","EQY_CONSOLIDATED=Y","Sort=A","Dates=H","DateFormat=P","Fill=—","Direction=H","UseDPDF=Y")</f>
        <v>#NAME?</v>
      </c>
      <c r="AA287" s="1" t="e">
        <f ca="1">_xll.BDH($C$278,"INVENTORY_GROWTH","FQ4 2015","FQ4 2015","Currency=INR","Period=FQ","BEST_FPERIOD_OVERRIDE=FQ","FILING_STATUS=OR","EQY_CONSOLIDATED=Y","Sort=A","Dates=H","DateFormat=P","Fill=—","Direction=H","UseDPDF=Y")</f>
        <v>#NAME?</v>
      </c>
      <c r="AB287" s="1" t="e">
        <f ca="1">_xll.BDH($C$278,"NET_FIXED_ASSETS_1_YEAR_GROWTH","FQ4 2015","FQ4 2015","Currency=INR","Period=FQ","BEST_FPERIOD_OVERRIDE=FQ","FILING_STATUS=OR","EQY_CONSOLIDATED=Y","Sort=A","Dates=H","DateFormat=P","Fill=—","Direction=H","UseDPDF=Y")</f>
        <v>#NAME?</v>
      </c>
      <c r="AC287" s="1" t="e">
        <f ca="1">_xll.BDH($C$278,"ASSET_GROWTH","FQ4 2015","FQ4 2015","Currency=INR","Period=FQ","BEST_FPERIOD_OVERRIDE=FQ","FILING_STATUS=OR","EQY_CONSOLIDATED=Y","Sort=A","Dates=H","DateFormat=P","Fill=—","Direction=H","UseDPDF=Y")</f>
        <v>#NAME?</v>
      </c>
      <c r="AD287" s="1" t="e">
        <f ca="1">_xll.BDH($C$278,"MODIFIED_WORK_CAP_GROWTH","FQ4 2015","FQ4 2015","Currency=INR","Period=FQ","BEST_FPERIOD_OVERRIDE=FQ","FILING_STATUS=OR","EQY_CONSOLIDATED=Y","Sort=A","Dates=H","DateFormat=P","Fill=—","Direction=H","UseDPDF=Y")</f>
        <v>#NAME?</v>
      </c>
      <c r="AE287" s="1" t="e">
        <f ca="1">_xll.BDH($C$278,"WORK_CAP_GROWTH","FQ4 2015","FQ4 2015","Currency=INR","Period=FQ","BEST_FPERIOD_OVERRIDE=FQ","FILING_STATUS=OR","EQY_CONSOLIDATED=Y","Sort=A","Dates=H","DateFormat=P","Fill=—","Direction=H","UseDPDF=Y")</f>
        <v>#NAME?</v>
      </c>
      <c r="AF287" s="1" t="e">
        <f ca="1">_xll.BDH($C$278,"ACCOUNTS_PAYABLE_GROWTH_1YR","FQ4 2015","FQ4 2015","Currency=INR","Period=FQ","BEST_FPERIOD_OVERRIDE=FQ","FILING_STATUS=OR","EQY_CONSOLIDATED=Y","Sort=A","Dates=H","DateFormat=P","Fill=—","Direction=H","UseDPDF=Y")</f>
        <v>#NAME?</v>
      </c>
      <c r="AG287" s="1" t="e">
        <f ca="1">_xll.BDH($C$278,"SHORT_TERM_DEBT_1_YEAR_GROWTH","FQ4 2015","FQ4 2015","Currency=INR","Period=FQ","BEST_FPERIOD_OVERRIDE=FQ","FILING_STATUS=OR","EQY_CONSOLIDATED=Y","Sort=A","Dates=H","DateFormat=P","Fill=—","Direction=H","UseDPDF=Y")</f>
        <v>#NAME?</v>
      </c>
      <c r="AH287" s="1" t="e">
        <f ca="1">_xll.BDH($C$278,"TOTAL_DEBT_1_YEAR_GROWTH","FQ4 2015","FQ4 2015","Currency=INR","Period=FQ","BEST_FPERIOD_OVERRIDE=FQ","FILING_STATUS=OR","EQY_CONSOLIDATED=Y","Sort=A","Dates=H","DateFormat=P","Fill=—","Direction=H","UseDPDF=Y")</f>
        <v>#NAME?</v>
      </c>
      <c r="AI287" s="1" t="e">
        <f ca="1">_xll.BDH($C$278,"TOTAL_EQUITY_1_YEAR_GROWTH","FQ4 2015","FQ4 2015","Currency=INR","Period=FQ","BEST_FPERIOD_OVERRIDE=FQ","FILING_STATUS=OR","EQY_CONSOLIDATED=Y","Sort=A","Dates=H","DateFormat=P","Fill=—","Direction=H","UseDPDF=Y")</f>
        <v>#NAME?</v>
      </c>
      <c r="AJ287" s="1" t="e">
        <f ca="1">_xll.BDH($C$278,"GROWTH_IN_CAP","FQ4 2015","FQ4 2015","Currency=INR","Period=FQ","BEST_FPERIOD_OVERRIDE=FQ","FILING_STATUS=OR","EQY_CONSOLIDATED=Y","Sort=A","Dates=H","DateFormat=P","Fill=—","Direction=H","UseDPDF=Y")</f>
        <v>#NAME?</v>
      </c>
      <c r="AK287" s="1" t="e">
        <f ca="1">_xll.BDH($C$278,"BVPS_GROWTH","FQ4 2015","FQ4 2015","Currency=INR","Period=FQ","BEST_FPERIOD_OVERRIDE=FQ","FILING_STATUS=OR","EQY_CONSOLIDATED=Y","Sort=A","Dates=H","DateFormat=P","Fill=—","Direction=H","UseDPDF=Y")</f>
        <v>#NAME?</v>
      </c>
      <c r="AL287" s="1" t="e">
        <f ca="1">_xll.BDH($C$278,"CASH_FLOW_GROWTH","FQ4 2015","FQ4 2015","Currency=INR","Period=FQ","BEST_FPERIOD_OVERRIDE=FQ","FILING_STATUS=OR","EQY_CONSOLIDATED=Y","Sort=A","Dates=H","DateFormat=P","Fill=—","Direction=H","UseDPDF=Y")</f>
        <v>#NAME?</v>
      </c>
      <c r="AM287" s="1" t="e">
        <f ca="1">_xll.BDH($C$278,"GEO_GROW_NET_SALES","FQ4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87" s="1" t="e">
        <f ca="1">_xll.BDH($C$278,"GEO_GROW_EBITDA","FQ4 2015","FQ4 2015","Currency=INR","Period=FQ","BEST_FPERIOD_OVERRIDE=FQ","FILING_STATUS=OR","EQY_CONSOLIDATED=Y","FA_ADJUSTED=GAAP","Sort=A","Dates=H","DateFormat=P","Fill=—","Direction=H","UseDPDF=Y")</f>
        <v>#NAME?</v>
      </c>
      <c r="AO287" s="1" t="e">
        <f ca="1">_xll.BDH($C$278,"GEO_GROW_OPER_INC","FQ4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87" s="1" t="e">
        <f ca="1">_xll.BDH($C$278,"NET_INCOME_TO_COMMON_5_YR_GROWTH","FQ4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87" s="1" t="e">
        <f ca="1">_xll.BDH($C$278,"5Y_GEO_GROWTH_DILUTED_EPS","FQ4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87" s="1" t="e">
        <f ca="1">_xll.BDH($C$278,"GEO_GROW_DVD_PER_SH","FQ4 2015","FQ4 2015","Currency=INR","Period=FQ","BEST_FPERIOD_OVERRIDE=FQ","FILING_STATUS=OR","EQY_CONSOLIDATED=Y","Sort=A","Dates=H","DateFormat=P","Fill=—","Direction=H","UseDPDF=Y")</f>
        <v>#NAME?</v>
      </c>
      <c r="AS287" s="1" t="e">
        <f ca="1">_xll.BDH($C$278,"ACCOUNTS_RECEIVABLE_5_YR_GROWTH","FQ4 2015","FQ4 2015","Currency=INR","Period=FQ","BEST_FPERIOD_OVERRIDE=FQ","FILING_STATUS=OR","EQY_CONSOLIDATED=Y","Sort=A","Dates=H","DateFormat=P","Fill=—","Direction=H","UseDPDF=Y")</f>
        <v>#NAME?</v>
      </c>
      <c r="AT287" s="1" t="e">
        <f ca="1">_xll.BDH($C$278,"INVENTORY_5_YEAR_GROWTH","FQ4 2015","FQ4 2015","Currency=INR","Period=FQ","BEST_FPERIOD_OVERRIDE=FQ","FILING_STATUS=OR","EQY_CONSOLIDATED=Y","Sort=A","Dates=H","DateFormat=P","Fill=—","Direction=H","UseDPDF=Y")</f>
        <v>#NAME?</v>
      </c>
      <c r="AU287" s="1" t="e">
        <f ca="1">_xll.BDH($C$278,"NET_FIXED_ASSETS_5_YEAR_GROWTH","FQ4 2015","FQ4 2015","Currency=INR","Period=FQ","BEST_FPERIOD_OVERRIDE=FQ","FILING_STATUS=OR","EQY_CONSOLIDATED=Y","Sort=A","Dates=H","DateFormat=P","Fill=—","Direction=H","UseDPDF=Y")</f>
        <v>#NAME?</v>
      </c>
      <c r="AV287" s="1" t="e">
        <f ca="1">_xll.BDH($C$278,"GEO_GROW_TOT_ASSET","FQ4 2015","FQ4 2015","Currency=INR","Period=FQ","BEST_FPERIOD_OVERRIDE=FQ","FILING_STATUS=OR","EQY_CONSOLIDATED=Y","Sort=A","Dates=H","DateFormat=P","Fill=—","Direction=H","UseDPDF=Y")</f>
        <v>#NAME?</v>
      </c>
      <c r="AW287" s="1" t="e">
        <f ca="1">_xll.BDH($C$278,"MODIFIED_WORKING_CPTL_5YR_GRWTH","FQ4 2015","FQ4 2015","Currency=INR","Period=FQ","BEST_FPERIOD_OVERRIDE=FQ","FILING_STATUS=OR","EQY_CONSOLIDATED=Y","Sort=A","Dates=H","DateFormat=P","Fill=—","Direction=H","UseDPDF=Y")</f>
        <v>#NAME?</v>
      </c>
      <c r="AX287" s="1" t="e">
        <f ca="1">_xll.BDH($C$278,"WORKING_CAPITAL_5_YEAR_GROWTH","FQ4 2015","FQ4 2015","Currency=INR","Period=FQ","BEST_FPERIOD_OVERRIDE=FQ","FILING_STATUS=OR","EQY_CONSOLIDATED=Y","Sort=A","Dates=H","DateFormat=P","Fill=—","Direction=H","UseDPDF=Y")</f>
        <v>#NAME?</v>
      </c>
      <c r="AY287" s="1" t="e">
        <f ca="1">_xll.BDH($C$278,"ACCOUNTS_PAYABLE_5_YEAR_GROWTH","FQ4 2015","FQ4 2015","Currency=INR","Period=FQ","BEST_FPERIOD_OVERRIDE=FQ","FILING_STATUS=OR","EQY_CONSOLIDATED=Y","Sort=A","Dates=H","DateFormat=P","Fill=—","Direction=H","UseDPDF=Y")</f>
        <v>#NAME?</v>
      </c>
      <c r="AZ287" s="1" t="e">
        <f ca="1">_xll.BDH($C$278,"SHORT_TERM_DEBT_5_YEAR_GROWTH","FQ4 2015","FQ4 2015","Currency=INR","Period=FQ","BEST_FPERIOD_OVERRIDE=FQ","FILING_STATUS=OR","EQY_CONSOLIDATED=Y","Sort=A","Dates=H","DateFormat=P","Fill=—","Direction=H","UseDPDF=Y")</f>
        <v>#NAME?</v>
      </c>
      <c r="BA287" s="1" t="e">
        <f ca="1">_xll.BDH($C$278,"TOTAL_DEBT_5_YEAR_GROWTH","FQ4 2015","FQ4 2015","Currency=INR","Period=FQ","BEST_FPERIOD_OVERRIDE=FQ","FILING_STATUS=OR","EQY_CONSOLIDATED=Y","Sort=A","Dates=H","DateFormat=P","Fill=—","Direction=H","UseDPDF=Y")</f>
        <v>#NAME?</v>
      </c>
      <c r="BB287" s="1" t="e">
        <f ca="1">_xll.BDH($C$278,"GEO_GROW_TOT_SHRHLDR_EQY","FQ4 2015","FQ4 2015","Currency=INR","Period=FQ","BEST_FPERIOD_OVERRIDE=FQ","FILING_STATUS=OR","EQY_CONSOLIDATED=Y","Sort=A","Dates=H","DateFormat=P","Fill=—","Direction=H","UseDPDF=Y")</f>
        <v>#NAME?</v>
      </c>
      <c r="BC287" s="1" t="e">
        <f ca="1">_xll.BDH($C$278,"TOTAL_CAPITAL_5_YEAR_GROWTH","FQ4 2015","FQ4 2015","Currency=INR","Period=FQ","BEST_FPERIOD_OVERRIDE=FQ","FILING_STATUS=OR","EQY_CONSOLIDATED=Y","Sort=A","Dates=H","DateFormat=P","Fill=—","Direction=H","UseDPDF=Y")</f>
        <v>#NAME?</v>
      </c>
      <c r="BD287" s="1" t="e">
        <f ca="1">_xll.BDH($C$278,"GEO_GROW_BOOK_VAL","FQ4 2015","FQ4 2015","Currency=INR","Period=FQ","BEST_FPERIOD_OVERRIDE=FQ","FILING_STATUS=OR","EQY_CONSOLIDATED=Y","Sort=A","Dates=H","DateFormat=P","Fill=—","Direction=H","UseDPDF=Y")</f>
        <v>#NAME?</v>
      </c>
      <c r="BE287" s="1" t="e">
        <f ca="1">_xll.BDH($C$278,"GEO_GROW_CASH_OPER_ACT","FQ4 2015","FQ4 2015","Currency=INR","Period=FQ","BEST_FPERIOD_OVERRIDE=FQ","FILING_STATUS=OR","EQY_CONSOLIDATED=Y","Sort=A","Dates=H","DateFormat=P","Fill=—","Direction=H","UseDPDF=Y")</f>
        <v>#NAME?</v>
      </c>
      <c r="BF287" s="1" t="e">
        <f ca="1">_xll.BDH($C$278,"REVENUE_SEQUENTIAL_GROWTH","FQ4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87" s="1" t="e">
        <f ca="1">_xll.BDH($C$278,"EBITDA_SEQUENTIAL_GROWTH","FQ4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87" s="1" t="e">
        <f ca="1">_xll.BDH($C$278,"OPERATING_INCOME_SEQ_GROWTH","FQ4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87" s="1" t="e">
        <f ca="1">_xll.BDH($C$278,"NET_INCOME_TO_COMMON_SEQ_GROWTH","FQ4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87" s="1" t="e">
        <f ca="1">_xll.BDH($C$278,"EPS_DILUTED_SEQUENTIAL_GROWTH","FQ4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87" s="1" t="e">
        <f ca="1">_xll.BDH($C$278,"DPS_SEQUENTIAL_GROWTH","FQ4 2015","FQ4 2015","Currency=INR","Period=FQ","BEST_FPERIOD_OVERRIDE=FQ","FILING_STATUS=OR","EQY_CONSOLIDATED=Y","Sort=A","Dates=H","DateFormat=P","Fill=—","Direction=H","UseDPDF=Y")</f>
        <v>#NAME?</v>
      </c>
      <c r="BL287" s="1" t="e">
        <f ca="1">_xll.BDH($C$278,"ACCOUNTS_RECEIVABLE_SEQ_GROWTH","FQ4 2015","FQ4 2015","Currency=INR","Period=FQ","BEST_FPERIOD_OVERRIDE=FQ","FILING_STATUS=OR","EQY_CONSOLIDATED=Y","Sort=A","Dates=H","DateFormat=P","Fill=—","Direction=H","UseDPDF=Y")</f>
        <v>#NAME?</v>
      </c>
      <c r="BM287" s="1" t="e">
        <f ca="1">_xll.BDH($C$278,"INVENTORY_SEQUENTIAL_GROWTH","FQ4 2015","FQ4 2015","Currency=INR","Period=FQ","BEST_FPERIOD_OVERRIDE=FQ","FILING_STATUS=OR","EQY_CONSOLIDATED=Y","Sort=A","Dates=H","DateFormat=P","Fill=—","Direction=H","UseDPDF=Y")</f>
        <v>#NAME?</v>
      </c>
      <c r="BN287" s="1" t="e">
        <f ca="1">_xll.BDH($C$278,"FIXED_ASSETS_SEQUENTIAL_GROWTH","FQ4 2015","FQ4 2015","Currency=INR","Period=FQ","BEST_FPERIOD_OVERRIDE=FQ","FILING_STATUS=OR","EQY_CONSOLIDATED=Y","Sort=A","Dates=H","DateFormat=P","Fill=—","Direction=H","UseDPDF=Y")</f>
        <v>#NAME?</v>
      </c>
      <c r="BO287" s="1" t="e">
        <f ca="1">_xll.BDH($C$278,"TOTAL_ASSETS_SEQUENTIAL_GROWTH","FQ4 2015","FQ4 2015","Currency=INR","Period=FQ","BEST_FPERIOD_OVERRIDE=FQ","FILING_STATUS=OR","EQY_CONSOLIDATED=Y","Sort=A","Dates=H","DateFormat=P","Fill=—","Direction=H","UseDPDF=Y")</f>
        <v>#NAME?</v>
      </c>
      <c r="BP287" s="1" t="e">
        <f ca="1">_xll.BDH($C$278,"MODIFIED_WORKING_CPTL_SEQ_GRWTH","FQ4 2015","FQ4 2015","Currency=INR","Period=FQ","BEST_FPERIOD_OVERRIDE=FQ","FILING_STATUS=OR","EQY_CONSOLIDATED=Y","Sort=A","Dates=H","DateFormat=P","Fill=—","Direction=H","UseDPDF=Y")</f>
        <v>#NAME?</v>
      </c>
      <c r="BQ287" s="1" t="e">
        <f ca="1">_xll.BDH($C$278,"WORKING_CAPITAL_SEQ_GROWTH","FQ4 2015","FQ4 2015","Currency=INR","Period=FQ","BEST_FPERIOD_OVERRIDE=FQ","FILING_STATUS=OR","EQY_CONSOLIDATED=Y","Sort=A","Dates=H","DateFormat=P","Fill=—","Direction=H","UseDPDF=Y")</f>
        <v>#NAME?</v>
      </c>
      <c r="BR287" s="1" t="e">
        <f ca="1">_xll.BDH($C$278,"ACCOUNTS_PAYABLE_SEQ_GROWTH","FQ4 2015","FQ4 2015","Currency=INR","Period=FQ","BEST_FPERIOD_OVERRIDE=FQ","FILING_STATUS=OR","EQY_CONSOLIDATED=Y","Sort=A","Dates=H","DateFormat=P","Fill=—","Direction=H","UseDPDF=Y")</f>
        <v>#NAME?</v>
      </c>
      <c r="BS287" s="1" t="e">
        <f ca="1">_xll.BDH($C$278,"ST_DEBT_SEQUENTIAL_GROWTH","FQ4 2015","FQ4 2015","Currency=INR","Period=FQ","BEST_FPERIOD_OVERRIDE=FQ","FILING_STATUS=OR","EQY_CONSOLIDATED=Y","Sort=A","Dates=H","DateFormat=P","Fill=—","Direction=H","UseDPDF=Y")</f>
        <v>#NAME?</v>
      </c>
      <c r="BT287" s="1" t="e">
        <f ca="1">_xll.BDH($C$278,"TOTAL_DEBT_SEQUENTIAL_GROWTH","FQ4 2015","FQ4 2015","Currency=INR","Period=FQ","BEST_FPERIOD_OVERRIDE=FQ","FILING_STATUS=OR","EQY_CONSOLIDATED=Y","Sort=A","Dates=H","DateFormat=P","Fill=—","Direction=H","UseDPDF=Y")</f>
        <v>#NAME?</v>
      </c>
      <c r="BU287" s="1" t="e">
        <f ca="1">_xll.BDH($C$278,"TOTAL_EQUITY_SEQUENTIAL_GROWTH","FQ4 2015","FQ4 2015","Currency=INR","Period=FQ","BEST_FPERIOD_OVERRIDE=FQ","FILING_STATUS=OR","EQY_CONSOLIDATED=Y","Sort=A","Dates=H","DateFormat=P","Fill=—","Direction=H","UseDPDF=Y")</f>
        <v>#NAME?</v>
      </c>
      <c r="BV287" s="1" t="e">
        <f ca="1">_xll.BDH($C$278,"TOTAL_CAPITAL_SEQUENTIAL_GROWTH","FQ4 2015","FQ4 2015","Currency=INR","Period=FQ","BEST_FPERIOD_OVERRIDE=FQ","FILING_STATUS=OR","EQY_CONSOLIDATED=Y","Sort=A","Dates=H","DateFormat=P","Fill=—","Direction=H","UseDPDF=Y")</f>
        <v>#NAME?</v>
      </c>
      <c r="BW287" s="1" t="e">
        <f ca="1">_xll.BDH($C$278,"BPS_SEQUENTIAL_GROWTH","FQ4 2015","FQ4 2015","Currency=INR","Period=FQ","BEST_FPERIOD_OVERRIDE=FQ","FILING_STATUS=OR","EQY_CONSOLIDATED=Y","Sort=A","Dates=H","DateFormat=P","Fill=—","Direction=H","UseDPDF=Y")</f>
        <v>#NAME?</v>
      </c>
      <c r="BX287" s="1" t="e">
        <f ca="1">_xll.BDH($C$278,"CFO_SEQUENTIAL_GROWTH","FQ4 2015","FQ4 2015","Currency=INR","Period=FQ","BEST_FPERIOD_OVERRIDE=FQ","FILING_STATUS=OR","EQY_CONSOLIDATED=Y","Sort=A","Dates=H","DateFormat=P","Fill=—","Direction=H","UseDPDF=Y")</f>
        <v>#NAME?</v>
      </c>
      <c r="BY287" s="2" t="e">
        <f ca="1">_xll.BDH($C$278,"SHORT_AND_LONG_TERM_DEBT","FQ4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87" s="2" t="e">
        <f ca="1">_xll.BDH($C$278,"BS_ST_BORROW","FQ4 2015","FQ4 2015","Currency=INR","Period=FQ","BEST_FPERIOD_OVERRIDE=FQ","FILING_STATUS=OR","EQY_CONSOLIDATED=Y","SCALING_FORMAT=MLN","Sort=A","Dates=H","DateFormat=P","Fill=—","Direction=H","UseDPDF=Y")</f>
        <v>#NAME?</v>
      </c>
      <c r="CA287" s="2" t="e">
        <f ca="1">_xll.BDH($C$278,"BS_LT_BORROW","FQ4 2015","FQ4 2015","Currency=INR","Period=FQ","BEST_FPERIOD_OVERRIDE=FQ","FILING_STATUS=OR","EQY_CONSOLIDATED=Y","SCALING_FORMAT=MLN","Sort=A","Dates=H","DateFormat=P","Fill=—","Direction=H","UseDPDF=Y")</f>
        <v>#NAME?</v>
      </c>
      <c r="CB287" s="1" t="e">
        <f ca="1">_xll.BDH($C$278,"TOT_DEBT_TO_EBITDA","FQ4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87" s="1" t="e">
        <f ca="1">_xll.BDH($C$278,"NET_DEBT_TO_EBITDA","FQ4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87" s="1" t="e">
        <f ca="1">_xll.BDH($C$278,"TOTAL_DEBT_TO_EBIT","FQ4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87" s="1" t="e">
        <f ca="1">_xll.BDH($C$278,"NET_DEBT_TO_EBIT","FQ4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287" s="1" t="e">
        <f ca="1">_xll.BDH($C$278,"EBITDA_TO_INTEREST_EXPN","FQ4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87" s="1" t="e">
        <f ca="1">_xll.BDH($C$278,"COM_EQY_TO_TOT_ASSET","FQ4 2015","FQ4 2015","Currency=INR","Period=FQ","BEST_FPERIOD_OVERRIDE=FQ","FILING_STATUS=OR","EQY_CONSOLIDATED=Y","Sort=A","Dates=H","DateFormat=P","Fill=—","Direction=H","UseDPDF=Y")</f>
        <v>#NAME?</v>
      </c>
      <c r="CH287" s="1" t="e">
        <f ca="1">_xll.BDH($C$278,"LT_DEBT_TO_TOT_EQY","FQ4 2015","FQ4 2015","Currency=INR","Period=FQ","BEST_FPERIOD_OVERRIDE=FQ","FILING_STATUS=OR","EQY_CONSOLIDATED=Y","Sort=A","Dates=H","DateFormat=P","Fill=—","Direction=H","UseDPDF=Y")</f>
        <v>#NAME?</v>
      </c>
      <c r="CI287" s="1" t="e">
        <f ca="1">_xll.BDH($C$278,"LT_DEBT_TO_TOT_CAP","FQ4 2015","FQ4 2015","Currency=INR","Period=FQ","BEST_FPERIOD_OVERRIDE=FQ","FILING_STATUS=OR","EQY_CONSOLIDATED=Y","Sort=A","Dates=H","DateFormat=P","Fill=—","Direction=H","UseDPDF=Y")</f>
        <v>#NAME?</v>
      </c>
      <c r="CJ287" s="1" t="e">
        <f ca="1">_xll.BDH($C$278,"LT_DEBT_TO_TOT_ASSET","FQ4 2015","FQ4 2015","Currency=INR","Period=FQ","BEST_FPERIOD_OVERRIDE=FQ","FILING_STATUS=OR","EQY_CONSOLIDATED=Y","Sort=A","Dates=H","DateFormat=P","Fill=—","Direction=H","UseDPDF=Y")</f>
        <v>#NAME?</v>
      </c>
      <c r="CK287" s="1" t="e">
        <f ca="1">_xll.BDH($C$278,"TOT_DEBT_TO_TOT_EQY","FQ4 2015","FQ4 2015","Currency=INR","Period=FQ","BEST_FPERIOD_OVERRIDE=FQ","FILING_STATUS=OR","EQY_CONSOLIDATED=Y","Sort=A","Dates=H","DateFormat=P","Fill=—","Direction=H","UseDPDF=Y")</f>
        <v>#NAME?</v>
      </c>
      <c r="CL287" s="1" t="e">
        <f ca="1">_xll.BDH($C$278,"TOT_DEBT_TO_TOT_CAP","FQ4 2015","FQ4 2015","Currency=INR","Period=FQ","BEST_FPERIOD_OVERRIDE=FQ","FILING_STATUS=OR","EQY_CONSOLIDATED=Y","Sort=A","Dates=H","DateFormat=P","Fill=—","Direction=H","UseDPDF=Y")</f>
        <v>#NAME?</v>
      </c>
      <c r="CM287" s="1" t="e">
        <f ca="1">_xll.BDH($C$278,"TOT_DEBT_TO_TOT_ASSET","FQ4 2015","FQ4 2015","Currency=INR","Period=FQ","BEST_FPERIOD_OVERRIDE=FQ","FILING_STATUS=OR","EQY_CONSOLIDATED=Y","Sort=A","Dates=H","DateFormat=P","Fill=—","Direction=H","UseDPDF=Y")</f>
        <v>#NAME?</v>
      </c>
      <c r="CN287" s="1" t="e">
        <f ca="1">_xll.BDH($C$278,"NET_DEBT_TO_SHRHLDR_EQTY","FQ4 2015","FQ4 2015","Currency=INR","Period=FQ","BEST_FPERIOD_OVERRIDE=FQ","FILING_STATUS=OR","EQY_CONSOLIDATED=Y","Sort=A","Dates=H","DateFormat=P","Fill=—","Direction=H","UseDPDF=Y")</f>
        <v>#NAME?</v>
      </c>
      <c r="CO287" s="1" t="e">
        <f ca="1">_xll.BDH($C$278,"NET_DEBT_%_CAPITAL","FQ4 2015","FQ4 2015","Currency=INR","Period=FQ","BEST_FPERIOD_OVERRIDE=FQ","FILING_STATUS=OR","EQY_CONSOLIDATED=Y","Sort=A","Dates=H","DateFormat=P","Fill=—","Direction=H","UseDPDF=Y")</f>
        <v>#NAME?</v>
      </c>
      <c r="CP287" s="2" t="e">
        <f ca="1">_xll.BDH($C$278,"EBITDA","FQ4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87" s="2" t="e">
        <f ca="1">_xll.BDH($C$278,"EBITDA_AFTER_CAPEX","FQ4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87" s="2" t="e">
        <f ca="1">_xll.BDH($C$278,"IS_OPER_INC","FQ4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87" s="1" t="e">
        <f ca="1">_xll.BDH($C$278,"CASH_RATIO","FQ4 2015","FQ4 2015","Currency=INR","Period=FQ","BEST_FPERIOD_OVERRIDE=FQ","FILING_STATUS=OR","EQY_CONSOLIDATED=Y","Sort=A","Dates=H","DateFormat=P","Fill=—","Direction=H","UseDPDF=Y")</f>
        <v>#NAME?</v>
      </c>
      <c r="CT287" s="1" t="e">
        <f ca="1">_xll.BDH($C$278,"CUR_RATIO","FQ4 2015","FQ4 2015","Currency=INR","Period=FQ","BEST_FPERIOD_OVERRIDE=FQ","FILING_STATUS=OR","EQY_CONSOLIDATED=Y","Sort=A","Dates=H","DateFormat=P","Fill=—","Direction=H","UseDPDF=Y")</f>
        <v>#NAME?</v>
      </c>
      <c r="CU287" s="1" t="e">
        <f ca="1">_xll.BDH($C$278,"QUICK_RATIO","FQ4 2015","FQ4 2015","Currency=INR","Period=FQ","BEST_FPERIOD_OVERRIDE=FQ","FILING_STATUS=OR","EQY_CONSOLIDATED=Y","Sort=A","Dates=H","DateFormat=P","Fill=—","Direction=H","UseDPDF=Y")</f>
        <v>#NAME?</v>
      </c>
      <c r="CV287" s="1" t="e">
        <f ca="1">_xll.BDH($C$278,"ALTMAN_Z_SCORE","FQ4 2015","FQ4 2015","Currency=INR","Period=FQ","BEST_FPERIOD_OVERRIDE=FQ","FILING_STATUS=OR","EQY_CONSOLIDATED=Y","Sort=A","Dates=H","DateFormat=P","Fill=—","Direction=H","UseDPDF=Y")</f>
        <v>#NAME?</v>
      </c>
      <c r="CW287" s="3" t="e">
        <f ca="1">_xll.BDH($C$278,"ACCT_RCV_TURN","FQ4 2015","FQ4 2015","Currency=INR","Period=FQ","BEST_FPERIOD_OVERRIDE=FQ","FILING_STATUS=OR","EQY_CONSOLIDATED=Y","FA_ADJUSTED=GAAP","Sort=A","Dates=H","DateFormat=P","Fill=—","Direction=H","UseDPDF=Y")</f>
        <v>#NAME?</v>
      </c>
      <c r="CX287" s="1" t="e">
        <f ca="1">_xll.BDH($C$278,"ACCT_RCV_DAYS","FQ4 2015","FQ4 2015","Currency=INR","Period=FQ","BEST_FPERIOD_OVERRIDE=FQ","FILING_STATUS=OR","EQY_CONSOLIDATED=Y","FA_ADJUSTED=GAAP","Sort=A","Dates=H","DateFormat=P","Fill=—","Direction=H","UseDPDF=Y")</f>
        <v>#NAME?</v>
      </c>
      <c r="CY287" s="3" t="e">
        <f ca="1">_xll.BDH($C$278,"INVENT_TURN","FQ4 2015","FQ4 2015","Currency=INR","Period=FQ","BEST_FPERIOD_OVERRIDE=FQ","FILING_STATUS=OR","EQY_CONSOLIDATED=Y","FA_ADJUSTED=GAAP","Sort=A","Dates=H","DateFormat=P","Fill=—","Direction=H","UseDPDF=Y")</f>
        <v>#NAME?</v>
      </c>
      <c r="CZ287" s="1" t="e">
        <f ca="1">_xll.BDH($C$278,"INVENT_DAYS","FQ4 2015","FQ4 2015","Currency=INR","Period=FQ","BEST_FPERIOD_OVERRIDE=FQ","FILING_STATUS=OR","EQY_CONSOLIDATED=Y","FA_ADJUSTED=GAAP","Sort=A","Dates=H","DateFormat=P","Fill=—","Direction=H","UseDPDF=Y")</f>
        <v>#NAME?</v>
      </c>
      <c r="DA287" s="3" t="e">
        <f ca="1">_xll.BDH($C$278,"ACCOUNTS_PAYABLE_TURNOVER","FQ4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87" s="1" t="e">
        <f ca="1">_xll.BDH($C$278,"ACCOUNTS_PAYABLE_TURNOVER_DAYS","FQ4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87" s="3" t="e">
        <f ca="1">_xll.BDH($C$278,"CASH_CONVERSION_CYCLE","FQ4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87" s="3" t="e">
        <f ca="1">_xll.BDH($C$278,"INV_TO_CASH_DAYS","FQ4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287" s="4" t="e">
        <f ca="1">_xll.BDH($C$278,"BS_INVENTORIES","FQ4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287" s="2" t="e">
        <f ca="1">_xll.BDH($C$278,"INVTRY_RAW_MATERIALS","FQ4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87" s="2" t="e">
        <f ca="1">_xll.BDH($C$278,"INVTRY_IN_PROGRESS","FQ4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87" s="2" t="e">
        <f ca="1">_xll.BDH($C$278,"INVTRY_FINISHED_GOODS","FQ4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87" s="2" t="e">
        <f ca="1">_xll.BDH($C$278,"BS_OTHER_INV","FQ4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88" spans="1:113" x14ac:dyDescent="0.3">
      <c r="A288" s="6"/>
      <c r="B288" s="6"/>
      <c r="C288" s="6"/>
      <c r="D288" s="6" t="s">
        <v>9</v>
      </c>
      <c r="E288" t="s">
        <v>3</v>
      </c>
      <c r="F288" t="e">
        <f ca="1">_xll.BDH($C$278,"RETURN_COM_EQY","FY 2016","FY 2016","Currency=INR","Period=FY","BEST_FPERIOD_OVERRIDE=FY","FILING_STATUS=OR","EQY_CONSOLIDATED=Y","FA_ADJUSTED=GAAP","Sort=A","Dates=H","DateFormat=P","Fill=—","Direction=H","UseDPDF=Y")</f>
        <v>#NAME?</v>
      </c>
      <c r="G288" t="e">
        <f ca="1">_xll.BDH($C$278,"RETURN_ON_ASSET","FY 2016","FY 2016","Currency=INR","Period=FY","BEST_FPERIOD_OVERRIDE=FY","FILING_STATUS=OR","EQY_CONSOLIDATED=Y","FA_ADJUSTED=GAAP","Sort=A","Dates=H","DateFormat=P","Fill=—","Direction=H","UseDPDF=Y")</f>
        <v>#NAME?</v>
      </c>
      <c r="H288" t="e">
        <f ca="1">_xll.BDH($C$278,"RETURN_ON_CAP","FY 2016","FY 2016","Currency=INR","Period=FY","BEST_FPERIOD_OVERRIDE=FY","FILING_STATUS=OR","EQY_CONSOLIDATED=Y","FA_ADJUSTED=GAAP","Sort=A","Dates=H","DateFormat=P","Fill=—","Direction=H","UseDPDF=Y")</f>
        <v>#NAME?</v>
      </c>
      <c r="I288" t="e">
        <f ca="1">_xll.BDH($C$278,"RETURN_ON_INV_CAPITAL","FY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88" t="e">
        <f ca="1">_xll.BDH($C$278,"EBITDA_TO_REVENUE","FY 2016","FY 2016","Currency=INR","Period=FY","BEST_FPERIOD_OVERRIDE=FY","FILING_STATUS=OR","EQY_CONSOLIDATED=Y","FA_ADJUSTED=GAAP","Sort=A","Dates=H","DateFormat=P","Fill=—","Direction=H","UseDPDF=Y")</f>
        <v>#NAME?</v>
      </c>
      <c r="K288" t="e">
        <f ca="1">_xll.BDH($C$278,"OPER_MARGIN","FY 2016","FY 2016","Currency=INR","Period=FY","BEST_FPERIOD_OVERRIDE=FY","FILING_STATUS=OR","EQY_CONSOLIDATED=Y","FA_ADJUSTED=GAAP","Sort=A","Dates=H","DateFormat=P","Fill=—","Direction=H","UseDPDF=Y")</f>
        <v>#NAME?</v>
      </c>
      <c r="L288" t="e">
        <f ca="1">_xll.BDH($C$278,"INCREMENTAL_OPERATING_MARGIN","FY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88" t="e">
        <f ca="1">_xll.BDH($C$278,"PRETAX_INC_TO_NET_SALES","FY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88" t="e">
        <f ca="1">_xll.BDH($C$278,"INC_BEF_XO_ITEMS_TO_NET_SALES","FY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88" t="e">
        <f ca="1">_xll.BDH($C$278,"PROF_MARGIN","FY 2016","FY 2016","Currency=INR","Period=FY","BEST_FPERIOD_OVERRIDE=FY","FILING_STATUS=OR","EQY_CONSOLIDATED=Y","FA_ADJUSTED=GAAP","Sort=A","Dates=H","DateFormat=P","Fill=—","Direction=H","UseDPDF=Y")</f>
        <v>#NAME?</v>
      </c>
      <c r="P288" t="e">
        <f ca="1">_xll.BDH($C$278,"NET_INCOME_TO_COMMON_MARGIN","FY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88" t="e">
        <f ca="1">_xll.BDH($C$278,"EFF_TAX_RATE","FY 2016","FY 2016","Currency=INR","Period=FY","BEST_FPERIOD_OVERRIDE=FY","FILING_STATUS=OR","EQY_CONSOLIDATED=Y","FA_ADJUSTED=GAAP","Sort=A","Dates=H","DateFormat=P","Fill=—","Direction=H","UseDPDF=Y")</f>
        <v>#NAME?</v>
      </c>
      <c r="R288" t="e">
        <f ca="1">_xll.BDH($C$278,"DVD_PAYOUT_RATIO","FY 2016","FY 2016","Currency=INR","Period=FY","BEST_FPERIOD_OVERRIDE=FY","FILING_STATUS=OR","EQY_CONSOLIDATED=Y","FA_ADJUSTED=GAAP","Sort=A","Dates=H","DateFormat=P","Fill=—","Direction=H","UseDPDF=Y")</f>
        <v>#NAME?</v>
      </c>
      <c r="S288" t="e">
        <f ca="1">_xll.BDH($C$278,"SUSTAIN_GROWTH_RT","FY 2016","FY 2016","Currency=INR","Period=FY","BEST_FPERIOD_OVERRIDE=FY","FILING_STATUS=OR","EQY_CONSOLIDATED=Y","FA_ADJUSTED=GAAP","Sort=A","Dates=H","DateFormat=P","Fill=—","Direction=H","UseDPDF=Y")</f>
        <v>#NAME?</v>
      </c>
      <c r="T288" s="1" t="e">
        <f ca="1">_xll.BDH($C$278,"SALES_GROWTH","FY 2016","FY 2016","Currency=INR","Period=FY","BEST_FPERIOD_OVERRIDE=FY","FILING_STATUS=OR","EQY_CONSOLIDATED=Y","FA_ADJUSTED=GAAP","Sort=A","Dates=H","DateFormat=P","Fill=—","Direction=H","UseDPDF=Y")</f>
        <v>#NAME?</v>
      </c>
      <c r="U288" s="1" t="e">
        <f ca="1">_xll.BDH($C$278,"EBITDA_GROWTH","FY 2016","FY 2016","Currency=INR","Period=FY","BEST_FPERIOD_OVERRIDE=FY","FILING_STATUS=OR","EQY_CONSOLIDATED=Y","FA_ADJUSTED=GAAP","Sort=A","Dates=H","DateFormat=P","Fill=—","Direction=H","UseDPDF=Y")</f>
        <v>#NAME?</v>
      </c>
      <c r="V288" s="1" t="e">
        <f ca="1">_xll.BDH($C$278,"OPER_INC_GROWTH","FY 2016","FY 2016","Currency=INR","Period=FY","BEST_FPERIOD_OVERRIDE=FY","FILING_STATUS=OR","EQY_CONSOLIDATED=Y","FA_ADJUSTED=GAAP","Sort=A","Dates=H","DateFormat=P","Fill=—","Direction=H","UseDPDF=Y")</f>
        <v>#NAME?</v>
      </c>
      <c r="W288" s="1" t="e">
        <f ca="1">_xll.BDH($C$278,"EARN_FOR_COM_GROWTH","FY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288" s="1" t="e">
        <f ca="1">_xll.BDH($C$278,"DILUTED_EPS_AFT_XO_ITEMS_GROWTH","FY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88" s="1" t="e">
        <f ca="1">_xll.BDH($C$278,"DIVIDEND_PER_SHARE_1_YEAR_GROWTH","FY 2016","FY 2016","Currency=INR","Period=FY","BEST_FPERIOD_OVERRIDE=FY","FILING_STATUS=OR","EQY_CONSOLIDATED=Y","Sort=A","Dates=H","DateFormat=P","Fill=—","Direction=H","UseDPDF=Y")</f>
        <v>#NAME?</v>
      </c>
      <c r="Z288" s="1" t="e">
        <f ca="1">_xll.BDH($C$278,"ACCOUNTS_RECEIVABLE_GROWTH","FY 2016","FY 2016","Currency=INR","Period=FY","BEST_FPERIOD_OVERRIDE=FY","FILING_STATUS=OR","EQY_CONSOLIDATED=Y","Sort=A","Dates=H","DateFormat=P","Fill=—","Direction=H","UseDPDF=Y")</f>
        <v>#NAME?</v>
      </c>
      <c r="AA288" s="1" t="e">
        <f ca="1">_xll.BDH($C$278,"INVENTORY_GROWTH","FY 2016","FY 2016","Currency=INR","Period=FY","BEST_FPERIOD_OVERRIDE=FY","FILING_STATUS=OR","EQY_CONSOLIDATED=Y","Sort=A","Dates=H","DateFormat=P","Fill=—","Direction=H","UseDPDF=Y")</f>
        <v>#NAME?</v>
      </c>
      <c r="AB288" s="1" t="e">
        <f ca="1">_xll.BDH($C$278,"NET_FIXED_ASSETS_1_YEAR_GROWTH","FY 2016","FY 2016","Currency=INR","Period=FY","BEST_FPERIOD_OVERRIDE=FY","FILING_STATUS=OR","EQY_CONSOLIDATED=Y","Sort=A","Dates=H","DateFormat=P","Fill=—","Direction=H","UseDPDF=Y")</f>
        <v>#NAME?</v>
      </c>
      <c r="AC288" s="1" t="e">
        <f ca="1">_xll.BDH($C$278,"ASSET_GROWTH","FY 2016","FY 2016","Currency=INR","Period=FY","BEST_FPERIOD_OVERRIDE=FY","FILING_STATUS=OR","EQY_CONSOLIDATED=Y","Sort=A","Dates=H","DateFormat=P","Fill=—","Direction=H","UseDPDF=Y")</f>
        <v>#NAME?</v>
      </c>
      <c r="AD288" s="1" t="e">
        <f ca="1">_xll.BDH($C$278,"MODIFIED_WORK_CAP_GROWTH","FY 2016","FY 2016","Currency=INR","Period=FY","BEST_FPERIOD_OVERRIDE=FY","FILING_STATUS=OR","EQY_CONSOLIDATED=Y","Sort=A","Dates=H","DateFormat=P","Fill=—","Direction=H","UseDPDF=Y")</f>
        <v>#NAME?</v>
      </c>
      <c r="AE288" s="1" t="e">
        <f ca="1">_xll.BDH($C$278,"WORK_CAP_GROWTH","FY 2016","FY 2016","Currency=INR","Period=FY","BEST_FPERIOD_OVERRIDE=FY","FILING_STATUS=OR","EQY_CONSOLIDATED=Y","Sort=A","Dates=H","DateFormat=P","Fill=—","Direction=H","UseDPDF=Y")</f>
        <v>#NAME?</v>
      </c>
      <c r="AF288" s="1" t="e">
        <f ca="1">_xll.BDH($C$278,"ACCOUNTS_PAYABLE_GROWTH_1YR","FY 2016","FY 2016","Currency=INR","Period=FY","BEST_FPERIOD_OVERRIDE=FY","FILING_STATUS=OR","EQY_CONSOLIDATED=Y","Sort=A","Dates=H","DateFormat=P","Fill=—","Direction=H","UseDPDF=Y")</f>
        <v>#NAME?</v>
      </c>
      <c r="AG288" s="1" t="e">
        <f ca="1">_xll.BDH($C$278,"SHORT_TERM_DEBT_1_YEAR_GROWTH","FY 2016","FY 2016","Currency=INR","Period=FY","BEST_FPERIOD_OVERRIDE=FY","FILING_STATUS=OR","EQY_CONSOLIDATED=Y","Sort=A","Dates=H","DateFormat=P","Fill=—","Direction=H","UseDPDF=Y")</f>
        <v>#NAME?</v>
      </c>
      <c r="AH288" s="1" t="e">
        <f ca="1">_xll.BDH($C$278,"TOTAL_DEBT_1_YEAR_GROWTH","FY 2016","FY 2016","Currency=INR","Period=FY","BEST_FPERIOD_OVERRIDE=FY","FILING_STATUS=OR","EQY_CONSOLIDATED=Y","Sort=A","Dates=H","DateFormat=P","Fill=—","Direction=H","UseDPDF=Y")</f>
        <v>#NAME?</v>
      </c>
      <c r="AI288" s="1" t="e">
        <f ca="1">_xll.BDH($C$278,"TOTAL_EQUITY_1_YEAR_GROWTH","FY 2016","FY 2016","Currency=INR","Period=FY","BEST_FPERIOD_OVERRIDE=FY","FILING_STATUS=OR","EQY_CONSOLIDATED=Y","Sort=A","Dates=H","DateFormat=P","Fill=—","Direction=H","UseDPDF=Y")</f>
        <v>#NAME?</v>
      </c>
      <c r="AJ288" s="1" t="e">
        <f ca="1">_xll.BDH($C$278,"GROWTH_IN_CAP","FY 2016","FY 2016","Currency=INR","Period=FY","BEST_FPERIOD_OVERRIDE=FY","FILING_STATUS=OR","EQY_CONSOLIDATED=Y","Sort=A","Dates=H","DateFormat=P","Fill=—","Direction=H","UseDPDF=Y")</f>
        <v>#NAME?</v>
      </c>
      <c r="AK288" s="1" t="e">
        <f ca="1">_xll.BDH($C$278,"BVPS_GROWTH","FY 2016","FY 2016","Currency=INR","Period=FY","BEST_FPERIOD_OVERRIDE=FY","FILING_STATUS=OR","EQY_CONSOLIDATED=Y","Sort=A","Dates=H","DateFormat=P","Fill=—","Direction=H","UseDPDF=Y")</f>
        <v>#NAME?</v>
      </c>
      <c r="AL288" s="1" t="e">
        <f ca="1">_xll.BDH($C$278,"CASH_FLOW_GROWTH","FY 2016","FY 2016","Currency=INR","Period=FY","BEST_FPERIOD_OVERRIDE=FY","FILING_STATUS=OR","EQY_CONSOLIDATED=Y","Sort=A","Dates=H","DateFormat=P","Fill=—","Direction=H","UseDPDF=Y")</f>
        <v>#NAME?</v>
      </c>
      <c r="AM288" s="1" t="e">
        <f ca="1">_xll.BDH($C$278,"GEO_GROW_NET_SALES","FY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288" s="1" t="e">
        <f ca="1">_xll.BDH($C$278,"GEO_GROW_EBITDA","FY 2016","FY 2016","Currency=INR","Period=FY","BEST_FPERIOD_OVERRIDE=FY","FILING_STATUS=OR","EQY_CONSOLIDATED=Y","FA_ADJUSTED=GAAP","Sort=A","Dates=H","DateFormat=P","Fill=—","Direction=H","UseDPDF=Y")</f>
        <v>#NAME?</v>
      </c>
      <c r="AO288" s="1" t="e">
        <f ca="1">_xll.BDH($C$278,"GEO_GROW_OPER_INC","FY 2016","FY 2016","Currency=INR","Period=FY","BEST_FPERIOD_OVERRIDE=FY","FILING_STATUS=OR","EQY_CONSOLIDATED=Y","FA_ADJUSTED=GAAP","Sort=A","Dates=H","DateFormat=P","Fill=—","Direction=H","UseDPDF=Y")</f>
        <v>#NAME?</v>
      </c>
      <c r="AP288" s="1" t="e">
        <f ca="1">_xll.BDH($C$278,"NET_INCOME_TO_COMMON_5_YR_GROWTH","FY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88" s="1" t="e">
        <f ca="1">_xll.BDH($C$278,"5Y_GEO_GROWTH_DILUTED_EPS","FY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88" s="1" t="e">
        <f ca="1">_xll.BDH($C$278,"GEO_GROW_DVD_PER_SH","FY 2016","FY 2016","Currency=INR","Period=FY","BEST_FPERIOD_OVERRIDE=FY","FILING_STATUS=OR","EQY_CONSOLIDATED=Y","Sort=A","Dates=H","DateFormat=P","Fill=—","Direction=H","UseDPDF=Y")</f>
        <v>#NAME?</v>
      </c>
      <c r="AS288" s="1" t="e">
        <f ca="1">_xll.BDH($C$278,"ACCOUNTS_RECEIVABLE_5_YR_GROWTH","FY 2016","FY 2016","Currency=INR","Period=FY","BEST_FPERIOD_OVERRIDE=FY","FILING_STATUS=OR","EQY_CONSOLIDATED=Y","Sort=A","Dates=H","DateFormat=P","Fill=—","Direction=H","UseDPDF=Y")</f>
        <v>#NAME?</v>
      </c>
      <c r="AT288" s="1" t="e">
        <f ca="1">_xll.BDH($C$278,"INVENTORY_5_YEAR_GROWTH","FY 2016","FY 2016","Currency=INR","Period=FY","BEST_FPERIOD_OVERRIDE=FY","FILING_STATUS=OR","EQY_CONSOLIDATED=Y","Sort=A","Dates=H","DateFormat=P","Fill=—","Direction=H","UseDPDF=Y")</f>
        <v>#NAME?</v>
      </c>
      <c r="AU288" s="1" t="e">
        <f ca="1">_xll.BDH($C$278,"NET_FIXED_ASSETS_5_YEAR_GROWTH","FY 2016","FY 2016","Currency=INR","Period=FY","BEST_FPERIOD_OVERRIDE=FY","FILING_STATUS=OR","EQY_CONSOLIDATED=Y","Sort=A","Dates=H","DateFormat=P","Fill=—","Direction=H","UseDPDF=Y")</f>
        <v>#NAME?</v>
      </c>
      <c r="AV288" s="1" t="e">
        <f ca="1">_xll.BDH($C$278,"GEO_GROW_TOT_ASSET","FY 2016","FY 2016","Currency=INR","Period=FY","BEST_FPERIOD_OVERRIDE=FY","FILING_STATUS=OR","EQY_CONSOLIDATED=Y","Sort=A","Dates=H","DateFormat=P","Fill=—","Direction=H","UseDPDF=Y")</f>
        <v>#NAME?</v>
      </c>
      <c r="AW288" s="1" t="e">
        <f ca="1">_xll.BDH($C$278,"MODIFIED_WORKING_CPTL_5YR_GRWTH","FY 2016","FY 2016","Currency=INR","Period=FY","BEST_FPERIOD_OVERRIDE=FY","FILING_STATUS=OR","EQY_CONSOLIDATED=Y","Sort=A","Dates=H","DateFormat=P","Fill=—","Direction=H","UseDPDF=Y")</f>
        <v>#NAME?</v>
      </c>
      <c r="AX288" s="1" t="e">
        <f ca="1">_xll.BDH($C$278,"WORKING_CAPITAL_5_YEAR_GROWTH","FY 2016","FY 2016","Currency=INR","Period=FY","BEST_FPERIOD_OVERRIDE=FY","FILING_STATUS=OR","EQY_CONSOLIDATED=Y","Sort=A","Dates=H","DateFormat=P","Fill=—","Direction=H","UseDPDF=Y")</f>
        <v>#NAME?</v>
      </c>
      <c r="AY288" s="1" t="e">
        <f ca="1">_xll.BDH($C$278,"ACCOUNTS_PAYABLE_5_YEAR_GROWTH","FY 2016","FY 2016","Currency=INR","Period=FY","BEST_FPERIOD_OVERRIDE=FY","FILING_STATUS=OR","EQY_CONSOLIDATED=Y","Sort=A","Dates=H","DateFormat=P","Fill=—","Direction=H","UseDPDF=Y")</f>
        <v>#NAME?</v>
      </c>
      <c r="AZ288" s="1" t="e">
        <f ca="1">_xll.BDH($C$278,"SHORT_TERM_DEBT_5_YEAR_GROWTH","FY 2016","FY 2016","Currency=INR","Period=FY","BEST_FPERIOD_OVERRIDE=FY","FILING_STATUS=OR","EQY_CONSOLIDATED=Y","Sort=A","Dates=H","DateFormat=P","Fill=—","Direction=H","UseDPDF=Y")</f>
        <v>#NAME?</v>
      </c>
      <c r="BA288" s="1" t="e">
        <f ca="1">_xll.BDH($C$278,"TOTAL_DEBT_5_YEAR_GROWTH","FY 2016","FY 2016","Currency=INR","Period=FY","BEST_FPERIOD_OVERRIDE=FY","FILING_STATUS=OR","EQY_CONSOLIDATED=Y","Sort=A","Dates=H","DateFormat=P","Fill=—","Direction=H","UseDPDF=Y")</f>
        <v>#NAME?</v>
      </c>
      <c r="BB288" s="1" t="e">
        <f ca="1">_xll.BDH($C$278,"GEO_GROW_TOT_SHRHLDR_EQY","FY 2016","FY 2016","Currency=INR","Period=FY","BEST_FPERIOD_OVERRIDE=FY","FILING_STATUS=OR","EQY_CONSOLIDATED=Y","Sort=A","Dates=H","DateFormat=P","Fill=—","Direction=H","UseDPDF=Y")</f>
        <v>#NAME?</v>
      </c>
      <c r="BC288" s="1" t="e">
        <f ca="1">_xll.BDH($C$278,"TOTAL_CAPITAL_5_YEAR_GROWTH","FY 2016","FY 2016","Currency=INR","Period=FY","BEST_FPERIOD_OVERRIDE=FY","FILING_STATUS=OR","EQY_CONSOLIDATED=Y","Sort=A","Dates=H","DateFormat=P","Fill=—","Direction=H","UseDPDF=Y")</f>
        <v>#NAME?</v>
      </c>
      <c r="BD288" s="1" t="e">
        <f ca="1">_xll.BDH($C$278,"GEO_GROW_BOOK_VAL","FY 2016","FY 2016","Currency=INR","Period=FY","BEST_FPERIOD_OVERRIDE=FY","FILING_STATUS=OR","EQY_CONSOLIDATED=Y","Sort=A","Dates=H","DateFormat=P","Fill=—","Direction=H","UseDPDF=Y")</f>
        <v>#NAME?</v>
      </c>
      <c r="BE288" s="1" t="e">
        <f ca="1">_xll.BDH($C$278,"GEO_GROW_CASH_OPER_ACT","FY 2016","FY 2016","Currency=INR","Period=FY","BEST_FPERIOD_OVERRIDE=FY","FILING_STATUS=OR","EQY_CONSOLIDATED=Y","Sort=A","Dates=H","DateFormat=P","Fill=—","Direction=H","UseDPDF=Y")</f>
        <v>#NAME?</v>
      </c>
      <c r="BF288" s="1" t="e">
        <f ca="1">_xll.BDH($C$278,"REVENUE_SEQUENTIAL_GROWTH","FY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88" s="1" t="e">
        <f ca="1">_xll.BDH($C$278,"EBITDA_SEQUENTIAL_GROWTH","FY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88" s="1" t="e">
        <f ca="1">_xll.BDH($C$278,"OPERATING_INCOME_SEQ_GROWTH","FY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88" s="1" t="e">
        <f ca="1">_xll.BDH($C$278,"NET_INCOME_TO_COMMON_SEQ_GROWTH","FY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88" s="1" t="e">
        <f ca="1">_xll.BDH($C$278,"EPS_DILUTED_SEQUENTIAL_GROWTH","FY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88" s="1" t="e">
        <f ca="1">_xll.BDH($C$278,"DPS_SEQUENTIAL_GROWTH","FY 2016","FY 2016","Currency=INR","Period=FY","BEST_FPERIOD_OVERRIDE=FY","FILING_STATUS=OR","EQY_CONSOLIDATED=Y","Sort=A","Dates=H","DateFormat=P","Fill=—","Direction=H","UseDPDF=Y")</f>
        <v>#NAME?</v>
      </c>
      <c r="BL288" s="1" t="e">
        <f ca="1">_xll.BDH($C$278,"ACCOUNTS_RECEIVABLE_SEQ_GROWTH","FY 2016","FY 2016","Currency=INR","Period=FY","BEST_FPERIOD_OVERRIDE=FY","FILING_STATUS=OR","EQY_CONSOLIDATED=Y","Sort=A","Dates=H","DateFormat=P","Fill=—","Direction=H","UseDPDF=Y")</f>
        <v>#NAME?</v>
      </c>
      <c r="BM288" s="1" t="e">
        <f ca="1">_xll.BDH($C$278,"INVENTORY_SEQUENTIAL_GROWTH","FY 2016","FY 2016","Currency=INR","Period=FY","BEST_FPERIOD_OVERRIDE=FY","FILING_STATUS=OR","EQY_CONSOLIDATED=Y","Sort=A","Dates=H","DateFormat=P","Fill=—","Direction=H","UseDPDF=Y")</f>
        <v>#NAME?</v>
      </c>
      <c r="BN288" s="1" t="e">
        <f ca="1">_xll.BDH($C$278,"FIXED_ASSETS_SEQUENTIAL_GROWTH","FY 2016","FY 2016","Currency=INR","Period=FY","BEST_FPERIOD_OVERRIDE=FY","FILING_STATUS=OR","EQY_CONSOLIDATED=Y","Sort=A","Dates=H","DateFormat=P","Fill=—","Direction=H","UseDPDF=Y")</f>
        <v>#NAME?</v>
      </c>
      <c r="BO288" s="1" t="e">
        <f ca="1">_xll.BDH($C$278,"TOTAL_ASSETS_SEQUENTIAL_GROWTH","FY 2016","FY 2016","Currency=INR","Period=FY","BEST_FPERIOD_OVERRIDE=FY","FILING_STATUS=OR","EQY_CONSOLIDATED=Y","Sort=A","Dates=H","DateFormat=P","Fill=—","Direction=H","UseDPDF=Y")</f>
        <v>#NAME?</v>
      </c>
      <c r="BP288" s="1" t="e">
        <f ca="1">_xll.BDH($C$278,"MODIFIED_WORKING_CPTL_SEQ_GRWTH","FY 2016","FY 2016","Currency=INR","Period=FY","BEST_FPERIOD_OVERRIDE=FY","FILING_STATUS=OR","EQY_CONSOLIDATED=Y","Sort=A","Dates=H","DateFormat=P","Fill=—","Direction=H","UseDPDF=Y")</f>
        <v>#NAME?</v>
      </c>
      <c r="BQ288" s="1" t="e">
        <f ca="1">_xll.BDH($C$278,"WORKING_CAPITAL_SEQ_GROWTH","FY 2016","FY 2016","Currency=INR","Period=FY","BEST_FPERIOD_OVERRIDE=FY","FILING_STATUS=OR","EQY_CONSOLIDATED=Y","Sort=A","Dates=H","DateFormat=P","Fill=—","Direction=H","UseDPDF=Y")</f>
        <v>#NAME?</v>
      </c>
      <c r="BR288" s="1" t="e">
        <f ca="1">_xll.BDH($C$278,"ACCOUNTS_PAYABLE_SEQ_GROWTH","FY 2016","FY 2016","Currency=INR","Period=FY","BEST_FPERIOD_OVERRIDE=FY","FILING_STATUS=OR","EQY_CONSOLIDATED=Y","Sort=A","Dates=H","DateFormat=P","Fill=—","Direction=H","UseDPDF=Y")</f>
        <v>#NAME?</v>
      </c>
      <c r="BS288" s="1" t="e">
        <f ca="1">_xll.BDH($C$278,"ST_DEBT_SEQUENTIAL_GROWTH","FY 2016","FY 2016","Currency=INR","Period=FY","BEST_FPERIOD_OVERRIDE=FY","FILING_STATUS=OR","EQY_CONSOLIDATED=Y","Sort=A","Dates=H","DateFormat=P","Fill=—","Direction=H","UseDPDF=Y")</f>
        <v>#NAME?</v>
      </c>
      <c r="BT288" s="1" t="e">
        <f ca="1">_xll.BDH($C$278,"TOTAL_DEBT_SEQUENTIAL_GROWTH","FY 2016","FY 2016","Currency=INR","Period=FY","BEST_FPERIOD_OVERRIDE=FY","FILING_STATUS=OR","EQY_CONSOLIDATED=Y","Sort=A","Dates=H","DateFormat=P","Fill=—","Direction=H","UseDPDF=Y")</f>
        <v>#NAME?</v>
      </c>
      <c r="BU288" s="1" t="e">
        <f ca="1">_xll.BDH($C$278,"TOTAL_EQUITY_SEQUENTIAL_GROWTH","FY 2016","FY 2016","Currency=INR","Period=FY","BEST_FPERIOD_OVERRIDE=FY","FILING_STATUS=OR","EQY_CONSOLIDATED=Y","Sort=A","Dates=H","DateFormat=P","Fill=—","Direction=H","UseDPDF=Y")</f>
        <v>#NAME?</v>
      </c>
      <c r="BV288" s="1" t="e">
        <f ca="1">_xll.BDH($C$278,"TOTAL_CAPITAL_SEQUENTIAL_GROWTH","FY 2016","FY 2016","Currency=INR","Period=FY","BEST_FPERIOD_OVERRIDE=FY","FILING_STATUS=OR","EQY_CONSOLIDATED=Y","Sort=A","Dates=H","DateFormat=P","Fill=—","Direction=H","UseDPDF=Y")</f>
        <v>#NAME?</v>
      </c>
      <c r="BW288" s="1" t="e">
        <f ca="1">_xll.BDH($C$278,"BPS_SEQUENTIAL_GROWTH","FY 2016","FY 2016","Currency=INR","Period=FY","BEST_FPERIOD_OVERRIDE=FY","FILING_STATUS=OR","EQY_CONSOLIDATED=Y","Sort=A","Dates=H","DateFormat=P","Fill=—","Direction=H","UseDPDF=Y")</f>
        <v>#NAME?</v>
      </c>
      <c r="BX288" s="1" t="e">
        <f ca="1">_xll.BDH($C$278,"CFO_SEQUENTIAL_GROWTH","FY 2016","FY 2016","Currency=INR","Period=FY","BEST_FPERIOD_OVERRIDE=FY","FILING_STATUS=OR","EQY_CONSOLIDATED=Y","Sort=A","Dates=H","DateFormat=P","Fill=—","Direction=H","UseDPDF=Y")</f>
        <v>#NAME?</v>
      </c>
      <c r="BY288" s="2" t="e">
        <f ca="1">_xll.BDH($C$278,"SHORT_AND_LONG_TERM_DEBT","FY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88" s="2" t="e">
        <f ca="1">_xll.BDH($C$278,"BS_ST_BORROW","FY 2016","FY 2016","Currency=INR","Period=FY","BEST_FPERIOD_OVERRIDE=FY","FILING_STATUS=OR","EQY_CONSOLIDATED=Y","SCALING_FORMAT=MLN","Sort=A","Dates=H","DateFormat=P","Fill=—","Direction=H","UseDPDF=Y")</f>
        <v>#NAME?</v>
      </c>
      <c r="CA288" s="2" t="e">
        <f ca="1">_xll.BDH($C$278,"BS_LT_BORROW","FY 2016","FY 2016","Currency=INR","Period=FY","BEST_FPERIOD_OVERRIDE=FY","FILING_STATUS=OR","EQY_CONSOLIDATED=Y","SCALING_FORMAT=MLN","Sort=A","Dates=H","DateFormat=P","Fill=—","Direction=H","UseDPDF=Y")</f>
        <v>#NAME?</v>
      </c>
      <c r="CB288" s="1" t="e">
        <f ca="1">_xll.BDH($C$278,"TOT_DEBT_TO_EBITDA","FY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288" s="1" t="e">
        <f ca="1">_xll.BDH($C$278,"NET_DEBT_TO_EBITDA","FY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288" s="1" t="e">
        <f ca="1">_xll.BDH($C$278,"TOTAL_DEBT_TO_EBIT","FY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288" s="1" t="e">
        <f ca="1">_xll.BDH($C$278,"NET_DEBT_TO_EBIT","FY 2016","FY 2016","Currency=INR","Period=FY","BEST_FPERIOD_OVERRIDE=FY","FILING_STATUS=OR","EQY_CONSOLIDATED=Y","FA_ADJUSTED=GAAP","Sort=A","Dates=H","DateFormat=P","Fill=—","Direction=H","UseDPDF=Y")</f>
        <v>#NAME?</v>
      </c>
      <c r="CF288" s="1" t="e">
        <f ca="1">_xll.BDH($C$278,"EBITDA_TO_INTEREST_EXPN","FY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88" s="1" t="e">
        <f ca="1">_xll.BDH($C$278,"COM_EQY_TO_TOT_ASSET","FY 2016","FY 2016","Currency=INR","Period=FY","BEST_FPERIOD_OVERRIDE=FY","FILING_STATUS=OR","EQY_CONSOLIDATED=Y","Sort=A","Dates=H","DateFormat=P","Fill=—","Direction=H","UseDPDF=Y")</f>
        <v>#NAME?</v>
      </c>
      <c r="CH288" s="1" t="e">
        <f ca="1">_xll.BDH($C$278,"LT_DEBT_TO_TOT_EQY","FY 2016","FY 2016","Currency=INR","Period=FY","BEST_FPERIOD_OVERRIDE=FY","FILING_STATUS=OR","EQY_CONSOLIDATED=Y","Sort=A","Dates=H","DateFormat=P","Fill=—","Direction=H","UseDPDF=Y")</f>
        <v>#NAME?</v>
      </c>
      <c r="CI288" s="1" t="e">
        <f ca="1">_xll.BDH($C$278,"LT_DEBT_TO_TOT_CAP","FY 2016","FY 2016","Currency=INR","Period=FY","BEST_FPERIOD_OVERRIDE=FY","FILING_STATUS=OR","EQY_CONSOLIDATED=Y","Sort=A","Dates=H","DateFormat=P","Fill=—","Direction=H","UseDPDF=Y")</f>
        <v>#NAME?</v>
      </c>
      <c r="CJ288" s="1" t="e">
        <f ca="1">_xll.BDH($C$278,"LT_DEBT_TO_TOT_ASSET","FY 2016","FY 2016","Currency=INR","Period=FY","BEST_FPERIOD_OVERRIDE=FY","FILING_STATUS=OR","EQY_CONSOLIDATED=Y","Sort=A","Dates=H","DateFormat=P","Fill=—","Direction=H","UseDPDF=Y")</f>
        <v>#NAME?</v>
      </c>
      <c r="CK288" s="1" t="e">
        <f ca="1">_xll.BDH($C$278,"TOT_DEBT_TO_TOT_EQY","FY 2016","FY 2016","Currency=INR","Period=FY","BEST_FPERIOD_OVERRIDE=FY","FILING_STATUS=OR","EQY_CONSOLIDATED=Y","Sort=A","Dates=H","DateFormat=P","Fill=—","Direction=H","UseDPDF=Y")</f>
        <v>#NAME?</v>
      </c>
      <c r="CL288" s="1" t="e">
        <f ca="1">_xll.BDH($C$278,"TOT_DEBT_TO_TOT_CAP","FY 2016","FY 2016","Currency=INR","Period=FY","BEST_FPERIOD_OVERRIDE=FY","FILING_STATUS=OR","EQY_CONSOLIDATED=Y","Sort=A","Dates=H","DateFormat=P","Fill=—","Direction=H","UseDPDF=Y")</f>
        <v>#NAME?</v>
      </c>
      <c r="CM288" s="1" t="e">
        <f ca="1">_xll.BDH($C$278,"TOT_DEBT_TO_TOT_ASSET","FY 2016","FY 2016","Currency=INR","Period=FY","BEST_FPERIOD_OVERRIDE=FY","FILING_STATUS=OR","EQY_CONSOLIDATED=Y","Sort=A","Dates=H","DateFormat=P","Fill=—","Direction=H","UseDPDF=Y")</f>
        <v>#NAME?</v>
      </c>
      <c r="CN288" s="1" t="e">
        <f ca="1">_xll.BDH($C$278,"NET_DEBT_TO_SHRHLDR_EQTY","FY 2016","FY 2016","Currency=INR","Period=FY","BEST_FPERIOD_OVERRIDE=FY","FILING_STATUS=OR","EQY_CONSOLIDATED=Y","Sort=A","Dates=H","DateFormat=P","Fill=—","Direction=H","UseDPDF=Y")</f>
        <v>#NAME?</v>
      </c>
      <c r="CO288" s="1" t="e">
        <f ca="1">_xll.BDH($C$278,"NET_DEBT_%_CAPITAL","FY 2016","FY 2016","Currency=INR","Period=FY","BEST_FPERIOD_OVERRIDE=FY","FILING_STATUS=OR","EQY_CONSOLIDATED=Y","Sort=A","Dates=H","DateFormat=P","Fill=—","Direction=H","UseDPDF=Y")</f>
        <v>#NAME?</v>
      </c>
      <c r="CP288" s="2" t="e">
        <f ca="1">_xll.BDH($C$278,"EBITDA","FY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88" s="2" t="e">
        <f ca="1">_xll.BDH($C$278,"EBITDA_AFTER_CAPEX","FY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88" s="2" t="e">
        <f ca="1">_xll.BDH($C$278,"IS_OPER_INC","FY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88" s="1" t="e">
        <f ca="1">_xll.BDH($C$278,"CASH_RATIO","FY 2016","FY 2016","Currency=INR","Period=FY","BEST_FPERIOD_OVERRIDE=FY","FILING_STATUS=OR","EQY_CONSOLIDATED=Y","Sort=A","Dates=H","DateFormat=P","Fill=—","Direction=H","UseDPDF=Y")</f>
        <v>#NAME?</v>
      </c>
      <c r="CT288" s="1" t="e">
        <f ca="1">_xll.BDH($C$278,"CUR_RATIO","FY 2016","FY 2016","Currency=INR","Period=FY","BEST_FPERIOD_OVERRIDE=FY","FILING_STATUS=OR","EQY_CONSOLIDATED=Y","Sort=A","Dates=H","DateFormat=P","Fill=—","Direction=H","UseDPDF=Y")</f>
        <v>#NAME?</v>
      </c>
      <c r="CU288" s="1" t="e">
        <f ca="1">_xll.BDH($C$278,"QUICK_RATIO","FY 2016","FY 2016","Currency=INR","Period=FY","BEST_FPERIOD_OVERRIDE=FY","FILING_STATUS=OR","EQY_CONSOLIDATED=Y","Sort=A","Dates=H","DateFormat=P","Fill=—","Direction=H","UseDPDF=Y")</f>
        <v>#NAME?</v>
      </c>
      <c r="CV288" s="1" t="e">
        <f ca="1">_xll.BDH($C$278,"ALTMAN_Z_SCORE","FY 2016","FY 2016","Currency=INR","Period=FY","BEST_FPERIOD_OVERRIDE=FY","FILING_STATUS=OR","EQY_CONSOLIDATED=Y","Sort=A","Dates=H","DateFormat=P","Fill=—","Direction=H","UseDPDF=Y")</f>
        <v>#NAME?</v>
      </c>
      <c r="CW288" s="3" t="e">
        <f ca="1">_xll.BDH($C$278,"ACCT_RCV_TURN","FY 2016","FY 2016","Currency=INR","Period=FY","BEST_FPERIOD_OVERRIDE=FY","FILING_STATUS=OR","EQY_CONSOLIDATED=Y","FA_ADJUSTED=GAAP","Sort=A","Dates=H","DateFormat=P","Fill=—","Direction=H","UseDPDF=Y")</f>
        <v>#NAME?</v>
      </c>
      <c r="CX288" s="1" t="e">
        <f ca="1">_xll.BDH($C$278,"ACCT_RCV_DAYS","FY 2016","FY 2016","Currency=INR","Period=FY","BEST_FPERIOD_OVERRIDE=FY","FILING_STATUS=OR","EQY_CONSOLIDATED=Y","FA_ADJUSTED=GAAP","Sort=A","Dates=H","DateFormat=P","Fill=—","Direction=H","UseDPDF=Y")</f>
        <v>#NAME?</v>
      </c>
      <c r="CY288" s="3" t="e">
        <f ca="1">_xll.BDH($C$278,"INVENT_TURN","FY 2016","FY 2016","Currency=INR","Period=FY","BEST_FPERIOD_OVERRIDE=FY","FILING_STATUS=OR","EQY_CONSOLIDATED=Y","FA_ADJUSTED=GAAP","Sort=A","Dates=H","DateFormat=P","Fill=—","Direction=H","UseDPDF=Y")</f>
        <v>#NAME?</v>
      </c>
      <c r="CZ288" s="1" t="e">
        <f ca="1">_xll.BDH($C$278,"INVENT_DAYS","FY 2016","FY 2016","Currency=INR","Period=FY","BEST_FPERIOD_OVERRIDE=FY","FILING_STATUS=OR","EQY_CONSOLIDATED=Y","FA_ADJUSTED=GAAP","Sort=A","Dates=H","DateFormat=P","Fill=—","Direction=H","UseDPDF=Y")</f>
        <v>#NAME?</v>
      </c>
      <c r="DA288" s="3" t="e">
        <f ca="1">_xll.BDH($C$278,"ACCOUNTS_PAYABLE_TURNOVER","FY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88" s="1" t="e">
        <f ca="1">_xll.BDH($C$278,"ACCOUNTS_PAYABLE_TURNOVER_DAYS","FY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88" s="3" t="e">
        <f ca="1">_xll.BDH($C$278,"CASH_CONVERSION_CYCLE","FY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88" s="3" t="e">
        <f ca="1">_xll.BDH($C$278,"INV_TO_CASH_DAYS","FY 2016","FY 2016","Currency=INR","Period=FY","BEST_FPERIOD_OVERRIDE=FY","FILING_STATUS=OR","EQY_CONSOLIDATED=Y","FA_ADJUSTED=GAAP","Sort=A","Dates=H","DateFormat=P","Fill=—","Direction=H","UseDPDF=Y")</f>
        <v>#NAME?</v>
      </c>
      <c r="DE288" s="4" t="e">
        <f ca="1">_xll.BDH($C$278,"BS_INVENTORIES","FY 2016","FY 2016","Currency=INR","Period=FY","BEST_FPERIOD_OVERRIDE=FY","FILING_STATUS=OR","EQY_CONSOLIDATED=Y","SCALING_FORMAT=MLN","Sort=A","Dates=H","DateFormat=P","Fill=—","Direction=H","UseDPDF=Y")</f>
        <v>#NAME?</v>
      </c>
      <c r="DF288" s="2" t="e">
        <f ca="1">_xll.BDH($C$278,"INVTRY_RAW_MATERIALS","FY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88" s="2" t="e">
        <f ca="1">_xll.BDH($C$278,"INVTRY_IN_PROGRESS","FY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88" s="2" t="e">
        <f ca="1">_xll.BDH($C$278,"INVTRY_FINISHED_GOODS","FY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88" s="2" t="e">
        <f ca="1">_xll.BDH($C$278,"BS_OTHER_INV","FY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89" spans="1:113" x14ac:dyDescent="0.3">
      <c r="A289" s="6"/>
      <c r="B289" s="6"/>
      <c r="C289" s="6"/>
      <c r="D289" s="6"/>
      <c r="E289" t="s">
        <v>4</v>
      </c>
      <c r="F289" t="e">
        <f ca="1">_xll.BDH($C$278,"RETURN_COM_EQY","FQ1 2016","FQ1 2016","Currency=INR","Period=FQ","BEST_FPERIOD_OVERRIDE=FQ","FILING_STATUS=OR","EQY_CONSOLIDATED=Y","FA_ADJUSTED=GAAP","Sort=A","Dates=H","DateFormat=P","Fill=—","Direction=H","UseDPDF=Y")</f>
        <v>#NAME?</v>
      </c>
      <c r="G289" t="e">
        <f ca="1">_xll.BDH($C$278,"RETURN_ON_ASSET","FQ1 2016","FQ1 2016","Currency=INR","Period=FQ","BEST_FPERIOD_OVERRIDE=FQ","FILING_STATUS=OR","EQY_CONSOLIDATED=Y","FA_ADJUSTED=GAAP","Sort=A","Dates=H","DateFormat=P","Fill=—","Direction=H","UseDPDF=Y")</f>
        <v>#NAME?</v>
      </c>
      <c r="H289" t="e">
        <f ca="1">_xll.BDH($C$278,"RETURN_ON_CAP","FQ1 2016","FQ1 2016","Currency=INR","Period=FQ","BEST_FPERIOD_OVERRIDE=FQ","FILING_STATUS=OR","EQY_CONSOLIDATED=Y","FA_ADJUSTED=GAAP","Sort=A","Dates=H","DateFormat=P","Fill=—","Direction=H","UseDPDF=Y")</f>
        <v>#NAME?</v>
      </c>
      <c r="I289" t="e">
        <f ca="1">_xll.BDH($C$278,"RETURN_ON_INV_CAPITAL","FQ1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89" t="e">
        <f ca="1">_xll.BDH($C$278,"EBITDA_TO_REVENUE","FQ1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289" t="e">
        <f ca="1">_xll.BDH($C$278,"OPER_MARGIN","FQ1 2016","FQ1 2016","Currency=INR","Period=FQ","BEST_FPERIOD_OVERRIDE=FQ","FILING_STATUS=OR","EQY_CONSOLIDATED=Y","FA_ADJUSTED=GAAP","Sort=A","Dates=H","DateFormat=P","Fill=—","Direction=H","UseDPDF=Y")</f>
        <v>#NAME?</v>
      </c>
      <c r="L289" t="e">
        <f ca="1">_xll.BDH($C$278,"INCREMENTAL_OPERATING_MARGIN","FQ1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89" t="e">
        <f ca="1">_xll.BDH($C$278,"PRETAX_INC_TO_NET_SALES","FQ1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89" t="e">
        <f ca="1">_xll.BDH($C$278,"INC_BEF_XO_ITEMS_TO_NET_SALES","FQ1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89" t="e">
        <f ca="1">_xll.BDH($C$278,"PROF_MARGIN","FQ1 2016","FQ1 2016","Currency=INR","Period=FQ","BEST_FPERIOD_OVERRIDE=FQ","FILING_STATUS=OR","EQY_CONSOLIDATED=Y","FA_ADJUSTED=GAAP","Sort=A","Dates=H","DateFormat=P","Fill=—","Direction=H","UseDPDF=Y")</f>
        <v>#NAME?</v>
      </c>
      <c r="P289" t="e">
        <f ca="1">_xll.BDH($C$278,"NET_INCOME_TO_COMMON_MARGIN","FQ1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89" t="e">
        <f ca="1">_xll.BDH($C$278,"EFF_TAX_RATE","FQ1 2016","FQ1 2016","Currency=INR","Period=FQ","BEST_FPERIOD_OVERRIDE=FQ","FILING_STATUS=OR","EQY_CONSOLIDATED=Y","FA_ADJUSTED=GAAP","Sort=A","Dates=H","DateFormat=P","Fill=—","Direction=H","UseDPDF=Y")</f>
        <v>#NAME?</v>
      </c>
      <c r="R289" t="e">
        <f ca="1">_xll.BDH($C$278,"DVD_PAYOUT_RATIO","FQ1 2016","FQ1 2016","Currency=INR","Period=FQ","BEST_FPERIOD_OVERRIDE=FQ","FILING_STATUS=OR","EQY_CONSOLIDATED=Y","FA_ADJUSTED=GAAP","Sort=A","Dates=H","DateFormat=P","Fill=—","Direction=H","UseDPDF=Y")</f>
        <v>#NAME?</v>
      </c>
      <c r="S289" t="e">
        <f ca="1">_xll.BDH($C$278,"SUSTAIN_GROWTH_RT","FQ1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289" s="1" t="e">
        <f ca="1">_xll.BDH($C$278,"SALES_GROWTH","FQ1 2016","FQ1 2016","Currency=INR","Period=FQ","BEST_FPERIOD_OVERRIDE=FQ","FILING_STATUS=OR","EQY_CONSOLIDATED=Y","FA_ADJUSTED=GAAP","Sort=A","Dates=H","DateFormat=P","Fill=—","Direction=H","UseDPDF=Y")</f>
        <v>#NAME?</v>
      </c>
      <c r="U289" s="1" t="e">
        <f ca="1">_xll.BDH($C$278,"EBITDA_GROWTH","FQ1 2016","FQ1 2016","Currency=INR","Period=FQ","BEST_FPERIOD_OVERRIDE=FQ","FILING_STATUS=OR","EQY_CONSOLIDATED=Y","FA_ADJUSTED=GAAP","Sort=A","Dates=H","DateFormat=P","Fill=—","Direction=H","UseDPDF=Y")</f>
        <v>#NAME?</v>
      </c>
      <c r="V289" s="1" t="e">
        <f ca="1">_xll.BDH($C$278,"OPER_INC_GROWTH","FQ1 2016","FQ1 2016","Currency=INR","Period=FQ","BEST_FPERIOD_OVERRIDE=FQ","FILING_STATUS=OR","EQY_CONSOLIDATED=Y","FA_ADJUSTED=GAAP","Sort=A","Dates=H","DateFormat=P","Fill=—","Direction=H","UseDPDF=Y")</f>
        <v>#NAME?</v>
      </c>
      <c r="W289" s="1" t="e">
        <f ca="1">_xll.BDH($C$278,"EARN_FOR_COM_GROWTH","FQ1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89" s="1" t="e">
        <f ca="1">_xll.BDH($C$278,"DILUTED_EPS_AFT_XO_ITEMS_GROWTH","FQ1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89" s="1" t="e">
        <f ca="1">_xll.BDH($C$278,"DIVIDEND_PER_SHARE_1_YEAR_GROWTH","FQ1 2016","FQ1 2016","Currency=INR","Period=FQ","BEST_FPERIOD_OVERRIDE=FQ","FILING_STATUS=OR","EQY_CONSOLIDATED=Y","Sort=A","Dates=H","DateFormat=P","Fill=—","Direction=H","UseDPDF=Y")</f>
        <v>#NAME?</v>
      </c>
      <c r="Z289" s="1" t="e">
        <f ca="1">_xll.BDH($C$278,"ACCOUNTS_RECEIVABLE_GROWTH","FQ1 2016","FQ1 2016","Currency=INR","Period=FQ","BEST_FPERIOD_OVERRIDE=FQ","FILING_STATUS=OR","EQY_CONSOLIDATED=Y","Sort=A","Dates=H","DateFormat=P","Fill=—","Direction=H","UseDPDF=Y")</f>
        <v>#NAME?</v>
      </c>
      <c r="AA289" s="1" t="e">
        <f ca="1">_xll.BDH($C$278,"INVENTORY_GROWTH","FQ1 2016","FQ1 2016","Currency=INR","Period=FQ","BEST_FPERIOD_OVERRIDE=FQ","FILING_STATUS=OR","EQY_CONSOLIDATED=Y","Sort=A","Dates=H","DateFormat=P","Fill=—","Direction=H","UseDPDF=Y")</f>
        <v>#NAME?</v>
      </c>
      <c r="AB289" s="1" t="e">
        <f ca="1">_xll.BDH($C$278,"NET_FIXED_ASSETS_1_YEAR_GROWTH","FQ1 2016","FQ1 2016","Currency=INR","Period=FQ","BEST_FPERIOD_OVERRIDE=FQ","FILING_STATUS=OR","EQY_CONSOLIDATED=Y","Sort=A","Dates=H","DateFormat=P","Fill=—","Direction=H","UseDPDF=Y")</f>
        <v>#NAME?</v>
      </c>
      <c r="AC289" s="1" t="e">
        <f ca="1">_xll.BDH($C$278,"ASSET_GROWTH","FQ1 2016","FQ1 2016","Currency=INR","Period=FQ","BEST_FPERIOD_OVERRIDE=FQ","FILING_STATUS=OR","EQY_CONSOLIDATED=Y","Sort=A","Dates=H","DateFormat=P","Fill=—","Direction=H","UseDPDF=Y")</f>
        <v>#NAME?</v>
      </c>
      <c r="AD289" s="1" t="e">
        <f ca="1">_xll.BDH($C$278,"MODIFIED_WORK_CAP_GROWTH","FQ1 2016","FQ1 2016","Currency=INR","Period=FQ","BEST_FPERIOD_OVERRIDE=FQ","FILING_STATUS=OR","EQY_CONSOLIDATED=Y","Sort=A","Dates=H","DateFormat=P","Fill=—","Direction=H","UseDPDF=Y")</f>
        <v>#NAME?</v>
      </c>
      <c r="AE289" s="1" t="e">
        <f ca="1">_xll.BDH($C$278,"WORK_CAP_GROWTH","FQ1 2016","FQ1 2016","Currency=INR","Period=FQ","BEST_FPERIOD_OVERRIDE=FQ","FILING_STATUS=OR","EQY_CONSOLIDATED=Y","Sort=A","Dates=H","DateFormat=P","Fill=—","Direction=H","UseDPDF=Y")</f>
        <v>#NAME?</v>
      </c>
      <c r="AF289" s="1" t="e">
        <f ca="1">_xll.BDH($C$278,"ACCOUNTS_PAYABLE_GROWTH_1YR","FQ1 2016","FQ1 2016","Currency=INR","Period=FQ","BEST_FPERIOD_OVERRIDE=FQ","FILING_STATUS=OR","EQY_CONSOLIDATED=Y","Sort=A","Dates=H","DateFormat=P","Fill=—","Direction=H","UseDPDF=Y")</f>
        <v>#NAME?</v>
      </c>
      <c r="AG289" s="1" t="e">
        <f ca="1">_xll.BDH($C$278,"SHORT_TERM_DEBT_1_YEAR_GROWTH","FQ1 2016","FQ1 2016","Currency=INR","Period=FQ","BEST_FPERIOD_OVERRIDE=FQ","FILING_STATUS=OR","EQY_CONSOLIDATED=Y","Sort=A","Dates=H","DateFormat=P","Fill=—","Direction=H","UseDPDF=Y")</f>
        <v>#NAME?</v>
      </c>
      <c r="AH289" s="1" t="e">
        <f ca="1">_xll.BDH($C$278,"TOTAL_DEBT_1_YEAR_GROWTH","FQ1 2016","FQ1 2016","Currency=INR","Period=FQ","BEST_FPERIOD_OVERRIDE=FQ","FILING_STATUS=OR","EQY_CONSOLIDATED=Y","Sort=A","Dates=H","DateFormat=P","Fill=—","Direction=H","UseDPDF=Y")</f>
        <v>#NAME?</v>
      </c>
      <c r="AI289" s="1" t="e">
        <f ca="1">_xll.BDH($C$278,"TOTAL_EQUITY_1_YEAR_GROWTH","FQ1 2016","FQ1 2016","Currency=INR","Period=FQ","BEST_FPERIOD_OVERRIDE=FQ","FILING_STATUS=OR","EQY_CONSOLIDATED=Y","Sort=A","Dates=H","DateFormat=P","Fill=—","Direction=H","UseDPDF=Y")</f>
        <v>#NAME?</v>
      </c>
      <c r="AJ289" s="1" t="e">
        <f ca="1">_xll.BDH($C$278,"GROWTH_IN_CAP","FQ1 2016","FQ1 2016","Currency=INR","Period=FQ","BEST_FPERIOD_OVERRIDE=FQ","FILING_STATUS=OR","EQY_CONSOLIDATED=Y","Sort=A","Dates=H","DateFormat=P","Fill=—","Direction=H","UseDPDF=Y")</f>
        <v>#NAME?</v>
      </c>
      <c r="AK289" s="1" t="e">
        <f ca="1">_xll.BDH($C$278,"BVPS_GROWTH","FQ1 2016","FQ1 2016","Currency=INR","Period=FQ","BEST_FPERIOD_OVERRIDE=FQ","FILING_STATUS=OR","EQY_CONSOLIDATED=Y","Sort=A","Dates=H","DateFormat=P","Fill=—","Direction=H","UseDPDF=Y")</f>
        <v>#NAME?</v>
      </c>
      <c r="AL289" s="1" t="e">
        <f ca="1">_xll.BDH($C$278,"CASH_FLOW_GROWTH","FQ1 2016","FQ1 2016","Currency=INR","Period=FQ","BEST_FPERIOD_OVERRIDE=FQ","FILING_STATUS=OR","EQY_CONSOLIDATED=Y","Sort=A","Dates=H","DateFormat=P","Fill=—","Direction=H","UseDPDF=Y")</f>
        <v>#NAME?</v>
      </c>
      <c r="AM289" s="1" t="e">
        <f ca="1">_xll.BDH($C$278,"GEO_GROW_NET_SALES","FQ1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89" s="1" t="e">
        <f ca="1">_xll.BDH($C$278,"GEO_GROW_EBITDA","FQ1 2016","FQ1 2016","Currency=INR","Period=FQ","BEST_FPERIOD_OVERRIDE=FQ","FILING_STATUS=OR","EQY_CONSOLIDATED=Y","FA_ADJUSTED=GAAP","Sort=A","Dates=H","DateFormat=P","Fill=—","Direction=H","UseDPDF=Y")</f>
        <v>#NAME?</v>
      </c>
      <c r="AO289" s="1" t="e">
        <f ca="1">_xll.BDH($C$278,"GEO_GROW_OPER_INC","FQ1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89" s="1" t="e">
        <f ca="1">_xll.BDH($C$278,"NET_INCOME_TO_COMMON_5_YR_GROWTH","FQ1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89" s="1" t="e">
        <f ca="1">_xll.BDH($C$278,"5Y_GEO_GROWTH_DILUTED_EPS","FQ1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89" s="1" t="e">
        <f ca="1">_xll.BDH($C$278,"GEO_GROW_DVD_PER_SH","FQ1 2016","FQ1 2016","Currency=INR","Period=FQ","BEST_FPERIOD_OVERRIDE=FQ","FILING_STATUS=OR","EQY_CONSOLIDATED=Y","Sort=A","Dates=H","DateFormat=P","Fill=—","Direction=H","UseDPDF=Y")</f>
        <v>#NAME?</v>
      </c>
      <c r="AS289" s="1" t="e">
        <f ca="1">_xll.BDH($C$278,"ACCOUNTS_RECEIVABLE_5_YR_GROWTH","FQ1 2016","FQ1 2016","Currency=INR","Period=FQ","BEST_FPERIOD_OVERRIDE=FQ","FILING_STATUS=OR","EQY_CONSOLIDATED=Y","Sort=A","Dates=H","DateFormat=P","Fill=—","Direction=H","UseDPDF=Y")</f>
        <v>#NAME?</v>
      </c>
      <c r="AT289" s="1" t="e">
        <f ca="1">_xll.BDH($C$278,"INVENTORY_5_YEAR_GROWTH","FQ1 2016","FQ1 2016","Currency=INR","Period=FQ","BEST_FPERIOD_OVERRIDE=FQ","FILING_STATUS=OR","EQY_CONSOLIDATED=Y","Sort=A","Dates=H","DateFormat=P","Fill=—","Direction=H","UseDPDF=Y")</f>
        <v>#NAME?</v>
      </c>
      <c r="AU289" s="1" t="e">
        <f ca="1">_xll.BDH($C$278,"NET_FIXED_ASSETS_5_YEAR_GROWTH","FQ1 2016","FQ1 2016","Currency=INR","Period=FQ","BEST_FPERIOD_OVERRIDE=FQ","FILING_STATUS=OR","EQY_CONSOLIDATED=Y","Sort=A","Dates=H","DateFormat=P","Fill=—","Direction=H","UseDPDF=Y")</f>
        <v>#NAME?</v>
      </c>
      <c r="AV289" s="1" t="e">
        <f ca="1">_xll.BDH($C$278,"GEO_GROW_TOT_ASSET","FQ1 2016","FQ1 2016","Currency=INR","Period=FQ","BEST_FPERIOD_OVERRIDE=FQ","FILING_STATUS=OR","EQY_CONSOLIDATED=Y","Sort=A","Dates=H","DateFormat=P","Fill=—","Direction=H","UseDPDF=Y")</f>
        <v>#NAME?</v>
      </c>
      <c r="AW289" s="1" t="e">
        <f ca="1">_xll.BDH($C$278,"MODIFIED_WORKING_CPTL_5YR_GRWTH","FQ1 2016","FQ1 2016","Currency=INR","Period=FQ","BEST_FPERIOD_OVERRIDE=FQ","FILING_STATUS=OR","EQY_CONSOLIDATED=Y","Sort=A","Dates=H","DateFormat=P","Fill=—","Direction=H","UseDPDF=Y")</f>
        <v>#NAME?</v>
      </c>
      <c r="AX289" s="1" t="e">
        <f ca="1">_xll.BDH($C$278,"WORKING_CAPITAL_5_YEAR_GROWTH","FQ1 2016","FQ1 2016","Currency=INR","Period=FQ","BEST_FPERIOD_OVERRIDE=FQ","FILING_STATUS=OR","EQY_CONSOLIDATED=Y","Sort=A","Dates=H","DateFormat=P","Fill=—","Direction=H","UseDPDF=Y")</f>
        <v>#NAME?</v>
      </c>
      <c r="AY289" s="1" t="e">
        <f ca="1">_xll.BDH($C$278,"ACCOUNTS_PAYABLE_5_YEAR_GROWTH","FQ1 2016","FQ1 2016","Currency=INR","Period=FQ","BEST_FPERIOD_OVERRIDE=FQ","FILING_STATUS=OR","EQY_CONSOLIDATED=Y","Sort=A","Dates=H","DateFormat=P","Fill=—","Direction=H","UseDPDF=Y")</f>
        <v>#NAME?</v>
      </c>
      <c r="AZ289" s="1" t="e">
        <f ca="1">_xll.BDH($C$278,"SHORT_TERM_DEBT_5_YEAR_GROWTH","FQ1 2016","FQ1 2016","Currency=INR","Period=FQ","BEST_FPERIOD_OVERRIDE=FQ","FILING_STATUS=OR","EQY_CONSOLIDATED=Y","Sort=A","Dates=H","DateFormat=P","Fill=—","Direction=H","UseDPDF=Y")</f>
        <v>#NAME?</v>
      </c>
      <c r="BA289" s="1" t="e">
        <f ca="1">_xll.BDH($C$278,"TOTAL_DEBT_5_YEAR_GROWTH","FQ1 2016","FQ1 2016","Currency=INR","Period=FQ","BEST_FPERIOD_OVERRIDE=FQ","FILING_STATUS=OR","EQY_CONSOLIDATED=Y","Sort=A","Dates=H","DateFormat=P","Fill=—","Direction=H","UseDPDF=Y")</f>
        <v>#NAME?</v>
      </c>
      <c r="BB289" s="1" t="e">
        <f ca="1">_xll.BDH($C$278,"GEO_GROW_TOT_SHRHLDR_EQY","FQ1 2016","FQ1 2016","Currency=INR","Period=FQ","BEST_FPERIOD_OVERRIDE=FQ","FILING_STATUS=OR","EQY_CONSOLIDATED=Y","Sort=A","Dates=H","DateFormat=P","Fill=—","Direction=H","UseDPDF=Y")</f>
        <v>#NAME?</v>
      </c>
      <c r="BC289" s="1" t="e">
        <f ca="1">_xll.BDH($C$278,"TOTAL_CAPITAL_5_YEAR_GROWTH","FQ1 2016","FQ1 2016","Currency=INR","Period=FQ","BEST_FPERIOD_OVERRIDE=FQ","FILING_STATUS=OR","EQY_CONSOLIDATED=Y","Sort=A","Dates=H","DateFormat=P","Fill=—","Direction=H","UseDPDF=Y")</f>
        <v>#NAME?</v>
      </c>
      <c r="BD289" s="1" t="e">
        <f ca="1">_xll.BDH($C$278,"GEO_GROW_BOOK_VAL","FQ1 2016","FQ1 2016","Currency=INR","Period=FQ","BEST_FPERIOD_OVERRIDE=FQ","FILING_STATUS=OR","EQY_CONSOLIDATED=Y","Sort=A","Dates=H","DateFormat=P","Fill=—","Direction=H","UseDPDF=Y")</f>
        <v>#NAME?</v>
      </c>
      <c r="BE289" s="1" t="e">
        <f ca="1">_xll.BDH($C$278,"GEO_GROW_CASH_OPER_ACT","FQ1 2016","FQ1 2016","Currency=INR","Period=FQ","BEST_FPERIOD_OVERRIDE=FQ","FILING_STATUS=OR","EQY_CONSOLIDATED=Y","Sort=A","Dates=H","DateFormat=P","Fill=—","Direction=H","UseDPDF=Y")</f>
        <v>#NAME?</v>
      </c>
      <c r="BF289" s="1" t="e">
        <f ca="1">_xll.BDH($C$278,"REVENUE_SEQUENTIAL_GROWTH","FQ1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89" s="1" t="e">
        <f ca="1">_xll.BDH($C$278,"EBITDA_SEQUENTIAL_GROWTH","FQ1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89" s="1" t="e">
        <f ca="1">_xll.BDH($C$278,"OPERATING_INCOME_SEQ_GROWTH","FQ1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89" s="1" t="e">
        <f ca="1">_xll.BDH($C$278,"NET_INCOME_TO_COMMON_SEQ_GROWTH","FQ1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89" s="1" t="e">
        <f ca="1">_xll.BDH($C$278,"EPS_DILUTED_SEQUENTIAL_GROWTH","FQ1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89" s="1" t="e">
        <f ca="1">_xll.BDH($C$278,"DPS_SEQUENTIAL_GROWTH","FQ1 2016","FQ1 2016","Currency=INR","Period=FQ","BEST_FPERIOD_OVERRIDE=FQ","FILING_STATUS=OR","EQY_CONSOLIDATED=Y","Sort=A","Dates=H","DateFormat=P","Fill=—","Direction=H","UseDPDF=Y")</f>
        <v>#NAME?</v>
      </c>
      <c r="BL289" s="1" t="e">
        <f ca="1">_xll.BDH($C$278,"ACCOUNTS_RECEIVABLE_SEQ_GROWTH","FQ1 2016","FQ1 2016","Currency=INR","Period=FQ","BEST_FPERIOD_OVERRIDE=FQ","FILING_STATUS=OR","EQY_CONSOLIDATED=Y","Sort=A","Dates=H","DateFormat=P","Fill=—","Direction=H","UseDPDF=Y")</f>
        <v>#NAME?</v>
      </c>
      <c r="BM289" s="1" t="e">
        <f ca="1">_xll.BDH($C$278,"INVENTORY_SEQUENTIAL_GROWTH","FQ1 2016","FQ1 2016","Currency=INR","Period=FQ","BEST_FPERIOD_OVERRIDE=FQ","FILING_STATUS=OR","EQY_CONSOLIDATED=Y","Sort=A","Dates=H","DateFormat=P","Fill=—","Direction=H","UseDPDF=Y")</f>
        <v>#NAME?</v>
      </c>
      <c r="BN289" s="1" t="e">
        <f ca="1">_xll.BDH($C$278,"FIXED_ASSETS_SEQUENTIAL_GROWTH","FQ1 2016","FQ1 2016","Currency=INR","Period=FQ","BEST_FPERIOD_OVERRIDE=FQ","FILING_STATUS=OR","EQY_CONSOLIDATED=Y","Sort=A","Dates=H","DateFormat=P","Fill=—","Direction=H","UseDPDF=Y")</f>
        <v>#NAME?</v>
      </c>
      <c r="BO289" s="1" t="e">
        <f ca="1">_xll.BDH($C$278,"TOTAL_ASSETS_SEQUENTIAL_GROWTH","FQ1 2016","FQ1 2016","Currency=INR","Period=FQ","BEST_FPERIOD_OVERRIDE=FQ","FILING_STATUS=OR","EQY_CONSOLIDATED=Y","Sort=A","Dates=H","DateFormat=P","Fill=—","Direction=H","UseDPDF=Y")</f>
        <v>#NAME?</v>
      </c>
      <c r="BP289" s="1" t="e">
        <f ca="1">_xll.BDH($C$278,"MODIFIED_WORKING_CPTL_SEQ_GRWTH","FQ1 2016","FQ1 2016","Currency=INR","Period=FQ","BEST_FPERIOD_OVERRIDE=FQ","FILING_STATUS=OR","EQY_CONSOLIDATED=Y","Sort=A","Dates=H","DateFormat=P","Fill=—","Direction=H","UseDPDF=Y")</f>
        <v>#NAME?</v>
      </c>
      <c r="BQ289" s="1" t="e">
        <f ca="1">_xll.BDH($C$278,"WORKING_CAPITAL_SEQ_GROWTH","FQ1 2016","FQ1 2016","Currency=INR","Period=FQ","BEST_FPERIOD_OVERRIDE=FQ","FILING_STATUS=OR","EQY_CONSOLIDATED=Y","Sort=A","Dates=H","DateFormat=P","Fill=—","Direction=H","UseDPDF=Y")</f>
        <v>#NAME?</v>
      </c>
      <c r="BR289" s="1" t="e">
        <f ca="1">_xll.BDH($C$278,"ACCOUNTS_PAYABLE_SEQ_GROWTH","FQ1 2016","FQ1 2016","Currency=INR","Period=FQ","BEST_FPERIOD_OVERRIDE=FQ","FILING_STATUS=OR","EQY_CONSOLIDATED=Y","Sort=A","Dates=H","DateFormat=P","Fill=—","Direction=H","UseDPDF=Y")</f>
        <v>#NAME?</v>
      </c>
      <c r="BS289" s="1" t="e">
        <f ca="1">_xll.BDH($C$278,"ST_DEBT_SEQUENTIAL_GROWTH","FQ1 2016","FQ1 2016","Currency=INR","Period=FQ","BEST_FPERIOD_OVERRIDE=FQ","FILING_STATUS=OR","EQY_CONSOLIDATED=Y","Sort=A","Dates=H","DateFormat=P","Fill=—","Direction=H","UseDPDF=Y")</f>
        <v>#NAME?</v>
      </c>
      <c r="BT289" s="1" t="e">
        <f ca="1">_xll.BDH($C$278,"TOTAL_DEBT_SEQUENTIAL_GROWTH","FQ1 2016","FQ1 2016","Currency=INR","Period=FQ","BEST_FPERIOD_OVERRIDE=FQ","FILING_STATUS=OR","EQY_CONSOLIDATED=Y","Sort=A","Dates=H","DateFormat=P","Fill=—","Direction=H","UseDPDF=Y")</f>
        <v>#NAME?</v>
      </c>
      <c r="BU289" s="1" t="e">
        <f ca="1">_xll.BDH($C$278,"TOTAL_EQUITY_SEQUENTIAL_GROWTH","FQ1 2016","FQ1 2016","Currency=INR","Period=FQ","BEST_FPERIOD_OVERRIDE=FQ","FILING_STATUS=OR","EQY_CONSOLIDATED=Y","Sort=A","Dates=H","DateFormat=P","Fill=—","Direction=H","UseDPDF=Y")</f>
        <v>#NAME?</v>
      </c>
      <c r="BV289" s="1" t="e">
        <f ca="1">_xll.BDH($C$278,"TOTAL_CAPITAL_SEQUENTIAL_GROWTH","FQ1 2016","FQ1 2016","Currency=INR","Period=FQ","BEST_FPERIOD_OVERRIDE=FQ","FILING_STATUS=OR","EQY_CONSOLIDATED=Y","Sort=A","Dates=H","DateFormat=P","Fill=—","Direction=H","UseDPDF=Y")</f>
        <v>#NAME?</v>
      </c>
      <c r="BW289" s="1" t="e">
        <f ca="1">_xll.BDH($C$278,"BPS_SEQUENTIAL_GROWTH","FQ1 2016","FQ1 2016","Currency=INR","Period=FQ","BEST_FPERIOD_OVERRIDE=FQ","FILING_STATUS=OR","EQY_CONSOLIDATED=Y","Sort=A","Dates=H","DateFormat=P","Fill=—","Direction=H","UseDPDF=Y")</f>
        <v>#NAME?</v>
      </c>
      <c r="BX289" s="1" t="e">
        <f ca="1">_xll.BDH($C$278,"CFO_SEQUENTIAL_GROWTH","FQ1 2016","FQ1 2016","Currency=INR","Period=FQ","BEST_FPERIOD_OVERRIDE=FQ","FILING_STATUS=OR","EQY_CONSOLIDATED=Y","Sort=A","Dates=H","DateFormat=P","Fill=—","Direction=H","UseDPDF=Y")</f>
        <v>#NAME?</v>
      </c>
      <c r="BY289" s="2" t="e">
        <f ca="1">_xll.BDH($C$278,"SHORT_AND_LONG_TERM_DEBT","FQ1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89" s="2" t="e">
        <f ca="1">_xll.BDH($C$278,"BS_ST_BORROW","FQ1 2016","FQ1 2016","Currency=INR","Period=FQ","BEST_FPERIOD_OVERRIDE=FQ","FILING_STATUS=OR","EQY_CONSOLIDATED=Y","SCALING_FORMAT=MLN","Sort=A","Dates=H","DateFormat=P","Fill=—","Direction=H","UseDPDF=Y")</f>
        <v>#NAME?</v>
      </c>
      <c r="CA289" s="2" t="e">
        <f ca="1">_xll.BDH($C$278,"BS_LT_BORROW","FQ1 2016","FQ1 2016","Currency=INR","Period=FQ","BEST_FPERIOD_OVERRIDE=FQ","FILING_STATUS=OR","EQY_CONSOLIDATED=Y","SCALING_FORMAT=MLN","Sort=A","Dates=H","DateFormat=P","Fill=—","Direction=H","UseDPDF=Y")</f>
        <v>#NAME?</v>
      </c>
      <c r="CB289" s="1" t="e">
        <f ca="1">_xll.BDH($C$278,"TOT_DEBT_TO_EBITDA","FQ1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89" s="1" t="e">
        <f ca="1">_xll.BDH($C$278,"NET_DEBT_TO_EBITDA","FQ1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89" s="1" t="e">
        <f ca="1">_xll.BDH($C$278,"TOTAL_DEBT_TO_EBIT","FQ1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89" s="1" t="e">
        <f ca="1">_xll.BDH($C$278,"NET_DEBT_TO_EBIT","FQ1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289" s="1" t="e">
        <f ca="1">_xll.BDH($C$278,"EBITDA_TO_INTEREST_EXPN","FQ1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89" s="1" t="e">
        <f ca="1">_xll.BDH($C$278,"COM_EQY_TO_TOT_ASSET","FQ1 2016","FQ1 2016","Currency=INR","Period=FQ","BEST_FPERIOD_OVERRIDE=FQ","FILING_STATUS=OR","EQY_CONSOLIDATED=Y","Sort=A","Dates=H","DateFormat=P","Fill=—","Direction=H","UseDPDF=Y")</f>
        <v>#NAME?</v>
      </c>
      <c r="CH289" s="1" t="e">
        <f ca="1">_xll.BDH($C$278,"LT_DEBT_TO_TOT_EQY","FQ1 2016","FQ1 2016","Currency=INR","Period=FQ","BEST_FPERIOD_OVERRIDE=FQ","FILING_STATUS=OR","EQY_CONSOLIDATED=Y","Sort=A","Dates=H","DateFormat=P","Fill=—","Direction=H","UseDPDF=Y")</f>
        <v>#NAME?</v>
      </c>
      <c r="CI289" s="1" t="e">
        <f ca="1">_xll.BDH($C$278,"LT_DEBT_TO_TOT_CAP","FQ1 2016","FQ1 2016","Currency=INR","Period=FQ","BEST_FPERIOD_OVERRIDE=FQ","FILING_STATUS=OR","EQY_CONSOLIDATED=Y","Sort=A","Dates=H","DateFormat=P","Fill=—","Direction=H","UseDPDF=Y")</f>
        <v>#NAME?</v>
      </c>
      <c r="CJ289" s="1" t="e">
        <f ca="1">_xll.BDH($C$278,"LT_DEBT_TO_TOT_ASSET","FQ1 2016","FQ1 2016","Currency=INR","Period=FQ","BEST_FPERIOD_OVERRIDE=FQ","FILING_STATUS=OR","EQY_CONSOLIDATED=Y","Sort=A","Dates=H","DateFormat=P","Fill=—","Direction=H","UseDPDF=Y")</f>
        <v>#NAME?</v>
      </c>
      <c r="CK289" s="1" t="e">
        <f ca="1">_xll.BDH($C$278,"TOT_DEBT_TO_TOT_EQY","FQ1 2016","FQ1 2016","Currency=INR","Period=FQ","BEST_FPERIOD_OVERRIDE=FQ","FILING_STATUS=OR","EQY_CONSOLIDATED=Y","Sort=A","Dates=H","DateFormat=P","Fill=—","Direction=H","UseDPDF=Y")</f>
        <v>#NAME?</v>
      </c>
      <c r="CL289" s="1" t="e">
        <f ca="1">_xll.BDH($C$278,"TOT_DEBT_TO_TOT_CAP","FQ1 2016","FQ1 2016","Currency=INR","Period=FQ","BEST_FPERIOD_OVERRIDE=FQ","FILING_STATUS=OR","EQY_CONSOLIDATED=Y","Sort=A","Dates=H","DateFormat=P","Fill=—","Direction=H","UseDPDF=Y")</f>
        <v>#NAME?</v>
      </c>
      <c r="CM289" s="1" t="e">
        <f ca="1">_xll.BDH($C$278,"TOT_DEBT_TO_TOT_ASSET","FQ1 2016","FQ1 2016","Currency=INR","Period=FQ","BEST_FPERIOD_OVERRIDE=FQ","FILING_STATUS=OR","EQY_CONSOLIDATED=Y","Sort=A","Dates=H","DateFormat=P","Fill=—","Direction=H","UseDPDF=Y")</f>
        <v>#NAME?</v>
      </c>
      <c r="CN289" s="1" t="e">
        <f ca="1">_xll.BDH($C$278,"NET_DEBT_TO_SHRHLDR_EQTY","FQ1 2016","FQ1 2016","Currency=INR","Period=FQ","BEST_FPERIOD_OVERRIDE=FQ","FILING_STATUS=OR","EQY_CONSOLIDATED=Y","Sort=A","Dates=H","DateFormat=P","Fill=—","Direction=H","UseDPDF=Y")</f>
        <v>#NAME?</v>
      </c>
      <c r="CO289" s="1" t="e">
        <f ca="1">_xll.BDH($C$278,"NET_DEBT_%_CAPITAL","FQ1 2016","FQ1 2016","Currency=INR","Period=FQ","BEST_FPERIOD_OVERRIDE=FQ","FILING_STATUS=OR","EQY_CONSOLIDATED=Y","Sort=A","Dates=H","DateFormat=P","Fill=—","Direction=H","UseDPDF=Y")</f>
        <v>#NAME?</v>
      </c>
      <c r="CP289" s="2" t="e">
        <f ca="1">_xll.BDH($C$278,"EBITDA","FQ1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89" s="2" t="e">
        <f ca="1">_xll.BDH($C$278,"EBITDA_AFTER_CAPEX","FQ1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89" s="2" t="e">
        <f ca="1">_xll.BDH($C$278,"IS_OPER_INC","FQ1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89" s="1" t="e">
        <f ca="1">_xll.BDH($C$278,"CASH_RATIO","FQ1 2016","FQ1 2016","Currency=INR","Period=FQ","BEST_FPERIOD_OVERRIDE=FQ","FILING_STATUS=OR","EQY_CONSOLIDATED=Y","Sort=A","Dates=H","DateFormat=P","Fill=—","Direction=H","UseDPDF=Y")</f>
        <v>#NAME?</v>
      </c>
      <c r="CT289" s="1" t="e">
        <f ca="1">_xll.BDH($C$278,"CUR_RATIO","FQ1 2016","FQ1 2016","Currency=INR","Period=FQ","BEST_FPERIOD_OVERRIDE=FQ","FILING_STATUS=OR","EQY_CONSOLIDATED=Y","Sort=A","Dates=H","DateFormat=P","Fill=—","Direction=H","UseDPDF=Y")</f>
        <v>#NAME?</v>
      </c>
      <c r="CU289" s="1" t="e">
        <f ca="1">_xll.BDH($C$278,"QUICK_RATIO","FQ1 2016","FQ1 2016","Currency=INR","Period=FQ","BEST_FPERIOD_OVERRIDE=FQ","FILING_STATUS=OR","EQY_CONSOLIDATED=Y","Sort=A","Dates=H","DateFormat=P","Fill=—","Direction=H","UseDPDF=Y")</f>
        <v>#NAME?</v>
      </c>
      <c r="CV289" s="1" t="e">
        <f ca="1">_xll.BDH($C$278,"ALTMAN_Z_SCORE","FQ1 2016","FQ1 2016","Currency=INR","Period=FQ","BEST_FPERIOD_OVERRIDE=FQ","FILING_STATUS=OR","EQY_CONSOLIDATED=Y","Sort=A","Dates=H","DateFormat=P","Fill=—","Direction=H","UseDPDF=Y")</f>
        <v>#NAME?</v>
      </c>
      <c r="CW289" s="3" t="e">
        <f ca="1">_xll.BDH($C$278,"ACCT_RCV_TURN","FQ1 2016","FQ1 2016","Currency=INR","Period=FQ","BEST_FPERIOD_OVERRIDE=FQ","FILING_STATUS=OR","EQY_CONSOLIDATED=Y","FA_ADJUSTED=GAAP","Sort=A","Dates=H","DateFormat=P","Fill=—","Direction=H","UseDPDF=Y")</f>
        <v>#NAME?</v>
      </c>
      <c r="CX289" s="1" t="e">
        <f ca="1">_xll.BDH($C$278,"ACCT_RCV_DAYS","FQ1 2016","FQ1 2016","Currency=INR","Period=FQ","BEST_FPERIOD_OVERRIDE=FQ","FILING_STATUS=OR","EQY_CONSOLIDATED=Y","FA_ADJUSTED=GAAP","Sort=A","Dates=H","DateFormat=P","Fill=—","Direction=H","UseDPDF=Y")</f>
        <v>#NAME?</v>
      </c>
      <c r="CY289" s="3" t="e">
        <f ca="1">_xll.BDH($C$278,"INVENT_TURN","FQ1 2016","FQ1 2016","Currency=INR","Period=FQ","BEST_FPERIOD_OVERRIDE=FQ","FILING_STATUS=OR","EQY_CONSOLIDATED=Y","FA_ADJUSTED=GAAP","Sort=A","Dates=H","DateFormat=P","Fill=—","Direction=H","UseDPDF=Y")</f>
        <v>#NAME?</v>
      </c>
      <c r="CZ289" s="1" t="e">
        <f ca="1">_xll.BDH($C$278,"INVENT_DAYS","FQ1 2016","FQ1 2016","Currency=INR","Period=FQ","BEST_FPERIOD_OVERRIDE=FQ","FILING_STATUS=OR","EQY_CONSOLIDATED=Y","FA_ADJUSTED=GAAP","Sort=A","Dates=H","DateFormat=P","Fill=—","Direction=H","UseDPDF=Y")</f>
        <v>#NAME?</v>
      </c>
      <c r="DA289" s="3" t="e">
        <f ca="1">_xll.BDH($C$278,"ACCOUNTS_PAYABLE_TURNOVER","FQ1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89" s="1" t="e">
        <f ca="1">_xll.BDH($C$278,"ACCOUNTS_PAYABLE_TURNOVER_DAYS","FQ1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89" s="3" t="e">
        <f ca="1">_xll.BDH($C$278,"CASH_CONVERSION_CYCLE","FQ1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89" s="3" t="e">
        <f ca="1">_xll.BDH($C$278,"INV_TO_CASH_DAYS","FQ1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289" s="4" t="e">
        <f ca="1">_xll.BDH($C$278,"BS_INVENTORIES","FQ1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289" s="2" t="e">
        <f ca="1">_xll.BDH($C$278,"INVTRY_RAW_MATERIALS","FQ1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89" s="2" t="e">
        <f ca="1">_xll.BDH($C$278,"INVTRY_IN_PROGRESS","FQ1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89" s="2" t="e">
        <f ca="1">_xll.BDH($C$278,"INVTRY_FINISHED_GOODS","FQ1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89" s="2" t="e">
        <f ca="1">_xll.BDH($C$278,"BS_OTHER_INV","FQ1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90" spans="1:113" x14ac:dyDescent="0.3">
      <c r="A290" s="6"/>
      <c r="B290" s="6"/>
      <c r="C290" s="6"/>
      <c r="D290" s="6"/>
      <c r="E290" t="s">
        <v>5</v>
      </c>
      <c r="F290" t="e">
        <f ca="1">_xll.BDH($C$278,"RETURN_COM_EQY","FQ2 2016","FQ2 2016","Currency=INR","Period=FQ","BEST_FPERIOD_OVERRIDE=FQ","FILING_STATUS=OR","EQY_CONSOLIDATED=Y","FA_ADJUSTED=GAAP","Sort=A","Dates=H","DateFormat=P","Fill=—","Direction=H","UseDPDF=Y")</f>
        <v>#NAME?</v>
      </c>
      <c r="G290" t="e">
        <f ca="1">_xll.BDH($C$278,"RETURN_ON_ASSET","FQ2 2016","FQ2 2016","Currency=INR","Period=FQ","BEST_FPERIOD_OVERRIDE=FQ","FILING_STATUS=OR","EQY_CONSOLIDATED=Y","FA_ADJUSTED=GAAP","Sort=A","Dates=H","DateFormat=P","Fill=—","Direction=H","UseDPDF=Y")</f>
        <v>#NAME?</v>
      </c>
      <c r="H290" t="e">
        <f ca="1">_xll.BDH($C$278,"RETURN_ON_CAP","FQ2 2016","FQ2 2016","Currency=INR","Period=FQ","BEST_FPERIOD_OVERRIDE=FQ","FILING_STATUS=OR","EQY_CONSOLIDATED=Y","FA_ADJUSTED=GAAP","Sort=A","Dates=H","DateFormat=P","Fill=—","Direction=H","UseDPDF=Y")</f>
        <v>#NAME?</v>
      </c>
      <c r="I290" t="e">
        <f ca="1">_xll.BDH($C$278,"RETURN_ON_INV_CAPITAL","FQ2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90" t="e">
        <f ca="1">_xll.BDH($C$278,"EBITDA_TO_REVENUE","FQ2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290" t="e">
        <f ca="1">_xll.BDH($C$278,"OPER_MARGIN","FQ2 2016","FQ2 2016","Currency=INR","Period=FQ","BEST_FPERIOD_OVERRIDE=FQ","FILING_STATUS=OR","EQY_CONSOLIDATED=Y","FA_ADJUSTED=GAAP","Sort=A","Dates=H","DateFormat=P","Fill=—","Direction=H","UseDPDF=Y")</f>
        <v>#NAME?</v>
      </c>
      <c r="L290" t="e">
        <f ca="1">_xll.BDH($C$278,"INCREMENTAL_OPERATING_MARGIN","FQ2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90" t="e">
        <f ca="1">_xll.BDH($C$278,"PRETAX_INC_TO_NET_SALES","FQ2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90" t="e">
        <f ca="1">_xll.BDH($C$278,"INC_BEF_XO_ITEMS_TO_NET_SALES","FQ2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90" t="e">
        <f ca="1">_xll.BDH($C$278,"PROF_MARGIN","FQ2 2016","FQ2 2016","Currency=INR","Period=FQ","BEST_FPERIOD_OVERRIDE=FQ","FILING_STATUS=OR","EQY_CONSOLIDATED=Y","FA_ADJUSTED=GAAP","Sort=A","Dates=H","DateFormat=P","Fill=—","Direction=H","UseDPDF=Y")</f>
        <v>#NAME?</v>
      </c>
      <c r="P290" t="e">
        <f ca="1">_xll.BDH($C$278,"NET_INCOME_TO_COMMON_MARGIN","FQ2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90" t="e">
        <f ca="1">_xll.BDH($C$278,"EFF_TAX_RATE","FQ2 2016","FQ2 2016","Currency=INR","Period=FQ","BEST_FPERIOD_OVERRIDE=FQ","FILING_STATUS=OR","EQY_CONSOLIDATED=Y","FA_ADJUSTED=GAAP","Sort=A","Dates=H","DateFormat=P","Fill=—","Direction=H","UseDPDF=Y")</f>
        <v>#NAME?</v>
      </c>
      <c r="R290" t="e">
        <f ca="1">_xll.BDH($C$278,"DVD_PAYOUT_RATIO","FQ2 2016","FQ2 2016","Currency=INR","Period=FQ","BEST_FPERIOD_OVERRIDE=FQ","FILING_STATUS=OR","EQY_CONSOLIDATED=Y","FA_ADJUSTED=GAAP","Sort=A","Dates=H","DateFormat=P","Fill=—","Direction=H","UseDPDF=Y")</f>
        <v>#NAME?</v>
      </c>
      <c r="S290" t="e">
        <f ca="1">_xll.BDH($C$278,"SUSTAIN_GROWTH_RT","FQ2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290" s="1" t="e">
        <f ca="1">_xll.BDH($C$278,"SALES_GROWTH","FQ2 2016","FQ2 2016","Currency=INR","Period=FQ","BEST_FPERIOD_OVERRIDE=FQ","FILING_STATUS=OR","EQY_CONSOLIDATED=Y","FA_ADJUSTED=GAAP","Sort=A","Dates=H","DateFormat=P","Fill=—","Direction=H","UseDPDF=Y")</f>
        <v>#NAME?</v>
      </c>
      <c r="U290" s="1" t="e">
        <f ca="1">_xll.BDH($C$278,"EBITDA_GROWTH","FQ2 2016","FQ2 2016","Currency=INR","Period=FQ","BEST_FPERIOD_OVERRIDE=FQ","FILING_STATUS=OR","EQY_CONSOLIDATED=Y","FA_ADJUSTED=GAAP","Sort=A","Dates=H","DateFormat=P","Fill=—","Direction=H","UseDPDF=Y")</f>
        <v>#NAME?</v>
      </c>
      <c r="V290" s="1" t="e">
        <f ca="1">_xll.BDH($C$278,"OPER_INC_GROWTH","FQ2 2016","FQ2 2016","Currency=INR","Period=FQ","BEST_FPERIOD_OVERRIDE=FQ","FILING_STATUS=OR","EQY_CONSOLIDATED=Y","FA_ADJUSTED=GAAP","Sort=A","Dates=H","DateFormat=P","Fill=—","Direction=H","UseDPDF=Y")</f>
        <v>#NAME?</v>
      </c>
      <c r="W290" s="1" t="e">
        <f ca="1">_xll.BDH($C$278,"EARN_FOR_COM_GROWTH","FQ2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90" s="1" t="e">
        <f ca="1">_xll.BDH($C$278,"DILUTED_EPS_AFT_XO_ITEMS_GROWTH","FQ2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90" s="1" t="e">
        <f ca="1">_xll.BDH($C$278,"DIVIDEND_PER_SHARE_1_YEAR_GROWTH","FQ2 2016","FQ2 2016","Currency=INR","Period=FQ","BEST_FPERIOD_OVERRIDE=FQ","FILING_STATUS=OR","EQY_CONSOLIDATED=Y","Sort=A","Dates=H","DateFormat=P","Fill=—","Direction=H","UseDPDF=Y")</f>
        <v>#NAME?</v>
      </c>
      <c r="Z290" s="1" t="e">
        <f ca="1">_xll.BDH($C$278,"ACCOUNTS_RECEIVABLE_GROWTH","FQ2 2016","FQ2 2016","Currency=INR","Period=FQ","BEST_FPERIOD_OVERRIDE=FQ","FILING_STATUS=OR","EQY_CONSOLIDATED=Y","Sort=A","Dates=H","DateFormat=P","Fill=—","Direction=H","UseDPDF=Y")</f>
        <v>#NAME?</v>
      </c>
      <c r="AA290" s="1" t="e">
        <f ca="1">_xll.BDH($C$278,"INVENTORY_GROWTH","FQ2 2016","FQ2 2016","Currency=INR","Period=FQ","BEST_FPERIOD_OVERRIDE=FQ","FILING_STATUS=OR","EQY_CONSOLIDATED=Y","Sort=A","Dates=H","DateFormat=P","Fill=—","Direction=H","UseDPDF=Y")</f>
        <v>#NAME?</v>
      </c>
      <c r="AB290" s="1" t="e">
        <f ca="1">_xll.BDH($C$278,"NET_FIXED_ASSETS_1_YEAR_GROWTH","FQ2 2016","FQ2 2016","Currency=INR","Period=FQ","BEST_FPERIOD_OVERRIDE=FQ","FILING_STATUS=OR","EQY_CONSOLIDATED=Y","Sort=A","Dates=H","DateFormat=P","Fill=—","Direction=H","UseDPDF=Y")</f>
        <v>#NAME?</v>
      </c>
      <c r="AC290" s="1" t="e">
        <f ca="1">_xll.BDH($C$278,"ASSET_GROWTH","FQ2 2016","FQ2 2016","Currency=INR","Period=FQ","BEST_FPERIOD_OVERRIDE=FQ","FILING_STATUS=OR","EQY_CONSOLIDATED=Y","Sort=A","Dates=H","DateFormat=P","Fill=—","Direction=H","UseDPDF=Y")</f>
        <v>#NAME?</v>
      </c>
      <c r="AD290" s="1" t="e">
        <f ca="1">_xll.BDH($C$278,"MODIFIED_WORK_CAP_GROWTH","FQ2 2016","FQ2 2016","Currency=INR","Period=FQ","BEST_FPERIOD_OVERRIDE=FQ","FILING_STATUS=OR","EQY_CONSOLIDATED=Y","Sort=A","Dates=H","DateFormat=P","Fill=—","Direction=H","UseDPDF=Y")</f>
        <v>#NAME?</v>
      </c>
      <c r="AE290" s="1" t="e">
        <f ca="1">_xll.BDH($C$278,"WORK_CAP_GROWTH","FQ2 2016","FQ2 2016","Currency=INR","Period=FQ","BEST_FPERIOD_OVERRIDE=FQ","FILING_STATUS=OR","EQY_CONSOLIDATED=Y","Sort=A","Dates=H","DateFormat=P","Fill=—","Direction=H","UseDPDF=Y")</f>
        <v>#NAME?</v>
      </c>
      <c r="AF290" s="1" t="e">
        <f ca="1">_xll.BDH($C$278,"ACCOUNTS_PAYABLE_GROWTH_1YR","FQ2 2016","FQ2 2016","Currency=INR","Period=FQ","BEST_FPERIOD_OVERRIDE=FQ","FILING_STATUS=OR","EQY_CONSOLIDATED=Y","Sort=A","Dates=H","DateFormat=P","Fill=—","Direction=H","UseDPDF=Y")</f>
        <v>#NAME?</v>
      </c>
      <c r="AG290" s="1" t="e">
        <f ca="1">_xll.BDH($C$278,"SHORT_TERM_DEBT_1_YEAR_GROWTH","FQ2 2016","FQ2 2016","Currency=INR","Period=FQ","BEST_FPERIOD_OVERRIDE=FQ","FILING_STATUS=OR","EQY_CONSOLIDATED=Y","Sort=A","Dates=H","DateFormat=P","Fill=—","Direction=H","UseDPDF=Y")</f>
        <v>#NAME?</v>
      </c>
      <c r="AH290" s="1" t="e">
        <f ca="1">_xll.BDH($C$278,"TOTAL_DEBT_1_YEAR_GROWTH","FQ2 2016","FQ2 2016","Currency=INR","Period=FQ","BEST_FPERIOD_OVERRIDE=FQ","FILING_STATUS=OR","EQY_CONSOLIDATED=Y","Sort=A","Dates=H","DateFormat=P","Fill=—","Direction=H","UseDPDF=Y")</f>
        <v>#NAME?</v>
      </c>
      <c r="AI290" s="1" t="e">
        <f ca="1">_xll.BDH($C$278,"TOTAL_EQUITY_1_YEAR_GROWTH","FQ2 2016","FQ2 2016","Currency=INR","Period=FQ","BEST_FPERIOD_OVERRIDE=FQ","FILING_STATUS=OR","EQY_CONSOLIDATED=Y","Sort=A","Dates=H","DateFormat=P","Fill=—","Direction=H","UseDPDF=Y")</f>
        <v>#NAME?</v>
      </c>
      <c r="AJ290" s="1" t="e">
        <f ca="1">_xll.BDH($C$278,"GROWTH_IN_CAP","FQ2 2016","FQ2 2016","Currency=INR","Period=FQ","BEST_FPERIOD_OVERRIDE=FQ","FILING_STATUS=OR","EQY_CONSOLIDATED=Y","Sort=A","Dates=H","DateFormat=P","Fill=—","Direction=H","UseDPDF=Y")</f>
        <v>#NAME?</v>
      </c>
      <c r="AK290" s="1" t="e">
        <f ca="1">_xll.BDH($C$278,"BVPS_GROWTH","FQ2 2016","FQ2 2016","Currency=INR","Period=FQ","BEST_FPERIOD_OVERRIDE=FQ","FILING_STATUS=OR","EQY_CONSOLIDATED=Y","Sort=A","Dates=H","DateFormat=P","Fill=—","Direction=H","UseDPDF=Y")</f>
        <v>#NAME?</v>
      </c>
      <c r="AL290" s="1" t="e">
        <f ca="1">_xll.BDH($C$278,"CASH_FLOW_GROWTH","FQ2 2016","FQ2 2016","Currency=INR","Period=FQ","BEST_FPERIOD_OVERRIDE=FQ","FILING_STATUS=OR","EQY_CONSOLIDATED=Y","Sort=A","Dates=H","DateFormat=P","Fill=—","Direction=H","UseDPDF=Y")</f>
        <v>#NAME?</v>
      </c>
      <c r="AM290" s="1" t="e">
        <f ca="1">_xll.BDH($C$278,"GEO_GROW_NET_SALES","FQ2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90" s="1" t="e">
        <f ca="1">_xll.BDH($C$278,"GEO_GROW_EBITDA","FQ2 2016","FQ2 2016","Currency=INR","Period=FQ","BEST_FPERIOD_OVERRIDE=FQ","FILING_STATUS=OR","EQY_CONSOLIDATED=Y","FA_ADJUSTED=GAAP","Sort=A","Dates=H","DateFormat=P","Fill=—","Direction=H","UseDPDF=Y")</f>
        <v>#NAME?</v>
      </c>
      <c r="AO290" s="1" t="e">
        <f ca="1">_xll.BDH($C$278,"GEO_GROW_OPER_INC","FQ2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90" s="1" t="e">
        <f ca="1">_xll.BDH($C$278,"NET_INCOME_TO_COMMON_5_YR_GROWTH","FQ2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90" s="1" t="e">
        <f ca="1">_xll.BDH($C$278,"5Y_GEO_GROWTH_DILUTED_EPS","FQ2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90" s="1" t="e">
        <f ca="1">_xll.BDH($C$278,"GEO_GROW_DVD_PER_SH","FQ2 2016","FQ2 2016","Currency=INR","Period=FQ","BEST_FPERIOD_OVERRIDE=FQ","FILING_STATUS=OR","EQY_CONSOLIDATED=Y","Sort=A","Dates=H","DateFormat=P","Fill=—","Direction=H","UseDPDF=Y")</f>
        <v>#NAME?</v>
      </c>
      <c r="AS290" s="1" t="e">
        <f ca="1">_xll.BDH($C$278,"ACCOUNTS_RECEIVABLE_5_YR_GROWTH","FQ2 2016","FQ2 2016","Currency=INR","Period=FQ","BEST_FPERIOD_OVERRIDE=FQ","FILING_STATUS=OR","EQY_CONSOLIDATED=Y","Sort=A","Dates=H","DateFormat=P","Fill=—","Direction=H","UseDPDF=Y")</f>
        <v>#NAME?</v>
      </c>
      <c r="AT290" s="1" t="e">
        <f ca="1">_xll.BDH($C$278,"INVENTORY_5_YEAR_GROWTH","FQ2 2016","FQ2 2016","Currency=INR","Period=FQ","BEST_FPERIOD_OVERRIDE=FQ","FILING_STATUS=OR","EQY_CONSOLIDATED=Y","Sort=A","Dates=H","DateFormat=P","Fill=—","Direction=H","UseDPDF=Y")</f>
        <v>#NAME?</v>
      </c>
      <c r="AU290" s="1" t="e">
        <f ca="1">_xll.BDH($C$278,"NET_FIXED_ASSETS_5_YEAR_GROWTH","FQ2 2016","FQ2 2016","Currency=INR","Period=FQ","BEST_FPERIOD_OVERRIDE=FQ","FILING_STATUS=OR","EQY_CONSOLIDATED=Y","Sort=A","Dates=H","DateFormat=P","Fill=—","Direction=H","UseDPDF=Y")</f>
        <v>#NAME?</v>
      </c>
      <c r="AV290" s="1" t="e">
        <f ca="1">_xll.BDH($C$278,"GEO_GROW_TOT_ASSET","FQ2 2016","FQ2 2016","Currency=INR","Period=FQ","BEST_FPERIOD_OVERRIDE=FQ","FILING_STATUS=OR","EQY_CONSOLIDATED=Y","Sort=A","Dates=H","DateFormat=P","Fill=—","Direction=H","UseDPDF=Y")</f>
        <v>#NAME?</v>
      </c>
      <c r="AW290" s="1" t="e">
        <f ca="1">_xll.BDH($C$278,"MODIFIED_WORKING_CPTL_5YR_GRWTH","FQ2 2016","FQ2 2016","Currency=INR","Period=FQ","BEST_FPERIOD_OVERRIDE=FQ","FILING_STATUS=OR","EQY_CONSOLIDATED=Y","Sort=A","Dates=H","DateFormat=P","Fill=—","Direction=H","UseDPDF=Y")</f>
        <v>#NAME?</v>
      </c>
      <c r="AX290" s="1" t="e">
        <f ca="1">_xll.BDH($C$278,"WORKING_CAPITAL_5_YEAR_GROWTH","FQ2 2016","FQ2 2016","Currency=INR","Period=FQ","BEST_FPERIOD_OVERRIDE=FQ","FILING_STATUS=OR","EQY_CONSOLIDATED=Y","Sort=A","Dates=H","DateFormat=P","Fill=—","Direction=H","UseDPDF=Y")</f>
        <v>#NAME?</v>
      </c>
      <c r="AY290" s="1" t="e">
        <f ca="1">_xll.BDH($C$278,"ACCOUNTS_PAYABLE_5_YEAR_GROWTH","FQ2 2016","FQ2 2016","Currency=INR","Period=FQ","BEST_FPERIOD_OVERRIDE=FQ","FILING_STATUS=OR","EQY_CONSOLIDATED=Y","Sort=A","Dates=H","DateFormat=P","Fill=—","Direction=H","UseDPDF=Y")</f>
        <v>#NAME?</v>
      </c>
      <c r="AZ290" s="1" t="e">
        <f ca="1">_xll.BDH($C$278,"SHORT_TERM_DEBT_5_YEAR_GROWTH","FQ2 2016","FQ2 2016","Currency=INR","Period=FQ","BEST_FPERIOD_OVERRIDE=FQ","FILING_STATUS=OR","EQY_CONSOLIDATED=Y","Sort=A","Dates=H","DateFormat=P","Fill=—","Direction=H","UseDPDF=Y")</f>
        <v>#NAME?</v>
      </c>
      <c r="BA290" s="1" t="e">
        <f ca="1">_xll.BDH($C$278,"TOTAL_DEBT_5_YEAR_GROWTH","FQ2 2016","FQ2 2016","Currency=INR","Period=FQ","BEST_FPERIOD_OVERRIDE=FQ","FILING_STATUS=OR","EQY_CONSOLIDATED=Y","Sort=A","Dates=H","DateFormat=P","Fill=—","Direction=H","UseDPDF=Y")</f>
        <v>#NAME?</v>
      </c>
      <c r="BB290" s="1" t="e">
        <f ca="1">_xll.BDH($C$278,"GEO_GROW_TOT_SHRHLDR_EQY","FQ2 2016","FQ2 2016","Currency=INR","Period=FQ","BEST_FPERIOD_OVERRIDE=FQ","FILING_STATUS=OR","EQY_CONSOLIDATED=Y","Sort=A","Dates=H","DateFormat=P","Fill=—","Direction=H","UseDPDF=Y")</f>
        <v>#NAME?</v>
      </c>
      <c r="BC290" s="1" t="e">
        <f ca="1">_xll.BDH($C$278,"TOTAL_CAPITAL_5_YEAR_GROWTH","FQ2 2016","FQ2 2016","Currency=INR","Period=FQ","BEST_FPERIOD_OVERRIDE=FQ","FILING_STATUS=OR","EQY_CONSOLIDATED=Y","Sort=A","Dates=H","DateFormat=P","Fill=—","Direction=H","UseDPDF=Y")</f>
        <v>#NAME?</v>
      </c>
      <c r="BD290" s="1" t="e">
        <f ca="1">_xll.BDH($C$278,"GEO_GROW_BOOK_VAL","FQ2 2016","FQ2 2016","Currency=INR","Period=FQ","BEST_FPERIOD_OVERRIDE=FQ","FILING_STATUS=OR","EQY_CONSOLIDATED=Y","Sort=A","Dates=H","DateFormat=P","Fill=—","Direction=H","UseDPDF=Y")</f>
        <v>#NAME?</v>
      </c>
      <c r="BE290" s="1" t="e">
        <f ca="1">_xll.BDH($C$278,"GEO_GROW_CASH_OPER_ACT","FQ2 2016","FQ2 2016","Currency=INR","Period=FQ","BEST_FPERIOD_OVERRIDE=FQ","FILING_STATUS=OR","EQY_CONSOLIDATED=Y","Sort=A","Dates=H","DateFormat=P","Fill=—","Direction=H","UseDPDF=Y")</f>
        <v>#NAME?</v>
      </c>
      <c r="BF290" s="1" t="e">
        <f ca="1">_xll.BDH($C$278,"REVENUE_SEQUENTIAL_GROWTH","FQ2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90" s="1" t="e">
        <f ca="1">_xll.BDH($C$278,"EBITDA_SEQUENTIAL_GROWTH","FQ2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90" s="1" t="e">
        <f ca="1">_xll.BDH($C$278,"OPERATING_INCOME_SEQ_GROWTH","FQ2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90" s="1" t="e">
        <f ca="1">_xll.BDH($C$278,"NET_INCOME_TO_COMMON_SEQ_GROWTH","FQ2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90" s="1" t="e">
        <f ca="1">_xll.BDH($C$278,"EPS_DILUTED_SEQUENTIAL_GROWTH","FQ2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90" s="1" t="e">
        <f ca="1">_xll.BDH($C$278,"DPS_SEQUENTIAL_GROWTH","FQ2 2016","FQ2 2016","Currency=INR","Period=FQ","BEST_FPERIOD_OVERRIDE=FQ","FILING_STATUS=OR","EQY_CONSOLIDATED=Y","Sort=A","Dates=H","DateFormat=P","Fill=—","Direction=H","UseDPDF=Y")</f>
        <v>#NAME?</v>
      </c>
      <c r="BL290" s="1" t="e">
        <f ca="1">_xll.BDH($C$278,"ACCOUNTS_RECEIVABLE_SEQ_GROWTH","FQ2 2016","FQ2 2016","Currency=INR","Period=FQ","BEST_FPERIOD_OVERRIDE=FQ","FILING_STATUS=OR","EQY_CONSOLIDATED=Y","Sort=A","Dates=H","DateFormat=P","Fill=—","Direction=H","UseDPDF=Y")</f>
        <v>#NAME?</v>
      </c>
      <c r="BM290" s="1" t="e">
        <f ca="1">_xll.BDH($C$278,"INVENTORY_SEQUENTIAL_GROWTH","FQ2 2016","FQ2 2016","Currency=INR","Period=FQ","BEST_FPERIOD_OVERRIDE=FQ","FILING_STATUS=OR","EQY_CONSOLIDATED=Y","Sort=A","Dates=H","DateFormat=P","Fill=—","Direction=H","UseDPDF=Y")</f>
        <v>#NAME?</v>
      </c>
      <c r="BN290" s="1" t="e">
        <f ca="1">_xll.BDH($C$278,"FIXED_ASSETS_SEQUENTIAL_GROWTH","FQ2 2016","FQ2 2016","Currency=INR","Period=FQ","BEST_FPERIOD_OVERRIDE=FQ","FILING_STATUS=OR","EQY_CONSOLIDATED=Y","Sort=A","Dates=H","DateFormat=P","Fill=—","Direction=H","UseDPDF=Y")</f>
        <v>#NAME?</v>
      </c>
      <c r="BO290" s="1" t="e">
        <f ca="1">_xll.BDH($C$278,"TOTAL_ASSETS_SEQUENTIAL_GROWTH","FQ2 2016","FQ2 2016","Currency=INR","Period=FQ","BEST_FPERIOD_OVERRIDE=FQ","FILING_STATUS=OR","EQY_CONSOLIDATED=Y","Sort=A","Dates=H","DateFormat=P","Fill=—","Direction=H","UseDPDF=Y")</f>
        <v>#NAME?</v>
      </c>
      <c r="BP290" s="1" t="e">
        <f ca="1">_xll.BDH($C$278,"MODIFIED_WORKING_CPTL_SEQ_GRWTH","FQ2 2016","FQ2 2016","Currency=INR","Period=FQ","BEST_FPERIOD_OVERRIDE=FQ","FILING_STATUS=OR","EQY_CONSOLIDATED=Y","Sort=A","Dates=H","DateFormat=P","Fill=—","Direction=H","UseDPDF=Y")</f>
        <v>#NAME?</v>
      </c>
      <c r="BQ290" s="1" t="e">
        <f ca="1">_xll.BDH($C$278,"WORKING_CAPITAL_SEQ_GROWTH","FQ2 2016","FQ2 2016","Currency=INR","Period=FQ","BEST_FPERIOD_OVERRIDE=FQ","FILING_STATUS=OR","EQY_CONSOLIDATED=Y","Sort=A","Dates=H","DateFormat=P","Fill=—","Direction=H","UseDPDF=Y")</f>
        <v>#NAME?</v>
      </c>
      <c r="BR290" s="1" t="e">
        <f ca="1">_xll.BDH($C$278,"ACCOUNTS_PAYABLE_SEQ_GROWTH","FQ2 2016","FQ2 2016","Currency=INR","Period=FQ","BEST_FPERIOD_OVERRIDE=FQ","FILING_STATUS=OR","EQY_CONSOLIDATED=Y","Sort=A","Dates=H","DateFormat=P","Fill=—","Direction=H","UseDPDF=Y")</f>
        <v>#NAME?</v>
      </c>
      <c r="BS290" s="1" t="e">
        <f ca="1">_xll.BDH($C$278,"ST_DEBT_SEQUENTIAL_GROWTH","FQ2 2016","FQ2 2016","Currency=INR","Period=FQ","BEST_FPERIOD_OVERRIDE=FQ","FILING_STATUS=OR","EQY_CONSOLIDATED=Y","Sort=A","Dates=H","DateFormat=P","Fill=—","Direction=H","UseDPDF=Y")</f>
        <v>#NAME?</v>
      </c>
      <c r="BT290" s="1" t="e">
        <f ca="1">_xll.BDH($C$278,"TOTAL_DEBT_SEQUENTIAL_GROWTH","FQ2 2016","FQ2 2016","Currency=INR","Period=FQ","BEST_FPERIOD_OVERRIDE=FQ","FILING_STATUS=OR","EQY_CONSOLIDATED=Y","Sort=A","Dates=H","DateFormat=P","Fill=—","Direction=H","UseDPDF=Y")</f>
        <v>#NAME?</v>
      </c>
      <c r="BU290" s="1" t="e">
        <f ca="1">_xll.BDH($C$278,"TOTAL_EQUITY_SEQUENTIAL_GROWTH","FQ2 2016","FQ2 2016","Currency=INR","Period=FQ","BEST_FPERIOD_OVERRIDE=FQ","FILING_STATUS=OR","EQY_CONSOLIDATED=Y","Sort=A","Dates=H","DateFormat=P","Fill=—","Direction=H","UseDPDF=Y")</f>
        <v>#NAME?</v>
      </c>
      <c r="BV290" s="1" t="e">
        <f ca="1">_xll.BDH($C$278,"TOTAL_CAPITAL_SEQUENTIAL_GROWTH","FQ2 2016","FQ2 2016","Currency=INR","Period=FQ","BEST_FPERIOD_OVERRIDE=FQ","FILING_STATUS=OR","EQY_CONSOLIDATED=Y","Sort=A","Dates=H","DateFormat=P","Fill=—","Direction=H","UseDPDF=Y")</f>
        <v>#NAME?</v>
      </c>
      <c r="BW290" s="1" t="e">
        <f ca="1">_xll.BDH($C$278,"BPS_SEQUENTIAL_GROWTH","FQ2 2016","FQ2 2016","Currency=INR","Period=FQ","BEST_FPERIOD_OVERRIDE=FQ","FILING_STATUS=OR","EQY_CONSOLIDATED=Y","Sort=A","Dates=H","DateFormat=P","Fill=—","Direction=H","UseDPDF=Y")</f>
        <v>#NAME?</v>
      </c>
      <c r="BX290" s="1" t="e">
        <f ca="1">_xll.BDH($C$278,"CFO_SEQUENTIAL_GROWTH","FQ2 2016","FQ2 2016","Currency=INR","Period=FQ","BEST_FPERIOD_OVERRIDE=FQ","FILING_STATUS=OR","EQY_CONSOLIDATED=Y","Sort=A","Dates=H","DateFormat=P","Fill=—","Direction=H","UseDPDF=Y")</f>
        <v>#NAME?</v>
      </c>
      <c r="BY290" s="2" t="e">
        <f ca="1">_xll.BDH($C$278,"SHORT_AND_LONG_TERM_DEBT","FQ2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90" s="2" t="e">
        <f ca="1">_xll.BDH($C$278,"BS_ST_BORROW","FQ2 2016","FQ2 2016","Currency=INR","Period=FQ","BEST_FPERIOD_OVERRIDE=FQ","FILING_STATUS=OR","EQY_CONSOLIDATED=Y","SCALING_FORMAT=MLN","Sort=A","Dates=H","DateFormat=P","Fill=—","Direction=H","UseDPDF=Y")</f>
        <v>#NAME?</v>
      </c>
      <c r="CA290" s="2" t="e">
        <f ca="1">_xll.BDH($C$278,"BS_LT_BORROW","FQ2 2016","FQ2 2016","Currency=INR","Period=FQ","BEST_FPERIOD_OVERRIDE=FQ","FILING_STATUS=OR","EQY_CONSOLIDATED=Y","SCALING_FORMAT=MLN","Sort=A","Dates=H","DateFormat=P","Fill=—","Direction=H","UseDPDF=Y")</f>
        <v>#NAME?</v>
      </c>
      <c r="CB290" s="1" t="e">
        <f ca="1">_xll.BDH($C$278,"TOT_DEBT_TO_EBITDA","FQ2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90" s="1" t="e">
        <f ca="1">_xll.BDH($C$278,"NET_DEBT_TO_EBITDA","FQ2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90" s="1" t="e">
        <f ca="1">_xll.BDH($C$278,"TOTAL_DEBT_TO_EBIT","FQ2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90" s="1" t="e">
        <f ca="1">_xll.BDH($C$278,"NET_DEBT_TO_EBIT","FQ2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290" s="1" t="e">
        <f ca="1">_xll.BDH($C$278,"EBITDA_TO_INTEREST_EXPN","FQ2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90" s="1" t="e">
        <f ca="1">_xll.BDH($C$278,"COM_EQY_TO_TOT_ASSET","FQ2 2016","FQ2 2016","Currency=INR","Period=FQ","BEST_FPERIOD_OVERRIDE=FQ","FILING_STATUS=OR","EQY_CONSOLIDATED=Y","Sort=A","Dates=H","DateFormat=P","Fill=—","Direction=H","UseDPDF=Y")</f>
        <v>#NAME?</v>
      </c>
      <c r="CH290" s="1" t="e">
        <f ca="1">_xll.BDH($C$278,"LT_DEBT_TO_TOT_EQY","FQ2 2016","FQ2 2016","Currency=INR","Period=FQ","BEST_FPERIOD_OVERRIDE=FQ","FILING_STATUS=OR","EQY_CONSOLIDATED=Y","Sort=A","Dates=H","DateFormat=P","Fill=—","Direction=H","UseDPDF=Y")</f>
        <v>#NAME?</v>
      </c>
      <c r="CI290" s="1" t="e">
        <f ca="1">_xll.BDH($C$278,"LT_DEBT_TO_TOT_CAP","FQ2 2016","FQ2 2016","Currency=INR","Period=FQ","BEST_FPERIOD_OVERRIDE=FQ","FILING_STATUS=OR","EQY_CONSOLIDATED=Y","Sort=A","Dates=H","DateFormat=P","Fill=—","Direction=H","UseDPDF=Y")</f>
        <v>#NAME?</v>
      </c>
      <c r="CJ290" s="1" t="e">
        <f ca="1">_xll.BDH($C$278,"LT_DEBT_TO_TOT_ASSET","FQ2 2016","FQ2 2016","Currency=INR","Period=FQ","BEST_FPERIOD_OVERRIDE=FQ","FILING_STATUS=OR","EQY_CONSOLIDATED=Y","Sort=A","Dates=H","DateFormat=P","Fill=—","Direction=H","UseDPDF=Y")</f>
        <v>#NAME?</v>
      </c>
      <c r="CK290" s="1" t="e">
        <f ca="1">_xll.BDH($C$278,"TOT_DEBT_TO_TOT_EQY","FQ2 2016","FQ2 2016","Currency=INR","Period=FQ","BEST_FPERIOD_OVERRIDE=FQ","FILING_STATUS=OR","EQY_CONSOLIDATED=Y","Sort=A","Dates=H","DateFormat=P","Fill=—","Direction=H","UseDPDF=Y")</f>
        <v>#NAME?</v>
      </c>
      <c r="CL290" s="1" t="e">
        <f ca="1">_xll.BDH($C$278,"TOT_DEBT_TO_TOT_CAP","FQ2 2016","FQ2 2016","Currency=INR","Period=FQ","BEST_FPERIOD_OVERRIDE=FQ","FILING_STATUS=OR","EQY_CONSOLIDATED=Y","Sort=A","Dates=H","DateFormat=P","Fill=—","Direction=H","UseDPDF=Y")</f>
        <v>#NAME?</v>
      </c>
      <c r="CM290" s="1" t="e">
        <f ca="1">_xll.BDH($C$278,"TOT_DEBT_TO_TOT_ASSET","FQ2 2016","FQ2 2016","Currency=INR","Period=FQ","BEST_FPERIOD_OVERRIDE=FQ","FILING_STATUS=OR","EQY_CONSOLIDATED=Y","Sort=A","Dates=H","DateFormat=P","Fill=—","Direction=H","UseDPDF=Y")</f>
        <v>#NAME?</v>
      </c>
      <c r="CN290" s="1" t="e">
        <f ca="1">_xll.BDH($C$278,"NET_DEBT_TO_SHRHLDR_EQTY","FQ2 2016","FQ2 2016","Currency=INR","Period=FQ","BEST_FPERIOD_OVERRIDE=FQ","FILING_STATUS=OR","EQY_CONSOLIDATED=Y","Sort=A","Dates=H","DateFormat=P","Fill=—","Direction=H","UseDPDF=Y")</f>
        <v>#NAME?</v>
      </c>
      <c r="CO290" s="1" t="e">
        <f ca="1">_xll.BDH($C$278,"NET_DEBT_%_CAPITAL","FQ2 2016","FQ2 2016","Currency=INR","Period=FQ","BEST_FPERIOD_OVERRIDE=FQ","FILING_STATUS=OR","EQY_CONSOLIDATED=Y","Sort=A","Dates=H","DateFormat=P","Fill=—","Direction=H","UseDPDF=Y")</f>
        <v>#NAME?</v>
      </c>
      <c r="CP290" s="2" t="e">
        <f ca="1">_xll.BDH($C$278,"EBITDA","FQ2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90" s="2" t="e">
        <f ca="1">_xll.BDH($C$278,"EBITDA_AFTER_CAPEX","FQ2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90" s="2" t="e">
        <f ca="1">_xll.BDH($C$278,"IS_OPER_INC","FQ2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90" s="1" t="e">
        <f ca="1">_xll.BDH($C$278,"CASH_RATIO","FQ2 2016","FQ2 2016","Currency=INR","Period=FQ","BEST_FPERIOD_OVERRIDE=FQ","FILING_STATUS=OR","EQY_CONSOLIDATED=Y","Sort=A","Dates=H","DateFormat=P","Fill=—","Direction=H","UseDPDF=Y")</f>
        <v>#NAME?</v>
      </c>
      <c r="CT290" s="1" t="e">
        <f ca="1">_xll.BDH($C$278,"CUR_RATIO","FQ2 2016","FQ2 2016","Currency=INR","Period=FQ","BEST_FPERIOD_OVERRIDE=FQ","FILING_STATUS=OR","EQY_CONSOLIDATED=Y","Sort=A","Dates=H","DateFormat=P","Fill=—","Direction=H","UseDPDF=Y")</f>
        <v>#NAME?</v>
      </c>
      <c r="CU290" s="1" t="e">
        <f ca="1">_xll.BDH($C$278,"QUICK_RATIO","FQ2 2016","FQ2 2016","Currency=INR","Period=FQ","BEST_FPERIOD_OVERRIDE=FQ","FILING_STATUS=OR","EQY_CONSOLIDATED=Y","Sort=A","Dates=H","DateFormat=P","Fill=—","Direction=H","UseDPDF=Y")</f>
        <v>#NAME?</v>
      </c>
      <c r="CV290" s="1" t="e">
        <f ca="1">_xll.BDH($C$278,"ALTMAN_Z_SCORE","FQ2 2016","FQ2 2016","Currency=INR","Period=FQ","BEST_FPERIOD_OVERRIDE=FQ","FILING_STATUS=OR","EQY_CONSOLIDATED=Y","Sort=A","Dates=H","DateFormat=P","Fill=—","Direction=H","UseDPDF=Y")</f>
        <v>#NAME?</v>
      </c>
      <c r="CW290" s="3" t="e">
        <f ca="1">_xll.BDH($C$278,"ACCT_RCV_TURN","FQ2 2016","FQ2 2016","Currency=INR","Period=FQ","BEST_FPERIOD_OVERRIDE=FQ","FILING_STATUS=OR","EQY_CONSOLIDATED=Y","FA_ADJUSTED=GAAP","Sort=A","Dates=H","DateFormat=P","Fill=—","Direction=H","UseDPDF=Y")</f>
        <v>#NAME?</v>
      </c>
      <c r="CX290" s="1" t="e">
        <f ca="1">_xll.BDH($C$278,"ACCT_RCV_DAYS","FQ2 2016","FQ2 2016","Currency=INR","Period=FQ","BEST_FPERIOD_OVERRIDE=FQ","FILING_STATUS=OR","EQY_CONSOLIDATED=Y","FA_ADJUSTED=GAAP","Sort=A","Dates=H","DateFormat=P","Fill=—","Direction=H","UseDPDF=Y")</f>
        <v>#NAME?</v>
      </c>
      <c r="CY290" s="3" t="e">
        <f ca="1">_xll.BDH($C$278,"INVENT_TURN","FQ2 2016","FQ2 2016","Currency=INR","Period=FQ","BEST_FPERIOD_OVERRIDE=FQ","FILING_STATUS=OR","EQY_CONSOLIDATED=Y","FA_ADJUSTED=GAAP","Sort=A","Dates=H","DateFormat=P","Fill=—","Direction=H","UseDPDF=Y")</f>
        <v>#NAME?</v>
      </c>
      <c r="CZ290" s="1" t="e">
        <f ca="1">_xll.BDH($C$278,"INVENT_DAYS","FQ2 2016","FQ2 2016","Currency=INR","Period=FQ","BEST_FPERIOD_OVERRIDE=FQ","FILING_STATUS=OR","EQY_CONSOLIDATED=Y","FA_ADJUSTED=GAAP","Sort=A","Dates=H","DateFormat=P","Fill=—","Direction=H","UseDPDF=Y")</f>
        <v>#NAME?</v>
      </c>
      <c r="DA290" s="3" t="e">
        <f ca="1">_xll.BDH($C$278,"ACCOUNTS_PAYABLE_TURNOVER","FQ2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90" s="1" t="e">
        <f ca="1">_xll.BDH($C$278,"ACCOUNTS_PAYABLE_TURNOVER_DAYS","FQ2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90" s="3" t="e">
        <f ca="1">_xll.BDH($C$278,"CASH_CONVERSION_CYCLE","FQ2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90" s="3" t="e">
        <f ca="1">_xll.BDH($C$278,"INV_TO_CASH_DAYS","FQ2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290" s="4" t="e">
        <f ca="1">_xll.BDH($C$278,"BS_INVENTORIES","FQ2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290" s="2" t="e">
        <f ca="1">_xll.BDH($C$278,"INVTRY_RAW_MATERIALS","FQ2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90" s="2" t="e">
        <f ca="1">_xll.BDH($C$278,"INVTRY_IN_PROGRESS","FQ2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90" s="2" t="e">
        <f ca="1">_xll.BDH($C$278,"INVTRY_FINISHED_GOODS","FQ2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90" s="2" t="e">
        <f ca="1">_xll.BDH($C$278,"BS_OTHER_INV","FQ2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91" spans="1:113" x14ac:dyDescent="0.3">
      <c r="A291" s="6"/>
      <c r="B291" s="6"/>
      <c r="C291" s="6"/>
      <c r="D291" s="6"/>
      <c r="E291" t="s">
        <v>6</v>
      </c>
      <c r="F291" t="e">
        <f ca="1">_xll.BDH($C$278,"RETURN_COM_EQY","FQ3 2016","FQ3 2016","Currency=INR","Period=FQ","BEST_FPERIOD_OVERRIDE=FQ","FILING_STATUS=OR","EQY_CONSOLIDATED=Y","FA_ADJUSTED=GAAP","Sort=A","Dates=H","DateFormat=P","Fill=—","Direction=H","UseDPDF=Y")</f>
        <v>#NAME?</v>
      </c>
      <c r="G291" t="e">
        <f ca="1">_xll.BDH($C$278,"RETURN_ON_ASSET","FQ3 2016","FQ3 2016","Currency=INR","Period=FQ","BEST_FPERIOD_OVERRIDE=FQ","FILING_STATUS=OR","EQY_CONSOLIDATED=Y","FA_ADJUSTED=GAAP","Sort=A","Dates=H","DateFormat=P","Fill=—","Direction=H","UseDPDF=Y")</f>
        <v>#NAME?</v>
      </c>
      <c r="H291" t="e">
        <f ca="1">_xll.BDH($C$278,"RETURN_ON_CAP","FQ3 2016","FQ3 2016","Currency=INR","Period=FQ","BEST_FPERIOD_OVERRIDE=FQ","FILING_STATUS=OR","EQY_CONSOLIDATED=Y","FA_ADJUSTED=GAAP","Sort=A","Dates=H","DateFormat=P","Fill=—","Direction=H","UseDPDF=Y")</f>
        <v>#NAME?</v>
      </c>
      <c r="I291" t="e">
        <f ca="1">_xll.BDH($C$278,"RETURN_ON_INV_CAPITAL","FQ3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91" t="e">
        <f ca="1">_xll.BDH($C$278,"EBITDA_TO_REVENUE","FQ3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291" t="e">
        <f ca="1">_xll.BDH($C$278,"OPER_MARGIN","FQ3 2016","FQ3 2016","Currency=INR","Period=FQ","BEST_FPERIOD_OVERRIDE=FQ","FILING_STATUS=OR","EQY_CONSOLIDATED=Y","FA_ADJUSTED=GAAP","Sort=A","Dates=H","DateFormat=P","Fill=—","Direction=H","UseDPDF=Y")</f>
        <v>#NAME?</v>
      </c>
      <c r="L291" t="e">
        <f ca="1">_xll.BDH($C$278,"INCREMENTAL_OPERATING_MARGIN","FQ3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91" t="e">
        <f ca="1">_xll.BDH($C$278,"PRETAX_INC_TO_NET_SALES","FQ3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91" t="e">
        <f ca="1">_xll.BDH($C$278,"INC_BEF_XO_ITEMS_TO_NET_SALES","FQ3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91" t="e">
        <f ca="1">_xll.BDH($C$278,"PROF_MARGIN","FQ3 2016","FQ3 2016","Currency=INR","Period=FQ","BEST_FPERIOD_OVERRIDE=FQ","FILING_STATUS=OR","EQY_CONSOLIDATED=Y","FA_ADJUSTED=GAAP","Sort=A","Dates=H","DateFormat=P","Fill=—","Direction=H","UseDPDF=Y")</f>
        <v>#NAME?</v>
      </c>
      <c r="P291" t="e">
        <f ca="1">_xll.BDH($C$278,"NET_INCOME_TO_COMMON_MARGIN","FQ3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91" t="e">
        <f ca="1">_xll.BDH($C$278,"EFF_TAX_RATE","FQ3 2016","FQ3 2016","Currency=INR","Period=FQ","BEST_FPERIOD_OVERRIDE=FQ","FILING_STATUS=OR","EQY_CONSOLIDATED=Y","FA_ADJUSTED=GAAP","Sort=A","Dates=H","DateFormat=P","Fill=—","Direction=H","UseDPDF=Y")</f>
        <v>#NAME?</v>
      </c>
      <c r="R291" t="e">
        <f ca="1">_xll.BDH($C$278,"DVD_PAYOUT_RATIO","FQ3 2016","FQ3 2016","Currency=INR","Period=FQ","BEST_FPERIOD_OVERRIDE=FQ","FILING_STATUS=OR","EQY_CONSOLIDATED=Y","FA_ADJUSTED=GAAP","Sort=A","Dates=H","DateFormat=P","Fill=—","Direction=H","UseDPDF=Y")</f>
        <v>#NAME?</v>
      </c>
      <c r="S291" t="e">
        <f ca="1">_xll.BDH($C$278,"SUSTAIN_GROWTH_RT","FQ3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291" s="1" t="e">
        <f ca="1">_xll.BDH($C$278,"SALES_GROWTH","FQ3 2016","FQ3 2016","Currency=INR","Period=FQ","BEST_FPERIOD_OVERRIDE=FQ","FILING_STATUS=OR","EQY_CONSOLIDATED=Y","FA_ADJUSTED=GAAP","Sort=A","Dates=H","DateFormat=P","Fill=—","Direction=H","UseDPDF=Y")</f>
        <v>#NAME?</v>
      </c>
      <c r="U291" s="1" t="e">
        <f ca="1">_xll.BDH($C$278,"EBITDA_GROWTH","FQ3 2016","FQ3 2016","Currency=INR","Period=FQ","BEST_FPERIOD_OVERRIDE=FQ","FILING_STATUS=OR","EQY_CONSOLIDATED=Y","FA_ADJUSTED=GAAP","Sort=A","Dates=H","DateFormat=P","Fill=—","Direction=H","UseDPDF=Y")</f>
        <v>#NAME?</v>
      </c>
      <c r="V291" s="1" t="e">
        <f ca="1">_xll.BDH($C$278,"OPER_INC_GROWTH","FQ3 2016","FQ3 2016","Currency=INR","Period=FQ","BEST_FPERIOD_OVERRIDE=FQ","FILING_STATUS=OR","EQY_CONSOLIDATED=Y","FA_ADJUSTED=GAAP","Sort=A","Dates=H","DateFormat=P","Fill=—","Direction=H","UseDPDF=Y")</f>
        <v>#NAME?</v>
      </c>
      <c r="W291" s="1" t="e">
        <f ca="1">_xll.BDH($C$278,"EARN_FOR_COM_GROWTH","FQ3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91" s="1" t="e">
        <f ca="1">_xll.BDH($C$278,"DILUTED_EPS_AFT_XO_ITEMS_GROWTH","FQ3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91" s="1" t="e">
        <f ca="1">_xll.BDH($C$278,"DIVIDEND_PER_SHARE_1_YEAR_GROWTH","FQ3 2016","FQ3 2016","Currency=INR","Period=FQ","BEST_FPERIOD_OVERRIDE=FQ","FILING_STATUS=OR","EQY_CONSOLIDATED=Y","Sort=A","Dates=H","DateFormat=P","Fill=—","Direction=H","UseDPDF=Y")</f>
        <v>#NAME?</v>
      </c>
      <c r="Z291" s="1" t="e">
        <f ca="1">_xll.BDH($C$278,"ACCOUNTS_RECEIVABLE_GROWTH","FQ3 2016","FQ3 2016","Currency=INR","Period=FQ","BEST_FPERIOD_OVERRIDE=FQ","FILING_STATUS=OR","EQY_CONSOLIDATED=Y","Sort=A","Dates=H","DateFormat=P","Fill=—","Direction=H","UseDPDF=Y")</f>
        <v>#NAME?</v>
      </c>
      <c r="AA291" s="1" t="e">
        <f ca="1">_xll.BDH($C$278,"INVENTORY_GROWTH","FQ3 2016","FQ3 2016","Currency=INR","Period=FQ","BEST_FPERIOD_OVERRIDE=FQ","FILING_STATUS=OR","EQY_CONSOLIDATED=Y","Sort=A","Dates=H","DateFormat=P","Fill=—","Direction=H","UseDPDF=Y")</f>
        <v>#NAME?</v>
      </c>
      <c r="AB291" s="1" t="e">
        <f ca="1">_xll.BDH($C$278,"NET_FIXED_ASSETS_1_YEAR_GROWTH","FQ3 2016","FQ3 2016","Currency=INR","Period=FQ","BEST_FPERIOD_OVERRIDE=FQ","FILING_STATUS=OR","EQY_CONSOLIDATED=Y","Sort=A","Dates=H","DateFormat=P","Fill=—","Direction=H","UseDPDF=Y")</f>
        <v>#NAME?</v>
      </c>
      <c r="AC291" s="1" t="e">
        <f ca="1">_xll.BDH($C$278,"ASSET_GROWTH","FQ3 2016","FQ3 2016","Currency=INR","Period=FQ","BEST_FPERIOD_OVERRIDE=FQ","FILING_STATUS=OR","EQY_CONSOLIDATED=Y","Sort=A","Dates=H","DateFormat=P","Fill=—","Direction=H","UseDPDF=Y")</f>
        <v>#NAME?</v>
      </c>
      <c r="AD291" s="1" t="e">
        <f ca="1">_xll.BDH($C$278,"MODIFIED_WORK_CAP_GROWTH","FQ3 2016","FQ3 2016","Currency=INR","Period=FQ","BEST_FPERIOD_OVERRIDE=FQ","FILING_STATUS=OR","EQY_CONSOLIDATED=Y","Sort=A","Dates=H","DateFormat=P","Fill=—","Direction=H","UseDPDF=Y")</f>
        <v>#NAME?</v>
      </c>
      <c r="AE291" s="1" t="e">
        <f ca="1">_xll.BDH($C$278,"WORK_CAP_GROWTH","FQ3 2016","FQ3 2016","Currency=INR","Period=FQ","BEST_FPERIOD_OVERRIDE=FQ","FILING_STATUS=OR","EQY_CONSOLIDATED=Y","Sort=A","Dates=H","DateFormat=P","Fill=—","Direction=H","UseDPDF=Y")</f>
        <v>#NAME?</v>
      </c>
      <c r="AF291" s="1" t="e">
        <f ca="1">_xll.BDH($C$278,"ACCOUNTS_PAYABLE_GROWTH_1YR","FQ3 2016","FQ3 2016","Currency=INR","Period=FQ","BEST_FPERIOD_OVERRIDE=FQ","FILING_STATUS=OR","EQY_CONSOLIDATED=Y","Sort=A","Dates=H","DateFormat=P","Fill=—","Direction=H","UseDPDF=Y")</f>
        <v>#NAME?</v>
      </c>
      <c r="AG291" s="1" t="e">
        <f ca="1">_xll.BDH($C$278,"SHORT_TERM_DEBT_1_YEAR_GROWTH","FQ3 2016","FQ3 2016","Currency=INR","Period=FQ","BEST_FPERIOD_OVERRIDE=FQ","FILING_STATUS=OR","EQY_CONSOLIDATED=Y","Sort=A","Dates=H","DateFormat=P","Fill=—","Direction=H","UseDPDF=Y")</f>
        <v>#NAME?</v>
      </c>
      <c r="AH291" s="1" t="e">
        <f ca="1">_xll.BDH($C$278,"TOTAL_DEBT_1_YEAR_GROWTH","FQ3 2016","FQ3 2016","Currency=INR","Period=FQ","BEST_FPERIOD_OVERRIDE=FQ","FILING_STATUS=OR","EQY_CONSOLIDATED=Y","Sort=A","Dates=H","DateFormat=P","Fill=—","Direction=H","UseDPDF=Y")</f>
        <v>#NAME?</v>
      </c>
      <c r="AI291" s="1" t="e">
        <f ca="1">_xll.BDH($C$278,"TOTAL_EQUITY_1_YEAR_GROWTH","FQ3 2016","FQ3 2016","Currency=INR","Period=FQ","BEST_FPERIOD_OVERRIDE=FQ","FILING_STATUS=OR","EQY_CONSOLIDATED=Y","Sort=A","Dates=H","DateFormat=P","Fill=—","Direction=H","UseDPDF=Y")</f>
        <v>#NAME?</v>
      </c>
      <c r="AJ291" s="1" t="e">
        <f ca="1">_xll.BDH($C$278,"GROWTH_IN_CAP","FQ3 2016","FQ3 2016","Currency=INR","Period=FQ","BEST_FPERIOD_OVERRIDE=FQ","FILING_STATUS=OR","EQY_CONSOLIDATED=Y","Sort=A","Dates=H","DateFormat=P","Fill=—","Direction=H","UseDPDF=Y")</f>
        <v>#NAME?</v>
      </c>
      <c r="AK291" s="1" t="e">
        <f ca="1">_xll.BDH($C$278,"BVPS_GROWTH","FQ3 2016","FQ3 2016","Currency=INR","Period=FQ","BEST_FPERIOD_OVERRIDE=FQ","FILING_STATUS=OR","EQY_CONSOLIDATED=Y","Sort=A","Dates=H","DateFormat=P","Fill=—","Direction=H","UseDPDF=Y")</f>
        <v>#NAME?</v>
      </c>
      <c r="AL291" s="1" t="e">
        <f ca="1">_xll.BDH($C$278,"CASH_FLOW_GROWTH","FQ3 2016","FQ3 2016","Currency=INR","Period=FQ","BEST_FPERIOD_OVERRIDE=FQ","FILING_STATUS=OR","EQY_CONSOLIDATED=Y","Sort=A","Dates=H","DateFormat=P","Fill=—","Direction=H","UseDPDF=Y")</f>
        <v>#NAME?</v>
      </c>
      <c r="AM291" s="1" t="e">
        <f ca="1">_xll.BDH($C$278,"GEO_GROW_NET_SALES","FQ3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91" s="1" t="e">
        <f ca="1">_xll.BDH($C$278,"GEO_GROW_EBITDA","FQ3 2016","FQ3 2016","Currency=INR","Period=FQ","BEST_FPERIOD_OVERRIDE=FQ","FILING_STATUS=OR","EQY_CONSOLIDATED=Y","FA_ADJUSTED=GAAP","Sort=A","Dates=H","DateFormat=P","Fill=—","Direction=H","UseDPDF=Y")</f>
        <v>#NAME?</v>
      </c>
      <c r="AO291" s="1" t="e">
        <f ca="1">_xll.BDH($C$278,"GEO_GROW_OPER_INC","FQ3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91" s="1" t="e">
        <f ca="1">_xll.BDH($C$278,"NET_INCOME_TO_COMMON_5_YR_GROWTH","FQ3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91" s="1" t="e">
        <f ca="1">_xll.BDH($C$278,"5Y_GEO_GROWTH_DILUTED_EPS","FQ3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91" s="1" t="e">
        <f ca="1">_xll.BDH($C$278,"GEO_GROW_DVD_PER_SH","FQ3 2016","FQ3 2016","Currency=INR","Period=FQ","BEST_FPERIOD_OVERRIDE=FQ","FILING_STATUS=OR","EQY_CONSOLIDATED=Y","Sort=A","Dates=H","DateFormat=P","Fill=—","Direction=H","UseDPDF=Y")</f>
        <v>#NAME?</v>
      </c>
      <c r="AS291" s="1" t="e">
        <f ca="1">_xll.BDH($C$278,"ACCOUNTS_RECEIVABLE_5_YR_GROWTH","FQ3 2016","FQ3 2016","Currency=INR","Period=FQ","BEST_FPERIOD_OVERRIDE=FQ","FILING_STATUS=OR","EQY_CONSOLIDATED=Y","Sort=A","Dates=H","DateFormat=P","Fill=—","Direction=H","UseDPDF=Y")</f>
        <v>#NAME?</v>
      </c>
      <c r="AT291" s="1" t="e">
        <f ca="1">_xll.BDH($C$278,"INVENTORY_5_YEAR_GROWTH","FQ3 2016","FQ3 2016","Currency=INR","Period=FQ","BEST_FPERIOD_OVERRIDE=FQ","FILING_STATUS=OR","EQY_CONSOLIDATED=Y","Sort=A","Dates=H","DateFormat=P","Fill=—","Direction=H","UseDPDF=Y")</f>
        <v>#NAME?</v>
      </c>
      <c r="AU291" s="1" t="e">
        <f ca="1">_xll.BDH($C$278,"NET_FIXED_ASSETS_5_YEAR_GROWTH","FQ3 2016","FQ3 2016","Currency=INR","Period=FQ","BEST_FPERIOD_OVERRIDE=FQ","FILING_STATUS=OR","EQY_CONSOLIDATED=Y","Sort=A","Dates=H","DateFormat=P","Fill=—","Direction=H","UseDPDF=Y")</f>
        <v>#NAME?</v>
      </c>
      <c r="AV291" s="1" t="e">
        <f ca="1">_xll.BDH($C$278,"GEO_GROW_TOT_ASSET","FQ3 2016","FQ3 2016","Currency=INR","Period=FQ","BEST_FPERIOD_OVERRIDE=FQ","FILING_STATUS=OR","EQY_CONSOLIDATED=Y","Sort=A","Dates=H","DateFormat=P","Fill=—","Direction=H","UseDPDF=Y")</f>
        <v>#NAME?</v>
      </c>
      <c r="AW291" s="1" t="e">
        <f ca="1">_xll.BDH($C$278,"MODIFIED_WORKING_CPTL_5YR_GRWTH","FQ3 2016","FQ3 2016","Currency=INR","Period=FQ","BEST_FPERIOD_OVERRIDE=FQ","FILING_STATUS=OR","EQY_CONSOLIDATED=Y","Sort=A","Dates=H","DateFormat=P","Fill=—","Direction=H","UseDPDF=Y")</f>
        <v>#NAME?</v>
      </c>
      <c r="AX291" s="1" t="e">
        <f ca="1">_xll.BDH($C$278,"WORKING_CAPITAL_5_YEAR_GROWTH","FQ3 2016","FQ3 2016","Currency=INR","Period=FQ","BEST_FPERIOD_OVERRIDE=FQ","FILING_STATUS=OR","EQY_CONSOLIDATED=Y","Sort=A","Dates=H","DateFormat=P","Fill=—","Direction=H","UseDPDF=Y")</f>
        <v>#NAME?</v>
      </c>
      <c r="AY291" s="1" t="e">
        <f ca="1">_xll.BDH($C$278,"ACCOUNTS_PAYABLE_5_YEAR_GROWTH","FQ3 2016","FQ3 2016","Currency=INR","Period=FQ","BEST_FPERIOD_OVERRIDE=FQ","FILING_STATUS=OR","EQY_CONSOLIDATED=Y","Sort=A","Dates=H","DateFormat=P","Fill=—","Direction=H","UseDPDF=Y")</f>
        <v>#NAME?</v>
      </c>
      <c r="AZ291" s="1" t="e">
        <f ca="1">_xll.BDH($C$278,"SHORT_TERM_DEBT_5_YEAR_GROWTH","FQ3 2016","FQ3 2016","Currency=INR","Period=FQ","BEST_FPERIOD_OVERRIDE=FQ","FILING_STATUS=OR","EQY_CONSOLIDATED=Y","Sort=A","Dates=H","DateFormat=P","Fill=—","Direction=H","UseDPDF=Y")</f>
        <v>#NAME?</v>
      </c>
      <c r="BA291" s="1" t="e">
        <f ca="1">_xll.BDH($C$278,"TOTAL_DEBT_5_YEAR_GROWTH","FQ3 2016","FQ3 2016","Currency=INR","Period=FQ","BEST_FPERIOD_OVERRIDE=FQ","FILING_STATUS=OR","EQY_CONSOLIDATED=Y","Sort=A","Dates=H","DateFormat=P","Fill=—","Direction=H","UseDPDF=Y")</f>
        <v>#NAME?</v>
      </c>
      <c r="BB291" s="1" t="e">
        <f ca="1">_xll.BDH($C$278,"GEO_GROW_TOT_SHRHLDR_EQY","FQ3 2016","FQ3 2016","Currency=INR","Period=FQ","BEST_FPERIOD_OVERRIDE=FQ","FILING_STATUS=OR","EQY_CONSOLIDATED=Y","Sort=A","Dates=H","DateFormat=P","Fill=—","Direction=H","UseDPDF=Y")</f>
        <v>#NAME?</v>
      </c>
      <c r="BC291" s="1" t="e">
        <f ca="1">_xll.BDH($C$278,"TOTAL_CAPITAL_5_YEAR_GROWTH","FQ3 2016","FQ3 2016","Currency=INR","Period=FQ","BEST_FPERIOD_OVERRIDE=FQ","FILING_STATUS=OR","EQY_CONSOLIDATED=Y","Sort=A","Dates=H","DateFormat=P","Fill=—","Direction=H","UseDPDF=Y")</f>
        <v>#NAME?</v>
      </c>
      <c r="BD291" s="1" t="e">
        <f ca="1">_xll.BDH($C$278,"GEO_GROW_BOOK_VAL","FQ3 2016","FQ3 2016","Currency=INR","Period=FQ","BEST_FPERIOD_OVERRIDE=FQ","FILING_STATUS=OR","EQY_CONSOLIDATED=Y","Sort=A","Dates=H","DateFormat=P","Fill=—","Direction=H","UseDPDF=Y")</f>
        <v>#NAME?</v>
      </c>
      <c r="BE291" s="1" t="e">
        <f ca="1">_xll.BDH($C$278,"GEO_GROW_CASH_OPER_ACT","FQ3 2016","FQ3 2016","Currency=INR","Period=FQ","BEST_FPERIOD_OVERRIDE=FQ","FILING_STATUS=OR","EQY_CONSOLIDATED=Y","Sort=A","Dates=H","DateFormat=P","Fill=—","Direction=H","UseDPDF=Y")</f>
        <v>#NAME?</v>
      </c>
      <c r="BF291" s="1" t="e">
        <f ca="1">_xll.BDH($C$278,"REVENUE_SEQUENTIAL_GROWTH","FQ3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91" s="1" t="e">
        <f ca="1">_xll.BDH($C$278,"EBITDA_SEQUENTIAL_GROWTH","FQ3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91" s="1" t="e">
        <f ca="1">_xll.BDH($C$278,"OPERATING_INCOME_SEQ_GROWTH","FQ3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91" s="1" t="e">
        <f ca="1">_xll.BDH($C$278,"NET_INCOME_TO_COMMON_SEQ_GROWTH","FQ3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91" s="1" t="e">
        <f ca="1">_xll.BDH($C$278,"EPS_DILUTED_SEQUENTIAL_GROWTH","FQ3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91" s="1" t="e">
        <f ca="1">_xll.BDH($C$278,"DPS_SEQUENTIAL_GROWTH","FQ3 2016","FQ3 2016","Currency=INR","Period=FQ","BEST_FPERIOD_OVERRIDE=FQ","FILING_STATUS=OR","EQY_CONSOLIDATED=Y","Sort=A","Dates=H","DateFormat=P","Fill=—","Direction=H","UseDPDF=Y")</f>
        <v>#NAME?</v>
      </c>
      <c r="BL291" s="1" t="e">
        <f ca="1">_xll.BDH($C$278,"ACCOUNTS_RECEIVABLE_SEQ_GROWTH","FQ3 2016","FQ3 2016","Currency=INR","Period=FQ","BEST_FPERIOD_OVERRIDE=FQ","FILING_STATUS=OR","EQY_CONSOLIDATED=Y","Sort=A","Dates=H","DateFormat=P","Fill=—","Direction=H","UseDPDF=Y")</f>
        <v>#NAME?</v>
      </c>
      <c r="BM291" s="1" t="e">
        <f ca="1">_xll.BDH($C$278,"INVENTORY_SEQUENTIAL_GROWTH","FQ3 2016","FQ3 2016","Currency=INR","Period=FQ","BEST_FPERIOD_OVERRIDE=FQ","FILING_STATUS=OR","EQY_CONSOLIDATED=Y","Sort=A","Dates=H","DateFormat=P","Fill=—","Direction=H","UseDPDF=Y")</f>
        <v>#NAME?</v>
      </c>
      <c r="BN291" s="1" t="e">
        <f ca="1">_xll.BDH($C$278,"FIXED_ASSETS_SEQUENTIAL_GROWTH","FQ3 2016","FQ3 2016","Currency=INR","Period=FQ","BEST_FPERIOD_OVERRIDE=FQ","FILING_STATUS=OR","EQY_CONSOLIDATED=Y","Sort=A","Dates=H","DateFormat=P","Fill=—","Direction=H","UseDPDF=Y")</f>
        <v>#NAME?</v>
      </c>
      <c r="BO291" s="1" t="e">
        <f ca="1">_xll.BDH($C$278,"TOTAL_ASSETS_SEQUENTIAL_GROWTH","FQ3 2016","FQ3 2016","Currency=INR","Period=FQ","BEST_FPERIOD_OVERRIDE=FQ","FILING_STATUS=OR","EQY_CONSOLIDATED=Y","Sort=A","Dates=H","DateFormat=P","Fill=—","Direction=H","UseDPDF=Y")</f>
        <v>#NAME?</v>
      </c>
      <c r="BP291" s="1" t="e">
        <f ca="1">_xll.BDH($C$278,"MODIFIED_WORKING_CPTL_SEQ_GRWTH","FQ3 2016","FQ3 2016","Currency=INR","Period=FQ","BEST_FPERIOD_OVERRIDE=FQ","FILING_STATUS=OR","EQY_CONSOLIDATED=Y","Sort=A","Dates=H","DateFormat=P","Fill=—","Direction=H","UseDPDF=Y")</f>
        <v>#NAME?</v>
      </c>
      <c r="BQ291" s="1" t="e">
        <f ca="1">_xll.BDH($C$278,"WORKING_CAPITAL_SEQ_GROWTH","FQ3 2016","FQ3 2016","Currency=INR","Period=FQ","BEST_FPERIOD_OVERRIDE=FQ","FILING_STATUS=OR","EQY_CONSOLIDATED=Y","Sort=A","Dates=H","DateFormat=P","Fill=—","Direction=H","UseDPDF=Y")</f>
        <v>#NAME?</v>
      </c>
      <c r="BR291" s="1" t="e">
        <f ca="1">_xll.BDH($C$278,"ACCOUNTS_PAYABLE_SEQ_GROWTH","FQ3 2016","FQ3 2016","Currency=INR","Period=FQ","BEST_FPERIOD_OVERRIDE=FQ","FILING_STATUS=OR","EQY_CONSOLIDATED=Y","Sort=A","Dates=H","DateFormat=P","Fill=—","Direction=H","UseDPDF=Y")</f>
        <v>#NAME?</v>
      </c>
      <c r="BS291" s="1" t="e">
        <f ca="1">_xll.BDH($C$278,"ST_DEBT_SEQUENTIAL_GROWTH","FQ3 2016","FQ3 2016","Currency=INR","Period=FQ","BEST_FPERIOD_OVERRIDE=FQ","FILING_STATUS=OR","EQY_CONSOLIDATED=Y","Sort=A","Dates=H","DateFormat=P","Fill=—","Direction=H","UseDPDF=Y")</f>
        <v>#NAME?</v>
      </c>
      <c r="BT291" s="1" t="e">
        <f ca="1">_xll.BDH($C$278,"TOTAL_DEBT_SEQUENTIAL_GROWTH","FQ3 2016","FQ3 2016","Currency=INR","Period=FQ","BEST_FPERIOD_OVERRIDE=FQ","FILING_STATUS=OR","EQY_CONSOLIDATED=Y","Sort=A","Dates=H","DateFormat=P","Fill=—","Direction=H","UseDPDF=Y")</f>
        <v>#NAME?</v>
      </c>
      <c r="BU291" s="1" t="e">
        <f ca="1">_xll.BDH($C$278,"TOTAL_EQUITY_SEQUENTIAL_GROWTH","FQ3 2016","FQ3 2016","Currency=INR","Period=FQ","BEST_FPERIOD_OVERRIDE=FQ","FILING_STATUS=OR","EQY_CONSOLIDATED=Y","Sort=A","Dates=H","DateFormat=P","Fill=—","Direction=H","UseDPDF=Y")</f>
        <v>#NAME?</v>
      </c>
      <c r="BV291" s="1" t="e">
        <f ca="1">_xll.BDH($C$278,"TOTAL_CAPITAL_SEQUENTIAL_GROWTH","FQ3 2016","FQ3 2016","Currency=INR","Period=FQ","BEST_FPERIOD_OVERRIDE=FQ","FILING_STATUS=OR","EQY_CONSOLIDATED=Y","Sort=A","Dates=H","DateFormat=P","Fill=—","Direction=H","UseDPDF=Y")</f>
        <v>#NAME?</v>
      </c>
      <c r="BW291" s="1" t="e">
        <f ca="1">_xll.BDH($C$278,"BPS_SEQUENTIAL_GROWTH","FQ3 2016","FQ3 2016","Currency=INR","Period=FQ","BEST_FPERIOD_OVERRIDE=FQ","FILING_STATUS=OR","EQY_CONSOLIDATED=Y","Sort=A","Dates=H","DateFormat=P","Fill=—","Direction=H","UseDPDF=Y")</f>
        <v>#NAME?</v>
      </c>
      <c r="BX291" s="1" t="e">
        <f ca="1">_xll.BDH($C$278,"CFO_SEQUENTIAL_GROWTH","FQ3 2016","FQ3 2016","Currency=INR","Period=FQ","BEST_FPERIOD_OVERRIDE=FQ","FILING_STATUS=OR","EQY_CONSOLIDATED=Y","Sort=A","Dates=H","DateFormat=P","Fill=—","Direction=H","UseDPDF=Y")</f>
        <v>#NAME?</v>
      </c>
      <c r="BY291" s="2" t="e">
        <f ca="1">_xll.BDH($C$278,"SHORT_AND_LONG_TERM_DEBT","FQ3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91" s="2" t="e">
        <f ca="1">_xll.BDH($C$278,"BS_ST_BORROW","FQ3 2016","FQ3 2016","Currency=INR","Period=FQ","BEST_FPERIOD_OVERRIDE=FQ","FILING_STATUS=OR","EQY_CONSOLIDATED=Y","SCALING_FORMAT=MLN","Sort=A","Dates=H","DateFormat=P","Fill=—","Direction=H","UseDPDF=Y")</f>
        <v>#NAME?</v>
      </c>
      <c r="CA291" s="2" t="e">
        <f ca="1">_xll.BDH($C$278,"BS_LT_BORROW","FQ3 2016","FQ3 2016","Currency=INR","Period=FQ","BEST_FPERIOD_OVERRIDE=FQ","FILING_STATUS=OR","EQY_CONSOLIDATED=Y","SCALING_FORMAT=MLN","Sort=A","Dates=H","DateFormat=P","Fill=—","Direction=H","UseDPDF=Y")</f>
        <v>#NAME?</v>
      </c>
      <c r="CB291" s="1" t="e">
        <f ca="1">_xll.BDH($C$278,"TOT_DEBT_TO_EBITDA","FQ3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91" s="1" t="e">
        <f ca="1">_xll.BDH($C$278,"NET_DEBT_TO_EBITDA","FQ3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91" s="1" t="e">
        <f ca="1">_xll.BDH($C$278,"TOTAL_DEBT_TO_EBIT","FQ3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91" s="1" t="e">
        <f ca="1">_xll.BDH($C$278,"NET_DEBT_TO_EBIT","FQ3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291" s="1" t="e">
        <f ca="1">_xll.BDH($C$278,"EBITDA_TO_INTEREST_EXPN","FQ3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91" s="1" t="e">
        <f ca="1">_xll.BDH($C$278,"COM_EQY_TO_TOT_ASSET","FQ3 2016","FQ3 2016","Currency=INR","Period=FQ","BEST_FPERIOD_OVERRIDE=FQ","FILING_STATUS=OR","EQY_CONSOLIDATED=Y","Sort=A","Dates=H","DateFormat=P","Fill=—","Direction=H","UseDPDF=Y")</f>
        <v>#NAME?</v>
      </c>
      <c r="CH291" s="1" t="e">
        <f ca="1">_xll.BDH($C$278,"LT_DEBT_TO_TOT_EQY","FQ3 2016","FQ3 2016","Currency=INR","Period=FQ","BEST_FPERIOD_OVERRIDE=FQ","FILING_STATUS=OR","EQY_CONSOLIDATED=Y","Sort=A","Dates=H","DateFormat=P","Fill=—","Direction=H","UseDPDF=Y")</f>
        <v>#NAME?</v>
      </c>
      <c r="CI291" s="1" t="e">
        <f ca="1">_xll.BDH($C$278,"LT_DEBT_TO_TOT_CAP","FQ3 2016","FQ3 2016","Currency=INR","Period=FQ","BEST_FPERIOD_OVERRIDE=FQ","FILING_STATUS=OR","EQY_CONSOLIDATED=Y","Sort=A","Dates=H","DateFormat=P","Fill=—","Direction=H","UseDPDF=Y")</f>
        <v>#NAME?</v>
      </c>
      <c r="CJ291" s="1" t="e">
        <f ca="1">_xll.BDH($C$278,"LT_DEBT_TO_TOT_ASSET","FQ3 2016","FQ3 2016","Currency=INR","Period=FQ","BEST_FPERIOD_OVERRIDE=FQ","FILING_STATUS=OR","EQY_CONSOLIDATED=Y","Sort=A","Dates=H","DateFormat=P","Fill=—","Direction=H","UseDPDF=Y")</f>
        <v>#NAME?</v>
      </c>
      <c r="CK291" s="1" t="e">
        <f ca="1">_xll.BDH($C$278,"TOT_DEBT_TO_TOT_EQY","FQ3 2016","FQ3 2016","Currency=INR","Period=FQ","BEST_FPERIOD_OVERRIDE=FQ","FILING_STATUS=OR","EQY_CONSOLIDATED=Y","Sort=A","Dates=H","DateFormat=P","Fill=—","Direction=H","UseDPDF=Y")</f>
        <v>#NAME?</v>
      </c>
      <c r="CL291" s="1" t="e">
        <f ca="1">_xll.BDH($C$278,"TOT_DEBT_TO_TOT_CAP","FQ3 2016","FQ3 2016","Currency=INR","Period=FQ","BEST_FPERIOD_OVERRIDE=FQ","FILING_STATUS=OR","EQY_CONSOLIDATED=Y","Sort=A","Dates=H","DateFormat=P","Fill=—","Direction=H","UseDPDF=Y")</f>
        <v>#NAME?</v>
      </c>
      <c r="CM291" s="1" t="e">
        <f ca="1">_xll.BDH($C$278,"TOT_DEBT_TO_TOT_ASSET","FQ3 2016","FQ3 2016","Currency=INR","Period=FQ","BEST_FPERIOD_OVERRIDE=FQ","FILING_STATUS=OR","EQY_CONSOLIDATED=Y","Sort=A","Dates=H","DateFormat=P","Fill=—","Direction=H","UseDPDF=Y")</f>
        <v>#NAME?</v>
      </c>
      <c r="CN291" s="1" t="e">
        <f ca="1">_xll.BDH($C$278,"NET_DEBT_TO_SHRHLDR_EQTY","FQ3 2016","FQ3 2016","Currency=INR","Period=FQ","BEST_FPERIOD_OVERRIDE=FQ","FILING_STATUS=OR","EQY_CONSOLIDATED=Y","Sort=A","Dates=H","DateFormat=P","Fill=—","Direction=H","UseDPDF=Y")</f>
        <v>#NAME?</v>
      </c>
      <c r="CO291" s="1" t="e">
        <f ca="1">_xll.BDH($C$278,"NET_DEBT_%_CAPITAL","FQ3 2016","FQ3 2016","Currency=INR","Period=FQ","BEST_FPERIOD_OVERRIDE=FQ","FILING_STATUS=OR","EQY_CONSOLIDATED=Y","Sort=A","Dates=H","DateFormat=P","Fill=—","Direction=H","UseDPDF=Y")</f>
        <v>#NAME?</v>
      </c>
      <c r="CP291" s="2" t="e">
        <f ca="1">_xll.BDH($C$278,"EBITDA","FQ3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91" s="2" t="e">
        <f ca="1">_xll.BDH($C$278,"EBITDA_AFTER_CAPEX","FQ3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91" s="2" t="e">
        <f ca="1">_xll.BDH($C$278,"IS_OPER_INC","FQ3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91" s="1" t="e">
        <f ca="1">_xll.BDH($C$278,"CASH_RATIO","FQ3 2016","FQ3 2016","Currency=INR","Period=FQ","BEST_FPERIOD_OVERRIDE=FQ","FILING_STATUS=OR","EQY_CONSOLIDATED=Y","Sort=A","Dates=H","DateFormat=P","Fill=—","Direction=H","UseDPDF=Y")</f>
        <v>#NAME?</v>
      </c>
      <c r="CT291" s="1" t="e">
        <f ca="1">_xll.BDH($C$278,"CUR_RATIO","FQ3 2016","FQ3 2016","Currency=INR","Period=FQ","BEST_FPERIOD_OVERRIDE=FQ","FILING_STATUS=OR","EQY_CONSOLIDATED=Y","Sort=A","Dates=H","DateFormat=P","Fill=—","Direction=H","UseDPDF=Y")</f>
        <v>#NAME?</v>
      </c>
      <c r="CU291" s="1" t="e">
        <f ca="1">_xll.BDH($C$278,"QUICK_RATIO","FQ3 2016","FQ3 2016","Currency=INR","Period=FQ","BEST_FPERIOD_OVERRIDE=FQ","FILING_STATUS=OR","EQY_CONSOLIDATED=Y","Sort=A","Dates=H","DateFormat=P","Fill=—","Direction=H","UseDPDF=Y")</f>
        <v>#NAME?</v>
      </c>
      <c r="CV291" s="1" t="e">
        <f ca="1">_xll.BDH($C$278,"ALTMAN_Z_SCORE","FQ3 2016","FQ3 2016","Currency=INR","Period=FQ","BEST_FPERIOD_OVERRIDE=FQ","FILING_STATUS=OR","EQY_CONSOLIDATED=Y","Sort=A","Dates=H","DateFormat=P","Fill=—","Direction=H","UseDPDF=Y")</f>
        <v>#NAME?</v>
      </c>
      <c r="CW291" s="3" t="e">
        <f ca="1">_xll.BDH($C$278,"ACCT_RCV_TURN","FQ3 2016","FQ3 2016","Currency=INR","Period=FQ","BEST_FPERIOD_OVERRIDE=FQ","FILING_STATUS=OR","EQY_CONSOLIDATED=Y","FA_ADJUSTED=GAAP","Sort=A","Dates=H","DateFormat=P","Fill=—","Direction=H","UseDPDF=Y")</f>
        <v>#NAME?</v>
      </c>
      <c r="CX291" s="1" t="e">
        <f ca="1">_xll.BDH($C$278,"ACCT_RCV_DAYS","FQ3 2016","FQ3 2016","Currency=INR","Period=FQ","BEST_FPERIOD_OVERRIDE=FQ","FILING_STATUS=OR","EQY_CONSOLIDATED=Y","FA_ADJUSTED=GAAP","Sort=A","Dates=H","DateFormat=P","Fill=—","Direction=H","UseDPDF=Y")</f>
        <v>#NAME?</v>
      </c>
      <c r="CY291" s="3" t="e">
        <f ca="1">_xll.BDH($C$278,"INVENT_TURN","FQ3 2016","FQ3 2016","Currency=INR","Period=FQ","BEST_FPERIOD_OVERRIDE=FQ","FILING_STATUS=OR","EQY_CONSOLIDATED=Y","FA_ADJUSTED=GAAP","Sort=A","Dates=H","DateFormat=P","Fill=—","Direction=H","UseDPDF=Y")</f>
        <v>#NAME?</v>
      </c>
      <c r="CZ291" s="1" t="e">
        <f ca="1">_xll.BDH($C$278,"INVENT_DAYS","FQ3 2016","FQ3 2016","Currency=INR","Period=FQ","BEST_FPERIOD_OVERRIDE=FQ","FILING_STATUS=OR","EQY_CONSOLIDATED=Y","FA_ADJUSTED=GAAP","Sort=A","Dates=H","DateFormat=P","Fill=—","Direction=H","UseDPDF=Y")</f>
        <v>#NAME?</v>
      </c>
      <c r="DA291" s="3" t="e">
        <f ca="1">_xll.BDH($C$278,"ACCOUNTS_PAYABLE_TURNOVER","FQ3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91" s="1" t="e">
        <f ca="1">_xll.BDH($C$278,"ACCOUNTS_PAYABLE_TURNOVER_DAYS","FQ3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91" s="3" t="e">
        <f ca="1">_xll.BDH($C$278,"CASH_CONVERSION_CYCLE","FQ3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91" s="3" t="e">
        <f ca="1">_xll.BDH($C$278,"INV_TO_CASH_DAYS","FQ3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291" s="4" t="e">
        <f ca="1">_xll.BDH($C$278,"BS_INVENTORIES","FQ3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291" s="2" t="e">
        <f ca="1">_xll.BDH($C$278,"INVTRY_RAW_MATERIALS","FQ3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91" s="2" t="e">
        <f ca="1">_xll.BDH($C$278,"INVTRY_IN_PROGRESS","FQ3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91" s="2" t="e">
        <f ca="1">_xll.BDH($C$278,"INVTRY_FINISHED_GOODS","FQ3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91" s="2" t="e">
        <f ca="1">_xll.BDH($C$278,"BS_OTHER_INV","FQ3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92" spans="1:113" x14ac:dyDescent="0.3">
      <c r="A292" s="6"/>
      <c r="B292" s="6"/>
      <c r="C292" s="6"/>
      <c r="D292" s="6"/>
      <c r="E292" t="s">
        <v>7</v>
      </c>
      <c r="F292" t="e">
        <f ca="1">_xll.BDH($C$278,"RETURN_COM_EQY","FQ4 2016","FQ4 2016","Currency=INR","Period=FQ","BEST_FPERIOD_OVERRIDE=FQ","FILING_STATUS=OR","EQY_CONSOLIDATED=Y","FA_ADJUSTED=GAAP","Sort=A","Dates=H","DateFormat=P","Fill=—","Direction=H","UseDPDF=Y")</f>
        <v>#NAME?</v>
      </c>
      <c r="G292" t="e">
        <f ca="1">_xll.BDH($C$278,"RETURN_ON_ASSET","FQ4 2016","FQ4 2016","Currency=INR","Period=FQ","BEST_FPERIOD_OVERRIDE=FQ","FILING_STATUS=OR","EQY_CONSOLIDATED=Y","FA_ADJUSTED=GAAP","Sort=A","Dates=H","DateFormat=P","Fill=—","Direction=H","UseDPDF=Y")</f>
        <v>#NAME?</v>
      </c>
      <c r="H292" t="e">
        <f ca="1">_xll.BDH($C$278,"RETURN_ON_CAP","FQ4 2016","FQ4 2016","Currency=INR","Period=FQ","BEST_FPERIOD_OVERRIDE=FQ","FILING_STATUS=OR","EQY_CONSOLIDATED=Y","FA_ADJUSTED=GAAP","Sort=A","Dates=H","DateFormat=P","Fill=—","Direction=H","UseDPDF=Y")</f>
        <v>#NAME?</v>
      </c>
      <c r="I292" t="e">
        <f ca="1">_xll.BDH($C$278,"RETURN_ON_INV_CAPITAL","FQ4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92" t="e">
        <f ca="1">_xll.BDH($C$278,"EBITDA_TO_REVENUE","FQ4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292" t="e">
        <f ca="1">_xll.BDH($C$278,"OPER_MARGIN","FQ4 2016","FQ4 2016","Currency=INR","Period=FQ","BEST_FPERIOD_OVERRIDE=FQ","FILING_STATUS=OR","EQY_CONSOLIDATED=Y","FA_ADJUSTED=GAAP","Sort=A","Dates=H","DateFormat=P","Fill=—","Direction=H","UseDPDF=Y")</f>
        <v>#NAME?</v>
      </c>
      <c r="L292" t="e">
        <f ca="1">_xll.BDH($C$278,"INCREMENTAL_OPERATING_MARGIN","FQ4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92" t="e">
        <f ca="1">_xll.BDH($C$278,"PRETAX_INC_TO_NET_SALES","FQ4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92" t="e">
        <f ca="1">_xll.BDH($C$278,"INC_BEF_XO_ITEMS_TO_NET_SALES","FQ4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92" t="e">
        <f ca="1">_xll.BDH($C$278,"PROF_MARGIN","FQ4 2016","FQ4 2016","Currency=INR","Period=FQ","BEST_FPERIOD_OVERRIDE=FQ","FILING_STATUS=OR","EQY_CONSOLIDATED=Y","FA_ADJUSTED=GAAP","Sort=A","Dates=H","DateFormat=P","Fill=—","Direction=H","UseDPDF=Y")</f>
        <v>#NAME?</v>
      </c>
      <c r="P292" t="e">
        <f ca="1">_xll.BDH($C$278,"NET_INCOME_TO_COMMON_MARGIN","FQ4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92" t="e">
        <f ca="1">_xll.BDH($C$278,"EFF_TAX_RATE","FQ4 2016","FQ4 2016","Currency=INR","Period=FQ","BEST_FPERIOD_OVERRIDE=FQ","FILING_STATUS=OR","EQY_CONSOLIDATED=Y","FA_ADJUSTED=GAAP","Sort=A","Dates=H","DateFormat=P","Fill=—","Direction=H","UseDPDF=Y")</f>
        <v>#NAME?</v>
      </c>
      <c r="R292" t="e">
        <f ca="1">_xll.BDH($C$278,"DVD_PAYOUT_RATIO","FQ4 2016","FQ4 2016","Currency=INR","Period=FQ","BEST_FPERIOD_OVERRIDE=FQ","FILING_STATUS=OR","EQY_CONSOLIDATED=Y","FA_ADJUSTED=GAAP","Sort=A","Dates=H","DateFormat=P","Fill=—","Direction=H","UseDPDF=Y")</f>
        <v>#NAME?</v>
      </c>
      <c r="S292" t="e">
        <f ca="1">_xll.BDH($C$278,"SUSTAIN_GROWTH_RT","FQ4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292" s="1" t="e">
        <f ca="1">_xll.BDH($C$278,"SALES_GROWTH","FQ4 2016","FQ4 2016","Currency=INR","Period=FQ","BEST_FPERIOD_OVERRIDE=FQ","FILING_STATUS=OR","EQY_CONSOLIDATED=Y","FA_ADJUSTED=GAAP","Sort=A","Dates=H","DateFormat=P","Fill=—","Direction=H","UseDPDF=Y")</f>
        <v>#NAME?</v>
      </c>
      <c r="U292" s="1" t="e">
        <f ca="1">_xll.BDH($C$278,"EBITDA_GROWTH","FQ4 2016","FQ4 2016","Currency=INR","Period=FQ","BEST_FPERIOD_OVERRIDE=FQ","FILING_STATUS=OR","EQY_CONSOLIDATED=Y","FA_ADJUSTED=GAAP","Sort=A","Dates=H","DateFormat=P","Fill=—","Direction=H","UseDPDF=Y")</f>
        <v>#NAME?</v>
      </c>
      <c r="V292" s="1" t="e">
        <f ca="1">_xll.BDH($C$278,"OPER_INC_GROWTH","FQ4 2016","FQ4 2016","Currency=INR","Period=FQ","BEST_FPERIOD_OVERRIDE=FQ","FILING_STATUS=OR","EQY_CONSOLIDATED=Y","FA_ADJUSTED=GAAP","Sort=A","Dates=H","DateFormat=P","Fill=—","Direction=H","UseDPDF=Y")</f>
        <v>#NAME?</v>
      </c>
      <c r="W292" s="1" t="e">
        <f ca="1">_xll.BDH($C$278,"EARN_FOR_COM_GROWTH","FQ4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92" s="1" t="e">
        <f ca="1">_xll.BDH($C$278,"DILUTED_EPS_AFT_XO_ITEMS_GROWTH","FQ4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92" s="1" t="e">
        <f ca="1">_xll.BDH($C$278,"DIVIDEND_PER_SHARE_1_YEAR_GROWTH","FQ4 2016","FQ4 2016","Currency=INR","Period=FQ","BEST_FPERIOD_OVERRIDE=FQ","FILING_STATUS=OR","EQY_CONSOLIDATED=Y","Sort=A","Dates=H","DateFormat=P","Fill=—","Direction=H","UseDPDF=Y")</f>
        <v>#NAME?</v>
      </c>
      <c r="Z292" s="1" t="e">
        <f ca="1">_xll.BDH($C$278,"ACCOUNTS_RECEIVABLE_GROWTH","FQ4 2016","FQ4 2016","Currency=INR","Period=FQ","BEST_FPERIOD_OVERRIDE=FQ","FILING_STATUS=OR","EQY_CONSOLIDATED=Y","Sort=A","Dates=H","DateFormat=P","Fill=—","Direction=H","UseDPDF=Y")</f>
        <v>#NAME?</v>
      </c>
      <c r="AA292" s="1" t="e">
        <f ca="1">_xll.BDH($C$278,"INVENTORY_GROWTH","FQ4 2016","FQ4 2016","Currency=INR","Period=FQ","BEST_FPERIOD_OVERRIDE=FQ","FILING_STATUS=OR","EQY_CONSOLIDATED=Y","Sort=A","Dates=H","DateFormat=P","Fill=—","Direction=H","UseDPDF=Y")</f>
        <v>#NAME?</v>
      </c>
      <c r="AB292" s="1" t="e">
        <f ca="1">_xll.BDH($C$278,"NET_FIXED_ASSETS_1_YEAR_GROWTH","FQ4 2016","FQ4 2016","Currency=INR","Period=FQ","BEST_FPERIOD_OVERRIDE=FQ","FILING_STATUS=OR","EQY_CONSOLIDATED=Y","Sort=A","Dates=H","DateFormat=P","Fill=—","Direction=H","UseDPDF=Y")</f>
        <v>#NAME?</v>
      </c>
      <c r="AC292" s="1" t="e">
        <f ca="1">_xll.BDH($C$278,"ASSET_GROWTH","FQ4 2016","FQ4 2016","Currency=INR","Period=FQ","BEST_FPERIOD_OVERRIDE=FQ","FILING_STATUS=OR","EQY_CONSOLIDATED=Y","Sort=A","Dates=H","DateFormat=P","Fill=—","Direction=H","UseDPDF=Y")</f>
        <v>#NAME?</v>
      </c>
      <c r="AD292" s="1" t="e">
        <f ca="1">_xll.BDH($C$278,"MODIFIED_WORK_CAP_GROWTH","FQ4 2016","FQ4 2016","Currency=INR","Period=FQ","BEST_FPERIOD_OVERRIDE=FQ","FILING_STATUS=OR","EQY_CONSOLIDATED=Y","Sort=A","Dates=H","DateFormat=P","Fill=—","Direction=H","UseDPDF=Y")</f>
        <v>#NAME?</v>
      </c>
      <c r="AE292" s="1" t="e">
        <f ca="1">_xll.BDH($C$278,"WORK_CAP_GROWTH","FQ4 2016","FQ4 2016","Currency=INR","Period=FQ","BEST_FPERIOD_OVERRIDE=FQ","FILING_STATUS=OR","EQY_CONSOLIDATED=Y","Sort=A","Dates=H","DateFormat=P","Fill=—","Direction=H","UseDPDF=Y")</f>
        <v>#NAME?</v>
      </c>
      <c r="AF292" s="1" t="e">
        <f ca="1">_xll.BDH($C$278,"ACCOUNTS_PAYABLE_GROWTH_1YR","FQ4 2016","FQ4 2016","Currency=INR","Period=FQ","BEST_FPERIOD_OVERRIDE=FQ","FILING_STATUS=OR","EQY_CONSOLIDATED=Y","Sort=A","Dates=H","DateFormat=P","Fill=—","Direction=H","UseDPDF=Y")</f>
        <v>#NAME?</v>
      </c>
      <c r="AG292" s="1" t="e">
        <f ca="1">_xll.BDH($C$278,"SHORT_TERM_DEBT_1_YEAR_GROWTH","FQ4 2016","FQ4 2016","Currency=INR","Period=FQ","BEST_FPERIOD_OVERRIDE=FQ","FILING_STATUS=OR","EQY_CONSOLIDATED=Y","Sort=A","Dates=H","DateFormat=P","Fill=—","Direction=H","UseDPDF=Y")</f>
        <v>#NAME?</v>
      </c>
      <c r="AH292" s="1" t="e">
        <f ca="1">_xll.BDH($C$278,"TOTAL_DEBT_1_YEAR_GROWTH","FQ4 2016","FQ4 2016","Currency=INR","Period=FQ","BEST_FPERIOD_OVERRIDE=FQ","FILING_STATUS=OR","EQY_CONSOLIDATED=Y","Sort=A","Dates=H","DateFormat=P","Fill=—","Direction=H","UseDPDF=Y")</f>
        <v>#NAME?</v>
      </c>
      <c r="AI292" s="1" t="e">
        <f ca="1">_xll.BDH($C$278,"TOTAL_EQUITY_1_YEAR_GROWTH","FQ4 2016","FQ4 2016","Currency=INR","Period=FQ","BEST_FPERIOD_OVERRIDE=FQ","FILING_STATUS=OR","EQY_CONSOLIDATED=Y","Sort=A","Dates=H","DateFormat=P","Fill=—","Direction=H","UseDPDF=Y")</f>
        <v>#NAME?</v>
      </c>
      <c r="AJ292" s="1" t="e">
        <f ca="1">_xll.BDH($C$278,"GROWTH_IN_CAP","FQ4 2016","FQ4 2016","Currency=INR","Period=FQ","BEST_FPERIOD_OVERRIDE=FQ","FILING_STATUS=OR","EQY_CONSOLIDATED=Y","Sort=A","Dates=H","DateFormat=P","Fill=—","Direction=H","UseDPDF=Y")</f>
        <v>#NAME?</v>
      </c>
      <c r="AK292" s="1" t="e">
        <f ca="1">_xll.BDH($C$278,"BVPS_GROWTH","FQ4 2016","FQ4 2016","Currency=INR","Period=FQ","BEST_FPERIOD_OVERRIDE=FQ","FILING_STATUS=OR","EQY_CONSOLIDATED=Y","Sort=A","Dates=H","DateFormat=P","Fill=—","Direction=H","UseDPDF=Y")</f>
        <v>#NAME?</v>
      </c>
      <c r="AL292" s="1" t="e">
        <f ca="1">_xll.BDH($C$278,"CASH_FLOW_GROWTH","FQ4 2016","FQ4 2016","Currency=INR","Period=FQ","BEST_FPERIOD_OVERRIDE=FQ","FILING_STATUS=OR","EQY_CONSOLIDATED=Y","Sort=A","Dates=H","DateFormat=P","Fill=—","Direction=H","UseDPDF=Y")</f>
        <v>#NAME?</v>
      </c>
      <c r="AM292" s="1" t="e">
        <f ca="1">_xll.BDH($C$278,"GEO_GROW_NET_SALES","FQ4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92" s="1" t="e">
        <f ca="1">_xll.BDH($C$278,"GEO_GROW_EBITDA","FQ4 2016","FQ4 2016","Currency=INR","Period=FQ","BEST_FPERIOD_OVERRIDE=FQ","FILING_STATUS=OR","EQY_CONSOLIDATED=Y","FA_ADJUSTED=GAAP","Sort=A","Dates=H","DateFormat=P","Fill=—","Direction=H","UseDPDF=Y")</f>
        <v>#NAME?</v>
      </c>
      <c r="AO292" s="1" t="e">
        <f ca="1">_xll.BDH($C$278,"GEO_GROW_OPER_INC","FQ4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92" s="1" t="e">
        <f ca="1">_xll.BDH($C$278,"NET_INCOME_TO_COMMON_5_YR_GROWTH","FQ4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92" s="1" t="e">
        <f ca="1">_xll.BDH($C$278,"5Y_GEO_GROWTH_DILUTED_EPS","FQ4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92" s="1" t="e">
        <f ca="1">_xll.BDH($C$278,"GEO_GROW_DVD_PER_SH","FQ4 2016","FQ4 2016","Currency=INR","Period=FQ","BEST_FPERIOD_OVERRIDE=FQ","FILING_STATUS=OR","EQY_CONSOLIDATED=Y","Sort=A","Dates=H","DateFormat=P","Fill=—","Direction=H","UseDPDF=Y")</f>
        <v>#NAME?</v>
      </c>
      <c r="AS292" s="1" t="e">
        <f ca="1">_xll.BDH($C$278,"ACCOUNTS_RECEIVABLE_5_YR_GROWTH","FQ4 2016","FQ4 2016","Currency=INR","Period=FQ","BEST_FPERIOD_OVERRIDE=FQ","FILING_STATUS=OR","EQY_CONSOLIDATED=Y","Sort=A","Dates=H","DateFormat=P","Fill=—","Direction=H","UseDPDF=Y")</f>
        <v>#NAME?</v>
      </c>
      <c r="AT292" s="1" t="e">
        <f ca="1">_xll.BDH($C$278,"INVENTORY_5_YEAR_GROWTH","FQ4 2016","FQ4 2016","Currency=INR","Period=FQ","BEST_FPERIOD_OVERRIDE=FQ","FILING_STATUS=OR","EQY_CONSOLIDATED=Y","Sort=A","Dates=H","DateFormat=P","Fill=—","Direction=H","UseDPDF=Y")</f>
        <v>#NAME?</v>
      </c>
      <c r="AU292" s="1" t="e">
        <f ca="1">_xll.BDH($C$278,"NET_FIXED_ASSETS_5_YEAR_GROWTH","FQ4 2016","FQ4 2016","Currency=INR","Period=FQ","BEST_FPERIOD_OVERRIDE=FQ","FILING_STATUS=OR","EQY_CONSOLIDATED=Y","Sort=A","Dates=H","DateFormat=P","Fill=—","Direction=H","UseDPDF=Y")</f>
        <v>#NAME?</v>
      </c>
      <c r="AV292" s="1" t="e">
        <f ca="1">_xll.BDH($C$278,"GEO_GROW_TOT_ASSET","FQ4 2016","FQ4 2016","Currency=INR","Period=FQ","BEST_FPERIOD_OVERRIDE=FQ","FILING_STATUS=OR","EQY_CONSOLIDATED=Y","Sort=A","Dates=H","DateFormat=P","Fill=—","Direction=H","UseDPDF=Y")</f>
        <v>#NAME?</v>
      </c>
      <c r="AW292" s="1" t="e">
        <f ca="1">_xll.BDH($C$278,"MODIFIED_WORKING_CPTL_5YR_GRWTH","FQ4 2016","FQ4 2016","Currency=INR","Period=FQ","BEST_FPERIOD_OVERRIDE=FQ","FILING_STATUS=OR","EQY_CONSOLIDATED=Y","Sort=A","Dates=H","DateFormat=P","Fill=—","Direction=H","UseDPDF=Y")</f>
        <v>#NAME?</v>
      </c>
      <c r="AX292" s="1" t="e">
        <f ca="1">_xll.BDH($C$278,"WORKING_CAPITAL_5_YEAR_GROWTH","FQ4 2016","FQ4 2016","Currency=INR","Period=FQ","BEST_FPERIOD_OVERRIDE=FQ","FILING_STATUS=OR","EQY_CONSOLIDATED=Y","Sort=A","Dates=H","DateFormat=P","Fill=—","Direction=H","UseDPDF=Y")</f>
        <v>#NAME?</v>
      </c>
      <c r="AY292" s="1" t="e">
        <f ca="1">_xll.BDH($C$278,"ACCOUNTS_PAYABLE_5_YEAR_GROWTH","FQ4 2016","FQ4 2016","Currency=INR","Period=FQ","BEST_FPERIOD_OVERRIDE=FQ","FILING_STATUS=OR","EQY_CONSOLIDATED=Y","Sort=A","Dates=H","DateFormat=P","Fill=—","Direction=H","UseDPDF=Y")</f>
        <v>#NAME?</v>
      </c>
      <c r="AZ292" s="1" t="e">
        <f ca="1">_xll.BDH($C$278,"SHORT_TERM_DEBT_5_YEAR_GROWTH","FQ4 2016","FQ4 2016","Currency=INR","Period=FQ","BEST_FPERIOD_OVERRIDE=FQ","FILING_STATUS=OR","EQY_CONSOLIDATED=Y","Sort=A","Dates=H","DateFormat=P","Fill=—","Direction=H","UseDPDF=Y")</f>
        <v>#NAME?</v>
      </c>
      <c r="BA292" s="1" t="e">
        <f ca="1">_xll.BDH($C$278,"TOTAL_DEBT_5_YEAR_GROWTH","FQ4 2016","FQ4 2016","Currency=INR","Period=FQ","BEST_FPERIOD_OVERRIDE=FQ","FILING_STATUS=OR","EQY_CONSOLIDATED=Y","Sort=A","Dates=H","DateFormat=P","Fill=—","Direction=H","UseDPDF=Y")</f>
        <v>#NAME?</v>
      </c>
      <c r="BB292" s="1" t="e">
        <f ca="1">_xll.BDH($C$278,"GEO_GROW_TOT_SHRHLDR_EQY","FQ4 2016","FQ4 2016","Currency=INR","Period=FQ","BEST_FPERIOD_OVERRIDE=FQ","FILING_STATUS=OR","EQY_CONSOLIDATED=Y","Sort=A","Dates=H","DateFormat=P","Fill=—","Direction=H","UseDPDF=Y")</f>
        <v>#NAME?</v>
      </c>
      <c r="BC292" s="1" t="e">
        <f ca="1">_xll.BDH($C$278,"TOTAL_CAPITAL_5_YEAR_GROWTH","FQ4 2016","FQ4 2016","Currency=INR","Period=FQ","BEST_FPERIOD_OVERRIDE=FQ","FILING_STATUS=OR","EQY_CONSOLIDATED=Y","Sort=A","Dates=H","DateFormat=P","Fill=—","Direction=H","UseDPDF=Y")</f>
        <v>#NAME?</v>
      </c>
      <c r="BD292" s="1" t="e">
        <f ca="1">_xll.BDH($C$278,"GEO_GROW_BOOK_VAL","FQ4 2016","FQ4 2016","Currency=INR","Period=FQ","BEST_FPERIOD_OVERRIDE=FQ","FILING_STATUS=OR","EQY_CONSOLIDATED=Y","Sort=A","Dates=H","DateFormat=P","Fill=—","Direction=H","UseDPDF=Y")</f>
        <v>#NAME?</v>
      </c>
      <c r="BE292" s="1" t="e">
        <f ca="1">_xll.BDH($C$278,"GEO_GROW_CASH_OPER_ACT","FQ4 2016","FQ4 2016","Currency=INR","Period=FQ","BEST_FPERIOD_OVERRIDE=FQ","FILING_STATUS=OR","EQY_CONSOLIDATED=Y","Sort=A","Dates=H","DateFormat=P","Fill=—","Direction=H","UseDPDF=Y")</f>
        <v>#NAME?</v>
      </c>
      <c r="BF292" s="1" t="e">
        <f ca="1">_xll.BDH($C$278,"REVENUE_SEQUENTIAL_GROWTH","FQ4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92" s="1" t="e">
        <f ca="1">_xll.BDH($C$278,"EBITDA_SEQUENTIAL_GROWTH","FQ4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92" s="1" t="e">
        <f ca="1">_xll.BDH($C$278,"OPERATING_INCOME_SEQ_GROWTH","FQ4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92" s="1" t="e">
        <f ca="1">_xll.BDH($C$278,"NET_INCOME_TO_COMMON_SEQ_GROWTH","FQ4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92" s="1" t="e">
        <f ca="1">_xll.BDH($C$278,"EPS_DILUTED_SEQUENTIAL_GROWTH","FQ4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92" s="1" t="e">
        <f ca="1">_xll.BDH($C$278,"DPS_SEQUENTIAL_GROWTH","FQ4 2016","FQ4 2016","Currency=INR","Period=FQ","BEST_FPERIOD_OVERRIDE=FQ","FILING_STATUS=OR","EQY_CONSOLIDATED=Y","Sort=A","Dates=H","DateFormat=P","Fill=—","Direction=H","UseDPDF=Y")</f>
        <v>#NAME?</v>
      </c>
      <c r="BL292" s="1" t="e">
        <f ca="1">_xll.BDH($C$278,"ACCOUNTS_RECEIVABLE_SEQ_GROWTH","FQ4 2016","FQ4 2016","Currency=INR","Period=FQ","BEST_FPERIOD_OVERRIDE=FQ","FILING_STATUS=OR","EQY_CONSOLIDATED=Y","Sort=A","Dates=H","DateFormat=P","Fill=—","Direction=H","UseDPDF=Y")</f>
        <v>#NAME?</v>
      </c>
      <c r="BM292" s="1" t="e">
        <f ca="1">_xll.BDH($C$278,"INVENTORY_SEQUENTIAL_GROWTH","FQ4 2016","FQ4 2016","Currency=INR","Period=FQ","BEST_FPERIOD_OVERRIDE=FQ","FILING_STATUS=OR","EQY_CONSOLIDATED=Y","Sort=A","Dates=H","DateFormat=P","Fill=—","Direction=H","UseDPDF=Y")</f>
        <v>#NAME?</v>
      </c>
      <c r="BN292" s="1" t="e">
        <f ca="1">_xll.BDH($C$278,"FIXED_ASSETS_SEQUENTIAL_GROWTH","FQ4 2016","FQ4 2016","Currency=INR","Period=FQ","BEST_FPERIOD_OVERRIDE=FQ","FILING_STATUS=OR","EQY_CONSOLIDATED=Y","Sort=A","Dates=H","DateFormat=P","Fill=—","Direction=H","UseDPDF=Y")</f>
        <v>#NAME?</v>
      </c>
      <c r="BO292" s="1" t="e">
        <f ca="1">_xll.BDH($C$278,"TOTAL_ASSETS_SEQUENTIAL_GROWTH","FQ4 2016","FQ4 2016","Currency=INR","Period=FQ","BEST_FPERIOD_OVERRIDE=FQ","FILING_STATUS=OR","EQY_CONSOLIDATED=Y","Sort=A","Dates=H","DateFormat=P","Fill=—","Direction=H","UseDPDF=Y")</f>
        <v>#NAME?</v>
      </c>
      <c r="BP292" s="1" t="e">
        <f ca="1">_xll.BDH($C$278,"MODIFIED_WORKING_CPTL_SEQ_GRWTH","FQ4 2016","FQ4 2016","Currency=INR","Period=FQ","BEST_FPERIOD_OVERRIDE=FQ","FILING_STATUS=OR","EQY_CONSOLIDATED=Y","Sort=A","Dates=H","DateFormat=P","Fill=—","Direction=H","UseDPDF=Y")</f>
        <v>#NAME?</v>
      </c>
      <c r="BQ292" s="1" t="e">
        <f ca="1">_xll.BDH($C$278,"WORKING_CAPITAL_SEQ_GROWTH","FQ4 2016","FQ4 2016","Currency=INR","Period=FQ","BEST_FPERIOD_OVERRIDE=FQ","FILING_STATUS=OR","EQY_CONSOLIDATED=Y","Sort=A","Dates=H","DateFormat=P","Fill=—","Direction=H","UseDPDF=Y")</f>
        <v>#NAME?</v>
      </c>
      <c r="BR292" s="1" t="e">
        <f ca="1">_xll.BDH($C$278,"ACCOUNTS_PAYABLE_SEQ_GROWTH","FQ4 2016","FQ4 2016","Currency=INR","Period=FQ","BEST_FPERIOD_OVERRIDE=FQ","FILING_STATUS=OR","EQY_CONSOLIDATED=Y","Sort=A","Dates=H","DateFormat=P","Fill=—","Direction=H","UseDPDF=Y")</f>
        <v>#NAME?</v>
      </c>
      <c r="BS292" s="1" t="e">
        <f ca="1">_xll.BDH($C$278,"ST_DEBT_SEQUENTIAL_GROWTH","FQ4 2016","FQ4 2016","Currency=INR","Period=FQ","BEST_FPERIOD_OVERRIDE=FQ","FILING_STATUS=OR","EQY_CONSOLIDATED=Y","Sort=A","Dates=H","DateFormat=P","Fill=—","Direction=H","UseDPDF=Y")</f>
        <v>#NAME?</v>
      </c>
      <c r="BT292" s="1" t="e">
        <f ca="1">_xll.BDH($C$278,"TOTAL_DEBT_SEQUENTIAL_GROWTH","FQ4 2016","FQ4 2016","Currency=INR","Period=FQ","BEST_FPERIOD_OVERRIDE=FQ","FILING_STATUS=OR","EQY_CONSOLIDATED=Y","Sort=A","Dates=H","DateFormat=P","Fill=—","Direction=H","UseDPDF=Y")</f>
        <v>#NAME?</v>
      </c>
      <c r="BU292" s="1" t="e">
        <f ca="1">_xll.BDH($C$278,"TOTAL_EQUITY_SEQUENTIAL_GROWTH","FQ4 2016","FQ4 2016","Currency=INR","Period=FQ","BEST_FPERIOD_OVERRIDE=FQ","FILING_STATUS=OR","EQY_CONSOLIDATED=Y","Sort=A","Dates=H","DateFormat=P","Fill=—","Direction=H","UseDPDF=Y")</f>
        <v>#NAME?</v>
      </c>
      <c r="BV292" s="1" t="e">
        <f ca="1">_xll.BDH($C$278,"TOTAL_CAPITAL_SEQUENTIAL_GROWTH","FQ4 2016","FQ4 2016","Currency=INR","Period=FQ","BEST_FPERIOD_OVERRIDE=FQ","FILING_STATUS=OR","EQY_CONSOLIDATED=Y","Sort=A","Dates=H","DateFormat=P","Fill=—","Direction=H","UseDPDF=Y")</f>
        <v>#NAME?</v>
      </c>
      <c r="BW292" s="1" t="e">
        <f ca="1">_xll.BDH($C$278,"BPS_SEQUENTIAL_GROWTH","FQ4 2016","FQ4 2016","Currency=INR","Period=FQ","BEST_FPERIOD_OVERRIDE=FQ","FILING_STATUS=OR","EQY_CONSOLIDATED=Y","Sort=A","Dates=H","DateFormat=P","Fill=—","Direction=H","UseDPDF=Y")</f>
        <v>#NAME?</v>
      </c>
      <c r="BX292" s="1" t="e">
        <f ca="1">_xll.BDH($C$278,"CFO_SEQUENTIAL_GROWTH","FQ4 2016","FQ4 2016","Currency=INR","Period=FQ","BEST_FPERIOD_OVERRIDE=FQ","FILING_STATUS=OR","EQY_CONSOLIDATED=Y","Sort=A","Dates=H","DateFormat=P","Fill=—","Direction=H","UseDPDF=Y")</f>
        <v>#NAME?</v>
      </c>
      <c r="BY292" s="2" t="e">
        <f ca="1">_xll.BDH($C$278,"SHORT_AND_LONG_TERM_DEBT","FQ4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92" s="2" t="e">
        <f ca="1">_xll.BDH($C$278,"BS_ST_BORROW","FQ4 2016","FQ4 2016","Currency=INR","Period=FQ","BEST_FPERIOD_OVERRIDE=FQ","FILING_STATUS=OR","EQY_CONSOLIDATED=Y","SCALING_FORMAT=MLN","Sort=A","Dates=H","DateFormat=P","Fill=—","Direction=H","UseDPDF=Y")</f>
        <v>#NAME?</v>
      </c>
      <c r="CA292" s="2" t="e">
        <f ca="1">_xll.BDH($C$278,"BS_LT_BORROW","FQ4 2016","FQ4 2016","Currency=INR","Period=FQ","BEST_FPERIOD_OVERRIDE=FQ","FILING_STATUS=OR","EQY_CONSOLIDATED=Y","SCALING_FORMAT=MLN","Sort=A","Dates=H","DateFormat=P","Fill=—","Direction=H","UseDPDF=Y")</f>
        <v>#NAME?</v>
      </c>
      <c r="CB292" s="1" t="e">
        <f ca="1">_xll.BDH($C$278,"TOT_DEBT_TO_EBITDA","FQ4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92" s="1" t="e">
        <f ca="1">_xll.BDH($C$278,"NET_DEBT_TO_EBITDA","FQ4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92" s="1" t="e">
        <f ca="1">_xll.BDH($C$278,"TOTAL_DEBT_TO_EBIT","FQ4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92" s="1" t="e">
        <f ca="1">_xll.BDH($C$278,"NET_DEBT_TO_EBIT","FQ4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292" s="1" t="e">
        <f ca="1">_xll.BDH($C$278,"EBITDA_TO_INTEREST_EXPN","FQ4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92" s="1" t="e">
        <f ca="1">_xll.BDH($C$278,"COM_EQY_TO_TOT_ASSET","FQ4 2016","FQ4 2016","Currency=INR","Period=FQ","BEST_FPERIOD_OVERRIDE=FQ","FILING_STATUS=OR","EQY_CONSOLIDATED=Y","Sort=A","Dates=H","DateFormat=P","Fill=—","Direction=H","UseDPDF=Y")</f>
        <v>#NAME?</v>
      </c>
      <c r="CH292" s="1" t="e">
        <f ca="1">_xll.BDH($C$278,"LT_DEBT_TO_TOT_EQY","FQ4 2016","FQ4 2016","Currency=INR","Period=FQ","BEST_FPERIOD_OVERRIDE=FQ","FILING_STATUS=OR","EQY_CONSOLIDATED=Y","Sort=A","Dates=H","DateFormat=P","Fill=—","Direction=H","UseDPDF=Y")</f>
        <v>#NAME?</v>
      </c>
      <c r="CI292" s="1" t="e">
        <f ca="1">_xll.BDH($C$278,"LT_DEBT_TO_TOT_CAP","FQ4 2016","FQ4 2016","Currency=INR","Period=FQ","BEST_FPERIOD_OVERRIDE=FQ","FILING_STATUS=OR","EQY_CONSOLIDATED=Y","Sort=A","Dates=H","DateFormat=P","Fill=—","Direction=H","UseDPDF=Y")</f>
        <v>#NAME?</v>
      </c>
      <c r="CJ292" s="1" t="e">
        <f ca="1">_xll.BDH($C$278,"LT_DEBT_TO_TOT_ASSET","FQ4 2016","FQ4 2016","Currency=INR","Period=FQ","BEST_FPERIOD_OVERRIDE=FQ","FILING_STATUS=OR","EQY_CONSOLIDATED=Y","Sort=A","Dates=H","DateFormat=P","Fill=—","Direction=H","UseDPDF=Y")</f>
        <v>#NAME?</v>
      </c>
      <c r="CK292" s="1" t="e">
        <f ca="1">_xll.BDH($C$278,"TOT_DEBT_TO_TOT_EQY","FQ4 2016","FQ4 2016","Currency=INR","Period=FQ","BEST_FPERIOD_OVERRIDE=FQ","FILING_STATUS=OR","EQY_CONSOLIDATED=Y","Sort=A","Dates=H","DateFormat=P","Fill=—","Direction=H","UseDPDF=Y")</f>
        <v>#NAME?</v>
      </c>
      <c r="CL292" s="1" t="e">
        <f ca="1">_xll.BDH($C$278,"TOT_DEBT_TO_TOT_CAP","FQ4 2016","FQ4 2016","Currency=INR","Period=FQ","BEST_FPERIOD_OVERRIDE=FQ","FILING_STATUS=OR","EQY_CONSOLIDATED=Y","Sort=A","Dates=H","DateFormat=P","Fill=—","Direction=H","UseDPDF=Y")</f>
        <v>#NAME?</v>
      </c>
      <c r="CM292" s="1" t="e">
        <f ca="1">_xll.BDH($C$278,"TOT_DEBT_TO_TOT_ASSET","FQ4 2016","FQ4 2016","Currency=INR","Period=FQ","BEST_FPERIOD_OVERRIDE=FQ","FILING_STATUS=OR","EQY_CONSOLIDATED=Y","Sort=A","Dates=H","DateFormat=P","Fill=—","Direction=H","UseDPDF=Y")</f>
        <v>#NAME?</v>
      </c>
      <c r="CN292" s="1" t="e">
        <f ca="1">_xll.BDH($C$278,"NET_DEBT_TO_SHRHLDR_EQTY","FQ4 2016","FQ4 2016","Currency=INR","Period=FQ","BEST_FPERIOD_OVERRIDE=FQ","FILING_STATUS=OR","EQY_CONSOLIDATED=Y","Sort=A","Dates=H","DateFormat=P","Fill=—","Direction=H","UseDPDF=Y")</f>
        <v>#NAME?</v>
      </c>
      <c r="CO292" s="1" t="e">
        <f ca="1">_xll.BDH($C$278,"NET_DEBT_%_CAPITAL","FQ4 2016","FQ4 2016","Currency=INR","Period=FQ","BEST_FPERIOD_OVERRIDE=FQ","FILING_STATUS=OR","EQY_CONSOLIDATED=Y","Sort=A","Dates=H","DateFormat=P","Fill=—","Direction=H","UseDPDF=Y")</f>
        <v>#NAME?</v>
      </c>
      <c r="CP292" s="2" t="e">
        <f ca="1">_xll.BDH($C$278,"EBITDA","FQ4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92" s="2" t="e">
        <f ca="1">_xll.BDH($C$278,"EBITDA_AFTER_CAPEX","FQ4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92" s="2" t="e">
        <f ca="1">_xll.BDH($C$278,"IS_OPER_INC","FQ4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92" s="1" t="e">
        <f ca="1">_xll.BDH($C$278,"CASH_RATIO","FQ4 2016","FQ4 2016","Currency=INR","Period=FQ","BEST_FPERIOD_OVERRIDE=FQ","FILING_STATUS=OR","EQY_CONSOLIDATED=Y","Sort=A","Dates=H","DateFormat=P","Fill=—","Direction=H","UseDPDF=Y")</f>
        <v>#NAME?</v>
      </c>
      <c r="CT292" s="1" t="e">
        <f ca="1">_xll.BDH($C$278,"CUR_RATIO","FQ4 2016","FQ4 2016","Currency=INR","Period=FQ","BEST_FPERIOD_OVERRIDE=FQ","FILING_STATUS=OR","EQY_CONSOLIDATED=Y","Sort=A","Dates=H","DateFormat=P","Fill=—","Direction=H","UseDPDF=Y")</f>
        <v>#NAME?</v>
      </c>
      <c r="CU292" s="1" t="e">
        <f ca="1">_xll.BDH($C$278,"QUICK_RATIO","FQ4 2016","FQ4 2016","Currency=INR","Period=FQ","BEST_FPERIOD_OVERRIDE=FQ","FILING_STATUS=OR","EQY_CONSOLIDATED=Y","Sort=A","Dates=H","DateFormat=P","Fill=—","Direction=H","UseDPDF=Y")</f>
        <v>#NAME?</v>
      </c>
      <c r="CV292" s="1" t="e">
        <f ca="1">_xll.BDH($C$278,"ALTMAN_Z_SCORE","FQ4 2016","FQ4 2016","Currency=INR","Period=FQ","BEST_FPERIOD_OVERRIDE=FQ","FILING_STATUS=OR","EQY_CONSOLIDATED=Y","Sort=A","Dates=H","DateFormat=P","Fill=—","Direction=H","UseDPDF=Y")</f>
        <v>#NAME?</v>
      </c>
      <c r="CW292" s="3" t="e">
        <f ca="1">_xll.BDH($C$278,"ACCT_RCV_TURN","FQ4 2016","FQ4 2016","Currency=INR","Period=FQ","BEST_FPERIOD_OVERRIDE=FQ","FILING_STATUS=OR","EQY_CONSOLIDATED=Y","FA_ADJUSTED=GAAP","Sort=A","Dates=H","DateFormat=P","Fill=—","Direction=H","UseDPDF=Y")</f>
        <v>#NAME?</v>
      </c>
      <c r="CX292" s="1" t="e">
        <f ca="1">_xll.BDH($C$278,"ACCT_RCV_DAYS","FQ4 2016","FQ4 2016","Currency=INR","Period=FQ","BEST_FPERIOD_OVERRIDE=FQ","FILING_STATUS=OR","EQY_CONSOLIDATED=Y","FA_ADJUSTED=GAAP","Sort=A","Dates=H","DateFormat=P","Fill=—","Direction=H","UseDPDF=Y")</f>
        <v>#NAME?</v>
      </c>
      <c r="CY292" s="3" t="e">
        <f ca="1">_xll.BDH($C$278,"INVENT_TURN","FQ4 2016","FQ4 2016","Currency=INR","Period=FQ","BEST_FPERIOD_OVERRIDE=FQ","FILING_STATUS=OR","EQY_CONSOLIDATED=Y","FA_ADJUSTED=GAAP","Sort=A","Dates=H","DateFormat=P","Fill=—","Direction=H","UseDPDF=Y")</f>
        <v>#NAME?</v>
      </c>
      <c r="CZ292" s="1" t="e">
        <f ca="1">_xll.BDH($C$278,"INVENT_DAYS","FQ4 2016","FQ4 2016","Currency=INR","Period=FQ","BEST_FPERIOD_OVERRIDE=FQ","FILING_STATUS=OR","EQY_CONSOLIDATED=Y","FA_ADJUSTED=GAAP","Sort=A","Dates=H","DateFormat=P","Fill=—","Direction=H","UseDPDF=Y")</f>
        <v>#NAME?</v>
      </c>
      <c r="DA292" s="3" t="e">
        <f ca="1">_xll.BDH($C$278,"ACCOUNTS_PAYABLE_TURNOVER","FQ4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92" s="1" t="e">
        <f ca="1">_xll.BDH($C$278,"ACCOUNTS_PAYABLE_TURNOVER_DAYS","FQ4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92" s="3" t="e">
        <f ca="1">_xll.BDH($C$278,"CASH_CONVERSION_CYCLE","FQ4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92" s="3" t="e">
        <f ca="1">_xll.BDH($C$278,"INV_TO_CASH_DAYS","FQ4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292" s="4" t="e">
        <f ca="1">_xll.BDH($C$278,"BS_INVENTORIES","FQ4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292" s="2" t="e">
        <f ca="1">_xll.BDH($C$278,"INVTRY_RAW_MATERIALS","FQ4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92" s="2" t="e">
        <f ca="1">_xll.BDH($C$278,"INVTRY_IN_PROGRESS","FQ4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92" s="2" t="e">
        <f ca="1">_xll.BDH($C$278,"INVTRY_FINISHED_GOODS","FQ4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92" s="2" t="e">
        <f ca="1">_xll.BDH($C$278,"BS_OTHER_INV","FQ4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93" spans="1:113" x14ac:dyDescent="0.3">
      <c r="A293" s="6"/>
      <c r="B293" s="6"/>
      <c r="C293" s="6"/>
      <c r="D293" s="6" t="s">
        <v>10</v>
      </c>
      <c r="E293" t="s">
        <v>3</v>
      </c>
      <c r="F293" t="e">
        <f ca="1">_xll.BDH($C$278,"RETURN_COM_EQY","FY 2017","FY 2017","Currency=INR","Period=FY","BEST_FPERIOD_OVERRIDE=FY","FILING_STATUS=OR","EQY_CONSOLIDATED=Y","FA_ADJUSTED=GAAP","Sort=A","Dates=H","DateFormat=P","Fill=—","Direction=H","UseDPDF=Y")</f>
        <v>#NAME?</v>
      </c>
      <c r="G293" t="e">
        <f ca="1">_xll.BDH($C$278,"RETURN_ON_ASSET","FY 2017","FY 2017","Currency=INR","Period=FY","BEST_FPERIOD_OVERRIDE=FY","FILING_STATUS=OR","EQY_CONSOLIDATED=Y","FA_ADJUSTED=GAAP","Sort=A","Dates=H","DateFormat=P","Fill=—","Direction=H","UseDPDF=Y")</f>
        <v>#NAME?</v>
      </c>
      <c r="H293" t="e">
        <f ca="1">_xll.BDH($C$278,"RETURN_ON_CAP","FY 2017","FY 2017","Currency=INR","Period=FY","BEST_FPERIOD_OVERRIDE=FY","FILING_STATUS=OR","EQY_CONSOLIDATED=Y","FA_ADJUSTED=GAAP","Sort=A","Dates=H","DateFormat=P","Fill=—","Direction=H","UseDPDF=Y")</f>
        <v>#NAME?</v>
      </c>
      <c r="I293" t="e">
        <f ca="1">_xll.BDH($C$278,"RETURN_ON_INV_CAPITAL","FY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93" t="e">
        <f ca="1">_xll.BDH($C$278,"EBITDA_TO_REVENUE","FY 2017","FY 2017","Currency=INR","Period=FY","BEST_FPERIOD_OVERRIDE=FY","FILING_STATUS=OR","EQY_CONSOLIDATED=Y","FA_ADJUSTED=GAAP","Sort=A","Dates=H","DateFormat=P","Fill=—","Direction=H","UseDPDF=Y")</f>
        <v>#NAME?</v>
      </c>
      <c r="K293" t="e">
        <f ca="1">_xll.BDH($C$278,"OPER_MARGIN","FY 2017","FY 2017","Currency=INR","Period=FY","BEST_FPERIOD_OVERRIDE=FY","FILING_STATUS=OR","EQY_CONSOLIDATED=Y","FA_ADJUSTED=GAAP","Sort=A","Dates=H","DateFormat=P","Fill=—","Direction=H","UseDPDF=Y")</f>
        <v>#NAME?</v>
      </c>
      <c r="L293" t="e">
        <f ca="1">_xll.BDH($C$278,"INCREMENTAL_OPERATING_MARGIN","FY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93" t="e">
        <f ca="1">_xll.BDH($C$278,"PRETAX_INC_TO_NET_SALES","FY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93" t="e">
        <f ca="1">_xll.BDH($C$278,"INC_BEF_XO_ITEMS_TO_NET_SALES","FY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93" t="e">
        <f ca="1">_xll.BDH($C$278,"PROF_MARGIN","FY 2017","FY 2017","Currency=INR","Period=FY","BEST_FPERIOD_OVERRIDE=FY","FILING_STATUS=OR","EQY_CONSOLIDATED=Y","FA_ADJUSTED=GAAP","Sort=A","Dates=H","DateFormat=P","Fill=—","Direction=H","UseDPDF=Y")</f>
        <v>#NAME?</v>
      </c>
      <c r="P293" t="e">
        <f ca="1">_xll.BDH($C$278,"NET_INCOME_TO_COMMON_MARGIN","FY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93" t="e">
        <f ca="1">_xll.BDH($C$278,"EFF_TAX_RATE","FY 2017","FY 2017","Currency=INR","Period=FY","BEST_FPERIOD_OVERRIDE=FY","FILING_STATUS=OR","EQY_CONSOLIDATED=Y","FA_ADJUSTED=GAAP","Sort=A","Dates=H","DateFormat=P","Fill=—","Direction=H","UseDPDF=Y")</f>
        <v>#NAME?</v>
      </c>
      <c r="R293" t="e">
        <f ca="1">_xll.BDH($C$278,"DVD_PAYOUT_RATIO","FY 2017","FY 2017","Currency=INR","Period=FY","BEST_FPERIOD_OVERRIDE=FY","FILING_STATUS=OR","EQY_CONSOLIDATED=Y","FA_ADJUSTED=GAAP","Sort=A","Dates=H","DateFormat=P","Fill=—","Direction=H","UseDPDF=Y")</f>
        <v>#NAME?</v>
      </c>
      <c r="S293" t="e">
        <f ca="1">_xll.BDH($C$278,"SUSTAIN_GROWTH_RT","FY 2017","FY 2017","Currency=INR","Period=FY","BEST_FPERIOD_OVERRIDE=FY","FILING_STATUS=OR","EQY_CONSOLIDATED=Y","FA_ADJUSTED=GAAP","Sort=A","Dates=H","DateFormat=P","Fill=—","Direction=H","UseDPDF=Y")</f>
        <v>#NAME?</v>
      </c>
      <c r="T293" s="1" t="e">
        <f ca="1">_xll.BDH($C$278,"SALES_GROWTH","FY 2017","FY 2017","Currency=INR","Period=FY","BEST_FPERIOD_OVERRIDE=FY","FILING_STATUS=OR","EQY_CONSOLIDATED=Y","FA_ADJUSTED=GAAP","Sort=A","Dates=H","DateFormat=P","Fill=—","Direction=H","UseDPDF=Y")</f>
        <v>#NAME?</v>
      </c>
      <c r="U293" s="1" t="e">
        <f ca="1">_xll.BDH($C$278,"EBITDA_GROWTH","FY 2017","FY 2017","Currency=INR","Period=FY","BEST_FPERIOD_OVERRIDE=FY","FILING_STATUS=OR","EQY_CONSOLIDATED=Y","FA_ADJUSTED=GAAP","Sort=A","Dates=H","DateFormat=P","Fill=—","Direction=H","UseDPDF=Y")</f>
        <v>#NAME?</v>
      </c>
      <c r="V293" s="1" t="e">
        <f ca="1">_xll.BDH($C$278,"OPER_INC_GROWTH","FY 2017","FY 2017","Currency=INR","Period=FY","BEST_FPERIOD_OVERRIDE=FY","FILING_STATUS=OR","EQY_CONSOLIDATED=Y","FA_ADJUSTED=GAAP","Sort=A","Dates=H","DateFormat=P","Fill=—","Direction=H","UseDPDF=Y")</f>
        <v>#NAME?</v>
      </c>
      <c r="W293" s="1" t="e">
        <f ca="1">_xll.BDH($C$278,"EARN_FOR_COM_GROWTH","FY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293" s="1" t="e">
        <f ca="1">_xll.BDH($C$278,"DILUTED_EPS_AFT_XO_ITEMS_GROWTH","FY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93" s="1" t="e">
        <f ca="1">_xll.BDH($C$278,"DIVIDEND_PER_SHARE_1_YEAR_GROWTH","FY 2017","FY 2017","Currency=INR","Period=FY","BEST_FPERIOD_OVERRIDE=FY","FILING_STATUS=OR","EQY_CONSOLIDATED=Y","Sort=A","Dates=H","DateFormat=P","Fill=—","Direction=H","UseDPDF=Y")</f>
        <v>#NAME?</v>
      </c>
      <c r="Z293" s="1" t="e">
        <f ca="1">_xll.BDH($C$278,"ACCOUNTS_RECEIVABLE_GROWTH","FY 2017","FY 2017","Currency=INR","Period=FY","BEST_FPERIOD_OVERRIDE=FY","FILING_STATUS=OR","EQY_CONSOLIDATED=Y","Sort=A","Dates=H","DateFormat=P","Fill=—","Direction=H","UseDPDF=Y")</f>
        <v>#NAME?</v>
      </c>
      <c r="AA293" s="1" t="e">
        <f ca="1">_xll.BDH($C$278,"INVENTORY_GROWTH","FY 2017","FY 2017","Currency=INR","Period=FY","BEST_FPERIOD_OVERRIDE=FY","FILING_STATUS=OR","EQY_CONSOLIDATED=Y","Sort=A","Dates=H","DateFormat=P","Fill=—","Direction=H","UseDPDF=Y")</f>
        <v>#NAME?</v>
      </c>
      <c r="AB293" s="1" t="e">
        <f ca="1">_xll.BDH($C$278,"NET_FIXED_ASSETS_1_YEAR_GROWTH","FY 2017","FY 2017","Currency=INR","Period=FY","BEST_FPERIOD_OVERRIDE=FY","FILING_STATUS=OR","EQY_CONSOLIDATED=Y","Sort=A","Dates=H","DateFormat=P","Fill=—","Direction=H","UseDPDF=Y")</f>
        <v>#NAME?</v>
      </c>
      <c r="AC293" s="1" t="e">
        <f ca="1">_xll.BDH($C$278,"ASSET_GROWTH","FY 2017","FY 2017","Currency=INR","Period=FY","BEST_FPERIOD_OVERRIDE=FY","FILING_STATUS=OR","EQY_CONSOLIDATED=Y","Sort=A","Dates=H","DateFormat=P","Fill=—","Direction=H","UseDPDF=Y")</f>
        <v>#NAME?</v>
      </c>
      <c r="AD293" s="1" t="e">
        <f ca="1">_xll.BDH($C$278,"MODIFIED_WORK_CAP_GROWTH","FY 2017","FY 2017","Currency=INR","Period=FY","BEST_FPERIOD_OVERRIDE=FY","FILING_STATUS=OR","EQY_CONSOLIDATED=Y","Sort=A","Dates=H","DateFormat=P","Fill=—","Direction=H","UseDPDF=Y")</f>
        <v>#NAME?</v>
      </c>
      <c r="AE293" s="1" t="e">
        <f ca="1">_xll.BDH($C$278,"WORK_CAP_GROWTH","FY 2017","FY 2017","Currency=INR","Period=FY","BEST_FPERIOD_OVERRIDE=FY","FILING_STATUS=OR","EQY_CONSOLIDATED=Y","Sort=A","Dates=H","DateFormat=P","Fill=—","Direction=H","UseDPDF=Y")</f>
        <v>#NAME?</v>
      </c>
      <c r="AF293" s="1" t="e">
        <f ca="1">_xll.BDH($C$278,"ACCOUNTS_PAYABLE_GROWTH_1YR","FY 2017","FY 2017","Currency=INR","Period=FY","BEST_FPERIOD_OVERRIDE=FY","FILING_STATUS=OR","EQY_CONSOLIDATED=Y","Sort=A","Dates=H","DateFormat=P","Fill=—","Direction=H","UseDPDF=Y")</f>
        <v>#NAME?</v>
      </c>
      <c r="AG293" s="1" t="e">
        <f ca="1">_xll.BDH($C$278,"SHORT_TERM_DEBT_1_YEAR_GROWTH","FY 2017","FY 2017","Currency=INR","Period=FY","BEST_FPERIOD_OVERRIDE=FY","FILING_STATUS=OR","EQY_CONSOLIDATED=Y","Sort=A","Dates=H","DateFormat=P","Fill=—","Direction=H","UseDPDF=Y")</f>
        <v>#NAME?</v>
      </c>
      <c r="AH293" s="1" t="e">
        <f ca="1">_xll.BDH($C$278,"TOTAL_DEBT_1_YEAR_GROWTH","FY 2017","FY 2017","Currency=INR","Period=FY","BEST_FPERIOD_OVERRIDE=FY","FILING_STATUS=OR","EQY_CONSOLIDATED=Y","Sort=A","Dates=H","DateFormat=P","Fill=—","Direction=H","UseDPDF=Y")</f>
        <v>#NAME?</v>
      </c>
      <c r="AI293" s="1" t="e">
        <f ca="1">_xll.BDH($C$278,"TOTAL_EQUITY_1_YEAR_GROWTH","FY 2017","FY 2017","Currency=INR","Period=FY","BEST_FPERIOD_OVERRIDE=FY","FILING_STATUS=OR","EQY_CONSOLIDATED=Y","Sort=A","Dates=H","DateFormat=P","Fill=—","Direction=H","UseDPDF=Y")</f>
        <v>#NAME?</v>
      </c>
      <c r="AJ293" s="1" t="e">
        <f ca="1">_xll.BDH($C$278,"GROWTH_IN_CAP","FY 2017","FY 2017","Currency=INR","Period=FY","BEST_FPERIOD_OVERRIDE=FY","FILING_STATUS=OR","EQY_CONSOLIDATED=Y","Sort=A","Dates=H","DateFormat=P","Fill=—","Direction=H","UseDPDF=Y")</f>
        <v>#NAME?</v>
      </c>
      <c r="AK293" s="1" t="e">
        <f ca="1">_xll.BDH($C$278,"BVPS_GROWTH","FY 2017","FY 2017","Currency=INR","Period=FY","BEST_FPERIOD_OVERRIDE=FY","FILING_STATUS=OR","EQY_CONSOLIDATED=Y","Sort=A","Dates=H","DateFormat=P","Fill=—","Direction=H","UseDPDF=Y")</f>
        <v>#NAME?</v>
      </c>
      <c r="AL293" s="1" t="e">
        <f ca="1">_xll.BDH($C$278,"CASH_FLOW_GROWTH","FY 2017","FY 2017","Currency=INR","Period=FY","BEST_FPERIOD_OVERRIDE=FY","FILING_STATUS=OR","EQY_CONSOLIDATED=Y","Sort=A","Dates=H","DateFormat=P","Fill=—","Direction=H","UseDPDF=Y")</f>
        <v>#NAME?</v>
      </c>
      <c r="AM293" s="1" t="e">
        <f ca="1">_xll.BDH($C$278,"GEO_GROW_NET_SALES","FY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293" s="1" t="e">
        <f ca="1">_xll.BDH($C$278,"GEO_GROW_EBITDA","FY 2017","FY 2017","Currency=INR","Period=FY","BEST_FPERIOD_OVERRIDE=FY","FILING_STATUS=OR","EQY_CONSOLIDATED=Y","FA_ADJUSTED=GAAP","Sort=A","Dates=H","DateFormat=P","Fill=—","Direction=H","UseDPDF=Y")</f>
        <v>#NAME?</v>
      </c>
      <c r="AO293" s="1" t="e">
        <f ca="1">_xll.BDH($C$278,"GEO_GROW_OPER_INC","FY 2017","FY 2017","Currency=INR","Period=FY","BEST_FPERIOD_OVERRIDE=FY","FILING_STATUS=OR","EQY_CONSOLIDATED=Y","FA_ADJUSTED=GAAP","Sort=A","Dates=H","DateFormat=P","Fill=—","Direction=H","UseDPDF=Y")</f>
        <v>#NAME?</v>
      </c>
      <c r="AP293" s="1" t="e">
        <f ca="1">_xll.BDH($C$278,"NET_INCOME_TO_COMMON_5_YR_GROWTH","FY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93" s="1" t="e">
        <f ca="1">_xll.BDH($C$278,"5Y_GEO_GROWTH_DILUTED_EPS","FY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93" s="1" t="e">
        <f ca="1">_xll.BDH($C$278,"GEO_GROW_DVD_PER_SH","FY 2017","FY 2017","Currency=INR","Period=FY","BEST_FPERIOD_OVERRIDE=FY","FILING_STATUS=OR","EQY_CONSOLIDATED=Y","Sort=A","Dates=H","DateFormat=P","Fill=—","Direction=H","UseDPDF=Y")</f>
        <v>#NAME?</v>
      </c>
      <c r="AS293" s="1" t="e">
        <f ca="1">_xll.BDH($C$278,"ACCOUNTS_RECEIVABLE_5_YR_GROWTH","FY 2017","FY 2017","Currency=INR","Period=FY","BEST_FPERIOD_OVERRIDE=FY","FILING_STATUS=OR","EQY_CONSOLIDATED=Y","Sort=A","Dates=H","DateFormat=P","Fill=—","Direction=H","UseDPDF=Y")</f>
        <v>#NAME?</v>
      </c>
      <c r="AT293" s="1" t="e">
        <f ca="1">_xll.BDH($C$278,"INVENTORY_5_YEAR_GROWTH","FY 2017","FY 2017","Currency=INR","Period=FY","BEST_FPERIOD_OVERRIDE=FY","FILING_STATUS=OR","EQY_CONSOLIDATED=Y","Sort=A","Dates=H","DateFormat=P","Fill=—","Direction=H","UseDPDF=Y")</f>
        <v>#NAME?</v>
      </c>
      <c r="AU293" s="1" t="e">
        <f ca="1">_xll.BDH($C$278,"NET_FIXED_ASSETS_5_YEAR_GROWTH","FY 2017","FY 2017","Currency=INR","Period=FY","BEST_FPERIOD_OVERRIDE=FY","FILING_STATUS=OR","EQY_CONSOLIDATED=Y","Sort=A","Dates=H","DateFormat=P","Fill=—","Direction=H","UseDPDF=Y")</f>
        <v>#NAME?</v>
      </c>
      <c r="AV293" s="1" t="e">
        <f ca="1">_xll.BDH($C$278,"GEO_GROW_TOT_ASSET","FY 2017","FY 2017","Currency=INR","Period=FY","BEST_FPERIOD_OVERRIDE=FY","FILING_STATUS=OR","EQY_CONSOLIDATED=Y","Sort=A","Dates=H","DateFormat=P","Fill=—","Direction=H","UseDPDF=Y")</f>
        <v>#NAME?</v>
      </c>
      <c r="AW293" s="1" t="e">
        <f ca="1">_xll.BDH($C$278,"MODIFIED_WORKING_CPTL_5YR_GRWTH","FY 2017","FY 2017","Currency=INR","Period=FY","BEST_FPERIOD_OVERRIDE=FY","FILING_STATUS=OR","EQY_CONSOLIDATED=Y","Sort=A","Dates=H","DateFormat=P","Fill=—","Direction=H","UseDPDF=Y")</f>
        <v>#NAME?</v>
      </c>
      <c r="AX293" s="1" t="e">
        <f ca="1">_xll.BDH($C$278,"WORKING_CAPITAL_5_YEAR_GROWTH","FY 2017","FY 2017","Currency=INR","Period=FY","BEST_FPERIOD_OVERRIDE=FY","FILING_STATUS=OR","EQY_CONSOLIDATED=Y","Sort=A","Dates=H","DateFormat=P","Fill=—","Direction=H","UseDPDF=Y")</f>
        <v>#NAME?</v>
      </c>
      <c r="AY293" s="1" t="e">
        <f ca="1">_xll.BDH($C$278,"ACCOUNTS_PAYABLE_5_YEAR_GROWTH","FY 2017","FY 2017","Currency=INR","Period=FY","BEST_FPERIOD_OVERRIDE=FY","FILING_STATUS=OR","EQY_CONSOLIDATED=Y","Sort=A","Dates=H","DateFormat=P","Fill=—","Direction=H","UseDPDF=Y")</f>
        <v>#NAME?</v>
      </c>
      <c r="AZ293" s="1" t="e">
        <f ca="1">_xll.BDH($C$278,"SHORT_TERM_DEBT_5_YEAR_GROWTH","FY 2017","FY 2017","Currency=INR","Period=FY","BEST_FPERIOD_OVERRIDE=FY","FILING_STATUS=OR","EQY_CONSOLIDATED=Y","Sort=A","Dates=H","DateFormat=P","Fill=—","Direction=H","UseDPDF=Y")</f>
        <v>#NAME?</v>
      </c>
      <c r="BA293" s="1" t="e">
        <f ca="1">_xll.BDH($C$278,"TOTAL_DEBT_5_YEAR_GROWTH","FY 2017","FY 2017","Currency=INR","Period=FY","BEST_FPERIOD_OVERRIDE=FY","FILING_STATUS=OR","EQY_CONSOLIDATED=Y","Sort=A","Dates=H","DateFormat=P","Fill=—","Direction=H","UseDPDF=Y")</f>
        <v>#NAME?</v>
      </c>
      <c r="BB293" s="1" t="e">
        <f ca="1">_xll.BDH($C$278,"GEO_GROW_TOT_SHRHLDR_EQY","FY 2017","FY 2017","Currency=INR","Period=FY","BEST_FPERIOD_OVERRIDE=FY","FILING_STATUS=OR","EQY_CONSOLIDATED=Y","Sort=A","Dates=H","DateFormat=P","Fill=—","Direction=H","UseDPDF=Y")</f>
        <v>#NAME?</v>
      </c>
      <c r="BC293" s="1" t="e">
        <f ca="1">_xll.BDH($C$278,"TOTAL_CAPITAL_5_YEAR_GROWTH","FY 2017","FY 2017","Currency=INR","Period=FY","BEST_FPERIOD_OVERRIDE=FY","FILING_STATUS=OR","EQY_CONSOLIDATED=Y","Sort=A","Dates=H","DateFormat=P","Fill=—","Direction=H","UseDPDF=Y")</f>
        <v>#NAME?</v>
      </c>
      <c r="BD293" s="1" t="e">
        <f ca="1">_xll.BDH($C$278,"GEO_GROW_BOOK_VAL","FY 2017","FY 2017","Currency=INR","Period=FY","BEST_FPERIOD_OVERRIDE=FY","FILING_STATUS=OR","EQY_CONSOLIDATED=Y","Sort=A","Dates=H","DateFormat=P","Fill=—","Direction=H","UseDPDF=Y")</f>
        <v>#NAME?</v>
      </c>
      <c r="BE293" s="1" t="e">
        <f ca="1">_xll.BDH($C$278,"GEO_GROW_CASH_OPER_ACT","FY 2017","FY 2017","Currency=INR","Period=FY","BEST_FPERIOD_OVERRIDE=FY","FILING_STATUS=OR","EQY_CONSOLIDATED=Y","Sort=A","Dates=H","DateFormat=P","Fill=—","Direction=H","UseDPDF=Y")</f>
        <v>#NAME?</v>
      </c>
      <c r="BF293" s="1" t="e">
        <f ca="1">_xll.BDH($C$278,"REVENUE_SEQUENTIAL_GROWTH","FY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93" s="1" t="e">
        <f ca="1">_xll.BDH($C$278,"EBITDA_SEQUENTIAL_GROWTH","FY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93" s="1" t="e">
        <f ca="1">_xll.BDH($C$278,"OPERATING_INCOME_SEQ_GROWTH","FY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93" s="1" t="e">
        <f ca="1">_xll.BDH($C$278,"NET_INCOME_TO_COMMON_SEQ_GROWTH","FY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93" s="1" t="e">
        <f ca="1">_xll.BDH($C$278,"EPS_DILUTED_SEQUENTIAL_GROWTH","FY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93" s="1" t="e">
        <f ca="1">_xll.BDH($C$278,"DPS_SEQUENTIAL_GROWTH","FY 2017","FY 2017","Currency=INR","Period=FY","BEST_FPERIOD_OVERRIDE=FY","FILING_STATUS=OR","EQY_CONSOLIDATED=Y","Sort=A","Dates=H","DateFormat=P","Fill=—","Direction=H","UseDPDF=Y")</f>
        <v>#NAME?</v>
      </c>
      <c r="BL293" s="1" t="e">
        <f ca="1">_xll.BDH($C$278,"ACCOUNTS_RECEIVABLE_SEQ_GROWTH","FY 2017","FY 2017","Currency=INR","Period=FY","BEST_FPERIOD_OVERRIDE=FY","FILING_STATUS=OR","EQY_CONSOLIDATED=Y","Sort=A","Dates=H","DateFormat=P","Fill=—","Direction=H","UseDPDF=Y")</f>
        <v>#NAME?</v>
      </c>
      <c r="BM293" s="1" t="e">
        <f ca="1">_xll.BDH($C$278,"INVENTORY_SEQUENTIAL_GROWTH","FY 2017","FY 2017","Currency=INR","Period=FY","BEST_FPERIOD_OVERRIDE=FY","FILING_STATUS=OR","EQY_CONSOLIDATED=Y","Sort=A","Dates=H","DateFormat=P","Fill=—","Direction=H","UseDPDF=Y")</f>
        <v>#NAME?</v>
      </c>
      <c r="BN293" s="1" t="e">
        <f ca="1">_xll.BDH($C$278,"FIXED_ASSETS_SEQUENTIAL_GROWTH","FY 2017","FY 2017","Currency=INR","Period=FY","BEST_FPERIOD_OVERRIDE=FY","FILING_STATUS=OR","EQY_CONSOLIDATED=Y","Sort=A","Dates=H","DateFormat=P","Fill=—","Direction=H","UseDPDF=Y")</f>
        <v>#NAME?</v>
      </c>
      <c r="BO293" s="1" t="e">
        <f ca="1">_xll.BDH($C$278,"TOTAL_ASSETS_SEQUENTIAL_GROWTH","FY 2017","FY 2017","Currency=INR","Period=FY","BEST_FPERIOD_OVERRIDE=FY","FILING_STATUS=OR","EQY_CONSOLIDATED=Y","Sort=A","Dates=H","DateFormat=P","Fill=—","Direction=H","UseDPDF=Y")</f>
        <v>#NAME?</v>
      </c>
      <c r="BP293" s="1" t="e">
        <f ca="1">_xll.BDH($C$278,"MODIFIED_WORKING_CPTL_SEQ_GRWTH","FY 2017","FY 2017","Currency=INR","Period=FY","BEST_FPERIOD_OVERRIDE=FY","FILING_STATUS=OR","EQY_CONSOLIDATED=Y","Sort=A","Dates=H","DateFormat=P","Fill=—","Direction=H","UseDPDF=Y")</f>
        <v>#NAME?</v>
      </c>
      <c r="BQ293" s="1" t="e">
        <f ca="1">_xll.BDH($C$278,"WORKING_CAPITAL_SEQ_GROWTH","FY 2017","FY 2017","Currency=INR","Period=FY","BEST_FPERIOD_OVERRIDE=FY","FILING_STATUS=OR","EQY_CONSOLIDATED=Y","Sort=A","Dates=H","DateFormat=P","Fill=—","Direction=H","UseDPDF=Y")</f>
        <v>#NAME?</v>
      </c>
      <c r="BR293" s="1" t="e">
        <f ca="1">_xll.BDH($C$278,"ACCOUNTS_PAYABLE_SEQ_GROWTH","FY 2017","FY 2017","Currency=INR","Period=FY","BEST_FPERIOD_OVERRIDE=FY","FILING_STATUS=OR","EQY_CONSOLIDATED=Y","Sort=A","Dates=H","DateFormat=P","Fill=—","Direction=H","UseDPDF=Y")</f>
        <v>#NAME?</v>
      </c>
      <c r="BS293" s="1" t="e">
        <f ca="1">_xll.BDH($C$278,"ST_DEBT_SEQUENTIAL_GROWTH","FY 2017","FY 2017","Currency=INR","Period=FY","BEST_FPERIOD_OVERRIDE=FY","FILING_STATUS=OR","EQY_CONSOLIDATED=Y","Sort=A","Dates=H","DateFormat=P","Fill=—","Direction=H","UseDPDF=Y")</f>
        <v>#NAME?</v>
      </c>
      <c r="BT293" s="1" t="e">
        <f ca="1">_xll.BDH($C$278,"TOTAL_DEBT_SEQUENTIAL_GROWTH","FY 2017","FY 2017","Currency=INR","Period=FY","BEST_FPERIOD_OVERRIDE=FY","FILING_STATUS=OR","EQY_CONSOLIDATED=Y","Sort=A","Dates=H","DateFormat=P","Fill=—","Direction=H","UseDPDF=Y")</f>
        <v>#NAME?</v>
      </c>
      <c r="BU293" s="1" t="e">
        <f ca="1">_xll.BDH($C$278,"TOTAL_EQUITY_SEQUENTIAL_GROWTH","FY 2017","FY 2017","Currency=INR","Period=FY","BEST_FPERIOD_OVERRIDE=FY","FILING_STATUS=OR","EQY_CONSOLIDATED=Y","Sort=A","Dates=H","DateFormat=P","Fill=—","Direction=H","UseDPDF=Y")</f>
        <v>#NAME?</v>
      </c>
      <c r="BV293" s="1" t="e">
        <f ca="1">_xll.BDH($C$278,"TOTAL_CAPITAL_SEQUENTIAL_GROWTH","FY 2017","FY 2017","Currency=INR","Period=FY","BEST_FPERIOD_OVERRIDE=FY","FILING_STATUS=OR","EQY_CONSOLIDATED=Y","Sort=A","Dates=H","DateFormat=P","Fill=—","Direction=H","UseDPDF=Y")</f>
        <v>#NAME?</v>
      </c>
      <c r="BW293" s="1" t="e">
        <f ca="1">_xll.BDH($C$278,"BPS_SEQUENTIAL_GROWTH","FY 2017","FY 2017","Currency=INR","Period=FY","BEST_FPERIOD_OVERRIDE=FY","FILING_STATUS=OR","EQY_CONSOLIDATED=Y","Sort=A","Dates=H","DateFormat=P","Fill=—","Direction=H","UseDPDF=Y")</f>
        <v>#NAME?</v>
      </c>
      <c r="BX293" s="1" t="e">
        <f ca="1">_xll.BDH($C$278,"CFO_SEQUENTIAL_GROWTH","FY 2017","FY 2017","Currency=INR","Period=FY","BEST_FPERIOD_OVERRIDE=FY","FILING_STATUS=OR","EQY_CONSOLIDATED=Y","Sort=A","Dates=H","DateFormat=P","Fill=—","Direction=H","UseDPDF=Y")</f>
        <v>#NAME?</v>
      </c>
      <c r="BY293" s="2" t="e">
        <f ca="1">_xll.BDH($C$278,"SHORT_AND_LONG_TERM_DEBT","FY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93" s="2" t="e">
        <f ca="1">_xll.BDH($C$278,"BS_ST_BORROW","FY 2017","FY 2017","Currency=INR","Period=FY","BEST_FPERIOD_OVERRIDE=FY","FILING_STATUS=OR","EQY_CONSOLIDATED=Y","SCALING_FORMAT=MLN","Sort=A","Dates=H","DateFormat=P","Fill=—","Direction=H","UseDPDF=Y")</f>
        <v>#NAME?</v>
      </c>
      <c r="CA293" s="2" t="e">
        <f ca="1">_xll.BDH($C$278,"BS_LT_BORROW","FY 2017","FY 2017","Currency=INR","Period=FY","BEST_FPERIOD_OVERRIDE=FY","FILING_STATUS=OR","EQY_CONSOLIDATED=Y","SCALING_FORMAT=MLN","Sort=A","Dates=H","DateFormat=P","Fill=—","Direction=H","UseDPDF=Y")</f>
        <v>#NAME?</v>
      </c>
      <c r="CB293" s="1" t="e">
        <f ca="1">_xll.BDH($C$278,"TOT_DEBT_TO_EBITDA","FY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293" s="1" t="e">
        <f ca="1">_xll.BDH($C$278,"NET_DEBT_TO_EBITDA","FY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293" s="1" t="e">
        <f ca="1">_xll.BDH($C$278,"TOTAL_DEBT_TO_EBIT","FY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293" s="1" t="e">
        <f ca="1">_xll.BDH($C$278,"NET_DEBT_TO_EBIT","FY 2017","FY 2017","Currency=INR","Period=FY","BEST_FPERIOD_OVERRIDE=FY","FILING_STATUS=OR","EQY_CONSOLIDATED=Y","FA_ADJUSTED=GAAP","Sort=A","Dates=H","DateFormat=P","Fill=—","Direction=H","UseDPDF=Y")</f>
        <v>#NAME?</v>
      </c>
      <c r="CF293" s="1" t="e">
        <f ca="1">_xll.BDH($C$278,"EBITDA_TO_INTEREST_EXPN","FY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93" s="1" t="e">
        <f ca="1">_xll.BDH($C$278,"COM_EQY_TO_TOT_ASSET","FY 2017","FY 2017","Currency=INR","Period=FY","BEST_FPERIOD_OVERRIDE=FY","FILING_STATUS=OR","EQY_CONSOLIDATED=Y","Sort=A","Dates=H","DateFormat=P","Fill=—","Direction=H","UseDPDF=Y")</f>
        <v>#NAME?</v>
      </c>
      <c r="CH293" s="1" t="e">
        <f ca="1">_xll.BDH($C$278,"LT_DEBT_TO_TOT_EQY","FY 2017","FY 2017","Currency=INR","Period=FY","BEST_FPERIOD_OVERRIDE=FY","FILING_STATUS=OR","EQY_CONSOLIDATED=Y","Sort=A","Dates=H","DateFormat=P","Fill=—","Direction=H","UseDPDF=Y")</f>
        <v>#NAME?</v>
      </c>
      <c r="CI293" s="1" t="e">
        <f ca="1">_xll.BDH($C$278,"LT_DEBT_TO_TOT_CAP","FY 2017","FY 2017","Currency=INR","Period=FY","BEST_FPERIOD_OVERRIDE=FY","FILING_STATUS=OR","EQY_CONSOLIDATED=Y","Sort=A","Dates=H","DateFormat=P","Fill=—","Direction=H","UseDPDF=Y")</f>
        <v>#NAME?</v>
      </c>
      <c r="CJ293" s="1" t="e">
        <f ca="1">_xll.BDH($C$278,"LT_DEBT_TO_TOT_ASSET","FY 2017","FY 2017","Currency=INR","Period=FY","BEST_FPERIOD_OVERRIDE=FY","FILING_STATUS=OR","EQY_CONSOLIDATED=Y","Sort=A","Dates=H","DateFormat=P","Fill=—","Direction=H","UseDPDF=Y")</f>
        <v>#NAME?</v>
      </c>
      <c r="CK293" s="1" t="e">
        <f ca="1">_xll.BDH($C$278,"TOT_DEBT_TO_TOT_EQY","FY 2017","FY 2017","Currency=INR","Period=FY","BEST_FPERIOD_OVERRIDE=FY","FILING_STATUS=OR","EQY_CONSOLIDATED=Y","Sort=A","Dates=H","DateFormat=P","Fill=—","Direction=H","UseDPDF=Y")</f>
        <v>#NAME?</v>
      </c>
      <c r="CL293" s="1" t="e">
        <f ca="1">_xll.BDH($C$278,"TOT_DEBT_TO_TOT_CAP","FY 2017","FY 2017","Currency=INR","Period=FY","BEST_FPERIOD_OVERRIDE=FY","FILING_STATUS=OR","EQY_CONSOLIDATED=Y","Sort=A","Dates=H","DateFormat=P","Fill=—","Direction=H","UseDPDF=Y")</f>
        <v>#NAME?</v>
      </c>
      <c r="CM293" s="1" t="e">
        <f ca="1">_xll.BDH($C$278,"TOT_DEBT_TO_TOT_ASSET","FY 2017","FY 2017","Currency=INR","Period=FY","BEST_FPERIOD_OVERRIDE=FY","FILING_STATUS=OR","EQY_CONSOLIDATED=Y","Sort=A","Dates=H","DateFormat=P","Fill=—","Direction=H","UseDPDF=Y")</f>
        <v>#NAME?</v>
      </c>
      <c r="CN293" s="1" t="e">
        <f ca="1">_xll.BDH($C$278,"NET_DEBT_TO_SHRHLDR_EQTY","FY 2017","FY 2017","Currency=INR","Period=FY","BEST_FPERIOD_OVERRIDE=FY","FILING_STATUS=OR","EQY_CONSOLIDATED=Y","Sort=A","Dates=H","DateFormat=P","Fill=—","Direction=H","UseDPDF=Y")</f>
        <v>#NAME?</v>
      </c>
      <c r="CO293" s="1" t="e">
        <f ca="1">_xll.BDH($C$278,"NET_DEBT_%_CAPITAL","FY 2017","FY 2017","Currency=INR","Period=FY","BEST_FPERIOD_OVERRIDE=FY","FILING_STATUS=OR","EQY_CONSOLIDATED=Y","Sort=A","Dates=H","DateFormat=P","Fill=—","Direction=H","UseDPDF=Y")</f>
        <v>#NAME?</v>
      </c>
      <c r="CP293" s="2" t="e">
        <f ca="1">_xll.BDH($C$278,"EBITDA","FY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93" s="2" t="e">
        <f ca="1">_xll.BDH($C$278,"EBITDA_AFTER_CAPEX","FY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93" s="2" t="e">
        <f ca="1">_xll.BDH($C$278,"IS_OPER_INC","FY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93" s="1" t="e">
        <f ca="1">_xll.BDH($C$278,"CASH_RATIO","FY 2017","FY 2017","Currency=INR","Period=FY","BEST_FPERIOD_OVERRIDE=FY","FILING_STATUS=OR","EQY_CONSOLIDATED=Y","Sort=A","Dates=H","DateFormat=P","Fill=—","Direction=H","UseDPDF=Y")</f>
        <v>#NAME?</v>
      </c>
      <c r="CT293" s="1" t="e">
        <f ca="1">_xll.BDH($C$278,"CUR_RATIO","FY 2017","FY 2017","Currency=INR","Period=FY","BEST_FPERIOD_OVERRIDE=FY","FILING_STATUS=OR","EQY_CONSOLIDATED=Y","Sort=A","Dates=H","DateFormat=P","Fill=—","Direction=H","UseDPDF=Y")</f>
        <v>#NAME?</v>
      </c>
      <c r="CU293" s="1" t="e">
        <f ca="1">_xll.BDH($C$278,"QUICK_RATIO","FY 2017","FY 2017","Currency=INR","Period=FY","BEST_FPERIOD_OVERRIDE=FY","FILING_STATUS=OR","EQY_CONSOLIDATED=Y","Sort=A","Dates=H","DateFormat=P","Fill=—","Direction=H","UseDPDF=Y")</f>
        <v>#NAME?</v>
      </c>
      <c r="CV293" s="1" t="e">
        <f ca="1">_xll.BDH($C$278,"ALTMAN_Z_SCORE","FY 2017","FY 2017","Currency=INR","Period=FY","BEST_FPERIOD_OVERRIDE=FY","FILING_STATUS=OR","EQY_CONSOLIDATED=Y","Sort=A","Dates=H","DateFormat=P","Fill=—","Direction=H","UseDPDF=Y")</f>
        <v>#NAME?</v>
      </c>
      <c r="CW293" s="3" t="e">
        <f ca="1">_xll.BDH($C$278,"ACCT_RCV_TURN","FY 2017","FY 2017","Currency=INR","Period=FY","BEST_FPERIOD_OVERRIDE=FY","FILING_STATUS=OR","EQY_CONSOLIDATED=Y","FA_ADJUSTED=GAAP","Sort=A","Dates=H","DateFormat=P","Fill=—","Direction=H","UseDPDF=Y")</f>
        <v>#NAME?</v>
      </c>
      <c r="CX293" s="1" t="e">
        <f ca="1">_xll.BDH($C$278,"ACCT_RCV_DAYS","FY 2017","FY 2017","Currency=INR","Period=FY","BEST_FPERIOD_OVERRIDE=FY","FILING_STATUS=OR","EQY_CONSOLIDATED=Y","FA_ADJUSTED=GAAP","Sort=A","Dates=H","DateFormat=P","Fill=—","Direction=H","UseDPDF=Y")</f>
        <v>#NAME?</v>
      </c>
      <c r="CY293" s="3" t="e">
        <f ca="1">_xll.BDH($C$278,"INVENT_TURN","FY 2017","FY 2017","Currency=INR","Period=FY","BEST_FPERIOD_OVERRIDE=FY","FILING_STATUS=OR","EQY_CONSOLIDATED=Y","FA_ADJUSTED=GAAP","Sort=A","Dates=H","DateFormat=P","Fill=—","Direction=H","UseDPDF=Y")</f>
        <v>#NAME?</v>
      </c>
      <c r="CZ293" s="1" t="e">
        <f ca="1">_xll.BDH($C$278,"INVENT_DAYS","FY 2017","FY 2017","Currency=INR","Period=FY","BEST_FPERIOD_OVERRIDE=FY","FILING_STATUS=OR","EQY_CONSOLIDATED=Y","FA_ADJUSTED=GAAP","Sort=A","Dates=H","DateFormat=P","Fill=—","Direction=H","UseDPDF=Y")</f>
        <v>#NAME?</v>
      </c>
      <c r="DA293" s="3" t="e">
        <f ca="1">_xll.BDH($C$278,"ACCOUNTS_PAYABLE_TURNOVER","FY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93" s="1" t="e">
        <f ca="1">_xll.BDH($C$278,"ACCOUNTS_PAYABLE_TURNOVER_DAYS","FY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93" s="3" t="e">
        <f ca="1">_xll.BDH($C$278,"CASH_CONVERSION_CYCLE","FY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93" s="3" t="e">
        <f ca="1">_xll.BDH($C$278,"INV_TO_CASH_DAYS","FY 2017","FY 2017","Currency=INR","Period=FY","BEST_FPERIOD_OVERRIDE=FY","FILING_STATUS=OR","EQY_CONSOLIDATED=Y","FA_ADJUSTED=GAAP","Sort=A","Dates=H","DateFormat=P","Fill=—","Direction=H","UseDPDF=Y")</f>
        <v>#NAME?</v>
      </c>
      <c r="DE293" s="4" t="e">
        <f ca="1">_xll.BDH($C$278,"BS_INVENTORIES","FY 2017","FY 2017","Currency=INR","Period=FY","BEST_FPERIOD_OVERRIDE=FY","FILING_STATUS=OR","EQY_CONSOLIDATED=Y","SCALING_FORMAT=MLN","Sort=A","Dates=H","DateFormat=P","Fill=—","Direction=H","UseDPDF=Y")</f>
        <v>#NAME?</v>
      </c>
      <c r="DF293" s="2" t="e">
        <f ca="1">_xll.BDH($C$278,"INVTRY_RAW_MATERIALS","FY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93" s="2" t="e">
        <f ca="1">_xll.BDH($C$278,"INVTRY_IN_PROGRESS","FY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93" s="2" t="e">
        <f ca="1">_xll.BDH($C$278,"INVTRY_FINISHED_GOODS","FY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93" s="2" t="e">
        <f ca="1">_xll.BDH($C$278,"BS_OTHER_INV","FY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94" spans="1:113" x14ac:dyDescent="0.3">
      <c r="A294" s="6"/>
      <c r="B294" s="6"/>
      <c r="C294" s="6"/>
      <c r="D294" s="6"/>
      <c r="E294" t="s">
        <v>4</v>
      </c>
      <c r="F294" t="e">
        <f ca="1">_xll.BDH($C$278,"RETURN_COM_EQY","FQ1 2017","FQ1 2017","Currency=INR","Period=FQ","BEST_FPERIOD_OVERRIDE=FQ","FILING_STATUS=OR","EQY_CONSOLIDATED=Y","FA_ADJUSTED=GAAP","Sort=A","Dates=H","DateFormat=P","Fill=—","Direction=H","UseDPDF=Y")</f>
        <v>#NAME?</v>
      </c>
      <c r="G294" t="e">
        <f ca="1">_xll.BDH($C$278,"RETURN_ON_ASSET","FQ1 2017","FQ1 2017","Currency=INR","Period=FQ","BEST_FPERIOD_OVERRIDE=FQ","FILING_STATUS=OR","EQY_CONSOLIDATED=Y","FA_ADJUSTED=GAAP","Sort=A","Dates=H","DateFormat=P","Fill=—","Direction=H","UseDPDF=Y")</f>
        <v>#NAME?</v>
      </c>
      <c r="H294" t="e">
        <f ca="1">_xll.BDH($C$278,"RETURN_ON_CAP","FQ1 2017","FQ1 2017","Currency=INR","Period=FQ","BEST_FPERIOD_OVERRIDE=FQ","FILING_STATUS=OR","EQY_CONSOLIDATED=Y","FA_ADJUSTED=GAAP","Sort=A","Dates=H","DateFormat=P","Fill=—","Direction=H","UseDPDF=Y")</f>
        <v>#NAME?</v>
      </c>
      <c r="I294" t="e">
        <f ca="1">_xll.BDH($C$278,"RETURN_ON_INV_CAPITAL","FQ1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94" t="e">
        <f ca="1">_xll.BDH($C$278,"EBITDA_TO_REVENUE","FQ1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294" t="e">
        <f ca="1">_xll.BDH($C$278,"OPER_MARGIN","FQ1 2017","FQ1 2017","Currency=INR","Period=FQ","BEST_FPERIOD_OVERRIDE=FQ","FILING_STATUS=OR","EQY_CONSOLIDATED=Y","FA_ADJUSTED=GAAP","Sort=A","Dates=H","DateFormat=P","Fill=—","Direction=H","UseDPDF=Y")</f>
        <v>#NAME?</v>
      </c>
      <c r="L294" t="e">
        <f ca="1">_xll.BDH($C$278,"INCREMENTAL_OPERATING_MARGIN","FQ1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94" t="e">
        <f ca="1">_xll.BDH($C$278,"PRETAX_INC_TO_NET_SALES","FQ1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94" t="e">
        <f ca="1">_xll.BDH($C$278,"INC_BEF_XO_ITEMS_TO_NET_SALES","FQ1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94" t="e">
        <f ca="1">_xll.BDH($C$278,"PROF_MARGIN","FQ1 2017","FQ1 2017","Currency=INR","Period=FQ","BEST_FPERIOD_OVERRIDE=FQ","FILING_STATUS=OR","EQY_CONSOLIDATED=Y","FA_ADJUSTED=GAAP","Sort=A","Dates=H","DateFormat=P","Fill=—","Direction=H","UseDPDF=Y")</f>
        <v>#NAME?</v>
      </c>
      <c r="P294" t="e">
        <f ca="1">_xll.BDH($C$278,"NET_INCOME_TO_COMMON_MARGIN","FQ1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94" t="e">
        <f ca="1">_xll.BDH($C$278,"EFF_TAX_RATE","FQ1 2017","FQ1 2017","Currency=INR","Period=FQ","BEST_FPERIOD_OVERRIDE=FQ","FILING_STATUS=OR","EQY_CONSOLIDATED=Y","FA_ADJUSTED=GAAP","Sort=A","Dates=H","DateFormat=P","Fill=—","Direction=H","UseDPDF=Y")</f>
        <v>#NAME?</v>
      </c>
      <c r="R294" t="e">
        <f ca="1">_xll.BDH($C$278,"DVD_PAYOUT_RATIO","FQ1 2017","FQ1 2017","Currency=INR","Period=FQ","BEST_FPERIOD_OVERRIDE=FQ","FILING_STATUS=OR","EQY_CONSOLIDATED=Y","FA_ADJUSTED=GAAP","Sort=A","Dates=H","DateFormat=P","Fill=—","Direction=H","UseDPDF=Y")</f>
        <v>#NAME?</v>
      </c>
      <c r="S294" t="e">
        <f ca="1">_xll.BDH($C$278,"SUSTAIN_GROWTH_RT","FQ1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294" s="1" t="e">
        <f ca="1">_xll.BDH($C$278,"SALES_GROWTH","FQ1 2017","FQ1 2017","Currency=INR","Period=FQ","BEST_FPERIOD_OVERRIDE=FQ","FILING_STATUS=OR","EQY_CONSOLIDATED=Y","FA_ADJUSTED=GAAP","Sort=A","Dates=H","DateFormat=P","Fill=—","Direction=H","UseDPDF=Y")</f>
        <v>#NAME?</v>
      </c>
      <c r="U294" s="1" t="e">
        <f ca="1">_xll.BDH($C$278,"EBITDA_GROWTH","FQ1 2017","FQ1 2017","Currency=INR","Period=FQ","BEST_FPERIOD_OVERRIDE=FQ","FILING_STATUS=OR","EQY_CONSOLIDATED=Y","FA_ADJUSTED=GAAP","Sort=A","Dates=H","DateFormat=P","Fill=—","Direction=H","UseDPDF=Y")</f>
        <v>#NAME?</v>
      </c>
      <c r="V294" s="1" t="e">
        <f ca="1">_xll.BDH($C$278,"OPER_INC_GROWTH","FQ1 2017","FQ1 2017","Currency=INR","Period=FQ","BEST_FPERIOD_OVERRIDE=FQ","FILING_STATUS=OR","EQY_CONSOLIDATED=Y","FA_ADJUSTED=GAAP","Sort=A","Dates=H","DateFormat=P","Fill=—","Direction=H","UseDPDF=Y")</f>
        <v>#NAME?</v>
      </c>
      <c r="W294" s="1" t="e">
        <f ca="1">_xll.BDH($C$278,"EARN_FOR_COM_GROWTH","FQ1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94" s="1" t="e">
        <f ca="1">_xll.BDH($C$278,"DILUTED_EPS_AFT_XO_ITEMS_GROWTH","FQ1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94" s="1" t="e">
        <f ca="1">_xll.BDH($C$278,"DIVIDEND_PER_SHARE_1_YEAR_GROWTH","FQ1 2017","FQ1 2017","Currency=INR","Period=FQ","BEST_FPERIOD_OVERRIDE=FQ","FILING_STATUS=OR","EQY_CONSOLIDATED=Y","Sort=A","Dates=H","DateFormat=P","Fill=—","Direction=H","UseDPDF=Y")</f>
        <v>#NAME?</v>
      </c>
      <c r="Z294" s="1" t="e">
        <f ca="1">_xll.BDH($C$278,"ACCOUNTS_RECEIVABLE_GROWTH","FQ1 2017","FQ1 2017","Currency=INR","Period=FQ","BEST_FPERIOD_OVERRIDE=FQ","FILING_STATUS=OR","EQY_CONSOLIDATED=Y","Sort=A","Dates=H","DateFormat=P","Fill=—","Direction=H","UseDPDF=Y")</f>
        <v>#NAME?</v>
      </c>
      <c r="AA294" s="1" t="e">
        <f ca="1">_xll.BDH($C$278,"INVENTORY_GROWTH","FQ1 2017","FQ1 2017","Currency=INR","Period=FQ","BEST_FPERIOD_OVERRIDE=FQ","FILING_STATUS=OR","EQY_CONSOLIDATED=Y","Sort=A","Dates=H","DateFormat=P","Fill=—","Direction=H","UseDPDF=Y")</f>
        <v>#NAME?</v>
      </c>
      <c r="AB294" s="1" t="e">
        <f ca="1">_xll.BDH($C$278,"NET_FIXED_ASSETS_1_YEAR_GROWTH","FQ1 2017","FQ1 2017","Currency=INR","Period=FQ","BEST_FPERIOD_OVERRIDE=FQ","FILING_STATUS=OR","EQY_CONSOLIDATED=Y","Sort=A","Dates=H","DateFormat=P","Fill=—","Direction=H","UseDPDF=Y")</f>
        <v>#NAME?</v>
      </c>
      <c r="AC294" s="1" t="e">
        <f ca="1">_xll.BDH($C$278,"ASSET_GROWTH","FQ1 2017","FQ1 2017","Currency=INR","Period=FQ","BEST_FPERIOD_OVERRIDE=FQ","FILING_STATUS=OR","EQY_CONSOLIDATED=Y","Sort=A","Dates=H","DateFormat=P","Fill=—","Direction=H","UseDPDF=Y")</f>
        <v>#NAME?</v>
      </c>
      <c r="AD294" s="1" t="e">
        <f ca="1">_xll.BDH($C$278,"MODIFIED_WORK_CAP_GROWTH","FQ1 2017","FQ1 2017","Currency=INR","Period=FQ","BEST_FPERIOD_OVERRIDE=FQ","FILING_STATUS=OR","EQY_CONSOLIDATED=Y","Sort=A","Dates=H","DateFormat=P","Fill=—","Direction=H","UseDPDF=Y")</f>
        <v>#NAME?</v>
      </c>
      <c r="AE294" s="1" t="e">
        <f ca="1">_xll.BDH($C$278,"WORK_CAP_GROWTH","FQ1 2017","FQ1 2017","Currency=INR","Period=FQ","BEST_FPERIOD_OVERRIDE=FQ","FILING_STATUS=OR","EQY_CONSOLIDATED=Y","Sort=A","Dates=H","DateFormat=P","Fill=—","Direction=H","UseDPDF=Y")</f>
        <v>#NAME?</v>
      </c>
      <c r="AF294" s="1" t="e">
        <f ca="1">_xll.BDH($C$278,"ACCOUNTS_PAYABLE_GROWTH_1YR","FQ1 2017","FQ1 2017","Currency=INR","Period=FQ","BEST_FPERIOD_OVERRIDE=FQ","FILING_STATUS=OR","EQY_CONSOLIDATED=Y","Sort=A","Dates=H","DateFormat=P","Fill=—","Direction=H","UseDPDF=Y")</f>
        <v>#NAME?</v>
      </c>
      <c r="AG294" s="1" t="e">
        <f ca="1">_xll.BDH($C$278,"SHORT_TERM_DEBT_1_YEAR_GROWTH","FQ1 2017","FQ1 2017","Currency=INR","Period=FQ","BEST_FPERIOD_OVERRIDE=FQ","FILING_STATUS=OR","EQY_CONSOLIDATED=Y","Sort=A","Dates=H","DateFormat=P","Fill=—","Direction=H","UseDPDF=Y")</f>
        <v>#NAME?</v>
      </c>
      <c r="AH294" s="1" t="e">
        <f ca="1">_xll.BDH($C$278,"TOTAL_DEBT_1_YEAR_GROWTH","FQ1 2017","FQ1 2017","Currency=INR","Period=FQ","BEST_FPERIOD_OVERRIDE=FQ","FILING_STATUS=OR","EQY_CONSOLIDATED=Y","Sort=A","Dates=H","DateFormat=P","Fill=—","Direction=H","UseDPDF=Y")</f>
        <v>#NAME?</v>
      </c>
      <c r="AI294" s="1" t="e">
        <f ca="1">_xll.BDH($C$278,"TOTAL_EQUITY_1_YEAR_GROWTH","FQ1 2017","FQ1 2017","Currency=INR","Period=FQ","BEST_FPERIOD_OVERRIDE=FQ","FILING_STATUS=OR","EQY_CONSOLIDATED=Y","Sort=A","Dates=H","DateFormat=P","Fill=—","Direction=H","UseDPDF=Y")</f>
        <v>#NAME?</v>
      </c>
      <c r="AJ294" s="1" t="e">
        <f ca="1">_xll.BDH($C$278,"GROWTH_IN_CAP","FQ1 2017","FQ1 2017","Currency=INR","Period=FQ","BEST_FPERIOD_OVERRIDE=FQ","FILING_STATUS=OR","EQY_CONSOLIDATED=Y","Sort=A","Dates=H","DateFormat=P","Fill=—","Direction=H","UseDPDF=Y")</f>
        <v>#NAME?</v>
      </c>
      <c r="AK294" s="1" t="e">
        <f ca="1">_xll.BDH($C$278,"BVPS_GROWTH","FQ1 2017","FQ1 2017","Currency=INR","Period=FQ","BEST_FPERIOD_OVERRIDE=FQ","FILING_STATUS=OR","EQY_CONSOLIDATED=Y","Sort=A","Dates=H","DateFormat=P","Fill=—","Direction=H","UseDPDF=Y")</f>
        <v>#NAME?</v>
      </c>
      <c r="AL294" s="1" t="e">
        <f ca="1">_xll.BDH($C$278,"CASH_FLOW_GROWTH","FQ1 2017","FQ1 2017","Currency=INR","Period=FQ","BEST_FPERIOD_OVERRIDE=FQ","FILING_STATUS=OR","EQY_CONSOLIDATED=Y","Sort=A","Dates=H","DateFormat=P","Fill=—","Direction=H","UseDPDF=Y")</f>
        <v>#NAME?</v>
      </c>
      <c r="AM294" s="1" t="e">
        <f ca="1">_xll.BDH($C$278,"GEO_GROW_NET_SALES","FQ1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94" s="1" t="e">
        <f ca="1">_xll.BDH($C$278,"GEO_GROW_EBITDA","FQ1 2017","FQ1 2017","Currency=INR","Period=FQ","BEST_FPERIOD_OVERRIDE=FQ","FILING_STATUS=OR","EQY_CONSOLIDATED=Y","FA_ADJUSTED=GAAP","Sort=A","Dates=H","DateFormat=P","Fill=—","Direction=H","UseDPDF=Y")</f>
        <v>#NAME?</v>
      </c>
      <c r="AO294" s="1" t="e">
        <f ca="1">_xll.BDH($C$278,"GEO_GROW_OPER_INC","FQ1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94" s="1" t="e">
        <f ca="1">_xll.BDH($C$278,"NET_INCOME_TO_COMMON_5_YR_GROWTH","FQ1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94" s="1" t="e">
        <f ca="1">_xll.BDH($C$278,"5Y_GEO_GROWTH_DILUTED_EPS","FQ1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94" s="1" t="e">
        <f ca="1">_xll.BDH($C$278,"GEO_GROW_DVD_PER_SH","FQ1 2017","FQ1 2017","Currency=INR","Period=FQ","BEST_FPERIOD_OVERRIDE=FQ","FILING_STATUS=OR","EQY_CONSOLIDATED=Y","Sort=A","Dates=H","DateFormat=P","Fill=—","Direction=H","UseDPDF=Y")</f>
        <v>#NAME?</v>
      </c>
      <c r="AS294" s="1" t="e">
        <f ca="1">_xll.BDH($C$278,"ACCOUNTS_RECEIVABLE_5_YR_GROWTH","FQ1 2017","FQ1 2017","Currency=INR","Period=FQ","BEST_FPERIOD_OVERRIDE=FQ","FILING_STATUS=OR","EQY_CONSOLIDATED=Y","Sort=A","Dates=H","DateFormat=P","Fill=—","Direction=H","UseDPDF=Y")</f>
        <v>#NAME?</v>
      </c>
      <c r="AT294" s="1" t="e">
        <f ca="1">_xll.BDH($C$278,"INVENTORY_5_YEAR_GROWTH","FQ1 2017","FQ1 2017","Currency=INR","Period=FQ","BEST_FPERIOD_OVERRIDE=FQ","FILING_STATUS=OR","EQY_CONSOLIDATED=Y","Sort=A","Dates=H","DateFormat=P","Fill=—","Direction=H","UseDPDF=Y")</f>
        <v>#NAME?</v>
      </c>
      <c r="AU294" s="1" t="e">
        <f ca="1">_xll.BDH($C$278,"NET_FIXED_ASSETS_5_YEAR_GROWTH","FQ1 2017","FQ1 2017","Currency=INR","Period=FQ","BEST_FPERIOD_OVERRIDE=FQ","FILING_STATUS=OR","EQY_CONSOLIDATED=Y","Sort=A","Dates=H","DateFormat=P","Fill=—","Direction=H","UseDPDF=Y")</f>
        <v>#NAME?</v>
      </c>
      <c r="AV294" s="1" t="e">
        <f ca="1">_xll.BDH($C$278,"GEO_GROW_TOT_ASSET","FQ1 2017","FQ1 2017","Currency=INR","Period=FQ","BEST_FPERIOD_OVERRIDE=FQ","FILING_STATUS=OR","EQY_CONSOLIDATED=Y","Sort=A","Dates=H","DateFormat=P","Fill=—","Direction=H","UseDPDF=Y")</f>
        <v>#NAME?</v>
      </c>
      <c r="AW294" s="1" t="e">
        <f ca="1">_xll.BDH($C$278,"MODIFIED_WORKING_CPTL_5YR_GRWTH","FQ1 2017","FQ1 2017","Currency=INR","Period=FQ","BEST_FPERIOD_OVERRIDE=FQ","FILING_STATUS=OR","EQY_CONSOLIDATED=Y","Sort=A","Dates=H","DateFormat=P","Fill=—","Direction=H","UseDPDF=Y")</f>
        <v>#NAME?</v>
      </c>
      <c r="AX294" s="1" t="e">
        <f ca="1">_xll.BDH($C$278,"WORKING_CAPITAL_5_YEAR_GROWTH","FQ1 2017","FQ1 2017","Currency=INR","Period=FQ","BEST_FPERIOD_OVERRIDE=FQ","FILING_STATUS=OR","EQY_CONSOLIDATED=Y","Sort=A","Dates=H","DateFormat=P","Fill=—","Direction=H","UseDPDF=Y")</f>
        <v>#NAME?</v>
      </c>
      <c r="AY294" s="1" t="e">
        <f ca="1">_xll.BDH($C$278,"ACCOUNTS_PAYABLE_5_YEAR_GROWTH","FQ1 2017","FQ1 2017","Currency=INR","Period=FQ","BEST_FPERIOD_OVERRIDE=FQ","FILING_STATUS=OR","EQY_CONSOLIDATED=Y","Sort=A","Dates=H","DateFormat=P","Fill=—","Direction=H","UseDPDF=Y")</f>
        <v>#NAME?</v>
      </c>
      <c r="AZ294" s="1" t="e">
        <f ca="1">_xll.BDH($C$278,"SHORT_TERM_DEBT_5_YEAR_GROWTH","FQ1 2017","FQ1 2017","Currency=INR","Period=FQ","BEST_FPERIOD_OVERRIDE=FQ","FILING_STATUS=OR","EQY_CONSOLIDATED=Y","Sort=A","Dates=H","DateFormat=P","Fill=—","Direction=H","UseDPDF=Y")</f>
        <v>#NAME?</v>
      </c>
      <c r="BA294" s="1" t="e">
        <f ca="1">_xll.BDH($C$278,"TOTAL_DEBT_5_YEAR_GROWTH","FQ1 2017","FQ1 2017","Currency=INR","Period=FQ","BEST_FPERIOD_OVERRIDE=FQ","FILING_STATUS=OR","EQY_CONSOLIDATED=Y","Sort=A","Dates=H","DateFormat=P","Fill=—","Direction=H","UseDPDF=Y")</f>
        <v>#NAME?</v>
      </c>
      <c r="BB294" s="1" t="e">
        <f ca="1">_xll.BDH($C$278,"GEO_GROW_TOT_SHRHLDR_EQY","FQ1 2017","FQ1 2017","Currency=INR","Period=FQ","BEST_FPERIOD_OVERRIDE=FQ","FILING_STATUS=OR","EQY_CONSOLIDATED=Y","Sort=A","Dates=H","DateFormat=P","Fill=—","Direction=H","UseDPDF=Y")</f>
        <v>#NAME?</v>
      </c>
      <c r="BC294" s="1" t="e">
        <f ca="1">_xll.BDH($C$278,"TOTAL_CAPITAL_5_YEAR_GROWTH","FQ1 2017","FQ1 2017","Currency=INR","Period=FQ","BEST_FPERIOD_OVERRIDE=FQ","FILING_STATUS=OR","EQY_CONSOLIDATED=Y","Sort=A","Dates=H","DateFormat=P","Fill=—","Direction=H","UseDPDF=Y")</f>
        <v>#NAME?</v>
      </c>
      <c r="BD294" s="1" t="e">
        <f ca="1">_xll.BDH($C$278,"GEO_GROW_BOOK_VAL","FQ1 2017","FQ1 2017","Currency=INR","Period=FQ","BEST_FPERIOD_OVERRIDE=FQ","FILING_STATUS=OR","EQY_CONSOLIDATED=Y","Sort=A","Dates=H","DateFormat=P","Fill=—","Direction=H","UseDPDF=Y")</f>
        <v>#NAME?</v>
      </c>
      <c r="BE294" s="1" t="e">
        <f ca="1">_xll.BDH($C$278,"GEO_GROW_CASH_OPER_ACT","FQ1 2017","FQ1 2017","Currency=INR","Period=FQ","BEST_FPERIOD_OVERRIDE=FQ","FILING_STATUS=OR","EQY_CONSOLIDATED=Y","Sort=A","Dates=H","DateFormat=P","Fill=—","Direction=H","UseDPDF=Y")</f>
        <v>#NAME?</v>
      </c>
      <c r="BF294" s="1" t="e">
        <f ca="1">_xll.BDH($C$278,"REVENUE_SEQUENTIAL_GROWTH","FQ1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94" s="1" t="e">
        <f ca="1">_xll.BDH($C$278,"EBITDA_SEQUENTIAL_GROWTH","FQ1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94" s="1" t="e">
        <f ca="1">_xll.BDH($C$278,"OPERATING_INCOME_SEQ_GROWTH","FQ1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94" s="1" t="e">
        <f ca="1">_xll.BDH($C$278,"NET_INCOME_TO_COMMON_SEQ_GROWTH","FQ1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94" s="1" t="e">
        <f ca="1">_xll.BDH($C$278,"EPS_DILUTED_SEQUENTIAL_GROWTH","FQ1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94" s="1" t="e">
        <f ca="1">_xll.BDH($C$278,"DPS_SEQUENTIAL_GROWTH","FQ1 2017","FQ1 2017","Currency=INR","Period=FQ","BEST_FPERIOD_OVERRIDE=FQ","FILING_STATUS=OR","EQY_CONSOLIDATED=Y","Sort=A","Dates=H","DateFormat=P","Fill=—","Direction=H","UseDPDF=Y")</f>
        <v>#NAME?</v>
      </c>
      <c r="BL294" s="1" t="e">
        <f ca="1">_xll.BDH($C$278,"ACCOUNTS_RECEIVABLE_SEQ_GROWTH","FQ1 2017","FQ1 2017","Currency=INR","Period=FQ","BEST_FPERIOD_OVERRIDE=FQ","FILING_STATUS=OR","EQY_CONSOLIDATED=Y","Sort=A","Dates=H","DateFormat=P","Fill=—","Direction=H","UseDPDF=Y")</f>
        <v>#NAME?</v>
      </c>
      <c r="BM294" s="1" t="e">
        <f ca="1">_xll.BDH($C$278,"INVENTORY_SEQUENTIAL_GROWTH","FQ1 2017","FQ1 2017","Currency=INR","Period=FQ","BEST_FPERIOD_OVERRIDE=FQ","FILING_STATUS=OR","EQY_CONSOLIDATED=Y","Sort=A","Dates=H","DateFormat=P","Fill=—","Direction=H","UseDPDF=Y")</f>
        <v>#NAME?</v>
      </c>
      <c r="BN294" s="1" t="e">
        <f ca="1">_xll.BDH($C$278,"FIXED_ASSETS_SEQUENTIAL_GROWTH","FQ1 2017","FQ1 2017","Currency=INR","Period=FQ","BEST_FPERIOD_OVERRIDE=FQ","FILING_STATUS=OR","EQY_CONSOLIDATED=Y","Sort=A","Dates=H","DateFormat=P","Fill=—","Direction=H","UseDPDF=Y")</f>
        <v>#NAME?</v>
      </c>
      <c r="BO294" s="1" t="e">
        <f ca="1">_xll.BDH($C$278,"TOTAL_ASSETS_SEQUENTIAL_GROWTH","FQ1 2017","FQ1 2017","Currency=INR","Period=FQ","BEST_FPERIOD_OVERRIDE=FQ","FILING_STATUS=OR","EQY_CONSOLIDATED=Y","Sort=A","Dates=H","DateFormat=P","Fill=—","Direction=H","UseDPDF=Y")</f>
        <v>#NAME?</v>
      </c>
      <c r="BP294" s="1" t="e">
        <f ca="1">_xll.BDH($C$278,"MODIFIED_WORKING_CPTL_SEQ_GRWTH","FQ1 2017","FQ1 2017","Currency=INR","Period=FQ","BEST_FPERIOD_OVERRIDE=FQ","FILING_STATUS=OR","EQY_CONSOLIDATED=Y","Sort=A","Dates=H","DateFormat=P","Fill=—","Direction=H","UseDPDF=Y")</f>
        <v>#NAME?</v>
      </c>
      <c r="BQ294" s="1" t="e">
        <f ca="1">_xll.BDH($C$278,"WORKING_CAPITAL_SEQ_GROWTH","FQ1 2017","FQ1 2017","Currency=INR","Period=FQ","BEST_FPERIOD_OVERRIDE=FQ","FILING_STATUS=OR","EQY_CONSOLIDATED=Y","Sort=A","Dates=H","DateFormat=P","Fill=—","Direction=H","UseDPDF=Y")</f>
        <v>#NAME?</v>
      </c>
      <c r="BR294" s="1" t="e">
        <f ca="1">_xll.BDH($C$278,"ACCOUNTS_PAYABLE_SEQ_GROWTH","FQ1 2017","FQ1 2017","Currency=INR","Period=FQ","BEST_FPERIOD_OVERRIDE=FQ","FILING_STATUS=OR","EQY_CONSOLIDATED=Y","Sort=A","Dates=H","DateFormat=P","Fill=—","Direction=H","UseDPDF=Y")</f>
        <v>#NAME?</v>
      </c>
      <c r="BS294" s="1" t="e">
        <f ca="1">_xll.BDH($C$278,"ST_DEBT_SEQUENTIAL_GROWTH","FQ1 2017","FQ1 2017","Currency=INR","Period=FQ","BEST_FPERIOD_OVERRIDE=FQ","FILING_STATUS=OR","EQY_CONSOLIDATED=Y","Sort=A","Dates=H","DateFormat=P","Fill=—","Direction=H","UseDPDF=Y")</f>
        <v>#NAME?</v>
      </c>
      <c r="BT294" s="1" t="e">
        <f ca="1">_xll.BDH($C$278,"TOTAL_DEBT_SEQUENTIAL_GROWTH","FQ1 2017","FQ1 2017","Currency=INR","Period=FQ","BEST_FPERIOD_OVERRIDE=FQ","FILING_STATUS=OR","EQY_CONSOLIDATED=Y","Sort=A","Dates=H","DateFormat=P","Fill=—","Direction=H","UseDPDF=Y")</f>
        <v>#NAME?</v>
      </c>
      <c r="BU294" s="1" t="e">
        <f ca="1">_xll.BDH($C$278,"TOTAL_EQUITY_SEQUENTIAL_GROWTH","FQ1 2017","FQ1 2017","Currency=INR","Period=FQ","BEST_FPERIOD_OVERRIDE=FQ","FILING_STATUS=OR","EQY_CONSOLIDATED=Y","Sort=A","Dates=H","DateFormat=P","Fill=—","Direction=H","UseDPDF=Y")</f>
        <v>#NAME?</v>
      </c>
      <c r="BV294" s="1" t="e">
        <f ca="1">_xll.BDH($C$278,"TOTAL_CAPITAL_SEQUENTIAL_GROWTH","FQ1 2017","FQ1 2017","Currency=INR","Period=FQ","BEST_FPERIOD_OVERRIDE=FQ","FILING_STATUS=OR","EQY_CONSOLIDATED=Y","Sort=A","Dates=H","DateFormat=P","Fill=—","Direction=H","UseDPDF=Y")</f>
        <v>#NAME?</v>
      </c>
      <c r="BW294" s="1" t="e">
        <f ca="1">_xll.BDH($C$278,"BPS_SEQUENTIAL_GROWTH","FQ1 2017","FQ1 2017","Currency=INR","Period=FQ","BEST_FPERIOD_OVERRIDE=FQ","FILING_STATUS=OR","EQY_CONSOLIDATED=Y","Sort=A","Dates=H","DateFormat=P","Fill=—","Direction=H","UseDPDF=Y")</f>
        <v>#NAME?</v>
      </c>
      <c r="BX294" s="1" t="e">
        <f ca="1">_xll.BDH($C$278,"CFO_SEQUENTIAL_GROWTH","FQ1 2017","FQ1 2017","Currency=INR","Period=FQ","BEST_FPERIOD_OVERRIDE=FQ","FILING_STATUS=OR","EQY_CONSOLIDATED=Y","Sort=A","Dates=H","DateFormat=P","Fill=—","Direction=H","UseDPDF=Y")</f>
        <v>#NAME?</v>
      </c>
      <c r="BY294" s="2" t="e">
        <f ca="1">_xll.BDH($C$278,"SHORT_AND_LONG_TERM_DEBT","FQ1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94" s="2" t="e">
        <f ca="1">_xll.BDH($C$278,"BS_ST_BORROW","FQ1 2017","FQ1 2017","Currency=INR","Period=FQ","BEST_FPERIOD_OVERRIDE=FQ","FILING_STATUS=OR","EQY_CONSOLIDATED=Y","SCALING_FORMAT=MLN","Sort=A","Dates=H","DateFormat=P","Fill=—","Direction=H","UseDPDF=Y")</f>
        <v>#NAME?</v>
      </c>
      <c r="CA294" s="2" t="e">
        <f ca="1">_xll.BDH($C$278,"BS_LT_BORROW","FQ1 2017","FQ1 2017","Currency=INR","Period=FQ","BEST_FPERIOD_OVERRIDE=FQ","FILING_STATUS=OR","EQY_CONSOLIDATED=Y","SCALING_FORMAT=MLN","Sort=A","Dates=H","DateFormat=P","Fill=—","Direction=H","UseDPDF=Y")</f>
        <v>#NAME?</v>
      </c>
      <c r="CB294" s="1" t="e">
        <f ca="1">_xll.BDH($C$278,"TOT_DEBT_TO_EBITDA","FQ1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94" s="1" t="e">
        <f ca="1">_xll.BDH($C$278,"NET_DEBT_TO_EBITDA","FQ1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94" s="1" t="e">
        <f ca="1">_xll.BDH($C$278,"TOTAL_DEBT_TO_EBIT","FQ1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94" s="1" t="e">
        <f ca="1">_xll.BDH($C$278,"NET_DEBT_TO_EBIT","FQ1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294" s="1" t="e">
        <f ca="1">_xll.BDH($C$278,"EBITDA_TO_INTEREST_EXPN","FQ1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94" s="1" t="e">
        <f ca="1">_xll.BDH($C$278,"COM_EQY_TO_TOT_ASSET","FQ1 2017","FQ1 2017","Currency=INR","Period=FQ","BEST_FPERIOD_OVERRIDE=FQ","FILING_STATUS=OR","EQY_CONSOLIDATED=Y","Sort=A","Dates=H","DateFormat=P","Fill=—","Direction=H","UseDPDF=Y")</f>
        <v>#NAME?</v>
      </c>
      <c r="CH294" s="1" t="e">
        <f ca="1">_xll.BDH($C$278,"LT_DEBT_TO_TOT_EQY","FQ1 2017","FQ1 2017","Currency=INR","Period=FQ","BEST_FPERIOD_OVERRIDE=FQ","FILING_STATUS=OR","EQY_CONSOLIDATED=Y","Sort=A","Dates=H","DateFormat=P","Fill=—","Direction=H","UseDPDF=Y")</f>
        <v>#NAME?</v>
      </c>
      <c r="CI294" s="1" t="e">
        <f ca="1">_xll.BDH($C$278,"LT_DEBT_TO_TOT_CAP","FQ1 2017","FQ1 2017","Currency=INR","Period=FQ","BEST_FPERIOD_OVERRIDE=FQ","FILING_STATUS=OR","EQY_CONSOLIDATED=Y","Sort=A","Dates=H","DateFormat=P","Fill=—","Direction=H","UseDPDF=Y")</f>
        <v>#NAME?</v>
      </c>
      <c r="CJ294" s="1" t="e">
        <f ca="1">_xll.BDH($C$278,"LT_DEBT_TO_TOT_ASSET","FQ1 2017","FQ1 2017","Currency=INR","Period=FQ","BEST_FPERIOD_OVERRIDE=FQ","FILING_STATUS=OR","EQY_CONSOLIDATED=Y","Sort=A","Dates=H","DateFormat=P","Fill=—","Direction=H","UseDPDF=Y")</f>
        <v>#NAME?</v>
      </c>
      <c r="CK294" s="1" t="e">
        <f ca="1">_xll.BDH($C$278,"TOT_DEBT_TO_TOT_EQY","FQ1 2017","FQ1 2017","Currency=INR","Period=FQ","BEST_FPERIOD_OVERRIDE=FQ","FILING_STATUS=OR","EQY_CONSOLIDATED=Y","Sort=A","Dates=H","DateFormat=P","Fill=—","Direction=H","UseDPDF=Y")</f>
        <v>#NAME?</v>
      </c>
      <c r="CL294" s="1" t="e">
        <f ca="1">_xll.BDH($C$278,"TOT_DEBT_TO_TOT_CAP","FQ1 2017","FQ1 2017","Currency=INR","Period=FQ","BEST_FPERIOD_OVERRIDE=FQ","FILING_STATUS=OR","EQY_CONSOLIDATED=Y","Sort=A","Dates=H","DateFormat=P","Fill=—","Direction=H","UseDPDF=Y")</f>
        <v>#NAME?</v>
      </c>
      <c r="CM294" s="1" t="e">
        <f ca="1">_xll.BDH($C$278,"TOT_DEBT_TO_TOT_ASSET","FQ1 2017","FQ1 2017","Currency=INR","Period=FQ","BEST_FPERIOD_OVERRIDE=FQ","FILING_STATUS=OR","EQY_CONSOLIDATED=Y","Sort=A","Dates=H","DateFormat=P","Fill=—","Direction=H","UseDPDF=Y")</f>
        <v>#NAME?</v>
      </c>
      <c r="CN294" s="1" t="e">
        <f ca="1">_xll.BDH($C$278,"NET_DEBT_TO_SHRHLDR_EQTY","FQ1 2017","FQ1 2017","Currency=INR","Period=FQ","BEST_FPERIOD_OVERRIDE=FQ","FILING_STATUS=OR","EQY_CONSOLIDATED=Y","Sort=A","Dates=H","DateFormat=P","Fill=—","Direction=H","UseDPDF=Y")</f>
        <v>#NAME?</v>
      </c>
      <c r="CO294" s="1" t="e">
        <f ca="1">_xll.BDH($C$278,"NET_DEBT_%_CAPITAL","FQ1 2017","FQ1 2017","Currency=INR","Period=FQ","BEST_FPERIOD_OVERRIDE=FQ","FILING_STATUS=OR","EQY_CONSOLIDATED=Y","Sort=A","Dates=H","DateFormat=P","Fill=—","Direction=H","UseDPDF=Y")</f>
        <v>#NAME?</v>
      </c>
      <c r="CP294" s="2" t="e">
        <f ca="1">_xll.BDH($C$278,"EBITDA","FQ1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94" s="2" t="e">
        <f ca="1">_xll.BDH($C$278,"EBITDA_AFTER_CAPEX","FQ1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94" s="2" t="e">
        <f ca="1">_xll.BDH($C$278,"IS_OPER_INC","FQ1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94" s="1" t="e">
        <f ca="1">_xll.BDH($C$278,"CASH_RATIO","FQ1 2017","FQ1 2017","Currency=INR","Period=FQ","BEST_FPERIOD_OVERRIDE=FQ","FILING_STATUS=OR","EQY_CONSOLIDATED=Y","Sort=A","Dates=H","DateFormat=P","Fill=—","Direction=H","UseDPDF=Y")</f>
        <v>#NAME?</v>
      </c>
      <c r="CT294" s="1" t="e">
        <f ca="1">_xll.BDH($C$278,"CUR_RATIO","FQ1 2017","FQ1 2017","Currency=INR","Period=FQ","BEST_FPERIOD_OVERRIDE=FQ","FILING_STATUS=OR","EQY_CONSOLIDATED=Y","Sort=A","Dates=H","DateFormat=P","Fill=—","Direction=H","UseDPDF=Y")</f>
        <v>#NAME?</v>
      </c>
      <c r="CU294" s="1" t="e">
        <f ca="1">_xll.BDH($C$278,"QUICK_RATIO","FQ1 2017","FQ1 2017","Currency=INR","Period=FQ","BEST_FPERIOD_OVERRIDE=FQ","FILING_STATUS=OR","EQY_CONSOLIDATED=Y","Sort=A","Dates=H","DateFormat=P","Fill=—","Direction=H","UseDPDF=Y")</f>
        <v>#NAME?</v>
      </c>
      <c r="CV294" s="1" t="e">
        <f ca="1">_xll.BDH($C$278,"ALTMAN_Z_SCORE","FQ1 2017","FQ1 2017","Currency=INR","Period=FQ","BEST_FPERIOD_OVERRIDE=FQ","FILING_STATUS=OR","EQY_CONSOLIDATED=Y","Sort=A","Dates=H","DateFormat=P","Fill=—","Direction=H","UseDPDF=Y")</f>
        <v>#NAME?</v>
      </c>
      <c r="CW294" s="3" t="e">
        <f ca="1">_xll.BDH($C$278,"ACCT_RCV_TURN","FQ1 2017","FQ1 2017","Currency=INR","Period=FQ","BEST_FPERIOD_OVERRIDE=FQ","FILING_STATUS=OR","EQY_CONSOLIDATED=Y","FA_ADJUSTED=GAAP","Sort=A","Dates=H","DateFormat=P","Fill=—","Direction=H","UseDPDF=Y")</f>
        <v>#NAME?</v>
      </c>
      <c r="CX294" s="1" t="e">
        <f ca="1">_xll.BDH($C$278,"ACCT_RCV_DAYS","FQ1 2017","FQ1 2017","Currency=INR","Period=FQ","BEST_FPERIOD_OVERRIDE=FQ","FILING_STATUS=OR","EQY_CONSOLIDATED=Y","FA_ADJUSTED=GAAP","Sort=A","Dates=H","DateFormat=P","Fill=—","Direction=H","UseDPDF=Y")</f>
        <v>#NAME?</v>
      </c>
      <c r="CY294" s="3" t="e">
        <f ca="1">_xll.BDH($C$278,"INVENT_TURN","FQ1 2017","FQ1 2017","Currency=INR","Period=FQ","BEST_FPERIOD_OVERRIDE=FQ","FILING_STATUS=OR","EQY_CONSOLIDATED=Y","FA_ADJUSTED=GAAP","Sort=A","Dates=H","DateFormat=P","Fill=—","Direction=H","UseDPDF=Y")</f>
        <v>#NAME?</v>
      </c>
      <c r="CZ294" s="1" t="e">
        <f ca="1">_xll.BDH($C$278,"INVENT_DAYS","FQ1 2017","FQ1 2017","Currency=INR","Period=FQ","BEST_FPERIOD_OVERRIDE=FQ","FILING_STATUS=OR","EQY_CONSOLIDATED=Y","FA_ADJUSTED=GAAP","Sort=A","Dates=H","DateFormat=P","Fill=—","Direction=H","UseDPDF=Y")</f>
        <v>#NAME?</v>
      </c>
      <c r="DA294" s="3" t="e">
        <f ca="1">_xll.BDH($C$278,"ACCOUNTS_PAYABLE_TURNOVER","FQ1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94" s="1" t="e">
        <f ca="1">_xll.BDH($C$278,"ACCOUNTS_PAYABLE_TURNOVER_DAYS","FQ1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94" s="3" t="e">
        <f ca="1">_xll.BDH($C$278,"CASH_CONVERSION_CYCLE","FQ1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94" s="3" t="e">
        <f ca="1">_xll.BDH($C$278,"INV_TO_CASH_DAYS","FQ1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294" s="4" t="e">
        <f ca="1">_xll.BDH($C$278,"BS_INVENTORIES","FQ1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294" s="2" t="e">
        <f ca="1">_xll.BDH($C$278,"INVTRY_RAW_MATERIALS","FQ1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94" s="2" t="e">
        <f ca="1">_xll.BDH($C$278,"INVTRY_IN_PROGRESS","FQ1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94" s="2" t="e">
        <f ca="1">_xll.BDH($C$278,"INVTRY_FINISHED_GOODS","FQ1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94" s="2" t="e">
        <f ca="1">_xll.BDH($C$278,"BS_OTHER_INV","FQ1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95" spans="1:113" x14ac:dyDescent="0.3">
      <c r="A295" s="6"/>
      <c r="B295" s="6"/>
      <c r="C295" s="6"/>
      <c r="D295" s="6"/>
      <c r="E295" t="s">
        <v>5</v>
      </c>
      <c r="F295" t="e">
        <f ca="1">_xll.BDH($C$278,"RETURN_COM_EQY","FQ2 2017","FQ2 2017","Currency=INR","Period=FQ","BEST_FPERIOD_OVERRIDE=FQ","FILING_STATUS=OR","EQY_CONSOLIDATED=Y","FA_ADJUSTED=GAAP","Sort=A","Dates=H","DateFormat=P","Fill=—","Direction=H","UseDPDF=Y")</f>
        <v>#NAME?</v>
      </c>
      <c r="G295" t="e">
        <f ca="1">_xll.BDH($C$278,"RETURN_ON_ASSET","FQ2 2017","FQ2 2017","Currency=INR","Period=FQ","BEST_FPERIOD_OVERRIDE=FQ","FILING_STATUS=OR","EQY_CONSOLIDATED=Y","FA_ADJUSTED=GAAP","Sort=A","Dates=H","DateFormat=P","Fill=—","Direction=H","UseDPDF=Y")</f>
        <v>#NAME?</v>
      </c>
      <c r="H295" t="e">
        <f ca="1">_xll.BDH($C$278,"RETURN_ON_CAP","FQ2 2017","FQ2 2017","Currency=INR","Period=FQ","BEST_FPERIOD_OVERRIDE=FQ","FILING_STATUS=OR","EQY_CONSOLIDATED=Y","FA_ADJUSTED=GAAP","Sort=A","Dates=H","DateFormat=P","Fill=—","Direction=H","UseDPDF=Y")</f>
        <v>#NAME?</v>
      </c>
      <c r="I295" t="e">
        <f ca="1">_xll.BDH($C$278,"RETURN_ON_INV_CAPITAL","FQ2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95" t="e">
        <f ca="1">_xll.BDH($C$278,"EBITDA_TO_REVENUE","FQ2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295" t="e">
        <f ca="1">_xll.BDH($C$278,"OPER_MARGIN","FQ2 2017","FQ2 2017","Currency=INR","Period=FQ","BEST_FPERIOD_OVERRIDE=FQ","FILING_STATUS=OR","EQY_CONSOLIDATED=Y","FA_ADJUSTED=GAAP","Sort=A","Dates=H","DateFormat=P","Fill=—","Direction=H","UseDPDF=Y")</f>
        <v>#NAME?</v>
      </c>
      <c r="L295" t="e">
        <f ca="1">_xll.BDH($C$278,"INCREMENTAL_OPERATING_MARGIN","FQ2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95" t="e">
        <f ca="1">_xll.BDH($C$278,"PRETAX_INC_TO_NET_SALES","FQ2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95" t="e">
        <f ca="1">_xll.BDH($C$278,"INC_BEF_XO_ITEMS_TO_NET_SALES","FQ2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95" t="e">
        <f ca="1">_xll.BDH($C$278,"PROF_MARGIN","FQ2 2017","FQ2 2017","Currency=INR","Period=FQ","BEST_FPERIOD_OVERRIDE=FQ","FILING_STATUS=OR","EQY_CONSOLIDATED=Y","FA_ADJUSTED=GAAP","Sort=A","Dates=H","DateFormat=P","Fill=—","Direction=H","UseDPDF=Y")</f>
        <v>#NAME?</v>
      </c>
      <c r="P295" t="e">
        <f ca="1">_xll.BDH($C$278,"NET_INCOME_TO_COMMON_MARGIN","FQ2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95" t="e">
        <f ca="1">_xll.BDH($C$278,"EFF_TAX_RATE","FQ2 2017","FQ2 2017","Currency=INR","Period=FQ","BEST_FPERIOD_OVERRIDE=FQ","FILING_STATUS=OR","EQY_CONSOLIDATED=Y","FA_ADJUSTED=GAAP","Sort=A","Dates=H","DateFormat=P","Fill=—","Direction=H","UseDPDF=Y")</f>
        <v>#NAME?</v>
      </c>
      <c r="R295" t="e">
        <f ca="1">_xll.BDH($C$278,"DVD_PAYOUT_RATIO","FQ2 2017","FQ2 2017","Currency=INR","Period=FQ","BEST_FPERIOD_OVERRIDE=FQ","FILING_STATUS=OR","EQY_CONSOLIDATED=Y","FA_ADJUSTED=GAAP","Sort=A","Dates=H","DateFormat=P","Fill=—","Direction=H","UseDPDF=Y")</f>
        <v>#NAME?</v>
      </c>
      <c r="S295" t="e">
        <f ca="1">_xll.BDH($C$278,"SUSTAIN_GROWTH_RT","FQ2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295" s="1" t="e">
        <f ca="1">_xll.BDH($C$278,"SALES_GROWTH","FQ2 2017","FQ2 2017","Currency=INR","Period=FQ","BEST_FPERIOD_OVERRIDE=FQ","FILING_STATUS=OR","EQY_CONSOLIDATED=Y","FA_ADJUSTED=GAAP","Sort=A","Dates=H","DateFormat=P","Fill=—","Direction=H","UseDPDF=Y")</f>
        <v>#NAME?</v>
      </c>
      <c r="U295" s="1" t="e">
        <f ca="1">_xll.BDH($C$278,"EBITDA_GROWTH","FQ2 2017","FQ2 2017","Currency=INR","Period=FQ","BEST_FPERIOD_OVERRIDE=FQ","FILING_STATUS=OR","EQY_CONSOLIDATED=Y","FA_ADJUSTED=GAAP","Sort=A","Dates=H","DateFormat=P","Fill=—","Direction=H","UseDPDF=Y")</f>
        <v>#NAME?</v>
      </c>
      <c r="V295" s="1" t="e">
        <f ca="1">_xll.BDH($C$278,"OPER_INC_GROWTH","FQ2 2017","FQ2 2017","Currency=INR","Period=FQ","BEST_FPERIOD_OVERRIDE=FQ","FILING_STATUS=OR","EQY_CONSOLIDATED=Y","FA_ADJUSTED=GAAP","Sort=A","Dates=H","DateFormat=P","Fill=—","Direction=H","UseDPDF=Y")</f>
        <v>#NAME?</v>
      </c>
      <c r="W295" s="1" t="e">
        <f ca="1">_xll.BDH($C$278,"EARN_FOR_COM_GROWTH","FQ2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95" s="1" t="e">
        <f ca="1">_xll.BDH($C$278,"DILUTED_EPS_AFT_XO_ITEMS_GROWTH","FQ2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95" s="1" t="e">
        <f ca="1">_xll.BDH($C$278,"DIVIDEND_PER_SHARE_1_YEAR_GROWTH","FQ2 2017","FQ2 2017","Currency=INR","Period=FQ","BEST_FPERIOD_OVERRIDE=FQ","FILING_STATUS=OR","EQY_CONSOLIDATED=Y","Sort=A","Dates=H","DateFormat=P","Fill=—","Direction=H","UseDPDF=Y")</f>
        <v>#NAME?</v>
      </c>
      <c r="Z295" s="1" t="e">
        <f ca="1">_xll.BDH($C$278,"ACCOUNTS_RECEIVABLE_GROWTH","FQ2 2017","FQ2 2017","Currency=INR","Period=FQ","BEST_FPERIOD_OVERRIDE=FQ","FILING_STATUS=OR","EQY_CONSOLIDATED=Y","Sort=A","Dates=H","DateFormat=P","Fill=—","Direction=H","UseDPDF=Y")</f>
        <v>#NAME?</v>
      </c>
      <c r="AA295" s="1" t="e">
        <f ca="1">_xll.BDH($C$278,"INVENTORY_GROWTH","FQ2 2017","FQ2 2017","Currency=INR","Period=FQ","BEST_FPERIOD_OVERRIDE=FQ","FILING_STATUS=OR","EQY_CONSOLIDATED=Y","Sort=A","Dates=H","DateFormat=P","Fill=—","Direction=H","UseDPDF=Y")</f>
        <v>#NAME?</v>
      </c>
      <c r="AB295" s="1" t="e">
        <f ca="1">_xll.BDH($C$278,"NET_FIXED_ASSETS_1_YEAR_GROWTH","FQ2 2017","FQ2 2017","Currency=INR","Period=FQ","BEST_FPERIOD_OVERRIDE=FQ","FILING_STATUS=OR","EQY_CONSOLIDATED=Y","Sort=A","Dates=H","DateFormat=P","Fill=—","Direction=H","UseDPDF=Y")</f>
        <v>#NAME?</v>
      </c>
      <c r="AC295" s="1" t="e">
        <f ca="1">_xll.BDH($C$278,"ASSET_GROWTH","FQ2 2017","FQ2 2017","Currency=INR","Period=FQ","BEST_FPERIOD_OVERRIDE=FQ","FILING_STATUS=OR","EQY_CONSOLIDATED=Y","Sort=A","Dates=H","DateFormat=P","Fill=—","Direction=H","UseDPDF=Y")</f>
        <v>#NAME?</v>
      </c>
      <c r="AD295" s="1" t="e">
        <f ca="1">_xll.BDH($C$278,"MODIFIED_WORK_CAP_GROWTH","FQ2 2017","FQ2 2017","Currency=INR","Period=FQ","BEST_FPERIOD_OVERRIDE=FQ","FILING_STATUS=OR","EQY_CONSOLIDATED=Y","Sort=A","Dates=H","DateFormat=P","Fill=—","Direction=H","UseDPDF=Y")</f>
        <v>#NAME?</v>
      </c>
      <c r="AE295" s="1" t="e">
        <f ca="1">_xll.BDH($C$278,"WORK_CAP_GROWTH","FQ2 2017","FQ2 2017","Currency=INR","Period=FQ","BEST_FPERIOD_OVERRIDE=FQ","FILING_STATUS=OR","EQY_CONSOLIDATED=Y","Sort=A","Dates=H","DateFormat=P","Fill=—","Direction=H","UseDPDF=Y")</f>
        <v>#NAME?</v>
      </c>
      <c r="AF295" s="1" t="e">
        <f ca="1">_xll.BDH($C$278,"ACCOUNTS_PAYABLE_GROWTH_1YR","FQ2 2017","FQ2 2017","Currency=INR","Period=FQ","BEST_FPERIOD_OVERRIDE=FQ","FILING_STATUS=OR","EQY_CONSOLIDATED=Y","Sort=A","Dates=H","DateFormat=P","Fill=—","Direction=H","UseDPDF=Y")</f>
        <v>#NAME?</v>
      </c>
      <c r="AG295" s="1" t="e">
        <f ca="1">_xll.BDH($C$278,"SHORT_TERM_DEBT_1_YEAR_GROWTH","FQ2 2017","FQ2 2017","Currency=INR","Period=FQ","BEST_FPERIOD_OVERRIDE=FQ","FILING_STATUS=OR","EQY_CONSOLIDATED=Y","Sort=A","Dates=H","DateFormat=P","Fill=—","Direction=H","UseDPDF=Y")</f>
        <v>#NAME?</v>
      </c>
      <c r="AH295" s="1" t="e">
        <f ca="1">_xll.BDH($C$278,"TOTAL_DEBT_1_YEAR_GROWTH","FQ2 2017","FQ2 2017","Currency=INR","Period=FQ","BEST_FPERIOD_OVERRIDE=FQ","FILING_STATUS=OR","EQY_CONSOLIDATED=Y","Sort=A","Dates=H","DateFormat=P","Fill=—","Direction=H","UseDPDF=Y")</f>
        <v>#NAME?</v>
      </c>
      <c r="AI295" s="1" t="e">
        <f ca="1">_xll.BDH($C$278,"TOTAL_EQUITY_1_YEAR_GROWTH","FQ2 2017","FQ2 2017","Currency=INR","Period=FQ","BEST_FPERIOD_OVERRIDE=FQ","FILING_STATUS=OR","EQY_CONSOLIDATED=Y","Sort=A","Dates=H","DateFormat=P","Fill=—","Direction=H","UseDPDF=Y")</f>
        <v>#NAME?</v>
      </c>
      <c r="AJ295" s="1" t="e">
        <f ca="1">_xll.BDH($C$278,"GROWTH_IN_CAP","FQ2 2017","FQ2 2017","Currency=INR","Period=FQ","BEST_FPERIOD_OVERRIDE=FQ","FILING_STATUS=OR","EQY_CONSOLIDATED=Y","Sort=A","Dates=H","DateFormat=P","Fill=—","Direction=H","UseDPDF=Y")</f>
        <v>#NAME?</v>
      </c>
      <c r="AK295" s="1" t="e">
        <f ca="1">_xll.BDH($C$278,"BVPS_GROWTH","FQ2 2017","FQ2 2017","Currency=INR","Period=FQ","BEST_FPERIOD_OVERRIDE=FQ","FILING_STATUS=OR","EQY_CONSOLIDATED=Y","Sort=A","Dates=H","DateFormat=P","Fill=—","Direction=H","UseDPDF=Y")</f>
        <v>#NAME?</v>
      </c>
      <c r="AL295" s="1" t="e">
        <f ca="1">_xll.BDH($C$278,"CASH_FLOW_GROWTH","FQ2 2017","FQ2 2017","Currency=INR","Period=FQ","BEST_FPERIOD_OVERRIDE=FQ","FILING_STATUS=OR","EQY_CONSOLIDATED=Y","Sort=A","Dates=H","DateFormat=P","Fill=—","Direction=H","UseDPDF=Y")</f>
        <v>#NAME?</v>
      </c>
      <c r="AM295" s="1" t="e">
        <f ca="1">_xll.BDH($C$278,"GEO_GROW_NET_SALES","FQ2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95" s="1" t="e">
        <f ca="1">_xll.BDH($C$278,"GEO_GROW_EBITDA","FQ2 2017","FQ2 2017","Currency=INR","Period=FQ","BEST_FPERIOD_OVERRIDE=FQ","FILING_STATUS=OR","EQY_CONSOLIDATED=Y","FA_ADJUSTED=GAAP","Sort=A","Dates=H","DateFormat=P","Fill=—","Direction=H","UseDPDF=Y")</f>
        <v>#NAME?</v>
      </c>
      <c r="AO295" s="1" t="e">
        <f ca="1">_xll.BDH($C$278,"GEO_GROW_OPER_INC","FQ2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95" s="1" t="e">
        <f ca="1">_xll.BDH($C$278,"NET_INCOME_TO_COMMON_5_YR_GROWTH","FQ2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95" s="1" t="e">
        <f ca="1">_xll.BDH($C$278,"5Y_GEO_GROWTH_DILUTED_EPS","FQ2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95" s="1" t="e">
        <f ca="1">_xll.BDH($C$278,"GEO_GROW_DVD_PER_SH","FQ2 2017","FQ2 2017","Currency=INR","Period=FQ","BEST_FPERIOD_OVERRIDE=FQ","FILING_STATUS=OR","EQY_CONSOLIDATED=Y","Sort=A","Dates=H","DateFormat=P","Fill=—","Direction=H","UseDPDF=Y")</f>
        <v>#NAME?</v>
      </c>
      <c r="AS295" s="1" t="e">
        <f ca="1">_xll.BDH($C$278,"ACCOUNTS_RECEIVABLE_5_YR_GROWTH","FQ2 2017","FQ2 2017","Currency=INR","Period=FQ","BEST_FPERIOD_OVERRIDE=FQ","FILING_STATUS=OR","EQY_CONSOLIDATED=Y","Sort=A","Dates=H","DateFormat=P","Fill=—","Direction=H","UseDPDF=Y")</f>
        <v>#NAME?</v>
      </c>
      <c r="AT295" s="1" t="e">
        <f ca="1">_xll.BDH($C$278,"INVENTORY_5_YEAR_GROWTH","FQ2 2017","FQ2 2017","Currency=INR","Period=FQ","BEST_FPERIOD_OVERRIDE=FQ","FILING_STATUS=OR","EQY_CONSOLIDATED=Y","Sort=A","Dates=H","DateFormat=P","Fill=—","Direction=H","UseDPDF=Y")</f>
        <v>#NAME?</v>
      </c>
      <c r="AU295" s="1" t="e">
        <f ca="1">_xll.BDH($C$278,"NET_FIXED_ASSETS_5_YEAR_GROWTH","FQ2 2017","FQ2 2017","Currency=INR","Period=FQ","BEST_FPERIOD_OVERRIDE=FQ","FILING_STATUS=OR","EQY_CONSOLIDATED=Y","Sort=A","Dates=H","DateFormat=P","Fill=—","Direction=H","UseDPDF=Y")</f>
        <v>#NAME?</v>
      </c>
      <c r="AV295" s="1" t="e">
        <f ca="1">_xll.BDH($C$278,"GEO_GROW_TOT_ASSET","FQ2 2017","FQ2 2017","Currency=INR","Period=FQ","BEST_FPERIOD_OVERRIDE=FQ","FILING_STATUS=OR","EQY_CONSOLIDATED=Y","Sort=A","Dates=H","DateFormat=P","Fill=—","Direction=H","UseDPDF=Y")</f>
        <v>#NAME?</v>
      </c>
      <c r="AW295" s="1" t="e">
        <f ca="1">_xll.BDH($C$278,"MODIFIED_WORKING_CPTL_5YR_GRWTH","FQ2 2017","FQ2 2017","Currency=INR","Period=FQ","BEST_FPERIOD_OVERRIDE=FQ","FILING_STATUS=OR","EQY_CONSOLIDATED=Y","Sort=A","Dates=H","DateFormat=P","Fill=—","Direction=H","UseDPDF=Y")</f>
        <v>#NAME?</v>
      </c>
      <c r="AX295" s="1" t="e">
        <f ca="1">_xll.BDH($C$278,"WORKING_CAPITAL_5_YEAR_GROWTH","FQ2 2017","FQ2 2017","Currency=INR","Period=FQ","BEST_FPERIOD_OVERRIDE=FQ","FILING_STATUS=OR","EQY_CONSOLIDATED=Y","Sort=A","Dates=H","DateFormat=P","Fill=—","Direction=H","UseDPDF=Y")</f>
        <v>#NAME?</v>
      </c>
      <c r="AY295" s="1" t="e">
        <f ca="1">_xll.BDH($C$278,"ACCOUNTS_PAYABLE_5_YEAR_GROWTH","FQ2 2017","FQ2 2017","Currency=INR","Period=FQ","BEST_FPERIOD_OVERRIDE=FQ","FILING_STATUS=OR","EQY_CONSOLIDATED=Y","Sort=A","Dates=H","DateFormat=P","Fill=—","Direction=H","UseDPDF=Y")</f>
        <v>#NAME?</v>
      </c>
      <c r="AZ295" s="1" t="e">
        <f ca="1">_xll.BDH($C$278,"SHORT_TERM_DEBT_5_YEAR_GROWTH","FQ2 2017","FQ2 2017","Currency=INR","Period=FQ","BEST_FPERIOD_OVERRIDE=FQ","FILING_STATUS=OR","EQY_CONSOLIDATED=Y","Sort=A","Dates=H","DateFormat=P","Fill=—","Direction=H","UseDPDF=Y")</f>
        <v>#NAME?</v>
      </c>
      <c r="BA295" s="1" t="e">
        <f ca="1">_xll.BDH($C$278,"TOTAL_DEBT_5_YEAR_GROWTH","FQ2 2017","FQ2 2017","Currency=INR","Period=FQ","BEST_FPERIOD_OVERRIDE=FQ","FILING_STATUS=OR","EQY_CONSOLIDATED=Y","Sort=A","Dates=H","DateFormat=P","Fill=—","Direction=H","UseDPDF=Y")</f>
        <v>#NAME?</v>
      </c>
      <c r="BB295" s="1" t="e">
        <f ca="1">_xll.BDH($C$278,"GEO_GROW_TOT_SHRHLDR_EQY","FQ2 2017","FQ2 2017","Currency=INR","Period=FQ","BEST_FPERIOD_OVERRIDE=FQ","FILING_STATUS=OR","EQY_CONSOLIDATED=Y","Sort=A","Dates=H","DateFormat=P","Fill=—","Direction=H","UseDPDF=Y")</f>
        <v>#NAME?</v>
      </c>
      <c r="BC295" s="1" t="e">
        <f ca="1">_xll.BDH($C$278,"TOTAL_CAPITAL_5_YEAR_GROWTH","FQ2 2017","FQ2 2017","Currency=INR","Period=FQ","BEST_FPERIOD_OVERRIDE=FQ","FILING_STATUS=OR","EQY_CONSOLIDATED=Y","Sort=A","Dates=H","DateFormat=P","Fill=—","Direction=H","UseDPDF=Y")</f>
        <v>#NAME?</v>
      </c>
      <c r="BD295" s="1" t="e">
        <f ca="1">_xll.BDH($C$278,"GEO_GROW_BOOK_VAL","FQ2 2017","FQ2 2017","Currency=INR","Period=FQ","BEST_FPERIOD_OVERRIDE=FQ","FILING_STATUS=OR","EQY_CONSOLIDATED=Y","Sort=A","Dates=H","DateFormat=P","Fill=—","Direction=H","UseDPDF=Y")</f>
        <v>#NAME?</v>
      </c>
      <c r="BE295" s="1" t="e">
        <f ca="1">_xll.BDH($C$278,"GEO_GROW_CASH_OPER_ACT","FQ2 2017","FQ2 2017","Currency=INR","Period=FQ","BEST_FPERIOD_OVERRIDE=FQ","FILING_STATUS=OR","EQY_CONSOLIDATED=Y","Sort=A","Dates=H","DateFormat=P","Fill=—","Direction=H","UseDPDF=Y")</f>
        <v>#NAME?</v>
      </c>
      <c r="BF295" s="1" t="e">
        <f ca="1">_xll.BDH($C$278,"REVENUE_SEQUENTIAL_GROWTH","FQ2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95" s="1" t="e">
        <f ca="1">_xll.BDH($C$278,"EBITDA_SEQUENTIAL_GROWTH","FQ2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95" s="1" t="e">
        <f ca="1">_xll.BDH($C$278,"OPERATING_INCOME_SEQ_GROWTH","FQ2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95" s="1" t="e">
        <f ca="1">_xll.BDH($C$278,"NET_INCOME_TO_COMMON_SEQ_GROWTH","FQ2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95" s="1" t="e">
        <f ca="1">_xll.BDH($C$278,"EPS_DILUTED_SEQUENTIAL_GROWTH","FQ2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95" s="1" t="e">
        <f ca="1">_xll.BDH($C$278,"DPS_SEQUENTIAL_GROWTH","FQ2 2017","FQ2 2017","Currency=INR","Period=FQ","BEST_FPERIOD_OVERRIDE=FQ","FILING_STATUS=OR","EQY_CONSOLIDATED=Y","Sort=A","Dates=H","DateFormat=P","Fill=—","Direction=H","UseDPDF=Y")</f>
        <v>#NAME?</v>
      </c>
      <c r="BL295" s="1" t="e">
        <f ca="1">_xll.BDH($C$278,"ACCOUNTS_RECEIVABLE_SEQ_GROWTH","FQ2 2017","FQ2 2017","Currency=INR","Period=FQ","BEST_FPERIOD_OVERRIDE=FQ","FILING_STATUS=OR","EQY_CONSOLIDATED=Y","Sort=A","Dates=H","DateFormat=P","Fill=—","Direction=H","UseDPDF=Y")</f>
        <v>#NAME?</v>
      </c>
      <c r="BM295" s="1" t="e">
        <f ca="1">_xll.BDH($C$278,"INVENTORY_SEQUENTIAL_GROWTH","FQ2 2017","FQ2 2017","Currency=INR","Period=FQ","BEST_FPERIOD_OVERRIDE=FQ","FILING_STATUS=OR","EQY_CONSOLIDATED=Y","Sort=A","Dates=H","DateFormat=P","Fill=—","Direction=H","UseDPDF=Y")</f>
        <v>#NAME?</v>
      </c>
      <c r="BN295" s="1" t="e">
        <f ca="1">_xll.BDH($C$278,"FIXED_ASSETS_SEQUENTIAL_GROWTH","FQ2 2017","FQ2 2017","Currency=INR","Period=FQ","BEST_FPERIOD_OVERRIDE=FQ","FILING_STATUS=OR","EQY_CONSOLIDATED=Y","Sort=A","Dates=H","DateFormat=P","Fill=—","Direction=H","UseDPDF=Y")</f>
        <v>#NAME?</v>
      </c>
      <c r="BO295" s="1" t="e">
        <f ca="1">_xll.BDH($C$278,"TOTAL_ASSETS_SEQUENTIAL_GROWTH","FQ2 2017","FQ2 2017","Currency=INR","Period=FQ","BEST_FPERIOD_OVERRIDE=FQ","FILING_STATUS=OR","EQY_CONSOLIDATED=Y","Sort=A","Dates=H","DateFormat=P","Fill=—","Direction=H","UseDPDF=Y")</f>
        <v>#NAME?</v>
      </c>
      <c r="BP295" s="1" t="e">
        <f ca="1">_xll.BDH($C$278,"MODIFIED_WORKING_CPTL_SEQ_GRWTH","FQ2 2017","FQ2 2017","Currency=INR","Period=FQ","BEST_FPERIOD_OVERRIDE=FQ","FILING_STATUS=OR","EQY_CONSOLIDATED=Y","Sort=A","Dates=H","DateFormat=P","Fill=—","Direction=H","UseDPDF=Y")</f>
        <v>#NAME?</v>
      </c>
      <c r="BQ295" s="1" t="e">
        <f ca="1">_xll.BDH($C$278,"WORKING_CAPITAL_SEQ_GROWTH","FQ2 2017","FQ2 2017","Currency=INR","Period=FQ","BEST_FPERIOD_OVERRIDE=FQ","FILING_STATUS=OR","EQY_CONSOLIDATED=Y","Sort=A","Dates=H","DateFormat=P","Fill=—","Direction=H","UseDPDF=Y")</f>
        <v>#NAME?</v>
      </c>
      <c r="BR295" s="1" t="e">
        <f ca="1">_xll.BDH($C$278,"ACCOUNTS_PAYABLE_SEQ_GROWTH","FQ2 2017","FQ2 2017","Currency=INR","Period=FQ","BEST_FPERIOD_OVERRIDE=FQ","FILING_STATUS=OR","EQY_CONSOLIDATED=Y","Sort=A","Dates=H","DateFormat=P","Fill=—","Direction=H","UseDPDF=Y")</f>
        <v>#NAME?</v>
      </c>
      <c r="BS295" s="1" t="e">
        <f ca="1">_xll.BDH($C$278,"ST_DEBT_SEQUENTIAL_GROWTH","FQ2 2017","FQ2 2017","Currency=INR","Period=FQ","BEST_FPERIOD_OVERRIDE=FQ","FILING_STATUS=OR","EQY_CONSOLIDATED=Y","Sort=A","Dates=H","DateFormat=P","Fill=—","Direction=H","UseDPDF=Y")</f>
        <v>#NAME?</v>
      </c>
      <c r="BT295" s="1" t="e">
        <f ca="1">_xll.BDH($C$278,"TOTAL_DEBT_SEQUENTIAL_GROWTH","FQ2 2017","FQ2 2017","Currency=INR","Period=FQ","BEST_FPERIOD_OVERRIDE=FQ","FILING_STATUS=OR","EQY_CONSOLIDATED=Y","Sort=A","Dates=H","DateFormat=P","Fill=—","Direction=H","UseDPDF=Y")</f>
        <v>#NAME?</v>
      </c>
      <c r="BU295" s="1" t="e">
        <f ca="1">_xll.BDH($C$278,"TOTAL_EQUITY_SEQUENTIAL_GROWTH","FQ2 2017","FQ2 2017","Currency=INR","Period=FQ","BEST_FPERIOD_OVERRIDE=FQ","FILING_STATUS=OR","EQY_CONSOLIDATED=Y","Sort=A","Dates=H","DateFormat=P","Fill=—","Direction=H","UseDPDF=Y")</f>
        <v>#NAME?</v>
      </c>
      <c r="BV295" s="1" t="e">
        <f ca="1">_xll.BDH($C$278,"TOTAL_CAPITAL_SEQUENTIAL_GROWTH","FQ2 2017","FQ2 2017","Currency=INR","Period=FQ","BEST_FPERIOD_OVERRIDE=FQ","FILING_STATUS=OR","EQY_CONSOLIDATED=Y","Sort=A","Dates=H","DateFormat=P","Fill=—","Direction=H","UseDPDF=Y")</f>
        <v>#NAME?</v>
      </c>
      <c r="BW295" s="1" t="e">
        <f ca="1">_xll.BDH($C$278,"BPS_SEQUENTIAL_GROWTH","FQ2 2017","FQ2 2017","Currency=INR","Period=FQ","BEST_FPERIOD_OVERRIDE=FQ","FILING_STATUS=OR","EQY_CONSOLIDATED=Y","Sort=A","Dates=H","DateFormat=P","Fill=—","Direction=H","UseDPDF=Y")</f>
        <v>#NAME?</v>
      </c>
      <c r="BX295" s="1" t="e">
        <f ca="1">_xll.BDH($C$278,"CFO_SEQUENTIAL_GROWTH","FQ2 2017","FQ2 2017","Currency=INR","Period=FQ","BEST_FPERIOD_OVERRIDE=FQ","FILING_STATUS=OR","EQY_CONSOLIDATED=Y","Sort=A","Dates=H","DateFormat=P","Fill=—","Direction=H","UseDPDF=Y")</f>
        <v>#NAME?</v>
      </c>
      <c r="BY295" s="2" t="e">
        <f ca="1">_xll.BDH($C$278,"SHORT_AND_LONG_TERM_DEBT","FQ2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95" s="2" t="e">
        <f ca="1">_xll.BDH($C$278,"BS_ST_BORROW","FQ2 2017","FQ2 2017","Currency=INR","Period=FQ","BEST_FPERIOD_OVERRIDE=FQ","FILING_STATUS=OR","EQY_CONSOLIDATED=Y","SCALING_FORMAT=MLN","Sort=A","Dates=H","DateFormat=P","Fill=—","Direction=H","UseDPDF=Y")</f>
        <v>#NAME?</v>
      </c>
      <c r="CA295" s="2" t="e">
        <f ca="1">_xll.BDH($C$278,"BS_LT_BORROW","FQ2 2017","FQ2 2017","Currency=INR","Period=FQ","BEST_FPERIOD_OVERRIDE=FQ","FILING_STATUS=OR","EQY_CONSOLIDATED=Y","SCALING_FORMAT=MLN","Sort=A","Dates=H","DateFormat=P","Fill=—","Direction=H","UseDPDF=Y")</f>
        <v>#NAME?</v>
      </c>
      <c r="CB295" s="1" t="e">
        <f ca="1">_xll.BDH($C$278,"TOT_DEBT_TO_EBITDA","FQ2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95" s="1" t="e">
        <f ca="1">_xll.BDH($C$278,"NET_DEBT_TO_EBITDA","FQ2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95" s="1" t="e">
        <f ca="1">_xll.BDH($C$278,"TOTAL_DEBT_TO_EBIT","FQ2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95" s="1" t="e">
        <f ca="1">_xll.BDH($C$278,"NET_DEBT_TO_EBIT","FQ2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295" s="1" t="e">
        <f ca="1">_xll.BDH($C$278,"EBITDA_TO_INTEREST_EXPN","FQ2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95" s="1" t="e">
        <f ca="1">_xll.BDH($C$278,"COM_EQY_TO_TOT_ASSET","FQ2 2017","FQ2 2017","Currency=INR","Period=FQ","BEST_FPERIOD_OVERRIDE=FQ","FILING_STATUS=OR","EQY_CONSOLIDATED=Y","Sort=A","Dates=H","DateFormat=P","Fill=—","Direction=H","UseDPDF=Y")</f>
        <v>#NAME?</v>
      </c>
      <c r="CH295" s="1" t="e">
        <f ca="1">_xll.BDH($C$278,"LT_DEBT_TO_TOT_EQY","FQ2 2017","FQ2 2017","Currency=INR","Period=FQ","BEST_FPERIOD_OVERRIDE=FQ","FILING_STATUS=OR","EQY_CONSOLIDATED=Y","Sort=A","Dates=H","DateFormat=P","Fill=—","Direction=H","UseDPDF=Y")</f>
        <v>#NAME?</v>
      </c>
      <c r="CI295" s="1" t="e">
        <f ca="1">_xll.BDH($C$278,"LT_DEBT_TO_TOT_CAP","FQ2 2017","FQ2 2017","Currency=INR","Period=FQ","BEST_FPERIOD_OVERRIDE=FQ","FILING_STATUS=OR","EQY_CONSOLIDATED=Y","Sort=A","Dates=H","DateFormat=P","Fill=—","Direction=H","UseDPDF=Y")</f>
        <v>#NAME?</v>
      </c>
      <c r="CJ295" s="1" t="e">
        <f ca="1">_xll.BDH($C$278,"LT_DEBT_TO_TOT_ASSET","FQ2 2017","FQ2 2017","Currency=INR","Period=FQ","BEST_FPERIOD_OVERRIDE=FQ","FILING_STATUS=OR","EQY_CONSOLIDATED=Y","Sort=A","Dates=H","DateFormat=P","Fill=—","Direction=H","UseDPDF=Y")</f>
        <v>#NAME?</v>
      </c>
      <c r="CK295" s="1" t="e">
        <f ca="1">_xll.BDH($C$278,"TOT_DEBT_TO_TOT_EQY","FQ2 2017","FQ2 2017","Currency=INR","Period=FQ","BEST_FPERIOD_OVERRIDE=FQ","FILING_STATUS=OR","EQY_CONSOLIDATED=Y","Sort=A","Dates=H","DateFormat=P","Fill=—","Direction=H","UseDPDF=Y")</f>
        <v>#NAME?</v>
      </c>
      <c r="CL295" s="1" t="e">
        <f ca="1">_xll.BDH($C$278,"TOT_DEBT_TO_TOT_CAP","FQ2 2017","FQ2 2017","Currency=INR","Period=FQ","BEST_FPERIOD_OVERRIDE=FQ","FILING_STATUS=OR","EQY_CONSOLIDATED=Y","Sort=A","Dates=H","DateFormat=P","Fill=—","Direction=H","UseDPDF=Y")</f>
        <v>#NAME?</v>
      </c>
      <c r="CM295" s="1" t="e">
        <f ca="1">_xll.BDH($C$278,"TOT_DEBT_TO_TOT_ASSET","FQ2 2017","FQ2 2017","Currency=INR","Period=FQ","BEST_FPERIOD_OVERRIDE=FQ","FILING_STATUS=OR","EQY_CONSOLIDATED=Y","Sort=A","Dates=H","DateFormat=P","Fill=—","Direction=H","UseDPDF=Y")</f>
        <v>#NAME?</v>
      </c>
      <c r="CN295" s="1" t="e">
        <f ca="1">_xll.BDH($C$278,"NET_DEBT_TO_SHRHLDR_EQTY","FQ2 2017","FQ2 2017","Currency=INR","Period=FQ","BEST_FPERIOD_OVERRIDE=FQ","FILING_STATUS=OR","EQY_CONSOLIDATED=Y","Sort=A","Dates=H","DateFormat=P","Fill=—","Direction=H","UseDPDF=Y")</f>
        <v>#NAME?</v>
      </c>
      <c r="CO295" s="1" t="e">
        <f ca="1">_xll.BDH($C$278,"NET_DEBT_%_CAPITAL","FQ2 2017","FQ2 2017","Currency=INR","Period=FQ","BEST_FPERIOD_OVERRIDE=FQ","FILING_STATUS=OR","EQY_CONSOLIDATED=Y","Sort=A","Dates=H","DateFormat=P","Fill=—","Direction=H","UseDPDF=Y")</f>
        <v>#NAME?</v>
      </c>
      <c r="CP295" s="2" t="e">
        <f ca="1">_xll.BDH($C$278,"EBITDA","FQ2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95" s="2" t="e">
        <f ca="1">_xll.BDH($C$278,"EBITDA_AFTER_CAPEX","FQ2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95" s="2" t="e">
        <f ca="1">_xll.BDH($C$278,"IS_OPER_INC","FQ2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95" s="1" t="e">
        <f ca="1">_xll.BDH($C$278,"CASH_RATIO","FQ2 2017","FQ2 2017","Currency=INR","Period=FQ","BEST_FPERIOD_OVERRIDE=FQ","FILING_STATUS=OR","EQY_CONSOLIDATED=Y","Sort=A","Dates=H","DateFormat=P","Fill=—","Direction=H","UseDPDF=Y")</f>
        <v>#NAME?</v>
      </c>
      <c r="CT295" s="1" t="e">
        <f ca="1">_xll.BDH($C$278,"CUR_RATIO","FQ2 2017","FQ2 2017","Currency=INR","Period=FQ","BEST_FPERIOD_OVERRIDE=FQ","FILING_STATUS=OR","EQY_CONSOLIDATED=Y","Sort=A","Dates=H","DateFormat=P","Fill=—","Direction=H","UseDPDF=Y")</f>
        <v>#NAME?</v>
      </c>
      <c r="CU295" s="1" t="e">
        <f ca="1">_xll.BDH($C$278,"QUICK_RATIO","FQ2 2017","FQ2 2017","Currency=INR","Period=FQ","BEST_FPERIOD_OVERRIDE=FQ","FILING_STATUS=OR","EQY_CONSOLIDATED=Y","Sort=A","Dates=H","DateFormat=P","Fill=—","Direction=H","UseDPDF=Y")</f>
        <v>#NAME?</v>
      </c>
      <c r="CV295" s="1" t="e">
        <f ca="1">_xll.BDH($C$278,"ALTMAN_Z_SCORE","FQ2 2017","FQ2 2017","Currency=INR","Period=FQ","BEST_FPERIOD_OVERRIDE=FQ","FILING_STATUS=OR","EQY_CONSOLIDATED=Y","Sort=A","Dates=H","DateFormat=P","Fill=—","Direction=H","UseDPDF=Y")</f>
        <v>#NAME?</v>
      </c>
      <c r="CW295" s="3" t="e">
        <f ca="1">_xll.BDH($C$278,"ACCT_RCV_TURN","FQ2 2017","FQ2 2017","Currency=INR","Period=FQ","BEST_FPERIOD_OVERRIDE=FQ","FILING_STATUS=OR","EQY_CONSOLIDATED=Y","FA_ADJUSTED=GAAP","Sort=A","Dates=H","DateFormat=P","Fill=—","Direction=H","UseDPDF=Y")</f>
        <v>#NAME?</v>
      </c>
      <c r="CX295" s="1" t="e">
        <f ca="1">_xll.BDH($C$278,"ACCT_RCV_DAYS","FQ2 2017","FQ2 2017","Currency=INR","Period=FQ","BEST_FPERIOD_OVERRIDE=FQ","FILING_STATUS=OR","EQY_CONSOLIDATED=Y","FA_ADJUSTED=GAAP","Sort=A","Dates=H","DateFormat=P","Fill=—","Direction=H","UseDPDF=Y")</f>
        <v>#NAME?</v>
      </c>
      <c r="CY295" s="3" t="e">
        <f ca="1">_xll.BDH($C$278,"INVENT_TURN","FQ2 2017","FQ2 2017","Currency=INR","Period=FQ","BEST_FPERIOD_OVERRIDE=FQ","FILING_STATUS=OR","EQY_CONSOLIDATED=Y","FA_ADJUSTED=GAAP","Sort=A","Dates=H","DateFormat=P","Fill=—","Direction=H","UseDPDF=Y")</f>
        <v>#NAME?</v>
      </c>
      <c r="CZ295" s="1" t="e">
        <f ca="1">_xll.BDH($C$278,"INVENT_DAYS","FQ2 2017","FQ2 2017","Currency=INR","Period=FQ","BEST_FPERIOD_OVERRIDE=FQ","FILING_STATUS=OR","EQY_CONSOLIDATED=Y","FA_ADJUSTED=GAAP","Sort=A","Dates=H","DateFormat=P","Fill=—","Direction=H","UseDPDF=Y")</f>
        <v>#NAME?</v>
      </c>
      <c r="DA295" s="3" t="e">
        <f ca="1">_xll.BDH($C$278,"ACCOUNTS_PAYABLE_TURNOVER","FQ2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95" s="1" t="e">
        <f ca="1">_xll.BDH($C$278,"ACCOUNTS_PAYABLE_TURNOVER_DAYS","FQ2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95" s="3" t="e">
        <f ca="1">_xll.BDH($C$278,"CASH_CONVERSION_CYCLE","FQ2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95" s="3" t="e">
        <f ca="1">_xll.BDH($C$278,"INV_TO_CASH_DAYS","FQ2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295" s="4" t="e">
        <f ca="1">_xll.BDH($C$278,"BS_INVENTORIES","FQ2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295" s="2" t="e">
        <f ca="1">_xll.BDH($C$278,"INVTRY_RAW_MATERIALS","FQ2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95" s="2" t="e">
        <f ca="1">_xll.BDH($C$278,"INVTRY_IN_PROGRESS","FQ2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95" s="2" t="e">
        <f ca="1">_xll.BDH($C$278,"INVTRY_FINISHED_GOODS","FQ2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95" s="2" t="e">
        <f ca="1">_xll.BDH($C$278,"BS_OTHER_INV","FQ2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96" spans="1:113" x14ac:dyDescent="0.3">
      <c r="A296" s="6"/>
      <c r="B296" s="6"/>
      <c r="C296" s="6"/>
      <c r="D296" s="6"/>
      <c r="E296" t="s">
        <v>6</v>
      </c>
      <c r="F296" t="e">
        <f ca="1">_xll.BDH($C$278,"RETURN_COM_EQY","FQ3 2017","FQ3 2017","Currency=INR","Period=FQ","BEST_FPERIOD_OVERRIDE=FQ","FILING_STATUS=OR","EQY_CONSOLIDATED=Y","FA_ADJUSTED=GAAP","Sort=A","Dates=H","DateFormat=P","Fill=—","Direction=H","UseDPDF=Y")</f>
        <v>#NAME?</v>
      </c>
      <c r="G296" t="e">
        <f ca="1">_xll.BDH($C$278,"RETURN_ON_ASSET","FQ3 2017","FQ3 2017","Currency=INR","Period=FQ","BEST_FPERIOD_OVERRIDE=FQ","FILING_STATUS=OR","EQY_CONSOLIDATED=Y","FA_ADJUSTED=GAAP","Sort=A","Dates=H","DateFormat=P","Fill=—","Direction=H","UseDPDF=Y")</f>
        <v>#NAME?</v>
      </c>
      <c r="H296" t="e">
        <f ca="1">_xll.BDH($C$278,"RETURN_ON_CAP","FQ3 2017","FQ3 2017","Currency=INR","Period=FQ","BEST_FPERIOD_OVERRIDE=FQ","FILING_STATUS=OR","EQY_CONSOLIDATED=Y","FA_ADJUSTED=GAAP","Sort=A","Dates=H","DateFormat=P","Fill=—","Direction=H","UseDPDF=Y")</f>
        <v>#NAME?</v>
      </c>
      <c r="I296" t="e">
        <f ca="1">_xll.BDH($C$278,"RETURN_ON_INV_CAPITAL","FQ3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96" t="e">
        <f ca="1">_xll.BDH($C$278,"EBITDA_TO_REVENUE","FQ3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296" t="e">
        <f ca="1">_xll.BDH($C$278,"OPER_MARGIN","FQ3 2017","FQ3 2017","Currency=INR","Period=FQ","BEST_FPERIOD_OVERRIDE=FQ","FILING_STATUS=OR","EQY_CONSOLIDATED=Y","FA_ADJUSTED=GAAP","Sort=A","Dates=H","DateFormat=P","Fill=—","Direction=H","UseDPDF=Y")</f>
        <v>#NAME?</v>
      </c>
      <c r="L296" t="e">
        <f ca="1">_xll.BDH($C$278,"INCREMENTAL_OPERATING_MARGIN","FQ3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96" t="e">
        <f ca="1">_xll.BDH($C$278,"PRETAX_INC_TO_NET_SALES","FQ3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96" t="e">
        <f ca="1">_xll.BDH($C$278,"INC_BEF_XO_ITEMS_TO_NET_SALES","FQ3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96" t="e">
        <f ca="1">_xll.BDH($C$278,"PROF_MARGIN","FQ3 2017","FQ3 2017","Currency=INR","Period=FQ","BEST_FPERIOD_OVERRIDE=FQ","FILING_STATUS=OR","EQY_CONSOLIDATED=Y","FA_ADJUSTED=GAAP","Sort=A","Dates=H","DateFormat=P","Fill=—","Direction=H","UseDPDF=Y")</f>
        <v>#NAME?</v>
      </c>
      <c r="P296" t="e">
        <f ca="1">_xll.BDH($C$278,"NET_INCOME_TO_COMMON_MARGIN","FQ3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96" t="e">
        <f ca="1">_xll.BDH($C$278,"EFF_TAX_RATE","FQ3 2017","FQ3 2017","Currency=INR","Period=FQ","BEST_FPERIOD_OVERRIDE=FQ","FILING_STATUS=OR","EQY_CONSOLIDATED=Y","FA_ADJUSTED=GAAP","Sort=A","Dates=H","DateFormat=P","Fill=—","Direction=H","UseDPDF=Y")</f>
        <v>#NAME?</v>
      </c>
      <c r="R296" t="e">
        <f ca="1">_xll.BDH($C$278,"DVD_PAYOUT_RATIO","FQ3 2017","FQ3 2017","Currency=INR","Period=FQ","BEST_FPERIOD_OVERRIDE=FQ","FILING_STATUS=OR","EQY_CONSOLIDATED=Y","FA_ADJUSTED=GAAP","Sort=A","Dates=H","DateFormat=P","Fill=—","Direction=H","UseDPDF=Y")</f>
        <v>#NAME?</v>
      </c>
      <c r="S296" t="e">
        <f ca="1">_xll.BDH($C$278,"SUSTAIN_GROWTH_RT","FQ3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296" s="1" t="e">
        <f ca="1">_xll.BDH($C$278,"SALES_GROWTH","FQ3 2017","FQ3 2017","Currency=INR","Period=FQ","BEST_FPERIOD_OVERRIDE=FQ","FILING_STATUS=OR","EQY_CONSOLIDATED=Y","FA_ADJUSTED=GAAP","Sort=A","Dates=H","DateFormat=P","Fill=—","Direction=H","UseDPDF=Y")</f>
        <v>#NAME?</v>
      </c>
      <c r="U296" s="1" t="e">
        <f ca="1">_xll.BDH($C$278,"EBITDA_GROWTH","FQ3 2017","FQ3 2017","Currency=INR","Period=FQ","BEST_FPERIOD_OVERRIDE=FQ","FILING_STATUS=OR","EQY_CONSOLIDATED=Y","FA_ADJUSTED=GAAP","Sort=A","Dates=H","DateFormat=P","Fill=—","Direction=H","UseDPDF=Y")</f>
        <v>#NAME?</v>
      </c>
      <c r="V296" s="1" t="e">
        <f ca="1">_xll.BDH($C$278,"OPER_INC_GROWTH","FQ3 2017","FQ3 2017","Currency=INR","Period=FQ","BEST_FPERIOD_OVERRIDE=FQ","FILING_STATUS=OR","EQY_CONSOLIDATED=Y","FA_ADJUSTED=GAAP","Sort=A","Dates=H","DateFormat=P","Fill=—","Direction=H","UseDPDF=Y")</f>
        <v>#NAME?</v>
      </c>
      <c r="W296" s="1" t="e">
        <f ca="1">_xll.BDH($C$278,"EARN_FOR_COM_GROWTH","FQ3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96" s="1" t="e">
        <f ca="1">_xll.BDH($C$278,"DILUTED_EPS_AFT_XO_ITEMS_GROWTH","FQ3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96" s="1" t="e">
        <f ca="1">_xll.BDH($C$278,"DIVIDEND_PER_SHARE_1_YEAR_GROWTH","FQ3 2017","FQ3 2017","Currency=INR","Period=FQ","BEST_FPERIOD_OVERRIDE=FQ","FILING_STATUS=OR","EQY_CONSOLIDATED=Y","Sort=A","Dates=H","DateFormat=P","Fill=—","Direction=H","UseDPDF=Y")</f>
        <v>#NAME?</v>
      </c>
      <c r="Z296" s="1" t="e">
        <f ca="1">_xll.BDH($C$278,"ACCOUNTS_RECEIVABLE_GROWTH","FQ3 2017","FQ3 2017","Currency=INR","Period=FQ","BEST_FPERIOD_OVERRIDE=FQ","FILING_STATUS=OR","EQY_CONSOLIDATED=Y","Sort=A","Dates=H","DateFormat=P","Fill=—","Direction=H","UseDPDF=Y")</f>
        <v>#NAME?</v>
      </c>
      <c r="AA296" s="1" t="e">
        <f ca="1">_xll.BDH($C$278,"INVENTORY_GROWTH","FQ3 2017","FQ3 2017","Currency=INR","Period=FQ","BEST_FPERIOD_OVERRIDE=FQ","FILING_STATUS=OR","EQY_CONSOLIDATED=Y","Sort=A","Dates=H","DateFormat=P","Fill=—","Direction=H","UseDPDF=Y")</f>
        <v>#NAME?</v>
      </c>
      <c r="AB296" s="1" t="e">
        <f ca="1">_xll.BDH($C$278,"NET_FIXED_ASSETS_1_YEAR_GROWTH","FQ3 2017","FQ3 2017","Currency=INR","Period=FQ","BEST_FPERIOD_OVERRIDE=FQ","FILING_STATUS=OR","EQY_CONSOLIDATED=Y","Sort=A","Dates=H","DateFormat=P","Fill=—","Direction=H","UseDPDF=Y")</f>
        <v>#NAME?</v>
      </c>
      <c r="AC296" s="1" t="e">
        <f ca="1">_xll.BDH($C$278,"ASSET_GROWTH","FQ3 2017","FQ3 2017","Currency=INR","Period=FQ","BEST_FPERIOD_OVERRIDE=FQ","FILING_STATUS=OR","EQY_CONSOLIDATED=Y","Sort=A","Dates=H","DateFormat=P","Fill=—","Direction=H","UseDPDF=Y")</f>
        <v>#NAME?</v>
      </c>
      <c r="AD296" s="1" t="e">
        <f ca="1">_xll.BDH($C$278,"MODIFIED_WORK_CAP_GROWTH","FQ3 2017","FQ3 2017","Currency=INR","Period=FQ","BEST_FPERIOD_OVERRIDE=FQ","FILING_STATUS=OR","EQY_CONSOLIDATED=Y","Sort=A","Dates=H","DateFormat=P","Fill=—","Direction=H","UseDPDF=Y")</f>
        <v>#NAME?</v>
      </c>
      <c r="AE296" s="1" t="e">
        <f ca="1">_xll.BDH($C$278,"WORK_CAP_GROWTH","FQ3 2017","FQ3 2017","Currency=INR","Period=FQ","BEST_FPERIOD_OVERRIDE=FQ","FILING_STATUS=OR","EQY_CONSOLIDATED=Y","Sort=A","Dates=H","DateFormat=P","Fill=—","Direction=H","UseDPDF=Y")</f>
        <v>#NAME?</v>
      </c>
      <c r="AF296" s="1" t="e">
        <f ca="1">_xll.BDH($C$278,"ACCOUNTS_PAYABLE_GROWTH_1YR","FQ3 2017","FQ3 2017","Currency=INR","Period=FQ","BEST_FPERIOD_OVERRIDE=FQ","FILING_STATUS=OR","EQY_CONSOLIDATED=Y","Sort=A","Dates=H","DateFormat=P","Fill=—","Direction=H","UseDPDF=Y")</f>
        <v>#NAME?</v>
      </c>
      <c r="AG296" s="1" t="e">
        <f ca="1">_xll.BDH($C$278,"SHORT_TERM_DEBT_1_YEAR_GROWTH","FQ3 2017","FQ3 2017","Currency=INR","Period=FQ","BEST_FPERIOD_OVERRIDE=FQ","FILING_STATUS=OR","EQY_CONSOLIDATED=Y","Sort=A","Dates=H","DateFormat=P","Fill=—","Direction=H","UseDPDF=Y")</f>
        <v>#NAME?</v>
      </c>
      <c r="AH296" s="1" t="e">
        <f ca="1">_xll.BDH($C$278,"TOTAL_DEBT_1_YEAR_GROWTH","FQ3 2017","FQ3 2017","Currency=INR","Period=FQ","BEST_FPERIOD_OVERRIDE=FQ","FILING_STATUS=OR","EQY_CONSOLIDATED=Y","Sort=A","Dates=H","DateFormat=P","Fill=—","Direction=H","UseDPDF=Y")</f>
        <v>#NAME?</v>
      </c>
      <c r="AI296" s="1" t="e">
        <f ca="1">_xll.BDH($C$278,"TOTAL_EQUITY_1_YEAR_GROWTH","FQ3 2017","FQ3 2017","Currency=INR","Period=FQ","BEST_FPERIOD_OVERRIDE=FQ","FILING_STATUS=OR","EQY_CONSOLIDATED=Y","Sort=A","Dates=H","DateFormat=P","Fill=—","Direction=H","UseDPDF=Y")</f>
        <v>#NAME?</v>
      </c>
      <c r="AJ296" s="1" t="e">
        <f ca="1">_xll.BDH($C$278,"GROWTH_IN_CAP","FQ3 2017","FQ3 2017","Currency=INR","Period=FQ","BEST_FPERIOD_OVERRIDE=FQ","FILING_STATUS=OR","EQY_CONSOLIDATED=Y","Sort=A","Dates=H","DateFormat=P","Fill=—","Direction=H","UseDPDF=Y")</f>
        <v>#NAME?</v>
      </c>
      <c r="AK296" s="1" t="e">
        <f ca="1">_xll.BDH($C$278,"BVPS_GROWTH","FQ3 2017","FQ3 2017","Currency=INR","Period=FQ","BEST_FPERIOD_OVERRIDE=FQ","FILING_STATUS=OR","EQY_CONSOLIDATED=Y","Sort=A","Dates=H","DateFormat=P","Fill=—","Direction=H","UseDPDF=Y")</f>
        <v>#NAME?</v>
      </c>
      <c r="AL296" s="1" t="e">
        <f ca="1">_xll.BDH($C$278,"CASH_FLOW_GROWTH","FQ3 2017","FQ3 2017","Currency=INR","Period=FQ","BEST_FPERIOD_OVERRIDE=FQ","FILING_STATUS=OR","EQY_CONSOLIDATED=Y","Sort=A","Dates=H","DateFormat=P","Fill=—","Direction=H","UseDPDF=Y")</f>
        <v>#NAME?</v>
      </c>
      <c r="AM296" s="1" t="e">
        <f ca="1">_xll.BDH($C$278,"GEO_GROW_NET_SALES","FQ3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96" s="1" t="e">
        <f ca="1">_xll.BDH($C$278,"GEO_GROW_EBITDA","FQ3 2017","FQ3 2017","Currency=INR","Period=FQ","BEST_FPERIOD_OVERRIDE=FQ","FILING_STATUS=OR","EQY_CONSOLIDATED=Y","FA_ADJUSTED=GAAP","Sort=A","Dates=H","DateFormat=P","Fill=—","Direction=H","UseDPDF=Y")</f>
        <v>#NAME?</v>
      </c>
      <c r="AO296" s="1" t="e">
        <f ca="1">_xll.BDH($C$278,"GEO_GROW_OPER_INC","FQ3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96" s="1" t="e">
        <f ca="1">_xll.BDH($C$278,"NET_INCOME_TO_COMMON_5_YR_GROWTH","FQ3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96" s="1" t="e">
        <f ca="1">_xll.BDH($C$278,"5Y_GEO_GROWTH_DILUTED_EPS","FQ3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96" s="1" t="e">
        <f ca="1">_xll.BDH($C$278,"GEO_GROW_DVD_PER_SH","FQ3 2017","FQ3 2017","Currency=INR","Period=FQ","BEST_FPERIOD_OVERRIDE=FQ","FILING_STATUS=OR","EQY_CONSOLIDATED=Y","Sort=A","Dates=H","DateFormat=P","Fill=—","Direction=H","UseDPDF=Y")</f>
        <v>#NAME?</v>
      </c>
      <c r="AS296" s="1" t="e">
        <f ca="1">_xll.BDH($C$278,"ACCOUNTS_RECEIVABLE_5_YR_GROWTH","FQ3 2017","FQ3 2017","Currency=INR","Period=FQ","BEST_FPERIOD_OVERRIDE=FQ","FILING_STATUS=OR","EQY_CONSOLIDATED=Y","Sort=A","Dates=H","DateFormat=P","Fill=—","Direction=H","UseDPDF=Y")</f>
        <v>#NAME?</v>
      </c>
      <c r="AT296" s="1" t="e">
        <f ca="1">_xll.BDH($C$278,"INVENTORY_5_YEAR_GROWTH","FQ3 2017","FQ3 2017","Currency=INR","Period=FQ","BEST_FPERIOD_OVERRIDE=FQ","FILING_STATUS=OR","EQY_CONSOLIDATED=Y","Sort=A","Dates=H","DateFormat=P","Fill=—","Direction=H","UseDPDF=Y")</f>
        <v>#NAME?</v>
      </c>
      <c r="AU296" s="1" t="e">
        <f ca="1">_xll.BDH($C$278,"NET_FIXED_ASSETS_5_YEAR_GROWTH","FQ3 2017","FQ3 2017","Currency=INR","Period=FQ","BEST_FPERIOD_OVERRIDE=FQ","FILING_STATUS=OR","EQY_CONSOLIDATED=Y","Sort=A","Dates=H","DateFormat=P","Fill=—","Direction=H","UseDPDF=Y")</f>
        <v>#NAME?</v>
      </c>
      <c r="AV296" s="1" t="e">
        <f ca="1">_xll.BDH($C$278,"GEO_GROW_TOT_ASSET","FQ3 2017","FQ3 2017","Currency=INR","Period=FQ","BEST_FPERIOD_OVERRIDE=FQ","FILING_STATUS=OR","EQY_CONSOLIDATED=Y","Sort=A","Dates=H","DateFormat=P","Fill=—","Direction=H","UseDPDF=Y")</f>
        <v>#NAME?</v>
      </c>
      <c r="AW296" s="1" t="e">
        <f ca="1">_xll.BDH($C$278,"MODIFIED_WORKING_CPTL_5YR_GRWTH","FQ3 2017","FQ3 2017","Currency=INR","Period=FQ","BEST_FPERIOD_OVERRIDE=FQ","FILING_STATUS=OR","EQY_CONSOLIDATED=Y","Sort=A","Dates=H","DateFormat=P","Fill=—","Direction=H","UseDPDF=Y")</f>
        <v>#NAME?</v>
      </c>
      <c r="AX296" s="1" t="e">
        <f ca="1">_xll.BDH($C$278,"WORKING_CAPITAL_5_YEAR_GROWTH","FQ3 2017","FQ3 2017","Currency=INR","Period=FQ","BEST_FPERIOD_OVERRIDE=FQ","FILING_STATUS=OR","EQY_CONSOLIDATED=Y","Sort=A","Dates=H","DateFormat=P","Fill=—","Direction=H","UseDPDF=Y")</f>
        <v>#NAME?</v>
      </c>
      <c r="AY296" s="1" t="e">
        <f ca="1">_xll.BDH($C$278,"ACCOUNTS_PAYABLE_5_YEAR_GROWTH","FQ3 2017","FQ3 2017","Currency=INR","Period=FQ","BEST_FPERIOD_OVERRIDE=FQ","FILING_STATUS=OR","EQY_CONSOLIDATED=Y","Sort=A","Dates=H","DateFormat=P","Fill=—","Direction=H","UseDPDF=Y")</f>
        <v>#NAME?</v>
      </c>
      <c r="AZ296" s="1" t="e">
        <f ca="1">_xll.BDH($C$278,"SHORT_TERM_DEBT_5_YEAR_GROWTH","FQ3 2017","FQ3 2017","Currency=INR","Period=FQ","BEST_FPERIOD_OVERRIDE=FQ","FILING_STATUS=OR","EQY_CONSOLIDATED=Y","Sort=A","Dates=H","DateFormat=P","Fill=—","Direction=H","UseDPDF=Y")</f>
        <v>#NAME?</v>
      </c>
      <c r="BA296" s="1" t="e">
        <f ca="1">_xll.BDH($C$278,"TOTAL_DEBT_5_YEAR_GROWTH","FQ3 2017","FQ3 2017","Currency=INR","Period=FQ","BEST_FPERIOD_OVERRIDE=FQ","FILING_STATUS=OR","EQY_CONSOLIDATED=Y","Sort=A","Dates=H","DateFormat=P","Fill=—","Direction=H","UseDPDF=Y")</f>
        <v>#NAME?</v>
      </c>
      <c r="BB296" s="1" t="e">
        <f ca="1">_xll.BDH($C$278,"GEO_GROW_TOT_SHRHLDR_EQY","FQ3 2017","FQ3 2017","Currency=INR","Period=FQ","BEST_FPERIOD_OVERRIDE=FQ","FILING_STATUS=OR","EQY_CONSOLIDATED=Y","Sort=A","Dates=H","DateFormat=P","Fill=—","Direction=H","UseDPDF=Y")</f>
        <v>#NAME?</v>
      </c>
      <c r="BC296" s="1" t="e">
        <f ca="1">_xll.BDH($C$278,"TOTAL_CAPITAL_5_YEAR_GROWTH","FQ3 2017","FQ3 2017","Currency=INR","Period=FQ","BEST_FPERIOD_OVERRIDE=FQ","FILING_STATUS=OR","EQY_CONSOLIDATED=Y","Sort=A","Dates=H","DateFormat=P","Fill=—","Direction=H","UseDPDF=Y")</f>
        <v>#NAME?</v>
      </c>
      <c r="BD296" s="1" t="e">
        <f ca="1">_xll.BDH($C$278,"GEO_GROW_BOOK_VAL","FQ3 2017","FQ3 2017","Currency=INR","Period=FQ","BEST_FPERIOD_OVERRIDE=FQ","FILING_STATUS=OR","EQY_CONSOLIDATED=Y","Sort=A","Dates=H","DateFormat=P","Fill=—","Direction=H","UseDPDF=Y")</f>
        <v>#NAME?</v>
      </c>
      <c r="BE296" s="1" t="e">
        <f ca="1">_xll.BDH($C$278,"GEO_GROW_CASH_OPER_ACT","FQ3 2017","FQ3 2017","Currency=INR","Period=FQ","BEST_FPERIOD_OVERRIDE=FQ","FILING_STATUS=OR","EQY_CONSOLIDATED=Y","Sort=A","Dates=H","DateFormat=P","Fill=—","Direction=H","UseDPDF=Y")</f>
        <v>#NAME?</v>
      </c>
      <c r="BF296" s="1" t="e">
        <f ca="1">_xll.BDH($C$278,"REVENUE_SEQUENTIAL_GROWTH","FQ3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96" s="1" t="e">
        <f ca="1">_xll.BDH($C$278,"EBITDA_SEQUENTIAL_GROWTH","FQ3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96" s="1" t="e">
        <f ca="1">_xll.BDH($C$278,"OPERATING_INCOME_SEQ_GROWTH","FQ3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96" s="1" t="e">
        <f ca="1">_xll.BDH($C$278,"NET_INCOME_TO_COMMON_SEQ_GROWTH","FQ3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96" s="1" t="e">
        <f ca="1">_xll.BDH($C$278,"EPS_DILUTED_SEQUENTIAL_GROWTH","FQ3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96" s="1" t="e">
        <f ca="1">_xll.BDH($C$278,"DPS_SEQUENTIAL_GROWTH","FQ3 2017","FQ3 2017","Currency=INR","Period=FQ","BEST_FPERIOD_OVERRIDE=FQ","FILING_STATUS=OR","EQY_CONSOLIDATED=Y","Sort=A","Dates=H","DateFormat=P","Fill=—","Direction=H","UseDPDF=Y")</f>
        <v>#NAME?</v>
      </c>
      <c r="BL296" s="1" t="e">
        <f ca="1">_xll.BDH($C$278,"ACCOUNTS_RECEIVABLE_SEQ_GROWTH","FQ3 2017","FQ3 2017","Currency=INR","Period=FQ","BEST_FPERIOD_OVERRIDE=FQ","FILING_STATUS=OR","EQY_CONSOLIDATED=Y","Sort=A","Dates=H","DateFormat=P","Fill=—","Direction=H","UseDPDF=Y")</f>
        <v>#NAME?</v>
      </c>
      <c r="BM296" s="1" t="e">
        <f ca="1">_xll.BDH($C$278,"INVENTORY_SEQUENTIAL_GROWTH","FQ3 2017","FQ3 2017","Currency=INR","Period=FQ","BEST_FPERIOD_OVERRIDE=FQ","FILING_STATUS=OR","EQY_CONSOLIDATED=Y","Sort=A","Dates=H","DateFormat=P","Fill=—","Direction=H","UseDPDF=Y")</f>
        <v>#NAME?</v>
      </c>
      <c r="BN296" s="1" t="e">
        <f ca="1">_xll.BDH($C$278,"FIXED_ASSETS_SEQUENTIAL_GROWTH","FQ3 2017","FQ3 2017","Currency=INR","Period=FQ","BEST_FPERIOD_OVERRIDE=FQ","FILING_STATUS=OR","EQY_CONSOLIDATED=Y","Sort=A","Dates=H","DateFormat=P","Fill=—","Direction=H","UseDPDF=Y")</f>
        <v>#NAME?</v>
      </c>
      <c r="BO296" s="1" t="e">
        <f ca="1">_xll.BDH($C$278,"TOTAL_ASSETS_SEQUENTIAL_GROWTH","FQ3 2017","FQ3 2017","Currency=INR","Period=FQ","BEST_FPERIOD_OVERRIDE=FQ","FILING_STATUS=OR","EQY_CONSOLIDATED=Y","Sort=A","Dates=H","DateFormat=P","Fill=—","Direction=H","UseDPDF=Y")</f>
        <v>#NAME?</v>
      </c>
      <c r="BP296" s="1" t="e">
        <f ca="1">_xll.BDH($C$278,"MODIFIED_WORKING_CPTL_SEQ_GRWTH","FQ3 2017","FQ3 2017","Currency=INR","Period=FQ","BEST_FPERIOD_OVERRIDE=FQ","FILING_STATUS=OR","EQY_CONSOLIDATED=Y","Sort=A","Dates=H","DateFormat=P","Fill=—","Direction=H","UseDPDF=Y")</f>
        <v>#NAME?</v>
      </c>
      <c r="BQ296" s="1" t="e">
        <f ca="1">_xll.BDH($C$278,"WORKING_CAPITAL_SEQ_GROWTH","FQ3 2017","FQ3 2017","Currency=INR","Period=FQ","BEST_FPERIOD_OVERRIDE=FQ","FILING_STATUS=OR","EQY_CONSOLIDATED=Y","Sort=A","Dates=H","DateFormat=P","Fill=—","Direction=H","UseDPDF=Y")</f>
        <v>#NAME?</v>
      </c>
      <c r="BR296" s="1" t="e">
        <f ca="1">_xll.BDH($C$278,"ACCOUNTS_PAYABLE_SEQ_GROWTH","FQ3 2017","FQ3 2017","Currency=INR","Period=FQ","BEST_FPERIOD_OVERRIDE=FQ","FILING_STATUS=OR","EQY_CONSOLIDATED=Y","Sort=A","Dates=H","DateFormat=P","Fill=—","Direction=H","UseDPDF=Y")</f>
        <v>#NAME?</v>
      </c>
      <c r="BS296" s="1" t="e">
        <f ca="1">_xll.BDH($C$278,"ST_DEBT_SEQUENTIAL_GROWTH","FQ3 2017","FQ3 2017","Currency=INR","Period=FQ","BEST_FPERIOD_OVERRIDE=FQ","FILING_STATUS=OR","EQY_CONSOLIDATED=Y","Sort=A","Dates=H","DateFormat=P","Fill=—","Direction=H","UseDPDF=Y")</f>
        <v>#NAME?</v>
      </c>
      <c r="BT296" s="1" t="e">
        <f ca="1">_xll.BDH($C$278,"TOTAL_DEBT_SEQUENTIAL_GROWTH","FQ3 2017","FQ3 2017","Currency=INR","Period=FQ","BEST_FPERIOD_OVERRIDE=FQ","FILING_STATUS=OR","EQY_CONSOLIDATED=Y","Sort=A","Dates=H","DateFormat=P","Fill=—","Direction=H","UseDPDF=Y")</f>
        <v>#NAME?</v>
      </c>
      <c r="BU296" s="1" t="e">
        <f ca="1">_xll.BDH($C$278,"TOTAL_EQUITY_SEQUENTIAL_GROWTH","FQ3 2017","FQ3 2017","Currency=INR","Period=FQ","BEST_FPERIOD_OVERRIDE=FQ","FILING_STATUS=OR","EQY_CONSOLIDATED=Y","Sort=A","Dates=H","DateFormat=P","Fill=—","Direction=H","UseDPDF=Y")</f>
        <v>#NAME?</v>
      </c>
      <c r="BV296" s="1" t="e">
        <f ca="1">_xll.BDH($C$278,"TOTAL_CAPITAL_SEQUENTIAL_GROWTH","FQ3 2017","FQ3 2017","Currency=INR","Period=FQ","BEST_FPERIOD_OVERRIDE=FQ","FILING_STATUS=OR","EQY_CONSOLIDATED=Y","Sort=A","Dates=H","DateFormat=P","Fill=—","Direction=H","UseDPDF=Y")</f>
        <v>#NAME?</v>
      </c>
      <c r="BW296" s="1" t="e">
        <f ca="1">_xll.BDH($C$278,"BPS_SEQUENTIAL_GROWTH","FQ3 2017","FQ3 2017","Currency=INR","Period=FQ","BEST_FPERIOD_OVERRIDE=FQ","FILING_STATUS=OR","EQY_CONSOLIDATED=Y","Sort=A","Dates=H","DateFormat=P","Fill=—","Direction=H","UseDPDF=Y")</f>
        <v>#NAME?</v>
      </c>
      <c r="BX296" s="1" t="e">
        <f ca="1">_xll.BDH($C$278,"CFO_SEQUENTIAL_GROWTH","FQ3 2017","FQ3 2017","Currency=INR","Period=FQ","BEST_FPERIOD_OVERRIDE=FQ","FILING_STATUS=OR","EQY_CONSOLIDATED=Y","Sort=A","Dates=H","DateFormat=P","Fill=—","Direction=H","UseDPDF=Y")</f>
        <v>#NAME?</v>
      </c>
      <c r="BY296" s="2" t="e">
        <f ca="1">_xll.BDH($C$278,"SHORT_AND_LONG_TERM_DEBT","FQ3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96" s="2" t="e">
        <f ca="1">_xll.BDH($C$278,"BS_ST_BORROW","FQ3 2017","FQ3 2017","Currency=INR","Period=FQ","BEST_FPERIOD_OVERRIDE=FQ","FILING_STATUS=OR","EQY_CONSOLIDATED=Y","SCALING_FORMAT=MLN","Sort=A","Dates=H","DateFormat=P","Fill=—","Direction=H","UseDPDF=Y")</f>
        <v>#NAME?</v>
      </c>
      <c r="CA296" s="2" t="e">
        <f ca="1">_xll.BDH($C$278,"BS_LT_BORROW","FQ3 2017","FQ3 2017","Currency=INR","Period=FQ","BEST_FPERIOD_OVERRIDE=FQ","FILING_STATUS=OR","EQY_CONSOLIDATED=Y","SCALING_FORMAT=MLN","Sort=A","Dates=H","DateFormat=P","Fill=—","Direction=H","UseDPDF=Y")</f>
        <v>#NAME?</v>
      </c>
      <c r="CB296" s="1" t="e">
        <f ca="1">_xll.BDH($C$278,"TOT_DEBT_TO_EBITDA","FQ3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96" s="1" t="e">
        <f ca="1">_xll.BDH($C$278,"NET_DEBT_TO_EBITDA","FQ3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96" s="1" t="e">
        <f ca="1">_xll.BDH($C$278,"TOTAL_DEBT_TO_EBIT","FQ3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96" s="1" t="e">
        <f ca="1">_xll.BDH($C$278,"NET_DEBT_TO_EBIT","FQ3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296" s="1" t="e">
        <f ca="1">_xll.BDH($C$278,"EBITDA_TO_INTEREST_EXPN","FQ3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96" s="1" t="e">
        <f ca="1">_xll.BDH($C$278,"COM_EQY_TO_TOT_ASSET","FQ3 2017","FQ3 2017","Currency=INR","Period=FQ","BEST_FPERIOD_OVERRIDE=FQ","FILING_STATUS=OR","EQY_CONSOLIDATED=Y","Sort=A","Dates=H","DateFormat=P","Fill=—","Direction=H","UseDPDF=Y")</f>
        <v>#NAME?</v>
      </c>
      <c r="CH296" s="1" t="e">
        <f ca="1">_xll.BDH($C$278,"LT_DEBT_TO_TOT_EQY","FQ3 2017","FQ3 2017","Currency=INR","Period=FQ","BEST_FPERIOD_OVERRIDE=FQ","FILING_STATUS=OR","EQY_CONSOLIDATED=Y","Sort=A","Dates=H","DateFormat=P","Fill=—","Direction=H","UseDPDF=Y")</f>
        <v>#NAME?</v>
      </c>
      <c r="CI296" s="1" t="e">
        <f ca="1">_xll.BDH($C$278,"LT_DEBT_TO_TOT_CAP","FQ3 2017","FQ3 2017","Currency=INR","Period=FQ","BEST_FPERIOD_OVERRIDE=FQ","FILING_STATUS=OR","EQY_CONSOLIDATED=Y","Sort=A","Dates=H","DateFormat=P","Fill=—","Direction=H","UseDPDF=Y")</f>
        <v>#NAME?</v>
      </c>
      <c r="CJ296" s="1" t="e">
        <f ca="1">_xll.BDH($C$278,"LT_DEBT_TO_TOT_ASSET","FQ3 2017","FQ3 2017","Currency=INR","Period=FQ","BEST_FPERIOD_OVERRIDE=FQ","FILING_STATUS=OR","EQY_CONSOLIDATED=Y","Sort=A","Dates=H","DateFormat=P","Fill=—","Direction=H","UseDPDF=Y")</f>
        <v>#NAME?</v>
      </c>
      <c r="CK296" s="1" t="e">
        <f ca="1">_xll.BDH($C$278,"TOT_DEBT_TO_TOT_EQY","FQ3 2017","FQ3 2017","Currency=INR","Period=FQ","BEST_FPERIOD_OVERRIDE=FQ","FILING_STATUS=OR","EQY_CONSOLIDATED=Y","Sort=A","Dates=H","DateFormat=P","Fill=—","Direction=H","UseDPDF=Y")</f>
        <v>#NAME?</v>
      </c>
      <c r="CL296" s="1" t="e">
        <f ca="1">_xll.BDH($C$278,"TOT_DEBT_TO_TOT_CAP","FQ3 2017","FQ3 2017","Currency=INR","Period=FQ","BEST_FPERIOD_OVERRIDE=FQ","FILING_STATUS=OR","EQY_CONSOLIDATED=Y","Sort=A","Dates=H","DateFormat=P","Fill=—","Direction=H","UseDPDF=Y")</f>
        <v>#NAME?</v>
      </c>
      <c r="CM296" s="1" t="e">
        <f ca="1">_xll.BDH($C$278,"TOT_DEBT_TO_TOT_ASSET","FQ3 2017","FQ3 2017","Currency=INR","Period=FQ","BEST_FPERIOD_OVERRIDE=FQ","FILING_STATUS=OR","EQY_CONSOLIDATED=Y","Sort=A","Dates=H","DateFormat=P","Fill=—","Direction=H","UseDPDF=Y")</f>
        <v>#NAME?</v>
      </c>
      <c r="CN296" s="1" t="e">
        <f ca="1">_xll.BDH($C$278,"NET_DEBT_TO_SHRHLDR_EQTY","FQ3 2017","FQ3 2017","Currency=INR","Period=FQ","BEST_FPERIOD_OVERRIDE=FQ","FILING_STATUS=OR","EQY_CONSOLIDATED=Y","Sort=A","Dates=H","DateFormat=P","Fill=—","Direction=H","UseDPDF=Y")</f>
        <v>#NAME?</v>
      </c>
      <c r="CO296" s="1" t="e">
        <f ca="1">_xll.BDH($C$278,"NET_DEBT_%_CAPITAL","FQ3 2017","FQ3 2017","Currency=INR","Period=FQ","BEST_FPERIOD_OVERRIDE=FQ","FILING_STATUS=OR","EQY_CONSOLIDATED=Y","Sort=A","Dates=H","DateFormat=P","Fill=—","Direction=H","UseDPDF=Y")</f>
        <v>#NAME?</v>
      </c>
      <c r="CP296" s="2" t="e">
        <f ca="1">_xll.BDH($C$278,"EBITDA","FQ3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96" s="2" t="e">
        <f ca="1">_xll.BDH($C$278,"EBITDA_AFTER_CAPEX","FQ3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96" s="2" t="e">
        <f ca="1">_xll.BDH($C$278,"IS_OPER_INC","FQ3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96" s="1" t="e">
        <f ca="1">_xll.BDH($C$278,"CASH_RATIO","FQ3 2017","FQ3 2017","Currency=INR","Period=FQ","BEST_FPERIOD_OVERRIDE=FQ","FILING_STATUS=OR","EQY_CONSOLIDATED=Y","Sort=A","Dates=H","DateFormat=P","Fill=—","Direction=H","UseDPDF=Y")</f>
        <v>#NAME?</v>
      </c>
      <c r="CT296" s="1" t="e">
        <f ca="1">_xll.BDH($C$278,"CUR_RATIO","FQ3 2017","FQ3 2017","Currency=INR","Period=FQ","BEST_FPERIOD_OVERRIDE=FQ","FILING_STATUS=OR","EQY_CONSOLIDATED=Y","Sort=A","Dates=H","DateFormat=P","Fill=—","Direction=H","UseDPDF=Y")</f>
        <v>#NAME?</v>
      </c>
      <c r="CU296" s="1" t="e">
        <f ca="1">_xll.BDH($C$278,"QUICK_RATIO","FQ3 2017","FQ3 2017","Currency=INR","Period=FQ","BEST_FPERIOD_OVERRIDE=FQ","FILING_STATUS=OR","EQY_CONSOLIDATED=Y","Sort=A","Dates=H","DateFormat=P","Fill=—","Direction=H","UseDPDF=Y")</f>
        <v>#NAME?</v>
      </c>
      <c r="CV296" s="1" t="e">
        <f ca="1">_xll.BDH($C$278,"ALTMAN_Z_SCORE","FQ3 2017","FQ3 2017","Currency=INR","Period=FQ","BEST_FPERIOD_OVERRIDE=FQ","FILING_STATUS=OR","EQY_CONSOLIDATED=Y","Sort=A","Dates=H","DateFormat=P","Fill=—","Direction=H","UseDPDF=Y")</f>
        <v>#NAME?</v>
      </c>
      <c r="CW296" s="3" t="e">
        <f ca="1">_xll.BDH($C$278,"ACCT_RCV_TURN","FQ3 2017","FQ3 2017","Currency=INR","Period=FQ","BEST_FPERIOD_OVERRIDE=FQ","FILING_STATUS=OR","EQY_CONSOLIDATED=Y","FA_ADJUSTED=GAAP","Sort=A","Dates=H","DateFormat=P","Fill=—","Direction=H","UseDPDF=Y")</f>
        <v>#NAME?</v>
      </c>
      <c r="CX296" s="1" t="e">
        <f ca="1">_xll.BDH($C$278,"ACCT_RCV_DAYS","FQ3 2017","FQ3 2017","Currency=INR","Period=FQ","BEST_FPERIOD_OVERRIDE=FQ","FILING_STATUS=OR","EQY_CONSOLIDATED=Y","FA_ADJUSTED=GAAP","Sort=A","Dates=H","DateFormat=P","Fill=—","Direction=H","UseDPDF=Y")</f>
        <v>#NAME?</v>
      </c>
      <c r="CY296" s="3" t="e">
        <f ca="1">_xll.BDH($C$278,"INVENT_TURN","FQ3 2017","FQ3 2017","Currency=INR","Period=FQ","BEST_FPERIOD_OVERRIDE=FQ","FILING_STATUS=OR","EQY_CONSOLIDATED=Y","FA_ADJUSTED=GAAP","Sort=A","Dates=H","DateFormat=P","Fill=—","Direction=H","UseDPDF=Y")</f>
        <v>#NAME?</v>
      </c>
      <c r="CZ296" s="1" t="e">
        <f ca="1">_xll.BDH($C$278,"INVENT_DAYS","FQ3 2017","FQ3 2017","Currency=INR","Period=FQ","BEST_FPERIOD_OVERRIDE=FQ","FILING_STATUS=OR","EQY_CONSOLIDATED=Y","FA_ADJUSTED=GAAP","Sort=A","Dates=H","DateFormat=P","Fill=—","Direction=H","UseDPDF=Y")</f>
        <v>#NAME?</v>
      </c>
      <c r="DA296" s="3" t="e">
        <f ca="1">_xll.BDH($C$278,"ACCOUNTS_PAYABLE_TURNOVER","FQ3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96" s="1" t="e">
        <f ca="1">_xll.BDH($C$278,"ACCOUNTS_PAYABLE_TURNOVER_DAYS","FQ3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96" s="3" t="e">
        <f ca="1">_xll.BDH($C$278,"CASH_CONVERSION_CYCLE","FQ3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96" s="3" t="e">
        <f ca="1">_xll.BDH($C$278,"INV_TO_CASH_DAYS","FQ3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296" s="4" t="e">
        <f ca="1">_xll.BDH($C$278,"BS_INVENTORIES","FQ3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296" s="2" t="e">
        <f ca="1">_xll.BDH($C$278,"INVTRY_RAW_MATERIALS","FQ3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96" s="2" t="e">
        <f ca="1">_xll.BDH($C$278,"INVTRY_IN_PROGRESS","FQ3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96" s="2" t="e">
        <f ca="1">_xll.BDH($C$278,"INVTRY_FINISHED_GOODS","FQ3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96" s="2" t="e">
        <f ca="1">_xll.BDH($C$278,"BS_OTHER_INV","FQ3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97" spans="1:113" x14ac:dyDescent="0.3">
      <c r="A297" s="6"/>
      <c r="B297" s="6"/>
      <c r="C297" s="6"/>
      <c r="D297" s="6"/>
      <c r="E297" t="s">
        <v>7</v>
      </c>
      <c r="F297" t="e">
        <f ca="1">_xll.BDH($C$278,"RETURN_COM_EQY","FQ4 2017","FQ4 2017","Currency=INR","Period=FQ","BEST_FPERIOD_OVERRIDE=FQ","FILING_STATUS=OR","EQY_CONSOLIDATED=Y","FA_ADJUSTED=GAAP","Sort=A","Dates=H","DateFormat=P","Fill=—","Direction=H","UseDPDF=Y")</f>
        <v>#NAME?</v>
      </c>
      <c r="G297" t="e">
        <f ca="1">_xll.BDH($C$278,"RETURN_ON_ASSET","FQ4 2017","FQ4 2017","Currency=INR","Period=FQ","BEST_FPERIOD_OVERRIDE=FQ","FILING_STATUS=OR","EQY_CONSOLIDATED=Y","FA_ADJUSTED=GAAP","Sort=A","Dates=H","DateFormat=P","Fill=—","Direction=H","UseDPDF=Y")</f>
        <v>#NAME?</v>
      </c>
      <c r="H297" t="e">
        <f ca="1">_xll.BDH($C$278,"RETURN_ON_CAP","FQ4 2017","FQ4 2017","Currency=INR","Period=FQ","BEST_FPERIOD_OVERRIDE=FQ","FILING_STATUS=OR","EQY_CONSOLIDATED=Y","FA_ADJUSTED=GAAP","Sort=A","Dates=H","DateFormat=P","Fill=—","Direction=H","UseDPDF=Y")</f>
        <v>#NAME?</v>
      </c>
      <c r="I297" t="e">
        <f ca="1">_xll.BDH($C$278,"RETURN_ON_INV_CAPITAL","FQ4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97" t="e">
        <f ca="1">_xll.BDH($C$278,"EBITDA_TO_REVENUE","FQ4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297" t="e">
        <f ca="1">_xll.BDH($C$278,"OPER_MARGIN","FQ4 2017","FQ4 2017","Currency=INR","Period=FQ","BEST_FPERIOD_OVERRIDE=FQ","FILING_STATUS=OR","EQY_CONSOLIDATED=Y","FA_ADJUSTED=GAAP","Sort=A","Dates=H","DateFormat=P","Fill=—","Direction=H","UseDPDF=Y")</f>
        <v>#NAME?</v>
      </c>
      <c r="L297" t="e">
        <f ca="1">_xll.BDH($C$278,"INCREMENTAL_OPERATING_MARGIN","FQ4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97" t="e">
        <f ca="1">_xll.BDH($C$278,"PRETAX_INC_TO_NET_SALES","FQ4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97" t="e">
        <f ca="1">_xll.BDH($C$278,"INC_BEF_XO_ITEMS_TO_NET_SALES","FQ4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97" t="e">
        <f ca="1">_xll.BDH($C$278,"PROF_MARGIN","FQ4 2017","FQ4 2017","Currency=INR","Period=FQ","BEST_FPERIOD_OVERRIDE=FQ","FILING_STATUS=OR","EQY_CONSOLIDATED=Y","FA_ADJUSTED=GAAP","Sort=A","Dates=H","DateFormat=P","Fill=—","Direction=H","UseDPDF=Y")</f>
        <v>#NAME?</v>
      </c>
      <c r="P297" t="e">
        <f ca="1">_xll.BDH($C$278,"NET_INCOME_TO_COMMON_MARGIN","FQ4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97" t="e">
        <f ca="1">_xll.BDH($C$278,"EFF_TAX_RATE","FQ4 2017","FQ4 2017","Currency=INR","Period=FQ","BEST_FPERIOD_OVERRIDE=FQ","FILING_STATUS=OR","EQY_CONSOLIDATED=Y","FA_ADJUSTED=GAAP","Sort=A","Dates=H","DateFormat=P","Fill=—","Direction=H","UseDPDF=Y")</f>
        <v>#NAME?</v>
      </c>
      <c r="R297" t="e">
        <f ca="1">_xll.BDH($C$278,"DVD_PAYOUT_RATIO","FQ4 2017","FQ4 2017","Currency=INR","Period=FQ","BEST_FPERIOD_OVERRIDE=FQ","FILING_STATUS=OR","EQY_CONSOLIDATED=Y","FA_ADJUSTED=GAAP","Sort=A","Dates=H","DateFormat=P","Fill=—","Direction=H","UseDPDF=Y")</f>
        <v>#NAME?</v>
      </c>
      <c r="S297" t="e">
        <f ca="1">_xll.BDH($C$278,"SUSTAIN_GROWTH_RT","FQ4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297" s="1" t="e">
        <f ca="1">_xll.BDH($C$278,"SALES_GROWTH","FQ4 2017","FQ4 2017","Currency=INR","Period=FQ","BEST_FPERIOD_OVERRIDE=FQ","FILING_STATUS=OR","EQY_CONSOLIDATED=Y","FA_ADJUSTED=GAAP","Sort=A","Dates=H","DateFormat=P","Fill=—","Direction=H","UseDPDF=Y")</f>
        <v>#NAME?</v>
      </c>
      <c r="U297" s="1" t="e">
        <f ca="1">_xll.BDH($C$278,"EBITDA_GROWTH","FQ4 2017","FQ4 2017","Currency=INR","Period=FQ","BEST_FPERIOD_OVERRIDE=FQ","FILING_STATUS=OR","EQY_CONSOLIDATED=Y","FA_ADJUSTED=GAAP","Sort=A","Dates=H","DateFormat=P","Fill=—","Direction=H","UseDPDF=Y")</f>
        <v>#NAME?</v>
      </c>
      <c r="V297" s="1" t="e">
        <f ca="1">_xll.BDH($C$278,"OPER_INC_GROWTH","FQ4 2017","FQ4 2017","Currency=INR","Period=FQ","BEST_FPERIOD_OVERRIDE=FQ","FILING_STATUS=OR","EQY_CONSOLIDATED=Y","FA_ADJUSTED=GAAP","Sort=A","Dates=H","DateFormat=P","Fill=—","Direction=H","UseDPDF=Y")</f>
        <v>#NAME?</v>
      </c>
      <c r="W297" s="1" t="e">
        <f ca="1">_xll.BDH($C$278,"EARN_FOR_COM_GROWTH","FQ4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97" s="1" t="e">
        <f ca="1">_xll.BDH($C$278,"DILUTED_EPS_AFT_XO_ITEMS_GROWTH","FQ4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97" s="1" t="e">
        <f ca="1">_xll.BDH($C$278,"DIVIDEND_PER_SHARE_1_YEAR_GROWTH","FQ4 2017","FQ4 2017","Currency=INR","Period=FQ","BEST_FPERIOD_OVERRIDE=FQ","FILING_STATUS=OR","EQY_CONSOLIDATED=Y","Sort=A","Dates=H","DateFormat=P","Fill=—","Direction=H","UseDPDF=Y")</f>
        <v>#NAME?</v>
      </c>
      <c r="Z297" s="1" t="e">
        <f ca="1">_xll.BDH($C$278,"ACCOUNTS_RECEIVABLE_GROWTH","FQ4 2017","FQ4 2017","Currency=INR","Period=FQ","BEST_FPERIOD_OVERRIDE=FQ","FILING_STATUS=OR","EQY_CONSOLIDATED=Y","Sort=A","Dates=H","DateFormat=P","Fill=—","Direction=H","UseDPDF=Y")</f>
        <v>#NAME?</v>
      </c>
      <c r="AA297" s="1" t="e">
        <f ca="1">_xll.BDH($C$278,"INVENTORY_GROWTH","FQ4 2017","FQ4 2017","Currency=INR","Period=FQ","BEST_FPERIOD_OVERRIDE=FQ","FILING_STATUS=OR","EQY_CONSOLIDATED=Y","Sort=A","Dates=H","DateFormat=P","Fill=—","Direction=H","UseDPDF=Y")</f>
        <v>#NAME?</v>
      </c>
      <c r="AB297" s="1" t="e">
        <f ca="1">_xll.BDH($C$278,"NET_FIXED_ASSETS_1_YEAR_GROWTH","FQ4 2017","FQ4 2017","Currency=INR","Period=FQ","BEST_FPERIOD_OVERRIDE=FQ","FILING_STATUS=OR","EQY_CONSOLIDATED=Y","Sort=A","Dates=H","DateFormat=P","Fill=—","Direction=H","UseDPDF=Y")</f>
        <v>#NAME?</v>
      </c>
      <c r="AC297" s="1" t="e">
        <f ca="1">_xll.BDH($C$278,"ASSET_GROWTH","FQ4 2017","FQ4 2017","Currency=INR","Period=FQ","BEST_FPERIOD_OVERRIDE=FQ","FILING_STATUS=OR","EQY_CONSOLIDATED=Y","Sort=A","Dates=H","DateFormat=P","Fill=—","Direction=H","UseDPDF=Y")</f>
        <v>#NAME?</v>
      </c>
      <c r="AD297" s="1" t="e">
        <f ca="1">_xll.BDH($C$278,"MODIFIED_WORK_CAP_GROWTH","FQ4 2017","FQ4 2017","Currency=INR","Period=FQ","BEST_FPERIOD_OVERRIDE=FQ","FILING_STATUS=OR","EQY_CONSOLIDATED=Y","Sort=A","Dates=H","DateFormat=P","Fill=—","Direction=H","UseDPDF=Y")</f>
        <v>#NAME?</v>
      </c>
      <c r="AE297" s="1" t="e">
        <f ca="1">_xll.BDH($C$278,"WORK_CAP_GROWTH","FQ4 2017","FQ4 2017","Currency=INR","Period=FQ","BEST_FPERIOD_OVERRIDE=FQ","FILING_STATUS=OR","EQY_CONSOLIDATED=Y","Sort=A","Dates=H","DateFormat=P","Fill=—","Direction=H","UseDPDF=Y")</f>
        <v>#NAME?</v>
      </c>
      <c r="AF297" s="1" t="e">
        <f ca="1">_xll.BDH($C$278,"ACCOUNTS_PAYABLE_GROWTH_1YR","FQ4 2017","FQ4 2017","Currency=INR","Period=FQ","BEST_FPERIOD_OVERRIDE=FQ","FILING_STATUS=OR","EQY_CONSOLIDATED=Y","Sort=A","Dates=H","DateFormat=P","Fill=—","Direction=H","UseDPDF=Y")</f>
        <v>#NAME?</v>
      </c>
      <c r="AG297" s="1" t="e">
        <f ca="1">_xll.BDH($C$278,"SHORT_TERM_DEBT_1_YEAR_GROWTH","FQ4 2017","FQ4 2017","Currency=INR","Period=FQ","BEST_FPERIOD_OVERRIDE=FQ","FILING_STATUS=OR","EQY_CONSOLIDATED=Y","Sort=A","Dates=H","DateFormat=P","Fill=—","Direction=H","UseDPDF=Y")</f>
        <v>#NAME?</v>
      </c>
      <c r="AH297" s="1" t="e">
        <f ca="1">_xll.BDH($C$278,"TOTAL_DEBT_1_YEAR_GROWTH","FQ4 2017","FQ4 2017","Currency=INR","Period=FQ","BEST_FPERIOD_OVERRIDE=FQ","FILING_STATUS=OR","EQY_CONSOLIDATED=Y","Sort=A","Dates=H","DateFormat=P","Fill=—","Direction=H","UseDPDF=Y")</f>
        <v>#NAME?</v>
      </c>
      <c r="AI297" s="1" t="e">
        <f ca="1">_xll.BDH($C$278,"TOTAL_EQUITY_1_YEAR_GROWTH","FQ4 2017","FQ4 2017","Currency=INR","Period=FQ","BEST_FPERIOD_OVERRIDE=FQ","FILING_STATUS=OR","EQY_CONSOLIDATED=Y","Sort=A","Dates=H","DateFormat=P","Fill=—","Direction=H","UseDPDF=Y")</f>
        <v>#NAME?</v>
      </c>
      <c r="AJ297" s="1" t="e">
        <f ca="1">_xll.BDH($C$278,"GROWTH_IN_CAP","FQ4 2017","FQ4 2017","Currency=INR","Period=FQ","BEST_FPERIOD_OVERRIDE=FQ","FILING_STATUS=OR","EQY_CONSOLIDATED=Y","Sort=A","Dates=H","DateFormat=P","Fill=—","Direction=H","UseDPDF=Y")</f>
        <v>#NAME?</v>
      </c>
      <c r="AK297" s="1" t="e">
        <f ca="1">_xll.BDH($C$278,"BVPS_GROWTH","FQ4 2017","FQ4 2017","Currency=INR","Period=FQ","BEST_FPERIOD_OVERRIDE=FQ","FILING_STATUS=OR","EQY_CONSOLIDATED=Y","Sort=A","Dates=H","DateFormat=P","Fill=—","Direction=H","UseDPDF=Y")</f>
        <v>#NAME?</v>
      </c>
      <c r="AL297" s="1" t="e">
        <f ca="1">_xll.BDH($C$278,"CASH_FLOW_GROWTH","FQ4 2017","FQ4 2017","Currency=INR","Period=FQ","BEST_FPERIOD_OVERRIDE=FQ","FILING_STATUS=OR","EQY_CONSOLIDATED=Y","Sort=A","Dates=H","DateFormat=P","Fill=—","Direction=H","UseDPDF=Y")</f>
        <v>#NAME?</v>
      </c>
      <c r="AM297" s="1" t="e">
        <f ca="1">_xll.BDH($C$278,"GEO_GROW_NET_SALES","FQ4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97" s="1" t="e">
        <f ca="1">_xll.BDH($C$278,"GEO_GROW_EBITDA","FQ4 2017","FQ4 2017","Currency=INR","Period=FQ","BEST_FPERIOD_OVERRIDE=FQ","FILING_STATUS=OR","EQY_CONSOLIDATED=Y","FA_ADJUSTED=GAAP","Sort=A","Dates=H","DateFormat=P","Fill=—","Direction=H","UseDPDF=Y")</f>
        <v>#NAME?</v>
      </c>
      <c r="AO297" s="1" t="e">
        <f ca="1">_xll.BDH($C$278,"GEO_GROW_OPER_INC","FQ4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97" s="1" t="e">
        <f ca="1">_xll.BDH($C$278,"NET_INCOME_TO_COMMON_5_YR_GROWTH","FQ4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97" s="1" t="e">
        <f ca="1">_xll.BDH($C$278,"5Y_GEO_GROWTH_DILUTED_EPS","FQ4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97" s="1" t="e">
        <f ca="1">_xll.BDH($C$278,"GEO_GROW_DVD_PER_SH","FQ4 2017","FQ4 2017","Currency=INR","Period=FQ","BEST_FPERIOD_OVERRIDE=FQ","FILING_STATUS=OR","EQY_CONSOLIDATED=Y","Sort=A","Dates=H","DateFormat=P","Fill=—","Direction=H","UseDPDF=Y")</f>
        <v>#NAME?</v>
      </c>
      <c r="AS297" s="1" t="e">
        <f ca="1">_xll.BDH($C$278,"ACCOUNTS_RECEIVABLE_5_YR_GROWTH","FQ4 2017","FQ4 2017","Currency=INR","Period=FQ","BEST_FPERIOD_OVERRIDE=FQ","FILING_STATUS=OR","EQY_CONSOLIDATED=Y","Sort=A","Dates=H","DateFormat=P","Fill=—","Direction=H","UseDPDF=Y")</f>
        <v>#NAME?</v>
      </c>
      <c r="AT297" s="1" t="e">
        <f ca="1">_xll.BDH($C$278,"INVENTORY_5_YEAR_GROWTH","FQ4 2017","FQ4 2017","Currency=INR","Period=FQ","BEST_FPERIOD_OVERRIDE=FQ","FILING_STATUS=OR","EQY_CONSOLIDATED=Y","Sort=A","Dates=H","DateFormat=P","Fill=—","Direction=H","UseDPDF=Y")</f>
        <v>#NAME?</v>
      </c>
      <c r="AU297" s="1" t="e">
        <f ca="1">_xll.BDH($C$278,"NET_FIXED_ASSETS_5_YEAR_GROWTH","FQ4 2017","FQ4 2017","Currency=INR","Period=FQ","BEST_FPERIOD_OVERRIDE=FQ","FILING_STATUS=OR","EQY_CONSOLIDATED=Y","Sort=A","Dates=H","DateFormat=P","Fill=—","Direction=H","UseDPDF=Y")</f>
        <v>#NAME?</v>
      </c>
      <c r="AV297" s="1" t="e">
        <f ca="1">_xll.BDH($C$278,"GEO_GROW_TOT_ASSET","FQ4 2017","FQ4 2017","Currency=INR","Period=FQ","BEST_FPERIOD_OVERRIDE=FQ","FILING_STATUS=OR","EQY_CONSOLIDATED=Y","Sort=A","Dates=H","DateFormat=P","Fill=—","Direction=H","UseDPDF=Y")</f>
        <v>#NAME?</v>
      </c>
      <c r="AW297" s="1" t="e">
        <f ca="1">_xll.BDH($C$278,"MODIFIED_WORKING_CPTL_5YR_GRWTH","FQ4 2017","FQ4 2017","Currency=INR","Period=FQ","BEST_FPERIOD_OVERRIDE=FQ","FILING_STATUS=OR","EQY_CONSOLIDATED=Y","Sort=A","Dates=H","DateFormat=P","Fill=—","Direction=H","UseDPDF=Y")</f>
        <v>#NAME?</v>
      </c>
      <c r="AX297" s="1" t="e">
        <f ca="1">_xll.BDH($C$278,"WORKING_CAPITAL_5_YEAR_GROWTH","FQ4 2017","FQ4 2017","Currency=INR","Period=FQ","BEST_FPERIOD_OVERRIDE=FQ","FILING_STATUS=OR","EQY_CONSOLIDATED=Y","Sort=A","Dates=H","DateFormat=P","Fill=—","Direction=H","UseDPDF=Y")</f>
        <v>#NAME?</v>
      </c>
      <c r="AY297" s="1" t="e">
        <f ca="1">_xll.BDH($C$278,"ACCOUNTS_PAYABLE_5_YEAR_GROWTH","FQ4 2017","FQ4 2017","Currency=INR","Period=FQ","BEST_FPERIOD_OVERRIDE=FQ","FILING_STATUS=OR","EQY_CONSOLIDATED=Y","Sort=A","Dates=H","DateFormat=P","Fill=—","Direction=H","UseDPDF=Y")</f>
        <v>#NAME?</v>
      </c>
      <c r="AZ297" s="1" t="e">
        <f ca="1">_xll.BDH($C$278,"SHORT_TERM_DEBT_5_YEAR_GROWTH","FQ4 2017","FQ4 2017","Currency=INR","Period=FQ","BEST_FPERIOD_OVERRIDE=FQ","FILING_STATUS=OR","EQY_CONSOLIDATED=Y","Sort=A","Dates=H","DateFormat=P","Fill=—","Direction=H","UseDPDF=Y")</f>
        <v>#NAME?</v>
      </c>
      <c r="BA297" s="1" t="e">
        <f ca="1">_xll.BDH($C$278,"TOTAL_DEBT_5_YEAR_GROWTH","FQ4 2017","FQ4 2017","Currency=INR","Period=FQ","BEST_FPERIOD_OVERRIDE=FQ","FILING_STATUS=OR","EQY_CONSOLIDATED=Y","Sort=A","Dates=H","DateFormat=P","Fill=—","Direction=H","UseDPDF=Y")</f>
        <v>#NAME?</v>
      </c>
      <c r="BB297" s="1" t="e">
        <f ca="1">_xll.BDH($C$278,"GEO_GROW_TOT_SHRHLDR_EQY","FQ4 2017","FQ4 2017","Currency=INR","Period=FQ","BEST_FPERIOD_OVERRIDE=FQ","FILING_STATUS=OR","EQY_CONSOLIDATED=Y","Sort=A","Dates=H","DateFormat=P","Fill=—","Direction=H","UseDPDF=Y")</f>
        <v>#NAME?</v>
      </c>
      <c r="BC297" s="1" t="e">
        <f ca="1">_xll.BDH($C$278,"TOTAL_CAPITAL_5_YEAR_GROWTH","FQ4 2017","FQ4 2017","Currency=INR","Period=FQ","BEST_FPERIOD_OVERRIDE=FQ","FILING_STATUS=OR","EQY_CONSOLIDATED=Y","Sort=A","Dates=H","DateFormat=P","Fill=—","Direction=H","UseDPDF=Y")</f>
        <v>#NAME?</v>
      </c>
      <c r="BD297" s="1" t="e">
        <f ca="1">_xll.BDH($C$278,"GEO_GROW_BOOK_VAL","FQ4 2017","FQ4 2017","Currency=INR","Period=FQ","BEST_FPERIOD_OVERRIDE=FQ","FILING_STATUS=OR","EQY_CONSOLIDATED=Y","Sort=A","Dates=H","DateFormat=P","Fill=—","Direction=H","UseDPDF=Y")</f>
        <v>#NAME?</v>
      </c>
      <c r="BE297" s="1" t="e">
        <f ca="1">_xll.BDH($C$278,"GEO_GROW_CASH_OPER_ACT","FQ4 2017","FQ4 2017","Currency=INR","Period=FQ","BEST_FPERIOD_OVERRIDE=FQ","FILING_STATUS=OR","EQY_CONSOLIDATED=Y","Sort=A","Dates=H","DateFormat=P","Fill=—","Direction=H","UseDPDF=Y")</f>
        <v>#NAME?</v>
      </c>
      <c r="BF297" s="1" t="e">
        <f ca="1">_xll.BDH($C$278,"REVENUE_SEQUENTIAL_GROWTH","FQ4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97" s="1" t="e">
        <f ca="1">_xll.BDH($C$278,"EBITDA_SEQUENTIAL_GROWTH","FQ4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97" s="1" t="e">
        <f ca="1">_xll.BDH($C$278,"OPERATING_INCOME_SEQ_GROWTH","FQ4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97" s="1" t="e">
        <f ca="1">_xll.BDH($C$278,"NET_INCOME_TO_COMMON_SEQ_GROWTH","FQ4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97" s="1" t="e">
        <f ca="1">_xll.BDH($C$278,"EPS_DILUTED_SEQUENTIAL_GROWTH","FQ4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97" s="1" t="e">
        <f ca="1">_xll.BDH($C$278,"DPS_SEQUENTIAL_GROWTH","FQ4 2017","FQ4 2017","Currency=INR","Period=FQ","BEST_FPERIOD_OVERRIDE=FQ","FILING_STATUS=OR","EQY_CONSOLIDATED=Y","Sort=A","Dates=H","DateFormat=P","Fill=—","Direction=H","UseDPDF=Y")</f>
        <v>#NAME?</v>
      </c>
      <c r="BL297" s="1" t="e">
        <f ca="1">_xll.BDH($C$278,"ACCOUNTS_RECEIVABLE_SEQ_GROWTH","FQ4 2017","FQ4 2017","Currency=INR","Period=FQ","BEST_FPERIOD_OVERRIDE=FQ","FILING_STATUS=OR","EQY_CONSOLIDATED=Y","Sort=A","Dates=H","DateFormat=P","Fill=—","Direction=H","UseDPDF=Y")</f>
        <v>#NAME?</v>
      </c>
      <c r="BM297" s="1" t="e">
        <f ca="1">_xll.BDH($C$278,"INVENTORY_SEQUENTIAL_GROWTH","FQ4 2017","FQ4 2017","Currency=INR","Period=FQ","BEST_FPERIOD_OVERRIDE=FQ","FILING_STATUS=OR","EQY_CONSOLIDATED=Y","Sort=A","Dates=H","DateFormat=P","Fill=—","Direction=H","UseDPDF=Y")</f>
        <v>#NAME?</v>
      </c>
      <c r="BN297" s="1" t="e">
        <f ca="1">_xll.BDH($C$278,"FIXED_ASSETS_SEQUENTIAL_GROWTH","FQ4 2017","FQ4 2017","Currency=INR","Period=FQ","BEST_FPERIOD_OVERRIDE=FQ","FILING_STATUS=OR","EQY_CONSOLIDATED=Y","Sort=A","Dates=H","DateFormat=P","Fill=—","Direction=H","UseDPDF=Y")</f>
        <v>#NAME?</v>
      </c>
      <c r="BO297" s="1" t="e">
        <f ca="1">_xll.BDH($C$278,"TOTAL_ASSETS_SEQUENTIAL_GROWTH","FQ4 2017","FQ4 2017","Currency=INR","Period=FQ","BEST_FPERIOD_OVERRIDE=FQ","FILING_STATUS=OR","EQY_CONSOLIDATED=Y","Sort=A","Dates=H","DateFormat=P","Fill=—","Direction=H","UseDPDF=Y")</f>
        <v>#NAME?</v>
      </c>
      <c r="BP297" s="1" t="e">
        <f ca="1">_xll.BDH($C$278,"MODIFIED_WORKING_CPTL_SEQ_GRWTH","FQ4 2017","FQ4 2017","Currency=INR","Period=FQ","BEST_FPERIOD_OVERRIDE=FQ","FILING_STATUS=OR","EQY_CONSOLIDATED=Y","Sort=A","Dates=H","DateFormat=P","Fill=—","Direction=H","UseDPDF=Y")</f>
        <v>#NAME?</v>
      </c>
      <c r="BQ297" s="1" t="e">
        <f ca="1">_xll.BDH($C$278,"WORKING_CAPITAL_SEQ_GROWTH","FQ4 2017","FQ4 2017","Currency=INR","Period=FQ","BEST_FPERIOD_OVERRIDE=FQ","FILING_STATUS=OR","EQY_CONSOLIDATED=Y","Sort=A","Dates=H","DateFormat=P","Fill=—","Direction=H","UseDPDF=Y")</f>
        <v>#NAME?</v>
      </c>
      <c r="BR297" s="1" t="e">
        <f ca="1">_xll.BDH($C$278,"ACCOUNTS_PAYABLE_SEQ_GROWTH","FQ4 2017","FQ4 2017","Currency=INR","Period=FQ","BEST_FPERIOD_OVERRIDE=FQ","FILING_STATUS=OR","EQY_CONSOLIDATED=Y","Sort=A","Dates=H","DateFormat=P","Fill=—","Direction=H","UseDPDF=Y")</f>
        <v>#NAME?</v>
      </c>
      <c r="BS297" s="1" t="e">
        <f ca="1">_xll.BDH($C$278,"ST_DEBT_SEQUENTIAL_GROWTH","FQ4 2017","FQ4 2017","Currency=INR","Period=FQ","BEST_FPERIOD_OVERRIDE=FQ","FILING_STATUS=OR","EQY_CONSOLIDATED=Y","Sort=A","Dates=H","DateFormat=P","Fill=—","Direction=H","UseDPDF=Y")</f>
        <v>#NAME?</v>
      </c>
      <c r="BT297" s="1" t="e">
        <f ca="1">_xll.BDH($C$278,"TOTAL_DEBT_SEQUENTIAL_GROWTH","FQ4 2017","FQ4 2017","Currency=INR","Period=FQ","BEST_FPERIOD_OVERRIDE=FQ","FILING_STATUS=OR","EQY_CONSOLIDATED=Y","Sort=A","Dates=H","DateFormat=P","Fill=—","Direction=H","UseDPDF=Y")</f>
        <v>#NAME?</v>
      </c>
      <c r="BU297" s="1" t="e">
        <f ca="1">_xll.BDH($C$278,"TOTAL_EQUITY_SEQUENTIAL_GROWTH","FQ4 2017","FQ4 2017","Currency=INR","Period=FQ","BEST_FPERIOD_OVERRIDE=FQ","FILING_STATUS=OR","EQY_CONSOLIDATED=Y","Sort=A","Dates=H","DateFormat=P","Fill=—","Direction=H","UseDPDF=Y")</f>
        <v>#NAME?</v>
      </c>
      <c r="BV297" s="1" t="e">
        <f ca="1">_xll.BDH($C$278,"TOTAL_CAPITAL_SEQUENTIAL_GROWTH","FQ4 2017","FQ4 2017","Currency=INR","Period=FQ","BEST_FPERIOD_OVERRIDE=FQ","FILING_STATUS=OR","EQY_CONSOLIDATED=Y","Sort=A","Dates=H","DateFormat=P","Fill=—","Direction=H","UseDPDF=Y")</f>
        <v>#NAME?</v>
      </c>
      <c r="BW297" s="1" t="e">
        <f ca="1">_xll.BDH($C$278,"BPS_SEQUENTIAL_GROWTH","FQ4 2017","FQ4 2017","Currency=INR","Period=FQ","BEST_FPERIOD_OVERRIDE=FQ","FILING_STATUS=OR","EQY_CONSOLIDATED=Y","Sort=A","Dates=H","DateFormat=P","Fill=—","Direction=H","UseDPDF=Y")</f>
        <v>#NAME?</v>
      </c>
      <c r="BX297" s="1" t="e">
        <f ca="1">_xll.BDH($C$278,"CFO_SEQUENTIAL_GROWTH","FQ4 2017","FQ4 2017","Currency=INR","Period=FQ","BEST_FPERIOD_OVERRIDE=FQ","FILING_STATUS=OR","EQY_CONSOLIDATED=Y","Sort=A","Dates=H","DateFormat=P","Fill=—","Direction=H","UseDPDF=Y")</f>
        <v>#NAME?</v>
      </c>
      <c r="BY297" s="2" t="e">
        <f ca="1">_xll.BDH($C$278,"SHORT_AND_LONG_TERM_DEBT","FQ4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97" s="2" t="e">
        <f ca="1">_xll.BDH($C$278,"BS_ST_BORROW","FQ4 2017","FQ4 2017","Currency=INR","Period=FQ","BEST_FPERIOD_OVERRIDE=FQ","FILING_STATUS=OR","EQY_CONSOLIDATED=Y","SCALING_FORMAT=MLN","Sort=A","Dates=H","DateFormat=P","Fill=—","Direction=H","UseDPDF=Y")</f>
        <v>#NAME?</v>
      </c>
      <c r="CA297" s="2" t="e">
        <f ca="1">_xll.BDH($C$278,"BS_LT_BORROW","FQ4 2017","FQ4 2017","Currency=INR","Period=FQ","BEST_FPERIOD_OVERRIDE=FQ","FILING_STATUS=OR","EQY_CONSOLIDATED=Y","SCALING_FORMAT=MLN","Sort=A","Dates=H","DateFormat=P","Fill=—","Direction=H","UseDPDF=Y")</f>
        <v>#NAME?</v>
      </c>
      <c r="CB297" s="1" t="e">
        <f ca="1">_xll.BDH($C$278,"TOT_DEBT_TO_EBITDA","FQ4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97" s="1" t="e">
        <f ca="1">_xll.BDH($C$278,"NET_DEBT_TO_EBITDA","FQ4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97" s="1" t="e">
        <f ca="1">_xll.BDH($C$278,"TOTAL_DEBT_TO_EBIT","FQ4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97" s="1" t="e">
        <f ca="1">_xll.BDH($C$278,"NET_DEBT_TO_EBIT","FQ4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297" s="1" t="e">
        <f ca="1">_xll.BDH($C$278,"EBITDA_TO_INTEREST_EXPN","FQ4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97" s="1" t="e">
        <f ca="1">_xll.BDH($C$278,"COM_EQY_TO_TOT_ASSET","FQ4 2017","FQ4 2017","Currency=INR","Period=FQ","BEST_FPERIOD_OVERRIDE=FQ","FILING_STATUS=OR","EQY_CONSOLIDATED=Y","Sort=A","Dates=H","DateFormat=P","Fill=—","Direction=H","UseDPDF=Y")</f>
        <v>#NAME?</v>
      </c>
      <c r="CH297" s="1" t="e">
        <f ca="1">_xll.BDH($C$278,"LT_DEBT_TO_TOT_EQY","FQ4 2017","FQ4 2017","Currency=INR","Period=FQ","BEST_FPERIOD_OVERRIDE=FQ","FILING_STATUS=OR","EQY_CONSOLIDATED=Y","Sort=A","Dates=H","DateFormat=P","Fill=—","Direction=H","UseDPDF=Y")</f>
        <v>#NAME?</v>
      </c>
      <c r="CI297" s="1" t="e">
        <f ca="1">_xll.BDH($C$278,"LT_DEBT_TO_TOT_CAP","FQ4 2017","FQ4 2017","Currency=INR","Period=FQ","BEST_FPERIOD_OVERRIDE=FQ","FILING_STATUS=OR","EQY_CONSOLIDATED=Y","Sort=A","Dates=H","DateFormat=P","Fill=—","Direction=H","UseDPDF=Y")</f>
        <v>#NAME?</v>
      </c>
      <c r="CJ297" s="1" t="e">
        <f ca="1">_xll.BDH($C$278,"LT_DEBT_TO_TOT_ASSET","FQ4 2017","FQ4 2017","Currency=INR","Period=FQ","BEST_FPERIOD_OVERRIDE=FQ","FILING_STATUS=OR","EQY_CONSOLIDATED=Y","Sort=A","Dates=H","DateFormat=P","Fill=—","Direction=H","UseDPDF=Y")</f>
        <v>#NAME?</v>
      </c>
      <c r="CK297" s="1" t="e">
        <f ca="1">_xll.BDH($C$278,"TOT_DEBT_TO_TOT_EQY","FQ4 2017","FQ4 2017","Currency=INR","Period=FQ","BEST_FPERIOD_OVERRIDE=FQ","FILING_STATUS=OR","EQY_CONSOLIDATED=Y","Sort=A","Dates=H","DateFormat=P","Fill=—","Direction=H","UseDPDF=Y")</f>
        <v>#NAME?</v>
      </c>
      <c r="CL297" s="1" t="e">
        <f ca="1">_xll.BDH($C$278,"TOT_DEBT_TO_TOT_CAP","FQ4 2017","FQ4 2017","Currency=INR","Period=FQ","BEST_FPERIOD_OVERRIDE=FQ","FILING_STATUS=OR","EQY_CONSOLIDATED=Y","Sort=A","Dates=H","DateFormat=P","Fill=—","Direction=H","UseDPDF=Y")</f>
        <v>#NAME?</v>
      </c>
      <c r="CM297" s="1" t="e">
        <f ca="1">_xll.BDH($C$278,"TOT_DEBT_TO_TOT_ASSET","FQ4 2017","FQ4 2017","Currency=INR","Period=FQ","BEST_FPERIOD_OVERRIDE=FQ","FILING_STATUS=OR","EQY_CONSOLIDATED=Y","Sort=A","Dates=H","DateFormat=P","Fill=—","Direction=H","UseDPDF=Y")</f>
        <v>#NAME?</v>
      </c>
      <c r="CN297" s="1" t="e">
        <f ca="1">_xll.BDH($C$278,"NET_DEBT_TO_SHRHLDR_EQTY","FQ4 2017","FQ4 2017","Currency=INR","Period=FQ","BEST_FPERIOD_OVERRIDE=FQ","FILING_STATUS=OR","EQY_CONSOLIDATED=Y","Sort=A","Dates=H","DateFormat=P","Fill=—","Direction=H","UseDPDF=Y")</f>
        <v>#NAME?</v>
      </c>
      <c r="CO297" s="1" t="e">
        <f ca="1">_xll.BDH($C$278,"NET_DEBT_%_CAPITAL","FQ4 2017","FQ4 2017","Currency=INR","Period=FQ","BEST_FPERIOD_OVERRIDE=FQ","FILING_STATUS=OR","EQY_CONSOLIDATED=Y","Sort=A","Dates=H","DateFormat=P","Fill=—","Direction=H","UseDPDF=Y")</f>
        <v>#NAME?</v>
      </c>
      <c r="CP297" s="2" t="e">
        <f ca="1">_xll.BDH($C$278,"EBITDA","FQ4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97" s="2" t="e">
        <f ca="1">_xll.BDH($C$278,"EBITDA_AFTER_CAPEX","FQ4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97" s="2" t="e">
        <f ca="1">_xll.BDH($C$278,"IS_OPER_INC","FQ4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97" s="1" t="e">
        <f ca="1">_xll.BDH($C$278,"CASH_RATIO","FQ4 2017","FQ4 2017","Currency=INR","Period=FQ","BEST_FPERIOD_OVERRIDE=FQ","FILING_STATUS=OR","EQY_CONSOLIDATED=Y","Sort=A","Dates=H","DateFormat=P","Fill=—","Direction=H","UseDPDF=Y")</f>
        <v>#NAME?</v>
      </c>
      <c r="CT297" s="1" t="e">
        <f ca="1">_xll.BDH($C$278,"CUR_RATIO","FQ4 2017","FQ4 2017","Currency=INR","Period=FQ","BEST_FPERIOD_OVERRIDE=FQ","FILING_STATUS=OR","EQY_CONSOLIDATED=Y","Sort=A","Dates=H","DateFormat=P","Fill=—","Direction=H","UseDPDF=Y")</f>
        <v>#NAME?</v>
      </c>
      <c r="CU297" s="1" t="e">
        <f ca="1">_xll.BDH($C$278,"QUICK_RATIO","FQ4 2017","FQ4 2017","Currency=INR","Period=FQ","BEST_FPERIOD_OVERRIDE=FQ","FILING_STATUS=OR","EQY_CONSOLIDATED=Y","Sort=A","Dates=H","DateFormat=P","Fill=—","Direction=H","UseDPDF=Y")</f>
        <v>#NAME?</v>
      </c>
      <c r="CV297" s="1" t="e">
        <f ca="1">_xll.BDH($C$278,"ALTMAN_Z_SCORE","FQ4 2017","FQ4 2017","Currency=INR","Period=FQ","BEST_FPERIOD_OVERRIDE=FQ","FILING_STATUS=OR","EQY_CONSOLIDATED=Y","Sort=A","Dates=H","DateFormat=P","Fill=—","Direction=H","UseDPDF=Y")</f>
        <v>#NAME?</v>
      </c>
      <c r="CW297" s="3" t="e">
        <f ca="1">_xll.BDH($C$278,"ACCT_RCV_TURN","FQ4 2017","FQ4 2017","Currency=INR","Period=FQ","BEST_FPERIOD_OVERRIDE=FQ","FILING_STATUS=OR","EQY_CONSOLIDATED=Y","FA_ADJUSTED=GAAP","Sort=A","Dates=H","DateFormat=P","Fill=—","Direction=H","UseDPDF=Y")</f>
        <v>#NAME?</v>
      </c>
      <c r="CX297" s="1" t="e">
        <f ca="1">_xll.BDH($C$278,"ACCT_RCV_DAYS","FQ4 2017","FQ4 2017","Currency=INR","Period=FQ","BEST_FPERIOD_OVERRIDE=FQ","FILING_STATUS=OR","EQY_CONSOLIDATED=Y","FA_ADJUSTED=GAAP","Sort=A","Dates=H","DateFormat=P","Fill=—","Direction=H","UseDPDF=Y")</f>
        <v>#NAME?</v>
      </c>
      <c r="CY297" s="3" t="e">
        <f ca="1">_xll.BDH($C$278,"INVENT_TURN","FQ4 2017","FQ4 2017","Currency=INR","Period=FQ","BEST_FPERIOD_OVERRIDE=FQ","FILING_STATUS=OR","EQY_CONSOLIDATED=Y","FA_ADJUSTED=GAAP","Sort=A","Dates=H","DateFormat=P","Fill=—","Direction=H","UseDPDF=Y")</f>
        <v>#NAME?</v>
      </c>
      <c r="CZ297" s="1" t="e">
        <f ca="1">_xll.BDH($C$278,"INVENT_DAYS","FQ4 2017","FQ4 2017","Currency=INR","Period=FQ","BEST_FPERIOD_OVERRIDE=FQ","FILING_STATUS=OR","EQY_CONSOLIDATED=Y","FA_ADJUSTED=GAAP","Sort=A","Dates=H","DateFormat=P","Fill=—","Direction=H","UseDPDF=Y")</f>
        <v>#NAME?</v>
      </c>
      <c r="DA297" s="3" t="e">
        <f ca="1">_xll.BDH($C$278,"ACCOUNTS_PAYABLE_TURNOVER","FQ4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97" s="1" t="e">
        <f ca="1">_xll.BDH($C$278,"ACCOUNTS_PAYABLE_TURNOVER_DAYS","FQ4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97" s="3" t="e">
        <f ca="1">_xll.BDH($C$278,"CASH_CONVERSION_CYCLE","FQ4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97" s="3" t="e">
        <f ca="1">_xll.BDH($C$278,"INV_TO_CASH_DAYS","FQ4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297" s="4" t="e">
        <f ca="1">_xll.BDH($C$278,"BS_INVENTORIES","FQ4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297" s="2" t="e">
        <f ca="1">_xll.BDH($C$278,"INVTRY_RAW_MATERIALS","FQ4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97" s="2" t="e">
        <f ca="1">_xll.BDH($C$278,"INVTRY_IN_PROGRESS","FQ4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97" s="2" t="e">
        <f ca="1">_xll.BDH($C$278,"INVTRY_FINISHED_GOODS","FQ4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97" s="2" t="e">
        <f ca="1">_xll.BDH($C$278,"BS_OTHER_INV","FQ4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98" spans="1:113" x14ac:dyDescent="0.3">
      <c r="A298" s="6"/>
      <c r="B298" s="6"/>
      <c r="C298" s="6"/>
      <c r="D298" s="6" t="s">
        <v>11</v>
      </c>
      <c r="E298" t="s">
        <v>3</v>
      </c>
      <c r="F298" t="e">
        <f ca="1">_xll.BDH($C$278,"RETURN_COM_EQY","FY 2018","FY 2018","Currency=INR","Period=FY","BEST_FPERIOD_OVERRIDE=FY","FILING_STATUS=OR","EQY_CONSOLIDATED=Y","FA_ADJUSTED=GAAP","Sort=A","Dates=H","DateFormat=P","Fill=—","Direction=H","UseDPDF=Y")</f>
        <v>#NAME?</v>
      </c>
      <c r="G298" t="e">
        <f ca="1">_xll.BDH($C$278,"RETURN_ON_ASSET","FY 2018","FY 2018","Currency=INR","Period=FY","BEST_FPERIOD_OVERRIDE=FY","FILING_STATUS=OR","EQY_CONSOLIDATED=Y","FA_ADJUSTED=GAAP","Sort=A","Dates=H","DateFormat=P","Fill=—","Direction=H","UseDPDF=Y")</f>
        <v>#NAME?</v>
      </c>
      <c r="H298" t="e">
        <f ca="1">_xll.BDH($C$278,"RETURN_ON_CAP","FY 2018","FY 2018","Currency=INR","Period=FY","BEST_FPERIOD_OVERRIDE=FY","FILING_STATUS=OR","EQY_CONSOLIDATED=Y","FA_ADJUSTED=GAAP","Sort=A","Dates=H","DateFormat=P","Fill=—","Direction=H","UseDPDF=Y")</f>
        <v>#NAME?</v>
      </c>
      <c r="I298" t="e">
        <f ca="1">_xll.BDH($C$278,"RETURN_ON_INV_CAPITAL","FY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98" t="e">
        <f ca="1">_xll.BDH($C$278,"EBITDA_TO_REVENUE","FY 2018","FY 2018","Currency=INR","Period=FY","BEST_FPERIOD_OVERRIDE=FY","FILING_STATUS=OR","EQY_CONSOLIDATED=Y","FA_ADJUSTED=GAAP","Sort=A","Dates=H","DateFormat=P","Fill=—","Direction=H","UseDPDF=Y")</f>
        <v>#NAME?</v>
      </c>
      <c r="K298" t="e">
        <f ca="1">_xll.BDH($C$278,"OPER_MARGIN","FY 2018","FY 2018","Currency=INR","Period=FY","BEST_FPERIOD_OVERRIDE=FY","FILING_STATUS=OR","EQY_CONSOLIDATED=Y","FA_ADJUSTED=GAAP","Sort=A","Dates=H","DateFormat=P","Fill=—","Direction=H","UseDPDF=Y")</f>
        <v>#NAME?</v>
      </c>
      <c r="L298" t="e">
        <f ca="1">_xll.BDH($C$278,"INCREMENTAL_OPERATING_MARGIN","FY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98" t="e">
        <f ca="1">_xll.BDH($C$278,"PRETAX_INC_TO_NET_SALES","FY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98" t="e">
        <f ca="1">_xll.BDH($C$278,"INC_BEF_XO_ITEMS_TO_NET_SALES","FY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98" t="e">
        <f ca="1">_xll.BDH($C$278,"PROF_MARGIN","FY 2018","FY 2018","Currency=INR","Period=FY","BEST_FPERIOD_OVERRIDE=FY","FILING_STATUS=OR","EQY_CONSOLIDATED=Y","FA_ADJUSTED=GAAP","Sort=A","Dates=H","DateFormat=P","Fill=—","Direction=H","UseDPDF=Y")</f>
        <v>#NAME?</v>
      </c>
      <c r="P298" t="e">
        <f ca="1">_xll.BDH($C$278,"NET_INCOME_TO_COMMON_MARGIN","FY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98" t="e">
        <f ca="1">_xll.BDH($C$278,"EFF_TAX_RATE","FY 2018","FY 2018","Currency=INR","Period=FY","BEST_FPERIOD_OVERRIDE=FY","FILING_STATUS=OR","EQY_CONSOLIDATED=Y","FA_ADJUSTED=GAAP","Sort=A","Dates=H","DateFormat=P","Fill=—","Direction=H","UseDPDF=Y")</f>
        <v>#NAME?</v>
      </c>
      <c r="R298" t="e">
        <f ca="1">_xll.BDH($C$278,"DVD_PAYOUT_RATIO","FY 2018","FY 2018","Currency=INR","Period=FY","BEST_FPERIOD_OVERRIDE=FY","FILING_STATUS=OR","EQY_CONSOLIDATED=Y","FA_ADJUSTED=GAAP","Sort=A","Dates=H","DateFormat=P","Fill=—","Direction=H","UseDPDF=Y")</f>
        <v>#NAME?</v>
      </c>
      <c r="S298" t="e">
        <f ca="1">_xll.BDH($C$278,"SUSTAIN_GROWTH_RT","FY 2018","FY 2018","Currency=INR","Period=FY","BEST_FPERIOD_OVERRIDE=FY","FILING_STATUS=OR","EQY_CONSOLIDATED=Y","FA_ADJUSTED=GAAP","Sort=A","Dates=H","DateFormat=P","Fill=—","Direction=H","UseDPDF=Y")</f>
        <v>#NAME?</v>
      </c>
      <c r="T298" s="1" t="e">
        <f ca="1">_xll.BDH($C$278,"SALES_GROWTH","FY 2018","FY 2018","Currency=INR","Period=FY","BEST_FPERIOD_OVERRIDE=FY","FILING_STATUS=OR","EQY_CONSOLIDATED=Y","FA_ADJUSTED=GAAP","Sort=A","Dates=H","DateFormat=P","Fill=—","Direction=H","UseDPDF=Y")</f>
        <v>#NAME?</v>
      </c>
      <c r="U298" s="1" t="e">
        <f ca="1">_xll.BDH($C$278,"EBITDA_GROWTH","FY 2018","FY 2018","Currency=INR","Period=FY","BEST_FPERIOD_OVERRIDE=FY","FILING_STATUS=OR","EQY_CONSOLIDATED=Y","FA_ADJUSTED=GAAP","Sort=A","Dates=H","DateFormat=P","Fill=—","Direction=H","UseDPDF=Y")</f>
        <v>#NAME?</v>
      </c>
      <c r="V298" s="1" t="e">
        <f ca="1">_xll.BDH($C$278,"OPER_INC_GROWTH","FY 2018","FY 2018","Currency=INR","Period=FY","BEST_FPERIOD_OVERRIDE=FY","FILING_STATUS=OR","EQY_CONSOLIDATED=Y","FA_ADJUSTED=GAAP","Sort=A","Dates=H","DateFormat=P","Fill=—","Direction=H","UseDPDF=Y")</f>
        <v>#NAME?</v>
      </c>
      <c r="W298" s="1" t="e">
        <f ca="1">_xll.BDH($C$278,"EARN_FOR_COM_GROWTH","FY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298" s="1" t="e">
        <f ca="1">_xll.BDH($C$278,"DILUTED_EPS_AFT_XO_ITEMS_GROWTH","FY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98" s="1" t="e">
        <f ca="1">_xll.BDH($C$278,"DIVIDEND_PER_SHARE_1_YEAR_GROWTH","FY 2018","FY 2018","Currency=INR","Period=FY","BEST_FPERIOD_OVERRIDE=FY","FILING_STATUS=OR","EQY_CONSOLIDATED=Y","Sort=A","Dates=H","DateFormat=P","Fill=—","Direction=H","UseDPDF=Y")</f>
        <v>#NAME?</v>
      </c>
      <c r="Z298" s="1" t="e">
        <f ca="1">_xll.BDH($C$278,"ACCOUNTS_RECEIVABLE_GROWTH","FY 2018","FY 2018","Currency=INR","Period=FY","BEST_FPERIOD_OVERRIDE=FY","FILING_STATUS=OR","EQY_CONSOLIDATED=Y","Sort=A","Dates=H","DateFormat=P","Fill=—","Direction=H","UseDPDF=Y")</f>
        <v>#NAME?</v>
      </c>
      <c r="AA298" s="1" t="e">
        <f ca="1">_xll.BDH($C$278,"INVENTORY_GROWTH","FY 2018","FY 2018","Currency=INR","Period=FY","BEST_FPERIOD_OVERRIDE=FY","FILING_STATUS=OR","EQY_CONSOLIDATED=Y","Sort=A","Dates=H","DateFormat=P","Fill=—","Direction=H","UseDPDF=Y")</f>
        <v>#NAME?</v>
      </c>
      <c r="AB298" s="1" t="e">
        <f ca="1">_xll.BDH($C$278,"NET_FIXED_ASSETS_1_YEAR_GROWTH","FY 2018","FY 2018","Currency=INR","Period=FY","BEST_FPERIOD_OVERRIDE=FY","FILING_STATUS=OR","EQY_CONSOLIDATED=Y","Sort=A","Dates=H","DateFormat=P","Fill=—","Direction=H","UseDPDF=Y")</f>
        <v>#NAME?</v>
      </c>
      <c r="AC298" s="1" t="e">
        <f ca="1">_xll.BDH($C$278,"ASSET_GROWTH","FY 2018","FY 2018","Currency=INR","Period=FY","BEST_FPERIOD_OVERRIDE=FY","FILING_STATUS=OR","EQY_CONSOLIDATED=Y","Sort=A","Dates=H","DateFormat=P","Fill=—","Direction=H","UseDPDF=Y")</f>
        <v>#NAME?</v>
      </c>
      <c r="AD298" s="1" t="e">
        <f ca="1">_xll.BDH($C$278,"MODIFIED_WORK_CAP_GROWTH","FY 2018","FY 2018","Currency=INR","Period=FY","BEST_FPERIOD_OVERRIDE=FY","FILING_STATUS=OR","EQY_CONSOLIDATED=Y","Sort=A","Dates=H","DateFormat=P","Fill=—","Direction=H","UseDPDF=Y")</f>
        <v>#NAME?</v>
      </c>
      <c r="AE298" s="1" t="e">
        <f ca="1">_xll.BDH($C$278,"WORK_CAP_GROWTH","FY 2018","FY 2018","Currency=INR","Period=FY","BEST_FPERIOD_OVERRIDE=FY","FILING_STATUS=OR","EQY_CONSOLIDATED=Y","Sort=A","Dates=H","DateFormat=P","Fill=—","Direction=H","UseDPDF=Y")</f>
        <v>#NAME?</v>
      </c>
      <c r="AF298" s="1" t="e">
        <f ca="1">_xll.BDH($C$278,"ACCOUNTS_PAYABLE_GROWTH_1YR","FY 2018","FY 2018","Currency=INR","Period=FY","BEST_FPERIOD_OVERRIDE=FY","FILING_STATUS=OR","EQY_CONSOLIDATED=Y","Sort=A","Dates=H","DateFormat=P","Fill=—","Direction=H","UseDPDF=Y")</f>
        <v>#NAME?</v>
      </c>
      <c r="AG298" s="1" t="e">
        <f ca="1">_xll.BDH($C$278,"SHORT_TERM_DEBT_1_YEAR_GROWTH","FY 2018","FY 2018","Currency=INR","Period=FY","BEST_FPERIOD_OVERRIDE=FY","FILING_STATUS=OR","EQY_CONSOLIDATED=Y","Sort=A","Dates=H","DateFormat=P","Fill=—","Direction=H","UseDPDF=Y")</f>
        <v>#NAME?</v>
      </c>
      <c r="AH298" s="1" t="e">
        <f ca="1">_xll.BDH($C$278,"TOTAL_DEBT_1_YEAR_GROWTH","FY 2018","FY 2018","Currency=INR","Period=FY","BEST_FPERIOD_OVERRIDE=FY","FILING_STATUS=OR","EQY_CONSOLIDATED=Y","Sort=A","Dates=H","DateFormat=P","Fill=—","Direction=H","UseDPDF=Y")</f>
        <v>#NAME?</v>
      </c>
      <c r="AI298" s="1" t="e">
        <f ca="1">_xll.BDH($C$278,"TOTAL_EQUITY_1_YEAR_GROWTH","FY 2018","FY 2018","Currency=INR","Period=FY","BEST_FPERIOD_OVERRIDE=FY","FILING_STATUS=OR","EQY_CONSOLIDATED=Y","Sort=A","Dates=H","DateFormat=P","Fill=—","Direction=H","UseDPDF=Y")</f>
        <v>#NAME?</v>
      </c>
      <c r="AJ298" s="1" t="e">
        <f ca="1">_xll.BDH($C$278,"GROWTH_IN_CAP","FY 2018","FY 2018","Currency=INR","Period=FY","BEST_FPERIOD_OVERRIDE=FY","FILING_STATUS=OR","EQY_CONSOLIDATED=Y","Sort=A","Dates=H","DateFormat=P","Fill=—","Direction=H","UseDPDF=Y")</f>
        <v>#NAME?</v>
      </c>
      <c r="AK298" s="1" t="e">
        <f ca="1">_xll.BDH($C$278,"BVPS_GROWTH","FY 2018","FY 2018","Currency=INR","Period=FY","BEST_FPERIOD_OVERRIDE=FY","FILING_STATUS=OR","EQY_CONSOLIDATED=Y","Sort=A","Dates=H","DateFormat=P","Fill=—","Direction=H","UseDPDF=Y")</f>
        <v>#NAME?</v>
      </c>
      <c r="AL298" s="1" t="e">
        <f ca="1">_xll.BDH($C$278,"CASH_FLOW_GROWTH","FY 2018","FY 2018","Currency=INR","Period=FY","BEST_FPERIOD_OVERRIDE=FY","FILING_STATUS=OR","EQY_CONSOLIDATED=Y","Sort=A","Dates=H","DateFormat=P","Fill=—","Direction=H","UseDPDF=Y")</f>
        <v>#NAME?</v>
      </c>
      <c r="AM298" s="1" t="e">
        <f ca="1">_xll.BDH($C$278,"GEO_GROW_NET_SALES","FY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298" s="1" t="e">
        <f ca="1">_xll.BDH($C$278,"GEO_GROW_EBITDA","FY 2018","FY 2018","Currency=INR","Period=FY","BEST_FPERIOD_OVERRIDE=FY","FILING_STATUS=OR","EQY_CONSOLIDATED=Y","FA_ADJUSTED=GAAP","Sort=A","Dates=H","DateFormat=P","Fill=—","Direction=H","UseDPDF=Y")</f>
        <v>#NAME?</v>
      </c>
      <c r="AO298" s="1" t="e">
        <f ca="1">_xll.BDH($C$278,"GEO_GROW_OPER_INC","FY 2018","FY 2018","Currency=INR","Period=FY","BEST_FPERIOD_OVERRIDE=FY","FILING_STATUS=OR","EQY_CONSOLIDATED=Y","FA_ADJUSTED=GAAP","Sort=A","Dates=H","DateFormat=P","Fill=—","Direction=H","UseDPDF=Y")</f>
        <v>#NAME?</v>
      </c>
      <c r="AP298" s="1" t="e">
        <f ca="1">_xll.BDH($C$278,"NET_INCOME_TO_COMMON_5_YR_GROWTH","FY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98" s="1" t="e">
        <f ca="1">_xll.BDH($C$278,"5Y_GEO_GROWTH_DILUTED_EPS","FY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98" s="1" t="e">
        <f ca="1">_xll.BDH($C$278,"GEO_GROW_DVD_PER_SH","FY 2018","FY 2018","Currency=INR","Period=FY","BEST_FPERIOD_OVERRIDE=FY","FILING_STATUS=OR","EQY_CONSOLIDATED=Y","Sort=A","Dates=H","DateFormat=P","Fill=—","Direction=H","UseDPDF=Y")</f>
        <v>#NAME?</v>
      </c>
      <c r="AS298" s="1" t="e">
        <f ca="1">_xll.BDH($C$278,"ACCOUNTS_RECEIVABLE_5_YR_GROWTH","FY 2018","FY 2018","Currency=INR","Period=FY","BEST_FPERIOD_OVERRIDE=FY","FILING_STATUS=OR","EQY_CONSOLIDATED=Y","Sort=A","Dates=H","DateFormat=P","Fill=—","Direction=H","UseDPDF=Y")</f>
        <v>#NAME?</v>
      </c>
      <c r="AT298" s="1" t="e">
        <f ca="1">_xll.BDH($C$278,"INVENTORY_5_YEAR_GROWTH","FY 2018","FY 2018","Currency=INR","Period=FY","BEST_FPERIOD_OVERRIDE=FY","FILING_STATUS=OR","EQY_CONSOLIDATED=Y","Sort=A","Dates=H","DateFormat=P","Fill=—","Direction=H","UseDPDF=Y")</f>
        <v>#NAME?</v>
      </c>
      <c r="AU298" s="1" t="e">
        <f ca="1">_xll.BDH($C$278,"NET_FIXED_ASSETS_5_YEAR_GROWTH","FY 2018","FY 2018","Currency=INR","Period=FY","BEST_FPERIOD_OVERRIDE=FY","FILING_STATUS=OR","EQY_CONSOLIDATED=Y","Sort=A","Dates=H","DateFormat=P","Fill=—","Direction=H","UseDPDF=Y")</f>
        <v>#NAME?</v>
      </c>
      <c r="AV298" s="1" t="e">
        <f ca="1">_xll.BDH($C$278,"GEO_GROW_TOT_ASSET","FY 2018","FY 2018","Currency=INR","Period=FY","BEST_FPERIOD_OVERRIDE=FY","FILING_STATUS=OR","EQY_CONSOLIDATED=Y","Sort=A","Dates=H","DateFormat=P","Fill=—","Direction=H","UseDPDF=Y")</f>
        <v>#NAME?</v>
      </c>
      <c r="AW298" s="1" t="e">
        <f ca="1">_xll.BDH($C$278,"MODIFIED_WORKING_CPTL_5YR_GRWTH","FY 2018","FY 2018","Currency=INR","Period=FY","BEST_FPERIOD_OVERRIDE=FY","FILING_STATUS=OR","EQY_CONSOLIDATED=Y","Sort=A","Dates=H","DateFormat=P","Fill=—","Direction=H","UseDPDF=Y")</f>
        <v>#NAME?</v>
      </c>
      <c r="AX298" s="1" t="e">
        <f ca="1">_xll.BDH($C$278,"WORKING_CAPITAL_5_YEAR_GROWTH","FY 2018","FY 2018","Currency=INR","Period=FY","BEST_FPERIOD_OVERRIDE=FY","FILING_STATUS=OR","EQY_CONSOLIDATED=Y","Sort=A","Dates=H","DateFormat=P","Fill=—","Direction=H","UseDPDF=Y")</f>
        <v>#NAME?</v>
      </c>
      <c r="AY298" s="1" t="e">
        <f ca="1">_xll.BDH($C$278,"ACCOUNTS_PAYABLE_5_YEAR_GROWTH","FY 2018","FY 2018","Currency=INR","Period=FY","BEST_FPERIOD_OVERRIDE=FY","FILING_STATUS=OR","EQY_CONSOLIDATED=Y","Sort=A","Dates=H","DateFormat=P","Fill=—","Direction=H","UseDPDF=Y")</f>
        <v>#NAME?</v>
      </c>
      <c r="AZ298" s="1" t="e">
        <f ca="1">_xll.BDH($C$278,"SHORT_TERM_DEBT_5_YEAR_GROWTH","FY 2018","FY 2018","Currency=INR","Period=FY","BEST_FPERIOD_OVERRIDE=FY","FILING_STATUS=OR","EQY_CONSOLIDATED=Y","Sort=A","Dates=H","DateFormat=P","Fill=—","Direction=H","UseDPDF=Y")</f>
        <v>#NAME?</v>
      </c>
      <c r="BA298" s="1" t="e">
        <f ca="1">_xll.BDH($C$278,"TOTAL_DEBT_5_YEAR_GROWTH","FY 2018","FY 2018","Currency=INR","Period=FY","BEST_FPERIOD_OVERRIDE=FY","FILING_STATUS=OR","EQY_CONSOLIDATED=Y","Sort=A","Dates=H","DateFormat=P","Fill=—","Direction=H","UseDPDF=Y")</f>
        <v>#NAME?</v>
      </c>
      <c r="BB298" s="1" t="e">
        <f ca="1">_xll.BDH($C$278,"GEO_GROW_TOT_SHRHLDR_EQY","FY 2018","FY 2018","Currency=INR","Period=FY","BEST_FPERIOD_OVERRIDE=FY","FILING_STATUS=OR","EQY_CONSOLIDATED=Y","Sort=A","Dates=H","DateFormat=P","Fill=—","Direction=H","UseDPDF=Y")</f>
        <v>#NAME?</v>
      </c>
      <c r="BC298" s="1" t="e">
        <f ca="1">_xll.BDH($C$278,"TOTAL_CAPITAL_5_YEAR_GROWTH","FY 2018","FY 2018","Currency=INR","Period=FY","BEST_FPERIOD_OVERRIDE=FY","FILING_STATUS=OR","EQY_CONSOLIDATED=Y","Sort=A","Dates=H","DateFormat=P","Fill=—","Direction=H","UseDPDF=Y")</f>
        <v>#NAME?</v>
      </c>
      <c r="BD298" s="1" t="e">
        <f ca="1">_xll.BDH($C$278,"GEO_GROW_BOOK_VAL","FY 2018","FY 2018","Currency=INR","Period=FY","BEST_FPERIOD_OVERRIDE=FY","FILING_STATUS=OR","EQY_CONSOLIDATED=Y","Sort=A","Dates=H","DateFormat=P","Fill=—","Direction=H","UseDPDF=Y")</f>
        <v>#NAME?</v>
      </c>
      <c r="BE298" s="1" t="e">
        <f ca="1">_xll.BDH($C$278,"GEO_GROW_CASH_OPER_ACT","FY 2018","FY 2018","Currency=INR","Period=FY","BEST_FPERIOD_OVERRIDE=FY","FILING_STATUS=OR","EQY_CONSOLIDATED=Y","Sort=A","Dates=H","DateFormat=P","Fill=—","Direction=H","UseDPDF=Y")</f>
        <v>#NAME?</v>
      </c>
      <c r="BF298" s="1" t="e">
        <f ca="1">_xll.BDH($C$278,"REVENUE_SEQUENTIAL_GROWTH","FY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98" s="1" t="e">
        <f ca="1">_xll.BDH($C$278,"EBITDA_SEQUENTIAL_GROWTH","FY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98" s="1" t="e">
        <f ca="1">_xll.BDH($C$278,"OPERATING_INCOME_SEQ_GROWTH","FY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98" s="1" t="e">
        <f ca="1">_xll.BDH($C$278,"NET_INCOME_TO_COMMON_SEQ_GROWTH","FY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98" s="1" t="e">
        <f ca="1">_xll.BDH($C$278,"EPS_DILUTED_SEQUENTIAL_GROWTH","FY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98" s="1" t="e">
        <f ca="1">_xll.BDH($C$278,"DPS_SEQUENTIAL_GROWTH","FY 2018","FY 2018","Currency=INR","Period=FY","BEST_FPERIOD_OVERRIDE=FY","FILING_STATUS=OR","EQY_CONSOLIDATED=Y","Sort=A","Dates=H","DateFormat=P","Fill=—","Direction=H","UseDPDF=Y")</f>
        <v>#NAME?</v>
      </c>
      <c r="BL298" s="1" t="e">
        <f ca="1">_xll.BDH($C$278,"ACCOUNTS_RECEIVABLE_SEQ_GROWTH","FY 2018","FY 2018","Currency=INR","Period=FY","BEST_FPERIOD_OVERRIDE=FY","FILING_STATUS=OR","EQY_CONSOLIDATED=Y","Sort=A","Dates=H","DateFormat=P","Fill=—","Direction=H","UseDPDF=Y")</f>
        <v>#NAME?</v>
      </c>
      <c r="BM298" s="1" t="e">
        <f ca="1">_xll.BDH($C$278,"INVENTORY_SEQUENTIAL_GROWTH","FY 2018","FY 2018","Currency=INR","Period=FY","BEST_FPERIOD_OVERRIDE=FY","FILING_STATUS=OR","EQY_CONSOLIDATED=Y","Sort=A","Dates=H","DateFormat=P","Fill=—","Direction=H","UseDPDF=Y")</f>
        <v>#NAME?</v>
      </c>
      <c r="BN298" s="1" t="e">
        <f ca="1">_xll.BDH($C$278,"FIXED_ASSETS_SEQUENTIAL_GROWTH","FY 2018","FY 2018","Currency=INR","Period=FY","BEST_FPERIOD_OVERRIDE=FY","FILING_STATUS=OR","EQY_CONSOLIDATED=Y","Sort=A","Dates=H","DateFormat=P","Fill=—","Direction=H","UseDPDF=Y")</f>
        <v>#NAME?</v>
      </c>
      <c r="BO298" s="1" t="e">
        <f ca="1">_xll.BDH($C$278,"TOTAL_ASSETS_SEQUENTIAL_GROWTH","FY 2018","FY 2018","Currency=INR","Period=FY","BEST_FPERIOD_OVERRIDE=FY","FILING_STATUS=OR","EQY_CONSOLIDATED=Y","Sort=A","Dates=H","DateFormat=P","Fill=—","Direction=H","UseDPDF=Y")</f>
        <v>#NAME?</v>
      </c>
      <c r="BP298" s="1" t="e">
        <f ca="1">_xll.BDH($C$278,"MODIFIED_WORKING_CPTL_SEQ_GRWTH","FY 2018","FY 2018","Currency=INR","Period=FY","BEST_FPERIOD_OVERRIDE=FY","FILING_STATUS=OR","EQY_CONSOLIDATED=Y","Sort=A","Dates=H","DateFormat=P","Fill=—","Direction=H","UseDPDF=Y")</f>
        <v>#NAME?</v>
      </c>
      <c r="BQ298" s="1" t="e">
        <f ca="1">_xll.BDH($C$278,"WORKING_CAPITAL_SEQ_GROWTH","FY 2018","FY 2018","Currency=INR","Period=FY","BEST_FPERIOD_OVERRIDE=FY","FILING_STATUS=OR","EQY_CONSOLIDATED=Y","Sort=A","Dates=H","DateFormat=P","Fill=—","Direction=H","UseDPDF=Y")</f>
        <v>#NAME?</v>
      </c>
      <c r="BR298" s="1" t="e">
        <f ca="1">_xll.BDH($C$278,"ACCOUNTS_PAYABLE_SEQ_GROWTH","FY 2018","FY 2018","Currency=INR","Period=FY","BEST_FPERIOD_OVERRIDE=FY","FILING_STATUS=OR","EQY_CONSOLIDATED=Y","Sort=A","Dates=H","DateFormat=P","Fill=—","Direction=H","UseDPDF=Y")</f>
        <v>#NAME?</v>
      </c>
      <c r="BS298" s="1" t="e">
        <f ca="1">_xll.BDH($C$278,"ST_DEBT_SEQUENTIAL_GROWTH","FY 2018","FY 2018","Currency=INR","Period=FY","BEST_FPERIOD_OVERRIDE=FY","FILING_STATUS=OR","EQY_CONSOLIDATED=Y","Sort=A","Dates=H","DateFormat=P","Fill=—","Direction=H","UseDPDF=Y")</f>
        <v>#NAME?</v>
      </c>
      <c r="BT298" s="1" t="e">
        <f ca="1">_xll.BDH($C$278,"TOTAL_DEBT_SEQUENTIAL_GROWTH","FY 2018","FY 2018","Currency=INR","Period=FY","BEST_FPERIOD_OVERRIDE=FY","FILING_STATUS=OR","EQY_CONSOLIDATED=Y","Sort=A","Dates=H","DateFormat=P","Fill=—","Direction=H","UseDPDF=Y")</f>
        <v>#NAME?</v>
      </c>
      <c r="BU298" s="1" t="e">
        <f ca="1">_xll.BDH($C$278,"TOTAL_EQUITY_SEQUENTIAL_GROWTH","FY 2018","FY 2018","Currency=INR","Period=FY","BEST_FPERIOD_OVERRIDE=FY","FILING_STATUS=OR","EQY_CONSOLIDATED=Y","Sort=A","Dates=H","DateFormat=P","Fill=—","Direction=H","UseDPDF=Y")</f>
        <v>#NAME?</v>
      </c>
      <c r="BV298" s="1" t="e">
        <f ca="1">_xll.BDH($C$278,"TOTAL_CAPITAL_SEQUENTIAL_GROWTH","FY 2018","FY 2018","Currency=INR","Period=FY","BEST_FPERIOD_OVERRIDE=FY","FILING_STATUS=OR","EQY_CONSOLIDATED=Y","Sort=A","Dates=H","DateFormat=P","Fill=—","Direction=H","UseDPDF=Y")</f>
        <v>#NAME?</v>
      </c>
      <c r="BW298" s="1" t="e">
        <f ca="1">_xll.BDH($C$278,"BPS_SEQUENTIAL_GROWTH","FY 2018","FY 2018","Currency=INR","Period=FY","BEST_FPERIOD_OVERRIDE=FY","FILING_STATUS=OR","EQY_CONSOLIDATED=Y","Sort=A","Dates=H","DateFormat=P","Fill=—","Direction=H","UseDPDF=Y")</f>
        <v>#NAME?</v>
      </c>
      <c r="BX298" s="1" t="e">
        <f ca="1">_xll.BDH($C$278,"CFO_SEQUENTIAL_GROWTH","FY 2018","FY 2018","Currency=INR","Period=FY","BEST_FPERIOD_OVERRIDE=FY","FILING_STATUS=OR","EQY_CONSOLIDATED=Y","Sort=A","Dates=H","DateFormat=P","Fill=—","Direction=H","UseDPDF=Y")</f>
        <v>#NAME?</v>
      </c>
      <c r="BY298" s="2" t="e">
        <f ca="1">_xll.BDH($C$278,"SHORT_AND_LONG_TERM_DEBT","FY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98" s="2" t="e">
        <f ca="1">_xll.BDH($C$278,"BS_ST_BORROW","FY 2018","FY 2018","Currency=INR","Period=FY","BEST_FPERIOD_OVERRIDE=FY","FILING_STATUS=OR","EQY_CONSOLIDATED=Y","SCALING_FORMAT=MLN","Sort=A","Dates=H","DateFormat=P","Fill=—","Direction=H","UseDPDF=Y")</f>
        <v>#NAME?</v>
      </c>
      <c r="CA298" s="2" t="e">
        <f ca="1">_xll.BDH($C$278,"BS_LT_BORROW","FY 2018","FY 2018","Currency=INR","Period=FY","BEST_FPERIOD_OVERRIDE=FY","FILING_STATUS=OR","EQY_CONSOLIDATED=Y","SCALING_FORMAT=MLN","Sort=A","Dates=H","DateFormat=P","Fill=—","Direction=H","UseDPDF=Y")</f>
        <v>#NAME?</v>
      </c>
      <c r="CB298" s="1" t="e">
        <f ca="1">_xll.BDH($C$278,"TOT_DEBT_TO_EBITDA","FY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298" s="1" t="e">
        <f ca="1">_xll.BDH($C$278,"NET_DEBT_TO_EBITDA","FY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298" s="1" t="e">
        <f ca="1">_xll.BDH($C$278,"TOTAL_DEBT_TO_EBIT","FY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298" s="1" t="e">
        <f ca="1">_xll.BDH($C$278,"NET_DEBT_TO_EBIT","FY 2018","FY 2018","Currency=INR","Period=FY","BEST_FPERIOD_OVERRIDE=FY","FILING_STATUS=OR","EQY_CONSOLIDATED=Y","FA_ADJUSTED=GAAP","Sort=A","Dates=H","DateFormat=P","Fill=—","Direction=H","UseDPDF=Y")</f>
        <v>#NAME?</v>
      </c>
      <c r="CF298" s="1" t="e">
        <f ca="1">_xll.BDH($C$278,"EBITDA_TO_INTEREST_EXPN","FY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98" s="1" t="e">
        <f ca="1">_xll.BDH($C$278,"COM_EQY_TO_TOT_ASSET","FY 2018","FY 2018","Currency=INR","Period=FY","BEST_FPERIOD_OVERRIDE=FY","FILING_STATUS=OR","EQY_CONSOLIDATED=Y","Sort=A","Dates=H","DateFormat=P","Fill=—","Direction=H","UseDPDF=Y")</f>
        <v>#NAME?</v>
      </c>
      <c r="CH298" s="1" t="e">
        <f ca="1">_xll.BDH($C$278,"LT_DEBT_TO_TOT_EQY","FY 2018","FY 2018","Currency=INR","Period=FY","BEST_FPERIOD_OVERRIDE=FY","FILING_STATUS=OR","EQY_CONSOLIDATED=Y","Sort=A","Dates=H","DateFormat=P","Fill=—","Direction=H","UseDPDF=Y")</f>
        <v>#NAME?</v>
      </c>
      <c r="CI298" s="1" t="e">
        <f ca="1">_xll.BDH($C$278,"LT_DEBT_TO_TOT_CAP","FY 2018","FY 2018","Currency=INR","Period=FY","BEST_FPERIOD_OVERRIDE=FY","FILING_STATUS=OR","EQY_CONSOLIDATED=Y","Sort=A","Dates=H","DateFormat=P","Fill=—","Direction=H","UseDPDF=Y")</f>
        <v>#NAME?</v>
      </c>
      <c r="CJ298" s="1" t="e">
        <f ca="1">_xll.BDH($C$278,"LT_DEBT_TO_TOT_ASSET","FY 2018","FY 2018","Currency=INR","Period=FY","BEST_FPERIOD_OVERRIDE=FY","FILING_STATUS=OR","EQY_CONSOLIDATED=Y","Sort=A","Dates=H","DateFormat=P","Fill=—","Direction=H","UseDPDF=Y")</f>
        <v>#NAME?</v>
      </c>
      <c r="CK298" s="1" t="e">
        <f ca="1">_xll.BDH($C$278,"TOT_DEBT_TO_TOT_EQY","FY 2018","FY 2018","Currency=INR","Period=FY","BEST_FPERIOD_OVERRIDE=FY","FILING_STATUS=OR","EQY_CONSOLIDATED=Y","Sort=A","Dates=H","DateFormat=P","Fill=—","Direction=H","UseDPDF=Y")</f>
        <v>#NAME?</v>
      </c>
      <c r="CL298" s="1" t="e">
        <f ca="1">_xll.BDH($C$278,"TOT_DEBT_TO_TOT_CAP","FY 2018","FY 2018","Currency=INR","Period=FY","BEST_FPERIOD_OVERRIDE=FY","FILING_STATUS=OR","EQY_CONSOLIDATED=Y","Sort=A","Dates=H","DateFormat=P","Fill=—","Direction=H","UseDPDF=Y")</f>
        <v>#NAME?</v>
      </c>
      <c r="CM298" s="1" t="e">
        <f ca="1">_xll.BDH($C$278,"TOT_DEBT_TO_TOT_ASSET","FY 2018","FY 2018","Currency=INR","Period=FY","BEST_FPERIOD_OVERRIDE=FY","FILING_STATUS=OR","EQY_CONSOLIDATED=Y","Sort=A","Dates=H","DateFormat=P","Fill=—","Direction=H","UseDPDF=Y")</f>
        <v>#NAME?</v>
      </c>
      <c r="CN298" s="1" t="e">
        <f ca="1">_xll.BDH($C$278,"NET_DEBT_TO_SHRHLDR_EQTY","FY 2018","FY 2018","Currency=INR","Period=FY","BEST_FPERIOD_OVERRIDE=FY","FILING_STATUS=OR","EQY_CONSOLIDATED=Y","Sort=A","Dates=H","DateFormat=P","Fill=—","Direction=H","UseDPDF=Y")</f>
        <v>#NAME?</v>
      </c>
      <c r="CO298" s="1" t="e">
        <f ca="1">_xll.BDH($C$278,"NET_DEBT_%_CAPITAL","FY 2018","FY 2018","Currency=INR","Period=FY","BEST_FPERIOD_OVERRIDE=FY","FILING_STATUS=OR","EQY_CONSOLIDATED=Y","Sort=A","Dates=H","DateFormat=P","Fill=—","Direction=H","UseDPDF=Y")</f>
        <v>#NAME?</v>
      </c>
      <c r="CP298" s="2" t="e">
        <f ca="1">_xll.BDH($C$278,"EBITDA","FY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98" s="2" t="e">
        <f ca="1">_xll.BDH($C$278,"EBITDA_AFTER_CAPEX","FY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98" s="2" t="e">
        <f ca="1">_xll.BDH($C$278,"IS_OPER_INC","FY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98" s="1" t="e">
        <f ca="1">_xll.BDH($C$278,"CASH_RATIO","FY 2018","FY 2018","Currency=INR","Period=FY","BEST_FPERIOD_OVERRIDE=FY","FILING_STATUS=OR","EQY_CONSOLIDATED=Y","Sort=A","Dates=H","DateFormat=P","Fill=—","Direction=H","UseDPDF=Y")</f>
        <v>#NAME?</v>
      </c>
      <c r="CT298" s="1" t="e">
        <f ca="1">_xll.BDH($C$278,"CUR_RATIO","FY 2018","FY 2018","Currency=INR","Period=FY","BEST_FPERIOD_OVERRIDE=FY","FILING_STATUS=OR","EQY_CONSOLIDATED=Y","Sort=A","Dates=H","DateFormat=P","Fill=—","Direction=H","UseDPDF=Y")</f>
        <v>#NAME?</v>
      </c>
      <c r="CU298" s="1" t="e">
        <f ca="1">_xll.BDH($C$278,"QUICK_RATIO","FY 2018","FY 2018","Currency=INR","Period=FY","BEST_FPERIOD_OVERRIDE=FY","FILING_STATUS=OR","EQY_CONSOLIDATED=Y","Sort=A","Dates=H","DateFormat=P","Fill=—","Direction=H","UseDPDF=Y")</f>
        <v>#NAME?</v>
      </c>
      <c r="CV298" s="1" t="e">
        <f ca="1">_xll.BDH($C$278,"ALTMAN_Z_SCORE","FY 2018","FY 2018","Currency=INR","Period=FY","BEST_FPERIOD_OVERRIDE=FY","FILING_STATUS=OR","EQY_CONSOLIDATED=Y","Sort=A","Dates=H","DateFormat=P","Fill=—","Direction=H","UseDPDF=Y")</f>
        <v>#NAME?</v>
      </c>
      <c r="CW298" s="3" t="e">
        <f ca="1">_xll.BDH($C$278,"ACCT_RCV_TURN","FY 2018","FY 2018","Currency=INR","Period=FY","BEST_FPERIOD_OVERRIDE=FY","FILING_STATUS=OR","EQY_CONSOLIDATED=Y","FA_ADJUSTED=GAAP","Sort=A","Dates=H","DateFormat=P","Fill=—","Direction=H","UseDPDF=Y")</f>
        <v>#NAME?</v>
      </c>
      <c r="CX298" s="1" t="e">
        <f ca="1">_xll.BDH($C$278,"ACCT_RCV_DAYS","FY 2018","FY 2018","Currency=INR","Period=FY","BEST_FPERIOD_OVERRIDE=FY","FILING_STATUS=OR","EQY_CONSOLIDATED=Y","FA_ADJUSTED=GAAP","Sort=A","Dates=H","DateFormat=P","Fill=—","Direction=H","UseDPDF=Y")</f>
        <v>#NAME?</v>
      </c>
      <c r="CY298" s="3" t="e">
        <f ca="1">_xll.BDH($C$278,"INVENT_TURN","FY 2018","FY 2018","Currency=INR","Period=FY","BEST_FPERIOD_OVERRIDE=FY","FILING_STATUS=OR","EQY_CONSOLIDATED=Y","FA_ADJUSTED=GAAP","Sort=A","Dates=H","DateFormat=P","Fill=—","Direction=H","UseDPDF=Y")</f>
        <v>#NAME?</v>
      </c>
      <c r="CZ298" s="1" t="e">
        <f ca="1">_xll.BDH($C$278,"INVENT_DAYS","FY 2018","FY 2018","Currency=INR","Period=FY","BEST_FPERIOD_OVERRIDE=FY","FILING_STATUS=OR","EQY_CONSOLIDATED=Y","FA_ADJUSTED=GAAP","Sort=A","Dates=H","DateFormat=P","Fill=—","Direction=H","UseDPDF=Y")</f>
        <v>#NAME?</v>
      </c>
      <c r="DA298" s="3" t="e">
        <f ca="1">_xll.BDH($C$278,"ACCOUNTS_PAYABLE_TURNOVER","FY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98" s="1" t="e">
        <f ca="1">_xll.BDH($C$278,"ACCOUNTS_PAYABLE_TURNOVER_DAYS","FY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98" s="3" t="e">
        <f ca="1">_xll.BDH($C$278,"CASH_CONVERSION_CYCLE","FY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98" s="3" t="e">
        <f ca="1">_xll.BDH($C$278,"INV_TO_CASH_DAYS","FY 2018","FY 2018","Currency=INR","Period=FY","BEST_FPERIOD_OVERRIDE=FY","FILING_STATUS=OR","EQY_CONSOLIDATED=Y","FA_ADJUSTED=GAAP","Sort=A","Dates=H","DateFormat=P","Fill=—","Direction=H","UseDPDF=Y")</f>
        <v>#NAME?</v>
      </c>
      <c r="DE298" s="4" t="e">
        <f ca="1">_xll.BDH($C$278,"BS_INVENTORIES","FY 2018","FY 2018","Currency=INR","Period=FY","BEST_FPERIOD_OVERRIDE=FY","FILING_STATUS=OR","EQY_CONSOLIDATED=Y","SCALING_FORMAT=MLN","Sort=A","Dates=H","DateFormat=P","Fill=—","Direction=H","UseDPDF=Y")</f>
        <v>#NAME?</v>
      </c>
      <c r="DF298" s="2" t="e">
        <f ca="1">_xll.BDH($C$278,"INVTRY_RAW_MATERIALS","FY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98" s="2" t="e">
        <f ca="1">_xll.BDH($C$278,"INVTRY_IN_PROGRESS","FY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98" s="2" t="e">
        <f ca="1">_xll.BDH($C$278,"INVTRY_FINISHED_GOODS","FY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98" s="2" t="e">
        <f ca="1">_xll.BDH($C$278,"BS_OTHER_INV","FY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99" spans="1:113" x14ac:dyDescent="0.3">
      <c r="A299" s="6"/>
      <c r="B299" s="6"/>
      <c r="C299" s="6"/>
      <c r="D299" s="6"/>
      <c r="E299" t="s">
        <v>4</v>
      </c>
      <c r="F299" t="e">
        <f ca="1">_xll.BDH($C$278,"RETURN_COM_EQY","FQ1 2018","FQ1 2018","Currency=INR","Period=FQ","BEST_FPERIOD_OVERRIDE=FQ","FILING_STATUS=OR","EQY_CONSOLIDATED=Y","FA_ADJUSTED=GAAP","Sort=A","Dates=H","DateFormat=P","Fill=—","Direction=H","UseDPDF=Y")</f>
        <v>#NAME?</v>
      </c>
      <c r="G299" t="e">
        <f ca="1">_xll.BDH($C$278,"RETURN_ON_ASSET","FQ1 2018","FQ1 2018","Currency=INR","Period=FQ","BEST_FPERIOD_OVERRIDE=FQ","FILING_STATUS=OR","EQY_CONSOLIDATED=Y","FA_ADJUSTED=GAAP","Sort=A","Dates=H","DateFormat=P","Fill=—","Direction=H","UseDPDF=Y")</f>
        <v>#NAME?</v>
      </c>
      <c r="H299" t="e">
        <f ca="1">_xll.BDH($C$278,"RETURN_ON_CAP","FQ1 2018","FQ1 2018","Currency=INR","Period=FQ","BEST_FPERIOD_OVERRIDE=FQ","FILING_STATUS=OR","EQY_CONSOLIDATED=Y","FA_ADJUSTED=GAAP","Sort=A","Dates=H","DateFormat=P","Fill=—","Direction=H","UseDPDF=Y")</f>
        <v>#NAME?</v>
      </c>
      <c r="I299" t="e">
        <f ca="1">_xll.BDH($C$278,"RETURN_ON_INV_CAPITAL","FQ1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99" t="e">
        <f ca="1">_xll.BDH($C$278,"EBITDA_TO_REVENUE","FQ1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299" t="e">
        <f ca="1">_xll.BDH($C$278,"OPER_MARGIN","FQ1 2018","FQ1 2018","Currency=INR","Period=FQ","BEST_FPERIOD_OVERRIDE=FQ","FILING_STATUS=OR","EQY_CONSOLIDATED=Y","FA_ADJUSTED=GAAP","Sort=A","Dates=H","DateFormat=P","Fill=—","Direction=H","UseDPDF=Y")</f>
        <v>#NAME?</v>
      </c>
      <c r="L299" t="e">
        <f ca="1">_xll.BDH($C$278,"INCREMENTAL_OPERATING_MARGIN","FQ1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99" t="e">
        <f ca="1">_xll.BDH($C$278,"PRETAX_INC_TO_NET_SALES","FQ1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99" t="e">
        <f ca="1">_xll.BDH($C$278,"INC_BEF_XO_ITEMS_TO_NET_SALES","FQ1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99" t="e">
        <f ca="1">_xll.BDH($C$278,"PROF_MARGIN","FQ1 2018","FQ1 2018","Currency=INR","Period=FQ","BEST_FPERIOD_OVERRIDE=FQ","FILING_STATUS=OR","EQY_CONSOLIDATED=Y","FA_ADJUSTED=GAAP","Sort=A","Dates=H","DateFormat=P","Fill=—","Direction=H","UseDPDF=Y")</f>
        <v>#NAME?</v>
      </c>
      <c r="P299" t="e">
        <f ca="1">_xll.BDH($C$278,"NET_INCOME_TO_COMMON_MARGIN","FQ1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99" t="e">
        <f ca="1">_xll.BDH($C$278,"EFF_TAX_RATE","FQ1 2018","FQ1 2018","Currency=INR","Period=FQ","BEST_FPERIOD_OVERRIDE=FQ","FILING_STATUS=OR","EQY_CONSOLIDATED=Y","FA_ADJUSTED=GAAP","Sort=A","Dates=H","DateFormat=P","Fill=—","Direction=H","UseDPDF=Y")</f>
        <v>#NAME?</v>
      </c>
      <c r="R299" t="e">
        <f ca="1">_xll.BDH($C$278,"DVD_PAYOUT_RATIO","FQ1 2018","FQ1 2018","Currency=INR","Period=FQ","BEST_FPERIOD_OVERRIDE=FQ","FILING_STATUS=OR","EQY_CONSOLIDATED=Y","FA_ADJUSTED=GAAP","Sort=A","Dates=H","DateFormat=P","Fill=—","Direction=H","UseDPDF=Y")</f>
        <v>#NAME?</v>
      </c>
      <c r="S299" t="e">
        <f ca="1">_xll.BDH($C$278,"SUSTAIN_GROWTH_RT","FQ1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299" s="1" t="e">
        <f ca="1">_xll.BDH($C$278,"SALES_GROWTH","FQ1 2018","FQ1 2018","Currency=INR","Period=FQ","BEST_FPERIOD_OVERRIDE=FQ","FILING_STATUS=OR","EQY_CONSOLIDATED=Y","FA_ADJUSTED=GAAP","Sort=A","Dates=H","DateFormat=P","Fill=—","Direction=H","UseDPDF=Y")</f>
        <v>#NAME?</v>
      </c>
      <c r="U299" s="1" t="e">
        <f ca="1">_xll.BDH($C$278,"EBITDA_GROWTH","FQ1 2018","FQ1 2018","Currency=INR","Period=FQ","BEST_FPERIOD_OVERRIDE=FQ","FILING_STATUS=OR","EQY_CONSOLIDATED=Y","FA_ADJUSTED=GAAP","Sort=A","Dates=H","DateFormat=P","Fill=—","Direction=H","UseDPDF=Y")</f>
        <v>#NAME?</v>
      </c>
      <c r="V299" s="1" t="e">
        <f ca="1">_xll.BDH($C$278,"OPER_INC_GROWTH","FQ1 2018","FQ1 2018","Currency=INR","Period=FQ","BEST_FPERIOD_OVERRIDE=FQ","FILING_STATUS=OR","EQY_CONSOLIDATED=Y","FA_ADJUSTED=GAAP","Sort=A","Dates=H","DateFormat=P","Fill=—","Direction=H","UseDPDF=Y")</f>
        <v>#NAME?</v>
      </c>
      <c r="W299" s="1" t="e">
        <f ca="1">_xll.BDH($C$278,"EARN_FOR_COM_GROWTH","FQ1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99" s="1" t="e">
        <f ca="1">_xll.BDH($C$278,"DILUTED_EPS_AFT_XO_ITEMS_GROWTH","FQ1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99" s="1" t="e">
        <f ca="1">_xll.BDH($C$278,"DIVIDEND_PER_SHARE_1_YEAR_GROWTH","FQ1 2018","FQ1 2018","Currency=INR","Period=FQ","BEST_FPERIOD_OVERRIDE=FQ","FILING_STATUS=OR","EQY_CONSOLIDATED=Y","Sort=A","Dates=H","DateFormat=P","Fill=—","Direction=H","UseDPDF=Y")</f>
        <v>#NAME?</v>
      </c>
      <c r="Z299" s="1" t="e">
        <f ca="1">_xll.BDH($C$278,"ACCOUNTS_RECEIVABLE_GROWTH","FQ1 2018","FQ1 2018","Currency=INR","Period=FQ","BEST_FPERIOD_OVERRIDE=FQ","FILING_STATUS=OR","EQY_CONSOLIDATED=Y","Sort=A","Dates=H","DateFormat=P","Fill=—","Direction=H","UseDPDF=Y")</f>
        <v>#NAME?</v>
      </c>
      <c r="AA299" s="1" t="e">
        <f ca="1">_xll.BDH($C$278,"INVENTORY_GROWTH","FQ1 2018","FQ1 2018","Currency=INR","Period=FQ","BEST_FPERIOD_OVERRIDE=FQ","FILING_STATUS=OR","EQY_CONSOLIDATED=Y","Sort=A","Dates=H","DateFormat=P","Fill=—","Direction=H","UseDPDF=Y")</f>
        <v>#NAME?</v>
      </c>
      <c r="AB299" s="1" t="e">
        <f ca="1">_xll.BDH($C$278,"NET_FIXED_ASSETS_1_YEAR_GROWTH","FQ1 2018","FQ1 2018","Currency=INR","Period=FQ","BEST_FPERIOD_OVERRIDE=FQ","FILING_STATUS=OR","EQY_CONSOLIDATED=Y","Sort=A","Dates=H","DateFormat=P","Fill=—","Direction=H","UseDPDF=Y")</f>
        <v>#NAME?</v>
      </c>
      <c r="AC299" s="1" t="e">
        <f ca="1">_xll.BDH($C$278,"ASSET_GROWTH","FQ1 2018","FQ1 2018","Currency=INR","Period=FQ","BEST_FPERIOD_OVERRIDE=FQ","FILING_STATUS=OR","EQY_CONSOLIDATED=Y","Sort=A","Dates=H","DateFormat=P","Fill=—","Direction=H","UseDPDF=Y")</f>
        <v>#NAME?</v>
      </c>
      <c r="AD299" s="1" t="e">
        <f ca="1">_xll.BDH($C$278,"MODIFIED_WORK_CAP_GROWTH","FQ1 2018","FQ1 2018","Currency=INR","Period=FQ","BEST_FPERIOD_OVERRIDE=FQ","FILING_STATUS=OR","EQY_CONSOLIDATED=Y","Sort=A","Dates=H","DateFormat=P","Fill=—","Direction=H","UseDPDF=Y")</f>
        <v>#NAME?</v>
      </c>
      <c r="AE299" s="1" t="e">
        <f ca="1">_xll.BDH($C$278,"WORK_CAP_GROWTH","FQ1 2018","FQ1 2018","Currency=INR","Period=FQ","BEST_FPERIOD_OVERRIDE=FQ","FILING_STATUS=OR","EQY_CONSOLIDATED=Y","Sort=A","Dates=H","DateFormat=P","Fill=—","Direction=H","UseDPDF=Y")</f>
        <v>#NAME?</v>
      </c>
      <c r="AF299" s="1" t="e">
        <f ca="1">_xll.BDH($C$278,"ACCOUNTS_PAYABLE_GROWTH_1YR","FQ1 2018","FQ1 2018","Currency=INR","Period=FQ","BEST_FPERIOD_OVERRIDE=FQ","FILING_STATUS=OR","EQY_CONSOLIDATED=Y","Sort=A","Dates=H","DateFormat=P","Fill=—","Direction=H","UseDPDF=Y")</f>
        <v>#NAME?</v>
      </c>
      <c r="AG299" s="1" t="e">
        <f ca="1">_xll.BDH($C$278,"SHORT_TERM_DEBT_1_YEAR_GROWTH","FQ1 2018","FQ1 2018","Currency=INR","Period=FQ","BEST_FPERIOD_OVERRIDE=FQ","FILING_STATUS=OR","EQY_CONSOLIDATED=Y","Sort=A","Dates=H","DateFormat=P","Fill=—","Direction=H","UseDPDF=Y")</f>
        <v>#NAME?</v>
      </c>
      <c r="AH299" s="1" t="e">
        <f ca="1">_xll.BDH($C$278,"TOTAL_DEBT_1_YEAR_GROWTH","FQ1 2018","FQ1 2018","Currency=INR","Period=FQ","BEST_FPERIOD_OVERRIDE=FQ","FILING_STATUS=OR","EQY_CONSOLIDATED=Y","Sort=A","Dates=H","DateFormat=P","Fill=—","Direction=H","UseDPDF=Y")</f>
        <v>#NAME?</v>
      </c>
      <c r="AI299" s="1" t="e">
        <f ca="1">_xll.BDH($C$278,"TOTAL_EQUITY_1_YEAR_GROWTH","FQ1 2018","FQ1 2018","Currency=INR","Period=FQ","BEST_FPERIOD_OVERRIDE=FQ","FILING_STATUS=OR","EQY_CONSOLIDATED=Y","Sort=A","Dates=H","DateFormat=P","Fill=—","Direction=H","UseDPDF=Y")</f>
        <v>#NAME?</v>
      </c>
      <c r="AJ299" s="1" t="e">
        <f ca="1">_xll.BDH($C$278,"GROWTH_IN_CAP","FQ1 2018","FQ1 2018","Currency=INR","Period=FQ","BEST_FPERIOD_OVERRIDE=FQ","FILING_STATUS=OR","EQY_CONSOLIDATED=Y","Sort=A","Dates=H","DateFormat=P","Fill=—","Direction=H","UseDPDF=Y")</f>
        <v>#NAME?</v>
      </c>
      <c r="AK299" s="1" t="e">
        <f ca="1">_xll.BDH($C$278,"BVPS_GROWTH","FQ1 2018","FQ1 2018","Currency=INR","Period=FQ","BEST_FPERIOD_OVERRIDE=FQ","FILING_STATUS=OR","EQY_CONSOLIDATED=Y","Sort=A","Dates=H","DateFormat=P","Fill=—","Direction=H","UseDPDF=Y")</f>
        <v>#NAME?</v>
      </c>
      <c r="AL299" s="1" t="e">
        <f ca="1">_xll.BDH($C$278,"CASH_FLOW_GROWTH","FQ1 2018","FQ1 2018","Currency=INR","Period=FQ","BEST_FPERIOD_OVERRIDE=FQ","FILING_STATUS=OR","EQY_CONSOLIDATED=Y","Sort=A","Dates=H","DateFormat=P","Fill=—","Direction=H","UseDPDF=Y")</f>
        <v>#NAME?</v>
      </c>
      <c r="AM299" s="1" t="e">
        <f ca="1">_xll.BDH($C$278,"GEO_GROW_NET_SALES","FQ1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99" s="1" t="e">
        <f ca="1">_xll.BDH($C$278,"GEO_GROW_EBITDA","FQ1 2018","FQ1 2018","Currency=INR","Period=FQ","BEST_FPERIOD_OVERRIDE=FQ","FILING_STATUS=OR","EQY_CONSOLIDATED=Y","FA_ADJUSTED=GAAP","Sort=A","Dates=H","DateFormat=P","Fill=—","Direction=H","UseDPDF=Y")</f>
        <v>#NAME?</v>
      </c>
      <c r="AO299" s="1" t="e">
        <f ca="1">_xll.BDH($C$278,"GEO_GROW_OPER_INC","FQ1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99" s="1" t="e">
        <f ca="1">_xll.BDH($C$278,"NET_INCOME_TO_COMMON_5_YR_GROWTH","FQ1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99" s="1" t="e">
        <f ca="1">_xll.BDH($C$278,"5Y_GEO_GROWTH_DILUTED_EPS","FQ1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99" s="1" t="e">
        <f ca="1">_xll.BDH($C$278,"GEO_GROW_DVD_PER_SH","FQ1 2018","FQ1 2018","Currency=INR","Period=FQ","BEST_FPERIOD_OVERRIDE=FQ","FILING_STATUS=OR","EQY_CONSOLIDATED=Y","Sort=A","Dates=H","DateFormat=P","Fill=—","Direction=H","UseDPDF=Y")</f>
        <v>#NAME?</v>
      </c>
      <c r="AS299" s="1" t="e">
        <f ca="1">_xll.BDH($C$278,"ACCOUNTS_RECEIVABLE_5_YR_GROWTH","FQ1 2018","FQ1 2018","Currency=INR","Period=FQ","BEST_FPERIOD_OVERRIDE=FQ","FILING_STATUS=OR","EQY_CONSOLIDATED=Y","Sort=A","Dates=H","DateFormat=P","Fill=—","Direction=H","UseDPDF=Y")</f>
        <v>#NAME?</v>
      </c>
      <c r="AT299" s="1" t="e">
        <f ca="1">_xll.BDH($C$278,"INVENTORY_5_YEAR_GROWTH","FQ1 2018","FQ1 2018","Currency=INR","Period=FQ","BEST_FPERIOD_OVERRIDE=FQ","FILING_STATUS=OR","EQY_CONSOLIDATED=Y","Sort=A","Dates=H","DateFormat=P","Fill=—","Direction=H","UseDPDF=Y")</f>
        <v>#NAME?</v>
      </c>
      <c r="AU299" s="1" t="e">
        <f ca="1">_xll.BDH($C$278,"NET_FIXED_ASSETS_5_YEAR_GROWTH","FQ1 2018","FQ1 2018","Currency=INR","Period=FQ","BEST_FPERIOD_OVERRIDE=FQ","FILING_STATUS=OR","EQY_CONSOLIDATED=Y","Sort=A","Dates=H","DateFormat=P","Fill=—","Direction=H","UseDPDF=Y")</f>
        <v>#NAME?</v>
      </c>
      <c r="AV299" s="1" t="e">
        <f ca="1">_xll.BDH($C$278,"GEO_GROW_TOT_ASSET","FQ1 2018","FQ1 2018","Currency=INR","Period=FQ","BEST_FPERIOD_OVERRIDE=FQ","FILING_STATUS=OR","EQY_CONSOLIDATED=Y","Sort=A","Dates=H","DateFormat=P","Fill=—","Direction=H","UseDPDF=Y")</f>
        <v>#NAME?</v>
      </c>
      <c r="AW299" s="1" t="e">
        <f ca="1">_xll.BDH($C$278,"MODIFIED_WORKING_CPTL_5YR_GRWTH","FQ1 2018","FQ1 2018","Currency=INR","Period=FQ","BEST_FPERIOD_OVERRIDE=FQ","FILING_STATUS=OR","EQY_CONSOLIDATED=Y","Sort=A","Dates=H","DateFormat=P","Fill=—","Direction=H","UseDPDF=Y")</f>
        <v>#NAME?</v>
      </c>
      <c r="AX299" s="1" t="e">
        <f ca="1">_xll.BDH($C$278,"WORKING_CAPITAL_5_YEAR_GROWTH","FQ1 2018","FQ1 2018","Currency=INR","Period=FQ","BEST_FPERIOD_OVERRIDE=FQ","FILING_STATUS=OR","EQY_CONSOLIDATED=Y","Sort=A","Dates=H","DateFormat=P","Fill=—","Direction=H","UseDPDF=Y")</f>
        <v>#NAME?</v>
      </c>
      <c r="AY299" s="1" t="e">
        <f ca="1">_xll.BDH($C$278,"ACCOUNTS_PAYABLE_5_YEAR_GROWTH","FQ1 2018","FQ1 2018","Currency=INR","Period=FQ","BEST_FPERIOD_OVERRIDE=FQ","FILING_STATUS=OR","EQY_CONSOLIDATED=Y","Sort=A","Dates=H","DateFormat=P","Fill=—","Direction=H","UseDPDF=Y")</f>
        <v>#NAME?</v>
      </c>
      <c r="AZ299" s="1" t="e">
        <f ca="1">_xll.BDH($C$278,"SHORT_TERM_DEBT_5_YEAR_GROWTH","FQ1 2018","FQ1 2018","Currency=INR","Period=FQ","BEST_FPERIOD_OVERRIDE=FQ","FILING_STATUS=OR","EQY_CONSOLIDATED=Y","Sort=A","Dates=H","DateFormat=P","Fill=—","Direction=H","UseDPDF=Y")</f>
        <v>#NAME?</v>
      </c>
      <c r="BA299" s="1" t="e">
        <f ca="1">_xll.BDH($C$278,"TOTAL_DEBT_5_YEAR_GROWTH","FQ1 2018","FQ1 2018","Currency=INR","Period=FQ","BEST_FPERIOD_OVERRIDE=FQ","FILING_STATUS=OR","EQY_CONSOLIDATED=Y","Sort=A","Dates=H","DateFormat=P","Fill=—","Direction=H","UseDPDF=Y")</f>
        <v>#NAME?</v>
      </c>
      <c r="BB299" s="1" t="e">
        <f ca="1">_xll.BDH($C$278,"GEO_GROW_TOT_SHRHLDR_EQY","FQ1 2018","FQ1 2018","Currency=INR","Period=FQ","BEST_FPERIOD_OVERRIDE=FQ","FILING_STATUS=OR","EQY_CONSOLIDATED=Y","Sort=A","Dates=H","DateFormat=P","Fill=—","Direction=H","UseDPDF=Y")</f>
        <v>#NAME?</v>
      </c>
      <c r="BC299" s="1" t="e">
        <f ca="1">_xll.BDH($C$278,"TOTAL_CAPITAL_5_YEAR_GROWTH","FQ1 2018","FQ1 2018","Currency=INR","Period=FQ","BEST_FPERIOD_OVERRIDE=FQ","FILING_STATUS=OR","EQY_CONSOLIDATED=Y","Sort=A","Dates=H","DateFormat=P","Fill=—","Direction=H","UseDPDF=Y")</f>
        <v>#NAME?</v>
      </c>
      <c r="BD299" s="1" t="e">
        <f ca="1">_xll.BDH($C$278,"GEO_GROW_BOOK_VAL","FQ1 2018","FQ1 2018","Currency=INR","Period=FQ","BEST_FPERIOD_OVERRIDE=FQ","FILING_STATUS=OR","EQY_CONSOLIDATED=Y","Sort=A","Dates=H","DateFormat=P","Fill=—","Direction=H","UseDPDF=Y")</f>
        <v>#NAME?</v>
      </c>
      <c r="BE299" s="1" t="e">
        <f ca="1">_xll.BDH($C$278,"GEO_GROW_CASH_OPER_ACT","FQ1 2018","FQ1 2018","Currency=INR","Period=FQ","BEST_FPERIOD_OVERRIDE=FQ","FILING_STATUS=OR","EQY_CONSOLIDATED=Y","Sort=A","Dates=H","DateFormat=P","Fill=—","Direction=H","UseDPDF=Y")</f>
        <v>#NAME?</v>
      </c>
      <c r="BF299" s="1" t="e">
        <f ca="1">_xll.BDH($C$278,"REVENUE_SEQUENTIAL_GROWTH","FQ1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99" s="1" t="e">
        <f ca="1">_xll.BDH($C$278,"EBITDA_SEQUENTIAL_GROWTH","FQ1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99" s="1" t="e">
        <f ca="1">_xll.BDH($C$278,"OPERATING_INCOME_SEQ_GROWTH","FQ1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99" s="1" t="e">
        <f ca="1">_xll.BDH($C$278,"NET_INCOME_TO_COMMON_SEQ_GROWTH","FQ1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99" s="1" t="e">
        <f ca="1">_xll.BDH($C$278,"EPS_DILUTED_SEQUENTIAL_GROWTH","FQ1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99" s="1" t="e">
        <f ca="1">_xll.BDH($C$278,"DPS_SEQUENTIAL_GROWTH","FQ1 2018","FQ1 2018","Currency=INR","Period=FQ","BEST_FPERIOD_OVERRIDE=FQ","FILING_STATUS=OR","EQY_CONSOLIDATED=Y","Sort=A","Dates=H","DateFormat=P","Fill=—","Direction=H","UseDPDF=Y")</f>
        <v>#NAME?</v>
      </c>
      <c r="BL299" s="1" t="e">
        <f ca="1">_xll.BDH($C$278,"ACCOUNTS_RECEIVABLE_SEQ_GROWTH","FQ1 2018","FQ1 2018","Currency=INR","Period=FQ","BEST_FPERIOD_OVERRIDE=FQ","FILING_STATUS=OR","EQY_CONSOLIDATED=Y","Sort=A","Dates=H","DateFormat=P","Fill=—","Direction=H","UseDPDF=Y")</f>
        <v>#NAME?</v>
      </c>
      <c r="BM299" s="1" t="e">
        <f ca="1">_xll.BDH($C$278,"INVENTORY_SEQUENTIAL_GROWTH","FQ1 2018","FQ1 2018","Currency=INR","Period=FQ","BEST_FPERIOD_OVERRIDE=FQ","FILING_STATUS=OR","EQY_CONSOLIDATED=Y","Sort=A","Dates=H","DateFormat=P","Fill=—","Direction=H","UseDPDF=Y")</f>
        <v>#NAME?</v>
      </c>
      <c r="BN299" s="1" t="e">
        <f ca="1">_xll.BDH($C$278,"FIXED_ASSETS_SEQUENTIAL_GROWTH","FQ1 2018","FQ1 2018","Currency=INR","Period=FQ","BEST_FPERIOD_OVERRIDE=FQ","FILING_STATUS=OR","EQY_CONSOLIDATED=Y","Sort=A","Dates=H","DateFormat=P","Fill=—","Direction=H","UseDPDF=Y")</f>
        <v>#NAME?</v>
      </c>
      <c r="BO299" s="1" t="e">
        <f ca="1">_xll.BDH($C$278,"TOTAL_ASSETS_SEQUENTIAL_GROWTH","FQ1 2018","FQ1 2018","Currency=INR","Period=FQ","BEST_FPERIOD_OVERRIDE=FQ","FILING_STATUS=OR","EQY_CONSOLIDATED=Y","Sort=A","Dates=H","DateFormat=P","Fill=—","Direction=H","UseDPDF=Y")</f>
        <v>#NAME?</v>
      </c>
      <c r="BP299" s="1" t="e">
        <f ca="1">_xll.BDH($C$278,"MODIFIED_WORKING_CPTL_SEQ_GRWTH","FQ1 2018","FQ1 2018","Currency=INR","Period=FQ","BEST_FPERIOD_OVERRIDE=FQ","FILING_STATUS=OR","EQY_CONSOLIDATED=Y","Sort=A","Dates=H","DateFormat=P","Fill=—","Direction=H","UseDPDF=Y")</f>
        <v>#NAME?</v>
      </c>
      <c r="BQ299" s="1" t="e">
        <f ca="1">_xll.BDH($C$278,"WORKING_CAPITAL_SEQ_GROWTH","FQ1 2018","FQ1 2018","Currency=INR","Period=FQ","BEST_FPERIOD_OVERRIDE=FQ","FILING_STATUS=OR","EQY_CONSOLIDATED=Y","Sort=A","Dates=H","DateFormat=P","Fill=—","Direction=H","UseDPDF=Y")</f>
        <v>#NAME?</v>
      </c>
      <c r="BR299" s="1" t="e">
        <f ca="1">_xll.BDH($C$278,"ACCOUNTS_PAYABLE_SEQ_GROWTH","FQ1 2018","FQ1 2018","Currency=INR","Period=FQ","BEST_FPERIOD_OVERRIDE=FQ","FILING_STATUS=OR","EQY_CONSOLIDATED=Y","Sort=A","Dates=H","DateFormat=P","Fill=—","Direction=H","UseDPDF=Y")</f>
        <v>#NAME?</v>
      </c>
      <c r="BS299" s="1" t="e">
        <f ca="1">_xll.BDH($C$278,"ST_DEBT_SEQUENTIAL_GROWTH","FQ1 2018","FQ1 2018","Currency=INR","Period=FQ","BEST_FPERIOD_OVERRIDE=FQ","FILING_STATUS=OR","EQY_CONSOLIDATED=Y","Sort=A","Dates=H","DateFormat=P","Fill=—","Direction=H","UseDPDF=Y")</f>
        <v>#NAME?</v>
      </c>
      <c r="BT299" s="1" t="e">
        <f ca="1">_xll.BDH($C$278,"TOTAL_DEBT_SEQUENTIAL_GROWTH","FQ1 2018","FQ1 2018","Currency=INR","Period=FQ","BEST_FPERIOD_OVERRIDE=FQ","FILING_STATUS=OR","EQY_CONSOLIDATED=Y","Sort=A","Dates=H","DateFormat=P","Fill=—","Direction=H","UseDPDF=Y")</f>
        <v>#NAME?</v>
      </c>
      <c r="BU299" s="1" t="e">
        <f ca="1">_xll.BDH($C$278,"TOTAL_EQUITY_SEQUENTIAL_GROWTH","FQ1 2018","FQ1 2018","Currency=INR","Period=FQ","BEST_FPERIOD_OVERRIDE=FQ","FILING_STATUS=OR","EQY_CONSOLIDATED=Y","Sort=A","Dates=H","DateFormat=P","Fill=—","Direction=H","UseDPDF=Y")</f>
        <v>#NAME?</v>
      </c>
      <c r="BV299" s="1" t="e">
        <f ca="1">_xll.BDH($C$278,"TOTAL_CAPITAL_SEQUENTIAL_GROWTH","FQ1 2018","FQ1 2018","Currency=INR","Period=FQ","BEST_FPERIOD_OVERRIDE=FQ","FILING_STATUS=OR","EQY_CONSOLIDATED=Y","Sort=A","Dates=H","DateFormat=P","Fill=—","Direction=H","UseDPDF=Y")</f>
        <v>#NAME?</v>
      </c>
      <c r="BW299" s="1" t="e">
        <f ca="1">_xll.BDH($C$278,"BPS_SEQUENTIAL_GROWTH","FQ1 2018","FQ1 2018","Currency=INR","Period=FQ","BEST_FPERIOD_OVERRIDE=FQ","FILING_STATUS=OR","EQY_CONSOLIDATED=Y","Sort=A","Dates=H","DateFormat=P","Fill=—","Direction=H","UseDPDF=Y")</f>
        <v>#NAME?</v>
      </c>
      <c r="BX299" s="1" t="e">
        <f ca="1">_xll.BDH($C$278,"CFO_SEQUENTIAL_GROWTH","FQ1 2018","FQ1 2018","Currency=INR","Period=FQ","BEST_FPERIOD_OVERRIDE=FQ","FILING_STATUS=OR","EQY_CONSOLIDATED=Y","Sort=A","Dates=H","DateFormat=P","Fill=—","Direction=H","UseDPDF=Y")</f>
        <v>#NAME?</v>
      </c>
      <c r="BY299" s="2" t="e">
        <f ca="1">_xll.BDH($C$278,"SHORT_AND_LONG_TERM_DEBT","FQ1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99" s="2" t="e">
        <f ca="1">_xll.BDH($C$278,"BS_ST_BORROW","FQ1 2018","FQ1 2018","Currency=INR","Period=FQ","BEST_FPERIOD_OVERRIDE=FQ","FILING_STATUS=OR","EQY_CONSOLIDATED=Y","SCALING_FORMAT=MLN","Sort=A","Dates=H","DateFormat=P","Fill=—","Direction=H","UseDPDF=Y")</f>
        <v>#NAME?</v>
      </c>
      <c r="CA299" s="2" t="e">
        <f ca="1">_xll.BDH($C$278,"BS_LT_BORROW","FQ1 2018","FQ1 2018","Currency=INR","Period=FQ","BEST_FPERIOD_OVERRIDE=FQ","FILING_STATUS=OR","EQY_CONSOLIDATED=Y","SCALING_FORMAT=MLN","Sort=A","Dates=H","DateFormat=P","Fill=—","Direction=H","UseDPDF=Y")</f>
        <v>#NAME?</v>
      </c>
      <c r="CB299" s="1" t="e">
        <f ca="1">_xll.BDH($C$278,"TOT_DEBT_TO_EBITDA","FQ1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99" s="1" t="e">
        <f ca="1">_xll.BDH($C$278,"NET_DEBT_TO_EBITDA","FQ1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99" s="1" t="e">
        <f ca="1">_xll.BDH($C$278,"TOTAL_DEBT_TO_EBIT","FQ1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99" s="1" t="e">
        <f ca="1">_xll.BDH($C$278,"NET_DEBT_TO_EBIT","FQ1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299" s="1" t="e">
        <f ca="1">_xll.BDH($C$278,"EBITDA_TO_INTEREST_EXPN","FQ1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99" s="1" t="e">
        <f ca="1">_xll.BDH($C$278,"COM_EQY_TO_TOT_ASSET","FQ1 2018","FQ1 2018","Currency=INR","Period=FQ","BEST_FPERIOD_OVERRIDE=FQ","FILING_STATUS=OR","EQY_CONSOLIDATED=Y","Sort=A","Dates=H","DateFormat=P","Fill=—","Direction=H","UseDPDF=Y")</f>
        <v>#NAME?</v>
      </c>
      <c r="CH299" s="1" t="e">
        <f ca="1">_xll.BDH($C$278,"LT_DEBT_TO_TOT_EQY","FQ1 2018","FQ1 2018","Currency=INR","Period=FQ","BEST_FPERIOD_OVERRIDE=FQ","FILING_STATUS=OR","EQY_CONSOLIDATED=Y","Sort=A","Dates=H","DateFormat=P","Fill=—","Direction=H","UseDPDF=Y")</f>
        <v>#NAME?</v>
      </c>
      <c r="CI299" s="1" t="e">
        <f ca="1">_xll.BDH($C$278,"LT_DEBT_TO_TOT_CAP","FQ1 2018","FQ1 2018","Currency=INR","Period=FQ","BEST_FPERIOD_OVERRIDE=FQ","FILING_STATUS=OR","EQY_CONSOLIDATED=Y","Sort=A","Dates=H","DateFormat=P","Fill=—","Direction=H","UseDPDF=Y")</f>
        <v>#NAME?</v>
      </c>
      <c r="CJ299" s="1" t="e">
        <f ca="1">_xll.BDH($C$278,"LT_DEBT_TO_TOT_ASSET","FQ1 2018","FQ1 2018","Currency=INR","Period=FQ","BEST_FPERIOD_OVERRIDE=FQ","FILING_STATUS=OR","EQY_CONSOLIDATED=Y","Sort=A","Dates=H","DateFormat=P","Fill=—","Direction=H","UseDPDF=Y")</f>
        <v>#NAME?</v>
      </c>
      <c r="CK299" s="1" t="e">
        <f ca="1">_xll.BDH($C$278,"TOT_DEBT_TO_TOT_EQY","FQ1 2018","FQ1 2018","Currency=INR","Period=FQ","BEST_FPERIOD_OVERRIDE=FQ","FILING_STATUS=OR","EQY_CONSOLIDATED=Y","Sort=A","Dates=H","DateFormat=P","Fill=—","Direction=H","UseDPDF=Y")</f>
        <v>#NAME?</v>
      </c>
      <c r="CL299" s="1" t="e">
        <f ca="1">_xll.BDH($C$278,"TOT_DEBT_TO_TOT_CAP","FQ1 2018","FQ1 2018","Currency=INR","Period=FQ","BEST_FPERIOD_OVERRIDE=FQ","FILING_STATUS=OR","EQY_CONSOLIDATED=Y","Sort=A","Dates=H","DateFormat=P","Fill=—","Direction=H","UseDPDF=Y")</f>
        <v>#NAME?</v>
      </c>
      <c r="CM299" s="1" t="e">
        <f ca="1">_xll.BDH($C$278,"TOT_DEBT_TO_TOT_ASSET","FQ1 2018","FQ1 2018","Currency=INR","Period=FQ","BEST_FPERIOD_OVERRIDE=FQ","FILING_STATUS=OR","EQY_CONSOLIDATED=Y","Sort=A","Dates=H","DateFormat=P","Fill=—","Direction=H","UseDPDF=Y")</f>
        <v>#NAME?</v>
      </c>
      <c r="CN299" s="1" t="e">
        <f ca="1">_xll.BDH($C$278,"NET_DEBT_TO_SHRHLDR_EQTY","FQ1 2018","FQ1 2018","Currency=INR","Period=FQ","BEST_FPERIOD_OVERRIDE=FQ","FILING_STATUS=OR","EQY_CONSOLIDATED=Y","Sort=A","Dates=H","DateFormat=P","Fill=—","Direction=H","UseDPDF=Y")</f>
        <v>#NAME?</v>
      </c>
      <c r="CO299" s="1" t="e">
        <f ca="1">_xll.BDH($C$278,"NET_DEBT_%_CAPITAL","FQ1 2018","FQ1 2018","Currency=INR","Period=FQ","BEST_FPERIOD_OVERRIDE=FQ","FILING_STATUS=OR","EQY_CONSOLIDATED=Y","Sort=A","Dates=H","DateFormat=P","Fill=—","Direction=H","UseDPDF=Y")</f>
        <v>#NAME?</v>
      </c>
      <c r="CP299" s="2" t="e">
        <f ca="1">_xll.BDH($C$278,"EBITDA","FQ1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99" s="2" t="e">
        <f ca="1">_xll.BDH($C$278,"EBITDA_AFTER_CAPEX","FQ1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99" s="2" t="e">
        <f ca="1">_xll.BDH($C$278,"IS_OPER_INC","FQ1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99" s="1" t="e">
        <f ca="1">_xll.BDH($C$278,"CASH_RATIO","FQ1 2018","FQ1 2018","Currency=INR","Period=FQ","BEST_FPERIOD_OVERRIDE=FQ","FILING_STATUS=OR","EQY_CONSOLIDATED=Y","Sort=A","Dates=H","DateFormat=P","Fill=—","Direction=H","UseDPDF=Y")</f>
        <v>#NAME?</v>
      </c>
      <c r="CT299" s="1" t="e">
        <f ca="1">_xll.BDH($C$278,"CUR_RATIO","FQ1 2018","FQ1 2018","Currency=INR","Period=FQ","BEST_FPERIOD_OVERRIDE=FQ","FILING_STATUS=OR","EQY_CONSOLIDATED=Y","Sort=A","Dates=H","DateFormat=P","Fill=—","Direction=H","UseDPDF=Y")</f>
        <v>#NAME?</v>
      </c>
      <c r="CU299" s="1" t="e">
        <f ca="1">_xll.BDH($C$278,"QUICK_RATIO","FQ1 2018","FQ1 2018","Currency=INR","Period=FQ","BEST_FPERIOD_OVERRIDE=FQ","FILING_STATUS=OR","EQY_CONSOLIDATED=Y","Sort=A","Dates=H","DateFormat=P","Fill=—","Direction=H","UseDPDF=Y")</f>
        <v>#NAME?</v>
      </c>
      <c r="CV299" s="1" t="e">
        <f ca="1">_xll.BDH($C$278,"ALTMAN_Z_SCORE","FQ1 2018","FQ1 2018","Currency=INR","Period=FQ","BEST_FPERIOD_OVERRIDE=FQ","FILING_STATUS=OR","EQY_CONSOLIDATED=Y","Sort=A","Dates=H","DateFormat=P","Fill=—","Direction=H","UseDPDF=Y")</f>
        <v>#NAME?</v>
      </c>
      <c r="CW299" s="3" t="e">
        <f ca="1">_xll.BDH($C$278,"ACCT_RCV_TURN","FQ1 2018","FQ1 2018","Currency=INR","Period=FQ","BEST_FPERIOD_OVERRIDE=FQ","FILING_STATUS=OR","EQY_CONSOLIDATED=Y","FA_ADJUSTED=GAAP","Sort=A","Dates=H","DateFormat=P","Fill=—","Direction=H","UseDPDF=Y")</f>
        <v>#NAME?</v>
      </c>
      <c r="CX299" s="1" t="e">
        <f ca="1">_xll.BDH($C$278,"ACCT_RCV_DAYS","FQ1 2018","FQ1 2018","Currency=INR","Period=FQ","BEST_FPERIOD_OVERRIDE=FQ","FILING_STATUS=OR","EQY_CONSOLIDATED=Y","FA_ADJUSTED=GAAP","Sort=A","Dates=H","DateFormat=P","Fill=—","Direction=H","UseDPDF=Y")</f>
        <v>#NAME?</v>
      </c>
      <c r="CY299" s="3" t="e">
        <f ca="1">_xll.BDH($C$278,"INVENT_TURN","FQ1 2018","FQ1 2018","Currency=INR","Period=FQ","BEST_FPERIOD_OVERRIDE=FQ","FILING_STATUS=OR","EQY_CONSOLIDATED=Y","FA_ADJUSTED=GAAP","Sort=A","Dates=H","DateFormat=P","Fill=—","Direction=H","UseDPDF=Y")</f>
        <v>#NAME?</v>
      </c>
      <c r="CZ299" s="1" t="e">
        <f ca="1">_xll.BDH($C$278,"INVENT_DAYS","FQ1 2018","FQ1 2018","Currency=INR","Period=FQ","BEST_FPERIOD_OVERRIDE=FQ","FILING_STATUS=OR","EQY_CONSOLIDATED=Y","FA_ADJUSTED=GAAP","Sort=A","Dates=H","DateFormat=P","Fill=—","Direction=H","UseDPDF=Y")</f>
        <v>#NAME?</v>
      </c>
      <c r="DA299" s="3" t="e">
        <f ca="1">_xll.BDH($C$278,"ACCOUNTS_PAYABLE_TURNOVER","FQ1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99" s="1" t="e">
        <f ca="1">_xll.BDH($C$278,"ACCOUNTS_PAYABLE_TURNOVER_DAYS","FQ1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99" s="3" t="e">
        <f ca="1">_xll.BDH($C$278,"CASH_CONVERSION_CYCLE","FQ1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99" s="3" t="e">
        <f ca="1">_xll.BDH($C$278,"INV_TO_CASH_DAYS","FQ1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299" s="4" t="e">
        <f ca="1">_xll.BDH($C$278,"BS_INVENTORIES","FQ1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299" s="2" t="e">
        <f ca="1">_xll.BDH($C$278,"INVTRY_RAW_MATERIALS","FQ1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99" s="2" t="e">
        <f ca="1">_xll.BDH($C$278,"INVTRY_IN_PROGRESS","FQ1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99" s="2" t="e">
        <f ca="1">_xll.BDH($C$278,"INVTRY_FINISHED_GOODS","FQ1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99" s="2" t="e">
        <f ca="1">_xll.BDH($C$278,"BS_OTHER_INV","FQ1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00" spans="1:113" x14ac:dyDescent="0.3">
      <c r="A300" s="6"/>
      <c r="B300" s="6"/>
      <c r="C300" s="6"/>
      <c r="D300" s="6"/>
      <c r="E300" t="s">
        <v>5</v>
      </c>
      <c r="F300" t="e">
        <f ca="1">_xll.BDH($C$278,"RETURN_COM_EQY","FQ2 2018","FQ2 2018","Currency=INR","Period=FQ","BEST_FPERIOD_OVERRIDE=FQ","FILING_STATUS=OR","EQY_CONSOLIDATED=Y","FA_ADJUSTED=GAAP","Sort=A","Dates=H","DateFormat=P","Fill=—","Direction=H","UseDPDF=Y")</f>
        <v>#NAME?</v>
      </c>
      <c r="G300" t="e">
        <f ca="1">_xll.BDH($C$278,"RETURN_ON_ASSET","FQ2 2018","FQ2 2018","Currency=INR","Period=FQ","BEST_FPERIOD_OVERRIDE=FQ","FILING_STATUS=OR","EQY_CONSOLIDATED=Y","FA_ADJUSTED=GAAP","Sort=A","Dates=H","DateFormat=P","Fill=—","Direction=H","UseDPDF=Y")</f>
        <v>#NAME?</v>
      </c>
      <c r="H300" t="e">
        <f ca="1">_xll.BDH($C$278,"RETURN_ON_CAP","FQ2 2018","FQ2 2018","Currency=INR","Period=FQ","BEST_FPERIOD_OVERRIDE=FQ","FILING_STATUS=OR","EQY_CONSOLIDATED=Y","FA_ADJUSTED=GAAP","Sort=A","Dates=H","DateFormat=P","Fill=—","Direction=H","UseDPDF=Y")</f>
        <v>#NAME?</v>
      </c>
      <c r="I300" t="e">
        <f ca="1">_xll.BDH($C$278,"RETURN_ON_INV_CAPITAL","FQ2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00" t="e">
        <f ca="1">_xll.BDH($C$278,"EBITDA_TO_REVENUE","FQ2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300" t="e">
        <f ca="1">_xll.BDH($C$278,"OPER_MARGIN","FQ2 2018","FQ2 2018","Currency=INR","Period=FQ","BEST_FPERIOD_OVERRIDE=FQ","FILING_STATUS=OR","EQY_CONSOLIDATED=Y","FA_ADJUSTED=GAAP","Sort=A","Dates=H","DateFormat=P","Fill=—","Direction=H","UseDPDF=Y")</f>
        <v>#NAME?</v>
      </c>
      <c r="L300" t="e">
        <f ca="1">_xll.BDH($C$278,"INCREMENTAL_OPERATING_MARGIN","FQ2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00" t="e">
        <f ca="1">_xll.BDH($C$278,"PRETAX_INC_TO_NET_SALES","FQ2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00" t="e">
        <f ca="1">_xll.BDH($C$278,"INC_BEF_XO_ITEMS_TO_NET_SALES","FQ2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00" t="e">
        <f ca="1">_xll.BDH($C$278,"PROF_MARGIN","FQ2 2018","FQ2 2018","Currency=INR","Period=FQ","BEST_FPERIOD_OVERRIDE=FQ","FILING_STATUS=OR","EQY_CONSOLIDATED=Y","FA_ADJUSTED=GAAP","Sort=A","Dates=H","DateFormat=P","Fill=—","Direction=H","UseDPDF=Y")</f>
        <v>#NAME?</v>
      </c>
      <c r="P300" t="e">
        <f ca="1">_xll.BDH($C$278,"NET_INCOME_TO_COMMON_MARGIN","FQ2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00" t="e">
        <f ca="1">_xll.BDH($C$278,"EFF_TAX_RATE","FQ2 2018","FQ2 2018","Currency=INR","Period=FQ","BEST_FPERIOD_OVERRIDE=FQ","FILING_STATUS=OR","EQY_CONSOLIDATED=Y","FA_ADJUSTED=GAAP","Sort=A","Dates=H","DateFormat=P","Fill=—","Direction=H","UseDPDF=Y")</f>
        <v>#NAME?</v>
      </c>
      <c r="R300" t="e">
        <f ca="1">_xll.BDH($C$278,"DVD_PAYOUT_RATIO","FQ2 2018","FQ2 2018","Currency=INR","Period=FQ","BEST_FPERIOD_OVERRIDE=FQ","FILING_STATUS=OR","EQY_CONSOLIDATED=Y","FA_ADJUSTED=GAAP","Sort=A","Dates=H","DateFormat=P","Fill=—","Direction=H","UseDPDF=Y")</f>
        <v>#NAME?</v>
      </c>
      <c r="S300" t="e">
        <f ca="1">_xll.BDH($C$278,"SUSTAIN_GROWTH_RT","FQ2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300" s="1" t="e">
        <f ca="1">_xll.BDH($C$278,"SALES_GROWTH","FQ2 2018","FQ2 2018","Currency=INR","Period=FQ","BEST_FPERIOD_OVERRIDE=FQ","FILING_STATUS=OR","EQY_CONSOLIDATED=Y","FA_ADJUSTED=GAAP","Sort=A","Dates=H","DateFormat=P","Fill=—","Direction=H","UseDPDF=Y")</f>
        <v>#NAME?</v>
      </c>
      <c r="U300" s="1" t="e">
        <f ca="1">_xll.BDH($C$278,"EBITDA_GROWTH","FQ2 2018","FQ2 2018","Currency=INR","Period=FQ","BEST_FPERIOD_OVERRIDE=FQ","FILING_STATUS=OR","EQY_CONSOLIDATED=Y","FA_ADJUSTED=GAAP","Sort=A","Dates=H","DateFormat=P","Fill=—","Direction=H","UseDPDF=Y")</f>
        <v>#NAME?</v>
      </c>
      <c r="V300" s="1" t="e">
        <f ca="1">_xll.BDH($C$278,"OPER_INC_GROWTH","FQ2 2018","FQ2 2018","Currency=INR","Period=FQ","BEST_FPERIOD_OVERRIDE=FQ","FILING_STATUS=OR","EQY_CONSOLIDATED=Y","FA_ADJUSTED=GAAP","Sort=A","Dates=H","DateFormat=P","Fill=—","Direction=H","UseDPDF=Y")</f>
        <v>#NAME?</v>
      </c>
      <c r="W300" s="1" t="e">
        <f ca="1">_xll.BDH($C$278,"EARN_FOR_COM_GROWTH","FQ2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00" s="1" t="e">
        <f ca="1">_xll.BDH($C$278,"DILUTED_EPS_AFT_XO_ITEMS_GROWTH","FQ2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00" s="1" t="e">
        <f ca="1">_xll.BDH($C$278,"DIVIDEND_PER_SHARE_1_YEAR_GROWTH","FQ2 2018","FQ2 2018","Currency=INR","Period=FQ","BEST_FPERIOD_OVERRIDE=FQ","FILING_STATUS=OR","EQY_CONSOLIDATED=Y","Sort=A","Dates=H","DateFormat=P","Fill=—","Direction=H","UseDPDF=Y")</f>
        <v>#NAME?</v>
      </c>
      <c r="Z300" s="1" t="e">
        <f ca="1">_xll.BDH($C$278,"ACCOUNTS_RECEIVABLE_GROWTH","FQ2 2018","FQ2 2018","Currency=INR","Period=FQ","BEST_FPERIOD_OVERRIDE=FQ","FILING_STATUS=OR","EQY_CONSOLIDATED=Y","Sort=A","Dates=H","DateFormat=P","Fill=—","Direction=H","UseDPDF=Y")</f>
        <v>#NAME?</v>
      </c>
      <c r="AA300" s="1" t="e">
        <f ca="1">_xll.BDH($C$278,"INVENTORY_GROWTH","FQ2 2018","FQ2 2018","Currency=INR","Period=FQ","BEST_FPERIOD_OVERRIDE=FQ","FILING_STATUS=OR","EQY_CONSOLIDATED=Y","Sort=A","Dates=H","DateFormat=P","Fill=—","Direction=H","UseDPDF=Y")</f>
        <v>#NAME?</v>
      </c>
      <c r="AB300" s="1" t="e">
        <f ca="1">_xll.BDH($C$278,"NET_FIXED_ASSETS_1_YEAR_GROWTH","FQ2 2018","FQ2 2018","Currency=INR","Period=FQ","BEST_FPERIOD_OVERRIDE=FQ","FILING_STATUS=OR","EQY_CONSOLIDATED=Y","Sort=A","Dates=H","DateFormat=P","Fill=—","Direction=H","UseDPDF=Y")</f>
        <v>#NAME?</v>
      </c>
      <c r="AC300" s="1" t="e">
        <f ca="1">_xll.BDH($C$278,"ASSET_GROWTH","FQ2 2018","FQ2 2018","Currency=INR","Period=FQ","BEST_FPERIOD_OVERRIDE=FQ","FILING_STATUS=OR","EQY_CONSOLIDATED=Y","Sort=A","Dates=H","DateFormat=P","Fill=—","Direction=H","UseDPDF=Y")</f>
        <v>#NAME?</v>
      </c>
      <c r="AD300" s="1" t="e">
        <f ca="1">_xll.BDH($C$278,"MODIFIED_WORK_CAP_GROWTH","FQ2 2018","FQ2 2018","Currency=INR","Period=FQ","BEST_FPERIOD_OVERRIDE=FQ","FILING_STATUS=OR","EQY_CONSOLIDATED=Y","Sort=A","Dates=H","DateFormat=P","Fill=—","Direction=H","UseDPDF=Y")</f>
        <v>#NAME?</v>
      </c>
      <c r="AE300" s="1" t="e">
        <f ca="1">_xll.BDH($C$278,"WORK_CAP_GROWTH","FQ2 2018","FQ2 2018","Currency=INR","Period=FQ","BEST_FPERIOD_OVERRIDE=FQ","FILING_STATUS=OR","EQY_CONSOLIDATED=Y","Sort=A","Dates=H","DateFormat=P","Fill=—","Direction=H","UseDPDF=Y")</f>
        <v>#NAME?</v>
      </c>
      <c r="AF300" s="1" t="e">
        <f ca="1">_xll.BDH($C$278,"ACCOUNTS_PAYABLE_GROWTH_1YR","FQ2 2018","FQ2 2018","Currency=INR","Period=FQ","BEST_FPERIOD_OVERRIDE=FQ","FILING_STATUS=OR","EQY_CONSOLIDATED=Y","Sort=A","Dates=H","DateFormat=P","Fill=—","Direction=H","UseDPDF=Y")</f>
        <v>#NAME?</v>
      </c>
      <c r="AG300" s="1" t="e">
        <f ca="1">_xll.BDH($C$278,"SHORT_TERM_DEBT_1_YEAR_GROWTH","FQ2 2018","FQ2 2018","Currency=INR","Period=FQ","BEST_FPERIOD_OVERRIDE=FQ","FILING_STATUS=OR","EQY_CONSOLIDATED=Y","Sort=A","Dates=H","DateFormat=P","Fill=—","Direction=H","UseDPDF=Y")</f>
        <v>#NAME?</v>
      </c>
      <c r="AH300" s="1" t="e">
        <f ca="1">_xll.BDH($C$278,"TOTAL_DEBT_1_YEAR_GROWTH","FQ2 2018","FQ2 2018","Currency=INR","Period=FQ","BEST_FPERIOD_OVERRIDE=FQ","FILING_STATUS=OR","EQY_CONSOLIDATED=Y","Sort=A","Dates=H","DateFormat=P","Fill=—","Direction=H","UseDPDF=Y")</f>
        <v>#NAME?</v>
      </c>
      <c r="AI300" s="1" t="e">
        <f ca="1">_xll.BDH($C$278,"TOTAL_EQUITY_1_YEAR_GROWTH","FQ2 2018","FQ2 2018","Currency=INR","Period=FQ","BEST_FPERIOD_OVERRIDE=FQ","FILING_STATUS=OR","EQY_CONSOLIDATED=Y","Sort=A","Dates=H","DateFormat=P","Fill=—","Direction=H","UseDPDF=Y")</f>
        <v>#NAME?</v>
      </c>
      <c r="AJ300" s="1" t="e">
        <f ca="1">_xll.BDH($C$278,"GROWTH_IN_CAP","FQ2 2018","FQ2 2018","Currency=INR","Period=FQ","BEST_FPERIOD_OVERRIDE=FQ","FILING_STATUS=OR","EQY_CONSOLIDATED=Y","Sort=A","Dates=H","DateFormat=P","Fill=—","Direction=H","UseDPDF=Y")</f>
        <v>#NAME?</v>
      </c>
      <c r="AK300" s="1" t="e">
        <f ca="1">_xll.BDH($C$278,"BVPS_GROWTH","FQ2 2018","FQ2 2018","Currency=INR","Period=FQ","BEST_FPERIOD_OVERRIDE=FQ","FILING_STATUS=OR","EQY_CONSOLIDATED=Y","Sort=A","Dates=H","DateFormat=P","Fill=—","Direction=H","UseDPDF=Y")</f>
        <v>#NAME?</v>
      </c>
      <c r="AL300" s="1" t="e">
        <f ca="1">_xll.BDH($C$278,"CASH_FLOW_GROWTH","FQ2 2018","FQ2 2018","Currency=INR","Period=FQ","BEST_FPERIOD_OVERRIDE=FQ","FILING_STATUS=OR","EQY_CONSOLIDATED=Y","Sort=A","Dates=H","DateFormat=P","Fill=—","Direction=H","UseDPDF=Y")</f>
        <v>#NAME?</v>
      </c>
      <c r="AM300" s="1" t="e">
        <f ca="1">_xll.BDH($C$278,"GEO_GROW_NET_SALES","FQ2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00" s="1" t="e">
        <f ca="1">_xll.BDH($C$278,"GEO_GROW_EBITDA","FQ2 2018","FQ2 2018","Currency=INR","Period=FQ","BEST_FPERIOD_OVERRIDE=FQ","FILING_STATUS=OR","EQY_CONSOLIDATED=Y","FA_ADJUSTED=GAAP","Sort=A","Dates=H","DateFormat=P","Fill=—","Direction=H","UseDPDF=Y")</f>
        <v>#NAME?</v>
      </c>
      <c r="AO300" s="1" t="e">
        <f ca="1">_xll.BDH($C$278,"GEO_GROW_OPER_INC","FQ2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00" s="1" t="e">
        <f ca="1">_xll.BDH($C$278,"NET_INCOME_TO_COMMON_5_YR_GROWTH","FQ2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00" s="1" t="e">
        <f ca="1">_xll.BDH($C$278,"5Y_GEO_GROWTH_DILUTED_EPS","FQ2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00" s="1" t="e">
        <f ca="1">_xll.BDH($C$278,"GEO_GROW_DVD_PER_SH","FQ2 2018","FQ2 2018","Currency=INR","Period=FQ","BEST_FPERIOD_OVERRIDE=FQ","FILING_STATUS=OR","EQY_CONSOLIDATED=Y","Sort=A","Dates=H","DateFormat=P","Fill=—","Direction=H","UseDPDF=Y")</f>
        <v>#NAME?</v>
      </c>
      <c r="AS300" s="1" t="e">
        <f ca="1">_xll.BDH($C$278,"ACCOUNTS_RECEIVABLE_5_YR_GROWTH","FQ2 2018","FQ2 2018","Currency=INR","Period=FQ","BEST_FPERIOD_OVERRIDE=FQ","FILING_STATUS=OR","EQY_CONSOLIDATED=Y","Sort=A","Dates=H","DateFormat=P","Fill=—","Direction=H","UseDPDF=Y")</f>
        <v>#NAME?</v>
      </c>
      <c r="AT300" s="1" t="e">
        <f ca="1">_xll.BDH($C$278,"INVENTORY_5_YEAR_GROWTH","FQ2 2018","FQ2 2018","Currency=INR","Period=FQ","BEST_FPERIOD_OVERRIDE=FQ","FILING_STATUS=OR","EQY_CONSOLIDATED=Y","Sort=A","Dates=H","DateFormat=P","Fill=—","Direction=H","UseDPDF=Y")</f>
        <v>#NAME?</v>
      </c>
      <c r="AU300" s="1" t="e">
        <f ca="1">_xll.BDH($C$278,"NET_FIXED_ASSETS_5_YEAR_GROWTH","FQ2 2018","FQ2 2018","Currency=INR","Period=FQ","BEST_FPERIOD_OVERRIDE=FQ","FILING_STATUS=OR","EQY_CONSOLIDATED=Y","Sort=A","Dates=H","DateFormat=P","Fill=—","Direction=H","UseDPDF=Y")</f>
        <v>#NAME?</v>
      </c>
      <c r="AV300" s="1" t="e">
        <f ca="1">_xll.BDH($C$278,"GEO_GROW_TOT_ASSET","FQ2 2018","FQ2 2018","Currency=INR","Period=FQ","BEST_FPERIOD_OVERRIDE=FQ","FILING_STATUS=OR","EQY_CONSOLIDATED=Y","Sort=A","Dates=H","DateFormat=P","Fill=—","Direction=H","UseDPDF=Y")</f>
        <v>#NAME?</v>
      </c>
      <c r="AW300" s="1" t="e">
        <f ca="1">_xll.BDH($C$278,"MODIFIED_WORKING_CPTL_5YR_GRWTH","FQ2 2018","FQ2 2018","Currency=INR","Period=FQ","BEST_FPERIOD_OVERRIDE=FQ","FILING_STATUS=OR","EQY_CONSOLIDATED=Y","Sort=A","Dates=H","DateFormat=P","Fill=—","Direction=H","UseDPDF=Y")</f>
        <v>#NAME?</v>
      </c>
      <c r="AX300" s="1" t="e">
        <f ca="1">_xll.BDH($C$278,"WORKING_CAPITAL_5_YEAR_GROWTH","FQ2 2018","FQ2 2018","Currency=INR","Period=FQ","BEST_FPERIOD_OVERRIDE=FQ","FILING_STATUS=OR","EQY_CONSOLIDATED=Y","Sort=A","Dates=H","DateFormat=P","Fill=—","Direction=H","UseDPDF=Y")</f>
        <v>#NAME?</v>
      </c>
      <c r="AY300" s="1" t="e">
        <f ca="1">_xll.BDH($C$278,"ACCOUNTS_PAYABLE_5_YEAR_GROWTH","FQ2 2018","FQ2 2018","Currency=INR","Period=FQ","BEST_FPERIOD_OVERRIDE=FQ","FILING_STATUS=OR","EQY_CONSOLIDATED=Y","Sort=A","Dates=H","DateFormat=P","Fill=—","Direction=H","UseDPDF=Y")</f>
        <v>#NAME?</v>
      </c>
      <c r="AZ300" s="1" t="e">
        <f ca="1">_xll.BDH($C$278,"SHORT_TERM_DEBT_5_YEAR_GROWTH","FQ2 2018","FQ2 2018","Currency=INR","Period=FQ","BEST_FPERIOD_OVERRIDE=FQ","FILING_STATUS=OR","EQY_CONSOLIDATED=Y","Sort=A","Dates=H","DateFormat=P","Fill=—","Direction=H","UseDPDF=Y")</f>
        <v>#NAME?</v>
      </c>
      <c r="BA300" s="1" t="e">
        <f ca="1">_xll.BDH($C$278,"TOTAL_DEBT_5_YEAR_GROWTH","FQ2 2018","FQ2 2018","Currency=INR","Period=FQ","BEST_FPERIOD_OVERRIDE=FQ","FILING_STATUS=OR","EQY_CONSOLIDATED=Y","Sort=A","Dates=H","DateFormat=P","Fill=—","Direction=H","UseDPDF=Y")</f>
        <v>#NAME?</v>
      </c>
      <c r="BB300" s="1" t="e">
        <f ca="1">_xll.BDH($C$278,"GEO_GROW_TOT_SHRHLDR_EQY","FQ2 2018","FQ2 2018","Currency=INR","Period=FQ","BEST_FPERIOD_OVERRIDE=FQ","FILING_STATUS=OR","EQY_CONSOLIDATED=Y","Sort=A","Dates=H","DateFormat=P","Fill=—","Direction=H","UseDPDF=Y")</f>
        <v>#NAME?</v>
      </c>
      <c r="BC300" s="1" t="e">
        <f ca="1">_xll.BDH($C$278,"TOTAL_CAPITAL_5_YEAR_GROWTH","FQ2 2018","FQ2 2018","Currency=INR","Period=FQ","BEST_FPERIOD_OVERRIDE=FQ","FILING_STATUS=OR","EQY_CONSOLIDATED=Y","Sort=A","Dates=H","DateFormat=P","Fill=—","Direction=H","UseDPDF=Y")</f>
        <v>#NAME?</v>
      </c>
      <c r="BD300" s="1" t="e">
        <f ca="1">_xll.BDH($C$278,"GEO_GROW_BOOK_VAL","FQ2 2018","FQ2 2018","Currency=INR","Period=FQ","BEST_FPERIOD_OVERRIDE=FQ","FILING_STATUS=OR","EQY_CONSOLIDATED=Y","Sort=A","Dates=H","DateFormat=P","Fill=—","Direction=H","UseDPDF=Y")</f>
        <v>#NAME?</v>
      </c>
      <c r="BE300" s="1" t="e">
        <f ca="1">_xll.BDH($C$278,"GEO_GROW_CASH_OPER_ACT","FQ2 2018","FQ2 2018","Currency=INR","Period=FQ","BEST_FPERIOD_OVERRIDE=FQ","FILING_STATUS=OR","EQY_CONSOLIDATED=Y","Sort=A","Dates=H","DateFormat=P","Fill=—","Direction=H","UseDPDF=Y")</f>
        <v>#NAME?</v>
      </c>
      <c r="BF300" s="1" t="e">
        <f ca="1">_xll.BDH($C$278,"REVENUE_SEQUENTIAL_GROWTH","FQ2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00" s="1" t="e">
        <f ca="1">_xll.BDH($C$278,"EBITDA_SEQUENTIAL_GROWTH","FQ2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00" s="1" t="e">
        <f ca="1">_xll.BDH($C$278,"OPERATING_INCOME_SEQ_GROWTH","FQ2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00" s="1" t="e">
        <f ca="1">_xll.BDH($C$278,"NET_INCOME_TO_COMMON_SEQ_GROWTH","FQ2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00" s="1" t="e">
        <f ca="1">_xll.BDH($C$278,"EPS_DILUTED_SEQUENTIAL_GROWTH","FQ2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00" s="1" t="e">
        <f ca="1">_xll.BDH($C$278,"DPS_SEQUENTIAL_GROWTH","FQ2 2018","FQ2 2018","Currency=INR","Period=FQ","BEST_FPERIOD_OVERRIDE=FQ","FILING_STATUS=OR","EQY_CONSOLIDATED=Y","Sort=A","Dates=H","DateFormat=P","Fill=—","Direction=H","UseDPDF=Y")</f>
        <v>#NAME?</v>
      </c>
      <c r="BL300" s="1" t="e">
        <f ca="1">_xll.BDH($C$278,"ACCOUNTS_RECEIVABLE_SEQ_GROWTH","FQ2 2018","FQ2 2018","Currency=INR","Period=FQ","BEST_FPERIOD_OVERRIDE=FQ","FILING_STATUS=OR","EQY_CONSOLIDATED=Y","Sort=A","Dates=H","DateFormat=P","Fill=—","Direction=H","UseDPDF=Y")</f>
        <v>#NAME?</v>
      </c>
      <c r="BM300" s="1" t="e">
        <f ca="1">_xll.BDH($C$278,"INVENTORY_SEQUENTIAL_GROWTH","FQ2 2018","FQ2 2018","Currency=INR","Period=FQ","BEST_FPERIOD_OVERRIDE=FQ","FILING_STATUS=OR","EQY_CONSOLIDATED=Y","Sort=A","Dates=H","DateFormat=P","Fill=—","Direction=H","UseDPDF=Y")</f>
        <v>#NAME?</v>
      </c>
      <c r="BN300" s="1" t="e">
        <f ca="1">_xll.BDH($C$278,"FIXED_ASSETS_SEQUENTIAL_GROWTH","FQ2 2018","FQ2 2018","Currency=INR","Period=FQ","BEST_FPERIOD_OVERRIDE=FQ","FILING_STATUS=OR","EQY_CONSOLIDATED=Y","Sort=A","Dates=H","DateFormat=P","Fill=—","Direction=H","UseDPDF=Y")</f>
        <v>#NAME?</v>
      </c>
      <c r="BO300" s="1" t="e">
        <f ca="1">_xll.BDH($C$278,"TOTAL_ASSETS_SEQUENTIAL_GROWTH","FQ2 2018","FQ2 2018","Currency=INR","Period=FQ","BEST_FPERIOD_OVERRIDE=FQ","FILING_STATUS=OR","EQY_CONSOLIDATED=Y","Sort=A","Dates=H","DateFormat=P","Fill=—","Direction=H","UseDPDF=Y")</f>
        <v>#NAME?</v>
      </c>
      <c r="BP300" s="1" t="e">
        <f ca="1">_xll.BDH($C$278,"MODIFIED_WORKING_CPTL_SEQ_GRWTH","FQ2 2018","FQ2 2018","Currency=INR","Period=FQ","BEST_FPERIOD_OVERRIDE=FQ","FILING_STATUS=OR","EQY_CONSOLIDATED=Y","Sort=A","Dates=H","DateFormat=P","Fill=—","Direction=H","UseDPDF=Y")</f>
        <v>#NAME?</v>
      </c>
      <c r="BQ300" s="1" t="e">
        <f ca="1">_xll.BDH($C$278,"WORKING_CAPITAL_SEQ_GROWTH","FQ2 2018","FQ2 2018","Currency=INR","Period=FQ","BEST_FPERIOD_OVERRIDE=FQ","FILING_STATUS=OR","EQY_CONSOLIDATED=Y","Sort=A","Dates=H","DateFormat=P","Fill=—","Direction=H","UseDPDF=Y")</f>
        <v>#NAME?</v>
      </c>
      <c r="BR300" s="1" t="e">
        <f ca="1">_xll.BDH($C$278,"ACCOUNTS_PAYABLE_SEQ_GROWTH","FQ2 2018","FQ2 2018","Currency=INR","Period=FQ","BEST_FPERIOD_OVERRIDE=FQ","FILING_STATUS=OR","EQY_CONSOLIDATED=Y","Sort=A","Dates=H","DateFormat=P","Fill=—","Direction=H","UseDPDF=Y")</f>
        <v>#NAME?</v>
      </c>
      <c r="BS300" s="1" t="e">
        <f ca="1">_xll.BDH($C$278,"ST_DEBT_SEQUENTIAL_GROWTH","FQ2 2018","FQ2 2018","Currency=INR","Period=FQ","BEST_FPERIOD_OVERRIDE=FQ","FILING_STATUS=OR","EQY_CONSOLIDATED=Y","Sort=A","Dates=H","DateFormat=P","Fill=—","Direction=H","UseDPDF=Y")</f>
        <v>#NAME?</v>
      </c>
      <c r="BT300" s="1" t="e">
        <f ca="1">_xll.BDH($C$278,"TOTAL_DEBT_SEQUENTIAL_GROWTH","FQ2 2018","FQ2 2018","Currency=INR","Period=FQ","BEST_FPERIOD_OVERRIDE=FQ","FILING_STATUS=OR","EQY_CONSOLIDATED=Y","Sort=A","Dates=H","DateFormat=P","Fill=—","Direction=H","UseDPDF=Y")</f>
        <v>#NAME?</v>
      </c>
      <c r="BU300" s="1" t="e">
        <f ca="1">_xll.BDH($C$278,"TOTAL_EQUITY_SEQUENTIAL_GROWTH","FQ2 2018","FQ2 2018","Currency=INR","Period=FQ","BEST_FPERIOD_OVERRIDE=FQ","FILING_STATUS=OR","EQY_CONSOLIDATED=Y","Sort=A","Dates=H","DateFormat=P","Fill=—","Direction=H","UseDPDF=Y")</f>
        <v>#NAME?</v>
      </c>
      <c r="BV300" s="1" t="e">
        <f ca="1">_xll.BDH($C$278,"TOTAL_CAPITAL_SEQUENTIAL_GROWTH","FQ2 2018","FQ2 2018","Currency=INR","Period=FQ","BEST_FPERIOD_OVERRIDE=FQ","FILING_STATUS=OR","EQY_CONSOLIDATED=Y","Sort=A","Dates=H","DateFormat=P","Fill=—","Direction=H","UseDPDF=Y")</f>
        <v>#NAME?</v>
      </c>
      <c r="BW300" s="1" t="e">
        <f ca="1">_xll.BDH($C$278,"BPS_SEQUENTIAL_GROWTH","FQ2 2018","FQ2 2018","Currency=INR","Period=FQ","BEST_FPERIOD_OVERRIDE=FQ","FILING_STATUS=OR","EQY_CONSOLIDATED=Y","Sort=A","Dates=H","DateFormat=P","Fill=—","Direction=H","UseDPDF=Y")</f>
        <v>#NAME?</v>
      </c>
      <c r="BX300" s="1" t="e">
        <f ca="1">_xll.BDH($C$278,"CFO_SEQUENTIAL_GROWTH","FQ2 2018","FQ2 2018","Currency=INR","Period=FQ","BEST_FPERIOD_OVERRIDE=FQ","FILING_STATUS=OR","EQY_CONSOLIDATED=Y","Sort=A","Dates=H","DateFormat=P","Fill=—","Direction=H","UseDPDF=Y")</f>
        <v>#NAME?</v>
      </c>
      <c r="BY300" s="2" t="e">
        <f ca="1">_xll.BDH($C$278,"SHORT_AND_LONG_TERM_DEBT","FQ2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00" s="2" t="e">
        <f ca="1">_xll.BDH($C$278,"BS_ST_BORROW","FQ2 2018","FQ2 2018","Currency=INR","Period=FQ","BEST_FPERIOD_OVERRIDE=FQ","FILING_STATUS=OR","EQY_CONSOLIDATED=Y","SCALING_FORMAT=MLN","Sort=A","Dates=H","DateFormat=P","Fill=—","Direction=H","UseDPDF=Y")</f>
        <v>#NAME?</v>
      </c>
      <c r="CA300" s="2" t="e">
        <f ca="1">_xll.BDH($C$278,"BS_LT_BORROW","FQ2 2018","FQ2 2018","Currency=INR","Period=FQ","BEST_FPERIOD_OVERRIDE=FQ","FILING_STATUS=OR","EQY_CONSOLIDATED=Y","SCALING_FORMAT=MLN","Sort=A","Dates=H","DateFormat=P","Fill=—","Direction=H","UseDPDF=Y")</f>
        <v>#NAME?</v>
      </c>
      <c r="CB300" s="1" t="e">
        <f ca="1">_xll.BDH($C$278,"TOT_DEBT_TO_EBITDA","FQ2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00" s="1" t="e">
        <f ca="1">_xll.BDH($C$278,"NET_DEBT_TO_EBITDA","FQ2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00" s="1" t="e">
        <f ca="1">_xll.BDH($C$278,"TOTAL_DEBT_TO_EBIT","FQ2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00" s="1" t="e">
        <f ca="1">_xll.BDH($C$278,"NET_DEBT_TO_EBIT","FQ2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300" s="1" t="e">
        <f ca="1">_xll.BDH($C$278,"EBITDA_TO_INTEREST_EXPN","FQ2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00" s="1" t="e">
        <f ca="1">_xll.BDH($C$278,"COM_EQY_TO_TOT_ASSET","FQ2 2018","FQ2 2018","Currency=INR","Period=FQ","BEST_FPERIOD_OVERRIDE=FQ","FILING_STATUS=OR","EQY_CONSOLIDATED=Y","Sort=A","Dates=H","DateFormat=P","Fill=—","Direction=H","UseDPDF=Y")</f>
        <v>#NAME?</v>
      </c>
      <c r="CH300" s="1" t="e">
        <f ca="1">_xll.BDH($C$278,"LT_DEBT_TO_TOT_EQY","FQ2 2018","FQ2 2018","Currency=INR","Period=FQ","BEST_FPERIOD_OVERRIDE=FQ","FILING_STATUS=OR","EQY_CONSOLIDATED=Y","Sort=A","Dates=H","DateFormat=P","Fill=—","Direction=H","UseDPDF=Y")</f>
        <v>#NAME?</v>
      </c>
      <c r="CI300" s="1" t="e">
        <f ca="1">_xll.BDH($C$278,"LT_DEBT_TO_TOT_CAP","FQ2 2018","FQ2 2018","Currency=INR","Period=FQ","BEST_FPERIOD_OVERRIDE=FQ","FILING_STATUS=OR","EQY_CONSOLIDATED=Y","Sort=A","Dates=H","DateFormat=P","Fill=—","Direction=H","UseDPDF=Y")</f>
        <v>#NAME?</v>
      </c>
      <c r="CJ300" s="1" t="e">
        <f ca="1">_xll.BDH($C$278,"LT_DEBT_TO_TOT_ASSET","FQ2 2018","FQ2 2018","Currency=INR","Period=FQ","BEST_FPERIOD_OVERRIDE=FQ","FILING_STATUS=OR","EQY_CONSOLIDATED=Y","Sort=A","Dates=H","DateFormat=P","Fill=—","Direction=H","UseDPDF=Y")</f>
        <v>#NAME?</v>
      </c>
      <c r="CK300" s="1" t="e">
        <f ca="1">_xll.BDH($C$278,"TOT_DEBT_TO_TOT_EQY","FQ2 2018","FQ2 2018","Currency=INR","Period=FQ","BEST_FPERIOD_OVERRIDE=FQ","FILING_STATUS=OR","EQY_CONSOLIDATED=Y","Sort=A","Dates=H","DateFormat=P","Fill=—","Direction=H","UseDPDF=Y")</f>
        <v>#NAME?</v>
      </c>
      <c r="CL300" s="1" t="e">
        <f ca="1">_xll.BDH($C$278,"TOT_DEBT_TO_TOT_CAP","FQ2 2018","FQ2 2018","Currency=INR","Period=FQ","BEST_FPERIOD_OVERRIDE=FQ","FILING_STATUS=OR","EQY_CONSOLIDATED=Y","Sort=A","Dates=H","DateFormat=P","Fill=—","Direction=H","UseDPDF=Y")</f>
        <v>#NAME?</v>
      </c>
      <c r="CM300" s="1" t="e">
        <f ca="1">_xll.BDH($C$278,"TOT_DEBT_TO_TOT_ASSET","FQ2 2018","FQ2 2018","Currency=INR","Period=FQ","BEST_FPERIOD_OVERRIDE=FQ","FILING_STATUS=OR","EQY_CONSOLIDATED=Y","Sort=A","Dates=H","DateFormat=P","Fill=—","Direction=H","UseDPDF=Y")</f>
        <v>#NAME?</v>
      </c>
      <c r="CN300" s="1" t="e">
        <f ca="1">_xll.BDH($C$278,"NET_DEBT_TO_SHRHLDR_EQTY","FQ2 2018","FQ2 2018","Currency=INR","Period=FQ","BEST_FPERIOD_OVERRIDE=FQ","FILING_STATUS=OR","EQY_CONSOLIDATED=Y","Sort=A","Dates=H","DateFormat=P","Fill=—","Direction=H","UseDPDF=Y")</f>
        <v>#NAME?</v>
      </c>
      <c r="CO300" s="1" t="e">
        <f ca="1">_xll.BDH($C$278,"NET_DEBT_%_CAPITAL","FQ2 2018","FQ2 2018","Currency=INR","Period=FQ","BEST_FPERIOD_OVERRIDE=FQ","FILING_STATUS=OR","EQY_CONSOLIDATED=Y","Sort=A","Dates=H","DateFormat=P","Fill=—","Direction=H","UseDPDF=Y")</f>
        <v>#NAME?</v>
      </c>
      <c r="CP300" s="2" t="e">
        <f ca="1">_xll.BDH($C$278,"EBITDA","FQ2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00" s="2" t="e">
        <f ca="1">_xll.BDH($C$278,"EBITDA_AFTER_CAPEX","FQ2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00" s="2" t="e">
        <f ca="1">_xll.BDH($C$278,"IS_OPER_INC","FQ2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00" s="1" t="e">
        <f ca="1">_xll.BDH($C$278,"CASH_RATIO","FQ2 2018","FQ2 2018","Currency=INR","Period=FQ","BEST_FPERIOD_OVERRIDE=FQ","FILING_STATUS=OR","EQY_CONSOLIDATED=Y","Sort=A","Dates=H","DateFormat=P","Fill=—","Direction=H","UseDPDF=Y")</f>
        <v>#NAME?</v>
      </c>
      <c r="CT300" s="1" t="e">
        <f ca="1">_xll.BDH($C$278,"CUR_RATIO","FQ2 2018","FQ2 2018","Currency=INR","Period=FQ","BEST_FPERIOD_OVERRIDE=FQ","FILING_STATUS=OR","EQY_CONSOLIDATED=Y","Sort=A","Dates=H","DateFormat=P","Fill=—","Direction=H","UseDPDF=Y")</f>
        <v>#NAME?</v>
      </c>
      <c r="CU300" s="1" t="e">
        <f ca="1">_xll.BDH($C$278,"QUICK_RATIO","FQ2 2018","FQ2 2018","Currency=INR","Period=FQ","BEST_FPERIOD_OVERRIDE=FQ","FILING_STATUS=OR","EQY_CONSOLIDATED=Y","Sort=A","Dates=H","DateFormat=P","Fill=—","Direction=H","UseDPDF=Y")</f>
        <v>#NAME?</v>
      </c>
      <c r="CV300" s="1" t="e">
        <f ca="1">_xll.BDH($C$278,"ALTMAN_Z_SCORE","FQ2 2018","FQ2 2018","Currency=INR","Period=FQ","BEST_FPERIOD_OVERRIDE=FQ","FILING_STATUS=OR","EQY_CONSOLIDATED=Y","Sort=A","Dates=H","DateFormat=P","Fill=—","Direction=H","UseDPDF=Y")</f>
        <v>#NAME?</v>
      </c>
      <c r="CW300" s="3" t="e">
        <f ca="1">_xll.BDH($C$278,"ACCT_RCV_TURN","FQ2 2018","FQ2 2018","Currency=INR","Period=FQ","BEST_FPERIOD_OVERRIDE=FQ","FILING_STATUS=OR","EQY_CONSOLIDATED=Y","FA_ADJUSTED=GAAP","Sort=A","Dates=H","DateFormat=P","Fill=—","Direction=H","UseDPDF=Y")</f>
        <v>#NAME?</v>
      </c>
      <c r="CX300" s="1" t="e">
        <f ca="1">_xll.BDH($C$278,"ACCT_RCV_DAYS","FQ2 2018","FQ2 2018","Currency=INR","Period=FQ","BEST_FPERIOD_OVERRIDE=FQ","FILING_STATUS=OR","EQY_CONSOLIDATED=Y","FA_ADJUSTED=GAAP","Sort=A","Dates=H","DateFormat=P","Fill=—","Direction=H","UseDPDF=Y")</f>
        <v>#NAME?</v>
      </c>
      <c r="CY300" s="3" t="e">
        <f ca="1">_xll.BDH($C$278,"INVENT_TURN","FQ2 2018","FQ2 2018","Currency=INR","Period=FQ","BEST_FPERIOD_OVERRIDE=FQ","FILING_STATUS=OR","EQY_CONSOLIDATED=Y","FA_ADJUSTED=GAAP","Sort=A","Dates=H","DateFormat=P","Fill=—","Direction=H","UseDPDF=Y")</f>
        <v>#NAME?</v>
      </c>
      <c r="CZ300" s="1" t="e">
        <f ca="1">_xll.BDH($C$278,"INVENT_DAYS","FQ2 2018","FQ2 2018","Currency=INR","Period=FQ","BEST_FPERIOD_OVERRIDE=FQ","FILING_STATUS=OR","EQY_CONSOLIDATED=Y","FA_ADJUSTED=GAAP","Sort=A","Dates=H","DateFormat=P","Fill=—","Direction=H","UseDPDF=Y")</f>
        <v>#NAME?</v>
      </c>
      <c r="DA300" s="3" t="e">
        <f ca="1">_xll.BDH($C$278,"ACCOUNTS_PAYABLE_TURNOVER","FQ2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00" s="1" t="e">
        <f ca="1">_xll.BDH($C$278,"ACCOUNTS_PAYABLE_TURNOVER_DAYS","FQ2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00" s="3" t="e">
        <f ca="1">_xll.BDH($C$278,"CASH_CONVERSION_CYCLE","FQ2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00" s="3" t="e">
        <f ca="1">_xll.BDH($C$278,"INV_TO_CASH_DAYS","FQ2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300" s="4" t="e">
        <f ca="1">_xll.BDH($C$278,"BS_INVENTORIES","FQ2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300" s="2" t="e">
        <f ca="1">_xll.BDH($C$278,"INVTRY_RAW_MATERIALS","FQ2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00" s="2" t="e">
        <f ca="1">_xll.BDH($C$278,"INVTRY_IN_PROGRESS","FQ2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00" s="2" t="e">
        <f ca="1">_xll.BDH($C$278,"INVTRY_FINISHED_GOODS","FQ2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00" s="2" t="e">
        <f ca="1">_xll.BDH($C$278,"BS_OTHER_INV","FQ2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01" spans="1:113" x14ac:dyDescent="0.3">
      <c r="A301" s="6"/>
      <c r="B301" s="6"/>
      <c r="C301" s="6"/>
      <c r="D301" s="6"/>
      <c r="E301" t="s">
        <v>6</v>
      </c>
      <c r="F301" t="e">
        <f ca="1">_xll.BDH($C$278,"RETURN_COM_EQY","FQ3 2018","FQ3 2018","Currency=INR","Period=FQ","BEST_FPERIOD_OVERRIDE=FQ","FILING_STATUS=OR","EQY_CONSOLIDATED=Y","FA_ADJUSTED=GAAP","Sort=A","Dates=H","DateFormat=P","Fill=—","Direction=H","UseDPDF=Y")</f>
        <v>#NAME?</v>
      </c>
      <c r="G301" t="e">
        <f ca="1">_xll.BDH($C$278,"RETURN_ON_ASSET","FQ3 2018","FQ3 2018","Currency=INR","Period=FQ","BEST_FPERIOD_OVERRIDE=FQ","FILING_STATUS=OR","EQY_CONSOLIDATED=Y","FA_ADJUSTED=GAAP","Sort=A","Dates=H","DateFormat=P","Fill=—","Direction=H","UseDPDF=Y")</f>
        <v>#NAME?</v>
      </c>
      <c r="H301" t="e">
        <f ca="1">_xll.BDH($C$278,"RETURN_ON_CAP","FQ3 2018","FQ3 2018","Currency=INR","Period=FQ","BEST_FPERIOD_OVERRIDE=FQ","FILING_STATUS=OR","EQY_CONSOLIDATED=Y","FA_ADJUSTED=GAAP","Sort=A","Dates=H","DateFormat=P","Fill=—","Direction=H","UseDPDF=Y")</f>
        <v>#NAME?</v>
      </c>
      <c r="I301" t="e">
        <f ca="1">_xll.BDH($C$278,"RETURN_ON_INV_CAPITAL","FQ3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01" t="e">
        <f ca="1">_xll.BDH($C$278,"EBITDA_TO_REVENUE","FQ3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301" t="e">
        <f ca="1">_xll.BDH($C$278,"OPER_MARGIN","FQ3 2018","FQ3 2018","Currency=INR","Period=FQ","BEST_FPERIOD_OVERRIDE=FQ","FILING_STATUS=OR","EQY_CONSOLIDATED=Y","FA_ADJUSTED=GAAP","Sort=A","Dates=H","DateFormat=P","Fill=—","Direction=H","UseDPDF=Y")</f>
        <v>#NAME?</v>
      </c>
      <c r="L301" t="e">
        <f ca="1">_xll.BDH($C$278,"INCREMENTAL_OPERATING_MARGIN","FQ3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01" t="e">
        <f ca="1">_xll.BDH($C$278,"PRETAX_INC_TO_NET_SALES","FQ3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01" t="e">
        <f ca="1">_xll.BDH($C$278,"INC_BEF_XO_ITEMS_TO_NET_SALES","FQ3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01" t="e">
        <f ca="1">_xll.BDH($C$278,"PROF_MARGIN","FQ3 2018","FQ3 2018","Currency=INR","Period=FQ","BEST_FPERIOD_OVERRIDE=FQ","FILING_STATUS=OR","EQY_CONSOLIDATED=Y","FA_ADJUSTED=GAAP","Sort=A","Dates=H","DateFormat=P","Fill=—","Direction=H","UseDPDF=Y")</f>
        <v>#NAME?</v>
      </c>
      <c r="P301" t="e">
        <f ca="1">_xll.BDH($C$278,"NET_INCOME_TO_COMMON_MARGIN","FQ3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01" t="e">
        <f ca="1">_xll.BDH($C$278,"EFF_TAX_RATE","FQ3 2018","FQ3 2018","Currency=INR","Period=FQ","BEST_FPERIOD_OVERRIDE=FQ","FILING_STATUS=OR","EQY_CONSOLIDATED=Y","FA_ADJUSTED=GAAP","Sort=A","Dates=H","DateFormat=P","Fill=—","Direction=H","UseDPDF=Y")</f>
        <v>#NAME?</v>
      </c>
      <c r="R301" t="e">
        <f ca="1">_xll.BDH($C$278,"DVD_PAYOUT_RATIO","FQ3 2018","FQ3 2018","Currency=INR","Period=FQ","BEST_FPERIOD_OVERRIDE=FQ","FILING_STATUS=OR","EQY_CONSOLIDATED=Y","FA_ADJUSTED=GAAP","Sort=A","Dates=H","DateFormat=P","Fill=—","Direction=H","UseDPDF=Y")</f>
        <v>#NAME?</v>
      </c>
      <c r="S301" t="e">
        <f ca="1">_xll.BDH($C$278,"SUSTAIN_GROWTH_RT","FQ3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301" s="1" t="e">
        <f ca="1">_xll.BDH($C$278,"SALES_GROWTH","FQ3 2018","FQ3 2018","Currency=INR","Period=FQ","BEST_FPERIOD_OVERRIDE=FQ","FILING_STATUS=OR","EQY_CONSOLIDATED=Y","FA_ADJUSTED=GAAP","Sort=A","Dates=H","DateFormat=P","Fill=—","Direction=H","UseDPDF=Y")</f>
        <v>#NAME?</v>
      </c>
      <c r="U301" s="1" t="e">
        <f ca="1">_xll.BDH($C$278,"EBITDA_GROWTH","FQ3 2018","FQ3 2018","Currency=INR","Period=FQ","BEST_FPERIOD_OVERRIDE=FQ","FILING_STATUS=OR","EQY_CONSOLIDATED=Y","FA_ADJUSTED=GAAP","Sort=A","Dates=H","DateFormat=P","Fill=—","Direction=H","UseDPDF=Y")</f>
        <v>#NAME?</v>
      </c>
      <c r="V301" s="1" t="e">
        <f ca="1">_xll.BDH($C$278,"OPER_INC_GROWTH","FQ3 2018","FQ3 2018","Currency=INR","Period=FQ","BEST_FPERIOD_OVERRIDE=FQ","FILING_STATUS=OR","EQY_CONSOLIDATED=Y","FA_ADJUSTED=GAAP","Sort=A","Dates=H","DateFormat=P","Fill=—","Direction=H","UseDPDF=Y")</f>
        <v>#NAME?</v>
      </c>
      <c r="W301" s="1" t="e">
        <f ca="1">_xll.BDH($C$278,"EARN_FOR_COM_GROWTH","FQ3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01" s="1" t="e">
        <f ca="1">_xll.BDH($C$278,"DILUTED_EPS_AFT_XO_ITEMS_GROWTH","FQ3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01" s="1" t="e">
        <f ca="1">_xll.BDH($C$278,"DIVIDEND_PER_SHARE_1_YEAR_GROWTH","FQ3 2018","FQ3 2018","Currency=INR","Period=FQ","BEST_FPERIOD_OVERRIDE=FQ","FILING_STATUS=OR","EQY_CONSOLIDATED=Y","Sort=A","Dates=H","DateFormat=P","Fill=—","Direction=H","UseDPDF=Y")</f>
        <v>#NAME?</v>
      </c>
      <c r="Z301" s="1" t="e">
        <f ca="1">_xll.BDH($C$278,"ACCOUNTS_RECEIVABLE_GROWTH","FQ3 2018","FQ3 2018","Currency=INR","Period=FQ","BEST_FPERIOD_OVERRIDE=FQ","FILING_STATUS=OR","EQY_CONSOLIDATED=Y","Sort=A","Dates=H","DateFormat=P","Fill=—","Direction=H","UseDPDF=Y")</f>
        <v>#NAME?</v>
      </c>
      <c r="AA301" s="1" t="e">
        <f ca="1">_xll.BDH($C$278,"INVENTORY_GROWTH","FQ3 2018","FQ3 2018","Currency=INR","Period=FQ","BEST_FPERIOD_OVERRIDE=FQ","FILING_STATUS=OR","EQY_CONSOLIDATED=Y","Sort=A","Dates=H","DateFormat=P","Fill=—","Direction=H","UseDPDF=Y")</f>
        <v>#NAME?</v>
      </c>
      <c r="AB301" s="1" t="e">
        <f ca="1">_xll.BDH($C$278,"NET_FIXED_ASSETS_1_YEAR_GROWTH","FQ3 2018","FQ3 2018","Currency=INR","Period=FQ","BEST_FPERIOD_OVERRIDE=FQ","FILING_STATUS=OR","EQY_CONSOLIDATED=Y","Sort=A","Dates=H","DateFormat=P","Fill=—","Direction=H","UseDPDF=Y")</f>
        <v>#NAME?</v>
      </c>
      <c r="AC301" s="1" t="e">
        <f ca="1">_xll.BDH($C$278,"ASSET_GROWTH","FQ3 2018","FQ3 2018","Currency=INR","Period=FQ","BEST_FPERIOD_OVERRIDE=FQ","FILING_STATUS=OR","EQY_CONSOLIDATED=Y","Sort=A","Dates=H","DateFormat=P","Fill=—","Direction=H","UseDPDF=Y")</f>
        <v>#NAME?</v>
      </c>
      <c r="AD301" s="1" t="e">
        <f ca="1">_xll.BDH($C$278,"MODIFIED_WORK_CAP_GROWTH","FQ3 2018","FQ3 2018","Currency=INR","Period=FQ","BEST_FPERIOD_OVERRIDE=FQ","FILING_STATUS=OR","EQY_CONSOLIDATED=Y","Sort=A","Dates=H","DateFormat=P","Fill=—","Direction=H","UseDPDF=Y")</f>
        <v>#NAME?</v>
      </c>
      <c r="AE301" s="1" t="e">
        <f ca="1">_xll.BDH($C$278,"WORK_CAP_GROWTH","FQ3 2018","FQ3 2018","Currency=INR","Period=FQ","BEST_FPERIOD_OVERRIDE=FQ","FILING_STATUS=OR","EQY_CONSOLIDATED=Y","Sort=A","Dates=H","DateFormat=P","Fill=—","Direction=H","UseDPDF=Y")</f>
        <v>#NAME?</v>
      </c>
      <c r="AF301" s="1" t="e">
        <f ca="1">_xll.BDH($C$278,"ACCOUNTS_PAYABLE_GROWTH_1YR","FQ3 2018","FQ3 2018","Currency=INR","Period=FQ","BEST_FPERIOD_OVERRIDE=FQ","FILING_STATUS=OR","EQY_CONSOLIDATED=Y","Sort=A","Dates=H","DateFormat=P","Fill=—","Direction=H","UseDPDF=Y")</f>
        <v>#NAME?</v>
      </c>
      <c r="AG301" s="1" t="e">
        <f ca="1">_xll.BDH($C$278,"SHORT_TERM_DEBT_1_YEAR_GROWTH","FQ3 2018","FQ3 2018","Currency=INR","Period=FQ","BEST_FPERIOD_OVERRIDE=FQ","FILING_STATUS=OR","EQY_CONSOLIDATED=Y","Sort=A","Dates=H","DateFormat=P","Fill=—","Direction=H","UseDPDF=Y")</f>
        <v>#NAME?</v>
      </c>
      <c r="AH301" s="1" t="e">
        <f ca="1">_xll.BDH($C$278,"TOTAL_DEBT_1_YEAR_GROWTH","FQ3 2018","FQ3 2018","Currency=INR","Period=FQ","BEST_FPERIOD_OVERRIDE=FQ","FILING_STATUS=OR","EQY_CONSOLIDATED=Y","Sort=A","Dates=H","DateFormat=P","Fill=—","Direction=H","UseDPDF=Y")</f>
        <v>#NAME?</v>
      </c>
      <c r="AI301" s="1" t="e">
        <f ca="1">_xll.BDH($C$278,"TOTAL_EQUITY_1_YEAR_GROWTH","FQ3 2018","FQ3 2018","Currency=INR","Period=FQ","BEST_FPERIOD_OVERRIDE=FQ","FILING_STATUS=OR","EQY_CONSOLIDATED=Y","Sort=A","Dates=H","DateFormat=P","Fill=—","Direction=H","UseDPDF=Y")</f>
        <v>#NAME?</v>
      </c>
      <c r="AJ301" s="1" t="e">
        <f ca="1">_xll.BDH($C$278,"GROWTH_IN_CAP","FQ3 2018","FQ3 2018","Currency=INR","Period=FQ","BEST_FPERIOD_OVERRIDE=FQ","FILING_STATUS=OR","EQY_CONSOLIDATED=Y","Sort=A","Dates=H","DateFormat=P","Fill=—","Direction=H","UseDPDF=Y")</f>
        <v>#NAME?</v>
      </c>
      <c r="AK301" s="1" t="e">
        <f ca="1">_xll.BDH($C$278,"BVPS_GROWTH","FQ3 2018","FQ3 2018","Currency=INR","Period=FQ","BEST_FPERIOD_OVERRIDE=FQ","FILING_STATUS=OR","EQY_CONSOLIDATED=Y","Sort=A","Dates=H","DateFormat=P","Fill=—","Direction=H","UseDPDF=Y")</f>
        <v>#NAME?</v>
      </c>
      <c r="AL301" s="1" t="e">
        <f ca="1">_xll.BDH($C$278,"CASH_FLOW_GROWTH","FQ3 2018","FQ3 2018","Currency=INR","Period=FQ","BEST_FPERIOD_OVERRIDE=FQ","FILING_STATUS=OR","EQY_CONSOLIDATED=Y","Sort=A","Dates=H","DateFormat=P","Fill=—","Direction=H","UseDPDF=Y")</f>
        <v>#NAME?</v>
      </c>
      <c r="AM301" s="1" t="e">
        <f ca="1">_xll.BDH($C$278,"GEO_GROW_NET_SALES","FQ3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01" s="1" t="e">
        <f ca="1">_xll.BDH($C$278,"GEO_GROW_EBITDA","FQ3 2018","FQ3 2018","Currency=INR","Period=FQ","BEST_FPERIOD_OVERRIDE=FQ","FILING_STATUS=OR","EQY_CONSOLIDATED=Y","FA_ADJUSTED=GAAP","Sort=A","Dates=H","DateFormat=P","Fill=—","Direction=H","UseDPDF=Y")</f>
        <v>#NAME?</v>
      </c>
      <c r="AO301" s="1" t="e">
        <f ca="1">_xll.BDH($C$278,"GEO_GROW_OPER_INC","FQ3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01" s="1" t="e">
        <f ca="1">_xll.BDH($C$278,"NET_INCOME_TO_COMMON_5_YR_GROWTH","FQ3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01" s="1" t="e">
        <f ca="1">_xll.BDH($C$278,"5Y_GEO_GROWTH_DILUTED_EPS","FQ3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01" s="1" t="e">
        <f ca="1">_xll.BDH($C$278,"GEO_GROW_DVD_PER_SH","FQ3 2018","FQ3 2018","Currency=INR","Period=FQ","BEST_FPERIOD_OVERRIDE=FQ","FILING_STATUS=OR","EQY_CONSOLIDATED=Y","Sort=A","Dates=H","DateFormat=P","Fill=—","Direction=H","UseDPDF=Y")</f>
        <v>#NAME?</v>
      </c>
      <c r="AS301" s="1" t="e">
        <f ca="1">_xll.BDH($C$278,"ACCOUNTS_RECEIVABLE_5_YR_GROWTH","FQ3 2018","FQ3 2018","Currency=INR","Period=FQ","BEST_FPERIOD_OVERRIDE=FQ","FILING_STATUS=OR","EQY_CONSOLIDATED=Y","Sort=A","Dates=H","DateFormat=P","Fill=—","Direction=H","UseDPDF=Y")</f>
        <v>#NAME?</v>
      </c>
      <c r="AT301" s="1" t="e">
        <f ca="1">_xll.BDH($C$278,"INVENTORY_5_YEAR_GROWTH","FQ3 2018","FQ3 2018","Currency=INR","Period=FQ","BEST_FPERIOD_OVERRIDE=FQ","FILING_STATUS=OR","EQY_CONSOLIDATED=Y","Sort=A","Dates=H","DateFormat=P","Fill=—","Direction=H","UseDPDF=Y")</f>
        <v>#NAME?</v>
      </c>
      <c r="AU301" s="1" t="e">
        <f ca="1">_xll.BDH($C$278,"NET_FIXED_ASSETS_5_YEAR_GROWTH","FQ3 2018","FQ3 2018","Currency=INR","Period=FQ","BEST_FPERIOD_OVERRIDE=FQ","FILING_STATUS=OR","EQY_CONSOLIDATED=Y","Sort=A","Dates=H","DateFormat=P","Fill=—","Direction=H","UseDPDF=Y")</f>
        <v>#NAME?</v>
      </c>
      <c r="AV301" s="1" t="e">
        <f ca="1">_xll.BDH($C$278,"GEO_GROW_TOT_ASSET","FQ3 2018","FQ3 2018","Currency=INR","Period=FQ","BEST_FPERIOD_OVERRIDE=FQ","FILING_STATUS=OR","EQY_CONSOLIDATED=Y","Sort=A","Dates=H","DateFormat=P","Fill=—","Direction=H","UseDPDF=Y")</f>
        <v>#NAME?</v>
      </c>
      <c r="AW301" s="1" t="e">
        <f ca="1">_xll.BDH($C$278,"MODIFIED_WORKING_CPTL_5YR_GRWTH","FQ3 2018","FQ3 2018","Currency=INR","Period=FQ","BEST_FPERIOD_OVERRIDE=FQ","FILING_STATUS=OR","EQY_CONSOLIDATED=Y","Sort=A","Dates=H","DateFormat=P","Fill=—","Direction=H","UseDPDF=Y")</f>
        <v>#NAME?</v>
      </c>
      <c r="AX301" s="1" t="e">
        <f ca="1">_xll.BDH($C$278,"WORKING_CAPITAL_5_YEAR_GROWTH","FQ3 2018","FQ3 2018","Currency=INR","Period=FQ","BEST_FPERIOD_OVERRIDE=FQ","FILING_STATUS=OR","EQY_CONSOLIDATED=Y","Sort=A","Dates=H","DateFormat=P","Fill=—","Direction=H","UseDPDF=Y")</f>
        <v>#NAME?</v>
      </c>
      <c r="AY301" s="1" t="e">
        <f ca="1">_xll.BDH($C$278,"ACCOUNTS_PAYABLE_5_YEAR_GROWTH","FQ3 2018","FQ3 2018","Currency=INR","Period=FQ","BEST_FPERIOD_OVERRIDE=FQ","FILING_STATUS=OR","EQY_CONSOLIDATED=Y","Sort=A","Dates=H","DateFormat=P","Fill=—","Direction=H","UseDPDF=Y")</f>
        <v>#NAME?</v>
      </c>
      <c r="AZ301" s="1" t="e">
        <f ca="1">_xll.BDH($C$278,"SHORT_TERM_DEBT_5_YEAR_GROWTH","FQ3 2018","FQ3 2018","Currency=INR","Period=FQ","BEST_FPERIOD_OVERRIDE=FQ","FILING_STATUS=OR","EQY_CONSOLIDATED=Y","Sort=A","Dates=H","DateFormat=P","Fill=—","Direction=H","UseDPDF=Y")</f>
        <v>#NAME?</v>
      </c>
      <c r="BA301" s="1" t="e">
        <f ca="1">_xll.BDH($C$278,"TOTAL_DEBT_5_YEAR_GROWTH","FQ3 2018","FQ3 2018","Currency=INR","Period=FQ","BEST_FPERIOD_OVERRIDE=FQ","FILING_STATUS=OR","EQY_CONSOLIDATED=Y","Sort=A","Dates=H","DateFormat=P","Fill=—","Direction=H","UseDPDF=Y")</f>
        <v>#NAME?</v>
      </c>
      <c r="BB301" s="1" t="e">
        <f ca="1">_xll.BDH($C$278,"GEO_GROW_TOT_SHRHLDR_EQY","FQ3 2018","FQ3 2018","Currency=INR","Period=FQ","BEST_FPERIOD_OVERRIDE=FQ","FILING_STATUS=OR","EQY_CONSOLIDATED=Y","Sort=A","Dates=H","DateFormat=P","Fill=—","Direction=H","UseDPDF=Y")</f>
        <v>#NAME?</v>
      </c>
      <c r="BC301" s="1" t="e">
        <f ca="1">_xll.BDH($C$278,"TOTAL_CAPITAL_5_YEAR_GROWTH","FQ3 2018","FQ3 2018","Currency=INR","Period=FQ","BEST_FPERIOD_OVERRIDE=FQ","FILING_STATUS=OR","EQY_CONSOLIDATED=Y","Sort=A","Dates=H","DateFormat=P","Fill=—","Direction=H","UseDPDF=Y")</f>
        <v>#NAME?</v>
      </c>
      <c r="BD301" s="1" t="e">
        <f ca="1">_xll.BDH($C$278,"GEO_GROW_BOOK_VAL","FQ3 2018","FQ3 2018","Currency=INR","Period=FQ","BEST_FPERIOD_OVERRIDE=FQ","FILING_STATUS=OR","EQY_CONSOLIDATED=Y","Sort=A","Dates=H","DateFormat=P","Fill=—","Direction=H","UseDPDF=Y")</f>
        <v>#NAME?</v>
      </c>
      <c r="BE301" s="1" t="e">
        <f ca="1">_xll.BDH($C$278,"GEO_GROW_CASH_OPER_ACT","FQ3 2018","FQ3 2018","Currency=INR","Period=FQ","BEST_FPERIOD_OVERRIDE=FQ","FILING_STATUS=OR","EQY_CONSOLIDATED=Y","Sort=A","Dates=H","DateFormat=P","Fill=—","Direction=H","UseDPDF=Y")</f>
        <v>#NAME?</v>
      </c>
      <c r="BF301" s="1" t="e">
        <f ca="1">_xll.BDH($C$278,"REVENUE_SEQUENTIAL_GROWTH","FQ3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01" s="1" t="e">
        <f ca="1">_xll.BDH($C$278,"EBITDA_SEQUENTIAL_GROWTH","FQ3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01" s="1" t="e">
        <f ca="1">_xll.BDH($C$278,"OPERATING_INCOME_SEQ_GROWTH","FQ3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01" s="1" t="e">
        <f ca="1">_xll.BDH($C$278,"NET_INCOME_TO_COMMON_SEQ_GROWTH","FQ3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01" s="1" t="e">
        <f ca="1">_xll.BDH($C$278,"EPS_DILUTED_SEQUENTIAL_GROWTH","FQ3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01" s="1" t="e">
        <f ca="1">_xll.BDH($C$278,"DPS_SEQUENTIAL_GROWTH","FQ3 2018","FQ3 2018","Currency=INR","Period=FQ","BEST_FPERIOD_OVERRIDE=FQ","FILING_STATUS=OR","EQY_CONSOLIDATED=Y","Sort=A","Dates=H","DateFormat=P","Fill=—","Direction=H","UseDPDF=Y")</f>
        <v>#NAME?</v>
      </c>
      <c r="BL301" s="1" t="e">
        <f ca="1">_xll.BDH($C$278,"ACCOUNTS_RECEIVABLE_SEQ_GROWTH","FQ3 2018","FQ3 2018","Currency=INR","Period=FQ","BEST_FPERIOD_OVERRIDE=FQ","FILING_STATUS=OR","EQY_CONSOLIDATED=Y","Sort=A","Dates=H","DateFormat=P","Fill=—","Direction=H","UseDPDF=Y")</f>
        <v>#NAME?</v>
      </c>
      <c r="BM301" s="1" t="e">
        <f ca="1">_xll.BDH($C$278,"INVENTORY_SEQUENTIAL_GROWTH","FQ3 2018","FQ3 2018","Currency=INR","Period=FQ","BEST_FPERIOD_OVERRIDE=FQ","FILING_STATUS=OR","EQY_CONSOLIDATED=Y","Sort=A","Dates=H","DateFormat=P","Fill=—","Direction=H","UseDPDF=Y")</f>
        <v>#NAME?</v>
      </c>
      <c r="BN301" s="1" t="e">
        <f ca="1">_xll.BDH($C$278,"FIXED_ASSETS_SEQUENTIAL_GROWTH","FQ3 2018","FQ3 2018","Currency=INR","Period=FQ","BEST_FPERIOD_OVERRIDE=FQ","FILING_STATUS=OR","EQY_CONSOLIDATED=Y","Sort=A","Dates=H","DateFormat=P","Fill=—","Direction=H","UseDPDF=Y")</f>
        <v>#NAME?</v>
      </c>
      <c r="BO301" s="1" t="e">
        <f ca="1">_xll.BDH($C$278,"TOTAL_ASSETS_SEQUENTIAL_GROWTH","FQ3 2018","FQ3 2018","Currency=INR","Period=FQ","BEST_FPERIOD_OVERRIDE=FQ","FILING_STATUS=OR","EQY_CONSOLIDATED=Y","Sort=A","Dates=H","DateFormat=P","Fill=—","Direction=H","UseDPDF=Y")</f>
        <v>#NAME?</v>
      </c>
      <c r="BP301" s="1" t="e">
        <f ca="1">_xll.BDH($C$278,"MODIFIED_WORKING_CPTL_SEQ_GRWTH","FQ3 2018","FQ3 2018","Currency=INR","Period=FQ","BEST_FPERIOD_OVERRIDE=FQ","FILING_STATUS=OR","EQY_CONSOLIDATED=Y","Sort=A","Dates=H","DateFormat=P","Fill=—","Direction=H","UseDPDF=Y")</f>
        <v>#NAME?</v>
      </c>
      <c r="BQ301" s="1" t="e">
        <f ca="1">_xll.BDH($C$278,"WORKING_CAPITAL_SEQ_GROWTH","FQ3 2018","FQ3 2018","Currency=INR","Period=FQ","BEST_FPERIOD_OVERRIDE=FQ","FILING_STATUS=OR","EQY_CONSOLIDATED=Y","Sort=A","Dates=H","DateFormat=P","Fill=—","Direction=H","UseDPDF=Y")</f>
        <v>#NAME?</v>
      </c>
      <c r="BR301" s="1" t="e">
        <f ca="1">_xll.BDH($C$278,"ACCOUNTS_PAYABLE_SEQ_GROWTH","FQ3 2018","FQ3 2018","Currency=INR","Period=FQ","BEST_FPERIOD_OVERRIDE=FQ","FILING_STATUS=OR","EQY_CONSOLIDATED=Y","Sort=A","Dates=H","DateFormat=P","Fill=—","Direction=H","UseDPDF=Y")</f>
        <v>#NAME?</v>
      </c>
      <c r="BS301" s="1" t="e">
        <f ca="1">_xll.BDH($C$278,"ST_DEBT_SEQUENTIAL_GROWTH","FQ3 2018","FQ3 2018","Currency=INR","Period=FQ","BEST_FPERIOD_OVERRIDE=FQ","FILING_STATUS=OR","EQY_CONSOLIDATED=Y","Sort=A","Dates=H","DateFormat=P","Fill=—","Direction=H","UseDPDF=Y")</f>
        <v>#NAME?</v>
      </c>
      <c r="BT301" s="1" t="e">
        <f ca="1">_xll.BDH($C$278,"TOTAL_DEBT_SEQUENTIAL_GROWTH","FQ3 2018","FQ3 2018","Currency=INR","Period=FQ","BEST_FPERIOD_OVERRIDE=FQ","FILING_STATUS=OR","EQY_CONSOLIDATED=Y","Sort=A","Dates=H","DateFormat=P","Fill=—","Direction=H","UseDPDF=Y")</f>
        <v>#NAME?</v>
      </c>
      <c r="BU301" s="1" t="e">
        <f ca="1">_xll.BDH($C$278,"TOTAL_EQUITY_SEQUENTIAL_GROWTH","FQ3 2018","FQ3 2018","Currency=INR","Period=FQ","BEST_FPERIOD_OVERRIDE=FQ","FILING_STATUS=OR","EQY_CONSOLIDATED=Y","Sort=A","Dates=H","DateFormat=P","Fill=—","Direction=H","UseDPDF=Y")</f>
        <v>#NAME?</v>
      </c>
      <c r="BV301" s="1" t="e">
        <f ca="1">_xll.BDH($C$278,"TOTAL_CAPITAL_SEQUENTIAL_GROWTH","FQ3 2018","FQ3 2018","Currency=INR","Period=FQ","BEST_FPERIOD_OVERRIDE=FQ","FILING_STATUS=OR","EQY_CONSOLIDATED=Y","Sort=A","Dates=H","DateFormat=P","Fill=—","Direction=H","UseDPDF=Y")</f>
        <v>#NAME?</v>
      </c>
      <c r="BW301" s="1" t="e">
        <f ca="1">_xll.BDH($C$278,"BPS_SEQUENTIAL_GROWTH","FQ3 2018","FQ3 2018","Currency=INR","Period=FQ","BEST_FPERIOD_OVERRIDE=FQ","FILING_STATUS=OR","EQY_CONSOLIDATED=Y","Sort=A","Dates=H","DateFormat=P","Fill=—","Direction=H","UseDPDF=Y")</f>
        <v>#NAME?</v>
      </c>
      <c r="BX301" s="1" t="e">
        <f ca="1">_xll.BDH($C$278,"CFO_SEQUENTIAL_GROWTH","FQ3 2018","FQ3 2018","Currency=INR","Period=FQ","BEST_FPERIOD_OVERRIDE=FQ","FILING_STATUS=OR","EQY_CONSOLIDATED=Y","Sort=A","Dates=H","DateFormat=P","Fill=—","Direction=H","UseDPDF=Y")</f>
        <v>#NAME?</v>
      </c>
      <c r="BY301" s="2" t="e">
        <f ca="1">_xll.BDH($C$278,"SHORT_AND_LONG_TERM_DEBT","FQ3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01" s="2" t="e">
        <f ca="1">_xll.BDH($C$278,"BS_ST_BORROW","FQ3 2018","FQ3 2018","Currency=INR","Period=FQ","BEST_FPERIOD_OVERRIDE=FQ","FILING_STATUS=OR","EQY_CONSOLIDATED=Y","SCALING_FORMAT=MLN","Sort=A","Dates=H","DateFormat=P","Fill=—","Direction=H","UseDPDF=Y")</f>
        <v>#NAME?</v>
      </c>
      <c r="CA301" s="2" t="e">
        <f ca="1">_xll.BDH($C$278,"BS_LT_BORROW","FQ3 2018","FQ3 2018","Currency=INR","Period=FQ","BEST_FPERIOD_OVERRIDE=FQ","FILING_STATUS=OR","EQY_CONSOLIDATED=Y","SCALING_FORMAT=MLN","Sort=A","Dates=H","DateFormat=P","Fill=—","Direction=H","UseDPDF=Y")</f>
        <v>#NAME?</v>
      </c>
      <c r="CB301" s="1" t="e">
        <f ca="1">_xll.BDH($C$278,"TOT_DEBT_TO_EBITDA","FQ3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01" s="1" t="e">
        <f ca="1">_xll.BDH($C$278,"NET_DEBT_TO_EBITDA","FQ3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01" s="1" t="e">
        <f ca="1">_xll.BDH($C$278,"TOTAL_DEBT_TO_EBIT","FQ3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01" s="1" t="e">
        <f ca="1">_xll.BDH($C$278,"NET_DEBT_TO_EBIT","FQ3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301" s="1" t="e">
        <f ca="1">_xll.BDH($C$278,"EBITDA_TO_INTEREST_EXPN","FQ3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01" s="1" t="e">
        <f ca="1">_xll.BDH($C$278,"COM_EQY_TO_TOT_ASSET","FQ3 2018","FQ3 2018","Currency=INR","Period=FQ","BEST_FPERIOD_OVERRIDE=FQ","FILING_STATUS=OR","EQY_CONSOLIDATED=Y","Sort=A","Dates=H","DateFormat=P","Fill=—","Direction=H","UseDPDF=Y")</f>
        <v>#NAME?</v>
      </c>
      <c r="CH301" s="1" t="e">
        <f ca="1">_xll.BDH($C$278,"LT_DEBT_TO_TOT_EQY","FQ3 2018","FQ3 2018","Currency=INR","Period=FQ","BEST_FPERIOD_OVERRIDE=FQ","FILING_STATUS=OR","EQY_CONSOLIDATED=Y","Sort=A","Dates=H","DateFormat=P","Fill=—","Direction=H","UseDPDF=Y")</f>
        <v>#NAME?</v>
      </c>
      <c r="CI301" s="1" t="e">
        <f ca="1">_xll.BDH($C$278,"LT_DEBT_TO_TOT_CAP","FQ3 2018","FQ3 2018","Currency=INR","Period=FQ","BEST_FPERIOD_OVERRIDE=FQ","FILING_STATUS=OR","EQY_CONSOLIDATED=Y","Sort=A","Dates=H","DateFormat=P","Fill=—","Direction=H","UseDPDF=Y")</f>
        <v>#NAME?</v>
      </c>
      <c r="CJ301" s="1" t="e">
        <f ca="1">_xll.BDH($C$278,"LT_DEBT_TO_TOT_ASSET","FQ3 2018","FQ3 2018","Currency=INR","Period=FQ","BEST_FPERIOD_OVERRIDE=FQ","FILING_STATUS=OR","EQY_CONSOLIDATED=Y","Sort=A","Dates=H","DateFormat=P","Fill=—","Direction=H","UseDPDF=Y")</f>
        <v>#NAME?</v>
      </c>
      <c r="CK301" s="1" t="e">
        <f ca="1">_xll.BDH($C$278,"TOT_DEBT_TO_TOT_EQY","FQ3 2018","FQ3 2018","Currency=INR","Period=FQ","BEST_FPERIOD_OVERRIDE=FQ","FILING_STATUS=OR","EQY_CONSOLIDATED=Y","Sort=A","Dates=H","DateFormat=P","Fill=—","Direction=H","UseDPDF=Y")</f>
        <v>#NAME?</v>
      </c>
      <c r="CL301" s="1" t="e">
        <f ca="1">_xll.BDH($C$278,"TOT_DEBT_TO_TOT_CAP","FQ3 2018","FQ3 2018","Currency=INR","Period=FQ","BEST_FPERIOD_OVERRIDE=FQ","FILING_STATUS=OR","EQY_CONSOLIDATED=Y","Sort=A","Dates=H","DateFormat=P","Fill=—","Direction=H","UseDPDF=Y")</f>
        <v>#NAME?</v>
      </c>
      <c r="CM301" s="1" t="e">
        <f ca="1">_xll.BDH($C$278,"TOT_DEBT_TO_TOT_ASSET","FQ3 2018","FQ3 2018","Currency=INR","Period=FQ","BEST_FPERIOD_OVERRIDE=FQ","FILING_STATUS=OR","EQY_CONSOLIDATED=Y","Sort=A","Dates=H","DateFormat=P","Fill=—","Direction=H","UseDPDF=Y")</f>
        <v>#NAME?</v>
      </c>
      <c r="CN301" s="1" t="e">
        <f ca="1">_xll.BDH($C$278,"NET_DEBT_TO_SHRHLDR_EQTY","FQ3 2018","FQ3 2018","Currency=INR","Period=FQ","BEST_FPERIOD_OVERRIDE=FQ","FILING_STATUS=OR","EQY_CONSOLIDATED=Y","Sort=A","Dates=H","DateFormat=P","Fill=—","Direction=H","UseDPDF=Y")</f>
        <v>#NAME?</v>
      </c>
      <c r="CO301" s="1" t="e">
        <f ca="1">_xll.BDH($C$278,"NET_DEBT_%_CAPITAL","FQ3 2018","FQ3 2018","Currency=INR","Period=FQ","BEST_FPERIOD_OVERRIDE=FQ","FILING_STATUS=OR","EQY_CONSOLIDATED=Y","Sort=A","Dates=H","DateFormat=P","Fill=—","Direction=H","UseDPDF=Y")</f>
        <v>#NAME?</v>
      </c>
      <c r="CP301" s="2" t="e">
        <f ca="1">_xll.BDH($C$278,"EBITDA","FQ3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01" s="2" t="e">
        <f ca="1">_xll.BDH($C$278,"EBITDA_AFTER_CAPEX","FQ3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01" s="2" t="e">
        <f ca="1">_xll.BDH($C$278,"IS_OPER_INC","FQ3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01" s="1" t="e">
        <f ca="1">_xll.BDH($C$278,"CASH_RATIO","FQ3 2018","FQ3 2018","Currency=INR","Period=FQ","BEST_FPERIOD_OVERRIDE=FQ","FILING_STATUS=OR","EQY_CONSOLIDATED=Y","Sort=A","Dates=H","DateFormat=P","Fill=—","Direction=H","UseDPDF=Y")</f>
        <v>#NAME?</v>
      </c>
      <c r="CT301" s="1" t="e">
        <f ca="1">_xll.BDH($C$278,"CUR_RATIO","FQ3 2018","FQ3 2018","Currency=INR","Period=FQ","BEST_FPERIOD_OVERRIDE=FQ","FILING_STATUS=OR","EQY_CONSOLIDATED=Y","Sort=A","Dates=H","DateFormat=P","Fill=—","Direction=H","UseDPDF=Y")</f>
        <v>#NAME?</v>
      </c>
      <c r="CU301" s="1" t="e">
        <f ca="1">_xll.BDH($C$278,"QUICK_RATIO","FQ3 2018","FQ3 2018","Currency=INR","Period=FQ","BEST_FPERIOD_OVERRIDE=FQ","FILING_STATUS=OR","EQY_CONSOLIDATED=Y","Sort=A","Dates=H","DateFormat=P","Fill=—","Direction=H","UseDPDF=Y")</f>
        <v>#NAME?</v>
      </c>
      <c r="CV301" s="1" t="e">
        <f ca="1">_xll.BDH($C$278,"ALTMAN_Z_SCORE","FQ3 2018","FQ3 2018","Currency=INR","Period=FQ","BEST_FPERIOD_OVERRIDE=FQ","FILING_STATUS=OR","EQY_CONSOLIDATED=Y","Sort=A","Dates=H","DateFormat=P","Fill=—","Direction=H","UseDPDF=Y")</f>
        <v>#NAME?</v>
      </c>
      <c r="CW301" s="3" t="e">
        <f ca="1">_xll.BDH($C$278,"ACCT_RCV_TURN","FQ3 2018","FQ3 2018","Currency=INR","Period=FQ","BEST_FPERIOD_OVERRIDE=FQ","FILING_STATUS=OR","EQY_CONSOLIDATED=Y","FA_ADJUSTED=GAAP","Sort=A","Dates=H","DateFormat=P","Fill=—","Direction=H","UseDPDF=Y")</f>
        <v>#NAME?</v>
      </c>
      <c r="CX301" s="1" t="e">
        <f ca="1">_xll.BDH($C$278,"ACCT_RCV_DAYS","FQ3 2018","FQ3 2018","Currency=INR","Period=FQ","BEST_FPERIOD_OVERRIDE=FQ","FILING_STATUS=OR","EQY_CONSOLIDATED=Y","FA_ADJUSTED=GAAP","Sort=A","Dates=H","DateFormat=P","Fill=—","Direction=H","UseDPDF=Y")</f>
        <v>#NAME?</v>
      </c>
      <c r="CY301" s="3" t="e">
        <f ca="1">_xll.BDH($C$278,"INVENT_TURN","FQ3 2018","FQ3 2018","Currency=INR","Period=FQ","BEST_FPERIOD_OVERRIDE=FQ","FILING_STATUS=OR","EQY_CONSOLIDATED=Y","FA_ADJUSTED=GAAP","Sort=A","Dates=H","DateFormat=P","Fill=—","Direction=H","UseDPDF=Y")</f>
        <v>#NAME?</v>
      </c>
      <c r="CZ301" s="1" t="e">
        <f ca="1">_xll.BDH($C$278,"INVENT_DAYS","FQ3 2018","FQ3 2018","Currency=INR","Period=FQ","BEST_FPERIOD_OVERRIDE=FQ","FILING_STATUS=OR","EQY_CONSOLIDATED=Y","FA_ADJUSTED=GAAP","Sort=A","Dates=H","DateFormat=P","Fill=—","Direction=H","UseDPDF=Y")</f>
        <v>#NAME?</v>
      </c>
      <c r="DA301" s="3" t="e">
        <f ca="1">_xll.BDH($C$278,"ACCOUNTS_PAYABLE_TURNOVER","FQ3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01" s="1" t="e">
        <f ca="1">_xll.BDH($C$278,"ACCOUNTS_PAYABLE_TURNOVER_DAYS","FQ3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01" s="3" t="e">
        <f ca="1">_xll.BDH($C$278,"CASH_CONVERSION_CYCLE","FQ3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01" s="3" t="e">
        <f ca="1">_xll.BDH($C$278,"INV_TO_CASH_DAYS","FQ3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301" s="4" t="e">
        <f ca="1">_xll.BDH($C$278,"BS_INVENTORIES","FQ3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301" s="2" t="e">
        <f ca="1">_xll.BDH($C$278,"INVTRY_RAW_MATERIALS","FQ3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01" s="2" t="e">
        <f ca="1">_xll.BDH($C$278,"INVTRY_IN_PROGRESS","FQ3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01" s="2" t="e">
        <f ca="1">_xll.BDH($C$278,"INVTRY_FINISHED_GOODS","FQ3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01" s="2" t="e">
        <f ca="1">_xll.BDH($C$278,"BS_OTHER_INV","FQ3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02" spans="1:113" x14ac:dyDescent="0.3">
      <c r="A302" s="6"/>
      <c r="B302" s="6"/>
      <c r="C302" s="6"/>
      <c r="D302" s="6"/>
      <c r="E302" t="s">
        <v>7</v>
      </c>
      <c r="F302" t="e">
        <f ca="1">_xll.BDH($C$278,"RETURN_COM_EQY","FQ4 2018","FQ4 2018","Currency=INR","Period=FQ","BEST_FPERIOD_OVERRIDE=FQ","FILING_STATUS=OR","EQY_CONSOLIDATED=Y","FA_ADJUSTED=GAAP","Sort=A","Dates=H","DateFormat=P","Fill=—","Direction=H","UseDPDF=Y")</f>
        <v>#NAME?</v>
      </c>
      <c r="G302" t="e">
        <f ca="1">_xll.BDH($C$278,"RETURN_ON_ASSET","FQ4 2018","FQ4 2018","Currency=INR","Period=FQ","BEST_FPERIOD_OVERRIDE=FQ","FILING_STATUS=OR","EQY_CONSOLIDATED=Y","FA_ADJUSTED=GAAP","Sort=A","Dates=H","DateFormat=P","Fill=—","Direction=H","UseDPDF=Y")</f>
        <v>#NAME?</v>
      </c>
      <c r="H302" t="e">
        <f ca="1">_xll.BDH($C$278,"RETURN_ON_CAP","FQ4 2018","FQ4 2018","Currency=INR","Period=FQ","BEST_FPERIOD_OVERRIDE=FQ","FILING_STATUS=OR","EQY_CONSOLIDATED=Y","FA_ADJUSTED=GAAP","Sort=A","Dates=H","DateFormat=P","Fill=—","Direction=H","UseDPDF=Y")</f>
        <v>#NAME?</v>
      </c>
      <c r="I302" t="e">
        <f ca="1">_xll.BDH($C$278,"RETURN_ON_INV_CAPITAL","FQ4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02" t="e">
        <f ca="1">_xll.BDH($C$278,"EBITDA_TO_REVENUE","FQ4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302" t="e">
        <f ca="1">_xll.BDH($C$278,"OPER_MARGIN","FQ4 2018","FQ4 2018","Currency=INR","Period=FQ","BEST_FPERIOD_OVERRIDE=FQ","FILING_STATUS=OR","EQY_CONSOLIDATED=Y","FA_ADJUSTED=GAAP","Sort=A","Dates=H","DateFormat=P","Fill=—","Direction=H","UseDPDF=Y")</f>
        <v>#NAME?</v>
      </c>
      <c r="L302" t="e">
        <f ca="1">_xll.BDH($C$278,"INCREMENTAL_OPERATING_MARGIN","FQ4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02" t="e">
        <f ca="1">_xll.BDH($C$278,"PRETAX_INC_TO_NET_SALES","FQ4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02" t="e">
        <f ca="1">_xll.BDH($C$278,"INC_BEF_XO_ITEMS_TO_NET_SALES","FQ4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02" t="e">
        <f ca="1">_xll.BDH($C$278,"PROF_MARGIN","FQ4 2018","FQ4 2018","Currency=INR","Period=FQ","BEST_FPERIOD_OVERRIDE=FQ","FILING_STATUS=OR","EQY_CONSOLIDATED=Y","FA_ADJUSTED=GAAP","Sort=A","Dates=H","DateFormat=P","Fill=—","Direction=H","UseDPDF=Y")</f>
        <v>#NAME?</v>
      </c>
      <c r="P302" t="e">
        <f ca="1">_xll.BDH($C$278,"NET_INCOME_TO_COMMON_MARGIN","FQ4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02" t="e">
        <f ca="1">_xll.BDH($C$278,"EFF_TAX_RATE","FQ4 2018","FQ4 2018","Currency=INR","Period=FQ","BEST_FPERIOD_OVERRIDE=FQ","FILING_STATUS=OR","EQY_CONSOLIDATED=Y","FA_ADJUSTED=GAAP","Sort=A","Dates=H","DateFormat=P","Fill=—","Direction=H","UseDPDF=Y")</f>
        <v>#NAME?</v>
      </c>
      <c r="R302" t="e">
        <f ca="1">_xll.BDH($C$278,"DVD_PAYOUT_RATIO","FQ4 2018","FQ4 2018","Currency=INR","Period=FQ","BEST_FPERIOD_OVERRIDE=FQ","FILING_STATUS=OR","EQY_CONSOLIDATED=Y","FA_ADJUSTED=GAAP","Sort=A","Dates=H","DateFormat=P","Fill=—","Direction=H","UseDPDF=Y")</f>
        <v>#NAME?</v>
      </c>
      <c r="S302" t="e">
        <f ca="1">_xll.BDH($C$278,"SUSTAIN_GROWTH_RT","FQ4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302" s="1" t="e">
        <f ca="1">_xll.BDH($C$278,"SALES_GROWTH","FQ4 2018","FQ4 2018","Currency=INR","Period=FQ","BEST_FPERIOD_OVERRIDE=FQ","FILING_STATUS=OR","EQY_CONSOLIDATED=Y","FA_ADJUSTED=GAAP","Sort=A","Dates=H","DateFormat=P","Fill=—","Direction=H","UseDPDF=Y")</f>
        <v>#NAME?</v>
      </c>
      <c r="U302" s="1" t="e">
        <f ca="1">_xll.BDH($C$278,"EBITDA_GROWTH","FQ4 2018","FQ4 2018","Currency=INR","Period=FQ","BEST_FPERIOD_OVERRIDE=FQ","FILING_STATUS=OR","EQY_CONSOLIDATED=Y","FA_ADJUSTED=GAAP","Sort=A","Dates=H","DateFormat=P","Fill=—","Direction=H","UseDPDF=Y")</f>
        <v>#NAME?</v>
      </c>
      <c r="V302" s="1" t="e">
        <f ca="1">_xll.BDH($C$278,"OPER_INC_GROWTH","FQ4 2018","FQ4 2018","Currency=INR","Period=FQ","BEST_FPERIOD_OVERRIDE=FQ","FILING_STATUS=OR","EQY_CONSOLIDATED=Y","FA_ADJUSTED=GAAP","Sort=A","Dates=H","DateFormat=P","Fill=—","Direction=H","UseDPDF=Y")</f>
        <v>#NAME?</v>
      </c>
      <c r="W302" s="1" t="e">
        <f ca="1">_xll.BDH($C$278,"EARN_FOR_COM_GROWTH","FQ4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02" s="1" t="e">
        <f ca="1">_xll.BDH($C$278,"DILUTED_EPS_AFT_XO_ITEMS_GROWTH","FQ4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02" s="1" t="e">
        <f ca="1">_xll.BDH($C$278,"DIVIDEND_PER_SHARE_1_YEAR_GROWTH","FQ4 2018","FQ4 2018","Currency=INR","Period=FQ","BEST_FPERIOD_OVERRIDE=FQ","FILING_STATUS=OR","EQY_CONSOLIDATED=Y","Sort=A","Dates=H","DateFormat=P","Fill=—","Direction=H","UseDPDF=Y")</f>
        <v>#NAME?</v>
      </c>
      <c r="Z302" s="1" t="e">
        <f ca="1">_xll.BDH($C$278,"ACCOUNTS_RECEIVABLE_GROWTH","FQ4 2018","FQ4 2018","Currency=INR","Period=FQ","BEST_FPERIOD_OVERRIDE=FQ","FILING_STATUS=OR","EQY_CONSOLIDATED=Y","Sort=A","Dates=H","DateFormat=P","Fill=—","Direction=H","UseDPDF=Y")</f>
        <v>#NAME?</v>
      </c>
      <c r="AA302" s="1" t="e">
        <f ca="1">_xll.BDH($C$278,"INVENTORY_GROWTH","FQ4 2018","FQ4 2018","Currency=INR","Period=FQ","BEST_FPERIOD_OVERRIDE=FQ","FILING_STATUS=OR","EQY_CONSOLIDATED=Y","Sort=A","Dates=H","DateFormat=P","Fill=—","Direction=H","UseDPDF=Y")</f>
        <v>#NAME?</v>
      </c>
      <c r="AB302" s="1" t="e">
        <f ca="1">_xll.BDH($C$278,"NET_FIXED_ASSETS_1_YEAR_GROWTH","FQ4 2018","FQ4 2018","Currency=INR","Period=FQ","BEST_FPERIOD_OVERRIDE=FQ","FILING_STATUS=OR","EQY_CONSOLIDATED=Y","Sort=A","Dates=H","DateFormat=P","Fill=—","Direction=H","UseDPDF=Y")</f>
        <v>#NAME?</v>
      </c>
      <c r="AC302" s="1" t="e">
        <f ca="1">_xll.BDH($C$278,"ASSET_GROWTH","FQ4 2018","FQ4 2018","Currency=INR","Period=FQ","BEST_FPERIOD_OVERRIDE=FQ","FILING_STATUS=OR","EQY_CONSOLIDATED=Y","Sort=A","Dates=H","DateFormat=P","Fill=—","Direction=H","UseDPDF=Y")</f>
        <v>#NAME?</v>
      </c>
      <c r="AD302" s="1" t="e">
        <f ca="1">_xll.BDH($C$278,"MODIFIED_WORK_CAP_GROWTH","FQ4 2018","FQ4 2018","Currency=INR","Period=FQ","BEST_FPERIOD_OVERRIDE=FQ","FILING_STATUS=OR","EQY_CONSOLIDATED=Y","Sort=A","Dates=H","DateFormat=P","Fill=—","Direction=H","UseDPDF=Y")</f>
        <v>#NAME?</v>
      </c>
      <c r="AE302" s="1" t="e">
        <f ca="1">_xll.BDH($C$278,"WORK_CAP_GROWTH","FQ4 2018","FQ4 2018","Currency=INR","Period=FQ","BEST_FPERIOD_OVERRIDE=FQ","FILING_STATUS=OR","EQY_CONSOLIDATED=Y","Sort=A","Dates=H","DateFormat=P","Fill=—","Direction=H","UseDPDF=Y")</f>
        <v>#NAME?</v>
      </c>
      <c r="AF302" s="1" t="e">
        <f ca="1">_xll.BDH($C$278,"ACCOUNTS_PAYABLE_GROWTH_1YR","FQ4 2018","FQ4 2018","Currency=INR","Period=FQ","BEST_FPERIOD_OVERRIDE=FQ","FILING_STATUS=OR","EQY_CONSOLIDATED=Y","Sort=A","Dates=H","DateFormat=P","Fill=—","Direction=H","UseDPDF=Y")</f>
        <v>#NAME?</v>
      </c>
      <c r="AG302" s="1" t="e">
        <f ca="1">_xll.BDH($C$278,"SHORT_TERM_DEBT_1_YEAR_GROWTH","FQ4 2018","FQ4 2018","Currency=INR","Period=FQ","BEST_FPERIOD_OVERRIDE=FQ","FILING_STATUS=OR","EQY_CONSOLIDATED=Y","Sort=A","Dates=H","DateFormat=P","Fill=—","Direction=H","UseDPDF=Y")</f>
        <v>#NAME?</v>
      </c>
      <c r="AH302" s="1" t="e">
        <f ca="1">_xll.BDH($C$278,"TOTAL_DEBT_1_YEAR_GROWTH","FQ4 2018","FQ4 2018","Currency=INR","Period=FQ","BEST_FPERIOD_OVERRIDE=FQ","FILING_STATUS=OR","EQY_CONSOLIDATED=Y","Sort=A","Dates=H","DateFormat=P","Fill=—","Direction=H","UseDPDF=Y")</f>
        <v>#NAME?</v>
      </c>
      <c r="AI302" s="1" t="e">
        <f ca="1">_xll.BDH($C$278,"TOTAL_EQUITY_1_YEAR_GROWTH","FQ4 2018","FQ4 2018","Currency=INR","Period=FQ","BEST_FPERIOD_OVERRIDE=FQ","FILING_STATUS=OR","EQY_CONSOLIDATED=Y","Sort=A","Dates=H","DateFormat=P","Fill=—","Direction=H","UseDPDF=Y")</f>
        <v>#NAME?</v>
      </c>
      <c r="AJ302" s="1" t="e">
        <f ca="1">_xll.BDH($C$278,"GROWTH_IN_CAP","FQ4 2018","FQ4 2018","Currency=INR","Period=FQ","BEST_FPERIOD_OVERRIDE=FQ","FILING_STATUS=OR","EQY_CONSOLIDATED=Y","Sort=A","Dates=H","DateFormat=P","Fill=—","Direction=H","UseDPDF=Y")</f>
        <v>#NAME?</v>
      </c>
      <c r="AK302" s="1" t="e">
        <f ca="1">_xll.BDH($C$278,"BVPS_GROWTH","FQ4 2018","FQ4 2018","Currency=INR","Period=FQ","BEST_FPERIOD_OVERRIDE=FQ","FILING_STATUS=OR","EQY_CONSOLIDATED=Y","Sort=A","Dates=H","DateFormat=P","Fill=—","Direction=H","UseDPDF=Y")</f>
        <v>#NAME?</v>
      </c>
      <c r="AL302" s="1" t="e">
        <f ca="1">_xll.BDH($C$278,"CASH_FLOW_GROWTH","FQ4 2018","FQ4 2018","Currency=INR","Period=FQ","BEST_FPERIOD_OVERRIDE=FQ","FILING_STATUS=OR","EQY_CONSOLIDATED=Y","Sort=A","Dates=H","DateFormat=P","Fill=—","Direction=H","UseDPDF=Y")</f>
        <v>#NAME?</v>
      </c>
      <c r="AM302" s="1" t="e">
        <f ca="1">_xll.BDH($C$278,"GEO_GROW_NET_SALES","FQ4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02" s="1" t="e">
        <f ca="1">_xll.BDH($C$278,"GEO_GROW_EBITDA","FQ4 2018","FQ4 2018","Currency=INR","Period=FQ","BEST_FPERIOD_OVERRIDE=FQ","FILING_STATUS=OR","EQY_CONSOLIDATED=Y","FA_ADJUSTED=GAAP","Sort=A","Dates=H","DateFormat=P","Fill=—","Direction=H","UseDPDF=Y")</f>
        <v>#NAME?</v>
      </c>
      <c r="AO302" s="1" t="e">
        <f ca="1">_xll.BDH($C$278,"GEO_GROW_OPER_INC","FQ4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02" s="1" t="e">
        <f ca="1">_xll.BDH($C$278,"NET_INCOME_TO_COMMON_5_YR_GROWTH","FQ4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02" s="1" t="e">
        <f ca="1">_xll.BDH($C$278,"5Y_GEO_GROWTH_DILUTED_EPS","FQ4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02" s="1" t="e">
        <f ca="1">_xll.BDH($C$278,"GEO_GROW_DVD_PER_SH","FQ4 2018","FQ4 2018","Currency=INR","Period=FQ","BEST_FPERIOD_OVERRIDE=FQ","FILING_STATUS=OR","EQY_CONSOLIDATED=Y","Sort=A","Dates=H","DateFormat=P","Fill=—","Direction=H","UseDPDF=Y")</f>
        <v>#NAME?</v>
      </c>
      <c r="AS302" s="1" t="e">
        <f ca="1">_xll.BDH($C$278,"ACCOUNTS_RECEIVABLE_5_YR_GROWTH","FQ4 2018","FQ4 2018","Currency=INR","Period=FQ","BEST_FPERIOD_OVERRIDE=FQ","FILING_STATUS=OR","EQY_CONSOLIDATED=Y","Sort=A","Dates=H","DateFormat=P","Fill=—","Direction=H","UseDPDF=Y")</f>
        <v>#NAME?</v>
      </c>
      <c r="AT302" s="1" t="e">
        <f ca="1">_xll.BDH($C$278,"INVENTORY_5_YEAR_GROWTH","FQ4 2018","FQ4 2018","Currency=INR","Period=FQ","BEST_FPERIOD_OVERRIDE=FQ","FILING_STATUS=OR","EQY_CONSOLIDATED=Y","Sort=A","Dates=H","DateFormat=P","Fill=—","Direction=H","UseDPDF=Y")</f>
        <v>#NAME?</v>
      </c>
      <c r="AU302" s="1" t="e">
        <f ca="1">_xll.BDH($C$278,"NET_FIXED_ASSETS_5_YEAR_GROWTH","FQ4 2018","FQ4 2018","Currency=INR","Period=FQ","BEST_FPERIOD_OVERRIDE=FQ","FILING_STATUS=OR","EQY_CONSOLIDATED=Y","Sort=A","Dates=H","DateFormat=P","Fill=—","Direction=H","UseDPDF=Y")</f>
        <v>#NAME?</v>
      </c>
      <c r="AV302" s="1" t="e">
        <f ca="1">_xll.BDH($C$278,"GEO_GROW_TOT_ASSET","FQ4 2018","FQ4 2018","Currency=INR","Period=FQ","BEST_FPERIOD_OVERRIDE=FQ","FILING_STATUS=OR","EQY_CONSOLIDATED=Y","Sort=A","Dates=H","DateFormat=P","Fill=—","Direction=H","UseDPDF=Y")</f>
        <v>#NAME?</v>
      </c>
      <c r="AW302" s="1" t="e">
        <f ca="1">_xll.BDH($C$278,"MODIFIED_WORKING_CPTL_5YR_GRWTH","FQ4 2018","FQ4 2018","Currency=INR","Period=FQ","BEST_FPERIOD_OVERRIDE=FQ","FILING_STATUS=OR","EQY_CONSOLIDATED=Y","Sort=A","Dates=H","DateFormat=P","Fill=—","Direction=H","UseDPDF=Y")</f>
        <v>#NAME?</v>
      </c>
      <c r="AX302" s="1" t="e">
        <f ca="1">_xll.BDH($C$278,"WORKING_CAPITAL_5_YEAR_GROWTH","FQ4 2018","FQ4 2018","Currency=INR","Period=FQ","BEST_FPERIOD_OVERRIDE=FQ","FILING_STATUS=OR","EQY_CONSOLIDATED=Y","Sort=A","Dates=H","DateFormat=P","Fill=—","Direction=H","UseDPDF=Y")</f>
        <v>#NAME?</v>
      </c>
      <c r="AY302" s="1" t="e">
        <f ca="1">_xll.BDH($C$278,"ACCOUNTS_PAYABLE_5_YEAR_GROWTH","FQ4 2018","FQ4 2018","Currency=INR","Period=FQ","BEST_FPERIOD_OVERRIDE=FQ","FILING_STATUS=OR","EQY_CONSOLIDATED=Y","Sort=A","Dates=H","DateFormat=P","Fill=—","Direction=H","UseDPDF=Y")</f>
        <v>#NAME?</v>
      </c>
      <c r="AZ302" s="1" t="e">
        <f ca="1">_xll.BDH($C$278,"SHORT_TERM_DEBT_5_YEAR_GROWTH","FQ4 2018","FQ4 2018","Currency=INR","Period=FQ","BEST_FPERIOD_OVERRIDE=FQ","FILING_STATUS=OR","EQY_CONSOLIDATED=Y","Sort=A","Dates=H","DateFormat=P","Fill=—","Direction=H","UseDPDF=Y")</f>
        <v>#NAME?</v>
      </c>
      <c r="BA302" s="1" t="e">
        <f ca="1">_xll.BDH($C$278,"TOTAL_DEBT_5_YEAR_GROWTH","FQ4 2018","FQ4 2018","Currency=INR","Period=FQ","BEST_FPERIOD_OVERRIDE=FQ","FILING_STATUS=OR","EQY_CONSOLIDATED=Y","Sort=A","Dates=H","DateFormat=P","Fill=—","Direction=H","UseDPDF=Y")</f>
        <v>#NAME?</v>
      </c>
      <c r="BB302" s="1" t="e">
        <f ca="1">_xll.BDH($C$278,"GEO_GROW_TOT_SHRHLDR_EQY","FQ4 2018","FQ4 2018","Currency=INR","Period=FQ","BEST_FPERIOD_OVERRIDE=FQ","FILING_STATUS=OR","EQY_CONSOLIDATED=Y","Sort=A","Dates=H","DateFormat=P","Fill=—","Direction=H","UseDPDF=Y")</f>
        <v>#NAME?</v>
      </c>
      <c r="BC302" s="1" t="e">
        <f ca="1">_xll.BDH($C$278,"TOTAL_CAPITAL_5_YEAR_GROWTH","FQ4 2018","FQ4 2018","Currency=INR","Period=FQ","BEST_FPERIOD_OVERRIDE=FQ","FILING_STATUS=OR","EQY_CONSOLIDATED=Y","Sort=A","Dates=H","DateFormat=P","Fill=—","Direction=H","UseDPDF=Y")</f>
        <v>#NAME?</v>
      </c>
      <c r="BD302" s="1" t="e">
        <f ca="1">_xll.BDH($C$278,"GEO_GROW_BOOK_VAL","FQ4 2018","FQ4 2018","Currency=INR","Period=FQ","BEST_FPERIOD_OVERRIDE=FQ","FILING_STATUS=OR","EQY_CONSOLIDATED=Y","Sort=A","Dates=H","DateFormat=P","Fill=—","Direction=H","UseDPDF=Y")</f>
        <v>#NAME?</v>
      </c>
      <c r="BE302" s="1" t="e">
        <f ca="1">_xll.BDH($C$278,"GEO_GROW_CASH_OPER_ACT","FQ4 2018","FQ4 2018","Currency=INR","Period=FQ","BEST_FPERIOD_OVERRIDE=FQ","FILING_STATUS=OR","EQY_CONSOLIDATED=Y","Sort=A","Dates=H","DateFormat=P","Fill=—","Direction=H","UseDPDF=Y")</f>
        <v>#NAME?</v>
      </c>
      <c r="BF302" s="1" t="e">
        <f ca="1">_xll.BDH($C$278,"REVENUE_SEQUENTIAL_GROWTH","FQ4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02" s="1" t="e">
        <f ca="1">_xll.BDH($C$278,"EBITDA_SEQUENTIAL_GROWTH","FQ4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02" s="1" t="e">
        <f ca="1">_xll.BDH($C$278,"OPERATING_INCOME_SEQ_GROWTH","FQ4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02" s="1" t="e">
        <f ca="1">_xll.BDH($C$278,"NET_INCOME_TO_COMMON_SEQ_GROWTH","FQ4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02" s="1" t="e">
        <f ca="1">_xll.BDH($C$278,"EPS_DILUTED_SEQUENTIAL_GROWTH","FQ4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02" s="1" t="e">
        <f ca="1">_xll.BDH($C$278,"DPS_SEQUENTIAL_GROWTH","FQ4 2018","FQ4 2018","Currency=INR","Period=FQ","BEST_FPERIOD_OVERRIDE=FQ","FILING_STATUS=OR","EQY_CONSOLIDATED=Y","Sort=A","Dates=H","DateFormat=P","Fill=—","Direction=H","UseDPDF=Y")</f>
        <v>#NAME?</v>
      </c>
      <c r="BL302" s="1" t="e">
        <f ca="1">_xll.BDH($C$278,"ACCOUNTS_RECEIVABLE_SEQ_GROWTH","FQ4 2018","FQ4 2018","Currency=INR","Period=FQ","BEST_FPERIOD_OVERRIDE=FQ","FILING_STATUS=OR","EQY_CONSOLIDATED=Y","Sort=A","Dates=H","DateFormat=P","Fill=—","Direction=H","UseDPDF=Y")</f>
        <v>#NAME?</v>
      </c>
      <c r="BM302" s="1" t="e">
        <f ca="1">_xll.BDH($C$278,"INVENTORY_SEQUENTIAL_GROWTH","FQ4 2018","FQ4 2018","Currency=INR","Period=FQ","BEST_FPERIOD_OVERRIDE=FQ","FILING_STATUS=OR","EQY_CONSOLIDATED=Y","Sort=A","Dates=H","DateFormat=P","Fill=—","Direction=H","UseDPDF=Y")</f>
        <v>#NAME?</v>
      </c>
      <c r="BN302" s="1" t="e">
        <f ca="1">_xll.BDH($C$278,"FIXED_ASSETS_SEQUENTIAL_GROWTH","FQ4 2018","FQ4 2018","Currency=INR","Period=FQ","BEST_FPERIOD_OVERRIDE=FQ","FILING_STATUS=OR","EQY_CONSOLIDATED=Y","Sort=A","Dates=H","DateFormat=P","Fill=—","Direction=H","UseDPDF=Y")</f>
        <v>#NAME?</v>
      </c>
      <c r="BO302" s="1" t="e">
        <f ca="1">_xll.BDH($C$278,"TOTAL_ASSETS_SEQUENTIAL_GROWTH","FQ4 2018","FQ4 2018","Currency=INR","Period=FQ","BEST_FPERIOD_OVERRIDE=FQ","FILING_STATUS=OR","EQY_CONSOLIDATED=Y","Sort=A","Dates=H","DateFormat=P","Fill=—","Direction=H","UseDPDF=Y")</f>
        <v>#NAME?</v>
      </c>
      <c r="BP302" s="1" t="e">
        <f ca="1">_xll.BDH($C$278,"MODIFIED_WORKING_CPTL_SEQ_GRWTH","FQ4 2018","FQ4 2018","Currency=INR","Period=FQ","BEST_FPERIOD_OVERRIDE=FQ","FILING_STATUS=OR","EQY_CONSOLIDATED=Y","Sort=A","Dates=H","DateFormat=P","Fill=—","Direction=H","UseDPDF=Y")</f>
        <v>#NAME?</v>
      </c>
      <c r="BQ302" s="1" t="e">
        <f ca="1">_xll.BDH($C$278,"WORKING_CAPITAL_SEQ_GROWTH","FQ4 2018","FQ4 2018","Currency=INR","Period=FQ","BEST_FPERIOD_OVERRIDE=FQ","FILING_STATUS=OR","EQY_CONSOLIDATED=Y","Sort=A","Dates=H","DateFormat=P","Fill=—","Direction=H","UseDPDF=Y")</f>
        <v>#NAME?</v>
      </c>
      <c r="BR302" s="1" t="e">
        <f ca="1">_xll.BDH($C$278,"ACCOUNTS_PAYABLE_SEQ_GROWTH","FQ4 2018","FQ4 2018","Currency=INR","Period=FQ","BEST_FPERIOD_OVERRIDE=FQ","FILING_STATUS=OR","EQY_CONSOLIDATED=Y","Sort=A","Dates=H","DateFormat=P","Fill=—","Direction=H","UseDPDF=Y")</f>
        <v>#NAME?</v>
      </c>
      <c r="BS302" s="1" t="e">
        <f ca="1">_xll.BDH($C$278,"ST_DEBT_SEQUENTIAL_GROWTH","FQ4 2018","FQ4 2018","Currency=INR","Period=FQ","BEST_FPERIOD_OVERRIDE=FQ","FILING_STATUS=OR","EQY_CONSOLIDATED=Y","Sort=A","Dates=H","DateFormat=P","Fill=—","Direction=H","UseDPDF=Y")</f>
        <v>#NAME?</v>
      </c>
      <c r="BT302" s="1" t="e">
        <f ca="1">_xll.BDH($C$278,"TOTAL_DEBT_SEQUENTIAL_GROWTH","FQ4 2018","FQ4 2018","Currency=INR","Period=FQ","BEST_FPERIOD_OVERRIDE=FQ","FILING_STATUS=OR","EQY_CONSOLIDATED=Y","Sort=A","Dates=H","DateFormat=P","Fill=—","Direction=H","UseDPDF=Y")</f>
        <v>#NAME?</v>
      </c>
      <c r="BU302" s="1" t="e">
        <f ca="1">_xll.BDH($C$278,"TOTAL_EQUITY_SEQUENTIAL_GROWTH","FQ4 2018","FQ4 2018","Currency=INR","Period=FQ","BEST_FPERIOD_OVERRIDE=FQ","FILING_STATUS=OR","EQY_CONSOLIDATED=Y","Sort=A","Dates=H","DateFormat=P","Fill=—","Direction=H","UseDPDF=Y")</f>
        <v>#NAME?</v>
      </c>
      <c r="BV302" s="1" t="e">
        <f ca="1">_xll.BDH($C$278,"TOTAL_CAPITAL_SEQUENTIAL_GROWTH","FQ4 2018","FQ4 2018","Currency=INR","Period=FQ","BEST_FPERIOD_OVERRIDE=FQ","FILING_STATUS=OR","EQY_CONSOLIDATED=Y","Sort=A","Dates=H","DateFormat=P","Fill=—","Direction=H","UseDPDF=Y")</f>
        <v>#NAME?</v>
      </c>
      <c r="BW302" s="1" t="e">
        <f ca="1">_xll.BDH($C$278,"BPS_SEQUENTIAL_GROWTH","FQ4 2018","FQ4 2018","Currency=INR","Period=FQ","BEST_FPERIOD_OVERRIDE=FQ","FILING_STATUS=OR","EQY_CONSOLIDATED=Y","Sort=A","Dates=H","DateFormat=P","Fill=—","Direction=H","UseDPDF=Y")</f>
        <v>#NAME?</v>
      </c>
      <c r="BX302" s="1" t="e">
        <f ca="1">_xll.BDH($C$278,"CFO_SEQUENTIAL_GROWTH","FQ4 2018","FQ4 2018","Currency=INR","Period=FQ","BEST_FPERIOD_OVERRIDE=FQ","FILING_STATUS=OR","EQY_CONSOLIDATED=Y","Sort=A","Dates=H","DateFormat=P","Fill=—","Direction=H","UseDPDF=Y")</f>
        <v>#NAME?</v>
      </c>
      <c r="BY302" s="2" t="e">
        <f ca="1">_xll.BDH($C$278,"SHORT_AND_LONG_TERM_DEBT","FQ4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02" s="2" t="e">
        <f ca="1">_xll.BDH($C$278,"BS_ST_BORROW","FQ4 2018","FQ4 2018","Currency=INR","Period=FQ","BEST_FPERIOD_OVERRIDE=FQ","FILING_STATUS=OR","EQY_CONSOLIDATED=Y","SCALING_FORMAT=MLN","Sort=A","Dates=H","DateFormat=P","Fill=—","Direction=H","UseDPDF=Y")</f>
        <v>#NAME?</v>
      </c>
      <c r="CA302" s="2" t="e">
        <f ca="1">_xll.BDH($C$278,"BS_LT_BORROW","FQ4 2018","FQ4 2018","Currency=INR","Period=FQ","BEST_FPERIOD_OVERRIDE=FQ","FILING_STATUS=OR","EQY_CONSOLIDATED=Y","SCALING_FORMAT=MLN","Sort=A","Dates=H","DateFormat=P","Fill=—","Direction=H","UseDPDF=Y")</f>
        <v>#NAME?</v>
      </c>
      <c r="CB302" s="1" t="e">
        <f ca="1">_xll.BDH($C$278,"TOT_DEBT_TO_EBITDA","FQ4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02" s="1" t="e">
        <f ca="1">_xll.BDH($C$278,"NET_DEBT_TO_EBITDA","FQ4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02" s="1" t="e">
        <f ca="1">_xll.BDH($C$278,"TOTAL_DEBT_TO_EBIT","FQ4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02" s="1" t="e">
        <f ca="1">_xll.BDH($C$278,"NET_DEBT_TO_EBIT","FQ4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302" s="1" t="e">
        <f ca="1">_xll.BDH($C$278,"EBITDA_TO_INTEREST_EXPN","FQ4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02" s="1" t="e">
        <f ca="1">_xll.BDH($C$278,"COM_EQY_TO_TOT_ASSET","FQ4 2018","FQ4 2018","Currency=INR","Period=FQ","BEST_FPERIOD_OVERRIDE=FQ","FILING_STATUS=OR","EQY_CONSOLIDATED=Y","Sort=A","Dates=H","DateFormat=P","Fill=—","Direction=H","UseDPDF=Y")</f>
        <v>#NAME?</v>
      </c>
      <c r="CH302" s="1" t="e">
        <f ca="1">_xll.BDH($C$278,"LT_DEBT_TO_TOT_EQY","FQ4 2018","FQ4 2018","Currency=INR","Period=FQ","BEST_FPERIOD_OVERRIDE=FQ","FILING_STATUS=OR","EQY_CONSOLIDATED=Y","Sort=A","Dates=H","DateFormat=P","Fill=—","Direction=H","UseDPDF=Y")</f>
        <v>#NAME?</v>
      </c>
      <c r="CI302" s="1" t="e">
        <f ca="1">_xll.BDH($C$278,"LT_DEBT_TO_TOT_CAP","FQ4 2018","FQ4 2018","Currency=INR","Period=FQ","BEST_FPERIOD_OVERRIDE=FQ","FILING_STATUS=OR","EQY_CONSOLIDATED=Y","Sort=A","Dates=H","DateFormat=P","Fill=—","Direction=H","UseDPDF=Y")</f>
        <v>#NAME?</v>
      </c>
      <c r="CJ302" s="1" t="e">
        <f ca="1">_xll.BDH($C$278,"LT_DEBT_TO_TOT_ASSET","FQ4 2018","FQ4 2018","Currency=INR","Period=FQ","BEST_FPERIOD_OVERRIDE=FQ","FILING_STATUS=OR","EQY_CONSOLIDATED=Y","Sort=A","Dates=H","DateFormat=P","Fill=—","Direction=H","UseDPDF=Y")</f>
        <v>#NAME?</v>
      </c>
      <c r="CK302" s="1" t="e">
        <f ca="1">_xll.BDH($C$278,"TOT_DEBT_TO_TOT_EQY","FQ4 2018","FQ4 2018","Currency=INR","Period=FQ","BEST_FPERIOD_OVERRIDE=FQ","FILING_STATUS=OR","EQY_CONSOLIDATED=Y","Sort=A","Dates=H","DateFormat=P","Fill=—","Direction=H","UseDPDF=Y")</f>
        <v>#NAME?</v>
      </c>
      <c r="CL302" s="1" t="e">
        <f ca="1">_xll.BDH($C$278,"TOT_DEBT_TO_TOT_CAP","FQ4 2018","FQ4 2018","Currency=INR","Period=FQ","BEST_FPERIOD_OVERRIDE=FQ","FILING_STATUS=OR","EQY_CONSOLIDATED=Y","Sort=A","Dates=H","DateFormat=P","Fill=—","Direction=H","UseDPDF=Y")</f>
        <v>#NAME?</v>
      </c>
      <c r="CM302" s="1" t="e">
        <f ca="1">_xll.BDH($C$278,"TOT_DEBT_TO_TOT_ASSET","FQ4 2018","FQ4 2018","Currency=INR","Period=FQ","BEST_FPERIOD_OVERRIDE=FQ","FILING_STATUS=OR","EQY_CONSOLIDATED=Y","Sort=A","Dates=H","DateFormat=P","Fill=—","Direction=H","UseDPDF=Y")</f>
        <v>#NAME?</v>
      </c>
      <c r="CN302" s="1" t="e">
        <f ca="1">_xll.BDH($C$278,"NET_DEBT_TO_SHRHLDR_EQTY","FQ4 2018","FQ4 2018","Currency=INR","Period=FQ","BEST_FPERIOD_OVERRIDE=FQ","FILING_STATUS=OR","EQY_CONSOLIDATED=Y","Sort=A","Dates=H","DateFormat=P","Fill=—","Direction=H","UseDPDF=Y")</f>
        <v>#NAME?</v>
      </c>
      <c r="CO302" s="1" t="e">
        <f ca="1">_xll.BDH($C$278,"NET_DEBT_%_CAPITAL","FQ4 2018","FQ4 2018","Currency=INR","Period=FQ","BEST_FPERIOD_OVERRIDE=FQ","FILING_STATUS=OR","EQY_CONSOLIDATED=Y","Sort=A","Dates=H","DateFormat=P","Fill=—","Direction=H","UseDPDF=Y")</f>
        <v>#NAME?</v>
      </c>
      <c r="CP302" s="2" t="e">
        <f ca="1">_xll.BDH($C$278,"EBITDA","FQ4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02" s="2" t="e">
        <f ca="1">_xll.BDH($C$278,"EBITDA_AFTER_CAPEX","FQ4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02" s="2" t="e">
        <f ca="1">_xll.BDH($C$278,"IS_OPER_INC","FQ4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02" s="1" t="e">
        <f ca="1">_xll.BDH($C$278,"CASH_RATIO","FQ4 2018","FQ4 2018","Currency=INR","Period=FQ","BEST_FPERIOD_OVERRIDE=FQ","FILING_STATUS=OR","EQY_CONSOLIDATED=Y","Sort=A","Dates=H","DateFormat=P","Fill=—","Direction=H","UseDPDF=Y")</f>
        <v>#NAME?</v>
      </c>
      <c r="CT302" s="1" t="e">
        <f ca="1">_xll.BDH($C$278,"CUR_RATIO","FQ4 2018","FQ4 2018","Currency=INR","Period=FQ","BEST_FPERIOD_OVERRIDE=FQ","FILING_STATUS=OR","EQY_CONSOLIDATED=Y","Sort=A","Dates=H","DateFormat=P","Fill=—","Direction=H","UseDPDF=Y")</f>
        <v>#NAME?</v>
      </c>
      <c r="CU302" s="1" t="e">
        <f ca="1">_xll.BDH($C$278,"QUICK_RATIO","FQ4 2018","FQ4 2018","Currency=INR","Period=FQ","BEST_FPERIOD_OVERRIDE=FQ","FILING_STATUS=OR","EQY_CONSOLIDATED=Y","Sort=A","Dates=H","DateFormat=P","Fill=—","Direction=H","UseDPDF=Y")</f>
        <v>#NAME?</v>
      </c>
      <c r="CV302" s="1" t="e">
        <f ca="1">_xll.BDH($C$278,"ALTMAN_Z_SCORE","FQ4 2018","FQ4 2018","Currency=INR","Period=FQ","BEST_FPERIOD_OVERRIDE=FQ","FILING_STATUS=OR","EQY_CONSOLIDATED=Y","Sort=A","Dates=H","DateFormat=P","Fill=—","Direction=H","UseDPDF=Y")</f>
        <v>#NAME?</v>
      </c>
      <c r="CW302" s="3" t="e">
        <f ca="1">_xll.BDH($C$278,"ACCT_RCV_TURN","FQ4 2018","FQ4 2018","Currency=INR","Period=FQ","BEST_FPERIOD_OVERRIDE=FQ","FILING_STATUS=OR","EQY_CONSOLIDATED=Y","FA_ADJUSTED=GAAP","Sort=A","Dates=H","DateFormat=P","Fill=—","Direction=H","UseDPDF=Y")</f>
        <v>#NAME?</v>
      </c>
      <c r="CX302" s="1" t="e">
        <f ca="1">_xll.BDH($C$278,"ACCT_RCV_DAYS","FQ4 2018","FQ4 2018","Currency=INR","Period=FQ","BEST_FPERIOD_OVERRIDE=FQ","FILING_STATUS=OR","EQY_CONSOLIDATED=Y","FA_ADJUSTED=GAAP","Sort=A","Dates=H","DateFormat=P","Fill=—","Direction=H","UseDPDF=Y")</f>
        <v>#NAME?</v>
      </c>
      <c r="CY302" s="3" t="e">
        <f ca="1">_xll.BDH($C$278,"INVENT_TURN","FQ4 2018","FQ4 2018","Currency=INR","Period=FQ","BEST_FPERIOD_OVERRIDE=FQ","FILING_STATUS=OR","EQY_CONSOLIDATED=Y","FA_ADJUSTED=GAAP","Sort=A","Dates=H","DateFormat=P","Fill=—","Direction=H","UseDPDF=Y")</f>
        <v>#NAME?</v>
      </c>
      <c r="CZ302" s="1" t="e">
        <f ca="1">_xll.BDH($C$278,"INVENT_DAYS","FQ4 2018","FQ4 2018","Currency=INR","Period=FQ","BEST_FPERIOD_OVERRIDE=FQ","FILING_STATUS=OR","EQY_CONSOLIDATED=Y","FA_ADJUSTED=GAAP","Sort=A","Dates=H","DateFormat=P","Fill=—","Direction=H","UseDPDF=Y")</f>
        <v>#NAME?</v>
      </c>
      <c r="DA302" s="3" t="e">
        <f ca="1">_xll.BDH($C$278,"ACCOUNTS_PAYABLE_TURNOVER","FQ4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02" s="1" t="e">
        <f ca="1">_xll.BDH($C$278,"ACCOUNTS_PAYABLE_TURNOVER_DAYS","FQ4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02" s="3" t="e">
        <f ca="1">_xll.BDH($C$278,"CASH_CONVERSION_CYCLE","FQ4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02" s="3" t="e">
        <f ca="1">_xll.BDH($C$278,"INV_TO_CASH_DAYS","FQ4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302" s="4" t="e">
        <f ca="1">_xll.BDH($C$278,"BS_INVENTORIES","FQ4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302" s="2" t="e">
        <f ca="1">_xll.BDH($C$278,"INVTRY_RAW_MATERIALS","FQ4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02" s="2" t="e">
        <f ca="1">_xll.BDH($C$278,"INVTRY_IN_PROGRESS","FQ4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02" s="2" t="e">
        <f ca="1">_xll.BDH($C$278,"INVTRY_FINISHED_GOODS","FQ4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02" s="2" t="e">
        <f ca="1">_xll.BDH($C$278,"BS_OTHER_INV","FQ4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03" spans="1:113" x14ac:dyDescent="0.3">
      <c r="A303" s="6">
        <v>63</v>
      </c>
      <c r="B303" s="6" t="s">
        <v>34</v>
      </c>
      <c r="C303" s="6" t="s">
        <v>35</v>
      </c>
      <c r="D303" s="6" t="s">
        <v>2</v>
      </c>
      <c r="E303" t="s">
        <v>3</v>
      </c>
      <c r="F303" t="e">
        <f ca="1">_xll.BDH($C$303,"RETURN_COM_EQY","FY 2014","FY 2014","Currency=INR","Period=FY","BEST_FPERIOD_OVERRIDE=FY","FILING_STATUS=OR","EQY_CONSOLIDATED=Y","FA_ADJUSTED=GAAP","Sort=A","Dates=H","DateFormat=P","Fill=—","Direction=H","UseDPDF=Y")</f>
        <v>#NAME?</v>
      </c>
      <c r="G303" t="e">
        <f ca="1">_xll.BDH($C$303,"RETURN_ON_ASSET","FY 2014","FY 2014","Currency=INR","Period=FY","BEST_FPERIOD_OVERRIDE=FY","FILING_STATUS=OR","EQY_CONSOLIDATED=Y","FA_ADJUSTED=GAAP","Sort=A","Dates=H","DateFormat=P","Fill=—","Direction=H","UseDPDF=Y")</f>
        <v>#NAME?</v>
      </c>
      <c r="H303" t="e">
        <f ca="1">_xll.BDH($C$303,"RETURN_ON_CAP","FY 2014","FY 2014","Currency=INR","Period=FY","BEST_FPERIOD_OVERRIDE=FY","FILING_STATUS=OR","EQY_CONSOLIDATED=Y","FA_ADJUSTED=GAAP","Sort=A","Dates=H","DateFormat=P","Fill=—","Direction=H","UseDPDF=Y")</f>
        <v>#NAME?</v>
      </c>
      <c r="I303" t="e">
        <f ca="1">_xll.BDH($C$303,"RETURN_ON_INV_CAPITAL","FY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03" t="e">
        <f ca="1">_xll.BDH($C$303,"EBITDA_TO_REVENUE","FY 2014","FY 2014","Currency=INR","Period=FY","BEST_FPERIOD_OVERRIDE=FY","FILING_STATUS=OR","EQY_CONSOLIDATED=Y","FA_ADJUSTED=GAAP","Sort=A","Dates=H","DateFormat=P","Fill=—","Direction=H","UseDPDF=Y")</f>
        <v>#NAME?</v>
      </c>
      <c r="K303" t="e">
        <f ca="1">_xll.BDH($C$303,"OPER_MARGIN","FY 2014","FY 2014","Currency=INR","Period=FY","BEST_FPERIOD_OVERRIDE=FY","FILING_STATUS=OR","EQY_CONSOLIDATED=Y","FA_ADJUSTED=GAAP","Sort=A","Dates=H","DateFormat=P","Fill=—","Direction=H","UseDPDF=Y")</f>
        <v>#NAME?</v>
      </c>
      <c r="L303" t="e">
        <f ca="1">_xll.BDH($C$303,"INCREMENTAL_OPERATING_MARGIN","FY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03" t="e">
        <f ca="1">_xll.BDH($C$303,"PRETAX_INC_TO_NET_SALES","FY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03" t="e">
        <f ca="1">_xll.BDH($C$303,"INC_BEF_XO_ITEMS_TO_NET_SALES","FY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03" t="e">
        <f ca="1">_xll.BDH($C$303,"PROF_MARGIN","FY 2014","FY 2014","Currency=INR","Period=FY","BEST_FPERIOD_OVERRIDE=FY","FILING_STATUS=OR","EQY_CONSOLIDATED=Y","FA_ADJUSTED=GAAP","Sort=A","Dates=H","DateFormat=P","Fill=—","Direction=H","UseDPDF=Y")</f>
        <v>#NAME?</v>
      </c>
      <c r="P303" t="e">
        <f ca="1">_xll.BDH($C$303,"NET_INCOME_TO_COMMON_MARGIN","FY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03" t="e">
        <f ca="1">_xll.BDH($C$303,"EFF_TAX_RATE","FY 2014","FY 2014","Currency=INR","Period=FY","BEST_FPERIOD_OVERRIDE=FY","FILING_STATUS=OR","EQY_CONSOLIDATED=Y","FA_ADJUSTED=GAAP","Sort=A","Dates=H","DateFormat=P","Fill=—","Direction=H","UseDPDF=Y")</f>
        <v>#NAME?</v>
      </c>
      <c r="R303" t="e">
        <f ca="1">_xll.BDH($C$303,"DVD_PAYOUT_RATIO","FY 2014","FY 2014","Currency=INR","Period=FY","BEST_FPERIOD_OVERRIDE=FY","FILING_STATUS=OR","EQY_CONSOLIDATED=Y","FA_ADJUSTED=GAAP","Sort=A","Dates=H","DateFormat=P","Fill=—","Direction=H","UseDPDF=Y")</f>
        <v>#NAME?</v>
      </c>
      <c r="S303" t="e">
        <f ca="1">_xll.BDH($C$303,"SUSTAIN_GROWTH_RT","FY 2014","FY 2014","Currency=INR","Period=FY","BEST_FPERIOD_OVERRIDE=FY","FILING_STATUS=OR","EQY_CONSOLIDATED=Y","FA_ADJUSTED=GAAP","Sort=A","Dates=H","DateFormat=P","Fill=—","Direction=H","UseDPDF=Y")</f>
        <v>#NAME?</v>
      </c>
      <c r="T303" s="1" t="e">
        <f ca="1">_xll.BDH($C$303,"SALES_GROWTH","FY 2014","FY 2014","Currency=INR","Period=FY","BEST_FPERIOD_OVERRIDE=FY","FILING_STATUS=OR","EQY_CONSOLIDATED=Y","FA_ADJUSTED=GAAP","Sort=A","Dates=H","DateFormat=P","Fill=—","Direction=H","UseDPDF=Y")</f>
        <v>#NAME?</v>
      </c>
      <c r="U303" s="1" t="e">
        <f ca="1">_xll.BDH($C$303,"EBITDA_GROWTH","FY 2014","FY 2014","Currency=INR","Period=FY","BEST_FPERIOD_OVERRIDE=FY","FILING_STATUS=OR","EQY_CONSOLIDATED=Y","FA_ADJUSTED=GAAP","Sort=A","Dates=H","DateFormat=P","Fill=—","Direction=H","UseDPDF=Y")</f>
        <v>#NAME?</v>
      </c>
      <c r="V303" s="1" t="e">
        <f ca="1">_xll.BDH($C$303,"OPER_INC_GROWTH","FY 2014","FY 2014","Currency=INR","Period=FY","BEST_FPERIOD_OVERRIDE=FY","FILING_STATUS=OR","EQY_CONSOLIDATED=Y","FA_ADJUSTED=GAAP","Sort=A","Dates=H","DateFormat=P","Fill=—","Direction=H","UseDPDF=Y")</f>
        <v>#NAME?</v>
      </c>
      <c r="W303" s="1" t="e">
        <f ca="1">_xll.BDH($C$303,"EARN_FOR_COM_GROWTH","FY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303" s="1" t="e">
        <f ca="1">_xll.BDH($C$303,"DILUTED_EPS_AFT_XO_ITEMS_GROWTH","FY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03" s="1" t="e">
        <f ca="1">_xll.BDH($C$303,"DIVIDEND_PER_SHARE_1_YEAR_GROWTH","FY 2014","FY 2014","Currency=INR","Period=FY","BEST_FPERIOD_OVERRIDE=FY","FILING_STATUS=OR","EQY_CONSOLIDATED=Y","Sort=A","Dates=H","DateFormat=P","Fill=—","Direction=H","UseDPDF=Y")</f>
        <v>#NAME?</v>
      </c>
      <c r="Z303" s="1" t="e">
        <f ca="1">_xll.BDH($C$303,"ACCOUNTS_RECEIVABLE_GROWTH","FY 2014","FY 2014","Currency=INR","Period=FY","BEST_FPERIOD_OVERRIDE=FY","FILING_STATUS=OR","EQY_CONSOLIDATED=Y","Sort=A","Dates=H","DateFormat=P","Fill=—","Direction=H","UseDPDF=Y")</f>
        <v>#NAME?</v>
      </c>
      <c r="AA303" s="1" t="e">
        <f ca="1">_xll.BDH($C$303,"INVENTORY_GROWTH","FY 2014","FY 2014","Currency=INR","Period=FY","BEST_FPERIOD_OVERRIDE=FY","FILING_STATUS=OR","EQY_CONSOLIDATED=Y","Sort=A","Dates=H","DateFormat=P","Fill=—","Direction=H","UseDPDF=Y")</f>
        <v>#NAME?</v>
      </c>
      <c r="AB303" s="1" t="e">
        <f ca="1">_xll.BDH($C$303,"NET_FIXED_ASSETS_1_YEAR_GROWTH","FY 2014","FY 2014","Currency=INR","Period=FY","BEST_FPERIOD_OVERRIDE=FY","FILING_STATUS=OR","EQY_CONSOLIDATED=Y","Sort=A","Dates=H","DateFormat=P","Fill=—","Direction=H","UseDPDF=Y")</f>
        <v>#NAME?</v>
      </c>
      <c r="AC303" s="1" t="e">
        <f ca="1">_xll.BDH($C$303,"ASSET_GROWTH","FY 2014","FY 2014","Currency=INR","Period=FY","BEST_FPERIOD_OVERRIDE=FY","FILING_STATUS=OR","EQY_CONSOLIDATED=Y","Sort=A","Dates=H","DateFormat=P","Fill=—","Direction=H","UseDPDF=Y")</f>
        <v>#NAME?</v>
      </c>
      <c r="AD303" s="1" t="e">
        <f ca="1">_xll.BDH($C$303,"MODIFIED_WORK_CAP_GROWTH","FY 2014","FY 2014","Currency=INR","Period=FY","BEST_FPERIOD_OVERRIDE=FY","FILING_STATUS=OR","EQY_CONSOLIDATED=Y","Sort=A","Dates=H","DateFormat=P","Fill=—","Direction=H","UseDPDF=Y")</f>
        <v>#NAME?</v>
      </c>
      <c r="AE303" s="1" t="e">
        <f ca="1">_xll.BDH($C$303,"WORK_CAP_GROWTH","FY 2014","FY 2014","Currency=INR","Period=FY","BEST_FPERIOD_OVERRIDE=FY","FILING_STATUS=OR","EQY_CONSOLIDATED=Y","Sort=A","Dates=H","DateFormat=P","Fill=—","Direction=H","UseDPDF=Y")</f>
        <v>#NAME?</v>
      </c>
      <c r="AF303" s="1" t="e">
        <f ca="1">_xll.BDH($C$303,"ACCOUNTS_PAYABLE_GROWTH_1YR","FY 2014","FY 2014","Currency=INR","Period=FY","BEST_FPERIOD_OVERRIDE=FY","FILING_STATUS=OR","EQY_CONSOLIDATED=Y","Sort=A","Dates=H","DateFormat=P","Fill=—","Direction=H","UseDPDF=Y")</f>
        <v>#NAME?</v>
      </c>
      <c r="AG303" s="1" t="e">
        <f ca="1">_xll.BDH($C$303,"SHORT_TERM_DEBT_1_YEAR_GROWTH","FY 2014","FY 2014","Currency=INR","Period=FY","BEST_FPERIOD_OVERRIDE=FY","FILING_STATUS=OR","EQY_CONSOLIDATED=Y","Sort=A","Dates=H","DateFormat=P","Fill=—","Direction=H","UseDPDF=Y")</f>
        <v>#NAME?</v>
      </c>
      <c r="AH303" s="1" t="e">
        <f ca="1">_xll.BDH($C$303,"TOTAL_DEBT_1_YEAR_GROWTH","FY 2014","FY 2014","Currency=INR","Period=FY","BEST_FPERIOD_OVERRIDE=FY","FILING_STATUS=OR","EQY_CONSOLIDATED=Y","Sort=A","Dates=H","DateFormat=P","Fill=—","Direction=H","UseDPDF=Y")</f>
        <v>#NAME?</v>
      </c>
      <c r="AI303" s="1" t="e">
        <f ca="1">_xll.BDH($C$303,"TOTAL_EQUITY_1_YEAR_GROWTH","FY 2014","FY 2014","Currency=INR","Period=FY","BEST_FPERIOD_OVERRIDE=FY","FILING_STATUS=OR","EQY_CONSOLIDATED=Y","Sort=A","Dates=H","DateFormat=P","Fill=—","Direction=H","UseDPDF=Y")</f>
        <v>#NAME?</v>
      </c>
      <c r="AJ303" s="1" t="e">
        <f ca="1">_xll.BDH($C$303,"GROWTH_IN_CAP","FY 2014","FY 2014","Currency=INR","Period=FY","BEST_FPERIOD_OVERRIDE=FY","FILING_STATUS=OR","EQY_CONSOLIDATED=Y","Sort=A","Dates=H","DateFormat=P","Fill=—","Direction=H","UseDPDF=Y")</f>
        <v>#NAME?</v>
      </c>
      <c r="AK303" s="1" t="e">
        <f ca="1">_xll.BDH($C$303,"BVPS_GROWTH","FY 2014","FY 2014","Currency=INR","Period=FY","BEST_FPERIOD_OVERRIDE=FY","FILING_STATUS=OR","EQY_CONSOLIDATED=Y","Sort=A","Dates=H","DateFormat=P","Fill=—","Direction=H","UseDPDF=Y")</f>
        <v>#NAME?</v>
      </c>
      <c r="AL303" s="1" t="e">
        <f ca="1">_xll.BDH($C$303,"CASH_FLOW_GROWTH","FY 2014","FY 2014","Currency=INR","Period=FY","BEST_FPERIOD_OVERRIDE=FY","FILING_STATUS=OR","EQY_CONSOLIDATED=Y","Sort=A","Dates=H","DateFormat=P","Fill=—","Direction=H","UseDPDF=Y")</f>
        <v>#NAME?</v>
      </c>
      <c r="AM303" s="1" t="e">
        <f ca="1">_xll.BDH($C$303,"GEO_GROW_NET_SALES","FY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303" s="1" t="e">
        <f ca="1">_xll.BDH($C$303,"GEO_GROW_EBITDA","FY 2014","FY 2014","Currency=INR","Period=FY","BEST_FPERIOD_OVERRIDE=FY","FILING_STATUS=OR","EQY_CONSOLIDATED=Y","FA_ADJUSTED=GAAP","Sort=A","Dates=H","DateFormat=P","Fill=—","Direction=H","UseDPDF=Y")</f>
        <v>#NAME?</v>
      </c>
      <c r="AO303" s="1" t="e">
        <f ca="1">_xll.BDH($C$303,"GEO_GROW_OPER_INC","FY 2014","FY 2014","Currency=INR","Period=FY","BEST_FPERIOD_OVERRIDE=FY","FILING_STATUS=OR","EQY_CONSOLIDATED=Y","FA_ADJUSTED=GAAP","Sort=A","Dates=H","DateFormat=P","Fill=—","Direction=H","UseDPDF=Y")</f>
        <v>#NAME?</v>
      </c>
      <c r="AP303" s="1" t="e">
        <f ca="1">_xll.BDH($C$303,"NET_INCOME_TO_COMMON_5_YR_GROWTH","FY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03" s="1" t="e">
        <f ca="1">_xll.BDH($C$303,"5Y_GEO_GROWTH_DILUTED_EPS","FY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03" s="1" t="e">
        <f ca="1">_xll.BDH($C$303,"GEO_GROW_DVD_PER_SH","FY 2014","FY 2014","Currency=INR","Period=FY","BEST_FPERIOD_OVERRIDE=FY","FILING_STATUS=OR","EQY_CONSOLIDATED=Y","Sort=A","Dates=H","DateFormat=P","Fill=—","Direction=H","UseDPDF=Y")</f>
        <v>#NAME?</v>
      </c>
      <c r="AS303" s="1" t="e">
        <f ca="1">_xll.BDH($C$303,"ACCOUNTS_RECEIVABLE_5_YR_GROWTH","FY 2014","FY 2014","Currency=INR","Period=FY","BEST_FPERIOD_OVERRIDE=FY","FILING_STATUS=OR","EQY_CONSOLIDATED=Y","Sort=A","Dates=H","DateFormat=P","Fill=—","Direction=H","UseDPDF=Y")</f>
        <v>#NAME?</v>
      </c>
      <c r="AT303" s="1" t="e">
        <f ca="1">_xll.BDH($C$303,"INVENTORY_5_YEAR_GROWTH","FY 2014","FY 2014","Currency=INR","Period=FY","BEST_FPERIOD_OVERRIDE=FY","FILING_STATUS=OR","EQY_CONSOLIDATED=Y","Sort=A","Dates=H","DateFormat=P","Fill=—","Direction=H","UseDPDF=Y")</f>
        <v>#NAME?</v>
      </c>
      <c r="AU303" s="1" t="e">
        <f ca="1">_xll.BDH($C$303,"NET_FIXED_ASSETS_5_YEAR_GROWTH","FY 2014","FY 2014","Currency=INR","Period=FY","BEST_FPERIOD_OVERRIDE=FY","FILING_STATUS=OR","EQY_CONSOLIDATED=Y","Sort=A","Dates=H","DateFormat=P","Fill=—","Direction=H","UseDPDF=Y")</f>
        <v>#NAME?</v>
      </c>
      <c r="AV303" s="1" t="e">
        <f ca="1">_xll.BDH($C$303,"GEO_GROW_TOT_ASSET","FY 2014","FY 2014","Currency=INR","Period=FY","BEST_FPERIOD_OVERRIDE=FY","FILING_STATUS=OR","EQY_CONSOLIDATED=Y","Sort=A","Dates=H","DateFormat=P","Fill=—","Direction=H","UseDPDF=Y")</f>
        <v>#NAME?</v>
      </c>
      <c r="AW303" s="1" t="e">
        <f ca="1">_xll.BDH($C$303,"MODIFIED_WORKING_CPTL_5YR_GRWTH","FY 2014","FY 2014","Currency=INR","Period=FY","BEST_FPERIOD_OVERRIDE=FY","FILING_STATUS=OR","EQY_CONSOLIDATED=Y","Sort=A","Dates=H","DateFormat=P","Fill=—","Direction=H","UseDPDF=Y")</f>
        <v>#NAME?</v>
      </c>
      <c r="AX303" s="1" t="e">
        <f ca="1">_xll.BDH($C$303,"WORKING_CAPITAL_5_YEAR_GROWTH","FY 2014","FY 2014","Currency=INR","Period=FY","BEST_FPERIOD_OVERRIDE=FY","FILING_STATUS=OR","EQY_CONSOLIDATED=Y","Sort=A","Dates=H","DateFormat=P","Fill=—","Direction=H","UseDPDF=Y")</f>
        <v>#NAME?</v>
      </c>
      <c r="AY303" s="1" t="e">
        <f ca="1">_xll.BDH($C$303,"ACCOUNTS_PAYABLE_5_YEAR_GROWTH","FY 2014","FY 2014","Currency=INR","Period=FY","BEST_FPERIOD_OVERRIDE=FY","FILING_STATUS=OR","EQY_CONSOLIDATED=Y","Sort=A","Dates=H","DateFormat=P","Fill=—","Direction=H","UseDPDF=Y")</f>
        <v>#NAME?</v>
      </c>
      <c r="AZ303" s="1" t="e">
        <f ca="1">_xll.BDH($C$303,"SHORT_TERM_DEBT_5_YEAR_GROWTH","FY 2014","FY 2014","Currency=INR","Period=FY","BEST_FPERIOD_OVERRIDE=FY","FILING_STATUS=OR","EQY_CONSOLIDATED=Y","Sort=A","Dates=H","DateFormat=P","Fill=—","Direction=H","UseDPDF=Y")</f>
        <v>#NAME?</v>
      </c>
      <c r="BA303" s="1" t="e">
        <f ca="1">_xll.BDH($C$303,"TOTAL_DEBT_5_YEAR_GROWTH","FY 2014","FY 2014","Currency=INR","Period=FY","BEST_FPERIOD_OVERRIDE=FY","FILING_STATUS=OR","EQY_CONSOLIDATED=Y","Sort=A","Dates=H","DateFormat=P","Fill=—","Direction=H","UseDPDF=Y")</f>
        <v>#NAME?</v>
      </c>
      <c r="BB303" s="1" t="e">
        <f ca="1">_xll.BDH($C$303,"GEO_GROW_TOT_SHRHLDR_EQY","FY 2014","FY 2014","Currency=INR","Period=FY","BEST_FPERIOD_OVERRIDE=FY","FILING_STATUS=OR","EQY_CONSOLIDATED=Y","Sort=A","Dates=H","DateFormat=P","Fill=—","Direction=H","UseDPDF=Y")</f>
        <v>#NAME?</v>
      </c>
      <c r="BC303" s="1" t="e">
        <f ca="1">_xll.BDH($C$303,"TOTAL_CAPITAL_5_YEAR_GROWTH","FY 2014","FY 2014","Currency=INR","Period=FY","BEST_FPERIOD_OVERRIDE=FY","FILING_STATUS=OR","EQY_CONSOLIDATED=Y","Sort=A","Dates=H","DateFormat=P","Fill=—","Direction=H","UseDPDF=Y")</f>
        <v>#NAME?</v>
      </c>
      <c r="BD303" s="1" t="e">
        <f ca="1">_xll.BDH($C$303,"GEO_GROW_BOOK_VAL","FY 2014","FY 2014","Currency=INR","Period=FY","BEST_FPERIOD_OVERRIDE=FY","FILING_STATUS=OR","EQY_CONSOLIDATED=Y","Sort=A","Dates=H","DateFormat=P","Fill=—","Direction=H","UseDPDF=Y")</f>
        <v>#NAME?</v>
      </c>
      <c r="BE303" s="1" t="e">
        <f ca="1">_xll.BDH($C$303,"GEO_GROW_CASH_OPER_ACT","FY 2014","FY 2014","Currency=INR","Period=FY","BEST_FPERIOD_OVERRIDE=FY","FILING_STATUS=OR","EQY_CONSOLIDATED=Y","Sort=A","Dates=H","DateFormat=P","Fill=—","Direction=H","UseDPDF=Y")</f>
        <v>#NAME?</v>
      </c>
      <c r="BF303" s="1" t="e">
        <f ca="1">_xll.BDH($C$303,"REVENUE_SEQUENTIAL_GROWTH","FY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03" s="1" t="e">
        <f ca="1">_xll.BDH($C$303,"EBITDA_SEQUENTIAL_GROWTH","FY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03" s="1" t="e">
        <f ca="1">_xll.BDH($C$303,"OPERATING_INCOME_SEQ_GROWTH","FY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03" s="1" t="e">
        <f ca="1">_xll.BDH($C$303,"NET_INCOME_TO_COMMON_SEQ_GROWTH","FY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03" s="1" t="e">
        <f ca="1">_xll.BDH($C$303,"EPS_DILUTED_SEQUENTIAL_GROWTH","FY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03" s="1" t="e">
        <f ca="1">_xll.BDH($C$303,"DPS_SEQUENTIAL_GROWTH","FY 2014","FY 2014","Currency=INR","Period=FY","BEST_FPERIOD_OVERRIDE=FY","FILING_STATUS=OR","EQY_CONSOLIDATED=Y","Sort=A","Dates=H","DateFormat=P","Fill=—","Direction=H","UseDPDF=Y")</f>
        <v>#NAME?</v>
      </c>
      <c r="BL303" s="1" t="e">
        <f ca="1">_xll.BDH($C$303,"ACCOUNTS_RECEIVABLE_SEQ_GROWTH","FY 2014","FY 2014","Currency=INR","Period=FY","BEST_FPERIOD_OVERRIDE=FY","FILING_STATUS=OR","EQY_CONSOLIDATED=Y","Sort=A","Dates=H","DateFormat=P","Fill=—","Direction=H","UseDPDF=Y")</f>
        <v>#NAME?</v>
      </c>
      <c r="BM303" s="1" t="e">
        <f ca="1">_xll.BDH($C$303,"INVENTORY_SEQUENTIAL_GROWTH","FY 2014","FY 2014","Currency=INR","Period=FY","BEST_FPERIOD_OVERRIDE=FY","FILING_STATUS=OR","EQY_CONSOLIDATED=Y","Sort=A","Dates=H","DateFormat=P","Fill=—","Direction=H","UseDPDF=Y")</f>
        <v>#NAME?</v>
      </c>
      <c r="BN303" s="1" t="e">
        <f ca="1">_xll.BDH($C$303,"FIXED_ASSETS_SEQUENTIAL_GROWTH","FY 2014","FY 2014","Currency=INR","Period=FY","BEST_FPERIOD_OVERRIDE=FY","FILING_STATUS=OR","EQY_CONSOLIDATED=Y","Sort=A","Dates=H","DateFormat=P","Fill=—","Direction=H","UseDPDF=Y")</f>
        <v>#NAME?</v>
      </c>
      <c r="BO303" s="1" t="e">
        <f ca="1">_xll.BDH($C$303,"TOTAL_ASSETS_SEQUENTIAL_GROWTH","FY 2014","FY 2014","Currency=INR","Period=FY","BEST_FPERIOD_OVERRIDE=FY","FILING_STATUS=OR","EQY_CONSOLIDATED=Y","Sort=A","Dates=H","DateFormat=P","Fill=—","Direction=H","UseDPDF=Y")</f>
        <v>#NAME?</v>
      </c>
      <c r="BP303" s="1" t="e">
        <f ca="1">_xll.BDH($C$303,"MODIFIED_WORKING_CPTL_SEQ_GRWTH","FY 2014","FY 2014","Currency=INR","Period=FY","BEST_FPERIOD_OVERRIDE=FY","FILING_STATUS=OR","EQY_CONSOLIDATED=Y","Sort=A","Dates=H","DateFormat=P","Fill=—","Direction=H","UseDPDF=Y")</f>
        <v>#NAME?</v>
      </c>
      <c r="BQ303" s="1" t="e">
        <f ca="1">_xll.BDH($C$303,"WORKING_CAPITAL_SEQ_GROWTH","FY 2014","FY 2014","Currency=INR","Period=FY","BEST_FPERIOD_OVERRIDE=FY","FILING_STATUS=OR","EQY_CONSOLIDATED=Y","Sort=A","Dates=H","DateFormat=P","Fill=—","Direction=H","UseDPDF=Y")</f>
        <v>#NAME?</v>
      </c>
      <c r="BR303" s="1" t="e">
        <f ca="1">_xll.BDH($C$303,"ACCOUNTS_PAYABLE_SEQ_GROWTH","FY 2014","FY 2014","Currency=INR","Period=FY","BEST_FPERIOD_OVERRIDE=FY","FILING_STATUS=OR","EQY_CONSOLIDATED=Y","Sort=A","Dates=H","DateFormat=P","Fill=—","Direction=H","UseDPDF=Y")</f>
        <v>#NAME?</v>
      </c>
      <c r="BS303" s="1" t="e">
        <f ca="1">_xll.BDH($C$303,"ST_DEBT_SEQUENTIAL_GROWTH","FY 2014","FY 2014","Currency=INR","Period=FY","BEST_FPERIOD_OVERRIDE=FY","FILING_STATUS=OR","EQY_CONSOLIDATED=Y","Sort=A","Dates=H","DateFormat=P","Fill=—","Direction=H","UseDPDF=Y")</f>
        <v>#NAME?</v>
      </c>
      <c r="BT303" s="1" t="e">
        <f ca="1">_xll.BDH($C$303,"TOTAL_DEBT_SEQUENTIAL_GROWTH","FY 2014","FY 2014","Currency=INR","Period=FY","BEST_FPERIOD_OVERRIDE=FY","FILING_STATUS=OR","EQY_CONSOLIDATED=Y","Sort=A","Dates=H","DateFormat=P","Fill=—","Direction=H","UseDPDF=Y")</f>
        <v>#NAME?</v>
      </c>
      <c r="BU303" s="1" t="e">
        <f ca="1">_xll.BDH($C$303,"TOTAL_EQUITY_SEQUENTIAL_GROWTH","FY 2014","FY 2014","Currency=INR","Period=FY","BEST_FPERIOD_OVERRIDE=FY","FILING_STATUS=OR","EQY_CONSOLIDATED=Y","Sort=A","Dates=H","DateFormat=P","Fill=—","Direction=H","UseDPDF=Y")</f>
        <v>#NAME?</v>
      </c>
      <c r="BV303" s="1" t="e">
        <f ca="1">_xll.BDH($C$303,"TOTAL_CAPITAL_SEQUENTIAL_GROWTH","FY 2014","FY 2014","Currency=INR","Period=FY","BEST_FPERIOD_OVERRIDE=FY","FILING_STATUS=OR","EQY_CONSOLIDATED=Y","Sort=A","Dates=H","DateFormat=P","Fill=—","Direction=H","UseDPDF=Y")</f>
        <v>#NAME?</v>
      </c>
      <c r="BW303" s="1" t="e">
        <f ca="1">_xll.BDH($C$303,"BPS_SEQUENTIAL_GROWTH","FY 2014","FY 2014","Currency=INR","Period=FY","BEST_FPERIOD_OVERRIDE=FY","FILING_STATUS=OR","EQY_CONSOLIDATED=Y","Sort=A","Dates=H","DateFormat=P","Fill=—","Direction=H","UseDPDF=Y")</f>
        <v>#NAME?</v>
      </c>
      <c r="BX303" s="1" t="e">
        <f ca="1">_xll.BDH($C$303,"CFO_SEQUENTIAL_GROWTH","FY 2014","FY 2014","Currency=INR","Period=FY","BEST_FPERIOD_OVERRIDE=FY","FILING_STATUS=OR","EQY_CONSOLIDATED=Y","Sort=A","Dates=H","DateFormat=P","Fill=—","Direction=H","UseDPDF=Y")</f>
        <v>#NAME?</v>
      </c>
      <c r="BY303" s="2" t="e">
        <f ca="1">_xll.BDH($C$303,"SHORT_AND_LONG_TERM_DEBT","FY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03" s="2" t="e">
        <f ca="1">_xll.BDH($C$303,"BS_ST_BORROW","FY 2014","FY 2014","Currency=INR","Period=FY","BEST_FPERIOD_OVERRIDE=FY","FILING_STATUS=OR","EQY_CONSOLIDATED=Y","SCALING_FORMAT=MLN","Sort=A","Dates=H","DateFormat=P","Fill=—","Direction=H","UseDPDF=Y")</f>
        <v>#NAME?</v>
      </c>
      <c r="CA303" s="2" t="e">
        <f ca="1">_xll.BDH($C$303,"BS_LT_BORROW","FY 2014","FY 2014","Currency=INR","Period=FY","BEST_FPERIOD_OVERRIDE=FY","FILING_STATUS=OR","EQY_CONSOLIDATED=Y","SCALING_FORMAT=MLN","Sort=A","Dates=H","DateFormat=P","Fill=—","Direction=H","UseDPDF=Y")</f>
        <v>#NAME?</v>
      </c>
      <c r="CB303" s="1" t="e">
        <f ca="1">_xll.BDH($C$303,"TOT_DEBT_TO_EBITDA","FY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303" s="1" t="e">
        <f ca="1">_xll.BDH($C$303,"NET_DEBT_TO_EBITDA","FY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303" s="1" t="e">
        <f ca="1">_xll.BDH($C$303,"TOTAL_DEBT_TO_EBIT","FY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303" s="1" t="e">
        <f ca="1">_xll.BDH($C$303,"NET_DEBT_TO_EBIT","FY 2014","FY 2014","Currency=INR","Period=FY","BEST_FPERIOD_OVERRIDE=FY","FILING_STATUS=OR","EQY_CONSOLIDATED=Y","FA_ADJUSTED=GAAP","Sort=A","Dates=H","DateFormat=P","Fill=—","Direction=H","UseDPDF=Y")</f>
        <v>#NAME?</v>
      </c>
      <c r="CF303" s="1" t="e">
        <f ca="1">_xll.BDH($C$303,"EBITDA_TO_INTEREST_EXPN","FY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03" s="1" t="e">
        <f ca="1">_xll.BDH($C$303,"COM_EQY_TO_TOT_ASSET","FY 2014","FY 2014","Currency=INR","Period=FY","BEST_FPERIOD_OVERRIDE=FY","FILING_STATUS=OR","EQY_CONSOLIDATED=Y","Sort=A","Dates=H","DateFormat=P","Fill=—","Direction=H","UseDPDF=Y")</f>
        <v>#NAME?</v>
      </c>
      <c r="CH303" s="1" t="e">
        <f ca="1">_xll.BDH($C$303,"LT_DEBT_TO_TOT_EQY","FY 2014","FY 2014","Currency=INR","Period=FY","BEST_FPERIOD_OVERRIDE=FY","FILING_STATUS=OR","EQY_CONSOLIDATED=Y","Sort=A","Dates=H","DateFormat=P","Fill=—","Direction=H","UseDPDF=Y")</f>
        <v>#NAME?</v>
      </c>
      <c r="CI303" s="1" t="e">
        <f ca="1">_xll.BDH($C$303,"LT_DEBT_TO_TOT_CAP","FY 2014","FY 2014","Currency=INR","Period=FY","BEST_FPERIOD_OVERRIDE=FY","FILING_STATUS=OR","EQY_CONSOLIDATED=Y","Sort=A","Dates=H","DateFormat=P","Fill=—","Direction=H","UseDPDF=Y")</f>
        <v>#NAME?</v>
      </c>
      <c r="CJ303" s="1" t="e">
        <f ca="1">_xll.BDH($C$303,"LT_DEBT_TO_TOT_ASSET","FY 2014","FY 2014","Currency=INR","Period=FY","BEST_FPERIOD_OVERRIDE=FY","FILING_STATUS=OR","EQY_CONSOLIDATED=Y","Sort=A","Dates=H","DateFormat=P","Fill=—","Direction=H","UseDPDF=Y")</f>
        <v>#NAME?</v>
      </c>
      <c r="CK303" s="1" t="e">
        <f ca="1">_xll.BDH($C$303,"TOT_DEBT_TO_TOT_EQY","FY 2014","FY 2014","Currency=INR","Period=FY","BEST_FPERIOD_OVERRIDE=FY","FILING_STATUS=OR","EQY_CONSOLIDATED=Y","Sort=A","Dates=H","DateFormat=P","Fill=—","Direction=H","UseDPDF=Y")</f>
        <v>#NAME?</v>
      </c>
      <c r="CL303" s="1" t="e">
        <f ca="1">_xll.BDH($C$303,"TOT_DEBT_TO_TOT_CAP","FY 2014","FY 2014","Currency=INR","Period=FY","BEST_FPERIOD_OVERRIDE=FY","FILING_STATUS=OR","EQY_CONSOLIDATED=Y","Sort=A","Dates=H","DateFormat=P","Fill=—","Direction=H","UseDPDF=Y")</f>
        <v>#NAME?</v>
      </c>
      <c r="CM303" s="1" t="e">
        <f ca="1">_xll.BDH($C$303,"TOT_DEBT_TO_TOT_ASSET","FY 2014","FY 2014","Currency=INR","Period=FY","BEST_FPERIOD_OVERRIDE=FY","FILING_STATUS=OR","EQY_CONSOLIDATED=Y","Sort=A","Dates=H","DateFormat=P","Fill=—","Direction=H","UseDPDF=Y")</f>
        <v>#NAME?</v>
      </c>
      <c r="CN303" s="1" t="e">
        <f ca="1">_xll.BDH($C$303,"NET_DEBT_TO_SHRHLDR_EQTY","FY 2014","FY 2014","Currency=INR","Period=FY","BEST_FPERIOD_OVERRIDE=FY","FILING_STATUS=OR","EQY_CONSOLIDATED=Y","Sort=A","Dates=H","DateFormat=P","Fill=—","Direction=H","UseDPDF=Y")</f>
        <v>#NAME?</v>
      </c>
      <c r="CO303" s="1" t="e">
        <f ca="1">_xll.BDH($C$303,"NET_DEBT_%_CAPITAL","FY 2014","FY 2014","Currency=INR","Period=FY","BEST_FPERIOD_OVERRIDE=FY","FILING_STATUS=OR","EQY_CONSOLIDATED=Y","Sort=A","Dates=H","DateFormat=P","Fill=—","Direction=H","UseDPDF=Y")</f>
        <v>#NAME?</v>
      </c>
      <c r="CP303" s="2" t="e">
        <f ca="1">_xll.BDH($C$303,"EBITDA","FY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03" s="2" t="e">
        <f ca="1">_xll.BDH($C$303,"EBITDA_AFTER_CAPEX","FY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03" s="2" t="e">
        <f ca="1">_xll.BDH($C$303,"IS_OPER_INC","FY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03" s="1" t="e">
        <f ca="1">_xll.BDH($C$303,"CASH_RATIO","FY 2014","FY 2014","Currency=INR","Period=FY","BEST_FPERIOD_OVERRIDE=FY","FILING_STATUS=OR","EQY_CONSOLIDATED=Y","Sort=A","Dates=H","DateFormat=P","Fill=—","Direction=H","UseDPDF=Y")</f>
        <v>#NAME?</v>
      </c>
      <c r="CT303" s="1" t="e">
        <f ca="1">_xll.BDH($C$303,"CUR_RATIO","FY 2014","FY 2014","Currency=INR","Period=FY","BEST_FPERIOD_OVERRIDE=FY","FILING_STATUS=OR","EQY_CONSOLIDATED=Y","Sort=A","Dates=H","DateFormat=P","Fill=—","Direction=H","UseDPDF=Y")</f>
        <v>#NAME?</v>
      </c>
      <c r="CU303" s="1" t="e">
        <f ca="1">_xll.BDH($C$303,"QUICK_RATIO","FY 2014","FY 2014","Currency=INR","Period=FY","BEST_FPERIOD_OVERRIDE=FY","FILING_STATUS=OR","EQY_CONSOLIDATED=Y","Sort=A","Dates=H","DateFormat=P","Fill=—","Direction=H","UseDPDF=Y")</f>
        <v>#NAME?</v>
      </c>
      <c r="CV303" s="1" t="e">
        <f ca="1">_xll.BDH($C$303,"ALTMAN_Z_SCORE","FY 2014","FY 2014","Currency=INR","Period=FY","BEST_FPERIOD_OVERRIDE=FY","FILING_STATUS=OR","EQY_CONSOLIDATED=Y","Sort=A","Dates=H","DateFormat=P","Fill=—","Direction=H","UseDPDF=Y")</f>
        <v>#NAME?</v>
      </c>
      <c r="CW303" s="3" t="e">
        <f ca="1">_xll.BDH($C$303,"ACCT_RCV_TURN","FY 2014","FY 2014","Currency=INR","Period=FY","BEST_FPERIOD_OVERRIDE=FY","FILING_STATUS=OR","EQY_CONSOLIDATED=Y","FA_ADJUSTED=GAAP","Sort=A","Dates=H","DateFormat=P","Fill=—","Direction=H","UseDPDF=Y")</f>
        <v>#NAME?</v>
      </c>
      <c r="CX303" s="1" t="e">
        <f ca="1">_xll.BDH($C$303,"ACCT_RCV_DAYS","FY 2014","FY 2014","Currency=INR","Period=FY","BEST_FPERIOD_OVERRIDE=FY","FILING_STATUS=OR","EQY_CONSOLIDATED=Y","FA_ADJUSTED=GAAP","Sort=A","Dates=H","DateFormat=P","Fill=—","Direction=H","UseDPDF=Y")</f>
        <v>#NAME?</v>
      </c>
      <c r="CY303" s="3" t="e">
        <f ca="1">_xll.BDH($C$303,"INVENT_TURN","FY 2014","FY 2014","Currency=INR","Period=FY","BEST_FPERIOD_OVERRIDE=FY","FILING_STATUS=OR","EQY_CONSOLIDATED=Y","FA_ADJUSTED=GAAP","Sort=A","Dates=H","DateFormat=P","Fill=—","Direction=H","UseDPDF=Y")</f>
        <v>#NAME?</v>
      </c>
      <c r="CZ303" s="1" t="e">
        <f ca="1">_xll.BDH($C$303,"INVENT_DAYS","FY 2014","FY 2014","Currency=INR","Period=FY","BEST_FPERIOD_OVERRIDE=FY","FILING_STATUS=OR","EQY_CONSOLIDATED=Y","FA_ADJUSTED=GAAP","Sort=A","Dates=H","DateFormat=P","Fill=—","Direction=H","UseDPDF=Y")</f>
        <v>#NAME?</v>
      </c>
      <c r="DA303" s="3" t="e">
        <f ca="1">_xll.BDH($C$303,"ACCOUNTS_PAYABLE_TURNOVER","FY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03" s="1" t="e">
        <f ca="1">_xll.BDH($C$303,"ACCOUNTS_PAYABLE_TURNOVER_DAYS","FY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03" s="3" t="e">
        <f ca="1">_xll.BDH($C$303,"CASH_CONVERSION_CYCLE","FY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03" s="3" t="e">
        <f ca="1">_xll.BDH($C$303,"INV_TO_CASH_DAYS","FY 2014","FY 2014","Currency=INR","Period=FY","BEST_FPERIOD_OVERRIDE=FY","FILING_STATUS=OR","EQY_CONSOLIDATED=Y","FA_ADJUSTED=GAAP","Sort=A","Dates=H","DateFormat=P","Fill=—","Direction=H","UseDPDF=Y")</f>
        <v>#NAME?</v>
      </c>
      <c r="DE303" s="4" t="e">
        <f ca="1">_xll.BDH($C$303,"BS_INVENTORIES","FY 2014","FY 2014","Currency=INR","Period=FY","BEST_FPERIOD_OVERRIDE=FY","FILING_STATUS=OR","EQY_CONSOLIDATED=Y","SCALING_FORMAT=MLN","Sort=A","Dates=H","DateFormat=P","Fill=—","Direction=H","UseDPDF=Y")</f>
        <v>#NAME?</v>
      </c>
      <c r="DF303" s="2" t="e">
        <f ca="1">_xll.BDH($C$303,"INVTRY_RAW_MATERIALS","FY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03" s="2" t="e">
        <f ca="1">_xll.BDH($C$303,"INVTRY_IN_PROGRESS","FY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03" s="2" t="e">
        <f ca="1">_xll.BDH($C$303,"INVTRY_FINISHED_GOODS","FY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03" s="2" t="e">
        <f ca="1">_xll.BDH($C$303,"BS_OTHER_INV","FY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04" spans="1:113" x14ac:dyDescent="0.3">
      <c r="A304" s="6"/>
      <c r="B304" s="6"/>
      <c r="C304" s="6"/>
      <c r="D304" s="6"/>
      <c r="E304" t="s">
        <v>4</v>
      </c>
      <c r="F304" t="e">
        <f ca="1">_xll.BDH($C$303,"RETURN_COM_EQY","FQ1 2014","FQ1 2014","Currency=INR","Period=FQ","BEST_FPERIOD_OVERRIDE=FQ","FILING_STATUS=OR","EQY_CONSOLIDATED=Y","FA_ADJUSTED=GAAP","Sort=A","Dates=H","DateFormat=P","Fill=—","Direction=H","UseDPDF=Y")</f>
        <v>#NAME?</v>
      </c>
      <c r="G304" t="e">
        <f ca="1">_xll.BDH($C$303,"RETURN_ON_ASSET","FQ1 2014","FQ1 2014","Currency=INR","Period=FQ","BEST_FPERIOD_OVERRIDE=FQ","FILING_STATUS=OR","EQY_CONSOLIDATED=Y","FA_ADJUSTED=GAAP","Sort=A","Dates=H","DateFormat=P","Fill=—","Direction=H","UseDPDF=Y")</f>
        <v>#NAME?</v>
      </c>
      <c r="H304" t="e">
        <f ca="1">_xll.BDH($C$303,"RETURN_ON_CAP","FQ1 2014","FQ1 2014","Currency=INR","Period=FQ","BEST_FPERIOD_OVERRIDE=FQ","FILING_STATUS=OR","EQY_CONSOLIDATED=Y","FA_ADJUSTED=GAAP","Sort=A","Dates=H","DateFormat=P","Fill=—","Direction=H","UseDPDF=Y")</f>
        <v>#NAME?</v>
      </c>
      <c r="I304" t="e">
        <f ca="1">_xll.BDH($C$303,"RETURN_ON_INV_CAPITAL","FQ1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04" t="e">
        <f ca="1">_xll.BDH($C$303,"EBITDA_TO_REVENUE","FQ1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304" t="e">
        <f ca="1">_xll.BDH($C$303,"OPER_MARGIN","FQ1 2014","FQ1 2014","Currency=INR","Period=FQ","BEST_FPERIOD_OVERRIDE=FQ","FILING_STATUS=OR","EQY_CONSOLIDATED=Y","FA_ADJUSTED=GAAP","Sort=A","Dates=H","DateFormat=P","Fill=—","Direction=H","UseDPDF=Y")</f>
        <v>#NAME?</v>
      </c>
      <c r="L304" t="e">
        <f ca="1">_xll.BDH($C$303,"INCREMENTAL_OPERATING_MARGIN","FQ1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04" t="e">
        <f ca="1">_xll.BDH($C$303,"PRETAX_INC_TO_NET_SALES","FQ1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04" t="e">
        <f ca="1">_xll.BDH($C$303,"INC_BEF_XO_ITEMS_TO_NET_SALES","FQ1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04" t="e">
        <f ca="1">_xll.BDH($C$303,"PROF_MARGIN","FQ1 2014","FQ1 2014","Currency=INR","Period=FQ","BEST_FPERIOD_OVERRIDE=FQ","FILING_STATUS=OR","EQY_CONSOLIDATED=Y","FA_ADJUSTED=GAAP","Sort=A","Dates=H","DateFormat=P","Fill=—","Direction=H","UseDPDF=Y")</f>
        <v>#NAME?</v>
      </c>
      <c r="P304" t="e">
        <f ca="1">_xll.BDH($C$303,"NET_INCOME_TO_COMMON_MARGIN","FQ1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04" t="e">
        <f ca="1">_xll.BDH($C$303,"EFF_TAX_RATE","FQ1 2014","FQ1 2014","Currency=INR","Period=FQ","BEST_FPERIOD_OVERRIDE=FQ","FILING_STATUS=OR","EQY_CONSOLIDATED=Y","FA_ADJUSTED=GAAP","Sort=A","Dates=H","DateFormat=P","Fill=—","Direction=H","UseDPDF=Y")</f>
        <v>#NAME?</v>
      </c>
      <c r="R304" t="e">
        <f ca="1">_xll.BDH($C$303,"DVD_PAYOUT_RATIO","FQ1 2014","FQ1 2014","Currency=INR","Period=FQ","BEST_FPERIOD_OVERRIDE=FQ","FILING_STATUS=OR","EQY_CONSOLIDATED=Y","FA_ADJUSTED=GAAP","Sort=A","Dates=H","DateFormat=P","Fill=—","Direction=H","UseDPDF=Y")</f>
        <v>#NAME?</v>
      </c>
      <c r="S304" t="e">
        <f ca="1">_xll.BDH($C$303,"SUSTAIN_GROWTH_RT","FQ1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304" s="1" t="e">
        <f ca="1">_xll.BDH($C$303,"SALES_GROWTH","FQ1 2014","FQ1 2014","Currency=INR","Period=FQ","BEST_FPERIOD_OVERRIDE=FQ","FILING_STATUS=OR","EQY_CONSOLIDATED=Y","FA_ADJUSTED=GAAP","Sort=A","Dates=H","DateFormat=P","Fill=—","Direction=H","UseDPDF=Y")</f>
        <v>#NAME?</v>
      </c>
      <c r="U304" s="1" t="e">
        <f ca="1">_xll.BDH($C$303,"EBITDA_GROWTH","FQ1 2014","FQ1 2014","Currency=INR","Period=FQ","BEST_FPERIOD_OVERRIDE=FQ","FILING_STATUS=OR","EQY_CONSOLIDATED=Y","FA_ADJUSTED=GAAP","Sort=A","Dates=H","DateFormat=P","Fill=—","Direction=H","UseDPDF=Y")</f>
        <v>#NAME?</v>
      </c>
      <c r="V304" s="1" t="e">
        <f ca="1">_xll.BDH($C$303,"OPER_INC_GROWTH","FQ1 2014","FQ1 2014","Currency=INR","Period=FQ","BEST_FPERIOD_OVERRIDE=FQ","FILING_STATUS=OR","EQY_CONSOLIDATED=Y","FA_ADJUSTED=GAAP","Sort=A","Dates=H","DateFormat=P","Fill=—","Direction=H","UseDPDF=Y")</f>
        <v>#NAME?</v>
      </c>
      <c r="W304" s="1" t="e">
        <f ca="1">_xll.BDH($C$303,"EARN_FOR_COM_GROWTH","FQ1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04" s="1" t="e">
        <f ca="1">_xll.BDH($C$303,"DILUTED_EPS_AFT_XO_ITEMS_GROWTH","FQ1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04" s="1" t="e">
        <f ca="1">_xll.BDH($C$303,"DIVIDEND_PER_SHARE_1_YEAR_GROWTH","FQ1 2014","FQ1 2014","Currency=INR","Period=FQ","BEST_FPERIOD_OVERRIDE=FQ","FILING_STATUS=OR","EQY_CONSOLIDATED=Y","Sort=A","Dates=H","DateFormat=P","Fill=—","Direction=H","UseDPDF=Y")</f>
        <v>#NAME?</v>
      </c>
      <c r="Z304" s="1" t="e">
        <f ca="1">_xll.BDH($C$303,"ACCOUNTS_RECEIVABLE_GROWTH","FQ1 2014","FQ1 2014","Currency=INR","Period=FQ","BEST_FPERIOD_OVERRIDE=FQ","FILING_STATUS=OR","EQY_CONSOLIDATED=Y","Sort=A","Dates=H","DateFormat=P","Fill=—","Direction=H","UseDPDF=Y")</f>
        <v>#NAME?</v>
      </c>
      <c r="AA304" s="1" t="e">
        <f ca="1">_xll.BDH($C$303,"INVENTORY_GROWTH","FQ1 2014","FQ1 2014","Currency=INR","Period=FQ","BEST_FPERIOD_OVERRIDE=FQ","FILING_STATUS=OR","EQY_CONSOLIDATED=Y","Sort=A","Dates=H","DateFormat=P","Fill=—","Direction=H","UseDPDF=Y")</f>
        <v>#NAME?</v>
      </c>
      <c r="AB304" s="1" t="e">
        <f ca="1">_xll.BDH($C$303,"NET_FIXED_ASSETS_1_YEAR_GROWTH","FQ1 2014","FQ1 2014","Currency=INR","Period=FQ","BEST_FPERIOD_OVERRIDE=FQ","FILING_STATUS=OR","EQY_CONSOLIDATED=Y","Sort=A","Dates=H","DateFormat=P","Fill=—","Direction=H","UseDPDF=Y")</f>
        <v>#NAME?</v>
      </c>
      <c r="AC304" s="1" t="e">
        <f ca="1">_xll.BDH($C$303,"ASSET_GROWTH","FQ1 2014","FQ1 2014","Currency=INR","Period=FQ","BEST_FPERIOD_OVERRIDE=FQ","FILING_STATUS=OR","EQY_CONSOLIDATED=Y","Sort=A","Dates=H","DateFormat=P","Fill=—","Direction=H","UseDPDF=Y")</f>
        <v>#NAME?</v>
      </c>
      <c r="AD304" s="1" t="e">
        <f ca="1">_xll.BDH($C$303,"MODIFIED_WORK_CAP_GROWTH","FQ1 2014","FQ1 2014","Currency=INR","Period=FQ","BEST_FPERIOD_OVERRIDE=FQ","FILING_STATUS=OR","EQY_CONSOLIDATED=Y","Sort=A","Dates=H","DateFormat=P","Fill=—","Direction=H","UseDPDF=Y")</f>
        <v>#NAME?</v>
      </c>
      <c r="AE304" s="1" t="e">
        <f ca="1">_xll.BDH($C$303,"WORK_CAP_GROWTH","FQ1 2014","FQ1 2014","Currency=INR","Period=FQ","BEST_FPERIOD_OVERRIDE=FQ","FILING_STATUS=OR","EQY_CONSOLIDATED=Y","Sort=A","Dates=H","DateFormat=P","Fill=—","Direction=H","UseDPDF=Y")</f>
        <v>#NAME?</v>
      </c>
      <c r="AF304" s="1" t="e">
        <f ca="1">_xll.BDH($C$303,"ACCOUNTS_PAYABLE_GROWTH_1YR","FQ1 2014","FQ1 2014","Currency=INR","Period=FQ","BEST_FPERIOD_OVERRIDE=FQ","FILING_STATUS=OR","EQY_CONSOLIDATED=Y","Sort=A","Dates=H","DateFormat=P","Fill=—","Direction=H","UseDPDF=Y")</f>
        <v>#NAME?</v>
      </c>
      <c r="AG304" s="1" t="e">
        <f ca="1">_xll.BDH($C$303,"SHORT_TERM_DEBT_1_YEAR_GROWTH","FQ1 2014","FQ1 2014","Currency=INR","Period=FQ","BEST_FPERIOD_OVERRIDE=FQ","FILING_STATUS=OR","EQY_CONSOLIDATED=Y","Sort=A","Dates=H","DateFormat=P","Fill=—","Direction=H","UseDPDF=Y")</f>
        <v>#NAME?</v>
      </c>
      <c r="AH304" s="1" t="e">
        <f ca="1">_xll.BDH($C$303,"TOTAL_DEBT_1_YEAR_GROWTH","FQ1 2014","FQ1 2014","Currency=INR","Period=FQ","BEST_FPERIOD_OVERRIDE=FQ","FILING_STATUS=OR","EQY_CONSOLIDATED=Y","Sort=A","Dates=H","DateFormat=P","Fill=—","Direction=H","UseDPDF=Y")</f>
        <v>#NAME?</v>
      </c>
      <c r="AI304" s="1" t="e">
        <f ca="1">_xll.BDH($C$303,"TOTAL_EQUITY_1_YEAR_GROWTH","FQ1 2014","FQ1 2014","Currency=INR","Period=FQ","BEST_FPERIOD_OVERRIDE=FQ","FILING_STATUS=OR","EQY_CONSOLIDATED=Y","Sort=A","Dates=H","DateFormat=P","Fill=—","Direction=H","UseDPDF=Y")</f>
        <v>#NAME?</v>
      </c>
      <c r="AJ304" s="1" t="e">
        <f ca="1">_xll.BDH($C$303,"GROWTH_IN_CAP","FQ1 2014","FQ1 2014","Currency=INR","Period=FQ","BEST_FPERIOD_OVERRIDE=FQ","FILING_STATUS=OR","EQY_CONSOLIDATED=Y","Sort=A","Dates=H","DateFormat=P","Fill=—","Direction=H","UseDPDF=Y")</f>
        <v>#NAME?</v>
      </c>
      <c r="AK304" s="1" t="e">
        <f ca="1">_xll.BDH($C$303,"BVPS_GROWTH","FQ1 2014","FQ1 2014","Currency=INR","Period=FQ","BEST_FPERIOD_OVERRIDE=FQ","FILING_STATUS=OR","EQY_CONSOLIDATED=Y","Sort=A","Dates=H","DateFormat=P","Fill=—","Direction=H","UseDPDF=Y")</f>
        <v>#NAME?</v>
      </c>
      <c r="AL304" s="1" t="e">
        <f ca="1">_xll.BDH($C$303,"CASH_FLOW_GROWTH","FQ1 2014","FQ1 2014","Currency=INR","Period=FQ","BEST_FPERIOD_OVERRIDE=FQ","FILING_STATUS=OR","EQY_CONSOLIDATED=Y","Sort=A","Dates=H","DateFormat=P","Fill=—","Direction=H","UseDPDF=Y")</f>
        <v>#NAME?</v>
      </c>
      <c r="AM304" s="1" t="e">
        <f ca="1">_xll.BDH($C$303,"GEO_GROW_NET_SALES","FQ1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04" s="1" t="e">
        <f ca="1">_xll.BDH($C$303,"GEO_GROW_EBITDA","FQ1 2014","FQ1 2014","Currency=INR","Period=FQ","BEST_FPERIOD_OVERRIDE=FQ","FILING_STATUS=OR","EQY_CONSOLIDATED=Y","FA_ADJUSTED=GAAP","Sort=A","Dates=H","DateFormat=P","Fill=—","Direction=H","UseDPDF=Y")</f>
        <v>#NAME?</v>
      </c>
      <c r="AO304" s="1" t="e">
        <f ca="1">_xll.BDH($C$303,"GEO_GROW_OPER_INC","FQ1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04" s="1" t="e">
        <f ca="1">_xll.BDH($C$303,"NET_INCOME_TO_COMMON_5_YR_GROWTH","FQ1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04" s="1" t="e">
        <f ca="1">_xll.BDH($C$303,"5Y_GEO_GROWTH_DILUTED_EPS","FQ1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04" s="1" t="e">
        <f ca="1">_xll.BDH($C$303,"GEO_GROW_DVD_PER_SH","FQ1 2014","FQ1 2014","Currency=INR","Period=FQ","BEST_FPERIOD_OVERRIDE=FQ","FILING_STATUS=OR","EQY_CONSOLIDATED=Y","Sort=A","Dates=H","DateFormat=P","Fill=—","Direction=H","UseDPDF=Y")</f>
        <v>#NAME?</v>
      </c>
      <c r="AS304" s="1" t="e">
        <f ca="1">_xll.BDH($C$303,"ACCOUNTS_RECEIVABLE_5_YR_GROWTH","FQ1 2014","FQ1 2014","Currency=INR","Period=FQ","BEST_FPERIOD_OVERRIDE=FQ","FILING_STATUS=OR","EQY_CONSOLIDATED=Y","Sort=A","Dates=H","DateFormat=P","Fill=—","Direction=H","UseDPDF=Y")</f>
        <v>#NAME?</v>
      </c>
      <c r="AT304" s="1" t="e">
        <f ca="1">_xll.BDH($C$303,"INVENTORY_5_YEAR_GROWTH","FQ1 2014","FQ1 2014","Currency=INR","Period=FQ","BEST_FPERIOD_OVERRIDE=FQ","FILING_STATUS=OR","EQY_CONSOLIDATED=Y","Sort=A","Dates=H","DateFormat=P","Fill=—","Direction=H","UseDPDF=Y")</f>
        <v>#NAME?</v>
      </c>
      <c r="AU304" s="1" t="e">
        <f ca="1">_xll.BDH($C$303,"NET_FIXED_ASSETS_5_YEAR_GROWTH","FQ1 2014","FQ1 2014","Currency=INR","Period=FQ","BEST_FPERIOD_OVERRIDE=FQ","FILING_STATUS=OR","EQY_CONSOLIDATED=Y","Sort=A","Dates=H","DateFormat=P","Fill=—","Direction=H","UseDPDF=Y")</f>
        <v>#NAME?</v>
      </c>
      <c r="AV304" s="1" t="e">
        <f ca="1">_xll.BDH($C$303,"GEO_GROW_TOT_ASSET","FQ1 2014","FQ1 2014","Currency=INR","Period=FQ","BEST_FPERIOD_OVERRIDE=FQ","FILING_STATUS=OR","EQY_CONSOLIDATED=Y","Sort=A","Dates=H","DateFormat=P","Fill=—","Direction=H","UseDPDF=Y")</f>
        <v>#NAME?</v>
      </c>
      <c r="AW304" s="1" t="e">
        <f ca="1">_xll.BDH($C$303,"MODIFIED_WORKING_CPTL_5YR_GRWTH","FQ1 2014","FQ1 2014","Currency=INR","Period=FQ","BEST_FPERIOD_OVERRIDE=FQ","FILING_STATUS=OR","EQY_CONSOLIDATED=Y","Sort=A","Dates=H","DateFormat=P","Fill=—","Direction=H","UseDPDF=Y")</f>
        <v>#NAME?</v>
      </c>
      <c r="AX304" s="1" t="e">
        <f ca="1">_xll.BDH($C$303,"WORKING_CAPITAL_5_YEAR_GROWTH","FQ1 2014","FQ1 2014","Currency=INR","Period=FQ","BEST_FPERIOD_OVERRIDE=FQ","FILING_STATUS=OR","EQY_CONSOLIDATED=Y","Sort=A","Dates=H","DateFormat=P","Fill=—","Direction=H","UseDPDF=Y")</f>
        <v>#NAME?</v>
      </c>
      <c r="AY304" s="1" t="e">
        <f ca="1">_xll.BDH($C$303,"ACCOUNTS_PAYABLE_5_YEAR_GROWTH","FQ1 2014","FQ1 2014","Currency=INR","Period=FQ","BEST_FPERIOD_OVERRIDE=FQ","FILING_STATUS=OR","EQY_CONSOLIDATED=Y","Sort=A","Dates=H","DateFormat=P","Fill=—","Direction=H","UseDPDF=Y")</f>
        <v>#NAME?</v>
      </c>
      <c r="AZ304" s="1" t="e">
        <f ca="1">_xll.BDH($C$303,"SHORT_TERM_DEBT_5_YEAR_GROWTH","FQ1 2014","FQ1 2014","Currency=INR","Period=FQ","BEST_FPERIOD_OVERRIDE=FQ","FILING_STATUS=OR","EQY_CONSOLIDATED=Y","Sort=A","Dates=H","DateFormat=P","Fill=—","Direction=H","UseDPDF=Y")</f>
        <v>#NAME?</v>
      </c>
      <c r="BA304" s="1" t="e">
        <f ca="1">_xll.BDH($C$303,"TOTAL_DEBT_5_YEAR_GROWTH","FQ1 2014","FQ1 2014","Currency=INR","Period=FQ","BEST_FPERIOD_OVERRIDE=FQ","FILING_STATUS=OR","EQY_CONSOLIDATED=Y","Sort=A","Dates=H","DateFormat=P","Fill=—","Direction=H","UseDPDF=Y")</f>
        <v>#NAME?</v>
      </c>
      <c r="BB304" s="1" t="e">
        <f ca="1">_xll.BDH($C$303,"GEO_GROW_TOT_SHRHLDR_EQY","FQ1 2014","FQ1 2014","Currency=INR","Period=FQ","BEST_FPERIOD_OVERRIDE=FQ","FILING_STATUS=OR","EQY_CONSOLIDATED=Y","Sort=A","Dates=H","DateFormat=P","Fill=—","Direction=H","UseDPDF=Y")</f>
        <v>#NAME?</v>
      </c>
      <c r="BC304" s="1" t="e">
        <f ca="1">_xll.BDH($C$303,"TOTAL_CAPITAL_5_YEAR_GROWTH","FQ1 2014","FQ1 2014","Currency=INR","Period=FQ","BEST_FPERIOD_OVERRIDE=FQ","FILING_STATUS=OR","EQY_CONSOLIDATED=Y","Sort=A","Dates=H","DateFormat=P","Fill=—","Direction=H","UseDPDF=Y")</f>
        <v>#NAME?</v>
      </c>
      <c r="BD304" s="1" t="e">
        <f ca="1">_xll.BDH($C$303,"GEO_GROW_BOOK_VAL","FQ1 2014","FQ1 2014","Currency=INR","Period=FQ","BEST_FPERIOD_OVERRIDE=FQ","FILING_STATUS=OR","EQY_CONSOLIDATED=Y","Sort=A","Dates=H","DateFormat=P","Fill=—","Direction=H","UseDPDF=Y")</f>
        <v>#NAME?</v>
      </c>
      <c r="BE304" s="1" t="e">
        <f ca="1">_xll.BDH($C$303,"GEO_GROW_CASH_OPER_ACT","FQ1 2014","FQ1 2014","Currency=INR","Period=FQ","BEST_FPERIOD_OVERRIDE=FQ","FILING_STATUS=OR","EQY_CONSOLIDATED=Y","Sort=A","Dates=H","DateFormat=P","Fill=—","Direction=H","UseDPDF=Y")</f>
        <v>#NAME?</v>
      </c>
      <c r="BF304" s="1" t="e">
        <f ca="1">_xll.BDH($C$303,"REVENUE_SEQUENTIAL_GROWTH","FQ1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04" s="1" t="e">
        <f ca="1">_xll.BDH($C$303,"EBITDA_SEQUENTIAL_GROWTH","FQ1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04" s="1" t="e">
        <f ca="1">_xll.BDH($C$303,"OPERATING_INCOME_SEQ_GROWTH","FQ1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04" s="1" t="e">
        <f ca="1">_xll.BDH($C$303,"NET_INCOME_TO_COMMON_SEQ_GROWTH","FQ1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04" s="1" t="e">
        <f ca="1">_xll.BDH($C$303,"EPS_DILUTED_SEQUENTIAL_GROWTH","FQ1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04" s="1" t="e">
        <f ca="1">_xll.BDH($C$303,"DPS_SEQUENTIAL_GROWTH","FQ1 2014","FQ1 2014","Currency=INR","Period=FQ","BEST_FPERIOD_OVERRIDE=FQ","FILING_STATUS=OR","EQY_CONSOLIDATED=Y","Sort=A","Dates=H","DateFormat=P","Fill=—","Direction=H","UseDPDF=Y")</f>
        <v>#NAME?</v>
      </c>
      <c r="BL304" s="1" t="e">
        <f ca="1">_xll.BDH($C$303,"ACCOUNTS_RECEIVABLE_SEQ_GROWTH","FQ1 2014","FQ1 2014","Currency=INR","Period=FQ","BEST_FPERIOD_OVERRIDE=FQ","FILING_STATUS=OR","EQY_CONSOLIDATED=Y","Sort=A","Dates=H","DateFormat=P","Fill=—","Direction=H","UseDPDF=Y")</f>
        <v>#NAME?</v>
      </c>
      <c r="BM304" s="1" t="e">
        <f ca="1">_xll.BDH($C$303,"INVENTORY_SEQUENTIAL_GROWTH","FQ1 2014","FQ1 2014","Currency=INR","Period=FQ","BEST_FPERIOD_OVERRIDE=FQ","FILING_STATUS=OR","EQY_CONSOLIDATED=Y","Sort=A","Dates=H","DateFormat=P","Fill=—","Direction=H","UseDPDF=Y")</f>
        <v>#NAME?</v>
      </c>
      <c r="BN304" s="1" t="e">
        <f ca="1">_xll.BDH($C$303,"FIXED_ASSETS_SEQUENTIAL_GROWTH","FQ1 2014","FQ1 2014","Currency=INR","Period=FQ","BEST_FPERIOD_OVERRIDE=FQ","FILING_STATUS=OR","EQY_CONSOLIDATED=Y","Sort=A","Dates=H","DateFormat=P","Fill=—","Direction=H","UseDPDF=Y")</f>
        <v>#NAME?</v>
      </c>
      <c r="BO304" s="1" t="e">
        <f ca="1">_xll.BDH($C$303,"TOTAL_ASSETS_SEQUENTIAL_GROWTH","FQ1 2014","FQ1 2014","Currency=INR","Period=FQ","BEST_FPERIOD_OVERRIDE=FQ","FILING_STATUS=OR","EQY_CONSOLIDATED=Y","Sort=A","Dates=H","DateFormat=P","Fill=—","Direction=H","UseDPDF=Y")</f>
        <v>#NAME?</v>
      </c>
      <c r="BP304" s="1" t="e">
        <f ca="1">_xll.BDH($C$303,"MODIFIED_WORKING_CPTL_SEQ_GRWTH","FQ1 2014","FQ1 2014","Currency=INR","Period=FQ","BEST_FPERIOD_OVERRIDE=FQ","FILING_STATUS=OR","EQY_CONSOLIDATED=Y","Sort=A","Dates=H","DateFormat=P","Fill=—","Direction=H","UseDPDF=Y")</f>
        <v>#NAME?</v>
      </c>
      <c r="BQ304" s="1" t="e">
        <f ca="1">_xll.BDH($C$303,"WORKING_CAPITAL_SEQ_GROWTH","FQ1 2014","FQ1 2014","Currency=INR","Period=FQ","BEST_FPERIOD_OVERRIDE=FQ","FILING_STATUS=OR","EQY_CONSOLIDATED=Y","Sort=A","Dates=H","DateFormat=P","Fill=—","Direction=H","UseDPDF=Y")</f>
        <v>#NAME?</v>
      </c>
      <c r="BR304" s="1" t="e">
        <f ca="1">_xll.BDH($C$303,"ACCOUNTS_PAYABLE_SEQ_GROWTH","FQ1 2014","FQ1 2014","Currency=INR","Period=FQ","BEST_FPERIOD_OVERRIDE=FQ","FILING_STATUS=OR","EQY_CONSOLIDATED=Y","Sort=A","Dates=H","DateFormat=P","Fill=—","Direction=H","UseDPDF=Y")</f>
        <v>#NAME?</v>
      </c>
      <c r="BS304" s="1" t="e">
        <f ca="1">_xll.BDH($C$303,"ST_DEBT_SEQUENTIAL_GROWTH","FQ1 2014","FQ1 2014","Currency=INR","Period=FQ","BEST_FPERIOD_OVERRIDE=FQ","FILING_STATUS=OR","EQY_CONSOLIDATED=Y","Sort=A","Dates=H","DateFormat=P","Fill=—","Direction=H","UseDPDF=Y")</f>
        <v>#NAME?</v>
      </c>
      <c r="BT304" s="1" t="e">
        <f ca="1">_xll.BDH($C$303,"TOTAL_DEBT_SEQUENTIAL_GROWTH","FQ1 2014","FQ1 2014","Currency=INR","Period=FQ","BEST_FPERIOD_OVERRIDE=FQ","FILING_STATUS=OR","EQY_CONSOLIDATED=Y","Sort=A","Dates=H","DateFormat=P","Fill=—","Direction=H","UseDPDF=Y")</f>
        <v>#NAME?</v>
      </c>
      <c r="BU304" s="1" t="e">
        <f ca="1">_xll.BDH($C$303,"TOTAL_EQUITY_SEQUENTIAL_GROWTH","FQ1 2014","FQ1 2014","Currency=INR","Period=FQ","BEST_FPERIOD_OVERRIDE=FQ","FILING_STATUS=OR","EQY_CONSOLIDATED=Y","Sort=A","Dates=H","DateFormat=P","Fill=—","Direction=H","UseDPDF=Y")</f>
        <v>#NAME?</v>
      </c>
      <c r="BV304" s="1" t="e">
        <f ca="1">_xll.BDH($C$303,"TOTAL_CAPITAL_SEQUENTIAL_GROWTH","FQ1 2014","FQ1 2014","Currency=INR","Period=FQ","BEST_FPERIOD_OVERRIDE=FQ","FILING_STATUS=OR","EQY_CONSOLIDATED=Y","Sort=A","Dates=H","DateFormat=P","Fill=—","Direction=H","UseDPDF=Y")</f>
        <v>#NAME?</v>
      </c>
      <c r="BW304" s="1" t="e">
        <f ca="1">_xll.BDH($C$303,"BPS_SEQUENTIAL_GROWTH","FQ1 2014","FQ1 2014","Currency=INR","Period=FQ","BEST_FPERIOD_OVERRIDE=FQ","FILING_STATUS=OR","EQY_CONSOLIDATED=Y","Sort=A","Dates=H","DateFormat=P","Fill=—","Direction=H","UseDPDF=Y")</f>
        <v>#NAME?</v>
      </c>
      <c r="BX304" s="1" t="e">
        <f ca="1">_xll.BDH($C$303,"CFO_SEQUENTIAL_GROWTH","FQ1 2014","FQ1 2014","Currency=INR","Period=FQ","BEST_FPERIOD_OVERRIDE=FQ","FILING_STATUS=OR","EQY_CONSOLIDATED=Y","Sort=A","Dates=H","DateFormat=P","Fill=—","Direction=H","UseDPDF=Y")</f>
        <v>#NAME?</v>
      </c>
      <c r="BY304" s="2" t="e">
        <f ca="1">_xll.BDH($C$303,"SHORT_AND_LONG_TERM_DEBT","FQ1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04" s="2" t="e">
        <f ca="1">_xll.BDH($C$303,"BS_ST_BORROW","FQ1 2014","FQ1 2014","Currency=INR","Period=FQ","BEST_FPERIOD_OVERRIDE=FQ","FILING_STATUS=OR","EQY_CONSOLIDATED=Y","SCALING_FORMAT=MLN","Sort=A","Dates=H","DateFormat=P","Fill=—","Direction=H","UseDPDF=Y")</f>
        <v>#NAME?</v>
      </c>
      <c r="CA304" s="2" t="e">
        <f ca="1">_xll.BDH($C$303,"BS_LT_BORROW","FQ1 2014","FQ1 2014","Currency=INR","Period=FQ","BEST_FPERIOD_OVERRIDE=FQ","FILING_STATUS=OR","EQY_CONSOLIDATED=Y","SCALING_FORMAT=MLN","Sort=A","Dates=H","DateFormat=P","Fill=—","Direction=H","UseDPDF=Y")</f>
        <v>#NAME?</v>
      </c>
      <c r="CB304" s="1" t="e">
        <f ca="1">_xll.BDH($C$303,"TOT_DEBT_TO_EBITDA","FQ1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04" s="1" t="e">
        <f ca="1">_xll.BDH($C$303,"NET_DEBT_TO_EBITDA","FQ1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04" s="1" t="e">
        <f ca="1">_xll.BDH($C$303,"TOTAL_DEBT_TO_EBIT","FQ1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04" s="1" t="e">
        <f ca="1">_xll.BDH($C$303,"NET_DEBT_TO_EBIT","FQ1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304" s="1" t="e">
        <f ca="1">_xll.BDH($C$303,"EBITDA_TO_INTEREST_EXPN","FQ1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04" s="1" t="e">
        <f ca="1">_xll.BDH($C$303,"COM_EQY_TO_TOT_ASSET","FQ1 2014","FQ1 2014","Currency=INR","Period=FQ","BEST_FPERIOD_OVERRIDE=FQ","FILING_STATUS=OR","EQY_CONSOLIDATED=Y","Sort=A","Dates=H","DateFormat=P","Fill=—","Direction=H","UseDPDF=Y")</f>
        <v>#NAME?</v>
      </c>
      <c r="CH304" s="1" t="e">
        <f ca="1">_xll.BDH($C$303,"LT_DEBT_TO_TOT_EQY","FQ1 2014","FQ1 2014","Currency=INR","Period=FQ","BEST_FPERIOD_OVERRIDE=FQ","FILING_STATUS=OR","EQY_CONSOLIDATED=Y","Sort=A","Dates=H","DateFormat=P","Fill=—","Direction=H","UseDPDF=Y")</f>
        <v>#NAME?</v>
      </c>
      <c r="CI304" s="1" t="e">
        <f ca="1">_xll.BDH($C$303,"LT_DEBT_TO_TOT_CAP","FQ1 2014","FQ1 2014","Currency=INR","Period=FQ","BEST_FPERIOD_OVERRIDE=FQ","FILING_STATUS=OR","EQY_CONSOLIDATED=Y","Sort=A","Dates=H","DateFormat=P","Fill=—","Direction=H","UseDPDF=Y")</f>
        <v>#NAME?</v>
      </c>
      <c r="CJ304" s="1" t="e">
        <f ca="1">_xll.BDH($C$303,"LT_DEBT_TO_TOT_ASSET","FQ1 2014","FQ1 2014","Currency=INR","Period=FQ","BEST_FPERIOD_OVERRIDE=FQ","FILING_STATUS=OR","EQY_CONSOLIDATED=Y","Sort=A","Dates=H","DateFormat=P","Fill=—","Direction=H","UseDPDF=Y")</f>
        <v>#NAME?</v>
      </c>
      <c r="CK304" s="1" t="e">
        <f ca="1">_xll.BDH($C$303,"TOT_DEBT_TO_TOT_EQY","FQ1 2014","FQ1 2014","Currency=INR","Period=FQ","BEST_FPERIOD_OVERRIDE=FQ","FILING_STATUS=OR","EQY_CONSOLIDATED=Y","Sort=A","Dates=H","DateFormat=P","Fill=—","Direction=H","UseDPDF=Y")</f>
        <v>#NAME?</v>
      </c>
      <c r="CL304" s="1" t="e">
        <f ca="1">_xll.BDH($C$303,"TOT_DEBT_TO_TOT_CAP","FQ1 2014","FQ1 2014","Currency=INR","Period=FQ","BEST_FPERIOD_OVERRIDE=FQ","FILING_STATUS=OR","EQY_CONSOLIDATED=Y","Sort=A","Dates=H","DateFormat=P","Fill=—","Direction=H","UseDPDF=Y")</f>
        <v>#NAME?</v>
      </c>
      <c r="CM304" s="1" t="e">
        <f ca="1">_xll.BDH($C$303,"TOT_DEBT_TO_TOT_ASSET","FQ1 2014","FQ1 2014","Currency=INR","Period=FQ","BEST_FPERIOD_OVERRIDE=FQ","FILING_STATUS=OR","EQY_CONSOLIDATED=Y","Sort=A","Dates=H","DateFormat=P","Fill=—","Direction=H","UseDPDF=Y")</f>
        <v>#NAME?</v>
      </c>
      <c r="CN304" s="1" t="e">
        <f ca="1">_xll.BDH($C$303,"NET_DEBT_TO_SHRHLDR_EQTY","FQ1 2014","FQ1 2014","Currency=INR","Period=FQ","BEST_FPERIOD_OVERRIDE=FQ","FILING_STATUS=OR","EQY_CONSOLIDATED=Y","Sort=A","Dates=H","DateFormat=P","Fill=—","Direction=H","UseDPDF=Y")</f>
        <v>#NAME?</v>
      </c>
      <c r="CO304" s="1" t="e">
        <f ca="1">_xll.BDH($C$303,"NET_DEBT_%_CAPITAL","FQ1 2014","FQ1 2014","Currency=INR","Period=FQ","BEST_FPERIOD_OVERRIDE=FQ","FILING_STATUS=OR","EQY_CONSOLIDATED=Y","Sort=A","Dates=H","DateFormat=P","Fill=—","Direction=H","UseDPDF=Y")</f>
        <v>#NAME?</v>
      </c>
      <c r="CP304" s="2" t="e">
        <f ca="1">_xll.BDH($C$303,"EBITDA","FQ1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04" s="2" t="e">
        <f ca="1">_xll.BDH($C$303,"EBITDA_AFTER_CAPEX","FQ1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04" s="2" t="e">
        <f ca="1">_xll.BDH($C$303,"IS_OPER_INC","FQ1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04" s="1" t="e">
        <f ca="1">_xll.BDH($C$303,"CASH_RATIO","FQ1 2014","FQ1 2014","Currency=INR","Period=FQ","BEST_FPERIOD_OVERRIDE=FQ","FILING_STATUS=OR","EQY_CONSOLIDATED=Y","Sort=A","Dates=H","DateFormat=P","Fill=—","Direction=H","UseDPDF=Y")</f>
        <v>#NAME?</v>
      </c>
      <c r="CT304" s="1" t="e">
        <f ca="1">_xll.BDH($C$303,"CUR_RATIO","FQ1 2014","FQ1 2014","Currency=INR","Period=FQ","BEST_FPERIOD_OVERRIDE=FQ","FILING_STATUS=OR","EQY_CONSOLIDATED=Y","Sort=A","Dates=H","DateFormat=P","Fill=—","Direction=H","UseDPDF=Y")</f>
        <v>#NAME?</v>
      </c>
      <c r="CU304" s="1" t="e">
        <f ca="1">_xll.BDH($C$303,"QUICK_RATIO","FQ1 2014","FQ1 2014","Currency=INR","Period=FQ","BEST_FPERIOD_OVERRIDE=FQ","FILING_STATUS=OR","EQY_CONSOLIDATED=Y","Sort=A","Dates=H","DateFormat=P","Fill=—","Direction=H","UseDPDF=Y")</f>
        <v>#NAME?</v>
      </c>
      <c r="CV304" s="1" t="e">
        <f ca="1">_xll.BDH($C$303,"ALTMAN_Z_SCORE","FQ1 2014","FQ1 2014","Currency=INR","Period=FQ","BEST_FPERIOD_OVERRIDE=FQ","FILING_STATUS=OR","EQY_CONSOLIDATED=Y","Sort=A","Dates=H","DateFormat=P","Fill=—","Direction=H","UseDPDF=Y")</f>
        <v>#NAME?</v>
      </c>
      <c r="CW304" s="3" t="e">
        <f ca="1">_xll.BDH($C$303,"ACCT_RCV_TURN","FQ1 2014","FQ1 2014","Currency=INR","Period=FQ","BEST_FPERIOD_OVERRIDE=FQ","FILING_STATUS=OR","EQY_CONSOLIDATED=Y","FA_ADJUSTED=GAAP","Sort=A","Dates=H","DateFormat=P","Fill=—","Direction=H","UseDPDF=Y")</f>
        <v>#NAME?</v>
      </c>
      <c r="CX304" s="1" t="e">
        <f ca="1">_xll.BDH($C$303,"ACCT_RCV_DAYS","FQ1 2014","FQ1 2014","Currency=INR","Period=FQ","BEST_FPERIOD_OVERRIDE=FQ","FILING_STATUS=OR","EQY_CONSOLIDATED=Y","FA_ADJUSTED=GAAP","Sort=A","Dates=H","DateFormat=P","Fill=—","Direction=H","UseDPDF=Y")</f>
        <v>#NAME?</v>
      </c>
      <c r="CY304" s="3" t="e">
        <f ca="1">_xll.BDH($C$303,"INVENT_TURN","FQ1 2014","FQ1 2014","Currency=INR","Period=FQ","BEST_FPERIOD_OVERRIDE=FQ","FILING_STATUS=OR","EQY_CONSOLIDATED=Y","FA_ADJUSTED=GAAP","Sort=A","Dates=H","DateFormat=P","Fill=—","Direction=H","UseDPDF=Y")</f>
        <v>#NAME?</v>
      </c>
      <c r="CZ304" s="1" t="e">
        <f ca="1">_xll.BDH($C$303,"INVENT_DAYS","FQ1 2014","FQ1 2014","Currency=INR","Period=FQ","BEST_FPERIOD_OVERRIDE=FQ","FILING_STATUS=OR","EQY_CONSOLIDATED=Y","FA_ADJUSTED=GAAP","Sort=A","Dates=H","DateFormat=P","Fill=—","Direction=H","UseDPDF=Y")</f>
        <v>#NAME?</v>
      </c>
      <c r="DA304" s="3" t="e">
        <f ca="1">_xll.BDH($C$303,"ACCOUNTS_PAYABLE_TURNOVER","FQ1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04" s="1" t="e">
        <f ca="1">_xll.BDH($C$303,"ACCOUNTS_PAYABLE_TURNOVER_DAYS","FQ1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04" s="3" t="e">
        <f ca="1">_xll.BDH($C$303,"CASH_CONVERSION_CYCLE","FQ1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04" s="3" t="e">
        <f ca="1">_xll.BDH($C$303,"INV_TO_CASH_DAYS","FQ1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304" s="4" t="e">
        <f ca="1">_xll.BDH($C$303,"BS_INVENTORIES","FQ1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304" s="2" t="e">
        <f ca="1">_xll.BDH($C$303,"INVTRY_RAW_MATERIALS","FQ1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04" s="2" t="e">
        <f ca="1">_xll.BDH($C$303,"INVTRY_IN_PROGRESS","FQ1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04" s="2" t="e">
        <f ca="1">_xll.BDH($C$303,"INVTRY_FINISHED_GOODS","FQ1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04" s="2" t="e">
        <f ca="1">_xll.BDH($C$303,"BS_OTHER_INV","FQ1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05" spans="1:113" x14ac:dyDescent="0.3">
      <c r="A305" s="6"/>
      <c r="B305" s="6"/>
      <c r="C305" s="6"/>
      <c r="D305" s="6"/>
      <c r="E305" t="s">
        <v>5</v>
      </c>
      <c r="F305" t="e">
        <f ca="1">_xll.BDH($C$303,"RETURN_COM_EQY","FQ2 2014","FQ2 2014","Currency=INR","Period=FQ","BEST_FPERIOD_OVERRIDE=FQ","FILING_STATUS=OR","EQY_CONSOLIDATED=Y","FA_ADJUSTED=GAAP","Sort=A","Dates=H","DateFormat=P","Fill=—","Direction=H","UseDPDF=Y")</f>
        <v>#NAME?</v>
      </c>
      <c r="G305" t="e">
        <f ca="1">_xll.BDH($C$303,"RETURN_ON_ASSET","FQ2 2014","FQ2 2014","Currency=INR","Period=FQ","BEST_FPERIOD_OVERRIDE=FQ","FILING_STATUS=OR","EQY_CONSOLIDATED=Y","FA_ADJUSTED=GAAP","Sort=A","Dates=H","DateFormat=P","Fill=—","Direction=H","UseDPDF=Y")</f>
        <v>#NAME?</v>
      </c>
      <c r="H305" t="e">
        <f ca="1">_xll.BDH($C$303,"RETURN_ON_CAP","FQ2 2014","FQ2 2014","Currency=INR","Period=FQ","BEST_FPERIOD_OVERRIDE=FQ","FILING_STATUS=OR","EQY_CONSOLIDATED=Y","FA_ADJUSTED=GAAP","Sort=A","Dates=H","DateFormat=P","Fill=—","Direction=H","UseDPDF=Y")</f>
        <v>#NAME?</v>
      </c>
      <c r="I305" t="e">
        <f ca="1">_xll.BDH($C$303,"RETURN_ON_INV_CAPITAL","FQ2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05" t="e">
        <f ca="1">_xll.BDH($C$303,"EBITDA_TO_REVENUE","FQ2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305" t="e">
        <f ca="1">_xll.BDH($C$303,"OPER_MARGIN","FQ2 2014","FQ2 2014","Currency=INR","Period=FQ","BEST_FPERIOD_OVERRIDE=FQ","FILING_STATUS=OR","EQY_CONSOLIDATED=Y","FA_ADJUSTED=GAAP","Sort=A","Dates=H","DateFormat=P","Fill=—","Direction=H","UseDPDF=Y")</f>
        <v>#NAME?</v>
      </c>
      <c r="L305" t="e">
        <f ca="1">_xll.BDH($C$303,"INCREMENTAL_OPERATING_MARGIN","FQ2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05" t="e">
        <f ca="1">_xll.BDH($C$303,"PRETAX_INC_TO_NET_SALES","FQ2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05" t="e">
        <f ca="1">_xll.BDH($C$303,"INC_BEF_XO_ITEMS_TO_NET_SALES","FQ2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05" t="e">
        <f ca="1">_xll.BDH($C$303,"PROF_MARGIN","FQ2 2014","FQ2 2014","Currency=INR","Period=FQ","BEST_FPERIOD_OVERRIDE=FQ","FILING_STATUS=OR","EQY_CONSOLIDATED=Y","FA_ADJUSTED=GAAP","Sort=A","Dates=H","DateFormat=P","Fill=—","Direction=H","UseDPDF=Y")</f>
        <v>#NAME?</v>
      </c>
      <c r="P305" t="e">
        <f ca="1">_xll.BDH($C$303,"NET_INCOME_TO_COMMON_MARGIN","FQ2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05" t="e">
        <f ca="1">_xll.BDH($C$303,"EFF_TAX_RATE","FQ2 2014","FQ2 2014","Currency=INR","Period=FQ","BEST_FPERIOD_OVERRIDE=FQ","FILING_STATUS=OR","EQY_CONSOLIDATED=Y","FA_ADJUSTED=GAAP","Sort=A","Dates=H","DateFormat=P","Fill=—","Direction=H","UseDPDF=Y")</f>
        <v>#NAME?</v>
      </c>
      <c r="R305" t="e">
        <f ca="1">_xll.BDH($C$303,"DVD_PAYOUT_RATIO","FQ2 2014","FQ2 2014","Currency=INR","Period=FQ","BEST_FPERIOD_OVERRIDE=FQ","FILING_STATUS=OR","EQY_CONSOLIDATED=Y","FA_ADJUSTED=GAAP","Sort=A","Dates=H","DateFormat=P","Fill=—","Direction=H","UseDPDF=Y")</f>
        <v>#NAME?</v>
      </c>
      <c r="S305" t="e">
        <f ca="1">_xll.BDH($C$303,"SUSTAIN_GROWTH_RT","FQ2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305" s="1" t="e">
        <f ca="1">_xll.BDH($C$303,"SALES_GROWTH","FQ2 2014","FQ2 2014","Currency=INR","Period=FQ","BEST_FPERIOD_OVERRIDE=FQ","FILING_STATUS=OR","EQY_CONSOLIDATED=Y","FA_ADJUSTED=GAAP","Sort=A","Dates=H","DateFormat=P","Fill=—","Direction=H","UseDPDF=Y")</f>
        <v>#NAME?</v>
      </c>
      <c r="U305" s="1" t="e">
        <f ca="1">_xll.BDH($C$303,"EBITDA_GROWTH","FQ2 2014","FQ2 2014","Currency=INR","Period=FQ","BEST_FPERIOD_OVERRIDE=FQ","FILING_STATUS=OR","EQY_CONSOLIDATED=Y","FA_ADJUSTED=GAAP","Sort=A","Dates=H","DateFormat=P","Fill=—","Direction=H","UseDPDF=Y")</f>
        <v>#NAME?</v>
      </c>
      <c r="V305" s="1" t="e">
        <f ca="1">_xll.BDH($C$303,"OPER_INC_GROWTH","FQ2 2014","FQ2 2014","Currency=INR","Period=FQ","BEST_FPERIOD_OVERRIDE=FQ","FILING_STATUS=OR","EQY_CONSOLIDATED=Y","FA_ADJUSTED=GAAP","Sort=A","Dates=H","DateFormat=P","Fill=—","Direction=H","UseDPDF=Y")</f>
        <v>#NAME?</v>
      </c>
      <c r="W305" s="1" t="e">
        <f ca="1">_xll.BDH($C$303,"EARN_FOR_COM_GROWTH","FQ2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05" s="1" t="e">
        <f ca="1">_xll.BDH($C$303,"DILUTED_EPS_AFT_XO_ITEMS_GROWTH","FQ2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05" s="1" t="e">
        <f ca="1">_xll.BDH($C$303,"DIVIDEND_PER_SHARE_1_YEAR_GROWTH","FQ2 2014","FQ2 2014","Currency=INR","Period=FQ","BEST_FPERIOD_OVERRIDE=FQ","FILING_STATUS=OR","EQY_CONSOLIDATED=Y","Sort=A","Dates=H","DateFormat=P","Fill=—","Direction=H","UseDPDF=Y")</f>
        <v>#NAME?</v>
      </c>
      <c r="Z305" s="1" t="e">
        <f ca="1">_xll.BDH($C$303,"ACCOUNTS_RECEIVABLE_GROWTH","FQ2 2014","FQ2 2014","Currency=INR","Period=FQ","BEST_FPERIOD_OVERRIDE=FQ","FILING_STATUS=OR","EQY_CONSOLIDATED=Y","Sort=A","Dates=H","DateFormat=P","Fill=—","Direction=H","UseDPDF=Y")</f>
        <v>#NAME?</v>
      </c>
      <c r="AA305" s="1" t="e">
        <f ca="1">_xll.BDH($C$303,"INVENTORY_GROWTH","FQ2 2014","FQ2 2014","Currency=INR","Period=FQ","BEST_FPERIOD_OVERRIDE=FQ","FILING_STATUS=OR","EQY_CONSOLIDATED=Y","Sort=A","Dates=H","DateFormat=P","Fill=—","Direction=H","UseDPDF=Y")</f>
        <v>#NAME?</v>
      </c>
      <c r="AB305" s="1" t="e">
        <f ca="1">_xll.BDH($C$303,"NET_FIXED_ASSETS_1_YEAR_GROWTH","FQ2 2014","FQ2 2014","Currency=INR","Period=FQ","BEST_FPERIOD_OVERRIDE=FQ","FILING_STATUS=OR","EQY_CONSOLIDATED=Y","Sort=A","Dates=H","DateFormat=P","Fill=—","Direction=H","UseDPDF=Y")</f>
        <v>#NAME?</v>
      </c>
      <c r="AC305" s="1" t="e">
        <f ca="1">_xll.BDH($C$303,"ASSET_GROWTH","FQ2 2014","FQ2 2014","Currency=INR","Period=FQ","BEST_FPERIOD_OVERRIDE=FQ","FILING_STATUS=OR","EQY_CONSOLIDATED=Y","Sort=A","Dates=H","DateFormat=P","Fill=—","Direction=H","UseDPDF=Y")</f>
        <v>#NAME?</v>
      </c>
      <c r="AD305" s="1" t="e">
        <f ca="1">_xll.BDH($C$303,"MODIFIED_WORK_CAP_GROWTH","FQ2 2014","FQ2 2014","Currency=INR","Period=FQ","BEST_FPERIOD_OVERRIDE=FQ","FILING_STATUS=OR","EQY_CONSOLIDATED=Y","Sort=A","Dates=H","DateFormat=P","Fill=—","Direction=H","UseDPDF=Y")</f>
        <v>#NAME?</v>
      </c>
      <c r="AE305" s="1" t="e">
        <f ca="1">_xll.BDH($C$303,"WORK_CAP_GROWTH","FQ2 2014","FQ2 2014","Currency=INR","Period=FQ","BEST_FPERIOD_OVERRIDE=FQ","FILING_STATUS=OR","EQY_CONSOLIDATED=Y","Sort=A","Dates=H","DateFormat=P","Fill=—","Direction=H","UseDPDF=Y")</f>
        <v>#NAME?</v>
      </c>
      <c r="AF305" s="1" t="e">
        <f ca="1">_xll.BDH($C$303,"ACCOUNTS_PAYABLE_GROWTH_1YR","FQ2 2014","FQ2 2014","Currency=INR","Period=FQ","BEST_FPERIOD_OVERRIDE=FQ","FILING_STATUS=OR","EQY_CONSOLIDATED=Y","Sort=A","Dates=H","DateFormat=P","Fill=—","Direction=H","UseDPDF=Y")</f>
        <v>#NAME?</v>
      </c>
      <c r="AG305" s="1" t="e">
        <f ca="1">_xll.BDH($C$303,"SHORT_TERM_DEBT_1_YEAR_GROWTH","FQ2 2014","FQ2 2014","Currency=INR","Period=FQ","BEST_FPERIOD_OVERRIDE=FQ","FILING_STATUS=OR","EQY_CONSOLIDATED=Y","Sort=A","Dates=H","DateFormat=P","Fill=—","Direction=H","UseDPDF=Y")</f>
        <v>#NAME?</v>
      </c>
      <c r="AH305" s="1" t="e">
        <f ca="1">_xll.BDH($C$303,"TOTAL_DEBT_1_YEAR_GROWTH","FQ2 2014","FQ2 2014","Currency=INR","Period=FQ","BEST_FPERIOD_OVERRIDE=FQ","FILING_STATUS=OR","EQY_CONSOLIDATED=Y","Sort=A","Dates=H","DateFormat=P","Fill=—","Direction=H","UseDPDF=Y")</f>
        <v>#NAME?</v>
      </c>
      <c r="AI305" s="1" t="e">
        <f ca="1">_xll.BDH($C$303,"TOTAL_EQUITY_1_YEAR_GROWTH","FQ2 2014","FQ2 2014","Currency=INR","Period=FQ","BEST_FPERIOD_OVERRIDE=FQ","FILING_STATUS=OR","EQY_CONSOLIDATED=Y","Sort=A","Dates=H","DateFormat=P","Fill=—","Direction=H","UseDPDF=Y")</f>
        <v>#NAME?</v>
      </c>
      <c r="AJ305" s="1" t="e">
        <f ca="1">_xll.BDH($C$303,"GROWTH_IN_CAP","FQ2 2014","FQ2 2014","Currency=INR","Period=FQ","BEST_FPERIOD_OVERRIDE=FQ","FILING_STATUS=OR","EQY_CONSOLIDATED=Y","Sort=A","Dates=H","DateFormat=P","Fill=—","Direction=H","UseDPDF=Y")</f>
        <v>#NAME?</v>
      </c>
      <c r="AK305" s="1" t="e">
        <f ca="1">_xll.BDH($C$303,"BVPS_GROWTH","FQ2 2014","FQ2 2014","Currency=INR","Period=FQ","BEST_FPERIOD_OVERRIDE=FQ","FILING_STATUS=OR","EQY_CONSOLIDATED=Y","Sort=A","Dates=H","DateFormat=P","Fill=—","Direction=H","UseDPDF=Y")</f>
        <v>#NAME?</v>
      </c>
      <c r="AL305" s="1" t="e">
        <f ca="1">_xll.BDH($C$303,"CASH_FLOW_GROWTH","FQ2 2014","FQ2 2014","Currency=INR","Period=FQ","BEST_FPERIOD_OVERRIDE=FQ","FILING_STATUS=OR","EQY_CONSOLIDATED=Y","Sort=A","Dates=H","DateFormat=P","Fill=—","Direction=H","UseDPDF=Y")</f>
        <v>#NAME?</v>
      </c>
      <c r="AM305" s="1" t="e">
        <f ca="1">_xll.BDH($C$303,"GEO_GROW_NET_SALES","FQ2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05" s="1" t="e">
        <f ca="1">_xll.BDH($C$303,"GEO_GROW_EBITDA","FQ2 2014","FQ2 2014","Currency=INR","Period=FQ","BEST_FPERIOD_OVERRIDE=FQ","FILING_STATUS=OR","EQY_CONSOLIDATED=Y","FA_ADJUSTED=GAAP","Sort=A","Dates=H","DateFormat=P","Fill=—","Direction=H","UseDPDF=Y")</f>
        <v>#NAME?</v>
      </c>
      <c r="AO305" s="1" t="e">
        <f ca="1">_xll.BDH($C$303,"GEO_GROW_OPER_INC","FQ2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05" s="1" t="e">
        <f ca="1">_xll.BDH($C$303,"NET_INCOME_TO_COMMON_5_YR_GROWTH","FQ2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05" s="1" t="e">
        <f ca="1">_xll.BDH($C$303,"5Y_GEO_GROWTH_DILUTED_EPS","FQ2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05" s="1" t="e">
        <f ca="1">_xll.BDH($C$303,"GEO_GROW_DVD_PER_SH","FQ2 2014","FQ2 2014","Currency=INR","Period=FQ","BEST_FPERIOD_OVERRIDE=FQ","FILING_STATUS=OR","EQY_CONSOLIDATED=Y","Sort=A","Dates=H","DateFormat=P","Fill=—","Direction=H","UseDPDF=Y")</f>
        <v>#NAME?</v>
      </c>
      <c r="AS305" s="1" t="e">
        <f ca="1">_xll.BDH($C$303,"ACCOUNTS_RECEIVABLE_5_YR_GROWTH","FQ2 2014","FQ2 2014","Currency=INR","Period=FQ","BEST_FPERIOD_OVERRIDE=FQ","FILING_STATUS=OR","EQY_CONSOLIDATED=Y","Sort=A","Dates=H","DateFormat=P","Fill=—","Direction=H","UseDPDF=Y")</f>
        <v>#NAME?</v>
      </c>
      <c r="AT305" s="1" t="e">
        <f ca="1">_xll.BDH($C$303,"INVENTORY_5_YEAR_GROWTH","FQ2 2014","FQ2 2014","Currency=INR","Period=FQ","BEST_FPERIOD_OVERRIDE=FQ","FILING_STATUS=OR","EQY_CONSOLIDATED=Y","Sort=A","Dates=H","DateFormat=P","Fill=—","Direction=H","UseDPDF=Y")</f>
        <v>#NAME?</v>
      </c>
      <c r="AU305" s="1" t="e">
        <f ca="1">_xll.BDH($C$303,"NET_FIXED_ASSETS_5_YEAR_GROWTH","FQ2 2014","FQ2 2014","Currency=INR","Period=FQ","BEST_FPERIOD_OVERRIDE=FQ","FILING_STATUS=OR","EQY_CONSOLIDATED=Y","Sort=A","Dates=H","DateFormat=P","Fill=—","Direction=H","UseDPDF=Y")</f>
        <v>#NAME?</v>
      </c>
      <c r="AV305" s="1" t="e">
        <f ca="1">_xll.BDH($C$303,"GEO_GROW_TOT_ASSET","FQ2 2014","FQ2 2014","Currency=INR","Period=FQ","BEST_FPERIOD_OVERRIDE=FQ","FILING_STATUS=OR","EQY_CONSOLIDATED=Y","Sort=A","Dates=H","DateFormat=P","Fill=—","Direction=H","UseDPDF=Y")</f>
        <v>#NAME?</v>
      </c>
      <c r="AW305" s="1" t="e">
        <f ca="1">_xll.BDH($C$303,"MODIFIED_WORKING_CPTL_5YR_GRWTH","FQ2 2014","FQ2 2014","Currency=INR","Period=FQ","BEST_FPERIOD_OVERRIDE=FQ","FILING_STATUS=OR","EQY_CONSOLIDATED=Y","Sort=A","Dates=H","DateFormat=P","Fill=—","Direction=H","UseDPDF=Y")</f>
        <v>#NAME?</v>
      </c>
      <c r="AX305" s="1" t="e">
        <f ca="1">_xll.BDH($C$303,"WORKING_CAPITAL_5_YEAR_GROWTH","FQ2 2014","FQ2 2014","Currency=INR","Period=FQ","BEST_FPERIOD_OVERRIDE=FQ","FILING_STATUS=OR","EQY_CONSOLIDATED=Y","Sort=A","Dates=H","DateFormat=P","Fill=—","Direction=H","UseDPDF=Y")</f>
        <v>#NAME?</v>
      </c>
      <c r="AY305" s="1" t="e">
        <f ca="1">_xll.BDH($C$303,"ACCOUNTS_PAYABLE_5_YEAR_GROWTH","FQ2 2014","FQ2 2014","Currency=INR","Period=FQ","BEST_FPERIOD_OVERRIDE=FQ","FILING_STATUS=OR","EQY_CONSOLIDATED=Y","Sort=A","Dates=H","DateFormat=P","Fill=—","Direction=H","UseDPDF=Y")</f>
        <v>#NAME?</v>
      </c>
      <c r="AZ305" s="1" t="e">
        <f ca="1">_xll.BDH($C$303,"SHORT_TERM_DEBT_5_YEAR_GROWTH","FQ2 2014","FQ2 2014","Currency=INR","Period=FQ","BEST_FPERIOD_OVERRIDE=FQ","FILING_STATUS=OR","EQY_CONSOLIDATED=Y","Sort=A","Dates=H","DateFormat=P","Fill=—","Direction=H","UseDPDF=Y")</f>
        <v>#NAME?</v>
      </c>
      <c r="BA305" s="1" t="e">
        <f ca="1">_xll.BDH($C$303,"TOTAL_DEBT_5_YEAR_GROWTH","FQ2 2014","FQ2 2014","Currency=INR","Period=FQ","BEST_FPERIOD_OVERRIDE=FQ","FILING_STATUS=OR","EQY_CONSOLIDATED=Y","Sort=A","Dates=H","DateFormat=P","Fill=—","Direction=H","UseDPDF=Y")</f>
        <v>#NAME?</v>
      </c>
      <c r="BB305" s="1" t="e">
        <f ca="1">_xll.BDH($C$303,"GEO_GROW_TOT_SHRHLDR_EQY","FQ2 2014","FQ2 2014","Currency=INR","Period=FQ","BEST_FPERIOD_OVERRIDE=FQ","FILING_STATUS=OR","EQY_CONSOLIDATED=Y","Sort=A","Dates=H","DateFormat=P","Fill=—","Direction=H","UseDPDF=Y")</f>
        <v>#NAME?</v>
      </c>
      <c r="BC305" s="1" t="e">
        <f ca="1">_xll.BDH($C$303,"TOTAL_CAPITAL_5_YEAR_GROWTH","FQ2 2014","FQ2 2014","Currency=INR","Period=FQ","BEST_FPERIOD_OVERRIDE=FQ","FILING_STATUS=OR","EQY_CONSOLIDATED=Y","Sort=A","Dates=H","DateFormat=P","Fill=—","Direction=H","UseDPDF=Y")</f>
        <v>#NAME?</v>
      </c>
      <c r="BD305" s="1" t="e">
        <f ca="1">_xll.BDH($C$303,"GEO_GROW_BOOK_VAL","FQ2 2014","FQ2 2014","Currency=INR","Period=FQ","BEST_FPERIOD_OVERRIDE=FQ","FILING_STATUS=OR","EQY_CONSOLIDATED=Y","Sort=A","Dates=H","DateFormat=P","Fill=—","Direction=H","UseDPDF=Y")</f>
        <v>#NAME?</v>
      </c>
      <c r="BE305" s="1" t="e">
        <f ca="1">_xll.BDH($C$303,"GEO_GROW_CASH_OPER_ACT","FQ2 2014","FQ2 2014","Currency=INR","Period=FQ","BEST_FPERIOD_OVERRIDE=FQ","FILING_STATUS=OR","EQY_CONSOLIDATED=Y","Sort=A","Dates=H","DateFormat=P","Fill=—","Direction=H","UseDPDF=Y")</f>
        <v>#NAME?</v>
      </c>
      <c r="BF305" s="1" t="e">
        <f ca="1">_xll.BDH($C$303,"REVENUE_SEQUENTIAL_GROWTH","FQ2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05" s="1" t="e">
        <f ca="1">_xll.BDH($C$303,"EBITDA_SEQUENTIAL_GROWTH","FQ2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05" s="1" t="e">
        <f ca="1">_xll.BDH($C$303,"OPERATING_INCOME_SEQ_GROWTH","FQ2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05" s="1" t="e">
        <f ca="1">_xll.BDH($C$303,"NET_INCOME_TO_COMMON_SEQ_GROWTH","FQ2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05" s="1" t="e">
        <f ca="1">_xll.BDH($C$303,"EPS_DILUTED_SEQUENTIAL_GROWTH","FQ2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05" s="1" t="e">
        <f ca="1">_xll.BDH($C$303,"DPS_SEQUENTIAL_GROWTH","FQ2 2014","FQ2 2014","Currency=INR","Period=FQ","BEST_FPERIOD_OVERRIDE=FQ","FILING_STATUS=OR","EQY_CONSOLIDATED=Y","Sort=A","Dates=H","DateFormat=P","Fill=—","Direction=H","UseDPDF=Y")</f>
        <v>#NAME?</v>
      </c>
      <c r="BL305" s="1" t="e">
        <f ca="1">_xll.BDH($C$303,"ACCOUNTS_RECEIVABLE_SEQ_GROWTH","FQ2 2014","FQ2 2014","Currency=INR","Period=FQ","BEST_FPERIOD_OVERRIDE=FQ","FILING_STATUS=OR","EQY_CONSOLIDATED=Y","Sort=A","Dates=H","DateFormat=P","Fill=—","Direction=H","UseDPDF=Y")</f>
        <v>#NAME?</v>
      </c>
      <c r="BM305" s="1" t="e">
        <f ca="1">_xll.BDH($C$303,"INVENTORY_SEQUENTIAL_GROWTH","FQ2 2014","FQ2 2014","Currency=INR","Period=FQ","BEST_FPERIOD_OVERRIDE=FQ","FILING_STATUS=OR","EQY_CONSOLIDATED=Y","Sort=A","Dates=H","DateFormat=P","Fill=—","Direction=H","UseDPDF=Y")</f>
        <v>#NAME?</v>
      </c>
      <c r="BN305" s="1" t="e">
        <f ca="1">_xll.BDH($C$303,"FIXED_ASSETS_SEQUENTIAL_GROWTH","FQ2 2014","FQ2 2014","Currency=INR","Period=FQ","BEST_FPERIOD_OVERRIDE=FQ","FILING_STATUS=OR","EQY_CONSOLIDATED=Y","Sort=A","Dates=H","DateFormat=P","Fill=—","Direction=H","UseDPDF=Y")</f>
        <v>#NAME?</v>
      </c>
      <c r="BO305" s="1" t="e">
        <f ca="1">_xll.BDH($C$303,"TOTAL_ASSETS_SEQUENTIAL_GROWTH","FQ2 2014","FQ2 2014","Currency=INR","Period=FQ","BEST_FPERIOD_OVERRIDE=FQ","FILING_STATUS=OR","EQY_CONSOLIDATED=Y","Sort=A","Dates=H","DateFormat=P","Fill=—","Direction=H","UseDPDF=Y")</f>
        <v>#NAME?</v>
      </c>
      <c r="BP305" s="1" t="e">
        <f ca="1">_xll.BDH($C$303,"MODIFIED_WORKING_CPTL_SEQ_GRWTH","FQ2 2014","FQ2 2014","Currency=INR","Period=FQ","BEST_FPERIOD_OVERRIDE=FQ","FILING_STATUS=OR","EQY_CONSOLIDATED=Y","Sort=A","Dates=H","DateFormat=P","Fill=—","Direction=H","UseDPDF=Y")</f>
        <v>#NAME?</v>
      </c>
      <c r="BQ305" s="1" t="e">
        <f ca="1">_xll.BDH($C$303,"WORKING_CAPITAL_SEQ_GROWTH","FQ2 2014","FQ2 2014","Currency=INR","Period=FQ","BEST_FPERIOD_OVERRIDE=FQ","FILING_STATUS=OR","EQY_CONSOLIDATED=Y","Sort=A","Dates=H","DateFormat=P","Fill=—","Direction=H","UseDPDF=Y")</f>
        <v>#NAME?</v>
      </c>
      <c r="BR305" s="1" t="e">
        <f ca="1">_xll.BDH($C$303,"ACCOUNTS_PAYABLE_SEQ_GROWTH","FQ2 2014","FQ2 2014","Currency=INR","Period=FQ","BEST_FPERIOD_OVERRIDE=FQ","FILING_STATUS=OR","EQY_CONSOLIDATED=Y","Sort=A","Dates=H","DateFormat=P","Fill=—","Direction=H","UseDPDF=Y")</f>
        <v>#NAME?</v>
      </c>
      <c r="BS305" s="1" t="e">
        <f ca="1">_xll.BDH($C$303,"ST_DEBT_SEQUENTIAL_GROWTH","FQ2 2014","FQ2 2014","Currency=INR","Period=FQ","BEST_FPERIOD_OVERRIDE=FQ","FILING_STATUS=OR","EQY_CONSOLIDATED=Y","Sort=A","Dates=H","DateFormat=P","Fill=—","Direction=H","UseDPDF=Y")</f>
        <v>#NAME?</v>
      </c>
      <c r="BT305" s="1" t="e">
        <f ca="1">_xll.BDH($C$303,"TOTAL_DEBT_SEQUENTIAL_GROWTH","FQ2 2014","FQ2 2014","Currency=INR","Period=FQ","BEST_FPERIOD_OVERRIDE=FQ","FILING_STATUS=OR","EQY_CONSOLIDATED=Y","Sort=A","Dates=H","DateFormat=P","Fill=—","Direction=H","UseDPDF=Y")</f>
        <v>#NAME?</v>
      </c>
      <c r="BU305" s="1" t="e">
        <f ca="1">_xll.BDH($C$303,"TOTAL_EQUITY_SEQUENTIAL_GROWTH","FQ2 2014","FQ2 2014","Currency=INR","Period=FQ","BEST_FPERIOD_OVERRIDE=FQ","FILING_STATUS=OR","EQY_CONSOLIDATED=Y","Sort=A","Dates=H","DateFormat=P","Fill=—","Direction=H","UseDPDF=Y")</f>
        <v>#NAME?</v>
      </c>
      <c r="BV305" s="1" t="e">
        <f ca="1">_xll.BDH($C$303,"TOTAL_CAPITAL_SEQUENTIAL_GROWTH","FQ2 2014","FQ2 2014","Currency=INR","Period=FQ","BEST_FPERIOD_OVERRIDE=FQ","FILING_STATUS=OR","EQY_CONSOLIDATED=Y","Sort=A","Dates=H","DateFormat=P","Fill=—","Direction=H","UseDPDF=Y")</f>
        <v>#NAME?</v>
      </c>
      <c r="BW305" s="1" t="e">
        <f ca="1">_xll.BDH($C$303,"BPS_SEQUENTIAL_GROWTH","FQ2 2014","FQ2 2014","Currency=INR","Period=FQ","BEST_FPERIOD_OVERRIDE=FQ","FILING_STATUS=OR","EQY_CONSOLIDATED=Y","Sort=A","Dates=H","DateFormat=P","Fill=—","Direction=H","UseDPDF=Y")</f>
        <v>#NAME?</v>
      </c>
      <c r="BX305" s="1" t="e">
        <f ca="1">_xll.BDH($C$303,"CFO_SEQUENTIAL_GROWTH","FQ2 2014","FQ2 2014","Currency=INR","Period=FQ","BEST_FPERIOD_OVERRIDE=FQ","FILING_STATUS=OR","EQY_CONSOLIDATED=Y","Sort=A","Dates=H","DateFormat=P","Fill=—","Direction=H","UseDPDF=Y")</f>
        <v>#NAME?</v>
      </c>
      <c r="BY305" s="2" t="e">
        <f ca="1">_xll.BDH($C$303,"SHORT_AND_LONG_TERM_DEBT","FQ2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05" s="2" t="e">
        <f ca="1">_xll.BDH($C$303,"BS_ST_BORROW","FQ2 2014","FQ2 2014","Currency=INR","Period=FQ","BEST_FPERIOD_OVERRIDE=FQ","FILING_STATUS=OR","EQY_CONSOLIDATED=Y","SCALING_FORMAT=MLN","Sort=A","Dates=H","DateFormat=P","Fill=—","Direction=H","UseDPDF=Y")</f>
        <v>#NAME?</v>
      </c>
      <c r="CA305" s="2" t="e">
        <f ca="1">_xll.BDH($C$303,"BS_LT_BORROW","FQ2 2014","FQ2 2014","Currency=INR","Period=FQ","BEST_FPERIOD_OVERRIDE=FQ","FILING_STATUS=OR","EQY_CONSOLIDATED=Y","SCALING_FORMAT=MLN","Sort=A","Dates=H","DateFormat=P","Fill=—","Direction=H","UseDPDF=Y")</f>
        <v>#NAME?</v>
      </c>
      <c r="CB305" s="1" t="e">
        <f ca="1">_xll.BDH($C$303,"TOT_DEBT_TO_EBITDA","FQ2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05" s="1" t="e">
        <f ca="1">_xll.BDH($C$303,"NET_DEBT_TO_EBITDA","FQ2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05" s="1" t="e">
        <f ca="1">_xll.BDH($C$303,"TOTAL_DEBT_TO_EBIT","FQ2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05" s="1" t="e">
        <f ca="1">_xll.BDH($C$303,"NET_DEBT_TO_EBIT","FQ2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305" s="1" t="e">
        <f ca="1">_xll.BDH($C$303,"EBITDA_TO_INTEREST_EXPN","FQ2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05" s="1" t="e">
        <f ca="1">_xll.BDH($C$303,"COM_EQY_TO_TOT_ASSET","FQ2 2014","FQ2 2014","Currency=INR","Period=FQ","BEST_FPERIOD_OVERRIDE=FQ","FILING_STATUS=OR","EQY_CONSOLIDATED=Y","Sort=A","Dates=H","DateFormat=P","Fill=—","Direction=H","UseDPDF=Y")</f>
        <v>#NAME?</v>
      </c>
      <c r="CH305" s="1" t="e">
        <f ca="1">_xll.BDH($C$303,"LT_DEBT_TO_TOT_EQY","FQ2 2014","FQ2 2014","Currency=INR","Period=FQ","BEST_FPERIOD_OVERRIDE=FQ","FILING_STATUS=OR","EQY_CONSOLIDATED=Y","Sort=A","Dates=H","DateFormat=P","Fill=—","Direction=H","UseDPDF=Y")</f>
        <v>#NAME?</v>
      </c>
      <c r="CI305" s="1" t="e">
        <f ca="1">_xll.BDH($C$303,"LT_DEBT_TO_TOT_CAP","FQ2 2014","FQ2 2014","Currency=INR","Period=FQ","BEST_FPERIOD_OVERRIDE=FQ","FILING_STATUS=OR","EQY_CONSOLIDATED=Y","Sort=A","Dates=H","DateFormat=P","Fill=—","Direction=H","UseDPDF=Y")</f>
        <v>#NAME?</v>
      </c>
      <c r="CJ305" s="1" t="e">
        <f ca="1">_xll.BDH($C$303,"LT_DEBT_TO_TOT_ASSET","FQ2 2014","FQ2 2014","Currency=INR","Period=FQ","BEST_FPERIOD_OVERRIDE=FQ","FILING_STATUS=OR","EQY_CONSOLIDATED=Y","Sort=A","Dates=H","DateFormat=P","Fill=—","Direction=H","UseDPDF=Y")</f>
        <v>#NAME?</v>
      </c>
      <c r="CK305" s="1" t="e">
        <f ca="1">_xll.BDH($C$303,"TOT_DEBT_TO_TOT_EQY","FQ2 2014","FQ2 2014","Currency=INR","Period=FQ","BEST_FPERIOD_OVERRIDE=FQ","FILING_STATUS=OR","EQY_CONSOLIDATED=Y","Sort=A","Dates=H","DateFormat=P","Fill=—","Direction=H","UseDPDF=Y")</f>
        <v>#NAME?</v>
      </c>
      <c r="CL305" s="1" t="e">
        <f ca="1">_xll.BDH($C$303,"TOT_DEBT_TO_TOT_CAP","FQ2 2014","FQ2 2014","Currency=INR","Period=FQ","BEST_FPERIOD_OVERRIDE=FQ","FILING_STATUS=OR","EQY_CONSOLIDATED=Y","Sort=A","Dates=H","DateFormat=P","Fill=—","Direction=H","UseDPDF=Y")</f>
        <v>#NAME?</v>
      </c>
      <c r="CM305" s="1" t="e">
        <f ca="1">_xll.BDH($C$303,"TOT_DEBT_TO_TOT_ASSET","FQ2 2014","FQ2 2014","Currency=INR","Period=FQ","BEST_FPERIOD_OVERRIDE=FQ","FILING_STATUS=OR","EQY_CONSOLIDATED=Y","Sort=A","Dates=H","DateFormat=P","Fill=—","Direction=H","UseDPDF=Y")</f>
        <v>#NAME?</v>
      </c>
      <c r="CN305" s="1" t="e">
        <f ca="1">_xll.BDH($C$303,"NET_DEBT_TO_SHRHLDR_EQTY","FQ2 2014","FQ2 2014","Currency=INR","Period=FQ","BEST_FPERIOD_OVERRIDE=FQ","FILING_STATUS=OR","EQY_CONSOLIDATED=Y","Sort=A","Dates=H","DateFormat=P","Fill=—","Direction=H","UseDPDF=Y")</f>
        <v>#NAME?</v>
      </c>
      <c r="CO305" s="1" t="e">
        <f ca="1">_xll.BDH($C$303,"NET_DEBT_%_CAPITAL","FQ2 2014","FQ2 2014","Currency=INR","Period=FQ","BEST_FPERIOD_OVERRIDE=FQ","FILING_STATUS=OR","EQY_CONSOLIDATED=Y","Sort=A","Dates=H","DateFormat=P","Fill=—","Direction=H","UseDPDF=Y")</f>
        <v>#NAME?</v>
      </c>
      <c r="CP305" s="2" t="e">
        <f ca="1">_xll.BDH($C$303,"EBITDA","FQ2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05" s="2" t="e">
        <f ca="1">_xll.BDH($C$303,"EBITDA_AFTER_CAPEX","FQ2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05" s="2" t="e">
        <f ca="1">_xll.BDH($C$303,"IS_OPER_INC","FQ2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05" s="1" t="e">
        <f ca="1">_xll.BDH($C$303,"CASH_RATIO","FQ2 2014","FQ2 2014","Currency=INR","Period=FQ","BEST_FPERIOD_OVERRIDE=FQ","FILING_STATUS=OR","EQY_CONSOLIDATED=Y","Sort=A","Dates=H","DateFormat=P","Fill=—","Direction=H","UseDPDF=Y")</f>
        <v>#NAME?</v>
      </c>
      <c r="CT305" s="1" t="e">
        <f ca="1">_xll.BDH($C$303,"CUR_RATIO","FQ2 2014","FQ2 2014","Currency=INR","Period=FQ","BEST_FPERIOD_OVERRIDE=FQ","FILING_STATUS=OR","EQY_CONSOLIDATED=Y","Sort=A","Dates=H","DateFormat=P","Fill=—","Direction=H","UseDPDF=Y")</f>
        <v>#NAME?</v>
      </c>
      <c r="CU305" s="1" t="e">
        <f ca="1">_xll.BDH($C$303,"QUICK_RATIO","FQ2 2014","FQ2 2014","Currency=INR","Period=FQ","BEST_FPERIOD_OVERRIDE=FQ","FILING_STATUS=OR","EQY_CONSOLIDATED=Y","Sort=A","Dates=H","DateFormat=P","Fill=—","Direction=H","UseDPDF=Y")</f>
        <v>#NAME?</v>
      </c>
      <c r="CV305" s="1" t="e">
        <f ca="1">_xll.BDH($C$303,"ALTMAN_Z_SCORE","FQ2 2014","FQ2 2014","Currency=INR","Period=FQ","BEST_FPERIOD_OVERRIDE=FQ","FILING_STATUS=OR","EQY_CONSOLIDATED=Y","Sort=A","Dates=H","DateFormat=P","Fill=—","Direction=H","UseDPDF=Y")</f>
        <v>#NAME?</v>
      </c>
      <c r="CW305" s="3" t="e">
        <f ca="1">_xll.BDH($C$303,"ACCT_RCV_TURN","FQ2 2014","FQ2 2014","Currency=INR","Period=FQ","BEST_FPERIOD_OVERRIDE=FQ","FILING_STATUS=OR","EQY_CONSOLIDATED=Y","FA_ADJUSTED=GAAP","Sort=A","Dates=H","DateFormat=P","Fill=—","Direction=H","UseDPDF=Y")</f>
        <v>#NAME?</v>
      </c>
      <c r="CX305" s="1" t="e">
        <f ca="1">_xll.BDH($C$303,"ACCT_RCV_DAYS","FQ2 2014","FQ2 2014","Currency=INR","Period=FQ","BEST_FPERIOD_OVERRIDE=FQ","FILING_STATUS=OR","EQY_CONSOLIDATED=Y","FA_ADJUSTED=GAAP","Sort=A","Dates=H","DateFormat=P","Fill=—","Direction=H","UseDPDF=Y")</f>
        <v>#NAME?</v>
      </c>
      <c r="CY305" s="3" t="e">
        <f ca="1">_xll.BDH($C$303,"INVENT_TURN","FQ2 2014","FQ2 2014","Currency=INR","Period=FQ","BEST_FPERIOD_OVERRIDE=FQ","FILING_STATUS=OR","EQY_CONSOLIDATED=Y","FA_ADJUSTED=GAAP","Sort=A","Dates=H","DateFormat=P","Fill=—","Direction=H","UseDPDF=Y")</f>
        <v>#NAME?</v>
      </c>
      <c r="CZ305" s="1" t="e">
        <f ca="1">_xll.BDH($C$303,"INVENT_DAYS","FQ2 2014","FQ2 2014","Currency=INR","Period=FQ","BEST_FPERIOD_OVERRIDE=FQ","FILING_STATUS=OR","EQY_CONSOLIDATED=Y","FA_ADJUSTED=GAAP","Sort=A","Dates=H","DateFormat=P","Fill=—","Direction=H","UseDPDF=Y")</f>
        <v>#NAME?</v>
      </c>
      <c r="DA305" s="3" t="e">
        <f ca="1">_xll.BDH($C$303,"ACCOUNTS_PAYABLE_TURNOVER","FQ2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05" s="1" t="e">
        <f ca="1">_xll.BDH($C$303,"ACCOUNTS_PAYABLE_TURNOVER_DAYS","FQ2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05" s="3" t="e">
        <f ca="1">_xll.BDH($C$303,"CASH_CONVERSION_CYCLE","FQ2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05" s="3" t="e">
        <f ca="1">_xll.BDH($C$303,"INV_TO_CASH_DAYS","FQ2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305" s="4" t="e">
        <f ca="1">_xll.BDH($C$303,"BS_INVENTORIES","FQ2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305" s="2" t="e">
        <f ca="1">_xll.BDH($C$303,"INVTRY_RAW_MATERIALS","FQ2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05" s="2" t="e">
        <f ca="1">_xll.BDH($C$303,"INVTRY_IN_PROGRESS","FQ2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05" s="2" t="e">
        <f ca="1">_xll.BDH($C$303,"INVTRY_FINISHED_GOODS","FQ2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05" s="2" t="e">
        <f ca="1">_xll.BDH($C$303,"BS_OTHER_INV","FQ2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06" spans="1:113" x14ac:dyDescent="0.3">
      <c r="A306" s="6"/>
      <c r="B306" s="6"/>
      <c r="C306" s="6"/>
      <c r="D306" s="6"/>
      <c r="E306" t="s">
        <v>6</v>
      </c>
      <c r="F306" t="e">
        <f ca="1">_xll.BDH($C$303,"RETURN_COM_EQY","FQ3 2014","FQ3 2014","Currency=INR","Period=FQ","BEST_FPERIOD_OVERRIDE=FQ","FILING_STATUS=OR","EQY_CONSOLIDATED=Y","FA_ADJUSTED=GAAP","Sort=A","Dates=H","DateFormat=P","Fill=—","Direction=H","UseDPDF=Y")</f>
        <v>#NAME?</v>
      </c>
      <c r="G306" t="e">
        <f ca="1">_xll.BDH($C$303,"RETURN_ON_ASSET","FQ3 2014","FQ3 2014","Currency=INR","Period=FQ","BEST_FPERIOD_OVERRIDE=FQ","FILING_STATUS=OR","EQY_CONSOLIDATED=Y","FA_ADJUSTED=GAAP","Sort=A","Dates=H","DateFormat=P","Fill=—","Direction=H","UseDPDF=Y")</f>
        <v>#NAME?</v>
      </c>
      <c r="H306" t="e">
        <f ca="1">_xll.BDH($C$303,"RETURN_ON_CAP","FQ3 2014","FQ3 2014","Currency=INR","Period=FQ","BEST_FPERIOD_OVERRIDE=FQ","FILING_STATUS=OR","EQY_CONSOLIDATED=Y","FA_ADJUSTED=GAAP","Sort=A","Dates=H","DateFormat=P","Fill=—","Direction=H","UseDPDF=Y")</f>
        <v>#NAME?</v>
      </c>
      <c r="I306" t="e">
        <f ca="1">_xll.BDH($C$303,"RETURN_ON_INV_CAPITAL","FQ3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06" t="e">
        <f ca="1">_xll.BDH($C$303,"EBITDA_TO_REVENUE","FQ3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306" t="e">
        <f ca="1">_xll.BDH($C$303,"OPER_MARGIN","FQ3 2014","FQ3 2014","Currency=INR","Period=FQ","BEST_FPERIOD_OVERRIDE=FQ","FILING_STATUS=OR","EQY_CONSOLIDATED=Y","FA_ADJUSTED=GAAP","Sort=A","Dates=H","DateFormat=P","Fill=—","Direction=H","UseDPDF=Y")</f>
        <v>#NAME?</v>
      </c>
      <c r="L306" t="e">
        <f ca="1">_xll.BDH($C$303,"INCREMENTAL_OPERATING_MARGIN","FQ3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06" t="e">
        <f ca="1">_xll.BDH($C$303,"PRETAX_INC_TO_NET_SALES","FQ3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06" t="e">
        <f ca="1">_xll.BDH($C$303,"INC_BEF_XO_ITEMS_TO_NET_SALES","FQ3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06" t="e">
        <f ca="1">_xll.BDH($C$303,"PROF_MARGIN","FQ3 2014","FQ3 2014","Currency=INR","Period=FQ","BEST_FPERIOD_OVERRIDE=FQ","FILING_STATUS=OR","EQY_CONSOLIDATED=Y","FA_ADJUSTED=GAAP","Sort=A","Dates=H","DateFormat=P","Fill=—","Direction=H","UseDPDF=Y")</f>
        <v>#NAME?</v>
      </c>
      <c r="P306" t="e">
        <f ca="1">_xll.BDH($C$303,"NET_INCOME_TO_COMMON_MARGIN","FQ3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06" t="e">
        <f ca="1">_xll.BDH($C$303,"EFF_TAX_RATE","FQ3 2014","FQ3 2014","Currency=INR","Period=FQ","BEST_FPERIOD_OVERRIDE=FQ","FILING_STATUS=OR","EQY_CONSOLIDATED=Y","FA_ADJUSTED=GAAP","Sort=A","Dates=H","DateFormat=P","Fill=—","Direction=H","UseDPDF=Y")</f>
        <v>#NAME?</v>
      </c>
      <c r="R306" t="e">
        <f ca="1">_xll.BDH($C$303,"DVD_PAYOUT_RATIO","FQ3 2014","FQ3 2014","Currency=INR","Period=FQ","BEST_FPERIOD_OVERRIDE=FQ","FILING_STATUS=OR","EQY_CONSOLIDATED=Y","FA_ADJUSTED=GAAP","Sort=A","Dates=H","DateFormat=P","Fill=—","Direction=H","UseDPDF=Y")</f>
        <v>#NAME?</v>
      </c>
      <c r="S306" t="e">
        <f ca="1">_xll.BDH($C$303,"SUSTAIN_GROWTH_RT","FQ3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306" s="1" t="e">
        <f ca="1">_xll.BDH($C$303,"SALES_GROWTH","FQ3 2014","FQ3 2014","Currency=INR","Period=FQ","BEST_FPERIOD_OVERRIDE=FQ","FILING_STATUS=OR","EQY_CONSOLIDATED=Y","FA_ADJUSTED=GAAP","Sort=A","Dates=H","DateFormat=P","Fill=—","Direction=H","UseDPDF=Y")</f>
        <v>#NAME?</v>
      </c>
      <c r="U306" s="1" t="e">
        <f ca="1">_xll.BDH($C$303,"EBITDA_GROWTH","FQ3 2014","FQ3 2014","Currency=INR","Period=FQ","BEST_FPERIOD_OVERRIDE=FQ","FILING_STATUS=OR","EQY_CONSOLIDATED=Y","FA_ADJUSTED=GAAP","Sort=A","Dates=H","DateFormat=P","Fill=—","Direction=H","UseDPDF=Y")</f>
        <v>#NAME?</v>
      </c>
      <c r="V306" s="1" t="e">
        <f ca="1">_xll.BDH($C$303,"OPER_INC_GROWTH","FQ3 2014","FQ3 2014","Currency=INR","Period=FQ","BEST_FPERIOD_OVERRIDE=FQ","FILING_STATUS=OR","EQY_CONSOLIDATED=Y","FA_ADJUSTED=GAAP","Sort=A","Dates=H","DateFormat=P","Fill=—","Direction=H","UseDPDF=Y")</f>
        <v>#NAME?</v>
      </c>
      <c r="W306" s="1" t="e">
        <f ca="1">_xll.BDH($C$303,"EARN_FOR_COM_GROWTH","FQ3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06" s="1" t="e">
        <f ca="1">_xll.BDH($C$303,"DILUTED_EPS_AFT_XO_ITEMS_GROWTH","FQ3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06" s="1" t="e">
        <f ca="1">_xll.BDH($C$303,"DIVIDEND_PER_SHARE_1_YEAR_GROWTH","FQ3 2014","FQ3 2014","Currency=INR","Period=FQ","BEST_FPERIOD_OVERRIDE=FQ","FILING_STATUS=OR","EQY_CONSOLIDATED=Y","Sort=A","Dates=H","DateFormat=P","Fill=—","Direction=H","UseDPDF=Y")</f>
        <v>#NAME?</v>
      </c>
      <c r="Z306" s="1" t="e">
        <f ca="1">_xll.BDH($C$303,"ACCOUNTS_RECEIVABLE_GROWTH","FQ3 2014","FQ3 2014","Currency=INR","Period=FQ","BEST_FPERIOD_OVERRIDE=FQ","FILING_STATUS=OR","EQY_CONSOLIDATED=Y","Sort=A","Dates=H","DateFormat=P","Fill=—","Direction=H","UseDPDF=Y")</f>
        <v>#NAME?</v>
      </c>
      <c r="AA306" s="1" t="e">
        <f ca="1">_xll.BDH($C$303,"INVENTORY_GROWTH","FQ3 2014","FQ3 2014","Currency=INR","Period=FQ","BEST_FPERIOD_OVERRIDE=FQ","FILING_STATUS=OR","EQY_CONSOLIDATED=Y","Sort=A","Dates=H","DateFormat=P","Fill=—","Direction=H","UseDPDF=Y")</f>
        <v>#NAME?</v>
      </c>
      <c r="AB306" s="1" t="e">
        <f ca="1">_xll.BDH($C$303,"NET_FIXED_ASSETS_1_YEAR_GROWTH","FQ3 2014","FQ3 2014","Currency=INR","Period=FQ","BEST_FPERIOD_OVERRIDE=FQ","FILING_STATUS=OR","EQY_CONSOLIDATED=Y","Sort=A","Dates=H","DateFormat=P","Fill=—","Direction=H","UseDPDF=Y")</f>
        <v>#NAME?</v>
      </c>
      <c r="AC306" s="1" t="e">
        <f ca="1">_xll.BDH($C$303,"ASSET_GROWTH","FQ3 2014","FQ3 2014","Currency=INR","Period=FQ","BEST_FPERIOD_OVERRIDE=FQ","FILING_STATUS=OR","EQY_CONSOLIDATED=Y","Sort=A","Dates=H","DateFormat=P","Fill=—","Direction=H","UseDPDF=Y")</f>
        <v>#NAME?</v>
      </c>
      <c r="AD306" s="1" t="e">
        <f ca="1">_xll.BDH($C$303,"MODIFIED_WORK_CAP_GROWTH","FQ3 2014","FQ3 2014","Currency=INR","Period=FQ","BEST_FPERIOD_OVERRIDE=FQ","FILING_STATUS=OR","EQY_CONSOLIDATED=Y","Sort=A","Dates=H","DateFormat=P","Fill=—","Direction=H","UseDPDF=Y")</f>
        <v>#NAME?</v>
      </c>
      <c r="AE306" s="1" t="e">
        <f ca="1">_xll.BDH($C$303,"WORK_CAP_GROWTH","FQ3 2014","FQ3 2014","Currency=INR","Period=FQ","BEST_FPERIOD_OVERRIDE=FQ","FILING_STATUS=OR","EQY_CONSOLIDATED=Y","Sort=A","Dates=H","DateFormat=P","Fill=—","Direction=H","UseDPDF=Y")</f>
        <v>#NAME?</v>
      </c>
      <c r="AF306" s="1" t="e">
        <f ca="1">_xll.BDH($C$303,"ACCOUNTS_PAYABLE_GROWTH_1YR","FQ3 2014","FQ3 2014","Currency=INR","Period=FQ","BEST_FPERIOD_OVERRIDE=FQ","FILING_STATUS=OR","EQY_CONSOLIDATED=Y","Sort=A","Dates=H","DateFormat=P","Fill=—","Direction=H","UseDPDF=Y")</f>
        <v>#NAME?</v>
      </c>
      <c r="AG306" s="1" t="e">
        <f ca="1">_xll.BDH($C$303,"SHORT_TERM_DEBT_1_YEAR_GROWTH","FQ3 2014","FQ3 2014","Currency=INR","Period=FQ","BEST_FPERIOD_OVERRIDE=FQ","FILING_STATUS=OR","EQY_CONSOLIDATED=Y","Sort=A","Dates=H","DateFormat=P","Fill=—","Direction=H","UseDPDF=Y")</f>
        <v>#NAME?</v>
      </c>
      <c r="AH306" s="1" t="e">
        <f ca="1">_xll.BDH($C$303,"TOTAL_DEBT_1_YEAR_GROWTH","FQ3 2014","FQ3 2014","Currency=INR","Period=FQ","BEST_FPERIOD_OVERRIDE=FQ","FILING_STATUS=OR","EQY_CONSOLIDATED=Y","Sort=A","Dates=H","DateFormat=P","Fill=—","Direction=H","UseDPDF=Y")</f>
        <v>#NAME?</v>
      </c>
      <c r="AI306" s="1" t="e">
        <f ca="1">_xll.BDH($C$303,"TOTAL_EQUITY_1_YEAR_GROWTH","FQ3 2014","FQ3 2014","Currency=INR","Period=FQ","BEST_FPERIOD_OVERRIDE=FQ","FILING_STATUS=OR","EQY_CONSOLIDATED=Y","Sort=A","Dates=H","DateFormat=P","Fill=—","Direction=H","UseDPDF=Y")</f>
        <v>#NAME?</v>
      </c>
      <c r="AJ306" s="1" t="e">
        <f ca="1">_xll.BDH($C$303,"GROWTH_IN_CAP","FQ3 2014","FQ3 2014","Currency=INR","Period=FQ","BEST_FPERIOD_OVERRIDE=FQ","FILING_STATUS=OR","EQY_CONSOLIDATED=Y","Sort=A","Dates=H","DateFormat=P","Fill=—","Direction=H","UseDPDF=Y")</f>
        <v>#NAME?</v>
      </c>
      <c r="AK306" s="1" t="e">
        <f ca="1">_xll.BDH($C$303,"BVPS_GROWTH","FQ3 2014","FQ3 2014","Currency=INR","Period=FQ","BEST_FPERIOD_OVERRIDE=FQ","FILING_STATUS=OR","EQY_CONSOLIDATED=Y","Sort=A","Dates=H","DateFormat=P","Fill=—","Direction=H","UseDPDF=Y")</f>
        <v>#NAME?</v>
      </c>
      <c r="AL306" s="1" t="e">
        <f ca="1">_xll.BDH($C$303,"CASH_FLOW_GROWTH","FQ3 2014","FQ3 2014","Currency=INR","Period=FQ","BEST_FPERIOD_OVERRIDE=FQ","FILING_STATUS=OR","EQY_CONSOLIDATED=Y","Sort=A","Dates=H","DateFormat=P","Fill=—","Direction=H","UseDPDF=Y")</f>
        <v>#NAME?</v>
      </c>
      <c r="AM306" s="1" t="e">
        <f ca="1">_xll.BDH($C$303,"GEO_GROW_NET_SALES","FQ3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06" s="1" t="e">
        <f ca="1">_xll.BDH($C$303,"GEO_GROW_EBITDA","FQ3 2014","FQ3 2014","Currency=INR","Period=FQ","BEST_FPERIOD_OVERRIDE=FQ","FILING_STATUS=OR","EQY_CONSOLIDATED=Y","FA_ADJUSTED=GAAP","Sort=A","Dates=H","DateFormat=P","Fill=—","Direction=H","UseDPDF=Y")</f>
        <v>#NAME?</v>
      </c>
      <c r="AO306" s="1" t="e">
        <f ca="1">_xll.BDH($C$303,"GEO_GROW_OPER_INC","FQ3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06" s="1" t="e">
        <f ca="1">_xll.BDH($C$303,"NET_INCOME_TO_COMMON_5_YR_GROWTH","FQ3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06" s="1" t="e">
        <f ca="1">_xll.BDH($C$303,"5Y_GEO_GROWTH_DILUTED_EPS","FQ3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06" s="1" t="e">
        <f ca="1">_xll.BDH($C$303,"GEO_GROW_DVD_PER_SH","FQ3 2014","FQ3 2014","Currency=INR","Period=FQ","BEST_FPERIOD_OVERRIDE=FQ","FILING_STATUS=OR","EQY_CONSOLIDATED=Y","Sort=A","Dates=H","DateFormat=P","Fill=—","Direction=H","UseDPDF=Y")</f>
        <v>#NAME?</v>
      </c>
      <c r="AS306" s="1" t="e">
        <f ca="1">_xll.BDH($C$303,"ACCOUNTS_RECEIVABLE_5_YR_GROWTH","FQ3 2014","FQ3 2014","Currency=INR","Period=FQ","BEST_FPERIOD_OVERRIDE=FQ","FILING_STATUS=OR","EQY_CONSOLIDATED=Y","Sort=A","Dates=H","DateFormat=P","Fill=—","Direction=H","UseDPDF=Y")</f>
        <v>#NAME?</v>
      </c>
      <c r="AT306" s="1" t="e">
        <f ca="1">_xll.BDH($C$303,"INVENTORY_5_YEAR_GROWTH","FQ3 2014","FQ3 2014","Currency=INR","Period=FQ","BEST_FPERIOD_OVERRIDE=FQ","FILING_STATUS=OR","EQY_CONSOLIDATED=Y","Sort=A","Dates=H","DateFormat=P","Fill=—","Direction=H","UseDPDF=Y")</f>
        <v>#NAME?</v>
      </c>
      <c r="AU306" s="1" t="e">
        <f ca="1">_xll.BDH($C$303,"NET_FIXED_ASSETS_5_YEAR_GROWTH","FQ3 2014","FQ3 2014","Currency=INR","Period=FQ","BEST_FPERIOD_OVERRIDE=FQ","FILING_STATUS=OR","EQY_CONSOLIDATED=Y","Sort=A","Dates=H","DateFormat=P","Fill=—","Direction=H","UseDPDF=Y")</f>
        <v>#NAME?</v>
      </c>
      <c r="AV306" s="1" t="e">
        <f ca="1">_xll.BDH($C$303,"GEO_GROW_TOT_ASSET","FQ3 2014","FQ3 2014","Currency=INR","Period=FQ","BEST_FPERIOD_OVERRIDE=FQ","FILING_STATUS=OR","EQY_CONSOLIDATED=Y","Sort=A","Dates=H","DateFormat=P","Fill=—","Direction=H","UseDPDF=Y")</f>
        <v>#NAME?</v>
      </c>
      <c r="AW306" s="1" t="e">
        <f ca="1">_xll.BDH($C$303,"MODIFIED_WORKING_CPTL_5YR_GRWTH","FQ3 2014","FQ3 2014","Currency=INR","Period=FQ","BEST_FPERIOD_OVERRIDE=FQ","FILING_STATUS=OR","EQY_CONSOLIDATED=Y","Sort=A","Dates=H","DateFormat=P","Fill=—","Direction=H","UseDPDF=Y")</f>
        <v>#NAME?</v>
      </c>
      <c r="AX306" s="1" t="e">
        <f ca="1">_xll.BDH($C$303,"WORKING_CAPITAL_5_YEAR_GROWTH","FQ3 2014","FQ3 2014","Currency=INR","Period=FQ","BEST_FPERIOD_OVERRIDE=FQ","FILING_STATUS=OR","EQY_CONSOLIDATED=Y","Sort=A","Dates=H","DateFormat=P","Fill=—","Direction=H","UseDPDF=Y")</f>
        <v>#NAME?</v>
      </c>
      <c r="AY306" s="1" t="e">
        <f ca="1">_xll.BDH($C$303,"ACCOUNTS_PAYABLE_5_YEAR_GROWTH","FQ3 2014","FQ3 2014","Currency=INR","Period=FQ","BEST_FPERIOD_OVERRIDE=FQ","FILING_STATUS=OR","EQY_CONSOLIDATED=Y","Sort=A","Dates=H","DateFormat=P","Fill=—","Direction=H","UseDPDF=Y")</f>
        <v>#NAME?</v>
      </c>
      <c r="AZ306" s="1" t="e">
        <f ca="1">_xll.BDH($C$303,"SHORT_TERM_DEBT_5_YEAR_GROWTH","FQ3 2014","FQ3 2014","Currency=INR","Period=FQ","BEST_FPERIOD_OVERRIDE=FQ","FILING_STATUS=OR","EQY_CONSOLIDATED=Y","Sort=A","Dates=H","DateFormat=P","Fill=—","Direction=H","UseDPDF=Y")</f>
        <v>#NAME?</v>
      </c>
      <c r="BA306" s="1" t="e">
        <f ca="1">_xll.BDH($C$303,"TOTAL_DEBT_5_YEAR_GROWTH","FQ3 2014","FQ3 2014","Currency=INR","Period=FQ","BEST_FPERIOD_OVERRIDE=FQ","FILING_STATUS=OR","EQY_CONSOLIDATED=Y","Sort=A","Dates=H","DateFormat=P","Fill=—","Direction=H","UseDPDF=Y")</f>
        <v>#NAME?</v>
      </c>
      <c r="BB306" s="1" t="e">
        <f ca="1">_xll.BDH($C$303,"GEO_GROW_TOT_SHRHLDR_EQY","FQ3 2014","FQ3 2014","Currency=INR","Period=FQ","BEST_FPERIOD_OVERRIDE=FQ","FILING_STATUS=OR","EQY_CONSOLIDATED=Y","Sort=A","Dates=H","DateFormat=P","Fill=—","Direction=H","UseDPDF=Y")</f>
        <v>#NAME?</v>
      </c>
      <c r="BC306" s="1" t="e">
        <f ca="1">_xll.BDH($C$303,"TOTAL_CAPITAL_5_YEAR_GROWTH","FQ3 2014","FQ3 2014","Currency=INR","Period=FQ","BEST_FPERIOD_OVERRIDE=FQ","FILING_STATUS=OR","EQY_CONSOLIDATED=Y","Sort=A","Dates=H","DateFormat=P","Fill=—","Direction=H","UseDPDF=Y")</f>
        <v>#NAME?</v>
      </c>
      <c r="BD306" s="1" t="e">
        <f ca="1">_xll.BDH($C$303,"GEO_GROW_BOOK_VAL","FQ3 2014","FQ3 2014","Currency=INR","Period=FQ","BEST_FPERIOD_OVERRIDE=FQ","FILING_STATUS=OR","EQY_CONSOLIDATED=Y","Sort=A","Dates=H","DateFormat=P","Fill=—","Direction=H","UseDPDF=Y")</f>
        <v>#NAME?</v>
      </c>
      <c r="BE306" s="1" t="e">
        <f ca="1">_xll.BDH($C$303,"GEO_GROW_CASH_OPER_ACT","FQ3 2014","FQ3 2014","Currency=INR","Period=FQ","BEST_FPERIOD_OVERRIDE=FQ","FILING_STATUS=OR","EQY_CONSOLIDATED=Y","Sort=A","Dates=H","DateFormat=P","Fill=—","Direction=H","UseDPDF=Y")</f>
        <v>#NAME?</v>
      </c>
      <c r="BF306" s="1" t="e">
        <f ca="1">_xll.BDH($C$303,"REVENUE_SEQUENTIAL_GROWTH","FQ3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06" s="1" t="e">
        <f ca="1">_xll.BDH($C$303,"EBITDA_SEQUENTIAL_GROWTH","FQ3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06" s="1" t="e">
        <f ca="1">_xll.BDH($C$303,"OPERATING_INCOME_SEQ_GROWTH","FQ3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06" s="1" t="e">
        <f ca="1">_xll.BDH($C$303,"NET_INCOME_TO_COMMON_SEQ_GROWTH","FQ3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06" s="1" t="e">
        <f ca="1">_xll.BDH($C$303,"EPS_DILUTED_SEQUENTIAL_GROWTH","FQ3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06" s="1" t="e">
        <f ca="1">_xll.BDH($C$303,"DPS_SEQUENTIAL_GROWTH","FQ3 2014","FQ3 2014","Currency=INR","Period=FQ","BEST_FPERIOD_OVERRIDE=FQ","FILING_STATUS=OR","EQY_CONSOLIDATED=Y","Sort=A","Dates=H","DateFormat=P","Fill=—","Direction=H","UseDPDF=Y")</f>
        <v>#NAME?</v>
      </c>
      <c r="BL306" s="1" t="e">
        <f ca="1">_xll.BDH($C$303,"ACCOUNTS_RECEIVABLE_SEQ_GROWTH","FQ3 2014","FQ3 2014","Currency=INR","Period=FQ","BEST_FPERIOD_OVERRIDE=FQ","FILING_STATUS=OR","EQY_CONSOLIDATED=Y","Sort=A","Dates=H","DateFormat=P","Fill=—","Direction=H","UseDPDF=Y")</f>
        <v>#NAME?</v>
      </c>
      <c r="BM306" s="1" t="e">
        <f ca="1">_xll.BDH($C$303,"INVENTORY_SEQUENTIAL_GROWTH","FQ3 2014","FQ3 2014","Currency=INR","Period=FQ","BEST_FPERIOD_OVERRIDE=FQ","FILING_STATUS=OR","EQY_CONSOLIDATED=Y","Sort=A","Dates=H","DateFormat=P","Fill=—","Direction=H","UseDPDF=Y")</f>
        <v>#NAME?</v>
      </c>
      <c r="BN306" s="1" t="e">
        <f ca="1">_xll.BDH($C$303,"FIXED_ASSETS_SEQUENTIAL_GROWTH","FQ3 2014","FQ3 2014","Currency=INR","Period=FQ","BEST_FPERIOD_OVERRIDE=FQ","FILING_STATUS=OR","EQY_CONSOLIDATED=Y","Sort=A","Dates=H","DateFormat=P","Fill=—","Direction=H","UseDPDF=Y")</f>
        <v>#NAME?</v>
      </c>
      <c r="BO306" s="1" t="e">
        <f ca="1">_xll.BDH($C$303,"TOTAL_ASSETS_SEQUENTIAL_GROWTH","FQ3 2014","FQ3 2014","Currency=INR","Period=FQ","BEST_FPERIOD_OVERRIDE=FQ","FILING_STATUS=OR","EQY_CONSOLIDATED=Y","Sort=A","Dates=H","DateFormat=P","Fill=—","Direction=H","UseDPDF=Y")</f>
        <v>#NAME?</v>
      </c>
      <c r="BP306" s="1" t="e">
        <f ca="1">_xll.BDH($C$303,"MODIFIED_WORKING_CPTL_SEQ_GRWTH","FQ3 2014","FQ3 2014","Currency=INR","Period=FQ","BEST_FPERIOD_OVERRIDE=FQ","FILING_STATUS=OR","EQY_CONSOLIDATED=Y","Sort=A","Dates=H","DateFormat=P","Fill=—","Direction=H","UseDPDF=Y")</f>
        <v>#NAME?</v>
      </c>
      <c r="BQ306" s="1" t="e">
        <f ca="1">_xll.BDH($C$303,"WORKING_CAPITAL_SEQ_GROWTH","FQ3 2014","FQ3 2014","Currency=INR","Period=FQ","BEST_FPERIOD_OVERRIDE=FQ","FILING_STATUS=OR","EQY_CONSOLIDATED=Y","Sort=A","Dates=H","DateFormat=P","Fill=—","Direction=H","UseDPDF=Y")</f>
        <v>#NAME?</v>
      </c>
      <c r="BR306" s="1" t="e">
        <f ca="1">_xll.BDH($C$303,"ACCOUNTS_PAYABLE_SEQ_GROWTH","FQ3 2014","FQ3 2014","Currency=INR","Period=FQ","BEST_FPERIOD_OVERRIDE=FQ","FILING_STATUS=OR","EQY_CONSOLIDATED=Y","Sort=A","Dates=H","DateFormat=P","Fill=—","Direction=H","UseDPDF=Y")</f>
        <v>#NAME?</v>
      </c>
      <c r="BS306" s="1" t="e">
        <f ca="1">_xll.BDH($C$303,"ST_DEBT_SEQUENTIAL_GROWTH","FQ3 2014","FQ3 2014","Currency=INR","Period=FQ","BEST_FPERIOD_OVERRIDE=FQ","FILING_STATUS=OR","EQY_CONSOLIDATED=Y","Sort=A","Dates=H","DateFormat=P","Fill=—","Direction=H","UseDPDF=Y")</f>
        <v>#NAME?</v>
      </c>
      <c r="BT306" s="1" t="e">
        <f ca="1">_xll.BDH($C$303,"TOTAL_DEBT_SEQUENTIAL_GROWTH","FQ3 2014","FQ3 2014","Currency=INR","Period=FQ","BEST_FPERIOD_OVERRIDE=FQ","FILING_STATUS=OR","EQY_CONSOLIDATED=Y","Sort=A","Dates=H","DateFormat=P","Fill=—","Direction=H","UseDPDF=Y")</f>
        <v>#NAME?</v>
      </c>
      <c r="BU306" s="1" t="e">
        <f ca="1">_xll.BDH($C$303,"TOTAL_EQUITY_SEQUENTIAL_GROWTH","FQ3 2014","FQ3 2014","Currency=INR","Period=FQ","BEST_FPERIOD_OVERRIDE=FQ","FILING_STATUS=OR","EQY_CONSOLIDATED=Y","Sort=A","Dates=H","DateFormat=P","Fill=—","Direction=H","UseDPDF=Y")</f>
        <v>#NAME?</v>
      </c>
      <c r="BV306" s="1" t="e">
        <f ca="1">_xll.BDH($C$303,"TOTAL_CAPITAL_SEQUENTIAL_GROWTH","FQ3 2014","FQ3 2014","Currency=INR","Period=FQ","BEST_FPERIOD_OVERRIDE=FQ","FILING_STATUS=OR","EQY_CONSOLIDATED=Y","Sort=A","Dates=H","DateFormat=P","Fill=—","Direction=H","UseDPDF=Y")</f>
        <v>#NAME?</v>
      </c>
      <c r="BW306" s="1" t="e">
        <f ca="1">_xll.BDH($C$303,"BPS_SEQUENTIAL_GROWTH","FQ3 2014","FQ3 2014","Currency=INR","Period=FQ","BEST_FPERIOD_OVERRIDE=FQ","FILING_STATUS=OR","EQY_CONSOLIDATED=Y","Sort=A","Dates=H","DateFormat=P","Fill=—","Direction=H","UseDPDF=Y")</f>
        <v>#NAME?</v>
      </c>
      <c r="BX306" s="1" t="e">
        <f ca="1">_xll.BDH($C$303,"CFO_SEQUENTIAL_GROWTH","FQ3 2014","FQ3 2014","Currency=INR","Period=FQ","BEST_FPERIOD_OVERRIDE=FQ","FILING_STATUS=OR","EQY_CONSOLIDATED=Y","Sort=A","Dates=H","DateFormat=P","Fill=—","Direction=H","UseDPDF=Y")</f>
        <v>#NAME?</v>
      </c>
      <c r="BY306" s="2" t="e">
        <f ca="1">_xll.BDH($C$303,"SHORT_AND_LONG_TERM_DEBT","FQ3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06" s="2" t="e">
        <f ca="1">_xll.BDH($C$303,"BS_ST_BORROW","FQ3 2014","FQ3 2014","Currency=INR","Period=FQ","BEST_FPERIOD_OVERRIDE=FQ","FILING_STATUS=OR","EQY_CONSOLIDATED=Y","SCALING_FORMAT=MLN","Sort=A","Dates=H","DateFormat=P","Fill=—","Direction=H","UseDPDF=Y")</f>
        <v>#NAME?</v>
      </c>
      <c r="CA306" s="2" t="e">
        <f ca="1">_xll.BDH($C$303,"BS_LT_BORROW","FQ3 2014","FQ3 2014","Currency=INR","Period=FQ","BEST_FPERIOD_OVERRIDE=FQ","FILING_STATUS=OR","EQY_CONSOLIDATED=Y","SCALING_FORMAT=MLN","Sort=A","Dates=H","DateFormat=P","Fill=—","Direction=H","UseDPDF=Y")</f>
        <v>#NAME?</v>
      </c>
      <c r="CB306" s="1" t="e">
        <f ca="1">_xll.BDH($C$303,"TOT_DEBT_TO_EBITDA","FQ3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06" s="1" t="e">
        <f ca="1">_xll.BDH($C$303,"NET_DEBT_TO_EBITDA","FQ3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06" s="1" t="e">
        <f ca="1">_xll.BDH($C$303,"TOTAL_DEBT_TO_EBIT","FQ3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06" s="1" t="e">
        <f ca="1">_xll.BDH($C$303,"NET_DEBT_TO_EBIT","FQ3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306" s="1" t="e">
        <f ca="1">_xll.BDH($C$303,"EBITDA_TO_INTEREST_EXPN","FQ3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06" s="1" t="e">
        <f ca="1">_xll.BDH($C$303,"COM_EQY_TO_TOT_ASSET","FQ3 2014","FQ3 2014","Currency=INR","Period=FQ","BEST_FPERIOD_OVERRIDE=FQ","FILING_STATUS=OR","EQY_CONSOLIDATED=Y","Sort=A","Dates=H","DateFormat=P","Fill=—","Direction=H","UseDPDF=Y")</f>
        <v>#NAME?</v>
      </c>
      <c r="CH306" s="1" t="e">
        <f ca="1">_xll.BDH($C$303,"LT_DEBT_TO_TOT_EQY","FQ3 2014","FQ3 2014","Currency=INR","Period=FQ","BEST_FPERIOD_OVERRIDE=FQ","FILING_STATUS=OR","EQY_CONSOLIDATED=Y","Sort=A","Dates=H","DateFormat=P","Fill=—","Direction=H","UseDPDF=Y")</f>
        <v>#NAME?</v>
      </c>
      <c r="CI306" s="1" t="e">
        <f ca="1">_xll.BDH($C$303,"LT_DEBT_TO_TOT_CAP","FQ3 2014","FQ3 2014","Currency=INR","Period=FQ","BEST_FPERIOD_OVERRIDE=FQ","FILING_STATUS=OR","EQY_CONSOLIDATED=Y","Sort=A","Dates=H","DateFormat=P","Fill=—","Direction=H","UseDPDF=Y")</f>
        <v>#NAME?</v>
      </c>
      <c r="CJ306" s="1" t="e">
        <f ca="1">_xll.BDH($C$303,"LT_DEBT_TO_TOT_ASSET","FQ3 2014","FQ3 2014","Currency=INR","Period=FQ","BEST_FPERIOD_OVERRIDE=FQ","FILING_STATUS=OR","EQY_CONSOLIDATED=Y","Sort=A","Dates=H","DateFormat=P","Fill=—","Direction=H","UseDPDF=Y")</f>
        <v>#NAME?</v>
      </c>
      <c r="CK306" s="1" t="e">
        <f ca="1">_xll.BDH($C$303,"TOT_DEBT_TO_TOT_EQY","FQ3 2014","FQ3 2014","Currency=INR","Period=FQ","BEST_FPERIOD_OVERRIDE=FQ","FILING_STATUS=OR","EQY_CONSOLIDATED=Y","Sort=A","Dates=H","DateFormat=P","Fill=—","Direction=H","UseDPDF=Y")</f>
        <v>#NAME?</v>
      </c>
      <c r="CL306" s="1" t="e">
        <f ca="1">_xll.BDH($C$303,"TOT_DEBT_TO_TOT_CAP","FQ3 2014","FQ3 2014","Currency=INR","Period=FQ","BEST_FPERIOD_OVERRIDE=FQ","FILING_STATUS=OR","EQY_CONSOLIDATED=Y","Sort=A","Dates=H","DateFormat=P","Fill=—","Direction=H","UseDPDF=Y")</f>
        <v>#NAME?</v>
      </c>
      <c r="CM306" s="1" t="e">
        <f ca="1">_xll.BDH($C$303,"TOT_DEBT_TO_TOT_ASSET","FQ3 2014","FQ3 2014","Currency=INR","Period=FQ","BEST_FPERIOD_OVERRIDE=FQ","FILING_STATUS=OR","EQY_CONSOLIDATED=Y","Sort=A","Dates=H","DateFormat=P","Fill=—","Direction=H","UseDPDF=Y")</f>
        <v>#NAME?</v>
      </c>
      <c r="CN306" s="1" t="e">
        <f ca="1">_xll.BDH($C$303,"NET_DEBT_TO_SHRHLDR_EQTY","FQ3 2014","FQ3 2014","Currency=INR","Period=FQ","BEST_FPERIOD_OVERRIDE=FQ","FILING_STATUS=OR","EQY_CONSOLIDATED=Y","Sort=A","Dates=H","DateFormat=P","Fill=—","Direction=H","UseDPDF=Y")</f>
        <v>#NAME?</v>
      </c>
      <c r="CO306" s="1" t="e">
        <f ca="1">_xll.BDH($C$303,"NET_DEBT_%_CAPITAL","FQ3 2014","FQ3 2014","Currency=INR","Period=FQ","BEST_FPERIOD_OVERRIDE=FQ","FILING_STATUS=OR","EQY_CONSOLIDATED=Y","Sort=A","Dates=H","DateFormat=P","Fill=—","Direction=H","UseDPDF=Y")</f>
        <v>#NAME?</v>
      </c>
      <c r="CP306" s="2" t="e">
        <f ca="1">_xll.BDH($C$303,"EBITDA","FQ3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06" s="2" t="e">
        <f ca="1">_xll.BDH($C$303,"EBITDA_AFTER_CAPEX","FQ3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06" s="2" t="e">
        <f ca="1">_xll.BDH($C$303,"IS_OPER_INC","FQ3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06" s="1" t="e">
        <f ca="1">_xll.BDH($C$303,"CASH_RATIO","FQ3 2014","FQ3 2014","Currency=INR","Period=FQ","BEST_FPERIOD_OVERRIDE=FQ","FILING_STATUS=OR","EQY_CONSOLIDATED=Y","Sort=A","Dates=H","DateFormat=P","Fill=—","Direction=H","UseDPDF=Y")</f>
        <v>#NAME?</v>
      </c>
      <c r="CT306" s="1" t="e">
        <f ca="1">_xll.BDH($C$303,"CUR_RATIO","FQ3 2014","FQ3 2014","Currency=INR","Period=FQ","BEST_FPERIOD_OVERRIDE=FQ","FILING_STATUS=OR","EQY_CONSOLIDATED=Y","Sort=A","Dates=H","DateFormat=P","Fill=—","Direction=H","UseDPDF=Y")</f>
        <v>#NAME?</v>
      </c>
      <c r="CU306" s="1" t="e">
        <f ca="1">_xll.BDH($C$303,"QUICK_RATIO","FQ3 2014","FQ3 2014","Currency=INR","Period=FQ","BEST_FPERIOD_OVERRIDE=FQ","FILING_STATUS=OR","EQY_CONSOLIDATED=Y","Sort=A","Dates=H","DateFormat=P","Fill=—","Direction=H","UseDPDF=Y")</f>
        <v>#NAME?</v>
      </c>
      <c r="CV306" s="1" t="e">
        <f ca="1">_xll.BDH($C$303,"ALTMAN_Z_SCORE","FQ3 2014","FQ3 2014","Currency=INR","Period=FQ","BEST_FPERIOD_OVERRIDE=FQ","FILING_STATUS=OR","EQY_CONSOLIDATED=Y","Sort=A","Dates=H","DateFormat=P","Fill=—","Direction=H","UseDPDF=Y")</f>
        <v>#NAME?</v>
      </c>
      <c r="CW306" s="3" t="e">
        <f ca="1">_xll.BDH($C$303,"ACCT_RCV_TURN","FQ3 2014","FQ3 2014","Currency=INR","Period=FQ","BEST_FPERIOD_OVERRIDE=FQ","FILING_STATUS=OR","EQY_CONSOLIDATED=Y","FA_ADJUSTED=GAAP","Sort=A","Dates=H","DateFormat=P","Fill=—","Direction=H","UseDPDF=Y")</f>
        <v>#NAME?</v>
      </c>
      <c r="CX306" s="1" t="e">
        <f ca="1">_xll.BDH($C$303,"ACCT_RCV_DAYS","FQ3 2014","FQ3 2014","Currency=INR","Period=FQ","BEST_FPERIOD_OVERRIDE=FQ","FILING_STATUS=OR","EQY_CONSOLIDATED=Y","FA_ADJUSTED=GAAP","Sort=A","Dates=H","DateFormat=P","Fill=—","Direction=H","UseDPDF=Y")</f>
        <v>#NAME?</v>
      </c>
      <c r="CY306" s="3" t="e">
        <f ca="1">_xll.BDH($C$303,"INVENT_TURN","FQ3 2014","FQ3 2014","Currency=INR","Period=FQ","BEST_FPERIOD_OVERRIDE=FQ","FILING_STATUS=OR","EQY_CONSOLIDATED=Y","FA_ADJUSTED=GAAP","Sort=A","Dates=H","DateFormat=P","Fill=—","Direction=H","UseDPDF=Y")</f>
        <v>#NAME?</v>
      </c>
      <c r="CZ306" s="1" t="e">
        <f ca="1">_xll.BDH($C$303,"INVENT_DAYS","FQ3 2014","FQ3 2014","Currency=INR","Period=FQ","BEST_FPERIOD_OVERRIDE=FQ","FILING_STATUS=OR","EQY_CONSOLIDATED=Y","FA_ADJUSTED=GAAP","Sort=A","Dates=H","DateFormat=P","Fill=—","Direction=H","UseDPDF=Y")</f>
        <v>#NAME?</v>
      </c>
      <c r="DA306" s="3" t="e">
        <f ca="1">_xll.BDH($C$303,"ACCOUNTS_PAYABLE_TURNOVER","FQ3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06" s="1" t="e">
        <f ca="1">_xll.BDH($C$303,"ACCOUNTS_PAYABLE_TURNOVER_DAYS","FQ3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06" s="3" t="e">
        <f ca="1">_xll.BDH($C$303,"CASH_CONVERSION_CYCLE","FQ3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06" s="3" t="e">
        <f ca="1">_xll.BDH($C$303,"INV_TO_CASH_DAYS","FQ3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306" s="4" t="e">
        <f ca="1">_xll.BDH($C$303,"BS_INVENTORIES","FQ3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306" s="2" t="e">
        <f ca="1">_xll.BDH($C$303,"INVTRY_RAW_MATERIALS","FQ3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06" s="2" t="e">
        <f ca="1">_xll.BDH($C$303,"INVTRY_IN_PROGRESS","FQ3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06" s="2" t="e">
        <f ca="1">_xll.BDH($C$303,"INVTRY_FINISHED_GOODS","FQ3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06" s="2" t="e">
        <f ca="1">_xll.BDH($C$303,"BS_OTHER_INV","FQ3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07" spans="1:113" x14ac:dyDescent="0.3">
      <c r="A307" s="6"/>
      <c r="B307" s="6"/>
      <c r="C307" s="6"/>
      <c r="D307" s="6"/>
      <c r="E307" t="s">
        <v>7</v>
      </c>
      <c r="F307" t="e">
        <f ca="1">_xll.BDH($C$303,"RETURN_COM_EQY","FQ4 2014","FQ4 2014","Currency=INR","Period=FQ","BEST_FPERIOD_OVERRIDE=FQ","FILING_STATUS=OR","EQY_CONSOLIDATED=Y","FA_ADJUSTED=GAAP","Sort=A","Dates=H","DateFormat=P","Fill=—","Direction=H","UseDPDF=Y")</f>
        <v>#NAME?</v>
      </c>
      <c r="G307" t="e">
        <f ca="1">_xll.BDH($C$303,"RETURN_ON_ASSET","FQ4 2014","FQ4 2014","Currency=INR","Period=FQ","BEST_FPERIOD_OVERRIDE=FQ","FILING_STATUS=OR","EQY_CONSOLIDATED=Y","FA_ADJUSTED=GAAP","Sort=A","Dates=H","DateFormat=P","Fill=—","Direction=H","UseDPDF=Y")</f>
        <v>#NAME?</v>
      </c>
      <c r="H307" t="e">
        <f ca="1">_xll.BDH($C$303,"RETURN_ON_CAP","FQ4 2014","FQ4 2014","Currency=INR","Period=FQ","BEST_FPERIOD_OVERRIDE=FQ","FILING_STATUS=OR","EQY_CONSOLIDATED=Y","FA_ADJUSTED=GAAP","Sort=A","Dates=H","DateFormat=P","Fill=—","Direction=H","UseDPDF=Y")</f>
        <v>#NAME?</v>
      </c>
      <c r="I307" t="e">
        <f ca="1">_xll.BDH($C$303,"RETURN_ON_INV_CAPITAL","FQ4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07" t="e">
        <f ca="1">_xll.BDH($C$303,"EBITDA_TO_REVENUE","FQ4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307" t="e">
        <f ca="1">_xll.BDH($C$303,"OPER_MARGIN","FQ4 2014","FQ4 2014","Currency=INR","Period=FQ","BEST_FPERIOD_OVERRIDE=FQ","FILING_STATUS=OR","EQY_CONSOLIDATED=Y","FA_ADJUSTED=GAAP","Sort=A","Dates=H","DateFormat=P","Fill=—","Direction=H","UseDPDF=Y")</f>
        <v>#NAME?</v>
      </c>
      <c r="L307" t="e">
        <f ca="1">_xll.BDH($C$303,"INCREMENTAL_OPERATING_MARGIN","FQ4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07" t="e">
        <f ca="1">_xll.BDH($C$303,"PRETAX_INC_TO_NET_SALES","FQ4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07" t="e">
        <f ca="1">_xll.BDH($C$303,"INC_BEF_XO_ITEMS_TO_NET_SALES","FQ4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07" t="e">
        <f ca="1">_xll.BDH($C$303,"PROF_MARGIN","FQ4 2014","FQ4 2014","Currency=INR","Period=FQ","BEST_FPERIOD_OVERRIDE=FQ","FILING_STATUS=OR","EQY_CONSOLIDATED=Y","FA_ADJUSTED=GAAP","Sort=A","Dates=H","DateFormat=P","Fill=—","Direction=H","UseDPDF=Y")</f>
        <v>#NAME?</v>
      </c>
      <c r="P307" t="e">
        <f ca="1">_xll.BDH($C$303,"NET_INCOME_TO_COMMON_MARGIN","FQ4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07" t="e">
        <f ca="1">_xll.BDH($C$303,"EFF_TAX_RATE","FQ4 2014","FQ4 2014","Currency=INR","Period=FQ","BEST_FPERIOD_OVERRIDE=FQ","FILING_STATUS=OR","EQY_CONSOLIDATED=Y","FA_ADJUSTED=GAAP","Sort=A","Dates=H","DateFormat=P","Fill=—","Direction=H","UseDPDF=Y")</f>
        <v>#NAME?</v>
      </c>
      <c r="R307" t="e">
        <f ca="1">_xll.BDH($C$303,"DVD_PAYOUT_RATIO","FQ4 2014","FQ4 2014","Currency=INR","Period=FQ","BEST_FPERIOD_OVERRIDE=FQ","FILING_STATUS=OR","EQY_CONSOLIDATED=Y","FA_ADJUSTED=GAAP","Sort=A","Dates=H","DateFormat=P","Fill=—","Direction=H","UseDPDF=Y")</f>
        <v>#NAME?</v>
      </c>
      <c r="S307" t="e">
        <f ca="1">_xll.BDH($C$303,"SUSTAIN_GROWTH_RT","FQ4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307" s="1" t="e">
        <f ca="1">_xll.BDH($C$303,"SALES_GROWTH","FQ4 2014","FQ4 2014","Currency=INR","Period=FQ","BEST_FPERIOD_OVERRIDE=FQ","FILING_STATUS=OR","EQY_CONSOLIDATED=Y","FA_ADJUSTED=GAAP","Sort=A","Dates=H","DateFormat=P","Fill=—","Direction=H","UseDPDF=Y")</f>
        <v>#NAME?</v>
      </c>
      <c r="U307" s="1" t="e">
        <f ca="1">_xll.BDH($C$303,"EBITDA_GROWTH","FQ4 2014","FQ4 2014","Currency=INR","Period=FQ","BEST_FPERIOD_OVERRIDE=FQ","FILING_STATUS=OR","EQY_CONSOLIDATED=Y","FA_ADJUSTED=GAAP","Sort=A","Dates=H","DateFormat=P","Fill=—","Direction=H","UseDPDF=Y")</f>
        <v>#NAME?</v>
      </c>
      <c r="V307" s="1" t="e">
        <f ca="1">_xll.BDH($C$303,"OPER_INC_GROWTH","FQ4 2014","FQ4 2014","Currency=INR","Period=FQ","BEST_FPERIOD_OVERRIDE=FQ","FILING_STATUS=OR","EQY_CONSOLIDATED=Y","FA_ADJUSTED=GAAP","Sort=A","Dates=H","DateFormat=P","Fill=—","Direction=H","UseDPDF=Y")</f>
        <v>#NAME?</v>
      </c>
      <c r="W307" s="1" t="e">
        <f ca="1">_xll.BDH($C$303,"EARN_FOR_COM_GROWTH","FQ4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07" s="1" t="e">
        <f ca="1">_xll.BDH($C$303,"DILUTED_EPS_AFT_XO_ITEMS_GROWTH","FQ4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07" s="1" t="e">
        <f ca="1">_xll.BDH($C$303,"DIVIDEND_PER_SHARE_1_YEAR_GROWTH","FQ4 2014","FQ4 2014","Currency=INR","Period=FQ","BEST_FPERIOD_OVERRIDE=FQ","FILING_STATUS=OR","EQY_CONSOLIDATED=Y","Sort=A","Dates=H","DateFormat=P","Fill=—","Direction=H","UseDPDF=Y")</f>
        <v>#NAME?</v>
      </c>
      <c r="Z307" s="1" t="e">
        <f ca="1">_xll.BDH($C$303,"ACCOUNTS_RECEIVABLE_GROWTH","FQ4 2014","FQ4 2014","Currency=INR","Period=FQ","BEST_FPERIOD_OVERRIDE=FQ","FILING_STATUS=OR","EQY_CONSOLIDATED=Y","Sort=A","Dates=H","DateFormat=P","Fill=—","Direction=H","UseDPDF=Y")</f>
        <v>#NAME?</v>
      </c>
      <c r="AA307" s="1" t="e">
        <f ca="1">_xll.BDH($C$303,"INVENTORY_GROWTH","FQ4 2014","FQ4 2014","Currency=INR","Period=FQ","BEST_FPERIOD_OVERRIDE=FQ","FILING_STATUS=OR","EQY_CONSOLIDATED=Y","Sort=A","Dates=H","DateFormat=P","Fill=—","Direction=H","UseDPDF=Y")</f>
        <v>#NAME?</v>
      </c>
      <c r="AB307" s="1" t="e">
        <f ca="1">_xll.BDH($C$303,"NET_FIXED_ASSETS_1_YEAR_GROWTH","FQ4 2014","FQ4 2014","Currency=INR","Period=FQ","BEST_FPERIOD_OVERRIDE=FQ","FILING_STATUS=OR","EQY_CONSOLIDATED=Y","Sort=A","Dates=H","DateFormat=P","Fill=—","Direction=H","UseDPDF=Y")</f>
        <v>#NAME?</v>
      </c>
      <c r="AC307" s="1" t="e">
        <f ca="1">_xll.BDH($C$303,"ASSET_GROWTH","FQ4 2014","FQ4 2014","Currency=INR","Period=FQ","BEST_FPERIOD_OVERRIDE=FQ","FILING_STATUS=OR","EQY_CONSOLIDATED=Y","Sort=A","Dates=H","DateFormat=P","Fill=—","Direction=H","UseDPDF=Y")</f>
        <v>#NAME?</v>
      </c>
      <c r="AD307" s="1" t="e">
        <f ca="1">_xll.BDH($C$303,"MODIFIED_WORK_CAP_GROWTH","FQ4 2014","FQ4 2014","Currency=INR","Period=FQ","BEST_FPERIOD_OVERRIDE=FQ","FILING_STATUS=OR","EQY_CONSOLIDATED=Y","Sort=A","Dates=H","DateFormat=P","Fill=—","Direction=H","UseDPDF=Y")</f>
        <v>#NAME?</v>
      </c>
      <c r="AE307" s="1" t="e">
        <f ca="1">_xll.BDH($C$303,"WORK_CAP_GROWTH","FQ4 2014","FQ4 2014","Currency=INR","Period=FQ","BEST_FPERIOD_OVERRIDE=FQ","FILING_STATUS=OR","EQY_CONSOLIDATED=Y","Sort=A","Dates=H","DateFormat=P","Fill=—","Direction=H","UseDPDF=Y")</f>
        <v>#NAME?</v>
      </c>
      <c r="AF307" s="1" t="e">
        <f ca="1">_xll.BDH($C$303,"ACCOUNTS_PAYABLE_GROWTH_1YR","FQ4 2014","FQ4 2014","Currency=INR","Period=FQ","BEST_FPERIOD_OVERRIDE=FQ","FILING_STATUS=OR","EQY_CONSOLIDATED=Y","Sort=A","Dates=H","DateFormat=P","Fill=—","Direction=H","UseDPDF=Y")</f>
        <v>#NAME?</v>
      </c>
      <c r="AG307" s="1" t="e">
        <f ca="1">_xll.BDH($C$303,"SHORT_TERM_DEBT_1_YEAR_GROWTH","FQ4 2014","FQ4 2014","Currency=INR","Period=FQ","BEST_FPERIOD_OVERRIDE=FQ","FILING_STATUS=OR","EQY_CONSOLIDATED=Y","Sort=A","Dates=H","DateFormat=P","Fill=—","Direction=H","UseDPDF=Y")</f>
        <v>#NAME?</v>
      </c>
      <c r="AH307" s="1" t="e">
        <f ca="1">_xll.BDH($C$303,"TOTAL_DEBT_1_YEAR_GROWTH","FQ4 2014","FQ4 2014","Currency=INR","Period=FQ","BEST_FPERIOD_OVERRIDE=FQ","FILING_STATUS=OR","EQY_CONSOLIDATED=Y","Sort=A","Dates=H","DateFormat=P","Fill=—","Direction=H","UseDPDF=Y")</f>
        <v>#NAME?</v>
      </c>
      <c r="AI307" s="1" t="e">
        <f ca="1">_xll.BDH($C$303,"TOTAL_EQUITY_1_YEAR_GROWTH","FQ4 2014","FQ4 2014","Currency=INR","Period=FQ","BEST_FPERIOD_OVERRIDE=FQ","FILING_STATUS=OR","EQY_CONSOLIDATED=Y","Sort=A","Dates=H","DateFormat=P","Fill=—","Direction=H","UseDPDF=Y")</f>
        <v>#NAME?</v>
      </c>
      <c r="AJ307" s="1" t="e">
        <f ca="1">_xll.BDH($C$303,"GROWTH_IN_CAP","FQ4 2014","FQ4 2014","Currency=INR","Period=FQ","BEST_FPERIOD_OVERRIDE=FQ","FILING_STATUS=OR","EQY_CONSOLIDATED=Y","Sort=A","Dates=H","DateFormat=P","Fill=—","Direction=H","UseDPDF=Y")</f>
        <v>#NAME?</v>
      </c>
      <c r="AK307" s="1" t="e">
        <f ca="1">_xll.BDH($C$303,"BVPS_GROWTH","FQ4 2014","FQ4 2014","Currency=INR","Period=FQ","BEST_FPERIOD_OVERRIDE=FQ","FILING_STATUS=OR","EQY_CONSOLIDATED=Y","Sort=A","Dates=H","DateFormat=P","Fill=—","Direction=H","UseDPDF=Y")</f>
        <v>#NAME?</v>
      </c>
      <c r="AL307" s="1" t="e">
        <f ca="1">_xll.BDH($C$303,"CASH_FLOW_GROWTH","FQ4 2014","FQ4 2014","Currency=INR","Period=FQ","BEST_FPERIOD_OVERRIDE=FQ","FILING_STATUS=OR","EQY_CONSOLIDATED=Y","Sort=A","Dates=H","DateFormat=P","Fill=—","Direction=H","UseDPDF=Y")</f>
        <v>#NAME?</v>
      </c>
      <c r="AM307" s="1" t="e">
        <f ca="1">_xll.BDH($C$303,"GEO_GROW_NET_SALES","FQ4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07" s="1" t="e">
        <f ca="1">_xll.BDH($C$303,"GEO_GROW_EBITDA","FQ4 2014","FQ4 2014","Currency=INR","Period=FQ","BEST_FPERIOD_OVERRIDE=FQ","FILING_STATUS=OR","EQY_CONSOLIDATED=Y","FA_ADJUSTED=GAAP","Sort=A","Dates=H","DateFormat=P","Fill=—","Direction=H","UseDPDF=Y")</f>
        <v>#NAME?</v>
      </c>
      <c r="AO307" s="1" t="e">
        <f ca="1">_xll.BDH($C$303,"GEO_GROW_OPER_INC","FQ4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07" s="1" t="e">
        <f ca="1">_xll.BDH($C$303,"NET_INCOME_TO_COMMON_5_YR_GROWTH","FQ4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07" s="1" t="e">
        <f ca="1">_xll.BDH($C$303,"5Y_GEO_GROWTH_DILUTED_EPS","FQ4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07" s="1" t="e">
        <f ca="1">_xll.BDH($C$303,"GEO_GROW_DVD_PER_SH","FQ4 2014","FQ4 2014","Currency=INR","Period=FQ","BEST_FPERIOD_OVERRIDE=FQ","FILING_STATUS=OR","EQY_CONSOLIDATED=Y","Sort=A","Dates=H","DateFormat=P","Fill=—","Direction=H","UseDPDF=Y")</f>
        <v>#NAME?</v>
      </c>
      <c r="AS307" s="1" t="e">
        <f ca="1">_xll.BDH($C$303,"ACCOUNTS_RECEIVABLE_5_YR_GROWTH","FQ4 2014","FQ4 2014","Currency=INR","Period=FQ","BEST_FPERIOD_OVERRIDE=FQ","FILING_STATUS=OR","EQY_CONSOLIDATED=Y","Sort=A","Dates=H","DateFormat=P","Fill=—","Direction=H","UseDPDF=Y")</f>
        <v>#NAME?</v>
      </c>
      <c r="AT307" s="1" t="e">
        <f ca="1">_xll.BDH($C$303,"INVENTORY_5_YEAR_GROWTH","FQ4 2014","FQ4 2014","Currency=INR","Period=FQ","BEST_FPERIOD_OVERRIDE=FQ","FILING_STATUS=OR","EQY_CONSOLIDATED=Y","Sort=A","Dates=H","DateFormat=P","Fill=—","Direction=H","UseDPDF=Y")</f>
        <v>#NAME?</v>
      </c>
      <c r="AU307" s="1" t="e">
        <f ca="1">_xll.BDH($C$303,"NET_FIXED_ASSETS_5_YEAR_GROWTH","FQ4 2014","FQ4 2014","Currency=INR","Period=FQ","BEST_FPERIOD_OVERRIDE=FQ","FILING_STATUS=OR","EQY_CONSOLIDATED=Y","Sort=A","Dates=H","DateFormat=P","Fill=—","Direction=H","UseDPDF=Y")</f>
        <v>#NAME?</v>
      </c>
      <c r="AV307" s="1" t="e">
        <f ca="1">_xll.BDH($C$303,"GEO_GROW_TOT_ASSET","FQ4 2014","FQ4 2014","Currency=INR","Period=FQ","BEST_FPERIOD_OVERRIDE=FQ","FILING_STATUS=OR","EQY_CONSOLIDATED=Y","Sort=A","Dates=H","DateFormat=P","Fill=—","Direction=H","UseDPDF=Y")</f>
        <v>#NAME?</v>
      </c>
      <c r="AW307" s="1" t="e">
        <f ca="1">_xll.BDH($C$303,"MODIFIED_WORKING_CPTL_5YR_GRWTH","FQ4 2014","FQ4 2014","Currency=INR","Period=FQ","BEST_FPERIOD_OVERRIDE=FQ","FILING_STATUS=OR","EQY_CONSOLIDATED=Y","Sort=A","Dates=H","DateFormat=P","Fill=—","Direction=H","UseDPDF=Y")</f>
        <v>#NAME?</v>
      </c>
      <c r="AX307" s="1" t="e">
        <f ca="1">_xll.BDH($C$303,"WORKING_CAPITAL_5_YEAR_GROWTH","FQ4 2014","FQ4 2014","Currency=INR","Period=FQ","BEST_FPERIOD_OVERRIDE=FQ","FILING_STATUS=OR","EQY_CONSOLIDATED=Y","Sort=A","Dates=H","DateFormat=P","Fill=—","Direction=H","UseDPDF=Y")</f>
        <v>#NAME?</v>
      </c>
      <c r="AY307" s="1" t="e">
        <f ca="1">_xll.BDH($C$303,"ACCOUNTS_PAYABLE_5_YEAR_GROWTH","FQ4 2014","FQ4 2014","Currency=INR","Period=FQ","BEST_FPERIOD_OVERRIDE=FQ","FILING_STATUS=OR","EQY_CONSOLIDATED=Y","Sort=A","Dates=H","DateFormat=P","Fill=—","Direction=H","UseDPDF=Y")</f>
        <v>#NAME?</v>
      </c>
      <c r="AZ307" s="1" t="e">
        <f ca="1">_xll.BDH($C$303,"SHORT_TERM_DEBT_5_YEAR_GROWTH","FQ4 2014","FQ4 2014","Currency=INR","Period=FQ","BEST_FPERIOD_OVERRIDE=FQ","FILING_STATUS=OR","EQY_CONSOLIDATED=Y","Sort=A","Dates=H","DateFormat=P","Fill=—","Direction=H","UseDPDF=Y")</f>
        <v>#NAME?</v>
      </c>
      <c r="BA307" s="1" t="e">
        <f ca="1">_xll.BDH($C$303,"TOTAL_DEBT_5_YEAR_GROWTH","FQ4 2014","FQ4 2014","Currency=INR","Period=FQ","BEST_FPERIOD_OVERRIDE=FQ","FILING_STATUS=OR","EQY_CONSOLIDATED=Y","Sort=A","Dates=H","DateFormat=P","Fill=—","Direction=H","UseDPDF=Y")</f>
        <v>#NAME?</v>
      </c>
      <c r="BB307" s="1" t="e">
        <f ca="1">_xll.BDH($C$303,"GEO_GROW_TOT_SHRHLDR_EQY","FQ4 2014","FQ4 2014","Currency=INR","Period=FQ","BEST_FPERIOD_OVERRIDE=FQ","FILING_STATUS=OR","EQY_CONSOLIDATED=Y","Sort=A","Dates=H","DateFormat=P","Fill=—","Direction=H","UseDPDF=Y")</f>
        <v>#NAME?</v>
      </c>
      <c r="BC307" s="1" t="e">
        <f ca="1">_xll.BDH($C$303,"TOTAL_CAPITAL_5_YEAR_GROWTH","FQ4 2014","FQ4 2014","Currency=INR","Period=FQ","BEST_FPERIOD_OVERRIDE=FQ","FILING_STATUS=OR","EQY_CONSOLIDATED=Y","Sort=A","Dates=H","DateFormat=P","Fill=—","Direction=H","UseDPDF=Y")</f>
        <v>#NAME?</v>
      </c>
      <c r="BD307" s="1" t="e">
        <f ca="1">_xll.BDH($C$303,"GEO_GROW_BOOK_VAL","FQ4 2014","FQ4 2014","Currency=INR","Period=FQ","BEST_FPERIOD_OVERRIDE=FQ","FILING_STATUS=OR","EQY_CONSOLIDATED=Y","Sort=A","Dates=H","DateFormat=P","Fill=—","Direction=H","UseDPDF=Y")</f>
        <v>#NAME?</v>
      </c>
      <c r="BE307" s="1" t="e">
        <f ca="1">_xll.BDH($C$303,"GEO_GROW_CASH_OPER_ACT","FQ4 2014","FQ4 2014","Currency=INR","Period=FQ","BEST_FPERIOD_OVERRIDE=FQ","FILING_STATUS=OR","EQY_CONSOLIDATED=Y","Sort=A","Dates=H","DateFormat=P","Fill=—","Direction=H","UseDPDF=Y")</f>
        <v>#NAME?</v>
      </c>
      <c r="BF307" s="1" t="e">
        <f ca="1">_xll.BDH($C$303,"REVENUE_SEQUENTIAL_GROWTH","FQ4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07" s="1" t="e">
        <f ca="1">_xll.BDH($C$303,"EBITDA_SEQUENTIAL_GROWTH","FQ4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07" s="1" t="e">
        <f ca="1">_xll.BDH($C$303,"OPERATING_INCOME_SEQ_GROWTH","FQ4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07" s="1" t="e">
        <f ca="1">_xll.BDH($C$303,"NET_INCOME_TO_COMMON_SEQ_GROWTH","FQ4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07" s="1" t="e">
        <f ca="1">_xll.BDH($C$303,"EPS_DILUTED_SEQUENTIAL_GROWTH","FQ4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07" s="1" t="e">
        <f ca="1">_xll.BDH($C$303,"DPS_SEQUENTIAL_GROWTH","FQ4 2014","FQ4 2014","Currency=INR","Period=FQ","BEST_FPERIOD_OVERRIDE=FQ","FILING_STATUS=OR","EQY_CONSOLIDATED=Y","Sort=A","Dates=H","DateFormat=P","Fill=—","Direction=H","UseDPDF=Y")</f>
        <v>#NAME?</v>
      </c>
      <c r="BL307" s="1" t="e">
        <f ca="1">_xll.BDH($C$303,"ACCOUNTS_RECEIVABLE_SEQ_GROWTH","FQ4 2014","FQ4 2014","Currency=INR","Period=FQ","BEST_FPERIOD_OVERRIDE=FQ","FILING_STATUS=OR","EQY_CONSOLIDATED=Y","Sort=A","Dates=H","DateFormat=P","Fill=—","Direction=H","UseDPDF=Y")</f>
        <v>#NAME?</v>
      </c>
      <c r="BM307" s="1" t="e">
        <f ca="1">_xll.BDH($C$303,"INVENTORY_SEQUENTIAL_GROWTH","FQ4 2014","FQ4 2014","Currency=INR","Period=FQ","BEST_FPERIOD_OVERRIDE=FQ","FILING_STATUS=OR","EQY_CONSOLIDATED=Y","Sort=A","Dates=H","DateFormat=P","Fill=—","Direction=H","UseDPDF=Y")</f>
        <v>#NAME?</v>
      </c>
      <c r="BN307" s="1" t="e">
        <f ca="1">_xll.BDH($C$303,"FIXED_ASSETS_SEQUENTIAL_GROWTH","FQ4 2014","FQ4 2014","Currency=INR","Period=FQ","BEST_FPERIOD_OVERRIDE=FQ","FILING_STATUS=OR","EQY_CONSOLIDATED=Y","Sort=A","Dates=H","DateFormat=P","Fill=—","Direction=H","UseDPDF=Y")</f>
        <v>#NAME?</v>
      </c>
      <c r="BO307" s="1" t="e">
        <f ca="1">_xll.BDH($C$303,"TOTAL_ASSETS_SEQUENTIAL_GROWTH","FQ4 2014","FQ4 2014","Currency=INR","Period=FQ","BEST_FPERIOD_OVERRIDE=FQ","FILING_STATUS=OR","EQY_CONSOLIDATED=Y","Sort=A","Dates=H","DateFormat=P","Fill=—","Direction=H","UseDPDF=Y")</f>
        <v>#NAME?</v>
      </c>
      <c r="BP307" s="1" t="e">
        <f ca="1">_xll.BDH($C$303,"MODIFIED_WORKING_CPTL_SEQ_GRWTH","FQ4 2014","FQ4 2014","Currency=INR","Period=FQ","BEST_FPERIOD_OVERRIDE=FQ","FILING_STATUS=OR","EQY_CONSOLIDATED=Y","Sort=A","Dates=H","DateFormat=P","Fill=—","Direction=H","UseDPDF=Y")</f>
        <v>#NAME?</v>
      </c>
      <c r="BQ307" s="1" t="e">
        <f ca="1">_xll.BDH($C$303,"WORKING_CAPITAL_SEQ_GROWTH","FQ4 2014","FQ4 2014","Currency=INR","Period=FQ","BEST_FPERIOD_OVERRIDE=FQ","FILING_STATUS=OR","EQY_CONSOLIDATED=Y","Sort=A","Dates=H","DateFormat=P","Fill=—","Direction=H","UseDPDF=Y")</f>
        <v>#NAME?</v>
      </c>
      <c r="BR307" s="1" t="e">
        <f ca="1">_xll.BDH($C$303,"ACCOUNTS_PAYABLE_SEQ_GROWTH","FQ4 2014","FQ4 2014","Currency=INR","Period=FQ","BEST_FPERIOD_OVERRIDE=FQ","FILING_STATUS=OR","EQY_CONSOLIDATED=Y","Sort=A","Dates=H","DateFormat=P","Fill=—","Direction=H","UseDPDF=Y")</f>
        <v>#NAME?</v>
      </c>
      <c r="BS307" s="1" t="e">
        <f ca="1">_xll.BDH($C$303,"ST_DEBT_SEQUENTIAL_GROWTH","FQ4 2014","FQ4 2014","Currency=INR","Period=FQ","BEST_FPERIOD_OVERRIDE=FQ","FILING_STATUS=OR","EQY_CONSOLIDATED=Y","Sort=A","Dates=H","DateFormat=P","Fill=—","Direction=H","UseDPDF=Y")</f>
        <v>#NAME?</v>
      </c>
      <c r="BT307" s="1" t="e">
        <f ca="1">_xll.BDH($C$303,"TOTAL_DEBT_SEQUENTIAL_GROWTH","FQ4 2014","FQ4 2014","Currency=INR","Period=FQ","BEST_FPERIOD_OVERRIDE=FQ","FILING_STATUS=OR","EQY_CONSOLIDATED=Y","Sort=A","Dates=H","DateFormat=P","Fill=—","Direction=H","UseDPDF=Y")</f>
        <v>#NAME?</v>
      </c>
      <c r="BU307" s="1" t="e">
        <f ca="1">_xll.BDH($C$303,"TOTAL_EQUITY_SEQUENTIAL_GROWTH","FQ4 2014","FQ4 2014","Currency=INR","Period=FQ","BEST_FPERIOD_OVERRIDE=FQ","FILING_STATUS=OR","EQY_CONSOLIDATED=Y","Sort=A","Dates=H","DateFormat=P","Fill=—","Direction=H","UseDPDF=Y")</f>
        <v>#NAME?</v>
      </c>
      <c r="BV307" s="1" t="e">
        <f ca="1">_xll.BDH($C$303,"TOTAL_CAPITAL_SEQUENTIAL_GROWTH","FQ4 2014","FQ4 2014","Currency=INR","Period=FQ","BEST_FPERIOD_OVERRIDE=FQ","FILING_STATUS=OR","EQY_CONSOLIDATED=Y","Sort=A","Dates=H","DateFormat=P","Fill=—","Direction=H","UseDPDF=Y")</f>
        <v>#NAME?</v>
      </c>
      <c r="BW307" s="1" t="e">
        <f ca="1">_xll.BDH($C$303,"BPS_SEQUENTIAL_GROWTH","FQ4 2014","FQ4 2014","Currency=INR","Period=FQ","BEST_FPERIOD_OVERRIDE=FQ","FILING_STATUS=OR","EQY_CONSOLIDATED=Y","Sort=A","Dates=H","DateFormat=P","Fill=—","Direction=H","UseDPDF=Y")</f>
        <v>#NAME?</v>
      </c>
      <c r="BX307" s="1" t="e">
        <f ca="1">_xll.BDH($C$303,"CFO_SEQUENTIAL_GROWTH","FQ4 2014","FQ4 2014","Currency=INR","Period=FQ","BEST_FPERIOD_OVERRIDE=FQ","FILING_STATUS=OR","EQY_CONSOLIDATED=Y","Sort=A","Dates=H","DateFormat=P","Fill=—","Direction=H","UseDPDF=Y")</f>
        <v>#NAME?</v>
      </c>
      <c r="BY307" s="2" t="e">
        <f ca="1">_xll.BDH($C$303,"SHORT_AND_LONG_TERM_DEBT","FQ4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07" s="2" t="e">
        <f ca="1">_xll.BDH($C$303,"BS_ST_BORROW","FQ4 2014","FQ4 2014","Currency=INR","Period=FQ","BEST_FPERIOD_OVERRIDE=FQ","FILING_STATUS=OR","EQY_CONSOLIDATED=Y","SCALING_FORMAT=MLN","Sort=A","Dates=H","DateFormat=P","Fill=—","Direction=H","UseDPDF=Y")</f>
        <v>#NAME?</v>
      </c>
      <c r="CA307" s="2" t="e">
        <f ca="1">_xll.BDH($C$303,"BS_LT_BORROW","FQ4 2014","FQ4 2014","Currency=INR","Period=FQ","BEST_FPERIOD_OVERRIDE=FQ","FILING_STATUS=OR","EQY_CONSOLIDATED=Y","SCALING_FORMAT=MLN","Sort=A","Dates=H","DateFormat=P","Fill=—","Direction=H","UseDPDF=Y")</f>
        <v>#NAME?</v>
      </c>
      <c r="CB307" s="1" t="e">
        <f ca="1">_xll.BDH($C$303,"TOT_DEBT_TO_EBITDA","FQ4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07" s="1" t="e">
        <f ca="1">_xll.BDH($C$303,"NET_DEBT_TO_EBITDA","FQ4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07" s="1" t="e">
        <f ca="1">_xll.BDH($C$303,"TOTAL_DEBT_TO_EBIT","FQ4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07" s="1" t="e">
        <f ca="1">_xll.BDH($C$303,"NET_DEBT_TO_EBIT","FQ4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307" s="1" t="e">
        <f ca="1">_xll.BDH($C$303,"EBITDA_TO_INTEREST_EXPN","FQ4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07" s="1" t="e">
        <f ca="1">_xll.BDH($C$303,"COM_EQY_TO_TOT_ASSET","FQ4 2014","FQ4 2014","Currency=INR","Period=FQ","BEST_FPERIOD_OVERRIDE=FQ","FILING_STATUS=OR","EQY_CONSOLIDATED=Y","Sort=A","Dates=H","DateFormat=P","Fill=—","Direction=H","UseDPDF=Y")</f>
        <v>#NAME?</v>
      </c>
      <c r="CH307" s="1" t="e">
        <f ca="1">_xll.BDH($C$303,"LT_DEBT_TO_TOT_EQY","FQ4 2014","FQ4 2014","Currency=INR","Period=FQ","BEST_FPERIOD_OVERRIDE=FQ","FILING_STATUS=OR","EQY_CONSOLIDATED=Y","Sort=A","Dates=H","DateFormat=P","Fill=—","Direction=H","UseDPDF=Y")</f>
        <v>#NAME?</v>
      </c>
      <c r="CI307" s="1" t="e">
        <f ca="1">_xll.BDH($C$303,"LT_DEBT_TO_TOT_CAP","FQ4 2014","FQ4 2014","Currency=INR","Period=FQ","BEST_FPERIOD_OVERRIDE=FQ","FILING_STATUS=OR","EQY_CONSOLIDATED=Y","Sort=A","Dates=H","DateFormat=P","Fill=—","Direction=H","UseDPDF=Y")</f>
        <v>#NAME?</v>
      </c>
      <c r="CJ307" s="1" t="e">
        <f ca="1">_xll.BDH($C$303,"LT_DEBT_TO_TOT_ASSET","FQ4 2014","FQ4 2014","Currency=INR","Period=FQ","BEST_FPERIOD_OVERRIDE=FQ","FILING_STATUS=OR","EQY_CONSOLIDATED=Y","Sort=A","Dates=H","DateFormat=P","Fill=—","Direction=H","UseDPDF=Y")</f>
        <v>#NAME?</v>
      </c>
      <c r="CK307" s="1" t="e">
        <f ca="1">_xll.BDH($C$303,"TOT_DEBT_TO_TOT_EQY","FQ4 2014","FQ4 2014","Currency=INR","Period=FQ","BEST_FPERIOD_OVERRIDE=FQ","FILING_STATUS=OR","EQY_CONSOLIDATED=Y","Sort=A","Dates=H","DateFormat=P","Fill=—","Direction=H","UseDPDF=Y")</f>
        <v>#NAME?</v>
      </c>
      <c r="CL307" s="1" t="e">
        <f ca="1">_xll.BDH($C$303,"TOT_DEBT_TO_TOT_CAP","FQ4 2014","FQ4 2014","Currency=INR","Period=FQ","BEST_FPERIOD_OVERRIDE=FQ","FILING_STATUS=OR","EQY_CONSOLIDATED=Y","Sort=A","Dates=H","DateFormat=P","Fill=—","Direction=H","UseDPDF=Y")</f>
        <v>#NAME?</v>
      </c>
      <c r="CM307" s="1" t="e">
        <f ca="1">_xll.BDH($C$303,"TOT_DEBT_TO_TOT_ASSET","FQ4 2014","FQ4 2014","Currency=INR","Period=FQ","BEST_FPERIOD_OVERRIDE=FQ","FILING_STATUS=OR","EQY_CONSOLIDATED=Y","Sort=A","Dates=H","DateFormat=P","Fill=—","Direction=H","UseDPDF=Y")</f>
        <v>#NAME?</v>
      </c>
      <c r="CN307" s="1" t="e">
        <f ca="1">_xll.BDH($C$303,"NET_DEBT_TO_SHRHLDR_EQTY","FQ4 2014","FQ4 2014","Currency=INR","Period=FQ","BEST_FPERIOD_OVERRIDE=FQ","FILING_STATUS=OR","EQY_CONSOLIDATED=Y","Sort=A","Dates=H","DateFormat=P","Fill=—","Direction=H","UseDPDF=Y")</f>
        <v>#NAME?</v>
      </c>
      <c r="CO307" s="1" t="e">
        <f ca="1">_xll.BDH($C$303,"NET_DEBT_%_CAPITAL","FQ4 2014","FQ4 2014","Currency=INR","Period=FQ","BEST_FPERIOD_OVERRIDE=FQ","FILING_STATUS=OR","EQY_CONSOLIDATED=Y","Sort=A","Dates=H","DateFormat=P","Fill=—","Direction=H","UseDPDF=Y")</f>
        <v>#NAME?</v>
      </c>
      <c r="CP307" s="2" t="e">
        <f ca="1">_xll.BDH($C$303,"EBITDA","FQ4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07" s="2" t="e">
        <f ca="1">_xll.BDH($C$303,"EBITDA_AFTER_CAPEX","FQ4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07" s="2" t="e">
        <f ca="1">_xll.BDH($C$303,"IS_OPER_INC","FQ4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07" s="1" t="e">
        <f ca="1">_xll.BDH($C$303,"CASH_RATIO","FQ4 2014","FQ4 2014","Currency=INR","Period=FQ","BEST_FPERIOD_OVERRIDE=FQ","FILING_STATUS=OR","EQY_CONSOLIDATED=Y","Sort=A","Dates=H","DateFormat=P","Fill=—","Direction=H","UseDPDF=Y")</f>
        <v>#NAME?</v>
      </c>
      <c r="CT307" s="1" t="e">
        <f ca="1">_xll.BDH($C$303,"CUR_RATIO","FQ4 2014","FQ4 2014","Currency=INR","Period=FQ","BEST_FPERIOD_OVERRIDE=FQ","FILING_STATUS=OR","EQY_CONSOLIDATED=Y","Sort=A","Dates=H","DateFormat=P","Fill=—","Direction=H","UseDPDF=Y")</f>
        <v>#NAME?</v>
      </c>
      <c r="CU307" s="1" t="e">
        <f ca="1">_xll.BDH($C$303,"QUICK_RATIO","FQ4 2014","FQ4 2014","Currency=INR","Period=FQ","BEST_FPERIOD_OVERRIDE=FQ","FILING_STATUS=OR","EQY_CONSOLIDATED=Y","Sort=A","Dates=H","DateFormat=P","Fill=—","Direction=H","UseDPDF=Y")</f>
        <v>#NAME?</v>
      </c>
      <c r="CV307" s="1" t="e">
        <f ca="1">_xll.BDH($C$303,"ALTMAN_Z_SCORE","FQ4 2014","FQ4 2014","Currency=INR","Period=FQ","BEST_FPERIOD_OVERRIDE=FQ","FILING_STATUS=OR","EQY_CONSOLIDATED=Y","Sort=A","Dates=H","DateFormat=P","Fill=—","Direction=H","UseDPDF=Y")</f>
        <v>#NAME?</v>
      </c>
      <c r="CW307" s="3" t="e">
        <f ca="1">_xll.BDH($C$303,"ACCT_RCV_TURN","FQ4 2014","FQ4 2014","Currency=INR","Period=FQ","BEST_FPERIOD_OVERRIDE=FQ","FILING_STATUS=OR","EQY_CONSOLIDATED=Y","FA_ADJUSTED=GAAP","Sort=A","Dates=H","DateFormat=P","Fill=—","Direction=H","UseDPDF=Y")</f>
        <v>#NAME?</v>
      </c>
      <c r="CX307" s="1" t="e">
        <f ca="1">_xll.BDH($C$303,"ACCT_RCV_DAYS","FQ4 2014","FQ4 2014","Currency=INR","Period=FQ","BEST_FPERIOD_OVERRIDE=FQ","FILING_STATUS=OR","EQY_CONSOLIDATED=Y","FA_ADJUSTED=GAAP","Sort=A","Dates=H","DateFormat=P","Fill=—","Direction=H","UseDPDF=Y")</f>
        <v>#NAME?</v>
      </c>
      <c r="CY307" s="3" t="e">
        <f ca="1">_xll.BDH($C$303,"INVENT_TURN","FQ4 2014","FQ4 2014","Currency=INR","Period=FQ","BEST_FPERIOD_OVERRIDE=FQ","FILING_STATUS=OR","EQY_CONSOLIDATED=Y","FA_ADJUSTED=GAAP","Sort=A","Dates=H","DateFormat=P","Fill=—","Direction=H","UseDPDF=Y")</f>
        <v>#NAME?</v>
      </c>
      <c r="CZ307" s="1" t="e">
        <f ca="1">_xll.BDH($C$303,"INVENT_DAYS","FQ4 2014","FQ4 2014","Currency=INR","Period=FQ","BEST_FPERIOD_OVERRIDE=FQ","FILING_STATUS=OR","EQY_CONSOLIDATED=Y","FA_ADJUSTED=GAAP","Sort=A","Dates=H","DateFormat=P","Fill=—","Direction=H","UseDPDF=Y")</f>
        <v>#NAME?</v>
      </c>
      <c r="DA307" s="3" t="e">
        <f ca="1">_xll.BDH($C$303,"ACCOUNTS_PAYABLE_TURNOVER","FQ4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07" s="1" t="e">
        <f ca="1">_xll.BDH($C$303,"ACCOUNTS_PAYABLE_TURNOVER_DAYS","FQ4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07" s="3" t="e">
        <f ca="1">_xll.BDH($C$303,"CASH_CONVERSION_CYCLE","FQ4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07" s="3" t="e">
        <f ca="1">_xll.BDH($C$303,"INV_TO_CASH_DAYS","FQ4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307" s="4" t="e">
        <f ca="1">_xll.BDH($C$303,"BS_INVENTORIES","FQ4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307" s="2" t="e">
        <f ca="1">_xll.BDH($C$303,"INVTRY_RAW_MATERIALS","FQ4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07" s="2" t="e">
        <f ca="1">_xll.BDH($C$303,"INVTRY_IN_PROGRESS","FQ4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07" s="2" t="e">
        <f ca="1">_xll.BDH($C$303,"INVTRY_FINISHED_GOODS","FQ4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07" s="2" t="e">
        <f ca="1">_xll.BDH($C$303,"BS_OTHER_INV","FQ4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08" spans="1:113" x14ac:dyDescent="0.3">
      <c r="A308" s="6"/>
      <c r="B308" s="6"/>
      <c r="C308" s="6"/>
      <c r="D308" s="6" t="s">
        <v>8</v>
      </c>
      <c r="E308" t="s">
        <v>3</v>
      </c>
      <c r="F308" t="e">
        <f ca="1">_xll.BDH($C$303,"RETURN_COM_EQY","FY 2015","FY 2015","Currency=INR","Period=FY","BEST_FPERIOD_OVERRIDE=FY","FILING_STATUS=OR","EQY_CONSOLIDATED=Y","FA_ADJUSTED=GAAP","Sort=A","Dates=H","DateFormat=P","Fill=—","Direction=H","UseDPDF=Y")</f>
        <v>#NAME?</v>
      </c>
      <c r="G308" t="e">
        <f ca="1">_xll.BDH($C$303,"RETURN_ON_ASSET","FY 2015","FY 2015","Currency=INR","Period=FY","BEST_FPERIOD_OVERRIDE=FY","FILING_STATUS=OR","EQY_CONSOLIDATED=Y","FA_ADJUSTED=GAAP","Sort=A","Dates=H","DateFormat=P","Fill=—","Direction=H","UseDPDF=Y")</f>
        <v>#NAME?</v>
      </c>
      <c r="H308" t="e">
        <f ca="1">_xll.BDH($C$303,"RETURN_ON_CAP","FY 2015","FY 2015","Currency=INR","Period=FY","BEST_FPERIOD_OVERRIDE=FY","FILING_STATUS=OR","EQY_CONSOLIDATED=Y","FA_ADJUSTED=GAAP","Sort=A","Dates=H","DateFormat=P","Fill=—","Direction=H","UseDPDF=Y")</f>
        <v>#NAME?</v>
      </c>
      <c r="I308" t="e">
        <f ca="1">_xll.BDH($C$303,"RETURN_ON_INV_CAPITAL","FY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08" t="e">
        <f ca="1">_xll.BDH($C$303,"EBITDA_TO_REVENUE","FY 2015","FY 2015","Currency=INR","Period=FY","BEST_FPERIOD_OVERRIDE=FY","FILING_STATUS=OR","EQY_CONSOLIDATED=Y","FA_ADJUSTED=GAAP","Sort=A","Dates=H","DateFormat=P","Fill=—","Direction=H","UseDPDF=Y")</f>
        <v>#NAME?</v>
      </c>
      <c r="K308" t="e">
        <f ca="1">_xll.BDH($C$303,"OPER_MARGIN","FY 2015","FY 2015","Currency=INR","Period=FY","BEST_FPERIOD_OVERRIDE=FY","FILING_STATUS=OR","EQY_CONSOLIDATED=Y","FA_ADJUSTED=GAAP","Sort=A","Dates=H","DateFormat=P","Fill=—","Direction=H","UseDPDF=Y")</f>
        <v>#NAME?</v>
      </c>
      <c r="L308" t="e">
        <f ca="1">_xll.BDH($C$303,"INCREMENTAL_OPERATING_MARGIN","FY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08" t="e">
        <f ca="1">_xll.BDH($C$303,"PRETAX_INC_TO_NET_SALES","FY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08" t="e">
        <f ca="1">_xll.BDH($C$303,"INC_BEF_XO_ITEMS_TO_NET_SALES","FY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08" t="e">
        <f ca="1">_xll.BDH($C$303,"PROF_MARGIN","FY 2015","FY 2015","Currency=INR","Period=FY","BEST_FPERIOD_OVERRIDE=FY","FILING_STATUS=OR","EQY_CONSOLIDATED=Y","FA_ADJUSTED=GAAP","Sort=A","Dates=H","DateFormat=P","Fill=—","Direction=H","UseDPDF=Y")</f>
        <v>#NAME?</v>
      </c>
      <c r="P308" t="e">
        <f ca="1">_xll.BDH($C$303,"NET_INCOME_TO_COMMON_MARGIN","FY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08" t="e">
        <f ca="1">_xll.BDH($C$303,"EFF_TAX_RATE","FY 2015","FY 2015","Currency=INR","Period=FY","BEST_FPERIOD_OVERRIDE=FY","FILING_STATUS=OR","EQY_CONSOLIDATED=Y","FA_ADJUSTED=GAAP","Sort=A","Dates=H","DateFormat=P","Fill=—","Direction=H","UseDPDF=Y")</f>
        <v>#NAME?</v>
      </c>
      <c r="R308" t="e">
        <f ca="1">_xll.BDH($C$303,"DVD_PAYOUT_RATIO","FY 2015","FY 2015","Currency=INR","Period=FY","BEST_FPERIOD_OVERRIDE=FY","FILING_STATUS=OR","EQY_CONSOLIDATED=Y","FA_ADJUSTED=GAAP","Sort=A","Dates=H","DateFormat=P","Fill=—","Direction=H","UseDPDF=Y")</f>
        <v>#NAME?</v>
      </c>
      <c r="S308" t="e">
        <f ca="1">_xll.BDH($C$303,"SUSTAIN_GROWTH_RT","FY 2015","FY 2015","Currency=INR","Period=FY","BEST_FPERIOD_OVERRIDE=FY","FILING_STATUS=OR","EQY_CONSOLIDATED=Y","FA_ADJUSTED=GAAP","Sort=A","Dates=H","DateFormat=P","Fill=—","Direction=H","UseDPDF=Y")</f>
        <v>#NAME?</v>
      </c>
      <c r="T308" s="1" t="e">
        <f ca="1">_xll.BDH($C$303,"SALES_GROWTH","FY 2015","FY 2015","Currency=INR","Period=FY","BEST_FPERIOD_OVERRIDE=FY","FILING_STATUS=OR","EQY_CONSOLIDATED=Y","FA_ADJUSTED=GAAP","Sort=A","Dates=H","DateFormat=P","Fill=—","Direction=H","UseDPDF=Y")</f>
        <v>#NAME?</v>
      </c>
      <c r="U308" s="1" t="e">
        <f ca="1">_xll.BDH($C$303,"EBITDA_GROWTH","FY 2015","FY 2015","Currency=INR","Period=FY","BEST_FPERIOD_OVERRIDE=FY","FILING_STATUS=OR","EQY_CONSOLIDATED=Y","FA_ADJUSTED=GAAP","Sort=A","Dates=H","DateFormat=P","Fill=—","Direction=H","UseDPDF=Y")</f>
        <v>#NAME?</v>
      </c>
      <c r="V308" s="1" t="e">
        <f ca="1">_xll.BDH($C$303,"OPER_INC_GROWTH","FY 2015","FY 2015","Currency=INR","Period=FY","BEST_FPERIOD_OVERRIDE=FY","FILING_STATUS=OR","EQY_CONSOLIDATED=Y","FA_ADJUSTED=GAAP","Sort=A","Dates=H","DateFormat=P","Fill=—","Direction=H","UseDPDF=Y")</f>
        <v>#NAME?</v>
      </c>
      <c r="W308" s="1" t="e">
        <f ca="1">_xll.BDH($C$303,"EARN_FOR_COM_GROWTH","FY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308" s="1" t="e">
        <f ca="1">_xll.BDH($C$303,"DILUTED_EPS_AFT_XO_ITEMS_GROWTH","FY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08" s="1" t="e">
        <f ca="1">_xll.BDH($C$303,"DIVIDEND_PER_SHARE_1_YEAR_GROWTH","FY 2015","FY 2015","Currency=INR","Period=FY","BEST_FPERIOD_OVERRIDE=FY","FILING_STATUS=OR","EQY_CONSOLIDATED=Y","Sort=A","Dates=H","DateFormat=P","Fill=—","Direction=H","UseDPDF=Y")</f>
        <v>#NAME?</v>
      </c>
      <c r="Z308" s="1" t="e">
        <f ca="1">_xll.BDH($C$303,"ACCOUNTS_RECEIVABLE_GROWTH","FY 2015","FY 2015","Currency=INR","Period=FY","BEST_FPERIOD_OVERRIDE=FY","FILING_STATUS=OR","EQY_CONSOLIDATED=Y","Sort=A","Dates=H","DateFormat=P","Fill=—","Direction=H","UseDPDF=Y")</f>
        <v>#NAME?</v>
      </c>
      <c r="AA308" s="1" t="e">
        <f ca="1">_xll.BDH($C$303,"INVENTORY_GROWTH","FY 2015","FY 2015","Currency=INR","Period=FY","BEST_FPERIOD_OVERRIDE=FY","FILING_STATUS=OR","EQY_CONSOLIDATED=Y","Sort=A","Dates=H","DateFormat=P","Fill=—","Direction=H","UseDPDF=Y")</f>
        <v>#NAME?</v>
      </c>
      <c r="AB308" s="1" t="e">
        <f ca="1">_xll.BDH($C$303,"NET_FIXED_ASSETS_1_YEAR_GROWTH","FY 2015","FY 2015","Currency=INR","Period=FY","BEST_FPERIOD_OVERRIDE=FY","FILING_STATUS=OR","EQY_CONSOLIDATED=Y","Sort=A","Dates=H","DateFormat=P","Fill=—","Direction=H","UseDPDF=Y")</f>
        <v>#NAME?</v>
      </c>
      <c r="AC308" s="1" t="e">
        <f ca="1">_xll.BDH($C$303,"ASSET_GROWTH","FY 2015","FY 2015","Currency=INR","Period=FY","BEST_FPERIOD_OVERRIDE=FY","FILING_STATUS=OR","EQY_CONSOLIDATED=Y","Sort=A","Dates=H","DateFormat=P","Fill=—","Direction=H","UseDPDF=Y")</f>
        <v>#NAME?</v>
      </c>
      <c r="AD308" s="1" t="e">
        <f ca="1">_xll.BDH($C$303,"MODIFIED_WORK_CAP_GROWTH","FY 2015","FY 2015","Currency=INR","Period=FY","BEST_FPERIOD_OVERRIDE=FY","FILING_STATUS=OR","EQY_CONSOLIDATED=Y","Sort=A","Dates=H","DateFormat=P","Fill=—","Direction=H","UseDPDF=Y")</f>
        <v>#NAME?</v>
      </c>
      <c r="AE308" s="1" t="e">
        <f ca="1">_xll.BDH($C$303,"WORK_CAP_GROWTH","FY 2015","FY 2015","Currency=INR","Period=FY","BEST_FPERIOD_OVERRIDE=FY","FILING_STATUS=OR","EQY_CONSOLIDATED=Y","Sort=A","Dates=H","DateFormat=P","Fill=—","Direction=H","UseDPDF=Y")</f>
        <v>#NAME?</v>
      </c>
      <c r="AF308" s="1" t="e">
        <f ca="1">_xll.BDH($C$303,"ACCOUNTS_PAYABLE_GROWTH_1YR","FY 2015","FY 2015","Currency=INR","Period=FY","BEST_FPERIOD_OVERRIDE=FY","FILING_STATUS=OR","EQY_CONSOLIDATED=Y","Sort=A","Dates=H","DateFormat=P","Fill=—","Direction=H","UseDPDF=Y")</f>
        <v>#NAME?</v>
      </c>
      <c r="AG308" s="1" t="e">
        <f ca="1">_xll.BDH($C$303,"SHORT_TERM_DEBT_1_YEAR_GROWTH","FY 2015","FY 2015","Currency=INR","Period=FY","BEST_FPERIOD_OVERRIDE=FY","FILING_STATUS=OR","EQY_CONSOLIDATED=Y","Sort=A","Dates=H","DateFormat=P","Fill=—","Direction=H","UseDPDF=Y")</f>
        <v>#NAME?</v>
      </c>
      <c r="AH308" s="1" t="e">
        <f ca="1">_xll.BDH($C$303,"TOTAL_DEBT_1_YEAR_GROWTH","FY 2015","FY 2015","Currency=INR","Period=FY","BEST_FPERIOD_OVERRIDE=FY","FILING_STATUS=OR","EQY_CONSOLIDATED=Y","Sort=A","Dates=H","DateFormat=P","Fill=—","Direction=H","UseDPDF=Y")</f>
        <v>#NAME?</v>
      </c>
      <c r="AI308" s="1" t="e">
        <f ca="1">_xll.BDH($C$303,"TOTAL_EQUITY_1_YEAR_GROWTH","FY 2015","FY 2015","Currency=INR","Period=FY","BEST_FPERIOD_OVERRIDE=FY","FILING_STATUS=OR","EQY_CONSOLIDATED=Y","Sort=A","Dates=H","DateFormat=P","Fill=—","Direction=H","UseDPDF=Y")</f>
        <v>#NAME?</v>
      </c>
      <c r="AJ308" s="1" t="e">
        <f ca="1">_xll.BDH($C$303,"GROWTH_IN_CAP","FY 2015","FY 2015","Currency=INR","Period=FY","BEST_FPERIOD_OVERRIDE=FY","FILING_STATUS=OR","EQY_CONSOLIDATED=Y","Sort=A","Dates=H","DateFormat=P","Fill=—","Direction=H","UseDPDF=Y")</f>
        <v>#NAME?</v>
      </c>
      <c r="AK308" s="1" t="e">
        <f ca="1">_xll.BDH($C$303,"BVPS_GROWTH","FY 2015","FY 2015","Currency=INR","Period=FY","BEST_FPERIOD_OVERRIDE=FY","FILING_STATUS=OR","EQY_CONSOLIDATED=Y","Sort=A","Dates=H","DateFormat=P","Fill=—","Direction=H","UseDPDF=Y")</f>
        <v>#NAME?</v>
      </c>
      <c r="AL308" s="1" t="e">
        <f ca="1">_xll.BDH($C$303,"CASH_FLOW_GROWTH","FY 2015","FY 2015","Currency=INR","Period=FY","BEST_FPERIOD_OVERRIDE=FY","FILING_STATUS=OR","EQY_CONSOLIDATED=Y","Sort=A","Dates=H","DateFormat=P","Fill=—","Direction=H","UseDPDF=Y")</f>
        <v>#NAME?</v>
      </c>
      <c r="AM308" s="1" t="e">
        <f ca="1">_xll.BDH($C$303,"GEO_GROW_NET_SALES","FY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308" s="1" t="e">
        <f ca="1">_xll.BDH($C$303,"GEO_GROW_EBITDA","FY 2015","FY 2015","Currency=INR","Period=FY","BEST_FPERIOD_OVERRIDE=FY","FILING_STATUS=OR","EQY_CONSOLIDATED=Y","FA_ADJUSTED=GAAP","Sort=A","Dates=H","DateFormat=P","Fill=—","Direction=H","UseDPDF=Y")</f>
        <v>#NAME?</v>
      </c>
      <c r="AO308" s="1" t="e">
        <f ca="1">_xll.BDH($C$303,"GEO_GROW_OPER_INC","FY 2015","FY 2015","Currency=INR","Period=FY","BEST_FPERIOD_OVERRIDE=FY","FILING_STATUS=OR","EQY_CONSOLIDATED=Y","FA_ADJUSTED=GAAP","Sort=A","Dates=H","DateFormat=P","Fill=—","Direction=H","UseDPDF=Y")</f>
        <v>#NAME?</v>
      </c>
      <c r="AP308" s="1" t="e">
        <f ca="1">_xll.BDH($C$303,"NET_INCOME_TO_COMMON_5_YR_GROWTH","FY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08" s="1" t="e">
        <f ca="1">_xll.BDH($C$303,"5Y_GEO_GROWTH_DILUTED_EPS","FY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08" s="1" t="e">
        <f ca="1">_xll.BDH($C$303,"GEO_GROW_DVD_PER_SH","FY 2015","FY 2015","Currency=INR","Period=FY","BEST_FPERIOD_OVERRIDE=FY","FILING_STATUS=OR","EQY_CONSOLIDATED=Y","Sort=A","Dates=H","DateFormat=P","Fill=—","Direction=H","UseDPDF=Y")</f>
        <v>#NAME?</v>
      </c>
      <c r="AS308" s="1" t="e">
        <f ca="1">_xll.BDH($C$303,"ACCOUNTS_RECEIVABLE_5_YR_GROWTH","FY 2015","FY 2015","Currency=INR","Period=FY","BEST_FPERIOD_OVERRIDE=FY","FILING_STATUS=OR","EQY_CONSOLIDATED=Y","Sort=A","Dates=H","DateFormat=P","Fill=—","Direction=H","UseDPDF=Y")</f>
        <v>#NAME?</v>
      </c>
      <c r="AT308" s="1" t="e">
        <f ca="1">_xll.BDH($C$303,"INVENTORY_5_YEAR_GROWTH","FY 2015","FY 2015","Currency=INR","Period=FY","BEST_FPERIOD_OVERRIDE=FY","FILING_STATUS=OR","EQY_CONSOLIDATED=Y","Sort=A","Dates=H","DateFormat=P","Fill=—","Direction=H","UseDPDF=Y")</f>
        <v>#NAME?</v>
      </c>
      <c r="AU308" s="1" t="e">
        <f ca="1">_xll.BDH($C$303,"NET_FIXED_ASSETS_5_YEAR_GROWTH","FY 2015","FY 2015","Currency=INR","Period=FY","BEST_FPERIOD_OVERRIDE=FY","FILING_STATUS=OR","EQY_CONSOLIDATED=Y","Sort=A","Dates=H","DateFormat=P","Fill=—","Direction=H","UseDPDF=Y")</f>
        <v>#NAME?</v>
      </c>
      <c r="AV308" s="1" t="e">
        <f ca="1">_xll.BDH($C$303,"GEO_GROW_TOT_ASSET","FY 2015","FY 2015","Currency=INR","Period=FY","BEST_FPERIOD_OVERRIDE=FY","FILING_STATUS=OR","EQY_CONSOLIDATED=Y","Sort=A","Dates=H","DateFormat=P","Fill=—","Direction=H","UseDPDF=Y")</f>
        <v>#NAME?</v>
      </c>
      <c r="AW308" s="1" t="e">
        <f ca="1">_xll.BDH($C$303,"MODIFIED_WORKING_CPTL_5YR_GRWTH","FY 2015","FY 2015","Currency=INR","Period=FY","BEST_FPERIOD_OVERRIDE=FY","FILING_STATUS=OR","EQY_CONSOLIDATED=Y","Sort=A","Dates=H","DateFormat=P","Fill=—","Direction=H","UseDPDF=Y")</f>
        <v>#NAME?</v>
      </c>
      <c r="AX308" s="1" t="e">
        <f ca="1">_xll.BDH($C$303,"WORKING_CAPITAL_5_YEAR_GROWTH","FY 2015","FY 2015","Currency=INR","Period=FY","BEST_FPERIOD_OVERRIDE=FY","FILING_STATUS=OR","EQY_CONSOLIDATED=Y","Sort=A","Dates=H","DateFormat=P","Fill=—","Direction=H","UseDPDF=Y")</f>
        <v>#NAME?</v>
      </c>
      <c r="AY308" s="1" t="e">
        <f ca="1">_xll.BDH($C$303,"ACCOUNTS_PAYABLE_5_YEAR_GROWTH","FY 2015","FY 2015","Currency=INR","Period=FY","BEST_FPERIOD_OVERRIDE=FY","FILING_STATUS=OR","EQY_CONSOLIDATED=Y","Sort=A","Dates=H","DateFormat=P","Fill=—","Direction=H","UseDPDF=Y")</f>
        <v>#NAME?</v>
      </c>
      <c r="AZ308" s="1" t="e">
        <f ca="1">_xll.BDH($C$303,"SHORT_TERM_DEBT_5_YEAR_GROWTH","FY 2015","FY 2015","Currency=INR","Period=FY","BEST_FPERIOD_OVERRIDE=FY","FILING_STATUS=OR","EQY_CONSOLIDATED=Y","Sort=A","Dates=H","DateFormat=P","Fill=—","Direction=H","UseDPDF=Y")</f>
        <v>#NAME?</v>
      </c>
      <c r="BA308" s="1" t="e">
        <f ca="1">_xll.BDH($C$303,"TOTAL_DEBT_5_YEAR_GROWTH","FY 2015","FY 2015","Currency=INR","Period=FY","BEST_FPERIOD_OVERRIDE=FY","FILING_STATUS=OR","EQY_CONSOLIDATED=Y","Sort=A","Dates=H","DateFormat=P","Fill=—","Direction=H","UseDPDF=Y")</f>
        <v>#NAME?</v>
      </c>
      <c r="BB308" s="1" t="e">
        <f ca="1">_xll.BDH($C$303,"GEO_GROW_TOT_SHRHLDR_EQY","FY 2015","FY 2015","Currency=INR","Period=FY","BEST_FPERIOD_OVERRIDE=FY","FILING_STATUS=OR","EQY_CONSOLIDATED=Y","Sort=A","Dates=H","DateFormat=P","Fill=—","Direction=H","UseDPDF=Y")</f>
        <v>#NAME?</v>
      </c>
      <c r="BC308" s="1" t="e">
        <f ca="1">_xll.BDH($C$303,"TOTAL_CAPITAL_5_YEAR_GROWTH","FY 2015","FY 2015","Currency=INR","Period=FY","BEST_FPERIOD_OVERRIDE=FY","FILING_STATUS=OR","EQY_CONSOLIDATED=Y","Sort=A","Dates=H","DateFormat=P","Fill=—","Direction=H","UseDPDF=Y")</f>
        <v>#NAME?</v>
      </c>
      <c r="BD308" s="1" t="e">
        <f ca="1">_xll.BDH($C$303,"GEO_GROW_BOOK_VAL","FY 2015","FY 2015","Currency=INR","Period=FY","BEST_FPERIOD_OVERRIDE=FY","FILING_STATUS=OR","EQY_CONSOLIDATED=Y","Sort=A","Dates=H","DateFormat=P","Fill=—","Direction=H","UseDPDF=Y")</f>
        <v>#NAME?</v>
      </c>
      <c r="BE308" s="1" t="e">
        <f ca="1">_xll.BDH($C$303,"GEO_GROW_CASH_OPER_ACT","FY 2015","FY 2015","Currency=INR","Period=FY","BEST_FPERIOD_OVERRIDE=FY","FILING_STATUS=OR","EQY_CONSOLIDATED=Y","Sort=A","Dates=H","DateFormat=P","Fill=—","Direction=H","UseDPDF=Y")</f>
        <v>#NAME?</v>
      </c>
      <c r="BF308" s="1" t="e">
        <f ca="1">_xll.BDH($C$303,"REVENUE_SEQUENTIAL_GROWTH","FY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08" s="1" t="e">
        <f ca="1">_xll.BDH($C$303,"EBITDA_SEQUENTIAL_GROWTH","FY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08" s="1" t="e">
        <f ca="1">_xll.BDH($C$303,"OPERATING_INCOME_SEQ_GROWTH","FY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08" s="1" t="e">
        <f ca="1">_xll.BDH($C$303,"NET_INCOME_TO_COMMON_SEQ_GROWTH","FY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08" s="1" t="e">
        <f ca="1">_xll.BDH($C$303,"EPS_DILUTED_SEQUENTIAL_GROWTH","FY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08" s="1" t="e">
        <f ca="1">_xll.BDH($C$303,"DPS_SEQUENTIAL_GROWTH","FY 2015","FY 2015","Currency=INR","Period=FY","BEST_FPERIOD_OVERRIDE=FY","FILING_STATUS=OR","EQY_CONSOLIDATED=Y","Sort=A","Dates=H","DateFormat=P","Fill=—","Direction=H","UseDPDF=Y")</f>
        <v>#NAME?</v>
      </c>
      <c r="BL308" s="1" t="e">
        <f ca="1">_xll.BDH($C$303,"ACCOUNTS_RECEIVABLE_SEQ_GROWTH","FY 2015","FY 2015","Currency=INR","Period=FY","BEST_FPERIOD_OVERRIDE=FY","FILING_STATUS=OR","EQY_CONSOLIDATED=Y","Sort=A","Dates=H","DateFormat=P","Fill=—","Direction=H","UseDPDF=Y")</f>
        <v>#NAME?</v>
      </c>
      <c r="BM308" s="1" t="e">
        <f ca="1">_xll.BDH($C$303,"INVENTORY_SEQUENTIAL_GROWTH","FY 2015","FY 2015","Currency=INR","Period=FY","BEST_FPERIOD_OVERRIDE=FY","FILING_STATUS=OR","EQY_CONSOLIDATED=Y","Sort=A","Dates=H","DateFormat=P","Fill=—","Direction=H","UseDPDF=Y")</f>
        <v>#NAME?</v>
      </c>
      <c r="BN308" s="1" t="e">
        <f ca="1">_xll.BDH($C$303,"FIXED_ASSETS_SEQUENTIAL_GROWTH","FY 2015","FY 2015","Currency=INR","Period=FY","BEST_FPERIOD_OVERRIDE=FY","FILING_STATUS=OR","EQY_CONSOLIDATED=Y","Sort=A","Dates=H","DateFormat=P","Fill=—","Direction=H","UseDPDF=Y")</f>
        <v>#NAME?</v>
      </c>
      <c r="BO308" s="1" t="e">
        <f ca="1">_xll.BDH($C$303,"TOTAL_ASSETS_SEQUENTIAL_GROWTH","FY 2015","FY 2015","Currency=INR","Period=FY","BEST_FPERIOD_OVERRIDE=FY","FILING_STATUS=OR","EQY_CONSOLIDATED=Y","Sort=A","Dates=H","DateFormat=P","Fill=—","Direction=H","UseDPDF=Y")</f>
        <v>#NAME?</v>
      </c>
      <c r="BP308" s="1" t="e">
        <f ca="1">_xll.BDH($C$303,"MODIFIED_WORKING_CPTL_SEQ_GRWTH","FY 2015","FY 2015","Currency=INR","Period=FY","BEST_FPERIOD_OVERRIDE=FY","FILING_STATUS=OR","EQY_CONSOLIDATED=Y","Sort=A","Dates=H","DateFormat=P","Fill=—","Direction=H","UseDPDF=Y")</f>
        <v>#NAME?</v>
      </c>
      <c r="BQ308" s="1" t="e">
        <f ca="1">_xll.BDH($C$303,"WORKING_CAPITAL_SEQ_GROWTH","FY 2015","FY 2015","Currency=INR","Period=FY","BEST_FPERIOD_OVERRIDE=FY","FILING_STATUS=OR","EQY_CONSOLIDATED=Y","Sort=A","Dates=H","DateFormat=P","Fill=—","Direction=H","UseDPDF=Y")</f>
        <v>#NAME?</v>
      </c>
      <c r="BR308" s="1" t="e">
        <f ca="1">_xll.BDH($C$303,"ACCOUNTS_PAYABLE_SEQ_GROWTH","FY 2015","FY 2015","Currency=INR","Period=FY","BEST_FPERIOD_OVERRIDE=FY","FILING_STATUS=OR","EQY_CONSOLIDATED=Y","Sort=A","Dates=H","DateFormat=P","Fill=—","Direction=H","UseDPDF=Y")</f>
        <v>#NAME?</v>
      </c>
      <c r="BS308" s="1" t="e">
        <f ca="1">_xll.BDH($C$303,"ST_DEBT_SEQUENTIAL_GROWTH","FY 2015","FY 2015","Currency=INR","Period=FY","BEST_FPERIOD_OVERRIDE=FY","FILING_STATUS=OR","EQY_CONSOLIDATED=Y","Sort=A","Dates=H","DateFormat=P","Fill=—","Direction=H","UseDPDF=Y")</f>
        <v>#NAME?</v>
      </c>
      <c r="BT308" s="1" t="e">
        <f ca="1">_xll.BDH($C$303,"TOTAL_DEBT_SEQUENTIAL_GROWTH","FY 2015","FY 2015","Currency=INR","Period=FY","BEST_FPERIOD_OVERRIDE=FY","FILING_STATUS=OR","EQY_CONSOLIDATED=Y","Sort=A","Dates=H","DateFormat=P","Fill=—","Direction=H","UseDPDF=Y")</f>
        <v>#NAME?</v>
      </c>
      <c r="BU308" s="1" t="e">
        <f ca="1">_xll.BDH($C$303,"TOTAL_EQUITY_SEQUENTIAL_GROWTH","FY 2015","FY 2015","Currency=INR","Period=FY","BEST_FPERIOD_OVERRIDE=FY","FILING_STATUS=OR","EQY_CONSOLIDATED=Y","Sort=A","Dates=H","DateFormat=P","Fill=—","Direction=H","UseDPDF=Y")</f>
        <v>#NAME?</v>
      </c>
      <c r="BV308" s="1" t="e">
        <f ca="1">_xll.BDH($C$303,"TOTAL_CAPITAL_SEQUENTIAL_GROWTH","FY 2015","FY 2015","Currency=INR","Period=FY","BEST_FPERIOD_OVERRIDE=FY","FILING_STATUS=OR","EQY_CONSOLIDATED=Y","Sort=A","Dates=H","DateFormat=P","Fill=—","Direction=H","UseDPDF=Y")</f>
        <v>#NAME?</v>
      </c>
      <c r="BW308" s="1" t="e">
        <f ca="1">_xll.BDH($C$303,"BPS_SEQUENTIAL_GROWTH","FY 2015","FY 2015","Currency=INR","Period=FY","BEST_FPERIOD_OVERRIDE=FY","FILING_STATUS=OR","EQY_CONSOLIDATED=Y","Sort=A","Dates=H","DateFormat=P","Fill=—","Direction=H","UseDPDF=Y")</f>
        <v>#NAME?</v>
      </c>
      <c r="BX308" s="1" t="e">
        <f ca="1">_xll.BDH($C$303,"CFO_SEQUENTIAL_GROWTH","FY 2015","FY 2015","Currency=INR","Period=FY","BEST_FPERIOD_OVERRIDE=FY","FILING_STATUS=OR","EQY_CONSOLIDATED=Y","Sort=A","Dates=H","DateFormat=P","Fill=—","Direction=H","UseDPDF=Y")</f>
        <v>#NAME?</v>
      </c>
      <c r="BY308" s="2" t="e">
        <f ca="1">_xll.BDH($C$303,"SHORT_AND_LONG_TERM_DEBT","FY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08" s="2" t="e">
        <f ca="1">_xll.BDH($C$303,"BS_ST_BORROW","FY 2015","FY 2015","Currency=INR","Period=FY","BEST_FPERIOD_OVERRIDE=FY","FILING_STATUS=OR","EQY_CONSOLIDATED=Y","SCALING_FORMAT=MLN","Sort=A","Dates=H","DateFormat=P","Fill=—","Direction=H","UseDPDF=Y")</f>
        <v>#NAME?</v>
      </c>
      <c r="CA308" s="2" t="e">
        <f ca="1">_xll.BDH($C$303,"BS_LT_BORROW","FY 2015","FY 2015","Currency=INR","Period=FY","BEST_FPERIOD_OVERRIDE=FY","FILING_STATUS=OR","EQY_CONSOLIDATED=Y","SCALING_FORMAT=MLN","Sort=A","Dates=H","DateFormat=P","Fill=—","Direction=H","UseDPDF=Y")</f>
        <v>#NAME?</v>
      </c>
      <c r="CB308" s="1" t="e">
        <f ca="1">_xll.BDH($C$303,"TOT_DEBT_TO_EBITDA","FY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308" s="1" t="e">
        <f ca="1">_xll.BDH($C$303,"NET_DEBT_TO_EBITDA","FY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308" s="1" t="e">
        <f ca="1">_xll.BDH($C$303,"TOTAL_DEBT_TO_EBIT","FY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308" s="1" t="e">
        <f ca="1">_xll.BDH($C$303,"NET_DEBT_TO_EBIT","FY 2015","FY 2015","Currency=INR","Period=FY","BEST_FPERIOD_OVERRIDE=FY","FILING_STATUS=OR","EQY_CONSOLIDATED=Y","FA_ADJUSTED=GAAP","Sort=A","Dates=H","DateFormat=P","Fill=—","Direction=H","UseDPDF=Y")</f>
        <v>#NAME?</v>
      </c>
      <c r="CF308" s="1" t="e">
        <f ca="1">_xll.BDH($C$303,"EBITDA_TO_INTEREST_EXPN","FY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08" s="1" t="e">
        <f ca="1">_xll.BDH($C$303,"COM_EQY_TO_TOT_ASSET","FY 2015","FY 2015","Currency=INR","Period=FY","BEST_FPERIOD_OVERRIDE=FY","FILING_STATUS=OR","EQY_CONSOLIDATED=Y","Sort=A","Dates=H","DateFormat=P","Fill=—","Direction=H","UseDPDF=Y")</f>
        <v>#NAME?</v>
      </c>
      <c r="CH308" s="1" t="e">
        <f ca="1">_xll.BDH($C$303,"LT_DEBT_TO_TOT_EQY","FY 2015","FY 2015","Currency=INR","Period=FY","BEST_FPERIOD_OVERRIDE=FY","FILING_STATUS=OR","EQY_CONSOLIDATED=Y","Sort=A","Dates=H","DateFormat=P","Fill=—","Direction=H","UseDPDF=Y")</f>
        <v>#NAME?</v>
      </c>
      <c r="CI308" s="1" t="e">
        <f ca="1">_xll.BDH($C$303,"LT_DEBT_TO_TOT_CAP","FY 2015","FY 2015","Currency=INR","Period=FY","BEST_FPERIOD_OVERRIDE=FY","FILING_STATUS=OR","EQY_CONSOLIDATED=Y","Sort=A","Dates=H","DateFormat=P","Fill=—","Direction=H","UseDPDF=Y")</f>
        <v>#NAME?</v>
      </c>
      <c r="CJ308" s="1" t="e">
        <f ca="1">_xll.BDH($C$303,"LT_DEBT_TO_TOT_ASSET","FY 2015","FY 2015","Currency=INR","Period=FY","BEST_FPERIOD_OVERRIDE=FY","FILING_STATUS=OR","EQY_CONSOLIDATED=Y","Sort=A","Dates=H","DateFormat=P","Fill=—","Direction=H","UseDPDF=Y")</f>
        <v>#NAME?</v>
      </c>
      <c r="CK308" s="1" t="e">
        <f ca="1">_xll.BDH($C$303,"TOT_DEBT_TO_TOT_EQY","FY 2015","FY 2015","Currency=INR","Period=FY","BEST_FPERIOD_OVERRIDE=FY","FILING_STATUS=OR","EQY_CONSOLIDATED=Y","Sort=A","Dates=H","DateFormat=P","Fill=—","Direction=H","UseDPDF=Y")</f>
        <v>#NAME?</v>
      </c>
      <c r="CL308" s="1" t="e">
        <f ca="1">_xll.BDH($C$303,"TOT_DEBT_TO_TOT_CAP","FY 2015","FY 2015","Currency=INR","Period=FY","BEST_FPERIOD_OVERRIDE=FY","FILING_STATUS=OR","EQY_CONSOLIDATED=Y","Sort=A","Dates=H","DateFormat=P","Fill=—","Direction=H","UseDPDF=Y")</f>
        <v>#NAME?</v>
      </c>
      <c r="CM308" s="1" t="e">
        <f ca="1">_xll.BDH($C$303,"TOT_DEBT_TO_TOT_ASSET","FY 2015","FY 2015","Currency=INR","Period=FY","BEST_FPERIOD_OVERRIDE=FY","FILING_STATUS=OR","EQY_CONSOLIDATED=Y","Sort=A","Dates=H","DateFormat=P","Fill=—","Direction=H","UseDPDF=Y")</f>
        <v>#NAME?</v>
      </c>
      <c r="CN308" s="1" t="e">
        <f ca="1">_xll.BDH($C$303,"NET_DEBT_TO_SHRHLDR_EQTY","FY 2015","FY 2015","Currency=INR","Period=FY","BEST_FPERIOD_OVERRIDE=FY","FILING_STATUS=OR","EQY_CONSOLIDATED=Y","Sort=A","Dates=H","DateFormat=P","Fill=—","Direction=H","UseDPDF=Y")</f>
        <v>#NAME?</v>
      </c>
      <c r="CO308" s="1" t="e">
        <f ca="1">_xll.BDH($C$303,"NET_DEBT_%_CAPITAL","FY 2015","FY 2015","Currency=INR","Period=FY","BEST_FPERIOD_OVERRIDE=FY","FILING_STATUS=OR","EQY_CONSOLIDATED=Y","Sort=A","Dates=H","DateFormat=P","Fill=—","Direction=H","UseDPDF=Y")</f>
        <v>#NAME?</v>
      </c>
      <c r="CP308" s="2" t="e">
        <f ca="1">_xll.BDH($C$303,"EBITDA","FY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08" s="2" t="e">
        <f ca="1">_xll.BDH($C$303,"EBITDA_AFTER_CAPEX","FY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08" s="2" t="e">
        <f ca="1">_xll.BDH($C$303,"IS_OPER_INC","FY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08" s="1" t="e">
        <f ca="1">_xll.BDH($C$303,"CASH_RATIO","FY 2015","FY 2015","Currency=INR","Period=FY","BEST_FPERIOD_OVERRIDE=FY","FILING_STATUS=OR","EQY_CONSOLIDATED=Y","Sort=A","Dates=H","DateFormat=P","Fill=—","Direction=H","UseDPDF=Y")</f>
        <v>#NAME?</v>
      </c>
      <c r="CT308" s="1" t="e">
        <f ca="1">_xll.BDH($C$303,"CUR_RATIO","FY 2015","FY 2015","Currency=INR","Period=FY","BEST_FPERIOD_OVERRIDE=FY","FILING_STATUS=OR","EQY_CONSOLIDATED=Y","Sort=A","Dates=H","DateFormat=P","Fill=—","Direction=H","UseDPDF=Y")</f>
        <v>#NAME?</v>
      </c>
      <c r="CU308" s="1" t="e">
        <f ca="1">_xll.BDH($C$303,"QUICK_RATIO","FY 2015","FY 2015","Currency=INR","Period=FY","BEST_FPERIOD_OVERRIDE=FY","FILING_STATUS=OR","EQY_CONSOLIDATED=Y","Sort=A","Dates=H","DateFormat=P","Fill=—","Direction=H","UseDPDF=Y")</f>
        <v>#NAME?</v>
      </c>
      <c r="CV308" s="1" t="e">
        <f ca="1">_xll.BDH($C$303,"ALTMAN_Z_SCORE","FY 2015","FY 2015","Currency=INR","Period=FY","BEST_FPERIOD_OVERRIDE=FY","FILING_STATUS=OR","EQY_CONSOLIDATED=Y","Sort=A","Dates=H","DateFormat=P","Fill=—","Direction=H","UseDPDF=Y")</f>
        <v>#NAME?</v>
      </c>
      <c r="CW308" s="3" t="e">
        <f ca="1">_xll.BDH($C$303,"ACCT_RCV_TURN","FY 2015","FY 2015","Currency=INR","Period=FY","BEST_FPERIOD_OVERRIDE=FY","FILING_STATUS=OR","EQY_CONSOLIDATED=Y","FA_ADJUSTED=GAAP","Sort=A","Dates=H","DateFormat=P","Fill=—","Direction=H","UseDPDF=Y")</f>
        <v>#NAME?</v>
      </c>
      <c r="CX308" s="1" t="e">
        <f ca="1">_xll.BDH($C$303,"ACCT_RCV_DAYS","FY 2015","FY 2015","Currency=INR","Period=FY","BEST_FPERIOD_OVERRIDE=FY","FILING_STATUS=OR","EQY_CONSOLIDATED=Y","FA_ADJUSTED=GAAP","Sort=A","Dates=H","DateFormat=P","Fill=—","Direction=H","UseDPDF=Y")</f>
        <v>#NAME?</v>
      </c>
      <c r="CY308" s="3" t="e">
        <f ca="1">_xll.BDH($C$303,"INVENT_TURN","FY 2015","FY 2015","Currency=INR","Period=FY","BEST_FPERIOD_OVERRIDE=FY","FILING_STATUS=OR","EQY_CONSOLIDATED=Y","FA_ADJUSTED=GAAP","Sort=A","Dates=H","DateFormat=P","Fill=—","Direction=H","UseDPDF=Y")</f>
        <v>#NAME?</v>
      </c>
      <c r="CZ308" s="1" t="e">
        <f ca="1">_xll.BDH($C$303,"INVENT_DAYS","FY 2015","FY 2015","Currency=INR","Period=FY","BEST_FPERIOD_OVERRIDE=FY","FILING_STATUS=OR","EQY_CONSOLIDATED=Y","FA_ADJUSTED=GAAP","Sort=A","Dates=H","DateFormat=P","Fill=—","Direction=H","UseDPDF=Y")</f>
        <v>#NAME?</v>
      </c>
      <c r="DA308" s="3" t="e">
        <f ca="1">_xll.BDH($C$303,"ACCOUNTS_PAYABLE_TURNOVER","FY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08" s="1" t="e">
        <f ca="1">_xll.BDH($C$303,"ACCOUNTS_PAYABLE_TURNOVER_DAYS","FY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08" s="3" t="e">
        <f ca="1">_xll.BDH($C$303,"CASH_CONVERSION_CYCLE","FY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08" s="3" t="e">
        <f ca="1">_xll.BDH($C$303,"INV_TO_CASH_DAYS","FY 2015","FY 2015","Currency=INR","Period=FY","BEST_FPERIOD_OVERRIDE=FY","FILING_STATUS=OR","EQY_CONSOLIDATED=Y","FA_ADJUSTED=GAAP","Sort=A","Dates=H","DateFormat=P","Fill=—","Direction=H","UseDPDF=Y")</f>
        <v>#NAME?</v>
      </c>
      <c r="DE308" s="4" t="e">
        <f ca="1">_xll.BDH($C$303,"BS_INVENTORIES","FY 2015","FY 2015","Currency=INR","Period=FY","BEST_FPERIOD_OVERRIDE=FY","FILING_STATUS=OR","EQY_CONSOLIDATED=Y","SCALING_FORMAT=MLN","Sort=A","Dates=H","DateFormat=P","Fill=—","Direction=H","UseDPDF=Y")</f>
        <v>#NAME?</v>
      </c>
      <c r="DF308" s="2" t="e">
        <f ca="1">_xll.BDH($C$303,"INVTRY_RAW_MATERIALS","FY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08" s="2" t="e">
        <f ca="1">_xll.BDH($C$303,"INVTRY_IN_PROGRESS","FY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08" s="2" t="e">
        <f ca="1">_xll.BDH($C$303,"INVTRY_FINISHED_GOODS","FY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08" s="2" t="e">
        <f ca="1">_xll.BDH($C$303,"BS_OTHER_INV","FY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09" spans="1:113" x14ac:dyDescent="0.3">
      <c r="A309" s="6"/>
      <c r="B309" s="6"/>
      <c r="C309" s="6"/>
      <c r="D309" s="6"/>
      <c r="E309" t="s">
        <v>4</v>
      </c>
      <c r="F309" t="e">
        <f ca="1">_xll.BDH($C$303,"RETURN_COM_EQY","FQ1 2015","FQ1 2015","Currency=INR","Period=FQ","BEST_FPERIOD_OVERRIDE=FQ","FILING_STATUS=OR","EQY_CONSOLIDATED=Y","FA_ADJUSTED=GAAP","Sort=A","Dates=H","DateFormat=P","Fill=—","Direction=H","UseDPDF=Y")</f>
        <v>#NAME?</v>
      </c>
      <c r="G309" t="e">
        <f ca="1">_xll.BDH($C$303,"RETURN_ON_ASSET","FQ1 2015","FQ1 2015","Currency=INR","Period=FQ","BEST_FPERIOD_OVERRIDE=FQ","FILING_STATUS=OR","EQY_CONSOLIDATED=Y","FA_ADJUSTED=GAAP","Sort=A","Dates=H","DateFormat=P","Fill=—","Direction=H","UseDPDF=Y")</f>
        <v>#NAME?</v>
      </c>
      <c r="H309" t="e">
        <f ca="1">_xll.BDH($C$303,"RETURN_ON_CAP","FQ1 2015","FQ1 2015","Currency=INR","Period=FQ","BEST_FPERIOD_OVERRIDE=FQ","FILING_STATUS=OR","EQY_CONSOLIDATED=Y","FA_ADJUSTED=GAAP","Sort=A","Dates=H","DateFormat=P","Fill=—","Direction=H","UseDPDF=Y")</f>
        <v>#NAME?</v>
      </c>
      <c r="I309" t="e">
        <f ca="1">_xll.BDH($C$303,"RETURN_ON_INV_CAPITAL","FQ1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09" t="e">
        <f ca="1">_xll.BDH($C$303,"EBITDA_TO_REVENUE","FQ1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309" t="e">
        <f ca="1">_xll.BDH($C$303,"OPER_MARGIN","FQ1 2015","FQ1 2015","Currency=INR","Period=FQ","BEST_FPERIOD_OVERRIDE=FQ","FILING_STATUS=OR","EQY_CONSOLIDATED=Y","FA_ADJUSTED=GAAP","Sort=A","Dates=H","DateFormat=P","Fill=—","Direction=H","UseDPDF=Y")</f>
        <v>#NAME?</v>
      </c>
      <c r="L309" t="e">
        <f ca="1">_xll.BDH($C$303,"INCREMENTAL_OPERATING_MARGIN","FQ1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09" t="e">
        <f ca="1">_xll.BDH($C$303,"PRETAX_INC_TO_NET_SALES","FQ1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09" t="e">
        <f ca="1">_xll.BDH($C$303,"INC_BEF_XO_ITEMS_TO_NET_SALES","FQ1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09" t="e">
        <f ca="1">_xll.BDH($C$303,"PROF_MARGIN","FQ1 2015","FQ1 2015","Currency=INR","Period=FQ","BEST_FPERIOD_OVERRIDE=FQ","FILING_STATUS=OR","EQY_CONSOLIDATED=Y","FA_ADJUSTED=GAAP","Sort=A","Dates=H","DateFormat=P","Fill=—","Direction=H","UseDPDF=Y")</f>
        <v>#NAME?</v>
      </c>
      <c r="P309" t="e">
        <f ca="1">_xll.BDH($C$303,"NET_INCOME_TO_COMMON_MARGIN","FQ1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09" t="e">
        <f ca="1">_xll.BDH($C$303,"EFF_TAX_RATE","FQ1 2015","FQ1 2015","Currency=INR","Period=FQ","BEST_FPERIOD_OVERRIDE=FQ","FILING_STATUS=OR","EQY_CONSOLIDATED=Y","FA_ADJUSTED=GAAP","Sort=A","Dates=H","DateFormat=P","Fill=—","Direction=H","UseDPDF=Y")</f>
        <v>#NAME?</v>
      </c>
      <c r="R309" t="e">
        <f ca="1">_xll.BDH($C$303,"DVD_PAYOUT_RATIO","FQ1 2015","FQ1 2015","Currency=INR","Period=FQ","BEST_FPERIOD_OVERRIDE=FQ","FILING_STATUS=OR","EQY_CONSOLIDATED=Y","FA_ADJUSTED=GAAP","Sort=A","Dates=H","DateFormat=P","Fill=—","Direction=H","UseDPDF=Y")</f>
        <v>#NAME?</v>
      </c>
      <c r="S309" t="e">
        <f ca="1">_xll.BDH($C$303,"SUSTAIN_GROWTH_RT","FQ1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309" s="1" t="e">
        <f ca="1">_xll.BDH($C$303,"SALES_GROWTH","FQ1 2015","FQ1 2015","Currency=INR","Period=FQ","BEST_FPERIOD_OVERRIDE=FQ","FILING_STATUS=OR","EQY_CONSOLIDATED=Y","FA_ADJUSTED=GAAP","Sort=A","Dates=H","DateFormat=P","Fill=—","Direction=H","UseDPDF=Y")</f>
        <v>#NAME?</v>
      </c>
      <c r="U309" s="1" t="e">
        <f ca="1">_xll.BDH($C$303,"EBITDA_GROWTH","FQ1 2015","FQ1 2015","Currency=INR","Period=FQ","BEST_FPERIOD_OVERRIDE=FQ","FILING_STATUS=OR","EQY_CONSOLIDATED=Y","FA_ADJUSTED=GAAP","Sort=A","Dates=H","DateFormat=P","Fill=—","Direction=H","UseDPDF=Y")</f>
        <v>#NAME?</v>
      </c>
      <c r="V309" s="1" t="e">
        <f ca="1">_xll.BDH($C$303,"OPER_INC_GROWTH","FQ1 2015","FQ1 2015","Currency=INR","Period=FQ","BEST_FPERIOD_OVERRIDE=FQ","FILING_STATUS=OR","EQY_CONSOLIDATED=Y","FA_ADJUSTED=GAAP","Sort=A","Dates=H","DateFormat=P","Fill=—","Direction=H","UseDPDF=Y")</f>
        <v>#NAME?</v>
      </c>
      <c r="W309" s="1" t="e">
        <f ca="1">_xll.BDH($C$303,"EARN_FOR_COM_GROWTH","FQ1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09" s="1" t="e">
        <f ca="1">_xll.BDH($C$303,"DILUTED_EPS_AFT_XO_ITEMS_GROWTH","FQ1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09" s="1" t="e">
        <f ca="1">_xll.BDH($C$303,"DIVIDEND_PER_SHARE_1_YEAR_GROWTH","FQ1 2015","FQ1 2015","Currency=INR","Period=FQ","BEST_FPERIOD_OVERRIDE=FQ","FILING_STATUS=OR","EQY_CONSOLIDATED=Y","Sort=A","Dates=H","DateFormat=P","Fill=—","Direction=H","UseDPDF=Y")</f>
        <v>#NAME?</v>
      </c>
      <c r="Z309" s="1" t="e">
        <f ca="1">_xll.BDH($C$303,"ACCOUNTS_RECEIVABLE_GROWTH","FQ1 2015","FQ1 2015","Currency=INR","Period=FQ","BEST_FPERIOD_OVERRIDE=FQ","FILING_STATUS=OR","EQY_CONSOLIDATED=Y","Sort=A","Dates=H","DateFormat=P","Fill=—","Direction=H","UseDPDF=Y")</f>
        <v>#NAME?</v>
      </c>
      <c r="AA309" s="1" t="e">
        <f ca="1">_xll.BDH($C$303,"INVENTORY_GROWTH","FQ1 2015","FQ1 2015","Currency=INR","Period=FQ","BEST_FPERIOD_OVERRIDE=FQ","FILING_STATUS=OR","EQY_CONSOLIDATED=Y","Sort=A","Dates=H","DateFormat=P","Fill=—","Direction=H","UseDPDF=Y")</f>
        <v>#NAME?</v>
      </c>
      <c r="AB309" s="1" t="e">
        <f ca="1">_xll.BDH($C$303,"NET_FIXED_ASSETS_1_YEAR_GROWTH","FQ1 2015","FQ1 2015","Currency=INR","Period=FQ","BEST_FPERIOD_OVERRIDE=FQ","FILING_STATUS=OR","EQY_CONSOLIDATED=Y","Sort=A","Dates=H","DateFormat=P","Fill=—","Direction=H","UseDPDF=Y")</f>
        <v>#NAME?</v>
      </c>
      <c r="AC309" s="1" t="e">
        <f ca="1">_xll.BDH($C$303,"ASSET_GROWTH","FQ1 2015","FQ1 2015","Currency=INR","Period=FQ","BEST_FPERIOD_OVERRIDE=FQ","FILING_STATUS=OR","EQY_CONSOLIDATED=Y","Sort=A","Dates=H","DateFormat=P","Fill=—","Direction=H","UseDPDF=Y")</f>
        <v>#NAME?</v>
      </c>
      <c r="AD309" s="1" t="e">
        <f ca="1">_xll.BDH($C$303,"MODIFIED_WORK_CAP_GROWTH","FQ1 2015","FQ1 2015","Currency=INR","Period=FQ","BEST_FPERIOD_OVERRIDE=FQ","FILING_STATUS=OR","EQY_CONSOLIDATED=Y","Sort=A","Dates=H","DateFormat=P","Fill=—","Direction=H","UseDPDF=Y")</f>
        <v>#NAME?</v>
      </c>
      <c r="AE309" s="1" t="e">
        <f ca="1">_xll.BDH($C$303,"WORK_CAP_GROWTH","FQ1 2015","FQ1 2015","Currency=INR","Period=FQ","BEST_FPERIOD_OVERRIDE=FQ","FILING_STATUS=OR","EQY_CONSOLIDATED=Y","Sort=A","Dates=H","DateFormat=P","Fill=—","Direction=H","UseDPDF=Y")</f>
        <v>#NAME?</v>
      </c>
      <c r="AF309" s="1" t="e">
        <f ca="1">_xll.BDH($C$303,"ACCOUNTS_PAYABLE_GROWTH_1YR","FQ1 2015","FQ1 2015","Currency=INR","Period=FQ","BEST_FPERIOD_OVERRIDE=FQ","FILING_STATUS=OR","EQY_CONSOLIDATED=Y","Sort=A","Dates=H","DateFormat=P","Fill=—","Direction=H","UseDPDF=Y")</f>
        <v>#NAME?</v>
      </c>
      <c r="AG309" s="1" t="e">
        <f ca="1">_xll.BDH($C$303,"SHORT_TERM_DEBT_1_YEAR_GROWTH","FQ1 2015","FQ1 2015","Currency=INR","Period=FQ","BEST_FPERIOD_OVERRIDE=FQ","FILING_STATUS=OR","EQY_CONSOLIDATED=Y","Sort=A","Dates=H","DateFormat=P","Fill=—","Direction=H","UseDPDF=Y")</f>
        <v>#NAME?</v>
      </c>
      <c r="AH309" s="1" t="e">
        <f ca="1">_xll.BDH($C$303,"TOTAL_DEBT_1_YEAR_GROWTH","FQ1 2015","FQ1 2015","Currency=INR","Period=FQ","BEST_FPERIOD_OVERRIDE=FQ","FILING_STATUS=OR","EQY_CONSOLIDATED=Y","Sort=A","Dates=H","DateFormat=P","Fill=—","Direction=H","UseDPDF=Y")</f>
        <v>#NAME?</v>
      </c>
      <c r="AI309" s="1" t="e">
        <f ca="1">_xll.BDH($C$303,"TOTAL_EQUITY_1_YEAR_GROWTH","FQ1 2015","FQ1 2015","Currency=INR","Period=FQ","BEST_FPERIOD_OVERRIDE=FQ","FILING_STATUS=OR","EQY_CONSOLIDATED=Y","Sort=A","Dates=H","DateFormat=P","Fill=—","Direction=H","UseDPDF=Y")</f>
        <v>#NAME?</v>
      </c>
      <c r="AJ309" s="1" t="e">
        <f ca="1">_xll.BDH($C$303,"GROWTH_IN_CAP","FQ1 2015","FQ1 2015","Currency=INR","Period=FQ","BEST_FPERIOD_OVERRIDE=FQ","FILING_STATUS=OR","EQY_CONSOLIDATED=Y","Sort=A","Dates=H","DateFormat=P","Fill=—","Direction=H","UseDPDF=Y")</f>
        <v>#NAME?</v>
      </c>
      <c r="AK309" s="1" t="e">
        <f ca="1">_xll.BDH($C$303,"BVPS_GROWTH","FQ1 2015","FQ1 2015","Currency=INR","Period=FQ","BEST_FPERIOD_OVERRIDE=FQ","FILING_STATUS=OR","EQY_CONSOLIDATED=Y","Sort=A","Dates=H","DateFormat=P","Fill=—","Direction=H","UseDPDF=Y")</f>
        <v>#NAME?</v>
      </c>
      <c r="AL309" s="1" t="e">
        <f ca="1">_xll.BDH($C$303,"CASH_FLOW_GROWTH","FQ1 2015","FQ1 2015","Currency=INR","Period=FQ","BEST_FPERIOD_OVERRIDE=FQ","FILING_STATUS=OR","EQY_CONSOLIDATED=Y","Sort=A","Dates=H","DateFormat=P","Fill=—","Direction=H","UseDPDF=Y")</f>
        <v>#NAME?</v>
      </c>
      <c r="AM309" s="1" t="e">
        <f ca="1">_xll.BDH($C$303,"GEO_GROW_NET_SALES","FQ1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09" s="1" t="e">
        <f ca="1">_xll.BDH($C$303,"GEO_GROW_EBITDA","FQ1 2015","FQ1 2015","Currency=INR","Period=FQ","BEST_FPERIOD_OVERRIDE=FQ","FILING_STATUS=OR","EQY_CONSOLIDATED=Y","FA_ADJUSTED=GAAP","Sort=A","Dates=H","DateFormat=P","Fill=—","Direction=H","UseDPDF=Y")</f>
        <v>#NAME?</v>
      </c>
      <c r="AO309" s="1" t="e">
        <f ca="1">_xll.BDH($C$303,"GEO_GROW_OPER_INC","FQ1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09" s="1" t="e">
        <f ca="1">_xll.BDH($C$303,"NET_INCOME_TO_COMMON_5_YR_GROWTH","FQ1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09" s="1" t="e">
        <f ca="1">_xll.BDH($C$303,"5Y_GEO_GROWTH_DILUTED_EPS","FQ1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09" s="1" t="e">
        <f ca="1">_xll.BDH($C$303,"GEO_GROW_DVD_PER_SH","FQ1 2015","FQ1 2015","Currency=INR","Period=FQ","BEST_FPERIOD_OVERRIDE=FQ","FILING_STATUS=OR","EQY_CONSOLIDATED=Y","Sort=A","Dates=H","DateFormat=P","Fill=—","Direction=H","UseDPDF=Y")</f>
        <v>#NAME?</v>
      </c>
      <c r="AS309" s="1" t="e">
        <f ca="1">_xll.BDH($C$303,"ACCOUNTS_RECEIVABLE_5_YR_GROWTH","FQ1 2015","FQ1 2015","Currency=INR","Period=FQ","BEST_FPERIOD_OVERRIDE=FQ","FILING_STATUS=OR","EQY_CONSOLIDATED=Y","Sort=A","Dates=H","DateFormat=P","Fill=—","Direction=H","UseDPDF=Y")</f>
        <v>#NAME?</v>
      </c>
      <c r="AT309" s="1" t="e">
        <f ca="1">_xll.BDH($C$303,"INVENTORY_5_YEAR_GROWTH","FQ1 2015","FQ1 2015","Currency=INR","Period=FQ","BEST_FPERIOD_OVERRIDE=FQ","FILING_STATUS=OR","EQY_CONSOLIDATED=Y","Sort=A","Dates=H","DateFormat=P","Fill=—","Direction=H","UseDPDF=Y")</f>
        <v>#NAME?</v>
      </c>
      <c r="AU309" s="1" t="e">
        <f ca="1">_xll.BDH($C$303,"NET_FIXED_ASSETS_5_YEAR_GROWTH","FQ1 2015","FQ1 2015","Currency=INR","Period=FQ","BEST_FPERIOD_OVERRIDE=FQ","FILING_STATUS=OR","EQY_CONSOLIDATED=Y","Sort=A","Dates=H","DateFormat=P","Fill=—","Direction=H","UseDPDF=Y")</f>
        <v>#NAME?</v>
      </c>
      <c r="AV309" s="1" t="e">
        <f ca="1">_xll.BDH($C$303,"GEO_GROW_TOT_ASSET","FQ1 2015","FQ1 2015","Currency=INR","Period=FQ","BEST_FPERIOD_OVERRIDE=FQ","FILING_STATUS=OR","EQY_CONSOLIDATED=Y","Sort=A","Dates=H","DateFormat=P","Fill=—","Direction=H","UseDPDF=Y")</f>
        <v>#NAME?</v>
      </c>
      <c r="AW309" s="1" t="e">
        <f ca="1">_xll.BDH($C$303,"MODIFIED_WORKING_CPTL_5YR_GRWTH","FQ1 2015","FQ1 2015","Currency=INR","Period=FQ","BEST_FPERIOD_OVERRIDE=FQ","FILING_STATUS=OR","EQY_CONSOLIDATED=Y","Sort=A","Dates=H","DateFormat=P","Fill=—","Direction=H","UseDPDF=Y")</f>
        <v>#NAME?</v>
      </c>
      <c r="AX309" s="1" t="e">
        <f ca="1">_xll.BDH($C$303,"WORKING_CAPITAL_5_YEAR_GROWTH","FQ1 2015","FQ1 2015","Currency=INR","Period=FQ","BEST_FPERIOD_OVERRIDE=FQ","FILING_STATUS=OR","EQY_CONSOLIDATED=Y","Sort=A","Dates=H","DateFormat=P","Fill=—","Direction=H","UseDPDF=Y")</f>
        <v>#NAME?</v>
      </c>
      <c r="AY309" s="1" t="e">
        <f ca="1">_xll.BDH($C$303,"ACCOUNTS_PAYABLE_5_YEAR_GROWTH","FQ1 2015","FQ1 2015","Currency=INR","Period=FQ","BEST_FPERIOD_OVERRIDE=FQ","FILING_STATUS=OR","EQY_CONSOLIDATED=Y","Sort=A","Dates=H","DateFormat=P","Fill=—","Direction=H","UseDPDF=Y")</f>
        <v>#NAME?</v>
      </c>
      <c r="AZ309" s="1" t="e">
        <f ca="1">_xll.BDH($C$303,"SHORT_TERM_DEBT_5_YEAR_GROWTH","FQ1 2015","FQ1 2015","Currency=INR","Period=FQ","BEST_FPERIOD_OVERRIDE=FQ","FILING_STATUS=OR","EQY_CONSOLIDATED=Y","Sort=A","Dates=H","DateFormat=P","Fill=—","Direction=H","UseDPDF=Y")</f>
        <v>#NAME?</v>
      </c>
      <c r="BA309" s="1" t="e">
        <f ca="1">_xll.BDH($C$303,"TOTAL_DEBT_5_YEAR_GROWTH","FQ1 2015","FQ1 2015","Currency=INR","Period=FQ","BEST_FPERIOD_OVERRIDE=FQ","FILING_STATUS=OR","EQY_CONSOLIDATED=Y","Sort=A","Dates=H","DateFormat=P","Fill=—","Direction=H","UseDPDF=Y")</f>
        <v>#NAME?</v>
      </c>
      <c r="BB309" s="1" t="e">
        <f ca="1">_xll.BDH($C$303,"GEO_GROW_TOT_SHRHLDR_EQY","FQ1 2015","FQ1 2015","Currency=INR","Period=FQ","BEST_FPERIOD_OVERRIDE=FQ","FILING_STATUS=OR","EQY_CONSOLIDATED=Y","Sort=A","Dates=H","DateFormat=P","Fill=—","Direction=H","UseDPDF=Y")</f>
        <v>#NAME?</v>
      </c>
      <c r="BC309" s="1" t="e">
        <f ca="1">_xll.BDH($C$303,"TOTAL_CAPITAL_5_YEAR_GROWTH","FQ1 2015","FQ1 2015","Currency=INR","Period=FQ","BEST_FPERIOD_OVERRIDE=FQ","FILING_STATUS=OR","EQY_CONSOLIDATED=Y","Sort=A","Dates=H","DateFormat=P","Fill=—","Direction=H","UseDPDF=Y")</f>
        <v>#NAME?</v>
      </c>
      <c r="BD309" s="1" t="e">
        <f ca="1">_xll.BDH($C$303,"GEO_GROW_BOOK_VAL","FQ1 2015","FQ1 2015","Currency=INR","Period=FQ","BEST_FPERIOD_OVERRIDE=FQ","FILING_STATUS=OR","EQY_CONSOLIDATED=Y","Sort=A","Dates=H","DateFormat=P","Fill=—","Direction=H","UseDPDF=Y")</f>
        <v>#NAME?</v>
      </c>
      <c r="BE309" s="1" t="e">
        <f ca="1">_xll.BDH($C$303,"GEO_GROW_CASH_OPER_ACT","FQ1 2015","FQ1 2015","Currency=INR","Period=FQ","BEST_FPERIOD_OVERRIDE=FQ","FILING_STATUS=OR","EQY_CONSOLIDATED=Y","Sort=A","Dates=H","DateFormat=P","Fill=—","Direction=H","UseDPDF=Y")</f>
        <v>#NAME?</v>
      </c>
      <c r="BF309" s="1" t="e">
        <f ca="1">_xll.BDH($C$303,"REVENUE_SEQUENTIAL_GROWTH","FQ1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09" s="1" t="e">
        <f ca="1">_xll.BDH($C$303,"EBITDA_SEQUENTIAL_GROWTH","FQ1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09" s="1" t="e">
        <f ca="1">_xll.BDH($C$303,"OPERATING_INCOME_SEQ_GROWTH","FQ1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09" s="1" t="e">
        <f ca="1">_xll.BDH($C$303,"NET_INCOME_TO_COMMON_SEQ_GROWTH","FQ1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09" s="1" t="e">
        <f ca="1">_xll.BDH($C$303,"EPS_DILUTED_SEQUENTIAL_GROWTH","FQ1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09" s="1" t="e">
        <f ca="1">_xll.BDH($C$303,"DPS_SEQUENTIAL_GROWTH","FQ1 2015","FQ1 2015","Currency=INR","Period=FQ","BEST_FPERIOD_OVERRIDE=FQ","FILING_STATUS=OR","EQY_CONSOLIDATED=Y","Sort=A","Dates=H","DateFormat=P","Fill=—","Direction=H","UseDPDF=Y")</f>
        <v>#NAME?</v>
      </c>
      <c r="BL309" s="1" t="e">
        <f ca="1">_xll.BDH($C$303,"ACCOUNTS_RECEIVABLE_SEQ_GROWTH","FQ1 2015","FQ1 2015","Currency=INR","Period=FQ","BEST_FPERIOD_OVERRIDE=FQ","FILING_STATUS=OR","EQY_CONSOLIDATED=Y","Sort=A","Dates=H","DateFormat=P","Fill=—","Direction=H","UseDPDF=Y")</f>
        <v>#NAME?</v>
      </c>
      <c r="BM309" s="1" t="e">
        <f ca="1">_xll.BDH($C$303,"INVENTORY_SEQUENTIAL_GROWTH","FQ1 2015","FQ1 2015","Currency=INR","Period=FQ","BEST_FPERIOD_OVERRIDE=FQ","FILING_STATUS=OR","EQY_CONSOLIDATED=Y","Sort=A","Dates=H","DateFormat=P","Fill=—","Direction=H","UseDPDF=Y")</f>
        <v>#NAME?</v>
      </c>
      <c r="BN309" s="1" t="e">
        <f ca="1">_xll.BDH($C$303,"FIXED_ASSETS_SEQUENTIAL_GROWTH","FQ1 2015","FQ1 2015","Currency=INR","Period=FQ","BEST_FPERIOD_OVERRIDE=FQ","FILING_STATUS=OR","EQY_CONSOLIDATED=Y","Sort=A","Dates=H","DateFormat=P","Fill=—","Direction=H","UseDPDF=Y")</f>
        <v>#NAME?</v>
      </c>
      <c r="BO309" s="1" t="e">
        <f ca="1">_xll.BDH($C$303,"TOTAL_ASSETS_SEQUENTIAL_GROWTH","FQ1 2015","FQ1 2015","Currency=INR","Period=FQ","BEST_FPERIOD_OVERRIDE=FQ","FILING_STATUS=OR","EQY_CONSOLIDATED=Y","Sort=A","Dates=H","DateFormat=P","Fill=—","Direction=H","UseDPDF=Y")</f>
        <v>#NAME?</v>
      </c>
      <c r="BP309" s="1" t="e">
        <f ca="1">_xll.BDH($C$303,"MODIFIED_WORKING_CPTL_SEQ_GRWTH","FQ1 2015","FQ1 2015","Currency=INR","Period=FQ","BEST_FPERIOD_OVERRIDE=FQ","FILING_STATUS=OR","EQY_CONSOLIDATED=Y","Sort=A","Dates=H","DateFormat=P","Fill=—","Direction=H","UseDPDF=Y")</f>
        <v>#NAME?</v>
      </c>
      <c r="BQ309" s="1" t="e">
        <f ca="1">_xll.BDH($C$303,"WORKING_CAPITAL_SEQ_GROWTH","FQ1 2015","FQ1 2015","Currency=INR","Period=FQ","BEST_FPERIOD_OVERRIDE=FQ","FILING_STATUS=OR","EQY_CONSOLIDATED=Y","Sort=A","Dates=H","DateFormat=P","Fill=—","Direction=H","UseDPDF=Y")</f>
        <v>#NAME?</v>
      </c>
      <c r="BR309" s="1" t="e">
        <f ca="1">_xll.BDH($C$303,"ACCOUNTS_PAYABLE_SEQ_GROWTH","FQ1 2015","FQ1 2015","Currency=INR","Period=FQ","BEST_FPERIOD_OVERRIDE=FQ","FILING_STATUS=OR","EQY_CONSOLIDATED=Y","Sort=A","Dates=H","DateFormat=P","Fill=—","Direction=H","UseDPDF=Y")</f>
        <v>#NAME?</v>
      </c>
      <c r="BS309" s="1" t="e">
        <f ca="1">_xll.BDH($C$303,"ST_DEBT_SEQUENTIAL_GROWTH","FQ1 2015","FQ1 2015","Currency=INR","Period=FQ","BEST_FPERIOD_OVERRIDE=FQ","FILING_STATUS=OR","EQY_CONSOLIDATED=Y","Sort=A","Dates=H","DateFormat=P","Fill=—","Direction=H","UseDPDF=Y")</f>
        <v>#NAME?</v>
      </c>
      <c r="BT309" s="1" t="e">
        <f ca="1">_xll.BDH($C$303,"TOTAL_DEBT_SEQUENTIAL_GROWTH","FQ1 2015","FQ1 2015","Currency=INR","Period=FQ","BEST_FPERIOD_OVERRIDE=FQ","FILING_STATUS=OR","EQY_CONSOLIDATED=Y","Sort=A","Dates=H","DateFormat=P","Fill=—","Direction=H","UseDPDF=Y")</f>
        <v>#NAME?</v>
      </c>
      <c r="BU309" s="1" t="e">
        <f ca="1">_xll.BDH($C$303,"TOTAL_EQUITY_SEQUENTIAL_GROWTH","FQ1 2015","FQ1 2015","Currency=INR","Period=FQ","BEST_FPERIOD_OVERRIDE=FQ","FILING_STATUS=OR","EQY_CONSOLIDATED=Y","Sort=A","Dates=H","DateFormat=P","Fill=—","Direction=H","UseDPDF=Y")</f>
        <v>#NAME?</v>
      </c>
      <c r="BV309" s="1" t="e">
        <f ca="1">_xll.BDH($C$303,"TOTAL_CAPITAL_SEQUENTIAL_GROWTH","FQ1 2015","FQ1 2015","Currency=INR","Period=FQ","BEST_FPERIOD_OVERRIDE=FQ","FILING_STATUS=OR","EQY_CONSOLIDATED=Y","Sort=A","Dates=H","DateFormat=P","Fill=—","Direction=H","UseDPDF=Y")</f>
        <v>#NAME?</v>
      </c>
      <c r="BW309" s="1" t="e">
        <f ca="1">_xll.BDH($C$303,"BPS_SEQUENTIAL_GROWTH","FQ1 2015","FQ1 2015","Currency=INR","Period=FQ","BEST_FPERIOD_OVERRIDE=FQ","FILING_STATUS=OR","EQY_CONSOLIDATED=Y","Sort=A","Dates=H","DateFormat=P","Fill=—","Direction=H","UseDPDF=Y")</f>
        <v>#NAME?</v>
      </c>
      <c r="BX309" s="1" t="e">
        <f ca="1">_xll.BDH($C$303,"CFO_SEQUENTIAL_GROWTH","FQ1 2015","FQ1 2015","Currency=INR","Period=FQ","BEST_FPERIOD_OVERRIDE=FQ","FILING_STATUS=OR","EQY_CONSOLIDATED=Y","Sort=A","Dates=H","DateFormat=P","Fill=—","Direction=H","UseDPDF=Y")</f>
        <v>#NAME?</v>
      </c>
      <c r="BY309" s="2" t="e">
        <f ca="1">_xll.BDH($C$303,"SHORT_AND_LONG_TERM_DEBT","FQ1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09" s="2" t="e">
        <f ca="1">_xll.BDH($C$303,"BS_ST_BORROW","FQ1 2015","FQ1 2015","Currency=INR","Period=FQ","BEST_FPERIOD_OVERRIDE=FQ","FILING_STATUS=OR","EQY_CONSOLIDATED=Y","SCALING_FORMAT=MLN","Sort=A","Dates=H","DateFormat=P","Fill=—","Direction=H","UseDPDF=Y")</f>
        <v>#NAME?</v>
      </c>
      <c r="CA309" s="2" t="e">
        <f ca="1">_xll.BDH($C$303,"BS_LT_BORROW","FQ1 2015","FQ1 2015","Currency=INR","Period=FQ","BEST_FPERIOD_OVERRIDE=FQ","FILING_STATUS=OR","EQY_CONSOLIDATED=Y","SCALING_FORMAT=MLN","Sort=A","Dates=H","DateFormat=P","Fill=—","Direction=H","UseDPDF=Y")</f>
        <v>#NAME?</v>
      </c>
      <c r="CB309" s="1" t="e">
        <f ca="1">_xll.BDH($C$303,"TOT_DEBT_TO_EBITDA","FQ1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09" s="1" t="e">
        <f ca="1">_xll.BDH($C$303,"NET_DEBT_TO_EBITDA","FQ1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09" s="1" t="e">
        <f ca="1">_xll.BDH($C$303,"TOTAL_DEBT_TO_EBIT","FQ1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09" s="1" t="e">
        <f ca="1">_xll.BDH($C$303,"NET_DEBT_TO_EBIT","FQ1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309" s="1" t="e">
        <f ca="1">_xll.BDH($C$303,"EBITDA_TO_INTEREST_EXPN","FQ1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09" s="1" t="e">
        <f ca="1">_xll.BDH($C$303,"COM_EQY_TO_TOT_ASSET","FQ1 2015","FQ1 2015","Currency=INR","Period=FQ","BEST_FPERIOD_OVERRIDE=FQ","FILING_STATUS=OR","EQY_CONSOLIDATED=Y","Sort=A","Dates=H","DateFormat=P","Fill=—","Direction=H","UseDPDF=Y")</f>
        <v>#NAME?</v>
      </c>
      <c r="CH309" s="1" t="e">
        <f ca="1">_xll.BDH($C$303,"LT_DEBT_TO_TOT_EQY","FQ1 2015","FQ1 2015","Currency=INR","Period=FQ","BEST_FPERIOD_OVERRIDE=FQ","FILING_STATUS=OR","EQY_CONSOLIDATED=Y","Sort=A","Dates=H","DateFormat=P","Fill=—","Direction=H","UseDPDF=Y")</f>
        <v>#NAME?</v>
      </c>
      <c r="CI309" s="1" t="e">
        <f ca="1">_xll.BDH($C$303,"LT_DEBT_TO_TOT_CAP","FQ1 2015","FQ1 2015","Currency=INR","Period=FQ","BEST_FPERIOD_OVERRIDE=FQ","FILING_STATUS=OR","EQY_CONSOLIDATED=Y","Sort=A","Dates=H","DateFormat=P","Fill=—","Direction=H","UseDPDF=Y")</f>
        <v>#NAME?</v>
      </c>
      <c r="CJ309" s="1" t="e">
        <f ca="1">_xll.BDH($C$303,"LT_DEBT_TO_TOT_ASSET","FQ1 2015","FQ1 2015","Currency=INR","Period=FQ","BEST_FPERIOD_OVERRIDE=FQ","FILING_STATUS=OR","EQY_CONSOLIDATED=Y","Sort=A","Dates=H","DateFormat=P","Fill=—","Direction=H","UseDPDF=Y")</f>
        <v>#NAME?</v>
      </c>
      <c r="CK309" s="1" t="e">
        <f ca="1">_xll.BDH($C$303,"TOT_DEBT_TO_TOT_EQY","FQ1 2015","FQ1 2015","Currency=INR","Period=FQ","BEST_FPERIOD_OVERRIDE=FQ","FILING_STATUS=OR","EQY_CONSOLIDATED=Y","Sort=A","Dates=H","DateFormat=P","Fill=—","Direction=H","UseDPDF=Y")</f>
        <v>#NAME?</v>
      </c>
      <c r="CL309" s="1" t="e">
        <f ca="1">_xll.BDH($C$303,"TOT_DEBT_TO_TOT_CAP","FQ1 2015","FQ1 2015","Currency=INR","Period=FQ","BEST_FPERIOD_OVERRIDE=FQ","FILING_STATUS=OR","EQY_CONSOLIDATED=Y","Sort=A","Dates=H","DateFormat=P","Fill=—","Direction=H","UseDPDF=Y")</f>
        <v>#NAME?</v>
      </c>
      <c r="CM309" s="1" t="e">
        <f ca="1">_xll.BDH($C$303,"TOT_DEBT_TO_TOT_ASSET","FQ1 2015","FQ1 2015","Currency=INR","Period=FQ","BEST_FPERIOD_OVERRIDE=FQ","FILING_STATUS=OR","EQY_CONSOLIDATED=Y","Sort=A","Dates=H","DateFormat=P","Fill=—","Direction=H","UseDPDF=Y")</f>
        <v>#NAME?</v>
      </c>
      <c r="CN309" s="1" t="e">
        <f ca="1">_xll.BDH($C$303,"NET_DEBT_TO_SHRHLDR_EQTY","FQ1 2015","FQ1 2015","Currency=INR","Period=FQ","BEST_FPERIOD_OVERRIDE=FQ","FILING_STATUS=OR","EQY_CONSOLIDATED=Y","Sort=A","Dates=H","DateFormat=P","Fill=—","Direction=H","UseDPDF=Y")</f>
        <v>#NAME?</v>
      </c>
      <c r="CO309" s="1" t="e">
        <f ca="1">_xll.BDH($C$303,"NET_DEBT_%_CAPITAL","FQ1 2015","FQ1 2015","Currency=INR","Period=FQ","BEST_FPERIOD_OVERRIDE=FQ","FILING_STATUS=OR","EQY_CONSOLIDATED=Y","Sort=A","Dates=H","DateFormat=P","Fill=—","Direction=H","UseDPDF=Y")</f>
        <v>#NAME?</v>
      </c>
      <c r="CP309" s="2" t="e">
        <f ca="1">_xll.BDH($C$303,"EBITDA","FQ1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09" s="2" t="e">
        <f ca="1">_xll.BDH($C$303,"EBITDA_AFTER_CAPEX","FQ1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09" s="2" t="e">
        <f ca="1">_xll.BDH($C$303,"IS_OPER_INC","FQ1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09" s="1" t="e">
        <f ca="1">_xll.BDH($C$303,"CASH_RATIO","FQ1 2015","FQ1 2015","Currency=INR","Period=FQ","BEST_FPERIOD_OVERRIDE=FQ","FILING_STATUS=OR","EQY_CONSOLIDATED=Y","Sort=A","Dates=H","DateFormat=P","Fill=—","Direction=H","UseDPDF=Y")</f>
        <v>#NAME?</v>
      </c>
      <c r="CT309" s="1" t="e">
        <f ca="1">_xll.BDH($C$303,"CUR_RATIO","FQ1 2015","FQ1 2015","Currency=INR","Period=FQ","BEST_FPERIOD_OVERRIDE=FQ","FILING_STATUS=OR","EQY_CONSOLIDATED=Y","Sort=A","Dates=H","DateFormat=P","Fill=—","Direction=H","UseDPDF=Y")</f>
        <v>#NAME?</v>
      </c>
      <c r="CU309" s="1" t="e">
        <f ca="1">_xll.BDH($C$303,"QUICK_RATIO","FQ1 2015","FQ1 2015","Currency=INR","Period=FQ","BEST_FPERIOD_OVERRIDE=FQ","FILING_STATUS=OR","EQY_CONSOLIDATED=Y","Sort=A","Dates=H","DateFormat=P","Fill=—","Direction=H","UseDPDF=Y")</f>
        <v>#NAME?</v>
      </c>
      <c r="CV309" s="1" t="e">
        <f ca="1">_xll.BDH($C$303,"ALTMAN_Z_SCORE","FQ1 2015","FQ1 2015","Currency=INR","Period=FQ","BEST_FPERIOD_OVERRIDE=FQ","FILING_STATUS=OR","EQY_CONSOLIDATED=Y","Sort=A","Dates=H","DateFormat=P","Fill=—","Direction=H","UseDPDF=Y")</f>
        <v>#NAME?</v>
      </c>
      <c r="CW309" s="3" t="e">
        <f ca="1">_xll.BDH($C$303,"ACCT_RCV_TURN","FQ1 2015","FQ1 2015","Currency=INR","Period=FQ","BEST_FPERIOD_OVERRIDE=FQ","FILING_STATUS=OR","EQY_CONSOLIDATED=Y","FA_ADJUSTED=GAAP","Sort=A","Dates=H","DateFormat=P","Fill=—","Direction=H","UseDPDF=Y")</f>
        <v>#NAME?</v>
      </c>
      <c r="CX309" s="1" t="e">
        <f ca="1">_xll.BDH($C$303,"ACCT_RCV_DAYS","FQ1 2015","FQ1 2015","Currency=INR","Period=FQ","BEST_FPERIOD_OVERRIDE=FQ","FILING_STATUS=OR","EQY_CONSOLIDATED=Y","FA_ADJUSTED=GAAP","Sort=A","Dates=H","DateFormat=P","Fill=—","Direction=H","UseDPDF=Y")</f>
        <v>#NAME?</v>
      </c>
      <c r="CY309" s="3" t="e">
        <f ca="1">_xll.BDH($C$303,"INVENT_TURN","FQ1 2015","FQ1 2015","Currency=INR","Period=FQ","BEST_FPERIOD_OVERRIDE=FQ","FILING_STATUS=OR","EQY_CONSOLIDATED=Y","FA_ADJUSTED=GAAP","Sort=A","Dates=H","DateFormat=P","Fill=—","Direction=H","UseDPDF=Y")</f>
        <v>#NAME?</v>
      </c>
      <c r="CZ309" s="1" t="e">
        <f ca="1">_xll.BDH($C$303,"INVENT_DAYS","FQ1 2015","FQ1 2015","Currency=INR","Period=FQ","BEST_FPERIOD_OVERRIDE=FQ","FILING_STATUS=OR","EQY_CONSOLIDATED=Y","FA_ADJUSTED=GAAP","Sort=A","Dates=H","DateFormat=P","Fill=—","Direction=H","UseDPDF=Y")</f>
        <v>#NAME?</v>
      </c>
      <c r="DA309" s="3" t="e">
        <f ca="1">_xll.BDH($C$303,"ACCOUNTS_PAYABLE_TURNOVER","FQ1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09" s="1" t="e">
        <f ca="1">_xll.BDH($C$303,"ACCOUNTS_PAYABLE_TURNOVER_DAYS","FQ1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09" s="3" t="e">
        <f ca="1">_xll.BDH($C$303,"CASH_CONVERSION_CYCLE","FQ1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09" s="3" t="e">
        <f ca="1">_xll.BDH($C$303,"INV_TO_CASH_DAYS","FQ1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309" s="4" t="e">
        <f ca="1">_xll.BDH($C$303,"BS_INVENTORIES","FQ1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309" s="2" t="e">
        <f ca="1">_xll.BDH($C$303,"INVTRY_RAW_MATERIALS","FQ1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09" s="2" t="e">
        <f ca="1">_xll.BDH($C$303,"INVTRY_IN_PROGRESS","FQ1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09" s="2" t="e">
        <f ca="1">_xll.BDH($C$303,"INVTRY_FINISHED_GOODS","FQ1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09" s="2" t="e">
        <f ca="1">_xll.BDH($C$303,"BS_OTHER_INV","FQ1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10" spans="1:113" x14ac:dyDescent="0.3">
      <c r="A310" s="6"/>
      <c r="B310" s="6"/>
      <c r="C310" s="6"/>
      <c r="D310" s="6"/>
      <c r="E310" t="s">
        <v>5</v>
      </c>
      <c r="F310" t="e">
        <f ca="1">_xll.BDH($C$303,"RETURN_COM_EQY","FQ2 2015","FQ2 2015","Currency=INR","Period=FQ","BEST_FPERIOD_OVERRIDE=FQ","FILING_STATUS=OR","EQY_CONSOLIDATED=Y","FA_ADJUSTED=GAAP","Sort=A","Dates=H","DateFormat=P","Fill=—","Direction=H","UseDPDF=Y")</f>
        <v>#NAME?</v>
      </c>
      <c r="G310" t="e">
        <f ca="1">_xll.BDH($C$303,"RETURN_ON_ASSET","FQ2 2015","FQ2 2015","Currency=INR","Period=FQ","BEST_FPERIOD_OVERRIDE=FQ","FILING_STATUS=OR","EQY_CONSOLIDATED=Y","FA_ADJUSTED=GAAP","Sort=A","Dates=H","DateFormat=P","Fill=—","Direction=H","UseDPDF=Y")</f>
        <v>#NAME?</v>
      </c>
      <c r="H310" t="e">
        <f ca="1">_xll.BDH($C$303,"RETURN_ON_CAP","FQ2 2015","FQ2 2015","Currency=INR","Period=FQ","BEST_FPERIOD_OVERRIDE=FQ","FILING_STATUS=OR","EQY_CONSOLIDATED=Y","FA_ADJUSTED=GAAP","Sort=A","Dates=H","DateFormat=P","Fill=—","Direction=H","UseDPDF=Y")</f>
        <v>#NAME?</v>
      </c>
      <c r="I310" t="e">
        <f ca="1">_xll.BDH($C$303,"RETURN_ON_INV_CAPITAL","FQ2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10" t="e">
        <f ca="1">_xll.BDH($C$303,"EBITDA_TO_REVENUE","FQ2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310" t="e">
        <f ca="1">_xll.BDH($C$303,"OPER_MARGIN","FQ2 2015","FQ2 2015","Currency=INR","Period=FQ","BEST_FPERIOD_OVERRIDE=FQ","FILING_STATUS=OR","EQY_CONSOLIDATED=Y","FA_ADJUSTED=GAAP","Sort=A","Dates=H","DateFormat=P","Fill=—","Direction=H","UseDPDF=Y")</f>
        <v>#NAME?</v>
      </c>
      <c r="L310" t="e">
        <f ca="1">_xll.BDH($C$303,"INCREMENTAL_OPERATING_MARGIN","FQ2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10" t="e">
        <f ca="1">_xll.BDH($C$303,"PRETAX_INC_TO_NET_SALES","FQ2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10" t="e">
        <f ca="1">_xll.BDH($C$303,"INC_BEF_XO_ITEMS_TO_NET_SALES","FQ2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10" t="e">
        <f ca="1">_xll.BDH($C$303,"PROF_MARGIN","FQ2 2015","FQ2 2015","Currency=INR","Period=FQ","BEST_FPERIOD_OVERRIDE=FQ","FILING_STATUS=OR","EQY_CONSOLIDATED=Y","FA_ADJUSTED=GAAP","Sort=A","Dates=H","DateFormat=P","Fill=—","Direction=H","UseDPDF=Y")</f>
        <v>#NAME?</v>
      </c>
      <c r="P310" t="e">
        <f ca="1">_xll.BDH($C$303,"NET_INCOME_TO_COMMON_MARGIN","FQ2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10" t="e">
        <f ca="1">_xll.BDH($C$303,"EFF_TAX_RATE","FQ2 2015","FQ2 2015","Currency=INR","Period=FQ","BEST_FPERIOD_OVERRIDE=FQ","FILING_STATUS=OR","EQY_CONSOLIDATED=Y","FA_ADJUSTED=GAAP","Sort=A","Dates=H","DateFormat=P","Fill=—","Direction=H","UseDPDF=Y")</f>
        <v>#NAME?</v>
      </c>
      <c r="R310" t="e">
        <f ca="1">_xll.BDH($C$303,"DVD_PAYOUT_RATIO","FQ2 2015","FQ2 2015","Currency=INR","Period=FQ","BEST_FPERIOD_OVERRIDE=FQ","FILING_STATUS=OR","EQY_CONSOLIDATED=Y","FA_ADJUSTED=GAAP","Sort=A","Dates=H","DateFormat=P","Fill=—","Direction=H","UseDPDF=Y")</f>
        <v>#NAME?</v>
      </c>
      <c r="S310" t="e">
        <f ca="1">_xll.BDH($C$303,"SUSTAIN_GROWTH_RT","FQ2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310" s="1" t="e">
        <f ca="1">_xll.BDH($C$303,"SALES_GROWTH","FQ2 2015","FQ2 2015","Currency=INR","Period=FQ","BEST_FPERIOD_OVERRIDE=FQ","FILING_STATUS=OR","EQY_CONSOLIDATED=Y","FA_ADJUSTED=GAAP","Sort=A","Dates=H","DateFormat=P","Fill=—","Direction=H","UseDPDF=Y")</f>
        <v>#NAME?</v>
      </c>
      <c r="U310" s="1" t="e">
        <f ca="1">_xll.BDH($C$303,"EBITDA_GROWTH","FQ2 2015","FQ2 2015","Currency=INR","Period=FQ","BEST_FPERIOD_OVERRIDE=FQ","FILING_STATUS=OR","EQY_CONSOLIDATED=Y","FA_ADJUSTED=GAAP","Sort=A","Dates=H","DateFormat=P","Fill=—","Direction=H","UseDPDF=Y")</f>
        <v>#NAME?</v>
      </c>
      <c r="V310" s="1" t="e">
        <f ca="1">_xll.BDH($C$303,"OPER_INC_GROWTH","FQ2 2015","FQ2 2015","Currency=INR","Period=FQ","BEST_FPERIOD_OVERRIDE=FQ","FILING_STATUS=OR","EQY_CONSOLIDATED=Y","FA_ADJUSTED=GAAP","Sort=A","Dates=H","DateFormat=P","Fill=—","Direction=H","UseDPDF=Y")</f>
        <v>#NAME?</v>
      </c>
      <c r="W310" s="1" t="e">
        <f ca="1">_xll.BDH($C$303,"EARN_FOR_COM_GROWTH","FQ2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10" s="1" t="e">
        <f ca="1">_xll.BDH($C$303,"DILUTED_EPS_AFT_XO_ITEMS_GROWTH","FQ2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10" s="1" t="e">
        <f ca="1">_xll.BDH($C$303,"DIVIDEND_PER_SHARE_1_YEAR_GROWTH","FQ2 2015","FQ2 2015","Currency=INR","Period=FQ","BEST_FPERIOD_OVERRIDE=FQ","FILING_STATUS=OR","EQY_CONSOLIDATED=Y","Sort=A","Dates=H","DateFormat=P","Fill=—","Direction=H","UseDPDF=Y")</f>
        <v>#NAME?</v>
      </c>
      <c r="Z310" s="1" t="e">
        <f ca="1">_xll.BDH($C$303,"ACCOUNTS_RECEIVABLE_GROWTH","FQ2 2015","FQ2 2015","Currency=INR","Period=FQ","BEST_FPERIOD_OVERRIDE=FQ","FILING_STATUS=OR","EQY_CONSOLIDATED=Y","Sort=A","Dates=H","DateFormat=P","Fill=—","Direction=H","UseDPDF=Y")</f>
        <v>#NAME?</v>
      </c>
      <c r="AA310" s="1" t="e">
        <f ca="1">_xll.BDH($C$303,"INVENTORY_GROWTH","FQ2 2015","FQ2 2015","Currency=INR","Period=FQ","BEST_FPERIOD_OVERRIDE=FQ","FILING_STATUS=OR","EQY_CONSOLIDATED=Y","Sort=A","Dates=H","DateFormat=P","Fill=—","Direction=H","UseDPDF=Y")</f>
        <v>#NAME?</v>
      </c>
      <c r="AB310" s="1" t="e">
        <f ca="1">_xll.BDH($C$303,"NET_FIXED_ASSETS_1_YEAR_GROWTH","FQ2 2015","FQ2 2015","Currency=INR","Period=FQ","BEST_FPERIOD_OVERRIDE=FQ","FILING_STATUS=OR","EQY_CONSOLIDATED=Y","Sort=A","Dates=H","DateFormat=P","Fill=—","Direction=H","UseDPDF=Y")</f>
        <v>#NAME?</v>
      </c>
      <c r="AC310" s="1" t="e">
        <f ca="1">_xll.BDH($C$303,"ASSET_GROWTH","FQ2 2015","FQ2 2015","Currency=INR","Period=FQ","BEST_FPERIOD_OVERRIDE=FQ","FILING_STATUS=OR","EQY_CONSOLIDATED=Y","Sort=A","Dates=H","DateFormat=P","Fill=—","Direction=H","UseDPDF=Y")</f>
        <v>#NAME?</v>
      </c>
      <c r="AD310" s="1" t="e">
        <f ca="1">_xll.BDH($C$303,"MODIFIED_WORK_CAP_GROWTH","FQ2 2015","FQ2 2015","Currency=INR","Period=FQ","BEST_FPERIOD_OVERRIDE=FQ","FILING_STATUS=OR","EQY_CONSOLIDATED=Y","Sort=A","Dates=H","DateFormat=P","Fill=—","Direction=H","UseDPDF=Y")</f>
        <v>#NAME?</v>
      </c>
      <c r="AE310" s="1" t="e">
        <f ca="1">_xll.BDH($C$303,"WORK_CAP_GROWTH","FQ2 2015","FQ2 2015","Currency=INR","Period=FQ","BEST_FPERIOD_OVERRIDE=FQ","FILING_STATUS=OR","EQY_CONSOLIDATED=Y","Sort=A","Dates=H","DateFormat=P","Fill=—","Direction=H","UseDPDF=Y")</f>
        <v>#NAME?</v>
      </c>
      <c r="AF310" s="1" t="e">
        <f ca="1">_xll.BDH($C$303,"ACCOUNTS_PAYABLE_GROWTH_1YR","FQ2 2015","FQ2 2015","Currency=INR","Period=FQ","BEST_FPERIOD_OVERRIDE=FQ","FILING_STATUS=OR","EQY_CONSOLIDATED=Y","Sort=A","Dates=H","DateFormat=P","Fill=—","Direction=H","UseDPDF=Y")</f>
        <v>#NAME?</v>
      </c>
      <c r="AG310" s="1" t="e">
        <f ca="1">_xll.BDH($C$303,"SHORT_TERM_DEBT_1_YEAR_GROWTH","FQ2 2015","FQ2 2015","Currency=INR","Period=FQ","BEST_FPERIOD_OVERRIDE=FQ","FILING_STATUS=OR","EQY_CONSOLIDATED=Y","Sort=A","Dates=H","DateFormat=P","Fill=—","Direction=H","UseDPDF=Y")</f>
        <v>#NAME?</v>
      </c>
      <c r="AH310" s="1" t="e">
        <f ca="1">_xll.BDH($C$303,"TOTAL_DEBT_1_YEAR_GROWTH","FQ2 2015","FQ2 2015","Currency=INR","Period=FQ","BEST_FPERIOD_OVERRIDE=FQ","FILING_STATUS=OR","EQY_CONSOLIDATED=Y","Sort=A","Dates=H","DateFormat=P","Fill=—","Direction=H","UseDPDF=Y")</f>
        <v>#NAME?</v>
      </c>
      <c r="AI310" s="1" t="e">
        <f ca="1">_xll.BDH($C$303,"TOTAL_EQUITY_1_YEAR_GROWTH","FQ2 2015","FQ2 2015","Currency=INR","Period=FQ","BEST_FPERIOD_OVERRIDE=FQ","FILING_STATUS=OR","EQY_CONSOLIDATED=Y","Sort=A","Dates=H","DateFormat=P","Fill=—","Direction=H","UseDPDF=Y")</f>
        <v>#NAME?</v>
      </c>
      <c r="AJ310" s="1" t="e">
        <f ca="1">_xll.BDH($C$303,"GROWTH_IN_CAP","FQ2 2015","FQ2 2015","Currency=INR","Period=FQ","BEST_FPERIOD_OVERRIDE=FQ","FILING_STATUS=OR","EQY_CONSOLIDATED=Y","Sort=A","Dates=H","DateFormat=P","Fill=—","Direction=H","UseDPDF=Y")</f>
        <v>#NAME?</v>
      </c>
      <c r="AK310" s="1" t="e">
        <f ca="1">_xll.BDH($C$303,"BVPS_GROWTH","FQ2 2015","FQ2 2015","Currency=INR","Period=FQ","BEST_FPERIOD_OVERRIDE=FQ","FILING_STATUS=OR","EQY_CONSOLIDATED=Y","Sort=A","Dates=H","DateFormat=P","Fill=—","Direction=H","UseDPDF=Y")</f>
        <v>#NAME?</v>
      </c>
      <c r="AL310" s="1" t="e">
        <f ca="1">_xll.BDH($C$303,"CASH_FLOW_GROWTH","FQ2 2015","FQ2 2015","Currency=INR","Period=FQ","BEST_FPERIOD_OVERRIDE=FQ","FILING_STATUS=OR","EQY_CONSOLIDATED=Y","Sort=A","Dates=H","DateFormat=P","Fill=—","Direction=H","UseDPDF=Y")</f>
        <v>#NAME?</v>
      </c>
      <c r="AM310" s="1" t="e">
        <f ca="1">_xll.BDH($C$303,"GEO_GROW_NET_SALES","FQ2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10" s="1" t="e">
        <f ca="1">_xll.BDH($C$303,"GEO_GROW_EBITDA","FQ2 2015","FQ2 2015","Currency=INR","Period=FQ","BEST_FPERIOD_OVERRIDE=FQ","FILING_STATUS=OR","EQY_CONSOLIDATED=Y","FA_ADJUSTED=GAAP","Sort=A","Dates=H","DateFormat=P","Fill=—","Direction=H","UseDPDF=Y")</f>
        <v>#NAME?</v>
      </c>
      <c r="AO310" s="1" t="e">
        <f ca="1">_xll.BDH($C$303,"GEO_GROW_OPER_INC","FQ2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10" s="1" t="e">
        <f ca="1">_xll.BDH($C$303,"NET_INCOME_TO_COMMON_5_YR_GROWTH","FQ2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10" s="1" t="e">
        <f ca="1">_xll.BDH($C$303,"5Y_GEO_GROWTH_DILUTED_EPS","FQ2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10" s="1" t="e">
        <f ca="1">_xll.BDH($C$303,"GEO_GROW_DVD_PER_SH","FQ2 2015","FQ2 2015","Currency=INR","Period=FQ","BEST_FPERIOD_OVERRIDE=FQ","FILING_STATUS=OR","EQY_CONSOLIDATED=Y","Sort=A","Dates=H","DateFormat=P","Fill=—","Direction=H","UseDPDF=Y")</f>
        <v>#NAME?</v>
      </c>
      <c r="AS310" s="1" t="e">
        <f ca="1">_xll.BDH($C$303,"ACCOUNTS_RECEIVABLE_5_YR_GROWTH","FQ2 2015","FQ2 2015","Currency=INR","Period=FQ","BEST_FPERIOD_OVERRIDE=FQ","FILING_STATUS=OR","EQY_CONSOLIDATED=Y","Sort=A","Dates=H","DateFormat=P","Fill=—","Direction=H","UseDPDF=Y")</f>
        <v>#NAME?</v>
      </c>
      <c r="AT310" s="1" t="e">
        <f ca="1">_xll.BDH($C$303,"INVENTORY_5_YEAR_GROWTH","FQ2 2015","FQ2 2015","Currency=INR","Period=FQ","BEST_FPERIOD_OVERRIDE=FQ","FILING_STATUS=OR","EQY_CONSOLIDATED=Y","Sort=A","Dates=H","DateFormat=P","Fill=—","Direction=H","UseDPDF=Y")</f>
        <v>#NAME?</v>
      </c>
      <c r="AU310" s="1" t="e">
        <f ca="1">_xll.BDH($C$303,"NET_FIXED_ASSETS_5_YEAR_GROWTH","FQ2 2015","FQ2 2015","Currency=INR","Period=FQ","BEST_FPERIOD_OVERRIDE=FQ","FILING_STATUS=OR","EQY_CONSOLIDATED=Y","Sort=A","Dates=H","DateFormat=P","Fill=—","Direction=H","UseDPDF=Y")</f>
        <v>#NAME?</v>
      </c>
      <c r="AV310" s="1" t="e">
        <f ca="1">_xll.BDH($C$303,"GEO_GROW_TOT_ASSET","FQ2 2015","FQ2 2015","Currency=INR","Period=FQ","BEST_FPERIOD_OVERRIDE=FQ","FILING_STATUS=OR","EQY_CONSOLIDATED=Y","Sort=A","Dates=H","DateFormat=P","Fill=—","Direction=H","UseDPDF=Y")</f>
        <v>#NAME?</v>
      </c>
      <c r="AW310" s="1" t="e">
        <f ca="1">_xll.BDH($C$303,"MODIFIED_WORKING_CPTL_5YR_GRWTH","FQ2 2015","FQ2 2015","Currency=INR","Period=FQ","BEST_FPERIOD_OVERRIDE=FQ","FILING_STATUS=OR","EQY_CONSOLIDATED=Y","Sort=A","Dates=H","DateFormat=P","Fill=—","Direction=H","UseDPDF=Y")</f>
        <v>#NAME?</v>
      </c>
      <c r="AX310" s="1" t="e">
        <f ca="1">_xll.BDH($C$303,"WORKING_CAPITAL_5_YEAR_GROWTH","FQ2 2015","FQ2 2015","Currency=INR","Period=FQ","BEST_FPERIOD_OVERRIDE=FQ","FILING_STATUS=OR","EQY_CONSOLIDATED=Y","Sort=A","Dates=H","DateFormat=P","Fill=—","Direction=H","UseDPDF=Y")</f>
        <v>#NAME?</v>
      </c>
      <c r="AY310" s="1" t="e">
        <f ca="1">_xll.BDH($C$303,"ACCOUNTS_PAYABLE_5_YEAR_GROWTH","FQ2 2015","FQ2 2015","Currency=INR","Period=FQ","BEST_FPERIOD_OVERRIDE=FQ","FILING_STATUS=OR","EQY_CONSOLIDATED=Y","Sort=A","Dates=H","DateFormat=P","Fill=—","Direction=H","UseDPDF=Y")</f>
        <v>#NAME?</v>
      </c>
      <c r="AZ310" s="1" t="e">
        <f ca="1">_xll.BDH($C$303,"SHORT_TERM_DEBT_5_YEAR_GROWTH","FQ2 2015","FQ2 2015","Currency=INR","Period=FQ","BEST_FPERIOD_OVERRIDE=FQ","FILING_STATUS=OR","EQY_CONSOLIDATED=Y","Sort=A","Dates=H","DateFormat=P","Fill=—","Direction=H","UseDPDF=Y")</f>
        <v>#NAME?</v>
      </c>
      <c r="BA310" s="1" t="e">
        <f ca="1">_xll.BDH($C$303,"TOTAL_DEBT_5_YEAR_GROWTH","FQ2 2015","FQ2 2015","Currency=INR","Period=FQ","BEST_FPERIOD_OVERRIDE=FQ","FILING_STATUS=OR","EQY_CONSOLIDATED=Y","Sort=A","Dates=H","DateFormat=P","Fill=—","Direction=H","UseDPDF=Y")</f>
        <v>#NAME?</v>
      </c>
      <c r="BB310" s="1" t="e">
        <f ca="1">_xll.BDH($C$303,"GEO_GROW_TOT_SHRHLDR_EQY","FQ2 2015","FQ2 2015","Currency=INR","Period=FQ","BEST_FPERIOD_OVERRIDE=FQ","FILING_STATUS=OR","EQY_CONSOLIDATED=Y","Sort=A","Dates=H","DateFormat=P","Fill=—","Direction=H","UseDPDF=Y")</f>
        <v>#NAME?</v>
      </c>
      <c r="BC310" s="1" t="e">
        <f ca="1">_xll.BDH($C$303,"TOTAL_CAPITAL_5_YEAR_GROWTH","FQ2 2015","FQ2 2015","Currency=INR","Period=FQ","BEST_FPERIOD_OVERRIDE=FQ","FILING_STATUS=OR","EQY_CONSOLIDATED=Y","Sort=A","Dates=H","DateFormat=P","Fill=—","Direction=H","UseDPDF=Y")</f>
        <v>#NAME?</v>
      </c>
      <c r="BD310" s="1" t="e">
        <f ca="1">_xll.BDH($C$303,"GEO_GROW_BOOK_VAL","FQ2 2015","FQ2 2015","Currency=INR","Period=FQ","BEST_FPERIOD_OVERRIDE=FQ","FILING_STATUS=OR","EQY_CONSOLIDATED=Y","Sort=A","Dates=H","DateFormat=P","Fill=—","Direction=H","UseDPDF=Y")</f>
        <v>#NAME?</v>
      </c>
      <c r="BE310" s="1" t="e">
        <f ca="1">_xll.BDH($C$303,"GEO_GROW_CASH_OPER_ACT","FQ2 2015","FQ2 2015","Currency=INR","Period=FQ","BEST_FPERIOD_OVERRIDE=FQ","FILING_STATUS=OR","EQY_CONSOLIDATED=Y","Sort=A","Dates=H","DateFormat=P","Fill=—","Direction=H","UseDPDF=Y")</f>
        <v>#NAME?</v>
      </c>
      <c r="BF310" s="1" t="e">
        <f ca="1">_xll.BDH($C$303,"REVENUE_SEQUENTIAL_GROWTH","FQ2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10" s="1" t="e">
        <f ca="1">_xll.BDH($C$303,"EBITDA_SEQUENTIAL_GROWTH","FQ2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10" s="1" t="e">
        <f ca="1">_xll.BDH($C$303,"OPERATING_INCOME_SEQ_GROWTH","FQ2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10" s="1" t="e">
        <f ca="1">_xll.BDH($C$303,"NET_INCOME_TO_COMMON_SEQ_GROWTH","FQ2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10" s="1" t="e">
        <f ca="1">_xll.BDH($C$303,"EPS_DILUTED_SEQUENTIAL_GROWTH","FQ2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10" s="1" t="e">
        <f ca="1">_xll.BDH($C$303,"DPS_SEQUENTIAL_GROWTH","FQ2 2015","FQ2 2015","Currency=INR","Period=FQ","BEST_FPERIOD_OVERRIDE=FQ","FILING_STATUS=OR","EQY_CONSOLIDATED=Y","Sort=A","Dates=H","DateFormat=P","Fill=—","Direction=H","UseDPDF=Y")</f>
        <v>#NAME?</v>
      </c>
      <c r="BL310" s="1" t="e">
        <f ca="1">_xll.BDH($C$303,"ACCOUNTS_RECEIVABLE_SEQ_GROWTH","FQ2 2015","FQ2 2015","Currency=INR","Period=FQ","BEST_FPERIOD_OVERRIDE=FQ","FILING_STATUS=OR","EQY_CONSOLIDATED=Y","Sort=A","Dates=H","DateFormat=P","Fill=—","Direction=H","UseDPDF=Y")</f>
        <v>#NAME?</v>
      </c>
      <c r="BM310" s="1" t="e">
        <f ca="1">_xll.BDH($C$303,"INVENTORY_SEQUENTIAL_GROWTH","FQ2 2015","FQ2 2015","Currency=INR","Period=FQ","BEST_FPERIOD_OVERRIDE=FQ","FILING_STATUS=OR","EQY_CONSOLIDATED=Y","Sort=A","Dates=H","DateFormat=P","Fill=—","Direction=H","UseDPDF=Y")</f>
        <v>#NAME?</v>
      </c>
      <c r="BN310" s="1" t="e">
        <f ca="1">_xll.BDH($C$303,"FIXED_ASSETS_SEQUENTIAL_GROWTH","FQ2 2015","FQ2 2015","Currency=INR","Period=FQ","BEST_FPERIOD_OVERRIDE=FQ","FILING_STATUS=OR","EQY_CONSOLIDATED=Y","Sort=A","Dates=H","DateFormat=P","Fill=—","Direction=H","UseDPDF=Y")</f>
        <v>#NAME?</v>
      </c>
      <c r="BO310" s="1" t="e">
        <f ca="1">_xll.BDH($C$303,"TOTAL_ASSETS_SEQUENTIAL_GROWTH","FQ2 2015","FQ2 2015","Currency=INR","Period=FQ","BEST_FPERIOD_OVERRIDE=FQ","FILING_STATUS=OR","EQY_CONSOLIDATED=Y","Sort=A","Dates=H","DateFormat=P","Fill=—","Direction=H","UseDPDF=Y")</f>
        <v>#NAME?</v>
      </c>
      <c r="BP310" s="1" t="e">
        <f ca="1">_xll.BDH($C$303,"MODIFIED_WORKING_CPTL_SEQ_GRWTH","FQ2 2015","FQ2 2015","Currency=INR","Period=FQ","BEST_FPERIOD_OVERRIDE=FQ","FILING_STATUS=OR","EQY_CONSOLIDATED=Y","Sort=A","Dates=H","DateFormat=P","Fill=—","Direction=H","UseDPDF=Y")</f>
        <v>#NAME?</v>
      </c>
      <c r="BQ310" s="1" t="e">
        <f ca="1">_xll.BDH($C$303,"WORKING_CAPITAL_SEQ_GROWTH","FQ2 2015","FQ2 2015","Currency=INR","Period=FQ","BEST_FPERIOD_OVERRIDE=FQ","FILING_STATUS=OR","EQY_CONSOLIDATED=Y","Sort=A","Dates=H","DateFormat=P","Fill=—","Direction=H","UseDPDF=Y")</f>
        <v>#NAME?</v>
      </c>
      <c r="BR310" s="1" t="e">
        <f ca="1">_xll.BDH($C$303,"ACCOUNTS_PAYABLE_SEQ_GROWTH","FQ2 2015","FQ2 2015","Currency=INR","Period=FQ","BEST_FPERIOD_OVERRIDE=FQ","FILING_STATUS=OR","EQY_CONSOLIDATED=Y","Sort=A","Dates=H","DateFormat=P","Fill=—","Direction=H","UseDPDF=Y")</f>
        <v>#NAME?</v>
      </c>
      <c r="BS310" s="1" t="e">
        <f ca="1">_xll.BDH($C$303,"ST_DEBT_SEQUENTIAL_GROWTH","FQ2 2015","FQ2 2015","Currency=INR","Period=FQ","BEST_FPERIOD_OVERRIDE=FQ","FILING_STATUS=OR","EQY_CONSOLIDATED=Y","Sort=A","Dates=H","DateFormat=P","Fill=—","Direction=H","UseDPDF=Y")</f>
        <v>#NAME?</v>
      </c>
      <c r="BT310" s="1" t="e">
        <f ca="1">_xll.BDH($C$303,"TOTAL_DEBT_SEQUENTIAL_GROWTH","FQ2 2015","FQ2 2015","Currency=INR","Period=FQ","BEST_FPERIOD_OVERRIDE=FQ","FILING_STATUS=OR","EQY_CONSOLIDATED=Y","Sort=A","Dates=H","DateFormat=P","Fill=—","Direction=H","UseDPDF=Y")</f>
        <v>#NAME?</v>
      </c>
      <c r="BU310" s="1" t="e">
        <f ca="1">_xll.BDH($C$303,"TOTAL_EQUITY_SEQUENTIAL_GROWTH","FQ2 2015","FQ2 2015","Currency=INR","Period=FQ","BEST_FPERIOD_OVERRIDE=FQ","FILING_STATUS=OR","EQY_CONSOLIDATED=Y","Sort=A","Dates=H","DateFormat=P","Fill=—","Direction=H","UseDPDF=Y")</f>
        <v>#NAME?</v>
      </c>
      <c r="BV310" s="1" t="e">
        <f ca="1">_xll.BDH($C$303,"TOTAL_CAPITAL_SEQUENTIAL_GROWTH","FQ2 2015","FQ2 2015","Currency=INR","Period=FQ","BEST_FPERIOD_OVERRIDE=FQ","FILING_STATUS=OR","EQY_CONSOLIDATED=Y","Sort=A","Dates=H","DateFormat=P","Fill=—","Direction=H","UseDPDF=Y")</f>
        <v>#NAME?</v>
      </c>
      <c r="BW310" s="1" t="e">
        <f ca="1">_xll.BDH($C$303,"BPS_SEQUENTIAL_GROWTH","FQ2 2015","FQ2 2015","Currency=INR","Period=FQ","BEST_FPERIOD_OVERRIDE=FQ","FILING_STATUS=OR","EQY_CONSOLIDATED=Y","Sort=A","Dates=H","DateFormat=P","Fill=—","Direction=H","UseDPDF=Y")</f>
        <v>#NAME?</v>
      </c>
      <c r="BX310" s="1" t="e">
        <f ca="1">_xll.BDH($C$303,"CFO_SEQUENTIAL_GROWTH","FQ2 2015","FQ2 2015","Currency=INR","Period=FQ","BEST_FPERIOD_OVERRIDE=FQ","FILING_STATUS=OR","EQY_CONSOLIDATED=Y","Sort=A","Dates=H","DateFormat=P","Fill=—","Direction=H","UseDPDF=Y")</f>
        <v>#NAME?</v>
      </c>
      <c r="BY310" s="2" t="e">
        <f ca="1">_xll.BDH($C$303,"SHORT_AND_LONG_TERM_DEBT","FQ2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10" s="2" t="e">
        <f ca="1">_xll.BDH($C$303,"BS_ST_BORROW","FQ2 2015","FQ2 2015","Currency=INR","Period=FQ","BEST_FPERIOD_OVERRIDE=FQ","FILING_STATUS=OR","EQY_CONSOLIDATED=Y","SCALING_FORMAT=MLN","Sort=A","Dates=H","DateFormat=P","Fill=—","Direction=H","UseDPDF=Y")</f>
        <v>#NAME?</v>
      </c>
      <c r="CA310" s="2" t="e">
        <f ca="1">_xll.BDH($C$303,"BS_LT_BORROW","FQ2 2015","FQ2 2015","Currency=INR","Period=FQ","BEST_FPERIOD_OVERRIDE=FQ","FILING_STATUS=OR","EQY_CONSOLIDATED=Y","SCALING_FORMAT=MLN","Sort=A","Dates=H","DateFormat=P","Fill=—","Direction=H","UseDPDF=Y")</f>
        <v>#NAME?</v>
      </c>
      <c r="CB310" s="1" t="e">
        <f ca="1">_xll.BDH($C$303,"TOT_DEBT_TO_EBITDA","FQ2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10" s="1" t="e">
        <f ca="1">_xll.BDH($C$303,"NET_DEBT_TO_EBITDA","FQ2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10" s="1" t="e">
        <f ca="1">_xll.BDH($C$303,"TOTAL_DEBT_TO_EBIT","FQ2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10" s="1" t="e">
        <f ca="1">_xll.BDH($C$303,"NET_DEBT_TO_EBIT","FQ2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310" s="1" t="e">
        <f ca="1">_xll.BDH($C$303,"EBITDA_TO_INTEREST_EXPN","FQ2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10" s="1" t="e">
        <f ca="1">_xll.BDH($C$303,"COM_EQY_TO_TOT_ASSET","FQ2 2015","FQ2 2015","Currency=INR","Period=FQ","BEST_FPERIOD_OVERRIDE=FQ","FILING_STATUS=OR","EQY_CONSOLIDATED=Y","Sort=A","Dates=H","DateFormat=P","Fill=—","Direction=H","UseDPDF=Y")</f>
        <v>#NAME?</v>
      </c>
      <c r="CH310" s="1" t="e">
        <f ca="1">_xll.BDH($C$303,"LT_DEBT_TO_TOT_EQY","FQ2 2015","FQ2 2015","Currency=INR","Period=FQ","BEST_FPERIOD_OVERRIDE=FQ","FILING_STATUS=OR","EQY_CONSOLIDATED=Y","Sort=A","Dates=H","DateFormat=P","Fill=—","Direction=H","UseDPDF=Y")</f>
        <v>#NAME?</v>
      </c>
      <c r="CI310" s="1" t="e">
        <f ca="1">_xll.BDH($C$303,"LT_DEBT_TO_TOT_CAP","FQ2 2015","FQ2 2015","Currency=INR","Period=FQ","BEST_FPERIOD_OVERRIDE=FQ","FILING_STATUS=OR","EQY_CONSOLIDATED=Y","Sort=A","Dates=H","DateFormat=P","Fill=—","Direction=H","UseDPDF=Y")</f>
        <v>#NAME?</v>
      </c>
      <c r="CJ310" s="1" t="e">
        <f ca="1">_xll.BDH($C$303,"LT_DEBT_TO_TOT_ASSET","FQ2 2015","FQ2 2015","Currency=INR","Period=FQ","BEST_FPERIOD_OVERRIDE=FQ","FILING_STATUS=OR","EQY_CONSOLIDATED=Y","Sort=A","Dates=H","DateFormat=P","Fill=—","Direction=H","UseDPDF=Y")</f>
        <v>#NAME?</v>
      </c>
      <c r="CK310" s="1" t="e">
        <f ca="1">_xll.BDH($C$303,"TOT_DEBT_TO_TOT_EQY","FQ2 2015","FQ2 2015","Currency=INR","Period=FQ","BEST_FPERIOD_OVERRIDE=FQ","FILING_STATUS=OR","EQY_CONSOLIDATED=Y","Sort=A","Dates=H","DateFormat=P","Fill=—","Direction=H","UseDPDF=Y")</f>
        <v>#NAME?</v>
      </c>
      <c r="CL310" s="1" t="e">
        <f ca="1">_xll.BDH($C$303,"TOT_DEBT_TO_TOT_CAP","FQ2 2015","FQ2 2015","Currency=INR","Period=FQ","BEST_FPERIOD_OVERRIDE=FQ","FILING_STATUS=OR","EQY_CONSOLIDATED=Y","Sort=A","Dates=H","DateFormat=P","Fill=—","Direction=H","UseDPDF=Y")</f>
        <v>#NAME?</v>
      </c>
      <c r="CM310" s="1" t="e">
        <f ca="1">_xll.BDH($C$303,"TOT_DEBT_TO_TOT_ASSET","FQ2 2015","FQ2 2015","Currency=INR","Period=FQ","BEST_FPERIOD_OVERRIDE=FQ","FILING_STATUS=OR","EQY_CONSOLIDATED=Y","Sort=A","Dates=H","DateFormat=P","Fill=—","Direction=H","UseDPDF=Y")</f>
        <v>#NAME?</v>
      </c>
      <c r="CN310" s="1" t="e">
        <f ca="1">_xll.BDH($C$303,"NET_DEBT_TO_SHRHLDR_EQTY","FQ2 2015","FQ2 2015","Currency=INR","Period=FQ","BEST_FPERIOD_OVERRIDE=FQ","FILING_STATUS=OR","EQY_CONSOLIDATED=Y","Sort=A","Dates=H","DateFormat=P","Fill=—","Direction=H","UseDPDF=Y")</f>
        <v>#NAME?</v>
      </c>
      <c r="CO310" s="1" t="e">
        <f ca="1">_xll.BDH($C$303,"NET_DEBT_%_CAPITAL","FQ2 2015","FQ2 2015","Currency=INR","Period=FQ","BEST_FPERIOD_OVERRIDE=FQ","FILING_STATUS=OR","EQY_CONSOLIDATED=Y","Sort=A","Dates=H","DateFormat=P","Fill=—","Direction=H","UseDPDF=Y")</f>
        <v>#NAME?</v>
      </c>
      <c r="CP310" s="2" t="e">
        <f ca="1">_xll.BDH($C$303,"EBITDA","FQ2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10" s="2" t="e">
        <f ca="1">_xll.BDH($C$303,"EBITDA_AFTER_CAPEX","FQ2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10" s="2" t="e">
        <f ca="1">_xll.BDH($C$303,"IS_OPER_INC","FQ2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10" s="1" t="e">
        <f ca="1">_xll.BDH($C$303,"CASH_RATIO","FQ2 2015","FQ2 2015","Currency=INR","Period=FQ","BEST_FPERIOD_OVERRIDE=FQ","FILING_STATUS=OR","EQY_CONSOLIDATED=Y","Sort=A","Dates=H","DateFormat=P","Fill=—","Direction=H","UseDPDF=Y")</f>
        <v>#NAME?</v>
      </c>
      <c r="CT310" s="1" t="e">
        <f ca="1">_xll.BDH($C$303,"CUR_RATIO","FQ2 2015","FQ2 2015","Currency=INR","Period=FQ","BEST_FPERIOD_OVERRIDE=FQ","FILING_STATUS=OR","EQY_CONSOLIDATED=Y","Sort=A","Dates=H","DateFormat=P","Fill=—","Direction=H","UseDPDF=Y")</f>
        <v>#NAME?</v>
      </c>
      <c r="CU310" s="1" t="e">
        <f ca="1">_xll.BDH($C$303,"QUICK_RATIO","FQ2 2015","FQ2 2015","Currency=INR","Period=FQ","BEST_FPERIOD_OVERRIDE=FQ","FILING_STATUS=OR","EQY_CONSOLIDATED=Y","Sort=A","Dates=H","DateFormat=P","Fill=—","Direction=H","UseDPDF=Y")</f>
        <v>#NAME?</v>
      </c>
      <c r="CV310" s="1" t="e">
        <f ca="1">_xll.BDH($C$303,"ALTMAN_Z_SCORE","FQ2 2015","FQ2 2015","Currency=INR","Period=FQ","BEST_FPERIOD_OVERRIDE=FQ","FILING_STATUS=OR","EQY_CONSOLIDATED=Y","Sort=A","Dates=H","DateFormat=P","Fill=—","Direction=H","UseDPDF=Y")</f>
        <v>#NAME?</v>
      </c>
      <c r="CW310" s="3" t="e">
        <f ca="1">_xll.BDH($C$303,"ACCT_RCV_TURN","FQ2 2015","FQ2 2015","Currency=INR","Period=FQ","BEST_FPERIOD_OVERRIDE=FQ","FILING_STATUS=OR","EQY_CONSOLIDATED=Y","FA_ADJUSTED=GAAP","Sort=A","Dates=H","DateFormat=P","Fill=—","Direction=H","UseDPDF=Y")</f>
        <v>#NAME?</v>
      </c>
      <c r="CX310" s="1" t="e">
        <f ca="1">_xll.BDH($C$303,"ACCT_RCV_DAYS","FQ2 2015","FQ2 2015","Currency=INR","Period=FQ","BEST_FPERIOD_OVERRIDE=FQ","FILING_STATUS=OR","EQY_CONSOLIDATED=Y","FA_ADJUSTED=GAAP","Sort=A","Dates=H","DateFormat=P","Fill=—","Direction=H","UseDPDF=Y")</f>
        <v>#NAME?</v>
      </c>
      <c r="CY310" s="3" t="e">
        <f ca="1">_xll.BDH($C$303,"INVENT_TURN","FQ2 2015","FQ2 2015","Currency=INR","Period=FQ","BEST_FPERIOD_OVERRIDE=FQ","FILING_STATUS=OR","EQY_CONSOLIDATED=Y","FA_ADJUSTED=GAAP","Sort=A","Dates=H","DateFormat=P","Fill=—","Direction=H","UseDPDF=Y")</f>
        <v>#NAME?</v>
      </c>
      <c r="CZ310" s="1" t="e">
        <f ca="1">_xll.BDH($C$303,"INVENT_DAYS","FQ2 2015","FQ2 2015","Currency=INR","Period=FQ","BEST_FPERIOD_OVERRIDE=FQ","FILING_STATUS=OR","EQY_CONSOLIDATED=Y","FA_ADJUSTED=GAAP","Sort=A","Dates=H","DateFormat=P","Fill=—","Direction=H","UseDPDF=Y")</f>
        <v>#NAME?</v>
      </c>
      <c r="DA310" s="3" t="e">
        <f ca="1">_xll.BDH($C$303,"ACCOUNTS_PAYABLE_TURNOVER","FQ2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10" s="1" t="e">
        <f ca="1">_xll.BDH($C$303,"ACCOUNTS_PAYABLE_TURNOVER_DAYS","FQ2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10" s="3" t="e">
        <f ca="1">_xll.BDH($C$303,"CASH_CONVERSION_CYCLE","FQ2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10" s="3" t="e">
        <f ca="1">_xll.BDH($C$303,"INV_TO_CASH_DAYS","FQ2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310" s="4" t="e">
        <f ca="1">_xll.BDH($C$303,"BS_INVENTORIES","FQ2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310" s="2" t="e">
        <f ca="1">_xll.BDH($C$303,"INVTRY_RAW_MATERIALS","FQ2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10" s="2" t="e">
        <f ca="1">_xll.BDH($C$303,"INVTRY_IN_PROGRESS","FQ2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10" s="2" t="e">
        <f ca="1">_xll.BDH($C$303,"INVTRY_FINISHED_GOODS","FQ2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10" s="2" t="e">
        <f ca="1">_xll.BDH($C$303,"BS_OTHER_INV","FQ2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11" spans="1:113" x14ac:dyDescent="0.3">
      <c r="A311" s="6"/>
      <c r="B311" s="6"/>
      <c r="C311" s="6"/>
      <c r="D311" s="6"/>
      <c r="E311" t="s">
        <v>6</v>
      </c>
      <c r="F311" t="e">
        <f ca="1">_xll.BDH($C$303,"RETURN_COM_EQY","FQ3 2015","FQ3 2015","Currency=INR","Period=FQ","BEST_FPERIOD_OVERRIDE=FQ","FILING_STATUS=OR","EQY_CONSOLIDATED=Y","FA_ADJUSTED=GAAP","Sort=A","Dates=H","DateFormat=P","Fill=—","Direction=H","UseDPDF=Y")</f>
        <v>#NAME?</v>
      </c>
      <c r="G311" t="e">
        <f ca="1">_xll.BDH($C$303,"RETURN_ON_ASSET","FQ3 2015","FQ3 2015","Currency=INR","Period=FQ","BEST_FPERIOD_OVERRIDE=FQ","FILING_STATUS=OR","EQY_CONSOLIDATED=Y","FA_ADJUSTED=GAAP","Sort=A","Dates=H","DateFormat=P","Fill=—","Direction=H","UseDPDF=Y")</f>
        <v>#NAME?</v>
      </c>
      <c r="H311" t="e">
        <f ca="1">_xll.BDH($C$303,"RETURN_ON_CAP","FQ3 2015","FQ3 2015","Currency=INR","Period=FQ","BEST_FPERIOD_OVERRIDE=FQ","FILING_STATUS=OR","EQY_CONSOLIDATED=Y","FA_ADJUSTED=GAAP","Sort=A","Dates=H","DateFormat=P","Fill=—","Direction=H","UseDPDF=Y")</f>
        <v>#NAME?</v>
      </c>
      <c r="I311" t="e">
        <f ca="1">_xll.BDH($C$303,"RETURN_ON_INV_CAPITAL","FQ3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11" t="e">
        <f ca="1">_xll.BDH($C$303,"EBITDA_TO_REVENUE","FQ3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311" t="e">
        <f ca="1">_xll.BDH($C$303,"OPER_MARGIN","FQ3 2015","FQ3 2015","Currency=INR","Period=FQ","BEST_FPERIOD_OVERRIDE=FQ","FILING_STATUS=OR","EQY_CONSOLIDATED=Y","FA_ADJUSTED=GAAP","Sort=A","Dates=H","DateFormat=P","Fill=—","Direction=H","UseDPDF=Y")</f>
        <v>#NAME?</v>
      </c>
      <c r="L311" t="e">
        <f ca="1">_xll.BDH($C$303,"INCREMENTAL_OPERATING_MARGIN","FQ3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11" t="e">
        <f ca="1">_xll.BDH($C$303,"PRETAX_INC_TO_NET_SALES","FQ3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11" t="e">
        <f ca="1">_xll.BDH($C$303,"INC_BEF_XO_ITEMS_TO_NET_SALES","FQ3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11" t="e">
        <f ca="1">_xll.BDH($C$303,"PROF_MARGIN","FQ3 2015","FQ3 2015","Currency=INR","Period=FQ","BEST_FPERIOD_OVERRIDE=FQ","FILING_STATUS=OR","EQY_CONSOLIDATED=Y","FA_ADJUSTED=GAAP","Sort=A","Dates=H","DateFormat=P","Fill=—","Direction=H","UseDPDF=Y")</f>
        <v>#NAME?</v>
      </c>
      <c r="P311" t="e">
        <f ca="1">_xll.BDH($C$303,"NET_INCOME_TO_COMMON_MARGIN","FQ3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11" t="e">
        <f ca="1">_xll.BDH($C$303,"EFF_TAX_RATE","FQ3 2015","FQ3 2015","Currency=INR","Period=FQ","BEST_FPERIOD_OVERRIDE=FQ","FILING_STATUS=OR","EQY_CONSOLIDATED=Y","FA_ADJUSTED=GAAP","Sort=A","Dates=H","DateFormat=P","Fill=—","Direction=H","UseDPDF=Y")</f>
        <v>#NAME?</v>
      </c>
      <c r="R311" t="e">
        <f ca="1">_xll.BDH($C$303,"DVD_PAYOUT_RATIO","FQ3 2015","FQ3 2015","Currency=INR","Period=FQ","BEST_FPERIOD_OVERRIDE=FQ","FILING_STATUS=OR","EQY_CONSOLIDATED=Y","FA_ADJUSTED=GAAP","Sort=A","Dates=H","DateFormat=P","Fill=—","Direction=H","UseDPDF=Y")</f>
        <v>#NAME?</v>
      </c>
      <c r="S311" t="e">
        <f ca="1">_xll.BDH($C$303,"SUSTAIN_GROWTH_RT","FQ3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311" s="1" t="e">
        <f ca="1">_xll.BDH($C$303,"SALES_GROWTH","FQ3 2015","FQ3 2015","Currency=INR","Period=FQ","BEST_FPERIOD_OVERRIDE=FQ","FILING_STATUS=OR","EQY_CONSOLIDATED=Y","FA_ADJUSTED=GAAP","Sort=A","Dates=H","DateFormat=P","Fill=—","Direction=H","UseDPDF=Y")</f>
        <v>#NAME?</v>
      </c>
      <c r="U311" s="1" t="e">
        <f ca="1">_xll.BDH($C$303,"EBITDA_GROWTH","FQ3 2015","FQ3 2015","Currency=INR","Period=FQ","BEST_FPERIOD_OVERRIDE=FQ","FILING_STATUS=OR","EQY_CONSOLIDATED=Y","FA_ADJUSTED=GAAP","Sort=A","Dates=H","DateFormat=P","Fill=—","Direction=H","UseDPDF=Y")</f>
        <v>#NAME?</v>
      </c>
      <c r="V311" s="1" t="e">
        <f ca="1">_xll.BDH($C$303,"OPER_INC_GROWTH","FQ3 2015","FQ3 2015","Currency=INR","Period=FQ","BEST_FPERIOD_OVERRIDE=FQ","FILING_STATUS=OR","EQY_CONSOLIDATED=Y","FA_ADJUSTED=GAAP","Sort=A","Dates=H","DateFormat=P","Fill=—","Direction=H","UseDPDF=Y")</f>
        <v>#NAME?</v>
      </c>
      <c r="W311" s="1" t="e">
        <f ca="1">_xll.BDH($C$303,"EARN_FOR_COM_GROWTH","FQ3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11" s="1" t="e">
        <f ca="1">_xll.BDH($C$303,"DILUTED_EPS_AFT_XO_ITEMS_GROWTH","FQ3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11" s="1" t="e">
        <f ca="1">_xll.BDH($C$303,"DIVIDEND_PER_SHARE_1_YEAR_GROWTH","FQ3 2015","FQ3 2015","Currency=INR","Period=FQ","BEST_FPERIOD_OVERRIDE=FQ","FILING_STATUS=OR","EQY_CONSOLIDATED=Y","Sort=A","Dates=H","DateFormat=P","Fill=—","Direction=H","UseDPDF=Y")</f>
        <v>#NAME?</v>
      </c>
      <c r="Z311" s="1" t="e">
        <f ca="1">_xll.BDH($C$303,"ACCOUNTS_RECEIVABLE_GROWTH","FQ3 2015","FQ3 2015","Currency=INR","Period=FQ","BEST_FPERIOD_OVERRIDE=FQ","FILING_STATUS=OR","EQY_CONSOLIDATED=Y","Sort=A","Dates=H","DateFormat=P","Fill=—","Direction=H","UseDPDF=Y")</f>
        <v>#NAME?</v>
      </c>
      <c r="AA311" s="1" t="e">
        <f ca="1">_xll.BDH($C$303,"INVENTORY_GROWTH","FQ3 2015","FQ3 2015","Currency=INR","Period=FQ","BEST_FPERIOD_OVERRIDE=FQ","FILING_STATUS=OR","EQY_CONSOLIDATED=Y","Sort=A","Dates=H","DateFormat=P","Fill=—","Direction=H","UseDPDF=Y")</f>
        <v>#NAME?</v>
      </c>
      <c r="AB311" s="1" t="e">
        <f ca="1">_xll.BDH($C$303,"NET_FIXED_ASSETS_1_YEAR_GROWTH","FQ3 2015","FQ3 2015","Currency=INR","Period=FQ","BEST_FPERIOD_OVERRIDE=FQ","FILING_STATUS=OR","EQY_CONSOLIDATED=Y","Sort=A","Dates=H","DateFormat=P","Fill=—","Direction=H","UseDPDF=Y")</f>
        <v>#NAME?</v>
      </c>
      <c r="AC311" s="1" t="e">
        <f ca="1">_xll.BDH($C$303,"ASSET_GROWTH","FQ3 2015","FQ3 2015","Currency=INR","Period=FQ","BEST_FPERIOD_OVERRIDE=FQ","FILING_STATUS=OR","EQY_CONSOLIDATED=Y","Sort=A","Dates=H","DateFormat=P","Fill=—","Direction=H","UseDPDF=Y")</f>
        <v>#NAME?</v>
      </c>
      <c r="AD311" s="1" t="e">
        <f ca="1">_xll.BDH($C$303,"MODIFIED_WORK_CAP_GROWTH","FQ3 2015","FQ3 2015","Currency=INR","Period=FQ","BEST_FPERIOD_OVERRIDE=FQ","FILING_STATUS=OR","EQY_CONSOLIDATED=Y","Sort=A","Dates=H","DateFormat=P","Fill=—","Direction=H","UseDPDF=Y")</f>
        <v>#NAME?</v>
      </c>
      <c r="AE311" s="1" t="e">
        <f ca="1">_xll.BDH($C$303,"WORK_CAP_GROWTH","FQ3 2015","FQ3 2015","Currency=INR","Period=FQ","BEST_FPERIOD_OVERRIDE=FQ","FILING_STATUS=OR","EQY_CONSOLIDATED=Y","Sort=A","Dates=H","DateFormat=P","Fill=—","Direction=H","UseDPDF=Y")</f>
        <v>#NAME?</v>
      </c>
      <c r="AF311" s="1" t="e">
        <f ca="1">_xll.BDH($C$303,"ACCOUNTS_PAYABLE_GROWTH_1YR","FQ3 2015","FQ3 2015","Currency=INR","Period=FQ","BEST_FPERIOD_OVERRIDE=FQ","FILING_STATUS=OR","EQY_CONSOLIDATED=Y","Sort=A","Dates=H","DateFormat=P","Fill=—","Direction=H","UseDPDF=Y")</f>
        <v>#NAME?</v>
      </c>
      <c r="AG311" s="1" t="e">
        <f ca="1">_xll.BDH($C$303,"SHORT_TERM_DEBT_1_YEAR_GROWTH","FQ3 2015","FQ3 2015","Currency=INR","Period=FQ","BEST_FPERIOD_OVERRIDE=FQ","FILING_STATUS=OR","EQY_CONSOLIDATED=Y","Sort=A","Dates=H","DateFormat=P","Fill=—","Direction=H","UseDPDF=Y")</f>
        <v>#NAME?</v>
      </c>
      <c r="AH311" s="1" t="e">
        <f ca="1">_xll.BDH($C$303,"TOTAL_DEBT_1_YEAR_GROWTH","FQ3 2015","FQ3 2015","Currency=INR","Period=FQ","BEST_FPERIOD_OVERRIDE=FQ","FILING_STATUS=OR","EQY_CONSOLIDATED=Y","Sort=A","Dates=H","DateFormat=P","Fill=—","Direction=H","UseDPDF=Y")</f>
        <v>#NAME?</v>
      </c>
      <c r="AI311" s="1" t="e">
        <f ca="1">_xll.BDH($C$303,"TOTAL_EQUITY_1_YEAR_GROWTH","FQ3 2015","FQ3 2015","Currency=INR","Period=FQ","BEST_FPERIOD_OVERRIDE=FQ","FILING_STATUS=OR","EQY_CONSOLIDATED=Y","Sort=A","Dates=H","DateFormat=P","Fill=—","Direction=H","UseDPDF=Y")</f>
        <v>#NAME?</v>
      </c>
      <c r="AJ311" s="1" t="e">
        <f ca="1">_xll.BDH($C$303,"GROWTH_IN_CAP","FQ3 2015","FQ3 2015","Currency=INR","Period=FQ","BEST_FPERIOD_OVERRIDE=FQ","FILING_STATUS=OR","EQY_CONSOLIDATED=Y","Sort=A","Dates=H","DateFormat=P","Fill=—","Direction=H","UseDPDF=Y")</f>
        <v>#NAME?</v>
      </c>
      <c r="AK311" s="1" t="e">
        <f ca="1">_xll.BDH($C$303,"BVPS_GROWTH","FQ3 2015","FQ3 2015","Currency=INR","Period=FQ","BEST_FPERIOD_OVERRIDE=FQ","FILING_STATUS=OR","EQY_CONSOLIDATED=Y","Sort=A","Dates=H","DateFormat=P","Fill=—","Direction=H","UseDPDF=Y")</f>
        <v>#NAME?</v>
      </c>
      <c r="AL311" s="1" t="e">
        <f ca="1">_xll.BDH($C$303,"CASH_FLOW_GROWTH","FQ3 2015","FQ3 2015","Currency=INR","Period=FQ","BEST_FPERIOD_OVERRIDE=FQ","FILING_STATUS=OR","EQY_CONSOLIDATED=Y","Sort=A","Dates=H","DateFormat=P","Fill=—","Direction=H","UseDPDF=Y")</f>
        <v>#NAME?</v>
      </c>
      <c r="AM311" s="1" t="e">
        <f ca="1">_xll.BDH($C$303,"GEO_GROW_NET_SALES","FQ3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11" s="1" t="e">
        <f ca="1">_xll.BDH($C$303,"GEO_GROW_EBITDA","FQ3 2015","FQ3 2015","Currency=INR","Period=FQ","BEST_FPERIOD_OVERRIDE=FQ","FILING_STATUS=OR","EQY_CONSOLIDATED=Y","FA_ADJUSTED=GAAP","Sort=A","Dates=H","DateFormat=P","Fill=—","Direction=H","UseDPDF=Y")</f>
        <v>#NAME?</v>
      </c>
      <c r="AO311" s="1" t="e">
        <f ca="1">_xll.BDH($C$303,"GEO_GROW_OPER_INC","FQ3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11" s="1" t="e">
        <f ca="1">_xll.BDH($C$303,"NET_INCOME_TO_COMMON_5_YR_GROWTH","FQ3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11" s="1" t="e">
        <f ca="1">_xll.BDH($C$303,"5Y_GEO_GROWTH_DILUTED_EPS","FQ3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11" s="1" t="e">
        <f ca="1">_xll.BDH($C$303,"GEO_GROW_DVD_PER_SH","FQ3 2015","FQ3 2015","Currency=INR","Period=FQ","BEST_FPERIOD_OVERRIDE=FQ","FILING_STATUS=OR","EQY_CONSOLIDATED=Y","Sort=A","Dates=H","DateFormat=P","Fill=—","Direction=H","UseDPDF=Y")</f>
        <v>#NAME?</v>
      </c>
      <c r="AS311" s="1" t="e">
        <f ca="1">_xll.BDH($C$303,"ACCOUNTS_RECEIVABLE_5_YR_GROWTH","FQ3 2015","FQ3 2015","Currency=INR","Period=FQ","BEST_FPERIOD_OVERRIDE=FQ","FILING_STATUS=OR","EQY_CONSOLIDATED=Y","Sort=A","Dates=H","DateFormat=P","Fill=—","Direction=H","UseDPDF=Y")</f>
        <v>#NAME?</v>
      </c>
      <c r="AT311" s="1" t="e">
        <f ca="1">_xll.BDH($C$303,"INVENTORY_5_YEAR_GROWTH","FQ3 2015","FQ3 2015","Currency=INR","Period=FQ","BEST_FPERIOD_OVERRIDE=FQ","FILING_STATUS=OR","EQY_CONSOLIDATED=Y","Sort=A","Dates=H","DateFormat=P","Fill=—","Direction=H","UseDPDF=Y")</f>
        <v>#NAME?</v>
      </c>
      <c r="AU311" s="1" t="e">
        <f ca="1">_xll.BDH($C$303,"NET_FIXED_ASSETS_5_YEAR_GROWTH","FQ3 2015","FQ3 2015","Currency=INR","Period=FQ","BEST_FPERIOD_OVERRIDE=FQ","FILING_STATUS=OR","EQY_CONSOLIDATED=Y","Sort=A","Dates=H","DateFormat=P","Fill=—","Direction=H","UseDPDF=Y")</f>
        <v>#NAME?</v>
      </c>
      <c r="AV311" s="1" t="e">
        <f ca="1">_xll.BDH($C$303,"GEO_GROW_TOT_ASSET","FQ3 2015","FQ3 2015","Currency=INR","Period=FQ","BEST_FPERIOD_OVERRIDE=FQ","FILING_STATUS=OR","EQY_CONSOLIDATED=Y","Sort=A","Dates=H","DateFormat=P","Fill=—","Direction=H","UseDPDF=Y")</f>
        <v>#NAME?</v>
      </c>
      <c r="AW311" s="1" t="e">
        <f ca="1">_xll.BDH($C$303,"MODIFIED_WORKING_CPTL_5YR_GRWTH","FQ3 2015","FQ3 2015","Currency=INR","Period=FQ","BEST_FPERIOD_OVERRIDE=FQ","FILING_STATUS=OR","EQY_CONSOLIDATED=Y","Sort=A","Dates=H","DateFormat=P","Fill=—","Direction=H","UseDPDF=Y")</f>
        <v>#NAME?</v>
      </c>
      <c r="AX311" s="1" t="e">
        <f ca="1">_xll.BDH($C$303,"WORKING_CAPITAL_5_YEAR_GROWTH","FQ3 2015","FQ3 2015","Currency=INR","Period=FQ","BEST_FPERIOD_OVERRIDE=FQ","FILING_STATUS=OR","EQY_CONSOLIDATED=Y","Sort=A","Dates=H","DateFormat=P","Fill=—","Direction=H","UseDPDF=Y")</f>
        <v>#NAME?</v>
      </c>
      <c r="AY311" s="1" t="e">
        <f ca="1">_xll.BDH($C$303,"ACCOUNTS_PAYABLE_5_YEAR_GROWTH","FQ3 2015","FQ3 2015","Currency=INR","Period=FQ","BEST_FPERIOD_OVERRIDE=FQ","FILING_STATUS=OR","EQY_CONSOLIDATED=Y","Sort=A","Dates=H","DateFormat=P","Fill=—","Direction=H","UseDPDF=Y")</f>
        <v>#NAME?</v>
      </c>
      <c r="AZ311" s="1" t="e">
        <f ca="1">_xll.BDH($C$303,"SHORT_TERM_DEBT_5_YEAR_GROWTH","FQ3 2015","FQ3 2015","Currency=INR","Period=FQ","BEST_FPERIOD_OVERRIDE=FQ","FILING_STATUS=OR","EQY_CONSOLIDATED=Y","Sort=A","Dates=H","DateFormat=P","Fill=—","Direction=H","UseDPDF=Y")</f>
        <v>#NAME?</v>
      </c>
      <c r="BA311" s="1" t="e">
        <f ca="1">_xll.BDH($C$303,"TOTAL_DEBT_5_YEAR_GROWTH","FQ3 2015","FQ3 2015","Currency=INR","Period=FQ","BEST_FPERIOD_OVERRIDE=FQ","FILING_STATUS=OR","EQY_CONSOLIDATED=Y","Sort=A","Dates=H","DateFormat=P","Fill=—","Direction=H","UseDPDF=Y")</f>
        <v>#NAME?</v>
      </c>
      <c r="BB311" s="1" t="e">
        <f ca="1">_xll.BDH($C$303,"GEO_GROW_TOT_SHRHLDR_EQY","FQ3 2015","FQ3 2015","Currency=INR","Period=FQ","BEST_FPERIOD_OVERRIDE=FQ","FILING_STATUS=OR","EQY_CONSOLIDATED=Y","Sort=A","Dates=H","DateFormat=P","Fill=—","Direction=H","UseDPDF=Y")</f>
        <v>#NAME?</v>
      </c>
      <c r="BC311" s="1" t="e">
        <f ca="1">_xll.BDH($C$303,"TOTAL_CAPITAL_5_YEAR_GROWTH","FQ3 2015","FQ3 2015","Currency=INR","Period=FQ","BEST_FPERIOD_OVERRIDE=FQ","FILING_STATUS=OR","EQY_CONSOLIDATED=Y","Sort=A","Dates=H","DateFormat=P","Fill=—","Direction=H","UseDPDF=Y")</f>
        <v>#NAME?</v>
      </c>
      <c r="BD311" s="1" t="e">
        <f ca="1">_xll.BDH($C$303,"GEO_GROW_BOOK_VAL","FQ3 2015","FQ3 2015","Currency=INR","Period=FQ","BEST_FPERIOD_OVERRIDE=FQ","FILING_STATUS=OR","EQY_CONSOLIDATED=Y","Sort=A","Dates=H","DateFormat=P","Fill=—","Direction=H","UseDPDF=Y")</f>
        <v>#NAME?</v>
      </c>
      <c r="BE311" s="1" t="e">
        <f ca="1">_xll.BDH($C$303,"GEO_GROW_CASH_OPER_ACT","FQ3 2015","FQ3 2015","Currency=INR","Period=FQ","BEST_FPERIOD_OVERRIDE=FQ","FILING_STATUS=OR","EQY_CONSOLIDATED=Y","Sort=A","Dates=H","DateFormat=P","Fill=—","Direction=H","UseDPDF=Y")</f>
        <v>#NAME?</v>
      </c>
      <c r="BF311" s="1" t="e">
        <f ca="1">_xll.BDH($C$303,"REVENUE_SEQUENTIAL_GROWTH","FQ3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11" s="1" t="e">
        <f ca="1">_xll.BDH($C$303,"EBITDA_SEQUENTIAL_GROWTH","FQ3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11" s="1" t="e">
        <f ca="1">_xll.BDH($C$303,"OPERATING_INCOME_SEQ_GROWTH","FQ3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11" s="1" t="e">
        <f ca="1">_xll.BDH($C$303,"NET_INCOME_TO_COMMON_SEQ_GROWTH","FQ3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11" s="1" t="e">
        <f ca="1">_xll.BDH($C$303,"EPS_DILUTED_SEQUENTIAL_GROWTH","FQ3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11" s="1" t="e">
        <f ca="1">_xll.BDH($C$303,"DPS_SEQUENTIAL_GROWTH","FQ3 2015","FQ3 2015","Currency=INR","Period=FQ","BEST_FPERIOD_OVERRIDE=FQ","FILING_STATUS=OR","EQY_CONSOLIDATED=Y","Sort=A","Dates=H","DateFormat=P","Fill=—","Direction=H","UseDPDF=Y")</f>
        <v>#NAME?</v>
      </c>
      <c r="BL311" s="1" t="e">
        <f ca="1">_xll.BDH($C$303,"ACCOUNTS_RECEIVABLE_SEQ_GROWTH","FQ3 2015","FQ3 2015","Currency=INR","Period=FQ","BEST_FPERIOD_OVERRIDE=FQ","FILING_STATUS=OR","EQY_CONSOLIDATED=Y","Sort=A","Dates=H","DateFormat=P","Fill=—","Direction=H","UseDPDF=Y")</f>
        <v>#NAME?</v>
      </c>
      <c r="BM311" s="1" t="e">
        <f ca="1">_xll.BDH($C$303,"INVENTORY_SEQUENTIAL_GROWTH","FQ3 2015","FQ3 2015","Currency=INR","Period=FQ","BEST_FPERIOD_OVERRIDE=FQ","FILING_STATUS=OR","EQY_CONSOLIDATED=Y","Sort=A","Dates=H","DateFormat=P","Fill=—","Direction=H","UseDPDF=Y")</f>
        <v>#NAME?</v>
      </c>
      <c r="BN311" s="1" t="e">
        <f ca="1">_xll.BDH($C$303,"FIXED_ASSETS_SEQUENTIAL_GROWTH","FQ3 2015","FQ3 2015","Currency=INR","Period=FQ","BEST_FPERIOD_OVERRIDE=FQ","FILING_STATUS=OR","EQY_CONSOLIDATED=Y","Sort=A","Dates=H","DateFormat=P","Fill=—","Direction=H","UseDPDF=Y")</f>
        <v>#NAME?</v>
      </c>
      <c r="BO311" s="1" t="e">
        <f ca="1">_xll.BDH($C$303,"TOTAL_ASSETS_SEQUENTIAL_GROWTH","FQ3 2015","FQ3 2015","Currency=INR","Period=FQ","BEST_FPERIOD_OVERRIDE=FQ","FILING_STATUS=OR","EQY_CONSOLIDATED=Y","Sort=A","Dates=H","DateFormat=P","Fill=—","Direction=H","UseDPDF=Y")</f>
        <v>#NAME?</v>
      </c>
      <c r="BP311" s="1" t="e">
        <f ca="1">_xll.BDH($C$303,"MODIFIED_WORKING_CPTL_SEQ_GRWTH","FQ3 2015","FQ3 2015","Currency=INR","Period=FQ","BEST_FPERIOD_OVERRIDE=FQ","FILING_STATUS=OR","EQY_CONSOLIDATED=Y","Sort=A","Dates=H","DateFormat=P","Fill=—","Direction=H","UseDPDF=Y")</f>
        <v>#NAME?</v>
      </c>
      <c r="BQ311" s="1" t="e">
        <f ca="1">_xll.BDH($C$303,"WORKING_CAPITAL_SEQ_GROWTH","FQ3 2015","FQ3 2015","Currency=INR","Period=FQ","BEST_FPERIOD_OVERRIDE=FQ","FILING_STATUS=OR","EQY_CONSOLIDATED=Y","Sort=A","Dates=H","DateFormat=P","Fill=—","Direction=H","UseDPDF=Y")</f>
        <v>#NAME?</v>
      </c>
      <c r="BR311" s="1" t="e">
        <f ca="1">_xll.BDH($C$303,"ACCOUNTS_PAYABLE_SEQ_GROWTH","FQ3 2015","FQ3 2015","Currency=INR","Period=FQ","BEST_FPERIOD_OVERRIDE=FQ","FILING_STATUS=OR","EQY_CONSOLIDATED=Y","Sort=A","Dates=H","DateFormat=P","Fill=—","Direction=H","UseDPDF=Y")</f>
        <v>#NAME?</v>
      </c>
      <c r="BS311" s="1" t="e">
        <f ca="1">_xll.BDH($C$303,"ST_DEBT_SEQUENTIAL_GROWTH","FQ3 2015","FQ3 2015","Currency=INR","Period=FQ","BEST_FPERIOD_OVERRIDE=FQ","FILING_STATUS=OR","EQY_CONSOLIDATED=Y","Sort=A","Dates=H","DateFormat=P","Fill=—","Direction=H","UseDPDF=Y")</f>
        <v>#NAME?</v>
      </c>
      <c r="BT311" s="1" t="e">
        <f ca="1">_xll.BDH($C$303,"TOTAL_DEBT_SEQUENTIAL_GROWTH","FQ3 2015","FQ3 2015","Currency=INR","Period=FQ","BEST_FPERIOD_OVERRIDE=FQ","FILING_STATUS=OR","EQY_CONSOLIDATED=Y","Sort=A","Dates=H","DateFormat=P","Fill=—","Direction=H","UseDPDF=Y")</f>
        <v>#NAME?</v>
      </c>
      <c r="BU311" s="1" t="e">
        <f ca="1">_xll.BDH($C$303,"TOTAL_EQUITY_SEQUENTIAL_GROWTH","FQ3 2015","FQ3 2015","Currency=INR","Period=FQ","BEST_FPERIOD_OVERRIDE=FQ","FILING_STATUS=OR","EQY_CONSOLIDATED=Y","Sort=A","Dates=H","DateFormat=P","Fill=—","Direction=H","UseDPDF=Y")</f>
        <v>#NAME?</v>
      </c>
      <c r="BV311" s="1" t="e">
        <f ca="1">_xll.BDH($C$303,"TOTAL_CAPITAL_SEQUENTIAL_GROWTH","FQ3 2015","FQ3 2015","Currency=INR","Period=FQ","BEST_FPERIOD_OVERRIDE=FQ","FILING_STATUS=OR","EQY_CONSOLIDATED=Y","Sort=A","Dates=H","DateFormat=P","Fill=—","Direction=H","UseDPDF=Y")</f>
        <v>#NAME?</v>
      </c>
      <c r="BW311" s="1" t="e">
        <f ca="1">_xll.BDH($C$303,"BPS_SEQUENTIAL_GROWTH","FQ3 2015","FQ3 2015","Currency=INR","Period=FQ","BEST_FPERIOD_OVERRIDE=FQ","FILING_STATUS=OR","EQY_CONSOLIDATED=Y","Sort=A","Dates=H","DateFormat=P","Fill=—","Direction=H","UseDPDF=Y")</f>
        <v>#NAME?</v>
      </c>
      <c r="BX311" s="1" t="e">
        <f ca="1">_xll.BDH($C$303,"CFO_SEQUENTIAL_GROWTH","FQ3 2015","FQ3 2015","Currency=INR","Period=FQ","BEST_FPERIOD_OVERRIDE=FQ","FILING_STATUS=OR","EQY_CONSOLIDATED=Y","Sort=A","Dates=H","DateFormat=P","Fill=—","Direction=H","UseDPDF=Y")</f>
        <v>#NAME?</v>
      </c>
      <c r="BY311" s="2" t="e">
        <f ca="1">_xll.BDH($C$303,"SHORT_AND_LONG_TERM_DEBT","FQ3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11" s="2" t="e">
        <f ca="1">_xll.BDH($C$303,"BS_ST_BORROW","FQ3 2015","FQ3 2015","Currency=INR","Period=FQ","BEST_FPERIOD_OVERRIDE=FQ","FILING_STATUS=OR","EQY_CONSOLIDATED=Y","SCALING_FORMAT=MLN","Sort=A","Dates=H","DateFormat=P","Fill=—","Direction=H","UseDPDF=Y")</f>
        <v>#NAME?</v>
      </c>
      <c r="CA311" s="2" t="e">
        <f ca="1">_xll.BDH($C$303,"BS_LT_BORROW","FQ3 2015","FQ3 2015","Currency=INR","Period=FQ","BEST_FPERIOD_OVERRIDE=FQ","FILING_STATUS=OR","EQY_CONSOLIDATED=Y","SCALING_FORMAT=MLN","Sort=A","Dates=H","DateFormat=P","Fill=—","Direction=H","UseDPDF=Y")</f>
        <v>#NAME?</v>
      </c>
      <c r="CB311" s="1" t="e">
        <f ca="1">_xll.BDH($C$303,"TOT_DEBT_TO_EBITDA","FQ3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11" s="1" t="e">
        <f ca="1">_xll.BDH($C$303,"NET_DEBT_TO_EBITDA","FQ3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11" s="1" t="e">
        <f ca="1">_xll.BDH($C$303,"TOTAL_DEBT_TO_EBIT","FQ3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11" s="1" t="e">
        <f ca="1">_xll.BDH($C$303,"NET_DEBT_TO_EBIT","FQ3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311" s="1" t="e">
        <f ca="1">_xll.BDH($C$303,"EBITDA_TO_INTEREST_EXPN","FQ3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11" s="1" t="e">
        <f ca="1">_xll.BDH($C$303,"COM_EQY_TO_TOT_ASSET","FQ3 2015","FQ3 2015","Currency=INR","Period=FQ","BEST_FPERIOD_OVERRIDE=FQ","FILING_STATUS=OR","EQY_CONSOLIDATED=Y","Sort=A","Dates=H","DateFormat=P","Fill=—","Direction=H","UseDPDF=Y")</f>
        <v>#NAME?</v>
      </c>
      <c r="CH311" s="1" t="e">
        <f ca="1">_xll.BDH($C$303,"LT_DEBT_TO_TOT_EQY","FQ3 2015","FQ3 2015","Currency=INR","Period=FQ","BEST_FPERIOD_OVERRIDE=FQ","FILING_STATUS=OR","EQY_CONSOLIDATED=Y","Sort=A","Dates=H","DateFormat=P","Fill=—","Direction=H","UseDPDF=Y")</f>
        <v>#NAME?</v>
      </c>
      <c r="CI311" s="1" t="e">
        <f ca="1">_xll.BDH($C$303,"LT_DEBT_TO_TOT_CAP","FQ3 2015","FQ3 2015","Currency=INR","Period=FQ","BEST_FPERIOD_OVERRIDE=FQ","FILING_STATUS=OR","EQY_CONSOLIDATED=Y","Sort=A","Dates=H","DateFormat=P","Fill=—","Direction=H","UseDPDF=Y")</f>
        <v>#NAME?</v>
      </c>
      <c r="CJ311" s="1" t="e">
        <f ca="1">_xll.BDH($C$303,"LT_DEBT_TO_TOT_ASSET","FQ3 2015","FQ3 2015","Currency=INR","Period=FQ","BEST_FPERIOD_OVERRIDE=FQ","FILING_STATUS=OR","EQY_CONSOLIDATED=Y","Sort=A","Dates=H","DateFormat=P","Fill=—","Direction=H","UseDPDF=Y")</f>
        <v>#NAME?</v>
      </c>
      <c r="CK311" s="1" t="e">
        <f ca="1">_xll.BDH($C$303,"TOT_DEBT_TO_TOT_EQY","FQ3 2015","FQ3 2015","Currency=INR","Period=FQ","BEST_FPERIOD_OVERRIDE=FQ","FILING_STATUS=OR","EQY_CONSOLIDATED=Y","Sort=A","Dates=H","DateFormat=P","Fill=—","Direction=H","UseDPDF=Y")</f>
        <v>#NAME?</v>
      </c>
      <c r="CL311" s="1" t="e">
        <f ca="1">_xll.BDH($C$303,"TOT_DEBT_TO_TOT_CAP","FQ3 2015","FQ3 2015","Currency=INR","Period=FQ","BEST_FPERIOD_OVERRIDE=FQ","FILING_STATUS=OR","EQY_CONSOLIDATED=Y","Sort=A","Dates=H","DateFormat=P","Fill=—","Direction=H","UseDPDF=Y")</f>
        <v>#NAME?</v>
      </c>
      <c r="CM311" s="1" t="e">
        <f ca="1">_xll.BDH($C$303,"TOT_DEBT_TO_TOT_ASSET","FQ3 2015","FQ3 2015","Currency=INR","Period=FQ","BEST_FPERIOD_OVERRIDE=FQ","FILING_STATUS=OR","EQY_CONSOLIDATED=Y","Sort=A","Dates=H","DateFormat=P","Fill=—","Direction=H","UseDPDF=Y")</f>
        <v>#NAME?</v>
      </c>
      <c r="CN311" s="1" t="e">
        <f ca="1">_xll.BDH($C$303,"NET_DEBT_TO_SHRHLDR_EQTY","FQ3 2015","FQ3 2015","Currency=INR","Period=FQ","BEST_FPERIOD_OVERRIDE=FQ","FILING_STATUS=OR","EQY_CONSOLIDATED=Y","Sort=A","Dates=H","DateFormat=P","Fill=—","Direction=H","UseDPDF=Y")</f>
        <v>#NAME?</v>
      </c>
      <c r="CO311" s="1" t="e">
        <f ca="1">_xll.BDH($C$303,"NET_DEBT_%_CAPITAL","FQ3 2015","FQ3 2015","Currency=INR","Period=FQ","BEST_FPERIOD_OVERRIDE=FQ","FILING_STATUS=OR","EQY_CONSOLIDATED=Y","Sort=A","Dates=H","DateFormat=P","Fill=—","Direction=H","UseDPDF=Y")</f>
        <v>#NAME?</v>
      </c>
      <c r="CP311" s="2" t="e">
        <f ca="1">_xll.BDH($C$303,"EBITDA","FQ3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11" s="2" t="e">
        <f ca="1">_xll.BDH($C$303,"EBITDA_AFTER_CAPEX","FQ3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11" s="2" t="e">
        <f ca="1">_xll.BDH($C$303,"IS_OPER_INC","FQ3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11" s="1" t="e">
        <f ca="1">_xll.BDH($C$303,"CASH_RATIO","FQ3 2015","FQ3 2015","Currency=INR","Period=FQ","BEST_FPERIOD_OVERRIDE=FQ","FILING_STATUS=OR","EQY_CONSOLIDATED=Y","Sort=A","Dates=H","DateFormat=P","Fill=—","Direction=H","UseDPDF=Y")</f>
        <v>#NAME?</v>
      </c>
      <c r="CT311" s="1" t="e">
        <f ca="1">_xll.BDH($C$303,"CUR_RATIO","FQ3 2015","FQ3 2015","Currency=INR","Period=FQ","BEST_FPERIOD_OVERRIDE=FQ","FILING_STATUS=OR","EQY_CONSOLIDATED=Y","Sort=A","Dates=H","DateFormat=P","Fill=—","Direction=H","UseDPDF=Y")</f>
        <v>#NAME?</v>
      </c>
      <c r="CU311" s="1" t="e">
        <f ca="1">_xll.BDH($C$303,"QUICK_RATIO","FQ3 2015","FQ3 2015","Currency=INR","Period=FQ","BEST_FPERIOD_OVERRIDE=FQ","FILING_STATUS=OR","EQY_CONSOLIDATED=Y","Sort=A","Dates=H","DateFormat=P","Fill=—","Direction=H","UseDPDF=Y")</f>
        <v>#NAME?</v>
      </c>
      <c r="CV311" s="1" t="e">
        <f ca="1">_xll.BDH($C$303,"ALTMAN_Z_SCORE","FQ3 2015","FQ3 2015","Currency=INR","Period=FQ","BEST_FPERIOD_OVERRIDE=FQ","FILING_STATUS=OR","EQY_CONSOLIDATED=Y","Sort=A","Dates=H","DateFormat=P","Fill=—","Direction=H","UseDPDF=Y")</f>
        <v>#NAME?</v>
      </c>
      <c r="CW311" s="3" t="e">
        <f ca="1">_xll.BDH($C$303,"ACCT_RCV_TURN","FQ3 2015","FQ3 2015","Currency=INR","Period=FQ","BEST_FPERIOD_OVERRIDE=FQ","FILING_STATUS=OR","EQY_CONSOLIDATED=Y","FA_ADJUSTED=GAAP","Sort=A","Dates=H","DateFormat=P","Fill=—","Direction=H","UseDPDF=Y")</f>
        <v>#NAME?</v>
      </c>
      <c r="CX311" s="1" t="e">
        <f ca="1">_xll.BDH($C$303,"ACCT_RCV_DAYS","FQ3 2015","FQ3 2015","Currency=INR","Period=FQ","BEST_FPERIOD_OVERRIDE=FQ","FILING_STATUS=OR","EQY_CONSOLIDATED=Y","FA_ADJUSTED=GAAP","Sort=A","Dates=H","DateFormat=P","Fill=—","Direction=H","UseDPDF=Y")</f>
        <v>#NAME?</v>
      </c>
      <c r="CY311" s="3" t="e">
        <f ca="1">_xll.BDH($C$303,"INVENT_TURN","FQ3 2015","FQ3 2015","Currency=INR","Period=FQ","BEST_FPERIOD_OVERRIDE=FQ","FILING_STATUS=OR","EQY_CONSOLIDATED=Y","FA_ADJUSTED=GAAP","Sort=A","Dates=H","DateFormat=P","Fill=—","Direction=H","UseDPDF=Y")</f>
        <v>#NAME?</v>
      </c>
      <c r="CZ311" s="1" t="e">
        <f ca="1">_xll.BDH($C$303,"INVENT_DAYS","FQ3 2015","FQ3 2015","Currency=INR","Period=FQ","BEST_FPERIOD_OVERRIDE=FQ","FILING_STATUS=OR","EQY_CONSOLIDATED=Y","FA_ADJUSTED=GAAP","Sort=A","Dates=H","DateFormat=P","Fill=—","Direction=H","UseDPDF=Y")</f>
        <v>#NAME?</v>
      </c>
      <c r="DA311" s="3" t="e">
        <f ca="1">_xll.BDH($C$303,"ACCOUNTS_PAYABLE_TURNOVER","FQ3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11" s="1" t="e">
        <f ca="1">_xll.BDH($C$303,"ACCOUNTS_PAYABLE_TURNOVER_DAYS","FQ3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11" s="3" t="e">
        <f ca="1">_xll.BDH($C$303,"CASH_CONVERSION_CYCLE","FQ3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11" s="3" t="e">
        <f ca="1">_xll.BDH($C$303,"INV_TO_CASH_DAYS","FQ3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311" s="4" t="e">
        <f ca="1">_xll.BDH($C$303,"BS_INVENTORIES","FQ3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311" s="2" t="e">
        <f ca="1">_xll.BDH($C$303,"INVTRY_RAW_MATERIALS","FQ3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11" s="2" t="e">
        <f ca="1">_xll.BDH($C$303,"INVTRY_IN_PROGRESS","FQ3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11" s="2" t="e">
        <f ca="1">_xll.BDH($C$303,"INVTRY_FINISHED_GOODS","FQ3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11" s="2" t="e">
        <f ca="1">_xll.BDH($C$303,"BS_OTHER_INV","FQ3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12" spans="1:113" x14ac:dyDescent="0.3">
      <c r="A312" s="6"/>
      <c r="B312" s="6"/>
      <c r="C312" s="6"/>
      <c r="D312" s="6"/>
      <c r="E312" t="s">
        <v>7</v>
      </c>
      <c r="F312" t="e">
        <f ca="1">_xll.BDH($C$303,"RETURN_COM_EQY","FQ4 2015","FQ4 2015","Currency=INR","Period=FQ","BEST_FPERIOD_OVERRIDE=FQ","FILING_STATUS=OR","EQY_CONSOLIDATED=Y","FA_ADJUSTED=GAAP","Sort=A","Dates=H","DateFormat=P","Fill=—","Direction=H","UseDPDF=Y")</f>
        <v>#NAME?</v>
      </c>
      <c r="G312" t="e">
        <f ca="1">_xll.BDH($C$303,"RETURN_ON_ASSET","FQ4 2015","FQ4 2015","Currency=INR","Period=FQ","BEST_FPERIOD_OVERRIDE=FQ","FILING_STATUS=OR","EQY_CONSOLIDATED=Y","FA_ADJUSTED=GAAP","Sort=A","Dates=H","DateFormat=P","Fill=—","Direction=H","UseDPDF=Y")</f>
        <v>#NAME?</v>
      </c>
      <c r="H312" t="e">
        <f ca="1">_xll.BDH($C$303,"RETURN_ON_CAP","FQ4 2015","FQ4 2015","Currency=INR","Period=FQ","BEST_FPERIOD_OVERRIDE=FQ","FILING_STATUS=OR","EQY_CONSOLIDATED=Y","FA_ADJUSTED=GAAP","Sort=A","Dates=H","DateFormat=P","Fill=—","Direction=H","UseDPDF=Y")</f>
        <v>#NAME?</v>
      </c>
      <c r="I312" t="e">
        <f ca="1">_xll.BDH($C$303,"RETURN_ON_INV_CAPITAL","FQ4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12" t="e">
        <f ca="1">_xll.BDH($C$303,"EBITDA_TO_REVENUE","FQ4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312" t="e">
        <f ca="1">_xll.BDH($C$303,"OPER_MARGIN","FQ4 2015","FQ4 2015","Currency=INR","Period=FQ","BEST_FPERIOD_OVERRIDE=FQ","FILING_STATUS=OR","EQY_CONSOLIDATED=Y","FA_ADJUSTED=GAAP","Sort=A","Dates=H","DateFormat=P","Fill=—","Direction=H","UseDPDF=Y")</f>
        <v>#NAME?</v>
      </c>
      <c r="L312" t="e">
        <f ca="1">_xll.BDH($C$303,"INCREMENTAL_OPERATING_MARGIN","FQ4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12" t="e">
        <f ca="1">_xll.BDH($C$303,"PRETAX_INC_TO_NET_SALES","FQ4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12" t="e">
        <f ca="1">_xll.BDH($C$303,"INC_BEF_XO_ITEMS_TO_NET_SALES","FQ4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12" t="e">
        <f ca="1">_xll.BDH($C$303,"PROF_MARGIN","FQ4 2015","FQ4 2015","Currency=INR","Period=FQ","BEST_FPERIOD_OVERRIDE=FQ","FILING_STATUS=OR","EQY_CONSOLIDATED=Y","FA_ADJUSTED=GAAP","Sort=A","Dates=H","DateFormat=P","Fill=—","Direction=H","UseDPDF=Y")</f>
        <v>#NAME?</v>
      </c>
      <c r="P312" t="e">
        <f ca="1">_xll.BDH($C$303,"NET_INCOME_TO_COMMON_MARGIN","FQ4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12" t="e">
        <f ca="1">_xll.BDH($C$303,"EFF_TAX_RATE","FQ4 2015","FQ4 2015","Currency=INR","Period=FQ","BEST_FPERIOD_OVERRIDE=FQ","FILING_STATUS=OR","EQY_CONSOLIDATED=Y","FA_ADJUSTED=GAAP","Sort=A","Dates=H","DateFormat=P","Fill=—","Direction=H","UseDPDF=Y")</f>
        <v>#NAME?</v>
      </c>
      <c r="R312" t="e">
        <f ca="1">_xll.BDH($C$303,"DVD_PAYOUT_RATIO","FQ4 2015","FQ4 2015","Currency=INR","Period=FQ","BEST_FPERIOD_OVERRIDE=FQ","FILING_STATUS=OR","EQY_CONSOLIDATED=Y","FA_ADJUSTED=GAAP","Sort=A","Dates=H","DateFormat=P","Fill=—","Direction=H","UseDPDF=Y")</f>
        <v>#NAME?</v>
      </c>
      <c r="S312" t="e">
        <f ca="1">_xll.BDH($C$303,"SUSTAIN_GROWTH_RT","FQ4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312" s="1" t="e">
        <f ca="1">_xll.BDH($C$303,"SALES_GROWTH","FQ4 2015","FQ4 2015","Currency=INR","Period=FQ","BEST_FPERIOD_OVERRIDE=FQ","FILING_STATUS=OR","EQY_CONSOLIDATED=Y","FA_ADJUSTED=GAAP","Sort=A","Dates=H","DateFormat=P","Fill=—","Direction=H","UseDPDF=Y")</f>
        <v>#NAME?</v>
      </c>
      <c r="U312" s="1" t="e">
        <f ca="1">_xll.BDH($C$303,"EBITDA_GROWTH","FQ4 2015","FQ4 2015","Currency=INR","Period=FQ","BEST_FPERIOD_OVERRIDE=FQ","FILING_STATUS=OR","EQY_CONSOLIDATED=Y","FA_ADJUSTED=GAAP","Sort=A","Dates=H","DateFormat=P","Fill=—","Direction=H","UseDPDF=Y")</f>
        <v>#NAME?</v>
      </c>
      <c r="V312" s="1" t="e">
        <f ca="1">_xll.BDH($C$303,"OPER_INC_GROWTH","FQ4 2015","FQ4 2015","Currency=INR","Period=FQ","BEST_FPERIOD_OVERRIDE=FQ","FILING_STATUS=OR","EQY_CONSOLIDATED=Y","FA_ADJUSTED=GAAP","Sort=A","Dates=H","DateFormat=P","Fill=—","Direction=H","UseDPDF=Y")</f>
        <v>#NAME?</v>
      </c>
      <c r="W312" s="1" t="e">
        <f ca="1">_xll.BDH($C$303,"EARN_FOR_COM_GROWTH","FQ4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12" s="1" t="e">
        <f ca="1">_xll.BDH($C$303,"DILUTED_EPS_AFT_XO_ITEMS_GROWTH","FQ4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12" s="1" t="e">
        <f ca="1">_xll.BDH($C$303,"DIVIDEND_PER_SHARE_1_YEAR_GROWTH","FQ4 2015","FQ4 2015","Currency=INR","Period=FQ","BEST_FPERIOD_OVERRIDE=FQ","FILING_STATUS=OR","EQY_CONSOLIDATED=Y","Sort=A","Dates=H","DateFormat=P","Fill=—","Direction=H","UseDPDF=Y")</f>
        <v>#NAME?</v>
      </c>
      <c r="Z312" s="1" t="e">
        <f ca="1">_xll.BDH($C$303,"ACCOUNTS_RECEIVABLE_GROWTH","FQ4 2015","FQ4 2015","Currency=INR","Period=FQ","BEST_FPERIOD_OVERRIDE=FQ","FILING_STATUS=OR","EQY_CONSOLIDATED=Y","Sort=A","Dates=H","DateFormat=P","Fill=—","Direction=H","UseDPDF=Y")</f>
        <v>#NAME?</v>
      </c>
      <c r="AA312" s="1" t="e">
        <f ca="1">_xll.BDH($C$303,"INVENTORY_GROWTH","FQ4 2015","FQ4 2015","Currency=INR","Period=FQ","BEST_FPERIOD_OVERRIDE=FQ","FILING_STATUS=OR","EQY_CONSOLIDATED=Y","Sort=A","Dates=H","DateFormat=P","Fill=—","Direction=H","UseDPDF=Y")</f>
        <v>#NAME?</v>
      </c>
      <c r="AB312" s="1" t="e">
        <f ca="1">_xll.BDH($C$303,"NET_FIXED_ASSETS_1_YEAR_GROWTH","FQ4 2015","FQ4 2015","Currency=INR","Period=FQ","BEST_FPERIOD_OVERRIDE=FQ","FILING_STATUS=OR","EQY_CONSOLIDATED=Y","Sort=A","Dates=H","DateFormat=P","Fill=—","Direction=H","UseDPDF=Y")</f>
        <v>#NAME?</v>
      </c>
      <c r="AC312" s="1" t="e">
        <f ca="1">_xll.BDH($C$303,"ASSET_GROWTH","FQ4 2015","FQ4 2015","Currency=INR","Period=FQ","BEST_FPERIOD_OVERRIDE=FQ","FILING_STATUS=OR","EQY_CONSOLIDATED=Y","Sort=A","Dates=H","DateFormat=P","Fill=—","Direction=H","UseDPDF=Y")</f>
        <v>#NAME?</v>
      </c>
      <c r="AD312" s="1" t="e">
        <f ca="1">_xll.BDH($C$303,"MODIFIED_WORK_CAP_GROWTH","FQ4 2015","FQ4 2015","Currency=INR","Period=FQ","BEST_FPERIOD_OVERRIDE=FQ","FILING_STATUS=OR","EQY_CONSOLIDATED=Y","Sort=A","Dates=H","DateFormat=P","Fill=—","Direction=H","UseDPDF=Y")</f>
        <v>#NAME?</v>
      </c>
      <c r="AE312" s="1" t="e">
        <f ca="1">_xll.BDH($C$303,"WORK_CAP_GROWTH","FQ4 2015","FQ4 2015","Currency=INR","Period=FQ","BEST_FPERIOD_OVERRIDE=FQ","FILING_STATUS=OR","EQY_CONSOLIDATED=Y","Sort=A","Dates=H","DateFormat=P","Fill=—","Direction=H","UseDPDF=Y")</f>
        <v>#NAME?</v>
      </c>
      <c r="AF312" s="1" t="e">
        <f ca="1">_xll.BDH($C$303,"ACCOUNTS_PAYABLE_GROWTH_1YR","FQ4 2015","FQ4 2015","Currency=INR","Period=FQ","BEST_FPERIOD_OVERRIDE=FQ","FILING_STATUS=OR","EQY_CONSOLIDATED=Y","Sort=A","Dates=H","DateFormat=P","Fill=—","Direction=H","UseDPDF=Y")</f>
        <v>#NAME?</v>
      </c>
      <c r="AG312" s="1" t="e">
        <f ca="1">_xll.BDH($C$303,"SHORT_TERM_DEBT_1_YEAR_GROWTH","FQ4 2015","FQ4 2015","Currency=INR","Period=FQ","BEST_FPERIOD_OVERRIDE=FQ","FILING_STATUS=OR","EQY_CONSOLIDATED=Y","Sort=A","Dates=H","DateFormat=P","Fill=—","Direction=H","UseDPDF=Y")</f>
        <v>#NAME?</v>
      </c>
      <c r="AH312" s="1" t="e">
        <f ca="1">_xll.BDH($C$303,"TOTAL_DEBT_1_YEAR_GROWTH","FQ4 2015","FQ4 2015","Currency=INR","Period=FQ","BEST_FPERIOD_OVERRIDE=FQ","FILING_STATUS=OR","EQY_CONSOLIDATED=Y","Sort=A","Dates=H","DateFormat=P","Fill=—","Direction=H","UseDPDF=Y")</f>
        <v>#NAME?</v>
      </c>
      <c r="AI312" s="1" t="e">
        <f ca="1">_xll.BDH($C$303,"TOTAL_EQUITY_1_YEAR_GROWTH","FQ4 2015","FQ4 2015","Currency=INR","Period=FQ","BEST_FPERIOD_OVERRIDE=FQ","FILING_STATUS=OR","EQY_CONSOLIDATED=Y","Sort=A","Dates=H","DateFormat=P","Fill=—","Direction=H","UseDPDF=Y")</f>
        <v>#NAME?</v>
      </c>
      <c r="AJ312" s="1" t="e">
        <f ca="1">_xll.BDH($C$303,"GROWTH_IN_CAP","FQ4 2015","FQ4 2015","Currency=INR","Period=FQ","BEST_FPERIOD_OVERRIDE=FQ","FILING_STATUS=OR","EQY_CONSOLIDATED=Y","Sort=A","Dates=H","DateFormat=P","Fill=—","Direction=H","UseDPDF=Y")</f>
        <v>#NAME?</v>
      </c>
      <c r="AK312" s="1" t="e">
        <f ca="1">_xll.BDH($C$303,"BVPS_GROWTH","FQ4 2015","FQ4 2015","Currency=INR","Period=FQ","BEST_FPERIOD_OVERRIDE=FQ","FILING_STATUS=OR","EQY_CONSOLIDATED=Y","Sort=A","Dates=H","DateFormat=P","Fill=—","Direction=H","UseDPDF=Y")</f>
        <v>#NAME?</v>
      </c>
      <c r="AL312" s="1" t="e">
        <f ca="1">_xll.BDH($C$303,"CASH_FLOW_GROWTH","FQ4 2015","FQ4 2015","Currency=INR","Period=FQ","BEST_FPERIOD_OVERRIDE=FQ","FILING_STATUS=OR","EQY_CONSOLIDATED=Y","Sort=A","Dates=H","DateFormat=P","Fill=—","Direction=H","UseDPDF=Y")</f>
        <v>#NAME?</v>
      </c>
      <c r="AM312" s="1" t="e">
        <f ca="1">_xll.BDH($C$303,"GEO_GROW_NET_SALES","FQ4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12" s="1" t="e">
        <f ca="1">_xll.BDH($C$303,"GEO_GROW_EBITDA","FQ4 2015","FQ4 2015","Currency=INR","Period=FQ","BEST_FPERIOD_OVERRIDE=FQ","FILING_STATUS=OR","EQY_CONSOLIDATED=Y","FA_ADJUSTED=GAAP","Sort=A","Dates=H","DateFormat=P","Fill=—","Direction=H","UseDPDF=Y")</f>
        <v>#NAME?</v>
      </c>
      <c r="AO312" s="1" t="e">
        <f ca="1">_xll.BDH($C$303,"GEO_GROW_OPER_INC","FQ4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12" s="1" t="e">
        <f ca="1">_xll.BDH($C$303,"NET_INCOME_TO_COMMON_5_YR_GROWTH","FQ4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12" s="1" t="e">
        <f ca="1">_xll.BDH($C$303,"5Y_GEO_GROWTH_DILUTED_EPS","FQ4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12" s="1" t="e">
        <f ca="1">_xll.BDH($C$303,"GEO_GROW_DVD_PER_SH","FQ4 2015","FQ4 2015","Currency=INR","Period=FQ","BEST_FPERIOD_OVERRIDE=FQ","FILING_STATUS=OR","EQY_CONSOLIDATED=Y","Sort=A","Dates=H","DateFormat=P","Fill=—","Direction=H","UseDPDF=Y")</f>
        <v>#NAME?</v>
      </c>
      <c r="AS312" s="1" t="e">
        <f ca="1">_xll.BDH($C$303,"ACCOUNTS_RECEIVABLE_5_YR_GROWTH","FQ4 2015","FQ4 2015","Currency=INR","Period=FQ","BEST_FPERIOD_OVERRIDE=FQ","FILING_STATUS=OR","EQY_CONSOLIDATED=Y","Sort=A","Dates=H","DateFormat=P","Fill=—","Direction=H","UseDPDF=Y")</f>
        <v>#NAME?</v>
      </c>
      <c r="AT312" s="1" t="e">
        <f ca="1">_xll.BDH($C$303,"INVENTORY_5_YEAR_GROWTH","FQ4 2015","FQ4 2015","Currency=INR","Period=FQ","BEST_FPERIOD_OVERRIDE=FQ","FILING_STATUS=OR","EQY_CONSOLIDATED=Y","Sort=A","Dates=H","DateFormat=P","Fill=—","Direction=H","UseDPDF=Y")</f>
        <v>#NAME?</v>
      </c>
      <c r="AU312" s="1" t="e">
        <f ca="1">_xll.BDH($C$303,"NET_FIXED_ASSETS_5_YEAR_GROWTH","FQ4 2015","FQ4 2015","Currency=INR","Period=FQ","BEST_FPERIOD_OVERRIDE=FQ","FILING_STATUS=OR","EQY_CONSOLIDATED=Y","Sort=A","Dates=H","DateFormat=P","Fill=—","Direction=H","UseDPDF=Y")</f>
        <v>#NAME?</v>
      </c>
      <c r="AV312" s="1" t="e">
        <f ca="1">_xll.BDH($C$303,"GEO_GROW_TOT_ASSET","FQ4 2015","FQ4 2015","Currency=INR","Period=FQ","BEST_FPERIOD_OVERRIDE=FQ","FILING_STATUS=OR","EQY_CONSOLIDATED=Y","Sort=A","Dates=H","DateFormat=P","Fill=—","Direction=H","UseDPDF=Y")</f>
        <v>#NAME?</v>
      </c>
      <c r="AW312" s="1" t="e">
        <f ca="1">_xll.BDH($C$303,"MODIFIED_WORKING_CPTL_5YR_GRWTH","FQ4 2015","FQ4 2015","Currency=INR","Period=FQ","BEST_FPERIOD_OVERRIDE=FQ","FILING_STATUS=OR","EQY_CONSOLIDATED=Y","Sort=A","Dates=H","DateFormat=P","Fill=—","Direction=H","UseDPDF=Y")</f>
        <v>#NAME?</v>
      </c>
      <c r="AX312" s="1" t="e">
        <f ca="1">_xll.BDH($C$303,"WORKING_CAPITAL_5_YEAR_GROWTH","FQ4 2015","FQ4 2015","Currency=INR","Period=FQ","BEST_FPERIOD_OVERRIDE=FQ","FILING_STATUS=OR","EQY_CONSOLIDATED=Y","Sort=A","Dates=H","DateFormat=P","Fill=—","Direction=H","UseDPDF=Y")</f>
        <v>#NAME?</v>
      </c>
      <c r="AY312" s="1" t="e">
        <f ca="1">_xll.BDH($C$303,"ACCOUNTS_PAYABLE_5_YEAR_GROWTH","FQ4 2015","FQ4 2015","Currency=INR","Period=FQ","BEST_FPERIOD_OVERRIDE=FQ","FILING_STATUS=OR","EQY_CONSOLIDATED=Y","Sort=A","Dates=H","DateFormat=P","Fill=—","Direction=H","UseDPDF=Y")</f>
        <v>#NAME?</v>
      </c>
      <c r="AZ312" s="1" t="e">
        <f ca="1">_xll.BDH($C$303,"SHORT_TERM_DEBT_5_YEAR_GROWTH","FQ4 2015","FQ4 2015","Currency=INR","Period=FQ","BEST_FPERIOD_OVERRIDE=FQ","FILING_STATUS=OR","EQY_CONSOLIDATED=Y","Sort=A","Dates=H","DateFormat=P","Fill=—","Direction=H","UseDPDF=Y")</f>
        <v>#NAME?</v>
      </c>
      <c r="BA312" s="1" t="e">
        <f ca="1">_xll.BDH($C$303,"TOTAL_DEBT_5_YEAR_GROWTH","FQ4 2015","FQ4 2015","Currency=INR","Period=FQ","BEST_FPERIOD_OVERRIDE=FQ","FILING_STATUS=OR","EQY_CONSOLIDATED=Y","Sort=A","Dates=H","DateFormat=P","Fill=—","Direction=H","UseDPDF=Y")</f>
        <v>#NAME?</v>
      </c>
      <c r="BB312" s="1" t="e">
        <f ca="1">_xll.BDH($C$303,"GEO_GROW_TOT_SHRHLDR_EQY","FQ4 2015","FQ4 2015","Currency=INR","Period=FQ","BEST_FPERIOD_OVERRIDE=FQ","FILING_STATUS=OR","EQY_CONSOLIDATED=Y","Sort=A","Dates=H","DateFormat=P","Fill=—","Direction=H","UseDPDF=Y")</f>
        <v>#NAME?</v>
      </c>
      <c r="BC312" s="1" t="e">
        <f ca="1">_xll.BDH($C$303,"TOTAL_CAPITAL_5_YEAR_GROWTH","FQ4 2015","FQ4 2015","Currency=INR","Period=FQ","BEST_FPERIOD_OVERRIDE=FQ","FILING_STATUS=OR","EQY_CONSOLIDATED=Y","Sort=A","Dates=H","DateFormat=P","Fill=—","Direction=H","UseDPDF=Y")</f>
        <v>#NAME?</v>
      </c>
      <c r="BD312" s="1" t="e">
        <f ca="1">_xll.BDH($C$303,"GEO_GROW_BOOK_VAL","FQ4 2015","FQ4 2015","Currency=INR","Period=FQ","BEST_FPERIOD_OVERRIDE=FQ","FILING_STATUS=OR","EQY_CONSOLIDATED=Y","Sort=A","Dates=H","DateFormat=P","Fill=—","Direction=H","UseDPDF=Y")</f>
        <v>#NAME?</v>
      </c>
      <c r="BE312" s="1" t="e">
        <f ca="1">_xll.BDH($C$303,"GEO_GROW_CASH_OPER_ACT","FQ4 2015","FQ4 2015","Currency=INR","Period=FQ","BEST_FPERIOD_OVERRIDE=FQ","FILING_STATUS=OR","EQY_CONSOLIDATED=Y","Sort=A","Dates=H","DateFormat=P","Fill=—","Direction=H","UseDPDF=Y")</f>
        <v>#NAME?</v>
      </c>
      <c r="BF312" s="1" t="e">
        <f ca="1">_xll.BDH($C$303,"REVENUE_SEQUENTIAL_GROWTH","FQ4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12" s="1" t="e">
        <f ca="1">_xll.BDH($C$303,"EBITDA_SEQUENTIAL_GROWTH","FQ4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12" s="1" t="e">
        <f ca="1">_xll.BDH($C$303,"OPERATING_INCOME_SEQ_GROWTH","FQ4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12" s="1" t="e">
        <f ca="1">_xll.BDH($C$303,"NET_INCOME_TO_COMMON_SEQ_GROWTH","FQ4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12" s="1" t="e">
        <f ca="1">_xll.BDH($C$303,"EPS_DILUTED_SEQUENTIAL_GROWTH","FQ4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12" s="1" t="e">
        <f ca="1">_xll.BDH($C$303,"DPS_SEQUENTIAL_GROWTH","FQ4 2015","FQ4 2015","Currency=INR","Period=FQ","BEST_FPERIOD_OVERRIDE=FQ","FILING_STATUS=OR","EQY_CONSOLIDATED=Y","Sort=A","Dates=H","DateFormat=P","Fill=—","Direction=H","UseDPDF=Y")</f>
        <v>#NAME?</v>
      </c>
      <c r="BL312" s="1" t="e">
        <f ca="1">_xll.BDH($C$303,"ACCOUNTS_RECEIVABLE_SEQ_GROWTH","FQ4 2015","FQ4 2015","Currency=INR","Period=FQ","BEST_FPERIOD_OVERRIDE=FQ","FILING_STATUS=OR","EQY_CONSOLIDATED=Y","Sort=A","Dates=H","DateFormat=P","Fill=—","Direction=H","UseDPDF=Y")</f>
        <v>#NAME?</v>
      </c>
      <c r="BM312" s="1" t="e">
        <f ca="1">_xll.BDH($C$303,"INVENTORY_SEQUENTIAL_GROWTH","FQ4 2015","FQ4 2015","Currency=INR","Period=FQ","BEST_FPERIOD_OVERRIDE=FQ","FILING_STATUS=OR","EQY_CONSOLIDATED=Y","Sort=A","Dates=H","DateFormat=P","Fill=—","Direction=H","UseDPDF=Y")</f>
        <v>#NAME?</v>
      </c>
      <c r="BN312" s="1" t="e">
        <f ca="1">_xll.BDH($C$303,"FIXED_ASSETS_SEQUENTIAL_GROWTH","FQ4 2015","FQ4 2015","Currency=INR","Period=FQ","BEST_FPERIOD_OVERRIDE=FQ","FILING_STATUS=OR","EQY_CONSOLIDATED=Y","Sort=A","Dates=H","DateFormat=P","Fill=—","Direction=H","UseDPDF=Y")</f>
        <v>#NAME?</v>
      </c>
      <c r="BO312" s="1" t="e">
        <f ca="1">_xll.BDH($C$303,"TOTAL_ASSETS_SEQUENTIAL_GROWTH","FQ4 2015","FQ4 2015","Currency=INR","Period=FQ","BEST_FPERIOD_OVERRIDE=FQ","FILING_STATUS=OR","EQY_CONSOLIDATED=Y","Sort=A","Dates=H","DateFormat=P","Fill=—","Direction=H","UseDPDF=Y")</f>
        <v>#NAME?</v>
      </c>
      <c r="BP312" s="1" t="e">
        <f ca="1">_xll.BDH($C$303,"MODIFIED_WORKING_CPTL_SEQ_GRWTH","FQ4 2015","FQ4 2015","Currency=INR","Period=FQ","BEST_FPERIOD_OVERRIDE=FQ","FILING_STATUS=OR","EQY_CONSOLIDATED=Y","Sort=A","Dates=H","DateFormat=P","Fill=—","Direction=H","UseDPDF=Y")</f>
        <v>#NAME?</v>
      </c>
      <c r="BQ312" s="1" t="e">
        <f ca="1">_xll.BDH($C$303,"WORKING_CAPITAL_SEQ_GROWTH","FQ4 2015","FQ4 2015","Currency=INR","Period=FQ","BEST_FPERIOD_OVERRIDE=FQ","FILING_STATUS=OR","EQY_CONSOLIDATED=Y","Sort=A","Dates=H","DateFormat=P","Fill=—","Direction=H","UseDPDF=Y")</f>
        <v>#NAME?</v>
      </c>
      <c r="BR312" s="1" t="e">
        <f ca="1">_xll.BDH($C$303,"ACCOUNTS_PAYABLE_SEQ_GROWTH","FQ4 2015","FQ4 2015","Currency=INR","Period=FQ","BEST_FPERIOD_OVERRIDE=FQ","FILING_STATUS=OR","EQY_CONSOLIDATED=Y","Sort=A","Dates=H","DateFormat=P","Fill=—","Direction=H","UseDPDF=Y")</f>
        <v>#NAME?</v>
      </c>
      <c r="BS312" s="1" t="e">
        <f ca="1">_xll.BDH($C$303,"ST_DEBT_SEQUENTIAL_GROWTH","FQ4 2015","FQ4 2015","Currency=INR","Period=FQ","BEST_FPERIOD_OVERRIDE=FQ","FILING_STATUS=OR","EQY_CONSOLIDATED=Y","Sort=A","Dates=H","DateFormat=P","Fill=—","Direction=H","UseDPDF=Y")</f>
        <v>#NAME?</v>
      </c>
      <c r="BT312" s="1" t="e">
        <f ca="1">_xll.BDH($C$303,"TOTAL_DEBT_SEQUENTIAL_GROWTH","FQ4 2015","FQ4 2015","Currency=INR","Period=FQ","BEST_FPERIOD_OVERRIDE=FQ","FILING_STATUS=OR","EQY_CONSOLIDATED=Y","Sort=A","Dates=H","DateFormat=P","Fill=—","Direction=H","UseDPDF=Y")</f>
        <v>#NAME?</v>
      </c>
      <c r="BU312" s="1" t="e">
        <f ca="1">_xll.BDH($C$303,"TOTAL_EQUITY_SEQUENTIAL_GROWTH","FQ4 2015","FQ4 2015","Currency=INR","Period=FQ","BEST_FPERIOD_OVERRIDE=FQ","FILING_STATUS=OR","EQY_CONSOLIDATED=Y","Sort=A","Dates=H","DateFormat=P","Fill=—","Direction=H","UseDPDF=Y")</f>
        <v>#NAME?</v>
      </c>
      <c r="BV312" s="1" t="e">
        <f ca="1">_xll.BDH($C$303,"TOTAL_CAPITAL_SEQUENTIAL_GROWTH","FQ4 2015","FQ4 2015","Currency=INR","Period=FQ","BEST_FPERIOD_OVERRIDE=FQ","FILING_STATUS=OR","EQY_CONSOLIDATED=Y","Sort=A","Dates=H","DateFormat=P","Fill=—","Direction=H","UseDPDF=Y")</f>
        <v>#NAME?</v>
      </c>
      <c r="BW312" s="1" t="e">
        <f ca="1">_xll.BDH($C$303,"BPS_SEQUENTIAL_GROWTH","FQ4 2015","FQ4 2015","Currency=INR","Period=FQ","BEST_FPERIOD_OVERRIDE=FQ","FILING_STATUS=OR","EQY_CONSOLIDATED=Y","Sort=A","Dates=H","DateFormat=P","Fill=—","Direction=H","UseDPDF=Y")</f>
        <v>#NAME?</v>
      </c>
      <c r="BX312" s="1" t="e">
        <f ca="1">_xll.BDH($C$303,"CFO_SEQUENTIAL_GROWTH","FQ4 2015","FQ4 2015","Currency=INR","Period=FQ","BEST_FPERIOD_OVERRIDE=FQ","FILING_STATUS=OR","EQY_CONSOLIDATED=Y","Sort=A","Dates=H","DateFormat=P","Fill=—","Direction=H","UseDPDF=Y")</f>
        <v>#NAME?</v>
      </c>
      <c r="BY312" s="2" t="e">
        <f ca="1">_xll.BDH($C$303,"SHORT_AND_LONG_TERM_DEBT","FQ4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12" s="2" t="e">
        <f ca="1">_xll.BDH($C$303,"BS_ST_BORROW","FQ4 2015","FQ4 2015","Currency=INR","Period=FQ","BEST_FPERIOD_OVERRIDE=FQ","FILING_STATUS=OR","EQY_CONSOLIDATED=Y","SCALING_FORMAT=MLN","Sort=A","Dates=H","DateFormat=P","Fill=—","Direction=H","UseDPDF=Y")</f>
        <v>#NAME?</v>
      </c>
      <c r="CA312" s="2" t="e">
        <f ca="1">_xll.BDH($C$303,"BS_LT_BORROW","FQ4 2015","FQ4 2015","Currency=INR","Period=FQ","BEST_FPERIOD_OVERRIDE=FQ","FILING_STATUS=OR","EQY_CONSOLIDATED=Y","SCALING_FORMAT=MLN","Sort=A","Dates=H","DateFormat=P","Fill=—","Direction=H","UseDPDF=Y")</f>
        <v>#NAME?</v>
      </c>
      <c r="CB312" s="1" t="e">
        <f ca="1">_xll.BDH($C$303,"TOT_DEBT_TO_EBITDA","FQ4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12" s="1" t="e">
        <f ca="1">_xll.BDH($C$303,"NET_DEBT_TO_EBITDA","FQ4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12" s="1" t="e">
        <f ca="1">_xll.BDH($C$303,"TOTAL_DEBT_TO_EBIT","FQ4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12" s="1" t="e">
        <f ca="1">_xll.BDH($C$303,"NET_DEBT_TO_EBIT","FQ4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312" s="1" t="e">
        <f ca="1">_xll.BDH($C$303,"EBITDA_TO_INTEREST_EXPN","FQ4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12" s="1" t="e">
        <f ca="1">_xll.BDH($C$303,"COM_EQY_TO_TOT_ASSET","FQ4 2015","FQ4 2015","Currency=INR","Period=FQ","BEST_FPERIOD_OVERRIDE=FQ","FILING_STATUS=OR","EQY_CONSOLIDATED=Y","Sort=A","Dates=H","DateFormat=P","Fill=—","Direction=H","UseDPDF=Y")</f>
        <v>#NAME?</v>
      </c>
      <c r="CH312" s="1" t="e">
        <f ca="1">_xll.BDH($C$303,"LT_DEBT_TO_TOT_EQY","FQ4 2015","FQ4 2015","Currency=INR","Period=FQ","BEST_FPERIOD_OVERRIDE=FQ","FILING_STATUS=OR","EQY_CONSOLIDATED=Y","Sort=A","Dates=H","DateFormat=P","Fill=—","Direction=H","UseDPDF=Y")</f>
        <v>#NAME?</v>
      </c>
      <c r="CI312" s="1" t="e">
        <f ca="1">_xll.BDH($C$303,"LT_DEBT_TO_TOT_CAP","FQ4 2015","FQ4 2015","Currency=INR","Period=FQ","BEST_FPERIOD_OVERRIDE=FQ","FILING_STATUS=OR","EQY_CONSOLIDATED=Y","Sort=A","Dates=H","DateFormat=P","Fill=—","Direction=H","UseDPDF=Y")</f>
        <v>#NAME?</v>
      </c>
      <c r="CJ312" s="1" t="e">
        <f ca="1">_xll.BDH($C$303,"LT_DEBT_TO_TOT_ASSET","FQ4 2015","FQ4 2015","Currency=INR","Period=FQ","BEST_FPERIOD_OVERRIDE=FQ","FILING_STATUS=OR","EQY_CONSOLIDATED=Y","Sort=A","Dates=H","DateFormat=P","Fill=—","Direction=H","UseDPDF=Y")</f>
        <v>#NAME?</v>
      </c>
      <c r="CK312" s="1" t="e">
        <f ca="1">_xll.BDH($C$303,"TOT_DEBT_TO_TOT_EQY","FQ4 2015","FQ4 2015","Currency=INR","Period=FQ","BEST_FPERIOD_OVERRIDE=FQ","FILING_STATUS=OR","EQY_CONSOLIDATED=Y","Sort=A","Dates=H","DateFormat=P","Fill=—","Direction=H","UseDPDF=Y")</f>
        <v>#NAME?</v>
      </c>
      <c r="CL312" s="1" t="e">
        <f ca="1">_xll.BDH($C$303,"TOT_DEBT_TO_TOT_CAP","FQ4 2015","FQ4 2015","Currency=INR","Period=FQ","BEST_FPERIOD_OVERRIDE=FQ","FILING_STATUS=OR","EQY_CONSOLIDATED=Y","Sort=A","Dates=H","DateFormat=P","Fill=—","Direction=H","UseDPDF=Y")</f>
        <v>#NAME?</v>
      </c>
      <c r="CM312" s="1" t="e">
        <f ca="1">_xll.BDH($C$303,"TOT_DEBT_TO_TOT_ASSET","FQ4 2015","FQ4 2015","Currency=INR","Period=FQ","BEST_FPERIOD_OVERRIDE=FQ","FILING_STATUS=OR","EQY_CONSOLIDATED=Y","Sort=A","Dates=H","DateFormat=P","Fill=—","Direction=H","UseDPDF=Y")</f>
        <v>#NAME?</v>
      </c>
      <c r="CN312" s="1" t="e">
        <f ca="1">_xll.BDH($C$303,"NET_DEBT_TO_SHRHLDR_EQTY","FQ4 2015","FQ4 2015","Currency=INR","Period=FQ","BEST_FPERIOD_OVERRIDE=FQ","FILING_STATUS=OR","EQY_CONSOLIDATED=Y","Sort=A","Dates=H","DateFormat=P","Fill=—","Direction=H","UseDPDF=Y")</f>
        <v>#NAME?</v>
      </c>
      <c r="CO312" s="1" t="e">
        <f ca="1">_xll.BDH($C$303,"NET_DEBT_%_CAPITAL","FQ4 2015","FQ4 2015","Currency=INR","Period=FQ","BEST_FPERIOD_OVERRIDE=FQ","FILING_STATUS=OR","EQY_CONSOLIDATED=Y","Sort=A","Dates=H","DateFormat=P","Fill=—","Direction=H","UseDPDF=Y")</f>
        <v>#NAME?</v>
      </c>
      <c r="CP312" s="2" t="e">
        <f ca="1">_xll.BDH($C$303,"EBITDA","FQ4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12" s="2" t="e">
        <f ca="1">_xll.BDH($C$303,"EBITDA_AFTER_CAPEX","FQ4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12" s="2" t="e">
        <f ca="1">_xll.BDH($C$303,"IS_OPER_INC","FQ4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12" s="1" t="e">
        <f ca="1">_xll.BDH($C$303,"CASH_RATIO","FQ4 2015","FQ4 2015","Currency=INR","Period=FQ","BEST_FPERIOD_OVERRIDE=FQ","FILING_STATUS=OR","EQY_CONSOLIDATED=Y","Sort=A","Dates=H","DateFormat=P","Fill=—","Direction=H","UseDPDF=Y")</f>
        <v>#NAME?</v>
      </c>
      <c r="CT312" s="1" t="e">
        <f ca="1">_xll.BDH($C$303,"CUR_RATIO","FQ4 2015","FQ4 2015","Currency=INR","Period=FQ","BEST_FPERIOD_OVERRIDE=FQ","FILING_STATUS=OR","EQY_CONSOLIDATED=Y","Sort=A","Dates=H","DateFormat=P","Fill=—","Direction=H","UseDPDF=Y")</f>
        <v>#NAME?</v>
      </c>
      <c r="CU312" s="1" t="e">
        <f ca="1">_xll.BDH($C$303,"QUICK_RATIO","FQ4 2015","FQ4 2015","Currency=INR","Period=FQ","BEST_FPERIOD_OVERRIDE=FQ","FILING_STATUS=OR","EQY_CONSOLIDATED=Y","Sort=A","Dates=H","DateFormat=P","Fill=—","Direction=H","UseDPDF=Y")</f>
        <v>#NAME?</v>
      </c>
      <c r="CV312" s="1" t="e">
        <f ca="1">_xll.BDH($C$303,"ALTMAN_Z_SCORE","FQ4 2015","FQ4 2015","Currency=INR","Period=FQ","BEST_FPERIOD_OVERRIDE=FQ","FILING_STATUS=OR","EQY_CONSOLIDATED=Y","Sort=A","Dates=H","DateFormat=P","Fill=—","Direction=H","UseDPDF=Y")</f>
        <v>#NAME?</v>
      </c>
      <c r="CW312" s="3" t="e">
        <f ca="1">_xll.BDH($C$303,"ACCT_RCV_TURN","FQ4 2015","FQ4 2015","Currency=INR","Period=FQ","BEST_FPERIOD_OVERRIDE=FQ","FILING_STATUS=OR","EQY_CONSOLIDATED=Y","FA_ADJUSTED=GAAP","Sort=A","Dates=H","DateFormat=P","Fill=—","Direction=H","UseDPDF=Y")</f>
        <v>#NAME?</v>
      </c>
      <c r="CX312" s="1" t="e">
        <f ca="1">_xll.BDH($C$303,"ACCT_RCV_DAYS","FQ4 2015","FQ4 2015","Currency=INR","Period=FQ","BEST_FPERIOD_OVERRIDE=FQ","FILING_STATUS=OR","EQY_CONSOLIDATED=Y","FA_ADJUSTED=GAAP","Sort=A","Dates=H","DateFormat=P","Fill=—","Direction=H","UseDPDF=Y")</f>
        <v>#NAME?</v>
      </c>
      <c r="CY312" s="3" t="e">
        <f ca="1">_xll.BDH($C$303,"INVENT_TURN","FQ4 2015","FQ4 2015","Currency=INR","Period=FQ","BEST_FPERIOD_OVERRIDE=FQ","FILING_STATUS=OR","EQY_CONSOLIDATED=Y","FA_ADJUSTED=GAAP","Sort=A","Dates=H","DateFormat=P","Fill=—","Direction=H","UseDPDF=Y")</f>
        <v>#NAME?</v>
      </c>
      <c r="CZ312" s="1" t="e">
        <f ca="1">_xll.BDH($C$303,"INVENT_DAYS","FQ4 2015","FQ4 2015","Currency=INR","Period=FQ","BEST_FPERIOD_OVERRIDE=FQ","FILING_STATUS=OR","EQY_CONSOLIDATED=Y","FA_ADJUSTED=GAAP","Sort=A","Dates=H","DateFormat=P","Fill=—","Direction=H","UseDPDF=Y")</f>
        <v>#NAME?</v>
      </c>
      <c r="DA312" s="3" t="e">
        <f ca="1">_xll.BDH($C$303,"ACCOUNTS_PAYABLE_TURNOVER","FQ4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12" s="1" t="e">
        <f ca="1">_xll.BDH($C$303,"ACCOUNTS_PAYABLE_TURNOVER_DAYS","FQ4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12" s="3" t="e">
        <f ca="1">_xll.BDH($C$303,"CASH_CONVERSION_CYCLE","FQ4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12" s="3" t="e">
        <f ca="1">_xll.BDH($C$303,"INV_TO_CASH_DAYS","FQ4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312" s="4" t="e">
        <f ca="1">_xll.BDH($C$303,"BS_INVENTORIES","FQ4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312" s="2" t="e">
        <f ca="1">_xll.BDH($C$303,"INVTRY_RAW_MATERIALS","FQ4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12" s="2" t="e">
        <f ca="1">_xll.BDH($C$303,"INVTRY_IN_PROGRESS","FQ4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12" s="2" t="e">
        <f ca="1">_xll.BDH($C$303,"INVTRY_FINISHED_GOODS","FQ4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12" s="2" t="e">
        <f ca="1">_xll.BDH($C$303,"BS_OTHER_INV","FQ4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13" spans="1:113" x14ac:dyDescent="0.3">
      <c r="A313" s="6"/>
      <c r="B313" s="6"/>
      <c r="C313" s="6"/>
      <c r="D313" s="6" t="s">
        <v>9</v>
      </c>
      <c r="E313" t="s">
        <v>3</v>
      </c>
      <c r="F313" t="e">
        <f ca="1">_xll.BDH($C$303,"RETURN_COM_EQY","FY 2016","FY 2016","Currency=INR","Period=FY","BEST_FPERIOD_OVERRIDE=FY","FILING_STATUS=OR","EQY_CONSOLIDATED=Y","FA_ADJUSTED=GAAP","Sort=A","Dates=H","DateFormat=P","Fill=—","Direction=H","UseDPDF=Y")</f>
        <v>#NAME?</v>
      </c>
      <c r="G313" t="e">
        <f ca="1">_xll.BDH($C$303,"RETURN_ON_ASSET","FY 2016","FY 2016","Currency=INR","Period=FY","BEST_FPERIOD_OVERRIDE=FY","FILING_STATUS=OR","EQY_CONSOLIDATED=Y","FA_ADJUSTED=GAAP","Sort=A","Dates=H","DateFormat=P","Fill=—","Direction=H","UseDPDF=Y")</f>
        <v>#NAME?</v>
      </c>
      <c r="H313" t="e">
        <f ca="1">_xll.BDH($C$303,"RETURN_ON_CAP","FY 2016","FY 2016","Currency=INR","Period=FY","BEST_FPERIOD_OVERRIDE=FY","FILING_STATUS=OR","EQY_CONSOLIDATED=Y","FA_ADJUSTED=GAAP","Sort=A","Dates=H","DateFormat=P","Fill=—","Direction=H","UseDPDF=Y")</f>
        <v>#NAME?</v>
      </c>
      <c r="I313" t="e">
        <f ca="1">_xll.BDH($C$303,"RETURN_ON_INV_CAPITAL","FY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13" t="e">
        <f ca="1">_xll.BDH($C$303,"EBITDA_TO_REVENUE","FY 2016","FY 2016","Currency=INR","Period=FY","BEST_FPERIOD_OVERRIDE=FY","FILING_STATUS=OR","EQY_CONSOLIDATED=Y","FA_ADJUSTED=GAAP","Sort=A","Dates=H","DateFormat=P","Fill=—","Direction=H","UseDPDF=Y")</f>
        <v>#NAME?</v>
      </c>
      <c r="K313" t="e">
        <f ca="1">_xll.BDH($C$303,"OPER_MARGIN","FY 2016","FY 2016","Currency=INR","Period=FY","BEST_FPERIOD_OVERRIDE=FY","FILING_STATUS=OR","EQY_CONSOLIDATED=Y","FA_ADJUSTED=GAAP","Sort=A","Dates=H","DateFormat=P","Fill=—","Direction=H","UseDPDF=Y")</f>
        <v>#NAME?</v>
      </c>
      <c r="L313" t="e">
        <f ca="1">_xll.BDH($C$303,"INCREMENTAL_OPERATING_MARGIN","FY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13" t="e">
        <f ca="1">_xll.BDH($C$303,"PRETAX_INC_TO_NET_SALES","FY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13" t="e">
        <f ca="1">_xll.BDH($C$303,"INC_BEF_XO_ITEMS_TO_NET_SALES","FY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13" t="e">
        <f ca="1">_xll.BDH($C$303,"PROF_MARGIN","FY 2016","FY 2016","Currency=INR","Period=FY","BEST_FPERIOD_OVERRIDE=FY","FILING_STATUS=OR","EQY_CONSOLIDATED=Y","FA_ADJUSTED=GAAP","Sort=A","Dates=H","DateFormat=P","Fill=—","Direction=H","UseDPDF=Y")</f>
        <v>#NAME?</v>
      </c>
      <c r="P313" t="e">
        <f ca="1">_xll.BDH($C$303,"NET_INCOME_TO_COMMON_MARGIN","FY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13" t="e">
        <f ca="1">_xll.BDH($C$303,"EFF_TAX_RATE","FY 2016","FY 2016","Currency=INR","Period=FY","BEST_FPERIOD_OVERRIDE=FY","FILING_STATUS=OR","EQY_CONSOLIDATED=Y","FA_ADJUSTED=GAAP","Sort=A","Dates=H","DateFormat=P","Fill=—","Direction=H","UseDPDF=Y")</f>
        <v>#NAME?</v>
      </c>
      <c r="R313" t="e">
        <f ca="1">_xll.BDH($C$303,"DVD_PAYOUT_RATIO","FY 2016","FY 2016","Currency=INR","Period=FY","BEST_FPERIOD_OVERRIDE=FY","FILING_STATUS=OR","EQY_CONSOLIDATED=Y","FA_ADJUSTED=GAAP","Sort=A","Dates=H","DateFormat=P","Fill=—","Direction=H","UseDPDF=Y")</f>
        <v>#NAME?</v>
      </c>
      <c r="S313" t="e">
        <f ca="1">_xll.BDH($C$303,"SUSTAIN_GROWTH_RT","FY 2016","FY 2016","Currency=INR","Period=FY","BEST_FPERIOD_OVERRIDE=FY","FILING_STATUS=OR","EQY_CONSOLIDATED=Y","FA_ADJUSTED=GAAP","Sort=A","Dates=H","DateFormat=P","Fill=—","Direction=H","UseDPDF=Y")</f>
        <v>#NAME?</v>
      </c>
      <c r="T313" s="1" t="e">
        <f ca="1">_xll.BDH($C$303,"SALES_GROWTH","FY 2016","FY 2016","Currency=INR","Period=FY","BEST_FPERIOD_OVERRIDE=FY","FILING_STATUS=OR","EQY_CONSOLIDATED=Y","FA_ADJUSTED=GAAP","Sort=A","Dates=H","DateFormat=P","Fill=—","Direction=H","UseDPDF=Y")</f>
        <v>#NAME?</v>
      </c>
      <c r="U313" s="1" t="e">
        <f ca="1">_xll.BDH($C$303,"EBITDA_GROWTH","FY 2016","FY 2016","Currency=INR","Period=FY","BEST_FPERIOD_OVERRIDE=FY","FILING_STATUS=OR","EQY_CONSOLIDATED=Y","FA_ADJUSTED=GAAP","Sort=A","Dates=H","DateFormat=P","Fill=—","Direction=H","UseDPDF=Y")</f>
        <v>#NAME?</v>
      </c>
      <c r="V313" s="1" t="e">
        <f ca="1">_xll.BDH($C$303,"OPER_INC_GROWTH","FY 2016","FY 2016","Currency=INR","Period=FY","BEST_FPERIOD_OVERRIDE=FY","FILING_STATUS=OR","EQY_CONSOLIDATED=Y","FA_ADJUSTED=GAAP","Sort=A","Dates=H","DateFormat=P","Fill=—","Direction=H","UseDPDF=Y")</f>
        <v>#NAME?</v>
      </c>
      <c r="W313" s="1" t="e">
        <f ca="1">_xll.BDH($C$303,"EARN_FOR_COM_GROWTH","FY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313" s="1" t="e">
        <f ca="1">_xll.BDH($C$303,"DILUTED_EPS_AFT_XO_ITEMS_GROWTH","FY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13" s="1" t="e">
        <f ca="1">_xll.BDH($C$303,"DIVIDEND_PER_SHARE_1_YEAR_GROWTH","FY 2016","FY 2016","Currency=INR","Period=FY","BEST_FPERIOD_OVERRIDE=FY","FILING_STATUS=OR","EQY_CONSOLIDATED=Y","Sort=A","Dates=H","DateFormat=P","Fill=—","Direction=H","UseDPDF=Y")</f>
        <v>#NAME?</v>
      </c>
      <c r="Z313" s="1" t="e">
        <f ca="1">_xll.BDH($C$303,"ACCOUNTS_RECEIVABLE_GROWTH","FY 2016","FY 2016","Currency=INR","Period=FY","BEST_FPERIOD_OVERRIDE=FY","FILING_STATUS=OR","EQY_CONSOLIDATED=Y","Sort=A","Dates=H","DateFormat=P","Fill=—","Direction=H","UseDPDF=Y")</f>
        <v>#NAME?</v>
      </c>
      <c r="AA313" s="1" t="e">
        <f ca="1">_xll.BDH($C$303,"INVENTORY_GROWTH","FY 2016","FY 2016","Currency=INR","Period=FY","BEST_FPERIOD_OVERRIDE=FY","FILING_STATUS=OR","EQY_CONSOLIDATED=Y","Sort=A","Dates=H","DateFormat=P","Fill=—","Direction=H","UseDPDF=Y")</f>
        <v>#NAME?</v>
      </c>
      <c r="AB313" s="1" t="e">
        <f ca="1">_xll.BDH($C$303,"NET_FIXED_ASSETS_1_YEAR_GROWTH","FY 2016","FY 2016","Currency=INR","Period=FY","BEST_FPERIOD_OVERRIDE=FY","FILING_STATUS=OR","EQY_CONSOLIDATED=Y","Sort=A","Dates=H","DateFormat=P","Fill=—","Direction=H","UseDPDF=Y")</f>
        <v>#NAME?</v>
      </c>
      <c r="AC313" s="1" t="e">
        <f ca="1">_xll.BDH($C$303,"ASSET_GROWTH","FY 2016","FY 2016","Currency=INR","Period=FY","BEST_FPERIOD_OVERRIDE=FY","FILING_STATUS=OR","EQY_CONSOLIDATED=Y","Sort=A","Dates=H","DateFormat=P","Fill=—","Direction=H","UseDPDF=Y")</f>
        <v>#NAME?</v>
      </c>
      <c r="AD313" s="1" t="e">
        <f ca="1">_xll.BDH($C$303,"MODIFIED_WORK_CAP_GROWTH","FY 2016","FY 2016","Currency=INR","Period=FY","BEST_FPERIOD_OVERRIDE=FY","FILING_STATUS=OR","EQY_CONSOLIDATED=Y","Sort=A","Dates=H","DateFormat=P","Fill=—","Direction=H","UseDPDF=Y")</f>
        <v>#NAME?</v>
      </c>
      <c r="AE313" s="1" t="e">
        <f ca="1">_xll.BDH($C$303,"WORK_CAP_GROWTH","FY 2016","FY 2016","Currency=INR","Period=FY","BEST_FPERIOD_OVERRIDE=FY","FILING_STATUS=OR","EQY_CONSOLIDATED=Y","Sort=A","Dates=H","DateFormat=P","Fill=—","Direction=H","UseDPDF=Y")</f>
        <v>#NAME?</v>
      </c>
      <c r="AF313" s="1" t="e">
        <f ca="1">_xll.BDH($C$303,"ACCOUNTS_PAYABLE_GROWTH_1YR","FY 2016","FY 2016","Currency=INR","Period=FY","BEST_FPERIOD_OVERRIDE=FY","FILING_STATUS=OR","EQY_CONSOLIDATED=Y","Sort=A","Dates=H","DateFormat=P","Fill=—","Direction=H","UseDPDF=Y")</f>
        <v>#NAME?</v>
      </c>
      <c r="AG313" s="1" t="e">
        <f ca="1">_xll.BDH($C$303,"SHORT_TERM_DEBT_1_YEAR_GROWTH","FY 2016","FY 2016","Currency=INR","Period=FY","BEST_FPERIOD_OVERRIDE=FY","FILING_STATUS=OR","EQY_CONSOLIDATED=Y","Sort=A","Dates=H","DateFormat=P","Fill=—","Direction=H","UseDPDF=Y")</f>
        <v>#NAME?</v>
      </c>
      <c r="AH313" s="1" t="e">
        <f ca="1">_xll.BDH($C$303,"TOTAL_DEBT_1_YEAR_GROWTH","FY 2016","FY 2016","Currency=INR","Period=FY","BEST_FPERIOD_OVERRIDE=FY","FILING_STATUS=OR","EQY_CONSOLIDATED=Y","Sort=A","Dates=H","DateFormat=P","Fill=—","Direction=H","UseDPDF=Y")</f>
        <v>#NAME?</v>
      </c>
      <c r="AI313" s="1" t="e">
        <f ca="1">_xll.BDH($C$303,"TOTAL_EQUITY_1_YEAR_GROWTH","FY 2016","FY 2016","Currency=INR","Period=FY","BEST_FPERIOD_OVERRIDE=FY","FILING_STATUS=OR","EQY_CONSOLIDATED=Y","Sort=A","Dates=H","DateFormat=P","Fill=—","Direction=H","UseDPDF=Y")</f>
        <v>#NAME?</v>
      </c>
      <c r="AJ313" s="1" t="e">
        <f ca="1">_xll.BDH($C$303,"GROWTH_IN_CAP","FY 2016","FY 2016","Currency=INR","Period=FY","BEST_FPERIOD_OVERRIDE=FY","FILING_STATUS=OR","EQY_CONSOLIDATED=Y","Sort=A","Dates=H","DateFormat=P","Fill=—","Direction=H","UseDPDF=Y")</f>
        <v>#NAME?</v>
      </c>
      <c r="AK313" s="1" t="e">
        <f ca="1">_xll.BDH($C$303,"BVPS_GROWTH","FY 2016","FY 2016","Currency=INR","Period=FY","BEST_FPERIOD_OVERRIDE=FY","FILING_STATUS=OR","EQY_CONSOLIDATED=Y","Sort=A","Dates=H","DateFormat=P","Fill=—","Direction=H","UseDPDF=Y")</f>
        <v>#NAME?</v>
      </c>
      <c r="AL313" s="1" t="e">
        <f ca="1">_xll.BDH($C$303,"CASH_FLOW_GROWTH","FY 2016","FY 2016","Currency=INR","Period=FY","BEST_FPERIOD_OVERRIDE=FY","FILING_STATUS=OR","EQY_CONSOLIDATED=Y","Sort=A","Dates=H","DateFormat=P","Fill=—","Direction=H","UseDPDF=Y")</f>
        <v>#NAME?</v>
      </c>
      <c r="AM313" s="1" t="e">
        <f ca="1">_xll.BDH($C$303,"GEO_GROW_NET_SALES","FY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313" s="1" t="e">
        <f ca="1">_xll.BDH($C$303,"GEO_GROW_EBITDA","FY 2016","FY 2016","Currency=INR","Period=FY","BEST_FPERIOD_OVERRIDE=FY","FILING_STATUS=OR","EQY_CONSOLIDATED=Y","FA_ADJUSTED=GAAP","Sort=A","Dates=H","DateFormat=P","Fill=—","Direction=H","UseDPDF=Y")</f>
        <v>#NAME?</v>
      </c>
      <c r="AO313" s="1" t="e">
        <f ca="1">_xll.BDH($C$303,"GEO_GROW_OPER_INC","FY 2016","FY 2016","Currency=INR","Period=FY","BEST_FPERIOD_OVERRIDE=FY","FILING_STATUS=OR","EQY_CONSOLIDATED=Y","FA_ADJUSTED=GAAP","Sort=A","Dates=H","DateFormat=P","Fill=—","Direction=H","UseDPDF=Y")</f>
        <v>#NAME?</v>
      </c>
      <c r="AP313" s="1" t="e">
        <f ca="1">_xll.BDH($C$303,"NET_INCOME_TO_COMMON_5_YR_GROWTH","FY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13" s="1" t="e">
        <f ca="1">_xll.BDH($C$303,"5Y_GEO_GROWTH_DILUTED_EPS","FY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13" s="1" t="e">
        <f ca="1">_xll.BDH($C$303,"GEO_GROW_DVD_PER_SH","FY 2016","FY 2016","Currency=INR","Period=FY","BEST_FPERIOD_OVERRIDE=FY","FILING_STATUS=OR","EQY_CONSOLIDATED=Y","Sort=A","Dates=H","DateFormat=P","Fill=—","Direction=H","UseDPDF=Y")</f>
        <v>#NAME?</v>
      </c>
      <c r="AS313" s="1" t="e">
        <f ca="1">_xll.BDH($C$303,"ACCOUNTS_RECEIVABLE_5_YR_GROWTH","FY 2016","FY 2016","Currency=INR","Period=FY","BEST_FPERIOD_OVERRIDE=FY","FILING_STATUS=OR","EQY_CONSOLIDATED=Y","Sort=A","Dates=H","DateFormat=P","Fill=—","Direction=H","UseDPDF=Y")</f>
        <v>#NAME?</v>
      </c>
      <c r="AT313" s="1" t="e">
        <f ca="1">_xll.BDH($C$303,"INVENTORY_5_YEAR_GROWTH","FY 2016","FY 2016","Currency=INR","Period=FY","BEST_FPERIOD_OVERRIDE=FY","FILING_STATUS=OR","EQY_CONSOLIDATED=Y","Sort=A","Dates=H","DateFormat=P","Fill=—","Direction=H","UseDPDF=Y")</f>
        <v>#NAME?</v>
      </c>
      <c r="AU313" s="1" t="e">
        <f ca="1">_xll.BDH($C$303,"NET_FIXED_ASSETS_5_YEAR_GROWTH","FY 2016","FY 2016","Currency=INR","Period=FY","BEST_FPERIOD_OVERRIDE=FY","FILING_STATUS=OR","EQY_CONSOLIDATED=Y","Sort=A","Dates=H","DateFormat=P","Fill=—","Direction=H","UseDPDF=Y")</f>
        <v>#NAME?</v>
      </c>
      <c r="AV313" s="1" t="e">
        <f ca="1">_xll.BDH($C$303,"GEO_GROW_TOT_ASSET","FY 2016","FY 2016","Currency=INR","Period=FY","BEST_FPERIOD_OVERRIDE=FY","FILING_STATUS=OR","EQY_CONSOLIDATED=Y","Sort=A","Dates=H","DateFormat=P","Fill=—","Direction=H","UseDPDF=Y")</f>
        <v>#NAME?</v>
      </c>
      <c r="AW313" s="1" t="e">
        <f ca="1">_xll.BDH($C$303,"MODIFIED_WORKING_CPTL_5YR_GRWTH","FY 2016","FY 2016","Currency=INR","Period=FY","BEST_FPERIOD_OVERRIDE=FY","FILING_STATUS=OR","EQY_CONSOLIDATED=Y","Sort=A","Dates=H","DateFormat=P","Fill=—","Direction=H","UseDPDF=Y")</f>
        <v>#NAME?</v>
      </c>
      <c r="AX313" s="1" t="e">
        <f ca="1">_xll.BDH($C$303,"WORKING_CAPITAL_5_YEAR_GROWTH","FY 2016","FY 2016","Currency=INR","Period=FY","BEST_FPERIOD_OVERRIDE=FY","FILING_STATUS=OR","EQY_CONSOLIDATED=Y","Sort=A","Dates=H","DateFormat=P","Fill=—","Direction=H","UseDPDF=Y")</f>
        <v>#NAME?</v>
      </c>
      <c r="AY313" s="1" t="e">
        <f ca="1">_xll.BDH($C$303,"ACCOUNTS_PAYABLE_5_YEAR_GROWTH","FY 2016","FY 2016","Currency=INR","Period=FY","BEST_FPERIOD_OVERRIDE=FY","FILING_STATUS=OR","EQY_CONSOLIDATED=Y","Sort=A","Dates=H","DateFormat=P","Fill=—","Direction=H","UseDPDF=Y")</f>
        <v>#NAME?</v>
      </c>
      <c r="AZ313" s="1" t="e">
        <f ca="1">_xll.BDH($C$303,"SHORT_TERM_DEBT_5_YEAR_GROWTH","FY 2016","FY 2016","Currency=INR","Period=FY","BEST_FPERIOD_OVERRIDE=FY","FILING_STATUS=OR","EQY_CONSOLIDATED=Y","Sort=A","Dates=H","DateFormat=P","Fill=—","Direction=H","UseDPDF=Y")</f>
        <v>#NAME?</v>
      </c>
      <c r="BA313" s="1" t="e">
        <f ca="1">_xll.BDH($C$303,"TOTAL_DEBT_5_YEAR_GROWTH","FY 2016","FY 2016","Currency=INR","Period=FY","BEST_FPERIOD_OVERRIDE=FY","FILING_STATUS=OR","EQY_CONSOLIDATED=Y","Sort=A","Dates=H","DateFormat=P","Fill=—","Direction=H","UseDPDF=Y")</f>
        <v>#NAME?</v>
      </c>
      <c r="BB313" s="1" t="e">
        <f ca="1">_xll.BDH($C$303,"GEO_GROW_TOT_SHRHLDR_EQY","FY 2016","FY 2016","Currency=INR","Period=FY","BEST_FPERIOD_OVERRIDE=FY","FILING_STATUS=OR","EQY_CONSOLIDATED=Y","Sort=A","Dates=H","DateFormat=P","Fill=—","Direction=H","UseDPDF=Y")</f>
        <v>#NAME?</v>
      </c>
      <c r="BC313" s="1" t="e">
        <f ca="1">_xll.BDH($C$303,"TOTAL_CAPITAL_5_YEAR_GROWTH","FY 2016","FY 2016","Currency=INR","Period=FY","BEST_FPERIOD_OVERRIDE=FY","FILING_STATUS=OR","EQY_CONSOLIDATED=Y","Sort=A","Dates=H","DateFormat=P","Fill=—","Direction=H","UseDPDF=Y")</f>
        <v>#NAME?</v>
      </c>
      <c r="BD313" s="1" t="e">
        <f ca="1">_xll.BDH($C$303,"GEO_GROW_BOOK_VAL","FY 2016","FY 2016","Currency=INR","Period=FY","BEST_FPERIOD_OVERRIDE=FY","FILING_STATUS=OR","EQY_CONSOLIDATED=Y","Sort=A","Dates=H","DateFormat=P","Fill=—","Direction=H","UseDPDF=Y")</f>
        <v>#NAME?</v>
      </c>
      <c r="BE313" s="1" t="e">
        <f ca="1">_xll.BDH($C$303,"GEO_GROW_CASH_OPER_ACT","FY 2016","FY 2016","Currency=INR","Period=FY","BEST_FPERIOD_OVERRIDE=FY","FILING_STATUS=OR","EQY_CONSOLIDATED=Y","Sort=A","Dates=H","DateFormat=P","Fill=—","Direction=H","UseDPDF=Y")</f>
        <v>#NAME?</v>
      </c>
      <c r="BF313" s="1" t="e">
        <f ca="1">_xll.BDH($C$303,"REVENUE_SEQUENTIAL_GROWTH","FY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13" s="1" t="e">
        <f ca="1">_xll.BDH($C$303,"EBITDA_SEQUENTIAL_GROWTH","FY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13" s="1" t="e">
        <f ca="1">_xll.BDH($C$303,"OPERATING_INCOME_SEQ_GROWTH","FY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13" s="1" t="e">
        <f ca="1">_xll.BDH($C$303,"NET_INCOME_TO_COMMON_SEQ_GROWTH","FY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13" s="1" t="e">
        <f ca="1">_xll.BDH($C$303,"EPS_DILUTED_SEQUENTIAL_GROWTH","FY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13" s="1" t="e">
        <f ca="1">_xll.BDH($C$303,"DPS_SEQUENTIAL_GROWTH","FY 2016","FY 2016","Currency=INR","Period=FY","BEST_FPERIOD_OVERRIDE=FY","FILING_STATUS=OR","EQY_CONSOLIDATED=Y","Sort=A","Dates=H","DateFormat=P","Fill=—","Direction=H","UseDPDF=Y")</f>
        <v>#NAME?</v>
      </c>
      <c r="BL313" s="1" t="e">
        <f ca="1">_xll.BDH($C$303,"ACCOUNTS_RECEIVABLE_SEQ_GROWTH","FY 2016","FY 2016","Currency=INR","Period=FY","BEST_FPERIOD_OVERRIDE=FY","FILING_STATUS=OR","EQY_CONSOLIDATED=Y","Sort=A","Dates=H","DateFormat=P","Fill=—","Direction=H","UseDPDF=Y")</f>
        <v>#NAME?</v>
      </c>
      <c r="BM313" s="1" t="e">
        <f ca="1">_xll.BDH($C$303,"INVENTORY_SEQUENTIAL_GROWTH","FY 2016","FY 2016","Currency=INR","Period=FY","BEST_FPERIOD_OVERRIDE=FY","FILING_STATUS=OR","EQY_CONSOLIDATED=Y","Sort=A","Dates=H","DateFormat=P","Fill=—","Direction=H","UseDPDF=Y")</f>
        <v>#NAME?</v>
      </c>
      <c r="BN313" s="1" t="e">
        <f ca="1">_xll.BDH($C$303,"FIXED_ASSETS_SEQUENTIAL_GROWTH","FY 2016","FY 2016","Currency=INR","Period=FY","BEST_FPERIOD_OVERRIDE=FY","FILING_STATUS=OR","EQY_CONSOLIDATED=Y","Sort=A","Dates=H","DateFormat=P","Fill=—","Direction=H","UseDPDF=Y")</f>
        <v>#NAME?</v>
      </c>
      <c r="BO313" s="1" t="e">
        <f ca="1">_xll.BDH($C$303,"TOTAL_ASSETS_SEQUENTIAL_GROWTH","FY 2016","FY 2016","Currency=INR","Period=FY","BEST_FPERIOD_OVERRIDE=FY","FILING_STATUS=OR","EQY_CONSOLIDATED=Y","Sort=A","Dates=H","DateFormat=P","Fill=—","Direction=H","UseDPDF=Y")</f>
        <v>#NAME?</v>
      </c>
      <c r="BP313" s="1" t="e">
        <f ca="1">_xll.BDH($C$303,"MODIFIED_WORKING_CPTL_SEQ_GRWTH","FY 2016","FY 2016","Currency=INR","Period=FY","BEST_FPERIOD_OVERRIDE=FY","FILING_STATUS=OR","EQY_CONSOLIDATED=Y","Sort=A","Dates=H","DateFormat=P","Fill=—","Direction=H","UseDPDF=Y")</f>
        <v>#NAME?</v>
      </c>
      <c r="BQ313" s="1" t="e">
        <f ca="1">_xll.BDH($C$303,"WORKING_CAPITAL_SEQ_GROWTH","FY 2016","FY 2016","Currency=INR","Period=FY","BEST_FPERIOD_OVERRIDE=FY","FILING_STATUS=OR","EQY_CONSOLIDATED=Y","Sort=A","Dates=H","DateFormat=P","Fill=—","Direction=H","UseDPDF=Y")</f>
        <v>#NAME?</v>
      </c>
      <c r="BR313" s="1" t="e">
        <f ca="1">_xll.BDH($C$303,"ACCOUNTS_PAYABLE_SEQ_GROWTH","FY 2016","FY 2016","Currency=INR","Period=FY","BEST_FPERIOD_OVERRIDE=FY","FILING_STATUS=OR","EQY_CONSOLIDATED=Y","Sort=A","Dates=H","DateFormat=P","Fill=—","Direction=H","UseDPDF=Y")</f>
        <v>#NAME?</v>
      </c>
      <c r="BS313" s="1" t="e">
        <f ca="1">_xll.BDH($C$303,"ST_DEBT_SEQUENTIAL_GROWTH","FY 2016","FY 2016","Currency=INR","Period=FY","BEST_FPERIOD_OVERRIDE=FY","FILING_STATUS=OR","EQY_CONSOLIDATED=Y","Sort=A","Dates=H","DateFormat=P","Fill=—","Direction=H","UseDPDF=Y")</f>
        <v>#NAME?</v>
      </c>
      <c r="BT313" s="1" t="e">
        <f ca="1">_xll.BDH($C$303,"TOTAL_DEBT_SEQUENTIAL_GROWTH","FY 2016","FY 2016","Currency=INR","Period=FY","BEST_FPERIOD_OVERRIDE=FY","FILING_STATUS=OR","EQY_CONSOLIDATED=Y","Sort=A","Dates=H","DateFormat=P","Fill=—","Direction=H","UseDPDF=Y")</f>
        <v>#NAME?</v>
      </c>
      <c r="BU313" s="1" t="e">
        <f ca="1">_xll.BDH($C$303,"TOTAL_EQUITY_SEQUENTIAL_GROWTH","FY 2016","FY 2016","Currency=INR","Period=FY","BEST_FPERIOD_OVERRIDE=FY","FILING_STATUS=OR","EQY_CONSOLIDATED=Y","Sort=A","Dates=H","DateFormat=P","Fill=—","Direction=H","UseDPDF=Y")</f>
        <v>#NAME?</v>
      </c>
      <c r="BV313" s="1" t="e">
        <f ca="1">_xll.BDH($C$303,"TOTAL_CAPITAL_SEQUENTIAL_GROWTH","FY 2016","FY 2016","Currency=INR","Period=FY","BEST_FPERIOD_OVERRIDE=FY","FILING_STATUS=OR","EQY_CONSOLIDATED=Y","Sort=A","Dates=H","DateFormat=P","Fill=—","Direction=H","UseDPDF=Y")</f>
        <v>#NAME?</v>
      </c>
      <c r="BW313" s="1" t="e">
        <f ca="1">_xll.BDH($C$303,"BPS_SEQUENTIAL_GROWTH","FY 2016","FY 2016","Currency=INR","Period=FY","BEST_FPERIOD_OVERRIDE=FY","FILING_STATUS=OR","EQY_CONSOLIDATED=Y","Sort=A","Dates=H","DateFormat=P","Fill=—","Direction=H","UseDPDF=Y")</f>
        <v>#NAME?</v>
      </c>
      <c r="BX313" s="1" t="e">
        <f ca="1">_xll.BDH($C$303,"CFO_SEQUENTIAL_GROWTH","FY 2016","FY 2016","Currency=INR","Period=FY","BEST_FPERIOD_OVERRIDE=FY","FILING_STATUS=OR","EQY_CONSOLIDATED=Y","Sort=A","Dates=H","DateFormat=P","Fill=—","Direction=H","UseDPDF=Y")</f>
        <v>#NAME?</v>
      </c>
      <c r="BY313" s="2" t="e">
        <f ca="1">_xll.BDH($C$303,"SHORT_AND_LONG_TERM_DEBT","FY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13" s="2" t="e">
        <f ca="1">_xll.BDH($C$303,"BS_ST_BORROW","FY 2016","FY 2016","Currency=INR","Period=FY","BEST_FPERIOD_OVERRIDE=FY","FILING_STATUS=OR","EQY_CONSOLIDATED=Y","SCALING_FORMAT=MLN","Sort=A","Dates=H","DateFormat=P","Fill=—","Direction=H","UseDPDF=Y")</f>
        <v>#NAME?</v>
      </c>
      <c r="CA313" s="2" t="e">
        <f ca="1">_xll.BDH($C$303,"BS_LT_BORROW","FY 2016","FY 2016","Currency=INR","Period=FY","BEST_FPERIOD_OVERRIDE=FY","FILING_STATUS=OR","EQY_CONSOLIDATED=Y","SCALING_FORMAT=MLN","Sort=A","Dates=H","DateFormat=P","Fill=—","Direction=H","UseDPDF=Y")</f>
        <v>#NAME?</v>
      </c>
      <c r="CB313" s="1" t="e">
        <f ca="1">_xll.BDH($C$303,"TOT_DEBT_TO_EBITDA","FY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313" s="1" t="e">
        <f ca="1">_xll.BDH($C$303,"NET_DEBT_TO_EBITDA","FY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313" s="1" t="e">
        <f ca="1">_xll.BDH($C$303,"TOTAL_DEBT_TO_EBIT","FY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313" s="1" t="e">
        <f ca="1">_xll.BDH($C$303,"NET_DEBT_TO_EBIT","FY 2016","FY 2016","Currency=INR","Period=FY","BEST_FPERIOD_OVERRIDE=FY","FILING_STATUS=OR","EQY_CONSOLIDATED=Y","FA_ADJUSTED=GAAP","Sort=A","Dates=H","DateFormat=P","Fill=—","Direction=H","UseDPDF=Y")</f>
        <v>#NAME?</v>
      </c>
      <c r="CF313" s="1" t="e">
        <f ca="1">_xll.BDH($C$303,"EBITDA_TO_INTEREST_EXPN","FY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13" s="1" t="e">
        <f ca="1">_xll.BDH($C$303,"COM_EQY_TO_TOT_ASSET","FY 2016","FY 2016","Currency=INR","Period=FY","BEST_FPERIOD_OVERRIDE=FY","FILING_STATUS=OR","EQY_CONSOLIDATED=Y","Sort=A","Dates=H","DateFormat=P","Fill=—","Direction=H","UseDPDF=Y")</f>
        <v>#NAME?</v>
      </c>
      <c r="CH313" s="1" t="e">
        <f ca="1">_xll.BDH($C$303,"LT_DEBT_TO_TOT_EQY","FY 2016","FY 2016","Currency=INR","Period=FY","BEST_FPERIOD_OVERRIDE=FY","FILING_STATUS=OR","EQY_CONSOLIDATED=Y","Sort=A","Dates=H","DateFormat=P","Fill=—","Direction=H","UseDPDF=Y")</f>
        <v>#NAME?</v>
      </c>
      <c r="CI313" s="1" t="e">
        <f ca="1">_xll.BDH($C$303,"LT_DEBT_TO_TOT_CAP","FY 2016","FY 2016","Currency=INR","Period=FY","BEST_FPERIOD_OVERRIDE=FY","FILING_STATUS=OR","EQY_CONSOLIDATED=Y","Sort=A","Dates=H","DateFormat=P","Fill=—","Direction=H","UseDPDF=Y")</f>
        <v>#NAME?</v>
      </c>
      <c r="CJ313" s="1" t="e">
        <f ca="1">_xll.BDH($C$303,"LT_DEBT_TO_TOT_ASSET","FY 2016","FY 2016","Currency=INR","Period=FY","BEST_FPERIOD_OVERRIDE=FY","FILING_STATUS=OR","EQY_CONSOLIDATED=Y","Sort=A","Dates=H","DateFormat=P","Fill=—","Direction=H","UseDPDF=Y")</f>
        <v>#NAME?</v>
      </c>
      <c r="CK313" s="1" t="e">
        <f ca="1">_xll.BDH($C$303,"TOT_DEBT_TO_TOT_EQY","FY 2016","FY 2016","Currency=INR","Period=FY","BEST_FPERIOD_OVERRIDE=FY","FILING_STATUS=OR","EQY_CONSOLIDATED=Y","Sort=A","Dates=H","DateFormat=P","Fill=—","Direction=H","UseDPDF=Y")</f>
        <v>#NAME?</v>
      </c>
      <c r="CL313" s="1" t="e">
        <f ca="1">_xll.BDH($C$303,"TOT_DEBT_TO_TOT_CAP","FY 2016","FY 2016","Currency=INR","Period=FY","BEST_FPERIOD_OVERRIDE=FY","FILING_STATUS=OR","EQY_CONSOLIDATED=Y","Sort=A","Dates=H","DateFormat=P","Fill=—","Direction=H","UseDPDF=Y")</f>
        <v>#NAME?</v>
      </c>
      <c r="CM313" s="1" t="e">
        <f ca="1">_xll.BDH($C$303,"TOT_DEBT_TO_TOT_ASSET","FY 2016","FY 2016","Currency=INR","Period=FY","BEST_FPERIOD_OVERRIDE=FY","FILING_STATUS=OR","EQY_CONSOLIDATED=Y","Sort=A","Dates=H","DateFormat=P","Fill=—","Direction=H","UseDPDF=Y")</f>
        <v>#NAME?</v>
      </c>
      <c r="CN313" s="1" t="e">
        <f ca="1">_xll.BDH($C$303,"NET_DEBT_TO_SHRHLDR_EQTY","FY 2016","FY 2016","Currency=INR","Period=FY","BEST_FPERIOD_OVERRIDE=FY","FILING_STATUS=OR","EQY_CONSOLIDATED=Y","Sort=A","Dates=H","DateFormat=P","Fill=—","Direction=H","UseDPDF=Y")</f>
        <v>#NAME?</v>
      </c>
      <c r="CO313" s="1" t="e">
        <f ca="1">_xll.BDH($C$303,"NET_DEBT_%_CAPITAL","FY 2016","FY 2016","Currency=INR","Period=FY","BEST_FPERIOD_OVERRIDE=FY","FILING_STATUS=OR","EQY_CONSOLIDATED=Y","Sort=A","Dates=H","DateFormat=P","Fill=—","Direction=H","UseDPDF=Y")</f>
        <v>#NAME?</v>
      </c>
      <c r="CP313" s="2" t="e">
        <f ca="1">_xll.BDH($C$303,"EBITDA","FY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13" s="2" t="e">
        <f ca="1">_xll.BDH($C$303,"EBITDA_AFTER_CAPEX","FY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13" s="2" t="e">
        <f ca="1">_xll.BDH($C$303,"IS_OPER_INC","FY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13" s="1" t="e">
        <f ca="1">_xll.BDH($C$303,"CASH_RATIO","FY 2016","FY 2016","Currency=INR","Period=FY","BEST_FPERIOD_OVERRIDE=FY","FILING_STATUS=OR","EQY_CONSOLIDATED=Y","Sort=A","Dates=H","DateFormat=P","Fill=—","Direction=H","UseDPDF=Y")</f>
        <v>#NAME?</v>
      </c>
      <c r="CT313" s="1" t="e">
        <f ca="1">_xll.BDH($C$303,"CUR_RATIO","FY 2016","FY 2016","Currency=INR","Period=FY","BEST_FPERIOD_OVERRIDE=FY","FILING_STATUS=OR","EQY_CONSOLIDATED=Y","Sort=A","Dates=H","DateFormat=P","Fill=—","Direction=H","UseDPDF=Y")</f>
        <v>#NAME?</v>
      </c>
      <c r="CU313" s="1" t="e">
        <f ca="1">_xll.BDH($C$303,"QUICK_RATIO","FY 2016","FY 2016","Currency=INR","Period=FY","BEST_FPERIOD_OVERRIDE=FY","FILING_STATUS=OR","EQY_CONSOLIDATED=Y","Sort=A","Dates=H","DateFormat=P","Fill=—","Direction=H","UseDPDF=Y")</f>
        <v>#NAME?</v>
      </c>
      <c r="CV313" s="1" t="e">
        <f ca="1">_xll.BDH($C$303,"ALTMAN_Z_SCORE","FY 2016","FY 2016","Currency=INR","Period=FY","BEST_FPERIOD_OVERRIDE=FY","FILING_STATUS=OR","EQY_CONSOLIDATED=Y","Sort=A","Dates=H","DateFormat=P","Fill=—","Direction=H","UseDPDF=Y")</f>
        <v>#NAME?</v>
      </c>
      <c r="CW313" s="3" t="e">
        <f ca="1">_xll.BDH($C$303,"ACCT_RCV_TURN","FY 2016","FY 2016","Currency=INR","Period=FY","BEST_FPERIOD_OVERRIDE=FY","FILING_STATUS=OR","EQY_CONSOLIDATED=Y","FA_ADJUSTED=GAAP","Sort=A","Dates=H","DateFormat=P","Fill=—","Direction=H","UseDPDF=Y")</f>
        <v>#NAME?</v>
      </c>
      <c r="CX313" s="1" t="e">
        <f ca="1">_xll.BDH($C$303,"ACCT_RCV_DAYS","FY 2016","FY 2016","Currency=INR","Period=FY","BEST_FPERIOD_OVERRIDE=FY","FILING_STATUS=OR","EQY_CONSOLIDATED=Y","FA_ADJUSTED=GAAP","Sort=A","Dates=H","DateFormat=P","Fill=—","Direction=H","UseDPDF=Y")</f>
        <v>#NAME?</v>
      </c>
      <c r="CY313" s="3" t="e">
        <f ca="1">_xll.BDH($C$303,"INVENT_TURN","FY 2016","FY 2016","Currency=INR","Period=FY","BEST_FPERIOD_OVERRIDE=FY","FILING_STATUS=OR","EQY_CONSOLIDATED=Y","FA_ADJUSTED=GAAP","Sort=A","Dates=H","DateFormat=P","Fill=—","Direction=H","UseDPDF=Y")</f>
        <v>#NAME?</v>
      </c>
      <c r="CZ313" s="1" t="e">
        <f ca="1">_xll.BDH($C$303,"INVENT_DAYS","FY 2016","FY 2016","Currency=INR","Period=FY","BEST_FPERIOD_OVERRIDE=FY","FILING_STATUS=OR","EQY_CONSOLIDATED=Y","FA_ADJUSTED=GAAP","Sort=A","Dates=H","DateFormat=P","Fill=—","Direction=H","UseDPDF=Y")</f>
        <v>#NAME?</v>
      </c>
      <c r="DA313" s="3" t="e">
        <f ca="1">_xll.BDH($C$303,"ACCOUNTS_PAYABLE_TURNOVER","FY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13" s="1" t="e">
        <f ca="1">_xll.BDH($C$303,"ACCOUNTS_PAYABLE_TURNOVER_DAYS","FY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13" s="3" t="e">
        <f ca="1">_xll.BDH($C$303,"CASH_CONVERSION_CYCLE","FY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13" s="3" t="e">
        <f ca="1">_xll.BDH($C$303,"INV_TO_CASH_DAYS","FY 2016","FY 2016","Currency=INR","Period=FY","BEST_FPERIOD_OVERRIDE=FY","FILING_STATUS=OR","EQY_CONSOLIDATED=Y","FA_ADJUSTED=GAAP","Sort=A","Dates=H","DateFormat=P","Fill=—","Direction=H","UseDPDF=Y")</f>
        <v>#NAME?</v>
      </c>
      <c r="DE313" s="4" t="e">
        <f ca="1">_xll.BDH($C$303,"BS_INVENTORIES","FY 2016","FY 2016","Currency=INR","Period=FY","BEST_FPERIOD_OVERRIDE=FY","FILING_STATUS=OR","EQY_CONSOLIDATED=Y","SCALING_FORMAT=MLN","Sort=A","Dates=H","DateFormat=P","Fill=—","Direction=H","UseDPDF=Y")</f>
        <v>#NAME?</v>
      </c>
      <c r="DF313" s="2" t="e">
        <f ca="1">_xll.BDH($C$303,"INVTRY_RAW_MATERIALS","FY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13" s="2" t="e">
        <f ca="1">_xll.BDH($C$303,"INVTRY_IN_PROGRESS","FY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13" s="2" t="e">
        <f ca="1">_xll.BDH($C$303,"INVTRY_FINISHED_GOODS","FY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13" s="2" t="e">
        <f ca="1">_xll.BDH($C$303,"BS_OTHER_INV","FY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14" spans="1:113" x14ac:dyDescent="0.3">
      <c r="A314" s="6"/>
      <c r="B314" s="6"/>
      <c r="C314" s="6"/>
      <c r="D314" s="6"/>
      <c r="E314" t="s">
        <v>4</v>
      </c>
      <c r="F314" t="e">
        <f ca="1">_xll.BDH($C$303,"RETURN_COM_EQY","FQ1 2016","FQ1 2016","Currency=INR","Period=FQ","BEST_FPERIOD_OVERRIDE=FQ","FILING_STATUS=OR","EQY_CONSOLIDATED=Y","FA_ADJUSTED=GAAP","Sort=A","Dates=H","DateFormat=P","Fill=—","Direction=H","UseDPDF=Y")</f>
        <v>#NAME?</v>
      </c>
      <c r="G314" t="e">
        <f ca="1">_xll.BDH($C$303,"RETURN_ON_ASSET","FQ1 2016","FQ1 2016","Currency=INR","Period=FQ","BEST_FPERIOD_OVERRIDE=FQ","FILING_STATUS=OR","EQY_CONSOLIDATED=Y","FA_ADJUSTED=GAAP","Sort=A","Dates=H","DateFormat=P","Fill=—","Direction=H","UseDPDF=Y")</f>
        <v>#NAME?</v>
      </c>
      <c r="H314" t="e">
        <f ca="1">_xll.BDH($C$303,"RETURN_ON_CAP","FQ1 2016","FQ1 2016","Currency=INR","Period=FQ","BEST_FPERIOD_OVERRIDE=FQ","FILING_STATUS=OR","EQY_CONSOLIDATED=Y","FA_ADJUSTED=GAAP","Sort=A","Dates=H","DateFormat=P","Fill=—","Direction=H","UseDPDF=Y")</f>
        <v>#NAME?</v>
      </c>
      <c r="I314" t="e">
        <f ca="1">_xll.BDH($C$303,"RETURN_ON_INV_CAPITAL","FQ1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14" t="e">
        <f ca="1">_xll.BDH($C$303,"EBITDA_TO_REVENUE","FQ1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314" t="e">
        <f ca="1">_xll.BDH($C$303,"OPER_MARGIN","FQ1 2016","FQ1 2016","Currency=INR","Period=FQ","BEST_FPERIOD_OVERRIDE=FQ","FILING_STATUS=OR","EQY_CONSOLIDATED=Y","FA_ADJUSTED=GAAP","Sort=A","Dates=H","DateFormat=P","Fill=—","Direction=H","UseDPDF=Y")</f>
        <v>#NAME?</v>
      </c>
      <c r="L314" t="e">
        <f ca="1">_xll.BDH($C$303,"INCREMENTAL_OPERATING_MARGIN","FQ1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14" t="e">
        <f ca="1">_xll.BDH($C$303,"PRETAX_INC_TO_NET_SALES","FQ1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14" t="e">
        <f ca="1">_xll.BDH($C$303,"INC_BEF_XO_ITEMS_TO_NET_SALES","FQ1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14" t="e">
        <f ca="1">_xll.BDH($C$303,"PROF_MARGIN","FQ1 2016","FQ1 2016","Currency=INR","Period=FQ","BEST_FPERIOD_OVERRIDE=FQ","FILING_STATUS=OR","EQY_CONSOLIDATED=Y","FA_ADJUSTED=GAAP","Sort=A","Dates=H","DateFormat=P","Fill=—","Direction=H","UseDPDF=Y")</f>
        <v>#NAME?</v>
      </c>
      <c r="P314" t="e">
        <f ca="1">_xll.BDH($C$303,"NET_INCOME_TO_COMMON_MARGIN","FQ1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14" t="e">
        <f ca="1">_xll.BDH($C$303,"EFF_TAX_RATE","FQ1 2016","FQ1 2016","Currency=INR","Period=FQ","BEST_FPERIOD_OVERRIDE=FQ","FILING_STATUS=OR","EQY_CONSOLIDATED=Y","FA_ADJUSTED=GAAP","Sort=A","Dates=H","DateFormat=P","Fill=—","Direction=H","UseDPDF=Y")</f>
        <v>#NAME?</v>
      </c>
      <c r="R314" t="e">
        <f ca="1">_xll.BDH($C$303,"DVD_PAYOUT_RATIO","FQ1 2016","FQ1 2016","Currency=INR","Period=FQ","BEST_FPERIOD_OVERRIDE=FQ","FILING_STATUS=OR","EQY_CONSOLIDATED=Y","FA_ADJUSTED=GAAP","Sort=A","Dates=H","DateFormat=P","Fill=—","Direction=H","UseDPDF=Y")</f>
        <v>#NAME?</v>
      </c>
      <c r="S314" t="e">
        <f ca="1">_xll.BDH($C$303,"SUSTAIN_GROWTH_RT","FQ1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314" s="1" t="e">
        <f ca="1">_xll.BDH($C$303,"SALES_GROWTH","FQ1 2016","FQ1 2016","Currency=INR","Period=FQ","BEST_FPERIOD_OVERRIDE=FQ","FILING_STATUS=OR","EQY_CONSOLIDATED=Y","FA_ADJUSTED=GAAP","Sort=A","Dates=H","DateFormat=P","Fill=—","Direction=H","UseDPDF=Y")</f>
        <v>#NAME?</v>
      </c>
      <c r="U314" s="1" t="e">
        <f ca="1">_xll.BDH($C$303,"EBITDA_GROWTH","FQ1 2016","FQ1 2016","Currency=INR","Period=FQ","BEST_FPERIOD_OVERRIDE=FQ","FILING_STATUS=OR","EQY_CONSOLIDATED=Y","FA_ADJUSTED=GAAP","Sort=A","Dates=H","DateFormat=P","Fill=—","Direction=H","UseDPDF=Y")</f>
        <v>#NAME?</v>
      </c>
      <c r="V314" s="1" t="e">
        <f ca="1">_xll.BDH($C$303,"OPER_INC_GROWTH","FQ1 2016","FQ1 2016","Currency=INR","Period=FQ","BEST_FPERIOD_OVERRIDE=FQ","FILING_STATUS=OR","EQY_CONSOLIDATED=Y","FA_ADJUSTED=GAAP","Sort=A","Dates=H","DateFormat=P","Fill=—","Direction=H","UseDPDF=Y")</f>
        <v>#NAME?</v>
      </c>
      <c r="W314" s="1" t="e">
        <f ca="1">_xll.BDH($C$303,"EARN_FOR_COM_GROWTH","FQ1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14" s="1" t="e">
        <f ca="1">_xll.BDH($C$303,"DILUTED_EPS_AFT_XO_ITEMS_GROWTH","FQ1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14" s="1" t="e">
        <f ca="1">_xll.BDH($C$303,"DIVIDEND_PER_SHARE_1_YEAR_GROWTH","FQ1 2016","FQ1 2016","Currency=INR","Period=FQ","BEST_FPERIOD_OVERRIDE=FQ","FILING_STATUS=OR","EQY_CONSOLIDATED=Y","Sort=A","Dates=H","DateFormat=P","Fill=—","Direction=H","UseDPDF=Y")</f>
        <v>#NAME?</v>
      </c>
      <c r="Z314" s="1" t="e">
        <f ca="1">_xll.BDH($C$303,"ACCOUNTS_RECEIVABLE_GROWTH","FQ1 2016","FQ1 2016","Currency=INR","Period=FQ","BEST_FPERIOD_OVERRIDE=FQ","FILING_STATUS=OR","EQY_CONSOLIDATED=Y","Sort=A","Dates=H","DateFormat=P","Fill=—","Direction=H","UseDPDF=Y")</f>
        <v>#NAME?</v>
      </c>
      <c r="AA314" s="1" t="e">
        <f ca="1">_xll.BDH($C$303,"INVENTORY_GROWTH","FQ1 2016","FQ1 2016","Currency=INR","Period=FQ","BEST_FPERIOD_OVERRIDE=FQ","FILING_STATUS=OR","EQY_CONSOLIDATED=Y","Sort=A","Dates=H","DateFormat=P","Fill=—","Direction=H","UseDPDF=Y")</f>
        <v>#NAME?</v>
      </c>
      <c r="AB314" s="1" t="e">
        <f ca="1">_xll.BDH($C$303,"NET_FIXED_ASSETS_1_YEAR_GROWTH","FQ1 2016","FQ1 2016","Currency=INR","Period=FQ","BEST_FPERIOD_OVERRIDE=FQ","FILING_STATUS=OR","EQY_CONSOLIDATED=Y","Sort=A","Dates=H","DateFormat=P","Fill=—","Direction=H","UseDPDF=Y")</f>
        <v>#NAME?</v>
      </c>
      <c r="AC314" s="1" t="e">
        <f ca="1">_xll.BDH($C$303,"ASSET_GROWTH","FQ1 2016","FQ1 2016","Currency=INR","Period=FQ","BEST_FPERIOD_OVERRIDE=FQ","FILING_STATUS=OR","EQY_CONSOLIDATED=Y","Sort=A","Dates=H","DateFormat=P","Fill=—","Direction=H","UseDPDF=Y")</f>
        <v>#NAME?</v>
      </c>
      <c r="AD314" s="1" t="e">
        <f ca="1">_xll.BDH($C$303,"MODIFIED_WORK_CAP_GROWTH","FQ1 2016","FQ1 2016","Currency=INR","Period=FQ","BEST_FPERIOD_OVERRIDE=FQ","FILING_STATUS=OR","EQY_CONSOLIDATED=Y","Sort=A","Dates=H","DateFormat=P","Fill=—","Direction=H","UseDPDF=Y")</f>
        <v>#NAME?</v>
      </c>
      <c r="AE314" s="1" t="e">
        <f ca="1">_xll.BDH($C$303,"WORK_CAP_GROWTH","FQ1 2016","FQ1 2016","Currency=INR","Period=FQ","BEST_FPERIOD_OVERRIDE=FQ","FILING_STATUS=OR","EQY_CONSOLIDATED=Y","Sort=A","Dates=H","DateFormat=P","Fill=—","Direction=H","UseDPDF=Y")</f>
        <v>#NAME?</v>
      </c>
      <c r="AF314" s="1" t="e">
        <f ca="1">_xll.BDH($C$303,"ACCOUNTS_PAYABLE_GROWTH_1YR","FQ1 2016","FQ1 2016","Currency=INR","Period=FQ","BEST_FPERIOD_OVERRIDE=FQ","FILING_STATUS=OR","EQY_CONSOLIDATED=Y","Sort=A","Dates=H","DateFormat=P","Fill=—","Direction=H","UseDPDF=Y")</f>
        <v>#NAME?</v>
      </c>
      <c r="AG314" s="1" t="e">
        <f ca="1">_xll.BDH($C$303,"SHORT_TERM_DEBT_1_YEAR_GROWTH","FQ1 2016","FQ1 2016","Currency=INR","Period=FQ","BEST_FPERIOD_OVERRIDE=FQ","FILING_STATUS=OR","EQY_CONSOLIDATED=Y","Sort=A","Dates=H","DateFormat=P","Fill=—","Direction=H","UseDPDF=Y")</f>
        <v>#NAME?</v>
      </c>
      <c r="AH314" s="1" t="e">
        <f ca="1">_xll.BDH($C$303,"TOTAL_DEBT_1_YEAR_GROWTH","FQ1 2016","FQ1 2016","Currency=INR","Period=FQ","BEST_FPERIOD_OVERRIDE=FQ","FILING_STATUS=OR","EQY_CONSOLIDATED=Y","Sort=A","Dates=H","DateFormat=P","Fill=—","Direction=H","UseDPDF=Y")</f>
        <v>#NAME?</v>
      </c>
      <c r="AI314" s="1" t="e">
        <f ca="1">_xll.BDH($C$303,"TOTAL_EQUITY_1_YEAR_GROWTH","FQ1 2016","FQ1 2016","Currency=INR","Period=FQ","BEST_FPERIOD_OVERRIDE=FQ","FILING_STATUS=OR","EQY_CONSOLIDATED=Y","Sort=A","Dates=H","DateFormat=P","Fill=—","Direction=H","UseDPDF=Y")</f>
        <v>#NAME?</v>
      </c>
      <c r="AJ314" s="1" t="e">
        <f ca="1">_xll.BDH($C$303,"GROWTH_IN_CAP","FQ1 2016","FQ1 2016","Currency=INR","Period=FQ","BEST_FPERIOD_OVERRIDE=FQ","FILING_STATUS=OR","EQY_CONSOLIDATED=Y","Sort=A","Dates=H","DateFormat=P","Fill=—","Direction=H","UseDPDF=Y")</f>
        <v>#NAME?</v>
      </c>
      <c r="AK314" s="1" t="e">
        <f ca="1">_xll.BDH($C$303,"BVPS_GROWTH","FQ1 2016","FQ1 2016","Currency=INR","Period=FQ","BEST_FPERIOD_OVERRIDE=FQ","FILING_STATUS=OR","EQY_CONSOLIDATED=Y","Sort=A","Dates=H","DateFormat=P","Fill=—","Direction=H","UseDPDF=Y")</f>
        <v>#NAME?</v>
      </c>
      <c r="AL314" s="1" t="e">
        <f ca="1">_xll.BDH($C$303,"CASH_FLOW_GROWTH","FQ1 2016","FQ1 2016","Currency=INR","Period=FQ","BEST_FPERIOD_OVERRIDE=FQ","FILING_STATUS=OR","EQY_CONSOLIDATED=Y","Sort=A","Dates=H","DateFormat=P","Fill=—","Direction=H","UseDPDF=Y")</f>
        <v>#NAME?</v>
      </c>
      <c r="AM314" s="1" t="e">
        <f ca="1">_xll.BDH($C$303,"GEO_GROW_NET_SALES","FQ1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14" s="1" t="e">
        <f ca="1">_xll.BDH($C$303,"GEO_GROW_EBITDA","FQ1 2016","FQ1 2016","Currency=INR","Period=FQ","BEST_FPERIOD_OVERRIDE=FQ","FILING_STATUS=OR","EQY_CONSOLIDATED=Y","FA_ADJUSTED=GAAP","Sort=A","Dates=H","DateFormat=P","Fill=—","Direction=H","UseDPDF=Y")</f>
        <v>#NAME?</v>
      </c>
      <c r="AO314" s="1" t="e">
        <f ca="1">_xll.BDH($C$303,"GEO_GROW_OPER_INC","FQ1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14" s="1" t="e">
        <f ca="1">_xll.BDH($C$303,"NET_INCOME_TO_COMMON_5_YR_GROWTH","FQ1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14" s="1" t="e">
        <f ca="1">_xll.BDH($C$303,"5Y_GEO_GROWTH_DILUTED_EPS","FQ1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14" s="1" t="e">
        <f ca="1">_xll.BDH($C$303,"GEO_GROW_DVD_PER_SH","FQ1 2016","FQ1 2016","Currency=INR","Period=FQ","BEST_FPERIOD_OVERRIDE=FQ","FILING_STATUS=OR","EQY_CONSOLIDATED=Y","Sort=A","Dates=H","DateFormat=P","Fill=—","Direction=H","UseDPDF=Y")</f>
        <v>#NAME?</v>
      </c>
      <c r="AS314" s="1" t="e">
        <f ca="1">_xll.BDH($C$303,"ACCOUNTS_RECEIVABLE_5_YR_GROWTH","FQ1 2016","FQ1 2016","Currency=INR","Period=FQ","BEST_FPERIOD_OVERRIDE=FQ","FILING_STATUS=OR","EQY_CONSOLIDATED=Y","Sort=A","Dates=H","DateFormat=P","Fill=—","Direction=H","UseDPDF=Y")</f>
        <v>#NAME?</v>
      </c>
      <c r="AT314" s="1" t="e">
        <f ca="1">_xll.BDH($C$303,"INVENTORY_5_YEAR_GROWTH","FQ1 2016","FQ1 2016","Currency=INR","Period=FQ","BEST_FPERIOD_OVERRIDE=FQ","FILING_STATUS=OR","EQY_CONSOLIDATED=Y","Sort=A","Dates=H","DateFormat=P","Fill=—","Direction=H","UseDPDF=Y")</f>
        <v>#NAME?</v>
      </c>
      <c r="AU314" s="1" t="e">
        <f ca="1">_xll.BDH($C$303,"NET_FIXED_ASSETS_5_YEAR_GROWTH","FQ1 2016","FQ1 2016","Currency=INR","Period=FQ","BEST_FPERIOD_OVERRIDE=FQ","FILING_STATUS=OR","EQY_CONSOLIDATED=Y","Sort=A","Dates=H","DateFormat=P","Fill=—","Direction=H","UseDPDF=Y")</f>
        <v>#NAME?</v>
      </c>
      <c r="AV314" s="1" t="e">
        <f ca="1">_xll.BDH($C$303,"GEO_GROW_TOT_ASSET","FQ1 2016","FQ1 2016","Currency=INR","Period=FQ","BEST_FPERIOD_OVERRIDE=FQ","FILING_STATUS=OR","EQY_CONSOLIDATED=Y","Sort=A","Dates=H","DateFormat=P","Fill=—","Direction=H","UseDPDF=Y")</f>
        <v>#NAME?</v>
      </c>
      <c r="AW314" s="1" t="e">
        <f ca="1">_xll.BDH($C$303,"MODIFIED_WORKING_CPTL_5YR_GRWTH","FQ1 2016","FQ1 2016","Currency=INR","Period=FQ","BEST_FPERIOD_OVERRIDE=FQ","FILING_STATUS=OR","EQY_CONSOLIDATED=Y","Sort=A","Dates=H","DateFormat=P","Fill=—","Direction=H","UseDPDF=Y")</f>
        <v>#NAME?</v>
      </c>
      <c r="AX314" s="1" t="e">
        <f ca="1">_xll.BDH($C$303,"WORKING_CAPITAL_5_YEAR_GROWTH","FQ1 2016","FQ1 2016","Currency=INR","Period=FQ","BEST_FPERIOD_OVERRIDE=FQ","FILING_STATUS=OR","EQY_CONSOLIDATED=Y","Sort=A","Dates=H","DateFormat=P","Fill=—","Direction=H","UseDPDF=Y")</f>
        <v>#NAME?</v>
      </c>
      <c r="AY314" s="1" t="e">
        <f ca="1">_xll.BDH($C$303,"ACCOUNTS_PAYABLE_5_YEAR_GROWTH","FQ1 2016","FQ1 2016","Currency=INR","Period=FQ","BEST_FPERIOD_OVERRIDE=FQ","FILING_STATUS=OR","EQY_CONSOLIDATED=Y","Sort=A","Dates=H","DateFormat=P","Fill=—","Direction=H","UseDPDF=Y")</f>
        <v>#NAME?</v>
      </c>
      <c r="AZ314" s="1" t="e">
        <f ca="1">_xll.BDH($C$303,"SHORT_TERM_DEBT_5_YEAR_GROWTH","FQ1 2016","FQ1 2016","Currency=INR","Period=FQ","BEST_FPERIOD_OVERRIDE=FQ","FILING_STATUS=OR","EQY_CONSOLIDATED=Y","Sort=A","Dates=H","DateFormat=P","Fill=—","Direction=H","UseDPDF=Y")</f>
        <v>#NAME?</v>
      </c>
      <c r="BA314" s="1" t="e">
        <f ca="1">_xll.BDH($C$303,"TOTAL_DEBT_5_YEAR_GROWTH","FQ1 2016","FQ1 2016","Currency=INR","Period=FQ","BEST_FPERIOD_OVERRIDE=FQ","FILING_STATUS=OR","EQY_CONSOLIDATED=Y","Sort=A","Dates=H","DateFormat=P","Fill=—","Direction=H","UseDPDF=Y")</f>
        <v>#NAME?</v>
      </c>
      <c r="BB314" s="1" t="e">
        <f ca="1">_xll.BDH($C$303,"GEO_GROW_TOT_SHRHLDR_EQY","FQ1 2016","FQ1 2016","Currency=INR","Period=FQ","BEST_FPERIOD_OVERRIDE=FQ","FILING_STATUS=OR","EQY_CONSOLIDATED=Y","Sort=A","Dates=H","DateFormat=P","Fill=—","Direction=H","UseDPDF=Y")</f>
        <v>#NAME?</v>
      </c>
      <c r="BC314" s="1" t="e">
        <f ca="1">_xll.BDH($C$303,"TOTAL_CAPITAL_5_YEAR_GROWTH","FQ1 2016","FQ1 2016","Currency=INR","Period=FQ","BEST_FPERIOD_OVERRIDE=FQ","FILING_STATUS=OR","EQY_CONSOLIDATED=Y","Sort=A","Dates=H","DateFormat=P","Fill=—","Direction=H","UseDPDF=Y")</f>
        <v>#NAME?</v>
      </c>
      <c r="BD314" s="1" t="e">
        <f ca="1">_xll.BDH($C$303,"GEO_GROW_BOOK_VAL","FQ1 2016","FQ1 2016","Currency=INR","Period=FQ","BEST_FPERIOD_OVERRIDE=FQ","FILING_STATUS=OR","EQY_CONSOLIDATED=Y","Sort=A","Dates=H","DateFormat=P","Fill=—","Direction=H","UseDPDF=Y")</f>
        <v>#NAME?</v>
      </c>
      <c r="BE314" s="1" t="e">
        <f ca="1">_xll.BDH($C$303,"GEO_GROW_CASH_OPER_ACT","FQ1 2016","FQ1 2016","Currency=INR","Period=FQ","BEST_FPERIOD_OVERRIDE=FQ","FILING_STATUS=OR","EQY_CONSOLIDATED=Y","Sort=A","Dates=H","DateFormat=P","Fill=—","Direction=H","UseDPDF=Y")</f>
        <v>#NAME?</v>
      </c>
      <c r="BF314" s="1" t="e">
        <f ca="1">_xll.BDH($C$303,"REVENUE_SEQUENTIAL_GROWTH","FQ1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14" s="1" t="e">
        <f ca="1">_xll.BDH($C$303,"EBITDA_SEQUENTIAL_GROWTH","FQ1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14" s="1" t="e">
        <f ca="1">_xll.BDH($C$303,"OPERATING_INCOME_SEQ_GROWTH","FQ1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14" s="1" t="e">
        <f ca="1">_xll.BDH($C$303,"NET_INCOME_TO_COMMON_SEQ_GROWTH","FQ1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14" s="1" t="e">
        <f ca="1">_xll.BDH($C$303,"EPS_DILUTED_SEQUENTIAL_GROWTH","FQ1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14" s="1" t="e">
        <f ca="1">_xll.BDH($C$303,"DPS_SEQUENTIAL_GROWTH","FQ1 2016","FQ1 2016","Currency=INR","Period=FQ","BEST_FPERIOD_OVERRIDE=FQ","FILING_STATUS=OR","EQY_CONSOLIDATED=Y","Sort=A","Dates=H","DateFormat=P","Fill=—","Direction=H","UseDPDF=Y")</f>
        <v>#NAME?</v>
      </c>
      <c r="BL314" s="1" t="e">
        <f ca="1">_xll.BDH($C$303,"ACCOUNTS_RECEIVABLE_SEQ_GROWTH","FQ1 2016","FQ1 2016","Currency=INR","Period=FQ","BEST_FPERIOD_OVERRIDE=FQ","FILING_STATUS=OR","EQY_CONSOLIDATED=Y","Sort=A","Dates=H","DateFormat=P","Fill=—","Direction=H","UseDPDF=Y")</f>
        <v>#NAME?</v>
      </c>
      <c r="BM314" s="1" t="e">
        <f ca="1">_xll.BDH($C$303,"INVENTORY_SEQUENTIAL_GROWTH","FQ1 2016","FQ1 2016","Currency=INR","Period=FQ","BEST_FPERIOD_OVERRIDE=FQ","FILING_STATUS=OR","EQY_CONSOLIDATED=Y","Sort=A","Dates=H","DateFormat=P","Fill=—","Direction=H","UseDPDF=Y")</f>
        <v>#NAME?</v>
      </c>
      <c r="BN314" s="1" t="e">
        <f ca="1">_xll.BDH($C$303,"FIXED_ASSETS_SEQUENTIAL_GROWTH","FQ1 2016","FQ1 2016","Currency=INR","Period=FQ","BEST_FPERIOD_OVERRIDE=FQ","FILING_STATUS=OR","EQY_CONSOLIDATED=Y","Sort=A","Dates=H","DateFormat=P","Fill=—","Direction=H","UseDPDF=Y")</f>
        <v>#NAME?</v>
      </c>
      <c r="BO314" s="1" t="e">
        <f ca="1">_xll.BDH($C$303,"TOTAL_ASSETS_SEQUENTIAL_GROWTH","FQ1 2016","FQ1 2016","Currency=INR","Period=FQ","BEST_FPERIOD_OVERRIDE=FQ","FILING_STATUS=OR","EQY_CONSOLIDATED=Y","Sort=A","Dates=H","DateFormat=P","Fill=—","Direction=H","UseDPDF=Y")</f>
        <v>#NAME?</v>
      </c>
      <c r="BP314" s="1" t="e">
        <f ca="1">_xll.BDH($C$303,"MODIFIED_WORKING_CPTL_SEQ_GRWTH","FQ1 2016","FQ1 2016","Currency=INR","Period=FQ","BEST_FPERIOD_OVERRIDE=FQ","FILING_STATUS=OR","EQY_CONSOLIDATED=Y","Sort=A","Dates=H","DateFormat=P","Fill=—","Direction=H","UseDPDF=Y")</f>
        <v>#NAME?</v>
      </c>
      <c r="BQ314" s="1" t="e">
        <f ca="1">_xll.BDH($C$303,"WORKING_CAPITAL_SEQ_GROWTH","FQ1 2016","FQ1 2016","Currency=INR","Period=FQ","BEST_FPERIOD_OVERRIDE=FQ","FILING_STATUS=OR","EQY_CONSOLIDATED=Y","Sort=A","Dates=H","DateFormat=P","Fill=—","Direction=H","UseDPDF=Y")</f>
        <v>#NAME?</v>
      </c>
      <c r="BR314" s="1" t="e">
        <f ca="1">_xll.BDH($C$303,"ACCOUNTS_PAYABLE_SEQ_GROWTH","FQ1 2016","FQ1 2016","Currency=INR","Period=FQ","BEST_FPERIOD_OVERRIDE=FQ","FILING_STATUS=OR","EQY_CONSOLIDATED=Y","Sort=A","Dates=H","DateFormat=P","Fill=—","Direction=H","UseDPDF=Y")</f>
        <v>#NAME?</v>
      </c>
      <c r="BS314" s="1" t="e">
        <f ca="1">_xll.BDH($C$303,"ST_DEBT_SEQUENTIAL_GROWTH","FQ1 2016","FQ1 2016","Currency=INR","Period=FQ","BEST_FPERIOD_OVERRIDE=FQ","FILING_STATUS=OR","EQY_CONSOLIDATED=Y","Sort=A","Dates=H","DateFormat=P","Fill=—","Direction=H","UseDPDF=Y")</f>
        <v>#NAME?</v>
      </c>
      <c r="BT314" s="1" t="e">
        <f ca="1">_xll.BDH($C$303,"TOTAL_DEBT_SEQUENTIAL_GROWTH","FQ1 2016","FQ1 2016","Currency=INR","Period=FQ","BEST_FPERIOD_OVERRIDE=FQ","FILING_STATUS=OR","EQY_CONSOLIDATED=Y","Sort=A","Dates=H","DateFormat=P","Fill=—","Direction=H","UseDPDF=Y")</f>
        <v>#NAME?</v>
      </c>
      <c r="BU314" s="1" t="e">
        <f ca="1">_xll.BDH($C$303,"TOTAL_EQUITY_SEQUENTIAL_GROWTH","FQ1 2016","FQ1 2016","Currency=INR","Period=FQ","BEST_FPERIOD_OVERRIDE=FQ","FILING_STATUS=OR","EQY_CONSOLIDATED=Y","Sort=A","Dates=H","DateFormat=P","Fill=—","Direction=H","UseDPDF=Y")</f>
        <v>#NAME?</v>
      </c>
      <c r="BV314" s="1" t="e">
        <f ca="1">_xll.BDH($C$303,"TOTAL_CAPITAL_SEQUENTIAL_GROWTH","FQ1 2016","FQ1 2016","Currency=INR","Period=FQ","BEST_FPERIOD_OVERRIDE=FQ","FILING_STATUS=OR","EQY_CONSOLIDATED=Y","Sort=A","Dates=H","DateFormat=P","Fill=—","Direction=H","UseDPDF=Y")</f>
        <v>#NAME?</v>
      </c>
      <c r="BW314" s="1" t="e">
        <f ca="1">_xll.BDH($C$303,"BPS_SEQUENTIAL_GROWTH","FQ1 2016","FQ1 2016","Currency=INR","Period=FQ","BEST_FPERIOD_OVERRIDE=FQ","FILING_STATUS=OR","EQY_CONSOLIDATED=Y","Sort=A","Dates=H","DateFormat=P","Fill=—","Direction=H","UseDPDF=Y")</f>
        <v>#NAME?</v>
      </c>
      <c r="BX314" s="1" t="e">
        <f ca="1">_xll.BDH($C$303,"CFO_SEQUENTIAL_GROWTH","FQ1 2016","FQ1 2016","Currency=INR","Period=FQ","BEST_FPERIOD_OVERRIDE=FQ","FILING_STATUS=OR","EQY_CONSOLIDATED=Y","Sort=A","Dates=H","DateFormat=P","Fill=—","Direction=H","UseDPDF=Y")</f>
        <v>#NAME?</v>
      </c>
      <c r="BY314" s="2" t="e">
        <f ca="1">_xll.BDH($C$303,"SHORT_AND_LONG_TERM_DEBT","FQ1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14" s="2" t="e">
        <f ca="1">_xll.BDH($C$303,"BS_ST_BORROW","FQ1 2016","FQ1 2016","Currency=INR","Period=FQ","BEST_FPERIOD_OVERRIDE=FQ","FILING_STATUS=OR","EQY_CONSOLIDATED=Y","SCALING_FORMAT=MLN","Sort=A","Dates=H","DateFormat=P","Fill=—","Direction=H","UseDPDF=Y")</f>
        <v>#NAME?</v>
      </c>
      <c r="CA314" s="2" t="e">
        <f ca="1">_xll.BDH($C$303,"BS_LT_BORROW","FQ1 2016","FQ1 2016","Currency=INR","Period=FQ","BEST_FPERIOD_OVERRIDE=FQ","FILING_STATUS=OR","EQY_CONSOLIDATED=Y","SCALING_FORMAT=MLN","Sort=A","Dates=H","DateFormat=P","Fill=—","Direction=H","UseDPDF=Y")</f>
        <v>#NAME?</v>
      </c>
      <c r="CB314" s="1" t="e">
        <f ca="1">_xll.BDH($C$303,"TOT_DEBT_TO_EBITDA","FQ1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14" s="1" t="e">
        <f ca="1">_xll.BDH($C$303,"NET_DEBT_TO_EBITDA","FQ1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14" s="1" t="e">
        <f ca="1">_xll.BDH($C$303,"TOTAL_DEBT_TO_EBIT","FQ1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14" s="1" t="e">
        <f ca="1">_xll.BDH($C$303,"NET_DEBT_TO_EBIT","FQ1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314" s="1" t="e">
        <f ca="1">_xll.BDH($C$303,"EBITDA_TO_INTEREST_EXPN","FQ1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14" s="1" t="e">
        <f ca="1">_xll.BDH($C$303,"COM_EQY_TO_TOT_ASSET","FQ1 2016","FQ1 2016","Currency=INR","Period=FQ","BEST_FPERIOD_OVERRIDE=FQ","FILING_STATUS=OR","EQY_CONSOLIDATED=Y","Sort=A","Dates=H","DateFormat=P","Fill=—","Direction=H","UseDPDF=Y")</f>
        <v>#NAME?</v>
      </c>
      <c r="CH314" s="1" t="e">
        <f ca="1">_xll.BDH($C$303,"LT_DEBT_TO_TOT_EQY","FQ1 2016","FQ1 2016","Currency=INR","Period=FQ","BEST_FPERIOD_OVERRIDE=FQ","FILING_STATUS=OR","EQY_CONSOLIDATED=Y","Sort=A","Dates=H","DateFormat=P","Fill=—","Direction=H","UseDPDF=Y")</f>
        <v>#NAME?</v>
      </c>
      <c r="CI314" s="1" t="e">
        <f ca="1">_xll.BDH($C$303,"LT_DEBT_TO_TOT_CAP","FQ1 2016","FQ1 2016","Currency=INR","Period=FQ","BEST_FPERIOD_OVERRIDE=FQ","FILING_STATUS=OR","EQY_CONSOLIDATED=Y","Sort=A","Dates=H","DateFormat=P","Fill=—","Direction=H","UseDPDF=Y")</f>
        <v>#NAME?</v>
      </c>
      <c r="CJ314" s="1" t="e">
        <f ca="1">_xll.BDH($C$303,"LT_DEBT_TO_TOT_ASSET","FQ1 2016","FQ1 2016","Currency=INR","Period=FQ","BEST_FPERIOD_OVERRIDE=FQ","FILING_STATUS=OR","EQY_CONSOLIDATED=Y","Sort=A","Dates=H","DateFormat=P","Fill=—","Direction=H","UseDPDF=Y")</f>
        <v>#NAME?</v>
      </c>
      <c r="CK314" s="1" t="e">
        <f ca="1">_xll.BDH($C$303,"TOT_DEBT_TO_TOT_EQY","FQ1 2016","FQ1 2016","Currency=INR","Period=FQ","BEST_FPERIOD_OVERRIDE=FQ","FILING_STATUS=OR","EQY_CONSOLIDATED=Y","Sort=A","Dates=H","DateFormat=P","Fill=—","Direction=H","UseDPDF=Y")</f>
        <v>#NAME?</v>
      </c>
      <c r="CL314" s="1" t="e">
        <f ca="1">_xll.BDH($C$303,"TOT_DEBT_TO_TOT_CAP","FQ1 2016","FQ1 2016","Currency=INR","Period=FQ","BEST_FPERIOD_OVERRIDE=FQ","FILING_STATUS=OR","EQY_CONSOLIDATED=Y","Sort=A","Dates=H","DateFormat=P","Fill=—","Direction=H","UseDPDF=Y")</f>
        <v>#NAME?</v>
      </c>
      <c r="CM314" s="1" t="e">
        <f ca="1">_xll.BDH($C$303,"TOT_DEBT_TO_TOT_ASSET","FQ1 2016","FQ1 2016","Currency=INR","Period=FQ","BEST_FPERIOD_OVERRIDE=FQ","FILING_STATUS=OR","EQY_CONSOLIDATED=Y","Sort=A","Dates=H","DateFormat=P","Fill=—","Direction=H","UseDPDF=Y")</f>
        <v>#NAME?</v>
      </c>
      <c r="CN314" s="1" t="e">
        <f ca="1">_xll.BDH($C$303,"NET_DEBT_TO_SHRHLDR_EQTY","FQ1 2016","FQ1 2016","Currency=INR","Period=FQ","BEST_FPERIOD_OVERRIDE=FQ","FILING_STATUS=OR","EQY_CONSOLIDATED=Y","Sort=A","Dates=H","DateFormat=P","Fill=—","Direction=H","UseDPDF=Y")</f>
        <v>#NAME?</v>
      </c>
      <c r="CO314" s="1" t="e">
        <f ca="1">_xll.BDH($C$303,"NET_DEBT_%_CAPITAL","FQ1 2016","FQ1 2016","Currency=INR","Period=FQ","BEST_FPERIOD_OVERRIDE=FQ","FILING_STATUS=OR","EQY_CONSOLIDATED=Y","Sort=A","Dates=H","DateFormat=P","Fill=—","Direction=H","UseDPDF=Y")</f>
        <v>#NAME?</v>
      </c>
      <c r="CP314" s="2" t="e">
        <f ca="1">_xll.BDH($C$303,"EBITDA","FQ1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14" s="2" t="e">
        <f ca="1">_xll.BDH($C$303,"EBITDA_AFTER_CAPEX","FQ1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14" s="2" t="e">
        <f ca="1">_xll.BDH($C$303,"IS_OPER_INC","FQ1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14" s="1" t="e">
        <f ca="1">_xll.BDH($C$303,"CASH_RATIO","FQ1 2016","FQ1 2016","Currency=INR","Period=FQ","BEST_FPERIOD_OVERRIDE=FQ","FILING_STATUS=OR","EQY_CONSOLIDATED=Y","Sort=A","Dates=H","DateFormat=P","Fill=—","Direction=H","UseDPDF=Y")</f>
        <v>#NAME?</v>
      </c>
      <c r="CT314" s="1" t="e">
        <f ca="1">_xll.BDH($C$303,"CUR_RATIO","FQ1 2016","FQ1 2016","Currency=INR","Period=FQ","BEST_FPERIOD_OVERRIDE=FQ","FILING_STATUS=OR","EQY_CONSOLIDATED=Y","Sort=A","Dates=H","DateFormat=P","Fill=—","Direction=H","UseDPDF=Y")</f>
        <v>#NAME?</v>
      </c>
      <c r="CU314" s="1" t="e">
        <f ca="1">_xll.BDH($C$303,"QUICK_RATIO","FQ1 2016","FQ1 2016","Currency=INR","Period=FQ","BEST_FPERIOD_OVERRIDE=FQ","FILING_STATUS=OR","EQY_CONSOLIDATED=Y","Sort=A","Dates=H","DateFormat=P","Fill=—","Direction=H","UseDPDF=Y")</f>
        <v>#NAME?</v>
      </c>
      <c r="CV314" s="1" t="e">
        <f ca="1">_xll.BDH($C$303,"ALTMAN_Z_SCORE","FQ1 2016","FQ1 2016","Currency=INR","Period=FQ","BEST_FPERIOD_OVERRIDE=FQ","FILING_STATUS=OR","EQY_CONSOLIDATED=Y","Sort=A","Dates=H","DateFormat=P","Fill=—","Direction=H","UseDPDF=Y")</f>
        <v>#NAME?</v>
      </c>
      <c r="CW314" s="3" t="e">
        <f ca="1">_xll.BDH($C$303,"ACCT_RCV_TURN","FQ1 2016","FQ1 2016","Currency=INR","Period=FQ","BEST_FPERIOD_OVERRIDE=FQ","FILING_STATUS=OR","EQY_CONSOLIDATED=Y","FA_ADJUSTED=GAAP","Sort=A","Dates=H","DateFormat=P","Fill=—","Direction=H","UseDPDF=Y")</f>
        <v>#NAME?</v>
      </c>
      <c r="CX314" s="1" t="e">
        <f ca="1">_xll.BDH($C$303,"ACCT_RCV_DAYS","FQ1 2016","FQ1 2016","Currency=INR","Period=FQ","BEST_FPERIOD_OVERRIDE=FQ","FILING_STATUS=OR","EQY_CONSOLIDATED=Y","FA_ADJUSTED=GAAP","Sort=A","Dates=H","DateFormat=P","Fill=—","Direction=H","UseDPDF=Y")</f>
        <v>#NAME?</v>
      </c>
      <c r="CY314" s="3" t="e">
        <f ca="1">_xll.BDH($C$303,"INVENT_TURN","FQ1 2016","FQ1 2016","Currency=INR","Period=FQ","BEST_FPERIOD_OVERRIDE=FQ","FILING_STATUS=OR","EQY_CONSOLIDATED=Y","FA_ADJUSTED=GAAP","Sort=A","Dates=H","DateFormat=P","Fill=—","Direction=H","UseDPDF=Y")</f>
        <v>#NAME?</v>
      </c>
      <c r="CZ314" s="1" t="e">
        <f ca="1">_xll.BDH($C$303,"INVENT_DAYS","FQ1 2016","FQ1 2016","Currency=INR","Period=FQ","BEST_FPERIOD_OVERRIDE=FQ","FILING_STATUS=OR","EQY_CONSOLIDATED=Y","FA_ADJUSTED=GAAP","Sort=A","Dates=H","DateFormat=P","Fill=—","Direction=H","UseDPDF=Y")</f>
        <v>#NAME?</v>
      </c>
      <c r="DA314" s="3" t="e">
        <f ca="1">_xll.BDH($C$303,"ACCOUNTS_PAYABLE_TURNOVER","FQ1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14" s="1" t="e">
        <f ca="1">_xll.BDH($C$303,"ACCOUNTS_PAYABLE_TURNOVER_DAYS","FQ1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14" s="3" t="e">
        <f ca="1">_xll.BDH($C$303,"CASH_CONVERSION_CYCLE","FQ1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14" s="3" t="e">
        <f ca="1">_xll.BDH($C$303,"INV_TO_CASH_DAYS","FQ1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314" s="4" t="e">
        <f ca="1">_xll.BDH($C$303,"BS_INVENTORIES","FQ1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314" s="2" t="e">
        <f ca="1">_xll.BDH($C$303,"INVTRY_RAW_MATERIALS","FQ1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14" s="2" t="e">
        <f ca="1">_xll.BDH($C$303,"INVTRY_IN_PROGRESS","FQ1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14" s="2" t="e">
        <f ca="1">_xll.BDH($C$303,"INVTRY_FINISHED_GOODS","FQ1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14" s="2" t="e">
        <f ca="1">_xll.BDH($C$303,"BS_OTHER_INV","FQ1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15" spans="1:113" x14ac:dyDescent="0.3">
      <c r="A315" s="6"/>
      <c r="B315" s="6"/>
      <c r="C315" s="6"/>
      <c r="D315" s="6"/>
      <c r="E315" t="s">
        <v>5</v>
      </c>
      <c r="F315" t="e">
        <f ca="1">_xll.BDH($C$303,"RETURN_COM_EQY","FQ2 2016","FQ2 2016","Currency=INR","Period=FQ","BEST_FPERIOD_OVERRIDE=FQ","FILING_STATUS=OR","EQY_CONSOLIDATED=Y","FA_ADJUSTED=GAAP","Sort=A","Dates=H","DateFormat=P","Fill=—","Direction=H","UseDPDF=Y")</f>
        <v>#NAME?</v>
      </c>
      <c r="G315" t="e">
        <f ca="1">_xll.BDH($C$303,"RETURN_ON_ASSET","FQ2 2016","FQ2 2016","Currency=INR","Period=FQ","BEST_FPERIOD_OVERRIDE=FQ","FILING_STATUS=OR","EQY_CONSOLIDATED=Y","FA_ADJUSTED=GAAP","Sort=A","Dates=H","DateFormat=P","Fill=—","Direction=H","UseDPDF=Y")</f>
        <v>#NAME?</v>
      </c>
      <c r="H315" t="e">
        <f ca="1">_xll.BDH($C$303,"RETURN_ON_CAP","FQ2 2016","FQ2 2016","Currency=INR","Period=FQ","BEST_FPERIOD_OVERRIDE=FQ","FILING_STATUS=OR","EQY_CONSOLIDATED=Y","FA_ADJUSTED=GAAP","Sort=A","Dates=H","DateFormat=P","Fill=—","Direction=H","UseDPDF=Y")</f>
        <v>#NAME?</v>
      </c>
      <c r="I315" t="e">
        <f ca="1">_xll.BDH($C$303,"RETURN_ON_INV_CAPITAL","FQ2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15" t="e">
        <f ca="1">_xll.BDH($C$303,"EBITDA_TO_REVENUE","FQ2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315" t="e">
        <f ca="1">_xll.BDH($C$303,"OPER_MARGIN","FQ2 2016","FQ2 2016","Currency=INR","Period=FQ","BEST_FPERIOD_OVERRIDE=FQ","FILING_STATUS=OR","EQY_CONSOLIDATED=Y","FA_ADJUSTED=GAAP","Sort=A","Dates=H","DateFormat=P","Fill=—","Direction=H","UseDPDF=Y")</f>
        <v>#NAME?</v>
      </c>
      <c r="L315" t="e">
        <f ca="1">_xll.BDH($C$303,"INCREMENTAL_OPERATING_MARGIN","FQ2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15" t="e">
        <f ca="1">_xll.BDH($C$303,"PRETAX_INC_TO_NET_SALES","FQ2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15" t="e">
        <f ca="1">_xll.BDH($C$303,"INC_BEF_XO_ITEMS_TO_NET_SALES","FQ2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15" t="e">
        <f ca="1">_xll.BDH($C$303,"PROF_MARGIN","FQ2 2016","FQ2 2016","Currency=INR","Period=FQ","BEST_FPERIOD_OVERRIDE=FQ","FILING_STATUS=OR","EQY_CONSOLIDATED=Y","FA_ADJUSTED=GAAP","Sort=A","Dates=H","DateFormat=P","Fill=—","Direction=H","UseDPDF=Y")</f>
        <v>#NAME?</v>
      </c>
      <c r="P315" t="e">
        <f ca="1">_xll.BDH($C$303,"NET_INCOME_TO_COMMON_MARGIN","FQ2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15" t="e">
        <f ca="1">_xll.BDH($C$303,"EFF_TAX_RATE","FQ2 2016","FQ2 2016","Currency=INR","Period=FQ","BEST_FPERIOD_OVERRIDE=FQ","FILING_STATUS=OR","EQY_CONSOLIDATED=Y","FA_ADJUSTED=GAAP","Sort=A","Dates=H","DateFormat=P","Fill=—","Direction=H","UseDPDF=Y")</f>
        <v>#NAME?</v>
      </c>
      <c r="R315" t="e">
        <f ca="1">_xll.BDH($C$303,"DVD_PAYOUT_RATIO","FQ2 2016","FQ2 2016","Currency=INR","Period=FQ","BEST_FPERIOD_OVERRIDE=FQ","FILING_STATUS=OR","EQY_CONSOLIDATED=Y","FA_ADJUSTED=GAAP","Sort=A","Dates=H","DateFormat=P","Fill=—","Direction=H","UseDPDF=Y")</f>
        <v>#NAME?</v>
      </c>
      <c r="S315" t="e">
        <f ca="1">_xll.BDH($C$303,"SUSTAIN_GROWTH_RT","FQ2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315" s="1" t="e">
        <f ca="1">_xll.BDH($C$303,"SALES_GROWTH","FQ2 2016","FQ2 2016","Currency=INR","Period=FQ","BEST_FPERIOD_OVERRIDE=FQ","FILING_STATUS=OR","EQY_CONSOLIDATED=Y","FA_ADJUSTED=GAAP","Sort=A","Dates=H","DateFormat=P","Fill=—","Direction=H","UseDPDF=Y")</f>
        <v>#NAME?</v>
      </c>
      <c r="U315" s="1" t="e">
        <f ca="1">_xll.BDH($C$303,"EBITDA_GROWTH","FQ2 2016","FQ2 2016","Currency=INR","Period=FQ","BEST_FPERIOD_OVERRIDE=FQ","FILING_STATUS=OR","EQY_CONSOLIDATED=Y","FA_ADJUSTED=GAAP","Sort=A","Dates=H","DateFormat=P","Fill=—","Direction=H","UseDPDF=Y")</f>
        <v>#NAME?</v>
      </c>
      <c r="V315" s="1" t="e">
        <f ca="1">_xll.BDH($C$303,"OPER_INC_GROWTH","FQ2 2016","FQ2 2016","Currency=INR","Period=FQ","BEST_FPERIOD_OVERRIDE=FQ","FILING_STATUS=OR","EQY_CONSOLIDATED=Y","FA_ADJUSTED=GAAP","Sort=A","Dates=H","DateFormat=P","Fill=—","Direction=H","UseDPDF=Y")</f>
        <v>#NAME?</v>
      </c>
      <c r="W315" s="1" t="e">
        <f ca="1">_xll.BDH($C$303,"EARN_FOR_COM_GROWTH","FQ2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15" s="1" t="e">
        <f ca="1">_xll.BDH($C$303,"DILUTED_EPS_AFT_XO_ITEMS_GROWTH","FQ2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15" s="1" t="e">
        <f ca="1">_xll.BDH($C$303,"DIVIDEND_PER_SHARE_1_YEAR_GROWTH","FQ2 2016","FQ2 2016","Currency=INR","Period=FQ","BEST_FPERIOD_OVERRIDE=FQ","FILING_STATUS=OR","EQY_CONSOLIDATED=Y","Sort=A","Dates=H","DateFormat=P","Fill=—","Direction=H","UseDPDF=Y")</f>
        <v>#NAME?</v>
      </c>
      <c r="Z315" s="1" t="e">
        <f ca="1">_xll.BDH($C$303,"ACCOUNTS_RECEIVABLE_GROWTH","FQ2 2016","FQ2 2016","Currency=INR","Period=FQ","BEST_FPERIOD_OVERRIDE=FQ","FILING_STATUS=OR","EQY_CONSOLIDATED=Y","Sort=A","Dates=H","DateFormat=P","Fill=—","Direction=H","UseDPDF=Y")</f>
        <v>#NAME?</v>
      </c>
      <c r="AA315" s="1" t="e">
        <f ca="1">_xll.BDH($C$303,"INVENTORY_GROWTH","FQ2 2016","FQ2 2016","Currency=INR","Period=FQ","BEST_FPERIOD_OVERRIDE=FQ","FILING_STATUS=OR","EQY_CONSOLIDATED=Y","Sort=A","Dates=H","DateFormat=P","Fill=—","Direction=H","UseDPDF=Y")</f>
        <v>#NAME?</v>
      </c>
      <c r="AB315" s="1" t="e">
        <f ca="1">_xll.BDH($C$303,"NET_FIXED_ASSETS_1_YEAR_GROWTH","FQ2 2016","FQ2 2016","Currency=INR","Period=FQ","BEST_FPERIOD_OVERRIDE=FQ","FILING_STATUS=OR","EQY_CONSOLIDATED=Y","Sort=A","Dates=H","DateFormat=P","Fill=—","Direction=H","UseDPDF=Y")</f>
        <v>#NAME?</v>
      </c>
      <c r="AC315" s="1" t="e">
        <f ca="1">_xll.BDH($C$303,"ASSET_GROWTH","FQ2 2016","FQ2 2016","Currency=INR","Period=FQ","BEST_FPERIOD_OVERRIDE=FQ","FILING_STATUS=OR","EQY_CONSOLIDATED=Y","Sort=A","Dates=H","DateFormat=P","Fill=—","Direction=H","UseDPDF=Y")</f>
        <v>#NAME?</v>
      </c>
      <c r="AD315" s="1" t="e">
        <f ca="1">_xll.BDH($C$303,"MODIFIED_WORK_CAP_GROWTH","FQ2 2016","FQ2 2016","Currency=INR","Period=FQ","BEST_FPERIOD_OVERRIDE=FQ","FILING_STATUS=OR","EQY_CONSOLIDATED=Y","Sort=A","Dates=H","DateFormat=P","Fill=—","Direction=H","UseDPDF=Y")</f>
        <v>#NAME?</v>
      </c>
      <c r="AE315" s="1" t="e">
        <f ca="1">_xll.BDH($C$303,"WORK_CAP_GROWTH","FQ2 2016","FQ2 2016","Currency=INR","Period=FQ","BEST_FPERIOD_OVERRIDE=FQ","FILING_STATUS=OR","EQY_CONSOLIDATED=Y","Sort=A","Dates=H","DateFormat=P","Fill=—","Direction=H","UseDPDF=Y")</f>
        <v>#NAME?</v>
      </c>
      <c r="AF315" s="1" t="e">
        <f ca="1">_xll.BDH($C$303,"ACCOUNTS_PAYABLE_GROWTH_1YR","FQ2 2016","FQ2 2016","Currency=INR","Period=FQ","BEST_FPERIOD_OVERRIDE=FQ","FILING_STATUS=OR","EQY_CONSOLIDATED=Y","Sort=A","Dates=H","DateFormat=P","Fill=—","Direction=H","UseDPDF=Y")</f>
        <v>#NAME?</v>
      </c>
      <c r="AG315" s="1" t="e">
        <f ca="1">_xll.BDH($C$303,"SHORT_TERM_DEBT_1_YEAR_GROWTH","FQ2 2016","FQ2 2016","Currency=INR","Period=FQ","BEST_FPERIOD_OVERRIDE=FQ","FILING_STATUS=OR","EQY_CONSOLIDATED=Y","Sort=A","Dates=H","DateFormat=P","Fill=—","Direction=H","UseDPDF=Y")</f>
        <v>#NAME?</v>
      </c>
      <c r="AH315" s="1" t="e">
        <f ca="1">_xll.BDH($C$303,"TOTAL_DEBT_1_YEAR_GROWTH","FQ2 2016","FQ2 2016","Currency=INR","Period=FQ","BEST_FPERIOD_OVERRIDE=FQ","FILING_STATUS=OR","EQY_CONSOLIDATED=Y","Sort=A","Dates=H","DateFormat=P","Fill=—","Direction=H","UseDPDF=Y")</f>
        <v>#NAME?</v>
      </c>
      <c r="AI315" s="1" t="e">
        <f ca="1">_xll.BDH($C$303,"TOTAL_EQUITY_1_YEAR_GROWTH","FQ2 2016","FQ2 2016","Currency=INR","Period=FQ","BEST_FPERIOD_OVERRIDE=FQ","FILING_STATUS=OR","EQY_CONSOLIDATED=Y","Sort=A","Dates=H","DateFormat=P","Fill=—","Direction=H","UseDPDF=Y")</f>
        <v>#NAME?</v>
      </c>
      <c r="AJ315" s="1" t="e">
        <f ca="1">_xll.BDH($C$303,"GROWTH_IN_CAP","FQ2 2016","FQ2 2016","Currency=INR","Period=FQ","BEST_FPERIOD_OVERRIDE=FQ","FILING_STATUS=OR","EQY_CONSOLIDATED=Y","Sort=A","Dates=H","DateFormat=P","Fill=—","Direction=H","UseDPDF=Y")</f>
        <v>#NAME?</v>
      </c>
      <c r="AK315" s="1" t="e">
        <f ca="1">_xll.BDH($C$303,"BVPS_GROWTH","FQ2 2016","FQ2 2016","Currency=INR","Period=FQ","BEST_FPERIOD_OVERRIDE=FQ","FILING_STATUS=OR","EQY_CONSOLIDATED=Y","Sort=A","Dates=H","DateFormat=P","Fill=—","Direction=H","UseDPDF=Y")</f>
        <v>#NAME?</v>
      </c>
      <c r="AL315" s="1" t="e">
        <f ca="1">_xll.BDH($C$303,"CASH_FLOW_GROWTH","FQ2 2016","FQ2 2016","Currency=INR","Period=FQ","BEST_FPERIOD_OVERRIDE=FQ","FILING_STATUS=OR","EQY_CONSOLIDATED=Y","Sort=A","Dates=H","DateFormat=P","Fill=—","Direction=H","UseDPDF=Y")</f>
        <v>#NAME?</v>
      </c>
      <c r="AM315" s="1" t="e">
        <f ca="1">_xll.BDH($C$303,"GEO_GROW_NET_SALES","FQ2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15" s="1" t="e">
        <f ca="1">_xll.BDH($C$303,"GEO_GROW_EBITDA","FQ2 2016","FQ2 2016","Currency=INR","Period=FQ","BEST_FPERIOD_OVERRIDE=FQ","FILING_STATUS=OR","EQY_CONSOLIDATED=Y","FA_ADJUSTED=GAAP","Sort=A","Dates=H","DateFormat=P","Fill=—","Direction=H","UseDPDF=Y")</f>
        <v>#NAME?</v>
      </c>
      <c r="AO315" s="1" t="e">
        <f ca="1">_xll.BDH($C$303,"GEO_GROW_OPER_INC","FQ2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15" s="1" t="e">
        <f ca="1">_xll.BDH($C$303,"NET_INCOME_TO_COMMON_5_YR_GROWTH","FQ2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15" s="1" t="e">
        <f ca="1">_xll.BDH($C$303,"5Y_GEO_GROWTH_DILUTED_EPS","FQ2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15" s="1" t="e">
        <f ca="1">_xll.BDH($C$303,"GEO_GROW_DVD_PER_SH","FQ2 2016","FQ2 2016","Currency=INR","Period=FQ","BEST_FPERIOD_OVERRIDE=FQ","FILING_STATUS=OR","EQY_CONSOLIDATED=Y","Sort=A","Dates=H","DateFormat=P","Fill=—","Direction=H","UseDPDF=Y")</f>
        <v>#NAME?</v>
      </c>
      <c r="AS315" s="1" t="e">
        <f ca="1">_xll.BDH($C$303,"ACCOUNTS_RECEIVABLE_5_YR_GROWTH","FQ2 2016","FQ2 2016","Currency=INR","Period=FQ","BEST_FPERIOD_OVERRIDE=FQ","FILING_STATUS=OR","EQY_CONSOLIDATED=Y","Sort=A","Dates=H","DateFormat=P","Fill=—","Direction=H","UseDPDF=Y")</f>
        <v>#NAME?</v>
      </c>
      <c r="AT315" s="1" t="e">
        <f ca="1">_xll.BDH($C$303,"INVENTORY_5_YEAR_GROWTH","FQ2 2016","FQ2 2016","Currency=INR","Period=FQ","BEST_FPERIOD_OVERRIDE=FQ","FILING_STATUS=OR","EQY_CONSOLIDATED=Y","Sort=A","Dates=H","DateFormat=P","Fill=—","Direction=H","UseDPDF=Y")</f>
        <v>#NAME?</v>
      </c>
      <c r="AU315" s="1" t="e">
        <f ca="1">_xll.BDH($C$303,"NET_FIXED_ASSETS_5_YEAR_GROWTH","FQ2 2016","FQ2 2016","Currency=INR","Period=FQ","BEST_FPERIOD_OVERRIDE=FQ","FILING_STATUS=OR","EQY_CONSOLIDATED=Y","Sort=A","Dates=H","DateFormat=P","Fill=—","Direction=H","UseDPDF=Y")</f>
        <v>#NAME?</v>
      </c>
      <c r="AV315" s="1" t="e">
        <f ca="1">_xll.BDH($C$303,"GEO_GROW_TOT_ASSET","FQ2 2016","FQ2 2016","Currency=INR","Period=FQ","BEST_FPERIOD_OVERRIDE=FQ","FILING_STATUS=OR","EQY_CONSOLIDATED=Y","Sort=A","Dates=H","DateFormat=P","Fill=—","Direction=H","UseDPDF=Y")</f>
        <v>#NAME?</v>
      </c>
      <c r="AW315" s="1" t="e">
        <f ca="1">_xll.BDH($C$303,"MODIFIED_WORKING_CPTL_5YR_GRWTH","FQ2 2016","FQ2 2016","Currency=INR","Period=FQ","BEST_FPERIOD_OVERRIDE=FQ","FILING_STATUS=OR","EQY_CONSOLIDATED=Y","Sort=A","Dates=H","DateFormat=P","Fill=—","Direction=H","UseDPDF=Y")</f>
        <v>#NAME?</v>
      </c>
      <c r="AX315" s="1" t="e">
        <f ca="1">_xll.BDH($C$303,"WORKING_CAPITAL_5_YEAR_GROWTH","FQ2 2016","FQ2 2016","Currency=INR","Period=FQ","BEST_FPERIOD_OVERRIDE=FQ","FILING_STATUS=OR","EQY_CONSOLIDATED=Y","Sort=A","Dates=H","DateFormat=P","Fill=—","Direction=H","UseDPDF=Y")</f>
        <v>#NAME?</v>
      </c>
      <c r="AY315" s="1" t="e">
        <f ca="1">_xll.BDH($C$303,"ACCOUNTS_PAYABLE_5_YEAR_GROWTH","FQ2 2016","FQ2 2016","Currency=INR","Period=FQ","BEST_FPERIOD_OVERRIDE=FQ","FILING_STATUS=OR","EQY_CONSOLIDATED=Y","Sort=A","Dates=H","DateFormat=P","Fill=—","Direction=H","UseDPDF=Y")</f>
        <v>#NAME?</v>
      </c>
      <c r="AZ315" s="1" t="e">
        <f ca="1">_xll.BDH($C$303,"SHORT_TERM_DEBT_5_YEAR_GROWTH","FQ2 2016","FQ2 2016","Currency=INR","Period=FQ","BEST_FPERIOD_OVERRIDE=FQ","FILING_STATUS=OR","EQY_CONSOLIDATED=Y","Sort=A","Dates=H","DateFormat=P","Fill=—","Direction=H","UseDPDF=Y")</f>
        <v>#NAME?</v>
      </c>
      <c r="BA315" s="1" t="e">
        <f ca="1">_xll.BDH($C$303,"TOTAL_DEBT_5_YEAR_GROWTH","FQ2 2016","FQ2 2016","Currency=INR","Period=FQ","BEST_FPERIOD_OVERRIDE=FQ","FILING_STATUS=OR","EQY_CONSOLIDATED=Y","Sort=A","Dates=H","DateFormat=P","Fill=—","Direction=H","UseDPDF=Y")</f>
        <v>#NAME?</v>
      </c>
      <c r="BB315" s="1" t="e">
        <f ca="1">_xll.BDH($C$303,"GEO_GROW_TOT_SHRHLDR_EQY","FQ2 2016","FQ2 2016","Currency=INR","Period=FQ","BEST_FPERIOD_OVERRIDE=FQ","FILING_STATUS=OR","EQY_CONSOLIDATED=Y","Sort=A","Dates=H","DateFormat=P","Fill=—","Direction=H","UseDPDF=Y")</f>
        <v>#NAME?</v>
      </c>
      <c r="BC315" s="1" t="e">
        <f ca="1">_xll.BDH($C$303,"TOTAL_CAPITAL_5_YEAR_GROWTH","FQ2 2016","FQ2 2016","Currency=INR","Period=FQ","BEST_FPERIOD_OVERRIDE=FQ","FILING_STATUS=OR","EQY_CONSOLIDATED=Y","Sort=A","Dates=H","DateFormat=P","Fill=—","Direction=H","UseDPDF=Y")</f>
        <v>#NAME?</v>
      </c>
      <c r="BD315" s="1" t="e">
        <f ca="1">_xll.BDH($C$303,"GEO_GROW_BOOK_VAL","FQ2 2016","FQ2 2016","Currency=INR","Period=FQ","BEST_FPERIOD_OVERRIDE=FQ","FILING_STATUS=OR","EQY_CONSOLIDATED=Y","Sort=A","Dates=H","DateFormat=P","Fill=—","Direction=H","UseDPDF=Y")</f>
        <v>#NAME?</v>
      </c>
      <c r="BE315" s="1" t="e">
        <f ca="1">_xll.BDH($C$303,"GEO_GROW_CASH_OPER_ACT","FQ2 2016","FQ2 2016","Currency=INR","Period=FQ","BEST_FPERIOD_OVERRIDE=FQ","FILING_STATUS=OR","EQY_CONSOLIDATED=Y","Sort=A","Dates=H","DateFormat=P","Fill=—","Direction=H","UseDPDF=Y")</f>
        <v>#NAME?</v>
      </c>
      <c r="BF315" s="1" t="e">
        <f ca="1">_xll.BDH($C$303,"REVENUE_SEQUENTIAL_GROWTH","FQ2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15" s="1" t="e">
        <f ca="1">_xll.BDH($C$303,"EBITDA_SEQUENTIAL_GROWTH","FQ2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15" s="1" t="e">
        <f ca="1">_xll.BDH($C$303,"OPERATING_INCOME_SEQ_GROWTH","FQ2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15" s="1" t="e">
        <f ca="1">_xll.BDH($C$303,"NET_INCOME_TO_COMMON_SEQ_GROWTH","FQ2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15" s="1" t="e">
        <f ca="1">_xll.BDH($C$303,"EPS_DILUTED_SEQUENTIAL_GROWTH","FQ2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15" s="1" t="e">
        <f ca="1">_xll.BDH($C$303,"DPS_SEQUENTIAL_GROWTH","FQ2 2016","FQ2 2016","Currency=INR","Period=FQ","BEST_FPERIOD_OVERRIDE=FQ","FILING_STATUS=OR","EQY_CONSOLIDATED=Y","Sort=A","Dates=H","DateFormat=P","Fill=—","Direction=H","UseDPDF=Y")</f>
        <v>#NAME?</v>
      </c>
      <c r="BL315" s="1" t="e">
        <f ca="1">_xll.BDH($C$303,"ACCOUNTS_RECEIVABLE_SEQ_GROWTH","FQ2 2016","FQ2 2016","Currency=INR","Period=FQ","BEST_FPERIOD_OVERRIDE=FQ","FILING_STATUS=OR","EQY_CONSOLIDATED=Y","Sort=A","Dates=H","DateFormat=P","Fill=—","Direction=H","UseDPDF=Y")</f>
        <v>#NAME?</v>
      </c>
      <c r="BM315" s="1" t="e">
        <f ca="1">_xll.BDH($C$303,"INVENTORY_SEQUENTIAL_GROWTH","FQ2 2016","FQ2 2016","Currency=INR","Period=FQ","BEST_FPERIOD_OVERRIDE=FQ","FILING_STATUS=OR","EQY_CONSOLIDATED=Y","Sort=A","Dates=H","DateFormat=P","Fill=—","Direction=H","UseDPDF=Y")</f>
        <v>#NAME?</v>
      </c>
      <c r="BN315" s="1" t="e">
        <f ca="1">_xll.BDH($C$303,"FIXED_ASSETS_SEQUENTIAL_GROWTH","FQ2 2016","FQ2 2016","Currency=INR","Period=FQ","BEST_FPERIOD_OVERRIDE=FQ","FILING_STATUS=OR","EQY_CONSOLIDATED=Y","Sort=A","Dates=H","DateFormat=P","Fill=—","Direction=H","UseDPDF=Y")</f>
        <v>#NAME?</v>
      </c>
      <c r="BO315" s="1" t="e">
        <f ca="1">_xll.BDH($C$303,"TOTAL_ASSETS_SEQUENTIAL_GROWTH","FQ2 2016","FQ2 2016","Currency=INR","Period=FQ","BEST_FPERIOD_OVERRIDE=FQ","FILING_STATUS=OR","EQY_CONSOLIDATED=Y","Sort=A","Dates=H","DateFormat=P","Fill=—","Direction=H","UseDPDF=Y")</f>
        <v>#NAME?</v>
      </c>
      <c r="BP315" s="1" t="e">
        <f ca="1">_xll.BDH($C$303,"MODIFIED_WORKING_CPTL_SEQ_GRWTH","FQ2 2016","FQ2 2016","Currency=INR","Period=FQ","BEST_FPERIOD_OVERRIDE=FQ","FILING_STATUS=OR","EQY_CONSOLIDATED=Y","Sort=A","Dates=H","DateFormat=P","Fill=—","Direction=H","UseDPDF=Y")</f>
        <v>#NAME?</v>
      </c>
      <c r="BQ315" s="1" t="e">
        <f ca="1">_xll.BDH($C$303,"WORKING_CAPITAL_SEQ_GROWTH","FQ2 2016","FQ2 2016","Currency=INR","Period=FQ","BEST_FPERIOD_OVERRIDE=FQ","FILING_STATUS=OR","EQY_CONSOLIDATED=Y","Sort=A","Dates=H","DateFormat=P","Fill=—","Direction=H","UseDPDF=Y")</f>
        <v>#NAME?</v>
      </c>
      <c r="BR315" s="1" t="e">
        <f ca="1">_xll.BDH($C$303,"ACCOUNTS_PAYABLE_SEQ_GROWTH","FQ2 2016","FQ2 2016","Currency=INR","Period=FQ","BEST_FPERIOD_OVERRIDE=FQ","FILING_STATUS=OR","EQY_CONSOLIDATED=Y","Sort=A","Dates=H","DateFormat=P","Fill=—","Direction=H","UseDPDF=Y")</f>
        <v>#NAME?</v>
      </c>
      <c r="BS315" s="1" t="e">
        <f ca="1">_xll.BDH($C$303,"ST_DEBT_SEQUENTIAL_GROWTH","FQ2 2016","FQ2 2016","Currency=INR","Period=FQ","BEST_FPERIOD_OVERRIDE=FQ","FILING_STATUS=OR","EQY_CONSOLIDATED=Y","Sort=A","Dates=H","DateFormat=P","Fill=—","Direction=H","UseDPDF=Y")</f>
        <v>#NAME?</v>
      </c>
      <c r="BT315" s="1" t="e">
        <f ca="1">_xll.BDH($C$303,"TOTAL_DEBT_SEQUENTIAL_GROWTH","FQ2 2016","FQ2 2016","Currency=INR","Period=FQ","BEST_FPERIOD_OVERRIDE=FQ","FILING_STATUS=OR","EQY_CONSOLIDATED=Y","Sort=A","Dates=H","DateFormat=P","Fill=—","Direction=H","UseDPDF=Y")</f>
        <v>#NAME?</v>
      </c>
      <c r="BU315" s="1" t="e">
        <f ca="1">_xll.BDH($C$303,"TOTAL_EQUITY_SEQUENTIAL_GROWTH","FQ2 2016","FQ2 2016","Currency=INR","Period=FQ","BEST_FPERIOD_OVERRIDE=FQ","FILING_STATUS=OR","EQY_CONSOLIDATED=Y","Sort=A","Dates=H","DateFormat=P","Fill=—","Direction=H","UseDPDF=Y")</f>
        <v>#NAME?</v>
      </c>
      <c r="BV315" s="1" t="e">
        <f ca="1">_xll.BDH($C$303,"TOTAL_CAPITAL_SEQUENTIAL_GROWTH","FQ2 2016","FQ2 2016","Currency=INR","Period=FQ","BEST_FPERIOD_OVERRIDE=FQ","FILING_STATUS=OR","EQY_CONSOLIDATED=Y","Sort=A","Dates=H","DateFormat=P","Fill=—","Direction=H","UseDPDF=Y")</f>
        <v>#NAME?</v>
      </c>
      <c r="BW315" s="1" t="e">
        <f ca="1">_xll.BDH($C$303,"BPS_SEQUENTIAL_GROWTH","FQ2 2016","FQ2 2016","Currency=INR","Period=FQ","BEST_FPERIOD_OVERRIDE=FQ","FILING_STATUS=OR","EQY_CONSOLIDATED=Y","Sort=A","Dates=H","DateFormat=P","Fill=—","Direction=H","UseDPDF=Y")</f>
        <v>#NAME?</v>
      </c>
      <c r="BX315" s="1" t="e">
        <f ca="1">_xll.BDH($C$303,"CFO_SEQUENTIAL_GROWTH","FQ2 2016","FQ2 2016","Currency=INR","Period=FQ","BEST_FPERIOD_OVERRIDE=FQ","FILING_STATUS=OR","EQY_CONSOLIDATED=Y","Sort=A","Dates=H","DateFormat=P","Fill=—","Direction=H","UseDPDF=Y")</f>
        <v>#NAME?</v>
      </c>
      <c r="BY315" s="2" t="e">
        <f ca="1">_xll.BDH($C$303,"SHORT_AND_LONG_TERM_DEBT","FQ2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15" s="2" t="e">
        <f ca="1">_xll.BDH($C$303,"BS_ST_BORROW","FQ2 2016","FQ2 2016","Currency=INR","Period=FQ","BEST_FPERIOD_OVERRIDE=FQ","FILING_STATUS=OR","EQY_CONSOLIDATED=Y","SCALING_FORMAT=MLN","Sort=A","Dates=H","DateFormat=P","Fill=—","Direction=H","UseDPDF=Y")</f>
        <v>#NAME?</v>
      </c>
      <c r="CA315" s="2" t="e">
        <f ca="1">_xll.BDH($C$303,"BS_LT_BORROW","FQ2 2016","FQ2 2016","Currency=INR","Period=FQ","BEST_FPERIOD_OVERRIDE=FQ","FILING_STATUS=OR","EQY_CONSOLIDATED=Y","SCALING_FORMAT=MLN","Sort=A","Dates=H","DateFormat=P","Fill=—","Direction=H","UseDPDF=Y")</f>
        <v>#NAME?</v>
      </c>
      <c r="CB315" s="1" t="e">
        <f ca="1">_xll.BDH($C$303,"TOT_DEBT_TO_EBITDA","FQ2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15" s="1" t="e">
        <f ca="1">_xll.BDH($C$303,"NET_DEBT_TO_EBITDA","FQ2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15" s="1" t="e">
        <f ca="1">_xll.BDH($C$303,"TOTAL_DEBT_TO_EBIT","FQ2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15" s="1" t="e">
        <f ca="1">_xll.BDH($C$303,"NET_DEBT_TO_EBIT","FQ2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315" s="1" t="e">
        <f ca="1">_xll.BDH($C$303,"EBITDA_TO_INTEREST_EXPN","FQ2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15" s="1" t="e">
        <f ca="1">_xll.BDH($C$303,"COM_EQY_TO_TOT_ASSET","FQ2 2016","FQ2 2016","Currency=INR","Period=FQ","BEST_FPERIOD_OVERRIDE=FQ","FILING_STATUS=OR","EQY_CONSOLIDATED=Y","Sort=A","Dates=H","DateFormat=P","Fill=—","Direction=H","UseDPDF=Y")</f>
        <v>#NAME?</v>
      </c>
      <c r="CH315" s="1" t="e">
        <f ca="1">_xll.BDH($C$303,"LT_DEBT_TO_TOT_EQY","FQ2 2016","FQ2 2016","Currency=INR","Period=FQ","BEST_FPERIOD_OVERRIDE=FQ","FILING_STATUS=OR","EQY_CONSOLIDATED=Y","Sort=A","Dates=H","DateFormat=P","Fill=—","Direction=H","UseDPDF=Y")</f>
        <v>#NAME?</v>
      </c>
      <c r="CI315" s="1" t="e">
        <f ca="1">_xll.BDH($C$303,"LT_DEBT_TO_TOT_CAP","FQ2 2016","FQ2 2016","Currency=INR","Period=FQ","BEST_FPERIOD_OVERRIDE=FQ","FILING_STATUS=OR","EQY_CONSOLIDATED=Y","Sort=A","Dates=H","DateFormat=P","Fill=—","Direction=H","UseDPDF=Y")</f>
        <v>#NAME?</v>
      </c>
      <c r="CJ315" s="1" t="e">
        <f ca="1">_xll.BDH($C$303,"LT_DEBT_TO_TOT_ASSET","FQ2 2016","FQ2 2016","Currency=INR","Period=FQ","BEST_FPERIOD_OVERRIDE=FQ","FILING_STATUS=OR","EQY_CONSOLIDATED=Y","Sort=A","Dates=H","DateFormat=P","Fill=—","Direction=H","UseDPDF=Y")</f>
        <v>#NAME?</v>
      </c>
      <c r="CK315" s="1" t="e">
        <f ca="1">_xll.BDH($C$303,"TOT_DEBT_TO_TOT_EQY","FQ2 2016","FQ2 2016","Currency=INR","Period=FQ","BEST_FPERIOD_OVERRIDE=FQ","FILING_STATUS=OR","EQY_CONSOLIDATED=Y","Sort=A","Dates=H","DateFormat=P","Fill=—","Direction=H","UseDPDF=Y")</f>
        <v>#NAME?</v>
      </c>
      <c r="CL315" s="1" t="e">
        <f ca="1">_xll.BDH($C$303,"TOT_DEBT_TO_TOT_CAP","FQ2 2016","FQ2 2016","Currency=INR","Period=FQ","BEST_FPERIOD_OVERRIDE=FQ","FILING_STATUS=OR","EQY_CONSOLIDATED=Y","Sort=A","Dates=H","DateFormat=P","Fill=—","Direction=H","UseDPDF=Y")</f>
        <v>#NAME?</v>
      </c>
      <c r="CM315" s="1" t="e">
        <f ca="1">_xll.BDH($C$303,"TOT_DEBT_TO_TOT_ASSET","FQ2 2016","FQ2 2016","Currency=INR","Period=FQ","BEST_FPERIOD_OVERRIDE=FQ","FILING_STATUS=OR","EQY_CONSOLIDATED=Y","Sort=A","Dates=H","DateFormat=P","Fill=—","Direction=H","UseDPDF=Y")</f>
        <v>#NAME?</v>
      </c>
      <c r="CN315" s="1" t="e">
        <f ca="1">_xll.BDH($C$303,"NET_DEBT_TO_SHRHLDR_EQTY","FQ2 2016","FQ2 2016","Currency=INR","Period=FQ","BEST_FPERIOD_OVERRIDE=FQ","FILING_STATUS=OR","EQY_CONSOLIDATED=Y","Sort=A","Dates=H","DateFormat=P","Fill=—","Direction=H","UseDPDF=Y")</f>
        <v>#NAME?</v>
      </c>
      <c r="CO315" s="1" t="e">
        <f ca="1">_xll.BDH($C$303,"NET_DEBT_%_CAPITAL","FQ2 2016","FQ2 2016","Currency=INR","Period=FQ","BEST_FPERIOD_OVERRIDE=FQ","FILING_STATUS=OR","EQY_CONSOLIDATED=Y","Sort=A","Dates=H","DateFormat=P","Fill=—","Direction=H","UseDPDF=Y")</f>
        <v>#NAME?</v>
      </c>
      <c r="CP315" s="2" t="e">
        <f ca="1">_xll.BDH($C$303,"EBITDA","FQ2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15" s="2" t="e">
        <f ca="1">_xll.BDH($C$303,"EBITDA_AFTER_CAPEX","FQ2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15" s="2" t="e">
        <f ca="1">_xll.BDH($C$303,"IS_OPER_INC","FQ2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15" s="1" t="e">
        <f ca="1">_xll.BDH($C$303,"CASH_RATIO","FQ2 2016","FQ2 2016","Currency=INR","Period=FQ","BEST_FPERIOD_OVERRIDE=FQ","FILING_STATUS=OR","EQY_CONSOLIDATED=Y","Sort=A","Dates=H","DateFormat=P","Fill=—","Direction=H","UseDPDF=Y")</f>
        <v>#NAME?</v>
      </c>
      <c r="CT315" s="1" t="e">
        <f ca="1">_xll.BDH($C$303,"CUR_RATIO","FQ2 2016","FQ2 2016","Currency=INR","Period=FQ","BEST_FPERIOD_OVERRIDE=FQ","FILING_STATUS=OR","EQY_CONSOLIDATED=Y","Sort=A","Dates=H","DateFormat=P","Fill=—","Direction=H","UseDPDF=Y")</f>
        <v>#NAME?</v>
      </c>
      <c r="CU315" s="1" t="e">
        <f ca="1">_xll.BDH($C$303,"QUICK_RATIO","FQ2 2016","FQ2 2016","Currency=INR","Period=FQ","BEST_FPERIOD_OVERRIDE=FQ","FILING_STATUS=OR","EQY_CONSOLIDATED=Y","Sort=A","Dates=H","DateFormat=P","Fill=—","Direction=H","UseDPDF=Y")</f>
        <v>#NAME?</v>
      </c>
      <c r="CV315" s="1" t="e">
        <f ca="1">_xll.BDH($C$303,"ALTMAN_Z_SCORE","FQ2 2016","FQ2 2016","Currency=INR","Period=FQ","BEST_FPERIOD_OVERRIDE=FQ","FILING_STATUS=OR","EQY_CONSOLIDATED=Y","Sort=A","Dates=H","DateFormat=P","Fill=—","Direction=H","UseDPDF=Y")</f>
        <v>#NAME?</v>
      </c>
      <c r="CW315" s="3" t="e">
        <f ca="1">_xll.BDH($C$303,"ACCT_RCV_TURN","FQ2 2016","FQ2 2016","Currency=INR","Period=FQ","BEST_FPERIOD_OVERRIDE=FQ","FILING_STATUS=OR","EQY_CONSOLIDATED=Y","FA_ADJUSTED=GAAP","Sort=A","Dates=H","DateFormat=P","Fill=—","Direction=H","UseDPDF=Y")</f>
        <v>#NAME?</v>
      </c>
      <c r="CX315" s="1" t="e">
        <f ca="1">_xll.BDH($C$303,"ACCT_RCV_DAYS","FQ2 2016","FQ2 2016","Currency=INR","Period=FQ","BEST_FPERIOD_OVERRIDE=FQ","FILING_STATUS=OR","EQY_CONSOLIDATED=Y","FA_ADJUSTED=GAAP","Sort=A","Dates=H","DateFormat=P","Fill=—","Direction=H","UseDPDF=Y")</f>
        <v>#NAME?</v>
      </c>
      <c r="CY315" s="3" t="e">
        <f ca="1">_xll.BDH($C$303,"INVENT_TURN","FQ2 2016","FQ2 2016","Currency=INR","Period=FQ","BEST_FPERIOD_OVERRIDE=FQ","FILING_STATUS=OR","EQY_CONSOLIDATED=Y","FA_ADJUSTED=GAAP","Sort=A","Dates=H","DateFormat=P","Fill=—","Direction=H","UseDPDF=Y")</f>
        <v>#NAME?</v>
      </c>
      <c r="CZ315" s="1" t="e">
        <f ca="1">_xll.BDH($C$303,"INVENT_DAYS","FQ2 2016","FQ2 2016","Currency=INR","Period=FQ","BEST_FPERIOD_OVERRIDE=FQ","FILING_STATUS=OR","EQY_CONSOLIDATED=Y","FA_ADJUSTED=GAAP","Sort=A","Dates=H","DateFormat=P","Fill=—","Direction=H","UseDPDF=Y")</f>
        <v>#NAME?</v>
      </c>
      <c r="DA315" s="3" t="e">
        <f ca="1">_xll.BDH($C$303,"ACCOUNTS_PAYABLE_TURNOVER","FQ2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15" s="1" t="e">
        <f ca="1">_xll.BDH($C$303,"ACCOUNTS_PAYABLE_TURNOVER_DAYS","FQ2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15" s="3" t="e">
        <f ca="1">_xll.BDH($C$303,"CASH_CONVERSION_CYCLE","FQ2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15" s="3" t="e">
        <f ca="1">_xll.BDH($C$303,"INV_TO_CASH_DAYS","FQ2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315" s="4" t="e">
        <f ca="1">_xll.BDH($C$303,"BS_INVENTORIES","FQ2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315" s="2" t="e">
        <f ca="1">_xll.BDH($C$303,"INVTRY_RAW_MATERIALS","FQ2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15" s="2" t="e">
        <f ca="1">_xll.BDH($C$303,"INVTRY_IN_PROGRESS","FQ2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15" s="2" t="e">
        <f ca="1">_xll.BDH($C$303,"INVTRY_FINISHED_GOODS","FQ2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15" s="2" t="e">
        <f ca="1">_xll.BDH($C$303,"BS_OTHER_INV","FQ2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16" spans="1:113" x14ac:dyDescent="0.3">
      <c r="A316" s="6"/>
      <c r="B316" s="6"/>
      <c r="C316" s="6"/>
      <c r="D316" s="6"/>
      <c r="E316" t="s">
        <v>6</v>
      </c>
      <c r="F316" t="e">
        <f ca="1">_xll.BDH($C$303,"RETURN_COM_EQY","FQ3 2016","FQ3 2016","Currency=INR","Period=FQ","BEST_FPERIOD_OVERRIDE=FQ","FILING_STATUS=OR","EQY_CONSOLIDATED=Y","FA_ADJUSTED=GAAP","Sort=A","Dates=H","DateFormat=P","Fill=—","Direction=H","UseDPDF=Y")</f>
        <v>#NAME?</v>
      </c>
      <c r="G316" t="e">
        <f ca="1">_xll.BDH($C$303,"RETURN_ON_ASSET","FQ3 2016","FQ3 2016","Currency=INR","Period=FQ","BEST_FPERIOD_OVERRIDE=FQ","FILING_STATUS=OR","EQY_CONSOLIDATED=Y","FA_ADJUSTED=GAAP","Sort=A","Dates=H","DateFormat=P","Fill=—","Direction=H","UseDPDF=Y")</f>
        <v>#NAME?</v>
      </c>
      <c r="H316" t="e">
        <f ca="1">_xll.BDH($C$303,"RETURN_ON_CAP","FQ3 2016","FQ3 2016","Currency=INR","Period=FQ","BEST_FPERIOD_OVERRIDE=FQ","FILING_STATUS=OR","EQY_CONSOLIDATED=Y","FA_ADJUSTED=GAAP","Sort=A","Dates=H","DateFormat=P","Fill=—","Direction=H","UseDPDF=Y")</f>
        <v>#NAME?</v>
      </c>
      <c r="I316" t="e">
        <f ca="1">_xll.BDH($C$303,"RETURN_ON_INV_CAPITAL","FQ3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16" t="e">
        <f ca="1">_xll.BDH($C$303,"EBITDA_TO_REVENUE","FQ3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316" t="e">
        <f ca="1">_xll.BDH($C$303,"OPER_MARGIN","FQ3 2016","FQ3 2016","Currency=INR","Period=FQ","BEST_FPERIOD_OVERRIDE=FQ","FILING_STATUS=OR","EQY_CONSOLIDATED=Y","FA_ADJUSTED=GAAP","Sort=A","Dates=H","DateFormat=P","Fill=—","Direction=H","UseDPDF=Y")</f>
        <v>#NAME?</v>
      </c>
      <c r="L316" t="e">
        <f ca="1">_xll.BDH($C$303,"INCREMENTAL_OPERATING_MARGIN","FQ3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16" t="e">
        <f ca="1">_xll.BDH($C$303,"PRETAX_INC_TO_NET_SALES","FQ3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16" t="e">
        <f ca="1">_xll.BDH($C$303,"INC_BEF_XO_ITEMS_TO_NET_SALES","FQ3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16" t="e">
        <f ca="1">_xll.BDH($C$303,"PROF_MARGIN","FQ3 2016","FQ3 2016","Currency=INR","Period=FQ","BEST_FPERIOD_OVERRIDE=FQ","FILING_STATUS=OR","EQY_CONSOLIDATED=Y","FA_ADJUSTED=GAAP","Sort=A","Dates=H","DateFormat=P","Fill=—","Direction=H","UseDPDF=Y")</f>
        <v>#NAME?</v>
      </c>
      <c r="P316" t="e">
        <f ca="1">_xll.BDH($C$303,"NET_INCOME_TO_COMMON_MARGIN","FQ3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16" t="e">
        <f ca="1">_xll.BDH($C$303,"EFF_TAX_RATE","FQ3 2016","FQ3 2016","Currency=INR","Period=FQ","BEST_FPERIOD_OVERRIDE=FQ","FILING_STATUS=OR","EQY_CONSOLIDATED=Y","FA_ADJUSTED=GAAP","Sort=A","Dates=H","DateFormat=P","Fill=—","Direction=H","UseDPDF=Y")</f>
        <v>#NAME?</v>
      </c>
      <c r="R316" t="e">
        <f ca="1">_xll.BDH($C$303,"DVD_PAYOUT_RATIO","FQ3 2016","FQ3 2016","Currency=INR","Period=FQ","BEST_FPERIOD_OVERRIDE=FQ","FILING_STATUS=OR","EQY_CONSOLIDATED=Y","FA_ADJUSTED=GAAP","Sort=A","Dates=H","DateFormat=P","Fill=—","Direction=H","UseDPDF=Y")</f>
        <v>#NAME?</v>
      </c>
      <c r="S316" t="e">
        <f ca="1">_xll.BDH($C$303,"SUSTAIN_GROWTH_RT","FQ3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316" s="1" t="e">
        <f ca="1">_xll.BDH($C$303,"SALES_GROWTH","FQ3 2016","FQ3 2016","Currency=INR","Period=FQ","BEST_FPERIOD_OVERRIDE=FQ","FILING_STATUS=OR","EQY_CONSOLIDATED=Y","FA_ADJUSTED=GAAP","Sort=A","Dates=H","DateFormat=P","Fill=—","Direction=H","UseDPDF=Y")</f>
        <v>#NAME?</v>
      </c>
      <c r="U316" s="1" t="e">
        <f ca="1">_xll.BDH($C$303,"EBITDA_GROWTH","FQ3 2016","FQ3 2016","Currency=INR","Period=FQ","BEST_FPERIOD_OVERRIDE=FQ","FILING_STATUS=OR","EQY_CONSOLIDATED=Y","FA_ADJUSTED=GAAP","Sort=A","Dates=H","DateFormat=P","Fill=—","Direction=H","UseDPDF=Y")</f>
        <v>#NAME?</v>
      </c>
      <c r="V316" s="1" t="e">
        <f ca="1">_xll.BDH($C$303,"OPER_INC_GROWTH","FQ3 2016","FQ3 2016","Currency=INR","Period=FQ","BEST_FPERIOD_OVERRIDE=FQ","FILING_STATUS=OR","EQY_CONSOLIDATED=Y","FA_ADJUSTED=GAAP","Sort=A","Dates=H","DateFormat=P","Fill=—","Direction=H","UseDPDF=Y")</f>
        <v>#NAME?</v>
      </c>
      <c r="W316" s="1" t="e">
        <f ca="1">_xll.BDH($C$303,"EARN_FOR_COM_GROWTH","FQ3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16" s="1" t="e">
        <f ca="1">_xll.BDH($C$303,"DILUTED_EPS_AFT_XO_ITEMS_GROWTH","FQ3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16" s="1" t="e">
        <f ca="1">_xll.BDH($C$303,"DIVIDEND_PER_SHARE_1_YEAR_GROWTH","FQ3 2016","FQ3 2016","Currency=INR","Period=FQ","BEST_FPERIOD_OVERRIDE=FQ","FILING_STATUS=OR","EQY_CONSOLIDATED=Y","Sort=A","Dates=H","DateFormat=P","Fill=—","Direction=H","UseDPDF=Y")</f>
        <v>#NAME?</v>
      </c>
      <c r="Z316" s="1" t="e">
        <f ca="1">_xll.BDH($C$303,"ACCOUNTS_RECEIVABLE_GROWTH","FQ3 2016","FQ3 2016","Currency=INR","Period=FQ","BEST_FPERIOD_OVERRIDE=FQ","FILING_STATUS=OR","EQY_CONSOLIDATED=Y","Sort=A","Dates=H","DateFormat=P","Fill=—","Direction=H","UseDPDF=Y")</f>
        <v>#NAME?</v>
      </c>
      <c r="AA316" s="1" t="e">
        <f ca="1">_xll.BDH($C$303,"INVENTORY_GROWTH","FQ3 2016","FQ3 2016","Currency=INR","Period=FQ","BEST_FPERIOD_OVERRIDE=FQ","FILING_STATUS=OR","EQY_CONSOLIDATED=Y","Sort=A","Dates=H","DateFormat=P","Fill=—","Direction=H","UseDPDF=Y")</f>
        <v>#NAME?</v>
      </c>
      <c r="AB316" s="1" t="e">
        <f ca="1">_xll.BDH($C$303,"NET_FIXED_ASSETS_1_YEAR_GROWTH","FQ3 2016","FQ3 2016","Currency=INR","Period=FQ","BEST_FPERIOD_OVERRIDE=FQ","FILING_STATUS=OR","EQY_CONSOLIDATED=Y","Sort=A","Dates=H","DateFormat=P","Fill=—","Direction=H","UseDPDF=Y")</f>
        <v>#NAME?</v>
      </c>
      <c r="AC316" s="1" t="e">
        <f ca="1">_xll.BDH($C$303,"ASSET_GROWTH","FQ3 2016","FQ3 2016","Currency=INR","Period=FQ","BEST_FPERIOD_OVERRIDE=FQ","FILING_STATUS=OR","EQY_CONSOLIDATED=Y","Sort=A","Dates=H","DateFormat=P","Fill=—","Direction=H","UseDPDF=Y")</f>
        <v>#NAME?</v>
      </c>
      <c r="AD316" s="1" t="e">
        <f ca="1">_xll.BDH($C$303,"MODIFIED_WORK_CAP_GROWTH","FQ3 2016","FQ3 2016","Currency=INR","Period=FQ","BEST_FPERIOD_OVERRIDE=FQ","FILING_STATUS=OR","EQY_CONSOLIDATED=Y","Sort=A","Dates=H","DateFormat=P","Fill=—","Direction=H","UseDPDF=Y")</f>
        <v>#NAME?</v>
      </c>
      <c r="AE316" s="1" t="e">
        <f ca="1">_xll.BDH($C$303,"WORK_CAP_GROWTH","FQ3 2016","FQ3 2016","Currency=INR","Period=FQ","BEST_FPERIOD_OVERRIDE=FQ","FILING_STATUS=OR","EQY_CONSOLIDATED=Y","Sort=A","Dates=H","DateFormat=P","Fill=—","Direction=H","UseDPDF=Y")</f>
        <v>#NAME?</v>
      </c>
      <c r="AF316" s="1" t="e">
        <f ca="1">_xll.BDH($C$303,"ACCOUNTS_PAYABLE_GROWTH_1YR","FQ3 2016","FQ3 2016","Currency=INR","Period=FQ","BEST_FPERIOD_OVERRIDE=FQ","FILING_STATUS=OR","EQY_CONSOLIDATED=Y","Sort=A","Dates=H","DateFormat=P","Fill=—","Direction=H","UseDPDF=Y")</f>
        <v>#NAME?</v>
      </c>
      <c r="AG316" s="1" t="e">
        <f ca="1">_xll.BDH($C$303,"SHORT_TERM_DEBT_1_YEAR_GROWTH","FQ3 2016","FQ3 2016","Currency=INR","Period=FQ","BEST_FPERIOD_OVERRIDE=FQ","FILING_STATUS=OR","EQY_CONSOLIDATED=Y","Sort=A","Dates=H","DateFormat=P","Fill=—","Direction=H","UseDPDF=Y")</f>
        <v>#NAME?</v>
      </c>
      <c r="AH316" s="1" t="e">
        <f ca="1">_xll.BDH($C$303,"TOTAL_DEBT_1_YEAR_GROWTH","FQ3 2016","FQ3 2016","Currency=INR","Period=FQ","BEST_FPERIOD_OVERRIDE=FQ","FILING_STATUS=OR","EQY_CONSOLIDATED=Y","Sort=A","Dates=H","DateFormat=P","Fill=—","Direction=H","UseDPDF=Y")</f>
        <v>#NAME?</v>
      </c>
      <c r="AI316" s="1" t="e">
        <f ca="1">_xll.BDH($C$303,"TOTAL_EQUITY_1_YEAR_GROWTH","FQ3 2016","FQ3 2016","Currency=INR","Period=FQ","BEST_FPERIOD_OVERRIDE=FQ","FILING_STATUS=OR","EQY_CONSOLIDATED=Y","Sort=A","Dates=H","DateFormat=P","Fill=—","Direction=H","UseDPDF=Y")</f>
        <v>#NAME?</v>
      </c>
      <c r="AJ316" s="1" t="e">
        <f ca="1">_xll.BDH($C$303,"GROWTH_IN_CAP","FQ3 2016","FQ3 2016","Currency=INR","Period=FQ","BEST_FPERIOD_OVERRIDE=FQ","FILING_STATUS=OR","EQY_CONSOLIDATED=Y","Sort=A","Dates=H","DateFormat=P","Fill=—","Direction=H","UseDPDF=Y")</f>
        <v>#NAME?</v>
      </c>
      <c r="AK316" s="1" t="e">
        <f ca="1">_xll.BDH($C$303,"BVPS_GROWTH","FQ3 2016","FQ3 2016","Currency=INR","Period=FQ","BEST_FPERIOD_OVERRIDE=FQ","FILING_STATUS=OR","EQY_CONSOLIDATED=Y","Sort=A","Dates=H","DateFormat=P","Fill=—","Direction=H","UseDPDF=Y")</f>
        <v>#NAME?</v>
      </c>
      <c r="AL316" s="1" t="e">
        <f ca="1">_xll.BDH($C$303,"CASH_FLOW_GROWTH","FQ3 2016","FQ3 2016","Currency=INR","Period=FQ","BEST_FPERIOD_OVERRIDE=FQ","FILING_STATUS=OR","EQY_CONSOLIDATED=Y","Sort=A","Dates=H","DateFormat=P","Fill=—","Direction=H","UseDPDF=Y")</f>
        <v>#NAME?</v>
      </c>
      <c r="AM316" s="1" t="e">
        <f ca="1">_xll.BDH($C$303,"GEO_GROW_NET_SALES","FQ3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16" s="1" t="e">
        <f ca="1">_xll.BDH($C$303,"GEO_GROW_EBITDA","FQ3 2016","FQ3 2016","Currency=INR","Period=FQ","BEST_FPERIOD_OVERRIDE=FQ","FILING_STATUS=OR","EQY_CONSOLIDATED=Y","FA_ADJUSTED=GAAP","Sort=A","Dates=H","DateFormat=P","Fill=—","Direction=H","UseDPDF=Y")</f>
        <v>#NAME?</v>
      </c>
      <c r="AO316" s="1" t="e">
        <f ca="1">_xll.BDH($C$303,"GEO_GROW_OPER_INC","FQ3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16" s="1" t="e">
        <f ca="1">_xll.BDH($C$303,"NET_INCOME_TO_COMMON_5_YR_GROWTH","FQ3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16" s="1" t="e">
        <f ca="1">_xll.BDH($C$303,"5Y_GEO_GROWTH_DILUTED_EPS","FQ3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16" s="1" t="e">
        <f ca="1">_xll.BDH($C$303,"GEO_GROW_DVD_PER_SH","FQ3 2016","FQ3 2016","Currency=INR","Period=FQ","BEST_FPERIOD_OVERRIDE=FQ","FILING_STATUS=OR","EQY_CONSOLIDATED=Y","Sort=A","Dates=H","DateFormat=P","Fill=—","Direction=H","UseDPDF=Y")</f>
        <v>#NAME?</v>
      </c>
      <c r="AS316" s="1" t="e">
        <f ca="1">_xll.BDH($C$303,"ACCOUNTS_RECEIVABLE_5_YR_GROWTH","FQ3 2016","FQ3 2016","Currency=INR","Period=FQ","BEST_FPERIOD_OVERRIDE=FQ","FILING_STATUS=OR","EQY_CONSOLIDATED=Y","Sort=A","Dates=H","DateFormat=P","Fill=—","Direction=H","UseDPDF=Y")</f>
        <v>#NAME?</v>
      </c>
      <c r="AT316" s="1" t="e">
        <f ca="1">_xll.BDH($C$303,"INVENTORY_5_YEAR_GROWTH","FQ3 2016","FQ3 2016","Currency=INR","Period=FQ","BEST_FPERIOD_OVERRIDE=FQ","FILING_STATUS=OR","EQY_CONSOLIDATED=Y","Sort=A","Dates=H","DateFormat=P","Fill=—","Direction=H","UseDPDF=Y")</f>
        <v>#NAME?</v>
      </c>
      <c r="AU316" s="1" t="e">
        <f ca="1">_xll.BDH($C$303,"NET_FIXED_ASSETS_5_YEAR_GROWTH","FQ3 2016","FQ3 2016","Currency=INR","Period=FQ","BEST_FPERIOD_OVERRIDE=FQ","FILING_STATUS=OR","EQY_CONSOLIDATED=Y","Sort=A","Dates=H","DateFormat=P","Fill=—","Direction=H","UseDPDF=Y")</f>
        <v>#NAME?</v>
      </c>
      <c r="AV316" s="1" t="e">
        <f ca="1">_xll.BDH($C$303,"GEO_GROW_TOT_ASSET","FQ3 2016","FQ3 2016","Currency=INR","Period=FQ","BEST_FPERIOD_OVERRIDE=FQ","FILING_STATUS=OR","EQY_CONSOLIDATED=Y","Sort=A","Dates=H","DateFormat=P","Fill=—","Direction=H","UseDPDF=Y")</f>
        <v>#NAME?</v>
      </c>
      <c r="AW316" s="1" t="e">
        <f ca="1">_xll.BDH($C$303,"MODIFIED_WORKING_CPTL_5YR_GRWTH","FQ3 2016","FQ3 2016","Currency=INR","Period=FQ","BEST_FPERIOD_OVERRIDE=FQ","FILING_STATUS=OR","EQY_CONSOLIDATED=Y","Sort=A","Dates=H","DateFormat=P","Fill=—","Direction=H","UseDPDF=Y")</f>
        <v>#NAME?</v>
      </c>
      <c r="AX316" s="1" t="e">
        <f ca="1">_xll.BDH($C$303,"WORKING_CAPITAL_5_YEAR_GROWTH","FQ3 2016","FQ3 2016","Currency=INR","Period=FQ","BEST_FPERIOD_OVERRIDE=FQ","FILING_STATUS=OR","EQY_CONSOLIDATED=Y","Sort=A","Dates=H","DateFormat=P","Fill=—","Direction=H","UseDPDF=Y")</f>
        <v>#NAME?</v>
      </c>
      <c r="AY316" s="1" t="e">
        <f ca="1">_xll.BDH($C$303,"ACCOUNTS_PAYABLE_5_YEAR_GROWTH","FQ3 2016","FQ3 2016","Currency=INR","Period=FQ","BEST_FPERIOD_OVERRIDE=FQ","FILING_STATUS=OR","EQY_CONSOLIDATED=Y","Sort=A","Dates=H","DateFormat=P","Fill=—","Direction=H","UseDPDF=Y")</f>
        <v>#NAME?</v>
      </c>
      <c r="AZ316" s="1" t="e">
        <f ca="1">_xll.BDH($C$303,"SHORT_TERM_DEBT_5_YEAR_GROWTH","FQ3 2016","FQ3 2016","Currency=INR","Period=FQ","BEST_FPERIOD_OVERRIDE=FQ","FILING_STATUS=OR","EQY_CONSOLIDATED=Y","Sort=A","Dates=H","DateFormat=P","Fill=—","Direction=H","UseDPDF=Y")</f>
        <v>#NAME?</v>
      </c>
      <c r="BA316" s="1" t="e">
        <f ca="1">_xll.BDH($C$303,"TOTAL_DEBT_5_YEAR_GROWTH","FQ3 2016","FQ3 2016","Currency=INR","Period=FQ","BEST_FPERIOD_OVERRIDE=FQ","FILING_STATUS=OR","EQY_CONSOLIDATED=Y","Sort=A","Dates=H","DateFormat=P","Fill=—","Direction=H","UseDPDF=Y")</f>
        <v>#NAME?</v>
      </c>
      <c r="BB316" s="1" t="e">
        <f ca="1">_xll.BDH($C$303,"GEO_GROW_TOT_SHRHLDR_EQY","FQ3 2016","FQ3 2016","Currency=INR","Period=FQ","BEST_FPERIOD_OVERRIDE=FQ","FILING_STATUS=OR","EQY_CONSOLIDATED=Y","Sort=A","Dates=H","DateFormat=P","Fill=—","Direction=H","UseDPDF=Y")</f>
        <v>#NAME?</v>
      </c>
      <c r="BC316" s="1" t="e">
        <f ca="1">_xll.BDH($C$303,"TOTAL_CAPITAL_5_YEAR_GROWTH","FQ3 2016","FQ3 2016","Currency=INR","Period=FQ","BEST_FPERIOD_OVERRIDE=FQ","FILING_STATUS=OR","EQY_CONSOLIDATED=Y","Sort=A","Dates=H","DateFormat=P","Fill=—","Direction=H","UseDPDF=Y")</f>
        <v>#NAME?</v>
      </c>
      <c r="BD316" s="1" t="e">
        <f ca="1">_xll.BDH($C$303,"GEO_GROW_BOOK_VAL","FQ3 2016","FQ3 2016","Currency=INR","Period=FQ","BEST_FPERIOD_OVERRIDE=FQ","FILING_STATUS=OR","EQY_CONSOLIDATED=Y","Sort=A","Dates=H","DateFormat=P","Fill=—","Direction=H","UseDPDF=Y")</f>
        <v>#NAME?</v>
      </c>
      <c r="BE316" s="1" t="e">
        <f ca="1">_xll.BDH($C$303,"GEO_GROW_CASH_OPER_ACT","FQ3 2016","FQ3 2016","Currency=INR","Period=FQ","BEST_FPERIOD_OVERRIDE=FQ","FILING_STATUS=OR","EQY_CONSOLIDATED=Y","Sort=A","Dates=H","DateFormat=P","Fill=—","Direction=H","UseDPDF=Y")</f>
        <v>#NAME?</v>
      </c>
      <c r="BF316" s="1" t="e">
        <f ca="1">_xll.BDH($C$303,"REVENUE_SEQUENTIAL_GROWTH","FQ3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16" s="1" t="e">
        <f ca="1">_xll.BDH($C$303,"EBITDA_SEQUENTIAL_GROWTH","FQ3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16" s="1" t="e">
        <f ca="1">_xll.BDH($C$303,"OPERATING_INCOME_SEQ_GROWTH","FQ3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16" s="1" t="e">
        <f ca="1">_xll.BDH($C$303,"NET_INCOME_TO_COMMON_SEQ_GROWTH","FQ3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16" s="1" t="e">
        <f ca="1">_xll.BDH($C$303,"EPS_DILUTED_SEQUENTIAL_GROWTH","FQ3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16" s="1" t="e">
        <f ca="1">_xll.BDH($C$303,"DPS_SEQUENTIAL_GROWTH","FQ3 2016","FQ3 2016","Currency=INR","Period=FQ","BEST_FPERIOD_OVERRIDE=FQ","FILING_STATUS=OR","EQY_CONSOLIDATED=Y","Sort=A","Dates=H","DateFormat=P","Fill=—","Direction=H","UseDPDF=Y")</f>
        <v>#NAME?</v>
      </c>
      <c r="BL316" s="1" t="e">
        <f ca="1">_xll.BDH($C$303,"ACCOUNTS_RECEIVABLE_SEQ_GROWTH","FQ3 2016","FQ3 2016","Currency=INR","Period=FQ","BEST_FPERIOD_OVERRIDE=FQ","FILING_STATUS=OR","EQY_CONSOLIDATED=Y","Sort=A","Dates=H","DateFormat=P","Fill=—","Direction=H","UseDPDF=Y")</f>
        <v>#NAME?</v>
      </c>
      <c r="BM316" s="1" t="e">
        <f ca="1">_xll.BDH($C$303,"INVENTORY_SEQUENTIAL_GROWTH","FQ3 2016","FQ3 2016","Currency=INR","Period=FQ","BEST_FPERIOD_OVERRIDE=FQ","FILING_STATUS=OR","EQY_CONSOLIDATED=Y","Sort=A","Dates=H","DateFormat=P","Fill=—","Direction=H","UseDPDF=Y")</f>
        <v>#NAME?</v>
      </c>
      <c r="BN316" s="1" t="e">
        <f ca="1">_xll.BDH($C$303,"FIXED_ASSETS_SEQUENTIAL_GROWTH","FQ3 2016","FQ3 2016","Currency=INR","Period=FQ","BEST_FPERIOD_OVERRIDE=FQ","FILING_STATUS=OR","EQY_CONSOLIDATED=Y","Sort=A","Dates=H","DateFormat=P","Fill=—","Direction=H","UseDPDF=Y")</f>
        <v>#NAME?</v>
      </c>
      <c r="BO316" s="1" t="e">
        <f ca="1">_xll.BDH($C$303,"TOTAL_ASSETS_SEQUENTIAL_GROWTH","FQ3 2016","FQ3 2016","Currency=INR","Period=FQ","BEST_FPERIOD_OVERRIDE=FQ","FILING_STATUS=OR","EQY_CONSOLIDATED=Y","Sort=A","Dates=H","DateFormat=P","Fill=—","Direction=H","UseDPDF=Y")</f>
        <v>#NAME?</v>
      </c>
      <c r="BP316" s="1" t="e">
        <f ca="1">_xll.BDH($C$303,"MODIFIED_WORKING_CPTL_SEQ_GRWTH","FQ3 2016","FQ3 2016","Currency=INR","Period=FQ","BEST_FPERIOD_OVERRIDE=FQ","FILING_STATUS=OR","EQY_CONSOLIDATED=Y","Sort=A","Dates=H","DateFormat=P","Fill=—","Direction=H","UseDPDF=Y")</f>
        <v>#NAME?</v>
      </c>
      <c r="BQ316" s="1" t="e">
        <f ca="1">_xll.BDH($C$303,"WORKING_CAPITAL_SEQ_GROWTH","FQ3 2016","FQ3 2016","Currency=INR","Period=FQ","BEST_FPERIOD_OVERRIDE=FQ","FILING_STATUS=OR","EQY_CONSOLIDATED=Y","Sort=A","Dates=H","DateFormat=P","Fill=—","Direction=H","UseDPDF=Y")</f>
        <v>#NAME?</v>
      </c>
      <c r="BR316" s="1" t="e">
        <f ca="1">_xll.BDH($C$303,"ACCOUNTS_PAYABLE_SEQ_GROWTH","FQ3 2016","FQ3 2016","Currency=INR","Period=FQ","BEST_FPERIOD_OVERRIDE=FQ","FILING_STATUS=OR","EQY_CONSOLIDATED=Y","Sort=A","Dates=H","DateFormat=P","Fill=—","Direction=H","UseDPDF=Y")</f>
        <v>#NAME?</v>
      </c>
      <c r="BS316" s="1" t="e">
        <f ca="1">_xll.BDH($C$303,"ST_DEBT_SEQUENTIAL_GROWTH","FQ3 2016","FQ3 2016","Currency=INR","Period=FQ","BEST_FPERIOD_OVERRIDE=FQ","FILING_STATUS=OR","EQY_CONSOLIDATED=Y","Sort=A","Dates=H","DateFormat=P","Fill=—","Direction=H","UseDPDF=Y")</f>
        <v>#NAME?</v>
      </c>
      <c r="BT316" s="1" t="e">
        <f ca="1">_xll.BDH($C$303,"TOTAL_DEBT_SEQUENTIAL_GROWTH","FQ3 2016","FQ3 2016","Currency=INR","Period=FQ","BEST_FPERIOD_OVERRIDE=FQ","FILING_STATUS=OR","EQY_CONSOLIDATED=Y","Sort=A","Dates=H","DateFormat=P","Fill=—","Direction=H","UseDPDF=Y")</f>
        <v>#NAME?</v>
      </c>
      <c r="BU316" s="1" t="e">
        <f ca="1">_xll.BDH($C$303,"TOTAL_EQUITY_SEQUENTIAL_GROWTH","FQ3 2016","FQ3 2016","Currency=INR","Period=FQ","BEST_FPERIOD_OVERRIDE=FQ","FILING_STATUS=OR","EQY_CONSOLIDATED=Y","Sort=A","Dates=H","DateFormat=P","Fill=—","Direction=H","UseDPDF=Y")</f>
        <v>#NAME?</v>
      </c>
      <c r="BV316" s="1" t="e">
        <f ca="1">_xll.BDH($C$303,"TOTAL_CAPITAL_SEQUENTIAL_GROWTH","FQ3 2016","FQ3 2016","Currency=INR","Period=FQ","BEST_FPERIOD_OVERRIDE=FQ","FILING_STATUS=OR","EQY_CONSOLIDATED=Y","Sort=A","Dates=H","DateFormat=P","Fill=—","Direction=H","UseDPDF=Y")</f>
        <v>#NAME?</v>
      </c>
      <c r="BW316" s="1" t="e">
        <f ca="1">_xll.BDH($C$303,"BPS_SEQUENTIAL_GROWTH","FQ3 2016","FQ3 2016","Currency=INR","Period=FQ","BEST_FPERIOD_OVERRIDE=FQ","FILING_STATUS=OR","EQY_CONSOLIDATED=Y","Sort=A","Dates=H","DateFormat=P","Fill=—","Direction=H","UseDPDF=Y")</f>
        <v>#NAME?</v>
      </c>
      <c r="BX316" s="1" t="e">
        <f ca="1">_xll.BDH($C$303,"CFO_SEQUENTIAL_GROWTH","FQ3 2016","FQ3 2016","Currency=INR","Period=FQ","BEST_FPERIOD_OVERRIDE=FQ","FILING_STATUS=OR","EQY_CONSOLIDATED=Y","Sort=A","Dates=H","DateFormat=P","Fill=—","Direction=H","UseDPDF=Y")</f>
        <v>#NAME?</v>
      </c>
      <c r="BY316" s="2" t="e">
        <f ca="1">_xll.BDH($C$303,"SHORT_AND_LONG_TERM_DEBT","FQ3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16" s="2" t="e">
        <f ca="1">_xll.BDH($C$303,"BS_ST_BORROW","FQ3 2016","FQ3 2016","Currency=INR","Period=FQ","BEST_FPERIOD_OVERRIDE=FQ","FILING_STATUS=OR","EQY_CONSOLIDATED=Y","SCALING_FORMAT=MLN","Sort=A","Dates=H","DateFormat=P","Fill=—","Direction=H","UseDPDF=Y")</f>
        <v>#NAME?</v>
      </c>
      <c r="CA316" s="2" t="e">
        <f ca="1">_xll.BDH($C$303,"BS_LT_BORROW","FQ3 2016","FQ3 2016","Currency=INR","Period=FQ","BEST_FPERIOD_OVERRIDE=FQ","FILING_STATUS=OR","EQY_CONSOLIDATED=Y","SCALING_FORMAT=MLN","Sort=A","Dates=H","DateFormat=P","Fill=—","Direction=H","UseDPDF=Y")</f>
        <v>#NAME?</v>
      </c>
      <c r="CB316" s="1" t="e">
        <f ca="1">_xll.BDH($C$303,"TOT_DEBT_TO_EBITDA","FQ3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16" s="1" t="e">
        <f ca="1">_xll.BDH($C$303,"NET_DEBT_TO_EBITDA","FQ3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16" s="1" t="e">
        <f ca="1">_xll.BDH($C$303,"TOTAL_DEBT_TO_EBIT","FQ3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16" s="1" t="e">
        <f ca="1">_xll.BDH($C$303,"NET_DEBT_TO_EBIT","FQ3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316" s="1" t="e">
        <f ca="1">_xll.BDH($C$303,"EBITDA_TO_INTEREST_EXPN","FQ3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16" s="1" t="e">
        <f ca="1">_xll.BDH($C$303,"COM_EQY_TO_TOT_ASSET","FQ3 2016","FQ3 2016","Currency=INR","Period=FQ","BEST_FPERIOD_OVERRIDE=FQ","FILING_STATUS=OR","EQY_CONSOLIDATED=Y","Sort=A","Dates=H","DateFormat=P","Fill=—","Direction=H","UseDPDF=Y")</f>
        <v>#NAME?</v>
      </c>
      <c r="CH316" s="1" t="e">
        <f ca="1">_xll.BDH($C$303,"LT_DEBT_TO_TOT_EQY","FQ3 2016","FQ3 2016","Currency=INR","Period=FQ","BEST_FPERIOD_OVERRIDE=FQ","FILING_STATUS=OR","EQY_CONSOLIDATED=Y","Sort=A","Dates=H","DateFormat=P","Fill=—","Direction=H","UseDPDF=Y")</f>
        <v>#NAME?</v>
      </c>
      <c r="CI316" s="1" t="e">
        <f ca="1">_xll.BDH($C$303,"LT_DEBT_TO_TOT_CAP","FQ3 2016","FQ3 2016","Currency=INR","Period=FQ","BEST_FPERIOD_OVERRIDE=FQ","FILING_STATUS=OR","EQY_CONSOLIDATED=Y","Sort=A","Dates=H","DateFormat=P","Fill=—","Direction=H","UseDPDF=Y")</f>
        <v>#NAME?</v>
      </c>
      <c r="CJ316" s="1" t="e">
        <f ca="1">_xll.BDH($C$303,"LT_DEBT_TO_TOT_ASSET","FQ3 2016","FQ3 2016","Currency=INR","Period=FQ","BEST_FPERIOD_OVERRIDE=FQ","FILING_STATUS=OR","EQY_CONSOLIDATED=Y","Sort=A","Dates=H","DateFormat=P","Fill=—","Direction=H","UseDPDF=Y")</f>
        <v>#NAME?</v>
      </c>
      <c r="CK316" s="1" t="e">
        <f ca="1">_xll.BDH($C$303,"TOT_DEBT_TO_TOT_EQY","FQ3 2016","FQ3 2016","Currency=INR","Period=FQ","BEST_FPERIOD_OVERRIDE=FQ","FILING_STATUS=OR","EQY_CONSOLIDATED=Y","Sort=A","Dates=H","DateFormat=P","Fill=—","Direction=H","UseDPDF=Y")</f>
        <v>#NAME?</v>
      </c>
      <c r="CL316" s="1" t="e">
        <f ca="1">_xll.BDH($C$303,"TOT_DEBT_TO_TOT_CAP","FQ3 2016","FQ3 2016","Currency=INR","Period=FQ","BEST_FPERIOD_OVERRIDE=FQ","FILING_STATUS=OR","EQY_CONSOLIDATED=Y","Sort=A","Dates=H","DateFormat=P","Fill=—","Direction=H","UseDPDF=Y")</f>
        <v>#NAME?</v>
      </c>
      <c r="CM316" s="1" t="e">
        <f ca="1">_xll.BDH($C$303,"TOT_DEBT_TO_TOT_ASSET","FQ3 2016","FQ3 2016","Currency=INR","Period=FQ","BEST_FPERIOD_OVERRIDE=FQ","FILING_STATUS=OR","EQY_CONSOLIDATED=Y","Sort=A","Dates=H","DateFormat=P","Fill=—","Direction=H","UseDPDF=Y")</f>
        <v>#NAME?</v>
      </c>
      <c r="CN316" s="1" t="e">
        <f ca="1">_xll.BDH($C$303,"NET_DEBT_TO_SHRHLDR_EQTY","FQ3 2016","FQ3 2016","Currency=INR","Period=FQ","BEST_FPERIOD_OVERRIDE=FQ","FILING_STATUS=OR","EQY_CONSOLIDATED=Y","Sort=A","Dates=H","DateFormat=P","Fill=—","Direction=H","UseDPDF=Y")</f>
        <v>#NAME?</v>
      </c>
      <c r="CO316" s="1" t="e">
        <f ca="1">_xll.BDH($C$303,"NET_DEBT_%_CAPITAL","FQ3 2016","FQ3 2016","Currency=INR","Period=FQ","BEST_FPERIOD_OVERRIDE=FQ","FILING_STATUS=OR","EQY_CONSOLIDATED=Y","Sort=A","Dates=H","DateFormat=P","Fill=—","Direction=H","UseDPDF=Y")</f>
        <v>#NAME?</v>
      </c>
      <c r="CP316" s="2" t="e">
        <f ca="1">_xll.BDH($C$303,"EBITDA","FQ3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16" s="2" t="e">
        <f ca="1">_xll.BDH($C$303,"EBITDA_AFTER_CAPEX","FQ3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16" s="2" t="e">
        <f ca="1">_xll.BDH($C$303,"IS_OPER_INC","FQ3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16" s="1" t="e">
        <f ca="1">_xll.BDH($C$303,"CASH_RATIO","FQ3 2016","FQ3 2016","Currency=INR","Period=FQ","BEST_FPERIOD_OVERRIDE=FQ","FILING_STATUS=OR","EQY_CONSOLIDATED=Y","Sort=A","Dates=H","DateFormat=P","Fill=—","Direction=H","UseDPDF=Y")</f>
        <v>#NAME?</v>
      </c>
      <c r="CT316" s="1" t="e">
        <f ca="1">_xll.BDH($C$303,"CUR_RATIO","FQ3 2016","FQ3 2016","Currency=INR","Period=FQ","BEST_FPERIOD_OVERRIDE=FQ","FILING_STATUS=OR","EQY_CONSOLIDATED=Y","Sort=A","Dates=H","DateFormat=P","Fill=—","Direction=H","UseDPDF=Y")</f>
        <v>#NAME?</v>
      </c>
      <c r="CU316" s="1" t="e">
        <f ca="1">_xll.BDH($C$303,"QUICK_RATIO","FQ3 2016","FQ3 2016","Currency=INR","Period=FQ","BEST_FPERIOD_OVERRIDE=FQ","FILING_STATUS=OR","EQY_CONSOLIDATED=Y","Sort=A","Dates=H","DateFormat=P","Fill=—","Direction=H","UseDPDF=Y")</f>
        <v>#NAME?</v>
      </c>
      <c r="CV316" s="1" t="e">
        <f ca="1">_xll.BDH($C$303,"ALTMAN_Z_SCORE","FQ3 2016","FQ3 2016","Currency=INR","Period=FQ","BEST_FPERIOD_OVERRIDE=FQ","FILING_STATUS=OR","EQY_CONSOLIDATED=Y","Sort=A","Dates=H","DateFormat=P","Fill=—","Direction=H","UseDPDF=Y")</f>
        <v>#NAME?</v>
      </c>
      <c r="CW316" s="3" t="e">
        <f ca="1">_xll.BDH($C$303,"ACCT_RCV_TURN","FQ3 2016","FQ3 2016","Currency=INR","Period=FQ","BEST_FPERIOD_OVERRIDE=FQ","FILING_STATUS=OR","EQY_CONSOLIDATED=Y","FA_ADJUSTED=GAAP","Sort=A","Dates=H","DateFormat=P","Fill=—","Direction=H","UseDPDF=Y")</f>
        <v>#NAME?</v>
      </c>
      <c r="CX316" s="1" t="e">
        <f ca="1">_xll.BDH($C$303,"ACCT_RCV_DAYS","FQ3 2016","FQ3 2016","Currency=INR","Period=FQ","BEST_FPERIOD_OVERRIDE=FQ","FILING_STATUS=OR","EQY_CONSOLIDATED=Y","FA_ADJUSTED=GAAP","Sort=A","Dates=H","DateFormat=P","Fill=—","Direction=H","UseDPDF=Y")</f>
        <v>#NAME?</v>
      </c>
      <c r="CY316" s="3" t="e">
        <f ca="1">_xll.BDH($C$303,"INVENT_TURN","FQ3 2016","FQ3 2016","Currency=INR","Period=FQ","BEST_FPERIOD_OVERRIDE=FQ","FILING_STATUS=OR","EQY_CONSOLIDATED=Y","FA_ADJUSTED=GAAP","Sort=A","Dates=H","DateFormat=P","Fill=—","Direction=H","UseDPDF=Y")</f>
        <v>#NAME?</v>
      </c>
      <c r="CZ316" s="1" t="e">
        <f ca="1">_xll.BDH($C$303,"INVENT_DAYS","FQ3 2016","FQ3 2016","Currency=INR","Period=FQ","BEST_FPERIOD_OVERRIDE=FQ","FILING_STATUS=OR","EQY_CONSOLIDATED=Y","FA_ADJUSTED=GAAP","Sort=A","Dates=H","DateFormat=P","Fill=—","Direction=H","UseDPDF=Y")</f>
        <v>#NAME?</v>
      </c>
      <c r="DA316" s="3" t="e">
        <f ca="1">_xll.BDH($C$303,"ACCOUNTS_PAYABLE_TURNOVER","FQ3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16" s="1" t="e">
        <f ca="1">_xll.BDH($C$303,"ACCOUNTS_PAYABLE_TURNOVER_DAYS","FQ3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16" s="3" t="e">
        <f ca="1">_xll.BDH($C$303,"CASH_CONVERSION_CYCLE","FQ3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16" s="3" t="e">
        <f ca="1">_xll.BDH($C$303,"INV_TO_CASH_DAYS","FQ3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316" s="4" t="e">
        <f ca="1">_xll.BDH($C$303,"BS_INVENTORIES","FQ3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316" s="2" t="e">
        <f ca="1">_xll.BDH($C$303,"INVTRY_RAW_MATERIALS","FQ3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16" s="2" t="e">
        <f ca="1">_xll.BDH($C$303,"INVTRY_IN_PROGRESS","FQ3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16" s="2" t="e">
        <f ca="1">_xll.BDH($C$303,"INVTRY_FINISHED_GOODS","FQ3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16" s="2" t="e">
        <f ca="1">_xll.BDH($C$303,"BS_OTHER_INV","FQ3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17" spans="1:113" x14ac:dyDescent="0.3">
      <c r="A317" s="6"/>
      <c r="B317" s="6"/>
      <c r="C317" s="6"/>
      <c r="D317" s="6"/>
      <c r="E317" t="s">
        <v>7</v>
      </c>
      <c r="F317" t="e">
        <f ca="1">_xll.BDH($C$303,"RETURN_COM_EQY","FQ4 2016","FQ4 2016","Currency=INR","Period=FQ","BEST_FPERIOD_OVERRIDE=FQ","FILING_STATUS=OR","EQY_CONSOLIDATED=Y","FA_ADJUSTED=GAAP","Sort=A","Dates=H","DateFormat=P","Fill=—","Direction=H","UseDPDF=Y")</f>
        <v>#NAME?</v>
      </c>
      <c r="G317" t="e">
        <f ca="1">_xll.BDH($C$303,"RETURN_ON_ASSET","FQ4 2016","FQ4 2016","Currency=INR","Period=FQ","BEST_FPERIOD_OVERRIDE=FQ","FILING_STATUS=OR","EQY_CONSOLIDATED=Y","FA_ADJUSTED=GAAP","Sort=A","Dates=H","DateFormat=P","Fill=—","Direction=H","UseDPDF=Y")</f>
        <v>#NAME?</v>
      </c>
      <c r="H317" t="e">
        <f ca="1">_xll.BDH($C$303,"RETURN_ON_CAP","FQ4 2016","FQ4 2016","Currency=INR","Period=FQ","BEST_FPERIOD_OVERRIDE=FQ","FILING_STATUS=OR","EQY_CONSOLIDATED=Y","FA_ADJUSTED=GAAP","Sort=A","Dates=H","DateFormat=P","Fill=—","Direction=H","UseDPDF=Y")</f>
        <v>#NAME?</v>
      </c>
      <c r="I317" t="e">
        <f ca="1">_xll.BDH($C$303,"RETURN_ON_INV_CAPITAL","FQ4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17" t="e">
        <f ca="1">_xll.BDH($C$303,"EBITDA_TO_REVENUE","FQ4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317" t="e">
        <f ca="1">_xll.BDH($C$303,"OPER_MARGIN","FQ4 2016","FQ4 2016","Currency=INR","Period=FQ","BEST_FPERIOD_OVERRIDE=FQ","FILING_STATUS=OR","EQY_CONSOLIDATED=Y","FA_ADJUSTED=GAAP","Sort=A","Dates=H","DateFormat=P","Fill=—","Direction=H","UseDPDF=Y")</f>
        <v>#NAME?</v>
      </c>
      <c r="L317" t="e">
        <f ca="1">_xll.BDH($C$303,"INCREMENTAL_OPERATING_MARGIN","FQ4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17" t="e">
        <f ca="1">_xll.BDH($C$303,"PRETAX_INC_TO_NET_SALES","FQ4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17" t="e">
        <f ca="1">_xll.BDH($C$303,"INC_BEF_XO_ITEMS_TO_NET_SALES","FQ4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17" t="e">
        <f ca="1">_xll.BDH($C$303,"PROF_MARGIN","FQ4 2016","FQ4 2016","Currency=INR","Period=FQ","BEST_FPERIOD_OVERRIDE=FQ","FILING_STATUS=OR","EQY_CONSOLIDATED=Y","FA_ADJUSTED=GAAP","Sort=A","Dates=H","DateFormat=P","Fill=—","Direction=H","UseDPDF=Y")</f>
        <v>#NAME?</v>
      </c>
      <c r="P317" t="e">
        <f ca="1">_xll.BDH($C$303,"NET_INCOME_TO_COMMON_MARGIN","FQ4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17" t="e">
        <f ca="1">_xll.BDH($C$303,"EFF_TAX_RATE","FQ4 2016","FQ4 2016","Currency=INR","Period=FQ","BEST_FPERIOD_OVERRIDE=FQ","FILING_STATUS=OR","EQY_CONSOLIDATED=Y","FA_ADJUSTED=GAAP","Sort=A","Dates=H","DateFormat=P","Fill=—","Direction=H","UseDPDF=Y")</f>
        <v>#NAME?</v>
      </c>
      <c r="R317" t="e">
        <f ca="1">_xll.BDH($C$303,"DVD_PAYOUT_RATIO","FQ4 2016","FQ4 2016","Currency=INR","Period=FQ","BEST_FPERIOD_OVERRIDE=FQ","FILING_STATUS=OR","EQY_CONSOLIDATED=Y","FA_ADJUSTED=GAAP","Sort=A","Dates=H","DateFormat=P","Fill=—","Direction=H","UseDPDF=Y")</f>
        <v>#NAME?</v>
      </c>
      <c r="S317" t="e">
        <f ca="1">_xll.BDH($C$303,"SUSTAIN_GROWTH_RT","FQ4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317" s="1" t="e">
        <f ca="1">_xll.BDH($C$303,"SALES_GROWTH","FQ4 2016","FQ4 2016","Currency=INR","Period=FQ","BEST_FPERIOD_OVERRIDE=FQ","FILING_STATUS=OR","EQY_CONSOLIDATED=Y","FA_ADJUSTED=GAAP","Sort=A","Dates=H","DateFormat=P","Fill=—","Direction=H","UseDPDF=Y")</f>
        <v>#NAME?</v>
      </c>
      <c r="U317" s="1" t="e">
        <f ca="1">_xll.BDH($C$303,"EBITDA_GROWTH","FQ4 2016","FQ4 2016","Currency=INR","Period=FQ","BEST_FPERIOD_OVERRIDE=FQ","FILING_STATUS=OR","EQY_CONSOLIDATED=Y","FA_ADJUSTED=GAAP","Sort=A","Dates=H","DateFormat=P","Fill=—","Direction=H","UseDPDF=Y")</f>
        <v>#NAME?</v>
      </c>
      <c r="V317" s="1" t="e">
        <f ca="1">_xll.BDH($C$303,"OPER_INC_GROWTH","FQ4 2016","FQ4 2016","Currency=INR","Period=FQ","BEST_FPERIOD_OVERRIDE=FQ","FILING_STATUS=OR","EQY_CONSOLIDATED=Y","FA_ADJUSTED=GAAP","Sort=A","Dates=H","DateFormat=P","Fill=—","Direction=H","UseDPDF=Y")</f>
        <v>#NAME?</v>
      </c>
      <c r="W317" s="1" t="e">
        <f ca="1">_xll.BDH($C$303,"EARN_FOR_COM_GROWTH","FQ4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17" s="1" t="e">
        <f ca="1">_xll.BDH($C$303,"DILUTED_EPS_AFT_XO_ITEMS_GROWTH","FQ4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17" s="1" t="e">
        <f ca="1">_xll.BDH($C$303,"DIVIDEND_PER_SHARE_1_YEAR_GROWTH","FQ4 2016","FQ4 2016","Currency=INR","Period=FQ","BEST_FPERIOD_OVERRIDE=FQ","FILING_STATUS=OR","EQY_CONSOLIDATED=Y","Sort=A","Dates=H","DateFormat=P","Fill=—","Direction=H","UseDPDF=Y")</f>
        <v>#NAME?</v>
      </c>
      <c r="Z317" s="1" t="e">
        <f ca="1">_xll.BDH($C$303,"ACCOUNTS_RECEIVABLE_GROWTH","FQ4 2016","FQ4 2016","Currency=INR","Period=FQ","BEST_FPERIOD_OVERRIDE=FQ","FILING_STATUS=OR","EQY_CONSOLIDATED=Y","Sort=A","Dates=H","DateFormat=P","Fill=—","Direction=H","UseDPDF=Y")</f>
        <v>#NAME?</v>
      </c>
      <c r="AA317" s="1" t="e">
        <f ca="1">_xll.BDH($C$303,"INVENTORY_GROWTH","FQ4 2016","FQ4 2016","Currency=INR","Period=FQ","BEST_FPERIOD_OVERRIDE=FQ","FILING_STATUS=OR","EQY_CONSOLIDATED=Y","Sort=A","Dates=H","DateFormat=P","Fill=—","Direction=H","UseDPDF=Y")</f>
        <v>#NAME?</v>
      </c>
      <c r="AB317" s="1" t="e">
        <f ca="1">_xll.BDH($C$303,"NET_FIXED_ASSETS_1_YEAR_GROWTH","FQ4 2016","FQ4 2016","Currency=INR","Period=FQ","BEST_FPERIOD_OVERRIDE=FQ","FILING_STATUS=OR","EQY_CONSOLIDATED=Y","Sort=A","Dates=H","DateFormat=P","Fill=—","Direction=H","UseDPDF=Y")</f>
        <v>#NAME?</v>
      </c>
      <c r="AC317" s="1" t="e">
        <f ca="1">_xll.BDH($C$303,"ASSET_GROWTH","FQ4 2016","FQ4 2016","Currency=INR","Period=FQ","BEST_FPERIOD_OVERRIDE=FQ","FILING_STATUS=OR","EQY_CONSOLIDATED=Y","Sort=A","Dates=H","DateFormat=P","Fill=—","Direction=H","UseDPDF=Y")</f>
        <v>#NAME?</v>
      </c>
      <c r="AD317" s="1" t="e">
        <f ca="1">_xll.BDH($C$303,"MODIFIED_WORK_CAP_GROWTH","FQ4 2016","FQ4 2016","Currency=INR","Period=FQ","BEST_FPERIOD_OVERRIDE=FQ","FILING_STATUS=OR","EQY_CONSOLIDATED=Y","Sort=A","Dates=H","DateFormat=P","Fill=—","Direction=H","UseDPDF=Y")</f>
        <v>#NAME?</v>
      </c>
      <c r="AE317" s="1" t="e">
        <f ca="1">_xll.BDH($C$303,"WORK_CAP_GROWTH","FQ4 2016","FQ4 2016","Currency=INR","Period=FQ","BEST_FPERIOD_OVERRIDE=FQ","FILING_STATUS=OR","EQY_CONSOLIDATED=Y","Sort=A","Dates=H","DateFormat=P","Fill=—","Direction=H","UseDPDF=Y")</f>
        <v>#NAME?</v>
      </c>
      <c r="AF317" s="1" t="e">
        <f ca="1">_xll.BDH($C$303,"ACCOUNTS_PAYABLE_GROWTH_1YR","FQ4 2016","FQ4 2016","Currency=INR","Period=FQ","BEST_FPERIOD_OVERRIDE=FQ","FILING_STATUS=OR","EQY_CONSOLIDATED=Y","Sort=A","Dates=H","DateFormat=P","Fill=—","Direction=H","UseDPDF=Y")</f>
        <v>#NAME?</v>
      </c>
      <c r="AG317" s="1" t="e">
        <f ca="1">_xll.BDH($C$303,"SHORT_TERM_DEBT_1_YEAR_GROWTH","FQ4 2016","FQ4 2016","Currency=INR","Period=FQ","BEST_FPERIOD_OVERRIDE=FQ","FILING_STATUS=OR","EQY_CONSOLIDATED=Y","Sort=A","Dates=H","DateFormat=P","Fill=—","Direction=H","UseDPDF=Y")</f>
        <v>#NAME?</v>
      </c>
      <c r="AH317" s="1" t="e">
        <f ca="1">_xll.BDH($C$303,"TOTAL_DEBT_1_YEAR_GROWTH","FQ4 2016","FQ4 2016","Currency=INR","Period=FQ","BEST_FPERIOD_OVERRIDE=FQ","FILING_STATUS=OR","EQY_CONSOLIDATED=Y","Sort=A","Dates=H","DateFormat=P","Fill=—","Direction=H","UseDPDF=Y")</f>
        <v>#NAME?</v>
      </c>
      <c r="AI317" s="1" t="e">
        <f ca="1">_xll.BDH($C$303,"TOTAL_EQUITY_1_YEAR_GROWTH","FQ4 2016","FQ4 2016","Currency=INR","Period=FQ","BEST_FPERIOD_OVERRIDE=FQ","FILING_STATUS=OR","EQY_CONSOLIDATED=Y","Sort=A","Dates=H","DateFormat=P","Fill=—","Direction=H","UseDPDF=Y")</f>
        <v>#NAME?</v>
      </c>
      <c r="AJ317" s="1" t="e">
        <f ca="1">_xll.BDH($C$303,"GROWTH_IN_CAP","FQ4 2016","FQ4 2016","Currency=INR","Period=FQ","BEST_FPERIOD_OVERRIDE=FQ","FILING_STATUS=OR","EQY_CONSOLIDATED=Y","Sort=A","Dates=H","DateFormat=P","Fill=—","Direction=H","UseDPDF=Y")</f>
        <v>#NAME?</v>
      </c>
      <c r="AK317" s="1" t="e">
        <f ca="1">_xll.BDH($C$303,"BVPS_GROWTH","FQ4 2016","FQ4 2016","Currency=INR","Period=FQ","BEST_FPERIOD_OVERRIDE=FQ","FILING_STATUS=OR","EQY_CONSOLIDATED=Y","Sort=A","Dates=H","DateFormat=P","Fill=—","Direction=H","UseDPDF=Y")</f>
        <v>#NAME?</v>
      </c>
      <c r="AL317" s="1" t="e">
        <f ca="1">_xll.BDH($C$303,"CASH_FLOW_GROWTH","FQ4 2016","FQ4 2016","Currency=INR","Period=FQ","BEST_FPERIOD_OVERRIDE=FQ","FILING_STATUS=OR","EQY_CONSOLIDATED=Y","Sort=A","Dates=H","DateFormat=P","Fill=—","Direction=H","UseDPDF=Y")</f>
        <v>#NAME?</v>
      </c>
      <c r="AM317" s="1" t="e">
        <f ca="1">_xll.BDH($C$303,"GEO_GROW_NET_SALES","FQ4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17" s="1" t="e">
        <f ca="1">_xll.BDH($C$303,"GEO_GROW_EBITDA","FQ4 2016","FQ4 2016","Currency=INR","Period=FQ","BEST_FPERIOD_OVERRIDE=FQ","FILING_STATUS=OR","EQY_CONSOLIDATED=Y","FA_ADJUSTED=GAAP","Sort=A","Dates=H","DateFormat=P","Fill=—","Direction=H","UseDPDF=Y")</f>
        <v>#NAME?</v>
      </c>
      <c r="AO317" s="1" t="e">
        <f ca="1">_xll.BDH($C$303,"GEO_GROW_OPER_INC","FQ4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17" s="1" t="e">
        <f ca="1">_xll.BDH($C$303,"NET_INCOME_TO_COMMON_5_YR_GROWTH","FQ4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17" s="1" t="e">
        <f ca="1">_xll.BDH($C$303,"5Y_GEO_GROWTH_DILUTED_EPS","FQ4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17" s="1" t="e">
        <f ca="1">_xll.BDH($C$303,"GEO_GROW_DVD_PER_SH","FQ4 2016","FQ4 2016","Currency=INR","Period=FQ","BEST_FPERIOD_OVERRIDE=FQ","FILING_STATUS=OR","EQY_CONSOLIDATED=Y","Sort=A","Dates=H","DateFormat=P","Fill=—","Direction=H","UseDPDF=Y")</f>
        <v>#NAME?</v>
      </c>
      <c r="AS317" s="1" t="e">
        <f ca="1">_xll.BDH($C$303,"ACCOUNTS_RECEIVABLE_5_YR_GROWTH","FQ4 2016","FQ4 2016","Currency=INR","Period=FQ","BEST_FPERIOD_OVERRIDE=FQ","FILING_STATUS=OR","EQY_CONSOLIDATED=Y","Sort=A","Dates=H","DateFormat=P","Fill=—","Direction=H","UseDPDF=Y")</f>
        <v>#NAME?</v>
      </c>
      <c r="AT317" s="1" t="e">
        <f ca="1">_xll.BDH($C$303,"INVENTORY_5_YEAR_GROWTH","FQ4 2016","FQ4 2016","Currency=INR","Period=FQ","BEST_FPERIOD_OVERRIDE=FQ","FILING_STATUS=OR","EQY_CONSOLIDATED=Y","Sort=A","Dates=H","DateFormat=P","Fill=—","Direction=H","UseDPDF=Y")</f>
        <v>#NAME?</v>
      </c>
      <c r="AU317" s="1" t="e">
        <f ca="1">_xll.BDH($C$303,"NET_FIXED_ASSETS_5_YEAR_GROWTH","FQ4 2016","FQ4 2016","Currency=INR","Period=FQ","BEST_FPERIOD_OVERRIDE=FQ","FILING_STATUS=OR","EQY_CONSOLIDATED=Y","Sort=A","Dates=H","DateFormat=P","Fill=—","Direction=H","UseDPDF=Y")</f>
        <v>#NAME?</v>
      </c>
      <c r="AV317" s="1" t="e">
        <f ca="1">_xll.BDH($C$303,"GEO_GROW_TOT_ASSET","FQ4 2016","FQ4 2016","Currency=INR","Period=FQ","BEST_FPERIOD_OVERRIDE=FQ","FILING_STATUS=OR","EQY_CONSOLIDATED=Y","Sort=A","Dates=H","DateFormat=P","Fill=—","Direction=H","UseDPDF=Y")</f>
        <v>#NAME?</v>
      </c>
      <c r="AW317" s="1" t="e">
        <f ca="1">_xll.BDH($C$303,"MODIFIED_WORKING_CPTL_5YR_GRWTH","FQ4 2016","FQ4 2016","Currency=INR","Period=FQ","BEST_FPERIOD_OVERRIDE=FQ","FILING_STATUS=OR","EQY_CONSOLIDATED=Y","Sort=A","Dates=H","DateFormat=P","Fill=—","Direction=H","UseDPDF=Y")</f>
        <v>#NAME?</v>
      </c>
      <c r="AX317" s="1" t="e">
        <f ca="1">_xll.BDH($C$303,"WORKING_CAPITAL_5_YEAR_GROWTH","FQ4 2016","FQ4 2016","Currency=INR","Period=FQ","BEST_FPERIOD_OVERRIDE=FQ","FILING_STATUS=OR","EQY_CONSOLIDATED=Y","Sort=A","Dates=H","DateFormat=P","Fill=—","Direction=H","UseDPDF=Y")</f>
        <v>#NAME?</v>
      </c>
      <c r="AY317" s="1" t="e">
        <f ca="1">_xll.BDH($C$303,"ACCOUNTS_PAYABLE_5_YEAR_GROWTH","FQ4 2016","FQ4 2016","Currency=INR","Period=FQ","BEST_FPERIOD_OVERRIDE=FQ","FILING_STATUS=OR","EQY_CONSOLIDATED=Y","Sort=A","Dates=H","DateFormat=P","Fill=—","Direction=H","UseDPDF=Y")</f>
        <v>#NAME?</v>
      </c>
      <c r="AZ317" s="1" t="e">
        <f ca="1">_xll.BDH($C$303,"SHORT_TERM_DEBT_5_YEAR_GROWTH","FQ4 2016","FQ4 2016","Currency=INR","Period=FQ","BEST_FPERIOD_OVERRIDE=FQ","FILING_STATUS=OR","EQY_CONSOLIDATED=Y","Sort=A","Dates=H","DateFormat=P","Fill=—","Direction=H","UseDPDF=Y")</f>
        <v>#NAME?</v>
      </c>
      <c r="BA317" s="1" t="e">
        <f ca="1">_xll.BDH($C$303,"TOTAL_DEBT_5_YEAR_GROWTH","FQ4 2016","FQ4 2016","Currency=INR","Period=FQ","BEST_FPERIOD_OVERRIDE=FQ","FILING_STATUS=OR","EQY_CONSOLIDATED=Y","Sort=A","Dates=H","DateFormat=P","Fill=—","Direction=H","UseDPDF=Y")</f>
        <v>#NAME?</v>
      </c>
      <c r="BB317" s="1" t="e">
        <f ca="1">_xll.BDH($C$303,"GEO_GROW_TOT_SHRHLDR_EQY","FQ4 2016","FQ4 2016","Currency=INR","Period=FQ","BEST_FPERIOD_OVERRIDE=FQ","FILING_STATUS=OR","EQY_CONSOLIDATED=Y","Sort=A","Dates=H","DateFormat=P","Fill=—","Direction=H","UseDPDF=Y")</f>
        <v>#NAME?</v>
      </c>
      <c r="BC317" s="1" t="e">
        <f ca="1">_xll.BDH($C$303,"TOTAL_CAPITAL_5_YEAR_GROWTH","FQ4 2016","FQ4 2016","Currency=INR","Period=FQ","BEST_FPERIOD_OVERRIDE=FQ","FILING_STATUS=OR","EQY_CONSOLIDATED=Y","Sort=A","Dates=H","DateFormat=P","Fill=—","Direction=H","UseDPDF=Y")</f>
        <v>#NAME?</v>
      </c>
      <c r="BD317" s="1" t="e">
        <f ca="1">_xll.BDH($C$303,"GEO_GROW_BOOK_VAL","FQ4 2016","FQ4 2016","Currency=INR","Period=FQ","BEST_FPERIOD_OVERRIDE=FQ","FILING_STATUS=OR","EQY_CONSOLIDATED=Y","Sort=A","Dates=H","DateFormat=P","Fill=—","Direction=H","UseDPDF=Y")</f>
        <v>#NAME?</v>
      </c>
      <c r="BE317" s="1" t="e">
        <f ca="1">_xll.BDH($C$303,"GEO_GROW_CASH_OPER_ACT","FQ4 2016","FQ4 2016","Currency=INR","Period=FQ","BEST_FPERIOD_OVERRIDE=FQ","FILING_STATUS=OR","EQY_CONSOLIDATED=Y","Sort=A","Dates=H","DateFormat=P","Fill=—","Direction=H","UseDPDF=Y")</f>
        <v>#NAME?</v>
      </c>
      <c r="BF317" s="1" t="e">
        <f ca="1">_xll.BDH($C$303,"REVENUE_SEQUENTIAL_GROWTH","FQ4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17" s="1" t="e">
        <f ca="1">_xll.BDH($C$303,"EBITDA_SEQUENTIAL_GROWTH","FQ4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17" s="1" t="e">
        <f ca="1">_xll.BDH($C$303,"OPERATING_INCOME_SEQ_GROWTH","FQ4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17" s="1" t="e">
        <f ca="1">_xll.BDH($C$303,"NET_INCOME_TO_COMMON_SEQ_GROWTH","FQ4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17" s="1" t="e">
        <f ca="1">_xll.BDH($C$303,"EPS_DILUTED_SEQUENTIAL_GROWTH","FQ4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17" s="1" t="e">
        <f ca="1">_xll.BDH($C$303,"DPS_SEQUENTIAL_GROWTH","FQ4 2016","FQ4 2016","Currency=INR","Period=FQ","BEST_FPERIOD_OVERRIDE=FQ","FILING_STATUS=OR","EQY_CONSOLIDATED=Y","Sort=A","Dates=H","DateFormat=P","Fill=—","Direction=H","UseDPDF=Y")</f>
        <v>#NAME?</v>
      </c>
      <c r="BL317" s="1" t="e">
        <f ca="1">_xll.BDH($C$303,"ACCOUNTS_RECEIVABLE_SEQ_GROWTH","FQ4 2016","FQ4 2016","Currency=INR","Period=FQ","BEST_FPERIOD_OVERRIDE=FQ","FILING_STATUS=OR","EQY_CONSOLIDATED=Y","Sort=A","Dates=H","DateFormat=P","Fill=—","Direction=H","UseDPDF=Y")</f>
        <v>#NAME?</v>
      </c>
      <c r="BM317" s="1" t="e">
        <f ca="1">_xll.BDH($C$303,"INVENTORY_SEQUENTIAL_GROWTH","FQ4 2016","FQ4 2016","Currency=INR","Period=FQ","BEST_FPERIOD_OVERRIDE=FQ","FILING_STATUS=OR","EQY_CONSOLIDATED=Y","Sort=A","Dates=H","DateFormat=P","Fill=—","Direction=H","UseDPDF=Y")</f>
        <v>#NAME?</v>
      </c>
      <c r="BN317" s="1" t="e">
        <f ca="1">_xll.BDH($C$303,"FIXED_ASSETS_SEQUENTIAL_GROWTH","FQ4 2016","FQ4 2016","Currency=INR","Period=FQ","BEST_FPERIOD_OVERRIDE=FQ","FILING_STATUS=OR","EQY_CONSOLIDATED=Y","Sort=A","Dates=H","DateFormat=P","Fill=—","Direction=H","UseDPDF=Y")</f>
        <v>#NAME?</v>
      </c>
      <c r="BO317" s="1" t="e">
        <f ca="1">_xll.BDH($C$303,"TOTAL_ASSETS_SEQUENTIAL_GROWTH","FQ4 2016","FQ4 2016","Currency=INR","Period=FQ","BEST_FPERIOD_OVERRIDE=FQ","FILING_STATUS=OR","EQY_CONSOLIDATED=Y","Sort=A","Dates=H","DateFormat=P","Fill=—","Direction=H","UseDPDF=Y")</f>
        <v>#NAME?</v>
      </c>
      <c r="BP317" s="1" t="e">
        <f ca="1">_xll.BDH($C$303,"MODIFIED_WORKING_CPTL_SEQ_GRWTH","FQ4 2016","FQ4 2016","Currency=INR","Period=FQ","BEST_FPERIOD_OVERRIDE=FQ","FILING_STATUS=OR","EQY_CONSOLIDATED=Y","Sort=A","Dates=H","DateFormat=P","Fill=—","Direction=H","UseDPDF=Y")</f>
        <v>#NAME?</v>
      </c>
      <c r="BQ317" s="1" t="e">
        <f ca="1">_xll.BDH($C$303,"WORKING_CAPITAL_SEQ_GROWTH","FQ4 2016","FQ4 2016","Currency=INR","Period=FQ","BEST_FPERIOD_OVERRIDE=FQ","FILING_STATUS=OR","EQY_CONSOLIDATED=Y","Sort=A","Dates=H","DateFormat=P","Fill=—","Direction=H","UseDPDF=Y")</f>
        <v>#NAME?</v>
      </c>
      <c r="BR317" s="1" t="e">
        <f ca="1">_xll.BDH($C$303,"ACCOUNTS_PAYABLE_SEQ_GROWTH","FQ4 2016","FQ4 2016","Currency=INR","Period=FQ","BEST_FPERIOD_OVERRIDE=FQ","FILING_STATUS=OR","EQY_CONSOLIDATED=Y","Sort=A","Dates=H","DateFormat=P","Fill=—","Direction=H","UseDPDF=Y")</f>
        <v>#NAME?</v>
      </c>
      <c r="BS317" s="1" t="e">
        <f ca="1">_xll.BDH($C$303,"ST_DEBT_SEQUENTIAL_GROWTH","FQ4 2016","FQ4 2016","Currency=INR","Period=FQ","BEST_FPERIOD_OVERRIDE=FQ","FILING_STATUS=OR","EQY_CONSOLIDATED=Y","Sort=A","Dates=H","DateFormat=P","Fill=—","Direction=H","UseDPDF=Y")</f>
        <v>#NAME?</v>
      </c>
      <c r="BT317" s="1" t="e">
        <f ca="1">_xll.BDH($C$303,"TOTAL_DEBT_SEQUENTIAL_GROWTH","FQ4 2016","FQ4 2016","Currency=INR","Period=FQ","BEST_FPERIOD_OVERRIDE=FQ","FILING_STATUS=OR","EQY_CONSOLIDATED=Y","Sort=A","Dates=H","DateFormat=P","Fill=—","Direction=H","UseDPDF=Y")</f>
        <v>#NAME?</v>
      </c>
      <c r="BU317" s="1" t="e">
        <f ca="1">_xll.BDH($C$303,"TOTAL_EQUITY_SEQUENTIAL_GROWTH","FQ4 2016","FQ4 2016","Currency=INR","Period=FQ","BEST_FPERIOD_OVERRIDE=FQ","FILING_STATUS=OR","EQY_CONSOLIDATED=Y","Sort=A","Dates=H","DateFormat=P","Fill=—","Direction=H","UseDPDF=Y")</f>
        <v>#NAME?</v>
      </c>
      <c r="BV317" s="1" t="e">
        <f ca="1">_xll.BDH($C$303,"TOTAL_CAPITAL_SEQUENTIAL_GROWTH","FQ4 2016","FQ4 2016","Currency=INR","Period=FQ","BEST_FPERIOD_OVERRIDE=FQ","FILING_STATUS=OR","EQY_CONSOLIDATED=Y","Sort=A","Dates=H","DateFormat=P","Fill=—","Direction=H","UseDPDF=Y")</f>
        <v>#NAME?</v>
      </c>
      <c r="BW317" s="1" t="e">
        <f ca="1">_xll.BDH($C$303,"BPS_SEQUENTIAL_GROWTH","FQ4 2016","FQ4 2016","Currency=INR","Period=FQ","BEST_FPERIOD_OVERRIDE=FQ","FILING_STATUS=OR","EQY_CONSOLIDATED=Y","Sort=A","Dates=H","DateFormat=P","Fill=—","Direction=H","UseDPDF=Y")</f>
        <v>#NAME?</v>
      </c>
      <c r="BX317" s="1" t="e">
        <f ca="1">_xll.BDH($C$303,"CFO_SEQUENTIAL_GROWTH","FQ4 2016","FQ4 2016","Currency=INR","Period=FQ","BEST_FPERIOD_OVERRIDE=FQ","FILING_STATUS=OR","EQY_CONSOLIDATED=Y","Sort=A","Dates=H","DateFormat=P","Fill=—","Direction=H","UseDPDF=Y")</f>
        <v>#NAME?</v>
      </c>
      <c r="BY317" s="2" t="e">
        <f ca="1">_xll.BDH($C$303,"SHORT_AND_LONG_TERM_DEBT","FQ4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17" s="2" t="e">
        <f ca="1">_xll.BDH($C$303,"BS_ST_BORROW","FQ4 2016","FQ4 2016","Currency=INR","Period=FQ","BEST_FPERIOD_OVERRIDE=FQ","FILING_STATUS=OR","EQY_CONSOLIDATED=Y","SCALING_FORMAT=MLN","Sort=A","Dates=H","DateFormat=P","Fill=—","Direction=H","UseDPDF=Y")</f>
        <v>#NAME?</v>
      </c>
      <c r="CA317" s="2" t="e">
        <f ca="1">_xll.BDH($C$303,"BS_LT_BORROW","FQ4 2016","FQ4 2016","Currency=INR","Period=FQ","BEST_FPERIOD_OVERRIDE=FQ","FILING_STATUS=OR","EQY_CONSOLIDATED=Y","SCALING_FORMAT=MLN","Sort=A","Dates=H","DateFormat=P","Fill=—","Direction=H","UseDPDF=Y")</f>
        <v>#NAME?</v>
      </c>
      <c r="CB317" s="1" t="e">
        <f ca="1">_xll.BDH($C$303,"TOT_DEBT_TO_EBITDA","FQ4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17" s="1" t="e">
        <f ca="1">_xll.BDH($C$303,"NET_DEBT_TO_EBITDA","FQ4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17" s="1" t="e">
        <f ca="1">_xll.BDH($C$303,"TOTAL_DEBT_TO_EBIT","FQ4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17" s="1" t="e">
        <f ca="1">_xll.BDH($C$303,"NET_DEBT_TO_EBIT","FQ4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317" s="1" t="e">
        <f ca="1">_xll.BDH($C$303,"EBITDA_TO_INTEREST_EXPN","FQ4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17" s="1" t="e">
        <f ca="1">_xll.BDH($C$303,"COM_EQY_TO_TOT_ASSET","FQ4 2016","FQ4 2016","Currency=INR","Period=FQ","BEST_FPERIOD_OVERRIDE=FQ","FILING_STATUS=OR","EQY_CONSOLIDATED=Y","Sort=A","Dates=H","DateFormat=P","Fill=—","Direction=H","UseDPDF=Y")</f>
        <v>#NAME?</v>
      </c>
      <c r="CH317" s="1" t="e">
        <f ca="1">_xll.BDH($C$303,"LT_DEBT_TO_TOT_EQY","FQ4 2016","FQ4 2016","Currency=INR","Period=FQ","BEST_FPERIOD_OVERRIDE=FQ","FILING_STATUS=OR","EQY_CONSOLIDATED=Y","Sort=A","Dates=H","DateFormat=P","Fill=—","Direction=H","UseDPDF=Y")</f>
        <v>#NAME?</v>
      </c>
      <c r="CI317" s="1" t="e">
        <f ca="1">_xll.BDH($C$303,"LT_DEBT_TO_TOT_CAP","FQ4 2016","FQ4 2016","Currency=INR","Period=FQ","BEST_FPERIOD_OVERRIDE=FQ","FILING_STATUS=OR","EQY_CONSOLIDATED=Y","Sort=A","Dates=H","DateFormat=P","Fill=—","Direction=H","UseDPDF=Y")</f>
        <v>#NAME?</v>
      </c>
      <c r="CJ317" s="1" t="e">
        <f ca="1">_xll.BDH($C$303,"LT_DEBT_TO_TOT_ASSET","FQ4 2016","FQ4 2016","Currency=INR","Period=FQ","BEST_FPERIOD_OVERRIDE=FQ","FILING_STATUS=OR","EQY_CONSOLIDATED=Y","Sort=A","Dates=H","DateFormat=P","Fill=—","Direction=H","UseDPDF=Y")</f>
        <v>#NAME?</v>
      </c>
      <c r="CK317" s="1" t="e">
        <f ca="1">_xll.BDH($C$303,"TOT_DEBT_TO_TOT_EQY","FQ4 2016","FQ4 2016","Currency=INR","Period=FQ","BEST_FPERIOD_OVERRIDE=FQ","FILING_STATUS=OR","EQY_CONSOLIDATED=Y","Sort=A","Dates=H","DateFormat=P","Fill=—","Direction=H","UseDPDF=Y")</f>
        <v>#NAME?</v>
      </c>
      <c r="CL317" s="1" t="e">
        <f ca="1">_xll.BDH($C$303,"TOT_DEBT_TO_TOT_CAP","FQ4 2016","FQ4 2016","Currency=INR","Period=FQ","BEST_FPERIOD_OVERRIDE=FQ","FILING_STATUS=OR","EQY_CONSOLIDATED=Y","Sort=A","Dates=H","DateFormat=P","Fill=—","Direction=H","UseDPDF=Y")</f>
        <v>#NAME?</v>
      </c>
      <c r="CM317" s="1" t="e">
        <f ca="1">_xll.BDH($C$303,"TOT_DEBT_TO_TOT_ASSET","FQ4 2016","FQ4 2016","Currency=INR","Period=FQ","BEST_FPERIOD_OVERRIDE=FQ","FILING_STATUS=OR","EQY_CONSOLIDATED=Y","Sort=A","Dates=H","DateFormat=P","Fill=—","Direction=H","UseDPDF=Y")</f>
        <v>#NAME?</v>
      </c>
      <c r="CN317" s="1" t="e">
        <f ca="1">_xll.BDH($C$303,"NET_DEBT_TO_SHRHLDR_EQTY","FQ4 2016","FQ4 2016","Currency=INR","Period=FQ","BEST_FPERIOD_OVERRIDE=FQ","FILING_STATUS=OR","EQY_CONSOLIDATED=Y","Sort=A","Dates=H","DateFormat=P","Fill=—","Direction=H","UseDPDF=Y")</f>
        <v>#NAME?</v>
      </c>
      <c r="CO317" s="1" t="e">
        <f ca="1">_xll.BDH($C$303,"NET_DEBT_%_CAPITAL","FQ4 2016","FQ4 2016","Currency=INR","Period=FQ","BEST_FPERIOD_OVERRIDE=FQ","FILING_STATUS=OR","EQY_CONSOLIDATED=Y","Sort=A","Dates=H","DateFormat=P","Fill=—","Direction=H","UseDPDF=Y")</f>
        <v>#NAME?</v>
      </c>
      <c r="CP317" s="2" t="e">
        <f ca="1">_xll.BDH($C$303,"EBITDA","FQ4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17" s="2" t="e">
        <f ca="1">_xll.BDH($C$303,"EBITDA_AFTER_CAPEX","FQ4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17" s="2" t="e">
        <f ca="1">_xll.BDH($C$303,"IS_OPER_INC","FQ4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17" s="1" t="e">
        <f ca="1">_xll.BDH($C$303,"CASH_RATIO","FQ4 2016","FQ4 2016","Currency=INR","Period=FQ","BEST_FPERIOD_OVERRIDE=FQ","FILING_STATUS=OR","EQY_CONSOLIDATED=Y","Sort=A","Dates=H","DateFormat=P","Fill=—","Direction=H","UseDPDF=Y")</f>
        <v>#NAME?</v>
      </c>
      <c r="CT317" s="1" t="e">
        <f ca="1">_xll.BDH($C$303,"CUR_RATIO","FQ4 2016","FQ4 2016","Currency=INR","Period=FQ","BEST_FPERIOD_OVERRIDE=FQ","FILING_STATUS=OR","EQY_CONSOLIDATED=Y","Sort=A","Dates=H","DateFormat=P","Fill=—","Direction=H","UseDPDF=Y")</f>
        <v>#NAME?</v>
      </c>
      <c r="CU317" s="1" t="e">
        <f ca="1">_xll.BDH($C$303,"QUICK_RATIO","FQ4 2016","FQ4 2016","Currency=INR","Period=FQ","BEST_FPERIOD_OVERRIDE=FQ","FILING_STATUS=OR","EQY_CONSOLIDATED=Y","Sort=A","Dates=H","DateFormat=P","Fill=—","Direction=H","UseDPDF=Y")</f>
        <v>#NAME?</v>
      </c>
      <c r="CV317" s="1" t="e">
        <f ca="1">_xll.BDH($C$303,"ALTMAN_Z_SCORE","FQ4 2016","FQ4 2016","Currency=INR","Period=FQ","BEST_FPERIOD_OVERRIDE=FQ","FILING_STATUS=OR","EQY_CONSOLIDATED=Y","Sort=A","Dates=H","DateFormat=P","Fill=—","Direction=H","UseDPDF=Y")</f>
        <v>#NAME?</v>
      </c>
      <c r="CW317" s="3" t="e">
        <f ca="1">_xll.BDH($C$303,"ACCT_RCV_TURN","FQ4 2016","FQ4 2016","Currency=INR","Period=FQ","BEST_FPERIOD_OVERRIDE=FQ","FILING_STATUS=OR","EQY_CONSOLIDATED=Y","FA_ADJUSTED=GAAP","Sort=A","Dates=H","DateFormat=P","Fill=—","Direction=H","UseDPDF=Y")</f>
        <v>#NAME?</v>
      </c>
      <c r="CX317" s="1" t="e">
        <f ca="1">_xll.BDH($C$303,"ACCT_RCV_DAYS","FQ4 2016","FQ4 2016","Currency=INR","Period=FQ","BEST_FPERIOD_OVERRIDE=FQ","FILING_STATUS=OR","EQY_CONSOLIDATED=Y","FA_ADJUSTED=GAAP","Sort=A","Dates=H","DateFormat=P","Fill=—","Direction=H","UseDPDF=Y")</f>
        <v>#NAME?</v>
      </c>
      <c r="CY317" s="3" t="e">
        <f ca="1">_xll.BDH($C$303,"INVENT_TURN","FQ4 2016","FQ4 2016","Currency=INR","Period=FQ","BEST_FPERIOD_OVERRIDE=FQ","FILING_STATUS=OR","EQY_CONSOLIDATED=Y","FA_ADJUSTED=GAAP","Sort=A","Dates=H","DateFormat=P","Fill=—","Direction=H","UseDPDF=Y")</f>
        <v>#NAME?</v>
      </c>
      <c r="CZ317" s="1" t="e">
        <f ca="1">_xll.BDH($C$303,"INVENT_DAYS","FQ4 2016","FQ4 2016","Currency=INR","Period=FQ","BEST_FPERIOD_OVERRIDE=FQ","FILING_STATUS=OR","EQY_CONSOLIDATED=Y","FA_ADJUSTED=GAAP","Sort=A","Dates=H","DateFormat=P","Fill=—","Direction=H","UseDPDF=Y")</f>
        <v>#NAME?</v>
      </c>
      <c r="DA317" s="3" t="e">
        <f ca="1">_xll.BDH($C$303,"ACCOUNTS_PAYABLE_TURNOVER","FQ4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17" s="1" t="e">
        <f ca="1">_xll.BDH($C$303,"ACCOUNTS_PAYABLE_TURNOVER_DAYS","FQ4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17" s="3" t="e">
        <f ca="1">_xll.BDH($C$303,"CASH_CONVERSION_CYCLE","FQ4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17" s="3" t="e">
        <f ca="1">_xll.BDH($C$303,"INV_TO_CASH_DAYS","FQ4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317" s="4" t="e">
        <f ca="1">_xll.BDH($C$303,"BS_INVENTORIES","FQ4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317" s="2" t="e">
        <f ca="1">_xll.BDH($C$303,"INVTRY_RAW_MATERIALS","FQ4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17" s="2" t="e">
        <f ca="1">_xll.BDH($C$303,"INVTRY_IN_PROGRESS","FQ4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17" s="2" t="e">
        <f ca="1">_xll.BDH($C$303,"INVTRY_FINISHED_GOODS","FQ4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17" s="2" t="e">
        <f ca="1">_xll.BDH($C$303,"BS_OTHER_INV","FQ4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18" spans="1:113" x14ac:dyDescent="0.3">
      <c r="A318" s="6"/>
      <c r="B318" s="6"/>
      <c r="C318" s="6"/>
      <c r="D318" s="6" t="s">
        <v>10</v>
      </c>
      <c r="E318" t="s">
        <v>3</v>
      </c>
      <c r="F318" t="e">
        <f ca="1">_xll.BDH($C$303,"RETURN_COM_EQY","FY 2017","FY 2017","Currency=INR","Period=FY","BEST_FPERIOD_OVERRIDE=FY","FILING_STATUS=OR","EQY_CONSOLIDATED=Y","FA_ADJUSTED=GAAP","Sort=A","Dates=H","DateFormat=P","Fill=—","Direction=H","UseDPDF=Y")</f>
        <v>#NAME?</v>
      </c>
      <c r="G318" t="e">
        <f ca="1">_xll.BDH($C$303,"RETURN_ON_ASSET","FY 2017","FY 2017","Currency=INR","Period=FY","BEST_FPERIOD_OVERRIDE=FY","FILING_STATUS=OR","EQY_CONSOLIDATED=Y","FA_ADJUSTED=GAAP","Sort=A","Dates=H","DateFormat=P","Fill=—","Direction=H","UseDPDF=Y")</f>
        <v>#NAME?</v>
      </c>
      <c r="H318" t="e">
        <f ca="1">_xll.BDH($C$303,"RETURN_ON_CAP","FY 2017","FY 2017","Currency=INR","Period=FY","BEST_FPERIOD_OVERRIDE=FY","FILING_STATUS=OR","EQY_CONSOLIDATED=Y","FA_ADJUSTED=GAAP","Sort=A","Dates=H","DateFormat=P","Fill=—","Direction=H","UseDPDF=Y")</f>
        <v>#NAME?</v>
      </c>
      <c r="I318" t="e">
        <f ca="1">_xll.BDH($C$303,"RETURN_ON_INV_CAPITAL","FY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18" t="e">
        <f ca="1">_xll.BDH($C$303,"EBITDA_TO_REVENUE","FY 2017","FY 2017","Currency=INR","Period=FY","BEST_FPERIOD_OVERRIDE=FY","FILING_STATUS=OR","EQY_CONSOLIDATED=Y","FA_ADJUSTED=GAAP","Sort=A","Dates=H","DateFormat=P","Fill=—","Direction=H","UseDPDF=Y")</f>
        <v>#NAME?</v>
      </c>
      <c r="K318" t="e">
        <f ca="1">_xll.BDH($C$303,"OPER_MARGIN","FY 2017","FY 2017","Currency=INR","Period=FY","BEST_FPERIOD_OVERRIDE=FY","FILING_STATUS=OR","EQY_CONSOLIDATED=Y","FA_ADJUSTED=GAAP","Sort=A","Dates=H","DateFormat=P","Fill=—","Direction=H","UseDPDF=Y")</f>
        <v>#NAME?</v>
      </c>
      <c r="L318" t="e">
        <f ca="1">_xll.BDH($C$303,"INCREMENTAL_OPERATING_MARGIN","FY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18" t="e">
        <f ca="1">_xll.BDH($C$303,"PRETAX_INC_TO_NET_SALES","FY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18" t="e">
        <f ca="1">_xll.BDH($C$303,"INC_BEF_XO_ITEMS_TO_NET_SALES","FY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18" t="e">
        <f ca="1">_xll.BDH($C$303,"PROF_MARGIN","FY 2017","FY 2017","Currency=INR","Period=FY","BEST_FPERIOD_OVERRIDE=FY","FILING_STATUS=OR","EQY_CONSOLIDATED=Y","FA_ADJUSTED=GAAP","Sort=A","Dates=H","DateFormat=P","Fill=—","Direction=H","UseDPDF=Y")</f>
        <v>#NAME?</v>
      </c>
      <c r="P318" t="e">
        <f ca="1">_xll.BDH($C$303,"NET_INCOME_TO_COMMON_MARGIN","FY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18" t="e">
        <f ca="1">_xll.BDH($C$303,"EFF_TAX_RATE","FY 2017","FY 2017","Currency=INR","Period=FY","BEST_FPERIOD_OVERRIDE=FY","FILING_STATUS=OR","EQY_CONSOLIDATED=Y","FA_ADJUSTED=GAAP","Sort=A","Dates=H","DateFormat=P","Fill=—","Direction=H","UseDPDF=Y")</f>
        <v>#NAME?</v>
      </c>
      <c r="R318" t="e">
        <f ca="1">_xll.BDH($C$303,"DVD_PAYOUT_RATIO","FY 2017","FY 2017","Currency=INR","Period=FY","BEST_FPERIOD_OVERRIDE=FY","FILING_STATUS=OR","EQY_CONSOLIDATED=Y","FA_ADJUSTED=GAAP","Sort=A","Dates=H","DateFormat=P","Fill=—","Direction=H","UseDPDF=Y")</f>
        <v>#NAME?</v>
      </c>
      <c r="S318" t="e">
        <f ca="1">_xll.BDH($C$303,"SUSTAIN_GROWTH_RT","FY 2017","FY 2017","Currency=INR","Period=FY","BEST_FPERIOD_OVERRIDE=FY","FILING_STATUS=OR","EQY_CONSOLIDATED=Y","FA_ADJUSTED=GAAP","Sort=A","Dates=H","DateFormat=P","Fill=—","Direction=H","UseDPDF=Y")</f>
        <v>#NAME?</v>
      </c>
      <c r="T318" s="1" t="e">
        <f ca="1">_xll.BDH($C$303,"SALES_GROWTH","FY 2017","FY 2017","Currency=INR","Period=FY","BEST_FPERIOD_OVERRIDE=FY","FILING_STATUS=OR","EQY_CONSOLIDATED=Y","FA_ADJUSTED=GAAP","Sort=A","Dates=H","DateFormat=P","Fill=—","Direction=H","UseDPDF=Y")</f>
        <v>#NAME?</v>
      </c>
      <c r="U318" s="1" t="e">
        <f ca="1">_xll.BDH($C$303,"EBITDA_GROWTH","FY 2017","FY 2017","Currency=INR","Period=FY","BEST_FPERIOD_OVERRIDE=FY","FILING_STATUS=OR","EQY_CONSOLIDATED=Y","FA_ADJUSTED=GAAP","Sort=A","Dates=H","DateFormat=P","Fill=—","Direction=H","UseDPDF=Y")</f>
        <v>#NAME?</v>
      </c>
      <c r="V318" s="1" t="e">
        <f ca="1">_xll.BDH($C$303,"OPER_INC_GROWTH","FY 2017","FY 2017","Currency=INR","Period=FY","BEST_FPERIOD_OVERRIDE=FY","FILING_STATUS=OR","EQY_CONSOLIDATED=Y","FA_ADJUSTED=GAAP","Sort=A","Dates=H","DateFormat=P","Fill=—","Direction=H","UseDPDF=Y")</f>
        <v>#NAME?</v>
      </c>
      <c r="W318" s="1" t="e">
        <f ca="1">_xll.BDH($C$303,"EARN_FOR_COM_GROWTH","FY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318" s="1" t="e">
        <f ca="1">_xll.BDH($C$303,"DILUTED_EPS_AFT_XO_ITEMS_GROWTH","FY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18" s="1" t="e">
        <f ca="1">_xll.BDH($C$303,"DIVIDEND_PER_SHARE_1_YEAR_GROWTH","FY 2017","FY 2017","Currency=INR","Period=FY","BEST_FPERIOD_OVERRIDE=FY","FILING_STATUS=OR","EQY_CONSOLIDATED=Y","Sort=A","Dates=H","DateFormat=P","Fill=—","Direction=H","UseDPDF=Y")</f>
        <v>#NAME?</v>
      </c>
      <c r="Z318" s="1" t="e">
        <f ca="1">_xll.BDH($C$303,"ACCOUNTS_RECEIVABLE_GROWTH","FY 2017","FY 2017","Currency=INR","Period=FY","BEST_FPERIOD_OVERRIDE=FY","FILING_STATUS=OR","EQY_CONSOLIDATED=Y","Sort=A","Dates=H","DateFormat=P","Fill=—","Direction=H","UseDPDF=Y")</f>
        <v>#NAME?</v>
      </c>
      <c r="AA318" s="1" t="e">
        <f ca="1">_xll.BDH($C$303,"INVENTORY_GROWTH","FY 2017","FY 2017","Currency=INR","Period=FY","BEST_FPERIOD_OVERRIDE=FY","FILING_STATUS=OR","EQY_CONSOLIDATED=Y","Sort=A","Dates=H","DateFormat=P","Fill=—","Direction=H","UseDPDF=Y")</f>
        <v>#NAME?</v>
      </c>
      <c r="AB318" s="1" t="e">
        <f ca="1">_xll.BDH($C$303,"NET_FIXED_ASSETS_1_YEAR_GROWTH","FY 2017","FY 2017","Currency=INR","Period=FY","BEST_FPERIOD_OVERRIDE=FY","FILING_STATUS=OR","EQY_CONSOLIDATED=Y","Sort=A","Dates=H","DateFormat=P","Fill=—","Direction=H","UseDPDF=Y")</f>
        <v>#NAME?</v>
      </c>
      <c r="AC318" s="1" t="e">
        <f ca="1">_xll.BDH($C$303,"ASSET_GROWTH","FY 2017","FY 2017","Currency=INR","Period=FY","BEST_FPERIOD_OVERRIDE=FY","FILING_STATUS=OR","EQY_CONSOLIDATED=Y","Sort=A","Dates=H","DateFormat=P","Fill=—","Direction=H","UseDPDF=Y")</f>
        <v>#NAME?</v>
      </c>
      <c r="AD318" s="1" t="e">
        <f ca="1">_xll.BDH($C$303,"MODIFIED_WORK_CAP_GROWTH","FY 2017","FY 2017","Currency=INR","Period=FY","BEST_FPERIOD_OVERRIDE=FY","FILING_STATUS=OR","EQY_CONSOLIDATED=Y","Sort=A","Dates=H","DateFormat=P","Fill=—","Direction=H","UseDPDF=Y")</f>
        <v>#NAME?</v>
      </c>
      <c r="AE318" s="1" t="e">
        <f ca="1">_xll.BDH($C$303,"WORK_CAP_GROWTH","FY 2017","FY 2017","Currency=INR","Period=FY","BEST_FPERIOD_OVERRIDE=FY","FILING_STATUS=OR","EQY_CONSOLIDATED=Y","Sort=A","Dates=H","DateFormat=P","Fill=—","Direction=H","UseDPDF=Y")</f>
        <v>#NAME?</v>
      </c>
      <c r="AF318" s="1" t="e">
        <f ca="1">_xll.BDH($C$303,"ACCOUNTS_PAYABLE_GROWTH_1YR","FY 2017","FY 2017","Currency=INR","Period=FY","BEST_FPERIOD_OVERRIDE=FY","FILING_STATUS=OR","EQY_CONSOLIDATED=Y","Sort=A","Dates=H","DateFormat=P","Fill=—","Direction=H","UseDPDF=Y")</f>
        <v>#NAME?</v>
      </c>
      <c r="AG318" s="1" t="e">
        <f ca="1">_xll.BDH($C$303,"SHORT_TERM_DEBT_1_YEAR_GROWTH","FY 2017","FY 2017","Currency=INR","Period=FY","BEST_FPERIOD_OVERRIDE=FY","FILING_STATUS=OR","EQY_CONSOLIDATED=Y","Sort=A","Dates=H","DateFormat=P","Fill=—","Direction=H","UseDPDF=Y")</f>
        <v>#NAME?</v>
      </c>
      <c r="AH318" s="1" t="e">
        <f ca="1">_xll.BDH($C$303,"TOTAL_DEBT_1_YEAR_GROWTH","FY 2017","FY 2017","Currency=INR","Period=FY","BEST_FPERIOD_OVERRIDE=FY","FILING_STATUS=OR","EQY_CONSOLIDATED=Y","Sort=A","Dates=H","DateFormat=P","Fill=—","Direction=H","UseDPDF=Y")</f>
        <v>#NAME?</v>
      </c>
      <c r="AI318" s="1" t="e">
        <f ca="1">_xll.BDH($C$303,"TOTAL_EQUITY_1_YEAR_GROWTH","FY 2017","FY 2017","Currency=INR","Period=FY","BEST_FPERIOD_OVERRIDE=FY","FILING_STATUS=OR","EQY_CONSOLIDATED=Y","Sort=A","Dates=H","DateFormat=P","Fill=—","Direction=H","UseDPDF=Y")</f>
        <v>#NAME?</v>
      </c>
      <c r="AJ318" s="1" t="e">
        <f ca="1">_xll.BDH($C$303,"GROWTH_IN_CAP","FY 2017","FY 2017","Currency=INR","Period=FY","BEST_FPERIOD_OVERRIDE=FY","FILING_STATUS=OR","EQY_CONSOLIDATED=Y","Sort=A","Dates=H","DateFormat=P","Fill=—","Direction=H","UseDPDF=Y")</f>
        <v>#NAME?</v>
      </c>
      <c r="AK318" s="1" t="e">
        <f ca="1">_xll.BDH($C$303,"BVPS_GROWTH","FY 2017","FY 2017","Currency=INR","Period=FY","BEST_FPERIOD_OVERRIDE=FY","FILING_STATUS=OR","EQY_CONSOLIDATED=Y","Sort=A","Dates=H","DateFormat=P","Fill=—","Direction=H","UseDPDF=Y")</f>
        <v>#NAME?</v>
      </c>
      <c r="AL318" s="1" t="e">
        <f ca="1">_xll.BDH($C$303,"CASH_FLOW_GROWTH","FY 2017","FY 2017","Currency=INR","Period=FY","BEST_FPERIOD_OVERRIDE=FY","FILING_STATUS=OR","EQY_CONSOLIDATED=Y","Sort=A","Dates=H","DateFormat=P","Fill=—","Direction=H","UseDPDF=Y")</f>
        <v>#NAME?</v>
      </c>
      <c r="AM318" s="1" t="e">
        <f ca="1">_xll.BDH($C$303,"GEO_GROW_NET_SALES","FY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318" s="1" t="e">
        <f ca="1">_xll.BDH($C$303,"GEO_GROW_EBITDA","FY 2017","FY 2017","Currency=INR","Period=FY","BEST_FPERIOD_OVERRIDE=FY","FILING_STATUS=OR","EQY_CONSOLIDATED=Y","FA_ADJUSTED=GAAP","Sort=A","Dates=H","DateFormat=P","Fill=—","Direction=H","UseDPDF=Y")</f>
        <v>#NAME?</v>
      </c>
      <c r="AO318" s="1" t="e">
        <f ca="1">_xll.BDH($C$303,"GEO_GROW_OPER_INC","FY 2017","FY 2017","Currency=INR","Period=FY","BEST_FPERIOD_OVERRIDE=FY","FILING_STATUS=OR","EQY_CONSOLIDATED=Y","FA_ADJUSTED=GAAP","Sort=A","Dates=H","DateFormat=P","Fill=—","Direction=H","UseDPDF=Y")</f>
        <v>#NAME?</v>
      </c>
      <c r="AP318" s="1" t="e">
        <f ca="1">_xll.BDH($C$303,"NET_INCOME_TO_COMMON_5_YR_GROWTH","FY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18" s="1" t="e">
        <f ca="1">_xll.BDH($C$303,"5Y_GEO_GROWTH_DILUTED_EPS","FY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18" s="1" t="e">
        <f ca="1">_xll.BDH($C$303,"GEO_GROW_DVD_PER_SH","FY 2017","FY 2017","Currency=INR","Period=FY","BEST_FPERIOD_OVERRIDE=FY","FILING_STATUS=OR","EQY_CONSOLIDATED=Y","Sort=A","Dates=H","DateFormat=P","Fill=—","Direction=H","UseDPDF=Y")</f>
        <v>#NAME?</v>
      </c>
      <c r="AS318" s="1" t="e">
        <f ca="1">_xll.BDH($C$303,"ACCOUNTS_RECEIVABLE_5_YR_GROWTH","FY 2017","FY 2017","Currency=INR","Period=FY","BEST_FPERIOD_OVERRIDE=FY","FILING_STATUS=OR","EQY_CONSOLIDATED=Y","Sort=A","Dates=H","DateFormat=P","Fill=—","Direction=H","UseDPDF=Y")</f>
        <v>#NAME?</v>
      </c>
      <c r="AT318" s="1" t="e">
        <f ca="1">_xll.BDH($C$303,"INVENTORY_5_YEAR_GROWTH","FY 2017","FY 2017","Currency=INR","Period=FY","BEST_FPERIOD_OVERRIDE=FY","FILING_STATUS=OR","EQY_CONSOLIDATED=Y","Sort=A","Dates=H","DateFormat=P","Fill=—","Direction=H","UseDPDF=Y")</f>
        <v>#NAME?</v>
      </c>
      <c r="AU318" s="1" t="e">
        <f ca="1">_xll.BDH($C$303,"NET_FIXED_ASSETS_5_YEAR_GROWTH","FY 2017","FY 2017","Currency=INR","Period=FY","BEST_FPERIOD_OVERRIDE=FY","FILING_STATUS=OR","EQY_CONSOLIDATED=Y","Sort=A","Dates=H","DateFormat=P","Fill=—","Direction=H","UseDPDF=Y")</f>
        <v>#NAME?</v>
      </c>
      <c r="AV318" s="1" t="e">
        <f ca="1">_xll.BDH($C$303,"GEO_GROW_TOT_ASSET","FY 2017","FY 2017","Currency=INR","Period=FY","BEST_FPERIOD_OVERRIDE=FY","FILING_STATUS=OR","EQY_CONSOLIDATED=Y","Sort=A","Dates=H","DateFormat=P","Fill=—","Direction=H","UseDPDF=Y")</f>
        <v>#NAME?</v>
      </c>
      <c r="AW318" s="1" t="e">
        <f ca="1">_xll.BDH($C$303,"MODIFIED_WORKING_CPTL_5YR_GRWTH","FY 2017","FY 2017","Currency=INR","Period=FY","BEST_FPERIOD_OVERRIDE=FY","FILING_STATUS=OR","EQY_CONSOLIDATED=Y","Sort=A","Dates=H","DateFormat=P","Fill=—","Direction=H","UseDPDF=Y")</f>
        <v>#NAME?</v>
      </c>
      <c r="AX318" s="1" t="e">
        <f ca="1">_xll.BDH($C$303,"WORKING_CAPITAL_5_YEAR_GROWTH","FY 2017","FY 2017","Currency=INR","Period=FY","BEST_FPERIOD_OVERRIDE=FY","FILING_STATUS=OR","EQY_CONSOLIDATED=Y","Sort=A","Dates=H","DateFormat=P","Fill=—","Direction=H","UseDPDF=Y")</f>
        <v>#NAME?</v>
      </c>
      <c r="AY318" s="1" t="e">
        <f ca="1">_xll.BDH($C$303,"ACCOUNTS_PAYABLE_5_YEAR_GROWTH","FY 2017","FY 2017","Currency=INR","Period=FY","BEST_FPERIOD_OVERRIDE=FY","FILING_STATUS=OR","EQY_CONSOLIDATED=Y","Sort=A","Dates=H","DateFormat=P","Fill=—","Direction=H","UseDPDF=Y")</f>
        <v>#NAME?</v>
      </c>
      <c r="AZ318" s="1" t="e">
        <f ca="1">_xll.BDH($C$303,"SHORT_TERM_DEBT_5_YEAR_GROWTH","FY 2017","FY 2017","Currency=INR","Period=FY","BEST_FPERIOD_OVERRIDE=FY","FILING_STATUS=OR","EQY_CONSOLIDATED=Y","Sort=A","Dates=H","DateFormat=P","Fill=—","Direction=H","UseDPDF=Y")</f>
        <v>#NAME?</v>
      </c>
      <c r="BA318" s="1" t="e">
        <f ca="1">_xll.BDH($C$303,"TOTAL_DEBT_5_YEAR_GROWTH","FY 2017","FY 2017","Currency=INR","Period=FY","BEST_FPERIOD_OVERRIDE=FY","FILING_STATUS=OR","EQY_CONSOLIDATED=Y","Sort=A","Dates=H","DateFormat=P","Fill=—","Direction=H","UseDPDF=Y")</f>
        <v>#NAME?</v>
      </c>
      <c r="BB318" s="1" t="e">
        <f ca="1">_xll.BDH($C$303,"GEO_GROW_TOT_SHRHLDR_EQY","FY 2017","FY 2017","Currency=INR","Period=FY","BEST_FPERIOD_OVERRIDE=FY","FILING_STATUS=OR","EQY_CONSOLIDATED=Y","Sort=A","Dates=H","DateFormat=P","Fill=—","Direction=H","UseDPDF=Y")</f>
        <v>#NAME?</v>
      </c>
      <c r="BC318" s="1" t="e">
        <f ca="1">_xll.BDH($C$303,"TOTAL_CAPITAL_5_YEAR_GROWTH","FY 2017","FY 2017","Currency=INR","Period=FY","BEST_FPERIOD_OVERRIDE=FY","FILING_STATUS=OR","EQY_CONSOLIDATED=Y","Sort=A","Dates=H","DateFormat=P","Fill=—","Direction=H","UseDPDF=Y")</f>
        <v>#NAME?</v>
      </c>
      <c r="BD318" s="1" t="e">
        <f ca="1">_xll.BDH($C$303,"GEO_GROW_BOOK_VAL","FY 2017","FY 2017","Currency=INR","Period=FY","BEST_FPERIOD_OVERRIDE=FY","FILING_STATUS=OR","EQY_CONSOLIDATED=Y","Sort=A","Dates=H","DateFormat=P","Fill=—","Direction=H","UseDPDF=Y")</f>
        <v>#NAME?</v>
      </c>
      <c r="BE318" s="1" t="e">
        <f ca="1">_xll.BDH($C$303,"GEO_GROW_CASH_OPER_ACT","FY 2017","FY 2017","Currency=INR","Period=FY","BEST_FPERIOD_OVERRIDE=FY","FILING_STATUS=OR","EQY_CONSOLIDATED=Y","Sort=A","Dates=H","DateFormat=P","Fill=—","Direction=H","UseDPDF=Y")</f>
        <v>#NAME?</v>
      </c>
      <c r="BF318" s="1" t="e">
        <f ca="1">_xll.BDH($C$303,"REVENUE_SEQUENTIAL_GROWTH","FY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18" s="1" t="e">
        <f ca="1">_xll.BDH($C$303,"EBITDA_SEQUENTIAL_GROWTH","FY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18" s="1" t="e">
        <f ca="1">_xll.BDH($C$303,"OPERATING_INCOME_SEQ_GROWTH","FY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18" s="1" t="e">
        <f ca="1">_xll.BDH($C$303,"NET_INCOME_TO_COMMON_SEQ_GROWTH","FY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18" s="1" t="e">
        <f ca="1">_xll.BDH($C$303,"EPS_DILUTED_SEQUENTIAL_GROWTH","FY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18" s="1" t="e">
        <f ca="1">_xll.BDH($C$303,"DPS_SEQUENTIAL_GROWTH","FY 2017","FY 2017","Currency=INR","Period=FY","BEST_FPERIOD_OVERRIDE=FY","FILING_STATUS=OR","EQY_CONSOLIDATED=Y","Sort=A","Dates=H","DateFormat=P","Fill=—","Direction=H","UseDPDF=Y")</f>
        <v>#NAME?</v>
      </c>
      <c r="BL318" s="1" t="e">
        <f ca="1">_xll.BDH($C$303,"ACCOUNTS_RECEIVABLE_SEQ_GROWTH","FY 2017","FY 2017","Currency=INR","Period=FY","BEST_FPERIOD_OVERRIDE=FY","FILING_STATUS=OR","EQY_CONSOLIDATED=Y","Sort=A","Dates=H","DateFormat=P","Fill=—","Direction=H","UseDPDF=Y")</f>
        <v>#NAME?</v>
      </c>
      <c r="BM318" s="1" t="e">
        <f ca="1">_xll.BDH($C$303,"INVENTORY_SEQUENTIAL_GROWTH","FY 2017","FY 2017","Currency=INR","Period=FY","BEST_FPERIOD_OVERRIDE=FY","FILING_STATUS=OR","EQY_CONSOLIDATED=Y","Sort=A","Dates=H","DateFormat=P","Fill=—","Direction=H","UseDPDF=Y")</f>
        <v>#NAME?</v>
      </c>
      <c r="BN318" s="1" t="e">
        <f ca="1">_xll.BDH($C$303,"FIXED_ASSETS_SEQUENTIAL_GROWTH","FY 2017","FY 2017","Currency=INR","Period=FY","BEST_FPERIOD_OVERRIDE=FY","FILING_STATUS=OR","EQY_CONSOLIDATED=Y","Sort=A","Dates=H","DateFormat=P","Fill=—","Direction=H","UseDPDF=Y")</f>
        <v>#NAME?</v>
      </c>
      <c r="BO318" s="1" t="e">
        <f ca="1">_xll.BDH($C$303,"TOTAL_ASSETS_SEQUENTIAL_GROWTH","FY 2017","FY 2017","Currency=INR","Period=FY","BEST_FPERIOD_OVERRIDE=FY","FILING_STATUS=OR","EQY_CONSOLIDATED=Y","Sort=A","Dates=H","DateFormat=P","Fill=—","Direction=H","UseDPDF=Y")</f>
        <v>#NAME?</v>
      </c>
      <c r="BP318" s="1" t="e">
        <f ca="1">_xll.BDH($C$303,"MODIFIED_WORKING_CPTL_SEQ_GRWTH","FY 2017","FY 2017","Currency=INR","Period=FY","BEST_FPERIOD_OVERRIDE=FY","FILING_STATUS=OR","EQY_CONSOLIDATED=Y","Sort=A","Dates=H","DateFormat=P","Fill=—","Direction=H","UseDPDF=Y")</f>
        <v>#NAME?</v>
      </c>
      <c r="BQ318" s="1" t="e">
        <f ca="1">_xll.BDH($C$303,"WORKING_CAPITAL_SEQ_GROWTH","FY 2017","FY 2017","Currency=INR","Period=FY","BEST_FPERIOD_OVERRIDE=FY","FILING_STATUS=OR","EQY_CONSOLIDATED=Y","Sort=A","Dates=H","DateFormat=P","Fill=—","Direction=H","UseDPDF=Y")</f>
        <v>#NAME?</v>
      </c>
      <c r="BR318" s="1" t="e">
        <f ca="1">_xll.BDH($C$303,"ACCOUNTS_PAYABLE_SEQ_GROWTH","FY 2017","FY 2017","Currency=INR","Period=FY","BEST_FPERIOD_OVERRIDE=FY","FILING_STATUS=OR","EQY_CONSOLIDATED=Y","Sort=A","Dates=H","DateFormat=P","Fill=—","Direction=H","UseDPDF=Y")</f>
        <v>#NAME?</v>
      </c>
      <c r="BS318" s="1" t="e">
        <f ca="1">_xll.BDH($C$303,"ST_DEBT_SEQUENTIAL_GROWTH","FY 2017","FY 2017","Currency=INR","Period=FY","BEST_FPERIOD_OVERRIDE=FY","FILING_STATUS=OR","EQY_CONSOLIDATED=Y","Sort=A","Dates=H","DateFormat=P","Fill=—","Direction=H","UseDPDF=Y")</f>
        <v>#NAME?</v>
      </c>
      <c r="BT318" s="1" t="e">
        <f ca="1">_xll.BDH($C$303,"TOTAL_DEBT_SEQUENTIAL_GROWTH","FY 2017","FY 2017","Currency=INR","Period=FY","BEST_FPERIOD_OVERRIDE=FY","FILING_STATUS=OR","EQY_CONSOLIDATED=Y","Sort=A","Dates=H","DateFormat=P","Fill=—","Direction=H","UseDPDF=Y")</f>
        <v>#NAME?</v>
      </c>
      <c r="BU318" s="1" t="e">
        <f ca="1">_xll.BDH($C$303,"TOTAL_EQUITY_SEQUENTIAL_GROWTH","FY 2017","FY 2017","Currency=INR","Period=FY","BEST_FPERIOD_OVERRIDE=FY","FILING_STATUS=OR","EQY_CONSOLIDATED=Y","Sort=A","Dates=H","DateFormat=P","Fill=—","Direction=H","UseDPDF=Y")</f>
        <v>#NAME?</v>
      </c>
      <c r="BV318" s="1" t="e">
        <f ca="1">_xll.BDH($C$303,"TOTAL_CAPITAL_SEQUENTIAL_GROWTH","FY 2017","FY 2017","Currency=INR","Period=FY","BEST_FPERIOD_OVERRIDE=FY","FILING_STATUS=OR","EQY_CONSOLIDATED=Y","Sort=A","Dates=H","DateFormat=P","Fill=—","Direction=H","UseDPDF=Y")</f>
        <v>#NAME?</v>
      </c>
      <c r="BW318" s="1" t="e">
        <f ca="1">_xll.BDH($C$303,"BPS_SEQUENTIAL_GROWTH","FY 2017","FY 2017","Currency=INR","Period=FY","BEST_FPERIOD_OVERRIDE=FY","FILING_STATUS=OR","EQY_CONSOLIDATED=Y","Sort=A","Dates=H","DateFormat=P","Fill=—","Direction=H","UseDPDF=Y")</f>
        <v>#NAME?</v>
      </c>
      <c r="BX318" s="1" t="e">
        <f ca="1">_xll.BDH($C$303,"CFO_SEQUENTIAL_GROWTH","FY 2017","FY 2017","Currency=INR","Period=FY","BEST_FPERIOD_OVERRIDE=FY","FILING_STATUS=OR","EQY_CONSOLIDATED=Y","Sort=A","Dates=H","DateFormat=P","Fill=—","Direction=H","UseDPDF=Y")</f>
        <v>#NAME?</v>
      </c>
      <c r="BY318" s="2" t="e">
        <f ca="1">_xll.BDH($C$303,"SHORT_AND_LONG_TERM_DEBT","FY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18" s="2" t="e">
        <f ca="1">_xll.BDH($C$303,"BS_ST_BORROW","FY 2017","FY 2017","Currency=INR","Period=FY","BEST_FPERIOD_OVERRIDE=FY","FILING_STATUS=OR","EQY_CONSOLIDATED=Y","SCALING_FORMAT=MLN","Sort=A","Dates=H","DateFormat=P","Fill=—","Direction=H","UseDPDF=Y")</f>
        <v>#NAME?</v>
      </c>
      <c r="CA318" s="2" t="e">
        <f ca="1">_xll.BDH($C$303,"BS_LT_BORROW","FY 2017","FY 2017","Currency=INR","Period=FY","BEST_FPERIOD_OVERRIDE=FY","FILING_STATUS=OR","EQY_CONSOLIDATED=Y","SCALING_FORMAT=MLN","Sort=A","Dates=H","DateFormat=P","Fill=—","Direction=H","UseDPDF=Y")</f>
        <v>#NAME?</v>
      </c>
      <c r="CB318" s="1" t="e">
        <f ca="1">_xll.BDH($C$303,"TOT_DEBT_TO_EBITDA","FY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318" s="1" t="e">
        <f ca="1">_xll.BDH($C$303,"NET_DEBT_TO_EBITDA","FY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318" s="1" t="e">
        <f ca="1">_xll.BDH($C$303,"TOTAL_DEBT_TO_EBIT","FY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318" s="1" t="e">
        <f ca="1">_xll.BDH($C$303,"NET_DEBT_TO_EBIT","FY 2017","FY 2017","Currency=INR","Period=FY","BEST_FPERIOD_OVERRIDE=FY","FILING_STATUS=OR","EQY_CONSOLIDATED=Y","FA_ADJUSTED=GAAP","Sort=A","Dates=H","DateFormat=P","Fill=—","Direction=H","UseDPDF=Y")</f>
        <v>#NAME?</v>
      </c>
      <c r="CF318" s="1" t="e">
        <f ca="1">_xll.BDH($C$303,"EBITDA_TO_INTEREST_EXPN","FY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18" s="1" t="e">
        <f ca="1">_xll.BDH($C$303,"COM_EQY_TO_TOT_ASSET","FY 2017","FY 2017","Currency=INR","Period=FY","BEST_FPERIOD_OVERRIDE=FY","FILING_STATUS=OR","EQY_CONSOLIDATED=Y","Sort=A","Dates=H","DateFormat=P","Fill=—","Direction=H","UseDPDF=Y")</f>
        <v>#NAME?</v>
      </c>
      <c r="CH318" s="1" t="e">
        <f ca="1">_xll.BDH($C$303,"LT_DEBT_TO_TOT_EQY","FY 2017","FY 2017","Currency=INR","Period=FY","BEST_FPERIOD_OVERRIDE=FY","FILING_STATUS=OR","EQY_CONSOLIDATED=Y","Sort=A","Dates=H","DateFormat=P","Fill=—","Direction=H","UseDPDF=Y")</f>
        <v>#NAME?</v>
      </c>
      <c r="CI318" s="1" t="e">
        <f ca="1">_xll.BDH($C$303,"LT_DEBT_TO_TOT_CAP","FY 2017","FY 2017","Currency=INR","Period=FY","BEST_FPERIOD_OVERRIDE=FY","FILING_STATUS=OR","EQY_CONSOLIDATED=Y","Sort=A","Dates=H","DateFormat=P","Fill=—","Direction=H","UseDPDF=Y")</f>
        <v>#NAME?</v>
      </c>
      <c r="CJ318" s="1" t="e">
        <f ca="1">_xll.BDH($C$303,"LT_DEBT_TO_TOT_ASSET","FY 2017","FY 2017","Currency=INR","Period=FY","BEST_FPERIOD_OVERRIDE=FY","FILING_STATUS=OR","EQY_CONSOLIDATED=Y","Sort=A","Dates=H","DateFormat=P","Fill=—","Direction=H","UseDPDF=Y")</f>
        <v>#NAME?</v>
      </c>
      <c r="CK318" s="1" t="e">
        <f ca="1">_xll.BDH($C$303,"TOT_DEBT_TO_TOT_EQY","FY 2017","FY 2017","Currency=INR","Period=FY","BEST_FPERIOD_OVERRIDE=FY","FILING_STATUS=OR","EQY_CONSOLIDATED=Y","Sort=A","Dates=H","DateFormat=P","Fill=—","Direction=H","UseDPDF=Y")</f>
        <v>#NAME?</v>
      </c>
      <c r="CL318" s="1" t="e">
        <f ca="1">_xll.BDH($C$303,"TOT_DEBT_TO_TOT_CAP","FY 2017","FY 2017","Currency=INR","Period=FY","BEST_FPERIOD_OVERRIDE=FY","FILING_STATUS=OR","EQY_CONSOLIDATED=Y","Sort=A","Dates=H","DateFormat=P","Fill=—","Direction=H","UseDPDF=Y")</f>
        <v>#NAME?</v>
      </c>
      <c r="CM318" s="1" t="e">
        <f ca="1">_xll.BDH($C$303,"TOT_DEBT_TO_TOT_ASSET","FY 2017","FY 2017","Currency=INR","Period=FY","BEST_FPERIOD_OVERRIDE=FY","FILING_STATUS=OR","EQY_CONSOLIDATED=Y","Sort=A","Dates=H","DateFormat=P","Fill=—","Direction=H","UseDPDF=Y")</f>
        <v>#NAME?</v>
      </c>
      <c r="CN318" s="1" t="e">
        <f ca="1">_xll.BDH($C$303,"NET_DEBT_TO_SHRHLDR_EQTY","FY 2017","FY 2017","Currency=INR","Period=FY","BEST_FPERIOD_OVERRIDE=FY","FILING_STATUS=OR","EQY_CONSOLIDATED=Y","Sort=A","Dates=H","DateFormat=P","Fill=—","Direction=H","UseDPDF=Y")</f>
        <v>#NAME?</v>
      </c>
      <c r="CO318" s="1" t="e">
        <f ca="1">_xll.BDH($C$303,"NET_DEBT_%_CAPITAL","FY 2017","FY 2017","Currency=INR","Period=FY","BEST_FPERIOD_OVERRIDE=FY","FILING_STATUS=OR","EQY_CONSOLIDATED=Y","Sort=A","Dates=H","DateFormat=P","Fill=—","Direction=H","UseDPDF=Y")</f>
        <v>#NAME?</v>
      </c>
      <c r="CP318" s="2" t="e">
        <f ca="1">_xll.BDH($C$303,"EBITDA","FY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18" s="2" t="e">
        <f ca="1">_xll.BDH($C$303,"EBITDA_AFTER_CAPEX","FY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18" s="2" t="e">
        <f ca="1">_xll.BDH($C$303,"IS_OPER_INC","FY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18" s="1" t="e">
        <f ca="1">_xll.BDH($C$303,"CASH_RATIO","FY 2017","FY 2017","Currency=INR","Period=FY","BEST_FPERIOD_OVERRIDE=FY","FILING_STATUS=OR","EQY_CONSOLIDATED=Y","Sort=A","Dates=H","DateFormat=P","Fill=—","Direction=H","UseDPDF=Y")</f>
        <v>#NAME?</v>
      </c>
      <c r="CT318" s="1" t="e">
        <f ca="1">_xll.BDH($C$303,"CUR_RATIO","FY 2017","FY 2017","Currency=INR","Period=FY","BEST_FPERIOD_OVERRIDE=FY","FILING_STATUS=OR","EQY_CONSOLIDATED=Y","Sort=A","Dates=H","DateFormat=P","Fill=—","Direction=H","UseDPDF=Y")</f>
        <v>#NAME?</v>
      </c>
      <c r="CU318" s="1" t="e">
        <f ca="1">_xll.BDH($C$303,"QUICK_RATIO","FY 2017","FY 2017","Currency=INR","Period=FY","BEST_FPERIOD_OVERRIDE=FY","FILING_STATUS=OR","EQY_CONSOLIDATED=Y","Sort=A","Dates=H","DateFormat=P","Fill=—","Direction=H","UseDPDF=Y")</f>
        <v>#NAME?</v>
      </c>
      <c r="CV318" s="1" t="e">
        <f ca="1">_xll.BDH($C$303,"ALTMAN_Z_SCORE","FY 2017","FY 2017","Currency=INR","Period=FY","BEST_FPERIOD_OVERRIDE=FY","FILING_STATUS=OR","EQY_CONSOLIDATED=Y","Sort=A","Dates=H","DateFormat=P","Fill=—","Direction=H","UseDPDF=Y")</f>
        <v>#NAME?</v>
      </c>
      <c r="CW318" s="3" t="e">
        <f ca="1">_xll.BDH($C$303,"ACCT_RCV_TURN","FY 2017","FY 2017","Currency=INR","Period=FY","BEST_FPERIOD_OVERRIDE=FY","FILING_STATUS=OR","EQY_CONSOLIDATED=Y","FA_ADJUSTED=GAAP","Sort=A","Dates=H","DateFormat=P","Fill=—","Direction=H","UseDPDF=Y")</f>
        <v>#NAME?</v>
      </c>
      <c r="CX318" s="1" t="e">
        <f ca="1">_xll.BDH($C$303,"ACCT_RCV_DAYS","FY 2017","FY 2017","Currency=INR","Period=FY","BEST_FPERIOD_OVERRIDE=FY","FILING_STATUS=OR","EQY_CONSOLIDATED=Y","FA_ADJUSTED=GAAP","Sort=A","Dates=H","DateFormat=P","Fill=—","Direction=H","UseDPDF=Y")</f>
        <v>#NAME?</v>
      </c>
      <c r="CY318" s="3" t="e">
        <f ca="1">_xll.BDH($C$303,"INVENT_TURN","FY 2017","FY 2017","Currency=INR","Period=FY","BEST_FPERIOD_OVERRIDE=FY","FILING_STATUS=OR","EQY_CONSOLIDATED=Y","FA_ADJUSTED=GAAP","Sort=A","Dates=H","DateFormat=P","Fill=—","Direction=H","UseDPDF=Y")</f>
        <v>#NAME?</v>
      </c>
      <c r="CZ318" s="1" t="e">
        <f ca="1">_xll.BDH($C$303,"INVENT_DAYS","FY 2017","FY 2017","Currency=INR","Period=FY","BEST_FPERIOD_OVERRIDE=FY","FILING_STATUS=OR","EQY_CONSOLIDATED=Y","FA_ADJUSTED=GAAP","Sort=A","Dates=H","DateFormat=P","Fill=—","Direction=H","UseDPDF=Y")</f>
        <v>#NAME?</v>
      </c>
      <c r="DA318" s="3" t="e">
        <f ca="1">_xll.BDH($C$303,"ACCOUNTS_PAYABLE_TURNOVER","FY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18" s="1" t="e">
        <f ca="1">_xll.BDH($C$303,"ACCOUNTS_PAYABLE_TURNOVER_DAYS","FY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18" s="3" t="e">
        <f ca="1">_xll.BDH($C$303,"CASH_CONVERSION_CYCLE","FY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18" s="3" t="e">
        <f ca="1">_xll.BDH($C$303,"INV_TO_CASH_DAYS","FY 2017","FY 2017","Currency=INR","Period=FY","BEST_FPERIOD_OVERRIDE=FY","FILING_STATUS=OR","EQY_CONSOLIDATED=Y","FA_ADJUSTED=GAAP","Sort=A","Dates=H","DateFormat=P","Fill=—","Direction=H","UseDPDF=Y")</f>
        <v>#NAME?</v>
      </c>
      <c r="DE318" s="4" t="e">
        <f ca="1">_xll.BDH($C$303,"BS_INVENTORIES","FY 2017","FY 2017","Currency=INR","Period=FY","BEST_FPERIOD_OVERRIDE=FY","FILING_STATUS=OR","EQY_CONSOLIDATED=Y","SCALING_FORMAT=MLN","Sort=A","Dates=H","DateFormat=P","Fill=—","Direction=H","UseDPDF=Y")</f>
        <v>#NAME?</v>
      </c>
      <c r="DF318" s="2" t="e">
        <f ca="1">_xll.BDH($C$303,"INVTRY_RAW_MATERIALS","FY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18" s="2" t="e">
        <f ca="1">_xll.BDH($C$303,"INVTRY_IN_PROGRESS","FY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18" s="2" t="e">
        <f ca="1">_xll.BDH($C$303,"INVTRY_FINISHED_GOODS","FY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18" s="2" t="e">
        <f ca="1">_xll.BDH($C$303,"BS_OTHER_INV","FY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19" spans="1:113" x14ac:dyDescent="0.3">
      <c r="A319" s="6"/>
      <c r="B319" s="6"/>
      <c r="C319" s="6"/>
      <c r="D319" s="6"/>
      <c r="E319" t="s">
        <v>4</v>
      </c>
      <c r="F319" t="e">
        <f ca="1">_xll.BDH($C$303,"RETURN_COM_EQY","FQ1 2017","FQ1 2017","Currency=INR","Period=FQ","BEST_FPERIOD_OVERRIDE=FQ","FILING_STATUS=OR","EQY_CONSOLIDATED=Y","FA_ADJUSTED=GAAP","Sort=A","Dates=H","DateFormat=P","Fill=—","Direction=H","UseDPDF=Y")</f>
        <v>#NAME?</v>
      </c>
      <c r="G319" t="e">
        <f ca="1">_xll.BDH($C$303,"RETURN_ON_ASSET","FQ1 2017","FQ1 2017","Currency=INR","Period=FQ","BEST_FPERIOD_OVERRIDE=FQ","FILING_STATUS=OR","EQY_CONSOLIDATED=Y","FA_ADJUSTED=GAAP","Sort=A","Dates=H","DateFormat=P","Fill=—","Direction=H","UseDPDF=Y")</f>
        <v>#NAME?</v>
      </c>
      <c r="H319" t="e">
        <f ca="1">_xll.BDH($C$303,"RETURN_ON_CAP","FQ1 2017","FQ1 2017","Currency=INR","Period=FQ","BEST_FPERIOD_OVERRIDE=FQ","FILING_STATUS=OR","EQY_CONSOLIDATED=Y","FA_ADJUSTED=GAAP","Sort=A","Dates=H","DateFormat=P","Fill=—","Direction=H","UseDPDF=Y")</f>
        <v>#NAME?</v>
      </c>
      <c r="I319" t="e">
        <f ca="1">_xll.BDH($C$303,"RETURN_ON_INV_CAPITAL","FQ1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19" t="e">
        <f ca="1">_xll.BDH($C$303,"EBITDA_TO_REVENUE","FQ1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319" t="e">
        <f ca="1">_xll.BDH($C$303,"OPER_MARGIN","FQ1 2017","FQ1 2017","Currency=INR","Period=FQ","BEST_FPERIOD_OVERRIDE=FQ","FILING_STATUS=OR","EQY_CONSOLIDATED=Y","FA_ADJUSTED=GAAP","Sort=A","Dates=H","DateFormat=P","Fill=—","Direction=H","UseDPDF=Y")</f>
        <v>#NAME?</v>
      </c>
      <c r="L319" t="e">
        <f ca="1">_xll.BDH($C$303,"INCREMENTAL_OPERATING_MARGIN","FQ1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19" t="e">
        <f ca="1">_xll.BDH($C$303,"PRETAX_INC_TO_NET_SALES","FQ1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19" t="e">
        <f ca="1">_xll.BDH($C$303,"INC_BEF_XO_ITEMS_TO_NET_SALES","FQ1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19" t="e">
        <f ca="1">_xll.BDH($C$303,"PROF_MARGIN","FQ1 2017","FQ1 2017","Currency=INR","Period=FQ","BEST_FPERIOD_OVERRIDE=FQ","FILING_STATUS=OR","EQY_CONSOLIDATED=Y","FA_ADJUSTED=GAAP","Sort=A","Dates=H","DateFormat=P","Fill=—","Direction=H","UseDPDF=Y")</f>
        <v>#NAME?</v>
      </c>
      <c r="P319" t="e">
        <f ca="1">_xll.BDH($C$303,"NET_INCOME_TO_COMMON_MARGIN","FQ1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19" t="e">
        <f ca="1">_xll.BDH($C$303,"EFF_TAX_RATE","FQ1 2017","FQ1 2017","Currency=INR","Period=FQ","BEST_FPERIOD_OVERRIDE=FQ","FILING_STATUS=OR","EQY_CONSOLIDATED=Y","FA_ADJUSTED=GAAP","Sort=A","Dates=H","DateFormat=P","Fill=—","Direction=H","UseDPDF=Y")</f>
        <v>#NAME?</v>
      </c>
      <c r="R319" t="e">
        <f ca="1">_xll.BDH($C$303,"DVD_PAYOUT_RATIO","FQ1 2017","FQ1 2017","Currency=INR","Period=FQ","BEST_FPERIOD_OVERRIDE=FQ","FILING_STATUS=OR","EQY_CONSOLIDATED=Y","FA_ADJUSTED=GAAP","Sort=A","Dates=H","DateFormat=P","Fill=—","Direction=H","UseDPDF=Y")</f>
        <v>#NAME?</v>
      </c>
      <c r="S319" t="e">
        <f ca="1">_xll.BDH($C$303,"SUSTAIN_GROWTH_RT","FQ1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319" s="1" t="e">
        <f ca="1">_xll.BDH($C$303,"SALES_GROWTH","FQ1 2017","FQ1 2017","Currency=INR","Period=FQ","BEST_FPERIOD_OVERRIDE=FQ","FILING_STATUS=OR","EQY_CONSOLIDATED=Y","FA_ADJUSTED=GAAP","Sort=A","Dates=H","DateFormat=P","Fill=—","Direction=H","UseDPDF=Y")</f>
        <v>#NAME?</v>
      </c>
      <c r="U319" s="1" t="e">
        <f ca="1">_xll.BDH($C$303,"EBITDA_GROWTH","FQ1 2017","FQ1 2017","Currency=INR","Period=FQ","BEST_FPERIOD_OVERRIDE=FQ","FILING_STATUS=OR","EQY_CONSOLIDATED=Y","FA_ADJUSTED=GAAP","Sort=A","Dates=H","DateFormat=P","Fill=—","Direction=H","UseDPDF=Y")</f>
        <v>#NAME?</v>
      </c>
      <c r="V319" s="1" t="e">
        <f ca="1">_xll.BDH($C$303,"OPER_INC_GROWTH","FQ1 2017","FQ1 2017","Currency=INR","Period=FQ","BEST_FPERIOD_OVERRIDE=FQ","FILING_STATUS=OR","EQY_CONSOLIDATED=Y","FA_ADJUSTED=GAAP","Sort=A","Dates=H","DateFormat=P","Fill=—","Direction=H","UseDPDF=Y")</f>
        <v>#NAME?</v>
      </c>
      <c r="W319" s="1" t="e">
        <f ca="1">_xll.BDH($C$303,"EARN_FOR_COM_GROWTH","FQ1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19" s="1" t="e">
        <f ca="1">_xll.BDH($C$303,"DILUTED_EPS_AFT_XO_ITEMS_GROWTH","FQ1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19" s="1" t="e">
        <f ca="1">_xll.BDH($C$303,"DIVIDEND_PER_SHARE_1_YEAR_GROWTH","FQ1 2017","FQ1 2017","Currency=INR","Period=FQ","BEST_FPERIOD_OVERRIDE=FQ","FILING_STATUS=OR","EQY_CONSOLIDATED=Y","Sort=A","Dates=H","DateFormat=P","Fill=—","Direction=H","UseDPDF=Y")</f>
        <v>#NAME?</v>
      </c>
      <c r="Z319" s="1" t="e">
        <f ca="1">_xll.BDH($C$303,"ACCOUNTS_RECEIVABLE_GROWTH","FQ1 2017","FQ1 2017","Currency=INR","Period=FQ","BEST_FPERIOD_OVERRIDE=FQ","FILING_STATUS=OR","EQY_CONSOLIDATED=Y","Sort=A","Dates=H","DateFormat=P","Fill=—","Direction=H","UseDPDF=Y")</f>
        <v>#NAME?</v>
      </c>
      <c r="AA319" s="1" t="e">
        <f ca="1">_xll.BDH($C$303,"INVENTORY_GROWTH","FQ1 2017","FQ1 2017","Currency=INR","Period=FQ","BEST_FPERIOD_OVERRIDE=FQ","FILING_STATUS=OR","EQY_CONSOLIDATED=Y","Sort=A","Dates=H","DateFormat=P","Fill=—","Direction=H","UseDPDF=Y")</f>
        <v>#NAME?</v>
      </c>
      <c r="AB319" s="1" t="e">
        <f ca="1">_xll.BDH($C$303,"NET_FIXED_ASSETS_1_YEAR_GROWTH","FQ1 2017","FQ1 2017","Currency=INR","Period=FQ","BEST_FPERIOD_OVERRIDE=FQ","FILING_STATUS=OR","EQY_CONSOLIDATED=Y","Sort=A","Dates=H","DateFormat=P","Fill=—","Direction=H","UseDPDF=Y")</f>
        <v>#NAME?</v>
      </c>
      <c r="AC319" s="1" t="e">
        <f ca="1">_xll.BDH($C$303,"ASSET_GROWTH","FQ1 2017","FQ1 2017","Currency=INR","Period=FQ","BEST_FPERIOD_OVERRIDE=FQ","FILING_STATUS=OR","EQY_CONSOLIDATED=Y","Sort=A","Dates=H","DateFormat=P","Fill=—","Direction=H","UseDPDF=Y")</f>
        <v>#NAME?</v>
      </c>
      <c r="AD319" s="1" t="e">
        <f ca="1">_xll.BDH($C$303,"MODIFIED_WORK_CAP_GROWTH","FQ1 2017","FQ1 2017","Currency=INR","Period=FQ","BEST_FPERIOD_OVERRIDE=FQ","FILING_STATUS=OR","EQY_CONSOLIDATED=Y","Sort=A","Dates=H","DateFormat=P","Fill=—","Direction=H","UseDPDF=Y")</f>
        <v>#NAME?</v>
      </c>
      <c r="AE319" s="1" t="e">
        <f ca="1">_xll.BDH($C$303,"WORK_CAP_GROWTH","FQ1 2017","FQ1 2017","Currency=INR","Period=FQ","BEST_FPERIOD_OVERRIDE=FQ","FILING_STATUS=OR","EQY_CONSOLIDATED=Y","Sort=A","Dates=H","DateFormat=P","Fill=—","Direction=H","UseDPDF=Y")</f>
        <v>#NAME?</v>
      </c>
      <c r="AF319" s="1" t="e">
        <f ca="1">_xll.BDH($C$303,"ACCOUNTS_PAYABLE_GROWTH_1YR","FQ1 2017","FQ1 2017","Currency=INR","Period=FQ","BEST_FPERIOD_OVERRIDE=FQ","FILING_STATUS=OR","EQY_CONSOLIDATED=Y","Sort=A","Dates=H","DateFormat=P","Fill=—","Direction=H","UseDPDF=Y")</f>
        <v>#NAME?</v>
      </c>
      <c r="AG319" s="1" t="e">
        <f ca="1">_xll.BDH($C$303,"SHORT_TERM_DEBT_1_YEAR_GROWTH","FQ1 2017","FQ1 2017","Currency=INR","Period=FQ","BEST_FPERIOD_OVERRIDE=FQ","FILING_STATUS=OR","EQY_CONSOLIDATED=Y","Sort=A","Dates=H","DateFormat=P","Fill=—","Direction=H","UseDPDF=Y")</f>
        <v>#NAME?</v>
      </c>
      <c r="AH319" s="1" t="e">
        <f ca="1">_xll.BDH($C$303,"TOTAL_DEBT_1_YEAR_GROWTH","FQ1 2017","FQ1 2017","Currency=INR","Period=FQ","BEST_FPERIOD_OVERRIDE=FQ","FILING_STATUS=OR","EQY_CONSOLIDATED=Y","Sort=A","Dates=H","DateFormat=P","Fill=—","Direction=H","UseDPDF=Y")</f>
        <v>#NAME?</v>
      </c>
      <c r="AI319" s="1" t="e">
        <f ca="1">_xll.BDH($C$303,"TOTAL_EQUITY_1_YEAR_GROWTH","FQ1 2017","FQ1 2017","Currency=INR","Period=FQ","BEST_FPERIOD_OVERRIDE=FQ","FILING_STATUS=OR","EQY_CONSOLIDATED=Y","Sort=A","Dates=H","DateFormat=P","Fill=—","Direction=H","UseDPDF=Y")</f>
        <v>#NAME?</v>
      </c>
      <c r="AJ319" s="1" t="e">
        <f ca="1">_xll.BDH($C$303,"GROWTH_IN_CAP","FQ1 2017","FQ1 2017","Currency=INR","Period=FQ","BEST_FPERIOD_OVERRIDE=FQ","FILING_STATUS=OR","EQY_CONSOLIDATED=Y","Sort=A","Dates=H","DateFormat=P","Fill=—","Direction=H","UseDPDF=Y")</f>
        <v>#NAME?</v>
      </c>
      <c r="AK319" s="1" t="e">
        <f ca="1">_xll.BDH($C$303,"BVPS_GROWTH","FQ1 2017","FQ1 2017","Currency=INR","Period=FQ","BEST_FPERIOD_OVERRIDE=FQ","FILING_STATUS=OR","EQY_CONSOLIDATED=Y","Sort=A","Dates=H","DateFormat=P","Fill=—","Direction=H","UseDPDF=Y")</f>
        <v>#NAME?</v>
      </c>
      <c r="AL319" s="1" t="e">
        <f ca="1">_xll.BDH($C$303,"CASH_FLOW_GROWTH","FQ1 2017","FQ1 2017","Currency=INR","Period=FQ","BEST_FPERIOD_OVERRIDE=FQ","FILING_STATUS=OR","EQY_CONSOLIDATED=Y","Sort=A","Dates=H","DateFormat=P","Fill=—","Direction=H","UseDPDF=Y")</f>
        <v>#NAME?</v>
      </c>
      <c r="AM319" s="1" t="e">
        <f ca="1">_xll.BDH($C$303,"GEO_GROW_NET_SALES","FQ1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19" s="1" t="e">
        <f ca="1">_xll.BDH($C$303,"GEO_GROW_EBITDA","FQ1 2017","FQ1 2017","Currency=INR","Period=FQ","BEST_FPERIOD_OVERRIDE=FQ","FILING_STATUS=OR","EQY_CONSOLIDATED=Y","FA_ADJUSTED=GAAP","Sort=A","Dates=H","DateFormat=P","Fill=—","Direction=H","UseDPDF=Y")</f>
        <v>#NAME?</v>
      </c>
      <c r="AO319" s="1" t="e">
        <f ca="1">_xll.BDH($C$303,"GEO_GROW_OPER_INC","FQ1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19" s="1" t="e">
        <f ca="1">_xll.BDH($C$303,"NET_INCOME_TO_COMMON_5_YR_GROWTH","FQ1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19" s="1" t="e">
        <f ca="1">_xll.BDH($C$303,"5Y_GEO_GROWTH_DILUTED_EPS","FQ1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19" s="1" t="e">
        <f ca="1">_xll.BDH($C$303,"GEO_GROW_DVD_PER_SH","FQ1 2017","FQ1 2017","Currency=INR","Period=FQ","BEST_FPERIOD_OVERRIDE=FQ","FILING_STATUS=OR","EQY_CONSOLIDATED=Y","Sort=A","Dates=H","DateFormat=P","Fill=—","Direction=H","UseDPDF=Y")</f>
        <v>#NAME?</v>
      </c>
      <c r="AS319" s="1" t="e">
        <f ca="1">_xll.BDH($C$303,"ACCOUNTS_RECEIVABLE_5_YR_GROWTH","FQ1 2017","FQ1 2017","Currency=INR","Period=FQ","BEST_FPERIOD_OVERRIDE=FQ","FILING_STATUS=OR","EQY_CONSOLIDATED=Y","Sort=A","Dates=H","DateFormat=P","Fill=—","Direction=H","UseDPDF=Y")</f>
        <v>#NAME?</v>
      </c>
      <c r="AT319" s="1" t="e">
        <f ca="1">_xll.BDH($C$303,"INVENTORY_5_YEAR_GROWTH","FQ1 2017","FQ1 2017","Currency=INR","Period=FQ","BEST_FPERIOD_OVERRIDE=FQ","FILING_STATUS=OR","EQY_CONSOLIDATED=Y","Sort=A","Dates=H","DateFormat=P","Fill=—","Direction=H","UseDPDF=Y")</f>
        <v>#NAME?</v>
      </c>
      <c r="AU319" s="1" t="e">
        <f ca="1">_xll.BDH($C$303,"NET_FIXED_ASSETS_5_YEAR_GROWTH","FQ1 2017","FQ1 2017","Currency=INR","Period=FQ","BEST_FPERIOD_OVERRIDE=FQ","FILING_STATUS=OR","EQY_CONSOLIDATED=Y","Sort=A","Dates=H","DateFormat=P","Fill=—","Direction=H","UseDPDF=Y")</f>
        <v>#NAME?</v>
      </c>
      <c r="AV319" s="1" t="e">
        <f ca="1">_xll.BDH($C$303,"GEO_GROW_TOT_ASSET","FQ1 2017","FQ1 2017","Currency=INR","Period=FQ","BEST_FPERIOD_OVERRIDE=FQ","FILING_STATUS=OR","EQY_CONSOLIDATED=Y","Sort=A","Dates=H","DateFormat=P","Fill=—","Direction=H","UseDPDF=Y")</f>
        <v>#NAME?</v>
      </c>
      <c r="AW319" s="1" t="e">
        <f ca="1">_xll.BDH($C$303,"MODIFIED_WORKING_CPTL_5YR_GRWTH","FQ1 2017","FQ1 2017","Currency=INR","Period=FQ","BEST_FPERIOD_OVERRIDE=FQ","FILING_STATUS=OR","EQY_CONSOLIDATED=Y","Sort=A","Dates=H","DateFormat=P","Fill=—","Direction=H","UseDPDF=Y")</f>
        <v>#NAME?</v>
      </c>
      <c r="AX319" s="1" t="e">
        <f ca="1">_xll.BDH($C$303,"WORKING_CAPITAL_5_YEAR_GROWTH","FQ1 2017","FQ1 2017","Currency=INR","Period=FQ","BEST_FPERIOD_OVERRIDE=FQ","FILING_STATUS=OR","EQY_CONSOLIDATED=Y","Sort=A","Dates=H","DateFormat=P","Fill=—","Direction=H","UseDPDF=Y")</f>
        <v>#NAME?</v>
      </c>
      <c r="AY319" s="1" t="e">
        <f ca="1">_xll.BDH($C$303,"ACCOUNTS_PAYABLE_5_YEAR_GROWTH","FQ1 2017","FQ1 2017","Currency=INR","Period=FQ","BEST_FPERIOD_OVERRIDE=FQ","FILING_STATUS=OR","EQY_CONSOLIDATED=Y","Sort=A","Dates=H","DateFormat=P","Fill=—","Direction=H","UseDPDF=Y")</f>
        <v>#NAME?</v>
      </c>
      <c r="AZ319" s="1" t="e">
        <f ca="1">_xll.BDH($C$303,"SHORT_TERM_DEBT_5_YEAR_GROWTH","FQ1 2017","FQ1 2017","Currency=INR","Period=FQ","BEST_FPERIOD_OVERRIDE=FQ","FILING_STATUS=OR","EQY_CONSOLIDATED=Y","Sort=A","Dates=H","DateFormat=P","Fill=—","Direction=H","UseDPDF=Y")</f>
        <v>#NAME?</v>
      </c>
      <c r="BA319" s="1" t="e">
        <f ca="1">_xll.BDH($C$303,"TOTAL_DEBT_5_YEAR_GROWTH","FQ1 2017","FQ1 2017","Currency=INR","Period=FQ","BEST_FPERIOD_OVERRIDE=FQ","FILING_STATUS=OR","EQY_CONSOLIDATED=Y","Sort=A","Dates=H","DateFormat=P","Fill=—","Direction=H","UseDPDF=Y")</f>
        <v>#NAME?</v>
      </c>
      <c r="BB319" s="1" t="e">
        <f ca="1">_xll.BDH($C$303,"GEO_GROW_TOT_SHRHLDR_EQY","FQ1 2017","FQ1 2017","Currency=INR","Period=FQ","BEST_FPERIOD_OVERRIDE=FQ","FILING_STATUS=OR","EQY_CONSOLIDATED=Y","Sort=A","Dates=H","DateFormat=P","Fill=—","Direction=H","UseDPDF=Y")</f>
        <v>#NAME?</v>
      </c>
      <c r="BC319" s="1" t="e">
        <f ca="1">_xll.BDH($C$303,"TOTAL_CAPITAL_5_YEAR_GROWTH","FQ1 2017","FQ1 2017","Currency=INR","Period=FQ","BEST_FPERIOD_OVERRIDE=FQ","FILING_STATUS=OR","EQY_CONSOLIDATED=Y","Sort=A","Dates=H","DateFormat=P","Fill=—","Direction=H","UseDPDF=Y")</f>
        <v>#NAME?</v>
      </c>
      <c r="BD319" s="1" t="e">
        <f ca="1">_xll.BDH($C$303,"GEO_GROW_BOOK_VAL","FQ1 2017","FQ1 2017","Currency=INR","Period=FQ","BEST_FPERIOD_OVERRIDE=FQ","FILING_STATUS=OR","EQY_CONSOLIDATED=Y","Sort=A","Dates=H","DateFormat=P","Fill=—","Direction=H","UseDPDF=Y")</f>
        <v>#NAME?</v>
      </c>
      <c r="BE319" s="1" t="e">
        <f ca="1">_xll.BDH($C$303,"GEO_GROW_CASH_OPER_ACT","FQ1 2017","FQ1 2017","Currency=INR","Period=FQ","BEST_FPERIOD_OVERRIDE=FQ","FILING_STATUS=OR","EQY_CONSOLIDATED=Y","Sort=A","Dates=H","DateFormat=P","Fill=—","Direction=H","UseDPDF=Y")</f>
        <v>#NAME?</v>
      </c>
      <c r="BF319" s="1" t="e">
        <f ca="1">_xll.BDH($C$303,"REVENUE_SEQUENTIAL_GROWTH","FQ1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19" s="1" t="e">
        <f ca="1">_xll.BDH($C$303,"EBITDA_SEQUENTIAL_GROWTH","FQ1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19" s="1" t="e">
        <f ca="1">_xll.BDH($C$303,"OPERATING_INCOME_SEQ_GROWTH","FQ1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19" s="1" t="e">
        <f ca="1">_xll.BDH($C$303,"NET_INCOME_TO_COMMON_SEQ_GROWTH","FQ1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19" s="1" t="e">
        <f ca="1">_xll.BDH($C$303,"EPS_DILUTED_SEQUENTIAL_GROWTH","FQ1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19" s="1" t="e">
        <f ca="1">_xll.BDH($C$303,"DPS_SEQUENTIAL_GROWTH","FQ1 2017","FQ1 2017","Currency=INR","Period=FQ","BEST_FPERIOD_OVERRIDE=FQ","FILING_STATUS=OR","EQY_CONSOLIDATED=Y","Sort=A","Dates=H","DateFormat=P","Fill=—","Direction=H","UseDPDF=Y")</f>
        <v>#NAME?</v>
      </c>
      <c r="BL319" s="1" t="e">
        <f ca="1">_xll.BDH($C$303,"ACCOUNTS_RECEIVABLE_SEQ_GROWTH","FQ1 2017","FQ1 2017","Currency=INR","Period=FQ","BEST_FPERIOD_OVERRIDE=FQ","FILING_STATUS=OR","EQY_CONSOLIDATED=Y","Sort=A","Dates=H","DateFormat=P","Fill=—","Direction=H","UseDPDF=Y")</f>
        <v>#NAME?</v>
      </c>
      <c r="BM319" s="1" t="e">
        <f ca="1">_xll.BDH($C$303,"INVENTORY_SEQUENTIAL_GROWTH","FQ1 2017","FQ1 2017","Currency=INR","Period=FQ","BEST_FPERIOD_OVERRIDE=FQ","FILING_STATUS=OR","EQY_CONSOLIDATED=Y","Sort=A","Dates=H","DateFormat=P","Fill=—","Direction=H","UseDPDF=Y")</f>
        <v>#NAME?</v>
      </c>
      <c r="BN319" s="1" t="e">
        <f ca="1">_xll.BDH($C$303,"FIXED_ASSETS_SEQUENTIAL_GROWTH","FQ1 2017","FQ1 2017","Currency=INR","Period=FQ","BEST_FPERIOD_OVERRIDE=FQ","FILING_STATUS=OR","EQY_CONSOLIDATED=Y","Sort=A","Dates=H","DateFormat=P","Fill=—","Direction=H","UseDPDF=Y")</f>
        <v>#NAME?</v>
      </c>
      <c r="BO319" s="1" t="e">
        <f ca="1">_xll.BDH($C$303,"TOTAL_ASSETS_SEQUENTIAL_GROWTH","FQ1 2017","FQ1 2017","Currency=INR","Period=FQ","BEST_FPERIOD_OVERRIDE=FQ","FILING_STATUS=OR","EQY_CONSOLIDATED=Y","Sort=A","Dates=H","DateFormat=P","Fill=—","Direction=H","UseDPDF=Y")</f>
        <v>#NAME?</v>
      </c>
      <c r="BP319" s="1" t="e">
        <f ca="1">_xll.BDH($C$303,"MODIFIED_WORKING_CPTL_SEQ_GRWTH","FQ1 2017","FQ1 2017","Currency=INR","Period=FQ","BEST_FPERIOD_OVERRIDE=FQ","FILING_STATUS=OR","EQY_CONSOLIDATED=Y","Sort=A","Dates=H","DateFormat=P","Fill=—","Direction=H","UseDPDF=Y")</f>
        <v>#NAME?</v>
      </c>
      <c r="BQ319" s="1" t="e">
        <f ca="1">_xll.BDH($C$303,"WORKING_CAPITAL_SEQ_GROWTH","FQ1 2017","FQ1 2017","Currency=INR","Period=FQ","BEST_FPERIOD_OVERRIDE=FQ","FILING_STATUS=OR","EQY_CONSOLIDATED=Y","Sort=A","Dates=H","DateFormat=P","Fill=—","Direction=H","UseDPDF=Y")</f>
        <v>#NAME?</v>
      </c>
      <c r="BR319" s="1" t="e">
        <f ca="1">_xll.BDH($C$303,"ACCOUNTS_PAYABLE_SEQ_GROWTH","FQ1 2017","FQ1 2017","Currency=INR","Period=FQ","BEST_FPERIOD_OVERRIDE=FQ","FILING_STATUS=OR","EQY_CONSOLIDATED=Y","Sort=A","Dates=H","DateFormat=P","Fill=—","Direction=H","UseDPDF=Y")</f>
        <v>#NAME?</v>
      </c>
      <c r="BS319" s="1" t="e">
        <f ca="1">_xll.BDH($C$303,"ST_DEBT_SEQUENTIAL_GROWTH","FQ1 2017","FQ1 2017","Currency=INR","Period=FQ","BEST_FPERIOD_OVERRIDE=FQ","FILING_STATUS=OR","EQY_CONSOLIDATED=Y","Sort=A","Dates=H","DateFormat=P","Fill=—","Direction=H","UseDPDF=Y")</f>
        <v>#NAME?</v>
      </c>
      <c r="BT319" s="1" t="e">
        <f ca="1">_xll.BDH($C$303,"TOTAL_DEBT_SEQUENTIAL_GROWTH","FQ1 2017","FQ1 2017","Currency=INR","Period=FQ","BEST_FPERIOD_OVERRIDE=FQ","FILING_STATUS=OR","EQY_CONSOLIDATED=Y","Sort=A","Dates=H","DateFormat=P","Fill=—","Direction=H","UseDPDF=Y")</f>
        <v>#NAME?</v>
      </c>
      <c r="BU319" s="1" t="e">
        <f ca="1">_xll.BDH($C$303,"TOTAL_EQUITY_SEQUENTIAL_GROWTH","FQ1 2017","FQ1 2017","Currency=INR","Period=FQ","BEST_FPERIOD_OVERRIDE=FQ","FILING_STATUS=OR","EQY_CONSOLIDATED=Y","Sort=A","Dates=H","DateFormat=P","Fill=—","Direction=H","UseDPDF=Y")</f>
        <v>#NAME?</v>
      </c>
      <c r="BV319" s="1" t="e">
        <f ca="1">_xll.BDH($C$303,"TOTAL_CAPITAL_SEQUENTIAL_GROWTH","FQ1 2017","FQ1 2017","Currency=INR","Period=FQ","BEST_FPERIOD_OVERRIDE=FQ","FILING_STATUS=OR","EQY_CONSOLIDATED=Y","Sort=A","Dates=H","DateFormat=P","Fill=—","Direction=H","UseDPDF=Y")</f>
        <v>#NAME?</v>
      </c>
      <c r="BW319" s="1" t="e">
        <f ca="1">_xll.BDH($C$303,"BPS_SEQUENTIAL_GROWTH","FQ1 2017","FQ1 2017","Currency=INR","Period=FQ","BEST_FPERIOD_OVERRIDE=FQ","FILING_STATUS=OR","EQY_CONSOLIDATED=Y","Sort=A","Dates=H","DateFormat=P","Fill=—","Direction=H","UseDPDF=Y")</f>
        <v>#NAME?</v>
      </c>
      <c r="BX319" s="1" t="e">
        <f ca="1">_xll.BDH($C$303,"CFO_SEQUENTIAL_GROWTH","FQ1 2017","FQ1 2017","Currency=INR","Period=FQ","BEST_FPERIOD_OVERRIDE=FQ","FILING_STATUS=OR","EQY_CONSOLIDATED=Y","Sort=A","Dates=H","DateFormat=P","Fill=—","Direction=H","UseDPDF=Y")</f>
        <v>#NAME?</v>
      </c>
      <c r="BY319" s="2" t="e">
        <f ca="1">_xll.BDH($C$303,"SHORT_AND_LONG_TERM_DEBT","FQ1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19" s="2" t="e">
        <f ca="1">_xll.BDH($C$303,"BS_ST_BORROW","FQ1 2017","FQ1 2017","Currency=INR","Period=FQ","BEST_FPERIOD_OVERRIDE=FQ","FILING_STATUS=OR","EQY_CONSOLIDATED=Y","SCALING_FORMAT=MLN","Sort=A","Dates=H","DateFormat=P","Fill=—","Direction=H","UseDPDF=Y")</f>
        <v>#NAME?</v>
      </c>
      <c r="CA319" s="2" t="e">
        <f ca="1">_xll.BDH($C$303,"BS_LT_BORROW","FQ1 2017","FQ1 2017","Currency=INR","Period=FQ","BEST_FPERIOD_OVERRIDE=FQ","FILING_STATUS=OR","EQY_CONSOLIDATED=Y","SCALING_FORMAT=MLN","Sort=A","Dates=H","DateFormat=P","Fill=—","Direction=H","UseDPDF=Y")</f>
        <v>#NAME?</v>
      </c>
      <c r="CB319" s="1" t="e">
        <f ca="1">_xll.BDH($C$303,"TOT_DEBT_TO_EBITDA","FQ1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19" s="1" t="e">
        <f ca="1">_xll.BDH($C$303,"NET_DEBT_TO_EBITDA","FQ1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19" s="1" t="e">
        <f ca="1">_xll.BDH($C$303,"TOTAL_DEBT_TO_EBIT","FQ1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19" s="1" t="e">
        <f ca="1">_xll.BDH($C$303,"NET_DEBT_TO_EBIT","FQ1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319" s="1" t="e">
        <f ca="1">_xll.BDH($C$303,"EBITDA_TO_INTEREST_EXPN","FQ1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19" s="1" t="e">
        <f ca="1">_xll.BDH($C$303,"COM_EQY_TO_TOT_ASSET","FQ1 2017","FQ1 2017","Currency=INR","Period=FQ","BEST_FPERIOD_OVERRIDE=FQ","FILING_STATUS=OR","EQY_CONSOLIDATED=Y","Sort=A","Dates=H","DateFormat=P","Fill=—","Direction=H","UseDPDF=Y")</f>
        <v>#NAME?</v>
      </c>
      <c r="CH319" s="1" t="e">
        <f ca="1">_xll.BDH($C$303,"LT_DEBT_TO_TOT_EQY","FQ1 2017","FQ1 2017","Currency=INR","Period=FQ","BEST_FPERIOD_OVERRIDE=FQ","FILING_STATUS=OR","EQY_CONSOLIDATED=Y","Sort=A","Dates=H","DateFormat=P","Fill=—","Direction=H","UseDPDF=Y")</f>
        <v>#NAME?</v>
      </c>
      <c r="CI319" s="1" t="e">
        <f ca="1">_xll.BDH($C$303,"LT_DEBT_TO_TOT_CAP","FQ1 2017","FQ1 2017","Currency=INR","Period=FQ","BEST_FPERIOD_OVERRIDE=FQ","FILING_STATUS=OR","EQY_CONSOLIDATED=Y","Sort=A","Dates=H","DateFormat=P","Fill=—","Direction=H","UseDPDF=Y")</f>
        <v>#NAME?</v>
      </c>
      <c r="CJ319" s="1" t="e">
        <f ca="1">_xll.BDH($C$303,"LT_DEBT_TO_TOT_ASSET","FQ1 2017","FQ1 2017","Currency=INR","Period=FQ","BEST_FPERIOD_OVERRIDE=FQ","FILING_STATUS=OR","EQY_CONSOLIDATED=Y","Sort=A","Dates=H","DateFormat=P","Fill=—","Direction=H","UseDPDF=Y")</f>
        <v>#NAME?</v>
      </c>
      <c r="CK319" s="1" t="e">
        <f ca="1">_xll.BDH($C$303,"TOT_DEBT_TO_TOT_EQY","FQ1 2017","FQ1 2017","Currency=INR","Period=FQ","BEST_FPERIOD_OVERRIDE=FQ","FILING_STATUS=OR","EQY_CONSOLIDATED=Y","Sort=A","Dates=H","DateFormat=P","Fill=—","Direction=H","UseDPDF=Y")</f>
        <v>#NAME?</v>
      </c>
      <c r="CL319" s="1" t="e">
        <f ca="1">_xll.BDH($C$303,"TOT_DEBT_TO_TOT_CAP","FQ1 2017","FQ1 2017","Currency=INR","Period=FQ","BEST_FPERIOD_OVERRIDE=FQ","FILING_STATUS=OR","EQY_CONSOLIDATED=Y","Sort=A","Dates=H","DateFormat=P","Fill=—","Direction=H","UseDPDF=Y")</f>
        <v>#NAME?</v>
      </c>
      <c r="CM319" s="1" t="e">
        <f ca="1">_xll.BDH($C$303,"TOT_DEBT_TO_TOT_ASSET","FQ1 2017","FQ1 2017","Currency=INR","Period=FQ","BEST_FPERIOD_OVERRIDE=FQ","FILING_STATUS=OR","EQY_CONSOLIDATED=Y","Sort=A","Dates=H","DateFormat=P","Fill=—","Direction=H","UseDPDF=Y")</f>
        <v>#NAME?</v>
      </c>
      <c r="CN319" s="1" t="e">
        <f ca="1">_xll.BDH($C$303,"NET_DEBT_TO_SHRHLDR_EQTY","FQ1 2017","FQ1 2017","Currency=INR","Period=FQ","BEST_FPERIOD_OVERRIDE=FQ","FILING_STATUS=OR","EQY_CONSOLIDATED=Y","Sort=A","Dates=H","DateFormat=P","Fill=—","Direction=H","UseDPDF=Y")</f>
        <v>#NAME?</v>
      </c>
      <c r="CO319" s="1" t="e">
        <f ca="1">_xll.BDH($C$303,"NET_DEBT_%_CAPITAL","FQ1 2017","FQ1 2017","Currency=INR","Period=FQ","BEST_FPERIOD_OVERRIDE=FQ","FILING_STATUS=OR","EQY_CONSOLIDATED=Y","Sort=A","Dates=H","DateFormat=P","Fill=—","Direction=H","UseDPDF=Y")</f>
        <v>#NAME?</v>
      </c>
      <c r="CP319" s="2" t="e">
        <f ca="1">_xll.BDH($C$303,"EBITDA","FQ1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19" s="2" t="e">
        <f ca="1">_xll.BDH($C$303,"EBITDA_AFTER_CAPEX","FQ1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19" s="2" t="e">
        <f ca="1">_xll.BDH($C$303,"IS_OPER_INC","FQ1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19" s="1" t="e">
        <f ca="1">_xll.BDH($C$303,"CASH_RATIO","FQ1 2017","FQ1 2017","Currency=INR","Period=FQ","BEST_FPERIOD_OVERRIDE=FQ","FILING_STATUS=OR","EQY_CONSOLIDATED=Y","Sort=A","Dates=H","DateFormat=P","Fill=—","Direction=H","UseDPDF=Y")</f>
        <v>#NAME?</v>
      </c>
      <c r="CT319" s="1" t="e">
        <f ca="1">_xll.BDH($C$303,"CUR_RATIO","FQ1 2017","FQ1 2017","Currency=INR","Period=FQ","BEST_FPERIOD_OVERRIDE=FQ","FILING_STATUS=OR","EQY_CONSOLIDATED=Y","Sort=A","Dates=H","DateFormat=P","Fill=—","Direction=H","UseDPDF=Y")</f>
        <v>#NAME?</v>
      </c>
      <c r="CU319" s="1" t="e">
        <f ca="1">_xll.BDH($C$303,"QUICK_RATIO","FQ1 2017","FQ1 2017","Currency=INR","Period=FQ","BEST_FPERIOD_OVERRIDE=FQ","FILING_STATUS=OR","EQY_CONSOLIDATED=Y","Sort=A","Dates=H","DateFormat=P","Fill=—","Direction=H","UseDPDF=Y")</f>
        <v>#NAME?</v>
      </c>
      <c r="CV319" s="1" t="e">
        <f ca="1">_xll.BDH($C$303,"ALTMAN_Z_SCORE","FQ1 2017","FQ1 2017","Currency=INR","Period=FQ","BEST_FPERIOD_OVERRIDE=FQ","FILING_STATUS=OR","EQY_CONSOLIDATED=Y","Sort=A","Dates=H","DateFormat=P","Fill=—","Direction=H","UseDPDF=Y")</f>
        <v>#NAME?</v>
      </c>
      <c r="CW319" s="3" t="e">
        <f ca="1">_xll.BDH($C$303,"ACCT_RCV_TURN","FQ1 2017","FQ1 2017","Currency=INR","Period=FQ","BEST_FPERIOD_OVERRIDE=FQ","FILING_STATUS=OR","EQY_CONSOLIDATED=Y","FA_ADJUSTED=GAAP","Sort=A","Dates=H","DateFormat=P","Fill=—","Direction=H","UseDPDF=Y")</f>
        <v>#NAME?</v>
      </c>
      <c r="CX319" s="1" t="e">
        <f ca="1">_xll.BDH($C$303,"ACCT_RCV_DAYS","FQ1 2017","FQ1 2017","Currency=INR","Period=FQ","BEST_FPERIOD_OVERRIDE=FQ","FILING_STATUS=OR","EQY_CONSOLIDATED=Y","FA_ADJUSTED=GAAP","Sort=A","Dates=H","DateFormat=P","Fill=—","Direction=H","UseDPDF=Y")</f>
        <v>#NAME?</v>
      </c>
      <c r="CY319" s="3" t="e">
        <f ca="1">_xll.BDH($C$303,"INVENT_TURN","FQ1 2017","FQ1 2017","Currency=INR","Period=FQ","BEST_FPERIOD_OVERRIDE=FQ","FILING_STATUS=OR","EQY_CONSOLIDATED=Y","FA_ADJUSTED=GAAP","Sort=A","Dates=H","DateFormat=P","Fill=—","Direction=H","UseDPDF=Y")</f>
        <v>#NAME?</v>
      </c>
      <c r="CZ319" s="1" t="e">
        <f ca="1">_xll.BDH($C$303,"INVENT_DAYS","FQ1 2017","FQ1 2017","Currency=INR","Period=FQ","BEST_FPERIOD_OVERRIDE=FQ","FILING_STATUS=OR","EQY_CONSOLIDATED=Y","FA_ADJUSTED=GAAP","Sort=A","Dates=H","DateFormat=P","Fill=—","Direction=H","UseDPDF=Y")</f>
        <v>#NAME?</v>
      </c>
      <c r="DA319" s="3" t="e">
        <f ca="1">_xll.BDH($C$303,"ACCOUNTS_PAYABLE_TURNOVER","FQ1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19" s="1" t="e">
        <f ca="1">_xll.BDH($C$303,"ACCOUNTS_PAYABLE_TURNOVER_DAYS","FQ1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19" s="3" t="e">
        <f ca="1">_xll.BDH($C$303,"CASH_CONVERSION_CYCLE","FQ1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19" s="3" t="e">
        <f ca="1">_xll.BDH($C$303,"INV_TO_CASH_DAYS","FQ1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319" s="4" t="e">
        <f ca="1">_xll.BDH($C$303,"BS_INVENTORIES","FQ1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319" s="2" t="e">
        <f ca="1">_xll.BDH($C$303,"INVTRY_RAW_MATERIALS","FQ1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19" s="2" t="e">
        <f ca="1">_xll.BDH($C$303,"INVTRY_IN_PROGRESS","FQ1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19" s="2" t="e">
        <f ca="1">_xll.BDH($C$303,"INVTRY_FINISHED_GOODS","FQ1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19" s="2" t="e">
        <f ca="1">_xll.BDH($C$303,"BS_OTHER_INV","FQ1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20" spans="1:113" x14ac:dyDescent="0.3">
      <c r="A320" s="6"/>
      <c r="B320" s="6"/>
      <c r="C320" s="6"/>
      <c r="D320" s="6"/>
      <c r="E320" t="s">
        <v>5</v>
      </c>
      <c r="F320" t="e">
        <f ca="1">_xll.BDH($C$303,"RETURN_COM_EQY","FQ2 2017","FQ2 2017","Currency=INR","Period=FQ","BEST_FPERIOD_OVERRIDE=FQ","FILING_STATUS=OR","EQY_CONSOLIDATED=Y","FA_ADJUSTED=GAAP","Sort=A","Dates=H","DateFormat=P","Fill=—","Direction=H","UseDPDF=Y")</f>
        <v>#NAME?</v>
      </c>
      <c r="G320" t="e">
        <f ca="1">_xll.BDH($C$303,"RETURN_ON_ASSET","FQ2 2017","FQ2 2017","Currency=INR","Period=FQ","BEST_FPERIOD_OVERRIDE=FQ","FILING_STATUS=OR","EQY_CONSOLIDATED=Y","FA_ADJUSTED=GAAP","Sort=A","Dates=H","DateFormat=P","Fill=—","Direction=H","UseDPDF=Y")</f>
        <v>#NAME?</v>
      </c>
      <c r="H320" t="e">
        <f ca="1">_xll.BDH($C$303,"RETURN_ON_CAP","FQ2 2017","FQ2 2017","Currency=INR","Period=FQ","BEST_FPERIOD_OVERRIDE=FQ","FILING_STATUS=OR","EQY_CONSOLIDATED=Y","FA_ADJUSTED=GAAP","Sort=A","Dates=H","DateFormat=P","Fill=—","Direction=H","UseDPDF=Y")</f>
        <v>#NAME?</v>
      </c>
      <c r="I320" t="e">
        <f ca="1">_xll.BDH($C$303,"RETURN_ON_INV_CAPITAL","FQ2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20" t="e">
        <f ca="1">_xll.BDH($C$303,"EBITDA_TO_REVENUE","FQ2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320" t="e">
        <f ca="1">_xll.BDH($C$303,"OPER_MARGIN","FQ2 2017","FQ2 2017","Currency=INR","Period=FQ","BEST_FPERIOD_OVERRIDE=FQ","FILING_STATUS=OR","EQY_CONSOLIDATED=Y","FA_ADJUSTED=GAAP","Sort=A","Dates=H","DateFormat=P","Fill=—","Direction=H","UseDPDF=Y")</f>
        <v>#NAME?</v>
      </c>
      <c r="L320" t="e">
        <f ca="1">_xll.BDH($C$303,"INCREMENTAL_OPERATING_MARGIN","FQ2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20" t="e">
        <f ca="1">_xll.BDH($C$303,"PRETAX_INC_TO_NET_SALES","FQ2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20" t="e">
        <f ca="1">_xll.BDH($C$303,"INC_BEF_XO_ITEMS_TO_NET_SALES","FQ2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20" t="e">
        <f ca="1">_xll.BDH($C$303,"PROF_MARGIN","FQ2 2017","FQ2 2017","Currency=INR","Period=FQ","BEST_FPERIOD_OVERRIDE=FQ","FILING_STATUS=OR","EQY_CONSOLIDATED=Y","FA_ADJUSTED=GAAP","Sort=A","Dates=H","DateFormat=P","Fill=—","Direction=H","UseDPDF=Y")</f>
        <v>#NAME?</v>
      </c>
      <c r="P320" t="e">
        <f ca="1">_xll.BDH($C$303,"NET_INCOME_TO_COMMON_MARGIN","FQ2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20" t="e">
        <f ca="1">_xll.BDH($C$303,"EFF_TAX_RATE","FQ2 2017","FQ2 2017","Currency=INR","Period=FQ","BEST_FPERIOD_OVERRIDE=FQ","FILING_STATUS=OR","EQY_CONSOLIDATED=Y","FA_ADJUSTED=GAAP","Sort=A","Dates=H","DateFormat=P","Fill=—","Direction=H","UseDPDF=Y")</f>
        <v>#NAME?</v>
      </c>
      <c r="R320" t="e">
        <f ca="1">_xll.BDH($C$303,"DVD_PAYOUT_RATIO","FQ2 2017","FQ2 2017","Currency=INR","Period=FQ","BEST_FPERIOD_OVERRIDE=FQ","FILING_STATUS=OR","EQY_CONSOLIDATED=Y","FA_ADJUSTED=GAAP","Sort=A","Dates=H","DateFormat=P","Fill=—","Direction=H","UseDPDF=Y")</f>
        <v>#NAME?</v>
      </c>
      <c r="S320" t="e">
        <f ca="1">_xll.BDH($C$303,"SUSTAIN_GROWTH_RT","FQ2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320" s="1" t="e">
        <f ca="1">_xll.BDH($C$303,"SALES_GROWTH","FQ2 2017","FQ2 2017","Currency=INR","Period=FQ","BEST_FPERIOD_OVERRIDE=FQ","FILING_STATUS=OR","EQY_CONSOLIDATED=Y","FA_ADJUSTED=GAAP","Sort=A","Dates=H","DateFormat=P","Fill=—","Direction=H","UseDPDF=Y")</f>
        <v>#NAME?</v>
      </c>
      <c r="U320" s="1" t="e">
        <f ca="1">_xll.BDH($C$303,"EBITDA_GROWTH","FQ2 2017","FQ2 2017","Currency=INR","Period=FQ","BEST_FPERIOD_OVERRIDE=FQ","FILING_STATUS=OR","EQY_CONSOLIDATED=Y","FA_ADJUSTED=GAAP","Sort=A","Dates=H","DateFormat=P","Fill=—","Direction=H","UseDPDF=Y")</f>
        <v>#NAME?</v>
      </c>
      <c r="V320" s="1" t="e">
        <f ca="1">_xll.BDH($C$303,"OPER_INC_GROWTH","FQ2 2017","FQ2 2017","Currency=INR","Period=FQ","BEST_FPERIOD_OVERRIDE=FQ","FILING_STATUS=OR","EQY_CONSOLIDATED=Y","FA_ADJUSTED=GAAP","Sort=A","Dates=H","DateFormat=P","Fill=—","Direction=H","UseDPDF=Y")</f>
        <v>#NAME?</v>
      </c>
      <c r="W320" s="1" t="e">
        <f ca="1">_xll.BDH($C$303,"EARN_FOR_COM_GROWTH","FQ2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20" s="1" t="e">
        <f ca="1">_xll.BDH($C$303,"DILUTED_EPS_AFT_XO_ITEMS_GROWTH","FQ2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20" s="1" t="e">
        <f ca="1">_xll.BDH($C$303,"DIVIDEND_PER_SHARE_1_YEAR_GROWTH","FQ2 2017","FQ2 2017","Currency=INR","Period=FQ","BEST_FPERIOD_OVERRIDE=FQ","FILING_STATUS=OR","EQY_CONSOLIDATED=Y","Sort=A","Dates=H","DateFormat=P","Fill=—","Direction=H","UseDPDF=Y")</f>
        <v>#NAME?</v>
      </c>
      <c r="Z320" s="1" t="e">
        <f ca="1">_xll.BDH($C$303,"ACCOUNTS_RECEIVABLE_GROWTH","FQ2 2017","FQ2 2017","Currency=INR","Period=FQ","BEST_FPERIOD_OVERRIDE=FQ","FILING_STATUS=OR","EQY_CONSOLIDATED=Y","Sort=A","Dates=H","DateFormat=P","Fill=—","Direction=H","UseDPDF=Y")</f>
        <v>#NAME?</v>
      </c>
      <c r="AA320" s="1" t="e">
        <f ca="1">_xll.BDH($C$303,"INVENTORY_GROWTH","FQ2 2017","FQ2 2017","Currency=INR","Period=FQ","BEST_FPERIOD_OVERRIDE=FQ","FILING_STATUS=OR","EQY_CONSOLIDATED=Y","Sort=A","Dates=H","DateFormat=P","Fill=—","Direction=H","UseDPDF=Y")</f>
        <v>#NAME?</v>
      </c>
      <c r="AB320" s="1" t="e">
        <f ca="1">_xll.BDH($C$303,"NET_FIXED_ASSETS_1_YEAR_GROWTH","FQ2 2017","FQ2 2017","Currency=INR","Period=FQ","BEST_FPERIOD_OVERRIDE=FQ","FILING_STATUS=OR","EQY_CONSOLIDATED=Y","Sort=A","Dates=H","DateFormat=P","Fill=—","Direction=H","UseDPDF=Y")</f>
        <v>#NAME?</v>
      </c>
      <c r="AC320" s="1" t="e">
        <f ca="1">_xll.BDH($C$303,"ASSET_GROWTH","FQ2 2017","FQ2 2017","Currency=INR","Period=FQ","BEST_FPERIOD_OVERRIDE=FQ","FILING_STATUS=OR","EQY_CONSOLIDATED=Y","Sort=A","Dates=H","DateFormat=P","Fill=—","Direction=H","UseDPDF=Y")</f>
        <v>#NAME?</v>
      </c>
      <c r="AD320" s="1" t="e">
        <f ca="1">_xll.BDH($C$303,"MODIFIED_WORK_CAP_GROWTH","FQ2 2017","FQ2 2017","Currency=INR","Period=FQ","BEST_FPERIOD_OVERRIDE=FQ","FILING_STATUS=OR","EQY_CONSOLIDATED=Y","Sort=A","Dates=H","DateFormat=P","Fill=—","Direction=H","UseDPDF=Y")</f>
        <v>#NAME?</v>
      </c>
      <c r="AE320" s="1" t="e">
        <f ca="1">_xll.BDH($C$303,"WORK_CAP_GROWTH","FQ2 2017","FQ2 2017","Currency=INR","Period=FQ","BEST_FPERIOD_OVERRIDE=FQ","FILING_STATUS=OR","EQY_CONSOLIDATED=Y","Sort=A","Dates=H","DateFormat=P","Fill=—","Direction=H","UseDPDF=Y")</f>
        <v>#NAME?</v>
      </c>
      <c r="AF320" s="1" t="e">
        <f ca="1">_xll.BDH($C$303,"ACCOUNTS_PAYABLE_GROWTH_1YR","FQ2 2017","FQ2 2017","Currency=INR","Period=FQ","BEST_FPERIOD_OVERRIDE=FQ","FILING_STATUS=OR","EQY_CONSOLIDATED=Y","Sort=A","Dates=H","DateFormat=P","Fill=—","Direction=H","UseDPDF=Y")</f>
        <v>#NAME?</v>
      </c>
      <c r="AG320" s="1" t="e">
        <f ca="1">_xll.BDH($C$303,"SHORT_TERM_DEBT_1_YEAR_GROWTH","FQ2 2017","FQ2 2017","Currency=INR","Period=FQ","BEST_FPERIOD_OVERRIDE=FQ","FILING_STATUS=OR","EQY_CONSOLIDATED=Y","Sort=A","Dates=H","DateFormat=P","Fill=—","Direction=H","UseDPDF=Y")</f>
        <v>#NAME?</v>
      </c>
      <c r="AH320" s="1" t="e">
        <f ca="1">_xll.BDH($C$303,"TOTAL_DEBT_1_YEAR_GROWTH","FQ2 2017","FQ2 2017","Currency=INR","Period=FQ","BEST_FPERIOD_OVERRIDE=FQ","FILING_STATUS=OR","EQY_CONSOLIDATED=Y","Sort=A","Dates=H","DateFormat=P","Fill=—","Direction=H","UseDPDF=Y")</f>
        <v>#NAME?</v>
      </c>
      <c r="AI320" s="1" t="e">
        <f ca="1">_xll.BDH($C$303,"TOTAL_EQUITY_1_YEAR_GROWTH","FQ2 2017","FQ2 2017","Currency=INR","Period=FQ","BEST_FPERIOD_OVERRIDE=FQ","FILING_STATUS=OR","EQY_CONSOLIDATED=Y","Sort=A","Dates=H","DateFormat=P","Fill=—","Direction=H","UseDPDF=Y")</f>
        <v>#NAME?</v>
      </c>
      <c r="AJ320" s="1" t="e">
        <f ca="1">_xll.BDH($C$303,"GROWTH_IN_CAP","FQ2 2017","FQ2 2017","Currency=INR","Period=FQ","BEST_FPERIOD_OVERRIDE=FQ","FILING_STATUS=OR","EQY_CONSOLIDATED=Y","Sort=A","Dates=H","DateFormat=P","Fill=—","Direction=H","UseDPDF=Y")</f>
        <v>#NAME?</v>
      </c>
      <c r="AK320" s="1" t="e">
        <f ca="1">_xll.BDH($C$303,"BVPS_GROWTH","FQ2 2017","FQ2 2017","Currency=INR","Period=FQ","BEST_FPERIOD_OVERRIDE=FQ","FILING_STATUS=OR","EQY_CONSOLIDATED=Y","Sort=A","Dates=H","DateFormat=P","Fill=—","Direction=H","UseDPDF=Y")</f>
        <v>#NAME?</v>
      </c>
      <c r="AL320" s="1" t="e">
        <f ca="1">_xll.BDH($C$303,"CASH_FLOW_GROWTH","FQ2 2017","FQ2 2017","Currency=INR","Period=FQ","BEST_FPERIOD_OVERRIDE=FQ","FILING_STATUS=OR","EQY_CONSOLIDATED=Y","Sort=A","Dates=H","DateFormat=P","Fill=—","Direction=H","UseDPDF=Y")</f>
        <v>#NAME?</v>
      </c>
      <c r="AM320" s="1" t="e">
        <f ca="1">_xll.BDH($C$303,"GEO_GROW_NET_SALES","FQ2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20" s="1" t="e">
        <f ca="1">_xll.BDH($C$303,"GEO_GROW_EBITDA","FQ2 2017","FQ2 2017","Currency=INR","Period=FQ","BEST_FPERIOD_OVERRIDE=FQ","FILING_STATUS=OR","EQY_CONSOLIDATED=Y","FA_ADJUSTED=GAAP","Sort=A","Dates=H","DateFormat=P","Fill=—","Direction=H","UseDPDF=Y")</f>
        <v>#NAME?</v>
      </c>
      <c r="AO320" s="1" t="e">
        <f ca="1">_xll.BDH($C$303,"GEO_GROW_OPER_INC","FQ2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20" s="1" t="e">
        <f ca="1">_xll.BDH($C$303,"NET_INCOME_TO_COMMON_5_YR_GROWTH","FQ2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20" s="1" t="e">
        <f ca="1">_xll.BDH($C$303,"5Y_GEO_GROWTH_DILUTED_EPS","FQ2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20" s="1" t="e">
        <f ca="1">_xll.BDH($C$303,"GEO_GROW_DVD_PER_SH","FQ2 2017","FQ2 2017","Currency=INR","Period=FQ","BEST_FPERIOD_OVERRIDE=FQ","FILING_STATUS=OR","EQY_CONSOLIDATED=Y","Sort=A","Dates=H","DateFormat=P","Fill=—","Direction=H","UseDPDF=Y")</f>
        <v>#NAME?</v>
      </c>
      <c r="AS320" s="1" t="e">
        <f ca="1">_xll.BDH($C$303,"ACCOUNTS_RECEIVABLE_5_YR_GROWTH","FQ2 2017","FQ2 2017","Currency=INR","Period=FQ","BEST_FPERIOD_OVERRIDE=FQ","FILING_STATUS=OR","EQY_CONSOLIDATED=Y","Sort=A","Dates=H","DateFormat=P","Fill=—","Direction=H","UseDPDF=Y")</f>
        <v>#NAME?</v>
      </c>
      <c r="AT320" s="1" t="e">
        <f ca="1">_xll.BDH($C$303,"INVENTORY_5_YEAR_GROWTH","FQ2 2017","FQ2 2017","Currency=INR","Period=FQ","BEST_FPERIOD_OVERRIDE=FQ","FILING_STATUS=OR","EQY_CONSOLIDATED=Y","Sort=A","Dates=H","DateFormat=P","Fill=—","Direction=H","UseDPDF=Y")</f>
        <v>#NAME?</v>
      </c>
      <c r="AU320" s="1" t="e">
        <f ca="1">_xll.BDH($C$303,"NET_FIXED_ASSETS_5_YEAR_GROWTH","FQ2 2017","FQ2 2017","Currency=INR","Period=FQ","BEST_FPERIOD_OVERRIDE=FQ","FILING_STATUS=OR","EQY_CONSOLIDATED=Y","Sort=A","Dates=H","DateFormat=P","Fill=—","Direction=H","UseDPDF=Y")</f>
        <v>#NAME?</v>
      </c>
      <c r="AV320" s="1" t="e">
        <f ca="1">_xll.BDH($C$303,"GEO_GROW_TOT_ASSET","FQ2 2017","FQ2 2017","Currency=INR","Period=FQ","BEST_FPERIOD_OVERRIDE=FQ","FILING_STATUS=OR","EQY_CONSOLIDATED=Y","Sort=A","Dates=H","DateFormat=P","Fill=—","Direction=H","UseDPDF=Y")</f>
        <v>#NAME?</v>
      </c>
      <c r="AW320" s="1" t="e">
        <f ca="1">_xll.BDH($C$303,"MODIFIED_WORKING_CPTL_5YR_GRWTH","FQ2 2017","FQ2 2017","Currency=INR","Period=FQ","BEST_FPERIOD_OVERRIDE=FQ","FILING_STATUS=OR","EQY_CONSOLIDATED=Y","Sort=A","Dates=H","DateFormat=P","Fill=—","Direction=H","UseDPDF=Y")</f>
        <v>#NAME?</v>
      </c>
      <c r="AX320" s="1" t="e">
        <f ca="1">_xll.BDH($C$303,"WORKING_CAPITAL_5_YEAR_GROWTH","FQ2 2017","FQ2 2017","Currency=INR","Period=FQ","BEST_FPERIOD_OVERRIDE=FQ","FILING_STATUS=OR","EQY_CONSOLIDATED=Y","Sort=A","Dates=H","DateFormat=P","Fill=—","Direction=H","UseDPDF=Y")</f>
        <v>#NAME?</v>
      </c>
      <c r="AY320" s="1" t="e">
        <f ca="1">_xll.BDH($C$303,"ACCOUNTS_PAYABLE_5_YEAR_GROWTH","FQ2 2017","FQ2 2017","Currency=INR","Period=FQ","BEST_FPERIOD_OVERRIDE=FQ","FILING_STATUS=OR","EQY_CONSOLIDATED=Y","Sort=A","Dates=H","DateFormat=P","Fill=—","Direction=H","UseDPDF=Y")</f>
        <v>#NAME?</v>
      </c>
      <c r="AZ320" s="1" t="e">
        <f ca="1">_xll.BDH($C$303,"SHORT_TERM_DEBT_5_YEAR_GROWTH","FQ2 2017","FQ2 2017","Currency=INR","Period=FQ","BEST_FPERIOD_OVERRIDE=FQ","FILING_STATUS=OR","EQY_CONSOLIDATED=Y","Sort=A","Dates=H","DateFormat=P","Fill=—","Direction=H","UseDPDF=Y")</f>
        <v>#NAME?</v>
      </c>
      <c r="BA320" s="1" t="e">
        <f ca="1">_xll.BDH($C$303,"TOTAL_DEBT_5_YEAR_GROWTH","FQ2 2017","FQ2 2017","Currency=INR","Period=FQ","BEST_FPERIOD_OVERRIDE=FQ","FILING_STATUS=OR","EQY_CONSOLIDATED=Y","Sort=A","Dates=H","DateFormat=P","Fill=—","Direction=H","UseDPDF=Y")</f>
        <v>#NAME?</v>
      </c>
      <c r="BB320" s="1" t="e">
        <f ca="1">_xll.BDH($C$303,"GEO_GROW_TOT_SHRHLDR_EQY","FQ2 2017","FQ2 2017","Currency=INR","Period=FQ","BEST_FPERIOD_OVERRIDE=FQ","FILING_STATUS=OR","EQY_CONSOLIDATED=Y","Sort=A","Dates=H","DateFormat=P","Fill=—","Direction=H","UseDPDF=Y")</f>
        <v>#NAME?</v>
      </c>
      <c r="BC320" s="1" t="e">
        <f ca="1">_xll.BDH($C$303,"TOTAL_CAPITAL_5_YEAR_GROWTH","FQ2 2017","FQ2 2017","Currency=INR","Period=FQ","BEST_FPERIOD_OVERRIDE=FQ","FILING_STATUS=OR","EQY_CONSOLIDATED=Y","Sort=A","Dates=H","DateFormat=P","Fill=—","Direction=H","UseDPDF=Y")</f>
        <v>#NAME?</v>
      </c>
      <c r="BD320" s="1" t="e">
        <f ca="1">_xll.BDH($C$303,"GEO_GROW_BOOK_VAL","FQ2 2017","FQ2 2017","Currency=INR","Period=FQ","BEST_FPERIOD_OVERRIDE=FQ","FILING_STATUS=OR","EQY_CONSOLIDATED=Y","Sort=A","Dates=H","DateFormat=P","Fill=—","Direction=H","UseDPDF=Y")</f>
        <v>#NAME?</v>
      </c>
      <c r="BE320" s="1" t="e">
        <f ca="1">_xll.BDH($C$303,"GEO_GROW_CASH_OPER_ACT","FQ2 2017","FQ2 2017","Currency=INR","Period=FQ","BEST_FPERIOD_OVERRIDE=FQ","FILING_STATUS=OR","EQY_CONSOLIDATED=Y","Sort=A","Dates=H","DateFormat=P","Fill=—","Direction=H","UseDPDF=Y")</f>
        <v>#NAME?</v>
      </c>
      <c r="BF320" s="1" t="e">
        <f ca="1">_xll.BDH($C$303,"REVENUE_SEQUENTIAL_GROWTH","FQ2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20" s="1" t="e">
        <f ca="1">_xll.BDH($C$303,"EBITDA_SEQUENTIAL_GROWTH","FQ2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20" s="1" t="e">
        <f ca="1">_xll.BDH($C$303,"OPERATING_INCOME_SEQ_GROWTH","FQ2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20" s="1" t="e">
        <f ca="1">_xll.BDH($C$303,"NET_INCOME_TO_COMMON_SEQ_GROWTH","FQ2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20" s="1" t="e">
        <f ca="1">_xll.BDH($C$303,"EPS_DILUTED_SEQUENTIAL_GROWTH","FQ2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20" s="1" t="e">
        <f ca="1">_xll.BDH($C$303,"DPS_SEQUENTIAL_GROWTH","FQ2 2017","FQ2 2017","Currency=INR","Period=FQ","BEST_FPERIOD_OVERRIDE=FQ","FILING_STATUS=OR","EQY_CONSOLIDATED=Y","Sort=A","Dates=H","DateFormat=P","Fill=—","Direction=H","UseDPDF=Y")</f>
        <v>#NAME?</v>
      </c>
      <c r="BL320" s="1" t="e">
        <f ca="1">_xll.BDH($C$303,"ACCOUNTS_RECEIVABLE_SEQ_GROWTH","FQ2 2017","FQ2 2017","Currency=INR","Period=FQ","BEST_FPERIOD_OVERRIDE=FQ","FILING_STATUS=OR","EQY_CONSOLIDATED=Y","Sort=A","Dates=H","DateFormat=P","Fill=—","Direction=H","UseDPDF=Y")</f>
        <v>#NAME?</v>
      </c>
      <c r="BM320" s="1" t="e">
        <f ca="1">_xll.BDH($C$303,"INVENTORY_SEQUENTIAL_GROWTH","FQ2 2017","FQ2 2017","Currency=INR","Period=FQ","BEST_FPERIOD_OVERRIDE=FQ","FILING_STATUS=OR","EQY_CONSOLIDATED=Y","Sort=A","Dates=H","DateFormat=P","Fill=—","Direction=H","UseDPDF=Y")</f>
        <v>#NAME?</v>
      </c>
      <c r="BN320" s="1" t="e">
        <f ca="1">_xll.BDH($C$303,"FIXED_ASSETS_SEQUENTIAL_GROWTH","FQ2 2017","FQ2 2017","Currency=INR","Period=FQ","BEST_FPERIOD_OVERRIDE=FQ","FILING_STATUS=OR","EQY_CONSOLIDATED=Y","Sort=A","Dates=H","DateFormat=P","Fill=—","Direction=H","UseDPDF=Y")</f>
        <v>#NAME?</v>
      </c>
      <c r="BO320" s="1" t="e">
        <f ca="1">_xll.BDH($C$303,"TOTAL_ASSETS_SEQUENTIAL_GROWTH","FQ2 2017","FQ2 2017","Currency=INR","Period=FQ","BEST_FPERIOD_OVERRIDE=FQ","FILING_STATUS=OR","EQY_CONSOLIDATED=Y","Sort=A","Dates=H","DateFormat=P","Fill=—","Direction=H","UseDPDF=Y")</f>
        <v>#NAME?</v>
      </c>
      <c r="BP320" s="1" t="e">
        <f ca="1">_xll.BDH($C$303,"MODIFIED_WORKING_CPTL_SEQ_GRWTH","FQ2 2017","FQ2 2017","Currency=INR","Period=FQ","BEST_FPERIOD_OVERRIDE=FQ","FILING_STATUS=OR","EQY_CONSOLIDATED=Y","Sort=A","Dates=H","DateFormat=P","Fill=—","Direction=H","UseDPDF=Y")</f>
        <v>#NAME?</v>
      </c>
      <c r="BQ320" s="1" t="e">
        <f ca="1">_xll.BDH($C$303,"WORKING_CAPITAL_SEQ_GROWTH","FQ2 2017","FQ2 2017","Currency=INR","Period=FQ","BEST_FPERIOD_OVERRIDE=FQ","FILING_STATUS=OR","EQY_CONSOLIDATED=Y","Sort=A","Dates=H","DateFormat=P","Fill=—","Direction=H","UseDPDF=Y")</f>
        <v>#NAME?</v>
      </c>
      <c r="BR320" s="1" t="e">
        <f ca="1">_xll.BDH($C$303,"ACCOUNTS_PAYABLE_SEQ_GROWTH","FQ2 2017","FQ2 2017","Currency=INR","Period=FQ","BEST_FPERIOD_OVERRIDE=FQ","FILING_STATUS=OR","EQY_CONSOLIDATED=Y","Sort=A","Dates=H","DateFormat=P","Fill=—","Direction=H","UseDPDF=Y")</f>
        <v>#NAME?</v>
      </c>
      <c r="BS320" s="1" t="e">
        <f ca="1">_xll.BDH($C$303,"ST_DEBT_SEQUENTIAL_GROWTH","FQ2 2017","FQ2 2017","Currency=INR","Period=FQ","BEST_FPERIOD_OVERRIDE=FQ","FILING_STATUS=OR","EQY_CONSOLIDATED=Y","Sort=A","Dates=H","DateFormat=P","Fill=—","Direction=H","UseDPDF=Y")</f>
        <v>#NAME?</v>
      </c>
      <c r="BT320" s="1" t="e">
        <f ca="1">_xll.BDH($C$303,"TOTAL_DEBT_SEQUENTIAL_GROWTH","FQ2 2017","FQ2 2017","Currency=INR","Period=FQ","BEST_FPERIOD_OVERRIDE=FQ","FILING_STATUS=OR","EQY_CONSOLIDATED=Y","Sort=A","Dates=H","DateFormat=P","Fill=—","Direction=H","UseDPDF=Y")</f>
        <v>#NAME?</v>
      </c>
      <c r="BU320" s="1" t="e">
        <f ca="1">_xll.BDH($C$303,"TOTAL_EQUITY_SEQUENTIAL_GROWTH","FQ2 2017","FQ2 2017","Currency=INR","Period=FQ","BEST_FPERIOD_OVERRIDE=FQ","FILING_STATUS=OR","EQY_CONSOLIDATED=Y","Sort=A","Dates=H","DateFormat=P","Fill=—","Direction=H","UseDPDF=Y")</f>
        <v>#NAME?</v>
      </c>
      <c r="BV320" s="1" t="e">
        <f ca="1">_xll.BDH($C$303,"TOTAL_CAPITAL_SEQUENTIAL_GROWTH","FQ2 2017","FQ2 2017","Currency=INR","Period=FQ","BEST_FPERIOD_OVERRIDE=FQ","FILING_STATUS=OR","EQY_CONSOLIDATED=Y","Sort=A","Dates=H","DateFormat=P","Fill=—","Direction=H","UseDPDF=Y")</f>
        <v>#NAME?</v>
      </c>
      <c r="BW320" s="1" t="e">
        <f ca="1">_xll.BDH($C$303,"BPS_SEQUENTIAL_GROWTH","FQ2 2017","FQ2 2017","Currency=INR","Period=FQ","BEST_FPERIOD_OVERRIDE=FQ","FILING_STATUS=OR","EQY_CONSOLIDATED=Y","Sort=A","Dates=H","DateFormat=P","Fill=—","Direction=H","UseDPDF=Y")</f>
        <v>#NAME?</v>
      </c>
      <c r="BX320" s="1" t="e">
        <f ca="1">_xll.BDH($C$303,"CFO_SEQUENTIAL_GROWTH","FQ2 2017","FQ2 2017","Currency=INR","Period=FQ","BEST_FPERIOD_OVERRIDE=FQ","FILING_STATUS=OR","EQY_CONSOLIDATED=Y","Sort=A","Dates=H","DateFormat=P","Fill=—","Direction=H","UseDPDF=Y")</f>
        <v>#NAME?</v>
      </c>
      <c r="BY320" s="2" t="e">
        <f ca="1">_xll.BDH($C$303,"SHORT_AND_LONG_TERM_DEBT","FQ2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20" s="2" t="e">
        <f ca="1">_xll.BDH($C$303,"BS_ST_BORROW","FQ2 2017","FQ2 2017","Currency=INR","Period=FQ","BEST_FPERIOD_OVERRIDE=FQ","FILING_STATUS=OR","EQY_CONSOLIDATED=Y","SCALING_FORMAT=MLN","Sort=A","Dates=H","DateFormat=P","Fill=—","Direction=H","UseDPDF=Y")</f>
        <v>#NAME?</v>
      </c>
      <c r="CA320" s="2" t="e">
        <f ca="1">_xll.BDH($C$303,"BS_LT_BORROW","FQ2 2017","FQ2 2017","Currency=INR","Period=FQ","BEST_FPERIOD_OVERRIDE=FQ","FILING_STATUS=OR","EQY_CONSOLIDATED=Y","SCALING_FORMAT=MLN","Sort=A","Dates=H","DateFormat=P","Fill=—","Direction=H","UseDPDF=Y")</f>
        <v>#NAME?</v>
      </c>
      <c r="CB320" s="1" t="e">
        <f ca="1">_xll.BDH($C$303,"TOT_DEBT_TO_EBITDA","FQ2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20" s="1" t="e">
        <f ca="1">_xll.BDH($C$303,"NET_DEBT_TO_EBITDA","FQ2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20" s="1" t="e">
        <f ca="1">_xll.BDH($C$303,"TOTAL_DEBT_TO_EBIT","FQ2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20" s="1" t="e">
        <f ca="1">_xll.BDH($C$303,"NET_DEBT_TO_EBIT","FQ2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320" s="1" t="e">
        <f ca="1">_xll.BDH($C$303,"EBITDA_TO_INTEREST_EXPN","FQ2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20" s="1" t="e">
        <f ca="1">_xll.BDH($C$303,"COM_EQY_TO_TOT_ASSET","FQ2 2017","FQ2 2017","Currency=INR","Period=FQ","BEST_FPERIOD_OVERRIDE=FQ","FILING_STATUS=OR","EQY_CONSOLIDATED=Y","Sort=A","Dates=H","DateFormat=P","Fill=—","Direction=H","UseDPDF=Y")</f>
        <v>#NAME?</v>
      </c>
      <c r="CH320" s="1" t="e">
        <f ca="1">_xll.BDH($C$303,"LT_DEBT_TO_TOT_EQY","FQ2 2017","FQ2 2017","Currency=INR","Period=FQ","BEST_FPERIOD_OVERRIDE=FQ","FILING_STATUS=OR","EQY_CONSOLIDATED=Y","Sort=A","Dates=H","DateFormat=P","Fill=—","Direction=H","UseDPDF=Y")</f>
        <v>#NAME?</v>
      </c>
      <c r="CI320" s="1" t="e">
        <f ca="1">_xll.BDH($C$303,"LT_DEBT_TO_TOT_CAP","FQ2 2017","FQ2 2017","Currency=INR","Period=FQ","BEST_FPERIOD_OVERRIDE=FQ","FILING_STATUS=OR","EQY_CONSOLIDATED=Y","Sort=A","Dates=H","DateFormat=P","Fill=—","Direction=H","UseDPDF=Y")</f>
        <v>#NAME?</v>
      </c>
      <c r="CJ320" s="1" t="e">
        <f ca="1">_xll.BDH($C$303,"LT_DEBT_TO_TOT_ASSET","FQ2 2017","FQ2 2017","Currency=INR","Period=FQ","BEST_FPERIOD_OVERRIDE=FQ","FILING_STATUS=OR","EQY_CONSOLIDATED=Y","Sort=A","Dates=H","DateFormat=P","Fill=—","Direction=H","UseDPDF=Y")</f>
        <v>#NAME?</v>
      </c>
      <c r="CK320" s="1" t="e">
        <f ca="1">_xll.BDH($C$303,"TOT_DEBT_TO_TOT_EQY","FQ2 2017","FQ2 2017","Currency=INR","Period=FQ","BEST_FPERIOD_OVERRIDE=FQ","FILING_STATUS=OR","EQY_CONSOLIDATED=Y","Sort=A","Dates=H","DateFormat=P","Fill=—","Direction=H","UseDPDF=Y")</f>
        <v>#NAME?</v>
      </c>
      <c r="CL320" s="1" t="e">
        <f ca="1">_xll.BDH($C$303,"TOT_DEBT_TO_TOT_CAP","FQ2 2017","FQ2 2017","Currency=INR","Period=FQ","BEST_FPERIOD_OVERRIDE=FQ","FILING_STATUS=OR","EQY_CONSOLIDATED=Y","Sort=A","Dates=H","DateFormat=P","Fill=—","Direction=H","UseDPDF=Y")</f>
        <v>#NAME?</v>
      </c>
      <c r="CM320" s="1" t="e">
        <f ca="1">_xll.BDH($C$303,"TOT_DEBT_TO_TOT_ASSET","FQ2 2017","FQ2 2017","Currency=INR","Period=FQ","BEST_FPERIOD_OVERRIDE=FQ","FILING_STATUS=OR","EQY_CONSOLIDATED=Y","Sort=A","Dates=H","DateFormat=P","Fill=—","Direction=H","UseDPDF=Y")</f>
        <v>#NAME?</v>
      </c>
      <c r="CN320" s="1" t="e">
        <f ca="1">_xll.BDH($C$303,"NET_DEBT_TO_SHRHLDR_EQTY","FQ2 2017","FQ2 2017","Currency=INR","Period=FQ","BEST_FPERIOD_OVERRIDE=FQ","FILING_STATUS=OR","EQY_CONSOLIDATED=Y","Sort=A","Dates=H","DateFormat=P","Fill=—","Direction=H","UseDPDF=Y")</f>
        <v>#NAME?</v>
      </c>
      <c r="CO320" s="1" t="e">
        <f ca="1">_xll.BDH($C$303,"NET_DEBT_%_CAPITAL","FQ2 2017","FQ2 2017","Currency=INR","Period=FQ","BEST_FPERIOD_OVERRIDE=FQ","FILING_STATUS=OR","EQY_CONSOLIDATED=Y","Sort=A","Dates=H","DateFormat=P","Fill=—","Direction=H","UseDPDF=Y")</f>
        <v>#NAME?</v>
      </c>
      <c r="CP320" s="2" t="e">
        <f ca="1">_xll.BDH($C$303,"EBITDA","FQ2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20" s="2" t="e">
        <f ca="1">_xll.BDH($C$303,"EBITDA_AFTER_CAPEX","FQ2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20" s="2" t="e">
        <f ca="1">_xll.BDH($C$303,"IS_OPER_INC","FQ2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20" s="1" t="e">
        <f ca="1">_xll.BDH($C$303,"CASH_RATIO","FQ2 2017","FQ2 2017","Currency=INR","Period=FQ","BEST_FPERIOD_OVERRIDE=FQ","FILING_STATUS=OR","EQY_CONSOLIDATED=Y","Sort=A","Dates=H","DateFormat=P","Fill=—","Direction=H","UseDPDF=Y")</f>
        <v>#NAME?</v>
      </c>
      <c r="CT320" s="1" t="e">
        <f ca="1">_xll.BDH($C$303,"CUR_RATIO","FQ2 2017","FQ2 2017","Currency=INR","Period=FQ","BEST_FPERIOD_OVERRIDE=FQ","FILING_STATUS=OR","EQY_CONSOLIDATED=Y","Sort=A","Dates=H","DateFormat=P","Fill=—","Direction=H","UseDPDF=Y")</f>
        <v>#NAME?</v>
      </c>
      <c r="CU320" s="1" t="e">
        <f ca="1">_xll.BDH($C$303,"QUICK_RATIO","FQ2 2017","FQ2 2017","Currency=INR","Period=FQ","BEST_FPERIOD_OVERRIDE=FQ","FILING_STATUS=OR","EQY_CONSOLIDATED=Y","Sort=A","Dates=H","DateFormat=P","Fill=—","Direction=H","UseDPDF=Y")</f>
        <v>#NAME?</v>
      </c>
      <c r="CV320" s="1" t="e">
        <f ca="1">_xll.BDH($C$303,"ALTMAN_Z_SCORE","FQ2 2017","FQ2 2017","Currency=INR","Period=FQ","BEST_FPERIOD_OVERRIDE=FQ","FILING_STATUS=OR","EQY_CONSOLIDATED=Y","Sort=A","Dates=H","DateFormat=P","Fill=—","Direction=H","UseDPDF=Y")</f>
        <v>#NAME?</v>
      </c>
      <c r="CW320" s="3" t="e">
        <f ca="1">_xll.BDH($C$303,"ACCT_RCV_TURN","FQ2 2017","FQ2 2017","Currency=INR","Period=FQ","BEST_FPERIOD_OVERRIDE=FQ","FILING_STATUS=OR","EQY_CONSOLIDATED=Y","FA_ADJUSTED=GAAP","Sort=A","Dates=H","DateFormat=P","Fill=—","Direction=H","UseDPDF=Y")</f>
        <v>#NAME?</v>
      </c>
      <c r="CX320" s="1" t="e">
        <f ca="1">_xll.BDH($C$303,"ACCT_RCV_DAYS","FQ2 2017","FQ2 2017","Currency=INR","Period=FQ","BEST_FPERIOD_OVERRIDE=FQ","FILING_STATUS=OR","EQY_CONSOLIDATED=Y","FA_ADJUSTED=GAAP","Sort=A","Dates=H","DateFormat=P","Fill=—","Direction=H","UseDPDF=Y")</f>
        <v>#NAME?</v>
      </c>
      <c r="CY320" s="3" t="e">
        <f ca="1">_xll.BDH($C$303,"INVENT_TURN","FQ2 2017","FQ2 2017","Currency=INR","Period=FQ","BEST_FPERIOD_OVERRIDE=FQ","FILING_STATUS=OR","EQY_CONSOLIDATED=Y","FA_ADJUSTED=GAAP","Sort=A","Dates=H","DateFormat=P","Fill=—","Direction=H","UseDPDF=Y")</f>
        <v>#NAME?</v>
      </c>
      <c r="CZ320" s="1" t="e">
        <f ca="1">_xll.BDH($C$303,"INVENT_DAYS","FQ2 2017","FQ2 2017","Currency=INR","Period=FQ","BEST_FPERIOD_OVERRIDE=FQ","FILING_STATUS=OR","EQY_CONSOLIDATED=Y","FA_ADJUSTED=GAAP","Sort=A","Dates=H","DateFormat=P","Fill=—","Direction=H","UseDPDF=Y")</f>
        <v>#NAME?</v>
      </c>
      <c r="DA320" s="3" t="e">
        <f ca="1">_xll.BDH($C$303,"ACCOUNTS_PAYABLE_TURNOVER","FQ2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20" s="1" t="e">
        <f ca="1">_xll.BDH($C$303,"ACCOUNTS_PAYABLE_TURNOVER_DAYS","FQ2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20" s="3" t="e">
        <f ca="1">_xll.BDH($C$303,"CASH_CONVERSION_CYCLE","FQ2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20" s="3" t="e">
        <f ca="1">_xll.BDH($C$303,"INV_TO_CASH_DAYS","FQ2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320" s="4" t="e">
        <f ca="1">_xll.BDH($C$303,"BS_INVENTORIES","FQ2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320" s="2" t="e">
        <f ca="1">_xll.BDH($C$303,"INVTRY_RAW_MATERIALS","FQ2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20" s="2" t="e">
        <f ca="1">_xll.BDH($C$303,"INVTRY_IN_PROGRESS","FQ2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20" s="2" t="e">
        <f ca="1">_xll.BDH($C$303,"INVTRY_FINISHED_GOODS","FQ2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20" s="2" t="e">
        <f ca="1">_xll.BDH($C$303,"BS_OTHER_INV","FQ2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21" spans="1:113" x14ac:dyDescent="0.3">
      <c r="A321" s="6"/>
      <c r="B321" s="6"/>
      <c r="C321" s="6"/>
      <c r="D321" s="6"/>
      <c r="E321" t="s">
        <v>6</v>
      </c>
      <c r="F321" t="e">
        <f ca="1">_xll.BDH($C$303,"RETURN_COM_EQY","FQ3 2017","FQ3 2017","Currency=INR","Period=FQ","BEST_FPERIOD_OVERRIDE=FQ","FILING_STATUS=OR","EQY_CONSOLIDATED=Y","FA_ADJUSTED=GAAP","Sort=A","Dates=H","DateFormat=P","Fill=—","Direction=H","UseDPDF=Y")</f>
        <v>#NAME?</v>
      </c>
      <c r="G321" t="e">
        <f ca="1">_xll.BDH($C$303,"RETURN_ON_ASSET","FQ3 2017","FQ3 2017","Currency=INR","Period=FQ","BEST_FPERIOD_OVERRIDE=FQ","FILING_STATUS=OR","EQY_CONSOLIDATED=Y","FA_ADJUSTED=GAAP","Sort=A","Dates=H","DateFormat=P","Fill=—","Direction=H","UseDPDF=Y")</f>
        <v>#NAME?</v>
      </c>
      <c r="H321" t="e">
        <f ca="1">_xll.BDH($C$303,"RETURN_ON_CAP","FQ3 2017","FQ3 2017","Currency=INR","Period=FQ","BEST_FPERIOD_OVERRIDE=FQ","FILING_STATUS=OR","EQY_CONSOLIDATED=Y","FA_ADJUSTED=GAAP","Sort=A","Dates=H","DateFormat=P","Fill=—","Direction=H","UseDPDF=Y")</f>
        <v>#NAME?</v>
      </c>
      <c r="I321" t="e">
        <f ca="1">_xll.BDH($C$303,"RETURN_ON_INV_CAPITAL","FQ3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21" t="e">
        <f ca="1">_xll.BDH($C$303,"EBITDA_TO_REVENUE","FQ3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321" t="e">
        <f ca="1">_xll.BDH($C$303,"OPER_MARGIN","FQ3 2017","FQ3 2017","Currency=INR","Period=FQ","BEST_FPERIOD_OVERRIDE=FQ","FILING_STATUS=OR","EQY_CONSOLIDATED=Y","FA_ADJUSTED=GAAP","Sort=A","Dates=H","DateFormat=P","Fill=—","Direction=H","UseDPDF=Y")</f>
        <v>#NAME?</v>
      </c>
      <c r="L321" t="e">
        <f ca="1">_xll.BDH($C$303,"INCREMENTAL_OPERATING_MARGIN","FQ3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21" t="e">
        <f ca="1">_xll.BDH($C$303,"PRETAX_INC_TO_NET_SALES","FQ3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21" t="e">
        <f ca="1">_xll.BDH($C$303,"INC_BEF_XO_ITEMS_TO_NET_SALES","FQ3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21" t="e">
        <f ca="1">_xll.BDH($C$303,"PROF_MARGIN","FQ3 2017","FQ3 2017","Currency=INR","Period=FQ","BEST_FPERIOD_OVERRIDE=FQ","FILING_STATUS=OR","EQY_CONSOLIDATED=Y","FA_ADJUSTED=GAAP","Sort=A","Dates=H","DateFormat=P","Fill=—","Direction=H","UseDPDF=Y")</f>
        <v>#NAME?</v>
      </c>
      <c r="P321" t="e">
        <f ca="1">_xll.BDH($C$303,"NET_INCOME_TO_COMMON_MARGIN","FQ3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21" t="e">
        <f ca="1">_xll.BDH($C$303,"EFF_TAX_RATE","FQ3 2017","FQ3 2017","Currency=INR","Period=FQ","BEST_FPERIOD_OVERRIDE=FQ","FILING_STATUS=OR","EQY_CONSOLIDATED=Y","FA_ADJUSTED=GAAP","Sort=A","Dates=H","DateFormat=P","Fill=—","Direction=H","UseDPDF=Y")</f>
        <v>#NAME?</v>
      </c>
      <c r="R321" t="e">
        <f ca="1">_xll.BDH($C$303,"DVD_PAYOUT_RATIO","FQ3 2017","FQ3 2017","Currency=INR","Period=FQ","BEST_FPERIOD_OVERRIDE=FQ","FILING_STATUS=OR","EQY_CONSOLIDATED=Y","FA_ADJUSTED=GAAP","Sort=A","Dates=H","DateFormat=P","Fill=—","Direction=H","UseDPDF=Y")</f>
        <v>#NAME?</v>
      </c>
      <c r="S321" t="e">
        <f ca="1">_xll.BDH($C$303,"SUSTAIN_GROWTH_RT","FQ3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321" s="1" t="e">
        <f ca="1">_xll.BDH($C$303,"SALES_GROWTH","FQ3 2017","FQ3 2017","Currency=INR","Period=FQ","BEST_FPERIOD_OVERRIDE=FQ","FILING_STATUS=OR","EQY_CONSOLIDATED=Y","FA_ADJUSTED=GAAP","Sort=A","Dates=H","DateFormat=P","Fill=—","Direction=H","UseDPDF=Y")</f>
        <v>#NAME?</v>
      </c>
      <c r="U321" s="1" t="e">
        <f ca="1">_xll.BDH($C$303,"EBITDA_GROWTH","FQ3 2017","FQ3 2017","Currency=INR","Period=FQ","BEST_FPERIOD_OVERRIDE=FQ","FILING_STATUS=OR","EQY_CONSOLIDATED=Y","FA_ADJUSTED=GAAP","Sort=A","Dates=H","DateFormat=P","Fill=—","Direction=H","UseDPDF=Y")</f>
        <v>#NAME?</v>
      </c>
      <c r="V321" s="1" t="e">
        <f ca="1">_xll.BDH($C$303,"OPER_INC_GROWTH","FQ3 2017","FQ3 2017","Currency=INR","Period=FQ","BEST_FPERIOD_OVERRIDE=FQ","FILING_STATUS=OR","EQY_CONSOLIDATED=Y","FA_ADJUSTED=GAAP","Sort=A","Dates=H","DateFormat=P","Fill=—","Direction=H","UseDPDF=Y")</f>
        <v>#NAME?</v>
      </c>
      <c r="W321" s="1" t="e">
        <f ca="1">_xll.BDH($C$303,"EARN_FOR_COM_GROWTH","FQ3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21" s="1" t="e">
        <f ca="1">_xll.BDH($C$303,"DILUTED_EPS_AFT_XO_ITEMS_GROWTH","FQ3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21" s="1" t="e">
        <f ca="1">_xll.BDH($C$303,"DIVIDEND_PER_SHARE_1_YEAR_GROWTH","FQ3 2017","FQ3 2017","Currency=INR","Period=FQ","BEST_FPERIOD_OVERRIDE=FQ","FILING_STATUS=OR","EQY_CONSOLIDATED=Y","Sort=A","Dates=H","DateFormat=P","Fill=—","Direction=H","UseDPDF=Y")</f>
        <v>#NAME?</v>
      </c>
      <c r="Z321" s="1" t="e">
        <f ca="1">_xll.BDH($C$303,"ACCOUNTS_RECEIVABLE_GROWTH","FQ3 2017","FQ3 2017","Currency=INR","Period=FQ","BEST_FPERIOD_OVERRIDE=FQ","FILING_STATUS=OR","EQY_CONSOLIDATED=Y","Sort=A","Dates=H","DateFormat=P","Fill=—","Direction=H","UseDPDF=Y")</f>
        <v>#NAME?</v>
      </c>
      <c r="AA321" s="1" t="e">
        <f ca="1">_xll.BDH($C$303,"INVENTORY_GROWTH","FQ3 2017","FQ3 2017","Currency=INR","Period=FQ","BEST_FPERIOD_OVERRIDE=FQ","FILING_STATUS=OR","EQY_CONSOLIDATED=Y","Sort=A","Dates=H","DateFormat=P","Fill=—","Direction=H","UseDPDF=Y")</f>
        <v>#NAME?</v>
      </c>
      <c r="AB321" s="1" t="e">
        <f ca="1">_xll.BDH($C$303,"NET_FIXED_ASSETS_1_YEAR_GROWTH","FQ3 2017","FQ3 2017","Currency=INR","Period=FQ","BEST_FPERIOD_OVERRIDE=FQ","FILING_STATUS=OR","EQY_CONSOLIDATED=Y","Sort=A","Dates=H","DateFormat=P","Fill=—","Direction=H","UseDPDF=Y")</f>
        <v>#NAME?</v>
      </c>
      <c r="AC321" s="1" t="e">
        <f ca="1">_xll.BDH($C$303,"ASSET_GROWTH","FQ3 2017","FQ3 2017","Currency=INR","Period=FQ","BEST_FPERIOD_OVERRIDE=FQ","FILING_STATUS=OR","EQY_CONSOLIDATED=Y","Sort=A","Dates=H","DateFormat=P","Fill=—","Direction=H","UseDPDF=Y")</f>
        <v>#NAME?</v>
      </c>
      <c r="AD321" s="1" t="e">
        <f ca="1">_xll.BDH($C$303,"MODIFIED_WORK_CAP_GROWTH","FQ3 2017","FQ3 2017","Currency=INR","Period=FQ","BEST_FPERIOD_OVERRIDE=FQ","FILING_STATUS=OR","EQY_CONSOLIDATED=Y","Sort=A","Dates=H","DateFormat=P","Fill=—","Direction=H","UseDPDF=Y")</f>
        <v>#NAME?</v>
      </c>
      <c r="AE321" s="1" t="e">
        <f ca="1">_xll.BDH($C$303,"WORK_CAP_GROWTH","FQ3 2017","FQ3 2017","Currency=INR","Period=FQ","BEST_FPERIOD_OVERRIDE=FQ","FILING_STATUS=OR","EQY_CONSOLIDATED=Y","Sort=A","Dates=H","DateFormat=P","Fill=—","Direction=H","UseDPDF=Y")</f>
        <v>#NAME?</v>
      </c>
      <c r="AF321" s="1" t="e">
        <f ca="1">_xll.BDH($C$303,"ACCOUNTS_PAYABLE_GROWTH_1YR","FQ3 2017","FQ3 2017","Currency=INR","Period=FQ","BEST_FPERIOD_OVERRIDE=FQ","FILING_STATUS=OR","EQY_CONSOLIDATED=Y","Sort=A","Dates=H","DateFormat=P","Fill=—","Direction=H","UseDPDF=Y")</f>
        <v>#NAME?</v>
      </c>
      <c r="AG321" s="1" t="e">
        <f ca="1">_xll.BDH($C$303,"SHORT_TERM_DEBT_1_YEAR_GROWTH","FQ3 2017","FQ3 2017","Currency=INR","Period=FQ","BEST_FPERIOD_OVERRIDE=FQ","FILING_STATUS=OR","EQY_CONSOLIDATED=Y","Sort=A","Dates=H","DateFormat=P","Fill=—","Direction=H","UseDPDF=Y")</f>
        <v>#NAME?</v>
      </c>
      <c r="AH321" s="1" t="e">
        <f ca="1">_xll.BDH($C$303,"TOTAL_DEBT_1_YEAR_GROWTH","FQ3 2017","FQ3 2017","Currency=INR","Period=FQ","BEST_FPERIOD_OVERRIDE=FQ","FILING_STATUS=OR","EQY_CONSOLIDATED=Y","Sort=A","Dates=H","DateFormat=P","Fill=—","Direction=H","UseDPDF=Y")</f>
        <v>#NAME?</v>
      </c>
      <c r="AI321" s="1" t="e">
        <f ca="1">_xll.BDH($C$303,"TOTAL_EQUITY_1_YEAR_GROWTH","FQ3 2017","FQ3 2017","Currency=INR","Period=FQ","BEST_FPERIOD_OVERRIDE=FQ","FILING_STATUS=OR","EQY_CONSOLIDATED=Y","Sort=A","Dates=H","DateFormat=P","Fill=—","Direction=H","UseDPDF=Y")</f>
        <v>#NAME?</v>
      </c>
      <c r="AJ321" s="1" t="e">
        <f ca="1">_xll.BDH($C$303,"GROWTH_IN_CAP","FQ3 2017","FQ3 2017","Currency=INR","Period=FQ","BEST_FPERIOD_OVERRIDE=FQ","FILING_STATUS=OR","EQY_CONSOLIDATED=Y","Sort=A","Dates=H","DateFormat=P","Fill=—","Direction=H","UseDPDF=Y")</f>
        <v>#NAME?</v>
      </c>
      <c r="AK321" s="1" t="e">
        <f ca="1">_xll.BDH($C$303,"BVPS_GROWTH","FQ3 2017","FQ3 2017","Currency=INR","Period=FQ","BEST_FPERIOD_OVERRIDE=FQ","FILING_STATUS=OR","EQY_CONSOLIDATED=Y","Sort=A","Dates=H","DateFormat=P","Fill=—","Direction=H","UseDPDF=Y")</f>
        <v>#NAME?</v>
      </c>
      <c r="AL321" s="1" t="e">
        <f ca="1">_xll.BDH($C$303,"CASH_FLOW_GROWTH","FQ3 2017","FQ3 2017","Currency=INR","Period=FQ","BEST_FPERIOD_OVERRIDE=FQ","FILING_STATUS=OR","EQY_CONSOLIDATED=Y","Sort=A","Dates=H","DateFormat=P","Fill=—","Direction=H","UseDPDF=Y")</f>
        <v>#NAME?</v>
      </c>
      <c r="AM321" s="1" t="e">
        <f ca="1">_xll.BDH($C$303,"GEO_GROW_NET_SALES","FQ3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21" s="1" t="e">
        <f ca="1">_xll.BDH($C$303,"GEO_GROW_EBITDA","FQ3 2017","FQ3 2017","Currency=INR","Period=FQ","BEST_FPERIOD_OVERRIDE=FQ","FILING_STATUS=OR","EQY_CONSOLIDATED=Y","FA_ADJUSTED=GAAP","Sort=A","Dates=H","DateFormat=P","Fill=—","Direction=H","UseDPDF=Y")</f>
        <v>#NAME?</v>
      </c>
      <c r="AO321" s="1" t="e">
        <f ca="1">_xll.BDH($C$303,"GEO_GROW_OPER_INC","FQ3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21" s="1" t="e">
        <f ca="1">_xll.BDH($C$303,"NET_INCOME_TO_COMMON_5_YR_GROWTH","FQ3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21" s="1" t="e">
        <f ca="1">_xll.BDH($C$303,"5Y_GEO_GROWTH_DILUTED_EPS","FQ3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21" s="1" t="e">
        <f ca="1">_xll.BDH($C$303,"GEO_GROW_DVD_PER_SH","FQ3 2017","FQ3 2017","Currency=INR","Period=FQ","BEST_FPERIOD_OVERRIDE=FQ","FILING_STATUS=OR","EQY_CONSOLIDATED=Y","Sort=A","Dates=H","DateFormat=P","Fill=—","Direction=H","UseDPDF=Y")</f>
        <v>#NAME?</v>
      </c>
      <c r="AS321" s="1" t="e">
        <f ca="1">_xll.BDH($C$303,"ACCOUNTS_RECEIVABLE_5_YR_GROWTH","FQ3 2017","FQ3 2017","Currency=INR","Period=FQ","BEST_FPERIOD_OVERRIDE=FQ","FILING_STATUS=OR","EQY_CONSOLIDATED=Y","Sort=A","Dates=H","DateFormat=P","Fill=—","Direction=H","UseDPDF=Y")</f>
        <v>#NAME?</v>
      </c>
      <c r="AT321" s="1" t="e">
        <f ca="1">_xll.BDH($C$303,"INVENTORY_5_YEAR_GROWTH","FQ3 2017","FQ3 2017","Currency=INR","Period=FQ","BEST_FPERIOD_OVERRIDE=FQ","FILING_STATUS=OR","EQY_CONSOLIDATED=Y","Sort=A","Dates=H","DateFormat=P","Fill=—","Direction=H","UseDPDF=Y")</f>
        <v>#NAME?</v>
      </c>
      <c r="AU321" s="1" t="e">
        <f ca="1">_xll.BDH($C$303,"NET_FIXED_ASSETS_5_YEAR_GROWTH","FQ3 2017","FQ3 2017","Currency=INR","Period=FQ","BEST_FPERIOD_OVERRIDE=FQ","FILING_STATUS=OR","EQY_CONSOLIDATED=Y","Sort=A","Dates=H","DateFormat=P","Fill=—","Direction=H","UseDPDF=Y")</f>
        <v>#NAME?</v>
      </c>
      <c r="AV321" s="1" t="e">
        <f ca="1">_xll.BDH($C$303,"GEO_GROW_TOT_ASSET","FQ3 2017","FQ3 2017","Currency=INR","Period=FQ","BEST_FPERIOD_OVERRIDE=FQ","FILING_STATUS=OR","EQY_CONSOLIDATED=Y","Sort=A","Dates=H","DateFormat=P","Fill=—","Direction=H","UseDPDF=Y")</f>
        <v>#NAME?</v>
      </c>
      <c r="AW321" s="1" t="e">
        <f ca="1">_xll.BDH($C$303,"MODIFIED_WORKING_CPTL_5YR_GRWTH","FQ3 2017","FQ3 2017","Currency=INR","Period=FQ","BEST_FPERIOD_OVERRIDE=FQ","FILING_STATUS=OR","EQY_CONSOLIDATED=Y","Sort=A","Dates=H","DateFormat=P","Fill=—","Direction=H","UseDPDF=Y")</f>
        <v>#NAME?</v>
      </c>
      <c r="AX321" s="1" t="e">
        <f ca="1">_xll.BDH($C$303,"WORKING_CAPITAL_5_YEAR_GROWTH","FQ3 2017","FQ3 2017","Currency=INR","Period=FQ","BEST_FPERIOD_OVERRIDE=FQ","FILING_STATUS=OR","EQY_CONSOLIDATED=Y","Sort=A","Dates=H","DateFormat=P","Fill=—","Direction=H","UseDPDF=Y")</f>
        <v>#NAME?</v>
      </c>
      <c r="AY321" s="1" t="e">
        <f ca="1">_xll.BDH($C$303,"ACCOUNTS_PAYABLE_5_YEAR_GROWTH","FQ3 2017","FQ3 2017","Currency=INR","Period=FQ","BEST_FPERIOD_OVERRIDE=FQ","FILING_STATUS=OR","EQY_CONSOLIDATED=Y","Sort=A","Dates=H","DateFormat=P","Fill=—","Direction=H","UseDPDF=Y")</f>
        <v>#NAME?</v>
      </c>
      <c r="AZ321" s="1" t="e">
        <f ca="1">_xll.BDH($C$303,"SHORT_TERM_DEBT_5_YEAR_GROWTH","FQ3 2017","FQ3 2017","Currency=INR","Period=FQ","BEST_FPERIOD_OVERRIDE=FQ","FILING_STATUS=OR","EQY_CONSOLIDATED=Y","Sort=A","Dates=H","DateFormat=P","Fill=—","Direction=H","UseDPDF=Y")</f>
        <v>#NAME?</v>
      </c>
      <c r="BA321" s="1" t="e">
        <f ca="1">_xll.BDH($C$303,"TOTAL_DEBT_5_YEAR_GROWTH","FQ3 2017","FQ3 2017","Currency=INR","Period=FQ","BEST_FPERIOD_OVERRIDE=FQ","FILING_STATUS=OR","EQY_CONSOLIDATED=Y","Sort=A","Dates=H","DateFormat=P","Fill=—","Direction=H","UseDPDF=Y")</f>
        <v>#NAME?</v>
      </c>
      <c r="BB321" s="1" t="e">
        <f ca="1">_xll.BDH($C$303,"GEO_GROW_TOT_SHRHLDR_EQY","FQ3 2017","FQ3 2017","Currency=INR","Period=FQ","BEST_FPERIOD_OVERRIDE=FQ","FILING_STATUS=OR","EQY_CONSOLIDATED=Y","Sort=A","Dates=H","DateFormat=P","Fill=—","Direction=H","UseDPDF=Y")</f>
        <v>#NAME?</v>
      </c>
      <c r="BC321" s="1" t="e">
        <f ca="1">_xll.BDH($C$303,"TOTAL_CAPITAL_5_YEAR_GROWTH","FQ3 2017","FQ3 2017","Currency=INR","Period=FQ","BEST_FPERIOD_OVERRIDE=FQ","FILING_STATUS=OR","EQY_CONSOLIDATED=Y","Sort=A","Dates=H","DateFormat=P","Fill=—","Direction=H","UseDPDF=Y")</f>
        <v>#NAME?</v>
      </c>
      <c r="BD321" s="1" t="e">
        <f ca="1">_xll.BDH($C$303,"GEO_GROW_BOOK_VAL","FQ3 2017","FQ3 2017","Currency=INR","Period=FQ","BEST_FPERIOD_OVERRIDE=FQ","FILING_STATUS=OR","EQY_CONSOLIDATED=Y","Sort=A","Dates=H","DateFormat=P","Fill=—","Direction=H","UseDPDF=Y")</f>
        <v>#NAME?</v>
      </c>
      <c r="BE321" s="1" t="e">
        <f ca="1">_xll.BDH($C$303,"GEO_GROW_CASH_OPER_ACT","FQ3 2017","FQ3 2017","Currency=INR","Period=FQ","BEST_FPERIOD_OVERRIDE=FQ","FILING_STATUS=OR","EQY_CONSOLIDATED=Y","Sort=A","Dates=H","DateFormat=P","Fill=—","Direction=H","UseDPDF=Y")</f>
        <v>#NAME?</v>
      </c>
      <c r="BF321" s="1" t="e">
        <f ca="1">_xll.BDH($C$303,"REVENUE_SEQUENTIAL_GROWTH","FQ3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21" s="1" t="e">
        <f ca="1">_xll.BDH($C$303,"EBITDA_SEQUENTIAL_GROWTH","FQ3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21" s="1" t="e">
        <f ca="1">_xll.BDH($C$303,"OPERATING_INCOME_SEQ_GROWTH","FQ3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21" s="1" t="e">
        <f ca="1">_xll.BDH($C$303,"NET_INCOME_TO_COMMON_SEQ_GROWTH","FQ3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21" s="1" t="e">
        <f ca="1">_xll.BDH($C$303,"EPS_DILUTED_SEQUENTIAL_GROWTH","FQ3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21" s="1" t="e">
        <f ca="1">_xll.BDH($C$303,"DPS_SEQUENTIAL_GROWTH","FQ3 2017","FQ3 2017","Currency=INR","Period=FQ","BEST_FPERIOD_OVERRIDE=FQ","FILING_STATUS=OR","EQY_CONSOLIDATED=Y","Sort=A","Dates=H","DateFormat=P","Fill=—","Direction=H","UseDPDF=Y")</f>
        <v>#NAME?</v>
      </c>
      <c r="BL321" s="1" t="e">
        <f ca="1">_xll.BDH($C$303,"ACCOUNTS_RECEIVABLE_SEQ_GROWTH","FQ3 2017","FQ3 2017","Currency=INR","Period=FQ","BEST_FPERIOD_OVERRIDE=FQ","FILING_STATUS=OR","EQY_CONSOLIDATED=Y","Sort=A","Dates=H","DateFormat=P","Fill=—","Direction=H","UseDPDF=Y")</f>
        <v>#NAME?</v>
      </c>
      <c r="BM321" s="1" t="e">
        <f ca="1">_xll.BDH($C$303,"INVENTORY_SEQUENTIAL_GROWTH","FQ3 2017","FQ3 2017","Currency=INR","Period=FQ","BEST_FPERIOD_OVERRIDE=FQ","FILING_STATUS=OR","EQY_CONSOLIDATED=Y","Sort=A","Dates=H","DateFormat=P","Fill=—","Direction=H","UseDPDF=Y")</f>
        <v>#NAME?</v>
      </c>
      <c r="BN321" s="1" t="e">
        <f ca="1">_xll.BDH($C$303,"FIXED_ASSETS_SEQUENTIAL_GROWTH","FQ3 2017","FQ3 2017","Currency=INR","Period=FQ","BEST_FPERIOD_OVERRIDE=FQ","FILING_STATUS=OR","EQY_CONSOLIDATED=Y","Sort=A","Dates=H","DateFormat=P","Fill=—","Direction=H","UseDPDF=Y")</f>
        <v>#NAME?</v>
      </c>
      <c r="BO321" s="1" t="e">
        <f ca="1">_xll.BDH($C$303,"TOTAL_ASSETS_SEQUENTIAL_GROWTH","FQ3 2017","FQ3 2017","Currency=INR","Period=FQ","BEST_FPERIOD_OVERRIDE=FQ","FILING_STATUS=OR","EQY_CONSOLIDATED=Y","Sort=A","Dates=H","DateFormat=P","Fill=—","Direction=H","UseDPDF=Y")</f>
        <v>#NAME?</v>
      </c>
      <c r="BP321" s="1" t="e">
        <f ca="1">_xll.BDH($C$303,"MODIFIED_WORKING_CPTL_SEQ_GRWTH","FQ3 2017","FQ3 2017","Currency=INR","Period=FQ","BEST_FPERIOD_OVERRIDE=FQ","FILING_STATUS=OR","EQY_CONSOLIDATED=Y","Sort=A","Dates=H","DateFormat=P","Fill=—","Direction=H","UseDPDF=Y")</f>
        <v>#NAME?</v>
      </c>
      <c r="BQ321" s="1" t="e">
        <f ca="1">_xll.BDH($C$303,"WORKING_CAPITAL_SEQ_GROWTH","FQ3 2017","FQ3 2017","Currency=INR","Period=FQ","BEST_FPERIOD_OVERRIDE=FQ","FILING_STATUS=OR","EQY_CONSOLIDATED=Y","Sort=A","Dates=H","DateFormat=P","Fill=—","Direction=H","UseDPDF=Y")</f>
        <v>#NAME?</v>
      </c>
      <c r="BR321" s="1" t="e">
        <f ca="1">_xll.BDH($C$303,"ACCOUNTS_PAYABLE_SEQ_GROWTH","FQ3 2017","FQ3 2017","Currency=INR","Period=FQ","BEST_FPERIOD_OVERRIDE=FQ","FILING_STATUS=OR","EQY_CONSOLIDATED=Y","Sort=A","Dates=H","DateFormat=P","Fill=—","Direction=H","UseDPDF=Y")</f>
        <v>#NAME?</v>
      </c>
      <c r="BS321" s="1" t="e">
        <f ca="1">_xll.BDH($C$303,"ST_DEBT_SEQUENTIAL_GROWTH","FQ3 2017","FQ3 2017","Currency=INR","Period=FQ","BEST_FPERIOD_OVERRIDE=FQ","FILING_STATUS=OR","EQY_CONSOLIDATED=Y","Sort=A","Dates=H","DateFormat=P","Fill=—","Direction=H","UseDPDF=Y")</f>
        <v>#NAME?</v>
      </c>
      <c r="BT321" s="1" t="e">
        <f ca="1">_xll.BDH($C$303,"TOTAL_DEBT_SEQUENTIAL_GROWTH","FQ3 2017","FQ3 2017","Currency=INR","Period=FQ","BEST_FPERIOD_OVERRIDE=FQ","FILING_STATUS=OR","EQY_CONSOLIDATED=Y","Sort=A","Dates=H","DateFormat=P","Fill=—","Direction=H","UseDPDF=Y")</f>
        <v>#NAME?</v>
      </c>
      <c r="BU321" s="1" t="e">
        <f ca="1">_xll.BDH($C$303,"TOTAL_EQUITY_SEQUENTIAL_GROWTH","FQ3 2017","FQ3 2017","Currency=INR","Period=FQ","BEST_FPERIOD_OVERRIDE=FQ","FILING_STATUS=OR","EQY_CONSOLIDATED=Y","Sort=A","Dates=H","DateFormat=P","Fill=—","Direction=H","UseDPDF=Y")</f>
        <v>#NAME?</v>
      </c>
      <c r="BV321" s="1" t="e">
        <f ca="1">_xll.BDH($C$303,"TOTAL_CAPITAL_SEQUENTIAL_GROWTH","FQ3 2017","FQ3 2017","Currency=INR","Period=FQ","BEST_FPERIOD_OVERRIDE=FQ","FILING_STATUS=OR","EQY_CONSOLIDATED=Y","Sort=A","Dates=H","DateFormat=P","Fill=—","Direction=H","UseDPDF=Y")</f>
        <v>#NAME?</v>
      </c>
      <c r="BW321" s="1" t="e">
        <f ca="1">_xll.BDH($C$303,"BPS_SEQUENTIAL_GROWTH","FQ3 2017","FQ3 2017","Currency=INR","Period=FQ","BEST_FPERIOD_OVERRIDE=FQ","FILING_STATUS=OR","EQY_CONSOLIDATED=Y","Sort=A","Dates=H","DateFormat=P","Fill=—","Direction=H","UseDPDF=Y")</f>
        <v>#NAME?</v>
      </c>
      <c r="BX321" s="1" t="e">
        <f ca="1">_xll.BDH($C$303,"CFO_SEQUENTIAL_GROWTH","FQ3 2017","FQ3 2017","Currency=INR","Period=FQ","BEST_FPERIOD_OVERRIDE=FQ","FILING_STATUS=OR","EQY_CONSOLIDATED=Y","Sort=A","Dates=H","DateFormat=P","Fill=—","Direction=H","UseDPDF=Y")</f>
        <v>#NAME?</v>
      </c>
      <c r="BY321" s="2" t="e">
        <f ca="1">_xll.BDH($C$303,"SHORT_AND_LONG_TERM_DEBT","FQ3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21" s="2" t="e">
        <f ca="1">_xll.BDH($C$303,"BS_ST_BORROW","FQ3 2017","FQ3 2017","Currency=INR","Period=FQ","BEST_FPERIOD_OVERRIDE=FQ","FILING_STATUS=OR","EQY_CONSOLIDATED=Y","SCALING_FORMAT=MLN","Sort=A","Dates=H","DateFormat=P","Fill=—","Direction=H","UseDPDF=Y")</f>
        <v>#NAME?</v>
      </c>
      <c r="CA321" s="2" t="e">
        <f ca="1">_xll.BDH($C$303,"BS_LT_BORROW","FQ3 2017","FQ3 2017","Currency=INR","Period=FQ","BEST_FPERIOD_OVERRIDE=FQ","FILING_STATUS=OR","EQY_CONSOLIDATED=Y","SCALING_FORMAT=MLN","Sort=A","Dates=H","DateFormat=P","Fill=—","Direction=H","UseDPDF=Y")</f>
        <v>#NAME?</v>
      </c>
      <c r="CB321" s="1" t="e">
        <f ca="1">_xll.BDH($C$303,"TOT_DEBT_TO_EBITDA","FQ3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21" s="1" t="e">
        <f ca="1">_xll.BDH($C$303,"NET_DEBT_TO_EBITDA","FQ3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21" s="1" t="e">
        <f ca="1">_xll.BDH($C$303,"TOTAL_DEBT_TO_EBIT","FQ3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21" s="1" t="e">
        <f ca="1">_xll.BDH($C$303,"NET_DEBT_TO_EBIT","FQ3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321" s="1" t="e">
        <f ca="1">_xll.BDH($C$303,"EBITDA_TO_INTEREST_EXPN","FQ3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21" s="1" t="e">
        <f ca="1">_xll.BDH($C$303,"COM_EQY_TO_TOT_ASSET","FQ3 2017","FQ3 2017","Currency=INR","Period=FQ","BEST_FPERIOD_OVERRIDE=FQ","FILING_STATUS=OR","EQY_CONSOLIDATED=Y","Sort=A","Dates=H","DateFormat=P","Fill=—","Direction=H","UseDPDF=Y")</f>
        <v>#NAME?</v>
      </c>
      <c r="CH321" s="1" t="e">
        <f ca="1">_xll.BDH($C$303,"LT_DEBT_TO_TOT_EQY","FQ3 2017","FQ3 2017","Currency=INR","Period=FQ","BEST_FPERIOD_OVERRIDE=FQ","FILING_STATUS=OR","EQY_CONSOLIDATED=Y","Sort=A","Dates=H","DateFormat=P","Fill=—","Direction=H","UseDPDF=Y")</f>
        <v>#NAME?</v>
      </c>
      <c r="CI321" s="1" t="e">
        <f ca="1">_xll.BDH($C$303,"LT_DEBT_TO_TOT_CAP","FQ3 2017","FQ3 2017","Currency=INR","Period=FQ","BEST_FPERIOD_OVERRIDE=FQ","FILING_STATUS=OR","EQY_CONSOLIDATED=Y","Sort=A","Dates=H","DateFormat=P","Fill=—","Direction=H","UseDPDF=Y")</f>
        <v>#NAME?</v>
      </c>
      <c r="CJ321" s="1" t="e">
        <f ca="1">_xll.BDH($C$303,"LT_DEBT_TO_TOT_ASSET","FQ3 2017","FQ3 2017","Currency=INR","Period=FQ","BEST_FPERIOD_OVERRIDE=FQ","FILING_STATUS=OR","EQY_CONSOLIDATED=Y","Sort=A","Dates=H","DateFormat=P","Fill=—","Direction=H","UseDPDF=Y")</f>
        <v>#NAME?</v>
      </c>
      <c r="CK321" s="1" t="e">
        <f ca="1">_xll.BDH($C$303,"TOT_DEBT_TO_TOT_EQY","FQ3 2017","FQ3 2017","Currency=INR","Period=FQ","BEST_FPERIOD_OVERRIDE=FQ","FILING_STATUS=OR","EQY_CONSOLIDATED=Y","Sort=A","Dates=H","DateFormat=P","Fill=—","Direction=H","UseDPDF=Y")</f>
        <v>#NAME?</v>
      </c>
      <c r="CL321" s="1" t="e">
        <f ca="1">_xll.BDH($C$303,"TOT_DEBT_TO_TOT_CAP","FQ3 2017","FQ3 2017","Currency=INR","Period=FQ","BEST_FPERIOD_OVERRIDE=FQ","FILING_STATUS=OR","EQY_CONSOLIDATED=Y","Sort=A","Dates=H","DateFormat=P","Fill=—","Direction=H","UseDPDF=Y")</f>
        <v>#NAME?</v>
      </c>
      <c r="CM321" s="1" t="e">
        <f ca="1">_xll.BDH($C$303,"TOT_DEBT_TO_TOT_ASSET","FQ3 2017","FQ3 2017","Currency=INR","Period=FQ","BEST_FPERIOD_OVERRIDE=FQ","FILING_STATUS=OR","EQY_CONSOLIDATED=Y","Sort=A","Dates=H","DateFormat=P","Fill=—","Direction=H","UseDPDF=Y")</f>
        <v>#NAME?</v>
      </c>
      <c r="CN321" s="1" t="e">
        <f ca="1">_xll.BDH($C$303,"NET_DEBT_TO_SHRHLDR_EQTY","FQ3 2017","FQ3 2017","Currency=INR","Period=FQ","BEST_FPERIOD_OVERRIDE=FQ","FILING_STATUS=OR","EQY_CONSOLIDATED=Y","Sort=A","Dates=H","DateFormat=P","Fill=—","Direction=H","UseDPDF=Y")</f>
        <v>#NAME?</v>
      </c>
      <c r="CO321" s="1" t="e">
        <f ca="1">_xll.BDH($C$303,"NET_DEBT_%_CAPITAL","FQ3 2017","FQ3 2017","Currency=INR","Period=FQ","BEST_FPERIOD_OVERRIDE=FQ","FILING_STATUS=OR","EQY_CONSOLIDATED=Y","Sort=A","Dates=H","DateFormat=P","Fill=—","Direction=H","UseDPDF=Y")</f>
        <v>#NAME?</v>
      </c>
      <c r="CP321" s="2" t="e">
        <f ca="1">_xll.BDH($C$303,"EBITDA","FQ3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21" s="2" t="e">
        <f ca="1">_xll.BDH($C$303,"EBITDA_AFTER_CAPEX","FQ3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21" s="2" t="e">
        <f ca="1">_xll.BDH($C$303,"IS_OPER_INC","FQ3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21" s="1" t="e">
        <f ca="1">_xll.BDH($C$303,"CASH_RATIO","FQ3 2017","FQ3 2017","Currency=INR","Period=FQ","BEST_FPERIOD_OVERRIDE=FQ","FILING_STATUS=OR","EQY_CONSOLIDATED=Y","Sort=A","Dates=H","DateFormat=P","Fill=—","Direction=H","UseDPDF=Y")</f>
        <v>#NAME?</v>
      </c>
      <c r="CT321" s="1" t="e">
        <f ca="1">_xll.BDH($C$303,"CUR_RATIO","FQ3 2017","FQ3 2017","Currency=INR","Period=FQ","BEST_FPERIOD_OVERRIDE=FQ","FILING_STATUS=OR","EQY_CONSOLIDATED=Y","Sort=A","Dates=H","DateFormat=P","Fill=—","Direction=H","UseDPDF=Y")</f>
        <v>#NAME?</v>
      </c>
      <c r="CU321" s="1" t="e">
        <f ca="1">_xll.BDH($C$303,"QUICK_RATIO","FQ3 2017","FQ3 2017","Currency=INR","Period=FQ","BEST_FPERIOD_OVERRIDE=FQ","FILING_STATUS=OR","EQY_CONSOLIDATED=Y","Sort=A","Dates=H","DateFormat=P","Fill=—","Direction=H","UseDPDF=Y")</f>
        <v>#NAME?</v>
      </c>
      <c r="CV321" s="1" t="e">
        <f ca="1">_xll.BDH($C$303,"ALTMAN_Z_SCORE","FQ3 2017","FQ3 2017","Currency=INR","Period=FQ","BEST_FPERIOD_OVERRIDE=FQ","FILING_STATUS=OR","EQY_CONSOLIDATED=Y","Sort=A","Dates=H","DateFormat=P","Fill=—","Direction=H","UseDPDF=Y")</f>
        <v>#NAME?</v>
      </c>
      <c r="CW321" s="3" t="e">
        <f ca="1">_xll.BDH($C$303,"ACCT_RCV_TURN","FQ3 2017","FQ3 2017","Currency=INR","Period=FQ","BEST_FPERIOD_OVERRIDE=FQ","FILING_STATUS=OR","EQY_CONSOLIDATED=Y","FA_ADJUSTED=GAAP","Sort=A","Dates=H","DateFormat=P","Fill=—","Direction=H","UseDPDF=Y")</f>
        <v>#NAME?</v>
      </c>
      <c r="CX321" s="1" t="e">
        <f ca="1">_xll.BDH($C$303,"ACCT_RCV_DAYS","FQ3 2017","FQ3 2017","Currency=INR","Period=FQ","BEST_FPERIOD_OVERRIDE=FQ","FILING_STATUS=OR","EQY_CONSOLIDATED=Y","FA_ADJUSTED=GAAP","Sort=A","Dates=H","DateFormat=P","Fill=—","Direction=H","UseDPDF=Y")</f>
        <v>#NAME?</v>
      </c>
      <c r="CY321" s="3" t="e">
        <f ca="1">_xll.BDH($C$303,"INVENT_TURN","FQ3 2017","FQ3 2017","Currency=INR","Period=FQ","BEST_FPERIOD_OVERRIDE=FQ","FILING_STATUS=OR","EQY_CONSOLIDATED=Y","FA_ADJUSTED=GAAP","Sort=A","Dates=H","DateFormat=P","Fill=—","Direction=H","UseDPDF=Y")</f>
        <v>#NAME?</v>
      </c>
      <c r="CZ321" s="1" t="e">
        <f ca="1">_xll.BDH($C$303,"INVENT_DAYS","FQ3 2017","FQ3 2017","Currency=INR","Period=FQ","BEST_FPERIOD_OVERRIDE=FQ","FILING_STATUS=OR","EQY_CONSOLIDATED=Y","FA_ADJUSTED=GAAP","Sort=A","Dates=H","DateFormat=P","Fill=—","Direction=H","UseDPDF=Y")</f>
        <v>#NAME?</v>
      </c>
      <c r="DA321" s="3" t="e">
        <f ca="1">_xll.BDH($C$303,"ACCOUNTS_PAYABLE_TURNOVER","FQ3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21" s="1" t="e">
        <f ca="1">_xll.BDH($C$303,"ACCOUNTS_PAYABLE_TURNOVER_DAYS","FQ3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21" s="3" t="e">
        <f ca="1">_xll.BDH($C$303,"CASH_CONVERSION_CYCLE","FQ3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21" s="3" t="e">
        <f ca="1">_xll.BDH($C$303,"INV_TO_CASH_DAYS","FQ3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321" s="4" t="e">
        <f ca="1">_xll.BDH($C$303,"BS_INVENTORIES","FQ3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321" s="2" t="e">
        <f ca="1">_xll.BDH($C$303,"INVTRY_RAW_MATERIALS","FQ3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21" s="2" t="e">
        <f ca="1">_xll.BDH($C$303,"INVTRY_IN_PROGRESS","FQ3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21" s="2" t="e">
        <f ca="1">_xll.BDH($C$303,"INVTRY_FINISHED_GOODS","FQ3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21" s="2" t="e">
        <f ca="1">_xll.BDH($C$303,"BS_OTHER_INV","FQ3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22" spans="1:113" x14ac:dyDescent="0.3">
      <c r="A322" s="6"/>
      <c r="B322" s="6"/>
      <c r="C322" s="6"/>
      <c r="D322" s="6"/>
      <c r="E322" t="s">
        <v>7</v>
      </c>
      <c r="F322" t="e">
        <f ca="1">_xll.BDH($C$303,"RETURN_COM_EQY","FQ4 2017","FQ4 2017","Currency=INR","Period=FQ","BEST_FPERIOD_OVERRIDE=FQ","FILING_STATUS=OR","EQY_CONSOLIDATED=Y","FA_ADJUSTED=GAAP","Sort=A","Dates=H","DateFormat=P","Fill=—","Direction=H","UseDPDF=Y")</f>
        <v>#NAME?</v>
      </c>
      <c r="G322" t="e">
        <f ca="1">_xll.BDH($C$303,"RETURN_ON_ASSET","FQ4 2017","FQ4 2017","Currency=INR","Period=FQ","BEST_FPERIOD_OVERRIDE=FQ","FILING_STATUS=OR","EQY_CONSOLIDATED=Y","FA_ADJUSTED=GAAP","Sort=A","Dates=H","DateFormat=P","Fill=—","Direction=H","UseDPDF=Y")</f>
        <v>#NAME?</v>
      </c>
      <c r="H322" t="e">
        <f ca="1">_xll.BDH($C$303,"RETURN_ON_CAP","FQ4 2017","FQ4 2017","Currency=INR","Period=FQ","BEST_FPERIOD_OVERRIDE=FQ","FILING_STATUS=OR","EQY_CONSOLIDATED=Y","FA_ADJUSTED=GAAP","Sort=A","Dates=H","DateFormat=P","Fill=—","Direction=H","UseDPDF=Y")</f>
        <v>#NAME?</v>
      </c>
      <c r="I322" t="e">
        <f ca="1">_xll.BDH($C$303,"RETURN_ON_INV_CAPITAL","FQ4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22" t="e">
        <f ca="1">_xll.BDH($C$303,"EBITDA_TO_REVENUE","FQ4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322" t="e">
        <f ca="1">_xll.BDH($C$303,"OPER_MARGIN","FQ4 2017","FQ4 2017","Currency=INR","Period=FQ","BEST_FPERIOD_OVERRIDE=FQ","FILING_STATUS=OR","EQY_CONSOLIDATED=Y","FA_ADJUSTED=GAAP","Sort=A","Dates=H","DateFormat=P","Fill=—","Direction=H","UseDPDF=Y")</f>
        <v>#NAME?</v>
      </c>
      <c r="L322" t="e">
        <f ca="1">_xll.BDH($C$303,"INCREMENTAL_OPERATING_MARGIN","FQ4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22" t="e">
        <f ca="1">_xll.BDH($C$303,"PRETAX_INC_TO_NET_SALES","FQ4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22" t="e">
        <f ca="1">_xll.BDH($C$303,"INC_BEF_XO_ITEMS_TO_NET_SALES","FQ4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22" t="e">
        <f ca="1">_xll.BDH($C$303,"PROF_MARGIN","FQ4 2017","FQ4 2017","Currency=INR","Period=FQ","BEST_FPERIOD_OVERRIDE=FQ","FILING_STATUS=OR","EQY_CONSOLIDATED=Y","FA_ADJUSTED=GAAP","Sort=A","Dates=H","DateFormat=P","Fill=—","Direction=H","UseDPDF=Y")</f>
        <v>#NAME?</v>
      </c>
      <c r="P322" t="e">
        <f ca="1">_xll.BDH($C$303,"NET_INCOME_TO_COMMON_MARGIN","FQ4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22" t="e">
        <f ca="1">_xll.BDH($C$303,"EFF_TAX_RATE","FQ4 2017","FQ4 2017","Currency=INR","Period=FQ","BEST_FPERIOD_OVERRIDE=FQ","FILING_STATUS=OR","EQY_CONSOLIDATED=Y","FA_ADJUSTED=GAAP","Sort=A","Dates=H","DateFormat=P","Fill=—","Direction=H","UseDPDF=Y")</f>
        <v>#NAME?</v>
      </c>
      <c r="R322" t="e">
        <f ca="1">_xll.BDH($C$303,"DVD_PAYOUT_RATIO","FQ4 2017","FQ4 2017","Currency=INR","Period=FQ","BEST_FPERIOD_OVERRIDE=FQ","FILING_STATUS=OR","EQY_CONSOLIDATED=Y","FA_ADJUSTED=GAAP","Sort=A","Dates=H","DateFormat=P","Fill=—","Direction=H","UseDPDF=Y")</f>
        <v>#NAME?</v>
      </c>
      <c r="S322" t="e">
        <f ca="1">_xll.BDH($C$303,"SUSTAIN_GROWTH_RT","FQ4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322" s="1" t="e">
        <f ca="1">_xll.BDH($C$303,"SALES_GROWTH","FQ4 2017","FQ4 2017","Currency=INR","Period=FQ","BEST_FPERIOD_OVERRIDE=FQ","FILING_STATUS=OR","EQY_CONSOLIDATED=Y","FA_ADJUSTED=GAAP","Sort=A","Dates=H","DateFormat=P","Fill=—","Direction=H","UseDPDF=Y")</f>
        <v>#NAME?</v>
      </c>
      <c r="U322" s="1" t="e">
        <f ca="1">_xll.BDH($C$303,"EBITDA_GROWTH","FQ4 2017","FQ4 2017","Currency=INR","Period=FQ","BEST_FPERIOD_OVERRIDE=FQ","FILING_STATUS=OR","EQY_CONSOLIDATED=Y","FA_ADJUSTED=GAAP","Sort=A","Dates=H","DateFormat=P","Fill=—","Direction=H","UseDPDF=Y")</f>
        <v>#NAME?</v>
      </c>
      <c r="V322" s="1" t="e">
        <f ca="1">_xll.BDH($C$303,"OPER_INC_GROWTH","FQ4 2017","FQ4 2017","Currency=INR","Period=FQ","BEST_FPERIOD_OVERRIDE=FQ","FILING_STATUS=OR","EQY_CONSOLIDATED=Y","FA_ADJUSTED=GAAP","Sort=A","Dates=H","DateFormat=P","Fill=—","Direction=H","UseDPDF=Y")</f>
        <v>#NAME?</v>
      </c>
      <c r="W322" s="1" t="e">
        <f ca="1">_xll.BDH($C$303,"EARN_FOR_COM_GROWTH","FQ4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22" s="1" t="e">
        <f ca="1">_xll.BDH($C$303,"DILUTED_EPS_AFT_XO_ITEMS_GROWTH","FQ4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22" s="1" t="e">
        <f ca="1">_xll.BDH($C$303,"DIVIDEND_PER_SHARE_1_YEAR_GROWTH","FQ4 2017","FQ4 2017","Currency=INR","Period=FQ","BEST_FPERIOD_OVERRIDE=FQ","FILING_STATUS=OR","EQY_CONSOLIDATED=Y","Sort=A","Dates=H","DateFormat=P","Fill=—","Direction=H","UseDPDF=Y")</f>
        <v>#NAME?</v>
      </c>
      <c r="Z322" s="1" t="e">
        <f ca="1">_xll.BDH($C$303,"ACCOUNTS_RECEIVABLE_GROWTH","FQ4 2017","FQ4 2017","Currency=INR","Period=FQ","BEST_FPERIOD_OVERRIDE=FQ","FILING_STATUS=OR","EQY_CONSOLIDATED=Y","Sort=A","Dates=H","DateFormat=P","Fill=—","Direction=H","UseDPDF=Y")</f>
        <v>#NAME?</v>
      </c>
      <c r="AA322" s="1" t="e">
        <f ca="1">_xll.BDH($C$303,"INVENTORY_GROWTH","FQ4 2017","FQ4 2017","Currency=INR","Period=FQ","BEST_FPERIOD_OVERRIDE=FQ","FILING_STATUS=OR","EQY_CONSOLIDATED=Y","Sort=A","Dates=H","DateFormat=P","Fill=—","Direction=H","UseDPDF=Y")</f>
        <v>#NAME?</v>
      </c>
      <c r="AB322" s="1" t="e">
        <f ca="1">_xll.BDH($C$303,"NET_FIXED_ASSETS_1_YEAR_GROWTH","FQ4 2017","FQ4 2017","Currency=INR","Period=FQ","BEST_FPERIOD_OVERRIDE=FQ","FILING_STATUS=OR","EQY_CONSOLIDATED=Y","Sort=A","Dates=H","DateFormat=P","Fill=—","Direction=H","UseDPDF=Y")</f>
        <v>#NAME?</v>
      </c>
      <c r="AC322" s="1" t="e">
        <f ca="1">_xll.BDH($C$303,"ASSET_GROWTH","FQ4 2017","FQ4 2017","Currency=INR","Period=FQ","BEST_FPERIOD_OVERRIDE=FQ","FILING_STATUS=OR","EQY_CONSOLIDATED=Y","Sort=A","Dates=H","DateFormat=P","Fill=—","Direction=H","UseDPDF=Y")</f>
        <v>#NAME?</v>
      </c>
      <c r="AD322" s="1" t="e">
        <f ca="1">_xll.BDH($C$303,"MODIFIED_WORK_CAP_GROWTH","FQ4 2017","FQ4 2017","Currency=INR","Period=FQ","BEST_FPERIOD_OVERRIDE=FQ","FILING_STATUS=OR","EQY_CONSOLIDATED=Y","Sort=A","Dates=H","DateFormat=P","Fill=—","Direction=H","UseDPDF=Y")</f>
        <v>#NAME?</v>
      </c>
      <c r="AE322" s="1" t="e">
        <f ca="1">_xll.BDH($C$303,"WORK_CAP_GROWTH","FQ4 2017","FQ4 2017","Currency=INR","Period=FQ","BEST_FPERIOD_OVERRIDE=FQ","FILING_STATUS=OR","EQY_CONSOLIDATED=Y","Sort=A","Dates=H","DateFormat=P","Fill=—","Direction=H","UseDPDF=Y")</f>
        <v>#NAME?</v>
      </c>
      <c r="AF322" s="1" t="e">
        <f ca="1">_xll.BDH($C$303,"ACCOUNTS_PAYABLE_GROWTH_1YR","FQ4 2017","FQ4 2017","Currency=INR","Period=FQ","BEST_FPERIOD_OVERRIDE=FQ","FILING_STATUS=OR","EQY_CONSOLIDATED=Y","Sort=A","Dates=H","DateFormat=P","Fill=—","Direction=H","UseDPDF=Y")</f>
        <v>#NAME?</v>
      </c>
      <c r="AG322" s="1" t="e">
        <f ca="1">_xll.BDH($C$303,"SHORT_TERM_DEBT_1_YEAR_GROWTH","FQ4 2017","FQ4 2017","Currency=INR","Period=FQ","BEST_FPERIOD_OVERRIDE=FQ","FILING_STATUS=OR","EQY_CONSOLIDATED=Y","Sort=A","Dates=H","DateFormat=P","Fill=—","Direction=H","UseDPDF=Y")</f>
        <v>#NAME?</v>
      </c>
      <c r="AH322" s="1" t="e">
        <f ca="1">_xll.BDH($C$303,"TOTAL_DEBT_1_YEAR_GROWTH","FQ4 2017","FQ4 2017","Currency=INR","Period=FQ","BEST_FPERIOD_OVERRIDE=FQ","FILING_STATUS=OR","EQY_CONSOLIDATED=Y","Sort=A","Dates=H","DateFormat=P","Fill=—","Direction=H","UseDPDF=Y")</f>
        <v>#NAME?</v>
      </c>
      <c r="AI322" s="1" t="e">
        <f ca="1">_xll.BDH($C$303,"TOTAL_EQUITY_1_YEAR_GROWTH","FQ4 2017","FQ4 2017","Currency=INR","Period=FQ","BEST_FPERIOD_OVERRIDE=FQ","FILING_STATUS=OR","EQY_CONSOLIDATED=Y","Sort=A","Dates=H","DateFormat=P","Fill=—","Direction=H","UseDPDF=Y")</f>
        <v>#NAME?</v>
      </c>
      <c r="AJ322" s="1" t="e">
        <f ca="1">_xll.BDH($C$303,"GROWTH_IN_CAP","FQ4 2017","FQ4 2017","Currency=INR","Period=FQ","BEST_FPERIOD_OVERRIDE=FQ","FILING_STATUS=OR","EQY_CONSOLIDATED=Y","Sort=A","Dates=H","DateFormat=P","Fill=—","Direction=H","UseDPDF=Y")</f>
        <v>#NAME?</v>
      </c>
      <c r="AK322" s="1" t="e">
        <f ca="1">_xll.BDH($C$303,"BVPS_GROWTH","FQ4 2017","FQ4 2017","Currency=INR","Period=FQ","BEST_FPERIOD_OVERRIDE=FQ","FILING_STATUS=OR","EQY_CONSOLIDATED=Y","Sort=A","Dates=H","DateFormat=P","Fill=—","Direction=H","UseDPDF=Y")</f>
        <v>#NAME?</v>
      </c>
      <c r="AL322" s="1" t="e">
        <f ca="1">_xll.BDH($C$303,"CASH_FLOW_GROWTH","FQ4 2017","FQ4 2017","Currency=INR","Period=FQ","BEST_FPERIOD_OVERRIDE=FQ","FILING_STATUS=OR","EQY_CONSOLIDATED=Y","Sort=A","Dates=H","DateFormat=P","Fill=—","Direction=H","UseDPDF=Y")</f>
        <v>#NAME?</v>
      </c>
      <c r="AM322" s="1" t="e">
        <f ca="1">_xll.BDH($C$303,"GEO_GROW_NET_SALES","FQ4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22" s="1" t="e">
        <f ca="1">_xll.BDH($C$303,"GEO_GROW_EBITDA","FQ4 2017","FQ4 2017","Currency=INR","Period=FQ","BEST_FPERIOD_OVERRIDE=FQ","FILING_STATUS=OR","EQY_CONSOLIDATED=Y","FA_ADJUSTED=GAAP","Sort=A","Dates=H","DateFormat=P","Fill=—","Direction=H","UseDPDF=Y")</f>
        <v>#NAME?</v>
      </c>
      <c r="AO322" s="1" t="e">
        <f ca="1">_xll.BDH($C$303,"GEO_GROW_OPER_INC","FQ4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22" s="1" t="e">
        <f ca="1">_xll.BDH($C$303,"NET_INCOME_TO_COMMON_5_YR_GROWTH","FQ4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22" s="1" t="e">
        <f ca="1">_xll.BDH($C$303,"5Y_GEO_GROWTH_DILUTED_EPS","FQ4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22" s="1" t="e">
        <f ca="1">_xll.BDH($C$303,"GEO_GROW_DVD_PER_SH","FQ4 2017","FQ4 2017","Currency=INR","Period=FQ","BEST_FPERIOD_OVERRIDE=FQ","FILING_STATUS=OR","EQY_CONSOLIDATED=Y","Sort=A","Dates=H","DateFormat=P","Fill=—","Direction=H","UseDPDF=Y")</f>
        <v>#NAME?</v>
      </c>
      <c r="AS322" s="1" t="e">
        <f ca="1">_xll.BDH($C$303,"ACCOUNTS_RECEIVABLE_5_YR_GROWTH","FQ4 2017","FQ4 2017","Currency=INR","Period=FQ","BEST_FPERIOD_OVERRIDE=FQ","FILING_STATUS=OR","EQY_CONSOLIDATED=Y","Sort=A","Dates=H","DateFormat=P","Fill=—","Direction=H","UseDPDF=Y")</f>
        <v>#NAME?</v>
      </c>
      <c r="AT322" s="1" t="e">
        <f ca="1">_xll.BDH($C$303,"INVENTORY_5_YEAR_GROWTH","FQ4 2017","FQ4 2017","Currency=INR","Period=FQ","BEST_FPERIOD_OVERRIDE=FQ","FILING_STATUS=OR","EQY_CONSOLIDATED=Y","Sort=A","Dates=H","DateFormat=P","Fill=—","Direction=H","UseDPDF=Y")</f>
        <v>#NAME?</v>
      </c>
      <c r="AU322" s="1" t="e">
        <f ca="1">_xll.BDH($C$303,"NET_FIXED_ASSETS_5_YEAR_GROWTH","FQ4 2017","FQ4 2017","Currency=INR","Period=FQ","BEST_FPERIOD_OVERRIDE=FQ","FILING_STATUS=OR","EQY_CONSOLIDATED=Y","Sort=A","Dates=H","DateFormat=P","Fill=—","Direction=H","UseDPDF=Y")</f>
        <v>#NAME?</v>
      </c>
      <c r="AV322" s="1" t="e">
        <f ca="1">_xll.BDH($C$303,"GEO_GROW_TOT_ASSET","FQ4 2017","FQ4 2017","Currency=INR","Period=FQ","BEST_FPERIOD_OVERRIDE=FQ","FILING_STATUS=OR","EQY_CONSOLIDATED=Y","Sort=A","Dates=H","DateFormat=P","Fill=—","Direction=H","UseDPDF=Y")</f>
        <v>#NAME?</v>
      </c>
      <c r="AW322" s="1" t="e">
        <f ca="1">_xll.BDH($C$303,"MODIFIED_WORKING_CPTL_5YR_GRWTH","FQ4 2017","FQ4 2017","Currency=INR","Period=FQ","BEST_FPERIOD_OVERRIDE=FQ","FILING_STATUS=OR","EQY_CONSOLIDATED=Y","Sort=A","Dates=H","DateFormat=P","Fill=—","Direction=H","UseDPDF=Y")</f>
        <v>#NAME?</v>
      </c>
      <c r="AX322" s="1" t="e">
        <f ca="1">_xll.BDH($C$303,"WORKING_CAPITAL_5_YEAR_GROWTH","FQ4 2017","FQ4 2017","Currency=INR","Period=FQ","BEST_FPERIOD_OVERRIDE=FQ","FILING_STATUS=OR","EQY_CONSOLIDATED=Y","Sort=A","Dates=H","DateFormat=P","Fill=—","Direction=H","UseDPDF=Y")</f>
        <v>#NAME?</v>
      </c>
      <c r="AY322" s="1" t="e">
        <f ca="1">_xll.BDH($C$303,"ACCOUNTS_PAYABLE_5_YEAR_GROWTH","FQ4 2017","FQ4 2017","Currency=INR","Period=FQ","BEST_FPERIOD_OVERRIDE=FQ","FILING_STATUS=OR","EQY_CONSOLIDATED=Y","Sort=A","Dates=H","DateFormat=P","Fill=—","Direction=H","UseDPDF=Y")</f>
        <v>#NAME?</v>
      </c>
      <c r="AZ322" s="1" t="e">
        <f ca="1">_xll.BDH($C$303,"SHORT_TERM_DEBT_5_YEAR_GROWTH","FQ4 2017","FQ4 2017","Currency=INR","Period=FQ","BEST_FPERIOD_OVERRIDE=FQ","FILING_STATUS=OR","EQY_CONSOLIDATED=Y","Sort=A","Dates=H","DateFormat=P","Fill=—","Direction=H","UseDPDF=Y")</f>
        <v>#NAME?</v>
      </c>
      <c r="BA322" s="1" t="e">
        <f ca="1">_xll.BDH($C$303,"TOTAL_DEBT_5_YEAR_GROWTH","FQ4 2017","FQ4 2017","Currency=INR","Period=FQ","BEST_FPERIOD_OVERRIDE=FQ","FILING_STATUS=OR","EQY_CONSOLIDATED=Y","Sort=A","Dates=H","DateFormat=P","Fill=—","Direction=H","UseDPDF=Y")</f>
        <v>#NAME?</v>
      </c>
      <c r="BB322" s="1" t="e">
        <f ca="1">_xll.BDH($C$303,"GEO_GROW_TOT_SHRHLDR_EQY","FQ4 2017","FQ4 2017","Currency=INR","Period=FQ","BEST_FPERIOD_OVERRIDE=FQ","FILING_STATUS=OR","EQY_CONSOLIDATED=Y","Sort=A","Dates=H","DateFormat=P","Fill=—","Direction=H","UseDPDF=Y")</f>
        <v>#NAME?</v>
      </c>
      <c r="BC322" s="1" t="e">
        <f ca="1">_xll.BDH($C$303,"TOTAL_CAPITAL_5_YEAR_GROWTH","FQ4 2017","FQ4 2017","Currency=INR","Period=FQ","BEST_FPERIOD_OVERRIDE=FQ","FILING_STATUS=OR","EQY_CONSOLIDATED=Y","Sort=A","Dates=H","DateFormat=P","Fill=—","Direction=H","UseDPDF=Y")</f>
        <v>#NAME?</v>
      </c>
      <c r="BD322" s="1" t="e">
        <f ca="1">_xll.BDH($C$303,"GEO_GROW_BOOK_VAL","FQ4 2017","FQ4 2017","Currency=INR","Period=FQ","BEST_FPERIOD_OVERRIDE=FQ","FILING_STATUS=OR","EQY_CONSOLIDATED=Y","Sort=A","Dates=H","DateFormat=P","Fill=—","Direction=H","UseDPDF=Y")</f>
        <v>#NAME?</v>
      </c>
      <c r="BE322" s="1" t="e">
        <f ca="1">_xll.BDH($C$303,"GEO_GROW_CASH_OPER_ACT","FQ4 2017","FQ4 2017","Currency=INR","Period=FQ","BEST_FPERIOD_OVERRIDE=FQ","FILING_STATUS=OR","EQY_CONSOLIDATED=Y","Sort=A","Dates=H","DateFormat=P","Fill=—","Direction=H","UseDPDF=Y")</f>
        <v>#NAME?</v>
      </c>
      <c r="BF322" s="1" t="e">
        <f ca="1">_xll.BDH($C$303,"REVENUE_SEQUENTIAL_GROWTH","FQ4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22" s="1" t="e">
        <f ca="1">_xll.BDH($C$303,"EBITDA_SEQUENTIAL_GROWTH","FQ4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22" s="1" t="e">
        <f ca="1">_xll.BDH($C$303,"OPERATING_INCOME_SEQ_GROWTH","FQ4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22" s="1" t="e">
        <f ca="1">_xll.BDH($C$303,"NET_INCOME_TO_COMMON_SEQ_GROWTH","FQ4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22" s="1" t="e">
        <f ca="1">_xll.BDH($C$303,"EPS_DILUTED_SEQUENTIAL_GROWTH","FQ4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22" s="1" t="e">
        <f ca="1">_xll.BDH($C$303,"DPS_SEQUENTIAL_GROWTH","FQ4 2017","FQ4 2017","Currency=INR","Period=FQ","BEST_FPERIOD_OVERRIDE=FQ","FILING_STATUS=OR","EQY_CONSOLIDATED=Y","Sort=A","Dates=H","DateFormat=P","Fill=—","Direction=H","UseDPDF=Y")</f>
        <v>#NAME?</v>
      </c>
      <c r="BL322" s="1" t="e">
        <f ca="1">_xll.BDH($C$303,"ACCOUNTS_RECEIVABLE_SEQ_GROWTH","FQ4 2017","FQ4 2017","Currency=INR","Period=FQ","BEST_FPERIOD_OVERRIDE=FQ","FILING_STATUS=OR","EQY_CONSOLIDATED=Y","Sort=A","Dates=H","DateFormat=P","Fill=—","Direction=H","UseDPDF=Y")</f>
        <v>#NAME?</v>
      </c>
      <c r="BM322" s="1" t="e">
        <f ca="1">_xll.BDH($C$303,"INVENTORY_SEQUENTIAL_GROWTH","FQ4 2017","FQ4 2017","Currency=INR","Period=FQ","BEST_FPERIOD_OVERRIDE=FQ","FILING_STATUS=OR","EQY_CONSOLIDATED=Y","Sort=A","Dates=H","DateFormat=P","Fill=—","Direction=H","UseDPDF=Y")</f>
        <v>#NAME?</v>
      </c>
      <c r="BN322" s="1" t="e">
        <f ca="1">_xll.BDH($C$303,"FIXED_ASSETS_SEQUENTIAL_GROWTH","FQ4 2017","FQ4 2017","Currency=INR","Period=FQ","BEST_FPERIOD_OVERRIDE=FQ","FILING_STATUS=OR","EQY_CONSOLIDATED=Y","Sort=A","Dates=H","DateFormat=P","Fill=—","Direction=H","UseDPDF=Y")</f>
        <v>#NAME?</v>
      </c>
      <c r="BO322" s="1" t="e">
        <f ca="1">_xll.BDH($C$303,"TOTAL_ASSETS_SEQUENTIAL_GROWTH","FQ4 2017","FQ4 2017","Currency=INR","Period=FQ","BEST_FPERIOD_OVERRIDE=FQ","FILING_STATUS=OR","EQY_CONSOLIDATED=Y","Sort=A","Dates=H","DateFormat=P","Fill=—","Direction=H","UseDPDF=Y")</f>
        <v>#NAME?</v>
      </c>
      <c r="BP322" s="1" t="e">
        <f ca="1">_xll.BDH($C$303,"MODIFIED_WORKING_CPTL_SEQ_GRWTH","FQ4 2017","FQ4 2017","Currency=INR","Period=FQ","BEST_FPERIOD_OVERRIDE=FQ","FILING_STATUS=OR","EQY_CONSOLIDATED=Y","Sort=A","Dates=H","DateFormat=P","Fill=—","Direction=H","UseDPDF=Y")</f>
        <v>#NAME?</v>
      </c>
      <c r="BQ322" s="1" t="e">
        <f ca="1">_xll.BDH($C$303,"WORKING_CAPITAL_SEQ_GROWTH","FQ4 2017","FQ4 2017","Currency=INR","Period=FQ","BEST_FPERIOD_OVERRIDE=FQ","FILING_STATUS=OR","EQY_CONSOLIDATED=Y","Sort=A","Dates=H","DateFormat=P","Fill=—","Direction=H","UseDPDF=Y")</f>
        <v>#NAME?</v>
      </c>
      <c r="BR322" s="1" t="e">
        <f ca="1">_xll.BDH($C$303,"ACCOUNTS_PAYABLE_SEQ_GROWTH","FQ4 2017","FQ4 2017","Currency=INR","Period=FQ","BEST_FPERIOD_OVERRIDE=FQ","FILING_STATUS=OR","EQY_CONSOLIDATED=Y","Sort=A","Dates=H","DateFormat=P","Fill=—","Direction=H","UseDPDF=Y")</f>
        <v>#NAME?</v>
      </c>
      <c r="BS322" s="1" t="e">
        <f ca="1">_xll.BDH($C$303,"ST_DEBT_SEQUENTIAL_GROWTH","FQ4 2017","FQ4 2017","Currency=INR","Period=FQ","BEST_FPERIOD_OVERRIDE=FQ","FILING_STATUS=OR","EQY_CONSOLIDATED=Y","Sort=A","Dates=H","DateFormat=P","Fill=—","Direction=H","UseDPDF=Y")</f>
        <v>#NAME?</v>
      </c>
      <c r="BT322" s="1" t="e">
        <f ca="1">_xll.BDH($C$303,"TOTAL_DEBT_SEQUENTIAL_GROWTH","FQ4 2017","FQ4 2017","Currency=INR","Period=FQ","BEST_FPERIOD_OVERRIDE=FQ","FILING_STATUS=OR","EQY_CONSOLIDATED=Y","Sort=A","Dates=H","DateFormat=P","Fill=—","Direction=H","UseDPDF=Y")</f>
        <v>#NAME?</v>
      </c>
      <c r="BU322" s="1" t="e">
        <f ca="1">_xll.BDH($C$303,"TOTAL_EQUITY_SEQUENTIAL_GROWTH","FQ4 2017","FQ4 2017","Currency=INR","Period=FQ","BEST_FPERIOD_OVERRIDE=FQ","FILING_STATUS=OR","EQY_CONSOLIDATED=Y","Sort=A","Dates=H","DateFormat=P","Fill=—","Direction=H","UseDPDF=Y")</f>
        <v>#NAME?</v>
      </c>
      <c r="BV322" s="1" t="e">
        <f ca="1">_xll.BDH($C$303,"TOTAL_CAPITAL_SEQUENTIAL_GROWTH","FQ4 2017","FQ4 2017","Currency=INR","Period=FQ","BEST_FPERIOD_OVERRIDE=FQ","FILING_STATUS=OR","EQY_CONSOLIDATED=Y","Sort=A","Dates=H","DateFormat=P","Fill=—","Direction=H","UseDPDF=Y")</f>
        <v>#NAME?</v>
      </c>
      <c r="BW322" s="1" t="e">
        <f ca="1">_xll.BDH($C$303,"BPS_SEQUENTIAL_GROWTH","FQ4 2017","FQ4 2017","Currency=INR","Period=FQ","BEST_FPERIOD_OVERRIDE=FQ","FILING_STATUS=OR","EQY_CONSOLIDATED=Y","Sort=A","Dates=H","DateFormat=P","Fill=—","Direction=H","UseDPDF=Y")</f>
        <v>#NAME?</v>
      </c>
      <c r="BX322" s="1" t="e">
        <f ca="1">_xll.BDH($C$303,"CFO_SEQUENTIAL_GROWTH","FQ4 2017","FQ4 2017","Currency=INR","Period=FQ","BEST_FPERIOD_OVERRIDE=FQ","FILING_STATUS=OR","EQY_CONSOLIDATED=Y","Sort=A","Dates=H","DateFormat=P","Fill=—","Direction=H","UseDPDF=Y")</f>
        <v>#NAME?</v>
      </c>
      <c r="BY322" s="2" t="e">
        <f ca="1">_xll.BDH($C$303,"SHORT_AND_LONG_TERM_DEBT","FQ4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22" s="2" t="e">
        <f ca="1">_xll.BDH($C$303,"BS_ST_BORROW","FQ4 2017","FQ4 2017","Currency=INR","Period=FQ","BEST_FPERIOD_OVERRIDE=FQ","FILING_STATUS=OR","EQY_CONSOLIDATED=Y","SCALING_FORMAT=MLN","Sort=A","Dates=H","DateFormat=P","Fill=—","Direction=H","UseDPDF=Y")</f>
        <v>#NAME?</v>
      </c>
      <c r="CA322" s="2" t="e">
        <f ca="1">_xll.BDH($C$303,"BS_LT_BORROW","FQ4 2017","FQ4 2017","Currency=INR","Period=FQ","BEST_FPERIOD_OVERRIDE=FQ","FILING_STATUS=OR","EQY_CONSOLIDATED=Y","SCALING_FORMAT=MLN","Sort=A","Dates=H","DateFormat=P","Fill=—","Direction=H","UseDPDF=Y")</f>
        <v>#NAME?</v>
      </c>
      <c r="CB322" s="1" t="e">
        <f ca="1">_xll.BDH($C$303,"TOT_DEBT_TO_EBITDA","FQ4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22" s="1" t="e">
        <f ca="1">_xll.BDH($C$303,"NET_DEBT_TO_EBITDA","FQ4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22" s="1" t="e">
        <f ca="1">_xll.BDH($C$303,"TOTAL_DEBT_TO_EBIT","FQ4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22" s="1" t="e">
        <f ca="1">_xll.BDH($C$303,"NET_DEBT_TO_EBIT","FQ4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322" s="1" t="e">
        <f ca="1">_xll.BDH($C$303,"EBITDA_TO_INTEREST_EXPN","FQ4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22" s="1" t="e">
        <f ca="1">_xll.BDH($C$303,"COM_EQY_TO_TOT_ASSET","FQ4 2017","FQ4 2017","Currency=INR","Period=FQ","BEST_FPERIOD_OVERRIDE=FQ","FILING_STATUS=OR","EQY_CONSOLIDATED=Y","Sort=A","Dates=H","DateFormat=P","Fill=—","Direction=H","UseDPDF=Y")</f>
        <v>#NAME?</v>
      </c>
      <c r="CH322" s="1" t="e">
        <f ca="1">_xll.BDH($C$303,"LT_DEBT_TO_TOT_EQY","FQ4 2017","FQ4 2017","Currency=INR","Period=FQ","BEST_FPERIOD_OVERRIDE=FQ","FILING_STATUS=OR","EQY_CONSOLIDATED=Y","Sort=A","Dates=H","DateFormat=P","Fill=—","Direction=H","UseDPDF=Y")</f>
        <v>#NAME?</v>
      </c>
      <c r="CI322" s="1" t="e">
        <f ca="1">_xll.BDH($C$303,"LT_DEBT_TO_TOT_CAP","FQ4 2017","FQ4 2017","Currency=INR","Period=FQ","BEST_FPERIOD_OVERRIDE=FQ","FILING_STATUS=OR","EQY_CONSOLIDATED=Y","Sort=A","Dates=H","DateFormat=P","Fill=—","Direction=H","UseDPDF=Y")</f>
        <v>#NAME?</v>
      </c>
      <c r="CJ322" s="1" t="e">
        <f ca="1">_xll.BDH($C$303,"LT_DEBT_TO_TOT_ASSET","FQ4 2017","FQ4 2017","Currency=INR","Period=FQ","BEST_FPERIOD_OVERRIDE=FQ","FILING_STATUS=OR","EQY_CONSOLIDATED=Y","Sort=A","Dates=H","DateFormat=P","Fill=—","Direction=H","UseDPDF=Y")</f>
        <v>#NAME?</v>
      </c>
      <c r="CK322" s="1" t="e">
        <f ca="1">_xll.BDH($C$303,"TOT_DEBT_TO_TOT_EQY","FQ4 2017","FQ4 2017","Currency=INR","Period=FQ","BEST_FPERIOD_OVERRIDE=FQ","FILING_STATUS=OR","EQY_CONSOLIDATED=Y","Sort=A","Dates=H","DateFormat=P","Fill=—","Direction=H","UseDPDF=Y")</f>
        <v>#NAME?</v>
      </c>
      <c r="CL322" s="1" t="e">
        <f ca="1">_xll.BDH($C$303,"TOT_DEBT_TO_TOT_CAP","FQ4 2017","FQ4 2017","Currency=INR","Period=FQ","BEST_FPERIOD_OVERRIDE=FQ","FILING_STATUS=OR","EQY_CONSOLIDATED=Y","Sort=A","Dates=H","DateFormat=P","Fill=—","Direction=H","UseDPDF=Y")</f>
        <v>#NAME?</v>
      </c>
      <c r="CM322" s="1" t="e">
        <f ca="1">_xll.BDH($C$303,"TOT_DEBT_TO_TOT_ASSET","FQ4 2017","FQ4 2017","Currency=INR","Period=FQ","BEST_FPERIOD_OVERRIDE=FQ","FILING_STATUS=OR","EQY_CONSOLIDATED=Y","Sort=A","Dates=H","DateFormat=P","Fill=—","Direction=H","UseDPDF=Y")</f>
        <v>#NAME?</v>
      </c>
      <c r="CN322" s="1" t="e">
        <f ca="1">_xll.BDH($C$303,"NET_DEBT_TO_SHRHLDR_EQTY","FQ4 2017","FQ4 2017","Currency=INR","Period=FQ","BEST_FPERIOD_OVERRIDE=FQ","FILING_STATUS=OR","EQY_CONSOLIDATED=Y","Sort=A","Dates=H","DateFormat=P","Fill=—","Direction=H","UseDPDF=Y")</f>
        <v>#NAME?</v>
      </c>
      <c r="CO322" s="1" t="e">
        <f ca="1">_xll.BDH($C$303,"NET_DEBT_%_CAPITAL","FQ4 2017","FQ4 2017","Currency=INR","Period=FQ","BEST_FPERIOD_OVERRIDE=FQ","FILING_STATUS=OR","EQY_CONSOLIDATED=Y","Sort=A","Dates=H","DateFormat=P","Fill=—","Direction=H","UseDPDF=Y")</f>
        <v>#NAME?</v>
      </c>
      <c r="CP322" s="2" t="e">
        <f ca="1">_xll.BDH($C$303,"EBITDA","FQ4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22" s="2" t="e">
        <f ca="1">_xll.BDH($C$303,"EBITDA_AFTER_CAPEX","FQ4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22" s="2" t="e">
        <f ca="1">_xll.BDH($C$303,"IS_OPER_INC","FQ4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22" s="1" t="e">
        <f ca="1">_xll.BDH($C$303,"CASH_RATIO","FQ4 2017","FQ4 2017","Currency=INR","Period=FQ","BEST_FPERIOD_OVERRIDE=FQ","FILING_STATUS=OR","EQY_CONSOLIDATED=Y","Sort=A","Dates=H","DateFormat=P","Fill=—","Direction=H","UseDPDF=Y")</f>
        <v>#NAME?</v>
      </c>
      <c r="CT322" s="1" t="e">
        <f ca="1">_xll.BDH($C$303,"CUR_RATIO","FQ4 2017","FQ4 2017","Currency=INR","Period=FQ","BEST_FPERIOD_OVERRIDE=FQ","FILING_STATUS=OR","EQY_CONSOLIDATED=Y","Sort=A","Dates=H","DateFormat=P","Fill=—","Direction=H","UseDPDF=Y")</f>
        <v>#NAME?</v>
      </c>
      <c r="CU322" s="1" t="e">
        <f ca="1">_xll.BDH($C$303,"QUICK_RATIO","FQ4 2017","FQ4 2017","Currency=INR","Period=FQ","BEST_FPERIOD_OVERRIDE=FQ","FILING_STATUS=OR","EQY_CONSOLIDATED=Y","Sort=A","Dates=H","DateFormat=P","Fill=—","Direction=H","UseDPDF=Y")</f>
        <v>#NAME?</v>
      </c>
      <c r="CV322" s="1" t="e">
        <f ca="1">_xll.BDH($C$303,"ALTMAN_Z_SCORE","FQ4 2017","FQ4 2017","Currency=INR","Period=FQ","BEST_FPERIOD_OVERRIDE=FQ","FILING_STATUS=OR","EQY_CONSOLIDATED=Y","Sort=A","Dates=H","DateFormat=P","Fill=—","Direction=H","UseDPDF=Y")</f>
        <v>#NAME?</v>
      </c>
      <c r="CW322" s="3" t="e">
        <f ca="1">_xll.BDH($C$303,"ACCT_RCV_TURN","FQ4 2017","FQ4 2017","Currency=INR","Period=FQ","BEST_FPERIOD_OVERRIDE=FQ","FILING_STATUS=OR","EQY_CONSOLIDATED=Y","FA_ADJUSTED=GAAP","Sort=A","Dates=H","DateFormat=P","Fill=—","Direction=H","UseDPDF=Y")</f>
        <v>#NAME?</v>
      </c>
      <c r="CX322" s="1" t="e">
        <f ca="1">_xll.BDH($C$303,"ACCT_RCV_DAYS","FQ4 2017","FQ4 2017","Currency=INR","Period=FQ","BEST_FPERIOD_OVERRIDE=FQ","FILING_STATUS=OR","EQY_CONSOLIDATED=Y","FA_ADJUSTED=GAAP","Sort=A","Dates=H","DateFormat=P","Fill=—","Direction=H","UseDPDF=Y")</f>
        <v>#NAME?</v>
      </c>
      <c r="CY322" s="3" t="e">
        <f ca="1">_xll.BDH($C$303,"INVENT_TURN","FQ4 2017","FQ4 2017","Currency=INR","Period=FQ","BEST_FPERIOD_OVERRIDE=FQ","FILING_STATUS=OR","EQY_CONSOLIDATED=Y","FA_ADJUSTED=GAAP","Sort=A","Dates=H","DateFormat=P","Fill=—","Direction=H","UseDPDF=Y")</f>
        <v>#NAME?</v>
      </c>
      <c r="CZ322" s="1" t="e">
        <f ca="1">_xll.BDH($C$303,"INVENT_DAYS","FQ4 2017","FQ4 2017","Currency=INR","Period=FQ","BEST_FPERIOD_OVERRIDE=FQ","FILING_STATUS=OR","EQY_CONSOLIDATED=Y","FA_ADJUSTED=GAAP","Sort=A","Dates=H","DateFormat=P","Fill=—","Direction=H","UseDPDF=Y")</f>
        <v>#NAME?</v>
      </c>
      <c r="DA322" s="3" t="e">
        <f ca="1">_xll.BDH($C$303,"ACCOUNTS_PAYABLE_TURNOVER","FQ4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22" s="1" t="e">
        <f ca="1">_xll.BDH($C$303,"ACCOUNTS_PAYABLE_TURNOVER_DAYS","FQ4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22" s="3" t="e">
        <f ca="1">_xll.BDH($C$303,"CASH_CONVERSION_CYCLE","FQ4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22" s="3" t="e">
        <f ca="1">_xll.BDH($C$303,"INV_TO_CASH_DAYS","FQ4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322" s="4" t="e">
        <f ca="1">_xll.BDH($C$303,"BS_INVENTORIES","FQ4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322" s="2" t="e">
        <f ca="1">_xll.BDH($C$303,"INVTRY_RAW_MATERIALS","FQ4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22" s="2" t="e">
        <f ca="1">_xll.BDH($C$303,"INVTRY_IN_PROGRESS","FQ4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22" s="2" t="e">
        <f ca="1">_xll.BDH($C$303,"INVTRY_FINISHED_GOODS","FQ4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22" s="2" t="e">
        <f ca="1">_xll.BDH($C$303,"BS_OTHER_INV","FQ4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23" spans="1:113" x14ac:dyDescent="0.3">
      <c r="A323" s="6"/>
      <c r="B323" s="6"/>
      <c r="C323" s="6"/>
      <c r="D323" s="6" t="s">
        <v>11</v>
      </c>
      <c r="E323" t="s">
        <v>3</v>
      </c>
      <c r="F323" t="e">
        <f ca="1">_xll.BDH($C$303,"RETURN_COM_EQY","FY 2018","FY 2018","Currency=INR","Period=FY","BEST_FPERIOD_OVERRIDE=FY","FILING_STATUS=OR","EQY_CONSOLIDATED=Y","FA_ADJUSTED=GAAP","Sort=A","Dates=H","DateFormat=P","Fill=—","Direction=H","UseDPDF=Y")</f>
        <v>#NAME?</v>
      </c>
      <c r="G323" t="e">
        <f ca="1">_xll.BDH($C$303,"RETURN_ON_ASSET","FY 2018","FY 2018","Currency=INR","Period=FY","BEST_FPERIOD_OVERRIDE=FY","FILING_STATUS=OR","EQY_CONSOLIDATED=Y","FA_ADJUSTED=GAAP","Sort=A","Dates=H","DateFormat=P","Fill=—","Direction=H","UseDPDF=Y")</f>
        <v>#NAME?</v>
      </c>
      <c r="H323" t="e">
        <f ca="1">_xll.BDH($C$303,"RETURN_ON_CAP","FY 2018","FY 2018","Currency=INR","Period=FY","BEST_FPERIOD_OVERRIDE=FY","FILING_STATUS=OR","EQY_CONSOLIDATED=Y","FA_ADJUSTED=GAAP","Sort=A","Dates=H","DateFormat=P","Fill=—","Direction=H","UseDPDF=Y")</f>
        <v>#NAME?</v>
      </c>
      <c r="I323" t="e">
        <f ca="1">_xll.BDH($C$303,"RETURN_ON_INV_CAPITAL","FY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23" t="e">
        <f ca="1">_xll.BDH($C$303,"EBITDA_TO_REVENUE","FY 2018","FY 2018","Currency=INR","Period=FY","BEST_FPERIOD_OVERRIDE=FY","FILING_STATUS=OR","EQY_CONSOLIDATED=Y","FA_ADJUSTED=GAAP","Sort=A","Dates=H","DateFormat=P","Fill=—","Direction=H","UseDPDF=Y")</f>
        <v>#NAME?</v>
      </c>
      <c r="K323" t="e">
        <f ca="1">_xll.BDH($C$303,"OPER_MARGIN","FY 2018","FY 2018","Currency=INR","Period=FY","BEST_FPERIOD_OVERRIDE=FY","FILING_STATUS=OR","EQY_CONSOLIDATED=Y","FA_ADJUSTED=GAAP","Sort=A","Dates=H","DateFormat=P","Fill=—","Direction=H","UseDPDF=Y")</f>
        <v>#NAME?</v>
      </c>
      <c r="L323" t="e">
        <f ca="1">_xll.BDH($C$303,"INCREMENTAL_OPERATING_MARGIN","FY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23" t="e">
        <f ca="1">_xll.BDH($C$303,"PRETAX_INC_TO_NET_SALES","FY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23" t="e">
        <f ca="1">_xll.BDH($C$303,"INC_BEF_XO_ITEMS_TO_NET_SALES","FY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23" t="e">
        <f ca="1">_xll.BDH($C$303,"PROF_MARGIN","FY 2018","FY 2018","Currency=INR","Period=FY","BEST_FPERIOD_OVERRIDE=FY","FILING_STATUS=OR","EQY_CONSOLIDATED=Y","FA_ADJUSTED=GAAP","Sort=A","Dates=H","DateFormat=P","Fill=—","Direction=H","UseDPDF=Y")</f>
        <v>#NAME?</v>
      </c>
      <c r="P323" t="e">
        <f ca="1">_xll.BDH($C$303,"NET_INCOME_TO_COMMON_MARGIN","FY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23" t="e">
        <f ca="1">_xll.BDH($C$303,"EFF_TAX_RATE","FY 2018","FY 2018","Currency=INR","Period=FY","BEST_FPERIOD_OVERRIDE=FY","FILING_STATUS=OR","EQY_CONSOLIDATED=Y","FA_ADJUSTED=GAAP","Sort=A","Dates=H","DateFormat=P","Fill=—","Direction=H","UseDPDF=Y")</f>
        <v>#NAME?</v>
      </c>
      <c r="R323" t="e">
        <f ca="1">_xll.BDH($C$303,"DVD_PAYOUT_RATIO","FY 2018","FY 2018","Currency=INR","Period=FY","BEST_FPERIOD_OVERRIDE=FY","FILING_STATUS=OR","EQY_CONSOLIDATED=Y","FA_ADJUSTED=GAAP","Sort=A","Dates=H","DateFormat=P","Fill=—","Direction=H","UseDPDF=Y")</f>
        <v>#NAME?</v>
      </c>
      <c r="S323" t="e">
        <f ca="1">_xll.BDH($C$303,"SUSTAIN_GROWTH_RT","FY 2018","FY 2018","Currency=INR","Period=FY","BEST_FPERIOD_OVERRIDE=FY","FILING_STATUS=OR","EQY_CONSOLIDATED=Y","FA_ADJUSTED=GAAP","Sort=A","Dates=H","DateFormat=P","Fill=—","Direction=H","UseDPDF=Y")</f>
        <v>#NAME?</v>
      </c>
      <c r="T323" s="1" t="e">
        <f ca="1">_xll.BDH($C$303,"SALES_GROWTH","FY 2018","FY 2018","Currency=INR","Period=FY","BEST_FPERIOD_OVERRIDE=FY","FILING_STATUS=OR","EQY_CONSOLIDATED=Y","FA_ADJUSTED=GAAP","Sort=A","Dates=H","DateFormat=P","Fill=—","Direction=H","UseDPDF=Y")</f>
        <v>#NAME?</v>
      </c>
      <c r="U323" s="1" t="e">
        <f ca="1">_xll.BDH($C$303,"EBITDA_GROWTH","FY 2018","FY 2018","Currency=INR","Period=FY","BEST_FPERIOD_OVERRIDE=FY","FILING_STATUS=OR","EQY_CONSOLIDATED=Y","FA_ADJUSTED=GAAP","Sort=A","Dates=H","DateFormat=P","Fill=—","Direction=H","UseDPDF=Y")</f>
        <v>#NAME?</v>
      </c>
      <c r="V323" s="1" t="e">
        <f ca="1">_xll.BDH($C$303,"OPER_INC_GROWTH","FY 2018","FY 2018","Currency=INR","Period=FY","BEST_FPERIOD_OVERRIDE=FY","FILING_STATUS=OR","EQY_CONSOLIDATED=Y","FA_ADJUSTED=GAAP","Sort=A","Dates=H","DateFormat=P","Fill=—","Direction=H","UseDPDF=Y")</f>
        <v>#NAME?</v>
      </c>
      <c r="W323" s="1" t="e">
        <f ca="1">_xll.BDH($C$303,"EARN_FOR_COM_GROWTH","FY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323" s="1" t="e">
        <f ca="1">_xll.BDH($C$303,"DILUTED_EPS_AFT_XO_ITEMS_GROWTH","FY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23" s="1" t="e">
        <f ca="1">_xll.BDH($C$303,"DIVIDEND_PER_SHARE_1_YEAR_GROWTH","FY 2018","FY 2018","Currency=INR","Period=FY","BEST_FPERIOD_OVERRIDE=FY","FILING_STATUS=OR","EQY_CONSOLIDATED=Y","Sort=A","Dates=H","DateFormat=P","Fill=—","Direction=H","UseDPDF=Y")</f>
        <v>#NAME?</v>
      </c>
      <c r="Z323" s="1" t="e">
        <f ca="1">_xll.BDH($C$303,"ACCOUNTS_RECEIVABLE_GROWTH","FY 2018","FY 2018","Currency=INR","Period=FY","BEST_FPERIOD_OVERRIDE=FY","FILING_STATUS=OR","EQY_CONSOLIDATED=Y","Sort=A","Dates=H","DateFormat=P","Fill=—","Direction=H","UseDPDF=Y")</f>
        <v>#NAME?</v>
      </c>
      <c r="AA323" s="1" t="e">
        <f ca="1">_xll.BDH($C$303,"INVENTORY_GROWTH","FY 2018","FY 2018","Currency=INR","Period=FY","BEST_FPERIOD_OVERRIDE=FY","FILING_STATUS=OR","EQY_CONSOLIDATED=Y","Sort=A","Dates=H","DateFormat=P","Fill=—","Direction=H","UseDPDF=Y")</f>
        <v>#NAME?</v>
      </c>
      <c r="AB323" s="1" t="e">
        <f ca="1">_xll.BDH($C$303,"NET_FIXED_ASSETS_1_YEAR_GROWTH","FY 2018","FY 2018","Currency=INR","Period=FY","BEST_FPERIOD_OVERRIDE=FY","FILING_STATUS=OR","EQY_CONSOLIDATED=Y","Sort=A","Dates=H","DateFormat=P","Fill=—","Direction=H","UseDPDF=Y")</f>
        <v>#NAME?</v>
      </c>
      <c r="AC323" s="1" t="e">
        <f ca="1">_xll.BDH($C$303,"ASSET_GROWTH","FY 2018","FY 2018","Currency=INR","Period=FY","BEST_FPERIOD_OVERRIDE=FY","FILING_STATUS=OR","EQY_CONSOLIDATED=Y","Sort=A","Dates=H","DateFormat=P","Fill=—","Direction=H","UseDPDF=Y")</f>
        <v>#NAME?</v>
      </c>
      <c r="AD323" s="1" t="e">
        <f ca="1">_xll.BDH($C$303,"MODIFIED_WORK_CAP_GROWTH","FY 2018","FY 2018","Currency=INR","Period=FY","BEST_FPERIOD_OVERRIDE=FY","FILING_STATUS=OR","EQY_CONSOLIDATED=Y","Sort=A","Dates=H","DateFormat=P","Fill=—","Direction=H","UseDPDF=Y")</f>
        <v>#NAME?</v>
      </c>
      <c r="AE323" s="1" t="e">
        <f ca="1">_xll.BDH($C$303,"WORK_CAP_GROWTH","FY 2018","FY 2018","Currency=INR","Period=FY","BEST_FPERIOD_OVERRIDE=FY","FILING_STATUS=OR","EQY_CONSOLIDATED=Y","Sort=A","Dates=H","DateFormat=P","Fill=—","Direction=H","UseDPDF=Y")</f>
        <v>#NAME?</v>
      </c>
      <c r="AF323" s="1" t="e">
        <f ca="1">_xll.BDH($C$303,"ACCOUNTS_PAYABLE_GROWTH_1YR","FY 2018","FY 2018","Currency=INR","Period=FY","BEST_FPERIOD_OVERRIDE=FY","FILING_STATUS=OR","EQY_CONSOLIDATED=Y","Sort=A","Dates=H","DateFormat=P","Fill=—","Direction=H","UseDPDF=Y")</f>
        <v>#NAME?</v>
      </c>
      <c r="AG323" s="1" t="e">
        <f ca="1">_xll.BDH($C$303,"SHORT_TERM_DEBT_1_YEAR_GROWTH","FY 2018","FY 2018","Currency=INR","Period=FY","BEST_FPERIOD_OVERRIDE=FY","FILING_STATUS=OR","EQY_CONSOLIDATED=Y","Sort=A","Dates=H","DateFormat=P","Fill=—","Direction=H","UseDPDF=Y")</f>
        <v>#NAME?</v>
      </c>
      <c r="AH323" s="1" t="e">
        <f ca="1">_xll.BDH($C$303,"TOTAL_DEBT_1_YEAR_GROWTH","FY 2018","FY 2018","Currency=INR","Period=FY","BEST_FPERIOD_OVERRIDE=FY","FILING_STATUS=OR","EQY_CONSOLIDATED=Y","Sort=A","Dates=H","DateFormat=P","Fill=—","Direction=H","UseDPDF=Y")</f>
        <v>#NAME?</v>
      </c>
      <c r="AI323" s="1" t="e">
        <f ca="1">_xll.BDH($C$303,"TOTAL_EQUITY_1_YEAR_GROWTH","FY 2018","FY 2018","Currency=INR","Period=FY","BEST_FPERIOD_OVERRIDE=FY","FILING_STATUS=OR","EQY_CONSOLIDATED=Y","Sort=A","Dates=H","DateFormat=P","Fill=—","Direction=H","UseDPDF=Y")</f>
        <v>#NAME?</v>
      </c>
      <c r="AJ323" s="1" t="e">
        <f ca="1">_xll.BDH($C$303,"GROWTH_IN_CAP","FY 2018","FY 2018","Currency=INR","Period=FY","BEST_FPERIOD_OVERRIDE=FY","FILING_STATUS=OR","EQY_CONSOLIDATED=Y","Sort=A","Dates=H","DateFormat=P","Fill=—","Direction=H","UseDPDF=Y")</f>
        <v>#NAME?</v>
      </c>
      <c r="AK323" s="1" t="e">
        <f ca="1">_xll.BDH($C$303,"BVPS_GROWTH","FY 2018","FY 2018","Currency=INR","Period=FY","BEST_FPERIOD_OVERRIDE=FY","FILING_STATUS=OR","EQY_CONSOLIDATED=Y","Sort=A","Dates=H","DateFormat=P","Fill=—","Direction=H","UseDPDF=Y")</f>
        <v>#NAME?</v>
      </c>
      <c r="AL323" s="1" t="e">
        <f ca="1">_xll.BDH($C$303,"CASH_FLOW_GROWTH","FY 2018","FY 2018","Currency=INR","Period=FY","BEST_FPERIOD_OVERRIDE=FY","FILING_STATUS=OR","EQY_CONSOLIDATED=Y","Sort=A","Dates=H","DateFormat=P","Fill=—","Direction=H","UseDPDF=Y")</f>
        <v>#NAME?</v>
      </c>
      <c r="AM323" s="1" t="e">
        <f ca="1">_xll.BDH($C$303,"GEO_GROW_NET_SALES","FY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323" s="1" t="e">
        <f ca="1">_xll.BDH($C$303,"GEO_GROW_EBITDA","FY 2018","FY 2018","Currency=INR","Period=FY","BEST_FPERIOD_OVERRIDE=FY","FILING_STATUS=OR","EQY_CONSOLIDATED=Y","FA_ADJUSTED=GAAP","Sort=A","Dates=H","DateFormat=P","Fill=—","Direction=H","UseDPDF=Y")</f>
        <v>#NAME?</v>
      </c>
      <c r="AO323" s="1" t="e">
        <f ca="1">_xll.BDH($C$303,"GEO_GROW_OPER_INC","FY 2018","FY 2018","Currency=INR","Period=FY","BEST_FPERIOD_OVERRIDE=FY","FILING_STATUS=OR","EQY_CONSOLIDATED=Y","FA_ADJUSTED=GAAP","Sort=A","Dates=H","DateFormat=P","Fill=—","Direction=H","UseDPDF=Y")</f>
        <v>#NAME?</v>
      </c>
      <c r="AP323" s="1" t="e">
        <f ca="1">_xll.BDH($C$303,"NET_INCOME_TO_COMMON_5_YR_GROWTH","FY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23" s="1" t="e">
        <f ca="1">_xll.BDH($C$303,"5Y_GEO_GROWTH_DILUTED_EPS","FY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23" s="1" t="e">
        <f ca="1">_xll.BDH($C$303,"GEO_GROW_DVD_PER_SH","FY 2018","FY 2018","Currency=INR","Period=FY","BEST_FPERIOD_OVERRIDE=FY","FILING_STATUS=OR","EQY_CONSOLIDATED=Y","Sort=A","Dates=H","DateFormat=P","Fill=—","Direction=H","UseDPDF=Y")</f>
        <v>#NAME?</v>
      </c>
      <c r="AS323" s="1" t="e">
        <f ca="1">_xll.BDH($C$303,"ACCOUNTS_RECEIVABLE_5_YR_GROWTH","FY 2018","FY 2018","Currency=INR","Period=FY","BEST_FPERIOD_OVERRIDE=FY","FILING_STATUS=OR","EQY_CONSOLIDATED=Y","Sort=A","Dates=H","DateFormat=P","Fill=—","Direction=H","UseDPDF=Y")</f>
        <v>#NAME?</v>
      </c>
      <c r="AT323" s="1" t="e">
        <f ca="1">_xll.BDH($C$303,"INVENTORY_5_YEAR_GROWTH","FY 2018","FY 2018","Currency=INR","Period=FY","BEST_FPERIOD_OVERRIDE=FY","FILING_STATUS=OR","EQY_CONSOLIDATED=Y","Sort=A","Dates=H","DateFormat=P","Fill=—","Direction=H","UseDPDF=Y")</f>
        <v>#NAME?</v>
      </c>
      <c r="AU323" s="1" t="e">
        <f ca="1">_xll.BDH($C$303,"NET_FIXED_ASSETS_5_YEAR_GROWTH","FY 2018","FY 2018","Currency=INR","Period=FY","BEST_FPERIOD_OVERRIDE=FY","FILING_STATUS=OR","EQY_CONSOLIDATED=Y","Sort=A","Dates=H","DateFormat=P","Fill=—","Direction=H","UseDPDF=Y")</f>
        <v>#NAME?</v>
      </c>
      <c r="AV323" s="1" t="e">
        <f ca="1">_xll.BDH($C$303,"GEO_GROW_TOT_ASSET","FY 2018","FY 2018","Currency=INR","Period=FY","BEST_FPERIOD_OVERRIDE=FY","FILING_STATUS=OR","EQY_CONSOLIDATED=Y","Sort=A","Dates=H","DateFormat=P","Fill=—","Direction=H","UseDPDF=Y")</f>
        <v>#NAME?</v>
      </c>
      <c r="AW323" s="1" t="e">
        <f ca="1">_xll.BDH($C$303,"MODIFIED_WORKING_CPTL_5YR_GRWTH","FY 2018","FY 2018","Currency=INR","Period=FY","BEST_FPERIOD_OVERRIDE=FY","FILING_STATUS=OR","EQY_CONSOLIDATED=Y","Sort=A","Dates=H","DateFormat=P","Fill=—","Direction=H","UseDPDF=Y")</f>
        <v>#NAME?</v>
      </c>
      <c r="AX323" s="1" t="e">
        <f ca="1">_xll.BDH($C$303,"WORKING_CAPITAL_5_YEAR_GROWTH","FY 2018","FY 2018","Currency=INR","Period=FY","BEST_FPERIOD_OVERRIDE=FY","FILING_STATUS=OR","EQY_CONSOLIDATED=Y","Sort=A","Dates=H","DateFormat=P","Fill=—","Direction=H","UseDPDF=Y")</f>
        <v>#NAME?</v>
      </c>
      <c r="AY323" s="1" t="e">
        <f ca="1">_xll.BDH($C$303,"ACCOUNTS_PAYABLE_5_YEAR_GROWTH","FY 2018","FY 2018","Currency=INR","Period=FY","BEST_FPERIOD_OVERRIDE=FY","FILING_STATUS=OR","EQY_CONSOLIDATED=Y","Sort=A","Dates=H","DateFormat=P","Fill=—","Direction=H","UseDPDF=Y")</f>
        <v>#NAME?</v>
      </c>
      <c r="AZ323" s="1" t="e">
        <f ca="1">_xll.BDH($C$303,"SHORT_TERM_DEBT_5_YEAR_GROWTH","FY 2018","FY 2018","Currency=INR","Period=FY","BEST_FPERIOD_OVERRIDE=FY","FILING_STATUS=OR","EQY_CONSOLIDATED=Y","Sort=A","Dates=H","DateFormat=P","Fill=—","Direction=H","UseDPDF=Y")</f>
        <v>#NAME?</v>
      </c>
      <c r="BA323" s="1" t="e">
        <f ca="1">_xll.BDH($C$303,"TOTAL_DEBT_5_YEAR_GROWTH","FY 2018","FY 2018","Currency=INR","Period=FY","BEST_FPERIOD_OVERRIDE=FY","FILING_STATUS=OR","EQY_CONSOLIDATED=Y","Sort=A","Dates=H","DateFormat=P","Fill=—","Direction=H","UseDPDF=Y")</f>
        <v>#NAME?</v>
      </c>
      <c r="BB323" s="1" t="e">
        <f ca="1">_xll.BDH($C$303,"GEO_GROW_TOT_SHRHLDR_EQY","FY 2018","FY 2018","Currency=INR","Period=FY","BEST_FPERIOD_OVERRIDE=FY","FILING_STATUS=OR","EQY_CONSOLIDATED=Y","Sort=A","Dates=H","DateFormat=P","Fill=—","Direction=H","UseDPDF=Y")</f>
        <v>#NAME?</v>
      </c>
      <c r="BC323" s="1" t="e">
        <f ca="1">_xll.BDH($C$303,"TOTAL_CAPITAL_5_YEAR_GROWTH","FY 2018","FY 2018","Currency=INR","Period=FY","BEST_FPERIOD_OVERRIDE=FY","FILING_STATUS=OR","EQY_CONSOLIDATED=Y","Sort=A","Dates=H","DateFormat=P","Fill=—","Direction=H","UseDPDF=Y")</f>
        <v>#NAME?</v>
      </c>
      <c r="BD323" s="1" t="e">
        <f ca="1">_xll.BDH($C$303,"GEO_GROW_BOOK_VAL","FY 2018","FY 2018","Currency=INR","Period=FY","BEST_FPERIOD_OVERRIDE=FY","FILING_STATUS=OR","EQY_CONSOLIDATED=Y","Sort=A","Dates=H","DateFormat=P","Fill=—","Direction=H","UseDPDF=Y")</f>
        <v>#NAME?</v>
      </c>
      <c r="BE323" s="1" t="e">
        <f ca="1">_xll.BDH($C$303,"GEO_GROW_CASH_OPER_ACT","FY 2018","FY 2018","Currency=INR","Period=FY","BEST_FPERIOD_OVERRIDE=FY","FILING_STATUS=OR","EQY_CONSOLIDATED=Y","Sort=A","Dates=H","DateFormat=P","Fill=—","Direction=H","UseDPDF=Y")</f>
        <v>#NAME?</v>
      </c>
      <c r="BF323" s="1" t="e">
        <f ca="1">_xll.BDH($C$303,"REVENUE_SEQUENTIAL_GROWTH","FY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23" s="1" t="e">
        <f ca="1">_xll.BDH($C$303,"EBITDA_SEQUENTIAL_GROWTH","FY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23" s="1" t="e">
        <f ca="1">_xll.BDH($C$303,"OPERATING_INCOME_SEQ_GROWTH","FY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23" s="1" t="e">
        <f ca="1">_xll.BDH($C$303,"NET_INCOME_TO_COMMON_SEQ_GROWTH","FY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23" s="1" t="e">
        <f ca="1">_xll.BDH($C$303,"EPS_DILUTED_SEQUENTIAL_GROWTH","FY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23" s="1" t="e">
        <f ca="1">_xll.BDH($C$303,"DPS_SEQUENTIAL_GROWTH","FY 2018","FY 2018","Currency=INR","Period=FY","BEST_FPERIOD_OVERRIDE=FY","FILING_STATUS=OR","EQY_CONSOLIDATED=Y","Sort=A","Dates=H","DateFormat=P","Fill=—","Direction=H","UseDPDF=Y")</f>
        <v>#NAME?</v>
      </c>
      <c r="BL323" s="1" t="e">
        <f ca="1">_xll.BDH($C$303,"ACCOUNTS_RECEIVABLE_SEQ_GROWTH","FY 2018","FY 2018","Currency=INR","Period=FY","BEST_FPERIOD_OVERRIDE=FY","FILING_STATUS=OR","EQY_CONSOLIDATED=Y","Sort=A","Dates=H","DateFormat=P","Fill=—","Direction=H","UseDPDF=Y")</f>
        <v>#NAME?</v>
      </c>
      <c r="BM323" s="1" t="e">
        <f ca="1">_xll.BDH($C$303,"INVENTORY_SEQUENTIAL_GROWTH","FY 2018","FY 2018","Currency=INR","Period=FY","BEST_FPERIOD_OVERRIDE=FY","FILING_STATUS=OR","EQY_CONSOLIDATED=Y","Sort=A","Dates=H","DateFormat=P","Fill=—","Direction=H","UseDPDF=Y")</f>
        <v>#NAME?</v>
      </c>
      <c r="BN323" s="1" t="e">
        <f ca="1">_xll.BDH($C$303,"FIXED_ASSETS_SEQUENTIAL_GROWTH","FY 2018","FY 2018","Currency=INR","Period=FY","BEST_FPERIOD_OVERRIDE=FY","FILING_STATUS=OR","EQY_CONSOLIDATED=Y","Sort=A","Dates=H","DateFormat=P","Fill=—","Direction=H","UseDPDF=Y")</f>
        <v>#NAME?</v>
      </c>
      <c r="BO323" s="1" t="e">
        <f ca="1">_xll.BDH($C$303,"TOTAL_ASSETS_SEQUENTIAL_GROWTH","FY 2018","FY 2018","Currency=INR","Period=FY","BEST_FPERIOD_OVERRIDE=FY","FILING_STATUS=OR","EQY_CONSOLIDATED=Y","Sort=A","Dates=H","DateFormat=P","Fill=—","Direction=H","UseDPDF=Y")</f>
        <v>#NAME?</v>
      </c>
      <c r="BP323" s="1" t="e">
        <f ca="1">_xll.BDH($C$303,"MODIFIED_WORKING_CPTL_SEQ_GRWTH","FY 2018","FY 2018","Currency=INR","Period=FY","BEST_FPERIOD_OVERRIDE=FY","FILING_STATUS=OR","EQY_CONSOLIDATED=Y","Sort=A","Dates=H","DateFormat=P","Fill=—","Direction=H","UseDPDF=Y")</f>
        <v>#NAME?</v>
      </c>
      <c r="BQ323" s="1" t="e">
        <f ca="1">_xll.BDH($C$303,"WORKING_CAPITAL_SEQ_GROWTH","FY 2018","FY 2018","Currency=INR","Period=FY","BEST_FPERIOD_OVERRIDE=FY","FILING_STATUS=OR","EQY_CONSOLIDATED=Y","Sort=A","Dates=H","DateFormat=P","Fill=—","Direction=H","UseDPDF=Y")</f>
        <v>#NAME?</v>
      </c>
      <c r="BR323" s="1" t="e">
        <f ca="1">_xll.BDH($C$303,"ACCOUNTS_PAYABLE_SEQ_GROWTH","FY 2018","FY 2018","Currency=INR","Period=FY","BEST_FPERIOD_OVERRIDE=FY","FILING_STATUS=OR","EQY_CONSOLIDATED=Y","Sort=A","Dates=H","DateFormat=P","Fill=—","Direction=H","UseDPDF=Y")</f>
        <v>#NAME?</v>
      </c>
      <c r="BS323" s="1" t="e">
        <f ca="1">_xll.BDH($C$303,"ST_DEBT_SEQUENTIAL_GROWTH","FY 2018","FY 2018","Currency=INR","Period=FY","BEST_FPERIOD_OVERRIDE=FY","FILING_STATUS=OR","EQY_CONSOLIDATED=Y","Sort=A","Dates=H","DateFormat=P","Fill=—","Direction=H","UseDPDF=Y")</f>
        <v>#NAME?</v>
      </c>
      <c r="BT323" s="1" t="e">
        <f ca="1">_xll.BDH($C$303,"TOTAL_DEBT_SEQUENTIAL_GROWTH","FY 2018","FY 2018","Currency=INR","Period=FY","BEST_FPERIOD_OVERRIDE=FY","FILING_STATUS=OR","EQY_CONSOLIDATED=Y","Sort=A","Dates=H","DateFormat=P","Fill=—","Direction=H","UseDPDF=Y")</f>
        <v>#NAME?</v>
      </c>
      <c r="BU323" s="1" t="e">
        <f ca="1">_xll.BDH($C$303,"TOTAL_EQUITY_SEQUENTIAL_GROWTH","FY 2018","FY 2018","Currency=INR","Period=FY","BEST_FPERIOD_OVERRIDE=FY","FILING_STATUS=OR","EQY_CONSOLIDATED=Y","Sort=A","Dates=H","DateFormat=P","Fill=—","Direction=H","UseDPDF=Y")</f>
        <v>#NAME?</v>
      </c>
      <c r="BV323" s="1" t="e">
        <f ca="1">_xll.BDH($C$303,"TOTAL_CAPITAL_SEQUENTIAL_GROWTH","FY 2018","FY 2018","Currency=INR","Period=FY","BEST_FPERIOD_OVERRIDE=FY","FILING_STATUS=OR","EQY_CONSOLIDATED=Y","Sort=A","Dates=H","DateFormat=P","Fill=—","Direction=H","UseDPDF=Y")</f>
        <v>#NAME?</v>
      </c>
      <c r="BW323" s="1" t="e">
        <f ca="1">_xll.BDH($C$303,"BPS_SEQUENTIAL_GROWTH","FY 2018","FY 2018","Currency=INR","Period=FY","BEST_FPERIOD_OVERRIDE=FY","FILING_STATUS=OR","EQY_CONSOLIDATED=Y","Sort=A","Dates=H","DateFormat=P","Fill=—","Direction=H","UseDPDF=Y")</f>
        <v>#NAME?</v>
      </c>
      <c r="BX323" s="1" t="e">
        <f ca="1">_xll.BDH($C$303,"CFO_SEQUENTIAL_GROWTH","FY 2018","FY 2018","Currency=INR","Period=FY","BEST_FPERIOD_OVERRIDE=FY","FILING_STATUS=OR","EQY_CONSOLIDATED=Y","Sort=A","Dates=H","DateFormat=P","Fill=—","Direction=H","UseDPDF=Y")</f>
        <v>#NAME?</v>
      </c>
      <c r="BY323" s="2" t="e">
        <f ca="1">_xll.BDH($C$303,"SHORT_AND_LONG_TERM_DEBT","FY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23" s="2" t="e">
        <f ca="1">_xll.BDH($C$303,"BS_ST_BORROW","FY 2018","FY 2018","Currency=INR","Period=FY","BEST_FPERIOD_OVERRIDE=FY","FILING_STATUS=OR","EQY_CONSOLIDATED=Y","SCALING_FORMAT=MLN","Sort=A","Dates=H","DateFormat=P","Fill=—","Direction=H","UseDPDF=Y")</f>
        <v>#NAME?</v>
      </c>
      <c r="CA323" s="2" t="e">
        <f ca="1">_xll.BDH($C$303,"BS_LT_BORROW","FY 2018","FY 2018","Currency=INR","Period=FY","BEST_FPERIOD_OVERRIDE=FY","FILING_STATUS=OR","EQY_CONSOLIDATED=Y","SCALING_FORMAT=MLN","Sort=A","Dates=H","DateFormat=P","Fill=—","Direction=H","UseDPDF=Y")</f>
        <v>#NAME?</v>
      </c>
      <c r="CB323" s="1" t="e">
        <f ca="1">_xll.BDH($C$303,"TOT_DEBT_TO_EBITDA","FY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323" s="1" t="e">
        <f ca="1">_xll.BDH($C$303,"NET_DEBT_TO_EBITDA","FY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323" s="1" t="e">
        <f ca="1">_xll.BDH($C$303,"TOTAL_DEBT_TO_EBIT","FY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323" s="1" t="e">
        <f ca="1">_xll.BDH($C$303,"NET_DEBT_TO_EBIT","FY 2018","FY 2018","Currency=INR","Period=FY","BEST_FPERIOD_OVERRIDE=FY","FILING_STATUS=OR","EQY_CONSOLIDATED=Y","FA_ADJUSTED=GAAP","Sort=A","Dates=H","DateFormat=P","Fill=—","Direction=H","UseDPDF=Y")</f>
        <v>#NAME?</v>
      </c>
      <c r="CF323" s="1" t="e">
        <f ca="1">_xll.BDH($C$303,"EBITDA_TO_INTEREST_EXPN","FY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23" s="1" t="e">
        <f ca="1">_xll.BDH($C$303,"COM_EQY_TO_TOT_ASSET","FY 2018","FY 2018","Currency=INR","Period=FY","BEST_FPERIOD_OVERRIDE=FY","FILING_STATUS=OR","EQY_CONSOLIDATED=Y","Sort=A","Dates=H","DateFormat=P","Fill=—","Direction=H","UseDPDF=Y")</f>
        <v>#NAME?</v>
      </c>
      <c r="CH323" s="1" t="e">
        <f ca="1">_xll.BDH($C$303,"LT_DEBT_TO_TOT_EQY","FY 2018","FY 2018","Currency=INR","Period=FY","BEST_FPERIOD_OVERRIDE=FY","FILING_STATUS=OR","EQY_CONSOLIDATED=Y","Sort=A","Dates=H","DateFormat=P","Fill=—","Direction=H","UseDPDF=Y")</f>
        <v>#NAME?</v>
      </c>
      <c r="CI323" s="1" t="e">
        <f ca="1">_xll.BDH($C$303,"LT_DEBT_TO_TOT_CAP","FY 2018","FY 2018","Currency=INR","Period=FY","BEST_FPERIOD_OVERRIDE=FY","FILING_STATUS=OR","EQY_CONSOLIDATED=Y","Sort=A","Dates=H","DateFormat=P","Fill=—","Direction=H","UseDPDF=Y")</f>
        <v>#NAME?</v>
      </c>
      <c r="CJ323" s="1" t="e">
        <f ca="1">_xll.BDH($C$303,"LT_DEBT_TO_TOT_ASSET","FY 2018","FY 2018","Currency=INR","Period=FY","BEST_FPERIOD_OVERRIDE=FY","FILING_STATUS=OR","EQY_CONSOLIDATED=Y","Sort=A","Dates=H","DateFormat=P","Fill=—","Direction=H","UseDPDF=Y")</f>
        <v>#NAME?</v>
      </c>
      <c r="CK323" s="1" t="e">
        <f ca="1">_xll.BDH($C$303,"TOT_DEBT_TO_TOT_EQY","FY 2018","FY 2018","Currency=INR","Period=FY","BEST_FPERIOD_OVERRIDE=FY","FILING_STATUS=OR","EQY_CONSOLIDATED=Y","Sort=A","Dates=H","DateFormat=P","Fill=—","Direction=H","UseDPDF=Y")</f>
        <v>#NAME?</v>
      </c>
      <c r="CL323" s="1" t="e">
        <f ca="1">_xll.BDH($C$303,"TOT_DEBT_TO_TOT_CAP","FY 2018","FY 2018","Currency=INR","Period=FY","BEST_FPERIOD_OVERRIDE=FY","FILING_STATUS=OR","EQY_CONSOLIDATED=Y","Sort=A","Dates=H","DateFormat=P","Fill=—","Direction=H","UseDPDF=Y")</f>
        <v>#NAME?</v>
      </c>
      <c r="CM323" s="1" t="e">
        <f ca="1">_xll.BDH($C$303,"TOT_DEBT_TO_TOT_ASSET","FY 2018","FY 2018","Currency=INR","Period=FY","BEST_FPERIOD_OVERRIDE=FY","FILING_STATUS=OR","EQY_CONSOLIDATED=Y","Sort=A","Dates=H","DateFormat=P","Fill=—","Direction=H","UseDPDF=Y")</f>
        <v>#NAME?</v>
      </c>
      <c r="CN323" s="1" t="e">
        <f ca="1">_xll.BDH($C$303,"NET_DEBT_TO_SHRHLDR_EQTY","FY 2018","FY 2018","Currency=INR","Period=FY","BEST_FPERIOD_OVERRIDE=FY","FILING_STATUS=OR","EQY_CONSOLIDATED=Y","Sort=A","Dates=H","DateFormat=P","Fill=—","Direction=H","UseDPDF=Y")</f>
        <v>#NAME?</v>
      </c>
      <c r="CO323" s="1" t="e">
        <f ca="1">_xll.BDH($C$303,"NET_DEBT_%_CAPITAL","FY 2018","FY 2018","Currency=INR","Period=FY","BEST_FPERIOD_OVERRIDE=FY","FILING_STATUS=OR","EQY_CONSOLIDATED=Y","Sort=A","Dates=H","DateFormat=P","Fill=—","Direction=H","UseDPDF=Y")</f>
        <v>#NAME?</v>
      </c>
      <c r="CP323" s="2" t="e">
        <f ca="1">_xll.BDH($C$303,"EBITDA","FY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23" s="2" t="e">
        <f ca="1">_xll.BDH($C$303,"EBITDA_AFTER_CAPEX","FY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23" s="2" t="e">
        <f ca="1">_xll.BDH($C$303,"IS_OPER_INC","FY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23" s="1" t="e">
        <f ca="1">_xll.BDH($C$303,"CASH_RATIO","FY 2018","FY 2018","Currency=INR","Period=FY","BEST_FPERIOD_OVERRIDE=FY","FILING_STATUS=OR","EQY_CONSOLIDATED=Y","Sort=A","Dates=H","DateFormat=P","Fill=—","Direction=H","UseDPDF=Y")</f>
        <v>#NAME?</v>
      </c>
      <c r="CT323" s="1" t="e">
        <f ca="1">_xll.BDH($C$303,"CUR_RATIO","FY 2018","FY 2018","Currency=INR","Period=FY","BEST_FPERIOD_OVERRIDE=FY","FILING_STATUS=OR","EQY_CONSOLIDATED=Y","Sort=A","Dates=H","DateFormat=P","Fill=—","Direction=H","UseDPDF=Y")</f>
        <v>#NAME?</v>
      </c>
      <c r="CU323" s="1" t="e">
        <f ca="1">_xll.BDH($C$303,"QUICK_RATIO","FY 2018","FY 2018","Currency=INR","Period=FY","BEST_FPERIOD_OVERRIDE=FY","FILING_STATUS=OR","EQY_CONSOLIDATED=Y","Sort=A","Dates=H","DateFormat=P","Fill=—","Direction=H","UseDPDF=Y")</f>
        <v>#NAME?</v>
      </c>
      <c r="CV323" s="1" t="e">
        <f ca="1">_xll.BDH($C$303,"ALTMAN_Z_SCORE","FY 2018","FY 2018","Currency=INR","Period=FY","BEST_FPERIOD_OVERRIDE=FY","FILING_STATUS=OR","EQY_CONSOLIDATED=Y","Sort=A","Dates=H","DateFormat=P","Fill=—","Direction=H","UseDPDF=Y")</f>
        <v>#NAME?</v>
      </c>
      <c r="CW323" s="3" t="e">
        <f ca="1">_xll.BDH($C$303,"ACCT_RCV_TURN","FY 2018","FY 2018","Currency=INR","Period=FY","BEST_FPERIOD_OVERRIDE=FY","FILING_STATUS=OR","EQY_CONSOLIDATED=Y","FA_ADJUSTED=GAAP","Sort=A","Dates=H","DateFormat=P","Fill=—","Direction=H","UseDPDF=Y")</f>
        <v>#NAME?</v>
      </c>
      <c r="CX323" s="1" t="e">
        <f ca="1">_xll.BDH($C$303,"ACCT_RCV_DAYS","FY 2018","FY 2018","Currency=INR","Period=FY","BEST_FPERIOD_OVERRIDE=FY","FILING_STATUS=OR","EQY_CONSOLIDATED=Y","FA_ADJUSTED=GAAP","Sort=A","Dates=H","DateFormat=P","Fill=—","Direction=H","UseDPDF=Y")</f>
        <v>#NAME?</v>
      </c>
      <c r="CY323" s="3" t="e">
        <f ca="1">_xll.BDH($C$303,"INVENT_TURN","FY 2018","FY 2018","Currency=INR","Period=FY","BEST_FPERIOD_OVERRIDE=FY","FILING_STATUS=OR","EQY_CONSOLIDATED=Y","FA_ADJUSTED=GAAP","Sort=A","Dates=H","DateFormat=P","Fill=—","Direction=H","UseDPDF=Y")</f>
        <v>#NAME?</v>
      </c>
      <c r="CZ323" s="1" t="e">
        <f ca="1">_xll.BDH($C$303,"INVENT_DAYS","FY 2018","FY 2018","Currency=INR","Period=FY","BEST_FPERIOD_OVERRIDE=FY","FILING_STATUS=OR","EQY_CONSOLIDATED=Y","FA_ADJUSTED=GAAP","Sort=A","Dates=H","DateFormat=P","Fill=—","Direction=H","UseDPDF=Y")</f>
        <v>#NAME?</v>
      </c>
      <c r="DA323" s="3" t="e">
        <f ca="1">_xll.BDH($C$303,"ACCOUNTS_PAYABLE_TURNOVER","FY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23" s="1" t="e">
        <f ca="1">_xll.BDH($C$303,"ACCOUNTS_PAYABLE_TURNOVER_DAYS","FY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23" s="3" t="e">
        <f ca="1">_xll.BDH($C$303,"CASH_CONVERSION_CYCLE","FY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23" s="3" t="e">
        <f ca="1">_xll.BDH($C$303,"INV_TO_CASH_DAYS","FY 2018","FY 2018","Currency=INR","Period=FY","BEST_FPERIOD_OVERRIDE=FY","FILING_STATUS=OR","EQY_CONSOLIDATED=Y","FA_ADJUSTED=GAAP","Sort=A","Dates=H","DateFormat=P","Fill=—","Direction=H","UseDPDF=Y")</f>
        <v>#NAME?</v>
      </c>
      <c r="DE323" s="4" t="e">
        <f ca="1">_xll.BDH($C$303,"BS_INVENTORIES","FY 2018","FY 2018","Currency=INR","Period=FY","BEST_FPERIOD_OVERRIDE=FY","FILING_STATUS=OR","EQY_CONSOLIDATED=Y","SCALING_FORMAT=MLN","Sort=A","Dates=H","DateFormat=P","Fill=—","Direction=H","UseDPDF=Y")</f>
        <v>#NAME?</v>
      </c>
      <c r="DF323" s="2" t="e">
        <f ca="1">_xll.BDH($C$303,"INVTRY_RAW_MATERIALS","FY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23" s="2" t="e">
        <f ca="1">_xll.BDH($C$303,"INVTRY_IN_PROGRESS","FY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23" s="2" t="e">
        <f ca="1">_xll.BDH($C$303,"INVTRY_FINISHED_GOODS","FY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23" s="2" t="e">
        <f ca="1">_xll.BDH($C$303,"BS_OTHER_INV","FY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24" spans="1:113" x14ac:dyDescent="0.3">
      <c r="A324" s="6"/>
      <c r="B324" s="6"/>
      <c r="C324" s="6"/>
      <c r="D324" s="6"/>
      <c r="E324" t="s">
        <v>4</v>
      </c>
      <c r="F324" t="e">
        <f ca="1">_xll.BDH($C$303,"RETURN_COM_EQY","FQ1 2018","FQ1 2018","Currency=INR","Period=FQ","BEST_FPERIOD_OVERRIDE=FQ","FILING_STATUS=OR","EQY_CONSOLIDATED=Y","FA_ADJUSTED=GAAP","Sort=A","Dates=H","DateFormat=P","Fill=—","Direction=H","UseDPDF=Y")</f>
        <v>#NAME?</v>
      </c>
      <c r="G324" t="e">
        <f ca="1">_xll.BDH($C$303,"RETURN_ON_ASSET","FQ1 2018","FQ1 2018","Currency=INR","Period=FQ","BEST_FPERIOD_OVERRIDE=FQ","FILING_STATUS=OR","EQY_CONSOLIDATED=Y","FA_ADJUSTED=GAAP","Sort=A","Dates=H","DateFormat=P","Fill=—","Direction=H","UseDPDF=Y")</f>
        <v>#NAME?</v>
      </c>
      <c r="H324" t="e">
        <f ca="1">_xll.BDH($C$303,"RETURN_ON_CAP","FQ1 2018","FQ1 2018","Currency=INR","Period=FQ","BEST_FPERIOD_OVERRIDE=FQ","FILING_STATUS=OR","EQY_CONSOLIDATED=Y","FA_ADJUSTED=GAAP","Sort=A","Dates=H","DateFormat=P","Fill=—","Direction=H","UseDPDF=Y")</f>
        <v>#NAME?</v>
      </c>
      <c r="I324" t="e">
        <f ca="1">_xll.BDH($C$303,"RETURN_ON_INV_CAPITAL","FQ1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24" t="e">
        <f ca="1">_xll.BDH($C$303,"EBITDA_TO_REVENUE","FQ1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324" t="e">
        <f ca="1">_xll.BDH($C$303,"OPER_MARGIN","FQ1 2018","FQ1 2018","Currency=INR","Period=FQ","BEST_FPERIOD_OVERRIDE=FQ","FILING_STATUS=OR","EQY_CONSOLIDATED=Y","FA_ADJUSTED=GAAP","Sort=A","Dates=H","DateFormat=P","Fill=—","Direction=H","UseDPDF=Y")</f>
        <v>#NAME?</v>
      </c>
      <c r="L324" t="e">
        <f ca="1">_xll.BDH($C$303,"INCREMENTAL_OPERATING_MARGIN","FQ1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24" t="e">
        <f ca="1">_xll.BDH($C$303,"PRETAX_INC_TO_NET_SALES","FQ1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24" t="e">
        <f ca="1">_xll.BDH($C$303,"INC_BEF_XO_ITEMS_TO_NET_SALES","FQ1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24" t="e">
        <f ca="1">_xll.BDH($C$303,"PROF_MARGIN","FQ1 2018","FQ1 2018","Currency=INR","Period=FQ","BEST_FPERIOD_OVERRIDE=FQ","FILING_STATUS=OR","EQY_CONSOLIDATED=Y","FA_ADJUSTED=GAAP","Sort=A","Dates=H","DateFormat=P","Fill=—","Direction=H","UseDPDF=Y")</f>
        <v>#NAME?</v>
      </c>
      <c r="P324" t="e">
        <f ca="1">_xll.BDH($C$303,"NET_INCOME_TO_COMMON_MARGIN","FQ1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24" t="e">
        <f ca="1">_xll.BDH($C$303,"EFF_TAX_RATE","FQ1 2018","FQ1 2018","Currency=INR","Period=FQ","BEST_FPERIOD_OVERRIDE=FQ","FILING_STATUS=OR","EQY_CONSOLIDATED=Y","FA_ADJUSTED=GAAP","Sort=A","Dates=H","DateFormat=P","Fill=—","Direction=H","UseDPDF=Y")</f>
        <v>#NAME?</v>
      </c>
      <c r="R324" t="e">
        <f ca="1">_xll.BDH($C$303,"DVD_PAYOUT_RATIO","FQ1 2018","FQ1 2018","Currency=INR","Period=FQ","BEST_FPERIOD_OVERRIDE=FQ","FILING_STATUS=OR","EQY_CONSOLIDATED=Y","FA_ADJUSTED=GAAP","Sort=A","Dates=H","DateFormat=P","Fill=—","Direction=H","UseDPDF=Y")</f>
        <v>#NAME?</v>
      </c>
      <c r="S324" t="e">
        <f ca="1">_xll.BDH($C$303,"SUSTAIN_GROWTH_RT","FQ1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324" s="1" t="e">
        <f ca="1">_xll.BDH($C$303,"SALES_GROWTH","FQ1 2018","FQ1 2018","Currency=INR","Period=FQ","BEST_FPERIOD_OVERRIDE=FQ","FILING_STATUS=OR","EQY_CONSOLIDATED=Y","FA_ADJUSTED=GAAP","Sort=A","Dates=H","DateFormat=P","Fill=—","Direction=H","UseDPDF=Y")</f>
        <v>#NAME?</v>
      </c>
      <c r="U324" s="1" t="e">
        <f ca="1">_xll.BDH($C$303,"EBITDA_GROWTH","FQ1 2018","FQ1 2018","Currency=INR","Period=FQ","BEST_FPERIOD_OVERRIDE=FQ","FILING_STATUS=OR","EQY_CONSOLIDATED=Y","FA_ADJUSTED=GAAP","Sort=A","Dates=H","DateFormat=P","Fill=—","Direction=H","UseDPDF=Y")</f>
        <v>#NAME?</v>
      </c>
      <c r="V324" s="1" t="e">
        <f ca="1">_xll.BDH($C$303,"OPER_INC_GROWTH","FQ1 2018","FQ1 2018","Currency=INR","Period=FQ","BEST_FPERIOD_OVERRIDE=FQ","FILING_STATUS=OR","EQY_CONSOLIDATED=Y","FA_ADJUSTED=GAAP","Sort=A","Dates=H","DateFormat=P","Fill=—","Direction=H","UseDPDF=Y")</f>
        <v>#NAME?</v>
      </c>
      <c r="W324" s="1" t="e">
        <f ca="1">_xll.BDH($C$303,"EARN_FOR_COM_GROWTH","FQ1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24" s="1" t="e">
        <f ca="1">_xll.BDH($C$303,"DILUTED_EPS_AFT_XO_ITEMS_GROWTH","FQ1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24" s="1" t="e">
        <f ca="1">_xll.BDH($C$303,"DIVIDEND_PER_SHARE_1_YEAR_GROWTH","FQ1 2018","FQ1 2018","Currency=INR","Period=FQ","BEST_FPERIOD_OVERRIDE=FQ","FILING_STATUS=OR","EQY_CONSOLIDATED=Y","Sort=A","Dates=H","DateFormat=P","Fill=—","Direction=H","UseDPDF=Y")</f>
        <v>#NAME?</v>
      </c>
      <c r="Z324" s="1" t="e">
        <f ca="1">_xll.BDH($C$303,"ACCOUNTS_RECEIVABLE_GROWTH","FQ1 2018","FQ1 2018","Currency=INR","Period=FQ","BEST_FPERIOD_OVERRIDE=FQ","FILING_STATUS=OR","EQY_CONSOLIDATED=Y","Sort=A","Dates=H","DateFormat=P","Fill=—","Direction=H","UseDPDF=Y")</f>
        <v>#NAME?</v>
      </c>
      <c r="AA324" s="1" t="e">
        <f ca="1">_xll.BDH($C$303,"INVENTORY_GROWTH","FQ1 2018","FQ1 2018","Currency=INR","Period=FQ","BEST_FPERIOD_OVERRIDE=FQ","FILING_STATUS=OR","EQY_CONSOLIDATED=Y","Sort=A","Dates=H","DateFormat=P","Fill=—","Direction=H","UseDPDF=Y")</f>
        <v>#NAME?</v>
      </c>
      <c r="AB324" s="1" t="e">
        <f ca="1">_xll.BDH($C$303,"NET_FIXED_ASSETS_1_YEAR_GROWTH","FQ1 2018","FQ1 2018","Currency=INR","Period=FQ","BEST_FPERIOD_OVERRIDE=FQ","FILING_STATUS=OR","EQY_CONSOLIDATED=Y","Sort=A","Dates=H","DateFormat=P","Fill=—","Direction=H","UseDPDF=Y")</f>
        <v>#NAME?</v>
      </c>
      <c r="AC324" s="1" t="e">
        <f ca="1">_xll.BDH($C$303,"ASSET_GROWTH","FQ1 2018","FQ1 2018","Currency=INR","Period=FQ","BEST_FPERIOD_OVERRIDE=FQ","FILING_STATUS=OR","EQY_CONSOLIDATED=Y","Sort=A","Dates=H","DateFormat=P","Fill=—","Direction=H","UseDPDF=Y")</f>
        <v>#NAME?</v>
      </c>
      <c r="AD324" s="1" t="e">
        <f ca="1">_xll.BDH($C$303,"MODIFIED_WORK_CAP_GROWTH","FQ1 2018","FQ1 2018","Currency=INR","Period=FQ","BEST_FPERIOD_OVERRIDE=FQ","FILING_STATUS=OR","EQY_CONSOLIDATED=Y","Sort=A","Dates=H","DateFormat=P","Fill=—","Direction=H","UseDPDF=Y")</f>
        <v>#NAME?</v>
      </c>
      <c r="AE324" s="1" t="e">
        <f ca="1">_xll.BDH($C$303,"WORK_CAP_GROWTH","FQ1 2018","FQ1 2018","Currency=INR","Period=FQ","BEST_FPERIOD_OVERRIDE=FQ","FILING_STATUS=OR","EQY_CONSOLIDATED=Y","Sort=A","Dates=H","DateFormat=P","Fill=—","Direction=H","UseDPDF=Y")</f>
        <v>#NAME?</v>
      </c>
      <c r="AF324" s="1" t="e">
        <f ca="1">_xll.BDH($C$303,"ACCOUNTS_PAYABLE_GROWTH_1YR","FQ1 2018","FQ1 2018","Currency=INR","Period=FQ","BEST_FPERIOD_OVERRIDE=FQ","FILING_STATUS=OR","EQY_CONSOLIDATED=Y","Sort=A","Dates=H","DateFormat=P","Fill=—","Direction=H","UseDPDF=Y")</f>
        <v>#NAME?</v>
      </c>
      <c r="AG324" s="1" t="e">
        <f ca="1">_xll.BDH($C$303,"SHORT_TERM_DEBT_1_YEAR_GROWTH","FQ1 2018","FQ1 2018","Currency=INR","Period=FQ","BEST_FPERIOD_OVERRIDE=FQ","FILING_STATUS=OR","EQY_CONSOLIDATED=Y","Sort=A","Dates=H","DateFormat=P","Fill=—","Direction=H","UseDPDF=Y")</f>
        <v>#NAME?</v>
      </c>
      <c r="AH324" s="1" t="e">
        <f ca="1">_xll.BDH($C$303,"TOTAL_DEBT_1_YEAR_GROWTH","FQ1 2018","FQ1 2018","Currency=INR","Period=FQ","BEST_FPERIOD_OVERRIDE=FQ","FILING_STATUS=OR","EQY_CONSOLIDATED=Y","Sort=A","Dates=H","DateFormat=P","Fill=—","Direction=H","UseDPDF=Y")</f>
        <v>#NAME?</v>
      </c>
      <c r="AI324" s="1" t="e">
        <f ca="1">_xll.BDH($C$303,"TOTAL_EQUITY_1_YEAR_GROWTH","FQ1 2018","FQ1 2018","Currency=INR","Period=FQ","BEST_FPERIOD_OVERRIDE=FQ","FILING_STATUS=OR","EQY_CONSOLIDATED=Y","Sort=A","Dates=H","DateFormat=P","Fill=—","Direction=H","UseDPDF=Y")</f>
        <v>#NAME?</v>
      </c>
      <c r="AJ324" s="1" t="e">
        <f ca="1">_xll.BDH($C$303,"GROWTH_IN_CAP","FQ1 2018","FQ1 2018","Currency=INR","Period=FQ","BEST_FPERIOD_OVERRIDE=FQ","FILING_STATUS=OR","EQY_CONSOLIDATED=Y","Sort=A","Dates=H","DateFormat=P","Fill=—","Direction=H","UseDPDF=Y")</f>
        <v>#NAME?</v>
      </c>
      <c r="AK324" s="1" t="e">
        <f ca="1">_xll.BDH($C$303,"BVPS_GROWTH","FQ1 2018","FQ1 2018","Currency=INR","Period=FQ","BEST_FPERIOD_OVERRIDE=FQ","FILING_STATUS=OR","EQY_CONSOLIDATED=Y","Sort=A","Dates=H","DateFormat=P","Fill=—","Direction=H","UseDPDF=Y")</f>
        <v>#NAME?</v>
      </c>
      <c r="AL324" s="1" t="e">
        <f ca="1">_xll.BDH($C$303,"CASH_FLOW_GROWTH","FQ1 2018","FQ1 2018","Currency=INR","Period=FQ","BEST_FPERIOD_OVERRIDE=FQ","FILING_STATUS=OR","EQY_CONSOLIDATED=Y","Sort=A","Dates=H","DateFormat=P","Fill=—","Direction=H","UseDPDF=Y")</f>
        <v>#NAME?</v>
      </c>
      <c r="AM324" s="1" t="e">
        <f ca="1">_xll.BDH($C$303,"GEO_GROW_NET_SALES","FQ1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24" s="1" t="e">
        <f ca="1">_xll.BDH($C$303,"GEO_GROW_EBITDA","FQ1 2018","FQ1 2018","Currency=INR","Period=FQ","BEST_FPERIOD_OVERRIDE=FQ","FILING_STATUS=OR","EQY_CONSOLIDATED=Y","FA_ADJUSTED=GAAP","Sort=A","Dates=H","DateFormat=P","Fill=—","Direction=H","UseDPDF=Y")</f>
        <v>#NAME?</v>
      </c>
      <c r="AO324" s="1" t="e">
        <f ca="1">_xll.BDH($C$303,"GEO_GROW_OPER_INC","FQ1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24" s="1" t="e">
        <f ca="1">_xll.BDH($C$303,"NET_INCOME_TO_COMMON_5_YR_GROWTH","FQ1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24" s="1" t="e">
        <f ca="1">_xll.BDH($C$303,"5Y_GEO_GROWTH_DILUTED_EPS","FQ1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24" s="1" t="e">
        <f ca="1">_xll.BDH($C$303,"GEO_GROW_DVD_PER_SH","FQ1 2018","FQ1 2018","Currency=INR","Period=FQ","BEST_FPERIOD_OVERRIDE=FQ","FILING_STATUS=OR","EQY_CONSOLIDATED=Y","Sort=A","Dates=H","DateFormat=P","Fill=—","Direction=H","UseDPDF=Y")</f>
        <v>#NAME?</v>
      </c>
      <c r="AS324" s="1" t="e">
        <f ca="1">_xll.BDH($C$303,"ACCOUNTS_RECEIVABLE_5_YR_GROWTH","FQ1 2018","FQ1 2018","Currency=INR","Period=FQ","BEST_FPERIOD_OVERRIDE=FQ","FILING_STATUS=OR","EQY_CONSOLIDATED=Y","Sort=A","Dates=H","DateFormat=P","Fill=—","Direction=H","UseDPDF=Y")</f>
        <v>#NAME?</v>
      </c>
      <c r="AT324" s="1" t="e">
        <f ca="1">_xll.BDH($C$303,"INVENTORY_5_YEAR_GROWTH","FQ1 2018","FQ1 2018","Currency=INR","Period=FQ","BEST_FPERIOD_OVERRIDE=FQ","FILING_STATUS=OR","EQY_CONSOLIDATED=Y","Sort=A","Dates=H","DateFormat=P","Fill=—","Direction=H","UseDPDF=Y")</f>
        <v>#NAME?</v>
      </c>
      <c r="AU324" s="1" t="e">
        <f ca="1">_xll.BDH($C$303,"NET_FIXED_ASSETS_5_YEAR_GROWTH","FQ1 2018","FQ1 2018","Currency=INR","Period=FQ","BEST_FPERIOD_OVERRIDE=FQ","FILING_STATUS=OR","EQY_CONSOLIDATED=Y","Sort=A","Dates=H","DateFormat=P","Fill=—","Direction=H","UseDPDF=Y")</f>
        <v>#NAME?</v>
      </c>
      <c r="AV324" s="1" t="e">
        <f ca="1">_xll.BDH($C$303,"GEO_GROW_TOT_ASSET","FQ1 2018","FQ1 2018","Currency=INR","Period=FQ","BEST_FPERIOD_OVERRIDE=FQ","FILING_STATUS=OR","EQY_CONSOLIDATED=Y","Sort=A","Dates=H","DateFormat=P","Fill=—","Direction=H","UseDPDF=Y")</f>
        <v>#NAME?</v>
      </c>
      <c r="AW324" s="1" t="e">
        <f ca="1">_xll.BDH($C$303,"MODIFIED_WORKING_CPTL_5YR_GRWTH","FQ1 2018","FQ1 2018","Currency=INR","Period=FQ","BEST_FPERIOD_OVERRIDE=FQ","FILING_STATUS=OR","EQY_CONSOLIDATED=Y","Sort=A","Dates=H","DateFormat=P","Fill=—","Direction=H","UseDPDF=Y")</f>
        <v>#NAME?</v>
      </c>
      <c r="AX324" s="1" t="e">
        <f ca="1">_xll.BDH($C$303,"WORKING_CAPITAL_5_YEAR_GROWTH","FQ1 2018","FQ1 2018","Currency=INR","Period=FQ","BEST_FPERIOD_OVERRIDE=FQ","FILING_STATUS=OR","EQY_CONSOLIDATED=Y","Sort=A","Dates=H","DateFormat=P","Fill=—","Direction=H","UseDPDF=Y")</f>
        <v>#NAME?</v>
      </c>
      <c r="AY324" s="1" t="e">
        <f ca="1">_xll.BDH($C$303,"ACCOUNTS_PAYABLE_5_YEAR_GROWTH","FQ1 2018","FQ1 2018","Currency=INR","Period=FQ","BEST_FPERIOD_OVERRIDE=FQ","FILING_STATUS=OR","EQY_CONSOLIDATED=Y","Sort=A","Dates=H","DateFormat=P","Fill=—","Direction=H","UseDPDF=Y")</f>
        <v>#NAME?</v>
      </c>
      <c r="AZ324" s="1" t="e">
        <f ca="1">_xll.BDH($C$303,"SHORT_TERM_DEBT_5_YEAR_GROWTH","FQ1 2018","FQ1 2018","Currency=INR","Period=FQ","BEST_FPERIOD_OVERRIDE=FQ","FILING_STATUS=OR","EQY_CONSOLIDATED=Y","Sort=A","Dates=H","DateFormat=P","Fill=—","Direction=H","UseDPDF=Y")</f>
        <v>#NAME?</v>
      </c>
      <c r="BA324" s="1" t="e">
        <f ca="1">_xll.BDH($C$303,"TOTAL_DEBT_5_YEAR_GROWTH","FQ1 2018","FQ1 2018","Currency=INR","Period=FQ","BEST_FPERIOD_OVERRIDE=FQ","FILING_STATUS=OR","EQY_CONSOLIDATED=Y","Sort=A","Dates=H","DateFormat=P","Fill=—","Direction=H","UseDPDF=Y")</f>
        <v>#NAME?</v>
      </c>
      <c r="BB324" s="1" t="e">
        <f ca="1">_xll.BDH($C$303,"GEO_GROW_TOT_SHRHLDR_EQY","FQ1 2018","FQ1 2018","Currency=INR","Period=FQ","BEST_FPERIOD_OVERRIDE=FQ","FILING_STATUS=OR","EQY_CONSOLIDATED=Y","Sort=A","Dates=H","DateFormat=P","Fill=—","Direction=H","UseDPDF=Y")</f>
        <v>#NAME?</v>
      </c>
      <c r="BC324" s="1" t="e">
        <f ca="1">_xll.BDH($C$303,"TOTAL_CAPITAL_5_YEAR_GROWTH","FQ1 2018","FQ1 2018","Currency=INR","Period=FQ","BEST_FPERIOD_OVERRIDE=FQ","FILING_STATUS=OR","EQY_CONSOLIDATED=Y","Sort=A","Dates=H","DateFormat=P","Fill=—","Direction=H","UseDPDF=Y")</f>
        <v>#NAME?</v>
      </c>
      <c r="BD324" s="1" t="e">
        <f ca="1">_xll.BDH($C$303,"GEO_GROW_BOOK_VAL","FQ1 2018","FQ1 2018","Currency=INR","Period=FQ","BEST_FPERIOD_OVERRIDE=FQ","FILING_STATUS=OR","EQY_CONSOLIDATED=Y","Sort=A","Dates=H","DateFormat=P","Fill=—","Direction=H","UseDPDF=Y")</f>
        <v>#NAME?</v>
      </c>
      <c r="BE324" s="1" t="e">
        <f ca="1">_xll.BDH($C$303,"GEO_GROW_CASH_OPER_ACT","FQ1 2018","FQ1 2018","Currency=INR","Period=FQ","BEST_FPERIOD_OVERRIDE=FQ","FILING_STATUS=OR","EQY_CONSOLIDATED=Y","Sort=A","Dates=H","DateFormat=P","Fill=—","Direction=H","UseDPDF=Y")</f>
        <v>#NAME?</v>
      </c>
      <c r="BF324" s="1" t="e">
        <f ca="1">_xll.BDH($C$303,"REVENUE_SEQUENTIAL_GROWTH","FQ1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24" s="1" t="e">
        <f ca="1">_xll.BDH($C$303,"EBITDA_SEQUENTIAL_GROWTH","FQ1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24" s="1" t="e">
        <f ca="1">_xll.BDH($C$303,"OPERATING_INCOME_SEQ_GROWTH","FQ1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24" s="1" t="e">
        <f ca="1">_xll.BDH($C$303,"NET_INCOME_TO_COMMON_SEQ_GROWTH","FQ1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24" s="1" t="e">
        <f ca="1">_xll.BDH($C$303,"EPS_DILUTED_SEQUENTIAL_GROWTH","FQ1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24" s="1" t="e">
        <f ca="1">_xll.BDH($C$303,"DPS_SEQUENTIAL_GROWTH","FQ1 2018","FQ1 2018","Currency=INR","Period=FQ","BEST_FPERIOD_OVERRIDE=FQ","FILING_STATUS=OR","EQY_CONSOLIDATED=Y","Sort=A","Dates=H","DateFormat=P","Fill=—","Direction=H","UseDPDF=Y")</f>
        <v>#NAME?</v>
      </c>
      <c r="BL324" s="1" t="e">
        <f ca="1">_xll.BDH($C$303,"ACCOUNTS_RECEIVABLE_SEQ_GROWTH","FQ1 2018","FQ1 2018","Currency=INR","Period=FQ","BEST_FPERIOD_OVERRIDE=FQ","FILING_STATUS=OR","EQY_CONSOLIDATED=Y","Sort=A","Dates=H","DateFormat=P","Fill=—","Direction=H","UseDPDF=Y")</f>
        <v>#NAME?</v>
      </c>
      <c r="BM324" s="1" t="e">
        <f ca="1">_xll.BDH($C$303,"INVENTORY_SEQUENTIAL_GROWTH","FQ1 2018","FQ1 2018","Currency=INR","Period=FQ","BEST_FPERIOD_OVERRIDE=FQ","FILING_STATUS=OR","EQY_CONSOLIDATED=Y","Sort=A","Dates=H","DateFormat=P","Fill=—","Direction=H","UseDPDF=Y")</f>
        <v>#NAME?</v>
      </c>
      <c r="BN324" s="1" t="e">
        <f ca="1">_xll.BDH($C$303,"FIXED_ASSETS_SEQUENTIAL_GROWTH","FQ1 2018","FQ1 2018","Currency=INR","Period=FQ","BEST_FPERIOD_OVERRIDE=FQ","FILING_STATUS=OR","EQY_CONSOLIDATED=Y","Sort=A","Dates=H","DateFormat=P","Fill=—","Direction=H","UseDPDF=Y")</f>
        <v>#NAME?</v>
      </c>
      <c r="BO324" s="1" t="e">
        <f ca="1">_xll.BDH($C$303,"TOTAL_ASSETS_SEQUENTIAL_GROWTH","FQ1 2018","FQ1 2018","Currency=INR","Period=FQ","BEST_FPERIOD_OVERRIDE=FQ","FILING_STATUS=OR","EQY_CONSOLIDATED=Y","Sort=A","Dates=H","DateFormat=P","Fill=—","Direction=H","UseDPDF=Y")</f>
        <v>#NAME?</v>
      </c>
      <c r="BP324" s="1" t="e">
        <f ca="1">_xll.BDH($C$303,"MODIFIED_WORKING_CPTL_SEQ_GRWTH","FQ1 2018","FQ1 2018","Currency=INR","Period=FQ","BEST_FPERIOD_OVERRIDE=FQ","FILING_STATUS=OR","EQY_CONSOLIDATED=Y","Sort=A","Dates=H","DateFormat=P","Fill=—","Direction=H","UseDPDF=Y")</f>
        <v>#NAME?</v>
      </c>
      <c r="BQ324" s="1" t="e">
        <f ca="1">_xll.BDH($C$303,"WORKING_CAPITAL_SEQ_GROWTH","FQ1 2018","FQ1 2018","Currency=INR","Period=FQ","BEST_FPERIOD_OVERRIDE=FQ","FILING_STATUS=OR","EQY_CONSOLIDATED=Y","Sort=A","Dates=H","DateFormat=P","Fill=—","Direction=H","UseDPDF=Y")</f>
        <v>#NAME?</v>
      </c>
      <c r="BR324" s="1" t="e">
        <f ca="1">_xll.BDH($C$303,"ACCOUNTS_PAYABLE_SEQ_GROWTH","FQ1 2018","FQ1 2018","Currency=INR","Period=FQ","BEST_FPERIOD_OVERRIDE=FQ","FILING_STATUS=OR","EQY_CONSOLIDATED=Y","Sort=A","Dates=H","DateFormat=P","Fill=—","Direction=H","UseDPDF=Y")</f>
        <v>#NAME?</v>
      </c>
      <c r="BS324" s="1" t="e">
        <f ca="1">_xll.BDH($C$303,"ST_DEBT_SEQUENTIAL_GROWTH","FQ1 2018","FQ1 2018","Currency=INR","Period=FQ","BEST_FPERIOD_OVERRIDE=FQ","FILING_STATUS=OR","EQY_CONSOLIDATED=Y","Sort=A","Dates=H","DateFormat=P","Fill=—","Direction=H","UseDPDF=Y")</f>
        <v>#NAME?</v>
      </c>
      <c r="BT324" s="1" t="e">
        <f ca="1">_xll.BDH($C$303,"TOTAL_DEBT_SEQUENTIAL_GROWTH","FQ1 2018","FQ1 2018","Currency=INR","Period=FQ","BEST_FPERIOD_OVERRIDE=FQ","FILING_STATUS=OR","EQY_CONSOLIDATED=Y","Sort=A","Dates=H","DateFormat=P","Fill=—","Direction=H","UseDPDF=Y")</f>
        <v>#NAME?</v>
      </c>
      <c r="BU324" s="1" t="e">
        <f ca="1">_xll.BDH($C$303,"TOTAL_EQUITY_SEQUENTIAL_GROWTH","FQ1 2018","FQ1 2018","Currency=INR","Period=FQ","BEST_FPERIOD_OVERRIDE=FQ","FILING_STATUS=OR","EQY_CONSOLIDATED=Y","Sort=A","Dates=H","DateFormat=P","Fill=—","Direction=H","UseDPDF=Y")</f>
        <v>#NAME?</v>
      </c>
      <c r="BV324" s="1" t="e">
        <f ca="1">_xll.BDH($C$303,"TOTAL_CAPITAL_SEQUENTIAL_GROWTH","FQ1 2018","FQ1 2018","Currency=INR","Period=FQ","BEST_FPERIOD_OVERRIDE=FQ","FILING_STATUS=OR","EQY_CONSOLIDATED=Y","Sort=A","Dates=H","DateFormat=P","Fill=—","Direction=H","UseDPDF=Y")</f>
        <v>#NAME?</v>
      </c>
      <c r="BW324" s="1" t="e">
        <f ca="1">_xll.BDH($C$303,"BPS_SEQUENTIAL_GROWTH","FQ1 2018","FQ1 2018","Currency=INR","Period=FQ","BEST_FPERIOD_OVERRIDE=FQ","FILING_STATUS=OR","EQY_CONSOLIDATED=Y","Sort=A","Dates=H","DateFormat=P","Fill=—","Direction=H","UseDPDF=Y")</f>
        <v>#NAME?</v>
      </c>
      <c r="BX324" s="1" t="e">
        <f ca="1">_xll.BDH($C$303,"CFO_SEQUENTIAL_GROWTH","FQ1 2018","FQ1 2018","Currency=INR","Period=FQ","BEST_FPERIOD_OVERRIDE=FQ","FILING_STATUS=OR","EQY_CONSOLIDATED=Y","Sort=A","Dates=H","DateFormat=P","Fill=—","Direction=H","UseDPDF=Y")</f>
        <v>#NAME?</v>
      </c>
      <c r="BY324" s="2" t="e">
        <f ca="1">_xll.BDH($C$303,"SHORT_AND_LONG_TERM_DEBT","FQ1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24" s="2" t="e">
        <f ca="1">_xll.BDH($C$303,"BS_ST_BORROW","FQ1 2018","FQ1 2018","Currency=INR","Period=FQ","BEST_FPERIOD_OVERRIDE=FQ","FILING_STATUS=OR","EQY_CONSOLIDATED=Y","SCALING_FORMAT=MLN","Sort=A","Dates=H","DateFormat=P","Fill=—","Direction=H","UseDPDF=Y")</f>
        <v>#NAME?</v>
      </c>
      <c r="CA324" s="2" t="e">
        <f ca="1">_xll.BDH($C$303,"BS_LT_BORROW","FQ1 2018","FQ1 2018","Currency=INR","Period=FQ","BEST_FPERIOD_OVERRIDE=FQ","FILING_STATUS=OR","EQY_CONSOLIDATED=Y","SCALING_FORMAT=MLN","Sort=A","Dates=H","DateFormat=P","Fill=—","Direction=H","UseDPDF=Y")</f>
        <v>#NAME?</v>
      </c>
      <c r="CB324" s="1" t="e">
        <f ca="1">_xll.BDH($C$303,"TOT_DEBT_TO_EBITDA","FQ1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24" s="1" t="e">
        <f ca="1">_xll.BDH($C$303,"NET_DEBT_TO_EBITDA","FQ1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24" s="1" t="e">
        <f ca="1">_xll.BDH($C$303,"TOTAL_DEBT_TO_EBIT","FQ1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24" s="1" t="e">
        <f ca="1">_xll.BDH($C$303,"NET_DEBT_TO_EBIT","FQ1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324" s="1" t="e">
        <f ca="1">_xll.BDH($C$303,"EBITDA_TO_INTEREST_EXPN","FQ1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24" s="1" t="e">
        <f ca="1">_xll.BDH($C$303,"COM_EQY_TO_TOT_ASSET","FQ1 2018","FQ1 2018","Currency=INR","Period=FQ","BEST_FPERIOD_OVERRIDE=FQ","FILING_STATUS=OR","EQY_CONSOLIDATED=Y","Sort=A","Dates=H","DateFormat=P","Fill=—","Direction=H","UseDPDF=Y")</f>
        <v>#NAME?</v>
      </c>
      <c r="CH324" s="1" t="e">
        <f ca="1">_xll.BDH($C$303,"LT_DEBT_TO_TOT_EQY","FQ1 2018","FQ1 2018","Currency=INR","Period=FQ","BEST_FPERIOD_OVERRIDE=FQ","FILING_STATUS=OR","EQY_CONSOLIDATED=Y","Sort=A","Dates=H","DateFormat=P","Fill=—","Direction=H","UseDPDF=Y")</f>
        <v>#NAME?</v>
      </c>
      <c r="CI324" s="1" t="e">
        <f ca="1">_xll.BDH($C$303,"LT_DEBT_TO_TOT_CAP","FQ1 2018","FQ1 2018","Currency=INR","Period=FQ","BEST_FPERIOD_OVERRIDE=FQ","FILING_STATUS=OR","EQY_CONSOLIDATED=Y","Sort=A","Dates=H","DateFormat=P","Fill=—","Direction=H","UseDPDF=Y")</f>
        <v>#NAME?</v>
      </c>
      <c r="CJ324" s="1" t="e">
        <f ca="1">_xll.BDH($C$303,"LT_DEBT_TO_TOT_ASSET","FQ1 2018","FQ1 2018","Currency=INR","Period=FQ","BEST_FPERIOD_OVERRIDE=FQ","FILING_STATUS=OR","EQY_CONSOLIDATED=Y","Sort=A","Dates=H","DateFormat=P","Fill=—","Direction=H","UseDPDF=Y")</f>
        <v>#NAME?</v>
      </c>
      <c r="CK324" s="1" t="e">
        <f ca="1">_xll.BDH($C$303,"TOT_DEBT_TO_TOT_EQY","FQ1 2018","FQ1 2018","Currency=INR","Period=FQ","BEST_FPERIOD_OVERRIDE=FQ","FILING_STATUS=OR","EQY_CONSOLIDATED=Y","Sort=A","Dates=H","DateFormat=P","Fill=—","Direction=H","UseDPDF=Y")</f>
        <v>#NAME?</v>
      </c>
      <c r="CL324" s="1" t="e">
        <f ca="1">_xll.BDH($C$303,"TOT_DEBT_TO_TOT_CAP","FQ1 2018","FQ1 2018","Currency=INR","Period=FQ","BEST_FPERIOD_OVERRIDE=FQ","FILING_STATUS=OR","EQY_CONSOLIDATED=Y","Sort=A","Dates=H","DateFormat=P","Fill=—","Direction=H","UseDPDF=Y")</f>
        <v>#NAME?</v>
      </c>
      <c r="CM324" s="1" t="e">
        <f ca="1">_xll.BDH($C$303,"TOT_DEBT_TO_TOT_ASSET","FQ1 2018","FQ1 2018","Currency=INR","Period=FQ","BEST_FPERIOD_OVERRIDE=FQ","FILING_STATUS=OR","EQY_CONSOLIDATED=Y","Sort=A","Dates=H","DateFormat=P","Fill=—","Direction=H","UseDPDF=Y")</f>
        <v>#NAME?</v>
      </c>
      <c r="CN324" s="1" t="e">
        <f ca="1">_xll.BDH($C$303,"NET_DEBT_TO_SHRHLDR_EQTY","FQ1 2018","FQ1 2018","Currency=INR","Period=FQ","BEST_FPERIOD_OVERRIDE=FQ","FILING_STATUS=OR","EQY_CONSOLIDATED=Y","Sort=A","Dates=H","DateFormat=P","Fill=—","Direction=H","UseDPDF=Y")</f>
        <v>#NAME?</v>
      </c>
      <c r="CO324" s="1" t="e">
        <f ca="1">_xll.BDH($C$303,"NET_DEBT_%_CAPITAL","FQ1 2018","FQ1 2018","Currency=INR","Period=FQ","BEST_FPERIOD_OVERRIDE=FQ","FILING_STATUS=OR","EQY_CONSOLIDATED=Y","Sort=A","Dates=H","DateFormat=P","Fill=—","Direction=H","UseDPDF=Y")</f>
        <v>#NAME?</v>
      </c>
      <c r="CP324" s="2" t="e">
        <f ca="1">_xll.BDH($C$303,"EBITDA","FQ1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24" s="2" t="e">
        <f ca="1">_xll.BDH($C$303,"EBITDA_AFTER_CAPEX","FQ1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24" s="2" t="e">
        <f ca="1">_xll.BDH($C$303,"IS_OPER_INC","FQ1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24" s="1" t="e">
        <f ca="1">_xll.BDH($C$303,"CASH_RATIO","FQ1 2018","FQ1 2018","Currency=INR","Period=FQ","BEST_FPERIOD_OVERRIDE=FQ","FILING_STATUS=OR","EQY_CONSOLIDATED=Y","Sort=A","Dates=H","DateFormat=P","Fill=—","Direction=H","UseDPDF=Y")</f>
        <v>#NAME?</v>
      </c>
      <c r="CT324" s="1" t="e">
        <f ca="1">_xll.BDH($C$303,"CUR_RATIO","FQ1 2018","FQ1 2018","Currency=INR","Period=FQ","BEST_FPERIOD_OVERRIDE=FQ","FILING_STATUS=OR","EQY_CONSOLIDATED=Y","Sort=A","Dates=H","DateFormat=P","Fill=—","Direction=H","UseDPDF=Y")</f>
        <v>#NAME?</v>
      </c>
      <c r="CU324" s="1" t="e">
        <f ca="1">_xll.BDH($C$303,"QUICK_RATIO","FQ1 2018","FQ1 2018","Currency=INR","Period=FQ","BEST_FPERIOD_OVERRIDE=FQ","FILING_STATUS=OR","EQY_CONSOLIDATED=Y","Sort=A","Dates=H","DateFormat=P","Fill=—","Direction=H","UseDPDF=Y")</f>
        <v>#NAME?</v>
      </c>
      <c r="CV324" s="1" t="e">
        <f ca="1">_xll.BDH($C$303,"ALTMAN_Z_SCORE","FQ1 2018","FQ1 2018","Currency=INR","Period=FQ","BEST_FPERIOD_OVERRIDE=FQ","FILING_STATUS=OR","EQY_CONSOLIDATED=Y","Sort=A","Dates=H","DateFormat=P","Fill=—","Direction=H","UseDPDF=Y")</f>
        <v>#NAME?</v>
      </c>
      <c r="CW324" s="3" t="e">
        <f ca="1">_xll.BDH($C$303,"ACCT_RCV_TURN","FQ1 2018","FQ1 2018","Currency=INR","Period=FQ","BEST_FPERIOD_OVERRIDE=FQ","FILING_STATUS=OR","EQY_CONSOLIDATED=Y","FA_ADJUSTED=GAAP","Sort=A","Dates=H","DateFormat=P","Fill=—","Direction=H","UseDPDF=Y")</f>
        <v>#NAME?</v>
      </c>
      <c r="CX324" s="1" t="e">
        <f ca="1">_xll.BDH($C$303,"ACCT_RCV_DAYS","FQ1 2018","FQ1 2018","Currency=INR","Period=FQ","BEST_FPERIOD_OVERRIDE=FQ","FILING_STATUS=OR","EQY_CONSOLIDATED=Y","FA_ADJUSTED=GAAP","Sort=A","Dates=H","DateFormat=P","Fill=—","Direction=H","UseDPDF=Y")</f>
        <v>#NAME?</v>
      </c>
      <c r="CY324" s="3" t="e">
        <f ca="1">_xll.BDH($C$303,"INVENT_TURN","FQ1 2018","FQ1 2018","Currency=INR","Period=FQ","BEST_FPERIOD_OVERRIDE=FQ","FILING_STATUS=OR","EQY_CONSOLIDATED=Y","FA_ADJUSTED=GAAP","Sort=A","Dates=H","DateFormat=P","Fill=—","Direction=H","UseDPDF=Y")</f>
        <v>#NAME?</v>
      </c>
      <c r="CZ324" s="1" t="e">
        <f ca="1">_xll.BDH($C$303,"INVENT_DAYS","FQ1 2018","FQ1 2018","Currency=INR","Period=FQ","BEST_FPERIOD_OVERRIDE=FQ","FILING_STATUS=OR","EQY_CONSOLIDATED=Y","FA_ADJUSTED=GAAP","Sort=A","Dates=H","DateFormat=P","Fill=—","Direction=H","UseDPDF=Y")</f>
        <v>#NAME?</v>
      </c>
      <c r="DA324" s="3" t="e">
        <f ca="1">_xll.BDH($C$303,"ACCOUNTS_PAYABLE_TURNOVER","FQ1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24" s="1" t="e">
        <f ca="1">_xll.BDH($C$303,"ACCOUNTS_PAYABLE_TURNOVER_DAYS","FQ1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24" s="3" t="e">
        <f ca="1">_xll.BDH($C$303,"CASH_CONVERSION_CYCLE","FQ1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24" s="3" t="e">
        <f ca="1">_xll.BDH($C$303,"INV_TO_CASH_DAYS","FQ1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324" s="4" t="e">
        <f ca="1">_xll.BDH($C$303,"BS_INVENTORIES","FQ1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324" s="2" t="e">
        <f ca="1">_xll.BDH($C$303,"INVTRY_RAW_MATERIALS","FQ1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24" s="2" t="e">
        <f ca="1">_xll.BDH($C$303,"INVTRY_IN_PROGRESS","FQ1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24" s="2" t="e">
        <f ca="1">_xll.BDH($C$303,"INVTRY_FINISHED_GOODS","FQ1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24" s="2" t="e">
        <f ca="1">_xll.BDH($C$303,"BS_OTHER_INV","FQ1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25" spans="1:113" x14ac:dyDescent="0.3">
      <c r="A325" s="6"/>
      <c r="B325" s="6"/>
      <c r="C325" s="6"/>
      <c r="D325" s="6"/>
      <c r="E325" t="s">
        <v>5</v>
      </c>
      <c r="F325" t="e">
        <f ca="1">_xll.BDH($C$303,"RETURN_COM_EQY","FQ2 2018","FQ2 2018","Currency=INR","Period=FQ","BEST_FPERIOD_OVERRIDE=FQ","FILING_STATUS=OR","EQY_CONSOLIDATED=Y","FA_ADJUSTED=GAAP","Sort=A","Dates=H","DateFormat=P","Fill=—","Direction=H","UseDPDF=Y")</f>
        <v>#NAME?</v>
      </c>
      <c r="G325" t="e">
        <f ca="1">_xll.BDH($C$303,"RETURN_ON_ASSET","FQ2 2018","FQ2 2018","Currency=INR","Period=FQ","BEST_FPERIOD_OVERRIDE=FQ","FILING_STATUS=OR","EQY_CONSOLIDATED=Y","FA_ADJUSTED=GAAP","Sort=A","Dates=H","DateFormat=P","Fill=—","Direction=H","UseDPDF=Y")</f>
        <v>#NAME?</v>
      </c>
      <c r="H325" t="e">
        <f ca="1">_xll.BDH($C$303,"RETURN_ON_CAP","FQ2 2018","FQ2 2018","Currency=INR","Period=FQ","BEST_FPERIOD_OVERRIDE=FQ","FILING_STATUS=OR","EQY_CONSOLIDATED=Y","FA_ADJUSTED=GAAP","Sort=A","Dates=H","DateFormat=P","Fill=—","Direction=H","UseDPDF=Y")</f>
        <v>#NAME?</v>
      </c>
      <c r="I325" t="e">
        <f ca="1">_xll.BDH($C$303,"RETURN_ON_INV_CAPITAL","FQ2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25" t="e">
        <f ca="1">_xll.BDH($C$303,"EBITDA_TO_REVENUE","FQ2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325" t="e">
        <f ca="1">_xll.BDH($C$303,"OPER_MARGIN","FQ2 2018","FQ2 2018","Currency=INR","Period=FQ","BEST_FPERIOD_OVERRIDE=FQ","FILING_STATUS=OR","EQY_CONSOLIDATED=Y","FA_ADJUSTED=GAAP","Sort=A","Dates=H","DateFormat=P","Fill=—","Direction=H","UseDPDF=Y")</f>
        <v>#NAME?</v>
      </c>
      <c r="L325" t="e">
        <f ca="1">_xll.BDH($C$303,"INCREMENTAL_OPERATING_MARGIN","FQ2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25" t="e">
        <f ca="1">_xll.BDH($C$303,"PRETAX_INC_TO_NET_SALES","FQ2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25" t="e">
        <f ca="1">_xll.BDH($C$303,"INC_BEF_XO_ITEMS_TO_NET_SALES","FQ2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25" t="e">
        <f ca="1">_xll.BDH($C$303,"PROF_MARGIN","FQ2 2018","FQ2 2018","Currency=INR","Period=FQ","BEST_FPERIOD_OVERRIDE=FQ","FILING_STATUS=OR","EQY_CONSOLIDATED=Y","FA_ADJUSTED=GAAP","Sort=A","Dates=H","DateFormat=P","Fill=—","Direction=H","UseDPDF=Y")</f>
        <v>#NAME?</v>
      </c>
      <c r="P325" t="e">
        <f ca="1">_xll.BDH($C$303,"NET_INCOME_TO_COMMON_MARGIN","FQ2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25" t="e">
        <f ca="1">_xll.BDH($C$303,"EFF_TAX_RATE","FQ2 2018","FQ2 2018","Currency=INR","Period=FQ","BEST_FPERIOD_OVERRIDE=FQ","FILING_STATUS=OR","EQY_CONSOLIDATED=Y","FA_ADJUSTED=GAAP","Sort=A","Dates=H","DateFormat=P","Fill=—","Direction=H","UseDPDF=Y")</f>
        <v>#NAME?</v>
      </c>
      <c r="R325" t="e">
        <f ca="1">_xll.BDH($C$303,"DVD_PAYOUT_RATIO","FQ2 2018","FQ2 2018","Currency=INR","Period=FQ","BEST_FPERIOD_OVERRIDE=FQ","FILING_STATUS=OR","EQY_CONSOLIDATED=Y","FA_ADJUSTED=GAAP","Sort=A","Dates=H","DateFormat=P","Fill=—","Direction=H","UseDPDF=Y")</f>
        <v>#NAME?</v>
      </c>
      <c r="S325" t="e">
        <f ca="1">_xll.BDH($C$303,"SUSTAIN_GROWTH_RT","FQ2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325" s="1" t="e">
        <f ca="1">_xll.BDH($C$303,"SALES_GROWTH","FQ2 2018","FQ2 2018","Currency=INR","Period=FQ","BEST_FPERIOD_OVERRIDE=FQ","FILING_STATUS=OR","EQY_CONSOLIDATED=Y","FA_ADJUSTED=GAAP","Sort=A","Dates=H","DateFormat=P","Fill=—","Direction=H","UseDPDF=Y")</f>
        <v>#NAME?</v>
      </c>
      <c r="U325" s="1" t="e">
        <f ca="1">_xll.BDH($C$303,"EBITDA_GROWTH","FQ2 2018","FQ2 2018","Currency=INR","Period=FQ","BEST_FPERIOD_OVERRIDE=FQ","FILING_STATUS=OR","EQY_CONSOLIDATED=Y","FA_ADJUSTED=GAAP","Sort=A","Dates=H","DateFormat=P","Fill=—","Direction=H","UseDPDF=Y")</f>
        <v>#NAME?</v>
      </c>
      <c r="V325" s="1" t="e">
        <f ca="1">_xll.BDH($C$303,"OPER_INC_GROWTH","FQ2 2018","FQ2 2018","Currency=INR","Period=FQ","BEST_FPERIOD_OVERRIDE=FQ","FILING_STATUS=OR","EQY_CONSOLIDATED=Y","FA_ADJUSTED=GAAP","Sort=A","Dates=H","DateFormat=P","Fill=—","Direction=H","UseDPDF=Y")</f>
        <v>#NAME?</v>
      </c>
      <c r="W325" s="1" t="e">
        <f ca="1">_xll.BDH($C$303,"EARN_FOR_COM_GROWTH","FQ2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25" s="1" t="e">
        <f ca="1">_xll.BDH($C$303,"DILUTED_EPS_AFT_XO_ITEMS_GROWTH","FQ2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25" s="1" t="e">
        <f ca="1">_xll.BDH($C$303,"DIVIDEND_PER_SHARE_1_YEAR_GROWTH","FQ2 2018","FQ2 2018","Currency=INR","Period=FQ","BEST_FPERIOD_OVERRIDE=FQ","FILING_STATUS=OR","EQY_CONSOLIDATED=Y","Sort=A","Dates=H","DateFormat=P","Fill=—","Direction=H","UseDPDF=Y")</f>
        <v>#NAME?</v>
      </c>
      <c r="Z325" s="1" t="e">
        <f ca="1">_xll.BDH($C$303,"ACCOUNTS_RECEIVABLE_GROWTH","FQ2 2018","FQ2 2018","Currency=INR","Period=FQ","BEST_FPERIOD_OVERRIDE=FQ","FILING_STATUS=OR","EQY_CONSOLIDATED=Y","Sort=A","Dates=H","DateFormat=P","Fill=—","Direction=H","UseDPDF=Y")</f>
        <v>#NAME?</v>
      </c>
      <c r="AA325" s="1" t="e">
        <f ca="1">_xll.BDH($C$303,"INVENTORY_GROWTH","FQ2 2018","FQ2 2018","Currency=INR","Period=FQ","BEST_FPERIOD_OVERRIDE=FQ","FILING_STATUS=OR","EQY_CONSOLIDATED=Y","Sort=A","Dates=H","DateFormat=P","Fill=—","Direction=H","UseDPDF=Y")</f>
        <v>#NAME?</v>
      </c>
      <c r="AB325" s="1" t="e">
        <f ca="1">_xll.BDH($C$303,"NET_FIXED_ASSETS_1_YEAR_GROWTH","FQ2 2018","FQ2 2018","Currency=INR","Period=FQ","BEST_FPERIOD_OVERRIDE=FQ","FILING_STATUS=OR","EQY_CONSOLIDATED=Y","Sort=A","Dates=H","DateFormat=P","Fill=—","Direction=H","UseDPDF=Y")</f>
        <v>#NAME?</v>
      </c>
      <c r="AC325" s="1" t="e">
        <f ca="1">_xll.BDH($C$303,"ASSET_GROWTH","FQ2 2018","FQ2 2018","Currency=INR","Period=FQ","BEST_FPERIOD_OVERRIDE=FQ","FILING_STATUS=OR","EQY_CONSOLIDATED=Y","Sort=A","Dates=H","DateFormat=P","Fill=—","Direction=H","UseDPDF=Y")</f>
        <v>#NAME?</v>
      </c>
      <c r="AD325" s="1" t="e">
        <f ca="1">_xll.BDH($C$303,"MODIFIED_WORK_CAP_GROWTH","FQ2 2018","FQ2 2018","Currency=INR","Period=FQ","BEST_FPERIOD_OVERRIDE=FQ","FILING_STATUS=OR","EQY_CONSOLIDATED=Y","Sort=A","Dates=H","DateFormat=P","Fill=—","Direction=H","UseDPDF=Y")</f>
        <v>#NAME?</v>
      </c>
      <c r="AE325" s="1" t="e">
        <f ca="1">_xll.BDH($C$303,"WORK_CAP_GROWTH","FQ2 2018","FQ2 2018","Currency=INR","Period=FQ","BEST_FPERIOD_OVERRIDE=FQ","FILING_STATUS=OR","EQY_CONSOLIDATED=Y","Sort=A","Dates=H","DateFormat=P","Fill=—","Direction=H","UseDPDF=Y")</f>
        <v>#NAME?</v>
      </c>
      <c r="AF325" s="1" t="e">
        <f ca="1">_xll.BDH($C$303,"ACCOUNTS_PAYABLE_GROWTH_1YR","FQ2 2018","FQ2 2018","Currency=INR","Period=FQ","BEST_FPERIOD_OVERRIDE=FQ","FILING_STATUS=OR","EQY_CONSOLIDATED=Y","Sort=A","Dates=H","DateFormat=P","Fill=—","Direction=H","UseDPDF=Y")</f>
        <v>#NAME?</v>
      </c>
      <c r="AG325" s="1" t="e">
        <f ca="1">_xll.BDH($C$303,"SHORT_TERM_DEBT_1_YEAR_GROWTH","FQ2 2018","FQ2 2018","Currency=INR","Period=FQ","BEST_FPERIOD_OVERRIDE=FQ","FILING_STATUS=OR","EQY_CONSOLIDATED=Y","Sort=A","Dates=H","DateFormat=P","Fill=—","Direction=H","UseDPDF=Y")</f>
        <v>#NAME?</v>
      </c>
      <c r="AH325" s="1" t="e">
        <f ca="1">_xll.BDH($C$303,"TOTAL_DEBT_1_YEAR_GROWTH","FQ2 2018","FQ2 2018","Currency=INR","Period=FQ","BEST_FPERIOD_OVERRIDE=FQ","FILING_STATUS=OR","EQY_CONSOLIDATED=Y","Sort=A","Dates=H","DateFormat=P","Fill=—","Direction=H","UseDPDF=Y")</f>
        <v>#NAME?</v>
      </c>
      <c r="AI325" s="1" t="e">
        <f ca="1">_xll.BDH($C$303,"TOTAL_EQUITY_1_YEAR_GROWTH","FQ2 2018","FQ2 2018","Currency=INR","Period=FQ","BEST_FPERIOD_OVERRIDE=FQ","FILING_STATUS=OR","EQY_CONSOLIDATED=Y","Sort=A","Dates=H","DateFormat=P","Fill=—","Direction=H","UseDPDF=Y")</f>
        <v>#NAME?</v>
      </c>
      <c r="AJ325" s="1" t="e">
        <f ca="1">_xll.BDH($C$303,"GROWTH_IN_CAP","FQ2 2018","FQ2 2018","Currency=INR","Period=FQ","BEST_FPERIOD_OVERRIDE=FQ","FILING_STATUS=OR","EQY_CONSOLIDATED=Y","Sort=A","Dates=H","DateFormat=P","Fill=—","Direction=H","UseDPDF=Y")</f>
        <v>#NAME?</v>
      </c>
      <c r="AK325" s="1" t="e">
        <f ca="1">_xll.BDH($C$303,"BVPS_GROWTH","FQ2 2018","FQ2 2018","Currency=INR","Period=FQ","BEST_FPERIOD_OVERRIDE=FQ","FILING_STATUS=OR","EQY_CONSOLIDATED=Y","Sort=A","Dates=H","DateFormat=P","Fill=—","Direction=H","UseDPDF=Y")</f>
        <v>#NAME?</v>
      </c>
      <c r="AL325" s="1" t="e">
        <f ca="1">_xll.BDH($C$303,"CASH_FLOW_GROWTH","FQ2 2018","FQ2 2018","Currency=INR","Period=FQ","BEST_FPERIOD_OVERRIDE=FQ","FILING_STATUS=OR","EQY_CONSOLIDATED=Y","Sort=A","Dates=H","DateFormat=P","Fill=—","Direction=H","UseDPDF=Y")</f>
        <v>#NAME?</v>
      </c>
      <c r="AM325" s="1" t="e">
        <f ca="1">_xll.BDH($C$303,"GEO_GROW_NET_SALES","FQ2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25" s="1" t="e">
        <f ca="1">_xll.BDH($C$303,"GEO_GROW_EBITDA","FQ2 2018","FQ2 2018","Currency=INR","Period=FQ","BEST_FPERIOD_OVERRIDE=FQ","FILING_STATUS=OR","EQY_CONSOLIDATED=Y","FA_ADJUSTED=GAAP","Sort=A","Dates=H","DateFormat=P","Fill=—","Direction=H","UseDPDF=Y")</f>
        <v>#NAME?</v>
      </c>
      <c r="AO325" s="1" t="e">
        <f ca="1">_xll.BDH($C$303,"GEO_GROW_OPER_INC","FQ2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25" s="1" t="e">
        <f ca="1">_xll.BDH($C$303,"NET_INCOME_TO_COMMON_5_YR_GROWTH","FQ2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25" s="1" t="e">
        <f ca="1">_xll.BDH($C$303,"5Y_GEO_GROWTH_DILUTED_EPS","FQ2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25" s="1" t="e">
        <f ca="1">_xll.BDH($C$303,"GEO_GROW_DVD_PER_SH","FQ2 2018","FQ2 2018","Currency=INR","Period=FQ","BEST_FPERIOD_OVERRIDE=FQ","FILING_STATUS=OR","EQY_CONSOLIDATED=Y","Sort=A","Dates=H","DateFormat=P","Fill=—","Direction=H","UseDPDF=Y")</f>
        <v>#NAME?</v>
      </c>
      <c r="AS325" s="1" t="e">
        <f ca="1">_xll.BDH($C$303,"ACCOUNTS_RECEIVABLE_5_YR_GROWTH","FQ2 2018","FQ2 2018","Currency=INR","Period=FQ","BEST_FPERIOD_OVERRIDE=FQ","FILING_STATUS=OR","EQY_CONSOLIDATED=Y","Sort=A","Dates=H","DateFormat=P","Fill=—","Direction=H","UseDPDF=Y")</f>
        <v>#NAME?</v>
      </c>
      <c r="AT325" s="1" t="e">
        <f ca="1">_xll.BDH($C$303,"INVENTORY_5_YEAR_GROWTH","FQ2 2018","FQ2 2018","Currency=INR","Period=FQ","BEST_FPERIOD_OVERRIDE=FQ","FILING_STATUS=OR","EQY_CONSOLIDATED=Y","Sort=A","Dates=H","DateFormat=P","Fill=—","Direction=H","UseDPDF=Y")</f>
        <v>#NAME?</v>
      </c>
      <c r="AU325" s="1" t="e">
        <f ca="1">_xll.BDH($C$303,"NET_FIXED_ASSETS_5_YEAR_GROWTH","FQ2 2018","FQ2 2018","Currency=INR","Period=FQ","BEST_FPERIOD_OVERRIDE=FQ","FILING_STATUS=OR","EQY_CONSOLIDATED=Y","Sort=A","Dates=H","DateFormat=P","Fill=—","Direction=H","UseDPDF=Y")</f>
        <v>#NAME?</v>
      </c>
      <c r="AV325" s="1" t="e">
        <f ca="1">_xll.BDH($C$303,"GEO_GROW_TOT_ASSET","FQ2 2018","FQ2 2018","Currency=INR","Period=FQ","BEST_FPERIOD_OVERRIDE=FQ","FILING_STATUS=OR","EQY_CONSOLIDATED=Y","Sort=A","Dates=H","DateFormat=P","Fill=—","Direction=H","UseDPDF=Y")</f>
        <v>#NAME?</v>
      </c>
      <c r="AW325" s="1" t="e">
        <f ca="1">_xll.BDH($C$303,"MODIFIED_WORKING_CPTL_5YR_GRWTH","FQ2 2018","FQ2 2018","Currency=INR","Period=FQ","BEST_FPERIOD_OVERRIDE=FQ","FILING_STATUS=OR","EQY_CONSOLIDATED=Y","Sort=A","Dates=H","DateFormat=P","Fill=—","Direction=H","UseDPDF=Y")</f>
        <v>#NAME?</v>
      </c>
      <c r="AX325" s="1" t="e">
        <f ca="1">_xll.BDH($C$303,"WORKING_CAPITAL_5_YEAR_GROWTH","FQ2 2018","FQ2 2018","Currency=INR","Period=FQ","BEST_FPERIOD_OVERRIDE=FQ","FILING_STATUS=OR","EQY_CONSOLIDATED=Y","Sort=A","Dates=H","DateFormat=P","Fill=—","Direction=H","UseDPDF=Y")</f>
        <v>#NAME?</v>
      </c>
      <c r="AY325" s="1" t="e">
        <f ca="1">_xll.BDH($C$303,"ACCOUNTS_PAYABLE_5_YEAR_GROWTH","FQ2 2018","FQ2 2018","Currency=INR","Period=FQ","BEST_FPERIOD_OVERRIDE=FQ","FILING_STATUS=OR","EQY_CONSOLIDATED=Y","Sort=A","Dates=H","DateFormat=P","Fill=—","Direction=H","UseDPDF=Y")</f>
        <v>#NAME?</v>
      </c>
      <c r="AZ325" s="1" t="e">
        <f ca="1">_xll.BDH($C$303,"SHORT_TERM_DEBT_5_YEAR_GROWTH","FQ2 2018","FQ2 2018","Currency=INR","Period=FQ","BEST_FPERIOD_OVERRIDE=FQ","FILING_STATUS=OR","EQY_CONSOLIDATED=Y","Sort=A","Dates=H","DateFormat=P","Fill=—","Direction=H","UseDPDF=Y")</f>
        <v>#NAME?</v>
      </c>
      <c r="BA325" s="1" t="e">
        <f ca="1">_xll.BDH($C$303,"TOTAL_DEBT_5_YEAR_GROWTH","FQ2 2018","FQ2 2018","Currency=INR","Period=FQ","BEST_FPERIOD_OVERRIDE=FQ","FILING_STATUS=OR","EQY_CONSOLIDATED=Y","Sort=A","Dates=H","DateFormat=P","Fill=—","Direction=H","UseDPDF=Y")</f>
        <v>#NAME?</v>
      </c>
      <c r="BB325" s="1" t="e">
        <f ca="1">_xll.BDH($C$303,"GEO_GROW_TOT_SHRHLDR_EQY","FQ2 2018","FQ2 2018","Currency=INR","Period=FQ","BEST_FPERIOD_OVERRIDE=FQ","FILING_STATUS=OR","EQY_CONSOLIDATED=Y","Sort=A","Dates=H","DateFormat=P","Fill=—","Direction=H","UseDPDF=Y")</f>
        <v>#NAME?</v>
      </c>
      <c r="BC325" s="1" t="e">
        <f ca="1">_xll.BDH($C$303,"TOTAL_CAPITAL_5_YEAR_GROWTH","FQ2 2018","FQ2 2018","Currency=INR","Period=FQ","BEST_FPERIOD_OVERRIDE=FQ","FILING_STATUS=OR","EQY_CONSOLIDATED=Y","Sort=A","Dates=H","DateFormat=P","Fill=—","Direction=H","UseDPDF=Y")</f>
        <v>#NAME?</v>
      </c>
      <c r="BD325" s="1" t="e">
        <f ca="1">_xll.BDH($C$303,"GEO_GROW_BOOK_VAL","FQ2 2018","FQ2 2018","Currency=INR","Period=FQ","BEST_FPERIOD_OVERRIDE=FQ","FILING_STATUS=OR","EQY_CONSOLIDATED=Y","Sort=A","Dates=H","DateFormat=P","Fill=—","Direction=H","UseDPDF=Y")</f>
        <v>#NAME?</v>
      </c>
      <c r="BE325" s="1" t="e">
        <f ca="1">_xll.BDH($C$303,"GEO_GROW_CASH_OPER_ACT","FQ2 2018","FQ2 2018","Currency=INR","Period=FQ","BEST_FPERIOD_OVERRIDE=FQ","FILING_STATUS=OR","EQY_CONSOLIDATED=Y","Sort=A","Dates=H","DateFormat=P","Fill=—","Direction=H","UseDPDF=Y")</f>
        <v>#NAME?</v>
      </c>
      <c r="BF325" s="1" t="e">
        <f ca="1">_xll.BDH($C$303,"REVENUE_SEQUENTIAL_GROWTH","FQ2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25" s="1" t="e">
        <f ca="1">_xll.BDH($C$303,"EBITDA_SEQUENTIAL_GROWTH","FQ2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25" s="1" t="e">
        <f ca="1">_xll.BDH($C$303,"OPERATING_INCOME_SEQ_GROWTH","FQ2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25" s="1" t="e">
        <f ca="1">_xll.BDH($C$303,"NET_INCOME_TO_COMMON_SEQ_GROWTH","FQ2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25" s="1" t="e">
        <f ca="1">_xll.BDH($C$303,"EPS_DILUTED_SEQUENTIAL_GROWTH","FQ2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25" s="1" t="e">
        <f ca="1">_xll.BDH($C$303,"DPS_SEQUENTIAL_GROWTH","FQ2 2018","FQ2 2018","Currency=INR","Period=FQ","BEST_FPERIOD_OVERRIDE=FQ","FILING_STATUS=OR","EQY_CONSOLIDATED=Y","Sort=A","Dates=H","DateFormat=P","Fill=—","Direction=H","UseDPDF=Y")</f>
        <v>#NAME?</v>
      </c>
      <c r="BL325" s="1" t="e">
        <f ca="1">_xll.BDH($C$303,"ACCOUNTS_RECEIVABLE_SEQ_GROWTH","FQ2 2018","FQ2 2018","Currency=INR","Period=FQ","BEST_FPERIOD_OVERRIDE=FQ","FILING_STATUS=OR","EQY_CONSOLIDATED=Y","Sort=A","Dates=H","DateFormat=P","Fill=—","Direction=H","UseDPDF=Y")</f>
        <v>#NAME?</v>
      </c>
      <c r="BM325" s="1" t="e">
        <f ca="1">_xll.BDH($C$303,"INVENTORY_SEQUENTIAL_GROWTH","FQ2 2018","FQ2 2018","Currency=INR","Period=FQ","BEST_FPERIOD_OVERRIDE=FQ","FILING_STATUS=OR","EQY_CONSOLIDATED=Y","Sort=A","Dates=H","DateFormat=P","Fill=—","Direction=H","UseDPDF=Y")</f>
        <v>#NAME?</v>
      </c>
      <c r="BN325" s="1" t="e">
        <f ca="1">_xll.BDH($C$303,"FIXED_ASSETS_SEQUENTIAL_GROWTH","FQ2 2018","FQ2 2018","Currency=INR","Period=FQ","BEST_FPERIOD_OVERRIDE=FQ","FILING_STATUS=OR","EQY_CONSOLIDATED=Y","Sort=A","Dates=H","DateFormat=P","Fill=—","Direction=H","UseDPDF=Y")</f>
        <v>#NAME?</v>
      </c>
      <c r="BO325" s="1" t="e">
        <f ca="1">_xll.BDH($C$303,"TOTAL_ASSETS_SEQUENTIAL_GROWTH","FQ2 2018","FQ2 2018","Currency=INR","Period=FQ","BEST_FPERIOD_OVERRIDE=FQ","FILING_STATUS=OR","EQY_CONSOLIDATED=Y","Sort=A","Dates=H","DateFormat=P","Fill=—","Direction=H","UseDPDF=Y")</f>
        <v>#NAME?</v>
      </c>
      <c r="BP325" s="1" t="e">
        <f ca="1">_xll.BDH($C$303,"MODIFIED_WORKING_CPTL_SEQ_GRWTH","FQ2 2018","FQ2 2018","Currency=INR","Period=FQ","BEST_FPERIOD_OVERRIDE=FQ","FILING_STATUS=OR","EQY_CONSOLIDATED=Y","Sort=A","Dates=H","DateFormat=P","Fill=—","Direction=H","UseDPDF=Y")</f>
        <v>#NAME?</v>
      </c>
      <c r="BQ325" s="1" t="e">
        <f ca="1">_xll.BDH($C$303,"WORKING_CAPITAL_SEQ_GROWTH","FQ2 2018","FQ2 2018","Currency=INR","Period=FQ","BEST_FPERIOD_OVERRIDE=FQ","FILING_STATUS=OR","EQY_CONSOLIDATED=Y","Sort=A","Dates=H","DateFormat=P","Fill=—","Direction=H","UseDPDF=Y")</f>
        <v>#NAME?</v>
      </c>
      <c r="BR325" s="1" t="e">
        <f ca="1">_xll.BDH($C$303,"ACCOUNTS_PAYABLE_SEQ_GROWTH","FQ2 2018","FQ2 2018","Currency=INR","Period=FQ","BEST_FPERIOD_OVERRIDE=FQ","FILING_STATUS=OR","EQY_CONSOLIDATED=Y","Sort=A","Dates=H","DateFormat=P","Fill=—","Direction=H","UseDPDF=Y")</f>
        <v>#NAME?</v>
      </c>
      <c r="BS325" s="1" t="e">
        <f ca="1">_xll.BDH($C$303,"ST_DEBT_SEQUENTIAL_GROWTH","FQ2 2018","FQ2 2018","Currency=INR","Period=FQ","BEST_FPERIOD_OVERRIDE=FQ","FILING_STATUS=OR","EQY_CONSOLIDATED=Y","Sort=A","Dates=H","DateFormat=P","Fill=—","Direction=H","UseDPDF=Y")</f>
        <v>#NAME?</v>
      </c>
      <c r="BT325" s="1" t="e">
        <f ca="1">_xll.BDH($C$303,"TOTAL_DEBT_SEQUENTIAL_GROWTH","FQ2 2018","FQ2 2018","Currency=INR","Period=FQ","BEST_FPERIOD_OVERRIDE=FQ","FILING_STATUS=OR","EQY_CONSOLIDATED=Y","Sort=A","Dates=H","DateFormat=P","Fill=—","Direction=H","UseDPDF=Y")</f>
        <v>#NAME?</v>
      </c>
      <c r="BU325" s="1" t="e">
        <f ca="1">_xll.BDH($C$303,"TOTAL_EQUITY_SEQUENTIAL_GROWTH","FQ2 2018","FQ2 2018","Currency=INR","Period=FQ","BEST_FPERIOD_OVERRIDE=FQ","FILING_STATUS=OR","EQY_CONSOLIDATED=Y","Sort=A","Dates=H","DateFormat=P","Fill=—","Direction=H","UseDPDF=Y")</f>
        <v>#NAME?</v>
      </c>
      <c r="BV325" s="1" t="e">
        <f ca="1">_xll.BDH($C$303,"TOTAL_CAPITAL_SEQUENTIAL_GROWTH","FQ2 2018","FQ2 2018","Currency=INR","Period=FQ","BEST_FPERIOD_OVERRIDE=FQ","FILING_STATUS=OR","EQY_CONSOLIDATED=Y","Sort=A","Dates=H","DateFormat=P","Fill=—","Direction=H","UseDPDF=Y")</f>
        <v>#NAME?</v>
      </c>
      <c r="BW325" s="1" t="e">
        <f ca="1">_xll.BDH($C$303,"BPS_SEQUENTIAL_GROWTH","FQ2 2018","FQ2 2018","Currency=INR","Period=FQ","BEST_FPERIOD_OVERRIDE=FQ","FILING_STATUS=OR","EQY_CONSOLIDATED=Y","Sort=A","Dates=H","DateFormat=P","Fill=—","Direction=H","UseDPDF=Y")</f>
        <v>#NAME?</v>
      </c>
      <c r="BX325" s="1" t="e">
        <f ca="1">_xll.BDH($C$303,"CFO_SEQUENTIAL_GROWTH","FQ2 2018","FQ2 2018","Currency=INR","Period=FQ","BEST_FPERIOD_OVERRIDE=FQ","FILING_STATUS=OR","EQY_CONSOLIDATED=Y","Sort=A","Dates=H","DateFormat=P","Fill=—","Direction=H","UseDPDF=Y")</f>
        <v>#NAME?</v>
      </c>
      <c r="BY325" s="2" t="e">
        <f ca="1">_xll.BDH($C$303,"SHORT_AND_LONG_TERM_DEBT","FQ2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25" s="2" t="e">
        <f ca="1">_xll.BDH($C$303,"BS_ST_BORROW","FQ2 2018","FQ2 2018","Currency=INR","Period=FQ","BEST_FPERIOD_OVERRIDE=FQ","FILING_STATUS=OR","EQY_CONSOLIDATED=Y","SCALING_FORMAT=MLN","Sort=A","Dates=H","DateFormat=P","Fill=—","Direction=H","UseDPDF=Y")</f>
        <v>#NAME?</v>
      </c>
      <c r="CA325" s="2" t="e">
        <f ca="1">_xll.BDH($C$303,"BS_LT_BORROW","FQ2 2018","FQ2 2018","Currency=INR","Period=FQ","BEST_FPERIOD_OVERRIDE=FQ","FILING_STATUS=OR","EQY_CONSOLIDATED=Y","SCALING_FORMAT=MLN","Sort=A","Dates=H","DateFormat=P","Fill=—","Direction=H","UseDPDF=Y")</f>
        <v>#NAME?</v>
      </c>
      <c r="CB325" s="1" t="e">
        <f ca="1">_xll.BDH($C$303,"TOT_DEBT_TO_EBITDA","FQ2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25" s="1" t="e">
        <f ca="1">_xll.BDH($C$303,"NET_DEBT_TO_EBITDA","FQ2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25" s="1" t="e">
        <f ca="1">_xll.BDH($C$303,"TOTAL_DEBT_TO_EBIT","FQ2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25" s="1" t="e">
        <f ca="1">_xll.BDH($C$303,"NET_DEBT_TO_EBIT","FQ2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325" s="1" t="e">
        <f ca="1">_xll.BDH($C$303,"EBITDA_TO_INTEREST_EXPN","FQ2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25" s="1" t="e">
        <f ca="1">_xll.BDH($C$303,"COM_EQY_TO_TOT_ASSET","FQ2 2018","FQ2 2018","Currency=INR","Period=FQ","BEST_FPERIOD_OVERRIDE=FQ","FILING_STATUS=OR","EQY_CONSOLIDATED=Y","Sort=A","Dates=H","DateFormat=P","Fill=—","Direction=H","UseDPDF=Y")</f>
        <v>#NAME?</v>
      </c>
      <c r="CH325" s="1" t="e">
        <f ca="1">_xll.BDH($C$303,"LT_DEBT_TO_TOT_EQY","FQ2 2018","FQ2 2018","Currency=INR","Period=FQ","BEST_FPERIOD_OVERRIDE=FQ","FILING_STATUS=OR","EQY_CONSOLIDATED=Y","Sort=A","Dates=H","DateFormat=P","Fill=—","Direction=H","UseDPDF=Y")</f>
        <v>#NAME?</v>
      </c>
      <c r="CI325" s="1" t="e">
        <f ca="1">_xll.BDH($C$303,"LT_DEBT_TO_TOT_CAP","FQ2 2018","FQ2 2018","Currency=INR","Period=FQ","BEST_FPERIOD_OVERRIDE=FQ","FILING_STATUS=OR","EQY_CONSOLIDATED=Y","Sort=A","Dates=H","DateFormat=P","Fill=—","Direction=H","UseDPDF=Y")</f>
        <v>#NAME?</v>
      </c>
      <c r="CJ325" s="1" t="e">
        <f ca="1">_xll.BDH($C$303,"LT_DEBT_TO_TOT_ASSET","FQ2 2018","FQ2 2018","Currency=INR","Period=FQ","BEST_FPERIOD_OVERRIDE=FQ","FILING_STATUS=OR","EQY_CONSOLIDATED=Y","Sort=A","Dates=H","DateFormat=P","Fill=—","Direction=H","UseDPDF=Y")</f>
        <v>#NAME?</v>
      </c>
      <c r="CK325" s="1" t="e">
        <f ca="1">_xll.BDH($C$303,"TOT_DEBT_TO_TOT_EQY","FQ2 2018","FQ2 2018","Currency=INR","Period=FQ","BEST_FPERIOD_OVERRIDE=FQ","FILING_STATUS=OR","EQY_CONSOLIDATED=Y","Sort=A","Dates=H","DateFormat=P","Fill=—","Direction=H","UseDPDF=Y")</f>
        <v>#NAME?</v>
      </c>
      <c r="CL325" s="1" t="e">
        <f ca="1">_xll.BDH($C$303,"TOT_DEBT_TO_TOT_CAP","FQ2 2018","FQ2 2018","Currency=INR","Period=FQ","BEST_FPERIOD_OVERRIDE=FQ","FILING_STATUS=OR","EQY_CONSOLIDATED=Y","Sort=A","Dates=H","DateFormat=P","Fill=—","Direction=H","UseDPDF=Y")</f>
        <v>#NAME?</v>
      </c>
      <c r="CM325" s="1" t="e">
        <f ca="1">_xll.BDH($C$303,"TOT_DEBT_TO_TOT_ASSET","FQ2 2018","FQ2 2018","Currency=INR","Period=FQ","BEST_FPERIOD_OVERRIDE=FQ","FILING_STATUS=OR","EQY_CONSOLIDATED=Y","Sort=A","Dates=H","DateFormat=P","Fill=—","Direction=H","UseDPDF=Y")</f>
        <v>#NAME?</v>
      </c>
      <c r="CN325" s="1" t="e">
        <f ca="1">_xll.BDH($C$303,"NET_DEBT_TO_SHRHLDR_EQTY","FQ2 2018","FQ2 2018","Currency=INR","Period=FQ","BEST_FPERIOD_OVERRIDE=FQ","FILING_STATUS=OR","EQY_CONSOLIDATED=Y","Sort=A","Dates=H","DateFormat=P","Fill=—","Direction=H","UseDPDF=Y")</f>
        <v>#NAME?</v>
      </c>
      <c r="CO325" s="1" t="e">
        <f ca="1">_xll.BDH($C$303,"NET_DEBT_%_CAPITAL","FQ2 2018","FQ2 2018","Currency=INR","Period=FQ","BEST_FPERIOD_OVERRIDE=FQ","FILING_STATUS=OR","EQY_CONSOLIDATED=Y","Sort=A","Dates=H","DateFormat=P","Fill=—","Direction=H","UseDPDF=Y")</f>
        <v>#NAME?</v>
      </c>
      <c r="CP325" s="2" t="e">
        <f ca="1">_xll.BDH($C$303,"EBITDA","FQ2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25" s="2" t="e">
        <f ca="1">_xll.BDH($C$303,"EBITDA_AFTER_CAPEX","FQ2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25" s="2" t="e">
        <f ca="1">_xll.BDH($C$303,"IS_OPER_INC","FQ2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25" s="1" t="e">
        <f ca="1">_xll.BDH($C$303,"CASH_RATIO","FQ2 2018","FQ2 2018","Currency=INR","Period=FQ","BEST_FPERIOD_OVERRIDE=FQ","FILING_STATUS=OR","EQY_CONSOLIDATED=Y","Sort=A","Dates=H","DateFormat=P","Fill=—","Direction=H","UseDPDF=Y")</f>
        <v>#NAME?</v>
      </c>
      <c r="CT325" s="1" t="e">
        <f ca="1">_xll.BDH($C$303,"CUR_RATIO","FQ2 2018","FQ2 2018","Currency=INR","Period=FQ","BEST_FPERIOD_OVERRIDE=FQ","FILING_STATUS=OR","EQY_CONSOLIDATED=Y","Sort=A","Dates=H","DateFormat=P","Fill=—","Direction=H","UseDPDF=Y")</f>
        <v>#NAME?</v>
      </c>
      <c r="CU325" s="1" t="e">
        <f ca="1">_xll.BDH($C$303,"QUICK_RATIO","FQ2 2018","FQ2 2018","Currency=INR","Period=FQ","BEST_FPERIOD_OVERRIDE=FQ","FILING_STATUS=OR","EQY_CONSOLIDATED=Y","Sort=A","Dates=H","DateFormat=P","Fill=—","Direction=H","UseDPDF=Y")</f>
        <v>#NAME?</v>
      </c>
      <c r="CV325" s="1" t="e">
        <f ca="1">_xll.BDH($C$303,"ALTMAN_Z_SCORE","FQ2 2018","FQ2 2018","Currency=INR","Period=FQ","BEST_FPERIOD_OVERRIDE=FQ","FILING_STATUS=OR","EQY_CONSOLIDATED=Y","Sort=A","Dates=H","DateFormat=P","Fill=—","Direction=H","UseDPDF=Y")</f>
        <v>#NAME?</v>
      </c>
      <c r="CW325" s="3" t="e">
        <f ca="1">_xll.BDH($C$303,"ACCT_RCV_TURN","FQ2 2018","FQ2 2018","Currency=INR","Period=FQ","BEST_FPERIOD_OVERRIDE=FQ","FILING_STATUS=OR","EQY_CONSOLIDATED=Y","FA_ADJUSTED=GAAP","Sort=A","Dates=H","DateFormat=P","Fill=—","Direction=H","UseDPDF=Y")</f>
        <v>#NAME?</v>
      </c>
      <c r="CX325" s="1" t="e">
        <f ca="1">_xll.BDH($C$303,"ACCT_RCV_DAYS","FQ2 2018","FQ2 2018","Currency=INR","Period=FQ","BEST_FPERIOD_OVERRIDE=FQ","FILING_STATUS=OR","EQY_CONSOLIDATED=Y","FA_ADJUSTED=GAAP","Sort=A","Dates=H","DateFormat=P","Fill=—","Direction=H","UseDPDF=Y")</f>
        <v>#NAME?</v>
      </c>
      <c r="CY325" s="3" t="e">
        <f ca="1">_xll.BDH($C$303,"INVENT_TURN","FQ2 2018","FQ2 2018","Currency=INR","Period=FQ","BEST_FPERIOD_OVERRIDE=FQ","FILING_STATUS=OR","EQY_CONSOLIDATED=Y","FA_ADJUSTED=GAAP","Sort=A","Dates=H","DateFormat=P","Fill=—","Direction=H","UseDPDF=Y")</f>
        <v>#NAME?</v>
      </c>
      <c r="CZ325" s="1" t="e">
        <f ca="1">_xll.BDH($C$303,"INVENT_DAYS","FQ2 2018","FQ2 2018","Currency=INR","Period=FQ","BEST_FPERIOD_OVERRIDE=FQ","FILING_STATUS=OR","EQY_CONSOLIDATED=Y","FA_ADJUSTED=GAAP","Sort=A","Dates=H","DateFormat=P","Fill=—","Direction=H","UseDPDF=Y")</f>
        <v>#NAME?</v>
      </c>
      <c r="DA325" s="3" t="e">
        <f ca="1">_xll.BDH($C$303,"ACCOUNTS_PAYABLE_TURNOVER","FQ2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25" s="1" t="e">
        <f ca="1">_xll.BDH($C$303,"ACCOUNTS_PAYABLE_TURNOVER_DAYS","FQ2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25" s="3" t="e">
        <f ca="1">_xll.BDH($C$303,"CASH_CONVERSION_CYCLE","FQ2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25" s="3" t="e">
        <f ca="1">_xll.BDH($C$303,"INV_TO_CASH_DAYS","FQ2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325" s="4" t="e">
        <f ca="1">_xll.BDH($C$303,"BS_INVENTORIES","FQ2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325" s="2" t="e">
        <f ca="1">_xll.BDH($C$303,"INVTRY_RAW_MATERIALS","FQ2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25" s="2" t="e">
        <f ca="1">_xll.BDH($C$303,"INVTRY_IN_PROGRESS","FQ2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25" s="2" t="e">
        <f ca="1">_xll.BDH($C$303,"INVTRY_FINISHED_GOODS","FQ2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25" s="2" t="e">
        <f ca="1">_xll.BDH($C$303,"BS_OTHER_INV","FQ2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26" spans="1:113" x14ac:dyDescent="0.3">
      <c r="A326" s="6"/>
      <c r="B326" s="6"/>
      <c r="C326" s="6"/>
      <c r="D326" s="6"/>
      <c r="E326" t="s">
        <v>6</v>
      </c>
      <c r="F326" t="e">
        <f ca="1">_xll.BDH($C$303,"RETURN_COM_EQY","FQ3 2018","FQ3 2018","Currency=INR","Period=FQ","BEST_FPERIOD_OVERRIDE=FQ","FILING_STATUS=OR","EQY_CONSOLIDATED=Y","FA_ADJUSTED=GAAP","Sort=A","Dates=H","DateFormat=P","Fill=—","Direction=H","UseDPDF=Y")</f>
        <v>#NAME?</v>
      </c>
      <c r="G326" t="e">
        <f ca="1">_xll.BDH($C$303,"RETURN_ON_ASSET","FQ3 2018","FQ3 2018","Currency=INR","Period=FQ","BEST_FPERIOD_OVERRIDE=FQ","FILING_STATUS=OR","EQY_CONSOLIDATED=Y","FA_ADJUSTED=GAAP","Sort=A","Dates=H","DateFormat=P","Fill=—","Direction=H","UseDPDF=Y")</f>
        <v>#NAME?</v>
      </c>
      <c r="H326" t="e">
        <f ca="1">_xll.BDH($C$303,"RETURN_ON_CAP","FQ3 2018","FQ3 2018","Currency=INR","Period=FQ","BEST_FPERIOD_OVERRIDE=FQ","FILING_STATUS=OR","EQY_CONSOLIDATED=Y","FA_ADJUSTED=GAAP","Sort=A","Dates=H","DateFormat=P","Fill=—","Direction=H","UseDPDF=Y")</f>
        <v>#NAME?</v>
      </c>
      <c r="I326" t="e">
        <f ca="1">_xll.BDH($C$303,"RETURN_ON_INV_CAPITAL","FQ3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26" t="e">
        <f ca="1">_xll.BDH($C$303,"EBITDA_TO_REVENUE","FQ3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326" t="e">
        <f ca="1">_xll.BDH($C$303,"OPER_MARGIN","FQ3 2018","FQ3 2018","Currency=INR","Period=FQ","BEST_FPERIOD_OVERRIDE=FQ","FILING_STATUS=OR","EQY_CONSOLIDATED=Y","FA_ADJUSTED=GAAP","Sort=A","Dates=H","DateFormat=P","Fill=—","Direction=H","UseDPDF=Y")</f>
        <v>#NAME?</v>
      </c>
      <c r="L326" t="e">
        <f ca="1">_xll.BDH($C$303,"INCREMENTAL_OPERATING_MARGIN","FQ3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26" t="e">
        <f ca="1">_xll.BDH($C$303,"PRETAX_INC_TO_NET_SALES","FQ3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26" t="e">
        <f ca="1">_xll.BDH($C$303,"INC_BEF_XO_ITEMS_TO_NET_SALES","FQ3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26" t="e">
        <f ca="1">_xll.BDH($C$303,"PROF_MARGIN","FQ3 2018","FQ3 2018","Currency=INR","Period=FQ","BEST_FPERIOD_OVERRIDE=FQ","FILING_STATUS=OR","EQY_CONSOLIDATED=Y","FA_ADJUSTED=GAAP","Sort=A","Dates=H","DateFormat=P","Fill=—","Direction=H","UseDPDF=Y")</f>
        <v>#NAME?</v>
      </c>
      <c r="P326" t="e">
        <f ca="1">_xll.BDH($C$303,"NET_INCOME_TO_COMMON_MARGIN","FQ3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26" t="e">
        <f ca="1">_xll.BDH($C$303,"EFF_TAX_RATE","FQ3 2018","FQ3 2018","Currency=INR","Period=FQ","BEST_FPERIOD_OVERRIDE=FQ","FILING_STATUS=OR","EQY_CONSOLIDATED=Y","FA_ADJUSTED=GAAP","Sort=A","Dates=H","DateFormat=P","Fill=—","Direction=H","UseDPDF=Y")</f>
        <v>#NAME?</v>
      </c>
      <c r="R326" t="e">
        <f ca="1">_xll.BDH($C$303,"DVD_PAYOUT_RATIO","FQ3 2018","FQ3 2018","Currency=INR","Period=FQ","BEST_FPERIOD_OVERRIDE=FQ","FILING_STATUS=OR","EQY_CONSOLIDATED=Y","FA_ADJUSTED=GAAP","Sort=A","Dates=H","DateFormat=P","Fill=—","Direction=H","UseDPDF=Y")</f>
        <v>#NAME?</v>
      </c>
      <c r="S326" t="e">
        <f ca="1">_xll.BDH($C$303,"SUSTAIN_GROWTH_RT","FQ3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326" s="1" t="e">
        <f ca="1">_xll.BDH($C$303,"SALES_GROWTH","FQ3 2018","FQ3 2018","Currency=INR","Period=FQ","BEST_FPERIOD_OVERRIDE=FQ","FILING_STATUS=OR","EQY_CONSOLIDATED=Y","FA_ADJUSTED=GAAP","Sort=A","Dates=H","DateFormat=P","Fill=—","Direction=H","UseDPDF=Y")</f>
        <v>#NAME?</v>
      </c>
      <c r="U326" s="1" t="e">
        <f ca="1">_xll.BDH($C$303,"EBITDA_GROWTH","FQ3 2018","FQ3 2018","Currency=INR","Period=FQ","BEST_FPERIOD_OVERRIDE=FQ","FILING_STATUS=OR","EQY_CONSOLIDATED=Y","FA_ADJUSTED=GAAP","Sort=A","Dates=H","DateFormat=P","Fill=—","Direction=H","UseDPDF=Y")</f>
        <v>#NAME?</v>
      </c>
      <c r="V326" s="1" t="e">
        <f ca="1">_xll.BDH($C$303,"OPER_INC_GROWTH","FQ3 2018","FQ3 2018","Currency=INR","Period=FQ","BEST_FPERIOD_OVERRIDE=FQ","FILING_STATUS=OR","EQY_CONSOLIDATED=Y","FA_ADJUSTED=GAAP","Sort=A","Dates=H","DateFormat=P","Fill=—","Direction=H","UseDPDF=Y")</f>
        <v>#NAME?</v>
      </c>
      <c r="W326" s="1" t="e">
        <f ca="1">_xll.BDH($C$303,"EARN_FOR_COM_GROWTH","FQ3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26" s="1" t="e">
        <f ca="1">_xll.BDH($C$303,"DILUTED_EPS_AFT_XO_ITEMS_GROWTH","FQ3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26" s="1" t="e">
        <f ca="1">_xll.BDH($C$303,"DIVIDEND_PER_SHARE_1_YEAR_GROWTH","FQ3 2018","FQ3 2018","Currency=INR","Period=FQ","BEST_FPERIOD_OVERRIDE=FQ","FILING_STATUS=OR","EQY_CONSOLIDATED=Y","Sort=A","Dates=H","DateFormat=P","Fill=—","Direction=H","UseDPDF=Y")</f>
        <v>#NAME?</v>
      </c>
      <c r="Z326" s="1" t="e">
        <f ca="1">_xll.BDH($C$303,"ACCOUNTS_RECEIVABLE_GROWTH","FQ3 2018","FQ3 2018","Currency=INR","Period=FQ","BEST_FPERIOD_OVERRIDE=FQ","FILING_STATUS=OR","EQY_CONSOLIDATED=Y","Sort=A","Dates=H","DateFormat=P","Fill=—","Direction=H","UseDPDF=Y")</f>
        <v>#NAME?</v>
      </c>
      <c r="AA326" s="1" t="e">
        <f ca="1">_xll.BDH($C$303,"INVENTORY_GROWTH","FQ3 2018","FQ3 2018","Currency=INR","Period=FQ","BEST_FPERIOD_OVERRIDE=FQ","FILING_STATUS=OR","EQY_CONSOLIDATED=Y","Sort=A","Dates=H","DateFormat=P","Fill=—","Direction=H","UseDPDF=Y")</f>
        <v>#NAME?</v>
      </c>
      <c r="AB326" s="1" t="e">
        <f ca="1">_xll.BDH($C$303,"NET_FIXED_ASSETS_1_YEAR_GROWTH","FQ3 2018","FQ3 2018","Currency=INR","Period=FQ","BEST_FPERIOD_OVERRIDE=FQ","FILING_STATUS=OR","EQY_CONSOLIDATED=Y","Sort=A","Dates=H","DateFormat=P","Fill=—","Direction=H","UseDPDF=Y")</f>
        <v>#NAME?</v>
      </c>
      <c r="AC326" s="1" t="e">
        <f ca="1">_xll.BDH($C$303,"ASSET_GROWTH","FQ3 2018","FQ3 2018","Currency=INR","Period=FQ","BEST_FPERIOD_OVERRIDE=FQ","FILING_STATUS=OR","EQY_CONSOLIDATED=Y","Sort=A","Dates=H","DateFormat=P","Fill=—","Direction=H","UseDPDF=Y")</f>
        <v>#NAME?</v>
      </c>
      <c r="AD326" s="1" t="e">
        <f ca="1">_xll.BDH($C$303,"MODIFIED_WORK_CAP_GROWTH","FQ3 2018","FQ3 2018","Currency=INR","Period=FQ","BEST_FPERIOD_OVERRIDE=FQ","FILING_STATUS=OR","EQY_CONSOLIDATED=Y","Sort=A","Dates=H","DateFormat=P","Fill=—","Direction=H","UseDPDF=Y")</f>
        <v>#NAME?</v>
      </c>
      <c r="AE326" s="1" t="e">
        <f ca="1">_xll.BDH($C$303,"WORK_CAP_GROWTH","FQ3 2018","FQ3 2018","Currency=INR","Period=FQ","BEST_FPERIOD_OVERRIDE=FQ","FILING_STATUS=OR","EQY_CONSOLIDATED=Y","Sort=A","Dates=H","DateFormat=P","Fill=—","Direction=H","UseDPDF=Y")</f>
        <v>#NAME?</v>
      </c>
      <c r="AF326" s="1" t="e">
        <f ca="1">_xll.BDH($C$303,"ACCOUNTS_PAYABLE_GROWTH_1YR","FQ3 2018","FQ3 2018","Currency=INR","Period=FQ","BEST_FPERIOD_OVERRIDE=FQ","FILING_STATUS=OR","EQY_CONSOLIDATED=Y","Sort=A","Dates=H","DateFormat=P","Fill=—","Direction=H","UseDPDF=Y")</f>
        <v>#NAME?</v>
      </c>
      <c r="AG326" s="1" t="e">
        <f ca="1">_xll.BDH($C$303,"SHORT_TERM_DEBT_1_YEAR_GROWTH","FQ3 2018","FQ3 2018","Currency=INR","Period=FQ","BEST_FPERIOD_OVERRIDE=FQ","FILING_STATUS=OR","EQY_CONSOLIDATED=Y","Sort=A","Dates=H","DateFormat=P","Fill=—","Direction=H","UseDPDF=Y")</f>
        <v>#NAME?</v>
      </c>
      <c r="AH326" s="1" t="e">
        <f ca="1">_xll.BDH($C$303,"TOTAL_DEBT_1_YEAR_GROWTH","FQ3 2018","FQ3 2018","Currency=INR","Period=FQ","BEST_FPERIOD_OVERRIDE=FQ","FILING_STATUS=OR","EQY_CONSOLIDATED=Y","Sort=A","Dates=H","DateFormat=P","Fill=—","Direction=H","UseDPDF=Y")</f>
        <v>#NAME?</v>
      </c>
      <c r="AI326" s="1" t="e">
        <f ca="1">_xll.BDH($C$303,"TOTAL_EQUITY_1_YEAR_GROWTH","FQ3 2018","FQ3 2018","Currency=INR","Period=FQ","BEST_FPERIOD_OVERRIDE=FQ","FILING_STATUS=OR","EQY_CONSOLIDATED=Y","Sort=A","Dates=H","DateFormat=P","Fill=—","Direction=H","UseDPDF=Y")</f>
        <v>#NAME?</v>
      </c>
      <c r="AJ326" s="1" t="e">
        <f ca="1">_xll.BDH($C$303,"GROWTH_IN_CAP","FQ3 2018","FQ3 2018","Currency=INR","Period=FQ","BEST_FPERIOD_OVERRIDE=FQ","FILING_STATUS=OR","EQY_CONSOLIDATED=Y","Sort=A","Dates=H","DateFormat=P","Fill=—","Direction=H","UseDPDF=Y")</f>
        <v>#NAME?</v>
      </c>
      <c r="AK326" s="1" t="e">
        <f ca="1">_xll.BDH($C$303,"BVPS_GROWTH","FQ3 2018","FQ3 2018","Currency=INR","Period=FQ","BEST_FPERIOD_OVERRIDE=FQ","FILING_STATUS=OR","EQY_CONSOLIDATED=Y","Sort=A","Dates=H","DateFormat=P","Fill=—","Direction=H","UseDPDF=Y")</f>
        <v>#NAME?</v>
      </c>
      <c r="AL326" s="1" t="e">
        <f ca="1">_xll.BDH($C$303,"CASH_FLOW_GROWTH","FQ3 2018","FQ3 2018","Currency=INR","Period=FQ","BEST_FPERIOD_OVERRIDE=FQ","FILING_STATUS=OR","EQY_CONSOLIDATED=Y","Sort=A","Dates=H","DateFormat=P","Fill=—","Direction=H","UseDPDF=Y")</f>
        <v>#NAME?</v>
      </c>
      <c r="AM326" s="1" t="e">
        <f ca="1">_xll.BDH($C$303,"GEO_GROW_NET_SALES","FQ3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26" s="1" t="e">
        <f ca="1">_xll.BDH($C$303,"GEO_GROW_EBITDA","FQ3 2018","FQ3 2018","Currency=INR","Period=FQ","BEST_FPERIOD_OVERRIDE=FQ","FILING_STATUS=OR","EQY_CONSOLIDATED=Y","FA_ADJUSTED=GAAP","Sort=A","Dates=H","DateFormat=P","Fill=—","Direction=H","UseDPDF=Y")</f>
        <v>#NAME?</v>
      </c>
      <c r="AO326" s="1" t="e">
        <f ca="1">_xll.BDH($C$303,"GEO_GROW_OPER_INC","FQ3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26" s="1" t="e">
        <f ca="1">_xll.BDH($C$303,"NET_INCOME_TO_COMMON_5_YR_GROWTH","FQ3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26" s="1" t="e">
        <f ca="1">_xll.BDH($C$303,"5Y_GEO_GROWTH_DILUTED_EPS","FQ3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26" s="1" t="e">
        <f ca="1">_xll.BDH($C$303,"GEO_GROW_DVD_PER_SH","FQ3 2018","FQ3 2018","Currency=INR","Period=FQ","BEST_FPERIOD_OVERRIDE=FQ","FILING_STATUS=OR","EQY_CONSOLIDATED=Y","Sort=A","Dates=H","DateFormat=P","Fill=—","Direction=H","UseDPDF=Y")</f>
        <v>#NAME?</v>
      </c>
      <c r="AS326" s="1" t="e">
        <f ca="1">_xll.BDH($C$303,"ACCOUNTS_RECEIVABLE_5_YR_GROWTH","FQ3 2018","FQ3 2018","Currency=INR","Period=FQ","BEST_FPERIOD_OVERRIDE=FQ","FILING_STATUS=OR","EQY_CONSOLIDATED=Y","Sort=A","Dates=H","DateFormat=P","Fill=—","Direction=H","UseDPDF=Y")</f>
        <v>#NAME?</v>
      </c>
      <c r="AT326" s="1" t="e">
        <f ca="1">_xll.BDH($C$303,"INVENTORY_5_YEAR_GROWTH","FQ3 2018","FQ3 2018","Currency=INR","Period=FQ","BEST_FPERIOD_OVERRIDE=FQ","FILING_STATUS=OR","EQY_CONSOLIDATED=Y","Sort=A","Dates=H","DateFormat=P","Fill=—","Direction=H","UseDPDF=Y")</f>
        <v>#NAME?</v>
      </c>
      <c r="AU326" s="1" t="e">
        <f ca="1">_xll.BDH($C$303,"NET_FIXED_ASSETS_5_YEAR_GROWTH","FQ3 2018","FQ3 2018","Currency=INR","Period=FQ","BEST_FPERIOD_OVERRIDE=FQ","FILING_STATUS=OR","EQY_CONSOLIDATED=Y","Sort=A","Dates=H","DateFormat=P","Fill=—","Direction=H","UseDPDF=Y")</f>
        <v>#NAME?</v>
      </c>
      <c r="AV326" s="1" t="e">
        <f ca="1">_xll.BDH($C$303,"GEO_GROW_TOT_ASSET","FQ3 2018","FQ3 2018","Currency=INR","Period=FQ","BEST_FPERIOD_OVERRIDE=FQ","FILING_STATUS=OR","EQY_CONSOLIDATED=Y","Sort=A","Dates=H","DateFormat=P","Fill=—","Direction=H","UseDPDF=Y")</f>
        <v>#NAME?</v>
      </c>
      <c r="AW326" s="1" t="e">
        <f ca="1">_xll.BDH($C$303,"MODIFIED_WORKING_CPTL_5YR_GRWTH","FQ3 2018","FQ3 2018","Currency=INR","Period=FQ","BEST_FPERIOD_OVERRIDE=FQ","FILING_STATUS=OR","EQY_CONSOLIDATED=Y","Sort=A","Dates=H","DateFormat=P","Fill=—","Direction=H","UseDPDF=Y")</f>
        <v>#NAME?</v>
      </c>
      <c r="AX326" s="1" t="e">
        <f ca="1">_xll.BDH($C$303,"WORKING_CAPITAL_5_YEAR_GROWTH","FQ3 2018","FQ3 2018","Currency=INR","Period=FQ","BEST_FPERIOD_OVERRIDE=FQ","FILING_STATUS=OR","EQY_CONSOLIDATED=Y","Sort=A","Dates=H","DateFormat=P","Fill=—","Direction=H","UseDPDF=Y")</f>
        <v>#NAME?</v>
      </c>
      <c r="AY326" s="1" t="e">
        <f ca="1">_xll.BDH($C$303,"ACCOUNTS_PAYABLE_5_YEAR_GROWTH","FQ3 2018","FQ3 2018","Currency=INR","Period=FQ","BEST_FPERIOD_OVERRIDE=FQ","FILING_STATUS=OR","EQY_CONSOLIDATED=Y","Sort=A","Dates=H","DateFormat=P","Fill=—","Direction=H","UseDPDF=Y")</f>
        <v>#NAME?</v>
      </c>
      <c r="AZ326" s="1" t="e">
        <f ca="1">_xll.BDH($C$303,"SHORT_TERM_DEBT_5_YEAR_GROWTH","FQ3 2018","FQ3 2018","Currency=INR","Period=FQ","BEST_FPERIOD_OVERRIDE=FQ","FILING_STATUS=OR","EQY_CONSOLIDATED=Y","Sort=A","Dates=H","DateFormat=P","Fill=—","Direction=H","UseDPDF=Y")</f>
        <v>#NAME?</v>
      </c>
      <c r="BA326" s="1" t="e">
        <f ca="1">_xll.BDH($C$303,"TOTAL_DEBT_5_YEAR_GROWTH","FQ3 2018","FQ3 2018","Currency=INR","Period=FQ","BEST_FPERIOD_OVERRIDE=FQ","FILING_STATUS=OR","EQY_CONSOLIDATED=Y","Sort=A","Dates=H","DateFormat=P","Fill=—","Direction=H","UseDPDF=Y")</f>
        <v>#NAME?</v>
      </c>
      <c r="BB326" s="1" t="e">
        <f ca="1">_xll.BDH($C$303,"GEO_GROW_TOT_SHRHLDR_EQY","FQ3 2018","FQ3 2018","Currency=INR","Period=FQ","BEST_FPERIOD_OVERRIDE=FQ","FILING_STATUS=OR","EQY_CONSOLIDATED=Y","Sort=A","Dates=H","DateFormat=P","Fill=—","Direction=H","UseDPDF=Y")</f>
        <v>#NAME?</v>
      </c>
      <c r="BC326" s="1" t="e">
        <f ca="1">_xll.BDH($C$303,"TOTAL_CAPITAL_5_YEAR_GROWTH","FQ3 2018","FQ3 2018","Currency=INR","Period=FQ","BEST_FPERIOD_OVERRIDE=FQ","FILING_STATUS=OR","EQY_CONSOLIDATED=Y","Sort=A","Dates=H","DateFormat=P","Fill=—","Direction=H","UseDPDF=Y")</f>
        <v>#NAME?</v>
      </c>
      <c r="BD326" s="1" t="e">
        <f ca="1">_xll.BDH($C$303,"GEO_GROW_BOOK_VAL","FQ3 2018","FQ3 2018","Currency=INR","Period=FQ","BEST_FPERIOD_OVERRIDE=FQ","FILING_STATUS=OR","EQY_CONSOLIDATED=Y","Sort=A","Dates=H","DateFormat=P","Fill=—","Direction=H","UseDPDF=Y")</f>
        <v>#NAME?</v>
      </c>
      <c r="BE326" s="1" t="e">
        <f ca="1">_xll.BDH($C$303,"GEO_GROW_CASH_OPER_ACT","FQ3 2018","FQ3 2018","Currency=INR","Period=FQ","BEST_FPERIOD_OVERRIDE=FQ","FILING_STATUS=OR","EQY_CONSOLIDATED=Y","Sort=A","Dates=H","DateFormat=P","Fill=—","Direction=H","UseDPDF=Y")</f>
        <v>#NAME?</v>
      </c>
      <c r="BF326" s="1" t="e">
        <f ca="1">_xll.BDH($C$303,"REVENUE_SEQUENTIAL_GROWTH","FQ3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26" s="1" t="e">
        <f ca="1">_xll.BDH($C$303,"EBITDA_SEQUENTIAL_GROWTH","FQ3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26" s="1" t="e">
        <f ca="1">_xll.BDH($C$303,"OPERATING_INCOME_SEQ_GROWTH","FQ3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26" s="1" t="e">
        <f ca="1">_xll.BDH($C$303,"NET_INCOME_TO_COMMON_SEQ_GROWTH","FQ3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26" s="1" t="e">
        <f ca="1">_xll.BDH($C$303,"EPS_DILUTED_SEQUENTIAL_GROWTH","FQ3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26" s="1" t="e">
        <f ca="1">_xll.BDH($C$303,"DPS_SEQUENTIAL_GROWTH","FQ3 2018","FQ3 2018","Currency=INR","Period=FQ","BEST_FPERIOD_OVERRIDE=FQ","FILING_STATUS=OR","EQY_CONSOLIDATED=Y","Sort=A","Dates=H","DateFormat=P","Fill=—","Direction=H","UseDPDF=Y")</f>
        <v>#NAME?</v>
      </c>
      <c r="BL326" s="1" t="e">
        <f ca="1">_xll.BDH($C$303,"ACCOUNTS_RECEIVABLE_SEQ_GROWTH","FQ3 2018","FQ3 2018","Currency=INR","Period=FQ","BEST_FPERIOD_OVERRIDE=FQ","FILING_STATUS=OR","EQY_CONSOLIDATED=Y","Sort=A","Dates=H","DateFormat=P","Fill=—","Direction=H","UseDPDF=Y")</f>
        <v>#NAME?</v>
      </c>
      <c r="BM326" s="1" t="e">
        <f ca="1">_xll.BDH($C$303,"INVENTORY_SEQUENTIAL_GROWTH","FQ3 2018","FQ3 2018","Currency=INR","Period=FQ","BEST_FPERIOD_OVERRIDE=FQ","FILING_STATUS=OR","EQY_CONSOLIDATED=Y","Sort=A","Dates=H","DateFormat=P","Fill=—","Direction=H","UseDPDF=Y")</f>
        <v>#NAME?</v>
      </c>
      <c r="BN326" s="1" t="e">
        <f ca="1">_xll.BDH($C$303,"FIXED_ASSETS_SEQUENTIAL_GROWTH","FQ3 2018","FQ3 2018","Currency=INR","Period=FQ","BEST_FPERIOD_OVERRIDE=FQ","FILING_STATUS=OR","EQY_CONSOLIDATED=Y","Sort=A","Dates=H","DateFormat=P","Fill=—","Direction=H","UseDPDF=Y")</f>
        <v>#NAME?</v>
      </c>
      <c r="BO326" s="1" t="e">
        <f ca="1">_xll.BDH($C$303,"TOTAL_ASSETS_SEQUENTIAL_GROWTH","FQ3 2018","FQ3 2018","Currency=INR","Period=FQ","BEST_FPERIOD_OVERRIDE=FQ","FILING_STATUS=OR","EQY_CONSOLIDATED=Y","Sort=A","Dates=H","DateFormat=P","Fill=—","Direction=H","UseDPDF=Y")</f>
        <v>#NAME?</v>
      </c>
      <c r="BP326" s="1" t="e">
        <f ca="1">_xll.BDH($C$303,"MODIFIED_WORKING_CPTL_SEQ_GRWTH","FQ3 2018","FQ3 2018","Currency=INR","Period=FQ","BEST_FPERIOD_OVERRIDE=FQ","FILING_STATUS=OR","EQY_CONSOLIDATED=Y","Sort=A","Dates=H","DateFormat=P","Fill=—","Direction=H","UseDPDF=Y")</f>
        <v>#NAME?</v>
      </c>
      <c r="BQ326" s="1" t="e">
        <f ca="1">_xll.BDH($C$303,"WORKING_CAPITAL_SEQ_GROWTH","FQ3 2018","FQ3 2018","Currency=INR","Period=FQ","BEST_FPERIOD_OVERRIDE=FQ","FILING_STATUS=OR","EQY_CONSOLIDATED=Y","Sort=A","Dates=H","DateFormat=P","Fill=—","Direction=H","UseDPDF=Y")</f>
        <v>#NAME?</v>
      </c>
      <c r="BR326" s="1" t="e">
        <f ca="1">_xll.BDH($C$303,"ACCOUNTS_PAYABLE_SEQ_GROWTH","FQ3 2018","FQ3 2018","Currency=INR","Period=FQ","BEST_FPERIOD_OVERRIDE=FQ","FILING_STATUS=OR","EQY_CONSOLIDATED=Y","Sort=A","Dates=H","DateFormat=P","Fill=—","Direction=H","UseDPDF=Y")</f>
        <v>#NAME?</v>
      </c>
      <c r="BS326" s="1" t="e">
        <f ca="1">_xll.BDH($C$303,"ST_DEBT_SEQUENTIAL_GROWTH","FQ3 2018","FQ3 2018","Currency=INR","Period=FQ","BEST_FPERIOD_OVERRIDE=FQ","FILING_STATUS=OR","EQY_CONSOLIDATED=Y","Sort=A","Dates=H","DateFormat=P","Fill=—","Direction=H","UseDPDF=Y")</f>
        <v>#NAME?</v>
      </c>
      <c r="BT326" s="1" t="e">
        <f ca="1">_xll.BDH($C$303,"TOTAL_DEBT_SEQUENTIAL_GROWTH","FQ3 2018","FQ3 2018","Currency=INR","Period=FQ","BEST_FPERIOD_OVERRIDE=FQ","FILING_STATUS=OR","EQY_CONSOLIDATED=Y","Sort=A","Dates=H","DateFormat=P","Fill=—","Direction=H","UseDPDF=Y")</f>
        <v>#NAME?</v>
      </c>
      <c r="BU326" s="1" t="e">
        <f ca="1">_xll.BDH($C$303,"TOTAL_EQUITY_SEQUENTIAL_GROWTH","FQ3 2018","FQ3 2018","Currency=INR","Period=FQ","BEST_FPERIOD_OVERRIDE=FQ","FILING_STATUS=OR","EQY_CONSOLIDATED=Y","Sort=A","Dates=H","DateFormat=P","Fill=—","Direction=H","UseDPDF=Y")</f>
        <v>#NAME?</v>
      </c>
      <c r="BV326" s="1" t="e">
        <f ca="1">_xll.BDH($C$303,"TOTAL_CAPITAL_SEQUENTIAL_GROWTH","FQ3 2018","FQ3 2018","Currency=INR","Period=FQ","BEST_FPERIOD_OVERRIDE=FQ","FILING_STATUS=OR","EQY_CONSOLIDATED=Y","Sort=A","Dates=H","DateFormat=P","Fill=—","Direction=H","UseDPDF=Y")</f>
        <v>#NAME?</v>
      </c>
      <c r="BW326" s="1" t="e">
        <f ca="1">_xll.BDH($C$303,"BPS_SEQUENTIAL_GROWTH","FQ3 2018","FQ3 2018","Currency=INR","Period=FQ","BEST_FPERIOD_OVERRIDE=FQ","FILING_STATUS=OR","EQY_CONSOLIDATED=Y","Sort=A","Dates=H","DateFormat=P","Fill=—","Direction=H","UseDPDF=Y")</f>
        <v>#NAME?</v>
      </c>
      <c r="BX326" s="1" t="e">
        <f ca="1">_xll.BDH($C$303,"CFO_SEQUENTIAL_GROWTH","FQ3 2018","FQ3 2018","Currency=INR","Period=FQ","BEST_FPERIOD_OVERRIDE=FQ","FILING_STATUS=OR","EQY_CONSOLIDATED=Y","Sort=A","Dates=H","DateFormat=P","Fill=—","Direction=H","UseDPDF=Y")</f>
        <v>#NAME?</v>
      </c>
      <c r="BY326" s="2" t="e">
        <f ca="1">_xll.BDH($C$303,"SHORT_AND_LONG_TERM_DEBT","FQ3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26" s="2" t="e">
        <f ca="1">_xll.BDH($C$303,"BS_ST_BORROW","FQ3 2018","FQ3 2018","Currency=INR","Period=FQ","BEST_FPERIOD_OVERRIDE=FQ","FILING_STATUS=OR","EQY_CONSOLIDATED=Y","SCALING_FORMAT=MLN","Sort=A","Dates=H","DateFormat=P","Fill=—","Direction=H","UseDPDF=Y")</f>
        <v>#NAME?</v>
      </c>
      <c r="CA326" s="2" t="e">
        <f ca="1">_xll.BDH($C$303,"BS_LT_BORROW","FQ3 2018","FQ3 2018","Currency=INR","Period=FQ","BEST_FPERIOD_OVERRIDE=FQ","FILING_STATUS=OR","EQY_CONSOLIDATED=Y","SCALING_FORMAT=MLN","Sort=A","Dates=H","DateFormat=P","Fill=—","Direction=H","UseDPDF=Y")</f>
        <v>#NAME?</v>
      </c>
      <c r="CB326" s="1" t="e">
        <f ca="1">_xll.BDH($C$303,"TOT_DEBT_TO_EBITDA","FQ3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26" s="1" t="e">
        <f ca="1">_xll.BDH($C$303,"NET_DEBT_TO_EBITDA","FQ3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26" s="1" t="e">
        <f ca="1">_xll.BDH($C$303,"TOTAL_DEBT_TO_EBIT","FQ3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26" s="1" t="e">
        <f ca="1">_xll.BDH($C$303,"NET_DEBT_TO_EBIT","FQ3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326" s="1" t="e">
        <f ca="1">_xll.BDH($C$303,"EBITDA_TO_INTEREST_EXPN","FQ3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26" s="1" t="e">
        <f ca="1">_xll.BDH($C$303,"COM_EQY_TO_TOT_ASSET","FQ3 2018","FQ3 2018","Currency=INR","Period=FQ","BEST_FPERIOD_OVERRIDE=FQ","FILING_STATUS=OR","EQY_CONSOLIDATED=Y","Sort=A","Dates=H","DateFormat=P","Fill=—","Direction=H","UseDPDF=Y")</f>
        <v>#NAME?</v>
      </c>
      <c r="CH326" s="1" t="e">
        <f ca="1">_xll.BDH($C$303,"LT_DEBT_TO_TOT_EQY","FQ3 2018","FQ3 2018","Currency=INR","Period=FQ","BEST_FPERIOD_OVERRIDE=FQ","FILING_STATUS=OR","EQY_CONSOLIDATED=Y","Sort=A","Dates=H","DateFormat=P","Fill=—","Direction=H","UseDPDF=Y")</f>
        <v>#NAME?</v>
      </c>
      <c r="CI326" s="1" t="e">
        <f ca="1">_xll.BDH($C$303,"LT_DEBT_TO_TOT_CAP","FQ3 2018","FQ3 2018","Currency=INR","Period=FQ","BEST_FPERIOD_OVERRIDE=FQ","FILING_STATUS=OR","EQY_CONSOLIDATED=Y","Sort=A","Dates=H","DateFormat=P","Fill=—","Direction=H","UseDPDF=Y")</f>
        <v>#NAME?</v>
      </c>
      <c r="CJ326" s="1" t="e">
        <f ca="1">_xll.BDH($C$303,"LT_DEBT_TO_TOT_ASSET","FQ3 2018","FQ3 2018","Currency=INR","Period=FQ","BEST_FPERIOD_OVERRIDE=FQ","FILING_STATUS=OR","EQY_CONSOLIDATED=Y","Sort=A","Dates=H","DateFormat=P","Fill=—","Direction=H","UseDPDF=Y")</f>
        <v>#NAME?</v>
      </c>
      <c r="CK326" s="1" t="e">
        <f ca="1">_xll.BDH($C$303,"TOT_DEBT_TO_TOT_EQY","FQ3 2018","FQ3 2018","Currency=INR","Period=FQ","BEST_FPERIOD_OVERRIDE=FQ","FILING_STATUS=OR","EQY_CONSOLIDATED=Y","Sort=A","Dates=H","DateFormat=P","Fill=—","Direction=H","UseDPDF=Y")</f>
        <v>#NAME?</v>
      </c>
      <c r="CL326" s="1" t="e">
        <f ca="1">_xll.BDH($C$303,"TOT_DEBT_TO_TOT_CAP","FQ3 2018","FQ3 2018","Currency=INR","Period=FQ","BEST_FPERIOD_OVERRIDE=FQ","FILING_STATUS=OR","EQY_CONSOLIDATED=Y","Sort=A","Dates=H","DateFormat=P","Fill=—","Direction=H","UseDPDF=Y")</f>
        <v>#NAME?</v>
      </c>
      <c r="CM326" s="1" t="e">
        <f ca="1">_xll.BDH($C$303,"TOT_DEBT_TO_TOT_ASSET","FQ3 2018","FQ3 2018","Currency=INR","Period=FQ","BEST_FPERIOD_OVERRIDE=FQ","FILING_STATUS=OR","EQY_CONSOLIDATED=Y","Sort=A","Dates=H","DateFormat=P","Fill=—","Direction=H","UseDPDF=Y")</f>
        <v>#NAME?</v>
      </c>
      <c r="CN326" s="1" t="e">
        <f ca="1">_xll.BDH($C$303,"NET_DEBT_TO_SHRHLDR_EQTY","FQ3 2018","FQ3 2018","Currency=INR","Period=FQ","BEST_FPERIOD_OVERRIDE=FQ","FILING_STATUS=OR","EQY_CONSOLIDATED=Y","Sort=A","Dates=H","DateFormat=P","Fill=—","Direction=H","UseDPDF=Y")</f>
        <v>#NAME?</v>
      </c>
      <c r="CO326" s="1" t="e">
        <f ca="1">_xll.BDH($C$303,"NET_DEBT_%_CAPITAL","FQ3 2018","FQ3 2018","Currency=INR","Period=FQ","BEST_FPERIOD_OVERRIDE=FQ","FILING_STATUS=OR","EQY_CONSOLIDATED=Y","Sort=A","Dates=H","DateFormat=P","Fill=—","Direction=H","UseDPDF=Y")</f>
        <v>#NAME?</v>
      </c>
      <c r="CP326" s="2" t="e">
        <f ca="1">_xll.BDH($C$303,"EBITDA","FQ3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26" s="2" t="e">
        <f ca="1">_xll.BDH($C$303,"EBITDA_AFTER_CAPEX","FQ3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26" s="2" t="e">
        <f ca="1">_xll.BDH($C$303,"IS_OPER_INC","FQ3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26" s="1" t="e">
        <f ca="1">_xll.BDH($C$303,"CASH_RATIO","FQ3 2018","FQ3 2018","Currency=INR","Period=FQ","BEST_FPERIOD_OVERRIDE=FQ","FILING_STATUS=OR","EQY_CONSOLIDATED=Y","Sort=A","Dates=H","DateFormat=P","Fill=—","Direction=H","UseDPDF=Y")</f>
        <v>#NAME?</v>
      </c>
      <c r="CT326" s="1" t="e">
        <f ca="1">_xll.BDH($C$303,"CUR_RATIO","FQ3 2018","FQ3 2018","Currency=INR","Period=FQ","BEST_FPERIOD_OVERRIDE=FQ","FILING_STATUS=OR","EQY_CONSOLIDATED=Y","Sort=A","Dates=H","DateFormat=P","Fill=—","Direction=H","UseDPDF=Y")</f>
        <v>#NAME?</v>
      </c>
      <c r="CU326" s="1" t="e">
        <f ca="1">_xll.BDH($C$303,"QUICK_RATIO","FQ3 2018","FQ3 2018","Currency=INR","Period=FQ","BEST_FPERIOD_OVERRIDE=FQ","FILING_STATUS=OR","EQY_CONSOLIDATED=Y","Sort=A","Dates=H","DateFormat=P","Fill=—","Direction=H","UseDPDF=Y")</f>
        <v>#NAME?</v>
      </c>
      <c r="CV326" s="1" t="e">
        <f ca="1">_xll.BDH($C$303,"ALTMAN_Z_SCORE","FQ3 2018","FQ3 2018","Currency=INR","Period=FQ","BEST_FPERIOD_OVERRIDE=FQ","FILING_STATUS=OR","EQY_CONSOLIDATED=Y","Sort=A","Dates=H","DateFormat=P","Fill=—","Direction=H","UseDPDF=Y")</f>
        <v>#NAME?</v>
      </c>
      <c r="CW326" s="3" t="e">
        <f ca="1">_xll.BDH($C$303,"ACCT_RCV_TURN","FQ3 2018","FQ3 2018","Currency=INR","Period=FQ","BEST_FPERIOD_OVERRIDE=FQ","FILING_STATUS=OR","EQY_CONSOLIDATED=Y","FA_ADJUSTED=GAAP","Sort=A","Dates=H","DateFormat=P","Fill=—","Direction=H","UseDPDF=Y")</f>
        <v>#NAME?</v>
      </c>
      <c r="CX326" s="1" t="e">
        <f ca="1">_xll.BDH($C$303,"ACCT_RCV_DAYS","FQ3 2018","FQ3 2018","Currency=INR","Period=FQ","BEST_FPERIOD_OVERRIDE=FQ","FILING_STATUS=OR","EQY_CONSOLIDATED=Y","FA_ADJUSTED=GAAP","Sort=A","Dates=H","DateFormat=P","Fill=—","Direction=H","UseDPDF=Y")</f>
        <v>#NAME?</v>
      </c>
      <c r="CY326" s="3" t="e">
        <f ca="1">_xll.BDH($C$303,"INVENT_TURN","FQ3 2018","FQ3 2018","Currency=INR","Period=FQ","BEST_FPERIOD_OVERRIDE=FQ","FILING_STATUS=OR","EQY_CONSOLIDATED=Y","FA_ADJUSTED=GAAP","Sort=A","Dates=H","DateFormat=P","Fill=—","Direction=H","UseDPDF=Y")</f>
        <v>#NAME?</v>
      </c>
      <c r="CZ326" s="1" t="e">
        <f ca="1">_xll.BDH($C$303,"INVENT_DAYS","FQ3 2018","FQ3 2018","Currency=INR","Period=FQ","BEST_FPERIOD_OVERRIDE=FQ","FILING_STATUS=OR","EQY_CONSOLIDATED=Y","FA_ADJUSTED=GAAP","Sort=A","Dates=H","DateFormat=P","Fill=—","Direction=H","UseDPDF=Y")</f>
        <v>#NAME?</v>
      </c>
      <c r="DA326" s="3" t="e">
        <f ca="1">_xll.BDH($C$303,"ACCOUNTS_PAYABLE_TURNOVER","FQ3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26" s="1" t="e">
        <f ca="1">_xll.BDH($C$303,"ACCOUNTS_PAYABLE_TURNOVER_DAYS","FQ3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26" s="3" t="e">
        <f ca="1">_xll.BDH($C$303,"CASH_CONVERSION_CYCLE","FQ3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26" s="3" t="e">
        <f ca="1">_xll.BDH($C$303,"INV_TO_CASH_DAYS","FQ3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326" s="4" t="e">
        <f ca="1">_xll.BDH($C$303,"BS_INVENTORIES","FQ3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326" s="2" t="e">
        <f ca="1">_xll.BDH($C$303,"INVTRY_RAW_MATERIALS","FQ3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26" s="2" t="e">
        <f ca="1">_xll.BDH($C$303,"INVTRY_IN_PROGRESS","FQ3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26" s="2" t="e">
        <f ca="1">_xll.BDH($C$303,"INVTRY_FINISHED_GOODS","FQ3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26" s="2" t="e">
        <f ca="1">_xll.BDH($C$303,"BS_OTHER_INV","FQ3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27" spans="1:113" x14ac:dyDescent="0.3">
      <c r="A327" s="6"/>
      <c r="B327" s="6"/>
      <c r="C327" s="6"/>
      <c r="D327" s="6"/>
      <c r="E327" t="s">
        <v>7</v>
      </c>
      <c r="F327" t="e">
        <f ca="1">_xll.BDH($C$303,"RETURN_COM_EQY","FQ4 2018","FQ4 2018","Currency=INR","Period=FQ","BEST_FPERIOD_OVERRIDE=FQ","FILING_STATUS=OR","EQY_CONSOLIDATED=Y","FA_ADJUSTED=GAAP","Sort=A","Dates=H","DateFormat=P","Fill=—","Direction=H","UseDPDF=Y")</f>
        <v>#NAME?</v>
      </c>
      <c r="G327" t="e">
        <f ca="1">_xll.BDH($C$303,"RETURN_ON_ASSET","FQ4 2018","FQ4 2018","Currency=INR","Period=FQ","BEST_FPERIOD_OVERRIDE=FQ","FILING_STATUS=OR","EQY_CONSOLIDATED=Y","FA_ADJUSTED=GAAP","Sort=A","Dates=H","DateFormat=P","Fill=—","Direction=H","UseDPDF=Y")</f>
        <v>#NAME?</v>
      </c>
      <c r="H327" t="e">
        <f ca="1">_xll.BDH($C$303,"RETURN_ON_CAP","FQ4 2018","FQ4 2018","Currency=INR","Period=FQ","BEST_FPERIOD_OVERRIDE=FQ","FILING_STATUS=OR","EQY_CONSOLIDATED=Y","FA_ADJUSTED=GAAP","Sort=A","Dates=H","DateFormat=P","Fill=—","Direction=H","UseDPDF=Y")</f>
        <v>#NAME?</v>
      </c>
      <c r="I327" t="e">
        <f ca="1">_xll.BDH($C$303,"RETURN_ON_INV_CAPITAL","FQ4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27" t="e">
        <f ca="1">_xll.BDH($C$303,"EBITDA_TO_REVENUE","FQ4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327" t="e">
        <f ca="1">_xll.BDH($C$303,"OPER_MARGIN","FQ4 2018","FQ4 2018","Currency=INR","Period=FQ","BEST_FPERIOD_OVERRIDE=FQ","FILING_STATUS=OR","EQY_CONSOLIDATED=Y","FA_ADJUSTED=GAAP","Sort=A","Dates=H","DateFormat=P","Fill=—","Direction=H","UseDPDF=Y")</f>
        <v>#NAME?</v>
      </c>
      <c r="L327" t="e">
        <f ca="1">_xll.BDH($C$303,"INCREMENTAL_OPERATING_MARGIN","FQ4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27" t="e">
        <f ca="1">_xll.BDH($C$303,"PRETAX_INC_TO_NET_SALES","FQ4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27" t="e">
        <f ca="1">_xll.BDH($C$303,"INC_BEF_XO_ITEMS_TO_NET_SALES","FQ4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27" t="e">
        <f ca="1">_xll.BDH($C$303,"PROF_MARGIN","FQ4 2018","FQ4 2018","Currency=INR","Period=FQ","BEST_FPERIOD_OVERRIDE=FQ","FILING_STATUS=OR","EQY_CONSOLIDATED=Y","FA_ADJUSTED=GAAP","Sort=A","Dates=H","DateFormat=P","Fill=—","Direction=H","UseDPDF=Y")</f>
        <v>#NAME?</v>
      </c>
      <c r="P327" t="e">
        <f ca="1">_xll.BDH($C$303,"NET_INCOME_TO_COMMON_MARGIN","FQ4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27" t="e">
        <f ca="1">_xll.BDH($C$303,"EFF_TAX_RATE","FQ4 2018","FQ4 2018","Currency=INR","Period=FQ","BEST_FPERIOD_OVERRIDE=FQ","FILING_STATUS=OR","EQY_CONSOLIDATED=Y","FA_ADJUSTED=GAAP","Sort=A","Dates=H","DateFormat=P","Fill=—","Direction=H","UseDPDF=Y")</f>
        <v>#NAME?</v>
      </c>
      <c r="R327" t="e">
        <f ca="1">_xll.BDH($C$303,"DVD_PAYOUT_RATIO","FQ4 2018","FQ4 2018","Currency=INR","Period=FQ","BEST_FPERIOD_OVERRIDE=FQ","FILING_STATUS=OR","EQY_CONSOLIDATED=Y","FA_ADJUSTED=GAAP","Sort=A","Dates=H","DateFormat=P","Fill=—","Direction=H","UseDPDF=Y")</f>
        <v>#NAME?</v>
      </c>
      <c r="S327" t="e">
        <f ca="1">_xll.BDH($C$303,"SUSTAIN_GROWTH_RT","FQ4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327" s="1" t="e">
        <f ca="1">_xll.BDH($C$303,"SALES_GROWTH","FQ4 2018","FQ4 2018","Currency=INR","Period=FQ","BEST_FPERIOD_OVERRIDE=FQ","FILING_STATUS=OR","EQY_CONSOLIDATED=Y","FA_ADJUSTED=GAAP","Sort=A","Dates=H","DateFormat=P","Fill=—","Direction=H","UseDPDF=Y")</f>
        <v>#NAME?</v>
      </c>
      <c r="U327" s="1" t="e">
        <f ca="1">_xll.BDH($C$303,"EBITDA_GROWTH","FQ4 2018","FQ4 2018","Currency=INR","Period=FQ","BEST_FPERIOD_OVERRIDE=FQ","FILING_STATUS=OR","EQY_CONSOLIDATED=Y","FA_ADJUSTED=GAAP","Sort=A","Dates=H","DateFormat=P","Fill=—","Direction=H","UseDPDF=Y")</f>
        <v>#NAME?</v>
      </c>
      <c r="V327" s="1" t="e">
        <f ca="1">_xll.BDH($C$303,"OPER_INC_GROWTH","FQ4 2018","FQ4 2018","Currency=INR","Period=FQ","BEST_FPERIOD_OVERRIDE=FQ","FILING_STATUS=OR","EQY_CONSOLIDATED=Y","FA_ADJUSTED=GAAP","Sort=A","Dates=H","DateFormat=P","Fill=—","Direction=H","UseDPDF=Y")</f>
        <v>#NAME?</v>
      </c>
      <c r="W327" s="1" t="e">
        <f ca="1">_xll.BDH($C$303,"EARN_FOR_COM_GROWTH","FQ4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27" s="1" t="e">
        <f ca="1">_xll.BDH($C$303,"DILUTED_EPS_AFT_XO_ITEMS_GROWTH","FQ4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27" s="1" t="e">
        <f ca="1">_xll.BDH($C$303,"DIVIDEND_PER_SHARE_1_YEAR_GROWTH","FQ4 2018","FQ4 2018","Currency=INR","Period=FQ","BEST_FPERIOD_OVERRIDE=FQ","FILING_STATUS=OR","EQY_CONSOLIDATED=Y","Sort=A","Dates=H","DateFormat=P","Fill=—","Direction=H","UseDPDF=Y")</f>
        <v>#NAME?</v>
      </c>
      <c r="Z327" s="1" t="e">
        <f ca="1">_xll.BDH($C$303,"ACCOUNTS_RECEIVABLE_GROWTH","FQ4 2018","FQ4 2018","Currency=INR","Period=FQ","BEST_FPERIOD_OVERRIDE=FQ","FILING_STATUS=OR","EQY_CONSOLIDATED=Y","Sort=A","Dates=H","DateFormat=P","Fill=—","Direction=H","UseDPDF=Y")</f>
        <v>#NAME?</v>
      </c>
      <c r="AA327" s="1" t="e">
        <f ca="1">_xll.BDH($C$303,"INVENTORY_GROWTH","FQ4 2018","FQ4 2018","Currency=INR","Period=FQ","BEST_FPERIOD_OVERRIDE=FQ","FILING_STATUS=OR","EQY_CONSOLIDATED=Y","Sort=A","Dates=H","DateFormat=P","Fill=—","Direction=H","UseDPDF=Y")</f>
        <v>#NAME?</v>
      </c>
      <c r="AB327" s="1" t="e">
        <f ca="1">_xll.BDH($C$303,"NET_FIXED_ASSETS_1_YEAR_GROWTH","FQ4 2018","FQ4 2018","Currency=INR","Period=FQ","BEST_FPERIOD_OVERRIDE=FQ","FILING_STATUS=OR","EQY_CONSOLIDATED=Y","Sort=A","Dates=H","DateFormat=P","Fill=—","Direction=H","UseDPDF=Y")</f>
        <v>#NAME?</v>
      </c>
      <c r="AC327" s="1" t="e">
        <f ca="1">_xll.BDH($C$303,"ASSET_GROWTH","FQ4 2018","FQ4 2018","Currency=INR","Period=FQ","BEST_FPERIOD_OVERRIDE=FQ","FILING_STATUS=OR","EQY_CONSOLIDATED=Y","Sort=A","Dates=H","DateFormat=P","Fill=—","Direction=H","UseDPDF=Y")</f>
        <v>#NAME?</v>
      </c>
      <c r="AD327" s="1" t="e">
        <f ca="1">_xll.BDH($C$303,"MODIFIED_WORK_CAP_GROWTH","FQ4 2018","FQ4 2018","Currency=INR","Period=FQ","BEST_FPERIOD_OVERRIDE=FQ","FILING_STATUS=OR","EQY_CONSOLIDATED=Y","Sort=A","Dates=H","DateFormat=P","Fill=—","Direction=H","UseDPDF=Y")</f>
        <v>#NAME?</v>
      </c>
      <c r="AE327" s="1" t="e">
        <f ca="1">_xll.BDH($C$303,"WORK_CAP_GROWTH","FQ4 2018","FQ4 2018","Currency=INR","Period=FQ","BEST_FPERIOD_OVERRIDE=FQ","FILING_STATUS=OR","EQY_CONSOLIDATED=Y","Sort=A","Dates=H","DateFormat=P","Fill=—","Direction=H","UseDPDF=Y")</f>
        <v>#NAME?</v>
      </c>
      <c r="AF327" s="1" t="e">
        <f ca="1">_xll.BDH($C$303,"ACCOUNTS_PAYABLE_GROWTH_1YR","FQ4 2018","FQ4 2018","Currency=INR","Period=FQ","BEST_FPERIOD_OVERRIDE=FQ","FILING_STATUS=OR","EQY_CONSOLIDATED=Y","Sort=A","Dates=H","DateFormat=P","Fill=—","Direction=H","UseDPDF=Y")</f>
        <v>#NAME?</v>
      </c>
      <c r="AG327" s="1" t="e">
        <f ca="1">_xll.BDH($C$303,"SHORT_TERM_DEBT_1_YEAR_GROWTH","FQ4 2018","FQ4 2018","Currency=INR","Period=FQ","BEST_FPERIOD_OVERRIDE=FQ","FILING_STATUS=OR","EQY_CONSOLIDATED=Y","Sort=A","Dates=H","DateFormat=P","Fill=—","Direction=H","UseDPDF=Y")</f>
        <v>#NAME?</v>
      </c>
      <c r="AH327" s="1" t="e">
        <f ca="1">_xll.BDH($C$303,"TOTAL_DEBT_1_YEAR_GROWTH","FQ4 2018","FQ4 2018","Currency=INR","Period=FQ","BEST_FPERIOD_OVERRIDE=FQ","FILING_STATUS=OR","EQY_CONSOLIDATED=Y","Sort=A","Dates=H","DateFormat=P","Fill=—","Direction=H","UseDPDF=Y")</f>
        <v>#NAME?</v>
      </c>
      <c r="AI327" s="1" t="e">
        <f ca="1">_xll.BDH($C$303,"TOTAL_EQUITY_1_YEAR_GROWTH","FQ4 2018","FQ4 2018","Currency=INR","Period=FQ","BEST_FPERIOD_OVERRIDE=FQ","FILING_STATUS=OR","EQY_CONSOLIDATED=Y","Sort=A","Dates=H","DateFormat=P","Fill=—","Direction=H","UseDPDF=Y")</f>
        <v>#NAME?</v>
      </c>
      <c r="AJ327" s="1" t="e">
        <f ca="1">_xll.BDH($C$303,"GROWTH_IN_CAP","FQ4 2018","FQ4 2018","Currency=INR","Period=FQ","BEST_FPERIOD_OVERRIDE=FQ","FILING_STATUS=OR","EQY_CONSOLIDATED=Y","Sort=A","Dates=H","DateFormat=P","Fill=—","Direction=H","UseDPDF=Y")</f>
        <v>#NAME?</v>
      </c>
      <c r="AK327" s="1" t="e">
        <f ca="1">_xll.BDH($C$303,"BVPS_GROWTH","FQ4 2018","FQ4 2018","Currency=INR","Period=FQ","BEST_FPERIOD_OVERRIDE=FQ","FILING_STATUS=OR","EQY_CONSOLIDATED=Y","Sort=A","Dates=H","DateFormat=P","Fill=—","Direction=H","UseDPDF=Y")</f>
        <v>#NAME?</v>
      </c>
      <c r="AL327" s="1" t="e">
        <f ca="1">_xll.BDH($C$303,"CASH_FLOW_GROWTH","FQ4 2018","FQ4 2018","Currency=INR","Period=FQ","BEST_FPERIOD_OVERRIDE=FQ","FILING_STATUS=OR","EQY_CONSOLIDATED=Y","Sort=A","Dates=H","DateFormat=P","Fill=—","Direction=H","UseDPDF=Y")</f>
        <v>#NAME?</v>
      </c>
      <c r="AM327" s="1" t="e">
        <f ca="1">_xll.BDH($C$303,"GEO_GROW_NET_SALES","FQ4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27" s="1" t="e">
        <f ca="1">_xll.BDH($C$303,"GEO_GROW_EBITDA","FQ4 2018","FQ4 2018","Currency=INR","Period=FQ","BEST_FPERIOD_OVERRIDE=FQ","FILING_STATUS=OR","EQY_CONSOLIDATED=Y","FA_ADJUSTED=GAAP","Sort=A","Dates=H","DateFormat=P","Fill=—","Direction=H","UseDPDF=Y")</f>
        <v>#NAME?</v>
      </c>
      <c r="AO327" s="1" t="e">
        <f ca="1">_xll.BDH($C$303,"GEO_GROW_OPER_INC","FQ4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27" s="1" t="e">
        <f ca="1">_xll.BDH($C$303,"NET_INCOME_TO_COMMON_5_YR_GROWTH","FQ4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27" s="1" t="e">
        <f ca="1">_xll.BDH($C$303,"5Y_GEO_GROWTH_DILUTED_EPS","FQ4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27" s="1" t="e">
        <f ca="1">_xll.BDH($C$303,"GEO_GROW_DVD_PER_SH","FQ4 2018","FQ4 2018","Currency=INR","Period=FQ","BEST_FPERIOD_OVERRIDE=FQ","FILING_STATUS=OR","EQY_CONSOLIDATED=Y","Sort=A","Dates=H","DateFormat=P","Fill=—","Direction=H","UseDPDF=Y")</f>
        <v>#NAME?</v>
      </c>
      <c r="AS327" s="1" t="e">
        <f ca="1">_xll.BDH($C$303,"ACCOUNTS_RECEIVABLE_5_YR_GROWTH","FQ4 2018","FQ4 2018","Currency=INR","Period=FQ","BEST_FPERIOD_OVERRIDE=FQ","FILING_STATUS=OR","EQY_CONSOLIDATED=Y","Sort=A","Dates=H","DateFormat=P","Fill=—","Direction=H","UseDPDF=Y")</f>
        <v>#NAME?</v>
      </c>
      <c r="AT327" s="1" t="e">
        <f ca="1">_xll.BDH($C$303,"INVENTORY_5_YEAR_GROWTH","FQ4 2018","FQ4 2018","Currency=INR","Period=FQ","BEST_FPERIOD_OVERRIDE=FQ","FILING_STATUS=OR","EQY_CONSOLIDATED=Y","Sort=A","Dates=H","DateFormat=P","Fill=—","Direction=H","UseDPDF=Y")</f>
        <v>#NAME?</v>
      </c>
      <c r="AU327" s="1" t="e">
        <f ca="1">_xll.BDH($C$303,"NET_FIXED_ASSETS_5_YEAR_GROWTH","FQ4 2018","FQ4 2018","Currency=INR","Period=FQ","BEST_FPERIOD_OVERRIDE=FQ","FILING_STATUS=OR","EQY_CONSOLIDATED=Y","Sort=A","Dates=H","DateFormat=P","Fill=—","Direction=H","UseDPDF=Y")</f>
        <v>#NAME?</v>
      </c>
      <c r="AV327" s="1" t="e">
        <f ca="1">_xll.BDH($C$303,"GEO_GROW_TOT_ASSET","FQ4 2018","FQ4 2018","Currency=INR","Period=FQ","BEST_FPERIOD_OVERRIDE=FQ","FILING_STATUS=OR","EQY_CONSOLIDATED=Y","Sort=A","Dates=H","DateFormat=P","Fill=—","Direction=H","UseDPDF=Y")</f>
        <v>#NAME?</v>
      </c>
      <c r="AW327" s="1" t="e">
        <f ca="1">_xll.BDH($C$303,"MODIFIED_WORKING_CPTL_5YR_GRWTH","FQ4 2018","FQ4 2018","Currency=INR","Period=FQ","BEST_FPERIOD_OVERRIDE=FQ","FILING_STATUS=OR","EQY_CONSOLIDATED=Y","Sort=A","Dates=H","DateFormat=P","Fill=—","Direction=H","UseDPDF=Y")</f>
        <v>#NAME?</v>
      </c>
      <c r="AX327" s="1" t="e">
        <f ca="1">_xll.BDH($C$303,"WORKING_CAPITAL_5_YEAR_GROWTH","FQ4 2018","FQ4 2018","Currency=INR","Period=FQ","BEST_FPERIOD_OVERRIDE=FQ","FILING_STATUS=OR","EQY_CONSOLIDATED=Y","Sort=A","Dates=H","DateFormat=P","Fill=—","Direction=H","UseDPDF=Y")</f>
        <v>#NAME?</v>
      </c>
      <c r="AY327" s="1" t="e">
        <f ca="1">_xll.BDH($C$303,"ACCOUNTS_PAYABLE_5_YEAR_GROWTH","FQ4 2018","FQ4 2018","Currency=INR","Period=FQ","BEST_FPERIOD_OVERRIDE=FQ","FILING_STATUS=OR","EQY_CONSOLIDATED=Y","Sort=A","Dates=H","DateFormat=P","Fill=—","Direction=H","UseDPDF=Y")</f>
        <v>#NAME?</v>
      </c>
      <c r="AZ327" s="1" t="e">
        <f ca="1">_xll.BDH($C$303,"SHORT_TERM_DEBT_5_YEAR_GROWTH","FQ4 2018","FQ4 2018","Currency=INR","Period=FQ","BEST_FPERIOD_OVERRIDE=FQ","FILING_STATUS=OR","EQY_CONSOLIDATED=Y","Sort=A","Dates=H","DateFormat=P","Fill=—","Direction=H","UseDPDF=Y")</f>
        <v>#NAME?</v>
      </c>
      <c r="BA327" s="1" t="e">
        <f ca="1">_xll.BDH($C$303,"TOTAL_DEBT_5_YEAR_GROWTH","FQ4 2018","FQ4 2018","Currency=INR","Period=FQ","BEST_FPERIOD_OVERRIDE=FQ","FILING_STATUS=OR","EQY_CONSOLIDATED=Y","Sort=A","Dates=H","DateFormat=P","Fill=—","Direction=H","UseDPDF=Y")</f>
        <v>#NAME?</v>
      </c>
      <c r="BB327" s="1" t="e">
        <f ca="1">_xll.BDH($C$303,"GEO_GROW_TOT_SHRHLDR_EQY","FQ4 2018","FQ4 2018","Currency=INR","Period=FQ","BEST_FPERIOD_OVERRIDE=FQ","FILING_STATUS=OR","EQY_CONSOLIDATED=Y","Sort=A","Dates=H","DateFormat=P","Fill=—","Direction=H","UseDPDF=Y")</f>
        <v>#NAME?</v>
      </c>
      <c r="BC327" s="1" t="e">
        <f ca="1">_xll.BDH($C$303,"TOTAL_CAPITAL_5_YEAR_GROWTH","FQ4 2018","FQ4 2018","Currency=INR","Period=FQ","BEST_FPERIOD_OVERRIDE=FQ","FILING_STATUS=OR","EQY_CONSOLIDATED=Y","Sort=A","Dates=H","DateFormat=P","Fill=—","Direction=H","UseDPDF=Y")</f>
        <v>#NAME?</v>
      </c>
      <c r="BD327" s="1" t="e">
        <f ca="1">_xll.BDH($C$303,"GEO_GROW_BOOK_VAL","FQ4 2018","FQ4 2018","Currency=INR","Period=FQ","BEST_FPERIOD_OVERRIDE=FQ","FILING_STATUS=OR","EQY_CONSOLIDATED=Y","Sort=A","Dates=H","DateFormat=P","Fill=—","Direction=H","UseDPDF=Y")</f>
        <v>#NAME?</v>
      </c>
      <c r="BE327" s="1" t="e">
        <f ca="1">_xll.BDH($C$303,"GEO_GROW_CASH_OPER_ACT","FQ4 2018","FQ4 2018","Currency=INR","Period=FQ","BEST_FPERIOD_OVERRIDE=FQ","FILING_STATUS=OR","EQY_CONSOLIDATED=Y","Sort=A","Dates=H","DateFormat=P","Fill=—","Direction=H","UseDPDF=Y")</f>
        <v>#NAME?</v>
      </c>
      <c r="BF327" s="1" t="e">
        <f ca="1">_xll.BDH($C$303,"REVENUE_SEQUENTIAL_GROWTH","FQ4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27" s="1" t="e">
        <f ca="1">_xll.BDH($C$303,"EBITDA_SEQUENTIAL_GROWTH","FQ4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27" s="1" t="e">
        <f ca="1">_xll.BDH($C$303,"OPERATING_INCOME_SEQ_GROWTH","FQ4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27" s="1" t="e">
        <f ca="1">_xll.BDH($C$303,"NET_INCOME_TO_COMMON_SEQ_GROWTH","FQ4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27" s="1" t="e">
        <f ca="1">_xll.BDH($C$303,"EPS_DILUTED_SEQUENTIAL_GROWTH","FQ4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27" s="1" t="e">
        <f ca="1">_xll.BDH($C$303,"DPS_SEQUENTIAL_GROWTH","FQ4 2018","FQ4 2018","Currency=INR","Period=FQ","BEST_FPERIOD_OVERRIDE=FQ","FILING_STATUS=OR","EQY_CONSOLIDATED=Y","Sort=A","Dates=H","DateFormat=P","Fill=—","Direction=H","UseDPDF=Y")</f>
        <v>#NAME?</v>
      </c>
      <c r="BL327" s="1" t="e">
        <f ca="1">_xll.BDH($C$303,"ACCOUNTS_RECEIVABLE_SEQ_GROWTH","FQ4 2018","FQ4 2018","Currency=INR","Period=FQ","BEST_FPERIOD_OVERRIDE=FQ","FILING_STATUS=OR","EQY_CONSOLIDATED=Y","Sort=A","Dates=H","DateFormat=P","Fill=—","Direction=H","UseDPDF=Y")</f>
        <v>#NAME?</v>
      </c>
      <c r="BM327" s="1" t="e">
        <f ca="1">_xll.BDH($C$303,"INVENTORY_SEQUENTIAL_GROWTH","FQ4 2018","FQ4 2018","Currency=INR","Period=FQ","BEST_FPERIOD_OVERRIDE=FQ","FILING_STATUS=OR","EQY_CONSOLIDATED=Y","Sort=A","Dates=H","DateFormat=P","Fill=—","Direction=H","UseDPDF=Y")</f>
        <v>#NAME?</v>
      </c>
      <c r="BN327" s="1" t="e">
        <f ca="1">_xll.BDH($C$303,"FIXED_ASSETS_SEQUENTIAL_GROWTH","FQ4 2018","FQ4 2018","Currency=INR","Period=FQ","BEST_FPERIOD_OVERRIDE=FQ","FILING_STATUS=OR","EQY_CONSOLIDATED=Y","Sort=A","Dates=H","DateFormat=P","Fill=—","Direction=H","UseDPDF=Y")</f>
        <v>#NAME?</v>
      </c>
      <c r="BO327" s="1" t="e">
        <f ca="1">_xll.BDH($C$303,"TOTAL_ASSETS_SEQUENTIAL_GROWTH","FQ4 2018","FQ4 2018","Currency=INR","Period=FQ","BEST_FPERIOD_OVERRIDE=FQ","FILING_STATUS=OR","EQY_CONSOLIDATED=Y","Sort=A","Dates=H","DateFormat=P","Fill=—","Direction=H","UseDPDF=Y")</f>
        <v>#NAME?</v>
      </c>
      <c r="BP327" s="1" t="e">
        <f ca="1">_xll.BDH($C$303,"MODIFIED_WORKING_CPTL_SEQ_GRWTH","FQ4 2018","FQ4 2018","Currency=INR","Period=FQ","BEST_FPERIOD_OVERRIDE=FQ","FILING_STATUS=OR","EQY_CONSOLIDATED=Y","Sort=A","Dates=H","DateFormat=P","Fill=—","Direction=H","UseDPDF=Y")</f>
        <v>#NAME?</v>
      </c>
      <c r="BQ327" s="1" t="e">
        <f ca="1">_xll.BDH($C$303,"WORKING_CAPITAL_SEQ_GROWTH","FQ4 2018","FQ4 2018","Currency=INR","Period=FQ","BEST_FPERIOD_OVERRIDE=FQ","FILING_STATUS=OR","EQY_CONSOLIDATED=Y","Sort=A","Dates=H","DateFormat=P","Fill=—","Direction=H","UseDPDF=Y")</f>
        <v>#NAME?</v>
      </c>
      <c r="BR327" s="1" t="e">
        <f ca="1">_xll.BDH($C$303,"ACCOUNTS_PAYABLE_SEQ_GROWTH","FQ4 2018","FQ4 2018","Currency=INR","Period=FQ","BEST_FPERIOD_OVERRIDE=FQ","FILING_STATUS=OR","EQY_CONSOLIDATED=Y","Sort=A","Dates=H","DateFormat=P","Fill=—","Direction=H","UseDPDF=Y")</f>
        <v>#NAME?</v>
      </c>
      <c r="BS327" s="1" t="e">
        <f ca="1">_xll.BDH($C$303,"ST_DEBT_SEQUENTIAL_GROWTH","FQ4 2018","FQ4 2018","Currency=INR","Period=FQ","BEST_FPERIOD_OVERRIDE=FQ","FILING_STATUS=OR","EQY_CONSOLIDATED=Y","Sort=A","Dates=H","DateFormat=P","Fill=—","Direction=H","UseDPDF=Y")</f>
        <v>#NAME?</v>
      </c>
      <c r="BT327" s="1" t="e">
        <f ca="1">_xll.BDH($C$303,"TOTAL_DEBT_SEQUENTIAL_GROWTH","FQ4 2018","FQ4 2018","Currency=INR","Period=FQ","BEST_FPERIOD_OVERRIDE=FQ","FILING_STATUS=OR","EQY_CONSOLIDATED=Y","Sort=A","Dates=H","DateFormat=P","Fill=—","Direction=H","UseDPDF=Y")</f>
        <v>#NAME?</v>
      </c>
      <c r="BU327" s="1" t="e">
        <f ca="1">_xll.BDH($C$303,"TOTAL_EQUITY_SEQUENTIAL_GROWTH","FQ4 2018","FQ4 2018","Currency=INR","Period=FQ","BEST_FPERIOD_OVERRIDE=FQ","FILING_STATUS=OR","EQY_CONSOLIDATED=Y","Sort=A","Dates=H","DateFormat=P","Fill=—","Direction=H","UseDPDF=Y")</f>
        <v>#NAME?</v>
      </c>
      <c r="BV327" s="1" t="e">
        <f ca="1">_xll.BDH($C$303,"TOTAL_CAPITAL_SEQUENTIAL_GROWTH","FQ4 2018","FQ4 2018","Currency=INR","Period=FQ","BEST_FPERIOD_OVERRIDE=FQ","FILING_STATUS=OR","EQY_CONSOLIDATED=Y","Sort=A","Dates=H","DateFormat=P","Fill=—","Direction=H","UseDPDF=Y")</f>
        <v>#NAME?</v>
      </c>
      <c r="BW327" s="1" t="e">
        <f ca="1">_xll.BDH($C$303,"BPS_SEQUENTIAL_GROWTH","FQ4 2018","FQ4 2018","Currency=INR","Period=FQ","BEST_FPERIOD_OVERRIDE=FQ","FILING_STATUS=OR","EQY_CONSOLIDATED=Y","Sort=A","Dates=H","DateFormat=P","Fill=—","Direction=H","UseDPDF=Y")</f>
        <v>#NAME?</v>
      </c>
      <c r="BX327" s="1" t="e">
        <f ca="1">_xll.BDH($C$303,"CFO_SEQUENTIAL_GROWTH","FQ4 2018","FQ4 2018","Currency=INR","Period=FQ","BEST_FPERIOD_OVERRIDE=FQ","FILING_STATUS=OR","EQY_CONSOLIDATED=Y","Sort=A","Dates=H","DateFormat=P","Fill=—","Direction=H","UseDPDF=Y")</f>
        <v>#NAME?</v>
      </c>
      <c r="BY327" s="2" t="e">
        <f ca="1">_xll.BDH($C$303,"SHORT_AND_LONG_TERM_DEBT","FQ4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27" s="2" t="e">
        <f ca="1">_xll.BDH($C$303,"BS_ST_BORROW","FQ4 2018","FQ4 2018","Currency=INR","Period=FQ","BEST_FPERIOD_OVERRIDE=FQ","FILING_STATUS=OR","EQY_CONSOLIDATED=Y","SCALING_FORMAT=MLN","Sort=A","Dates=H","DateFormat=P","Fill=—","Direction=H","UseDPDF=Y")</f>
        <v>#NAME?</v>
      </c>
      <c r="CA327" s="2" t="e">
        <f ca="1">_xll.BDH($C$303,"BS_LT_BORROW","FQ4 2018","FQ4 2018","Currency=INR","Period=FQ","BEST_FPERIOD_OVERRIDE=FQ","FILING_STATUS=OR","EQY_CONSOLIDATED=Y","SCALING_FORMAT=MLN","Sort=A","Dates=H","DateFormat=P","Fill=—","Direction=H","UseDPDF=Y")</f>
        <v>#NAME?</v>
      </c>
      <c r="CB327" s="1" t="e">
        <f ca="1">_xll.BDH($C$303,"TOT_DEBT_TO_EBITDA","FQ4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27" s="1" t="e">
        <f ca="1">_xll.BDH($C$303,"NET_DEBT_TO_EBITDA","FQ4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27" s="1" t="e">
        <f ca="1">_xll.BDH($C$303,"TOTAL_DEBT_TO_EBIT","FQ4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27" s="1" t="e">
        <f ca="1">_xll.BDH($C$303,"NET_DEBT_TO_EBIT","FQ4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327" s="1" t="e">
        <f ca="1">_xll.BDH($C$303,"EBITDA_TO_INTEREST_EXPN","FQ4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27" s="1" t="e">
        <f ca="1">_xll.BDH($C$303,"COM_EQY_TO_TOT_ASSET","FQ4 2018","FQ4 2018","Currency=INR","Period=FQ","BEST_FPERIOD_OVERRIDE=FQ","FILING_STATUS=OR","EQY_CONSOLIDATED=Y","Sort=A","Dates=H","DateFormat=P","Fill=—","Direction=H","UseDPDF=Y")</f>
        <v>#NAME?</v>
      </c>
      <c r="CH327" s="1" t="e">
        <f ca="1">_xll.BDH($C$303,"LT_DEBT_TO_TOT_EQY","FQ4 2018","FQ4 2018","Currency=INR","Period=FQ","BEST_FPERIOD_OVERRIDE=FQ","FILING_STATUS=OR","EQY_CONSOLIDATED=Y","Sort=A","Dates=H","DateFormat=P","Fill=—","Direction=H","UseDPDF=Y")</f>
        <v>#NAME?</v>
      </c>
      <c r="CI327" s="1" t="e">
        <f ca="1">_xll.BDH($C$303,"LT_DEBT_TO_TOT_CAP","FQ4 2018","FQ4 2018","Currency=INR","Period=FQ","BEST_FPERIOD_OVERRIDE=FQ","FILING_STATUS=OR","EQY_CONSOLIDATED=Y","Sort=A","Dates=H","DateFormat=P","Fill=—","Direction=H","UseDPDF=Y")</f>
        <v>#NAME?</v>
      </c>
      <c r="CJ327" s="1" t="e">
        <f ca="1">_xll.BDH($C$303,"LT_DEBT_TO_TOT_ASSET","FQ4 2018","FQ4 2018","Currency=INR","Period=FQ","BEST_FPERIOD_OVERRIDE=FQ","FILING_STATUS=OR","EQY_CONSOLIDATED=Y","Sort=A","Dates=H","DateFormat=P","Fill=—","Direction=H","UseDPDF=Y")</f>
        <v>#NAME?</v>
      </c>
      <c r="CK327" s="1" t="e">
        <f ca="1">_xll.BDH($C$303,"TOT_DEBT_TO_TOT_EQY","FQ4 2018","FQ4 2018","Currency=INR","Period=FQ","BEST_FPERIOD_OVERRIDE=FQ","FILING_STATUS=OR","EQY_CONSOLIDATED=Y","Sort=A","Dates=H","DateFormat=P","Fill=—","Direction=H","UseDPDF=Y")</f>
        <v>#NAME?</v>
      </c>
      <c r="CL327" s="1" t="e">
        <f ca="1">_xll.BDH($C$303,"TOT_DEBT_TO_TOT_CAP","FQ4 2018","FQ4 2018","Currency=INR","Period=FQ","BEST_FPERIOD_OVERRIDE=FQ","FILING_STATUS=OR","EQY_CONSOLIDATED=Y","Sort=A","Dates=H","DateFormat=P","Fill=—","Direction=H","UseDPDF=Y")</f>
        <v>#NAME?</v>
      </c>
      <c r="CM327" s="1" t="e">
        <f ca="1">_xll.BDH($C$303,"TOT_DEBT_TO_TOT_ASSET","FQ4 2018","FQ4 2018","Currency=INR","Period=FQ","BEST_FPERIOD_OVERRIDE=FQ","FILING_STATUS=OR","EQY_CONSOLIDATED=Y","Sort=A","Dates=H","DateFormat=P","Fill=—","Direction=H","UseDPDF=Y")</f>
        <v>#NAME?</v>
      </c>
      <c r="CN327" s="1" t="e">
        <f ca="1">_xll.BDH($C$303,"NET_DEBT_TO_SHRHLDR_EQTY","FQ4 2018","FQ4 2018","Currency=INR","Period=FQ","BEST_FPERIOD_OVERRIDE=FQ","FILING_STATUS=OR","EQY_CONSOLIDATED=Y","Sort=A","Dates=H","DateFormat=P","Fill=—","Direction=H","UseDPDF=Y")</f>
        <v>#NAME?</v>
      </c>
      <c r="CO327" s="1" t="e">
        <f ca="1">_xll.BDH($C$303,"NET_DEBT_%_CAPITAL","FQ4 2018","FQ4 2018","Currency=INR","Period=FQ","BEST_FPERIOD_OVERRIDE=FQ","FILING_STATUS=OR","EQY_CONSOLIDATED=Y","Sort=A","Dates=H","DateFormat=P","Fill=—","Direction=H","UseDPDF=Y")</f>
        <v>#NAME?</v>
      </c>
      <c r="CP327" s="2" t="e">
        <f ca="1">_xll.BDH($C$303,"EBITDA","FQ4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27" s="2" t="e">
        <f ca="1">_xll.BDH($C$303,"EBITDA_AFTER_CAPEX","FQ4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27" s="2" t="e">
        <f ca="1">_xll.BDH($C$303,"IS_OPER_INC","FQ4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27" s="1" t="e">
        <f ca="1">_xll.BDH($C$303,"CASH_RATIO","FQ4 2018","FQ4 2018","Currency=INR","Period=FQ","BEST_FPERIOD_OVERRIDE=FQ","FILING_STATUS=OR","EQY_CONSOLIDATED=Y","Sort=A","Dates=H","DateFormat=P","Fill=—","Direction=H","UseDPDF=Y")</f>
        <v>#NAME?</v>
      </c>
      <c r="CT327" s="1" t="e">
        <f ca="1">_xll.BDH($C$303,"CUR_RATIO","FQ4 2018","FQ4 2018","Currency=INR","Period=FQ","BEST_FPERIOD_OVERRIDE=FQ","FILING_STATUS=OR","EQY_CONSOLIDATED=Y","Sort=A","Dates=H","DateFormat=P","Fill=—","Direction=H","UseDPDF=Y")</f>
        <v>#NAME?</v>
      </c>
      <c r="CU327" s="1" t="e">
        <f ca="1">_xll.BDH($C$303,"QUICK_RATIO","FQ4 2018","FQ4 2018","Currency=INR","Period=FQ","BEST_FPERIOD_OVERRIDE=FQ","FILING_STATUS=OR","EQY_CONSOLIDATED=Y","Sort=A","Dates=H","DateFormat=P","Fill=—","Direction=H","UseDPDF=Y")</f>
        <v>#NAME?</v>
      </c>
      <c r="CV327" s="1" t="e">
        <f ca="1">_xll.BDH($C$303,"ALTMAN_Z_SCORE","FQ4 2018","FQ4 2018","Currency=INR","Period=FQ","BEST_FPERIOD_OVERRIDE=FQ","FILING_STATUS=OR","EQY_CONSOLIDATED=Y","Sort=A","Dates=H","DateFormat=P","Fill=—","Direction=H","UseDPDF=Y")</f>
        <v>#NAME?</v>
      </c>
      <c r="CW327" s="3" t="e">
        <f ca="1">_xll.BDH($C$303,"ACCT_RCV_TURN","FQ4 2018","FQ4 2018","Currency=INR","Period=FQ","BEST_FPERIOD_OVERRIDE=FQ","FILING_STATUS=OR","EQY_CONSOLIDATED=Y","FA_ADJUSTED=GAAP","Sort=A","Dates=H","DateFormat=P","Fill=—","Direction=H","UseDPDF=Y")</f>
        <v>#NAME?</v>
      </c>
      <c r="CX327" s="1" t="e">
        <f ca="1">_xll.BDH($C$303,"ACCT_RCV_DAYS","FQ4 2018","FQ4 2018","Currency=INR","Period=FQ","BEST_FPERIOD_OVERRIDE=FQ","FILING_STATUS=OR","EQY_CONSOLIDATED=Y","FA_ADJUSTED=GAAP","Sort=A","Dates=H","DateFormat=P","Fill=—","Direction=H","UseDPDF=Y")</f>
        <v>#NAME?</v>
      </c>
      <c r="CY327" s="3" t="e">
        <f ca="1">_xll.BDH($C$303,"INVENT_TURN","FQ4 2018","FQ4 2018","Currency=INR","Period=FQ","BEST_FPERIOD_OVERRIDE=FQ","FILING_STATUS=OR","EQY_CONSOLIDATED=Y","FA_ADJUSTED=GAAP","Sort=A","Dates=H","DateFormat=P","Fill=—","Direction=H","UseDPDF=Y")</f>
        <v>#NAME?</v>
      </c>
      <c r="CZ327" s="1" t="e">
        <f ca="1">_xll.BDH($C$303,"INVENT_DAYS","FQ4 2018","FQ4 2018","Currency=INR","Period=FQ","BEST_FPERIOD_OVERRIDE=FQ","FILING_STATUS=OR","EQY_CONSOLIDATED=Y","FA_ADJUSTED=GAAP","Sort=A","Dates=H","DateFormat=P","Fill=—","Direction=H","UseDPDF=Y")</f>
        <v>#NAME?</v>
      </c>
      <c r="DA327" s="3" t="e">
        <f ca="1">_xll.BDH($C$303,"ACCOUNTS_PAYABLE_TURNOVER","FQ4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27" s="1" t="e">
        <f ca="1">_xll.BDH($C$303,"ACCOUNTS_PAYABLE_TURNOVER_DAYS","FQ4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27" s="3" t="e">
        <f ca="1">_xll.BDH($C$303,"CASH_CONVERSION_CYCLE","FQ4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27" s="3" t="e">
        <f ca="1">_xll.BDH($C$303,"INV_TO_CASH_DAYS","FQ4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327" s="4" t="e">
        <f ca="1">_xll.BDH($C$303,"BS_INVENTORIES","FQ4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327" s="2" t="e">
        <f ca="1">_xll.BDH($C$303,"INVTRY_RAW_MATERIALS","FQ4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27" s="2" t="e">
        <f ca="1">_xll.BDH($C$303,"INVTRY_IN_PROGRESS","FQ4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27" s="2" t="e">
        <f ca="1">_xll.BDH($C$303,"INVTRY_FINISHED_GOODS","FQ4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27" s="2" t="e">
        <f ca="1">_xll.BDH($C$303,"BS_OTHER_INV","FQ4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28" spans="1:113" x14ac:dyDescent="0.3">
      <c r="A328" s="6">
        <v>64</v>
      </c>
      <c r="B328" s="6" t="s">
        <v>36</v>
      </c>
      <c r="C328" s="6" t="s">
        <v>37</v>
      </c>
      <c r="D328" s="6" t="s">
        <v>2</v>
      </c>
      <c r="E328" t="s">
        <v>3</v>
      </c>
      <c r="F328" t="e">
        <f ca="1">_xll.BDH($C$328,"RETURN_COM_EQY","FY 2014","FY 2014","Currency=INR","Period=FY","BEST_FPERIOD_OVERRIDE=FY","FILING_STATUS=OR","EQY_CONSOLIDATED=Y","FA_ADJUSTED=GAAP","Sort=A","Dates=H","DateFormat=P","Fill=—","Direction=H","UseDPDF=Y")</f>
        <v>#NAME?</v>
      </c>
      <c r="G328" t="e">
        <f ca="1">_xll.BDH($C$328,"RETURN_ON_ASSET","FY 2014","FY 2014","Currency=INR","Period=FY","BEST_FPERIOD_OVERRIDE=FY","FILING_STATUS=OR","EQY_CONSOLIDATED=Y","FA_ADJUSTED=GAAP","Sort=A","Dates=H","DateFormat=P","Fill=—","Direction=H","UseDPDF=Y")</f>
        <v>#NAME?</v>
      </c>
      <c r="H328" t="e">
        <f ca="1">_xll.BDH($C$328,"RETURN_ON_CAP","FY 2014","FY 2014","Currency=INR","Period=FY","BEST_FPERIOD_OVERRIDE=FY","FILING_STATUS=OR","EQY_CONSOLIDATED=Y","FA_ADJUSTED=GAAP","Sort=A","Dates=H","DateFormat=P","Fill=—","Direction=H","UseDPDF=Y")</f>
        <v>#NAME?</v>
      </c>
      <c r="I328" t="e">
        <f ca="1">_xll.BDH($C$328,"RETURN_ON_INV_CAPITAL","FY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28" t="e">
        <f ca="1">_xll.BDH($C$328,"EBITDA_TO_REVENUE","FY 2014","FY 2014","Currency=INR","Period=FY","BEST_FPERIOD_OVERRIDE=FY","FILING_STATUS=OR","EQY_CONSOLIDATED=Y","FA_ADJUSTED=GAAP","Sort=A","Dates=H","DateFormat=P","Fill=—","Direction=H","UseDPDF=Y")</f>
        <v>#NAME?</v>
      </c>
      <c r="K328" t="e">
        <f ca="1">_xll.BDH($C$328,"OPER_MARGIN","FY 2014","FY 2014","Currency=INR","Period=FY","BEST_FPERIOD_OVERRIDE=FY","FILING_STATUS=OR","EQY_CONSOLIDATED=Y","FA_ADJUSTED=GAAP","Sort=A","Dates=H","DateFormat=P","Fill=—","Direction=H","UseDPDF=Y")</f>
        <v>#NAME?</v>
      </c>
      <c r="L328" t="e">
        <f ca="1">_xll.BDH($C$328,"INCREMENTAL_OPERATING_MARGIN","FY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28" t="e">
        <f ca="1">_xll.BDH($C$328,"PRETAX_INC_TO_NET_SALES","FY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28" t="e">
        <f ca="1">_xll.BDH($C$328,"INC_BEF_XO_ITEMS_TO_NET_SALES","FY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28" t="e">
        <f ca="1">_xll.BDH($C$328,"PROF_MARGIN","FY 2014","FY 2014","Currency=INR","Period=FY","BEST_FPERIOD_OVERRIDE=FY","FILING_STATUS=OR","EQY_CONSOLIDATED=Y","FA_ADJUSTED=GAAP","Sort=A","Dates=H","DateFormat=P","Fill=—","Direction=H","UseDPDF=Y")</f>
        <v>#NAME?</v>
      </c>
      <c r="P328" t="e">
        <f ca="1">_xll.BDH($C$328,"NET_INCOME_TO_COMMON_MARGIN","FY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28" t="e">
        <f ca="1">_xll.BDH($C$328,"EFF_TAX_RATE","FY 2014","FY 2014","Currency=INR","Period=FY","BEST_FPERIOD_OVERRIDE=FY","FILING_STATUS=OR","EQY_CONSOLIDATED=Y","FA_ADJUSTED=GAAP","Sort=A","Dates=H","DateFormat=P","Fill=—","Direction=H","UseDPDF=Y")</f>
        <v>#NAME?</v>
      </c>
      <c r="R328" t="e">
        <f ca="1">_xll.BDH($C$328,"DVD_PAYOUT_RATIO","FY 2014","FY 2014","Currency=INR","Period=FY","BEST_FPERIOD_OVERRIDE=FY","FILING_STATUS=OR","EQY_CONSOLIDATED=Y","FA_ADJUSTED=GAAP","Sort=A","Dates=H","DateFormat=P","Fill=—","Direction=H","UseDPDF=Y")</f>
        <v>#NAME?</v>
      </c>
      <c r="S328" t="e">
        <f ca="1">_xll.BDH($C$328,"SUSTAIN_GROWTH_RT","FY 2014","FY 2014","Currency=INR","Period=FY","BEST_FPERIOD_OVERRIDE=FY","FILING_STATUS=OR","EQY_CONSOLIDATED=Y","FA_ADJUSTED=GAAP","Sort=A","Dates=H","DateFormat=P","Fill=—","Direction=H","UseDPDF=Y")</f>
        <v>#NAME?</v>
      </c>
      <c r="T328" s="1" t="e">
        <f ca="1">_xll.BDH($C$328,"SALES_GROWTH","FY 2014","FY 2014","Currency=INR","Period=FY","BEST_FPERIOD_OVERRIDE=FY","FILING_STATUS=OR","EQY_CONSOLIDATED=Y","FA_ADJUSTED=GAAP","Sort=A","Dates=H","DateFormat=P","Fill=—","Direction=H","UseDPDF=Y")</f>
        <v>#NAME?</v>
      </c>
      <c r="U328" s="1" t="e">
        <f ca="1">_xll.BDH($C$328,"EBITDA_GROWTH","FY 2014","FY 2014","Currency=INR","Period=FY","BEST_FPERIOD_OVERRIDE=FY","FILING_STATUS=OR","EQY_CONSOLIDATED=Y","FA_ADJUSTED=GAAP","Sort=A","Dates=H","DateFormat=P","Fill=—","Direction=H","UseDPDF=Y")</f>
        <v>#NAME?</v>
      </c>
      <c r="V328" s="1" t="e">
        <f ca="1">_xll.BDH($C$328,"OPER_INC_GROWTH","FY 2014","FY 2014","Currency=INR","Period=FY","BEST_FPERIOD_OVERRIDE=FY","FILING_STATUS=OR","EQY_CONSOLIDATED=Y","FA_ADJUSTED=GAAP","Sort=A","Dates=H","DateFormat=P","Fill=—","Direction=H","UseDPDF=Y")</f>
        <v>#NAME?</v>
      </c>
      <c r="W328" s="1" t="e">
        <f ca="1">_xll.BDH($C$328,"EARN_FOR_COM_GROWTH","FY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328" s="1" t="e">
        <f ca="1">_xll.BDH($C$328,"DILUTED_EPS_AFT_XO_ITEMS_GROWTH","FY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28" s="1" t="e">
        <f ca="1">_xll.BDH($C$328,"DIVIDEND_PER_SHARE_1_YEAR_GROWTH","FY 2014","FY 2014","Currency=INR","Period=FY","BEST_FPERIOD_OVERRIDE=FY","FILING_STATUS=OR","EQY_CONSOLIDATED=Y","Sort=A","Dates=H","DateFormat=P","Fill=—","Direction=H","UseDPDF=Y")</f>
        <v>#NAME?</v>
      </c>
      <c r="Z328" s="1" t="e">
        <f ca="1">_xll.BDH($C$328,"ACCOUNTS_RECEIVABLE_GROWTH","FY 2014","FY 2014","Currency=INR","Period=FY","BEST_FPERIOD_OVERRIDE=FY","FILING_STATUS=OR","EQY_CONSOLIDATED=Y","Sort=A","Dates=H","DateFormat=P","Fill=—","Direction=H","UseDPDF=Y")</f>
        <v>#NAME?</v>
      </c>
      <c r="AA328" s="1" t="e">
        <f ca="1">_xll.BDH($C$328,"INVENTORY_GROWTH","FY 2014","FY 2014","Currency=INR","Period=FY","BEST_FPERIOD_OVERRIDE=FY","FILING_STATUS=OR","EQY_CONSOLIDATED=Y","Sort=A","Dates=H","DateFormat=P","Fill=—","Direction=H","UseDPDF=Y")</f>
        <v>#NAME?</v>
      </c>
      <c r="AB328" s="1" t="e">
        <f ca="1">_xll.BDH($C$328,"NET_FIXED_ASSETS_1_YEAR_GROWTH","FY 2014","FY 2014","Currency=INR","Period=FY","BEST_FPERIOD_OVERRIDE=FY","FILING_STATUS=OR","EQY_CONSOLIDATED=Y","Sort=A","Dates=H","DateFormat=P","Fill=—","Direction=H","UseDPDF=Y")</f>
        <v>#NAME?</v>
      </c>
      <c r="AC328" s="1" t="e">
        <f ca="1">_xll.BDH($C$328,"ASSET_GROWTH","FY 2014","FY 2014","Currency=INR","Period=FY","BEST_FPERIOD_OVERRIDE=FY","FILING_STATUS=OR","EQY_CONSOLIDATED=Y","Sort=A","Dates=H","DateFormat=P","Fill=—","Direction=H","UseDPDF=Y")</f>
        <v>#NAME?</v>
      </c>
      <c r="AD328" s="1" t="e">
        <f ca="1">_xll.BDH($C$328,"MODIFIED_WORK_CAP_GROWTH","FY 2014","FY 2014","Currency=INR","Period=FY","BEST_FPERIOD_OVERRIDE=FY","FILING_STATUS=OR","EQY_CONSOLIDATED=Y","Sort=A","Dates=H","DateFormat=P","Fill=—","Direction=H","UseDPDF=Y")</f>
        <v>#NAME?</v>
      </c>
      <c r="AE328" s="1" t="e">
        <f ca="1">_xll.BDH($C$328,"WORK_CAP_GROWTH","FY 2014","FY 2014","Currency=INR","Period=FY","BEST_FPERIOD_OVERRIDE=FY","FILING_STATUS=OR","EQY_CONSOLIDATED=Y","Sort=A","Dates=H","DateFormat=P","Fill=—","Direction=H","UseDPDF=Y")</f>
        <v>#NAME?</v>
      </c>
      <c r="AF328" s="1" t="e">
        <f ca="1">_xll.BDH($C$328,"ACCOUNTS_PAYABLE_GROWTH_1YR","FY 2014","FY 2014","Currency=INR","Period=FY","BEST_FPERIOD_OVERRIDE=FY","FILING_STATUS=OR","EQY_CONSOLIDATED=Y","Sort=A","Dates=H","DateFormat=P","Fill=—","Direction=H","UseDPDF=Y")</f>
        <v>#NAME?</v>
      </c>
      <c r="AG328" s="1" t="e">
        <f ca="1">_xll.BDH($C$328,"SHORT_TERM_DEBT_1_YEAR_GROWTH","FY 2014","FY 2014","Currency=INR","Period=FY","BEST_FPERIOD_OVERRIDE=FY","FILING_STATUS=OR","EQY_CONSOLIDATED=Y","Sort=A","Dates=H","DateFormat=P","Fill=—","Direction=H","UseDPDF=Y")</f>
        <v>#NAME?</v>
      </c>
      <c r="AH328" s="1" t="e">
        <f ca="1">_xll.BDH($C$328,"TOTAL_DEBT_1_YEAR_GROWTH","FY 2014","FY 2014","Currency=INR","Period=FY","BEST_FPERIOD_OVERRIDE=FY","FILING_STATUS=OR","EQY_CONSOLIDATED=Y","Sort=A","Dates=H","DateFormat=P","Fill=—","Direction=H","UseDPDF=Y")</f>
        <v>#NAME?</v>
      </c>
      <c r="AI328" s="1" t="e">
        <f ca="1">_xll.BDH($C$328,"TOTAL_EQUITY_1_YEAR_GROWTH","FY 2014","FY 2014","Currency=INR","Period=FY","BEST_FPERIOD_OVERRIDE=FY","FILING_STATUS=OR","EQY_CONSOLIDATED=Y","Sort=A","Dates=H","DateFormat=P","Fill=—","Direction=H","UseDPDF=Y")</f>
        <v>#NAME?</v>
      </c>
      <c r="AJ328" s="1" t="e">
        <f ca="1">_xll.BDH($C$328,"GROWTH_IN_CAP","FY 2014","FY 2014","Currency=INR","Period=FY","BEST_FPERIOD_OVERRIDE=FY","FILING_STATUS=OR","EQY_CONSOLIDATED=Y","Sort=A","Dates=H","DateFormat=P","Fill=—","Direction=H","UseDPDF=Y")</f>
        <v>#NAME?</v>
      </c>
      <c r="AK328" s="1" t="e">
        <f ca="1">_xll.BDH($C$328,"BVPS_GROWTH","FY 2014","FY 2014","Currency=INR","Period=FY","BEST_FPERIOD_OVERRIDE=FY","FILING_STATUS=OR","EQY_CONSOLIDATED=Y","Sort=A","Dates=H","DateFormat=P","Fill=—","Direction=H","UseDPDF=Y")</f>
        <v>#NAME?</v>
      </c>
      <c r="AL328" s="1" t="e">
        <f ca="1">_xll.BDH($C$328,"CASH_FLOW_GROWTH","FY 2014","FY 2014","Currency=INR","Period=FY","BEST_FPERIOD_OVERRIDE=FY","FILING_STATUS=OR","EQY_CONSOLIDATED=Y","Sort=A","Dates=H","DateFormat=P","Fill=—","Direction=H","UseDPDF=Y")</f>
        <v>#NAME?</v>
      </c>
      <c r="AM328" s="1" t="e">
        <f ca="1">_xll.BDH($C$328,"GEO_GROW_NET_SALES","FY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328" s="1" t="e">
        <f ca="1">_xll.BDH($C$328,"GEO_GROW_EBITDA","FY 2014","FY 2014","Currency=INR","Period=FY","BEST_FPERIOD_OVERRIDE=FY","FILING_STATUS=OR","EQY_CONSOLIDATED=Y","FA_ADJUSTED=GAAP","Sort=A","Dates=H","DateFormat=P","Fill=—","Direction=H","UseDPDF=Y")</f>
        <v>#NAME?</v>
      </c>
      <c r="AO328" s="1" t="e">
        <f ca="1">_xll.BDH($C$328,"GEO_GROW_OPER_INC","FY 2014","FY 2014","Currency=INR","Period=FY","BEST_FPERIOD_OVERRIDE=FY","FILING_STATUS=OR","EQY_CONSOLIDATED=Y","FA_ADJUSTED=GAAP","Sort=A","Dates=H","DateFormat=P","Fill=—","Direction=H","UseDPDF=Y")</f>
        <v>#NAME?</v>
      </c>
      <c r="AP328" s="1" t="e">
        <f ca="1">_xll.BDH($C$328,"NET_INCOME_TO_COMMON_5_YR_GROWTH","FY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28" s="1" t="e">
        <f ca="1">_xll.BDH($C$328,"5Y_GEO_GROWTH_DILUTED_EPS","FY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28" s="1" t="e">
        <f ca="1">_xll.BDH($C$328,"GEO_GROW_DVD_PER_SH","FY 2014","FY 2014","Currency=INR","Period=FY","BEST_FPERIOD_OVERRIDE=FY","FILING_STATUS=OR","EQY_CONSOLIDATED=Y","Sort=A","Dates=H","DateFormat=P","Fill=—","Direction=H","UseDPDF=Y")</f>
        <v>#NAME?</v>
      </c>
      <c r="AS328" s="1" t="e">
        <f ca="1">_xll.BDH($C$328,"ACCOUNTS_RECEIVABLE_5_YR_GROWTH","FY 2014","FY 2014","Currency=INR","Period=FY","BEST_FPERIOD_OVERRIDE=FY","FILING_STATUS=OR","EQY_CONSOLIDATED=Y","Sort=A","Dates=H","DateFormat=P","Fill=—","Direction=H","UseDPDF=Y")</f>
        <v>#NAME?</v>
      </c>
      <c r="AT328" s="1" t="e">
        <f ca="1">_xll.BDH($C$328,"INVENTORY_5_YEAR_GROWTH","FY 2014","FY 2014","Currency=INR","Period=FY","BEST_FPERIOD_OVERRIDE=FY","FILING_STATUS=OR","EQY_CONSOLIDATED=Y","Sort=A","Dates=H","DateFormat=P","Fill=—","Direction=H","UseDPDF=Y")</f>
        <v>#NAME?</v>
      </c>
      <c r="AU328" s="1" t="e">
        <f ca="1">_xll.BDH($C$328,"NET_FIXED_ASSETS_5_YEAR_GROWTH","FY 2014","FY 2014","Currency=INR","Period=FY","BEST_FPERIOD_OVERRIDE=FY","FILING_STATUS=OR","EQY_CONSOLIDATED=Y","Sort=A","Dates=H","DateFormat=P","Fill=—","Direction=H","UseDPDF=Y")</f>
        <v>#NAME?</v>
      </c>
      <c r="AV328" s="1" t="e">
        <f ca="1">_xll.BDH($C$328,"GEO_GROW_TOT_ASSET","FY 2014","FY 2014","Currency=INR","Period=FY","BEST_FPERIOD_OVERRIDE=FY","FILING_STATUS=OR","EQY_CONSOLIDATED=Y","Sort=A","Dates=H","DateFormat=P","Fill=—","Direction=H","UseDPDF=Y")</f>
        <v>#NAME?</v>
      </c>
      <c r="AW328" s="1" t="e">
        <f ca="1">_xll.BDH($C$328,"MODIFIED_WORKING_CPTL_5YR_GRWTH","FY 2014","FY 2014","Currency=INR","Period=FY","BEST_FPERIOD_OVERRIDE=FY","FILING_STATUS=OR","EQY_CONSOLIDATED=Y","Sort=A","Dates=H","DateFormat=P","Fill=—","Direction=H","UseDPDF=Y")</f>
        <v>#NAME?</v>
      </c>
      <c r="AX328" s="1" t="e">
        <f ca="1">_xll.BDH($C$328,"WORKING_CAPITAL_5_YEAR_GROWTH","FY 2014","FY 2014","Currency=INR","Period=FY","BEST_FPERIOD_OVERRIDE=FY","FILING_STATUS=OR","EQY_CONSOLIDATED=Y","Sort=A","Dates=H","DateFormat=P","Fill=—","Direction=H","UseDPDF=Y")</f>
        <v>#NAME?</v>
      </c>
      <c r="AY328" s="1" t="e">
        <f ca="1">_xll.BDH($C$328,"ACCOUNTS_PAYABLE_5_YEAR_GROWTH","FY 2014","FY 2014","Currency=INR","Period=FY","BEST_FPERIOD_OVERRIDE=FY","FILING_STATUS=OR","EQY_CONSOLIDATED=Y","Sort=A","Dates=H","DateFormat=P","Fill=—","Direction=H","UseDPDF=Y")</f>
        <v>#NAME?</v>
      </c>
      <c r="AZ328" s="1" t="e">
        <f ca="1">_xll.BDH($C$328,"SHORT_TERM_DEBT_5_YEAR_GROWTH","FY 2014","FY 2014","Currency=INR","Period=FY","BEST_FPERIOD_OVERRIDE=FY","FILING_STATUS=OR","EQY_CONSOLIDATED=Y","Sort=A","Dates=H","DateFormat=P","Fill=—","Direction=H","UseDPDF=Y")</f>
        <v>#NAME?</v>
      </c>
      <c r="BA328" s="1" t="e">
        <f ca="1">_xll.BDH($C$328,"TOTAL_DEBT_5_YEAR_GROWTH","FY 2014","FY 2014","Currency=INR","Period=FY","BEST_FPERIOD_OVERRIDE=FY","FILING_STATUS=OR","EQY_CONSOLIDATED=Y","Sort=A","Dates=H","DateFormat=P","Fill=—","Direction=H","UseDPDF=Y")</f>
        <v>#NAME?</v>
      </c>
      <c r="BB328" s="1" t="e">
        <f ca="1">_xll.BDH($C$328,"GEO_GROW_TOT_SHRHLDR_EQY","FY 2014","FY 2014","Currency=INR","Period=FY","BEST_FPERIOD_OVERRIDE=FY","FILING_STATUS=OR","EQY_CONSOLIDATED=Y","Sort=A","Dates=H","DateFormat=P","Fill=—","Direction=H","UseDPDF=Y")</f>
        <v>#NAME?</v>
      </c>
      <c r="BC328" s="1" t="e">
        <f ca="1">_xll.BDH($C$328,"TOTAL_CAPITAL_5_YEAR_GROWTH","FY 2014","FY 2014","Currency=INR","Period=FY","BEST_FPERIOD_OVERRIDE=FY","FILING_STATUS=OR","EQY_CONSOLIDATED=Y","Sort=A","Dates=H","DateFormat=P","Fill=—","Direction=H","UseDPDF=Y")</f>
        <v>#NAME?</v>
      </c>
      <c r="BD328" s="1" t="e">
        <f ca="1">_xll.BDH($C$328,"GEO_GROW_BOOK_VAL","FY 2014","FY 2014","Currency=INR","Period=FY","BEST_FPERIOD_OVERRIDE=FY","FILING_STATUS=OR","EQY_CONSOLIDATED=Y","Sort=A","Dates=H","DateFormat=P","Fill=—","Direction=H","UseDPDF=Y")</f>
        <v>#NAME?</v>
      </c>
      <c r="BE328" s="1" t="e">
        <f ca="1">_xll.BDH($C$328,"GEO_GROW_CASH_OPER_ACT","FY 2014","FY 2014","Currency=INR","Period=FY","BEST_FPERIOD_OVERRIDE=FY","FILING_STATUS=OR","EQY_CONSOLIDATED=Y","Sort=A","Dates=H","DateFormat=P","Fill=—","Direction=H","UseDPDF=Y")</f>
        <v>#NAME?</v>
      </c>
      <c r="BF328" s="1" t="e">
        <f ca="1">_xll.BDH($C$328,"REVENUE_SEQUENTIAL_GROWTH","FY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28" s="1" t="e">
        <f ca="1">_xll.BDH($C$328,"EBITDA_SEQUENTIAL_GROWTH","FY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28" s="1" t="e">
        <f ca="1">_xll.BDH($C$328,"OPERATING_INCOME_SEQ_GROWTH","FY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28" s="1" t="e">
        <f ca="1">_xll.BDH($C$328,"NET_INCOME_TO_COMMON_SEQ_GROWTH","FY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28" s="1" t="e">
        <f ca="1">_xll.BDH($C$328,"EPS_DILUTED_SEQUENTIAL_GROWTH","FY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28" s="1" t="e">
        <f ca="1">_xll.BDH($C$328,"DPS_SEQUENTIAL_GROWTH","FY 2014","FY 2014","Currency=INR","Period=FY","BEST_FPERIOD_OVERRIDE=FY","FILING_STATUS=OR","EQY_CONSOLIDATED=Y","Sort=A","Dates=H","DateFormat=P","Fill=—","Direction=H","UseDPDF=Y")</f>
        <v>#NAME?</v>
      </c>
      <c r="BL328" s="1" t="e">
        <f ca="1">_xll.BDH($C$328,"ACCOUNTS_RECEIVABLE_SEQ_GROWTH","FY 2014","FY 2014","Currency=INR","Period=FY","BEST_FPERIOD_OVERRIDE=FY","FILING_STATUS=OR","EQY_CONSOLIDATED=Y","Sort=A","Dates=H","DateFormat=P","Fill=—","Direction=H","UseDPDF=Y")</f>
        <v>#NAME?</v>
      </c>
      <c r="BM328" s="1" t="e">
        <f ca="1">_xll.BDH($C$328,"INVENTORY_SEQUENTIAL_GROWTH","FY 2014","FY 2014","Currency=INR","Period=FY","BEST_FPERIOD_OVERRIDE=FY","FILING_STATUS=OR","EQY_CONSOLIDATED=Y","Sort=A","Dates=H","DateFormat=P","Fill=—","Direction=H","UseDPDF=Y")</f>
        <v>#NAME?</v>
      </c>
      <c r="BN328" s="1" t="e">
        <f ca="1">_xll.BDH($C$328,"FIXED_ASSETS_SEQUENTIAL_GROWTH","FY 2014","FY 2014","Currency=INR","Period=FY","BEST_FPERIOD_OVERRIDE=FY","FILING_STATUS=OR","EQY_CONSOLIDATED=Y","Sort=A","Dates=H","DateFormat=P","Fill=—","Direction=H","UseDPDF=Y")</f>
        <v>#NAME?</v>
      </c>
      <c r="BO328" s="1" t="e">
        <f ca="1">_xll.BDH($C$328,"TOTAL_ASSETS_SEQUENTIAL_GROWTH","FY 2014","FY 2014","Currency=INR","Period=FY","BEST_FPERIOD_OVERRIDE=FY","FILING_STATUS=OR","EQY_CONSOLIDATED=Y","Sort=A","Dates=H","DateFormat=P","Fill=—","Direction=H","UseDPDF=Y")</f>
        <v>#NAME?</v>
      </c>
      <c r="BP328" s="1" t="e">
        <f ca="1">_xll.BDH($C$328,"MODIFIED_WORKING_CPTL_SEQ_GRWTH","FY 2014","FY 2014","Currency=INR","Period=FY","BEST_FPERIOD_OVERRIDE=FY","FILING_STATUS=OR","EQY_CONSOLIDATED=Y","Sort=A","Dates=H","DateFormat=P","Fill=—","Direction=H","UseDPDF=Y")</f>
        <v>#NAME?</v>
      </c>
      <c r="BQ328" s="1" t="e">
        <f ca="1">_xll.BDH($C$328,"WORKING_CAPITAL_SEQ_GROWTH","FY 2014","FY 2014","Currency=INR","Period=FY","BEST_FPERIOD_OVERRIDE=FY","FILING_STATUS=OR","EQY_CONSOLIDATED=Y","Sort=A","Dates=H","DateFormat=P","Fill=—","Direction=H","UseDPDF=Y")</f>
        <v>#NAME?</v>
      </c>
      <c r="BR328" s="1" t="e">
        <f ca="1">_xll.BDH($C$328,"ACCOUNTS_PAYABLE_SEQ_GROWTH","FY 2014","FY 2014","Currency=INR","Period=FY","BEST_FPERIOD_OVERRIDE=FY","FILING_STATUS=OR","EQY_CONSOLIDATED=Y","Sort=A","Dates=H","DateFormat=P","Fill=—","Direction=H","UseDPDF=Y")</f>
        <v>#NAME?</v>
      </c>
      <c r="BS328" s="1" t="e">
        <f ca="1">_xll.BDH($C$328,"ST_DEBT_SEQUENTIAL_GROWTH","FY 2014","FY 2014","Currency=INR","Period=FY","BEST_FPERIOD_OVERRIDE=FY","FILING_STATUS=OR","EQY_CONSOLIDATED=Y","Sort=A","Dates=H","DateFormat=P","Fill=—","Direction=H","UseDPDF=Y")</f>
        <v>#NAME?</v>
      </c>
      <c r="BT328" s="1" t="e">
        <f ca="1">_xll.BDH($C$328,"TOTAL_DEBT_SEQUENTIAL_GROWTH","FY 2014","FY 2014","Currency=INR","Period=FY","BEST_FPERIOD_OVERRIDE=FY","FILING_STATUS=OR","EQY_CONSOLIDATED=Y","Sort=A","Dates=H","DateFormat=P","Fill=—","Direction=H","UseDPDF=Y")</f>
        <v>#NAME?</v>
      </c>
      <c r="BU328" s="1" t="e">
        <f ca="1">_xll.BDH($C$328,"TOTAL_EQUITY_SEQUENTIAL_GROWTH","FY 2014","FY 2014","Currency=INR","Period=FY","BEST_FPERIOD_OVERRIDE=FY","FILING_STATUS=OR","EQY_CONSOLIDATED=Y","Sort=A","Dates=H","DateFormat=P","Fill=—","Direction=H","UseDPDF=Y")</f>
        <v>#NAME?</v>
      </c>
      <c r="BV328" s="1" t="e">
        <f ca="1">_xll.BDH($C$328,"TOTAL_CAPITAL_SEQUENTIAL_GROWTH","FY 2014","FY 2014","Currency=INR","Period=FY","BEST_FPERIOD_OVERRIDE=FY","FILING_STATUS=OR","EQY_CONSOLIDATED=Y","Sort=A","Dates=H","DateFormat=P","Fill=—","Direction=H","UseDPDF=Y")</f>
        <v>#NAME?</v>
      </c>
      <c r="BW328" s="1" t="e">
        <f ca="1">_xll.BDH($C$328,"BPS_SEQUENTIAL_GROWTH","FY 2014","FY 2014","Currency=INR","Period=FY","BEST_FPERIOD_OVERRIDE=FY","FILING_STATUS=OR","EQY_CONSOLIDATED=Y","Sort=A","Dates=H","DateFormat=P","Fill=—","Direction=H","UseDPDF=Y")</f>
        <v>#NAME?</v>
      </c>
      <c r="BX328" s="1" t="e">
        <f ca="1">_xll.BDH($C$328,"CFO_SEQUENTIAL_GROWTH","FY 2014","FY 2014","Currency=INR","Period=FY","BEST_FPERIOD_OVERRIDE=FY","FILING_STATUS=OR","EQY_CONSOLIDATED=Y","Sort=A","Dates=H","DateFormat=P","Fill=—","Direction=H","UseDPDF=Y")</f>
        <v>#NAME?</v>
      </c>
      <c r="BY328" s="2" t="e">
        <f ca="1">_xll.BDH($C$328,"SHORT_AND_LONG_TERM_DEBT","FY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28" s="2" t="e">
        <f ca="1">_xll.BDH($C$328,"BS_ST_BORROW","FY 2014","FY 2014","Currency=INR","Period=FY","BEST_FPERIOD_OVERRIDE=FY","FILING_STATUS=OR","EQY_CONSOLIDATED=Y","SCALING_FORMAT=MLN","Sort=A","Dates=H","DateFormat=P","Fill=—","Direction=H","UseDPDF=Y")</f>
        <v>#NAME?</v>
      </c>
      <c r="CA328" s="2" t="e">
        <f ca="1">_xll.BDH($C$328,"BS_LT_BORROW","FY 2014","FY 2014","Currency=INR","Period=FY","BEST_FPERIOD_OVERRIDE=FY","FILING_STATUS=OR","EQY_CONSOLIDATED=Y","SCALING_FORMAT=MLN","Sort=A","Dates=H","DateFormat=P","Fill=—","Direction=H","UseDPDF=Y")</f>
        <v>#NAME?</v>
      </c>
      <c r="CB328" s="1" t="e">
        <f ca="1">_xll.BDH($C$328,"TOT_DEBT_TO_EBITDA","FY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328" s="1" t="e">
        <f ca="1">_xll.BDH($C$328,"NET_DEBT_TO_EBITDA","FY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328" s="1" t="e">
        <f ca="1">_xll.BDH($C$328,"TOTAL_DEBT_TO_EBIT","FY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328" s="1" t="e">
        <f ca="1">_xll.BDH($C$328,"NET_DEBT_TO_EBIT","FY 2014","FY 2014","Currency=INR","Period=FY","BEST_FPERIOD_OVERRIDE=FY","FILING_STATUS=OR","EQY_CONSOLIDATED=Y","FA_ADJUSTED=GAAP","Sort=A","Dates=H","DateFormat=P","Fill=—","Direction=H","UseDPDF=Y")</f>
        <v>#NAME?</v>
      </c>
      <c r="CF328" s="1" t="e">
        <f ca="1">_xll.BDH($C$328,"EBITDA_TO_INTEREST_EXPN","FY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28" s="1" t="e">
        <f ca="1">_xll.BDH($C$328,"COM_EQY_TO_TOT_ASSET","FY 2014","FY 2014","Currency=INR","Period=FY","BEST_FPERIOD_OVERRIDE=FY","FILING_STATUS=OR","EQY_CONSOLIDATED=Y","Sort=A","Dates=H","DateFormat=P","Fill=—","Direction=H","UseDPDF=Y")</f>
        <v>#NAME?</v>
      </c>
      <c r="CH328" s="1" t="e">
        <f ca="1">_xll.BDH($C$328,"LT_DEBT_TO_TOT_EQY","FY 2014","FY 2014","Currency=INR","Period=FY","BEST_FPERIOD_OVERRIDE=FY","FILING_STATUS=OR","EQY_CONSOLIDATED=Y","Sort=A","Dates=H","DateFormat=P","Fill=—","Direction=H","UseDPDF=Y")</f>
        <v>#NAME?</v>
      </c>
      <c r="CI328" s="1" t="e">
        <f ca="1">_xll.BDH($C$328,"LT_DEBT_TO_TOT_CAP","FY 2014","FY 2014","Currency=INR","Period=FY","BEST_FPERIOD_OVERRIDE=FY","FILING_STATUS=OR","EQY_CONSOLIDATED=Y","Sort=A","Dates=H","DateFormat=P","Fill=—","Direction=H","UseDPDF=Y")</f>
        <v>#NAME?</v>
      </c>
      <c r="CJ328" s="1" t="e">
        <f ca="1">_xll.BDH($C$328,"LT_DEBT_TO_TOT_ASSET","FY 2014","FY 2014","Currency=INR","Period=FY","BEST_FPERIOD_OVERRIDE=FY","FILING_STATUS=OR","EQY_CONSOLIDATED=Y","Sort=A","Dates=H","DateFormat=P","Fill=—","Direction=H","UseDPDF=Y")</f>
        <v>#NAME?</v>
      </c>
      <c r="CK328" s="1" t="e">
        <f ca="1">_xll.BDH($C$328,"TOT_DEBT_TO_TOT_EQY","FY 2014","FY 2014","Currency=INR","Period=FY","BEST_FPERIOD_OVERRIDE=FY","FILING_STATUS=OR","EQY_CONSOLIDATED=Y","Sort=A","Dates=H","DateFormat=P","Fill=—","Direction=H","UseDPDF=Y")</f>
        <v>#NAME?</v>
      </c>
      <c r="CL328" s="1" t="e">
        <f ca="1">_xll.BDH($C$328,"TOT_DEBT_TO_TOT_CAP","FY 2014","FY 2014","Currency=INR","Period=FY","BEST_FPERIOD_OVERRIDE=FY","FILING_STATUS=OR","EQY_CONSOLIDATED=Y","Sort=A","Dates=H","DateFormat=P","Fill=—","Direction=H","UseDPDF=Y")</f>
        <v>#NAME?</v>
      </c>
      <c r="CM328" s="1" t="e">
        <f ca="1">_xll.BDH($C$328,"TOT_DEBT_TO_TOT_ASSET","FY 2014","FY 2014","Currency=INR","Period=FY","BEST_FPERIOD_OVERRIDE=FY","FILING_STATUS=OR","EQY_CONSOLIDATED=Y","Sort=A","Dates=H","DateFormat=P","Fill=—","Direction=H","UseDPDF=Y")</f>
        <v>#NAME?</v>
      </c>
      <c r="CN328" s="1" t="e">
        <f ca="1">_xll.BDH($C$328,"NET_DEBT_TO_SHRHLDR_EQTY","FY 2014","FY 2014","Currency=INR","Period=FY","BEST_FPERIOD_OVERRIDE=FY","FILING_STATUS=OR","EQY_CONSOLIDATED=Y","Sort=A","Dates=H","DateFormat=P","Fill=—","Direction=H","UseDPDF=Y")</f>
        <v>#NAME?</v>
      </c>
      <c r="CO328" s="1" t="e">
        <f ca="1">_xll.BDH($C$328,"NET_DEBT_%_CAPITAL","FY 2014","FY 2014","Currency=INR","Period=FY","BEST_FPERIOD_OVERRIDE=FY","FILING_STATUS=OR","EQY_CONSOLIDATED=Y","Sort=A","Dates=H","DateFormat=P","Fill=—","Direction=H","UseDPDF=Y")</f>
        <v>#NAME?</v>
      </c>
      <c r="CP328" s="2" t="e">
        <f ca="1">_xll.BDH($C$328,"EBITDA","FY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28" s="2" t="e">
        <f ca="1">_xll.BDH($C$328,"EBITDA_AFTER_CAPEX","FY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28" s="2" t="e">
        <f ca="1">_xll.BDH($C$328,"IS_OPER_INC","FY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28" s="1" t="e">
        <f ca="1">_xll.BDH($C$328,"CASH_RATIO","FY 2014","FY 2014","Currency=INR","Period=FY","BEST_FPERIOD_OVERRIDE=FY","FILING_STATUS=OR","EQY_CONSOLIDATED=Y","Sort=A","Dates=H","DateFormat=P","Fill=—","Direction=H","UseDPDF=Y")</f>
        <v>#NAME?</v>
      </c>
      <c r="CT328" s="1" t="e">
        <f ca="1">_xll.BDH($C$328,"CUR_RATIO","FY 2014","FY 2014","Currency=INR","Period=FY","BEST_FPERIOD_OVERRIDE=FY","FILING_STATUS=OR","EQY_CONSOLIDATED=Y","Sort=A","Dates=H","DateFormat=P","Fill=—","Direction=H","UseDPDF=Y")</f>
        <v>#NAME?</v>
      </c>
      <c r="CU328" s="1" t="e">
        <f ca="1">_xll.BDH($C$328,"QUICK_RATIO","FY 2014","FY 2014","Currency=INR","Period=FY","BEST_FPERIOD_OVERRIDE=FY","FILING_STATUS=OR","EQY_CONSOLIDATED=Y","Sort=A","Dates=H","DateFormat=P","Fill=—","Direction=H","UseDPDF=Y")</f>
        <v>#NAME?</v>
      </c>
      <c r="CV328" s="1" t="e">
        <f ca="1">_xll.BDH($C$328,"ALTMAN_Z_SCORE","FY 2014","FY 2014","Currency=INR","Period=FY","BEST_FPERIOD_OVERRIDE=FY","FILING_STATUS=OR","EQY_CONSOLIDATED=Y","Sort=A","Dates=H","DateFormat=P","Fill=—","Direction=H","UseDPDF=Y")</f>
        <v>#NAME?</v>
      </c>
      <c r="CW328" s="3" t="e">
        <f ca="1">_xll.BDH($C$328,"ACCT_RCV_TURN","FY 2014","FY 2014","Currency=INR","Period=FY","BEST_FPERIOD_OVERRIDE=FY","FILING_STATUS=OR","EQY_CONSOLIDATED=Y","FA_ADJUSTED=GAAP","Sort=A","Dates=H","DateFormat=P","Fill=—","Direction=H","UseDPDF=Y")</f>
        <v>#NAME?</v>
      </c>
      <c r="CX328" s="1" t="e">
        <f ca="1">_xll.BDH($C$328,"ACCT_RCV_DAYS","FY 2014","FY 2014","Currency=INR","Period=FY","BEST_FPERIOD_OVERRIDE=FY","FILING_STATUS=OR","EQY_CONSOLIDATED=Y","FA_ADJUSTED=GAAP","Sort=A","Dates=H","DateFormat=P","Fill=—","Direction=H","UseDPDF=Y")</f>
        <v>#NAME?</v>
      </c>
      <c r="CY328" s="3" t="e">
        <f ca="1">_xll.BDH($C$328,"INVENT_TURN","FY 2014","FY 2014","Currency=INR","Period=FY","BEST_FPERIOD_OVERRIDE=FY","FILING_STATUS=OR","EQY_CONSOLIDATED=Y","FA_ADJUSTED=GAAP","Sort=A","Dates=H","DateFormat=P","Fill=—","Direction=H","UseDPDF=Y")</f>
        <v>#NAME?</v>
      </c>
      <c r="CZ328" s="1" t="e">
        <f ca="1">_xll.BDH($C$328,"INVENT_DAYS","FY 2014","FY 2014","Currency=INR","Period=FY","BEST_FPERIOD_OVERRIDE=FY","FILING_STATUS=OR","EQY_CONSOLIDATED=Y","FA_ADJUSTED=GAAP","Sort=A","Dates=H","DateFormat=P","Fill=—","Direction=H","UseDPDF=Y")</f>
        <v>#NAME?</v>
      </c>
      <c r="DA328" s="3" t="e">
        <f ca="1">_xll.BDH($C$328,"ACCOUNTS_PAYABLE_TURNOVER","FY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28" s="1" t="e">
        <f ca="1">_xll.BDH($C$328,"ACCOUNTS_PAYABLE_TURNOVER_DAYS","FY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28" s="3" t="e">
        <f ca="1">_xll.BDH($C$328,"CASH_CONVERSION_CYCLE","FY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28" s="3" t="e">
        <f ca="1">_xll.BDH($C$328,"INV_TO_CASH_DAYS","FY 2014","FY 2014","Currency=INR","Period=FY","BEST_FPERIOD_OVERRIDE=FY","FILING_STATUS=OR","EQY_CONSOLIDATED=Y","FA_ADJUSTED=GAAP","Sort=A","Dates=H","DateFormat=P","Fill=—","Direction=H","UseDPDF=Y")</f>
        <v>#NAME?</v>
      </c>
      <c r="DE328" s="4" t="e">
        <f ca="1">_xll.BDH($C$328,"BS_INVENTORIES","FY 2014","FY 2014","Currency=INR","Period=FY","BEST_FPERIOD_OVERRIDE=FY","FILING_STATUS=OR","EQY_CONSOLIDATED=Y","SCALING_FORMAT=MLN","Sort=A","Dates=H","DateFormat=P","Fill=—","Direction=H","UseDPDF=Y")</f>
        <v>#NAME?</v>
      </c>
      <c r="DF328" s="2" t="e">
        <f ca="1">_xll.BDH($C$328,"INVTRY_RAW_MATERIALS","FY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28" s="2" t="e">
        <f ca="1">_xll.BDH($C$328,"INVTRY_IN_PROGRESS","FY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28" s="2" t="e">
        <f ca="1">_xll.BDH($C$328,"INVTRY_FINISHED_GOODS","FY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28" s="2" t="e">
        <f ca="1">_xll.BDH($C$328,"BS_OTHER_INV","FY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29" spans="1:113" x14ac:dyDescent="0.3">
      <c r="A329" s="6"/>
      <c r="B329" s="6"/>
      <c r="C329" s="6"/>
      <c r="D329" s="6"/>
      <c r="E329" t="s">
        <v>4</v>
      </c>
      <c r="F329" t="e">
        <f ca="1">_xll.BDH($C$328,"RETURN_COM_EQY","FQ1 2014","FQ1 2014","Currency=INR","Period=FQ","BEST_FPERIOD_OVERRIDE=FQ","FILING_STATUS=OR","EQY_CONSOLIDATED=Y","FA_ADJUSTED=GAAP","Sort=A","Dates=H","DateFormat=P","Fill=—","Direction=H","UseDPDF=Y")</f>
        <v>#NAME?</v>
      </c>
      <c r="G329" t="e">
        <f ca="1">_xll.BDH($C$328,"RETURN_ON_ASSET","FQ1 2014","FQ1 2014","Currency=INR","Period=FQ","BEST_FPERIOD_OVERRIDE=FQ","FILING_STATUS=OR","EQY_CONSOLIDATED=Y","FA_ADJUSTED=GAAP","Sort=A","Dates=H","DateFormat=P","Fill=—","Direction=H","UseDPDF=Y")</f>
        <v>#NAME?</v>
      </c>
      <c r="H329" t="e">
        <f ca="1">_xll.BDH($C$328,"RETURN_ON_CAP","FQ1 2014","FQ1 2014","Currency=INR","Period=FQ","BEST_FPERIOD_OVERRIDE=FQ","FILING_STATUS=OR","EQY_CONSOLIDATED=Y","FA_ADJUSTED=GAAP","Sort=A","Dates=H","DateFormat=P","Fill=—","Direction=H","UseDPDF=Y")</f>
        <v>#NAME?</v>
      </c>
      <c r="I329" t="e">
        <f ca="1">_xll.BDH($C$328,"RETURN_ON_INV_CAPITAL","FQ1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29" t="e">
        <f ca="1">_xll.BDH($C$328,"EBITDA_TO_REVENUE","FQ1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329" t="e">
        <f ca="1">_xll.BDH($C$328,"OPER_MARGIN","FQ1 2014","FQ1 2014","Currency=INR","Period=FQ","BEST_FPERIOD_OVERRIDE=FQ","FILING_STATUS=OR","EQY_CONSOLIDATED=Y","FA_ADJUSTED=GAAP","Sort=A","Dates=H","DateFormat=P","Fill=—","Direction=H","UseDPDF=Y")</f>
        <v>#NAME?</v>
      </c>
      <c r="L329" t="e">
        <f ca="1">_xll.BDH($C$328,"INCREMENTAL_OPERATING_MARGIN","FQ1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29" t="e">
        <f ca="1">_xll.BDH($C$328,"PRETAX_INC_TO_NET_SALES","FQ1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29" t="e">
        <f ca="1">_xll.BDH($C$328,"INC_BEF_XO_ITEMS_TO_NET_SALES","FQ1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29" t="e">
        <f ca="1">_xll.BDH($C$328,"PROF_MARGIN","FQ1 2014","FQ1 2014","Currency=INR","Period=FQ","BEST_FPERIOD_OVERRIDE=FQ","FILING_STATUS=OR","EQY_CONSOLIDATED=Y","FA_ADJUSTED=GAAP","Sort=A","Dates=H","DateFormat=P","Fill=—","Direction=H","UseDPDF=Y")</f>
        <v>#NAME?</v>
      </c>
      <c r="P329" t="e">
        <f ca="1">_xll.BDH($C$328,"NET_INCOME_TO_COMMON_MARGIN","FQ1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29" t="e">
        <f ca="1">_xll.BDH($C$328,"EFF_TAX_RATE","FQ1 2014","FQ1 2014","Currency=INR","Period=FQ","BEST_FPERIOD_OVERRIDE=FQ","FILING_STATUS=OR","EQY_CONSOLIDATED=Y","FA_ADJUSTED=GAAP","Sort=A","Dates=H","DateFormat=P","Fill=—","Direction=H","UseDPDF=Y")</f>
        <v>#NAME?</v>
      </c>
      <c r="R329" t="e">
        <f ca="1">_xll.BDH($C$328,"DVD_PAYOUT_RATIO","FQ1 2014","FQ1 2014","Currency=INR","Period=FQ","BEST_FPERIOD_OVERRIDE=FQ","FILING_STATUS=OR","EQY_CONSOLIDATED=Y","FA_ADJUSTED=GAAP","Sort=A","Dates=H","DateFormat=P","Fill=—","Direction=H","UseDPDF=Y")</f>
        <v>#NAME?</v>
      </c>
      <c r="S329" t="e">
        <f ca="1">_xll.BDH($C$328,"SUSTAIN_GROWTH_RT","FQ1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329" s="1" t="e">
        <f ca="1">_xll.BDH($C$328,"SALES_GROWTH","FQ1 2014","FQ1 2014","Currency=INR","Period=FQ","BEST_FPERIOD_OVERRIDE=FQ","FILING_STATUS=OR","EQY_CONSOLIDATED=Y","FA_ADJUSTED=GAAP","Sort=A","Dates=H","DateFormat=P","Fill=—","Direction=H","UseDPDF=Y")</f>
        <v>#NAME?</v>
      </c>
      <c r="U329" s="1" t="e">
        <f ca="1">_xll.BDH($C$328,"EBITDA_GROWTH","FQ1 2014","FQ1 2014","Currency=INR","Period=FQ","BEST_FPERIOD_OVERRIDE=FQ","FILING_STATUS=OR","EQY_CONSOLIDATED=Y","FA_ADJUSTED=GAAP","Sort=A","Dates=H","DateFormat=P","Fill=—","Direction=H","UseDPDF=Y")</f>
        <v>#NAME?</v>
      </c>
      <c r="V329" s="1" t="e">
        <f ca="1">_xll.BDH($C$328,"OPER_INC_GROWTH","FQ1 2014","FQ1 2014","Currency=INR","Period=FQ","BEST_FPERIOD_OVERRIDE=FQ","FILING_STATUS=OR","EQY_CONSOLIDATED=Y","FA_ADJUSTED=GAAP","Sort=A","Dates=H","DateFormat=P","Fill=—","Direction=H","UseDPDF=Y")</f>
        <v>#NAME?</v>
      </c>
      <c r="W329" s="1" t="e">
        <f ca="1">_xll.BDH($C$328,"EARN_FOR_COM_GROWTH","FQ1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29" s="1" t="e">
        <f ca="1">_xll.BDH($C$328,"DILUTED_EPS_AFT_XO_ITEMS_GROWTH","FQ1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29" s="1" t="e">
        <f ca="1">_xll.BDH($C$328,"DIVIDEND_PER_SHARE_1_YEAR_GROWTH","FQ1 2014","FQ1 2014","Currency=INR","Period=FQ","BEST_FPERIOD_OVERRIDE=FQ","FILING_STATUS=OR","EQY_CONSOLIDATED=Y","Sort=A","Dates=H","DateFormat=P","Fill=—","Direction=H","UseDPDF=Y")</f>
        <v>#NAME?</v>
      </c>
      <c r="Z329" s="1" t="e">
        <f ca="1">_xll.BDH($C$328,"ACCOUNTS_RECEIVABLE_GROWTH","FQ1 2014","FQ1 2014","Currency=INR","Period=FQ","BEST_FPERIOD_OVERRIDE=FQ","FILING_STATUS=OR","EQY_CONSOLIDATED=Y","Sort=A","Dates=H","DateFormat=P","Fill=—","Direction=H","UseDPDF=Y")</f>
        <v>#NAME?</v>
      </c>
      <c r="AA329" s="1" t="e">
        <f ca="1">_xll.BDH($C$328,"INVENTORY_GROWTH","FQ1 2014","FQ1 2014","Currency=INR","Period=FQ","BEST_FPERIOD_OVERRIDE=FQ","FILING_STATUS=OR","EQY_CONSOLIDATED=Y","Sort=A","Dates=H","DateFormat=P","Fill=—","Direction=H","UseDPDF=Y")</f>
        <v>#NAME?</v>
      </c>
      <c r="AB329" s="1" t="e">
        <f ca="1">_xll.BDH($C$328,"NET_FIXED_ASSETS_1_YEAR_GROWTH","FQ1 2014","FQ1 2014","Currency=INR","Period=FQ","BEST_FPERIOD_OVERRIDE=FQ","FILING_STATUS=OR","EQY_CONSOLIDATED=Y","Sort=A","Dates=H","DateFormat=P","Fill=—","Direction=H","UseDPDF=Y")</f>
        <v>#NAME?</v>
      </c>
      <c r="AC329" s="1" t="e">
        <f ca="1">_xll.BDH($C$328,"ASSET_GROWTH","FQ1 2014","FQ1 2014","Currency=INR","Period=FQ","BEST_FPERIOD_OVERRIDE=FQ","FILING_STATUS=OR","EQY_CONSOLIDATED=Y","Sort=A","Dates=H","DateFormat=P","Fill=—","Direction=H","UseDPDF=Y")</f>
        <v>#NAME?</v>
      </c>
      <c r="AD329" s="1" t="e">
        <f ca="1">_xll.BDH($C$328,"MODIFIED_WORK_CAP_GROWTH","FQ1 2014","FQ1 2014","Currency=INR","Period=FQ","BEST_FPERIOD_OVERRIDE=FQ","FILING_STATUS=OR","EQY_CONSOLIDATED=Y","Sort=A","Dates=H","DateFormat=P","Fill=—","Direction=H","UseDPDF=Y")</f>
        <v>#NAME?</v>
      </c>
      <c r="AE329" s="1" t="e">
        <f ca="1">_xll.BDH($C$328,"WORK_CAP_GROWTH","FQ1 2014","FQ1 2014","Currency=INR","Period=FQ","BEST_FPERIOD_OVERRIDE=FQ","FILING_STATUS=OR","EQY_CONSOLIDATED=Y","Sort=A","Dates=H","DateFormat=P","Fill=—","Direction=H","UseDPDF=Y")</f>
        <v>#NAME?</v>
      </c>
      <c r="AF329" s="1" t="e">
        <f ca="1">_xll.BDH($C$328,"ACCOUNTS_PAYABLE_GROWTH_1YR","FQ1 2014","FQ1 2014","Currency=INR","Period=FQ","BEST_FPERIOD_OVERRIDE=FQ","FILING_STATUS=OR","EQY_CONSOLIDATED=Y","Sort=A","Dates=H","DateFormat=P","Fill=—","Direction=H","UseDPDF=Y")</f>
        <v>#NAME?</v>
      </c>
      <c r="AG329" s="1" t="e">
        <f ca="1">_xll.BDH($C$328,"SHORT_TERM_DEBT_1_YEAR_GROWTH","FQ1 2014","FQ1 2014","Currency=INR","Period=FQ","BEST_FPERIOD_OVERRIDE=FQ","FILING_STATUS=OR","EQY_CONSOLIDATED=Y","Sort=A","Dates=H","DateFormat=P","Fill=—","Direction=H","UseDPDF=Y")</f>
        <v>#NAME?</v>
      </c>
      <c r="AH329" s="1" t="e">
        <f ca="1">_xll.BDH($C$328,"TOTAL_DEBT_1_YEAR_GROWTH","FQ1 2014","FQ1 2014","Currency=INR","Period=FQ","BEST_FPERIOD_OVERRIDE=FQ","FILING_STATUS=OR","EQY_CONSOLIDATED=Y","Sort=A","Dates=H","DateFormat=P","Fill=—","Direction=H","UseDPDF=Y")</f>
        <v>#NAME?</v>
      </c>
      <c r="AI329" s="1" t="e">
        <f ca="1">_xll.BDH($C$328,"TOTAL_EQUITY_1_YEAR_GROWTH","FQ1 2014","FQ1 2014","Currency=INR","Period=FQ","BEST_FPERIOD_OVERRIDE=FQ","FILING_STATUS=OR","EQY_CONSOLIDATED=Y","Sort=A","Dates=H","DateFormat=P","Fill=—","Direction=H","UseDPDF=Y")</f>
        <v>#NAME?</v>
      </c>
      <c r="AJ329" s="1" t="e">
        <f ca="1">_xll.BDH($C$328,"GROWTH_IN_CAP","FQ1 2014","FQ1 2014","Currency=INR","Period=FQ","BEST_FPERIOD_OVERRIDE=FQ","FILING_STATUS=OR","EQY_CONSOLIDATED=Y","Sort=A","Dates=H","DateFormat=P","Fill=—","Direction=H","UseDPDF=Y")</f>
        <v>#NAME?</v>
      </c>
      <c r="AK329" s="1" t="e">
        <f ca="1">_xll.BDH($C$328,"BVPS_GROWTH","FQ1 2014","FQ1 2014","Currency=INR","Period=FQ","BEST_FPERIOD_OVERRIDE=FQ","FILING_STATUS=OR","EQY_CONSOLIDATED=Y","Sort=A","Dates=H","DateFormat=P","Fill=—","Direction=H","UseDPDF=Y")</f>
        <v>#NAME?</v>
      </c>
      <c r="AL329" s="1" t="e">
        <f ca="1">_xll.BDH($C$328,"CASH_FLOW_GROWTH","FQ1 2014","FQ1 2014","Currency=INR","Period=FQ","BEST_FPERIOD_OVERRIDE=FQ","FILING_STATUS=OR","EQY_CONSOLIDATED=Y","Sort=A","Dates=H","DateFormat=P","Fill=—","Direction=H","UseDPDF=Y")</f>
        <v>#NAME?</v>
      </c>
      <c r="AM329" s="1" t="e">
        <f ca="1">_xll.BDH($C$328,"GEO_GROW_NET_SALES","FQ1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29" s="1" t="e">
        <f ca="1">_xll.BDH($C$328,"GEO_GROW_EBITDA","FQ1 2014","FQ1 2014","Currency=INR","Period=FQ","BEST_FPERIOD_OVERRIDE=FQ","FILING_STATUS=OR","EQY_CONSOLIDATED=Y","FA_ADJUSTED=GAAP","Sort=A","Dates=H","DateFormat=P","Fill=—","Direction=H","UseDPDF=Y")</f>
        <v>#NAME?</v>
      </c>
      <c r="AO329" s="1" t="e">
        <f ca="1">_xll.BDH($C$328,"GEO_GROW_OPER_INC","FQ1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29" s="1" t="e">
        <f ca="1">_xll.BDH($C$328,"NET_INCOME_TO_COMMON_5_YR_GROWTH","FQ1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29" s="1" t="e">
        <f ca="1">_xll.BDH($C$328,"5Y_GEO_GROWTH_DILUTED_EPS","FQ1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29" s="1" t="e">
        <f ca="1">_xll.BDH($C$328,"GEO_GROW_DVD_PER_SH","FQ1 2014","FQ1 2014","Currency=INR","Period=FQ","BEST_FPERIOD_OVERRIDE=FQ","FILING_STATUS=OR","EQY_CONSOLIDATED=Y","Sort=A","Dates=H","DateFormat=P","Fill=—","Direction=H","UseDPDF=Y")</f>
        <v>#NAME?</v>
      </c>
      <c r="AS329" s="1" t="e">
        <f ca="1">_xll.BDH($C$328,"ACCOUNTS_RECEIVABLE_5_YR_GROWTH","FQ1 2014","FQ1 2014","Currency=INR","Period=FQ","BEST_FPERIOD_OVERRIDE=FQ","FILING_STATUS=OR","EQY_CONSOLIDATED=Y","Sort=A","Dates=H","DateFormat=P","Fill=—","Direction=H","UseDPDF=Y")</f>
        <v>#NAME?</v>
      </c>
      <c r="AT329" s="1" t="e">
        <f ca="1">_xll.BDH($C$328,"INVENTORY_5_YEAR_GROWTH","FQ1 2014","FQ1 2014","Currency=INR","Period=FQ","BEST_FPERIOD_OVERRIDE=FQ","FILING_STATUS=OR","EQY_CONSOLIDATED=Y","Sort=A","Dates=H","DateFormat=P","Fill=—","Direction=H","UseDPDF=Y")</f>
        <v>#NAME?</v>
      </c>
      <c r="AU329" s="1" t="e">
        <f ca="1">_xll.BDH($C$328,"NET_FIXED_ASSETS_5_YEAR_GROWTH","FQ1 2014","FQ1 2014","Currency=INR","Period=FQ","BEST_FPERIOD_OVERRIDE=FQ","FILING_STATUS=OR","EQY_CONSOLIDATED=Y","Sort=A","Dates=H","DateFormat=P","Fill=—","Direction=H","UseDPDF=Y")</f>
        <v>#NAME?</v>
      </c>
      <c r="AV329" s="1" t="e">
        <f ca="1">_xll.BDH($C$328,"GEO_GROW_TOT_ASSET","FQ1 2014","FQ1 2014","Currency=INR","Period=FQ","BEST_FPERIOD_OVERRIDE=FQ","FILING_STATUS=OR","EQY_CONSOLIDATED=Y","Sort=A","Dates=H","DateFormat=P","Fill=—","Direction=H","UseDPDF=Y")</f>
        <v>#NAME?</v>
      </c>
      <c r="AW329" s="1" t="e">
        <f ca="1">_xll.BDH($C$328,"MODIFIED_WORKING_CPTL_5YR_GRWTH","FQ1 2014","FQ1 2014","Currency=INR","Period=FQ","BEST_FPERIOD_OVERRIDE=FQ","FILING_STATUS=OR","EQY_CONSOLIDATED=Y","Sort=A","Dates=H","DateFormat=P","Fill=—","Direction=H","UseDPDF=Y")</f>
        <v>#NAME?</v>
      </c>
      <c r="AX329" s="1" t="e">
        <f ca="1">_xll.BDH($C$328,"WORKING_CAPITAL_5_YEAR_GROWTH","FQ1 2014","FQ1 2014","Currency=INR","Period=FQ","BEST_FPERIOD_OVERRIDE=FQ","FILING_STATUS=OR","EQY_CONSOLIDATED=Y","Sort=A","Dates=H","DateFormat=P","Fill=—","Direction=H","UseDPDF=Y")</f>
        <v>#NAME?</v>
      </c>
      <c r="AY329" s="1" t="e">
        <f ca="1">_xll.BDH($C$328,"ACCOUNTS_PAYABLE_5_YEAR_GROWTH","FQ1 2014","FQ1 2014","Currency=INR","Period=FQ","BEST_FPERIOD_OVERRIDE=FQ","FILING_STATUS=OR","EQY_CONSOLIDATED=Y","Sort=A","Dates=H","DateFormat=P","Fill=—","Direction=H","UseDPDF=Y")</f>
        <v>#NAME?</v>
      </c>
      <c r="AZ329" s="1" t="e">
        <f ca="1">_xll.BDH($C$328,"SHORT_TERM_DEBT_5_YEAR_GROWTH","FQ1 2014","FQ1 2014","Currency=INR","Period=FQ","BEST_FPERIOD_OVERRIDE=FQ","FILING_STATUS=OR","EQY_CONSOLIDATED=Y","Sort=A","Dates=H","DateFormat=P","Fill=—","Direction=H","UseDPDF=Y")</f>
        <v>#NAME?</v>
      </c>
      <c r="BA329" s="1" t="e">
        <f ca="1">_xll.BDH($C$328,"TOTAL_DEBT_5_YEAR_GROWTH","FQ1 2014","FQ1 2014","Currency=INR","Period=FQ","BEST_FPERIOD_OVERRIDE=FQ","FILING_STATUS=OR","EQY_CONSOLIDATED=Y","Sort=A","Dates=H","DateFormat=P","Fill=—","Direction=H","UseDPDF=Y")</f>
        <v>#NAME?</v>
      </c>
      <c r="BB329" s="1" t="e">
        <f ca="1">_xll.BDH($C$328,"GEO_GROW_TOT_SHRHLDR_EQY","FQ1 2014","FQ1 2014","Currency=INR","Period=FQ","BEST_FPERIOD_OVERRIDE=FQ","FILING_STATUS=OR","EQY_CONSOLIDATED=Y","Sort=A","Dates=H","DateFormat=P","Fill=—","Direction=H","UseDPDF=Y")</f>
        <v>#NAME?</v>
      </c>
      <c r="BC329" s="1" t="e">
        <f ca="1">_xll.BDH($C$328,"TOTAL_CAPITAL_5_YEAR_GROWTH","FQ1 2014","FQ1 2014","Currency=INR","Period=FQ","BEST_FPERIOD_OVERRIDE=FQ","FILING_STATUS=OR","EQY_CONSOLIDATED=Y","Sort=A","Dates=H","DateFormat=P","Fill=—","Direction=H","UseDPDF=Y")</f>
        <v>#NAME?</v>
      </c>
      <c r="BD329" s="1" t="e">
        <f ca="1">_xll.BDH($C$328,"GEO_GROW_BOOK_VAL","FQ1 2014","FQ1 2014","Currency=INR","Period=FQ","BEST_FPERIOD_OVERRIDE=FQ","FILING_STATUS=OR","EQY_CONSOLIDATED=Y","Sort=A","Dates=H","DateFormat=P","Fill=—","Direction=H","UseDPDF=Y")</f>
        <v>#NAME?</v>
      </c>
      <c r="BE329" s="1" t="e">
        <f ca="1">_xll.BDH($C$328,"GEO_GROW_CASH_OPER_ACT","FQ1 2014","FQ1 2014","Currency=INR","Period=FQ","BEST_FPERIOD_OVERRIDE=FQ","FILING_STATUS=OR","EQY_CONSOLIDATED=Y","Sort=A","Dates=H","DateFormat=P","Fill=—","Direction=H","UseDPDF=Y")</f>
        <v>#NAME?</v>
      </c>
      <c r="BF329" s="1" t="e">
        <f ca="1">_xll.BDH($C$328,"REVENUE_SEQUENTIAL_GROWTH","FQ1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29" s="1" t="e">
        <f ca="1">_xll.BDH($C$328,"EBITDA_SEQUENTIAL_GROWTH","FQ1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29" s="1" t="e">
        <f ca="1">_xll.BDH($C$328,"OPERATING_INCOME_SEQ_GROWTH","FQ1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29" s="1" t="e">
        <f ca="1">_xll.BDH($C$328,"NET_INCOME_TO_COMMON_SEQ_GROWTH","FQ1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29" s="1" t="e">
        <f ca="1">_xll.BDH($C$328,"EPS_DILUTED_SEQUENTIAL_GROWTH","FQ1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29" s="1" t="e">
        <f ca="1">_xll.BDH($C$328,"DPS_SEQUENTIAL_GROWTH","FQ1 2014","FQ1 2014","Currency=INR","Period=FQ","BEST_FPERIOD_OVERRIDE=FQ","FILING_STATUS=OR","EQY_CONSOLIDATED=Y","Sort=A","Dates=H","DateFormat=P","Fill=—","Direction=H","UseDPDF=Y")</f>
        <v>#NAME?</v>
      </c>
      <c r="BL329" s="1" t="e">
        <f ca="1">_xll.BDH($C$328,"ACCOUNTS_RECEIVABLE_SEQ_GROWTH","FQ1 2014","FQ1 2014","Currency=INR","Period=FQ","BEST_FPERIOD_OVERRIDE=FQ","FILING_STATUS=OR","EQY_CONSOLIDATED=Y","Sort=A","Dates=H","DateFormat=P","Fill=—","Direction=H","UseDPDF=Y")</f>
        <v>#NAME?</v>
      </c>
      <c r="BM329" s="1" t="e">
        <f ca="1">_xll.BDH($C$328,"INVENTORY_SEQUENTIAL_GROWTH","FQ1 2014","FQ1 2014","Currency=INR","Period=FQ","BEST_FPERIOD_OVERRIDE=FQ","FILING_STATUS=OR","EQY_CONSOLIDATED=Y","Sort=A","Dates=H","DateFormat=P","Fill=—","Direction=H","UseDPDF=Y")</f>
        <v>#NAME?</v>
      </c>
      <c r="BN329" s="1" t="e">
        <f ca="1">_xll.BDH($C$328,"FIXED_ASSETS_SEQUENTIAL_GROWTH","FQ1 2014","FQ1 2014","Currency=INR","Period=FQ","BEST_FPERIOD_OVERRIDE=FQ","FILING_STATUS=OR","EQY_CONSOLIDATED=Y","Sort=A","Dates=H","DateFormat=P","Fill=—","Direction=H","UseDPDF=Y")</f>
        <v>#NAME?</v>
      </c>
      <c r="BO329" s="1" t="e">
        <f ca="1">_xll.BDH($C$328,"TOTAL_ASSETS_SEQUENTIAL_GROWTH","FQ1 2014","FQ1 2014","Currency=INR","Period=FQ","BEST_FPERIOD_OVERRIDE=FQ","FILING_STATUS=OR","EQY_CONSOLIDATED=Y","Sort=A","Dates=H","DateFormat=P","Fill=—","Direction=H","UseDPDF=Y")</f>
        <v>#NAME?</v>
      </c>
      <c r="BP329" s="1" t="e">
        <f ca="1">_xll.BDH($C$328,"MODIFIED_WORKING_CPTL_SEQ_GRWTH","FQ1 2014","FQ1 2014","Currency=INR","Period=FQ","BEST_FPERIOD_OVERRIDE=FQ","FILING_STATUS=OR","EQY_CONSOLIDATED=Y","Sort=A","Dates=H","DateFormat=P","Fill=—","Direction=H","UseDPDF=Y")</f>
        <v>#NAME?</v>
      </c>
      <c r="BQ329" s="1" t="e">
        <f ca="1">_xll.BDH($C$328,"WORKING_CAPITAL_SEQ_GROWTH","FQ1 2014","FQ1 2014","Currency=INR","Period=FQ","BEST_FPERIOD_OVERRIDE=FQ","FILING_STATUS=OR","EQY_CONSOLIDATED=Y","Sort=A","Dates=H","DateFormat=P","Fill=—","Direction=H","UseDPDF=Y")</f>
        <v>#NAME?</v>
      </c>
      <c r="BR329" s="1" t="e">
        <f ca="1">_xll.BDH($C$328,"ACCOUNTS_PAYABLE_SEQ_GROWTH","FQ1 2014","FQ1 2014","Currency=INR","Period=FQ","BEST_FPERIOD_OVERRIDE=FQ","FILING_STATUS=OR","EQY_CONSOLIDATED=Y","Sort=A","Dates=H","DateFormat=P","Fill=—","Direction=H","UseDPDF=Y")</f>
        <v>#NAME?</v>
      </c>
      <c r="BS329" s="1" t="e">
        <f ca="1">_xll.BDH($C$328,"ST_DEBT_SEQUENTIAL_GROWTH","FQ1 2014","FQ1 2014","Currency=INR","Period=FQ","BEST_FPERIOD_OVERRIDE=FQ","FILING_STATUS=OR","EQY_CONSOLIDATED=Y","Sort=A","Dates=H","DateFormat=P","Fill=—","Direction=H","UseDPDF=Y")</f>
        <v>#NAME?</v>
      </c>
      <c r="BT329" s="1" t="e">
        <f ca="1">_xll.BDH($C$328,"TOTAL_DEBT_SEQUENTIAL_GROWTH","FQ1 2014","FQ1 2014","Currency=INR","Period=FQ","BEST_FPERIOD_OVERRIDE=FQ","FILING_STATUS=OR","EQY_CONSOLIDATED=Y","Sort=A","Dates=H","DateFormat=P","Fill=—","Direction=H","UseDPDF=Y")</f>
        <v>#NAME?</v>
      </c>
      <c r="BU329" s="1" t="e">
        <f ca="1">_xll.BDH($C$328,"TOTAL_EQUITY_SEQUENTIAL_GROWTH","FQ1 2014","FQ1 2014","Currency=INR","Period=FQ","BEST_FPERIOD_OVERRIDE=FQ","FILING_STATUS=OR","EQY_CONSOLIDATED=Y","Sort=A","Dates=H","DateFormat=P","Fill=—","Direction=H","UseDPDF=Y")</f>
        <v>#NAME?</v>
      </c>
      <c r="BV329" s="1" t="e">
        <f ca="1">_xll.BDH($C$328,"TOTAL_CAPITAL_SEQUENTIAL_GROWTH","FQ1 2014","FQ1 2014","Currency=INR","Period=FQ","BEST_FPERIOD_OVERRIDE=FQ","FILING_STATUS=OR","EQY_CONSOLIDATED=Y","Sort=A","Dates=H","DateFormat=P","Fill=—","Direction=H","UseDPDF=Y")</f>
        <v>#NAME?</v>
      </c>
      <c r="BW329" s="1" t="e">
        <f ca="1">_xll.BDH($C$328,"BPS_SEQUENTIAL_GROWTH","FQ1 2014","FQ1 2014","Currency=INR","Period=FQ","BEST_FPERIOD_OVERRIDE=FQ","FILING_STATUS=OR","EQY_CONSOLIDATED=Y","Sort=A","Dates=H","DateFormat=P","Fill=—","Direction=H","UseDPDF=Y")</f>
        <v>#NAME?</v>
      </c>
      <c r="BX329" s="1" t="e">
        <f ca="1">_xll.BDH($C$328,"CFO_SEQUENTIAL_GROWTH","FQ1 2014","FQ1 2014","Currency=INR","Period=FQ","BEST_FPERIOD_OVERRIDE=FQ","FILING_STATUS=OR","EQY_CONSOLIDATED=Y","Sort=A","Dates=H","DateFormat=P","Fill=—","Direction=H","UseDPDF=Y")</f>
        <v>#NAME?</v>
      </c>
      <c r="BY329" s="2" t="e">
        <f ca="1">_xll.BDH($C$328,"SHORT_AND_LONG_TERM_DEBT","FQ1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29" s="2" t="e">
        <f ca="1">_xll.BDH($C$328,"BS_ST_BORROW","FQ1 2014","FQ1 2014","Currency=INR","Period=FQ","BEST_FPERIOD_OVERRIDE=FQ","FILING_STATUS=OR","EQY_CONSOLIDATED=Y","SCALING_FORMAT=MLN","Sort=A","Dates=H","DateFormat=P","Fill=—","Direction=H","UseDPDF=Y")</f>
        <v>#NAME?</v>
      </c>
      <c r="CA329" s="2" t="e">
        <f ca="1">_xll.BDH($C$328,"BS_LT_BORROW","FQ1 2014","FQ1 2014","Currency=INR","Period=FQ","BEST_FPERIOD_OVERRIDE=FQ","FILING_STATUS=OR","EQY_CONSOLIDATED=Y","SCALING_FORMAT=MLN","Sort=A","Dates=H","DateFormat=P","Fill=—","Direction=H","UseDPDF=Y")</f>
        <v>#NAME?</v>
      </c>
      <c r="CB329" s="1" t="e">
        <f ca="1">_xll.BDH($C$328,"TOT_DEBT_TO_EBITDA","FQ1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29" s="1" t="e">
        <f ca="1">_xll.BDH($C$328,"NET_DEBT_TO_EBITDA","FQ1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29" s="1" t="e">
        <f ca="1">_xll.BDH($C$328,"TOTAL_DEBT_TO_EBIT","FQ1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29" s="1" t="e">
        <f ca="1">_xll.BDH($C$328,"NET_DEBT_TO_EBIT","FQ1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329" s="1" t="e">
        <f ca="1">_xll.BDH($C$328,"EBITDA_TO_INTEREST_EXPN","FQ1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29" s="1" t="e">
        <f ca="1">_xll.BDH($C$328,"COM_EQY_TO_TOT_ASSET","FQ1 2014","FQ1 2014","Currency=INR","Period=FQ","BEST_FPERIOD_OVERRIDE=FQ","FILING_STATUS=OR","EQY_CONSOLIDATED=Y","Sort=A","Dates=H","DateFormat=P","Fill=—","Direction=H","UseDPDF=Y")</f>
        <v>#NAME?</v>
      </c>
      <c r="CH329" s="1" t="e">
        <f ca="1">_xll.BDH($C$328,"LT_DEBT_TO_TOT_EQY","FQ1 2014","FQ1 2014","Currency=INR","Period=FQ","BEST_FPERIOD_OVERRIDE=FQ","FILING_STATUS=OR","EQY_CONSOLIDATED=Y","Sort=A","Dates=H","DateFormat=P","Fill=—","Direction=H","UseDPDF=Y")</f>
        <v>#NAME?</v>
      </c>
      <c r="CI329" s="1" t="e">
        <f ca="1">_xll.BDH($C$328,"LT_DEBT_TO_TOT_CAP","FQ1 2014","FQ1 2014","Currency=INR","Period=FQ","BEST_FPERIOD_OVERRIDE=FQ","FILING_STATUS=OR","EQY_CONSOLIDATED=Y","Sort=A","Dates=H","DateFormat=P","Fill=—","Direction=H","UseDPDF=Y")</f>
        <v>#NAME?</v>
      </c>
      <c r="CJ329" s="1" t="e">
        <f ca="1">_xll.BDH($C$328,"LT_DEBT_TO_TOT_ASSET","FQ1 2014","FQ1 2014","Currency=INR","Period=FQ","BEST_FPERIOD_OVERRIDE=FQ","FILING_STATUS=OR","EQY_CONSOLIDATED=Y","Sort=A","Dates=H","DateFormat=P","Fill=—","Direction=H","UseDPDF=Y")</f>
        <v>#NAME?</v>
      </c>
      <c r="CK329" s="1" t="e">
        <f ca="1">_xll.BDH($C$328,"TOT_DEBT_TO_TOT_EQY","FQ1 2014","FQ1 2014","Currency=INR","Period=FQ","BEST_FPERIOD_OVERRIDE=FQ","FILING_STATUS=OR","EQY_CONSOLIDATED=Y","Sort=A","Dates=H","DateFormat=P","Fill=—","Direction=H","UseDPDF=Y")</f>
        <v>#NAME?</v>
      </c>
      <c r="CL329" s="1" t="e">
        <f ca="1">_xll.BDH($C$328,"TOT_DEBT_TO_TOT_CAP","FQ1 2014","FQ1 2014","Currency=INR","Period=FQ","BEST_FPERIOD_OVERRIDE=FQ","FILING_STATUS=OR","EQY_CONSOLIDATED=Y","Sort=A","Dates=H","DateFormat=P","Fill=—","Direction=H","UseDPDF=Y")</f>
        <v>#NAME?</v>
      </c>
      <c r="CM329" s="1" t="e">
        <f ca="1">_xll.BDH($C$328,"TOT_DEBT_TO_TOT_ASSET","FQ1 2014","FQ1 2014","Currency=INR","Period=FQ","BEST_FPERIOD_OVERRIDE=FQ","FILING_STATUS=OR","EQY_CONSOLIDATED=Y","Sort=A","Dates=H","DateFormat=P","Fill=—","Direction=H","UseDPDF=Y")</f>
        <v>#NAME?</v>
      </c>
      <c r="CN329" s="1" t="e">
        <f ca="1">_xll.BDH($C$328,"NET_DEBT_TO_SHRHLDR_EQTY","FQ1 2014","FQ1 2014","Currency=INR","Period=FQ","BEST_FPERIOD_OVERRIDE=FQ","FILING_STATUS=OR","EQY_CONSOLIDATED=Y","Sort=A","Dates=H","DateFormat=P","Fill=—","Direction=H","UseDPDF=Y")</f>
        <v>#NAME?</v>
      </c>
      <c r="CO329" s="1" t="e">
        <f ca="1">_xll.BDH($C$328,"NET_DEBT_%_CAPITAL","FQ1 2014","FQ1 2014","Currency=INR","Period=FQ","BEST_FPERIOD_OVERRIDE=FQ","FILING_STATUS=OR","EQY_CONSOLIDATED=Y","Sort=A","Dates=H","DateFormat=P","Fill=—","Direction=H","UseDPDF=Y")</f>
        <v>#NAME?</v>
      </c>
      <c r="CP329" s="2" t="e">
        <f ca="1">_xll.BDH($C$328,"EBITDA","FQ1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29" s="2" t="e">
        <f ca="1">_xll.BDH($C$328,"EBITDA_AFTER_CAPEX","FQ1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29" s="2" t="e">
        <f ca="1">_xll.BDH($C$328,"IS_OPER_INC","FQ1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29" s="1" t="e">
        <f ca="1">_xll.BDH($C$328,"CASH_RATIO","FQ1 2014","FQ1 2014","Currency=INR","Period=FQ","BEST_FPERIOD_OVERRIDE=FQ","FILING_STATUS=OR","EQY_CONSOLIDATED=Y","Sort=A","Dates=H","DateFormat=P","Fill=—","Direction=H","UseDPDF=Y")</f>
        <v>#NAME?</v>
      </c>
      <c r="CT329" s="1" t="e">
        <f ca="1">_xll.BDH($C$328,"CUR_RATIO","FQ1 2014","FQ1 2014","Currency=INR","Period=FQ","BEST_FPERIOD_OVERRIDE=FQ","FILING_STATUS=OR","EQY_CONSOLIDATED=Y","Sort=A","Dates=H","DateFormat=P","Fill=—","Direction=H","UseDPDF=Y")</f>
        <v>#NAME?</v>
      </c>
      <c r="CU329" s="1" t="e">
        <f ca="1">_xll.BDH($C$328,"QUICK_RATIO","FQ1 2014","FQ1 2014","Currency=INR","Period=FQ","BEST_FPERIOD_OVERRIDE=FQ","FILING_STATUS=OR","EQY_CONSOLIDATED=Y","Sort=A","Dates=H","DateFormat=P","Fill=—","Direction=H","UseDPDF=Y")</f>
        <v>#NAME?</v>
      </c>
      <c r="CV329" s="1" t="e">
        <f ca="1">_xll.BDH($C$328,"ALTMAN_Z_SCORE","FQ1 2014","FQ1 2014","Currency=INR","Period=FQ","BEST_FPERIOD_OVERRIDE=FQ","FILING_STATUS=OR","EQY_CONSOLIDATED=Y","Sort=A","Dates=H","DateFormat=P","Fill=—","Direction=H","UseDPDF=Y")</f>
        <v>#NAME?</v>
      </c>
      <c r="CW329" s="3" t="e">
        <f ca="1">_xll.BDH($C$328,"ACCT_RCV_TURN","FQ1 2014","FQ1 2014","Currency=INR","Period=FQ","BEST_FPERIOD_OVERRIDE=FQ","FILING_STATUS=OR","EQY_CONSOLIDATED=Y","FA_ADJUSTED=GAAP","Sort=A","Dates=H","DateFormat=P","Fill=—","Direction=H","UseDPDF=Y")</f>
        <v>#NAME?</v>
      </c>
      <c r="CX329" s="1" t="e">
        <f ca="1">_xll.BDH($C$328,"ACCT_RCV_DAYS","FQ1 2014","FQ1 2014","Currency=INR","Period=FQ","BEST_FPERIOD_OVERRIDE=FQ","FILING_STATUS=OR","EQY_CONSOLIDATED=Y","FA_ADJUSTED=GAAP","Sort=A","Dates=H","DateFormat=P","Fill=—","Direction=H","UseDPDF=Y")</f>
        <v>#NAME?</v>
      </c>
      <c r="CY329" s="3" t="e">
        <f ca="1">_xll.BDH($C$328,"INVENT_TURN","FQ1 2014","FQ1 2014","Currency=INR","Period=FQ","BEST_FPERIOD_OVERRIDE=FQ","FILING_STATUS=OR","EQY_CONSOLIDATED=Y","FA_ADJUSTED=GAAP","Sort=A","Dates=H","DateFormat=P","Fill=—","Direction=H","UseDPDF=Y")</f>
        <v>#NAME?</v>
      </c>
      <c r="CZ329" s="1" t="e">
        <f ca="1">_xll.BDH($C$328,"INVENT_DAYS","FQ1 2014","FQ1 2014","Currency=INR","Period=FQ","BEST_FPERIOD_OVERRIDE=FQ","FILING_STATUS=OR","EQY_CONSOLIDATED=Y","FA_ADJUSTED=GAAP","Sort=A","Dates=H","DateFormat=P","Fill=—","Direction=H","UseDPDF=Y")</f>
        <v>#NAME?</v>
      </c>
      <c r="DA329" s="3" t="e">
        <f ca="1">_xll.BDH($C$328,"ACCOUNTS_PAYABLE_TURNOVER","FQ1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29" s="1" t="e">
        <f ca="1">_xll.BDH($C$328,"ACCOUNTS_PAYABLE_TURNOVER_DAYS","FQ1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29" s="3" t="e">
        <f ca="1">_xll.BDH($C$328,"CASH_CONVERSION_CYCLE","FQ1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29" s="3" t="e">
        <f ca="1">_xll.BDH($C$328,"INV_TO_CASH_DAYS","FQ1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329" s="4" t="e">
        <f ca="1">_xll.BDH($C$328,"BS_INVENTORIES","FQ1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329" s="2" t="e">
        <f ca="1">_xll.BDH($C$328,"INVTRY_RAW_MATERIALS","FQ1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29" s="2" t="e">
        <f ca="1">_xll.BDH($C$328,"INVTRY_IN_PROGRESS","FQ1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29" s="2" t="e">
        <f ca="1">_xll.BDH($C$328,"INVTRY_FINISHED_GOODS","FQ1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29" s="2" t="e">
        <f ca="1">_xll.BDH($C$328,"BS_OTHER_INV","FQ1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30" spans="1:113" x14ac:dyDescent="0.3">
      <c r="A330" s="6"/>
      <c r="B330" s="6"/>
      <c r="C330" s="6"/>
      <c r="D330" s="6"/>
      <c r="E330" t="s">
        <v>5</v>
      </c>
      <c r="F330" t="e">
        <f ca="1">_xll.BDH($C$328,"RETURN_COM_EQY","FQ2 2014","FQ2 2014","Currency=INR","Period=FQ","BEST_FPERIOD_OVERRIDE=FQ","FILING_STATUS=OR","EQY_CONSOLIDATED=Y","FA_ADJUSTED=GAAP","Sort=A","Dates=H","DateFormat=P","Fill=—","Direction=H","UseDPDF=Y")</f>
        <v>#NAME?</v>
      </c>
      <c r="G330" t="e">
        <f ca="1">_xll.BDH($C$328,"RETURN_ON_ASSET","FQ2 2014","FQ2 2014","Currency=INR","Period=FQ","BEST_FPERIOD_OVERRIDE=FQ","FILING_STATUS=OR","EQY_CONSOLIDATED=Y","FA_ADJUSTED=GAAP","Sort=A","Dates=H","DateFormat=P","Fill=—","Direction=H","UseDPDF=Y")</f>
        <v>#NAME?</v>
      </c>
      <c r="H330" t="e">
        <f ca="1">_xll.BDH($C$328,"RETURN_ON_CAP","FQ2 2014","FQ2 2014","Currency=INR","Period=FQ","BEST_FPERIOD_OVERRIDE=FQ","FILING_STATUS=OR","EQY_CONSOLIDATED=Y","FA_ADJUSTED=GAAP","Sort=A","Dates=H","DateFormat=P","Fill=—","Direction=H","UseDPDF=Y")</f>
        <v>#NAME?</v>
      </c>
      <c r="I330" t="e">
        <f ca="1">_xll.BDH($C$328,"RETURN_ON_INV_CAPITAL","FQ2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30" t="e">
        <f ca="1">_xll.BDH($C$328,"EBITDA_TO_REVENUE","FQ2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330" t="e">
        <f ca="1">_xll.BDH($C$328,"OPER_MARGIN","FQ2 2014","FQ2 2014","Currency=INR","Period=FQ","BEST_FPERIOD_OVERRIDE=FQ","FILING_STATUS=OR","EQY_CONSOLIDATED=Y","FA_ADJUSTED=GAAP","Sort=A","Dates=H","DateFormat=P","Fill=—","Direction=H","UseDPDF=Y")</f>
        <v>#NAME?</v>
      </c>
      <c r="L330" t="e">
        <f ca="1">_xll.BDH($C$328,"INCREMENTAL_OPERATING_MARGIN","FQ2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30" t="e">
        <f ca="1">_xll.BDH($C$328,"PRETAX_INC_TO_NET_SALES","FQ2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30" t="e">
        <f ca="1">_xll.BDH($C$328,"INC_BEF_XO_ITEMS_TO_NET_SALES","FQ2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30" t="e">
        <f ca="1">_xll.BDH($C$328,"PROF_MARGIN","FQ2 2014","FQ2 2014","Currency=INR","Period=FQ","BEST_FPERIOD_OVERRIDE=FQ","FILING_STATUS=OR","EQY_CONSOLIDATED=Y","FA_ADJUSTED=GAAP","Sort=A","Dates=H","DateFormat=P","Fill=—","Direction=H","UseDPDF=Y")</f>
        <v>#NAME?</v>
      </c>
      <c r="P330" t="e">
        <f ca="1">_xll.BDH($C$328,"NET_INCOME_TO_COMMON_MARGIN","FQ2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30" t="e">
        <f ca="1">_xll.BDH($C$328,"EFF_TAX_RATE","FQ2 2014","FQ2 2014","Currency=INR","Period=FQ","BEST_FPERIOD_OVERRIDE=FQ","FILING_STATUS=OR","EQY_CONSOLIDATED=Y","FA_ADJUSTED=GAAP","Sort=A","Dates=H","DateFormat=P","Fill=—","Direction=H","UseDPDF=Y")</f>
        <v>#NAME?</v>
      </c>
      <c r="R330" t="e">
        <f ca="1">_xll.BDH($C$328,"DVD_PAYOUT_RATIO","FQ2 2014","FQ2 2014","Currency=INR","Period=FQ","BEST_FPERIOD_OVERRIDE=FQ","FILING_STATUS=OR","EQY_CONSOLIDATED=Y","FA_ADJUSTED=GAAP","Sort=A","Dates=H","DateFormat=P","Fill=—","Direction=H","UseDPDF=Y")</f>
        <v>#NAME?</v>
      </c>
      <c r="S330" t="e">
        <f ca="1">_xll.BDH($C$328,"SUSTAIN_GROWTH_RT","FQ2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330" s="1" t="e">
        <f ca="1">_xll.BDH($C$328,"SALES_GROWTH","FQ2 2014","FQ2 2014","Currency=INR","Period=FQ","BEST_FPERIOD_OVERRIDE=FQ","FILING_STATUS=OR","EQY_CONSOLIDATED=Y","FA_ADJUSTED=GAAP","Sort=A","Dates=H","DateFormat=P","Fill=—","Direction=H","UseDPDF=Y")</f>
        <v>#NAME?</v>
      </c>
      <c r="U330" s="1" t="e">
        <f ca="1">_xll.BDH($C$328,"EBITDA_GROWTH","FQ2 2014","FQ2 2014","Currency=INR","Period=FQ","BEST_FPERIOD_OVERRIDE=FQ","FILING_STATUS=OR","EQY_CONSOLIDATED=Y","FA_ADJUSTED=GAAP","Sort=A","Dates=H","DateFormat=P","Fill=—","Direction=H","UseDPDF=Y")</f>
        <v>#NAME?</v>
      </c>
      <c r="V330" s="1" t="e">
        <f ca="1">_xll.BDH($C$328,"OPER_INC_GROWTH","FQ2 2014","FQ2 2014","Currency=INR","Period=FQ","BEST_FPERIOD_OVERRIDE=FQ","FILING_STATUS=OR","EQY_CONSOLIDATED=Y","FA_ADJUSTED=GAAP","Sort=A","Dates=H","DateFormat=P","Fill=—","Direction=H","UseDPDF=Y")</f>
        <v>#NAME?</v>
      </c>
      <c r="W330" s="1" t="e">
        <f ca="1">_xll.BDH($C$328,"EARN_FOR_COM_GROWTH","FQ2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30" s="1" t="e">
        <f ca="1">_xll.BDH($C$328,"DILUTED_EPS_AFT_XO_ITEMS_GROWTH","FQ2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30" s="1" t="e">
        <f ca="1">_xll.BDH($C$328,"DIVIDEND_PER_SHARE_1_YEAR_GROWTH","FQ2 2014","FQ2 2014","Currency=INR","Period=FQ","BEST_FPERIOD_OVERRIDE=FQ","FILING_STATUS=OR","EQY_CONSOLIDATED=Y","Sort=A","Dates=H","DateFormat=P","Fill=—","Direction=H","UseDPDF=Y")</f>
        <v>#NAME?</v>
      </c>
      <c r="Z330" s="1" t="e">
        <f ca="1">_xll.BDH($C$328,"ACCOUNTS_RECEIVABLE_GROWTH","FQ2 2014","FQ2 2014","Currency=INR","Period=FQ","BEST_FPERIOD_OVERRIDE=FQ","FILING_STATUS=OR","EQY_CONSOLIDATED=Y","Sort=A","Dates=H","DateFormat=P","Fill=—","Direction=H","UseDPDF=Y")</f>
        <v>#NAME?</v>
      </c>
      <c r="AA330" s="1" t="e">
        <f ca="1">_xll.BDH($C$328,"INVENTORY_GROWTH","FQ2 2014","FQ2 2014","Currency=INR","Period=FQ","BEST_FPERIOD_OVERRIDE=FQ","FILING_STATUS=OR","EQY_CONSOLIDATED=Y","Sort=A","Dates=H","DateFormat=P","Fill=—","Direction=H","UseDPDF=Y")</f>
        <v>#NAME?</v>
      </c>
      <c r="AB330" s="1" t="e">
        <f ca="1">_xll.BDH($C$328,"NET_FIXED_ASSETS_1_YEAR_GROWTH","FQ2 2014","FQ2 2014","Currency=INR","Period=FQ","BEST_FPERIOD_OVERRIDE=FQ","FILING_STATUS=OR","EQY_CONSOLIDATED=Y","Sort=A","Dates=H","DateFormat=P","Fill=—","Direction=H","UseDPDF=Y")</f>
        <v>#NAME?</v>
      </c>
      <c r="AC330" s="1" t="e">
        <f ca="1">_xll.BDH($C$328,"ASSET_GROWTH","FQ2 2014","FQ2 2014","Currency=INR","Period=FQ","BEST_FPERIOD_OVERRIDE=FQ","FILING_STATUS=OR","EQY_CONSOLIDATED=Y","Sort=A","Dates=H","DateFormat=P","Fill=—","Direction=H","UseDPDF=Y")</f>
        <v>#NAME?</v>
      </c>
      <c r="AD330" s="1" t="e">
        <f ca="1">_xll.BDH($C$328,"MODIFIED_WORK_CAP_GROWTH","FQ2 2014","FQ2 2014","Currency=INR","Period=FQ","BEST_FPERIOD_OVERRIDE=FQ","FILING_STATUS=OR","EQY_CONSOLIDATED=Y","Sort=A","Dates=H","DateFormat=P","Fill=—","Direction=H","UseDPDF=Y")</f>
        <v>#NAME?</v>
      </c>
      <c r="AE330" s="1" t="e">
        <f ca="1">_xll.BDH($C$328,"WORK_CAP_GROWTH","FQ2 2014","FQ2 2014","Currency=INR","Period=FQ","BEST_FPERIOD_OVERRIDE=FQ","FILING_STATUS=OR","EQY_CONSOLIDATED=Y","Sort=A","Dates=H","DateFormat=P","Fill=—","Direction=H","UseDPDF=Y")</f>
        <v>#NAME?</v>
      </c>
      <c r="AF330" s="1" t="e">
        <f ca="1">_xll.BDH($C$328,"ACCOUNTS_PAYABLE_GROWTH_1YR","FQ2 2014","FQ2 2014","Currency=INR","Period=FQ","BEST_FPERIOD_OVERRIDE=FQ","FILING_STATUS=OR","EQY_CONSOLIDATED=Y","Sort=A","Dates=H","DateFormat=P","Fill=—","Direction=H","UseDPDF=Y")</f>
        <v>#NAME?</v>
      </c>
      <c r="AG330" s="1" t="e">
        <f ca="1">_xll.BDH($C$328,"SHORT_TERM_DEBT_1_YEAR_GROWTH","FQ2 2014","FQ2 2014","Currency=INR","Period=FQ","BEST_FPERIOD_OVERRIDE=FQ","FILING_STATUS=OR","EQY_CONSOLIDATED=Y","Sort=A","Dates=H","DateFormat=P","Fill=—","Direction=H","UseDPDF=Y")</f>
        <v>#NAME?</v>
      </c>
      <c r="AH330" s="1" t="e">
        <f ca="1">_xll.BDH($C$328,"TOTAL_DEBT_1_YEAR_GROWTH","FQ2 2014","FQ2 2014","Currency=INR","Period=FQ","BEST_FPERIOD_OVERRIDE=FQ","FILING_STATUS=OR","EQY_CONSOLIDATED=Y","Sort=A","Dates=H","DateFormat=P","Fill=—","Direction=H","UseDPDF=Y")</f>
        <v>#NAME?</v>
      </c>
      <c r="AI330" s="1" t="e">
        <f ca="1">_xll.BDH($C$328,"TOTAL_EQUITY_1_YEAR_GROWTH","FQ2 2014","FQ2 2014","Currency=INR","Period=FQ","BEST_FPERIOD_OVERRIDE=FQ","FILING_STATUS=OR","EQY_CONSOLIDATED=Y","Sort=A","Dates=H","DateFormat=P","Fill=—","Direction=H","UseDPDF=Y")</f>
        <v>#NAME?</v>
      </c>
      <c r="AJ330" s="1" t="e">
        <f ca="1">_xll.BDH($C$328,"GROWTH_IN_CAP","FQ2 2014","FQ2 2014","Currency=INR","Period=FQ","BEST_FPERIOD_OVERRIDE=FQ","FILING_STATUS=OR","EQY_CONSOLIDATED=Y","Sort=A","Dates=H","DateFormat=P","Fill=—","Direction=H","UseDPDF=Y")</f>
        <v>#NAME?</v>
      </c>
      <c r="AK330" s="1" t="e">
        <f ca="1">_xll.BDH($C$328,"BVPS_GROWTH","FQ2 2014","FQ2 2014","Currency=INR","Period=FQ","BEST_FPERIOD_OVERRIDE=FQ","FILING_STATUS=OR","EQY_CONSOLIDATED=Y","Sort=A","Dates=H","DateFormat=P","Fill=—","Direction=H","UseDPDF=Y")</f>
        <v>#NAME?</v>
      </c>
      <c r="AL330" s="1" t="e">
        <f ca="1">_xll.BDH($C$328,"CASH_FLOW_GROWTH","FQ2 2014","FQ2 2014","Currency=INR","Period=FQ","BEST_FPERIOD_OVERRIDE=FQ","FILING_STATUS=OR","EQY_CONSOLIDATED=Y","Sort=A","Dates=H","DateFormat=P","Fill=—","Direction=H","UseDPDF=Y")</f>
        <v>#NAME?</v>
      </c>
      <c r="AM330" s="1" t="e">
        <f ca="1">_xll.BDH($C$328,"GEO_GROW_NET_SALES","FQ2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30" s="1" t="e">
        <f ca="1">_xll.BDH($C$328,"GEO_GROW_EBITDA","FQ2 2014","FQ2 2014","Currency=INR","Period=FQ","BEST_FPERIOD_OVERRIDE=FQ","FILING_STATUS=OR","EQY_CONSOLIDATED=Y","FA_ADJUSTED=GAAP","Sort=A","Dates=H","DateFormat=P","Fill=—","Direction=H","UseDPDF=Y")</f>
        <v>#NAME?</v>
      </c>
      <c r="AO330" s="1" t="e">
        <f ca="1">_xll.BDH($C$328,"GEO_GROW_OPER_INC","FQ2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30" s="1" t="e">
        <f ca="1">_xll.BDH($C$328,"NET_INCOME_TO_COMMON_5_YR_GROWTH","FQ2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30" s="1" t="e">
        <f ca="1">_xll.BDH($C$328,"5Y_GEO_GROWTH_DILUTED_EPS","FQ2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30" s="1" t="e">
        <f ca="1">_xll.BDH($C$328,"GEO_GROW_DVD_PER_SH","FQ2 2014","FQ2 2014","Currency=INR","Period=FQ","BEST_FPERIOD_OVERRIDE=FQ","FILING_STATUS=OR","EQY_CONSOLIDATED=Y","Sort=A","Dates=H","DateFormat=P","Fill=—","Direction=H","UseDPDF=Y")</f>
        <v>#NAME?</v>
      </c>
      <c r="AS330" s="1" t="e">
        <f ca="1">_xll.BDH($C$328,"ACCOUNTS_RECEIVABLE_5_YR_GROWTH","FQ2 2014","FQ2 2014","Currency=INR","Period=FQ","BEST_FPERIOD_OVERRIDE=FQ","FILING_STATUS=OR","EQY_CONSOLIDATED=Y","Sort=A","Dates=H","DateFormat=P","Fill=—","Direction=H","UseDPDF=Y")</f>
        <v>#NAME?</v>
      </c>
      <c r="AT330" s="1" t="e">
        <f ca="1">_xll.BDH($C$328,"INVENTORY_5_YEAR_GROWTH","FQ2 2014","FQ2 2014","Currency=INR","Period=FQ","BEST_FPERIOD_OVERRIDE=FQ","FILING_STATUS=OR","EQY_CONSOLIDATED=Y","Sort=A","Dates=H","DateFormat=P","Fill=—","Direction=H","UseDPDF=Y")</f>
        <v>#NAME?</v>
      </c>
      <c r="AU330" s="1" t="e">
        <f ca="1">_xll.BDH($C$328,"NET_FIXED_ASSETS_5_YEAR_GROWTH","FQ2 2014","FQ2 2014","Currency=INR","Period=FQ","BEST_FPERIOD_OVERRIDE=FQ","FILING_STATUS=OR","EQY_CONSOLIDATED=Y","Sort=A","Dates=H","DateFormat=P","Fill=—","Direction=H","UseDPDF=Y")</f>
        <v>#NAME?</v>
      </c>
      <c r="AV330" s="1" t="e">
        <f ca="1">_xll.BDH($C$328,"GEO_GROW_TOT_ASSET","FQ2 2014","FQ2 2014","Currency=INR","Period=FQ","BEST_FPERIOD_OVERRIDE=FQ","FILING_STATUS=OR","EQY_CONSOLIDATED=Y","Sort=A","Dates=H","DateFormat=P","Fill=—","Direction=H","UseDPDF=Y")</f>
        <v>#NAME?</v>
      </c>
      <c r="AW330" s="1" t="e">
        <f ca="1">_xll.BDH($C$328,"MODIFIED_WORKING_CPTL_5YR_GRWTH","FQ2 2014","FQ2 2014","Currency=INR","Period=FQ","BEST_FPERIOD_OVERRIDE=FQ","FILING_STATUS=OR","EQY_CONSOLIDATED=Y","Sort=A","Dates=H","DateFormat=P","Fill=—","Direction=H","UseDPDF=Y")</f>
        <v>#NAME?</v>
      </c>
      <c r="AX330" s="1" t="e">
        <f ca="1">_xll.BDH($C$328,"WORKING_CAPITAL_5_YEAR_GROWTH","FQ2 2014","FQ2 2014","Currency=INR","Period=FQ","BEST_FPERIOD_OVERRIDE=FQ","FILING_STATUS=OR","EQY_CONSOLIDATED=Y","Sort=A","Dates=H","DateFormat=P","Fill=—","Direction=H","UseDPDF=Y")</f>
        <v>#NAME?</v>
      </c>
      <c r="AY330" s="1" t="e">
        <f ca="1">_xll.BDH($C$328,"ACCOUNTS_PAYABLE_5_YEAR_GROWTH","FQ2 2014","FQ2 2014","Currency=INR","Period=FQ","BEST_FPERIOD_OVERRIDE=FQ","FILING_STATUS=OR","EQY_CONSOLIDATED=Y","Sort=A","Dates=H","DateFormat=P","Fill=—","Direction=H","UseDPDF=Y")</f>
        <v>#NAME?</v>
      </c>
      <c r="AZ330" s="1" t="e">
        <f ca="1">_xll.BDH($C$328,"SHORT_TERM_DEBT_5_YEAR_GROWTH","FQ2 2014","FQ2 2014","Currency=INR","Period=FQ","BEST_FPERIOD_OVERRIDE=FQ","FILING_STATUS=OR","EQY_CONSOLIDATED=Y","Sort=A","Dates=H","DateFormat=P","Fill=—","Direction=H","UseDPDF=Y")</f>
        <v>#NAME?</v>
      </c>
      <c r="BA330" s="1" t="e">
        <f ca="1">_xll.BDH($C$328,"TOTAL_DEBT_5_YEAR_GROWTH","FQ2 2014","FQ2 2014","Currency=INR","Period=FQ","BEST_FPERIOD_OVERRIDE=FQ","FILING_STATUS=OR","EQY_CONSOLIDATED=Y","Sort=A","Dates=H","DateFormat=P","Fill=—","Direction=H","UseDPDF=Y")</f>
        <v>#NAME?</v>
      </c>
      <c r="BB330" s="1" t="e">
        <f ca="1">_xll.BDH($C$328,"GEO_GROW_TOT_SHRHLDR_EQY","FQ2 2014","FQ2 2014","Currency=INR","Period=FQ","BEST_FPERIOD_OVERRIDE=FQ","FILING_STATUS=OR","EQY_CONSOLIDATED=Y","Sort=A","Dates=H","DateFormat=P","Fill=—","Direction=H","UseDPDF=Y")</f>
        <v>#NAME?</v>
      </c>
      <c r="BC330" s="1" t="e">
        <f ca="1">_xll.BDH($C$328,"TOTAL_CAPITAL_5_YEAR_GROWTH","FQ2 2014","FQ2 2014","Currency=INR","Period=FQ","BEST_FPERIOD_OVERRIDE=FQ","FILING_STATUS=OR","EQY_CONSOLIDATED=Y","Sort=A","Dates=H","DateFormat=P","Fill=—","Direction=H","UseDPDF=Y")</f>
        <v>#NAME?</v>
      </c>
      <c r="BD330" s="1" t="e">
        <f ca="1">_xll.BDH($C$328,"GEO_GROW_BOOK_VAL","FQ2 2014","FQ2 2014","Currency=INR","Period=FQ","BEST_FPERIOD_OVERRIDE=FQ","FILING_STATUS=OR","EQY_CONSOLIDATED=Y","Sort=A","Dates=H","DateFormat=P","Fill=—","Direction=H","UseDPDF=Y")</f>
        <v>#NAME?</v>
      </c>
      <c r="BE330" s="1" t="e">
        <f ca="1">_xll.BDH($C$328,"GEO_GROW_CASH_OPER_ACT","FQ2 2014","FQ2 2014","Currency=INR","Period=FQ","BEST_FPERIOD_OVERRIDE=FQ","FILING_STATUS=OR","EQY_CONSOLIDATED=Y","Sort=A","Dates=H","DateFormat=P","Fill=—","Direction=H","UseDPDF=Y")</f>
        <v>#NAME?</v>
      </c>
      <c r="BF330" s="1" t="e">
        <f ca="1">_xll.BDH($C$328,"REVENUE_SEQUENTIAL_GROWTH","FQ2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30" s="1" t="e">
        <f ca="1">_xll.BDH($C$328,"EBITDA_SEQUENTIAL_GROWTH","FQ2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30" s="1" t="e">
        <f ca="1">_xll.BDH($C$328,"OPERATING_INCOME_SEQ_GROWTH","FQ2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30" s="1" t="e">
        <f ca="1">_xll.BDH($C$328,"NET_INCOME_TO_COMMON_SEQ_GROWTH","FQ2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30" s="1" t="e">
        <f ca="1">_xll.BDH($C$328,"EPS_DILUTED_SEQUENTIAL_GROWTH","FQ2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30" s="1" t="e">
        <f ca="1">_xll.BDH($C$328,"DPS_SEQUENTIAL_GROWTH","FQ2 2014","FQ2 2014","Currency=INR","Period=FQ","BEST_FPERIOD_OVERRIDE=FQ","FILING_STATUS=OR","EQY_CONSOLIDATED=Y","Sort=A","Dates=H","DateFormat=P","Fill=—","Direction=H","UseDPDF=Y")</f>
        <v>#NAME?</v>
      </c>
      <c r="BL330" s="1" t="e">
        <f ca="1">_xll.BDH($C$328,"ACCOUNTS_RECEIVABLE_SEQ_GROWTH","FQ2 2014","FQ2 2014","Currency=INR","Period=FQ","BEST_FPERIOD_OVERRIDE=FQ","FILING_STATUS=OR","EQY_CONSOLIDATED=Y","Sort=A","Dates=H","DateFormat=P","Fill=—","Direction=H","UseDPDF=Y")</f>
        <v>#NAME?</v>
      </c>
      <c r="BM330" s="1" t="e">
        <f ca="1">_xll.BDH($C$328,"INVENTORY_SEQUENTIAL_GROWTH","FQ2 2014","FQ2 2014","Currency=INR","Period=FQ","BEST_FPERIOD_OVERRIDE=FQ","FILING_STATUS=OR","EQY_CONSOLIDATED=Y","Sort=A","Dates=H","DateFormat=P","Fill=—","Direction=H","UseDPDF=Y")</f>
        <v>#NAME?</v>
      </c>
      <c r="BN330" s="1" t="e">
        <f ca="1">_xll.BDH($C$328,"FIXED_ASSETS_SEQUENTIAL_GROWTH","FQ2 2014","FQ2 2014","Currency=INR","Period=FQ","BEST_FPERIOD_OVERRIDE=FQ","FILING_STATUS=OR","EQY_CONSOLIDATED=Y","Sort=A","Dates=H","DateFormat=P","Fill=—","Direction=H","UseDPDF=Y")</f>
        <v>#NAME?</v>
      </c>
      <c r="BO330" s="1" t="e">
        <f ca="1">_xll.BDH($C$328,"TOTAL_ASSETS_SEQUENTIAL_GROWTH","FQ2 2014","FQ2 2014","Currency=INR","Period=FQ","BEST_FPERIOD_OVERRIDE=FQ","FILING_STATUS=OR","EQY_CONSOLIDATED=Y","Sort=A","Dates=H","DateFormat=P","Fill=—","Direction=H","UseDPDF=Y")</f>
        <v>#NAME?</v>
      </c>
      <c r="BP330" s="1" t="e">
        <f ca="1">_xll.BDH($C$328,"MODIFIED_WORKING_CPTL_SEQ_GRWTH","FQ2 2014","FQ2 2014","Currency=INR","Period=FQ","BEST_FPERIOD_OVERRIDE=FQ","FILING_STATUS=OR","EQY_CONSOLIDATED=Y","Sort=A","Dates=H","DateFormat=P","Fill=—","Direction=H","UseDPDF=Y")</f>
        <v>#NAME?</v>
      </c>
      <c r="BQ330" s="1" t="e">
        <f ca="1">_xll.BDH($C$328,"WORKING_CAPITAL_SEQ_GROWTH","FQ2 2014","FQ2 2014","Currency=INR","Period=FQ","BEST_FPERIOD_OVERRIDE=FQ","FILING_STATUS=OR","EQY_CONSOLIDATED=Y","Sort=A","Dates=H","DateFormat=P","Fill=—","Direction=H","UseDPDF=Y")</f>
        <v>#NAME?</v>
      </c>
      <c r="BR330" s="1" t="e">
        <f ca="1">_xll.BDH($C$328,"ACCOUNTS_PAYABLE_SEQ_GROWTH","FQ2 2014","FQ2 2014","Currency=INR","Period=FQ","BEST_FPERIOD_OVERRIDE=FQ","FILING_STATUS=OR","EQY_CONSOLIDATED=Y","Sort=A","Dates=H","DateFormat=P","Fill=—","Direction=H","UseDPDF=Y")</f>
        <v>#NAME?</v>
      </c>
      <c r="BS330" s="1" t="e">
        <f ca="1">_xll.BDH($C$328,"ST_DEBT_SEQUENTIAL_GROWTH","FQ2 2014","FQ2 2014","Currency=INR","Period=FQ","BEST_FPERIOD_OVERRIDE=FQ","FILING_STATUS=OR","EQY_CONSOLIDATED=Y","Sort=A","Dates=H","DateFormat=P","Fill=—","Direction=H","UseDPDF=Y")</f>
        <v>#NAME?</v>
      </c>
      <c r="BT330" s="1" t="e">
        <f ca="1">_xll.BDH($C$328,"TOTAL_DEBT_SEQUENTIAL_GROWTH","FQ2 2014","FQ2 2014","Currency=INR","Period=FQ","BEST_FPERIOD_OVERRIDE=FQ","FILING_STATUS=OR","EQY_CONSOLIDATED=Y","Sort=A","Dates=H","DateFormat=P","Fill=—","Direction=H","UseDPDF=Y")</f>
        <v>#NAME?</v>
      </c>
      <c r="BU330" s="1" t="e">
        <f ca="1">_xll.BDH($C$328,"TOTAL_EQUITY_SEQUENTIAL_GROWTH","FQ2 2014","FQ2 2014","Currency=INR","Period=FQ","BEST_FPERIOD_OVERRIDE=FQ","FILING_STATUS=OR","EQY_CONSOLIDATED=Y","Sort=A","Dates=H","DateFormat=P","Fill=—","Direction=H","UseDPDF=Y")</f>
        <v>#NAME?</v>
      </c>
      <c r="BV330" s="1" t="e">
        <f ca="1">_xll.BDH($C$328,"TOTAL_CAPITAL_SEQUENTIAL_GROWTH","FQ2 2014","FQ2 2014","Currency=INR","Period=FQ","BEST_FPERIOD_OVERRIDE=FQ","FILING_STATUS=OR","EQY_CONSOLIDATED=Y","Sort=A","Dates=H","DateFormat=P","Fill=—","Direction=H","UseDPDF=Y")</f>
        <v>#NAME?</v>
      </c>
      <c r="BW330" s="1" t="e">
        <f ca="1">_xll.BDH($C$328,"BPS_SEQUENTIAL_GROWTH","FQ2 2014","FQ2 2014","Currency=INR","Period=FQ","BEST_FPERIOD_OVERRIDE=FQ","FILING_STATUS=OR","EQY_CONSOLIDATED=Y","Sort=A","Dates=H","DateFormat=P","Fill=—","Direction=H","UseDPDF=Y")</f>
        <v>#NAME?</v>
      </c>
      <c r="BX330" s="1" t="e">
        <f ca="1">_xll.BDH($C$328,"CFO_SEQUENTIAL_GROWTH","FQ2 2014","FQ2 2014","Currency=INR","Period=FQ","BEST_FPERIOD_OVERRIDE=FQ","FILING_STATUS=OR","EQY_CONSOLIDATED=Y","Sort=A","Dates=H","DateFormat=P","Fill=—","Direction=H","UseDPDF=Y")</f>
        <v>#NAME?</v>
      </c>
      <c r="BY330" s="2" t="e">
        <f ca="1">_xll.BDH($C$328,"SHORT_AND_LONG_TERM_DEBT","FQ2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30" s="2" t="e">
        <f ca="1">_xll.BDH($C$328,"BS_ST_BORROW","FQ2 2014","FQ2 2014","Currency=INR","Period=FQ","BEST_FPERIOD_OVERRIDE=FQ","FILING_STATUS=OR","EQY_CONSOLIDATED=Y","SCALING_FORMAT=MLN","Sort=A","Dates=H","DateFormat=P","Fill=—","Direction=H","UseDPDF=Y")</f>
        <v>#NAME?</v>
      </c>
      <c r="CA330" s="2" t="e">
        <f ca="1">_xll.BDH($C$328,"BS_LT_BORROW","FQ2 2014","FQ2 2014","Currency=INR","Period=FQ","BEST_FPERIOD_OVERRIDE=FQ","FILING_STATUS=OR","EQY_CONSOLIDATED=Y","SCALING_FORMAT=MLN","Sort=A","Dates=H","DateFormat=P","Fill=—","Direction=H","UseDPDF=Y")</f>
        <v>#NAME?</v>
      </c>
      <c r="CB330" s="1" t="e">
        <f ca="1">_xll.BDH($C$328,"TOT_DEBT_TO_EBITDA","FQ2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30" s="1" t="e">
        <f ca="1">_xll.BDH($C$328,"NET_DEBT_TO_EBITDA","FQ2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30" s="1" t="e">
        <f ca="1">_xll.BDH($C$328,"TOTAL_DEBT_TO_EBIT","FQ2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30" s="1" t="e">
        <f ca="1">_xll.BDH($C$328,"NET_DEBT_TO_EBIT","FQ2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330" s="1" t="e">
        <f ca="1">_xll.BDH($C$328,"EBITDA_TO_INTEREST_EXPN","FQ2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30" s="1" t="e">
        <f ca="1">_xll.BDH($C$328,"COM_EQY_TO_TOT_ASSET","FQ2 2014","FQ2 2014","Currency=INR","Period=FQ","BEST_FPERIOD_OVERRIDE=FQ","FILING_STATUS=OR","EQY_CONSOLIDATED=Y","Sort=A","Dates=H","DateFormat=P","Fill=—","Direction=H","UseDPDF=Y")</f>
        <v>#NAME?</v>
      </c>
      <c r="CH330" s="1" t="e">
        <f ca="1">_xll.BDH($C$328,"LT_DEBT_TO_TOT_EQY","FQ2 2014","FQ2 2014","Currency=INR","Period=FQ","BEST_FPERIOD_OVERRIDE=FQ","FILING_STATUS=OR","EQY_CONSOLIDATED=Y","Sort=A","Dates=H","DateFormat=P","Fill=—","Direction=H","UseDPDF=Y")</f>
        <v>#NAME?</v>
      </c>
      <c r="CI330" s="1" t="e">
        <f ca="1">_xll.BDH($C$328,"LT_DEBT_TO_TOT_CAP","FQ2 2014","FQ2 2014","Currency=INR","Period=FQ","BEST_FPERIOD_OVERRIDE=FQ","FILING_STATUS=OR","EQY_CONSOLIDATED=Y","Sort=A","Dates=H","DateFormat=P","Fill=—","Direction=H","UseDPDF=Y")</f>
        <v>#NAME?</v>
      </c>
      <c r="CJ330" s="1" t="e">
        <f ca="1">_xll.BDH($C$328,"LT_DEBT_TO_TOT_ASSET","FQ2 2014","FQ2 2014","Currency=INR","Period=FQ","BEST_FPERIOD_OVERRIDE=FQ","FILING_STATUS=OR","EQY_CONSOLIDATED=Y","Sort=A","Dates=H","DateFormat=P","Fill=—","Direction=H","UseDPDF=Y")</f>
        <v>#NAME?</v>
      </c>
      <c r="CK330" s="1" t="e">
        <f ca="1">_xll.BDH($C$328,"TOT_DEBT_TO_TOT_EQY","FQ2 2014","FQ2 2014","Currency=INR","Period=FQ","BEST_FPERIOD_OVERRIDE=FQ","FILING_STATUS=OR","EQY_CONSOLIDATED=Y","Sort=A","Dates=H","DateFormat=P","Fill=—","Direction=H","UseDPDF=Y")</f>
        <v>#NAME?</v>
      </c>
      <c r="CL330" s="1" t="e">
        <f ca="1">_xll.BDH($C$328,"TOT_DEBT_TO_TOT_CAP","FQ2 2014","FQ2 2014","Currency=INR","Period=FQ","BEST_FPERIOD_OVERRIDE=FQ","FILING_STATUS=OR","EQY_CONSOLIDATED=Y","Sort=A","Dates=H","DateFormat=P","Fill=—","Direction=H","UseDPDF=Y")</f>
        <v>#NAME?</v>
      </c>
      <c r="CM330" s="1" t="e">
        <f ca="1">_xll.BDH($C$328,"TOT_DEBT_TO_TOT_ASSET","FQ2 2014","FQ2 2014","Currency=INR","Period=FQ","BEST_FPERIOD_OVERRIDE=FQ","FILING_STATUS=OR","EQY_CONSOLIDATED=Y","Sort=A","Dates=H","DateFormat=P","Fill=—","Direction=H","UseDPDF=Y")</f>
        <v>#NAME?</v>
      </c>
      <c r="CN330" s="1" t="e">
        <f ca="1">_xll.BDH($C$328,"NET_DEBT_TO_SHRHLDR_EQTY","FQ2 2014","FQ2 2014","Currency=INR","Period=FQ","BEST_FPERIOD_OVERRIDE=FQ","FILING_STATUS=OR","EQY_CONSOLIDATED=Y","Sort=A","Dates=H","DateFormat=P","Fill=—","Direction=H","UseDPDF=Y")</f>
        <v>#NAME?</v>
      </c>
      <c r="CO330" s="1" t="e">
        <f ca="1">_xll.BDH($C$328,"NET_DEBT_%_CAPITAL","FQ2 2014","FQ2 2014","Currency=INR","Period=FQ","BEST_FPERIOD_OVERRIDE=FQ","FILING_STATUS=OR","EQY_CONSOLIDATED=Y","Sort=A","Dates=H","DateFormat=P","Fill=—","Direction=H","UseDPDF=Y")</f>
        <v>#NAME?</v>
      </c>
      <c r="CP330" s="2" t="e">
        <f ca="1">_xll.BDH($C$328,"EBITDA","FQ2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30" s="2" t="e">
        <f ca="1">_xll.BDH($C$328,"EBITDA_AFTER_CAPEX","FQ2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30" s="2" t="e">
        <f ca="1">_xll.BDH($C$328,"IS_OPER_INC","FQ2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30" s="1" t="e">
        <f ca="1">_xll.BDH($C$328,"CASH_RATIO","FQ2 2014","FQ2 2014","Currency=INR","Period=FQ","BEST_FPERIOD_OVERRIDE=FQ","FILING_STATUS=OR","EQY_CONSOLIDATED=Y","Sort=A","Dates=H","DateFormat=P","Fill=—","Direction=H","UseDPDF=Y")</f>
        <v>#NAME?</v>
      </c>
      <c r="CT330" s="1" t="e">
        <f ca="1">_xll.BDH($C$328,"CUR_RATIO","FQ2 2014","FQ2 2014","Currency=INR","Period=FQ","BEST_FPERIOD_OVERRIDE=FQ","FILING_STATUS=OR","EQY_CONSOLIDATED=Y","Sort=A","Dates=H","DateFormat=P","Fill=—","Direction=H","UseDPDF=Y")</f>
        <v>#NAME?</v>
      </c>
      <c r="CU330" s="1" t="e">
        <f ca="1">_xll.BDH($C$328,"QUICK_RATIO","FQ2 2014","FQ2 2014","Currency=INR","Period=FQ","BEST_FPERIOD_OVERRIDE=FQ","FILING_STATUS=OR","EQY_CONSOLIDATED=Y","Sort=A","Dates=H","DateFormat=P","Fill=—","Direction=H","UseDPDF=Y")</f>
        <v>#NAME?</v>
      </c>
      <c r="CV330" s="1" t="e">
        <f ca="1">_xll.BDH($C$328,"ALTMAN_Z_SCORE","FQ2 2014","FQ2 2014","Currency=INR","Period=FQ","BEST_FPERIOD_OVERRIDE=FQ","FILING_STATUS=OR","EQY_CONSOLIDATED=Y","Sort=A","Dates=H","DateFormat=P","Fill=—","Direction=H","UseDPDF=Y")</f>
        <v>#NAME?</v>
      </c>
      <c r="CW330" s="3" t="e">
        <f ca="1">_xll.BDH($C$328,"ACCT_RCV_TURN","FQ2 2014","FQ2 2014","Currency=INR","Period=FQ","BEST_FPERIOD_OVERRIDE=FQ","FILING_STATUS=OR","EQY_CONSOLIDATED=Y","FA_ADJUSTED=GAAP","Sort=A","Dates=H","DateFormat=P","Fill=—","Direction=H","UseDPDF=Y")</f>
        <v>#NAME?</v>
      </c>
      <c r="CX330" s="1" t="e">
        <f ca="1">_xll.BDH($C$328,"ACCT_RCV_DAYS","FQ2 2014","FQ2 2014","Currency=INR","Period=FQ","BEST_FPERIOD_OVERRIDE=FQ","FILING_STATUS=OR","EQY_CONSOLIDATED=Y","FA_ADJUSTED=GAAP","Sort=A","Dates=H","DateFormat=P","Fill=—","Direction=H","UseDPDF=Y")</f>
        <v>#NAME?</v>
      </c>
      <c r="CY330" s="3" t="e">
        <f ca="1">_xll.BDH($C$328,"INVENT_TURN","FQ2 2014","FQ2 2014","Currency=INR","Period=FQ","BEST_FPERIOD_OVERRIDE=FQ","FILING_STATUS=OR","EQY_CONSOLIDATED=Y","FA_ADJUSTED=GAAP","Sort=A","Dates=H","DateFormat=P","Fill=—","Direction=H","UseDPDF=Y")</f>
        <v>#NAME?</v>
      </c>
      <c r="CZ330" s="1" t="e">
        <f ca="1">_xll.BDH($C$328,"INVENT_DAYS","FQ2 2014","FQ2 2014","Currency=INR","Period=FQ","BEST_FPERIOD_OVERRIDE=FQ","FILING_STATUS=OR","EQY_CONSOLIDATED=Y","FA_ADJUSTED=GAAP","Sort=A","Dates=H","DateFormat=P","Fill=—","Direction=H","UseDPDF=Y")</f>
        <v>#NAME?</v>
      </c>
      <c r="DA330" s="3" t="e">
        <f ca="1">_xll.BDH($C$328,"ACCOUNTS_PAYABLE_TURNOVER","FQ2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30" s="1" t="e">
        <f ca="1">_xll.BDH($C$328,"ACCOUNTS_PAYABLE_TURNOVER_DAYS","FQ2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30" s="3" t="e">
        <f ca="1">_xll.BDH($C$328,"CASH_CONVERSION_CYCLE","FQ2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30" s="3" t="e">
        <f ca="1">_xll.BDH($C$328,"INV_TO_CASH_DAYS","FQ2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330" s="4" t="e">
        <f ca="1">_xll.BDH($C$328,"BS_INVENTORIES","FQ2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330" s="2" t="e">
        <f ca="1">_xll.BDH($C$328,"INVTRY_RAW_MATERIALS","FQ2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30" s="2" t="e">
        <f ca="1">_xll.BDH($C$328,"INVTRY_IN_PROGRESS","FQ2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30" s="2" t="e">
        <f ca="1">_xll.BDH($C$328,"INVTRY_FINISHED_GOODS","FQ2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30" s="2" t="e">
        <f ca="1">_xll.BDH($C$328,"BS_OTHER_INV","FQ2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31" spans="1:113" x14ac:dyDescent="0.3">
      <c r="A331" s="6"/>
      <c r="B331" s="6"/>
      <c r="C331" s="6"/>
      <c r="D331" s="6"/>
      <c r="E331" t="s">
        <v>6</v>
      </c>
      <c r="F331" t="e">
        <f ca="1">_xll.BDH($C$328,"RETURN_COM_EQY","FQ3 2014","FQ3 2014","Currency=INR","Period=FQ","BEST_FPERIOD_OVERRIDE=FQ","FILING_STATUS=OR","EQY_CONSOLIDATED=Y","FA_ADJUSTED=GAAP","Sort=A","Dates=H","DateFormat=P","Fill=—","Direction=H","UseDPDF=Y")</f>
        <v>#NAME?</v>
      </c>
      <c r="G331" t="e">
        <f ca="1">_xll.BDH($C$328,"RETURN_ON_ASSET","FQ3 2014","FQ3 2014","Currency=INR","Period=FQ","BEST_FPERIOD_OVERRIDE=FQ","FILING_STATUS=OR","EQY_CONSOLIDATED=Y","FA_ADJUSTED=GAAP","Sort=A","Dates=H","DateFormat=P","Fill=—","Direction=H","UseDPDF=Y")</f>
        <v>#NAME?</v>
      </c>
      <c r="H331" t="e">
        <f ca="1">_xll.BDH($C$328,"RETURN_ON_CAP","FQ3 2014","FQ3 2014","Currency=INR","Period=FQ","BEST_FPERIOD_OVERRIDE=FQ","FILING_STATUS=OR","EQY_CONSOLIDATED=Y","FA_ADJUSTED=GAAP","Sort=A","Dates=H","DateFormat=P","Fill=—","Direction=H","UseDPDF=Y")</f>
        <v>#NAME?</v>
      </c>
      <c r="I331" t="e">
        <f ca="1">_xll.BDH($C$328,"RETURN_ON_INV_CAPITAL","FQ3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31" t="e">
        <f ca="1">_xll.BDH($C$328,"EBITDA_TO_REVENUE","FQ3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331" t="e">
        <f ca="1">_xll.BDH($C$328,"OPER_MARGIN","FQ3 2014","FQ3 2014","Currency=INR","Period=FQ","BEST_FPERIOD_OVERRIDE=FQ","FILING_STATUS=OR","EQY_CONSOLIDATED=Y","FA_ADJUSTED=GAAP","Sort=A","Dates=H","DateFormat=P","Fill=—","Direction=H","UseDPDF=Y")</f>
        <v>#NAME?</v>
      </c>
      <c r="L331" t="e">
        <f ca="1">_xll.BDH($C$328,"INCREMENTAL_OPERATING_MARGIN","FQ3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31" t="e">
        <f ca="1">_xll.BDH($C$328,"PRETAX_INC_TO_NET_SALES","FQ3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31" t="e">
        <f ca="1">_xll.BDH($C$328,"INC_BEF_XO_ITEMS_TO_NET_SALES","FQ3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31" t="e">
        <f ca="1">_xll.BDH($C$328,"PROF_MARGIN","FQ3 2014","FQ3 2014","Currency=INR","Period=FQ","BEST_FPERIOD_OVERRIDE=FQ","FILING_STATUS=OR","EQY_CONSOLIDATED=Y","FA_ADJUSTED=GAAP","Sort=A","Dates=H","DateFormat=P","Fill=—","Direction=H","UseDPDF=Y")</f>
        <v>#NAME?</v>
      </c>
      <c r="P331" t="e">
        <f ca="1">_xll.BDH($C$328,"NET_INCOME_TO_COMMON_MARGIN","FQ3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31" t="e">
        <f ca="1">_xll.BDH($C$328,"EFF_TAX_RATE","FQ3 2014","FQ3 2014","Currency=INR","Period=FQ","BEST_FPERIOD_OVERRIDE=FQ","FILING_STATUS=OR","EQY_CONSOLIDATED=Y","FA_ADJUSTED=GAAP","Sort=A","Dates=H","DateFormat=P","Fill=—","Direction=H","UseDPDF=Y")</f>
        <v>#NAME?</v>
      </c>
      <c r="R331" t="e">
        <f ca="1">_xll.BDH($C$328,"DVD_PAYOUT_RATIO","FQ3 2014","FQ3 2014","Currency=INR","Period=FQ","BEST_FPERIOD_OVERRIDE=FQ","FILING_STATUS=OR","EQY_CONSOLIDATED=Y","FA_ADJUSTED=GAAP","Sort=A","Dates=H","DateFormat=P","Fill=—","Direction=H","UseDPDF=Y")</f>
        <v>#NAME?</v>
      </c>
      <c r="S331" t="e">
        <f ca="1">_xll.BDH($C$328,"SUSTAIN_GROWTH_RT","FQ3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331" s="1" t="e">
        <f ca="1">_xll.BDH($C$328,"SALES_GROWTH","FQ3 2014","FQ3 2014","Currency=INR","Period=FQ","BEST_FPERIOD_OVERRIDE=FQ","FILING_STATUS=OR","EQY_CONSOLIDATED=Y","FA_ADJUSTED=GAAP","Sort=A","Dates=H","DateFormat=P","Fill=—","Direction=H","UseDPDF=Y")</f>
        <v>#NAME?</v>
      </c>
      <c r="U331" s="1" t="e">
        <f ca="1">_xll.BDH($C$328,"EBITDA_GROWTH","FQ3 2014","FQ3 2014","Currency=INR","Period=FQ","BEST_FPERIOD_OVERRIDE=FQ","FILING_STATUS=OR","EQY_CONSOLIDATED=Y","FA_ADJUSTED=GAAP","Sort=A","Dates=H","DateFormat=P","Fill=—","Direction=H","UseDPDF=Y")</f>
        <v>#NAME?</v>
      </c>
      <c r="V331" s="1" t="e">
        <f ca="1">_xll.BDH($C$328,"OPER_INC_GROWTH","FQ3 2014","FQ3 2014","Currency=INR","Period=FQ","BEST_FPERIOD_OVERRIDE=FQ","FILING_STATUS=OR","EQY_CONSOLIDATED=Y","FA_ADJUSTED=GAAP","Sort=A","Dates=H","DateFormat=P","Fill=—","Direction=H","UseDPDF=Y")</f>
        <v>#NAME?</v>
      </c>
      <c r="W331" s="1" t="e">
        <f ca="1">_xll.BDH($C$328,"EARN_FOR_COM_GROWTH","FQ3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31" s="1" t="e">
        <f ca="1">_xll.BDH($C$328,"DILUTED_EPS_AFT_XO_ITEMS_GROWTH","FQ3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31" s="1" t="e">
        <f ca="1">_xll.BDH($C$328,"DIVIDEND_PER_SHARE_1_YEAR_GROWTH","FQ3 2014","FQ3 2014","Currency=INR","Period=FQ","BEST_FPERIOD_OVERRIDE=FQ","FILING_STATUS=OR","EQY_CONSOLIDATED=Y","Sort=A","Dates=H","DateFormat=P","Fill=—","Direction=H","UseDPDF=Y")</f>
        <v>#NAME?</v>
      </c>
      <c r="Z331" s="1" t="e">
        <f ca="1">_xll.BDH($C$328,"ACCOUNTS_RECEIVABLE_GROWTH","FQ3 2014","FQ3 2014","Currency=INR","Period=FQ","BEST_FPERIOD_OVERRIDE=FQ","FILING_STATUS=OR","EQY_CONSOLIDATED=Y","Sort=A","Dates=H","DateFormat=P","Fill=—","Direction=H","UseDPDF=Y")</f>
        <v>#NAME?</v>
      </c>
      <c r="AA331" s="1" t="e">
        <f ca="1">_xll.BDH($C$328,"INVENTORY_GROWTH","FQ3 2014","FQ3 2014","Currency=INR","Period=FQ","BEST_FPERIOD_OVERRIDE=FQ","FILING_STATUS=OR","EQY_CONSOLIDATED=Y","Sort=A","Dates=H","DateFormat=P","Fill=—","Direction=H","UseDPDF=Y")</f>
        <v>#NAME?</v>
      </c>
      <c r="AB331" s="1" t="e">
        <f ca="1">_xll.BDH($C$328,"NET_FIXED_ASSETS_1_YEAR_GROWTH","FQ3 2014","FQ3 2014","Currency=INR","Period=FQ","BEST_FPERIOD_OVERRIDE=FQ","FILING_STATUS=OR","EQY_CONSOLIDATED=Y","Sort=A","Dates=H","DateFormat=P","Fill=—","Direction=H","UseDPDF=Y")</f>
        <v>#NAME?</v>
      </c>
      <c r="AC331" s="1" t="e">
        <f ca="1">_xll.BDH($C$328,"ASSET_GROWTH","FQ3 2014","FQ3 2014","Currency=INR","Period=FQ","BEST_FPERIOD_OVERRIDE=FQ","FILING_STATUS=OR","EQY_CONSOLIDATED=Y","Sort=A","Dates=H","DateFormat=P","Fill=—","Direction=H","UseDPDF=Y")</f>
        <v>#NAME?</v>
      </c>
      <c r="AD331" s="1" t="e">
        <f ca="1">_xll.BDH($C$328,"MODIFIED_WORK_CAP_GROWTH","FQ3 2014","FQ3 2014","Currency=INR","Period=FQ","BEST_FPERIOD_OVERRIDE=FQ","FILING_STATUS=OR","EQY_CONSOLIDATED=Y","Sort=A","Dates=H","DateFormat=P","Fill=—","Direction=H","UseDPDF=Y")</f>
        <v>#NAME?</v>
      </c>
      <c r="AE331" s="1" t="e">
        <f ca="1">_xll.BDH($C$328,"WORK_CAP_GROWTH","FQ3 2014","FQ3 2014","Currency=INR","Period=FQ","BEST_FPERIOD_OVERRIDE=FQ","FILING_STATUS=OR","EQY_CONSOLIDATED=Y","Sort=A","Dates=H","DateFormat=P","Fill=—","Direction=H","UseDPDF=Y")</f>
        <v>#NAME?</v>
      </c>
      <c r="AF331" s="1" t="e">
        <f ca="1">_xll.BDH($C$328,"ACCOUNTS_PAYABLE_GROWTH_1YR","FQ3 2014","FQ3 2014","Currency=INR","Period=FQ","BEST_FPERIOD_OVERRIDE=FQ","FILING_STATUS=OR","EQY_CONSOLIDATED=Y","Sort=A","Dates=H","DateFormat=P","Fill=—","Direction=H","UseDPDF=Y")</f>
        <v>#NAME?</v>
      </c>
      <c r="AG331" s="1" t="e">
        <f ca="1">_xll.BDH($C$328,"SHORT_TERM_DEBT_1_YEAR_GROWTH","FQ3 2014","FQ3 2014","Currency=INR","Period=FQ","BEST_FPERIOD_OVERRIDE=FQ","FILING_STATUS=OR","EQY_CONSOLIDATED=Y","Sort=A","Dates=H","DateFormat=P","Fill=—","Direction=H","UseDPDF=Y")</f>
        <v>#NAME?</v>
      </c>
      <c r="AH331" s="1" t="e">
        <f ca="1">_xll.BDH($C$328,"TOTAL_DEBT_1_YEAR_GROWTH","FQ3 2014","FQ3 2014","Currency=INR","Period=FQ","BEST_FPERIOD_OVERRIDE=FQ","FILING_STATUS=OR","EQY_CONSOLIDATED=Y","Sort=A","Dates=H","DateFormat=P","Fill=—","Direction=H","UseDPDF=Y")</f>
        <v>#NAME?</v>
      </c>
      <c r="AI331" s="1" t="e">
        <f ca="1">_xll.BDH($C$328,"TOTAL_EQUITY_1_YEAR_GROWTH","FQ3 2014","FQ3 2014","Currency=INR","Period=FQ","BEST_FPERIOD_OVERRIDE=FQ","FILING_STATUS=OR","EQY_CONSOLIDATED=Y","Sort=A","Dates=H","DateFormat=P","Fill=—","Direction=H","UseDPDF=Y")</f>
        <v>#NAME?</v>
      </c>
      <c r="AJ331" s="1" t="e">
        <f ca="1">_xll.BDH($C$328,"GROWTH_IN_CAP","FQ3 2014","FQ3 2014","Currency=INR","Period=FQ","BEST_FPERIOD_OVERRIDE=FQ","FILING_STATUS=OR","EQY_CONSOLIDATED=Y","Sort=A","Dates=H","DateFormat=P","Fill=—","Direction=H","UseDPDF=Y")</f>
        <v>#NAME?</v>
      </c>
      <c r="AK331" s="1" t="e">
        <f ca="1">_xll.BDH($C$328,"BVPS_GROWTH","FQ3 2014","FQ3 2014","Currency=INR","Period=FQ","BEST_FPERIOD_OVERRIDE=FQ","FILING_STATUS=OR","EQY_CONSOLIDATED=Y","Sort=A","Dates=H","DateFormat=P","Fill=—","Direction=H","UseDPDF=Y")</f>
        <v>#NAME?</v>
      </c>
      <c r="AL331" s="1" t="e">
        <f ca="1">_xll.BDH($C$328,"CASH_FLOW_GROWTH","FQ3 2014","FQ3 2014","Currency=INR","Period=FQ","BEST_FPERIOD_OVERRIDE=FQ","FILING_STATUS=OR","EQY_CONSOLIDATED=Y","Sort=A","Dates=H","DateFormat=P","Fill=—","Direction=H","UseDPDF=Y")</f>
        <v>#NAME?</v>
      </c>
      <c r="AM331" s="1" t="e">
        <f ca="1">_xll.BDH($C$328,"GEO_GROW_NET_SALES","FQ3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31" s="1" t="e">
        <f ca="1">_xll.BDH($C$328,"GEO_GROW_EBITDA","FQ3 2014","FQ3 2014","Currency=INR","Period=FQ","BEST_FPERIOD_OVERRIDE=FQ","FILING_STATUS=OR","EQY_CONSOLIDATED=Y","FA_ADJUSTED=GAAP","Sort=A","Dates=H","DateFormat=P","Fill=—","Direction=H","UseDPDF=Y")</f>
        <v>#NAME?</v>
      </c>
      <c r="AO331" s="1" t="e">
        <f ca="1">_xll.BDH($C$328,"GEO_GROW_OPER_INC","FQ3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31" s="1" t="e">
        <f ca="1">_xll.BDH($C$328,"NET_INCOME_TO_COMMON_5_YR_GROWTH","FQ3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31" s="1" t="e">
        <f ca="1">_xll.BDH($C$328,"5Y_GEO_GROWTH_DILUTED_EPS","FQ3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31" s="1" t="e">
        <f ca="1">_xll.BDH($C$328,"GEO_GROW_DVD_PER_SH","FQ3 2014","FQ3 2014","Currency=INR","Period=FQ","BEST_FPERIOD_OVERRIDE=FQ","FILING_STATUS=OR","EQY_CONSOLIDATED=Y","Sort=A","Dates=H","DateFormat=P","Fill=—","Direction=H","UseDPDF=Y")</f>
        <v>#NAME?</v>
      </c>
      <c r="AS331" s="1" t="e">
        <f ca="1">_xll.BDH($C$328,"ACCOUNTS_RECEIVABLE_5_YR_GROWTH","FQ3 2014","FQ3 2014","Currency=INR","Period=FQ","BEST_FPERIOD_OVERRIDE=FQ","FILING_STATUS=OR","EQY_CONSOLIDATED=Y","Sort=A","Dates=H","DateFormat=P","Fill=—","Direction=H","UseDPDF=Y")</f>
        <v>#NAME?</v>
      </c>
      <c r="AT331" s="1" t="e">
        <f ca="1">_xll.BDH($C$328,"INVENTORY_5_YEAR_GROWTH","FQ3 2014","FQ3 2014","Currency=INR","Period=FQ","BEST_FPERIOD_OVERRIDE=FQ","FILING_STATUS=OR","EQY_CONSOLIDATED=Y","Sort=A","Dates=H","DateFormat=P","Fill=—","Direction=H","UseDPDF=Y")</f>
        <v>#NAME?</v>
      </c>
      <c r="AU331" s="1" t="e">
        <f ca="1">_xll.BDH($C$328,"NET_FIXED_ASSETS_5_YEAR_GROWTH","FQ3 2014","FQ3 2014","Currency=INR","Period=FQ","BEST_FPERIOD_OVERRIDE=FQ","FILING_STATUS=OR","EQY_CONSOLIDATED=Y","Sort=A","Dates=H","DateFormat=P","Fill=—","Direction=H","UseDPDF=Y")</f>
        <v>#NAME?</v>
      </c>
      <c r="AV331" s="1" t="e">
        <f ca="1">_xll.BDH($C$328,"GEO_GROW_TOT_ASSET","FQ3 2014","FQ3 2014","Currency=INR","Period=FQ","BEST_FPERIOD_OVERRIDE=FQ","FILING_STATUS=OR","EQY_CONSOLIDATED=Y","Sort=A","Dates=H","DateFormat=P","Fill=—","Direction=H","UseDPDF=Y")</f>
        <v>#NAME?</v>
      </c>
      <c r="AW331" s="1" t="e">
        <f ca="1">_xll.BDH($C$328,"MODIFIED_WORKING_CPTL_5YR_GRWTH","FQ3 2014","FQ3 2014","Currency=INR","Period=FQ","BEST_FPERIOD_OVERRIDE=FQ","FILING_STATUS=OR","EQY_CONSOLIDATED=Y","Sort=A","Dates=H","DateFormat=P","Fill=—","Direction=H","UseDPDF=Y")</f>
        <v>#NAME?</v>
      </c>
      <c r="AX331" s="1" t="e">
        <f ca="1">_xll.BDH($C$328,"WORKING_CAPITAL_5_YEAR_GROWTH","FQ3 2014","FQ3 2014","Currency=INR","Period=FQ","BEST_FPERIOD_OVERRIDE=FQ","FILING_STATUS=OR","EQY_CONSOLIDATED=Y","Sort=A","Dates=H","DateFormat=P","Fill=—","Direction=H","UseDPDF=Y")</f>
        <v>#NAME?</v>
      </c>
      <c r="AY331" s="1" t="e">
        <f ca="1">_xll.BDH($C$328,"ACCOUNTS_PAYABLE_5_YEAR_GROWTH","FQ3 2014","FQ3 2014","Currency=INR","Period=FQ","BEST_FPERIOD_OVERRIDE=FQ","FILING_STATUS=OR","EQY_CONSOLIDATED=Y","Sort=A","Dates=H","DateFormat=P","Fill=—","Direction=H","UseDPDF=Y")</f>
        <v>#NAME?</v>
      </c>
      <c r="AZ331" s="1" t="e">
        <f ca="1">_xll.BDH($C$328,"SHORT_TERM_DEBT_5_YEAR_GROWTH","FQ3 2014","FQ3 2014","Currency=INR","Period=FQ","BEST_FPERIOD_OVERRIDE=FQ","FILING_STATUS=OR","EQY_CONSOLIDATED=Y","Sort=A","Dates=H","DateFormat=P","Fill=—","Direction=H","UseDPDF=Y")</f>
        <v>#NAME?</v>
      </c>
      <c r="BA331" s="1" t="e">
        <f ca="1">_xll.BDH($C$328,"TOTAL_DEBT_5_YEAR_GROWTH","FQ3 2014","FQ3 2014","Currency=INR","Period=FQ","BEST_FPERIOD_OVERRIDE=FQ","FILING_STATUS=OR","EQY_CONSOLIDATED=Y","Sort=A","Dates=H","DateFormat=P","Fill=—","Direction=H","UseDPDF=Y")</f>
        <v>#NAME?</v>
      </c>
      <c r="BB331" s="1" t="e">
        <f ca="1">_xll.BDH($C$328,"GEO_GROW_TOT_SHRHLDR_EQY","FQ3 2014","FQ3 2014","Currency=INR","Period=FQ","BEST_FPERIOD_OVERRIDE=FQ","FILING_STATUS=OR","EQY_CONSOLIDATED=Y","Sort=A","Dates=H","DateFormat=P","Fill=—","Direction=H","UseDPDF=Y")</f>
        <v>#NAME?</v>
      </c>
      <c r="BC331" s="1" t="e">
        <f ca="1">_xll.BDH($C$328,"TOTAL_CAPITAL_5_YEAR_GROWTH","FQ3 2014","FQ3 2014","Currency=INR","Period=FQ","BEST_FPERIOD_OVERRIDE=FQ","FILING_STATUS=OR","EQY_CONSOLIDATED=Y","Sort=A","Dates=H","DateFormat=P","Fill=—","Direction=H","UseDPDF=Y")</f>
        <v>#NAME?</v>
      </c>
      <c r="BD331" s="1" t="e">
        <f ca="1">_xll.BDH($C$328,"GEO_GROW_BOOK_VAL","FQ3 2014","FQ3 2014","Currency=INR","Period=FQ","BEST_FPERIOD_OVERRIDE=FQ","FILING_STATUS=OR","EQY_CONSOLIDATED=Y","Sort=A","Dates=H","DateFormat=P","Fill=—","Direction=H","UseDPDF=Y")</f>
        <v>#NAME?</v>
      </c>
      <c r="BE331" s="1" t="e">
        <f ca="1">_xll.BDH($C$328,"GEO_GROW_CASH_OPER_ACT","FQ3 2014","FQ3 2014","Currency=INR","Period=FQ","BEST_FPERIOD_OVERRIDE=FQ","FILING_STATUS=OR","EQY_CONSOLIDATED=Y","Sort=A","Dates=H","DateFormat=P","Fill=—","Direction=H","UseDPDF=Y")</f>
        <v>#NAME?</v>
      </c>
      <c r="BF331" s="1" t="e">
        <f ca="1">_xll.BDH($C$328,"REVENUE_SEQUENTIAL_GROWTH","FQ3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31" s="1" t="e">
        <f ca="1">_xll.BDH($C$328,"EBITDA_SEQUENTIAL_GROWTH","FQ3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31" s="1" t="e">
        <f ca="1">_xll.BDH($C$328,"OPERATING_INCOME_SEQ_GROWTH","FQ3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31" s="1" t="e">
        <f ca="1">_xll.BDH($C$328,"NET_INCOME_TO_COMMON_SEQ_GROWTH","FQ3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31" s="1" t="e">
        <f ca="1">_xll.BDH($C$328,"EPS_DILUTED_SEQUENTIAL_GROWTH","FQ3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31" s="1" t="e">
        <f ca="1">_xll.BDH($C$328,"DPS_SEQUENTIAL_GROWTH","FQ3 2014","FQ3 2014","Currency=INR","Period=FQ","BEST_FPERIOD_OVERRIDE=FQ","FILING_STATUS=OR","EQY_CONSOLIDATED=Y","Sort=A","Dates=H","DateFormat=P","Fill=—","Direction=H","UseDPDF=Y")</f>
        <v>#NAME?</v>
      </c>
      <c r="BL331" s="1" t="e">
        <f ca="1">_xll.BDH($C$328,"ACCOUNTS_RECEIVABLE_SEQ_GROWTH","FQ3 2014","FQ3 2014","Currency=INR","Period=FQ","BEST_FPERIOD_OVERRIDE=FQ","FILING_STATUS=OR","EQY_CONSOLIDATED=Y","Sort=A","Dates=H","DateFormat=P","Fill=—","Direction=H","UseDPDF=Y")</f>
        <v>#NAME?</v>
      </c>
      <c r="BM331" s="1" t="e">
        <f ca="1">_xll.BDH($C$328,"INVENTORY_SEQUENTIAL_GROWTH","FQ3 2014","FQ3 2014","Currency=INR","Period=FQ","BEST_FPERIOD_OVERRIDE=FQ","FILING_STATUS=OR","EQY_CONSOLIDATED=Y","Sort=A","Dates=H","DateFormat=P","Fill=—","Direction=H","UseDPDF=Y")</f>
        <v>#NAME?</v>
      </c>
      <c r="BN331" s="1" t="e">
        <f ca="1">_xll.BDH($C$328,"FIXED_ASSETS_SEQUENTIAL_GROWTH","FQ3 2014","FQ3 2014","Currency=INR","Period=FQ","BEST_FPERIOD_OVERRIDE=FQ","FILING_STATUS=OR","EQY_CONSOLIDATED=Y","Sort=A","Dates=H","DateFormat=P","Fill=—","Direction=H","UseDPDF=Y")</f>
        <v>#NAME?</v>
      </c>
      <c r="BO331" s="1" t="e">
        <f ca="1">_xll.BDH($C$328,"TOTAL_ASSETS_SEQUENTIAL_GROWTH","FQ3 2014","FQ3 2014","Currency=INR","Period=FQ","BEST_FPERIOD_OVERRIDE=FQ","FILING_STATUS=OR","EQY_CONSOLIDATED=Y","Sort=A","Dates=H","DateFormat=P","Fill=—","Direction=H","UseDPDF=Y")</f>
        <v>#NAME?</v>
      </c>
      <c r="BP331" s="1" t="e">
        <f ca="1">_xll.BDH($C$328,"MODIFIED_WORKING_CPTL_SEQ_GRWTH","FQ3 2014","FQ3 2014","Currency=INR","Period=FQ","BEST_FPERIOD_OVERRIDE=FQ","FILING_STATUS=OR","EQY_CONSOLIDATED=Y","Sort=A","Dates=H","DateFormat=P","Fill=—","Direction=H","UseDPDF=Y")</f>
        <v>#NAME?</v>
      </c>
      <c r="BQ331" s="1" t="e">
        <f ca="1">_xll.BDH($C$328,"WORKING_CAPITAL_SEQ_GROWTH","FQ3 2014","FQ3 2014","Currency=INR","Period=FQ","BEST_FPERIOD_OVERRIDE=FQ","FILING_STATUS=OR","EQY_CONSOLIDATED=Y","Sort=A","Dates=H","DateFormat=P","Fill=—","Direction=H","UseDPDF=Y")</f>
        <v>#NAME?</v>
      </c>
      <c r="BR331" s="1" t="e">
        <f ca="1">_xll.BDH($C$328,"ACCOUNTS_PAYABLE_SEQ_GROWTH","FQ3 2014","FQ3 2014","Currency=INR","Period=FQ","BEST_FPERIOD_OVERRIDE=FQ","FILING_STATUS=OR","EQY_CONSOLIDATED=Y","Sort=A","Dates=H","DateFormat=P","Fill=—","Direction=H","UseDPDF=Y")</f>
        <v>#NAME?</v>
      </c>
      <c r="BS331" s="1" t="e">
        <f ca="1">_xll.BDH($C$328,"ST_DEBT_SEQUENTIAL_GROWTH","FQ3 2014","FQ3 2014","Currency=INR","Period=FQ","BEST_FPERIOD_OVERRIDE=FQ","FILING_STATUS=OR","EQY_CONSOLIDATED=Y","Sort=A","Dates=H","DateFormat=P","Fill=—","Direction=H","UseDPDF=Y")</f>
        <v>#NAME?</v>
      </c>
      <c r="BT331" s="1" t="e">
        <f ca="1">_xll.BDH($C$328,"TOTAL_DEBT_SEQUENTIAL_GROWTH","FQ3 2014","FQ3 2014","Currency=INR","Period=FQ","BEST_FPERIOD_OVERRIDE=FQ","FILING_STATUS=OR","EQY_CONSOLIDATED=Y","Sort=A","Dates=H","DateFormat=P","Fill=—","Direction=H","UseDPDF=Y")</f>
        <v>#NAME?</v>
      </c>
      <c r="BU331" s="1" t="e">
        <f ca="1">_xll.BDH($C$328,"TOTAL_EQUITY_SEQUENTIAL_GROWTH","FQ3 2014","FQ3 2014","Currency=INR","Period=FQ","BEST_FPERIOD_OVERRIDE=FQ","FILING_STATUS=OR","EQY_CONSOLIDATED=Y","Sort=A","Dates=H","DateFormat=P","Fill=—","Direction=H","UseDPDF=Y")</f>
        <v>#NAME?</v>
      </c>
      <c r="BV331" s="1" t="e">
        <f ca="1">_xll.BDH($C$328,"TOTAL_CAPITAL_SEQUENTIAL_GROWTH","FQ3 2014","FQ3 2014","Currency=INR","Period=FQ","BEST_FPERIOD_OVERRIDE=FQ","FILING_STATUS=OR","EQY_CONSOLIDATED=Y","Sort=A","Dates=H","DateFormat=P","Fill=—","Direction=H","UseDPDF=Y")</f>
        <v>#NAME?</v>
      </c>
      <c r="BW331" s="1" t="e">
        <f ca="1">_xll.BDH($C$328,"BPS_SEQUENTIAL_GROWTH","FQ3 2014","FQ3 2014","Currency=INR","Period=FQ","BEST_FPERIOD_OVERRIDE=FQ","FILING_STATUS=OR","EQY_CONSOLIDATED=Y","Sort=A","Dates=H","DateFormat=P","Fill=—","Direction=H","UseDPDF=Y")</f>
        <v>#NAME?</v>
      </c>
      <c r="BX331" s="1" t="e">
        <f ca="1">_xll.BDH($C$328,"CFO_SEQUENTIAL_GROWTH","FQ3 2014","FQ3 2014","Currency=INR","Period=FQ","BEST_FPERIOD_OVERRIDE=FQ","FILING_STATUS=OR","EQY_CONSOLIDATED=Y","Sort=A","Dates=H","DateFormat=P","Fill=—","Direction=H","UseDPDF=Y")</f>
        <v>#NAME?</v>
      </c>
      <c r="BY331" s="2" t="e">
        <f ca="1">_xll.BDH($C$328,"SHORT_AND_LONG_TERM_DEBT","FQ3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31" s="2" t="e">
        <f ca="1">_xll.BDH($C$328,"BS_ST_BORROW","FQ3 2014","FQ3 2014","Currency=INR","Period=FQ","BEST_FPERIOD_OVERRIDE=FQ","FILING_STATUS=OR","EQY_CONSOLIDATED=Y","SCALING_FORMAT=MLN","Sort=A","Dates=H","DateFormat=P","Fill=—","Direction=H","UseDPDF=Y")</f>
        <v>#NAME?</v>
      </c>
      <c r="CA331" s="2" t="e">
        <f ca="1">_xll.BDH($C$328,"BS_LT_BORROW","FQ3 2014","FQ3 2014","Currency=INR","Period=FQ","BEST_FPERIOD_OVERRIDE=FQ","FILING_STATUS=OR","EQY_CONSOLIDATED=Y","SCALING_FORMAT=MLN","Sort=A","Dates=H","DateFormat=P","Fill=—","Direction=H","UseDPDF=Y")</f>
        <v>#NAME?</v>
      </c>
      <c r="CB331" s="1" t="e">
        <f ca="1">_xll.BDH($C$328,"TOT_DEBT_TO_EBITDA","FQ3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31" s="1" t="e">
        <f ca="1">_xll.BDH($C$328,"NET_DEBT_TO_EBITDA","FQ3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31" s="1" t="e">
        <f ca="1">_xll.BDH($C$328,"TOTAL_DEBT_TO_EBIT","FQ3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31" s="1" t="e">
        <f ca="1">_xll.BDH($C$328,"NET_DEBT_TO_EBIT","FQ3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331" s="1" t="e">
        <f ca="1">_xll.BDH($C$328,"EBITDA_TO_INTEREST_EXPN","FQ3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31" s="1" t="e">
        <f ca="1">_xll.BDH($C$328,"COM_EQY_TO_TOT_ASSET","FQ3 2014","FQ3 2014","Currency=INR","Period=FQ","BEST_FPERIOD_OVERRIDE=FQ","FILING_STATUS=OR","EQY_CONSOLIDATED=Y","Sort=A","Dates=H","DateFormat=P","Fill=—","Direction=H","UseDPDF=Y")</f>
        <v>#NAME?</v>
      </c>
      <c r="CH331" s="1" t="e">
        <f ca="1">_xll.BDH($C$328,"LT_DEBT_TO_TOT_EQY","FQ3 2014","FQ3 2014","Currency=INR","Period=FQ","BEST_FPERIOD_OVERRIDE=FQ","FILING_STATUS=OR","EQY_CONSOLIDATED=Y","Sort=A","Dates=H","DateFormat=P","Fill=—","Direction=H","UseDPDF=Y")</f>
        <v>#NAME?</v>
      </c>
      <c r="CI331" s="1" t="e">
        <f ca="1">_xll.BDH($C$328,"LT_DEBT_TO_TOT_CAP","FQ3 2014","FQ3 2014","Currency=INR","Period=FQ","BEST_FPERIOD_OVERRIDE=FQ","FILING_STATUS=OR","EQY_CONSOLIDATED=Y","Sort=A","Dates=H","DateFormat=P","Fill=—","Direction=H","UseDPDF=Y")</f>
        <v>#NAME?</v>
      </c>
      <c r="CJ331" s="1" t="e">
        <f ca="1">_xll.BDH($C$328,"LT_DEBT_TO_TOT_ASSET","FQ3 2014","FQ3 2014","Currency=INR","Period=FQ","BEST_FPERIOD_OVERRIDE=FQ","FILING_STATUS=OR","EQY_CONSOLIDATED=Y","Sort=A","Dates=H","DateFormat=P","Fill=—","Direction=H","UseDPDF=Y")</f>
        <v>#NAME?</v>
      </c>
      <c r="CK331" s="1" t="e">
        <f ca="1">_xll.BDH($C$328,"TOT_DEBT_TO_TOT_EQY","FQ3 2014","FQ3 2014","Currency=INR","Period=FQ","BEST_FPERIOD_OVERRIDE=FQ","FILING_STATUS=OR","EQY_CONSOLIDATED=Y","Sort=A","Dates=H","DateFormat=P","Fill=—","Direction=H","UseDPDF=Y")</f>
        <v>#NAME?</v>
      </c>
      <c r="CL331" s="1" t="e">
        <f ca="1">_xll.BDH($C$328,"TOT_DEBT_TO_TOT_CAP","FQ3 2014","FQ3 2014","Currency=INR","Period=FQ","BEST_FPERIOD_OVERRIDE=FQ","FILING_STATUS=OR","EQY_CONSOLIDATED=Y","Sort=A","Dates=H","DateFormat=P","Fill=—","Direction=H","UseDPDF=Y")</f>
        <v>#NAME?</v>
      </c>
      <c r="CM331" s="1" t="e">
        <f ca="1">_xll.BDH($C$328,"TOT_DEBT_TO_TOT_ASSET","FQ3 2014","FQ3 2014","Currency=INR","Period=FQ","BEST_FPERIOD_OVERRIDE=FQ","FILING_STATUS=OR","EQY_CONSOLIDATED=Y","Sort=A","Dates=H","DateFormat=P","Fill=—","Direction=H","UseDPDF=Y")</f>
        <v>#NAME?</v>
      </c>
      <c r="CN331" s="1" t="e">
        <f ca="1">_xll.BDH($C$328,"NET_DEBT_TO_SHRHLDR_EQTY","FQ3 2014","FQ3 2014","Currency=INR","Period=FQ","BEST_FPERIOD_OVERRIDE=FQ","FILING_STATUS=OR","EQY_CONSOLIDATED=Y","Sort=A","Dates=H","DateFormat=P","Fill=—","Direction=H","UseDPDF=Y")</f>
        <v>#NAME?</v>
      </c>
      <c r="CO331" s="1" t="e">
        <f ca="1">_xll.BDH($C$328,"NET_DEBT_%_CAPITAL","FQ3 2014","FQ3 2014","Currency=INR","Period=FQ","BEST_FPERIOD_OVERRIDE=FQ","FILING_STATUS=OR","EQY_CONSOLIDATED=Y","Sort=A","Dates=H","DateFormat=P","Fill=—","Direction=H","UseDPDF=Y")</f>
        <v>#NAME?</v>
      </c>
      <c r="CP331" s="2" t="e">
        <f ca="1">_xll.BDH($C$328,"EBITDA","FQ3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31" s="2" t="e">
        <f ca="1">_xll.BDH($C$328,"EBITDA_AFTER_CAPEX","FQ3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31" s="2" t="e">
        <f ca="1">_xll.BDH($C$328,"IS_OPER_INC","FQ3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31" s="1" t="e">
        <f ca="1">_xll.BDH($C$328,"CASH_RATIO","FQ3 2014","FQ3 2014","Currency=INR","Period=FQ","BEST_FPERIOD_OVERRIDE=FQ","FILING_STATUS=OR","EQY_CONSOLIDATED=Y","Sort=A","Dates=H","DateFormat=P","Fill=—","Direction=H","UseDPDF=Y")</f>
        <v>#NAME?</v>
      </c>
      <c r="CT331" s="1" t="e">
        <f ca="1">_xll.BDH($C$328,"CUR_RATIO","FQ3 2014","FQ3 2014","Currency=INR","Period=FQ","BEST_FPERIOD_OVERRIDE=FQ","FILING_STATUS=OR","EQY_CONSOLIDATED=Y","Sort=A","Dates=H","DateFormat=P","Fill=—","Direction=H","UseDPDF=Y")</f>
        <v>#NAME?</v>
      </c>
      <c r="CU331" s="1" t="e">
        <f ca="1">_xll.BDH($C$328,"QUICK_RATIO","FQ3 2014","FQ3 2014","Currency=INR","Period=FQ","BEST_FPERIOD_OVERRIDE=FQ","FILING_STATUS=OR","EQY_CONSOLIDATED=Y","Sort=A","Dates=H","DateFormat=P","Fill=—","Direction=H","UseDPDF=Y")</f>
        <v>#NAME?</v>
      </c>
      <c r="CV331" s="1" t="e">
        <f ca="1">_xll.BDH($C$328,"ALTMAN_Z_SCORE","FQ3 2014","FQ3 2014","Currency=INR","Period=FQ","BEST_FPERIOD_OVERRIDE=FQ","FILING_STATUS=OR","EQY_CONSOLIDATED=Y","Sort=A","Dates=H","DateFormat=P","Fill=—","Direction=H","UseDPDF=Y")</f>
        <v>#NAME?</v>
      </c>
      <c r="CW331" s="3" t="e">
        <f ca="1">_xll.BDH($C$328,"ACCT_RCV_TURN","FQ3 2014","FQ3 2014","Currency=INR","Period=FQ","BEST_FPERIOD_OVERRIDE=FQ","FILING_STATUS=OR","EQY_CONSOLIDATED=Y","FA_ADJUSTED=GAAP","Sort=A","Dates=H","DateFormat=P","Fill=—","Direction=H","UseDPDF=Y")</f>
        <v>#NAME?</v>
      </c>
      <c r="CX331" s="1" t="e">
        <f ca="1">_xll.BDH($C$328,"ACCT_RCV_DAYS","FQ3 2014","FQ3 2014","Currency=INR","Period=FQ","BEST_FPERIOD_OVERRIDE=FQ","FILING_STATUS=OR","EQY_CONSOLIDATED=Y","FA_ADJUSTED=GAAP","Sort=A","Dates=H","DateFormat=P","Fill=—","Direction=H","UseDPDF=Y")</f>
        <v>#NAME?</v>
      </c>
      <c r="CY331" s="3" t="e">
        <f ca="1">_xll.BDH($C$328,"INVENT_TURN","FQ3 2014","FQ3 2014","Currency=INR","Period=FQ","BEST_FPERIOD_OVERRIDE=FQ","FILING_STATUS=OR","EQY_CONSOLIDATED=Y","FA_ADJUSTED=GAAP","Sort=A","Dates=H","DateFormat=P","Fill=—","Direction=H","UseDPDF=Y")</f>
        <v>#NAME?</v>
      </c>
      <c r="CZ331" s="1" t="e">
        <f ca="1">_xll.BDH($C$328,"INVENT_DAYS","FQ3 2014","FQ3 2014","Currency=INR","Period=FQ","BEST_FPERIOD_OVERRIDE=FQ","FILING_STATUS=OR","EQY_CONSOLIDATED=Y","FA_ADJUSTED=GAAP","Sort=A","Dates=H","DateFormat=P","Fill=—","Direction=H","UseDPDF=Y")</f>
        <v>#NAME?</v>
      </c>
      <c r="DA331" s="3" t="e">
        <f ca="1">_xll.BDH($C$328,"ACCOUNTS_PAYABLE_TURNOVER","FQ3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31" s="1" t="e">
        <f ca="1">_xll.BDH($C$328,"ACCOUNTS_PAYABLE_TURNOVER_DAYS","FQ3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31" s="3" t="e">
        <f ca="1">_xll.BDH($C$328,"CASH_CONVERSION_CYCLE","FQ3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31" s="3" t="e">
        <f ca="1">_xll.BDH($C$328,"INV_TO_CASH_DAYS","FQ3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331" s="4" t="e">
        <f ca="1">_xll.BDH($C$328,"BS_INVENTORIES","FQ3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331" s="2" t="e">
        <f ca="1">_xll.BDH($C$328,"INVTRY_RAW_MATERIALS","FQ3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31" s="2" t="e">
        <f ca="1">_xll.BDH($C$328,"INVTRY_IN_PROGRESS","FQ3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31" s="2" t="e">
        <f ca="1">_xll.BDH($C$328,"INVTRY_FINISHED_GOODS","FQ3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31" s="2" t="e">
        <f ca="1">_xll.BDH($C$328,"BS_OTHER_INV","FQ3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32" spans="1:113" x14ac:dyDescent="0.3">
      <c r="A332" s="6"/>
      <c r="B332" s="6"/>
      <c r="C332" s="6"/>
      <c r="D332" s="6"/>
      <c r="E332" t="s">
        <v>7</v>
      </c>
      <c r="F332" t="e">
        <f ca="1">_xll.BDH($C$328,"RETURN_COM_EQY","FQ4 2014","FQ4 2014","Currency=INR","Period=FQ","BEST_FPERIOD_OVERRIDE=FQ","FILING_STATUS=OR","EQY_CONSOLIDATED=Y","FA_ADJUSTED=GAAP","Sort=A","Dates=H","DateFormat=P","Fill=—","Direction=H","UseDPDF=Y")</f>
        <v>#NAME?</v>
      </c>
      <c r="G332" t="e">
        <f ca="1">_xll.BDH($C$328,"RETURN_ON_ASSET","FQ4 2014","FQ4 2014","Currency=INR","Period=FQ","BEST_FPERIOD_OVERRIDE=FQ","FILING_STATUS=OR","EQY_CONSOLIDATED=Y","FA_ADJUSTED=GAAP","Sort=A","Dates=H","DateFormat=P","Fill=—","Direction=H","UseDPDF=Y")</f>
        <v>#NAME?</v>
      </c>
      <c r="H332" t="e">
        <f ca="1">_xll.BDH($C$328,"RETURN_ON_CAP","FQ4 2014","FQ4 2014","Currency=INR","Period=FQ","BEST_FPERIOD_OVERRIDE=FQ","FILING_STATUS=OR","EQY_CONSOLIDATED=Y","FA_ADJUSTED=GAAP","Sort=A","Dates=H","DateFormat=P","Fill=—","Direction=H","UseDPDF=Y")</f>
        <v>#NAME?</v>
      </c>
      <c r="I332" t="e">
        <f ca="1">_xll.BDH($C$328,"RETURN_ON_INV_CAPITAL","FQ4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32" t="e">
        <f ca="1">_xll.BDH($C$328,"EBITDA_TO_REVENUE","FQ4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332" t="e">
        <f ca="1">_xll.BDH($C$328,"OPER_MARGIN","FQ4 2014","FQ4 2014","Currency=INR","Period=FQ","BEST_FPERIOD_OVERRIDE=FQ","FILING_STATUS=OR","EQY_CONSOLIDATED=Y","FA_ADJUSTED=GAAP","Sort=A","Dates=H","DateFormat=P","Fill=—","Direction=H","UseDPDF=Y")</f>
        <v>#NAME?</v>
      </c>
      <c r="L332" t="e">
        <f ca="1">_xll.BDH($C$328,"INCREMENTAL_OPERATING_MARGIN","FQ4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32" t="e">
        <f ca="1">_xll.BDH($C$328,"PRETAX_INC_TO_NET_SALES","FQ4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32" t="e">
        <f ca="1">_xll.BDH($C$328,"INC_BEF_XO_ITEMS_TO_NET_SALES","FQ4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32" t="e">
        <f ca="1">_xll.BDH($C$328,"PROF_MARGIN","FQ4 2014","FQ4 2014","Currency=INR","Period=FQ","BEST_FPERIOD_OVERRIDE=FQ","FILING_STATUS=OR","EQY_CONSOLIDATED=Y","FA_ADJUSTED=GAAP","Sort=A","Dates=H","DateFormat=P","Fill=—","Direction=H","UseDPDF=Y")</f>
        <v>#NAME?</v>
      </c>
      <c r="P332" t="e">
        <f ca="1">_xll.BDH($C$328,"NET_INCOME_TO_COMMON_MARGIN","FQ4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32" t="e">
        <f ca="1">_xll.BDH($C$328,"EFF_TAX_RATE","FQ4 2014","FQ4 2014","Currency=INR","Period=FQ","BEST_FPERIOD_OVERRIDE=FQ","FILING_STATUS=OR","EQY_CONSOLIDATED=Y","FA_ADJUSTED=GAAP","Sort=A","Dates=H","DateFormat=P","Fill=—","Direction=H","UseDPDF=Y")</f>
        <v>#NAME?</v>
      </c>
      <c r="R332" t="e">
        <f ca="1">_xll.BDH($C$328,"DVD_PAYOUT_RATIO","FQ4 2014","FQ4 2014","Currency=INR","Period=FQ","BEST_FPERIOD_OVERRIDE=FQ","FILING_STATUS=OR","EQY_CONSOLIDATED=Y","FA_ADJUSTED=GAAP","Sort=A","Dates=H","DateFormat=P","Fill=—","Direction=H","UseDPDF=Y")</f>
        <v>#NAME?</v>
      </c>
      <c r="S332" t="e">
        <f ca="1">_xll.BDH($C$328,"SUSTAIN_GROWTH_RT","FQ4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332" s="1" t="e">
        <f ca="1">_xll.BDH($C$328,"SALES_GROWTH","FQ4 2014","FQ4 2014","Currency=INR","Period=FQ","BEST_FPERIOD_OVERRIDE=FQ","FILING_STATUS=OR","EQY_CONSOLIDATED=Y","FA_ADJUSTED=GAAP","Sort=A","Dates=H","DateFormat=P","Fill=—","Direction=H","UseDPDF=Y")</f>
        <v>#NAME?</v>
      </c>
      <c r="U332" s="1" t="e">
        <f ca="1">_xll.BDH($C$328,"EBITDA_GROWTH","FQ4 2014","FQ4 2014","Currency=INR","Period=FQ","BEST_FPERIOD_OVERRIDE=FQ","FILING_STATUS=OR","EQY_CONSOLIDATED=Y","FA_ADJUSTED=GAAP","Sort=A","Dates=H","DateFormat=P","Fill=—","Direction=H","UseDPDF=Y")</f>
        <v>#NAME?</v>
      </c>
      <c r="V332" s="1" t="e">
        <f ca="1">_xll.BDH($C$328,"OPER_INC_GROWTH","FQ4 2014","FQ4 2014","Currency=INR","Period=FQ","BEST_FPERIOD_OVERRIDE=FQ","FILING_STATUS=OR","EQY_CONSOLIDATED=Y","FA_ADJUSTED=GAAP","Sort=A","Dates=H","DateFormat=P","Fill=—","Direction=H","UseDPDF=Y")</f>
        <v>#NAME?</v>
      </c>
      <c r="W332" s="1" t="e">
        <f ca="1">_xll.BDH($C$328,"EARN_FOR_COM_GROWTH","FQ4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32" s="1" t="e">
        <f ca="1">_xll.BDH($C$328,"DILUTED_EPS_AFT_XO_ITEMS_GROWTH","FQ4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32" s="1" t="e">
        <f ca="1">_xll.BDH($C$328,"DIVIDEND_PER_SHARE_1_YEAR_GROWTH","FQ4 2014","FQ4 2014","Currency=INR","Period=FQ","BEST_FPERIOD_OVERRIDE=FQ","FILING_STATUS=OR","EQY_CONSOLIDATED=Y","Sort=A","Dates=H","DateFormat=P","Fill=—","Direction=H","UseDPDF=Y")</f>
        <v>#NAME?</v>
      </c>
      <c r="Z332" s="1" t="e">
        <f ca="1">_xll.BDH($C$328,"ACCOUNTS_RECEIVABLE_GROWTH","FQ4 2014","FQ4 2014","Currency=INR","Period=FQ","BEST_FPERIOD_OVERRIDE=FQ","FILING_STATUS=OR","EQY_CONSOLIDATED=Y","Sort=A","Dates=H","DateFormat=P","Fill=—","Direction=H","UseDPDF=Y")</f>
        <v>#NAME?</v>
      </c>
      <c r="AA332" s="1" t="e">
        <f ca="1">_xll.BDH($C$328,"INVENTORY_GROWTH","FQ4 2014","FQ4 2014","Currency=INR","Period=FQ","BEST_FPERIOD_OVERRIDE=FQ","FILING_STATUS=OR","EQY_CONSOLIDATED=Y","Sort=A","Dates=H","DateFormat=P","Fill=—","Direction=H","UseDPDF=Y")</f>
        <v>#NAME?</v>
      </c>
      <c r="AB332" s="1" t="e">
        <f ca="1">_xll.BDH($C$328,"NET_FIXED_ASSETS_1_YEAR_GROWTH","FQ4 2014","FQ4 2014","Currency=INR","Period=FQ","BEST_FPERIOD_OVERRIDE=FQ","FILING_STATUS=OR","EQY_CONSOLIDATED=Y","Sort=A","Dates=H","DateFormat=P","Fill=—","Direction=H","UseDPDF=Y")</f>
        <v>#NAME?</v>
      </c>
      <c r="AC332" s="1" t="e">
        <f ca="1">_xll.BDH($C$328,"ASSET_GROWTH","FQ4 2014","FQ4 2014","Currency=INR","Period=FQ","BEST_FPERIOD_OVERRIDE=FQ","FILING_STATUS=OR","EQY_CONSOLIDATED=Y","Sort=A","Dates=H","DateFormat=P","Fill=—","Direction=H","UseDPDF=Y")</f>
        <v>#NAME?</v>
      </c>
      <c r="AD332" s="1" t="e">
        <f ca="1">_xll.BDH($C$328,"MODIFIED_WORK_CAP_GROWTH","FQ4 2014","FQ4 2014","Currency=INR","Period=FQ","BEST_FPERIOD_OVERRIDE=FQ","FILING_STATUS=OR","EQY_CONSOLIDATED=Y","Sort=A","Dates=H","DateFormat=P","Fill=—","Direction=H","UseDPDF=Y")</f>
        <v>#NAME?</v>
      </c>
      <c r="AE332" s="1" t="e">
        <f ca="1">_xll.BDH($C$328,"WORK_CAP_GROWTH","FQ4 2014","FQ4 2014","Currency=INR","Period=FQ","BEST_FPERIOD_OVERRIDE=FQ","FILING_STATUS=OR","EQY_CONSOLIDATED=Y","Sort=A","Dates=H","DateFormat=P","Fill=—","Direction=H","UseDPDF=Y")</f>
        <v>#NAME?</v>
      </c>
      <c r="AF332" s="1" t="e">
        <f ca="1">_xll.BDH($C$328,"ACCOUNTS_PAYABLE_GROWTH_1YR","FQ4 2014","FQ4 2014","Currency=INR","Period=FQ","BEST_FPERIOD_OVERRIDE=FQ","FILING_STATUS=OR","EQY_CONSOLIDATED=Y","Sort=A","Dates=H","DateFormat=P","Fill=—","Direction=H","UseDPDF=Y")</f>
        <v>#NAME?</v>
      </c>
      <c r="AG332" s="1" t="e">
        <f ca="1">_xll.BDH($C$328,"SHORT_TERM_DEBT_1_YEAR_GROWTH","FQ4 2014","FQ4 2014","Currency=INR","Period=FQ","BEST_FPERIOD_OVERRIDE=FQ","FILING_STATUS=OR","EQY_CONSOLIDATED=Y","Sort=A","Dates=H","DateFormat=P","Fill=—","Direction=H","UseDPDF=Y")</f>
        <v>#NAME?</v>
      </c>
      <c r="AH332" s="1" t="e">
        <f ca="1">_xll.BDH($C$328,"TOTAL_DEBT_1_YEAR_GROWTH","FQ4 2014","FQ4 2014","Currency=INR","Period=FQ","BEST_FPERIOD_OVERRIDE=FQ","FILING_STATUS=OR","EQY_CONSOLIDATED=Y","Sort=A","Dates=H","DateFormat=P","Fill=—","Direction=H","UseDPDF=Y")</f>
        <v>#NAME?</v>
      </c>
      <c r="AI332" s="1" t="e">
        <f ca="1">_xll.BDH($C$328,"TOTAL_EQUITY_1_YEAR_GROWTH","FQ4 2014","FQ4 2014","Currency=INR","Period=FQ","BEST_FPERIOD_OVERRIDE=FQ","FILING_STATUS=OR","EQY_CONSOLIDATED=Y","Sort=A","Dates=H","DateFormat=P","Fill=—","Direction=H","UseDPDF=Y")</f>
        <v>#NAME?</v>
      </c>
      <c r="AJ332" s="1" t="e">
        <f ca="1">_xll.BDH($C$328,"GROWTH_IN_CAP","FQ4 2014","FQ4 2014","Currency=INR","Period=FQ","BEST_FPERIOD_OVERRIDE=FQ","FILING_STATUS=OR","EQY_CONSOLIDATED=Y","Sort=A","Dates=H","DateFormat=P","Fill=—","Direction=H","UseDPDF=Y")</f>
        <v>#NAME?</v>
      </c>
      <c r="AK332" s="1" t="e">
        <f ca="1">_xll.BDH($C$328,"BVPS_GROWTH","FQ4 2014","FQ4 2014","Currency=INR","Period=FQ","BEST_FPERIOD_OVERRIDE=FQ","FILING_STATUS=OR","EQY_CONSOLIDATED=Y","Sort=A","Dates=H","DateFormat=P","Fill=—","Direction=H","UseDPDF=Y")</f>
        <v>#NAME?</v>
      </c>
      <c r="AL332" s="1" t="e">
        <f ca="1">_xll.BDH($C$328,"CASH_FLOW_GROWTH","FQ4 2014","FQ4 2014","Currency=INR","Period=FQ","BEST_FPERIOD_OVERRIDE=FQ","FILING_STATUS=OR","EQY_CONSOLIDATED=Y","Sort=A","Dates=H","DateFormat=P","Fill=—","Direction=H","UseDPDF=Y")</f>
        <v>#NAME?</v>
      </c>
      <c r="AM332" s="1" t="e">
        <f ca="1">_xll.BDH($C$328,"GEO_GROW_NET_SALES","FQ4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32" s="1" t="e">
        <f ca="1">_xll.BDH($C$328,"GEO_GROW_EBITDA","FQ4 2014","FQ4 2014","Currency=INR","Period=FQ","BEST_FPERIOD_OVERRIDE=FQ","FILING_STATUS=OR","EQY_CONSOLIDATED=Y","FA_ADJUSTED=GAAP","Sort=A","Dates=H","DateFormat=P","Fill=—","Direction=H","UseDPDF=Y")</f>
        <v>#NAME?</v>
      </c>
      <c r="AO332" s="1" t="e">
        <f ca="1">_xll.BDH($C$328,"GEO_GROW_OPER_INC","FQ4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32" s="1" t="e">
        <f ca="1">_xll.BDH($C$328,"NET_INCOME_TO_COMMON_5_YR_GROWTH","FQ4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32" s="1" t="e">
        <f ca="1">_xll.BDH($C$328,"5Y_GEO_GROWTH_DILUTED_EPS","FQ4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32" s="1" t="e">
        <f ca="1">_xll.BDH($C$328,"GEO_GROW_DVD_PER_SH","FQ4 2014","FQ4 2014","Currency=INR","Period=FQ","BEST_FPERIOD_OVERRIDE=FQ","FILING_STATUS=OR","EQY_CONSOLIDATED=Y","Sort=A","Dates=H","DateFormat=P","Fill=—","Direction=H","UseDPDF=Y")</f>
        <v>#NAME?</v>
      </c>
      <c r="AS332" s="1" t="e">
        <f ca="1">_xll.BDH($C$328,"ACCOUNTS_RECEIVABLE_5_YR_GROWTH","FQ4 2014","FQ4 2014","Currency=INR","Period=FQ","BEST_FPERIOD_OVERRIDE=FQ","FILING_STATUS=OR","EQY_CONSOLIDATED=Y","Sort=A","Dates=H","DateFormat=P","Fill=—","Direction=H","UseDPDF=Y")</f>
        <v>#NAME?</v>
      </c>
      <c r="AT332" s="1" t="e">
        <f ca="1">_xll.BDH($C$328,"INVENTORY_5_YEAR_GROWTH","FQ4 2014","FQ4 2014","Currency=INR","Period=FQ","BEST_FPERIOD_OVERRIDE=FQ","FILING_STATUS=OR","EQY_CONSOLIDATED=Y","Sort=A","Dates=H","DateFormat=P","Fill=—","Direction=H","UseDPDF=Y")</f>
        <v>#NAME?</v>
      </c>
      <c r="AU332" s="1" t="e">
        <f ca="1">_xll.BDH($C$328,"NET_FIXED_ASSETS_5_YEAR_GROWTH","FQ4 2014","FQ4 2014","Currency=INR","Period=FQ","BEST_FPERIOD_OVERRIDE=FQ","FILING_STATUS=OR","EQY_CONSOLIDATED=Y","Sort=A","Dates=H","DateFormat=P","Fill=—","Direction=H","UseDPDF=Y")</f>
        <v>#NAME?</v>
      </c>
      <c r="AV332" s="1" t="e">
        <f ca="1">_xll.BDH($C$328,"GEO_GROW_TOT_ASSET","FQ4 2014","FQ4 2014","Currency=INR","Period=FQ","BEST_FPERIOD_OVERRIDE=FQ","FILING_STATUS=OR","EQY_CONSOLIDATED=Y","Sort=A","Dates=H","DateFormat=P","Fill=—","Direction=H","UseDPDF=Y")</f>
        <v>#NAME?</v>
      </c>
      <c r="AW332" s="1" t="e">
        <f ca="1">_xll.BDH($C$328,"MODIFIED_WORKING_CPTL_5YR_GRWTH","FQ4 2014","FQ4 2014","Currency=INR","Period=FQ","BEST_FPERIOD_OVERRIDE=FQ","FILING_STATUS=OR","EQY_CONSOLIDATED=Y","Sort=A","Dates=H","DateFormat=P","Fill=—","Direction=H","UseDPDF=Y")</f>
        <v>#NAME?</v>
      </c>
      <c r="AX332" s="1" t="e">
        <f ca="1">_xll.BDH($C$328,"WORKING_CAPITAL_5_YEAR_GROWTH","FQ4 2014","FQ4 2014","Currency=INR","Period=FQ","BEST_FPERIOD_OVERRIDE=FQ","FILING_STATUS=OR","EQY_CONSOLIDATED=Y","Sort=A","Dates=H","DateFormat=P","Fill=—","Direction=H","UseDPDF=Y")</f>
        <v>#NAME?</v>
      </c>
      <c r="AY332" s="1" t="e">
        <f ca="1">_xll.BDH($C$328,"ACCOUNTS_PAYABLE_5_YEAR_GROWTH","FQ4 2014","FQ4 2014","Currency=INR","Period=FQ","BEST_FPERIOD_OVERRIDE=FQ","FILING_STATUS=OR","EQY_CONSOLIDATED=Y","Sort=A","Dates=H","DateFormat=P","Fill=—","Direction=H","UseDPDF=Y")</f>
        <v>#NAME?</v>
      </c>
      <c r="AZ332" s="1" t="e">
        <f ca="1">_xll.BDH($C$328,"SHORT_TERM_DEBT_5_YEAR_GROWTH","FQ4 2014","FQ4 2014","Currency=INR","Period=FQ","BEST_FPERIOD_OVERRIDE=FQ","FILING_STATUS=OR","EQY_CONSOLIDATED=Y","Sort=A","Dates=H","DateFormat=P","Fill=—","Direction=H","UseDPDF=Y")</f>
        <v>#NAME?</v>
      </c>
      <c r="BA332" s="1" t="e">
        <f ca="1">_xll.BDH($C$328,"TOTAL_DEBT_5_YEAR_GROWTH","FQ4 2014","FQ4 2014","Currency=INR","Period=FQ","BEST_FPERIOD_OVERRIDE=FQ","FILING_STATUS=OR","EQY_CONSOLIDATED=Y","Sort=A","Dates=H","DateFormat=P","Fill=—","Direction=H","UseDPDF=Y")</f>
        <v>#NAME?</v>
      </c>
      <c r="BB332" s="1" t="e">
        <f ca="1">_xll.BDH($C$328,"GEO_GROW_TOT_SHRHLDR_EQY","FQ4 2014","FQ4 2014","Currency=INR","Period=FQ","BEST_FPERIOD_OVERRIDE=FQ","FILING_STATUS=OR","EQY_CONSOLIDATED=Y","Sort=A","Dates=H","DateFormat=P","Fill=—","Direction=H","UseDPDF=Y")</f>
        <v>#NAME?</v>
      </c>
      <c r="BC332" s="1" t="e">
        <f ca="1">_xll.BDH($C$328,"TOTAL_CAPITAL_5_YEAR_GROWTH","FQ4 2014","FQ4 2014","Currency=INR","Period=FQ","BEST_FPERIOD_OVERRIDE=FQ","FILING_STATUS=OR","EQY_CONSOLIDATED=Y","Sort=A","Dates=H","DateFormat=P","Fill=—","Direction=H","UseDPDF=Y")</f>
        <v>#NAME?</v>
      </c>
      <c r="BD332" s="1" t="e">
        <f ca="1">_xll.BDH($C$328,"GEO_GROW_BOOK_VAL","FQ4 2014","FQ4 2014","Currency=INR","Period=FQ","BEST_FPERIOD_OVERRIDE=FQ","FILING_STATUS=OR","EQY_CONSOLIDATED=Y","Sort=A","Dates=H","DateFormat=P","Fill=—","Direction=H","UseDPDF=Y")</f>
        <v>#NAME?</v>
      </c>
      <c r="BE332" s="1" t="e">
        <f ca="1">_xll.BDH($C$328,"GEO_GROW_CASH_OPER_ACT","FQ4 2014","FQ4 2014","Currency=INR","Period=FQ","BEST_FPERIOD_OVERRIDE=FQ","FILING_STATUS=OR","EQY_CONSOLIDATED=Y","Sort=A","Dates=H","DateFormat=P","Fill=—","Direction=H","UseDPDF=Y")</f>
        <v>#NAME?</v>
      </c>
      <c r="BF332" s="1" t="e">
        <f ca="1">_xll.BDH($C$328,"REVENUE_SEQUENTIAL_GROWTH","FQ4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32" s="1" t="e">
        <f ca="1">_xll.BDH($C$328,"EBITDA_SEQUENTIAL_GROWTH","FQ4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32" s="1" t="e">
        <f ca="1">_xll.BDH($C$328,"OPERATING_INCOME_SEQ_GROWTH","FQ4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32" s="1" t="e">
        <f ca="1">_xll.BDH($C$328,"NET_INCOME_TO_COMMON_SEQ_GROWTH","FQ4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32" s="1" t="e">
        <f ca="1">_xll.BDH($C$328,"EPS_DILUTED_SEQUENTIAL_GROWTH","FQ4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32" s="1" t="e">
        <f ca="1">_xll.BDH($C$328,"DPS_SEQUENTIAL_GROWTH","FQ4 2014","FQ4 2014","Currency=INR","Period=FQ","BEST_FPERIOD_OVERRIDE=FQ","FILING_STATUS=OR","EQY_CONSOLIDATED=Y","Sort=A","Dates=H","DateFormat=P","Fill=—","Direction=H","UseDPDF=Y")</f>
        <v>#NAME?</v>
      </c>
      <c r="BL332" s="1" t="e">
        <f ca="1">_xll.BDH($C$328,"ACCOUNTS_RECEIVABLE_SEQ_GROWTH","FQ4 2014","FQ4 2014","Currency=INR","Period=FQ","BEST_FPERIOD_OVERRIDE=FQ","FILING_STATUS=OR","EQY_CONSOLIDATED=Y","Sort=A","Dates=H","DateFormat=P","Fill=—","Direction=H","UseDPDF=Y")</f>
        <v>#NAME?</v>
      </c>
      <c r="BM332" s="1" t="e">
        <f ca="1">_xll.BDH($C$328,"INVENTORY_SEQUENTIAL_GROWTH","FQ4 2014","FQ4 2014","Currency=INR","Period=FQ","BEST_FPERIOD_OVERRIDE=FQ","FILING_STATUS=OR","EQY_CONSOLIDATED=Y","Sort=A","Dates=H","DateFormat=P","Fill=—","Direction=H","UseDPDF=Y")</f>
        <v>#NAME?</v>
      </c>
      <c r="BN332" s="1" t="e">
        <f ca="1">_xll.BDH($C$328,"FIXED_ASSETS_SEQUENTIAL_GROWTH","FQ4 2014","FQ4 2014","Currency=INR","Period=FQ","BEST_FPERIOD_OVERRIDE=FQ","FILING_STATUS=OR","EQY_CONSOLIDATED=Y","Sort=A","Dates=H","DateFormat=P","Fill=—","Direction=H","UseDPDF=Y")</f>
        <v>#NAME?</v>
      </c>
      <c r="BO332" s="1" t="e">
        <f ca="1">_xll.BDH($C$328,"TOTAL_ASSETS_SEQUENTIAL_GROWTH","FQ4 2014","FQ4 2014","Currency=INR","Period=FQ","BEST_FPERIOD_OVERRIDE=FQ","FILING_STATUS=OR","EQY_CONSOLIDATED=Y","Sort=A","Dates=H","DateFormat=P","Fill=—","Direction=H","UseDPDF=Y")</f>
        <v>#NAME?</v>
      </c>
      <c r="BP332" s="1" t="e">
        <f ca="1">_xll.BDH($C$328,"MODIFIED_WORKING_CPTL_SEQ_GRWTH","FQ4 2014","FQ4 2014","Currency=INR","Period=FQ","BEST_FPERIOD_OVERRIDE=FQ","FILING_STATUS=OR","EQY_CONSOLIDATED=Y","Sort=A","Dates=H","DateFormat=P","Fill=—","Direction=H","UseDPDF=Y")</f>
        <v>#NAME?</v>
      </c>
      <c r="BQ332" s="1" t="e">
        <f ca="1">_xll.BDH($C$328,"WORKING_CAPITAL_SEQ_GROWTH","FQ4 2014","FQ4 2014","Currency=INR","Period=FQ","BEST_FPERIOD_OVERRIDE=FQ","FILING_STATUS=OR","EQY_CONSOLIDATED=Y","Sort=A","Dates=H","DateFormat=P","Fill=—","Direction=H","UseDPDF=Y")</f>
        <v>#NAME?</v>
      </c>
      <c r="BR332" s="1" t="e">
        <f ca="1">_xll.BDH($C$328,"ACCOUNTS_PAYABLE_SEQ_GROWTH","FQ4 2014","FQ4 2014","Currency=INR","Period=FQ","BEST_FPERIOD_OVERRIDE=FQ","FILING_STATUS=OR","EQY_CONSOLIDATED=Y","Sort=A","Dates=H","DateFormat=P","Fill=—","Direction=H","UseDPDF=Y")</f>
        <v>#NAME?</v>
      </c>
      <c r="BS332" s="1" t="e">
        <f ca="1">_xll.BDH($C$328,"ST_DEBT_SEQUENTIAL_GROWTH","FQ4 2014","FQ4 2014","Currency=INR","Period=FQ","BEST_FPERIOD_OVERRIDE=FQ","FILING_STATUS=OR","EQY_CONSOLIDATED=Y","Sort=A","Dates=H","DateFormat=P","Fill=—","Direction=H","UseDPDF=Y")</f>
        <v>#NAME?</v>
      </c>
      <c r="BT332" s="1" t="e">
        <f ca="1">_xll.BDH($C$328,"TOTAL_DEBT_SEQUENTIAL_GROWTH","FQ4 2014","FQ4 2014","Currency=INR","Period=FQ","BEST_FPERIOD_OVERRIDE=FQ","FILING_STATUS=OR","EQY_CONSOLIDATED=Y","Sort=A","Dates=H","DateFormat=P","Fill=—","Direction=H","UseDPDF=Y")</f>
        <v>#NAME?</v>
      </c>
      <c r="BU332" s="1" t="e">
        <f ca="1">_xll.BDH($C$328,"TOTAL_EQUITY_SEQUENTIAL_GROWTH","FQ4 2014","FQ4 2014","Currency=INR","Period=FQ","BEST_FPERIOD_OVERRIDE=FQ","FILING_STATUS=OR","EQY_CONSOLIDATED=Y","Sort=A","Dates=H","DateFormat=P","Fill=—","Direction=H","UseDPDF=Y")</f>
        <v>#NAME?</v>
      </c>
      <c r="BV332" s="1" t="e">
        <f ca="1">_xll.BDH($C$328,"TOTAL_CAPITAL_SEQUENTIAL_GROWTH","FQ4 2014","FQ4 2014","Currency=INR","Period=FQ","BEST_FPERIOD_OVERRIDE=FQ","FILING_STATUS=OR","EQY_CONSOLIDATED=Y","Sort=A","Dates=H","DateFormat=P","Fill=—","Direction=H","UseDPDF=Y")</f>
        <v>#NAME?</v>
      </c>
      <c r="BW332" s="1" t="e">
        <f ca="1">_xll.BDH($C$328,"BPS_SEQUENTIAL_GROWTH","FQ4 2014","FQ4 2014","Currency=INR","Period=FQ","BEST_FPERIOD_OVERRIDE=FQ","FILING_STATUS=OR","EQY_CONSOLIDATED=Y","Sort=A","Dates=H","DateFormat=P","Fill=—","Direction=H","UseDPDF=Y")</f>
        <v>#NAME?</v>
      </c>
      <c r="BX332" s="1" t="e">
        <f ca="1">_xll.BDH($C$328,"CFO_SEQUENTIAL_GROWTH","FQ4 2014","FQ4 2014","Currency=INR","Period=FQ","BEST_FPERIOD_OVERRIDE=FQ","FILING_STATUS=OR","EQY_CONSOLIDATED=Y","Sort=A","Dates=H","DateFormat=P","Fill=—","Direction=H","UseDPDF=Y")</f>
        <v>#NAME?</v>
      </c>
      <c r="BY332" s="2" t="e">
        <f ca="1">_xll.BDH($C$328,"SHORT_AND_LONG_TERM_DEBT","FQ4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32" s="2" t="e">
        <f ca="1">_xll.BDH($C$328,"BS_ST_BORROW","FQ4 2014","FQ4 2014","Currency=INR","Period=FQ","BEST_FPERIOD_OVERRIDE=FQ","FILING_STATUS=OR","EQY_CONSOLIDATED=Y","SCALING_FORMAT=MLN","Sort=A","Dates=H","DateFormat=P","Fill=—","Direction=H","UseDPDF=Y")</f>
        <v>#NAME?</v>
      </c>
      <c r="CA332" s="2" t="e">
        <f ca="1">_xll.BDH($C$328,"BS_LT_BORROW","FQ4 2014","FQ4 2014","Currency=INR","Period=FQ","BEST_FPERIOD_OVERRIDE=FQ","FILING_STATUS=OR","EQY_CONSOLIDATED=Y","SCALING_FORMAT=MLN","Sort=A","Dates=H","DateFormat=P","Fill=—","Direction=H","UseDPDF=Y")</f>
        <v>#NAME?</v>
      </c>
      <c r="CB332" s="1" t="e">
        <f ca="1">_xll.BDH($C$328,"TOT_DEBT_TO_EBITDA","FQ4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32" s="1" t="e">
        <f ca="1">_xll.BDH($C$328,"NET_DEBT_TO_EBITDA","FQ4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32" s="1" t="e">
        <f ca="1">_xll.BDH($C$328,"TOTAL_DEBT_TO_EBIT","FQ4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32" s="1" t="e">
        <f ca="1">_xll.BDH($C$328,"NET_DEBT_TO_EBIT","FQ4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332" s="1" t="e">
        <f ca="1">_xll.BDH($C$328,"EBITDA_TO_INTEREST_EXPN","FQ4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32" s="1" t="e">
        <f ca="1">_xll.BDH($C$328,"COM_EQY_TO_TOT_ASSET","FQ4 2014","FQ4 2014","Currency=INR","Period=FQ","BEST_FPERIOD_OVERRIDE=FQ","FILING_STATUS=OR","EQY_CONSOLIDATED=Y","Sort=A","Dates=H","DateFormat=P","Fill=—","Direction=H","UseDPDF=Y")</f>
        <v>#NAME?</v>
      </c>
      <c r="CH332" s="1" t="e">
        <f ca="1">_xll.BDH($C$328,"LT_DEBT_TO_TOT_EQY","FQ4 2014","FQ4 2014","Currency=INR","Period=FQ","BEST_FPERIOD_OVERRIDE=FQ","FILING_STATUS=OR","EQY_CONSOLIDATED=Y","Sort=A","Dates=H","DateFormat=P","Fill=—","Direction=H","UseDPDF=Y")</f>
        <v>#NAME?</v>
      </c>
      <c r="CI332" s="1" t="e">
        <f ca="1">_xll.BDH($C$328,"LT_DEBT_TO_TOT_CAP","FQ4 2014","FQ4 2014","Currency=INR","Period=FQ","BEST_FPERIOD_OVERRIDE=FQ","FILING_STATUS=OR","EQY_CONSOLIDATED=Y","Sort=A","Dates=H","DateFormat=P","Fill=—","Direction=H","UseDPDF=Y")</f>
        <v>#NAME?</v>
      </c>
      <c r="CJ332" s="1" t="e">
        <f ca="1">_xll.BDH($C$328,"LT_DEBT_TO_TOT_ASSET","FQ4 2014","FQ4 2014","Currency=INR","Period=FQ","BEST_FPERIOD_OVERRIDE=FQ","FILING_STATUS=OR","EQY_CONSOLIDATED=Y","Sort=A","Dates=H","DateFormat=P","Fill=—","Direction=H","UseDPDF=Y")</f>
        <v>#NAME?</v>
      </c>
      <c r="CK332" s="1" t="e">
        <f ca="1">_xll.BDH($C$328,"TOT_DEBT_TO_TOT_EQY","FQ4 2014","FQ4 2014","Currency=INR","Period=FQ","BEST_FPERIOD_OVERRIDE=FQ","FILING_STATUS=OR","EQY_CONSOLIDATED=Y","Sort=A","Dates=H","DateFormat=P","Fill=—","Direction=H","UseDPDF=Y")</f>
        <v>#NAME?</v>
      </c>
      <c r="CL332" s="1" t="e">
        <f ca="1">_xll.BDH($C$328,"TOT_DEBT_TO_TOT_CAP","FQ4 2014","FQ4 2014","Currency=INR","Period=FQ","BEST_FPERIOD_OVERRIDE=FQ","FILING_STATUS=OR","EQY_CONSOLIDATED=Y","Sort=A","Dates=H","DateFormat=P","Fill=—","Direction=H","UseDPDF=Y")</f>
        <v>#NAME?</v>
      </c>
      <c r="CM332" s="1" t="e">
        <f ca="1">_xll.BDH($C$328,"TOT_DEBT_TO_TOT_ASSET","FQ4 2014","FQ4 2014","Currency=INR","Period=FQ","BEST_FPERIOD_OVERRIDE=FQ","FILING_STATUS=OR","EQY_CONSOLIDATED=Y","Sort=A","Dates=H","DateFormat=P","Fill=—","Direction=H","UseDPDF=Y")</f>
        <v>#NAME?</v>
      </c>
      <c r="CN332" s="1" t="e">
        <f ca="1">_xll.BDH($C$328,"NET_DEBT_TO_SHRHLDR_EQTY","FQ4 2014","FQ4 2014","Currency=INR","Period=FQ","BEST_FPERIOD_OVERRIDE=FQ","FILING_STATUS=OR","EQY_CONSOLIDATED=Y","Sort=A","Dates=H","DateFormat=P","Fill=—","Direction=H","UseDPDF=Y")</f>
        <v>#NAME?</v>
      </c>
      <c r="CO332" s="1" t="e">
        <f ca="1">_xll.BDH($C$328,"NET_DEBT_%_CAPITAL","FQ4 2014","FQ4 2014","Currency=INR","Period=FQ","BEST_FPERIOD_OVERRIDE=FQ","FILING_STATUS=OR","EQY_CONSOLIDATED=Y","Sort=A","Dates=H","DateFormat=P","Fill=—","Direction=H","UseDPDF=Y")</f>
        <v>#NAME?</v>
      </c>
      <c r="CP332" s="2" t="e">
        <f ca="1">_xll.BDH($C$328,"EBITDA","FQ4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32" s="2" t="e">
        <f ca="1">_xll.BDH($C$328,"EBITDA_AFTER_CAPEX","FQ4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32" s="2" t="e">
        <f ca="1">_xll.BDH($C$328,"IS_OPER_INC","FQ4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32" s="1" t="e">
        <f ca="1">_xll.BDH($C$328,"CASH_RATIO","FQ4 2014","FQ4 2014","Currency=INR","Period=FQ","BEST_FPERIOD_OVERRIDE=FQ","FILING_STATUS=OR","EQY_CONSOLIDATED=Y","Sort=A","Dates=H","DateFormat=P","Fill=—","Direction=H","UseDPDF=Y")</f>
        <v>#NAME?</v>
      </c>
      <c r="CT332" s="1" t="e">
        <f ca="1">_xll.BDH($C$328,"CUR_RATIO","FQ4 2014","FQ4 2014","Currency=INR","Period=FQ","BEST_FPERIOD_OVERRIDE=FQ","FILING_STATUS=OR","EQY_CONSOLIDATED=Y","Sort=A","Dates=H","DateFormat=P","Fill=—","Direction=H","UseDPDF=Y")</f>
        <v>#NAME?</v>
      </c>
      <c r="CU332" s="1" t="e">
        <f ca="1">_xll.BDH($C$328,"QUICK_RATIO","FQ4 2014","FQ4 2014","Currency=INR","Period=FQ","BEST_FPERIOD_OVERRIDE=FQ","FILING_STATUS=OR","EQY_CONSOLIDATED=Y","Sort=A","Dates=H","DateFormat=P","Fill=—","Direction=H","UseDPDF=Y")</f>
        <v>#NAME?</v>
      </c>
      <c r="CV332" s="1" t="e">
        <f ca="1">_xll.BDH($C$328,"ALTMAN_Z_SCORE","FQ4 2014","FQ4 2014","Currency=INR","Period=FQ","BEST_FPERIOD_OVERRIDE=FQ","FILING_STATUS=OR","EQY_CONSOLIDATED=Y","Sort=A","Dates=H","DateFormat=P","Fill=—","Direction=H","UseDPDF=Y")</f>
        <v>#NAME?</v>
      </c>
      <c r="CW332" s="3" t="e">
        <f ca="1">_xll.BDH($C$328,"ACCT_RCV_TURN","FQ4 2014","FQ4 2014","Currency=INR","Period=FQ","BEST_FPERIOD_OVERRIDE=FQ","FILING_STATUS=OR","EQY_CONSOLIDATED=Y","FA_ADJUSTED=GAAP","Sort=A","Dates=H","DateFormat=P","Fill=—","Direction=H","UseDPDF=Y")</f>
        <v>#NAME?</v>
      </c>
      <c r="CX332" s="1" t="e">
        <f ca="1">_xll.BDH($C$328,"ACCT_RCV_DAYS","FQ4 2014","FQ4 2014","Currency=INR","Period=FQ","BEST_FPERIOD_OVERRIDE=FQ","FILING_STATUS=OR","EQY_CONSOLIDATED=Y","FA_ADJUSTED=GAAP","Sort=A","Dates=H","DateFormat=P","Fill=—","Direction=H","UseDPDF=Y")</f>
        <v>#NAME?</v>
      </c>
      <c r="CY332" s="3" t="e">
        <f ca="1">_xll.BDH($C$328,"INVENT_TURN","FQ4 2014","FQ4 2014","Currency=INR","Period=FQ","BEST_FPERIOD_OVERRIDE=FQ","FILING_STATUS=OR","EQY_CONSOLIDATED=Y","FA_ADJUSTED=GAAP","Sort=A","Dates=H","DateFormat=P","Fill=—","Direction=H","UseDPDF=Y")</f>
        <v>#NAME?</v>
      </c>
      <c r="CZ332" s="1" t="e">
        <f ca="1">_xll.BDH($C$328,"INVENT_DAYS","FQ4 2014","FQ4 2014","Currency=INR","Period=FQ","BEST_FPERIOD_OVERRIDE=FQ","FILING_STATUS=OR","EQY_CONSOLIDATED=Y","FA_ADJUSTED=GAAP","Sort=A","Dates=H","DateFormat=P","Fill=—","Direction=H","UseDPDF=Y")</f>
        <v>#NAME?</v>
      </c>
      <c r="DA332" s="3" t="e">
        <f ca="1">_xll.BDH($C$328,"ACCOUNTS_PAYABLE_TURNOVER","FQ4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32" s="1" t="e">
        <f ca="1">_xll.BDH($C$328,"ACCOUNTS_PAYABLE_TURNOVER_DAYS","FQ4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32" s="3" t="e">
        <f ca="1">_xll.BDH($C$328,"CASH_CONVERSION_CYCLE","FQ4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32" s="3" t="e">
        <f ca="1">_xll.BDH($C$328,"INV_TO_CASH_DAYS","FQ4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332" s="4" t="e">
        <f ca="1">_xll.BDH($C$328,"BS_INVENTORIES","FQ4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332" s="2" t="e">
        <f ca="1">_xll.BDH($C$328,"INVTRY_RAW_MATERIALS","FQ4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32" s="2" t="e">
        <f ca="1">_xll.BDH($C$328,"INVTRY_IN_PROGRESS","FQ4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32" s="2" t="e">
        <f ca="1">_xll.BDH($C$328,"INVTRY_FINISHED_GOODS","FQ4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32" s="2" t="e">
        <f ca="1">_xll.BDH($C$328,"BS_OTHER_INV","FQ4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33" spans="1:113" x14ac:dyDescent="0.3">
      <c r="A333" s="6"/>
      <c r="B333" s="6"/>
      <c r="C333" s="6"/>
      <c r="D333" s="6" t="s">
        <v>8</v>
      </c>
      <c r="E333" t="s">
        <v>3</v>
      </c>
      <c r="F333" t="e">
        <f ca="1">_xll.BDH($C$328,"RETURN_COM_EQY","FY 2015","FY 2015","Currency=INR","Period=FY","BEST_FPERIOD_OVERRIDE=FY","FILING_STATUS=OR","EQY_CONSOLIDATED=Y","FA_ADJUSTED=GAAP","Sort=A","Dates=H","DateFormat=P","Fill=—","Direction=H","UseDPDF=Y")</f>
        <v>#NAME?</v>
      </c>
      <c r="G333" t="e">
        <f ca="1">_xll.BDH($C$328,"RETURN_ON_ASSET","FY 2015","FY 2015","Currency=INR","Period=FY","BEST_FPERIOD_OVERRIDE=FY","FILING_STATUS=OR","EQY_CONSOLIDATED=Y","FA_ADJUSTED=GAAP","Sort=A","Dates=H","DateFormat=P","Fill=—","Direction=H","UseDPDF=Y")</f>
        <v>#NAME?</v>
      </c>
      <c r="H333" t="e">
        <f ca="1">_xll.BDH($C$328,"RETURN_ON_CAP","FY 2015","FY 2015","Currency=INR","Period=FY","BEST_FPERIOD_OVERRIDE=FY","FILING_STATUS=OR","EQY_CONSOLIDATED=Y","FA_ADJUSTED=GAAP","Sort=A","Dates=H","DateFormat=P","Fill=—","Direction=H","UseDPDF=Y")</f>
        <v>#NAME?</v>
      </c>
      <c r="I333" t="e">
        <f ca="1">_xll.BDH($C$328,"RETURN_ON_INV_CAPITAL","FY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33" t="e">
        <f ca="1">_xll.BDH($C$328,"EBITDA_TO_REVENUE","FY 2015","FY 2015","Currency=INR","Period=FY","BEST_FPERIOD_OVERRIDE=FY","FILING_STATUS=OR","EQY_CONSOLIDATED=Y","FA_ADJUSTED=GAAP","Sort=A","Dates=H","DateFormat=P","Fill=—","Direction=H","UseDPDF=Y")</f>
        <v>#NAME?</v>
      </c>
      <c r="K333" t="e">
        <f ca="1">_xll.BDH($C$328,"OPER_MARGIN","FY 2015","FY 2015","Currency=INR","Period=FY","BEST_FPERIOD_OVERRIDE=FY","FILING_STATUS=OR","EQY_CONSOLIDATED=Y","FA_ADJUSTED=GAAP","Sort=A","Dates=H","DateFormat=P","Fill=—","Direction=H","UseDPDF=Y")</f>
        <v>#NAME?</v>
      </c>
      <c r="L333" t="e">
        <f ca="1">_xll.BDH($C$328,"INCREMENTAL_OPERATING_MARGIN","FY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33" t="e">
        <f ca="1">_xll.BDH($C$328,"PRETAX_INC_TO_NET_SALES","FY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33" t="e">
        <f ca="1">_xll.BDH($C$328,"INC_BEF_XO_ITEMS_TO_NET_SALES","FY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33" t="e">
        <f ca="1">_xll.BDH($C$328,"PROF_MARGIN","FY 2015","FY 2015","Currency=INR","Period=FY","BEST_FPERIOD_OVERRIDE=FY","FILING_STATUS=OR","EQY_CONSOLIDATED=Y","FA_ADJUSTED=GAAP","Sort=A","Dates=H","DateFormat=P","Fill=—","Direction=H","UseDPDF=Y")</f>
        <v>#NAME?</v>
      </c>
      <c r="P333" t="e">
        <f ca="1">_xll.BDH($C$328,"NET_INCOME_TO_COMMON_MARGIN","FY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33" t="e">
        <f ca="1">_xll.BDH($C$328,"EFF_TAX_RATE","FY 2015","FY 2015","Currency=INR","Period=FY","BEST_FPERIOD_OVERRIDE=FY","FILING_STATUS=OR","EQY_CONSOLIDATED=Y","FA_ADJUSTED=GAAP","Sort=A","Dates=H","DateFormat=P","Fill=—","Direction=H","UseDPDF=Y")</f>
        <v>#NAME?</v>
      </c>
      <c r="R333" t="e">
        <f ca="1">_xll.BDH($C$328,"DVD_PAYOUT_RATIO","FY 2015","FY 2015","Currency=INR","Period=FY","BEST_FPERIOD_OVERRIDE=FY","FILING_STATUS=OR","EQY_CONSOLIDATED=Y","FA_ADJUSTED=GAAP","Sort=A","Dates=H","DateFormat=P","Fill=—","Direction=H","UseDPDF=Y")</f>
        <v>#NAME?</v>
      </c>
      <c r="S333" t="e">
        <f ca="1">_xll.BDH($C$328,"SUSTAIN_GROWTH_RT","FY 2015","FY 2015","Currency=INR","Period=FY","BEST_FPERIOD_OVERRIDE=FY","FILING_STATUS=OR","EQY_CONSOLIDATED=Y","FA_ADJUSTED=GAAP","Sort=A","Dates=H","DateFormat=P","Fill=—","Direction=H","UseDPDF=Y")</f>
        <v>#NAME?</v>
      </c>
      <c r="T333" s="1" t="e">
        <f ca="1">_xll.BDH($C$328,"SALES_GROWTH","FY 2015","FY 2015","Currency=INR","Period=FY","BEST_FPERIOD_OVERRIDE=FY","FILING_STATUS=OR","EQY_CONSOLIDATED=Y","FA_ADJUSTED=GAAP","Sort=A","Dates=H","DateFormat=P","Fill=—","Direction=H","UseDPDF=Y")</f>
        <v>#NAME?</v>
      </c>
      <c r="U333" s="1" t="e">
        <f ca="1">_xll.BDH($C$328,"EBITDA_GROWTH","FY 2015","FY 2015","Currency=INR","Period=FY","BEST_FPERIOD_OVERRIDE=FY","FILING_STATUS=OR","EQY_CONSOLIDATED=Y","FA_ADJUSTED=GAAP","Sort=A","Dates=H","DateFormat=P","Fill=—","Direction=H","UseDPDF=Y")</f>
        <v>#NAME?</v>
      </c>
      <c r="V333" s="1" t="e">
        <f ca="1">_xll.BDH($C$328,"OPER_INC_GROWTH","FY 2015","FY 2015","Currency=INR","Period=FY","BEST_FPERIOD_OVERRIDE=FY","FILING_STATUS=OR","EQY_CONSOLIDATED=Y","FA_ADJUSTED=GAAP","Sort=A","Dates=H","DateFormat=P","Fill=—","Direction=H","UseDPDF=Y")</f>
        <v>#NAME?</v>
      </c>
      <c r="W333" s="1" t="e">
        <f ca="1">_xll.BDH($C$328,"EARN_FOR_COM_GROWTH","FY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333" s="1" t="e">
        <f ca="1">_xll.BDH($C$328,"DILUTED_EPS_AFT_XO_ITEMS_GROWTH","FY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33" s="1" t="e">
        <f ca="1">_xll.BDH($C$328,"DIVIDEND_PER_SHARE_1_YEAR_GROWTH","FY 2015","FY 2015","Currency=INR","Period=FY","BEST_FPERIOD_OVERRIDE=FY","FILING_STATUS=OR","EQY_CONSOLIDATED=Y","Sort=A","Dates=H","DateFormat=P","Fill=—","Direction=H","UseDPDF=Y")</f>
        <v>#NAME?</v>
      </c>
      <c r="Z333" s="1" t="e">
        <f ca="1">_xll.BDH($C$328,"ACCOUNTS_RECEIVABLE_GROWTH","FY 2015","FY 2015","Currency=INR","Period=FY","BEST_FPERIOD_OVERRIDE=FY","FILING_STATUS=OR","EQY_CONSOLIDATED=Y","Sort=A","Dates=H","DateFormat=P","Fill=—","Direction=H","UseDPDF=Y")</f>
        <v>#NAME?</v>
      </c>
      <c r="AA333" s="1" t="e">
        <f ca="1">_xll.BDH($C$328,"INVENTORY_GROWTH","FY 2015","FY 2015","Currency=INR","Period=FY","BEST_FPERIOD_OVERRIDE=FY","FILING_STATUS=OR","EQY_CONSOLIDATED=Y","Sort=A","Dates=H","DateFormat=P","Fill=—","Direction=H","UseDPDF=Y")</f>
        <v>#NAME?</v>
      </c>
      <c r="AB333" s="1" t="e">
        <f ca="1">_xll.BDH($C$328,"NET_FIXED_ASSETS_1_YEAR_GROWTH","FY 2015","FY 2015","Currency=INR","Period=FY","BEST_FPERIOD_OVERRIDE=FY","FILING_STATUS=OR","EQY_CONSOLIDATED=Y","Sort=A","Dates=H","DateFormat=P","Fill=—","Direction=H","UseDPDF=Y")</f>
        <v>#NAME?</v>
      </c>
      <c r="AC333" s="1" t="e">
        <f ca="1">_xll.BDH($C$328,"ASSET_GROWTH","FY 2015","FY 2015","Currency=INR","Period=FY","BEST_FPERIOD_OVERRIDE=FY","FILING_STATUS=OR","EQY_CONSOLIDATED=Y","Sort=A","Dates=H","DateFormat=P","Fill=—","Direction=H","UseDPDF=Y")</f>
        <v>#NAME?</v>
      </c>
      <c r="AD333" s="1" t="e">
        <f ca="1">_xll.BDH($C$328,"MODIFIED_WORK_CAP_GROWTH","FY 2015","FY 2015","Currency=INR","Period=FY","BEST_FPERIOD_OVERRIDE=FY","FILING_STATUS=OR","EQY_CONSOLIDATED=Y","Sort=A","Dates=H","DateFormat=P","Fill=—","Direction=H","UseDPDF=Y")</f>
        <v>#NAME?</v>
      </c>
      <c r="AE333" s="1" t="e">
        <f ca="1">_xll.BDH($C$328,"WORK_CAP_GROWTH","FY 2015","FY 2015","Currency=INR","Period=FY","BEST_FPERIOD_OVERRIDE=FY","FILING_STATUS=OR","EQY_CONSOLIDATED=Y","Sort=A","Dates=H","DateFormat=P","Fill=—","Direction=H","UseDPDF=Y")</f>
        <v>#NAME?</v>
      </c>
      <c r="AF333" s="1" t="e">
        <f ca="1">_xll.BDH($C$328,"ACCOUNTS_PAYABLE_GROWTH_1YR","FY 2015","FY 2015","Currency=INR","Period=FY","BEST_FPERIOD_OVERRIDE=FY","FILING_STATUS=OR","EQY_CONSOLIDATED=Y","Sort=A","Dates=H","DateFormat=P","Fill=—","Direction=H","UseDPDF=Y")</f>
        <v>#NAME?</v>
      </c>
      <c r="AG333" s="1" t="e">
        <f ca="1">_xll.BDH($C$328,"SHORT_TERM_DEBT_1_YEAR_GROWTH","FY 2015","FY 2015","Currency=INR","Period=FY","BEST_FPERIOD_OVERRIDE=FY","FILING_STATUS=OR","EQY_CONSOLIDATED=Y","Sort=A","Dates=H","DateFormat=P","Fill=—","Direction=H","UseDPDF=Y")</f>
        <v>#NAME?</v>
      </c>
      <c r="AH333" s="1" t="e">
        <f ca="1">_xll.BDH($C$328,"TOTAL_DEBT_1_YEAR_GROWTH","FY 2015","FY 2015","Currency=INR","Period=FY","BEST_FPERIOD_OVERRIDE=FY","FILING_STATUS=OR","EQY_CONSOLIDATED=Y","Sort=A","Dates=H","DateFormat=P","Fill=—","Direction=H","UseDPDF=Y")</f>
        <v>#NAME?</v>
      </c>
      <c r="AI333" s="1" t="e">
        <f ca="1">_xll.BDH($C$328,"TOTAL_EQUITY_1_YEAR_GROWTH","FY 2015","FY 2015","Currency=INR","Period=FY","BEST_FPERIOD_OVERRIDE=FY","FILING_STATUS=OR","EQY_CONSOLIDATED=Y","Sort=A","Dates=H","DateFormat=P","Fill=—","Direction=H","UseDPDF=Y")</f>
        <v>#NAME?</v>
      </c>
      <c r="AJ333" s="1" t="e">
        <f ca="1">_xll.BDH($C$328,"GROWTH_IN_CAP","FY 2015","FY 2015","Currency=INR","Period=FY","BEST_FPERIOD_OVERRIDE=FY","FILING_STATUS=OR","EQY_CONSOLIDATED=Y","Sort=A","Dates=H","DateFormat=P","Fill=—","Direction=H","UseDPDF=Y")</f>
        <v>#NAME?</v>
      </c>
      <c r="AK333" s="1" t="e">
        <f ca="1">_xll.BDH($C$328,"BVPS_GROWTH","FY 2015","FY 2015","Currency=INR","Period=FY","BEST_FPERIOD_OVERRIDE=FY","FILING_STATUS=OR","EQY_CONSOLIDATED=Y","Sort=A","Dates=H","DateFormat=P","Fill=—","Direction=H","UseDPDF=Y")</f>
        <v>#NAME?</v>
      </c>
      <c r="AL333" s="1" t="e">
        <f ca="1">_xll.BDH($C$328,"CASH_FLOW_GROWTH","FY 2015","FY 2015","Currency=INR","Period=FY","BEST_FPERIOD_OVERRIDE=FY","FILING_STATUS=OR","EQY_CONSOLIDATED=Y","Sort=A","Dates=H","DateFormat=P","Fill=—","Direction=H","UseDPDF=Y")</f>
        <v>#NAME?</v>
      </c>
      <c r="AM333" s="1" t="e">
        <f ca="1">_xll.BDH($C$328,"GEO_GROW_NET_SALES","FY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333" s="1" t="e">
        <f ca="1">_xll.BDH($C$328,"GEO_GROW_EBITDA","FY 2015","FY 2015","Currency=INR","Period=FY","BEST_FPERIOD_OVERRIDE=FY","FILING_STATUS=OR","EQY_CONSOLIDATED=Y","FA_ADJUSTED=GAAP","Sort=A","Dates=H","DateFormat=P","Fill=—","Direction=H","UseDPDF=Y")</f>
        <v>#NAME?</v>
      </c>
      <c r="AO333" s="1" t="e">
        <f ca="1">_xll.BDH($C$328,"GEO_GROW_OPER_INC","FY 2015","FY 2015","Currency=INR","Period=FY","BEST_FPERIOD_OVERRIDE=FY","FILING_STATUS=OR","EQY_CONSOLIDATED=Y","FA_ADJUSTED=GAAP","Sort=A","Dates=H","DateFormat=P","Fill=—","Direction=H","UseDPDF=Y")</f>
        <v>#NAME?</v>
      </c>
      <c r="AP333" s="1" t="e">
        <f ca="1">_xll.BDH($C$328,"NET_INCOME_TO_COMMON_5_YR_GROWTH","FY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33" s="1" t="e">
        <f ca="1">_xll.BDH($C$328,"5Y_GEO_GROWTH_DILUTED_EPS","FY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33" s="1" t="e">
        <f ca="1">_xll.BDH($C$328,"GEO_GROW_DVD_PER_SH","FY 2015","FY 2015","Currency=INR","Period=FY","BEST_FPERIOD_OVERRIDE=FY","FILING_STATUS=OR","EQY_CONSOLIDATED=Y","Sort=A","Dates=H","DateFormat=P","Fill=—","Direction=H","UseDPDF=Y")</f>
        <v>#NAME?</v>
      </c>
      <c r="AS333" s="1" t="e">
        <f ca="1">_xll.BDH($C$328,"ACCOUNTS_RECEIVABLE_5_YR_GROWTH","FY 2015","FY 2015","Currency=INR","Period=FY","BEST_FPERIOD_OVERRIDE=FY","FILING_STATUS=OR","EQY_CONSOLIDATED=Y","Sort=A","Dates=H","DateFormat=P","Fill=—","Direction=H","UseDPDF=Y")</f>
        <v>#NAME?</v>
      </c>
      <c r="AT333" s="1" t="e">
        <f ca="1">_xll.BDH($C$328,"INVENTORY_5_YEAR_GROWTH","FY 2015","FY 2015","Currency=INR","Period=FY","BEST_FPERIOD_OVERRIDE=FY","FILING_STATUS=OR","EQY_CONSOLIDATED=Y","Sort=A","Dates=H","DateFormat=P","Fill=—","Direction=H","UseDPDF=Y")</f>
        <v>#NAME?</v>
      </c>
      <c r="AU333" s="1" t="e">
        <f ca="1">_xll.BDH($C$328,"NET_FIXED_ASSETS_5_YEAR_GROWTH","FY 2015","FY 2015","Currency=INR","Period=FY","BEST_FPERIOD_OVERRIDE=FY","FILING_STATUS=OR","EQY_CONSOLIDATED=Y","Sort=A","Dates=H","DateFormat=P","Fill=—","Direction=H","UseDPDF=Y")</f>
        <v>#NAME?</v>
      </c>
      <c r="AV333" s="1" t="e">
        <f ca="1">_xll.BDH($C$328,"GEO_GROW_TOT_ASSET","FY 2015","FY 2015","Currency=INR","Period=FY","BEST_FPERIOD_OVERRIDE=FY","FILING_STATUS=OR","EQY_CONSOLIDATED=Y","Sort=A","Dates=H","DateFormat=P","Fill=—","Direction=H","UseDPDF=Y")</f>
        <v>#NAME?</v>
      </c>
      <c r="AW333" s="1" t="e">
        <f ca="1">_xll.BDH($C$328,"MODIFIED_WORKING_CPTL_5YR_GRWTH","FY 2015","FY 2015","Currency=INR","Period=FY","BEST_FPERIOD_OVERRIDE=FY","FILING_STATUS=OR","EQY_CONSOLIDATED=Y","Sort=A","Dates=H","DateFormat=P","Fill=—","Direction=H","UseDPDF=Y")</f>
        <v>#NAME?</v>
      </c>
      <c r="AX333" s="1" t="e">
        <f ca="1">_xll.BDH($C$328,"WORKING_CAPITAL_5_YEAR_GROWTH","FY 2015","FY 2015","Currency=INR","Period=FY","BEST_FPERIOD_OVERRIDE=FY","FILING_STATUS=OR","EQY_CONSOLIDATED=Y","Sort=A","Dates=H","DateFormat=P","Fill=—","Direction=H","UseDPDF=Y")</f>
        <v>#NAME?</v>
      </c>
      <c r="AY333" s="1" t="e">
        <f ca="1">_xll.BDH($C$328,"ACCOUNTS_PAYABLE_5_YEAR_GROWTH","FY 2015","FY 2015","Currency=INR","Period=FY","BEST_FPERIOD_OVERRIDE=FY","FILING_STATUS=OR","EQY_CONSOLIDATED=Y","Sort=A","Dates=H","DateFormat=P","Fill=—","Direction=H","UseDPDF=Y")</f>
        <v>#NAME?</v>
      </c>
      <c r="AZ333" s="1" t="e">
        <f ca="1">_xll.BDH($C$328,"SHORT_TERM_DEBT_5_YEAR_GROWTH","FY 2015","FY 2015","Currency=INR","Period=FY","BEST_FPERIOD_OVERRIDE=FY","FILING_STATUS=OR","EQY_CONSOLIDATED=Y","Sort=A","Dates=H","DateFormat=P","Fill=—","Direction=H","UseDPDF=Y")</f>
        <v>#NAME?</v>
      </c>
      <c r="BA333" s="1" t="e">
        <f ca="1">_xll.BDH($C$328,"TOTAL_DEBT_5_YEAR_GROWTH","FY 2015","FY 2015","Currency=INR","Period=FY","BEST_FPERIOD_OVERRIDE=FY","FILING_STATUS=OR","EQY_CONSOLIDATED=Y","Sort=A","Dates=H","DateFormat=P","Fill=—","Direction=H","UseDPDF=Y")</f>
        <v>#NAME?</v>
      </c>
      <c r="BB333" s="1" t="e">
        <f ca="1">_xll.BDH($C$328,"GEO_GROW_TOT_SHRHLDR_EQY","FY 2015","FY 2015","Currency=INR","Period=FY","BEST_FPERIOD_OVERRIDE=FY","FILING_STATUS=OR","EQY_CONSOLIDATED=Y","Sort=A","Dates=H","DateFormat=P","Fill=—","Direction=H","UseDPDF=Y")</f>
        <v>#NAME?</v>
      </c>
      <c r="BC333" s="1" t="e">
        <f ca="1">_xll.BDH($C$328,"TOTAL_CAPITAL_5_YEAR_GROWTH","FY 2015","FY 2015","Currency=INR","Period=FY","BEST_FPERIOD_OVERRIDE=FY","FILING_STATUS=OR","EQY_CONSOLIDATED=Y","Sort=A","Dates=H","DateFormat=P","Fill=—","Direction=H","UseDPDF=Y")</f>
        <v>#NAME?</v>
      </c>
      <c r="BD333" s="1" t="e">
        <f ca="1">_xll.BDH($C$328,"GEO_GROW_BOOK_VAL","FY 2015","FY 2015","Currency=INR","Period=FY","BEST_FPERIOD_OVERRIDE=FY","FILING_STATUS=OR","EQY_CONSOLIDATED=Y","Sort=A","Dates=H","DateFormat=P","Fill=—","Direction=H","UseDPDF=Y")</f>
        <v>#NAME?</v>
      </c>
      <c r="BE333" s="1" t="e">
        <f ca="1">_xll.BDH($C$328,"GEO_GROW_CASH_OPER_ACT","FY 2015","FY 2015","Currency=INR","Period=FY","BEST_FPERIOD_OVERRIDE=FY","FILING_STATUS=OR","EQY_CONSOLIDATED=Y","Sort=A","Dates=H","DateFormat=P","Fill=—","Direction=H","UseDPDF=Y")</f>
        <v>#NAME?</v>
      </c>
      <c r="BF333" s="1" t="e">
        <f ca="1">_xll.BDH($C$328,"REVENUE_SEQUENTIAL_GROWTH","FY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33" s="1" t="e">
        <f ca="1">_xll.BDH($C$328,"EBITDA_SEQUENTIAL_GROWTH","FY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33" s="1" t="e">
        <f ca="1">_xll.BDH($C$328,"OPERATING_INCOME_SEQ_GROWTH","FY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33" s="1" t="e">
        <f ca="1">_xll.BDH($C$328,"NET_INCOME_TO_COMMON_SEQ_GROWTH","FY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33" s="1" t="e">
        <f ca="1">_xll.BDH($C$328,"EPS_DILUTED_SEQUENTIAL_GROWTH","FY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33" s="1" t="e">
        <f ca="1">_xll.BDH($C$328,"DPS_SEQUENTIAL_GROWTH","FY 2015","FY 2015","Currency=INR","Period=FY","BEST_FPERIOD_OVERRIDE=FY","FILING_STATUS=OR","EQY_CONSOLIDATED=Y","Sort=A","Dates=H","DateFormat=P","Fill=—","Direction=H","UseDPDF=Y")</f>
        <v>#NAME?</v>
      </c>
      <c r="BL333" s="1" t="e">
        <f ca="1">_xll.BDH($C$328,"ACCOUNTS_RECEIVABLE_SEQ_GROWTH","FY 2015","FY 2015","Currency=INR","Period=FY","BEST_FPERIOD_OVERRIDE=FY","FILING_STATUS=OR","EQY_CONSOLIDATED=Y","Sort=A","Dates=H","DateFormat=P","Fill=—","Direction=H","UseDPDF=Y")</f>
        <v>#NAME?</v>
      </c>
      <c r="BM333" s="1" t="e">
        <f ca="1">_xll.BDH($C$328,"INVENTORY_SEQUENTIAL_GROWTH","FY 2015","FY 2015","Currency=INR","Period=FY","BEST_FPERIOD_OVERRIDE=FY","FILING_STATUS=OR","EQY_CONSOLIDATED=Y","Sort=A","Dates=H","DateFormat=P","Fill=—","Direction=H","UseDPDF=Y")</f>
        <v>#NAME?</v>
      </c>
      <c r="BN333" s="1" t="e">
        <f ca="1">_xll.BDH($C$328,"FIXED_ASSETS_SEQUENTIAL_GROWTH","FY 2015","FY 2015","Currency=INR","Period=FY","BEST_FPERIOD_OVERRIDE=FY","FILING_STATUS=OR","EQY_CONSOLIDATED=Y","Sort=A","Dates=H","DateFormat=P","Fill=—","Direction=H","UseDPDF=Y")</f>
        <v>#NAME?</v>
      </c>
      <c r="BO333" s="1" t="e">
        <f ca="1">_xll.BDH($C$328,"TOTAL_ASSETS_SEQUENTIAL_GROWTH","FY 2015","FY 2015","Currency=INR","Period=FY","BEST_FPERIOD_OVERRIDE=FY","FILING_STATUS=OR","EQY_CONSOLIDATED=Y","Sort=A","Dates=H","DateFormat=P","Fill=—","Direction=H","UseDPDF=Y")</f>
        <v>#NAME?</v>
      </c>
      <c r="BP333" s="1" t="e">
        <f ca="1">_xll.BDH($C$328,"MODIFIED_WORKING_CPTL_SEQ_GRWTH","FY 2015","FY 2015","Currency=INR","Period=FY","BEST_FPERIOD_OVERRIDE=FY","FILING_STATUS=OR","EQY_CONSOLIDATED=Y","Sort=A","Dates=H","DateFormat=P","Fill=—","Direction=H","UseDPDF=Y")</f>
        <v>#NAME?</v>
      </c>
      <c r="BQ333" s="1" t="e">
        <f ca="1">_xll.BDH($C$328,"WORKING_CAPITAL_SEQ_GROWTH","FY 2015","FY 2015","Currency=INR","Period=FY","BEST_FPERIOD_OVERRIDE=FY","FILING_STATUS=OR","EQY_CONSOLIDATED=Y","Sort=A","Dates=H","DateFormat=P","Fill=—","Direction=H","UseDPDF=Y")</f>
        <v>#NAME?</v>
      </c>
      <c r="BR333" s="1" t="e">
        <f ca="1">_xll.BDH($C$328,"ACCOUNTS_PAYABLE_SEQ_GROWTH","FY 2015","FY 2015","Currency=INR","Period=FY","BEST_FPERIOD_OVERRIDE=FY","FILING_STATUS=OR","EQY_CONSOLIDATED=Y","Sort=A","Dates=H","DateFormat=P","Fill=—","Direction=H","UseDPDF=Y")</f>
        <v>#NAME?</v>
      </c>
      <c r="BS333" s="1" t="e">
        <f ca="1">_xll.BDH($C$328,"ST_DEBT_SEQUENTIAL_GROWTH","FY 2015","FY 2015","Currency=INR","Period=FY","BEST_FPERIOD_OVERRIDE=FY","FILING_STATUS=OR","EQY_CONSOLIDATED=Y","Sort=A","Dates=H","DateFormat=P","Fill=—","Direction=H","UseDPDF=Y")</f>
        <v>#NAME?</v>
      </c>
      <c r="BT333" s="1" t="e">
        <f ca="1">_xll.BDH($C$328,"TOTAL_DEBT_SEQUENTIAL_GROWTH","FY 2015","FY 2015","Currency=INR","Period=FY","BEST_FPERIOD_OVERRIDE=FY","FILING_STATUS=OR","EQY_CONSOLIDATED=Y","Sort=A","Dates=H","DateFormat=P","Fill=—","Direction=H","UseDPDF=Y")</f>
        <v>#NAME?</v>
      </c>
      <c r="BU333" s="1" t="e">
        <f ca="1">_xll.BDH($C$328,"TOTAL_EQUITY_SEQUENTIAL_GROWTH","FY 2015","FY 2015","Currency=INR","Period=FY","BEST_FPERIOD_OVERRIDE=FY","FILING_STATUS=OR","EQY_CONSOLIDATED=Y","Sort=A","Dates=H","DateFormat=P","Fill=—","Direction=H","UseDPDF=Y")</f>
        <v>#NAME?</v>
      </c>
      <c r="BV333" s="1" t="e">
        <f ca="1">_xll.BDH($C$328,"TOTAL_CAPITAL_SEQUENTIAL_GROWTH","FY 2015","FY 2015","Currency=INR","Period=FY","BEST_FPERIOD_OVERRIDE=FY","FILING_STATUS=OR","EQY_CONSOLIDATED=Y","Sort=A","Dates=H","DateFormat=P","Fill=—","Direction=H","UseDPDF=Y")</f>
        <v>#NAME?</v>
      </c>
      <c r="BW333" s="1" t="e">
        <f ca="1">_xll.BDH($C$328,"BPS_SEQUENTIAL_GROWTH","FY 2015","FY 2015","Currency=INR","Period=FY","BEST_FPERIOD_OVERRIDE=FY","FILING_STATUS=OR","EQY_CONSOLIDATED=Y","Sort=A","Dates=H","DateFormat=P","Fill=—","Direction=H","UseDPDF=Y")</f>
        <v>#NAME?</v>
      </c>
      <c r="BX333" s="1" t="e">
        <f ca="1">_xll.BDH($C$328,"CFO_SEQUENTIAL_GROWTH","FY 2015","FY 2015","Currency=INR","Period=FY","BEST_FPERIOD_OVERRIDE=FY","FILING_STATUS=OR","EQY_CONSOLIDATED=Y","Sort=A","Dates=H","DateFormat=P","Fill=—","Direction=H","UseDPDF=Y")</f>
        <v>#NAME?</v>
      </c>
      <c r="BY333" s="2" t="e">
        <f ca="1">_xll.BDH($C$328,"SHORT_AND_LONG_TERM_DEBT","FY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33" s="2" t="e">
        <f ca="1">_xll.BDH($C$328,"BS_ST_BORROW","FY 2015","FY 2015","Currency=INR","Period=FY","BEST_FPERIOD_OVERRIDE=FY","FILING_STATUS=OR","EQY_CONSOLIDATED=Y","SCALING_FORMAT=MLN","Sort=A","Dates=H","DateFormat=P","Fill=—","Direction=H","UseDPDF=Y")</f>
        <v>#NAME?</v>
      </c>
      <c r="CA333" s="2" t="e">
        <f ca="1">_xll.BDH($C$328,"BS_LT_BORROW","FY 2015","FY 2015","Currency=INR","Period=FY","BEST_FPERIOD_OVERRIDE=FY","FILING_STATUS=OR","EQY_CONSOLIDATED=Y","SCALING_FORMAT=MLN","Sort=A","Dates=H","DateFormat=P","Fill=—","Direction=H","UseDPDF=Y")</f>
        <v>#NAME?</v>
      </c>
      <c r="CB333" s="1" t="e">
        <f ca="1">_xll.BDH($C$328,"TOT_DEBT_TO_EBITDA","FY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333" s="1" t="e">
        <f ca="1">_xll.BDH($C$328,"NET_DEBT_TO_EBITDA","FY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333" s="1" t="e">
        <f ca="1">_xll.BDH($C$328,"TOTAL_DEBT_TO_EBIT","FY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333" s="1" t="e">
        <f ca="1">_xll.BDH($C$328,"NET_DEBT_TO_EBIT","FY 2015","FY 2015","Currency=INR","Period=FY","BEST_FPERIOD_OVERRIDE=FY","FILING_STATUS=OR","EQY_CONSOLIDATED=Y","FA_ADJUSTED=GAAP","Sort=A","Dates=H","DateFormat=P","Fill=—","Direction=H","UseDPDF=Y")</f>
        <v>#NAME?</v>
      </c>
      <c r="CF333" s="1" t="e">
        <f ca="1">_xll.BDH($C$328,"EBITDA_TO_INTEREST_EXPN","FY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33" s="1" t="e">
        <f ca="1">_xll.BDH($C$328,"COM_EQY_TO_TOT_ASSET","FY 2015","FY 2015","Currency=INR","Period=FY","BEST_FPERIOD_OVERRIDE=FY","FILING_STATUS=OR","EQY_CONSOLIDATED=Y","Sort=A","Dates=H","DateFormat=P","Fill=—","Direction=H","UseDPDF=Y")</f>
        <v>#NAME?</v>
      </c>
      <c r="CH333" s="1" t="e">
        <f ca="1">_xll.BDH($C$328,"LT_DEBT_TO_TOT_EQY","FY 2015","FY 2015","Currency=INR","Period=FY","BEST_FPERIOD_OVERRIDE=FY","FILING_STATUS=OR","EQY_CONSOLIDATED=Y","Sort=A","Dates=H","DateFormat=P","Fill=—","Direction=H","UseDPDF=Y")</f>
        <v>#NAME?</v>
      </c>
      <c r="CI333" s="1" t="e">
        <f ca="1">_xll.BDH($C$328,"LT_DEBT_TO_TOT_CAP","FY 2015","FY 2015","Currency=INR","Period=FY","BEST_FPERIOD_OVERRIDE=FY","FILING_STATUS=OR","EQY_CONSOLIDATED=Y","Sort=A","Dates=H","DateFormat=P","Fill=—","Direction=H","UseDPDF=Y")</f>
        <v>#NAME?</v>
      </c>
      <c r="CJ333" s="1" t="e">
        <f ca="1">_xll.BDH($C$328,"LT_DEBT_TO_TOT_ASSET","FY 2015","FY 2015","Currency=INR","Period=FY","BEST_FPERIOD_OVERRIDE=FY","FILING_STATUS=OR","EQY_CONSOLIDATED=Y","Sort=A","Dates=H","DateFormat=P","Fill=—","Direction=H","UseDPDF=Y")</f>
        <v>#NAME?</v>
      </c>
      <c r="CK333" s="1" t="e">
        <f ca="1">_xll.BDH($C$328,"TOT_DEBT_TO_TOT_EQY","FY 2015","FY 2015","Currency=INR","Period=FY","BEST_FPERIOD_OVERRIDE=FY","FILING_STATUS=OR","EQY_CONSOLIDATED=Y","Sort=A","Dates=H","DateFormat=P","Fill=—","Direction=H","UseDPDF=Y")</f>
        <v>#NAME?</v>
      </c>
      <c r="CL333" s="1" t="e">
        <f ca="1">_xll.BDH($C$328,"TOT_DEBT_TO_TOT_CAP","FY 2015","FY 2015","Currency=INR","Period=FY","BEST_FPERIOD_OVERRIDE=FY","FILING_STATUS=OR","EQY_CONSOLIDATED=Y","Sort=A","Dates=H","DateFormat=P","Fill=—","Direction=H","UseDPDF=Y")</f>
        <v>#NAME?</v>
      </c>
      <c r="CM333" s="1" t="e">
        <f ca="1">_xll.BDH($C$328,"TOT_DEBT_TO_TOT_ASSET","FY 2015","FY 2015","Currency=INR","Period=FY","BEST_FPERIOD_OVERRIDE=FY","FILING_STATUS=OR","EQY_CONSOLIDATED=Y","Sort=A","Dates=H","DateFormat=P","Fill=—","Direction=H","UseDPDF=Y")</f>
        <v>#NAME?</v>
      </c>
      <c r="CN333" s="1" t="e">
        <f ca="1">_xll.BDH($C$328,"NET_DEBT_TO_SHRHLDR_EQTY","FY 2015","FY 2015","Currency=INR","Period=FY","BEST_FPERIOD_OVERRIDE=FY","FILING_STATUS=OR","EQY_CONSOLIDATED=Y","Sort=A","Dates=H","DateFormat=P","Fill=—","Direction=H","UseDPDF=Y")</f>
        <v>#NAME?</v>
      </c>
      <c r="CO333" s="1" t="e">
        <f ca="1">_xll.BDH($C$328,"NET_DEBT_%_CAPITAL","FY 2015","FY 2015","Currency=INR","Period=FY","BEST_FPERIOD_OVERRIDE=FY","FILING_STATUS=OR","EQY_CONSOLIDATED=Y","Sort=A","Dates=H","DateFormat=P","Fill=—","Direction=H","UseDPDF=Y")</f>
        <v>#NAME?</v>
      </c>
      <c r="CP333" s="2" t="e">
        <f ca="1">_xll.BDH($C$328,"EBITDA","FY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33" s="2" t="e">
        <f ca="1">_xll.BDH($C$328,"EBITDA_AFTER_CAPEX","FY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33" s="2" t="e">
        <f ca="1">_xll.BDH($C$328,"IS_OPER_INC","FY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33" s="1" t="e">
        <f ca="1">_xll.BDH($C$328,"CASH_RATIO","FY 2015","FY 2015","Currency=INR","Period=FY","BEST_FPERIOD_OVERRIDE=FY","FILING_STATUS=OR","EQY_CONSOLIDATED=Y","Sort=A","Dates=H","DateFormat=P","Fill=—","Direction=H","UseDPDF=Y")</f>
        <v>#NAME?</v>
      </c>
      <c r="CT333" s="1" t="e">
        <f ca="1">_xll.BDH($C$328,"CUR_RATIO","FY 2015","FY 2015","Currency=INR","Period=FY","BEST_FPERIOD_OVERRIDE=FY","FILING_STATUS=OR","EQY_CONSOLIDATED=Y","Sort=A","Dates=H","DateFormat=P","Fill=—","Direction=H","UseDPDF=Y")</f>
        <v>#NAME?</v>
      </c>
      <c r="CU333" s="1" t="e">
        <f ca="1">_xll.BDH($C$328,"QUICK_RATIO","FY 2015","FY 2015","Currency=INR","Period=FY","BEST_FPERIOD_OVERRIDE=FY","FILING_STATUS=OR","EQY_CONSOLIDATED=Y","Sort=A","Dates=H","DateFormat=P","Fill=—","Direction=H","UseDPDF=Y")</f>
        <v>#NAME?</v>
      </c>
      <c r="CV333" s="1" t="e">
        <f ca="1">_xll.BDH($C$328,"ALTMAN_Z_SCORE","FY 2015","FY 2015","Currency=INR","Period=FY","BEST_FPERIOD_OVERRIDE=FY","FILING_STATUS=OR","EQY_CONSOLIDATED=Y","Sort=A","Dates=H","DateFormat=P","Fill=—","Direction=H","UseDPDF=Y")</f>
        <v>#NAME?</v>
      </c>
      <c r="CW333" s="3" t="e">
        <f ca="1">_xll.BDH($C$328,"ACCT_RCV_TURN","FY 2015","FY 2015","Currency=INR","Period=FY","BEST_FPERIOD_OVERRIDE=FY","FILING_STATUS=OR","EQY_CONSOLIDATED=Y","FA_ADJUSTED=GAAP","Sort=A","Dates=H","DateFormat=P","Fill=—","Direction=H","UseDPDF=Y")</f>
        <v>#NAME?</v>
      </c>
      <c r="CX333" s="1" t="e">
        <f ca="1">_xll.BDH($C$328,"ACCT_RCV_DAYS","FY 2015","FY 2015","Currency=INR","Period=FY","BEST_FPERIOD_OVERRIDE=FY","FILING_STATUS=OR","EQY_CONSOLIDATED=Y","FA_ADJUSTED=GAAP","Sort=A","Dates=H","DateFormat=P","Fill=—","Direction=H","UseDPDF=Y")</f>
        <v>#NAME?</v>
      </c>
      <c r="CY333" s="3" t="e">
        <f ca="1">_xll.BDH($C$328,"INVENT_TURN","FY 2015","FY 2015","Currency=INR","Period=FY","BEST_FPERIOD_OVERRIDE=FY","FILING_STATUS=OR","EQY_CONSOLIDATED=Y","FA_ADJUSTED=GAAP","Sort=A","Dates=H","DateFormat=P","Fill=—","Direction=H","UseDPDF=Y")</f>
        <v>#NAME?</v>
      </c>
      <c r="CZ333" s="1" t="e">
        <f ca="1">_xll.BDH($C$328,"INVENT_DAYS","FY 2015","FY 2015","Currency=INR","Period=FY","BEST_FPERIOD_OVERRIDE=FY","FILING_STATUS=OR","EQY_CONSOLIDATED=Y","FA_ADJUSTED=GAAP","Sort=A","Dates=H","DateFormat=P","Fill=—","Direction=H","UseDPDF=Y")</f>
        <v>#NAME?</v>
      </c>
      <c r="DA333" s="3" t="e">
        <f ca="1">_xll.BDH($C$328,"ACCOUNTS_PAYABLE_TURNOVER","FY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33" s="1" t="e">
        <f ca="1">_xll.BDH($C$328,"ACCOUNTS_PAYABLE_TURNOVER_DAYS","FY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33" s="3" t="e">
        <f ca="1">_xll.BDH($C$328,"CASH_CONVERSION_CYCLE","FY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33" s="3" t="e">
        <f ca="1">_xll.BDH($C$328,"INV_TO_CASH_DAYS","FY 2015","FY 2015","Currency=INR","Period=FY","BEST_FPERIOD_OVERRIDE=FY","FILING_STATUS=OR","EQY_CONSOLIDATED=Y","FA_ADJUSTED=GAAP","Sort=A","Dates=H","DateFormat=P","Fill=—","Direction=H","UseDPDF=Y")</f>
        <v>#NAME?</v>
      </c>
      <c r="DE333" s="4" t="e">
        <f ca="1">_xll.BDH($C$328,"BS_INVENTORIES","FY 2015","FY 2015","Currency=INR","Period=FY","BEST_FPERIOD_OVERRIDE=FY","FILING_STATUS=OR","EQY_CONSOLIDATED=Y","SCALING_FORMAT=MLN","Sort=A","Dates=H","DateFormat=P","Fill=—","Direction=H","UseDPDF=Y")</f>
        <v>#NAME?</v>
      </c>
      <c r="DF333" s="2" t="e">
        <f ca="1">_xll.BDH($C$328,"INVTRY_RAW_MATERIALS","FY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33" s="2" t="e">
        <f ca="1">_xll.BDH($C$328,"INVTRY_IN_PROGRESS","FY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33" s="2" t="e">
        <f ca="1">_xll.BDH($C$328,"INVTRY_FINISHED_GOODS","FY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33" s="2" t="e">
        <f ca="1">_xll.BDH($C$328,"BS_OTHER_INV","FY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34" spans="1:113" x14ac:dyDescent="0.3">
      <c r="A334" s="6"/>
      <c r="B334" s="6"/>
      <c r="C334" s="6"/>
      <c r="D334" s="6"/>
      <c r="E334" t="s">
        <v>4</v>
      </c>
      <c r="F334" t="e">
        <f ca="1">_xll.BDH($C$328,"RETURN_COM_EQY","FQ1 2015","FQ1 2015","Currency=INR","Period=FQ","BEST_FPERIOD_OVERRIDE=FQ","FILING_STATUS=OR","EQY_CONSOLIDATED=Y","FA_ADJUSTED=GAAP","Sort=A","Dates=H","DateFormat=P","Fill=—","Direction=H","UseDPDF=Y")</f>
        <v>#NAME?</v>
      </c>
      <c r="G334" t="e">
        <f ca="1">_xll.BDH($C$328,"RETURN_ON_ASSET","FQ1 2015","FQ1 2015","Currency=INR","Period=FQ","BEST_FPERIOD_OVERRIDE=FQ","FILING_STATUS=OR","EQY_CONSOLIDATED=Y","FA_ADJUSTED=GAAP","Sort=A","Dates=H","DateFormat=P","Fill=—","Direction=H","UseDPDF=Y")</f>
        <v>#NAME?</v>
      </c>
      <c r="H334" t="e">
        <f ca="1">_xll.BDH($C$328,"RETURN_ON_CAP","FQ1 2015","FQ1 2015","Currency=INR","Period=FQ","BEST_FPERIOD_OVERRIDE=FQ","FILING_STATUS=OR","EQY_CONSOLIDATED=Y","FA_ADJUSTED=GAAP","Sort=A","Dates=H","DateFormat=P","Fill=—","Direction=H","UseDPDF=Y")</f>
        <v>#NAME?</v>
      </c>
      <c r="I334" t="e">
        <f ca="1">_xll.BDH($C$328,"RETURN_ON_INV_CAPITAL","FQ1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34" t="e">
        <f ca="1">_xll.BDH($C$328,"EBITDA_TO_REVENUE","FQ1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334" t="e">
        <f ca="1">_xll.BDH($C$328,"OPER_MARGIN","FQ1 2015","FQ1 2015","Currency=INR","Period=FQ","BEST_FPERIOD_OVERRIDE=FQ","FILING_STATUS=OR","EQY_CONSOLIDATED=Y","FA_ADJUSTED=GAAP","Sort=A","Dates=H","DateFormat=P","Fill=—","Direction=H","UseDPDF=Y")</f>
        <v>#NAME?</v>
      </c>
      <c r="L334" t="e">
        <f ca="1">_xll.BDH($C$328,"INCREMENTAL_OPERATING_MARGIN","FQ1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34" t="e">
        <f ca="1">_xll.BDH($C$328,"PRETAX_INC_TO_NET_SALES","FQ1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34" t="e">
        <f ca="1">_xll.BDH($C$328,"INC_BEF_XO_ITEMS_TO_NET_SALES","FQ1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34" t="e">
        <f ca="1">_xll.BDH($C$328,"PROF_MARGIN","FQ1 2015","FQ1 2015","Currency=INR","Period=FQ","BEST_FPERIOD_OVERRIDE=FQ","FILING_STATUS=OR","EQY_CONSOLIDATED=Y","FA_ADJUSTED=GAAP","Sort=A","Dates=H","DateFormat=P","Fill=—","Direction=H","UseDPDF=Y")</f>
        <v>#NAME?</v>
      </c>
      <c r="P334" t="e">
        <f ca="1">_xll.BDH($C$328,"NET_INCOME_TO_COMMON_MARGIN","FQ1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34" t="e">
        <f ca="1">_xll.BDH($C$328,"EFF_TAX_RATE","FQ1 2015","FQ1 2015","Currency=INR","Period=FQ","BEST_FPERIOD_OVERRIDE=FQ","FILING_STATUS=OR","EQY_CONSOLIDATED=Y","FA_ADJUSTED=GAAP","Sort=A","Dates=H","DateFormat=P","Fill=—","Direction=H","UseDPDF=Y")</f>
        <v>#NAME?</v>
      </c>
      <c r="R334" t="e">
        <f ca="1">_xll.BDH($C$328,"DVD_PAYOUT_RATIO","FQ1 2015","FQ1 2015","Currency=INR","Period=FQ","BEST_FPERIOD_OVERRIDE=FQ","FILING_STATUS=OR","EQY_CONSOLIDATED=Y","FA_ADJUSTED=GAAP","Sort=A","Dates=H","DateFormat=P","Fill=—","Direction=H","UseDPDF=Y")</f>
        <v>#NAME?</v>
      </c>
      <c r="S334" t="e">
        <f ca="1">_xll.BDH($C$328,"SUSTAIN_GROWTH_RT","FQ1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334" s="1" t="e">
        <f ca="1">_xll.BDH($C$328,"SALES_GROWTH","FQ1 2015","FQ1 2015","Currency=INR","Period=FQ","BEST_FPERIOD_OVERRIDE=FQ","FILING_STATUS=OR","EQY_CONSOLIDATED=Y","FA_ADJUSTED=GAAP","Sort=A","Dates=H","DateFormat=P","Fill=—","Direction=H","UseDPDF=Y")</f>
        <v>#NAME?</v>
      </c>
      <c r="U334" s="1" t="e">
        <f ca="1">_xll.BDH($C$328,"EBITDA_GROWTH","FQ1 2015","FQ1 2015","Currency=INR","Period=FQ","BEST_FPERIOD_OVERRIDE=FQ","FILING_STATUS=OR","EQY_CONSOLIDATED=Y","FA_ADJUSTED=GAAP","Sort=A","Dates=H","DateFormat=P","Fill=—","Direction=H","UseDPDF=Y")</f>
        <v>#NAME?</v>
      </c>
      <c r="V334" s="1" t="e">
        <f ca="1">_xll.BDH($C$328,"OPER_INC_GROWTH","FQ1 2015","FQ1 2015","Currency=INR","Period=FQ","BEST_FPERIOD_OVERRIDE=FQ","FILING_STATUS=OR","EQY_CONSOLIDATED=Y","FA_ADJUSTED=GAAP","Sort=A","Dates=H","DateFormat=P","Fill=—","Direction=H","UseDPDF=Y")</f>
        <v>#NAME?</v>
      </c>
      <c r="W334" s="1" t="e">
        <f ca="1">_xll.BDH($C$328,"EARN_FOR_COM_GROWTH","FQ1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34" s="1" t="e">
        <f ca="1">_xll.BDH($C$328,"DILUTED_EPS_AFT_XO_ITEMS_GROWTH","FQ1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34" s="1" t="e">
        <f ca="1">_xll.BDH($C$328,"DIVIDEND_PER_SHARE_1_YEAR_GROWTH","FQ1 2015","FQ1 2015","Currency=INR","Period=FQ","BEST_FPERIOD_OVERRIDE=FQ","FILING_STATUS=OR","EQY_CONSOLIDATED=Y","Sort=A","Dates=H","DateFormat=P","Fill=—","Direction=H","UseDPDF=Y")</f>
        <v>#NAME?</v>
      </c>
      <c r="Z334" s="1" t="e">
        <f ca="1">_xll.BDH($C$328,"ACCOUNTS_RECEIVABLE_GROWTH","FQ1 2015","FQ1 2015","Currency=INR","Period=FQ","BEST_FPERIOD_OVERRIDE=FQ","FILING_STATUS=OR","EQY_CONSOLIDATED=Y","Sort=A","Dates=H","DateFormat=P","Fill=—","Direction=H","UseDPDF=Y")</f>
        <v>#NAME?</v>
      </c>
      <c r="AA334" s="1" t="e">
        <f ca="1">_xll.BDH($C$328,"INVENTORY_GROWTH","FQ1 2015","FQ1 2015","Currency=INR","Period=FQ","BEST_FPERIOD_OVERRIDE=FQ","FILING_STATUS=OR","EQY_CONSOLIDATED=Y","Sort=A","Dates=H","DateFormat=P","Fill=—","Direction=H","UseDPDF=Y")</f>
        <v>#NAME?</v>
      </c>
      <c r="AB334" s="1" t="e">
        <f ca="1">_xll.BDH($C$328,"NET_FIXED_ASSETS_1_YEAR_GROWTH","FQ1 2015","FQ1 2015","Currency=INR","Period=FQ","BEST_FPERIOD_OVERRIDE=FQ","FILING_STATUS=OR","EQY_CONSOLIDATED=Y","Sort=A","Dates=H","DateFormat=P","Fill=—","Direction=H","UseDPDF=Y")</f>
        <v>#NAME?</v>
      </c>
      <c r="AC334" s="1" t="e">
        <f ca="1">_xll.BDH($C$328,"ASSET_GROWTH","FQ1 2015","FQ1 2015","Currency=INR","Period=FQ","BEST_FPERIOD_OVERRIDE=FQ","FILING_STATUS=OR","EQY_CONSOLIDATED=Y","Sort=A","Dates=H","DateFormat=P","Fill=—","Direction=H","UseDPDF=Y")</f>
        <v>#NAME?</v>
      </c>
      <c r="AD334" s="1" t="e">
        <f ca="1">_xll.BDH($C$328,"MODIFIED_WORK_CAP_GROWTH","FQ1 2015","FQ1 2015","Currency=INR","Period=FQ","BEST_FPERIOD_OVERRIDE=FQ","FILING_STATUS=OR","EQY_CONSOLIDATED=Y","Sort=A","Dates=H","DateFormat=P","Fill=—","Direction=H","UseDPDF=Y")</f>
        <v>#NAME?</v>
      </c>
      <c r="AE334" s="1" t="e">
        <f ca="1">_xll.BDH($C$328,"WORK_CAP_GROWTH","FQ1 2015","FQ1 2015","Currency=INR","Period=FQ","BEST_FPERIOD_OVERRIDE=FQ","FILING_STATUS=OR","EQY_CONSOLIDATED=Y","Sort=A","Dates=H","DateFormat=P","Fill=—","Direction=H","UseDPDF=Y")</f>
        <v>#NAME?</v>
      </c>
      <c r="AF334" s="1" t="e">
        <f ca="1">_xll.BDH($C$328,"ACCOUNTS_PAYABLE_GROWTH_1YR","FQ1 2015","FQ1 2015","Currency=INR","Period=FQ","BEST_FPERIOD_OVERRIDE=FQ","FILING_STATUS=OR","EQY_CONSOLIDATED=Y","Sort=A","Dates=H","DateFormat=P","Fill=—","Direction=H","UseDPDF=Y")</f>
        <v>#NAME?</v>
      </c>
      <c r="AG334" s="1" t="e">
        <f ca="1">_xll.BDH($C$328,"SHORT_TERM_DEBT_1_YEAR_GROWTH","FQ1 2015","FQ1 2015","Currency=INR","Period=FQ","BEST_FPERIOD_OVERRIDE=FQ","FILING_STATUS=OR","EQY_CONSOLIDATED=Y","Sort=A","Dates=H","DateFormat=P","Fill=—","Direction=H","UseDPDF=Y")</f>
        <v>#NAME?</v>
      </c>
      <c r="AH334" s="1" t="e">
        <f ca="1">_xll.BDH($C$328,"TOTAL_DEBT_1_YEAR_GROWTH","FQ1 2015","FQ1 2015","Currency=INR","Period=FQ","BEST_FPERIOD_OVERRIDE=FQ","FILING_STATUS=OR","EQY_CONSOLIDATED=Y","Sort=A","Dates=H","DateFormat=P","Fill=—","Direction=H","UseDPDF=Y")</f>
        <v>#NAME?</v>
      </c>
      <c r="AI334" s="1" t="e">
        <f ca="1">_xll.BDH($C$328,"TOTAL_EQUITY_1_YEAR_GROWTH","FQ1 2015","FQ1 2015","Currency=INR","Period=FQ","BEST_FPERIOD_OVERRIDE=FQ","FILING_STATUS=OR","EQY_CONSOLIDATED=Y","Sort=A","Dates=H","DateFormat=P","Fill=—","Direction=H","UseDPDF=Y")</f>
        <v>#NAME?</v>
      </c>
      <c r="AJ334" s="1" t="e">
        <f ca="1">_xll.BDH($C$328,"GROWTH_IN_CAP","FQ1 2015","FQ1 2015","Currency=INR","Period=FQ","BEST_FPERIOD_OVERRIDE=FQ","FILING_STATUS=OR","EQY_CONSOLIDATED=Y","Sort=A","Dates=H","DateFormat=P","Fill=—","Direction=H","UseDPDF=Y")</f>
        <v>#NAME?</v>
      </c>
      <c r="AK334" s="1" t="e">
        <f ca="1">_xll.BDH($C$328,"BVPS_GROWTH","FQ1 2015","FQ1 2015","Currency=INR","Period=FQ","BEST_FPERIOD_OVERRIDE=FQ","FILING_STATUS=OR","EQY_CONSOLIDATED=Y","Sort=A","Dates=H","DateFormat=P","Fill=—","Direction=H","UseDPDF=Y")</f>
        <v>#NAME?</v>
      </c>
      <c r="AL334" s="1" t="e">
        <f ca="1">_xll.BDH($C$328,"CASH_FLOW_GROWTH","FQ1 2015","FQ1 2015","Currency=INR","Period=FQ","BEST_FPERIOD_OVERRIDE=FQ","FILING_STATUS=OR","EQY_CONSOLIDATED=Y","Sort=A","Dates=H","DateFormat=P","Fill=—","Direction=H","UseDPDF=Y")</f>
        <v>#NAME?</v>
      </c>
      <c r="AM334" s="1" t="e">
        <f ca="1">_xll.BDH($C$328,"GEO_GROW_NET_SALES","FQ1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34" s="1" t="e">
        <f ca="1">_xll.BDH($C$328,"GEO_GROW_EBITDA","FQ1 2015","FQ1 2015","Currency=INR","Period=FQ","BEST_FPERIOD_OVERRIDE=FQ","FILING_STATUS=OR","EQY_CONSOLIDATED=Y","FA_ADJUSTED=GAAP","Sort=A","Dates=H","DateFormat=P","Fill=—","Direction=H","UseDPDF=Y")</f>
        <v>#NAME?</v>
      </c>
      <c r="AO334" s="1" t="e">
        <f ca="1">_xll.BDH($C$328,"GEO_GROW_OPER_INC","FQ1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34" s="1" t="e">
        <f ca="1">_xll.BDH($C$328,"NET_INCOME_TO_COMMON_5_YR_GROWTH","FQ1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34" s="1" t="e">
        <f ca="1">_xll.BDH($C$328,"5Y_GEO_GROWTH_DILUTED_EPS","FQ1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34" s="1" t="e">
        <f ca="1">_xll.BDH($C$328,"GEO_GROW_DVD_PER_SH","FQ1 2015","FQ1 2015","Currency=INR","Period=FQ","BEST_FPERIOD_OVERRIDE=FQ","FILING_STATUS=OR","EQY_CONSOLIDATED=Y","Sort=A","Dates=H","DateFormat=P","Fill=—","Direction=H","UseDPDF=Y")</f>
        <v>#NAME?</v>
      </c>
      <c r="AS334" s="1" t="e">
        <f ca="1">_xll.BDH($C$328,"ACCOUNTS_RECEIVABLE_5_YR_GROWTH","FQ1 2015","FQ1 2015","Currency=INR","Period=FQ","BEST_FPERIOD_OVERRIDE=FQ","FILING_STATUS=OR","EQY_CONSOLIDATED=Y","Sort=A","Dates=H","DateFormat=P","Fill=—","Direction=H","UseDPDF=Y")</f>
        <v>#NAME?</v>
      </c>
      <c r="AT334" s="1" t="e">
        <f ca="1">_xll.BDH($C$328,"INVENTORY_5_YEAR_GROWTH","FQ1 2015","FQ1 2015","Currency=INR","Period=FQ","BEST_FPERIOD_OVERRIDE=FQ","FILING_STATUS=OR","EQY_CONSOLIDATED=Y","Sort=A","Dates=H","DateFormat=P","Fill=—","Direction=H","UseDPDF=Y")</f>
        <v>#NAME?</v>
      </c>
      <c r="AU334" s="1" t="e">
        <f ca="1">_xll.BDH($C$328,"NET_FIXED_ASSETS_5_YEAR_GROWTH","FQ1 2015","FQ1 2015","Currency=INR","Period=FQ","BEST_FPERIOD_OVERRIDE=FQ","FILING_STATUS=OR","EQY_CONSOLIDATED=Y","Sort=A","Dates=H","DateFormat=P","Fill=—","Direction=H","UseDPDF=Y")</f>
        <v>#NAME?</v>
      </c>
      <c r="AV334" s="1" t="e">
        <f ca="1">_xll.BDH($C$328,"GEO_GROW_TOT_ASSET","FQ1 2015","FQ1 2015","Currency=INR","Period=FQ","BEST_FPERIOD_OVERRIDE=FQ","FILING_STATUS=OR","EQY_CONSOLIDATED=Y","Sort=A","Dates=H","DateFormat=P","Fill=—","Direction=H","UseDPDF=Y")</f>
        <v>#NAME?</v>
      </c>
      <c r="AW334" s="1" t="e">
        <f ca="1">_xll.BDH($C$328,"MODIFIED_WORKING_CPTL_5YR_GRWTH","FQ1 2015","FQ1 2015","Currency=INR","Period=FQ","BEST_FPERIOD_OVERRIDE=FQ","FILING_STATUS=OR","EQY_CONSOLIDATED=Y","Sort=A","Dates=H","DateFormat=P","Fill=—","Direction=H","UseDPDF=Y")</f>
        <v>#NAME?</v>
      </c>
      <c r="AX334" s="1" t="e">
        <f ca="1">_xll.BDH($C$328,"WORKING_CAPITAL_5_YEAR_GROWTH","FQ1 2015","FQ1 2015","Currency=INR","Period=FQ","BEST_FPERIOD_OVERRIDE=FQ","FILING_STATUS=OR","EQY_CONSOLIDATED=Y","Sort=A","Dates=H","DateFormat=P","Fill=—","Direction=H","UseDPDF=Y")</f>
        <v>#NAME?</v>
      </c>
      <c r="AY334" s="1" t="e">
        <f ca="1">_xll.BDH($C$328,"ACCOUNTS_PAYABLE_5_YEAR_GROWTH","FQ1 2015","FQ1 2015","Currency=INR","Period=FQ","BEST_FPERIOD_OVERRIDE=FQ","FILING_STATUS=OR","EQY_CONSOLIDATED=Y","Sort=A","Dates=H","DateFormat=P","Fill=—","Direction=H","UseDPDF=Y")</f>
        <v>#NAME?</v>
      </c>
      <c r="AZ334" s="1" t="e">
        <f ca="1">_xll.BDH($C$328,"SHORT_TERM_DEBT_5_YEAR_GROWTH","FQ1 2015","FQ1 2015","Currency=INR","Period=FQ","BEST_FPERIOD_OVERRIDE=FQ","FILING_STATUS=OR","EQY_CONSOLIDATED=Y","Sort=A","Dates=H","DateFormat=P","Fill=—","Direction=H","UseDPDF=Y")</f>
        <v>#NAME?</v>
      </c>
      <c r="BA334" s="1" t="e">
        <f ca="1">_xll.BDH($C$328,"TOTAL_DEBT_5_YEAR_GROWTH","FQ1 2015","FQ1 2015","Currency=INR","Period=FQ","BEST_FPERIOD_OVERRIDE=FQ","FILING_STATUS=OR","EQY_CONSOLIDATED=Y","Sort=A","Dates=H","DateFormat=P","Fill=—","Direction=H","UseDPDF=Y")</f>
        <v>#NAME?</v>
      </c>
      <c r="BB334" s="1" t="e">
        <f ca="1">_xll.BDH($C$328,"GEO_GROW_TOT_SHRHLDR_EQY","FQ1 2015","FQ1 2015","Currency=INR","Period=FQ","BEST_FPERIOD_OVERRIDE=FQ","FILING_STATUS=OR","EQY_CONSOLIDATED=Y","Sort=A","Dates=H","DateFormat=P","Fill=—","Direction=H","UseDPDF=Y")</f>
        <v>#NAME?</v>
      </c>
      <c r="BC334" s="1" t="e">
        <f ca="1">_xll.BDH($C$328,"TOTAL_CAPITAL_5_YEAR_GROWTH","FQ1 2015","FQ1 2015","Currency=INR","Period=FQ","BEST_FPERIOD_OVERRIDE=FQ","FILING_STATUS=OR","EQY_CONSOLIDATED=Y","Sort=A","Dates=H","DateFormat=P","Fill=—","Direction=H","UseDPDF=Y")</f>
        <v>#NAME?</v>
      </c>
      <c r="BD334" s="1" t="e">
        <f ca="1">_xll.BDH($C$328,"GEO_GROW_BOOK_VAL","FQ1 2015","FQ1 2015","Currency=INR","Period=FQ","BEST_FPERIOD_OVERRIDE=FQ","FILING_STATUS=OR","EQY_CONSOLIDATED=Y","Sort=A","Dates=H","DateFormat=P","Fill=—","Direction=H","UseDPDF=Y")</f>
        <v>#NAME?</v>
      </c>
      <c r="BE334" s="1" t="e">
        <f ca="1">_xll.BDH($C$328,"GEO_GROW_CASH_OPER_ACT","FQ1 2015","FQ1 2015","Currency=INR","Period=FQ","BEST_FPERIOD_OVERRIDE=FQ","FILING_STATUS=OR","EQY_CONSOLIDATED=Y","Sort=A","Dates=H","DateFormat=P","Fill=—","Direction=H","UseDPDF=Y")</f>
        <v>#NAME?</v>
      </c>
      <c r="BF334" s="1" t="e">
        <f ca="1">_xll.BDH($C$328,"REVENUE_SEQUENTIAL_GROWTH","FQ1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34" s="1" t="e">
        <f ca="1">_xll.BDH($C$328,"EBITDA_SEQUENTIAL_GROWTH","FQ1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34" s="1" t="e">
        <f ca="1">_xll.BDH($C$328,"OPERATING_INCOME_SEQ_GROWTH","FQ1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34" s="1" t="e">
        <f ca="1">_xll.BDH($C$328,"NET_INCOME_TO_COMMON_SEQ_GROWTH","FQ1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34" s="1" t="e">
        <f ca="1">_xll.BDH($C$328,"EPS_DILUTED_SEQUENTIAL_GROWTH","FQ1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34" s="1" t="e">
        <f ca="1">_xll.BDH($C$328,"DPS_SEQUENTIAL_GROWTH","FQ1 2015","FQ1 2015","Currency=INR","Period=FQ","BEST_FPERIOD_OVERRIDE=FQ","FILING_STATUS=OR","EQY_CONSOLIDATED=Y","Sort=A","Dates=H","DateFormat=P","Fill=—","Direction=H","UseDPDF=Y")</f>
        <v>#NAME?</v>
      </c>
      <c r="BL334" s="1" t="e">
        <f ca="1">_xll.BDH($C$328,"ACCOUNTS_RECEIVABLE_SEQ_GROWTH","FQ1 2015","FQ1 2015","Currency=INR","Period=FQ","BEST_FPERIOD_OVERRIDE=FQ","FILING_STATUS=OR","EQY_CONSOLIDATED=Y","Sort=A","Dates=H","DateFormat=P","Fill=—","Direction=H","UseDPDF=Y")</f>
        <v>#NAME?</v>
      </c>
      <c r="BM334" s="1" t="e">
        <f ca="1">_xll.BDH($C$328,"INVENTORY_SEQUENTIAL_GROWTH","FQ1 2015","FQ1 2015","Currency=INR","Period=FQ","BEST_FPERIOD_OVERRIDE=FQ","FILING_STATUS=OR","EQY_CONSOLIDATED=Y","Sort=A","Dates=H","DateFormat=P","Fill=—","Direction=H","UseDPDF=Y")</f>
        <v>#NAME?</v>
      </c>
      <c r="BN334" s="1" t="e">
        <f ca="1">_xll.BDH($C$328,"FIXED_ASSETS_SEQUENTIAL_GROWTH","FQ1 2015","FQ1 2015","Currency=INR","Period=FQ","BEST_FPERIOD_OVERRIDE=FQ","FILING_STATUS=OR","EQY_CONSOLIDATED=Y","Sort=A","Dates=H","DateFormat=P","Fill=—","Direction=H","UseDPDF=Y")</f>
        <v>#NAME?</v>
      </c>
      <c r="BO334" s="1" t="e">
        <f ca="1">_xll.BDH($C$328,"TOTAL_ASSETS_SEQUENTIAL_GROWTH","FQ1 2015","FQ1 2015","Currency=INR","Period=FQ","BEST_FPERIOD_OVERRIDE=FQ","FILING_STATUS=OR","EQY_CONSOLIDATED=Y","Sort=A","Dates=H","DateFormat=P","Fill=—","Direction=H","UseDPDF=Y")</f>
        <v>#NAME?</v>
      </c>
      <c r="BP334" s="1" t="e">
        <f ca="1">_xll.BDH($C$328,"MODIFIED_WORKING_CPTL_SEQ_GRWTH","FQ1 2015","FQ1 2015","Currency=INR","Period=FQ","BEST_FPERIOD_OVERRIDE=FQ","FILING_STATUS=OR","EQY_CONSOLIDATED=Y","Sort=A","Dates=H","DateFormat=P","Fill=—","Direction=H","UseDPDF=Y")</f>
        <v>#NAME?</v>
      </c>
      <c r="BQ334" s="1" t="e">
        <f ca="1">_xll.BDH($C$328,"WORKING_CAPITAL_SEQ_GROWTH","FQ1 2015","FQ1 2015","Currency=INR","Period=FQ","BEST_FPERIOD_OVERRIDE=FQ","FILING_STATUS=OR","EQY_CONSOLIDATED=Y","Sort=A","Dates=H","DateFormat=P","Fill=—","Direction=H","UseDPDF=Y")</f>
        <v>#NAME?</v>
      </c>
      <c r="BR334" s="1" t="e">
        <f ca="1">_xll.BDH($C$328,"ACCOUNTS_PAYABLE_SEQ_GROWTH","FQ1 2015","FQ1 2015","Currency=INR","Period=FQ","BEST_FPERIOD_OVERRIDE=FQ","FILING_STATUS=OR","EQY_CONSOLIDATED=Y","Sort=A","Dates=H","DateFormat=P","Fill=—","Direction=H","UseDPDF=Y")</f>
        <v>#NAME?</v>
      </c>
      <c r="BS334" s="1" t="e">
        <f ca="1">_xll.BDH($C$328,"ST_DEBT_SEQUENTIAL_GROWTH","FQ1 2015","FQ1 2015","Currency=INR","Period=FQ","BEST_FPERIOD_OVERRIDE=FQ","FILING_STATUS=OR","EQY_CONSOLIDATED=Y","Sort=A","Dates=H","DateFormat=P","Fill=—","Direction=H","UseDPDF=Y")</f>
        <v>#NAME?</v>
      </c>
      <c r="BT334" s="1" t="e">
        <f ca="1">_xll.BDH($C$328,"TOTAL_DEBT_SEQUENTIAL_GROWTH","FQ1 2015","FQ1 2015","Currency=INR","Period=FQ","BEST_FPERIOD_OVERRIDE=FQ","FILING_STATUS=OR","EQY_CONSOLIDATED=Y","Sort=A","Dates=H","DateFormat=P","Fill=—","Direction=H","UseDPDF=Y")</f>
        <v>#NAME?</v>
      </c>
      <c r="BU334" s="1" t="e">
        <f ca="1">_xll.BDH($C$328,"TOTAL_EQUITY_SEQUENTIAL_GROWTH","FQ1 2015","FQ1 2015","Currency=INR","Period=FQ","BEST_FPERIOD_OVERRIDE=FQ","FILING_STATUS=OR","EQY_CONSOLIDATED=Y","Sort=A","Dates=H","DateFormat=P","Fill=—","Direction=H","UseDPDF=Y")</f>
        <v>#NAME?</v>
      </c>
      <c r="BV334" s="1" t="e">
        <f ca="1">_xll.BDH($C$328,"TOTAL_CAPITAL_SEQUENTIAL_GROWTH","FQ1 2015","FQ1 2015","Currency=INR","Period=FQ","BEST_FPERIOD_OVERRIDE=FQ","FILING_STATUS=OR","EQY_CONSOLIDATED=Y","Sort=A","Dates=H","DateFormat=P","Fill=—","Direction=H","UseDPDF=Y")</f>
        <v>#NAME?</v>
      </c>
      <c r="BW334" s="1" t="e">
        <f ca="1">_xll.BDH($C$328,"BPS_SEQUENTIAL_GROWTH","FQ1 2015","FQ1 2015","Currency=INR","Period=FQ","BEST_FPERIOD_OVERRIDE=FQ","FILING_STATUS=OR","EQY_CONSOLIDATED=Y","Sort=A","Dates=H","DateFormat=P","Fill=—","Direction=H","UseDPDF=Y")</f>
        <v>#NAME?</v>
      </c>
      <c r="BX334" s="1" t="e">
        <f ca="1">_xll.BDH($C$328,"CFO_SEQUENTIAL_GROWTH","FQ1 2015","FQ1 2015","Currency=INR","Period=FQ","BEST_FPERIOD_OVERRIDE=FQ","FILING_STATUS=OR","EQY_CONSOLIDATED=Y","Sort=A","Dates=H","DateFormat=P","Fill=—","Direction=H","UseDPDF=Y")</f>
        <v>#NAME?</v>
      </c>
      <c r="BY334" s="2" t="e">
        <f ca="1">_xll.BDH($C$328,"SHORT_AND_LONG_TERM_DEBT","FQ1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34" s="2" t="e">
        <f ca="1">_xll.BDH($C$328,"BS_ST_BORROW","FQ1 2015","FQ1 2015","Currency=INR","Period=FQ","BEST_FPERIOD_OVERRIDE=FQ","FILING_STATUS=OR","EQY_CONSOLIDATED=Y","SCALING_FORMAT=MLN","Sort=A","Dates=H","DateFormat=P","Fill=—","Direction=H","UseDPDF=Y")</f>
        <v>#NAME?</v>
      </c>
      <c r="CA334" s="2" t="e">
        <f ca="1">_xll.BDH($C$328,"BS_LT_BORROW","FQ1 2015","FQ1 2015","Currency=INR","Period=FQ","BEST_FPERIOD_OVERRIDE=FQ","FILING_STATUS=OR","EQY_CONSOLIDATED=Y","SCALING_FORMAT=MLN","Sort=A","Dates=H","DateFormat=P","Fill=—","Direction=H","UseDPDF=Y")</f>
        <v>#NAME?</v>
      </c>
      <c r="CB334" s="1" t="e">
        <f ca="1">_xll.BDH($C$328,"TOT_DEBT_TO_EBITDA","FQ1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34" s="1" t="e">
        <f ca="1">_xll.BDH($C$328,"NET_DEBT_TO_EBITDA","FQ1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34" s="1" t="e">
        <f ca="1">_xll.BDH($C$328,"TOTAL_DEBT_TO_EBIT","FQ1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34" s="1" t="e">
        <f ca="1">_xll.BDH($C$328,"NET_DEBT_TO_EBIT","FQ1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334" s="1" t="e">
        <f ca="1">_xll.BDH($C$328,"EBITDA_TO_INTEREST_EXPN","FQ1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34" s="1" t="e">
        <f ca="1">_xll.BDH($C$328,"COM_EQY_TO_TOT_ASSET","FQ1 2015","FQ1 2015","Currency=INR","Period=FQ","BEST_FPERIOD_OVERRIDE=FQ","FILING_STATUS=OR","EQY_CONSOLIDATED=Y","Sort=A","Dates=H","DateFormat=P","Fill=—","Direction=H","UseDPDF=Y")</f>
        <v>#NAME?</v>
      </c>
      <c r="CH334" s="1" t="e">
        <f ca="1">_xll.BDH($C$328,"LT_DEBT_TO_TOT_EQY","FQ1 2015","FQ1 2015","Currency=INR","Period=FQ","BEST_FPERIOD_OVERRIDE=FQ","FILING_STATUS=OR","EQY_CONSOLIDATED=Y","Sort=A","Dates=H","DateFormat=P","Fill=—","Direction=H","UseDPDF=Y")</f>
        <v>#NAME?</v>
      </c>
      <c r="CI334" s="1" t="e">
        <f ca="1">_xll.BDH($C$328,"LT_DEBT_TO_TOT_CAP","FQ1 2015","FQ1 2015","Currency=INR","Period=FQ","BEST_FPERIOD_OVERRIDE=FQ","FILING_STATUS=OR","EQY_CONSOLIDATED=Y","Sort=A","Dates=H","DateFormat=P","Fill=—","Direction=H","UseDPDF=Y")</f>
        <v>#NAME?</v>
      </c>
      <c r="CJ334" s="1" t="e">
        <f ca="1">_xll.BDH($C$328,"LT_DEBT_TO_TOT_ASSET","FQ1 2015","FQ1 2015","Currency=INR","Period=FQ","BEST_FPERIOD_OVERRIDE=FQ","FILING_STATUS=OR","EQY_CONSOLIDATED=Y","Sort=A","Dates=H","DateFormat=P","Fill=—","Direction=H","UseDPDF=Y")</f>
        <v>#NAME?</v>
      </c>
      <c r="CK334" s="1" t="e">
        <f ca="1">_xll.BDH($C$328,"TOT_DEBT_TO_TOT_EQY","FQ1 2015","FQ1 2015","Currency=INR","Period=FQ","BEST_FPERIOD_OVERRIDE=FQ","FILING_STATUS=OR","EQY_CONSOLIDATED=Y","Sort=A","Dates=H","DateFormat=P","Fill=—","Direction=H","UseDPDF=Y")</f>
        <v>#NAME?</v>
      </c>
      <c r="CL334" s="1" t="e">
        <f ca="1">_xll.BDH($C$328,"TOT_DEBT_TO_TOT_CAP","FQ1 2015","FQ1 2015","Currency=INR","Period=FQ","BEST_FPERIOD_OVERRIDE=FQ","FILING_STATUS=OR","EQY_CONSOLIDATED=Y","Sort=A","Dates=H","DateFormat=P","Fill=—","Direction=H","UseDPDF=Y")</f>
        <v>#NAME?</v>
      </c>
      <c r="CM334" s="1" t="e">
        <f ca="1">_xll.BDH($C$328,"TOT_DEBT_TO_TOT_ASSET","FQ1 2015","FQ1 2015","Currency=INR","Period=FQ","BEST_FPERIOD_OVERRIDE=FQ","FILING_STATUS=OR","EQY_CONSOLIDATED=Y","Sort=A","Dates=H","DateFormat=P","Fill=—","Direction=H","UseDPDF=Y")</f>
        <v>#NAME?</v>
      </c>
      <c r="CN334" s="1" t="e">
        <f ca="1">_xll.BDH($C$328,"NET_DEBT_TO_SHRHLDR_EQTY","FQ1 2015","FQ1 2015","Currency=INR","Period=FQ","BEST_FPERIOD_OVERRIDE=FQ","FILING_STATUS=OR","EQY_CONSOLIDATED=Y","Sort=A","Dates=H","DateFormat=P","Fill=—","Direction=H","UseDPDF=Y")</f>
        <v>#NAME?</v>
      </c>
      <c r="CO334" s="1" t="e">
        <f ca="1">_xll.BDH($C$328,"NET_DEBT_%_CAPITAL","FQ1 2015","FQ1 2015","Currency=INR","Period=FQ","BEST_FPERIOD_OVERRIDE=FQ","FILING_STATUS=OR","EQY_CONSOLIDATED=Y","Sort=A","Dates=H","DateFormat=P","Fill=—","Direction=H","UseDPDF=Y")</f>
        <v>#NAME?</v>
      </c>
      <c r="CP334" s="2" t="e">
        <f ca="1">_xll.BDH($C$328,"EBITDA","FQ1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34" s="2" t="e">
        <f ca="1">_xll.BDH($C$328,"EBITDA_AFTER_CAPEX","FQ1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34" s="2" t="e">
        <f ca="1">_xll.BDH($C$328,"IS_OPER_INC","FQ1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34" s="1" t="e">
        <f ca="1">_xll.BDH($C$328,"CASH_RATIO","FQ1 2015","FQ1 2015","Currency=INR","Period=FQ","BEST_FPERIOD_OVERRIDE=FQ","FILING_STATUS=OR","EQY_CONSOLIDATED=Y","Sort=A","Dates=H","DateFormat=P","Fill=—","Direction=H","UseDPDF=Y")</f>
        <v>#NAME?</v>
      </c>
      <c r="CT334" s="1" t="e">
        <f ca="1">_xll.BDH($C$328,"CUR_RATIO","FQ1 2015","FQ1 2015","Currency=INR","Period=FQ","BEST_FPERIOD_OVERRIDE=FQ","FILING_STATUS=OR","EQY_CONSOLIDATED=Y","Sort=A","Dates=H","DateFormat=P","Fill=—","Direction=H","UseDPDF=Y")</f>
        <v>#NAME?</v>
      </c>
      <c r="CU334" s="1" t="e">
        <f ca="1">_xll.BDH($C$328,"QUICK_RATIO","FQ1 2015","FQ1 2015","Currency=INR","Period=FQ","BEST_FPERIOD_OVERRIDE=FQ","FILING_STATUS=OR","EQY_CONSOLIDATED=Y","Sort=A","Dates=H","DateFormat=P","Fill=—","Direction=H","UseDPDF=Y")</f>
        <v>#NAME?</v>
      </c>
      <c r="CV334" s="1" t="e">
        <f ca="1">_xll.BDH($C$328,"ALTMAN_Z_SCORE","FQ1 2015","FQ1 2015","Currency=INR","Period=FQ","BEST_FPERIOD_OVERRIDE=FQ","FILING_STATUS=OR","EQY_CONSOLIDATED=Y","Sort=A","Dates=H","DateFormat=P","Fill=—","Direction=H","UseDPDF=Y")</f>
        <v>#NAME?</v>
      </c>
      <c r="CW334" s="3" t="e">
        <f ca="1">_xll.BDH($C$328,"ACCT_RCV_TURN","FQ1 2015","FQ1 2015","Currency=INR","Period=FQ","BEST_FPERIOD_OVERRIDE=FQ","FILING_STATUS=OR","EQY_CONSOLIDATED=Y","FA_ADJUSTED=GAAP","Sort=A","Dates=H","DateFormat=P","Fill=—","Direction=H","UseDPDF=Y")</f>
        <v>#NAME?</v>
      </c>
      <c r="CX334" s="1" t="e">
        <f ca="1">_xll.BDH($C$328,"ACCT_RCV_DAYS","FQ1 2015","FQ1 2015","Currency=INR","Period=FQ","BEST_FPERIOD_OVERRIDE=FQ","FILING_STATUS=OR","EQY_CONSOLIDATED=Y","FA_ADJUSTED=GAAP","Sort=A","Dates=H","DateFormat=P","Fill=—","Direction=H","UseDPDF=Y")</f>
        <v>#NAME?</v>
      </c>
      <c r="CY334" s="3" t="e">
        <f ca="1">_xll.BDH($C$328,"INVENT_TURN","FQ1 2015","FQ1 2015","Currency=INR","Period=FQ","BEST_FPERIOD_OVERRIDE=FQ","FILING_STATUS=OR","EQY_CONSOLIDATED=Y","FA_ADJUSTED=GAAP","Sort=A","Dates=H","DateFormat=P","Fill=—","Direction=H","UseDPDF=Y")</f>
        <v>#NAME?</v>
      </c>
      <c r="CZ334" s="1" t="e">
        <f ca="1">_xll.BDH($C$328,"INVENT_DAYS","FQ1 2015","FQ1 2015","Currency=INR","Period=FQ","BEST_FPERIOD_OVERRIDE=FQ","FILING_STATUS=OR","EQY_CONSOLIDATED=Y","FA_ADJUSTED=GAAP","Sort=A","Dates=H","DateFormat=P","Fill=—","Direction=H","UseDPDF=Y")</f>
        <v>#NAME?</v>
      </c>
      <c r="DA334" s="3" t="e">
        <f ca="1">_xll.BDH($C$328,"ACCOUNTS_PAYABLE_TURNOVER","FQ1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34" s="1" t="e">
        <f ca="1">_xll.BDH($C$328,"ACCOUNTS_PAYABLE_TURNOVER_DAYS","FQ1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34" s="3" t="e">
        <f ca="1">_xll.BDH($C$328,"CASH_CONVERSION_CYCLE","FQ1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34" s="3" t="e">
        <f ca="1">_xll.BDH($C$328,"INV_TO_CASH_DAYS","FQ1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334" s="4" t="e">
        <f ca="1">_xll.BDH($C$328,"BS_INVENTORIES","FQ1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334" s="2" t="e">
        <f ca="1">_xll.BDH($C$328,"INVTRY_RAW_MATERIALS","FQ1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34" s="2" t="e">
        <f ca="1">_xll.BDH($C$328,"INVTRY_IN_PROGRESS","FQ1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34" s="2" t="e">
        <f ca="1">_xll.BDH($C$328,"INVTRY_FINISHED_GOODS","FQ1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34" s="2" t="e">
        <f ca="1">_xll.BDH($C$328,"BS_OTHER_INV","FQ1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35" spans="1:113" x14ac:dyDescent="0.3">
      <c r="A335" s="6"/>
      <c r="B335" s="6"/>
      <c r="C335" s="6"/>
      <c r="D335" s="6"/>
      <c r="E335" t="s">
        <v>5</v>
      </c>
      <c r="F335" t="e">
        <f ca="1">_xll.BDH($C$328,"RETURN_COM_EQY","FQ2 2015","FQ2 2015","Currency=INR","Period=FQ","BEST_FPERIOD_OVERRIDE=FQ","FILING_STATUS=OR","EQY_CONSOLIDATED=Y","FA_ADJUSTED=GAAP","Sort=A","Dates=H","DateFormat=P","Fill=—","Direction=H","UseDPDF=Y")</f>
        <v>#NAME?</v>
      </c>
      <c r="G335" t="e">
        <f ca="1">_xll.BDH($C$328,"RETURN_ON_ASSET","FQ2 2015","FQ2 2015","Currency=INR","Period=FQ","BEST_FPERIOD_OVERRIDE=FQ","FILING_STATUS=OR","EQY_CONSOLIDATED=Y","FA_ADJUSTED=GAAP","Sort=A","Dates=H","DateFormat=P","Fill=—","Direction=H","UseDPDF=Y")</f>
        <v>#NAME?</v>
      </c>
      <c r="H335" t="e">
        <f ca="1">_xll.BDH($C$328,"RETURN_ON_CAP","FQ2 2015","FQ2 2015","Currency=INR","Period=FQ","BEST_FPERIOD_OVERRIDE=FQ","FILING_STATUS=OR","EQY_CONSOLIDATED=Y","FA_ADJUSTED=GAAP","Sort=A","Dates=H","DateFormat=P","Fill=—","Direction=H","UseDPDF=Y")</f>
        <v>#NAME?</v>
      </c>
      <c r="I335" t="e">
        <f ca="1">_xll.BDH($C$328,"RETURN_ON_INV_CAPITAL","FQ2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35" t="e">
        <f ca="1">_xll.BDH($C$328,"EBITDA_TO_REVENUE","FQ2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335" t="e">
        <f ca="1">_xll.BDH($C$328,"OPER_MARGIN","FQ2 2015","FQ2 2015","Currency=INR","Period=FQ","BEST_FPERIOD_OVERRIDE=FQ","FILING_STATUS=OR","EQY_CONSOLIDATED=Y","FA_ADJUSTED=GAAP","Sort=A","Dates=H","DateFormat=P","Fill=—","Direction=H","UseDPDF=Y")</f>
        <v>#NAME?</v>
      </c>
      <c r="L335" t="e">
        <f ca="1">_xll.BDH($C$328,"INCREMENTAL_OPERATING_MARGIN","FQ2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35" t="e">
        <f ca="1">_xll.BDH($C$328,"PRETAX_INC_TO_NET_SALES","FQ2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35" t="e">
        <f ca="1">_xll.BDH($C$328,"INC_BEF_XO_ITEMS_TO_NET_SALES","FQ2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35" t="e">
        <f ca="1">_xll.BDH($C$328,"PROF_MARGIN","FQ2 2015","FQ2 2015","Currency=INR","Period=FQ","BEST_FPERIOD_OVERRIDE=FQ","FILING_STATUS=OR","EQY_CONSOLIDATED=Y","FA_ADJUSTED=GAAP","Sort=A","Dates=H","DateFormat=P","Fill=—","Direction=H","UseDPDF=Y")</f>
        <v>#NAME?</v>
      </c>
      <c r="P335" t="e">
        <f ca="1">_xll.BDH($C$328,"NET_INCOME_TO_COMMON_MARGIN","FQ2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35" t="e">
        <f ca="1">_xll.BDH($C$328,"EFF_TAX_RATE","FQ2 2015","FQ2 2015","Currency=INR","Period=FQ","BEST_FPERIOD_OVERRIDE=FQ","FILING_STATUS=OR","EQY_CONSOLIDATED=Y","FA_ADJUSTED=GAAP","Sort=A","Dates=H","DateFormat=P","Fill=—","Direction=H","UseDPDF=Y")</f>
        <v>#NAME?</v>
      </c>
      <c r="R335" t="e">
        <f ca="1">_xll.BDH($C$328,"DVD_PAYOUT_RATIO","FQ2 2015","FQ2 2015","Currency=INR","Period=FQ","BEST_FPERIOD_OVERRIDE=FQ","FILING_STATUS=OR","EQY_CONSOLIDATED=Y","FA_ADJUSTED=GAAP","Sort=A","Dates=H","DateFormat=P","Fill=—","Direction=H","UseDPDF=Y")</f>
        <v>#NAME?</v>
      </c>
      <c r="S335" t="e">
        <f ca="1">_xll.BDH($C$328,"SUSTAIN_GROWTH_RT","FQ2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335" s="1" t="e">
        <f ca="1">_xll.BDH($C$328,"SALES_GROWTH","FQ2 2015","FQ2 2015","Currency=INR","Period=FQ","BEST_FPERIOD_OVERRIDE=FQ","FILING_STATUS=OR","EQY_CONSOLIDATED=Y","FA_ADJUSTED=GAAP","Sort=A","Dates=H","DateFormat=P","Fill=—","Direction=H","UseDPDF=Y")</f>
        <v>#NAME?</v>
      </c>
      <c r="U335" s="1" t="e">
        <f ca="1">_xll.BDH($C$328,"EBITDA_GROWTH","FQ2 2015","FQ2 2015","Currency=INR","Period=FQ","BEST_FPERIOD_OVERRIDE=FQ","FILING_STATUS=OR","EQY_CONSOLIDATED=Y","FA_ADJUSTED=GAAP","Sort=A","Dates=H","DateFormat=P","Fill=—","Direction=H","UseDPDF=Y")</f>
        <v>#NAME?</v>
      </c>
      <c r="V335" s="1" t="e">
        <f ca="1">_xll.BDH($C$328,"OPER_INC_GROWTH","FQ2 2015","FQ2 2015","Currency=INR","Period=FQ","BEST_FPERIOD_OVERRIDE=FQ","FILING_STATUS=OR","EQY_CONSOLIDATED=Y","FA_ADJUSTED=GAAP","Sort=A","Dates=H","DateFormat=P","Fill=—","Direction=H","UseDPDF=Y")</f>
        <v>#NAME?</v>
      </c>
      <c r="W335" s="1" t="e">
        <f ca="1">_xll.BDH($C$328,"EARN_FOR_COM_GROWTH","FQ2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35" s="1" t="e">
        <f ca="1">_xll.BDH($C$328,"DILUTED_EPS_AFT_XO_ITEMS_GROWTH","FQ2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35" s="1" t="e">
        <f ca="1">_xll.BDH($C$328,"DIVIDEND_PER_SHARE_1_YEAR_GROWTH","FQ2 2015","FQ2 2015","Currency=INR","Period=FQ","BEST_FPERIOD_OVERRIDE=FQ","FILING_STATUS=OR","EQY_CONSOLIDATED=Y","Sort=A","Dates=H","DateFormat=P","Fill=—","Direction=H","UseDPDF=Y")</f>
        <v>#NAME?</v>
      </c>
      <c r="Z335" s="1" t="e">
        <f ca="1">_xll.BDH($C$328,"ACCOUNTS_RECEIVABLE_GROWTH","FQ2 2015","FQ2 2015","Currency=INR","Period=FQ","BEST_FPERIOD_OVERRIDE=FQ","FILING_STATUS=OR","EQY_CONSOLIDATED=Y","Sort=A","Dates=H","DateFormat=P","Fill=—","Direction=H","UseDPDF=Y")</f>
        <v>#NAME?</v>
      </c>
      <c r="AA335" s="1" t="e">
        <f ca="1">_xll.BDH($C$328,"INVENTORY_GROWTH","FQ2 2015","FQ2 2015","Currency=INR","Period=FQ","BEST_FPERIOD_OVERRIDE=FQ","FILING_STATUS=OR","EQY_CONSOLIDATED=Y","Sort=A","Dates=H","DateFormat=P","Fill=—","Direction=H","UseDPDF=Y")</f>
        <v>#NAME?</v>
      </c>
      <c r="AB335" s="1" t="e">
        <f ca="1">_xll.BDH($C$328,"NET_FIXED_ASSETS_1_YEAR_GROWTH","FQ2 2015","FQ2 2015","Currency=INR","Period=FQ","BEST_FPERIOD_OVERRIDE=FQ","FILING_STATUS=OR","EQY_CONSOLIDATED=Y","Sort=A","Dates=H","DateFormat=P","Fill=—","Direction=H","UseDPDF=Y")</f>
        <v>#NAME?</v>
      </c>
      <c r="AC335" s="1" t="e">
        <f ca="1">_xll.BDH($C$328,"ASSET_GROWTH","FQ2 2015","FQ2 2015","Currency=INR","Period=FQ","BEST_FPERIOD_OVERRIDE=FQ","FILING_STATUS=OR","EQY_CONSOLIDATED=Y","Sort=A","Dates=H","DateFormat=P","Fill=—","Direction=H","UseDPDF=Y")</f>
        <v>#NAME?</v>
      </c>
      <c r="AD335" s="1" t="e">
        <f ca="1">_xll.BDH($C$328,"MODIFIED_WORK_CAP_GROWTH","FQ2 2015","FQ2 2015","Currency=INR","Period=FQ","BEST_FPERIOD_OVERRIDE=FQ","FILING_STATUS=OR","EQY_CONSOLIDATED=Y","Sort=A","Dates=H","DateFormat=P","Fill=—","Direction=H","UseDPDF=Y")</f>
        <v>#NAME?</v>
      </c>
      <c r="AE335" s="1" t="e">
        <f ca="1">_xll.BDH($C$328,"WORK_CAP_GROWTH","FQ2 2015","FQ2 2015","Currency=INR","Period=FQ","BEST_FPERIOD_OVERRIDE=FQ","FILING_STATUS=OR","EQY_CONSOLIDATED=Y","Sort=A","Dates=H","DateFormat=P","Fill=—","Direction=H","UseDPDF=Y")</f>
        <v>#NAME?</v>
      </c>
      <c r="AF335" s="1" t="e">
        <f ca="1">_xll.BDH($C$328,"ACCOUNTS_PAYABLE_GROWTH_1YR","FQ2 2015","FQ2 2015","Currency=INR","Period=FQ","BEST_FPERIOD_OVERRIDE=FQ","FILING_STATUS=OR","EQY_CONSOLIDATED=Y","Sort=A","Dates=H","DateFormat=P","Fill=—","Direction=H","UseDPDF=Y")</f>
        <v>#NAME?</v>
      </c>
      <c r="AG335" s="1" t="e">
        <f ca="1">_xll.BDH($C$328,"SHORT_TERM_DEBT_1_YEAR_GROWTH","FQ2 2015","FQ2 2015","Currency=INR","Period=FQ","BEST_FPERIOD_OVERRIDE=FQ","FILING_STATUS=OR","EQY_CONSOLIDATED=Y","Sort=A","Dates=H","DateFormat=P","Fill=—","Direction=H","UseDPDF=Y")</f>
        <v>#NAME?</v>
      </c>
      <c r="AH335" s="1" t="e">
        <f ca="1">_xll.BDH($C$328,"TOTAL_DEBT_1_YEAR_GROWTH","FQ2 2015","FQ2 2015","Currency=INR","Period=FQ","BEST_FPERIOD_OVERRIDE=FQ","FILING_STATUS=OR","EQY_CONSOLIDATED=Y","Sort=A","Dates=H","DateFormat=P","Fill=—","Direction=H","UseDPDF=Y")</f>
        <v>#NAME?</v>
      </c>
      <c r="AI335" s="1" t="e">
        <f ca="1">_xll.BDH($C$328,"TOTAL_EQUITY_1_YEAR_GROWTH","FQ2 2015","FQ2 2015","Currency=INR","Period=FQ","BEST_FPERIOD_OVERRIDE=FQ","FILING_STATUS=OR","EQY_CONSOLIDATED=Y","Sort=A","Dates=H","DateFormat=P","Fill=—","Direction=H","UseDPDF=Y")</f>
        <v>#NAME?</v>
      </c>
      <c r="AJ335" s="1" t="e">
        <f ca="1">_xll.BDH($C$328,"GROWTH_IN_CAP","FQ2 2015","FQ2 2015","Currency=INR","Period=FQ","BEST_FPERIOD_OVERRIDE=FQ","FILING_STATUS=OR","EQY_CONSOLIDATED=Y","Sort=A","Dates=H","DateFormat=P","Fill=—","Direction=H","UseDPDF=Y")</f>
        <v>#NAME?</v>
      </c>
      <c r="AK335" s="1" t="e">
        <f ca="1">_xll.BDH($C$328,"BVPS_GROWTH","FQ2 2015","FQ2 2015","Currency=INR","Period=FQ","BEST_FPERIOD_OVERRIDE=FQ","FILING_STATUS=OR","EQY_CONSOLIDATED=Y","Sort=A","Dates=H","DateFormat=P","Fill=—","Direction=H","UseDPDF=Y")</f>
        <v>#NAME?</v>
      </c>
      <c r="AL335" s="1" t="e">
        <f ca="1">_xll.BDH($C$328,"CASH_FLOW_GROWTH","FQ2 2015","FQ2 2015","Currency=INR","Period=FQ","BEST_FPERIOD_OVERRIDE=FQ","FILING_STATUS=OR","EQY_CONSOLIDATED=Y","Sort=A","Dates=H","DateFormat=P","Fill=—","Direction=H","UseDPDF=Y")</f>
        <v>#NAME?</v>
      </c>
      <c r="AM335" s="1" t="e">
        <f ca="1">_xll.BDH($C$328,"GEO_GROW_NET_SALES","FQ2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35" s="1" t="e">
        <f ca="1">_xll.BDH($C$328,"GEO_GROW_EBITDA","FQ2 2015","FQ2 2015","Currency=INR","Period=FQ","BEST_FPERIOD_OVERRIDE=FQ","FILING_STATUS=OR","EQY_CONSOLIDATED=Y","FA_ADJUSTED=GAAP","Sort=A","Dates=H","DateFormat=P","Fill=—","Direction=H","UseDPDF=Y")</f>
        <v>#NAME?</v>
      </c>
      <c r="AO335" s="1" t="e">
        <f ca="1">_xll.BDH($C$328,"GEO_GROW_OPER_INC","FQ2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35" s="1" t="e">
        <f ca="1">_xll.BDH($C$328,"NET_INCOME_TO_COMMON_5_YR_GROWTH","FQ2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35" s="1" t="e">
        <f ca="1">_xll.BDH($C$328,"5Y_GEO_GROWTH_DILUTED_EPS","FQ2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35" s="1" t="e">
        <f ca="1">_xll.BDH($C$328,"GEO_GROW_DVD_PER_SH","FQ2 2015","FQ2 2015","Currency=INR","Period=FQ","BEST_FPERIOD_OVERRIDE=FQ","FILING_STATUS=OR","EQY_CONSOLIDATED=Y","Sort=A","Dates=H","DateFormat=P","Fill=—","Direction=H","UseDPDF=Y")</f>
        <v>#NAME?</v>
      </c>
      <c r="AS335" s="1" t="e">
        <f ca="1">_xll.BDH($C$328,"ACCOUNTS_RECEIVABLE_5_YR_GROWTH","FQ2 2015","FQ2 2015","Currency=INR","Period=FQ","BEST_FPERIOD_OVERRIDE=FQ","FILING_STATUS=OR","EQY_CONSOLIDATED=Y","Sort=A","Dates=H","DateFormat=P","Fill=—","Direction=H","UseDPDF=Y")</f>
        <v>#NAME?</v>
      </c>
      <c r="AT335" s="1" t="e">
        <f ca="1">_xll.BDH($C$328,"INVENTORY_5_YEAR_GROWTH","FQ2 2015","FQ2 2015","Currency=INR","Period=FQ","BEST_FPERIOD_OVERRIDE=FQ","FILING_STATUS=OR","EQY_CONSOLIDATED=Y","Sort=A","Dates=H","DateFormat=P","Fill=—","Direction=H","UseDPDF=Y")</f>
        <v>#NAME?</v>
      </c>
      <c r="AU335" s="1" t="e">
        <f ca="1">_xll.BDH($C$328,"NET_FIXED_ASSETS_5_YEAR_GROWTH","FQ2 2015","FQ2 2015","Currency=INR","Period=FQ","BEST_FPERIOD_OVERRIDE=FQ","FILING_STATUS=OR","EQY_CONSOLIDATED=Y","Sort=A","Dates=H","DateFormat=P","Fill=—","Direction=H","UseDPDF=Y")</f>
        <v>#NAME?</v>
      </c>
      <c r="AV335" s="1" t="e">
        <f ca="1">_xll.BDH($C$328,"GEO_GROW_TOT_ASSET","FQ2 2015","FQ2 2015","Currency=INR","Period=FQ","BEST_FPERIOD_OVERRIDE=FQ","FILING_STATUS=OR","EQY_CONSOLIDATED=Y","Sort=A","Dates=H","DateFormat=P","Fill=—","Direction=H","UseDPDF=Y")</f>
        <v>#NAME?</v>
      </c>
      <c r="AW335" s="1" t="e">
        <f ca="1">_xll.BDH($C$328,"MODIFIED_WORKING_CPTL_5YR_GRWTH","FQ2 2015","FQ2 2015","Currency=INR","Period=FQ","BEST_FPERIOD_OVERRIDE=FQ","FILING_STATUS=OR","EQY_CONSOLIDATED=Y","Sort=A","Dates=H","DateFormat=P","Fill=—","Direction=H","UseDPDF=Y")</f>
        <v>#NAME?</v>
      </c>
      <c r="AX335" s="1" t="e">
        <f ca="1">_xll.BDH($C$328,"WORKING_CAPITAL_5_YEAR_GROWTH","FQ2 2015","FQ2 2015","Currency=INR","Period=FQ","BEST_FPERIOD_OVERRIDE=FQ","FILING_STATUS=OR","EQY_CONSOLIDATED=Y","Sort=A","Dates=H","DateFormat=P","Fill=—","Direction=H","UseDPDF=Y")</f>
        <v>#NAME?</v>
      </c>
      <c r="AY335" s="1" t="e">
        <f ca="1">_xll.BDH($C$328,"ACCOUNTS_PAYABLE_5_YEAR_GROWTH","FQ2 2015","FQ2 2015","Currency=INR","Period=FQ","BEST_FPERIOD_OVERRIDE=FQ","FILING_STATUS=OR","EQY_CONSOLIDATED=Y","Sort=A","Dates=H","DateFormat=P","Fill=—","Direction=H","UseDPDF=Y")</f>
        <v>#NAME?</v>
      </c>
      <c r="AZ335" s="1" t="e">
        <f ca="1">_xll.BDH($C$328,"SHORT_TERM_DEBT_5_YEAR_GROWTH","FQ2 2015","FQ2 2015","Currency=INR","Period=FQ","BEST_FPERIOD_OVERRIDE=FQ","FILING_STATUS=OR","EQY_CONSOLIDATED=Y","Sort=A","Dates=H","DateFormat=P","Fill=—","Direction=H","UseDPDF=Y")</f>
        <v>#NAME?</v>
      </c>
      <c r="BA335" s="1" t="e">
        <f ca="1">_xll.BDH($C$328,"TOTAL_DEBT_5_YEAR_GROWTH","FQ2 2015","FQ2 2015","Currency=INR","Period=FQ","BEST_FPERIOD_OVERRIDE=FQ","FILING_STATUS=OR","EQY_CONSOLIDATED=Y","Sort=A","Dates=H","DateFormat=P","Fill=—","Direction=H","UseDPDF=Y")</f>
        <v>#NAME?</v>
      </c>
      <c r="BB335" s="1" t="e">
        <f ca="1">_xll.BDH($C$328,"GEO_GROW_TOT_SHRHLDR_EQY","FQ2 2015","FQ2 2015","Currency=INR","Period=FQ","BEST_FPERIOD_OVERRIDE=FQ","FILING_STATUS=OR","EQY_CONSOLIDATED=Y","Sort=A","Dates=H","DateFormat=P","Fill=—","Direction=H","UseDPDF=Y")</f>
        <v>#NAME?</v>
      </c>
      <c r="BC335" s="1" t="e">
        <f ca="1">_xll.BDH($C$328,"TOTAL_CAPITAL_5_YEAR_GROWTH","FQ2 2015","FQ2 2015","Currency=INR","Period=FQ","BEST_FPERIOD_OVERRIDE=FQ","FILING_STATUS=OR","EQY_CONSOLIDATED=Y","Sort=A","Dates=H","DateFormat=P","Fill=—","Direction=H","UseDPDF=Y")</f>
        <v>#NAME?</v>
      </c>
      <c r="BD335" s="1" t="e">
        <f ca="1">_xll.BDH($C$328,"GEO_GROW_BOOK_VAL","FQ2 2015","FQ2 2015","Currency=INR","Period=FQ","BEST_FPERIOD_OVERRIDE=FQ","FILING_STATUS=OR","EQY_CONSOLIDATED=Y","Sort=A","Dates=H","DateFormat=P","Fill=—","Direction=H","UseDPDF=Y")</f>
        <v>#NAME?</v>
      </c>
      <c r="BE335" s="1" t="e">
        <f ca="1">_xll.BDH($C$328,"GEO_GROW_CASH_OPER_ACT","FQ2 2015","FQ2 2015","Currency=INR","Period=FQ","BEST_FPERIOD_OVERRIDE=FQ","FILING_STATUS=OR","EQY_CONSOLIDATED=Y","Sort=A","Dates=H","DateFormat=P","Fill=—","Direction=H","UseDPDF=Y")</f>
        <v>#NAME?</v>
      </c>
      <c r="BF335" s="1" t="e">
        <f ca="1">_xll.BDH($C$328,"REVENUE_SEQUENTIAL_GROWTH","FQ2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35" s="1" t="e">
        <f ca="1">_xll.BDH($C$328,"EBITDA_SEQUENTIAL_GROWTH","FQ2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35" s="1" t="e">
        <f ca="1">_xll.BDH($C$328,"OPERATING_INCOME_SEQ_GROWTH","FQ2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35" s="1" t="e">
        <f ca="1">_xll.BDH($C$328,"NET_INCOME_TO_COMMON_SEQ_GROWTH","FQ2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35" s="1" t="e">
        <f ca="1">_xll.BDH($C$328,"EPS_DILUTED_SEQUENTIAL_GROWTH","FQ2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35" s="1" t="e">
        <f ca="1">_xll.BDH($C$328,"DPS_SEQUENTIAL_GROWTH","FQ2 2015","FQ2 2015","Currency=INR","Period=FQ","BEST_FPERIOD_OVERRIDE=FQ","FILING_STATUS=OR","EQY_CONSOLIDATED=Y","Sort=A","Dates=H","DateFormat=P","Fill=—","Direction=H","UseDPDF=Y")</f>
        <v>#NAME?</v>
      </c>
      <c r="BL335" s="1" t="e">
        <f ca="1">_xll.BDH($C$328,"ACCOUNTS_RECEIVABLE_SEQ_GROWTH","FQ2 2015","FQ2 2015","Currency=INR","Period=FQ","BEST_FPERIOD_OVERRIDE=FQ","FILING_STATUS=OR","EQY_CONSOLIDATED=Y","Sort=A","Dates=H","DateFormat=P","Fill=—","Direction=H","UseDPDF=Y")</f>
        <v>#NAME?</v>
      </c>
      <c r="BM335" s="1" t="e">
        <f ca="1">_xll.BDH($C$328,"INVENTORY_SEQUENTIAL_GROWTH","FQ2 2015","FQ2 2015","Currency=INR","Period=FQ","BEST_FPERIOD_OVERRIDE=FQ","FILING_STATUS=OR","EQY_CONSOLIDATED=Y","Sort=A","Dates=H","DateFormat=P","Fill=—","Direction=H","UseDPDF=Y")</f>
        <v>#NAME?</v>
      </c>
      <c r="BN335" s="1" t="e">
        <f ca="1">_xll.BDH($C$328,"FIXED_ASSETS_SEQUENTIAL_GROWTH","FQ2 2015","FQ2 2015","Currency=INR","Period=FQ","BEST_FPERIOD_OVERRIDE=FQ","FILING_STATUS=OR","EQY_CONSOLIDATED=Y","Sort=A","Dates=H","DateFormat=P","Fill=—","Direction=H","UseDPDF=Y")</f>
        <v>#NAME?</v>
      </c>
      <c r="BO335" s="1" t="e">
        <f ca="1">_xll.BDH($C$328,"TOTAL_ASSETS_SEQUENTIAL_GROWTH","FQ2 2015","FQ2 2015","Currency=INR","Period=FQ","BEST_FPERIOD_OVERRIDE=FQ","FILING_STATUS=OR","EQY_CONSOLIDATED=Y","Sort=A","Dates=H","DateFormat=P","Fill=—","Direction=H","UseDPDF=Y")</f>
        <v>#NAME?</v>
      </c>
      <c r="BP335" s="1" t="e">
        <f ca="1">_xll.BDH($C$328,"MODIFIED_WORKING_CPTL_SEQ_GRWTH","FQ2 2015","FQ2 2015","Currency=INR","Period=FQ","BEST_FPERIOD_OVERRIDE=FQ","FILING_STATUS=OR","EQY_CONSOLIDATED=Y","Sort=A","Dates=H","DateFormat=P","Fill=—","Direction=H","UseDPDF=Y")</f>
        <v>#NAME?</v>
      </c>
      <c r="BQ335" s="1" t="e">
        <f ca="1">_xll.BDH($C$328,"WORKING_CAPITAL_SEQ_GROWTH","FQ2 2015","FQ2 2015","Currency=INR","Period=FQ","BEST_FPERIOD_OVERRIDE=FQ","FILING_STATUS=OR","EQY_CONSOLIDATED=Y","Sort=A","Dates=H","DateFormat=P","Fill=—","Direction=H","UseDPDF=Y")</f>
        <v>#NAME?</v>
      </c>
      <c r="BR335" s="1" t="e">
        <f ca="1">_xll.BDH($C$328,"ACCOUNTS_PAYABLE_SEQ_GROWTH","FQ2 2015","FQ2 2015","Currency=INR","Period=FQ","BEST_FPERIOD_OVERRIDE=FQ","FILING_STATUS=OR","EQY_CONSOLIDATED=Y","Sort=A","Dates=H","DateFormat=P","Fill=—","Direction=H","UseDPDF=Y")</f>
        <v>#NAME?</v>
      </c>
      <c r="BS335" s="1" t="e">
        <f ca="1">_xll.BDH($C$328,"ST_DEBT_SEQUENTIAL_GROWTH","FQ2 2015","FQ2 2015","Currency=INR","Period=FQ","BEST_FPERIOD_OVERRIDE=FQ","FILING_STATUS=OR","EQY_CONSOLIDATED=Y","Sort=A","Dates=H","DateFormat=P","Fill=—","Direction=H","UseDPDF=Y")</f>
        <v>#NAME?</v>
      </c>
      <c r="BT335" s="1" t="e">
        <f ca="1">_xll.BDH($C$328,"TOTAL_DEBT_SEQUENTIAL_GROWTH","FQ2 2015","FQ2 2015","Currency=INR","Period=FQ","BEST_FPERIOD_OVERRIDE=FQ","FILING_STATUS=OR","EQY_CONSOLIDATED=Y","Sort=A","Dates=H","DateFormat=P","Fill=—","Direction=H","UseDPDF=Y")</f>
        <v>#NAME?</v>
      </c>
      <c r="BU335" s="1" t="e">
        <f ca="1">_xll.BDH($C$328,"TOTAL_EQUITY_SEQUENTIAL_GROWTH","FQ2 2015","FQ2 2015","Currency=INR","Period=FQ","BEST_FPERIOD_OVERRIDE=FQ","FILING_STATUS=OR","EQY_CONSOLIDATED=Y","Sort=A","Dates=H","DateFormat=P","Fill=—","Direction=H","UseDPDF=Y")</f>
        <v>#NAME?</v>
      </c>
      <c r="BV335" s="1" t="e">
        <f ca="1">_xll.BDH($C$328,"TOTAL_CAPITAL_SEQUENTIAL_GROWTH","FQ2 2015","FQ2 2015","Currency=INR","Period=FQ","BEST_FPERIOD_OVERRIDE=FQ","FILING_STATUS=OR","EQY_CONSOLIDATED=Y","Sort=A","Dates=H","DateFormat=P","Fill=—","Direction=H","UseDPDF=Y")</f>
        <v>#NAME?</v>
      </c>
      <c r="BW335" s="1" t="e">
        <f ca="1">_xll.BDH($C$328,"BPS_SEQUENTIAL_GROWTH","FQ2 2015","FQ2 2015","Currency=INR","Period=FQ","BEST_FPERIOD_OVERRIDE=FQ","FILING_STATUS=OR","EQY_CONSOLIDATED=Y","Sort=A","Dates=H","DateFormat=P","Fill=—","Direction=H","UseDPDF=Y")</f>
        <v>#NAME?</v>
      </c>
      <c r="BX335" s="1" t="e">
        <f ca="1">_xll.BDH($C$328,"CFO_SEQUENTIAL_GROWTH","FQ2 2015","FQ2 2015","Currency=INR","Period=FQ","BEST_FPERIOD_OVERRIDE=FQ","FILING_STATUS=OR","EQY_CONSOLIDATED=Y","Sort=A","Dates=H","DateFormat=P","Fill=—","Direction=H","UseDPDF=Y")</f>
        <v>#NAME?</v>
      </c>
      <c r="BY335" s="2" t="e">
        <f ca="1">_xll.BDH($C$328,"SHORT_AND_LONG_TERM_DEBT","FQ2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35" s="2" t="e">
        <f ca="1">_xll.BDH($C$328,"BS_ST_BORROW","FQ2 2015","FQ2 2015","Currency=INR","Period=FQ","BEST_FPERIOD_OVERRIDE=FQ","FILING_STATUS=OR","EQY_CONSOLIDATED=Y","SCALING_FORMAT=MLN","Sort=A","Dates=H","DateFormat=P","Fill=—","Direction=H","UseDPDF=Y")</f>
        <v>#NAME?</v>
      </c>
      <c r="CA335" s="2" t="e">
        <f ca="1">_xll.BDH($C$328,"BS_LT_BORROW","FQ2 2015","FQ2 2015","Currency=INR","Period=FQ","BEST_FPERIOD_OVERRIDE=FQ","FILING_STATUS=OR","EQY_CONSOLIDATED=Y","SCALING_FORMAT=MLN","Sort=A","Dates=H","DateFormat=P","Fill=—","Direction=H","UseDPDF=Y")</f>
        <v>#NAME?</v>
      </c>
      <c r="CB335" s="1" t="e">
        <f ca="1">_xll.BDH($C$328,"TOT_DEBT_TO_EBITDA","FQ2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35" s="1" t="e">
        <f ca="1">_xll.BDH($C$328,"NET_DEBT_TO_EBITDA","FQ2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35" s="1" t="e">
        <f ca="1">_xll.BDH($C$328,"TOTAL_DEBT_TO_EBIT","FQ2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35" s="1" t="e">
        <f ca="1">_xll.BDH($C$328,"NET_DEBT_TO_EBIT","FQ2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335" s="1" t="e">
        <f ca="1">_xll.BDH($C$328,"EBITDA_TO_INTEREST_EXPN","FQ2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35" s="1" t="e">
        <f ca="1">_xll.BDH($C$328,"COM_EQY_TO_TOT_ASSET","FQ2 2015","FQ2 2015","Currency=INR","Period=FQ","BEST_FPERIOD_OVERRIDE=FQ","FILING_STATUS=OR","EQY_CONSOLIDATED=Y","Sort=A","Dates=H","DateFormat=P","Fill=—","Direction=H","UseDPDF=Y")</f>
        <v>#NAME?</v>
      </c>
      <c r="CH335" s="1" t="e">
        <f ca="1">_xll.BDH($C$328,"LT_DEBT_TO_TOT_EQY","FQ2 2015","FQ2 2015","Currency=INR","Period=FQ","BEST_FPERIOD_OVERRIDE=FQ","FILING_STATUS=OR","EQY_CONSOLIDATED=Y","Sort=A","Dates=H","DateFormat=P","Fill=—","Direction=H","UseDPDF=Y")</f>
        <v>#NAME?</v>
      </c>
      <c r="CI335" s="1" t="e">
        <f ca="1">_xll.BDH($C$328,"LT_DEBT_TO_TOT_CAP","FQ2 2015","FQ2 2015","Currency=INR","Period=FQ","BEST_FPERIOD_OVERRIDE=FQ","FILING_STATUS=OR","EQY_CONSOLIDATED=Y","Sort=A","Dates=H","DateFormat=P","Fill=—","Direction=H","UseDPDF=Y")</f>
        <v>#NAME?</v>
      </c>
      <c r="CJ335" s="1" t="e">
        <f ca="1">_xll.BDH($C$328,"LT_DEBT_TO_TOT_ASSET","FQ2 2015","FQ2 2015","Currency=INR","Period=FQ","BEST_FPERIOD_OVERRIDE=FQ","FILING_STATUS=OR","EQY_CONSOLIDATED=Y","Sort=A","Dates=H","DateFormat=P","Fill=—","Direction=H","UseDPDF=Y")</f>
        <v>#NAME?</v>
      </c>
      <c r="CK335" s="1" t="e">
        <f ca="1">_xll.BDH($C$328,"TOT_DEBT_TO_TOT_EQY","FQ2 2015","FQ2 2015","Currency=INR","Period=FQ","BEST_FPERIOD_OVERRIDE=FQ","FILING_STATUS=OR","EQY_CONSOLIDATED=Y","Sort=A","Dates=H","DateFormat=P","Fill=—","Direction=H","UseDPDF=Y")</f>
        <v>#NAME?</v>
      </c>
      <c r="CL335" s="1" t="e">
        <f ca="1">_xll.BDH($C$328,"TOT_DEBT_TO_TOT_CAP","FQ2 2015","FQ2 2015","Currency=INR","Period=FQ","BEST_FPERIOD_OVERRIDE=FQ","FILING_STATUS=OR","EQY_CONSOLIDATED=Y","Sort=A","Dates=H","DateFormat=P","Fill=—","Direction=H","UseDPDF=Y")</f>
        <v>#NAME?</v>
      </c>
      <c r="CM335" s="1" t="e">
        <f ca="1">_xll.BDH($C$328,"TOT_DEBT_TO_TOT_ASSET","FQ2 2015","FQ2 2015","Currency=INR","Period=FQ","BEST_FPERIOD_OVERRIDE=FQ","FILING_STATUS=OR","EQY_CONSOLIDATED=Y","Sort=A","Dates=H","DateFormat=P","Fill=—","Direction=H","UseDPDF=Y")</f>
        <v>#NAME?</v>
      </c>
      <c r="CN335" s="1" t="e">
        <f ca="1">_xll.BDH($C$328,"NET_DEBT_TO_SHRHLDR_EQTY","FQ2 2015","FQ2 2015","Currency=INR","Period=FQ","BEST_FPERIOD_OVERRIDE=FQ","FILING_STATUS=OR","EQY_CONSOLIDATED=Y","Sort=A","Dates=H","DateFormat=P","Fill=—","Direction=H","UseDPDF=Y")</f>
        <v>#NAME?</v>
      </c>
      <c r="CO335" s="1" t="e">
        <f ca="1">_xll.BDH($C$328,"NET_DEBT_%_CAPITAL","FQ2 2015","FQ2 2015","Currency=INR","Period=FQ","BEST_FPERIOD_OVERRIDE=FQ","FILING_STATUS=OR","EQY_CONSOLIDATED=Y","Sort=A","Dates=H","DateFormat=P","Fill=—","Direction=H","UseDPDF=Y")</f>
        <v>#NAME?</v>
      </c>
      <c r="CP335" s="2" t="e">
        <f ca="1">_xll.BDH($C$328,"EBITDA","FQ2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35" s="2" t="e">
        <f ca="1">_xll.BDH($C$328,"EBITDA_AFTER_CAPEX","FQ2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35" s="2" t="e">
        <f ca="1">_xll.BDH($C$328,"IS_OPER_INC","FQ2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35" s="1" t="e">
        <f ca="1">_xll.BDH($C$328,"CASH_RATIO","FQ2 2015","FQ2 2015","Currency=INR","Period=FQ","BEST_FPERIOD_OVERRIDE=FQ","FILING_STATUS=OR","EQY_CONSOLIDATED=Y","Sort=A","Dates=H","DateFormat=P","Fill=—","Direction=H","UseDPDF=Y")</f>
        <v>#NAME?</v>
      </c>
      <c r="CT335" s="1" t="e">
        <f ca="1">_xll.BDH($C$328,"CUR_RATIO","FQ2 2015","FQ2 2015","Currency=INR","Period=FQ","BEST_FPERIOD_OVERRIDE=FQ","FILING_STATUS=OR","EQY_CONSOLIDATED=Y","Sort=A","Dates=H","DateFormat=P","Fill=—","Direction=H","UseDPDF=Y")</f>
        <v>#NAME?</v>
      </c>
      <c r="CU335" s="1" t="e">
        <f ca="1">_xll.BDH($C$328,"QUICK_RATIO","FQ2 2015","FQ2 2015","Currency=INR","Period=FQ","BEST_FPERIOD_OVERRIDE=FQ","FILING_STATUS=OR","EQY_CONSOLIDATED=Y","Sort=A","Dates=H","DateFormat=P","Fill=—","Direction=H","UseDPDF=Y")</f>
        <v>#NAME?</v>
      </c>
      <c r="CV335" s="1" t="e">
        <f ca="1">_xll.BDH($C$328,"ALTMAN_Z_SCORE","FQ2 2015","FQ2 2015","Currency=INR","Period=FQ","BEST_FPERIOD_OVERRIDE=FQ","FILING_STATUS=OR","EQY_CONSOLIDATED=Y","Sort=A","Dates=H","DateFormat=P","Fill=—","Direction=H","UseDPDF=Y")</f>
        <v>#NAME?</v>
      </c>
      <c r="CW335" s="3" t="e">
        <f ca="1">_xll.BDH($C$328,"ACCT_RCV_TURN","FQ2 2015","FQ2 2015","Currency=INR","Period=FQ","BEST_FPERIOD_OVERRIDE=FQ","FILING_STATUS=OR","EQY_CONSOLIDATED=Y","FA_ADJUSTED=GAAP","Sort=A","Dates=H","DateFormat=P","Fill=—","Direction=H","UseDPDF=Y")</f>
        <v>#NAME?</v>
      </c>
      <c r="CX335" s="1" t="e">
        <f ca="1">_xll.BDH($C$328,"ACCT_RCV_DAYS","FQ2 2015","FQ2 2015","Currency=INR","Period=FQ","BEST_FPERIOD_OVERRIDE=FQ","FILING_STATUS=OR","EQY_CONSOLIDATED=Y","FA_ADJUSTED=GAAP","Sort=A","Dates=H","DateFormat=P","Fill=—","Direction=H","UseDPDF=Y")</f>
        <v>#NAME?</v>
      </c>
      <c r="CY335" s="3" t="e">
        <f ca="1">_xll.BDH($C$328,"INVENT_TURN","FQ2 2015","FQ2 2015","Currency=INR","Period=FQ","BEST_FPERIOD_OVERRIDE=FQ","FILING_STATUS=OR","EQY_CONSOLIDATED=Y","FA_ADJUSTED=GAAP","Sort=A","Dates=H","DateFormat=P","Fill=—","Direction=H","UseDPDF=Y")</f>
        <v>#NAME?</v>
      </c>
      <c r="CZ335" s="1" t="e">
        <f ca="1">_xll.BDH($C$328,"INVENT_DAYS","FQ2 2015","FQ2 2015","Currency=INR","Period=FQ","BEST_FPERIOD_OVERRIDE=FQ","FILING_STATUS=OR","EQY_CONSOLIDATED=Y","FA_ADJUSTED=GAAP","Sort=A","Dates=H","DateFormat=P","Fill=—","Direction=H","UseDPDF=Y")</f>
        <v>#NAME?</v>
      </c>
      <c r="DA335" s="3" t="e">
        <f ca="1">_xll.BDH($C$328,"ACCOUNTS_PAYABLE_TURNOVER","FQ2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35" s="1" t="e">
        <f ca="1">_xll.BDH($C$328,"ACCOUNTS_PAYABLE_TURNOVER_DAYS","FQ2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35" s="3" t="e">
        <f ca="1">_xll.BDH($C$328,"CASH_CONVERSION_CYCLE","FQ2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35" s="3" t="e">
        <f ca="1">_xll.BDH($C$328,"INV_TO_CASH_DAYS","FQ2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335" s="4" t="e">
        <f ca="1">_xll.BDH($C$328,"BS_INVENTORIES","FQ2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335" s="2" t="e">
        <f ca="1">_xll.BDH($C$328,"INVTRY_RAW_MATERIALS","FQ2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35" s="2" t="e">
        <f ca="1">_xll.BDH($C$328,"INVTRY_IN_PROGRESS","FQ2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35" s="2" t="e">
        <f ca="1">_xll.BDH($C$328,"INVTRY_FINISHED_GOODS","FQ2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35" s="2" t="e">
        <f ca="1">_xll.BDH($C$328,"BS_OTHER_INV","FQ2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36" spans="1:113" x14ac:dyDescent="0.3">
      <c r="A336" s="6"/>
      <c r="B336" s="6"/>
      <c r="C336" s="6"/>
      <c r="D336" s="6"/>
      <c r="E336" t="s">
        <v>6</v>
      </c>
      <c r="F336" t="e">
        <f ca="1">_xll.BDH($C$328,"RETURN_COM_EQY","FQ3 2015","FQ3 2015","Currency=INR","Period=FQ","BEST_FPERIOD_OVERRIDE=FQ","FILING_STATUS=OR","EQY_CONSOLIDATED=Y","FA_ADJUSTED=GAAP","Sort=A","Dates=H","DateFormat=P","Fill=—","Direction=H","UseDPDF=Y")</f>
        <v>#NAME?</v>
      </c>
      <c r="G336" t="e">
        <f ca="1">_xll.BDH($C$328,"RETURN_ON_ASSET","FQ3 2015","FQ3 2015","Currency=INR","Period=FQ","BEST_FPERIOD_OVERRIDE=FQ","FILING_STATUS=OR","EQY_CONSOLIDATED=Y","FA_ADJUSTED=GAAP","Sort=A","Dates=H","DateFormat=P","Fill=—","Direction=H","UseDPDF=Y")</f>
        <v>#NAME?</v>
      </c>
      <c r="H336" t="e">
        <f ca="1">_xll.BDH($C$328,"RETURN_ON_CAP","FQ3 2015","FQ3 2015","Currency=INR","Period=FQ","BEST_FPERIOD_OVERRIDE=FQ","FILING_STATUS=OR","EQY_CONSOLIDATED=Y","FA_ADJUSTED=GAAP","Sort=A","Dates=H","DateFormat=P","Fill=—","Direction=H","UseDPDF=Y")</f>
        <v>#NAME?</v>
      </c>
      <c r="I336" t="e">
        <f ca="1">_xll.BDH($C$328,"RETURN_ON_INV_CAPITAL","FQ3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36" t="e">
        <f ca="1">_xll.BDH($C$328,"EBITDA_TO_REVENUE","FQ3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336" t="e">
        <f ca="1">_xll.BDH($C$328,"OPER_MARGIN","FQ3 2015","FQ3 2015","Currency=INR","Period=FQ","BEST_FPERIOD_OVERRIDE=FQ","FILING_STATUS=OR","EQY_CONSOLIDATED=Y","FA_ADJUSTED=GAAP","Sort=A","Dates=H","DateFormat=P","Fill=—","Direction=H","UseDPDF=Y")</f>
        <v>#NAME?</v>
      </c>
      <c r="L336" t="e">
        <f ca="1">_xll.BDH($C$328,"INCREMENTAL_OPERATING_MARGIN","FQ3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36" t="e">
        <f ca="1">_xll.BDH($C$328,"PRETAX_INC_TO_NET_SALES","FQ3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36" t="e">
        <f ca="1">_xll.BDH($C$328,"INC_BEF_XO_ITEMS_TO_NET_SALES","FQ3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36" t="e">
        <f ca="1">_xll.BDH($C$328,"PROF_MARGIN","FQ3 2015","FQ3 2015","Currency=INR","Period=FQ","BEST_FPERIOD_OVERRIDE=FQ","FILING_STATUS=OR","EQY_CONSOLIDATED=Y","FA_ADJUSTED=GAAP","Sort=A","Dates=H","DateFormat=P","Fill=—","Direction=H","UseDPDF=Y")</f>
        <v>#NAME?</v>
      </c>
      <c r="P336" t="e">
        <f ca="1">_xll.BDH($C$328,"NET_INCOME_TO_COMMON_MARGIN","FQ3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36" t="e">
        <f ca="1">_xll.BDH($C$328,"EFF_TAX_RATE","FQ3 2015","FQ3 2015","Currency=INR","Period=FQ","BEST_FPERIOD_OVERRIDE=FQ","FILING_STATUS=OR","EQY_CONSOLIDATED=Y","FA_ADJUSTED=GAAP","Sort=A","Dates=H","DateFormat=P","Fill=—","Direction=H","UseDPDF=Y")</f>
        <v>#NAME?</v>
      </c>
      <c r="R336" t="e">
        <f ca="1">_xll.BDH($C$328,"DVD_PAYOUT_RATIO","FQ3 2015","FQ3 2015","Currency=INR","Period=FQ","BEST_FPERIOD_OVERRIDE=FQ","FILING_STATUS=OR","EQY_CONSOLIDATED=Y","FA_ADJUSTED=GAAP","Sort=A","Dates=H","DateFormat=P","Fill=—","Direction=H","UseDPDF=Y")</f>
        <v>#NAME?</v>
      </c>
      <c r="S336" t="e">
        <f ca="1">_xll.BDH($C$328,"SUSTAIN_GROWTH_RT","FQ3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336" s="1" t="e">
        <f ca="1">_xll.BDH($C$328,"SALES_GROWTH","FQ3 2015","FQ3 2015","Currency=INR","Period=FQ","BEST_FPERIOD_OVERRIDE=FQ","FILING_STATUS=OR","EQY_CONSOLIDATED=Y","FA_ADJUSTED=GAAP","Sort=A","Dates=H","DateFormat=P","Fill=—","Direction=H","UseDPDF=Y")</f>
        <v>#NAME?</v>
      </c>
      <c r="U336" s="1" t="e">
        <f ca="1">_xll.BDH($C$328,"EBITDA_GROWTH","FQ3 2015","FQ3 2015","Currency=INR","Period=FQ","BEST_FPERIOD_OVERRIDE=FQ","FILING_STATUS=OR","EQY_CONSOLIDATED=Y","FA_ADJUSTED=GAAP","Sort=A","Dates=H","DateFormat=P","Fill=—","Direction=H","UseDPDF=Y")</f>
        <v>#NAME?</v>
      </c>
      <c r="V336" s="1" t="e">
        <f ca="1">_xll.BDH($C$328,"OPER_INC_GROWTH","FQ3 2015","FQ3 2015","Currency=INR","Period=FQ","BEST_FPERIOD_OVERRIDE=FQ","FILING_STATUS=OR","EQY_CONSOLIDATED=Y","FA_ADJUSTED=GAAP","Sort=A","Dates=H","DateFormat=P","Fill=—","Direction=H","UseDPDF=Y")</f>
        <v>#NAME?</v>
      </c>
      <c r="W336" s="1" t="e">
        <f ca="1">_xll.BDH($C$328,"EARN_FOR_COM_GROWTH","FQ3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36" s="1" t="e">
        <f ca="1">_xll.BDH($C$328,"DILUTED_EPS_AFT_XO_ITEMS_GROWTH","FQ3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36" s="1" t="e">
        <f ca="1">_xll.BDH($C$328,"DIVIDEND_PER_SHARE_1_YEAR_GROWTH","FQ3 2015","FQ3 2015","Currency=INR","Period=FQ","BEST_FPERIOD_OVERRIDE=FQ","FILING_STATUS=OR","EQY_CONSOLIDATED=Y","Sort=A","Dates=H","DateFormat=P","Fill=—","Direction=H","UseDPDF=Y")</f>
        <v>#NAME?</v>
      </c>
      <c r="Z336" s="1" t="e">
        <f ca="1">_xll.BDH($C$328,"ACCOUNTS_RECEIVABLE_GROWTH","FQ3 2015","FQ3 2015","Currency=INR","Period=FQ","BEST_FPERIOD_OVERRIDE=FQ","FILING_STATUS=OR","EQY_CONSOLIDATED=Y","Sort=A","Dates=H","DateFormat=P","Fill=—","Direction=H","UseDPDF=Y")</f>
        <v>#NAME?</v>
      </c>
      <c r="AA336" s="1" t="e">
        <f ca="1">_xll.BDH($C$328,"INVENTORY_GROWTH","FQ3 2015","FQ3 2015","Currency=INR","Period=FQ","BEST_FPERIOD_OVERRIDE=FQ","FILING_STATUS=OR","EQY_CONSOLIDATED=Y","Sort=A","Dates=H","DateFormat=P","Fill=—","Direction=H","UseDPDF=Y")</f>
        <v>#NAME?</v>
      </c>
      <c r="AB336" s="1" t="e">
        <f ca="1">_xll.BDH($C$328,"NET_FIXED_ASSETS_1_YEAR_GROWTH","FQ3 2015","FQ3 2015","Currency=INR","Period=FQ","BEST_FPERIOD_OVERRIDE=FQ","FILING_STATUS=OR","EQY_CONSOLIDATED=Y","Sort=A","Dates=H","DateFormat=P","Fill=—","Direction=H","UseDPDF=Y")</f>
        <v>#NAME?</v>
      </c>
      <c r="AC336" s="1" t="e">
        <f ca="1">_xll.BDH($C$328,"ASSET_GROWTH","FQ3 2015","FQ3 2015","Currency=INR","Period=FQ","BEST_FPERIOD_OVERRIDE=FQ","FILING_STATUS=OR","EQY_CONSOLIDATED=Y","Sort=A","Dates=H","DateFormat=P","Fill=—","Direction=H","UseDPDF=Y")</f>
        <v>#NAME?</v>
      </c>
      <c r="AD336" s="1" t="e">
        <f ca="1">_xll.BDH($C$328,"MODIFIED_WORK_CAP_GROWTH","FQ3 2015","FQ3 2015","Currency=INR","Period=FQ","BEST_FPERIOD_OVERRIDE=FQ","FILING_STATUS=OR","EQY_CONSOLIDATED=Y","Sort=A","Dates=H","DateFormat=P","Fill=—","Direction=H","UseDPDF=Y")</f>
        <v>#NAME?</v>
      </c>
      <c r="AE336" s="1" t="e">
        <f ca="1">_xll.BDH($C$328,"WORK_CAP_GROWTH","FQ3 2015","FQ3 2015","Currency=INR","Period=FQ","BEST_FPERIOD_OVERRIDE=FQ","FILING_STATUS=OR","EQY_CONSOLIDATED=Y","Sort=A","Dates=H","DateFormat=P","Fill=—","Direction=H","UseDPDF=Y")</f>
        <v>#NAME?</v>
      </c>
      <c r="AF336" s="1" t="e">
        <f ca="1">_xll.BDH($C$328,"ACCOUNTS_PAYABLE_GROWTH_1YR","FQ3 2015","FQ3 2015","Currency=INR","Period=FQ","BEST_FPERIOD_OVERRIDE=FQ","FILING_STATUS=OR","EQY_CONSOLIDATED=Y","Sort=A","Dates=H","DateFormat=P","Fill=—","Direction=H","UseDPDF=Y")</f>
        <v>#NAME?</v>
      </c>
      <c r="AG336" s="1" t="e">
        <f ca="1">_xll.BDH($C$328,"SHORT_TERM_DEBT_1_YEAR_GROWTH","FQ3 2015","FQ3 2015","Currency=INR","Period=FQ","BEST_FPERIOD_OVERRIDE=FQ","FILING_STATUS=OR","EQY_CONSOLIDATED=Y","Sort=A","Dates=H","DateFormat=P","Fill=—","Direction=H","UseDPDF=Y")</f>
        <v>#NAME?</v>
      </c>
      <c r="AH336" s="1" t="e">
        <f ca="1">_xll.BDH($C$328,"TOTAL_DEBT_1_YEAR_GROWTH","FQ3 2015","FQ3 2015","Currency=INR","Period=FQ","BEST_FPERIOD_OVERRIDE=FQ","FILING_STATUS=OR","EQY_CONSOLIDATED=Y","Sort=A","Dates=H","DateFormat=P","Fill=—","Direction=H","UseDPDF=Y")</f>
        <v>#NAME?</v>
      </c>
      <c r="AI336" s="1" t="e">
        <f ca="1">_xll.BDH($C$328,"TOTAL_EQUITY_1_YEAR_GROWTH","FQ3 2015","FQ3 2015","Currency=INR","Period=FQ","BEST_FPERIOD_OVERRIDE=FQ","FILING_STATUS=OR","EQY_CONSOLIDATED=Y","Sort=A","Dates=H","DateFormat=P","Fill=—","Direction=H","UseDPDF=Y")</f>
        <v>#NAME?</v>
      </c>
      <c r="AJ336" s="1" t="e">
        <f ca="1">_xll.BDH($C$328,"GROWTH_IN_CAP","FQ3 2015","FQ3 2015","Currency=INR","Period=FQ","BEST_FPERIOD_OVERRIDE=FQ","FILING_STATUS=OR","EQY_CONSOLIDATED=Y","Sort=A","Dates=H","DateFormat=P","Fill=—","Direction=H","UseDPDF=Y")</f>
        <v>#NAME?</v>
      </c>
      <c r="AK336" s="1" t="e">
        <f ca="1">_xll.BDH($C$328,"BVPS_GROWTH","FQ3 2015","FQ3 2015","Currency=INR","Period=FQ","BEST_FPERIOD_OVERRIDE=FQ","FILING_STATUS=OR","EQY_CONSOLIDATED=Y","Sort=A","Dates=H","DateFormat=P","Fill=—","Direction=H","UseDPDF=Y")</f>
        <v>#NAME?</v>
      </c>
      <c r="AL336" s="1" t="e">
        <f ca="1">_xll.BDH($C$328,"CASH_FLOW_GROWTH","FQ3 2015","FQ3 2015","Currency=INR","Period=FQ","BEST_FPERIOD_OVERRIDE=FQ","FILING_STATUS=OR","EQY_CONSOLIDATED=Y","Sort=A","Dates=H","DateFormat=P","Fill=—","Direction=H","UseDPDF=Y")</f>
        <v>#NAME?</v>
      </c>
      <c r="AM336" s="1" t="e">
        <f ca="1">_xll.BDH($C$328,"GEO_GROW_NET_SALES","FQ3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36" s="1" t="e">
        <f ca="1">_xll.BDH($C$328,"GEO_GROW_EBITDA","FQ3 2015","FQ3 2015","Currency=INR","Period=FQ","BEST_FPERIOD_OVERRIDE=FQ","FILING_STATUS=OR","EQY_CONSOLIDATED=Y","FA_ADJUSTED=GAAP","Sort=A","Dates=H","DateFormat=P","Fill=—","Direction=H","UseDPDF=Y")</f>
        <v>#NAME?</v>
      </c>
      <c r="AO336" s="1" t="e">
        <f ca="1">_xll.BDH($C$328,"GEO_GROW_OPER_INC","FQ3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36" s="1" t="e">
        <f ca="1">_xll.BDH($C$328,"NET_INCOME_TO_COMMON_5_YR_GROWTH","FQ3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36" s="1" t="e">
        <f ca="1">_xll.BDH($C$328,"5Y_GEO_GROWTH_DILUTED_EPS","FQ3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36" s="1" t="e">
        <f ca="1">_xll.BDH($C$328,"GEO_GROW_DVD_PER_SH","FQ3 2015","FQ3 2015","Currency=INR","Period=FQ","BEST_FPERIOD_OVERRIDE=FQ","FILING_STATUS=OR","EQY_CONSOLIDATED=Y","Sort=A","Dates=H","DateFormat=P","Fill=—","Direction=H","UseDPDF=Y")</f>
        <v>#NAME?</v>
      </c>
      <c r="AS336" s="1" t="e">
        <f ca="1">_xll.BDH($C$328,"ACCOUNTS_RECEIVABLE_5_YR_GROWTH","FQ3 2015","FQ3 2015","Currency=INR","Period=FQ","BEST_FPERIOD_OVERRIDE=FQ","FILING_STATUS=OR","EQY_CONSOLIDATED=Y","Sort=A","Dates=H","DateFormat=P","Fill=—","Direction=H","UseDPDF=Y")</f>
        <v>#NAME?</v>
      </c>
      <c r="AT336" s="1" t="e">
        <f ca="1">_xll.BDH($C$328,"INVENTORY_5_YEAR_GROWTH","FQ3 2015","FQ3 2015","Currency=INR","Period=FQ","BEST_FPERIOD_OVERRIDE=FQ","FILING_STATUS=OR","EQY_CONSOLIDATED=Y","Sort=A","Dates=H","DateFormat=P","Fill=—","Direction=H","UseDPDF=Y")</f>
        <v>#NAME?</v>
      </c>
      <c r="AU336" s="1" t="e">
        <f ca="1">_xll.BDH($C$328,"NET_FIXED_ASSETS_5_YEAR_GROWTH","FQ3 2015","FQ3 2015","Currency=INR","Period=FQ","BEST_FPERIOD_OVERRIDE=FQ","FILING_STATUS=OR","EQY_CONSOLIDATED=Y","Sort=A","Dates=H","DateFormat=P","Fill=—","Direction=H","UseDPDF=Y")</f>
        <v>#NAME?</v>
      </c>
      <c r="AV336" s="1" t="e">
        <f ca="1">_xll.BDH($C$328,"GEO_GROW_TOT_ASSET","FQ3 2015","FQ3 2015","Currency=INR","Period=FQ","BEST_FPERIOD_OVERRIDE=FQ","FILING_STATUS=OR","EQY_CONSOLIDATED=Y","Sort=A","Dates=H","DateFormat=P","Fill=—","Direction=H","UseDPDF=Y")</f>
        <v>#NAME?</v>
      </c>
      <c r="AW336" s="1" t="e">
        <f ca="1">_xll.BDH($C$328,"MODIFIED_WORKING_CPTL_5YR_GRWTH","FQ3 2015","FQ3 2015","Currency=INR","Period=FQ","BEST_FPERIOD_OVERRIDE=FQ","FILING_STATUS=OR","EQY_CONSOLIDATED=Y","Sort=A","Dates=H","DateFormat=P","Fill=—","Direction=H","UseDPDF=Y")</f>
        <v>#NAME?</v>
      </c>
      <c r="AX336" s="1" t="e">
        <f ca="1">_xll.BDH($C$328,"WORKING_CAPITAL_5_YEAR_GROWTH","FQ3 2015","FQ3 2015","Currency=INR","Period=FQ","BEST_FPERIOD_OVERRIDE=FQ","FILING_STATUS=OR","EQY_CONSOLIDATED=Y","Sort=A","Dates=H","DateFormat=P","Fill=—","Direction=H","UseDPDF=Y")</f>
        <v>#NAME?</v>
      </c>
      <c r="AY336" s="1" t="e">
        <f ca="1">_xll.BDH($C$328,"ACCOUNTS_PAYABLE_5_YEAR_GROWTH","FQ3 2015","FQ3 2015","Currency=INR","Period=FQ","BEST_FPERIOD_OVERRIDE=FQ","FILING_STATUS=OR","EQY_CONSOLIDATED=Y","Sort=A","Dates=H","DateFormat=P","Fill=—","Direction=H","UseDPDF=Y")</f>
        <v>#NAME?</v>
      </c>
      <c r="AZ336" s="1" t="e">
        <f ca="1">_xll.BDH($C$328,"SHORT_TERM_DEBT_5_YEAR_GROWTH","FQ3 2015","FQ3 2015","Currency=INR","Period=FQ","BEST_FPERIOD_OVERRIDE=FQ","FILING_STATUS=OR","EQY_CONSOLIDATED=Y","Sort=A","Dates=H","DateFormat=P","Fill=—","Direction=H","UseDPDF=Y")</f>
        <v>#NAME?</v>
      </c>
      <c r="BA336" s="1" t="e">
        <f ca="1">_xll.BDH($C$328,"TOTAL_DEBT_5_YEAR_GROWTH","FQ3 2015","FQ3 2015","Currency=INR","Period=FQ","BEST_FPERIOD_OVERRIDE=FQ","FILING_STATUS=OR","EQY_CONSOLIDATED=Y","Sort=A","Dates=H","DateFormat=P","Fill=—","Direction=H","UseDPDF=Y")</f>
        <v>#NAME?</v>
      </c>
      <c r="BB336" s="1" t="e">
        <f ca="1">_xll.BDH($C$328,"GEO_GROW_TOT_SHRHLDR_EQY","FQ3 2015","FQ3 2015","Currency=INR","Period=FQ","BEST_FPERIOD_OVERRIDE=FQ","FILING_STATUS=OR","EQY_CONSOLIDATED=Y","Sort=A","Dates=H","DateFormat=P","Fill=—","Direction=H","UseDPDF=Y")</f>
        <v>#NAME?</v>
      </c>
      <c r="BC336" s="1" t="e">
        <f ca="1">_xll.BDH($C$328,"TOTAL_CAPITAL_5_YEAR_GROWTH","FQ3 2015","FQ3 2015","Currency=INR","Period=FQ","BEST_FPERIOD_OVERRIDE=FQ","FILING_STATUS=OR","EQY_CONSOLIDATED=Y","Sort=A","Dates=H","DateFormat=P","Fill=—","Direction=H","UseDPDF=Y")</f>
        <v>#NAME?</v>
      </c>
      <c r="BD336" s="1" t="e">
        <f ca="1">_xll.BDH($C$328,"GEO_GROW_BOOK_VAL","FQ3 2015","FQ3 2015","Currency=INR","Period=FQ","BEST_FPERIOD_OVERRIDE=FQ","FILING_STATUS=OR","EQY_CONSOLIDATED=Y","Sort=A","Dates=H","DateFormat=P","Fill=—","Direction=H","UseDPDF=Y")</f>
        <v>#NAME?</v>
      </c>
      <c r="BE336" s="1" t="e">
        <f ca="1">_xll.BDH($C$328,"GEO_GROW_CASH_OPER_ACT","FQ3 2015","FQ3 2015","Currency=INR","Period=FQ","BEST_FPERIOD_OVERRIDE=FQ","FILING_STATUS=OR","EQY_CONSOLIDATED=Y","Sort=A","Dates=H","DateFormat=P","Fill=—","Direction=H","UseDPDF=Y")</f>
        <v>#NAME?</v>
      </c>
      <c r="BF336" s="1" t="e">
        <f ca="1">_xll.BDH($C$328,"REVENUE_SEQUENTIAL_GROWTH","FQ3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36" s="1" t="e">
        <f ca="1">_xll.BDH($C$328,"EBITDA_SEQUENTIAL_GROWTH","FQ3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36" s="1" t="e">
        <f ca="1">_xll.BDH($C$328,"OPERATING_INCOME_SEQ_GROWTH","FQ3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36" s="1" t="e">
        <f ca="1">_xll.BDH($C$328,"NET_INCOME_TO_COMMON_SEQ_GROWTH","FQ3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36" s="1" t="e">
        <f ca="1">_xll.BDH($C$328,"EPS_DILUTED_SEQUENTIAL_GROWTH","FQ3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36" s="1" t="e">
        <f ca="1">_xll.BDH($C$328,"DPS_SEQUENTIAL_GROWTH","FQ3 2015","FQ3 2015","Currency=INR","Period=FQ","BEST_FPERIOD_OVERRIDE=FQ","FILING_STATUS=OR","EQY_CONSOLIDATED=Y","Sort=A","Dates=H","DateFormat=P","Fill=—","Direction=H","UseDPDF=Y")</f>
        <v>#NAME?</v>
      </c>
      <c r="BL336" s="1" t="e">
        <f ca="1">_xll.BDH($C$328,"ACCOUNTS_RECEIVABLE_SEQ_GROWTH","FQ3 2015","FQ3 2015","Currency=INR","Period=FQ","BEST_FPERIOD_OVERRIDE=FQ","FILING_STATUS=OR","EQY_CONSOLIDATED=Y","Sort=A","Dates=H","DateFormat=P","Fill=—","Direction=H","UseDPDF=Y")</f>
        <v>#NAME?</v>
      </c>
      <c r="BM336" s="1" t="e">
        <f ca="1">_xll.BDH($C$328,"INVENTORY_SEQUENTIAL_GROWTH","FQ3 2015","FQ3 2015","Currency=INR","Period=FQ","BEST_FPERIOD_OVERRIDE=FQ","FILING_STATUS=OR","EQY_CONSOLIDATED=Y","Sort=A","Dates=H","DateFormat=P","Fill=—","Direction=H","UseDPDF=Y")</f>
        <v>#NAME?</v>
      </c>
      <c r="BN336" s="1" t="e">
        <f ca="1">_xll.BDH($C$328,"FIXED_ASSETS_SEQUENTIAL_GROWTH","FQ3 2015","FQ3 2015","Currency=INR","Period=FQ","BEST_FPERIOD_OVERRIDE=FQ","FILING_STATUS=OR","EQY_CONSOLIDATED=Y","Sort=A","Dates=H","DateFormat=P","Fill=—","Direction=H","UseDPDF=Y")</f>
        <v>#NAME?</v>
      </c>
      <c r="BO336" s="1" t="e">
        <f ca="1">_xll.BDH($C$328,"TOTAL_ASSETS_SEQUENTIAL_GROWTH","FQ3 2015","FQ3 2015","Currency=INR","Period=FQ","BEST_FPERIOD_OVERRIDE=FQ","FILING_STATUS=OR","EQY_CONSOLIDATED=Y","Sort=A","Dates=H","DateFormat=P","Fill=—","Direction=H","UseDPDF=Y")</f>
        <v>#NAME?</v>
      </c>
      <c r="BP336" s="1" t="e">
        <f ca="1">_xll.BDH($C$328,"MODIFIED_WORKING_CPTL_SEQ_GRWTH","FQ3 2015","FQ3 2015","Currency=INR","Period=FQ","BEST_FPERIOD_OVERRIDE=FQ","FILING_STATUS=OR","EQY_CONSOLIDATED=Y","Sort=A","Dates=H","DateFormat=P","Fill=—","Direction=H","UseDPDF=Y")</f>
        <v>#NAME?</v>
      </c>
      <c r="BQ336" s="1" t="e">
        <f ca="1">_xll.BDH($C$328,"WORKING_CAPITAL_SEQ_GROWTH","FQ3 2015","FQ3 2015","Currency=INR","Period=FQ","BEST_FPERIOD_OVERRIDE=FQ","FILING_STATUS=OR","EQY_CONSOLIDATED=Y","Sort=A","Dates=H","DateFormat=P","Fill=—","Direction=H","UseDPDF=Y")</f>
        <v>#NAME?</v>
      </c>
      <c r="BR336" s="1" t="e">
        <f ca="1">_xll.BDH($C$328,"ACCOUNTS_PAYABLE_SEQ_GROWTH","FQ3 2015","FQ3 2015","Currency=INR","Period=FQ","BEST_FPERIOD_OVERRIDE=FQ","FILING_STATUS=OR","EQY_CONSOLIDATED=Y","Sort=A","Dates=H","DateFormat=P","Fill=—","Direction=H","UseDPDF=Y")</f>
        <v>#NAME?</v>
      </c>
      <c r="BS336" s="1" t="e">
        <f ca="1">_xll.BDH($C$328,"ST_DEBT_SEQUENTIAL_GROWTH","FQ3 2015","FQ3 2015","Currency=INR","Period=FQ","BEST_FPERIOD_OVERRIDE=FQ","FILING_STATUS=OR","EQY_CONSOLIDATED=Y","Sort=A","Dates=H","DateFormat=P","Fill=—","Direction=H","UseDPDF=Y")</f>
        <v>#NAME?</v>
      </c>
      <c r="BT336" s="1" t="e">
        <f ca="1">_xll.BDH($C$328,"TOTAL_DEBT_SEQUENTIAL_GROWTH","FQ3 2015","FQ3 2015","Currency=INR","Period=FQ","BEST_FPERIOD_OVERRIDE=FQ","FILING_STATUS=OR","EQY_CONSOLIDATED=Y","Sort=A","Dates=H","DateFormat=P","Fill=—","Direction=H","UseDPDF=Y")</f>
        <v>#NAME?</v>
      </c>
      <c r="BU336" s="1" t="e">
        <f ca="1">_xll.BDH($C$328,"TOTAL_EQUITY_SEQUENTIAL_GROWTH","FQ3 2015","FQ3 2015","Currency=INR","Period=FQ","BEST_FPERIOD_OVERRIDE=FQ","FILING_STATUS=OR","EQY_CONSOLIDATED=Y","Sort=A","Dates=H","DateFormat=P","Fill=—","Direction=H","UseDPDF=Y")</f>
        <v>#NAME?</v>
      </c>
      <c r="BV336" s="1" t="e">
        <f ca="1">_xll.BDH($C$328,"TOTAL_CAPITAL_SEQUENTIAL_GROWTH","FQ3 2015","FQ3 2015","Currency=INR","Period=FQ","BEST_FPERIOD_OVERRIDE=FQ","FILING_STATUS=OR","EQY_CONSOLIDATED=Y","Sort=A","Dates=H","DateFormat=P","Fill=—","Direction=H","UseDPDF=Y")</f>
        <v>#NAME?</v>
      </c>
      <c r="BW336" s="1" t="e">
        <f ca="1">_xll.BDH($C$328,"BPS_SEQUENTIAL_GROWTH","FQ3 2015","FQ3 2015","Currency=INR","Period=FQ","BEST_FPERIOD_OVERRIDE=FQ","FILING_STATUS=OR","EQY_CONSOLIDATED=Y","Sort=A","Dates=H","DateFormat=P","Fill=—","Direction=H","UseDPDF=Y")</f>
        <v>#NAME?</v>
      </c>
      <c r="BX336" s="1" t="e">
        <f ca="1">_xll.BDH($C$328,"CFO_SEQUENTIAL_GROWTH","FQ3 2015","FQ3 2015","Currency=INR","Period=FQ","BEST_FPERIOD_OVERRIDE=FQ","FILING_STATUS=OR","EQY_CONSOLIDATED=Y","Sort=A","Dates=H","DateFormat=P","Fill=—","Direction=H","UseDPDF=Y")</f>
        <v>#NAME?</v>
      </c>
      <c r="BY336" s="2" t="e">
        <f ca="1">_xll.BDH($C$328,"SHORT_AND_LONG_TERM_DEBT","FQ3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36" s="2" t="e">
        <f ca="1">_xll.BDH($C$328,"BS_ST_BORROW","FQ3 2015","FQ3 2015","Currency=INR","Period=FQ","BEST_FPERIOD_OVERRIDE=FQ","FILING_STATUS=OR","EQY_CONSOLIDATED=Y","SCALING_FORMAT=MLN","Sort=A","Dates=H","DateFormat=P","Fill=—","Direction=H","UseDPDF=Y")</f>
        <v>#NAME?</v>
      </c>
      <c r="CA336" s="2" t="e">
        <f ca="1">_xll.BDH($C$328,"BS_LT_BORROW","FQ3 2015","FQ3 2015","Currency=INR","Period=FQ","BEST_FPERIOD_OVERRIDE=FQ","FILING_STATUS=OR","EQY_CONSOLIDATED=Y","SCALING_FORMAT=MLN","Sort=A","Dates=H","DateFormat=P","Fill=—","Direction=H","UseDPDF=Y")</f>
        <v>#NAME?</v>
      </c>
      <c r="CB336" s="1" t="e">
        <f ca="1">_xll.BDH($C$328,"TOT_DEBT_TO_EBITDA","FQ3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36" s="1" t="e">
        <f ca="1">_xll.BDH($C$328,"NET_DEBT_TO_EBITDA","FQ3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36" s="1" t="e">
        <f ca="1">_xll.BDH($C$328,"TOTAL_DEBT_TO_EBIT","FQ3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36" s="1" t="e">
        <f ca="1">_xll.BDH($C$328,"NET_DEBT_TO_EBIT","FQ3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336" s="1" t="e">
        <f ca="1">_xll.BDH($C$328,"EBITDA_TO_INTEREST_EXPN","FQ3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36" s="1" t="e">
        <f ca="1">_xll.BDH($C$328,"COM_EQY_TO_TOT_ASSET","FQ3 2015","FQ3 2015","Currency=INR","Period=FQ","BEST_FPERIOD_OVERRIDE=FQ","FILING_STATUS=OR","EQY_CONSOLIDATED=Y","Sort=A","Dates=H","DateFormat=P","Fill=—","Direction=H","UseDPDF=Y")</f>
        <v>#NAME?</v>
      </c>
      <c r="CH336" s="1" t="e">
        <f ca="1">_xll.BDH($C$328,"LT_DEBT_TO_TOT_EQY","FQ3 2015","FQ3 2015","Currency=INR","Period=FQ","BEST_FPERIOD_OVERRIDE=FQ","FILING_STATUS=OR","EQY_CONSOLIDATED=Y","Sort=A","Dates=H","DateFormat=P","Fill=—","Direction=H","UseDPDF=Y")</f>
        <v>#NAME?</v>
      </c>
      <c r="CI336" s="1" t="e">
        <f ca="1">_xll.BDH($C$328,"LT_DEBT_TO_TOT_CAP","FQ3 2015","FQ3 2015","Currency=INR","Period=FQ","BEST_FPERIOD_OVERRIDE=FQ","FILING_STATUS=OR","EQY_CONSOLIDATED=Y","Sort=A","Dates=H","DateFormat=P","Fill=—","Direction=H","UseDPDF=Y")</f>
        <v>#NAME?</v>
      </c>
      <c r="CJ336" s="1" t="e">
        <f ca="1">_xll.BDH($C$328,"LT_DEBT_TO_TOT_ASSET","FQ3 2015","FQ3 2015","Currency=INR","Period=FQ","BEST_FPERIOD_OVERRIDE=FQ","FILING_STATUS=OR","EQY_CONSOLIDATED=Y","Sort=A","Dates=H","DateFormat=P","Fill=—","Direction=H","UseDPDF=Y")</f>
        <v>#NAME?</v>
      </c>
      <c r="CK336" s="1" t="e">
        <f ca="1">_xll.BDH($C$328,"TOT_DEBT_TO_TOT_EQY","FQ3 2015","FQ3 2015","Currency=INR","Period=FQ","BEST_FPERIOD_OVERRIDE=FQ","FILING_STATUS=OR","EQY_CONSOLIDATED=Y","Sort=A","Dates=H","DateFormat=P","Fill=—","Direction=H","UseDPDF=Y")</f>
        <v>#NAME?</v>
      </c>
      <c r="CL336" s="1" t="e">
        <f ca="1">_xll.BDH($C$328,"TOT_DEBT_TO_TOT_CAP","FQ3 2015","FQ3 2015","Currency=INR","Period=FQ","BEST_FPERIOD_OVERRIDE=FQ","FILING_STATUS=OR","EQY_CONSOLIDATED=Y","Sort=A","Dates=H","DateFormat=P","Fill=—","Direction=H","UseDPDF=Y")</f>
        <v>#NAME?</v>
      </c>
      <c r="CM336" s="1" t="e">
        <f ca="1">_xll.BDH($C$328,"TOT_DEBT_TO_TOT_ASSET","FQ3 2015","FQ3 2015","Currency=INR","Period=FQ","BEST_FPERIOD_OVERRIDE=FQ","FILING_STATUS=OR","EQY_CONSOLIDATED=Y","Sort=A","Dates=H","DateFormat=P","Fill=—","Direction=H","UseDPDF=Y")</f>
        <v>#NAME?</v>
      </c>
      <c r="CN336" s="1" t="e">
        <f ca="1">_xll.BDH($C$328,"NET_DEBT_TO_SHRHLDR_EQTY","FQ3 2015","FQ3 2015","Currency=INR","Period=FQ","BEST_FPERIOD_OVERRIDE=FQ","FILING_STATUS=OR","EQY_CONSOLIDATED=Y","Sort=A","Dates=H","DateFormat=P","Fill=—","Direction=H","UseDPDF=Y")</f>
        <v>#NAME?</v>
      </c>
      <c r="CO336" s="1" t="e">
        <f ca="1">_xll.BDH($C$328,"NET_DEBT_%_CAPITAL","FQ3 2015","FQ3 2015","Currency=INR","Period=FQ","BEST_FPERIOD_OVERRIDE=FQ","FILING_STATUS=OR","EQY_CONSOLIDATED=Y","Sort=A","Dates=H","DateFormat=P","Fill=—","Direction=H","UseDPDF=Y")</f>
        <v>#NAME?</v>
      </c>
      <c r="CP336" s="2" t="e">
        <f ca="1">_xll.BDH($C$328,"EBITDA","FQ3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36" s="2" t="e">
        <f ca="1">_xll.BDH($C$328,"EBITDA_AFTER_CAPEX","FQ3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36" s="2" t="e">
        <f ca="1">_xll.BDH($C$328,"IS_OPER_INC","FQ3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36" s="1" t="e">
        <f ca="1">_xll.BDH($C$328,"CASH_RATIO","FQ3 2015","FQ3 2015","Currency=INR","Period=FQ","BEST_FPERIOD_OVERRIDE=FQ","FILING_STATUS=OR","EQY_CONSOLIDATED=Y","Sort=A","Dates=H","DateFormat=P","Fill=—","Direction=H","UseDPDF=Y")</f>
        <v>#NAME?</v>
      </c>
      <c r="CT336" s="1" t="e">
        <f ca="1">_xll.BDH($C$328,"CUR_RATIO","FQ3 2015","FQ3 2015","Currency=INR","Period=FQ","BEST_FPERIOD_OVERRIDE=FQ","FILING_STATUS=OR","EQY_CONSOLIDATED=Y","Sort=A","Dates=H","DateFormat=P","Fill=—","Direction=H","UseDPDF=Y")</f>
        <v>#NAME?</v>
      </c>
      <c r="CU336" s="1" t="e">
        <f ca="1">_xll.BDH($C$328,"QUICK_RATIO","FQ3 2015","FQ3 2015","Currency=INR","Period=FQ","BEST_FPERIOD_OVERRIDE=FQ","FILING_STATUS=OR","EQY_CONSOLIDATED=Y","Sort=A","Dates=H","DateFormat=P","Fill=—","Direction=H","UseDPDF=Y")</f>
        <v>#NAME?</v>
      </c>
      <c r="CV336" s="1" t="e">
        <f ca="1">_xll.BDH($C$328,"ALTMAN_Z_SCORE","FQ3 2015","FQ3 2015","Currency=INR","Period=FQ","BEST_FPERIOD_OVERRIDE=FQ","FILING_STATUS=OR","EQY_CONSOLIDATED=Y","Sort=A","Dates=H","DateFormat=P","Fill=—","Direction=H","UseDPDF=Y")</f>
        <v>#NAME?</v>
      </c>
      <c r="CW336" s="3" t="e">
        <f ca="1">_xll.BDH($C$328,"ACCT_RCV_TURN","FQ3 2015","FQ3 2015","Currency=INR","Period=FQ","BEST_FPERIOD_OVERRIDE=FQ","FILING_STATUS=OR","EQY_CONSOLIDATED=Y","FA_ADJUSTED=GAAP","Sort=A","Dates=H","DateFormat=P","Fill=—","Direction=H","UseDPDF=Y")</f>
        <v>#NAME?</v>
      </c>
      <c r="CX336" s="1" t="e">
        <f ca="1">_xll.BDH($C$328,"ACCT_RCV_DAYS","FQ3 2015","FQ3 2015","Currency=INR","Period=FQ","BEST_FPERIOD_OVERRIDE=FQ","FILING_STATUS=OR","EQY_CONSOLIDATED=Y","FA_ADJUSTED=GAAP","Sort=A","Dates=H","DateFormat=P","Fill=—","Direction=H","UseDPDF=Y")</f>
        <v>#NAME?</v>
      </c>
      <c r="CY336" s="3" t="e">
        <f ca="1">_xll.BDH($C$328,"INVENT_TURN","FQ3 2015","FQ3 2015","Currency=INR","Period=FQ","BEST_FPERIOD_OVERRIDE=FQ","FILING_STATUS=OR","EQY_CONSOLIDATED=Y","FA_ADJUSTED=GAAP","Sort=A","Dates=H","DateFormat=P","Fill=—","Direction=H","UseDPDF=Y")</f>
        <v>#NAME?</v>
      </c>
      <c r="CZ336" s="1" t="e">
        <f ca="1">_xll.BDH($C$328,"INVENT_DAYS","FQ3 2015","FQ3 2015","Currency=INR","Period=FQ","BEST_FPERIOD_OVERRIDE=FQ","FILING_STATUS=OR","EQY_CONSOLIDATED=Y","FA_ADJUSTED=GAAP","Sort=A","Dates=H","DateFormat=P","Fill=—","Direction=H","UseDPDF=Y")</f>
        <v>#NAME?</v>
      </c>
      <c r="DA336" s="3" t="e">
        <f ca="1">_xll.BDH($C$328,"ACCOUNTS_PAYABLE_TURNOVER","FQ3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36" s="1" t="e">
        <f ca="1">_xll.BDH($C$328,"ACCOUNTS_PAYABLE_TURNOVER_DAYS","FQ3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36" s="3" t="e">
        <f ca="1">_xll.BDH($C$328,"CASH_CONVERSION_CYCLE","FQ3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36" s="3" t="e">
        <f ca="1">_xll.BDH($C$328,"INV_TO_CASH_DAYS","FQ3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336" s="4" t="e">
        <f ca="1">_xll.BDH($C$328,"BS_INVENTORIES","FQ3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336" s="2" t="e">
        <f ca="1">_xll.BDH($C$328,"INVTRY_RAW_MATERIALS","FQ3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36" s="2" t="e">
        <f ca="1">_xll.BDH($C$328,"INVTRY_IN_PROGRESS","FQ3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36" s="2" t="e">
        <f ca="1">_xll.BDH($C$328,"INVTRY_FINISHED_GOODS","FQ3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36" s="2" t="e">
        <f ca="1">_xll.BDH($C$328,"BS_OTHER_INV","FQ3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37" spans="1:113" x14ac:dyDescent="0.3">
      <c r="A337" s="6"/>
      <c r="B337" s="6"/>
      <c r="C337" s="6"/>
      <c r="D337" s="6"/>
      <c r="E337" t="s">
        <v>7</v>
      </c>
      <c r="F337" t="e">
        <f ca="1">_xll.BDH($C$328,"RETURN_COM_EQY","FQ4 2015","FQ4 2015","Currency=INR","Period=FQ","BEST_FPERIOD_OVERRIDE=FQ","FILING_STATUS=OR","EQY_CONSOLIDATED=Y","FA_ADJUSTED=GAAP","Sort=A","Dates=H","DateFormat=P","Fill=—","Direction=H","UseDPDF=Y")</f>
        <v>#NAME?</v>
      </c>
      <c r="G337" t="e">
        <f ca="1">_xll.BDH($C$328,"RETURN_ON_ASSET","FQ4 2015","FQ4 2015","Currency=INR","Period=FQ","BEST_FPERIOD_OVERRIDE=FQ","FILING_STATUS=OR","EQY_CONSOLIDATED=Y","FA_ADJUSTED=GAAP","Sort=A","Dates=H","DateFormat=P","Fill=—","Direction=H","UseDPDF=Y")</f>
        <v>#NAME?</v>
      </c>
      <c r="H337" t="e">
        <f ca="1">_xll.BDH($C$328,"RETURN_ON_CAP","FQ4 2015","FQ4 2015","Currency=INR","Period=FQ","BEST_FPERIOD_OVERRIDE=FQ","FILING_STATUS=OR","EQY_CONSOLIDATED=Y","FA_ADJUSTED=GAAP","Sort=A","Dates=H","DateFormat=P","Fill=—","Direction=H","UseDPDF=Y")</f>
        <v>#NAME?</v>
      </c>
      <c r="I337" t="e">
        <f ca="1">_xll.BDH($C$328,"RETURN_ON_INV_CAPITAL","FQ4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37" t="e">
        <f ca="1">_xll.BDH($C$328,"EBITDA_TO_REVENUE","FQ4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337" t="e">
        <f ca="1">_xll.BDH($C$328,"OPER_MARGIN","FQ4 2015","FQ4 2015","Currency=INR","Period=FQ","BEST_FPERIOD_OVERRIDE=FQ","FILING_STATUS=OR","EQY_CONSOLIDATED=Y","FA_ADJUSTED=GAAP","Sort=A","Dates=H","DateFormat=P","Fill=—","Direction=H","UseDPDF=Y")</f>
        <v>#NAME?</v>
      </c>
      <c r="L337" t="e">
        <f ca="1">_xll.BDH($C$328,"INCREMENTAL_OPERATING_MARGIN","FQ4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37" t="e">
        <f ca="1">_xll.BDH($C$328,"PRETAX_INC_TO_NET_SALES","FQ4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37" t="e">
        <f ca="1">_xll.BDH($C$328,"INC_BEF_XO_ITEMS_TO_NET_SALES","FQ4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37" t="e">
        <f ca="1">_xll.BDH($C$328,"PROF_MARGIN","FQ4 2015","FQ4 2015","Currency=INR","Period=FQ","BEST_FPERIOD_OVERRIDE=FQ","FILING_STATUS=OR","EQY_CONSOLIDATED=Y","FA_ADJUSTED=GAAP","Sort=A","Dates=H","DateFormat=P","Fill=—","Direction=H","UseDPDF=Y")</f>
        <v>#NAME?</v>
      </c>
      <c r="P337" t="e">
        <f ca="1">_xll.BDH($C$328,"NET_INCOME_TO_COMMON_MARGIN","FQ4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37" t="e">
        <f ca="1">_xll.BDH($C$328,"EFF_TAX_RATE","FQ4 2015","FQ4 2015","Currency=INR","Period=FQ","BEST_FPERIOD_OVERRIDE=FQ","FILING_STATUS=OR","EQY_CONSOLIDATED=Y","FA_ADJUSTED=GAAP","Sort=A","Dates=H","DateFormat=P","Fill=—","Direction=H","UseDPDF=Y")</f>
        <v>#NAME?</v>
      </c>
      <c r="R337" t="e">
        <f ca="1">_xll.BDH($C$328,"DVD_PAYOUT_RATIO","FQ4 2015","FQ4 2015","Currency=INR","Period=FQ","BEST_FPERIOD_OVERRIDE=FQ","FILING_STATUS=OR","EQY_CONSOLIDATED=Y","FA_ADJUSTED=GAAP","Sort=A","Dates=H","DateFormat=P","Fill=—","Direction=H","UseDPDF=Y")</f>
        <v>#NAME?</v>
      </c>
      <c r="S337" t="e">
        <f ca="1">_xll.BDH($C$328,"SUSTAIN_GROWTH_RT","FQ4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337" s="1" t="e">
        <f ca="1">_xll.BDH($C$328,"SALES_GROWTH","FQ4 2015","FQ4 2015","Currency=INR","Period=FQ","BEST_FPERIOD_OVERRIDE=FQ","FILING_STATUS=OR","EQY_CONSOLIDATED=Y","FA_ADJUSTED=GAAP","Sort=A","Dates=H","DateFormat=P","Fill=—","Direction=H","UseDPDF=Y")</f>
        <v>#NAME?</v>
      </c>
      <c r="U337" s="1" t="e">
        <f ca="1">_xll.BDH($C$328,"EBITDA_GROWTH","FQ4 2015","FQ4 2015","Currency=INR","Period=FQ","BEST_FPERIOD_OVERRIDE=FQ","FILING_STATUS=OR","EQY_CONSOLIDATED=Y","FA_ADJUSTED=GAAP","Sort=A","Dates=H","DateFormat=P","Fill=—","Direction=H","UseDPDF=Y")</f>
        <v>#NAME?</v>
      </c>
      <c r="V337" s="1" t="e">
        <f ca="1">_xll.BDH($C$328,"OPER_INC_GROWTH","FQ4 2015","FQ4 2015","Currency=INR","Period=FQ","BEST_FPERIOD_OVERRIDE=FQ","FILING_STATUS=OR","EQY_CONSOLIDATED=Y","FA_ADJUSTED=GAAP","Sort=A","Dates=H","DateFormat=P","Fill=—","Direction=H","UseDPDF=Y")</f>
        <v>#NAME?</v>
      </c>
      <c r="W337" s="1" t="e">
        <f ca="1">_xll.BDH($C$328,"EARN_FOR_COM_GROWTH","FQ4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37" s="1" t="e">
        <f ca="1">_xll.BDH($C$328,"DILUTED_EPS_AFT_XO_ITEMS_GROWTH","FQ4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37" s="1" t="e">
        <f ca="1">_xll.BDH($C$328,"DIVIDEND_PER_SHARE_1_YEAR_GROWTH","FQ4 2015","FQ4 2015","Currency=INR","Period=FQ","BEST_FPERIOD_OVERRIDE=FQ","FILING_STATUS=OR","EQY_CONSOLIDATED=Y","Sort=A","Dates=H","DateFormat=P","Fill=—","Direction=H","UseDPDF=Y")</f>
        <v>#NAME?</v>
      </c>
      <c r="Z337" s="1" t="e">
        <f ca="1">_xll.BDH($C$328,"ACCOUNTS_RECEIVABLE_GROWTH","FQ4 2015","FQ4 2015","Currency=INR","Period=FQ","BEST_FPERIOD_OVERRIDE=FQ","FILING_STATUS=OR","EQY_CONSOLIDATED=Y","Sort=A","Dates=H","DateFormat=P","Fill=—","Direction=H","UseDPDF=Y")</f>
        <v>#NAME?</v>
      </c>
      <c r="AA337" s="1" t="e">
        <f ca="1">_xll.BDH($C$328,"INVENTORY_GROWTH","FQ4 2015","FQ4 2015","Currency=INR","Period=FQ","BEST_FPERIOD_OVERRIDE=FQ","FILING_STATUS=OR","EQY_CONSOLIDATED=Y","Sort=A","Dates=H","DateFormat=P","Fill=—","Direction=H","UseDPDF=Y")</f>
        <v>#NAME?</v>
      </c>
      <c r="AB337" s="1" t="e">
        <f ca="1">_xll.BDH($C$328,"NET_FIXED_ASSETS_1_YEAR_GROWTH","FQ4 2015","FQ4 2015","Currency=INR","Period=FQ","BEST_FPERIOD_OVERRIDE=FQ","FILING_STATUS=OR","EQY_CONSOLIDATED=Y","Sort=A","Dates=H","DateFormat=P","Fill=—","Direction=H","UseDPDF=Y")</f>
        <v>#NAME?</v>
      </c>
      <c r="AC337" s="1" t="e">
        <f ca="1">_xll.BDH($C$328,"ASSET_GROWTH","FQ4 2015","FQ4 2015","Currency=INR","Period=FQ","BEST_FPERIOD_OVERRIDE=FQ","FILING_STATUS=OR","EQY_CONSOLIDATED=Y","Sort=A","Dates=H","DateFormat=P","Fill=—","Direction=H","UseDPDF=Y")</f>
        <v>#NAME?</v>
      </c>
      <c r="AD337" s="1" t="e">
        <f ca="1">_xll.BDH($C$328,"MODIFIED_WORK_CAP_GROWTH","FQ4 2015","FQ4 2015","Currency=INR","Period=FQ","BEST_FPERIOD_OVERRIDE=FQ","FILING_STATUS=OR","EQY_CONSOLIDATED=Y","Sort=A","Dates=H","DateFormat=P","Fill=—","Direction=H","UseDPDF=Y")</f>
        <v>#NAME?</v>
      </c>
      <c r="AE337" s="1" t="e">
        <f ca="1">_xll.BDH($C$328,"WORK_CAP_GROWTH","FQ4 2015","FQ4 2015","Currency=INR","Period=FQ","BEST_FPERIOD_OVERRIDE=FQ","FILING_STATUS=OR","EQY_CONSOLIDATED=Y","Sort=A","Dates=H","DateFormat=P","Fill=—","Direction=H","UseDPDF=Y")</f>
        <v>#NAME?</v>
      </c>
      <c r="AF337" s="1" t="e">
        <f ca="1">_xll.BDH($C$328,"ACCOUNTS_PAYABLE_GROWTH_1YR","FQ4 2015","FQ4 2015","Currency=INR","Period=FQ","BEST_FPERIOD_OVERRIDE=FQ","FILING_STATUS=OR","EQY_CONSOLIDATED=Y","Sort=A","Dates=H","DateFormat=P","Fill=—","Direction=H","UseDPDF=Y")</f>
        <v>#NAME?</v>
      </c>
      <c r="AG337" s="1" t="e">
        <f ca="1">_xll.BDH($C$328,"SHORT_TERM_DEBT_1_YEAR_GROWTH","FQ4 2015","FQ4 2015","Currency=INR","Period=FQ","BEST_FPERIOD_OVERRIDE=FQ","FILING_STATUS=OR","EQY_CONSOLIDATED=Y","Sort=A","Dates=H","DateFormat=P","Fill=—","Direction=H","UseDPDF=Y")</f>
        <v>#NAME?</v>
      </c>
      <c r="AH337" s="1" t="e">
        <f ca="1">_xll.BDH($C$328,"TOTAL_DEBT_1_YEAR_GROWTH","FQ4 2015","FQ4 2015","Currency=INR","Period=FQ","BEST_FPERIOD_OVERRIDE=FQ","FILING_STATUS=OR","EQY_CONSOLIDATED=Y","Sort=A","Dates=H","DateFormat=P","Fill=—","Direction=H","UseDPDF=Y")</f>
        <v>#NAME?</v>
      </c>
      <c r="AI337" s="1" t="e">
        <f ca="1">_xll.BDH($C$328,"TOTAL_EQUITY_1_YEAR_GROWTH","FQ4 2015","FQ4 2015","Currency=INR","Period=FQ","BEST_FPERIOD_OVERRIDE=FQ","FILING_STATUS=OR","EQY_CONSOLIDATED=Y","Sort=A","Dates=H","DateFormat=P","Fill=—","Direction=H","UseDPDF=Y")</f>
        <v>#NAME?</v>
      </c>
      <c r="AJ337" s="1" t="e">
        <f ca="1">_xll.BDH($C$328,"GROWTH_IN_CAP","FQ4 2015","FQ4 2015","Currency=INR","Period=FQ","BEST_FPERIOD_OVERRIDE=FQ","FILING_STATUS=OR","EQY_CONSOLIDATED=Y","Sort=A","Dates=H","DateFormat=P","Fill=—","Direction=H","UseDPDF=Y")</f>
        <v>#NAME?</v>
      </c>
      <c r="AK337" s="1" t="e">
        <f ca="1">_xll.BDH($C$328,"BVPS_GROWTH","FQ4 2015","FQ4 2015","Currency=INR","Period=FQ","BEST_FPERIOD_OVERRIDE=FQ","FILING_STATUS=OR","EQY_CONSOLIDATED=Y","Sort=A","Dates=H","DateFormat=P","Fill=—","Direction=H","UseDPDF=Y")</f>
        <v>#NAME?</v>
      </c>
      <c r="AL337" s="1" t="e">
        <f ca="1">_xll.BDH($C$328,"CASH_FLOW_GROWTH","FQ4 2015","FQ4 2015","Currency=INR","Period=FQ","BEST_FPERIOD_OVERRIDE=FQ","FILING_STATUS=OR","EQY_CONSOLIDATED=Y","Sort=A","Dates=H","DateFormat=P","Fill=—","Direction=H","UseDPDF=Y")</f>
        <v>#NAME?</v>
      </c>
      <c r="AM337" s="1" t="e">
        <f ca="1">_xll.BDH($C$328,"GEO_GROW_NET_SALES","FQ4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37" s="1" t="e">
        <f ca="1">_xll.BDH($C$328,"GEO_GROW_EBITDA","FQ4 2015","FQ4 2015","Currency=INR","Period=FQ","BEST_FPERIOD_OVERRIDE=FQ","FILING_STATUS=OR","EQY_CONSOLIDATED=Y","FA_ADJUSTED=GAAP","Sort=A","Dates=H","DateFormat=P","Fill=—","Direction=H","UseDPDF=Y")</f>
        <v>#NAME?</v>
      </c>
      <c r="AO337" s="1" t="e">
        <f ca="1">_xll.BDH($C$328,"GEO_GROW_OPER_INC","FQ4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37" s="1" t="e">
        <f ca="1">_xll.BDH($C$328,"NET_INCOME_TO_COMMON_5_YR_GROWTH","FQ4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37" s="1" t="e">
        <f ca="1">_xll.BDH($C$328,"5Y_GEO_GROWTH_DILUTED_EPS","FQ4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37" s="1" t="e">
        <f ca="1">_xll.BDH($C$328,"GEO_GROW_DVD_PER_SH","FQ4 2015","FQ4 2015","Currency=INR","Period=FQ","BEST_FPERIOD_OVERRIDE=FQ","FILING_STATUS=OR","EQY_CONSOLIDATED=Y","Sort=A","Dates=H","DateFormat=P","Fill=—","Direction=H","UseDPDF=Y")</f>
        <v>#NAME?</v>
      </c>
      <c r="AS337" s="1" t="e">
        <f ca="1">_xll.BDH($C$328,"ACCOUNTS_RECEIVABLE_5_YR_GROWTH","FQ4 2015","FQ4 2015","Currency=INR","Period=FQ","BEST_FPERIOD_OVERRIDE=FQ","FILING_STATUS=OR","EQY_CONSOLIDATED=Y","Sort=A","Dates=H","DateFormat=P","Fill=—","Direction=H","UseDPDF=Y")</f>
        <v>#NAME?</v>
      </c>
      <c r="AT337" s="1" t="e">
        <f ca="1">_xll.BDH($C$328,"INVENTORY_5_YEAR_GROWTH","FQ4 2015","FQ4 2015","Currency=INR","Period=FQ","BEST_FPERIOD_OVERRIDE=FQ","FILING_STATUS=OR","EQY_CONSOLIDATED=Y","Sort=A","Dates=H","DateFormat=P","Fill=—","Direction=H","UseDPDF=Y")</f>
        <v>#NAME?</v>
      </c>
      <c r="AU337" s="1" t="e">
        <f ca="1">_xll.BDH($C$328,"NET_FIXED_ASSETS_5_YEAR_GROWTH","FQ4 2015","FQ4 2015","Currency=INR","Period=FQ","BEST_FPERIOD_OVERRIDE=FQ","FILING_STATUS=OR","EQY_CONSOLIDATED=Y","Sort=A","Dates=H","DateFormat=P","Fill=—","Direction=H","UseDPDF=Y")</f>
        <v>#NAME?</v>
      </c>
      <c r="AV337" s="1" t="e">
        <f ca="1">_xll.BDH($C$328,"GEO_GROW_TOT_ASSET","FQ4 2015","FQ4 2015","Currency=INR","Period=FQ","BEST_FPERIOD_OVERRIDE=FQ","FILING_STATUS=OR","EQY_CONSOLIDATED=Y","Sort=A","Dates=H","DateFormat=P","Fill=—","Direction=H","UseDPDF=Y")</f>
        <v>#NAME?</v>
      </c>
      <c r="AW337" s="1" t="e">
        <f ca="1">_xll.BDH($C$328,"MODIFIED_WORKING_CPTL_5YR_GRWTH","FQ4 2015","FQ4 2015","Currency=INR","Period=FQ","BEST_FPERIOD_OVERRIDE=FQ","FILING_STATUS=OR","EQY_CONSOLIDATED=Y","Sort=A","Dates=H","DateFormat=P","Fill=—","Direction=H","UseDPDF=Y")</f>
        <v>#NAME?</v>
      </c>
      <c r="AX337" s="1" t="e">
        <f ca="1">_xll.BDH($C$328,"WORKING_CAPITAL_5_YEAR_GROWTH","FQ4 2015","FQ4 2015","Currency=INR","Period=FQ","BEST_FPERIOD_OVERRIDE=FQ","FILING_STATUS=OR","EQY_CONSOLIDATED=Y","Sort=A","Dates=H","DateFormat=P","Fill=—","Direction=H","UseDPDF=Y")</f>
        <v>#NAME?</v>
      </c>
      <c r="AY337" s="1" t="e">
        <f ca="1">_xll.BDH($C$328,"ACCOUNTS_PAYABLE_5_YEAR_GROWTH","FQ4 2015","FQ4 2015","Currency=INR","Period=FQ","BEST_FPERIOD_OVERRIDE=FQ","FILING_STATUS=OR","EQY_CONSOLIDATED=Y","Sort=A","Dates=H","DateFormat=P","Fill=—","Direction=H","UseDPDF=Y")</f>
        <v>#NAME?</v>
      </c>
      <c r="AZ337" s="1" t="e">
        <f ca="1">_xll.BDH($C$328,"SHORT_TERM_DEBT_5_YEAR_GROWTH","FQ4 2015","FQ4 2015","Currency=INR","Period=FQ","BEST_FPERIOD_OVERRIDE=FQ","FILING_STATUS=OR","EQY_CONSOLIDATED=Y","Sort=A","Dates=H","DateFormat=P","Fill=—","Direction=H","UseDPDF=Y")</f>
        <v>#NAME?</v>
      </c>
      <c r="BA337" s="1" t="e">
        <f ca="1">_xll.BDH($C$328,"TOTAL_DEBT_5_YEAR_GROWTH","FQ4 2015","FQ4 2015","Currency=INR","Period=FQ","BEST_FPERIOD_OVERRIDE=FQ","FILING_STATUS=OR","EQY_CONSOLIDATED=Y","Sort=A","Dates=H","DateFormat=P","Fill=—","Direction=H","UseDPDF=Y")</f>
        <v>#NAME?</v>
      </c>
      <c r="BB337" s="1" t="e">
        <f ca="1">_xll.BDH($C$328,"GEO_GROW_TOT_SHRHLDR_EQY","FQ4 2015","FQ4 2015","Currency=INR","Period=FQ","BEST_FPERIOD_OVERRIDE=FQ","FILING_STATUS=OR","EQY_CONSOLIDATED=Y","Sort=A","Dates=H","DateFormat=P","Fill=—","Direction=H","UseDPDF=Y")</f>
        <v>#NAME?</v>
      </c>
      <c r="BC337" s="1" t="e">
        <f ca="1">_xll.BDH($C$328,"TOTAL_CAPITAL_5_YEAR_GROWTH","FQ4 2015","FQ4 2015","Currency=INR","Period=FQ","BEST_FPERIOD_OVERRIDE=FQ","FILING_STATUS=OR","EQY_CONSOLIDATED=Y","Sort=A","Dates=H","DateFormat=P","Fill=—","Direction=H","UseDPDF=Y")</f>
        <v>#NAME?</v>
      </c>
      <c r="BD337" s="1" t="e">
        <f ca="1">_xll.BDH($C$328,"GEO_GROW_BOOK_VAL","FQ4 2015","FQ4 2015","Currency=INR","Period=FQ","BEST_FPERIOD_OVERRIDE=FQ","FILING_STATUS=OR","EQY_CONSOLIDATED=Y","Sort=A","Dates=H","DateFormat=P","Fill=—","Direction=H","UseDPDF=Y")</f>
        <v>#NAME?</v>
      </c>
      <c r="BE337" s="1" t="e">
        <f ca="1">_xll.BDH($C$328,"GEO_GROW_CASH_OPER_ACT","FQ4 2015","FQ4 2015","Currency=INR","Period=FQ","BEST_FPERIOD_OVERRIDE=FQ","FILING_STATUS=OR","EQY_CONSOLIDATED=Y","Sort=A","Dates=H","DateFormat=P","Fill=—","Direction=H","UseDPDF=Y")</f>
        <v>#NAME?</v>
      </c>
      <c r="BF337" s="1" t="e">
        <f ca="1">_xll.BDH($C$328,"REVENUE_SEQUENTIAL_GROWTH","FQ4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37" s="1" t="e">
        <f ca="1">_xll.BDH($C$328,"EBITDA_SEQUENTIAL_GROWTH","FQ4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37" s="1" t="e">
        <f ca="1">_xll.BDH($C$328,"OPERATING_INCOME_SEQ_GROWTH","FQ4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37" s="1" t="e">
        <f ca="1">_xll.BDH($C$328,"NET_INCOME_TO_COMMON_SEQ_GROWTH","FQ4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37" s="1" t="e">
        <f ca="1">_xll.BDH($C$328,"EPS_DILUTED_SEQUENTIAL_GROWTH","FQ4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37" s="1" t="e">
        <f ca="1">_xll.BDH($C$328,"DPS_SEQUENTIAL_GROWTH","FQ4 2015","FQ4 2015","Currency=INR","Period=FQ","BEST_FPERIOD_OVERRIDE=FQ","FILING_STATUS=OR","EQY_CONSOLIDATED=Y","Sort=A","Dates=H","DateFormat=P","Fill=—","Direction=H","UseDPDF=Y")</f>
        <v>#NAME?</v>
      </c>
      <c r="BL337" s="1" t="e">
        <f ca="1">_xll.BDH($C$328,"ACCOUNTS_RECEIVABLE_SEQ_GROWTH","FQ4 2015","FQ4 2015","Currency=INR","Period=FQ","BEST_FPERIOD_OVERRIDE=FQ","FILING_STATUS=OR","EQY_CONSOLIDATED=Y","Sort=A","Dates=H","DateFormat=P","Fill=—","Direction=H","UseDPDF=Y")</f>
        <v>#NAME?</v>
      </c>
      <c r="BM337" s="1" t="e">
        <f ca="1">_xll.BDH($C$328,"INVENTORY_SEQUENTIAL_GROWTH","FQ4 2015","FQ4 2015","Currency=INR","Period=FQ","BEST_FPERIOD_OVERRIDE=FQ","FILING_STATUS=OR","EQY_CONSOLIDATED=Y","Sort=A","Dates=H","DateFormat=P","Fill=—","Direction=H","UseDPDF=Y")</f>
        <v>#NAME?</v>
      </c>
      <c r="BN337" s="1" t="e">
        <f ca="1">_xll.BDH($C$328,"FIXED_ASSETS_SEQUENTIAL_GROWTH","FQ4 2015","FQ4 2015","Currency=INR","Period=FQ","BEST_FPERIOD_OVERRIDE=FQ","FILING_STATUS=OR","EQY_CONSOLIDATED=Y","Sort=A","Dates=H","DateFormat=P","Fill=—","Direction=H","UseDPDF=Y")</f>
        <v>#NAME?</v>
      </c>
      <c r="BO337" s="1" t="e">
        <f ca="1">_xll.BDH($C$328,"TOTAL_ASSETS_SEQUENTIAL_GROWTH","FQ4 2015","FQ4 2015","Currency=INR","Period=FQ","BEST_FPERIOD_OVERRIDE=FQ","FILING_STATUS=OR","EQY_CONSOLIDATED=Y","Sort=A","Dates=H","DateFormat=P","Fill=—","Direction=H","UseDPDF=Y")</f>
        <v>#NAME?</v>
      </c>
      <c r="BP337" s="1" t="e">
        <f ca="1">_xll.BDH($C$328,"MODIFIED_WORKING_CPTL_SEQ_GRWTH","FQ4 2015","FQ4 2015","Currency=INR","Period=FQ","BEST_FPERIOD_OVERRIDE=FQ","FILING_STATUS=OR","EQY_CONSOLIDATED=Y","Sort=A","Dates=H","DateFormat=P","Fill=—","Direction=H","UseDPDF=Y")</f>
        <v>#NAME?</v>
      </c>
      <c r="BQ337" s="1" t="e">
        <f ca="1">_xll.BDH($C$328,"WORKING_CAPITAL_SEQ_GROWTH","FQ4 2015","FQ4 2015","Currency=INR","Period=FQ","BEST_FPERIOD_OVERRIDE=FQ","FILING_STATUS=OR","EQY_CONSOLIDATED=Y","Sort=A","Dates=H","DateFormat=P","Fill=—","Direction=H","UseDPDF=Y")</f>
        <v>#NAME?</v>
      </c>
      <c r="BR337" s="1" t="e">
        <f ca="1">_xll.BDH($C$328,"ACCOUNTS_PAYABLE_SEQ_GROWTH","FQ4 2015","FQ4 2015","Currency=INR","Period=FQ","BEST_FPERIOD_OVERRIDE=FQ","FILING_STATUS=OR","EQY_CONSOLIDATED=Y","Sort=A","Dates=H","DateFormat=P","Fill=—","Direction=H","UseDPDF=Y")</f>
        <v>#NAME?</v>
      </c>
      <c r="BS337" s="1" t="e">
        <f ca="1">_xll.BDH($C$328,"ST_DEBT_SEQUENTIAL_GROWTH","FQ4 2015","FQ4 2015","Currency=INR","Period=FQ","BEST_FPERIOD_OVERRIDE=FQ","FILING_STATUS=OR","EQY_CONSOLIDATED=Y","Sort=A","Dates=H","DateFormat=P","Fill=—","Direction=H","UseDPDF=Y")</f>
        <v>#NAME?</v>
      </c>
      <c r="BT337" s="1" t="e">
        <f ca="1">_xll.BDH($C$328,"TOTAL_DEBT_SEQUENTIAL_GROWTH","FQ4 2015","FQ4 2015","Currency=INR","Period=FQ","BEST_FPERIOD_OVERRIDE=FQ","FILING_STATUS=OR","EQY_CONSOLIDATED=Y","Sort=A","Dates=H","DateFormat=P","Fill=—","Direction=H","UseDPDF=Y")</f>
        <v>#NAME?</v>
      </c>
      <c r="BU337" s="1" t="e">
        <f ca="1">_xll.BDH($C$328,"TOTAL_EQUITY_SEQUENTIAL_GROWTH","FQ4 2015","FQ4 2015","Currency=INR","Period=FQ","BEST_FPERIOD_OVERRIDE=FQ","FILING_STATUS=OR","EQY_CONSOLIDATED=Y","Sort=A","Dates=H","DateFormat=P","Fill=—","Direction=H","UseDPDF=Y")</f>
        <v>#NAME?</v>
      </c>
      <c r="BV337" s="1" t="e">
        <f ca="1">_xll.BDH($C$328,"TOTAL_CAPITAL_SEQUENTIAL_GROWTH","FQ4 2015","FQ4 2015","Currency=INR","Period=FQ","BEST_FPERIOD_OVERRIDE=FQ","FILING_STATUS=OR","EQY_CONSOLIDATED=Y","Sort=A","Dates=H","DateFormat=P","Fill=—","Direction=H","UseDPDF=Y")</f>
        <v>#NAME?</v>
      </c>
      <c r="BW337" s="1" t="e">
        <f ca="1">_xll.BDH($C$328,"BPS_SEQUENTIAL_GROWTH","FQ4 2015","FQ4 2015","Currency=INR","Period=FQ","BEST_FPERIOD_OVERRIDE=FQ","FILING_STATUS=OR","EQY_CONSOLIDATED=Y","Sort=A","Dates=H","DateFormat=P","Fill=—","Direction=H","UseDPDF=Y")</f>
        <v>#NAME?</v>
      </c>
      <c r="BX337" s="1" t="e">
        <f ca="1">_xll.BDH($C$328,"CFO_SEQUENTIAL_GROWTH","FQ4 2015","FQ4 2015","Currency=INR","Period=FQ","BEST_FPERIOD_OVERRIDE=FQ","FILING_STATUS=OR","EQY_CONSOLIDATED=Y","Sort=A","Dates=H","DateFormat=P","Fill=—","Direction=H","UseDPDF=Y")</f>
        <v>#NAME?</v>
      </c>
      <c r="BY337" s="2" t="e">
        <f ca="1">_xll.BDH($C$328,"SHORT_AND_LONG_TERM_DEBT","FQ4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37" s="2" t="e">
        <f ca="1">_xll.BDH($C$328,"BS_ST_BORROW","FQ4 2015","FQ4 2015","Currency=INR","Period=FQ","BEST_FPERIOD_OVERRIDE=FQ","FILING_STATUS=OR","EQY_CONSOLIDATED=Y","SCALING_FORMAT=MLN","Sort=A","Dates=H","DateFormat=P","Fill=—","Direction=H","UseDPDF=Y")</f>
        <v>#NAME?</v>
      </c>
      <c r="CA337" s="2" t="e">
        <f ca="1">_xll.BDH($C$328,"BS_LT_BORROW","FQ4 2015","FQ4 2015","Currency=INR","Period=FQ","BEST_FPERIOD_OVERRIDE=FQ","FILING_STATUS=OR","EQY_CONSOLIDATED=Y","SCALING_FORMAT=MLN","Sort=A","Dates=H","DateFormat=P","Fill=—","Direction=H","UseDPDF=Y")</f>
        <v>#NAME?</v>
      </c>
      <c r="CB337" s="1" t="e">
        <f ca="1">_xll.BDH($C$328,"TOT_DEBT_TO_EBITDA","FQ4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37" s="1" t="e">
        <f ca="1">_xll.BDH($C$328,"NET_DEBT_TO_EBITDA","FQ4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37" s="1" t="e">
        <f ca="1">_xll.BDH($C$328,"TOTAL_DEBT_TO_EBIT","FQ4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37" s="1" t="e">
        <f ca="1">_xll.BDH($C$328,"NET_DEBT_TO_EBIT","FQ4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337" s="1" t="e">
        <f ca="1">_xll.BDH($C$328,"EBITDA_TO_INTEREST_EXPN","FQ4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37" s="1" t="e">
        <f ca="1">_xll.BDH($C$328,"COM_EQY_TO_TOT_ASSET","FQ4 2015","FQ4 2015","Currency=INR","Period=FQ","BEST_FPERIOD_OVERRIDE=FQ","FILING_STATUS=OR","EQY_CONSOLIDATED=Y","Sort=A","Dates=H","DateFormat=P","Fill=—","Direction=H","UseDPDF=Y")</f>
        <v>#NAME?</v>
      </c>
      <c r="CH337" s="1" t="e">
        <f ca="1">_xll.BDH($C$328,"LT_DEBT_TO_TOT_EQY","FQ4 2015","FQ4 2015","Currency=INR","Period=FQ","BEST_FPERIOD_OVERRIDE=FQ","FILING_STATUS=OR","EQY_CONSOLIDATED=Y","Sort=A","Dates=H","DateFormat=P","Fill=—","Direction=H","UseDPDF=Y")</f>
        <v>#NAME?</v>
      </c>
      <c r="CI337" s="1" t="e">
        <f ca="1">_xll.BDH($C$328,"LT_DEBT_TO_TOT_CAP","FQ4 2015","FQ4 2015","Currency=INR","Period=FQ","BEST_FPERIOD_OVERRIDE=FQ","FILING_STATUS=OR","EQY_CONSOLIDATED=Y","Sort=A","Dates=H","DateFormat=P","Fill=—","Direction=H","UseDPDF=Y")</f>
        <v>#NAME?</v>
      </c>
      <c r="CJ337" s="1" t="e">
        <f ca="1">_xll.BDH($C$328,"LT_DEBT_TO_TOT_ASSET","FQ4 2015","FQ4 2015","Currency=INR","Period=FQ","BEST_FPERIOD_OVERRIDE=FQ","FILING_STATUS=OR","EQY_CONSOLIDATED=Y","Sort=A","Dates=H","DateFormat=P","Fill=—","Direction=H","UseDPDF=Y")</f>
        <v>#NAME?</v>
      </c>
      <c r="CK337" s="1" t="e">
        <f ca="1">_xll.BDH($C$328,"TOT_DEBT_TO_TOT_EQY","FQ4 2015","FQ4 2015","Currency=INR","Period=FQ","BEST_FPERIOD_OVERRIDE=FQ","FILING_STATUS=OR","EQY_CONSOLIDATED=Y","Sort=A","Dates=H","DateFormat=P","Fill=—","Direction=H","UseDPDF=Y")</f>
        <v>#NAME?</v>
      </c>
      <c r="CL337" s="1" t="e">
        <f ca="1">_xll.BDH($C$328,"TOT_DEBT_TO_TOT_CAP","FQ4 2015","FQ4 2015","Currency=INR","Period=FQ","BEST_FPERIOD_OVERRIDE=FQ","FILING_STATUS=OR","EQY_CONSOLIDATED=Y","Sort=A","Dates=H","DateFormat=P","Fill=—","Direction=H","UseDPDF=Y")</f>
        <v>#NAME?</v>
      </c>
      <c r="CM337" s="1" t="e">
        <f ca="1">_xll.BDH($C$328,"TOT_DEBT_TO_TOT_ASSET","FQ4 2015","FQ4 2015","Currency=INR","Period=FQ","BEST_FPERIOD_OVERRIDE=FQ","FILING_STATUS=OR","EQY_CONSOLIDATED=Y","Sort=A","Dates=H","DateFormat=P","Fill=—","Direction=H","UseDPDF=Y")</f>
        <v>#NAME?</v>
      </c>
      <c r="CN337" s="1" t="e">
        <f ca="1">_xll.BDH($C$328,"NET_DEBT_TO_SHRHLDR_EQTY","FQ4 2015","FQ4 2015","Currency=INR","Period=FQ","BEST_FPERIOD_OVERRIDE=FQ","FILING_STATUS=OR","EQY_CONSOLIDATED=Y","Sort=A","Dates=H","DateFormat=P","Fill=—","Direction=H","UseDPDF=Y")</f>
        <v>#NAME?</v>
      </c>
      <c r="CO337" s="1" t="e">
        <f ca="1">_xll.BDH($C$328,"NET_DEBT_%_CAPITAL","FQ4 2015","FQ4 2015","Currency=INR","Period=FQ","BEST_FPERIOD_OVERRIDE=FQ","FILING_STATUS=OR","EQY_CONSOLIDATED=Y","Sort=A","Dates=H","DateFormat=P","Fill=—","Direction=H","UseDPDF=Y")</f>
        <v>#NAME?</v>
      </c>
      <c r="CP337" s="2" t="e">
        <f ca="1">_xll.BDH($C$328,"EBITDA","FQ4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37" s="2" t="e">
        <f ca="1">_xll.BDH($C$328,"EBITDA_AFTER_CAPEX","FQ4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37" s="2" t="e">
        <f ca="1">_xll.BDH($C$328,"IS_OPER_INC","FQ4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37" s="1" t="e">
        <f ca="1">_xll.BDH($C$328,"CASH_RATIO","FQ4 2015","FQ4 2015","Currency=INR","Period=FQ","BEST_FPERIOD_OVERRIDE=FQ","FILING_STATUS=OR","EQY_CONSOLIDATED=Y","Sort=A","Dates=H","DateFormat=P","Fill=—","Direction=H","UseDPDF=Y")</f>
        <v>#NAME?</v>
      </c>
      <c r="CT337" s="1" t="e">
        <f ca="1">_xll.BDH($C$328,"CUR_RATIO","FQ4 2015","FQ4 2015","Currency=INR","Period=FQ","BEST_FPERIOD_OVERRIDE=FQ","FILING_STATUS=OR","EQY_CONSOLIDATED=Y","Sort=A","Dates=H","DateFormat=P","Fill=—","Direction=H","UseDPDF=Y")</f>
        <v>#NAME?</v>
      </c>
      <c r="CU337" s="1" t="e">
        <f ca="1">_xll.BDH($C$328,"QUICK_RATIO","FQ4 2015","FQ4 2015","Currency=INR","Period=FQ","BEST_FPERIOD_OVERRIDE=FQ","FILING_STATUS=OR","EQY_CONSOLIDATED=Y","Sort=A","Dates=H","DateFormat=P","Fill=—","Direction=H","UseDPDF=Y")</f>
        <v>#NAME?</v>
      </c>
      <c r="CV337" s="1" t="e">
        <f ca="1">_xll.BDH($C$328,"ALTMAN_Z_SCORE","FQ4 2015","FQ4 2015","Currency=INR","Period=FQ","BEST_FPERIOD_OVERRIDE=FQ","FILING_STATUS=OR","EQY_CONSOLIDATED=Y","Sort=A","Dates=H","DateFormat=P","Fill=—","Direction=H","UseDPDF=Y")</f>
        <v>#NAME?</v>
      </c>
      <c r="CW337" s="3" t="e">
        <f ca="1">_xll.BDH($C$328,"ACCT_RCV_TURN","FQ4 2015","FQ4 2015","Currency=INR","Period=FQ","BEST_FPERIOD_OVERRIDE=FQ","FILING_STATUS=OR","EQY_CONSOLIDATED=Y","FA_ADJUSTED=GAAP","Sort=A","Dates=H","DateFormat=P","Fill=—","Direction=H","UseDPDF=Y")</f>
        <v>#NAME?</v>
      </c>
      <c r="CX337" s="1" t="e">
        <f ca="1">_xll.BDH($C$328,"ACCT_RCV_DAYS","FQ4 2015","FQ4 2015","Currency=INR","Period=FQ","BEST_FPERIOD_OVERRIDE=FQ","FILING_STATUS=OR","EQY_CONSOLIDATED=Y","FA_ADJUSTED=GAAP","Sort=A","Dates=H","DateFormat=P","Fill=—","Direction=H","UseDPDF=Y")</f>
        <v>#NAME?</v>
      </c>
      <c r="CY337" s="3" t="e">
        <f ca="1">_xll.BDH($C$328,"INVENT_TURN","FQ4 2015","FQ4 2015","Currency=INR","Period=FQ","BEST_FPERIOD_OVERRIDE=FQ","FILING_STATUS=OR","EQY_CONSOLIDATED=Y","FA_ADJUSTED=GAAP","Sort=A","Dates=H","DateFormat=P","Fill=—","Direction=H","UseDPDF=Y")</f>
        <v>#NAME?</v>
      </c>
      <c r="CZ337" s="1" t="e">
        <f ca="1">_xll.BDH($C$328,"INVENT_DAYS","FQ4 2015","FQ4 2015","Currency=INR","Period=FQ","BEST_FPERIOD_OVERRIDE=FQ","FILING_STATUS=OR","EQY_CONSOLIDATED=Y","FA_ADJUSTED=GAAP","Sort=A","Dates=H","DateFormat=P","Fill=—","Direction=H","UseDPDF=Y")</f>
        <v>#NAME?</v>
      </c>
      <c r="DA337" s="3" t="e">
        <f ca="1">_xll.BDH($C$328,"ACCOUNTS_PAYABLE_TURNOVER","FQ4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37" s="1" t="e">
        <f ca="1">_xll.BDH($C$328,"ACCOUNTS_PAYABLE_TURNOVER_DAYS","FQ4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37" s="3" t="e">
        <f ca="1">_xll.BDH($C$328,"CASH_CONVERSION_CYCLE","FQ4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37" s="3" t="e">
        <f ca="1">_xll.BDH($C$328,"INV_TO_CASH_DAYS","FQ4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337" s="4" t="e">
        <f ca="1">_xll.BDH($C$328,"BS_INVENTORIES","FQ4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337" s="2" t="e">
        <f ca="1">_xll.BDH($C$328,"INVTRY_RAW_MATERIALS","FQ4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37" s="2" t="e">
        <f ca="1">_xll.BDH($C$328,"INVTRY_IN_PROGRESS","FQ4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37" s="2" t="e">
        <f ca="1">_xll.BDH($C$328,"INVTRY_FINISHED_GOODS","FQ4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37" s="2" t="e">
        <f ca="1">_xll.BDH($C$328,"BS_OTHER_INV","FQ4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38" spans="1:113" x14ac:dyDescent="0.3">
      <c r="A338" s="6"/>
      <c r="B338" s="6"/>
      <c r="C338" s="6"/>
      <c r="D338" s="6" t="s">
        <v>9</v>
      </c>
      <c r="E338" t="s">
        <v>3</v>
      </c>
      <c r="F338" t="e">
        <f ca="1">_xll.BDH($C$328,"RETURN_COM_EQY","FY 2016","FY 2016","Currency=INR","Period=FY","BEST_FPERIOD_OVERRIDE=FY","FILING_STATUS=OR","EQY_CONSOLIDATED=Y","FA_ADJUSTED=GAAP","Sort=A","Dates=H","DateFormat=P","Fill=—","Direction=H","UseDPDF=Y")</f>
        <v>#NAME?</v>
      </c>
      <c r="G338" t="e">
        <f ca="1">_xll.BDH($C$328,"RETURN_ON_ASSET","FY 2016","FY 2016","Currency=INR","Period=FY","BEST_FPERIOD_OVERRIDE=FY","FILING_STATUS=OR","EQY_CONSOLIDATED=Y","FA_ADJUSTED=GAAP","Sort=A","Dates=H","DateFormat=P","Fill=—","Direction=H","UseDPDF=Y")</f>
        <v>#NAME?</v>
      </c>
      <c r="H338" t="e">
        <f ca="1">_xll.BDH($C$328,"RETURN_ON_CAP","FY 2016","FY 2016","Currency=INR","Period=FY","BEST_FPERIOD_OVERRIDE=FY","FILING_STATUS=OR","EQY_CONSOLIDATED=Y","FA_ADJUSTED=GAAP","Sort=A","Dates=H","DateFormat=P","Fill=—","Direction=H","UseDPDF=Y")</f>
        <v>#NAME?</v>
      </c>
      <c r="I338" t="e">
        <f ca="1">_xll.BDH($C$328,"RETURN_ON_INV_CAPITAL","FY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38" t="e">
        <f ca="1">_xll.BDH($C$328,"EBITDA_TO_REVENUE","FY 2016","FY 2016","Currency=INR","Period=FY","BEST_FPERIOD_OVERRIDE=FY","FILING_STATUS=OR","EQY_CONSOLIDATED=Y","FA_ADJUSTED=GAAP","Sort=A","Dates=H","DateFormat=P","Fill=—","Direction=H","UseDPDF=Y")</f>
        <v>#NAME?</v>
      </c>
      <c r="K338" t="e">
        <f ca="1">_xll.BDH($C$328,"OPER_MARGIN","FY 2016","FY 2016","Currency=INR","Period=FY","BEST_FPERIOD_OVERRIDE=FY","FILING_STATUS=OR","EQY_CONSOLIDATED=Y","FA_ADJUSTED=GAAP","Sort=A","Dates=H","DateFormat=P","Fill=—","Direction=H","UseDPDF=Y")</f>
        <v>#NAME?</v>
      </c>
      <c r="L338" t="e">
        <f ca="1">_xll.BDH($C$328,"INCREMENTAL_OPERATING_MARGIN","FY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38" t="e">
        <f ca="1">_xll.BDH($C$328,"PRETAX_INC_TO_NET_SALES","FY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38" t="e">
        <f ca="1">_xll.BDH($C$328,"INC_BEF_XO_ITEMS_TO_NET_SALES","FY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38" t="e">
        <f ca="1">_xll.BDH($C$328,"PROF_MARGIN","FY 2016","FY 2016","Currency=INR","Period=FY","BEST_FPERIOD_OVERRIDE=FY","FILING_STATUS=OR","EQY_CONSOLIDATED=Y","FA_ADJUSTED=GAAP","Sort=A","Dates=H","DateFormat=P","Fill=—","Direction=H","UseDPDF=Y")</f>
        <v>#NAME?</v>
      </c>
      <c r="P338" t="e">
        <f ca="1">_xll.BDH($C$328,"NET_INCOME_TO_COMMON_MARGIN","FY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38" t="e">
        <f ca="1">_xll.BDH($C$328,"EFF_TAX_RATE","FY 2016","FY 2016","Currency=INR","Period=FY","BEST_FPERIOD_OVERRIDE=FY","FILING_STATUS=OR","EQY_CONSOLIDATED=Y","FA_ADJUSTED=GAAP","Sort=A","Dates=H","DateFormat=P","Fill=—","Direction=H","UseDPDF=Y")</f>
        <v>#NAME?</v>
      </c>
      <c r="R338" t="e">
        <f ca="1">_xll.BDH($C$328,"DVD_PAYOUT_RATIO","FY 2016","FY 2016","Currency=INR","Period=FY","BEST_FPERIOD_OVERRIDE=FY","FILING_STATUS=OR","EQY_CONSOLIDATED=Y","FA_ADJUSTED=GAAP","Sort=A","Dates=H","DateFormat=P","Fill=—","Direction=H","UseDPDF=Y")</f>
        <v>#NAME?</v>
      </c>
      <c r="S338" t="e">
        <f ca="1">_xll.BDH($C$328,"SUSTAIN_GROWTH_RT","FY 2016","FY 2016","Currency=INR","Period=FY","BEST_FPERIOD_OVERRIDE=FY","FILING_STATUS=OR","EQY_CONSOLIDATED=Y","FA_ADJUSTED=GAAP","Sort=A","Dates=H","DateFormat=P","Fill=—","Direction=H","UseDPDF=Y")</f>
        <v>#NAME?</v>
      </c>
      <c r="T338" s="1" t="e">
        <f ca="1">_xll.BDH($C$328,"SALES_GROWTH","FY 2016","FY 2016","Currency=INR","Period=FY","BEST_FPERIOD_OVERRIDE=FY","FILING_STATUS=OR","EQY_CONSOLIDATED=Y","FA_ADJUSTED=GAAP","Sort=A","Dates=H","DateFormat=P","Fill=—","Direction=H","UseDPDF=Y")</f>
        <v>#NAME?</v>
      </c>
      <c r="U338" s="1" t="e">
        <f ca="1">_xll.BDH($C$328,"EBITDA_GROWTH","FY 2016","FY 2016","Currency=INR","Period=FY","BEST_FPERIOD_OVERRIDE=FY","FILING_STATUS=OR","EQY_CONSOLIDATED=Y","FA_ADJUSTED=GAAP","Sort=A","Dates=H","DateFormat=P","Fill=—","Direction=H","UseDPDF=Y")</f>
        <v>#NAME?</v>
      </c>
      <c r="V338" s="1" t="e">
        <f ca="1">_xll.BDH($C$328,"OPER_INC_GROWTH","FY 2016","FY 2016","Currency=INR","Period=FY","BEST_FPERIOD_OVERRIDE=FY","FILING_STATUS=OR","EQY_CONSOLIDATED=Y","FA_ADJUSTED=GAAP","Sort=A","Dates=H","DateFormat=P","Fill=—","Direction=H","UseDPDF=Y")</f>
        <v>#NAME?</v>
      </c>
      <c r="W338" s="1" t="e">
        <f ca="1">_xll.BDH($C$328,"EARN_FOR_COM_GROWTH","FY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338" s="1" t="e">
        <f ca="1">_xll.BDH($C$328,"DILUTED_EPS_AFT_XO_ITEMS_GROWTH","FY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38" s="1" t="e">
        <f ca="1">_xll.BDH($C$328,"DIVIDEND_PER_SHARE_1_YEAR_GROWTH","FY 2016","FY 2016","Currency=INR","Period=FY","BEST_FPERIOD_OVERRIDE=FY","FILING_STATUS=OR","EQY_CONSOLIDATED=Y","Sort=A","Dates=H","DateFormat=P","Fill=—","Direction=H","UseDPDF=Y")</f>
        <v>#NAME?</v>
      </c>
      <c r="Z338" s="1" t="e">
        <f ca="1">_xll.BDH($C$328,"ACCOUNTS_RECEIVABLE_GROWTH","FY 2016","FY 2016","Currency=INR","Period=FY","BEST_FPERIOD_OVERRIDE=FY","FILING_STATUS=OR","EQY_CONSOLIDATED=Y","Sort=A","Dates=H","DateFormat=P","Fill=—","Direction=H","UseDPDF=Y")</f>
        <v>#NAME?</v>
      </c>
      <c r="AA338" s="1" t="e">
        <f ca="1">_xll.BDH($C$328,"INVENTORY_GROWTH","FY 2016","FY 2016","Currency=INR","Period=FY","BEST_FPERIOD_OVERRIDE=FY","FILING_STATUS=OR","EQY_CONSOLIDATED=Y","Sort=A","Dates=H","DateFormat=P","Fill=—","Direction=H","UseDPDF=Y")</f>
        <v>#NAME?</v>
      </c>
      <c r="AB338" s="1" t="e">
        <f ca="1">_xll.BDH($C$328,"NET_FIXED_ASSETS_1_YEAR_GROWTH","FY 2016","FY 2016","Currency=INR","Period=FY","BEST_FPERIOD_OVERRIDE=FY","FILING_STATUS=OR","EQY_CONSOLIDATED=Y","Sort=A","Dates=H","DateFormat=P","Fill=—","Direction=H","UseDPDF=Y")</f>
        <v>#NAME?</v>
      </c>
      <c r="AC338" s="1" t="e">
        <f ca="1">_xll.BDH($C$328,"ASSET_GROWTH","FY 2016","FY 2016","Currency=INR","Period=FY","BEST_FPERIOD_OVERRIDE=FY","FILING_STATUS=OR","EQY_CONSOLIDATED=Y","Sort=A","Dates=H","DateFormat=P","Fill=—","Direction=H","UseDPDF=Y")</f>
        <v>#NAME?</v>
      </c>
      <c r="AD338" s="1" t="e">
        <f ca="1">_xll.BDH($C$328,"MODIFIED_WORK_CAP_GROWTH","FY 2016","FY 2016","Currency=INR","Period=FY","BEST_FPERIOD_OVERRIDE=FY","FILING_STATUS=OR","EQY_CONSOLIDATED=Y","Sort=A","Dates=H","DateFormat=P","Fill=—","Direction=H","UseDPDF=Y")</f>
        <v>#NAME?</v>
      </c>
      <c r="AE338" s="1" t="e">
        <f ca="1">_xll.BDH($C$328,"WORK_CAP_GROWTH","FY 2016","FY 2016","Currency=INR","Period=FY","BEST_FPERIOD_OVERRIDE=FY","FILING_STATUS=OR","EQY_CONSOLIDATED=Y","Sort=A","Dates=H","DateFormat=P","Fill=—","Direction=H","UseDPDF=Y")</f>
        <v>#NAME?</v>
      </c>
      <c r="AF338" s="1" t="e">
        <f ca="1">_xll.BDH($C$328,"ACCOUNTS_PAYABLE_GROWTH_1YR","FY 2016","FY 2016","Currency=INR","Period=FY","BEST_FPERIOD_OVERRIDE=FY","FILING_STATUS=OR","EQY_CONSOLIDATED=Y","Sort=A","Dates=H","DateFormat=P","Fill=—","Direction=H","UseDPDF=Y")</f>
        <v>#NAME?</v>
      </c>
      <c r="AG338" s="1" t="e">
        <f ca="1">_xll.BDH($C$328,"SHORT_TERM_DEBT_1_YEAR_GROWTH","FY 2016","FY 2016","Currency=INR","Period=FY","BEST_FPERIOD_OVERRIDE=FY","FILING_STATUS=OR","EQY_CONSOLIDATED=Y","Sort=A","Dates=H","DateFormat=P","Fill=—","Direction=H","UseDPDF=Y")</f>
        <v>#NAME?</v>
      </c>
      <c r="AH338" s="1" t="e">
        <f ca="1">_xll.BDH($C$328,"TOTAL_DEBT_1_YEAR_GROWTH","FY 2016","FY 2016","Currency=INR","Period=FY","BEST_FPERIOD_OVERRIDE=FY","FILING_STATUS=OR","EQY_CONSOLIDATED=Y","Sort=A","Dates=H","DateFormat=P","Fill=—","Direction=H","UseDPDF=Y")</f>
        <v>#NAME?</v>
      </c>
      <c r="AI338" s="1" t="e">
        <f ca="1">_xll.BDH($C$328,"TOTAL_EQUITY_1_YEAR_GROWTH","FY 2016","FY 2016","Currency=INR","Period=FY","BEST_FPERIOD_OVERRIDE=FY","FILING_STATUS=OR","EQY_CONSOLIDATED=Y","Sort=A","Dates=H","DateFormat=P","Fill=—","Direction=H","UseDPDF=Y")</f>
        <v>#NAME?</v>
      </c>
      <c r="AJ338" s="1" t="e">
        <f ca="1">_xll.BDH($C$328,"GROWTH_IN_CAP","FY 2016","FY 2016","Currency=INR","Period=FY","BEST_FPERIOD_OVERRIDE=FY","FILING_STATUS=OR","EQY_CONSOLIDATED=Y","Sort=A","Dates=H","DateFormat=P","Fill=—","Direction=H","UseDPDF=Y")</f>
        <v>#NAME?</v>
      </c>
      <c r="AK338" s="1" t="e">
        <f ca="1">_xll.BDH($C$328,"BVPS_GROWTH","FY 2016","FY 2016","Currency=INR","Period=FY","BEST_FPERIOD_OVERRIDE=FY","FILING_STATUS=OR","EQY_CONSOLIDATED=Y","Sort=A","Dates=H","DateFormat=P","Fill=—","Direction=H","UseDPDF=Y")</f>
        <v>#NAME?</v>
      </c>
      <c r="AL338" s="1" t="e">
        <f ca="1">_xll.BDH($C$328,"CASH_FLOW_GROWTH","FY 2016","FY 2016","Currency=INR","Period=FY","BEST_FPERIOD_OVERRIDE=FY","FILING_STATUS=OR","EQY_CONSOLIDATED=Y","Sort=A","Dates=H","DateFormat=P","Fill=—","Direction=H","UseDPDF=Y")</f>
        <v>#NAME?</v>
      </c>
      <c r="AM338" s="1" t="e">
        <f ca="1">_xll.BDH($C$328,"GEO_GROW_NET_SALES","FY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338" s="1" t="e">
        <f ca="1">_xll.BDH($C$328,"GEO_GROW_EBITDA","FY 2016","FY 2016","Currency=INR","Period=FY","BEST_FPERIOD_OVERRIDE=FY","FILING_STATUS=OR","EQY_CONSOLIDATED=Y","FA_ADJUSTED=GAAP","Sort=A","Dates=H","DateFormat=P","Fill=—","Direction=H","UseDPDF=Y")</f>
        <v>#NAME?</v>
      </c>
      <c r="AO338" s="1" t="e">
        <f ca="1">_xll.BDH($C$328,"GEO_GROW_OPER_INC","FY 2016","FY 2016","Currency=INR","Period=FY","BEST_FPERIOD_OVERRIDE=FY","FILING_STATUS=OR","EQY_CONSOLIDATED=Y","FA_ADJUSTED=GAAP","Sort=A","Dates=H","DateFormat=P","Fill=—","Direction=H","UseDPDF=Y")</f>
        <v>#NAME?</v>
      </c>
      <c r="AP338" s="1" t="e">
        <f ca="1">_xll.BDH($C$328,"NET_INCOME_TO_COMMON_5_YR_GROWTH","FY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38" s="1" t="e">
        <f ca="1">_xll.BDH($C$328,"5Y_GEO_GROWTH_DILUTED_EPS","FY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38" s="1" t="e">
        <f ca="1">_xll.BDH($C$328,"GEO_GROW_DVD_PER_SH","FY 2016","FY 2016","Currency=INR","Period=FY","BEST_FPERIOD_OVERRIDE=FY","FILING_STATUS=OR","EQY_CONSOLIDATED=Y","Sort=A","Dates=H","DateFormat=P","Fill=—","Direction=H","UseDPDF=Y")</f>
        <v>#NAME?</v>
      </c>
      <c r="AS338" s="1" t="e">
        <f ca="1">_xll.BDH($C$328,"ACCOUNTS_RECEIVABLE_5_YR_GROWTH","FY 2016","FY 2016","Currency=INR","Period=FY","BEST_FPERIOD_OVERRIDE=FY","FILING_STATUS=OR","EQY_CONSOLIDATED=Y","Sort=A","Dates=H","DateFormat=P","Fill=—","Direction=H","UseDPDF=Y")</f>
        <v>#NAME?</v>
      </c>
      <c r="AT338" s="1" t="e">
        <f ca="1">_xll.BDH($C$328,"INVENTORY_5_YEAR_GROWTH","FY 2016","FY 2016","Currency=INR","Period=FY","BEST_FPERIOD_OVERRIDE=FY","FILING_STATUS=OR","EQY_CONSOLIDATED=Y","Sort=A","Dates=H","DateFormat=P","Fill=—","Direction=H","UseDPDF=Y")</f>
        <v>#NAME?</v>
      </c>
      <c r="AU338" s="1" t="e">
        <f ca="1">_xll.BDH($C$328,"NET_FIXED_ASSETS_5_YEAR_GROWTH","FY 2016","FY 2016","Currency=INR","Period=FY","BEST_FPERIOD_OVERRIDE=FY","FILING_STATUS=OR","EQY_CONSOLIDATED=Y","Sort=A","Dates=H","DateFormat=P","Fill=—","Direction=H","UseDPDF=Y")</f>
        <v>#NAME?</v>
      </c>
      <c r="AV338" s="1" t="e">
        <f ca="1">_xll.BDH($C$328,"GEO_GROW_TOT_ASSET","FY 2016","FY 2016","Currency=INR","Period=FY","BEST_FPERIOD_OVERRIDE=FY","FILING_STATUS=OR","EQY_CONSOLIDATED=Y","Sort=A","Dates=H","DateFormat=P","Fill=—","Direction=H","UseDPDF=Y")</f>
        <v>#NAME?</v>
      </c>
      <c r="AW338" s="1" t="e">
        <f ca="1">_xll.BDH($C$328,"MODIFIED_WORKING_CPTL_5YR_GRWTH","FY 2016","FY 2016","Currency=INR","Period=FY","BEST_FPERIOD_OVERRIDE=FY","FILING_STATUS=OR","EQY_CONSOLIDATED=Y","Sort=A","Dates=H","DateFormat=P","Fill=—","Direction=H","UseDPDF=Y")</f>
        <v>#NAME?</v>
      </c>
      <c r="AX338" s="1" t="e">
        <f ca="1">_xll.BDH($C$328,"WORKING_CAPITAL_5_YEAR_GROWTH","FY 2016","FY 2016","Currency=INR","Period=FY","BEST_FPERIOD_OVERRIDE=FY","FILING_STATUS=OR","EQY_CONSOLIDATED=Y","Sort=A","Dates=H","DateFormat=P","Fill=—","Direction=H","UseDPDF=Y")</f>
        <v>#NAME?</v>
      </c>
      <c r="AY338" s="1" t="e">
        <f ca="1">_xll.BDH($C$328,"ACCOUNTS_PAYABLE_5_YEAR_GROWTH","FY 2016","FY 2016","Currency=INR","Period=FY","BEST_FPERIOD_OVERRIDE=FY","FILING_STATUS=OR","EQY_CONSOLIDATED=Y","Sort=A","Dates=H","DateFormat=P","Fill=—","Direction=H","UseDPDF=Y")</f>
        <v>#NAME?</v>
      </c>
      <c r="AZ338" s="1" t="e">
        <f ca="1">_xll.BDH($C$328,"SHORT_TERM_DEBT_5_YEAR_GROWTH","FY 2016","FY 2016","Currency=INR","Period=FY","BEST_FPERIOD_OVERRIDE=FY","FILING_STATUS=OR","EQY_CONSOLIDATED=Y","Sort=A","Dates=H","DateFormat=P","Fill=—","Direction=H","UseDPDF=Y")</f>
        <v>#NAME?</v>
      </c>
      <c r="BA338" s="1" t="e">
        <f ca="1">_xll.BDH($C$328,"TOTAL_DEBT_5_YEAR_GROWTH","FY 2016","FY 2016","Currency=INR","Period=FY","BEST_FPERIOD_OVERRIDE=FY","FILING_STATUS=OR","EQY_CONSOLIDATED=Y","Sort=A","Dates=H","DateFormat=P","Fill=—","Direction=H","UseDPDF=Y")</f>
        <v>#NAME?</v>
      </c>
      <c r="BB338" s="1" t="e">
        <f ca="1">_xll.BDH($C$328,"GEO_GROW_TOT_SHRHLDR_EQY","FY 2016","FY 2016","Currency=INR","Period=FY","BEST_FPERIOD_OVERRIDE=FY","FILING_STATUS=OR","EQY_CONSOLIDATED=Y","Sort=A","Dates=H","DateFormat=P","Fill=—","Direction=H","UseDPDF=Y")</f>
        <v>#NAME?</v>
      </c>
      <c r="BC338" s="1" t="e">
        <f ca="1">_xll.BDH($C$328,"TOTAL_CAPITAL_5_YEAR_GROWTH","FY 2016","FY 2016","Currency=INR","Period=FY","BEST_FPERIOD_OVERRIDE=FY","FILING_STATUS=OR","EQY_CONSOLIDATED=Y","Sort=A","Dates=H","DateFormat=P","Fill=—","Direction=H","UseDPDF=Y")</f>
        <v>#NAME?</v>
      </c>
      <c r="BD338" s="1" t="e">
        <f ca="1">_xll.BDH($C$328,"GEO_GROW_BOOK_VAL","FY 2016","FY 2016","Currency=INR","Period=FY","BEST_FPERIOD_OVERRIDE=FY","FILING_STATUS=OR","EQY_CONSOLIDATED=Y","Sort=A","Dates=H","DateFormat=P","Fill=—","Direction=H","UseDPDF=Y")</f>
        <v>#NAME?</v>
      </c>
      <c r="BE338" s="1" t="e">
        <f ca="1">_xll.BDH($C$328,"GEO_GROW_CASH_OPER_ACT","FY 2016","FY 2016","Currency=INR","Period=FY","BEST_FPERIOD_OVERRIDE=FY","FILING_STATUS=OR","EQY_CONSOLIDATED=Y","Sort=A","Dates=H","DateFormat=P","Fill=—","Direction=H","UseDPDF=Y")</f>
        <v>#NAME?</v>
      </c>
      <c r="BF338" s="1" t="e">
        <f ca="1">_xll.BDH($C$328,"REVENUE_SEQUENTIAL_GROWTH","FY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38" s="1" t="e">
        <f ca="1">_xll.BDH($C$328,"EBITDA_SEQUENTIAL_GROWTH","FY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38" s="1" t="e">
        <f ca="1">_xll.BDH($C$328,"OPERATING_INCOME_SEQ_GROWTH","FY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38" s="1" t="e">
        <f ca="1">_xll.BDH($C$328,"NET_INCOME_TO_COMMON_SEQ_GROWTH","FY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38" s="1" t="e">
        <f ca="1">_xll.BDH($C$328,"EPS_DILUTED_SEQUENTIAL_GROWTH","FY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38" s="1" t="e">
        <f ca="1">_xll.BDH($C$328,"DPS_SEQUENTIAL_GROWTH","FY 2016","FY 2016","Currency=INR","Period=FY","BEST_FPERIOD_OVERRIDE=FY","FILING_STATUS=OR","EQY_CONSOLIDATED=Y","Sort=A","Dates=H","DateFormat=P","Fill=—","Direction=H","UseDPDF=Y")</f>
        <v>#NAME?</v>
      </c>
      <c r="BL338" s="1" t="e">
        <f ca="1">_xll.BDH($C$328,"ACCOUNTS_RECEIVABLE_SEQ_GROWTH","FY 2016","FY 2016","Currency=INR","Period=FY","BEST_FPERIOD_OVERRIDE=FY","FILING_STATUS=OR","EQY_CONSOLIDATED=Y","Sort=A","Dates=H","DateFormat=P","Fill=—","Direction=H","UseDPDF=Y")</f>
        <v>#NAME?</v>
      </c>
      <c r="BM338" s="1" t="e">
        <f ca="1">_xll.BDH($C$328,"INVENTORY_SEQUENTIAL_GROWTH","FY 2016","FY 2016","Currency=INR","Period=FY","BEST_FPERIOD_OVERRIDE=FY","FILING_STATUS=OR","EQY_CONSOLIDATED=Y","Sort=A","Dates=H","DateFormat=P","Fill=—","Direction=H","UseDPDF=Y")</f>
        <v>#NAME?</v>
      </c>
      <c r="BN338" s="1" t="e">
        <f ca="1">_xll.BDH($C$328,"FIXED_ASSETS_SEQUENTIAL_GROWTH","FY 2016","FY 2016","Currency=INR","Period=FY","BEST_FPERIOD_OVERRIDE=FY","FILING_STATUS=OR","EQY_CONSOLIDATED=Y","Sort=A","Dates=H","DateFormat=P","Fill=—","Direction=H","UseDPDF=Y")</f>
        <v>#NAME?</v>
      </c>
      <c r="BO338" s="1" t="e">
        <f ca="1">_xll.BDH($C$328,"TOTAL_ASSETS_SEQUENTIAL_GROWTH","FY 2016","FY 2016","Currency=INR","Period=FY","BEST_FPERIOD_OVERRIDE=FY","FILING_STATUS=OR","EQY_CONSOLIDATED=Y","Sort=A","Dates=H","DateFormat=P","Fill=—","Direction=H","UseDPDF=Y")</f>
        <v>#NAME?</v>
      </c>
      <c r="BP338" s="1" t="e">
        <f ca="1">_xll.BDH($C$328,"MODIFIED_WORKING_CPTL_SEQ_GRWTH","FY 2016","FY 2016","Currency=INR","Period=FY","BEST_FPERIOD_OVERRIDE=FY","FILING_STATUS=OR","EQY_CONSOLIDATED=Y","Sort=A","Dates=H","DateFormat=P","Fill=—","Direction=H","UseDPDF=Y")</f>
        <v>#NAME?</v>
      </c>
      <c r="BQ338" s="1" t="e">
        <f ca="1">_xll.BDH($C$328,"WORKING_CAPITAL_SEQ_GROWTH","FY 2016","FY 2016","Currency=INR","Period=FY","BEST_FPERIOD_OVERRIDE=FY","FILING_STATUS=OR","EQY_CONSOLIDATED=Y","Sort=A","Dates=H","DateFormat=P","Fill=—","Direction=H","UseDPDF=Y")</f>
        <v>#NAME?</v>
      </c>
      <c r="BR338" s="1" t="e">
        <f ca="1">_xll.BDH($C$328,"ACCOUNTS_PAYABLE_SEQ_GROWTH","FY 2016","FY 2016","Currency=INR","Period=FY","BEST_FPERIOD_OVERRIDE=FY","FILING_STATUS=OR","EQY_CONSOLIDATED=Y","Sort=A","Dates=H","DateFormat=P","Fill=—","Direction=H","UseDPDF=Y")</f>
        <v>#NAME?</v>
      </c>
      <c r="BS338" s="1" t="e">
        <f ca="1">_xll.BDH($C$328,"ST_DEBT_SEQUENTIAL_GROWTH","FY 2016","FY 2016","Currency=INR","Period=FY","BEST_FPERIOD_OVERRIDE=FY","FILING_STATUS=OR","EQY_CONSOLIDATED=Y","Sort=A","Dates=H","DateFormat=P","Fill=—","Direction=H","UseDPDF=Y")</f>
        <v>#NAME?</v>
      </c>
      <c r="BT338" s="1" t="e">
        <f ca="1">_xll.BDH($C$328,"TOTAL_DEBT_SEQUENTIAL_GROWTH","FY 2016","FY 2016","Currency=INR","Period=FY","BEST_FPERIOD_OVERRIDE=FY","FILING_STATUS=OR","EQY_CONSOLIDATED=Y","Sort=A","Dates=H","DateFormat=P","Fill=—","Direction=H","UseDPDF=Y")</f>
        <v>#NAME?</v>
      </c>
      <c r="BU338" s="1" t="e">
        <f ca="1">_xll.BDH($C$328,"TOTAL_EQUITY_SEQUENTIAL_GROWTH","FY 2016","FY 2016","Currency=INR","Period=FY","BEST_FPERIOD_OVERRIDE=FY","FILING_STATUS=OR","EQY_CONSOLIDATED=Y","Sort=A","Dates=H","DateFormat=P","Fill=—","Direction=H","UseDPDF=Y")</f>
        <v>#NAME?</v>
      </c>
      <c r="BV338" s="1" t="e">
        <f ca="1">_xll.BDH($C$328,"TOTAL_CAPITAL_SEQUENTIAL_GROWTH","FY 2016","FY 2016","Currency=INR","Period=FY","BEST_FPERIOD_OVERRIDE=FY","FILING_STATUS=OR","EQY_CONSOLIDATED=Y","Sort=A","Dates=H","DateFormat=P","Fill=—","Direction=H","UseDPDF=Y")</f>
        <v>#NAME?</v>
      </c>
      <c r="BW338" s="1" t="e">
        <f ca="1">_xll.BDH($C$328,"BPS_SEQUENTIAL_GROWTH","FY 2016","FY 2016","Currency=INR","Period=FY","BEST_FPERIOD_OVERRIDE=FY","FILING_STATUS=OR","EQY_CONSOLIDATED=Y","Sort=A","Dates=H","DateFormat=P","Fill=—","Direction=H","UseDPDF=Y")</f>
        <v>#NAME?</v>
      </c>
      <c r="BX338" s="1" t="e">
        <f ca="1">_xll.BDH($C$328,"CFO_SEQUENTIAL_GROWTH","FY 2016","FY 2016","Currency=INR","Period=FY","BEST_FPERIOD_OVERRIDE=FY","FILING_STATUS=OR","EQY_CONSOLIDATED=Y","Sort=A","Dates=H","DateFormat=P","Fill=—","Direction=H","UseDPDF=Y")</f>
        <v>#NAME?</v>
      </c>
      <c r="BY338" s="2" t="e">
        <f ca="1">_xll.BDH($C$328,"SHORT_AND_LONG_TERM_DEBT","FY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38" s="2" t="e">
        <f ca="1">_xll.BDH($C$328,"BS_ST_BORROW","FY 2016","FY 2016","Currency=INR","Period=FY","BEST_FPERIOD_OVERRIDE=FY","FILING_STATUS=OR","EQY_CONSOLIDATED=Y","SCALING_FORMAT=MLN","Sort=A","Dates=H","DateFormat=P","Fill=—","Direction=H","UseDPDF=Y")</f>
        <v>#NAME?</v>
      </c>
      <c r="CA338" s="2" t="e">
        <f ca="1">_xll.BDH($C$328,"BS_LT_BORROW","FY 2016","FY 2016","Currency=INR","Period=FY","BEST_FPERIOD_OVERRIDE=FY","FILING_STATUS=OR","EQY_CONSOLIDATED=Y","SCALING_FORMAT=MLN","Sort=A","Dates=H","DateFormat=P","Fill=—","Direction=H","UseDPDF=Y")</f>
        <v>#NAME?</v>
      </c>
      <c r="CB338" s="1" t="e">
        <f ca="1">_xll.BDH($C$328,"TOT_DEBT_TO_EBITDA","FY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338" s="1" t="e">
        <f ca="1">_xll.BDH($C$328,"NET_DEBT_TO_EBITDA","FY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338" s="1" t="e">
        <f ca="1">_xll.BDH($C$328,"TOTAL_DEBT_TO_EBIT","FY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338" s="1" t="e">
        <f ca="1">_xll.BDH($C$328,"NET_DEBT_TO_EBIT","FY 2016","FY 2016","Currency=INR","Period=FY","BEST_FPERIOD_OVERRIDE=FY","FILING_STATUS=OR","EQY_CONSOLIDATED=Y","FA_ADJUSTED=GAAP","Sort=A","Dates=H","DateFormat=P","Fill=—","Direction=H","UseDPDF=Y")</f>
        <v>#NAME?</v>
      </c>
      <c r="CF338" s="1" t="e">
        <f ca="1">_xll.BDH($C$328,"EBITDA_TO_INTEREST_EXPN","FY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38" s="1" t="e">
        <f ca="1">_xll.BDH($C$328,"COM_EQY_TO_TOT_ASSET","FY 2016","FY 2016","Currency=INR","Period=FY","BEST_FPERIOD_OVERRIDE=FY","FILING_STATUS=OR","EQY_CONSOLIDATED=Y","Sort=A","Dates=H","DateFormat=P","Fill=—","Direction=H","UseDPDF=Y")</f>
        <v>#NAME?</v>
      </c>
      <c r="CH338" s="1" t="e">
        <f ca="1">_xll.BDH($C$328,"LT_DEBT_TO_TOT_EQY","FY 2016","FY 2016","Currency=INR","Period=FY","BEST_FPERIOD_OVERRIDE=FY","FILING_STATUS=OR","EQY_CONSOLIDATED=Y","Sort=A","Dates=H","DateFormat=P","Fill=—","Direction=H","UseDPDF=Y")</f>
        <v>#NAME?</v>
      </c>
      <c r="CI338" s="1" t="e">
        <f ca="1">_xll.BDH($C$328,"LT_DEBT_TO_TOT_CAP","FY 2016","FY 2016","Currency=INR","Period=FY","BEST_FPERIOD_OVERRIDE=FY","FILING_STATUS=OR","EQY_CONSOLIDATED=Y","Sort=A","Dates=H","DateFormat=P","Fill=—","Direction=H","UseDPDF=Y")</f>
        <v>#NAME?</v>
      </c>
      <c r="CJ338" s="1" t="e">
        <f ca="1">_xll.BDH($C$328,"LT_DEBT_TO_TOT_ASSET","FY 2016","FY 2016","Currency=INR","Period=FY","BEST_FPERIOD_OVERRIDE=FY","FILING_STATUS=OR","EQY_CONSOLIDATED=Y","Sort=A","Dates=H","DateFormat=P","Fill=—","Direction=H","UseDPDF=Y")</f>
        <v>#NAME?</v>
      </c>
      <c r="CK338" s="1" t="e">
        <f ca="1">_xll.BDH($C$328,"TOT_DEBT_TO_TOT_EQY","FY 2016","FY 2016","Currency=INR","Period=FY","BEST_FPERIOD_OVERRIDE=FY","FILING_STATUS=OR","EQY_CONSOLIDATED=Y","Sort=A","Dates=H","DateFormat=P","Fill=—","Direction=H","UseDPDF=Y")</f>
        <v>#NAME?</v>
      </c>
      <c r="CL338" s="1" t="e">
        <f ca="1">_xll.BDH($C$328,"TOT_DEBT_TO_TOT_CAP","FY 2016","FY 2016","Currency=INR","Period=FY","BEST_FPERIOD_OVERRIDE=FY","FILING_STATUS=OR","EQY_CONSOLIDATED=Y","Sort=A","Dates=H","DateFormat=P","Fill=—","Direction=H","UseDPDF=Y")</f>
        <v>#NAME?</v>
      </c>
      <c r="CM338" s="1" t="e">
        <f ca="1">_xll.BDH($C$328,"TOT_DEBT_TO_TOT_ASSET","FY 2016","FY 2016","Currency=INR","Period=FY","BEST_FPERIOD_OVERRIDE=FY","FILING_STATUS=OR","EQY_CONSOLIDATED=Y","Sort=A","Dates=H","DateFormat=P","Fill=—","Direction=H","UseDPDF=Y")</f>
        <v>#NAME?</v>
      </c>
      <c r="CN338" s="1" t="e">
        <f ca="1">_xll.BDH($C$328,"NET_DEBT_TO_SHRHLDR_EQTY","FY 2016","FY 2016","Currency=INR","Period=FY","BEST_FPERIOD_OVERRIDE=FY","FILING_STATUS=OR","EQY_CONSOLIDATED=Y","Sort=A","Dates=H","DateFormat=P","Fill=—","Direction=H","UseDPDF=Y")</f>
        <v>#NAME?</v>
      </c>
      <c r="CO338" s="1" t="e">
        <f ca="1">_xll.BDH($C$328,"NET_DEBT_%_CAPITAL","FY 2016","FY 2016","Currency=INR","Period=FY","BEST_FPERIOD_OVERRIDE=FY","FILING_STATUS=OR","EQY_CONSOLIDATED=Y","Sort=A","Dates=H","DateFormat=P","Fill=—","Direction=H","UseDPDF=Y")</f>
        <v>#NAME?</v>
      </c>
      <c r="CP338" s="2" t="e">
        <f ca="1">_xll.BDH($C$328,"EBITDA","FY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38" s="2" t="e">
        <f ca="1">_xll.BDH($C$328,"EBITDA_AFTER_CAPEX","FY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38" s="2" t="e">
        <f ca="1">_xll.BDH($C$328,"IS_OPER_INC","FY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38" s="1" t="e">
        <f ca="1">_xll.BDH($C$328,"CASH_RATIO","FY 2016","FY 2016","Currency=INR","Period=FY","BEST_FPERIOD_OVERRIDE=FY","FILING_STATUS=OR","EQY_CONSOLIDATED=Y","Sort=A","Dates=H","DateFormat=P","Fill=—","Direction=H","UseDPDF=Y")</f>
        <v>#NAME?</v>
      </c>
      <c r="CT338" s="1" t="e">
        <f ca="1">_xll.BDH($C$328,"CUR_RATIO","FY 2016","FY 2016","Currency=INR","Period=FY","BEST_FPERIOD_OVERRIDE=FY","FILING_STATUS=OR","EQY_CONSOLIDATED=Y","Sort=A","Dates=H","DateFormat=P","Fill=—","Direction=H","UseDPDF=Y")</f>
        <v>#NAME?</v>
      </c>
      <c r="CU338" s="1" t="e">
        <f ca="1">_xll.BDH($C$328,"QUICK_RATIO","FY 2016","FY 2016","Currency=INR","Period=FY","BEST_FPERIOD_OVERRIDE=FY","FILING_STATUS=OR","EQY_CONSOLIDATED=Y","Sort=A","Dates=H","DateFormat=P","Fill=—","Direction=H","UseDPDF=Y")</f>
        <v>#NAME?</v>
      </c>
      <c r="CV338" s="1" t="e">
        <f ca="1">_xll.BDH($C$328,"ALTMAN_Z_SCORE","FY 2016","FY 2016","Currency=INR","Period=FY","BEST_FPERIOD_OVERRIDE=FY","FILING_STATUS=OR","EQY_CONSOLIDATED=Y","Sort=A","Dates=H","DateFormat=P","Fill=—","Direction=H","UseDPDF=Y")</f>
        <v>#NAME?</v>
      </c>
      <c r="CW338" s="3" t="e">
        <f ca="1">_xll.BDH($C$328,"ACCT_RCV_TURN","FY 2016","FY 2016","Currency=INR","Period=FY","BEST_FPERIOD_OVERRIDE=FY","FILING_STATUS=OR","EQY_CONSOLIDATED=Y","FA_ADJUSTED=GAAP","Sort=A","Dates=H","DateFormat=P","Fill=—","Direction=H","UseDPDF=Y")</f>
        <v>#NAME?</v>
      </c>
      <c r="CX338" s="1" t="e">
        <f ca="1">_xll.BDH($C$328,"ACCT_RCV_DAYS","FY 2016","FY 2016","Currency=INR","Period=FY","BEST_FPERIOD_OVERRIDE=FY","FILING_STATUS=OR","EQY_CONSOLIDATED=Y","FA_ADJUSTED=GAAP","Sort=A","Dates=H","DateFormat=P","Fill=—","Direction=H","UseDPDF=Y")</f>
        <v>#NAME?</v>
      </c>
      <c r="CY338" s="3" t="e">
        <f ca="1">_xll.BDH($C$328,"INVENT_TURN","FY 2016","FY 2016","Currency=INR","Period=FY","BEST_FPERIOD_OVERRIDE=FY","FILING_STATUS=OR","EQY_CONSOLIDATED=Y","FA_ADJUSTED=GAAP","Sort=A","Dates=H","DateFormat=P","Fill=—","Direction=H","UseDPDF=Y")</f>
        <v>#NAME?</v>
      </c>
      <c r="CZ338" s="1" t="e">
        <f ca="1">_xll.BDH($C$328,"INVENT_DAYS","FY 2016","FY 2016","Currency=INR","Period=FY","BEST_FPERIOD_OVERRIDE=FY","FILING_STATUS=OR","EQY_CONSOLIDATED=Y","FA_ADJUSTED=GAAP","Sort=A","Dates=H","DateFormat=P","Fill=—","Direction=H","UseDPDF=Y")</f>
        <v>#NAME?</v>
      </c>
      <c r="DA338" s="3" t="e">
        <f ca="1">_xll.BDH($C$328,"ACCOUNTS_PAYABLE_TURNOVER","FY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38" s="1" t="e">
        <f ca="1">_xll.BDH($C$328,"ACCOUNTS_PAYABLE_TURNOVER_DAYS","FY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38" s="3" t="e">
        <f ca="1">_xll.BDH($C$328,"CASH_CONVERSION_CYCLE","FY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38" s="3" t="e">
        <f ca="1">_xll.BDH($C$328,"INV_TO_CASH_DAYS","FY 2016","FY 2016","Currency=INR","Period=FY","BEST_FPERIOD_OVERRIDE=FY","FILING_STATUS=OR","EQY_CONSOLIDATED=Y","FA_ADJUSTED=GAAP","Sort=A","Dates=H","DateFormat=P","Fill=—","Direction=H","UseDPDF=Y")</f>
        <v>#NAME?</v>
      </c>
      <c r="DE338" s="4" t="e">
        <f ca="1">_xll.BDH($C$328,"BS_INVENTORIES","FY 2016","FY 2016","Currency=INR","Period=FY","BEST_FPERIOD_OVERRIDE=FY","FILING_STATUS=OR","EQY_CONSOLIDATED=Y","SCALING_FORMAT=MLN","Sort=A","Dates=H","DateFormat=P","Fill=—","Direction=H","UseDPDF=Y")</f>
        <v>#NAME?</v>
      </c>
      <c r="DF338" s="2" t="e">
        <f ca="1">_xll.BDH($C$328,"INVTRY_RAW_MATERIALS","FY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38" s="2" t="e">
        <f ca="1">_xll.BDH($C$328,"INVTRY_IN_PROGRESS","FY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38" s="2" t="e">
        <f ca="1">_xll.BDH($C$328,"INVTRY_FINISHED_GOODS","FY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38" s="2" t="e">
        <f ca="1">_xll.BDH($C$328,"BS_OTHER_INV","FY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39" spans="1:113" x14ac:dyDescent="0.3">
      <c r="A339" s="6"/>
      <c r="B339" s="6"/>
      <c r="C339" s="6"/>
      <c r="D339" s="6"/>
      <c r="E339" t="s">
        <v>4</v>
      </c>
      <c r="F339" t="e">
        <f ca="1">_xll.BDH($C$328,"RETURN_COM_EQY","FQ1 2016","FQ1 2016","Currency=INR","Period=FQ","BEST_FPERIOD_OVERRIDE=FQ","FILING_STATUS=OR","EQY_CONSOLIDATED=Y","FA_ADJUSTED=GAAP","Sort=A","Dates=H","DateFormat=P","Fill=—","Direction=H","UseDPDF=Y")</f>
        <v>#NAME?</v>
      </c>
      <c r="G339" t="e">
        <f ca="1">_xll.BDH($C$328,"RETURN_ON_ASSET","FQ1 2016","FQ1 2016","Currency=INR","Period=FQ","BEST_FPERIOD_OVERRIDE=FQ","FILING_STATUS=OR","EQY_CONSOLIDATED=Y","FA_ADJUSTED=GAAP","Sort=A","Dates=H","DateFormat=P","Fill=—","Direction=H","UseDPDF=Y")</f>
        <v>#NAME?</v>
      </c>
      <c r="H339" t="e">
        <f ca="1">_xll.BDH($C$328,"RETURN_ON_CAP","FQ1 2016","FQ1 2016","Currency=INR","Period=FQ","BEST_FPERIOD_OVERRIDE=FQ","FILING_STATUS=OR","EQY_CONSOLIDATED=Y","FA_ADJUSTED=GAAP","Sort=A","Dates=H","DateFormat=P","Fill=—","Direction=H","UseDPDF=Y")</f>
        <v>#NAME?</v>
      </c>
      <c r="I339" t="e">
        <f ca="1">_xll.BDH($C$328,"RETURN_ON_INV_CAPITAL","FQ1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39" t="e">
        <f ca="1">_xll.BDH($C$328,"EBITDA_TO_REVENUE","FQ1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339" t="e">
        <f ca="1">_xll.BDH($C$328,"OPER_MARGIN","FQ1 2016","FQ1 2016","Currency=INR","Period=FQ","BEST_FPERIOD_OVERRIDE=FQ","FILING_STATUS=OR","EQY_CONSOLIDATED=Y","FA_ADJUSTED=GAAP","Sort=A","Dates=H","DateFormat=P","Fill=—","Direction=H","UseDPDF=Y")</f>
        <v>#NAME?</v>
      </c>
      <c r="L339" t="e">
        <f ca="1">_xll.BDH($C$328,"INCREMENTAL_OPERATING_MARGIN","FQ1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39" t="e">
        <f ca="1">_xll.BDH($C$328,"PRETAX_INC_TO_NET_SALES","FQ1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39" t="e">
        <f ca="1">_xll.BDH($C$328,"INC_BEF_XO_ITEMS_TO_NET_SALES","FQ1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39" t="e">
        <f ca="1">_xll.BDH($C$328,"PROF_MARGIN","FQ1 2016","FQ1 2016","Currency=INR","Period=FQ","BEST_FPERIOD_OVERRIDE=FQ","FILING_STATUS=OR","EQY_CONSOLIDATED=Y","FA_ADJUSTED=GAAP","Sort=A","Dates=H","DateFormat=P","Fill=—","Direction=H","UseDPDF=Y")</f>
        <v>#NAME?</v>
      </c>
      <c r="P339" t="e">
        <f ca="1">_xll.BDH($C$328,"NET_INCOME_TO_COMMON_MARGIN","FQ1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39" t="e">
        <f ca="1">_xll.BDH($C$328,"EFF_TAX_RATE","FQ1 2016","FQ1 2016","Currency=INR","Period=FQ","BEST_FPERIOD_OVERRIDE=FQ","FILING_STATUS=OR","EQY_CONSOLIDATED=Y","FA_ADJUSTED=GAAP","Sort=A","Dates=H","DateFormat=P","Fill=—","Direction=H","UseDPDF=Y")</f>
        <v>#NAME?</v>
      </c>
      <c r="R339" t="e">
        <f ca="1">_xll.BDH($C$328,"DVD_PAYOUT_RATIO","FQ1 2016","FQ1 2016","Currency=INR","Period=FQ","BEST_FPERIOD_OVERRIDE=FQ","FILING_STATUS=OR","EQY_CONSOLIDATED=Y","FA_ADJUSTED=GAAP","Sort=A","Dates=H","DateFormat=P","Fill=—","Direction=H","UseDPDF=Y")</f>
        <v>#NAME?</v>
      </c>
      <c r="S339" t="e">
        <f ca="1">_xll.BDH($C$328,"SUSTAIN_GROWTH_RT","FQ1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339" s="1" t="e">
        <f ca="1">_xll.BDH($C$328,"SALES_GROWTH","FQ1 2016","FQ1 2016","Currency=INR","Period=FQ","BEST_FPERIOD_OVERRIDE=FQ","FILING_STATUS=OR","EQY_CONSOLIDATED=Y","FA_ADJUSTED=GAAP","Sort=A","Dates=H","DateFormat=P","Fill=—","Direction=H","UseDPDF=Y")</f>
        <v>#NAME?</v>
      </c>
      <c r="U339" s="1" t="e">
        <f ca="1">_xll.BDH($C$328,"EBITDA_GROWTH","FQ1 2016","FQ1 2016","Currency=INR","Period=FQ","BEST_FPERIOD_OVERRIDE=FQ","FILING_STATUS=OR","EQY_CONSOLIDATED=Y","FA_ADJUSTED=GAAP","Sort=A","Dates=H","DateFormat=P","Fill=—","Direction=H","UseDPDF=Y")</f>
        <v>#NAME?</v>
      </c>
      <c r="V339" s="1" t="e">
        <f ca="1">_xll.BDH($C$328,"OPER_INC_GROWTH","FQ1 2016","FQ1 2016","Currency=INR","Period=FQ","BEST_FPERIOD_OVERRIDE=FQ","FILING_STATUS=OR","EQY_CONSOLIDATED=Y","FA_ADJUSTED=GAAP","Sort=A","Dates=H","DateFormat=P","Fill=—","Direction=H","UseDPDF=Y")</f>
        <v>#NAME?</v>
      </c>
      <c r="W339" s="1" t="e">
        <f ca="1">_xll.BDH($C$328,"EARN_FOR_COM_GROWTH","FQ1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39" s="1" t="e">
        <f ca="1">_xll.BDH($C$328,"DILUTED_EPS_AFT_XO_ITEMS_GROWTH","FQ1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39" s="1" t="e">
        <f ca="1">_xll.BDH($C$328,"DIVIDEND_PER_SHARE_1_YEAR_GROWTH","FQ1 2016","FQ1 2016","Currency=INR","Period=FQ","BEST_FPERIOD_OVERRIDE=FQ","FILING_STATUS=OR","EQY_CONSOLIDATED=Y","Sort=A","Dates=H","DateFormat=P","Fill=—","Direction=H","UseDPDF=Y")</f>
        <v>#NAME?</v>
      </c>
      <c r="Z339" s="1" t="e">
        <f ca="1">_xll.BDH($C$328,"ACCOUNTS_RECEIVABLE_GROWTH","FQ1 2016","FQ1 2016","Currency=INR","Period=FQ","BEST_FPERIOD_OVERRIDE=FQ","FILING_STATUS=OR","EQY_CONSOLIDATED=Y","Sort=A","Dates=H","DateFormat=P","Fill=—","Direction=H","UseDPDF=Y")</f>
        <v>#NAME?</v>
      </c>
      <c r="AA339" s="1" t="e">
        <f ca="1">_xll.BDH($C$328,"INVENTORY_GROWTH","FQ1 2016","FQ1 2016","Currency=INR","Period=FQ","BEST_FPERIOD_OVERRIDE=FQ","FILING_STATUS=OR","EQY_CONSOLIDATED=Y","Sort=A","Dates=H","DateFormat=P","Fill=—","Direction=H","UseDPDF=Y")</f>
        <v>#NAME?</v>
      </c>
      <c r="AB339" s="1" t="e">
        <f ca="1">_xll.BDH($C$328,"NET_FIXED_ASSETS_1_YEAR_GROWTH","FQ1 2016","FQ1 2016","Currency=INR","Period=FQ","BEST_FPERIOD_OVERRIDE=FQ","FILING_STATUS=OR","EQY_CONSOLIDATED=Y","Sort=A","Dates=H","DateFormat=P","Fill=—","Direction=H","UseDPDF=Y")</f>
        <v>#NAME?</v>
      </c>
      <c r="AC339" s="1" t="e">
        <f ca="1">_xll.BDH($C$328,"ASSET_GROWTH","FQ1 2016","FQ1 2016","Currency=INR","Period=FQ","BEST_FPERIOD_OVERRIDE=FQ","FILING_STATUS=OR","EQY_CONSOLIDATED=Y","Sort=A","Dates=H","DateFormat=P","Fill=—","Direction=H","UseDPDF=Y")</f>
        <v>#NAME?</v>
      </c>
      <c r="AD339" s="1" t="e">
        <f ca="1">_xll.BDH($C$328,"MODIFIED_WORK_CAP_GROWTH","FQ1 2016","FQ1 2016","Currency=INR","Period=FQ","BEST_FPERIOD_OVERRIDE=FQ","FILING_STATUS=OR","EQY_CONSOLIDATED=Y","Sort=A","Dates=H","DateFormat=P","Fill=—","Direction=H","UseDPDF=Y")</f>
        <v>#NAME?</v>
      </c>
      <c r="AE339" s="1" t="e">
        <f ca="1">_xll.BDH($C$328,"WORK_CAP_GROWTH","FQ1 2016","FQ1 2016","Currency=INR","Period=FQ","BEST_FPERIOD_OVERRIDE=FQ","FILING_STATUS=OR","EQY_CONSOLIDATED=Y","Sort=A","Dates=H","DateFormat=P","Fill=—","Direction=H","UseDPDF=Y")</f>
        <v>#NAME?</v>
      </c>
      <c r="AF339" s="1" t="e">
        <f ca="1">_xll.BDH($C$328,"ACCOUNTS_PAYABLE_GROWTH_1YR","FQ1 2016","FQ1 2016","Currency=INR","Period=FQ","BEST_FPERIOD_OVERRIDE=FQ","FILING_STATUS=OR","EQY_CONSOLIDATED=Y","Sort=A","Dates=H","DateFormat=P","Fill=—","Direction=H","UseDPDF=Y")</f>
        <v>#NAME?</v>
      </c>
      <c r="AG339" s="1" t="e">
        <f ca="1">_xll.BDH($C$328,"SHORT_TERM_DEBT_1_YEAR_GROWTH","FQ1 2016","FQ1 2016","Currency=INR","Period=FQ","BEST_FPERIOD_OVERRIDE=FQ","FILING_STATUS=OR","EQY_CONSOLIDATED=Y","Sort=A","Dates=H","DateFormat=P","Fill=—","Direction=H","UseDPDF=Y")</f>
        <v>#NAME?</v>
      </c>
      <c r="AH339" s="1" t="e">
        <f ca="1">_xll.BDH($C$328,"TOTAL_DEBT_1_YEAR_GROWTH","FQ1 2016","FQ1 2016","Currency=INR","Period=FQ","BEST_FPERIOD_OVERRIDE=FQ","FILING_STATUS=OR","EQY_CONSOLIDATED=Y","Sort=A","Dates=H","DateFormat=P","Fill=—","Direction=H","UseDPDF=Y")</f>
        <v>#NAME?</v>
      </c>
      <c r="AI339" s="1" t="e">
        <f ca="1">_xll.BDH($C$328,"TOTAL_EQUITY_1_YEAR_GROWTH","FQ1 2016","FQ1 2016","Currency=INR","Period=FQ","BEST_FPERIOD_OVERRIDE=FQ","FILING_STATUS=OR","EQY_CONSOLIDATED=Y","Sort=A","Dates=H","DateFormat=P","Fill=—","Direction=H","UseDPDF=Y")</f>
        <v>#NAME?</v>
      </c>
      <c r="AJ339" s="1" t="e">
        <f ca="1">_xll.BDH($C$328,"GROWTH_IN_CAP","FQ1 2016","FQ1 2016","Currency=INR","Period=FQ","BEST_FPERIOD_OVERRIDE=FQ","FILING_STATUS=OR","EQY_CONSOLIDATED=Y","Sort=A","Dates=H","DateFormat=P","Fill=—","Direction=H","UseDPDF=Y")</f>
        <v>#NAME?</v>
      </c>
      <c r="AK339" s="1" t="e">
        <f ca="1">_xll.BDH($C$328,"BVPS_GROWTH","FQ1 2016","FQ1 2016","Currency=INR","Period=FQ","BEST_FPERIOD_OVERRIDE=FQ","FILING_STATUS=OR","EQY_CONSOLIDATED=Y","Sort=A","Dates=H","DateFormat=P","Fill=—","Direction=H","UseDPDF=Y")</f>
        <v>#NAME?</v>
      </c>
      <c r="AL339" s="1" t="e">
        <f ca="1">_xll.BDH($C$328,"CASH_FLOW_GROWTH","FQ1 2016","FQ1 2016","Currency=INR","Period=FQ","BEST_FPERIOD_OVERRIDE=FQ","FILING_STATUS=OR","EQY_CONSOLIDATED=Y","Sort=A","Dates=H","DateFormat=P","Fill=—","Direction=H","UseDPDF=Y")</f>
        <v>#NAME?</v>
      </c>
      <c r="AM339" s="1" t="e">
        <f ca="1">_xll.BDH($C$328,"GEO_GROW_NET_SALES","FQ1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39" s="1" t="e">
        <f ca="1">_xll.BDH($C$328,"GEO_GROW_EBITDA","FQ1 2016","FQ1 2016","Currency=INR","Period=FQ","BEST_FPERIOD_OVERRIDE=FQ","FILING_STATUS=OR","EQY_CONSOLIDATED=Y","FA_ADJUSTED=GAAP","Sort=A","Dates=H","DateFormat=P","Fill=—","Direction=H","UseDPDF=Y")</f>
        <v>#NAME?</v>
      </c>
      <c r="AO339" s="1" t="e">
        <f ca="1">_xll.BDH($C$328,"GEO_GROW_OPER_INC","FQ1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39" s="1" t="e">
        <f ca="1">_xll.BDH($C$328,"NET_INCOME_TO_COMMON_5_YR_GROWTH","FQ1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39" s="1" t="e">
        <f ca="1">_xll.BDH($C$328,"5Y_GEO_GROWTH_DILUTED_EPS","FQ1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39" s="1" t="e">
        <f ca="1">_xll.BDH($C$328,"GEO_GROW_DVD_PER_SH","FQ1 2016","FQ1 2016","Currency=INR","Period=FQ","BEST_FPERIOD_OVERRIDE=FQ","FILING_STATUS=OR","EQY_CONSOLIDATED=Y","Sort=A","Dates=H","DateFormat=P","Fill=—","Direction=H","UseDPDF=Y")</f>
        <v>#NAME?</v>
      </c>
      <c r="AS339" s="1" t="e">
        <f ca="1">_xll.BDH($C$328,"ACCOUNTS_RECEIVABLE_5_YR_GROWTH","FQ1 2016","FQ1 2016","Currency=INR","Period=FQ","BEST_FPERIOD_OVERRIDE=FQ","FILING_STATUS=OR","EQY_CONSOLIDATED=Y","Sort=A","Dates=H","DateFormat=P","Fill=—","Direction=H","UseDPDF=Y")</f>
        <v>#NAME?</v>
      </c>
      <c r="AT339" s="1" t="e">
        <f ca="1">_xll.BDH($C$328,"INVENTORY_5_YEAR_GROWTH","FQ1 2016","FQ1 2016","Currency=INR","Period=FQ","BEST_FPERIOD_OVERRIDE=FQ","FILING_STATUS=OR","EQY_CONSOLIDATED=Y","Sort=A","Dates=H","DateFormat=P","Fill=—","Direction=H","UseDPDF=Y")</f>
        <v>#NAME?</v>
      </c>
      <c r="AU339" s="1" t="e">
        <f ca="1">_xll.BDH($C$328,"NET_FIXED_ASSETS_5_YEAR_GROWTH","FQ1 2016","FQ1 2016","Currency=INR","Period=FQ","BEST_FPERIOD_OVERRIDE=FQ","FILING_STATUS=OR","EQY_CONSOLIDATED=Y","Sort=A","Dates=H","DateFormat=P","Fill=—","Direction=H","UseDPDF=Y")</f>
        <v>#NAME?</v>
      </c>
      <c r="AV339" s="1" t="e">
        <f ca="1">_xll.BDH($C$328,"GEO_GROW_TOT_ASSET","FQ1 2016","FQ1 2016","Currency=INR","Period=FQ","BEST_FPERIOD_OVERRIDE=FQ","FILING_STATUS=OR","EQY_CONSOLIDATED=Y","Sort=A","Dates=H","DateFormat=P","Fill=—","Direction=H","UseDPDF=Y")</f>
        <v>#NAME?</v>
      </c>
      <c r="AW339" s="1" t="e">
        <f ca="1">_xll.BDH($C$328,"MODIFIED_WORKING_CPTL_5YR_GRWTH","FQ1 2016","FQ1 2016","Currency=INR","Period=FQ","BEST_FPERIOD_OVERRIDE=FQ","FILING_STATUS=OR","EQY_CONSOLIDATED=Y","Sort=A","Dates=H","DateFormat=P","Fill=—","Direction=H","UseDPDF=Y")</f>
        <v>#NAME?</v>
      </c>
      <c r="AX339" s="1" t="e">
        <f ca="1">_xll.BDH($C$328,"WORKING_CAPITAL_5_YEAR_GROWTH","FQ1 2016","FQ1 2016","Currency=INR","Period=FQ","BEST_FPERIOD_OVERRIDE=FQ","FILING_STATUS=OR","EQY_CONSOLIDATED=Y","Sort=A","Dates=H","DateFormat=P","Fill=—","Direction=H","UseDPDF=Y")</f>
        <v>#NAME?</v>
      </c>
      <c r="AY339" s="1" t="e">
        <f ca="1">_xll.BDH($C$328,"ACCOUNTS_PAYABLE_5_YEAR_GROWTH","FQ1 2016","FQ1 2016","Currency=INR","Period=FQ","BEST_FPERIOD_OVERRIDE=FQ","FILING_STATUS=OR","EQY_CONSOLIDATED=Y","Sort=A","Dates=H","DateFormat=P","Fill=—","Direction=H","UseDPDF=Y")</f>
        <v>#NAME?</v>
      </c>
      <c r="AZ339" s="1" t="e">
        <f ca="1">_xll.BDH($C$328,"SHORT_TERM_DEBT_5_YEAR_GROWTH","FQ1 2016","FQ1 2016","Currency=INR","Period=FQ","BEST_FPERIOD_OVERRIDE=FQ","FILING_STATUS=OR","EQY_CONSOLIDATED=Y","Sort=A","Dates=H","DateFormat=P","Fill=—","Direction=H","UseDPDF=Y")</f>
        <v>#NAME?</v>
      </c>
      <c r="BA339" s="1" t="e">
        <f ca="1">_xll.BDH($C$328,"TOTAL_DEBT_5_YEAR_GROWTH","FQ1 2016","FQ1 2016","Currency=INR","Period=FQ","BEST_FPERIOD_OVERRIDE=FQ","FILING_STATUS=OR","EQY_CONSOLIDATED=Y","Sort=A","Dates=H","DateFormat=P","Fill=—","Direction=H","UseDPDF=Y")</f>
        <v>#NAME?</v>
      </c>
      <c r="BB339" s="1" t="e">
        <f ca="1">_xll.BDH($C$328,"GEO_GROW_TOT_SHRHLDR_EQY","FQ1 2016","FQ1 2016","Currency=INR","Period=FQ","BEST_FPERIOD_OVERRIDE=FQ","FILING_STATUS=OR","EQY_CONSOLIDATED=Y","Sort=A","Dates=H","DateFormat=P","Fill=—","Direction=H","UseDPDF=Y")</f>
        <v>#NAME?</v>
      </c>
      <c r="BC339" s="1" t="e">
        <f ca="1">_xll.BDH($C$328,"TOTAL_CAPITAL_5_YEAR_GROWTH","FQ1 2016","FQ1 2016","Currency=INR","Period=FQ","BEST_FPERIOD_OVERRIDE=FQ","FILING_STATUS=OR","EQY_CONSOLIDATED=Y","Sort=A","Dates=H","DateFormat=P","Fill=—","Direction=H","UseDPDF=Y")</f>
        <v>#NAME?</v>
      </c>
      <c r="BD339" s="1" t="e">
        <f ca="1">_xll.BDH($C$328,"GEO_GROW_BOOK_VAL","FQ1 2016","FQ1 2016","Currency=INR","Period=FQ","BEST_FPERIOD_OVERRIDE=FQ","FILING_STATUS=OR","EQY_CONSOLIDATED=Y","Sort=A","Dates=H","DateFormat=P","Fill=—","Direction=H","UseDPDF=Y")</f>
        <v>#NAME?</v>
      </c>
      <c r="BE339" s="1" t="e">
        <f ca="1">_xll.BDH($C$328,"GEO_GROW_CASH_OPER_ACT","FQ1 2016","FQ1 2016","Currency=INR","Period=FQ","BEST_FPERIOD_OVERRIDE=FQ","FILING_STATUS=OR","EQY_CONSOLIDATED=Y","Sort=A","Dates=H","DateFormat=P","Fill=—","Direction=H","UseDPDF=Y")</f>
        <v>#NAME?</v>
      </c>
      <c r="BF339" s="1" t="e">
        <f ca="1">_xll.BDH($C$328,"REVENUE_SEQUENTIAL_GROWTH","FQ1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39" s="1" t="e">
        <f ca="1">_xll.BDH($C$328,"EBITDA_SEQUENTIAL_GROWTH","FQ1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39" s="1" t="e">
        <f ca="1">_xll.BDH($C$328,"OPERATING_INCOME_SEQ_GROWTH","FQ1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39" s="1" t="e">
        <f ca="1">_xll.BDH($C$328,"NET_INCOME_TO_COMMON_SEQ_GROWTH","FQ1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39" s="1" t="e">
        <f ca="1">_xll.BDH($C$328,"EPS_DILUTED_SEQUENTIAL_GROWTH","FQ1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39" s="1" t="e">
        <f ca="1">_xll.BDH($C$328,"DPS_SEQUENTIAL_GROWTH","FQ1 2016","FQ1 2016","Currency=INR","Period=FQ","BEST_FPERIOD_OVERRIDE=FQ","FILING_STATUS=OR","EQY_CONSOLIDATED=Y","Sort=A","Dates=H","DateFormat=P","Fill=—","Direction=H","UseDPDF=Y")</f>
        <v>#NAME?</v>
      </c>
      <c r="BL339" s="1" t="e">
        <f ca="1">_xll.BDH($C$328,"ACCOUNTS_RECEIVABLE_SEQ_GROWTH","FQ1 2016","FQ1 2016","Currency=INR","Period=FQ","BEST_FPERIOD_OVERRIDE=FQ","FILING_STATUS=OR","EQY_CONSOLIDATED=Y","Sort=A","Dates=H","DateFormat=P","Fill=—","Direction=H","UseDPDF=Y")</f>
        <v>#NAME?</v>
      </c>
      <c r="BM339" s="1" t="e">
        <f ca="1">_xll.BDH($C$328,"INVENTORY_SEQUENTIAL_GROWTH","FQ1 2016","FQ1 2016","Currency=INR","Period=FQ","BEST_FPERIOD_OVERRIDE=FQ","FILING_STATUS=OR","EQY_CONSOLIDATED=Y","Sort=A","Dates=H","DateFormat=P","Fill=—","Direction=H","UseDPDF=Y")</f>
        <v>#NAME?</v>
      </c>
      <c r="BN339" s="1" t="e">
        <f ca="1">_xll.BDH($C$328,"FIXED_ASSETS_SEQUENTIAL_GROWTH","FQ1 2016","FQ1 2016","Currency=INR","Period=FQ","BEST_FPERIOD_OVERRIDE=FQ","FILING_STATUS=OR","EQY_CONSOLIDATED=Y","Sort=A","Dates=H","DateFormat=P","Fill=—","Direction=H","UseDPDF=Y")</f>
        <v>#NAME?</v>
      </c>
      <c r="BO339" s="1" t="e">
        <f ca="1">_xll.BDH($C$328,"TOTAL_ASSETS_SEQUENTIAL_GROWTH","FQ1 2016","FQ1 2016","Currency=INR","Period=FQ","BEST_FPERIOD_OVERRIDE=FQ","FILING_STATUS=OR","EQY_CONSOLIDATED=Y","Sort=A","Dates=H","DateFormat=P","Fill=—","Direction=H","UseDPDF=Y")</f>
        <v>#NAME?</v>
      </c>
      <c r="BP339" s="1" t="e">
        <f ca="1">_xll.BDH($C$328,"MODIFIED_WORKING_CPTL_SEQ_GRWTH","FQ1 2016","FQ1 2016","Currency=INR","Period=FQ","BEST_FPERIOD_OVERRIDE=FQ","FILING_STATUS=OR","EQY_CONSOLIDATED=Y","Sort=A","Dates=H","DateFormat=P","Fill=—","Direction=H","UseDPDF=Y")</f>
        <v>#NAME?</v>
      </c>
      <c r="BQ339" s="1" t="e">
        <f ca="1">_xll.BDH($C$328,"WORKING_CAPITAL_SEQ_GROWTH","FQ1 2016","FQ1 2016","Currency=INR","Period=FQ","BEST_FPERIOD_OVERRIDE=FQ","FILING_STATUS=OR","EQY_CONSOLIDATED=Y","Sort=A","Dates=H","DateFormat=P","Fill=—","Direction=H","UseDPDF=Y")</f>
        <v>#NAME?</v>
      </c>
      <c r="BR339" s="1" t="e">
        <f ca="1">_xll.BDH($C$328,"ACCOUNTS_PAYABLE_SEQ_GROWTH","FQ1 2016","FQ1 2016","Currency=INR","Period=FQ","BEST_FPERIOD_OVERRIDE=FQ","FILING_STATUS=OR","EQY_CONSOLIDATED=Y","Sort=A","Dates=H","DateFormat=P","Fill=—","Direction=H","UseDPDF=Y")</f>
        <v>#NAME?</v>
      </c>
      <c r="BS339" s="1" t="e">
        <f ca="1">_xll.BDH($C$328,"ST_DEBT_SEQUENTIAL_GROWTH","FQ1 2016","FQ1 2016","Currency=INR","Period=FQ","BEST_FPERIOD_OVERRIDE=FQ","FILING_STATUS=OR","EQY_CONSOLIDATED=Y","Sort=A","Dates=H","DateFormat=P","Fill=—","Direction=H","UseDPDF=Y")</f>
        <v>#NAME?</v>
      </c>
      <c r="BT339" s="1" t="e">
        <f ca="1">_xll.BDH($C$328,"TOTAL_DEBT_SEQUENTIAL_GROWTH","FQ1 2016","FQ1 2016","Currency=INR","Period=FQ","BEST_FPERIOD_OVERRIDE=FQ","FILING_STATUS=OR","EQY_CONSOLIDATED=Y","Sort=A","Dates=H","DateFormat=P","Fill=—","Direction=H","UseDPDF=Y")</f>
        <v>#NAME?</v>
      </c>
      <c r="BU339" s="1" t="e">
        <f ca="1">_xll.BDH($C$328,"TOTAL_EQUITY_SEQUENTIAL_GROWTH","FQ1 2016","FQ1 2016","Currency=INR","Period=FQ","BEST_FPERIOD_OVERRIDE=FQ","FILING_STATUS=OR","EQY_CONSOLIDATED=Y","Sort=A","Dates=H","DateFormat=P","Fill=—","Direction=H","UseDPDF=Y")</f>
        <v>#NAME?</v>
      </c>
      <c r="BV339" s="1" t="e">
        <f ca="1">_xll.BDH($C$328,"TOTAL_CAPITAL_SEQUENTIAL_GROWTH","FQ1 2016","FQ1 2016","Currency=INR","Period=FQ","BEST_FPERIOD_OVERRIDE=FQ","FILING_STATUS=OR","EQY_CONSOLIDATED=Y","Sort=A","Dates=H","DateFormat=P","Fill=—","Direction=H","UseDPDF=Y")</f>
        <v>#NAME?</v>
      </c>
      <c r="BW339" s="1" t="e">
        <f ca="1">_xll.BDH($C$328,"BPS_SEQUENTIAL_GROWTH","FQ1 2016","FQ1 2016","Currency=INR","Period=FQ","BEST_FPERIOD_OVERRIDE=FQ","FILING_STATUS=OR","EQY_CONSOLIDATED=Y","Sort=A","Dates=H","DateFormat=P","Fill=—","Direction=H","UseDPDF=Y")</f>
        <v>#NAME?</v>
      </c>
      <c r="BX339" s="1" t="e">
        <f ca="1">_xll.BDH($C$328,"CFO_SEQUENTIAL_GROWTH","FQ1 2016","FQ1 2016","Currency=INR","Period=FQ","BEST_FPERIOD_OVERRIDE=FQ","FILING_STATUS=OR","EQY_CONSOLIDATED=Y","Sort=A","Dates=H","DateFormat=P","Fill=—","Direction=H","UseDPDF=Y")</f>
        <v>#NAME?</v>
      </c>
      <c r="BY339" s="2" t="e">
        <f ca="1">_xll.BDH($C$328,"SHORT_AND_LONG_TERM_DEBT","FQ1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39" s="2" t="e">
        <f ca="1">_xll.BDH($C$328,"BS_ST_BORROW","FQ1 2016","FQ1 2016","Currency=INR","Period=FQ","BEST_FPERIOD_OVERRIDE=FQ","FILING_STATUS=OR","EQY_CONSOLIDATED=Y","SCALING_FORMAT=MLN","Sort=A","Dates=H","DateFormat=P","Fill=—","Direction=H","UseDPDF=Y")</f>
        <v>#NAME?</v>
      </c>
      <c r="CA339" s="2" t="e">
        <f ca="1">_xll.BDH($C$328,"BS_LT_BORROW","FQ1 2016","FQ1 2016","Currency=INR","Period=FQ","BEST_FPERIOD_OVERRIDE=FQ","FILING_STATUS=OR","EQY_CONSOLIDATED=Y","SCALING_FORMAT=MLN","Sort=A","Dates=H","DateFormat=P","Fill=—","Direction=H","UseDPDF=Y")</f>
        <v>#NAME?</v>
      </c>
      <c r="CB339" s="1" t="e">
        <f ca="1">_xll.BDH($C$328,"TOT_DEBT_TO_EBITDA","FQ1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39" s="1" t="e">
        <f ca="1">_xll.BDH($C$328,"NET_DEBT_TO_EBITDA","FQ1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39" s="1" t="e">
        <f ca="1">_xll.BDH($C$328,"TOTAL_DEBT_TO_EBIT","FQ1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39" s="1" t="e">
        <f ca="1">_xll.BDH($C$328,"NET_DEBT_TO_EBIT","FQ1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339" s="1" t="e">
        <f ca="1">_xll.BDH($C$328,"EBITDA_TO_INTEREST_EXPN","FQ1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39" s="1" t="e">
        <f ca="1">_xll.BDH($C$328,"COM_EQY_TO_TOT_ASSET","FQ1 2016","FQ1 2016","Currency=INR","Period=FQ","BEST_FPERIOD_OVERRIDE=FQ","FILING_STATUS=OR","EQY_CONSOLIDATED=Y","Sort=A","Dates=H","DateFormat=P","Fill=—","Direction=H","UseDPDF=Y")</f>
        <v>#NAME?</v>
      </c>
      <c r="CH339" s="1" t="e">
        <f ca="1">_xll.BDH($C$328,"LT_DEBT_TO_TOT_EQY","FQ1 2016","FQ1 2016","Currency=INR","Period=FQ","BEST_FPERIOD_OVERRIDE=FQ","FILING_STATUS=OR","EQY_CONSOLIDATED=Y","Sort=A","Dates=H","DateFormat=P","Fill=—","Direction=H","UseDPDF=Y")</f>
        <v>#NAME?</v>
      </c>
      <c r="CI339" s="1" t="e">
        <f ca="1">_xll.BDH($C$328,"LT_DEBT_TO_TOT_CAP","FQ1 2016","FQ1 2016","Currency=INR","Period=FQ","BEST_FPERIOD_OVERRIDE=FQ","FILING_STATUS=OR","EQY_CONSOLIDATED=Y","Sort=A","Dates=H","DateFormat=P","Fill=—","Direction=H","UseDPDF=Y")</f>
        <v>#NAME?</v>
      </c>
      <c r="CJ339" s="1" t="e">
        <f ca="1">_xll.BDH($C$328,"LT_DEBT_TO_TOT_ASSET","FQ1 2016","FQ1 2016","Currency=INR","Period=FQ","BEST_FPERIOD_OVERRIDE=FQ","FILING_STATUS=OR","EQY_CONSOLIDATED=Y","Sort=A","Dates=H","DateFormat=P","Fill=—","Direction=H","UseDPDF=Y")</f>
        <v>#NAME?</v>
      </c>
      <c r="CK339" s="1" t="e">
        <f ca="1">_xll.BDH($C$328,"TOT_DEBT_TO_TOT_EQY","FQ1 2016","FQ1 2016","Currency=INR","Period=FQ","BEST_FPERIOD_OVERRIDE=FQ","FILING_STATUS=OR","EQY_CONSOLIDATED=Y","Sort=A","Dates=H","DateFormat=P","Fill=—","Direction=H","UseDPDF=Y")</f>
        <v>#NAME?</v>
      </c>
      <c r="CL339" s="1" t="e">
        <f ca="1">_xll.BDH($C$328,"TOT_DEBT_TO_TOT_CAP","FQ1 2016","FQ1 2016","Currency=INR","Period=FQ","BEST_FPERIOD_OVERRIDE=FQ","FILING_STATUS=OR","EQY_CONSOLIDATED=Y","Sort=A","Dates=H","DateFormat=P","Fill=—","Direction=H","UseDPDF=Y")</f>
        <v>#NAME?</v>
      </c>
      <c r="CM339" s="1" t="e">
        <f ca="1">_xll.BDH($C$328,"TOT_DEBT_TO_TOT_ASSET","FQ1 2016","FQ1 2016","Currency=INR","Period=FQ","BEST_FPERIOD_OVERRIDE=FQ","FILING_STATUS=OR","EQY_CONSOLIDATED=Y","Sort=A","Dates=H","DateFormat=P","Fill=—","Direction=H","UseDPDF=Y")</f>
        <v>#NAME?</v>
      </c>
      <c r="CN339" s="1" t="e">
        <f ca="1">_xll.BDH($C$328,"NET_DEBT_TO_SHRHLDR_EQTY","FQ1 2016","FQ1 2016","Currency=INR","Period=FQ","BEST_FPERIOD_OVERRIDE=FQ","FILING_STATUS=OR","EQY_CONSOLIDATED=Y","Sort=A","Dates=H","DateFormat=P","Fill=—","Direction=H","UseDPDF=Y")</f>
        <v>#NAME?</v>
      </c>
      <c r="CO339" s="1" t="e">
        <f ca="1">_xll.BDH($C$328,"NET_DEBT_%_CAPITAL","FQ1 2016","FQ1 2016","Currency=INR","Period=FQ","BEST_FPERIOD_OVERRIDE=FQ","FILING_STATUS=OR","EQY_CONSOLIDATED=Y","Sort=A","Dates=H","DateFormat=P","Fill=—","Direction=H","UseDPDF=Y")</f>
        <v>#NAME?</v>
      </c>
      <c r="CP339" s="2" t="e">
        <f ca="1">_xll.BDH($C$328,"EBITDA","FQ1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39" s="2" t="e">
        <f ca="1">_xll.BDH($C$328,"EBITDA_AFTER_CAPEX","FQ1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39" s="2" t="e">
        <f ca="1">_xll.BDH($C$328,"IS_OPER_INC","FQ1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39" s="1" t="e">
        <f ca="1">_xll.BDH($C$328,"CASH_RATIO","FQ1 2016","FQ1 2016","Currency=INR","Period=FQ","BEST_FPERIOD_OVERRIDE=FQ","FILING_STATUS=OR","EQY_CONSOLIDATED=Y","Sort=A","Dates=H","DateFormat=P","Fill=—","Direction=H","UseDPDF=Y")</f>
        <v>#NAME?</v>
      </c>
      <c r="CT339" s="1" t="e">
        <f ca="1">_xll.BDH($C$328,"CUR_RATIO","FQ1 2016","FQ1 2016","Currency=INR","Period=FQ","BEST_FPERIOD_OVERRIDE=FQ","FILING_STATUS=OR","EQY_CONSOLIDATED=Y","Sort=A","Dates=H","DateFormat=P","Fill=—","Direction=H","UseDPDF=Y")</f>
        <v>#NAME?</v>
      </c>
      <c r="CU339" s="1" t="e">
        <f ca="1">_xll.BDH($C$328,"QUICK_RATIO","FQ1 2016","FQ1 2016","Currency=INR","Period=FQ","BEST_FPERIOD_OVERRIDE=FQ","FILING_STATUS=OR","EQY_CONSOLIDATED=Y","Sort=A","Dates=H","DateFormat=P","Fill=—","Direction=H","UseDPDF=Y")</f>
        <v>#NAME?</v>
      </c>
      <c r="CV339" s="1" t="e">
        <f ca="1">_xll.BDH($C$328,"ALTMAN_Z_SCORE","FQ1 2016","FQ1 2016","Currency=INR","Period=FQ","BEST_FPERIOD_OVERRIDE=FQ","FILING_STATUS=OR","EQY_CONSOLIDATED=Y","Sort=A","Dates=H","DateFormat=P","Fill=—","Direction=H","UseDPDF=Y")</f>
        <v>#NAME?</v>
      </c>
      <c r="CW339" s="3" t="e">
        <f ca="1">_xll.BDH($C$328,"ACCT_RCV_TURN","FQ1 2016","FQ1 2016","Currency=INR","Period=FQ","BEST_FPERIOD_OVERRIDE=FQ","FILING_STATUS=OR","EQY_CONSOLIDATED=Y","FA_ADJUSTED=GAAP","Sort=A","Dates=H","DateFormat=P","Fill=—","Direction=H","UseDPDF=Y")</f>
        <v>#NAME?</v>
      </c>
      <c r="CX339" s="1" t="e">
        <f ca="1">_xll.BDH($C$328,"ACCT_RCV_DAYS","FQ1 2016","FQ1 2016","Currency=INR","Period=FQ","BEST_FPERIOD_OVERRIDE=FQ","FILING_STATUS=OR","EQY_CONSOLIDATED=Y","FA_ADJUSTED=GAAP","Sort=A","Dates=H","DateFormat=P","Fill=—","Direction=H","UseDPDF=Y")</f>
        <v>#NAME?</v>
      </c>
      <c r="CY339" s="3" t="e">
        <f ca="1">_xll.BDH($C$328,"INVENT_TURN","FQ1 2016","FQ1 2016","Currency=INR","Period=FQ","BEST_FPERIOD_OVERRIDE=FQ","FILING_STATUS=OR","EQY_CONSOLIDATED=Y","FA_ADJUSTED=GAAP","Sort=A","Dates=H","DateFormat=P","Fill=—","Direction=H","UseDPDF=Y")</f>
        <v>#NAME?</v>
      </c>
      <c r="CZ339" s="1" t="e">
        <f ca="1">_xll.BDH($C$328,"INVENT_DAYS","FQ1 2016","FQ1 2016","Currency=INR","Period=FQ","BEST_FPERIOD_OVERRIDE=FQ","FILING_STATUS=OR","EQY_CONSOLIDATED=Y","FA_ADJUSTED=GAAP","Sort=A","Dates=H","DateFormat=P","Fill=—","Direction=H","UseDPDF=Y")</f>
        <v>#NAME?</v>
      </c>
      <c r="DA339" s="3" t="e">
        <f ca="1">_xll.BDH($C$328,"ACCOUNTS_PAYABLE_TURNOVER","FQ1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39" s="1" t="e">
        <f ca="1">_xll.BDH($C$328,"ACCOUNTS_PAYABLE_TURNOVER_DAYS","FQ1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39" s="3" t="e">
        <f ca="1">_xll.BDH($C$328,"CASH_CONVERSION_CYCLE","FQ1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39" s="3" t="e">
        <f ca="1">_xll.BDH($C$328,"INV_TO_CASH_DAYS","FQ1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339" s="4" t="e">
        <f ca="1">_xll.BDH($C$328,"BS_INVENTORIES","FQ1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339" s="2" t="e">
        <f ca="1">_xll.BDH($C$328,"INVTRY_RAW_MATERIALS","FQ1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39" s="2" t="e">
        <f ca="1">_xll.BDH($C$328,"INVTRY_IN_PROGRESS","FQ1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39" s="2" t="e">
        <f ca="1">_xll.BDH($C$328,"INVTRY_FINISHED_GOODS","FQ1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39" s="2" t="e">
        <f ca="1">_xll.BDH($C$328,"BS_OTHER_INV","FQ1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40" spans="1:113" x14ac:dyDescent="0.3">
      <c r="A340" s="6"/>
      <c r="B340" s="6"/>
      <c r="C340" s="6"/>
      <c r="D340" s="6"/>
      <c r="E340" t="s">
        <v>5</v>
      </c>
      <c r="F340" t="e">
        <f ca="1">_xll.BDH($C$328,"RETURN_COM_EQY","FQ2 2016","FQ2 2016","Currency=INR","Period=FQ","BEST_FPERIOD_OVERRIDE=FQ","FILING_STATUS=OR","EQY_CONSOLIDATED=Y","FA_ADJUSTED=GAAP","Sort=A","Dates=H","DateFormat=P","Fill=—","Direction=H","UseDPDF=Y")</f>
        <v>#NAME?</v>
      </c>
      <c r="G340" t="e">
        <f ca="1">_xll.BDH($C$328,"RETURN_ON_ASSET","FQ2 2016","FQ2 2016","Currency=INR","Period=FQ","BEST_FPERIOD_OVERRIDE=FQ","FILING_STATUS=OR","EQY_CONSOLIDATED=Y","FA_ADJUSTED=GAAP","Sort=A","Dates=H","DateFormat=P","Fill=—","Direction=H","UseDPDF=Y")</f>
        <v>#NAME?</v>
      </c>
      <c r="H340" t="e">
        <f ca="1">_xll.BDH($C$328,"RETURN_ON_CAP","FQ2 2016","FQ2 2016","Currency=INR","Period=FQ","BEST_FPERIOD_OVERRIDE=FQ","FILING_STATUS=OR","EQY_CONSOLIDATED=Y","FA_ADJUSTED=GAAP","Sort=A","Dates=H","DateFormat=P","Fill=—","Direction=H","UseDPDF=Y")</f>
        <v>#NAME?</v>
      </c>
      <c r="I340" t="e">
        <f ca="1">_xll.BDH($C$328,"RETURN_ON_INV_CAPITAL","FQ2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40" t="e">
        <f ca="1">_xll.BDH($C$328,"EBITDA_TO_REVENUE","FQ2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340" t="e">
        <f ca="1">_xll.BDH($C$328,"OPER_MARGIN","FQ2 2016","FQ2 2016","Currency=INR","Period=FQ","BEST_FPERIOD_OVERRIDE=FQ","FILING_STATUS=OR","EQY_CONSOLIDATED=Y","FA_ADJUSTED=GAAP","Sort=A","Dates=H","DateFormat=P","Fill=—","Direction=H","UseDPDF=Y")</f>
        <v>#NAME?</v>
      </c>
      <c r="L340" t="e">
        <f ca="1">_xll.BDH($C$328,"INCREMENTAL_OPERATING_MARGIN","FQ2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40" t="e">
        <f ca="1">_xll.BDH($C$328,"PRETAX_INC_TO_NET_SALES","FQ2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40" t="e">
        <f ca="1">_xll.BDH($C$328,"INC_BEF_XO_ITEMS_TO_NET_SALES","FQ2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40" t="e">
        <f ca="1">_xll.BDH($C$328,"PROF_MARGIN","FQ2 2016","FQ2 2016","Currency=INR","Period=FQ","BEST_FPERIOD_OVERRIDE=FQ","FILING_STATUS=OR","EQY_CONSOLIDATED=Y","FA_ADJUSTED=GAAP","Sort=A","Dates=H","DateFormat=P","Fill=—","Direction=H","UseDPDF=Y")</f>
        <v>#NAME?</v>
      </c>
      <c r="P340" t="e">
        <f ca="1">_xll.BDH($C$328,"NET_INCOME_TO_COMMON_MARGIN","FQ2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40" t="e">
        <f ca="1">_xll.BDH($C$328,"EFF_TAX_RATE","FQ2 2016","FQ2 2016","Currency=INR","Period=FQ","BEST_FPERIOD_OVERRIDE=FQ","FILING_STATUS=OR","EQY_CONSOLIDATED=Y","FA_ADJUSTED=GAAP","Sort=A","Dates=H","DateFormat=P","Fill=—","Direction=H","UseDPDF=Y")</f>
        <v>#NAME?</v>
      </c>
      <c r="R340" t="e">
        <f ca="1">_xll.BDH($C$328,"DVD_PAYOUT_RATIO","FQ2 2016","FQ2 2016","Currency=INR","Period=FQ","BEST_FPERIOD_OVERRIDE=FQ","FILING_STATUS=OR","EQY_CONSOLIDATED=Y","FA_ADJUSTED=GAAP","Sort=A","Dates=H","DateFormat=P","Fill=—","Direction=H","UseDPDF=Y")</f>
        <v>#NAME?</v>
      </c>
      <c r="S340" t="e">
        <f ca="1">_xll.BDH($C$328,"SUSTAIN_GROWTH_RT","FQ2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340" s="1" t="e">
        <f ca="1">_xll.BDH($C$328,"SALES_GROWTH","FQ2 2016","FQ2 2016","Currency=INR","Period=FQ","BEST_FPERIOD_OVERRIDE=FQ","FILING_STATUS=OR","EQY_CONSOLIDATED=Y","FA_ADJUSTED=GAAP","Sort=A","Dates=H","DateFormat=P","Fill=—","Direction=H","UseDPDF=Y")</f>
        <v>#NAME?</v>
      </c>
      <c r="U340" s="1" t="e">
        <f ca="1">_xll.BDH($C$328,"EBITDA_GROWTH","FQ2 2016","FQ2 2016","Currency=INR","Period=FQ","BEST_FPERIOD_OVERRIDE=FQ","FILING_STATUS=OR","EQY_CONSOLIDATED=Y","FA_ADJUSTED=GAAP","Sort=A","Dates=H","DateFormat=P","Fill=—","Direction=H","UseDPDF=Y")</f>
        <v>#NAME?</v>
      </c>
      <c r="V340" s="1" t="e">
        <f ca="1">_xll.BDH($C$328,"OPER_INC_GROWTH","FQ2 2016","FQ2 2016","Currency=INR","Period=FQ","BEST_FPERIOD_OVERRIDE=FQ","FILING_STATUS=OR","EQY_CONSOLIDATED=Y","FA_ADJUSTED=GAAP","Sort=A","Dates=H","DateFormat=P","Fill=—","Direction=H","UseDPDF=Y")</f>
        <v>#NAME?</v>
      </c>
      <c r="W340" s="1" t="e">
        <f ca="1">_xll.BDH($C$328,"EARN_FOR_COM_GROWTH","FQ2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40" s="1" t="e">
        <f ca="1">_xll.BDH($C$328,"DILUTED_EPS_AFT_XO_ITEMS_GROWTH","FQ2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40" s="1" t="e">
        <f ca="1">_xll.BDH($C$328,"DIVIDEND_PER_SHARE_1_YEAR_GROWTH","FQ2 2016","FQ2 2016","Currency=INR","Period=FQ","BEST_FPERIOD_OVERRIDE=FQ","FILING_STATUS=OR","EQY_CONSOLIDATED=Y","Sort=A","Dates=H","DateFormat=P","Fill=—","Direction=H","UseDPDF=Y")</f>
        <v>#NAME?</v>
      </c>
      <c r="Z340" s="1" t="e">
        <f ca="1">_xll.BDH($C$328,"ACCOUNTS_RECEIVABLE_GROWTH","FQ2 2016","FQ2 2016","Currency=INR","Period=FQ","BEST_FPERIOD_OVERRIDE=FQ","FILING_STATUS=OR","EQY_CONSOLIDATED=Y","Sort=A","Dates=H","DateFormat=P","Fill=—","Direction=H","UseDPDF=Y")</f>
        <v>#NAME?</v>
      </c>
      <c r="AA340" s="1" t="e">
        <f ca="1">_xll.BDH($C$328,"INVENTORY_GROWTH","FQ2 2016","FQ2 2016","Currency=INR","Period=FQ","BEST_FPERIOD_OVERRIDE=FQ","FILING_STATUS=OR","EQY_CONSOLIDATED=Y","Sort=A","Dates=H","DateFormat=P","Fill=—","Direction=H","UseDPDF=Y")</f>
        <v>#NAME?</v>
      </c>
      <c r="AB340" s="1" t="e">
        <f ca="1">_xll.BDH($C$328,"NET_FIXED_ASSETS_1_YEAR_GROWTH","FQ2 2016","FQ2 2016","Currency=INR","Period=FQ","BEST_FPERIOD_OVERRIDE=FQ","FILING_STATUS=OR","EQY_CONSOLIDATED=Y","Sort=A","Dates=H","DateFormat=P","Fill=—","Direction=H","UseDPDF=Y")</f>
        <v>#NAME?</v>
      </c>
      <c r="AC340" s="1" t="e">
        <f ca="1">_xll.BDH($C$328,"ASSET_GROWTH","FQ2 2016","FQ2 2016","Currency=INR","Period=FQ","BEST_FPERIOD_OVERRIDE=FQ","FILING_STATUS=OR","EQY_CONSOLIDATED=Y","Sort=A","Dates=H","DateFormat=P","Fill=—","Direction=H","UseDPDF=Y")</f>
        <v>#NAME?</v>
      </c>
      <c r="AD340" s="1" t="e">
        <f ca="1">_xll.BDH($C$328,"MODIFIED_WORK_CAP_GROWTH","FQ2 2016","FQ2 2016","Currency=INR","Period=FQ","BEST_FPERIOD_OVERRIDE=FQ","FILING_STATUS=OR","EQY_CONSOLIDATED=Y","Sort=A","Dates=H","DateFormat=P","Fill=—","Direction=H","UseDPDF=Y")</f>
        <v>#NAME?</v>
      </c>
      <c r="AE340" s="1" t="e">
        <f ca="1">_xll.BDH($C$328,"WORK_CAP_GROWTH","FQ2 2016","FQ2 2016","Currency=INR","Period=FQ","BEST_FPERIOD_OVERRIDE=FQ","FILING_STATUS=OR","EQY_CONSOLIDATED=Y","Sort=A","Dates=H","DateFormat=P","Fill=—","Direction=H","UseDPDF=Y")</f>
        <v>#NAME?</v>
      </c>
      <c r="AF340" s="1" t="e">
        <f ca="1">_xll.BDH($C$328,"ACCOUNTS_PAYABLE_GROWTH_1YR","FQ2 2016","FQ2 2016","Currency=INR","Period=FQ","BEST_FPERIOD_OVERRIDE=FQ","FILING_STATUS=OR","EQY_CONSOLIDATED=Y","Sort=A","Dates=H","DateFormat=P","Fill=—","Direction=H","UseDPDF=Y")</f>
        <v>#NAME?</v>
      </c>
      <c r="AG340" s="1" t="e">
        <f ca="1">_xll.BDH($C$328,"SHORT_TERM_DEBT_1_YEAR_GROWTH","FQ2 2016","FQ2 2016","Currency=INR","Period=FQ","BEST_FPERIOD_OVERRIDE=FQ","FILING_STATUS=OR","EQY_CONSOLIDATED=Y","Sort=A","Dates=H","DateFormat=P","Fill=—","Direction=H","UseDPDF=Y")</f>
        <v>#NAME?</v>
      </c>
      <c r="AH340" s="1" t="e">
        <f ca="1">_xll.BDH($C$328,"TOTAL_DEBT_1_YEAR_GROWTH","FQ2 2016","FQ2 2016","Currency=INR","Period=FQ","BEST_FPERIOD_OVERRIDE=FQ","FILING_STATUS=OR","EQY_CONSOLIDATED=Y","Sort=A","Dates=H","DateFormat=P","Fill=—","Direction=H","UseDPDF=Y")</f>
        <v>#NAME?</v>
      </c>
      <c r="AI340" s="1" t="e">
        <f ca="1">_xll.BDH($C$328,"TOTAL_EQUITY_1_YEAR_GROWTH","FQ2 2016","FQ2 2016","Currency=INR","Period=FQ","BEST_FPERIOD_OVERRIDE=FQ","FILING_STATUS=OR","EQY_CONSOLIDATED=Y","Sort=A","Dates=H","DateFormat=P","Fill=—","Direction=H","UseDPDF=Y")</f>
        <v>#NAME?</v>
      </c>
      <c r="AJ340" s="1" t="e">
        <f ca="1">_xll.BDH($C$328,"GROWTH_IN_CAP","FQ2 2016","FQ2 2016","Currency=INR","Period=FQ","BEST_FPERIOD_OVERRIDE=FQ","FILING_STATUS=OR","EQY_CONSOLIDATED=Y","Sort=A","Dates=H","DateFormat=P","Fill=—","Direction=H","UseDPDF=Y")</f>
        <v>#NAME?</v>
      </c>
      <c r="AK340" s="1" t="e">
        <f ca="1">_xll.BDH($C$328,"BVPS_GROWTH","FQ2 2016","FQ2 2016","Currency=INR","Period=FQ","BEST_FPERIOD_OVERRIDE=FQ","FILING_STATUS=OR","EQY_CONSOLIDATED=Y","Sort=A","Dates=H","DateFormat=P","Fill=—","Direction=H","UseDPDF=Y")</f>
        <v>#NAME?</v>
      </c>
      <c r="AL340" s="1" t="e">
        <f ca="1">_xll.BDH($C$328,"CASH_FLOW_GROWTH","FQ2 2016","FQ2 2016","Currency=INR","Period=FQ","BEST_FPERIOD_OVERRIDE=FQ","FILING_STATUS=OR","EQY_CONSOLIDATED=Y","Sort=A","Dates=H","DateFormat=P","Fill=—","Direction=H","UseDPDF=Y")</f>
        <v>#NAME?</v>
      </c>
      <c r="AM340" s="1" t="e">
        <f ca="1">_xll.BDH($C$328,"GEO_GROW_NET_SALES","FQ2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40" s="1" t="e">
        <f ca="1">_xll.BDH($C$328,"GEO_GROW_EBITDA","FQ2 2016","FQ2 2016","Currency=INR","Period=FQ","BEST_FPERIOD_OVERRIDE=FQ","FILING_STATUS=OR","EQY_CONSOLIDATED=Y","FA_ADJUSTED=GAAP","Sort=A","Dates=H","DateFormat=P","Fill=—","Direction=H","UseDPDF=Y")</f>
        <v>#NAME?</v>
      </c>
      <c r="AO340" s="1" t="e">
        <f ca="1">_xll.BDH($C$328,"GEO_GROW_OPER_INC","FQ2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40" s="1" t="e">
        <f ca="1">_xll.BDH($C$328,"NET_INCOME_TO_COMMON_5_YR_GROWTH","FQ2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40" s="1" t="e">
        <f ca="1">_xll.BDH($C$328,"5Y_GEO_GROWTH_DILUTED_EPS","FQ2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40" s="1" t="e">
        <f ca="1">_xll.BDH($C$328,"GEO_GROW_DVD_PER_SH","FQ2 2016","FQ2 2016","Currency=INR","Period=FQ","BEST_FPERIOD_OVERRIDE=FQ","FILING_STATUS=OR","EQY_CONSOLIDATED=Y","Sort=A","Dates=H","DateFormat=P","Fill=—","Direction=H","UseDPDF=Y")</f>
        <v>#NAME?</v>
      </c>
      <c r="AS340" s="1" t="e">
        <f ca="1">_xll.BDH($C$328,"ACCOUNTS_RECEIVABLE_5_YR_GROWTH","FQ2 2016","FQ2 2016","Currency=INR","Period=FQ","BEST_FPERIOD_OVERRIDE=FQ","FILING_STATUS=OR","EQY_CONSOLIDATED=Y","Sort=A","Dates=H","DateFormat=P","Fill=—","Direction=H","UseDPDF=Y")</f>
        <v>#NAME?</v>
      </c>
      <c r="AT340" s="1" t="e">
        <f ca="1">_xll.BDH($C$328,"INVENTORY_5_YEAR_GROWTH","FQ2 2016","FQ2 2016","Currency=INR","Period=FQ","BEST_FPERIOD_OVERRIDE=FQ","FILING_STATUS=OR","EQY_CONSOLIDATED=Y","Sort=A","Dates=H","DateFormat=P","Fill=—","Direction=H","UseDPDF=Y")</f>
        <v>#NAME?</v>
      </c>
      <c r="AU340" s="1" t="e">
        <f ca="1">_xll.BDH($C$328,"NET_FIXED_ASSETS_5_YEAR_GROWTH","FQ2 2016","FQ2 2016","Currency=INR","Period=FQ","BEST_FPERIOD_OVERRIDE=FQ","FILING_STATUS=OR","EQY_CONSOLIDATED=Y","Sort=A","Dates=H","DateFormat=P","Fill=—","Direction=H","UseDPDF=Y")</f>
        <v>#NAME?</v>
      </c>
      <c r="AV340" s="1" t="e">
        <f ca="1">_xll.BDH($C$328,"GEO_GROW_TOT_ASSET","FQ2 2016","FQ2 2016","Currency=INR","Period=FQ","BEST_FPERIOD_OVERRIDE=FQ","FILING_STATUS=OR","EQY_CONSOLIDATED=Y","Sort=A","Dates=H","DateFormat=P","Fill=—","Direction=H","UseDPDF=Y")</f>
        <v>#NAME?</v>
      </c>
      <c r="AW340" s="1" t="e">
        <f ca="1">_xll.BDH($C$328,"MODIFIED_WORKING_CPTL_5YR_GRWTH","FQ2 2016","FQ2 2016","Currency=INR","Period=FQ","BEST_FPERIOD_OVERRIDE=FQ","FILING_STATUS=OR","EQY_CONSOLIDATED=Y","Sort=A","Dates=H","DateFormat=P","Fill=—","Direction=H","UseDPDF=Y")</f>
        <v>#NAME?</v>
      </c>
      <c r="AX340" s="1" t="e">
        <f ca="1">_xll.BDH($C$328,"WORKING_CAPITAL_5_YEAR_GROWTH","FQ2 2016","FQ2 2016","Currency=INR","Period=FQ","BEST_FPERIOD_OVERRIDE=FQ","FILING_STATUS=OR","EQY_CONSOLIDATED=Y","Sort=A","Dates=H","DateFormat=P","Fill=—","Direction=H","UseDPDF=Y")</f>
        <v>#NAME?</v>
      </c>
      <c r="AY340" s="1" t="e">
        <f ca="1">_xll.BDH($C$328,"ACCOUNTS_PAYABLE_5_YEAR_GROWTH","FQ2 2016","FQ2 2016","Currency=INR","Period=FQ","BEST_FPERIOD_OVERRIDE=FQ","FILING_STATUS=OR","EQY_CONSOLIDATED=Y","Sort=A","Dates=H","DateFormat=P","Fill=—","Direction=H","UseDPDF=Y")</f>
        <v>#NAME?</v>
      </c>
      <c r="AZ340" s="1" t="e">
        <f ca="1">_xll.BDH($C$328,"SHORT_TERM_DEBT_5_YEAR_GROWTH","FQ2 2016","FQ2 2016","Currency=INR","Period=FQ","BEST_FPERIOD_OVERRIDE=FQ","FILING_STATUS=OR","EQY_CONSOLIDATED=Y","Sort=A","Dates=H","DateFormat=P","Fill=—","Direction=H","UseDPDF=Y")</f>
        <v>#NAME?</v>
      </c>
      <c r="BA340" s="1" t="e">
        <f ca="1">_xll.BDH($C$328,"TOTAL_DEBT_5_YEAR_GROWTH","FQ2 2016","FQ2 2016","Currency=INR","Period=FQ","BEST_FPERIOD_OVERRIDE=FQ","FILING_STATUS=OR","EQY_CONSOLIDATED=Y","Sort=A","Dates=H","DateFormat=P","Fill=—","Direction=H","UseDPDF=Y")</f>
        <v>#NAME?</v>
      </c>
      <c r="BB340" s="1" t="e">
        <f ca="1">_xll.BDH($C$328,"GEO_GROW_TOT_SHRHLDR_EQY","FQ2 2016","FQ2 2016","Currency=INR","Period=FQ","BEST_FPERIOD_OVERRIDE=FQ","FILING_STATUS=OR","EQY_CONSOLIDATED=Y","Sort=A","Dates=H","DateFormat=P","Fill=—","Direction=H","UseDPDF=Y")</f>
        <v>#NAME?</v>
      </c>
      <c r="BC340" s="1" t="e">
        <f ca="1">_xll.BDH($C$328,"TOTAL_CAPITAL_5_YEAR_GROWTH","FQ2 2016","FQ2 2016","Currency=INR","Period=FQ","BEST_FPERIOD_OVERRIDE=FQ","FILING_STATUS=OR","EQY_CONSOLIDATED=Y","Sort=A","Dates=H","DateFormat=P","Fill=—","Direction=H","UseDPDF=Y")</f>
        <v>#NAME?</v>
      </c>
      <c r="BD340" s="1" t="e">
        <f ca="1">_xll.BDH($C$328,"GEO_GROW_BOOK_VAL","FQ2 2016","FQ2 2016","Currency=INR","Period=FQ","BEST_FPERIOD_OVERRIDE=FQ","FILING_STATUS=OR","EQY_CONSOLIDATED=Y","Sort=A","Dates=H","DateFormat=P","Fill=—","Direction=H","UseDPDF=Y")</f>
        <v>#NAME?</v>
      </c>
      <c r="BE340" s="1" t="e">
        <f ca="1">_xll.BDH($C$328,"GEO_GROW_CASH_OPER_ACT","FQ2 2016","FQ2 2016","Currency=INR","Period=FQ","BEST_FPERIOD_OVERRIDE=FQ","FILING_STATUS=OR","EQY_CONSOLIDATED=Y","Sort=A","Dates=H","DateFormat=P","Fill=—","Direction=H","UseDPDF=Y")</f>
        <v>#NAME?</v>
      </c>
      <c r="BF340" s="1" t="e">
        <f ca="1">_xll.BDH($C$328,"REVENUE_SEQUENTIAL_GROWTH","FQ2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40" s="1" t="e">
        <f ca="1">_xll.BDH($C$328,"EBITDA_SEQUENTIAL_GROWTH","FQ2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40" s="1" t="e">
        <f ca="1">_xll.BDH($C$328,"OPERATING_INCOME_SEQ_GROWTH","FQ2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40" s="1" t="e">
        <f ca="1">_xll.BDH($C$328,"NET_INCOME_TO_COMMON_SEQ_GROWTH","FQ2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40" s="1" t="e">
        <f ca="1">_xll.BDH($C$328,"EPS_DILUTED_SEQUENTIAL_GROWTH","FQ2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40" s="1" t="e">
        <f ca="1">_xll.BDH($C$328,"DPS_SEQUENTIAL_GROWTH","FQ2 2016","FQ2 2016","Currency=INR","Period=FQ","BEST_FPERIOD_OVERRIDE=FQ","FILING_STATUS=OR","EQY_CONSOLIDATED=Y","Sort=A","Dates=H","DateFormat=P","Fill=—","Direction=H","UseDPDF=Y")</f>
        <v>#NAME?</v>
      </c>
      <c r="BL340" s="1" t="e">
        <f ca="1">_xll.BDH($C$328,"ACCOUNTS_RECEIVABLE_SEQ_GROWTH","FQ2 2016","FQ2 2016","Currency=INR","Period=FQ","BEST_FPERIOD_OVERRIDE=FQ","FILING_STATUS=OR","EQY_CONSOLIDATED=Y","Sort=A","Dates=H","DateFormat=P","Fill=—","Direction=H","UseDPDF=Y")</f>
        <v>#NAME?</v>
      </c>
      <c r="BM340" s="1" t="e">
        <f ca="1">_xll.BDH($C$328,"INVENTORY_SEQUENTIAL_GROWTH","FQ2 2016","FQ2 2016","Currency=INR","Period=FQ","BEST_FPERIOD_OVERRIDE=FQ","FILING_STATUS=OR","EQY_CONSOLIDATED=Y","Sort=A","Dates=H","DateFormat=P","Fill=—","Direction=H","UseDPDF=Y")</f>
        <v>#NAME?</v>
      </c>
      <c r="BN340" s="1" t="e">
        <f ca="1">_xll.BDH($C$328,"FIXED_ASSETS_SEQUENTIAL_GROWTH","FQ2 2016","FQ2 2016","Currency=INR","Period=FQ","BEST_FPERIOD_OVERRIDE=FQ","FILING_STATUS=OR","EQY_CONSOLIDATED=Y","Sort=A","Dates=H","DateFormat=P","Fill=—","Direction=H","UseDPDF=Y")</f>
        <v>#NAME?</v>
      </c>
      <c r="BO340" s="1" t="e">
        <f ca="1">_xll.BDH($C$328,"TOTAL_ASSETS_SEQUENTIAL_GROWTH","FQ2 2016","FQ2 2016","Currency=INR","Period=FQ","BEST_FPERIOD_OVERRIDE=FQ","FILING_STATUS=OR","EQY_CONSOLIDATED=Y","Sort=A","Dates=H","DateFormat=P","Fill=—","Direction=H","UseDPDF=Y")</f>
        <v>#NAME?</v>
      </c>
      <c r="BP340" s="1" t="e">
        <f ca="1">_xll.BDH($C$328,"MODIFIED_WORKING_CPTL_SEQ_GRWTH","FQ2 2016","FQ2 2016","Currency=INR","Period=FQ","BEST_FPERIOD_OVERRIDE=FQ","FILING_STATUS=OR","EQY_CONSOLIDATED=Y","Sort=A","Dates=H","DateFormat=P","Fill=—","Direction=H","UseDPDF=Y")</f>
        <v>#NAME?</v>
      </c>
      <c r="BQ340" s="1" t="e">
        <f ca="1">_xll.BDH($C$328,"WORKING_CAPITAL_SEQ_GROWTH","FQ2 2016","FQ2 2016","Currency=INR","Period=FQ","BEST_FPERIOD_OVERRIDE=FQ","FILING_STATUS=OR","EQY_CONSOLIDATED=Y","Sort=A","Dates=H","DateFormat=P","Fill=—","Direction=H","UseDPDF=Y")</f>
        <v>#NAME?</v>
      </c>
      <c r="BR340" s="1" t="e">
        <f ca="1">_xll.BDH($C$328,"ACCOUNTS_PAYABLE_SEQ_GROWTH","FQ2 2016","FQ2 2016","Currency=INR","Period=FQ","BEST_FPERIOD_OVERRIDE=FQ","FILING_STATUS=OR","EQY_CONSOLIDATED=Y","Sort=A","Dates=H","DateFormat=P","Fill=—","Direction=H","UseDPDF=Y")</f>
        <v>#NAME?</v>
      </c>
      <c r="BS340" s="1" t="e">
        <f ca="1">_xll.BDH($C$328,"ST_DEBT_SEQUENTIAL_GROWTH","FQ2 2016","FQ2 2016","Currency=INR","Period=FQ","BEST_FPERIOD_OVERRIDE=FQ","FILING_STATUS=OR","EQY_CONSOLIDATED=Y","Sort=A","Dates=H","DateFormat=P","Fill=—","Direction=H","UseDPDF=Y")</f>
        <v>#NAME?</v>
      </c>
      <c r="BT340" s="1" t="e">
        <f ca="1">_xll.BDH($C$328,"TOTAL_DEBT_SEQUENTIAL_GROWTH","FQ2 2016","FQ2 2016","Currency=INR","Period=FQ","BEST_FPERIOD_OVERRIDE=FQ","FILING_STATUS=OR","EQY_CONSOLIDATED=Y","Sort=A","Dates=H","DateFormat=P","Fill=—","Direction=H","UseDPDF=Y")</f>
        <v>#NAME?</v>
      </c>
      <c r="BU340" s="1" t="e">
        <f ca="1">_xll.BDH($C$328,"TOTAL_EQUITY_SEQUENTIAL_GROWTH","FQ2 2016","FQ2 2016","Currency=INR","Period=FQ","BEST_FPERIOD_OVERRIDE=FQ","FILING_STATUS=OR","EQY_CONSOLIDATED=Y","Sort=A","Dates=H","DateFormat=P","Fill=—","Direction=H","UseDPDF=Y")</f>
        <v>#NAME?</v>
      </c>
      <c r="BV340" s="1" t="e">
        <f ca="1">_xll.BDH($C$328,"TOTAL_CAPITAL_SEQUENTIAL_GROWTH","FQ2 2016","FQ2 2016","Currency=INR","Period=FQ","BEST_FPERIOD_OVERRIDE=FQ","FILING_STATUS=OR","EQY_CONSOLIDATED=Y","Sort=A","Dates=H","DateFormat=P","Fill=—","Direction=H","UseDPDF=Y")</f>
        <v>#NAME?</v>
      </c>
      <c r="BW340" s="1" t="e">
        <f ca="1">_xll.BDH($C$328,"BPS_SEQUENTIAL_GROWTH","FQ2 2016","FQ2 2016","Currency=INR","Period=FQ","BEST_FPERIOD_OVERRIDE=FQ","FILING_STATUS=OR","EQY_CONSOLIDATED=Y","Sort=A","Dates=H","DateFormat=P","Fill=—","Direction=H","UseDPDF=Y")</f>
        <v>#NAME?</v>
      </c>
      <c r="BX340" s="1" t="e">
        <f ca="1">_xll.BDH($C$328,"CFO_SEQUENTIAL_GROWTH","FQ2 2016","FQ2 2016","Currency=INR","Period=FQ","BEST_FPERIOD_OVERRIDE=FQ","FILING_STATUS=OR","EQY_CONSOLIDATED=Y","Sort=A","Dates=H","DateFormat=P","Fill=—","Direction=H","UseDPDF=Y")</f>
        <v>#NAME?</v>
      </c>
      <c r="BY340" s="2" t="e">
        <f ca="1">_xll.BDH($C$328,"SHORT_AND_LONG_TERM_DEBT","FQ2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40" s="2" t="e">
        <f ca="1">_xll.BDH($C$328,"BS_ST_BORROW","FQ2 2016","FQ2 2016","Currency=INR","Period=FQ","BEST_FPERIOD_OVERRIDE=FQ","FILING_STATUS=OR","EQY_CONSOLIDATED=Y","SCALING_FORMAT=MLN","Sort=A","Dates=H","DateFormat=P","Fill=—","Direction=H","UseDPDF=Y")</f>
        <v>#NAME?</v>
      </c>
      <c r="CA340" s="2" t="e">
        <f ca="1">_xll.BDH($C$328,"BS_LT_BORROW","FQ2 2016","FQ2 2016","Currency=INR","Period=FQ","BEST_FPERIOD_OVERRIDE=FQ","FILING_STATUS=OR","EQY_CONSOLIDATED=Y","SCALING_FORMAT=MLN","Sort=A","Dates=H","DateFormat=P","Fill=—","Direction=H","UseDPDF=Y")</f>
        <v>#NAME?</v>
      </c>
      <c r="CB340" s="1" t="e">
        <f ca="1">_xll.BDH($C$328,"TOT_DEBT_TO_EBITDA","FQ2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40" s="1" t="e">
        <f ca="1">_xll.BDH($C$328,"NET_DEBT_TO_EBITDA","FQ2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40" s="1" t="e">
        <f ca="1">_xll.BDH($C$328,"TOTAL_DEBT_TO_EBIT","FQ2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40" s="1" t="e">
        <f ca="1">_xll.BDH($C$328,"NET_DEBT_TO_EBIT","FQ2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340" s="1" t="e">
        <f ca="1">_xll.BDH($C$328,"EBITDA_TO_INTEREST_EXPN","FQ2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40" s="1" t="e">
        <f ca="1">_xll.BDH($C$328,"COM_EQY_TO_TOT_ASSET","FQ2 2016","FQ2 2016","Currency=INR","Period=FQ","BEST_FPERIOD_OVERRIDE=FQ","FILING_STATUS=OR","EQY_CONSOLIDATED=Y","Sort=A","Dates=H","DateFormat=P","Fill=—","Direction=H","UseDPDF=Y")</f>
        <v>#NAME?</v>
      </c>
      <c r="CH340" s="1" t="e">
        <f ca="1">_xll.BDH($C$328,"LT_DEBT_TO_TOT_EQY","FQ2 2016","FQ2 2016","Currency=INR","Period=FQ","BEST_FPERIOD_OVERRIDE=FQ","FILING_STATUS=OR","EQY_CONSOLIDATED=Y","Sort=A","Dates=H","DateFormat=P","Fill=—","Direction=H","UseDPDF=Y")</f>
        <v>#NAME?</v>
      </c>
      <c r="CI340" s="1" t="e">
        <f ca="1">_xll.BDH($C$328,"LT_DEBT_TO_TOT_CAP","FQ2 2016","FQ2 2016","Currency=INR","Period=FQ","BEST_FPERIOD_OVERRIDE=FQ","FILING_STATUS=OR","EQY_CONSOLIDATED=Y","Sort=A","Dates=H","DateFormat=P","Fill=—","Direction=H","UseDPDF=Y")</f>
        <v>#NAME?</v>
      </c>
      <c r="CJ340" s="1" t="e">
        <f ca="1">_xll.BDH($C$328,"LT_DEBT_TO_TOT_ASSET","FQ2 2016","FQ2 2016","Currency=INR","Period=FQ","BEST_FPERIOD_OVERRIDE=FQ","FILING_STATUS=OR","EQY_CONSOLIDATED=Y","Sort=A","Dates=H","DateFormat=P","Fill=—","Direction=H","UseDPDF=Y")</f>
        <v>#NAME?</v>
      </c>
      <c r="CK340" s="1" t="e">
        <f ca="1">_xll.BDH($C$328,"TOT_DEBT_TO_TOT_EQY","FQ2 2016","FQ2 2016","Currency=INR","Period=FQ","BEST_FPERIOD_OVERRIDE=FQ","FILING_STATUS=OR","EQY_CONSOLIDATED=Y","Sort=A","Dates=H","DateFormat=P","Fill=—","Direction=H","UseDPDF=Y")</f>
        <v>#NAME?</v>
      </c>
      <c r="CL340" s="1" t="e">
        <f ca="1">_xll.BDH($C$328,"TOT_DEBT_TO_TOT_CAP","FQ2 2016","FQ2 2016","Currency=INR","Period=FQ","BEST_FPERIOD_OVERRIDE=FQ","FILING_STATUS=OR","EQY_CONSOLIDATED=Y","Sort=A","Dates=H","DateFormat=P","Fill=—","Direction=H","UseDPDF=Y")</f>
        <v>#NAME?</v>
      </c>
      <c r="CM340" s="1" t="e">
        <f ca="1">_xll.BDH($C$328,"TOT_DEBT_TO_TOT_ASSET","FQ2 2016","FQ2 2016","Currency=INR","Period=FQ","BEST_FPERIOD_OVERRIDE=FQ","FILING_STATUS=OR","EQY_CONSOLIDATED=Y","Sort=A","Dates=H","DateFormat=P","Fill=—","Direction=H","UseDPDF=Y")</f>
        <v>#NAME?</v>
      </c>
      <c r="CN340" s="1" t="e">
        <f ca="1">_xll.BDH($C$328,"NET_DEBT_TO_SHRHLDR_EQTY","FQ2 2016","FQ2 2016","Currency=INR","Period=FQ","BEST_FPERIOD_OVERRIDE=FQ","FILING_STATUS=OR","EQY_CONSOLIDATED=Y","Sort=A","Dates=H","DateFormat=P","Fill=—","Direction=H","UseDPDF=Y")</f>
        <v>#NAME?</v>
      </c>
      <c r="CO340" s="1" t="e">
        <f ca="1">_xll.BDH($C$328,"NET_DEBT_%_CAPITAL","FQ2 2016","FQ2 2016","Currency=INR","Period=FQ","BEST_FPERIOD_OVERRIDE=FQ","FILING_STATUS=OR","EQY_CONSOLIDATED=Y","Sort=A","Dates=H","DateFormat=P","Fill=—","Direction=H","UseDPDF=Y")</f>
        <v>#NAME?</v>
      </c>
      <c r="CP340" s="2" t="e">
        <f ca="1">_xll.BDH($C$328,"EBITDA","FQ2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40" s="2" t="e">
        <f ca="1">_xll.BDH($C$328,"EBITDA_AFTER_CAPEX","FQ2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40" s="2" t="e">
        <f ca="1">_xll.BDH($C$328,"IS_OPER_INC","FQ2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40" s="1" t="e">
        <f ca="1">_xll.BDH($C$328,"CASH_RATIO","FQ2 2016","FQ2 2016","Currency=INR","Period=FQ","BEST_FPERIOD_OVERRIDE=FQ","FILING_STATUS=OR","EQY_CONSOLIDATED=Y","Sort=A","Dates=H","DateFormat=P","Fill=—","Direction=H","UseDPDF=Y")</f>
        <v>#NAME?</v>
      </c>
      <c r="CT340" s="1" t="e">
        <f ca="1">_xll.BDH($C$328,"CUR_RATIO","FQ2 2016","FQ2 2016","Currency=INR","Period=FQ","BEST_FPERIOD_OVERRIDE=FQ","FILING_STATUS=OR","EQY_CONSOLIDATED=Y","Sort=A","Dates=H","DateFormat=P","Fill=—","Direction=H","UseDPDF=Y")</f>
        <v>#NAME?</v>
      </c>
      <c r="CU340" s="1" t="e">
        <f ca="1">_xll.BDH($C$328,"QUICK_RATIO","FQ2 2016","FQ2 2016","Currency=INR","Period=FQ","BEST_FPERIOD_OVERRIDE=FQ","FILING_STATUS=OR","EQY_CONSOLIDATED=Y","Sort=A","Dates=H","DateFormat=P","Fill=—","Direction=H","UseDPDF=Y")</f>
        <v>#NAME?</v>
      </c>
      <c r="CV340" s="1" t="e">
        <f ca="1">_xll.BDH($C$328,"ALTMAN_Z_SCORE","FQ2 2016","FQ2 2016","Currency=INR","Period=FQ","BEST_FPERIOD_OVERRIDE=FQ","FILING_STATUS=OR","EQY_CONSOLIDATED=Y","Sort=A","Dates=H","DateFormat=P","Fill=—","Direction=H","UseDPDF=Y")</f>
        <v>#NAME?</v>
      </c>
      <c r="CW340" s="3" t="e">
        <f ca="1">_xll.BDH($C$328,"ACCT_RCV_TURN","FQ2 2016","FQ2 2016","Currency=INR","Period=FQ","BEST_FPERIOD_OVERRIDE=FQ","FILING_STATUS=OR","EQY_CONSOLIDATED=Y","FA_ADJUSTED=GAAP","Sort=A","Dates=H","DateFormat=P","Fill=—","Direction=H","UseDPDF=Y")</f>
        <v>#NAME?</v>
      </c>
      <c r="CX340" s="1" t="e">
        <f ca="1">_xll.BDH($C$328,"ACCT_RCV_DAYS","FQ2 2016","FQ2 2016","Currency=INR","Period=FQ","BEST_FPERIOD_OVERRIDE=FQ","FILING_STATUS=OR","EQY_CONSOLIDATED=Y","FA_ADJUSTED=GAAP","Sort=A","Dates=H","DateFormat=P","Fill=—","Direction=H","UseDPDF=Y")</f>
        <v>#NAME?</v>
      </c>
      <c r="CY340" s="3" t="e">
        <f ca="1">_xll.BDH($C$328,"INVENT_TURN","FQ2 2016","FQ2 2016","Currency=INR","Period=FQ","BEST_FPERIOD_OVERRIDE=FQ","FILING_STATUS=OR","EQY_CONSOLIDATED=Y","FA_ADJUSTED=GAAP","Sort=A","Dates=H","DateFormat=P","Fill=—","Direction=H","UseDPDF=Y")</f>
        <v>#NAME?</v>
      </c>
      <c r="CZ340" s="1" t="e">
        <f ca="1">_xll.BDH($C$328,"INVENT_DAYS","FQ2 2016","FQ2 2016","Currency=INR","Period=FQ","BEST_FPERIOD_OVERRIDE=FQ","FILING_STATUS=OR","EQY_CONSOLIDATED=Y","FA_ADJUSTED=GAAP","Sort=A","Dates=H","DateFormat=P","Fill=—","Direction=H","UseDPDF=Y")</f>
        <v>#NAME?</v>
      </c>
      <c r="DA340" s="3" t="e">
        <f ca="1">_xll.BDH($C$328,"ACCOUNTS_PAYABLE_TURNOVER","FQ2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40" s="1" t="e">
        <f ca="1">_xll.BDH($C$328,"ACCOUNTS_PAYABLE_TURNOVER_DAYS","FQ2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40" s="3" t="e">
        <f ca="1">_xll.BDH($C$328,"CASH_CONVERSION_CYCLE","FQ2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40" s="3" t="e">
        <f ca="1">_xll.BDH($C$328,"INV_TO_CASH_DAYS","FQ2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340" s="4" t="e">
        <f ca="1">_xll.BDH($C$328,"BS_INVENTORIES","FQ2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340" s="2" t="e">
        <f ca="1">_xll.BDH($C$328,"INVTRY_RAW_MATERIALS","FQ2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40" s="2" t="e">
        <f ca="1">_xll.BDH($C$328,"INVTRY_IN_PROGRESS","FQ2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40" s="2" t="e">
        <f ca="1">_xll.BDH($C$328,"INVTRY_FINISHED_GOODS","FQ2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40" s="2" t="e">
        <f ca="1">_xll.BDH($C$328,"BS_OTHER_INV","FQ2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41" spans="1:113" x14ac:dyDescent="0.3">
      <c r="A341" s="6"/>
      <c r="B341" s="6"/>
      <c r="C341" s="6"/>
      <c r="D341" s="6"/>
      <c r="E341" t="s">
        <v>6</v>
      </c>
      <c r="F341" t="e">
        <f ca="1">_xll.BDH($C$328,"RETURN_COM_EQY","FQ3 2016","FQ3 2016","Currency=INR","Period=FQ","BEST_FPERIOD_OVERRIDE=FQ","FILING_STATUS=OR","EQY_CONSOLIDATED=Y","FA_ADJUSTED=GAAP","Sort=A","Dates=H","DateFormat=P","Fill=—","Direction=H","UseDPDF=Y")</f>
        <v>#NAME?</v>
      </c>
      <c r="G341" t="e">
        <f ca="1">_xll.BDH($C$328,"RETURN_ON_ASSET","FQ3 2016","FQ3 2016","Currency=INR","Period=FQ","BEST_FPERIOD_OVERRIDE=FQ","FILING_STATUS=OR","EQY_CONSOLIDATED=Y","FA_ADJUSTED=GAAP","Sort=A","Dates=H","DateFormat=P","Fill=—","Direction=H","UseDPDF=Y")</f>
        <v>#NAME?</v>
      </c>
      <c r="H341" t="e">
        <f ca="1">_xll.BDH($C$328,"RETURN_ON_CAP","FQ3 2016","FQ3 2016","Currency=INR","Period=FQ","BEST_FPERIOD_OVERRIDE=FQ","FILING_STATUS=OR","EQY_CONSOLIDATED=Y","FA_ADJUSTED=GAAP","Sort=A","Dates=H","DateFormat=P","Fill=—","Direction=H","UseDPDF=Y")</f>
        <v>#NAME?</v>
      </c>
      <c r="I341" t="e">
        <f ca="1">_xll.BDH($C$328,"RETURN_ON_INV_CAPITAL","FQ3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41" t="e">
        <f ca="1">_xll.BDH($C$328,"EBITDA_TO_REVENUE","FQ3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341" t="e">
        <f ca="1">_xll.BDH($C$328,"OPER_MARGIN","FQ3 2016","FQ3 2016","Currency=INR","Period=FQ","BEST_FPERIOD_OVERRIDE=FQ","FILING_STATUS=OR","EQY_CONSOLIDATED=Y","FA_ADJUSTED=GAAP","Sort=A","Dates=H","DateFormat=P","Fill=—","Direction=H","UseDPDF=Y")</f>
        <v>#NAME?</v>
      </c>
      <c r="L341" t="e">
        <f ca="1">_xll.BDH($C$328,"INCREMENTAL_OPERATING_MARGIN","FQ3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41" t="e">
        <f ca="1">_xll.BDH($C$328,"PRETAX_INC_TO_NET_SALES","FQ3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41" t="e">
        <f ca="1">_xll.BDH($C$328,"INC_BEF_XO_ITEMS_TO_NET_SALES","FQ3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41" t="e">
        <f ca="1">_xll.BDH($C$328,"PROF_MARGIN","FQ3 2016","FQ3 2016","Currency=INR","Period=FQ","BEST_FPERIOD_OVERRIDE=FQ","FILING_STATUS=OR","EQY_CONSOLIDATED=Y","FA_ADJUSTED=GAAP","Sort=A","Dates=H","DateFormat=P","Fill=—","Direction=H","UseDPDF=Y")</f>
        <v>#NAME?</v>
      </c>
      <c r="P341" t="e">
        <f ca="1">_xll.BDH($C$328,"NET_INCOME_TO_COMMON_MARGIN","FQ3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41" t="e">
        <f ca="1">_xll.BDH($C$328,"EFF_TAX_RATE","FQ3 2016","FQ3 2016","Currency=INR","Period=FQ","BEST_FPERIOD_OVERRIDE=FQ","FILING_STATUS=OR","EQY_CONSOLIDATED=Y","FA_ADJUSTED=GAAP","Sort=A","Dates=H","DateFormat=P","Fill=—","Direction=H","UseDPDF=Y")</f>
        <v>#NAME?</v>
      </c>
      <c r="R341" t="e">
        <f ca="1">_xll.BDH($C$328,"DVD_PAYOUT_RATIO","FQ3 2016","FQ3 2016","Currency=INR","Period=FQ","BEST_FPERIOD_OVERRIDE=FQ","FILING_STATUS=OR","EQY_CONSOLIDATED=Y","FA_ADJUSTED=GAAP","Sort=A","Dates=H","DateFormat=P","Fill=—","Direction=H","UseDPDF=Y")</f>
        <v>#NAME?</v>
      </c>
      <c r="S341" t="e">
        <f ca="1">_xll.BDH($C$328,"SUSTAIN_GROWTH_RT","FQ3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341" s="1" t="e">
        <f ca="1">_xll.BDH($C$328,"SALES_GROWTH","FQ3 2016","FQ3 2016","Currency=INR","Period=FQ","BEST_FPERIOD_OVERRIDE=FQ","FILING_STATUS=OR","EQY_CONSOLIDATED=Y","FA_ADJUSTED=GAAP","Sort=A","Dates=H","DateFormat=P","Fill=—","Direction=H","UseDPDF=Y")</f>
        <v>#NAME?</v>
      </c>
      <c r="U341" s="1" t="e">
        <f ca="1">_xll.BDH($C$328,"EBITDA_GROWTH","FQ3 2016","FQ3 2016","Currency=INR","Period=FQ","BEST_FPERIOD_OVERRIDE=FQ","FILING_STATUS=OR","EQY_CONSOLIDATED=Y","FA_ADJUSTED=GAAP","Sort=A","Dates=H","DateFormat=P","Fill=—","Direction=H","UseDPDF=Y")</f>
        <v>#NAME?</v>
      </c>
      <c r="V341" s="1" t="e">
        <f ca="1">_xll.BDH($C$328,"OPER_INC_GROWTH","FQ3 2016","FQ3 2016","Currency=INR","Period=FQ","BEST_FPERIOD_OVERRIDE=FQ","FILING_STATUS=OR","EQY_CONSOLIDATED=Y","FA_ADJUSTED=GAAP","Sort=A","Dates=H","DateFormat=P","Fill=—","Direction=H","UseDPDF=Y")</f>
        <v>#NAME?</v>
      </c>
      <c r="W341" s="1" t="e">
        <f ca="1">_xll.BDH($C$328,"EARN_FOR_COM_GROWTH","FQ3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41" s="1" t="e">
        <f ca="1">_xll.BDH($C$328,"DILUTED_EPS_AFT_XO_ITEMS_GROWTH","FQ3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41" s="1" t="e">
        <f ca="1">_xll.BDH($C$328,"DIVIDEND_PER_SHARE_1_YEAR_GROWTH","FQ3 2016","FQ3 2016","Currency=INR","Period=FQ","BEST_FPERIOD_OVERRIDE=FQ","FILING_STATUS=OR","EQY_CONSOLIDATED=Y","Sort=A","Dates=H","DateFormat=P","Fill=—","Direction=H","UseDPDF=Y")</f>
        <v>#NAME?</v>
      </c>
      <c r="Z341" s="1" t="e">
        <f ca="1">_xll.BDH($C$328,"ACCOUNTS_RECEIVABLE_GROWTH","FQ3 2016","FQ3 2016","Currency=INR","Period=FQ","BEST_FPERIOD_OVERRIDE=FQ","FILING_STATUS=OR","EQY_CONSOLIDATED=Y","Sort=A","Dates=H","DateFormat=P","Fill=—","Direction=H","UseDPDF=Y")</f>
        <v>#NAME?</v>
      </c>
      <c r="AA341" s="1" t="e">
        <f ca="1">_xll.BDH($C$328,"INVENTORY_GROWTH","FQ3 2016","FQ3 2016","Currency=INR","Period=FQ","BEST_FPERIOD_OVERRIDE=FQ","FILING_STATUS=OR","EQY_CONSOLIDATED=Y","Sort=A","Dates=H","DateFormat=P","Fill=—","Direction=H","UseDPDF=Y")</f>
        <v>#NAME?</v>
      </c>
      <c r="AB341" s="1" t="e">
        <f ca="1">_xll.BDH($C$328,"NET_FIXED_ASSETS_1_YEAR_GROWTH","FQ3 2016","FQ3 2016","Currency=INR","Period=FQ","BEST_FPERIOD_OVERRIDE=FQ","FILING_STATUS=OR","EQY_CONSOLIDATED=Y","Sort=A","Dates=H","DateFormat=P","Fill=—","Direction=H","UseDPDF=Y")</f>
        <v>#NAME?</v>
      </c>
      <c r="AC341" s="1" t="e">
        <f ca="1">_xll.BDH($C$328,"ASSET_GROWTH","FQ3 2016","FQ3 2016","Currency=INR","Period=FQ","BEST_FPERIOD_OVERRIDE=FQ","FILING_STATUS=OR","EQY_CONSOLIDATED=Y","Sort=A","Dates=H","DateFormat=P","Fill=—","Direction=H","UseDPDF=Y")</f>
        <v>#NAME?</v>
      </c>
      <c r="AD341" s="1" t="e">
        <f ca="1">_xll.BDH($C$328,"MODIFIED_WORK_CAP_GROWTH","FQ3 2016","FQ3 2016","Currency=INR","Period=FQ","BEST_FPERIOD_OVERRIDE=FQ","FILING_STATUS=OR","EQY_CONSOLIDATED=Y","Sort=A","Dates=H","DateFormat=P","Fill=—","Direction=H","UseDPDF=Y")</f>
        <v>#NAME?</v>
      </c>
      <c r="AE341" s="1" t="e">
        <f ca="1">_xll.BDH($C$328,"WORK_CAP_GROWTH","FQ3 2016","FQ3 2016","Currency=INR","Period=FQ","BEST_FPERIOD_OVERRIDE=FQ","FILING_STATUS=OR","EQY_CONSOLIDATED=Y","Sort=A","Dates=H","DateFormat=P","Fill=—","Direction=H","UseDPDF=Y")</f>
        <v>#NAME?</v>
      </c>
      <c r="AF341" s="1" t="e">
        <f ca="1">_xll.BDH($C$328,"ACCOUNTS_PAYABLE_GROWTH_1YR","FQ3 2016","FQ3 2016","Currency=INR","Period=FQ","BEST_FPERIOD_OVERRIDE=FQ","FILING_STATUS=OR","EQY_CONSOLIDATED=Y","Sort=A","Dates=H","DateFormat=P","Fill=—","Direction=H","UseDPDF=Y")</f>
        <v>#NAME?</v>
      </c>
      <c r="AG341" s="1" t="e">
        <f ca="1">_xll.BDH($C$328,"SHORT_TERM_DEBT_1_YEAR_GROWTH","FQ3 2016","FQ3 2016","Currency=INR","Period=FQ","BEST_FPERIOD_OVERRIDE=FQ","FILING_STATUS=OR","EQY_CONSOLIDATED=Y","Sort=A","Dates=H","DateFormat=P","Fill=—","Direction=H","UseDPDF=Y")</f>
        <v>#NAME?</v>
      </c>
      <c r="AH341" s="1" t="e">
        <f ca="1">_xll.BDH($C$328,"TOTAL_DEBT_1_YEAR_GROWTH","FQ3 2016","FQ3 2016","Currency=INR","Period=FQ","BEST_FPERIOD_OVERRIDE=FQ","FILING_STATUS=OR","EQY_CONSOLIDATED=Y","Sort=A","Dates=H","DateFormat=P","Fill=—","Direction=H","UseDPDF=Y")</f>
        <v>#NAME?</v>
      </c>
      <c r="AI341" s="1" t="e">
        <f ca="1">_xll.BDH($C$328,"TOTAL_EQUITY_1_YEAR_GROWTH","FQ3 2016","FQ3 2016","Currency=INR","Period=FQ","BEST_FPERIOD_OVERRIDE=FQ","FILING_STATUS=OR","EQY_CONSOLIDATED=Y","Sort=A","Dates=H","DateFormat=P","Fill=—","Direction=H","UseDPDF=Y")</f>
        <v>#NAME?</v>
      </c>
      <c r="AJ341" s="1" t="e">
        <f ca="1">_xll.BDH($C$328,"GROWTH_IN_CAP","FQ3 2016","FQ3 2016","Currency=INR","Period=FQ","BEST_FPERIOD_OVERRIDE=FQ","FILING_STATUS=OR","EQY_CONSOLIDATED=Y","Sort=A","Dates=H","DateFormat=P","Fill=—","Direction=H","UseDPDF=Y")</f>
        <v>#NAME?</v>
      </c>
      <c r="AK341" s="1" t="e">
        <f ca="1">_xll.BDH($C$328,"BVPS_GROWTH","FQ3 2016","FQ3 2016","Currency=INR","Period=FQ","BEST_FPERIOD_OVERRIDE=FQ","FILING_STATUS=OR","EQY_CONSOLIDATED=Y","Sort=A","Dates=H","DateFormat=P","Fill=—","Direction=H","UseDPDF=Y")</f>
        <v>#NAME?</v>
      </c>
      <c r="AL341" s="1" t="e">
        <f ca="1">_xll.BDH($C$328,"CASH_FLOW_GROWTH","FQ3 2016","FQ3 2016","Currency=INR","Period=FQ","BEST_FPERIOD_OVERRIDE=FQ","FILING_STATUS=OR","EQY_CONSOLIDATED=Y","Sort=A","Dates=H","DateFormat=P","Fill=—","Direction=H","UseDPDF=Y")</f>
        <v>#NAME?</v>
      </c>
      <c r="AM341" s="1" t="e">
        <f ca="1">_xll.BDH($C$328,"GEO_GROW_NET_SALES","FQ3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41" s="1" t="e">
        <f ca="1">_xll.BDH($C$328,"GEO_GROW_EBITDA","FQ3 2016","FQ3 2016","Currency=INR","Period=FQ","BEST_FPERIOD_OVERRIDE=FQ","FILING_STATUS=OR","EQY_CONSOLIDATED=Y","FA_ADJUSTED=GAAP","Sort=A","Dates=H","DateFormat=P","Fill=—","Direction=H","UseDPDF=Y")</f>
        <v>#NAME?</v>
      </c>
      <c r="AO341" s="1" t="e">
        <f ca="1">_xll.BDH($C$328,"GEO_GROW_OPER_INC","FQ3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41" s="1" t="e">
        <f ca="1">_xll.BDH($C$328,"NET_INCOME_TO_COMMON_5_YR_GROWTH","FQ3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41" s="1" t="e">
        <f ca="1">_xll.BDH($C$328,"5Y_GEO_GROWTH_DILUTED_EPS","FQ3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41" s="1" t="e">
        <f ca="1">_xll.BDH($C$328,"GEO_GROW_DVD_PER_SH","FQ3 2016","FQ3 2016","Currency=INR","Period=FQ","BEST_FPERIOD_OVERRIDE=FQ","FILING_STATUS=OR","EQY_CONSOLIDATED=Y","Sort=A","Dates=H","DateFormat=P","Fill=—","Direction=H","UseDPDF=Y")</f>
        <v>#NAME?</v>
      </c>
      <c r="AS341" s="1" t="e">
        <f ca="1">_xll.BDH($C$328,"ACCOUNTS_RECEIVABLE_5_YR_GROWTH","FQ3 2016","FQ3 2016","Currency=INR","Period=FQ","BEST_FPERIOD_OVERRIDE=FQ","FILING_STATUS=OR","EQY_CONSOLIDATED=Y","Sort=A","Dates=H","DateFormat=P","Fill=—","Direction=H","UseDPDF=Y")</f>
        <v>#NAME?</v>
      </c>
      <c r="AT341" s="1" t="e">
        <f ca="1">_xll.BDH($C$328,"INVENTORY_5_YEAR_GROWTH","FQ3 2016","FQ3 2016","Currency=INR","Period=FQ","BEST_FPERIOD_OVERRIDE=FQ","FILING_STATUS=OR","EQY_CONSOLIDATED=Y","Sort=A","Dates=H","DateFormat=P","Fill=—","Direction=H","UseDPDF=Y")</f>
        <v>#NAME?</v>
      </c>
      <c r="AU341" s="1" t="e">
        <f ca="1">_xll.BDH($C$328,"NET_FIXED_ASSETS_5_YEAR_GROWTH","FQ3 2016","FQ3 2016","Currency=INR","Period=FQ","BEST_FPERIOD_OVERRIDE=FQ","FILING_STATUS=OR","EQY_CONSOLIDATED=Y","Sort=A","Dates=H","DateFormat=P","Fill=—","Direction=H","UseDPDF=Y")</f>
        <v>#NAME?</v>
      </c>
      <c r="AV341" s="1" t="e">
        <f ca="1">_xll.BDH($C$328,"GEO_GROW_TOT_ASSET","FQ3 2016","FQ3 2016","Currency=INR","Period=FQ","BEST_FPERIOD_OVERRIDE=FQ","FILING_STATUS=OR","EQY_CONSOLIDATED=Y","Sort=A","Dates=H","DateFormat=P","Fill=—","Direction=H","UseDPDF=Y")</f>
        <v>#NAME?</v>
      </c>
      <c r="AW341" s="1" t="e">
        <f ca="1">_xll.BDH($C$328,"MODIFIED_WORKING_CPTL_5YR_GRWTH","FQ3 2016","FQ3 2016","Currency=INR","Period=FQ","BEST_FPERIOD_OVERRIDE=FQ","FILING_STATUS=OR","EQY_CONSOLIDATED=Y","Sort=A","Dates=H","DateFormat=P","Fill=—","Direction=H","UseDPDF=Y")</f>
        <v>#NAME?</v>
      </c>
      <c r="AX341" s="1" t="e">
        <f ca="1">_xll.BDH($C$328,"WORKING_CAPITAL_5_YEAR_GROWTH","FQ3 2016","FQ3 2016","Currency=INR","Period=FQ","BEST_FPERIOD_OVERRIDE=FQ","FILING_STATUS=OR","EQY_CONSOLIDATED=Y","Sort=A","Dates=H","DateFormat=P","Fill=—","Direction=H","UseDPDF=Y")</f>
        <v>#NAME?</v>
      </c>
      <c r="AY341" s="1" t="e">
        <f ca="1">_xll.BDH($C$328,"ACCOUNTS_PAYABLE_5_YEAR_GROWTH","FQ3 2016","FQ3 2016","Currency=INR","Period=FQ","BEST_FPERIOD_OVERRIDE=FQ","FILING_STATUS=OR","EQY_CONSOLIDATED=Y","Sort=A","Dates=H","DateFormat=P","Fill=—","Direction=H","UseDPDF=Y")</f>
        <v>#NAME?</v>
      </c>
      <c r="AZ341" s="1" t="e">
        <f ca="1">_xll.BDH($C$328,"SHORT_TERM_DEBT_5_YEAR_GROWTH","FQ3 2016","FQ3 2016","Currency=INR","Period=FQ","BEST_FPERIOD_OVERRIDE=FQ","FILING_STATUS=OR","EQY_CONSOLIDATED=Y","Sort=A","Dates=H","DateFormat=P","Fill=—","Direction=H","UseDPDF=Y")</f>
        <v>#NAME?</v>
      </c>
      <c r="BA341" s="1" t="e">
        <f ca="1">_xll.BDH($C$328,"TOTAL_DEBT_5_YEAR_GROWTH","FQ3 2016","FQ3 2016","Currency=INR","Period=FQ","BEST_FPERIOD_OVERRIDE=FQ","FILING_STATUS=OR","EQY_CONSOLIDATED=Y","Sort=A","Dates=H","DateFormat=P","Fill=—","Direction=H","UseDPDF=Y")</f>
        <v>#NAME?</v>
      </c>
      <c r="BB341" s="1" t="e">
        <f ca="1">_xll.BDH($C$328,"GEO_GROW_TOT_SHRHLDR_EQY","FQ3 2016","FQ3 2016","Currency=INR","Period=FQ","BEST_FPERIOD_OVERRIDE=FQ","FILING_STATUS=OR","EQY_CONSOLIDATED=Y","Sort=A","Dates=H","DateFormat=P","Fill=—","Direction=H","UseDPDF=Y")</f>
        <v>#NAME?</v>
      </c>
      <c r="BC341" s="1" t="e">
        <f ca="1">_xll.BDH($C$328,"TOTAL_CAPITAL_5_YEAR_GROWTH","FQ3 2016","FQ3 2016","Currency=INR","Period=FQ","BEST_FPERIOD_OVERRIDE=FQ","FILING_STATUS=OR","EQY_CONSOLIDATED=Y","Sort=A","Dates=H","DateFormat=P","Fill=—","Direction=H","UseDPDF=Y")</f>
        <v>#NAME?</v>
      </c>
      <c r="BD341" s="1" t="e">
        <f ca="1">_xll.BDH($C$328,"GEO_GROW_BOOK_VAL","FQ3 2016","FQ3 2016","Currency=INR","Period=FQ","BEST_FPERIOD_OVERRIDE=FQ","FILING_STATUS=OR","EQY_CONSOLIDATED=Y","Sort=A","Dates=H","DateFormat=P","Fill=—","Direction=H","UseDPDF=Y")</f>
        <v>#NAME?</v>
      </c>
      <c r="BE341" s="1" t="e">
        <f ca="1">_xll.BDH($C$328,"GEO_GROW_CASH_OPER_ACT","FQ3 2016","FQ3 2016","Currency=INR","Period=FQ","BEST_FPERIOD_OVERRIDE=FQ","FILING_STATUS=OR","EQY_CONSOLIDATED=Y","Sort=A","Dates=H","DateFormat=P","Fill=—","Direction=H","UseDPDF=Y")</f>
        <v>#NAME?</v>
      </c>
      <c r="BF341" s="1" t="e">
        <f ca="1">_xll.BDH($C$328,"REVENUE_SEQUENTIAL_GROWTH","FQ3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41" s="1" t="e">
        <f ca="1">_xll.BDH($C$328,"EBITDA_SEQUENTIAL_GROWTH","FQ3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41" s="1" t="e">
        <f ca="1">_xll.BDH($C$328,"OPERATING_INCOME_SEQ_GROWTH","FQ3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41" s="1" t="e">
        <f ca="1">_xll.BDH($C$328,"NET_INCOME_TO_COMMON_SEQ_GROWTH","FQ3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41" s="1" t="e">
        <f ca="1">_xll.BDH($C$328,"EPS_DILUTED_SEQUENTIAL_GROWTH","FQ3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41" s="1" t="e">
        <f ca="1">_xll.BDH($C$328,"DPS_SEQUENTIAL_GROWTH","FQ3 2016","FQ3 2016","Currency=INR","Period=FQ","BEST_FPERIOD_OVERRIDE=FQ","FILING_STATUS=OR","EQY_CONSOLIDATED=Y","Sort=A","Dates=H","DateFormat=P","Fill=—","Direction=H","UseDPDF=Y")</f>
        <v>#NAME?</v>
      </c>
      <c r="BL341" s="1" t="e">
        <f ca="1">_xll.BDH($C$328,"ACCOUNTS_RECEIVABLE_SEQ_GROWTH","FQ3 2016","FQ3 2016","Currency=INR","Period=FQ","BEST_FPERIOD_OVERRIDE=FQ","FILING_STATUS=OR","EQY_CONSOLIDATED=Y","Sort=A","Dates=H","DateFormat=P","Fill=—","Direction=H","UseDPDF=Y")</f>
        <v>#NAME?</v>
      </c>
      <c r="BM341" s="1" t="e">
        <f ca="1">_xll.BDH($C$328,"INVENTORY_SEQUENTIAL_GROWTH","FQ3 2016","FQ3 2016","Currency=INR","Period=FQ","BEST_FPERIOD_OVERRIDE=FQ","FILING_STATUS=OR","EQY_CONSOLIDATED=Y","Sort=A","Dates=H","DateFormat=P","Fill=—","Direction=H","UseDPDF=Y")</f>
        <v>#NAME?</v>
      </c>
      <c r="BN341" s="1" t="e">
        <f ca="1">_xll.BDH($C$328,"FIXED_ASSETS_SEQUENTIAL_GROWTH","FQ3 2016","FQ3 2016","Currency=INR","Period=FQ","BEST_FPERIOD_OVERRIDE=FQ","FILING_STATUS=OR","EQY_CONSOLIDATED=Y","Sort=A","Dates=H","DateFormat=P","Fill=—","Direction=H","UseDPDF=Y")</f>
        <v>#NAME?</v>
      </c>
      <c r="BO341" s="1" t="e">
        <f ca="1">_xll.BDH($C$328,"TOTAL_ASSETS_SEQUENTIAL_GROWTH","FQ3 2016","FQ3 2016","Currency=INR","Period=FQ","BEST_FPERIOD_OVERRIDE=FQ","FILING_STATUS=OR","EQY_CONSOLIDATED=Y","Sort=A","Dates=H","DateFormat=P","Fill=—","Direction=H","UseDPDF=Y")</f>
        <v>#NAME?</v>
      </c>
      <c r="BP341" s="1" t="e">
        <f ca="1">_xll.BDH($C$328,"MODIFIED_WORKING_CPTL_SEQ_GRWTH","FQ3 2016","FQ3 2016","Currency=INR","Period=FQ","BEST_FPERIOD_OVERRIDE=FQ","FILING_STATUS=OR","EQY_CONSOLIDATED=Y","Sort=A","Dates=H","DateFormat=P","Fill=—","Direction=H","UseDPDF=Y")</f>
        <v>#NAME?</v>
      </c>
      <c r="BQ341" s="1" t="e">
        <f ca="1">_xll.BDH($C$328,"WORKING_CAPITAL_SEQ_GROWTH","FQ3 2016","FQ3 2016","Currency=INR","Period=FQ","BEST_FPERIOD_OVERRIDE=FQ","FILING_STATUS=OR","EQY_CONSOLIDATED=Y","Sort=A","Dates=H","DateFormat=P","Fill=—","Direction=H","UseDPDF=Y")</f>
        <v>#NAME?</v>
      </c>
      <c r="BR341" s="1" t="e">
        <f ca="1">_xll.BDH($C$328,"ACCOUNTS_PAYABLE_SEQ_GROWTH","FQ3 2016","FQ3 2016","Currency=INR","Period=FQ","BEST_FPERIOD_OVERRIDE=FQ","FILING_STATUS=OR","EQY_CONSOLIDATED=Y","Sort=A","Dates=H","DateFormat=P","Fill=—","Direction=H","UseDPDF=Y")</f>
        <v>#NAME?</v>
      </c>
      <c r="BS341" s="1" t="e">
        <f ca="1">_xll.BDH($C$328,"ST_DEBT_SEQUENTIAL_GROWTH","FQ3 2016","FQ3 2016","Currency=INR","Period=FQ","BEST_FPERIOD_OVERRIDE=FQ","FILING_STATUS=OR","EQY_CONSOLIDATED=Y","Sort=A","Dates=H","DateFormat=P","Fill=—","Direction=H","UseDPDF=Y")</f>
        <v>#NAME?</v>
      </c>
      <c r="BT341" s="1" t="e">
        <f ca="1">_xll.BDH($C$328,"TOTAL_DEBT_SEQUENTIAL_GROWTH","FQ3 2016","FQ3 2016","Currency=INR","Period=FQ","BEST_FPERIOD_OVERRIDE=FQ","FILING_STATUS=OR","EQY_CONSOLIDATED=Y","Sort=A","Dates=H","DateFormat=P","Fill=—","Direction=H","UseDPDF=Y")</f>
        <v>#NAME?</v>
      </c>
      <c r="BU341" s="1" t="e">
        <f ca="1">_xll.BDH($C$328,"TOTAL_EQUITY_SEQUENTIAL_GROWTH","FQ3 2016","FQ3 2016","Currency=INR","Period=FQ","BEST_FPERIOD_OVERRIDE=FQ","FILING_STATUS=OR","EQY_CONSOLIDATED=Y","Sort=A","Dates=H","DateFormat=P","Fill=—","Direction=H","UseDPDF=Y")</f>
        <v>#NAME?</v>
      </c>
      <c r="BV341" s="1" t="e">
        <f ca="1">_xll.BDH($C$328,"TOTAL_CAPITAL_SEQUENTIAL_GROWTH","FQ3 2016","FQ3 2016","Currency=INR","Period=FQ","BEST_FPERIOD_OVERRIDE=FQ","FILING_STATUS=OR","EQY_CONSOLIDATED=Y","Sort=A","Dates=H","DateFormat=P","Fill=—","Direction=H","UseDPDF=Y")</f>
        <v>#NAME?</v>
      </c>
      <c r="BW341" s="1" t="e">
        <f ca="1">_xll.BDH($C$328,"BPS_SEQUENTIAL_GROWTH","FQ3 2016","FQ3 2016","Currency=INR","Period=FQ","BEST_FPERIOD_OVERRIDE=FQ","FILING_STATUS=OR","EQY_CONSOLIDATED=Y","Sort=A","Dates=H","DateFormat=P","Fill=—","Direction=H","UseDPDF=Y")</f>
        <v>#NAME?</v>
      </c>
      <c r="BX341" s="1" t="e">
        <f ca="1">_xll.BDH($C$328,"CFO_SEQUENTIAL_GROWTH","FQ3 2016","FQ3 2016","Currency=INR","Period=FQ","BEST_FPERIOD_OVERRIDE=FQ","FILING_STATUS=OR","EQY_CONSOLIDATED=Y","Sort=A","Dates=H","DateFormat=P","Fill=—","Direction=H","UseDPDF=Y")</f>
        <v>#NAME?</v>
      </c>
      <c r="BY341" s="2" t="e">
        <f ca="1">_xll.BDH($C$328,"SHORT_AND_LONG_TERM_DEBT","FQ3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41" s="2" t="e">
        <f ca="1">_xll.BDH($C$328,"BS_ST_BORROW","FQ3 2016","FQ3 2016","Currency=INR","Period=FQ","BEST_FPERIOD_OVERRIDE=FQ","FILING_STATUS=OR","EQY_CONSOLIDATED=Y","SCALING_FORMAT=MLN","Sort=A","Dates=H","DateFormat=P","Fill=—","Direction=H","UseDPDF=Y")</f>
        <v>#NAME?</v>
      </c>
      <c r="CA341" s="2" t="e">
        <f ca="1">_xll.BDH($C$328,"BS_LT_BORROW","FQ3 2016","FQ3 2016","Currency=INR","Period=FQ","BEST_FPERIOD_OVERRIDE=FQ","FILING_STATUS=OR","EQY_CONSOLIDATED=Y","SCALING_FORMAT=MLN","Sort=A","Dates=H","DateFormat=P","Fill=—","Direction=H","UseDPDF=Y")</f>
        <v>#NAME?</v>
      </c>
      <c r="CB341" s="1" t="e">
        <f ca="1">_xll.BDH($C$328,"TOT_DEBT_TO_EBITDA","FQ3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41" s="1" t="e">
        <f ca="1">_xll.BDH($C$328,"NET_DEBT_TO_EBITDA","FQ3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41" s="1" t="e">
        <f ca="1">_xll.BDH($C$328,"TOTAL_DEBT_TO_EBIT","FQ3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41" s="1" t="e">
        <f ca="1">_xll.BDH($C$328,"NET_DEBT_TO_EBIT","FQ3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341" s="1" t="e">
        <f ca="1">_xll.BDH($C$328,"EBITDA_TO_INTEREST_EXPN","FQ3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41" s="1" t="e">
        <f ca="1">_xll.BDH($C$328,"COM_EQY_TO_TOT_ASSET","FQ3 2016","FQ3 2016","Currency=INR","Period=FQ","BEST_FPERIOD_OVERRIDE=FQ","FILING_STATUS=OR","EQY_CONSOLIDATED=Y","Sort=A","Dates=H","DateFormat=P","Fill=—","Direction=H","UseDPDF=Y")</f>
        <v>#NAME?</v>
      </c>
      <c r="CH341" s="1" t="e">
        <f ca="1">_xll.BDH($C$328,"LT_DEBT_TO_TOT_EQY","FQ3 2016","FQ3 2016","Currency=INR","Period=FQ","BEST_FPERIOD_OVERRIDE=FQ","FILING_STATUS=OR","EQY_CONSOLIDATED=Y","Sort=A","Dates=H","DateFormat=P","Fill=—","Direction=H","UseDPDF=Y")</f>
        <v>#NAME?</v>
      </c>
      <c r="CI341" s="1" t="e">
        <f ca="1">_xll.BDH($C$328,"LT_DEBT_TO_TOT_CAP","FQ3 2016","FQ3 2016","Currency=INR","Period=FQ","BEST_FPERIOD_OVERRIDE=FQ","FILING_STATUS=OR","EQY_CONSOLIDATED=Y","Sort=A","Dates=H","DateFormat=P","Fill=—","Direction=H","UseDPDF=Y")</f>
        <v>#NAME?</v>
      </c>
      <c r="CJ341" s="1" t="e">
        <f ca="1">_xll.BDH($C$328,"LT_DEBT_TO_TOT_ASSET","FQ3 2016","FQ3 2016","Currency=INR","Period=FQ","BEST_FPERIOD_OVERRIDE=FQ","FILING_STATUS=OR","EQY_CONSOLIDATED=Y","Sort=A","Dates=H","DateFormat=P","Fill=—","Direction=H","UseDPDF=Y")</f>
        <v>#NAME?</v>
      </c>
      <c r="CK341" s="1" t="e">
        <f ca="1">_xll.BDH($C$328,"TOT_DEBT_TO_TOT_EQY","FQ3 2016","FQ3 2016","Currency=INR","Period=FQ","BEST_FPERIOD_OVERRIDE=FQ","FILING_STATUS=OR","EQY_CONSOLIDATED=Y","Sort=A","Dates=H","DateFormat=P","Fill=—","Direction=H","UseDPDF=Y")</f>
        <v>#NAME?</v>
      </c>
      <c r="CL341" s="1" t="e">
        <f ca="1">_xll.BDH($C$328,"TOT_DEBT_TO_TOT_CAP","FQ3 2016","FQ3 2016","Currency=INR","Period=FQ","BEST_FPERIOD_OVERRIDE=FQ","FILING_STATUS=OR","EQY_CONSOLIDATED=Y","Sort=A","Dates=H","DateFormat=P","Fill=—","Direction=H","UseDPDF=Y")</f>
        <v>#NAME?</v>
      </c>
      <c r="CM341" s="1" t="e">
        <f ca="1">_xll.BDH($C$328,"TOT_DEBT_TO_TOT_ASSET","FQ3 2016","FQ3 2016","Currency=INR","Period=FQ","BEST_FPERIOD_OVERRIDE=FQ","FILING_STATUS=OR","EQY_CONSOLIDATED=Y","Sort=A","Dates=H","DateFormat=P","Fill=—","Direction=H","UseDPDF=Y")</f>
        <v>#NAME?</v>
      </c>
      <c r="CN341" s="1" t="e">
        <f ca="1">_xll.BDH($C$328,"NET_DEBT_TO_SHRHLDR_EQTY","FQ3 2016","FQ3 2016","Currency=INR","Period=FQ","BEST_FPERIOD_OVERRIDE=FQ","FILING_STATUS=OR","EQY_CONSOLIDATED=Y","Sort=A","Dates=H","DateFormat=P","Fill=—","Direction=H","UseDPDF=Y")</f>
        <v>#NAME?</v>
      </c>
      <c r="CO341" s="1" t="e">
        <f ca="1">_xll.BDH($C$328,"NET_DEBT_%_CAPITAL","FQ3 2016","FQ3 2016","Currency=INR","Period=FQ","BEST_FPERIOD_OVERRIDE=FQ","FILING_STATUS=OR","EQY_CONSOLIDATED=Y","Sort=A","Dates=H","DateFormat=P","Fill=—","Direction=H","UseDPDF=Y")</f>
        <v>#NAME?</v>
      </c>
      <c r="CP341" s="2" t="e">
        <f ca="1">_xll.BDH($C$328,"EBITDA","FQ3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41" s="2" t="e">
        <f ca="1">_xll.BDH($C$328,"EBITDA_AFTER_CAPEX","FQ3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41" s="2" t="e">
        <f ca="1">_xll.BDH($C$328,"IS_OPER_INC","FQ3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41" s="1" t="e">
        <f ca="1">_xll.BDH($C$328,"CASH_RATIO","FQ3 2016","FQ3 2016","Currency=INR","Period=FQ","BEST_FPERIOD_OVERRIDE=FQ","FILING_STATUS=OR","EQY_CONSOLIDATED=Y","Sort=A","Dates=H","DateFormat=P","Fill=—","Direction=H","UseDPDF=Y")</f>
        <v>#NAME?</v>
      </c>
      <c r="CT341" s="1" t="e">
        <f ca="1">_xll.BDH($C$328,"CUR_RATIO","FQ3 2016","FQ3 2016","Currency=INR","Period=FQ","BEST_FPERIOD_OVERRIDE=FQ","FILING_STATUS=OR","EQY_CONSOLIDATED=Y","Sort=A","Dates=H","DateFormat=P","Fill=—","Direction=H","UseDPDF=Y")</f>
        <v>#NAME?</v>
      </c>
      <c r="CU341" s="1" t="e">
        <f ca="1">_xll.BDH($C$328,"QUICK_RATIO","FQ3 2016","FQ3 2016","Currency=INR","Period=FQ","BEST_FPERIOD_OVERRIDE=FQ","FILING_STATUS=OR","EQY_CONSOLIDATED=Y","Sort=A","Dates=H","DateFormat=P","Fill=—","Direction=H","UseDPDF=Y")</f>
        <v>#NAME?</v>
      </c>
      <c r="CV341" s="1" t="e">
        <f ca="1">_xll.BDH($C$328,"ALTMAN_Z_SCORE","FQ3 2016","FQ3 2016","Currency=INR","Period=FQ","BEST_FPERIOD_OVERRIDE=FQ","FILING_STATUS=OR","EQY_CONSOLIDATED=Y","Sort=A","Dates=H","DateFormat=P","Fill=—","Direction=H","UseDPDF=Y")</f>
        <v>#NAME?</v>
      </c>
      <c r="CW341" s="3" t="e">
        <f ca="1">_xll.BDH($C$328,"ACCT_RCV_TURN","FQ3 2016","FQ3 2016","Currency=INR","Period=FQ","BEST_FPERIOD_OVERRIDE=FQ","FILING_STATUS=OR","EQY_CONSOLIDATED=Y","FA_ADJUSTED=GAAP","Sort=A","Dates=H","DateFormat=P","Fill=—","Direction=H","UseDPDF=Y")</f>
        <v>#NAME?</v>
      </c>
      <c r="CX341" s="1" t="e">
        <f ca="1">_xll.BDH($C$328,"ACCT_RCV_DAYS","FQ3 2016","FQ3 2016","Currency=INR","Period=FQ","BEST_FPERIOD_OVERRIDE=FQ","FILING_STATUS=OR","EQY_CONSOLIDATED=Y","FA_ADJUSTED=GAAP","Sort=A","Dates=H","DateFormat=P","Fill=—","Direction=H","UseDPDF=Y")</f>
        <v>#NAME?</v>
      </c>
      <c r="CY341" s="3" t="e">
        <f ca="1">_xll.BDH($C$328,"INVENT_TURN","FQ3 2016","FQ3 2016","Currency=INR","Period=FQ","BEST_FPERIOD_OVERRIDE=FQ","FILING_STATUS=OR","EQY_CONSOLIDATED=Y","FA_ADJUSTED=GAAP","Sort=A","Dates=H","DateFormat=P","Fill=—","Direction=H","UseDPDF=Y")</f>
        <v>#NAME?</v>
      </c>
      <c r="CZ341" s="1" t="e">
        <f ca="1">_xll.BDH($C$328,"INVENT_DAYS","FQ3 2016","FQ3 2016","Currency=INR","Period=FQ","BEST_FPERIOD_OVERRIDE=FQ","FILING_STATUS=OR","EQY_CONSOLIDATED=Y","FA_ADJUSTED=GAAP","Sort=A","Dates=H","DateFormat=P","Fill=—","Direction=H","UseDPDF=Y")</f>
        <v>#NAME?</v>
      </c>
      <c r="DA341" s="3" t="e">
        <f ca="1">_xll.BDH($C$328,"ACCOUNTS_PAYABLE_TURNOVER","FQ3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41" s="1" t="e">
        <f ca="1">_xll.BDH($C$328,"ACCOUNTS_PAYABLE_TURNOVER_DAYS","FQ3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41" s="3" t="e">
        <f ca="1">_xll.BDH($C$328,"CASH_CONVERSION_CYCLE","FQ3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41" s="3" t="e">
        <f ca="1">_xll.BDH($C$328,"INV_TO_CASH_DAYS","FQ3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341" s="4" t="e">
        <f ca="1">_xll.BDH($C$328,"BS_INVENTORIES","FQ3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341" s="2" t="e">
        <f ca="1">_xll.BDH($C$328,"INVTRY_RAW_MATERIALS","FQ3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41" s="2" t="e">
        <f ca="1">_xll.BDH($C$328,"INVTRY_IN_PROGRESS","FQ3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41" s="2" t="e">
        <f ca="1">_xll.BDH($C$328,"INVTRY_FINISHED_GOODS","FQ3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41" s="2" t="e">
        <f ca="1">_xll.BDH($C$328,"BS_OTHER_INV","FQ3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42" spans="1:113" x14ac:dyDescent="0.3">
      <c r="A342" s="6"/>
      <c r="B342" s="6"/>
      <c r="C342" s="6"/>
      <c r="D342" s="6"/>
      <c r="E342" t="s">
        <v>7</v>
      </c>
      <c r="F342" t="e">
        <f ca="1">_xll.BDH($C$328,"RETURN_COM_EQY","FQ4 2016","FQ4 2016","Currency=INR","Period=FQ","BEST_FPERIOD_OVERRIDE=FQ","FILING_STATUS=OR","EQY_CONSOLIDATED=Y","FA_ADJUSTED=GAAP","Sort=A","Dates=H","DateFormat=P","Fill=—","Direction=H","UseDPDF=Y")</f>
        <v>#NAME?</v>
      </c>
      <c r="G342" t="e">
        <f ca="1">_xll.BDH($C$328,"RETURN_ON_ASSET","FQ4 2016","FQ4 2016","Currency=INR","Period=FQ","BEST_FPERIOD_OVERRIDE=FQ","FILING_STATUS=OR","EQY_CONSOLIDATED=Y","FA_ADJUSTED=GAAP","Sort=A","Dates=H","DateFormat=P","Fill=—","Direction=H","UseDPDF=Y")</f>
        <v>#NAME?</v>
      </c>
      <c r="H342" t="e">
        <f ca="1">_xll.BDH($C$328,"RETURN_ON_CAP","FQ4 2016","FQ4 2016","Currency=INR","Period=FQ","BEST_FPERIOD_OVERRIDE=FQ","FILING_STATUS=OR","EQY_CONSOLIDATED=Y","FA_ADJUSTED=GAAP","Sort=A","Dates=H","DateFormat=P","Fill=—","Direction=H","UseDPDF=Y")</f>
        <v>#NAME?</v>
      </c>
      <c r="I342" t="e">
        <f ca="1">_xll.BDH($C$328,"RETURN_ON_INV_CAPITAL","FQ4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42" t="e">
        <f ca="1">_xll.BDH($C$328,"EBITDA_TO_REVENUE","FQ4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342" t="e">
        <f ca="1">_xll.BDH($C$328,"OPER_MARGIN","FQ4 2016","FQ4 2016","Currency=INR","Period=FQ","BEST_FPERIOD_OVERRIDE=FQ","FILING_STATUS=OR","EQY_CONSOLIDATED=Y","FA_ADJUSTED=GAAP","Sort=A","Dates=H","DateFormat=P","Fill=—","Direction=H","UseDPDF=Y")</f>
        <v>#NAME?</v>
      </c>
      <c r="L342" t="e">
        <f ca="1">_xll.BDH($C$328,"INCREMENTAL_OPERATING_MARGIN","FQ4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42" t="e">
        <f ca="1">_xll.BDH($C$328,"PRETAX_INC_TO_NET_SALES","FQ4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42" t="e">
        <f ca="1">_xll.BDH($C$328,"INC_BEF_XO_ITEMS_TO_NET_SALES","FQ4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42" t="e">
        <f ca="1">_xll.BDH($C$328,"PROF_MARGIN","FQ4 2016","FQ4 2016","Currency=INR","Period=FQ","BEST_FPERIOD_OVERRIDE=FQ","FILING_STATUS=OR","EQY_CONSOLIDATED=Y","FA_ADJUSTED=GAAP","Sort=A","Dates=H","DateFormat=P","Fill=—","Direction=H","UseDPDF=Y")</f>
        <v>#NAME?</v>
      </c>
      <c r="P342" t="e">
        <f ca="1">_xll.BDH($C$328,"NET_INCOME_TO_COMMON_MARGIN","FQ4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42" t="e">
        <f ca="1">_xll.BDH($C$328,"EFF_TAX_RATE","FQ4 2016","FQ4 2016","Currency=INR","Period=FQ","BEST_FPERIOD_OVERRIDE=FQ","FILING_STATUS=OR","EQY_CONSOLIDATED=Y","FA_ADJUSTED=GAAP","Sort=A","Dates=H","DateFormat=P","Fill=—","Direction=H","UseDPDF=Y")</f>
        <v>#NAME?</v>
      </c>
      <c r="R342" t="e">
        <f ca="1">_xll.BDH($C$328,"DVD_PAYOUT_RATIO","FQ4 2016","FQ4 2016","Currency=INR","Period=FQ","BEST_FPERIOD_OVERRIDE=FQ","FILING_STATUS=OR","EQY_CONSOLIDATED=Y","FA_ADJUSTED=GAAP","Sort=A","Dates=H","DateFormat=P","Fill=—","Direction=H","UseDPDF=Y")</f>
        <v>#NAME?</v>
      </c>
      <c r="S342" t="e">
        <f ca="1">_xll.BDH($C$328,"SUSTAIN_GROWTH_RT","FQ4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342" s="1" t="e">
        <f ca="1">_xll.BDH($C$328,"SALES_GROWTH","FQ4 2016","FQ4 2016","Currency=INR","Period=FQ","BEST_FPERIOD_OVERRIDE=FQ","FILING_STATUS=OR","EQY_CONSOLIDATED=Y","FA_ADJUSTED=GAAP","Sort=A","Dates=H","DateFormat=P","Fill=—","Direction=H","UseDPDF=Y")</f>
        <v>#NAME?</v>
      </c>
      <c r="U342" s="1" t="e">
        <f ca="1">_xll.BDH($C$328,"EBITDA_GROWTH","FQ4 2016","FQ4 2016","Currency=INR","Period=FQ","BEST_FPERIOD_OVERRIDE=FQ","FILING_STATUS=OR","EQY_CONSOLIDATED=Y","FA_ADJUSTED=GAAP","Sort=A","Dates=H","DateFormat=P","Fill=—","Direction=H","UseDPDF=Y")</f>
        <v>#NAME?</v>
      </c>
      <c r="V342" s="1" t="e">
        <f ca="1">_xll.BDH($C$328,"OPER_INC_GROWTH","FQ4 2016","FQ4 2016","Currency=INR","Period=FQ","BEST_FPERIOD_OVERRIDE=FQ","FILING_STATUS=OR","EQY_CONSOLIDATED=Y","FA_ADJUSTED=GAAP","Sort=A","Dates=H","DateFormat=P","Fill=—","Direction=H","UseDPDF=Y")</f>
        <v>#NAME?</v>
      </c>
      <c r="W342" s="1" t="e">
        <f ca="1">_xll.BDH($C$328,"EARN_FOR_COM_GROWTH","FQ4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42" s="1" t="e">
        <f ca="1">_xll.BDH($C$328,"DILUTED_EPS_AFT_XO_ITEMS_GROWTH","FQ4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42" s="1" t="e">
        <f ca="1">_xll.BDH($C$328,"DIVIDEND_PER_SHARE_1_YEAR_GROWTH","FQ4 2016","FQ4 2016","Currency=INR","Period=FQ","BEST_FPERIOD_OVERRIDE=FQ","FILING_STATUS=OR","EQY_CONSOLIDATED=Y","Sort=A","Dates=H","DateFormat=P","Fill=—","Direction=H","UseDPDF=Y")</f>
        <v>#NAME?</v>
      </c>
      <c r="Z342" s="1" t="e">
        <f ca="1">_xll.BDH($C$328,"ACCOUNTS_RECEIVABLE_GROWTH","FQ4 2016","FQ4 2016","Currency=INR","Period=FQ","BEST_FPERIOD_OVERRIDE=FQ","FILING_STATUS=OR","EQY_CONSOLIDATED=Y","Sort=A","Dates=H","DateFormat=P","Fill=—","Direction=H","UseDPDF=Y")</f>
        <v>#NAME?</v>
      </c>
      <c r="AA342" s="1" t="e">
        <f ca="1">_xll.BDH($C$328,"INVENTORY_GROWTH","FQ4 2016","FQ4 2016","Currency=INR","Period=FQ","BEST_FPERIOD_OVERRIDE=FQ","FILING_STATUS=OR","EQY_CONSOLIDATED=Y","Sort=A","Dates=H","DateFormat=P","Fill=—","Direction=H","UseDPDF=Y")</f>
        <v>#NAME?</v>
      </c>
      <c r="AB342" s="1" t="e">
        <f ca="1">_xll.BDH($C$328,"NET_FIXED_ASSETS_1_YEAR_GROWTH","FQ4 2016","FQ4 2016","Currency=INR","Period=FQ","BEST_FPERIOD_OVERRIDE=FQ","FILING_STATUS=OR","EQY_CONSOLIDATED=Y","Sort=A","Dates=H","DateFormat=P","Fill=—","Direction=H","UseDPDF=Y")</f>
        <v>#NAME?</v>
      </c>
      <c r="AC342" s="1" t="e">
        <f ca="1">_xll.BDH($C$328,"ASSET_GROWTH","FQ4 2016","FQ4 2016","Currency=INR","Period=FQ","BEST_FPERIOD_OVERRIDE=FQ","FILING_STATUS=OR","EQY_CONSOLIDATED=Y","Sort=A","Dates=H","DateFormat=P","Fill=—","Direction=H","UseDPDF=Y")</f>
        <v>#NAME?</v>
      </c>
      <c r="AD342" s="1" t="e">
        <f ca="1">_xll.BDH($C$328,"MODIFIED_WORK_CAP_GROWTH","FQ4 2016","FQ4 2016","Currency=INR","Period=FQ","BEST_FPERIOD_OVERRIDE=FQ","FILING_STATUS=OR","EQY_CONSOLIDATED=Y","Sort=A","Dates=H","DateFormat=P","Fill=—","Direction=H","UseDPDF=Y")</f>
        <v>#NAME?</v>
      </c>
      <c r="AE342" s="1" t="e">
        <f ca="1">_xll.BDH($C$328,"WORK_CAP_GROWTH","FQ4 2016","FQ4 2016","Currency=INR","Period=FQ","BEST_FPERIOD_OVERRIDE=FQ","FILING_STATUS=OR","EQY_CONSOLIDATED=Y","Sort=A","Dates=H","DateFormat=P","Fill=—","Direction=H","UseDPDF=Y")</f>
        <v>#NAME?</v>
      </c>
      <c r="AF342" s="1" t="e">
        <f ca="1">_xll.BDH($C$328,"ACCOUNTS_PAYABLE_GROWTH_1YR","FQ4 2016","FQ4 2016","Currency=INR","Period=FQ","BEST_FPERIOD_OVERRIDE=FQ","FILING_STATUS=OR","EQY_CONSOLIDATED=Y","Sort=A","Dates=H","DateFormat=P","Fill=—","Direction=H","UseDPDF=Y")</f>
        <v>#NAME?</v>
      </c>
      <c r="AG342" s="1" t="e">
        <f ca="1">_xll.BDH($C$328,"SHORT_TERM_DEBT_1_YEAR_GROWTH","FQ4 2016","FQ4 2016","Currency=INR","Period=FQ","BEST_FPERIOD_OVERRIDE=FQ","FILING_STATUS=OR","EQY_CONSOLIDATED=Y","Sort=A","Dates=H","DateFormat=P","Fill=—","Direction=H","UseDPDF=Y")</f>
        <v>#NAME?</v>
      </c>
      <c r="AH342" s="1" t="e">
        <f ca="1">_xll.BDH($C$328,"TOTAL_DEBT_1_YEAR_GROWTH","FQ4 2016","FQ4 2016","Currency=INR","Period=FQ","BEST_FPERIOD_OVERRIDE=FQ","FILING_STATUS=OR","EQY_CONSOLIDATED=Y","Sort=A","Dates=H","DateFormat=P","Fill=—","Direction=H","UseDPDF=Y")</f>
        <v>#NAME?</v>
      </c>
      <c r="AI342" s="1" t="e">
        <f ca="1">_xll.BDH($C$328,"TOTAL_EQUITY_1_YEAR_GROWTH","FQ4 2016","FQ4 2016","Currency=INR","Period=FQ","BEST_FPERIOD_OVERRIDE=FQ","FILING_STATUS=OR","EQY_CONSOLIDATED=Y","Sort=A","Dates=H","DateFormat=P","Fill=—","Direction=H","UseDPDF=Y")</f>
        <v>#NAME?</v>
      </c>
      <c r="AJ342" s="1" t="e">
        <f ca="1">_xll.BDH($C$328,"GROWTH_IN_CAP","FQ4 2016","FQ4 2016","Currency=INR","Period=FQ","BEST_FPERIOD_OVERRIDE=FQ","FILING_STATUS=OR","EQY_CONSOLIDATED=Y","Sort=A","Dates=H","DateFormat=P","Fill=—","Direction=H","UseDPDF=Y")</f>
        <v>#NAME?</v>
      </c>
      <c r="AK342" s="1" t="e">
        <f ca="1">_xll.BDH($C$328,"BVPS_GROWTH","FQ4 2016","FQ4 2016","Currency=INR","Period=FQ","BEST_FPERIOD_OVERRIDE=FQ","FILING_STATUS=OR","EQY_CONSOLIDATED=Y","Sort=A","Dates=H","DateFormat=P","Fill=—","Direction=H","UseDPDF=Y")</f>
        <v>#NAME?</v>
      </c>
      <c r="AL342" s="1" t="e">
        <f ca="1">_xll.BDH($C$328,"CASH_FLOW_GROWTH","FQ4 2016","FQ4 2016","Currency=INR","Period=FQ","BEST_FPERIOD_OVERRIDE=FQ","FILING_STATUS=OR","EQY_CONSOLIDATED=Y","Sort=A","Dates=H","DateFormat=P","Fill=—","Direction=H","UseDPDF=Y")</f>
        <v>#NAME?</v>
      </c>
      <c r="AM342" s="1" t="e">
        <f ca="1">_xll.BDH($C$328,"GEO_GROW_NET_SALES","FQ4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42" s="1" t="e">
        <f ca="1">_xll.BDH($C$328,"GEO_GROW_EBITDA","FQ4 2016","FQ4 2016","Currency=INR","Period=FQ","BEST_FPERIOD_OVERRIDE=FQ","FILING_STATUS=OR","EQY_CONSOLIDATED=Y","FA_ADJUSTED=GAAP","Sort=A","Dates=H","DateFormat=P","Fill=—","Direction=H","UseDPDF=Y")</f>
        <v>#NAME?</v>
      </c>
      <c r="AO342" s="1" t="e">
        <f ca="1">_xll.BDH($C$328,"GEO_GROW_OPER_INC","FQ4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42" s="1" t="e">
        <f ca="1">_xll.BDH($C$328,"NET_INCOME_TO_COMMON_5_YR_GROWTH","FQ4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42" s="1" t="e">
        <f ca="1">_xll.BDH($C$328,"5Y_GEO_GROWTH_DILUTED_EPS","FQ4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42" s="1" t="e">
        <f ca="1">_xll.BDH($C$328,"GEO_GROW_DVD_PER_SH","FQ4 2016","FQ4 2016","Currency=INR","Period=FQ","BEST_FPERIOD_OVERRIDE=FQ","FILING_STATUS=OR","EQY_CONSOLIDATED=Y","Sort=A","Dates=H","DateFormat=P","Fill=—","Direction=H","UseDPDF=Y")</f>
        <v>#NAME?</v>
      </c>
      <c r="AS342" s="1" t="e">
        <f ca="1">_xll.BDH($C$328,"ACCOUNTS_RECEIVABLE_5_YR_GROWTH","FQ4 2016","FQ4 2016","Currency=INR","Period=FQ","BEST_FPERIOD_OVERRIDE=FQ","FILING_STATUS=OR","EQY_CONSOLIDATED=Y","Sort=A","Dates=H","DateFormat=P","Fill=—","Direction=H","UseDPDF=Y")</f>
        <v>#NAME?</v>
      </c>
      <c r="AT342" s="1" t="e">
        <f ca="1">_xll.BDH($C$328,"INVENTORY_5_YEAR_GROWTH","FQ4 2016","FQ4 2016","Currency=INR","Period=FQ","BEST_FPERIOD_OVERRIDE=FQ","FILING_STATUS=OR","EQY_CONSOLIDATED=Y","Sort=A","Dates=H","DateFormat=P","Fill=—","Direction=H","UseDPDF=Y")</f>
        <v>#NAME?</v>
      </c>
      <c r="AU342" s="1" t="e">
        <f ca="1">_xll.BDH($C$328,"NET_FIXED_ASSETS_5_YEAR_GROWTH","FQ4 2016","FQ4 2016","Currency=INR","Period=FQ","BEST_FPERIOD_OVERRIDE=FQ","FILING_STATUS=OR","EQY_CONSOLIDATED=Y","Sort=A","Dates=H","DateFormat=P","Fill=—","Direction=H","UseDPDF=Y")</f>
        <v>#NAME?</v>
      </c>
      <c r="AV342" s="1" t="e">
        <f ca="1">_xll.BDH($C$328,"GEO_GROW_TOT_ASSET","FQ4 2016","FQ4 2016","Currency=INR","Period=FQ","BEST_FPERIOD_OVERRIDE=FQ","FILING_STATUS=OR","EQY_CONSOLIDATED=Y","Sort=A","Dates=H","DateFormat=P","Fill=—","Direction=H","UseDPDF=Y")</f>
        <v>#NAME?</v>
      </c>
      <c r="AW342" s="1" t="e">
        <f ca="1">_xll.BDH($C$328,"MODIFIED_WORKING_CPTL_5YR_GRWTH","FQ4 2016","FQ4 2016","Currency=INR","Period=FQ","BEST_FPERIOD_OVERRIDE=FQ","FILING_STATUS=OR","EQY_CONSOLIDATED=Y","Sort=A","Dates=H","DateFormat=P","Fill=—","Direction=H","UseDPDF=Y")</f>
        <v>#NAME?</v>
      </c>
      <c r="AX342" s="1" t="e">
        <f ca="1">_xll.BDH($C$328,"WORKING_CAPITAL_5_YEAR_GROWTH","FQ4 2016","FQ4 2016","Currency=INR","Period=FQ","BEST_FPERIOD_OVERRIDE=FQ","FILING_STATUS=OR","EQY_CONSOLIDATED=Y","Sort=A","Dates=H","DateFormat=P","Fill=—","Direction=H","UseDPDF=Y")</f>
        <v>#NAME?</v>
      </c>
      <c r="AY342" s="1" t="e">
        <f ca="1">_xll.BDH($C$328,"ACCOUNTS_PAYABLE_5_YEAR_GROWTH","FQ4 2016","FQ4 2016","Currency=INR","Period=FQ","BEST_FPERIOD_OVERRIDE=FQ","FILING_STATUS=OR","EQY_CONSOLIDATED=Y","Sort=A","Dates=H","DateFormat=P","Fill=—","Direction=H","UseDPDF=Y")</f>
        <v>#NAME?</v>
      </c>
      <c r="AZ342" s="1" t="e">
        <f ca="1">_xll.BDH($C$328,"SHORT_TERM_DEBT_5_YEAR_GROWTH","FQ4 2016","FQ4 2016","Currency=INR","Period=FQ","BEST_FPERIOD_OVERRIDE=FQ","FILING_STATUS=OR","EQY_CONSOLIDATED=Y","Sort=A","Dates=H","DateFormat=P","Fill=—","Direction=H","UseDPDF=Y")</f>
        <v>#NAME?</v>
      </c>
      <c r="BA342" s="1" t="e">
        <f ca="1">_xll.BDH($C$328,"TOTAL_DEBT_5_YEAR_GROWTH","FQ4 2016","FQ4 2016","Currency=INR","Period=FQ","BEST_FPERIOD_OVERRIDE=FQ","FILING_STATUS=OR","EQY_CONSOLIDATED=Y","Sort=A","Dates=H","DateFormat=P","Fill=—","Direction=H","UseDPDF=Y")</f>
        <v>#NAME?</v>
      </c>
      <c r="BB342" s="1" t="e">
        <f ca="1">_xll.BDH($C$328,"GEO_GROW_TOT_SHRHLDR_EQY","FQ4 2016","FQ4 2016","Currency=INR","Period=FQ","BEST_FPERIOD_OVERRIDE=FQ","FILING_STATUS=OR","EQY_CONSOLIDATED=Y","Sort=A","Dates=H","DateFormat=P","Fill=—","Direction=H","UseDPDF=Y")</f>
        <v>#NAME?</v>
      </c>
      <c r="BC342" s="1" t="e">
        <f ca="1">_xll.BDH($C$328,"TOTAL_CAPITAL_5_YEAR_GROWTH","FQ4 2016","FQ4 2016","Currency=INR","Period=FQ","BEST_FPERIOD_OVERRIDE=FQ","FILING_STATUS=OR","EQY_CONSOLIDATED=Y","Sort=A","Dates=H","DateFormat=P","Fill=—","Direction=H","UseDPDF=Y")</f>
        <v>#NAME?</v>
      </c>
      <c r="BD342" s="1" t="e">
        <f ca="1">_xll.BDH($C$328,"GEO_GROW_BOOK_VAL","FQ4 2016","FQ4 2016","Currency=INR","Period=FQ","BEST_FPERIOD_OVERRIDE=FQ","FILING_STATUS=OR","EQY_CONSOLIDATED=Y","Sort=A","Dates=H","DateFormat=P","Fill=—","Direction=H","UseDPDF=Y")</f>
        <v>#NAME?</v>
      </c>
      <c r="BE342" s="1" t="e">
        <f ca="1">_xll.BDH($C$328,"GEO_GROW_CASH_OPER_ACT","FQ4 2016","FQ4 2016","Currency=INR","Period=FQ","BEST_FPERIOD_OVERRIDE=FQ","FILING_STATUS=OR","EQY_CONSOLIDATED=Y","Sort=A","Dates=H","DateFormat=P","Fill=—","Direction=H","UseDPDF=Y")</f>
        <v>#NAME?</v>
      </c>
      <c r="BF342" s="1" t="e">
        <f ca="1">_xll.BDH($C$328,"REVENUE_SEQUENTIAL_GROWTH","FQ4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42" s="1" t="e">
        <f ca="1">_xll.BDH($C$328,"EBITDA_SEQUENTIAL_GROWTH","FQ4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42" s="1" t="e">
        <f ca="1">_xll.BDH($C$328,"OPERATING_INCOME_SEQ_GROWTH","FQ4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42" s="1" t="e">
        <f ca="1">_xll.BDH($C$328,"NET_INCOME_TO_COMMON_SEQ_GROWTH","FQ4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42" s="1" t="e">
        <f ca="1">_xll.BDH($C$328,"EPS_DILUTED_SEQUENTIAL_GROWTH","FQ4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42" s="1" t="e">
        <f ca="1">_xll.BDH($C$328,"DPS_SEQUENTIAL_GROWTH","FQ4 2016","FQ4 2016","Currency=INR","Period=FQ","BEST_FPERIOD_OVERRIDE=FQ","FILING_STATUS=OR","EQY_CONSOLIDATED=Y","Sort=A","Dates=H","DateFormat=P","Fill=—","Direction=H","UseDPDF=Y")</f>
        <v>#NAME?</v>
      </c>
      <c r="BL342" s="1" t="e">
        <f ca="1">_xll.BDH($C$328,"ACCOUNTS_RECEIVABLE_SEQ_GROWTH","FQ4 2016","FQ4 2016","Currency=INR","Period=FQ","BEST_FPERIOD_OVERRIDE=FQ","FILING_STATUS=OR","EQY_CONSOLIDATED=Y","Sort=A","Dates=H","DateFormat=P","Fill=—","Direction=H","UseDPDF=Y")</f>
        <v>#NAME?</v>
      </c>
      <c r="BM342" s="1" t="e">
        <f ca="1">_xll.BDH($C$328,"INVENTORY_SEQUENTIAL_GROWTH","FQ4 2016","FQ4 2016","Currency=INR","Period=FQ","BEST_FPERIOD_OVERRIDE=FQ","FILING_STATUS=OR","EQY_CONSOLIDATED=Y","Sort=A","Dates=H","DateFormat=P","Fill=—","Direction=H","UseDPDF=Y")</f>
        <v>#NAME?</v>
      </c>
      <c r="BN342" s="1" t="e">
        <f ca="1">_xll.BDH($C$328,"FIXED_ASSETS_SEQUENTIAL_GROWTH","FQ4 2016","FQ4 2016","Currency=INR","Period=FQ","BEST_FPERIOD_OVERRIDE=FQ","FILING_STATUS=OR","EQY_CONSOLIDATED=Y","Sort=A","Dates=H","DateFormat=P","Fill=—","Direction=H","UseDPDF=Y")</f>
        <v>#NAME?</v>
      </c>
      <c r="BO342" s="1" t="e">
        <f ca="1">_xll.BDH($C$328,"TOTAL_ASSETS_SEQUENTIAL_GROWTH","FQ4 2016","FQ4 2016","Currency=INR","Period=FQ","BEST_FPERIOD_OVERRIDE=FQ","FILING_STATUS=OR","EQY_CONSOLIDATED=Y","Sort=A","Dates=H","DateFormat=P","Fill=—","Direction=H","UseDPDF=Y")</f>
        <v>#NAME?</v>
      </c>
      <c r="BP342" s="1" t="e">
        <f ca="1">_xll.BDH($C$328,"MODIFIED_WORKING_CPTL_SEQ_GRWTH","FQ4 2016","FQ4 2016","Currency=INR","Period=FQ","BEST_FPERIOD_OVERRIDE=FQ","FILING_STATUS=OR","EQY_CONSOLIDATED=Y","Sort=A","Dates=H","DateFormat=P","Fill=—","Direction=H","UseDPDF=Y")</f>
        <v>#NAME?</v>
      </c>
      <c r="BQ342" s="1" t="e">
        <f ca="1">_xll.BDH($C$328,"WORKING_CAPITAL_SEQ_GROWTH","FQ4 2016","FQ4 2016","Currency=INR","Period=FQ","BEST_FPERIOD_OVERRIDE=FQ","FILING_STATUS=OR","EQY_CONSOLIDATED=Y","Sort=A","Dates=H","DateFormat=P","Fill=—","Direction=H","UseDPDF=Y")</f>
        <v>#NAME?</v>
      </c>
      <c r="BR342" s="1" t="e">
        <f ca="1">_xll.BDH($C$328,"ACCOUNTS_PAYABLE_SEQ_GROWTH","FQ4 2016","FQ4 2016","Currency=INR","Period=FQ","BEST_FPERIOD_OVERRIDE=FQ","FILING_STATUS=OR","EQY_CONSOLIDATED=Y","Sort=A","Dates=H","DateFormat=P","Fill=—","Direction=H","UseDPDF=Y")</f>
        <v>#NAME?</v>
      </c>
      <c r="BS342" s="1" t="e">
        <f ca="1">_xll.BDH($C$328,"ST_DEBT_SEQUENTIAL_GROWTH","FQ4 2016","FQ4 2016","Currency=INR","Period=FQ","BEST_FPERIOD_OVERRIDE=FQ","FILING_STATUS=OR","EQY_CONSOLIDATED=Y","Sort=A","Dates=H","DateFormat=P","Fill=—","Direction=H","UseDPDF=Y")</f>
        <v>#NAME?</v>
      </c>
      <c r="BT342" s="1" t="e">
        <f ca="1">_xll.BDH($C$328,"TOTAL_DEBT_SEQUENTIAL_GROWTH","FQ4 2016","FQ4 2016","Currency=INR","Period=FQ","BEST_FPERIOD_OVERRIDE=FQ","FILING_STATUS=OR","EQY_CONSOLIDATED=Y","Sort=A","Dates=H","DateFormat=P","Fill=—","Direction=H","UseDPDF=Y")</f>
        <v>#NAME?</v>
      </c>
      <c r="BU342" s="1" t="e">
        <f ca="1">_xll.BDH($C$328,"TOTAL_EQUITY_SEQUENTIAL_GROWTH","FQ4 2016","FQ4 2016","Currency=INR","Period=FQ","BEST_FPERIOD_OVERRIDE=FQ","FILING_STATUS=OR","EQY_CONSOLIDATED=Y","Sort=A","Dates=H","DateFormat=P","Fill=—","Direction=H","UseDPDF=Y")</f>
        <v>#NAME?</v>
      </c>
      <c r="BV342" s="1" t="e">
        <f ca="1">_xll.BDH($C$328,"TOTAL_CAPITAL_SEQUENTIAL_GROWTH","FQ4 2016","FQ4 2016","Currency=INR","Period=FQ","BEST_FPERIOD_OVERRIDE=FQ","FILING_STATUS=OR","EQY_CONSOLIDATED=Y","Sort=A","Dates=H","DateFormat=P","Fill=—","Direction=H","UseDPDF=Y")</f>
        <v>#NAME?</v>
      </c>
      <c r="BW342" s="1" t="e">
        <f ca="1">_xll.BDH($C$328,"BPS_SEQUENTIAL_GROWTH","FQ4 2016","FQ4 2016","Currency=INR","Period=FQ","BEST_FPERIOD_OVERRIDE=FQ","FILING_STATUS=OR","EQY_CONSOLIDATED=Y","Sort=A","Dates=H","DateFormat=P","Fill=—","Direction=H","UseDPDF=Y")</f>
        <v>#NAME?</v>
      </c>
      <c r="BX342" s="1" t="e">
        <f ca="1">_xll.BDH($C$328,"CFO_SEQUENTIAL_GROWTH","FQ4 2016","FQ4 2016","Currency=INR","Period=FQ","BEST_FPERIOD_OVERRIDE=FQ","FILING_STATUS=OR","EQY_CONSOLIDATED=Y","Sort=A","Dates=H","DateFormat=P","Fill=—","Direction=H","UseDPDF=Y")</f>
        <v>#NAME?</v>
      </c>
      <c r="BY342" s="2" t="e">
        <f ca="1">_xll.BDH($C$328,"SHORT_AND_LONG_TERM_DEBT","FQ4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42" s="2" t="e">
        <f ca="1">_xll.BDH($C$328,"BS_ST_BORROW","FQ4 2016","FQ4 2016","Currency=INR","Period=FQ","BEST_FPERIOD_OVERRIDE=FQ","FILING_STATUS=OR","EQY_CONSOLIDATED=Y","SCALING_FORMAT=MLN","Sort=A","Dates=H","DateFormat=P","Fill=—","Direction=H","UseDPDF=Y")</f>
        <v>#NAME?</v>
      </c>
      <c r="CA342" s="2" t="e">
        <f ca="1">_xll.BDH($C$328,"BS_LT_BORROW","FQ4 2016","FQ4 2016","Currency=INR","Period=FQ","BEST_FPERIOD_OVERRIDE=FQ","FILING_STATUS=OR","EQY_CONSOLIDATED=Y","SCALING_FORMAT=MLN","Sort=A","Dates=H","DateFormat=P","Fill=—","Direction=H","UseDPDF=Y")</f>
        <v>#NAME?</v>
      </c>
      <c r="CB342" s="1" t="e">
        <f ca="1">_xll.BDH($C$328,"TOT_DEBT_TO_EBITDA","FQ4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42" s="1" t="e">
        <f ca="1">_xll.BDH($C$328,"NET_DEBT_TO_EBITDA","FQ4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42" s="1" t="e">
        <f ca="1">_xll.BDH($C$328,"TOTAL_DEBT_TO_EBIT","FQ4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42" s="1" t="e">
        <f ca="1">_xll.BDH($C$328,"NET_DEBT_TO_EBIT","FQ4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342" s="1" t="e">
        <f ca="1">_xll.BDH($C$328,"EBITDA_TO_INTEREST_EXPN","FQ4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42" s="1" t="e">
        <f ca="1">_xll.BDH($C$328,"COM_EQY_TO_TOT_ASSET","FQ4 2016","FQ4 2016","Currency=INR","Period=FQ","BEST_FPERIOD_OVERRIDE=FQ","FILING_STATUS=OR","EQY_CONSOLIDATED=Y","Sort=A","Dates=H","DateFormat=P","Fill=—","Direction=H","UseDPDF=Y")</f>
        <v>#NAME?</v>
      </c>
      <c r="CH342" s="1" t="e">
        <f ca="1">_xll.BDH($C$328,"LT_DEBT_TO_TOT_EQY","FQ4 2016","FQ4 2016","Currency=INR","Period=FQ","BEST_FPERIOD_OVERRIDE=FQ","FILING_STATUS=OR","EQY_CONSOLIDATED=Y","Sort=A","Dates=H","DateFormat=P","Fill=—","Direction=H","UseDPDF=Y")</f>
        <v>#NAME?</v>
      </c>
      <c r="CI342" s="1" t="e">
        <f ca="1">_xll.BDH($C$328,"LT_DEBT_TO_TOT_CAP","FQ4 2016","FQ4 2016","Currency=INR","Period=FQ","BEST_FPERIOD_OVERRIDE=FQ","FILING_STATUS=OR","EQY_CONSOLIDATED=Y","Sort=A","Dates=H","DateFormat=P","Fill=—","Direction=H","UseDPDF=Y")</f>
        <v>#NAME?</v>
      </c>
      <c r="CJ342" s="1" t="e">
        <f ca="1">_xll.BDH($C$328,"LT_DEBT_TO_TOT_ASSET","FQ4 2016","FQ4 2016","Currency=INR","Period=FQ","BEST_FPERIOD_OVERRIDE=FQ","FILING_STATUS=OR","EQY_CONSOLIDATED=Y","Sort=A","Dates=H","DateFormat=P","Fill=—","Direction=H","UseDPDF=Y")</f>
        <v>#NAME?</v>
      </c>
      <c r="CK342" s="1" t="e">
        <f ca="1">_xll.BDH($C$328,"TOT_DEBT_TO_TOT_EQY","FQ4 2016","FQ4 2016","Currency=INR","Period=FQ","BEST_FPERIOD_OVERRIDE=FQ","FILING_STATUS=OR","EQY_CONSOLIDATED=Y","Sort=A","Dates=H","DateFormat=P","Fill=—","Direction=H","UseDPDF=Y")</f>
        <v>#NAME?</v>
      </c>
      <c r="CL342" s="1" t="e">
        <f ca="1">_xll.BDH($C$328,"TOT_DEBT_TO_TOT_CAP","FQ4 2016","FQ4 2016","Currency=INR","Period=FQ","BEST_FPERIOD_OVERRIDE=FQ","FILING_STATUS=OR","EQY_CONSOLIDATED=Y","Sort=A","Dates=H","DateFormat=P","Fill=—","Direction=H","UseDPDF=Y")</f>
        <v>#NAME?</v>
      </c>
      <c r="CM342" s="1" t="e">
        <f ca="1">_xll.BDH($C$328,"TOT_DEBT_TO_TOT_ASSET","FQ4 2016","FQ4 2016","Currency=INR","Period=FQ","BEST_FPERIOD_OVERRIDE=FQ","FILING_STATUS=OR","EQY_CONSOLIDATED=Y","Sort=A","Dates=H","DateFormat=P","Fill=—","Direction=H","UseDPDF=Y")</f>
        <v>#NAME?</v>
      </c>
      <c r="CN342" s="1" t="e">
        <f ca="1">_xll.BDH($C$328,"NET_DEBT_TO_SHRHLDR_EQTY","FQ4 2016","FQ4 2016","Currency=INR","Period=FQ","BEST_FPERIOD_OVERRIDE=FQ","FILING_STATUS=OR","EQY_CONSOLIDATED=Y","Sort=A","Dates=H","DateFormat=P","Fill=—","Direction=H","UseDPDF=Y")</f>
        <v>#NAME?</v>
      </c>
      <c r="CO342" s="1" t="e">
        <f ca="1">_xll.BDH($C$328,"NET_DEBT_%_CAPITAL","FQ4 2016","FQ4 2016","Currency=INR","Period=FQ","BEST_FPERIOD_OVERRIDE=FQ","FILING_STATUS=OR","EQY_CONSOLIDATED=Y","Sort=A","Dates=H","DateFormat=P","Fill=—","Direction=H","UseDPDF=Y")</f>
        <v>#NAME?</v>
      </c>
      <c r="CP342" s="2" t="e">
        <f ca="1">_xll.BDH($C$328,"EBITDA","FQ4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42" s="2" t="e">
        <f ca="1">_xll.BDH($C$328,"EBITDA_AFTER_CAPEX","FQ4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42" s="2" t="e">
        <f ca="1">_xll.BDH($C$328,"IS_OPER_INC","FQ4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42" s="1" t="e">
        <f ca="1">_xll.BDH($C$328,"CASH_RATIO","FQ4 2016","FQ4 2016","Currency=INR","Period=FQ","BEST_FPERIOD_OVERRIDE=FQ","FILING_STATUS=OR","EQY_CONSOLIDATED=Y","Sort=A","Dates=H","DateFormat=P","Fill=—","Direction=H","UseDPDF=Y")</f>
        <v>#NAME?</v>
      </c>
      <c r="CT342" s="1" t="e">
        <f ca="1">_xll.BDH($C$328,"CUR_RATIO","FQ4 2016","FQ4 2016","Currency=INR","Period=FQ","BEST_FPERIOD_OVERRIDE=FQ","FILING_STATUS=OR","EQY_CONSOLIDATED=Y","Sort=A","Dates=H","DateFormat=P","Fill=—","Direction=H","UseDPDF=Y")</f>
        <v>#NAME?</v>
      </c>
      <c r="CU342" s="1" t="e">
        <f ca="1">_xll.BDH($C$328,"QUICK_RATIO","FQ4 2016","FQ4 2016","Currency=INR","Period=FQ","BEST_FPERIOD_OVERRIDE=FQ","FILING_STATUS=OR","EQY_CONSOLIDATED=Y","Sort=A","Dates=H","DateFormat=P","Fill=—","Direction=H","UseDPDF=Y")</f>
        <v>#NAME?</v>
      </c>
      <c r="CV342" s="1" t="e">
        <f ca="1">_xll.BDH($C$328,"ALTMAN_Z_SCORE","FQ4 2016","FQ4 2016","Currency=INR","Period=FQ","BEST_FPERIOD_OVERRIDE=FQ","FILING_STATUS=OR","EQY_CONSOLIDATED=Y","Sort=A","Dates=H","DateFormat=P","Fill=—","Direction=H","UseDPDF=Y")</f>
        <v>#NAME?</v>
      </c>
      <c r="CW342" s="3" t="e">
        <f ca="1">_xll.BDH($C$328,"ACCT_RCV_TURN","FQ4 2016","FQ4 2016","Currency=INR","Period=FQ","BEST_FPERIOD_OVERRIDE=FQ","FILING_STATUS=OR","EQY_CONSOLIDATED=Y","FA_ADJUSTED=GAAP","Sort=A","Dates=H","DateFormat=P","Fill=—","Direction=H","UseDPDF=Y")</f>
        <v>#NAME?</v>
      </c>
      <c r="CX342" s="1" t="e">
        <f ca="1">_xll.BDH($C$328,"ACCT_RCV_DAYS","FQ4 2016","FQ4 2016","Currency=INR","Period=FQ","BEST_FPERIOD_OVERRIDE=FQ","FILING_STATUS=OR","EQY_CONSOLIDATED=Y","FA_ADJUSTED=GAAP","Sort=A","Dates=H","DateFormat=P","Fill=—","Direction=H","UseDPDF=Y")</f>
        <v>#NAME?</v>
      </c>
      <c r="CY342" s="3" t="e">
        <f ca="1">_xll.BDH($C$328,"INVENT_TURN","FQ4 2016","FQ4 2016","Currency=INR","Period=FQ","BEST_FPERIOD_OVERRIDE=FQ","FILING_STATUS=OR","EQY_CONSOLIDATED=Y","FA_ADJUSTED=GAAP","Sort=A","Dates=H","DateFormat=P","Fill=—","Direction=H","UseDPDF=Y")</f>
        <v>#NAME?</v>
      </c>
      <c r="CZ342" s="1" t="e">
        <f ca="1">_xll.BDH($C$328,"INVENT_DAYS","FQ4 2016","FQ4 2016","Currency=INR","Period=FQ","BEST_FPERIOD_OVERRIDE=FQ","FILING_STATUS=OR","EQY_CONSOLIDATED=Y","FA_ADJUSTED=GAAP","Sort=A","Dates=H","DateFormat=P","Fill=—","Direction=H","UseDPDF=Y")</f>
        <v>#NAME?</v>
      </c>
      <c r="DA342" s="3" t="e">
        <f ca="1">_xll.BDH($C$328,"ACCOUNTS_PAYABLE_TURNOVER","FQ4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42" s="1" t="e">
        <f ca="1">_xll.BDH($C$328,"ACCOUNTS_PAYABLE_TURNOVER_DAYS","FQ4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42" s="3" t="e">
        <f ca="1">_xll.BDH($C$328,"CASH_CONVERSION_CYCLE","FQ4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42" s="3" t="e">
        <f ca="1">_xll.BDH($C$328,"INV_TO_CASH_DAYS","FQ4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342" s="4" t="e">
        <f ca="1">_xll.BDH($C$328,"BS_INVENTORIES","FQ4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342" s="2" t="e">
        <f ca="1">_xll.BDH($C$328,"INVTRY_RAW_MATERIALS","FQ4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42" s="2" t="e">
        <f ca="1">_xll.BDH($C$328,"INVTRY_IN_PROGRESS","FQ4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42" s="2" t="e">
        <f ca="1">_xll.BDH($C$328,"INVTRY_FINISHED_GOODS","FQ4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42" s="2" t="e">
        <f ca="1">_xll.BDH($C$328,"BS_OTHER_INV","FQ4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43" spans="1:113" x14ac:dyDescent="0.3">
      <c r="A343" s="6"/>
      <c r="B343" s="6"/>
      <c r="C343" s="6"/>
      <c r="D343" s="6" t="s">
        <v>10</v>
      </c>
      <c r="E343" t="s">
        <v>3</v>
      </c>
      <c r="F343" t="e">
        <f ca="1">_xll.BDH($C$328,"RETURN_COM_EQY","FY 2017","FY 2017","Currency=INR","Period=FY","BEST_FPERIOD_OVERRIDE=FY","FILING_STATUS=OR","EQY_CONSOLIDATED=Y","FA_ADJUSTED=GAAP","Sort=A","Dates=H","DateFormat=P","Fill=—","Direction=H","UseDPDF=Y")</f>
        <v>#NAME?</v>
      </c>
      <c r="G343" t="e">
        <f ca="1">_xll.BDH($C$328,"RETURN_ON_ASSET","FY 2017","FY 2017","Currency=INR","Period=FY","BEST_FPERIOD_OVERRIDE=FY","FILING_STATUS=OR","EQY_CONSOLIDATED=Y","FA_ADJUSTED=GAAP","Sort=A","Dates=H","DateFormat=P","Fill=—","Direction=H","UseDPDF=Y")</f>
        <v>#NAME?</v>
      </c>
      <c r="H343" t="e">
        <f ca="1">_xll.BDH($C$328,"RETURN_ON_CAP","FY 2017","FY 2017","Currency=INR","Period=FY","BEST_FPERIOD_OVERRIDE=FY","FILING_STATUS=OR","EQY_CONSOLIDATED=Y","FA_ADJUSTED=GAAP","Sort=A","Dates=H","DateFormat=P","Fill=—","Direction=H","UseDPDF=Y")</f>
        <v>#NAME?</v>
      </c>
      <c r="I343" t="e">
        <f ca="1">_xll.BDH($C$328,"RETURN_ON_INV_CAPITAL","FY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43" t="e">
        <f ca="1">_xll.BDH($C$328,"EBITDA_TO_REVENUE","FY 2017","FY 2017","Currency=INR","Period=FY","BEST_FPERIOD_OVERRIDE=FY","FILING_STATUS=OR","EQY_CONSOLIDATED=Y","FA_ADJUSTED=GAAP","Sort=A","Dates=H","DateFormat=P","Fill=—","Direction=H","UseDPDF=Y")</f>
        <v>#NAME?</v>
      </c>
      <c r="K343" t="e">
        <f ca="1">_xll.BDH($C$328,"OPER_MARGIN","FY 2017","FY 2017","Currency=INR","Period=FY","BEST_FPERIOD_OVERRIDE=FY","FILING_STATUS=OR","EQY_CONSOLIDATED=Y","FA_ADJUSTED=GAAP","Sort=A","Dates=H","DateFormat=P","Fill=—","Direction=H","UseDPDF=Y")</f>
        <v>#NAME?</v>
      </c>
      <c r="L343" t="e">
        <f ca="1">_xll.BDH($C$328,"INCREMENTAL_OPERATING_MARGIN","FY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43" t="e">
        <f ca="1">_xll.BDH($C$328,"PRETAX_INC_TO_NET_SALES","FY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43" t="e">
        <f ca="1">_xll.BDH($C$328,"INC_BEF_XO_ITEMS_TO_NET_SALES","FY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43" t="e">
        <f ca="1">_xll.BDH($C$328,"PROF_MARGIN","FY 2017","FY 2017","Currency=INR","Period=FY","BEST_FPERIOD_OVERRIDE=FY","FILING_STATUS=OR","EQY_CONSOLIDATED=Y","FA_ADJUSTED=GAAP","Sort=A","Dates=H","DateFormat=P","Fill=—","Direction=H","UseDPDF=Y")</f>
        <v>#NAME?</v>
      </c>
      <c r="P343" t="e">
        <f ca="1">_xll.BDH($C$328,"NET_INCOME_TO_COMMON_MARGIN","FY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43" t="e">
        <f ca="1">_xll.BDH($C$328,"EFF_TAX_RATE","FY 2017","FY 2017","Currency=INR","Period=FY","BEST_FPERIOD_OVERRIDE=FY","FILING_STATUS=OR","EQY_CONSOLIDATED=Y","FA_ADJUSTED=GAAP","Sort=A","Dates=H","DateFormat=P","Fill=—","Direction=H","UseDPDF=Y")</f>
        <v>#NAME?</v>
      </c>
      <c r="R343" t="e">
        <f ca="1">_xll.BDH($C$328,"DVD_PAYOUT_RATIO","FY 2017","FY 2017","Currency=INR","Period=FY","BEST_FPERIOD_OVERRIDE=FY","FILING_STATUS=OR","EQY_CONSOLIDATED=Y","FA_ADJUSTED=GAAP","Sort=A","Dates=H","DateFormat=P","Fill=—","Direction=H","UseDPDF=Y")</f>
        <v>#NAME?</v>
      </c>
      <c r="S343" t="e">
        <f ca="1">_xll.BDH($C$328,"SUSTAIN_GROWTH_RT","FY 2017","FY 2017","Currency=INR","Period=FY","BEST_FPERIOD_OVERRIDE=FY","FILING_STATUS=OR","EQY_CONSOLIDATED=Y","FA_ADJUSTED=GAAP","Sort=A","Dates=H","DateFormat=P","Fill=—","Direction=H","UseDPDF=Y")</f>
        <v>#NAME?</v>
      </c>
      <c r="T343" s="1" t="e">
        <f ca="1">_xll.BDH($C$328,"SALES_GROWTH","FY 2017","FY 2017","Currency=INR","Period=FY","BEST_FPERIOD_OVERRIDE=FY","FILING_STATUS=OR","EQY_CONSOLIDATED=Y","FA_ADJUSTED=GAAP","Sort=A","Dates=H","DateFormat=P","Fill=—","Direction=H","UseDPDF=Y")</f>
        <v>#NAME?</v>
      </c>
      <c r="U343" s="1" t="e">
        <f ca="1">_xll.BDH($C$328,"EBITDA_GROWTH","FY 2017","FY 2017","Currency=INR","Period=FY","BEST_FPERIOD_OVERRIDE=FY","FILING_STATUS=OR","EQY_CONSOLIDATED=Y","FA_ADJUSTED=GAAP","Sort=A","Dates=H","DateFormat=P","Fill=—","Direction=H","UseDPDF=Y")</f>
        <v>#NAME?</v>
      </c>
      <c r="V343" s="1" t="e">
        <f ca="1">_xll.BDH($C$328,"OPER_INC_GROWTH","FY 2017","FY 2017","Currency=INR","Period=FY","BEST_FPERIOD_OVERRIDE=FY","FILING_STATUS=OR","EQY_CONSOLIDATED=Y","FA_ADJUSTED=GAAP","Sort=A","Dates=H","DateFormat=P","Fill=—","Direction=H","UseDPDF=Y")</f>
        <v>#NAME?</v>
      </c>
      <c r="W343" s="1" t="e">
        <f ca="1">_xll.BDH($C$328,"EARN_FOR_COM_GROWTH","FY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343" s="1" t="e">
        <f ca="1">_xll.BDH($C$328,"DILUTED_EPS_AFT_XO_ITEMS_GROWTH","FY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43" s="1" t="e">
        <f ca="1">_xll.BDH($C$328,"DIVIDEND_PER_SHARE_1_YEAR_GROWTH","FY 2017","FY 2017","Currency=INR","Period=FY","BEST_FPERIOD_OVERRIDE=FY","FILING_STATUS=OR","EQY_CONSOLIDATED=Y","Sort=A","Dates=H","DateFormat=P","Fill=—","Direction=H","UseDPDF=Y")</f>
        <v>#NAME?</v>
      </c>
      <c r="Z343" s="1" t="e">
        <f ca="1">_xll.BDH($C$328,"ACCOUNTS_RECEIVABLE_GROWTH","FY 2017","FY 2017","Currency=INR","Period=FY","BEST_FPERIOD_OVERRIDE=FY","FILING_STATUS=OR","EQY_CONSOLIDATED=Y","Sort=A","Dates=H","DateFormat=P","Fill=—","Direction=H","UseDPDF=Y")</f>
        <v>#NAME?</v>
      </c>
      <c r="AA343" s="1" t="e">
        <f ca="1">_xll.BDH($C$328,"INVENTORY_GROWTH","FY 2017","FY 2017","Currency=INR","Period=FY","BEST_FPERIOD_OVERRIDE=FY","FILING_STATUS=OR","EQY_CONSOLIDATED=Y","Sort=A","Dates=H","DateFormat=P","Fill=—","Direction=H","UseDPDF=Y")</f>
        <v>#NAME?</v>
      </c>
      <c r="AB343" s="1" t="e">
        <f ca="1">_xll.BDH($C$328,"NET_FIXED_ASSETS_1_YEAR_GROWTH","FY 2017","FY 2017","Currency=INR","Period=FY","BEST_FPERIOD_OVERRIDE=FY","FILING_STATUS=OR","EQY_CONSOLIDATED=Y","Sort=A","Dates=H","DateFormat=P","Fill=—","Direction=H","UseDPDF=Y")</f>
        <v>#NAME?</v>
      </c>
      <c r="AC343" s="1" t="e">
        <f ca="1">_xll.BDH($C$328,"ASSET_GROWTH","FY 2017","FY 2017","Currency=INR","Period=FY","BEST_FPERIOD_OVERRIDE=FY","FILING_STATUS=OR","EQY_CONSOLIDATED=Y","Sort=A","Dates=H","DateFormat=P","Fill=—","Direction=H","UseDPDF=Y")</f>
        <v>#NAME?</v>
      </c>
      <c r="AD343" s="1" t="e">
        <f ca="1">_xll.BDH($C$328,"MODIFIED_WORK_CAP_GROWTH","FY 2017","FY 2017","Currency=INR","Period=FY","BEST_FPERIOD_OVERRIDE=FY","FILING_STATUS=OR","EQY_CONSOLIDATED=Y","Sort=A","Dates=H","DateFormat=P","Fill=—","Direction=H","UseDPDF=Y")</f>
        <v>#NAME?</v>
      </c>
      <c r="AE343" s="1" t="e">
        <f ca="1">_xll.BDH($C$328,"WORK_CAP_GROWTH","FY 2017","FY 2017","Currency=INR","Period=FY","BEST_FPERIOD_OVERRIDE=FY","FILING_STATUS=OR","EQY_CONSOLIDATED=Y","Sort=A","Dates=H","DateFormat=P","Fill=—","Direction=H","UseDPDF=Y")</f>
        <v>#NAME?</v>
      </c>
      <c r="AF343" s="1" t="e">
        <f ca="1">_xll.BDH($C$328,"ACCOUNTS_PAYABLE_GROWTH_1YR","FY 2017","FY 2017","Currency=INR","Period=FY","BEST_FPERIOD_OVERRIDE=FY","FILING_STATUS=OR","EQY_CONSOLIDATED=Y","Sort=A","Dates=H","DateFormat=P","Fill=—","Direction=H","UseDPDF=Y")</f>
        <v>#NAME?</v>
      </c>
      <c r="AG343" s="1" t="e">
        <f ca="1">_xll.BDH($C$328,"SHORT_TERM_DEBT_1_YEAR_GROWTH","FY 2017","FY 2017","Currency=INR","Period=FY","BEST_FPERIOD_OVERRIDE=FY","FILING_STATUS=OR","EQY_CONSOLIDATED=Y","Sort=A","Dates=H","DateFormat=P","Fill=—","Direction=H","UseDPDF=Y")</f>
        <v>#NAME?</v>
      </c>
      <c r="AH343" s="1" t="e">
        <f ca="1">_xll.BDH($C$328,"TOTAL_DEBT_1_YEAR_GROWTH","FY 2017","FY 2017","Currency=INR","Period=FY","BEST_FPERIOD_OVERRIDE=FY","FILING_STATUS=OR","EQY_CONSOLIDATED=Y","Sort=A","Dates=H","DateFormat=P","Fill=—","Direction=H","UseDPDF=Y")</f>
        <v>#NAME?</v>
      </c>
      <c r="AI343" s="1" t="e">
        <f ca="1">_xll.BDH($C$328,"TOTAL_EQUITY_1_YEAR_GROWTH","FY 2017","FY 2017","Currency=INR","Period=FY","BEST_FPERIOD_OVERRIDE=FY","FILING_STATUS=OR","EQY_CONSOLIDATED=Y","Sort=A","Dates=H","DateFormat=P","Fill=—","Direction=H","UseDPDF=Y")</f>
        <v>#NAME?</v>
      </c>
      <c r="AJ343" s="1" t="e">
        <f ca="1">_xll.BDH($C$328,"GROWTH_IN_CAP","FY 2017","FY 2017","Currency=INR","Period=FY","BEST_FPERIOD_OVERRIDE=FY","FILING_STATUS=OR","EQY_CONSOLIDATED=Y","Sort=A","Dates=H","DateFormat=P","Fill=—","Direction=H","UseDPDF=Y")</f>
        <v>#NAME?</v>
      </c>
      <c r="AK343" s="1" t="e">
        <f ca="1">_xll.BDH($C$328,"BVPS_GROWTH","FY 2017","FY 2017","Currency=INR","Period=FY","BEST_FPERIOD_OVERRIDE=FY","FILING_STATUS=OR","EQY_CONSOLIDATED=Y","Sort=A","Dates=H","DateFormat=P","Fill=—","Direction=H","UseDPDF=Y")</f>
        <v>#NAME?</v>
      </c>
      <c r="AL343" s="1" t="e">
        <f ca="1">_xll.BDH($C$328,"CASH_FLOW_GROWTH","FY 2017","FY 2017","Currency=INR","Period=FY","BEST_FPERIOD_OVERRIDE=FY","FILING_STATUS=OR","EQY_CONSOLIDATED=Y","Sort=A","Dates=H","DateFormat=P","Fill=—","Direction=H","UseDPDF=Y")</f>
        <v>#NAME?</v>
      </c>
      <c r="AM343" s="1" t="e">
        <f ca="1">_xll.BDH($C$328,"GEO_GROW_NET_SALES","FY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343" s="1" t="e">
        <f ca="1">_xll.BDH($C$328,"GEO_GROW_EBITDA","FY 2017","FY 2017","Currency=INR","Period=FY","BEST_FPERIOD_OVERRIDE=FY","FILING_STATUS=OR","EQY_CONSOLIDATED=Y","FA_ADJUSTED=GAAP","Sort=A","Dates=H","DateFormat=P","Fill=—","Direction=H","UseDPDF=Y")</f>
        <v>#NAME?</v>
      </c>
      <c r="AO343" s="1" t="e">
        <f ca="1">_xll.BDH($C$328,"GEO_GROW_OPER_INC","FY 2017","FY 2017","Currency=INR","Period=FY","BEST_FPERIOD_OVERRIDE=FY","FILING_STATUS=OR","EQY_CONSOLIDATED=Y","FA_ADJUSTED=GAAP","Sort=A","Dates=H","DateFormat=P","Fill=—","Direction=H","UseDPDF=Y")</f>
        <v>#NAME?</v>
      </c>
      <c r="AP343" s="1" t="e">
        <f ca="1">_xll.BDH($C$328,"NET_INCOME_TO_COMMON_5_YR_GROWTH","FY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43" s="1" t="e">
        <f ca="1">_xll.BDH($C$328,"5Y_GEO_GROWTH_DILUTED_EPS","FY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43" s="1" t="e">
        <f ca="1">_xll.BDH($C$328,"GEO_GROW_DVD_PER_SH","FY 2017","FY 2017","Currency=INR","Period=FY","BEST_FPERIOD_OVERRIDE=FY","FILING_STATUS=OR","EQY_CONSOLIDATED=Y","Sort=A","Dates=H","DateFormat=P","Fill=—","Direction=H","UseDPDF=Y")</f>
        <v>#NAME?</v>
      </c>
      <c r="AS343" s="1" t="e">
        <f ca="1">_xll.BDH($C$328,"ACCOUNTS_RECEIVABLE_5_YR_GROWTH","FY 2017","FY 2017","Currency=INR","Period=FY","BEST_FPERIOD_OVERRIDE=FY","FILING_STATUS=OR","EQY_CONSOLIDATED=Y","Sort=A","Dates=H","DateFormat=P","Fill=—","Direction=H","UseDPDF=Y")</f>
        <v>#NAME?</v>
      </c>
      <c r="AT343" s="1" t="e">
        <f ca="1">_xll.BDH($C$328,"INVENTORY_5_YEAR_GROWTH","FY 2017","FY 2017","Currency=INR","Period=FY","BEST_FPERIOD_OVERRIDE=FY","FILING_STATUS=OR","EQY_CONSOLIDATED=Y","Sort=A","Dates=H","DateFormat=P","Fill=—","Direction=H","UseDPDF=Y")</f>
        <v>#NAME?</v>
      </c>
      <c r="AU343" s="1" t="e">
        <f ca="1">_xll.BDH($C$328,"NET_FIXED_ASSETS_5_YEAR_GROWTH","FY 2017","FY 2017","Currency=INR","Period=FY","BEST_FPERIOD_OVERRIDE=FY","FILING_STATUS=OR","EQY_CONSOLIDATED=Y","Sort=A","Dates=H","DateFormat=P","Fill=—","Direction=H","UseDPDF=Y")</f>
        <v>#NAME?</v>
      </c>
      <c r="AV343" s="1" t="e">
        <f ca="1">_xll.BDH($C$328,"GEO_GROW_TOT_ASSET","FY 2017","FY 2017","Currency=INR","Period=FY","BEST_FPERIOD_OVERRIDE=FY","FILING_STATUS=OR","EQY_CONSOLIDATED=Y","Sort=A","Dates=H","DateFormat=P","Fill=—","Direction=H","UseDPDF=Y")</f>
        <v>#NAME?</v>
      </c>
      <c r="AW343" s="1" t="e">
        <f ca="1">_xll.BDH($C$328,"MODIFIED_WORKING_CPTL_5YR_GRWTH","FY 2017","FY 2017","Currency=INR","Period=FY","BEST_FPERIOD_OVERRIDE=FY","FILING_STATUS=OR","EQY_CONSOLIDATED=Y","Sort=A","Dates=H","DateFormat=P","Fill=—","Direction=H","UseDPDF=Y")</f>
        <v>#NAME?</v>
      </c>
      <c r="AX343" s="1" t="e">
        <f ca="1">_xll.BDH($C$328,"WORKING_CAPITAL_5_YEAR_GROWTH","FY 2017","FY 2017","Currency=INR","Period=FY","BEST_FPERIOD_OVERRIDE=FY","FILING_STATUS=OR","EQY_CONSOLIDATED=Y","Sort=A","Dates=H","DateFormat=P","Fill=—","Direction=H","UseDPDF=Y")</f>
        <v>#NAME?</v>
      </c>
      <c r="AY343" s="1" t="e">
        <f ca="1">_xll.BDH($C$328,"ACCOUNTS_PAYABLE_5_YEAR_GROWTH","FY 2017","FY 2017","Currency=INR","Period=FY","BEST_FPERIOD_OVERRIDE=FY","FILING_STATUS=OR","EQY_CONSOLIDATED=Y","Sort=A","Dates=H","DateFormat=P","Fill=—","Direction=H","UseDPDF=Y")</f>
        <v>#NAME?</v>
      </c>
      <c r="AZ343" s="1" t="e">
        <f ca="1">_xll.BDH($C$328,"SHORT_TERM_DEBT_5_YEAR_GROWTH","FY 2017","FY 2017","Currency=INR","Period=FY","BEST_FPERIOD_OVERRIDE=FY","FILING_STATUS=OR","EQY_CONSOLIDATED=Y","Sort=A","Dates=H","DateFormat=P","Fill=—","Direction=H","UseDPDF=Y")</f>
        <v>#NAME?</v>
      </c>
      <c r="BA343" s="1" t="e">
        <f ca="1">_xll.BDH($C$328,"TOTAL_DEBT_5_YEAR_GROWTH","FY 2017","FY 2017","Currency=INR","Period=FY","BEST_FPERIOD_OVERRIDE=FY","FILING_STATUS=OR","EQY_CONSOLIDATED=Y","Sort=A","Dates=H","DateFormat=P","Fill=—","Direction=H","UseDPDF=Y")</f>
        <v>#NAME?</v>
      </c>
      <c r="BB343" s="1" t="e">
        <f ca="1">_xll.BDH($C$328,"GEO_GROW_TOT_SHRHLDR_EQY","FY 2017","FY 2017","Currency=INR","Period=FY","BEST_FPERIOD_OVERRIDE=FY","FILING_STATUS=OR","EQY_CONSOLIDATED=Y","Sort=A","Dates=H","DateFormat=P","Fill=—","Direction=H","UseDPDF=Y")</f>
        <v>#NAME?</v>
      </c>
      <c r="BC343" s="1" t="e">
        <f ca="1">_xll.BDH($C$328,"TOTAL_CAPITAL_5_YEAR_GROWTH","FY 2017","FY 2017","Currency=INR","Period=FY","BEST_FPERIOD_OVERRIDE=FY","FILING_STATUS=OR","EQY_CONSOLIDATED=Y","Sort=A","Dates=H","DateFormat=P","Fill=—","Direction=H","UseDPDF=Y")</f>
        <v>#NAME?</v>
      </c>
      <c r="BD343" s="1" t="e">
        <f ca="1">_xll.BDH($C$328,"GEO_GROW_BOOK_VAL","FY 2017","FY 2017","Currency=INR","Period=FY","BEST_FPERIOD_OVERRIDE=FY","FILING_STATUS=OR","EQY_CONSOLIDATED=Y","Sort=A","Dates=H","DateFormat=P","Fill=—","Direction=H","UseDPDF=Y")</f>
        <v>#NAME?</v>
      </c>
      <c r="BE343" s="1" t="e">
        <f ca="1">_xll.BDH($C$328,"GEO_GROW_CASH_OPER_ACT","FY 2017","FY 2017","Currency=INR","Period=FY","BEST_FPERIOD_OVERRIDE=FY","FILING_STATUS=OR","EQY_CONSOLIDATED=Y","Sort=A","Dates=H","DateFormat=P","Fill=—","Direction=H","UseDPDF=Y")</f>
        <v>#NAME?</v>
      </c>
      <c r="BF343" s="1" t="e">
        <f ca="1">_xll.BDH($C$328,"REVENUE_SEQUENTIAL_GROWTH","FY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43" s="1" t="e">
        <f ca="1">_xll.BDH($C$328,"EBITDA_SEQUENTIAL_GROWTH","FY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43" s="1" t="e">
        <f ca="1">_xll.BDH($C$328,"OPERATING_INCOME_SEQ_GROWTH","FY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43" s="1" t="e">
        <f ca="1">_xll.BDH($C$328,"NET_INCOME_TO_COMMON_SEQ_GROWTH","FY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43" s="1" t="e">
        <f ca="1">_xll.BDH($C$328,"EPS_DILUTED_SEQUENTIAL_GROWTH","FY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43" s="1" t="e">
        <f ca="1">_xll.BDH($C$328,"DPS_SEQUENTIAL_GROWTH","FY 2017","FY 2017","Currency=INR","Period=FY","BEST_FPERIOD_OVERRIDE=FY","FILING_STATUS=OR","EQY_CONSOLIDATED=Y","Sort=A","Dates=H","DateFormat=P","Fill=—","Direction=H","UseDPDF=Y")</f>
        <v>#NAME?</v>
      </c>
      <c r="BL343" s="1" t="e">
        <f ca="1">_xll.BDH($C$328,"ACCOUNTS_RECEIVABLE_SEQ_GROWTH","FY 2017","FY 2017","Currency=INR","Period=FY","BEST_FPERIOD_OVERRIDE=FY","FILING_STATUS=OR","EQY_CONSOLIDATED=Y","Sort=A","Dates=H","DateFormat=P","Fill=—","Direction=H","UseDPDF=Y")</f>
        <v>#NAME?</v>
      </c>
      <c r="BM343" s="1" t="e">
        <f ca="1">_xll.BDH($C$328,"INVENTORY_SEQUENTIAL_GROWTH","FY 2017","FY 2017","Currency=INR","Period=FY","BEST_FPERIOD_OVERRIDE=FY","FILING_STATUS=OR","EQY_CONSOLIDATED=Y","Sort=A","Dates=H","DateFormat=P","Fill=—","Direction=H","UseDPDF=Y")</f>
        <v>#NAME?</v>
      </c>
      <c r="BN343" s="1" t="e">
        <f ca="1">_xll.BDH($C$328,"FIXED_ASSETS_SEQUENTIAL_GROWTH","FY 2017","FY 2017","Currency=INR","Period=FY","BEST_FPERIOD_OVERRIDE=FY","FILING_STATUS=OR","EQY_CONSOLIDATED=Y","Sort=A","Dates=H","DateFormat=P","Fill=—","Direction=H","UseDPDF=Y")</f>
        <v>#NAME?</v>
      </c>
      <c r="BO343" s="1" t="e">
        <f ca="1">_xll.BDH($C$328,"TOTAL_ASSETS_SEQUENTIAL_GROWTH","FY 2017","FY 2017","Currency=INR","Period=FY","BEST_FPERIOD_OVERRIDE=FY","FILING_STATUS=OR","EQY_CONSOLIDATED=Y","Sort=A","Dates=H","DateFormat=P","Fill=—","Direction=H","UseDPDF=Y")</f>
        <v>#NAME?</v>
      </c>
      <c r="BP343" s="1" t="e">
        <f ca="1">_xll.BDH($C$328,"MODIFIED_WORKING_CPTL_SEQ_GRWTH","FY 2017","FY 2017","Currency=INR","Period=FY","BEST_FPERIOD_OVERRIDE=FY","FILING_STATUS=OR","EQY_CONSOLIDATED=Y","Sort=A","Dates=H","DateFormat=P","Fill=—","Direction=H","UseDPDF=Y")</f>
        <v>#NAME?</v>
      </c>
      <c r="BQ343" s="1" t="e">
        <f ca="1">_xll.BDH($C$328,"WORKING_CAPITAL_SEQ_GROWTH","FY 2017","FY 2017","Currency=INR","Period=FY","BEST_FPERIOD_OVERRIDE=FY","FILING_STATUS=OR","EQY_CONSOLIDATED=Y","Sort=A","Dates=H","DateFormat=P","Fill=—","Direction=H","UseDPDF=Y")</f>
        <v>#NAME?</v>
      </c>
      <c r="BR343" s="1" t="e">
        <f ca="1">_xll.BDH($C$328,"ACCOUNTS_PAYABLE_SEQ_GROWTH","FY 2017","FY 2017","Currency=INR","Period=FY","BEST_FPERIOD_OVERRIDE=FY","FILING_STATUS=OR","EQY_CONSOLIDATED=Y","Sort=A","Dates=H","DateFormat=P","Fill=—","Direction=H","UseDPDF=Y")</f>
        <v>#NAME?</v>
      </c>
      <c r="BS343" s="1" t="e">
        <f ca="1">_xll.BDH($C$328,"ST_DEBT_SEQUENTIAL_GROWTH","FY 2017","FY 2017","Currency=INR","Period=FY","BEST_FPERIOD_OVERRIDE=FY","FILING_STATUS=OR","EQY_CONSOLIDATED=Y","Sort=A","Dates=H","DateFormat=P","Fill=—","Direction=H","UseDPDF=Y")</f>
        <v>#NAME?</v>
      </c>
      <c r="BT343" s="1" t="e">
        <f ca="1">_xll.BDH($C$328,"TOTAL_DEBT_SEQUENTIAL_GROWTH","FY 2017","FY 2017","Currency=INR","Period=FY","BEST_FPERIOD_OVERRIDE=FY","FILING_STATUS=OR","EQY_CONSOLIDATED=Y","Sort=A","Dates=H","DateFormat=P","Fill=—","Direction=H","UseDPDF=Y")</f>
        <v>#NAME?</v>
      </c>
      <c r="BU343" s="1" t="e">
        <f ca="1">_xll.BDH($C$328,"TOTAL_EQUITY_SEQUENTIAL_GROWTH","FY 2017","FY 2017","Currency=INR","Period=FY","BEST_FPERIOD_OVERRIDE=FY","FILING_STATUS=OR","EQY_CONSOLIDATED=Y","Sort=A","Dates=H","DateFormat=P","Fill=—","Direction=H","UseDPDF=Y")</f>
        <v>#NAME?</v>
      </c>
      <c r="BV343" s="1" t="e">
        <f ca="1">_xll.BDH($C$328,"TOTAL_CAPITAL_SEQUENTIAL_GROWTH","FY 2017","FY 2017","Currency=INR","Period=FY","BEST_FPERIOD_OVERRIDE=FY","FILING_STATUS=OR","EQY_CONSOLIDATED=Y","Sort=A","Dates=H","DateFormat=P","Fill=—","Direction=H","UseDPDF=Y")</f>
        <v>#NAME?</v>
      </c>
      <c r="BW343" s="1" t="e">
        <f ca="1">_xll.BDH($C$328,"BPS_SEQUENTIAL_GROWTH","FY 2017","FY 2017","Currency=INR","Period=FY","BEST_FPERIOD_OVERRIDE=FY","FILING_STATUS=OR","EQY_CONSOLIDATED=Y","Sort=A","Dates=H","DateFormat=P","Fill=—","Direction=H","UseDPDF=Y")</f>
        <v>#NAME?</v>
      </c>
      <c r="BX343" s="1" t="e">
        <f ca="1">_xll.BDH($C$328,"CFO_SEQUENTIAL_GROWTH","FY 2017","FY 2017","Currency=INR","Period=FY","BEST_FPERIOD_OVERRIDE=FY","FILING_STATUS=OR","EQY_CONSOLIDATED=Y","Sort=A","Dates=H","DateFormat=P","Fill=—","Direction=H","UseDPDF=Y")</f>
        <v>#NAME?</v>
      </c>
      <c r="BY343" s="2" t="e">
        <f ca="1">_xll.BDH($C$328,"SHORT_AND_LONG_TERM_DEBT","FY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43" s="2" t="e">
        <f ca="1">_xll.BDH($C$328,"BS_ST_BORROW","FY 2017","FY 2017","Currency=INR","Period=FY","BEST_FPERIOD_OVERRIDE=FY","FILING_STATUS=OR","EQY_CONSOLIDATED=Y","SCALING_FORMAT=MLN","Sort=A","Dates=H","DateFormat=P","Fill=—","Direction=H","UseDPDF=Y")</f>
        <v>#NAME?</v>
      </c>
      <c r="CA343" s="2" t="e">
        <f ca="1">_xll.BDH($C$328,"BS_LT_BORROW","FY 2017","FY 2017","Currency=INR","Period=FY","BEST_FPERIOD_OVERRIDE=FY","FILING_STATUS=OR","EQY_CONSOLIDATED=Y","SCALING_FORMAT=MLN","Sort=A","Dates=H","DateFormat=P","Fill=—","Direction=H","UseDPDF=Y")</f>
        <v>#NAME?</v>
      </c>
      <c r="CB343" s="1" t="e">
        <f ca="1">_xll.BDH($C$328,"TOT_DEBT_TO_EBITDA","FY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343" s="1" t="e">
        <f ca="1">_xll.BDH($C$328,"NET_DEBT_TO_EBITDA","FY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343" s="1" t="e">
        <f ca="1">_xll.BDH($C$328,"TOTAL_DEBT_TO_EBIT","FY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343" s="1" t="e">
        <f ca="1">_xll.BDH($C$328,"NET_DEBT_TO_EBIT","FY 2017","FY 2017","Currency=INR","Period=FY","BEST_FPERIOD_OVERRIDE=FY","FILING_STATUS=OR","EQY_CONSOLIDATED=Y","FA_ADJUSTED=GAAP","Sort=A","Dates=H","DateFormat=P","Fill=—","Direction=H","UseDPDF=Y")</f>
        <v>#NAME?</v>
      </c>
      <c r="CF343" s="1" t="e">
        <f ca="1">_xll.BDH($C$328,"EBITDA_TO_INTEREST_EXPN","FY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43" s="1" t="e">
        <f ca="1">_xll.BDH($C$328,"COM_EQY_TO_TOT_ASSET","FY 2017","FY 2017","Currency=INR","Period=FY","BEST_FPERIOD_OVERRIDE=FY","FILING_STATUS=OR","EQY_CONSOLIDATED=Y","Sort=A","Dates=H","DateFormat=P","Fill=—","Direction=H","UseDPDF=Y")</f>
        <v>#NAME?</v>
      </c>
      <c r="CH343" s="1" t="e">
        <f ca="1">_xll.BDH($C$328,"LT_DEBT_TO_TOT_EQY","FY 2017","FY 2017","Currency=INR","Period=FY","BEST_FPERIOD_OVERRIDE=FY","FILING_STATUS=OR","EQY_CONSOLIDATED=Y","Sort=A","Dates=H","DateFormat=P","Fill=—","Direction=H","UseDPDF=Y")</f>
        <v>#NAME?</v>
      </c>
      <c r="CI343" s="1" t="e">
        <f ca="1">_xll.BDH($C$328,"LT_DEBT_TO_TOT_CAP","FY 2017","FY 2017","Currency=INR","Period=FY","BEST_FPERIOD_OVERRIDE=FY","FILING_STATUS=OR","EQY_CONSOLIDATED=Y","Sort=A","Dates=H","DateFormat=P","Fill=—","Direction=H","UseDPDF=Y")</f>
        <v>#NAME?</v>
      </c>
      <c r="CJ343" s="1" t="e">
        <f ca="1">_xll.BDH($C$328,"LT_DEBT_TO_TOT_ASSET","FY 2017","FY 2017","Currency=INR","Period=FY","BEST_FPERIOD_OVERRIDE=FY","FILING_STATUS=OR","EQY_CONSOLIDATED=Y","Sort=A","Dates=H","DateFormat=P","Fill=—","Direction=H","UseDPDF=Y")</f>
        <v>#NAME?</v>
      </c>
      <c r="CK343" s="1" t="e">
        <f ca="1">_xll.BDH($C$328,"TOT_DEBT_TO_TOT_EQY","FY 2017","FY 2017","Currency=INR","Period=FY","BEST_FPERIOD_OVERRIDE=FY","FILING_STATUS=OR","EQY_CONSOLIDATED=Y","Sort=A","Dates=H","DateFormat=P","Fill=—","Direction=H","UseDPDF=Y")</f>
        <v>#NAME?</v>
      </c>
      <c r="CL343" s="1" t="e">
        <f ca="1">_xll.BDH($C$328,"TOT_DEBT_TO_TOT_CAP","FY 2017","FY 2017","Currency=INR","Period=FY","BEST_FPERIOD_OVERRIDE=FY","FILING_STATUS=OR","EQY_CONSOLIDATED=Y","Sort=A","Dates=H","DateFormat=P","Fill=—","Direction=H","UseDPDF=Y")</f>
        <v>#NAME?</v>
      </c>
      <c r="CM343" s="1" t="e">
        <f ca="1">_xll.BDH($C$328,"TOT_DEBT_TO_TOT_ASSET","FY 2017","FY 2017","Currency=INR","Period=FY","BEST_FPERIOD_OVERRIDE=FY","FILING_STATUS=OR","EQY_CONSOLIDATED=Y","Sort=A","Dates=H","DateFormat=P","Fill=—","Direction=H","UseDPDF=Y")</f>
        <v>#NAME?</v>
      </c>
      <c r="CN343" s="1" t="e">
        <f ca="1">_xll.BDH($C$328,"NET_DEBT_TO_SHRHLDR_EQTY","FY 2017","FY 2017","Currency=INR","Period=FY","BEST_FPERIOD_OVERRIDE=FY","FILING_STATUS=OR","EQY_CONSOLIDATED=Y","Sort=A","Dates=H","DateFormat=P","Fill=—","Direction=H","UseDPDF=Y")</f>
        <v>#NAME?</v>
      </c>
      <c r="CO343" s="1" t="e">
        <f ca="1">_xll.BDH($C$328,"NET_DEBT_%_CAPITAL","FY 2017","FY 2017","Currency=INR","Period=FY","BEST_FPERIOD_OVERRIDE=FY","FILING_STATUS=OR","EQY_CONSOLIDATED=Y","Sort=A","Dates=H","DateFormat=P","Fill=—","Direction=H","UseDPDF=Y")</f>
        <v>#NAME?</v>
      </c>
      <c r="CP343" s="2" t="e">
        <f ca="1">_xll.BDH($C$328,"EBITDA","FY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43" s="2" t="e">
        <f ca="1">_xll.BDH($C$328,"EBITDA_AFTER_CAPEX","FY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43" s="2" t="e">
        <f ca="1">_xll.BDH($C$328,"IS_OPER_INC","FY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43" s="1" t="e">
        <f ca="1">_xll.BDH($C$328,"CASH_RATIO","FY 2017","FY 2017","Currency=INR","Period=FY","BEST_FPERIOD_OVERRIDE=FY","FILING_STATUS=OR","EQY_CONSOLIDATED=Y","Sort=A","Dates=H","DateFormat=P","Fill=—","Direction=H","UseDPDF=Y")</f>
        <v>#NAME?</v>
      </c>
      <c r="CT343" s="1" t="e">
        <f ca="1">_xll.BDH($C$328,"CUR_RATIO","FY 2017","FY 2017","Currency=INR","Period=FY","BEST_FPERIOD_OVERRIDE=FY","FILING_STATUS=OR","EQY_CONSOLIDATED=Y","Sort=A","Dates=H","DateFormat=P","Fill=—","Direction=H","UseDPDF=Y")</f>
        <v>#NAME?</v>
      </c>
      <c r="CU343" s="1" t="e">
        <f ca="1">_xll.BDH($C$328,"QUICK_RATIO","FY 2017","FY 2017","Currency=INR","Period=FY","BEST_FPERIOD_OVERRIDE=FY","FILING_STATUS=OR","EQY_CONSOLIDATED=Y","Sort=A","Dates=H","DateFormat=P","Fill=—","Direction=H","UseDPDF=Y")</f>
        <v>#NAME?</v>
      </c>
      <c r="CV343" s="1" t="e">
        <f ca="1">_xll.BDH($C$328,"ALTMAN_Z_SCORE","FY 2017","FY 2017","Currency=INR","Period=FY","BEST_FPERIOD_OVERRIDE=FY","FILING_STATUS=OR","EQY_CONSOLIDATED=Y","Sort=A","Dates=H","DateFormat=P","Fill=—","Direction=H","UseDPDF=Y")</f>
        <v>#NAME?</v>
      </c>
      <c r="CW343" s="3" t="e">
        <f ca="1">_xll.BDH($C$328,"ACCT_RCV_TURN","FY 2017","FY 2017","Currency=INR","Period=FY","BEST_FPERIOD_OVERRIDE=FY","FILING_STATUS=OR","EQY_CONSOLIDATED=Y","FA_ADJUSTED=GAAP","Sort=A","Dates=H","DateFormat=P","Fill=—","Direction=H","UseDPDF=Y")</f>
        <v>#NAME?</v>
      </c>
      <c r="CX343" s="1" t="e">
        <f ca="1">_xll.BDH($C$328,"ACCT_RCV_DAYS","FY 2017","FY 2017","Currency=INR","Period=FY","BEST_FPERIOD_OVERRIDE=FY","FILING_STATUS=OR","EQY_CONSOLIDATED=Y","FA_ADJUSTED=GAAP","Sort=A","Dates=H","DateFormat=P","Fill=—","Direction=H","UseDPDF=Y")</f>
        <v>#NAME?</v>
      </c>
      <c r="CY343" s="3" t="e">
        <f ca="1">_xll.BDH($C$328,"INVENT_TURN","FY 2017","FY 2017","Currency=INR","Period=FY","BEST_FPERIOD_OVERRIDE=FY","FILING_STATUS=OR","EQY_CONSOLIDATED=Y","FA_ADJUSTED=GAAP","Sort=A","Dates=H","DateFormat=P","Fill=—","Direction=H","UseDPDF=Y")</f>
        <v>#NAME?</v>
      </c>
      <c r="CZ343" s="1" t="e">
        <f ca="1">_xll.BDH($C$328,"INVENT_DAYS","FY 2017","FY 2017","Currency=INR","Period=FY","BEST_FPERIOD_OVERRIDE=FY","FILING_STATUS=OR","EQY_CONSOLIDATED=Y","FA_ADJUSTED=GAAP","Sort=A","Dates=H","DateFormat=P","Fill=—","Direction=H","UseDPDF=Y")</f>
        <v>#NAME?</v>
      </c>
      <c r="DA343" s="3" t="e">
        <f ca="1">_xll.BDH($C$328,"ACCOUNTS_PAYABLE_TURNOVER","FY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43" s="1" t="e">
        <f ca="1">_xll.BDH($C$328,"ACCOUNTS_PAYABLE_TURNOVER_DAYS","FY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43" s="3" t="e">
        <f ca="1">_xll.BDH($C$328,"CASH_CONVERSION_CYCLE","FY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43" s="3" t="e">
        <f ca="1">_xll.BDH($C$328,"INV_TO_CASH_DAYS","FY 2017","FY 2017","Currency=INR","Period=FY","BEST_FPERIOD_OVERRIDE=FY","FILING_STATUS=OR","EQY_CONSOLIDATED=Y","FA_ADJUSTED=GAAP","Sort=A","Dates=H","DateFormat=P","Fill=—","Direction=H","UseDPDF=Y")</f>
        <v>#NAME?</v>
      </c>
      <c r="DE343" s="4" t="e">
        <f ca="1">_xll.BDH($C$328,"BS_INVENTORIES","FY 2017","FY 2017","Currency=INR","Period=FY","BEST_FPERIOD_OVERRIDE=FY","FILING_STATUS=OR","EQY_CONSOLIDATED=Y","SCALING_FORMAT=MLN","Sort=A","Dates=H","DateFormat=P","Fill=—","Direction=H","UseDPDF=Y")</f>
        <v>#NAME?</v>
      </c>
      <c r="DF343" s="2" t="e">
        <f ca="1">_xll.BDH($C$328,"INVTRY_RAW_MATERIALS","FY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43" s="2" t="e">
        <f ca="1">_xll.BDH($C$328,"INVTRY_IN_PROGRESS","FY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43" s="2" t="e">
        <f ca="1">_xll.BDH($C$328,"INVTRY_FINISHED_GOODS","FY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43" s="2" t="e">
        <f ca="1">_xll.BDH($C$328,"BS_OTHER_INV","FY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44" spans="1:113" x14ac:dyDescent="0.3">
      <c r="A344" s="6"/>
      <c r="B344" s="6"/>
      <c r="C344" s="6"/>
      <c r="D344" s="6"/>
      <c r="E344" t="s">
        <v>4</v>
      </c>
      <c r="F344" t="e">
        <f ca="1">_xll.BDH($C$328,"RETURN_COM_EQY","FQ1 2017","FQ1 2017","Currency=INR","Period=FQ","BEST_FPERIOD_OVERRIDE=FQ","FILING_STATUS=OR","EQY_CONSOLIDATED=Y","FA_ADJUSTED=GAAP","Sort=A","Dates=H","DateFormat=P","Fill=—","Direction=H","UseDPDF=Y")</f>
        <v>#NAME?</v>
      </c>
      <c r="G344" t="e">
        <f ca="1">_xll.BDH($C$328,"RETURN_ON_ASSET","FQ1 2017","FQ1 2017","Currency=INR","Period=FQ","BEST_FPERIOD_OVERRIDE=FQ","FILING_STATUS=OR","EQY_CONSOLIDATED=Y","FA_ADJUSTED=GAAP","Sort=A","Dates=H","DateFormat=P","Fill=—","Direction=H","UseDPDF=Y")</f>
        <v>#NAME?</v>
      </c>
      <c r="H344" t="e">
        <f ca="1">_xll.BDH($C$328,"RETURN_ON_CAP","FQ1 2017","FQ1 2017","Currency=INR","Period=FQ","BEST_FPERIOD_OVERRIDE=FQ","FILING_STATUS=OR","EQY_CONSOLIDATED=Y","FA_ADJUSTED=GAAP","Sort=A","Dates=H","DateFormat=P","Fill=—","Direction=H","UseDPDF=Y")</f>
        <v>#NAME?</v>
      </c>
      <c r="I344" t="e">
        <f ca="1">_xll.BDH($C$328,"RETURN_ON_INV_CAPITAL","FQ1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44" t="e">
        <f ca="1">_xll.BDH($C$328,"EBITDA_TO_REVENUE","FQ1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344" t="e">
        <f ca="1">_xll.BDH($C$328,"OPER_MARGIN","FQ1 2017","FQ1 2017","Currency=INR","Period=FQ","BEST_FPERIOD_OVERRIDE=FQ","FILING_STATUS=OR","EQY_CONSOLIDATED=Y","FA_ADJUSTED=GAAP","Sort=A","Dates=H","DateFormat=P","Fill=—","Direction=H","UseDPDF=Y")</f>
        <v>#NAME?</v>
      </c>
      <c r="L344" t="e">
        <f ca="1">_xll.BDH($C$328,"INCREMENTAL_OPERATING_MARGIN","FQ1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44" t="e">
        <f ca="1">_xll.BDH($C$328,"PRETAX_INC_TO_NET_SALES","FQ1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44" t="e">
        <f ca="1">_xll.BDH($C$328,"INC_BEF_XO_ITEMS_TO_NET_SALES","FQ1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44" t="e">
        <f ca="1">_xll.BDH($C$328,"PROF_MARGIN","FQ1 2017","FQ1 2017","Currency=INR","Period=FQ","BEST_FPERIOD_OVERRIDE=FQ","FILING_STATUS=OR","EQY_CONSOLIDATED=Y","FA_ADJUSTED=GAAP","Sort=A","Dates=H","DateFormat=P","Fill=—","Direction=H","UseDPDF=Y")</f>
        <v>#NAME?</v>
      </c>
      <c r="P344" t="e">
        <f ca="1">_xll.BDH($C$328,"NET_INCOME_TO_COMMON_MARGIN","FQ1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44" t="e">
        <f ca="1">_xll.BDH($C$328,"EFF_TAX_RATE","FQ1 2017","FQ1 2017","Currency=INR","Period=FQ","BEST_FPERIOD_OVERRIDE=FQ","FILING_STATUS=OR","EQY_CONSOLIDATED=Y","FA_ADJUSTED=GAAP","Sort=A","Dates=H","DateFormat=P","Fill=—","Direction=H","UseDPDF=Y")</f>
        <v>#NAME?</v>
      </c>
      <c r="R344" t="e">
        <f ca="1">_xll.BDH($C$328,"DVD_PAYOUT_RATIO","FQ1 2017","FQ1 2017","Currency=INR","Period=FQ","BEST_FPERIOD_OVERRIDE=FQ","FILING_STATUS=OR","EQY_CONSOLIDATED=Y","FA_ADJUSTED=GAAP","Sort=A","Dates=H","DateFormat=P","Fill=—","Direction=H","UseDPDF=Y")</f>
        <v>#NAME?</v>
      </c>
      <c r="S344" t="e">
        <f ca="1">_xll.BDH($C$328,"SUSTAIN_GROWTH_RT","FQ1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344" s="1" t="e">
        <f ca="1">_xll.BDH($C$328,"SALES_GROWTH","FQ1 2017","FQ1 2017","Currency=INR","Period=FQ","BEST_FPERIOD_OVERRIDE=FQ","FILING_STATUS=OR","EQY_CONSOLIDATED=Y","FA_ADJUSTED=GAAP","Sort=A","Dates=H","DateFormat=P","Fill=—","Direction=H","UseDPDF=Y")</f>
        <v>#NAME?</v>
      </c>
      <c r="U344" s="1" t="e">
        <f ca="1">_xll.BDH($C$328,"EBITDA_GROWTH","FQ1 2017","FQ1 2017","Currency=INR","Period=FQ","BEST_FPERIOD_OVERRIDE=FQ","FILING_STATUS=OR","EQY_CONSOLIDATED=Y","FA_ADJUSTED=GAAP","Sort=A","Dates=H","DateFormat=P","Fill=—","Direction=H","UseDPDF=Y")</f>
        <v>#NAME?</v>
      </c>
      <c r="V344" s="1" t="e">
        <f ca="1">_xll.BDH($C$328,"OPER_INC_GROWTH","FQ1 2017","FQ1 2017","Currency=INR","Period=FQ","BEST_FPERIOD_OVERRIDE=FQ","FILING_STATUS=OR","EQY_CONSOLIDATED=Y","FA_ADJUSTED=GAAP","Sort=A","Dates=H","DateFormat=P","Fill=—","Direction=H","UseDPDF=Y")</f>
        <v>#NAME?</v>
      </c>
      <c r="W344" s="1" t="e">
        <f ca="1">_xll.BDH($C$328,"EARN_FOR_COM_GROWTH","FQ1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44" s="1" t="e">
        <f ca="1">_xll.BDH($C$328,"DILUTED_EPS_AFT_XO_ITEMS_GROWTH","FQ1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44" s="1" t="e">
        <f ca="1">_xll.BDH($C$328,"DIVIDEND_PER_SHARE_1_YEAR_GROWTH","FQ1 2017","FQ1 2017","Currency=INR","Period=FQ","BEST_FPERIOD_OVERRIDE=FQ","FILING_STATUS=OR","EQY_CONSOLIDATED=Y","Sort=A","Dates=H","DateFormat=P","Fill=—","Direction=H","UseDPDF=Y")</f>
        <v>#NAME?</v>
      </c>
      <c r="Z344" s="1" t="e">
        <f ca="1">_xll.BDH($C$328,"ACCOUNTS_RECEIVABLE_GROWTH","FQ1 2017","FQ1 2017","Currency=INR","Period=FQ","BEST_FPERIOD_OVERRIDE=FQ","FILING_STATUS=OR","EQY_CONSOLIDATED=Y","Sort=A","Dates=H","DateFormat=P","Fill=—","Direction=H","UseDPDF=Y")</f>
        <v>#NAME?</v>
      </c>
      <c r="AA344" s="1" t="e">
        <f ca="1">_xll.BDH($C$328,"INVENTORY_GROWTH","FQ1 2017","FQ1 2017","Currency=INR","Period=FQ","BEST_FPERIOD_OVERRIDE=FQ","FILING_STATUS=OR","EQY_CONSOLIDATED=Y","Sort=A","Dates=H","DateFormat=P","Fill=—","Direction=H","UseDPDF=Y")</f>
        <v>#NAME?</v>
      </c>
      <c r="AB344" s="1" t="e">
        <f ca="1">_xll.BDH($C$328,"NET_FIXED_ASSETS_1_YEAR_GROWTH","FQ1 2017","FQ1 2017","Currency=INR","Period=FQ","BEST_FPERIOD_OVERRIDE=FQ","FILING_STATUS=OR","EQY_CONSOLIDATED=Y","Sort=A","Dates=H","DateFormat=P","Fill=—","Direction=H","UseDPDF=Y")</f>
        <v>#NAME?</v>
      </c>
      <c r="AC344" s="1" t="e">
        <f ca="1">_xll.BDH($C$328,"ASSET_GROWTH","FQ1 2017","FQ1 2017","Currency=INR","Period=FQ","BEST_FPERIOD_OVERRIDE=FQ","FILING_STATUS=OR","EQY_CONSOLIDATED=Y","Sort=A","Dates=H","DateFormat=P","Fill=—","Direction=H","UseDPDF=Y")</f>
        <v>#NAME?</v>
      </c>
      <c r="AD344" s="1" t="e">
        <f ca="1">_xll.BDH($C$328,"MODIFIED_WORK_CAP_GROWTH","FQ1 2017","FQ1 2017","Currency=INR","Period=FQ","BEST_FPERIOD_OVERRIDE=FQ","FILING_STATUS=OR","EQY_CONSOLIDATED=Y","Sort=A","Dates=H","DateFormat=P","Fill=—","Direction=H","UseDPDF=Y")</f>
        <v>#NAME?</v>
      </c>
      <c r="AE344" s="1" t="e">
        <f ca="1">_xll.BDH($C$328,"WORK_CAP_GROWTH","FQ1 2017","FQ1 2017","Currency=INR","Period=FQ","BEST_FPERIOD_OVERRIDE=FQ","FILING_STATUS=OR","EQY_CONSOLIDATED=Y","Sort=A","Dates=H","DateFormat=P","Fill=—","Direction=H","UseDPDF=Y")</f>
        <v>#NAME?</v>
      </c>
      <c r="AF344" s="1" t="e">
        <f ca="1">_xll.BDH($C$328,"ACCOUNTS_PAYABLE_GROWTH_1YR","FQ1 2017","FQ1 2017","Currency=INR","Period=FQ","BEST_FPERIOD_OVERRIDE=FQ","FILING_STATUS=OR","EQY_CONSOLIDATED=Y","Sort=A","Dates=H","DateFormat=P","Fill=—","Direction=H","UseDPDF=Y")</f>
        <v>#NAME?</v>
      </c>
      <c r="AG344" s="1" t="e">
        <f ca="1">_xll.BDH($C$328,"SHORT_TERM_DEBT_1_YEAR_GROWTH","FQ1 2017","FQ1 2017","Currency=INR","Period=FQ","BEST_FPERIOD_OVERRIDE=FQ","FILING_STATUS=OR","EQY_CONSOLIDATED=Y","Sort=A","Dates=H","DateFormat=P","Fill=—","Direction=H","UseDPDF=Y")</f>
        <v>#NAME?</v>
      </c>
      <c r="AH344" s="1" t="e">
        <f ca="1">_xll.BDH($C$328,"TOTAL_DEBT_1_YEAR_GROWTH","FQ1 2017","FQ1 2017","Currency=INR","Period=FQ","BEST_FPERIOD_OVERRIDE=FQ","FILING_STATUS=OR","EQY_CONSOLIDATED=Y","Sort=A","Dates=H","DateFormat=P","Fill=—","Direction=H","UseDPDF=Y")</f>
        <v>#NAME?</v>
      </c>
      <c r="AI344" s="1" t="e">
        <f ca="1">_xll.BDH($C$328,"TOTAL_EQUITY_1_YEAR_GROWTH","FQ1 2017","FQ1 2017","Currency=INR","Period=FQ","BEST_FPERIOD_OVERRIDE=FQ","FILING_STATUS=OR","EQY_CONSOLIDATED=Y","Sort=A","Dates=H","DateFormat=P","Fill=—","Direction=H","UseDPDF=Y")</f>
        <v>#NAME?</v>
      </c>
      <c r="AJ344" s="1" t="e">
        <f ca="1">_xll.BDH($C$328,"GROWTH_IN_CAP","FQ1 2017","FQ1 2017","Currency=INR","Period=FQ","BEST_FPERIOD_OVERRIDE=FQ","FILING_STATUS=OR","EQY_CONSOLIDATED=Y","Sort=A","Dates=H","DateFormat=P","Fill=—","Direction=H","UseDPDF=Y")</f>
        <v>#NAME?</v>
      </c>
      <c r="AK344" s="1" t="e">
        <f ca="1">_xll.BDH($C$328,"BVPS_GROWTH","FQ1 2017","FQ1 2017","Currency=INR","Period=FQ","BEST_FPERIOD_OVERRIDE=FQ","FILING_STATUS=OR","EQY_CONSOLIDATED=Y","Sort=A","Dates=H","DateFormat=P","Fill=—","Direction=H","UseDPDF=Y")</f>
        <v>#NAME?</v>
      </c>
      <c r="AL344" s="1" t="e">
        <f ca="1">_xll.BDH($C$328,"CASH_FLOW_GROWTH","FQ1 2017","FQ1 2017","Currency=INR","Period=FQ","BEST_FPERIOD_OVERRIDE=FQ","FILING_STATUS=OR","EQY_CONSOLIDATED=Y","Sort=A","Dates=H","DateFormat=P","Fill=—","Direction=H","UseDPDF=Y")</f>
        <v>#NAME?</v>
      </c>
      <c r="AM344" s="1" t="e">
        <f ca="1">_xll.BDH($C$328,"GEO_GROW_NET_SALES","FQ1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44" s="1" t="e">
        <f ca="1">_xll.BDH($C$328,"GEO_GROW_EBITDA","FQ1 2017","FQ1 2017","Currency=INR","Period=FQ","BEST_FPERIOD_OVERRIDE=FQ","FILING_STATUS=OR","EQY_CONSOLIDATED=Y","FA_ADJUSTED=GAAP","Sort=A","Dates=H","DateFormat=P","Fill=—","Direction=H","UseDPDF=Y")</f>
        <v>#NAME?</v>
      </c>
      <c r="AO344" s="1" t="e">
        <f ca="1">_xll.BDH($C$328,"GEO_GROW_OPER_INC","FQ1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44" s="1" t="e">
        <f ca="1">_xll.BDH($C$328,"NET_INCOME_TO_COMMON_5_YR_GROWTH","FQ1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44" s="1" t="e">
        <f ca="1">_xll.BDH($C$328,"5Y_GEO_GROWTH_DILUTED_EPS","FQ1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44" s="1" t="e">
        <f ca="1">_xll.BDH($C$328,"GEO_GROW_DVD_PER_SH","FQ1 2017","FQ1 2017","Currency=INR","Period=FQ","BEST_FPERIOD_OVERRIDE=FQ","FILING_STATUS=OR","EQY_CONSOLIDATED=Y","Sort=A","Dates=H","DateFormat=P","Fill=—","Direction=H","UseDPDF=Y")</f>
        <v>#NAME?</v>
      </c>
      <c r="AS344" s="1" t="e">
        <f ca="1">_xll.BDH($C$328,"ACCOUNTS_RECEIVABLE_5_YR_GROWTH","FQ1 2017","FQ1 2017","Currency=INR","Period=FQ","BEST_FPERIOD_OVERRIDE=FQ","FILING_STATUS=OR","EQY_CONSOLIDATED=Y","Sort=A","Dates=H","DateFormat=P","Fill=—","Direction=H","UseDPDF=Y")</f>
        <v>#NAME?</v>
      </c>
      <c r="AT344" s="1" t="e">
        <f ca="1">_xll.BDH($C$328,"INVENTORY_5_YEAR_GROWTH","FQ1 2017","FQ1 2017","Currency=INR","Period=FQ","BEST_FPERIOD_OVERRIDE=FQ","FILING_STATUS=OR","EQY_CONSOLIDATED=Y","Sort=A","Dates=H","DateFormat=P","Fill=—","Direction=H","UseDPDF=Y")</f>
        <v>#NAME?</v>
      </c>
      <c r="AU344" s="1" t="e">
        <f ca="1">_xll.BDH($C$328,"NET_FIXED_ASSETS_5_YEAR_GROWTH","FQ1 2017","FQ1 2017","Currency=INR","Period=FQ","BEST_FPERIOD_OVERRIDE=FQ","FILING_STATUS=OR","EQY_CONSOLIDATED=Y","Sort=A","Dates=H","DateFormat=P","Fill=—","Direction=H","UseDPDF=Y")</f>
        <v>#NAME?</v>
      </c>
      <c r="AV344" s="1" t="e">
        <f ca="1">_xll.BDH($C$328,"GEO_GROW_TOT_ASSET","FQ1 2017","FQ1 2017","Currency=INR","Period=FQ","BEST_FPERIOD_OVERRIDE=FQ","FILING_STATUS=OR","EQY_CONSOLIDATED=Y","Sort=A","Dates=H","DateFormat=P","Fill=—","Direction=H","UseDPDF=Y")</f>
        <v>#NAME?</v>
      </c>
      <c r="AW344" s="1" t="e">
        <f ca="1">_xll.BDH($C$328,"MODIFIED_WORKING_CPTL_5YR_GRWTH","FQ1 2017","FQ1 2017","Currency=INR","Period=FQ","BEST_FPERIOD_OVERRIDE=FQ","FILING_STATUS=OR","EQY_CONSOLIDATED=Y","Sort=A","Dates=H","DateFormat=P","Fill=—","Direction=H","UseDPDF=Y")</f>
        <v>#NAME?</v>
      </c>
      <c r="AX344" s="1" t="e">
        <f ca="1">_xll.BDH($C$328,"WORKING_CAPITAL_5_YEAR_GROWTH","FQ1 2017","FQ1 2017","Currency=INR","Period=FQ","BEST_FPERIOD_OVERRIDE=FQ","FILING_STATUS=OR","EQY_CONSOLIDATED=Y","Sort=A","Dates=H","DateFormat=P","Fill=—","Direction=H","UseDPDF=Y")</f>
        <v>#NAME?</v>
      </c>
      <c r="AY344" s="1" t="e">
        <f ca="1">_xll.BDH($C$328,"ACCOUNTS_PAYABLE_5_YEAR_GROWTH","FQ1 2017","FQ1 2017","Currency=INR","Period=FQ","BEST_FPERIOD_OVERRIDE=FQ","FILING_STATUS=OR","EQY_CONSOLIDATED=Y","Sort=A","Dates=H","DateFormat=P","Fill=—","Direction=H","UseDPDF=Y")</f>
        <v>#NAME?</v>
      </c>
      <c r="AZ344" s="1" t="e">
        <f ca="1">_xll.BDH($C$328,"SHORT_TERM_DEBT_5_YEAR_GROWTH","FQ1 2017","FQ1 2017","Currency=INR","Period=FQ","BEST_FPERIOD_OVERRIDE=FQ","FILING_STATUS=OR","EQY_CONSOLIDATED=Y","Sort=A","Dates=H","DateFormat=P","Fill=—","Direction=H","UseDPDF=Y")</f>
        <v>#NAME?</v>
      </c>
      <c r="BA344" s="1" t="e">
        <f ca="1">_xll.BDH($C$328,"TOTAL_DEBT_5_YEAR_GROWTH","FQ1 2017","FQ1 2017","Currency=INR","Period=FQ","BEST_FPERIOD_OVERRIDE=FQ","FILING_STATUS=OR","EQY_CONSOLIDATED=Y","Sort=A","Dates=H","DateFormat=P","Fill=—","Direction=H","UseDPDF=Y")</f>
        <v>#NAME?</v>
      </c>
      <c r="BB344" s="1" t="e">
        <f ca="1">_xll.BDH($C$328,"GEO_GROW_TOT_SHRHLDR_EQY","FQ1 2017","FQ1 2017","Currency=INR","Period=FQ","BEST_FPERIOD_OVERRIDE=FQ","FILING_STATUS=OR","EQY_CONSOLIDATED=Y","Sort=A","Dates=H","DateFormat=P","Fill=—","Direction=H","UseDPDF=Y")</f>
        <v>#NAME?</v>
      </c>
      <c r="BC344" s="1" t="e">
        <f ca="1">_xll.BDH($C$328,"TOTAL_CAPITAL_5_YEAR_GROWTH","FQ1 2017","FQ1 2017","Currency=INR","Period=FQ","BEST_FPERIOD_OVERRIDE=FQ","FILING_STATUS=OR","EQY_CONSOLIDATED=Y","Sort=A","Dates=H","DateFormat=P","Fill=—","Direction=H","UseDPDF=Y")</f>
        <v>#NAME?</v>
      </c>
      <c r="BD344" s="1" t="e">
        <f ca="1">_xll.BDH($C$328,"GEO_GROW_BOOK_VAL","FQ1 2017","FQ1 2017","Currency=INR","Period=FQ","BEST_FPERIOD_OVERRIDE=FQ","FILING_STATUS=OR","EQY_CONSOLIDATED=Y","Sort=A","Dates=H","DateFormat=P","Fill=—","Direction=H","UseDPDF=Y")</f>
        <v>#NAME?</v>
      </c>
      <c r="BE344" s="1" t="e">
        <f ca="1">_xll.BDH($C$328,"GEO_GROW_CASH_OPER_ACT","FQ1 2017","FQ1 2017","Currency=INR","Period=FQ","BEST_FPERIOD_OVERRIDE=FQ","FILING_STATUS=OR","EQY_CONSOLIDATED=Y","Sort=A","Dates=H","DateFormat=P","Fill=—","Direction=H","UseDPDF=Y")</f>
        <v>#NAME?</v>
      </c>
      <c r="BF344" s="1" t="e">
        <f ca="1">_xll.BDH($C$328,"REVENUE_SEQUENTIAL_GROWTH","FQ1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44" s="1" t="e">
        <f ca="1">_xll.BDH($C$328,"EBITDA_SEQUENTIAL_GROWTH","FQ1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44" s="1" t="e">
        <f ca="1">_xll.BDH($C$328,"OPERATING_INCOME_SEQ_GROWTH","FQ1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44" s="1" t="e">
        <f ca="1">_xll.BDH($C$328,"NET_INCOME_TO_COMMON_SEQ_GROWTH","FQ1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44" s="1" t="e">
        <f ca="1">_xll.BDH($C$328,"EPS_DILUTED_SEQUENTIAL_GROWTH","FQ1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44" s="1" t="e">
        <f ca="1">_xll.BDH($C$328,"DPS_SEQUENTIAL_GROWTH","FQ1 2017","FQ1 2017","Currency=INR","Period=FQ","BEST_FPERIOD_OVERRIDE=FQ","FILING_STATUS=OR","EQY_CONSOLIDATED=Y","Sort=A","Dates=H","DateFormat=P","Fill=—","Direction=H","UseDPDF=Y")</f>
        <v>#NAME?</v>
      </c>
      <c r="BL344" s="1" t="e">
        <f ca="1">_xll.BDH($C$328,"ACCOUNTS_RECEIVABLE_SEQ_GROWTH","FQ1 2017","FQ1 2017","Currency=INR","Period=FQ","BEST_FPERIOD_OVERRIDE=FQ","FILING_STATUS=OR","EQY_CONSOLIDATED=Y","Sort=A","Dates=H","DateFormat=P","Fill=—","Direction=H","UseDPDF=Y")</f>
        <v>#NAME?</v>
      </c>
      <c r="BM344" s="1" t="e">
        <f ca="1">_xll.BDH($C$328,"INVENTORY_SEQUENTIAL_GROWTH","FQ1 2017","FQ1 2017","Currency=INR","Period=FQ","BEST_FPERIOD_OVERRIDE=FQ","FILING_STATUS=OR","EQY_CONSOLIDATED=Y","Sort=A","Dates=H","DateFormat=P","Fill=—","Direction=H","UseDPDF=Y")</f>
        <v>#NAME?</v>
      </c>
      <c r="BN344" s="1" t="e">
        <f ca="1">_xll.BDH($C$328,"FIXED_ASSETS_SEQUENTIAL_GROWTH","FQ1 2017","FQ1 2017","Currency=INR","Period=FQ","BEST_FPERIOD_OVERRIDE=FQ","FILING_STATUS=OR","EQY_CONSOLIDATED=Y","Sort=A","Dates=H","DateFormat=P","Fill=—","Direction=H","UseDPDF=Y")</f>
        <v>#NAME?</v>
      </c>
      <c r="BO344" s="1" t="e">
        <f ca="1">_xll.BDH($C$328,"TOTAL_ASSETS_SEQUENTIAL_GROWTH","FQ1 2017","FQ1 2017","Currency=INR","Period=FQ","BEST_FPERIOD_OVERRIDE=FQ","FILING_STATUS=OR","EQY_CONSOLIDATED=Y","Sort=A","Dates=H","DateFormat=P","Fill=—","Direction=H","UseDPDF=Y")</f>
        <v>#NAME?</v>
      </c>
      <c r="BP344" s="1" t="e">
        <f ca="1">_xll.BDH($C$328,"MODIFIED_WORKING_CPTL_SEQ_GRWTH","FQ1 2017","FQ1 2017","Currency=INR","Period=FQ","BEST_FPERIOD_OVERRIDE=FQ","FILING_STATUS=OR","EQY_CONSOLIDATED=Y","Sort=A","Dates=H","DateFormat=P","Fill=—","Direction=H","UseDPDF=Y")</f>
        <v>#NAME?</v>
      </c>
      <c r="BQ344" s="1" t="e">
        <f ca="1">_xll.BDH($C$328,"WORKING_CAPITAL_SEQ_GROWTH","FQ1 2017","FQ1 2017","Currency=INR","Period=FQ","BEST_FPERIOD_OVERRIDE=FQ","FILING_STATUS=OR","EQY_CONSOLIDATED=Y","Sort=A","Dates=H","DateFormat=P","Fill=—","Direction=H","UseDPDF=Y")</f>
        <v>#NAME?</v>
      </c>
      <c r="BR344" s="1" t="e">
        <f ca="1">_xll.BDH($C$328,"ACCOUNTS_PAYABLE_SEQ_GROWTH","FQ1 2017","FQ1 2017","Currency=INR","Period=FQ","BEST_FPERIOD_OVERRIDE=FQ","FILING_STATUS=OR","EQY_CONSOLIDATED=Y","Sort=A","Dates=H","DateFormat=P","Fill=—","Direction=H","UseDPDF=Y")</f>
        <v>#NAME?</v>
      </c>
      <c r="BS344" s="1" t="e">
        <f ca="1">_xll.BDH($C$328,"ST_DEBT_SEQUENTIAL_GROWTH","FQ1 2017","FQ1 2017","Currency=INR","Period=FQ","BEST_FPERIOD_OVERRIDE=FQ","FILING_STATUS=OR","EQY_CONSOLIDATED=Y","Sort=A","Dates=H","DateFormat=P","Fill=—","Direction=H","UseDPDF=Y")</f>
        <v>#NAME?</v>
      </c>
      <c r="BT344" s="1" t="e">
        <f ca="1">_xll.BDH($C$328,"TOTAL_DEBT_SEQUENTIAL_GROWTH","FQ1 2017","FQ1 2017","Currency=INR","Period=FQ","BEST_FPERIOD_OVERRIDE=FQ","FILING_STATUS=OR","EQY_CONSOLIDATED=Y","Sort=A","Dates=H","DateFormat=P","Fill=—","Direction=H","UseDPDF=Y")</f>
        <v>#NAME?</v>
      </c>
      <c r="BU344" s="1" t="e">
        <f ca="1">_xll.BDH($C$328,"TOTAL_EQUITY_SEQUENTIAL_GROWTH","FQ1 2017","FQ1 2017","Currency=INR","Period=FQ","BEST_FPERIOD_OVERRIDE=FQ","FILING_STATUS=OR","EQY_CONSOLIDATED=Y","Sort=A","Dates=H","DateFormat=P","Fill=—","Direction=H","UseDPDF=Y")</f>
        <v>#NAME?</v>
      </c>
      <c r="BV344" s="1" t="e">
        <f ca="1">_xll.BDH($C$328,"TOTAL_CAPITAL_SEQUENTIAL_GROWTH","FQ1 2017","FQ1 2017","Currency=INR","Period=FQ","BEST_FPERIOD_OVERRIDE=FQ","FILING_STATUS=OR","EQY_CONSOLIDATED=Y","Sort=A","Dates=H","DateFormat=P","Fill=—","Direction=H","UseDPDF=Y")</f>
        <v>#NAME?</v>
      </c>
      <c r="BW344" s="1" t="e">
        <f ca="1">_xll.BDH($C$328,"BPS_SEQUENTIAL_GROWTH","FQ1 2017","FQ1 2017","Currency=INR","Period=FQ","BEST_FPERIOD_OVERRIDE=FQ","FILING_STATUS=OR","EQY_CONSOLIDATED=Y","Sort=A","Dates=H","DateFormat=P","Fill=—","Direction=H","UseDPDF=Y")</f>
        <v>#NAME?</v>
      </c>
      <c r="BX344" s="1" t="e">
        <f ca="1">_xll.BDH($C$328,"CFO_SEQUENTIAL_GROWTH","FQ1 2017","FQ1 2017","Currency=INR","Period=FQ","BEST_FPERIOD_OVERRIDE=FQ","FILING_STATUS=OR","EQY_CONSOLIDATED=Y","Sort=A","Dates=H","DateFormat=P","Fill=—","Direction=H","UseDPDF=Y")</f>
        <v>#NAME?</v>
      </c>
      <c r="BY344" s="2" t="e">
        <f ca="1">_xll.BDH($C$328,"SHORT_AND_LONG_TERM_DEBT","FQ1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44" s="2" t="e">
        <f ca="1">_xll.BDH($C$328,"BS_ST_BORROW","FQ1 2017","FQ1 2017","Currency=INR","Period=FQ","BEST_FPERIOD_OVERRIDE=FQ","FILING_STATUS=OR","EQY_CONSOLIDATED=Y","SCALING_FORMAT=MLN","Sort=A","Dates=H","DateFormat=P","Fill=—","Direction=H","UseDPDF=Y")</f>
        <v>#NAME?</v>
      </c>
      <c r="CA344" s="2" t="e">
        <f ca="1">_xll.BDH($C$328,"BS_LT_BORROW","FQ1 2017","FQ1 2017","Currency=INR","Period=FQ","BEST_FPERIOD_OVERRIDE=FQ","FILING_STATUS=OR","EQY_CONSOLIDATED=Y","SCALING_FORMAT=MLN","Sort=A","Dates=H","DateFormat=P","Fill=—","Direction=H","UseDPDF=Y")</f>
        <v>#NAME?</v>
      </c>
      <c r="CB344" s="1" t="e">
        <f ca="1">_xll.BDH($C$328,"TOT_DEBT_TO_EBITDA","FQ1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44" s="1" t="e">
        <f ca="1">_xll.BDH($C$328,"NET_DEBT_TO_EBITDA","FQ1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44" s="1" t="e">
        <f ca="1">_xll.BDH($C$328,"TOTAL_DEBT_TO_EBIT","FQ1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44" s="1" t="e">
        <f ca="1">_xll.BDH($C$328,"NET_DEBT_TO_EBIT","FQ1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344" s="1" t="e">
        <f ca="1">_xll.BDH($C$328,"EBITDA_TO_INTEREST_EXPN","FQ1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44" s="1" t="e">
        <f ca="1">_xll.BDH($C$328,"COM_EQY_TO_TOT_ASSET","FQ1 2017","FQ1 2017","Currency=INR","Period=FQ","BEST_FPERIOD_OVERRIDE=FQ","FILING_STATUS=OR","EQY_CONSOLIDATED=Y","Sort=A","Dates=H","DateFormat=P","Fill=—","Direction=H","UseDPDF=Y")</f>
        <v>#NAME?</v>
      </c>
      <c r="CH344" s="1" t="e">
        <f ca="1">_xll.BDH($C$328,"LT_DEBT_TO_TOT_EQY","FQ1 2017","FQ1 2017","Currency=INR","Period=FQ","BEST_FPERIOD_OVERRIDE=FQ","FILING_STATUS=OR","EQY_CONSOLIDATED=Y","Sort=A","Dates=H","DateFormat=P","Fill=—","Direction=H","UseDPDF=Y")</f>
        <v>#NAME?</v>
      </c>
      <c r="CI344" s="1" t="e">
        <f ca="1">_xll.BDH($C$328,"LT_DEBT_TO_TOT_CAP","FQ1 2017","FQ1 2017","Currency=INR","Period=FQ","BEST_FPERIOD_OVERRIDE=FQ","FILING_STATUS=OR","EQY_CONSOLIDATED=Y","Sort=A","Dates=H","DateFormat=P","Fill=—","Direction=H","UseDPDF=Y")</f>
        <v>#NAME?</v>
      </c>
      <c r="CJ344" s="1" t="e">
        <f ca="1">_xll.BDH($C$328,"LT_DEBT_TO_TOT_ASSET","FQ1 2017","FQ1 2017","Currency=INR","Period=FQ","BEST_FPERIOD_OVERRIDE=FQ","FILING_STATUS=OR","EQY_CONSOLIDATED=Y","Sort=A","Dates=H","DateFormat=P","Fill=—","Direction=H","UseDPDF=Y")</f>
        <v>#NAME?</v>
      </c>
      <c r="CK344" s="1" t="e">
        <f ca="1">_xll.BDH($C$328,"TOT_DEBT_TO_TOT_EQY","FQ1 2017","FQ1 2017","Currency=INR","Period=FQ","BEST_FPERIOD_OVERRIDE=FQ","FILING_STATUS=OR","EQY_CONSOLIDATED=Y","Sort=A","Dates=H","DateFormat=P","Fill=—","Direction=H","UseDPDF=Y")</f>
        <v>#NAME?</v>
      </c>
      <c r="CL344" s="1" t="e">
        <f ca="1">_xll.BDH($C$328,"TOT_DEBT_TO_TOT_CAP","FQ1 2017","FQ1 2017","Currency=INR","Period=FQ","BEST_FPERIOD_OVERRIDE=FQ","FILING_STATUS=OR","EQY_CONSOLIDATED=Y","Sort=A","Dates=H","DateFormat=P","Fill=—","Direction=H","UseDPDF=Y")</f>
        <v>#NAME?</v>
      </c>
      <c r="CM344" s="1" t="e">
        <f ca="1">_xll.BDH($C$328,"TOT_DEBT_TO_TOT_ASSET","FQ1 2017","FQ1 2017","Currency=INR","Period=FQ","BEST_FPERIOD_OVERRIDE=FQ","FILING_STATUS=OR","EQY_CONSOLIDATED=Y","Sort=A","Dates=H","DateFormat=P","Fill=—","Direction=H","UseDPDF=Y")</f>
        <v>#NAME?</v>
      </c>
      <c r="CN344" s="1" t="e">
        <f ca="1">_xll.BDH($C$328,"NET_DEBT_TO_SHRHLDR_EQTY","FQ1 2017","FQ1 2017","Currency=INR","Period=FQ","BEST_FPERIOD_OVERRIDE=FQ","FILING_STATUS=OR","EQY_CONSOLIDATED=Y","Sort=A","Dates=H","DateFormat=P","Fill=—","Direction=H","UseDPDF=Y")</f>
        <v>#NAME?</v>
      </c>
      <c r="CO344" s="1" t="e">
        <f ca="1">_xll.BDH($C$328,"NET_DEBT_%_CAPITAL","FQ1 2017","FQ1 2017","Currency=INR","Period=FQ","BEST_FPERIOD_OVERRIDE=FQ","FILING_STATUS=OR","EQY_CONSOLIDATED=Y","Sort=A","Dates=H","DateFormat=P","Fill=—","Direction=H","UseDPDF=Y")</f>
        <v>#NAME?</v>
      </c>
      <c r="CP344" s="2" t="e">
        <f ca="1">_xll.BDH($C$328,"EBITDA","FQ1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44" s="2" t="e">
        <f ca="1">_xll.BDH($C$328,"EBITDA_AFTER_CAPEX","FQ1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44" s="2" t="e">
        <f ca="1">_xll.BDH($C$328,"IS_OPER_INC","FQ1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44" s="1" t="e">
        <f ca="1">_xll.BDH($C$328,"CASH_RATIO","FQ1 2017","FQ1 2017","Currency=INR","Period=FQ","BEST_FPERIOD_OVERRIDE=FQ","FILING_STATUS=OR","EQY_CONSOLIDATED=Y","Sort=A","Dates=H","DateFormat=P","Fill=—","Direction=H","UseDPDF=Y")</f>
        <v>#NAME?</v>
      </c>
      <c r="CT344" s="1" t="e">
        <f ca="1">_xll.BDH($C$328,"CUR_RATIO","FQ1 2017","FQ1 2017","Currency=INR","Period=FQ","BEST_FPERIOD_OVERRIDE=FQ","FILING_STATUS=OR","EQY_CONSOLIDATED=Y","Sort=A","Dates=H","DateFormat=P","Fill=—","Direction=H","UseDPDF=Y")</f>
        <v>#NAME?</v>
      </c>
      <c r="CU344" s="1" t="e">
        <f ca="1">_xll.BDH($C$328,"QUICK_RATIO","FQ1 2017","FQ1 2017","Currency=INR","Period=FQ","BEST_FPERIOD_OVERRIDE=FQ","FILING_STATUS=OR","EQY_CONSOLIDATED=Y","Sort=A","Dates=H","DateFormat=P","Fill=—","Direction=H","UseDPDF=Y")</f>
        <v>#NAME?</v>
      </c>
      <c r="CV344" s="1" t="e">
        <f ca="1">_xll.BDH($C$328,"ALTMAN_Z_SCORE","FQ1 2017","FQ1 2017","Currency=INR","Period=FQ","BEST_FPERIOD_OVERRIDE=FQ","FILING_STATUS=OR","EQY_CONSOLIDATED=Y","Sort=A","Dates=H","DateFormat=P","Fill=—","Direction=H","UseDPDF=Y")</f>
        <v>#NAME?</v>
      </c>
      <c r="CW344" s="3" t="e">
        <f ca="1">_xll.BDH($C$328,"ACCT_RCV_TURN","FQ1 2017","FQ1 2017","Currency=INR","Period=FQ","BEST_FPERIOD_OVERRIDE=FQ","FILING_STATUS=OR","EQY_CONSOLIDATED=Y","FA_ADJUSTED=GAAP","Sort=A","Dates=H","DateFormat=P","Fill=—","Direction=H","UseDPDF=Y")</f>
        <v>#NAME?</v>
      </c>
      <c r="CX344" s="1" t="e">
        <f ca="1">_xll.BDH($C$328,"ACCT_RCV_DAYS","FQ1 2017","FQ1 2017","Currency=INR","Period=FQ","BEST_FPERIOD_OVERRIDE=FQ","FILING_STATUS=OR","EQY_CONSOLIDATED=Y","FA_ADJUSTED=GAAP","Sort=A","Dates=H","DateFormat=P","Fill=—","Direction=H","UseDPDF=Y")</f>
        <v>#NAME?</v>
      </c>
      <c r="CY344" s="3" t="e">
        <f ca="1">_xll.BDH($C$328,"INVENT_TURN","FQ1 2017","FQ1 2017","Currency=INR","Period=FQ","BEST_FPERIOD_OVERRIDE=FQ","FILING_STATUS=OR","EQY_CONSOLIDATED=Y","FA_ADJUSTED=GAAP","Sort=A","Dates=H","DateFormat=P","Fill=—","Direction=H","UseDPDF=Y")</f>
        <v>#NAME?</v>
      </c>
      <c r="CZ344" s="1" t="e">
        <f ca="1">_xll.BDH($C$328,"INVENT_DAYS","FQ1 2017","FQ1 2017","Currency=INR","Period=FQ","BEST_FPERIOD_OVERRIDE=FQ","FILING_STATUS=OR","EQY_CONSOLIDATED=Y","FA_ADJUSTED=GAAP","Sort=A","Dates=H","DateFormat=P","Fill=—","Direction=H","UseDPDF=Y")</f>
        <v>#NAME?</v>
      </c>
      <c r="DA344" s="3" t="e">
        <f ca="1">_xll.BDH($C$328,"ACCOUNTS_PAYABLE_TURNOVER","FQ1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44" s="1" t="e">
        <f ca="1">_xll.BDH($C$328,"ACCOUNTS_PAYABLE_TURNOVER_DAYS","FQ1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44" s="3" t="e">
        <f ca="1">_xll.BDH($C$328,"CASH_CONVERSION_CYCLE","FQ1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44" s="3" t="e">
        <f ca="1">_xll.BDH($C$328,"INV_TO_CASH_DAYS","FQ1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344" s="4" t="e">
        <f ca="1">_xll.BDH($C$328,"BS_INVENTORIES","FQ1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344" s="2" t="e">
        <f ca="1">_xll.BDH($C$328,"INVTRY_RAW_MATERIALS","FQ1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44" s="2" t="e">
        <f ca="1">_xll.BDH($C$328,"INVTRY_IN_PROGRESS","FQ1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44" s="2" t="e">
        <f ca="1">_xll.BDH($C$328,"INVTRY_FINISHED_GOODS","FQ1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44" s="2" t="e">
        <f ca="1">_xll.BDH($C$328,"BS_OTHER_INV","FQ1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45" spans="1:113" x14ac:dyDescent="0.3">
      <c r="A345" s="6"/>
      <c r="B345" s="6"/>
      <c r="C345" s="6"/>
      <c r="D345" s="6"/>
      <c r="E345" t="s">
        <v>5</v>
      </c>
      <c r="F345" t="e">
        <f ca="1">_xll.BDH($C$328,"RETURN_COM_EQY","FQ2 2017","FQ2 2017","Currency=INR","Period=FQ","BEST_FPERIOD_OVERRIDE=FQ","FILING_STATUS=OR","EQY_CONSOLIDATED=Y","FA_ADJUSTED=GAAP","Sort=A","Dates=H","DateFormat=P","Fill=—","Direction=H","UseDPDF=Y")</f>
        <v>#NAME?</v>
      </c>
      <c r="G345" t="e">
        <f ca="1">_xll.BDH($C$328,"RETURN_ON_ASSET","FQ2 2017","FQ2 2017","Currency=INR","Period=FQ","BEST_FPERIOD_OVERRIDE=FQ","FILING_STATUS=OR","EQY_CONSOLIDATED=Y","FA_ADJUSTED=GAAP","Sort=A","Dates=H","DateFormat=P","Fill=—","Direction=H","UseDPDF=Y")</f>
        <v>#NAME?</v>
      </c>
      <c r="H345" t="e">
        <f ca="1">_xll.BDH($C$328,"RETURN_ON_CAP","FQ2 2017","FQ2 2017","Currency=INR","Period=FQ","BEST_FPERIOD_OVERRIDE=FQ","FILING_STATUS=OR","EQY_CONSOLIDATED=Y","FA_ADJUSTED=GAAP","Sort=A","Dates=H","DateFormat=P","Fill=—","Direction=H","UseDPDF=Y")</f>
        <v>#NAME?</v>
      </c>
      <c r="I345" t="e">
        <f ca="1">_xll.BDH($C$328,"RETURN_ON_INV_CAPITAL","FQ2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45" t="e">
        <f ca="1">_xll.BDH($C$328,"EBITDA_TO_REVENUE","FQ2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345" t="e">
        <f ca="1">_xll.BDH($C$328,"OPER_MARGIN","FQ2 2017","FQ2 2017","Currency=INR","Period=FQ","BEST_FPERIOD_OVERRIDE=FQ","FILING_STATUS=OR","EQY_CONSOLIDATED=Y","FA_ADJUSTED=GAAP","Sort=A","Dates=H","DateFormat=P","Fill=—","Direction=H","UseDPDF=Y")</f>
        <v>#NAME?</v>
      </c>
      <c r="L345" t="e">
        <f ca="1">_xll.BDH($C$328,"INCREMENTAL_OPERATING_MARGIN","FQ2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45" t="e">
        <f ca="1">_xll.BDH($C$328,"PRETAX_INC_TO_NET_SALES","FQ2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45" t="e">
        <f ca="1">_xll.BDH($C$328,"INC_BEF_XO_ITEMS_TO_NET_SALES","FQ2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45" t="e">
        <f ca="1">_xll.BDH($C$328,"PROF_MARGIN","FQ2 2017","FQ2 2017","Currency=INR","Period=FQ","BEST_FPERIOD_OVERRIDE=FQ","FILING_STATUS=OR","EQY_CONSOLIDATED=Y","FA_ADJUSTED=GAAP","Sort=A","Dates=H","DateFormat=P","Fill=—","Direction=H","UseDPDF=Y")</f>
        <v>#NAME?</v>
      </c>
      <c r="P345" t="e">
        <f ca="1">_xll.BDH($C$328,"NET_INCOME_TO_COMMON_MARGIN","FQ2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45" t="e">
        <f ca="1">_xll.BDH($C$328,"EFF_TAX_RATE","FQ2 2017","FQ2 2017","Currency=INR","Period=FQ","BEST_FPERIOD_OVERRIDE=FQ","FILING_STATUS=OR","EQY_CONSOLIDATED=Y","FA_ADJUSTED=GAAP","Sort=A","Dates=H","DateFormat=P","Fill=—","Direction=H","UseDPDF=Y")</f>
        <v>#NAME?</v>
      </c>
      <c r="R345" t="e">
        <f ca="1">_xll.BDH($C$328,"DVD_PAYOUT_RATIO","FQ2 2017","FQ2 2017","Currency=INR","Period=FQ","BEST_FPERIOD_OVERRIDE=FQ","FILING_STATUS=OR","EQY_CONSOLIDATED=Y","FA_ADJUSTED=GAAP","Sort=A","Dates=H","DateFormat=P","Fill=—","Direction=H","UseDPDF=Y")</f>
        <v>#NAME?</v>
      </c>
      <c r="S345" t="e">
        <f ca="1">_xll.BDH($C$328,"SUSTAIN_GROWTH_RT","FQ2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345" s="1" t="e">
        <f ca="1">_xll.BDH($C$328,"SALES_GROWTH","FQ2 2017","FQ2 2017","Currency=INR","Period=FQ","BEST_FPERIOD_OVERRIDE=FQ","FILING_STATUS=OR","EQY_CONSOLIDATED=Y","FA_ADJUSTED=GAAP","Sort=A","Dates=H","DateFormat=P","Fill=—","Direction=H","UseDPDF=Y")</f>
        <v>#NAME?</v>
      </c>
      <c r="U345" s="1" t="e">
        <f ca="1">_xll.BDH($C$328,"EBITDA_GROWTH","FQ2 2017","FQ2 2017","Currency=INR","Period=FQ","BEST_FPERIOD_OVERRIDE=FQ","FILING_STATUS=OR","EQY_CONSOLIDATED=Y","FA_ADJUSTED=GAAP","Sort=A","Dates=H","DateFormat=P","Fill=—","Direction=H","UseDPDF=Y")</f>
        <v>#NAME?</v>
      </c>
      <c r="V345" s="1" t="e">
        <f ca="1">_xll.BDH($C$328,"OPER_INC_GROWTH","FQ2 2017","FQ2 2017","Currency=INR","Period=FQ","BEST_FPERIOD_OVERRIDE=FQ","FILING_STATUS=OR","EQY_CONSOLIDATED=Y","FA_ADJUSTED=GAAP","Sort=A","Dates=H","DateFormat=P","Fill=—","Direction=H","UseDPDF=Y")</f>
        <v>#NAME?</v>
      </c>
      <c r="W345" s="1" t="e">
        <f ca="1">_xll.BDH($C$328,"EARN_FOR_COM_GROWTH","FQ2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45" s="1" t="e">
        <f ca="1">_xll.BDH($C$328,"DILUTED_EPS_AFT_XO_ITEMS_GROWTH","FQ2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45" s="1" t="e">
        <f ca="1">_xll.BDH($C$328,"DIVIDEND_PER_SHARE_1_YEAR_GROWTH","FQ2 2017","FQ2 2017","Currency=INR","Period=FQ","BEST_FPERIOD_OVERRIDE=FQ","FILING_STATUS=OR","EQY_CONSOLIDATED=Y","Sort=A","Dates=H","DateFormat=P","Fill=—","Direction=H","UseDPDF=Y")</f>
        <v>#NAME?</v>
      </c>
      <c r="Z345" s="1" t="e">
        <f ca="1">_xll.BDH($C$328,"ACCOUNTS_RECEIVABLE_GROWTH","FQ2 2017","FQ2 2017","Currency=INR","Period=FQ","BEST_FPERIOD_OVERRIDE=FQ","FILING_STATUS=OR","EQY_CONSOLIDATED=Y","Sort=A","Dates=H","DateFormat=P","Fill=—","Direction=H","UseDPDF=Y")</f>
        <v>#NAME?</v>
      </c>
      <c r="AA345" s="1" t="e">
        <f ca="1">_xll.BDH($C$328,"INVENTORY_GROWTH","FQ2 2017","FQ2 2017","Currency=INR","Period=FQ","BEST_FPERIOD_OVERRIDE=FQ","FILING_STATUS=OR","EQY_CONSOLIDATED=Y","Sort=A","Dates=H","DateFormat=P","Fill=—","Direction=H","UseDPDF=Y")</f>
        <v>#NAME?</v>
      </c>
      <c r="AB345" s="1" t="e">
        <f ca="1">_xll.BDH($C$328,"NET_FIXED_ASSETS_1_YEAR_GROWTH","FQ2 2017","FQ2 2017","Currency=INR","Period=FQ","BEST_FPERIOD_OVERRIDE=FQ","FILING_STATUS=OR","EQY_CONSOLIDATED=Y","Sort=A","Dates=H","DateFormat=P","Fill=—","Direction=H","UseDPDF=Y")</f>
        <v>#NAME?</v>
      </c>
      <c r="AC345" s="1" t="e">
        <f ca="1">_xll.BDH($C$328,"ASSET_GROWTH","FQ2 2017","FQ2 2017","Currency=INR","Period=FQ","BEST_FPERIOD_OVERRIDE=FQ","FILING_STATUS=OR","EQY_CONSOLIDATED=Y","Sort=A","Dates=H","DateFormat=P","Fill=—","Direction=H","UseDPDF=Y")</f>
        <v>#NAME?</v>
      </c>
      <c r="AD345" s="1" t="e">
        <f ca="1">_xll.BDH($C$328,"MODIFIED_WORK_CAP_GROWTH","FQ2 2017","FQ2 2017","Currency=INR","Period=FQ","BEST_FPERIOD_OVERRIDE=FQ","FILING_STATUS=OR","EQY_CONSOLIDATED=Y","Sort=A","Dates=H","DateFormat=P","Fill=—","Direction=H","UseDPDF=Y")</f>
        <v>#NAME?</v>
      </c>
      <c r="AE345" s="1" t="e">
        <f ca="1">_xll.BDH($C$328,"WORK_CAP_GROWTH","FQ2 2017","FQ2 2017","Currency=INR","Period=FQ","BEST_FPERIOD_OVERRIDE=FQ","FILING_STATUS=OR","EQY_CONSOLIDATED=Y","Sort=A","Dates=H","DateFormat=P","Fill=—","Direction=H","UseDPDF=Y")</f>
        <v>#NAME?</v>
      </c>
      <c r="AF345" s="1" t="e">
        <f ca="1">_xll.BDH($C$328,"ACCOUNTS_PAYABLE_GROWTH_1YR","FQ2 2017","FQ2 2017","Currency=INR","Period=FQ","BEST_FPERIOD_OVERRIDE=FQ","FILING_STATUS=OR","EQY_CONSOLIDATED=Y","Sort=A","Dates=H","DateFormat=P","Fill=—","Direction=H","UseDPDF=Y")</f>
        <v>#NAME?</v>
      </c>
      <c r="AG345" s="1" t="e">
        <f ca="1">_xll.BDH($C$328,"SHORT_TERM_DEBT_1_YEAR_GROWTH","FQ2 2017","FQ2 2017","Currency=INR","Period=FQ","BEST_FPERIOD_OVERRIDE=FQ","FILING_STATUS=OR","EQY_CONSOLIDATED=Y","Sort=A","Dates=H","DateFormat=P","Fill=—","Direction=H","UseDPDF=Y")</f>
        <v>#NAME?</v>
      </c>
      <c r="AH345" s="1" t="e">
        <f ca="1">_xll.BDH($C$328,"TOTAL_DEBT_1_YEAR_GROWTH","FQ2 2017","FQ2 2017","Currency=INR","Period=FQ","BEST_FPERIOD_OVERRIDE=FQ","FILING_STATUS=OR","EQY_CONSOLIDATED=Y","Sort=A","Dates=H","DateFormat=P","Fill=—","Direction=H","UseDPDF=Y")</f>
        <v>#NAME?</v>
      </c>
      <c r="AI345" s="1" t="e">
        <f ca="1">_xll.BDH($C$328,"TOTAL_EQUITY_1_YEAR_GROWTH","FQ2 2017","FQ2 2017","Currency=INR","Period=FQ","BEST_FPERIOD_OVERRIDE=FQ","FILING_STATUS=OR","EQY_CONSOLIDATED=Y","Sort=A","Dates=H","DateFormat=P","Fill=—","Direction=H","UseDPDF=Y")</f>
        <v>#NAME?</v>
      </c>
      <c r="AJ345" s="1" t="e">
        <f ca="1">_xll.BDH($C$328,"GROWTH_IN_CAP","FQ2 2017","FQ2 2017","Currency=INR","Period=FQ","BEST_FPERIOD_OVERRIDE=FQ","FILING_STATUS=OR","EQY_CONSOLIDATED=Y","Sort=A","Dates=H","DateFormat=P","Fill=—","Direction=H","UseDPDF=Y")</f>
        <v>#NAME?</v>
      </c>
      <c r="AK345" s="1" t="e">
        <f ca="1">_xll.BDH($C$328,"BVPS_GROWTH","FQ2 2017","FQ2 2017","Currency=INR","Period=FQ","BEST_FPERIOD_OVERRIDE=FQ","FILING_STATUS=OR","EQY_CONSOLIDATED=Y","Sort=A","Dates=H","DateFormat=P","Fill=—","Direction=H","UseDPDF=Y")</f>
        <v>#NAME?</v>
      </c>
      <c r="AL345" s="1" t="e">
        <f ca="1">_xll.BDH($C$328,"CASH_FLOW_GROWTH","FQ2 2017","FQ2 2017","Currency=INR","Period=FQ","BEST_FPERIOD_OVERRIDE=FQ","FILING_STATUS=OR","EQY_CONSOLIDATED=Y","Sort=A","Dates=H","DateFormat=P","Fill=—","Direction=H","UseDPDF=Y")</f>
        <v>#NAME?</v>
      </c>
      <c r="AM345" s="1" t="e">
        <f ca="1">_xll.BDH($C$328,"GEO_GROW_NET_SALES","FQ2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45" s="1" t="e">
        <f ca="1">_xll.BDH($C$328,"GEO_GROW_EBITDA","FQ2 2017","FQ2 2017","Currency=INR","Period=FQ","BEST_FPERIOD_OVERRIDE=FQ","FILING_STATUS=OR","EQY_CONSOLIDATED=Y","FA_ADJUSTED=GAAP","Sort=A","Dates=H","DateFormat=P","Fill=—","Direction=H","UseDPDF=Y")</f>
        <v>#NAME?</v>
      </c>
      <c r="AO345" s="1" t="e">
        <f ca="1">_xll.BDH($C$328,"GEO_GROW_OPER_INC","FQ2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45" s="1" t="e">
        <f ca="1">_xll.BDH($C$328,"NET_INCOME_TO_COMMON_5_YR_GROWTH","FQ2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45" s="1" t="e">
        <f ca="1">_xll.BDH($C$328,"5Y_GEO_GROWTH_DILUTED_EPS","FQ2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45" s="1" t="e">
        <f ca="1">_xll.BDH($C$328,"GEO_GROW_DVD_PER_SH","FQ2 2017","FQ2 2017","Currency=INR","Period=FQ","BEST_FPERIOD_OVERRIDE=FQ","FILING_STATUS=OR","EQY_CONSOLIDATED=Y","Sort=A","Dates=H","DateFormat=P","Fill=—","Direction=H","UseDPDF=Y")</f>
        <v>#NAME?</v>
      </c>
      <c r="AS345" s="1" t="e">
        <f ca="1">_xll.BDH($C$328,"ACCOUNTS_RECEIVABLE_5_YR_GROWTH","FQ2 2017","FQ2 2017","Currency=INR","Period=FQ","BEST_FPERIOD_OVERRIDE=FQ","FILING_STATUS=OR","EQY_CONSOLIDATED=Y","Sort=A","Dates=H","DateFormat=P","Fill=—","Direction=H","UseDPDF=Y")</f>
        <v>#NAME?</v>
      </c>
      <c r="AT345" s="1" t="e">
        <f ca="1">_xll.BDH($C$328,"INVENTORY_5_YEAR_GROWTH","FQ2 2017","FQ2 2017","Currency=INR","Period=FQ","BEST_FPERIOD_OVERRIDE=FQ","FILING_STATUS=OR","EQY_CONSOLIDATED=Y","Sort=A","Dates=H","DateFormat=P","Fill=—","Direction=H","UseDPDF=Y")</f>
        <v>#NAME?</v>
      </c>
      <c r="AU345" s="1" t="e">
        <f ca="1">_xll.BDH($C$328,"NET_FIXED_ASSETS_5_YEAR_GROWTH","FQ2 2017","FQ2 2017","Currency=INR","Period=FQ","BEST_FPERIOD_OVERRIDE=FQ","FILING_STATUS=OR","EQY_CONSOLIDATED=Y","Sort=A","Dates=H","DateFormat=P","Fill=—","Direction=H","UseDPDF=Y")</f>
        <v>#NAME?</v>
      </c>
      <c r="AV345" s="1" t="e">
        <f ca="1">_xll.BDH($C$328,"GEO_GROW_TOT_ASSET","FQ2 2017","FQ2 2017","Currency=INR","Period=FQ","BEST_FPERIOD_OVERRIDE=FQ","FILING_STATUS=OR","EQY_CONSOLIDATED=Y","Sort=A","Dates=H","DateFormat=P","Fill=—","Direction=H","UseDPDF=Y")</f>
        <v>#NAME?</v>
      </c>
      <c r="AW345" s="1" t="e">
        <f ca="1">_xll.BDH($C$328,"MODIFIED_WORKING_CPTL_5YR_GRWTH","FQ2 2017","FQ2 2017","Currency=INR","Period=FQ","BEST_FPERIOD_OVERRIDE=FQ","FILING_STATUS=OR","EQY_CONSOLIDATED=Y","Sort=A","Dates=H","DateFormat=P","Fill=—","Direction=H","UseDPDF=Y")</f>
        <v>#NAME?</v>
      </c>
      <c r="AX345" s="1" t="e">
        <f ca="1">_xll.BDH($C$328,"WORKING_CAPITAL_5_YEAR_GROWTH","FQ2 2017","FQ2 2017","Currency=INR","Period=FQ","BEST_FPERIOD_OVERRIDE=FQ","FILING_STATUS=OR","EQY_CONSOLIDATED=Y","Sort=A","Dates=H","DateFormat=P","Fill=—","Direction=H","UseDPDF=Y")</f>
        <v>#NAME?</v>
      </c>
      <c r="AY345" s="1" t="e">
        <f ca="1">_xll.BDH($C$328,"ACCOUNTS_PAYABLE_5_YEAR_GROWTH","FQ2 2017","FQ2 2017","Currency=INR","Period=FQ","BEST_FPERIOD_OVERRIDE=FQ","FILING_STATUS=OR","EQY_CONSOLIDATED=Y","Sort=A","Dates=H","DateFormat=P","Fill=—","Direction=H","UseDPDF=Y")</f>
        <v>#NAME?</v>
      </c>
      <c r="AZ345" s="1" t="e">
        <f ca="1">_xll.BDH($C$328,"SHORT_TERM_DEBT_5_YEAR_GROWTH","FQ2 2017","FQ2 2017","Currency=INR","Period=FQ","BEST_FPERIOD_OVERRIDE=FQ","FILING_STATUS=OR","EQY_CONSOLIDATED=Y","Sort=A","Dates=H","DateFormat=P","Fill=—","Direction=H","UseDPDF=Y")</f>
        <v>#NAME?</v>
      </c>
      <c r="BA345" s="1" t="e">
        <f ca="1">_xll.BDH($C$328,"TOTAL_DEBT_5_YEAR_GROWTH","FQ2 2017","FQ2 2017","Currency=INR","Period=FQ","BEST_FPERIOD_OVERRIDE=FQ","FILING_STATUS=OR","EQY_CONSOLIDATED=Y","Sort=A","Dates=H","DateFormat=P","Fill=—","Direction=H","UseDPDF=Y")</f>
        <v>#NAME?</v>
      </c>
      <c r="BB345" s="1" t="e">
        <f ca="1">_xll.BDH($C$328,"GEO_GROW_TOT_SHRHLDR_EQY","FQ2 2017","FQ2 2017","Currency=INR","Period=FQ","BEST_FPERIOD_OVERRIDE=FQ","FILING_STATUS=OR","EQY_CONSOLIDATED=Y","Sort=A","Dates=H","DateFormat=P","Fill=—","Direction=H","UseDPDF=Y")</f>
        <v>#NAME?</v>
      </c>
      <c r="BC345" s="1" t="e">
        <f ca="1">_xll.BDH($C$328,"TOTAL_CAPITAL_5_YEAR_GROWTH","FQ2 2017","FQ2 2017","Currency=INR","Period=FQ","BEST_FPERIOD_OVERRIDE=FQ","FILING_STATUS=OR","EQY_CONSOLIDATED=Y","Sort=A","Dates=H","DateFormat=P","Fill=—","Direction=H","UseDPDF=Y")</f>
        <v>#NAME?</v>
      </c>
      <c r="BD345" s="1" t="e">
        <f ca="1">_xll.BDH($C$328,"GEO_GROW_BOOK_VAL","FQ2 2017","FQ2 2017","Currency=INR","Period=FQ","BEST_FPERIOD_OVERRIDE=FQ","FILING_STATUS=OR","EQY_CONSOLIDATED=Y","Sort=A","Dates=H","DateFormat=P","Fill=—","Direction=H","UseDPDF=Y")</f>
        <v>#NAME?</v>
      </c>
      <c r="BE345" s="1" t="e">
        <f ca="1">_xll.BDH($C$328,"GEO_GROW_CASH_OPER_ACT","FQ2 2017","FQ2 2017","Currency=INR","Period=FQ","BEST_FPERIOD_OVERRIDE=FQ","FILING_STATUS=OR","EQY_CONSOLIDATED=Y","Sort=A","Dates=H","DateFormat=P","Fill=—","Direction=H","UseDPDF=Y")</f>
        <v>#NAME?</v>
      </c>
      <c r="BF345" s="1" t="e">
        <f ca="1">_xll.BDH($C$328,"REVENUE_SEQUENTIAL_GROWTH","FQ2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45" s="1" t="e">
        <f ca="1">_xll.BDH($C$328,"EBITDA_SEQUENTIAL_GROWTH","FQ2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45" s="1" t="e">
        <f ca="1">_xll.BDH($C$328,"OPERATING_INCOME_SEQ_GROWTH","FQ2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45" s="1" t="e">
        <f ca="1">_xll.BDH($C$328,"NET_INCOME_TO_COMMON_SEQ_GROWTH","FQ2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45" s="1" t="e">
        <f ca="1">_xll.BDH($C$328,"EPS_DILUTED_SEQUENTIAL_GROWTH","FQ2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45" s="1" t="e">
        <f ca="1">_xll.BDH($C$328,"DPS_SEQUENTIAL_GROWTH","FQ2 2017","FQ2 2017","Currency=INR","Period=FQ","BEST_FPERIOD_OVERRIDE=FQ","FILING_STATUS=OR","EQY_CONSOLIDATED=Y","Sort=A","Dates=H","DateFormat=P","Fill=—","Direction=H","UseDPDF=Y")</f>
        <v>#NAME?</v>
      </c>
      <c r="BL345" s="1" t="e">
        <f ca="1">_xll.BDH($C$328,"ACCOUNTS_RECEIVABLE_SEQ_GROWTH","FQ2 2017","FQ2 2017","Currency=INR","Period=FQ","BEST_FPERIOD_OVERRIDE=FQ","FILING_STATUS=OR","EQY_CONSOLIDATED=Y","Sort=A","Dates=H","DateFormat=P","Fill=—","Direction=H","UseDPDF=Y")</f>
        <v>#NAME?</v>
      </c>
      <c r="BM345" s="1" t="e">
        <f ca="1">_xll.BDH($C$328,"INVENTORY_SEQUENTIAL_GROWTH","FQ2 2017","FQ2 2017","Currency=INR","Period=FQ","BEST_FPERIOD_OVERRIDE=FQ","FILING_STATUS=OR","EQY_CONSOLIDATED=Y","Sort=A","Dates=H","DateFormat=P","Fill=—","Direction=H","UseDPDF=Y")</f>
        <v>#NAME?</v>
      </c>
      <c r="BN345" s="1" t="e">
        <f ca="1">_xll.BDH($C$328,"FIXED_ASSETS_SEQUENTIAL_GROWTH","FQ2 2017","FQ2 2017","Currency=INR","Period=FQ","BEST_FPERIOD_OVERRIDE=FQ","FILING_STATUS=OR","EQY_CONSOLIDATED=Y","Sort=A","Dates=H","DateFormat=P","Fill=—","Direction=H","UseDPDF=Y")</f>
        <v>#NAME?</v>
      </c>
      <c r="BO345" s="1" t="e">
        <f ca="1">_xll.BDH($C$328,"TOTAL_ASSETS_SEQUENTIAL_GROWTH","FQ2 2017","FQ2 2017","Currency=INR","Period=FQ","BEST_FPERIOD_OVERRIDE=FQ","FILING_STATUS=OR","EQY_CONSOLIDATED=Y","Sort=A","Dates=H","DateFormat=P","Fill=—","Direction=H","UseDPDF=Y")</f>
        <v>#NAME?</v>
      </c>
      <c r="BP345" s="1" t="e">
        <f ca="1">_xll.BDH($C$328,"MODIFIED_WORKING_CPTL_SEQ_GRWTH","FQ2 2017","FQ2 2017","Currency=INR","Period=FQ","BEST_FPERIOD_OVERRIDE=FQ","FILING_STATUS=OR","EQY_CONSOLIDATED=Y","Sort=A","Dates=H","DateFormat=P","Fill=—","Direction=H","UseDPDF=Y")</f>
        <v>#NAME?</v>
      </c>
      <c r="BQ345" s="1" t="e">
        <f ca="1">_xll.BDH($C$328,"WORKING_CAPITAL_SEQ_GROWTH","FQ2 2017","FQ2 2017","Currency=INR","Period=FQ","BEST_FPERIOD_OVERRIDE=FQ","FILING_STATUS=OR","EQY_CONSOLIDATED=Y","Sort=A","Dates=H","DateFormat=P","Fill=—","Direction=H","UseDPDF=Y")</f>
        <v>#NAME?</v>
      </c>
      <c r="BR345" s="1" t="e">
        <f ca="1">_xll.BDH($C$328,"ACCOUNTS_PAYABLE_SEQ_GROWTH","FQ2 2017","FQ2 2017","Currency=INR","Period=FQ","BEST_FPERIOD_OVERRIDE=FQ","FILING_STATUS=OR","EQY_CONSOLIDATED=Y","Sort=A","Dates=H","DateFormat=P","Fill=—","Direction=H","UseDPDF=Y")</f>
        <v>#NAME?</v>
      </c>
      <c r="BS345" s="1" t="e">
        <f ca="1">_xll.BDH($C$328,"ST_DEBT_SEQUENTIAL_GROWTH","FQ2 2017","FQ2 2017","Currency=INR","Period=FQ","BEST_FPERIOD_OVERRIDE=FQ","FILING_STATUS=OR","EQY_CONSOLIDATED=Y","Sort=A","Dates=H","DateFormat=P","Fill=—","Direction=H","UseDPDF=Y")</f>
        <v>#NAME?</v>
      </c>
      <c r="BT345" s="1" t="e">
        <f ca="1">_xll.BDH($C$328,"TOTAL_DEBT_SEQUENTIAL_GROWTH","FQ2 2017","FQ2 2017","Currency=INR","Period=FQ","BEST_FPERIOD_OVERRIDE=FQ","FILING_STATUS=OR","EQY_CONSOLIDATED=Y","Sort=A","Dates=H","DateFormat=P","Fill=—","Direction=H","UseDPDF=Y")</f>
        <v>#NAME?</v>
      </c>
      <c r="BU345" s="1" t="e">
        <f ca="1">_xll.BDH($C$328,"TOTAL_EQUITY_SEQUENTIAL_GROWTH","FQ2 2017","FQ2 2017","Currency=INR","Period=FQ","BEST_FPERIOD_OVERRIDE=FQ","FILING_STATUS=OR","EQY_CONSOLIDATED=Y","Sort=A","Dates=H","DateFormat=P","Fill=—","Direction=H","UseDPDF=Y")</f>
        <v>#NAME?</v>
      </c>
      <c r="BV345" s="1" t="e">
        <f ca="1">_xll.BDH($C$328,"TOTAL_CAPITAL_SEQUENTIAL_GROWTH","FQ2 2017","FQ2 2017","Currency=INR","Period=FQ","BEST_FPERIOD_OVERRIDE=FQ","FILING_STATUS=OR","EQY_CONSOLIDATED=Y","Sort=A","Dates=H","DateFormat=P","Fill=—","Direction=H","UseDPDF=Y")</f>
        <v>#NAME?</v>
      </c>
      <c r="BW345" s="1" t="e">
        <f ca="1">_xll.BDH($C$328,"BPS_SEQUENTIAL_GROWTH","FQ2 2017","FQ2 2017","Currency=INR","Period=FQ","BEST_FPERIOD_OVERRIDE=FQ","FILING_STATUS=OR","EQY_CONSOLIDATED=Y","Sort=A","Dates=H","DateFormat=P","Fill=—","Direction=H","UseDPDF=Y")</f>
        <v>#NAME?</v>
      </c>
      <c r="BX345" s="1" t="e">
        <f ca="1">_xll.BDH($C$328,"CFO_SEQUENTIAL_GROWTH","FQ2 2017","FQ2 2017","Currency=INR","Period=FQ","BEST_FPERIOD_OVERRIDE=FQ","FILING_STATUS=OR","EQY_CONSOLIDATED=Y","Sort=A","Dates=H","DateFormat=P","Fill=—","Direction=H","UseDPDF=Y")</f>
        <v>#NAME?</v>
      </c>
      <c r="BY345" s="2" t="e">
        <f ca="1">_xll.BDH($C$328,"SHORT_AND_LONG_TERM_DEBT","FQ2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45" s="2" t="e">
        <f ca="1">_xll.BDH($C$328,"BS_ST_BORROW","FQ2 2017","FQ2 2017","Currency=INR","Period=FQ","BEST_FPERIOD_OVERRIDE=FQ","FILING_STATUS=OR","EQY_CONSOLIDATED=Y","SCALING_FORMAT=MLN","Sort=A","Dates=H","DateFormat=P","Fill=—","Direction=H","UseDPDF=Y")</f>
        <v>#NAME?</v>
      </c>
      <c r="CA345" s="2" t="e">
        <f ca="1">_xll.BDH($C$328,"BS_LT_BORROW","FQ2 2017","FQ2 2017","Currency=INR","Period=FQ","BEST_FPERIOD_OVERRIDE=FQ","FILING_STATUS=OR","EQY_CONSOLIDATED=Y","SCALING_FORMAT=MLN","Sort=A","Dates=H","DateFormat=P","Fill=—","Direction=H","UseDPDF=Y")</f>
        <v>#NAME?</v>
      </c>
      <c r="CB345" s="1" t="e">
        <f ca="1">_xll.BDH($C$328,"TOT_DEBT_TO_EBITDA","FQ2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45" s="1" t="e">
        <f ca="1">_xll.BDH($C$328,"NET_DEBT_TO_EBITDA","FQ2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45" s="1" t="e">
        <f ca="1">_xll.BDH($C$328,"TOTAL_DEBT_TO_EBIT","FQ2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45" s="1" t="e">
        <f ca="1">_xll.BDH($C$328,"NET_DEBT_TO_EBIT","FQ2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345" s="1" t="e">
        <f ca="1">_xll.BDH($C$328,"EBITDA_TO_INTEREST_EXPN","FQ2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45" s="1" t="e">
        <f ca="1">_xll.BDH($C$328,"COM_EQY_TO_TOT_ASSET","FQ2 2017","FQ2 2017","Currency=INR","Period=FQ","BEST_FPERIOD_OVERRIDE=FQ","FILING_STATUS=OR","EQY_CONSOLIDATED=Y","Sort=A","Dates=H","DateFormat=P","Fill=—","Direction=H","UseDPDF=Y")</f>
        <v>#NAME?</v>
      </c>
      <c r="CH345" s="1" t="e">
        <f ca="1">_xll.BDH($C$328,"LT_DEBT_TO_TOT_EQY","FQ2 2017","FQ2 2017","Currency=INR","Period=FQ","BEST_FPERIOD_OVERRIDE=FQ","FILING_STATUS=OR","EQY_CONSOLIDATED=Y","Sort=A","Dates=H","DateFormat=P","Fill=—","Direction=H","UseDPDF=Y")</f>
        <v>#NAME?</v>
      </c>
      <c r="CI345" s="1" t="e">
        <f ca="1">_xll.BDH($C$328,"LT_DEBT_TO_TOT_CAP","FQ2 2017","FQ2 2017","Currency=INR","Period=FQ","BEST_FPERIOD_OVERRIDE=FQ","FILING_STATUS=OR","EQY_CONSOLIDATED=Y","Sort=A","Dates=H","DateFormat=P","Fill=—","Direction=H","UseDPDF=Y")</f>
        <v>#NAME?</v>
      </c>
      <c r="CJ345" s="1" t="e">
        <f ca="1">_xll.BDH($C$328,"LT_DEBT_TO_TOT_ASSET","FQ2 2017","FQ2 2017","Currency=INR","Period=FQ","BEST_FPERIOD_OVERRIDE=FQ","FILING_STATUS=OR","EQY_CONSOLIDATED=Y","Sort=A","Dates=H","DateFormat=P","Fill=—","Direction=H","UseDPDF=Y")</f>
        <v>#NAME?</v>
      </c>
      <c r="CK345" s="1" t="e">
        <f ca="1">_xll.BDH($C$328,"TOT_DEBT_TO_TOT_EQY","FQ2 2017","FQ2 2017","Currency=INR","Period=FQ","BEST_FPERIOD_OVERRIDE=FQ","FILING_STATUS=OR","EQY_CONSOLIDATED=Y","Sort=A","Dates=H","DateFormat=P","Fill=—","Direction=H","UseDPDF=Y")</f>
        <v>#NAME?</v>
      </c>
      <c r="CL345" s="1" t="e">
        <f ca="1">_xll.BDH($C$328,"TOT_DEBT_TO_TOT_CAP","FQ2 2017","FQ2 2017","Currency=INR","Period=FQ","BEST_FPERIOD_OVERRIDE=FQ","FILING_STATUS=OR","EQY_CONSOLIDATED=Y","Sort=A","Dates=H","DateFormat=P","Fill=—","Direction=H","UseDPDF=Y")</f>
        <v>#NAME?</v>
      </c>
      <c r="CM345" s="1" t="e">
        <f ca="1">_xll.BDH($C$328,"TOT_DEBT_TO_TOT_ASSET","FQ2 2017","FQ2 2017","Currency=INR","Period=FQ","BEST_FPERIOD_OVERRIDE=FQ","FILING_STATUS=OR","EQY_CONSOLIDATED=Y","Sort=A","Dates=H","DateFormat=P","Fill=—","Direction=H","UseDPDF=Y")</f>
        <v>#NAME?</v>
      </c>
      <c r="CN345" s="1" t="e">
        <f ca="1">_xll.BDH($C$328,"NET_DEBT_TO_SHRHLDR_EQTY","FQ2 2017","FQ2 2017","Currency=INR","Period=FQ","BEST_FPERIOD_OVERRIDE=FQ","FILING_STATUS=OR","EQY_CONSOLIDATED=Y","Sort=A","Dates=H","DateFormat=P","Fill=—","Direction=H","UseDPDF=Y")</f>
        <v>#NAME?</v>
      </c>
      <c r="CO345" s="1" t="e">
        <f ca="1">_xll.BDH($C$328,"NET_DEBT_%_CAPITAL","FQ2 2017","FQ2 2017","Currency=INR","Period=FQ","BEST_FPERIOD_OVERRIDE=FQ","FILING_STATUS=OR","EQY_CONSOLIDATED=Y","Sort=A","Dates=H","DateFormat=P","Fill=—","Direction=H","UseDPDF=Y")</f>
        <v>#NAME?</v>
      </c>
      <c r="CP345" s="2" t="e">
        <f ca="1">_xll.BDH($C$328,"EBITDA","FQ2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45" s="2" t="e">
        <f ca="1">_xll.BDH($C$328,"EBITDA_AFTER_CAPEX","FQ2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45" s="2" t="e">
        <f ca="1">_xll.BDH($C$328,"IS_OPER_INC","FQ2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45" s="1" t="e">
        <f ca="1">_xll.BDH($C$328,"CASH_RATIO","FQ2 2017","FQ2 2017","Currency=INR","Period=FQ","BEST_FPERIOD_OVERRIDE=FQ","FILING_STATUS=OR","EQY_CONSOLIDATED=Y","Sort=A","Dates=H","DateFormat=P","Fill=—","Direction=H","UseDPDF=Y")</f>
        <v>#NAME?</v>
      </c>
      <c r="CT345" s="1" t="e">
        <f ca="1">_xll.BDH($C$328,"CUR_RATIO","FQ2 2017","FQ2 2017","Currency=INR","Period=FQ","BEST_FPERIOD_OVERRIDE=FQ","FILING_STATUS=OR","EQY_CONSOLIDATED=Y","Sort=A","Dates=H","DateFormat=P","Fill=—","Direction=H","UseDPDF=Y")</f>
        <v>#NAME?</v>
      </c>
      <c r="CU345" s="1" t="e">
        <f ca="1">_xll.BDH($C$328,"QUICK_RATIO","FQ2 2017","FQ2 2017","Currency=INR","Period=FQ","BEST_FPERIOD_OVERRIDE=FQ","FILING_STATUS=OR","EQY_CONSOLIDATED=Y","Sort=A","Dates=H","DateFormat=P","Fill=—","Direction=H","UseDPDF=Y")</f>
        <v>#NAME?</v>
      </c>
      <c r="CV345" s="1" t="e">
        <f ca="1">_xll.BDH($C$328,"ALTMAN_Z_SCORE","FQ2 2017","FQ2 2017","Currency=INR","Period=FQ","BEST_FPERIOD_OVERRIDE=FQ","FILING_STATUS=OR","EQY_CONSOLIDATED=Y","Sort=A","Dates=H","DateFormat=P","Fill=—","Direction=H","UseDPDF=Y")</f>
        <v>#NAME?</v>
      </c>
      <c r="CW345" s="3" t="e">
        <f ca="1">_xll.BDH($C$328,"ACCT_RCV_TURN","FQ2 2017","FQ2 2017","Currency=INR","Period=FQ","BEST_FPERIOD_OVERRIDE=FQ","FILING_STATUS=OR","EQY_CONSOLIDATED=Y","FA_ADJUSTED=GAAP","Sort=A","Dates=H","DateFormat=P","Fill=—","Direction=H","UseDPDF=Y")</f>
        <v>#NAME?</v>
      </c>
      <c r="CX345" s="1" t="e">
        <f ca="1">_xll.BDH($C$328,"ACCT_RCV_DAYS","FQ2 2017","FQ2 2017","Currency=INR","Period=FQ","BEST_FPERIOD_OVERRIDE=FQ","FILING_STATUS=OR","EQY_CONSOLIDATED=Y","FA_ADJUSTED=GAAP","Sort=A","Dates=H","DateFormat=P","Fill=—","Direction=H","UseDPDF=Y")</f>
        <v>#NAME?</v>
      </c>
      <c r="CY345" s="3" t="e">
        <f ca="1">_xll.BDH($C$328,"INVENT_TURN","FQ2 2017","FQ2 2017","Currency=INR","Period=FQ","BEST_FPERIOD_OVERRIDE=FQ","FILING_STATUS=OR","EQY_CONSOLIDATED=Y","FA_ADJUSTED=GAAP","Sort=A","Dates=H","DateFormat=P","Fill=—","Direction=H","UseDPDF=Y")</f>
        <v>#NAME?</v>
      </c>
      <c r="CZ345" s="1" t="e">
        <f ca="1">_xll.BDH($C$328,"INVENT_DAYS","FQ2 2017","FQ2 2017","Currency=INR","Period=FQ","BEST_FPERIOD_OVERRIDE=FQ","FILING_STATUS=OR","EQY_CONSOLIDATED=Y","FA_ADJUSTED=GAAP","Sort=A","Dates=H","DateFormat=P","Fill=—","Direction=H","UseDPDF=Y")</f>
        <v>#NAME?</v>
      </c>
      <c r="DA345" s="3" t="e">
        <f ca="1">_xll.BDH($C$328,"ACCOUNTS_PAYABLE_TURNOVER","FQ2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45" s="1" t="e">
        <f ca="1">_xll.BDH($C$328,"ACCOUNTS_PAYABLE_TURNOVER_DAYS","FQ2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45" s="3" t="e">
        <f ca="1">_xll.BDH($C$328,"CASH_CONVERSION_CYCLE","FQ2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45" s="3" t="e">
        <f ca="1">_xll.BDH($C$328,"INV_TO_CASH_DAYS","FQ2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345" s="4" t="e">
        <f ca="1">_xll.BDH($C$328,"BS_INVENTORIES","FQ2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345" s="2" t="e">
        <f ca="1">_xll.BDH($C$328,"INVTRY_RAW_MATERIALS","FQ2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45" s="2" t="e">
        <f ca="1">_xll.BDH($C$328,"INVTRY_IN_PROGRESS","FQ2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45" s="2" t="e">
        <f ca="1">_xll.BDH($C$328,"INVTRY_FINISHED_GOODS","FQ2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45" s="2" t="e">
        <f ca="1">_xll.BDH($C$328,"BS_OTHER_INV","FQ2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46" spans="1:113" x14ac:dyDescent="0.3">
      <c r="A346" s="6"/>
      <c r="B346" s="6"/>
      <c r="C346" s="6"/>
      <c r="D346" s="6"/>
      <c r="E346" t="s">
        <v>6</v>
      </c>
      <c r="F346" t="e">
        <f ca="1">_xll.BDH($C$328,"RETURN_COM_EQY","FQ3 2017","FQ3 2017","Currency=INR","Period=FQ","BEST_FPERIOD_OVERRIDE=FQ","FILING_STATUS=OR","EQY_CONSOLIDATED=Y","FA_ADJUSTED=GAAP","Sort=A","Dates=H","DateFormat=P","Fill=—","Direction=H","UseDPDF=Y")</f>
        <v>#NAME?</v>
      </c>
      <c r="G346" t="e">
        <f ca="1">_xll.BDH($C$328,"RETURN_ON_ASSET","FQ3 2017","FQ3 2017","Currency=INR","Period=FQ","BEST_FPERIOD_OVERRIDE=FQ","FILING_STATUS=OR","EQY_CONSOLIDATED=Y","FA_ADJUSTED=GAAP","Sort=A","Dates=H","DateFormat=P","Fill=—","Direction=H","UseDPDF=Y")</f>
        <v>#NAME?</v>
      </c>
      <c r="H346" t="e">
        <f ca="1">_xll.BDH($C$328,"RETURN_ON_CAP","FQ3 2017","FQ3 2017","Currency=INR","Period=FQ","BEST_FPERIOD_OVERRIDE=FQ","FILING_STATUS=OR","EQY_CONSOLIDATED=Y","FA_ADJUSTED=GAAP","Sort=A","Dates=H","DateFormat=P","Fill=—","Direction=H","UseDPDF=Y")</f>
        <v>#NAME?</v>
      </c>
      <c r="I346" t="e">
        <f ca="1">_xll.BDH($C$328,"RETURN_ON_INV_CAPITAL","FQ3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46" t="e">
        <f ca="1">_xll.BDH($C$328,"EBITDA_TO_REVENUE","FQ3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346" t="e">
        <f ca="1">_xll.BDH($C$328,"OPER_MARGIN","FQ3 2017","FQ3 2017","Currency=INR","Period=FQ","BEST_FPERIOD_OVERRIDE=FQ","FILING_STATUS=OR","EQY_CONSOLIDATED=Y","FA_ADJUSTED=GAAP","Sort=A","Dates=H","DateFormat=P","Fill=—","Direction=H","UseDPDF=Y")</f>
        <v>#NAME?</v>
      </c>
      <c r="L346" t="e">
        <f ca="1">_xll.BDH($C$328,"INCREMENTAL_OPERATING_MARGIN","FQ3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46" t="e">
        <f ca="1">_xll.BDH($C$328,"PRETAX_INC_TO_NET_SALES","FQ3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46" t="e">
        <f ca="1">_xll.BDH($C$328,"INC_BEF_XO_ITEMS_TO_NET_SALES","FQ3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46" t="e">
        <f ca="1">_xll.BDH($C$328,"PROF_MARGIN","FQ3 2017","FQ3 2017","Currency=INR","Period=FQ","BEST_FPERIOD_OVERRIDE=FQ","FILING_STATUS=OR","EQY_CONSOLIDATED=Y","FA_ADJUSTED=GAAP","Sort=A","Dates=H","DateFormat=P","Fill=—","Direction=H","UseDPDF=Y")</f>
        <v>#NAME?</v>
      </c>
      <c r="P346" t="e">
        <f ca="1">_xll.BDH($C$328,"NET_INCOME_TO_COMMON_MARGIN","FQ3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46" t="e">
        <f ca="1">_xll.BDH($C$328,"EFF_TAX_RATE","FQ3 2017","FQ3 2017","Currency=INR","Period=FQ","BEST_FPERIOD_OVERRIDE=FQ","FILING_STATUS=OR","EQY_CONSOLIDATED=Y","FA_ADJUSTED=GAAP","Sort=A","Dates=H","DateFormat=P","Fill=—","Direction=H","UseDPDF=Y")</f>
        <v>#NAME?</v>
      </c>
      <c r="R346" t="e">
        <f ca="1">_xll.BDH($C$328,"DVD_PAYOUT_RATIO","FQ3 2017","FQ3 2017","Currency=INR","Period=FQ","BEST_FPERIOD_OVERRIDE=FQ","FILING_STATUS=OR","EQY_CONSOLIDATED=Y","FA_ADJUSTED=GAAP","Sort=A","Dates=H","DateFormat=P","Fill=—","Direction=H","UseDPDF=Y")</f>
        <v>#NAME?</v>
      </c>
      <c r="S346" t="e">
        <f ca="1">_xll.BDH($C$328,"SUSTAIN_GROWTH_RT","FQ3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346" s="1" t="e">
        <f ca="1">_xll.BDH($C$328,"SALES_GROWTH","FQ3 2017","FQ3 2017","Currency=INR","Period=FQ","BEST_FPERIOD_OVERRIDE=FQ","FILING_STATUS=OR","EQY_CONSOLIDATED=Y","FA_ADJUSTED=GAAP","Sort=A","Dates=H","DateFormat=P","Fill=—","Direction=H","UseDPDF=Y")</f>
        <v>#NAME?</v>
      </c>
      <c r="U346" s="1" t="e">
        <f ca="1">_xll.BDH($C$328,"EBITDA_GROWTH","FQ3 2017","FQ3 2017","Currency=INR","Period=FQ","BEST_FPERIOD_OVERRIDE=FQ","FILING_STATUS=OR","EQY_CONSOLIDATED=Y","FA_ADJUSTED=GAAP","Sort=A","Dates=H","DateFormat=P","Fill=—","Direction=H","UseDPDF=Y")</f>
        <v>#NAME?</v>
      </c>
      <c r="V346" s="1" t="e">
        <f ca="1">_xll.BDH($C$328,"OPER_INC_GROWTH","FQ3 2017","FQ3 2017","Currency=INR","Period=FQ","BEST_FPERIOD_OVERRIDE=FQ","FILING_STATUS=OR","EQY_CONSOLIDATED=Y","FA_ADJUSTED=GAAP","Sort=A","Dates=H","DateFormat=P","Fill=—","Direction=H","UseDPDF=Y")</f>
        <v>#NAME?</v>
      </c>
      <c r="W346" s="1" t="e">
        <f ca="1">_xll.BDH($C$328,"EARN_FOR_COM_GROWTH","FQ3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46" s="1" t="e">
        <f ca="1">_xll.BDH($C$328,"DILUTED_EPS_AFT_XO_ITEMS_GROWTH","FQ3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46" s="1" t="e">
        <f ca="1">_xll.BDH($C$328,"DIVIDEND_PER_SHARE_1_YEAR_GROWTH","FQ3 2017","FQ3 2017","Currency=INR","Period=FQ","BEST_FPERIOD_OVERRIDE=FQ","FILING_STATUS=OR","EQY_CONSOLIDATED=Y","Sort=A","Dates=H","DateFormat=P","Fill=—","Direction=H","UseDPDF=Y")</f>
        <v>#NAME?</v>
      </c>
      <c r="Z346" s="1" t="e">
        <f ca="1">_xll.BDH($C$328,"ACCOUNTS_RECEIVABLE_GROWTH","FQ3 2017","FQ3 2017","Currency=INR","Period=FQ","BEST_FPERIOD_OVERRIDE=FQ","FILING_STATUS=OR","EQY_CONSOLIDATED=Y","Sort=A","Dates=H","DateFormat=P","Fill=—","Direction=H","UseDPDF=Y")</f>
        <v>#NAME?</v>
      </c>
      <c r="AA346" s="1" t="e">
        <f ca="1">_xll.BDH($C$328,"INVENTORY_GROWTH","FQ3 2017","FQ3 2017","Currency=INR","Period=FQ","BEST_FPERIOD_OVERRIDE=FQ","FILING_STATUS=OR","EQY_CONSOLIDATED=Y","Sort=A","Dates=H","DateFormat=P","Fill=—","Direction=H","UseDPDF=Y")</f>
        <v>#NAME?</v>
      </c>
      <c r="AB346" s="1" t="e">
        <f ca="1">_xll.BDH($C$328,"NET_FIXED_ASSETS_1_YEAR_GROWTH","FQ3 2017","FQ3 2017","Currency=INR","Period=FQ","BEST_FPERIOD_OVERRIDE=FQ","FILING_STATUS=OR","EQY_CONSOLIDATED=Y","Sort=A","Dates=H","DateFormat=P","Fill=—","Direction=H","UseDPDF=Y")</f>
        <v>#NAME?</v>
      </c>
      <c r="AC346" s="1" t="e">
        <f ca="1">_xll.BDH($C$328,"ASSET_GROWTH","FQ3 2017","FQ3 2017","Currency=INR","Period=FQ","BEST_FPERIOD_OVERRIDE=FQ","FILING_STATUS=OR","EQY_CONSOLIDATED=Y","Sort=A","Dates=H","DateFormat=P","Fill=—","Direction=H","UseDPDF=Y")</f>
        <v>#NAME?</v>
      </c>
      <c r="AD346" s="1" t="e">
        <f ca="1">_xll.BDH($C$328,"MODIFIED_WORK_CAP_GROWTH","FQ3 2017","FQ3 2017","Currency=INR","Period=FQ","BEST_FPERIOD_OVERRIDE=FQ","FILING_STATUS=OR","EQY_CONSOLIDATED=Y","Sort=A","Dates=H","DateFormat=P","Fill=—","Direction=H","UseDPDF=Y")</f>
        <v>#NAME?</v>
      </c>
      <c r="AE346" s="1" t="e">
        <f ca="1">_xll.BDH($C$328,"WORK_CAP_GROWTH","FQ3 2017","FQ3 2017","Currency=INR","Period=FQ","BEST_FPERIOD_OVERRIDE=FQ","FILING_STATUS=OR","EQY_CONSOLIDATED=Y","Sort=A","Dates=H","DateFormat=P","Fill=—","Direction=H","UseDPDF=Y")</f>
        <v>#NAME?</v>
      </c>
      <c r="AF346" s="1" t="e">
        <f ca="1">_xll.BDH($C$328,"ACCOUNTS_PAYABLE_GROWTH_1YR","FQ3 2017","FQ3 2017","Currency=INR","Period=FQ","BEST_FPERIOD_OVERRIDE=FQ","FILING_STATUS=OR","EQY_CONSOLIDATED=Y","Sort=A","Dates=H","DateFormat=P","Fill=—","Direction=H","UseDPDF=Y")</f>
        <v>#NAME?</v>
      </c>
      <c r="AG346" s="1" t="e">
        <f ca="1">_xll.BDH($C$328,"SHORT_TERM_DEBT_1_YEAR_GROWTH","FQ3 2017","FQ3 2017","Currency=INR","Period=FQ","BEST_FPERIOD_OVERRIDE=FQ","FILING_STATUS=OR","EQY_CONSOLIDATED=Y","Sort=A","Dates=H","DateFormat=P","Fill=—","Direction=H","UseDPDF=Y")</f>
        <v>#NAME?</v>
      </c>
      <c r="AH346" s="1" t="e">
        <f ca="1">_xll.BDH($C$328,"TOTAL_DEBT_1_YEAR_GROWTH","FQ3 2017","FQ3 2017","Currency=INR","Period=FQ","BEST_FPERIOD_OVERRIDE=FQ","FILING_STATUS=OR","EQY_CONSOLIDATED=Y","Sort=A","Dates=H","DateFormat=P","Fill=—","Direction=H","UseDPDF=Y")</f>
        <v>#NAME?</v>
      </c>
      <c r="AI346" s="1" t="e">
        <f ca="1">_xll.BDH($C$328,"TOTAL_EQUITY_1_YEAR_GROWTH","FQ3 2017","FQ3 2017","Currency=INR","Period=FQ","BEST_FPERIOD_OVERRIDE=FQ","FILING_STATUS=OR","EQY_CONSOLIDATED=Y","Sort=A","Dates=H","DateFormat=P","Fill=—","Direction=H","UseDPDF=Y")</f>
        <v>#NAME?</v>
      </c>
      <c r="AJ346" s="1" t="e">
        <f ca="1">_xll.BDH($C$328,"GROWTH_IN_CAP","FQ3 2017","FQ3 2017","Currency=INR","Period=FQ","BEST_FPERIOD_OVERRIDE=FQ","FILING_STATUS=OR","EQY_CONSOLIDATED=Y","Sort=A","Dates=H","DateFormat=P","Fill=—","Direction=H","UseDPDF=Y")</f>
        <v>#NAME?</v>
      </c>
      <c r="AK346" s="1" t="e">
        <f ca="1">_xll.BDH($C$328,"BVPS_GROWTH","FQ3 2017","FQ3 2017","Currency=INR","Period=FQ","BEST_FPERIOD_OVERRIDE=FQ","FILING_STATUS=OR","EQY_CONSOLIDATED=Y","Sort=A","Dates=H","DateFormat=P","Fill=—","Direction=H","UseDPDF=Y")</f>
        <v>#NAME?</v>
      </c>
      <c r="AL346" s="1" t="e">
        <f ca="1">_xll.BDH($C$328,"CASH_FLOW_GROWTH","FQ3 2017","FQ3 2017","Currency=INR","Period=FQ","BEST_FPERIOD_OVERRIDE=FQ","FILING_STATUS=OR","EQY_CONSOLIDATED=Y","Sort=A","Dates=H","DateFormat=P","Fill=—","Direction=H","UseDPDF=Y")</f>
        <v>#NAME?</v>
      </c>
      <c r="AM346" s="1" t="e">
        <f ca="1">_xll.BDH($C$328,"GEO_GROW_NET_SALES","FQ3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46" s="1" t="e">
        <f ca="1">_xll.BDH($C$328,"GEO_GROW_EBITDA","FQ3 2017","FQ3 2017","Currency=INR","Period=FQ","BEST_FPERIOD_OVERRIDE=FQ","FILING_STATUS=OR","EQY_CONSOLIDATED=Y","FA_ADJUSTED=GAAP","Sort=A","Dates=H","DateFormat=P","Fill=—","Direction=H","UseDPDF=Y")</f>
        <v>#NAME?</v>
      </c>
      <c r="AO346" s="1" t="e">
        <f ca="1">_xll.BDH($C$328,"GEO_GROW_OPER_INC","FQ3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46" s="1" t="e">
        <f ca="1">_xll.BDH($C$328,"NET_INCOME_TO_COMMON_5_YR_GROWTH","FQ3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46" s="1" t="e">
        <f ca="1">_xll.BDH($C$328,"5Y_GEO_GROWTH_DILUTED_EPS","FQ3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46" s="1" t="e">
        <f ca="1">_xll.BDH($C$328,"GEO_GROW_DVD_PER_SH","FQ3 2017","FQ3 2017","Currency=INR","Period=FQ","BEST_FPERIOD_OVERRIDE=FQ","FILING_STATUS=OR","EQY_CONSOLIDATED=Y","Sort=A","Dates=H","DateFormat=P","Fill=—","Direction=H","UseDPDF=Y")</f>
        <v>#NAME?</v>
      </c>
      <c r="AS346" s="1" t="e">
        <f ca="1">_xll.BDH($C$328,"ACCOUNTS_RECEIVABLE_5_YR_GROWTH","FQ3 2017","FQ3 2017","Currency=INR","Period=FQ","BEST_FPERIOD_OVERRIDE=FQ","FILING_STATUS=OR","EQY_CONSOLIDATED=Y","Sort=A","Dates=H","DateFormat=P","Fill=—","Direction=H","UseDPDF=Y")</f>
        <v>#NAME?</v>
      </c>
      <c r="AT346" s="1" t="e">
        <f ca="1">_xll.BDH($C$328,"INVENTORY_5_YEAR_GROWTH","FQ3 2017","FQ3 2017","Currency=INR","Period=FQ","BEST_FPERIOD_OVERRIDE=FQ","FILING_STATUS=OR","EQY_CONSOLIDATED=Y","Sort=A","Dates=H","DateFormat=P","Fill=—","Direction=H","UseDPDF=Y")</f>
        <v>#NAME?</v>
      </c>
      <c r="AU346" s="1" t="e">
        <f ca="1">_xll.BDH($C$328,"NET_FIXED_ASSETS_5_YEAR_GROWTH","FQ3 2017","FQ3 2017","Currency=INR","Period=FQ","BEST_FPERIOD_OVERRIDE=FQ","FILING_STATUS=OR","EQY_CONSOLIDATED=Y","Sort=A","Dates=H","DateFormat=P","Fill=—","Direction=H","UseDPDF=Y")</f>
        <v>#NAME?</v>
      </c>
      <c r="AV346" s="1" t="e">
        <f ca="1">_xll.BDH($C$328,"GEO_GROW_TOT_ASSET","FQ3 2017","FQ3 2017","Currency=INR","Period=FQ","BEST_FPERIOD_OVERRIDE=FQ","FILING_STATUS=OR","EQY_CONSOLIDATED=Y","Sort=A","Dates=H","DateFormat=P","Fill=—","Direction=H","UseDPDF=Y")</f>
        <v>#NAME?</v>
      </c>
      <c r="AW346" s="1" t="e">
        <f ca="1">_xll.BDH($C$328,"MODIFIED_WORKING_CPTL_5YR_GRWTH","FQ3 2017","FQ3 2017","Currency=INR","Period=FQ","BEST_FPERIOD_OVERRIDE=FQ","FILING_STATUS=OR","EQY_CONSOLIDATED=Y","Sort=A","Dates=H","DateFormat=P","Fill=—","Direction=H","UseDPDF=Y")</f>
        <v>#NAME?</v>
      </c>
      <c r="AX346" s="1" t="e">
        <f ca="1">_xll.BDH($C$328,"WORKING_CAPITAL_5_YEAR_GROWTH","FQ3 2017","FQ3 2017","Currency=INR","Period=FQ","BEST_FPERIOD_OVERRIDE=FQ","FILING_STATUS=OR","EQY_CONSOLIDATED=Y","Sort=A","Dates=H","DateFormat=P","Fill=—","Direction=H","UseDPDF=Y")</f>
        <v>#NAME?</v>
      </c>
      <c r="AY346" s="1" t="e">
        <f ca="1">_xll.BDH($C$328,"ACCOUNTS_PAYABLE_5_YEAR_GROWTH","FQ3 2017","FQ3 2017","Currency=INR","Period=FQ","BEST_FPERIOD_OVERRIDE=FQ","FILING_STATUS=OR","EQY_CONSOLIDATED=Y","Sort=A","Dates=H","DateFormat=P","Fill=—","Direction=H","UseDPDF=Y")</f>
        <v>#NAME?</v>
      </c>
      <c r="AZ346" s="1" t="e">
        <f ca="1">_xll.BDH($C$328,"SHORT_TERM_DEBT_5_YEAR_GROWTH","FQ3 2017","FQ3 2017","Currency=INR","Period=FQ","BEST_FPERIOD_OVERRIDE=FQ","FILING_STATUS=OR","EQY_CONSOLIDATED=Y","Sort=A","Dates=H","DateFormat=P","Fill=—","Direction=H","UseDPDF=Y")</f>
        <v>#NAME?</v>
      </c>
      <c r="BA346" s="1" t="e">
        <f ca="1">_xll.BDH($C$328,"TOTAL_DEBT_5_YEAR_GROWTH","FQ3 2017","FQ3 2017","Currency=INR","Period=FQ","BEST_FPERIOD_OVERRIDE=FQ","FILING_STATUS=OR","EQY_CONSOLIDATED=Y","Sort=A","Dates=H","DateFormat=P","Fill=—","Direction=H","UseDPDF=Y")</f>
        <v>#NAME?</v>
      </c>
      <c r="BB346" s="1" t="e">
        <f ca="1">_xll.BDH($C$328,"GEO_GROW_TOT_SHRHLDR_EQY","FQ3 2017","FQ3 2017","Currency=INR","Period=FQ","BEST_FPERIOD_OVERRIDE=FQ","FILING_STATUS=OR","EQY_CONSOLIDATED=Y","Sort=A","Dates=H","DateFormat=P","Fill=—","Direction=H","UseDPDF=Y")</f>
        <v>#NAME?</v>
      </c>
      <c r="BC346" s="1" t="e">
        <f ca="1">_xll.BDH($C$328,"TOTAL_CAPITAL_5_YEAR_GROWTH","FQ3 2017","FQ3 2017","Currency=INR","Period=FQ","BEST_FPERIOD_OVERRIDE=FQ","FILING_STATUS=OR","EQY_CONSOLIDATED=Y","Sort=A","Dates=H","DateFormat=P","Fill=—","Direction=H","UseDPDF=Y")</f>
        <v>#NAME?</v>
      </c>
      <c r="BD346" s="1" t="e">
        <f ca="1">_xll.BDH($C$328,"GEO_GROW_BOOK_VAL","FQ3 2017","FQ3 2017","Currency=INR","Period=FQ","BEST_FPERIOD_OVERRIDE=FQ","FILING_STATUS=OR","EQY_CONSOLIDATED=Y","Sort=A","Dates=H","DateFormat=P","Fill=—","Direction=H","UseDPDF=Y")</f>
        <v>#NAME?</v>
      </c>
      <c r="BE346" s="1" t="e">
        <f ca="1">_xll.BDH($C$328,"GEO_GROW_CASH_OPER_ACT","FQ3 2017","FQ3 2017","Currency=INR","Period=FQ","BEST_FPERIOD_OVERRIDE=FQ","FILING_STATUS=OR","EQY_CONSOLIDATED=Y","Sort=A","Dates=H","DateFormat=P","Fill=—","Direction=H","UseDPDF=Y")</f>
        <v>#NAME?</v>
      </c>
      <c r="BF346" s="1" t="e">
        <f ca="1">_xll.BDH($C$328,"REVENUE_SEQUENTIAL_GROWTH","FQ3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46" s="1" t="e">
        <f ca="1">_xll.BDH($C$328,"EBITDA_SEQUENTIAL_GROWTH","FQ3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46" s="1" t="e">
        <f ca="1">_xll.BDH($C$328,"OPERATING_INCOME_SEQ_GROWTH","FQ3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46" s="1" t="e">
        <f ca="1">_xll.BDH($C$328,"NET_INCOME_TO_COMMON_SEQ_GROWTH","FQ3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46" s="1" t="e">
        <f ca="1">_xll.BDH($C$328,"EPS_DILUTED_SEQUENTIAL_GROWTH","FQ3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46" s="1" t="e">
        <f ca="1">_xll.BDH($C$328,"DPS_SEQUENTIAL_GROWTH","FQ3 2017","FQ3 2017","Currency=INR","Period=FQ","BEST_FPERIOD_OVERRIDE=FQ","FILING_STATUS=OR","EQY_CONSOLIDATED=Y","Sort=A","Dates=H","DateFormat=P","Fill=—","Direction=H","UseDPDF=Y")</f>
        <v>#NAME?</v>
      </c>
      <c r="BL346" s="1" t="e">
        <f ca="1">_xll.BDH($C$328,"ACCOUNTS_RECEIVABLE_SEQ_GROWTH","FQ3 2017","FQ3 2017","Currency=INR","Period=FQ","BEST_FPERIOD_OVERRIDE=FQ","FILING_STATUS=OR","EQY_CONSOLIDATED=Y","Sort=A","Dates=H","DateFormat=P","Fill=—","Direction=H","UseDPDF=Y")</f>
        <v>#NAME?</v>
      </c>
      <c r="BM346" s="1" t="e">
        <f ca="1">_xll.BDH($C$328,"INVENTORY_SEQUENTIAL_GROWTH","FQ3 2017","FQ3 2017","Currency=INR","Period=FQ","BEST_FPERIOD_OVERRIDE=FQ","FILING_STATUS=OR","EQY_CONSOLIDATED=Y","Sort=A","Dates=H","DateFormat=P","Fill=—","Direction=H","UseDPDF=Y")</f>
        <v>#NAME?</v>
      </c>
      <c r="BN346" s="1" t="e">
        <f ca="1">_xll.BDH($C$328,"FIXED_ASSETS_SEQUENTIAL_GROWTH","FQ3 2017","FQ3 2017","Currency=INR","Period=FQ","BEST_FPERIOD_OVERRIDE=FQ","FILING_STATUS=OR","EQY_CONSOLIDATED=Y","Sort=A","Dates=H","DateFormat=P","Fill=—","Direction=H","UseDPDF=Y")</f>
        <v>#NAME?</v>
      </c>
      <c r="BO346" s="1" t="e">
        <f ca="1">_xll.BDH($C$328,"TOTAL_ASSETS_SEQUENTIAL_GROWTH","FQ3 2017","FQ3 2017","Currency=INR","Period=FQ","BEST_FPERIOD_OVERRIDE=FQ","FILING_STATUS=OR","EQY_CONSOLIDATED=Y","Sort=A","Dates=H","DateFormat=P","Fill=—","Direction=H","UseDPDF=Y")</f>
        <v>#NAME?</v>
      </c>
      <c r="BP346" s="1" t="e">
        <f ca="1">_xll.BDH($C$328,"MODIFIED_WORKING_CPTL_SEQ_GRWTH","FQ3 2017","FQ3 2017","Currency=INR","Period=FQ","BEST_FPERIOD_OVERRIDE=FQ","FILING_STATUS=OR","EQY_CONSOLIDATED=Y","Sort=A","Dates=H","DateFormat=P","Fill=—","Direction=H","UseDPDF=Y")</f>
        <v>#NAME?</v>
      </c>
      <c r="BQ346" s="1" t="e">
        <f ca="1">_xll.BDH($C$328,"WORKING_CAPITAL_SEQ_GROWTH","FQ3 2017","FQ3 2017","Currency=INR","Period=FQ","BEST_FPERIOD_OVERRIDE=FQ","FILING_STATUS=OR","EQY_CONSOLIDATED=Y","Sort=A","Dates=H","DateFormat=P","Fill=—","Direction=H","UseDPDF=Y")</f>
        <v>#NAME?</v>
      </c>
      <c r="BR346" s="1" t="e">
        <f ca="1">_xll.BDH($C$328,"ACCOUNTS_PAYABLE_SEQ_GROWTH","FQ3 2017","FQ3 2017","Currency=INR","Period=FQ","BEST_FPERIOD_OVERRIDE=FQ","FILING_STATUS=OR","EQY_CONSOLIDATED=Y","Sort=A","Dates=H","DateFormat=P","Fill=—","Direction=H","UseDPDF=Y")</f>
        <v>#NAME?</v>
      </c>
      <c r="BS346" s="1" t="e">
        <f ca="1">_xll.BDH($C$328,"ST_DEBT_SEQUENTIAL_GROWTH","FQ3 2017","FQ3 2017","Currency=INR","Period=FQ","BEST_FPERIOD_OVERRIDE=FQ","FILING_STATUS=OR","EQY_CONSOLIDATED=Y","Sort=A","Dates=H","DateFormat=P","Fill=—","Direction=H","UseDPDF=Y")</f>
        <v>#NAME?</v>
      </c>
      <c r="BT346" s="1" t="e">
        <f ca="1">_xll.BDH($C$328,"TOTAL_DEBT_SEQUENTIAL_GROWTH","FQ3 2017","FQ3 2017","Currency=INR","Period=FQ","BEST_FPERIOD_OVERRIDE=FQ","FILING_STATUS=OR","EQY_CONSOLIDATED=Y","Sort=A","Dates=H","DateFormat=P","Fill=—","Direction=H","UseDPDF=Y")</f>
        <v>#NAME?</v>
      </c>
      <c r="BU346" s="1" t="e">
        <f ca="1">_xll.BDH($C$328,"TOTAL_EQUITY_SEQUENTIAL_GROWTH","FQ3 2017","FQ3 2017","Currency=INR","Period=FQ","BEST_FPERIOD_OVERRIDE=FQ","FILING_STATUS=OR","EQY_CONSOLIDATED=Y","Sort=A","Dates=H","DateFormat=P","Fill=—","Direction=H","UseDPDF=Y")</f>
        <v>#NAME?</v>
      </c>
      <c r="BV346" s="1" t="e">
        <f ca="1">_xll.BDH($C$328,"TOTAL_CAPITAL_SEQUENTIAL_GROWTH","FQ3 2017","FQ3 2017","Currency=INR","Period=FQ","BEST_FPERIOD_OVERRIDE=FQ","FILING_STATUS=OR","EQY_CONSOLIDATED=Y","Sort=A","Dates=H","DateFormat=P","Fill=—","Direction=H","UseDPDF=Y")</f>
        <v>#NAME?</v>
      </c>
      <c r="BW346" s="1" t="e">
        <f ca="1">_xll.BDH($C$328,"BPS_SEQUENTIAL_GROWTH","FQ3 2017","FQ3 2017","Currency=INR","Period=FQ","BEST_FPERIOD_OVERRIDE=FQ","FILING_STATUS=OR","EQY_CONSOLIDATED=Y","Sort=A","Dates=H","DateFormat=P","Fill=—","Direction=H","UseDPDF=Y")</f>
        <v>#NAME?</v>
      </c>
      <c r="BX346" s="1" t="e">
        <f ca="1">_xll.BDH($C$328,"CFO_SEQUENTIAL_GROWTH","FQ3 2017","FQ3 2017","Currency=INR","Period=FQ","BEST_FPERIOD_OVERRIDE=FQ","FILING_STATUS=OR","EQY_CONSOLIDATED=Y","Sort=A","Dates=H","DateFormat=P","Fill=—","Direction=H","UseDPDF=Y")</f>
        <v>#NAME?</v>
      </c>
      <c r="BY346" s="2" t="e">
        <f ca="1">_xll.BDH($C$328,"SHORT_AND_LONG_TERM_DEBT","FQ3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46" s="2" t="e">
        <f ca="1">_xll.BDH($C$328,"BS_ST_BORROW","FQ3 2017","FQ3 2017","Currency=INR","Period=FQ","BEST_FPERIOD_OVERRIDE=FQ","FILING_STATUS=OR","EQY_CONSOLIDATED=Y","SCALING_FORMAT=MLN","Sort=A","Dates=H","DateFormat=P","Fill=—","Direction=H","UseDPDF=Y")</f>
        <v>#NAME?</v>
      </c>
      <c r="CA346" s="2" t="e">
        <f ca="1">_xll.BDH($C$328,"BS_LT_BORROW","FQ3 2017","FQ3 2017","Currency=INR","Period=FQ","BEST_FPERIOD_OVERRIDE=FQ","FILING_STATUS=OR","EQY_CONSOLIDATED=Y","SCALING_FORMAT=MLN","Sort=A","Dates=H","DateFormat=P","Fill=—","Direction=H","UseDPDF=Y")</f>
        <v>#NAME?</v>
      </c>
      <c r="CB346" s="1" t="e">
        <f ca="1">_xll.BDH($C$328,"TOT_DEBT_TO_EBITDA","FQ3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46" s="1" t="e">
        <f ca="1">_xll.BDH($C$328,"NET_DEBT_TO_EBITDA","FQ3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46" s="1" t="e">
        <f ca="1">_xll.BDH($C$328,"TOTAL_DEBT_TO_EBIT","FQ3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46" s="1" t="e">
        <f ca="1">_xll.BDH($C$328,"NET_DEBT_TO_EBIT","FQ3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346" s="1" t="e">
        <f ca="1">_xll.BDH($C$328,"EBITDA_TO_INTEREST_EXPN","FQ3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46" s="1" t="e">
        <f ca="1">_xll.BDH($C$328,"COM_EQY_TO_TOT_ASSET","FQ3 2017","FQ3 2017","Currency=INR","Period=FQ","BEST_FPERIOD_OVERRIDE=FQ","FILING_STATUS=OR","EQY_CONSOLIDATED=Y","Sort=A","Dates=H","DateFormat=P","Fill=—","Direction=H","UseDPDF=Y")</f>
        <v>#NAME?</v>
      </c>
      <c r="CH346" s="1" t="e">
        <f ca="1">_xll.BDH($C$328,"LT_DEBT_TO_TOT_EQY","FQ3 2017","FQ3 2017","Currency=INR","Period=FQ","BEST_FPERIOD_OVERRIDE=FQ","FILING_STATUS=OR","EQY_CONSOLIDATED=Y","Sort=A","Dates=H","DateFormat=P","Fill=—","Direction=H","UseDPDF=Y")</f>
        <v>#NAME?</v>
      </c>
      <c r="CI346" s="1" t="e">
        <f ca="1">_xll.BDH($C$328,"LT_DEBT_TO_TOT_CAP","FQ3 2017","FQ3 2017","Currency=INR","Period=FQ","BEST_FPERIOD_OVERRIDE=FQ","FILING_STATUS=OR","EQY_CONSOLIDATED=Y","Sort=A","Dates=H","DateFormat=P","Fill=—","Direction=H","UseDPDF=Y")</f>
        <v>#NAME?</v>
      </c>
      <c r="CJ346" s="1" t="e">
        <f ca="1">_xll.BDH($C$328,"LT_DEBT_TO_TOT_ASSET","FQ3 2017","FQ3 2017","Currency=INR","Period=FQ","BEST_FPERIOD_OVERRIDE=FQ","FILING_STATUS=OR","EQY_CONSOLIDATED=Y","Sort=A","Dates=H","DateFormat=P","Fill=—","Direction=H","UseDPDF=Y")</f>
        <v>#NAME?</v>
      </c>
      <c r="CK346" s="1" t="e">
        <f ca="1">_xll.BDH($C$328,"TOT_DEBT_TO_TOT_EQY","FQ3 2017","FQ3 2017","Currency=INR","Period=FQ","BEST_FPERIOD_OVERRIDE=FQ","FILING_STATUS=OR","EQY_CONSOLIDATED=Y","Sort=A","Dates=H","DateFormat=P","Fill=—","Direction=H","UseDPDF=Y")</f>
        <v>#NAME?</v>
      </c>
      <c r="CL346" s="1" t="e">
        <f ca="1">_xll.BDH($C$328,"TOT_DEBT_TO_TOT_CAP","FQ3 2017","FQ3 2017","Currency=INR","Period=FQ","BEST_FPERIOD_OVERRIDE=FQ","FILING_STATUS=OR","EQY_CONSOLIDATED=Y","Sort=A","Dates=H","DateFormat=P","Fill=—","Direction=H","UseDPDF=Y")</f>
        <v>#NAME?</v>
      </c>
      <c r="CM346" s="1" t="e">
        <f ca="1">_xll.BDH($C$328,"TOT_DEBT_TO_TOT_ASSET","FQ3 2017","FQ3 2017","Currency=INR","Period=FQ","BEST_FPERIOD_OVERRIDE=FQ","FILING_STATUS=OR","EQY_CONSOLIDATED=Y","Sort=A","Dates=H","DateFormat=P","Fill=—","Direction=H","UseDPDF=Y")</f>
        <v>#NAME?</v>
      </c>
      <c r="CN346" s="1" t="e">
        <f ca="1">_xll.BDH($C$328,"NET_DEBT_TO_SHRHLDR_EQTY","FQ3 2017","FQ3 2017","Currency=INR","Period=FQ","BEST_FPERIOD_OVERRIDE=FQ","FILING_STATUS=OR","EQY_CONSOLIDATED=Y","Sort=A","Dates=H","DateFormat=P","Fill=—","Direction=H","UseDPDF=Y")</f>
        <v>#NAME?</v>
      </c>
      <c r="CO346" s="1" t="e">
        <f ca="1">_xll.BDH($C$328,"NET_DEBT_%_CAPITAL","FQ3 2017","FQ3 2017","Currency=INR","Period=FQ","BEST_FPERIOD_OVERRIDE=FQ","FILING_STATUS=OR","EQY_CONSOLIDATED=Y","Sort=A","Dates=H","DateFormat=P","Fill=—","Direction=H","UseDPDF=Y")</f>
        <v>#NAME?</v>
      </c>
      <c r="CP346" s="2" t="e">
        <f ca="1">_xll.BDH($C$328,"EBITDA","FQ3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46" s="2" t="e">
        <f ca="1">_xll.BDH($C$328,"EBITDA_AFTER_CAPEX","FQ3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46" s="2" t="e">
        <f ca="1">_xll.BDH($C$328,"IS_OPER_INC","FQ3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46" s="1" t="e">
        <f ca="1">_xll.BDH($C$328,"CASH_RATIO","FQ3 2017","FQ3 2017","Currency=INR","Period=FQ","BEST_FPERIOD_OVERRIDE=FQ","FILING_STATUS=OR","EQY_CONSOLIDATED=Y","Sort=A","Dates=H","DateFormat=P","Fill=—","Direction=H","UseDPDF=Y")</f>
        <v>#NAME?</v>
      </c>
      <c r="CT346" s="1" t="e">
        <f ca="1">_xll.BDH($C$328,"CUR_RATIO","FQ3 2017","FQ3 2017","Currency=INR","Period=FQ","BEST_FPERIOD_OVERRIDE=FQ","FILING_STATUS=OR","EQY_CONSOLIDATED=Y","Sort=A","Dates=H","DateFormat=P","Fill=—","Direction=H","UseDPDF=Y")</f>
        <v>#NAME?</v>
      </c>
      <c r="CU346" s="1" t="e">
        <f ca="1">_xll.BDH($C$328,"QUICK_RATIO","FQ3 2017","FQ3 2017","Currency=INR","Period=FQ","BEST_FPERIOD_OVERRIDE=FQ","FILING_STATUS=OR","EQY_CONSOLIDATED=Y","Sort=A","Dates=H","DateFormat=P","Fill=—","Direction=H","UseDPDF=Y")</f>
        <v>#NAME?</v>
      </c>
      <c r="CV346" s="1" t="e">
        <f ca="1">_xll.BDH($C$328,"ALTMAN_Z_SCORE","FQ3 2017","FQ3 2017","Currency=INR","Period=FQ","BEST_FPERIOD_OVERRIDE=FQ","FILING_STATUS=OR","EQY_CONSOLIDATED=Y","Sort=A","Dates=H","DateFormat=P","Fill=—","Direction=H","UseDPDF=Y")</f>
        <v>#NAME?</v>
      </c>
      <c r="CW346" s="3" t="e">
        <f ca="1">_xll.BDH($C$328,"ACCT_RCV_TURN","FQ3 2017","FQ3 2017","Currency=INR","Period=FQ","BEST_FPERIOD_OVERRIDE=FQ","FILING_STATUS=OR","EQY_CONSOLIDATED=Y","FA_ADJUSTED=GAAP","Sort=A","Dates=H","DateFormat=P","Fill=—","Direction=H","UseDPDF=Y")</f>
        <v>#NAME?</v>
      </c>
      <c r="CX346" s="1" t="e">
        <f ca="1">_xll.BDH($C$328,"ACCT_RCV_DAYS","FQ3 2017","FQ3 2017","Currency=INR","Period=FQ","BEST_FPERIOD_OVERRIDE=FQ","FILING_STATUS=OR","EQY_CONSOLIDATED=Y","FA_ADJUSTED=GAAP","Sort=A","Dates=H","DateFormat=P","Fill=—","Direction=H","UseDPDF=Y")</f>
        <v>#NAME?</v>
      </c>
      <c r="CY346" s="3" t="e">
        <f ca="1">_xll.BDH($C$328,"INVENT_TURN","FQ3 2017","FQ3 2017","Currency=INR","Period=FQ","BEST_FPERIOD_OVERRIDE=FQ","FILING_STATUS=OR","EQY_CONSOLIDATED=Y","FA_ADJUSTED=GAAP","Sort=A","Dates=H","DateFormat=P","Fill=—","Direction=H","UseDPDF=Y")</f>
        <v>#NAME?</v>
      </c>
      <c r="CZ346" s="1" t="e">
        <f ca="1">_xll.BDH($C$328,"INVENT_DAYS","FQ3 2017","FQ3 2017","Currency=INR","Period=FQ","BEST_FPERIOD_OVERRIDE=FQ","FILING_STATUS=OR","EQY_CONSOLIDATED=Y","FA_ADJUSTED=GAAP","Sort=A","Dates=H","DateFormat=P","Fill=—","Direction=H","UseDPDF=Y")</f>
        <v>#NAME?</v>
      </c>
      <c r="DA346" s="3" t="e">
        <f ca="1">_xll.BDH($C$328,"ACCOUNTS_PAYABLE_TURNOVER","FQ3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46" s="1" t="e">
        <f ca="1">_xll.BDH($C$328,"ACCOUNTS_PAYABLE_TURNOVER_DAYS","FQ3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46" s="3" t="e">
        <f ca="1">_xll.BDH($C$328,"CASH_CONVERSION_CYCLE","FQ3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46" s="3" t="e">
        <f ca="1">_xll.BDH($C$328,"INV_TO_CASH_DAYS","FQ3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346" s="4" t="e">
        <f ca="1">_xll.BDH($C$328,"BS_INVENTORIES","FQ3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346" s="2" t="e">
        <f ca="1">_xll.BDH($C$328,"INVTRY_RAW_MATERIALS","FQ3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46" s="2" t="e">
        <f ca="1">_xll.BDH($C$328,"INVTRY_IN_PROGRESS","FQ3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46" s="2" t="e">
        <f ca="1">_xll.BDH($C$328,"INVTRY_FINISHED_GOODS","FQ3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46" s="2" t="e">
        <f ca="1">_xll.BDH($C$328,"BS_OTHER_INV","FQ3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47" spans="1:113" x14ac:dyDescent="0.3">
      <c r="A347" s="6"/>
      <c r="B347" s="6"/>
      <c r="C347" s="6"/>
      <c r="D347" s="6"/>
      <c r="E347" t="s">
        <v>7</v>
      </c>
      <c r="F347" t="e">
        <f ca="1">_xll.BDH($C$328,"RETURN_COM_EQY","FQ4 2017","FQ4 2017","Currency=INR","Period=FQ","BEST_FPERIOD_OVERRIDE=FQ","FILING_STATUS=OR","EQY_CONSOLIDATED=Y","FA_ADJUSTED=GAAP","Sort=A","Dates=H","DateFormat=P","Fill=—","Direction=H","UseDPDF=Y")</f>
        <v>#NAME?</v>
      </c>
      <c r="G347" t="e">
        <f ca="1">_xll.BDH($C$328,"RETURN_ON_ASSET","FQ4 2017","FQ4 2017","Currency=INR","Period=FQ","BEST_FPERIOD_OVERRIDE=FQ","FILING_STATUS=OR","EQY_CONSOLIDATED=Y","FA_ADJUSTED=GAAP","Sort=A","Dates=H","DateFormat=P","Fill=—","Direction=H","UseDPDF=Y")</f>
        <v>#NAME?</v>
      </c>
      <c r="H347" t="e">
        <f ca="1">_xll.BDH($C$328,"RETURN_ON_CAP","FQ4 2017","FQ4 2017","Currency=INR","Period=FQ","BEST_FPERIOD_OVERRIDE=FQ","FILING_STATUS=OR","EQY_CONSOLIDATED=Y","FA_ADJUSTED=GAAP","Sort=A","Dates=H","DateFormat=P","Fill=—","Direction=H","UseDPDF=Y")</f>
        <v>#NAME?</v>
      </c>
      <c r="I347" t="e">
        <f ca="1">_xll.BDH($C$328,"RETURN_ON_INV_CAPITAL","FQ4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47" t="e">
        <f ca="1">_xll.BDH($C$328,"EBITDA_TO_REVENUE","FQ4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347" t="e">
        <f ca="1">_xll.BDH($C$328,"OPER_MARGIN","FQ4 2017","FQ4 2017","Currency=INR","Period=FQ","BEST_FPERIOD_OVERRIDE=FQ","FILING_STATUS=OR","EQY_CONSOLIDATED=Y","FA_ADJUSTED=GAAP","Sort=A","Dates=H","DateFormat=P","Fill=—","Direction=H","UseDPDF=Y")</f>
        <v>#NAME?</v>
      </c>
      <c r="L347" t="e">
        <f ca="1">_xll.BDH($C$328,"INCREMENTAL_OPERATING_MARGIN","FQ4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47" t="e">
        <f ca="1">_xll.BDH($C$328,"PRETAX_INC_TO_NET_SALES","FQ4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47" t="e">
        <f ca="1">_xll.BDH($C$328,"INC_BEF_XO_ITEMS_TO_NET_SALES","FQ4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47" t="e">
        <f ca="1">_xll.BDH($C$328,"PROF_MARGIN","FQ4 2017","FQ4 2017","Currency=INR","Period=FQ","BEST_FPERIOD_OVERRIDE=FQ","FILING_STATUS=OR","EQY_CONSOLIDATED=Y","FA_ADJUSTED=GAAP","Sort=A","Dates=H","DateFormat=P","Fill=—","Direction=H","UseDPDF=Y")</f>
        <v>#NAME?</v>
      </c>
      <c r="P347" t="e">
        <f ca="1">_xll.BDH($C$328,"NET_INCOME_TO_COMMON_MARGIN","FQ4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47" t="e">
        <f ca="1">_xll.BDH($C$328,"EFF_TAX_RATE","FQ4 2017","FQ4 2017","Currency=INR","Period=FQ","BEST_FPERIOD_OVERRIDE=FQ","FILING_STATUS=OR","EQY_CONSOLIDATED=Y","FA_ADJUSTED=GAAP","Sort=A","Dates=H","DateFormat=P","Fill=—","Direction=H","UseDPDF=Y")</f>
        <v>#NAME?</v>
      </c>
      <c r="R347" t="e">
        <f ca="1">_xll.BDH($C$328,"DVD_PAYOUT_RATIO","FQ4 2017","FQ4 2017","Currency=INR","Period=FQ","BEST_FPERIOD_OVERRIDE=FQ","FILING_STATUS=OR","EQY_CONSOLIDATED=Y","FA_ADJUSTED=GAAP","Sort=A","Dates=H","DateFormat=P","Fill=—","Direction=H","UseDPDF=Y")</f>
        <v>#NAME?</v>
      </c>
      <c r="S347" t="e">
        <f ca="1">_xll.BDH($C$328,"SUSTAIN_GROWTH_RT","FQ4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347" s="1" t="e">
        <f ca="1">_xll.BDH($C$328,"SALES_GROWTH","FQ4 2017","FQ4 2017","Currency=INR","Period=FQ","BEST_FPERIOD_OVERRIDE=FQ","FILING_STATUS=OR","EQY_CONSOLIDATED=Y","FA_ADJUSTED=GAAP","Sort=A","Dates=H","DateFormat=P","Fill=—","Direction=H","UseDPDF=Y")</f>
        <v>#NAME?</v>
      </c>
      <c r="U347" s="1" t="e">
        <f ca="1">_xll.BDH($C$328,"EBITDA_GROWTH","FQ4 2017","FQ4 2017","Currency=INR","Period=FQ","BEST_FPERIOD_OVERRIDE=FQ","FILING_STATUS=OR","EQY_CONSOLIDATED=Y","FA_ADJUSTED=GAAP","Sort=A","Dates=H","DateFormat=P","Fill=—","Direction=H","UseDPDF=Y")</f>
        <v>#NAME?</v>
      </c>
      <c r="V347" s="1" t="e">
        <f ca="1">_xll.BDH($C$328,"OPER_INC_GROWTH","FQ4 2017","FQ4 2017","Currency=INR","Period=FQ","BEST_FPERIOD_OVERRIDE=FQ","FILING_STATUS=OR","EQY_CONSOLIDATED=Y","FA_ADJUSTED=GAAP","Sort=A","Dates=H","DateFormat=P","Fill=—","Direction=H","UseDPDF=Y")</f>
        <v>#NAME?</v>
      </c>
      <c r="W347" s="1" t="e">
        <f ca="1">_xll.BDH($C$328,"EARN_FOR_COM_GROWTH","FQ4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47" s="1" t="e">
        <f ca="1">_xll.BDH($C$328,"DILUTED_EPS_AFT_XO_ITEMS_GROWTH","FQ4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47" s="1" t="e">
        <f ca="1">_xll.BDH($C$328,"DIVIDEND_PER_SHARE_1_YEAR_GROWTH","FQ4 2017","FQ4 2017","Currency=INR","Period=FQ","BEST_FPERIOD_OVERRIDE=FQ","FILING_STATUS=OR","EQY_CONSOLIDATED=Y","Sort=A","Dates=H","DateFormat=P","Fill=—","Direction=H","UseDPDF=Y")</f>
        <v>#NAME?</v>
      </c>
      <c r="Z347" s="1" t="e">
        <f ca="1">_xll.BDH($C$328,"ACCOUNTS_RECEIVABLE_GROWTH","FQ4 2017","FQ4 2017","Currency=INR","Period=FQ","BEST_FPERIOD_OVERRIDE=FQ","FILING_STATUS=OR","EQY_CONSOLIDATED=Y","Sort=A","Dates=H","DateFormat=P","Fill=—","Direction=H","UseDPDF=Y")</f>
        <v>#NAME?</v>
      </c>
      <c r="AA347" s="1" t="e">
        <f ca="1">_xll.BDH($C$328,"INVENTORY_GROWTH","FQ4 2017","FQ4 2017","Currency=INR","Period=FQ","BEST_FPERIOD_OVERRIDE=FQ","FILING_STATUS=OR","EQY_CONSOLIDATED=Y","Sort=A","Dates=H","DateFormat=P","Fill=—","Direction=H","UseDPDF=Y")</f>
        <v>#NAME?</v>
      </c>
      <c r="AB347" s="1" t="e">
        <f ca="1">_xll.BDH($C$328,"NET_FIXED_ASSETS_1_YEAR_GROWTH","FQ4 2017","FQ4 2017","Currency=INR","Period=FQ","BEST_FPERIOD_OVERRIDE=FQ","FILING_STATUS=OR","EQY_CONSOLIDATED=Y","Sort=A","Dates=H","DateFormat=P","Fill=—","Direction=H","UseDPDF=Y")</f>
        <v>#NAME?</v>
      </c>
      <c r="AC347" s="1" t="e">
        <f ca="1">_xll.BDH($C$328,"ASSET_GROWTH","FQ4 2017","FQ4 2017","Currency=INR","Period=FQ","BEST_FPERIOD_OVERRIDE=FQ","FILING_STATUS=OR","EQY_CONSOLIDATED=Y","Sort=A","Dates=H","DateFormat=P","Fill=—","Direction=H","UseDPDF=Y")</f>
        <v>#NAME?</v>
      </c>
      <c r="AD347" s="1" t="e">
        <f ca="1">_xll.BDH($C$328,"MODIFIED_WORK_CAP_GROWTH","FQ4 2017","FQ4 2017","Currency=INR","Period=FQ","BEST_FPERIOD_OVERRIDE=FQ","FILING_STATUS=OR","EQY_CONSOLIDATED=Y","Sort=A","Dates=H","DateFormat=P","Fill=—","Direction=H","UseDPDF=Y")</f>
        <v>#NAME?</v>
      </c>
      <c r="AE347" s="1" t="e">
        <f ca="1">_xll.BDH($C$328,"WORK_CAP_GROWTH","FQ4 2017","FQ4 2017","Currency=INR","Period=FQ","BEST_FPERIOD_OVERRIDE=FQ","FILING_STATUS=OR","EQY_CONSOLIDATED=Y","Sort=A","Dates=H","DateFormat=P","Fill=—","Direction=H","UseDPDF=Y")</f>
        <v>#NAME?</v>
      </c>
      <c r="AF347" s="1" t="e">
        <f ca="1">_xll.BDH($C$328,"ACCOUNTS_PAYABLE_GROWTH_1YR","FQ4 2017","FQ4 2017","Currency=INR","Period=FQ","BEST_FPERIOD_OVERRIDE=FQ","FILING_STATUS=OR","EQY_CONSOLIDATED=Y","Sort=A","Dates=H","DateFormat=P","Fill=—","Direction=H","UseDPDF=Y")</f>
        <v>#NAME?</v>
      </c>
      <c r="AG347" s="1" t="e">
        <f ca="1">_xll.BDH($C$328,"SHORT_TERM_DEBT_1_YEAR_GROWTH","FQ4 2017","FQ4 2017","Currency=INR","Period=FQ","BEST_FPERIOD_OVERRIDE=FQ","FILING_STATUS=OR","EQY_CONSOLIDATED=Y","Sort=A","Dates=H","DateFormat=P","Fill=—","Direction=H","UseDPDF=Y")</f>
        <v>#NAME?</v>
      </c>
      <c r="AH347" s="1" t="e">
        <f ca="1">_xll.BDH($C$328,"TOTAL_DEBT_1_YEAR_GROWTH","FQ4 2017","FQ4 2017","Currency=INR","Period=FQ","BEST_FPERIOD_OVERRIDE=FQ","FILING_STATUS=OR","EQY_CONSOLIDATED=Y","Sort=A","Dates=H","DateFormat=P","Fill=—","Direction=H","UseDPDF=Y")</f>
        <v>#NAME?</v>
      </c>
      <c r="AI347" s="1" t="e">
        <f ca="1">_xll.BDH($C$328,"TOTAL_EQUITY_1_YEAR_GROWTH","FQ4 2017","FQ4 2017","Currency=INR","Period=FQ","BEST_FPERIOD_OVERRIDE=FQ","FILING_STATUS=OR","EQY_CONSOLIDATED=Y","Sort=A","Dates=H","DateFormat=P","Fill=—","Direction=H","UseDPDF=Y")</f>
        <v>#NAME?</v>
      </c>
      <c r="AJ347" s="1" t="e">
        <f ca="1">_xll.BDH($C$328,"GROWTH_IN_CAP","FQ4 2017","FQ4 2017","Currency=INR","Period=FQ","BEST_FPERIOD_OVERRIDE=FQ","FILING_STATUS=OR","EQY_CONSOLIDATED=Y","Sort=A","Dates=H","DateFormat=P","Fill=—","Direction=H","UseDPDF=Y")</f>
        <v>#NAME?</v>
      </c>
      <c r="AK347" s="1" t="e">
        <f ca="1">_xll.BDH($C$328,"BVPS_GROWTH","FQ4 2017","FQ4 2017","Currency=INR","Period=FQ","BEST_FPERIOD_OVERRIDE=FQ","FILING_STATUS=OR","EQY_CONSOLIDATED=Y","Sort=A","Dates=H","DateFormat=P","Fill=—","Direction=H","UseDPDF=Y")</f>
        <v>#NAME?</v>
      </c>
      <c r="AL347" s="1" t="e">
        <f ca="1">_xll.BDH($C$328,"CASH_FLOW_GROWTH","FQ4 2017","FQ4 2017","Currency=INR","Period=FQ","BEST_FPERIOD_OVERRIDE=FQ","FILING_STATUS=OR","EQY_CONSOLIDATED=Y","Sort=A","Dates=H","DateFormat=P","Fill=—","Direction=H","UseDPDF=Y")</f>
        <v>#NAME?</v>
      </c>
      <c r="AM347" s="1" t="e">
        <f ca="1">_xll.BDH($C$328,"GEO_GROW_NET_SALES","FQ4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47" s="1" t="e">
        <f ca="1">_xll.BDH($C$328,"GEO_GROW_EBITDA","FQ4 2017","FQ4 2017","Currency=INR","Period=FQ","BEST_FPERIOD_OVERRIDE=FQ","FILING_STATUS=OR","EQY_CONSOLIDATED=Y","FA_ADJUSTED=GAAP","Sort=A","Dates=H","DateFormat=P","Fill=—","Direction=H","UseDPDF=Y")</f>
        <v>#NAME?</v>
      </c>
      <c r="AO347" s="1" t="e">
        <f ca="1">_xll.BDH($C$328,"GEO_GROW_OPER_INC","FQ4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47" s="1" t="e">
        <f ca="1">_xll.BDH($C$328,"NET_INCOME_TO_COMMON_5_YR_GROWTH","FQ4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47" s="1" t="e">
        <f ca="1">_xll.BDH($C$328,"5Y_GEO_GROWTH_DILUTED_EPS","FQ4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47" s="1" t="e">
        <f ca="1">_xll.BDH($C$328,"GEO_GROW_DVD_PER_SH","FQ4 2017","FQ4 2017","Currency=INR","Period=FQ","BEST_FPERIOD_OVERRIDE=FQ","FILING_STATUS=OR","EQY_CONSOLIDATED=Y","Sort=A","Dates=H","DateFormat=P","Fill=—","Direction=H","UseDPDF=Y")</f>
        <v>#NAME?</v>
      </c>
      <c r="AS347" s="1" t="e">
        <f ca="1">_xll.BDH($C$328,"ACCOUNTS_RECEIVABLE_5_YR_GROWTH","FQ4 2017","FQ4 2017","Currency=INR","Period=FQ","BEST_FPERIOD_OVERRIDE=FQ","FILING_STATUS=OR","EQY_CONSOLIDATED=Y","Sort=A","Dates=H","DateFormat=P","Fill=—","Direction=H","UseDPDF=Y")</f>
        <v>#NAME?</v>
      </c>
      <c r="AT347" s="1" t="e">
        <f ca="1">_xll.BDH($C$328,"INVENTORY_5_YEAR_GROWTH","FQ4 2017","FQ4 2017","Currency=INR","Period=FQ","BEST_FPERIOD_OVERRIDE=FQ","FILING_STATUS=OR","EQY_CONSOLIDATED=Y","Sort=A","Dates=H","DateFormat=P","Fill=—","Direction=H","UseDPDF=Y")</f>
        <v>#NAME?</v>
      </c>
      <c r="AU347" s="1" t="e">
        <f ca="1">_xll.BDH($C$328,"NET_FIXED_ASSETS_5_YEAR_GROWTH","FQ4 2017","FQ4 2017","Currency=INR","Period=FQ","BEST_FPERIOD_OVERRIDE=FQ","FILING_STATUS=OR","EQY_CONSOLIDATED=Y","Sort=A","Dates=H","DateFormat=P","Fill=—","Direction=H","UseDPDF=Y")</f>
        <v>#NAME?</v>
      </c>
      <c r="AV347" s="1" t="e">
        <f ca="1">_xll.BDH($C$328,"GEO_GROW_TOT_ASSET","FQ4 2017","FQ4 2017","Currency=INR","Period=FQ","BEST_FPERIOD_OVERRIDE=FQ","FILING_STATUS=OR","EQY_CONSOLIDATED=Y","Sort=A","Dates=H","DateFormat=P","Fill=—","Direction=H","UseDPDF=Y")</f>
        <v>#NAME?</v>
      </c>
      <c r="AW347" s="1" t="e">
        <f ca="1">_xll.BDH($C$328,"MODIFIED_WORKING_CPTL_5YR_GRWTH","FQ4 2017","FQ4 2017","Currency=INR","Period=FQ","BEST_FPERIOD_OVERRIDE=FQ","FILING_STATUS=OR","EQY_CONSOLIDATED=Y","Sort=A","Dates=H","DateFormat=P","Fill=—","Direction=H","UseDPDF=Y")</f>
        <v>#NAME?</v>
      </c>
      <c r="AX347" s="1" t="e">
        <f ca="1">_xll.BDH($C$328,"WORKING_CAPITAL_5_YEAR_GROWTH","FQ4 2017","FQ4 2017","Currency=INR","Period=FQ","BEST_FPERIOD_OVERRIDE=FQ","FILING_STATUS=OR","EQY_CONSOLIDATED=Y","Sort=A","Dates=H","DateFormat=P","Fill=—","Direction=H","UseDPDF=Y")</f>
        <v>#NAME?</v>
      </c>
      <c r="AY347" s="1" t="e">
        <f ca="1">_xll.BDH($C$328,"ACCOUNTS_PAYABLE_5_YEAR_GROWTH","FQ4 2017","FQ4 2017","Currency=INR","Period=FQ","BEST_FPERIOD_OVERRIDE=FQ","FILING_STATUS=OR","EQY_CONSOLIDATED=Y","Sort=A","Dates=H","DateFormat=P","Fill=—","Direction=H","UseDPDF=Y")</f>
        <v>#NAME?</v>
      </c>
      <c r="AZ347" s="1" t="e">
        <f ca="1">_xll.BDH($C$328,"SHORT_TERM_DEBT_5_YEAR_GROWTH","FQ4 2017","FQ4 2017","Currency=INR","Period=FQ","BEST_FPERIOD_OVERRIDE=FQ","FILING_STATUS=OR","EQY_CONSOLIDATED=Y","Sort=A","Dates=H","DateFormat=P","Fill=—","Direction=H","UseDPDF=Y")</f>
        <v>#NAME?</v>
      </c>
      <c r="BA347" s="1" t="e">
        <f ca="1">_xll.BDH($C$328,"TOTAL_DEBT_5_YEAR_GROWTH","FQ4 2017","FQ4 2017","Currency=INR","Period=FQ","BEST_FPERIOD_OVERRIDE=FQ","FILING_STATUS=OR","EQY_CONSOLIDATED=Y","Sort=A","Dates=H","DateFormat=P","Fill=—","Direction=H","UseDPDF=Y")</f>
        <v>#NAME?</v>
      </c>
      <c r="BB347" s="1" t="e">
        <f ca="1">_xll.BDH($C$328,"GEO_GROW_TOT_SHRHLDR_EQY","FQ4 2017","FQ4 2017","Currency=INR","Period=FQ","BEST_FPERIOD_OVERRIDE=FQ","FILING_STATUS=OR","EQY_CONSOLIDATED=Y","Sort=A","Dates=H","DateFormat=P","Fill=—","Direction=H","UseDPDF=Y")</f>
        <v>#NAME?</v>
      </c>
      <c r="BC347" s="1" t="e">
        <f ca="1">_xll.BDH($C$328,"TOTAL_CAPITAL_5_YEAR_GROWTH","FQ4 2017","FQ4 2017","Currency=INR","Period=FQ","BEST_FPERIOD_OVERRIDE=FQ","FILING_STATUS=OR","EQY_CONSOLIDATED=Y","Sort=A","Dates=H","DateFormat=P","Fill=—","Direction=H","UseDPDF=Y")</f>
        <v>#NAME?</v>
      </c>
      <c r="BD347" s="1" t="e">
        <f ca="1">_xll.BDH($C$328,"GEO_GROW_BOOK_VAL","FQ4 2017","FQ4 2017","Currency=INR","Period=FQ","BEST_FPERIOD_OVERRIDE=FQ","FILING_STATUS=OR","EQY_CONSOLIDATED=Y","Sort=A","Dates=H","DateFormat=P","Fill=—","Direction=H","UseDPDF=Y")</f>
        <v>#NAME?</v>
      </c>
      <c r="BE347" s="1" t="e">
        <f ca="1">_xll.BDH($C$328,"GEO_GROW_CASH_OPER_ACT","FQ4 2017","FQ4 2017","Currency=INR","Period=FQ","BEST_FPERIOD_OVERRIDE=FQ","FILING_STATUS=OR","EQY_CONSOLIDATED=Y","Sort=A","Dates=H","DateFormat=P","Fill=—","Direction=H","UseDPDF=Y")</f>
        <v>#NAME?</v>
      </c>
      <c r="BF347" s="1" t="e">
        <f ca="1">_xll.BDH($C$328,"REVENUE_SEQUENTIAL_GROWTH","FQ4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47" s="1" t="e">
        <f ca="1">_xll.BDH($C$328,"EBITDA_SEQUENTIAL_GROWTH","FQ4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47" s="1" t="e">
        <f ca="1">_xll.BDH($C$328,"OPERATING_INCOME_SEQ_GROWTH","FQ4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47" s="1" t="e">
        <f ca="1">_xll.BDH($C$328,"NET_INCOME_TO_COMMON_SEQ_GROWTH","FQ4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47" s="1" t="e">
        <f ca="1">_xll.BDH($C$328,"EPS_DILUTED_SEQUENTIAL_GROWTH","FQ4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47" s="1" t="e">
        <f ca="1">_xll.BDH($C$328,"DPS_SEQUENTIAL_GROWTH","FQ4 2017","FQ4 2017","Currency=INR","Period=FQ","BEST_FPERIOD_OVERRIDE=FQ","FILING_STATUS=OR","EQY_CONSOLIDATED=Y","Sort=A","Dates=H","DateFormat=P","Fill=—","Direction=H","UseDPDF=Y")</f>
        <v>#NAME?</v>
      </c>
      <c r="BL347" s="1" t="e">
        <f ca="1">_xll.BDH($C$328,"ACCOUNTS_RECEIVABLE_SEQ_GROWTH","FQ4 2017","FQ4 2017","Currency=INR","Period=FQ","BEST_FPERIOD_OVERRIDE=FQ","FILING_STATUS=OR","EQY_CONSOLIDATED=Y","Sort=A","Dates=H","DateFormat=P","Fill=—","Direction=H","UseDPDF=Y")</f>
        <v>#NAME?</v>
      </c>
      <c r="BM347" s="1" t="e">
        <f ca="1">_xll.BDH($C$328,"INVENTORY_SEQUENTIAL_GROWTH","FQ4 2017","FQ4 2017","Currency=INR","Period=FQ","BEST_FPERIOD_OVERRIDE=FQ","FILING_STATUS=OR","EQY_CONSOLIDATED=Y","Sort=A","Dates=H","DateFormat=P","Fill=—","Direction=H","UseDPDF=Y")</f>
        <v>#NAME?</v>
      </c>
      <c r="BN347" s="1" t="e">
        <f ca="1">_xll.BDH($C$328,"FIXED_ASSETS_SEQUENTIAL_GROWTH","FQ4 2017","FQ4 2017","Currency=INR","Period=FQ","BEST_FPERIOD_OVERRIDE=FQ","FILING_STATUS=OR","EQY_CONSOLIDATED=Y","Sort=A","Dates=H","DateFormat=P","Fill=—","Direction=H","UseDPDF=Y")</f>
        <v>#NAME?</v>
      </c>
      <c r="BO347" s="1" t="e">
        <f ca="1">_xll.BDH($C$328,"TOTAL_ASSETS_SEQUENTIAL_GROWTH","FQ4 2017","FQ4 2017","Currency=INR","Period=FQ","BEST_FPERIOD_OVERRIDE=FQ","FILING_STATUS=OR","EQY_CONSOLIDATED=Y","Sort=A","Dates=H","DateFormat=P","Fill=—","Direction=H","UseDPDF=Y")</f>
        <v>#NAME?</v>
      </c>
      <c r="BP347" s="1" t="e">
        <f ca="1">_xll.BDH($C$328,"MODIFIED_WORKING_CPTL_SEQ_GRWTH","FQ4 2017","FQ4 2017","Currency=INR","Period=FQ","BEST_FPERIOD_OVERRIDE=FQ","FILING_STATUS=OR","EQY_CONSOLIDATED=Y","Sort=A","Dates=H","DateFormat=P","Fill=—","Direction=H","UseDPDF=Y")</f>
        <v>#NAME?</v>
      </c>
      <c r="BQ347" s="1" t="e">
        <f ca="1">_xll.BDH($C$328,"WORKING_CAPITAL_SEQ_GROWTH","FQ4 2017","FQ4 2017","Currency=INR","Period=FQ","BEST_FPERIOD_OVERRIDE=FQ","FILING_STATUS=OR","EQY_CONSOLIDATED=Y","Sort=A","Dates=H","DateFormat=P","Fill=—","Direction=H","UseDPDF=Y")</f>
        <v>#NAME?</v>
      </c>
      <c r="BR347" s="1" t="e">
        <f ca="1">_xll.BDH($C$328,"ACCOUNTS_PAYABLE_SEQ_GROWTH","FQ4 2017","FQ4 2017","Currency=INR","Period=FQ","BEST_FPERIOD_OVERRIDE=FQ","FILING_STATUS=OR","EQY_CONSOLIDATED=Y","Sort=A","Dates=H","DateFormat=P","Fill=—","Direction=H","UseDPDF=Y")</f>
        <v>#NAME?</v>
      </c>
      <c r="BS347" s="1" t="e">
        <f ca="1">_xll.BDH($C$328,"ST_DEBT_SEQUENTIAL_GROWTH","FQ4 2017","FQ4 2017","Currency=INR","Period=FQ","BEST_FPERIOD_OVERRIDE=FQ","FILING_STATUS=OR","EQY_CONSOLIDATED=Y","Sort=A","Dates=H","DateFormat=P","Fill=—","Direction=H","UseDPDF=Y")</f>
        <v>#NAME?</v>
      </c>
      <c r="BT347" s="1" t="e">
        <f ca="1">_xll.BDH($C$328,"TOTAL_DEBT_SEQUENTIAL_GROWTH","FQ4 2017","FQ4 2017","Currency=INR","Period=FQ","BEST_FPERIOD_OVERRIDE=FQ","FILING_STATUS=OR","EQY_CONSOLIDATED=Y","Sort=A","Dates=H","DateFormat=P","Fill=—","Direction=H","UseDPDF=Y")</f>
        <v>#NAME?</v>
      </c>
      <c r="BU347" s="1" t="e">
        <f ca="1">_xll.BDH($C$328,"TOTAL_EQUITY_SEQUENTIAL_GROWTH","FQ4 2017","FQ4 2017","Currency=INR","Period=FQ","BEST_FPERIOD_OVERRIDE=FQ","FILING_STATUS=OR","EQY_CONSOLIDATED=Y","Sort=A","Dates=H","DateFormat=P","Fill=—","Direction=H","UseDPDF=Y")</f>
        <v>#NAME?</v>
      </c>
      <c r="BV347" s="1" t="e">
        <f ca="1">_xll.BDH($C$328,"TOTAL_CAPITAL_SEQUENTIAL_GROWTH","FQ4 2017","FQ4 2017","Currency=INR","Period=FQ","BEST_FPERIOD_OVERRIDE=FQ","FILING_STATUS=OR","EQY_CONSOLIDATED=Y","Sort=A","Dates=H","DateFormat=P","Fill=—","Direction=H","UseDPDF=Y")</f>
        <v>#NAME?</v>
      </c>
      <c r="BW347" s="1" t="e">
        <f ca="1">_xll.BDH($C$328,"BPS_SEQUENTIAL_GROWTH","FQ4 2017","FQ4 2017","Currency=INR","Period=FQ","BEST_FPERIOD_OVERRIDE=FQ","FILING_STATUS=OR","EQY_CONSOLIDATED=Y","Sort=A","Dates=H","DateFormat=P","Fill=—","Direction=H","UseDPDF=Y")</f>
        <v>#NAME?</v>
      </c>
      <c r="BX347" s="1" t="e">
        <f ca="1">_xll.BDH($C$328,"CFO_SEQUENTIAL_GROWTH","FQ4 2017","FQ4 2017","Currency=INR","Period=FQ","BEST_FPERIOD_OVERRIDE=FQ","FILING_STATUS=OR","EQY_CONSOLIDATED=Y","Sort=A","Dates=H","DateFormat=P","Fill=—","Direction=H","UseDPDF=Y")</f>
        <v>#NAME?</v>
      </c>
      <c r="BY347" s="2" t="e">
        <f ca="1">_xll.BDH($C$328,"SHORT_AND_LONG_TERM_DEBT","FQ4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47" s="2" t="e">
        <f ca="1">_xll.BDH($C$328,"BS_ST_BORROW","FQ4 2017","FQ4 2017","Currency=INR","Period=FQ","BEST_FPERIOD_OVERRIDE=FQ","FILING_STATUS=OR","EQY_CONSOLIDATED=Y","SCALING_FORMAT=MLN","Sort=A","Dates=H","DateFormat=P","Fill=—","Direction=H","UseDPDF=Y")</f>
        <v>#NAME?</v>
      </c>
      <c r="CA347" s="2" t="e">
        <f ca="1">_xll.BDH($C$328,"BS_LT_BORROW","FQ4 2017","FQ4 2017","Currency=INR","Period=FQ","BEST_FPERIOD_OVERRIDE=FQ","FILING_STATUS=OR","EQY_CONSOLIDATED=Y","SCALING_FORMAT=MLN","Sort=A","Dates=H","DateFormat=P","Fill=—","Direction=H","UseDPDF=Y")</f>
        <v>#NAME?</v>
      </c>
      <c r="CB347" s="1" t="e">
        <f ca="1">_xll.BDH($C$328,"TOT_DEBT_TO_EBITDA","FQ4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47" s="1" t="e">
        <f ca="1">_xll.BDH($C$328,"NET_DEBT_TO_EBITDA","FQ4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47" s="1" t="e">
        <f ca="1">_xll.BDH($C$328,"TOTAL_DEBT_TO_EBIT","FQ4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47" s="1" t="e">
        <f ca="1">_xll.BDH($C$328,"NET_DEBT_TO_EBIT","FQ4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347" s="1" t="e">
        <f ca="1">_xll.BDH($C$328,"EBITDA_TO_INTEREST_EXPN","FQ4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47" s="1" t="e">
        <f ca="1">_xll.BDH($C$328,"COM_EQY_TO_TOT_ASSET","FQ4 2017","FQ4 2017","Currency=INR","Period=FQ","BEST_FPERIOD_OVERRIDE=FQ","FILING_STATUS=OR","EQY_CONSOLIDATED=Y","Sort=A","Dates=H","DateFormat=P","Fill=—","Direction=H","UseDPDF=Y")</f>
        <v>#NAME?</v>
      </c>
      <c r="CH347" s="1" t="e">
        <f ca="1">_xll.BDH($C$328,"LT_DEBT_TO_TOT_EQY","FQ4 2017","FQ4 2017","Currency=INR","Period=FQ","BEST_FPERIOD_OVERRIDE=FQ","FILING_STATUS=OR","EQY_CONSOLIDATED=Y","Sort=A","Dates=H","DateFormat=P","Fill=—","Direction=H","UseDPDF=Y")</f>
        <v>#NAME?</v>
      </c>
      <c r="CI347" s="1" t="e">
        <f ca="1">_xll.BDH($C$328,"LT_DEBT_TO_TOT_CAP","FQ4 2017","FQ4 2017","Currency=INR","Period=FQ","BEST_FPERIOD_OVERRIDE=FQ","FILING_STATUS=OR","EQY_CONSOLIDATED=Y","Sort=A","Dates=H","DateFormat=P","Fill=—","Direction=H","UseDPDF=Y")</f>
        <v>#NAME?</v>
      </c>
      <c r="CJ347" s="1" t="e">
        <f ca="1">_xll.BDH($C$328,"LT_DEBT_TO_TOT_ASSET","FQ4 2017","FQ4 2017","Currency=INR","Period=FQ","BEST_FPERIOD_OVERRIDE=FQ","FILING_STATUS=OR","EQY_CONSOLIDATED=Y","Sort=A","Dates=H","DateFormat=P","Fill=—","Direction=H","UseDPDF=Y")</f>
        <v>#NAME?</v>
      </c>
      <c r="CK347" s="1" t="e">
        <f ca="1">_xll.BDH($C$328,"TOT_DEBT_TO_TOT_EQY","FQ4 2017","FQ4 2017","Currency=INR","Period=FQ","BEST_FPERIOD_OVERRIDE=FQ","FILING_STATUS=OR","EQY_CONSOLIDATED=Y","Sort=A","Dates=H","DateFormat=P","Fill=—","Direction=H","UseDPDF=Y")</f>
        <v>#NAME?</v>
      </c>
      <c r="CL347" s="1" t="e">
        <f ca="1">_xll.BDH($C$328,"TOT_DEBT_TO_TOT_CAP","FQ4 2017","FQ4 2017","Currency=INR","Period=FQ","BEST_FPERIOD_OVERRIDE=FQ","FILING_STATUS=OR","EQY_CONSOLIDATED=Y","Sort=A","Dates=H","DateFormat=P","Fill=—","Direction=H","UseDPDF=Y")</f>
        <v>#NAME?</v>
      </c>
      <c r="CM347" s="1" t="e">
        <f ca="1">_xll.BDH($C$328,"TOT_DEBT_TO_TOT_ASSET","FQ4 2017","FQ4 2017","Currency=INR","Period=FQ","BEST_FPERIOD_OVERRIDE=FQ","FILING_STATUS=OR","EQY_CONSOLIDATED=Y","Sort=A","Dates=H","DateFormat=P","Fill=—","Direction=H","UseDPDF=Y")</f>
        <v>#NAME?</v>
      </c>
      <c r="CN347" s="1" t="e">
        <f ca="1">_xll.BDH($C$328,"NET_DEBT_TO_SHRHLDR_EQTY","FQ4 2017","FQ4 2017","Currency=INR","Period=FQ","BEST_FPERIOD_OVERRIDE=FQ","FILING_STATUS=OR","EQY_CONSOLIDATED=Y","Sort=A","Dates=H","DateFormat=P","Fill=—","Direction=H","UseDPDF=Y")</f>
        <v>#NAME?</v>
      </c>
      <c r="CO347" s="1" t="e">
        <f ca="1">_xll.BDH($C$328,"NET_DEBT_%_CAPITAL","FQ4 2017","FQ4 2017","Currency=INR","Period=FQ","BEST_FPERIOD_OVERRIDE=FQ","FILING_STATUS=OR","EQY_CONSOLIDATED=Y","Sort=A","Dates=H","DateFormat=P","Fill=—","Direction=H","UseDPDF=Y")</f>
        <v>#NAME?</v>
      </c>
      <c r="CP347" s="2" t="e">
        <f ca="1">_xll.BDH($C$328,"EBITDA","FQ4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47" s="2" t="e">
        <f ca="1">_xll.BDH($C$328,"EBITDA_AFTER_CAPEX","FQ4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47" s="2" t="e">
        <f ca="1">_xll.BDH($C$328,"IS_OPER_INC","FQ4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47" s="1" t="e">
        <f ca="1">_xll.BDH($C$328,"CASH_RATIO","FQ4 2017","FQ4 2017","Currency=INR","Period=FQ","BEST_FPERIOD_OVERRIDE=FQ","FILING_STATUS=OR","EQY_CONSOLIDATED=Y","Sort=A","Dates=H","DateFormat=P","Fill=—","Direction=H","UseDPDF=Y")</f>
        <v>#NAME?</v>
      </c>
      <c r="CT347" s="1" t="e">
        <f ca="1">_xll.BDH($C$328,"CUR_RATIO","FQ4 2017","FQ4 2017","Currency=INR","Period=FQ","BEST_FPERIOD_OVERRIDE=FQ","FILING_STATUS=OR","EQY_CONSOLIDATED=Y","Sort=A","Dates=H","DateFormat=P","Fill=—","Direction=H","UseDPDF=Y")</f>
        <v>#NAME?</v>
      </c>
      <c r="CU347" s="1" t="e">
        <f ca="1">_xll.BDH($C$328,"QUICK_RATIO","FQ4 2017","FQ4 2017","Currency=INR","Period=FQ","BEST_FPERIOD_OVERRIDE=FQ","FILING_STATUS=OR","EQY_CONSOLIDATED=Y","Sort=A","Dates=H","DateFormat=P","Fill=—","Direction=H","UseDPDF=Y")</f>
        <v>#NAME?</v>
      </c>
      <c r="CV347" s="1" t="e">
        <f ca="1">_xll.BDH($C$328,"ALTMAN_Z_SCORE","FQ4 2017","FQ4 2017","Currency=INR","Period=FQ","BEST_FPERIOD_OVERRIDE=FQ","FILING_STATUS=OR","EQY_CONSOLIDATED=Y","Sort=A","Dates=H","DateFormat=P","Fill=—","Direction=H","UseDPDF=Y")</f>
        <v>#NAME?</v>
      </c>
      <c r="CW347" s="3" t="e">
        <f ca="1">_xll.BDH($C$328,"ACCT_RCV_TURN","FQ4 2017","FQ4 2017","Currency=INR","Period=FQ","BEST_FPERIOD_OVERRIDE=FQ","FILING_STATUS=OR","EQY_CONSOLIDATED=Y","FA_ADJUSTED=GAAP","Sort=A","Dates=H","DateFormat=P","Fill=—","Direction=H","UseDPDF=Y")</f>
        <v>#NAME?</v>
      </c>
      <c r="CX347" s="1" t="e">
        <f ca="1">_xll.BDH($C$328,"ACCT_RCV_DAYS","FQ4 2017","FQ4 2017","Currency=INR","Period=FQ","BEST_FPERIOD_OVERRIDE=FQ","FILING_STATUS=OR","EQY_CONSOLIDATED=Y","FA_ADJUSTED=GAAP","Sort=A","Dates=H","DateFormat=P","Fill=—","Direction=H","UseDPDF=Y")</f>
        <v>#NAME?</v>
      </c>
      <c r="CY347" s="3" t="e">
        <f ca="1">_xll.BDH($C$328,"INVENT_TURN","FQ4 2017","FQ4 2017","Currency=INR","Period=FQ","BEST_FPERIOD_OVERRIDE=FQ","FILING_STATUS=OR","EQY_CONSOLIDATED=Y","FA_ADJUSTED=GAAP","Sort=A","Dates=H","DateFormat=P","Fill=—","Direction=H","UseDPDF=Y")</f>
        <v>#NAME?</v>
      </c>
      <c r="CZ347" s="1" t="e">
        <f ca="1">_xll.BDH($C$328,"INVENT_DAYS","FQ4 2017","FQ4 2017","Currency=INR","Period=FQ","BEST_FPERIOD_OVERRIDE=FQ","FILING_STATUS=OR","EQY_CONSOLIDATED=Y","FA_ADJUSTED=GAAP","Sort=A","Dates=H","DateFormat=P","Fill=—","Direction=H","UseDPDF=Y")</f>
        <v>#NAME?</v>
      </c>
      <c r="DA347" s="3" t="e">
        <f ca="1">_xll.BDH($C$328,"ACCOUNTS_PAYABLE_TURNOVER","FQ4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47" s="1" t="e">
        <f ca="1">_xll.BDH($C$328,"ACCOUNTS_PAYABLE_TURNOVER_DAYS","FQ4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47" s="3" t="e">
        <f ca="1">_xll.BDH($C$328,"CASH_CONVERSION_CYCLE","FQ4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47" s="3" t="e">
        <f ca="1">_xll.BDH($C$328,"INV_TO_CASH_DAYS","FQ4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347" s="4" t="e">
        <f ca="1">_xll.BDH($C$328,"BS_INVENTORIES","FQ4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347" s="2" t="e">
        <f ca="1">_xll.BDH($C$328,"INVTRY_RAW_MATERIALS","FQ4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47" s="2" t="e">
        <f ca="1">_xll.BDH($C$328,"INVTRY_IN_PROGRESS","FQ4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47" s="2" t="e">
        <f ca="1">_xll.BDH($C$328,"INVTRY_FINISHED_GOODS","FQ4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47" s="2" t="e">
        <f ca="1">_xll.BDH($C$328,"BS_OTHER_INV","FQ4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48" spans="1:113" x14ac:dyDescent="0.3">
      <c r="A348" s="6"/>
      <c r="B348" s="6"/>
      <c r="C348" s="6"/>
      <c r="D348" s="6" t="s">
        <v>11</v>
      </c>
      <c r="E348" t="s">
        <v>3</v>
      </c>
      <c r="F348" t="e">
        <f ca="1">_xll.BDH($C$328,"RETURN_COM_EQY","FY 2018","FY 2018","Currency=INR","Period=FY","BEST_FPERIOD_OVERRIDE=FY","FILING_STATUS=OR","EQY_CONSOLIDATED=Y","FA_ADJUSTED=GAAP","Sort=A","Dates=H","DateFormat=P","Fill=—","Direction=H","UseDPDF=Y")</f>
        <v>#NAME?</v>
      </c>
      <c r="G348" t="e">
        <f ca="1">_xll.BDH($C$328,"RETURN_ON_ASSET","FY 2018","FY 2018","Currency=INR","Period=FY","BEST_FPERIOD_OVERRIDE=FY","FILING_STATUS=OR","EQY_CONSOLIDATED=Y","FA_ADJUSTED=GAAP","Sort=A","Dates=H","DateFormat=P","Fill=—","Direction=H","UseDPDF=Y")</f>
        <v>#NAME?</v>
      </c>
      <c r="H348" t="e">
        <f ca="1">_xll.BDH($C$328,"RETURN_ON_CAP","FY 2018","FY 2018","Currency=INR","Period=FY","BEST_FPERIOD_OVERRIDE=FY","FILING_STATUS=OR","EQY_CONSOLIDATED=Y","FA_ADJUSTED=GAAP","Sort=A","Dates=H","DateFormat=P","Fill=—","Direction=H","UseDPDF=Y")</f>
        <v>#NAME?</v>
      </c>
      <c r="I348" t="e">
        <f ca="1">_xll.BDH($C$328,"RETURN_ON_INV_CAPITAL","FY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48" t="e">
        <f ca="1">_xll.BDH($C$328,"EBITDA_TO_REVENUE","FY 2018","FY 2018","Currency=INR","Period=FY","BEST_FPERIOD_OVERRIDE=FY","FILING_STATUS=OR","EQY_CONSOLIDATED=Y","FA_ADJUSTED=GAAP","Sort=A","Dates=H","DateFormat=P","Fill=—","Direction=H","UseDPDF=Y")</f>
        <v>#NAME?</v>
      </c>
      <c r="K348" t="e">
        <f ca="1">_xll.BDH($C$328,"OPER_MARGIN","FY 2018","FY 2018","Currency=INR","Period=FY","BEST_FPERIOD_OVERRIDE=FY","FILING_STATUS=OR","EQY_CONSOLIDATED=Y","FA_ADJUSTED=GAAP","Sort=A","Dates=H","DateFormat=P","Fill=—","Direction=H","UseDPDF=Y")</f>
        <v>#NAME?</v>
      </c>
      <c r="L348" t="e">
        <f ca="1">_xll.BDH($C$328,"INCREMENTAL_OPERATING_MARGIN","FY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48" t="e">
        <f ca="1">_xll.BDH($C$328,"PRETAX_INC_TO_NET_SALES","FY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48" t="e">
        <f ca="1">_xll.BDH($C$328,"INC_BEF_XO_ITEMS_TO_NET_SALES","FY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48" t="e">
        <f ca="1">_xll.BDH($C$328,"PROF_MARGIN","FY 2018","FY 2018","Currency=INR","Period=FY","BEST_FPERIOD_OVERRIDE=FY","FILING_STATUS=OR","EQY_CONSOLIDATED=Y","FA_ADJUSTED=GAAP","Sort=A","Dates=H","DateFormat=P","Fill=—","Direction=H","UseDPDF=Y")</f>
        <v>#NAME?</v>
      </c>
      <c r="P348" t="e">
        <f ca="1">_xll.BDH($C$328,"NET_INCOME_TO_COMMON_MARGIN","FY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48" t="e">
        <f ca="1">_xll.BDH($C$328,"EFF_TAX_RATE","FY 2018","FY 2018","Currency=INR","Period=FY","BEST_FPERIOD_OVERRIDE=FY","FILING_STATUS=OR","EQY_CONSOLIDATED=Y","FA_ADJUSTED=GAAP","Sort=A","Dates=H","DateFormat=P","Fill=—","Direction=H","UseDPDF=Y")</f>
        <v>#NAME?</v>
      </c>
      <c r="R348" t="e">
        <f ca="1">_xll.BDH($C$328,"DVD_PAYOUT_RATIO","FY 2018","FY 2018","Currency=INR","Period=FY","BEST_FPERIOD_OVERRIDE=FY","FILING_STATUS=OR","EQY_CONSOLIDATED=Y","FA_ADJUSTED=GAAP","Sort=A","Dates=H","DateFormat=P","Fill=—","Direction=H","UseDPDF=Y")</f>
        <v>#NAME?</v>
      </c>
      <c r="S348" t="e">
        <f ca="1">_xll.BDH($C$328,"SUSTAIN_GROWTH_RT","FY 2018","FY 2018","Currency=INR","Period=FY","BEST_FPERIOD_OVERRIDE=FY","FILING_STATUS=OR","EQY_CONSOLIDATED=Y","FA_ADJUSTED=GAAP","Sort=A","Dates=H","DateFormat=P","Fill=—","Direction=H","UseDPDF=Y")</f>
        <v>#NAME?</v>
      </c>
      <c r="T348" s="1" t="e">
        <f ca="1">_xll.BDH($C$328,"SALES_GROWTH","FY 2018","FY 2018","Currency=INR","Period=FY","BEST_FPERIOD_OVERRIDE=FY","FILING_STATUS=OR","EQY_CONSOLIDATED=Y","FA_ADJUSTED=GAAP","Sort=A","Dates=H","DateFormat=P","Fill=—","Direction=H","UseDPDF=Y")</f>
        <v>#NAME?</v>
      </c>
      <c r="U348" s="1" t="e">
        <f ca="1">_xll.BDH($C$328,"EBITDA_GROWTH","FY 2018","FY 2018","Currency=INR","Period=FY","BEST_FPERIOD_OVERRIDE=FY","FILING_STATUS=OR","EQY_CONSOLIDATED=Y","FA_ADJUSTED=GAAP","Sort=A","Dates=H","DateFormat=P","Fill=—","Direction=H","UseDPDF=Y")</f>
        <v>#NAME?</v>
      </c>
      <c r="V348" s="1" t="e">
        <f ca="1">_xll.BDH($C$328,"OPER_INC_GROWTH","FY 2018","FY 2018","Currency=INR","Period=FY","BEST_FPERIOD_OVERRIDE=FY","FILING_STATUS=OR","EQY_CONSOLIDATED=Y","FA_ADJUSTED=GAAP","Sort=A","Dates=H","DateFormat=P","Fill=—","Direction=H","UseDPDF=Y")</f>
        <v>#NAME?</v>
      </c>
      <c r="W348" s="1" t="e">
        <f ca="1">_xll.BDH($C$328,"EARN_FOR_COM_GROWTH","FY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348" s="1" t="e">
        <f ca="1">_xll.BDH($C$328,"DILUTED_EPS_AFT_XO_ITEMS_GROWTH","FY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48" s="1" t="e">
        <f ca="1">_xll.BDH($C$328,"DIVIDEND_PER_SHARE_1_YEAR_GROWTH","FY 2018","FY 2018","Currency=INR","Period=FY","BEST_FPERIOD_OVERRIDE=FY","FILING_STATUS=OR","EQY_CONSOLIDATED=Y","Sort=A","Dates=H","DateFormat=P","Fill=—","Direction=H","UseDPDF=Y")</f>
        <v>#NAME?</v>
      </c>
      <c r="Z348" s="1" t="e">
        <f ca="1">_xll.BDH($C$328,"ACCOUNTS_RECEIVABLE_GROWTH","FY 2018","FY 2018","Currency=INR","Period=FY","BEST_FPERIOD_OVERRIDE=FY","FILING_STATUS=OR","EQY_CONSOLIDATED=Y","Sort=A","Dates=H","DateFormat=P","Fill=—","Direction=H","UseDPDF=Y")</f>
        <v>#NAME?</v>
      </c>
      <c r="AA348" s="1" t="e">
        <f ca="1">_xll.BDH($C$328,"INVENTORY_GROWTH","FY 2018","FY 2018","Currency=INR","Period=FY","BEST_FPERIOD_OVERRIDE=FY","FILING_STATUS=OR","EQY_CONSOLIDATED=Y","Sort=A","Dates=H","DateFormat=P","Fill=—","Direction=H","UseDPDF=Y")</f>
        <v>#NAME?</v>
      </c>
      <c r="AB348" s="1" t="e">
        <f ca="1">_xll.BDH($C$328,"NET_FIXED_ASSETS_1_YEAR_GROWTH","FY 2018","FY 2018","Currency=INR","Period=FY","BEST_FPERIOD_OVERRIDE=FY","FILING_STATUS=OR","EQY_CONSOLIDATED=Y","Sort=A","Dates=H","DateFormat=P","Fill=—","Direction=H","UseDPDF=Y")</f>
        <v>#NAME?</v>
      </c>
      <c r="AC348" s="1" t="e">
        <f ca="1">_xll.BDH($C$328,"ASSET_GROWTH","FY 2018","FY 2018","Currency=INR","Period=FY","BEST_FPERIOD_OVERRIDE=FY","FILING_STATUS=OR","EQY_CONSOLIDATED=Y","Sort=A","Dates=H","DateFormat=P","Fill=—","Direction=H","UseDPDF=Y")</f>
        <v>#NAME?</v>
      </c>
      <c r="AD348" s="1" t="e">
        <f ca="1">_xll.BDH($C$328,"MODIFIED_WORK_CAP_GROWTH","FY 2018","FY 2018","Currency=INR","Period=FY","BEST_FPERIOD_OVERRIDE=FY","FILING_STATUS=OR","EQY_CONSOLIDATED=Y","Sort=A","Dates=H","DateFormat=P","Fill=—","Direction=H","UseDPDF=Y")</f>
        <v>#NAME?</v>
      </c>
      <c r="AE348" s="1" t="e">
        <f ca="1">_xll.BDH($C$328,"WORK_CAP_GROWTH","FY 2018","FY 2018","Currency=INR","Period=FY","BEST_FPERIOD_OVERRIDE=FY","FILING_STATUS=OR","EQY_CONSOLIDATED=Y","Sort=A","Dates=H","DateFormat=P","Fill=—","Direction=H","UseDPDF=Y")</f>
        <v>#NAME?</v>
      </c>
      <c r="AF348" s="1" t="e">
        <f ca="1">_xll.BDH($C$328,"ACCOUNTS_PAYABLE_GROWTH_1YR","FY 2018","FY 2018","Currency=INR","Period=FY","BEST_FPERIOD_OVERRIDE=FY","FILING_STATUS=OR","EQY_CONSOLIDATED=Y","Sort=A","Dates=H","DateFormat=P","Fill=—","Direction=H","UseDPDF=Y")</f>
        <v>#NAME?</v>
      </c>
      <c r="AG348" s="1" t="e">
        <f ca="1">_xll.BDH($C$328,"SHORT_TERM_DEBT_1_YEAR_GROWTH","FY 2018","FY 2018","Currency=INR","Period=FY","BEST_FPERIOD_OVERRIDE=FY","FILING_STATUS=OR","EQY_CONSOLIDATED=Y","Sort=A","Dates=H","DateFormat=P","Fill=—","Direction=H","UseDPDF=Y")</f>
        <v>#NAME?</v>
      </c>
      <c r="AH348" s="1" t="e">
        <f ca="1">_xll.BDH($C$328,"TOTAL_DEBT_1_YEAR_GROWTH","FY 2018","FY 2018","Currency=INR","Period=FY","BEST_FPERIOD_OVERRIDE=FY","FILING_STATUS=OR","EQY_CONSOLIDATED=Y","Sort=A","Dates=H","DateFormat=P","Fill=—","Direction=H","UseDPDF=Y")</f>
        <v>#NAME?</v>
      </c>
      <c r="AI348" s="1" t="e">
        <f ca="1">_xll.BDH($C$328,"TOTAL_EQUITY_1_YEAR_GROWTH","FY 2018","FY 2018","Currency=INR","Period=FY","BEST_FPERIOD_OVERRIDE=FY","FILING_STATUS=OR","EQY_CONSOLIDATED=Y","Sort=A","Dates=H","DateFormat=P","Fill=—","Direction=H","UseDPDF=Y")</f>
        <v>#NAME?</v>
      </c>
      <c r="AJ348" s="1" t="e">
        <f ca="1">_xll.BDH($C$328,"GROWTH_IN_CAP","FY 2018","FY 2018","Currency=INR","Period=FY","BEST_FPERIOD_OVERRIDE=FY","FILING_STATUS=OR","EQY_CONSOLIDATED=Y","Sort=A","Dates=H","DateFormat=P","Fill=—","Direction=H","UseDPDF=Y")</f>
        <v>#NAME?</v>
      </c>
      <c r="AK348" s="1" t="e">
        <f ca="1">_xll.BDH($C$328,"BVPS_GROWTH","FY 2018","FY 2018","Currency=INR","Period=FY","BEST_FPERIOD_OVERRIDE=FY","FILING_STATUS=OR","EQY_CONSOLIDATED=Y","Sort=A","Dates=H","DateFormat=P","Fill=—","Direction=H","UseDPDF=Y")</f>
        <v>#NAME?</v>
      </c>
      <c r="AL348" s="1" t="e">
        <f ca="1">_xll.BDH($C$328,"CASH_FLOW_GROWTH","FY 2018","FY 2018","Currency=INR","Period=FY","BEST_FPERIOD_OVERRIDE=FY","FILING_STATUS=OR","EQY_CONSOLIDATED=Y","Sort=A","Dates=H","DateFormat=P","Fill=—","Direction=H","UseDPDF=Y")</f>
        <v>#NAME?</v>
      </c>
      <c r="AM348" s="1" t="e">
        <f ca="1">_xll.BDH($C$328,"GEO_GROW_NET_SALES","FY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348" s="1" t="e">
        <f ca="1">_xll.BDH($C$328,"GEO_GROW_EBITDA","FY 2018","FY 2018","Currency=INR","Period=FY","BEST_FPERIOD_OVERRIDE=FY","FILING_STATUS=OR","EQY_CONSOLIDATED=Y","FA_ADJUSTED=GAAP","Sort=A","Dates=H","DateFormat=P","Fill=—","Direction=H","UseDPDF=Y")</f>
        <v>#NAME?</v>
      </c>
      <c r="AO348" s="1" t="e">
        <f ca="1">_xll.BDH($C$328,"GEO_GROW_OPER_INC","FY 2018","FY 2018","Currency=INR","Period=FY","BEST_FPERIOD_OVERRIDE=FY","FILING_STATUS=OR","EQY_CONSOLIDATED=Y","FA_ADJUSTED=GAAP","Sort=A","Dates=H","DateFormat=P","Fill=—","Direction=H","UseDPDF=Y")</f>
        <v>#NAME?</v>
      </c>
      <c r="AP348" s="1" t="e">
        <f ca="1">_xll.BDH($C$328,"NET_INCOME_TO_COMMON_5_YR_GROWTH","FY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48" s="1" t="e">
        <f ca="1">_xll.BDH($C$328,"5Y_GEO_GROWTH_DILUTED_EPS","FY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48" s="1" t="e">
        <f ca="1">_xll.BDH($C$328,"GEO_GROW_DVD_PER_SH","FY 2018","FY 2018","Currency=INR","Period=FY","BEST_FPERIOD_OVERRIDE=FY","FILING_STATUS=OR","EQY_CONSOLIDATED=Y","Sort=A","Dates=H","DateFormat=P","Fill=—","Direction=H","UseDPDF=Y")</f>
        <v>#NAME?</v>
      </c>
      <c r="AS348" s="1" t="e">
        <f ca="1">_xll.BDH($C$328,"ACCOUNTS_RECEIVABLE_5_YR_GROWTH","FY 2018","FY 2018","Currency=INR","Period=FY","BEST_FPERIOD_OVERRIDE=FY","FILING_STATUS=OR","EQY_CONSOLIDATED=Y","Sort=A","Dates=H","DateFormat=P","Fill=—","Direction=H","UseDPDF=Y")</f>
        <v>#NAME?</v>
      </c>
      <c r="AT348" s="1" t="e">
        <f ca="1">_xll.BDH($C$328,"INVENTORY_5_YEAR_GROWTH","FY 2018","FY 2018","Currency=INR","Period=FY","BEST_FPERIOD_OVERRIDE=FY","FILING_STATUS=OR","EQY_CONSOLIDATED=Y","Sort=A","Dates=H","DateFormat=P","Fill=—","Direction=H","UseDPDF=Y")</f>
        <v>#NAME?</v>
      </c>
      <c r="AU348" s="1" t="e">
        <f ca="1">_xll.BDH($C$328,"NET_FIXED_ASSETS_5_YEAR_GROWTH","FY 2018","FY 2018","Currency=INR","Period=FY","BEST_FPERIOD_OVERRIDE=FY","FILING_STATUS=OR","EQY_CONSOLIDATED=Y","Sort=A","Dates=H","DateFormat=P","Fill=—","Direction=H","UseDPDF=Y")</f>
        <v>#NAME?</v>
      </c>
      <c r="AV348" s="1" t="e">
        <f ca="1">_xll.BDH($C$328,"GEO_GROW_TOT_ASSET","FY 2018","FY 2018","Currency=INR","Period=FY","BEST_FPERIOD_OVERRIDE=FY","FILING_STATUS=OR","EQY_CONSOLIDATED=Y","Sort=A","Dates=H","DateFormat=P","Fill=—","Direction=H","UseDPDF=Y")</f>
        <v>#NAME?</v>
      </c>
      <c r="AW348" s="1" t="e">
        <f ca="1">_xll.BDH($C$328,"MODIFIED_WORKING_CPTL_5YR_GRWTH","FY 2018","FY 2018","Currency=INR","Period=FY","BEST_FPERIOD_OVERRIDE=FY","FILING_STATUS=OR","EQY_CONSOLIDATED=Y","Sort=A","Dates=H","DateFormat=P","Fill=—","Direction=H","UseDPDF=Y")</f>
        <v>#NAME?</v>
      </c>
      <c r="AX348" s="1" t="e">
        <f ca="1">_xll.BDH($C$328,"WORKING_CAPITAL_5_YEAR_GROWTH","FY 2018","FY 2018","Currency=INR","Period=FY","BEST_FPERIOD_OVERRIDE=FY","FILING_STATUS=OR","EQY_CONSOLIDATED=Y","Sort=A","Dates=H","DateFormat=P","Fill=—","Direction=H","UseDPDF=Y")</f>
        <v>#NAME?</v>
      </c>
      <c r="AY348" s="1" t="e">
        <f ca="1">_xll.BDH($C$328,"ACCOUNTS_PAYABLE_5_YEAR_GROWTH","FY 2018","FY 2018","Currency=INR","Period=FY","BEST_FPERIOD_OVERRIDE=FY","FILING_STATUS=OR","EQY_CONSOLIDATED=Y","Sort=A","Dates=H","DateFormat=P","Fill=—","Direction=H","UseDPDF=Y")</f>
        <v>#NAME?</v>
      </c>
      <c r="AZ348" s="1" t="e">
        <f ca="1">_xll.BDH($C$328,"SHORT_TERM_DEBT_5_YEAR_GROWTH","FY 2018","FY 2018","Currency=INR","Period=FY","BEST_FPERIOD_OVERRIDE=FY","FILING_STATUS=OR","EQY_CONSOLIDATED=Y","Sort=A","Dates=H","DateFormat=P","Fill=—","Direction=H","UseDPDF=Y")</f>
        <v>#NAME?</v>
      </c>
      <c r="BA348" s="1" t="e">
        <f ca="1">_xll.BDH($C$328,"TOTAL_DEBT_5_YEAR_GROWTH","FY 2018","FY 2018","Currency=INR","Period=FY","BEST_FPERIOD_OVERRIDE=FY","FILING_STATUS=OR","EQY_CONSOLIDATED=Y","Sort=A","Dates=H","DateFormat=P","Fill=—","Direction=H","UseDPDF=Y")</f>
        <v>#NAME?</v>
      </c>
      <c r="BB348" s="1" t="e">
        <f ca="1">_xll.BDH($C$328,"GEO_GROW_TOT_SHRHLDR_EQY","FY 2018","FY 2018","Currency=INR","Period=FY","BEST_FPERIOD_OVERRIDE=FY","FILING_STATUS=OR","EQY_CONSOLIDATED=Y","Sort=A","Dates=H","DateFormat=P","Fill=—","Direction=H","UseDPDF=Y")</f>
        <v>#NAME?</v>
      </c>
      <c r="BC348" s="1" t="e">
        <f ca="1">_xll.BDH($C$328,"TOTAL_CAPITAL_5_YEAR_GROWTH","FY 2018","FY 2018","Currency=INR","Period=FY","BEST_FPERIOD_OVERRIDE=FY","FILING_STATUS=OR","EQY_CONSOLIDATED=Y","Sort=A","Dates=H","DateFormat=P","Fill=—","Direction=H","UseDPDF=Y")</f>
        <v>#NAME?</v>
      </c>
      <c r="BD348" s="1" t="e">
        <f ca="1">_xll.BDH($C$328,"GEO_GROW_BOOK_VAL","FY 2018","FY 2018","Currency=INR","Period=FY","BEST_FPERIOD_OVERRIDE=FY","FILING_STATUS=OR","EQY_CONSOLIDATED=Y","Sort=A","Dates=H","DateFormat=P","Fill=—","Direction=H","UseDPDF=Y")</f>
        <v>#NAME?</v>
      </c>
      <c r="BE348" s="1" t="e">
        <f ca="1">_xll.BDH($C$328,"GEO_GROW_CASH_OPER_ACT","FY 2018","FY 2018","Currency=INR","Period=FY","BEST_FPERIOD_OVERRIDE=FY","FILING_STATUS=OR","EQY_CONSOLIDATED=Y","Sort=A","Dates=H","DateFormat=P","Fill=—","Direction=H","UseDPDF=Y")</f>
        <v>#NAME?</v>
      </c>
      <c r="BF348" s="1" t="e">
        <f ca="1">_xll.BDH($C$328,"REVENUE_SEQUENTIAL_GROWTH","FY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48" s="1" t="e">
        <f ca="1">_xll.BDH($C$328,"EBITDA_SEQUENTIAL_GROWTH","FY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48" s="1" t="e">
        <f ca="1">_xll.BDH($C$328,"OPERATING_INCOME_SEQ_GROWTH","FY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48" s="1" t="e">
        <f ca="1">_xll.BDH($C$328,"NET_INCOME_TO_COMMON_SEQ_GROWTH","FY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48" s="1" t="e">
        <f ca="1">_xll.BDH($C$328,"EPS_DILUTED_SEQUENTIAL_GROWTH","FY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48" s="1" t="e">
        <f ca="1">_xll.BDH($C$328,"DPS_SEQUENTIAL_GROWTH","FY 2018","FY 2018","Currency=INR","Period=FY","BEST_FPERIOD_OVERRIDE=FY","FILING_STATUS=OR","EQY_CONSOLIDATED=Y","Sort=A","Dates=H","DateFormat=P","Fill=—","Direction=H","UseDPDF=Y")</f>
        <v>#NAME?</v>
      </c>
      <c r="BL348" s="1" t="e">
        <f ca="1">_xll.BDH($C$328,"ACCOUNTS_RECEIVABLE_SEQ_GROWTH","FY 2018","FY 2018","Currency=INR","Period=FY","BEST_FPERIOD_OVERRIDE=FY","FILING_STATUS=OR","EQY_CONSOLIDATED=Y","Sort=A","Dates=H","DateFormat=P","Fill=—","Direction=H","UseDPDF=Y")</f>
        <v>#NAME?</v>
      </c>
      <c r="BM348" s="1" t="e">
        <f ca="1">_xll.BDH($C$328,"INVENTORY_SEQUENTIAL_GROWTH","FY 2018","FY 2018","Currency=INR","Period=FY","BEST_FPERIOD_OVERRIDE=FY","FILING_STATUS=OR","EQY_CONSOLIDATED=Y","Sort=A","Dates=H","DateFormat=P","Fill=—","Direction=H","UseDPDF=Y")</f>
        <v>#NAME?</v>
      </c>
      <c r="BN348" s="1" t="e">
        <f ca="1">_xll.BDH($C$328,"FIXED_ASSETS_SEQUENTIAL_GROWTH","FY 2018","FY 2018","Currency=INR","Period=FY","BEST_FPERIOD_OVERRIDE=FY","FILING_STATUS=OR","EQY_CONSOLIDATED=Y","Sort=A","Dates=H","DateFormat=P","Fill=—","Direction=H","UseDPDF=Y")</f>
        <v>#NAME?</v>
      </c>
      <c r="BO348" s="1" t="e">
        <f ca="1">_xll.BDH($C$328,"TOTAL_ASSETS_SEQUENTIAL_GROWTH","FY 2018","FY 2018","Currency=INR","Period=FY","BEST_FPERIOD_OVERRIDE=FY","FILING_STATUS=OR","EQY_CONSOLIDATED=Y","Sort=A","Dates=H","DateFormat=P","Fill=—","Direction=H","UseDPDF=Y")</f>
        <v>#NAME?</v>
      </c>
      <c r="BP348" s="1" t="e">
        <f ca="1">_xll.BDH($C$328,"MODIFIED_WORKING_CPTL_SEQ_GRWTH","FY 2018","FY 2018","Currency=INR","Period=FY","BEST_FPERIOD_OVERRIDE=FY","FILING_STATUS=OR","EQY_CONSOLIDATED=Y","Sort=A","Dates=H","DateFormat=P","Fill=—","Direction=H","UseDPDF=Y")</f>
        <v>#NAME?</v>
      </c>
      <c r="BQ348" s="1" t="e">
        <f ca="1">_xll.BDH($C$328,"WORKING_CAPITAL_SEQ_GROWTH","FY 2018","FY 2018","Currency=INR","Period=FY","BEST_FPERIOD_OVERRIDE=FY","FILING_STATUS=OR","EQY_CONSOLIDATED=Y","Sort=A","Dates=H","DateFormat=P","Fill=—","Direction=H","UseDPDF=Y")</f>
        <v>#NAME?</v>
      </c>
      <c r="BR348" s="1" t="e">
        <f ca="1">_xll.BDH($C$328,"ACCOUNTS_PAYABLE_SEQ_GROWTH","FY 2018","FY 2018","Currency=INR","Period=FY","BEST_FPERIOD_OVERRIDE=FY","FILING_STATUS=OR","EQY_CONSOLIDATED=Y","Sort=A","Dates=H","DateFormat=P","Fill=—","Direction=H","UseDPDF=Y")</f>
        <v>#NAME?</v>
      </c>
      <c r="BS348" s="1" t="e">
        <f ca="1">_xll.BDH($C$328,"ST_DEBT_SEQUENTIAL_GROWTH","FY 2018","FY 2018","Currency=INR","Period=FY","BEST_FPERIOD_OVERRIDE=FY","FILING_STATUS=OR","EQY_CONSOLIDATED=Y","Sort=A","Dates=H","DateFormat=P","Fill=—","Direction=H","UseDPDF=Y")</f>
        <v>#NAME?</v>
      </c>
      <c r="BT348" s="1" t="e">
        <f ca="1">_xll.BDH($C$328,"TOTAL_DEBT_SEQUENTIAL_GROWTH","FY 2018","FY 2018","Currency=INR","Period=FY","BEST_FPERIOD_OVERRIDE=FY","FILING_STATUS=OR","EQY_CONSOLIDATED=Y","Sort=A","Dates=H","DateFormat=P","Fill=—","Direction=H","UseDPDF=Y")</f>
        <v>#NAME?</v>
      </c>
      <c r="BU348" s="1" t="e">
        <f ca="1">_xll.BDH($C$328,"TOTAL_EQUITY_SEQUENTIAL_GROWTH","FY 2018","FY 2018","Currency=INR","Period=FY","BEST_FPERIOD_OVERRIDE=FY","FILING_STATUS=OR","EQY_CONSOLIDATED=Y","Sort=A","Dates=H","DateFormat=P","Fill=—","Direction=H","UseDPDF=Y")</f>
        <v>#NAME?</v>
      </c>
      <c r="BV348" s="1" t="e">
        <f ca="1">_xll.BDH($C$328,"TOTAL_CAPITAL_SEQUENTIAL_GROWTH","FY 2018","FY 2018","Currency=INR","Period=FY","BEST_FPERIOD_OVERRIDE=FY","FILING_STATUS=OR","EQY_CONSOLIDATED=Y","Sort=A","Dates=H","DateFormat=P","Fill=—","Direction=H","UseDPDF=Y")</f>
        <v>#NAME?</v>
      </c>
      <c r="BW348" s="1" t="e">
        <f ca="1">_xll.BDH($C$328,"BPS_SEQUENTIAL_GROWTH","FY 2018","FY 2018","Currency=INR","Period=FY","BEST_FPERIOD_OVERRIDE=FY","FILING_STATUS=OR","EQY_CONSOLIDATED=Y","Sort=A","Dates=H","DateFormat=P","Fill=—","Direction=H","UseDPDF=Y")</f>
        <v>#NAME?</v>
      </c>
      <c r="BX348" s="1" t="e">
        <f ca="1">_xll.BDH($C$328,"CFO_SEQUENTIAL_GROWTH","FY 2018","FY 2018","Currency=INR","Period=FY","BEST_FPERIOD_OVERRIDE=FY","FILING_STATUS=OR","EQY_CONSOLIDATED=Y","Sort=A","Dates=H","DateFormat=P","Fill=—","Direction=H","UseDPDF=Y")</f>
        <v>#NAME?</v>
      </c>
      <c r="BY348" s="2" t="e">
        <f ca="1">_xll.BDH($C$328,"SHORT_AND_LONG_TERM_DEBT","FY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48" s="2" t="e">
        <f ca="1">_xll.BDH($C$328,"BS_ST_BORROW","FY 2018","FY 2018","Currency=INR","Period=FY","BEST_FPERIOD_OVERRIDE=FY","FILING_STATUS=OR","EQY_CONSOLIDATED=Y","SCALING_FORMAT=MLN","Sort=A","Dates=H","DateFormat=P","Fill=—","Direction=H","UseDPDF=Y")</f>
        <v>#NAME?</v>
      </c>
      <c r="CA348" s="2" t="e">
        <f ca="1">_xll.BDH($C$328,"BS_LT_BORROW","FY 2018","FY 2018","Currency=INR","Period=FY","BEST_FPERIOD_OVERRIDE=FY","FILING_STATUS=OR","EQY_CONSOLIDATED=Y","SCALING_FORMAT=MLN","Sort=A","Dates=H","DateFormat=P","Fill=—","Direction=H","UseDPDF=Y")</f>
        <v>#NAME?</v>
      </c>
      <c r="CB348" s="1" t="e">
        <f ca="1">_xll.BDH($C$328,"TOT_DEBT_TO_EBITDA","FY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348" s="1" t="e">
        <f ca="1">_xll.BDH($C$328,"NET_DEBT_TO_EBITDA","FY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348" s="1" t="e">
        <f ca="1">_xll.BDH($C$328,"TOTAL_DEBT_TO_EBIT","FY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348" s="1" t="e">
        <f ca="1">_xll.BDH($C$328,"NET_DEBT_TO_EBIT","FY 2018","FY 2018","Currency=INR","Period=FY","BEST_FPERIOD_OVERRIDE=FY","FILING_STATUS=OR","EQY_CONSOLIDATED=Y","FA_ADJUSTED=GAAP","Sort=A","Dates=H","DateFormat=P","Fill=—","Direction=H","UseDPDF=Y")</f>
        <v>#NAME?</v>
      </c>
      <c r="CF348" s="1" t="e">
        <f ca="1">_xll.BDH($C$328,"EBITDA_TO_INTEREST_EXPN","FY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48" s="1" t="e">
        <f ca="1">_xll.BDH($C$328,"COM_EQY_TO_TOT_ASSET","FY 2018","FY 2018","Currency=INR","Period=FY","BEST_FPERIOD_OVERRIDE=FY","FILING_STATUS=OR","EQY_CONSOLIDATED=Y","Sort=A","Dates=H","DateFormat=P","Fill=—","Direction=H","UseDPDF=Y")</f>
        <v>#NAME?</v>
      </c>
      <c r="CH348" s="1" t="e">
        <f ca="1">_xll.BDH($C$328,"LT_DEBT_TO_TOT_EQY","FY 2018","FY 2018","Currency=INR","Period=FY","BEST_FPERIOD_OVERRIDE=FY","FILING_STATUS=OR","EQY_CONSOLIDATED=Y","Sort=A","Dates=H","DateFormat=P","Fill=—","Direction=H","UseDPDF=Y")</f>
        <v>#NAME?</v>
      </c>
      <c r="CI348" s="1" t="e">
        <f ca="1">_xll.BDH($C$328,"LT_DEBT_TO_TOT_CAP","FY 2018","FY 2018","Currency=INR","Period=FY","BEST_FPERIOD_OVERRIDE=FY","FILING_STATUS=OR","EQY_CONSOLIDATED=Y","Sort=A","Dates=H","DateFormat=P","Fill=—","Direction=H","UseDPDF=Y")</f>
        <v>#NAME?</v>
      </c>
      <c r="CJ348" s="1" t="e">
        <f ca="1">_xll.BDH($C$328,"LT_DEBT_TO_TOT_ASSET","FY 2018","FY 2018","Currency=INR","Period=FY","BEST_FPERIOD_OVERRIDE=FY","FILING_STATUS=OR","EQY_CONSOLIDATED=Y","Sort=A","Dates=H","DateFormat=P","Fill=—","Direction=H","UseDPDF=Y")</f>
        <v>#NAME?</v>
      </c>
      <c r="CK348" s="1" t="e">
        <f ca="1">_xll.BDH($C$328,"TOT_DEBT_TO_TOT_EQY","FY 2018","FY 2018","Currency=INR","Period=FY","BEST_FPERIOD_OVERRIDE=FY","FILING_STATUS=OR","EQY_CONSOLIDATED=Y","Sort=A","Dates=H","DateFormat=P","Fill=—","Direction=H","UseDPDF=Y")</f>
        <v>#NAME?</v>
      </c>
      <c r="CL348" s="1" t="e">
        <f ca="1">_xll.BDH($C$328,"TOT_DEBT_TO_TOT_CAP","FY 2018","FY 2018","Currency=INR","Period=FY","BEST_FPERIOD_OVERRIDE=FY","FILING_STATUS=OR","EQY_CONSOLIDATED=Y","Sort=A","Dates=H","DateFormat=P","Fill=—","Direction=H","UseDPDF=Y")</f>
        <v>#NAME?</v>
      </c>
      <c r="CM348" s="1" t="e">
        <f ca="1">_xll.BDH($C$328,"TOT_DEBT_TO_TOT_ASSET","FY 2018","FY 2018","Currency=INR","Period=FY","BEST_FPERIOD_OVERRIDE=FY","FILING_STATUS=OR","EQY_CONSOLIDATED=Y","Sort=A","Dates=H","DateFormat=P","Fill=—","Direction=H","UseDPDF=Y")</f>
        <v>#NAME?</v>
      </c>
      <c r="CN348" s="1" t="e">
        <f ca="1">_xll.BDH($C$328,"NET_DEBT_TO_SHRHLDR_EQTY","FY 2018","FY 2018","Currency=INR","Period=FY","BEST_FPERIOD_OVERRIDE=FY","FILING_STATUS=OR","EQY_CONSOLIDATED=Y","Sort=A","Dates=H","DateFormat=P","Fill=—","Direction=H","UseDPDF=Y")</f>
        <v>#NAME?</v>
      </c>
      <c r="CO348" s="1" t="e">
        <f ca="1">_xll.BDH($C$328,"NET_DEBT_%_CAPITAL","FY 2018","FY 2018","Currency=INR","Period=FY","BEST_FPERIOD_OVERRIDE=FY","FILING_STATUS=OR","EQY_CONSOLIDATED=Y","Sort=A","Dates=H","DateFormat=P","Fill=—","Direction=H","UseDPDF=Y")</f>
        <v>#NAME?</v>
      </c>
      <c r="CP348" s="2" t="e">
        <f ca="1">_xll.BDH($C$328,"EBITDA","FY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48" s="2" t="e">
        <f ca="1">_xll.BDH($C$328,"EBITDA_AFTER_CAPEX","FY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48" s="2" t="e">
        <f ca="1">_xll.BDH($C$328,"IS_OPER_INC","FY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48" s="1" t="e">
        <f ca="1">_xll.BDH($C$328,"CASH_RATIO","FY 2018","FY 2018","Currency=INR","Period=FY","BEST_FPERIOD_OVERRIDE=FY","FILING_STATUS=OR","EQY_CONSOLIDATED=Y","Sort=A","Dates=H","DateFormat=P","Fill=—","Direction=H","UseDPDF=Y")</f>
        <v>#NAME?</v>
      </c>
      <c r="CT348" s="1" t="e">
        <f ca="1">_xll.BDH($C$328,"CUR_RATIO","FY 2018","FY 2018","Currency=INR","Period=FY","BEST_FPERIOD_OVERRIDE=FY","FILING_STATUS=OR","EQY_CONSOLIDATED=Y","Sort=A","Dates=H","DateFormat=P","Fill=—","Direction=H","UseDPDF=Y")</f>
        <v>#NAME?</v>
      </c>
      <c r="CU348" s="1" t="e">
        <f ca="1">_xll.BDH($C$328,"QUICK_RATIO","FY 2018","FY 2018","Currency=INR","Period=FY","BEST_FPERIOD_OVERRIDE=FY","FILING_STATUS=OR","EQY_CONSOLIDATED=Y","Sort=A","Dates=H","DateFormat=P","Fill=—","Direction=H","UseDPDF=Y")</f>
        <v>#NAME?</v>
      </c>
      <c r="CV348" s="1" t="e">
        <f ca="1">_xll.BDH($C$328,"ALTMAN_Z_SCORE","FY 2018","FY 2018","Currency=INR","Period=FY","BEST_FPERIOD_OVERRIDE=FY","FILING_STATUS=OR","EQY_CONSOLIDATED=Y","Sort=A","Dates=H","DateFormat=P","Fill=—","Direction=H","UseDPDF=Y")</f>
        <v>#NAME?</v>
      </c>
      <c r="CW348" s="3" t="e">
        <f ca="1">_xll.BDH($C$328,"ACCT_RCV_TURN","FY 2018","FY 2018","Currency=INR","Period=FY","BEST_FPERIOD_OVERRIDE=FY","FILING_STATUS=OR","EQY_CONSOLIDATED=Y","FA_ADJUSTED=GAAP","Sort=A","Dates=H","DateFormat=P","Fill=—","Direction=H","UseDPDF=Y")</f>
        <v>#NAME?</v>
      </c>
      <c r="CX348" s="1" t="e">
        <f ca="1">_xll.BDH($C$328,"ACCT_RCV_DAYS","FY 2018","FY 2018","Currency=INR","Period=FY","BEST_FPERIOD_OVERRIDE=FY","FILING_STATUS=OR","EQY_CONSOLIDATED=Y","FA_ADJUSTED=GAAP","Sort=A","Dates=H","DateFormat=P","Fill=—","Direction=H","UseDPDF=Y")</f>
        <v>#NAME?</v>
      </c>
      <c r="CY348" s="3" t="e">
        <f ca="1">_xll.BDH($C$328,"INVENT_TURN","FY 2018","FY 2018","Currency=INR","Period=FY","BEST_FPERIOD_OVERRIDE=FY","FILING_STATUS=OR","EQY_CONSOLIDATED=Y","FA_ADJUSTED=GAAP","Sort=A","Dates=H","DateFormat=P","Fill=—","Direction=H","UseDPDF=Y")</f>
        <v>#NAME?</v>
      </c>
      <c r="CZ348" s="1" t="e">
        <f ca="1">_xll.BDH($C$328,"INVENT_DAYS","FY 2018","FY 2018","Currency=INR","Period=FY","BEST_FPERIOD_OVERRIDE=FY","FILING_STATUS=OR","EQY_CONSOLIDATED=Y","FA_ADJUSTED=GAAP","Sort=A","Dates=H","DateFormat=P","Fill=—","Direction=H","UseDPDF=Y")</f>
        <v>#NAME?</v>
      </c>
      <c r="DA348" s="3" t="e">
        <f ca="1">_xll.BDH($C$328,"ACCOUNTS_PAYABLE_TURNOVER","FY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48" s="1" t="e">
        <f ca="1">_xll.BDH($C$328,"ACCOUNTS_PAYABLE_TURNOVER_DAYS","FY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48" s="3" t="e">
        <f ca="1">_xll.BDH($C$328,"CASH_CONVERSION_CYCLE","FY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48" s="3" t="e">
        <f ca="1">_xll.BDH($C$328,"INV_TO_CASH_DAYS","FY 2018","FY 2018","Currency=INR","Period=FY","BEST_FPERIOD_OVERRIDE=FY","FILING_STATUS=OR","EQY_CONSOLIDATED=Y","FA_ADJUSTED=GAAP","Sort=A","Dates=H","DateFormat=P","Fill=—","Direction=H","UseDPDF=Y")</f>
        <v>#NAME?</v>
      </c>
      <c r="DE348" s="4" t="e">
        <f ca="1">_xll.BDH($C$328,"BS_INVENTORIES","FY 2018","FY 2018","Currency=INR","Period=FY","BEST_FPERIOD_OVERRIDE=FY","FILING_STATUS=OR","EQY_CONSOLIDATED=Y","SCALING_FORMAT=MLN","Sort=A","Dates=H","DateFormat=P","Fill=—","Direction=H","UseDPDF=Y")</f>
        <v>#NAME?</v>
      </c>
      <c r="DF348" s="2" t="e">
        <f ca="1">_xll.BDH($C$328,"INVTRY_RAW_MATERIALS","FY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48" s="2" t="e">
        <f ca="1">_xll.BDH($C$328,"INVTRY_IN_PROGRESS","FY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48" s="2" t="e">
        <f ca="1">_xll.BDH($C$328,"INVTRY_FINISHED_GOODS","FY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48" s="2" t="e">
        <f ca="1">_xll.BDH($C$328,"BS_OTHER_INV","FY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49" spans="1:113" x14ac:dyDescent="0.3">
      <c r="A349" s="6"/>
      <c r="B349" s="6"/>
      <c r="C349" s="6"/>
      <c r="D349" s="6"/>
      <c r="E349" t="s">
        <v>4</v>
      </c>
      <c r="F349" t="e">
        <f ca="1">_xll.BDH($C$328,"RETURN_COM_EQY","FQ1 2018","FQ1 2018","Currency=INR","Period=FQ","BEST_FPERIOD_OVERRIDE=FQ","FILING_STATUS=OR","EQY_CONSOLIDATED=Y","FA_ADJUSTED=GAAP","Sort=A","Dates=H","DateFormat=P","Fill=—","Direction=H","UseDPDF=Y")</f>
        <v>#NAME?</v>
      </c>
      <c r="G349" t="e">
        <f ca="1">_xll.BDH($C$328,"RETURN_ON_ASSET","FQ1 2018","FQ1 2018","Currency=INR","Period=FQ","BEST_FPERIOD_OVERRIDE=FQ","FILING_STATUS=OR","EQY_CONSOLIDATED=Y","FA_ADJUSTED=GAAP","Sort=A","Dates=H","DateFormat=P","Fill=—","Direction=H","UseDPDF=Y")</f>
        <v>#NAME?</v>
      </c>
      <c r="H349" t="e">
        <f ca="1">_xll.BDH($C$328,"RETURN_ON_CAP","FQ1 2018","FQ1 2018","Currency=INR","Period=FQ","BEST_FPERIOD_OVERRIDE=FQ","FILING_STATUS=OR","EQY_CONSOLIDATED=Y","FA_ADJUSTED=GAAP","Sort=A","Dates=H","DateFormat=P","Fill=—","Direction=H","UseDPDF=Y")</f>
        <v>#NAME?</v>
      </c>
      <c r="I349" t="e">
        <f ca="1">_xll.BDH($C$328,"RETURN_ON_INV_CAPITAL","FQ1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49" t="e">
        <f ca="1">_xll.BDH($C$328,"EBITDA_TO_REVENUE","FQ1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349" t="e">
        <f ca="1">_xll.BDH($C$328,"OPER_MARGIN","FQ1 2018","FQ1 2018","Currency=INR","Period=FQ","BEST_FPERIOD_OVERRIDE=FQ","FILING_STATUS=OR","EQY_CONSOLIDATED=Y","FA_ADJUSTED=GAAP","Sort=A","Dates=H","DateFormat=P","Fill=—","Direction=H","UseDPDF=Y")</f>
        <v>#NAME?</v>
      </c>
      <c r="L349" t="e">
        <f ca="1">_xll.BDH($C$328,"INCREMENTAL_OPERATING_MARGIN","FQ1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49" t="e">
        <f ca="1">_xll.BDH($C$328,"PRETAX_INC_TO_NET_SALES","FQ1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49" t="e">
        <f ca="1">_xll.BDH($C$328,"INC_BEF_XO_ITEMS_TO_NET_SALES","FQ1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49" t="e">
        <f ca="1">_xll.BDH($C$328,"PROF_MARGIN","FQ1 2018","FQ1 2018","Currency=INR","Period=FQ","BEST_FPERIOD_OVERRIDE=FQ","FILING_STATUS=OR","EQY_CONSOLIDATED=Y","FA_ADJUSTED=GAAP","Sort=A","Dates=H","DateFormat=P","Fill=—","Direction=H","UseDPDF=Y")</f>
        <v>#NAME?</v>
      </c>
      <c r="P349" t="e">
        <f ca="1">_xll.BDH($C$328,"NET_INCOME_TO_COMMON_MARGIN","FQ1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49" t="e">
        <f ca="1">_xll.BDH($C$328,"EFF_TAX_RATE","FQ1 2018","FQ1 2018","Currency=INR","Period=FQ","BEST_FPERIOD_OVERRIDE=FQ","FILING_STATUS=OR","EQY_CONSOLIDATED=Y","FA_ADJUSTED=GAAP","Sort=A","Dates=H","DateFormat=P","Fill=—","Direction=H","UseDPDF=Y")</f>
        <v>#NAME?</v>
      </c>
      <c r="R349" t="e">
        <f ca="1">_xll.BDH($C$328,"DVD_PAYOUT_RATIO","FQ1 2018","FQ1 2018","Currency=INR","Period=FQ","BEST_FPERIOD_OVERRIDE=FQ","FILING_STATUS=OR","EQY_CONSOLIDATED=Y","FA_ADJUSTED=GAAP","Sort=A","Dates=H","DateFormat=P","Fill=—","Direction=H","UseDPDF=Y")</f>
        <v>#NAME?</v>
      </c>
      <c r="S349" t="e">
        <f ca="1">_xll.BDH($C$328,"SUSTAIN_GROWTH_RT","FQ1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349" s="1" t="e">
        <f ca="1">_xll.BDH($C$328,"SALES_GROWTH","FQ1 2018","FQ1 2018","Currency=INR","Period=FQ","BEST_FPERIOD_OVERRIDE=FQ","FILING_STATUS=OR","EQY_CONSOLIDATED=Y","FA_ADJUSTED=GAAP","Sort=A","Dates=H","DateFormat=P","Fill=—","Direction=H","UseDPDF=Y")</f>
        <v>#NAME?</v>
      </c>
      <c r="U349" s="1" t="e">
        <f ca="1">_xll.BDH($C$328,"EBITDA_GROWTH","FQ1 2018","FQ1 2018","Currency=INR","Period=FQ","BEST_FPERIOD_OVERRIDE=FQ","FILING_STATUS=OR","EQY_CONSOLIDATED=Y","FA_ADJUSTED=GAAP","Sort=A","Dates=H","DateFormat=P","Fill=—","Direction=H","UseDPDF=Y")</f>
        <v>#NAME?</v>
      </c>
      <c r="V349" s="1" t="e">
        <f ca="1">_xll.BDH($C$328,"OPER_INC_GROWTH","FQ1 2018","FQ1 2018","Currency=INR","Period=FQ","BEST_FPERIOD_OVERRIDE=FQ","FILING_STATUS=OR","EQY_CONSOLIDATED=Y","FA_ADJUSTED=GAAP","Sort=A","Dates=H","DateFormat=P","Fill=—","Direction=H","UseDPDF=Y")</f>
        <v>#NAME?</v>
      </c>
      <c r="W349" s="1" t="e">
        <f ca="1">_xll.BDH($C$328,"EARN_FOR_COM_GROWTH","FQ1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49" s="1" t="e">
        <f ca="1">_xll.BDH($C$328,"DILUTED_EPS_AFT_XO_ITEMS_GROWTH","FQ1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49" s="1" t="e">
        <f ca="1">_xll.BDH($C$328,"DIVIDEND_PER_SHARE_1_YEAR_GROWTH","FQ1 2018","FQ1 2018","Currency=INR","Period=FQ","BEST_FPERIOD_OVERRIDE=FQ","FILING_STATUS=OR","EQY_CONSOLIDATED=Y","Sort=A","Dates=H","DateFormat=P","Fill=—","Direction=H","UseDPDF=Y")</f>
        <v>#NAME?</v>
      </c>
      <c r="Z349" s="1" t="e">
        <f ca="1">_xll.BDH($C$328,"ACCOUNTS_RECEIVABLE_GROWTH","FQ1 2018","FQ1 2018","Currency=INR","Period=FQ","BEST_FPERIOD_OVERRIDE=FQ","FILING_STATUS=OR","EQY_CONSOLIDATED=Y","Sort=A","Dates=H","DateFormat=P","Fill=—","Direction=H","UseDPDF=Y")</f>
        <v>#NAME?</v>
      </c>
      <c r="AA349" s="1" t="e">
        <f ca="1">_xll.BDH($C$328,"INVENTORY_GROWTH","FQ1 2018","FQ1 2018","Currency=INR","Period=FQ","BEST_FPERIOD_OVERRIDE=FQ","FILING_STATUS=OR","EQY_CONSOLIDATED=Y","Sort=A","Dates=H","DateFormat=P","Fill=—","Direction=H","UseDPDF=Y")</f>
        <v>#NAME?</v>
      </c>
      <c r="AB349" s="1" t="e">
        <f ca="1">_xll.BDH($C$328,"NET_FIXED_ASSETS_1_YEAR_GROWTH","FQ1 2018","FQ1 2018","Currency=INR","Period=FQ","BEST_FPERIOD_OVERRIDE=FQ","FILING_STATUS=OR","EQY_CONSOLIDATED=Y","Sort=A","Dates=H","DateFormat=P","Fill=—","Direction=H","UseDPDF=Y")</f>
        <v>#NAME?</v>
      </c>
      <c r="AC349" s="1" t="e">
        <f ca="1">_xll.BDH($C$328,"ASSET_GROWTH","FQ1 2018","FQ1 2018","Currency=INR","Period=FQ","BEST_FPERIOD_OVERRIDE=FQ","FILING_STATUS=OR","EQY_CONSOLIDATED=Y","Sort=A","Dates=H","DateFormat=P","Fill=—","Direction=H","UseDPDF=Y")</f>
        <v>#NAME?</v>
      </c>
      <c r="AD349" s="1" t="e">
        <f ca="1">_xll.BDH($C$328,"MODIFIED_WORK_CAP_GROWTH","FQ1 2018","FQ1 2018","Currency=INR","Period=FQ","BEST_FPERIOD_OVERRIDE=FQ","FILING_STATUS=OR","EQY_CONSOLIDATED=Y","Sort=A","Dates=H","DateFormat=P","Fill=—","Direction=H","UseDPDF=Y")</f>
        <v>#NAME?</v>
      </c>
      <c r="AE349" s="1" t="e">
        <f ca="1">_xll.BDH($C$328,"WORK_CAP_GROWTH","FQ1 2018","FQ1 2018","Currency=INR","Period=FQ","BEST_FPERIOD_OVERRIDE=FQ","FILING_STATUS=OR","EQY_CONSOLIDATED=Y","Sort=A","Dates=H","DateFormat=P","Fill=—","Direction=H","UseDPDF=Y")</f>
        <v>#NAME?</v>
      </c>
      <c r="AF349" s="1" t="e">
        <f ca="1">_xll.BDH($C$328,"ACCOUNTS_PAYABLE_GROWTH_1YR","FQ1 2018","FQ1 2018","Currency=INR","Period=FQ","BEST_FPERIOD_OVERRIDE=FQ","FILING_STATUS=OR","EQY_CONSOLIDATED=Y","Sort=A","Dates=H","DateFormat=P","Fill=—","Direction=H","UseDPDF=Y")</f>
        <v>#NAME?</v>
      </c>
      <c r="AG349" s="1" t="e">
        <f ca="1">_xll.BDH($C$328,"SHORT_TERM_DEBT_1_YEAR_GROWTH","FQ1 2018","FQ1 2018","Currency=INR","Period=FQ","BEST_FPERIOD_OVERRIDE=FQ","FILING_STATUS=OR","EQY_CONSOLIDATED=Y","Sort=A","Dates=H","DateFormat=P","Fill=—","Direction=H","UseDPDF=Y")</f>
        <v>#NAME?</v>
      </c>
      <c r="AH349" s="1" t="e">
        <f ca="1">_xll.BDH($C$328,"TOTAL_DEBT_1_YEAR_GROWTH","FQ1 2018","FQ1 2018","Currency=INR","Period=FQ","BEST_FPERIOD_OVERRIDE=FQ","FILING_STATUS=OR","EQY_CONSOLIDATED=Y","Sort=A","Dates=H","DateFormat=P","Fill=—","Direction=H","UseDPDF=Y")</f>
        <v>#NAME?</v>
      </c>
      <c r="AI349" s="1" t="e">
        <f ca="1">_xll.BDH($C$328,"TOTAL_EQUITY_1_YEAR_GROWTH","FQ1 2018","FQ1 2018","Currency=INR","Period=FQ","BEST_FPERIOD_OVERRIDE=FQ","FILING_STATUS=OR","EQY_CONSOLIDATED=Y","Sort=A","Dates=H","DateFormat=P","Fill=—","Direction=H","UseDPDF=Y")</f>
        <v>#NAME?</v>
      </c>
      <c r="AJ349" s="1" t="e">
        <f ca="1">_xll.BDH($C$328,"GROWTH_IN_CAP","FQ1 2018","FQ1 2018","Currency=INR","Period=FQ","BEST_FPERIOD_OVERRIDE=FQ","FILING_STATUS=OR","EQY_CONSOLIDATED=Y","Sort=A","Dates=H","DateFormat=P","Fill=—","Direction=H","UseDPDF=Y")</f>
        <v>#NAME?</v>
      </c>
      <c r="AK349" s="1" t="e">
        <f ca="1">_xll.BDH($C$328,"BVPS_GROWTH","FQ1 2018","FQ1 2018","Currency=INR","Period=FQ","BEST_FPERIOD_OVERRIDE=FQ","FILING_STATUS=OR","EQY_CONSOLIDATED=Y","Sort=A","Dates=H","DateFormat=P","Fill=—","Direction=H","UseDPDF=Y")</f>
        <v>#NAME?</v>
      </c>
      <c r="AL349" s="1" t="e">
        <f ca="1">_xll.BDH($C$328,"CASH_FLOW_GROWTH","FQ1 2018","FQ1 2018","Currency=INR","Period=FQ","BEST_FPERIOD_OVERRIDE=FQ","FILING_STATUS=OR","EQY_CONSOLIDATED=Y","Sort=A","Dates=H","DateFormat=P","Fill=—","Direction=H","UseDPDF=Y")</f>
        <v>#NAME?</v>
      </c>
      <c r="AM349" s="1" t="e">
        <f ca="1">_xll.BDH($C$328,"GEO_GROW_NET_SALES","FQ1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49" s="1" t="e">
        <f ca="1">_xll.BDH($C$328,"GEO_GROW_EBITDA","FQ1 2018","FQ1 2018","Currency=INR","Period=FQ","BEST_FPERIOD_OVERRIDE=FQ","FILING_STATUS=OR","EQY_CONSOLIDATED=Y","FA_ADJUSTED=GAAP","Sort=A","Dates=H","DateFormat=P","Fill=—","Direction=H","UseDPDF=Y")</f>
        <v>#NAME?</v>
      </c>
      <c r="AO349" s="1" t="e">
        <f ca="1">_xll.BDH($C$328,"GEO_GROW_OPER_INC","FQ1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49" s="1" t="e">
        <f ca="1">_xll.BDH($C$328,"NET_INCOME_TO_COMMON_5_YR_GROWTH","FQ1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49" s="1" t="e">
        <f ca="1">_xll.BDH($C$328,"5Y_GEO_GROWTH_DILUTED_EPS","FQ1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49" s="1" t="e">
        <f ca="1">_xll.BDH($C$328,"GEO_GROW_DVD_PER_SH","FQ1 2018","FQ1 2018","Currency=INR","Period=FQ","BEST_FPERIOD_OVERRIDE=FQ","FILING_STATUS=OR","EQY_CONSOLIDATED=Y","Sort=A","Dates=H","DateFormat=P","Fill=—","Direction=H","UseDPDF=Y")</f>
        <v>#NAME?</v>
      </c>
      <c r="AS349" s="1" t="e">
        <f ca="1">_xll.BDH($C$328,"ACCOUNTS_RECEIVABLE_5_YR_GROWTH","FQ1 2018","FQ1 2018","Currency=INR","Period=FQ","BEST_FPERIOD_OVERRIDE=FQ","FILING_STATUS=OR","EQY_CONSOLIDATED=Y","Sort=A","Dates=H","DateFormat=P","Fill=—","Direction=H","UseDPDF=Y")</f>
        <v>#NAME?</v>
      </c>
      <c r="AT349" s="1" t="e">
        <f ca="1">_xll.BDH($C$328,"INVENTORY_5_YEAR_GROWTH","FQ1 2018","FQ1 2018","Currency=INR","Period=FQ","BEST_FPERIOD_OVERRIDE=FQ","FILING_STATUS=OR","EQY_CONSOLIDATED=Y","Sort=A","Dates=H","DateFormat=P","Fill=—","Direction=H","UseDPDF=Y")</f>
        <v>#NAME?</v>
      </c>
      <c r="AU349" s="1" t="e">
        <f ca="1">_xll.BDH($C$328,"NET_FIXED_ASSETS_5_YEAR_GROWTH","FQ1 2018","FQ1 2018","Currency=INR","Period=FQ","BEST_FPERIOD_OVERRIDE=FQ","FILING_STATUS=OR","EQY_CONSOLIDATED=Y","Sort=A","Dates=H","DateFormat=P","Fill=—","Direction=H","UseDPDF=Y")</f>
        <v>#NAME?</v>
      </c>
      <c r="AV349" s="1" t="e">
        <f ca="1">_xll.BDH($C$328,"GEO_GROW_TOT_ASSET","FQ1 2018","FQ1 2018","Currency=INR","Period=FQ","BEST_FPERIOD_OVERRIDE=FQ","FILING_STATUS=OR","EQY_CONSOLIDATED=Y","Sort=A","Dates=H","DateFormat=P","Fill=—","Direction=H","UseDPDF=Y")</f>
        <v>#NAME?</v>
      </c>
      <c r="AW349" s="1" t="e">
        <f ca="1">_xll.BDH($C$328,"MODIFIED_WORKING_CPTL_5YR_GRWTH","FQ1 2018","FQ1 2018","Currency=INR","Period=FQ","BEST_FPERIOD_OVERRIDE=FQ","FILING_STATUS=OR","EQY_CONSOLIDATED=Y","Sort=A","Dates=H","DateFormat=P","Fill=—","Direction=H","UseDPDF=Y")</f>
        <v>#NAME?</v>
      </c>
      <c r="AX349" s="1" t="e">
        <f ca="1">_xll.BDH($C$328,"WORKING_CAPITAL_5_YEAR_GROWTH","FQ1 2018","FQ1 2018","Currency=INR","Period=FQ","BEST_FPERIOD_OVERRIDE=FQ","FILING_STATUS=OR","EQY_CONSOLIDATED=Y","Sort=A","Dates=H","DateFormat=P","Fill=—","Direction=H","UseDPDF=Y")</f>
        <v>#NAME?</v>
      </c>
      <c r="AY349" s="1" t="e">
        <f ca="1">_xll.BDH($C$328,"ACCOUNTS_PAYABLE_5_YEAR_GROWTH","FQ1 2018","FQ1 2018","Currency=INR","Period=FQ","BEST_FPERIOD_OVERRIDE=FQ","FILING_STATUS=OR","EQY_CONSOLIDATED=Y","Sort=A","Dates=H","DateFormat=P","Fill=—","Direction=H","UseDPDF=Y")</f>
        <v>#NAME?</v>
      </c>
      <c r="AZ349" s="1" t="e">
        <f ca="1">_xll.BDH($C$328,"SHORT_TERM_DEBT_5_YEAR_GROWTH","FQ1 2018","FQ1 2018","Currency=INR","Period=FQ","BEST_FPERIOD_OVERRIDE=FQ","FILING_STATUS=OR","EQY_CONSOLIDATED=Y","Sort=A","Dates=H","DateFormat=P","Fill=—","Direction=H","UseDPDF=Y")</f>
        <v>#NAME?</v>
      </c>
      <c r="BA349" s="1" t="e">
        <f ca="1">_xll.BDH($C$328,"TOTAL_DEBT_5_YEAR_GROWTH","FQ1 2018","FQ1 2018","Currency=INR","Period=FQ","BEST_FPERIOD_OVERRIDE=FQ","FILING_STATUS=OR","EQY_CONSOLIDATED=Y","Sort=A","Dates=H","DateFormat=P","Fill=—","Direction=H","UseDPDF=Y")</f>
        <v>#NAME?</v>
      </c>
      <c r="BB349" s="1" t="e">
        <f ca="1">_xll.BDH($C$328,"GEO_GROW_TOT_SHRHLDR_EQY","FQ1 2018","FQ1 2018","Currency=INR","Period=FQ","BEST_FPERIOD_OVERRIDE=FQ","FILING_STATUS=OR","EQY_CONSOLIDATED=Y","Sort=A","Dates=H","DateFormat=P","Fill=—","Direction=H","UseDPDF=Y")</f>
        <v>#NAME?</v>
      </c>
      <c r="BC349" s="1" t="e">
        <f ca="1">_xll.BDH($C$328,"TOTAL_CAPITAL_5_YEAR_GROWTH","FQ1 2018","FQ1 2018","Currency=INR","Period=FQ","BEST_FPERIOD_OVERRIDE=FQ","FILING_STATUS=OR","EQY_CONSOLIDATED=Y","Sort=A","Dates=H","DateFormat=P","Fill=—","Direction=H","UseDPDF=Y")</f>
        <v>#NAME?</v>
      </c>
      <c r="BD349" s="1" t="e">
        <f ca="1">_xll.BDH($C$328,"GEO_GROW_BOOK_VAL","FQ1 2018","FQ1 2018","Currency=INR","Period=FQ","BEST_FPERIOD_OVERRIDE=FQ","FILING_STATUS=OR","EQY_CONSOLIDATED=Y","Sort=A","Dates=H","DateFormat=P","Fill=—","Direction=H","UseDPDF=Y")</f>
        <v>#NAME?</v>
      </c>
      <c r="BE349" s="1" t="e">
        <f ca="1">_xll.BDH($C$328,"GEO_GROW_CASH_OPER_ACT","FQ1 2018","FQ1 2018","Currency=INR","Period=FQ","BEST_FPERIOD_OVERRIDE=FQ","FILING_STATUS=OR","EQY_CONSOLIDATED=Y","Sort=A","Dates=H","DateFormat=P","Fill=—","Direction=H","UseDPDF=Y")</f>
        <v>#NAME?</v>
      </c>
      <c r="BF349" s="1" t="e">
        <f ca="1">_xll.BDH($C$328,"REVENUE_SEQUENTIAL_GROWTH","FQ1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49" s="1" t="e">
        <f ca="1">_xll.BDH($C$328,"EBITDA_SEQUENTIAL_GROWTH","FQ1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49" s="1" t="e">
        <f ca="1">_xll.BDH($C$328,"OPERATING_INCOME_SEQ_GROWTH","FQ1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49" s="1" t="e">
        <f ca="1">_xll.BDH($C$328,"NET_INCOME_TO_COMMON_SEQ_GROWTH","FQ1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49" s="1" t="e">
        <f ca="1">_xll.BDH($C$328,"EPS_DILUTED_SEQUENTIAL_GROWTH","FQ1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49" s="1" t="e">
        <f ca="1">_xll.BDH($C$328,"DPS_SEQUENTIAL_GROWTH","FQ1 2018","FQ1 2018","Currency=INR","Period=FQ","BEST_FPERIOD_OVERRIDE=FQ","FILING_STATUS=OR","EQY_CONSOLIDATED=Y","Sort=A","Dates=H","DateFormat=P","Fill=—","Direction=H","UseDPDF=Y")</f>
        <v>#NAME?</v>
      </c>
      <c r="BL349" s="1" t="e">
        <f ca="1">_xll.BDH($C$328,"ACCOUNTS_RECEIVABLE_SEQ_GROWTH","FQ1 2018","FQ1 2018","Currency=INR","Period=FQ","BEST_FPERIOD_OVERRIDE=FQ","FILING_STATUS=OR","EQY_CONSOLIDATED=Y","Sort=A","Dates=H","DateFormat=P","Fill=—","Direction=H","UseDPDF=Y")</f>
        <v>#NAME?</v>
      </c>
      <c r="BM349" s="1" t="e">
        <f ca="1">_xll.BDH($C$328,"INVENTORY_SEQUENTIAL_GROWTH","FQ1 2018","FQ1 2018","Currency=INR","Period=FQ","BEST_FPERIOD_OVERRIDE=FQ","FILING_STATUS=OR","EQY_CONSOLIDATED=Y","Sort=A","Dates=H","DateFormat=P","Fill=—","Direction=H","UseDPDF=Y")</f>
        <v>#NAME?</v>
      </c>
      <c r="BN349" s="1" t="e">
        <f ca="1">_xll.BDH($C$328,"FIXED_ASSETS_SEQUENTIAL_GROWTH","FQ1 2018","FQ1 2018","Currency=INR","Period=FQ","BEST_FPERIOD_OVERRIDE=FQ","FILING_STATUS=OR","EQY_CONSOLIDATED=Y","Sort=A","Dates=H","DateFormat=P","Fill=—","Direction=H","UseDPDF=Y")</f>
        <v>#NAME?</v>
      </c>
      <c r="BO349" s="1" t="e">
        <f ca="1">_xll.BDH($C$328,"TOTAL_ASSETS_SEQUENTIAL_GROWTH","FQ1 2018","FQ1 2018","Currency=INR","Period=FQ","BEST_FPERIOD_OVERRIDE=FQ","FILING_STATUS=OR","EQY_CONSOLIDATED=Y","Sort=A","Dates=H","DateFormat=P","Fill=—","Direction=H","UseDPDF=Y")</f>
        <v>#NAME?</v>
      </c>
      <c r="BP349" s="1" t="e">
        <f ca="1">_xll.BDH($C$328,"MODIFIED_WORKING_CPTL_SEQ_GRWTH","FQ1 2018","FQ1 2018","Currency=INR","Period=FQ","BEST_FPERIOD_OVERRIDE=FQ","FILING_STATUS=OR","EQY_CONSOLIDATED=Y","Sort=A","Dates=H","DateFormat=P","Fill=—","Direction=H","UseDPDF=Y")</f>
        <v>#NAME?</v>
      </c>
      <c r="BQ349" s="1" t="e">
        <f ca="1">_xll.BDH($C$328,"WORKING_CAPITAL_SEQ_GROWTH","FQ1 2018","FQ1 2018","Currency=INR","Period=FQ","BEST_FPERIOD_OVERRIDE=FQ","FILING_STATUS=OR","EQY_CONSOLIDATED=Y","Sort=A","Dates=H","DateFormat=P","Fill=—","Direction=H","UseDPDF=Y")</f>
        <v>#NAME?</v>
      </c>
      <c r="BR349" s="1" t="e">
        <f ca="1">_xll.BDH($C$328,"ACCOUNTS_PAYABLE_SEQ_GROWTH","FQ1 2018","FQ1 2018","Currency=INR","Period=FQ","BEST_FPERIOD_OVERRIDE=FQ","FILING_STATUS=OR","EQY_CONSOLIDATED=Y","Sort=A","Dates=H","DateFormat=P","Fill=—","Direction=H","UseDPDF=Y")</f>
        <v>#NAME?</v>
      </c>
      <c r="BS349" s="1" t="e">
        <f ca="1">_xll.BDH($C$328,"ST_DEBT_SEQUENTIAL_GROWTH","FQ1 2018","FQ1 2018","Currency=INR","Period=FQ","BEST_FPERIOD_OVERRIDE=FQ","FILING_STATUS=OR","EQY_CONSOLIDATED=Y","Sort=A","Dates=H","DateFormat=P","Fill=—","Direction=H","UseDPDF=Y")</f>
        <v>#NAME?</v>
      </c>
      <c r="BT349" s="1" t="e">
        <f ca="1">_xll.BDH($C$328,"TOTAL_DEBT_SEQUENTIAL_GROWTH","FQ1 2018","FQ1 2018","Currency=INR","Period=FQ","BEST_FPERIOD_OVERRIDE=FQ","FILING_STATUS=OR","EQY_CONSOLIDATED=Y","Sort=A","Dates=H","DateFormat=P","Fill=—","Direction=H","UseDPDF=Y")</f>
        <v>#NAME?</v>
      </c>
      <c r="BU349" s="1" t="e">
        <f ca="1">_xll.BDH($C$328,"TOTAL_EQUITY_SEQUENTIAL_GROWTH","FQ1 2018","FQ1 2018","Currency=INR","Period=FQ","BEST_FPERIOD_OVERRIDE=FQ","FILING_STATUS=OR","EQY_CONSOLIDATED=Y","Sort=A","Dates=H","DateFormat=P","Fill=—","Direction=H","UseDPDF=Y")</f>
        <v>#NAME?</v>
      </c>
      <c r="BV349" s="1" t="e">
        <f ca="1">_xll.BDH($C$328,"TOTAL_CAPITAL_SEQUENTIAL_GROWTH","FQ1 2018","FQ1 2018","Currency=INR","Period=FQ","BEST_FPERIOD_OVERRIDE=FQ","FILING_STATUS=OR","EQY_CONSOLIDATED=Y","Sort=A","Dates=H","DateFormat=P","Fill=—","Direction=H","UseDPDF=Y")</f>
        <v>#NAME?</v>
      </c>
      <c r="BW349" s="1" t="e">
        <f ca="1">_xll.BDH($C$328,"BPS_SEQUENTIAL_GROWTH","FQ1 2018","FQ1 2018","Currency=INR","Period=FQ","BEST_FPERIOD_OVERRIDE=FQ","FILING_STATUS=OR","EQY_CONSOLIDATED=Y","Sort=A","Dates=H","DateFormat=P","Fill=—","Direction=H","UseDPDF=Y")</f>
        <v>#NAME?</v>
      </c>
      <c r="BX349" s="1" t="e">
        <f ca="1">_xll.BDH($C$328,"CFO_SEQUENTIAL_GROWTH","FQ1 2018","FQ1 2018","Currency=INR","Period=FQ","BEST_FPERIOD_OVERRIDE=FQ","FILING_STATUS=OR","EQY_CONSOLIDATED=Y","Sort=A","Dates=H","DateFormat=P","Fill=—","Direction=H","UseDPDF=Y")</f>
        <v>#NAME?</v>
      </c>
      <c r="BY349" s="2" t="e">
        <f ca="1">_xll.BDH($C$328,"SHORT_AND_LONG_TERM_DEBT","FQ1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49" s="2" t="e">
        <f ca="1">_xll.BDH($C$328,"BS_ST_BORROW","FQ1 2018","FQ1 2018","Currency=INR","Period=FQ","BEST_FPERIOD_OVERRIDE=FQ","FILING_STATUS=OR","EQY_CONSOLIDATED=Y","SCALING_FORMAT=MLN","Sort=A","Dates=H","DateFormat=P","Fill=—","Direction=H","UseDPDF=Y")</f>
        <v>#NAME?</v>
      </c>
      <c r="CA349" s="2" t="e">
        <f ca="1">_xll.BDH($C$328,"BS_LT_BORROW","FQ1 2018","FQ1 2018","Currency=INR","Period=FQ","BEST_FPERIOD_OVERRIDE=FQ","FILING_STATUS=OR","EQY_CONSOLIDATED=Y","SCALING_FORMAT=MLN","Sort=A","Dates=H","DateFormat=P","Fill=—","Direction=H","UseDPDF=Y")</f>
        <v>#NAME?</v>
      </c>
      <c r="CB349" s="1" t="e">
        <f ca="1">_xll.BDH($C$328,"TOT_DEBT_TO_EBITDA","FQ1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49" s="1" t="e">
        <f ca="1">_xll.BDH($C$328,"NET_DEBT_TO_EBITDA","FQ1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49" s="1" t="e">
        <f ca="1">_xll.BDH($C$328,"TOTAL_DEBT_TO_EBIT","FQ1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49" s="1" t="e">
        <f ca="1">_xll.BDH($C$328,"NET_DEBT_TO_EBIT","FQ1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349" s="1" t="e">
        <f ca="1">_xll.BDH($C$328,"EBITDA_TO_INTEREST_EXPN","FQ1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49" s="1" t="e">
        <f ca="1">_xll.BDH($C$328,"COM_EQY_TO_TOT_ASSET","FQ1 2018","FQ1 2018","Currency=INR","Period=FQ","BEST_FPERIOD_OVERRIDE=FQ","FILING_STATUS=OR","EQY_CONSOLIDATED=Y","Sort=A","Dates=H","DateFormat=P","Fill=—","Direction=H","UseDPDF=Y")</f>
        <v>#NAME?</v>
      </c>
      <c r="CH349" s="1" t="e">
        <f ca="1">_xll.BDH($C$328,"LT_DEBT_TO_TOT_EQY","FQ1 2018","FQ1 2018","Currency=INR","Period=FQ","BEST_FPERIOD_OVERRIDE=FQ","FILING_STATUS=OR","EQY_CONSOLIDATED=Y","Sort=A","Dates=H","DateFormat=P","Fill=—","Direction=H","UseDPDF=Y")</f>
        <v>#NAME?</v>
      </c>
      <c r="CI349" s="1" t="e">
        <f ca="1">_xll.BDH($C$328,"LT_DEBT_TO_TOT_CAP","FQ1 2018","FQ1 2018","Currency=INR","Period=FQ","BEST_FPERIOD_OVERRIDE=FQ","FILING_STATUS=OR","EQY_CONSOLIDATED=Y","Sort=A","Dates=H","DateFormat=P","Fill=—","Direction=H","UseDPDF=Y")</f>
        <v>#NAME?</v>
      </c>
      <c r="CJ349" s="1" t="e">
        <f ca="1">_xll.BDH($C$328,"LT_DEBT_TO_TOT_ASSET","FQ1 2018","FQ1 2018","Currency=INR","Period=FQ","BEST_FPERIOD_OVERRIDE=FQ","FILING_STATUS=OR","EQY_CONSOLIDATED=Y","Sort=A","Dates=H","DateFormat=P","Fill=—","Direction=H","UseDPDF=Y")</f>
        <v>#NAME?</v>
      </c>
      <c r="CK349" s="1" t="e">
        <f ca="1">_xll.BDH($C$328,"TOT_DEBT_TO_TOT_EQY","FQ1 2018","FQ1 2018","Currency=INR","Period=FQ","BEST_FPERIOD_OVERRIDE=FQ","FILING_STATUS=OR","EQY_CONSOLIDATED=Y","Sort=A","Dates=H","DateFormat=P","Fill=—","Direction=H","UseDPDF=Y")</f>
        <v>#NAME?</v>
      </c>
      <c r="CL349" s="1" t="e">
        <f ca="1">_xll.BDH($C$328,"TOT_DEBT_TO_TOT_CAP","FQ1 2018","FQ1 2018","Currency=INR","Period=FQ","BEST_FPERIOD_OVERRIDE=FQ","FILING_STATUS=OR","EQY_CONSOLIDATED=Y","Sort=A","Dates=H","DateFormat=P","Fill=—","Direction=H","UseDPDF=Y")</f>
        <v>#NAME?</v>
      </c>
      <c r="CM349" s="1" t="e">
        <f ca="1">_xll.BDH($C$328,"TOT_DEBT_TO_TOT_ASSET","FQ1 2018","FQ1 2018","Currency=INR","Period=FQ","BEST_FPERIOD_OVERRIDE=FQ","FILING_STATUS=OR","EQY_CONSOLIDATED=Y","Sort=A","Dates=H","DateFormat=P","Fill=—","Direction=H","UseDPDF=Y")</f>
        <v>#NAME?</v>
      </c>
      <c r="CN349" s="1" t="e">
        <f ca="1">_xll.BDH($C$328,"NET_DEBT_TO_SHRHLDR_EQTY","FQ1 2018","FQ1 2018","Currency=INR","Period=FQ","BEST_FPERIOD_OVERRIDE=FQ","FILING_STATUS=OR","EQY_CONSOLIDATED=Y","Sort=A","Dates=H","DateFormat=P","Fill=—","Direction=H","UseDPDF=Y")</f>
        <v>#NAME?</v>
      </c>
      <c r="CO349" s="1" t="e">
        <f ca="1">_xll.BDH($C$328,"NET_DEBT_%_CAPITAL","FQ1 2018","FQ1 2018","Currency=INR","Period=FQ","BEST_FPERIOD_OVERRIDE=FQ","FILING_STATUS=OR","EQY_CONSOLIDATED=Y","Sort=A","Dates=H","DateFormat=P","Fill=—","Direction=H","UseDPDF=Y")</f>
        <v>#NAME?</v>
      </c>
      <c r="CP349" s="2" t="e">
        <f ca="1">_xll.BDH($C$328,"EBITDA","FQ1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49" s="2" t="e">
        <f ca="1">_xll.BDH($C$328,"EBITDA_AFTER_CAPEX","FQ1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49" s="2" t="e">
        <f ca="1">_xll.BDH($C$328,"IS_OPER_INC","FQ1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49" s="1" t="e">
        <f ca="1">_xll.BDH($C$328,"CASH_RATIO","FQ1 2018","FQ1 2018","Currency=INR","Period=FQ","BEST_FPERIOD_OVERRIDE=FQ","FILING_STATUS=OR","EQY_CONSOLIDATED=Y","Sort=A","Dates=H","DateFormat=P","Fill=—","Direction=H","UseDPDF=Y")</f>
        <v>#NAME?</v>
      </c>
      <c r="CT349" s="1" t="e">
        <f ca="1">_xll.BDH($C$328,"CUR_RATIO","FQ1 2018","FQ1 2018","Currency=INR","Period=FQ","BEST_FPERIOD_OVERRIDE=FQ","FILING_STATUS=OR","EQY_CONSOLIDATED=Y","Sort=A","Dates=H","DateFormat=P","Fill=—","Direction=H","UseDPDF=Y")</f>
        <v>#NAME?</v>
      </c>
      <c r="CU349" s="1" t="e">
        <f ca="1">_xll.BDH($C$328,"QUICK_RATIO","FQ1 2018","FQ1 2018","Currency=INR","Period=FQ","BEST_FPERIOD_OVERRIDE=FQ","FILING_STATUS=OR","EQY_CONSOLIDATED=Y","Sort=A","Dates=H","DateFormat=P","Fill=—","Direction=H","UseDPDF=Y")</f>
        <v>#NAME?</v>
      </c>
      <c r="CV349" s="1" t="e">
        <f ca="1">_xll.BDH($C$328,"ALTMAN_Z_SCORE","FQ1 2018","FQ1 2018","Currency=INR","Period=FQ","BEST_FPERIOD_OVERRIDE=FQ","FILING_STATUS=OR","EQY_CONSOLIDATED=Y","Sort=A","Dates=H","DateFormat=P","Fill=—","Direction=H","UseDPDF=Y")</f>
        <v>#NAME?</v>
      </c>
      <c r="CW349" s="3" t="e">
        <f ca="1">_xll.BDH($C$328,"ACCT_RCV_TURN","FQ1 2018","FQ1 2018","Currency=INR","Period=FQ","BEST_FPERIOD_OVERRIDE=FQ","FILING_STATUS=OR","EQY_CONSOLIDATED=Y","FA_ADJUSTED=GAAP","Sort=A","Dates=H","DateFormat=P","Fill=—","Direction=H","UseDPDF=Y")</f>
        <v>#NAME?</v>
      </c>
      <c r="CX349" s="1" t="e">
        <f ca="1">_xll.BDH($C$328,"ACCT_RCV_DAYS","FQ1 2018","FQ1 2018","Currency=INR","Period=FQ","BEST_FPERIOD_OVERRIDE=FQ","FILING_STATUS=OR","EQY_CONSOLIDATED=Y","FA_ADJUSTED=GAAP","Sort=A","Dates=H","DateFormat=P","Fill=—","Direction=H","UseDPDF=Y")</f>
        <v>#NAME?</v>
      </c>
      <c r="CY349" s="3" t="e">
        <f ca="1">_xll.BDH($C$328,"INVENT_TURN","FQ1 2018","FQ1 2018","Currency=INR","Period=FQ","BEST_FPERIOD_OVERRIDE=FQ","FILING_STATUS=OR","EQY_CONSOLIDATED=Y","FA_ADJUSTED=GAAP","Sort=A","Dates=H","DateFormat=P","Fill=—","Direction=H","UseDPDF=Y")</f>
        <v>#NAME?</v>
      </c>
      <c r="CZ349" s="1" t="e">
        <f ca="1">_xll.BDH($C$328,"INVENT_DAYS","FQ1 2018","FQ1 2018","Currency=INR","Period=FQ","BEST_FPERIOD_OVERRIDE=FQ","FILING_STATUS=OR","EQY_CONSOLIDATED=Y","FA_ADJUSTED=GAAP","Sort=A","Dates=H","DateFormat=P","Fill=—","Direction=H","UseDPDF=Y")</f>
        <v>#NAME?</v>
      </c>
      <c r="DA349" s="3" t="e">
        <f ca="1">_xll.BDH($C$328,"ACCOUNTS_PAYABLE_TURNOVER","FQ1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49" s="1" t="e">
        <f ca="1">_xll.BDH($C$328,"ACCOUNTS_PAYABLE_TURNOVER_DAYS","FQ1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49" s="3" t="e">
        <f ca="1">_xll.BDH($C$328,"CASH_CONVERSION_CYCLE","FQ1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49" s="3" t="e">
        <f ca="1">_xll.BDH($C$328,"INV_TO_CASH_DAYS","FQ1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349" s="4" t="e">
        <f ca="1">_xll.BDH($C$328,"BS_INVENTORIES","FQ1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349" s="2" t="e">
        <f ca="1">_xll.BDH($C$328,"INVTRY_RAW_MATERIALS","FQ1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49" s="2" t="e">
        <f ca="1">_xll.BDH($C$328,"INVTRY_IN_PROGRESS","FQ1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49" s="2" t="e">
        <f ca="1">_xll.BDH($C$328,"INVTRY_FINISHED_GOODS","FQ1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49" s="2" t="e">
        <f ca="1">_xll.BDH($C$328,"BS_OTHER_INV","FQ1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50" spans="1:113" x14ac:dyDescent="0.3">
      <c r="A350" s="6"/>
      <c r="B350" s="6"/>
      <c r="C350" s="6"/>
      <c r="D350" s="6"/>
      <c r="E350" t="s">
        <v>5</v>
      </c>
      <c r="F350" t="e">
        <f ca="1">_xll.BDH($C$328,"RETURN_COM_EQY","FQ2 2018","FQ2 2018","Currency=INR","Period=FQ","BEST_FPERIOD_OVERRIDE=FQ","FILING_STATUS=OR","EQY_CONSOLIDATED=Y","FA_ADJUSTED=GAAP","Sort=A","Dates=H","DateFormat=P","Fill=—","Direction=H","UseDPDF=Y")</f>
        <v>#NAME?</v>
      </c>
      <c r="G350" t="e">
        <f ca="1">_xll.BDH($C$328,"RETURN_ON_ASSET","FQ2 2018","FQ2 2018","Currency=INR","Period=FQ","BEST_FPERIOD_OVERRIDE=FQ","FILING_STATUS=OR","EQY_CONSOLIDATED=Y","FA_ADJUSTED=GAAP","Sort=A","Dates=H","DateFormat=P","Fill=—","Direction=H","UseDPDF=Y")</f>
        <v>#NAME?</v>
      </c>
      <c r="H350" t="e">
        <f ca="1">_xll.BDH($C$328,"RETURN_ON_CAP","FQ2 2018","FQ2 2018","Currency=INR","Period=FQ","BEST_FPERIOD_OVERRIDE=FQ","FILING_STATUS=OR","EQY_CONSOLIDATED=Y","FA_ADJUSTED=GAAP","Sort=A","Dates=H","DateFormat=P","Fill=—","Direction=H","UseDPDF=Y")</f>
        <v>#NAME?</v>
      </c>
      <c r="I350" t="e">
        <f ca="1">_xll.BDH($C$328,"RETURN_ON_INV_CAPITAL","FQ2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50" t="e">
        <f ca="1">_xll.BDH($C$328,"EBITDA_TO_REVENUE","FQ2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350" t="e">
        <f ca="1">_xll.BDH($C$328,"OPER_MARGIN","FQ2 2018","FQ2 2018","Currency=INR","Period=FQ","BEST_FPERIOD_OVERRIDE=FQ","FILING_STATUS=OR","EQY_CONSOLIDATED=Y","FA_ADJUSTED=GAAP","Sort=A","Dates=H","DateFormat=P","Fill=—","Direction=H","UseDPDF=Y")</f>
        <v>#NAME?</v>
      </c>
      <c r="L350" t="e">
        <f ca="1">_xll.BDH($C$328,"INCREMENTAL_OPERATING_MARGIN","FQ2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50" t="e">
        <f ca="1">_xll.BDH($C$328,"PRETAX_INC_TO_NET_SALES","FQ2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50" t="e">
        <f ca="1">_xll.BDH($C$328,"INC_BEF_XO_ITEMS_TO_NET_SALES","FQ2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50" t="e">
        <f ca="1">_xll.BDH($C$328,"PROF_MARGIN","FQ2 2018","FQ2 2018","Currency=INR","Period=FQ","BEST_FPERIOD_OVERRIDE=FQ","FILING_STATUS=OR","EQY_CONSOLIDATED=Y","FA_ADJUSTED=GAAP","Sort=A","Dates=H","DateFormat=P","Fill=—","Direction=H","UseDPDF=Y")</f>
        <v>#NAME?</v>
      </c>
      <c r="P350" t="e">
        <f ca="1">_xll.BDH($C$328,"NET_INCOME_TO_COMMON_MARGIN","FQ2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50" t="e">
        <f ca="1">_xll.BDH($C$328,"EFF_TAX_RATE","FQ2 2018","FQ2 2018","Currency=INR","Period=FQ","BEST_FPERIOD_OVERRIDE=FQ","FILING_STATUS=OR","EQY_CONSOLIDATED=Y","FA_ADJUSTED=GAAP","Sort=A","Dates=H","DateFormat=P","Fill=—","Direction=H","UseDPDF=Y")</f>
        <v>#NAME?</v>
      </c>
      <c r="R350" t="e">
        <f ca="1">_xll.BDH($C$328,"DVD_PAYOUT_RATIO","FQ2 2018","FQ2 2018","Currency=INR","Period=FQ","BEST_FPERIOD_OVERRIDE=FQ","FILING_STATUS=OR","EQY_CONSOLIDATED=Y","FA_ADJUSTED=GAAP","Sort=A","Dates=H","DateFormat=P","Fill=—","Direction=H","UseDPDF=Y")</f>
        <v>#NAME?</v>
      </c>
      <c r="S350" t="e">
        <f ca="1">_xll.BDH($C$328,"SUSTAIN_GROWTH_RT","FQ2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350" s="1" t="e">
        <f ca="1">_xll.BDH($C$328,"SALES_GROWTH","FQ2 2018","FQ2 2018","Currency=INR","Period=FQ","BEST_FPERIOD_OVERRIDE=FQ","FILING_STATUS=OR","EQY_CONSOLIDATED=Y","FA_ADJUSTED=GAAP","Sort=A","Dates=H","DateFormat=P","Fill=—","Direction=H","UseDPDF=Y")</f>
        <v>#NAME?</v>
      </c>
      <c r="U350" s="1" t="e">
        <f ca="1">_xll.BDH($C$328,"EBITDA_GROWTH","FQ2 2018","FQ2 2018","Currency=INR","Period=FQ","BEST_FPERIOD_OVERRIDE=FQ","FILING_STATUS=OR","EQY_CONSOLIDATED=Y","FA_ADJUSTED=GAAP","Sort=A","Dates=H","DateFormat=P","Fill=—","Direction=H","UseDPDF=Y")</f>
        <v>#NAME?</v>
      </c>
      <c r="V350" s="1" t="e">
        <f ca="1">_xll.BDH($C$328,"OPER_INC_GROWTH","FQ2 2018","FQ2 2018","Currency=INR","Period=FQ","BEST_FPERIOD_OVERRIDE=FQ","FILING_STATUS=OR","EQY_CONSOLIDATED=Y","FA_ADJUSTED=GAAP","Sort=A","Dates=H","DateFormat=P","Fill=—","Direction=H","UseDPDF=Y")</f>
        <v>#NAME?</v>
      </c>
      <c r="W350" s="1" t="e">
        <f ca="1">_xll.BDH($C$328,"EARN_FOR_COM_GROWTH","FQ2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50" s="1" t="e">
        <f ca="1">_xll.BDH($C$328,"DILUTED_EPS_AFT_XO_ITEMS_GROWTH","FQ2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50" s="1" t="e">
        <f ca="1">_xll.BDH($C$328,"DIVIDEND_PER_SHARE_1_YEAR_GROWTH","FQ2 2018","FQ2 2018","Currency=INR","Period=FQ","BEST_FPERIOD_OVERRIDE=FQ","FILING_STATUS=OR","EQY_CONSOLIDATED=Y","Sort=A","Dates=H","DateFormat=P","Fill=—","Direction=H","UseDPDF=Y")</f>
        <v>#NAME?</v>
      </c>
      <c r="Z350" s="1" t="e">
        <f ca="1">_xll.BDH($C$328,"ACCOUNTS_RECEIVABLE_GROWTH","FQ2 2018","FQ2 2018","Currency=INR","Period=FQ","BEST_FPERIOD_OVERRIDE=FQ","FILING_STATUS=OR","EQY_CONSOLIDATED=Y","Sort=A","Dates=H","DateFormat=P","Fill=—","Direction=H","UseDPDF=Y")</f>
        <v>#NAME?</v>
      </c>
      <c r="AA350" s="1" t="e">
        <f ca="1">_xll.BDH($C$328,"INVENTORY_GROWTH","FQ2 2018","FQ2 2018","Currency=INR","Period=FQ","BEST_FPERIOD_OVERRIDE=FQ","FILING_STATUS=OR","EQY_CONSOLIDATED=Y","Sort=A","Dates=H","DateFormat=P","Fill=—","Direction=H","UseDPDF=Y")</f>
        <v>#NAME?</v>
      </c>
      <c r="AB350" s="1" t="e">
        <f ca="1">_xll.BDH($C$328,"NET_FIXED_ASSETS_1_YEAR_GROWTH","FQ2 2018","FQ2 2018","Currency=INR","Period=FQ","BEST_FPERIOD_OVERRIDE=FQ","FILING_STATUS=OR","EQY_CONSOLIDATED=Y","Sort=A","Dates=H","DateFormat=P","Fill=—","Direction=H","UseDPDF=Y")</f>
        <v>#NAME?</v>
      </c>
      <c r="AC350" s="1" t="e">
        <f ca="1">_xll.BDH($C$328,"ASSET_GROWTH","FQ2 2018","FQ2 2018","Currency=INR","Period=FQ","BEST_FPERIOD_OVERRIDE=FQ","FILING_STATUS=OR","EQY_CONSOLIDATED=Y","Sort=A","Dates=H","DateFormat=P","Fill=—","Direction=H","UseDPDF=Y")</f>
        <v>#NAME?</v>
      </c>
      <c r="AD350" s="1" t="e">
        <f ca="1">_xll.BDH($C$328,"MODIFIED_WORK_CAP_GROWTH","FQ2 2018","FQ2 2018","Currency=INR","Period=FQ","BEST_FPERIOD_OVERRIDE=FQ","FILING_STATUS=OR","EQY_CONSOLIDATED=Y","Sort=A","Dates=H","DateFormat=P","Fill=—","Direction=H","UseDPDF=Y")</f>
        <v>#NAME?</v>
      </c>
      <c r="AE350" s="1" t="e">
        <f ca="1">_xll.BDH($C$328,"WORK_CAP_GROWTH","FQ2 2018","FQ2 2018","Currency=INR","Period=FQ","BEST_FPERIOD_OVERRIDE=FQ","FILING_STATUS=OR","EQY_CONSOLIDATED=Y","Sort=A","Dates=H","DateFormat=P","Fill=—","Direction=H","UseDPDF=Y")</f>
        <v>#NAME?</v>
      </c>
      <c r="AF350" s="1" t="e">
        <f ca="1">_xll.BDH($C$328,"ACCOUNTS_PAYABLE_GROWTH_1YR","FQ2 2018","FQ2 2018","Currency=INR","Period=FQ","BEST_FPERIOD_OVERRIDE=FQ","FILING_STATUS=OR","EQY_CONSOLIDATED=Y","Sort=A","Dates=H","DateFormat=P","Fill=—","Direction=H","UseDPDF=Y")</f>
        <v>#NAME?</v>
      </c>
      <c r="AG350" s="1" t="e">
        <f ca="1">_xll.BDH($C$328,"SHORT_TERM_DEBT_1_YEAR_GROWTH","FQ2 2018","FQ2 2018","Currency=INR","Period=FQ","BEST_FPERIOD_OVERRIDE=FQ","FILING_STATUS=OR","EQY_CONSOLIDATED=Y","Sort=A","Dates=H","DateFormat=P","Fill=—","Direction=H","UseDPDF=Y")</f>
        <v>#NAME?</v>
      </c>
      <c r="AH350" s="1" t="e">
        <f ca="1">_xll.BDH($C$328,"TOTAL_DEBT_1_YEAR_GROWTH","FQ2 2018","FQ2 2018","Currency=INR","Period=FQ","BEST_FPERIOD_OVERRIDE=FQ","FILING_STATUS=OR","EQY_CONSOLIDATED=Y","Sort=A","Dates=H","DateFormat=P","Fill=—","Direction=H","UseDPDF=Y")</f>
        <v>#NAME?</v>
      </c>
      <c r="AI350" s="1" t="e">
        <f ca="1">_xll.BDH($C$328,"TOTAL_EQUITY_1_YEAR_GROWTH","FQ2 2018","FQ2 2018","Currency=INR","Period=FQ","BEST_FPERIOD_OVERRIDE=FQ","FILING_STATUS=OR","EQY_CONSOLIDATED=Y","Sort=A","Dates=H","DateFormat=P","Fill=—","Direction=H","UseDPDF=Y")</f>
        <v>#NAME?</v>
      </c>
      <c r="AJ350" s="1" t="e">
        <f ca="1">_xll.BDH($C$328,"GROWTH_IN_CAP","FQ2 2018","FQ2 2018","Currency=INR","Period=FQ","BEST_FPERIOD_OVERRIDE=FQ","FILING_STATUS=OR","EQY_CONSOLIDATED=Y","Sort=A","Dates=H","DateFormat=P","Fill=—","Direction=H","UseDPDF=Y")</f>
        <v>#NAME?</v>
      </c>
      <c r="AK350" s="1" t="e">
        <f ca="1">_xll.BDH($C$328,"BVPS_GROWTH","FQ2 2018","FQ2 2018","Currency=INR","Period=FQ","BEST_FPERIOD_OVERRIDE=FQ","FILING_STATUS=OR","EQY_CONSOLIDATED=Y","Sort=A","Dates=H","DateFormat=P","Fill=—","Direction=H","UseDPDF=Y")</f>
        <v>#NAME?</v>
      </c>
      <c r="AL350" s="1" t="e">
        <f ca="1">_xll.BDH($C$328,"CASH_FLOW_GROWTH","FQ2 2018","FQ2 2018","Currency=INR","Period=FQ","BEST_FPERIOD_OVERRIDE=FQ","FILING_STATUS=OR","EQY_CONSOLIDATED=Y","Sort=A","Dates=H","DateFormat=P","Fill=—","Direction=H","UseDPDF=Y")</f>
        <v>#NAME?</v>
      </c>
      <c r="AM350" s="1" t="e">
        <f ca="1">_xll.BDH($C$328,"GEO_GROW_NET_SALES","FQ2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50" s="1" t="e">
        <f ca="1">_xll.BDH($C$328,"GEO_GROW_EBITDA","FQ2 2018","FQ2 2018","Currency=INR","Period=FQ","BEST_FPERIOD_OVERRIDE=FQ","FILING_STATUS=OR","EQY_CONSOLIDATED=Y","FA_ADJUSTED=GAAP","Sort=A","Dates=H","DateFormat=P","Fill=—","Direction=H","UseDPDF=Y")</f>
        <v>#NAME?</v>
      </c>
      <c r="AO350" s="1" t="e">
        <f ca="1">_xll.BDH($C$328,"GEO_GROW_OPER_INC","FQ2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50" s="1" t="e">
        <f ca="1">_xll.BDH($C$328,"NET_INCOME_TO_COMMON_5_YR_GROWTH","FQ2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50" s="1" t="e">
        <f ca="1">_xll.BDH($C$328,"5Y_GEO_GROWTH_DILUTED_EPS","FQ2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50" s="1" t="e">
        <f ca="1">_xll.BDH($C$328,"GEO_GROW_DVD_PER_SH","FQ2 2018","FQ2 2018","Currency=INR","Period=FQ","BEST_FPERIOD_OVERRIDE=FQ","FILING_STATUS=OR","EQY_CONSOLIDATED=Y","Sort=A","Dates=H","DateFormat=P","Fill=—","Direction=H","UseDPDF=Y")</f>
        <v>#NAME?</v>
      </c>
      <c r="AS350" s="1" t="e">
        <f ca="1">_xll.BDH($C$328,"ACCOUNTS_RECEIVABLE_5_YR_GROWTH","FQ2 2018","FQ2 2018","Currency=INR","Period=FQ","BEST_FPERIOD_OVERRIDE=FQ","FILING_STATUS=OR","EQY_CONSOLIDATED=Y","Sort=A","Dates=H","DateFormat=P","Fill=—","Direction=H","UseDPDF=Y")</f>
        <v>#NAME?</v>
      </c>
      <c r="AT350" s="1" t="e">
        <f ca="1">_xll.BDH($C$328,"INVENTORY_5_YEAR_GROWTH","FQ2 2018","FQ2 2018","Currency=INR","Period=FQ","BEST_FPERIOD_OVERRIDE=FQ","FILING_STATUS=OR","EQY_CONSOLIDATED=Y","Sort=A","Dates=H","DateFormat=P","Fill=—","Direction=H","UseDPDF=Y")</f>
        <v>#NAME?</v>
      </c>
      <c r="AU350" s="1" t="e">
        <f ca="1">_xll.BDH($C$328,"NET_FIXED_ASSETS_5_YEAR_GROWTH","FQ2 2018","FQ2 2018","Currency=INR","Period=FQ","BEST_FPERIOD_OVERRIDE=FQ","FILING_STATUS=OR","EQY_CONSOLIDATED=Y","Sort=A","Dates=H","DateFormat=P","Fill=—","Direction=H","UseDPDF=Y")</f>
        <v>#NAME?</v>
      </c>
      <c r="AV350" s="1" t="e">
        <f ca="1">_xll.BDH($C$328,"GEO_GROW_TOT_ASSET","FQ2 2018","FQ2 2018","Currency=INR","Period=FQ","BEST_FPERIOD_OVERRIDE=FQ","FILING_STATUS=OR","EQY_CONSOLIDATED=Y","Sort=A","Dates=H","DateFormat=P","Fill=—","Direction=H","UseDPDF=Y")</f>
        <v>#NAME?</v>
      </c>
      <c r="AW350" s="1" t="e">
        <f ca="1">_xll.BDH($C$328,"MODIFIED_WORKING_CPTL_5YR_GRWTH","FQ2 2018","FQ2 2018","Currency=INR","Period=FQ","BEST_FPERIOD_OVERRIDE=FQ","FILING_STATUS=OR","EQY_CONSOLIDATED=Y","Sort=A","Dates=H","DateFormat=P","Fill=—","Direction=H","UseDPDF=Y")</f>
        <v>#NAME?</v>
      </c>
      <c r="AX350" s="1" t="e">
        <f ca="1">_xll.BDH($C$328,"WORKING_CAPITAL_5_YEAR_GROWTH","FQ2 2018","FQ2 2018","Currency=INR","Period=FQ","BEST_FPERIOD_OVERRIDE=FQ","FILING_STATUS=OR","EQY_CONSOLIDATED=Y","Sort=A","Dates=H","DateFormat=P","Fill=—","Direction=H","UseDPDF=Y")</f>
        <v>#NAME?</v>
      </c>
      <c r="AY350" s="1" t="e">
        <f ca="1">_xll.BDH($C$328,"ACCOUNTS_PAYABLE_5_YEAR_GROWTH","FQ2 2018","FQ2 2018","Currency=INR","Period=FQ","BEST_FPERIOD_OVERRIDE=FQ","FILING_STATUS=OR","EQY_CONSOLIDATED=Y","Sort=A","Dates=H","DateFormat=P","Fill=—","Direction=H","UseDPDF=Y")</f>
        <v>#NAME?</v>
      </c>
      <c r="AZ350" s="1" t="e">
        <f ca="1">_xll.BDH($C$328,"SHORT_TERM_DEBT_5_YEAR_GROWTH","FQ2 2018","FQ2 2018","Currency=INR","Period=FQ","BEST_FPERIOD_OVERRIDE=FQ","FILING_STATUS=OR","EQY_CONSOLIDATED=Y","Sort=A","Dates=H","DateFormat=P","Fill=—","Direction=H","UseDPDF=Y")</f>
        <v>#NAME?</v>
      </c>
      <c r="BA350" s="1" t="e">
        <f ca="1">_xll.BDH($C$328,"TOTAL_DEBT_5_YEAR_GROWTH","FQ2 2018","FQ2 2018","Currency=INR","Period=FQ","BEST_FPERIOD_OVERRIDE=FQ","FILING_STATUS=OR","EQY_CONSOLIDATED=Y","Sort=A","Dates=H","DateFormat=P","Fill=—","Direction=H","UseDPDF=Y")</f>
        <v>#NAME?</v>
      </c>
      <c r="BB350" s="1" t="e">
        <f ca="1">_xll.BDH($C$328,"GEO_GROW_TOT_SHRHLDR_EQY","FQ2 2018","FQ2 2018","Currency=INR","Period=FQ","BEST_FPERIOD_OVERRIDE=FQ","FILING_STATUS=OR","EQY_CONSOLIDATED=Y","Sort=A","Dates=H","DateFormat=P","Fill=—","Direction=H","UseDPDF=Y")</f>
        <v>#NAME?</v>
      </c>
      <c r="BC350" s="1" t="e">
        <f ca="1">_xll.BDH($C$328,"TOTAL_CAPITAL_5_YEAR_GROWTH","FQ2 2018","FQ2 2018","Currency=INR","Period=FQ","BEST_FPERIOD_OVERRIDE=FQ","FILING_STATUS=OR","EQY_CONSOLIDATED=Y","Sort=A","Dates=H","DateFormat=P","Fill=—","Direction=H","UseDPDF=Y")</f>
        <v>#NAME?</v>
      </c>
      <c r="BD350" s="1" t="e">
        <f ca="1">_xll.BDH($C$328,"GEO_GROW_BOOK_VAL","FQ2 2018","FQ2 2018","Currency=INR","Period=FQ","BEST_FPERIOD_OVERRIDE=FQ","FILING_STATUS=OR","EQY_CONSOLIDATED=Y","Sort=A","Dates=H","DateFormat=P","Fill=—","Direction=H","UseDPDF=Y")</f>
        <v>#NAME?</v>
      </c>
      <c r="BE350" s="1" t="e">
        <f ca="1">_xll.BDH($C$328,"GEO_GROW_CASH_OPER_ACT","FQ2 2018","FQ2 2018","Currency=INR","Period=FQ","BEST_FPERIOD_OVERRIDE=FQ","FILING_STATUS=OR","EQY_CONSOLIDATED=Y","Sort=A","Dates=H","DateFormat=P","Fill=—","Direction=H","UseDPDF=Y")</f>
        <v>#NAME?</v>
      </c>
      <c r="BF350" s="1" t="e">
        <f ca="1">_xll.BDH($C$328,"REVENUE_SEQUENTIAL_GROWTH","FQ2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50" s="1" t="e">
        <f ca="1">_xll.BDH($C$328,"EBITDA_SEQUENTIAL_GROWTH","FQ2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50" s="1" t="e">
        <f ca="1">_xll.BDH($C$328,"OPERATING_INCOME_SEQ_GROWTH","FQ2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50" s="1" t="e">
        <f ca="1">_xll.BDH($C$328,"NET_INCOME_TO_COMMON_SEQ_GROWTH","FQ2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50" s="1" t="e">
        <f ca="1">_xll.BDH($C$328,"EPS_DILUTED_SEQUENTIAL_GROWTH","FQ2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50" s="1" t="e">
        <f ca="1">_xll.BDH($C$328,"DPS_SEQUENTIAL_GROWTH","FQ2 2018","FQ2 2018","Currency=INR","Period=FQ","BEST_FPERIOD_OVERRIDE=FQ","FILING_STATUS=OR","EQY_CONSOLIDATED=Y","Sort=A","Dates=H","DateFormat=P","Fill=—","Direction=H","UseDPDF=Y")</f>
        <v>#NAME?</v>
      </c>
      <c r="BL350" s="1" t="e">
        <f ca="1">_xll.BDH($C$328,"ACCOUNTS_RECEIVABLE_SEQ_GROWTH","FQ2 2018","FQ2 2018","Currency=INR","Period=FQ","BEST_FPERIOD_OVERRIDE=FQ","FILING_STATUS=OR","EQY_CONSOLIDATED=Y","Sort=A","Dates=H","DateFormat=P","Fill=—","Direction=H","UseDPDF=Y")</f>
        <v>#NAME?</v>
      </c>
      <c r="BM350" s="1" t="e">
        <f ca="1">_xll.BDH($C$328,"INVENTORY_SEQUENTIAL_GROWTH","FQ2 2018","FQ2 2018","Currency=INR","Period=FQ","BEST_FPERIOD_OVERRIDE=FQ","FILING_STATUS=OR","EQY_CONSOLIDATED=Y","Sort=A","Dates=H","DateFormat=P","Fill=—","Direction=H","UseDPDF=Y")</f>
        <v>#NAME?</v>
      </c>
      <c r="BN350" s="1" t="e">
        <f ca="1">_xll.BDH($C$328,"FIXED_ASSETS_SEQUENTIAL_GROWTH","FQ2 2018","FQ2 2018","Currency=INR","Period=FQ","BEST_FPERIOD_OVERRIDE=FQ","FILING_STATUS=OR","EQY_CONSOLIDATED=Y","Sort=A","Dates=H","DateFormat=P","Fill=—","Direction=H","UseDPDF=Y")</f>
        <v>#NAME?</v>
      </c>
      <c r="BO350" s="1" t="e">
        <f ca="1">_xll.BDH($C$328,"TOTAL_ASSETS_SEQUENTIAL_GROWTH","FQ2 2018","FQ2 2018","Currency=INR","Period=FQ","BEST_FPERIOD_OVERRIDE=FQ","FILING_STATUS=OR","EQY_CONSOLIDATED=Y","Sort=A","Dates=H","DateFormat=P","Fill=—","Direction=H","UseDPDF=Y")</f>
        <v>#NAME?</v>
      </c>
      <c r="BP350" s="1" t="e">
        <f ca="1">_xll.BDH($C$328,"MODIFIED_WORKING_CPTL_SEQ_GRWTH","FQ2 2018","FQ2 2018","Currency=INR","Period=FQ","BEST_FPERIOD_OVERRIDE=FQ","FILING_STATUS=OR","EQY_CONSOLIDATED=Y","Sort=A","Dates=H","DateFormat=P","Fill=—","Direction=H","UseDPDF=Y")</f>
        <v>#NAME?</v>
      </c>
      <c r="BQ350" s="1" t="e">
        <f ca="1">_xll.BDH($C$328,"WORKING_CAPITAL_SEQ_GROWTH","FQ2 2018","FQ2 2018","Currency=INR","Period=FQ","BEST_FPERIOD_OVERRIDE=FQ","FILING_STATUS=OR","EQY_CONSOLIDATED=Y","Sort=A","Dates=H","DateFormat=P","Fill=—","Direction=H","UseDPDF=Y")</f>
        <v>#NAME?</v>
      </c>
      <c r="BR350" s="1" t="e">
        <f ca="1">_xll.BDH($C$328,"ACCOUNTS_PAYABLE_SEQ_GROWTH","FQ2 2018","FQ2 2018","Currency=INR","Period=FQ","BEST_FPERIOD_OVERRIDE=FQ","FILING_STATUS=OR","EQY_CONSOLIDATED=Y","Sort=A","Dates=H","DateFormat=P","Fill=—","Direction=H","UseDPDF=Y")</f>
        <v>#NAME?</v>
      </c>
      <c r="BS350" s="1" t="e">
        <f ca="1">_xll.BDH($C$328,"ST_DEBT_SEQUENTIAL_GROWTH","FQ2 2018","FQ2 2018","Currency=INR","Period=FQ","BEST_FPERIOD_OVERRIDE=FQ","FILING_STATUS=OR","EQY_CONSOLIDATED=Y","Sort=A","Dates=H","DateFormat=P","Fill=—","Direction=H","UseDPDF=Y")</f>
        <v>#NAME?</v>
      </c>
      <c r="BT350" s="1" t="e">
        <f ca="1">_xll.BDH($C$328,"TOTAL_DEBT_SEQUENTIAL_GROWTH","FQ2 2018","FQ2 2018","Currency=INR","Period=FQ","BEST_FPERIOD_OVERRIDE=FQ","FILING_STATUS=OR","EQY_CONSOLIDATED=Y","Sort=A","Dates=H","DateFormat=P","Fill=—","Direction=H","UseDPDF=Y")</f>
        <v>#NAME?</v>
      </c>
      <c r="BU350" s="1" t="e">
        <f ca="1">_xll.BDH($C$328,"TOTAL_EQUITY_SEQUENTIAL_GROWTH","FQ2 2018","FQ2 2018","Currency=INR","Period=FQ","BEST_FPERIOD_OVERRIDE=FQ","FILING_STATUS=OR","EQY_CONSOLIDATED=Y","Sort=A","Dates=H","DateFormat=P","Fill=—","Direction=H","UseDPDF=Y")</f>
        <v>#NAME?</v>
      </c>
      <c r="BV350" s="1" t="e">
        <f ca="1">_xll.BDH($C$328,"TOTAL_CAPITAL_SEQUENTIAL_GROWTH","FQ2 2018","FQ2 2018","Currency=INR","Period=FQ","BEST_FPERIOD_OVERRIDE=FQ","FILING_STATUS=OR","EQY_CONSOLIDATED=Y","Sort=A","Dates=H","DateFormat=P","Fill=—","Direction=H","UseDPDF=Y")</f>
        <v>#NAME?</v>
      </c>
      <c r="BW350" s="1" t="e">
        <f ca="1">_xll.BDH($C$328,"BPS_SEQUENTIAL_GROWTH","FQ2 2018","FQ2 2018","Currency=INR","Period=FQ","BEST_FPERIOD_OVERRIDE=FQ","FILING_STATUS=OR","EQY_CONSOLIDATED=Y","Sort=A","Dates=H","DateFormat=P","Fill=—","Direction=H","UseDPDF=Y")</f>
        <v>#NAME?</v>
      </c>
      <c r="BX350" s="1" t="e">
        <f ca="1">_xll.BDH($C$328,"CFO_SEQUENTIAL_GROWTH","FQ2 2018","FQ2 2018","Currency=INR","Period=FQ","BEST_FPERIOD_OVERRIDE=FQ","FILING_STATUS=OR","EQY_CONSOLIDATED=Y","Sort=A","Dates=H","DateFormat=P","Fill=—","Direction=H","UseDPDF=Y")</f>
        <v>#NAME?</v>
      </c>
      <c r="BY350" s="2" t="e">
        <f ca="1">_xll.BDH($C$328,"SHORT_AND_LONG_TERM_DEBT","FQ2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50" s="2" t="e">
        <f ca="1">_xll.BDH($C$328,"BS_ST_BORROW","FQ2 2018","FQ2 2018","Currency=INR","Period=FQ","BEST_FPERIOD_OVERRIDE=FQ","FILING_STATUS=OR","EQY_CONSOLIDATED=Y","SCALING_FORMAT=MLN","Sort=A","Dates=H","DateFormat=P","Fill=—","Direction=H","UseDPDF=Y")</f>
        <v>#NAME?</v>
      </c>
      <c r="CA350" s="2" t="e">
        <f ca="1">_xll.BDH($C$328,"BS_LT_BORROW","FQ2 2018","FQ2 2018","Currency=INR","Period=FQ","BEST_FPERIOD_OVERRIDE=FQ","FILING_STATUS=OR","EQY_CONSOLIDATED=Y","SCALING_FORMAT=MLN","Sort=A","Dates=H","DateFormat=P","Fill=—","Direction=H","UseDPDF=Y")</f>
        <v>#NAME?</v>
      </c>
      <c r="CB350" s="1" t="e">
        <f ca="1">_xll.BDH($C$328,"TOT_DEBT_TO_EBITDA","FQ2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50" s="1" t="e">
        <f ca="1">_xll.BDH($C$328,"NET_DEBT_TO_EBITDA","FQ2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50" s="1" t="e">
        <f ca="1">_xll.BDH($C$328,"TOTAL_DEBT_TO_EBIT","FQ2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50" s="1" t="e">
        <f ca="1">_xll.BDH($C$328,"NET_DEBT_TO_EBIT","FQ2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350" s="1" t="e">
        <f ca="1">_xll.BDH($C$328,"EBITDA_TO_INTEREST_EXPN","FQ2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50" s="1" t="e">
        <f ca="1">_xll.BDH($C$328,"COM_EQY_TO_TOT_ASSET","FQ2 2018","FQ2 2018","Currency=INR","Period=FQ","BEST_FPERIOD_OVERRIDE=FQ","FILING_STATUS=OR","EQY_CONSOLIDATED=Y","Sort=A","Dates=H","DateFormat=P","Fill=—","Direction=H","UseDPDF=Y")</f>
        <v>#NAME?</v>
      </c>
      <c r="CH350" s="1" t="e">
        <f ca="1">_xll.BDH($C$328,"LT_DEBT_TO_TOT_EQY","FQ2 2018","FQ2 2018","Currency=INR","Period=FQ","BEST_FPERIOD_OVERRIDE=FQ","FILING_STATUS=OR","EQY_CONSOLIDATED=Y","Sort=A","Dates=H","DateFormat=P","Fill=—","Direction=H","UseDPDF=Y")</f>
        <v>#NAME?</v>
      </c>
      <c r="CI350" s="1" t="e">
        <f ca="1">_xll.BDH($C$328,"LT_DEBT_TO_TOT_CAP","FQ2 2018","FQ2 2018","Currency=INR","Period=FQ","BEST_FPERIOD_OVERRIDE=FQ","FILING_STATUS=OR","EQY_CONSOLIDATED=Y","Sort=A","Dates=H","DateFormat=P","Fill=—","Direction=H","UseDPDF=Y")</f>
        <v>#NAME?</v>
      </c>
      <c r="CJ350" s="1" t="e">
        <f ca="1">_xll.BDH($C$328,"LT_DEBT_TO_TOT_ASSET","FQ2 2018","FQ2 2018","Currency=INR","Period=FQ","BEST_FPERIOD_OVERRIDE=FQ","FILING_STATUS=OR","EQY_CONSOLIDATED=Y","Sort=A","Dates=H","DateFormat=P","Fill=—","Direction=H","UseDPDF=Y")</f>
        <v>#NAME?</v>
      </c>
      <c r="CK350" s="1" t="e">
        <f ca="1">_xll.BDH($C$328,"TOT_DEBT_TO_TOT_EQY","FQ2 2018","FQ2 2018","Currency=INR","Period=FQ","BEST_FPERIOD_OVERRIDE=FQ","FILING_STATUS=OR","EQY_CONSOLIDATED=Y","Sort=A","Dates=H","DateFormat=P","Fill=—","Direction=H","UseDPDF=Y")</f>
        <v>#NAME?</v>
      </c>
      <c r="CL350" s="1" t="e">
        <f ca="1">_xll.BDH($C$328,"TOT_DEBT_TO_TOT_CAP","FQ2 2018","FQ2 2018","Currency=INR","Period=FQ","BEST_FPERIOD_OVERRIDE=FQ","FILING_STATUS=OR","EQY_CONSOLIDATED=Y","Sort=A","Dates=H","DateFormat=P","Fill=—","Direction=H","UseDPDF=Y")</f>
        <v>#NAME?</v>
      </c>
      <c r="CM350" s="1" t="e">
        <f ca="1">_xll.BDH($C$328,"TOT_DEBT_TO_TOT_ASSET","FQ2 2018","FQ2 2018","Currency=INR","Period=FQ","BEST_FPERIOD_OVERRIDE=FQ","FILING_STATUS=OR","EQY_CONSOLIDATED=Y","Sort=A","Dates=H","DateFormat=P","Fill=—","Direction=H","UseDPDF=Y")</f>
        <v>#NAME?</v>
      </c>
      <c r="CN350" s="1" t="e">
        <f ca="1">_xll.BDH($C$328,"NET_DEBT_TO_SHRHLDR_EQTY","FQ2 2018","FQ2 2018","Currency=INR","Period=FQ","BEST_FPERIOD_OVERRIDE=FQ","FILING_STATUS=OR","EQY_CONSOLIDATED=Y","Sort=A","Dates=H","DateFormat=P","Fill=—","Direction=H","UseDPDF=Y")</f>
        <v>#NAME?</v>
      </c>
      <c r="CO350" s="1" t="e">
        <f ca="1">_xll.BDH($C$328,"NET_DEBT_%_CAPITAL","FQ2 2018","FQ2 2018","Currency=INR","Period=FQ","BEST_FPERIOD_OVERRIDE=FQ","FILING_STATUS=OR","EQY_CONSOLIDATED=Y","Sort=A","Dates=H","DateFormat=P","Fill=—","Direction=H","UseDPDF=Y")</f>
        <v>#NAME?</v>
      </c>
      <c r="CP350" s="2" t="e">
        <f ca="1">_xll.BDH($C$328,"EBITDA","FQ2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50" s="2" t="e">
        <f ca="1">_xll.BDH($C$328,"EBITDA_AFTER_CAPEX","FQ2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50" s="2" t="e">
        <f ca="1">_xll.BDH($C$328,"IS_OPER_INC","FQ2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50" s="1" t="e">
        <f ca="1">_xll.BDH($C$328,"CASH_RATIO","FQ2 2018","FQ2 2018","Currency=INR","Period=FQ","BEST_FPERIOD_OVERRIDE=FQ","FILING_STATUS=OR","EQY_CONSOLIDATED=Y","Sort=A","Dates=H","DateFormat=P","Fill=—","Direction=H","UseDPDF=Y")</f>
        <v>#NAME?</v>
      </c>
      <c r="CT350" s="1" t="e">
        <f ca="1">_xll.BDH($C$328,"CUR_RATIO","FQ2 2018","FQ2 2018","Currency=INR","Period=FQ","BEST_FPERIOD_OVERRIDE=FQ","FILING_STATUS=OR","EQY_CONSOLIDATED=Y","Sort=A","Dates=H","DateFormat=P","Fill=—","Direction=H","UseDPDF=Y")</f>
        <v>#NAME?</v>
      </c>
      <c r="CU350" s="1" t="e">
        <f ca="1">_xll.BDH($C$328,"QUICK_RATIO","FQ2 2018","FQ2 2018","Currency=INR","Period=FQ","BEST_FPERIOD_OVERRIDE=FQ","FILING_STATUS=OR","EQY_CONSOLIDATED=Y","Sort=A","Dates=H","DateFormat=P","Fill=—","Direction=H","UseDPDF=Y")</f>
        <v>#NAME?</v>
      </c>
      <c r="CV350" s="1" t="e">
        <f ca="1">_xll.BDH($C$328,"ALTMAN_Z_SCORE","FQ2 2018","FQ2 2018","Currency=INR","Period=FQ","BEST_FPERIOD_OVERRIDE=FQ","FILING_STATUS=OR","EQY_CONSOLIDATED=Y","Sort=A","Dates=H","DateFormat=P","Fill=—","Direction=H","UseDPDF=Y")</f>
        <v>#NAME?</v>
      </c>
      <c r="CW350" s="3" t="e">
        <f ca="1">_xll.BDH($C$328,"ACCT_RCV_TURN","FQ2 2018","FQ2 2018","Currency=INR","Period=FQ","BEST_FPERIOD_OVERRIDE=FQ","FILING_STATUS=OR","EQY_CONSOLIDATED=Y","FA_ADJUSTED=GAAP","Sort=A","Dates=H","DateFormat=P","Fill=—","Direction=H","UseDPDF=Y")</f>
        <v>#NAME?</v>
      </c>
      <c r="CX350" s="1" t="e">
        <f ca="1">_xll.BDH($C$328,"ACCT_RCV_DAYS","FQ2 2018","FQ2 2018","Currency=INR","Period=FQ","BEST_FPERIOD_OVERRIDE=FQ","FILING_STATUS=OR","EQY_CONSOLIDATED=Y","FA_ADJUSTED=GAAP","Sort=A","Dates=H","DateFormat=P","Fill=—","Direction=H","UseDPDF=Y")</f>
        <v>#NAME?</v>
      </c>
      <c r="CY350" s="3" t="e">
        <f ca="1">_xll.BDH($C$328,"INVENT_TURN","FQ2 2018","FQ2 2018","Currency=INR","Period=FQ","BEST_FPERIOD_OVERRIDE=FQ","FILING_STATUS=OR","EQY_CONSOLIDATED=Y","FA_ADJUSTED=GAAP","Sort=A","Dates=H","DateFormat=P","Fill=—","Direction=H","UseDPDF=Y")</f>
        <v>#NAME?</v>
      </c>
      <c r="CZ350" s="1" t="e">
        <f ca="1">_xll.BDH($C$328,"INVENT_DAYS","FQ2 2018","FQ2 2018","Currency=INR","Period=FQ","BEST_FPERIOD_OVERRIDE=FQ","FILING_STATUS=OR","EQY_CONSOLIDATED=Y","FA_ADJUSTED=GAAP","Sort=A","Dates=H","DateFormat=P","Fill=—","Direction=H","UseDPDF=Y")</f>
        <v>#NAME?</v>
      </c>
      <c r="DA350" s="3" t="e">
        <f ca="1">_xll.BDH($C$328,"ACCOUNTS_PAYABLE_TURNOVER","FQ2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50" s="1" t="e">
        <f ca="1">_xll.BDH($C$328,"ACCOUNTS_PAYABLE_TURNOVER_DAYS","FQ2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50" s="3" t="e">
        <f ca="1">_xll.BDH($C$328,"CASH_CONVERSION_CYCLE","FQ2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50" s="3" t="e">
        <f ca="1">_xll.BDH($C$328,"INV_TO_CASH_DAYS","FQ2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350" s="4" t="e">
        <f ca="1">_xll.BDH($C$328,"BS_INVENTORIES","FQ2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350" s="2" t="e">
        <f ca="1">_xll.BDH($C$328,"INVTRY_RAW_MATERIALS","FQ2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50" s="2" t="e">
        <f ca="1">_xll.BDH($C$328,"INVTRY_IN_PROGRESS","FQ2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50" s="2" t="e">
        <f ca="1">_xll.BDH($C$328,"INVTRY_FINISHED_GOODS","FQ2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50" s="2" t="e">
        <f ca="1">_xll.BDH($C$328,"BS_OTHER_INV","FQ2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51" spans="1:113" x14ac:dyDescent="0.3">
      <c r="A351" s="6"/>
      <c r="B351" s="6"/>
      <c r="C351" s="6"/>
      <c r="D351" s="6"/>
      <c r="E351" t="s">
        <v>6</v>
      </c>
      <c r="F351" t="e">
        <f ca="1">_xll.BDH($C$328,"RETURN_COM_EQY","FQ3 2018","FQ3 2018","Currency=INR","Period=FQ","BEST_FPERIOD_OVERRIDE=FQ","FILING_STATUS=OR","EQY_CONSOLIDATED=Y","FA_ADJUSTED=GAAP","Sort=A","Dates=H","DateFormat=P","Fill=—","Direction=H","UseDPDF=Y")</f>
        <v>#NAME?</v>
      </c>
      <c r="G351" t="e">
        <f ca="1">_xll.BDH($C$328,"RETURN_ON_ASSET","FQ3 2018","FQ3 2018","Currency=INR","Period=FQ","BEST_FPERIOD_OVERRIDE=FQ","FILING_STATUS=OR","EQY_CONSOLIDATED=Y","FA_ADJUSTED=GAAP","Sort=A","Dates=H","DateFormat=P","Fill=—","Direction=H","UseDPDF=Y")</f>
        <v>#NAME?</v>
      </c>
      <c r="H351" t="e">
        <f ca="1">_xll.BDH($C$328,"RETURN_ON_CAP","FQ3 2018","FQ3 2018","Currency=INR","Period=FQ","BEST_FPERIOD_OVERRIDE=FQ","FILING_STATUS=OR","EQY_CONSOLIDATED=Y","FA_ADJUSTED=GAAP","Sort=A","Dates=H","DateFormat=P","Fill=—","Direction=H","UseDPDF=Y")</f>
        <v>#NAME?</v>
      </c>
      <c r="I351" t="e">
        <f ca="1">_xll.BDH($C$328,"RETURN_ON_INV_CAPITAL","FQ3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51" t="e">
        <f ca="1">_xll.BDH($C$328,"EBITDA_TO_REVENUE","FQ3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351" t="e">
        <f ca="1">_xll.BDH($C$328,"OPER_MARGIN","FQ3 2018","FQ3 2018","Currency=INR","Period=FQ","BEST_FPERIOD_OVERRIDE=FQ","FILING_STATUS=OR","EQY_CONSOLIDATED=Y","FA_ADJUSTED=GAAP","Sort=A","Dates=H","DateFormat=P","Fill=—","Direction=H","UseDPDF=Y")</f>
        <v>#NAME?</v>
      </c>
      <c r="L351" t="e">
        <f ca="1">_xll.BDH($C$328,"INCREMENTAL_OPERATING_MARGIN","FQ3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51" t="e">
        <f ca="1">_xll.BDH($C$328,"PRETAX_INC_TO_NET_SALES","FQ3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51" t="e">
        <f ca="1">_xll.BDH($C$328,"INC_BEF_XO_ITEMS_TO_NET_SALES","FQ3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51" t="e">
        <f ca="1">_xll.BDH($C$328,"PROF_MARGIN","FQ3 2018","FQ3 2018","Currency=INR","Period=FQ","BEST_FPERIOD_OVERRIDE=FQ","FILING_STATUS=OR","EQY_CONSOLIDATED=Y","FA_ADJUSTED=GAAP","Sort=A","Dates=H","DateFormat=P","Fill=—","Direction=H","UseDPDF=Y")</f>
        <v>#NAME?</v>
      </c>
      <c r="P351" t="e">
        <f ca="1">_xll.BDH($C$328,"NET_INCOME_TO_COMMON_MARGIN","FQ3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51" t="e">
        <f ca="1">_xll.BDH($C$328,"EFF_TAX_RATE","FQ3 2018","FQ3 2018","Currency=INR","Period=FQ","BEST_FPERIOD_OVERRIDE=FQ","FILING_STATUS=OR","EQY_CONSOLIDATED=Y","FA_ADJUSTED=GAAP","Sort=A","Dates=H","DateFormat=P","Fill=—","Direction=H","UseDPDF=Y")</f>
        <v>#NAME?</v>
      </c>
      <c r="R351" t="e">
        <f ca="1">_xll.BDH($C$328,"DVD_PAYOUT_RATIO","FQ3 2018","FQ3 2018","Currency=INR","Period=FQ","BEST_FPERIOD_OVERRIDE=FQ","FILING_STATUS=OR","EQY_CONSOLIDATED=Y","FA_ADJUSTED=GAAP","Sort=A","Dates=H","DateFormat=P","Fill=—","Direction=H","UseDPDF=Y")</f>
        <v>#NAME?</v>
      </c>
      <c r="S351" t="e">
        <f ca="1">_xll.BDH($C$328,"SUSTAIN_GROWTH_RT","FQ3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351" s="1" t="e">
        <f ca="1">_xll.BDH($C$328,"SALES_GROWTH","FQ3 2018","FQ3 2018","Currency=INR","Period=FQ","BEST_FPERIOD_OVERRIDE=FQ","FILING_STATUS=OR","EQY_CONSOLIDATED=Y","FA_ADJUSTED=GAAP","Sort=A","Dates=H","DateFormat=P","Fill=—","Direction=H","UseDPDF=Y")</f>
        <v>#NAME?</v>
      </c>
      <c r="U351" s="1" t="e">
        <f ca="1">_xll.BDH($C$328,"EBITDA_GROWTH","FQ3 2018","FQ3 2018","Currency=INR","Period=FQ","BEST_FPERIOD_OVERRIDE=FQ","FILING_STATUS=OR","EQY_CONSOLIDATED=Y","FA_ADJUSTED=GAAP","Sort=A","Dates=H","DateFormat=P","Fill=—","Direction=H","UseDPDF=Y")</f>
        <v>#NAME?</v>
      </c>
      <c r="V351" s="1" t="e">
        <f ca="1">_xll.BDH($C$328,"OPER_INC_GROWTH","FQ3 2018","FQ3 2018","Currency=INR","Period=FQ","BEST_FPERIOD_OVERRIDE=FQ","FILING_STATUS=OR","EQY_CONSOLIDATED=Y","FA_ADJUSTED=GAAP","Sort=A","Dates=H","DateFormat=P","Fill=—","Direction=H","UseDPDF=Y")</f>
        <v>#NAME?</v>
      </c>
      <c r="W351" s="1" t="e">
        <f ca="1">_xll.BDH($C$328,"EARN_FOR_COM_GROWTH","FQ3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51" s="1" t="e">
        <f ca="1">_xll.BDH($C$328,"DILUTED_EPS_AFT_XO_ITEMS_GROWTH","FQ3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51" s="1" t="e">
        <f ca="1">_xll.BDH($C$328,"DIVIDEND_PER_SHARE_1_YEAR_GROWTH","FQ3 2018","FQ3 2018","Currency=INR","Period=FQ","BEST_FPERIOD_OVERRIDE=FQ","FILING_STATUS=OR","EQY_CONSOLIDATED=Y","Sort=A","Dates=H","DateFormat=P","Fill=—","Direction=H","UseDPDF=Y")</f>
        <v>#NAME?</v>
      </c>
      <c r="Z351" s="1" t="e">
        <f ca="1">_xll.BDH($C$328,"ACCOUNTS_RECEIVABLE_GROWTH","FQ3 2018","FQ3 2018","Currency=INR","Period=FQ","BEST_FPERIOD_OVERRIDE=FQ","FILING_STATUS=OR","EQY_CONSOLIDATED=Y","Sort=A","Dates=H","DateFormat=P","Fill=—","Direction=H","UseDPDF=Y")</f>
        <v>#NAME?</v>
      </c>
      <c r="AA351" s="1" t="e">
        <f ca="1">_xll.BDH($C$328,"INVENTORY_GROWTH","FQ3 2018","FQ3 2018","Currency=INR","Period=FQ","BEST_FPERIOD_OVERRIDE=FQ","FILING_STATUS=OR","EQY_CONSOLIDATED=Y","Sort=A","Dates=H","DateFormat=P","Fill=—","Direction=H","UseDPDF=Y")</f>
        <v>#NAME?</v>
      </c>
      <c r="AB351" s="1" t="e">
        <f ca="1">_xll.BDH($C$328,"NET_FIXED_ASSETS_1_YEAR_GROWTH","FQ3 2018","FQ3 2018","Currency=INR","Period=FQ","BEST_FPERIOD_OVERRIDE=FQ","FILING_STATUS=OR","EQY_CONSOLIDATED=Y","Sort=A","Dates=H","DateFormat=P","Fill=—","Direction=H","UseDPDF=Y")</f>
        <v>#NAME?</v>
      </c>
      <c r="AC351" s="1" t="e">
        <f ca="1">_xll.BDH($C$328,"ASSET_GROWTH","FQ3 2018","FQ3 2018","Currency=INR","Period=FQ","BEST_FPERIOD_OVERRIDE=FQ","FILING_STATUS=OR","EQY_CONSOLIDATED=Y","Sort=A","Dates=H","DateFormat=P","Fill=—","Direction=H","UseDPDF=Y")</f>
        <v>#NAME?</v>
      </c>
      <c r="AD351" s="1" t="e">
        <f ca="1">_xll.BDH($C$328,"MODIFIED_WORK_CAP_GROWTH","FQ3 2018","FQ3 2018","Currency=INR","Period=FQ","BEST_FPERIOD_OVERRIDE=FQ","FILING_STATUS=OR","EQY_CONSOLIDATED=Y","Sort=A","Dates=H","DateFormat=P","Fill=—","Direction=H","UseDPDF=Y")</f>
        <v>#NAME?</v>
      </c>
      <c r="AE351" s="1" t="e">
        <f ca="1">_xll.BDH($C$328,"WORK_CAP_GROWTH","FQ3 2018","FQ3 2018","Currency=INR","Period=FQ","BEST_FPERIOD_OVERRIDE=FQ","FILING_STATUS=OR","EQY_CONSOLIDATED=Y","Sort=A","Dates=H","DateFormat=P","Fill=—","Direction=H","UseDPDF=Y")</f>
        <v>#NAME?</v>
      </c>
      <c r="AF351" s="1" t="e">
        <f ca="1">_xll.BDH($C$328,"ACCOUNTS_PAYABLE_GROWTH_1YR","FQ3 2018","FQ3 2018","Currency=INR","Period=FQ","BEST_FPERIOD_OVERRIDE=FQ","FILING_STATUS=OR","EQY_CONSOLIDATED=Y","Sort=A","Dates=H","DateFormat=P","Fill=—","Direction=H","UseDPDF=Y")</f>
        <v>#NAME?</v>
      </c>
      <c r="AG351" s="1" t="e">
        <f ca="1">_xll.BDH($C$328,"SHORT_TERM_DEBT_1_YEAR_GROWTH","FQ3 2018","FQ3 2018","Currency=INR","Period=FQ","BEST_FPERIOD_OVERRIDE=FQ","FILING_STATUS=OR","EQY_CONSOLIDATED=Y","Sort=A","Dates=H","DateFormat=P","Fill=—","Direction=H","UseDPDF=Y")</f>
        <v>#NAME?</v>
      </c>
      <c r="AH351" s="1" t="e">
        <f ca="1">_xll.BDH($C$328,"TOTAL_DEBT_1_YEAR_GROWTH","FQ3 2018","FQ3 2018","Currency=INR","Period=FQ","BEST_FPERIOD_OVERRIDE=FQ","FILING_STATUS=OR","EQY_CONSOLIDATED=Y","Sort=A","Dates=H","DateFormat=P","Fill=—","Direction=H","UseDPDF=Y")</f>
        <v>#NAME?</v>
      </c>
      <c r="AI351" s="1" t="e">
        <f ca="1">_xll.BDH($C$328,"TOTAL_EQUITY_1_YEAR_GROWTH","FQ3 2018","FQ3 2018","Currency=INR","Period=FQ","BEST_FPERIOD_OVERRIDE=FQ","FILING_STATUS=OR","EQY_CONSOLIDATED=Y","Sort=A","Dates=H","DateFormat=P","Fill=—","Direction=H","UseDPDF=Y")</f>
        <v>#NAME?</v>
      </c>
      <c r="AJ351" s="1" t="e">
        <f ca="1">_xll.BDH($C$328,"GROWTH_IN_CAP","FQ3 2018","FQ3 2018","Currency=INR","Period=FQ","BEST_FPERIOD_OVERRIDE=FQ","FILING_STATUS=OR","EQY_CONSOLIDATED=Y","Sort=A","Dates=H","DateFormat=P","Fill=—","Direction=H","UseDPDF=Y")</f>
        <v>#NAME?</v>
      </c>
      <c r="AK351" s="1" t="e">
        <f ca="1">_xll.BDH($C$328,"BVPS_GROWTH","FQ3 2018","FQ3 2018","Currency=INR","Period=FQ","BEST_FPERIOD_OVERRIDE=FQ","FILING_STATUS=OR","EQY_CONSOLIDATED=Y","Sort=A","Dates=H","DateFormat=P","Fill=—","Direction=H","UseDPDF=Y")</f>
        <v>#NAME?</v>
      </c>
      <c r="AL351" s="1" t="e">
        <f ca="1">_xll.BDH($C$328,"CASH_FLOW_GROWTH","FQ3 2018","FQ3 2018","Currency=INR","Period=FQ","BEST_FPERIOD_OVERRIDE=FQ","FILING_STATUS=OR","EQY_CONSOLIDATED=Y","Sort=A","Dates=H","DateFormat=P","Fill=—","Direction=H","UseDPDF=Y")</f>
        <v>#NAME?</v>
      </c>
      <c r="AM351" s="1" t="e">
        <f ca="1">_xll.BDH($C$328,"GEO_GROW_NET_SALES","FQ3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51" s="1" t="e">
        <f ca="1">_xll.BDH($C$328,"GEO_GROW_EBITDA","FQ3 2018","FQ3 2018","Currency=INR","Period=FQ","BEST_FPERIOD_OVERRIDE=FQ","FILING_STATUS=OR","EQY_CONSOLIDATED=Y","FA_ADJUSTED=GAAP","Sort=A","Dates=H","DateFormat=P","Fill=—","Direction=H","UseDPDF=Y")</f>
        <v>#NAME?</v>
      </c>
      <c r="AO351" s="1" t="e">
        <f ca="1">_xll.BDH($C$328,"GEO_GROW_OPER_INC","FQ3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51" s="1" t="e">
        <f ca="1">_xll.BDH($C$328,"NET_INCOME_TO_COMMON_5_YR_GROWTH","FQ3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51" s="1" t="e">
        <f ca="1">_xll.BDH($C$328,"5Y_GEO_GROWTH_DILUTED_EPS","FQ3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51" s="1" t="e">
        <f ca="1">_xll.BDH($C$328,"GEO_GROW_DVD_PER_SH","FQ3 2018","FQ3 2018","Currency=INR","Period=FQ","BEST_FPERIOD_OVERRIDE=FQ","FILING_STATUS=OR","EQY_CONSOLIDATED=Y","Sort=A","Dates=H","DateFormat=P","Fill=—","Direction=H","UseDPDF=Y")</f>
        <v>#NAME?</v>
      </c>
      <c r="AS351" s="1" t="e">
        <f ca="1">_xll.BDH($C$328,"ACCOUNTS_RECEIVABLE_5_YR_GROWTH","FQ3 2018","FQ3 2018","Currency=INR","Period=FQ","BEST_FPERIOD_OVERRIDE=FQ","FILING_STATUS=OR","EQY_CONSOLIDATED=Y","Sort=A","Dates=H","DateFormat=P","Fill=—","Direction=H","UseDPDF=Y")</f>
        <v>#NAME?</v>
      </c>
      <c r="AT351" s="1" t="e">
        <f ca="1">_xll.BDH($C$328,"INVENTORY_5_YEAR_GROWTH","FQ3 2018","FQ3 2018","Currency=INR","Period=FQ","BEST_FPERIOD_OVERRIDE=FQ","FILING_STATUS=OR","EQY_CONSOLIDATED=Y","Sort=A","Dates=H","DateFormat=P","Fill=—","Direction=H","UseDPDF=Y")</f>
        <v>#NAME?</v>
      </c>
      <c r="AU351" s="1" t="e">
        <f ca="1">_xll.BDH($C$328,"NET_FIXED_ASSETS_5_YEAR_GROWTH","FQ3 2018","FQ3 2018","Currency=INR","Period=FQ","BEST_FPERIOD_OVERRIDE=FQ","FILING_STATUS=OR","EQY_CONSOLIDATED=Y","Sort=A","Dates=H","DateFormat=P","Fill=—","Direction=H","UseDPDF=Y")</f>
        <v>#NAME?</v>
      </c>
      <c r="AV351" s="1" t="e">
        <f ca="1">_xll.BDH($C$328,"GEO_GROW_TOT_ASSET","FQ3 2018","FQ3 2018","Currency=INR","Period=FQ","BEST_FPERIOD_OVERRIDE=FQ","FILING_STATUS=OR","EQY_CONSOLIDATED=Y","Sort=A","Dates=H","DateFormat=P","Fill=—","Direction=H","UseDPDF=Y")</f>
        <v>#NAME?</v>
      </c>
      <c r="AW351" s="1" t="e">
        <f ca="1">_xll.BDH($C$328,"MODIFIED_WORKING_CPTL_5YR_GRWTH","FQ3 2018","FQ3 2018","Currency=INR","Period=FQ","BEST_FPERIOD_OVERRIDE=FQ","FILING_STATUS=OR","EQY_CONSOLIDATED=Y","Sort=A","Dates=H","DateFormat=P","Fill=—","Direction=H","UseDPDF=Y")</f>
        <v>#NAME?</v>
      </c>
      <c r="AX351" s="1" t="e">
        <f ca="1">_xll.BDH($C$328,"WORKING_CAPITAL_5_YEAR_GROWTH","FQ3 2018","FQ3 2018","Currency=INR","Period=FQ","BEST_FPERIOD_OVERRIDE=FQ","FILING_STATUS=OR","EQY_CONSOLIDATED=Y","Sort=A","Dates=H","DateFormat=P","Fill=—","Direction=H","UseDPDF=Y")</f>
        <v>#NAME?</v>
      </c>
      <c r="AY351" s="1" t="e">
        <f ca="1">_xll.BDH($C$328,"ACCOUNTS_PAYABLE_5_YEAR_GROWTH","FQ3 2018","FQ3 2018","Currency=INR","Period=FQ","BEST_FPERIOD_OVERRIDE=FQ","FILING_STATUS=OR","EQY_CONSOLIDATED=Y","Sort=A","Dates=H","DateFormat=P","Fill=—","Direction=H","UseDPDF=Y")</f>
        <v>#NAME?</v>
      </c>
      <c r="AZ351" s="1" t="e">
        <f ca="1">_xll.BDH($C$328,"SHORT_TERM_DEBT_5_YEAR_GROWTH","FQ3 2018","FQ3 2018","Currency=INR","Period=FQ","BEST_FPERIOD_OVERRIDE=FQ","FILING_STATUS=OR","EQY_CONSOLIDATED=Y","Sort=A","Dates=H","DateFormat=P","Fill=—","Direction=H","UseDPDF=Y")</f>
        <v>#NAME?</v>
      </c>
      <c r="BA351" s="1" t="e">
        <f ca="1">_xll.BDH($C$328,"TOTAL_DEBT_5_YEAR_GROWTH","FQ3 2018","FQ3 2018","Currency=INR","Period=FQ","BEST_FPERIOD_OVERRIDE=FQ","FILING_STATUS=OR","EQY_CONSOLIDATED=Y","Sort=A","Dates=H","DateFormat=P","Fill=—","Direction=H","UseDPDF=Y")</f>
        <v>#NAME?</v>
      </c>
      <c r="BB351" s="1" t="e">
        <f ca="1">_xll.BDH($C$328,"GEO_GROW_TOT_SHRHLDR_EQY","FQ3 2018","FQ3 2018","Currency=INR","Period=FQ","BEST_FPERIOD_OVERRIDE=FQ","FILING_STATUS=OR","EQY_CONSOLIDATED=Y","Sort=A","Dates=H","DateFormat=P","Fill=—","Direction=H","UseDPDF=Y")</f>
        <v>#NAME?</v>
      </c>
      <c r="BC351" s="1" t="e">
        <f ca="1">_xll.BDH($C$328,"TOTAL_CAPITAL_5_YEAR_GROWTH","FQ3 2018","FQ3 2018","Currency=INR","Period=FQ","BEST_FPERIOD_OVERRIDE=FQ","FILING_STATUS=OR","EQY_CONSOLIDATED=Y","Sort=A","Dates=H","DateFormat=P","Fill=—","Direction=H","UseDPDF=Y")</f>
        <v>#NAME?</v>
      </c>
      <c r="BD351" s="1" t="e">
        <f ca="1">_xll.BDH($C$328,"GEO_GROW_BOOK_VAL","FQ3 2018","FQ3 2018","Currency=INR","Period=FQ","BEST_FPERIOD_OVERRIDE=FQ","FILING_STATUS=OR","EQY_CONSOLIDATED=Y","Sort=A","Dates=H","DateFormat=P","Fill=—","Direction=H","UseDPDF=Y")</f>
        <v>#NAME?</v>
      </c>
      <c r="BE351" s="1" t="e">
        <f ca="1">_xll.BDH($C$328,"GEO_GROW_CASH_OPER_ACT","FQ3 2018","FQ3 2018","Currency=INR","Period=FQ","BEST_FPERIOD_OVERRIDE=FQ","FILING_STATUS=OR","EQY_CONSOLIDATED=Y","Sort=A","Dates=H","DateFormat=P","Fill=—","Direction=H","UseDPDF=Y")</f>
        <v>#NAME?</v>
      </c>
      <c r="BF351" s="1" t="e">
        <f ca="1">_xll.BDH($C$328,"REVENUE_SEQUENTIAL_GROWTH","FQ3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51" s="1" t="e">
        <f ca="1">_xll.BDH($C$328,"EBITDA_SEQUENTIAL_GROWTH","FQ3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51" s="1" t="e">
        <f ca="1">_xll.BDH($C$328,"OPERATING_INCOME_SEQ_GROWTH","FQ3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51" s="1" t="e">
        <f ca="1">_xll.BDH($C$328,"NET_INCOME_TO_COMMON_SEQ_GROWTH","FQ3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51" s="1" t="e">
        <f ca="1">_xll.BDH($C$328,"EPS_DILUTED_SEQUENTIAL_GROWTH","FQ3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51" s="1" t="e">
        <f ca="1">_xll.BDH($C$328,"DPS_SEQUENTIAL_GROWTH","FQ3 2018","FQ3 2018","Currency=INR","Period=FQ","BEST_FPERIOD_OVERRIDE=FQ","FILING_STATUS=OR","EQY_CONSOLIDATED=Y","Sort=A","Dates=H","DateFormat=P","Fill=—","Direction=H","UseDPDF=Y")</f>
        <v>#NAME?</v>
      </c>
      <c r="BL351" s="1" t="e">
        <f ca="1">_xll.BDH($C$328,"ACCOUNTS_RECEIVABLE_SEQ_GROWTH","FQ3 2018","FQ3 2018","Currency=INR","Period=FQ","BEST_FPERIOD_OVERRIDE=FQ","FILING_STATUS=OR","EQY_CONSOLIDATED=Y","Sort=A","Dates=H","DateFormat=P","Fill=—","Direction=H","UseDPDF=Y")</f>
        <v>#NAME?</v>
      </c>
      <c r="BM351" s="1" t="e">
        <f ca="1">_xll.BDH($C$328,"INVENTORY_SEQUENTIAL_GROWTH","FQ3 2018","FQ3 2018","Currency=INR","Period=FQ","BEST_FPERIOD_OVERRIDE=FQ","FILING_STATUS=OR","EQY_CONSOLIDATED=Y","Sort=A","Dates=H","DateFormat=P","Fill=—","Direction=H","UseDPDF=Y")</f>
        <v>#NAME?</v>
      </c>
      <c r="BN351" s="1" t="e">
        <f ca="1">_xll.BDH($C$328,"FIXED_ASSETS_SEQUENTIAL_GROWTH","FQ3 2018","FQ3 2018","Currency=INR","Period=FQ","BEST_FPERIOD_OVERRIDE=FQ","FILING_STATUS=OR","EQY_CONSOLIDATED=Y","Sort=A","Dates=H","DateFormat=P","Fill=—","Direction=H","UseDPDF=Y")</f>
        <v>#NAME?</v>
      </c>
      <c r="BO351" s="1" t="e">
        <f ca="1">_xll.BDH($C$328,"TOTAL_ASSETS_SEQUENTIAL_GROWTH","FQ3 2018","FQ3 2018","Currency=INR","Period=FQ","BEST_FPERIOD_OVERRIDE=FQ","FILING_STATUS=OR","EQY_CONSOLIDATED=Y","Sort=A","Dates=H","DateFormat=P","Fill=—","Direction=H","UseDPDF=Y")</f>
        <v>#NAME?</v>
      </c>
      <c r="BP351" s="1" t="e">
        <f ca="1">_xll.BDH($C$328,"MODIFIED_WORKING_CPTL_SEQ_GRWTH","FQ3 2018","FQ3 2018","Currency=INR","Period=FQ","BEST_FPERIOD_OVERRIDE=FQ","FILING_STATUS=OR","EQY_CONSOLIDATED=Y","Sort=A","Dates=H","DateFormat=P","Fill=—","Direction=H","UseDPDF=Y")</f>
        <v>#NAME?</v>
      </c>
      <c r="BQ351" s="1" t="e">
        <f ca="1">_xll.BDH($C$328,"WORKING_CAPITAL_SEQ_GROWTH","FQ3 2018","FQ3 2018","Currency=INR","Period=FQ","BEST_FPERIOD_OVERRIDE=FQ","FILING_STATUS=OR","EQY_CONSOLIDATED=Y","Sort=A","Dates=H","DateFormat=P","Fill=—","Direction=H","UseDPDF=Y")</f>
        <v>#NAME?</v>
      </c>
      <c r="BR351" s="1" t="e">
        <f ca="1">_xll.BDH($C$328,"ACCOUNTS_PAYABLE_SEQ_GROWTH","FQ3 2018","FQ3 2018","Currency=INR","Period=FQ","BEST_FPERIOD_OVERRIDE=FQ","FILING_STATUS=OR","EQY_CONSOLIDATED=Y","Sort=A","Dates=H","DateFormat=P","Fill=—","Direction=H","UseDPDF=Y")</f>
        <v>#NAME?</v>
      </c>
      <c r="BS351" s="1" t="e">
        <f ca="1">_xll.BDH($C$328,"ST_DEBT_SEQUENTIAL_GROWTH","FQ3 2018","FQ3 2018","Currency=INR","Period=FQ","BEST_FPERIOD_OVERRIDE=FQ","FILING_STATUS=OR","EQY_CONSOLIDATED=Y","Sort=A","Dates=H","DateFormat=P","Fill=—","Direction=H","UseDPDF=Y")</f>
        <v>#NAME?</v>
      </c>
      <c r="BT351" s="1" t="e">
        <f ca="1">_xll.BDH($C$328,"TOTAL_DEBT_SEQUENTIAL_GROWTH","FQ3 2018","FQ3 2018","Currency=INR","Period=FQ","BEST_FPERIOD_OVERRIDE=FQ","FILING_STATUS=OR","EQY_CONSOLIDATED=Y","Sort=A","Dates=H","DateFormat=P","Fill=—","Direction=H","UseDPDF=Y")</f>
        <v>#NAME?</v>
      </c>
      <c r="BU351" s="1" t="e">
        <f ca="1">_xll.BDH($C$328,"TOTAL_EQUITY_SEQUENTIAL_GROWTH","FQ3 2018","FQ3 2018","Currency=INR","Period=FQ","BEST_FPERIOD_OVERRIDE=FQ","FILING_STATUS=OR","EQY_CONSOLIDATED=Y","Sort=A","Dates=H","DateFormat=P","Fill=—","Direction=H","UseDPDF=Y")</f>
        <v>#NAME?</v>
      </c>
      <c r="BV351" s="1" t="e">
        <f ca="1">_xll.BDH($C$328,"TOTAL_CAPITAL_SEQUENTIAL_GROWTH","FQ3 2018","FQ3 2018","Currency=INR","Period=FQ","BEST_FPERIOD_OVERRIDE=FQ","FILING_STATUS=OR","EQY_CONSOLIDATED=Y","Sort=A","Dates=H","DateFormat=P","Fill=—","Direction=H","UseDPDF=Y")</f>
        <v>#NAME?</v>
      </c>
      <c r="BW351" s="1" t="e">
        <f ca="1">_xll.BDH($C$328,"BPS_SEQUENTIAL_GROWTH","FQ3 2018","FQ3 2018","Currency=INR","Period=FQ","BEST_FPERIOD_OVERRIDE=FQ","FILING_STATUS=OR","EQY_CONSOLIDATED=Y","Sort=A","Dates=H","DateFormat=P","Fill=—","Direction=H","UseDPDF=Y")</f>
        <v>#NAME?</v>
      </c>
      <c r="BX351" s="1" t="e">
        <f ca="1">_xll.BDH($C$328,"CFO_SEQUENTIAL_GROWTH","FQ3 2018","FQ3 2018","Currency=INR","Period=FQ","BEST_FPERIOD_OVERRIDE=FQ","FILING_STATUS=OR","EQY_CONSOLIDATED=Y","Sort=A","Dates=H","DateFormat=P","Fill=—","Direction=H","UseDPDF=Y")</f>
        <v>#NAME?</v>
      </c>
      <c r="BY351" s="2" t="e">
        <f ca="1">_xll.BDH($C$328,"SHORT_AND_LONG_TERM_DEBT","FQ3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51" s="2" t="e">
        <f ca="1">_xll.BDH($C$328,"BS_ST_BORROW","FQ3 2018","FQ3 2018","Currency=INR","Period=FQ","BEST_FPERIOD_OVERRIDE=FQ","FILING_STATUS=OR","EQY_CONSOLIDATED=Y","SCALING_FORMAT=MLN","Sort=A","Dates=H","DateFormat=P","Fill=—","Direction=H","UseDPDF=Y")</f>
        <v>#NAME?</v>
      </c>
      <c r="CA351" s="2" t="e">
        <f ca="1">_xll.BDH($C$328,"BS_LT_BORROW","FQ3 2018","FQ3 2018","Currency=INR","Period=FQ","BEST_FPERIOD_OVERRIDE=FQ","FILING_STATUS=OR","EQY_CONSOLIDATED=Y","SCALING_FORMAT=MLN","Sort=A","Dates=H","DateFormat=P","Fill=—","Direction=H","UseDPDF=Y")</f>
        <v>#NAME?</v>
      </c>
      <c r="CB351" s="1" t="e">
        <f ca="1">_xll.BDH($C$328,"TOT_DEBT_TO_EBITDA","FQ3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51" s="1" t="e">
        <f ca="1">_xll.BDH($C$328,"NET_DEBT_TO_EBITDA","FQ3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51" s="1" t="e">
        <f ca="1">_xll.BDH($C$328,"TOTAL_DEBT_TO_EBIT","FQ3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51" s="1" t="e">
        <f ca="1">_xll.BDH($C$328,"NET_DEBT_TO_EBIT","FQ3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351" s="1" t="e">
        <f ca="1">_xll.BDH($C$328,"EBITDA_TO_INTEREST_EXPN","FQ3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51" s="1" t="e">
        <f ca="1">_xll.BDH($C$328,"COM_EQY_TO_TOT_ASSET","FQ3 2018","FQ3 2018","Currency=INR","Period=FQ","BEST_FPERIOD_OVERRIDE=FQ","FILING_STATUS=OR","EQY_CONSOLIDATED=Y","Sort=A","Dates=H","DateFormat=P","Fill=—","Direction=H","UseDPDF=Y")</f>
        <v>#NAME?</v>
      </c>
      <c r="CH351" s="1" t="e">
        <f ca="1">_xll.BDH($C$328,"LT_DEBT_TO_TOT_EQY","FQ3 2018","FQ3 2018","Currency=INR","Period=FQ","BEST_FPERIOD_OVERRIDE=FQ","FILING_STATUS=OR","EQY_CONSOLIDATED=Y","Sort=A","Dates=H","DateFormat=P","Fill=—","Direction=H","UseDPDF=Y")</f>
        <v>#NAME?</v>
      </c>
      <c r="CI351" s="1" t="e">
        <f ca="1">_xll.BDH($C$328,"LT_DEBT_TO_TOT_CAP","FQ3 2018","FQ3 2018","Currency=INR","Period=FQ","BEST_FPERIOD_OVERRIDE=FQ","FILING_STATUS=OR","EQY_CONSOLIDATED=Y","Sort=A","Dates=H","DateFormat=P","Fill=—","Direction=H","UseDPDF=Y")</f>
        <v>#NAME?</v>
      </c>
      <c r="CJ351" s="1" t="e">
        <f ca="1">_xll.BDH($C$328,"LT_DEBT_TO_TOT_ASSET","FQ3 2018","FQ3 2018","Currency=INR","Period=FQ","BEST_FPERIOD_OVERRIDE=FQ","FILING_STATUS=OR","EQY_CONSOLIDATED=Y","Sort=A","Dates=H","DateFormat=P","Fill=—","Direction=H","UseDPDF=Y")</f>
        <v>#NAME?</v>
      </c>
      <c r="CK351" s="1" t="e">
        <f ca="1">_xll.BDH($C$328,"TOT_DEBT_TO_TOT_EQY","FQ3 2018","FQ3 2018","Currency=INR","Period=FQ","BEST_FPERIOD_OVERRIDE=FQ","FILING_STATUS=OR","EQY_CONSOLIDATED=Y","Sort=A","Dates=H","DateFormat=P","Fill=—","Direction=H","UseDPDF=Y")</f>
        <v>#NAME?</v>
      </c>
      <c r="CL351" s="1" t="e">
        <f ca="1">_xll.BDH($C$328,"TOT_DEBT_TO_TOT_CAP","FQ3 2018","FQ3 2018","Currency=INR","Period=FQ","BEST_FPERIOD_OVERRIDE=FQ","FILING_STATUS=OR","EQY_CONSOLIDATED=Y","Sort=A","Dates=H","DateFormat=P","Fill=—","Direction=H","UseDPDF=Y")</f>
        <v>#NAME?</v>
      </c>
      <c r="CM351" s="1" t="e">
        <f ca="1">_xll.BDH($C$328,"TOT_DEBT_TO_TOT_ASSET","FQ3 2018","FQ3 2018","Currency=INR","Period=FQ","BEST_FPERIOD_OVERRIDE=FQ","FILING_STATUS=OR","EQY_CONSOLIDATED=Y","Sort=A","Dates=H","DateFormat=P","Fill=—","Direction=H","UseDPDF=Y")</f>
        <v>#NAME?</v>
      </c>
      <c r="CN351" s="1" t="e">
        <f ca="1">_xll.BDH($C$328,"NET_DEBT_TO_SHRHLDR_EQTY","FQ3 2018","FQ3 2018","Currency=INR","Period=FQ","BEST_FPERIOD_OVERRIDE=FQ","FILING_STATUS=OR","EQY_CONSOLIDATED=Y","Sort=A","Dates=H","DateFormat=P","Fill=—","Direction=H","UseDPDF=Y")</f>
        <v>#NAME?</v>
      </c>
      <c r="CO351" s="1" t="e">
        <f ca="1">_xll.BDH($C$328,"NET_DEBT_%_CAPITAL","FQ3 2018","FQ3 2018","Currency=INR","Period=FQ","BEST_FPERIOD_OVERRIDE=FQ","FILING_STATUS=OR","EQY_CONSOLIDATED=Y","Sort=A","Dates=H","DateFormat=P","Fill=—","Direction=H","UseDPDF=Y")</f>
        <v>#NAME?</v>
      </c>
      <c r="CP351" s="2" t="e">
        <f ca="1">_xll.BDH($C$328,"EBITDA","FQ3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51" s="2" t="e">
        <f ca="1">_xll.BDH($C$328,"EBITDA_AFTER_CAPEX","FQ3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51" s="2" t="e">
        <f ca="1">_xll.BDH($C$328,"IS_OPER_INC","FQ3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51" s="1" t="e">
        <f ca="1">_xll.BDH($C$328,"CASH_RATIO","FQ3 2018","FQ3 2018","Currency=INR","Period=FQ","BEST_FPERIOD_OVERRIDE=FQ","FILING_STATUS=OR","EQY_CONSOLIDATED=Y","Sort=A","Dates=H","DateFormat=P","Fill=—","Direction=H","UseDPDF=Y")</f>
        <v>#NAME?</v>
      </c>
      <c r="CT351" s="1" t="e">
        <f ca="1">_xll.BDH($C$328,"CUR_RATIO","FQ3 2018","FQ3 2018","Currency=INR","Period=FQ","BEST_FPERIOD_OVERRIDE=FQ","FILING_STATUS=OR","EQY_CONSOLIDATED=Y","Sort=A","Dates=H","DateFormat=P","Fill=—","Direction=H","UseDPDF=Y")</f>
        <v>#NAME?</v>
      </c>
      <c r="CU351" s="1" t="e">
        <f ca="1">_xll.BDH($C$328,"QUICK_RATIO","FQ3 2018","FQ3 2018","Currency=INR","Period=FQ","BEST_FPERIOD_OVERRIDE=FQ","FILING_STATUS=OR","EQY_CONSOLIDATED=Y","Sort=A","Dates=H","DateFormat=P","Fill=—","Direction=H","UseDPDF=Y")</f>
        <v>#NAME?</v>
      </c>
      <c r="CV351" s="1" t="e">
        <f ca="1">_xll.BDH($C$328,"ALTMAN_Z_SCORE","FQ3 2018","FQ3 2018","Currency=INR","Period=FQ","BEST_FPERIOD_OVERRIDE=FQ","FILING_STATUS=OR","EQY_CONSOLIDATED=Y","Sort=A","Dates=H","DateFormat=P","Fill=—","Direction=H","UseDPDF=Y")</f>
        <v>#NAME?</v>
      </c>
      <c r="CW351" s="3" t="e">
        <f ca="1">_xll.BDH($C$328,"ACCT_RCV_TURN","FQ3 2018","FQ3 2018","Currency=INR","Period=FQ","BEST_FPERIOD_OVERRIDE=FQ","FILING_STATUS=OR","EQY_CONSOLIDATED=Y","FA_ADJUSTED=GAAP","Sort=A","Dates=H","DateFormat=P","Fill=—","Direction=H","UseDPDF=Y")</f>
        <v>#NAME?</v>
      </c>
      <c r="CX351" s="1" t="e">
        <f ca="1">_xll.BDH($C$328,"ACCT_RCV_DAYS","FQ3 2018","FQ3 2018","Currency=INR","Period=FQ","BEST_FPERIOD_OVERRIDE=FQ","FILING_STATUS=OR","EQY_CONSOLIDATED=Y","FA_ADJUSTED=GAAP","Sort=A","Dates=H","DateFormat=P","Fill=—","Direction=H","UseDPDF=Y")</f>
        <v>#NAME?</v>
      </c>
      <c r="CY351" s="3" t="e">
        <f ca="1">_xll.BDH($C$328,"INVENT_TURN","FQ3 2018","FQ3 2018","Currency=INR","Period=FQ","BEST_FPERIOD_OVERRIDE=FQ","FILING_STATUS=OR","EQY_CONSOLIDATED=Y","FA_ADJUSTED=GAAP","Sort=A","Dates=H","DateFormat=P","Fill=—","Direction=H","UseDPDF=Y")</f>
        <v>#NAME?</v>
      </c>
      <c r="CZ351" s="1" t="e">
        <f ca="1">_xll.BDH($C$328,"INVENT_DAYS","FQ3 2018","FQ3 2018","Currency=INR","Period=FQ","BEST_FPERIOD_OVERRIDE=FQ","FILING_STATUS=OR","EQY_CONSOLIDATED=Y","FA_ADJUSTED=GAAP","Sort=A","Dates=H","DateFormat=P","Fill=—","Direction=H","UseDPDF=Y")</f>
        <v>#NAME?</v>
      </c>
      <c r="DA351" s="3" t="e">
        <f ca="1">_xll.BDH($C$328,"ACCOUNTS_PAYABLE_TURNOVER","FQ3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51" s="1" t="e">
        <f ca="1">_xll.BDH($C$328,"ACCOUNTS_PAYABLE_TURNOVER_DAYS","FQ3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51" s="3" t="e">
        <f ca="1">_xll.BDH($C$328,"CASH_CONVERSION_CYCLE","FQ3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51" s="3" t="e">
        <f ca="1">_xll.BDH($C$328,"INV_TO_CASH_DAYS","FQ3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351" s="4" t="e">
        <f ca="1">_xll.BDH($C$328,"BS_INVENTORIES","FQ3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351" s="2" t="e">
        <f ca="1">_xll.BDH($C$328,"INVTRY_RAW_MATERIALS","FQ3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51" s="2" t="e">
        <f ca="1">_xll.BDH($C$328,"INVTRY_IN_PROGRESS","FQ3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51" s="2" t="e">
        <f ca="1">_xll.BDH($C$328,"INVTRY_FINISHED_GOODS","FQ3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51" s="2" t="e">
        <f ca="1">_xll.BDH($C$328,"BS_OTHER_INV","FQ3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52" spans="1:113" x14ac:dyDescent="0.3">
      <c r="A352" s="6"/>
      <c r="B352" s="6"/>
      <c r="C352" s="6"/>
      <c r="D352" s="6"/>
      <c r="E352" t="s">
        <v>7</v>
      </c>
      <c r="F352" t="e">
        <f ca="1">_xll.BDH($C$328,"RETURN_COM_EQY","FQ4 2018","FQ4 2018","Currency=INR","Period=FQ","BEST_FPERIOD_OVERRIDE=FQ","FILING_STATUS=OR","EQY_CONSOLIDATED=Y","FA_ADJUSTED=GAAP","Sort=A","Dates=H","DateFormat=P","Fill=—","Direction=H","UseDPDF=Y")</f>
        <v>#NAME?</v>
      </c>
      <c r="G352" t="e">
        <f ca="1">_xll.BDH($C$328,"RETURN_ON_ASSET","FQ4 2018","FQ4 2018","Currency=INR","Period=FQ","BEST_FPERIOD_OVERRIDE=FQ","FILING_STATUS=OR","EQY_CONSOLIDATED=Y","FA_ADJUSTED=GAAP","Sort=A","Dates=H","DateFormat=P","Fill=—","Direction=H","UseDPDF=Y")</f>
        <v>#NAME?</v>
      </c>
      <c r="H352" t="e">
        <f ca="1">_xll.BDH($C$328,"RETURN_ON_CAP","FQ4 2018","FQ4 2018","Currency=INR","Period=FQ","BEST_FPERIOD_OVERRIDE=FQ","FILING_STATUS=OR","EQY_CONSOLIDATED=Y","FA_ADJUSTED=GAAP","Sort=A","Dates=H","DateFormat=P","Fill=—","Direction=H","UseDPDF=Y")</f>
        <v>#NAME?</v>
      </c>
      <c r="I352" t="e">
        <f ca="1">_xll.BDH($C$328,"RETURN_ON_INV_CAPITAL","FQ4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52" t="e">
        <f ca="1">_xll.BDH($C$328,"EBITDA_TO_REVENUE","FQ4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352" t="e">
        <f ca="1">_xll.BDH($C$328,"OPER_MARGIN","FQ4 2018","FQ4 2018","Currency=INR","Period=FQ","BEST_FPERIOD_OVERRIDE=FQ","FILING_STATUS=OR","EQY_CONSOLIDATED=Y","FA_ADJUSTED=GAAP","Sort=A","Dates=H","DateFormat=P","Fill=—","Direction=H","UseDPDF=Y")</f>
        <v>#NAME?</v>
      </c>
      <c r="L352" t="e">
        <f ca="1">_xll.BDH($C$328,"INCREMENTAL_OPERATING_MARGIN","FQ4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52" t="e">
        <f ca="1">_xll.BDH($C$328,"PRETAX_INC_TO_NET_SALES","FQ4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52" t="e">
        <f ca="1">_xll.BDH($C$328,"INC_BEF_XO_ITEMS_TO_NET_SALES","FQ4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52" t="e">
        <f ca="1">_xll.BDH($C$328,"PROF_MARGIN","FQ4 2018","FQ4 2018","Currency=INR","Period=FQ","BEST_FPERIOD_OVERRIDE=FQ","FILING_STATUS=OR","EQY_CONSOLIDATED=Y","FA_ADJUSTED=GAAP","Sort=A","Dates=H","DateFormat=P","Fill=—","Direction=H","UseDPDF=Y")</f>
        <v>#NAME?</v>
      </c>
      <c r="P352" t="e">
        <f ca="1">_xll.BDH($C$328,"NET_INCOME_TO_COMMON_MARGIN","FQ4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52" t="e">
        <f ca="1">_xll.BDH($C$328,"EFF_TAX_RATE","FQ4 2018","FQ4 2018","Currency=INR","Period=FQ","BEST_FPERIOD_OVERRIDE=FQ","FILING_STATUS=OR","EQY_CONSOLIDATED=Y","FA_ADJUSTED=GAAP","Sort=A","Dates=H","DateFormat=P","Fill=—","Direction=H","UseDPDF=Y")</f>
        <v>#NAME?</v>
      </c>
      <c r="R352" t="e">
        <f ca="1">_xll.BDH($C$328,"DVD_PAYOUT_RATIO","FQ4 2018","FQ4 2018","Currency=INR","Period=FQ","BEST_FPERIOD_OVERRIDE=FQ","FILING_STATUS=OR","EQY_CONSOLIDATED=Y","FA_ADJUSTED=GAAP","Sort=A","Dates=H","DateFormat=P","Fill=—","Direction=H","UseDPDF=Y")</f>
        <v>#NAME?</v>
      </c>
      <c r="S352" t="e">
        <f ca="1">_xll.BDH($C$328,"SUSTAIN_GROWTH_RT","FQ4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352" s="1" t="e">
        <f ca="1">_xll.BDH($C$328,"SALES_GROWTH","FQ4 2018","FQ4 2018","Currency=INR","Period=FQ","BEST_FPERIOD_OVERRIDE=FQ","FILING_STATUS=OR","EQY_CONSOLIDATED=Y","FA_ADJUSTED=GAAP","Sort=A","Dates=H","DateFormat=P","Fill=—","Direction=H","UseDPDF=Y")</f>
        <v>#NAME?</v>
      </c>
      <c r="U352" s="1" t="e">
        <f ca="1">_xll.BDH($C$328,"EBITDA_GROWTH","FQ4 2018","FQ4 2018","Currency=INR","Period=FQ","BEST_FPERIOD_OVERRIDE=FQ","FILING_STATUS=OR","EQY_CONSOLIDATED=Y","FA_ADJUSTED=GAAP","Sort=A","Dates=H","DateFormat=P","Fill=—","Direction=H","UseDPDF=Y")</f>
        <v>#NAME?</v>
      </c>
      <c r="V352" s="1" t="e">
        <f ca="1">_xll.BDH($C$328,"OPER_INC_GROWTH","FQ4 2018","FQ4 2018","Currency=INR","Period=FQ","BEST_FPERIOD_OVERRIDE=FQ","FILING_STATUS=OR","EQY_CONSOLIDATED=Y","FA_ADJUSTED=GAAP","Sort=A","Dates=H","DateFormat=P","Fill=—","Direction=H","UseDPDF=Y")</f>
        <v>#NAME?</v>
      </c>
      <c r="W352" s="1" t="e">
        <f ca="1">_xll.BDH($C$328,"EARN_FOR_COM_GROWTH","FQ4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52" s="1" t="e">
        <f ca="1">_xll.BDH($C$328,"DILUTED_EPS_AFT_XO_ITEMS_GROWTH","FQ4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52" s="1" t="e">
        <f ca="1">_xll.BDH($C$328,"DIVIDEND_PER_SHARE_1_YEAR_GROWTH","FQ4 2018","FQ4 2018","Currency=INR","Period=FQ","BEST_FPERIOD_OVERRIDE=FQ","FILING_STATUS=OR","EQY_CONSOLIDATED=Y","Sort=A","Dates=H","DateFormat=P","Fill=—","Direction=H","UseDPDF=Y")</f>
        <v>#NAME?</v>
      </c>
      <c r="Z352" s="1" t="e">
        <f ca="1">_xll.BDH($C$328,"ACCOUNTS_RECEIVABLE_GROWTH","FQ4 2018","FQ4 2018","Currency=INR","Period=FQ","BEST_FPERIOD_OVERRIDE=FQ","FILING_STATUS=OR","EQY_CONSOLIDATED=Y","Sort=A","Dates=H","DateFormat=P","Fill=—","Direction=H","UseDPDF=Y")</f>
        <v>#NAME?</v>
      </c>
      <c r="AA352" s="1" t="e">
        <f ca="1">_xll.BDH($C$328,"INVENTORY_GROWTH","FQ4 2018","FQ4 2018","Currency=INR","Period=FQ","BEST_FPERIOD_OVERRIDE=FQ","FILING_STATUS=OR","EQY_CONSOLIDATED=Y","Sort=A","Dates=H","DateFormat=P","Fill=—","Direction=H","UseDPDF=Y")</f>
        <v>#NAME?</v>
      </c>
      <c r="AB352" s="1" t="e">
        <f ca="1">_xll.BDH($C$328,"NET_FIXED_ASSETS_1_YEAR_GROWTH","FQ4 2018","FQ4 2018","Currency=INR","Period=FQ","BEST_FPERIOD_OVERRIDE=FQ","FILING_STATUS=OR","EQY_CONSOLIDATED=Y","Sort=A","Dates=H","DateFormat=P","Fill=—","Direction=H","UseDPDF=Y")</f>
        <v>#NAME?</v>
      </c>
      <c r="AC352" s="1" t="e">
        <f ca="1">_xll.BDH($C$328,"ASSET_GROWTH","FQ4 2018","FQ4 2018","Currency=INR","Period=FQ","BEST_FPERIOD_OVERRIDE=FQ","FILING_STATUS=OR","EQY_CONSOLIDATED=Y","Sort=A","Dates=H","DateFormat=P","Fill=—","Direction=H","UseDPDF=Y")</f>
        <v>#NAME?</v>
      </c>
      <c r="AD352" s="1" t="e">
        <f ca="1">_xll.BDH($C$328,"MODIFIED_WORK_CAP_GROWTH","FQ4 2018","FQ4 2018","Currency=INR","Period=FQ","BEST_FPERIOD_OVERRIDE=FQ","FILING_STATUS=OR","EQY_CONSOLIDATED=Y","Sort=A","Dates=H","DateFormat=P","Fill=—","Direction=H","UseDPDF=Y")</f>
        <v>#NAME?</v>
      </c>
      <c r="AE352" s="1" t="e">
        <f ca="1">_xll.BDH($C$328,"WORK_CAP_GROWTH","FQ4 2018","FQ4 2018","Currency=INR","Period=FQ","BEST_FPERIOD_OVERRIDE=FQ","FILING_STATUS=OR","EQY_CONSOLIDATED=Y","Sort=A","Dates=H","DateFormat=P","Fill=—","Direction=H","UseDPDF=Y")</f>
        <v>#NAME?</v>
      </c>
      <c r="AF352" s="1" t="e">
        <f ca="1">_xll.BDH($C$328,"ACCOUNTS_PAYABLE_GROWTH_1YR","FQ4 2018","FQ4 2018","Currency=INR","Period=FQ","BEST_FPERIOD_OVERRIDE=FQ","FILING_STATUS=OR","EQY_CONSOLIDATED=Y","Sort=A","Dates=H","DateFormat=P","Fill=—","Direction=H","UseDPDF=Y")</f>
        <v>#NAME?</v>
      </c>
      <c r="AG352" s="1" t="e">
        <f ca="1">_xll.BDH($C$328,"SHORT_TERM_DEBT_1_YEAR_GROWTH","FQ4 2018","FQ4 2018","Currency=INR","Period=FQ","BEST_FPERIOD_OVERRIDE=FQ","FILING_STATUS=OR","EQY_CONSOLIDATED=Y","Sort=A","Dates=H","DateFormat=P","Fill=—","Direction=H","UseDPDF=Y")</f>
        <v>#NAME?</v>
      </c>
      <c r="AH352" s="1" t="e">
        <f ca="1">_xll.BDH($C$328,"TOTAL_DEBT_1_YEAR_GROWTH","FQ4 2018","FQ4 2018","Currency=INR","Period=FQ","BEST_FPERIOD_OVERRIDE=FQ","FILING_STATUS=OR","EQY_CONSOLIDATED=Y","Sort=A","Dates=H","DateFormat=P","Fill=—","Direction=H","UseDPDF=Y")</f>
        <v>#NAME?</v>
      </c>
      <c r="AI352" s="1" t="e">
        <f ca="1">_xll.BDH($C$328,"TOTAL_EQUITY_1_YEAR_GROWTH","FQ4 2018","FQ4 2018","Currency=INR","Period=FQ","BEST_FPERIOD_OVERRIDE=FQ","FILING_STATUS=OR","EQY_CONSOLIDATED=Y","Sort=A","Dates=H","DateFormat=P","Fill=—","Direction=H","UseDPDF=Y")</f>
        <v>#NAME?</v>
      </c>
      <c r="AJ352" s="1" t="e">
        <f ca="1">_xll.BDH($C$328,"GROWTH_IN_CAP","FQ4 2018","FQ4 2018","Currency=INR","Period=FQ","BEST_FPERIOD_OVERRIDE=FQ","FILING_STATUS=OR","EQY_CONSOLIDATED=Y","Sort=A","Dates=H","DateFormat=P","Fill=—","Direction=H","UseDPDF=Y")</f>
        <v>#NAME?</v>
      </c>
      <c r="AK352" s="1" t="e">
        <f ca="1">_xll.BDH($C$328,"BVPS_GROWTH","FQ4 2018","FQ4 2018","Currency=INR","Period=FQ","BEST_FPERIOD_OVERRIDE=FQ","FILING_STATUS=OR","EQY_CONSOLIDATED=Y","Sort=A","Dates=H","DateFormat=P","Fill=—","Direction=H","UseDPDF=Y")</f>
        <v>#NAME?</v>
      </c>
      <c r="AL352" s="1" t="e">
        <f ca="1">_xll.BDH($C$328,"CASH_FLOW_GROWTH","FQ4 2018","FQ4 2018","Currency=INR","Period=FQ","BEST_FPERIOD_OVERRIDE=FQ","FILING_STATUS=OR","EQY_CONSOLIDATED=Y","Sort=A","Dates=H","DateFormat=P","Fill=—","Direction=H","UseDPDF=Y")</f>
        <v>#NAME?</v>
      </c>
      <c r="AM352" s="1" t="e">
        <f ca="1">_xll.BDH($C$328,"GEO_GROW_NET_SALES","FQ4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52" s="1" t="e">
        <f ca="1">_xll.BDH($C$328,"GEO_GROW_EBITDA","FQ4 2018","FQ4 2018","Currency=INR","Period=FQ","BEST_FPERIOD_OVERRIDE=FQ","FILING_STATUS=OR","EQY_CONSOLIDATED=Y","FA_ADJUSTED=GAAP","Sort=A","Dates=H","DateFormat=P","Fill=—","Direction=H","UseDPDF=Y")</f>
        <v>#NAME?</v>
      </c>
      <c r="AO352" s="1" t="e">
        <f ca="1">_xll.BDH($C$328,"GEO_GROW_OPER_INC","FQ4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52" s="1" t="e">
        <f ca="1">_xll.BDH($C$328,"NET_INCOME_TO_COMMON_5_YR_GROWTH","FQ4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52" s="1" t="e">
        <f ca="1">_xll.BDH($C$328,"5Y_GEO_GROWTH_DILUTED_EPS","FQ4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52" s="1" t="e">
        <f ca="1">_xll.BDH($C$328,"GEO_GROW_DVD_PER_SH","FQ4 2018","FQ4 2018","Currency=INR","Period=FQ","BEST_FPERIOD_OVERRIDE=FQ","FILING_STATUS=OR","EQY_CONSOLIDATED=Y","Sort=A","Dates=H","DateFormat=P","Fill=—","Direction=H","UseDPDF=Y")</f>
        <v>#NAME?</v>
      </c>
      <c r="AS352" s="1" t="e">
        <f ca="1">_xll.BDH($C$328,"ACCOUNTS_RECEIVABLE_5_YR_GROWTH","FQ4 2018","FQ4 2018","Currency=INR","Period=FQ","BEST_FPERIOD_OVERRIDE=FQ","FILING_STATUS=OR","EQY_CONSOLIDATED=Y","Sort=A","Dates=H","DateFormat=P","Fill=—","Direction=H","UseDPDF=Y")</f>
        <v>#NAME?</v>
      </c>
      <c r="AT352" s="1" t="e">
        <f ca="1">_xll.BDH($C$328,"INVENTORY_5_YEAR_GROWTH","FQ4 2018","FQ4 2018","Currency=INR","Period=FQ","BEST_FPERIOD_OVERRIDE=FQ","FILING_STATUS=OR","EQY_CONSOLIDATED=Y","Sort=A","Dates=H","DateFormat=P","Fill=—","Direction=H","UseDPDF=Y")</f>
        <v>#NAME?</v>
      </c>
      <c r="AU352" s="1" t="e">
        <f ca="1">_xll.BDH($C$328,"NET_FIXED_ASSETS_5_YEAR_GROWTH","FQ4 2018","FQ4 2018","Currency=INR","Period=FQ","BEST_FPERIOD_OVERRIDE=FQ","FILING_STATUS=OR","EQY_CONSOLIDATED=Y","Sort=A","Dates=H","DateFormat=P","Fill=—","Direction=H","UseDPDF=Y")</f>
        <v>#NAME?</v>
      </c>
      <c r="AV352" s="1" t="e">
        <f ca="1">_xll.BDH($C$328,"GEO_GROW_TOT_ASSET","FQ4 2018","FQ4 2018","Currency=INR","Period=FQ","BEST_FPERIOD_OVERRIDE=FQ","FILING_STATUS=OR","EQY_CONSOLIDATED=Y","Sort=A","Dates=H","DateFormat=P","Fill=—","Direction=H","UseDPDF=Y")</f>
        <v>#NAME?</v>
      </c>
      <c r="AW352" s="1" t="e">
        <f ca="1">_xll.BDH($C$328,"MODIFIED_WORKING_CPTL_5YR_GRWTH","FQ4 2018","FQ4 2018","Currency=INR","Period=FQ","BEST_FPERIOD_OVERRIDE=FQ","FILING_STATUS=OR","EQY_CONSOLIDATED=Y","Sort=A","Dates=H","DateFormat=P","Fill=—","Direction=H","UseDPDF=Y")</f>
        <v>#NAME?</v>
      </c>
      <c r="AX352" s="1" t="e">
        <f ca="1">_xll.BDH($C$328,"WORKING_CAPITAL_5_YEAR_GROWTH","FQ4 2018","FQ4 2018","Currency=INR","Period=FQ","BEST_FPERIOD_OVERRIDE=FQ","FILING_STATUS=OR","EQY_CONSOLIDATED=Y","Sort=A","Dates=H","DateFormat=P","Fill=—","Direction=H","UseDPDF=Y")</f>
        <v>#NAME?</v>
      </c>
      <c r="AY352" s="1" t="e">
        <f ca="1">_xll.BDH($C$328,"ACCOUNTS_PAYABLE_5_YEAR_GROWTH","FQ4 2018","FQ4 2018","Currency=INR","Period=FQ","BEST_FPERIOD_OVERRIDE=FQ","FILING_STATUS=OR","EQY_CONSOLIDATED=Y","Sort=A","Dates=H","DateFormat=P","Fill=—","Direction=H","UseDPDF=Y")</f>
        <v>#NAME?</v>
      </c>
      <c r="AZ352" s="1" t="e">
        <f ca="1">_xll.BDH($C$328,"SHORT_TERM_DEBT_5_YEAR_GROWTH","FQ4 2018","FQ4 2018","Currency=INR","Period=FQ","BEST_FPERIOD_OVERRIDE=FQ","FILING_STATUS=OR","EQY_CONSOLIDATED=Y","Sort=A","Dates=H","DateFormat=P","Fill=—","Direction=H","UseDPDF=Y")</f>
        <v>#NAME?</v>
      </c>
      <c r="BA352" s="1" t="e">
        <f ca="1">_xll.BDH($C$328,"TOTAL_DEBT_5_YEAR_GROWTH","FQ4 2018","FQ4 2018","Currency=INR","Period=FQ","BEST_FPERIOD_OVERRIDE=FQ","FILING_STATUS=OR","EQY_CONSOLIDATED=Y","Sort=A","Dates=H","DateFormat=P","Fill=—","Direction=H","UseDPDF=Y")</f>
        <v>#NAME?</v>
      </c>
      <c r="BB352" s="1" t="e">
        <f ca="1">_xll.BDH($C$328,"GEO_GROW_TOT_SHRHLDR_EQY","FQ4 2018","FQ4 2018","Currency=INR","Period=FQ","BEST_FPERIOD_OVERRIDE=FQ","FILING_STATUS=OR","EQY_CONSOLIDATED=Y","Sort=A","Dates=H","DateFormat=P","Fill=—","Direction=H","UseDPDF=Y")</f>
        <v>#NAME?</v>
      </c>
      <c r="BC352" s="1" t="e">
        <f ca="1">_xll.BDH($C$328,"TOTAL_CAPITAL_5_YEAR_GROWTH","FQ4 2018","FQ4 2018","Currency=INR","Period=FQ","BEST_FPERIOD_OVERRIDE=FQ","FILING_STATUS=OR","EQY_CONSOLIDATED=Y","Sort=A","Dates=H","DateFormat=P","Fill=—","Direction=H","UseDPDF=Y")</f>
        <v>#NAME?</v>
      </c>
      <c r="BD352" s="1" t="e">
        <f ca="1">_xll.BDH($C$328,"GEO_GROW_BOOK_VAL","FQ4 2018","FQ4 2018","Currency=INR","Period=FQ","BEST_FPERIOD_OVERRIDE=FQ","FILING_STATUS=OR","EQY_CONSOLIDATED=Y","Sort=A","Dates=H","DateFormat=P","Fill=—","Direction=H","UseDPDF=Y")</f>
        <v>#NAME?</v>
      </c>
      <c r="BE352" s="1" t="e">
        <f ca="1">_xll.BDH($C$328,"GEO_GROW_CASH_OPER_ACT","FQ4 2018","FQ4 2018","Currency=INR","Period=FQ","BEST_FPERIOD_OVERRIDE=FQ","FILING_STATUS=OR","EQY_CONSOLIDATED=Y","Sort=A","Dates=H","DateFormat=P","Fill=—","Direction=H","UseDPDF=Y")</f>
        <v>#NAME?</v>
      </c>
      <c r="BF352" s="1" t="e">
        <f ca="1">_xll.BDH($C$328,"REVENUE_SEQUENTIAL_GROWTH","FQ4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52" s="1" t="e">
        <f ca="1">_xll.BDH($C$328,"EBITDA_SEQUENTIAL_GROWTH","FQ4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52" s="1" t="e">
        <f ca="1">_xll.BDH($C$328,"OPERATING_INCOME_SEQ_GROWTH","FQ4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52" s="1" t="e">
        <f ca="1">_xll.BDH($C$328,"NET_INCOME_TO_COMMON_SEQ_GROWTH","FQ4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52" s="1" t="e">
        <f ca="1">_xll.BDH($C$328,"EPS_DILUTED_SEQUENTIAL_GROWTH","FQ4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52" s="1" t="e">
        <f ca="1">_xll.BDH($C$328,"DPS_SEQUENTIAL_GROWTH","FQ4 2018","FQ4 2018","Currency=INR","Period=FQ","BEST_FPERIOD_OVERRIDE=FQ","FILING_STATUS=OR","EQY_CONSOLIDATED=Y","Sort=A","Dates=H","DateFormat=P","Fill=—","Direction=H","UseDPDF=Y")</f>
        <v>#NAME?</v>
      </c>
      <c r="BL352" s="1" t="e">
        <f ca="1">_xll.BDH($C$328,"ACCOUNTS_RECEIVABLE_SEQ_GROWTH","FQ4 2018","FQ4 2018","Currency=INR","Period=FQ","BEST_FPERIOD_OVERRIDE=FQ","FILING_STATUS=OR","EQY_CONSOLIDATED=Y","Sort=A","Dates=H","DateFormat=P","Fill=—","Direction=H","UseDPDF=Y")</f>
        <v>#NAME?</v>
      </c>
      <c r="BM352" s="1" t="e">
        <f ca="1">_xll.BDH($C$328,"INVENTORY_SEQUENTIAL_GROWTH","FQ4 2018","FQ4 2018","Currency=INR","Period=FQ","BEST_FPERIOD_OVERRIDE=FQ","FILING_STATUS=OR","EQY_CONSOLIDATED=Y","Sort=A","Dates=H","DateFormat=P","Fill=—","Direction=H","UseDPDF=Y")</f>
        <v>#NAME?</v>
      </c>
      <c r="BN352" s="1" t="e">
        <f ca="1">_xll.BDH($C$328,"FIXED_ASSETS_SEQUENTIAL_GROWTH","FQ4 2018","FQ4 2018","Currency=INR","Period=FQ","BEST_FPERIOD_OVERRIDE=FQ","FILING_STATUS=OR","EQY_CONSOLIDATED=Y","Sort=A","Dates=H","DateFormat=P","Fill=—","Direction=H","UseDPDF=Y")</f>
        <v>#NAME?</v>
      </c>
      <c r="BO352" s="1" t="e">
        <f ca="1">_xll.BDH($C$328,"TOTAL_ASSETS_SEQUENTIAL_GROWTH","FQ4 2018","FQ4 2018","Currency=INR","Period=FQ","BEST_FPERIOD_OVERRIDE=FQ","FILING_STATUS=OR","EQY_CONSOLIDATED=Y","Sort=A","Dates=H","DateFormat=P","Fill=—","Direction=H","UseDPDF=Y")</f>
        <v>#NAME?</v>
      </c>
      <c r="BP352" s="1" t="e">
        <f ca="1">_xll.BDH($C$328,"MODIFIED_WORKING_CPTL_SEQ_GRWTH","FQ4 2018","FQ4 2018","Currency=INR","Period=FQ","BEST_FPERIOD_OVERRIDE=FQ","FILING_STATUS=OR","EQY_CONSOLIDATED=Y","Sort=A","Dates=H","DateFormat=P","Fill=—","Direction=H","UseDPDF=Y")</f>
        <v>#NAME?</v>
      </c>
      <c r="BQ352" s="1" t="e">
        <f ca="1">_xll.BDH($C$328,"WORKING_CAPITAL_SEQ_GROWTH","FQ4 2018","FQ4 2018","Currency=INR","Period=FQ","BEST_FPERIOD_OVERRIDE=FQ","FILING_STATUS=OR","EQY_CONSOLIDATED=Y","Sort=A","Dates=H","DateFormat=P","Fill=—","Direction=H","UseDPDF=Y")</f>
        <v>#NAME?</v>
      </c>
      <c r="BR352" s="1" t="e">
        <f ca="1">_xll.BDH($C$328,"ACCOUNTS_PAYABLE_SEQ_GROWTH","FQ4 2018","FQ4 2018","Currency=INR","Period=FQ","BEST_FPERIOD_OVERRIDE=FQ","FILING_STATUS=OR","EQY_CONSOLIDATED=Y","Sort=A","Dates=H","DateFormat=P","Fill=—","Direction=H","UseDPDF=Y")</f>
        <v>#NAME?</v>
      </c>
      <c r="BS352" s="1" t="e">
        <f ca="1">_xll.BDH($C$328,"ST_DEBT_SEQUENTIAL_GROWTH","FQ4 2018","FQ4 2018","Currency=INR","Period=FQ","BEST_FPERIOD_OVERRIDE=FQ","FILING_STATUS=OR","EQY_CONSOLIDATED=Y","Sort=A","Dates=H","DateFormat=P","Fill=—","Direction=H","UseDPDF=Y")</f>
        <v>#NAME?</v>
      </c>
      <c r="BT352" s="1" t="e">
        <f ca="1">_xll.BDH($C$328,"TOTAL_DEBT_SEQUENTIAL_GROWTH","FQ4 2018","FQ4 2018","Currency=INR","Period=FQ","BEST_FPERIOD_OVERRIDE=FQ","FILING_STATUS=OR","EQY_CONSOLIDATED=Y","Sort=A","Dates=H","DateFormat=P","Fill=—","Direction=H","UseDPDF=Y")</f>
        <v>#NAME?</v>
      </c>
      <c r="BU352" s="1" t="e">
        <f ca="1">_xll.BDH($C$328,"TOTAL_EQUITY_SEQUENTIAL_GROWTH","FQ4 2018","FQ4 2018","Currency=INR","Period=FQ","BEST_FPERIOD_OVERRIDE=FQ","FILING_STATUS=OR","EQY_CONSOLIDATED=Y","Sort=A","Dates=H","DateFormat=P","Fill=—","Direction=H","UseDPDF=Y")</f>
        <v>#NAME?</v>
      </c>
      <c r="BV352" s="1" t="e">
        <f ca="1">_xll.BDH($C$328,"TOTAL_CAPITAL_SEQUENTIAL_GROWTH","FQ4 2018","FQ4 2018","Currency=INR","Period=FQ","BEST_FPERIOD_OVERRIDE=FQ","FILING_STATUS=OR","EQY_CONSOLIDATED=Y","Sort=A","Dates=H","DateFormat=P","Fill=—","Direction=H","UseDPDF=Y")</f>
        <v>#NAME?</v>
      </c>
      <c r="BW352" s="1" t="e">
        <f ca="1">_xll.BDH($C$328,"BPS_SEQUENTIAL_GROWTH","FQ4 2018","FQ4 2018","Currency=INR","Period=FQ","BEST_FPERIOD_OVERRIDE=FQ","FILING_STATUS=OR","EQY_CONSOLIDATED=Y","Sort=A","Dates=H","DateFormat=P","Fill=—","Direction=H","UseDPDF=Y")</f>
        <v>#NAME?</v>
      </c>
      <c r="BX352" s="1" t="e">
        <f ca="1">_xll.BDH($C$328,"CFO_SEQUENTIAL_GROWTH","FQ4 2018","FQ4 2018","Currency=INR","Period=FQ","BEST_FPERIOD_OVERRIDE=FQ","FILING_STATUS=OR","EQY_CONSOLIDATED=Y","Sort=A","Dates=H","DateFormat=P","Fill=—","Direction=H","UseDPDF=Y")</f>
        <v>#NAME?</v>
      </c>
      <c r="BY352" s="2" t="e">
        <f ca="1">_xll.BDH($C$328,"SHORT_AND_LONG_TERM_DEBT","FQ4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52" s="2" t="e">
        <f ca="1">_xll.BDH($C$328,"BS_ST_BORROW","FQ4 2018","FQ4 2018","Currency=INR","Period=FQ","BEST_FPERIOD_OVERRIDE=FQ","FILING_STATUS=OR","EQY_CONSOLIDATED=Y","SCALING_FORMAT=MLN","Sort=A","Dates=H","DateFormat=P","Fill=—","Direction=H","UseDPDF=Y")</f>
        <v>#NAME?</v>
      </c>
      <c r="CA352" s="2" t="e">
        <f ca="1">_xll.BDH($C$328,"BS_LT_BORROW","FQ4 2018","FQ4 2018","Currency=INR","Period=FQ","BEST_FPERIOD_OVERRIDE=FQ","FILING_STATUS=OR","EQY_CONSOLIDATED=Y","SCALING_FORMAT=MLN","Sort=A","Dates=H","DateFormat=P","Fill=—","Direction=H","UseDPDF=Y")</f>
        <v>#NAME?</v>
      </c>
      <c r="CB352" s="1" t="e">
        <f ca="1">_xll.BDH($C$328,"TOT_DEBT_TO_EBITDA","FQ4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52" s="1" t="e">
        <f ca="1">_xll.BDH($C$328,"NET_DEBT_TO_EBITDA","FQ4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52" s="1" t="e">
        <f ca="1">_xll.BDH($C$328,"TOTAL_DEBT_TO_EBIT","FQ4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52" s="1" t="e">
        <f ca="1">_xll.BDH($C$328,"NET_DEBT_TO_EBIT","FQ4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352" s="1" t="e">
        <f ca="1">_xll.BDH($C$328,"EBITDA_TO_INTEREST_EXPN","FQ4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52" s="1" t="e">
        <f ca="1">_xll.BDH($C$328,"COM_EQY_TO_TOT_ASSET","FQ4 2018","FQ4 2018","Currency=INR","Period=FQ","BEST_FPERIOD_OVERRIDE=FQ","FILING_STATUS=OR","EQY_CONSOLIDATED=Y","Sort=A","Dates=H","DateFormat=P","Fill=—","Direction=H","UseDPDF=Y")</f>
        <v>#NAME?</v>
      </c>
      <c r="CH352" s="1" t="e">
        <f ca="1">_xll.BDH($C$328,"LT_DEBT_TO_TOT_EQY","FQ4 2018","FQ4 2018","Currency=INR","Period=FQ","BEST_FPERIOD_OVERRIDE=FQ","FILING_STATUS=OR","EQY_CONSOLIDATED=Y","Sort=A","Dates=H","DateFormat=P","Fill=—","Direction=H","UseDPDF=Y")</f>
        <v>#NAME?</v>
      </c>
      <c r="CI352" s="1" t="e">
        <f ca="1">_xll.BDH($C$328,"LT_DEBT_TO_TOT_CAP","FQ4 2018","FQ4 2018","Currency=INR","Period=FQ","BEST_FPERIOD_OVERRIDE=FQ","FILING_STATUS=OR","EQY_CONSOLIDATED=Y","Sort=A","Dates=H","DateFormat=P","Fill=—","Direction=H","UseDPDF=Y")</f>
        <v>#NAME?</v>
      </c>
      <c r="CJ352" s="1" t="e">
        <f ca="1">_xll.BDH($C$328,"LT_DEBT_TO_TOT_ASSET","FQ4 2018","FQ4 2018","Currency=INR","Period=FQ","BEST_FPERIOD_OVERRIDE=FQ","FILING_STATUS=OR","EQY_CONSOLIDATED=Y","Sort=A","Dates=H","DateFormat=P","Fill=—","Direction=H","UseDPDF=Y")</f>
        <v>#NAME?</v>
      </c>
      <c r="CK352" s="1" t="e">
        <f ca="1">_xll.BDH($C$328,"TOT_DEBT_TO_TOT_EQY","FQ4 2018","FQ4 2018","Currency=INR","Period=FQ","BEST_FPERIOD_OVERRIDE=FQ","FILING_STATUS=OR","EQY_CONSOLIDATED=Y","Sort=A","Dates=H","DateFormat=P","Fill=—","Direction=H","UseDPDF=Y")</f>
        <v>#NAME?</v>
      </c>
      <c r="CL352" s="1" t="e">
        <f ca="1">_xll.BDH($C$328,"TOT_DEBT_TO_TOT_CAP","FQ4 2018","FQ4 2018","Currency=INR","Period=FQ","BEST_FPERIOD_OVERRIDE=FQ","FILING_STATUS=OR","EQY_CONSOLIDATED=Y","Sort=A","Dates=H","DateFormat=P","Fill=—","Direction=H","UseDPDF=Y")</f>
        <v>#NAME?</v>
      </c>
      <c r="CM352" s="1" t="e">
        <f ca="1">_xll.BDH($C$328,"TOT_DEBT_TO_TOT_ASSET","FQ4 2018","FQ4 2018","Currency=INR","Period=FQ","BEST_FPERIOD_OVERRIDE=FQ","FILING_STATUS=OR","EQY_CONSOLIDATED=Y","Sort=A","Dates=H","DateFormat=P","Fill=—","Direction=H","UseDPDF=Y")</f>
        <v>#NAME?</v>
      </c>
      <c r="CN352" s="1" t="e">
        <f ca="1">_xll.BDH($C$328,"NET_DEBT_TO_SHRHLDR_EQTY","FQ4 2018","FQ4 2018","Currency=INR","Period=FQ","BEST_FPERIOD_OVERRIDE=FQ","FILING_STATUS=OR","EQY_CONSOLIDATED=Y","Sort=A","Dates=H","DateFormat=P","Fill=—","Direction=H","UseDPDF=Y")</f>
        <v>#NAME?</v>
      </c>
      <c r="CO352" s="1" t="e">
        <f ca="1">_xll.BDH($C$328,"NET_DEBT_%_CAPITAL","FQ4 2018","FQ4 2018","Currency=INR","Period=FQ","BEST_FPERIOD_OVERRIDE=FQ","FILING_STATUS=OR","EQY_CONSOLIDATED=Y","Sort=A","Dates=H","DateFormat=P","Fill=—","Direction=H","UseDPDF=Y")</f>
        <v>#NAME?</v>
      </c>
      <c r="CP352" s="2" t="e">
        <f ca="1">_xll.BDH($C$328,"EBITDA","FQ4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52" s="2" t="e">
        <f ca="1">_xll.BDH($C$328,"EBITDA_AFTER_CAPEX","FQ4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52" s="2" t="e">
        <f ca="1">_xll.BDH($C$328,"IS_OPER_INC","FQ4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52" s="1" t="e">
        <f ca="1">_xll.BDH($C$328,"CASH_RATIO","FQ4 2018","FQ4 2018","Currency=INR","Period=FQ","BEST_FPERIOD_OVERRIDE=FQ","FILING_STATUS=OR","EQY_CONSOLIDATED=Y","Sort=A","Dates=H","DateFormat=P","Fill=—","Direction=H","UseDPDF=Y")</f>
        <v>#NAME?</v>
      </c>
      <c r="CT352" s="1" t="e">
        <f ca="1">_xll.BDH($C$328,"CUR_RATIO","FQ4 2018","FQ4 2018","Currency=INR","Period=FQ","BEST_FPERIOD_OVERRIDE=FQ","FILING_STATUS=OR","EQY_CONSOLIDATED=Y","Sort=A","Dates=H","DateFormat=P","Fill=—","Direction=H","UseDPDF=Y")</f>
        <v>#NAME?</v>
      </c>
      <c r="CU352" s="1" t="e">
        <f ca="1">_xll.BDH($C$328,"QUICK_RATIO","FQ4 2018","FQ4 2018","Currency=INR","Period=FQ","BEST_FPERIOD_OVERRIDE=FQ","FILING_STATUS=OR","EQY_CONSOLIDATED=Y","Sort=A","Dates=H","DateFormat=P","Fill=—","Direction=H","UseDPDF=Y")</f>
        <v>#NAME?</v>
      </c>
      <c r="CV352" s="1" t="e">
        <f ca="1">_xll.BDH($C$328,"ALTMAN_Z_SCORE","FQ4 2018","FQ4 2018","Currency=INR","Period=FQ","BEST_FPERIOD_OVERRIDE=FQ","FILING_STATUS=OR","EQY_CONSOLIDATED=Y","Sort=A","Dates=H","DateFormat=P","Fill=—","Direction=H","UseDPDF=Y")</f>
        <v>#NAME?</v>
      </c>
      <c r="CW352" s="3" t="e">
        <f ca="1">_xll.BDH($C$328,"ACCT_RCV_TURN","FQ4 2018","FQ4 2018","Currency=INR","Period=FQ","BEST_FPERIOD_OVERRIDE=FQ","FILING_STATUS=OR","EQY_CONSOLIDATED=Y","FA_ADJUSTED=GAAP","Sort=A","Dates=H","DateFormat=P","Fill=—","Direction=H","UseDPDF=Y")</f>
        <v>#NAME?</v>
      </c>
      <c r="CX352" s="1" t="e">
        <f ca="1">_xll.BDH($C$328,"ACCT_RCV_DAYS","FQ4 2018","FQ4 2018","Currency=INR","Period=FQ","BEST_FPERIOD_OVERRIDE=FQ","FILING_STATUS=OR","EQY_CONSOLIDATED=Y","FA_ADJUSTED=GAAP","Sort=A","Dates=H","DateFormat=P","Fill=—","Direction=H","UseDPDF=Y")</f>
        <v>#NAME?</v>
      </c>
      <c r="CY352" s="3" t="e">
        <f ca="1">_xll.BDH($C$328,"INVENT_TURN","FQ4 2018","FQ4 2018","Currency=INR","Period=FQ","BEST_FPERIOD_OVERRIDE=FQ","FILING_STATUS=OR","EQY_CONSOLIDATED=Y","FA_ADJUSTED=GAAP","Sort=A","Dates=H","DateFormat=P","Fill=—","Direction=H","UseDPDF=Y")</f>
        <v>#NAME?</v>
      </c>
      <c r="CZ352" s="1" t="e">
        <f ca="1">_xll.BDH($C$328,"INVENT_DAYS","FQ4 2018","FQ4 2018","Currency=INR","Period=FQ","BEST_FPERIOD_OVERRIDE=FQ","FILING_STATUS=OR","EQY_CONSOLIDATED=Y","FA_ADJUSTED=GAAP","Sort=A","Dates=H","DateFormat=P","Fill=—","Direction=H","UseDPDF=Y")</f>
        <v>#NAME?</v>
      </c>
      <c r="DA352" s="3" t="e">
        <f ca="1">_xll.BDH($C$328,"ACCOUNTS_PAYABLE_TURNOVER","FQ4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52" s="1" t="e">
        <f ca="1">_xll.BDH($C$328,"ACCOUNTS_PAYABLE_TURNOVER_DAYS","FQ4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52" s="3" t="e">
        <f ca="1">_xll.BDH($C$328,"CASH_CONVERSION_CYCLE","FQ4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52" s="3" t="e">
        <f ca="1">_xll.BDH($C$328,"INV_TO_CASH_DAYS","FQ4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352" s="4" t="e">
        <f ca="1">_xll.BDH($C$328,"BS_INVENTORIES","FQ4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352" s="2" t="e">
        <f ca="1">_xll.BDH($C$328,"INVTRY_RAW_MATERIALS","FQ4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52" s="2" t="e">
        <f ca="1">_xll.BDH($C$328,"INVTRY_IN_PROGRESS","FQ4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52" s="2" t="e">
        <f ca="1">_xll.BDH($C$328,"INVTRY_FINISHED_GOODS","FQ4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52" s="2" t="e">
        <f ca="1">_xll.BDH($C$328,"BS_OTHER_INV","FQ4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53" spans="1:113" x14ac:dyDescent="0.3">
      <c r="A353" s="6">
        <v>65</v>
      </c>
      <c r="B353" s="6" t="s">
        <v>38</v>
      </c>
      <c r="C353" s="6" t="s">
        <v>39</v>
      </c>
      <c r="D353" s="6" t="s">
        <v>2</v>
      </c>
      <c r="E353" t="s">
        <v>3</v>
      </c>
      <c r="F353" t="e">
        <f ca="1">_xll.BDH($C$353,"RETURN_COM_EQY","FY 2014","FY 2014","Currency=INR","Period=FY","BEST_FPERIOD_OVERRIDE=FY","FILING_STATUS=OR","EQY_CONSOLIDATED=Y","FA_ADJUSTED=GAAP","Sort=A","Dates=H","DateFormat=P","Fill=—","Direction=H","UseDPDF=Y")</f>
        <v>#NAME?</v>
      </c>
      <c r="G353" t="e">
        <f ca="1">_xll.BDH($C$353,"RETURN_ON_ASSET","FY 2014","FY 2014","Currency=INR","Period=FY","BEST_FPERIOD_OVERRIDE=FY","FILING_STATUS=OR","EQY_CONSOLIDATED=Y","FA_ADJUSTED=GAAP","Sort=A","Dates=H","DateFormat=P","Fill=—","Direction=H","UseDPDF=Y")</f>
        <v>#NAME?</v>
      </c>
      <c r="H353" t="e">
        <f ca="1">_xll.BDH($C$353,"RETURN_ON_CAP","FY 2014","FY 2014","Currency=INR","Period=FY","BEST_FPERIOD_OVERRIDE=FY","FILING_STATUS=OR","EQY_CONSOLIDATED=Y","FA_ADJUSTED=GAAP","Sort=A","Dates=H","DateFormat=P","Fill=—","Direction=H","UseDPDF=Y")</f>
        <v>#NAME?</v>
      </c>
      <c r="I353" t="e">
        <f ca="1">_xll.BDH($C$353,"RETURN_ON_INV_CAPITAL","FY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53" t="e">
        <f ca="1">_xll.BDH($C$353,"EBITDA_TO_REVENUE","FY 2014","FY 2014","Currency=INR","Period=FY","BEST_FPERIOD_OVERRIDE=FY","FILING_STATUS=OR","EQY_CONSOLIDATED=Y","FA_ADJUSTED=GAAP","Sort=A","Dates=H","DateFormat=P","Fill=—","Direction=H","UseDPDF=Y")</f>
        <v>#NAME?</v>
      </c>
      <c r="K353" t="e">
        <f ca="1">_xll.BDH($C$353,"OPER_MARGIN","FY 2014","FY 2014","Currency=INR","Period=FY","BEST_FPERIOD_OVERRIDE=FY","FILING_STATUS=OR","EQY_CONSOLIDATED=Y","FA_ADJUSTED=GAAP","Sort=A","Dates=H","DateFormat=P","Fill=—","Direction=H","UseDPDF=Y")</f>
        <v>#NAME?</v>
      </c>
      <c r="L353" t="e">
        <f ca="1">_xll.BDH($C$353,"INCREMENTAL_OPERATING_MARGIN","FY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53" t="e">
        <f ca="1">_xll.BDH($C$353,"PRETAX_INC_TO_NET_SALES","FY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53" t="e">
        <f ca="1">_xll.BDH($C$353,"INC_BEF_XO_ITEMS_TO_NET_SALES","FY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53" t="e">
        <f ca="1">_xll.BDH($C$353,"PROF_MARGIN","FY 2014","FY 2014","Currency=INR","Period=FY","BEST_FPERIOD_OVERRIDE=FY","FILING_STATUS=OR","EQY_CONSOLIDATED=Y","FA_ADJUSTED=GAAP","Sort=A","Dates=H","DateFormat=P","Fill=—","Direction=H","UseDPDF=Y")</f>
        <v>#NAME?</v>
      </c>
      <c r="P353" t="e">
        <f ca="1">_xll.BDH($C$353,"NET_INCOME_TO_COMMON_MARGIN","FY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53" t="e">
        <f ca="1">_xll.BDH($C$353,"EFF_TAX_RATE","FY 2014","FY 2014","Currency=INR","Period=FY","BEST_FPERIOD_OVERRIDE=FY","FILING_STATUS=OR","EQY_CONSOLIDATED=Y","FA_ADJUSTED=GAAP","Sort=A","Dates=H","DateFormat=P","Fill=—","Direction=H","UseDPDF=Y")</f>
        <v>#NAME?</v>
      </c>
      <c r="R353" t="e">
        <f ca="1">_xll.BDH($C$353,"DVD_PAYOUT_RATIO","FY 2014","FY 2014","Currency=INR","Period=FY","BEST_FPERIOD_OVERRIDE=FY","FILING_STATUS=OR","EQY_CONSOLIDATED=Y","FA_ADJUSTED=GAAP","Sort=A","Dates=H","DateFormat=P","Fill=—","Direction=H","UseDPDF=Y")</f>
        <v>#NAME?</v>
      </c>
      <c r="S353" t="e">
        <f ca="1">_xll.BDH($C$353,"SUSTAIN_GROWTH_RT","FY 2014","FY 2014","Currency=INR","Period=FY","BEST_FPERIOD_OVERRIDE=FY","FILING_STATUS=OR","EQY_CONSOLIDATED=Y","FA_ADJUSTED=GAAP","Sort=A","Dates=H","DateFormat=P","Fill=—","Direction=H","UseDPDF=Y")</f>
        <v>#NAME?</v>
      </c>
      <c r="T353" s="1" t="e">
        <f ca="1">_xll.BDH($C$353,"SALES_GROWTH","FY 2014","FY 2014","Currency=INR","Period=FY","BEST_FPERIOD_OVERRIDE=FY","FILING_STATUS=OR","EQY_CONSOLIDATED=Y","FA_ADJUSTED=GAAP","Sort=A","Dates=H","DateFormat=P","Fill=—","Direction=H","UseDPDF=Y")</f>
        <v>#NAME?</v>
      </c>
      <c r="U353" s="1" t="e">
        <f ca="1">_xll.BDH($C$353,"EBITDA_GROWTH","FY 2014","FY 2014","Currency=INR","Period=FY","BEST_FPERIOD_OVERRIDE=FY","FILING_STATUS=OR","EQY_CONSOLIDATED=Y","FA_ADJUSTED=GAAP","Sort=A","Dates=H","DateFormat=P","Fill=—","Direction=H","UseDPDF=Y")</f>
        <v>#NAME?</v>
      </c>
      <c r="V353" s="1" t="e">
        <f ca="1">_xll.BDH($C$353,"OPER_INC_GROWTH","FY 2014","FY 2014","Currency=INR","Period=FY","BEST_FPERIOD_OVERRIDE=FY","FILING_STATUS=OR","EQY_CONSOLIDATED=Y","FA_ADJUSTED=GAAP","Sort=A","Dates=H","DateFormat=P","Fill=—","Direction=H","UseDPDF=Y")</f>
        <v>#NAME?</v>
      </c>
      <c r="W353" s="1" t="e">
        <f ca="1">_xll.BDH($C$353,"EARN_FOR_COM_GROWTH","FY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353" s="1" t="e">
        <f ca="1">_xll.BDH($C$353,"DILUTED_EPS_AFT_XO_ITEMS_GROWTH","FY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53" s="1" t="e">
        <f ca="1">_xll.BDH($C$353,"DIVIDEND_PER_SHARE_1_YEAR_GROWTH","FY 2014","FY 2014","Currency=INR","Period=FY","BEST_FPERIOD_OVERRIDE=FY","FILING_STATUS=OR","EQY_CONSOLIDATED=Y","Sort=A","Dates=H","DateFormat=P","Fill=—","Direction=H","UseDPDF=Y")</f>
        <v>#NAME?</v>
      </c>
      <c r="Z353" s="1" t="e">
        <f ca="1">_xll.BDH($C$353,"ACCOUNTS_RECEIVABLE_GROWTH","FY 2014","FY 2014","Currency=INR","Period=FY","BEST_FPERIOD_OVERRIDE=FY","FILING_STATUS=OR","EQY_CONSOLIDATED=Y","Sort=A","Dates=H","DateFormat=P","Fill=—","Direction=H","UseDPDF=Y")</f>
        <v>#NAME?</v>
      </c>
      <c r="AA353" s="1" t="e">
        <f ca="1">_xll.BDH($C$353,"INVENTORY_GROWTH","FY 2014","FY 2014","Currency=INR","Period=FY","BEST_FPERIOD_OVERRIDE=FY","FILING_STATUS=OR","EQY_CONSOLIDATED=Y","Sort=A","Dates=H","DateFormat=P","Fill=—","Direction=H","UseDPDF=Y")</f>
        <v>#NAME?</v>
      </c>
      <c r="AB353" s="1" t="e">
        <f ca="1">_xll.BDH($C$353,"NET_FIXED_ASSETS_1_YEAR_GROWTH","FY 2014","FY 2014","Currency=INR","Period=FY","BEST_FPERIOD_OVERRIDE=FY","FILING_STATUS=OR","EQY_CONSOLIDATED=Y","Sort=A","Dates=H","DateFormat=P","Fill=—","Direction=H","UseDPDF=Y")</f>
        <v>#NAME?</v>
      </c>
      <c r="AC353" s="1" t="e">
        <f ca="1">_xll.BDH($C$353,"ASSET_GROWTH","FY 2014","FY 2014","Currency=INR","Period=FY","BEST_FPERIOD_OVERRIDE=FY","FILING_STATUS=OR","EQY_CONSOLIDATED=Y","Sort=A","Dates=H","DateFormat=P","Fill=—","Direction=H","UseDPDF=Y")</f>
        <v>#NAME?</v>
      </c>
      <c r="AD353" s="1" t="e">
        <f ca="1">_xll.BDH($C$353,"MODIFIED_WORK_CAP_GROWTH","FY 2014","FY 2014","Currency=INR","Period=FY","BEST_FPERIOD_OVERRIDE=FY","FILING_STATUS=OR","EQY_CONSOLIDATED=Y","Sort=A","Dates=H","DateFormat=P","Fill=—","Direction=H","UseDPDF=Y")</f>
        <v>#NAME?</v>
      </c>
      <c r="AE353" s="1" t="e">
        <f ca="1">_xll.BDH($C$353,"WORK_CAP_GROWTH","FY 2014","FY 2014","Currency=INR","Period=FY","BEST_FPERIOD_OVERRIDE=FY","FILING_STATUS=OR","EQY_CONSOLIDATED=Y","Sort=A","Dates=H","DateFormat=P","Fill=—","Direction=H","UseDPDF=Y")</f>
        <v>#NAME?</v>
      </c>
      <c r="AF353" s="1" t="e">
        <f ca="1">_xll.BDH($C$353,"ACCOUNTS_PAYABLE_GROWTH_1YR","FY 2014","FY 2014","Currency=INR","Period=FY","BEST_FPERIOD_OVERRIDE=FY","FILING_STATUS=OR","EQY_CONSOLIDATED=Y","Sort=A","Dates=H","DateFormat=P","Fill=—","Direction=H","UseDPDF=Y")</f>
        <v>#NAME?</v>
      </c>
      <c r="AG353" s="1" t="e">
        <f ca="1">_xll.BDH($C$353,"SHORT_TERM_DEBT_1_YEAR_GROWTH","FY 2014","FY 2014","Currency=INR","Period=FY","BEST_FPERIOD_OVERRIDE=FY","FILING_STATUS=OR","EQY_CONSOLIDATED=Y","Sort=A","Dates=H","DateFormat=P","Fill=—","Direction=H","UseDPDF=Y")</f>
        <v>#NAME?</v>
      </c>
      <c r="AH353" s="1" t="e">
        <f ca="1">_xll.BDH($C$353,"TOTAL_DEBT_1_YEAR_GROWTH","FY 2014","FY 2014","Currency=INR","Period=FY","BEST_FPERIOD_OVERRIDE=FY","FILING_STATUS=OR","EQY_CONSOLIDATED=Y","Sort=A","Dates=H","DateFormat=P","Fill=—","Direction=H","UseDPDF=Y")</f>
        <v>#NAME?</v>
      </c>
      <c r="AI353" s="1" t="e">
        <f ca="1">_xll.BDH($C$353,"TOTAL_EQUITY_1_YEAR_GROWTH","FY 2014","FY 2014","Currency=INR","Period=FY","BEST_FPERIOD_OVERRIDE=FY","FILING_STATUS=OR","EQY_CONSOLIDATED=Y","Sort=A","Dates=H","DateFormat=P","Fill=—","Direction=H","UseDPDF=Y")</f>
        <v>#NAME?</v>
      </c>
      <c r="AJ353" s="1" t="e">
        <f ca="1">_xll.BDH($C$353,"GROWTH_IN_CAP","FY 2014","FY 2014","Currency=INR","Period=FY","BEST_FPERIOD_OVERRIDE=FY","FILING_STATUS=OR","EQY_CONSOLIDATED=Y","Sort=A","Dates=H","DateFormat=P","Fill=—","Direction=H","UseDPDF=Y")</f>
        <v>#NAME?</v>
      </c>
      <c r="AK353" s="1" t="e">
        <f ca="1">_xll.BDH($C$353,"BVPS_GROWTH","FY 2014","FY 2014","Currency=INR","Period=FY","BEST_FPERIOD_OVERRIDE=FY","FILING_STATUS=OR","EQY_CONSOLIDATED=Y","Sort=A","Dates=H","DateFormat=P","Fill=—","Direction=H","UseDPDF=Y")</f>
        <v>#NAME?</v>
      </c>
      <c r="AL353" s="1" t="e">
        <f ca="1">_xll.BDH($C$353,"CASH_FLOW_GROWTH","FY 2014","FY 2014","Currency=INR","Period=FY","BEST_FPERIOD_OVERRIDE=FY","FILING_STATUS=OR","EQY_CONSOLIDATED=Y","Sort=A","Dates=H","DateFormat=P","Fill=—","Direction=H","UseDPDF=Y")</f>
        <v>#NAME?</v>
      </c>
      <c r="AM353" s="1" t="e">
        <f ca="1">_xll.BDH($C$353,"GEO_GROW_NET_SALES","FY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353" s="1" t="e">
        <f ca="1">_xll.BDH($C$353,"GEO_GROW_EBITDA","FY 2014","FY 2014","Currency=INR","Period=FY","BEST_FPERIOD_OVERRIDE=FY","FILING_STATUS=OR","EQY_CONSOLIDATED=Y","FA_ADJUSTED=GAAP","Sort=A","Dates=H","DateFormat=P","Fill=—","Direction=H","UseDPDF=Y")</f>
        <v>#NAME?</v>
      </c>
      <c r="AO353" s="1" t="e">
        <f ca="1">_xll.BDH($C$353,"GEO_GROW_OPER_INC","FY 2014","FY 2014","Currency=INR","Period=FY","BEST_FPERIOD_OVERRIDE=FY","FILING_STATUS=OR","EQY_CONSOLIDATED=Y","FA_ADJUSTED=GAAP","Sort=A","Dates=H","DateFormat=P","Fill=—","Direction=H","UseDPDF=Y")</f>
        <v>#NAME?</v>
      </c>
      <c r="AP353" s="1" t="e">
        <f ca="1">_xll.BDH($C$353,"NET_INCOME_TO_COMMON_5_YR_GROWTH","FY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53" s="1" t="e">
        <f ca="1">_xll.BDH($C$353,"5Y_GEO_GROWTH_DILUTED_EPS","FY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53" s="1" t="e">
        <f ca="1">_xll.BDH($C$353,"GEO_GROW_DVD_PER_SH","FY 2014","FY 2014","Currency=INR","Period=FY","BEST_FPERIOD_OVERRIDE=FY","FILING_STATUS=OR","EQY_CONSOLIDATED=Y","Sort=A","Dates=H","DateFormat=P","Fill=—","Direction=H","UseDPDF=Y")</f>
        <v>#NAME?</v>
      </c>
      <c r="AS353" s="1" t="e">
        <f ca="1">_xll.BDH($C$353,"ACCOUNTS_RECEIVABLE_5_YR_GROWTH","FY 2014","FY 2014","Currency=INR","Period=FY","BEST_FPERIOD_OVERRIDE=FY","FILING_STATUS=OR","EQY_CONSOLIDATED=Y","Sort=A","Dates=H","DateFormat=P","Fill=—","Direction=H","UseDPDF=Y")</f>
        <v>#NAME?</v>
      </c>
      <c r="AT353" s="1" t="e">
        <f ca="1">_xll.BDH($C$353,"INVENTORY_5_YEAR_GROWTH","FY 2014","FY 2014","Currency=INR","Period=FY","BEST_FPERIOD_OVERRIDE=FY","FILING_STATUS=OR","EQY_CONSOLIDATED=Y","Sort=A","Dates=H","DateFormat=P","Fill=—","Direction=H","UseDPDF=Y")</f>
        <v>#NAME?</v>
      </c>
      <c r="AU353" s="1" t="e">
        <f ca="1">_xll.BDH($C$353,"NET_FIXED_ASSETS_5_YEAR_GROWTH","FY 2014","FY 2014","Currency=INR","Period=FY","BEST_FPERIOD_OVERRIDE=FY","FILING_STATUS=OR","EQY_CONSOLIDATED=Y","Sort=A","Dates=H","DateFormat=P","Fill=—","Direction=H","UseDPDF=Y")</f>
        <v>#NAME?</v>
      </c>
      <c r="AV353" s="1" t="e">
        <f ca="1">_xll.BDH($C$353,"GEO_GROW_TOT_ASSET","FY 2014","FY 2014","Currency=INR","Period=FY","BEST_FPERIOD_OVERRIDE=FY","FILING_STATUS=OR","EQY_CONSOLIDATED=Y","Sort=A","Dates=H","DateFormat=P","Fill=—","Direction=H","UseDPDF=Y")</f>
        <v>#NAME?</v>
      </c>
      <c r="AW353" s="1" t="e">
        <f ca="1">_xll.BDH($C$353,"MODIFIED_WORKING_CPTL_5YR_GRWTH","FY 2014","FY 2014","Currency=INR","Period=FY","BEST_FPERIOD_OVERRIDE=FY","FILING_STATUS=OR","EQY_CONSOLIDATED=Y","Sort=A","Dates=H","DateFormat=P","Fill=—","Direction=H","UseDPDF=Y")</f>
        <v>#NAME?</v>
      </c>
      <c r="AX353" s="1" t="e">
        <f ca="1">_xll.BDH($C$353,"WORKING_CAPITAL_5_YEAR_GROWTH","FY 2014","FY 2014","Currency=INR","Period=FY","BEST_FPERIOD_OVERRIDE=FY","FILING_STATUS=OR","EQY_CONSOLIDATED=Y","Sort=A","Dates=H","DateFormat=P","Fill=—","Direction=H","UseDPDF=Y")</f>
        <v>#NAME?</v>
      </c>
      <c r="AY353" s="1" t="e">
        <f ca="1">_xll.BDH($C$353,"ACCOUNTS_PAYABLE_5_YEAR_GROWTH","FY 2014","FY 2014","Currency=INR","Period=FY","BEST_FPERIOD_OVERRIDE=FY","FILING_STATUS=OR","EQY_CONSOLIDATED=Y","Sort=A","Dates=H","DateFormat=P","Fill=—","Direction=H","UseDPDF=Y")</f>
        <v>#NAME?</v>
      </c>
      <c r="AZ353" s="1" t="e">
        <f ca="1">_xll.BDH($C$353,"SHORT_TERM_DEBT_5_YEAR_GROWTH","FY 2014","FY 2014","Currency=INR","Period=FY","BEST_FPERIOD_OVERRIDE=FY","FILING_STATUS=OR","EQY_CONSOLIDATED=Y","Sort=A","Dates=H","DateFormat=P","Fill=—","Direction=H","UseDPDF=Y")</f>
        <v>#NAME?</v>
      </c>
      <c r="BA353" s="1" t="e">
        <f ca="1">_xll.BDH($C$353,"TOTAL_DEBT_5_YEAR_GROWTH","FY 2014","FY 2014","Currency=INR","Period=FY","BEST_FPERIOD_OVERRIDE=FY","FILING_STATUS=OR","EQY_CONSOLIDATED=Y","Sort=A","Dates=H","DateFormat=P","Fill=—","Direction=H","UseDPDF=Y")</f>
        <v>#NAME?</v>
      </c>
      <c r="BB353" s="1" t="e">
        <f ca="1">_xll.BDH($C$353,"GEO_GROW_TOT_SHRHLDR_EQY","FY 2014","FY 2014","Currency=INR","Period=FY","BEST_FPERIOD_OVERRIDE=FY","FILING_STATUS=OR","EQY_CONSOLIDATED=Y","Sort=A","Dates=H","DateFormat=P","Fill=—","Direction=H","UseDPDF=Y")</f>
        <v>#NAME?</v>
      </c>
      <c r="BC353" s="1" t="e">
        <f ca="1">_xll.BDH($C$353,"TOTAL_CAPITAL_5_YEAR_GROWTH","FY 2014","FY 2014","Currency=INR","Period=FY","BEST_FPERIOD_OVERRIDE=FY","FILING_STATUS=OR","EQY_CONSOLIDATED=Y","Sort=A","Dates=H","DateFormat=P","Fill=—","Direction=H","UseDPDF=Y")</f>
        <v>#NAME?</v>
      </c>
      <c r="BD353" s="1" t="e">
        <f ca="1">_xll.BDH($C$353,"GEO_GROW_BOOK_VAL","FY 2014","FY 2014","Currency=INR","Period=FY","BEST_FPERIOD_OVERRIDE=FY","FILING_STATUS=OR","EQY_CONSOLIDATED=Y","Sort=A","Dates=H","DateFormat=P","Fill=—","Direction=H","UseDPDF=Y")</f>
        <v>#NAME?</v>
      </c>
      <c r="BE353" s="1" t="e">
        <f ca="1">_xll.BDH($C$353,"GEO_GROW_CASH_OPER_ACT","FY 2014","FY 2014","Currency=INR","Period=FY","BEST_FPERIOD_OVERRIDE=FY","FILING_STATUS=OR","EQY_CONSOLIDATED=Y","Sort=A","Dates=H","DateFormat=P","Fill=—","Direction=H","UseDPDF=Y")</f>
        <v>#NAME?</v>
      </c>
      <c r="BF353" s="1" t="e">
        <f ca="1">_xll.BDH($C$353,"REVENUE_SEQUENTIAL_GROWTH","FY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53" s="1" t="e">
        <f ca="1">_xll.BDH($C$353,"EBITDA_SEQUENTIAL_GROWTH","FY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53" s="1" t="e">
        <f ca="1">_xll.BDH($C$353,"OPERATING_INCOME_SEQ_GROWTH","FY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53" s="1" t="e">
        <f ca="1">_xll.BDH($C$353,"NET_INCOME_TO_COMMON_SEQ_GROWTH","FY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53" s="1" t="e">
        <f ca="1">_xll.BDH($C$353,"EPS_DILUTED_SEQUENTIAL_GROWTH","FY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53" s="1" t="e">
        <f ca="1">_xll.BDH($C$353,"DPS_SEQUENTIAL_GROWTH","FY 2014","FY 2014","Currency=INR","Period=FY","BEST_FPERIOD_OVERRIDE=FY","FILING_STATUS=OR","EQY_CONSOLIDATED=Y","Sort=A","Dates=H","DateFormat=P","Fill=—","Direction=H","UseDPDF=Y")</f>
        <v>#NAME?</v>
      </c>
      <c r="BL353" s="1" t="e">
        <f ca="1">_xll.BDH($C$353,"ACCOUNTS_RECEIVABLE_SEQ_GROWTH","FY 2014","FY 2014","Currency=INR","Period=FY","BEST_FPERIOD_OVERRIDE=FY","FILING_STATUS=OR","EQY_CONSOLIDATED=Y","Sort=A","Dates=H","DateFormat=P","Fill=—","Direction=H","UseDPDF=Y")</f>
        <v>#NAME?</v>
      </c>
      <c r="BM353" s="1" t="e">
        <f ca="1">_xll.BDH($C$353,"INVENTORY_SEQUENTIAL_GROWTH","FY 2014","FY 2014","Currency=INR","Period=FY","BEST_FPERIOD_OVERRIDE=FY","FILING_STATUS=OR","EQY_CONSOLIDATED=Y","Sort=A","Dates=H","DateFormat=P","Fill=—","Direction=H","UseDPDF=Y")</f>
        <v>#NAME?</v>
      </c>
      <c r="BN353" s="1" t="e">
        <f ca="1">_xll.BDH($C$353,"FIXED_ASSETS_SEQUENTIAL_GROWTH","FY 2014","FY 2014","Currency=INR","Period=FY","BEST_FPERIOD_OVERRIDE=FY","FILING_STATUS=OR","EQY_CONSOLIDATED=Y","Sort=A","Dates=H","DateFormat=P","Fill=—","Direction=H","UseDPDF=Y")</f>
        <v>#NAME?</v>
      </c>
      <c r="BO353" s="1" t="e">
        <f ca="1">_xll.BDH($C$353,"TOTAL_ASSETS_SEQUENTIAL_GROWTH","FY 2014","FY 2014","Currency=INR","Period=FY","BEST_FPERIOD_OVERRIDE=FY","FILING_STATUS=OR","EQY_CONSOLIDATED=Y","Sort=A","Dates=H","DateFormat=P","Fill=—","Direction=H","UseDPDF=Y")</f>
        <v>#NAME?</v>
      </c>
      <c r="BP353" s="1" t="e">
        <f ca="1">_xll.BDH($C$353,"MODIFIED_WORKING_CPTL_SEQ_GRWTH","FY 2014","FY 2014","Currency=INR","Period=FY","BEST_FPERIOD_OVERRIDE=FY","FILING_STATUS=OR","EQY_CONSOLIDATED=Y","Sort=A","Dates=H","DateFormat=P","Fill=—","Direction=H","UseDPDF=Y")</f>
        <v>#NAME?</v>
      </c>
      <c r="BQ353" s="1" t="e">
        <f ca="1">_xll.BDH($C$353,"WORKING_CAPITAL_SEQ_GROWTH","FY 2014","FY 2014","Currency=INR","Period=FY","BEST_FPERIOD_OVERRIDE=FY","FILING_STATUS=OR","EQY_CONSOLIDATED=Y","Sort=A","Dates=H","DateFormat=P","Fill=—","Direction=H","UseDPDF=Y")</f>
        <v>#NAME?</v>
      </c>
      <c r="BR353" s="1" t="e">
        <f ca="1">_xll.BDH($C$353,"ACCOUNTS_PAYABLE_SEQ_GROWTH","FY 2014","FY 2014","Currency=INR","Period=FY","BEST_FPERIOD_OVERRIDE=FY","FILING_STATUS=OR","EQY_CONSOLIDATED=Y","Sort=A","Dates=H","DateFormat=P","Fill=—","Direction=H","UseDPDF=Y")</f>
        <v>#NAME?</v>
      </c>
      <c r="BS353" s="1" t="e">
        <f ca="1">_xll.BDH($C$353,"ST_DEBT_SEQUENTIAL_GROWTH","FY 2014","FY 2014","Currency=INR","Period=FY","BEST_FPERIOD_OVERRIDE=FY","FILING_STATUS=OR","EQY_CONSOLIDATED=Y","Sort=A","Dates=H","DateFormat=P","Fill=—","Direction=H","UseDPDF=Y")</f>
        <v>#NAME?</v>
      </c>
      <c r="BT353" s="1" t="e">
        <f ca="1">_xll.BDH($C$353,"TOTAL_DEBT_SEQUENTIAL_GROWTH","FY 2014","FY 2014","Currency=INR","Period=FY","BEST_FPERIOD_OVERRIDE=FY","FILING_STATUS=OR","EQY_CONSOLIDATED=Y","Sort=A","Dates=H","DateFormat=P","Fill=—","Direction=H","UseDPDF=Y")</f>
        <v>#NAME?</v>
      </c>
      <c r="BU353" s="1" t="e">
        <f ca="1">_xll.BDH($C$353,"TOTAL_EQUITY_SEQUENTIAL_GROWTH","FY 2014","FY 2014","Currency=INR","Period=FY","BEST_FPERIOD_OVERRIDE=FY","FILING_STATUS=OR","EQY_CONSOLIDATED=Y","Sort=A","Dates=H","DateFormat=P","Fill=—","Direction=H","UseDPDF=Y")</f>
        <v>#NAME?</v>
      </c>
      <c r="BV353" s="1" t="e">
        <f ca="1">_xll.BDH($C$353,"TOTAL_CAPITAL_SEQUENTIAL_GROWTH","FY 2014","FY 2014","Currency=INR","Period=FY","BEST_FPERIOD_OVERRIDE=FY","FILING_STATUS=OR","EQY_CONSOLIDATED=Y","Sort=A","Dates=H","DateFormat=P","Fill=—","Direction=H","UseDPDF=Y")</f>
        <v>#NAME?</v>
      </c>
      <c r="BW353" s="1" t="e">
        <f ca="1">_xll.BDH($C$353,"BPS_SEQUENTIAL_GROWTH","FY 2014","FY 2014","Currency=INR","Period=FY","BEST_FPERIOD_OVERRIDE=FY","FILING_STATUS=OR","EQY_CONSOLIDATED=Y","Sort=A","Dates=H","DateFormat=P","Fill=—","Direction=H","UseDPDF=Y")</f>
        <v>#NAME?</v>
      </c>
      <c r="BX353" s="1" t="e">
        <f ca="1">_xll.BDH($C$353,"CFO_SEQUENTIAL_GROWTH","FY 2014","FY 2014","Currency=INR","Period=FY","BEST_FPERIOD_OVERRIDE=FY","FILING_STATUS=OR","EQY_CONSOLIDATED=Y","Sort=A","Dates=H","DateFormat=P","Fill=—","Direction=H","UseDPDF=Y")</f>
        <v>#NAME?</v>
      </c>
      <c r="BY353" s="2" t="e">
        <f ca="1">_xll.BDH($C$353,"SHORT_AND_LONG_TERM_DEBT","FY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53" s="2" t="e">
        <f ca="1">_xll.BDH($C$353,"BS_ST_BORROW","FY 2014","FY 2014","Currency=INR","Period=FY","BEST_FPERIOD_OVERRIDE=FY","FILING_STATUS=OR","EQY_CONSOLIDATED=Y","SCALING_FORMAT=MLN","Sort=A","Dates=H","DateFormat=P","Fill=—","Direction=H","UseDPDF=Y")</f>
        <v>#NAME?</v>
      </c>
      <c r="CA353" s="2" t="e">
        <f ca="1">_xll.BDH($C$353,"BS_LT_BORROW","FY 2014","FY 2014","Currency=INR","Period=FY","BEST_FPERIOD_OVERRIDE=FY","FILING_STATUS=OR","EQY_CONSOLIDATED=Y","SCALING_FORMAT=MLN","Sort=A","Dates=H","DateFormat=P","Fill=—","Direction=H","UseDPDF=Y")</f>
        <v>#NAME?</v>
      </c>
      <c r="CB353" s="1" t="e">
        <f ca="1">_xll.BDH($C$353,"TOT_DEBT_TO_EBITDA","FY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353" s="1" t="e">
        <f ca="1">_xll.BDH($C$353,"NET_DEBT_TO_EBITDA","FY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353" s="1" t="e">
        <f ca="1">_xll.BDH($C$353,"TOTAL_DEBT_TO_EBIT","FY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353" s="1" t="e">
        <f ca="1">_xll.BDH($C$353,"NET_DEBT_TO_EBIT","FY 2014","FY 2014","Currency=INR","Period=FY","BEST_FPERIOD_OVERRIDE=FY","FILING_STATUS=OR","EQY_CONSOLIDATED=Y","FA_ADJUSTED=GAAP","Sort=A","Dates=H","DateFormat=P","Fill=—","Direction=H","UseDPDF=Y")</f>
        <v>#NAME?</v>
      </c>
      <c r="CF353" s="1" t="e">
        <f ca="1">_xll.BDH($C$353,"EBITDA_TO_INTEREST_EXPN","FY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53" s="1" t="e">
        <f ca="1">_xll.BDH($C$353,"COM_EQY_TO_TOT_ASSET","FY 2014","FY 2014","Currency=INR","Period=FY","BEST_FPERIOD_OVERRIDE=FY","FILING_STATUS=OR","EQY_CONSOLIDATED=Y","Sort=A","Dates=H","DateFormat=P","Fill=—","Direction=H","UseDPDF=Y")</f>
        <v>#NAME?</v>
      </c>
      <c r="CH353" s="1" t="e">
        <f ca="1">_xll.BDH($C$353,"LT_DEBT_TO_TOT_EQY","FY 2014","FY 2014","Currency=INR","Period=FY","BEST_FPERIOD_OVERRIDE=FY","FILING_STATUS=OR","EQY_CONSOLIDATED=Y","Sort=A","Dates=H","DateFormat=P","Fill=—","Direction=H","UseDPDF=Y")</f>
        <v>#NAME?</v>
      </c>
      <c r="CI353" s="1" t="e">
        <f ca="1">_xll.BDH($C$353,"LT_DEBT_TO_TOT_CAP","FY 2014","FY 2014","Currency=INR","Period=FY","BEST_FPERIOD_OVERRIDE=FY","FILING_STATUS=OR","EQY_CONSOLIDATED=Y","Sort=A","Dates=H","DateFormat=P","Fill=—","Direction=H","UseDPDF=Y")</f>
        <v>#NAME?</v>
      </c>
      <c r="CJ353" s="1" t="e">
        <f ca="1">_xll.BDH($C$353,"LT_DEBT_TO_TOT_ASSET","FY 2014","FY 2014","Currency=INR","Period=FY","BEST_FPERIOD_OVERRIDE=FY","FILING_STATUS=OR","EQY_CONSOLIDATED=Y","Sort=A","Dates=H","DateFormat=P","Fill=—","Direction=H","UseDPDF=Y")</f>
        <v>#NAME?</v>
      </c>
      <c r="CK353" s="1" t="e">
        <f ca="1">_xll.BDH($C$353,"TOT_DEBT_TO_TOT_EQY","FY 2014","FY 2014","Currency=INR","Period=FY","BEST_FPERIOD_OVERRIDE=FY","FILING_STATUS=OR","EQY_CONSOLIDATED=Y","Sort=A","Dates=H","DateFormat=P","Fill=—","Direction=H","UseDPDF=Y")</f>
        <v>#NAME?</v>
      </c>
      <c r="CL353" s="1" t="e">
        <f ca="1">_xll.BDH($C$353,"TOT_DEBT_TO_TOT_CAP","FY 2014","FY 2014","Currency=INR","Period=FY","BEST_FPERIOD_OVERRIDE=FY","FILING_STATUS=OR","EQY_CONSOLIDATED=Y","Sort=A","Dates=H","DateFormat=P","Fill=—","Direction=H","UseDPDF=Y")</f>
        <v>#NAME?</v>
      </c>
      <c r="CM353" s="1" t="e">
        <f ca="1">_xll.BDH($C$353,"TOT_DEBT_TO_TOT_ASSET","FY 2014","FY 2014","Currency=INR","Period=FY","BEST_FPERIOD_OVERRIDE=FY","FILING_STATUS=OR","EQY_CONSOLIDATED=Y","Sort=A","Dates=H","DateFormat=P","Fill=—","Direction=H","UseDPDF=Y")</f>
        <v>#NAME?</v>
      </c>
      <c r="CN353" s="1" t="e">
        <f ca="1">_xll.BDH($C$353,"NET_DEBT_TO_SHRHLDR_EQTY","FY 2014","FY 2014","Currency=INR","Period=FY","BEST_FPERIOD_OVERRIDE=FY","FILING_STATUS=OR","EQY_CONSOLIDATED=Y","Sort=A","Dates=H","DateFormat=P","Fill=—","Direction=H","UseDPDF=Y")</f>
        <v>#NAME?</v>
      </c>
      <c r="CO353" s="1" t="e">
        <f ca="1">_xll.BDH($C$353,"NET_DEBT_%_CAPITAL","FY 2014","FY 2014","Currency=INR","Period=FY","BEST_FPERIOD_OVERRIDE=FY","FILING_STATUS=OR","EQY_CONSOLIDATED=Y","Sort=A","Dates=H","DateFormat=P","Fill=—","Direction=H","UseDPDF=Y")</f>
        <v>#NAME?</v>
      </c>
      <c r="CP353" s="2" t="e">
        <f ca="1">_xll.BDH($C$353,"EBITDA","FY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53" s="2" t="e">
        <f ca="1">_xll.BDH($C$353,"EBITDA_AFTER_CAPEX","FY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53" s="2" t="e">
        <f ca="1">_xll.BDH($C$353,"IS_OPER_INC","FY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53" s="1" t="e">
        <f ca="1">_xll.BDH($C$353,"CASH_RATIO","FY 2014","FY 2014","Currency=INR","Period=FY","BEST_FPERIOD_OVERRIDE=FY","FILING_STATUS=OR","EQY_CONSOLIDATED=Y","Sort=A","Dates=H","DateFormat=P","Fill=—","Direction=H","UseDPDF=Y")</f>
        <v>#NAME?</v>
      </c>
      <c r="CT353" s="1" t="e">
        <f ca="1">_xll.BDH($C$353,"CUR_RATIO","FY 2014","FY 2014","Currency=INR","Period=FY","BEST_FPERIOD_OVERRIDE=FY","FILING_STATUS=OR","EQY_CONSOLIDATED=Y","Sort=A","Dates=H","DateFormat=P","Fill=—","Direction=H","UseDPDF=Y")</f>
        <v>#NAME?</v>
      </c>
      <c r="CU353" s="1" t="e">
        <f ca="1">_xll.BDH($C$353,"QUICK_RATIO","FY 2014","FY 2014","Currency=INR","Period=FY","BEST_FPERIOD_OVERRIDE=FY","FILING_STATUS=OR","EQY_CONSOLIDATED=Y","Sort=A","Dates=H","DateFormat=P","Fill=—","Direction=H","UseDPDF=Y")</f>
        <v>#NAME?</v>
      </c>
      <c r="CV353" s="1" t="e">
        <f ca="1">_xll.BDH($C$353,"ALTMAN_Z_SCORE","FY 2014","FY 2014","Currency=INR","Period=FY","BEST_FPERIOD_OVERRIDE=FY","FILING_STATUS=OR","EQY_CONSOLIDATED=Y","Sort=A","Dates=H","DateFormat=P","Fill=—","Direction=H","UseDPDF=Y")</f>
        <v>#NAME?</v>
      </c>
      <c r="CW353" s="3" t="e">
        <f ca="1">_xll.BDH($C$353,"ACCT_RCV_TURN","FY 2014","FY 2014","Currency=INR","Period=FY","BEST_FPERIOD_OVERRIDE=FY","FILING_STATUS=OR","EQY_CONSOLIDATED=Y","FA_ADJUSTED=GAAP","Sort=A","Dates=H","DateFormat=P","Fill=—","Direction=H","UseDPDF=Y")</f>
        <v>#NAME?</v>
      </c>
      <c r="CX353" s="1" t="e">
        <f ca="1">_xll.BDH($C$353,"ACCT_RCV_DAYS","FY 2014","FY 2014","Currency=INR","Period=FY","BEST_FPERIOD_OVERRIDE=FY","FILING_STATUS=OR","EQY_CONSOLIDATED=Y","FA_ADJUSTED=GAAP","Sort=A","Dates=H","DateFormat=P","Fill=—","Direction=H","UseDPDF=Y")</f>
        <v>#NAME?</v>
      </c>
      <c r="CY353" s="3" t="e">
        <f ca="1">_xll.BDH($C$353,"INVENT_TURN","FY 2014","FY 2014","Currency=INR","Period=FY","BEST_FPERIOD_OVERRIDE=FY","FILING_STATUS=OR","EQY_CONSOLIDATED=Y","FA_ADJUSTED=GAAP","Sort=A","Dates=H","DateFormat=P","Fill=—","Direction=H","UseDPDF=Y")</f>
        <v>#NAME?</v>
      </c>
      <c r="CZ353" s="1" t="e">
        <f ca="1">_xll.BDH($C$353,"INVENT_DAYS","FY 2014","FY 2014","Currency=INR","Period=FY","BEST_FPERIOD_OVERRIDE=FY","FILING_STATUS=OR","EQY_CONSOLIDATED=Y","FA_ADJUSTED=GAAP","Sort=A","Dates=H","DateFormat=P","Fill=—","Direction=H","UseDPDF=Y")</f>
        <v>#NAME?</v>
      </c>
      <c r="DA353" s="3" t="e">
        <f ca="1">_xll.BDH($C$353,"ACCOUNTS_PAYABLE_TURNOVER","FY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53" s="1" t="e">
        <f ca="1">_xll.BDH($C$353,"ACCOUNTS_PAYABLE_TURNOVER_DAYS","FY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53" s="3" t="e">
        <f ca="1">_xll.BDH($C$353,"CASH_CONVERSION_CYCLE","FY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53" s="3" t="e">
        <f ca="1">_xll.BDH($C$353,"INV_TO_CASH_DAYS","FY 2014","FY 2014","Currency=INR","Period=FY","BEST_FPERIOD_OVERRIDE=FY","FILING_STATUS=OR","EQY_CONSOLIDATED=Y","FA_ADJUSTED=GAAP","Sort=A","Dates=H","DateFormat=P","Fill=—","Direction=H","UseDPDF=Y")</f>
        <v>#NAME?</v>
      </c>
      <c r="DE353" s="4" t="e">
        <f ca="1">_xll.BDH($C$353,"BS_INVENTORIES","FY 2014","FY 2014","Currency=INR","Period=FY","BEST_FPERIOD_OVERRIDE=FY","FILING_STATUS=OR","EQY_CONSOLIDATED=Y","SCALING_FORMAT=MLN","Sort=A","Dates=H","DateFormat=P","Fill=—","Direction=H","UseDPDF=Y")</f>
        <v>#NAME?</v>
      </c>
      <c r="DF353" s="2" t="e">
        <f ca="1">_xll.BDH($C$353,"INVTRY_RAW_MATERIALS","FY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53" s="2" t="e">
        <f ca="1">_xll.BDH($C$353,"INVTRY_IN_PROGRESS","FY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53" s="2" t="e">
        <f ca="1">_xll.BDH($C$353,"INVTRY_FINISHED_GOODS","FY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53" s="2" t="e">
        <f ca="1">_xll.BDH($C$353,"BS_OTHER_INV","FY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54" spans="1:113" x14ac:dyDescent="0.3">
      <c r="A354" s="6"/>
      <c r="B354" s="6"/>
      <c r="C354" s="6"/>
      <c r="D354" s="6"/>
      <c r="E354" t="s">
        <v>4</v>
      </c>
      <c r="F354" t="e">
        <f ca="1">_xll.BDH($C$353,"RETURN_COM_EQY","FQ1 2014","FQ1 2014","Currency=INR","Period=FQ","BEST_FPERIOD_OVERRIDE=FQ","FILING_STATUS=OR","EQY_CONSOLIDATED=Y","FA_ADJUSTED=GAAP","Sort=A","Dates=H","DateFormat=P","Fill=—","Direction=H","UseDPDF=Y")</f>
        <v>#NAME?</v>
      </c>
      <c r="G354" t="e">
        <f ca="1">_xll.BDH($C$353,"RETURN_ON_ASSET","FQ1 2014","FQ1 2014","Currency=INR","Period=FQ","BEST_FPERIOD_OVERRIDE=FQ","FILING_STATUS=OR","EQY_CONSOLIDATED=Y","FA_ADJUSTED=GAAP","Sort=A","Dates=H","DateFormat=P","Fill=—","Direction=H","UseDPDF=Y")</f>
        <v>#NAME?</v>
      </c>
      <c r="H354" t="e">
        <f ca="1">_xll.BDH($C$353,"RETURN_ON_CAP","FQ1 2014","FQ1 2014","Currency=INR","Period=FQ","BEST_FPERIOD_OVERRIDE=FQ","FILING_STATUS=OR","EQY_CONSOLIDATED=Y","FA_ADJUSTED=GAAP","Sort=A","Dates=H","DateFormat=P","Fill=—","Direction=H","UseDPDF=Y")</f>
        <v>#NAME?</v>
      </c>
      <c r="I354" t="e">
        <f ca="1">_xll.BDH($C$353,"RETURN_ON_INV_CAPITAL","FQ1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54" t="e">
        <f ca="1">_xll.BDH($C$353,"EBITDA_TO_REVENUE","FQ1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354" t="e">
        <f ca="1">_xll.BDH($C$353,"OPER_MARGIN","FQ1 2014","FQ1 2014","Currency=INR","Period=FQ","BEST_FPERIOD_OVERRIDE=FQ","FILING_STATUS=OR","EQY_CONSOLIDATED=Y","FA_ADJUSTED=GAAP","Sort=A","Dates=H","DateFormat=P","Fill=—","Direction=H","UseDPDF=Y")</f>
        <v>#NAME?</v>
      </c>
      <c r="L354" t="e">
        <f ca="1">_xll.BDH($C$353,"INCREMENTAL_OPERATING_MARGIN","FQ1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54" t="e">
        <f ca="1">_xll.BDH($C$353,"PRETAX_INC_TO_NET_SALES","FQ1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54" t="e">
        <f ca="1">_xll.BDH($C$353,"INC_BEF_XO_ITEMS_TO_NET_SALES","FQ1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54" t="e">
        <f ca="1">_xll.BDH($C$353,"PROF_MARGIN","FQ1 2014","FQ1 2014","Currency=INR","Period=FQ","BEST_FPERIOD_OVERRIDE=FQ","FILING_STATUS=OR","EQY_CONSOLIDATED=Y","FA_ADJUSTED=GAAP","Sort=A","Dates=H","DateFormat=P","Fill=—","Direction=H","UseDPDF=Y")</f>
        <v>#NAME?</v>
      </c>
      <c r="P354" t="e">
        <f ca="1">_xll.BDH($C$353,"NET_INCOME_TO_COMMON_MARGIN","FQ1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54" t="e">
        <f ca="1">_xll.BDH($C$353,"EFF_TAX_RATE","FQ1 2014","FQ1 2014","Currency=INR","Period=FQ","BEST_FPERIOD_OVERRIDE=FQ","FILING_STATUS=OR","EQY_CONSOLIDATED=Y","FA_ADJUSTED=GAAP","Sort=A","Dates=H","DateFormat=P","Fill=—","Direction=H","UseDPDF=Y")</f>
        <v>#NAME?</v>
      </c>
      <c r="R354" t="e">
        <f ca="1">_xll.BDH($C$353,"DVD_PAYOUT_RATIO","FQ1 2014","FQ1 2014","Currency=INR","Period=FQ","BEST_FPERIOD_OVERRIDE=FQ","FILING_STATUS=OR","EQY_CONSOLIDATED=Y","FA_ADJUSTED=GAAP","Sort=A","Dates=H","DateFormat=P","Fill=—","Direction=H","UseDPDF=Y")</f>
        <v>#NAME?</v>
      </c>
      <c r="S354" t="e">
        <f ca="1">_xll.BDH($C$353,"SUSTAIN_GROWTH_RT","FQ1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354" s="1" t="e">
        <f ca="1">_xll.BDH($C$353,"SALES_GROWTH","FQ1 2014","FQ1 2014","Currency=INR","Period=FQ","BEST_FPERIOD_OVERRIDE=FQ","FILING_STATUS=OR","EQY_CONSOLIDATED=Y","FA_ADJUSTED=GAAP","Sort=A","Dates=H","DateFormat=P","Fill=—","Direction=H","UseDPDF=Y")</f>
        <v>#NAME?</v>
      </c>
      <c r="U354" s="1" t="e">
        <f ca="1">_xll.BDH($C$353,"EBITDA_GROWTH","FQ1 2014","FQ1 2014","Currency=INR","Period=FQ","BEST_FPERIOD_OVERRIDE=FQ","FILING_STATUS=OR","EQY_CONSOLIDATED=Y","FA_ADJUSTED=GAAP","Sort=A","Dates=H","DateFormat=P","Fill=—","Direction=H","UseDPDF=Y")</f>
        <v>#NAME?</v>
      </c>
      <c r="V354" s="1" t="e">
        <f ca="1">_xll.BDH($C$353,"OPER_INC_GROWTH","FQ1 2014","FQ1 2014","Currency=INR","Period=FQ","BEST_FPERIOD_OVERRIDE=FQ","FILING_STATUS=OR","EQY_CONSOLIDATED=Y","FA_ADJUSTED=GAAP","Sort=A","Dates=H","DateFormat=P","Fill=—","Direction=H","UseDPDF=Y")</f>
        <v>#NAME?</v>
      </c>
      <c r="W354" s="1" t="e">
        <f ca="1">_xll.BDH($C$353,"EARN_FOR_COM_GROWTH","FQ1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54" s="1" t="e">
        <f ca="1">_xll.BDH($C$353,"DILUTED_EPS_AFT_XO_ITEMS_GROWTH","FQ1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54" s="1" t="e">
        <f ca="1">_xll.BDH($C$353,"DIVIDEND_PER_SHARE_1_YEAR_GROWTH","FQ1 2014","FQ1 2014","Currency=INR","Period=FQ","BEST_FPERIOD_OVERRIDE=FQ","FILING_STATUS=OR","EQY_CONSOLIDATED=Y","Sort=A","Dates=H","DateFormat=P","Fill=—","Direction=H","UseDPDF=Y")</f>
        <v>#NAME?</v>
      </c>
      <c r="Z354" s="1" t="e">
        <f ca="1">_xll.BDH($C$353,"ACCOUNTS_RECEIVABLE_GROWTH","FQ1 2014","FQ1 2014","Currency=INR","Period=FQ","BEST_FPERIOD_OVERRIDE=FQ","FILING_STATUS=OR","EQY_CONSOLIDATED=Y","Sort=A","Dates=H","DateFormat=P","Fill=—","Direction=H","UseDPDF=Y")</f>
        <v>#NAME?</v>
      </c>
      <c r="AA354" s="1" t="e">
        <f ca="1">_xll.BDH($C$353,"INVENTORY_GROWTH","FQ1 2014","FQ1 2014","Currency=INR","Period=FQ","BEST_FPERIOD_OVERRIDE=FQ","FILING_STATUS=OR","EQY_CONSOLIDATED=Y","Sort=A","Dates=H","DateFormat=P","Fill=—","Direction=H","UseDPDF=Y")</f>
        <v>#NAME?</v>
      </c>
      <c r="AB354" s="1" t="e">
        <f ca="1">_xll.BDH($C$353,"NET_FIXED_ASSETS_1_YEAR_GROWTH","FQ1 2014","FQ1 2014","Currency=INR","Period=FQ","BEST_FPERIOD_OVERRIDE=FQ","FILING_STATUS=OR","EQY_CONSOLIDATED=Y","Sort=A","Dates=H","DateFormat=P","Fill=—","Direction=H","UseDPDF=Y")</f>
        <v>#NAME?</v>
      </c>
      <c r="AC354" s="1" t="e">
        <f ca="1">_xll.BDH($C$353,"ASSET_GROWTH","FQ1 2014","FQ1 2014","Currency=INR","Period=FQ","BEST_FPERIOD_OVERRIDE=FQ","FILING_STATUS=OR","EQY_CONSOLIDATED=Y","Sort=A","Dates=H","DateFormat=P","Fill=—","Direction=H","UseDPDF=Y")</f>
        <v>#NAME?</v>
      </c>
      <c r="AD354" s="1" t="e">
        <f ca="1">_xll.BDH($C$353,"MODIFIED_WORK_CAP_GROWTH","FQ1 2014","FQ1 2014","Currency=INR","Period=FQ","BEST_FPERIOD_OVERRIDE=FQ","FILING_STATUS=OR","EQY_CONSOLIDATED=Y","Sort=A","Dates=H","DateFormat=P","Fill=—","Direction=H","UseDPDF=Y")</f>
        <v>#NAME?</v>
      </c>
      <c r="AE354" s="1" t="e">
        <f ca="1">_xll.BDH($C$353,"WORK_CAP_GROWTH","FQ1 2014","FQ1 2014","Currency=INR","Period=FQ","BEST_FPERIOD_OVERRIDE=FQ","FILING_STATUS=OR","EQY_CONSOLIDATED=Y","Sort=A","Dates=H","DateFormat=P","Fill=—","Direction=H","UseDPDF=Y")</f>
        <v>#NAME?</v>
      </c>
      <c r="AF354" s="1" t="e">
        <f ca="1">_xll.BDH($C$353,"ACCOUNTS_PAYABLE_GROWTH_1YR","FQ1 2014","FQ1 2014","Currency=INR","Period=FQ","BEST_FPERIOD_OVERRIDE=FQ","FILING_STATUS=OR","EQY_CONSOLIDATED=Y","Sort=A","Dates=H","DateFormat=P","Fill=—","Direction=H","UseDPDF=Y")</f>
        <v>#NAME?</v>
      </c>
      <c r="AG354" s="1" t="e">
        <f ca="1">_xll.BDH($C$353,"SHORT_TERM_DEBT_1_YEAR_GROWTH","FQ1 2014","FQ1 2014","Currency=INR","Period=FQ","BEST_FPERIOD_OVERRIDE=FQ","FILING_STATUS=OR","EQY_CONSOLIDATED=Y","Sort=A","Dates=H","DateFormat=P","Fill=—","Direction=H","UseDPDF=Y")</f>
        <v>#NAME?</v>
      </c>
      <c r="AH354" s="1" t="e">
        <f ca="1">_xll.BDH($C$353,"TOTAL_DEBT_1_YEAR_GROWTH","FQ1 2014","FQ1 2014","Currency=INR","Period=FQ","BEST_FPERIOD_OVERRIDE=FQ","FILING_STATUS=OR","EQY_CONSOLIDATED=Y","Sort=A","Dates=H","DateFormat=P","Fill=—","Direction=H","UseDPDF=Y")</f>
        <v>#NAME?</v>
      </c>
      <c r="AI354" s="1" t="e">
        <f ca="1">_xll.BDH($C$353,"TOTAL_EQUITY_1_YEAR_GROWTH","FQ1 2014","FQ1 2014","Currency=INR","Period=FQ","BEST_FPERIOD_OVERRIDE=FQ","FILING_STATUS=OR","EQY_CONSOLIDATED=Y","Sort=A","Dates=H","DateFormat=P","Fill=—","Direction=H","UseDPDF=Y")</f>
        <v>#NAME?</v>
      </c>
      <c r="AJ354" s="1" t="e">
        <f ca="1">_xll.BDH($C$353,"GROWTH_IN_CAP","FQ1 2014","FQ1 2014","Currency=INR","Period=FQ","BEST_FPERIOD_OVERRIDE=FQ","FILING_STATUS=OR","EQY_CONSOLIDATED=Y","Sort=A","Dates=H","DateFormat=P","Fill=—","Direction=H","UseDPDF=Y")</f>
        <v>#NAME?</v>
      </c>
      <c r="AK354" s="1" t="e">
        <f ca="1">_xll.BDH($C$353,"BVPS_GROWTH","FQ1 2014","FQ1 2014","Currency=INR","Period=FQ","BEST_FPERIOD_OVERRIDE=FQ","FILING_STATUS=OR","EQY_CONSOLIDATED=Y","Sort=A","Dates=H","DateFormat=P","Fill=—","Direction=H","UseDPDF=Y")</f>
        <v>#NAME?</v>
      </c>
      <c r="AL354" s="1" t="e">
        <f ca="1">_xll.BDH($C$353,"CASH_FLOW_GROWTH","FQ1 2014","FQ1 2014","Currency=INR","Period=FQ","BEST_FPERIOD_OVERRIDE=FQ","FILING_STATUS=OR","EQY_CONSOLIDATED=Y","Sort=A","Dates=H","DateFormat=P","Fill=—","Direction=H","UseDPDF=Y")</f>
        <v>#NAME?</v>
      </c>
      <c r="AM354" s="1" t="e">
        <f ca="1">_xll.BDH($C$353,"GEO_GROW_NET_SALES","FQ1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54" s="1" t="e">
        <f ca="1">_xll.BDH($C$353,"GEO_GROW_EBITDA","FQ1 2014","FQ1 2014","Currency=INR","Period=FQ","BEST_FPERIOD_OVERRIDE=FQ","FILING_STATUS=OR","EQY_CONSOLIDATED=Y","FA_ADJUSTED=GAAP","Sort=A","Dates=H","DateFormat=P","Fill=—","Direction=H","UseDPDF=Y")</f>
        <v>#NAME?</v>
      </c>
      <c r="AO354" s="1" t="e">
        <f ca="1">_xll.BDH($C$353,"GEO_GROW_OPER_INC","FQ1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54" s="1" t="e">
        <f ca="1">_xll.BDH($C$353,"NET_INCOME_TO_COMMON_5_YR_GROWTH","FQ1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54" s="1" t="e">
        <f ca="1">_xll.BDH($C$353,"5Y_GEO_GROWTH_DILUTED_EPS","FQ1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54" s="1" t="e">
        <f ca="1">_xll.BDH($C$353,"GEO_GROW_DVD_PER_SH","FQ1 2014","FQ1 2014","Currency=INR","Period=FQ","BEST_FPERIOD_OVERRIDE=FQ","FILING_STATUS=OR","EQY_CONSOLIDATED=Y","Sort=A","Dates=H","DateFormat=P","Fill=—","Direction=H","UseDPDF=Y")</f>
        <v>#NAME?</v>
      </c>
      <c r="AS354" s="1" t="e">
        <f ca="1">_xll.BDH($C$353,"ACCOUNTS_RECEIVABLE_5_YR_GROWTH","FQ1 2014","FQ1 2014","Currency=INR","Period=FQ","BEST_FPERIOD_OVERRIDE=FQ","FILING_STATUS=OR","EQY_CONSOLIDATED=Y","Sort=A","Dates=H","DateFormat=P","Fill=—","Direction=H","UseDPDF=Y")</f>
        <v>#NAME?</v>
      </c>
      <c r="AT354" s="1" t="e">
        <f ca="1">_xll.BDH($C$353,"INVENTORY_5_YEAR_GROWTH","FQ1 2014","FQ1 2014","Currency=INR","Period=FQ","BEST_FPERIOD_OVERRIDE=FQ","FILING_STATUS=OR","EQY_CONSOLIDATED=Y","Sort=A","Dates=H","DateFormat=P","Fill=—","Direction=H","UseDPDF=Y")</f>
        <v>#NAME?</v>
      </c>
      <c r="AU354" s="1" t="e">
        <f ca="1">_xll.BDH($C$353,"NET_FIXED_ASSETS_5_YEAR_GROWTH","FQ1 2014","FQ1 2014","Currency=INR","Period=FQ","BEST_FPERIOD_OVERRIDE=FQ","FILING_STATUS=OR","EQY_CONSOLIDATED=Y","Sort=A","Dates=H","DateFormat=P","Fill=—","Direction=H","UseDPDF=Y")</f>
        <v>#NAME?</v>
      </c>
      <c r="AV354" s="1" t="e">
        <f ca="1">_xll.BDH($C$353,"GEO_GROW_TOT_ASSET","FQ1 2014","FQ1 2014","Currency=INR","Period=FQ","BEST_FPERIOD_OVERRIDE=FQ","FILING_STATUS=OR","EQY_CONSOLIDATED=Y","Sort=A","Dates=H","DateFormat=P","Fill=—","Direction=H","UseDPDF=Y")</f>
        <v>#NAME?</v>
      </c>
      <c r="AW354" s="1" t="e">
        <f ca="1">_xll.BDH($C$353,"MODIFIED_WORKING_CPTL_5YR_GRWTH","FQ1 2014","FQ1 2014","Currency=INR","Period=FQ","BEST_FPERIOD_OVERRIDE=FQ","FILING_STATUS=OR","EQY_CONSOLIDATED=Y","Sort=A","Dates=H","DateFormat=P","Fill=—","Direction=H","UseDPDF=Y")</f>
        <v>#NAME?</v>
      </c>
      <c r="AX354" s="1" t="e">
        <f ca="1">_xll.BDH($C$353,"WORKING_CAPITAL_5_YEAR_GROWTH","FQ1 2014","FQ1 2014","Currency=INR","Period=FQ","BEST_FPERIOD_OVERRIDE=FQ","FILING_STATUS=OR","EQY_CONSOLIDATED=Y","Sort=A","Dates=H","DateFormat=P","Fill=—","Direction=H","UseDPDF=Y")</f>
        <v>#NAME?</v>
      </c>
      <c r="AY354" s="1" t="e">
        <f ca="1">_xll.BDH($C$353,"ACCOUNTS_PAYABLE_5_YEAR_GROWTH","FQ1 2014","FQ1 2014","Currency=INR","Period=FQ","BEST_FPERIOD_OVERRIDE=FQ","FILING_STATUS=OR","EQY_CONSOLIDATED=Y","Sort=A","Dates=H","DateFormat=P","Fill=—","Direction=H","UseDPDF=Y")</f>
        <v>#NAME?</v>
      </c>
      <c r="AZ354" s="1" t="e">
        <f ca="1">_xll.BDH($C$353,"SHORT_TERM_DEBT_5_YEAR_GROWTH","FQ1 2014","FQ1 2014","Currency=INR","Period=FQ","BEST_FPERIOD_OVERRIDE=FQ","FILING_STATUS=OR","EQY_CONSOLIDATED=Y","Sort=A","Dates=H","DateFormat=P","Fill=—","Direction=H","UseDPDF=Y")</f>
        <v>#NAME?</v>
      </c>
      <c r="BA354" s="1" t="e">
        <f ca="1">_xll.BDH($C$353,"TOTAL_DEBT_5_YEAR_GROWTH","FQ1 2014","FQ1 2014","Currency=INR","Period=FQ","BEST_FPERIOD_OVERRIDE=FQ","FILING_STATUS=OR","EQY_CONSOLIDATED=Y","Sort=A","Dates=H","DateFormat=P","Fill=—","Direction=H","UseDPDF=Y")</f>
        <v>#NAME?</v>
      </c>
      <c r="BB354" s="1" t="e">
        <f ca="1">_xll.BDH($C$353,"GEO_GROW_TOT_SHRHLDR_EQY","FQ1 2014","FQ1 2014","Currency=INR","Period=FQ","BEST_FPERIOD_OVERRIDE=FQ","FILING_STATUS=OR","EQY_CONSOLIDATED=Y","Sort=A","Dates=H","DateFormat=P","Fill=—","Direction=H","UseDPDF=Y")</f>
        <v>#NAME?</v>
      </c>
      <c r="BC354" s="1" t="e">
        <f ca="1">_xll.BDH($C$353,"TOTAL_CAPITAL_5_YEAR_GROWTH","FQ1 2014","FQ1 2014","Currency=INR","Period=FQ","BEST_FPERIOD_OVERRIDE=FQ","FILING_STATUS=OR","EQY_CONSOLIDATED=Y","Sort=A","Dates=H","DateFormat=P","Fill=—","Direction=H","UseDPDF=Y")</f>
        <v>#NAME?</v>
      </c>
      <c r="BD354" s="1" t="e">
        <f ca="1">_xll.BDH($C$353,"GEO_GROW_BOOK_VAL","FQ1 2014","FQ1 2014","Currency=INR","Period=FQ","BEST_FPERIOD_OVERRIDE=FQ","FILING_STATUS=OR","EQY_CONSOLIDATED=Y","Sort=A","Dates=H","DateFormat=P","Fill=—","Direction=H","UseDPDF=Y")</f>
        <v>#NAME?</v>
      </c>
      <c r="BE354" s="1" t="e">
        <f ca="1">_xll.BDH($C$353,"GEO_GROW_CASH_OPER_ACT","FQ1 2014","FQ1 2014","Currency=INR","Period=FQ","BEST_FPERIOD_OVERRIDE=FQ","FILING_STATUS=OR","EQY_CONSOLIDATED=Y","Sort=A","Dates=H","DateFormat=P","Fill=—","Direction=H","UseDPDF=Y")</f>
        <v>#NAME?</v>
      </c>
      <c r="BF354" s="1" t="e">
        <f ca="1">_xll.BDH($C$353,"REVENUE_SEQUENTIAL_GROWTH","FQ1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54" s="1" t="e">
        <f ca="1">_xll.BDH($C$353,"EBITDA_SEQUENTIAL_GROWTH","FQ1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54" s="1" t="e">
        <f ca="1">_xll.BDH($C$353,"OPERATING_INCOME_SEQ_GROWTH","FQ1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54" s="1" t="e">
        <f ca="1">_xll.BDH($C$353,"NET_INCOME_TO_COMMON_SEQ_GROWTH","FQ1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54" s="1" t="e">
        <f ca="1">_xll.BDH($C$353,"EPS_DILUTED_SEQUENTIAL_GROWTH","FQ1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54" s="1" t="e">
        <f ca="1">_xll.BDH($C$353,"DPS_SEQUENTIAL_GROWTH","FQ1 2014","FQ1 2014","Currency=INR","Period=FQ","BEST_FPERIOD_OVERRIDE=FQ","FILING_STATUS=OR","EQY_CONSOLIDATED=Y","Sort=A","Dates=H","DateFormat=P","Fill=—","Direction=H","UseDPDF=Y")</f>
        <v>#NAME?</v>
      </c>
      <c r="BL354" s="1" t="e">
        <f ca="1">_xll.BDH($C$353,"ACCOUNTS_RECEIVABLE_SEQ_GROWTH","FQ1 2014","FQ1 2014","Currency=INR","Period=FQ","BEST_FPERIOD_OVERRIDE=FQ","FILING_STATUS=OR","EQY_CONSOLIDATED=Y","Sort=A","Dates=H","DateFormat=P","Fill=—","Direction=H","UseDPDF=Y")</f>
        <v>#NAME?</v>
      </c>
      <c r="BM354" s="1" t="e">
        <f ca="1">_xll.BDH($C$353,"INVENTORY_SEQUENTIAL_GROWTH","FQ1 2014","FQ1 2014","Currency=INR","Period=FQ","BEST_FPERIOD_OVERRIDE=FQ","FILING_STATUS=OR","EQY_CONSOLIDATED=Y","Sort=A","Dates=H","DateFormat=P","Fill=—","Direction=H","UseDPDF=Y")</f>
        <v>#NAME?</v>
      </c>
      <c r="BN354" s="1" t="e">
        <f ca="1">_xll.BDH($C$353,"FIXED_ASSETS_SEQUENTIAL_GROWTH","FQ1 2014","FQ1 2014","Currency=INR","Period=FQ","BEST_FPERIOD_OVERRIDE=FQ","FILING_STATUS=OR","EQY_CONSOLIDATED=Y","Sort=A","Dates=H","DateFormat=P","Fill=—","Direction=H","UseDPDF=Y")</f>
        <v>#NAME?</v>
      </c>
      <c r="BO354" s="1" t="e">
        <f ca="1">_xll.BDH($C$353,"TOTAL_ASSETS_SEQUENTIAL_GROWTH","FQ1 2014","FQ1 2014","Currency=INR","Period=FQ","BEST_FPERIOD_OVERRIDE=FQ","FILING_STATUS=OR","EQY_CONSOLIDATED=Y","Sort=A","Dates=H","DateFormat=P","Fill=—","Direction=H","UseDPDF=Y")</f>
        <v>#NAME?</v>
      </c>
      <c r="BP354" s="1" t="e">
        <f ca="1">_xll.BDH($C$353,"MODIFIED_WORKING_CPTL_SEQ_GRWTH","FQ1 2014","FQ1 2014","Currency=INR","Period=FQ","BEST_FPERIOD_OVERRIDE=FQ","FILING_STATUS=OR","EQY_CONSOLIDATED=Y","Sort=A","Dates=H","DateFormat=P","Fill=—","Direction=H","UseDPDF=Y")</f>
        <v>#NAME?</v>
      </c>
      <c r="BQ354" s="1" t="e">
        <f ca="1">_xll.BDH($C$353,"WORKING_CAPITAL_SEQ_GROWTH","FQ1 2014","FQ1 2014","Currency=INR","Period=FQ","BEST_FPERIOD_OVERRIDE=FQ","FILING_STATUS=OR","EQY_CONSOLIDATED=Y","Sort=A","Dates=H","DateFormat=P","Fill=—","Direction=H","UseDPDF=Y")</f>
        <v>#NAME?</v>
      </c>
      <c r="BR354" s="1" t="e">
        <f ca="1">_xll.BDH($C$353,"ACCOUNTS_PAYABLE_SEQ_GROWTH","FQ1 2014","FQ1 2014","Currency=INR","Period=FQ","BEST_FPERIOD_OVERRIDE=FQ","FILING_STATUS=OR","EQY_CONSOLIDATED=Y","Sort=A","Dates=H","DateFormat=P","Fill=—","Direction=H","UseDPDF=Y")</f>
        <v>#NAME?</v>
      </c>
      <c r="BS354" s="1" t="e">
        <f ca="1">_xll.BDH($C$353,"ST_DEBT_SEQUENTIAL_GROWTH","FQ1 2014","FQ1 2014","Currency=INR","Period=FQ","BEST_FPERIOD_OVERRIDE=FQ","FILING_STATUS=OR","EQY_CONSOLIDATED=Y","Sort=A","Dates=H","DateFormat=P","Fill=—","Direction=H","UseDPDF=Y")</f>
        <v>#NAME?</v>
      </c>
      <c r="BT354" s="1" t="e">
        <f ca="1">_xll.BDH($C$353,"TOTAL_DEBT_SEQUENTIAL_GROWTH","FQ1 2014","FQ1 2014","Currency=INR","Period=FQ","BEST_FPERIOD_OVERRIDE=FQ","FILING_STATUS=OR","EQY_CONSOLIDATED=Y","Sort=A","Dates=H","DateFormat=P","Fill=—","Direction=H","UseDPDF=Y")</f>
        <v>#NAME?</v>
      </c>
      <c r="BU354" s="1" t="e">
        <f ca="1">_xll.BDH($C$353,"TOTAL_EQUITY_SEQUENTIAL_GROWTH","FQ1 2014","FQ1 2014","Currency=INR","Period=FQ","BEST_FPERIOD_OVERRIDE=FQ","FILING_STATUS=OR","EQY_CONSOLIDATED=Y","Sort=A","Dates=H","DateFormat=P","Fill=—","Direction=H","UseDPDF=Y")</f>
        <v>#NAME?</v>
      </c>
      <c r="BV354" s="1" t="e">
        <f ca="1">_xll.BDH($C$353,"TOTAL_CAPITAL_SEQUENTIAL_GROWTH","FQ1 2014","FQ1 2014","Currency=INR","Period=FQ","BEST_FPERIOD_OVERRIDE=FQ","FILING_STATUS=OR","EQY_CONSOLIDATED=Y","Sort=A","Dates=H","DateFormat=P","Fill=—","Direction=H","UseDPDF=Y")</f>
        <v>#NAME?</v>
      </c>
      <c r="BW354" s="1" t="e">
        <f ca="1">_xll.BDH($C$353,"BPS_SEQUENTIAL_GROWTH","FQ1 2014","FQ1 2014","Currency=INR","Period=FQ","BEST_FPERIOD_OVERRIDE=FQ","FILING_STATUS=OR","EQY_CONSOLIDATED=Y","Sort=A","Dates=H","DateFormat=P","Fill=—","Direction=H","UseDPDF=Y")</f>
        <v>#NAME?</v>
      </c>
      <c r="BX354" s="1" t="e">
        <f ca="1">_xll.BDH($C$353,"CFO_SEQUENTIAL_GROWTH","FQ1 2014","FQ1 2014","Currency=INR","Period=FQ","BEST_FPERIOD_OVERRIDE=FQ","FILING_STATUS=OR","EQY_CONSOLIDATED=Y","Sort=A","Dates=H","DateFormat=P","Fill=—","Direction=H","UseDPDF=Y")</f>
        <v>#NAME?</v>
      </c>
      <c r="BY354" s="2" t="e">
        <f ca="1">_xll.BDH($C$353,"SHORT_AND_LONG_TERM_DEBT","FQ1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54" s="2" t="e">
        <f ca="1">_xll.BDH($C$353,"BS_ST_BORROW","FQ1 2014","FQ1 2014","Currency=INR","Period=FQ","BEST_FPERIOD_OVERRIDE=FQ","FILING_STATUS=OR","EQY_CONSOLIDATED=Y","SCALING_FORMAT=MLN","Sort=A","Dates=H","DateFormat=P","Fill=—","Direction=H","UseDPDF=Y")</f>
        <v>#NAME?</v>
      </c>
      <c r="CA354" s="2" t="e">
        <f ca="1">_xll.BDH($C$353,"BS_LT_BORROW","FQ1 2014","FQ1 2014","Currency=INR","Period=FQ","BEST_FPERIOD_OVERRIDE=FQ","FILING_STATUS=OR","EQY_CONSOLIDATED=Y","SCALING_FORMAT=MLN","Sort=A","Dates=H","DateFormat=P","Fill=—","Direction=H","UseDPDF=Y")</f>
        <v>#NAME?</v>
      </c>
      <c r="CB354" s="1" t="e">
        <f ca="1">_xll.BDH($C$353,"TOT_DEBT_TO_EBITDA","FQ1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54" s="1" t="e">
        <f ca="1">_xll.BDH($C$353,"NET_DEBT_TO_EBITDA","FQ1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54" s="1" t="e">
        <f ca="1">_xll.BDH($C$353,"TOTAL_DEBT_TO_EBIT","FQ1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54" s="1" t="e">
        <f ca="1">_xll.BDH($C$353,"NET_DEBT_TO_EBIT","FQ1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354" s="1" t="e">
        <f ca="1">_xll.BDH($C$353,"EBITDA_TO_INTEREST_EXPN","FQ1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54" s="1" t="e">
        <f ca="1">_xll.BDH($C$353,"COM_EQY_TO_TOT_ASSET","FQ1 2014","FQ1 2014","Currency=INR","Period=FQ","BEST_FPERIOD_OVERRIDE=FQ","FILING_STATUS=OR","EQY_CONSOLIDATED=Y","Sort=A","Dates=H","DateFormat=P","Fill=—","Direction=H","UseDPDF=Y")</f>
        <v>#NAME?</v>
      </c>
      <c r="CH354" s="1" t="e">
        <f ca="1">_xll.BDH($C$353,"LT_DEBT_TO_TOT_EQY","FQ1 2014","FQ1 2014","Currency=INR","Period=FQ","BEST_FPERIOD_OVERRIDE=FQ","FILING_STATUS=OR","EQY_CONSOLIDATED=Y","Sort=A","Dates=H","DateFormat=P","Fill=—","Direction=H","UseDPDF=Y")</f>
        <v>#NAME?</v>
      </c>
      <c r="CI354" s="1" t="e">
        <f ca="1">_xll.BDH($C$353,"LT_DEBT_TO_TOT_CAP","FQ1 2014","FQ1 2014","Currency=INR","Period=FQ","BEST_FPERIOD_OVERRIDE=FQ","FILING_STATUS=OR","EQY_CONSOLIDATED=Y","Sort=A","Dates=H","DateFormat=P","Fill=—","Direction=H","UseDPDF=Y")</f>
        <v>#NAME?</v>
      </c>
      <c r="CJ354" s="1" t="e">
        <f ca="1">_xll.BDH($C$353,"LT_DEBT_TO_TOT_ASSET","FQ1 2014","FQ1 2014","Currency=INR","Period=FQ","BEST_FPERIOD_OVERRIDE=FQ","FILING_STATUS=OR","EQY_CONSOLIDATED=Y","Sort=A","Dates=H","DateFormat=P","Fill=—","Direction=H","UseDPDF=Y")</f>
        <v>#NAME?</v>
      </c>
      <c r="CK354" s="1" t="e">
        <f ca="1">_xll.BDH($C$353,"TOT_DEBT_TO_TOT_EQY","FQ1 2014","FQ1 2014","Currency=INR","Period=FQ","BEST_FPERIOD_OVERRIDE=FQ","FILING_STATUS=OR","EQY_CONSOLIDATED=Y","Sort=A","Dates=H","DateFormat=P","Fill=—","Direction=H","UseDPDF=Y")</f>
        <v>#NAME?</v>
      </c>
      <c r="CL354" s="1" t="e">
        <f ca="1">_xll.BDH($C$353,"TOT_DEBT_TO_TOT_CAP","FQ1 2014","FQ1 2014","Currency=INR","Period=FQ","BEST_FPERIOD_OVERRIDE=FQ","FILING_STATUS=OR","EQY_CONSOLIDATED=Y","Sort=A","Dates=H","DateFormat=P","Fill=—","Direction=H","UseDPDF=Y")</f>
        <v>#NAME?</v>
      </c>
      <c r="CM354" s="1" t="e">
        <f ca="1">_xll.BDH($C$353,"TOT_DEBT_TO_TOT_ASSET","FQ1 2014","FQ1 2014","Currency=INR","Period=FQ","BEST_FPERIOD_OVERRIDE=FQ","FILING_STATUS=OR","EQY_CONSOLIDATED=Y","Sort=A","Dates=H","DateFormat=P","Fill=—","Direction=H","UseDPDF=Y")</f>
        <v>#NAME?</v>
      </c>
      <c r="CN354" s="1" t="e">
        <f ca="1">_xll.BDH($C$353,"NET_DEBT_TO_SHRHLDR_EQTY","FQ1 2014","FQ1 2014","Currency=INR","Period=FQ","BEST_FPERIOD_OVERRIDE=FQ","FILING_STATUS=OR","EQY_CONSOLIDATED=Y","Sort=A","Dates=H","DateFormat=P","Fill=—","Direction=H","UseDPDF=Y")</f>
        <v>#NAME?</v>
      </c>
      <c r="CO354" s="1" t="e">
        <f ca="1">_xll.BDH($C$353,"NET_DEBT_%_CAPITAL","FQ1 2014","FQ1 2014","Currency=INR","Period=FQ","BEST_FPERIOD_OVERRIDE=FQ","FILING_STATUS=OR","EQY_CONSOLIDATED=Y","Sort=A","Dates=H","DateFormat=P","Fill=—","Direction=H","UseDPDF=Y")</f>
        <v>#NAME?</v>
      </c>
      <c r="CP354" s="2" t="e">
        <f ca="1">_xll.BDH($C$353,"EBITDA","FQ1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54" s="2" t="e">
        <f ca="1">_xll.BDH($C$353,"EBITDA_AFTER_CAPEX","FQ1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54" s="2" t="e">
        <f ca="1">_xll.BDH($C$353,"IS_OPER_INC","FQ1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54" s="1" t="e">
        <f ca="1">_xll.BDH($C$353,"CASH_RATIO","FQ1 2014","FQ1 2014","Currency=INR","Period=FQ","BEST_FPERIOD_OVERRIDE=FQ","FILING_STATUS=OR","EQY_CONSOLIDATED=Y","Sort=A","Dates=H","DateFormat=P","Fill=—","Direction=H","UseDPDF=Y")</f>
        <v>#NAME?</v>
      </c>
      <c r="CT354" s="1" t="e">
        <f ca="1">_xll.BDH($C$353,"CUR_RATIO","FQ1 2014","FQ1 2014","Currency=INR","Period=FQ","BEST_FPERIOD_OVERRIDE=FQ","FILING_STATUS=OR","EQY_CONSOLIDATED=Y","Sort=A","Dates=H","DateFormat=P","Fill=—","Direction=H","UseDPDF=Y")</f>
        <v>#NAME?</v>
      </c>
      <c r="CU354" s="1" t="e">
        <f ca="1">_xll.BDH($C$353,"QUICK_RATIO","FQ1 2014","FQ1 2014","Currency=INR","Period=FQ","BEST_FPERIOD_OVERRIDE=FQ","FILING_STATUS=OR","EQY_CONSOLIDATED=Y","Sort=A","Dates=H","DateFormat=P","Fill=—","Direction=H","UseDPDF=Y")</f>
        <v>#NAME?</v>
      </c>
      <c r="CV354" s="1" t="e">
        <f ca="1">_xll.BDH($C$353,"ALTMAN_Z_SCORE","FQ1 2014","FQ1 2014","Currency=INR","Period=FQ","BEST_FPERIOD_OVERRIDE=FQ","FILING_STATUS=OR","EQY_CONSOLIDATED=Y","Sort=A","Dates=H","DateFormat=P","Fill=—","Direction=H","UseDPDF=Y")</f>
        <v>#NAME?</v>
      </c>
      <c r="CW354" s="3" t="e">
        <f ca="1">_xll.BDH($C$353,"ACCT_RCV_TURN","FQ1 2014","FQ1 2014","Currency=INR","Period=FQ","BEST_FPERIOD_OVERRIDE=FQ","FILING_STATUS=OR","EQY_CONSOLIDATED=Y","FA_ADJUSTED=GAAP","Sort=A","Dates=H","DateFormat=P","Fill=—","Direction=H","UseDPDF=Y")</f>
        <v>#NAME?</v>
      </c>
      <c r="CX354" s="1" t="e">
        <f ca="1">_xll.BDH($C$353,"ACCT_RCV_DAYS","FQ1 2014","FQ1 2014","Currency=INR","Period=FQ","BEST_FPERIOD_OVERRIDE=FQ","FILING_STATUS=OR","EQY_CONSOLIDATED=Y","FA_ADJUSTED=GAAP","Sort=A","Dates=H","DateFormat=P","Fill=—","Direction=H","UseDPDF=Y")</f>
        <v>#NAME?</v>
      </c>
      <c r="CY354" s="3" t="e">
        <f ca="1">_xll.BDH($C$353,"INVENT_TURN","FQ1 2014","FQ1 2014","Currency=INR","Period=FQ","BEST_FPERIOD_OVERRIDE=FQ","FILING_STATUS=OR","EQY_CONSOLIDATED=Y","FA_ADJUSTED=GAAP","Sort=A","Dates=H","DateFormat=P","Fill=—","Direction=H","UseDPDF=Y")</f>
        <v>#NAME?</v>
      </c>
      <c r="CZ354" s="1" t="e">
        <f ca="1">_xll.BDH($C$353,"INVENT_DAYS","FQ1 2014","FQ1 2014","Currency=INR","Period=FQ","BEST_FPERIOD_OVERRIDE=FQ","FILING_STATUS=OR","EQY_CONSOLIDATED=Y","FA_ADJUSTED=GAAP","Sort=A","Dates=H","DateFormat=P","Fill=—","Direction=H","UseDPDF=Y")</f>
        <v>#NAME?</v>
      </c>
      <c r="DA354" s="3" t="e">
        <f ca="1">_xll.BDH($C$353,"ACCOUNTS_PAYABLE_TURNOVER","FQ1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54" s="1" t="e">
        <f ca="1">_xll.BDH($C$353,"ACCOUNTS_PAYABLE_TURNOVER_DAYS","FQ1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54" s="3" t="e">
        <f ca="1">_xll.BDH($C$353,"CASH_CONVERSION_CYCLE","FQ1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54" s="3" t="e">
        <f ca="1">_xll.BDH($C$353,"INV_TO_CASH_DAYS","FQ1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354" s="4" t="e">
        <f ca="1">_xll.BDH($C$353,"BS_INVENTORIES","FQ1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354" s="2" t="e">
        <f ca="1">_xll.BDH($C$353,"INVTRY_RAW_MATERIALS","FQ1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54" s="2" t="e">
        <f ca="1">_xll.BDH($C$353,"INVTRY_IN_PROGRESS","FQ1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54" s="2" t="e">
        <f ca="1">_xll.BDH($C$353,"INVTRY_FINISHED_GOODS","FQ1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54" s="2" t="e">
        <f ca="1">_xll.BDH($C$353,"BS_OTHER_INV","FQ1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55" spans="1:113" x14ac:dyDescent="0.3">
      <c r="A355" s="6"/>
      <c r="B355" s="6"/>
      <c r="C355" s="6"/>
      <c r="D355" s="6"/>
      <c r="E355" t="s">
        <v>5</v>
      </c>
      <c r="F355" t="e">
        <f ca="1">_xll.BDH($C$353,"RETURN_COM_EQY","FQ2 2014","FQ2 2014","Currency=INR","Period=FQ","BEST_FPERIOD_OVERRIDE=FQ","FILING_STATUS=OR","EQY_CONSOLIDATED=Y","FA_ADJUSTED=GAAP","Sort=A","Dates=H","DateFormat=P","Fill=—","Direction=H","UseDPDF=Y")</f>
        <v>#NAME?</v>
      </c>
      <c r="G355" t="e">
        <f ca="1">_xll.BDH($C$353,"RETURN_ON_ASSET","FQ2 2014","FQ2 2014","Currency=INR","Period=FQ","BEST_FPERIOD_OVERRIDE=FQ","FILING_STATUS=OR","EQY_CONSOLIDATED=Y","FA_ADJUSTED=GAAP","Sort=A","Dates=H","DateFormat=P","Fill=—","Direction=H","UseDPDF=Y")</f>
        <v>#NAME?</v>
      </c>
      <c r="H355" t="e">
        <f ca="1">_xll.BDH($C$353,"RETURN_ON_CAP","FQ2 2014","FQ2 2014","Currency=INR","Period=FQ","BEST_FPERIOD_OVERRIDE=FQ","FILING_STATUS=OR","EQY_CONSOLIDATED=Y","FA_ADJUSTED=GAAP","Sort=A","Dates=H","DateFormat=P","Fill=—","Direction=H","UseDPDF=Y")</f>
        <v>#NAME?</v>
      </c>
      <c r="I355" t="e">
        <f ca="1">_xll.BDH($C$353,"RETURN_ON_INV_CAPITAL","FQ2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55" t="e">
        <f ca="1">_xll.BDH($C$353,"EBITDA_TO_REVENUE","FQ2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355" t="e">
        <f ca="1">_xll.BDH($C$353,"OPER_MARGIN","FQ2 2014","FQ2 2014","Currency=INR","Period=FQ","BEST_FPERIOD_OVERRIDE=FQ","FILING_STATUS=OR","EQY_CONSOLIDATED=Y","FA_ADJUSTED=GAAP","Sort=A","Dates=H","DateFormat=P","Fill=—","Direction=H","UseDPDF=Y")</f>
        <v>#NAME?</v>
      </c>
      <c r="L355" t="e">
        <f ca="1">_xll.BDH($C$353,"INCREMENTAL_OPERATING_MARGIN","FQ2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55" t="e">
        <f ca="1">_xll.BDH($C$353,"PRETAX_INC_TO_NET_SALES","FQ2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55" t="e">
        <f ca="1">_xll.BDH($C$353,"INC_BEF_XO_ITEMS_TO_NET_SALES","FQ2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55" t="e">
        <f ca="1">_xll.BDH($C$353,"PROF_MARGIN","FQ2 2014","FQ2 2014","Currency=INR","Period=FQ","BEST_FPERIOD_OVERRIDE=FQ","FILING_STATUS=OR","EQY_CONSOLIDATED=Y","FA_ADJUSTED=GAAP","Sort=A","Dates=H","DateFormat=P","Fill=—","Direction=H","UseDPDF=Y")</f>
        <v>#NAME?</v>
      </c>
      <c r="P355" t="e">
        <f ca="1">_xll.BDH($C$353,"NET_INCOME_TO_COMMON_MARGIN","FQ2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55" t="e">
        <f ca="1">_xll.BDH($C$353,"EFF_TAX_RATE","FQ2 2014","FQ2 2014","Currency=INR","Period=FQ","BEST_FPERIOD_OVERRIDE=FQ","FILING_STATUS=OR","EQY_CONSOLIDATED=Y","FA_ADJUSTED=GAAP","Sort=A","Dates=H","DateFormat=P","Fill=—","Direction=H","UseDPDF=Y")</f>
        <v>#NAME?</v>
      </c>
      <c r="R355" t="e">
        <f ca="1">_xll.BDH($C$353,"DVD_PAYOUT_RATIO","FQ2 2014","FQ2 2014","Currency=INR","Period=FQ","BEST_FPERIOD_OVERRIDE=FQ","FILING_STATUS=OR","EQY_CONSOLIDATED=Y","FA_ADJUSTED=GAAP","Sort=A","Dates=H","DateFormat=P","Fill=—","Direction=H","UseDPDF=Y")</f>
        <v>#NAME?</v>
      </c>
      <c r="S355" t="e">
        <f ca="1">_xll.BDH($C$353,"SUSTAIN_GROWTH_RT","FQ2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355" s="1" t="e">
        <f ca="1">_xll.BDH($C$353,"SALES_GROWTH","FQ2 2014","FQ2 2014","Currency=INR","Period=FQ","BEST_FPERIOD_OVERRIDE=FQ","FILING_STATUS=OR","EQY_CONSOLIDATED=Y","FA_ADJUSTED=GAAP","Sort=A","Dates=H","DateFormat=P","Fill=—","Direction=H","UseDPDF=Y")</f>
        <v>#NAME?</v>
      </c>
      <c r="U355" s="1" t="e">
        <f ca="1">_xll.BDH($C$353,"EBITDA_GROWTH","FQ2 2014","FQ2 2014","Currency=INR","Period=FQ","BEST_FPERIOD_OVERRIDE=FQ","FILING_STATUS=OR","EQY_CONSOLIDATED=Y","FA_ADJUSTED=GAAP","Sort=A","Dates=H","DateFormat=P","Fill=—","Direction=H","UseDPDF=Y")</f>
        <v>#NAME?</v>
      </c>
      <c r="V355" s="1" t="e">
        <f ca="1">_xll.BDH($C$353,"OPER_INC_GROWTH","FQ2 2014","FQ2 2014","Currency=INR","Period=FQ","BEST_FPERIOD_OVERRIDE=FQ","FILING_STATUS=OR","EQY_CONSOLIDATED=Y","FA_ADJUSTED=GAAP","Sort=A","Dates=H","DateFormat=P","Fill=—","Direction=H","UseDPDF=Y")</f>
        <v>#NAME?</v>
      </c>
      <c r="W355" s="1" t="e">
        <f ca="1">_xll.BDH($C$353,"EARN_FOR_COM_GROWTH","FQ2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55" s="1" t="e">
        <f ca="1">_xll.BDH($C$353,"DILUTED_EPS_AFT_XO_ITEMS_GROWTH","FQ2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55" s="1" t="e">
        <f ca="1">_xll.BDH($C$353,"DIVIDEND_PER_SHARE_1_YEAR_GROWTH","FQ2 2014","FQ2 2014","Currency=INR","Period=FQ","BEST_FPERIOD_OVERRIDE=FQ","FILING_STATUS=OR","EQY_CONSOLIDATED=Y","Sort=A","Dates=H","DateFormat=P","Fill=—","Direction=H","UseDPDF=Y")</f>
        <v>#NAME?</v>
      </c>
      <c r="Z355" s="1" t="e">
        <f ca="1">_xll.BDH($C$353,"ACCOUNTS_RECEIVABLE_GROWTH","FQ2 2014","FQ2 2014","Currency=INR","Period=FQ","BEST_FPERIOD_OVERRIDE=FQ","FILING_STATUS=OR","EQY_CONSOLIDATED=Y","Sort=A","Dates=H","DateFormat=P","Fill=—","Direction=H","UseDPDF=Y")</f>
        <v>#NAME?</v>
      </c>
      <c r="AA355" s="1" t="e">
        <f ca="1">_xll.BDH($C$353,"INVENTORY_GROWTH","FQ2 2014","FQ2 2014","Currency=INR","Period=FQ","BEST_FPERIOD_OVERRIDE=FQ","FILING_STATUS=OR","EQY_CONSOLIDATED=Y","Sort=A","Dates=H","DateFormat=P","Fill=—","Direction=H","UseDPDF=Y")</f>
        <v>#NAME?</v>
      </c>
      <c r="AB355" s="1" t="e">
        <f ca="1">_xll.BDH($C$353,"NET_FIXED_ASSETS_1_YEAR_GROWTH","FQ2 2014","FQ2 2014","Currency=INR","Period=FQ","BEST_FPERIOD_OVERRIDE=FQ","FILING_STATUS=OR","EQY_CONSOLIDATED=Y","Sort=A","Dates=H","DateFormat=P","Fill=—","Direction=H","UseDPDF=Y")</f>
        <v>#NAME?</v>
      </c>
      <c r="AC355" s="1" t="e">
        <f ca="1">_xll.BDH($C$353,"ASSET_GROWTH","FQ2 2014","FQ2 2014","Currency=INR","Period=FQ","BEST_FPERIOD_OVERRIDE=FQ","FILING_STATUS=OR","EQY_CONSOLIDATED=Y","Sort=A","Dates=H","DateFormat=P","Fill=—","Direction=H","UseDPDF=Y")</f>
        <v>#NAME?</v>
      </c>
      <c r="AD355" s="1" t="e">
        <f ca="1">_xll.BDH($C$353,"MODIFIED_WORK_CAP_GROWTH","FQ2 2014","FQ2 2014","Currency=INR","Period=FQ","BEST_FPERIOD_OVERRIDE=FQ","FILING_STATUS=OR","EQY_CONSOLIDATED=Y","Sort=A","Dates=H","DateFormat=P","Fill=—","Direction=H","UseDPDF=Y")</f>
        <v>#NAME?</v>
      </c>
      <c r="AE355" s="1" t="e">
        <f ca="1">_xll.BDH($C$353,"WORK_CAP_GROWTH","FQ2 2014","FQ2 2014","Currency=INR","Period=FQ","BEST_FPERIOD_OVERRIDE=FQ","FILING_STATUS=OR","EQY_CONSOLIDATED=Y","Sort=A","Dates=H","DateFormat=P","Fill=—","Direction=H","UseDPDF=Y")</f>
        <v>#NAME?</v>
      </c>
      <c r="AF355" s="1" t="e">
        <f ca="1">_xll.BDH($C$353,"ACCOUNTS_PAYABLE_GROWTH_1YR","FQ2 2014","FQ2 2014","Currency=INR","Period=FQ","BEST_FPERIOD_OVERRIDE=FQ","FILING_STATUS=OR","EQY_CONSOLIDATED=Y","Sort=A","Dates=H","DateFormat=P","Fill=—","Direction=H","UseDPDF=Y")</f>
        <v>#NAME?</v>
      </c>
      <c r="AG355" s="1" t="e">
        <f ca="1">_xll.BDH($C$353,"SHORT_TERM_DEBT_1_YEAR_GROWTH","FQ2 2014","FQ2 2014","Currency=INR","Period=FQ","BEST_FPERIOD_OVERRIDE=FQ","FILING_STATUS=OR","EQY_CONSOLIDATED=Y","Sort=A","Dates=H","DateFormat=P","Fill=—","Direction=H","UseDPDF=Y")</f>
        <v>#NAME?</v>
      </c>
      <c r="AH355" s="1" t="e">
        <f ca="1">_xll.BDH($C$353,"TOTAL_DEBT_1_YEAR_GROWTH","FQ2 2014","FQ2 2014","Currency=INR","Period=FQ","BEST_FPERIOD_OVERRIDE=FQ","FILING_STATUS=OR","EQY_CONSOLIDATED=Y","Sort=A","Dates=H","DateFormat=P","Fill=—","Direction=H","UseDPDF=Y")</f>
        <v>#NAME?</v>
      </c>
      <c r="AI355" s="1" t="e">
        <f ca="1">_xll.BDH($C$353,"TOTAL_EQUITY_1_YEAR_GROWTH","FQ2 2014","FQ2 2014","Currency=INR","Period=FQ","BEST_FPERIOD_OVERRIDE=FQ","FILING_STATUS=OR","EQY_CONSOLIDATED=Y","Sort=A","Dates=H","DateFormat=P","Fill=—","Direction=H","UseDPDF=Y")</f>
        <v>#NAME?</v>
      </c>
      <c r="AJ355" s="1" t="e">
        <f ca="1">_xll.BDH($C$353,"GROWTH_IN_CAP","FQ2 2014","FQ2 2014","Currency=INR","Period=FQ","BEST_FPERIOD_OVERRIDE=FQ","FILING_STATUS=OR","EQY_CONSOLIDATED=Y","Sort=A","Dates=H","DateFormat=P","Fill=—","Direction=H","UseDPDF=Y")</f>
        <v>#NAME?</v>
      </c>
      <c r="AK355" s="1" t="e">
        <f ca="1">_xll.BDH($C$353,"BVPS_GROWTH","FQ2 2014","FQ2 2014","Currency=INR","Period=FQ","BEST_FPERIOD_OVERRIDE=FQ","FILING_STATUS=OR","EQY_CONSOLIDATED=Y","Sort=A","Dates=H","DateFormat=P","Fill=—","Direction=H","UseDPDF=Y")</f>
        <v>#NAME?</v>
      </c>
      <c r="AL355" s="1" t="e">
        <f ca="1">_xll.BDH($C$353,"CASH_FLOW_GROWTH","FQ2 2014","FQ2 2014","Currency=INR","Period=FQ","BEST_FPERIOD_OVERRIDE=FQ","FILING_STATUS=OR","EQY_CONSOLIDATED=Y","Sort=A","Dates=H","DateFormat=P","Fill=—","Direction=H","UseDPDF=Y")</f>
        <v>#NAME?</v>
      </c>
      <c r="AM355" s="1" t="e">
        <f ca="1">_xll.BDH($C$353,"GEO_GROW_NET_SALES","FQ2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55" s="1" t="e">
        <f ca="1">_xll.BDH($C$353,"GEO_GROW_EBITDA","FQ2 2014","FQ2 2014","Currency=INR","Period=FQ","BEST_FPERIOD_OVERRIDE=FQ","FILING_STATUS=OR","EQY_CONSOLIDATED=Y","FA_ADJUSTED=GAAP","Sort=A","Dates=H","DateFormat=P","Fill=—","Direction=H","UseDPDF=Y")</f>
        <v>#NAME?</v>
      </c>
      <c r="AO355" s="1" t="e">
        <f ca="1">_xll.BDH($C$353,"GEO_GROW_OPER_INC","FQ2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55" s="1" t="e">
        <f ca="1">_xll.BDH($C$353,"NET_INCOME_TO_COMMON_5_YR_GROWTH","FQ2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55" s="1" t="e">
        <f ca="1">_xll.BDH($C$353,"5Y_GEO_GROWTH_DILUTED_EPS","FQ2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55" s="1" t="e">
        <f ca="1">_xll.BDH($C$353,"GEO_GROW_DVD_PER_SH","FQ2 2014","FQ2 2014","Currency=INR","Period=FQ","BEST_FPERIOD_OVERRIDE=FQ","FILING_STATUS=OR","EQY_CONSOLIDATED=Y","Sort=A","Dates=H","DateFormat=P","Fill=—","Direction=H","UseDPDF=Y")</f>
        <v>#NAME?</v>
      </c>
      <c r="AS355" s="1" t="e">
        <f ca="1">_xll.BDH($C$353,"ACCOUNTS_RECEIVABLE_5_YR_GROWTH","FQ2 2014","FQ2 2014","Currency=INR","Period=FQ","BEST_FPERIOD_OVERRIDE=FQ","FILING_STATUS=OR","EQY_CONSOLIDATED=Y","Sort=A","Dates=H","DateFormat=P","Fill=—","Direction=H","UseDPDF=Y")</f>
        <v>#NAME?</v>
      </c>
      <c r="AT355" s="1" t="e">
        <f ca="1">_xll.BDH($C$353,"INVENTORY_5_YEAR_GROWTH","FQ2 2014","FQ2 2014","Currency=INR","Period=FQ","BEST_FPERIOD_OVERRIDE=FQ","FILING_STATUS=OR","EQY_CONSOLIDATED=Y","Sort=A","Dates=H","DateFormat=P","Fill=—","Direction=H","UseDPDF=Y")</f>
        <v>#NAME?</v>
      </c>
      <c r="AU355" s="1" t="e">
        <f ca="1">_xll.BDH($C$353,"NET_FIXED_ASSETS_5_YEAR_GROWTH","FQ2 2014","FQ2 2014","Currency=INR","Period=FQ","BEST_FPERIOD_OVERRIDE=FQ","FILING_STATUS=OR","EQY_CONSOLIDATED=Y","Sort=A","Dates=H","DateFormat=P","Fill=—","Direction=H","UseDPDF=Y")</f>
        <v>#NAME?</v>
      </c>
      <c r="AV355" s="1" t="e">
        <f ca="1">_xll.BDH($C$353,"GEO_GROW_TOT_ASSET","FQ2 2014","FQ2 2014","Currency=INR","Period=FQ","BEST_FPERIOD_OVERRIDE=FQ","FILING_STATUS=OR","EQY_CONSOLIDATED=Y","Sort=A","Dates=H","DateFormat=P","Fill=—","Direction=H","UseDPDF=Y")</f>
        <v>#NAME?</v>
      </c>
      <c r="AW355" s="1" t="e">
        <f ca="1">_xll.BDH($C$353,"MODIFIED_WORKING_CPTL_5YR_GRWTH","FQ2 2014","FQ2 2014","Currency=INR","Period=FQ","BEST_FPERIOD_OVERRIDE=FQ","FILING_STATUS=OR","EQY_CONSOLIDATED=Y","Sort=A","Dates=H","DateFormat=P","Fill=—","Direction=H","UseDPDF=Y")</f>
        <v>#NAME?</v>
      </c>
      <c r="AX355" s="1" t="e">
        <f ca="1">_xll.BDH($C$353,"WORKING_CAPITAL_5_YEAR_GROWTH","FQ2 2014","FQ2 2014","Currency=INR","Period=FQ","BEST_FPERIOD_OVERRIDE=FQ","FILING_STATUS=OR","EQY_CONSOLIDATED=Y","Sort=A","Dates=H","DateFormat=P","Fill=—","Direction=H","UseDPDF=Y")</f>
        <v>#NAME?</v>
      </c>
      <c r="AY355" s="1" t="e">
        <f ca="1">_xll.BDH($C$353,"ACCOUNTS_PAYABLE_5_YEAR_GROWTH","FQ2 2014","FQ2 2014","Currency=INR","Period=FQ","BEST_FPERIOD_OVERRIDE=FQ","FILING_STATUS=OR","EQY_CONSOLIDATED=Y","Sort=A","Dates=H","DateFormat=P","Fill=—","Direction=H","UseDPDF=Y")</f>
        <v>#NAME?</v>
      </c>
      <c r="AZ355" s="1" t="e">
        <f ca="1">_xll.BDH($C$353,"SHORT_TERM_DEBT_5_YEAR_GROWTH","FQ2 2014","FQ2 2014","Currency=INR","Period=FQ","BEST_FPERIOD_OVERRIDE=FQ","FILING_STATUS=OR","EQY_CONSOLIDATED=Y","Sort=A","Dates=H","DateFormat=P","Fill=—","Direction=H","UseDPDF=Y")</f>
        <v>#NAME?</v>
      </c>
      <c r="BA355" s="1" t="e">
        <f ca="1">_xll.BDH($C$353,"TOTAL_DEBT_5_YEAR_GROWTH","FQ2 2014","FQ2 2014","Currency=INR","Period=FQ","BEST_FPERIOD_OVERRIDE=FQ","FILING_STATUS=OR","EQY_CONSOLIDATED=Y","Sort=A","Dates=H","DateFormat=P","Fill=—","Direction=H","UseDPDF=Y")</f>
        <v>#NAME?</v>
      </c>
      <c r="BB355" s="1" t="e">
        <f ca="1">_xll.BDH($C$353,"GEO_GROW_TOT_SHRHLDR_EQY","FQ2 2014","FQ2 2014","Currency=INR","Period=FQ","BEST_FPERIOD_OVERRIDE=FQ","FILING_STATUS=OR","EQY_CONSOLIDATED=Y","Sort=A","Dates=H","DateFormat=P","Fill=—","Direction=H","UseDPDF=Y")</f>
        <v>#NAME?</v>
      </c>
      <c r="BC355" s="1" t="e">
        <f ca="1">_xll.BDH($C$353,"TOTAL_CAPITAL_5_YEAR_GROWTH","FQ2 2014","FQ2 2014","Currency=INR","Period=FQ","BEST_FPERIOD_OVERRIDE=FQ","FILING_STATUS=OR","EQY_CONSOLIDATED=Y","Sort=A","Dates=H","DateFormat=P","Fill=—","Direction=H","UseDPDF=Y")</f>
        <v>#NAME?</v>
      </c>
      <c r="BD355" s="1" t="e">
        <f ca="1">_xll.BDH($C$353,"GEO_GROW_BOOK_VAL","FQ2 2014","FQ2 2014","Currency=INR","Period=FQ","BEST_FPERIOD_OVERRIDE=FQ","FILING_STATUS=OR","EQY_CONSOLIDATED=Y","Sort=A","Dates=H","DateFormat=P","Fill=—","Direction=H","UseDPDF=Y")</f>
        <v>#NAME?</v>
      </c>
      <c r="BE355" s="1" t="e">
        <f ca="1">_xll.BDH($C$353,"GEO_GROW_CASH_OPER_ACT","FQ2 2014","FQ2 2014","Currency=INR","Period=FQ","BEST_FPERIOD_OVERRIDE=FQ","FILING_STATUS=OR","EQY_CONSOLIDATED=Y","Sort=A","Dates=H","DateFormat=P","Fill=—","Direction=H","UseDPDF=Y")</f>
        <v>#NAME?</v>
      </c>
      <c r="BF355" s="1" t="e">
        <f ca="1">_xll.BDH($C$353,"REVENUE_SEQUENTIAL_GROWTH","FQ2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55" s="1" t="e">
        <f ca="1">_xll.BDH($C$353,"EBITDA_SEQUENTIAL_GROWTH","FQ2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55" s="1" t="e">
        <f ca="1">_xll.BDH($C$353,"OPERATING_INCOME_SEQ_GROWTH","FQ2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55" s="1" t="e">
        <f ca="1">_xll.BDH($C$353,"NET_INCOME_TO_COMMON_SEQ_GROWTH","FQ2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55" s="1" t="e">
        <f ca="1">_xll.BDH($C$353,"EPS_DILUTED_SEQUENTIAL_GROWTH","FQ2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55" s="1" t="e">
        <f ca="1">_xll.BDH($C$353,"DPS_SEQUENTIAL_GROWTH","FQ2 2014","FQ2 2014","Currency=INR","Period=FQ","BEST_FPERIOD_OVERRIDE=FQ","FILING_STATUS=OR","EQY_CONSOLIDATED=Y","Sort=A","Dates=H","DateFormat=P","Fill=—","Direction=H","UseDPDF=Y")</f>
        <v>#NAME?</v>
      </c>
      <c r="BL355" s="1" t="e">
        <f ca="1">_xll.BDH($C$353,"ACCOUNTS_RECEIVABLE_SEQ_GROWTH","FQ2 2014","FQ2 2014","Currency=INR","Period=FQ","BEST_FPERIOD_OVERRIDE=FQ","FILING_STATUS=OR","EQY_CONSOLIDATED=Y","Sort=A","Dates=H","DateFormat=P","Fill=—","Direction=H","UseDPDF=Y")</f>
        <v>#NAME?</v>
      </c>
      <c r="BM355" s="1" t="e">
        <f ca="1">_xll.BDH($C$353,"INVENTORY_SEQUENTIAL_GROWTH","FQ2 2014","FQ2 2014","Currency=INR","Period=FQ","BEST_FPERIOD_OVERRIDE=FQ","FILING_STATUS=OR","EQY_CONSOLIDATED=Y","Sort=A","Dates=H","DateFormat=P","Fill=—","Direction=H","UseDPDF=Y")</f>
        <v>#NAME?</v>
      </c>
      <c r="BN355" s="1" t="e">
        <f ca="1">_xll.BDH($C$353,"FIXED_ASSETS_SEQUENTIAL_GROWTH","FQ2 2014","FQ2 2014","Currency=INR","Period=FQ","BEST_FPERIOD_OVERRIDE=FQ","FILING_STATUS=OR","EQY_CONSOLIDATED=Y","Sort=A","Dates=H","DateFormat=P","Fill=—","Direction=H","UseDPDF=Y")</f>
        <v>#NAME?</v>
      </c>
      <c r="BO355" s="1" t="e">
        <f ca="1">_xll.BDH($C$353,"TOTAL_ASSETS_SEQUENTIAL_GROWTH","FQ2 2014","FQ2 2014","Currency=INR","Period=FQ","BEST_FPERIOD_OVERRIDE=FQ","FILING_STATUS=OR","EQY_CONSOLIDATED=Y","Sort=A","Dates=H","DateFormat=P","Fill=—","Direction=H","UseDPDF=Y")</f>
        <v>#NAME?</v>
      </c>
      <c r="BP355" s="1" t="e">
        <f ca="1">_xll.BDH($C$353,"MODIFIED_WORKING_CPTL_SEQ_GRWTH","FQ2 2014","FQ2 2014","Currency=INR","Period=FQ","BEST_FPERIOD_OVERRIDE=FQ","FILING_STATUS=OR","EQY_CONSOLIDATED=Y","Sort=A","Dates=H","DateFormat=P","Fill=—","Direction=H","UseDPDF=Y")</f>
        <v>#NAME?</v>
      </c>
      <c r="BQ355" s="1" t="e">
        <f ca="1">_xll.BDH($C$353,"WORKING_CAPITAL_SEQ_GROWTH","FQ2 2014","FQ2 2014","Currency=INR","Period=FQ","BEST_FPERIOD_OVERRIDE=FQ","FILING_STATUS=OR","EQY_CONSOLIDATED=Y","Sort=A","Dates=H","DateFormat=P","Fill=—","Direction=H","UseDPDF=Y")</f>
        <v>#NAME?</v>
      </c>
      <c r="BR355" s="1" t="e">
        <f ca="1">_xll.BDH($C$353,"ACCOUNTS_PAYABLE_SEQ_GROWTH","FQ2 2014","FQ2 2014","Currency=INR","Period=FQ","BEST_FPERIOD_OVERRIDE=FQ","FILING_STATUS=OR","EQY_CONSOLIDATED=Y","Sort=A","Dates=H","DateFormat=P","Fill=—","Direction=H","UseDPDF=Y")</f>
        <v>#NAME?</v>
      </c>
      <c r="BS355" s="1" t="e">
        <f ca="1">_xll.BDH($C$353,"ST_DEBT_SEQUENTIAL_GROWTH","FQ2 2014","FQ2 2014","Currency=INR","Period=FQ","BEST_FPERIOD_OVERRIDE=FQ","FILING_STATUS=OR","EQY_CONSOLIDATED=Y","Sort=A","Dates=H","DateFormat=P","Fill=—","Direction=H","UseDPDF=Y")</f>
        <v>#NAME?</v>
      </c>
      <c r="BT355" s="1" t="e">
        <f ca="1">_xll.BDH($C$353,"TOTAL_DEBT_SEQUENTIAL_GROWTH","FQ2 2014","FQ2 2014","Currency=INR","Period=FQ","BEST_FPERIOD_OVERRIDE=FQ","FILING_STATUS=OR","EQY_CONSOLIDATED=Y","Sort=A","Dates=H","DateFormat=P","Fill=—","Direction=H","UseDPDF=Y")</f>
        <v>#NAME?</v>
      </c>
      <c r="BU355" s="1" t="e">
        <f ca="1">_xll.BDH($C$353,"TOTAL_EQUITY_SEQUENTIAL_GROWTH","FQ2 2014","FQ2 2014","Currency=INR","Period=FQ","BEST_FPERIOD_OVERRIDE=FQ","FILING_STATUS=OR","EQY_CONSOLIDATED=Y","Sort=A","Dates=H","DateFormat=P","Fill=—","Direction=H","UseDPDF=Y")</f>
        <v>#NAME?</v>
      </c>
      <c r="BV355" s="1" t="e">
        <f ca="1">_xll.BDH($C$353,"TOTAL_CAPITAL_SEQUENTIAL_GROWTH","FQ2 2014","FQ2 2014","Currency=INR","Period=FQ","BEST_FPERIOD_OVERRIDE=FQ","FILING_STATUS=OR","EQY_CONSOLIDATED=Y","Sort=A","Dates=H","DateFormat=P","Fill=—","Direction=H","UseDPDF=Y")</f>
        <v>#NAME?</v>
      </c>
      <c r="BW355" s="1" t="e">
        <f ca="1">_xll.BDH($C$353,"BPS_SEQUENTIAL_GROWTH","FQ2 2014","FQ2 2014","Currency=INR","Period=FQ","BEST_FPERIOD_OVERRIDE=FQ","FILING_STATUS=OR","EQY_CONSOLIDATED=Y","Sort=A","Dates=H","DateFormat=P","Fill=—","Direction=H","UseDPDF=Y")</f>
        <v>#NAME?</v>
      </c>
      <c r="BX355" s="1" t="e">
        <f ca="1">_xll.BDH($C$353,"CFO_SEQUENTIAL_GROWTH","FQ2 2014","FQ2 2014","Currency=INR","Period=FQ","BEST_FPERIOD_OVERRIDE=FQ","FILING_STATUS=OR","EQY_CONSOLIDATED=Y","Sort=A","Dates=H","DateFormat=P","Fill=—","Direction=H","UseDPDF=Y")</f>
        <v>#NAME?</v>
      </c>
      <c r="BY355" s="2" t="e">
        <f ca="1">_xll.BDH($C$353,"SHORT_AND_LONG_TERM_DEBT","FQ2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55" s="2" t="e">
        <f ca="1">_xll.BDH($C$353,"BS_ST_BORROW","FQ2 2014","FQ2 2014","Currency=INR","Period=FQ","BEST_FPERIOD_OVERRIDE=FQ","FILING_STATUS=OR","EQY_CONSOLIDATED=Y","SCALING_FORMAT=MLN","Sort=A","Dates=H","DateFormat=P","Fill=—","Direction=H","UseDPDF=Y")</f>
        <v>#NAME?</v>
      </c>
      <c r="CA355" s="2" t="e">
        <f ca="1">_xll.BDH($C$353,"BS_LT_BORROW","FQ2 2014","FQ2 2014","Currency=INR","Period=FQ","BEST_FPERIOD_OVERRIDE=FQ","FILING_STATUS=OR","EQY_CONSOLIDATED=Y","SCALING_FORMAT=MLN","Sort=A","Dates=H","DateFormat=P","Fill=—","Direction=H","UseDPDF=Y")</f>
        <v>#NAME?</v>
      </c>
      <c r="CB355" s="1" t="e">
        <f ca="1">_xll.BDH($C$353,"TOT_DEBT_TO_EBITDA","FQ2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55" s="1" t="e">
        <f ca="1">_xll.BDH($C$353,"NET_DEBT_TO_EBITDA","FQ2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55" s="1" t="e">
        <f ca="1">_xll.BDH($C$353,"TOTAL_DEBT_TO_EBIT","FQ2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55" s="1" t="e">
        <f ca="1">_xll.BDH($C$353,"NET_DEBT_TO_EBIT","FQ2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355" s="1" t="e">
        <f ca="1">_xll.BDH($C$353,"EBITDA_TO_INTEREST_EXPN","FQ2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55" s="1" t="e">
        <f ca="1">_xll.BDH($C$353,"COM_EQY_TO_TOT_ASSET","FQ2 2014","FQ2 2014","Currency=INR","Period=FQ","BEST_FPERIOD_OVERRIDE=FQ","FILING_STATUS=OR","EQY_CONSOLIDATED=Y","Sort=A","Dates=H","DateFormat=P","Fill=—","Direction=H","UseDPDF=Y")</f>
        <v>#NAME?</v>
      </c>
      <c r="CH355" s="1" t="e">
        <f ca="1">_xll.BDH($C$353,"LT_DEBT_TO_TOT_EQY","FQ2 2014","FQ2 2014","Currency=INR","Period=FQ","BEST_FPERIOD_OVERRIDE=FQ","FILING_STATUS=OR","EQY_CONSOLIDATED=Y","Sort=A","Dates=H","DateFormat=P","Fill=—","Direction=H","UseDPDF=Y")</f>
        <v>#NAME?</v>
      </c>
      <c r="CI355" s="1" t="e">
        <f ca="1">_xll.BDH($C$353,"LT_DEBT_TO_TOT_CAP","FQ2 2014","FQ2 2014","Currency=INR","Period=FQ","BEST_FPERIOD_OVERRIDE=FQ","FILING_STATUS=OR","EQY_CONSOLIDATED=Y","Sort=A","Dates=H","DateFormat=P","Fill=—","Direction=H","UseDPDF=Y")</f>
        <v>#NAME?</v>
      </c>
      <c r="CJ355" s="1" t="e">
        <f ca="1">_xll.BDH($C$353,"LT_DEBT_TO_TOT_ASSET","FQ2 2014","FQ2 2014","Currency=INR","Period=FQ","BEST_FPERIOD_OVERRIDE=FQ","FILING_STATUS=OR","EQY_CONSOLIDATED=Y","Sort=A","Dates=H","DateFormat=P","Fill=—","Direction=H","UseDPDF=Y")</f>
        <v>#NAME?</v>
      </c>
      <c r="CK355" s="1" t="e">
        <f ca="1">_xll.BDH($C$353,"TOT_DEBT_TO_TOT_EQY","FQ2 2014","FQ2 2014","Currency=INR","Period=FQ","BEST_FPERIOD_OVERRIDE=FQ","FILING_STATUS=OR","EQY_CONSOLIDATED=Y","Sort=A","Dates=H","DateFormat=P","Fill=—","Direction=H","UseDPDF=Y")</f>
        <v>#NAME?</v>
      </c>
      <c r="CL355" s="1" t="e">
        <f ca="1">_xll.BDH($C$353,"TOT_DEBT_TO_TOT_CAP","FQ2 2014","FQ2 2014","Currency=INR","Period=FQ","BEST_FPERIOD_OVERRIDE=FQ","FILING_STATUS=OR","EQY_CONSOLIDATED=Y","Sort=A","Dates=H","DateFormat=P","Fill=—","Direction=H","UseDPDF=Y")</f>
        <v>#NAME?</v>
      </c>
      <c r="CM355" s="1" t="e">
        <f ca="1">_xll.BDH($C$353,"TOT_DEBT_TO_TOT_ASSET","FQ2 2014","FQ2 2014","Currency=INR","Period=FQ","BEST_FPERIOD_OVERRIDE=FQ","FILING_STATUS=OR","EQY_CONSOLIDATED=Y","Sort=A","Dates=H","DateFormat=P","Fill=—","Direction=H","UseDPDF=Y")</f>
        <v>#NAME?</v>
      </c>
      <c r="CN355" s="1" t="e">
        <f ca="1">_xll.BDH($C$353,"NET_DEBT_TO_SHRHLDR_EQTY","FQ2 2014","FQ2 2014","Currency=INR","Period=FQ","BEST_FPERIOD_OVERRIDE=FQ","FILING_STATUS=OR","EQY_CONSOLIDATED=Y","Sort=A","Dates=H","DateFormat=P","Fill=—","Direction=H","UseDPDF=Y")</f>
        <v>#NAME?</v>
      </c>
      <c r="CO355" s="1" t="e">
        <f ca="1">_xll.BDH($C$353,"NET_DEBT_%_CAPITAL","FQ2 2014","FQ2 2014","Currency=INR","Period=FQ","BEST_FPERIOD_OVERRIDE=FQ","FILING_STATUS=OR","EQY_CONSOLIDATED=Y","Sort=A","Dates=H","DateFormat=P","Fill=—","Direction=H","UseDPDF=Y")</f>
        <v>#NAME?</v>
      </c>
      <c r="CP355" s="2" t="e">
        <f ca="1">_xll.BDH($C$353,"EBITDA","FQ2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55" s="2" t="e">
        <f ca="1">_xll.BDH($C$353,"EBITDA_AFTER_CAPEX","FQ2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55" s="2" t="e">
        <f ca="1">_xll.BDH($C$353,"IS_OPER_INC","FQ2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55" s="1" t="e">
        <f ca="1">_xll.BDH($C$353,"CASH_RATIO","FQ2 2014","FQ2 2014","Currency=INR","Period=FQ","BEST_FPERIOD_OVERRIDE=FQ","FILING_STATUS=OR","EQY_CONSOLIDATED=Y","Sort=A","Dates=H","DateFormat=P","Fill=—","Direction=H","UseDPDF=Y")</f>
        <v>#NAME?</v>
      </c>
      <c r="CT355" s="1" t="e">
        <f ca="1">_xll.BDH($C$353,"CUR_RATIO","FQ2 2014","FQ2 2014","Currency=INR","Period=FQ","BEST_FPERIOD_OVERRIDE=FQ","FILING_STATUS=OR","EQY_CONSOLIDATED=Y","Sort=A","Dates=H","DateFormat=P","Fill=—","Direction=H","UseDPDF=Y")</f>
        <v>#NAME?</v>
      </c>
      <c r="CU355" s="1" t="e">
        <f ca="1">_xll.BDH($C$353,"QUICK_RATIO","FQ2 2014","FQ2 2014","Currency=INR","Period=FQ","BEST_FPERIOD_OVERRIDE=FQ","FILING_STATUS=OR","EQY_CONSOLIDATED=Y","Sort=A","Dates=H","DateFormat=P","Fill=—","Direction=H","UseDPDF=Y")</f>
        <v>#NAME?</v>
      </c>
      <c r="CV355" s="1" t="e">
        <f ca="1">_xll.BDH($C$353,"ALTMAN_Z_SCORE","FQ2 2014","FQ2 2014","Currency=INR","Period=FQ","BEST_FPERIOD_OVERRIDE=FQ","FILING_STATUS=OR","EQY_CONSOLIDATED=Y","Sort=A","Dates=H","DateFormat=P","Fill=—","Direction=H","UseDPDF=Y")</f>
        <v>#NAME?</v>
      </c>
      <c r="CW355" s="3" t="e">
        <f ca="1">_xll.BDH($C$353,"ACCT_RCV_TURN","FQ2 2014","FQ2 2014","Currency=INR","Period=FQ","BEST_FPERIOD_OVERRIDE=FQ","FILING_STATUS=OR","EQY_CONSOLIDATED=Y","FA_ADJUSTED=GAAP","Sort=A","Dates=H","DateFormat=P","Fill=—","Direction=H","UseDPDF=Y")</f>
        <v>#NAME?</v>
      </c>
      <c r="CX355" s="1" t="e">
        <f ca="1">_xll.BDH($C$353,"ACCT_RCV_DAYS","FQ2 2014","FQ2 2014","Currency=INR","Period=FQ","BEST_FPERIOD_OVERRIDE=FQ","FILING_STATUS=OR","EQY_CONSOLIDATED=Y","FA_ADJUSTED=GAAP","Sort=A","Dates=H","DateFormat=P","Fill=—","Direction=H","UseDPDF=Y")</f>
        <v>#NAME?</v>
      </c>
      <c r="CY355" s="3" t="e">
        <f ca="1">_xll.BDH($C$353,"INVENT_TURN","FQ2 2014","FQ2 2014","Currency=INR","Period=FQ","BEST_FPERIOD_OVERRIDE=FQ","FILING_STATUS=OR","EQY_CONSOLIDATED=Y","FA_ADJUSTED=GAAP","Sort=A","Dates=H","DateFormat=P","Fill=—","Direction=H","UseDPDF=Y")</f>
        <v>#NAME?</v>
      </c>
      <c r="CZ355" s="1" t="e">
        <f ca="1">_xll.BDH($C$353,"INVENT_DAYS","FQ2 2014","FQ2 2014","Currency=INR","Period=FQ","BEST_FPERIOD_OVERRIDE=FQ","FILING_STATUS=OR","EQY_CONSOLIDATED=Y","FA_ADJUSTED=GAAP","Sort=A","Dates=H","DateFormat=P","Fill=—","Direction=H","UseDPDF=Y")</f>
        <v>#NAME?</v>
      </c>
      <c r="DA355" s="3" t="e">
        <f ca="1">_xll.BDH($C$353,"ACCOUNTS_PAYABLE_TURNOVER","FQ2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55" s="1" t="e">
        <f ca="1">_xll.BDH($C$353,"ACCOUNTS_PAYABLE_TURNOVER_DAYS","FQ2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55" s="3" t="e">
        <f ca="1">_xll.BDH($C$353,"CASH_CONVERSION_CYCLE","FQ2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55" s="3" t="e">
        <f ca="1">_xll.BDH($C$353,"INV_TO_CASH_DAYS","FQ2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355" s="4" t="e">
        <f ca="1">_xll.BDH($C$353,"BS_INVENTORIES","FQ2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355" s="2" t="e">
        <f ca="1">_xll.BDH($C$353,"INVTRY_RAW_MATERIALS","FQ2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55" s="2" t="e">
        <f ca="1">_xll.BDH($C$353,"INVTRY_IN_PROGRESS","FQ2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55" s="2" t="e">
        <f ca="1">_xll.BDH($C$353,"INVTRY_FINISHED_GOODS","FQ2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55" s="2" t="e">
        <f ca="1">_xll.BDH($C$353,"BS_OTHER_INV","FQ2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56" spans="1:113" x14ac:dyDescent="0.3">
      <c r="A356" s="6"/>
      <c r="B356" s="6"/>
      <c r="C356" s="6"/>
      <c r="D356" s="6"/>
      <c r="E356" t="s">
        <v>6</v>
      </c>
      <c r="F356" t="e">
        <f ca="1">_xll.BDH($C$353,"RETURN_COM_EQY","FQ3 2014","FQ3 2014","Currency=INR","Period=FQ","BEST_FPERIOD_OVERRIDE=FQ","FILING_STATUS=OR","EQY_CONSOLIDATED=Y","FA_ADJUSTED=GAAP","Sort=A","Dates=H","DateFormat=P","Fill=—","Direction=H","UseDPDF=Y")</f>
        <v>#NAME?</v>
      </c>
      <c r="G356" t="e">
        <f ca="1">_xll.BDH($C$353,"RETURN_ON_ASSET","FQ3 2014","FQ3 2014","Currency=INR","Period=FQ","BEST_FPERIOD_OVERRIDE=FQ","FILING_STATUS=OR","EQY_CONSOLIDATED=Y","FA_ADJUSTED=GAAP","Sort=A","Dates=H","DateFormat=P","Fill=—","Direction=H","UseDPDF=Y")</f>
        <v>#NAME?</v>
      </c>
      <c r="H356" t="e">
        <f ca="1">_xll.BDH($C$353,"RETURN_ON_CAP","FQ3 2014","FQ3 2014","Currency=INR","Period=FQ","BEST_FPERIOD_OVERRIDE=FQ","FILING_STATUS=OR","EQY_CONSOLIDATED=Y","FA_ADJUSTED=GAAP","Sort=A","Dates=H","DateFormat=P","Fill=—","Direction=H","UseDPDF=Y")</f>
        <v>#NAME?</v>
      </c>
      <c r="I356" t="e">
        <f ca="1">_xll.BDH($C$353,"RETURN_ON_INV_CAPITAL","FQ3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56" t="e">
        <f ca="1">_xll.BDH($C$353,"EBITDA_TO_REVENUE","FQ3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356" t="e">
        <f ca="1">_xll.BDH($C$353,"OPER_MARGIN","FQ3 2014","FQ3 2014","Currency=INR","Period=FQ","BEST_FPERIOD_OVERRIDE=FQ","FILING_STATUS=OR","EQY_CONSOLIDATED=Y","FA_ADJUSTED=GAAP","Sort=A","Dates=H","DateFormat=P","Fill=—","Direction=H","UseDPDF=Y")</f>
        <v>#NAME?</v>
      </c>
      <c r="L356" t="e">
        <f ca="1">_xll.BDH($C$353,"INCREMENTAL_OPERATING_MARGIN","FQ3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56" t="e">
        <f ca="1">_xll.BDH($C$353,"PRETAX_INC_TO_NET_SALES","FQ3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56" t="e">
        <f ca="1">_xll.BDH($C$353,"INC_BEF_XO_ITEMS_TO_NET_SALES","FQ3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56" t="e">
        <f ca="1">_xll.BDH($C$353,"PROF_MARGIN","FQ3 2014","FQ3 2014","Currency=INR","Period=FQ","BEST_FPERIOD_OVERRIDE=FQ","FILING_STATUS=OR","EQY_CONSOLIDATED=Y","FA_ADJUSTED=GAAP","Sort=A","Dates=H","DateFormat=P","Fill=—","Direction=H","UseDPDF=Y")</f>
        <v>#NAME?</v>
      </c>
      <c r="P356" t="e">
        <f ca="1">_xll.BDH($C$353,"NET_INCOME_TO_COMMON_MARGIN","FQ3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56" t="e">
        <f ca="1">_xll.BDH($C$353,"EFF_TAX_RATE","FQ3 2014","FQ3 2014","Currency=INR","Period=FQ","BEST_FPERIOD_OVERRIDE=FQ","FILING_STATUS=OR","EQY_CONSOLIDATED=Y","FA_ADJUSTED=GAAP","Sort=A","Dates=H","DateFormat=P","Fill=—","Direction=H","UseDPDF=Y")</f>
        <v>#NAME?</v>
      </c>
      <c r="R356" t="e">
        <f ca="1">_xll.BDH($C$353,"DVD_PAYOUT_RATIO","FQ3 2014","FQ3 2014","Currency=INR","Period=FQ","BEST_FPERIOD_OVERRIDE=FQ","FILING_STATUS=OR","EQY_CONSOLIDATED=Y","FA_ADJUSTED=GAAP","Sort=A","Dates=H","DateFormat=P","Fill=—","Direction=H","UseDPDF=Y")</f>
        <v>#NAME?</v>
      </c>
      <c r="S356" t="e">
        <f ca="1">_xll.BDH($C$353,"SUSTAIN_GROWTH_RT","FQ3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356" s="1" t="e">
        <f ca="1">_xll.BDH($C$353,"SALES_GROWTH","FQ3 2014","FQ3 2014","Currency=INR","Period=FQ","BEST_FPERIOD_OVERRIDE=FQ","FILING_STATUS=OR","EQY_CONSOLIDATED=Y","FA_ADJUSTED=GAAP","Sort=A","Dates=H","DateFormat=P","Fill=—","Direction=H","UseDPDF=Y")</f>
        <v>#NAME?</v>
      </c>
      <c r="U356" s="1" t="e">
        <f ca="1">_xll.BDH($C$353,"EBITDA_GROWTH","FQ3 2014","FQ3 2014","Currency=INR","Period=FQ","BEST_FPERIOD_OVERRIDE=FQ","FILING_STATUS=OR","EQY_CONSOLIDATED=Y","FA_ADJUSTED=GAAP","Sort=A","Dates=H","DateFormat=P","Fill=—","Direction=H","UseDPDF=Y")</f>
        <v>#NAME?</v>
      </c>
      <c r="V356" s="1" t="e">
        <f ca="1">_xll.BDH($C$353,"OPER_INC_GROWTH","FQ3 2014","FQ3 2014","Currency=INR","Period=FQ","BEST_FPERIOD_OVERRIDE=FQ","FILING_STATUS=OR","EQY_CONSOLIDATED=Y","FA_ADJUSTED=GAAP","Sort=A","Dates=H","DateFormat=P","Fill=—","Direction=H","UseDPDF=Y")</f>
        <v>#NAME?</v>
      </c>
      <c r="W356" s="1" t="e">
        <f ca="1">_xll.BDH($C$353,"EARN_FOR_COM_GROWTH","FQ3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56" s="1" t="e">
        <f ca="1">_xll.BDH($C$353,"DILUTED_EPS_AFT_XO_ITEMS_GROWTH","FQ3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56" s="1" t="e">
        <f ca="1">_xll.BDH($C$353,"DIVIDEND_PER_SHARE_1_YEAR_GROWTH","FQ3 2014","FQ3 2014","Currency=INR","Period=FQ","BEST_FPERIOD_OVERRIDE=FQ","FILING_STATUS=OR","EQY_CONSOLIDATED=Y","Sort=A","Dates=H","DateFormat=P","Fill=—","Direction=H","UseDPDF=Y")</f>
        <v>#NAME?</v>
      </c>
      <c r="Z356" s="1" t="e">
        <f ca="1">_xll.BDH($C$353,"ACCOUNTS_RECEIVABLE_GROWTH","FQ3 2014","FQ3 2014","Currency=INR","Period=FQ","BEST_FPERIOD_OVERRIDE=FQ","FILING_STATUS=OR","EQY_CONSOLIDATED=Y","Sort=A","Dates=H","DateFormat=P","Fill=—","Direction=H","UseDPDF=Y")</f>
        <v>#NAME?</v>
      </c>
      <c r="AA356" s="1" t="e">
        <f ca="1">_xll.BDH($C$353,"INVENTORY_GROWTH","FQ3 2014","FQ3 2014","Currency=INR","Period=FQ","BEST_FPERIOD_OVERRIDE=FQ","FILING_STATUS=OR","EQY_CONSOLIDATED=Y","Sort=A","Dates=H","DateFormat=P","Fill=—","Direction=H","UseDPDF=Y")</f>
        <v>#NAME?</v>
      </c>
      <c r="AB356" s="1" t="e">
        <f ca="1">_xll.BDH($C$353,"NET_FIXED_ASSETS_1_YEAR_GROWTH","FQ3 2014","FQ3 2014","Currency=INR","Period=FQ","BEST_FPERIOD_OVERRIDE=FQ","FILING_STATUS=OR","EQY_CONSOLIDATED=Y","Sort=A","Dates=H","DateFormat=P","Fill=—","Direction=H","UseDPDF=Y")</f>
        <v>#NAME?</v>
      </c>
      <c r="AC356" s="1" t="e">
        <f ca="1">_xll.BDH($C$353,"ASSET_GROWTH","FQ3 2014","FQ3 2014","Currency=INR","Period=FQ","BEST_FPERIOD_OVERRIDE=FQ","FILING_STATUS=OR","EQY_CONSOLIDATED=Y","Sort=A","Dates=H","DateFormat=P","Fill=—","Direction=H","UseDPDF=Y")</f>
        <v>#NAME?</v>
      </c>
      <c r="AD356" s="1" t="e">
        <f ca="1">_xll.BDH($C$353,"MODIFIED_WORK_CAP_GROWTH","FQ3 2014","FQ3 2014","Currency=INR","Period=FQ","BEST_FPERIOD_OVERRIDE=FQ","FILING_STATUS=OR","EQY_CONSOLIDATED=Y","Sort=A","Dates=H","DateFormat=P","Fill=—","Direction=H","UseDPDF=Y")</f>
        <v>#NAME?</v>
      </c>
      <c r="AE356" s="1" t="e">
        <f ca="1">_xll.BDH($C$353,"WORK_CAP_GROWTH","FQ3 2014","FQ3 2014","Currency=INR","Period=FQ","BEST_FPERIOD_OVERRIDE=FQ","FILING_STATUS=OR","EQY_CONSOLIDATED=Y","Sort=A","Dates=H","DateFormat=P","Fill=—","Direction=H","UseDPDF=Y")</f>
        <v>#NAME?</v>
      </c>
      <c r="AF356" s="1" t="e">
        <f ca="1">_xll.BDH($C$353,"ACCOUNTS_PAYABLE_GROWTH_1YR","FQ3 2014","FQ3 2014","Currency=INR","Period=FQ","BEST_FPERIOD_OVERRIDE=FQ","FILING_STATUS=OR","EQY_CONSOLIDATED=Y","Sort=A","Dates=H","DateFormat=P","Fill=—","Direction=H","UseDPDF=Y")</f>
        <v>#NAME?</v>
      </c>
      <c r="AG356" s="1" t="e">
        <f ca="1">_xll.BDH($C$353,"SHORT_TERM_DEBT_1_YEAR_GROWTH","FQ3 2014","FQ3 2014","Currency=INR","Period=FQ","BEST_FPERIOD_OVERRIDE=FQ","FILING_STATUS=OR","EQY_CONSOLIDATED=Y","Sort=A","Dates=H","DateFormat=P","Fill=—","Direction=H","UseDPDF=Y")</f>
        <v>#NAME?</v>
      </c>
      <c r="AH356" s="1" t="e">
        <f ca="1">_xll.BDH($C$353,"TOTAL_DEBT_1_YEAR_GROWTH","FQ3 2014","FQ3 2014","Currency=INR","Period=FQ","BEST_FPERIOD_OVERRIDE=FQ","FILING_STATUS=OR","EQY_CONSOLIDATED=Y","Sort=A","Dates=H","DateFormat=P","Fill=—","Direction=H","UseDPDF=Y")</f>
        <v>#NAME?</v>
      </c>
      <c r="AI356" s="1" t="e">
        <f ca="1">_xll.BDH($C$353,"TOTAL_EQUITY_1_YEAR_GROWTH","FQ3 2014","FQ3 2014","Currency=INR","Period=FQ","BEST_FPERIOD_OVERRIDE=FQ","FILING_STATUS=OR","EQY_CONSOLIDATED=Y","Sort=A","Dates=H","DateFormat=P","Fill=—","Direction=H","UseDPDF=Y")</f>
        <v>#NAME?</v>
      </c>
      <c r="AJ356" s="1" t="e">
        <f ca="1">_xll.BDH($C$353,"GROWTH_IN_CAP","FQ3 2014","FQ3 2014","Currency=INR","Period=FQ","BEST_FPERIOD_OVERRIDE=FQ","FILING_STATUS=OR","EQY_CONSOLIDATED=Y","Sort=A","Dates=H","DateFormat=P","Fill=—","Direction=H","UseDPDF=Y")</f>
        <v>#NAME?</v>
      </c>
      <c r="AK356" s="1" t="e">
        <f ca="1">_xll.BDH($C$353,"BVPS_GROWTH","FQ3 2014","FQ3 2014","Currency=INR","Period=FQ","BEST_FPERIOD_OVERRIDE=FQ","FILING_STATUS=OR","EQY_CONSOLIDATED=Y","Sort=A","Dates=H","DateFormat=P","Fill=—","Direction=H","UseDPDF=Y")</f>
        <v>#NAME?</v>
      </c>
      <c r="AL356" s="1" t="e">
        <f ca="1">_xll.BDH($C$353,"CASH_FLOW_GROWTH","FQ3 2014","FQ3 2014","Currency=INR","Period=FQ","BEST_FPERIOD_OVERRIDE=FQ","FILING_STATUS=OR","EQY_CONSOLIDATED=Y","Sort=A","Dates=H","DateFormat=P","Fill=—","Direction=H","UseDPDF=Y")</f>
        <v>#NAME?</v>
      </c>
      <c r="AM356" s="1" t="e">
        <f ca="1">_xll.BDH($C$353,"GEO_GROW_NET_SALES","FQ3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56" s="1" t="e">
        <f ca="1">_xll.BDH($C$353,"GEO_GROW_EBITDA","FQ3 2014","FQ3 2014","Currency=INR","Period=FQ","BEST_FPERIOD_OVERRIDE=FQ","FILING_STATUS=OR","EQY_CONSOLIDATED=Y","FA_ADJUSTED=GAAP","Sort=A","Dates=H","DateFormat=P","Fill=—","Direction=H","UseDPDF=Y")</f>
        <v>#NAME?</v>
      </c>
      <c r="AO356" s="1" t="e">
        <f ca="1">_xll.BDH($C$353,"GEO_GROW_OPER_INC","FQ3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56" s="1" t="e">
        <f ca="1">_xll.BDH($C$353,"NET_INCOME_TO_COMMON_5_YR_GROWTH","FQ3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56" s="1" t="e">
        <f ca="1">_xll.BDH($C$353,"5Y_GEO_GROWTH_DILUTED_EPS","FQ3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56" s="1" t="e">
        <f ca="1">_xll.BDH($C$353,"GEO_GROW_DVD_PER_SH","FQ3 2014","FQ3 2014","Currency=INR","Period=FQ","BEST_FPERIOD_OVERRIDE=FQ","FILING_STATUS=OR","EQY_CONSOLIDATED=Y","Sort=A","Dates=H","DateFormat=P","Fill=—","Direction=H","UseDPDF=Y")</f>
        <v>#NAME?</v>
      </c>
      <c r="AS356" s="1" t="e">
        <f ca="1">_xll.BDH($C$353,"ACCOUNTS_RECEIVABLE_5_YR_GROWTH","FQ3 2014","FQ3 2014","Currency=INR","Period=FQ","BEST_FPERIOD_OVERRIDE=FQ","FILING_STATUS=OR","EQY_CONSOLIDATED=Y","Sort=A","Dates=H","DateFormat=P","Fill=—","Direction=H","UseDPDF=Y")</f>
        <v>#NAME?</v>
      </c>
      <c r="AT356" s="1" t="e">
        <f ca="1">_xll.BDH($C$353,"INVENTORY_5_YEAR_GROWTH","FQ3 2014","FQ3 2014","Currency=INR","Period=FQ","BEST_FPERIOD_OVERRIDE=FQ","FILING_STATUS=OR","EQY_CONSOLIDATED=Y","Sort=A","Dates=H","DateFormat=P","Fill=—","Direction=H","UseDPDF=Y")</f>
        <v>#NAME?</v>
      </c>
      <c r="AU356" s="1" t="e">
        <f ca="1">_xll.BDH($C$353,"NET_FIXED_ASSETS_5_YEAR_GROWTH","FQ3 2014","FQ3 2014","Currency=INR","Period=FQ","BEST_FPERIOD_OVERRIDE=FQ","FILING_STATUS=OR","EQY_CONSOLIDATED=Y","Sort=A","Dates=H","DateFormat=P","Fill=—","Direction=H","UseDPDF=Y")</f>
        <v>#NAME?</v>
      </c>
      <c r="AV356" s="1" t="e">
        <f ca="1">_xll.BDH($C$353,"GEO_GROW_TOT_ASSET","FQ3 2014","FQ3 2014","Currency=INR","Period=FQ","BEST_FPERIOD_OVERRIDE=FQ","FILING_STATUS=OR","EQY_CONSOLIDATED=Y","Sort=A","Dates=H","DateFormat=P","Fill=—","Direction=H","UseDPDF=Y")</f>
        <v>#NAME?</v>
      </c>
      <c r="AW356" s="1" t="e">
        <f ca="1">_xll.BDH($C$353,"MODIFIED_WORKING_CPTL_5YR_GRWTH","FQ3 2014","FQ3 2014","Currency=INR","Period=FQ","BEST_FPERIOD_OVERRIDE=FQ","FILING_STATUS=OR","EQY_CONSOLIDATED=Y","Sort=A","Dates=H","DateFormat=P","Fill=—","Direction=H","UseDPDF=Y")</f>
        <v>#NAME?</v>
      </c>
      <c r="AX356" s="1" t="e">
        <f ca="1">_xll.BDH($C$353,"WORKING_CAPITAL_5_YEAR_GROWTH","FQ3 2014","FQ3 2014","Currency=INR","Period=FQ","BEST_FPERIOD_OVERRIDE=FQ","FILING_STATUS=OR","EQY_CONSOLIDATED=Y","Sort=A","Dates=H","DateFormat=P","Fill=—","Direction=H","UseDPDF=Y")</f>
        <v>#NAME?</v>
      </c>
      <c r="AY356" s="1" t="e">
        <f ca="1">_xll.BDH($C$353,"ACCOUNTS_PAYABLE_5_YEAR_GROWTH","FQ3 2014","FQ3 2014","Currency=INR","Period=FQ","BEST_FPERIOD_OVERRIDE=FQ","FILING_STATUS=OR","EQY_CONSOLIDATED=Y","Sort=A","Dates=H","DateFormat=P","Fill=—","Direction=H","UseDPDF=Y")</f>
        <v>#NAME?</v>
      </c>
      <c r="AZ356" s="1" t="e">
        <f ca="1">_xll.BDH($C$353,"SHORT_TERM_DEBT_5_YEAR_GROWTH","FQ3 2014","FQ3 2014","Currency=INR","Period=FQ","BEST_FPERIOD_OVERRIDE=FQ","FILING_STATUS=OR","EQY_CONSOLIDATED=Y","Sort=A","Dates=H","DateFormat=P","Fill=—","Direction=H","UseDPDF=Y")</f>
        <v>#NAME?</v>
      </c>
      <c r="BA356" s="1" t="e">
        <f ca="1">_xll.BDH($C$353,"TOTAL_DEBT_5_YEAR_GROWTH","FQ3 2014","FQ3 2014","Currency=INR","Period=FQ","BEST_FPERIOD_OVERRIDE=FQ","FILING_STATUS=OR","EQY_CONSOLIDATED=Y","Sort=A","Dates=H","DateFormat=P","Fill=—","Direction=H","UseDPDF=Y")</f>
        <v>#NAME?</v>
      </c>
      <c r="BB356" s="1" t="e">
        <f ca="1">_xll.BDH($C$353,"GEO_GROW_TOT_SHRHLDR_EQY","FQ3 2014","FQ3 2014","Currency=INR","Period=FQ","BEST_FPERIOD_OVERRIDE=FQ","FILING_STATUS=OR","EQY_CONSOLIDATED=Y","Sort=A","Dates=H","DateFormat=P","Fill=—","Direction=H","UseDPDF=Y")</f>
        <v>#NAME?</v>
      </c>
      <c r="BC356" s="1" t="e">
        <f ca="1">_xll.BDH($C$353,"TOTAL_CAPITAL_5_YEAR_GROWTH","FQ3 2014","FQ3 2014","Currency=INR","Period=FQ","BEST_FPERIOD_OVERRIDE=FQ","FILING_STATUS=OR","EQY_CONSOLIDATED=Y","Sort=A","Dates=H","DateFormat=P","Fill=—","Direction=H","UseDPDF=Y")</f>
        <v>#NAME?</v>
      </c>
      <c r="BD356" s="1" t="e">
        <f ca="1">_xll.BDH($C$353,"GEO_GROW_BOOK_VAL","FQ3 2014","FQ3 2014","Currency=INR","Period=FQ","BEST_FPERIOD_OVERRIDE=FQ","FILING_STATUS=OR","EQY_CONSOLIDATED=Y","Sort=A","Dates=H","DateFormat=P","Fill=—","Direction=H","UseDPDF=Y")</f>
        <v>#NAME?</v>
      </c>
      <c r="BE356" s="1" t="e">
        <f ca="1">_xll.BDH($C$353,"GEO_GROW_CASH_OPER_ACT","FQ3 2014","FQ3 2014","Currency=INR","Period=FQ","BEST_FPERIOD_OVERRIDE=FQ","FILING_STATUS=OR","EQY_CONSOLIDATED=Y","Sort=A","Dates=H","DateFormat=P","Fill=—","Direction=H","UseDPDF=Y")</f>
        <v>#NAME?</v>
      </c>
      <c r="BF356" s="1" t="e">
        <f ca="1">_xll.BDH($C$353,"REVENUE_SEQUENTIAL_GROWTH","FQ3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56" s="1" t="e">
        <f ca="1">_xll.BDH($C$353,"EBITDA_SEQUENTIAL_GROWTH","FQ3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56" s="1" t="e">
        <f ca="1">_xll.BDH($C$353,"OPERATING_INCOME_SEQ_GROWTH","FQ3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56" s="1" t="e">
        <f ca="1">_xll.BDH($C$353,"NET_INCOME_TO_COMMON_SEQ_GROWTH","FQ3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56" s="1" t="e">
        <f ca="1">_xll.BDH($C$353,"EPS_DILUTED_SEQUENTIAL_GROWTH","FQ3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56" s="1" t="e">
        <f ca="1">_xll.BDH($C$353,"DPS_SEQUENTIAL_GROWTH","FQ3 2014","FQ3 2014","Currency=INR","Period=FQ","BEST_FPERIOD_OVERRIDE=FQ","FILING_STATUS=OR","EQY_CONSOLIDATED=Y","Sort=A","Dates=H","DateFormat=P","Fill=—","Direction=H","UseDPDF=Y")</f>
        <v>#NAME?</v>
      </c>
      <c r="BL356" s="1" t="e">
        <f ca="1">_xll.BDH($C$353,"ACCOUNTS_RECEIVABLE_SEQ_GROWTH","FQ3 2014","FQ3 2014","Currency=INR","Period=FQ","BEST_FPERIOD_OVERRIDE=FQ","FILING_STATUS=OR","EQY_CONSOLIDATED=Y","Sort=A","Dates=H","DateFormat=P","Fill=—","Direction=H","UseDPDF=Y")</f>
        <v>#NAME?</v>
      </c>
      <c r="BM356" s="1" t="e">
        <f ca="1">_xll.BDH($C$353,"INVENTORY_SEQUENTIAL_GROWTH","FQ3 2014","FQ3 2014","Currency=INR","Period=FQ","BEST_FPERIOD_OVERRIDE=FQ","FILING_STATUS=OR","EQY_CONSOLIDATED=Y","Sort=A","Dates=H","DateFormat=P","Fill=—","Direction=H","UseDPDF=Y")</f>
        <v>#NAME?</v>
      </c>
      <c r="BN356" s="1" t="e">
        <f ca="1">_xll.BDH($C$353,"FIXED_ASSETS_SEQUENTIAL_GROWTH","FQ3 2014","FQ3 2014","Currency=INR","Period=FQ","BEST_FPERIOD_OVERRIDE=FQ","FILING_STATUS=OR","EQY_CONSOLIDATED=Y","Sort=A","Dates=H","DateFormat=P","Fill=—","Direction=H","UseDPDF=Y")</f>
        <v>#NAME?</v>
      </c>
      <c r="BO356" s="1" t="e">
        <f ca="1">_xll.BDH($C$353,"TOTAL_ASSETS_SEQUENTIAL_GROWTH","FQ3 2014","FQ3 2014","Currency=INR","Period=FQ","BEST_FPERIOD_OVERRIDE=FQ","FILING_STATUS=OR","EQY_CONSOLIDATED=Y","Sort=A","Dates=H","DateFormat=P","Fill=—","Direction=H","UseDPDF=Y")</f>
        <v>#NAME?</v>
      </c>
      <c r="BP356" s="1" t="e">
        <f ca="1">_xll.BDH($C$353,"MODIFIED_WORKING_CPTL_SEQ_GRWTH","FQ3 2014","FQ3 2014","Currency=INR","Period=FQ","BEST_FPERIOD_OVERRIDE=FQ","FILING_STATUS=OR","EQY_CONSOLIDATED=Y","Sort=A","Dates=H","DateFormat=P","Fill=—","Direction=H","UseDPDF=Y")</f>
        <v>#NAME?</v>
      </c>
      <c r="BQ356" s="1" t="e">
        <f ca="1">_xll.BDH($C$353,"WORKING_CAPITAL_SEQ_GROWTH","FQ3 2014","FQ3 2014","Currency=INR","Period=FQ","BEST_FPERIOD_OVERRIDE=FQ","FILING_STATUS=OR","EQY_CONSOLIDATED=Y","Sort=A","Dates=H","DateFormat=P","Fill=—","Direction=H","UseDPDF=Y")</f>
        <v>#NAME?</v>
      </c>
      <c r="BR356" s="1" t="e">
        <f ca="1">_xll.BDH($C$353,"ACCOUNTS_PAYABLE_SEQ_GROWTH","FQ3 2014","FQ3 2014","Currency=INR","Period=FQ","BEST_FPERIOD_OVERRIDE=FQ","FILING_STATUS=OR","EQY_CONSOLIDATED=Y","Sort=A","Dates=H","DateFormat=P","Fill=—","Direction=H","UseDPDF=Y")</f>
        <v>#NAME?</v>
      </c>
      <c r="BS356" s="1" t="e">
        <f ca="1">_xll.BDH($C$353,"ST_DEBT_SEQUENTIAL_GROWTH","FQ3 2014","FQ3 2014","Currency=INR","Period=FQ","BEST_FPERIOD_OVERRIDE=FQ","FILING_STATUS=OR","EQY_CONSOLIDATED=Y","Sort=A","Dates=H","DateFormat=P","Fill=—","Direction=H","UseDPDF=Y")</f>
        <v>#NAME?</v>
      </c>
      <c r="BT356" s="1" t="e">
        <f ca="1">_xll.BDH($C$353,"TOTAL_DEBT_SEQUENTIAL_GROWTH","FQ3 2014","FQ3 2014","Currency=INR","Period=FQ","BEST_FPERIOD_OVERRIDE=FQ","FILING_STATUS=OR","EQY_CONSOLIDATED=Y","Sort=A","Dates=H","DateFormat=P","Fill=—","Direction=H","UseDPDF=Y")</f>
        <v>#NAME?</v>
      </c>
      <c r="BU356" s="1" t="e">
        <f ca="1">_xll.BDH($C$353,"TOTAL_EQUITY_SEQUENTIAL_GROWTH","FQ3 2014","FQ3 2014","Currency=INR","Period=FQ","BEST_FPERIOD_OVERRIDE=FQ","FILING_STATUS=OR","EQY_CONSOLIDATED=Y","Sort=A","Dates=H","DateFormat=P","Fill=—","Direction=H","UseDPDF=Y")</f>
        <v>#NAME?</v>
      </c>
      <c r="BV356" s="1" t="e">
        <f ca="1">_xll.BDH($C$353,"TOTAL_CAPITAL_SEQUENTIAL_GROWTH","FQ3 2014","FQ3 2014","Currency=INR","Period=FQ","BEST_FPERIOD_OVERRIDE=FQ","FILING_STATUS=OR","EQY_CONSOLIDATED=Y","Sort=A","Dates=H","DateFormat=P","Fill=—","Direction=H","UseDPDF=Y")</f>
        <v>#NAME?</v>
      </c>
      <c r="BW356" s="1" t="e">
        <f ca="1">_xll.BDH($C$353,"BPS_SEQUENTIAL_GROWTH","FQ3 2014","FQ3 2014","Currency=INR","Period=FQ","BEST_FPERIOD_OVERRIDE=FQ","FILING_STATUS=OR","EQY_CONSOLIDATED=Y","Sort=A","Dates=H","DateFormat=P","Fill=—","Direction=H","UseDPDF=Y")</f>
        <v>#NAME?</v>
      </c>
      <c r="BX356" s="1" t="e">
        <f ca="1">_xll.BDH($C$353,"CFO_SEQUENTIAL_GROWTH","FQ3 2014","FQ3 2014","Currency=INR","Period=FQ","BEST_FPERIOD_OVERRIDE=FQ","FILING_STATUS=OR","EQY_CONSOLIDATED=Y","Sort=A","Dates=H","DateFormat=P","Fill=—","Direction=H","UseDPDF=Y")</f>
        <v>#NAME?</v>
      </c>
      <c r="BY356" s="2" t="e">
        <f ca="1">_xll.BDH($C$353,"SHORT_AND_LONG_TERM_DEBT","FQ3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56" s="2" t="e">
        <f ca="1">_xll.BDH($C$353,"BS_ST_BORROW","FQ3 2014","FQ3 2014","Currency=INR","Period=FQ","BEST_FPERIOD_OVERRIDE=FQ","FILING_STATUS=OR","EQY_CONSOLIDATED=Y","SCALING_FORMAT=MLN","Sort=A","Dates=H","DateFormat=P","Fill=—","Direction=H","UseDPDF=Y")</f>
        <v>#NAME?</v>
      </c>
      <c r="CA356" s="2" t="e">
        <f ca="1">_xll.BDH($C$353,"BS_LT_BORROW","FQ3 2014","FQ3 2014","Currency=INR","Period=FQ","BEST_FPERIOD_OVERRIDE=FQ","FILING_STATUS=OR","EQY_CONSOLIDATED=Y","SCALING_FORMAT=MLN","Sort=A","Dates=H","DateFormat=P","Fill=—","Direction=H","UseDPDF=Y")</f>
        <v>#NAME?</v>
      </c>
      <c r="CB356" s="1" t="e">
        <f ca="1">_xll.BDH($C$353,"TOT_DEBT_TO_EBITDA","FQ3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56" s="1" t="e">
        <f ca="1">_xll.BDH($C$353,"NET_DEBT_TO_EBITDA","FQ3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56" s="1" t="e">
        <f ca="1">_xll.BDH($C$353,"TOTAL_DEBT_TO_EBIT","FQ3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56" s="1" t="e">
        <f ca="1">_xll.BDH($C$353,"NET_DEBT_TO_EBIT","FQ3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356" s="1" t="e">
        <f ca="1">_xll.BDH($C$353,"EBITDA_TO_INTEREST_EXPN","FQ3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56" s="1" t="e">
        <f ca="1">_xll.BDH($C$353,"COM_EQY_TO_TOT_ASSET","FQ3 2014","FQ3 2014","Currency=INR","Period=FQ","BEST_FPERIOD_OVERRIDE=FQ","FILING_STATUS=OR","EQY_CONSOLIDATED=Y","Sort=A","Dates=H","DateFormat=P","Fill=—","Direction=H","UseDPDF=Y")</f>
        <v>#NAME?</v>
      </c>
      <c r="CH356" s="1" t="e">
        <f ca="1">_xll.BDH($C$353,"LT_DEBT_TO_TOT_EQY","FQ3 2014","FQ3 2014","Currency=INR","Period=FQ","BEST_FPERIOD_OVERRIDE=FQ","FILING_STATUS=OR","EQY_CONSOLIDATED=Y","Sort=A","Dates=H","DateFormat=P","Fill=—","Direction=H","UseDPDF=Y")</f>
        <v>#NAME?</v>
      </c>
      <c r="CI356" s="1" t="e">
        <f ca="1">_xll.BDH($C$353,"LT_DEBT_TO_TOT_CAP","FQ3 2014","FQ3 2014","Currency=INR","Period=FQ","BEST_FPERIOD_OVERRIDE=FQ","FILING_STATUS=OR","EQY_CONSOLIDATED=Y","Sort=A","Dates=H","DateFormat=P","Fill=—","Direction=H","UseDPDF=Y")</f>
        <v>#NAME?</v>
      </c>
      <c r="CJ356" s="1" t="e">
        <f ca="1">_xll.BDH($C$353,"LT_DEBT_TO_TOT_ASSET","FQ3 2014","FQ3 2014","Currency=INR","Period=FQ","BEST_FPERIOD_OVERRIDE=FQ","FILING_STATUS=OR","EQY_CONSOLIDATED=Y","Sort=A","Dates=H","DateFormat=P","Fill=—","Direction=H","UseDPDF=Y")</f>
        <v>#NAME?</v>
      </c>
      <c r="CK356" s="1" t="e">
        <f ca="1">_xll.BDH($C$353,"TOT_DEBT_TO_TOT_EQY","FQ3 2014","FQ3 2014","Currency=INR","Period=FQ","BEST_FPERIOD_OVERRIDE=FQ","FILING_STATUS=OR","EQY_CONSOLIDATED=Y","Sort=A","Dates=H","DateFormat=P","Fill=—","Direction=H","UseDPDF=Y")</f>
        <v>#NAME?</v>
      </c>
      <c r="CL356" s="1" t="e">
        <f ca="1">_xll.BDH($C$353,"TOT_DEBT_TO_TOT_CAP","FQ3 2014","FQ3 2014","Currency=INR","Period=FQ","BEST_FPERIOD_OVERRIDE=FQ","FILING_STATUS=OR","EQY_CONSOLIDATED=Y","Sort=A","Dates=H","DateFormat=P","Fill=—","Direction=H","UseDPDF=Y")</f>
        <v>#NAME?</v>
      </c>
      <c r="CM356" s="1" t="e">
        <f ca="1">_xll.BDH($C$353,"TOT_DEBT_TO_TOT_ASSET","FQ3 2014","FQ3 2014","Currency=INR","Period=FQ","BEST_FPERIOD_OVERRIDE=FQ","FILING_STATUS=OR","EQY_CONSOLIDATED=Y","Sort=A","Dates=H","DateFormat=P","Fill=—","Direction=H","UseDPDF=Y")</f>
        <v>#NAME?</v>
      </c>
      <c r="CN356" s="1" t="e">
        <f ca="1">_xll.BDH($C$353,"NET_DEBT_TO_SHRHLDR_EQTY","FQ3 2014","FQ3 2014","Currency=INR","Period=FQ","BEST_FPERIOD_OVERRIDE=FQ","FILING_STATUS=OR","EQY_CONSOLIDATED=Y","Sort=A","Dates=H","DateFormat=P","Fill=—","Direction=H","UseDPDF=Y")</f>
        <v>#NAME?</v>
      </c>
      <c r="CO356" s="1" t="e">
        <f ca="1">_xll.BDH($C$353,"NET_DEBT_%_CAPITAL","FQ3 2014","FQ3 2014","Currency=INR","Period=FQ","BEST_FPERIOD_OVERRIDE=FQ","FILING_STATUS=OR","EQY_CONSOLIDATED=Y","Sort=A","Dates=H","DateFormat=P","Fill=—","Direction=H","UseDPDF=Y")</f>
        <v>#NAME?</v>
      </c>
      <c r="CP356" s="2" t="e">
        <f ca="1">_xll.BDH($C$353,"EBITDA","FQ3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56" s="2" t="e">
        <f ca="1">_xll.BDH($C$353,"EBITDA_AFTER_CAPEX","FQ3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56" s="2" t="e">
        <f ca="1">_xll.BDH($C$353,"IS_OPER_INC","FQ3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56" s="1" t="e">
        <f ca="1">_xll.BDH($C$353,"CASH_RATIO","FQ3 2014","FQ3 2014","Currency=INR","Period=FQ","BEST_FPERIOD_OVERRIDE=FQ","FILING_STATUS=OR","EQY_CONSOLIDATED=Y","Sort=A","Dates=H","DateFormat=P","Fill=—","Direction=H","UseDPDF=Y")</f>
        <v>#NAME?</v>
      </c>
      <c r="CT356" s="1" t="e">
        <f ca="1">_xll.BDH($C$353,"CUR_RATIO","FQ3 2014","FQ3 2014","Currency=INR","Period=FQ","BEST_FPERIOD_OVERRIDE=FQ","FILING_STATUS=OR","EQY_CONSOLIDATED=Y","Sort=A","Dates=H","DateFormat=P","Fill=—","Direction=H","UseDPDF=Y")</f>
        <v>#NAME?</v>
      </c>
      <c r="CU356" s="1" t="e">
        <f ca="1">_xll.BDH($C$353,"QUICK_RATIO","FQ3 2014","FQ3 2014","Currency=INR","Period=FQ","BEST_FPERIOD_OVERRIDE=FQ","FILING_STATUS=OR","EQY_CONSOLIDATED=Y","Sort=A","Dates=H","DateFormat=P","Fill=—","Direction=H","UseDPDF=Y")</f>
        <v>#NAME?</v>
      </c>
      <c r="CV356" s="1" t="e">
        <f ca="1">_xll.BDH($C$353,"ALTMAN_Z_SCORE","FQ3 2014","FQ3 2014","Currency=INR","Period=FQ","BEST_FPERIOD_OVERRIDE=FQ","FILING_STATUS=OR","EQY_CONSOLIDATED=Y","Sort=A","Dates=H","DateFormat=P","Fill=—","Direction=H","UseDPDF=Y")</f>
        <v>#NAME?</v>
      </c>
      <c r="CW356" s="3" t="e">
        <f ca="1">_xll.BDH($C$353,"ACCT_RCV_TURN","FQ3 2014","FQ3 2014","Currency=INR","Period=FQ","BEST_FPERIOD_OVERRIDE=FQ","FILING_STATUS=OR","EQY_CONSOLIDATED=Y","FA_ADJUSTED=GAAP","Sort=A","Dates=H","DateFormat=P","Fill=—","Direction=H","UseDPDF=Y")</f>
        <v>#NAME?</v>
      </c>
      <c r="CX356" s="1" t="e">
        <f ca="1">_xll.BDH($C$353,"ACCT_RCV_DAYS","FQ3 2014","FQ3 2014","Currency=INR","Period=FQ","BEST_FPERIOD_OVERRIDE=FQ","FILING_STATUS=OR","EQY_CONSOLIDATED=Y","FA_ADJUSTED=GAAP","Sort=A","Dates=H","DateFormat=P","Fill=—","Direction=H","UseDPDF=Y")</f>
        <v>#NAME?</v>
      </c>
      <c r="CY356" s="3" t="e">
        <f ca="1">_xll.BDH($C$353,"INVENT_TURN","FQ3 2014","FQ3 2014","Currency=INR","Period=FQ","BEST_FPERIOD_OVERRIDE=FQ","FILING_STATUS=OR","EQY_CONSOLIDATED=Y","FA_ADJUSTED=GAAP","Sort=A","Dates=H","DateFormat=P","Fill=—","Direction=H","UseDPDF=Y")</f>
        <v>#NAME?</v>
      </c>
      <c r="CZ356" s="1" t="e">
        <f ca="1">_xll.BDH($C$353,"INVENT_DAYS","FQ3 2014","FQ3 2014","Currency=INR","Period=FQ","BEST_FPERIOD_OVERRIDE=FQ","FILING_STATUS=OR","EQY_CONSOLIDATED=Y","FA_ADJUSTED=GAAP","Sort=A","Dates=H","DateFormat=P","Fill=—","Direction=H","UseDPDF=Y")</f>
        <v>#NAME?</v>
      </c>
      <c r="DA356" s="3" t="e">
        <f ca="1">_xll.BDH($C$353,"ACCOUNTS_PAYABLE_TURNOVER","FQ3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56" s="1" t="e">
        <f ca="1">_xll.BDH($C$353,"ACCOUNTS_PAYABLE_TURNOVER_DAYS","FQ3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56" s="3" t="e">
        <f ca="1">_xll.BDH($C$353,"CASH_CONVERSION_CYCLE","FQ3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56" s="3" t="e">
        <f ca="1">_xll.BDH($C$353,"INV_TO_CASH_DAYS","FQ3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356" s="4" t="e">
        <f ca="1">_xll.BDH($C$353,"BS_INVENTORIES","FQ3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356" s="2" t="e">
        <f ca="1">_xll.BDH($C$353,"INVTRY_RAW_MATERIALS","FQ3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56" s="2" t="e">
        <f ca="1">_xll.BDH($C$353,"INVTRY_IN_PROGRESS","FQ3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56" s="2" t="e">
        <f ca="1">_xll.BDH($C$353,"INVTRY_FINISHED_GOODS","FQ3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56" s="2" t="e">
        <f ca="1">_xll.BDH($C$353,"BS_OTHER_INV","FQ3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57" spans="1:113" x14ac:dyDescent="0.3">
      <c r="A357" s="6"/>
      <c r="B357" s="6"/>
      <c r="C357" s="6"/>
      <c r="D357" s="6"/>
      <c r="E357" t="s">
        <v>7</v>
      </c>
      <c r="F357" t="e">
        <f ca="1">_xll.BDH($C$353,"RETURN_COM_EQY","FQ4 2014","FQ4 2014","Currency=INR","Period=FQ","BEST_FPERIOD_OVERRIDE=FQ","FILING_STATUS=OR","EQY_CONSOLIDATED=Y","FA_ADJUSTED=GAAP","Sort=A","Dates=H","DateFormat=P","Fill=—","Direction=H","UseDPDF=Y")</f>
        <v>#NAME?</v>
      </c>
      <c r="G357" t="e">
        <f ca="1">_xll.BDH($C$353,"RETURN_ON_ASSET","FQ4 2014","FQ4 2014","Currency=INR","Period=FQ","BEST_FPERIOD_OVERRIDE=FQ","FILING_STATUS=OR","EQY_CONSOLIDATED=Y","FA_ADJUSTED=GAAP","Sort=A","Dates=H","DateFormat=P","Fill=—","Direction=H","UseDPDF=Y")</f>
        <v>#NAME?</v>
      </c>
      <c r="H357" t="e">
        <f ca="1">_xll.BDH($C$353,"RETURN_ON_CAP","FQ4 2014","FQ4 2014","Currency=INR","Period=FQ","BEST_FPERIOD_OVERRIDE=FQ","FILING_STATUS=OR","EQY_CONSOLIDATED=Y","FA_ADJUSTED=GAAP","Sort=A","Dates=H","DateFormat=P","Fill=—","Direction=H","UseDPDF=Y")</f>
        <v>#NAME?</v>
      </c>
      <c r="I357" t="e">
        <f ca="1">_xll.BDH($C$353,"RETURN_ON_INV_CAPITAL","FQ4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57" t="e">
        <f ca="1">_xll.BDH($C$353,"EBITDA_TO_REVENUE","FQ4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357" t="e">
        <f ca="1">_xll.BDH($C$353,"OPER_MARGIN","FQ4 2014","FQ4 2014","Currency=INR","Period=FQ","BEST_FPERIOD_OVERRIDE=FQ","FILING_STATUS=OR","EQY_CONSOLIDATED=Y","FA_ADJUSTED=GAAP","Sort=A","Dates=H","DateFormat=P","Fill=—","Direction=H","UseDPDF=Y")</f>
        <v>#NAME?</v>
      </c>
      <c r="L357" t="e">
        <f ca="1">_xll.BDH($C$353,"INCREMENTAL_OPERATING_MARGIN","FQ4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57" t="e">
        <f ca="1">_xll.BDH($C$353,"PRETAX_INC_TO_NET_SALES","FQ4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57" t="e">
        <f ca="1">_xll.BDH($C$353,"INC_BEF_XO_ITEMS_TO_NET_SALES","FQ4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57" t="e">
        <f ca="1">_xll.BDH($C$353,"PROF_MARGIN","FQ4 2014","FQ4 2014","Currency=INR","Period=FQ","BEST_FPERIOD_OVERRIDE=FQ","FILING_STATUS=OR","EQY_CONSOLIDATED=Y","FA_ADJUSTED=GAAP","Sort=A","Dates=H","DateFormat=P","Fill=—","Direction=H","UseDPDF=Y")</f>
        <v>#NAME?</v>
      </c>
      <c r="P357" t="e">
        <f ca="1">_xll.BDH($C$353,"NET_INCOME_TO_COMMON_MARGIN","FQ4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57" t="e">
        <f ca="1">_xll.BDH($C$353,"EFF_TAX_RATE","FQ4 2014","FQ4 2014","Currency=INR","Period=FQ","BEST_FPERIOD_OVERRIDE=FQ","FILING_STATUS=OR","EQY_CONSOLIDATED=Y","FA_ADJUSTED=GAAP","Sort=A","Dates=H","DateFormat=P","Fill=—","Direction=H","UseDPDF=Y")</f>
        <v>#NAME?</v>
      </c>
      <c r="R357" t="e">
        <f ca="1">_xll.BDH($C$353,"DVD_PAYOUT_RATIO","FQ4 2014","FQ4 2014","Currency=INR","Period=FQ","BEST_FPERIOD_OVERRIDE=FQ","FILING_STATUS=OR","EQY_CONSOLIDATED=Y","FA_ADJUSTED=GAAP","Sort=A","Dates=H","DateFormat=P","Fill=—","Direction=H","UseDPDF=Y")</f>
        <v>#NAME?</v>
      </c>
      <c r="S357" t="e">
        <f ca="1">_xll.BDH($C$353,"SUSTAIN_GROWTH_RT","FQ4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357" s="1" t="e">
        <f ca="1">_xll.BDH($C$353,"SALES_GROWTH","FQ4 2014","FQ4 2014","Currency=INR","Period=FQ","BEST_FPERIOD_OVERRIDE=FQ","FILING_STATUS=OR","EQY_CONSOLIDATED=Y","FA_ADJUSTED=GAAP","Sort=A","Dates=H","DateFormat=P","Fill=—","Direction=H","UseDPDF=Y")</f>
        <v>#NAME?</v>
      </c>
      <c r="U357" s="1" t="e">
        <f ca="1">_xll.BDH($C$353,"EBITDA_GROWTH","FQ4 2014","FQ4 2014","Currency=INR","Period=FQ","BEST_FPERIOD_OVERRIDE=FQ","FILING_STATUS=OR","EQY_CONSOLIDATED=Y","FA_ADJUSTED=GAAP","Sort=A","Dates=H","DateFormat=P","Fill=—","Direction=H","UseDPDF=Y")</f>
        <v>#NAME?</v>
      </c>
      <c r="V357" s="1" t="e">
        <f ca="1">_xll.BDH($C$353,"OPER_INC_GROWTH","FQ4 2014","FQ4 2014","Currency=INR","Period=FQ","BEST_FPERIOD_OVERRIDE=FQ","FILING_STATUS=OR","EQY_CONSOLIDATED=Y","FA_ADJUSTED=GAAP","Sort=A","Dates=H","DateFormat=P","Fill=—","Direction=H","UseDPDF=Y")</f>
        <v>#NAME?</v>
      </c>
      <c r="W357" s="1" t="e">
        <f ca="1">_xll.BDH($C$353,"EARN_FOR_COM_GROWTH","FQ4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57" s="1" t="e">
        <f ca="1">_xll.BDH($C$353,"DILUTED_EPS_AFT_XO_ITEMS_GROWTH","FQ4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57" s="1" t="e">
        <f ca="1">_xll.BDH($C$353,"DIVIDEND_PER_SHARE_1_YEAR_GROWTH","FQ4 2014","FQ4 2014","Currency=INR","Period=FQ","BEST_FPERIOD_OVERRIDE=FQ","FILING_STATUS=OR","EQY_CONSOLIDATED=Y","Sort=A","Dates=H","DateFormat=P","Fill=—","Direction=H","UseDPDF=Y")</f>
        <v>#NAME?</v>
      </c>
      <c r="Z357" s="1" t="e">
        <f ca="1">_xll.BDH($C$353,"ACCOUNTS_RECEIVABLE_GROWTH","FQ4 2014","FQ4 2014","Currency=INR","Period=FQ","BEST_FPERIOD_OVERRIDE=FQ","FILING_STATUS=OR","EQY_CONSOLIDATED=Y","Sort=A","Dates=H","DateFormat=P","Fill=—","Direction=H","UseDPDF=Y")</f>
        <v>#NAME?</v>
      </c>
      <c r="AA357" s="1" t="e">
        <f ca="1">_xll.BDH($C$353,"INVENTORY_GROWTH","FQ4 2014","FQ4 2014","Currency=INR","Period=FQ","BEST_FPERIOD_OVERRIDE=FQ","FILING_STATUS=OR","EQY_CONSOLIDATED=Y","Sort=A","Dates=H","DateFormat=P","Fill=—","Direction=H","UseDPDF=Y")</f>
        <v>#NAME?</v>
      </c>
      <c r="AB357" s="1" t="e">
        <f ca="1">_xll.BDH($C$353,"NET_FIXED_ASSETS_1_YEAR_GROWTH","FQ4 2014","FQ4 2014","Currency=INR","Period=FQ","BEST_FPERIOD_OVERRIDE=FQ","FILING_STATUS=OR","EQY_CONSOLIDATED=Y","Sort=A","Dates=H","DateFormat=P","Fill=—","Direction=H","UseDPDF=Y")</f>
        <v>#NAME?</v>
      </c>
      <c r="AC357" s="1" t="e">
        <f ca="1">_xll.BDH($C$353,"ASSET_GROWTH","FQ4 2014","FQ4 2014","Currency=INR","Period=FQ","BEST_FPERIOD_OVERRIDE=FQ","FILING_STATUS=OR","EQY_CONSOLIDATED=Y","Sort=A","Dates=H","DateFormat=P","Fill=—","Direction=H","UseDPDF=Y")</f>
        <v>#NAME?</v>
      </c>
      <c r="AD357" s="1" t="e">
        <f ca="1">_xll.BDH($C$353,"MODIFIED_WORK_CAP_GROWTH","FQ4 2014","FQ4 2014","Currency=INR","Period=FQ","BEST_FPERIOD_OVERRIDE=FQ","FILING_STATUS=OR","EQY_CONSOLIDATED=Y","Sort=A","Dates=H","DateFormat=P","Fill=—","Direction=H","UseDPDF=Y")</f>
        <v>#NAME?</v>
      </c>
      <c r="AE357" s="1" t="e">
        <f ca="1">_xll.BDH($C$353,"WORK_CAP_GROWTH","FQ4 2014","FQ4 2014","Currency=INR","Period=FQ","BEST_FPERIOD_OVERRIDE=FQ","FILING_STATUS=OR","EQY_CONSOLIDATED=Y","Sort=A","Dates=H","DateFormat=P","Fill=—","Direction=H","UseDPDF=Y")</f>
        <v>#NAME?</v>
      </c>
      <c r="AF357" s="1" t="e">
        <f ca="1">_xll.BDH($C$353,"ACCOUNTS_PAYABLE_GROWTH_1YR","FQ4 2014","FQ4 2014","Currency=INR","Period=FQ","BEST_FPERIOD_OVERRIDE=FQ","FILING_STATUS=OR","EQY_CONSOLIDATED=Y","Sort=A","Dates=H","DateFormat=P","Fill=—","Direction=H","UseDPDF=Y")</f>
        <v>#NAME?</v>
      </c>
      <c r="AG357" s="1" t="e">
        <f ca="1">_xll.BDH($C$353,"SHORT_TERM_DEBT_1_YEAR_GROWTH","FQ4 2014","FQ4 2014","Currency=INR","Period=FQ","BEST_FPERIOD_OVERRIDE=FQ","FILING_STATUS=OR","EQY_CONSOLIDATED=Y","Sort=A","Dates=H","DateFormat=P","Fill=—","Direction=H","UseDPDF=Y")</f>
        <v>#NAME?</v>
      </c>
      <c r="AH357" s="1" t="e">
        <f ca="1">_xll.BDH($C$353,"TOTAL_DEBT_1_YEAR_GROWTH","FQ4 2014","FQ4 2014","Currency=INR","Period=FQ","BEST_FPERIOD_OVERRIDE=FQ","FILING_STATUS=OR","EQY_CONSOLIDATED=Y","Sort=A","Dates=H","DateFormat=P","Fill=—","Direction=H","UseDPDF=Y")</f>
        <v>#NAME?</v>
      </c>
      <c r="AI357" s="1" t="e">
        <f ca="1">_xll.BDH($C$353,"TOTAL_EQUITY_1_YEAR_GROWTH","FQ4 2014","FQ4 2014","Currency=INR","Period=FQ","BEST_FPERIOD_OVERRIDE=FQ","FILING_STATUS=OR","EQY_CONSOLIDATED=Y","Sort=A","Dates=H","DateFormat=P","Fill=—","Direction=H","UseDPDF=Y")</f>
        <v>#NAME?</v>
      </c>
      <c r="AJ357" s="1" t="e">
        <f ca="1">_xll.BDH($C$353,"GROWTH_IN_CAP","FQ4 2014","FQ4 2014","Currency=INR","Period=FQ","BEST_FPERIOD_OVERRIDE=FQ","FILING_STATUS=OR","EQY_CONSOLIDATED=Y","Sort=A","Dates=H","DateFormat=P","Fill=—","Direction=H","UseDPDF=Y")</f>
        <v>#NAME?</v>
      </c>
      <c r="AK357" s="1" t="e">
        <f ca="1">_xll.BDH($C$353,"BVPS_GROWTH","FQ4 2014","FQ4 2014","Currency=INR","Period=FQ","BEST_FPERIOD_OVERRIDE=FQ","FILING_STATUS=OR","EQY_CONSOLIDATED=Y","Sort=A","Dates=H","DateFormat=P","Fill=—","Direction=H","UseDPDF=Y")</f>
        <v>#NAME?</v>
      </c>
      <c r="AL357" s="1" t="e">
        <f ca="1">_xll.BDH($C$353,"CASH_FLOW_GROWTH","FQ4 2014","FQ4 2014","Currency=INR","Period=FQ","BEST_FPERIOD_OVERRIDE=FQ","FILING_STATUS=OR","EQY_CONSOLIDATED=Y","Sort=A","Dates=H","DateFormat=P","Fill=—","Direction=H","UseDPDF=Y")</f>
        <v>#NAME?</v>
      </c>
      <c r="AM357" s="1" t="e">
        <f ca="1">_xll.BDH($C$353,"GEO_GROW_NET_SALES","FQ4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57" s="1" t="e">
        <f ca="1">_xll.BDH($C$353,"GEO_GROW_EBITDA","FQ4 2014","FQ4 2014","Currency=INR","Period=FQ","BEST_FPERIOD_OVERRIDE=FQ","FILING_STATUS=OR","EQY_CONSOLIDATED=Y","FA_ADJUSTED=GAAP","Sort=A","Dates=H","DateFormat=P","Fill=—","Direction=H","UseDPDF=Y")</f>
        <v>#NAME?</v>
      </c>
      <c r="AO357" s="1" t="e">
        <f ca="1">_xll.BDH($C$353,"GEO_GROW_OPER_INC","FQ4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57" s="1" t="e">
        <f ca="1">_xll.BDH($C$353,"NET_INCOME_TO_COMMON_5_YR_GROWTH","FQ4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57" s="1" t="e">
        <f ca="1">_xll.BDH($C$353,"5Y_GEO_GROWTH_DILUTED_EPS","FQ4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57" s="1" t="e">
        <f ca="1">_xll.BDH($C$353,"GEO_GROW_DVD_PER_SH","FQ4 2014","FQ4 2014","Currency=INR","Period=FQ","BEST_FPERIOD_OVERRIDE=FQ","FILING_STATUS=OR","EQY_CONSOLIDATED=Y","Sort=A","Dates=H","DateFormat=P","Fill=—","Direction=H","UseDPDF=Y")</f>
        <v>#NAME?</v>
      </c>
      <c r="AS357" s="1" t="e">
        <f ca="1">_xll.BDH($C$353,"ACCOUNTS_RECEIVABLE_5_YR_GROWTH","FQ4 2014","FQ4 2014","Currency=INR","Period=FQ","BEST_FPERIOD_OVERRIDE=FQ","FILING_STATUS=OR","EQY_CONSOLIDATED=Y","Sort=A","Dates=H","DateFormat=P","Fill=—","Direction=H","UseDPDF=Y")</f>
        <v>#NAME?</v>
      </c>
      <c r="AT357" s="1" t="e">
        <f ca="1">_xll.BDH($C$353,"INVENTORY_5_YEAR_GROWTH","FQ4 2014","FQ4 2014","Currency=INR","Period=FQ","BEST_FPERIOD_OVERRIDE=FQ","FILING_STATUS=OR","EQY_CONSOLIDATED=Y","Sort=A","Dates=H","DateFormat=P","Fill=—","Direction=H","UseDPDF=Y")</f>
        <v>#NAME?</v>
      </c>
      <c r="AU357" s="1" t="e">
        <f ca="1">_xll.BDH($C$353,"NET_FIXED_ASSETS_5_YEAR_GROWTH","FQ4 2014","FQ4 2014","Currency=INR","Period=FQ","BEST_FPERIOD_OVERRIDE=FQ","FILING_STATUS=OR","EQY_CONSOLIDATED=Y","Sort=A","Dates=H","DateFormat=P","Fill=—","Direction=H","UseDPDF=Y")</f>
        <v>#NAME?</v>
      </c>
      <c r="AV357" s="1" t="e">
        <f ca="1">_xll.BDH($C$353,"GEO_GROW_TOT_ASSET","FQ4 2014","FQ4 2014","Currency=INR","Period=FQ","BEST_FPERIOD_OVERRIDE=FQ","FILING_STATUS=OR","EQY_CONSOLIDATED=Y","Sort=A","Dates=H","DateFormat=P","Fill=—","Direction=H","UseDPDF=Y")</f>
        <v>#NAME?</v>
      </c>
      <c r="AW357" s="1" t="e">
        <f ca="1">_xll.BDH($C$353,"MODIFIED_WORKING_CPTL_5YR_GRWTH","FQ4 2014","FQ4 2014","Currency=INR","Period=FQ","BEST_FPERIOD_OVERRIDE=FQ","FILING_STATUS=OR","EQY_CONSOLIDATED=Y","Sort=A","Dates=H","DateFormat=P","Fill=—","Direction=H","UseDPDF=Y")</f>
        <v>#NAME?</v>
      </c>
      <c r="AX357" s="1" t="e">
        <f ca="1">_xll.BDH($C$353,"WORKING_CAPITAL_5_YEAR_GROWTH","FQ4 2014","FQ4 2014","Currency=INR","Period=FQ","BEST_FPERIOD_OVERRIDE=FQ","FILING_STATUS=OR","EQY_CONSOLIDATED=Y","Sort=A","Dates=H","DateFormat=P","Fill=—","Direction=H","UseDPDF=Y")</f>
        <v>#NAME?</v>
      </c>
      <c r="AY357" s="1" t="e">
        <f ca="1">_xll.BDH($C$353,"ACCOUNTS_PAYABLE_5_YEAR_GROWTH","FQ4 2014","FQ4 2014","Currency=INR","Period=FQ","BEST_FPERIOD_OVERRIDE=FQ","FILING_STATUS=OR","EQY_CONSOLIDATED=Y","Sort=A","Dates=H","DateFormat=P","Fill=—","Direction=H","UseDPDF=Y")</f>
        <v>#NAME?</v>
      </c>
      <c r="AZ357" s="1" t="e">
        <f ca="1">_xll.BDH($C$353,"SHORT_TERM_DEBT_5_YEAR_GROWTH","FQ4 2014","FQ4 2014","Currency=INR","Period=FQ","BEST_FPERIOD_OVERRIDE=FQ","FILING_STATUS=OR","EQY_CONSOLIDATED=Y","Sort=A","Dates=H","DateFormat=P","Fill=—","Direction=H","UseDPDF=Y")</f>
        <v>#NAME?</v>
      </c>
      <c r="BA357" s="1" t="e">
        <f ca="1">_xll.BDH($C$353,"TOTAL_DEBT_5_YEAR_GROWTH","FQ4 2014","FQ4 2014","Currency=INR","Period=FQ","BEST_FPERIOD_OVERRIDE=FQ","FILING_STATUS=OR","EQY_CONSOLIDATED=Y","Sort=A","Dates=H","DateFormat=P","Fill=—","Direction=H","UseDPDF=Y")</f>
        <v>#NAME?</v>
      </c>
      <c r="BB357" s="1" t="e">
        <f ca="1">_xll.BDH($C$353,"GEO_GROW_TOT_SHRHLDR_EQY","FQ4 2014","FQ4 2014","Currency=INR","Period=FQ","BEST_FPERIOD_OVERRIDE=FQ","FILING_STATUS=OR","EQY_CONSOLIDATED=Y","Sort=A","Dates=H","DateFormat=P","Fill=—","Direction=H","UseDPDF=Y")</f>
        <v>#NAME?</v>
      </c>
      <c r="BC357" s="1" t="e">
        <f ca="1">_xll.BDH($C$353,"TOTAL_CAPITAL_5_YEAR_GROWTH","FQ4 2014","FQ4 2014","Currency=INR","Period=FQ","BEST_FPERIOD_OVERRIDE=FQ","FILING_STATUS=OR","EQY_CONSOLIDATED=Y","Sort=A","Dates=H","DateFormat=P","Fill=—","Direction=H","UseDPDF=Y")</f>
        <v>#NAME?</v>
      </c>
      <c r="BD357" s="1" t="e">
        <f ca="1">_xll.BDH($C$353,"GEO_GROW_BOOK_VAL","FQ4 2014","FQ4 2014","Currency=INR","Period=FQ","BEST_FPERIOD_OVERRIDE=FQ","FILING_STATUS=OR","EQY_CONSOLIDATED=Y","Sort=A","Dates=H","DateFormat=P","Fill=—","Direction=H","UseDPDF=Y")</f>
        <v>#NAME?</v>
      </c>
      <c r="BE357" s="1" t="e">
        <f ca="1">_xll.BDH($C$353,"GEO_GROW_CASH_OPER_ACT","FQ4 2014","FQ4 2014","Currency=INR","Period=FQ","BEST_FPERIOD_OVERRIDE=FQ","FILING_STATUS=OR","EQY_CONSOLIDATED=Y","Sort=A","Dates=H","DateFormat=P","Fill=—","Direction=H","UseDPDF=Y")</f>
        <v>#NAME?</v>
      </c>
      <c r="BF357" s="1" t="e">
        <f ca="1">_xll.BDH($C$353,"REVENUE_SEQUENTIAL_GROWTH","FQ4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57" s="1" t="e">
        <f ca="1">_xll.BDH($C$353,"EBITDA_SEQUENTIAL_GROWTH","FQ4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57" s="1" t="e">
        <f ca="1">_xll.BDH($C$353,"OPERATING_INCOME_SEQ_GROWTH","FQ4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57" s="1" t="e">
        <f ca="1">_xll.BDH($C$353,"NET_INCOME_TO_COMMON_SEQ_GROWTH","FQ4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57" s="1" t="e">
        <f ca="1">_xll.BDH($C$353,"EPS_DILUTED_SEQUENTIAL_GROWTH","FQ4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57" s="1" t="e">
        <f ca="1">_xll.BDH($C$353,"DPS_SEQUENTIAL_GROWTH","FQ4 2014","FQ4 2014","Currency=INR","Period=FQ","BEST_FPERIOD_OVERRIDE=FQ","FILING_STATUS=OR","EQY_CONSOLIDATED=Y","Sort=A","Dates=H","DateFormat=P","Fill=—","Direction=H","UseDPDF=Y")</f>
        <v>#NAME?</v>
      </c>
      <c r="BL357" s="1" t="e">
        <f ca="1">_xll.BDH($C$353,"ACCOUNTS_RECEIVABLE_SEQ_GROWTH","FQ4 2014","FQ4 2014","Currency=INR","Period=FQ","BEST_FPERIOD_OVERRIDE=FQ","FILING_STATUS=OR","EQY_CONSOLIDATED=Y","Sort=A","Dates=H","DateFormat=P","Fill=—","Direction=H","UseDPDF=Y")</f>
        <v>#NAME?</v>
      </c>
      <c r="BM357" s="1" t="e">
        <f ca="1">_xll.BDH($C$353,"INVENTORY_SEQUENTIAL_GROWTH","FQ4 2014","FQ4 2014","Currency=INR","Period=FQ","BEST_FPERIOD_OVERRIDE=FQ","FILING_STATUS=OR","EQY_CONSOLIDATED=Y","Sort=A","Dates=H","DateFormat=P","Fill=—","Direction=H","UseDPDF=Y")</f>
        <v>#NAME?</v>
      </c>
      <c r="BN357" s="1" t="e">
        <f ca="1">_xll.BDH($C$353,"FIXED_ASSETS_SEQUENTIAL_GROWTH","FQ4 2014","FQ4 2014","Currency=INR","Period=FQ","BEST_FPERIOD_OVERRIDE=FQ","FILING_STATUS=OR","EQY_CONSOLIDATED=Y","Sort=A","Dates=H","DateFormat=P","Fill=—","Direction=H","UseDPDF=Y")</f>
        <v>#NAME?</v>
      </c>
      <c r="BO357" s="1" t="e">
        <f ca="1">_xll.BDH($C$353,"TOTAL_ASSETS_SEQUENTIAL_GROWTH","FQ4 2014","FQ4 2014","Currency=INR","Period=FQ","BEST_FPERIOD_OVERRIDE=FQ","FILING_STATUS=OR","EQY_CONSOLIDATED=Y","Sort=A","Dates=H","DateFormat=P","Fill=—","Direction=H","UseDPDF=Y")</f>
        <v>#NAME?</v>
      </c>
      <c r="BP357" s="1" t="e">
        <f ca="1">_xll.BDH($C$353,"MODIFIED_WORKING_CPTL_SEQ_GRWTH","FQ4 2014","FQ4 2014","Currency=INR","Period=FQ","BEST_FPERIOD_OVERRIDE=FQ","FILING_STATUS=OR","EQY_CONSOLIDATED=Y","Sort=A","Dates=H","DateFormat=P","Fill=—","Direction=H","UseDPDF=Y")</f>
        <v>#NAME?</v>
      </c>
      <c r="BQ357" s="1" t="e">
        <f ca="1">_xll.BDH($C$353,"WORKING_CAPITAL_SEQ_GROWTH","FQ4 2014","FQ4 2014","Currency=INR","Period=FQ","BEST_FPERIOD_OVERRIDE=FQ","FILING_STATUS=OR","EQY_CONSOLIDATED=Y","Sort=A","Dates=H","DateFormat=P","Fill=—","Direction=H","UseDPDF=Y")</f>
        <v>#NAME?</v>
      </c>
      <c r="BR357" s="1" t="e">
        <f ca="1">_xll.BDH($C$353,"ACCOUNTS_PAYABLE_SEQ_GROWTH","FQ4 2014","FQ4 2014","Currency=INR","Period=FQ","BEST_FPERIOD_OVERRIDE=FQ","FILING_STATUS=OR","EQY_CONSOLIDATED=Y","Sort=A","Dates=H","DateFormat=P","Fill=—","Direction=H","UseDPDF=Y")</f>
        <v>#NAME?</v>
      </c>
      <c r="BS357" s="1" t="e">
        <f ca="1">_xll.BDH($C$353,"ST_DEBT_SEQUENTIAL_GROWTH","FQ4 2014","FQ4 2014","Currency=INR","Period=FQ","BEST_FPERIOD_OVERRIDE=FQ","FILING_STATUS=OR","EQY_CONSOLIDATED=Y","Sort=A","Dates=H","DateFormat=P","Fill=—","Direction=H","UseDPDF=Y")</f>
        <v>#NAME?</v>
      </c>
      <c r="BT357" s="1" t="e">
        <f ca="1">_xll.BDH($C$353,"TOTAL_DEBT_SEQUENTIAL_GROWTH","FQ4 2014","FQ4 2014","Currency=INR","Period=FQ","BEST_FPERIOD_OVERRIDE=FQ","FILING_STATUS=OR","EQY_CONSOLIDATED=Y","Sort=A","Dates=H","DateFormat=P","Fill=—","Direction=H","UseDPDF=Y")</f>
        <v>#NAME?</v>
      </c>
      <c r="BU357" s="1" t="e">
        <f ca="1">_xll.BDH($C$353,"TOTAL_EQUITY_SEQUENTIAL_GROWTH","FQ4 2014","FQ4 2014","Currency=INR","Period=FQ","BEST_FPERIOD_OVERRIDE=FQ","FILING_STATUS=OR","EQY_CONSOLIDATED=Y","Sort=A","Dates=H","DateFormat=P","Fill=—","Direction=H","UseDPDF=Y")</f>
        <v>#NAME?</v>
      </c>
      <c r="BV357" s="1" t="e">
        <f ca="1">_xll.BDH($C$353,"TOTAL_CAPITAL_SEQUENTIAL_GROWTH","FQ4 2014","FQ4 2014","Currency=INR","Period=FQ","BEST_FPERIOD_OVERRIDE=FQ","FILING_STATUS=OR","EQY_CONSOLIDATED=Y","Sort=A","Dates=H","DateFormat=P","Fill=—","Direction=H","UseDPDF=Y")</f>
        <v>#NAME?</v>
      </c>
      <c r="BW357" s="1" t="e">
        <f ca="1">_xll.BDH($C$353,"BPS_SEQUENTIAL_GROWTH","FQ4 2014","FQ4 2014","Currency=INR","Period=FQ","BEST_FPERIOD_OVERRIDE=FQ","FILING_STATUS=OR","EQY_CONSOLIDATED=Y","Sort=A","Dates=H","DateFormat=P","Fill=—","Direction=H","UseDPDF=Y")</f>
        <v>#NAME?</v>
      </c>
      <c r="BX357" s="1" t="e">
        <f ca="1">_xll.BDH($C$353,"CFO_SEQUENTIAL_GROWTH","FQ4 2014","FQ4 2014","Currency=INR","Period=FQ","BEST_FPERIOD_OVERRIDE=FQ","FILING_STATUS=OR","EQY_CONSOLIDATED=Y","Sort=A","Dates=H","DateFormat=P","Fill=—","Direction=H","UseDPDF=Y")</f>
        <v>#NAME?</v>
      </c>
      <c r="BY357" s="2" t="e">
        <f ca="1">_xll.BDH($C$353,"SHORT_AND_LONG_TERM_DEBT","FQ4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57" s="2" t="e">
        <f ca="1">_xll.BDH($C$353,"BS_ST_BORROW","FQ4 2014","FQ4 2014","Currency=INR","Period=FQ","BEST_FPERIOD_OVERRIDE=FQ","FILING_STATUS=OR","EQY_CONSOLIDATED=Y","SCALING_FORMAT=MLN","Sort=A","Dates=H","DateFormat=P","Fill=—","Direction=H","UseDPDF=Y")</f>
        <v>#NAME?</v>
      </c>
      <c r="CA357" s="2" t="e">
        <f ca="1">_xll.BDH($C$353,"BS_LT_BORROW","FQ4 2014","FQ4 2014","Currency=INR","Period=FQ","BEST_FPERIOD_OVERRIDE=FQ","FILING_STATUS=OR","EQY_CONSOLIDATED=Y","SCALING_FORMAT=MLN","Sort=A","Dates=H","DateFormat=P","Fill=—","Direction=H","UseDPDF=Y")</f>
        <v>#NAME?</v>
      </c>
      <c r="CB357" s="1" t="e">
        <f ca="1">_xll.BDH($C$353,"TOT_DEBT_TO_EBITDA","FQ4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57" s="1" t="e">
        <f ca="1">_xll.BDH($C$353,"NET_DEBT_TO_EBITDA","FQ4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57" s="1" t="e">
        <f ca="1">_xll.BDH($C$353,"TOTAL_DEBT_TO_EBIT","FQ4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57" s="1" t="e">
        <f ca="1">_xll.BDH($C$353,"NET_DEBT_TO_EBIT","FQ4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357" s="1" t="e">
        <f ca="1">_xll.BDH($C$353,"EBITDA_TO_INTEREST_EXPN","FQ4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57" s="1" t="e">
        <f ca="1">_xll.BDH($C$353,"COM_EQY_TO_TOT_ASSET","FQ4 2014","FQ4 2014","Currency=INR","Period=FQ","BEST_FPERIOD_OVERRIDE=FQ","FILING_STATUS=OR","EQY_CONSOLIDATED=Y","Sort=A","Dates=H","DateFormat=P","Fill=—","Direction=H","UseDPDF=Y")</f>
        <v>#NAME?</v>
      </c>
      <c r="CH357" s="1" t="e">
        <f ca="1">_xll.BDH($C$353,"LT_DEBT_TO_TOT_EQY","FQ4 2014","FQ4 2014","Currency=INR","Period=FQ","BEST_FPERIOD_OVERRIDE=FQ","FILING_STATUS=OR","EQY_CONSOLIDATED=Y","Sort=A","Dates=H","DateFormat=P","Fill=—","Direction=H","UseDPDF=Y")</f>
        <v>#NAME?</v>
      </c>
      <c r="CI357" s="1" t="e">
        <f ca="1">_xll.BDH($C$353,"LT_DEBT_TO_TOT_CAP","FQ4 2014","FQ4 2014","Currency=INR","Period=FQ","BEST_FPERIOD_OVERRIDE=FQ","FILING_STATUS=OR","EQY_CONSOLIDATED=Y","Sort=A","Dates=H","DateFormat=P","Fill=—","Direction=H","UseDPDF=Y")</f>
        <v>#NAME?</v>
      </c>
      <c r="CJ357" s="1" t="e">
        <f ca="1">_xll.BDH($C$353,"LT_DEBT_TO_TOT_ASSET","FQ4 2014","FQ4 2014","Currency=INR","Period=FQ","BEST_FPERIOD_OVERRIDE=FQ","FILING_STATUS=OR","EQY_CONSOLIDATED=Y","Sort=A","Dates=H","DateFormat=P","Fill=—","Direction=H","UseDPDF=Y")</f>
        <v>#NAME?</v>
      </c>
      <c r="CK357" s="1" t="e">
        <f ca="1">_xll.BDH($C$353,"TOT_DEBT_TO_TOT_EQY","FQ4 2014","FQ4 2014","Currency=INR","Period=FQ","BEST_FPERIOD_OVERRIDE=FQ","FILING_STATUS=OR","EQY_CONSOLIDATED=Y","Sort=A","Dates=H","DateFormat=P","Fill=—","Direction=H","UseDPDF=Y")</f>
        <v>#NAME?</v>
      </c>
      <c r="CL357" s="1" t="e">
        <f ca="1">_xll.BDH($C$353,"TOT_DEBT_TO_TOT_CAP","FQ4 2014","FQ4 2014","Currency=INR","Period=FQ","BEST_FPERIOD_OVERRIDE=FQ","FILING_STATUS=OR","EQY_CONSOLIDATED=Y","Sort=A","Dates=H","DateFormat=P","Fill=—","Direction=H","UseDPDF=Y")</f>
        <v>#NAME?</v>
      </c>
      <c r="CM357" s="1" t="e">
        <f ca="1">_xll.BDH($C$353,"TOT_DEBT_TO_TOT_ASSET","FQ4 2014","FQ4 2014","Currency=INR","Period=FQ","BEST_FPERIOD_OVERRIDE=FQ","FILING_STATUS=OR","EQY_CONSOLIDATED=Y","Sort=A","Dates=H","DateFormat=P","Fill=—","Direction=H","UseDPDF=Y")</f>
        <v>#NAME?</v>
      </c>
      <c r="CN357" s="1" t="e">
        <f ca="1">_xll.BDH($C$353,"NET_DEBT_TO_SHRHLDR_EQTY","FQ4 2014","FQ4 2014","Currency=INR","Period=FQ","BEST_FPERIOD_OVERRIDE=FQ","FILING_STATUS=OR","EQY_CONSOLIDATED=Y","Sort=A","Dates=H","DateFormat=P","Fill=—","Direction=H","UseDPDF=Y")</f>
        <v>#NAME?</v>
      </c>
      <c r="CO357" s="1" t="e">
        <f ca="1">_xll.BDH($C$353,"NET_DEBT_%_CAPITAL","FQ4 2014","FQ4 2014","Currency=INR","Period=FQ","BEST_FPERIOD_OVERRIDE=FQ","FILING_STATUS=OR","EQY_CONSOLIDATED=Y","Sort=A","Dates=H","DateFormat=P","Fill=—","Direction=H","UseDPDF=Y")</f>
        <v>#NAME?</v>
      </c>
      <c r="CP357" s="2" t="e">
        <f ca="1">_xll.BDH($C$353,"EBITDA","FQ4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57" s="2" t="e">
        <f ca="1">_xll.BDH($C$353,"EBITDA_AFTER_CAPEX","FQ4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57" s="2" t="e">
        <f ca="1">_xll.BDH($C$353,"IS_OPER_INC","FQ4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57" s="1" t="e">
        <f ca="1">_xll.BDH($C$353,"CASH_RATIO","FQ4 2014","FQ4 2014","Currency=INR","Period=FQ","BEST_FPERIOD_OVERRIDE=FQ","FILING_STATUS=OR","EQY_CONSOLIDATED=Y","Sort=A","Dates=H","DateFormat=P","Fill=—","Direction=H","UseDPDF=Y")</f>
        <v>#NAME?</v>
      </c>
      <c r="CT357" s="1" t="e">
        <f ca="1">_xll.BDH($C$353,"CUR_RATIO","FQ4 2014","FQ4 2014","Currency=INR","Period=FQ","BEST_FPERIOD_OVERRIDE=FQ","FILING_STATUS=OR","EQY_CONSOLIDATED=Y","Sort=A","Dates=H","DateFormat=P","Fill=—","Direction=H","UseDPDF=Y")</f>
        <v>#NAME?</v>
      </c>
      <c r="CU357" s="1" t="e">
        <f ca="1">_xll.BDH($C$353,"QUICK_RATIO","FQ4 2014","FQ4 2014","Currency=INR","Period=FQ","BEST_FPERIOD_OVERRIDE=FQ","FILING_STATUS=OR","EQY_CONSOLIDATED=Y","Sort=A","Dates=H","DateFormat=P","Fill=—","Direction=H","UseDPDF=Y")</f>
        <v>#NAME?</v>
      </c>
      <c r="CV357" s="1" t="e">
        <f ca="1">_xll.BDH($C$353,"ALTMAN_Z_SCORE","FQ4 2014","FQ4 2014","Currency=INR","Period=FQ","BEST_FPERIOD_OVERRIDE=FQ","FILING_STATUS=OR","EQY_CONSOLIDATED=Y","Sort=A","Dates=H","DateFormat=P","Fill=—","Direction=H","UseDPDF=Y")</f>
        <v>#NAME?</v>
      </c>
      <c r="CW357" s="3" t="e">
        <f ca="1">_xll.BDH($C$353,"ACCT_RCV_TURN","FQ4 2014","FQ4 2014","Currency=INR","Period=FQ","BEST_FPERIOD_OVERRIDE=FQ","FILING_STATUS=OR","EQY_CONSOLIDATED=Y","FA_ADJUSTED=GAAP","Sort=A","Dates=H","DateFormat=P","Fill=—","Direction=H","UseDPDF=Y")</f>
        <v>#NAME?</v>
      </c>
      <c r="CX357" s="1" t="e">
        <f ca="1">_xll.BDH($C$353,"ACCT_RCV_DAYS","FQ4 2014","FQ4 2014","Currency=INR","Period=FQ","BEST_FPERIOD_OVERRIDE=FQ","FILING_STATUS=OR","EQY_CONSOLIDATED=Y","FA_ADJUSTED=GAAP","Sort=A","Dates=H","DateFormat=P","Fill=—","Direction=H","UseDPDF=Y")</f>
        <v>#NAME?</v>
      </c>
      <c r="CY357" s="3" t="e">
        <f ca="1">_xll.BDH($C$353,"INVENT_TURN","FQ4 2014","FQ4 2014","Currency=INR","Period=FQ","BEST_FPERIOD_OVERRIDE=FQ","FILING_STATUS=OR","EQY_CONSOLIDATED=Y","FA_ADJUSTED=GAAP","Sort=A","Dates=H","DateFormat=P","Fill=—","Direction=H","UseDPDF=Y")</f>
        <v>#NAME?</v>
      </c>
      <c r="CZ357" s="1" t="e">
        <f ca="1">_xll.BDH($C$353,"INVENT_DAYS","FQ4 2014","FQ4 2014","Currency=INR","Period=FQ","BEST_FPERIOD_OVERRIDE=FQ","FILING_STATUS=OR","EQY_CONSOLIDATED=Y","FA_ADJUSTED=GAAP","Sort=A","Dates=H","DateFormat=P","Fill=—","Direction=H","UseDPDF=Y")</f>
        <v>#NAME?</v>
      </c>
      <c r="DA357" s="3" t="e">
        <f ca="1">_xll.BDH($C$353,"ACCOUNTS_PAYABLE_TURNOVER","FQ4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57" s="1" t="e">
        <f ca="1">_xll.BDH($C$353,"ACCOUNTS_PAYABLE_TURNOVER_DAYS","FQ4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57" s="3" t="e">
        <f ca="1">_xll.BDH($C$353,"CASH_CONVERSION_CYCLE","FQ4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57" s="3" t="e">
        <f ca="1">_xll.BDH($C$353,"INV_TO_CASH_DAYS","FQ4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357" s="4" t="e">
        <f ca="1">_xll.BDH($C$353,"BS_INVENTORIES","FQ4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357" s="2" t="e">
        <f ca="1">_xll.BDH($C$353,"INVTRY_RAW_MATERIALS","FQ4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57" s="2" t="e">
        <f ca="1">_xll.BDH($C$353,"INVTRY_IN_PROGRESS","FQ4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57" s="2" t="e">
        <f ca="1">_xll.BDH($C$353,"INVTRY_FINISHED_GOODS","FQ4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57" s="2" t="e">
        <f ca="1">_xll.BDH($C$353,"BS_OTHER_INV","FQ4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58" spans="1:113" x14ac:dyDescent="0.3">
      <c r="A358" s="6"/>
      <c r="B358" s="6"/>
      <c r="C358" s="6"/>
      <c r="D358" s="6" t="s">
        <v>8</v>
      </c>
      <c r="E358" t="s">
        <v>3</v>
      </c>
      <c r="F358" t="e">
        <f ca="1">_xll.BDH($C$353,"RETURN_COM_EQY","FY 2015","FY 2015","Currency=INR","Period=FY","BEST_FPERIOD_OVERRIDE=FY","FILING_STATUS=OR","EQY_CONSOLIDATED=Y","FA_ADJUSTED=GAAP","Sort=A","Dates=H","DateFormat=P","Fill=—","Direction=H","UseDPDF=Y")</f>
        <v>#NAME?</v>
      </c>
      <c r="G358" t="e">
        <f ca="1">_xll.BDH($C$353,"RETURN_ON_ASSET","FY 2015","FY 2015","Currency=INR","Period=FY","BEST_FPERIOD_OVERRIDE=FY","FILING_STATUS=OR","EQY_CONSOLIDATED=Y","FA_ADJUSTED=GAAP","Sort=A","Dates=H","DateFormat=P","Fill=—","Direction=H","UseDPDF=Y")</f>
        <v>#NAME?</v>
      </c>
      <c r="H358" t="e">
        <f ca="1">_xll.BDH($C$353,"RETURN_ON_CAP","FY 2015","FY 2015","Currency=INR","Period=FY","BEST_FPERIOD_OVERRIDE=FY","FILING_STATUS=OR","EQY_CONSOLIDATED=Y","FA_ADJUSTED=GAAP","Sort=A","Dates=H","DateFormat=P","Fill=—","Direction=H","UseDPDF=Y")</f>
        <v>#NAME?</v>
      </c>
      <c r="I358" t="e">
        <f ca="1">_xll.BDH($C$353,"RETURN_ON_INV_CAPITAL","FY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58" t="e">
        <f ca="1">_xll.BDH($C$353,"EBITDA_TO_REVENUE","FY 2015","FY 2015","Currency=INR","Period=FY","BEST_FPERIOD_OVERRIDE=FY","FILING_STATUS=OR","EQY_CONSOLIDATED=Y","FA_ADJUSTED=GAAP","Sort=A","Dates=H","DateFormat=P","Fill=—","Direction=H","UseDPDF=Y")</f>
        <v>#NAME?</v>
      </c>
      <c r="K358" t="e">
        <f ca="1">_xll.BDH($C$353,"OPER_MARGIN","FY 2015","FY 2015","Currency=INR","Period=FY","BEST_FPERIOD_OVERRIDE=FY","FILING_STATUS=OR","EQY_CONSOLIDATED=Y","FA_ADJUSTED=GAAP","Sort=A","Dates=H","DateFormat=P","Fill=—","Direction=H","UseDPDF=Y")</f>
        <v>#NAME?</v>
      </c>
      <c r="L358" t="e">
        <f ca="1">_xll.BDH($C$353,"INCREMENTAL_OPERATING_MARGIN","FY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58" t="e">
        <f ca="1">_xll.BDH($C$353,"PRETAX_INC_TO_NET_SALES","FY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58" t="e">
        <f ca="1">_xll.BDH($C$353,"INC_BEF_XO_ITEMS_TO_NET_SALES","FY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58" t="e">
        <f ca="1">_xll.BDH($C$353,"PROF_MARGIN","FY 2015","FY 2015","Currency=INR","Period=FY","BEST_FPERIOD_OVERRIDE=FY","FILING_STATUS=OR","EQY_CONSOLIDATED=Y","FA_ADJUSTED=GAAP","Sort=A","Dates=H","DateFormat=P","Fill=—","Direction=H","UseDPDF=Y")</f>
        <v>#NAME?</v>
      </c>
      <c r="P358" t="e">
        <f ca="1">_xll.BDH($C$353,"NET_INCOME_TO_COMMON_MARGIN","FY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58" t="e">
        <f ca="1">_xll.BDH($C$353,"EFF_TAX_RATE","FY 2015","FY 2015","Currency=INR","Period=FY","BEST_FPERIOD_OVERRIDE=FY","FILING_STATUS=OR","EQY_CONSOLIDATED=Y","FA_ADJUSTED=GAAP","Sort=A","Dates=H","DateFormat=P","Fill=—","Direction=H","UseDPDF=Y")</f>
        <v>#NAME?</v>
      </c>
      <c r="R358" t="e">
        <f ca="1">_xll.BDH($C$353,"DVD_PAYOUT_RATIO","FY 2015","FY 2015","Currency=INR","Period=FY","BEST_FPERIOD_OVERRIDE=FY","FILING_STATUS=OR","EQY_CONSOLIDATED=Y","FA_ADJUSTED=GAAP","Sort=A","Dates=H","DateFormat=P","Fill=—","Direction=H","UseDPDF=Y")</f>
        <v>#NAME?</v>
      </c>
      <c r="S358" t="e">
        <f ca="1">_xll.BDH($C$353,"SUSTAIN_GROWTH_RT","FY 2015","FY 2015","Currency=INR","Period=FY","BEST_FPERIOD_OVERRIDE=FY","FILING_STATUS=OR","EQY_CONSOLIDATED=Y","FA_ADJUSTED=GAAP","Sort=A","Dates=H","DateFormat=P","Fill=—","Direction=H","UseDPDF=Y")</f>
        <v>#NAME?</v>
      </c>
      <c r="T358" s="1" t="e">
        <f ca="1">_xll.BDH($C$353,"SALES_GROWTH","FY 2015","FY 2015","Currency=INR","Period=FY","BEST_FPERIOD_OVERRIDE=FY","FILING_STATUS=OR","EQY_CONSOLIDATED=Y","FA_ADJUSTED=GAAP","Sort=A","Dates=H","DateFormat=P","Fill=—","Direction=H","UseDPDF=Y")</f>
        <v>#NAME?</v>
      </c>
      <c r="U358" s="1" t="e">
        <f ca="1">_xll.BDH($C$353,"EBITDA_GROWTH","FY 2015","FY 2015","Currency=INR","Period=FY","BEST_FPERIOD_OVERRIDE=FY","FILING_STATUS=OR","EQY_CONSOLIDATED=Y","FA_ADJUSTED=GAAP","Sort=A","Dates=H","DateFormat=P","Fill=—","Direction=H","UseDPDF=Y")</f>
        <v>#NAME?</v>
      </c>
      <c r="V358" s="1" t="e">
        <f ca="1">_xll.BDH($C$353,"OPER_INC_GROWTH","FY 2015","FY 2015","Currency=INR","Period=FY","BEST_FPERIOD_OVERRIDE=FY","FILING_STATUS=OR","EQY_CONSOLIDATED=Y","FA_ADJUSTED=GAAP","Sort=A","Dates=H","DateFormat=P","Fill=—","Direction=H","UseDPDF=Y")</f>
        <v>#NAME?</v>
      </c>
      <c r="W358" s="1" t="e">
        <f ca="1">_xll.BDH($C$353,"EARN_FOR_COM_GROWTH","FY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358" s="1" t="e">
        <f ca="1">_xll.BDH($C$353,"DILUTED_EPS_AFT_XO_ITEMS_GROWTH","FY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58" s="1" t="e">
        <f ca="1">_xll.BDH($C$353,"DIVIDEND_PER_SHARE_1_YEAR_GROWTH","FY 2015","FY 2015","Currency=INR","Period=FY","BEST_FPERIOD_OVERRIDE=FY","FILING_STATUS=OR","EQY_CONSOLIDATED=Y","Sort=A","Dates=H","DateFormat=P","Fill=—","Direction=H","UseDPDF=Y")</f>
        <v>#NAME?</v>
      </c>
      <c r="Z358" s="1" t="e">
        <f ca="1">_xll.BDH($C$353,"ACCOUNTS_RECEIVABLE_GROWTH","FY 2015","FY 2015","Currency=INR","Period=FY","BEST_FPERIOD_OVERRIDE=FY","FILING_STATUS=OR","EQY_CONSOLIDATED=Y","Sort=A","Dates=H","DateFormat=P","Fill=—","Direction=H","UseDPDF=Y")</f>
        <v>#NAME?</v>
      </c>
      <c r="AA358" s="1" t="e">
        <f ca="1">_xll.BDH($C$353,"INVENTORY_GROWTH","FY 2015","FY 2015","Currency=INR","Period=FY","BEST_FPERIOD_OVERRIDE=FY","FILING_STATUS=OR","EQY_CONSOLIDATED=Y","Sort=A","Dates=H","DateFormat=P","Fill=—","Direction=H","UseDPDF=Y")</f>
        <v>#NAME?</v>
      </c>
      <c r="AB358" s="1" t="e">
        <f ca="1">_xll.BDH($C$353,"NET_FIXED_ASSETS_1_YEAR_GROWTH","FY 2015","FY 2015","Currency=INR","Period=FY","BEST_FPERIOD_OVERRIDE=FY","FILING_STATUS=OR","EQY_CONSOLIDATED=Y","Sort=A","Dates=H","DateFormat=P","Fill=—","Direction=H","UseDPDF=Y")</f>
        <v>#NAME?</v>
      </c>
      <c r="AC358" s="1" t="e">
        <f ca="1">_xll.BDH($C$353,"ASSET_GROWTH","FY 2015","FY 2015","Currency=INR","Period=FY","BEST_FPERIOD_OVERRIDE=FY","FILING_STATUS=OR","EQY_CONSOLIDATED=Y","Sort=A","Dates=H","DateFormat=P","Fill=—","Direction=H","UseDPDF=Y")</f>
        <v>#NAME?</v>
      </c>
      <c r="AD358" s="1" t="e">
        <f ca="1">_xll.BDH($C$353,"MODIFIED_WORK_CAP_GROWTH","FY 2015","FY 2015","Currency=INR","Period=FY","BEST_FPERIOD_OVERRIDE=FY","FILING_STATUS=OR","EQY_CONSOLIDATED=Y","Sort=A","Dates=H","DateFormat=P","Fill=—","Direction=H","UseDPDF=Y")</f>
        <v>#NAME?</v>
      </c>
      <c r="AE358" s="1" t="e">
        <f ca="1">_xll.BDH($C$353,"WORK_CAP_GROWTH","FY 2015","FY 2015","Currency=INR","Period=FY","BEST_FPERIOD_OVERRIDE=FY","FILING_STATUS=OR","EQY_CONSOLIDATED=Y","Sort=A","Dates=H","DateFormat=P","Fill=—","Direction=H","UseDPDF=Y")</f>
        <v>#NAME?</v>
      </c>
      <c r="AF358" s="1" t="e">
        <f ca="1">_xll.BDH($C$353,"ACCOUNTS_PAYABLE_GROWTH_1YR","FY 2015","FY 2015","Currency=INR","Period=FY","BEST_FPERIOD_OVERRIDE=FY","FILING_STATUS=OR","EQY_CONSOLIDATED=Y","Sort=A","Dates=H","DateFormat=P","Fill=—","Direction=H","UseDPDF=Y")</f>
        <v>#NAME?</v>
      </c>
      <c r="AG358" s="1" t="e">
        <f ca="1">_xll.BDH($C$353,"SHORT_TERM_DEBT_1_YEAR_GROWTH","FY 2015","FY 2015","Currency=INR","Period=FY","BEST_FPERIOD_OVERRIDE=FY","FILING_STATUS=OR","EQY_CONSOLIDATED=Y","Sort=A","Dates=H","DateFormat=P","Fill=—","Direction=H","UseDPDF=Y")</f>
        <v>#NAME?</v>
      </c>
      <c r="AH358" s="1" t="e">
        <f ca="1">_xll.BDH($C$353,"TOTAL_DEBT_1_YEAR_GROWTH","FY 2015","FY 2015","Currency=INR","Period=FY","BEST_FPERIOD_OVERRIDE=FY","FILING_STATUS=OR","EQY_CONSOLIDATED=Y","Sort=A","Dates=H","DateFormat=P","Fill=—","Direction=H","UseDPDF=Y")</f>
        <v>#NAME?</v>
      </c>
      <c r="AI358" s="1" t="e">
        <f ca="1">_xll.BDH($C$353,"TOTAL_EQUITY_1_YEAR_GROWTH","FY 2015","FY 2015","Currency=INR","Period=FY","BEST_FPERIOD_OVERRIDE=FY","FILING_STATUS=OR","EQY_CONSOLIDATED=Y","Sort=A","Dates=H","DateFormat=P","Fill=—","Direction=H","UseDPDF=Y")</f>
        <v>#NAME?</v>
      </c>
      <c r="AJ358" s="1" t="e">
        <f ca="1">_xll.BDH($C$353,"GROWTH_IN_CAP","FY 2015","FY 2015","Currency=INR","Period=FY","BEST_FPERIOD_OVERRIDE=FY","FILING_STATUS=OR","EQY_CONSOLIDATED=Y","Sort=A","Dates=H","DateFormat=P","Fill=—","Direction=H","UseDPDF=Y")</f>
        <v>#NAME?</v>
      </c>
      <c r="AK358" s="1" t="e">
        <f ca="1">_xll.BDH($C$353,"BVPS_GROWTH","FY 2015","FY 2015","Currency=INR","Period=FY","BEST_FPERIOD_OVERRIDE=FY","FILING_STATUS=OR","EQY_CONSOLIDATED=Y","Sort=A","Dates=H","DateFormat=P","Fill=—","Direction=H","UseDPDF=Y")</f>
        <v>#NAME?</v>
      </c>
      <c r="AL358" s="1" t="e">
        <f ca="1">_xll.BDH($C$353,"CASH_FLOW_GROWTH","FY 2015","FY 2015","Currency=INR","Period=FY","BEST_FPERIOD_OVERRIDE=FY","FILING_STATUS=OR","EQY_CONSOLIDATED=Y","Sort=A","Dates=H","DateFormat=P","Fill=—","Direction=H","UseDPDF=Y")</f>
        <v>#NAME?</v>
      </c>
      <c r="AM358" s="1" t="e">
        <f ca="1">_xll.BDH($C$353,"GEO_GROW_NET_SALES","FY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358" s="1" t="e">
        <f ca="1">_xll.BDH($C$353,"GEO_GROW_EBITDA","FY 2015","FY 2015","Currency=INR","Period=FY","BEST_FPERIOD_OVERRIDE=FY","FILING_STATUS=OR","EQY_CONSOLIDATED=Y","FA_ADJUSTED=GAAP","Sort=A","Dates=H","DateFormat=P","Fill=—","Direction=H","UseDPDF=Y")</f>
        <v>#NAME?</v>
      </c>
      <c r="AO358" s="1" t="e">
        <f ca="1">_xll.BDH($C$353,"GEO_GROW_OPER_INC","FY 2015","FY 2015","Currency=INR","Period=FY","BEST_FPERIOD_OVERRIDE=FY","FILING_STATUS=OR","EQY_CONSOLIDATED=Y","FA_ADJUSTED=GAAP","Sort=A","Dates=H","DateFormat=P","Fill=—","Direction=H","UseDPDF=Y")</f>
        <v>#NAME?</v>
      </c>
      <c r="AP358" s="1" t="e">
        <f ca="1">_xll.BDH($C$353,"NET_INCOME_TO_COMMON_5_YR_GROWTH","FY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58" s="1" t="e">
        <f ca="1">_xll.BDH($C$353,"5Y_GEO_GROWTH_DILUTED_EPS","FY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58" s="1" t="e">
        <f ca="1">_xll.BDH($C$353,"GEO_GROW_DVD_PER_SH","FY 2015","FY 2015","Currency=INR","Period=FY","BEST_FPERIOD_OVERRIDE=FY","FILING_STATUS=OR","EQY_CONSOLIDATED=Y","Sort=A","Dates=H","DateFormat=P","Fill=—","Direction=H","UseDPDF=Y")</f>
        <v>#NAME?</v>
      </c>
      <c r="AS358" s="1" t="e">
        <f ca="1">_xll.BDH($C$353,"ACCOUNTS_RECEIVABLE_5_YR_GROWTH","FY 2015","FY 2015","Currency=INR","Period=FY","BEST_FPERIOD_OVERRIDE=FY","FILING_STATUS=OR","EQY_CONSOLIDATED=Y","Sort=A","Dates=H","DateFormat=P","Fill=—","Direction=H","UseDPDF=Y")</f>
        <v>#NAME?</v>
      </c>
      <c r="AT358" s="1" t="e">
        <f ca="1">_xll.BDH($C$353,"INVENTORY_5_YEAR_GROWTH","FY 2015","FY 2015","Currency=INR","Period=FY","BEST_FPERIOD_OVERRIDE=FY","FILING_STATUS=OR","EQY_CONSOLIDATED=Y","Sort=A","Dates=H","DateFormat=P","Fill=—","Direction=H","UseDPDF=Y")</f>
        <v>#NAME?</v>
      </c>
      <c r="AU358" s="1" t="e">
        <f ca="1">_xll.BDH($C$353,"NET_FIXED_ASSETS_5_YEAR_GROWTH","FY 2015","FY 2015","Currency=INR","Period=FY","BEST_FPERIOD_OVERRIDE=FY","FILING_STATUS=OR","EQY_CONSOLIDATED=Y","Sort=A","Dates=H","DateFormat=P","Fill=—","Direction=H","UseDPDF=Y")</f>
        <v>#NAME?</v>
      </c>
      <c r="AV358" s="1" t="e">
        <f ca="1">_xll.BDH($C$353,"GEO_GROW_TOT_ASSET","FY 2015","FY 2015","Currency=INR","Period=FY","BEST_FPERIOD_OVERRIDE=FY","FILING_STATUS=OR","EQY_CONSOLIDATED=Y","Sort=A","Dates=H","DateFormat=P","Fill=—","Direction=H","UseDPDF=Y")</f>
        <v>#NAME?</v>
      </c>
      <c r="AW358" s="1" t="e">
        <f ca="1">_xll.BDH($C$353,"MODIFIED_WORKING_CPTL_5YR_GRWTH","FY 2015","FY 2015","Currency=INR","Period=FY","BEST_FPERIOD_OVERRIDE=FY","FILING_STATUS=OR","EQY_CONSOLIDATED=Y","Sort=A","Dates=H","DateFormat=P","Fill=—","Direction=H","UseDPDF=Y")</f>
        <v>#NAME?</v>
      </c>
      <c r="AX358" s="1" t="e">
        <f ca="1">_xll.BDH($C$353,"WORKING_CAPITAL_5_YEAR_GROWTH","FY 2015","FY 2015","Currency=INR","Period=FY","BEST_FPERIOD_OVERRIDE=FY","FILING_STATUS=OR","EQY_CONSOLIDATED=Y","Sort=A","Dates=H","DateFormat=P","Fill=—","Direction=H","UseDPDF=Y")</f>
        <v>#NAME?</v>
      </c>
      <c r="AY358" s="1" t="e">
        <f ca="1">_xll.BDH($C$353,"ACCOUNTS_PAYABLE_5_YEAR_GROWTH","FY 2015","FY 2015","Currency=INR","Period=FY","BEST_FPERIOD_OVERRIDE=FY","FILING_STATUS=OR","EQY_CONSOLIDATED=Y","Sort=A","Dates=H","DateFormat=P","Fill=—","Direction=H","UseDPDF=Y")</f>
        <v>#NAME?</v>
      </c>
      <c r="AZ358" s="1" t="e">
        <f ca="1">_xll.BDH($C$353,"SHORT_TERM_DEBT_5_YEAR_GROWTH","FY 2015","FY 2015","Currency=INR","Period=FY","BEST_FPERIOD_OVERRIDE=FY","FILING_STATUS=OR","EQY_CONSOLIDATED=Y","Sort=A","Dates=H","DateFormat=P","Fill=—","Direction=H","UseDPDF=Y")</f>
        <v>#NAME?</v>
      </c>
      <c r="BA358" s="1" t="e">
        <f ca="1">_xll.BDH($C$353,"TOTAL_DEBT_5_YEAR_GROWTH","FY 2015","FY 2015","Currency=INR","Period=FY","BEST_FPERIOD_OVERRIDE=FY","FILING_STATUS=OR","EQY_CONSOLIDATED=Y","Sort=A","Dates=H","DateFormat=P","Fill=—","Direction=H","UseDPDF=Y")</f>
        <v>#NAME?</v>
      </c>
      <c r="BB358" s="1" t="e">
        <f ca="1">_xll.BDH($C$353,"GEO_GROW_TOT_SHRHLDR_EQY","FY 2015","FY 2015","Currency=INR","Period=FY","BEST_FPERIOD_OVERRIDE=FY","FILING_STATUS=OR","EQY_CONSOLIDATED=Y","Sort=A","Dates=H","DateFormat=P","Fill=—","Direction=H","UseDPDF=Y")</f>
        <v>#NAME?</v>
      </c>
      <c r="BC358" s="1" t="e">
        <f ca="1">_xll.BDH($C$353,"TOTAL_CAPITAL_5_YEAR_GROWTH","FY 2015","FY 2015","Currency=INR","Period=FY","BEST_FPERIOD_OVERRIDE=FY","FILING_STATUS=OR","EQY_CONSOLIDATED=Y","Sort=A","Dates=H","DateFormat=P","Fill=—","Direction=H","UseDPDF=Y")</f>
        <v>#NAME?</v>
      </c>
      <c r="BD358" s="1" t="e">
        <f ca="1">_xll.BDH($C$353,"GEO_GROW_BOOK_VAL","FY 2015","FY 2015","Currency=INR","Period=FY","BEST_FPERIOD_OVERRIDE=FY","FILING_STATUS=OR","EQY_CONSOLIDATED=Y","Sort=A","Dates=H","DateFormat=P","Fill=—","Direction=H","UseDPDF=Y")</f>
        <v>#NAME?</v>
      </c>
      <c r="BE358" s="1" t="e">
        <f ca="1">_xll.BDH($C$353,"GEO_GROW_CASH_OPER_ACT","FY 2015","FY 2015","Currency=INR","Period=FY","BEST_FPERIOD_OVERRIDE=FY","FILING_STATUS=OR","EQY_CONSOLIDATED=Y","Sort=A","Dates=H","DateFormat=P","Fill=—","Direction=H","UseDPDF=Y")</f>
        <v>#NAME?</v>
      </c>
      <c r="BF358" s="1" t="e">
        <f ca="1">_xll.BDH($C$353,"REVENUE_SEQUENTIAL_GROWTH","FY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58" s="1" t="e">
        <f ca="1">_xll.BDH($C$353,"EBITDA_SEQUENTIAL_GROWTH","FY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58" s="1" t="e">
        <f ca="1">_xll.BDH($C$353,"OPERATING_INCOME_SEQ_GROWTH","FY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58" s="1" t="e">
        <f ca="1">_xll.BDH($C$353,"NET_INCOME_TO_COMMON_SEQ_GROWTH","FY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58" s="1" t="e">
        <f ca="1">_xll.BDH($C$353,"EPS_DILUTED_SEQUENTIAL_GROWTH","FY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58" s="1" t="e">
        <f ca="1">_xll.BDH($C$353,"DPS_SEQUENTIAL_GROWTH","FY 2015","FY 2015","Currency=INR","Period=FY","BEST_FPERIOD_OVERRIDE=FY","FILING_STATUS=OR","EQY_CONSOLIDATED=Y","Sort=A","Dates=H","DateFormat=P","Fill=—","Direction=H","UseDPDF=Y")</f>
        <v>#NAME?</v>
      </c>
      <c r="BL358" s="1" t="e">
        <f ca="1">_xll.BDH($C$353,"ACCOUNTS_RECEIVABLE_SEQ_GROWTH","FY 2015","FY 2015","Currency=INR","Period=FY","BEST_FPERIOD_OVERRIDE=FY","FILING_STATUS=OR","EQY_CONSOLIDATED=Y","Sort=A","Dates=H","DateFormat=P","Fill=—","Direction=H","UseDPDF=Y")</f>
        <v>#NAME?</v>
      </c>
      <c r="BM358" s="1" t="e">
        <f ca="1">_xll.BDH($C$353,"INVENTORY_SEQUENTIAL_GROWTH","FY 2015","FY 2015","Currency=INR","Period=FY","BEST_FPERIOD_OVERRIDE=FY","FILING_STATUS=OR","EQY_CONSOLIDATED=Y","Sort=A","Dates=H","DateFormat=P","Fill=—","Direction=H","UseDPDF=Y")</f>
        <v>#NAME?</v>
      </c>
      <c r="BN358" s="1" t="e">
        <f ca="1">_xll.BDH($C$353,"FIXED_ASSETS_SEQUENTIAL_GROWTH","FY 2015","FY 2015","Currency=INR","Period=FY","BEST_FPERIOD_OVERRIDE=FY","FILING_STATUS=OR","EQY_CONSOLIDATED=Y","Sort=A","Dates=H","DateFormat=P","Fill=—","Direction=H","UseDPDF=Y")</f>
        <v>#NAME?</v>
      </c>
      <c r="BO358" s="1" t="e">
        <f ca="1">_xll.BDH($C$353,"TOTAL_ASSETS_SEQUENTIAL_GROWTH","FY 2015","FY 2015","Currency=INR","Period=FY","BEST_FPERIOD_OVERRIDE=FY","FILING_STATUS=OR","EQY_CONSOLIDATED=Y","Sort=A","Dates=H","DateFormat=P","Fill=—","Direction=H","UseDPDF=Y")</f>
        <v>#NAME?</v>
      </c>
      <c r="BP358" s="1" t="e">
        <f ca="1">_xll.BDH($C$353,"MODIFIED_WORKING_CPTL_SEQ_GRWTH","FY 2015","FY 2015","Currency=INR","Period=FY","BEST_FPERIOD_OVERRIDE=FY","FILING_STATUS=OR","EQY_CONSOLIDATED=Y","Sort=A","Dates=H","DateFormat=P","Fill=—","Direction=H","UseDPDF=Y")</f>
        <v>#NAME?</v>
      </c>
      <c r="BQ358" s="1" t="e">
        <f ca="1">_xll.BDH($C$353,"WORKING_CAPITAL_SEQ_GROWTH","FY 2015","FY 2015","Currency=INR","Period=FY","BEST_FPERIOD_OVERRIDE=FY","FILING_STATUS=OR","EQY_CONSOLIDATED=Y","Sort=A","Dates=H","DateFormat=P","Fill=—","Direction=H","UseDPDF=Y")</f>
        <v>#NAME?</v>
      </c>
      <c r="BR358" s="1" t="e">
        <f ca="1">_xll.BDH($C$353,"ACCOUNTS_PAYABLE_SEQ_GROWTH","FY 2015","FY 2015","Currency=INR","Period=FY","BEST_FPERIOD_OVERRIDE=FY","FILING_STATUS=OR","EQY_CONSOLIDATED=Y","Sort=A","Dates=H","DateFormat=P","Fill=—","Direction=H","UseDPDF=Y")</f>
        <v>#NAME?</v>
      </c>
      <c r="BS358" s="1" t="e">
        <f ca="1">_xll.BDH($C$353,"ST_DEBT_SEQUENTIAL_GROWTH","FY 2015","FY 2015","Currency=INR","Period=FY","BEST_FPERIOD_OVERRIDE=FY","FILING_STATUS=OR","EQY_CONSOLIDATED=Y","Sort=A","Dates=H","DateFormat=P","Fill=—","Direction=H","UseDPDF=Y")</f>
        <v>#NAME?</v>
      </c>
      <c r="BT358" s="1" t="e">
        <f ca="1">_xll.BDH($C$353,"TOTAL_DEBT_SEQUENTIAL_GROWTH","FY 2015","FY 2015","Currency=INR","Period=FY","BEST_FPERIOD_OVERRIDE=FY","FILING_STATUS=OR","EQY_CONSOLIDATED=Y","Sort=A","Dates=H","DateFormat=P","Fill=—","Direction=H","UseDPDF=Y")</f>
        <v>#NAME?</v>
      </c>
      <c r="BU358" s="1" t="e">
        <f ca="1">_xll.BDH($C$353,"TOTAL_EQUITY_SEQUENTIAL_GROWTH","FY 2015","FY 2015","Currency=INR","Period=FY","BEST_FPERIOD_OVERRIDE=FY","FILING_STATUS=OR","EQY_CONSOLIDATED=Y","Sort=A","Dates=H","DateFormat=P","Fill=—","Direction=H","UseDPDF=Y")</f>
        <v>#NAME?</v>
      </c>
      <c r="BV358" s="1" t="e">
        <f ca="1">_xll.BDH($C$353,"TOTAL_CAPITAL_SEQUENTIAL_GROWTH","FY 2015","FY 2015","Currency=INR","Period=FY","BEST_FPERIOD_OVERRIDE=FY","FILING_STATUS=OR","EQY_CONSOLIDATED=Y","Sort=A","Dates=H","DateFormat=P","Fill=—","Direction=H","UseDPDF=Y")</f>
        <v>#NAME?</v>
      </c>
      <c r="BW358" s="1" t="e">
        <f ca="1">_xll.BDH($C$353,"BPS_SEQUENTIAL_GROWTH","FY 2015","FY 2015","Currency=INR","Period=FY","BEST_FPERIOD_OVERRIDE=FY","FILING_STATUS=OR","EQY_CONSOLIDATED=Y","Sort=A","Dates=H","DateFormat=P","Fill=—","Direction=H","UseDPDF=Y")</f>
        <v>#NAME?</v>
      </c>
      <c r="BX358" s="1" t="e">
        <f ca="1">_xll.BDH($C$353,"CFO_SEQUENTIAL_GROWTH","FY 2015","FY 2015","Currency=INR","Period=FY","BEST_FPERIOD_OVERRIDE=FY","FILING_STATUS=OR","EQY_CONSOLIDATED=Y","Sort=A","Dates=H","DateFormat=P","Fill=—","Direction=H","UseDPDF=Y")</f>
        <v>#NAME?</v>
      </c>
      <c r="BY358" s="2" t="e">
        <f ca="1">_xll.BDH($C$353,"SHORT_AND_LONG_TERM_DEBT","FY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58" s="2" t="e">
        <f ca="1">_xll.BDH($C$353,"BS_ST_BORROW","FY 2015","FY 2015","Currency=INR","Period=FY","BEST_FPERIOD_OVERRIDE=FY","FILING_STATUS=OR","EQY_CONSOLIDATED=Y","SCALING_FORMAT=MLN","Sort=A","Dates=H","DateFormat=P","Fill=—","Direction=H","UseDPDF=Y")</f>
        <v>#NAME?</v>
      </c>
      <c r="CA358" s="2" t="e">
        <f ca="1">_xll.BDH($C$353,"BS_LT_BORROW","FY 2015","FY 2015","Currency=INR","Period=FY","BEST_FPERIOD_OVERRIDE=FY","FILING_STATUS=OR","EQY_CONSOLIDATED=Y","SCALING_FORMAT=MLN","Sort=A","Dates=H","DateFormat=P","Fill=—","Direction=H","UseDPDF=Y")</f>
        <v>#NAME?</v>
      </c>
      <c r="CB358" s="1" t="e">
        <f ca="1">_xll.BDH($C$353,"TOT_DEBT_TO_EBITDA","FY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358" s="1" t="e">
        <f ca="1">_xll.BDH($C$353,"NET_DEBT_TO_EBITDA","FY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358" s="1" t="e">
        <f ca="1">_xll.BDH($C$353,"TOTAL_DEBT_TO_EBIT","FY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358" s="1" t="e">
        <f ca="1">_xll.BDH($C$353,"NET_DEBT_TO_EBIT","FY 2015","FY 2015","Currency=INR","Period=FY","BEST_FPERIOD_OVERRIDE=FY","FILING_STATUS=OR","EQY_CONSOLIDATED=Y","FA_ADJUSTED=GAAP","Sort=A","Dates=H","DateFormat=P","Fill=—","Direction=H","UseDPDF=Y")</f>
        <v>#NAME?</v>
      </c>
      <c r="CF358" s="1" t="e">
        <f ca="1">_xll.BDH($C$353,"EBITDA_TO_INTEREST_EXPN","FY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58" s="1" t="e">
        <f ca="1">_xll.BDH($C$353,"COM_EQY_TO_TOT_ASSET","FY 2015","FY 2015","Currency=INR","Period=FY","BEST_FPERIOD_OVERRIDE=FY","FILING_STATUS=OR","EQY_CONSOLIDATED=Y","Sort=A","Dates=H","DateFormat=P","Fill=—","Direction=H","UseDPDF=Y")</f>
        <v>#NAME?</v>
      </c>
      <c r="CH358" s="1" t="e">
        <f ca="1">_xll.BDH($C$353,"LT_DEBT_TO_TOT_EQY","FY 2015","FY 2015","Currency=INR","Period=FY","BEST_FPERIOD_OVERRIDE=FY","FILING_STATUS=OR","EQY_CONSOLIDATED=Y","Sort=A","Dates=H","DateFormat=P","Fill=—","Direction=H","UseDPDF=Y")</f>
        <v>#NAME?</v>
      </c>
      <c r="CI358" s="1" t="e">
        <f ca="1">_xll.BDH($C$353,"LT_DEBT_TO_TOT_CAP","FY 2015","FY 2015","Currency=INR","Period=FY","BEST_FPERIOD_OVERRIDE=FY","FILING_STATUS=OR","EQY_CONSOLIDATED=Y","Sort=A","Dates=H","DateFormat=P","Fill=—","Direction=H","UseDPDF=Y")</f>
        <v>#NAME?</v>
      </c>
      <c r="CJ358" s="1" t="e">
        <f ca="1">_xll.BDH($C$353,"LT_DEBT_TO_TOT_ASSET","FY 2015","FY 2015","Currency=INR","Period=FY","BEST_FPERIOD_OVERRIDE=FY","FILING_STATUS=OR","EQY_CONSOLIDATED=Y","Sort=A","Dates=H","DateFormat=P","Fill=—","Direction=H","UseDPDF=Y")</f>
        <v>#NAME?</v>
      </c>
      <c r="CK358" s="1" t="e">
        <f ca="1">_xll.BDH($C$353,"TOT_DEBT_TO_TOT_EQY","FY 2015","FY 2015","Currency=INR","Period=FY","BEST_FPERIOD_OVERRIDE=FY","FILING_STATUS=OR","EQY_CONSOLIDATED=Y","Sort=A","Dates=H","DateFormat=P","Fill=—","Direction=H","UseDPDF=Y")</f>
        <v>#NAME?</v>
      </c>
      <c r="CL358" s="1" t="e">
        <f ca="1">_xll.BDH($C$353,"TOT_DEBT_TO_TOT_CAP","FY 2015","FY 2015","Currency=INR","Period=FY","BEST_FPERIOD_OVERRIDE=FY","FILING_STATUS=OR","EQY_CONSOLIDATED=Y","Sort=A","Dates=H","DateFormat=P","Fill=—","Direction=H","UseDPDF=Y")</f>
        <v>#NAME?</v>
      </c>
      <c r="CM358" s="1" t="e">
        <f ca="1">_xll.BDH($C$353,"TOT_DEBT_TO_TOT_ASSET","FY 2015","FY 2015","Currency=INR","Period=FY","BEST_FPERIOD_OVERRIDE=FY","FILING_STATUS=OR","EQY_CONSOLIDATED=Y","Sort=A","Dates=H","DateFormat=P","Fill=—","Direction=H","UseDPDF=Y")</f>
        <v>#NAME?</v>
      </c>
      <c r="CN358" s="1" t="e">
        <f ca="1">_xll.BDH($C$353,"NET_DEBT_TO_SHRHLDR_EQTY","FY 2015","FY 2015","Currency=INR","Period=FY","BEST_FPERIOD_OVERRIDE=FY","FILING_STATUS=OR","EQY_CONSOLIDATED=Y","Sort=A","Dates=H","DateFormat=P","Fill=—","Direction=H","UseDPDF=Y")</f>
        <v>#NAME?</v>
      </c>
      <c r="CO358" s="1" t="e">
        <f ca="1">_xll.BDH($C$353,"NET_DEBT_%_CAPITAL","FY 2015","FY 2015","Currency=INR","Period=FY","BEST_FPERIOD_OVERRIDE=FY","FILING_STATUS=OR","EQY_CONSOLIDATED=Y","Sort=A","Dates=H","DateFormat=P","Fill=—","Direction=H","UseDPDF=Y")</f>
        <v>#NAME?</v>
      </c>
      <c r="CP358" s="2" t="e">
        <f ca="1">_xll.BDH($C$353,"EBITDA","FY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58" s="2" t="e">
        <f ca="1">_xll.BDH($C$353,"EBITDA_AFTER_CAPEX","FY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58" s="2" t="e">
        <f ca="1">_xll.BDH($C$353,"IS_OPER_INC","FY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58" s="1" t="e">
        <f ca="1">_xll.BDH($C$353,"CASH_RATIO","FY 2015","FY 2015","Currency=INR","Period=FY","BEST_FPERIOD_OVERRIDE=FY","FILING_STATUS=OR","EQY_CONSOLIDATED=Y","Sort=A","Dates=H","DateFormat=P","Fill=—","Direction=H","UseDPDF=Y")</f>
        <v>#NAME?</v>
      </c>
      <c r="CT358" s="1" t="e">
        <f ca="1">_xll.BDH($C$353,"CUR_RATIO","FY 2015","FY 2015","Currency=INR","Period=FY","BEST_FPERIOD_OVERRIDE=FY","FILING_STATUS=OR","EQY_CONSOLIDATED=Y","Sort=A","Dates=H","DateFormat=P","Fill=—","Direction=H","UseDPDF=Y")</f>
        <v>#NAME?</v>
      </c>
      <c r="CU358" s="1" t="e">
        <f ca="1">_xll.BDH($C$353,"QUICK_RATIO","FY 2015","FY 2015","Currency=INR","Period=FY","BEST_FPERIOD_OVERRIDE=FY","FILING_STATUS=OR","EQY_CONSOLIDATED=Y","Sort=A","Dates=H","DateFormat=P","Fill=—","Direction=H","UseDPDF=Y")</f>
        <v>#NAME?</v>
      </c>
      <c r="CV358" s="1" t="e">
        <f ca="1">_xll.BDH($C$353,"ALTMAN_Z_SCORE","FY 2015","FY 2015","Currency=INR","Period=FY","BEST_FPERIOD_OVERRIDE=FY","FILING_STATUS=OR","EQY_CONSOLIDATED=Y","Sort=A","Dates=H","DateFormat=P","Fill=—","Direction=H","UseDPDF=Y")</f>
        <v>#NAME?</v>
      </c>
      <c r="CW358" s="3" t="e">
        <f ca="1">_xll.BDH($C$353,"ACCT_RCV_TURN","FY 2015","FY 2015","Currency=INR","Period=FY","BEST_FPERIOD_OVERRIDE=FY","FILING_STATUS=OR","EQY_CONSOLIDATED=Y","FA_ADJUSTED=GAAP","Sort=A","Dates=H","DateFormat=P","Fill=—","Direction=H","UseDPDF=Y")</f>
        <v>#NAME?</v>
      </c>
      <c r="CX358" s="1" t="e">
        <f ca="1">_xll.BDH($C$353,"ACCT_RCV_DAYS","FY 2015","FY 2015","Currency=INR","Period=FY","BEST_FPERIOD_OVERRIDE=FY","FILING_STATUS=OR","EQY_CONSOLIDATED=Y","FA_ADJUSTED=GAAP","Sort=A","Dates=H","DateFormat=P","Fill=—","Direction=H","UseDPDF=Y")</f>
        <v>#NAME?</v>
      </c>
      <c r="CY358" s="3" t="e">
        <f ca="1">_xll.BDH($C$353,"INVENT_TURN","FY 2015","FY 2015","Currency=INR","Period=FY","BEST_FPERIOD_OVERRIDE=FY","FILING_STATUS=OR","EQY_CONSOLIDATED=Y","FA_ADJUSTED=GAAP","Sort=A","Dates=H","DateFormat=P","Fill=—","Direction=H","UseDPDF=Y")</f>
        <v>#NAME?</v>
      </c>
      <c r="CZ358" s="1" t="e">
        <f ca="1">_xll.BDH($C$353,"INVENT_DAYS","FY 2015","FY 2015","Currency=INR","Period=FY","BEST_FPERIOD_OVERRIDE=FY","FILING_STATUS=OR","EQY_CONSOLIDATED=Y","FA_ADJUSTED=GAAP","Sort=A","Dates=H","DateFormat=P","Fill=—","Direction=H","UseDPDF=Y")</f>
        <v>#NAME?</v>
      </c>
      <c r="DA358" s="3" t="e">
        <f ca="1">_xll.BDH($C$353,"ACCOUNTS_PAYABLE_TURNOVER","FY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58" s="1" t="e">
        <f ca="1">_xll.BDH($C$353,"ACCOUNTS_PAYABLE_TURNOVER_DAYS","FY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58" s="3" t="e">
        <f ca="1">_xll.BDH($C$353,"CASH_CONVERSION_CYCLE","FY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58" s="3" t="e">
        <f ca="1">_xll.BDH($C$353,"INV_TO_CASH_DAYS","FY 2015","FY 2015","Currency=INR","Period=FY","BEST_FPERIOD_OVERRIDE=FY","FILING_STATUS=OR","EQY_CONSOLIDATED=Y","FA_ADJUSTED=GAAP","Sort=A","Dates=H","DateFormat=P","Fill=—","Direction=H","UseDPDF=Y")</f>
        <v>#NAME?</v>
      </c>
      <c r="DE358" s="4" t="e">
        <f ca="1">_xll.BDH($C$353,"BS_INVENTORIES","FY 2015","FY 2015","Currency=INR","Period=FY","BEST_FPERIOD_OVERRIDE=FY","FILING_STATUS=OR","EQY_CONSOLIDATED=Y","SCALING_FORMAT=MLN","Sort=A","Dates=H","DateFormat=P","Fill=—","Direction=H","UseDPDF=Y")</f>
        <v>#NAME?</v>
      </c>
      <c r="DF358" s="2" t="e">
        <f ca="1">_xll.BDH($C$353,"INVTRY_RAW_MATERIALS","FY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58" s="2" t="e">
        <f ca="1">_xll.BDH($C$353,"INVTRY_IN_PROGRESS","FY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58" s="2" t="e">
        <f ca="1">_xll.BDH($C$353,"INVTRY_FINISHED_GOODS","FY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58" s="2" t="e">
        <f ca="1">_xll.BDH($C$353,"BS_OTHER_INV","FY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59" spans="1:113" x14ac:dyDescent="0.3">
      <c r="A359" s="6"/>
      <c r="B359" s="6"/>
      <c r="C359" s="6"/>
      <c r="D359" s="6"/>
      <c r="E359" t="s">
        <v>4</v>
      </c>
      <c r="F359" t="e">
        <f ca="1">_xll.BDH($C$353,"RETURN_COM_EQY","FQ1 2015","FQ1 2015","Currency=INR","Period=FQ","BEST_FPERIOD_OVERRIDE=FQ","FILING_STATUS=OR","EQY_CONSOLIDATED=Y","FA_ADJUSTED=GAAP","Sort=A","Dates=H","DateFormat=P","Fill=—","Direction=H","UseDPDF=Y")</f>
        <v>#NAME?</v>
      </c>
      <c r="G359" t="e">
        <f ca="1">_xll.BDH($C$353,"RETURN_ON_ASSET","FQ1 2015","FQ1 2015","Currency=INR","Period=FQ","BEST_FPERIOD_OVERRIDE=FQ","FILING_STATUS=OR","EQY_CONSOLIDATED=Y","FA_ADJUSTED=GAAP","Sort=A","Dates=H","DateFormat=P","Fill=—","Direction=H","UseDPDF=Y")</f>
        <v>#NAME?</v>
      </c>
      <c r="H359" t="e">
        <f ca="1">_xll.BDH($C$353,"RETURN_ON_CAP","FQ1 2015","FQ1 2015","Currency=INR","Period=FQ","BEST_FPERIOD_OVERRIDE=FQ","FILING_STATUS=OR","EQY_CONSOLIDATED=Y","FA_ADJUSTED=GAAP","Sort=A","Dates=H","DateFormat=P","Fill=—","Direction=H","UseDPDF=Y")</f>
        <v>#NAME?</v>
      </c>
      <c r="I359" t="e">
        <f ca="1">_xll.BDH($C$353,"RETURN_ON_INV_CAPITAL","FQ1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59" t="e">
        <f ca="1">_xll.BDH($C$353,"EBITDA_TO_REVENUE","FQ1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359" t="e">
        <f ca="1">_xll.BDH($C$353,"OPER_MARGIN","FQ1 2015","FQ1 2015","Currency=INR","Period=FQ","BEST_FPERIOD_OVERRIDE=FQ","FILING_STATUS=OR","EQY_CONSOLIDATED=Y","FA_ADJUSTED=GAAP","Sort=A","Dates=H","DateFormat=P","Fill=—","Direction=H","UseDPDF=Y")</f>
        <v>#NAME?</v>
      </c>
      <c r="L359" t="e">
        <f ca="1">_xll.BDH($C$353,"INCREMENTAL_OPERATING_MARGIN","FQ1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59" t="e">
        <f ca="1">_xll.BDH($C$353,"PRETAX_INC_TO_NET_SALES","FQ1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59" t="e">
        <f ca="1">_xll.BDH($C$353,"INC_BEF_XO_ITEMS_TO_NET_SALES","FQ1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59" t="e">
        <f ca="1">_xll.BDH($C$353,"PROF_MARGIN","FQ1 2015","FQ1 2015","Currency=INR","Period=FQ","BEST_FPERIOD_OVERRIDE=FQ","FILING_STATUS=OR","EQY_CONSOLIDATED=Y","FA_ADJUSTED=GAAP","Sort=A","Dates=H","DateFormat=P","Fill=—","Direction=H","UseDPDF=Y")</f>
        <v>#NAME?</v>
      </c>
      <c r="P359" t="e">
        <f ca="1">_xll.BDH($C$353,"NET_INCOME_TO_COMMON_MARGIN","FQ1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59" t="e">
        <f ca="1">_xll.BDH($C$353,"EFF_TAX_RATE","FQ1 2015","FQ1 2015","Currency=INR","Period=FQ","BEST_FPERIOD_OVERRIDE=FQ","FILING_STATUS=OR","EQY_CONSOLIDATED=Y","FA_ADJUSTED=GAAP","Sort=A","Dates=H","DateFormat=P","Fill=—","Direction=H","UseDPDF=Y")</f>
        <v>#NAME?</v>
      </c>
      <c r="R359" t="e">
        <f ca="1">_xll.BDH($C$353,"DVD_PAYOUT_RATIO","FQ1 2015","FQ1 2015","Currency=INR","Period=FQ","BEST_FPERIOD_OVERRIDE=FQ","FILING_STATUS=OR","EQY_CONSOLIDATED=Y","FA_ADJUSTED=GAAP","Sort=A","Dates=H","DateFormat=P","Fill=—","Direction=H","UseDPDF=Y")</f>
        <v>#NAME?</v>
      </c>
      <c r="S359" t="e">
        <f ca="1">_xll.BDH($C$353,"SUSTAIN_GROWTH_RT","FQ1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359" s="1" t="e">
        <f ca="1">_xll.BDH($C$353,"SALES_GROWTH","FQ1 2015","FQ1 2015","Currency=INR","Period=FQ","BEST_FPERIOD_OVERRIDE=FQ","FILING_STATUS=OR","EQY_CONSOLIDATED=Y","FA_ADJUSTED=GAAP","Sort=A","Dates=H","DateFormat=P","Fill=—","Direction=H","UseDPDF=Y")</f>
        <v>#NAME?</v>
      </c>
      <c r="U359" s="1" t="e">
        <f ca="1">_xll.BDH($C$353,"EBITDA_GROWTH","FQ1 2015","FQ1 2015","Currency=INR","Period=FQ","BEST_FPERIOD_OVERRIDE=FQ","FILING_STATUS=OR","EQY_CONSOLIDATED=Y","FA_ADJUSTED=GAAP","Sort=A","Dates=H","DateFormat=P","Fill=—","Direction=H","UseDPDF=Y")</f>
        <v>#NAME?</v>
      </c>
      <c r="V359" s="1" t="e">
        <f ca="1">_xll.BDH($C$353,"OPER_INC_GROWTH","FQ1 2015","FQ1 2015","Currency=INR","Period=FQ","BEST_FPERIOD_OVERRIDE=FQ","FILING_STATUS=OR","EQY_CONSOLIDATED=Y","FA_ADJUSTED=GAAP","Sort=A","Dates=H","DateFormat=P","Fill=—","Direction=H","UseDPDF=Y")</f>
        <v>#NAME?</v>
      </c>
      <c r="W359" s="1" t="e">
        <f ca="1">_xll.BDH($C$353,"EARN_FOR_COM_GROWTH","FQ1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59" s="1" t="e">
        <f ca="1">_xll.BDH($C$353,"DILUTED_EPS_AFT_XO_ITEMS_GROWTH","FQ1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59" s="1" t="e">
        <f ca="1">_xll.BDH($C$353,"DIVIDEND_PER_SHARE_1_YEAR_GROWTH","FQ1 2015","FQ1 2015","Currency=INR","Period=FQ","BEST_FPERIOD_OVERRIDE=FQ","FILING_STATUS=OR","EQY_CONSOLIDATED=Y","Sort=A","Dates=H","DateFormat=P","Fill=—","Direction=H","UseDPDF=Y")</f>
        <v>#NAME?</v>
      </c>
      <c r="Z359" s="1" t="e">
        <f ca="1">_xll.BDH($C$353,"ACCOUNTS_RECEIVABLE_GROWTH","FQ1 2015","FQ1 2015","Currency=INR","Period=FQ","BEST_FPERIOD_OVERRIDE=FQ","FILING_STATUS=OR","EQY_CONSOLIDATED=Y","Sort=A","Dates=H","DateFormat=P","Fill=—","Direction=H","UseDPDF=Y")</f>
        <v>#NAME?</v>
      </c>
      <c r="AA359" s="1" t="e">
        <f ca="1">_xll.BDH($C$353,"INVENTORY_GROWTH","FQ1 2015","FQ1 2015","Currency=INR","Period=FQ","BEST_FPERIOD_OVERRIDE=FQ","FILING_STATUS=OR","EQY_CONSOLIDATED=Y","Sort=A","Dates=H","DateFormat=P","Fill=—","Direction=H","UseDPDF=Y")</f>
        <v>#NAME?</v>
      </c>
      <c r="AB359" s="1" t="e">
        <f ca="1">_xll.BDH($C$353,"NET_FIXED_ASSETS_1_YEAR_GROWTH","FQ1 2015","FQ1 2015","Currency=INR","Period=FQ","BEST_FPERIOD_OVERRIDE=FQ","FILING_STATUS=OR","EQY_CONSOLIDATED=Y","Sort=A","Dates=H","DateFormat=P","Fill=—","Direction=H","UseDPDF=Y")</f>
        <v>#NAME?</v>
      </c>
      <c r="AC359" s="1" t="e">
        <f ca="1">_xll.BDH($C$353,"ASSET_GROWTH","FQ1 2015","FQ1 2015","Currency=INR","Period=FQ","BEST_FPERIOD_OVERRIDE=FQ","FILING_STATUS=OR","EQY_CONSOLIDATED=Y","Sort=A","Dates=H","DateFormat=P","Fill=—","Direction=H","UseDPDF=Y")</f>
        <v>#NAME?</v>
      </c>
      <c r="AD359" s="1" t="e">
        <f ca="1">_xll.BDH($C$353,"MODIFIED_WORK_CAP_GROWTH","FQ1 2015","FQ1 2015","Currency=INR","Period=FQ","BEST_FPERIOD_OVERRIDE=FQ","FILING_STATUS=OR","EQY_CONSOLIDATED=Y","Sort=A","Dates=H","DateFormat=P","Fill=—","Direction=H","UseDPDF=Y")</f>
        <v>#NAME?</v>
      </c>
      <c r="AE359" s="1" t="e">
        <f ca="1">_xll.BDH($C$353,"WORK_CAP_GROWTH","FQ1 2015","FQ1 2015","Currency=INR","Period=FQ","BEST_FPERIOD_OVERRIDE=FQ","FILING_STATUS=OR","EQY_CONSOLIDATED=Y","Sort=A","Dates=H","DateFormat=P","Fill=—","Direction=H","UseDPDF=Y")</f>
        <v>#NAME?</v>
      </c>
      <c r="AF359" s="1" t="e">
        <f ca="1">_xll.BDH($C$353,"ACCOUNTS_PAYABLE_GROWTH_1YR","FQ1 2015","FQ1 2015","Currency=INR","Period=FQ","BEST_FPERIOD_OVERRIDE=FQ","FILING_STATUS=OR","EQY_CONSOLIDATED=Y","Sort=A","Dates=H","DateFormat=P","Fill=—","Direction=H","UseDPDF=Y")</f>
        <v>#NAME?</v>
      </c>
      <c r="AG359" s="1" t="e">
        <f ca="1">_xll.BDH($C$353,"SHORT_TERM_DEBT_1_YEAR_GROWTH","FQ1 2015","FQ1 2015","Currency=INR","Period=FQ","BEST_FPERIOD_OVERRIDE=FQ","FILING_STATUS=OR","EQY_CONSOLIDATED=Y","Sort=A","Dates=H","DateFormat=P","Fill=—","Direction=H","UseDPDF=Y")</f>
        <v>#NAME?</v>
      </c>
      <c r="AH359" s="1" t="e">
        <f ca="1">_xll.BDH($C$353,"TOTAL_DEBT_1_YEAR_GROWTH","FQ1 2015","FQ1 2015","Currency=INR","Period=FQ","BEST_FPERIOD_OVERRIDE=FQ","FILING_STATUS=OR","EQY_CONSOLIDATED=Y","Sort=A","Dates=H","DateFormat=P","Fill=—","Direction=H","UseDPDF=Y")</f>
        <v>#NAME?</v>
      </c>
      <c r="AI359" s="1" t="e">
        <f ca="1">_xll.BDH($C$353,"TOTAL_EQUITY_1_YEAR_GROWTH","FQ1 2015","FQ1 2015","Currency=INR","Period=FQ","BEST_FPERIOD_OVERRIDE=FQ","FILING_STATUS=OR","EQY_CONSOLIDATED=Y","Sort=A","Dates=H","DateFormat=P","Fill=—","Direction=H","UseDPDF=Y")</f>
        <v>#NAME?</v>
      </c>
      <c r="AJ359" s="1" t="e">
        <f ca="1">_xll.BDH($C$353,"GROWTH_IN_CAP","FQ1 2015","FQ1 2015","Currency=INR","Period=FQ","BEST_FPERIOD_OVERRIDE=FQ","FILING_STATUS=OR","EQY_CONSOLIDATED=Y","Sort=A","Dates=H","DateFormat=P","Fill=—","Direction=H","UseDPDF=Y")</f>
        <v>#NAME?</v>
      </c>
      <c r="AK359" s="1" t="e">
        <f ca="1">_xll.BDH($C$353,"BVPS_GROWTH","FQ1 2015","FQ1 2015","Currency=INR","Period=FQ","BEST_FPERIOD_OVERRIDE=FQ","FILING_STATUS=OR","EQY_CONSOLIDATED=Y","Sort=A","Dates=H","DateFormat=P","Fill=—","Direction=H","UseDPDF=Y")</f>
        <v>#NAME?</v>
      </c>
      <c r="AL359" s="1" t="e">
        <f ca="1">_xll.BDH($C$353,"CASH_FLOW_GROWTH","FQ1 2015","FQ1 2015","Currency=INR","Period=FQ","BEST_FPERIOD_OVERRIDE=FQ","FILING_STATUS=OR","EQY_CONSOLIDATED=Y","Sort=A","Dates=H","DateFormat=P","Fill=—","Direction=H","UseDPDF=Y")</f>
        <v>#NAME?</v>
      </c>
      <c r="AM359" s="1" t="e">
        <f ca="1">_xll.BDH($C$353,"GEO_GROW_NET_SALES","FQ1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59" s="1" t="e">
        <f ca="1">_xll.BDH($C$353,"GEO_GROW_EBITDA","FQ1 2015","FQ1 2015","Currency=INR","Period=FQ","BEST_FPERIOD_OVERRIDE=FQ","FILING_STATUS=OR","EQY_CONSOLIDATED=Y","FA_ADJUSTED=GAAP","Sort=A","Dates=H","DateFormat=P","Fill=—","Direction=H","UseDPDF=Y")</f>
        <v>#NAME?</v>
      </c>
      <c r="AO359" s="1" t="e">
        <f ca="1">_xll.BDH($C$353,"GEO_GROW_OPER_INC","FQ1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59" s="1" t="e">
        <f ca="1">_xll.BDH($C$353,"NET_INCOME_TO_COMMON_5_YR_GROWTH","FQ1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59" s="1" t="e">
        <f ca="1">_xll.BDH($C$353,"5Y_GEO_GROWTH_DILUTED_EPS","FQ1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59" s="1" t="e">
        <f ca="1">_xll.BDH($C$353,"GEO_GROW_DVD_PER_SH","FQ1 2015","FQ1 2015","Currency=INR","Period=FQ","BEST_FPERIOD_OVERRIDE=FQ","FILING_STATUS=OR","EQY_CONSOLIDATED=Y","Sort=A","Dates=H","DateFormat=P","Fill=—","Direction=H","UseDPDF=Y")</f>
        <v>#NAME?</v>
      </c>
      <c r="AS359" s="1" t="e">
        <f ca="1">_xll.BDH($C$353,"ACCOUNTS_RECEIVABLE_5_YR_GROWTH","FQ1 2015","FQ1 2015","Currency=INR","Period=FQ","BEST_FPERIOD_OVERRIDE=FQ","FILING_STATUS=OR","EQY_CONSOLIDATED=Y","Sort=A","Dates=H","DateFormat=P","Fill=—","Direction=H","UseDPDF=Y")</f>
        <v>#NAME?</v>
      </c>
      <c r="AT359" s="1" t="e">
        <f ca="1">_xll.BDH($C$353,"INVENTORY_5_YEAR_GROWTH","FQ1 2015","FQ1 2015","Currency=INR","Period=FQ","BEST_FPERIOD_OVERRIDE=FQ","FILING_STATUS=OR","EQY_CONSOLIDATED=Y","Sort=A","Dates=H","DateFormat=P","Fill=—","Direction=H","UseDPDF=Y")</f>
        <v>#NAME?</v>
      </c>
      <c r="AU359" s="1" t="e">
        <f ca="1">_xll.BDH($C$353,"NET_FIXED_ASSETS_5_YEAR_GROWTH","FQ1 2015","FQ1 2015","Currency=INR","Period=FQ","BEST_FPERIOD_OVERRIDE=FQ","FILING_STATUS=OR","EQY_CONSOLIDATED=Y","Sort=A","Dates=H","DateFormat=P","Fill=—","Direction=H","UseDPDF=Y")</f>
        <v>#NAME?</v>
      </c>
      <c r="AV359" s="1" t="e">
        <f ca="1">_xll.BDH($C$353,"GEO_GROW_TOT_ASSET","FQ1 2015","FQ1 2015","Currency=INR","Period=FQ","BEST_FPERIOD_OVERRIDE=FQ","FILING_STATUS=OR","EQY_CONSOLIDATED=Y","Sort=A","Dates=H","DateFormat=P","Fill=—","Direction=H","UseDPDF=Y")</f>
        <v>#NAME?</v>
      </c>
      <c r="AW359" s="1" t="e">
        <f ca="1">_xll.BDH($C$353,"MODIFIED_WORKING_CPTL_5YR_GRWTH","FQ1 2015","FQ1 2015","Currency=INR","Period=FQ","BEST_FPERIOD_OVERRIDE=FQ","FILING_STATUS=OR","EQY_CONSOLIDATED=Y","Sort=A","Dates=H","DateFormat=P","Fill=—","Direction=H","UseDPDF=Y")</f>
        <v>#NAME?</v>
      </c>
      <c r="AX359" s="1" t="e">
        <f ca="1">_xll.BDH($C$353,"WORKING_CAPITAL_5_YEAR_GROWTH","FQ1 2015","FQ1 2015","Currency=INR","Period=FQ","BEST_FPERIOD_OVERRIDE=FQ","FILING_STATUS=OR","EQY_CONSOLIDATED=Y","Sort=A","Dates=H","DateFormat=P","Fill=—","Direction=H","UseDPDF=Y")</f>
        <v>#NAME?</v>
      </c>
      <c r="AY359" s="1" t="e">
        <f ca="1">_xll.BDH($C$353,"ACCOUNTS_PAYABLE_5_YEAR_GROWTH","FQ1 2015","FQ1 2015","Currency=INR","Period=FQ","BEST_FPERIOD_OVERRIDE=FQ","FILING_STATUS=OR","EQY_CONSOLIDATED=Y","Sort=A","Dates=H","DateFormat=P","Fill=—","Direction=H","UseDPDF=Y")</f>
        <v>#NAME?</v>
      </c>
      <c r="AZ359" s="1" t="e">
        <f ca="1">_xll.BDH($C$353,"SHORT_TERM_DEBT_5_YEAR_GROWTH","FQ1 2015","FQ1 2015","Currency=INR","Period=FQ","BEST_FPERIOD_OVERRIDE=FQ","FILING_STATUS=OR","EQY_CONSOLIDATED=Y","Sort=A","Dates=H","DateFormat=P","Fill=—","Direction=H","UseDPDF=Y")</f>
        <v>#NAME?</v>
      </c>
      <c r="BA359" s="1" t="e">
        <f ca="1">_xll.BDH($C$353,"TOTAL_DEBT_5_YEAR_GROWTH","FQ1 2015","FQ1 2015","Currency=INR","Period=FQ","BEST_FPERIOD_OVERRIDE=FQ","FILING_STATUS=OR","EQY_CONSOLIDATED=Y","Sort=A","Dates=H","DateFormat=P","Fill=—","Direction=H","UseDPDF=Y")</f>
        <v>#NAME?</v>
      </c>
      <c r="BB359" s="1" t="e">
        <f ca="1">_xll.BDH($C$353,"GEO_GROW_TOT_SHRHLDR_EQY","FQ1 2015","FQ1 2015","Currency=INR","Period=FQ","BEST_FPERIOD_OVERRIDE=FQ","FILING_STATUS=OR","EQY_CONSOLIDATED=Y","Sort=A","Dates=H","DateFormat=P","Fill=—","Direction=H","UseDPDF=Y")</f>
        <v>#NAME?</v>
      </c>
      <c r="BC359" s="1" t="e">
        <f ca="1">_xll.BDH($C$353,"TOTAL_CAPITAL_5_YEAR_GROWTH","FQ1 2015","FQ1 2015","Currency=INR","Period=FQ","BEST_FPERIOD_OVERRIDE=FQ","FILING_STATUS=OR","EQY_CONSOLIDATED=Y","Sort=A","Dates=H","DateFormat=P","Fill=—","Direction=H","UseDPDF=Y")</f>
        <v>#NAME?</v>
      </c>
      <c r="BD359" s="1" t="e">
        <f ca="1">_xll.BDH($C$353,"GEO_GROW_BOOK_VAL","FQ1 2015","FQ1 2015","Currency=INR","Period=FQ","BEST_FPERIOD_OVERRIDE=FQ","FILING_STATUS=OR","EQY_CONSOLIDATED=Y","Sort=A","Dates=H","DateFormat=P","Fill=—","Direction=H","UseDPDF=Y")</f>
        <v>#NAME?</v>
      </c>
      <c r="BE359" s="1" t="e">
        <f ca="1">_xll.BDH($C$353,"GEO_GROW_CASH_OPER_ACT","FQ1 2015","FQ1 2015","Currency=INR","Period=FQ","BEST_FPERIOD_OVERRIDE=FQ","FILING_STATUS=OR","EQY_CONSOLIDATED=Y","Sort=A","Dates=H","DateFormat=P","Fill=—","Direction=H","UseDPDF=Y")</f>
        <v>#NAME?</v>
      </c>
      <c r="BF359" s="1" t="e">
        <f ca="1">_xll.BDH($C$353,"REVENUE_SEQUENTIAL_GROWTH","FQ1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59" s="1" t="e">
        <f ca="1">_xll.BDH($C$353,"EBITDA_SEQUENTIAL_GROWTH","FQ1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59" s="1" t="e">
        <f ca="1">_xll.BDH($C$353,"OPERATING_INCOME_SEQ_GROWTH","FQ1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59" s="1" t="e">
        <f ca="1">_xll.BDH($C$353,"NET_INCOME_TO_COMMON_SEQ_GROWTH","FQ1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59" s="1" t="e">
        <f ca="1">_xll.BDH($C$353,"EPS_DILUTED_SEQUENTIAL_GROWTH","FQ1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59" s="1" t="e">
        <f ca="1">_xll.BDH($C$353,"DPS_SEQUENTIAL_GROWTH","FQ1 2015","FQ1 2015","Currency=INR","Period=FQ","BEST_FPERIOD_OVERRIDE=FQ","FILING_STATUS=OR","EQY_CONSOLIDATED=Y","Sort=A","Dates=H","DateFormat=P","Fill=—","Direction=H","UseDPDF=Y")</f>
        <v>#NAME?</v>
      </c>
      <c r="BL359" s="1" t="e">
        <f ca="1">_xll.BDH($C$353,"ACCOUNTS_RECEIVABLE_SEQ_GROWTH","FQ1 2015","FQ1 2015","Currency=INR","Period=FQ","BEST_FPERIOD_OVERRIDE=FQ","FILING_STATUS=OR","EQY_CONSOLIDATED=Y","Sort=A","Dates=H","DateFormat=P","Fill=—","Direction=H","UseDPDF=Y")</f>
        <v>#NAME?</v>
      </c>
      <c r="BM359" s="1" t="e">
        <f ca="1">_xll.BDH($C$353,"INVENTORY_SEQUENTIAL_GROWTH","FQ1 2015","FQ1 2015","Currency=INR","Period=FQ","BEST_FPERIOD_OVERRIDE=FQ","FILING_STATUS=OR","EQY_CONSOLIDATED=Y","Sort=A","Dates=H","DateFormat=P","Fill=—","Direction=H","UseDPDF=Y")</f>
        <v>#NAME?</v>
      </c>
      <c r="BN359" s="1" t="e">
        <f ca="1">_xll.BDH($C$353,"FIXED_ASSETS_SEQUENTIAL_GROWTH","FQ1 2015","FQ1 2015","Currency=INR","Period=FQ","BEST_FPERIOD_OVERRIDE=FQ","FILING_STATUS=OR","EQY_CONSOLIDATED=Y","Sort=A","Dates=H","DateFormat=P","Fill=—","Direction=H","UseDPDF=Y")</f>
        <v>#NAME?</v>
      </c>
      <c r="BO359" s="1" t="e">
        <f ca="1">_xll.BDH($C$353,"TOTAL_ASSETS_SEQUENTIAL_GROWTH","FQ1 2015","FQ1 2015","Currency=INR","Period=FQ","BEST_FPERIOD_OVERRIDE=FQ","FILING_STATUS=OR","EQY_CONSOLIDATED=Y","Sort=A","Dates=H","DateFormat=P","Fill=—","Direction=H","UseDPDF=Y")</f>
        <v>#NAME?</v>
      </c>
      <c r="BP359" s="1" t="e">
        <f ca="1">_xll.BDH($C$353,"MODIFIED_WORKING_CPTL_SEQ_GRWTH","FQ1 2015","FQ1 2015","Currency=INR","Period=FQ","BEST_FPERIOD_OVERRIDE=FQ","FILING_STATUS=OR","EQY_CONSOLIDATED=Y","Sort=A","Dates=H","DateFormat=P","Fill=—","Direction=H","UseDPDF=Y")</f>
        <v>#NAME?</v>
      </c>
      <c r="BQ359" s="1" t="e">
        <f ca="1">_xll.BDH($C$353,"WORKING_CAPITAL_SEQ_GROWTH","FQ1 2015","FQ1 2015","Currency=INR","Period=FQ","BEST_FPERIOD_OVERRIDE=FQ","FILING_STATUS=OR","EQY_CONSOLIDATED=Y","Sort=A","Dates=H","DateFormat=P","Fill=—","Direction=H","UseDPDF=Y")</f>
        <v>#NAME?</v>
      </c>
      <c r="BR359" s="1" t="e">
        <f ca="1">_xll.BDH($C$353,"ACCOUNTS_PAYABLE_SEQ_GROWTH","FQ1 2015","FQ1 2015","Currency=INR","Period=FQ","BEST_FPERIOD_OVERRIDE=FQ","FILING_STATUS=OR","EQY_CONSOLIDATED=Y","Sort=A","Dates=H","DateFormat=P","Fill=—","Direction=H","UseDPDF=Y")</f>
        <v>#NAME?</v>
      </c>
      <c r="BS359" s="1" t="e">
        <f ca="1">_xll.BDH($C$353,"ST_DEBT_SEQUENTIAL_GROWTH","FQ1 2015","FQ1 2015","Currency=INR","Period=FQ","BEST_FPERIOD_OVERRIDE=FQ","FILING_STATUS=OR","EQY_CONSOLIDATED=Y","Sort=A","Dates=H","DateFormat=P","Fill=—","Direction=H","UseDPDF=Y")</f>
        <v>#NAME?</v>
      </c>
      <c r="BT359" s="1" t="e">
        <f ca="1">_xll.BDH($C$353,"TOTAL_DEBT_SEQUENTIAL_GROWTH","FQ1 2015","FQ1 2015","Currency=INR","Period=FQ","BEST_FPERIOD_OVERRIDE=FQ","FILING_STATUS=OR","EQY_CONSOLIDATED=Y","Sort=A","Dates=H","DateFormat=P","Fill=—","Direction=H","UseDPDF=Y")</f>
        <v>#NAME?</v>
      </c>
      <c r="BU359" s="1" t="e">
        <f ca="1">_xll.BDH($C$353,"TOTAL_EQUITY_SEQUENTIAL_GROWTH","FQ1 2015","FQ1 2015","Currency=INR","Period=FQ","BEST_FPERIOD_OVERRIDE=FQ","FILING_STATUS=OR","EQY_CONSOLIDATED=Y","Sort=A","Dates=H","DateFormat=P","Fill=—","Direction=H","UseDPDF=Y")</f>
        <v>#NAME?</v>
      </c>
      <c r="BV359" s="1" t="e">
        <f ca="1">_xll.BDH($C$353,"TOTAL_CAPITAL_SEQUENTIAL_GROWTH","FQ1 2015","FQ1 2015","Currency=INR","Period=FQ","BEST_FPERIOD_OVERRIDE=FQ","FILING_STATUS=OR","EQY_CONSOLIDATED=Y","Sort=A","Dates=H","DateFormat=P","Fill=—","Direction=H","UseDPDF=Y")</f>
        <v>#NAME?</v>
      </c>
      <c r="BW359" s="1" t="e">
        <f ca="1">_xll.BDH($C$353,"BPS_SEQUENTIAL_GROWTH","FQ1 2015","FQ1 2015","Currency=INR","Period=FQ","BEST_FPERIOD_OVERRIDE=FQ","FILING_STATUS=OR","EQY_CONSOLIDATED=Y","Sort=A","Dates=H","DateFormat=P","Fill=—","Direction=H","UseDPDF=Y")</f>
        <v>#NAME?</v>
      </c>
      <c r="BX359" s="1" t="e">
        <f ca="1">_xll.BDH($C$353,"CFO_SEQUENTIAL_GROWTH","FQ1 2015","FQ1 2015","Currency=INR","Period=FQ","BEST_FPERIOD_OVERRIDE=FQ","FILING_STATUS=OR","EQY_CONSOLIDATED=Y","Sort=A","Dates=H","DateFormat=P","Fill=—","Direction=H","UseDPDF=Y")</f>
        <v>#NAME?</v>
      </c>
      <c r="BY359" s="2" t="e">
        <f ca="1">_xll.BDH($C$353,"SHORT_AND_LONG_TERM_DEBT","FQ1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59" s="2" t="e">
        <f ca="1">_xll.BDH($C$353,"BS_ST_BORROW","FQ1 2015","FQ1 2015","Currency=INR","Period=FQ","BEST_FPERIOD_OVERRIDE=FQ","FILING_STATUS=OR","EQY_CONSOLIDATED=Y","SCALING_FORMAT=MLN","Sort=A","Dates=H","DateFormat=P","Fill=—","Direction=H","UseDPDF=Y")</f>
        <v>#NAME?</v>
      </c>
      <c r="CA359" s="2" t="e">
        <f ca="1">_xll.BDH($C$353,"BS_LT_BORROW","FQ1 2015","FQ1 2015","Currency=INR","Period=FQ","BEST_FPERIOD_OVERRIDE=FQ","FILING_STATUS=OR","EQY_CONSOLIDATED=Y","SCALING_FORMAT=MLN","Sort=A","Dates=H","DateFormat=P","Fill=—","Direction=H","UseDPDF=Y")</f>
        <v>#NAME?</v>
      </c>
      <c r="CB359" s="1" t="e">
        <f ca="1">_xll.BDH($C$353,"TOT_DEBT_TO_EBITDA","FQ1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59" s="1" t="e">
        <f ca="1">_xll.BDH($C$353,"NET_DEBT_TO_EBITDA","FQ1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59" s="1" t="e">
        <f ca="1">_xll.BDH($C$353,"TOTAL_DEBT_TO_EBIT","FQ1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59" s="1" t="e">
        <f ca="1">_xll.BDH($C$353,"NET_DEBT_TO_EBIT","FQ1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359" s="1" t="e">
        <f ca="1">_xll.BDH($C$353,"EBITDA_TO_INTEREST_EXPN","FQ1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59" s="1" t="e">
        <f ca="1">_xll.BDH($C$353,"COM_EQY_TO_TOT_ASSET","FQ1 2015","FQ1 2015","Currency=INR","Period=FQ","BEST_FPERIOD_OVERRIDE=FQ","FILING_STATUS=OR","EQY_CONSOLIDATED=Y","Sort=A","Dates=H","DateFormat=P","Fill=—","Direction=H","UseDPDF=Y")</f>
        <v>#NAME?</v>
      </c>
      <c r="CH359" s="1" t="e">
        <f ca="1">_xll.BDH($C$353,"LT_DEBT_TO_TOT_EQY","FQ1 2015","FQ1 2015","Currency=INR","Period=FQ","BEST_FPERIOD_OVERRIDE=FQ","FILING_STATUS=OR","EQY_CONSOLIDATED=Y","Sort=A","Dates=H","DateFormat=P","Fill=—","Direction=H","UseDPDF=Y")</f>
        <v>#NAME?</v>
      </c>
      <c r="CI359" s="1" t="e">
        <f ca="1">_xll.BDH($C$353,"LT_DEBT_TO_TOT_CAP","FQ1 2015","FQ1 2015","Currency=INR","Period=FQ","BEST_FPERIOD_OVERRIDE=FQ","FILING_STATUS=OR","EQY_CONSOLIDATED=Y","Sort=A","Dates=H","DateFormat=P","Fill=—","Direction=H","UseDPDF=Y")</f>
        <v>#NAME?</v>
      </c>
      <c r="CJ359" s="1" t="e">
        <f ca="1">_xll.BDH($C$353,"LT_DEBT_TO_TOT_ASSET","FQ1 2015","FQ1 2015","Currency=INR","Period=FQ","BEST_FPERIOD_OVERRIDE=FQ","FILING_STATUS=OR","EQY_CONSOLIDATED=Y","Sort=A","Dates=H","DateFormat=P","Fill=—","Direction=H","UseDPDF=Y")</f>
        <v>#NAME?</v>
      </c>
      <c r="CK359" s="1" t="e">
        <f ca="1">_xll.BDH($C$353,"TOT_DEBT_TO_TOT_EQY","FQ1 2015","FQ1 2015","Currency=INR","Period=FQ","BEST_FPERIOD_OVERRIDE=FQ","FILING_STATUS=OR","EQY_CONSOLIDATED=Y","Sort=A","Dates=H","DateFormat=P","Fill=—","Direction=H","UseDPDF=Y")</f>
        <v>#NAME?</v>
      </c>
      <c r="CL359" s="1" t="e">
        <f ca="1">_xll.BDH($C$353,"TOT_DEBT_TO_TOT_CAP","FQ1 2015","FQ1 2015","Currency=INR","Period=FQ","BEST_FPERIOD_OVERRIDE=FQ","FILING_STATUS=OR","EQY_CONSOLIDATED=Y","Sort=A","Dates=H","DateFormat=P","Fill=—","Direction=H","UseDPDF=Y")</f>
        <v>#NAME?</v>
      </c>
      <c r="CM359" s="1" t="e">
        <f ca="1">_xll.BDH($C$353,"TOT_DEBT_TO_TOT_ASSET","FQ1 2015","FQ1 2015","Currency=INR","Period=FQ","BEST_FPERIOD_OVERRIDE=FQ","FILING_STATUS=OR","EQY_CONSOLIDATED=Y","Sort=A","Dates=H","DateFormat=P","Fill=—","Direction=H","UseDPDF=Y")</f>
        <v>#NAME?</v>
      </c>
      <c r="CN359" s="1" t="e">
        <f ca="1">_xll.BDH($C$353,"NET_DEBT_TO_SHRHLDR_EQTY","FQ1 2015","FQ1 2015","Currency=INR","Period=FQ","BEST_FPERIOD_OVERRIDE=FQ","FILING_STATUS=OR","EQY_CONSOLIDATED=Y","Sort=A","Dates=H","DateFormat=P","Fill=—","Direction=H","UseDPDF=Y")</f>
        <v>#NAME?</v>
      </c>
      <c r="CO359" s="1" t="e">
        <f ca="1">_xll.BDH($C$353,"NET_DEBT_%_CAPITAL","FQ1 2015","FQ1 2015","Currency=INR","Period=FQ","BEST_FPERIOD_OVERRIDE=FQ","FILING_STATUS=OR","EQY_CONSOLIDATED=Y","Sort=A","Dates=H","DateFormat=P","Fill=—","Direction=H","UseDPDF=Y")</f>
        <v>#NAME?</v>
      </c>
      <c r="CP359" s="2" t="e">
        <f ca="1">_xll.BDH($C$353,"EBITDA","FQ1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59" s="2" t="e">
        <f ca="1">_xll.BDH($C$353,"EBITDA_AFTER_CAPEX","FQ1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59" s="2" t="e">
        <f ca="1">_xll.BDH($C$353,"IS_OPER_INC","FQ1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59" s="1" t="e">
        <f ca="1">_xll.BDH($C$353,"CASH_RATIO","FQ1 2015","FQ1 2015","Currency=INR","Period=FQ","BEST_FPERIOD_OVERRIDE=FQ","FILING_STATUS=OR","EQY_CONSOLIDATED=Y","Sort=A","Dates=H","DateFormat=P","Fill=—","Direction=H","UseDPDF=Y")</f>
        <v>#NAME?</v>
      </c>
      <c r="CT359" s="1" t="e">
        <f ca="1">_xll.BDH($C$353,"CUR_RATIO","FQ1 2015","FQ1 2015","Currency=INR","Period=FQ","BEST_FPERIOD_OVERRIDE=FQ","FILING_STATUS=OR","EQY_CONSOLIDATED=Y","Sort=A","Dates=H","DateFormat=P","Fill=—","Direction=H","UseDPDF=Y")</f>
        <v>#NAME?</v>
      </c>
      <c r="CU359" s="1" t="e">
        <f ca="1">_xll.BDH($C$353,"QUICK_RATIO","FQ1 2015","FQ1 2015","Currency=INR","Period=FQ","BEST_FPERIOD_OVERRIDE=FQ","FILING_STATUS=OR","EQY_CONSOLIDATED=Y","Sort=A","Dates=H","DateFormat=P","Fill=—","Direction=H","UseDPDF=Y")</f>
        <v>#NAME?</v>
      </c>
      <c r="CV359" s="1" t="e">
        <f ca="1">_xll.BDH($C$353,"ALTMAN_Z_SCORE","FQ1 2015","FQ1 2015","Currency=INR","Period=FQ","BEST_FPERIOD_OVERRIDE=FQ","FILING_STATUS=OR","EQY_CONSOLIDATED=Y","Sort=A","Dates=H","DateFormat=P","Fill=—","Direction=H","UseDPDF=Y")</f>
        <v>#NAME?</v>
      </c>
      <c r="CW359" s="3" t="e">
        <f ca="1">_xll.BDH($C$353,"ACCT_RCV_TURN","FQ1 2015","FQ1 2015","Currency=INR","Period=FQ","BEST_FPERIOD_OVERRIDE=FQ","FILING_STATUS=OR","EQY_CONSOLIDATED=Y","FA_ADJUSTED=GAAP","Sort=A","Dates=H","DateFormat=P","Fill=—","Direction=H","UseDPDF=Y")</f>
        <v>#NAME?</v>
      </c>
      <c r="CX359" s="1" t="e">
        <f ca="1">_xll.BDH($C$353,"ACCT_RCV_DAYS","FQ1 2015","FQ1 2015","Currency=INR","Period=FQ","BEST_FPERIOD_OVERRIDE=FQ","FILING_STATUS=OR","EQY_CONSOLIDATED=Y","FA_ADJUSTED=GAAP","Sort=A","Dates=H","DateFormat=P","Fill=—","Direction=H","UseDPDF=Y")</f>
        <v>#NAME?</v>
      </c>
      <c r="CY359" s="3" t="e">
        <f ca="1">_xll.BDH($C$353,"INVENT_TURN","FQ1 2015","FQ1 2015","Currency=INR","Period=FQ","BEST_FPERIOD_OVERRIDE=FQ","FILING_STATUS=OR","EQY_CONSOLIDATED=Y","FA_ADJUSTED=GAAP","Sort=A","Dates=H","DateFormat=P","Fill=—","Direction=H","UseDPDF=Y")</f>
        <v>#NAME?</v>
      </c>
      <c r="CZ359" s="1" t="e">
        <f ca="1">_xll.BDH($C$353,"INVENT_DAYS","FQ1 2015","FQ1 2015","Currency=INR","Period=FQ","BEST_FPERIOD_OVERRIDE=FQ","FILING_STATUS=OR","EQY_CONSOLIDATED=Y","FA_ADJUSTED=GAAP","Sort=A","Dates=H","DateFormat=P","Fill=—","Direction=H","UseDPDF=Y")</f>
        <v>#NAME?</v>
      </c>
      <c r="DA359" s="3" t="e">
        <f ca="1">_xll.BDH($C$353,"ACCOUNTS_PAYABLE_TURNOVER","FQ1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59" s="1" t="e">
        <f ca="1">_xll.BDH($C$353,"ACCOUNTS_PAYABLE_TURNOVER_DAYS","FQ1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59" s="3" t="e">
        <f ca="1">_xll.BDH($C$353,"CASH_CONVERSION_CYCLE","FQ1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59" s="3" t="e">
        <f ca="1">_xll.BDH($C$353,"INV_TO_CASH_DAYS","FQ1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359" s="4" t="e">
        <f ca="1">_xll.BDH($C$353,"BS_INVENTORIES","FQ1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359" s="2" t="e">
        <f ca="1">_xll.BDH($C$353,"INVTRY_RAW_MATERIALS","FQ1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59" s="2" t="e">
        <f ca="1">_xll.BDH($C$353,"INVTRY_IN_PROGRESS","FQ1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59" s="2" t="e">
        <f ca="1">_xll.BDH($C$353,"INVTRY_FINISHED_GOODS","FQ1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59" s="2" t="e">
        <f ca="1">_xll.BDH($C$353,"BS_OTHER_INV","FQ1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60" spans="1:113" x14ac:dyDescent="0.3">
      <c r="A360" s="6"/>
      <c r="B360" s="6"/>
      <c r="C360" s="6"/>
      <c r="D360" s="6"/>
      <c r="E360" t="s">
        <v>5</v>
      </c>
      <c r="F360" t="e">
        <f ca="1">_xll.BDH($C$353,"RETURN_COM_EQY","FQ2 2015","FQ2 2015","Currency=INR","Period=FQ","BEST_FPERIOD_OVERRIDE=FQ","FILING_STATUS=OR","EQY_CONSOLIDATED=Y","FA_ADJUSTED=GAAP","Sort=A","Dates=H","DateFormat=P","Fill=—","Direction=H","UseDPDF=Y")</f>
        <v>#NAME?</v>
      </c>
      <c r="G360" t="e">
        <f ca="1">_xll.BDH($C$353,"RETURN_ON_ASSET","FQ2 2015","FQ2 2015","Currency=INR","Period=FQ","BEST_FPERIOD_OVERRIDE=FQ","FILING_STATUS=OR","EQY_CONSOLIDATED=Y","FA_ADJUSTED=GAAP","Sort=A","Dates=H","DateFormat=P","Fill=—","Direction=H","UseDPDF=Y")</f>
        <v>#NAME?</v>
      </c>
      <c r="H360" t="e">
        <f ca="1">_xll.BDH($C$353,"RETURN_ON_CAP","FQ2 2015","FQ2 2015","Currency=INR","Period=FQ","BEST_FPERIOD_OVERRIDE=FQ","FILING_STATUS=OR","EQY_CONSOLIDATED=Y","FA_ADJUSTED=GAAP","Sort=A","Dates=H","DateFormat=P","Fill=—","Direction=H","UseDPDF=Y")</f>
        <v>#NAME?</v>
      </c>
      <c r="I360" t="e">
        <f ca="1">_xll.BDH($C$353,"RETURN_ON_INV_CAPITAL","FQ2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60" t="e">
        <f ca="1">_xll.BDH($C$353,"EBITDA_TO_REVENUE","FQ2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360" t="e">
        <f ca="1">_xll.BDH($C$353,"OPER_MARGIN","FQ2 2015","FQ2 2015","Currency=INR","Period=FQ","BEST_FPERIOD_OVERRIDE=FQ","FILING_STATUS=OR","EQY_CONSOLIDATED=Y","FA_ADJUSTED=GAAP","Sort=A","Dates=H","DateFormat=P","Fill=—","Direction=H","UseDPDF=Y")</f>
        <v>#NAME?</v>
      </c>
      <c r="L360" t="e">
        <f ca="1">_xll.BDH($C$353,"INCREMENTAL_OPERATING_MARGIN","FQ2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60" t="e">
        <f ca="1">_xll.BDH($C$353,"PRETAX_INC_TO_NET_SALES","FQ2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60" t="e">
        <f ca="1">_xll.BDH($C$353,"INC_BEF_XO_ITEMS_TO_NET_SALES","FQ2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60" t="e">
        <f ca="1">_xll.BDH($C$353,"PROF_MARGIN","FQ2 2015","FQ2 2015","Currency=INR","Period=FQ","BEST_FPERIOD_OVERRIDE=FQ","FILING_STATUS=OR","EQY_CONSOLIDATED=Y","FA_ADJUSTED=GAAP","Sort=A","Dates=H","DateFormat=P","Fill=—","Direction=H","UseDPDF=Y")</f>
        <v>#NAME?</v>
      </c>
      <c r="P360" t="e">
        <f ca="1">_xll.BDH($C$353,"NET_INCOME_TO_COMMON_MARGIN","FQ2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60" t="e">
        <f ca="1">_xll.BDH($C$353,"EFF_TAX_RATE","FQ2 2015","FQ2 2015","Currency=INR","Period=FQ","BEST_FPERIOD_OVERRIDE=FQ","FILING_STATUS=OR","EQY_CONSOLIDATED=Y","FA_ADJUSTED=GAAP","Sort=A","Dates=H","DateFormat=P","Fill=—","Direction=H","UseDPDF=Y")</f>
        <v>#NAME?</v>
      </c>
      <c r="R360" t="e">
        <f ca="1">_xll.BDH($C$353,"DVD_PAYOUT_RATIO","FQ2 2015","FQ2 2015","Currency=INR","Period=FQ","BEST_FPERIOD_OVERRIDE=FQ","FILING_STATUS=OR","EQY_CONSOLIDATED=Y","FA_ADJUSTED=GAAP","Sort=A","Dates=H","DateFormat=P","Fill=—","Direction=H","UseDPDF=Y")</f>
        <v>#NAME?</v>
      </c>
      <c r="S360" t="e">
        <f ca="1">_xll.BDH($C$353,"SUSTAIN_GROWTH_RT","FQ2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360" s="1" t="e">
        <f ca="1">_xll.BDH($C$353,"SALES_GROWTH","FQ2 2015","FQ2 2015","Currency=INR","Period=FQ","BEST_FPERIOD_OVERRIDE=FQ","FILING_STATUS=OR","EQY_CONSOLIDATED=Y","FA_ADJUSTED=GAAP","Sort=A","Dates=H","DateFormat=P","Fill=—","Direction=H","UseDPDF=Y")</f>
        <v>#NAME?</v>
      </c>
      <c r="U360" s="1" t="e">
        <f ca="1">_xll.BDH($C$353,"EBITDA_GROWTH","FQ2 2015","FQ2 2015","Currency=INR","Period=FQ","BEST_FPERIOD_OVERRIDE=FQ","FILING_STATUS=OR","EQY_CONSOLIDATED=Y","FA_ADJUSTED=GAAP","Sort=A","Dates=H","DateFormat=P","Fill=—","Direction=H","UseDPDF=Y")</f>
        <v>#NAME?</v>
      </c>
      <c r="V360" s="1" t="e">
        <f ca="1">_xll.BDH($C$353,"OPER_INC_GROWTH","FQ2 2015","FQ2 2015","Currency=INR","Period=FQ","BEST_FPERIOD_OVERRIDE=FQ","FILING_STATUS=OR","EQY_CONSOLIDATED=Y","FA_ADJUSTED=GAAP","Sort=A","Dates=H","DateFormat=P","Fill=—","Direction=H","UseDPDF=Y")</f>
        <v>#NAME?</v>
      </c>
      <c r="W360" s="1" t="e">
        <f ca="1">_xll.BDH($C$353,"EARN_FOR_COM_GROWTH","FQ2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60" s="1" t="e">
        <f ca="1">_xll.BDH($C$353,"DILUTED_EPS_AFT_XO_ITEMS_GROWTH","FQ2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60" s="1" t="e">
        <f ca="1">_xll.BDH($C$353,"DIVIDEND_PER_SHARE_1_YEAR_GROWTH","FQ2 2015","FQ2 2015","Currency=INR","Period=FQ","BEST_FPERIOD_OVERRIDE=FQ","FILING_STATUS=OR","EQY_CONSOLIDATED=Y","Sort=A","Dates=H","DateFormat=P","Fill=—","Direction=H","UseDPDF=Y")</f>
        <v>#NAME?</v>
      </c>
      <c r="Z360" s="1" t="e">
        <f ca="1">_xll.BDH($C$353,"ACCOUNTS_RECEIVABLE_GROWTH","FQ2 2015","FQ2 2015","Currency=INR","Period=FQ","BEST_FPERIOD_OVERRIDE=FQ","FILING_STATUS=OR","EQY_CONSOLIDATED=Y","Sort=A","Dates=H","DateFormat=P","Fill=—","Direction=H","UseDPDF=Y")</f>
        <v>#NAME?</v>
      </c>
      <c r="AA360" s="1" t="e">
        <f ca="1">_xll.BDH($C$353,"INVENTORY_GROWTH","FQ2 2015","FQ2 2015","Currency=INR","Period=FQ","BEST_FPERIOD_OVERRIDE=FQ","FILING_STATUS=OR","EQY_CONSOLIDATED=Y","Sort=A","Dates=H","DateFormat=P","Fill=—","Direction=H","UseDPDF=Y")</f>
        <v>#NAME?</v>
      </c>
      <c r="AB360" s="1" t="e">
        <f ca="1">_xll.BDH($C$353,"NET_FIXED_ASSETS_1_YEAR_GROWTH","FQ2 2015","FQ2 2015","Currency=INR","Period=FQ","BEST_FPERIOD_OVERRIDE=FQ","FILING_STATUS=OR","EQY_CONSOLIDATED=Y","Sort=A","Dates=H","DateFormat=P","Fill=—","Direction=H","UseDPDF=Y")</f>
        <v>#NAME?</v>
      </c>
      <c r="AC360" s="1" t="e">
        <f ca="1">_xll.BDH($C$353,"ASSET_GROWTH","FQ2 2015","FQ2 2015","Currency=INR","Period=FQ","BEST_FPERIOD_OVERRIDE=FQ","FILING_STATUS=OR","EQY_CONSOLIDATED=Y","Sort=A","Dates=H","DateFormat=P","Fill=—","Direction=H","UseDPDF=Y")</f>
        <v>#NAME?</v>
      </c>
      <c r="AD360" s="1" t="e">
        <f ca="1">_xll.BDH($C$353,"MODIFIED_WORK_CAP_GROWTH","FQ2 2015","FQ2 2015","Currency=INR","Period=FQ","BEST_FPERIOD_OVERRIDE=FQ","FILING_STATUS=OR","EQY_CONSOLIDATED=Y","Sort=A","Dates=H","DateFormat=P","Fill=—","Direction=H","UseDPDF=Y")</f>
        <v>#NAME?</v>
      </c>
      <c r="AE360" s="1" t="e">
        <f ca="1">_xll.BDH($C$353,"WORK_CAP_GROWTH","FQ2 2015","FQ2 2015","Currency=INR","Period=FQ","BEST_FPERIOD_OVERRIDE=FQ","FILING_STATUS=OR","EQY_CONSOLIDATED=Y","Sort=A","Dates=H","DateFormat=P","Fill=—","Direction=H","UseDPDF=Y")</f>
        <v>#NAME?</v>
      </c>
      <c r="AF360" s="1" t="e">
        <f ca="1">_xll.BDH($C$353,"ACCOUNTS_PAYABLE_GROWTH_1YR","FQ2 2015","FQ2 2015","Currency=INR","Period=FQ","BEST_FPERIOD_OVERRIDE=FQ","FILING_STATUS=OR","EQY_CONSOLIDATED=Y","Sort=A","Dates=H","DateFormat=P","Fill=—","Direction=H","UseDPDF=Y")</f>
        <v>#NAME?</v>
      </c>
      <c r="AG360" s="1" t="e">
        <f ca="1">_xll.BDH($C$353,"SHORT_TERM_DEBT_1_YEAR_GROWTH","FQ2 2015","FQ2 2015","Currency=INR","Period=FQ","BEST_FPERIOD_OVERRIDE=FQ","FILING_STATUS=OR","EQY_CONSOLIDATED=Y","Sort=A","Dates=H","DateFormat=P","Fill=—","Direction=H","UseDPDF=Y")</f>
        <v>#NAME?</v>
      </c>
      <c r="AH360" s="1" t="e">
        <f ca="1">_xll.BDH($C$353,"TOTAL_DEBT_1_YEAR_GROWTH","FQ2 2015","FQ2 2015","Currency=INR","Period=FQ","BEST_FPERIOD_OVERRIDE=FQ","FILING_STATUS=OR","EQY_CONSOLIDATED=Y","Sort=A","Dates=H","DateFormat=P","Fill=—","Direction=H","UseDPDF=Y")</f>
        <v>#NAME?</v>
      </c>
      <c r="AI360" s="1" t="e">
        <f ca="1">_xll.BDH($C$353,"TOTAL_EQUITY_1_YEAR_GROWTH","FQ2 2015","FQ2 2015","Currency=INR","Period=FQ","BEST_FPERIOD_OVERRIDE=FQ","FILING_STATUS=OR","EQY_CONSOLIDATED=Y","Sort=A","Dates=H","DateFormat=P","Fill=—","Direction=H","UseDPDF=Y")</f>
        <v>#NAME?</v>
      </c>
      <c r="AJ360" s="1" t="e">
        <f ca="1">_xll.BDH($C$353,"GROWTH_IN_CAP","FQ2 2015","FQ2 2015","Currency=INR","Period=FQ","BEST_FPERIOD_OVERRIDE=FQ","FILING_STATUS=OR","EQY_CONSOLIDATED=Y","Sort=A","Dates=H","DateFormat=P","Fill=—","Direction=H","UseDPDF=Y")</f>
        <v>#NAME?</v>
      </c>
      <c r="AK360" s="1" t="e">
        <f ca="1">_xll.BDH($C$353,"BVPS_GROWTH","FQ2 2015","FQ2 2015","Currency=INR","Period=FQ","BEST_FPERIOD_OVERRIDE=FQ","FILING_STATUS=OR","EQY_CONSOLIDATED=Y","Sort=A","Dates=H","DateFormat=P","Fill=—","Direction=H","UseDPDF=Y")</f>
        <v>#NAME?</v>
      </c>
      <c r="AL360" s="1" t="e">
        <f ca="1">_xll.BDH($C$353,"CASH_FLOW_GROWTH","FQ2 2015","FQ2 2015","Currency=INR","Period=FQ","BEST_FPERIOD_OVERRIDE=FQ","FILING_STATUS=OR","EQY_CONSOLIDATED=Y","Sort=A","Dates=H","DateFormat=P","Fill=—","Direction=H","UseDPDF=Y")</f>
        <v>#NAME?</v>
      </c>
      <c r="AM360" s="1" t="e">
        <f ca="1">_xll.BDH($C$353,"GEO_GROW_NET_SALES","FQ2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60" s="1" t="e">
        <f ca="1">_xll.BDH($C$353,"GEO_GROW_EBITDA","FQ2 2015","FQ2 2015","Currency=INR","Period=FQ","BEST_FPERIOD_OVERRIDE=FQ","FILING_STATUS=OR","EQY_CONSOLIDATED=Y","FA_ADJUSTED=GAAP","Sort=A","Dates=H","DateFormat=P","Fill=—","Direction=H","UseDPDF=Y")</f>
        <v>#NAME?</v>
      </c>
      <c r="AO360" s="1" t="e">
        <f ca="1">_xll.BDH($C$353,"GEO_GROW_OPER_INC","FQ2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60" s="1" t="e">
        <f ca="1">_xll.BDH($C$353,"NET_INCOME_TO_COMMON_5_YR_GROWTH","FQ2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60" s="1" t="e">
        <f ca="1">_xll.BDH($C$353,"5Y_GEO_GROWTH_DILUTED_EPS","FQ2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60" s="1" t="e">
        <f ca="1">_xll.BDH($C$353,"GEO_GROW_DVD_PER_SH","FQ2 2015","FQ2 2015","Currency=INR","Period=FQ","BEST_FPERIOD_OVERRIDE=FQ","FILING_STATUS=OR","EQY_CONSOLIDATED=Y","Sort=A","Dates=H","DateFormat=P","Fill=—","Direction=H","UseDPDF=Y")</f>
        <v>#NAME?</v>
      </c>
      <c r="AS360" s="1" t="e">
        <f ca="1">_xll.BDH($C$353,"ACCOUNTS_RECEIVABLE_5_YR_GROWTH","FQ2 2015","FQ2 2015","Currency=INR","Period=FQ","BEST_FPERIOD_OVERRIDE=FQ","FILING_STATUS=OR","EQY_CONSOLIDATED=Y","Sort=A","Dates=H","DateFormat=P","Fill=—","Direction=H","UseDPDF=Y")</f>
        <v>#NAME?</v>
      </c>
      <c r="AT360" s="1" t="e">
        <f ca="1">_xll.BDH($C$353,"INVENTORY_5_YEAR_GROWTH","FQ2 2015","FQ2 2015","Currency=INR","Period=FQ","BEST_FPERIOD_OVERRIDE=FQ","FILING_STATUS=OR","EQY_CONSOLIDATED=Y","Sort=A","Dates=H","DateFormat=P","Fill=—","Direction=H","UseDPDF=Y")</f>
        <v>#NAME?</v>
      </c>
      <c r="AU360" s="1" t="e">
        <f ca="1">_xll.BDH($C$353,"NET_FIXED_ASSETS_5_YEAR_GROWTH","FQ2 2015","FQ2 2015","Currency=INR","Period=FQ","BEST_FPERIOD_OVERRIDE=FQ","FILING_STATUS=OR","EQY_CONSOLIDATED=Y","Sort=A","Dates=H","DateFormat=P","Fill=—","Direction=H","UseDPDF=Y")</f>
        <v>#NAME?</v>
      </c>
      <c r="AV360" s="1" t="e">
        <f ca="1">_xll.BDH($C$353,"GEO_GROW_TOT_ASSET","FQ2 2015","FQ2 2015","Currency=INR","Period=FQ","BEST_FPERIOD_OVERRIDE=FQ","FILING_STATUS=OR","EQY_CONSOLIDATED=Y","Sort=A","Dates=H","DateFormat=P","Fill=—","Direction=H","UseDPDF=Y")</f>
        <v>#NAME?</v>
      </c>
      <c r="AW360" s="1" t="e">
        <f ca="1">_xll.BDH($C$353,"MODIFIED_WORKING_CPTL_5YR_GRWTH","FQ2 2015","FQ2 2015","Currency=INR","Period=FQ","BEST_FPERIOD_OVERRIDE=FQ","FILING_STATUS=OR","EQY_CONSOLIDATED=Y","Sort=A","Dates=H","DateFormat=P","Fill=—","Direction=H","UseDPDF=Y")</f>
        <v>#NAME?</v>
      </c>
      <c r="AX360" s="1" t="e">
        <f ca="1">_xll.BDH($C$353,"WORKING_CAPITAL_5_YEAR_GROWTH","FQ2 2015","FQ2 2015","Currency=INR","Period=FQ","BEST_FPERIOD_OVERRIDE=FQ","FILING_STATUS=OR","EQY_CONSOLIDATED=Y","Sort=A","Dates=H","DateFormat=P","Fill=—","Direction=H","UseDPDF=Y")</f>
        <v>#NAME?</v>
      </c>
      <c r="AY360" s="1" t="e">
        <f ca="1">_xll.BDH($C$353,"ACCOUNTS_PAYABLE_5_YEAR_GROWTH","FQ2 2015","FQ2 2015","Currency=INR","Period=FQ","BEST_FPERIOD_OVERRIDE=FQ","FILING_STATUS=OR","EQY_CONSOLIDATED=Y","Sort=A","Dates=H","DateFormat=P","Fill=—","Direction=H","UseDPDF=Y")</f>
        <v>#NAME?</v>
      </c>
      <c r="AZ360" s="1" t="e">
        <f ca="1">_xll.BDH($C$353,"SHORT_TERM_DEBT_5_YEAR_GROWTH","FQ2 2015","FQ2 2015","Currency=INR","Period=FQ","BEST_FPERIOD_OVERRIDE=FQ","FILING_STATUS=OR","EQY_CONSOLIDATED=Y","Sort=A","Dates=H","DateFormat=P","Fill=—","Direction=H","UseDPDF=Y")</f>
        <v>#NAME?</v>
      </c>
      <c r="BA360" s="1" t="e">
        <f ca="1">_xll.BDH($C$353,"TOTAL_DEBT_5_YEAR_GROWTH","FQ2 2015","FQ2 2015","Currency=INR","Period=FQ","BEST_FPERIOD_OVERRIDE=FQ","FILING_STATUS=OR","EQY_CONSOLIDATED=Y","Sort=A","Dates=H","DateFormat=P","Fill=—","Direction=H","UseDPDF=Y")</f>
        <v>#NAME?</v>
      </c>
      <c r="BB360" s="1" t="e">
        <f ca="1">_xll.BDH($C$353,"GEO_GROW_TOT_SHRHLDR_EQY","FQ2 2015","FQ2 2015","Currency=INR","Period=FQ","BEST_FPERIOD_OVERRIDE=FQ","FILING_STATUS=OR","EQY_CONSOLIDATED=Y","Sort=A","Dates=H","DateFormat=P","Fill=—","Direction=H","UseDPDF=Y")</f>
        <v>#NAME?</v>
      </c>
      <c r="BC360" s="1" t="e">
        <f ca="1">_xll.BDH($C$353,"TOTAL_CAPITAL_5_YEAR_GROWTH","FQ2 2015","FQ2 2015","Currency=INR","Period=FQ","BEST_FPERIOD_OVERRIDE=FQ","FILING_STATUS=OR","EQY_CONSOLIDATED=Y","Sort=A","Dates=H","DateFormat=P","Fill=—","Direction=H","UseDPDF=Y")</f>
        <v>#NAME?</v>
      </c>
      <c r="BD360" s="1" t="e">
        <f ca="1">_xll.BDH($C$353,"GEO_GROW_BOOK_VAL","FQ2 2015","FQ2 2015","Currency=INR","Period=FQ","BEST_FPERIOD_OVERRIDE=FQ","FILING_STATUS=OR","EQY_CONSOLIDATED=Y","Sort=A","Dates=H","DateFormat=P","Fill=—","Direction=H","UseDPDF=Y")</f>
        <v>#NAME?</v>
      </c>
      <c r="BE360" s="1" t="e">
        <f ca="1">_xll.BDH($C$353,"GEO_GROW_CASH_OPER_ACT","FQ2 2015","FQ2 2015","Currency=INR","Period=FQ","BEST_FPERIOD_OVERRIDE=FQ","FILING_STATUS=OR","EQY_CONSOLIDATED=Y","Sort=A","Dates=H","DateFormat=P","Fill=—","Direction=H","UseDPDF=Y")</f>
        <v>#NAME?</v>
      </c>
      <c r="BF360" s="1" t="e">
        <f ca="1">_xll.BDH($C$353,"REVENUE_SEQUENTIAL_GROWTH","FQ2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60" s="1" t="e">
        <f ca="1">_xll.BDH($C$353,"EBITDA_SEQUENTIAL_GROWTH","FQ2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60" s="1" t="e">
        <f ca="1">_xll.BDH($C$353,"OPERATING_INCOME_SEQ_GROWTH","FQ2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60" s="1" t="e">
        <f ca="1">_xll.BDH($C$353,"NET_INCOME_TO_COMMON_SEQ_GROWTH","FQ2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60" s="1" t="e">
        <f ca="1">_xll.BDH($C$353,"EPS_DILUTED_SEQUENTIAL_GROWTH","FQ2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60" s="1" t="e">
        <f ca="1">_xll.BDH($C$353,"DPS_SEQUENTIAL_GROWTH","FQ2 2015","FQ2 2015","Currency=INR","Period=FQ","BEST_FPERIOD_OVERRIDE=FQ","FILING_STATUS=OR","EQY_CONSOLIDATED=Y","Sort=A","Dates=H","DateFormat=P","Fill=—","Direction=H","UseDPDF=Y")</f>
        <v>#NAME?</v>
      </c>
      <c r="BL360" s="1" t="e">
        <f ca="1">_xll.BDH($C$353,"ACCOUNTS_RECEIVABLE_SEQ_GROWTH","FQ2 2015","FQ2 2015","Currency=INR","Period=FQ","BEST_FPERIOD_OVERRIDE=FQ","FILING_STATUS=OR","EQY_CONSOLIDATED=Y","Sort=A","Dates=H","DateFormat=P","Fill=—","Direction=H","UseDPDF=Y")</f>
        <v>#NAME?</v>
      </c>
      <c r="BM360" s="1" t="e">
        <f ca="1">_xll.BDH($C$353,"INVENTORY_SEQUENTIAL_GROWTH","FQ2 2015","FQ2 2015","Currency=INR","Period=FQ","BEST_FPERIOD_OVERRIDE=FQ","FILING_STATUS=OR","EQY_CONSOLIDATED=Y","Sort=A","Dates=H","DateFormat=P","Fill=—","Direction=H","UseDPDF=Y")</f>
        <v>#NAME?</v>
      </c>
      <c r="BN360" s="1" t="e">
        <f ca="1">_xll.BDH($C$353,"FIXED_ASSETS_SEQUENTIAL_GROWTH","FQ2 2015","FQ2 2015","Currency=INR","Period=FQ","BEST_FPERIOD_OVERRIDE=FQ","FILING_STATUS=OR","EQY_CONSOLIDATED=Y","Sort=A","Dates=H","DateFormat=P","Fill=—","Direction=H","UseDPDF=Y")</f>
        <v>#NAME?</v>
      </c>
      <c r="BO360" s="1" t="e">
        <f ca="1">_xll.BDH($C$353,"TOTAL_ASSETS_SEQUENTIAL_GROWTH","FQ2 2015","FQ2 2015","Currency=INR","Period=FQ","BEST_FPERIOD_OVERRIDE=FQ","FILING_STATUS=OR","EQY_CONSOLIDATED=Y","Sort=A","Dates=H","DateFormat=P","Fill=—","Direction=H","UseDPDF=Y")</f>
        <v>#NAME?</v>
      </c>
      <c r="BP360" s="1" t="e">
        <f ca="1">_xll.BDH($C$353,"MODIFIED_WORKING_CPTL_SEQ_GRWTH","FQ2 2015","FQ2 2015","Currency=INR","Period=FQ","BEST_FPERIOD_OVERRIDE=FQ","FILING_STATUS=OR","EQY_CONSOLIDATED=Y","Sort=A","Dates=H","DateFormat=P","Fill=—","Direction=H","UseDPDF=Y")</f>
        <v>#NAME?</v>
      </c>
      <c r="BQ360" s="1" t="e">
        <f ca="1">_xll.BDH($C$353,"WORKING_CAPITAL_SEQ_GROWTH","FQ2 2015","FQ2 2015","Currency=INR","Period=FQ","BEST_FPERIOD_OVERRIDE=FQ","FILING_STATUS=OR","EQY_CONSOLIDATED=Y","Sort=A","Dates=H","DateFormat=P","Fill=—","Direction=H","UseDPDF=Y")</f>
        <v>#NAME?</v>
      </c>
      <c r="BR360" s="1" t="e">
        <f ca="1">_xll.BDH($C$353,"ACCOUNTS_PAYABLE_SEQ_GROWTH","FQ2 2015","FQ2 2015","Currency=INR","Period=FQ","BEST_FPERIOD_OVERRIDE=FQ","FILING_STATUS=OR","EQY_CONSOLIDATED=Y","Sort=A","Dates=H","DateFormat=P","Fill=—","Direction=H","UseDPDF=Y")</f>
        <v>#NAME?</v>
      </c>
      <c r="BS360" s="1" t="e">
        <f ca="1">_xll.BDH($C$353,"ST_DEBT_SEQUENTIAL_GROWTH","FQ2 2015","FQ2 2015","Currency=INR","Period=FQ","BEST_FPERIOD_OVERRIDE=FQ","FILING_STATUS=OR","EQY_CONSOLIDATED=Y","Sort=A","Dates=H","DateFormat=P","Fill=—","Direction=H","UseDPDF=Y")</f>
        <v>#NAME?</v>
      </c>
      <c r="BT360" s="1" t="e">
        <f ca="1">_xll.BDH($C$353,"TOTAL_DEBT_SEQUENTIAL_GROWTH","FQ2 2015","FQ2 2015","Currency=INR","Period=FQ","BEST_FPERIOD_OVERRIDE=FQ","FILING_STATUS=OR","EQY_CONSOLIDATED=Y","Sort=A","Dates=H","DateFormat=P","Fill=—","Direction=H","UseDPDF=Y")</f>
        <v>#NAME?</v>
      </c>
      <c r="BU360" s="1" t="e">
        <f ca="1">_xll.BDH($C$353,"TOTAL_EQUITY_SEQUENTIAL_GROWTH","FQ2 2015","FQ2 2015","Currency=INR","Period=FQ","BEST_FPERIOD_OVERRIDE=FQ","FILING_STATUS=OR","EQY_CONSOLIDATED=Y","Sort=A","Dates=H","DateFormat=P","Fill=—","Direction=H","UseDPDF=Y")</f>
        <v>#NAME?</v>
      </c>
      <c r="BV360" s="1" t="e">
        <f ca="1">_xll.BDH($C$353,"TOTAL_CAPITAL_SEQUENTIAL_GROWTH","FQ2 2015","FQ2 2015","Currency=INR","Period=FQ","BEST_FPERIOD_OVERRIDE=FQ","FILING_STATUS=OR","EQY_CONSOLIDATED=Y","Sort=A","Dates=H","DateFormat=P","Fill=—","Direction=H","UseDPDF=Y")</f>
        <v>#NAME?</v>
      </c>
      <c r="BW360" s="1" t="e">
        <f ca="1">_xll.BDH($C$353,"BPS_SEQUENTIAL_GROWTH","FQ2 2015","FQ2 2015","Currency=INR","Period=FQ","BEST_FPERIOD_OVERRIDE=FQ","FILING_STATUS=OR","EQY_CONSOLIDATED=Y","Sort=A","Dates=H","DateFormat=P","Fill=—","Direction=H","UseDPDF=Y")</f>
        <v>#NAME?</v>
      </c>
      <c r="BX360" s="1" t="e">
        <f ca="1">_xll.BDH($C$353,"CFO_SEQUENTIAL_GROWTH","FQ2 2015","FQ2 2015","Currency=INR","Period=FQ","BEST_FPERIOD_OVERRIDE=FQ","FILING_STATUS=OR","EQY_CONSOLIDATED=Y","Sort=A","Dates=H","DateFormat=P","Fill=—","Direction=H","UseDPDF=Y")</f>
        <v>#NAME?</v>
      </c>
      <c r="BY360" s="2" t="e">
        <f ca="1">_xll.BDH($C$353,"SHORT_AND_LONG_TERM_DEBT","FQ2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60" s="2" t="e">
        <f ca="1">_xll.BDH($C$353,"BS_ST_BORROW","FQ2 2015","FQ2 2015","Currency=INR","Period=FQ","BEST_FPERIOD_OVERRIDE=FQ","FILING_STATUS=OR","EQY_CONSOLIDATED=Y","SCALING_FORMAT=MLN","Sort=A","Dates=H","DateFormat=P","Fill=—","Direction=H","UseDPDF=Y")</f>
        <v>#NAME?</v>
      </c>
      <c r="CA360" s="2" t="e">
        <f ca="1">_xll.BDH($C$353,"BS_LT_BORROW","FQ2 2015","FQ2 2015","Currency=INR","Period=FQ","BEST_FPERIOD_OVERRIDE=FQ","FILING_STATUS=OR","EQY_CONSOLIDATED=Y","SCALING_FORMAT=MLN","Sort=A","Dates=H","DateFormat=P","Fill=—","Direction=H","UseDPDF=Y")</f>
        <v>#NAME?</v>
      </c>
      <c r="CB360" s="1" t="e">
        <f ca="1">_xll.BDH($C$353,"TOT_DEBT_TO_EBITDA","FQ2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60" s="1" t="e">
        <f ca="1">_xll.BDH($C$353,"NET_DEBT_TO_EBITDA","FQ2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60" s="1" t="e">
        <f ca="1">_xll.BDH($C$353,"TOTAL_DEBT_TO_EBIT","FQ2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60" s="1" t="e">
        <f ca="1">_xll.BDH($C$353,"NET_DEBT_TO_EBIT","FQ2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360" s="1" t="e">
        <f ca="1">_xll.BDH($C$353,"EBITDA_TO_INTEREST_EXPN","FQ2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60" s="1" t="e">
        <f ca="1">_xll.BDH($C$353,"COM_EQY_TO_TOT_ASSET","FQ2 2015","FQ2 2015","Currency=INR","Period=FQ","BEST_FPERIOD_OVERRIDE=FQ","FILING_STATUS=OR","EQY_CONSOLIDATED=Y","Sort=A","Dates=H","DateFormat=P","Fill=—","Direction=H","UseDPDF=Y")</f>
        <v>#NAME?</v>
      </c>
      <c r="CH360" s="1" t="e">
        <f ca="1">_xll.BDH($C$353,"LT_DEBT_TO_TOT_EQY","FQ2 2015","FQ2 2015","Currency=INR","Period=FQ","BEST_FPERIOD_OVERRIDE=FQ","FILING_STATUS=OR","EQY_CONSOLIDATED=Y","Sort=A","Dates=H","DateFormat=P","Fill=—","Direction=H","UseDPDF=Y")</f>
        <v>#NAME?</v>
      </c>
      <c r="CI360" s="1" t="e">
        <f ca="1">_xll.BDH($C$353,"LT_DEBT_TO_TOT_CAP","FQ2 2015","FQ2 2015","Currency=INR","Period=FQ","BEST_FPERIOD_OVERRIDE=FQ","FILING_STATUS=OR","EQY_CONSOLIDATED=Y","Sort=A","Dates=H","DateFormat=P","Fill=—","Direction=H","UseDPDF=Y")</f>
        <v>#NAME?</v>
      </c>
      <c r="CJ360" s="1" t="e">
        <f ca="1">_xll.BDH($C$353,"LT_DEBT_TO_TOT_ASSET","FQ2 2015","FQ2 2015","Currency=INR","Period=FQ","BEST_FPERIOD_OVERRIDE=FQ","FILING_STATUS=OR","EQY_CONSOLIDATED=Y","Sort=A","Dates=H","DateFormat=P","Fill=—","Direction=H","UseDPDF=Y")</f>
        <v>#NAME?</v>
      </c>
      <c r="CK360" s="1" t="e">
        <f ca="1">_xll.BDH($C$353,"TOT_DEBT_TO_TOT_EQY","FQ2 2015","FQ2 2015","Currency=INR","Period=FQ","BEST_FPERIOD_OVERRIDE=FQ","FILING_STATUS=OR","EQY_CONSOLIDATED=Y","Sort=A","Dates=H","DateFormat=P","Fill=—","Direction=H","UseDPDF=Y")</f>
        <v>#NAME?</v>
      </c>
      <c r="CL360" s="1" t="e">
        <f ca="1">_xll.BDH($C$353,"TOT_DEBT_TO_TOT_CAP","FQ2 2015","FQ2 2015","Currency=INR","Period=FQ","BEST_FPERIOD_OVERRIDE=FQ","FILING_STATUS=OR","EQY_CONSOLIDATED=Y","Sort=A","Dates=H","DateFormat=P","Fill=—","Direction=H","UseDPDF=Y")</f>
        <v>#NAME?</v>
      </c>
      <c r="CM360" s="1" t="e">
        <f ca="1">_xll.BDH($C$353,"TOT_DEBT_TO_TOT_ASSET","FQ2 2015","FQ2 2015","Currency=INR","Period=FQ","BEST_FPERIOD_OVERRIDE=FQ","FILING_STATUS=OR","EQY_CONSOLIDATED=Y","Sort=A","Dates=H","DateFormat=P","Fill=—","Direction=H","UseDPDF=Y")</f>
        <v>#NAME?</v>
      </c>
      <c r="CN360" s="1" t="e">
        <f ca="1">_xll.BDH($C$353,"NET_DEBT_TO_SHRHLDR_EQTY","FQ2 2015","FQ2 2015","Currency=INR","Period=FQ","BEST_FPERIOD_OVERRIDE=FQ","FILING_STATUS=OR","EQY_CONSOLIDATED=Y","Sort=A","Dates=H","DateFormat=P","Fill=—","Direction=H","UseDPDF=Y")</f>
        <v>#NAME?</v>
      </c>
      <c r="CO360" s="1" t="e">
        <f ca="1">_xll.BDH($C$353,"NET_DEBT_%_CAPITAL","FQ2 2015","FQ2 2015","Currency=INR","Period=FQ","BEST_FPERIOD_OVERRIDE=FQ","FILING_STATUS=OR","EQY_CONSOLIDATED=Y","Sort=A","Dates=H","DateFormat=P","Fill=—","Direction=H","UseDPDF=Y")</f>
        <v>#NAME?</v>
      </c>
      <c r="CP360" s="2" t="e">
        <f ca="1">_xll.BDH($C$353,"EBITDA","FQ2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60" s="2" t="e">
        <f ca="1">_xll.BDH($C$353,"EBITDA_AFTER_CAPEX","FQ2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60" s="2" t="e">
        <f ca="1">_xll.BDH($C$353,"IS_OPER_INC","FQ2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60" s="1" t="e">
        <f ca="1">_xll.BDH($C$353,"CASH_RATIO","FQ2 2015","FQ2 2015","Currency=INR","Period=FQ","BEST_FPERIOD_OVERRIDE=FQ","FILING_STATUS=OR","EQY_CONSOLIDATED=Y","Sort=A","Dates=H","DateFormat=P","Fill=—","Direction=H","UseDPDF=Y")</f>
        <v>#NAME?</v>
      </c>
      <c r="CT360" s="1" t="e">
        <f ca="1">_xll.BDH($C$353,"CUR_RATIO","FQ2 2015","FQ2 2015","Currency=INR","Period=FQ","BEST_FPERIOD_OVERRIDE=FQ","FILING_STATUS=OR","EQY_CONSOLIDATED=Y","Sort=A","Dates=H","DateFormat=P","Fill=—","Direction=H","UseDPDF=Y")</f>
        <v>#NAME?</v>
      </c>
      <c r="CU360" s="1" t="e">
        <f ca="1">_xll.BDH($C$353,"QUICK_RATIO","FQ2 2015","FQ2 2015","Currency=INR","Period=FQ","BEST_FPERIOD_OVERRIDE=FQ","FILING_STATUS=OR","EQY_CONSOLIDATED=Y","Sort=A","Dates=H","DateFormat=P","Fill=—","Direction=H","UseDPDF=Y")</f>
        <v>#NAME?</v>
      </c>
      <c r="CV360" s="1" t="e">
        <f ca="1">_xll.BDH($C$353,"ALTMAN_Z_SCORE","FQ2 2015","FQ2 2015","Currency=INR","Period=FQ","BEST_FPERIOD_OVERRIDE=FQ","FILING_STATUS=OR","EQY_CONSOLIDATED=Y","Sort=A","Dates=H","DateFormat=P","Fill=—","Direction=H","UseDPDF=Y")</f>
        <v>#NAME?</v>
      </c>
      <c r="CW360" s="3" t="e">
        <f ca="1">_xll.BDH($C$353,"ACCT_RCV_TURN","FQ2 2015","FQ2 2015","Currency=INR","Period=FQ","BEST_FPERIOD_OVERRIDE=FQ","FILING_STATUS=OR","EQY_CONSOLIDATED=Y","FA_ADJUSTED=GAAP","Sort=A","Dates=H","DateFormat=P","Fill=—","Direction=H","UseDPDF=Y")</f>
        <v>#NAME?</v>
      </c>
      <c r="CX360" s="1" t="e">
        <f ca="1">_xll.BDH($C$353,"ACCT_RCV_DAYS","FQ2 2015","FQ2 2015","Currency=INR","Period=FQ","BEST_FPERIOD_OVERRIDE=FQ","FILING_STATUS=OR","EQY_CONSOLIDATED=Y","FA_ADJUSTED=GAAP","Sort=A","Dates=H","DateFormat=P","Fill=—","Direction=H","UseDPDF=Y")</f>
        <v>#NAME?</v>
      </c>
      <c r="CY360" s="3" t="e">
        <f ca="1">_xll.BDH($C$353,"INVENT_TURN","FQ2 2015","FQ2 2015","Currency=INR","Period=FQ","BEST_FPERIOD_OVERRIDE=FQ","FILING_STATUS=OR","EQY_CONSOLIDATED=Y","FA_ADJUSTED=GAAP","Sort=A","Dates=H","DateFormat=P","Fill=—","Direction=H","UseDPDF=Y")</f>
        <v>#NAME?</v>
      </c>
      <c r="CZ360" s="1" t="e">
        <f ca="1">_xll.BDH($C$353,"INVENT_DAYS","FQ2 2015","FQ2 2015","Currency=INR","Period=FQ","BEST_FPERIOD_OVERRIDE=FQ","FILING_STATUS=OR","EQY_CONSOLIDATED=Y","FA_ADJUSTED=GAAP","Sort=A","Dates=H","DateFormat=P","Fill=—","Direction=H","UseDPDF=Y")</f>
        <v>#NAME?</v>
      </c>
      <c r="DA360" s="3" t="e">
        <f ca="1">_xll.BDH($C$353,"ACCOUNTS_PAYABLE_TURNOVER","FQ2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60" s="1" t="e">
        <f ca="1">_xll.BDH($C$353,"ACCOUNTS_PAYABLE_TURNOVER_DAYS","FQ2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60" s="3" t="e">
        <f ca="1">_xll.BDH($C$353,"CASH_CONVERSION_CYCLE","FQ2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60" s="3" t="e">
        <f ca="1">_xll.BDH($C$353,"INV_TO_CASH_DAYS","FQ2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360" s="4" t="e">
        <f ca="1">_xll.BDH($C$353,"BS_INVENTORIES","FQ2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360" s="2" t="e">
        <f ca="1">_xll.BDH($C$353,"INVTRY_RAW_MATERIALS","FQ2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60" s="2" t="e">
        <f ca="1">_xll.BDH($C$353,"INVTRY_IN_PROGRESS","FQ2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60" s="2" t="e">
        <f ca="1">_xll.BDH($C$353,"INVTRY_FINISHED_GOODS","FQ2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60" s="2" t="e">
        <f ca="1">_xll.BDH($C$353,"BS_OTHER_INV","FQ2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61" spans="1:113" x14ac:dyDescent="0.3">
      <c r="A361" s="6"/>
      <c r="B361" s="6"/>
      <c r="C361" s="6"/>
      <c r="D361" s="6"/>
      <c r="E361" t="s">
        <v>6</v>
      </c>
      <c r="F361" t="e">
        <f ca="1">_xll.BDH($C$353,"RETURN_COM_EQY","FQ3 2015","FQ3 2015","Currency=INR","Period=FQ","BEST_FPERIOD_OVERRIDE=FQ","FILING_STATUS=OR","EQY_CONSOLIDATED=Y","FA_ADJUSTED=GAAP","Sort=A","Dates=H","DateFormat=P","Fill=—","Direction=H","UseDPDF=Y")</f>
        <v>#NAME?</v>
      </c>
      <c r="G361" t="e">
        <f ca="1">_xll.BDH($C$353,"RETURN_ON_ASSET","FQ3 2015","FQ3 2015","Currency=INR","Period=FQ","BEST_FPERIOD_OVERRIDE=FQ","FILING_STATUS=OR","EQY_CONSOLIDATED=Y","FA_ADJUSTED=GAAP","Sort=A","Dates=H","DateFormat=P","Fill=—","Direction=H","UseDPDF=Y")</f>
        <v>#NAME?</v>
      </c>
      <c r="H361" t="e">
        <f ca="1">_xll.BDH($C$353,"RETURN_ON_CAP","FQ3 2015","FQ3 2015","Currency=INR","Period=FQ","BEST_FPERIOD_OVERRIDE=FQ","FILING_STATUS=OR","EQY_CONSOLIDATED=Y","FA_ADJUSTED=GAAP","Sort=A","Dates=H","DateFormat=P","Fill=—","Direction=H","UseDPDF=Y")</f>
        <v>#NAME?</v>
      </c>
      <c r="I361" t="e">
        <f ca="1">_xll.BDH($C$353,"RETURN_ON_INV_CAPITAL","FQ3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61" t="e">
        <f ca="1">_xll.BDH($C$353,"EBITDA_TO_REVENUE","FQ3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361" t="e">
        <f ca="1">_xll.BDH($C$353,"OPER_MARGIN","FQ3 2015","FQ3 2015","Currency=INR","Period=FQ","BEST_FPERIOD_OVERRIDE=FQ","FILING_STATUS=OR","EQY_CONSOLIDATED=Y","FA_ADJUSTED=GAAP","Sort=A","Dates=H","DateFormat=P","Fill=—","Direction=H","UseDPDF=Y")</f>
        <v>#NAME?</v>
      </c>
      <c r="L361" t="e">
        <f ca="1">_xll.BDH($C$353,"INCREMENTAL_OPERATING_MARGIN","FQ3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61" t="e">
        <f ca="1">_xll.BDH($C$353,"PRETAX_INC_TO_NET_SALES","FQ3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61" t="e">
        <f ca="1">_xll.BDH($C$353,"INC_BEF_XO_ITEMS_TO_NET_SALES","FQ3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61" t="e">
        <f ca="1">_xll.BDH($C$353,"PROF_MARGIN","FQ3 2015","FQ3 2015","Currency=INR","Period=FQ","BEST_FPERIOD_OVERRIDE=FQ","FILING_STATUS=OR","EQY_CONSOLIDATED=Y","FA_ADJUSTED=GAAP","Sort=A","Dates=H","DateFormat=P","Fill=—","Direction=H","UseDPDF=Y")</f>
        <v>#NAME?</v>
      </c>
      <c r="P361" t="e">
        <f ca="1">_xll.BDH($C$353,"NET_INCOME_TO_COMMON_MARGIN","FQ3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61" t="e">
        <f ca="1">_xll.BDH($C$353,"EFF_TAX_RATE","FQ3 2015","FQ3 2015","Currency=INR","Period=FQ","BEST_FPERIOD_OVERRIDE=FQ","FILING_STATUS=OR","EQY_CONSOLIDATED=Y","FA_ADJUSTED=GAAP","Sort=A","Dates=H","DateFormat=P","Fill=—","Direction=H","UseDPDF=Y")</f>
        <v>#NAME?</v>
      </c>
      <c r="R361" t="e">
        <f ca="1">_xll.BDH($C$353,"DVD_PAYOUT_RATIO","FQ3 2015","FQ3 2015","Currency=INR","Period=FQ","BEST_FPERIOD_OVERRIDE=FQ","FILING_STATUS=OR","EQY_CONSOLIDATED=Y","FA_ADJUSTED=GAAP","Sort=A","Dates=H","DateFormat=P","Fill=—","Direction=H","UseDPDF=Y")</f>
        <v>#NAME?</v>
      </c>
      <c r="S361" t="e">
        <f ca="1">_xll.BDH($C$353,"SUSTAIN_GROWTH_RT","FQ3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361" s="1" t="e">
        <f ca="1">_xll.BDH($C$353,"SALES_GROWTH","FQ3 2015","FQ3 2015","Currency=INR","Period=FQ","BEST_FPERIOD_OVERRIDE=FQ","FILING_STATUS=OR","EQY_CONSOLIDATED=Y","FA_ADJUSTED=GAAP","Sort=A","Dates=H","DateFormat=P","Fill=—","Direction=H","UseDPDF=Y")</f>
        <v>#NAME?</v>
      </c>
      <c r="U361" s="1" t="e">
        <f ca="1">_xll.BDH($C$353,"EBITDA_GROWTH","FQ3 2015","FQ3 2015","Currency=INR","Period=FQ","BEST_FPERIOD_OVERRIDE=FQ","FILING_STATUS=OR","EQY_CONSOLIDATED=Y","FA_ADJUSTED=GAAP","Sort=A","Dates=H","DateFormat=P","Fill=—","Direction=H","UseDPDF=Y")</f>
        <v>#NAME?</v>
      </c>
      <c r="V361" s="1" t="e">
        <f ca="1">_xll.BDH($C$353,"OPER_INC_GROWTH","FQ3 2015","FQ3 2015","Currency=INR","Period=FQ","BEST_FPERIOD_OVERRIDE=FQ","FILING_STATUS=OR","EQY_CONSOLIDATED=Y","FA_ADJUSTED=GAAP","Sort=A","Dates=H","DateFormat=P","Fill=—","Direction=H","UseDPDF=Y")</f>
        <v>#NAME?</v>
      </c>
      <c r="W361" s="1" t="e">
        <f ca="1">_xll.BDH($C$353,"EARN_FOR_COM_GROWTH","FQ3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61" s="1" t="e">
        <f ca="1">_xll.BDH($C$353,"DILUTED_EPS_AFT_XO_ITEMS_GROWTH","FQ3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61" s="1" t="e">
        <f ca="1">_xll.BDH($C$353,"DIVIDEND_PER_SHARE_1_YEAR_GROWTH","FQ3 2015","FQ3 2015","Currency=INR","Period=FQ","BEST_FPERIOD_OVERRIDE=FQ","FILING_STATUS=OR","EQY_CONSOLIDATED=Y","Sort=A","Dates=H","DateFormat=P","Fill=—","Direction=H","UseDPDF=Y")</f>
        <v>#NAME?</v>
      </c>
      <c r="Z361" s="1" t="e">
        <f ca="1">_xll.BDH($C$353,"ACCOUNTS_RECEIVABLE_GROWTH","FQ3 2015","FQ3 2015","Currency=INR","Period=FQ","BEST_FPERIOD_OVERRIDE=FQ","FILING_STATUS=OR","EQY_CONSOLIDATED=Y","Sort=A","Dates=H","DateFormat=P","Fill=—","Direction=H","UseDPDF=Y")</f>
        <v>#NAME?</v>
      </c>
      <c r="AA361" s="1" t="e">
        <f ca="1">_xll.BDH($C$353,"INVENTORY_GROWTH","FQ3 2015","FQ3 2015","Currency=INR","Period=FQ","BEST_FPERIOD_OVERRIDE=FQ","FILING_STATUS=OR","EQY_CONSOLIDATED=Y","Sort=A","Dates=H","DateFormat=P","Fill=—","Direction=H","UseDPDF=Y")</f>
        <v>#NAME?</v>
      </c>
      <c r="AB361" s="1" t="e">
        <f ca="1">_xll.BDH($C$353,"NET_FIXED_ASSETS_1_YEAR_GROWTH","FQ3 2015","FQ3 2015","Currency=INR","Period=FQ","BEST_FPERIOD_OVERRIDE=FQ","FILING_STATUS=OR","EQY_CONSOLIDATED=Y","Sort=A","Dates=H","DateFormat=P","Fill=—","Direction=H","UseDPDF=Y")</f>
        <v>#NAME?</v>
      </c>
      <c r="AC361" s="1" t="e">
        <f ca="1">_xll.BDH($C$353,"ASSET_GROWTH","FQ3 2015","FQ3 2015","Currency=INR","Period=FQ","BEST_FPERIOD_OVERRIDE=FQ","FILING_STATUS=OR","EQY_CONSOLIDATED=Y","Sort=A","Dates=H","DateFormat=P","Fill=—","Direction=H","UseDPDF=Y")</f>
        <v>#NAME?</v>
      </c>
      <c r="AD361" s="1" t="e">
        <f ca="1">_xll.BDH($C$353,"MODIFIED_WORK_CAP_GROWTH","FQ3 2015","FQ3 2015","Currency=INR","Period=FQ","BEST_FPERIOD_OVERRIDE=FQ","FILING_STATUS=OR","EQY_CONSOLIDATED=Y","Sort=A","Dates=H","DateFormat=P","Fill=—","Direction=H","UseDPDF=Y")</f>
        <v>#NAME?</v>
      </c>
      <c r="AE361" s="1" t="e">
        <f ca="1">_xll.BDH($C$353,"WORK_CAP_GROWTH","FQ3 2015","FQ3 2015","Currency=INR","Period=FQ","BEST_FPERIOD_OVERRIDE=FQ","FILING_STATUS=OR","EQY_CONSOLIDATED=Y","Sort=A","Dates=H","DateFormat=P","Fill=—","Direction=H","UseDPDF=Y")</f>
        <v>#NAME?</v>
      </c>
      <c r="AF361" s="1" t="e">
        <f ca="1">_xll.BDH($C$353,"ACCOUNTS_PAYABLE_GROWTH_1YR","FQ3 2015","FQ3 2015","Currency=INR","Period=FQ","BEST_FPERIOD_OVERRIDE=FQ","FILING_STATUS=OR","EQY_CONSOLIDATED=Y","Sort=A","Dates=H","DateFormat=P","Fill=—","Direction=H","UseDPDF=Y")</f>
        <v>#NAME?</v>
      </c>
      <c r="AG361" s="1" t="e">
        <f ca="1">_xll.BDH($C$353,"SHORT_TERM_DEBT_1_YEAR_GROWTH","FQ3 2015","FQ3 2015","Currency=INR","Period=FQ","BEST_FPERIOD_OVERRIDE=FQ","FILING_STATUS=OR","EQY_CONSOLIDATED=Y","Sort=A","Dates=H","DateFormat=P","Fill=—","Direction=H","UseDPDF=Y")</f>
        <v>#NAME?</v>
      </c>
      <c r="AH361" s="1" t="e">
        <f ca="1">_xll.BDH($C$353,"TOTAL_DEBT_1_YEAR_GROWTH","FQ3 2015","FQ3 2015","Currency=INR","Period=FQ","BEST_FPERIOD_OVERRIDE=FQ","FILING_STATUS=OR","EQY_CONSOLIDATED=Y","Sort=A","Dates=H","DateFormat=P","Fill=—","Direction=H","UseDPDF=Y")</f>
        <v>#NAME?</v>
      </c>
      <c r="AI361" s="1" t="e">
        <f ca="1">_xll.BDH($C$353,"TOTAL_EQUITY_1_YEAR_GROWTH","FQ3 2015","FQ3 2015","Currency=INR","Period=FQ","BEST_FPERIOD_OVERRIDE=FQ","FILING_STATUS=OR","EQY_CONSOLIDATED=Y","Sort=A","Dates=H","DateFormat=P","Fill=—","Direction=H","UseDPDF=Y")</f>
        <v>#NAME?</v>
      </c>
      <c r="AJ361" s="1" t="e">
        <f ca="1">_xll.BDH($C$353,"GROWTH_IN_CAP","FQ3 2015","FQ3 2015","Currency=INR","Period=FQ","BEST_FPERIOD_OVERRIDE=FQ","FILING_STATUS=OR","EQY_CONSOLIDATED=Y","Sort=A","Dates=H","DateFormat=P","Fill=—","Direction=H","UseDPDF=Y")</f>
        <v>#NAME?</v>
      </c>
      <c r="AK361" s="1" t="e">
        <f ca="1">_xll.BDH($C$353,"BVPS_GROWTH","FQ3 2015","FQ3 2015","Currency=INR","Period=FQ","BEST_FPERIOD_OVERRIDE=FQ","FILING_STATUS=OR","EQY_CONSOLIDATED=Y","Sort=A","Dates=H","DateFormat=P","Fill=—","Direction=H","UseDPDF=Y")</f>
        <v>#NAME?</v>
      </c>
      <c r="AL361" s="1" t="e">
        <f ca="1">_xll.BDH($C$353,"CASH_FLOW_GROWTH","FQ3 2015","FQ3 2015","Currency=INR","Period=FQ","BEST_FPERIOD_OVERRIDE=FQ","FILING_STATUS=OR","EQY_CONSOLIDATED=Y","Sort=A","Dates=H","DateFormat=P","Fill=—","Direction=H","UseDPDF=Y")</f>
        <v>#NAME?</v>
      </c>
      <c r="AM361" s="1" t="e">
        <f ca="1">_xll.BDH($C$353,"GEO_GROW_NET_SALES","FQ3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61" s="1" t="e">
        <f ca="1">_xll.BDH($C$353,"GEO_GROW_EBITDA","FQ3 2015","FQ3 2015","Currency=INR","Period=FQ","BEST_FPERIOD_OVERRIDE=FQ","FILING_STATUS=OR","EQY_CONSOLIDATED=Y","FA_ADJUSTED=GAAP","Sort=A","Dates=H","DateFormat=P","Fill=—","Direction=H","UseDPDF=Y")</f>
        <v>#NAME?</v>
      </c>
      <c r="AO361" s="1" t="e">
        <f ca="1">_xll.BDH($C$353,"GEO_GROW_OPER_INC","FQ3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61" s="1" t="e">
        <f ca="1">_xll.BDH($C$353,"NET_INCOME_TO_COMMON_5_YR_GROWTH","FQ3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61" s="1" t="e">
        <f ca="1">_xll.BDH($C$353,"5Y_GEO_GROWTH_DILUTED_EPS","FQ3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61" s="1" t="e">
        <f ca="1">_xll.BDH($C$353,"GEO_GROW_DVD_PER_SH","FQ3 2015","FQ3 2015","Currency=INR","Period=FQ","BEST_FPERIOD_OVERRIDE=FQ","FILING_STATUS=OR","EQY_CONSOLIDATED=Y","Sort=A","Dates=H","DateFormat=P","Fill=—","Direction=H","UseDPDF=Y")</f>
        <v>#NAME?</v>
      </c>
      <c r="AS361" s="1" t="e">
        <f ca="1">_xll.BDH($C$353,"ACCOUNTS_RECEIVABLE_5_YR_GROWTH","FQ3 2015","FQ3 2015","Currency=INR","Period=FQ","BEST_FPERIOD_OVERRIDE=FQ","FILING_STATUS=OR","EQY_CONSOLIDATED=Y","Sort=A","Dates=H","DateFormat=P","Fill=—","Direction=H","UseDPDF=Y")</f>
        <v>#NAME?</v>
      </c>
      <c r="AT361" s="1" t="e">
        <f ca="1">_xll.BDH($C$353,"INVENTORY_5_YEAR_GROWTH","FQ3 2015","FQ3 2015","Currency=INR","Period=FQ","BEST_FPERIOD_OVERRIDE=FQ","FILING_STATUS=OR","EQY_CONSOLIDATED=Y","Sort=A","Dates=H","DateFormat=P","Fill=—","Direction=H","UseDPDF=Y")</f>
        <v>#NAME?</v>
      </c>
      <c r="AU361" s="1" t="e">
        <f ca="1">_xll.BDH($C$353,"NET_FIXED_ASSETS_5_YEAR_GROWTH","FQ3 2015","FQ3 2015","Currency=INR","Period=FQ","BEST_FPERIOD_OVERRIDE=FQ","FILING_STATUS=OR","EQY_CONSOLIDATED=Y","Sort=A","Dates=H","DateFormat=P","Fill=—","Direction=H","UseDPDF=Y")</f>
        <v>#NAME?</v>
      </c>
      <c r="AV361" s="1" t="e">
        <f ca="1">_xll.BDH($C$353,"GEO_GROW_TOT_ASSET","FQ3 2015","FQ3 2015","Currency=INR","Period=FQ","BEST_FPERIOD_OVERRIDE=FQ","FILING_STATUS=OR","EQY_CONSOLIDATED=Y","Sort=A","Dates=H","DateFormat=P","Fill=—","Direction=H","UseDPDF=Y")</f>
        <v>#NAME?</v>
      </c>
      <c r="AW361" s="1" t="e">
        <f ca="1">_xll.BDH($C$353,"MODIFIED_WORKING_CPTL_5YR_GRWTH","FQ3 2015","FQ3 2015","Currency=INR","Period=FQ","BEST_FPERIOD_OVERRIDE=FQ","FILING_STATUS=OR","EQY_CONSOLIDATED=Y","Sort=A","Dates=H","DateFormat=P","Fill=—","Direction=H","UseDPDF=Y")</f>
        <v>#NAME?</v>
      </c>
      <c r="AX361" s="1" t="e">
        <f ca="1">_xll.BDH($C$353,"WORKING_CAPITAL_5_YEAR_GROWTH","FQ3 2015","FQ3 2015","Currency=INR","Period=FQ","BEST_FPERIOD_OVERRIDE=FQ","FILING_STATUS=OR","EQY_CONSOLIDATED=Y","Sort=A","Dates=H","DateFormat=P","Fill=—","Direction=H","UseDPDF=Y")</f>
        <v>#NAME?</v>
      </c>
      <c r="AY361" s="1" t="e">
        <f ca="1">_xll.BDH($C$353,"ACCOUNTS_PAYABLE_5_YEAR_GROWTH","FQ3 2015","FQ3 2015","Currency=INR","Period=FQ","BEST_FPERIOD_OVERRIDE=FQ","FILING_STATUS=OR","EQY_CONSOLIDATED=Y","Sort=A","Dates=H","DateFormat=P","Fill=—","Direction=H","UseDPDF=Y")</f>
        <v>#NAME?</v>
      </c>
      <c r="AZ361" s="1" t="e">
        <f ca="1">_xll.BDH($C$353,"SHORT_TERM_DEBT_5_YEAR_GROWTH","FQ3 2015","FQ3 2015","Currency=INR","Period=FQ","BEST_FPERIOD_OVERRIDE=FQ","FILING_STATUS=OR","EQY_CONSOLIDATED=Y","Sort=A","Dates=H","DateFormat=P","Fill=—","Direction=H","UseDPDF=Y")</f>
        <v>#NAME?</v>
      </c>
      <c r="BA361" s="1" t="e">
        <f ca="1">_xll.BDH($C$353,"TOTAL_DEBT_5_YEAR_GROWTH","FQ3 2015","FQ3 2015","Currency=INR","Period=FQ","BEST_FPERIOD_OVERRIDE=FQ","FILING_STATUS=OR","EQY_CONSOLIDATED=Y","Sort=A","Dates=H","DateFormat=P","Fill=—","Direction=H","UseDPDF=Y")</f>
        <v>#NAME?</v>
      </c>
      <c r="BB361" s="1" t="e">
        <f ca="1">_xll.BDH($C$353,"GEO_GROW_TOT_SHRHLDR_EQY","FQ3 2015","FQ3 2015","Currency=INR","Period=FQ","BEST_FPERIOD_OVERRIDE=FQ","FILING_STATUS=OR","EQY_CONSOLIDATED=Y","Sort=A","Dates=H","DateFormat=P","Fill=—","Direction=H","UseDPDF=Y")</f>
        <v>#NAME?</v>
      </c>
      <c r="BC361" s="1" t="e">
        <f ca="1">_xll.BDH($C$353,"TOTAL_CAPITAL_5_YEAR_GROWTH","FQ3 2015","FQ3 2015","Currency=INR","Period=FQ","BEST_FPERIOD_OVERRIDE=FQ","FILING_STATUS=OR","EQY_CONSOLIDATED=Y","Sort=A","Dates=H","DateFormat=P","Fill=—","Direction=H","UseDPDF=Y")</f>
        <v>#NAME?</v>
      </c>
      <c r="BD361" s="1" t="e">
        <f ca="1">_xll.BDH($C$353,"GEO_GROW_BOOK_VAL","FQ3 2015","FQ3 2015","Currency=INR","Period=FQ","BEST_FPERIOD_OVERRIDE=FQ","FILING_STATUS=OR","EQY_CONSOLIDATED=Y","Sort=A","Dates=H","DateFormat=P","Fill=—","Direction=H","UseDPDF=Y")</f>
        <v>#NAME?</v>
      </c>
      <c r="BE361" s="1" t="e">
        <f ca="1">_xll.BDH($C$353,"GEO_GROW_CASH_OPER_ACT","FQ3 2015","FQ3 2015","Currency=INR","Period=FQ","BEST_FPERIOD_OVERRIDE=FQ","FILING_STATUS=OR","EQY_CONSOLIDATED=Y","Sort=A","Dates=H","DateFormat=P","Fill=—","Direction=H","UseDPDF=Y")</f>
        <v>#NAME?</v>
      </c>
      <c r="BF361" s="1" t="e">
        <f ca="1">_xll.BDH($C$353,"REVENUE_SEQUENTIAL_GROWTH","FQ3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61" s="1" t="e">
        <f ca="1">_xll.BDH($C$353,"EBITDA_SEQUENTIAL_GROWTH","FQ3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61" s="1" t="e">
        <f ca="1">_xll.BDH($C$353,"OPERATING_INCOME_SEQ_GROWTH","FQ3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61" s="1" t="e">
        <f ca="1">_xll.BDH($C$353,"NET_INCOME_TO_COMMON_SEQ_GROWTH","FQ3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61" s="1" t="e">
        <f ca="1">_xll.BDH($C$353,"EPS_DILUTED_SEQUENTIAL_GROWTH","FQ3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61" s="1" t="e">
        <f ca="1">_xll.BDH($C$353,"DPS_SEQUENTIAL_GROWTH","FQ3 2015","FQ3 2015","Currency=INR","Period=FQ","BEST_FPERIOD_OVERRIDE=FQ","FILING_STATUS=OR","EQY_CONSOLIDATED=Y","Sort=A","Dates=H","DateFormat=P","Fill=—","Direction=H","UseDPDF=Y")</f>
        <v>#NAME?</v>
      </c>
      <c r="BL361" s="1" t="e">
        <f ca="1">_xll.BDH($C$353,"ACCOUNTS_RECEIVABLE_SEQ_GROWTH","FQ3 2015","FQ3 2015","Currency=INR","Period=FQ","BEST_FPERIOD_OVERRIDE=FQ","FILING_STATUS=OR","EQY_CONSOLIDATED=Y","Sort=A","Dates=H","DateFormat=P","Fill=—","Direction=H","UseDPDF=Y")</f>
        <v>#NAME?</v>
      </c>
      <c r="BM361" s="1" t="e">
        <f ca="1">_xll.BDH($C$353,"INVENTORY_SEQUENTIAL_GROWTH","FQ3 2015","FQ3 2015","Currency=INR","Period=FQ","BEST_FPERIOD_OVERRIDE=FQ","FILING_STATUS=OR","EQY_CONSOLIDATED=Y","Sort=A","Dates=H","DateFormat=P","Fill=—","Direction=H","UseDPDF=Y")</f>
        <v>#NAME?</v>
      </c>
      <c r="BN361" s="1" t="e">
        <f ca="1">_xll.BDH($C$353,"FIXED_ASSETS_SEQUENTIAL_GROWTH","FQ3 2015","FQ3 2015","Currency=INR","Period=FQ","BEST_FPERIOD_OVERRIDE=FQ","FILING_STATUS=OR","EQY_CONSOLIDATED=Y","Sort=A","Dates=H","DateFormat=P","Fill=—","Direction=H","UseDPDF=Y")</f>
        <v>#NAME?</v>
      </c>
      <c r="BO361" s="1" t="e">
        <f ca="1">_xll.BDH($C$353,"TOTAL_ASSETS_SEQUENTIAL_GROWTH","FQ3 2015","FQ3 2015","Currency=INR","Period=FQ","BEST_FPERIOD_OVERRIDE=FQ","FILING_STATUS=OR","EQY_CONSOLIDATED=Y","Sort=A","Dates=H","DateFormat=P","Fill=—","Direction=H","UseDPDF=Y")</f>
        <v>#NAME?</v>
      </c>
      <c r="BP361" s="1" t="e">
        <f ca="1">_xll.BDH($C$353,"MODIFIED_WORKING_CPTL_SEQ_GRWTH","FQ3 2015","FQ3 2015","Currency=INR","Period=FQ","BEST_FPERIOD_OVERRIDE=FQ","FILING_STATUS=OR","EQY_CONSOLIDATED=Y","Sort=A","Dates=H","DateFormat=P","Fill=—","Direction=H","UseDPDF=Y")</f>
        <v>#NAME?</v>
      </c>
      <c r="BQ361" s="1" t="e">
        <f ca="1">_xll.BDH($C$353,"WORKING_CAPITAL_SEQ_GROWTH","FQ3 2015","FQ3 2015","Currency=INR","Period=FQ","BEST_FPERIOD_OVERRIDE=FQ","FILING_STATUS=OR","EQY_CONSOLIDATED=Y","Sort=A","Dates=H","DateFormat=P","Fill=—","Direction=H","UseDPDF=Y")</f>
        <v>#NAME?</v>
      </c>
      <c r="BR361" s="1" t="e">
        <f ca="1">_xll.BDH($C$353,"ACCOUNTS_PAYABLE_SEQ_GROWTH","FQ3 2015","FQ3 2015","Currency=INR","Period=FQ","BEST_FPERIOD_OVERRIDE=FQ","FILING_STATUS=OR","EQY_CONSOLIDATED=Y","Sort=A","Dates=H","DateFormat=P","Fill=—","Direction=H","UseDPDF=Y")</f>
        <v>#NAME?</v>
      </c>
      <c r="BS361" s="1" t="e">
        <f ca="1">_xll.BDH($C$353,"ST_DEBT_SEQUENTIAL_GROWTH","FQ3 2015","FQ3 2015","Currency=INR","Period=FQ","BEST_FPERIOD_OVERRIDE=FQ","FILING_STATUS=OR","EQY_CONSOLIDATED=Y","Sort=A","Dates=H","DateFormat=P","Fill=—","Direction=H","UseDPDF=Y")</f>
        <v>#NAME?</v>
      </c>
      <c r="BT361" s="1" t="e">
        <f ca="1">_xll.BDH($C$353,"TOTAL_DEBT_SEQUENTIAL_GROWTH","FQ3 2015","FQ3 2015","Currency=INR","Period=FQ","BEST_FPERIOD_OVERRIDE=FQ","FILING_STATUS=OR","EQY_CONSOLIDATED=Y","Sort=A","Dates=H","DateFormat=P","Fill=—","Direction=H","UseDPDF=Y")</f>
        <v>#NAME?</v>
      </c>
      <c r="BU361" s="1" t="e">
        <f ca="1">_xll.BDH($C$353,"TOTAL_EQUITY_SEQUENTIAL_GROWTH","FQ3 2015","FQ3 2015","Currency=INR","Period=FQ","BEST_FPERIOD_OVERRIDE=FQ","FILING_STATUS=OR","EQY_CONSOLIDATED=Y","Sort=A","Dates=H","DateFormat=P","Fill=—","Direction=H","UseDPDF=Y")</f>
        <v>#NAME?</v>
      </c>
      <c r="BV361" s="1" t="e">
        <f ca="1">_xll.BDH($C$353,"TOTAL_CAPITAL_SEQUENTIAL_GROWTH","FQ3 2015","FQ3 2015","Currency=INR","Period=FQ","BEST_FPERIOD_OVERRIDE=FQ","FILING_STATUS=OR","EQY_CONSOLIDATED=Y","Sort=A","Dates=H","DateFormat=P","Fill=—","Direction=H","UseDPDF=Y")</f>
        <v>#NAME?</v>
      </c>
      <c r="BW361" s="1" t="e">
        <f ca="1">_xll.BDH($C$353,"BPS_SEQUENTIAL_GROWTH","FQ3 2015","FQ3 2015","Currency=INR","Period=FQ","BEST_FPERIOD_OVERRIDE=FQ","FILING_STATUS=OR","EQY_CONSOLIDATED=Y","Sort=A","Dates=H","DateFormat=P","Fill=—","Direction=H","UseDPDF=Y")</f>
        <v>#NAME?</v>
      </c>
      <c r="BX361" s="1" t="e">
        <f ca="1">_xll.BDH($C$353,"CFO_SEQUENTIAL_GROWTH","FQ3 2015","FQ3 2015","Currency=INR","Period=FQ","BEST_FPERIOD_OVERRIDE=FQ","FILING_STATUS=OR","EQY_CONSOLIDATED=Y","Sort=A","Dates=H","DateFormat=P","Fill=—","Direction=H","UseDPDF=Y")</f>
        <v>#NAME?</v>
      </c>
      <c r="BY361" s="2" t="e">
        <f ca="1">_xll.BDH($C$353,"SHORT_AND_LONG_TERM_DEBT","FQ3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61" s="2" t="e">
        <f ca="1">_xll.BDH($C$353,"BS_ST_BORROW","FQ3 2015","FQ3 2015","Currency=INR","Period=FQ","BEST_FPERIOD_OVERRIDE=FQ","FILING_STATUS=OR","EQY_CONSOLIDATED=Y","SCALING_FORMAT=MLN","Sort=A","Dates=H","DateFormat=P","Fill=—","Direction=H","UseDPDF=Y")</f>
        <v>#NAME?</v>
      </c>
      <c r="CA361" s="2" t="e">
        <f ca="1">_xll.BDH($C$353,"BS_LT_BORROW","FQ3 2015","FQ3 2015","Currency=INR","Period=FQ","BEST_FPERIOD_OVERRIDE=FQ","FILING_STATUS=OR","EQY_CONSOLIDATED=Y","SCALING_FORMAT=MLN","Sort=A","Dates=H","DateFormat=P","Fill=—","Direction=H","UseDPDF=Y")</f>
        <v>#NAME?</v>
      </c>
      <c r="CB361" s="1" t="e">
        <f ca="1">_xll.BDH($C$353,"TOT_DEBT_TO_EBITDA","FQ3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61" s="1" t="e">
        <f ca="1">_xll.BDH($C$353,"NET_DEBT_TO_EBITDA","FQ3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61" s="1" t="e">
        <f ca="1">_xll.BDH($C$353,"TOTAL_DEBT_TO_EBIT","FQ3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61" s="1" t="e">
        <f ca="1">_xll.BDH($C$353,"NET_DEBT_TO_EBIT","FQ3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361" s="1" t="e">
        <f ca="1">_xll.BDH($C$353,"EBITDA_TO_INTEREST_EXPN","FQ3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61" s="1" t="e">
        <f ca="1">_xll.BDH($C$353,"COM_EQY_TO_TOT_ASSET","FQ3 2015","FQ3 2015","Currency=INR","Period=FQ","BEST_FPERIOD_OVERRIDE=FQ","FILING_STATUS=OR","EQY_CONSOLIDATED=Y","Sort=A","Dates=H","DateFormat=P","Fill=—","Direction=H","UseDPDF=Y")</f>
        <v>#NAME?</v>
      </c>
      <c r="CH361" s="1" t="e">
        <f ca="1">_xll.BDH($C$353,"LT_DEBT_TO_TOT_EQY","FQ3 2015","FQ3 2015","Currency=INR","Period=FQ","BEST_FPERIOD_OVERRIDE=FQ","FILING_STATUS=OR","EQY_CONSOLIDATED=Y","Sort=A","Dates=H","DateFormat=P","Fill=—","Direction=H","UseDPDF=Y")</f>
        <v>#NAME?</v>
      </c>
      <c r="CI361" s="1" t="e">
        <f ca="1">_xll.BDH($C$353,"LT_DEBT_TO_TOT_CAP","FQ3 2015","FQ3 2015","Currency=INR","Period=FQ","BEST_FPERIOD_OVERRIDE=FQ","FILING_STATUS=OR","EQY_CONSOLIDATED=Y","Sort=A","Dates=H","DateFormat=P","Fill=—","Direction=H","UseDPDF=Y")</f>
        <v>#NAME?</v>
      </c>
      <c r="CJ361" s="1" t="e">
        <f ca="1">_xll.BDH($C$353,"LT_DEBT_TO_TOT_ASSET","FQ3 2015","FQ3 2015","Currency=INR","Period=FQ","BEST_FPERIOD_OVERRIDE=FQ","FILING_STATUS=OR","EQY_CONSOLIDATED=Y","Sort=A","Dates=H","DateFormat=P","Fill=—","Direction=H","UseDPDF=Y")</f>
        <v>#NAME?</v>
      </c>
      <c r="CK361" s="1" t="e">
        <f ca="1">_xll.BDH($C$353,"TOT_DEBT_TO_TOT_EQY","FQ3 2015","FQ3 2015","Currency=INR","Period=FQ","BEST_FPERIOD_OVERRIDE=FQ","FILING_STATUS=OR","EQY_CONSOLIDATED=Y","Sort=A","Dates=H","DateFormat=P","Fill=—","Direction=H","UseDPDF=Y")</f>
        <v>#NAME?</v>
      </c>
      <c r="CL361" s="1" t="e">
        <f ca="1">_xll.BDH($C$353,"TOT_DEBT_TO_TOT_CAP","FQ3 2015","FQ3 2015","Currency=INR","Period=FQ","BEST_FPERIOD_OVERRIDE=FQ","FILING_STATUS=OR","EQY_CONSOLIDATED=Y","Sort=A","Dates=H","DateFormat=P","Fill=—","Direction=H","UseDPDF=Y")</f>
        <v>#NAME?</v>
      </c>
      <c r="CM361" s="1" t="e">
        <f ca="1">_xll.BDH($C$353,"TOT_DEBT_TO_TOT_ASSET","FQ3 2015","FQ3 2015","Currency=INR","Period=FQ","BEST_FPERIOD_OVERRIDE=FQ","FILING_STATUS=OR","EQY_CONSOLIDATED=Y","Sort=A","Dates=H","DateFormat=P","Fill=—","Direction=H","UseDPDF=Y")</f>
        <v>#NAME?</v>
      </c>
      <c r="CN361" s="1" t="e">
        <f ca="1">_xll.BDH($C$353,"NET_DEBT_TO_SHRHLDR_EQTY","FQ3 2015","FQ3 2015","Currency=INR","Period=FQ","BEST_FPERIOD_OVERRIDE=FQ","FILING_STATUS=OR","EQY_CONSOLIDATED=Y","Sort=A","Dates=H","DateFormat=P","Fill=—","Direction=H","UseDPDF=Y")</f>
        <v>#NAME?</v>
      </c>
      <c r="CO361" s="1" t="e">
        <f ca="1">_xll.BDH($C$353,"NET_DEBT_%_CAPITAL","FQ3 2015","FQ3 2015","Currency=INR","Period=FQ","BEST_FPERIOD_OVERRIDE=FQ","FILING_STATUS=OR","EQY_CONSOLIDATED=Y","Sort=A","Dates=H","DateFormat=P","Fill=—","Direction=H","UseDPDF=Y")</f>
        <v>#NAME?</v>
      </c>
      <c r="CP361" s="2" t="e">
        <f ca="1">_xll.BDH($C$353,"EBITDA","FQ3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61" s="2" t="e">
        <f ca="1">_xll.BDH($C$353,"EBITDA_AFTER_CAPEX","FQ3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61" s="2" t="e">
        <f ca="1">_xll.BDH($C$353,"IS_OPER_INC","FQ3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61" s="1" t="e">
        <f ca="1">_xll.BDH($C$353,"CASH_RATIO","FQ3 2015","FQ3 2015","Currency=INR","Period=FQ","BEST_FPERIOD_OVERRIDE=FQ","FILING_STATUS=OR","EQY_CONSOLIDATED=Y","Sort=A","Dates=H","DateFormat=P","Fill=—","Direction=H","UseDPDF=Y")</f>
        <v>#NAME?</v>
      </c>
      <c r="CT361" s="1" t="e">
        <f ca="1">_xll.BDH($C$353,"CUR_RATIO","FQ3 2015","FQ3 2015","Currency=INR","Period=FQ","BEST_FPERIOD_OVERRIDE=FQ","FILING_STATUS=OR","EQY_CONSOLIDATED=Y","Sort=A","Dates=H","DateFormat=P","Fill=—","Direction=H","UseDPDF=Y")</f>
        <v>#NAME?</v>
      </c>
      <c r="CU361" s="1" t="e">
        <f ca="1">_xll.BDH($C$353,"QUICK_RATIO","FQ3 2015","FQ3 2015","Currency=INR","Period=FQ","BEST_FPERIOD_OVERRIDE=FQ","FILING_STATUS=OR","EQY_CONSOLIDATED=Y","Sort=A","Dates=H","DateFormat=P","Fill=—","Direction=H","UseDPDF=Y")</f>
        <v>#NAME?</v>
      </c>
      <c r="CV361" s="1" t="e">
        <f ca="1">_xll.BDH($C$353,"ALTMAN_Z_SCORE","FQ3 2015","FQ3 2015","Currency=INR","Period=FQ","BEST_FPERIOD_OVERRIDE=FQ","FILING_STATUS=OR","EQY_CONSOLIDATED=Y","Sort=A","Dates=H","DateFormat=P","Fill=—","Direction=H","UseDPDF=Y")</f>
        <v>#NAME?</v>
      </c>
      <c r="CW361" s="3" t="e">
        <f ca="1">_xll.BDH($C$353,"ACCT_RCV_TURN","FQ3 2015","FQ3 2015","Currency=INR","Period=FQ","BEST_FPERIOD_OVERRIDE=FQ","FILING_STATUS=OR","EQY_CONSOLIDATED=Y","FA_ADJUSTED=GAAP","Sort=A","Dates=H","DateFormat=P","Fill=—","Direction=H","UseDPDF=Y")</f>
        <v>#NAME?</v>
      </c>
      <c r="CX361" s="1" t="e">
        <f ca="1">_xll.BDH($C$353,"ACCT_RCV_DAYS","FQ3 2015","FQ3 2015","Currency=INR","Period=FQ","BEST_FPERIOD_OVERRIDE=FQ","FILING_STATUS=OR","EQY_CONSOLIDATED=Y","FA_ADJUSTED=GAAP","Sort=A","Dates=H","DateFormat=P","Fill=—","Direction=H","UseDPDF=Y")</f>
        <v>#NAME?</v>
      </c>
      <c r="CY361" s="3" t="e">
        <f ca="1">_xll.BDH($C$353,"INVENT_TURN","FQ3 2015","FQ3 2015","Currency=INR","Period=FQ","BEST_FPERIOD_OVERRIDE=FQ","FILING_STATUS=OR","EQY_CONSOLIDATED=Y","FA_ADJUSTED=GAAP","Sort=A","Dates=H","DateFormat=P","Fill=—","Direction=H","UseDPDF=Y")</f>
        <v>#NAME?</v>
      </c>
      <c r="CZ361" s="1" t="e">
        <f ca="1">_xll.BDH($C$353,"INVENT_DAYS","FQ3 2015","FQ3 2015","Currency=INR","Period=FQ","BEST_FPERIOD_OVERRIDE=FQ","FILING_STATUS=OR","EQY_CONSOLIDATED=Y","FA_ADJUSTED=GAAP","Sort=A","Dates=H","DateFormat=P","Fill=—","Direction=H","UseDPDF=Y")</f>
        <v>#NAME?</v>
      </c>
      <c r="DA361" s="3" t="e">
        <f ca="1">_xll.BDH($C$353,"ACCOUNTS_PAYABLE_TURNOVER","FQ3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61" s="1" t="e">
        <f ca="1">_xll.BDH($C$353,"ACCOUNTS_PAYABLE_TURNOVER_DAYS","FQ3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61" s="3" t="e">
        <f ca="1">_xll.BDH($C$353,"CASH_CONVERSION_CYCLE","FQ3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61" s="3" t="e">
        <f ca="1">_xll.BDH($C$353,"INV_TO_CASH_DAYS","FQ3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361" s="4" t="e">
        <f ca="1">_xll.BDH($C$353,"BS_INVENTORIES","FQ3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361" s="2" t="e">
        <f ca="1">_xll.BDH($C$353,"INVTRY_RAW_MATERIALS","FQ3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61" s="2" t="e">
        <f ca="1">_xll.BDH($C$353,"INVTRY_IN_PROGRESS","FQ3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61" s="2" t="e">
        <f ca="1">_xll.BDH($C$353,"INVTRY_FINISHED_GOODS","FQ3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61" s="2" t="e">
        <f ca="1">_xll.BDH($C$353,"BS_OTHER_INV","FQ3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62" spans="1:113" x14ac:dyDescent="0.3">
      <c r="A362" s="6"/>
      <c r="B362" s="6"/>
      <c r="C362" s="6"/>
      <c r="D362" s="6"/>
      <c r="E362" t="s">
        <v>7</v>
      </c>
      <c r="F362" t="e">
        <f ca="1">_xll.BDH($C$353,"RETURN_COM_EQY","FQ4 2015","FQ4 2015","Currency=INR","Period=FQ","BEST_FPERIOD_OVERRIDE=FQ","FILING_STATUS=OR","EQY_CONSOLIDATED=Y","FA_ADJUSTED=GAAP","Sort=A","Dates=H","DateFormat=P","Fill=—","Direction=H","UseDPDF=Y")</f>
        <v>#NAME?</v>
      </c>
      <c r="G362" t="e">
        <f ca="1">_xll.BDH($C$353,"RETURN_ON_ASSET","FQ4 2015","FQ4 2015","Currency=INR","Period=FQ","BEST_FPERIOD_OVERRIDE=FQ","FILING_STATUS=OR","EQY_CONSOLIDATED=Y","FA_ADJUSTED=GAAP","Sort=A","Dates=H","DateFormat=P","Fill=—","Direction=H","UseDPDF=Y")</f>
        <v>#NAME?</v>
      </c>
      <c r="H362" t="e">
        <f ca="1">_xll.BDH($C$353,"RETURN_ON_CAP","FQ4 2015","FQ4 2015","Currency=INR","Period=FQ","BEST_FPERIOD_OVERRIDE=FQ","FILING_STATUS=OR","EQY_CONSOLIDATED=Y","FA_ADJUSTED=GAAP","Sort=A","Dates=H","DateFormat=P","Fill=—","Direction=H","UseDPDF=Y")</f>
        <v>#NAME?</v>
      </c>
      <c r="I362" t="e">
        <f ca="1">_xll.BDH($C$353,"RETURN_ON_INV_CAPITAL","FQ4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62" t="e">
        <f ca="1">_xll.BDH($C$353,"EBITDA_TO_REVENUE","FQ4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362" t="e">
        <f ca="1">_xll.BDH($C$353,"OPER_MARGIN","FQ4 2015","FQ4 2015","Currency=INR","Period=FQ","BEST_FPERIOD_OVERRIDE=FQ","FILING_STATUS=OR","EQY_CONSOLIDATED=Y","FA_ADJUSTED=GAAP","Sort=A","Dates=H","DateFormat=P","Fill=—","Direction=H","UseDPDF=Y")</f>
        <v>#NAME?</v>
      </c>
      <c r="L362" t="e">
        <f ca="1">_xll.BDH($C$353,"INCREMENTAL_OPERATING_MARGIN","FQ4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62" t="e">
        <f ca="1">_xll.BDH($C$353,"PRETAX_INC_TO_NET_SALES","FQ4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62" t="e">
        <f ca="1">_xll.BDH($C$353,"INC_BEF_XO_ITEMS_TO_NET_SALES","FQ4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62" t="e">
        <f ca="1">_xll.BDH($C$353,"PROF_MARGIN","FQ4 2015","FQ4 2015","Currency=INR","Period=FQ","BEST_FPERIOD_OVERRIDE=FQ","FILING_STATUS=OR","EQY_CONSOLIDATED=Y","FA_ADJUSTED=GAAP","Sort=A","Dates=H","DateFormat=P","Fill=—","Direction=H","UseDPDF=Y")</f>
        <v>#NAME?</v>
      </c>
      <c r="P362" t="e">
        <f ca="1">_xll.BDH($C$353,"NET_INCOME_TO_COMMON_MARGIN","FQ4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62" t="e">
        <f ca="1">_xll.BDH($C$353,"EFF_TAX_RATE","FQ4 2015","FQ4 2015","Currency=INR","Period=FQ","BEST_FPERIOD_OVERRIDE=FQ","FILING_STATUS=OR","EQY_CONSOLIDATED=Y","FA_ADJUSTED=GAAP","Sort=A","Dates=H","DateFormat=P","Fill=—","Direction=H","UseDPDF=Y")</f>
        <v>#NAME?</v>
      </c>
      <c r="R362" t="e">
        <f ca="1">_xll.BDH($C$353,"DVD_PAYOUT_RATIO","FQ4 2015","FQ4 2015","Currency=INR","Period=FQ","BEST_FPERIOD_OVERRIDE=FQ","FILING_STATUS=OR","EQY_CONSOLIDATED=Y","FA_ADJUSTED=GAAP","Sort=A","Dates=H","DateFormat=P","Fill=—","Direction=H","UseDPDF=Y")</f>
        <v>#NAME?</v>
      </c>
      <c r="S362" t="e">
        <f ca="1">_xll.BDH($C$353,"SUSTAIN_GROWTH_RT","FQ4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362" s="1" t="e">
        <f ca="1">_xll.BDH($C$353,"SALES_GROWTH","FQ4 2015","FQ4 2015","Currency=INR","Period=FQ","BEST_FPERIOD_OVERRIDE=FQ","FILING_STATUS=OR","EQY_CONSOLIDATED=Y","FA_ADJUSTED=GAAP","Sort=A","Dates=H","DateFormat=P","Fill=—","Direction=H","UseDPDF=Y")</f>
        <v>#NAME?</v>
      </c>
      <c r="U362" s="1" t="e">
        <f ca="1">_xll.BDH($C$353,"EBITDA_GROWTH","FQ4 2015","FQ4 2015","Currency=INR","Period=FQ","BEST_FPERIOD_OVERRIDE=FQ","FILING_STATUS=OR","EQY_CONSOLIDATED=Y","FA_ADJUSTED=GAAP","Sort=A","Dates=H","DateFormat=P","Fill=—","Direction=H","UseDPDF=Y")</f>
        <v>#NAME?</v>
      </c>
      <c r="V362" s="1" t="e">
        <f ca="1">_xll.BDH($C$353,"OPER_INC_GROWTH","FQ4 2015","FQ4 2015","Currency=INR","Period=FQ","BEST_FPERIOD_OVERRIDE=FQ","FILING_STATUS=OR","EQY_CONSOLIDATED=Y","FA_ADJUSTED=GAAP","Sort=A","Dates=H","DateFormat=P","Fill=—","Direction=H","UseDPDF=Y")</f>
        <v>#NAME?</v>
      </c>
      <c r="W362" s="1" t="e">
        <f ca="1">_xll.BDH($C$353,"EARN_FOR_COM_GROWTH","FQ4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62" s="1" t="e">
        <f ca="1">_xll.BDH($C$353,"DILUTED_EPS_AFT_XO_ITEMS_GROWTH","FQ4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62" s="1" t="e">
        <f ca="1">_xll.BDH($C$353,"DIVIDEND_PER_SHARE_1_YEAR_GROWTH","FQ4 2015","FQ4 2015","Currency=INR","Period=FQ","BEST_FPERIOD_OVERRIDE=FQ","FILING_STATUS=OR","EQY_CONSOLIDATED=Y","Sort=A","Dates=H","DateFormat=P","Fill=—","Direction=H","UseDPDF=Y")</f>
        <v>#NAME?</v>
      </c>
      <c r="Z362" s="1" t="e">
        <f ca="1">_xll.BDH($C$353,"ACCOUNTS_RECEIVABLE_GROWTH","FQ4 2015","FQ4 2015","Currency=INR","Period=FQ","BEST_FPERIOD_OVERRIDE=FQ","FILING_STATUS=OR","EQY_CONSOLIDATED=Y","Sort=A","Dates=H","DateFormat=P","Fill=—","Direction=H","UseDPDF=Y")</f>
        <v>#NAME?</v>
      </c>
      <c r="AA362" s="1" t="e">
        <f ca="1">_xll.BDH($C$353,"INVENTORY_GROWTH","FQ4 2015","FQ4 2015","Currency=INR","Period=FQ","BEST_FPERIOD_OVERRIDE=FQ","FILING_STATUS=OR","EQY_CONSOLIDATED=Y","Sort=A","Dates=H","DateFormat=P","Fill=—","Direction=H","UseDPDF=Y")</f>
        <v>#NAME?</v>
      </c>
      <c r="AB362" s="1" t="e">
        <f ca="1">_xll.BDH($C$353,"NET_FIXED_ASSETS_1_YEAR_GROWTH","FQ4 2015","FQ4 2015","Currency=INR","Period=FQ","BEST_FPERIOD_OVERRIDE=FQ","FILING_STATUS=OR","EQY_CONSOLIDATED=Y","Sort=A","Dates=H","DateFormat=P","Fill=—","Direction=H","UseDPDF=Y")</f>
        <v>#NAME?</v>
      </c>
      <c r="AC362" s="1" t="e">
        <f ca="1">_xll.BDH($C$353,"ASSET_GROWTH","FQ4 2015","FQ4 2015","Currency=INR","Period=FQ","BEST_FPERIOD_OVERRIDE=FQ","FILING_STATUS=OR","EQY_CONSOLIDATED=Y","Sort=A","Dates=H","DateFormat=P","Fill=—","Direction=H","UseDPDF=Y")</f>
        <v>#NAME?</v>
      </c>
      <c r="AD362" s="1" t="e">
        <f ca="1">_xll.BDH($C$353,"MODIFIED_WORK_CAP_GROWTH","FQ4 2015","FQ4 2015","Currency=INR","Period=FQ","BEST_FPERIOD_OVERRIDE=FQ","FILING_STATUS=OR","EQY_CONSOLIDATED=Y","Sort=A","Dates=H","DateFormat=P","Fill=—","Direction=H","UseDPDF=Y")</f>
        <v>#NAME?</v>
      </c>
      <c r="AE362" s="1" t="e">
        <f ca="1">_xll.BDH($C$353,"WORK_CAP_GROWTH","FQ4 2015","FQ4 2015","Currency=INR","Period=FQ","BEST_FPERIOD_OVERRIDE=FQ","FILING_STATUS=OR","EQY_CONSOLIDATED=Y","Sort=A","Dates=H","DateFormat=P","Fill=—","Direction=H","UseDPDF=Y")</f>
        <v>#NAME?</v>
      </c>
      <c r="AF362" s="1" t="e">
        <f ca="1">_xll.BDH($C$353,"ACCOUNTS_PAYABLE_GROWTH_1YR","FQ4 2015","FQ4 2015","Currency=INR","Period=FQ","BEST_FPERIOD_OVERRIDE=FQ","FILING_STATUS=OR","EQY_CONSOLIDATED=Y","Sort=A","Dates=H","DateFormat=P","Fill=—","Direction=H","UseDPDF=Y")</f>
        <v>#NAME?</v>
      </c>
      <c r="AG362" s="1" t="e">
        <f ca="1">_xll.BDH($C$353,"SHORT_TERM_DEBT_1_YEAR_GROWTH","FQ4 2015","FQ4 2015","Currency=INR","Period=FQ","BEST_FPERIOD_OVERRIDE=FQ","FILING_STATUS=OR","EQY_CONSOLIDATED=Y","Sort=A","Dates=H","DateFormat=P","Fill=—","Direction=H","UseDPDF=Y")</f>
        <v>#NAME?</v>
      </c>
      <c r="AH362" s="1" t="e">
        <f ca="1">_xll.BDH($C$353,"TOTAL_DEBT_1_YEAR_GROWTH","FQ4 2015","FQ4 2015","Currency=INR","Period=FQ","BEST_FPERIOD_OVERRIDE=FQ","FILING_STATUS=OR","EQY_CONSOLIDATED=Y","Sort=A","Dates=H","DateFormat=P","Fill=—","Direction=H","UseDPDF=Y")</f>
        <v>#NAME?</v>
      </c>
      <c r="AI362" s="1" t="e">
        <f ca="1">_xll.BDH($C$353,"TOTAL_EQUITY_1_YEAR_GROWTH","FQ4 2015","FQ4 2015","Currency=INR","Period=FQ","BEST_FPERIOD_OVERRIDE=FQ","FILING_STATUS=OR","EQY_CONSOLIDATED=Y","Sort=A","Dates=H","DateFormat=P","Fill=—","Direction=H","UseDPDF=Y")</f>
        <v>#NAME?</v>
      </c>
      <c r="AJ362" s="1" t="e">
        <f ca="1">_xll.BDH($C$353,"GROWTH_IN_CAP","FQ4 2015","FQ4 2015","Currency=INR","Period=FQ","BEST_FPERIOD_OVERRIDE=FQ","FILING_STATUS=OR","EQY_CONSOLIDATED=Y","Sort=A","Dates=H","DateFormat=P","Fill=—","Direction=H","UseDPDF=Y")</f>
        <v>#NAME?</v>
      </c>
      <c r="AK362" s="1" t="e">
        <f ca="1">_xll.BDH($C$353,"BVPS_GROWTH","FQ4 2015","FQ4 2015","Currency=INR","Period=FQ","BEST_FPERIOD_OVERRIDE=FQ","FILING_STATUS=OR","EQY_CONSOLIDATED=Y","Sort=A","Dates=H","DateFormat=P","Fill=—","Direction=H","UseDPDF=Y")</f>
        <v>#NAME?</v>
      </c>
      <c r="AL362" s="1" t="e">
        <f ca="1">_xll.BDH($C$353,"CASH_FLOW_GROWTH","FQ4 2015","FQ4 2015","Currency=INR","Period=FQ","BEST_FPERIOD_OVERRIDE=FQ","FILING_STATUS=OR","EQY_CONSOLIDATED=Y","Sort=A","Dates=H","DateFormat=P","Fill=—","Direction=H","UseDPDF=Y")</f>
        <v>#NAME?</v>
      </c>
      <c r="AM362" s="1" t="e">
        <f ca="1">_xll.BDH($C$353,"GEO_GROW_NET_SALES","FQ4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62" s="1" t="e">
        <f ca="1">_xll.BDH($C$353,"GEO_GROW_EBITDA","FQ4 2015","FQ4 2015","Currency=INR","Period=FQ","BEST_FPERIOD_OVERRIDE=FQ","FILING_STATUS=OR","EQY_CONSOLIDATED=Y","FA_ADJUSTED=GAAP","Sort=A","Dates=H","DateFormat=P","Fill=—","Direction=H","UseDPDF=Y")</f>
        <v>#NAME?</v>
      </c>
      <c r="AO362" s="1" t="e">
        <f ca="1">_xll.BDH($C$353,"GEO_GROW_OPER_INC","FQ4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62" s="1" t="e">
        <f ca="1">_xll.BDH($C$353,"NET_INCOME_TO_COMMON_5_YR_GROWTH","FQ4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62" s="1" t="e">
        <f ca="1">_xll.BDH($C$353,"5Y_GEO_GROWTH_DILUTED_EPS","FQ4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62" s="1" t="e">
        <f ca="1">_xll.BDH($C$353,"GEO_GROW_DVD_PER_SH","FQ4 2015","FQ4 2015","Currency=INR","Period=FQ","BEST_FPERIOD_OVERRIDE=FQ","FILING_STATUS=OR","EQY_CONSOLIDATED=Y","Sort=A","Dates=H","DateFormat=P","Fill=—","Direction=H","UseDPDF=Y")</f>
        <v>#NAME?</v>
      </c>
      <c r="AS362" s="1" t="e">
        <f ca="1">_xll.BDH($C$353,"ACCOUNTS_RECEIVABLE_5_YR_GROWTH","FQ4 2015","FQ4 2015","Currency=INR","Period=FQ","BEST_FPERIOD_OVERRIDE=FQ","FILING_STATUS=OR","EQY_CONSOLIDATED=Y","Sort=A","Dates=H","DateFormat=P","Fill=—","Direction=H","UseDPDF=Y")</f>
        <v>#NAME?</v>
      </c>
      <c r="AT362" s="1" t="e">
        <f ca="1">_xll.BDH($C$353,"INVENTORY_5_YEAR_GROWTH","FQ4 2015","FQ4 2015","Currency=INR","Period=FQ","BEST_FPERIOD_OVERRIDE=FQ","FILING_STATUS=OR","EQY_CONSOLIDATED=Y","Sort=A","Dates=H","DateFormat=P","Fill=—","Direction=H","UseDPDF=Y")</f>
        <v>#NAME?</v>
      </c>
      <c r="AU362" s="1" t="e">
        <f ca="1">_xll.BDH($C$353,"NET_FIXED_ASSETS_5_YEAR_GROWTH","FQ4 2015","FQ4 2015","Currency=INR","Period=FQ","BEST_FPERIOD_OVERRIDE=FQ","FILING_STATUS=OR","EQY_CONSOLIDATED=Y","Sort=A","Dates=H","DateFormat=P","Fill=—","Direction=H","UseDPDF=Y")</f>
        <v>#NAME?</v>
      </c>
      <c r="AV362" s="1" t="e">
        <f ca="1">_xll.BDH($C$353,"GEO_GROW_TOT_ASSET","FQ4 2015","FQ4 2015","Currency=INR","Period=FQ","BEST_FPERIOD_OVERRIDE=FQ","FILING_STATUS=OR","EQY_CONSOLIDATED=Y","Sort=A","Dates=H","DateFormat=P","Fill=—","Direction=H","UseDPDF=Y")</f>
        <v>#NAME?</v>
      </c>
      <c r="AW362" s="1" t="e">
        <f ca="1">_xll.BDH($C$353,"MODIFIED_WORKING_CPTL_5YR_GRWTH","FQ4 2015","FQ4 2015","Currency=INR","Period=FQ","BEST_FPERIOD_OVERRIDE=FQ","FILING_STATUS=OR","EQY_CONSOLIDATED=Y","Sort=A","Dates=H","DateFormat=P","Fill=—","Direction=H","UseDPDF=Y")</f>
        <v>#NAME?</v>
      </c>
      <c r="AX362" s="1" t="e">
        <f ca="1">_xll.BDH($C$353,"WORKING_CAPITAL_5_YEAR_GROWTH","FQ4 2015","FQ4 2015","Currency=INR","Period=FQ","BEST_FPERIOD_OVERRIDE=FQ","FILING_STATUS=OR","EQY_CONSOLIDATED=Y","Sort=A","Dates=H","DateFormat=P","Fill=—","Direction=H","UseDPDF=Y")</f>
        <v>#NAME?</v>
      </c>
      <c r="AY362" s="1" t="e">
        <f ca="1">_xll.BDH($C$353,"ACCOUNTS_PAYABLE_5_YEAR_GROWTH","FQ4 2015","FQ4 2015","Currency=INR","Period=FQ","BEST_FPERIOD_OVERRIDE=FQ","FILING_STATUS=OR","EQY_CONSOLIDATED=Y","Sort=A","Dates=H","DateFormat=P","Fill=—","Direction=H","UseDPDF=Y")</f>
        <v>#NAME?</v>
      </c>
      <c r="AZ362" s="1" t="e">
        <f ca="1">_xll.BDH($C$353,"SHORT_TERM_DEBT_5_YEAR_GROWTH","FQ4 2015","FQ4 2015","Currency=INR","Period=FQ","BEST_FPERIOD_OVERRIDE=FQ","FILING_STATUS=OR","EQY_CONSOLIDATED=Y","Sort=A","Dates=H","DateFormat=P","Fill=—","Direction=H","UseDPDF=Y")</f>
        <v>#NAME?</v>
      </c>
      <c r="BA362" s="1" t="e">
        <f ca="1">_xll.BDH($C$353,"TOTAL_DEBT_5_YEAR_GROWTH","FQ4 2015","FQ4 2015","Currency=INR","Period=FQ","BEST_FPERIOD_OVERRIDE=FQ","FILING_STATUS=OR","EQY_CONSOLIDATED=Y","Sort=A","Dates=H","DateFormat=P","Fill=—","Direction=H","UseDPDF=Y")</f>
        <v>#NAME?</v>
      </c>
      <c r="BB362" s="1" t="e">
        <f ca="1">_xll.BDH($C$353,"GEO_GROW_TOT_SHRHLDR_EQY","FQ4 2015","FQ4 2015","Currency=INR","Period=FQ","BEST_FPERIOD_OVERRIDE=FQ","FILING_STATUS=OR","EQY_CONSOLIDATED=Y","Sort=A","Dates=H","DateFormat=P","Fill=—","Direction=H","UseDPDF=Y")</f>
        <v>#NAME?</v>
      </c>
      <c r="BC362" s="1" t="e">
        <f ca="1">_xll.BDH($C$353,"TOTAL_CAPITAL_5_YEAR_GROWTH","FQ4 2015","FQ4 2015","Currency=INR","Period=FQ","BEST_FPERIOD_OVERRIDE=FQ","FILING_STATUS=OR","EQY_CONSOLIDATED=Y","Sort=A","Dates=H","DateFormat=P","Fill=—","Direction=H","UseDPDF=Y")</f>
        <v>#NAME?</v>
      </c>
      <c r="BD362" s="1" t="e">
        <f ca="1">_xll.BDH($C$353,"GEO_GROW_BOOK_VAL","FQ4 2015","FQ4 2015","Currency=INR","Period=FQ","BEST_FPERIOD_OVERRIDE=FQ","FILING_STATUS=OR","EQY_CONSOLIDATED=Y","Sort=A","Dates=H","DateFormat=P","Fill=—","Direction=H","UseDPDF=Y")</f>
        <v>#NAME?</v>
      </c>
      <c r="BE362" s="1" t="e">
        <f ca="1">_xll.BDH($C$353,"GEO_GROW_CASH_OPER_ACT","FQ4 2015","FQ4 2015","Currency=INR","Period=FQ","BEST_FPERIOD_OVERRIDE=FQ","FILING_STATUS=OR","EQY_CONSOLIDATED=Y","Sort=A","Dates=H","DateFormat=P","Fill=—","Direction=H","UseDPDF=Y")</f>
        <v>#NAME?</v>
      </c>
      <c r="BF362" s="1" t="e">
        <f ca="1">_xll.BDH($C$353,"REVENUE_SEQUENTIAL_GROWTH","FQ4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62" s="1" t="e">
        <f ca="1">_xll.BDH($C$353,"EBITDA_SEQUENTIAL_GROWTH","FQ4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62" s="1" t="e">
        <f ca="1">_xll.BDH($C$353,"OPERATING_INCOME_SEQ_GROWTH","FQ4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62" s="1" t="e">
        <f ca="1">_xll.BDH($C$353,"NET_INCOME_TO_COMMON_SEQ_GROWTH","FQ4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62" s="1" t="e">
        <f ca="1">_xll.BDH($C$353,"EPS_DILUTED_SEQUENTIAL_GROWTH","FQ4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62" s="1" t="e">
        <f ca="1">_xll.BDH($C$353,"DPS_SEQUENTIAL_GROWTH","FQ4 2015","FQ4 2015","Currency=INR","Period=FQ","BEST_FPERIOD_OVERRIDE=FQ","FILING_STATUS=OR","EQY_CONSOLIDATED=Y","Sort=A","Dates=H","DateFormat=P","Fill=—","Direction=H","UseDPDF=Y")</f>
        <v>#NAME?</v>
      </c>
      <c r="BL362" s="1" t="e">
        <f ca="1">_xll.BDH($C$353,"ACCOUNTS_RECEIVABLE_SEQ_GROWTH","FQ4 2015","FQ4 2015","Currency=INR","Period=FQ","BEST_FPERIOD_OVERRIDE=FQ","FILING_STATUS=OR","EQY_CONSOLIDATED=Y","Sort=A","Dates=H","DateFormat=P","Fill=—","Direction=H","UseDPDF=Y")</f>
        <v>#NAME?</v>
      </c>
      <c r="BM362" s="1" t="e">
        <f ca="1">_xll.BDH($C$353,"INVENTORY_SEQUENTIAL_GROWTH","FQ4 2015","FQ4 2015","Currency=INR","Period=FQ","BEST_FPERIOD_OVERRIDE=FQ","FILING_STATUS=OR","EQY_CONSOLIDATED=Y","Sort=A","Dates=H","DateFormat=P","Fill=—","Direction=H","UseDPDF=Y")</f>
        <v>#NAME?</v>
      </c>
      <c r="BN362" s="1" t="e">
        <f ca="1">_xll.BDH($C$353,"FIXED_ASSETS_SEQUENTIAL_GROWTH","FQ4 2015","FQ4 2015","Currency=INR","Period=FQ","BEST_FPERIOD_OVERRIDE=FQ","FILING_STATUS=OR","EQY_CONSOLIDATED=Y","Sort=A","Dates=H","DateFormat=P","Fill=—","Direction=H","UseDPDF=Y")</f>
        <v>#NAME?</v>
      </c>
      <c r="BO362" s="1" t="e">
        <f ca="1">_xll.BDH($C$353,"TOTAL_ASSETS_SEQUENTIAL_GROWTH","FQ4 2015","FQ4 2015","Currency=INR","Period=FQ","BEST_FPERIOD_OVERRIDE=FQ","FILING_STATUS=OR","EQY_CONSOLIDATED=Y","Sort=A","Dates=H","DateFormat=P","Fill=—","Direction=H","UseDPDF=Y")</f>
        <v>#NAME?</v>
      </c>
      <c r="BP362" s="1" t="e">
        <f ca="1">_xll.BDH($C$353,"MODIFIED_WORKING_CPTL_SEQ_GRWTH","FQ4 2015","FQ4 2015","Currency=INR","Period=FQ","BEST_FPERIOD_OVERRIDE=FQ","FILING_STATUS=OR","EQY_CONSOLIDATED=Y","Sort=A","Dates=H","DateFormat=P","Fill=—","Direction=H","UseDPDF=Y")</f>
        <v>#NAME?</v>
      </c>
      <c r="BQ362" s="1" t="e">
        <f ca="1">_xll.BDH($C$353,"WORKING_CAPITAL_SEQ_GROWTH","FQ4 2015","FQ4 2015","Currency=INR","Period=FQ","BEST_FPERIOD_OVERRIDE=FQ","FILING_STATUS=OR","EQY_CONSOLIDATED=Y","Sort=A","Dates=H","DateFormat=P","Fill=—","Direction=H","UseDPDF=Y")</f>
        <v>#NAME?</v>
      </c>
      <c r="BR362" s="1" t="e">
        <f ca="1">_xll.BDH($C$353,"ACCOUNTS_PAYABLE_SEQ_GROWTH","FQ4 2015","FQ4 2015","Currency=INR","Period=FQ","BEST_FPERIOD_OVERRIDE=FQ","FILING_STATUS=OR","EQY_CONSOLIDATED=Y","Sort=A","Dates=H","DateFormat=P","Fill=—","Direction=H","UseDPDF=Y")</f>
        <v>#NAME?</v>
      </c>
      <c r="BS362" s="1" t="e">
        <f ca="1">_xll.BDH($C$353,"ST_DEBT_SEQUENTIAL_GROWTH","FQ4 2015","FQ4 2015","Currency=INR","Period=FQ","BEST_FPERIOD_OVERRIDE=FQ","FILING_STATUS=OR","EQY_CONSOLIDATED=Y","Sort=A","Dates=H","DateFormat=P","Fill=—","Direction=H","UseDPDF=Y")</f>
        <v>#NAME?</v>
      </c>
      <c r="BT362" s="1" t="e">
        <f ca="1">_xll.BDH($C$353,"TOTAL_DEBT_SEQUENTIAL_GROWTH","FQ4 2015","FQ4 2015","Currency=INR","Period=FQ","BEST_FPERIOD_OVERRIDE=FQ","FILING_STATUS=OR","EQY_CONSOLIDATED=Y","Sort=A","Dates=H","DateFormat=P","Fill=—","Direction=H","UseDPDF=Y")</f>
        <v>#NAME?</v>
      </c>
      <c r="BU362" s="1" t="e">
        <f ca="1">_xll.BDH($C$353,"TOTAL_EQUITY_SEQUENTIAL_GROWTH","FQ4 2015","FQ4 2015","Currency=INR","Period=FQ","BEST_FPERIOD_OVERRIDE=FQ","FILING_STATUS=OR","EQY_CONSOLIDATED=Y","Sort=A","Dates=H","DateFormat=P","Fill=—","Direction=H","UseDPDF=Y")</f>
        <v>#NAME?</v>
      </c>
      <c r="BV362" s="1" t="e">
        <f ca="1">_xll.BDH($C$353,"TOTAL_CAPITAL_SEQUENTIAL_GROWTH","FQ4 2015","FQ4 2015","Currency=INR","Period=FQ","BEST_FPERIOD_OVERRIDE=FQ","FILING_STATUS=OR","EQY_CONSOLIDATED=Y","Sort=A","Dates=H","DateFormat=P","Fill=—","Direction=H","UseDPDF=Y")</f>
        <v>#NAME?</v>
      </c>
      <c r="BW362" s="1" t="e">
        <f ca="1">_xll.BDH($C$353,"BPS_SEQUENTIAL_GROWTH","FQ4 2015","FQ4 2015","Currency=INR","Period=FQ","BEST_FPERIOD_OVERRIDE=FQ","FILING_STATUS=OR","EQY_CONSOLIDATED=Y","Sort=A","Dates=H","DateFormat=P","Fill=—","Direction=H","UseDPDF=Y")</f>
        <v>#NAME?</v>
      </c>
      <c r="BX362" s="1" t="e">
        <f ca="1">_xll.BDH($C$353,"CFO_SEQUENTIAL_GROWTH","FQ4 2015","FQ4 2015","Currency=INR","Period=FQ","BEST_FPERIOD_OVERRIDE=FQ","FILING_STATUS=OR","EQY_CONSOLIDATED=Y","Sort=A","Dates=H","DateFormat=P","Fill=—","Direction=H","UseDPDF=Y")</f>
        <v>#NAME?</v>
      </c>
      <c r="BY362" s="2" t="e">
        <f ca="1">_xll.BDH($C$353,"SHORT_AND_LONG_TERM_DEBT","FQ4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62" s="2" t="e">
        <f ca="1">_xll.BDH($C$353,"BS_ST_BORROW","FQ4 2015","FQ4 2015","Currency=INR","Period=FQ","BEST_FPERIOD_OVERRIDE=FQ","FILING_STATUS=OR","EQY_CONSOLIDATED=Y","SCALING_FORMAT=MLN","Sort=A","Dates=H","DateFormat=P","Fill=—","Direction=H","UseDPDF=Y")</f>
        <v>#NAME?</v>
      </c>
      <c r="CA362" s="2" t="e">
        <f ca="1">_xll.BDH($C$353,"BS_LT_BORROW","FQ4 2015","FQ4 2015","Currency=INR","Period=FQ","BEST_FPERIOD_OVERRIDE=FQ","FILING_STATUS=OR","EQY_CONSOLIDATED=Y","SCALING_FORMAT=MLN","Sort=A","Dates=H","DateFormat=P","Fill=—","Direction=H","UseDPDF=Y")</f>
        <v>#NAME?</v>
      </c>
      <c r="CB362" s="1" t="e">
        <f ca="1">_xll.BDH($C$353,"TOT_DEBT_TO_EBITDA","FQ4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62" s="1" t="e">
        <f ca="1">_xll.BDH($C$353,"NET_DEBT_TO_EBITDA","FQ4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62" s="1" t="e">
        <f ca="1">_xll.BDH($C$353,"TOTAL_DEBT_TO_EBIT","FQ4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62" s="1" t="e">
        <f ca="1">_xll.BDH($C$353,"NET_DEBT_TO_EBIT","FQ4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362" s="1" t="e">
        <f ca="1">_xll.BDH($C$353,"EBITDA_TO_INTEREST_EXPN","FQ4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62" s="1" t="e">
        <f ca="1">_xll.BDH($C$353,"COM_EQY_TO_TOT_ASSET","FQ4 2015","FQ4 2015","Currency=INR","Period=FQ","BEST_FPERIOD_OVERRIDE=FQ","FILING_STATUS=OR","EQY_CONSOLIDATED=Y","Sort=A","Dates=H","DateFormat=P","Fill=—","Direction=H","UseDPDF=Y")</f>
        <v>#NAME?</v>
      </c>
      <c r="CH362" s="1" t="e">
        <f ca="1">_xll.BDH($C$353,"LT_DEBT_TO_TOT_EQY","FQ4 2015","FQ4 2015","Currency=INR","Period=FQ","BEST_FPERIOD_OVERRIDE=FQ","FILING_STATUS=OR","EQY_CONSOLIDATED=Y","Sort=A","Dates=H","DateFormat=P","Fill=—","Direction=H","UseDPDF=Y")</f>
        <v>#NAME?</v>
      </c>
      <c r="CI362" s="1" t="e">
        <f ca="1">_xll.BDH($C$353,"LT_DEBT_TO_TOT_CAP","FQ4 2015","FQ4 2015","Currency=INR","Period=FQ","BEST_FPERIOD_OVERRIDE=FQ","FILING_STATUS=OR","EQY_CONSOLIDATED=Y","Sort=A","Dates=H","DateFormat=P","Fill=—","Direction=H","UseDPDF=Y")</f>
        <v>#NAME?</v>
      </c>
      <c r="CJ362" s="1" t="e">
        <f ca="1">_xll.BDH($C$353,"LT_DEBT_TO_TOT_ASSET","FQ4 2015","FQ4 2015","Currency=INR","Period=FQ","BEST_FPERIOD_OVERRIDE=FQ","FILING_STATUS=OR","EQY_CONSOLIDATED=Y","Sort=A","Dates=H","DateFormat=P","Fill=—","Direction=H","UseDPDF=Y")</f>
        <v>#NAME?</v>
      </c>
      <c r="CK362" s="1" t="e">
        <f ca="1">_xll.BDH($C$353,"TOT_DEBT_TO_TOT_EQY","FQ4 2015","FQ4 2015","Currency=INR","Period=FQ","BEST_FPERIOD_OVERRIDE=FQ","FILING_STATUS=OR","EQY_CONSOLIDATED=Y","Sort=A","Dates=H","DateFormat=P","Fill=—","Direction=H","UseDPDF=Y")</f>
        <v>#NAME?</v>
      </c>
      <c r="CL362" s="1" t="e">
        <f ca="1">_xll.BDH($C$353,"TOT_DEBT_TO_TOT_CAP","FQ4 2015","FQ4 2015","Currency=INR","Period=FQ","BEST_FPERIOD_OVERRIDE=FQ","FILING_STATUS=OR","EQY_CONSOLIDATED=Y","Sort=A","Dates=H","DateFormat=P","Fill=—","Direction=H","UseDPDF=Y")</f>
        <v>#NAME?</v>
      </c>
      <c r="CM362" s="1" t="e">
        <f ca="1">_xll.BDH($C$353,"TOT_DEBT_TO_TOT_ASSET","FQ4 2015","FQ4 2015","Currency=INR","Period=FQ","BEST_FPERIOD_OVERRIDE=FQ","FILING_STATUS=OR","EQY_CONSOLIDATED=Y","Sort=A","Dates=H","DateFormat=P","Fill=—","Direction=H","UseDPDF=Y")</f>
        <v>#NAME?</v>
      </c>
      <c r="CN362" s="1" t="e">
        <f ca="1">_xll.BDH($C$353,"NET_DEBT_TO_SHRHLDR_EQTY","FQ4 2015","FQ4 2015","Currency=INR","Period=FQ","BEST_FPERIOD_OVERRIDE=FQ","FILING_STATUS=OR","EQY_CONSOLIDATED=Y","Sort=A","Dates=H","DateFormat=P","Fill=—","Direction=H","UseDPDF=Y")</f>
        <v>#NAME?</v>
      </c>
      <c r="CO362" s="1" t="e">
        <f ca="1">_xll.BDH($C$353,"NET_DEBT_%_CAPITAL","FQ4 2015","FQ4 2015","Currency=INR","Period=FQ","BEST_FPERIOD_OVERRIDE=FQ","FILING_STATUS=OR","EQY_CONSOLIDATED=Y","Sort=A","Dates=H","DateFormat=P","Fill=—","Direction=H","UseDPDF=Y")</f>
        <v>#NAME?</v>
      </c>
      <c r="CP362" s="2" t="e">
        <f ca="1">_xll.BDH($C$353,"EBITDA","FQ4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62" s="2" t="e">
        <f ca="1">_xll.BDH($C$353,"EBITDA_AFTER_CAPEX","FQ4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62" s="2" t="e">
        <f ca="1">_xll.BDH($C$353,"IS_OPER_INC","FQ4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62" s="1" t="e">
        <f ca="1">_xll.BDH($C$353,"CASH_RATIO","FQ4 2015","FQ4 2015","Currency=INR","Period=FQ","BEST_FPERIOD_OVERRIDE=FQ","FILING_STATUS=OR","EQY_CONSOLIDATED=Y","Sort=A","Dates=H","DateFormat=P","Fill=—","Direction=H","UseDPDF=Y")</f>
        <v>#NAME?</v>
      </c>
      <c r="CT362" s="1" t="e">
        <f ca="1">_xll.BDH($C$353,"CUR_RATIO","FQ4 2015","FQ4 2015","Currency=INR","Period=FQ","BEST_FPERIOD_OVERRIDE=FQ","FILING_STATUS=OR","EQY_CONSOLIDATED=Y","Sort=A","Dates=H","DateFormat=P","Fill=—","Direction=H","UseDPDF=Y")</f>
        <v>#NAME?</v>
      </c>
      <c r="CU362" s="1" t="e">
        <f ca="1">_xll.BDH($C$353,"QUICK_RATIO","FQ4 2015","FQ4 2015","Currency=INR","Period=FQ","BEST_FPERIOD_OVERRIDE=FQ","FILING_STATUS=OR","EQY_CONSOLIDATED=Y","Sort=A","Dates=H","DateFormat=P","Fill=—","Direction=H","UseDPDF=Y")</f>
        <v>#NAME?</v>
      </c>
      <c r="CV362" s="1" t="e">
        <f ca="1">_xll.BDH($C$353,"ALTMAN_Z_SCORE","FQ4 2015","FQ4 2015","Currency=INR","Period=FQ","BEST_FPERIOD_OVERRIDE=FQ","FILING_STATUS=OR","EQY_CONSOLIDATED=Y","Sort=A","Dates=H","DateFormat=P","Fill=—","Direction=H","UseDPDF=Y")</f>
        <v>#NAME?</v>
      </c>
      <c r="CW362" s="3" t="e">
        <f ca="1">_xll.BDH($C$353,"ACCT_RCV_TURN","FQ4 2015","FQ4 2015","Currency=INR","Period=FQ","BEST_FPERIOD_OVERRIDE=FQ","FILING_STATUS=OR","EQY_CONSOLIDATED=Y","FA_ADJUSTED=GAAP","Sort=A","Dates=H","DateFormat=P","Fill=—","Direction=H","UseDPDF=Y")</f>
        <v>#NAME?</v>
      </c>
      <c r="CX362" s="1" t="e">
        <f ca="1">_xll.BDH($C$353,"ACCT_RCV_DAYS","FQ4 2015","FQ4 2015","Currency=INR","Period=FQ","BEST_FPERIOD_OVERRIDE=FQ","FILING_STATUS=OR","EQY_CONSOLIDATED=Y","FA_ADJUSTED=GAAP","Sort=A","Dates=H","DateFormat=P","Fill=—","Direction=H","UseDPDF=Y")</f>
        <v>#NAME?</v>
      </c>
      <c r="CY362" s="3" t="e">
        <f ca="1">_xll.BDH($C$353,"INVENT_TURN","FQ4 2015","FQ4 2015","Currency=INR","Period=FQ","BEST_FPERIOD_OVERRIDE=FQ","FILING_STATUS=OR","EQY_CONSOLIDATED=Y","FA_ADJUSTED=GAAP","Sort=A","Dates=H","DateFormat=P","Fill=—","Direction=H","UseDPDF=Y")</f>
        <v>#NAME?</v>
      </c>
      <c r="CZ362" s="1" t="e">
        <f ca="1">_xll.BDH($C$353,"INVENT_DAYS","FQ4 2015","FQ4 2015","Currency=INR","Period=FQ","BEST_FPERIOD_OVERRIDE=FQ","FILING_STATUS=OR","EQY_CONSOLIDATED=Y","FA_ADJUSTED=GAAP","Sort=A","Dates=H","DateFormat=P","Fill=—","Direction=H","UseDPDF=Y")</f>
        <v>#NAME?</v>
      </c>
      <c r="DA362" s="3" t="e">
        <f ca="1">_xll.BDH($C$353,"ACCOUNTS_PAYABLE_TURNOVER","FQ4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62" s="1" t="e">
        <f ca="1">_xll.BDH($C$353,"ACCOUNTS_PAYABLE_TURNOVER_DAYS","FQ4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62" s="3" t="e">
        <f ca="1">_xll.BDH($C$353,"CASH_CONVERSION_CYCLE","FQ4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62" s="3" t="e">
        <f ca="1">_xll.BDH($C$353,"INV_TO_CASH_DAYS","FQ4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362" s="4" t="e">
        <f ca="1">_xll.BDH($C$353,"BS_INVENTORIES","FQ4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362" s="2" t="e">
        <f ca="1">_xll.BDH($C$353,"INVTRY_RAW_MATERIALS","FQ4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62" s="2" t="e">
        <f ca="1">_xll.BDH($C$353,"INVTRY_IN_PROGRESS","FQ4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62" s="2" t="e">
        <f ca="1">_xll.BDH($C$353,"INVTRY_FINISHED_GOODS","FQ4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62" s="2" t="e">
        <f ca="1">_xll.BDH($C$353,"BS_OTHER_INV","FQ4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63" spans="1:113" x14ac:dyDescent="0.3">
      <c r="A363" s="6"/>
      <c r="B363" s="6"/>
      <c r="C363" s="6"/>
      <c r="D363" s="6" t="s">
        <v>9</v>
      </c>
      <c r="E363" t="s">
        <v>3</v>
      </c>
      <c r="F363" t="e">
        <f ca="1">_xll.BDH($C$353,"RETURN_COM_EQY","FY 2016","FY 2016","Currency=INR","Period=FY","BEST_FPERIOD_OVERRIDE=FY","FILING_STATUS=OR","EQY_CONSOLIDATED=Y","FA_ADJUSTED=GAAP","Sort=A","Dates=H","DateFormat=P","Fill=—","Direction=H","UseDPDF=Y")</f>
        <v>#NAME?</v>
      </c>
      <c r="G363" t="e">
        <f ca="1">_xll.BDH($C$353,"RETURN_ON_ASSET","FY 2016","FY 2016","Currency=INR","Period=FY","BEST_FPERIOD_OVERRIDE=FY","FILING_STATUS=OR","EQY_CONSOLIDATED=Y","FA_ADJUSTED=GAAP","Sort=A","Dates=H","DateFormat=P","Fill=—","Direction=H","UseDPDF=Y")</f>
        <v>#NAME?</v>
      </c>
      <c r="H363" t="e">
        <f ca="1">_xll.BDH($C$353,"RETURN_ON_CAP","FY 2016","FY 2016","Currency=INR","Period=FY","BEST_FPERIOD_OVERRIDE=FY","FILING_STATUS=OR","EQY_CONSOLIDATED=Y","FA_ADJUSTED=GAAP","Sort=A","Dates=H","DateFormat=P","Fill=—","Direction=H","UseDPDF=Y")</f>
        <v>#NAME?</v>
      </c>
      <c r="I363" t="e">
        <f ca="1">_xll.BDH($C$353,"RETURN_ON_INV_CAPITAL","FY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63" t="e">
        <f ca="1">_xll.BDH($C$353,"EBITDA_TO_REVENUE","FY 2016","FY 2016","Currency=INR","Period=FY","BEST_FPERIOD_OVERRIDE=FY","FILING_STATUS=OR","EQY_CONSOLIDATED=Y","FA_ADJUSTED=GAAP","Sort=A","Dates=H","DateFormat=P","Fill=—","Direction=H","UseDPDF=Y")</f>
        <v>#NAME?</v>
      </c>
      <c r="K363" t="e">
        <f ca="1">_xll.BDH($C$353,"OPER_MARGIN","FY 2016","FY 2016","Currency=INR","Period=FY","BEST_FPERIOD_OVERRIDE=FY","FILING_STATUS=OR","EQY_CONSOLIDATED=Y","FA_ADJUSTED=GAAP","Sort=A","Dates=H","DateFormat=P","Fill=—","Direction=H","UseDPDF=Y")</f>
        <v>#NAME?</v>
      </c>
      <c r="L363" t="e">
        <f ca="1">_xll.BDH($C$353,"INCREMENTAL_OPERATING_MARGIN","FY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63" t="e">
        <f ca="1">_xll.BDH($C$353,"PRETAX_INC_TO_NET_SALES","FY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63" t="e">
        <f ca="1">_xll.BDH($C$353,"INC_BEF_XO_ITEMS_TO_NET_SALES","FY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63" t="e">
        <f ca="1">_xll.BDH($C$353,"PROF_MARGIN","FY 2016","FY 2016","Currency=INR","Period=FY","BEST_FPERIOD_OVERRIDE=FY","FILING_STATUS=OR","EQY_CONSOLIDATED=Y","FA_ADJUSTED=GAAP","Sort=A","Dates=H","DateFormat=P","Fill=—","Direction=H","UseDPDF=Y")</f>
        <v>#NAME?</v>
      </c>
      <c r="P363" t="e">
        <f ca="1">_xll.BDH($C$353,"NET_INCOME_TO_COMMON_MARGIN","FY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63" t="e">
        <f ca="1">_xll.BDH($C$353,"EFF_TAX_RATE","FY 2016","FY 2016","Currency=INR","Period=FY","BEST_FPERIOD_OVERRIDE=FY","FILING_STATUS=OR","EQY_CONSOLIDATED=Y","FA_ADJUSTED=GAAP","Sort=A","Dates=H","DateFormat=P","Fill=—","Direction=H","UseDPDF=Y")</f>
        <v>#NAME?</v>
      </c>
      <c r="R363" t="e">
        <f ca="1">_xll.BDH($C$353,"DVD_PAYOUT_RATIO","FY 2016","FY 2016","Currency=INR","Period=FY","BEST_FPERIOD_OVERRIDE=FY","FILING_STATUS=OR","EQY_CONSOLIDATED=Y","FA_ADJUSTED=GAAP","Sort=A","Dates=H","DateFormat=P","Fill=—","Direction=H","UseDPDF=Y")</f>
        <v>#NAME?</v>
      </c>
      <c r="S363" t="e">
        <f ca="1">_xll.BDH($C$353,"SUSTAIN_GROWTH_RT","FY 2016","FY 2016","Currency=INR","Period=FY","BEST_FPERIOD_OVERRIDE=FY","FILING_STATUS=OR","EQY_CONSOLIDATED=Y","FA_ADJUSTED=GAAP","Sort=A","Dates=H","DateFormat=P","Fill=—","Direction=H","UseDPDF=Y")</f>
        <v>#NAME?</v>
      </c>
      <c r="T363" s="1" t="e">
        <f ca="1">_xll.BDH($C$353,"SALES_GROWTH","FY 2016","FY 2016","Currency=INR","Period=FY","BEST_FPERIOD_OVERRIDE=FY","FILING_STATUS=OR","EQY_CONSOLIDATED=Y","FA_ADJUSTED=GAAP","Sort=A","Dates=H","DateFormat=P","Fill=—","Direction=H","UseDPDF=Y")</f>
        <v>#NAME?</v>
      </c>
      <c r="U363" s="1" t="e">
        <f ca="1">_xll.BDH($C$353,"EBITDA_GROWTH","FY 2016","FY 2016","Currency=INR","Period=FY","BEST_FPERIOD_OVERRIDE=FY","FILING_STATUS=OR","EQY_CONSOLIDATED=Y","FA_ADJUSTED=GAAP","Sort=A","Dates=H","DateFormat=P","Fill=—","Direction=H","UseDPDF=Y")</f>
        <v>#NAME?</v>
      </c>
      <c r="V363" s="1" t="e">
        <f ca="1">_xll.BDH($C$353,"OPER_INC_GROWTH","FY 2016","FY 2016","Currency=INR","Period=FY","BEST_FPERIOD_OVERRIDE=FY","FILING_STATUS=OR","EQY_CONSOLIDATED=Y","FA_ADJUSTED=GAAP","Sort=A","Dates=H","DateFormat=P","Fill=—","Direction=H","UseDPDF=Y")</f>
        <v>#NAME?</v>
      </c>
      <c r="W363" s="1" t="e">
        <f ca="1">_xll.BDH($C$353,"EARN_FOR_COM_GROWTH","FY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363" s="1" t="e">
        <f ca="1">_xll.BDH($C$353,"DILUTED_EPS_AFT_XO_ITEMS_GROWTH","FY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63" s="1" t="e">
        <f ca="1">_xll.BDH($C$353,"DIVIDEND_PER_SHARE_1_YEAR_GROWTH","FY 2016","FY 2016","Currency=INR","Period=FY","BEST_FPERIOD_OVERRIDE=FY","FILING_STATUS=OR","EQY_CONSOLIDATED=Y","Sort=A","Dates=H","DateFormat=P","Fill=—","Direction=H","UseDPDF=Y")</f>
        <v>#NAME?</v>
      </c>
      <c r="Z363" s="1" t="e">
        <f ca="1">_xll.BDH($C$353,"ACCOUNTS_RECEIVABLE_GROWTH","FY 2016","FY 2016","Currency=INR","Period=FY","BEST_FPERIOD_OVERRIDE=FY","FILING_STATUS=OR","EQY_CONSOLIDATED=Y","Sort=A","Dates=H","DateFormat=P","Fill=—","Direction=H","UseDPDF=Y")</f>
        <v>#NAME?</v>
      </c>
      <c r="AA363" s="1" t="e">
        <f ca="1">_xll.BDH($C$353,"INVENTORY_GROWTH","FY 2016","FY 2016","Currency=INR","Period=FY","BEST_FPERIOD_OVERRIDE=FY","FILING_STATUS=OR","EQY_CONSOLIDATED=Y","Sort=A","Dates=H","DateFormat=P","Fill=—","Direction=H","UseDPDF=Y")</f>
        <v>#NAME?</v>
      </c>
      <c r="AB363" s="1" t="e">
        <f ca="1">_xll.BDH($C$353,"NET_FIXED_ASSETS_1_YEAR_GROWTH","FY 2016","FY 2016","Currency=INR","Period=FY","BEST_FPERIOD_OVERRIDE=FY","FILING_STATUS=OR","EQY_CONSOLIDATED=Y","Sort=A","Dates=H","DateFormat=P","Fill=—","Direction=H","UseDPDF=Y")</f>
        <v>#NAME?</v>
      </c>
      <c r="AC363" s="1" t="e">
        <f ca="1">_xll.BDH($C$353,"ASSET_GROWTH","FY 2016","FY 2016","Currency=INR","Period=FY","BEST_FPERIOD_OVERRIDE=FY","FILING_STATUS=OR","EQY_CONSOLIDATED=Y","Sort=A","Dates=H","DateFormat=P","Fill=—","Direction=H","UseDPDF=Y")</f>
        <v>#NAME?</v>
      </c>
      <c r="AD363" s="1" t="e">
        <f ca="1">_xll.BDH($C$353,"MODIFIED_WORK_CAP_GROWTH","FY 2016","FY 2016","Currency=INR","Period=FY","BEST_FPERIOD_OVERRIDE=FY","FILING_STATUS=OR","EQY_CONSOLIDATED=Y","Sort=A","Dates=H","DateFormat=P","Fill=—","Direction=H","UseDPDF=Y")</f>
        <v>#NAME?</v>
      </c>
      <c r="AE363" s="1" t="e">
        <f ca="1">_xll.BDH($C$353,"WORK_CAP_GROWTH","FY 2016","FY 2016","Currency=INR","Period=FY","BEST_FPERIOD_OVERRIDE=FY","FILING_STATUS=OR","EQY_CONSOLIDATED=Y","Sort=A","Dates=H","DateFormat=P","Fill=—","Direction=H","UseDPDF=Y")</f>
        <v>#NAME?</v>
      </c>
      <c r="AF363" s="1" t="e">
        <f ca="1">_xll.BDH($C$353,"ACCOUNTS_PAYABLE_GROWTH_1YR","FY 2016","FY 2016","Currency=INR","Period=FY","BEST_FPERIOD_OVERRIDE=FY","FILING_STATUS=OR","EQY_CONSOLIDATED=Y","Sort=A","Dates=H","DateFormat=P","Fill=—","Direction=H","UseDPDF=Y")</f>
        <v>#NAME?</v>
      </c>
      <c r="AG363" s="1" t="e">
        <f ca="1">_xll.BDH($C$353,"SHORT_TERM_DEBT_1_YEAR_GROWTH","FY 2016","FY 2016","Currency=INR","Period=FY","BEST_FPERIOD_OVERRIDE=FY","FILING_STATUS=OR","EQY_CONSOLIDATED=Y","Sort=A","Dates=H","DateFormat=P","Fill=—","Direction=H","UseDPDF=Y")</f>
        <v>#NAME?</v>
      </c>
      <c r="AH363" s="1" t="e">
        <f ca="1">_xll.BDH($C$353,"TOTAL_DEBT_1_YEAR_GROWTH","FY 2016","FY 2016","Currency=INR","Period=FY","BEST_FPERIOD_OVERRIDE=FY","FILING_STATUS=OR","EQY_CONSOLIDATED=Y","Sort=A","Dates=H","DateFormat=P","Fill=—","Direction=H","UseDPDF=Y")</f>
        <v>#NAME?</v>
      </c>
      <c r="AI363" s="1" t="e">
        <f ca="1">_xll.BDH($C$353,"TOTAL_EQUITY_1_YEAR_GROWTH","FY 2016","FY 2016","Currency=INR","Period=FY","BEST_FPERIOD_OVERRIDE=FY","FILING_STATUS=OR","EQY_CONSOLIDATED=Y","Sort=A","Dates=H","DateFormat=P","Fill=—","Direction=H","UseDPDF=Y")</f>
        <v>#NAME?</v>
      </c>
      <c r="AJ363" s="1" t="e">
        <f ca="1">_xll.BDH($C$353,"GROWTH_IN_CAP","FY 2016","FY 2016","Currency=INR","Period=FY","BEST_FPERIOD_OVERRIDE=FY","FILING_STATUS=OR","EQY_CONSOLIDATED=Y","Sort=A","Dates=H","DateFormat=P","Fill=—","Direction=H","UseDPDF=Y")</f>
        <v>#NAME?</v>
      </c>
      <c r="AK363" s="1" t="e">
        <f ca="1">_xll.BDH($C$353,"BVPS_GROWTH","FY 2016","FY 2016","Currency=INR","Period=FY","BEST_FPERIOD_OVERRIDE=FY","FILING_STATUS=OR","EQY_CONSOLIDATED=Y","Sort=A","Dates=H","DateFormat=P","Fill=—","Direction=H","UseDPDF=Y")</f>
        <v>#NAME?</v>
      </c>
      <c r="AL363" s="1" t="e">
        <f ca="1">_xll.BDH($C$353,"CASH_FLOW_GROWTH","FY 2016","FY 2016","Currency=INR","Period=FY","BEST_FPERIOD_OVERRIDE=FY","FILING_STATUS=OR","EQY_CONSOLIDATED=Y","Sort=A","Dates=H","DateFormat=P","Fill=—","Direction=H","UseDPDF=Y")</f>
        <v>#NAME?</v>
      </c>
      <c r="AM363" s="1" t="e">
        <f ca="1">_xll.BDH($C$353,"GEO_GROW_NET_SALES","FY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363" s="1" t="e">
        <f ca="1">_xll.BDH($C$353,"GEO_GROW_EBITDA","FY 2016","FY 2016","Currency=INR","Period=FY","BEST_FPERIOD_OVERRIDE=FY","FILING_STATUS=OR","EQY_CONSOLIDATED=Y","FA_ADJUSTED=GAAP","Sort=A","Dates=H","DateFormat=P","Fill=—","Direction=H","UseDPDF=Y")</f>
        <v>#NAME?</v>
      </c>
      <c r="AO363" s="1" t="e">
        <f ca="1">_xll.BDH($C$353,"GEO_GROW_OPER_INC","FY 2016","FY 2016","Currency=INR","Period=FY","BEST_FPERIOD_OVERRIDE=FY","FILING_STATUS=OR","EQY_CONSOLIDATED=Y","FA_ADJUSTED=GAAP","Sort=A","Dates=H","DateFormat=P","Fill=—","Direction=H","UseDPDF=Y")</f>
        <v>#NAME?</v>
      </c>
      <c r="AP363" s="1" t="e">
        <f ca="1">_xll.BDH($C$353,"NET_INCOME_TO_COMMON_5_YR_GROWTH","FY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63" s="1" t="e">
        <f ca="1">_xll.BDH($C$353,"5Y_GEO_GROWTH_DILUTED_EPS","FY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63" s="1" t="e">
        <f ca="1">_xll.BDH($C$353,"GEO_GROW_DVD_PER_SH","FY 2016","FY 2016","Currency=INR","Period=FY","BEST_FPERIOD_OVERRIDE=FY","FILING_STATUS=OR","EQY_CONSOLIDATED=Y","Sort=A","Dates=H","DateFormat=P","Fill=—","Direction=H","UseDPDF=Y")</f>
        <v>#NAME?</v>
      </c>
      <c r="AS363" s="1" t="e">
        <f ca="1">_xll.BDH($C$353,"ACCOUNTS_RECEIVABLE_5_YR_GROWTH","FY 2016","FY 2016","Currency=INR","Period=FY","BEST_FPERIOD_OVERRIDE=FY","FILING_STATUS=OR","EQY_CONSOLIDATED=Y","Sort=A","Dates=H","DateFormat=P","Fill=—","Direction=H","UseDPDF=Y")</f>
        <v>#NAME?</v>
      </c>
      <c r="AT363" s="1" t="e">
        <f ca="1">_xll.BDH($C$353,"INVENTORY_5_YEAR_GROWTH","FY 2016","FY 2016","Currency=INR","Period=FY","BEST_FPERIOD_OVERRIDE=FY","FILING_STATUS=OR","EQY_CONSOLIDATED=Y","Sort=A","Dates=H","DateFormat=P","Fill=—","Direction=H","UseDPDF=Y")</f>
        <v>#NAME?</v>
      </c>
      <c r="AU363" s="1" t="e">
        <f ca="1">_xll.BDH($C$353,"NET_FIXED_ASSETS_5_YEAR_GROWTH","FY 2016","FY 2016","Currency=INR","Period=FY","BEST_FPERIOD_OVERRIDE=FY","FILING_STATUS=OR","EQY_CONSOLIDATED=Y","Sort=A","Dates=H","DateFormat=P","Fill=—","Direction=H","UseDPDF=Y")</f>
        <v>#NAME?</v>
      </c>
      <c r="AV363" s="1" t="e">
        <f ca="1">_xll.BDH($C$353,"GEO_GROW_TOT_ASSET","FY 2016","FY 2016","Currency=INR","Period=FY","BEST_FPERIOD_OVERRIDE=FY","FILING_STATUS=OR","EQY_CONSOLIDATED=Y","Sort=A","Dates=H","DateFormat=P","Fill=—","Direction=H","UseDPDF=Y")</f>
        <v>#NAME?</v>
      </c>
      <c r="AW363" s="1" t="e">
        <f ca="1">_xll.BDH($C$353,"MODIFIED_WORKING_CPTL_5YR_GRWTH","FY 2016","FY 2016","Currency=INR","Period=FY","BEST_FPERIOD_OVERRIDE=FY","FILING_STATUS=OR","EQY_CONSOLIDATED=Y","Sort=A","Dates=H","DateFormat=P","Fill=—","Direction=H","UseDPDF=Y")</f>
        <v>#NAME?</v>
      </c>
      <c r="AX363" s="1" t="e">
        <f ca="1">_xll.BDH($C$353,"WORKING_CAPITAL_5_YEAR_GROWTH","FY 2016","FY 2016","Currency=INR","Period=FY","BEST_FPERIOD_OVERRIDE=FY","FILING_STATUS=OR","EQY_CONSOLIDATED=Y","Sort=A","Dates=H","DateFormat=P","Fill=—","Direction=H","UseDPDF=Y")</f>
        <v>#NAME?</v>
      </c>
      <c r="AY363" s="1" t="e">
        <f ca="1">_xll.BDH($C$353,"ACCOUNTS_PAYABLE_5_YEAR_GROWTH","FY 2016","FY 2016","Currency=INR","Period=FY","BEST_FPERIOD_OVERRIDE=FY","FILING_STATUS=OR","EQY_CONSOLIDATED=Y","Sort=A","Dates=H","DateFormat=P","Fill=—","Direction=H","UseDPDF=Y")</f>
        <v>#NAME?</v>
      </c>
      <c r="AZ363" s="1" t="e">
        <f ca="1">_xll.BDH($C$353,"SHORT_TERM_DEBT_5_YEAR_GROWTH","FY 2016","FY 2016","Currency=INR","Period=FY","BEST_FPERIOD_OVERRIDE=FY","FILING_STATUS=OR","EQY_CONSOLIDATED=Y","Sort=A","Dates=H","DateFormat=P","Fill=—","Direction=H","UseDPDF=Y")</f>
        <v>#NAME?</v>
      </c>
      <c r="BA363" s="1" t="e">
        <f ca="1">_xll.BDH($C$353,"TOTAL_DEBT_5_YEAR_GROWTH","FY 2016","FY 2016","Currency=INR","Period=FY","BEST_FPERIOD_OVERRIDE=FY","FILING_STATUS=OR","EQY_CONSOLIDATED=Y","Sort=A","Dates=H","DateFormat=P","Fill=—","Direction=H","UseDPDF=Y")</f>
        <v>#NAME?</v>
      </c>
      <c r="BB363" s="1" t="e">
        <f ca="1">_xll.BDH($C$353,"GEO_GROW_TOT_SHRHLDR_EQY","FY 2016","FY 2016","Currency=INR","Period=FY","BEST_FPERIOD_OVERRIDE=FY","FILING_STATUS=OR","EQY_CONSOLIDATED=Y","Sort=A","Dates=H","DateFormat=P","Fill=—","Direction=H","UseDPDF=Y")</f>
        <v>#NAME?</v>
      </c>
      <c r="BC363" s="1" t="e">
        <f ca="1">_xll.BDH($C$353,"TOTAL_CAPITAL_5_YEAR_GROWTH","FY 2016","FY 2016","Currency=INR","Period=FY","BEST_FPERIOD_OVERRIDE=FY","FILING_STATUS=OR","EQY_CONSOLIDATED=Y","Sort=A","Dates=H","DateFormat=P","Fill=—","Direction=H","UseDPDF=Y")</f>
        <v>#NAME?</v>
      </c>
      <c r="BD363" s="1" t="e">
        <f ca="1">_xll.BDH($C$353,"GEO_GROW_BOOK_VAL","FY 2016","FY 2016","Currency=INR","Period=FY","BEST_FPERIOD_OVERRIDE=FY","FILING_STATUS=OR","EQY_CONSOLIDATED=Y","Sort=A","Dates=H","DateFormat=P","Fill=—","Direction=H","UseDPDF=Y")</f>
        <v>#NAME?</v>
      </c>
      <c r="BE363" s="1" t="e">
        <f ca="1">_xll.BDH($C$353,"GEO_GROW_CASH_OPER_ACT","FY 2016","FY 2016","Currency=INR","Period=FY","BEST_FPERIOD_OVERRIDE=FY","FILING_STATUS=OR","EQY_CONSOLIDATED=Y","Sort=A","Dates=H","DateFormat=P","Fill=—","Direction=H","UseDPDF=Y")</f>
        <v>#NAME?</v>
      </c>
      <c r="BF363" s="1" t="e">
        <f ca="1">_xll.BDH($C$353,"REVENUE_SEQUENTIAL_GROWTH","FY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63" s="1" t="e">
        <f ca="1">_xll.BDH($C$353,"EBITDA_SEQUENTIAL_GROWTH","FY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63" s="1" t="e">
        <f ca="1">_xll.BDH($C$353,"OPERATING_INCOME_SEQ_GROWTH","FY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63" s="1" t="e">
        <f ca="1">_xll.BDH($C$353,"NET_INCOME_TO_COMMON_SEQ_GROWTH","FY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63" s="1" t="e">
        <f ca="1">_xll.BDH($C$353,"EPS_DILUTED_SEQUENTIAL_GROWTH","FY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63" s="1" t="e">
        <f ca="1">_xll.BDH($C$353,"DPS_SEQUENTIAL_GROWTH","FY 2016","FY 2016","Currency=INR","Period=FY","BEST_FPERIOD_OVERRIDE=FY","FILING_STATUS=OR","EQY_CONSOLIDATED=Y","Sort=A","Dates=H","DateFormat=P","Fill=—","Direction=H","UseDPDF=Y")</f>
        <v>#NAME?</v>
      </c>
      <c r="BL363" s="1" t="e">
        <f ca="1">_xll.BDH($C$353,"ACCOUNTS_RECEIVABLE_SEQ_GROWTH","FY 2016","FY 2016","Currency=INR","Period=FY","BEST_FPERIOD_OVERRIDE=FY","FILING_STATUS=OR","EQY_CONSOLIDATED=Y","Sort=A","Dates=H","DateFormat=P","Fill=—","Direction=H","UseDPDF=Y")</f>
        <v>#NAME?</v>
      </c>
      <c r="BM363" s="1" t="e">
        <f ca="1">_xll.BDH($C$353,"INVENTORY_SEQUENTIAL_GROWTH","FY 2016","FY 2016","Currency=INR","Period=FY","BEST_FPERIOD_OVERRIDE=FY","FILING_STATUS=OR","EQY_CONSOLIDATED=Y","Sort=A","Dates=H","DateFormat=P","Fill=—","Direction=H","UseDPDF=Y")</f>
        <v>#NAME?</v>
      </c>
      <c r="BN363" s="1" t="e">
        <f ca="1">_xll.BDH($C$353,"FIXED_ASSETS_SEQUENTIAL_GROWTH","FY 2016","FY 2016","Currency=INR","Period=FY","BEST_FPERIOD_OVERRIDE=FY","FILING_STATUS=OR","EQY_CONSOLIDATED=Y","Sort=A","Dates=H","DateFormat=P","Fill=—","Direction=H","UseDPDF=Y")</f>
        <v>#NAME?</v>
      </c>
      <c r="BO363" s="1" t="e">
        <f ca="1">_xll.BDH($C$353,"TOTAL_ASSETS_SEQUENTIAL_GROWTH","FY 2016","FY 2016","Currency=INR","Period=FY","BEST_FPERIOD_OVERRIDE=FY","FILING_STATUS=OR","EQY_CONSOLIDATED=Y","Sort=A","Dates=H","DateFormat=P","Fill=—","Direction=H","UseDPDF=Y")</f>
        <v>#NAME?</v>
      </c>
      <c r="BP363" s="1" t="e">
        <f ca="1">_xll.BDH($C$353,"MODIFIED_WORKING_CPTL_SEQ_GRWTH","FY 2016","FY 2016","Currency=INR","Period=FY","BEST_FPERIOD_OVERRIDE=FY","FILING_STATUS=OR","EQY_CONSOLIDATED=Y","Sort=A","Dates=H","DateFormat=P","Fill=—","Direction=H","UseDPDF=Y")</f>
        <v>#NAME?</v>
      </c>
      <c r="BQ363" s="1" t="e">
        <f ca="1">_xll.BDH($C$353,"WORKING_CAPITAL_SEQ_GROWTH","FY 2016","FY 2016","Currency=INR","Period=FY","BEST_FPERIOD_OVERRIDE=FY","FILING_STATUS=OR","EQY_CONSOLIDATED=Y","Sort=A","Dates=H","DateFormat=P","Fill=—","Direction=H","UseDPDF=Y")</f>
        <v>#NAME?</v>
      </c>
      <c r="BR363" s="1" t="e">
        <f ca="1">_xll.BDH($C$353,"ACCOUNTS_PAYABLE_SEQ_GROWTH","FY 2016","FY 2016","Currency=INR","Period=FY","BEST_FPERIOD_OVERRIDE=FY","FILING_STATUS=OR","EQY_CONSOLIDATED=Y","Sort=A","Dates=H","DateFormat=P","Fill=—","Direction=H","UseDPDF=Y")</f>
        <v>#NAME?</v>
      </c>
      <c r="BS363" s="1" t="e">
        <f ca="1">_xll.BDH($C$353,"ST_DEBT_SEQUENTIAL_GROWTH","FY 2016","FY 2016","Currency=INR","Period=FY","BEST_FPERIOD_OVERRIDE=FY","FILING_STATUS=OR","EQY_CONSOLIDATED=Y","Sort=A","Dates=H","DateFormat=P","Fill=—","Direction=H","UseDPDF=Y")</f>
        <v>#NAME?</v>
      </c>
      <c r="BT363" s="1" t="e">
        <f ca="1">_xll.BDH($C$353,"TOTAL_DEBT_SEQUENTIAL_GROWTH","FY 2016","FY 2016","Currency=INR","Period=FY","BEST_FPERIOD_OVERRIDE=FY","FILING_STATUS=OR","EQY_CONSOLIDATED=Y","Sort=A","Dates=H","DateFormat=P","Fill=—","Direction=H","UseDPDF=Y")</f>
        <v>#NAME?</v>
      </c>
      <c r="BU363" s="1" t="e">
        <f ca="1">_xll.BDH($C$353,"TOTAL_EQUITY_SEQUENTIAL_GROWTH","FY 2016","FY 2016","Currency=INR","Period=FY","BEST_FPERIOD_OVERRIDE=FY","FILING_STATUS=OR","EQY_CONSOLIDATED=Y","Sort=A","Dates=H","DateFormat=P","Fill=—","Direction=H","UseDPDF=Y")</f>
        <v>#NAME?</v>
      </c>
      <c r="BV363" s="1" t="e">
        <f ca="1">_xll.BDH($C$353,"TOTAL_CAPITAL_SEQUENTIAL_GROWTH","FY 2016","FY 2016","Currency=INR","Period=FY","BEST_FPERIOD_OVERRIDE=FY","FILING_STATUS=OR","EQY_CONSOLIDATED=Y","Sort=A","Dates=H","DateFormat=P","Fill=—","Direction=H","UseDPDF=Y")</f>
        <v>#NAME?</v>
      </c>
      <c r="BW363" s="1" t="e">
        <f ca="1">_xll.BDH($C$353,"BPS_SEQUENTIAL_GROWTH","FY 2016","FY 2016","Currency=INR","Period=FY","BEST_FPERIOD_OVERRIDE=FY","FILING_STATUS=OR","EQY_CONSOLIDATED=Y","Sort=A","Dates=H","DateFormat=P","Fill=—","Direction=H","UseDPDF=Y")</f>
        <v>#NAME?</v>
      </c>
      <c r="BX363" s="1" t="e">
        <f ca="1">_xll.BDH($C$353,"CFO_SEQUENTIAL_GROWTH","FY 2016","FY 2016","Currency=INR","Period=FY","BEST_FPERIOD_OVERRIDE=FY","FILING_STATUS=OR","EQY_CONSOLIDATED=Y","Sort=A","Dates=H","DateFormat=P","Fill=—","Direction=H","UseDPDF=Y")</f>
        <v>#NAME?</v>
      </c>
      <c r="BY363" s="2" t="e">
        <f ca="1">_xll.BDH($C$353,"SHORT_AND_LONG_TERM_DEBT","FY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63" s="2" t="e">
        <f ca="1">_xll.BDH($C$353,"BS_ST_BORROW","FY 2016","FY 2016","Currency=INR","Period=FY","BEST_FPERIOD_OVERRIDE=FY","FILING_STATUS=OR","EQY_CONSOLIDATED=Y","SCALING_FORMAT=MLN","Sort=A","Dates=H","DateFormat=P","Fill=—","Direction=H","UseDPDF=Y")</f>
        <v>#NAME?</v>
      </c>
      <c r="CA363" s="2" t="e">
        <f ca="1">_xll.BDH($C$353,"BS_LT_BORROW","FY 2016","FY 2016","Currency=INR","Period=FY","BEST_FPERIOD_OVERRIDE=FY","FILING_STATUS=OR","EQY_CONSOLIDATED=Y","SCALING_FORMAT=MLN","Sort=A","Dates=H","DateFormat=P","Fill=—","Direction=H","UseDPDF=Y")</f>
        <v>#NAME?</v>
      </c>
      <c r="CB363" s="1" t="e">
        <f ca="1">_xll.BDH($C$353,"TOT_DEBT_TO_EBITDA","FY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363" s="1" t="e">
        <f ca="1">_xll.BDH($C$353,"NET_DEBT_TO_EBITDA","FY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363" s="1" t="e">
        <f ca="1">_xll.BDH($C$353,"TOTAL_DEBT_TO_EBIT","FY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363" s="1" t="e">
        <f ca="1">_xll.BDH($C$353,"NET_DEBT_TO_EBIT","FY 2016","FY 2016","Currency=INR","Period=FY","BEST_FPERIOD_OVERRIDE=FY","FILING_STATUS=OR","EQY_CONSOLIDATED=Y","FA_ADJUSTED=GAAP","Sort=A","Dates=H","DateFormat=P","Fill=—","Direction=H","UseDPDF=Y")</f>
        <v>#NAME?</v>
      </c>
      <c r="CF363" s="1" t="e">
        <f ca="1">_xll.BDH($C$353,"EBITDA_TO_INTEREST_EXPN","FY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63" s="1" t="e">
        <f ca="1">_xll.BDH($C$353,"COM_EQY_TO_TOT_ASSET","FY 2016","FY 2016","Currency=INR","Period=FY","BEST_FPERIOD_OVERRIDE=FY","FILING_STATUS=OR","EQY_CONSOLIDATED=Y","Sort=A","Dates=H","DateFormat=P","Fill=—","Direction=H","UseDPDF=Y")</f>
        <v>#NAME?</v>
      </c>
      <c r="CH363" s="1" t="e">
        <f ca="1">_xll.BDH($C$353,"LT_DEBT_TO_TOT_EQY","FY 2016","FY 2016","Currency=INR","Period=FY","BEST_FPERIOD_OVERRIDE=FY","FILING_STATUS=OR","EQY_CONSOLIDATED=Y","Sort=A","Dates=H","DateFormat=P","Fill=—","Direction=H","UseDPDF=Y")</f>
        <v>#NAME?</v>
      </c>
      <c r="CI363" s="1" t="e">
        <f ca="1">_xll.BDH($C$353,"LT_DEBT_TO_TOT_CAP","FY 2016","FY 2016","Currency=INR","Period=FY","BEST_FPERIOD_OVERRIDE=FY","FILING_STATUS=OR","EQY_CONSOLIDATED=Y","Sort=A","Dates=H","DateFormat=P","Fill=—","Direction=H","UseDPDF=Y")</f>
        <v>#NAME?</v>
      </c>
      <c r="CJ363" s="1" t="e">
        <f ca="1">_xll.BDH($C$353,"LT_DEBT_TO_TOT_ASSET","FY 2016","FY 2016","Currency=INR","Period=FY","BEST_FPERIOD_OVERRIDE=FY","FILING_STATUS=OR","EQY_CONSOLIDATED=Y","Sort=A","Dates=H","DateFormat=P","Fill=—","Direction=H","UseDPDF=Y")</f>
        <v>#NAME?</v>
      </c>
      <c r="CK363" s="1" t="e">
        <f ca="1">_xll.BDH($C$353,"TOT_DEBT_TO_TOT_EQY","FY 2016","FY 2016","Currency=INR","Period=FY","BEST_FPERIOD_OVERRIDE=FY","FILING_STATUS=OR","EQY_CONSOLIDATED=Y","Sort=A","Dates=H","DateFormat=P","Fill=—","Direction=H","UseDPDF=Y")</f>
        <v>#NAME?</v>
      </c>
      <c r="CL363" s="1" t="e">
        <f ca="1">_xll.BDH($C$353,"TOT_DEBT_TO_TOT_CAP","FY 2016","FY 2016","Currency=INR","Period=FY","BEST_FPERIOD_OVERRIDE=FY","FILING_STATUS=OR","EQY_CONSOLIDATED=Y","Sort=A","Dates=H","DateFormat=P","Fill=—","Direction=H","UseDPDF=Y")</f>
        <v>#NAME?</v>
      </c>
      <c r="CM363" s="1" t="e">
        <f ca="1">_xll.BDH($C$353,"TOT_DEBT_TO_TOT_ASSET","FY 2016","FY 2016","Currency=INR","Period=FY","BEST_FPERIOD_OVERRIDE=FY","FILING_STATUS=OR","EQY_CONSOLIDATED=Y","Sort=A","Dates=H","DateFormat=P","Fill=—","Direction=H","UseDPDF=Y")</f>
        <v>#NAME?</v>
      </c>
      <c r="CN363" s="1" t="e">
        <f ca="1">_xll.BDH($C$353,"NET_DEBT_TO_SHRHLDR_EQTY","FY 2016","FY 2016","Currency=INR","Period=FY","BEST_FPERIOD_OVERRIDE=FY","FILING_STATUS=OR","EQY_CONSOLIDATED=Y","Sort=A","Dates=H","DateFormat=P","Fill=—","Direction=H","UseDPDF=Y")</f>
        <v>#NAME?</v>
      </c>
      <c r="CO363" s="1" t="e">
        <f ca="1">_xll.BDH($C$353,"NET_DEBT_%_CAPITAL","FY 2016","FY 2016","Currency=INR","Period=FY","BEST_FPERIOD_OVERRIDE=FY","FILING_STATUS=OR","EQY_CONSOLIDATED=Y","Sort=A","Dates=H","DateFormat=P","Fill=—","Direction=H","UseDPDF=Y")</f>
        <v>#NAME?</v>
      </c>
      <c r="CP363" s="2" t="e">
        <f ca="1">_xll.BDH($C$353,"EBITDA","FY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63" s="2" t="e">
        <f ca="1">_xll.BDH($C$353,"EBITDA_AFTER_CAPEX","FY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63" s="2" t="e">
        <f ca="1">_xll.BDH($C$353,"IS_OPER_INC","FY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63" s="1" t="e">
        <f ca="1">_xll.BDH($C$353,"CASH_RATIO","FY 2016","FY 2016","Currency=INR","Period=FY","BEST_FPERIOD_OVERRIDE=FY","FILING_STATUS=OR","EQY_CONSOLIDATED=Y","Sort=A","Dates=H","DateFormat=P","Fill=—","Direction=H","UseDPDF=Y")</f>
        <v>#NAME?</v>
      </c>
      <c r="CT363" s="1" t="e">
        <f ca="1">_xll.BDH($C$353,"CUR_RATIO","FY 2016","FY 2016","Currency=INR","Period=FY","BEST_FPERIOD_OVERRIDE=FY","FILING_STATUS=OR","EQY_CONSOLIDATED=Y","Sort=A","Dates=H","DateFormat=P","Fill=—","Direction=H","UseDPDF=Y")</f>
        <v>#NAME?</v>
      </c>
      <c r="CU363" s="1" t="e">
        <f ca="1">_xll.BDH($C$353,"QUICK_RATIO","FY 2016","FY 2016","Currency=INR","Period=FY","BEST_FPERIOD_OVERRIDE=FY","FILING_STATUS=OR","EQY_CONSOLIDATED=Y","Sort=A","Dates=H","DateFormat=P","Fill=—","Direction=H","UseDPDF=Y")</f>
        <v>#NAME?</v>
      </c>
      <c r="CV363" s="1" t="e">
        <f ca="1">_xll.BDH($C$353,"ALTMAN_Z_SCORE","FY 2016","FY 2016","Currency=INR","Period=FY","BEST_FPERIOD_OVERRIDE=FY","FILING_STATUS=OR","EQY_CONSOLIDATED=Y","Sort=A","Dates=H","DateFormat=P","Fill=—","Direction=H","UseDPDF=Y")</f>
        <v>#NAME?</v>
      </c>
      <c r="CW363" s="3" t="e">
        <f ca="1">_xll.BDH($C$353,"ACCT_RCV_TURN","FY 2016","FY 2016","Currency=INR","Period=FY","BEST_FPERIOD_OVERRIDE=FY","FILING_STATUS=OR","EQY_CONSOLIDATED=Y","FA_ADJUSTED=GAAP","Sort=A","Dates=H","DateFormat=P","Fill=—","Direction=H","UseDPDF=Y")</f>
        <v>#NAME?</v>
      </c>
      <c r="CX363" s="1" t="e">
        <f ca="1">_xll.BDH($C$353,"ACCT_RCV_DAYS","FY 2016","FY 2016","Currency=INR","Period=FY","BEST_FPERIOD_OVERRIDE=FY","FILING_STATUS=OR","EQY_CONSOLIDATED=Y","FA_ADJUSTED=GAAP","Sort=A","Dates=H","DateFormat=P","Fill=—","Direction=H","UseDPDF=Y")</f>
        <v>#NAME?</v>
      </c>
      <c r="CY363" s="3" t="e">
        <f ca="1">_xll.BDH($C$353,"INVENT_TURN","FY 2016","FY 2016","Currency=INR","Period=FY","BEST_FPERIOD_OVERRIDE=FY","FILING_STATUS=OR","EQY_CONSOLIDATED=Y","FA_ADJUSTED=GAAP","Sort=A","Dates=H","DateFormat=P","Fill=—","Direction=H","UseDPDF=Y")</f>
        <v>#NAME?</v>
      </c>
      <c r="CZ363" s="1" t="e">
        <f ca="1">_xll.BDH($C$353,"INVENT_DAYS","FY 2016","FY 2016","Currency=INR","Period=FY","BEST_FPERIOD_OVERRIDE=FY","FILING_STATUS=OR","EQY_CONSOLIDATED=Y","FA_ADJUSTED=GAAP","Sort=A","Dates=H","DateFormat=P","Fill=—","Direction=H","UseDPDF=Y")</f>
        <v>#NAME?</v>
      </c>
      <c r="DA363" s="3" t="e">
        <f ca="1">_xll.BDH($C$353,"ACCOUNTS_PAYABLE_TURNOVER","FY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63" s="1" t="e">
        <f ca="1">_xll.BDH($C$353,"ACCOUNTS_PAYABLE_TURNOVER_DAYS","FY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63" s="3" t="e">
        <f ca="1">_xll.BDH($C$353,"CASH_CONVERSION_CYCLE","FY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63" s="3" t="e">
        <f ca="1">_xll.BDH($C$353,"INV_TO_CASH_DAYS","FY 2016","FY 2016","Currency=INR","Period=FY","BEST_FPERIOD_OVERRIDE=FY","FILING_STATUS=OR","EQY_CONSOLIDATED=Y","FA_ADJUSTED=GAAP","Sort=A","Dates=H","DateFormat=P","Fill=—","Direction=H","UseDPDF=Y")</f>
        <v>#NAME?</v>
      </c>
      <c r="DE363" s="4" t="e">
        <f ca="1">_xll.BDH($C$353,"BS_INVENTORIES","FY 2016","FY 2016","Currency=INR","Period=FY","BEST_FPERIOD_OVERRIDE=FY","FILING_STATUS=OR","EQY_CONSOLIDATED=Y","SCALING_FORMAT=MLN","Sort=A","Dates=H","DateFormat=P","Fill=—","Direction=H","UseDPDF=Y")</f>
        <v>#NAME?</v>
      </c>
      <c r="DF363" s="2" t="e">
        <f ca="1">_xll.BDH($C$353,"INVTRY_RAW_MATERIALS","FY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63" s="2" t="e">
        <f ca="1">_xll.BDH($C$353,"INVTRY_IN_PROGRESS","FY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63" s="2" t="e">
        <f ca="1">_xll.BDH($C$353,"INVTRY_FINISHED_GOODS","FY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63" s="2" t="e">
        <f ca="1">_xll.BDH($C$353,"BS_OTHER_INV","FY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64" spans="1:113" x14ac:dyDescent="0.3">
      <c r="A364" s="6"/>
      <c r="B364" s="6"/>
      <c r="C364" s="6"/>
      <c r="D364" s="6"/>
      <c r="E364" t="s">
        <v>4</v>
      </c>
      <c r="F364" t="e">
        <f ca="1">_xll.BDH($C$353,"RETURN_COM_EQY","FQ1 2016","FQ1 2016","Currency=INR","Period=FQ","BEST_FPERIOD_OVERRIDE=FQ","FILING_STATUS=OR","EQY_CONSOLIDATED=Y","FA_ADJUSTED=GAAP","Sort=A","Dates=H","DateFormat=P","Fill=—","Direction=H","UseDPDF=Y")</f>
        <v>#NAME?</v>
      </c>
      <c r="G364" t="e">
        <f ca="1">_xll.BDH($C$353,"RETURN_ON_ASSET","FQ1 2016","FQ1 2016","Currency=INR","Period=FQ","BEST_FPERIOD_OVERRIDE=FQ","FILING_STATUS=OR","EQY_CONSOLIDATED=Y","FA_ADJUSTED=GAAP","Sort=A","Dates=H","DateFormat=P","Fill=—","Direction=H","UseDPDF=Y")</f>
        <v>#NAME?</v>
      </c>
      <c r="H364" t="e">
        <f ca="1">_xll.BDH($C$353,"RETURN_ON_CAP","FQ1 2016","FQ1 2016","Currency=INR","Period=FQ","BEST_FPERIOD_OVERRIDE=FQ","FILING_STATUS=OR","EQY_CONSOLIDATED=Y","FA_ADJUSTED=GAAP","Sort=A","Dates=H","DateFormat=P","Fill=—","Direction=H","UseDPDF=Y")</f>
        <v>#NAME?</v>
      </c>
      <c r="I364" t="e">
        <f ca="1">_xll.BDH($C$353,"RETURN_ON_INV_CAPITAL","FQ1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64" t="e">
        <f ca="1">_xll.BDH($C$353,"EBITDA_TO_REVENUE","FQ1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364" t="e">
        <f ca="1">_xll.BDH($C$353,"OPER_MARGIN","FQ1 2016","FQ1 2016","Currency=INR","Period=FQ","BEST_FPERIOD_OVERRIDE=FQ","FILING_STATUS=OR","EQY_CONSOLIDATED=Y","FA_ADJUSTED=GAAP","Sort=A","Dates=H","DateFormat=P","Fill=—","Direction=H","UseDPDF=Y")</f>
        <v>#NAME?</v>
      </c>
      <c r="L364" t="e">
        <f ca="1">_xll.BDH($C$353,"INCREMENTAL_OPERATING_MARGIN","FQ1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64" t="e">
        <f ca="1">_xll.BDH($C$353,"PRETAX_INC_TO_NET_SALES","FQ1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64" t="e">
        <f ca="1">_xll.BDH($C$353,"INC_BEF_XO_ITEMS_TO_NET_SALES","FQ1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64" t="e">
        <f ca="1">_xll.BDH($C$353,"PROF_MARGIN","FQ1 2016","FQ1 2016","Currency=INR","Period=FQ","BEST_FPERIOD_OVERRIDE=FQ","FILING_STATUS=OR","EQY_CONSOLIDATED=Y","FA_ADJUSTED=GAAP","Sort=A","Dates=H","DateFormat=P","Fill=—","Direction=H","UseDPDF=Y")</f>
        <v>#NAME?</v>
      </c>
      <c r="P364" t="e">
        <f ca="1">_xll.BDH($C$353,"NET_INCOME_TO_COMMON_MARGIN","FQ1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64" t="e">
        <f ca="1">_xll.BDH($C$353,"EFF_TAX_RATE","FQ1 2016","FQ1 2016","Currency=INR","Period=FQ","BEST_FPERIOD_OVERRIDE=FQ","FILING_STATUS=OR","EQY_CONSOLIDATED=Y","FA_ADJUSTED=GAAP","Sort=A","Dates=H","DateFormat=P","Fill=—","Direction=H","UseDPDF=Y")</f>
        <v>#NAME?</v>
      </c>
      <c r="R364" t="e">
        <f ca="1">_xll.BDH($C$353,"DVD_PAYOUT_RATIO","FQ1 2016","FQ1 2016","Currency=INR","Period=FQ","BEST_FPERIOD_OVERRIDE=FQ","FILING_STATUS=OR","EQY_CONSOLIDATED=Y","FA_ADJUSTED=GAAP","Sort=A","Dates=H","DateFormat=P","Fill=—","Direction=H","UseDPDF=Y")</f>
        <v>#NAME?</v>
      </c>
      <c r="S364" t="e">
        <f ca="1">_xll.BDH($C$353,"SUSTAIN_GROWTH_RT","FQ1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364" s="1" t="e">
        <f ca="1">_xll.BDH($C$353,"SALES_GROWTH","FQ1 2016","FQ1 2016","Currency=INR","Period=FQ","BEST_FPERIOD_OVERRIDE=FQ","FILING_STATUS=OR","EQY_CONSOLIDATED=Y","FA_ADJUSTED=GAAP","Sort=A","Dates=H","DateFormat=P","Fill=—","Direction=H","UseDPDF=Y")</f>
        <v>#NAME?</v>
      </c>
      <c r="U364" s="1" t="e">
        <f ca="1">_xll.BDH($C$353,"EBITDA_GROWTH","FQ1 2016","FQ1 2016","Currency=INR","Period=FQ","BEST_FPERIOD_OVERRIDE=FQ","FILING_STATUS=OR","EQY_CONSOLIDATED=Y","FA_ADJUSTED=GAAP","Sort=A","Dates=H","DateFormat=P","Fill=—","Direction=H","UseDPDF=Y")</f>
        <v>#NAME?</v>
      </c>
      <c r="V364" s="1" t="e">
        <f ca="1">_xll.BDH($C$353,"OPER_INC_GROWTH","FQ1 2016","FQ1 2016","Currency=INR","Period=FQ","BEST_FPERIOD_OVERRIDE=FQ","FILING_STATUS=OR","EQY_CONSOLIDATED=Y","FA_ADJUSTED=GAAP","Sort=A","Dates=H","DateFormat=P","Fill=—","Direction=H","UseDPDF=Y")</f>
        <v>#NAME?</v>
      </c>
      <c r="W364" s="1" t="e">
        <f ca="1">_xll.BDH($C$353,"EARN_FOR_COM_GROWTH","FQ1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64" s="1" t="e">
        <f ca="1">_xll.BDH($C$353,"DILUTED_EPS_AFT_XO_ITEMS_GROWTH","FQ1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64" s="1" t="e">
        <f ca="1">_xll.BDH($C$353,"DIVIDEND_PER_SHARE_1_YEAR_GROWTH","FQ1 2016","FQ1 2016","Currency=INR","Period=FQ","BEST_FPERIOD_OVERRIDE=FQ","FILING_STATUS=OR","EQY_CONSOLIDATED=Y","Sort=A","Dates=H","DateFormat=P","Fill=—","Direction=H","UseDPDF=Y")</f>
        <v>#NAME?</v>
      </c>
      <c r="Z364" s="1" t="e">
        <f ca="1">_xll.BDH($C$353,"ACCOUNTS_RECEIVABLE_GROWTH","FQ1 2016","FQ1 2016","Currency=INR","Period=FQ","BEST_FPERIOD_OVERRIDE=FQ","FILING_STATUS=OR","EQY_CONSOLIDATED=Y","Sort=A","Dates=H","DateFormat=P","Fill=—","Direction=H","UseDPDF=Y")</f>
        <v>#NAME?</v>
      </c>
      <c r="AA364" s="1" t="e">
        <f ca="1">_xll.BDH($C$353,"INVENTORY_GROWTH","FQ1 2016","FQ1 2016","Currency=INR","Period=FQ","BEST_FPERIOD_OVERRIDE=FQ","FILING_STATUS=OR","EQY_CONSOLIDATED=Y","Sort=A","Dates=H","DateFormat=P","Fill=—","Direction=H","UseDPDF=Y")</f>
        <v>#NAME?</v>
      </c>
      <c r="AB364" s="1" t="e">
        <f ca="1">_xll.BDH($C$353,"NET_FIXED_ASSETS_1_YEAR_GROWTH","FQ1 2016","FQ1 2016","Currency=INR","Period=FQ","BEST_FPERIOD_OVERRIDE=FQ","FILING_STATUS=OR","EQY_CONSOLIDATED=Y","Sort=A","Dates=H","DateFormat=P","Fill=—","Direction=H","UseDPDF=Y")</f>
        <v>#NAME?</v>
      </c>
      <c r="AC364" s="1" t="e">
        <f ca="1">_xll.BDH($C$353,"ASSET_GROWTH","FQ1 2016","FQ1 2016","Currency=INR","Period=FQ","BEST_FPERIOD_OVERRIDE=FQ","FILING_STATUS=OR","EQY_CONSOLIDATED=Y","Sort=A","Dates=H","DateFormat=P","Fill=—","Direction=H","UseDPDF=Y")</f>
        <v>#NAME?</v>
      </c>
      <c r="AD364" s="1" t="e">
        <f ca="1">_xll.BDH($C$353,"MODIFIED_WORK_CAP_GROWTH","FQ1 2016","FQ1 2016","Currency=INR","Period=FQ","BEST_FPERIOD_OVERRIDE=FQ","FILING_STATUS=OR","EQY_CONSOLIDATED=Y","Sort=A","Dates=H","DateFormat=P","Fill=—","Direction=H","UseDPDF=Y")</f>
        <v>#NAME?</v>
      </c>
      <c r="AE364" s="1" t="e">
        <f ca="1">_xll.BDH($C$353,"WORK_CAP_GROWTH","FQ1 2016","FQ1 2016","Currency=INR","Period=FQ","BEST_FPERIOD_OVERRIDE=FQ","FILING_STATUS=OR","EQY_CONSOLIDATED=Y","Sort=A","Dates=H","DateFormat=P","Fill=—","Direction=H","UseDPDF=Y")</f>
        <v>#NAME?</v>
      </c>
      <c r="AF364" s="1" t="e">
        <f ca="1">_xll.BDH($C$353,"ACCOUNTS_PAYABLE_GROWTH_1YR","FQ1 2016","FQ1 2016","Currency=INR","Period=FQ","BEST_FPERIOD_OVERRIDE=FQ","FILING_STATUS=OR","EQY_CONSOLIDATED=Y","Sort=A","Dates=H","DateFormat=P","Fill=—","Direction=H","UseDPDF=Y")</f>
        <v>#NAME?</v>
      </c>
      <c r="AG364" s="1" t="e">
        <f ca="1">_xll.BDH($C$353,"SHORT_TERM_DEBT_1_YEAR_GROWTH","FQ1 2016","FQ1 2016","Currency=INR","Period=FQ","BEST_FPERIOD_OVERRIDE=FQ","FILING_STATUS=OR","EQY_CONSOLIDATED=Y","Sort=A","Dates=H","DateFormat=P","Fill=—","Direction=H","UseDPDF=Y")</f>
        <v>#NAME?</v>
      </c>
      <c r="AH364" s="1" t="e">
        <f ca="1">_xll.BDH($C$353,"TOTAL_DEBT_1_YEAR_GROWTH","FQ1 2016","FQ1 2016","Currency=INR","Period=FQ","BEST_FPERIOD_OVERRIDE=FQ","FILING_STATUS=OR","EQY_CONSOLIDATED=Y","Sort=A","Dates=H","DateFormat=P","Fill=—","Direction=H","UseDPDF=Y")</f>
        <v>#NAME?</v>
      </c>
      <c r="AI364" s="1" t="e">
        <f ca="1">_xll.BDH($C$353,"TOTAL_EQUITY_1_YEAR_GROWTH","FQ1 2016","FQ1 2016","Currency=INR","Period=FQ","BEST_FPERIOD_OVERRIDE=FQ","FILING_STATUS=OR","EQY_CONSOLIDATED=Y","Sort=A","Dates=H","DateFormat=P","Fill=—","Direction=H","UseDPDF=Y")</f>
        <v>#NAME?</v>
      </c>
      <c r="AJ364" s="1" t="e">
        <f ca="1">_xll.BDH($C$353,"GROWTH_IN_CAP","FQ1 2016","FQ1 2016","Currency=INR","Period=FQ","BEST_FPERIOD_OVERRIDE=FQ","FILING_STATUS=OR","EQY_CONSOLIDATED=Y","Sort=A","Dates=H","DateFormat=P","Fill=—","Direction=H","UseDPDF=Y")</f>
        <v>#NAME?</v>
      </c>
      <c r="AK364" s="1" t="e">
        <f ca="1">_xll.BDH($C$353,"BVPS_GROWTH","FQ1 2016","FQ1 2016","Currency=INR","Period=FQ","BEST_FPERIOD_OVERRIDE=FQ","FILING_STATUS=OR","EQY_CONSOLIDATED=Y","Sort=A","Dates=H","DateFormat=P","Fill=—","Direction=H","UseDPDF=Y")</f>
        <v>#NAME?</v>
      </c>
      <c r="AL364" s="1" t="e">
        <f ca="1">_xll.BDH($C$353,"CASH_FLOW_GROWTH","FQ1 2016","FQ1 2016","Currency=INR","Period=FQ","BEST_FPERIOD_OVERRIDE=FQ","FILING_STATUS=OR","EQY_CONSOLIDATED=Y","Sort=A","Dates=H","DateFormat=P","Fill=—","Direction=H","UseDPDF=Y")</f>
        <v>#NAME?</v>
      </c>
      <c r="AM364" s="1" t="e">
        <f ca="1">_xll.BDH($C$353,"GEO_GROW_NET_SALES","FQ1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64" s="1" t="e">
        <f ca="1">_xll.BDH($C$353,"GEO_GROW_EBITDA","FQ1 2016","FQ1 2016","Currency=INR","Period=FQ","BEST_FPERIOD_OVERRIDE=FQ","FILING_STATUS=OR","EQY_CONSOLIDATED=Y","FA_ADJUSTED=GAAP","Sort=A","Dates=H","DateFormat=P","Fill=—","Direction=H","UseDPDF=Y")</f>
        <v>#NAME?</v>
      </c>
      <c r="AO364" s="1" t="e">
        <f ca="1">_xll.BDH($C$353,"GEO_GROW_OPER_INC","FQ1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64" s="1" t="e">
        <f ca="1">_xll.BDH($C$353,"NET_INCOME_TO_COMMON_5_YR_GROWTH","FQ1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64" s="1" t="e">
        <f ca="1">_xll.BDH($C$353,"5Y_GEO_GROWTH_DILUTED_EPS","FQ1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64" s="1" t="e">
        <f ca="1">_xll.BDH($C$353,"GEO_GROW_DVD_PER_SH","FQ1 2016","FQ1 2016","Currency=INR","Period=FQ","BEST_FPERIOD_OVERRIDE=FQ","FILING_STATUS=OR","EQY_CONSOLIDATED=Y","Sort=A","Dates=H","DateFormat=P","Fill=—","Direction=H","UseDPDF=Y")</f>
        <v>#NAME?</v>
      </c>
      <c r="AS364" s="1" t="e">
        <f ca="1">_xll.BDH($C$353,"ACCOUNTS_RECEIVABLE_5_YR_GROWTH","FQ1 2016","FQ1 2016","Currency=INR","Period=FQ","BEST_FPERIOD_OVERRIDE=FQ","FILING_STATUS=OR","EQY_CONSOLIDATED=Y","Sort=A","Dates=H","DateFormat=P","Fill=—","Direction=H","UseDPDF=Y")</f>
        <v>#NAME?</v>
      </c>
      <c r="AT364" s="1" t="e">
        <f ca="1">_xll.BDH($C$353,"INVENTORY_5_YEAR_GROWTH","FQ1 2016","FQ1 2016","Currency=INR","Period=FQ","BEST_FPERIOD_OVERRIDE=FQ","FILING_STATUS=OR","EQY_CONSOLIDATED=Y","Sort=A","Dates=H","DateFormat=P","Fill=—","Direction=H","UseDPDF=Y")</f>
        <v>#NAME?</v>
      </c>
      <c r="AU364" s="1" t="e">
        <f ca="1">_xll.BDH($C$353,"NET_FIXED_ASSETS_5_YEAR_GROWTH","FQ1 2016","FQ1 2016","Currency=INR","Period=FQ","BEST_FPERIOD_OVERRIDE=FQ","FILING_STATUS=OR","EQY_CONSOLIDATED=Y","Sort=A","Dates=H","DateFormat=P","Fill=—","Direction=H","UseDPDF=Y")</f>
        <v>#NAME?</v>
      </c>
      <c r="AV364" s="1" t="e">
        <f ca="1">_xll.BDH($C$353,"GEO_GROW_TOT_ASSET","FQ1 2016","FQ1 2016","Currency=INR","Period=FQ","BEST_FPERIOD_OVERRIDE=FQ","FILING_STATUS=OR","EQY_CONSOLIDATED=Y","Sort=A","Dates=H","DateFormat=P","Fill=—","Direction=H","UseDPDF=Y")</f>
        <v>#NAME?</v>
      </c>
      <c r="AW364" s="1" t="e">
        <f ca="1">_xll.BDH($C$353,"MODIFIED_WORKING_CPTL_5YR_GRWTH","FQ1 2016","FQ1 2016","Currency=INR","Period=FQ","BEST_FPERIOD_OVERRIDE=FQ","FILING_STATUS=OR","EQY_CONSOLIDATED=Y","Sort=A","Dates=H","DateFormat=P","Fill=—","Direction=H","UseDPDF=Y")</f>
        <v>#NAME?</v>
      </c>
      <c r="AX364" s="1" t="e">
        <f ca="1">_xll.BDH($C$353,"WORKING_CAPITAL_5_YEAR_GROWTH","FQ1 2016","FQ1 2016","Currency=INR","Period=FQ","BEST_FPERIOD_OVERRIDE=FQ","FILING_STATUS=OR","EQY_CONSOLIDATED=Y","Sort=A","Dates=H","DateFormat=P","Fill=—","Direction=H","UseDPDF=Y")</f>
        <v>#NAME?</v>
      </c>
      <c r="AY364" s="1" t="e">
        <f ca="1">_xll.BDH($C$353,"ACCOUNTS_PAYABLE_5_YEAR_GROWTH","FQ1 2016","FQ1 2016","Currency=INR","Period=FQ","BEST_FPERIOD_OVERRIDE=FQ","FILING_STATUS=OR","EQY_CONSOLIDATED=Y","Sort=A","Dates=H","DateFormat=P","Fill=—","Direction=H","UseDPDF=Y")</f>
        <v>#NAME?</v>
      </c>
      <c r="AZ364" s="1" t="e">
        <f ca="1">_xll.BDH($C$353,"SHORT_TERM_DEBT_5_YEAR_GROWTH","FQ1 2016","FQ1 2016","Currency=INR","Period=FQ","BEST_FPERIOD_OVERRIDE=FQ","FILING_STATUS=OR","EQY_CONSOLIDATED=Y","Sort=A","Dates=H","DateFormat=P","Fill=—","Direction=H","UseDPDF=Y")</f>
        <v>#NAME?</v>
      </c>
      <c r="BA364" s="1" t="e">
        <f ca="1">_xll.BDH($C$353,"TOTAL_DEBT_5_YEAR_GROWTH","FQ1 2016","FQ1 2016","Currency=INR","Period=FQ","BEST_FPERIOD_OVERRIDE=FQ","FILING_STATUS=OR","EQY_CONSOLIDATED=Y","Sort=A","Dates=H","DateFormat=P","Fill=—","Direction=H","UseDPDF=Y")</f>
        <v>#NAME?</v>
      </c>
      <c r="BB364" s="1" t="e">
        <f ca="1">_xll.BDH($C$353,"GEO_GROW_TOT_SHRHLDR_EQY","FQ1 2016","FQ1 2016","Currency=INR","Period=FQ","BEST_FPERIOD_OVERRIDE=FQ","FILING_STATUS=OR","EQY_CONSOLIDATED=Y","Sort=A","Dates=H","DateFormat=P","Fill=—","Direction=H","UseDPDF=Y")</f>
        <v>#NAME?</v>
      </c>
      <c r="BC364" s="1" t="e">
        <f ca="1">_xll.BDH($C$353,"TOTAL_CAPITAL_5_YEAR_GROWTH","FQ1 2016","FQ1 2016","Currency=INR","Period=FQ","BEST_FPERIOD_OVERRIDE=FQ","FILING_STATUS=OR","EQY_CONSOLIDATED=Y","Sort=A","Dates=H","DateFormat=P","Fill=—","Direction=H","UseDPDF=Y")</f>
        <v>#NAME?</v>
      </c>
      <c r="BD364" s="1" t="e">
        <f ca="1">_xll.BDH($C$353,"GEO_GROW_BOOK_VAL","FQ1 2016","FQ1 2016","Currency=INR","Period=FQ","BEST_FPERIOD_OVERRIDE=FQ","FILING_STATUS=OR","EQY_CONSOLIDATED=Y","Sort=A","Dates=H","DateFormat=P","Fill=—","Direction=H","UseDPDF=Y")</f>
        <v>#NAME?</v>
      </c>
      <c r="BE364" s="1" t="e">
        <f ca="1">_xll.BDH($C$353,"GEO_GROW_CASH_OPER_ACT","FQ1 2016","FQ1 2016","Currency=INR","Period=FQ","BEST_FPERIOD_OVERRIDE=FQ","FILING_STATUS=OR","EQY_CONSOLIDATED=Y","Sort=A","Dates=H","DateFormat=P","Fill=—","Direction=H","UseDPDF=Y")</f>
        <v>#NAME?</v>
      </c>
      <c r="BF364" s="1" t="e">
        <f ca="1">_xll.BDH($C$353,"REVENUE_SEQUENTIAL_GROWTH","FQ1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64" s="1" t="e">
        <f ca="1">_xll.BDH($C$353,"EBITDA_SEQUENTIAL_GROWTH","FQ1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64" s="1" t="e">
        <f ca="1">_xll.BDH($C$353,"OPERATING_INCOME_SEQ_GROWTH","FQ1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64" s="1" t="e">
        <f ca="1">_xll.BDH($C$353,"NET_INCOME_TO_COMMON_SEQ_GROWTH","FQ1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64" s="1" t="e">
        <f ca="1">_xll.BDH($C$353,"EPS_DILUTED_SEQUENTIAL_GROWTH","FQ1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64" s="1" t="e">
        <f ca="1">_xll.BDH($C$353,"DPS_SEQUENTIAL_GROWTH","FQ1 2016","FQ1 2016","Currency=INR","Period=FQ","BEST_FPERIOD_OVERRIDE=FQ","FILING_STATUS=OR","EQY_CONSOLIDATED=Y","Sort=A","Dates=H","DateFormat=P","Fill=—","Direction=H","UseDPDF=Y")</f>
        <v>#NAME?</v>
      </c>
      <c r="BL364" s="1" t="e">
        <f ca="1">_xll.BDH($C$353,"ACCOUNTS_RECEIVABLE_SEQ_GROWTH","FQ1 2016","FQ1 2016","Currency=INR","Period=FQ","BEST_FPERIOD_OVERRIDE=FQ","FILING_STATUS=OR","EQY_CONSOLIDATED=Y","Sort=A","Dates=H","DateFormat=P","Fill=—","Direction=H","UseDPDF=Y")</f>
        <v>#NAME?</v>
      </c>
      <c r="BM364" s="1" t="e">
        <f ca="1">_xll.BDH($C$353,"INVENTORY_SEQUENTIAL_GROWTH","FQ1 2016","FQ1 2016","Currency=INR","Period=FQ","BEST_FPERIOD_OVERRIDE=FQ","FILING_STATUS=OR","EQY_CONSOLIDATED=Y","Sort=A","Dates=H","DateFormat=P","Fill=—","Direction=H","UseDPDF=Y")</f>
        <v>#NAME?</v>
      </c>
      <c r="BN364" s="1" t="e">
        <f ca="1">_xll.BDH($C$353,"FIXED_ASSETS_SEQUENTIAL_GROWTH","FQ1 2016","FQ1 2016","Currency=INR","Period=FQ","BEST_FPERIOD_OVERRIDE=FQ","FILING_STATUS=OR","EQY_CONSOLIDATED=Y","Sort=A","Dates=H","DateFormat=P","Fill=—","Direction=H","UseDPDF=Y")</f>
        <v>#NAME?</v>
      </c>
      <c r="BO364" s="1" t="e">
        <f ca="1">_xll.BDH($C$353,"TOTAL_ASSETS_SEQUENTIAL_GROWTH","FQ1 2016","FQ1 2016","Currency=INR","Period=FQ","BEST_FPERIOD_OVERRIDE=FQ","FILING_STATUS=OR","EQY_CONSOLIDATED=Y","Sort=A","Dates=H","DateFormat=P","Fill=—","Direction=H","UseDPDF=Y")</f>
        <v>#NAME?</v>
      </c>
      <c r="BP364" s="1" t="e">
        <f ca="1">_xll.BDH($C$353,"MODIFIED_WORKING_CPTL_SEQ_GRWTH","FQ1 2016","FQ1 2016","Currency=INR","Period=FQ","BEST_FPERIOD_OVERRIDE=FQ","FILING_STATUS=OR","EQY_CONSOLIDATED=Y","Sort=A","Dates=H","DateFormat=P","Fill=—","Direction=H","UseDPDF=Y")</f>
        <v>#NAME?</v>
      </c>
      <c r="BQ364" s="1" t="e">
        <f ca="1">_xll.BDH($C$353,"WORKING_CAPITAL_SEQ_GROWTH","FQ1 2016","FQ1 2016","Currency=INR","Period=FQ","BEST_FPERIOD_OVERRIDE=FQ","FILING_STATUS=OR","EQY_CONSOLIDATED=Y","Sort=A","Dates=H","DateFormat=P","Fill=—","Direction=H","UseDPDF=Y")</f>
        <v>#NAME?</v>
      </c>
      <c r="BR364" s="1" t="e">
        <f ca="1">_xll.BDH($C$353,"ACCOUNTS_PAYABLE_SEQ_GROWTH","FQ1 2016","FQ1 2016","Currency=INR","Period=FQ","BEST_FPERIOD_OVERRIDE=FQ","FILING_STATUS=OR","EQY_CONSOLIDATED=Y","Sort=A","Dates=H","DateFormat=P","Fill=—","Direction=H","UseDPDF=Y")</f>
        <v>#NAME?</v>
      </c>
      <c r="BS364" s="1" t="e">
        <f ca="1">_xll.BDH($C$353,"ST_DEBT_SEQUENTIAL_GROWTH","FQ1 2016","FQ1 2016","Currency=INR","Period=FQ","BEST_FPERIOD_OVERRIDE=FQ","FILING_STATUS=OR","EQY_CONSOLIDATED=Y","Sort=A","Dates=H","DateFormat=P","Fill=—","Direction=H","UseDPDF=Y")</f>
        <v>#NAME?</v>
      </c>
      <c r="BT364" s="1" t="e">
        <f ca="1">_xll.BDH($C$353,"TOTAL_DEBT_SEQUENTIAL_GROWTH","FQ1 2016","FQ1 2016","Currency=INR","Period=FQ","BEST_FPERIOD_OVERRIDE=FQ","FILING_STATUS=OR","EQY_CONSOLIDATED=Y","Sort=A","Dates=H","DateFormat=P","Fill=—","Direction=H","UseDPDF=Y")</f>
        <v>#NAME?</v>
      </c>
      <c r="BU364" s="1" t="e">
        <f ca="1">_xll.BDH($C$353,"TOTAL_EQUITY_SEQUENTIAL_GROWTH","FQ1 2016","FQ1 2016","Currency=INR","Period=FQ","BEST_FPERIOD_OVERRIDE=FQ","FILING_STATUS=OR","EQY_CONSOLIDATED=Y","Sort=A","Dates=H","DateFormat=P","Fill=—","Direction=H","UseDPDF=Y")</f>
        <v>#NAME?</v>
      </c>
      <c r="BV364" s="1" t="e">
        <f ca="1">_xll.BDH($C$353,"TOTAL_CAPITAL_SEQUENTIAL_GROWTH","FQ1 2016","FQ1 2016","Currency=INR","Period=FQ","BEST_FPERIOD_OVERRIDE=FQ","FILING_STATUS=OR","EQY_CONSOLIDATED=Y","Sort=A","Dates=H","DateFormat=P","Fill=—","Direction=H","UseDPDF=Y")</f>
        <v>#NAME?</v>
      </c>
      <c r="BW364" s="1" t="e">
        <f ca="1">_xll.BDH($C$353,"BPS_SEQUENTIAL_GROWTH","FQ1 2016","FQ1 2016","Currency=INR","Period=FQ","BEST_FPERIOD_OVERRIDE=FQ","FILING_STATUS=OR","EQY_CONSOLIDATED=Y","Sort=A","Dates=H","DateFormat=P","Fill=—","Direction=H","UseDPDF=Y")</f>
        <v>#NAME?</v>
      </c>
      <c r="BX364" s="1" t="e">
        <f ca="1">_xll.BDH($C$353,"CFO_SEQUENTIAL_GROWTH","FQ1 2016","FQ1 2016","Currency=INR","Period=FQ","BEST_FPERIOD_OVERRIDE=FQ","FILING_STATUS=OR","EQY_CONSOLIDATED=Y","Sort=A","Dates=H","DateFormat=P","Fill=—","Direction=H","UseDPDF=Y")</f>
        <v>#NAME?</v>
      </c>
      <c r="BY364" s="2" t="e">
        <f ca="1">_xll.BDH($C$353,"SHORT_AND_LONG_TERM_DEBT","FQ1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64" s="2" t="e">
        <f ca="1">_xll.BDH($C$353,"BS_ST_BORROW","FQ1 2016","FQ1 2016","Currency=INR","Period=FQ","BEST_FPERIOD_OVERRIDE=FQ","FILING_STATUS=OR","EQY_CONSOLIDATED=Y","SCALING_FORMAT=MLN","Sort=A","Dates=H","DateFormat=P","Fill=—","Direction=H","UseDPDF=Y")</f>
        <v>#NAME?</v>
      </c>
      <c r="CA364" s="2" t="e">
        <f ca="1">_xll.BDH($C$353,"BS_LT_BORROW","FQ1 2016","FQ1 2016","Currency=INR","Period=FQ","BEST_FPERIOD_OVERRIDE=FQ","FILING_STATUS=OR","EQY_CONSOLIDATED=Y","SCALING_FORMAT=MLN","Sort=A","Dates=H","DateFormat=P","Fill=—","Direction=H","UseDPDF=Y")</f>
        <v>#NAME?</v>
      </c>
      <c r="CB364" s="1" t="e">
        <f ca="1">_xll.BDH($C$353,"TOT_DEBT_TO_EBITDA","FQ1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64" s="1" t="e">
        <f ca="1">_xll.BDH($C$353,"NET_DEBT_TO_EBITDA","FQ1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64" s="1" t="e">
        <f ca="1">_xll.BDH($C$353,"TOTAL_DEBT_TO_EBIT","FQ1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64" s="1" t="e">
        <f ca="1">_xll.BDH($C$353,"NET_DEBT_TO_EBIT","FQ1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364" s="1" t="e">
        <f ca="1">_xll.BDH($C$353,"EBITDA_TO_INTEREST_EXPN","FQ1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64" s="1" t="e">
        <f ca="1">_xll.BDH($C$353,"COM_EQY_TO_TOT_ASSET","FQ1 2016","FQ1 2016","Currency=INR","Period=FQ","BEST_FPERIOD_OVERRIDE=FQ","FILING_STATUS=OR","EQY_CONSOLIDATED=Y","Sort=A","Dates=H","DateFormat=P","Fill=—","Direction=H","UseDPDF=Y")</f>
        <v>#NAME?</v>
      </c>
      <c r="CH364" s="1" t="e">
        <f ca="1">_xll.BDH($C$353,"LT_DEBT_TO_TOT_EQY","FQ1 2016","FQ1 2016","Currency=INR","Period=FQ","BEST_FPERIOD_OVERRIDE=FQ","FILING_STATUS=OR","EQY_CONSOLIDATED=Y","Sort=A","Dates=H","DateFormat=P","Fill=—","Direction=H","UseDPDF=Y")</f>
        <v>#NAME?</v>
      </c>
      <c r="CI364" s="1" t="e">
        <f ca="1">_xll.BDH($C$353,"LT_DEBT_TO_TOT_CAP","FQ1 2016","FQ1 2016","Currency=INR","Period=FQ","BEST_FPERIOD_OVERRIDE=FQ","FILING_STATUS=OR","EQY_CONSOLIDATED=Y","Sort=A","Dates=H","DateFormat=P","Fill=—","Direction=H","UseDPDF=Y")</f>
        <v>#NAME?</v>
      </c>
      <c r="CJ364" s="1" t="e">
        <f ca="1">_xll.BDH($C$353,"LT_DEBT_TO_TOT_ASSET","FQ1 2016","FQ1 2016","Currency=INR","Period=FQ","BEST_FPERIOD_OVERRIDE=FQ","FILING_STATUS=OR","EQY_CONSOLIDATED=Y","Sort=A","Dates=H","DateFormat=P","Fill=—","Direction=H","UseDPDF=Y")</f>
        <v>#NAME?</v>
      </c>
      <c r="CK364" s="1" t="e">
        <f ca="1">_xll.BDH($C$353,"TOT_DEBT_TO_TOT_EQY","FQ1 2016","FQ1 2016","Currency=INR","Period=FQ","BEST_FPERIOD_OVERRIDE=FQ","FILING_STATUS=OR","EQY_CONSOLIDATED=Y","Sort=A","Dates=H","DateFormat=P","Fill=—","Direction=H","UseDPDF=Y")</f>
        <v>#NAME?</v>
      </c>
      <c r="CL364" s="1" t="e">
        <f ca="1">_xll.BDH($C$353,"TOT_DEBT_TO_TOT_CAP","FQ1 2016","FQ1 2016","Currency=INR","Period=FQ","BEST_FPERIOD_OVERRIDE=FQ","FILING_STATUS=OR","EQY_CONSOLIDATED=Y","Sort=A","Dates=H","DateFormat=P","Fill=—","Direction=H","UseDPDF=Y")</f>
        <v>#NAME?</v>
      </c>
      <c r="CM364" s="1" t="e">
        <f ca="1">_xll.BDH($C$353,"TOT_DEBT_TO_TOT_ASSET","FQ1 2016","FQ1 2016","Currency=INR","Period=FQ","BEST_FPERIOD_OVERRIDE=FQ","FILING_STATUS=OR","EQY_CONSOLIDATED=Y","Sort=A","Dates=H","DateFormat=P","Fill=—","Direction=H","UseDPDF=Y")</f>
        <v>#NAME?</v>
      </c>
      <c r="CN364" s="1" t="e">
        <f ca="1">_xll.BDH($C$353,"NET_DEBT_TO_SHRHLDR_EQTY","FQ1 2016","FQ1 2016","Currency=INR","Period=FQ","BEST_FPERIOD_OVERRIDE=FQ","FILING_STATUS=OR","EQY_CONSOLIDATED=Y","Sort=A","Dates=H","DateFormat=P","Fill=—","Direction=H","UseDPDF=Y")</f>
        <v>#NAME?</v>
      </c>
      <c r="CO364" s="1" t="e">
        <f ca="1">_xll.BDH($C$353,"NET_DEBT_%_CAPITAL","FQ1 2016","FQ1 2016","Currency=INR","Period=FQ","BEST_FPERIOD_OVERRIDE=FQ","FILING_STATUS=OR","EQY_CONSOLIDATED=Y","Sort=A","Dates=H","DateFormat=P","Fill=—","Direction=H","UseDPDF=Y")</f>
        <v>#NAME?</v>
      </c>
      <c r="CP364" s="2" t="e">
        <f ca="1">_xll.BDH($C$353,"EBITDA","FQ1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64" s="2" t="e">
        <f ca="1">_xll.BDH($C$353,"EBITDA_AFTER_CAPEX","FQ1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64" s="2" t="e">
        <f ca="1">_xll.BDH($C$353,"IS_OPER_INC","FQ1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64" s="1" t="e">
        <f ca="1">_xll.BDH($C$353,"CASH_RATIO","FQ1 2016","FQ1 2016","Currency=INR","Period=FQ","BEST_FPERIOD_OVERRIDE=FQ","FILING_STATUS=OR","EQY_CONSOLIDATED=Y","Sort=A","Dates=H","DateFormat=P","Fill=—","Direction=H","UseDPDF=Y")</f>
        <v>#NAME?</v>
      </c>
      <c r="CT364" s="1" t="e">
        <f ca="1">_xll.BDH($C$353,"CUR_RATIO","FQ1 2016","FQ1 2016","Currency=INR","Period=FQ","BEST_FPERIOD_OVERRIDE=FQ","FILING_STATUS=OR","EQY_CONSOLIDATED=Y","Sort=A","Dates=H","DateFormat=P","Fill=—","Direction=H","UseDPDF=Y")</f>
        <v>#NAME?</v>
      </c>
      <c r="CU364" s="1" t="e">
        <f ca="1">_xll.BDH($C$353,"QUICK_RATIO","FQ1 2016","FQ1 2016","Currency=INR","Period=FQ","BEST_FPERIOD_OVERRIDE=FQ","FILING_STATUS=OR","EQY_CONSOLIDATED=Y","Sort=A","Dates=H","DateFormat=P","Fill=—","Direction=H","UseDPDF=Y")</f>
        <v>#NAME?</v>
      </c>
      <c r="CV364" s="1" t="e">
        <f ca="1">_xll.BDH($C$353,"ALTMAN_Z_SCORE","FQ1 2016","FQ1 2016","Currency=INR","Period=FQ","BEST_FPERIOD_OVERRIDE=FQ","FILING_STATUS=OR","EQY_CONSOLIDATED=Y","Sort=A","Dates=H","DateFormat=P","Fill=—","Direction=H","UseDPDF=Y")</f>
        <v>#NAME?</v>
      </c>
      <c r="CW364" s="3" t="e">
        <f ca="1">_xll.BDH($C$353,"ACCT_RCV_TURN","FQ1 2016","FQ1 2016","Currency=INR","Period=FQ","BEST_FPERIOD_OVERRIDE=FQ","FILING_STATUS=OR","EQY_CONSOLIDATED=Y","FA_ADJUSTED=GAAP","Sort=A","Dates=H","DateFormat=P","Fill=—","Direction=H","UseDPDF=Y")</f>
        <v>#NAME?</v>
      </c>
      <c r="CX364" s="1" t="e">
        <f ca="1">_xll.BDH($C$353,"ACCT_RCV_DAYS","FQ1 2016","FQ1 2016","Currency=INR","Period=FQ","BEST_FPERIOD_OVERRIDE=FQ","FILING_STATUS=OR","EQY_CONSOLIDATED=Y","FA_ADJUSTED=GAAP","Sort=A","Dates=H","DateFormat=P","Fill=—","Direction=H","UseDPDF=Y")</f>
        <v>#NAME?</v>
      </c>
      <c r="CY364" s="3" t="e">
        <f ca="1">_xll.BDH($C$353,"INVENT_TURN","FQ1 2016","FQ1 2016","Currency=INR","Period=FQ","BEST_FPERIOD_OVERRIDE=FQ","FILING_STATUS=OR","EQY_CONSOLIDATED=Y","FA_ADJUSTED=GAAP","Sort=A","Dates=H","DateFormat=P","Fill=—","Direction=H","UseDPDF=Y")</f>
        <v>#NAME?</v>
      </c>
      <c r="CZ364" s="1" t="e">
        <f ca="1">_xll.BDH($C$353,"INVENT_DAYS","FQ1 2016","FQ1 2016","Currency=INR","Period=FQ","BEST_FPERIOD_OVERRIDE=FQ","FILING_STATUS=OR","EQY_CONSOLIDATED=Y","FA_ADJUSTED=GAAP","Sort=A","Dates=H","DateFormat=P","Fill=—","Direction=H","UseDPDF=Y")</f>
        <v>#NAME?</v>
      </c>
      <c r="DA364" s="3" t="e">
        <f ca="1">_xll.BDH($C$353,"ACCOUNTS_PAYABLE_TURNOVER","FQ1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64" s="1" t="e">
        <f ca="1">_xll.BDH($C$353,"ACCOUNTS_PAYABLE_TURNOVER_DAYS","FQ1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64" s="3" t="e">
        <f ca="1">_xll.BDH($C$353,"CASH_CONVERSION_CYCLE","FQ1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64" s="3" t="e">
        <f ca="1">_xll.BDH($C$353,"INV_TO_CASH_DAYS","FQ1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364" s="4" t="e">
        <f ca="1">_xll.BDH($C$353,"BS_INVENTORIES","FQ1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364" s="2" t="e">
        <f ca="1">_xll.BDH($C$353,"INVTRY_RAW_MATERIALS","FQ1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64" s="2" t="e">
        <f ca="1">_xll.BDH($C$353,"INVTRY_IN_PROGRESS","FQ1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64" s="2" t="e">
        <f ca="1">_xll.BDH($C$353,"INVTRY_FINISHED_GOODS","FQ1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64" s="2" t="e">
        <f ca="1">_xll.BDH($C$353,"BS_OTHER_INV","FQ1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65" spans="1:113" x14ac:dyDescent="0.3">
      <c r="A365" s="6"/>
      <c r="B365" s="6"/>
      <c r="C365" s="6"/>
      <c r="D365" s="6"/>
      <c r="E365" t="s">
        <v>5</v>
      </c>
      <c r="F365" t="e">
        <f ca="1">_xll.BDH($C$353,"RETURN_COM_EQY","FQ2 2016","FQ2 2016","Currency=INR","Period=FQ","BEST_FPERIOD_OVERRIDE=FQ","FILING_STATUS=OR","EQY_CONSOLIDATED=Y","FA_ADJUSTED=GAAP","Sort=A","Dates=H","DateFormat=P","Fill=—","Direction=H","UseDPDF=Y")</f>
        <v>#NAME?</v>
      </c>
      <c r="G365" t="e">
        <f ca="1">_xll.BDH($C$353,"RETURN_ON_ASSET","FQ2 2016","FQ2 2016","Currency=INR","Period=FQ","BEST_FPERIOD_OVERRIDE=FQ","FILING_STATUS=OR","EQY_CONSOLIDATED=Y","FA_ADJUSTED=GAAP","Sort=A","Dates=H","DateFormat=P","Fill=—","Direction=H","UseDPDF=Y")</f>
        <v>#NAME?</v>
      </c>
      <c r="H365" t="e">
        <f ca="1">_xll.BDH($C$353,"RETURN_ON_CAP","FQ2 2016","FQ2 2016","Currency=INR","Period=FQ","BEST_FPERIOD_OVERRIDE=FQ","FILING_STATUS=OR","EQY_CONSOLIDATED=Y","FA_ADJUSTED=GAAP","Sort=A","Dates=H","DateFormat=P","Fill=—","Direction=H","UseDPDF=Y")</f>
        <v>#NAME?</v>
      </c>
      <c r="I365" t="e">
        <f ca="1">_xll.BDH($C$353,"RETURN_ON_INV_CAPITAL","FQ2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65" t="e">
        <f ca="1">_xll.BDH($C$353,"EBITDA_TO_REVENUE","FQ2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365" t="e">
        <f ca="1">_xll.BDH($C$353,"OPER_MARGIN","FQ2 2016","FQ2 2016","Currency=INR","Period=FQ","BEST_FPERIOD_OVERRIDE=FQ","FILING_STATUS=OR","EQY_CONSOLIDATED=Y","FA_ADJUSTED=GAAP","Sort=A","Dates=H","DateFormat=P","Fill=—","Direction=H","UseDPDF=Y")</f>
        <v>#NAME?</v>
      </c>
      <c r="L365" t="e">
        <f ca="1">_xll.BDH($C$353,"INCREMENTAL_OPERATING_MARGIN","FQ2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65" t="e">
        <f ca="1">_xll.BDH($C$353,"PRETAX_INC_TO_NET_SALES","FQ2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65" t="e">
        <f ca="1">_xll.BDH($C$353,"INC_BEF_XO_ITEMS_TO_NET_SALES","FQ2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65" t="e">
        <f ca="1">_xll.BDH($C$353,"PROF_MARGIN","FQ2 2016","FQ2 2016","Currency=INR","Period=FQ","BEST_FPERIOD_OVERRIDE=FQ","FILING_STATUS=OR","EQY_CONSOLIDATED=Y","FA_ADJUSTED=GAAP","Sort=A","Dates=H","DateFormat=P","Fill=—","Direction=H","UseDPDF=Y")</f>
        <v>#NAME?</v>
      </c>
      <c r="P365" t="e">
        <f ca="1">_xll.BDH($C$353,"NET_INCOME_TO_COMMON_MARGIN","FQ2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65" t="e">
        <f ca="1">_xll.BDH($C$353,"EFF_TAX_RATE","FQ2 2016","FQ2 2016","Currency=INR","Period=FQ","BEST_FPERIOD_OVERRIDE=FQ","FILING_STATUS=OR","EQY_CONSOLIDATED=Y","FA_ADJUSTED=GAAP","Sort=A","Dates=H","DateFormat=P","Fill=—","Direction=H","UseDPDF=Y")</f>
        <v>#NAME?</v>
      </c>
      <c r="R365" t="e">
        <f ca="1">_xll.BDH($C$353,"DVD_PAYOUT_RATIO","FQ2 2016","FQ2 2016","Currency=INR","Period=FQ","BEST_FPERIOD_OVERRIDE=FQ","FILING_STATUS=OR","EQY_CONSOLIDATED=Y","FA_ADJUSTED=GAAP","Sort=A","Dates=H","DateFormat=P","Fill=—","Direction=H","UseDPDF=Y")</f>
        <v>#NAME?</v>
      </c>
      <c r="S365" t="e">
        <f ca="1">_xll.BDH($C$353,"SUSTAIN_GROWTH_RT","FQ2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365" s="1" t="e">
        <f ca="1">_xll.BDH($C$353,"SALES_GROWTH","FQ2 2016","FQ2 2016","Currency=INR","Period=FQ","BEST_FPERIOD_OVERRIDE=FQ","FILING_STATUS=OR","EQY_CONSOLIDATED=Y","FA_ADJUSTED=GAAP","Sort=A","Dates=H","DateFormat=P","Fill=—","Direction=H","UseDPDF=Y")</f>
        <v>#NAME?</v>
      </c>
      <c r="U365" s="1" t="e">
        <f ca="1">_xll.BDH($C$353,"EBITDA_GROWTH","FQ2 2016","FQ2 2016","Currency=INR","Period=FQ","BEST_FPERIOD_OVERRIDE=FQ","FILING_STATUS=OR","EQY_CONSOLIDATED=Y","FA_ADJUSTED=GAAP","Sort=A","Dates=H","DateFormat=P","Fill=—","Direction=H","UseDPDF=Y")</f>
        <v>#NAME?</v>
      </c>
      <c r="V365" s="1" t="e">
        <f ca="1">_xll.BDH($C$353,"OPER_INC_GROWTH","FQ2 2016","FQ2 2016","Currency=INR","Period=FQ","BEST_FPERIOD_OVERRIDE=FQ","FILING_STATUS=OR","EQY_CONSOLIDATED=Y","FA_ADJUSTED=GAAP","Sort=A","Dates=H","DateFormat=P","Fill=—","Direction=H","UseDPDF=Y")</f>
        <v>#NAME?</v>
      </c>
      <c r="W365" s="1" t="e">
        <f ca="1">_xll.BDH($C$353,"EARN_FOR_COM_GROWTH","FQ2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65" s="1" t="e">
        <f ca="1">_xll.BDH($C$353,"DILUTED_EPS_AFT_XO_ITEMS_GROWTH","FQ2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65" s="1" t="e">
        <f ca="1">_xll.BDH($C$353,"DIVIDEND_PER_SHARE_1_YEAR_GROWTH","FQ2 2016","FQ2 2016","Currency=INR","Period=FQ","BEST_FPERIOD_OVERRIDE=FQ","FILING_STATUS=OR","EQY_CONSOLIDATED=Y","Sort=A","Dates=H","DateFormat=P","Fill=—","Direction=H","UseDPDF=Y")</f>
        <v>#NAME?</v>
      </c>
      <c r="Z365" s="1" t="e">
        <f ca="1">_xll.BDH($C$353,"ACCOUNTS_RECEIVABLE_GROWTH","FQ2 2016","FQ2 2016","Currency=INR","Period=FQ","BEST_FPERIOD_OVERRIDE=FQ","FILING_STATUS=OR","EQY_CONSOLIDATED=Y","Sort=A","Dates=H","DateFormat=P","Fill=—","Direction=H","UseDPDF=Y")</f>
        <v>#NAME?</v>
      </c>
      <c r="AA365" s="1" t="e">
        <f ca="1">_xll.BDH($C$353,"INVENTORY_GROWTH","FQ2 2016","FQ2 2016","Currency=INR","Period=FQ","BEST_FPERIOD_OVERRIDE=FQ","FILING_STATUS=OR","EQY_CONSOLIDATED=Y","Sort=A","Dates=H","DateFormat=P","Fill=—","Direction=H","UseDPDF=Y")</f>
        <v>#NAME?</v>
      </c>
      <c r="AB365" s="1" t="e">
        <f ca="1">_xll.BDH($C$353,"NET_FIXED_ASSETS_1_YEAR_GROWTH","FQ2 2016","FQ2 2016","Currency=INR","Period=FQ","BEST_FPERIOD_OVERRIDE=FQ","FILING_STATUS=OR","EQY_CONSOLIDATED=Y","Sort=A","Dates=H","DateFormat=P","Fill=—","Direction=H","UseDPDF=Y")</f>
        <v>#NAME?</v>
      </c>
      <c r="AC365" s="1" t="e">
        <f ca="1">_xll.BDH($C$353,"ASSET_GROWTH","FQ2 2016","FQ2 2016","Currency=INR","Period=FQ","BEST_FPERIOD_OVERRIDE=FQ","FILING_STATUS=OR","EQY_CONSOLIDATED=Y","Sort=A","Dates=H","DateFormat=P","Fill=—","Direction=H","UseDPDF=Y")</f>
        <v>#NAME?</v>
      </c>
      <c r="AD365" s="1" t="e">
        <f ca="1">_xll.BDH($C$353,"MODIFIED_WORK_CAP_GROWTH","FQ2 2016","FQ2 2016","Currency=INR","Period=FQ","BEST_FPERIOD_OVERRIDE=FQ","FILING_STATUS=OR","EQY_CONSOLIDATED=Y","Sort=A","Dates=H","DateFormat=P","Fill=—","Direction=H","UseDPDF=Y")</f>
        <v>#NAME?</v>
      </c>
      <c r="AE365" s="1" t="e">
        <f ca="1">_xll.BDH($C$353,"WORK_CAP_GROWTH","FQ2 2016","FQ2 2016","Currency=INR","Period=FQ","BEST_FPERIOD_OVERRIDE=FQ","FILING_STATUS=OR","EQY_CONSOLIDATED=Y","Sort=A","Dates=H","DateFormat=P","Fill=—","Direction=H","UseDPDF=Y")</f>
        <v>#NAME?</v>
      </c>
      <c r="AF365" s="1" t="e">
        <f ca="1">_xll.BDH($C$353,"ACCOUNTS_PAYABLE_GROWTH_1YR","FQ2 2016","FQ2 2016","Currency=INR","Period=FQ","BEST_FPERIOD_OVERRIDE=FQ","FILING_STATUS=OR","EQY_CONSOLIDATED=Y","Sort=A","Dates=H","DateFormat=P","Fill=—","Direction=H","UseDPDF=Y")</f>
        <v>#NAME?</v>
      </c>
      <c r="AG365" s="1" t="e">
        <f ca="1">_xll.BDH($C$353,"SHORT_TERM_DEBT_1_YEAR_GROWTH","FQ2 2016","FQ2 2016","Currency=INR","Period=FQ","BEST_FPERIOD_OVERRIDE=FQ","FILING_STATUS=OR","EQY_CONSOLIDATED=Y","Sort=A","Dates=H","DateFormat=P","Fill=—","Direction=H","UseDPDF=Y")</f>
        <v>#NAME?</v>
      </c>
      <c r="AH365" s="1" t="e">
        <f ca="1">_xll.BDH($C$353,"TOTAL_DEBT_1_YEAR_GROWTH","FQ2 2016","FQ2 2016","Currency=INR","Period=FQ","BEST_FPERIOD_OVERRIDE=FQ","FILING_STATUS=OR","EQY_CONSOLIDATED=Y","Sort=A","Dates=H","DateFormat=P","Fill=—","Direction=H","UseDPDF=Y")</f>
        <v>#NAME?</v>
      </c>
      <c r="AI365" s="1" t="e">
        <f ca="1">_xll.BDH($C$353,"TOTAL_EQUITY_1_YEAR_GROWTH","FQ2 2016","FQ2 2016","Currency=INR","Period=FQ","BEST_FPERIOD_OVERRIDE=FQ","FILING_STATUS=OR","EQY_CONSOLIDATED=Y","Sort=A","Dates=H","DateFormat=P","Fill=—","Direction=H","UseDPDF=Y")</f>
        <v>#NAME?</v>
      </c>
      <c r="AJ365" s="1" t="e">
        <f ca="1">_xll.BDH($C$353,"GROWTH_IN_CAP","FQ2 2016","FQ2 2016","Currency=INR","Period=FQ","BEST_FPERIOD_OVERRIDE=FQ","FILING_STATUS=OR","EQY_CONSOLIDATED=Y","Sort=A","Dates=H","DateFormat=P","Fill=—","Direction=H","UseDPDF=Y")</f>
        <v>#NAME?</v>
      </c>
      <c r="AK365" s="1" t="e">
        <f ca="1">_xll.BDH($C$353,"BVPS_GROWTH","FQ2 2016","FQ2 2016","Currency=INR","Period=FQ","BEST_FPERIOD_OVERRIDE=FQ","FILING_STATUS=OR","EQY_CONSOLIDATED=Y","Sort=A","Dates=H","DateFormat=P","Fill=—","Direction=H","UseDPDF=Y")</f>
        <v>#NAME?</v>
      </c>
      <c r="AL365" s="1" t="e">
        <f ca="1">_xll.BDH($C$353,"CASH_FLOW_GROWTH","FQ2 2016","FQ2 2016","Currency=INR","Period=FQ","BEST_FPERIOD_OVERRIDE=FQ","FILING_STATUS=OR","EQY_CONSOLIDATED=Y","Sort=A","Dates=H","DateFormat=P","Fill=—","Direction=H","UseDPDF=Y")</f>
        <v>#NAME?</v>
      </c>
      <c r="AM365" s="1" t="e">
        <f ca="1">_xll.BDH($C$353,"GEO_GROW_NET_SALES","FQ2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65" s="1" t="e">
        <f ca="1">_xll.BDH($C$353,"GEO_GROW_EBITDA","FQ2 2016","FQ2 2016","Currency=INR","Period=FQ","BEST_FPERIOD_OVERRIDE=FQ","FILING_STATUS=OR","EQY_CONSOLIDATED=Y","FA_ADJUSTED=GAAP","Sort=A","Dates=H","DateFormat=P","Fill=—","Direction=H","UseDPDF=Y")</f>
        <v>#NAME?</v>
      </c>
      <c r="AO365" s="1" t="e">
        <f ca="1">_xll.BDH($C$353,"GEO_GROW_OPER_INC","FQ2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65" s="1" t="e">
        <f ca="1">_xll.BDH($C$353,"NET_INCOME_TO_COMMON_5_YR_GROWTH","FQ2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65" s="1" t="e">
        <f ca="1">_xll.BDH($C$353,"5Y_GEO_GROWTH_DILUTED_EPS","FQ2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65" s="1" t="e">
        <f ca="1">_xll.BDH($C$353,"GEO_GROW_DVD_PER_SH","FQ2 2016","FQ2 2016","Currency=INR","Period=FQ","BEST_FPERIOD_OVERRIDE=FQ","FILING_STATUS=OR","EQY_CONSOLIDATED=Y","Sort=A","Dates=H","DateFormat=P","Fill=—","Direction=H","UseDPDF=Y")</f>
        <v>#NAME?</v>
      </c>
      <c r="AS365" s="1" t="e">
        <f ca="1">_xll.BDH($C$353,"ACCOUNTS_RECEIVABLE_5_YR_GROWTH","FQ2 2016","FQ2 2016","Currency=INR","Period=FQ","BEST_FPERIOD_OVERRIDE=FQ","FILING_STATUS=OR","EQY_CONSOLIDATED=Y","Sort=A","Dates=H","DateFormat=P","Fill=—","Direction=H","UseDPDF=Y")</f>
        <v>#NAME?</v>
      </c>
      <c r="AT365" s="1" t="e">
        <f ca="1">_xll.BDH($C$353,"INVENTORY_5_YEAR_GROWTH","FQ2 2016","FQ2 2016","Currency=INR","Period=FQ","BEST_FPERIOD_OVERRIDE=FQ","FILING_STATUS=OR","EQY_CONSOLIDATED=Y","Sort=A","Dates=H","DateFormat=P","Fill=—","Direction=H","UseDPDF=Y")</f>
        <v>#NAME?</v>
      </c>
      <c r="AU365" s="1" t="e">
        <f ca="1">_xll.BDH($C$353,"NET_FIXED_ASSETS_5_YEAR_GROWTH","FQ2 2016","FQ2 2016","Currency=INR","Period=FQ","BEST_FPERIOD_OVERRIDE=FQ","FILING_STATUS=OR","EQY_CONSOLIDATED=Y","Sort=A","Dates=H","DateFormat=P","Fill=—","Direction=H","UseDPDF=Y")</f>
        <v>#NAME?</v>
      </c>
      <c r="AV365" s="1" t="e">
        <f ca="1">_xll.BDH($C$353,"GEO_GROW_TOT_ASSET","FQ2 2016","FQ2 2016","Currency=INR","Period=FQ","BEST_FPERIOD_OVERRIDE=FQ","FILING_STATUS=OR","EQY_CONSOLIDATED=Y","Sort=A","Dates=H","DateFormat=P","Fill=—","Direction=H","UseDPDF=Y")</f>
        <v>#NAME?</v>
      </c>
      <c r="AW365" s="1" t="e">
        <f ca="1">_xll.BDH($C$353,"MODIFIED_WORKING_CPTL_5YR_GRWTH","FQ2 2016","FQ2 2016","Currency=INR","Period=FQ","BEST_FPERIOD_OVERRIDE=FQ","FILING_STATUS=OR","EQY_CONSOLIDATED=Y","Sort=A","Dates=H","DateFormat=P","Fill=—","Direction=H","UseDPDF=Y")</f>
        <v>#NAME?</v>
      </c>
      <c r="AX365" s="1" t="e">
        <f ca="1">_xll.BDH($C$353,"WORKING_CAPITAL_5_YEAR_GROWTH","FQ2 2016","FQ2 2016","Currency=INR","Period=FQ","BEST_FPERIOD_OVERRIDE=FQ","FILING_STATUS=OR","EQY_CONSOLIDATED=Y","Sort=A","Dates=H","DateFormat=P","Fill=—","Direction=H","UseDPDF=Y")</f>
        <v>#NAME?</v>
      </c>
      <c r="AY365" s="1" t="e">
        <f ca="1">_xll.BDH($C$353,"ACCOUNTS_PAYABLE_5_YEAR_GROWTH","FQ2 2016","FQ2 2016","Currency=INR","Period=FQ","BEST_FPERIOD_OVERRIDE=FQ","FILING_STATUS=OR","EQY_CONSOLIDATED=Y","Sort=A","Dates=H","DateFormat=P","Fill=—","Direction=H","UseDPDF=Y")</f>
        <v>#NAME?</v>
      </c>
      <c r="AZ365" s="1" t="e">
        <f ca="1">_xll.BDH($C$353,"SHORT_TERM_DEBT_5_YEAR_GROWTH","FQ2 2016","FQ2 2016","Currency=INR","Period=FQ","BEST_FPERIOD_OVERRIDE=FQ","FILING_STATUS=OR","EQY_CONSOLIDATED=Y","Sort=A","Dates=H","DateFormat=P","Fill=—","Direction=H","UseDPDF=Y")</f>
        <v>#NAME?</v>
      </c>
      <c r="BA365" s="1" t="e">
        <f ca="1">_xll.BDH($C$353,"TOTAL_DEBT_5_YEAR_GROWTH","FQ2 2016","FQ2 2016","Currency=INR","Period=FQ","BEST_FPERIOD_OVERRIDE=FQ","FILING_STATUS=OR","EQY_CONSOLIDATED=Y","Sort=A","Dates=H","DateFormat=P","Fill=—","Direction=H","UseDPDF=Y")</f>
        <v>#NAME?</v>
      </c>
      <c r="BB365" s="1" t="e">
        <f ca="1">_xll.BDH($C$353,"GEO_GROW_TOT_SHRHLDR_EQY","FQ2 2016","FQ2 2016","Currency=INR","Period=FQ","BEST_FPERIOD_OVERRIDE=FQ","FILING_STATUS=OR","EQY_CONSOLIDATED=Y","Sort=A","Dates=H","DateFormat=P","Fill=—","Direction=H","UseDPDF=Y")</f>
        <v>#NAME?</v>
      </c>
      <c r="BC365" s="1" t="e">
        <f ca="1">_xll.BDH($C$353,"TOTAL_CAPITAL_5_YEAR_GROWTH","FQ2 2016","FQ2 2016","Currency=INR","Period=FQ","BEST_FPERIOD_OVERRIDE=FQ","FILING_STATUS=OR","EQY_CONSOLIDATED=Y","Sort=A","Dates=H","DateFormat=P","Fill=—","Direction=H","UseDPDF=Y")</f>
        <v>#NAME?</v>
      </c>
      <c r="BD365" s="1" t="e">
        <f ca="1">_xll.BDH($C$353,"GEO_GROW_BOOK_VAL","FQ2 2016","FQ2 2016","Currency=INR","Period=FQ","BEST_FPERIOD_OVERRIDE=FQ","FILING_STATUS=OR","EQY_CONSOLIDATED=Y","Sort=A","Dates=H","DateFormat=P","Fill=—","Direction=H","UseDPDF=Y")</f>
        <v>#NAME?</v>
      </c>
      <c r="BE365" s="1" t="e">
        <f ca="1">_xll.BDH($C$353,"GEO_GROW_CASH_OPER_ACT","FQ2 2016","FQ2 2016","Currency=INR","Period=FQ","BEST_FPERIOD_OVERRIDE=FQ","FILING_STATUS=OR","EQY_CONSOLIDATED=Y","Sort=A","Dates=H","DateFormat=P","Fill=—","Direction=H","UseDPDF=Y")</f>
        <v>#NAME?</v>
      </c>
      <c r="BF365" s="1" t="e">
        <f ca="1">_xll.BDH($C$353,"REVENUE_SEQUENTIAL_GROWTH","FQ2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65" s="1" t="e">
        <f ca="1">_xll.BDH($C$353,"EBITDA_SEQUENTIAL_GROWTH","FQ2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65" s="1" t="e">
        <f ca="1">_xll.BDH($C$353,"OPERATING_INCOME_SEQ_GROWTH","FQ2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65" s="1" t="e">
        <f ca="1">_xll.BDH($C$353,"NET_INCOME_TO_COMMON_SEQ_GROWTH","FQ2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65" s="1" t="e">
        <f ca="1">_xll.BDH($C$353,"EPS_DILUTED_SEQUENTIAL_GROWTH","FQ2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65" s="1" t="e">
        <f ca="1">_xll.BDH($C$353,"DPS_SEQUENTIAL_GROWTH","FQ2 2016","FQ2 2016","Currency=INR","Period=FQ","BEST_FPERIOD_OVERRIDE=FQ","FILING_STATUS=OR","EQY_CONSOLIDATED=Y","Sort=A","Dates=H","DateFormat=P","Fill=—","Direction=H","UseDPDF=Y")</f>
        <v>#NAME?</v>
      </c>
      <c r="BL365" s="1" t="e">
        <f ca="1">_xll.BDH($C$353,"ACCOUNTS_RECEIVABLE_SEQ_GROWTH","FQ2 2016","FQ2 2016","Currency=INR","Period=FQ","BEST_FPERIOD_OVERRIDE=FQ","FILING_STATUS=OR","EQY_CONSOLIDATED=Y","Sort=A","Dates=H","DateFormat=P","Fill=—","Direction=H","UseDPDF=Y")</f>
        <v>#NAME?</v>
      </c>
      <c r="BM365" s="1" t="e">
        <f ca="1">_xll.BDH($C$353,"INVENTORY_SEQUENTIAL_GROWTH","FQ2 2016","FQ2 2016","Currency=INR","Period=FQ","BEST_FPERIOD_OVERRIDE=FQ","FILING_STATUS=OR","EQY_CONSOLIDATED=Y","Sort=A","Dates=H","DateFormat=P","Fill=—","Direction=H","UseDPDF=Y")</f>
        <v>#NAME?</v>
      </c>
      <c r="BN365" s="1" t="e">
        <f ca="1">_xll.BDH($C$353,"FIXED_ASSETS_SEQUENTIAL_GROWTH","FQ2 2016","FQ2 2016","Currency=INR","Period=FQ","BEST_FPERIOD_OVERRIDE=FQ","FILING_STATUS=OR","EQY_CONSOLIDATED=Y","Sort=A","Dates=H","DateFormat=P","Fill=—","Direction=H","UseDPDF=Y")</f>
        <v>#NAME?</v>
      </c>
      <c r="BO365" s="1" t="e">
        <f ca="1">_xll.BDH($C$353,"TOTAL_ASSETS_SEQUENTIAL_GROWTH","FQ2 2016","FQ2 2016","Currency=INR","Period=FQ","BEST_FPERIOD_OVERRIDE=FQ","FILING_STATUS=OR","EQY_CONSOLIDATED=Y","Sort=A","Dates=H","DateFormat=P","Fill=—","Direction=H","UseDPDF=Y")</f>
        <v>#NAME?</v>
      </c>
      <c r="BP365" s="1" t="e">
        <f ca="1">_xll.BDH($C$353,"MODIFIED_WORKING_CPTL_SEQ_GRWTH","FQ2 2016","FQ2 2016","Currency=INR","Period=FQ","BEST_FPERIOD_OVERRIDE=FQ","FILING_STATUS=OR","EQY_CONSOLIDATED=Y","Sort=A","Dates=H","DateFormat=P","Fill=—","Direction=H","UseDPDF=Y")</f>
        <v>#NAME?</v>
      </c>
      <c r="BQ365" s="1" t="e">
        <f ca="1">_xll.BDH($C$353,"WORKING_CAPITAL_SEQ_GROWTH","FQ2 2016","FQ2 2016","Currency=INR","Period=FQ","BEST_FPERIOD_OVERRIDE=FQ","FILING_STATUS=OR","EQY_CONSOLIDATED=Y","Sort=A","Dates=H","DateFormat=P","Fill=—","Direction=H","UseDPDF=Y")</f>
        <v>#NAME?</v>
      </c>
      <c r="BR365" s="1" t="e">
        <f ca="1">_xll.BDH($C$353,"ACCOUNTS_PAYABLE_SEQ_GROWTH","FQ2 2016","FQ2 2016","Currency=INR","Period=FQ","BEST_FPERIOD_OVERRIDE=FQ","FILING_STATUS=OR","EQY_CONSOLIDATED=Y","Sort=A","Dates=H","DateFormat=P","Fill=—","Direction=H","UseDPDF=Y")</f>
        <v>#NAME?</v>
      </c>
      <c r="BS365" s="1" t="e">
        <f ca="1">_xll.BDH($C$353,"ST_DEBT_SEQUENTIAL_GROWTH","FQ2 2016","FQ2 2016","Currency=INR","Period=FQ","BEST_FPERIOD_OVERRIDE=FQ","FILING_STATUS=OR","EQY_CONSOLIDATED=Y","Sort=A","Dates=H","DateFormat=P","Fill=—","Direction=H","UseDPDF=Y")</f>
        <v>#NAME?</v>
      </c>
      <c r="BT365" s="1" t="e">
        <f ca="1">_xll.BDH($C$353,"TOTAL_DEBT_SEQUENTIAL_GROWTH","FQ2 2016","FQ2 2016","Currency=INR","Period=FQ","BEST_FPERIOD_OVERRIDE=FQ","FILING_STATUS=OR","EQY_CONSOLIDATED=Y","Sort=A","Dates=H","DateFormat=P","Fill=—","Direction=H","UseDPDF=Y")</f>
        <v>#NAME?</v>
      </c>
      <c r="BU365" s="1" t="e">
        <f ca="1">_xll.BDH($C$353,"TOTAL_EQUITY_SEQUENTIAL_GROWTH","FQ2 2016","FQ2 2016","Currency=INR","Period=FQ","BEST_FPERIOD_OVERRIDE=FQ","FILING_STATUS=OR","EQY_CONSOLIDATED=Y","Sort=A","Dates=H","DateFormat=P","Fill=—","Direction=H","UseDPDF=Y")</f>
        <v>#NAME?</v>
      </c>
      <c r="BV365" s="1" t="e">
        <f ca="1">_xll.BDH($C$353,"TOTAL_CAPITAL_SEQUENTIAL_GROWTH","FQ2 2016","FQ2 2016","Currency=INR","Period=FQ","BEST_FPERIOD_OVERRIDE=FQ","FILING_STATUS=OR","EQY_CONSOLIDATED=Y","Sort=A","Dates=H","DateFormat=P","Fill=—","Direction=H","UseDPDF=Y")</f>
        <v>#NAME?</v>
      </c>
      <c r="BW365" s="1" t="e">
        <f ca="1">_xll.BDH($C$353,"BPS_SEQUENTIAL_GROWTH","FQ2 2016","FQ2 2016","Currency=INR","Period=FQ","BEST_FPERIOD_OVERRIDE=FQ","FILING_STATUS=OR","EQY_CONSOLIDATED=Y","Sort=A","Dates=H","DateFormat=P","Fill=—","Direction=H","UseDPDF=Y")</f>
        <v>#NAME?</v>
      </c>
      <c r="BX365" s="1" t="e">
        <f ca="1">_xll.BDH($C$353,"CFO_SEQUENTIAL_GROWTH","FQ2 2016","FQ2 2016","Currency=INR","Period=FQ","BEST_FPERIOD_OVERRIDE=FQ","FILING_STATUS=OR","EQY_CONSOLIDATED=Y","Sort=A","Dates=H","DateFormat=P","Fill=—","Direction=H","UseDPDF=Y")</f>
        <v>#NAME?</v>
      </c>
      <c r="BY365" s="2" t="e">
        <f ca="1">_xll.BDH($C$353,"SHORT_AND_LONG_TERM_DEBT","FQ2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65" s="2" t="e">
        <f ca="1">_xll.BDH($C$353,"BS_ST_BORROW","FQ2 2016","FQ2 2016","Currency=INR","Period=FQ","BEST_FPERIOD_OVERRIDE=FQ","FILING_STATUS=OR","EQY_CONSOLIDATED=Y","SCALING_FORMAT=MLN","Sort=A","Dates=H","DateFormat=P","Fill=—","Direction=H","UseDPDF=Y")</f>
        <v>#NAME?</v>
      </c>
      <c r="CA365" s="2" t="e">
        <f ca="1">_xll.BDH($C$353,"BS_LT_BORROW","FQ2 2016","FQ2 2016","Currency=INR","Period=FQ","BEST_FPERIOD_OVERRIDE=FQ","FILING_STATUS=OR","EQY_CONSOLIDATED=Y","SCALING_FORMAT=MLN","Sort=A","Dates=H","DateFormat=P","Fill=—","Direction=H","UseDPDF=Y")</f>
        <v>#NAME?</v>
      </c>
      <c r="CB365" s="1" t="e">
        <f ca="1">_xll.BDH($C$353,"TOT_DEBT_TO_EBITDA","FQ2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65" s="1" t="e">
        <f ca="1">_xll.BDH($C$353,"NET_DEBT_TO_EBITDA","FQ2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65" s="1" t="e">
        <f ca="1">_xll.BDH($C$353,"TOTAL_DEBT_TO_EBIT","FQ2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65" s="1" t="e">
        <f ca="1">_xll.BDH($C$353,"NET_DEBT_TO_EBIT","FQ2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365" s="1" t="e">
        <f ca="1">_xll.BDH($C$353,"EBITDA_TO_INTEREST_EXPN","FQ2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65" s="1" t="e">
        <f ca="1">_xll.BDH($C$353,"COM_EQY_TO_TOT_ASSET","FQ2 2016","FQ2 2016","Currency=INR","Period=FQ","BEST_FPERIOD_OVERRIDE=FQ","FILING_STATUS=OR","EQY_CONSOLIDATED=Y","Sort=A","Dates=H","DateFormat=P","Fill=—","Direction=H","UseDPDF=Y")</f>
        <v>#NAME?</v>
      </c>
      <c r="CH365" s="1" t="e">
        <f ca="1">_xll.BDH($C$353,"LT_DEBT_TO_TOT_EQY","FQ2 2016","FQ2 2016","Currency=INR","Period=FQ","BEST_FPERIOD_OVERRIDE=FQ","FILING_STATUS=OR","EQY_CONSOLIDATED=Y","Sort=A","Dates=H","DateFormat=P","Fill=—","Direction=H","UseDPDF=Y")</f>
        <v>#NAME?</v>
      </c>
      <c r="CI365" s="1" t="e">
        <f ca="1">_xll.BDH($C$353,"LT_DEBT_TO_TOT_CAP","FQ2 2016","FQ2 2016","Currency=INR","Period=FQ","BEST_FPERIOD_OVERRIDE=FQ","FILING_STATUS=OR","EQY_CONSOLIDATED=Y","Sort=A","Dates=H","DateFormat=P","Fill=—","Direction=H","UseDPDF=Y")</f>
        <v>#NAME?</v>
      </c>
      <c r="CJ365" s="1" t="e">
        <f ca="1">_xll.BDH($C$353,"LT_DEBT_TO_TOT_ASSET","FQ2 2016","FQ2 2016","Currency=INR","Period=FQ","BEST_FPERIOD_OVERRIDE=FQ","FILING_STATUS=OR","EQY_CONSOLIDATED=Y","Sort=A","Dates=H","DateFormat=P","Fill=—","Direction=H","UseDPDF=Y")</f>
        <v>#NAME?</v>
      </c>
      <c r="CK365" s="1" t="e">
        <f ca="1">_xll.BDH($C$353,"TOT_DEBT_TO_TOT_EQY","FQ2 2016","FQ2 2016","Currency=INR","Period=FQ","BEST_FPERIOD_OVERRIDE=FQ","FILING_STATUS=OR","EQY_CONSOLIDATED=Y","Sort=A","Dates=H","DateFormat=P","Fill=—","Direction=H","UseDPDF=Y")</f>
        <v>#NAME?</v>
      </c>
      <c r="CL365" s="1" t="e">
        <f ca="1">_xll.BDH($C$353,"TOT_DEBT_TO_TOT_CAP","FQ2 2016","FQ2 2016","Currency=INR","Period=FQ","BEST_FPERIOD_OVERRIDE=FQ","FILING_STATUS=OR","EQY_CONSOLIDATED=Y","Sort=A","Dates=H","DateFormat=P","Fill=—","Direction=H","UseDPDF=Y")</f>
        <v>#NAME?</v>
      </c>
      <c r="CM365" s="1" t="e">
        <f ca="1">_xll.BDH($C$353,"TOT_DEBT_TO_TOT_ASSET","FQ2 2016","FQ2 2016","Currency=INR","Period=FQ","BEST_FPERIOD_OVERRIDE=FQ","FILING_STATUS=OR","EQY_CONSOLIDATED=Y","Sort=A","Dates=H","DateFormat=P","Fill=—","Direction=H","UseDPDF=Y")</f>
        <v>#NAME?</v>
      </c>
      <c r="CN365" s="1" t="e">
        <f ca="1">_xll.BDH($C$353,"NET_DEBT_TO_SHRHLDR_EQTY","FQ2 2016","FQ2 2016","Currency=INR","Period=FQ","BEST_FPERIOD_OVERRIDE=FQ","FILING_STATUS=OR","EQY_CONSOLIDATED=Y","Sort=A","Dates=H","DateFormat=P","Fill=—","Direction=H","UseDPDF=Y")</f>
        <v>#NAME?</v>
      </c>
      <c r="CO365" s="1" t="e">
        <f ca="1">_xll.BDH($C$353,"NET_DEBT_%_CAPITAL","FQ2 2016","FQ2 2016","Currency=INR","Period=FQ","BEST_FPERIOD_OVERRIDE=FQ","FILING_STATUS=OR","EQY_CONSOLIDATED=Y","Sort=A","Dates=H","DateFormat=P","Fill=—","Direction=H","UseDPDF=Y")</f>
        <v>#NAME?</v>
      </c>
      <c r="CP365" s="2" t="e">
        <f ca="1">_xll.BDH($C$353,"EBITDA","FQ2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65" s="2" t="e">
        <f ca="1">_xll.BDH($C$353,"EBITDA_AFTER_CAPEX","FQ2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65" s="2" t="e">
        <f ca="1">_xll.BDH($C$353,"IS_OPER_INC","FQ2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65" s="1" t="e">
        <f ca="1">_xll.BDH($C$353,"CASH_RATIO","FQ2 2016","FQ2 2016","Currency=INR","Period=FQ","BEST_FPERIOD_OVERRIDE=FQ","FILING_STATUS=OR","EQY_CONSOLIDATED=Y","Sort=A","Dates=H","DateFormat=P","Fill=—","Direction=H","UseDPDF=Y")</f>
        <v>#NAME?</v>
      </c>
      <c r="CT365" s="1" t="e">
        <f ca="1">_xll.BDH($C$353,"CUR_RATIO","FQ2 2016","FQ2 2016","Currency=INR","Period=FQ","BEST_FPERIOD_OVERRIDE=FQ","FILING_STATUS=OR","EQY_CONSOLIDATED=Y","Sort=A","Dates=H","DateFormat=P","Fill=—","Direction=H","UseDPDF=Y")</f>
        <v>#NAME?</v>
      </c>
      <c r="CU365" s="1" t="e">
        <f ca="1">_xll.BDH($C$353,"QUICK_RATIO","FQ2 2016","FQ2 2016","Currency=INR","Period=FQ","BEST_FPERIOD_OVERRIDE=FQ","FILING_STATUS=OR","EQY_CONSOLIDATED=Y","Sort=A","Dates=H","DateFormat=P","Fill=—","Direction=H","UseDPDF=Y")</f>
        <v>#NAME?</v>
      </c>
      <c r="CV365" s="1" t="e">
        <f ca="1">_xll.BDH($C$353,"ALTMAN_Z_SCORE","FQ2 2016","FQ2 2016","Currency=INR","Period=FQ","BEST_FPERIOD_OVERRIDE=FQ","FILING_STATUS=OR","EQY_CONSOLIDATED=Y","Sort=A","Dates=H","DateFormat=P","Fill=—","Direction=H","UseDPDF=Y")</f>
        <v>#NAME?</v>
      </c>
      <c r="CW365" s="3" t="e">
        <f ca="1">_xll.BDH($C$353,"ACCT_RCV_TURN","FQ2 2016","FQ2 2016","Currency=INR","Period=FQ","BEST_FPERIOD_OVERRIDE=FQ","FILING_STATUS=OR","EQY_CONSOLIDATED=Y","FA_ADJUSTED=GAAP","Sort=A","Dates=H","DateFormat=P","Fill=—","Direction=H","UseDPDF=Y")</f>
        <v>#NAME?</v>
      </c>
      <c r="CX365" s="1" t="e">
        <f ca="1">_xll.BDH($C$353,"ACCT_RCV_DAYS","FQ2 2016","FQ2 2016","Currency=INR","Period=FQ","BEST_FPERIOD_OVERRIDE=FQ","FILING_STATUS=OR","EQY_CONSOLIDATED=Y","FA_ADJUSTED=GAAP","Sort=A","Dates=H","DateFormat=P","Fill=—","Direction=H","UseDPDF=Y")</f>
        <v>#NAME?</v>
      </c>
      <c r="CY365" s="3" t="e">
        <f ca="1">_xll.BDH($C$353,"INVENT_TURN","FQ2 2016","FQ2 2016","Currency=INR","Period=FQ","BEST_FPERIOD_OVERRIDE=FQ","FILING_STATUS=OR","EQY_CONSOLIDATED=Y","FA_ADJUSTED=GAAP","Sort=A","Dates=H","DateFormat=P","Fill=—","Direction=H","UseDPDF=Y")</f>
        <v>#NAME?</v>
      </c>
      <c r="CZ365" s="1" t="e">
        <f ca="1">_xll.BDH($C$353,"INVENT_DAYS","FQ2 2016","FQ2 2016","Currency=INR","Period=FQ","BEST_FPERIOD_OVERRIDE=FQ","FILING_STATUS=OR","EQY_CONSOLIDATED=Y","FA_ADJUSTED=GAAP","Sort=A","Dates=H","DateFormat=P","Fill=—","Direction=H","UseDPDF=Y")</f>
        <v>#NAME?</v>
      </c>
      <c r="DA365" s="3" t="e">
        <f ca="1">_xll.BDH($C$353,"ACCOUNTS_PAYABLE_TURNOVER","FQ2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65" s="1" t="e">
        <f ca="1">_xll.BDH($C$353,"ACCOUNTS_PAYABLE_TURNOVER_DAYS","FQ2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65" s="3" t="e">
        <f ca="1">_xll.BDH($C$353,"CASH_CONVERSION_CYCLE","FQ2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65" s="3" t="e">
        <f ca="1">_xll.BDH($C$353,"INV_TO_CASH_DAYS","FQ2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365" s="4" t="e">
        <f ca="1">_xll.BDH($C$353,"BS_INVENTORIES","FQ2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365" s="2" t="e">
        <f ca="1">_xll.BDH($C$353,"INVTRY_RAW_MATERIALS","FQ2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65" s="2" t="e">
        <f ca="1">_xll.BDH($C$353,"INVTRY_IN_PROGRESS","FQ2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65" s="2" t="e">
        <f ca="1">_xll.BDH($C$353,"INVTRY_FINISHED_GOODS","FQ2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65" s="2" t="e">
        <f ca="1">_xll.BDH($C$353,"BS_OTHER_INV","FQ2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66" spans="1:113" x14ac:dyDescent="0.3">
      <c r="A366" s="6"/>
      <c r="B366" s="6"/>
      <c r="C366" s="6"/>
      <c r="D366" s="6"/>
      <c r="E366" t="s">
        <v>6</v>
      </c>
      <c r="F366" t="e">
        <f ca="1">_xll.BDH($C$353,"RETURN_COM_EQY","FQ3 2016","FQ3 2016","Currency=INR","Period=FQ","BEST_FPERIOD_OVERRIDE=FQ","FILING_STATUS=OR","EQY_CONSOLIDATED=Y","FA_ADJUSTED=GAAP","Sort=A","Dates=H","DateFormat=P","Fill=—","Direction=H","UseDPDF=Y")</f>
        <v>#NAME?</v>
      </c>
      <c r="G366" t="e">
        <f ca="1">_xll.BDH($C$353,"RETURN_ON_ASSET","FQ3 2016","FQ3 2016","Currency=INR","Period=FQ","BEST_FPERIOD_OVERRIDE=FQ","FILING_STATUS=OR","EQY_CONSOLIDATED=Y","FA_ADJUSTED=GAAP","Sort=A","Dates=H","DateFormat=P","Fill=—","Direction=H","UseDPDF=Y")</f>
        <v>#NAME?</v>
      </c>
      <c r="H366" t="e">
        <f ca="1">_xll.BDH($C$353,"RETURN_ON_CAP","FQ3 2016","FQ3 2016","Currency=INR","Period=FQ","BEST_FPERIOD_OVERRIDE=FQ","FILING_STATUS=OR","EQY_CONSOLIDATED=Y","FA_ADJUSTED=GAAP","Sort=A","Dates=H","DateFormat=P","Fill=—","Direction=H","UseDPDF=Y")</f>
        <v>#NAME?</v>
      </c>
      <c r="I366" t="e">
        <f ca="1">_xll.BDH($C$353,"RETURN_ON_INV_CAPITAL","FQ3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66" t="e">
        <f ca="1">_xll.BDH($C$353,"EBITDA_TO_REVENUE","FQ3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366" t="e">
        <f ca="1">_xll.BDH($C$353,"OPER_MARGIN","FQ3 2016","FQ3 2016","Currency=INR","Period=FQ","BEST_FPERIOD_OVERRIDE=FQ","FILING_STATUS=OR","EQY_CONSOLIDATED=Y","FA_ADJUSTED=GAAP","Sort=A","Dates=H","DateFormat=P","Fill=—","Direction=H","UseDPDF=Y")</f>
        <v>#NAME?</v>
      </c>
      <c r="L366" t="e">
        <f ca="1">_xll.BDH($C$353,"INCREMENTAL_OPERATING_MARGIN","FQ3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66" t="e">
        <f ca="1">_xll.BDH($C$353,"PRETAX_INC_TO_NET_SALES","FQ3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66" t="e">
        <f ca="1">_xll.BDH($C$353,"INC_BEF_XO_ITEMS_TO_NET_SALES","FQ3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66" t="e">
        <f ca="1">_xll.BDH($C$353,"PROF_MARGIN","FQ3 2016","FQ3 2016","Currency=INR","Period=FQ","BEST_FPERIOD_OVERRIDE=FQ","FILING_STATUS=OR","EQY_CONSOLIDATED=Y","FA_ADJUSTED=GAAP","Sort=A","Dates=H","DateFormat=P","Fill=—","Direction=H","UseDPDF=Y")</f>
        <v>#NAME?</v>
      </c>
      <c r="P366" t="e">
        <f ca="1">_xll.BDH($C$353,"NET_INCOME_TO_COMMON_MARGIN","FQ3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66" t="e">
        <f ca="1">_xll.BDH($C$353,"EFF_TAX_RATE","FQ3 2016","FQ3 2016","Currency=INR","Period=FQ","BEST_FPERIOD_OVERRIDE=FQ","FILING_STATUS=OR","EQY_CONSOLIDATED=Y","FA_ADJUSTED=GAAP","Sort=A","Dates=H","DateFormat=P","Fill=—","Direction=H","UseDPDF=Y")</f>
        <v>#NAME?</v>
      </c>
      <c r="R366" t="e">
        <f ca="1">_xll.BDH($C$353,"DVD_PAYOUT_RATIO","FQ3 2016","FQ3 2016","Currency=INR","Period=FQ","BEST_FPERIOD_OVERRIDE=FQ","FILING_STATUS=OR","EQY_CONSOLIDATED=Y","FA_ADJUSTED=GAAP","Sort=A","Dates=H","DateFormat=P","Fill=—","Direction=H","UseDPDF=Y")</f>
        <v>#NAME?</v>
      </c>
      <c r="S366" t="e">
        <f ca="1">_xll.BDH($C$353,"SUSTAIN_GROWTH_RT","FQ3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366" s="1" t="e">
        <f ca="1">_xll.BDH($C$353,"SALES_GROWTH","FQ3 2016","FQ3 2016","Currency=INR","Period=FQ","BEST_FPERIOD_OVERRIDE=FQ","FILING_STATUS=OR","EQY_CONSOLIDATED=Y","FA_ADJUSTED=GAAP","Sort=A","Dates=H","DateFormat=P","Fill=—","Direction=H","UseDPDF=Y")</f>
        <v>#NAME?</v>
      </c>
      <c r="U366" s="1" t="e">
        <f ca="1">_xll.BDH($C$353,"EBITDA_GROWTH","FQ3 2016","FQ3 2016","Currency=INR","Period=FQ","BEST_FPERIOD_OVERRIDE=FQ","FILING_STATUS=OR","EQY_CONSOLIDATED=Y","FA_ADJUSTED=GAAP","Sort=A","Dates=H","DateFormat=P","Fill=—","Direction=H","UseDPDF=Y")</f>
        <v>#NAME?</v>
      </c>
      <c r="V366" s="1" t="e">
        <f ca="1">_xll.BDH($C$353,"OPER_INC_GROWTH","FQ3 2016","FQ3 2016","Currency=INR","Period=FQ","BEST_FPERIOD_OVERRIDE=FQ","FILING_STATUS=OR","EQY_CONSOLIDATED=Y","FA_ADJUSTED=GAAP","Sort=A","Dates=H","DateFormat=P","Fill=—","Direction=H","UseDPDF=Y")</f>
        <v>#NAME?</v>
      </c>
      <c r="W366" s="1" t="e">
        <f ca="1">_xll.BDH($C$353,"EARN_FOR_COM_GROWTH","FQ3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66" s="1" t="e">
        <f ca="1">_xll.BDH($C$353,"DILUTED_EPS_AFT_XO_ITEMS_GROWTH","FQ3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66" s="1" t="e">
        <f ca="1">_xll.BDH($C$353,"DIVIDEND_PER_SHARE_1_YEAR_GROWTH","FQ3 2016","FQ3 2016","Currency=INR","Period=FQ","BEST_FPERIOD_OVERRIDE=FQ","FILING_STATUS=OR","EQY_CONSOLIDATED=Y","Sort=A","Dates=H","DateFormat=P","Fill=—","Direction=H","UseDPDF=Y")</f>
        <v>#NAME?</v>
      </c>
      <c r="Z366" s="1" t="e">
        <f ca="1">_xll.BDH($C$353,"ACCOUNTS_RECEIVABLE_GROWTH","FQ3 2016","FQ3 2016","Currency=INR","Period=FQ","BEST_FPERIOD_OVERRIDE=FQ","FILING_STATUS=OR","EQY_CONSOLIDATED=Y","Sort=A","Dates=H","DateFormat=P","Fill=—","Direction=H","UseDPDF=Y")</f>
        <v>#NAME?</v>
      </c>
      <c r="AA366" s="1" t="e">
        <f ca="1">_xll.BDH($C$353,"INVENTORY_GROWTH","FQ3 2016","FQ3 2016","Currency=INR","Period=FQ","BEST_FPERIOD_OVERRIDE=FQ","FILING_STATUS=OR","EQY_CONSOLIDATED=Y","Sort=A","Dates=H","DateFormat=P","Fill=—","Direction=H","UseDPDF=Y")</f>
        <v>#NAME?</v>
      </c>
      <c r="AB366" s="1" t="e">
        <f ca="1">_xll.BDH($C$353,"NET_FIXED_ASSETS_1_YEAR_GROWTH","FQ3 2016","FQ3 2016","Currency=INR","Period=FQ","BEST_FPERIOD_OVERRIDE=FQ","FILING_STATUS=OR","EQY_CONSOLIDATED=Y","Sort=A","Dates=H","DateFormat=P","Fill=—","Direction=H","UseDPDF=Y")</f>
        <v>#NAME?</v>
      </c>
      <c r="AC366" s="1" t="e">
        <f ca="1">_xll.BDH($C$353,"ASSET_GROWTH","FQ3 2016","FQ3 2016","Currency=INR","Period=FQ","BEST_FPERIOD_OVERRIDE=FQ","FILING_STATUS=OR","EQY_CONSOLIDATED=Y","Sort=A","Dates=H","DateFormat=P","Fill=—","Direction=H","UseDPDF=Y")</f>
        <v>#NAME?</v>
      </c>
      <c r="AD366" s="1" t="e">
        <f ca="1">_xll.BDH($C$353,"MODIFIED_WORK_CAP_GROWTH","FQ3 2016","FQ3 2016","Currency=INR","Period=FQ","BEST_FPERIOD_OVERRIDE=FQ","FILING_STATUS=OR","EQY_CONSOLIDATED=Y","Sort=A","Dates=H","DateFormat=P","Fill=—","Direction=H","UseDPDF=Y")</f>
        <v>#NAME?</v>
      </c>
      <c r="AE366" s="1" t="e">
        <f ca="1">_xll.BDH($C$353,"WORK_CAP_GROWTH","FQ3 2016","FQ3 2016","Currency=INR","Period=FQ","BEST_FPERIOD_OVERRIDE=FQ","FILING_STATUS=OR","EQY_CONSOLIDATED=Y","Sort=A","Dates=H","DateFormat=P","Fill=—","Direction=H","UseDPDF=Y")</f>
        <v>#NAME?</v>
      </c>
      <c r="AF366" s="1" t="e">
        <f ca="1">_xll.BDH($C$353,"ACCOUNTS_PAYABLE_GROWTH_1YR","FQ3 2016","FQ3 2016","Currency=INR","Period=FQ","BEST_FPERIOD_OVERRIDE=FQ","FILING_STATUS=OR","EQY_CONSOLIDATED=Y","Sort=A","Dates=H","DateFormat=P","Fill=—","Direction=H","UseDPDF=Y")</f>
        <v>#NAME?</v>
      </c>
      <c r="AG366" s="1" t="e">
        <f ca="1">_xll.BDH($C$353,"SHORT_TERM_DEBT_1_YEAR_GROWTH","FQ3 2016","FQ3 2016","Currency=INR","Period=FQ","BEST_FPERIOD_OVERRIDE=FQ","FILING_STATUS=OR","EQY_CONSOLIDATED=Y","Sort=A","Dates=H","DateFormat=P","Fill=—","Direction=H","UseDPDF=Y")</f>
        <v>#NAME?</v>
      </c>
      <c r="AH366" s="1" t="e">
        <f ca="1">_xll.BDH($C$353,"TOTAL_DEBT_1_YEAR_GROWTH","FQ3 2016","FQ3 2016","Currency=INR","Period=FQ","BEST_FPERIOD_OVERRIDE=FQ","FILING_STATUS=OR","EQY_CONSOLIDATED=Y","Sort=A","Dates=H","DateFormat=P","Fill=—","Direction=H","UseDPDF=Y")</f>
        <v>#NAME?</v>
      </c>
      <c r="AI366" s="1" t="e">
        <f ca="1">_xll.BDH($C$353,"TOTAL_EQUITY_1_YEAR_GROWTH","FQ3 2016","FQ3 2016","Currency=INR","Period=FQ","BEST_FPERIOD_OVERRIDE=FQ","FILING_STATUS=OR","EQY_CONSOLIDATED=Y","Sort=A","Dates=H","DateFormat=P","Fill=—","Direction=H","UseDPDF=Y")</f>
        <v>#NAME?</v>
      </c>
      <c r="AJ366" s="1" t="e">
        <f ca="1">_xll.BDH($C$353,"GROWTH_IN_CAP","FQ3 2016","FQ3 2016","Currency=INR","Period=FQ","BEST_FPERIOD_OVERRIDE=FQ","FILING_STATUS=OR","EQY_CONSOLIDATED=Y","Sort=A","Dates=H","DateFormat=P","Fill=—","Direction=H","UseDPDF=Y")</f>
        <v>#NAME?</v>
      </c>
      <c r="AK366" s="1" t="e">
        <f ca="1">_xll.BDH($C$353,"BVPS_GROWTH","FQ3 2016","FQ3 2016","Currency=INR","Period=FQ","BEST_FPERIOD_OVERRIDE=FQ","FILING_STATUS=OR","EQY_CONSOLIDATED=Y","Sort=A","Dates=H","DateFormat=P","Fill=—","Direction=H","UseDPDF=Y")</f>
        <v>#NAME?</v>
      </c>
      <c r="AL366" s="1" t="e">
        <f ca="1">_xll.BDH($C$353,"CASH_FLOW_GROWTH","FQ3 2016","FQ3 2016","Currency=INR","Period=FQ","BEST_FPERIOD_OVERRIDE=FQ","FILING_STATUS=OR","EQY_CONSOLIDATED=Y","Sort=A","Dates=H","DateFormat=P","Fill=—","Direction=H","UseDPDF=Y")</f>
        <v>#NAME?</v>
      </c>
      <c r="AM366" s="1" t="e">
        <f ca="1">_xll.BDH($C$353,"GEO_GROW_NET_SALES","FQ3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66" s="1" t="e">
        <f ca="1">_xll.BDH($C$353,"GEO_GROW_EBITDA","FQ3 2016","FQ3 2016","Currency=INR","Period=FQ","BEST_FPERIOD_OVERRIDE=FQ","FILING_STATUS=OR","EQY_CONSOLIDATED=Y","FA_ADJUSTED=GAAP","Sort=A","Dates=H","DateFormat=P","Fill=—","Direction=H","UseDPDF=Y")</f>
        <v>#NAME?</v>
      </c>
      <c r="AO366" s="1" t="e">
        <f ca="1">_xll.BDH($C$353,"GEO_GROW_OPER_INC","FQ3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66" s="1" t="e">
        <f ca="1">_xll.BDH($C$353,"NET_INCOME_TO_COMMON_5_YR_GROWTH","FQ3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66" s="1" t="e">
        <f ca="1">_xll.BDH($C$353,"5Y_GEO_GROWTH_DILUTED_EPS","FQ3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66" s="1" t="e">
        <f ca="1">_xll.BDH($C$353,"GEO_GROW_DVD_PER_SH","FQ3 2016","FQ3 2016","Currency=INR","Period=FQ","BEST_FPERIOD_OVERRIDE=FQ","FILING_STATUS=OR","EQY_CONSOLIDATED=Y","Sort=A","Dates=H","DateFormat=P","Fill=—","Direction=H","UseDPDF=Y")</f>
        <v>#NAME?</v>
      </c>
      <c r="AS366" s="1" t="e">
        <f ca="1">_xll.BDH($C$353,"ACCOUNTS_RECEIVABLE_5_YR_GROWTH","FQ3 2016","FQ3 2016","Currency=INR","Period=FQ","BEST_FPERIOD_OVERRIDE=FQ","FILING_STATUS=OR","EQY_CONSOLIDATED=Y","Sort=A","Dates=H","DateFormat=P","Fill=—","Direction=H","UseDPDF=Y")</f>
        <v>#NAME?</v>
      </c>
      <c r="AT366" s="1" t="e">
        <f ca="1">_xll.BDH($C$353,"INVENTORY_5_YEAR_GROWTH","FQ3 2016","FQ3 2016","Currency=INR","Period=FQ","BEST_FPERIOD_OVERRIDE=FQ","FILING_STATUS=OR","EQY_CONSOLIDATED=Y","Sort=A","Dates=H","DateFormat=P","Fill=—","Direction=H","UseDPDF=Y")</f>
        <v>#NAME?</v>
      </c>
      <c r="AU366" s="1" t="e">
        <f ca="1">_xll.BDH($C$353,"NET_FIXED_ASSETS_5_YEAR_GROWTH","FQ3 2016","FQ3 2016","Currency=INR","Period=FQ","BEST_FPERIOD_OVERRIDE=FQ","FILING_STATUS=OR","EQY_CONSOLIDATED=Y","Sort=A","Dates=H","DateFormat=P","Fill=—","Direction=H","UseDPDF=Y")</f>
        <v>#NAME?</v>
      </c>
      <c r="AV366" s="1" t="e">
        <f ca="1">_xll.BDH($C$353,"GEO_GROW_TOT_ASSET","FQ3 2016","FQ3 2016","Currency=INR","Period=FQ","BEST_FPERIOD_OVERRIDE=FQ","FILING_STATUS=OR","EQY_CONSOLIDATED=Y","Sort=A","Dates=H","DateFormat=P","Fill=—","Direction=H","UseDPDF=Y")</f>
        <v>#NAME?</v>
      </c>
      <c r="AW366" s="1" t="e">
        <f ca="1">_xll.BDH($C$353,"MODIFIED_WORKING_CPTL_5YR_GRWTH","FQ3 2016","FQ3 2016","Currency=INR","Period=FQ","BEST_FPERIOD_OVERRIDE=FQ","FILING_STATUS=OR","EQY_CONSOLIDATED=Y","Sort=A","Dates=H","DateFormat=P","Fill=—","Direction=H","UseDPDF=Y")</f>
        <v>#NAME?</v>
      </c>
      <c r="AX366" s="1" t="e">
        <f ca="1">_xll.BDH($C$353,"WORKING_CAPITAL_5_YEAR_GROWTH","FQ3 2016","FQ3 2016","Currency=INR","Period=FQ","BEST_FPERIOD_OVERRIDE=FQ","FILING_STATUS=OR","EQY_CONSOLIDATED=Y","Sort=A","Dates=H","DateFormat=P","Fill=—","Direction=H","UseDPDF=Y")</f>
        <v>#NAME?</v>
      </c>
      <c r="AY366" s="1" t="e">
        <f ca="1">_xll.BDH($C$353,"ACCOUNTS_PAYABLE_5_YEAR_GROWTH","FQ3 2016","FQ3 2016","Currency=INR","Period=FQ","BEST_FPERIOD_OVERRIDE=FQ","FILING_STATUS=OR","EQY_CONSOLIDATED=Y","Sort=A","Dates=H","DateFormat=P","Fill=—","Direction=H","UseDPDF=Y")</f>
        <v>#NAME?</v>
      </c>
      <c r="AZ366" s="1" t="e">
        <f ca="1">_xll.BDH($C$353,"SHORT_TERM_DEBT_5_YEAR_GROWTH","FQ3 2016","FQ3 2016","Currency=INR","Period=FQ","BEST_FPERIOD_OVERRIDE=FQ","FILING_STATUS=OR","EQY_CONSOLIDATED=Y","Sort=A","Dates=H","DateFormat=P","Fill=—","Direction=H","UseDPDF=Y")</f>
        <v>#NAME?</v>
      </c>
      <c r="BA366" s="1" t="e">
        <f ca="1">_xll.BDH($C$353,"TOTAL_DEBT_5_YEAR_GROWTH","FQ3 2016","FQ3 2016","Currency=INR","Period=FQ","BEST_FPERIOD_OVERRIDE=FQ","FILING_STATUS=OR","EQY_CONSOLIDATED=Y","Sort=A","Dates=H","DateFormat=P","Fill=—","Direction=H","UseDPDF=Y")</f>
        <v>#NAME?</v>
      </c>
      <c r="BB366" s="1" t="e">
        <f ca="1">_xll.BDH($C$353,"GEO_GROW_TOT_SHRHLDR_EQY","FQ3 2016","FQ3 2016","Currency=INR","Period=FQ","BEST_FPERIOD_OVERRIDE=FQ","FILING_STATUS=OR","EQY_CONSOLIDATED=Y","Sort=A","Dates=H","DateFormat=P","Fill=—","Direction=H","UseDPDF=Y")</f>
        <v>#NAME?</v>
      </c>
      <c r="BC366" s="1" t="e">
        <f ca="1">_xll.BDH($C$353,"TOTAL_CAPITAL_5_YEAR_GROWTH","FQ3 2016","FQ3 2016","Currency=INR","Period=FQ","BEST_FPERIOD_OVERRIDE=FQ","FILING_STATUS=OR","EQY_CONSOLIDATED=Y","Sort=A","Dates=H","DateFormat=P","Fill=—","Direction=H","UseDPDF=Y")</f>
        <v>#NAME?</v>
      </c>
      <c r="BD366" s="1" t="e">
        <f ca="1">_xll.BDH($C$353,"GEO_GROW_BOOK_VAL","FQ3 2016","FQ3 2016","Currency=INR","Period=FQ","BEST_FPERIOD_OVERRIDE=FQ","FILING_STATUS=OR","EQY_CONSOLIDATED=Y","Sort=A","Dates=H","DateFormat=P","Fill=—","Direction=H","UseDPDF=Y")</f>
        <v>#NAME?</v>
      </c>
      <c r="BE366" s="1" t="e">
        <f ca="1">_xll.BDH($C$353,"GEO_GROW_CASH_OPER_ACT","FQ3 2016","FQ3 2016","Currency=INR","Period=FQ","BEST_FPERIOD_OVERRIDE=FQ","FILING_STATUS=OR","EQY_CONSOLIDATED=Y","Sort=A","Dates=H","DateFormat=P","Fill=—","Direction=H","UseDPDF=Y")</f>
        <v>#NAME?</v>
      </c>
      <c r="BF366" s="1" t="e">
        <f ca="1">_xll.BDH($C$353,"REVENUE_SEQUENTIAL_GROWTH","FQ3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66" s="1" t="e">
        <f ca="1">_xll.BDH($C$353,"EBITDA_SEQUENTIAL_GROWTH","FQ3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66" s="1" t="e">
        <f ca="1">_xll.BDH($C$353,"OPERATING_INCOME_SEQ_GROWTH","FQ3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66" s="1" t="e">
        <f ca="1">_xll.BDH($C$353,"NET_INCOME_TO_COMMON_SEQ_GROWTH","FQ3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66" s="1" t="e">
        <f ca="1">_xll.BDH($C$353,"EPS_DILUTED_SEQUENTIAL_GROWTH","FQ3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66" s="1" t="e">
        <f ca="1">_xll.BDH($C$353,"DPS_SEQUENTIAL_GROWTH","FQ3 2016","FQ3 2016","Currency=INR","Period=FQ","BEST_FPERIOD_OVERRIDE=FQ","FILING_STATUS=OR","EQY_CONSOLIDATED=Y","Sort=A","Dates=H","DateFormat=P","Fill=—","Direction=H","UseDPDF=Y")</f>
        <v>#NAME?</v>
      </c>
      <c r="BL366" s="1" t="e">
        <f ca="1">_xll.BDH($C$353,"ACCOUNTS_RECEIVABLE_SEQ_GROWTH","FQ3 2016","FQ3 2016","Currency=INR","Period=FQ","BEST_FPERIOD_OVERRIDE=FQ","FILING_STATUS=OR","EQY_CONSOLIDATED=Y","Sort=A","Dates=H","DateFormat=P","Fill=—","Direction=H","UseDPDF=Y")</f>
        <v>#NAME?</v>
      </c>
      <c r="BM366" s="1" t="e">
        <f ca="1">_xll.BDH($C$353,"INVENTORY_SEQUENTIAL_GROWTH","FQ3 2016","FQ3 2016","Currency=INR","Period=FQ","BEST_FPERIOD_OVERRIDE=FQ","FILING_STATUS=OR","EQY_CONSOLIDATED=Y","Sort=A","Dates=H","DateFormat=P","Fill=—","Direction=H","UseDPDF=Y")</f>
        <v>#NAME?</v>
      </c>
      <c r="BN366" s="1" t="e">
        <f ca="1">_xll.BDH($C$353,"FIXED_ASSETS_SEQUENTIAL_GROWTH","FQ3 2016","FQ3 2016","Currency=INR","Period=FQ","BEST_FPERIOD_OVERRIDE=FQ","FILING_STATUS=OR","EQY_CONSOLIDATED=Y","Sort=A","Dates=H","DateFormat=P","Fill=—","Direction=H","UseDPDF=Y")</f>
        <v>#NAME?</v>
      </c>
      <c r="BO366" s="1" t="e">
        <f ca="1">_xll.BDH($C$353,"TOTAL_ASSETS_SEQUENTIAL_GROWTH","FQ3 2016","FQ3 2016","Currency=INR","Period=FQ","BEST_FPERIOD_OVERRIDE=FQ","FILING_STATUS=OR","EQY_CONSOLIDATED=Y","Sort=A","Dates=H","DateFormat=P","Fill=—","Direction=H","UseDPDF=Y")</f>
        <v>#NAME?</v>
      </c>
      <c r="BP366" s="1" t="e">
        <f ca="1">_xll.BDH($C$353,"MODIFIED_WORKING_CPTL_SEQ_GRWTH","FQ3 2016","FQ3 2016","Currency=INR","Period=FQ","BEST_FPERIOD_OVERRIDE=FQ","FILING_STATUS=OR","EQY_CONSOLIDATED=Y","Sort=A","Dates=H","DateFormat=P","Fill=—","Direction=H","UseDPDF=Y")</f>
        <v>#NAME?</v>
      </c>
      <c r="BQ366" s="1" t="e">
        <f ca="1">_xll.BDH($C$353,"WORKING_CAPITAL_SEQ_GROWTH","FQ3 2016","FQ3 2016","Currency=INR","Period=FQ","BEST_FPERIOD_OVERRIDE=FQ","FILING_STATUS=OR","EQY_CONSOLIDATED=Y","Sort=A","Dates=H","DateFormat=P","Fill=—","Direction=H","UseDPDF=Y")</f>
        <v>#NAME?</v>
      </c>
      <c r="BR366" s="1" t="e">
        <f ca="1">_xll.BDH($C$353,"ACCOUNTS_PAYABLE_SEQ_GROWTH","FQ3 2016","FQ3 2016","Currency=INR","Period=FQ","BEST_FPERIOD_OVERRIDE=FQ","FILING_STATUS=OR","EQY_CONSOLIDATED=Y","Sort=A","Dates=H","DateFormat=P","Fill=—","Direction=H","UseDPDF=Y")</f>
        <v>#NAME?</v>
      </c>
      <c r="BS366" s="1" t="e">
        <f ca="1">_xll.BDH($C$353,"ST_DEBT_SEQUENTIAL_GROWTH","FQ3 2016","FQ3 2016","Currency=INR","Period=FQ","BEST_FPERIOD_OVERRIDE=FQ","FILING_STATUS=OR","EQY_CONSOLIDATED=Y","Sort=A","Dates=H","DateFormat=P","Fill=—","Direction=H","UseDPDF=Y")</f>
        <v>#NAME?</v>
      </c>
      <c r="BT366" s="1" t="e">
        <f ca="1">_xll.BDH($C$353,"TOTAL_DEBT_SEQUENTIAL_GROWTH","FQ3 2016","FQ3 2016","Currency=INR","Period=FQ","BEST_FPERIOD_OVERRIDE=FQ","FILING_STATUS=OR","EQY_CONSOLIDATED=Y","Sort=A","Dates=H","DateFormat=P","Fill=—","Direction=H","UseDPDF=Y")</f>
        <v>#NAME?</v>
      </c>
      <c r="BU366" s="1" t="e">
        <f ca="1">_xll.BDH($C$353,"TOTAL_EQUITY_SEQUENTIAL_GROWTH","FQ3 2016","FQ3 2016","Currency=INR","Period=FQ","BEST_FPERIOD_OVERRIDE=FQ","FILING_STATUS=OR","EQY_CONSOLIDATED=Y","Sort=A","Dates=H","DateFormat=P","Fill=—","Direction=H","UseDPDF=Y")</f>
        <v>#NAME?</v>
      </c>
      <c r="BV366" s="1" t="e">
        <f ca="1">_xll.BDH($C$353,"TOTAL_CAPITAL_SEQUENTIAL_GROWTH","FQ3 2016","FQ3 2016","Currency=INR","Period=FQ","BEST_FPERIOD_OVERRIDE=FQ","FILING_STATUS=OR","EQY_CONSOLIDATED=Y","Sort=A","Dates=H","DateFormat=P","Fill=—","Direction=H","UseDPDF=Y")</f>
        <v>#NAME?</v>
      </c>
      <c r="BW366" s="1" t="e">
        <f ca="1">_xll.BDH($C$353,"BPS_SEQUENTIAL_GROWTH","FQ3 2016","FQ3 2016","Currency=INR","Period=FQ","BEST_FPERIOD_OVERRIDE=FQ","FILING_STATUS=OR","EQY_CONSOLIDATED=Y","Sort=A","Dates=H","DateFormat=P","Fill=—","Direction=H","UseDPDF=Y")</f>
        <v>#NAME?</v>
      </c>
      <c r="BX366" s="1" t="e">
        <f ca="1">_xll.BDH($C$353,"CFO_SEQUENTIAL_GROWTH","FQ3 2016","FQ3 2016","Currency=INR","Period=FQ","BEST_FPERIOD_OVERRIDE=FQ","FILING_STATUS=OR","EQY_CONSOLIDATED=Y","Sort=A","Dates=H","DateFormat=P","Fill=—","Direction=H","UseDPDF=Y")</f>
        <v>#NAME?</v>
      </c>
      <c r="BY366" s="2" t="e">
        <f ca="1">_xll.BDH($C$353,"SHORT_AND_LONG_TERM_DEBT","FQ3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66" s="2" t="e">
        <f ca="1">_xll.BDH($C$353,"BS_ST_BORROW","FQ3 2016","FQ3 2016","Currency=INR","Period=FQ","BEST_FPERIOD_OVERRIDE=FQ","FILING_STATUS=OR","EQY_CONSOLIDATED=Y","SCALING_FORMAT=MLN","Sort=A","Dates=H","DateFormat=P","Fill=—","Direction=H","UseDPDF=Y")</f>
        <v>#NAME?</v>
      </c>
      <c r="CA366" s="2" t="e">
        <f ca="1">_xll.BDH($C$353,"BS_LT_BORROW","FQ3 2016","FQ3 2016","Currency=INR","Period=FQ","BEST_FPERIOD_OVERRIDE=FQ","FILING_STATUS=OR","EQY_CONSOLIDATED=Y","SCALING_FORMAT=MLN","Sort=A","Dates=H","DateFormat=P","Fill=—","Direction=H","UseDPDF=Y")</f>
        <v>#NAME?</v>
      </c>
      <c r="CB366" s="1" t="e">
        <f ca="1">_xll.BDH($C$353,"TOT_DEBT_TO_EBITDA","FQ3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66" s="1" t="e">
        <f ca="1">_xll.BDH($C$353,"NET_DEBT_TO_EBITDA","FQ3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66" s="1" t="e">
        <f ca="1">_xll.BDH($C$353,"TOTAL_DEBT_TO_EBIT","FQ3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66" s="1" t="e">
        <f ca="1">_xll.BDH($C$353,"NET_DEBT_TO_EBIT","FQ3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366" s="1" t="e">
        <f ca="1">_xll.BDH($C$353,"EBITDA_TO_INTEREST_EXPN","FQ3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66" s="1" t="e">
        <f ca="1">_xll.BDH($C$353,"COM_EQY_TO_TOT_ASSET","FQ3 2016","FQ3 2016","Currency=INR","Period=FQ","BEST_FPERIOD_OVERRIDE=FQ","FILING_STATUS=OR","EQY_CONSOLIDATED=Y","Sort=A","Dates=H","DateFormat=P","Fill=—","Direction=H","UseDPDF=Y")</f>
        <v>#NAME?</v>
      </c>
      <c r="CH366" s="1" t="e">
        <f ca="1">_xll.BDH($C$353,"LT_DEBT_TO_TOT_EQY","FQ3 2016","FQ3 2016","Currency=INR","Period=FQ","BEST_FPERIOD_OVERRIDE=FQ","FILING_STATUS=OR","EQY_CONSOLIDATED=Y","Sort=A","Dates=H","DateFormat=P","Fill=—","Direction=H","UseDPDF=Y")</f>
        <v>#NAME?</v>
      </c>
      <c r="CI366" s="1" t="e">
        <f ca="1">_xll.BDH($C$353,"LT_DEBT_TO_TOT_CAP","FQ3 2016","FQ3 2016","Currency=INR","Period=FQ","BEST_FPERIOD_OVERRIDE=FQ","FILING_STATUS=OR","EQY_CONSOLIDATED=Y","Sort=A","Dates=H","DateFormat=P","Fill=—","Direction=H","UseDPDF=Y")</f>
        <v>#NAME?</v>
      </c>
      <c r="CJ366" s="1" t="e">
        <f ca="1">_xll.BDH($C$353,"LT_DEBT_TO_TOT_ASSET","FQ3 2016","FQ3 2016","Currency=INR","Period=FQ","BEST_FPERIOD_OVERRIDE=FQ","FILING_STATUS=OR","EQY_CONSOLIDATED=Y","Sort=A","Dates=H","DateFormat=P","Fill=—","Direction=H","UseDPDF=Y")</f>
        <v>#NAME?</v>
      </c>
      <c r="CK366" s="1" t="e">
        <f ca="1">_xll.BDH($C$353,"TOT_DEBT_TO_TOT_EQY","FQ3 2016","FQ3 2016","Currency=INR","Period=FQ","BEST_FPERIOD_OVERRIDE=FQ","FILING_STATUS=OR","EQY_CONSOLIDATED=Y","Sort=A","Dates=H","DateFormat=P","Fill=—","Direction=H","UseDPDF=Y")</f>
        <v>#NAME?</v>
      </c>
      <c r="CL366" s="1" t="e">
        <f ca="1">_xll.BDH($C$353,"TOT_DEBT_TO_TOT_CAP","FQ3 2016","FQ3 2016","Currency=INR","Period=FQ","BEST_FPERIOD_OVERRIDE=FQ","FILING_STATUS=OR","EQY_CONSOLIDATED=Y","Sort=A","Dates=H","DateFormat=P","Fill=—","Direction=H","UseDPDF=Y")</f>
        <v>#NAME?</v>
      </c>
      <c r="CM366" s="1" t="e">
        <f ca="1">_xll.BDH($C$353,"TOT_DEBT_TO_TOT_ASSET","FQ3 2016","FQ3 2016","Currency=INR","Period=FQ","BEST_FPERIOD_OVERRIDE=FQ","FILING_STATUS=OR","EQY_CONSOLIDATED=Y","Sort=A","Dates=H","DateFormat=P","Fill=—","Direction=H","UseDPDF=Y")</f>
        <v>#NAME?</v>
      </c>
      <c r="CN366" s="1" t="e">
        <f ca="1">_xll.BDH($C$353,"NET_DEBT_TO_SHRHLDR_EQTY","FQ3 2016","FQ3 2016","Currency=INR","Period=FQ","BEST_FPERIOD_OVERRIDE=FQ","FILING_STATUS=OR","EQY_CONSOLIDATED=Y","Sort=A","Dates=H","DateFormat=P","Fill=—","Direction=H","UseDPDF=Y")</f>
        <v>#NAME?</v>
      </c>
      <c r="CO366" s="1" t="e">
        <f ca="1">_xll.BDH($C$353,"NET_DEBT_%_CAPITAL","FQ3 2016","FQ3 2016","Currency=INR","Period=FQ","BEST_FPERIOD_OVERRIDE=FQ","FILING_STATUS=OR","EQY_CONSOLIDATED=Y","Sort=A","Dates=H","DateFormat=P","Fill=—","Direction=H","UseDPDF=Y")</f>
        <v>#NAME?</v>
      </c>
      <c r="CP366" s="2" t="e">
        <f ca="1">_xll.BDH($C$353,"EBITDA","FQ3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66" s="2" t="e">
        <f ca="1">_xll.BDH($C$353,"EBITDA_AFTER_CAPEX","FQ3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66" s="2" t="e">
        <f ca="1">_xll.BDH($C$353,"IS_OPER_INC","FQ3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66" s="1" t="e">
        <f ca="1">_xll.BDH($C$353,"CASH_RATIO","FQ3 2016","FQ3 2016","Currency=INR","Period=FQ","BEST_FPERIOD_OVERRIDE=FQ","FILING_STATUS=OR","EQY_CONSOLIDATED=Y","Sort=A","Dates=H","DateFormat=P","Fill=—","Direction=H","UseDPDF=Y")</f>
        <v>#NAME?</v>
      </c>
      <c r="CT366" s="1" t="e">
        <f ca="1">_xll.BDH($C$353,"CUR_RATIO","FQ3 2016","FQ3 2016","Currency=INR","Period=FQ","BEST_FPERIOD_OVERRIDE=FQ","FILING_STATUS=OR","EQY_CONSOLIDATED=Y","Sort=A","Dates=H","DateFormat=P","Fill=—","Direction=H","UseDPDF=Y")</f>
        <v>#NAME?</v>
      </c>
      <c r="CU366" s="1" t="e">
        <f ca="1">_xll.BDH($C$353,"QUICK_RATIO","FQ3 2016","FQ3 2016","Currency=INR","Period=FQ","BEST_FPERIOD_OVERRIDE=FQ","FILING_STATUS=OR","EQY_CONSOLIDATED=Y","Sort=A","Dates=H","DateFormat=P","Fill=—","Direction=H","UseDPDF=Y")</f>
        <v>#NAME?</v>
      </c>
      <c r="CV366" s="1" t="e">
        <f ca="1">_xll.BDH($C$353,"ALTMAN_Z_SCORE","FQ3 2016","FQ3 2016","Currency=INR","Period=FQ","BEST_FPERIOD_OVERRIDE=FQ","FILING_STATUS=OR","EQY_CONSOLIDATED=Y","Sort=A","Dates=H","DateFormat=P","Fill=—","Direction=H","UseDPDF=Y")</f>
        <v>#NAME?</v>
      </c>
      <c r="CW366" s="3" t="e">
        <f ca="1">_xll.BDH($C$353,"ACCT_RCV_TURN","FQ3 2016","FQ3 2016","Currency=INR","Period=FQ","BEST_FPERIOD_OVERRIDE=FQ","FILING_STATUS=OR","EQY_CONSOLIDATED=Y","FA_ADJUSTED=GAAP","Sort=A","Dates=H","DateFormat=P","Fill=—","Direction=H","UseDPDF=Y")</f>
        <v>#NAME?</v>
      </c>
      <c r="CX366" s="1" t="e">
        <f ca="1">_xll.BDH($C$353,"ACCT_RCV_DAYS","FQ3 2016","FQ3 2016","Currency=INR","Period=FQ","BEST_FPERIOD_OVERRIDE=FQ","FILING_STATUS=OR","EQY_CONSOLIDATED=Y","FA_ADJUSTED=GAAP","Sort=A","Dates=H","DateFormat=P","Fill=—","Direction=H","UseDPDF=Y")</f>
        <v>#NAME?</v>
      </c>
      <c r="CY366" s="3" t="e">
        <f ca="1">_xll.BDH($C$353,"INVENT_TURN","FQ3 2016","FQ3 2016","Currency=INR","Period=FQ","BEST_FPERIOD_OVERRIDE=FQ","FILING_STATUS=OR","EQY_CONSOLIDATED=Y","FA_ADJUSTED=GAAP","Sort=A","Dates=H","DateFormat=P","Fill=—","Direction=H","UseDPDF=Y")</f>
        <v>#NAME?</v>
      </c>
      <c r="CZ366" s="1" t="e">
        <f ca="1">_xll.BDH($C$353,"INVENT_DAYS","FQ3 2016","FQ3 2016","Currency=INR","Period=FQ","BEST_FPERIOD_OVERRIDE=FQ","FILING_STATUS=OR","EQY_CONSOLIDATED=Y","FA_ADJUSTED=GAAP","Sort=A","Dates=H","DateFormat=P","Fill=—","Direction=H","UseDPDF=Y")</f>
        <v>#NAME?</v>
      </c>
      <c r="DA366" s="3" t="e">
        <f ca="1">_xll.BDH($C$353,"ACCOUNTS_PAYABLE_TURNOVER","FQ3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66" s="1" t="e">
        <f ca="1">_xll.BDH($C$353,"ACCOUNTS_PAYABLE_TURNOVER_DAYS","FQ3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66" s="3" t="e">
        <f ca="1">_xll.BDH($C$353,"CASH_CONVERSION_CYCLE","FQ3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66" s="3" t="e">
        <f ca="1">_xll.BDH($C$353,"INV_TO_CASH_DAYS","FQ3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366" s="4" t="e">
        <f ca="1">_xll.BDH($C$353,"BS_INVENTORIES","FQ3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366" s="2" t="e">
        <f ca="1">_xll.BDH($C$353,"INVTRY_RAW_MATERIALS","FQ3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66" s="2" t="e">
        <f ca="1">_xll.BDH($C$353,"INVTRY_IN_PROGRESS","FQ3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66" s="2" t="e">
        <f ca="1">_xll.BDH($C$353,"INVTRY_FINISHED_GOODS","FQ3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66" s="2" t="e">
        <f ca="1">_xll.BDH($C$353,"BS_OTHER_INV","FQ3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67" spans="1:113" x14ac:dyDescent="0.3">
      <c r="A367" s="6"/>
      <c r="B367" s="6"/>
      <c r="C367" s="6"/>
      <c r="D367" s="6"/>
      <c r="E367" t="s">
        <v>7</v>
      </c>
      <c r="F367" t="e">
        <f ca="1">_xll.BDH($C$353,"RETURN_COM_EQY","FQ4 2016","FQ4 2016","Currency=INR","Period=FQ","BEST_FPERIOD_OVERRIDE=FQ","FILING_STATUS=OR","EQY_CONSOLIDATED=Y","FA_ADJUSTED=GAAP","Sort=A","Dates=H","DateFormat=P","Fill=—","Direction=H","UseDPDF=Y")</f>
        <v>#NAME?</v>
      </c>
      <c r="G367" t="e">
        <f ca="1">_xll.BDH($C$353,"RETURN_ON_ASSET","FQ4 2016","FQ4 2016","Currency=INR","Period=FQ","BEST_FPERIOD_OVERRIDE=FQ","FILING_STATUS=OR","EQY_CONSOLIDATED=Y","FA_ADJUSTED=GAAP","Sort=A","Dates=H","DateFormat=P","Fill=—","Direction=H","UseDPDF=Y")</f>
        <v>#NAME?</v>
      </c>
      <c r="H367" t="e">
        <f ca="1">_xll.BDH($C$353,"RETURN_ON_CAP","FQ4 2016","FQ4 2016","Currency=INR","Period=FQ","BEST_FPERIOD_OVERRIDE=FQ","FILING_STATUS=OR","EQY_CONSOLIDATED=Y","FA_ADJUSTED=GAAP","Sort=A","Dates=H","DateFormat=P","Fill=—","Direction=H","UseDPDF=Y")</f>
        <v>#NAME?</v>
      </c>
      <c r="I367" t="e">
        <f ca="1">_xll.BDH($C$353,"RETURN_ON_INV_CAPITAL","FQ4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67" t="e">
        <f ca="1">_xll.BDH($C$353,"EBITDA_TO_REVENUE","FQ4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367" t="e">
        <f ca="1">_xll.BDH($C$353,"OPER_MARGIN","FQ4 2016","FQ4 2016","Currency=INR","Period=FQ","BEST_FPERIOD_OVERRIDE=FQ","FILING_STATUS=OR","EQY_CONSOLIDATED=Y","FA_ADJUSTED=GAAP","Sort=A","Dates=H","DateFormat=P","Fill=—","Direction=H","UseDPDF=Y")</f>
        <v>#NAME?</v>
      </c>
      <c r="L367" t="e">
        <f ca="1">_xll.BDH($C$353,"INCREMENTAL_OPERATING_MARGIN","FQ4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67" t="e">
        <f ca="1">_xll.BDH($C$353,"PRETAX_INC_TO_NET_SALES","FQ4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67" t="e">
        <f ca="1">_xll.BDH($C$353,"INC_BEF_XO_ITEMS_TO_NET_SALES","FQ4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67" t="e">
        <f ca="1">_xll.BDH($C$353,"PROF_MARGIN","FQ4 2016","FQ4 2016","Currency=INR","Period=FQ","BEST_FPERIOD_OVERRIDE=FQ","FILING_STATUS=OR","EQY_CONSOLIDATED=Y","FA_ADJUSTED=GAAP","Sort=A","Dates=H","DateFormat=P","Fill=—","Direction=H","UseDPDF=Y")</f>
        <v>#NAME?</v>
      </c>
      <c r="P367" t="e">
        <f ca="1">_xll.BDH($C$353,"NET_INCOME_TO_COMMON_MARGIN","FQ4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67" t="e">
        <f ca="1">_xll.BDH($C$353,"EFF_TAX_RATE","FQ4 2016","FQ4 2016","Currency=INR","Period=FQ","BEST_FPERIOD_OVERRIDE=FQ","FILING_STATUS=OR","EQY_CONSOLIDATED=Y","FA_ADJUSTED=GAAP","Sort=A","Dates=H","DateFormat=P","Fill=—","Direction=H","UseDPDF=Y")</f>
        <v>#NAME?</v>
      </c>
      <c r="R367" t="e">
        <f ca="1">_xll.BDH($C$353,"DVD_PAYOUT_RATIO","FQ4 2016","FQ4 2016","Currency=INR","Period=FQ","BEST_FPERIOD_OVERRIDE=FQ","FILING_STATUS=OR","EQY_CONSOLIDATED=Y","FA_ADJUSTED=GAAP","Sort=A","Dates=H","DateFormat=P","Fill=—","Direction=H","UseDPDF=Y")</f>
        <v>#NAME?</v>
      </c>
      <c r="S367" t="e">
        <f ca="1">_xll.BDH($C$353,"SUSTAIN_GROWTH_RT","FQ4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367" s="1" t="e">
        <f ca="1">_xll.BDH($C$353,"SALES_GROWTH","FQ4 2016","FQ4 2016","Currency=INR","Period=FQ","BEST_FPERIOD_OVERRIDE=FQ","FILING_STATUS=OR","EQY_CONSOLIDATED=Y","FA_ADJUSTED=GAAP","Sort=A","Dates=H","DateFormat=P","Fill=—","Direction=H","UseDPDF=Y")</f>
        <v>#NAME?</v>
      </c>
      <c r="U367" s="1" t="e">
        <f ca="1">_xll.BDH($C$353,"EBITDA_GROWTH","FQ4 2016","FQ4 2016","Currency=INR","Period=FQ","BEST_FPERIOD_OVERRIDE=FQ","FILING_STATUS=OR","EQY_CONSOLIDATED=Y","FA_ADJUSTED=GAAP","Sort=A","Dates=H","DateFormat=P","Fill=—","Direction=H","UseDPDF=Y")</f>
        <v>#NAME?</v>
      </c>
      <c r="V367" s="1" t="e">
        <f ca="1">_xll.BDH($C$353,"OPER_INC_GROWTH","FQ4 2016","FQ4 2016","Currency=INR","Period=FQ","BEST_FPERIOD_OVERRIDE=FQ","FILING_STATUS=OR","EQY_CONSOLIDATED=Y","FA_ADJUSTED=GAAP","Sort=A","Dates=H","DateFormat=P","Fill=—","Direction=H","UseDPDF=Y")</f>
        <v>#NAME?</v>
      </c>
      <c r="W367" s="1" t="e">
        <f ca="1">_xll.BDH($C$353,"EARN_FOR_COM_GROWTH","FQ4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67" s="1" t="e">
        <f ca="1">_xll.BDH($C$353,"DILUTED_EPS_AFT_XO_ITEMS_GROWTH","FQ4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67" s="1" t="e">
        <f ca="1">_xll.BDH($C$353,"DIVIDEND_PER_SHARE_1_YEAR_GROWTH","FQ4 2016","FQ4 2016","Currency=INR","Period=FQ","BEST_FPERIOD_OVERRIDE=FQ","FILING_STATUS=OR","EQY_CONSOLIDATED=Y","Sort=A","Dates=H","DateFormat=P","Fill=—","Direction=H","UseDPDF=Y")</f>
        <v>#NAME?</v>
      </c>
      <c r="Z367" s="1" t="e">
        <f ca="1">_xll.BDH($C$353,"ACCOUNTS_RECEIVABLE_GROWTH","FQ4 2016","FQ4 2016","Currency=INR","Period=FQ","BEST_FPERIOD_OVERRIDE=FQ","FILING_STATUS=OR","EQY_CONSOLIDATED=Y","Sort=A","Dates=H","DateFormat=P","Fill=—","Direction=H","UseDPDF=Y")</f>
        <v>#NAME?</v>
      </c>
      <c r="AA367" s="1" t="e">
        <f ca="1">_xll.BDH($C$353,"INVENTORY_GROWTH","FQ4 2016","FQ4 2016","Currency=INR","Period=FQ","BEST_FPERIOD_OVERRIDE=FQ","FILING_STATUS=OR","EQY_CONSOLIDATED=Y","Sort=A","Dates=H","DateFormat=P","Fill=—","Direction=H","UseDPDF=Y")</f>
        <v>#NAME?</v>
      </c>
      <c r="AB367" s="1" t="e">
        <f ca="1">_xll.BDH($C$353,"NET_FIXED_ASSETS_1_YEAR_GROWTH","FQ4 2016","FQ4 2016","Currency=INR","Period=FQ","BEST_FPERIOD_OVERRIDE=FQ","FILING_STATUS=OR","EQY_CONSOLIDATED=Y","Sort=A","Dates=H","DateFormat=P","Fill=—","Direction=H","UseDPDF=Y")</f>
        <v>#NAME?</v>
      </c>
      <c r="AC367" s="1" t="e">
        <f ca="1">_xll.BDH($C$353,"ASSET_GROWTH","FQ4 2016","FQ4 2016","Currency=INR","Period=FQ","BEST_FPERIOD_OVERRIDE=FQ","FILING_STATUS=OR","EQY_CONSOLIDATED=Y","Sort=A","Dates=H","DateFormat=P","Fill=—","Direction=H","UseDPDF=Y")</f>
        <v>#NAME?</v>
      </c>
      <c r="AD367" s="1" t="e">
        <f ca="1">_xll.BDH($C$353,"MODIFIED_WORK_CAP_GROWTH","FQ4 2016","FQ4 2016","Currency=INR","Period=FQ","BEST_FPERIOD_OVERRIDE=FQ","FILING_STATUS=OR","EQY_CONSOLIDATED=Y","Sort=A","Dates=H","DateFormat=P","Fill=—","Direction=H","UseDPDF=Y")</f>
        <v>#NAME?</v>
      </c>
      <c r="AE367" s="1" t="e">
        <f ca="1">_xll.BDH($C$353,"WORK_CAP_GROWTH","FQ4 2016","FQ4 2016","Currency=INR","Period=FQ","BEST_FPERIOD_OVERRIDE=FQ","FILING_STATUS=OR","EQY_CONSOLIDATED=Y","Sort=A","Dates=H","DateFormat=P","Fill=—","Direction=H","UseDPDF=Y")</f>
        <v>#NAME?</v>
      </c>
      <c r="AF367" s="1" t="e">
        <f ca="1">_xll.BDH($C$353,"ACCOUNTS_PAYABLE_GROWTH_1YR","FQ4 2016","FQ4 2016","Currency=INR","Period=FQ","BEST_FPERIOD_OVERRIDE=FQ","FILING_STATUS=OR","EQY_CONSOLIDATED=Y","Sort=A","Dates=H","DateFormat=P","Fill=—","Direction=H","UseDPDF=Y")</f>
        <v>#NAME?</v>
      </c>
      <c r="AG367" s="1" t="e">
        <f ca="1">_xll.BDH($C$353,"SHORT_TERM_DEBT_1_YEAR_GROWTH","FQ4 2016","FQ4 2016","Currency=INR","Period=FQ","BEST_FPERIOD_OVERRIDE=FQ","FILING_STATUS=OR","EQY_CONSOLIDATED=Y","Sort=A","Dates=H","DateFormat=P","Fill=—","Direction=H","UseDPDF=Y")</f>
        <v>#NAME?</v>
      </c>
      <c r="AH367" s="1" t="e">
        <f ca="1">_xll.BDH($C$353,"TOTAL_DEBT_1_YEAR_GROWTH","FQ4 2016","FQ4 2016","Currency=INR","Period=FQ","BEST_FPERIOD_OVERRIDE=FQ","FILING_STATUS=OR","EQY_CONSOLIDATED=Y","Sort=A","Dates=H","DateFormat=P","Fill=—","Direction=H","UseDPDF=Y")</f>
        <v>#NAME?</v>
      </c>
      <c r="AI367" s="1" t="e">
        <f ca="1">_xll.BDH($C$353,"TOTAL_EQUITY_1_YEAR_GROWTH","FQ4 2016","FQ4 2016","Currency=INR","Period=FQ","BEST_FPERIOD_OVERRIDE=FQ","FILING_STATUS=OR","EQY_CONSOLIDATED=Y","Sort=A","Dates=H","DateFormat=P","Fill=—","Direction=H","UseDPDF=Y")</f>
        <v>#NAME?</v>
      </c>
      <c r="AJ367" s="1" t="e">
        <f ca="1">_xll.BDH($C$353,"GROWTH_IN_CAP","FQ4 2016","FQ4 2016","Currency=INR","Period=FQ","BEST_FPERIOD_OVERRIDE=FQ","FILING_STATUS=OR","EQY_CONSOLIDATED=Y","Sort=A","Dates=H","DateFormat=P","Fill=—","Direction=H","UseDPDF=Y")</f>
        <v>#NAME?</v>
      </c>
      <c r="AK367" s="1" t="e">
        <f ca="1">_xll.BDH($C$353,"BVPS_GROWTH","FQ4 2016","FQ4 2016","Currency=INR","Period=FQ","BEST_FPERIOD_OVERRIDE=FQ","FILING_STATUS=OR","EQY_CONSOLIDATED=Y","Sort=A","Dates=H","DateFormat=P","Fill=—","Direction=H","UseDPDF=Y")</f>
        <v>#NAME?</v>
      </c>
      <c r="AL367" s="1" t="e">
        <f ca="1">_xll.BDH($C$353,"CASH_FLOW_GROWTH","FQ4 2016","FQ4 2016","Currency=INR","Period=FQ","BEST_FPERIOD_OVERRIDE=FQ","FILING_STATUS=OR","EQY_CONSOLIDATED=Y","Sort=A","Dates=H","DateFormat=P","Fill=—","Direction=H","UseDPDF=Y")</f>
        <v>#NAME?</v>
      </c>
      <c r="AM367" s="1" t="e">
        <f ca="1">_xll.BDH($C$353,"GEO_GROW_NET_SALES","FQ4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67" s="1" t="e">
        <f ca="1">_xll.BDH($C$353,"GEO_GROW_EBITDA","FQ4 2016","FQ4 2016","Currency=INR","Period=FQ","BEST_FPERIOD_OVERRIDE=FQ","FILING_STATUS=OR","EQY_CONSOLIDATED=Y","FA_ADJUSTED=GAAP","Sort=A","Dates=H","DateFormat=P","Fill=—","Direction=H","UseDPDF=Y")</f>
        <v>#NAME?</v>
      </c>
      <c r="AO367" s="1" t="e">
        <f ca="1">_xll.BDH($C$353,"GEO_GROW_OPER_INC","FQ4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67" s="1" t="e">
        <f ca="1">_xll.BDH($C$353,"NET_INCOME_TO_COMMON_5_YR_GROWTH","FQ4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67" s="1" t="e">
        <f ca="1">_xll.BDH($C$353,"5Y_GEO_GROWTH_DILUTED_EPS","FQ4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67" s="1" t="e">
        <f ca="1">_xll.BDH($C$353,"GEO_GROW_DVD_PER_SH","FQ4 2016","FQ4 2016","Currency=INR","Period=FQ","BEST_FPERIOD_OVERRIDE=FQ","FILING_STATUS=OR","EQY_CONSOLIDATED=Y","Sort=A","Dates=H","DateFormat=P","Fill=—","Direction=H","UseDPDF=Y")</f>
        <v>#NAME?</v>
      </c>
      <c r="AS367" s="1" t="e">
        <f ca="1">_xll.BDH($C$353,"ACCOUNTS_RECEIVABLE_5_YR_GROWTH","FQ4 2016","FQ4 2016","Currency=INR","Period=FQ","BEST_FPERIOD_OVERRIDE=FQ","FILING_STATUS=OR","EQY_CONSOLIDATED=Y","Sort=A","Dates=H","DateFormat=P","Fill=—","Direction=H","UseDPDF=Y")</f>
        <v>#NAME?</v>
      </c>
      <c r="AT367" s="1" t="e">
        <f ca="1">_xll.BDH($C$353,"INVENTORY_5_YEAR_GROWTH","FQ4 2016","FQ4 2016","Currency=INR","Period=FQ","BEST_FPERIOD_OVERRIDE=FQ","FILING_STATUS=OR","EQY_CONSOLIDATED=Y","Sort=A","Dates=H","DateFormat=P","Fill=—","Direction=H","UseDPDF=Y")</f>
        <v>#NAME?</v>
      </c>
      <c r="AU367" s="1" t="e">
        <f ca="1">_xll.BDH($C$353,"NET_FIXED_ASSETS_5_YEAR_GROWTH","FQ4 2016","FQ4 2016","Currency=INR","Period=FQ","BEST_FPERIOD_OVERRIDE=FQ","FILING_STATUS=OR","EQY_CONSOLIDATED=Y","Sort=A","Dates=H","DateFormat=P","Fill=—","Direction=H","UseDPDF=Y")</f>
        <v>#NAME?</v>
      </c>
      <c r="AV367" s="1" t="e">
        <f ca="1">_xll.BDH($C$353,"GEO_GROW_TOT_ASSET","FQ4 2016","FQ4 2016","Currency=INR","Period=FQ","BEST_FPERIOD_OVERRIDE=FQ","FILING_STATUS=OR","EQY_CONSOLIDATED=Y","Sort=A","Dates=H","DateFormat=P","Fill=—","Direction=H","UseDPDF=Y")</f>
        <v>#NAME?</v>
      </c>
      <c r="AW367" s="1" t="e">
        <f ca="1">_xll.BDH($C$353,"MODIFIED_WORKING_CPTL_5YR_GRWTH","FQ4 2016","FQ4 2016","Currency=INR","Period=FQ","BEST_FPERIOD_OVERRIDE=FQ","FILING_STATUS=OR","EQY_CONSOLIDATED=Y","Sort=A","Dates=H","DateFormat=P","Fill=—","Direction=H","UseDPDF=Y")</f>
        <v>#NAME?</v>
      </c>
      <c r="AX367" s="1" t="e">
        <f ca="1">_xll.BDH($C$353,"WORKING_CAPITAL_5_YEAR_GROWTH","FQ4 2016","FQ4 2016","Currency=INR","Period=FQ","BEST_FPERIOD_OVERRIDE=FQ","FILING_STATUS=OR","EQY_CONSOLIDATED=Y","Sort=A","Dates=H","DateFormat=P","Fill=—","Direction=H","UseDPDF=Y")</f>
        <v>#NAME?</v>
      </c>
      <c r="AY367" s="1" t="e">
        <f ca="1">_xll.BDH($C$353,"ACCOUNTS_PAYABLE_5_YEAR_GROWTH","FQ4 2016","FQ4 2016","Currency=INR","Period=FQ","BEST_FPERIOD_OVERRIDE=FQ","FILING_STATUS=OR","EQY_CONSOLIDATED=Y","Sort=A","Dates=H","DateFormat=P","Fill=—","Direction=H","UseDPDF=Y")</f>
        <v>#NAME?</v>
      </c>
      <c r="AZ367" s="1" t="e">
        <f ca="1">_xll.BDH($C$353,"SHORT_TERM_DEBT_5_YEAR_GROWTH","FQ4 2016","FQ4 2016","Currency=INR","Period=FQ","BEST_FPERIOD_OVERRIDE=FQ","FILING_STATUS=OR","EQY_CONSOLIDATED=Y","Sort=A","Dates=H","DateFormat=P","Fill=—","Direction=H","UseDPDF=Y")</f>
        <v>#NAME?</v>
      </c>
      <c r="BA367" s="1" t="e">
        <f ca="1">_xll.BDH($C$353,"TOTAL_DEBT_5_YEAR_GROWTH","FQ4 2016","FQ4 2016","Currency=INR","Period=FQ","BEST_FPERIOD_OVERRIDE=FQ","FILING_STATUS=OR","EQY_CONSOLIDATED=Y","Sort=A","Dates=H","DateFormat=P","Fill=—","Direction=H","UseDPDF=Y")</f>
        <v>#NAME?</v>
      </c>
      <c r="BB367" s="1" t="e">
        <f ca="1">_xll.BDH($C$353,"GEO_GROW_TOT_SHRHLDR_EQY","FQ4 2016","FQ4 2016","Currency=INR","Period=FQ","BEST_FPERIOD_OVERRIDE=FQ","FILING_STATUS=OR","EQY_CONSOLIDATED=Y","Sort=A","Dates=H","DateFormat=P","Fill=—","Direction=H","UseDPDF=Y")</f>
        <v>#NAME?</v>
      </c>
      <c r="BC367" s="1" t="e">
        <f ca="1">_xll.BDH($C$353,"TOTAL_CAPITAL_5_YEAR_GROWTH","FQ4 2016","FQ4 2016","Currency=INR","Period=FQ","BEST_FPERIOD_OVERRIDE=FQ","FILING_STATUS=OR","EQY_CONSOLIDATED=Y","Sort=A","Dates=H","DateFormat=P","Fill=—","Direction=H","UseDPDF=Y")</f>
        <v>#NAME?</v>
      </c>
      <c r="BD367" s="1" t="e">
        <f ca="1">_xll.BDH($C$353,"GEO_GROW_BOOK_VAL","FQ4 2016","FQ4 2016","Currency=INR","Period=FQ","BEST_FPERIOD_OVERRIDE=FQ","FILING_STATUS=OR","EQY_CONSOLIDATED=Y","Sort=A","Dates=H","DateFormat=P","Fill=—","Direction=H","UseDPDF=Y")</f>
        <v>#NAME?</v>
      </c>
      <c r="BE367" s="1" t="e">
        <f ca="1">_xll.BDH($C$353,"GEO_GROW_CASH_OPER_ACT","FQ4 2016","FQ4 2016","Currency=INR","Period=FQ","BEST_FPERIOD_OVERRIDE=FQ","FILING_STATUS=OR","EQY_CONSOLIDATED=Y","Sort=A","Dates=H","DateFormat=P","Fill=—","Direction=H","UseDPDF=Y")</f>
        <v>#NAME?</v>
      </c>
      <c r="BF367" s="1" t="e">
        <f ca="1">_xll.BDH($C$353,"REVENUE_SEQUENTIAL_GROWTH","FQ4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67" s="1" t="e">
        <f ca="1">_xll.BDH($C$353,"EBITDA_SEQUENTIAL_GROWTH","FQ4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67" s="1" t="e">
        <f ca="1">_xll.BDH($C$353,"OPERATING_INCOME_SEQ_GROWTH","FQ4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67" s="1" t="e">
        <f ca="1">_xll.BDH($C$353,"NET_INCOME_TO_COMMON_SEQ_GROWTH","FQ4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67" s="1" t="e">
        <f ca="1">_xll.BDH($C$353,"EPS_DILUTED_SEQUENTIAL_GROWTH","FQ4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67" s="1" t="e">
        <f ca="1">_xll.BDH($C$353,"DPS_SEQUENTIAL_GROWTH","FQ4 2016","FQ4 2016","Currency=INR","Period=FQ","BEST_FPERIOD_OVERRIDE=FQ","FILING_STATUS=OR","EQY_CONSOLIDATED=Y","Sort=A","Dates=H","DateFormat=P","Fill=—","Direction=H","UseDPDF=Y")</f>
        <v>#NAME?</v>
      </c>
      <c r="BL367" s="1" t="e">
        <f ca="1">_xll.BDH($C$353,"ACCOUNTS_RECEIVABLE_SEQ_GROWTH","FQ4 2016","FQ4 2016","Currency=INR","Period=FQ","BEST_FPERIOD_OVERRIDE=FQ","FILING_STATUS=OR","EQY_CONSOLIDATED=Y","Sort=A","Dates=H","DateFormat=P","Fill=—","Direction=H","UseDPDF=Y")</f>
        <v>#NAME?</v>
      </c>
      <c r="BM367" s="1" t="e">
        <f ca="1">_xll.BDH($C$353,"INVENTORY_SEQUENTIAL_GROWTH","FQ4 2016","FQ4 2016","Currency=INR","Period=FQ","BEST_FPERIOD_OVERRIDE=FQ","FILING_STATUS=OR","EQY_CONSOLIDATED=Y","Sort=A","Dates=H","DateFormat=P","Fill=—","Direction=H","UseDPDF=Y")</f>
        <v>#NAME?</v>
      </c>
      <c r="BN367" s="1" t="e">
        <f ca="1">_xll.BDH($C$353,"FIXED_ASSETS_SEQUENTIAL_GROWTH","FQ4 2016","FQ4 2016","Currency=INR","Period=FQ","BEST_FPERIOD_OVERRIDE=FQ","FILING_STATUS=OR","EQY_CONSOLIDATED=Y","Sort=A","Dates=H","DateFormat=P","Fill=—","Direction=H","UseDPDF=Y")</f>
        <v>#NAME?</v>
      </c>
      <c r="BO367" s="1" t="e">
        <f ca="1">_xll.BDH($C$353,"TOTAL_ASSETS_SEQUENTIAL_GROWTH","FQ4 2016","FQ4 2016","Currency=INR","Period=FQ","BEST_FPERIOD_OVERRIDE=FQ","FILING_STATUS=OR","EQY_CONSOLIDATED=Y","Sort=A","Dates=H","DateFormat=P","Fill=—","Direction=H","UseDPDF=Y")</f>
        <v>#NAME?</v>
      </c>
      <c r="BP367" s="1" t="e">
        <f ca="1">_xll.BDH($C$353,"MODIFIED_WORKING_CPTL_SEQ_GRWTH","FQ4 2016","FQ4 2016","Currency=INR","Period=FQ","BEST_FPERIOD_OVERRIDE=FQ","FILING_STATUS=OR","EQY_CONSOLIDATED=Y","Sort=A","Dates=H","DateFormat=P","Fill=—","Direction=H","UseDPDF=Y")</f>
        <v>#NAME?</v>
      </c>
      <c r="BQ367" s="1" t="e">
        <f ca="1">_xll.BDH($C$353,"WORKING_CAPITAL_SEQ_GROWTH","FQ4 2016","FQ4 2016","Currency=INR","Period=FQ","BEST_FPERIOD_OVERRIDE=FQ","FILING_STATUS=OR","EQY_CONSOLIDATED=Y","Sort=A","Dates=H","DateFormat=P","Fill=—","Direction=H","UseDPDF=Y")</f>
        <v>#NAME?</v>
      </c>
      <c r="BR367" s="1" t="e">
        <f ca="1">_xll.BDH($C$353,"ACCOUNTS_PAYABLE_SEQ_GROWTH","FQ4 2016","FQ4 2016","Currency=INR","Period=FQ","BEST_FPERIOD_OVERRIDE=FQ","FILING_STATUS=OR","EQY_CONSOLIDATED=Y","Sort=A","Dates=H","DateFormat=P","Fill=—","Direction=H","UseDPDF=Y")</f>
        <v>#NAME?</v>
      </c>
      <c r="BS367" s="1" t="e">
        <f ca="1">_xll.BDH($C$353,"ST_DEBT_SEQUENTIAL_GROWTH","FQ4 2016","FQ4 2016","Currency=INR","Period=FQ","BEST_FPERIOD_OVERRIDE=FQ","FILING_STATUS=OR","EQY_CONSOLIDATED=Y","Sort=A","Dates=H","DateFormat=P","Fill=—","Direction=H","UseDPDF=Y")</f>
        <v>#NAME?</v>
      </c>
      <c r="BT367" s="1" t="e">
        <f ca="1">_xll.BDH($C$353,"TOTAL_DEBT_SEQUENTIAL_GROWTH","FQ4 2016","FQ4 2016","Currency=INR","Period=FQ","BEST_FPERIOD_OVERRIDE=FQ","FILING_STATUS=OR","EQY_CONSOLIDATED=Y","Sort=A","Dates=H","DateFormat=P","Fill=—","Direction=H","UseDPDF=Y")</f>
        <v>#NAME?</v>
      </c>
      <c r="BU367" s="1" t="e">
        <f ca="1">_xll.BDH($C$353,"TOTAL_EQUITY_SEQUENTIAL_GROWTH","FQ4 2016","FQ4 2016","Currency=INR","Period=FQ","BEST_FPERIOD_OVERRIDE=FQ","FILING_STATUS=OR","EQY_CONSOLIDATED=Y","Sort=A","Dates=H","DateFormat=P","Fill=—","Direction=H","UseDPDF=Y")</f>
        <v>#NAME?</v>
      </c>
      <c r="BV367" s="1" t="e">
        <f ca="1">_xll.BDH($C$353,"TOTAL_CAPITAL_SEQUENTIAL_GROWTH","FQ4 2016","FQ4 2016","Currency=INR","Period=FQ","BEST_FPERIOD_OVERRIDE=FQ","FILING_STATUS=OR","EQY_CONSOLIDATED=Y","Sort=A","Dates=H","DateFormat=P","Fill=—","Direction=H","UseDPDF=Y")</f>
        <v>#NAME?</v>
      </c>
      <c r="BW367" s="1" t="e">
        <f ca="1">_xll.BDH($C$353,"BPS_SEQUENTIAL_GROWTH","FQ4 2016","FQ4 2016","Currency=INR","Period=FQ","BEST_FPERIOD_OVERRIDE=FQ","FILING_STATUS=OR","EQY_CONSOLIDATED=Y","Sort=A","Dates=H","DateFormat=P","Fill=—","Direction=H","UseDPDF=Y")</f>
        <v>#NAME?</v>
      </c>
      <c r="BX367" s="1" t="e">
        <f ca="1">_xll.BDH($C$353,"CFO_SEQUENTIAL_GROWTH","FQ4 2016","FQ4 2016","Currency=INR","Period=FQ","BEST_FPERIOD_OVERRIDE=FQ","FILING_STATUS=OR","EQY_CONSOLIDATED=Y","Sort=A","Dates=H","DateFormat=P","Fill=—","Direction=H","UseDPDF=Y")</f>
        <v>#NAME?</v>
      </c>
      <c r="BY367" s="2" t="e">
        <f ca="1">_xll.BDH($C$353,"SHORT_AND_LONG_TERM_DEBT","FQ4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67" s="2" t="e">
        <f ca="1">_xll.BDH($C$353,"BS_ST_BORROW","FQ4 2016","FQ4 2016","Currency=INR","Period=FQ","BEST_FPERIOD_OVERRIDE=FQ","FILING_STATUS=OR","EQY_CONSOLIDATED=Y","SCALING_FORMAT=MLN","Sort=A","Dates=H","DateFormat=P","Fill=—","Direction=H","UseDPDF=Y")</f>
        <v>#NAME?</v>
      </c>
      <c r="CA367" s="2" t="e">
        <f ca="1">_xll.BDH($C$353,"BS_LT_BORROW","FQ4 2016","FQ4 2016","Currency=INR","Period=FQ","BEST_FPERIOD_OVERRIDE=FQ","FILING_STATUS=OR","EQY_CONSOLIDATED=Y","SCALING_FORMAT=MLN","Sort=A","Dates=H","DateFormat=P","Fill=—","Direction=H","UseDPDF=Y")</f>
        <v>#NAME?</v>
      </c>
      <c r="CB367" s="1" t="e">
        <f ca="1">_xll.BDH($C$353,"TOT_DEBT_TO_EBITDA","FQ4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67" s="1" t="e">
        <f ca="1">_xll.BDH($C$353,"NET_DEBT_TO_EBITDA","FQ4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67" s="1" t="e">
        <f ca="1">_xll.BDH($C$353,"TOTAL_DEBT_TO_EBIT","FQ4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67" s="1" t="e">
        <f ca="1">_xll.BDH($C$353,"NET_DEBT_TO_EBIT","FQ4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367" s="1" t="e">
        <f ca="1">_xll.BDH($C$353,"EBITDA_TO_INTEREST_EXPN","FQ4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67" s="1" t="e">
        <f ca="1">_xll.BDH($C$353,"COM_EQY_TO_TOT_ASSET","FQ4 2016","FQ4 2016","Currency=INR","Period=FQ","BEST_FPERIOD_OVERRIDE=FQ","FILING_STATUS=OR","EQY_CONSOLIDATED=Y","Sort=A","Dates=H","DateFormat=P","Fill=—","Direction=H","UseDPDF=Y")</f>
        <v>#NAME?</v>
      </c>
      <c r="CH367" s="1" t="e">
        <f ca="1">_xll.BDH($C$353,"LT_DEBT_TO_TOT_EQY","FQ4 2016","FQ4 2016","Currency=INR","Period=FQ","BEST_FPERIOD_OVERRIDE=FQ","FILING_STATUS=OR","EQY_CONSOLIDATED=Y","Sort=A","Dates=H","DateFormat=P","Fill=—","Direction=H","UseDPDF=Y")</f>
        <v>#NAME?</v>
      </c>
      <c r="CI367" s="1" t="e">
        <f ca="1">_xll.BDH($C$353,"LT_DEBT_TO_TOT_CAP","FQ4 2016","FQ4 2016","Currency=INR","Period=FQ","BEST_FPERIOD_OVERRIDE=FQ","FILING_STATUS=OR","EQY_CONSOLIDATED=Y","Sort=A","Dates=H","DateFormat=P","Fill=—","Direction=H","UseDPDF=Y")</f>
        <v>#NAME?</v>
      </c>
      <c r="CJ367" s="1" t="e">
        <f ca="1">_xll.BDH($C$353,"LT_DEBT_TO_TOT_ASSET","FQ4 2016","FQ4 2016","Currency=INR","Period=FQ","BEST_FPERIOD_OVERRIDE=FQ","FILING_STATUS=OR","EQY_CONSOLIDATED=Y","Sort=A","Dates=H","DateFormat=P","Fill=—","Direction=H","UseDPDF=Y")</f>
        <v>#NAME?</v>
      </c>
      <c r="CK367" s="1" t="e">
        <f ca="1">_xll.BDH($C$353,"TOT_DEBT_TO_TOT_EQY","FQ4 2016","FQ4 2016","Currency=INR","Period=FQ","BEST_FPERIOD_OVERRIDE=FQ","FILING_STATUS=OR","EQY_CONSOLIDATED=Y","Sort=A","Dates=H","DateFormat=P","Fill=—","Direction=H","UseDPDF=Y")</f>
        <v>#NAME?</v>
      </c>
      <c r="CL367" s="1" t="e">
        <f ca="1">_xll.BDH($C$353,"TOT_DEBT_TO_TOT_CAP","FQ4 2016","FQ4 2016","Currency=INR","Period=FQ","BEST_FPERIOD_OVERRIDE=FQ","FILING_STATUS=OR","EQY_CONSOLIDATED=Y","Sort=A","Dates=H","DateFormat=P","Fill=—","Direction=H","UseDPDF=Y")</f>
        <v>#NAME?</v>
      </c>
      <c r="CM367" s="1" t="e">
        <f ca="1">_xll.BDH($C$353,"TOT_DEBT_TO_TOT_ASSET","FQ4 2016","FQ4 2016","Currency=INR","Period=FQ","BEST_FPERIOD_OVERRIDE=FQ","FILING_STATUS=OR","EQY_CONSOLIDATED=Y","Sort=A","Dates=H","DateFormat=P","Fill=—","Direction=H","UseDPDF=Y")</f>
        <v>#NAME?</v>
      </c>
      <c r="CN367" s="1" t="e">
        <f ca="1">_xll.BDH($C$353,"NET_DEBT_TO_SHRHLDR_EQTY","FQ4 2016","FQ4 2016","Currency=INR","Period=FQ","BEST_FPERIOD_OVERRIDE=FQ","FILING_STATUS=OR","EQY_CONSOLIDATED=Y","Sort=A","Dates=H","DateFormat=P","Fill=—","Direction=H","UseDPDF=Y")</f>
        <v>#NAME?</v>
      </c>
      <c r="CO367" s="1" t="e">
        <f ca="1">_xll.BDH($C$353,"NET_DEBT_%_CAPITAL","FQ4 2016","FQ4 2016","Currency=INR","Period=FQ","BEST_FPERIOD_OVERRIDE=FQ","FILING_STATUS=OR","EQY_CONSOLIDATED=Y","Sort=A","Dates=H","DateFormat=P","Fill=—","Direction=H","UseDPDF=Y")</f>
        <v>#NAME?</v>
      </c>
      <c r="CP367" s="2" t="e">
        <f ca="1">_xll.BDH($C$353,"EBITDA","FQ4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67" s="2" t="e">
        <f ca="1">_xll.BDH($C$353,"EBITDA_AFTER_CAPEX","FQ4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67" s="2" t="e">
        <f ca="1">_xll.BDH($C$353,"IS_OPER_INC","FQ4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67" s="1" t="e">
        <f ca="1">_xll.BDH($C$353,"CASH_RATIO","FQ4 2016","FQ4 2016","Currency=INR","Period=FQ","BEST_FPERIOD_OVERRIDE=FQ","FILING_STATUS=OR","EQY_CONSOLIDATED=Y","Sort=A","Dates=H","DateFormat=P","Fill=—","Direction=H","UseDPDF=Y")</f>
        <v>#NAME?</v>
      </c>
      <c r="CT367" s="1" t="e">
        <f ca="1">_xll.BDH($C$353,"CUR_RATIO","FQ4 2016","FQ4 2016","Currency=INR","Period=FQ","BEST_FPERIOD_OVERRIDE=FQ","FILING_STATUS=OR","EQY_CONSOLIDATED=Y","Sort=A","Dates=H","DateFormat=P","Fill=—","Direction=H","UseDPDF=Y")</f>
        <v>#NAME?</v>
      </c>
      <c r="CU367" s="1" t="e">
        <f ca="1">_xll.BDH($C$353,"QUICK_RATIO","FQ4 2016","FQ4 2016","Currency=INR","Period=FQ","BEST_FPERIOD_OVERRIDE=FQ","FILING_STATUS=OR","EQY_CONSOLIDATED=Y","Sort=A","Dates=H","DateFormat=P","Fill=—","Direction=H","UseDPDF=Y")</f>
        <v>#NAME?</v>
      </c>
      <c r="CV367" s="1" t="e">
        <f ca="1">_xll.BDH($C$353,"ALTMAN_Z_SCORE","FQ4 2016","FQ4 2016","Currency=INR","Period=FQ","BEST_FPERIOD_OVERRIDE=FQ","FILING_STATUS=OR","EQY_CONSOLIDATED=Y","Sort=A","Dates=H","DateFormat=P","Fill=—","Direction=H","UseDPDF=Y")</f>
        <v>#NAME?</v>
      </c>
      <c r="CW367" s="3" t="e">
        <f ca="1">_xll.BDH($C$353,"ACCT_RCV_TURN","FQ4 2016","FQ4 2016","Currency=INR","Period=FQ","BEST_FPERIOD_OVERRIDE=FQ","FILING_STATUS=OR","EQY_CONSOLIDATED=Y","FA_ADJUSTED=GAAP","Sort=A","Dates=H","DateFormat=P","Fill=—","Direction=H","UseDPDF=Y")</f>
        <v>#NAME?</v>
      </c>
      <c r="CX367" s="1" t="e">
        <f ca="1">_xll.BDH($C$353,"ACCT_RCV_DAYS","FQ4 2016","FQ4 2016","Currency=INR","Period=FQ","BEST_FPERIOD_OVERRIDE=FQ","FILING_STATUS=OR","EQY_CONSOLIDATED=Y","FA_ADJUSTED=GAAP","Sort=A","Dates=H","DateFormat=P","Fill=—","Direction=H","UseDPDF=Y")</f>
        <v>#NAME?</v>
      </c>
      <c r="CY367" s="3" t="e">
        <f ca="1">_xll.BDH($C$353,"INVENT_TURN","FQ4 2016","FQ4 2016","Currency=INR","Period=FQ","BEST_FPERIOD_OVERRIDE=FQ","FILING_STATUS=OR","EQY_CONSOLIDATED=Y","FA_ADJUSTED=GAAP","Sort=A","Dates=H","DateFormat=P","Fill=—","Direction=H","UseDPDF=Y")</f>
        <v>#NAME?</v>
      </c>
      <c r="CZ367" s="1" t="e">
        <f ca="1">_xll.BDH($C$353,"INVENT_DAYS","FQ4 2016","FQ4 2016","Currency=INR","Period=FQ","BEST_FPERIOD_OVERRIDE=FQ","FILING_STATUS=OR","EQY_CONSOLIDATED=Y","FA_ADJUSTED=GAAP","Sort=A","Dates=H","DateFormat=P","Fill=—","Direction=H","UseDPDF=Y")</f>
        <v>#NAME?</v>
      </c>
      <c r="DA367" s="3" t="e">
        <f ca="1">_xll.BDH($C$353,"ACCOUNTS_PAYABLE_TURNOVER","FQ4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67" s="1" t="e">
        <f ca="1">_xll.BDH($C$353,"ACCOUNTS_PAYABLE_TURNOVER_DAYS","FQ4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67" s="3" t="e">
        <f ca="1">_xll.BDH($C$353,"CASH_CONVERSION_CYCLE","FQ4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67" s="3" t="e">
        <f ca="1">_xll.BDH($C$353,"INV_TO_CASH_DAYS","FQ4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367" s="4" t="e">
        <f ca="1">_xll.BDH($C$353,"BS_INVENTORIES","FQ4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367" s="2" t="e">
        <f ca="1">_xll.BDH($C$353,"INVTRY_RAW_MATERIALS","FQ4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67" s="2" t="e">
        <f ca="1">_xll.BDH($C$353,"INVTRY_IN_PROGRESS","FQ4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67" s="2" t="e">
        <f ca="1">_xll.BDH($C$353,"INVTRY_FINISHED_GOODS","FQ4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67" s="2" t="e">
        <f ca="1">_xll.BDH($C$353,"BS_OTHER_INV","FQ4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68" spans="1:113" x14ac:dyDescent="0.3">
      <c r="A368" s="6"/>
      <c r="B368" s="6"/>
      <c r="C368" s="6"/>
      <c r="D368" s="6" t="s">
        <v>10</v>
      </c>
      <c r="E368" t="s">
        <v>3</v>
      </c>
      <c r="F368" t="e">
        <f ca="1">_xll.BDH($C$353,"RETURN_COM_EQY","FY 2017","FY 2017","Currency=INR","Period=FY","BEST_FPERIOD_OVERRIDE=FY","FILING_STATUS=OR","EQY_CONSOLIDATED=Y","FA_ADJUSTED=GAAP","Sort=A","Dates=H","DateFormat=P","Fill=—","Direction=H","UseDPDF=Y")</f>
        <v>#NAME?</v>
      </c>
      <c r="G368" t="e">
        <f ca="1">_xll.BDH($C$353,"RETURN_ON_ASSET","FY 2017","FY 2017","Currency=INR","Period=FY","BEST_FPERIOD_OVERRIDE=FY","FILING_STATUS=OR","EQY_CONSOLIDATED=Y","FA_ADJUSTED=GAAP","Sort=A","Dates=H","DateFormat=P","Fill=—","Direction=H","UseDPDF=Y")</f>
        <v>#NAME?</v>
      </c>
      <c r="H368" t="e">
        <f ca="1">_xll.BDH($C$353,"RETURN_ON_CAP","FY 2017","FY 2017","Currency=INR","Period=FY","BEST_FPERIOD_OVERRIDE=FY","FILING_STATUS=OR","EQY_CONSOLIDATED=Y","FA_ADJUSTED=GAAP","Sort=A","Dates=H","DateFormat=P","Fill=—","Direction=H","UseDPDF=Y")</f>
        <v>#NAME?</v>
      </c>
      <c r="I368" t="e">
        <f ca="1">_xll.BDH($C$353,"RETURN_ON_INV_CAPITAL","FY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68" t="e">
        <f ca="1">_xll.BDH($C$353,"EBITDA_TO_REVENUE","FY 2017","FY 2017","Currency=INR","Period=FY","BEST_FPERIOD_OVERRIDE=FY","FILING_STATUS=OR","EQY_CONSOLIDATED=Y","FA_ADJUSTED=GAAP","Sort=A","Dates=H","DateFormat=P","Fill=—","Direction=H","UseDPDF=Y")</f>
        <v>#NAME?</v>
      </c>
      <c r="K368" t="e">
        <f ca="1">_xll.BDH($C$353,"OPER_MARGIN","FY 2017","FY 2017","Currency=INR","Period=FY","BEST_FPERIOD_OVERRIDE=FY","FILING_STATUS=OR","EQY_CONSOLIDATED=Y","FA_ADJUSTED=GAAP","Sort=A","Dates=H","DateFormat=P","Fill=—","Direction=H","UseDPDF=Y")</f>
        <v>#NAME?</v>
      </c>
      <c r="L368" t="e">
        <f ca="1">_xll.BDH($C$353,"INCREMENTAL_OPERATING_MARGIN","FY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68" t="e">
        <f ca="1">_xll.BDH($C$353,"PRETAX_INC_TO_NET_SALES","FY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68" t="e">
        <f ca="1">_xll.BDH($C$353,"INC_BEF_XO_ITEMS_TO_NET_SALES","FY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68" t="e">
        <f ca="1">_xll.BDH($C$353,"PROF_MARGIN","FY 2017","FY 2017","Currency=INR","Period=FY","BEST_FPERIOD_OVERRIDE=FY","FILING_STATUS=OR","EQY_CONSOLIDATED=Y","FA_ADJUSTED=GAAP","Sort=A","Dates=H","DateFormat=P","Fill=—","Direction=H","UseDPDF=Y")</f>
        <v>#NAME?</v>
      </c>
      <c r="P368" t="e">
        <f ca="1">_xll.BDH($C$353,"NET_INCOME_TO_COMMON_MARGIN","FY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68" t="e">
        <f ca="1">_xll.BDH($C$353,"EFF_TAX_RATE","FY 2017","FY 2017","Currency=INR","Period=FY","BEST_FPERIOD_OVERRIDE=FY","FILING_STATUS=OR","EQY_CONSOLIDATED=Y","FA_ADJUSTED=GAAP","Sort=A","Dates=H","DateFormat=P","Fill=—","Direction=H","UseDPDF=Y")</f>
        <v>#NAME?</v>
      </c>
      <c r="R368" t="e">
        <f ca="1">_xll.BDH($C$353,"DVD_PAYOUT_RATIO","FY 2017","FY 2017","Currency=INR","Period=FY","BEST_FPERIOD_OVERRIDE=FY","FILING_STATUS=OR","EQY_CONSOLIDATED=Y","FA_ADJUSTED=GAAP","Sort=A","Dates=H","DateFormat=P","Fill=—","Direction=H","UseDPDF=Y")</f>
        <v>#NAME?</v>
      </c>
      <c r="S368" t="e">
        <f ca="1">_xll.BDH($C$353,"SUSTAIN_GROWTH_RT","FY 2017","FY 2017","Currency=INR","Period=FY","BEST_FPERIOD_OVERRIDE=FY","FILING_STATUS=OR","EQY_CONSOLIDATED=Y","FA_ADJUSTED=GAAP","Sort=A","Dates=H","DateFormat=P","Fill=—","Direction=H","UseDPDF=Y")</f>
        <v>#NAME?</v>
      </c>
      <c r="T368" s="1" t="e">
        <f ca="1">_xll.BDH($C$353,"SALES_GROWTH","FY 2017","FY 2017","Currency=INR","Period=FY","BEST_FPERIOD_OVERRIDE=FY","FILING_STATUS=OR","EQY_CONSOLIDATED=Y","FA_ADJUSTED=GAAP","Sort=A","Dates=H","DateFormat=P","Fill=—","Direction=H","UseDPDF=Y")</f>
        <v>#NAME?</v>
      </c>
      <c r="U368" s="1" t="e">
        <f ca="1">_xll.BDH($C$353,"EBITDA_GROWTH","FY 2017","FY 2017","Currency=INR","Period=FY","BEST_FPERIOD_OVERRIDE=FY","FILING_STATUS=OR","EQY_CONSOLIDATED=Y","FA_ADJUSTED=GAAP","Sort=A","Dates=H","DateFormat=P","Fill=—","Direction=H","UseDPDF=Y")</f>
        <v>#NAME?</v>
      </c>
      <c r="V368" s="1" t="e">
        <f ca="1">_xll.BDH($C$353,"OPER_INC_GROWTH","FY 2017","FY 2017","Currency=INR","Period=FY","BEST_FPERIOD_OVERRIDE=FY","FILING_STATUS=OR","EQY_CONSOLIDATED=Y","FA_ADJUSTED=GAAP","Sort=A","Dates=H","DateFormat=P","Fill=—","Direction=H","UseDPDF=Y")</f>
        <v>#NAME?</v>
      </c>
      <c r="W368" s="1" t="e">
        <f ca="1">_xll.BDH($C$353,"EARN_FOR_COM_GROWTH","FY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368" s="1" t="e">
        <f ca="1">_xll.BDH($C$353,"DILUTED_EPS_AFT_XO_ITEMS_GROWTH","FY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68" s="1" t="e">
        <f ca="1">_xll.BDH($C$353,"DIVIDEND_PER_SHARE_1_YEAR_GROWTH","FY 2017","FY 2017","Currency=INR","Period=FY","BEST_FPERIOD_OVERRIDE=FY","FILING_STATUS=OR","EQY_CONSOLIDATED=Y","Sort=A","Dates=H","DateFormat=P","Fill=—","Direction=H","UseDPDF=Y")</f>
        <v>#NAME?</v>
      </c>
      <c r="Z368" s="1" t="e">
        <f ca="1">_xll.BDH($C$353,"ACCOUNTS_RECEIVABLE_GROWTH","FY 2017","FY 2017","Currency=INR","Period=FY","BEST_FPERIOD_OVERRIDE=FY","FILING_STATUS=OR","EQY_CONSOLIDATED=Y","Sort=A","Dates=H","DateFormat=P","Fill=—","Direction=H","UseDPDF=Y")</f>
        <v>#NAME?</v>
      </c>
      <c r="AA368" s="1" t="e">
        <f ca="1">_xll.BDH($C$353,"INVENTORY_GROWTH","FY 2017","FY 2017","Currency=INR","Period=FY","BEST_FPERIOD_OVERRIDE=FY","FILING_STATUS=OR","EQY_CONSOLIDATED=Y","Sort=A","Dates=H","DateFormat=P","Fill=—","Direction=H","UseDPDF=Y")</f>
        <v>#NAME?</v>
      </c>
      <c r="AB368" s="1" t="e">
        <f ca="1">_xll.BDH($C$353,"NET_FIXED_ASSETS_1_YEAR_GROWTH","FY 2017","FY 2017","Currency=INR","Period=FY","BEST_FPERIOD_OVERRIDE=FY","FILING_STATUS=OR","EQY_CONSOLIDATED=Y","Sort=A","Dates=H","DateFormat=P","Fill=—","Direction=H","UseDPDF=Y")</f>
        <v>#NAME?</v>
      </c>
      <c r="AC368" s="1" t="e">
        <f ca="1">_xll.BDH($C$353,"ASSET_GROWTH","FY 2017","FY 2017","Currency=INR","Period=FY","BEST_FPERIOD_OVERRIDE=FY","FILING_STATUS=OR","EQY_CONSOLIDATED=Y","Sort=A","Dates=H","DateFormat=P","Fill=—","Direction=H","UseDPDF=Y")</f>
        <v>#NAME?</v>
      </c>
      <c r="AD368" s="1" t="e">
        <f ca="1">_xll.BDH($C$353,"MODIFIED_WORK_CAP_GROWTH","FY 2017","FY 2017","Currency=INR","Period=FY","BEST_FPERIOD_OVERRIDE=FY","FILING_STATUS=OR","EQY_CONSOLIDATED=Y","Sort=A","Dates=H","DateFormat=P","Fill=—","Direction=H","UseDPDF=Y")</f>
        <v>#NAME?</v>
      </c>
      <c r="AE368" s="1" t="e">
        <f ca="1">_xll.BDH($C$353,"WORK_CAP_GROWTH","FY 2017","FY 2017","Currency=INR","Period=FY","BEST_FPERIOD_OVERRIDE=FY","FILING_STATUS=OR","EQY_CONSOLIDATED=Y","Sort=A","Dates=H","DateFormat=P","Fill=—","Direction=H","UseDPDF=Y")</f>
        <v>#NAME?</v>
      </c>
      <c r="AF368" s="1" t="e">
        <f ca="1">_xll.BDH($C$353,"ACCOUNTS_PAYABLE_GROWTH_1YR","FY 2017","FY 2017","Currency=INR","Period=FY","BEST_FPERIOD_OVERRIDE=FY","FILING_STATUS=OR","EQY_CONSOLIDATED=Y","Sort=A","Dates=H","DateFormat=P","Fill=—","Direction=H","UseDPDF=Y")</f>
        <v>#NAME?</v>
      </c>
      <c r="AG368" s="1" t="e">
        <f ca="1">_xll.BDH($C$353,"SHORT_TERM_DEBT_1_YEAR_GROWTH","FY 2017","FY 2017","Currency=INR","Period=FY","BEST_FPERIOD_OVERRIDE=FY","FILING_STATUS=OR","EQY_CONSOLIDATED=Y","Sort=A","Dates=H","DateFormat=P","Fill=—","Direction=H","UseDPDF=Y")</f>
        <v>#NAME?</v>
      </c>
      <c r="AH368" s="1" t="e">
        <f ca="1">_xll.BDH($C$353,"TOTAL_DEBT_1_YEAR_GROWTH","FY 2017","FY 2017","Currency=INR","Period=FY","BEST_FPERIOD_OVERRIDE=FY","FILING_STATUS=OR","EQY_CONSOLIDATED=Y","Sort=A","Dates=H","DateFormat=P","Fill=—","Direction=H","UseDPDF=Y")</f>
        <v>#NAME?</v>
      </c>
      <c r="AI368" s="1" t="e">
        <f ca="1">_xll.BDH($C$353,"TOTAL_EQUITY_1_YEAR_GROWTH","FY 2017","FY 2017","Currency=INR","Period=FY","BEST_FPERIOD_OVERRIDE=FY","FILING_STATUS=OR","EQY_CONSOLIDATED=Y","Sort=A","Dates=H","DateFormat=P","Fill=—","Direction=H","UseDPDF=Y")</f>
        <v>#NAME?</v>
      </c>
      <c r="AJ368" s="1" t="e">
        <f ca="1">_xll.BDH($C$353,"GROWTH_IN_CAP","FY 2017","FY 2017","Currency=INR","Period=FY","BEST_FPERIOD_OVERRIDE=FY","FILING_STATUS=OR","EQY_CONSOLIDATED=Y","Sort=A","Dates=H","DateFormat=P","Fill=—","Direction=H","UseDPDF=Y")</f>
        <v>#NAME?</v>
      </c>
      <c r="AK368" s="1" t="e">
        <f ca="1">_xll.BDH($C$353,"BVPS_GROWTH","FY 2017","FY 2017","Currency=INR","Period=FY","BEST_FPERIOD_OVERRIDE=FY","FILING_STATUS=OR","EQY_CONSOLIDATED=Y","Sort=A","Dates=H","DateFormat=P","Fill=—","Direction=H","UseDPDF=Y")</f>
        <v>#NAME?</v>
      </c>
      <c r="AL368" s="1" t="e">
        <f ca="1">_xll.BDH($C$353,"CASH_FLOW_GROWTH","FY 2017","FY 2017","Currency=INR","Period=FY","BEST_FPERIOD_OVERRIDE=FY","FILING_STATUS=OR","EQY_CONSOLIDATED=Y","Sort=A","Dates=H","DateFormat=P","Fill=—","Direction=H","UseDPDF=Y")</f>
        <v>#NAME?</v>
      </c>
      <c r="AM368" s="1" t="e">
        <f ca="1">_xll.BDH($C$353,"GEO_GROW_NET_SALES","FY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368" s="1" t="e">
        <f ca="1">_xll.BDH($C$353,"GEO_GROW_EBITDA","FY 2017","FY 2017","Currency=INR","Period=FY","BEST_FPERIOD_OVERRIDE=FY","FILING_STATUS=OR","EQY_CONSOLIDATED=Y","FA_ADJUSTED=GAAP","Sort=A","Dates=H","DateFormat=P","Fill=—","Direction=H","UseDPDF=Y")</f>
        <v>#NAME?</v>
      </c>
      <c r="AO368" s="1" t="e">
        <f ca="1">_xll.BDH($C$353,"GEO_GROW_OPER_INC","FY 2017","FY 2017","Currency=INR","Period=FY","BEST_FPERIOD_OVERRIDE=FY","FILING_STATUS=OR","EQY_CONSOLIDATED=Y","FA_ADJUSTED=GAAP","Sort=A","Dates=H","DateFormat=P","Fill=—","Direction=H","UseDPDF=Y")</f>
        <v>#NAME?</v>
      </c>
      <c r="AP368" s="1" t="e">
        <f ca="1">_xll.BDH($C$353,"NET_INCOME_TO_COMMON_5_YR_GROWTH","FY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68" s="1" t="e">
        <f ca="1">_xll.BDH($C$353,"5Y_GEO_GROWTH_DILUTED_EPS","FY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68" s="1" t="e">
        <f ca="1">_xll.BDH($C$353,"GEO_GROW_DVD_PER_SH","FY 2017","FY 2017","Currency=INR","Period=FY","BEST_FPERIOD_OVERRIDE=FY","FILING_STATUS=OR","EQY_CONSOLIDATED=Y","Sort=A","Dates=H","DateFormat=P","Fill=—","Direction=H","UseDPDF=Y")</f>
        <v>#NAME?</v>
      </c>
      <c r="AS368" s="1" t="e">
        <f ca="1">_xll.BDH($C$353,"ACCOUNTS_RECEIVABLE_5_YR_GROWTH","FY 2017","FY 2017","Currency=INR","Period=FY","BEST_FPERIOD_OVERRIDE=FY","FILING_STATUS=OR","EQY_CONSOLIDATED=Y","Sort=A","Dates=H","DateFormat=P","Fill=—","Direction=H","UseDPDF=Y")</f>
        <v>#NAME?</v>
      </c>
      <c r="AT368" s="1" t="e">
        <f ca="1">_xll.BDH($C$353,"INVENTORY_5_YEAR_GROWTH","FY 2017","FY 2017","Currency=INR","Period=FY","BEST_FPERIOD_OVERRIDE=FY","FILING_STATUS=OR","EQY_CONSOLIDATED=Y","Sort=A","Dates=H","DateFormat=P","Fill=—","Direction=H","UseDPDF=Y")</f>
        <v>#NAME?</v>
      </c>
      <c r="AU368" s="1" t="e">
        <f ca="1">_xll.BDH($C$353,"NET_FIXED_ASSETS_5_YEAR_GROWTH","FY 2017","FY 2017","Currency=INR","Period=FY","BEST_FPERIOD_OVERRIDE=FY","FILING_STATUS=OR","EQY_CONSOLIDATED=Y","Sort=A","Dates=H","DateFormat=P","Fill=—","Direction=H","UseDPDF=Y")</f>
        <v>#NAME?</v>
      </c>
      <c r="AV368" s="1" t="e">
        <f ca="1">_xll.BDH($C$353,"GEO_GROW_TOT_ASSET","FY 2017","FY 2017","Currency=INR","Period=FY","BEST_FPERIOD_OVERRIDE=FY","FILING_STATUS=OR","EQY_CONSOLIDATED=Y","Sort=A","Dates=H","DateFormat=P","Fill=—","Direction=H","UseDPDF=Y")</f>
        <v>#NAME?</v>
      </c>
      <c r="AW368" s="1" t="e">
        <f ca="1">_xll.BDH($C$353,"MODIFIED_WORKING_CPTL_5YR_GRWTH","FY 2017","FY 2017","Currency=INR","Period=FY","BEST_FPERIOD_OVERRIDE=FY","FILING_STATUS=OR","EQY_CONSOLIDATED=Y","Sort=A","Dates=H","DateFormat=P","Fill=—","Direction=H","UseDPDF=Y")</f>
        <v>#NAME?</v>
      </c>
      <c r="AX368" s="1" t="e">
        <f ca="1">_xll.BDH($C$353,"WORKING_CAPITAL_5_YEAR_GROWTH","FY 2017","FY 2017","Currency=INR","Period=FY","BEST_FPERIOD_OVERRIDE=FY","FILING_STATUS=OR","EQY_CONSOLIDATED=Y","Sort=A","Dates=H","DateFormat=P","Fill=—","Direction=H","UseDPDF=Y")</f>
        <v>#NAME?</v>
      </c>
      <c r="AY368" s="1" t="e">
        <f ca="1">_xll.BDH($C$353,"ACCOUNTS_PAYABLE_5_YEAR_GROWTH","FY 2017","FY 2017","Currency=INR","Period=FY","BEST_FPERIOD_OVERRIDE=FY","FILING_STATUS=OR","EQY_CONSOLIDATED=Y","Sort=A","Dates=H","DateFormat=P","Fill=—","Direction=H","UseDPDF=Y")</f>
        <v>#NAME?</v>
      </c>
      <c r="AZ368" s="1" t="e">
        <f ca="1">_xll.BDH($C$353,"SHORT_TERM_DEBT_5_YEAR_GROWTH","FY 2017","FY 2017","Currency=INR","Period=FY","BEST_FPERIOD_OVERRIDE=FY","FILING_STATUS=OR","EQY_CONSOLIDATED=Y","Sort=A","Dates=H","DateFormat=P","Fill=—","Direction=H","UseDPDF=Y")</f>
        <v>#NAME?</v>
      </c>
      <c r="BA368" s="1" t="e">
        <f ca="1">_xll.BDH($C$353,"TOTAL_DEBT_5_YEAR_GROWTH","FY 2017","FY 2017","Currency=INR","Period=FY","BEST_FPERIOD_OVERRIDE=FY","FILING_STATUS=OR","EQY_CONSOLIDATED=Y","Sort=A","Dates=H","DateFormat=P","Fill=—","Direction=H","UseDPDF=Y")</f>
        <v>#NAME?</v>
      </c>
      <c r="BB368" s="1" t="e">
        <f ca="1">_xll.BDH($C$353,"GEO_GROW_TOT_SHRHLDR_EQY","FY 2017","FY 2017","Currency=INR","Period=FY","BEST_FPERIOD_OVERRIDE=FY","FILING_STATUS=OR","EQY_CONSOLIDATED=Y","Sort=A","Dates=H","DateFormat=P","Fill=—","Direction=H","UseDPDF=Y")</f>
        <v>#NAME?</v>
      </c>
      <c r="BC368" s="1" t="e">
        <f ca="1">_xll.BDH($C$353,"TOTAL_CAPITAL_5_YEAR_GROWTH","FY 2017","FY 2017","Currency=INR","Period=FY","BEST_FPERIOD_OVERRIDE=FY","FILING_STATUS=OR","EQY_CONSOLIDATED=Y","Sort=A","Dates=H","DateFormat=P","Fill=—","Direction=H","UseDPDF=Y")</f>
        <v>#NAME?</v>
      </c>
      <c r="BD368" s="1" t="e">
        <f ca="1">_xll.BDH($C$353,"GEO_GROW_BOOK_VAL","FY 2017","FY 2017","Currency=INR","Period=FY","BEST_FPERIOD_OVERRIDE=FY","FILING_STATUS=OR","EQY_CONSOLIDATED=Y","Sort=A","Dates=H","DateFormat=P","Fill=—","Direction=H","UseDPDF=Y")</f>
        <v>#NAME?</v>
      </c>
      <c r="BE368" s="1" t="e">
        <f ca="1">_xll.BDH($C$353,"GEO_GROW_CASH_OPER_ACT","FY 2017","FY 2017","Currency=INR","Period=FY","BEST_FPERIOD_OVERRIDE=FY","FILING_STATUS=OR","EQY_CONSOLIDATED=Y","Sort=A","Dates=H","DateFormat=P","Fill=—","Direction=H","UseDPDF=Y")</f>
        <v>#NAME?</v>
      </c>
      <c r="BF368" s="1" t="e">
        <f ca="1">_xll.BDH($C$353,"REVENUE_SEQUENTIAL_GROWTH","FY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68" s="1" t="e">
        <f ca="1">_xll.BDH($C$353,"EBITDA_SEQUENTIAL_GROWTH","FY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68" s="1" t="e">
        <f ca="1">_xll.BDH($C$353,"OPERATING_INCOME_SEQ_GROWTH","FY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68" s="1" t="e">
        <f ca="1">_xll.BDH($C$353,"NET_INCOME_TO_COMMON_SEQ_GROWTH","FY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68" s="1" t="e">
        <f ca="1">_xll.BDH($C$353,"EPS_DILUTED_SEQUENTIAL_GROWTH","FY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68" s="1" t="e">
        <f ca="1">_xll.BDH($C$353,"DPS_SEQUENTIAL_GROWTH","FY 2017","FY 2017","Currency=INR","Period=FY","BEST_FPERIOD_OVERRIDE=FY","FILING_STATUS=OR","EQY_CONSOLIDATED=Y","Sort=A","Dates=H","DateFormat=P","Fill=—","Direction=H","UseDPDF=Y")</f>
        <v>#NAME?</v>
      </c>
      <c r="BL368" s="1" t="e">
        <f ca="1">_xll.BDH($C$353,"ACCOUNTS_RECEIVABLE_SEQ_GROWTH","FY 2017","FY 2017","Currency=INR","Period=FY","BEST_FPERIOD_OVERRIDE=FY","FILING_STATUS=OR","EQY_CONSOLIDATED=Y","Sort=A","Dates=H","DateFormat=P","Fill=—","Direction=H","UseDPDF=Y")</f>
        <v>#NAME?</v>
      </c>
      <c r="BM368" s="1" t="e">
        <f ca="1">_xll.BDH($C$353,"INVENTORY_SEQUENTIAL_GROWTH","FY 2017","FY 2017","Currency=INR","Period=FY","BEST_FPERIOD_OVERRIDE=FY","FILING_STATUS=OR","EQY_CONSOLIDATED=Y","Sort=A","Dates=H","DateFormat=P","Fill=—","Direction=H","UseDPDF=Y")</f>
        <v>#NAME?</v>
      </c>
      <c r="BN368" s="1" t="e">
        <f ca="1">_xll.BDH($C$353,"FIXED_ASSETS_SEQUENTIAL_GROWTH","FY 2017","FY 2017","Currency=INR","Period=FY","BEST_FPERIOD_OVERRIDE=FY","FILING_STATUS=OR","EQY_CONSOLIDATED=Y","Sort=A","Dates=H","DateFormat=P","Fill=—","Direction=H","UseDPDF=Y")</f>
        <v>#NAME?</v>
      </c>
      <c r="BO368" s="1" t="e">
        <f ca="1">_xll.BDH($C$353,"TOTAL_ASSETS_SEQUENTIAL_GROWTH","FY 2017","FY 2017","Currency=INR","Period=FY","BEST_FPERIOD_OVERRIDE=FY","FILING_STATUS=OR","EQY_CONSOLIDATED=Y","Sort=A","Dates=H","DateFormat=P","Fill=—","Direction=H","UseDPDF=Y")</f>
        <v>#NAME?</v>
      </c>
      <c r="BP368" s="1" t="e">
        <f ca="1">_xll.BDH($C$353,"MODIFIED_WORKING_CPTL_SEQ_GRWTH","FY 2017","FY 2017","Currency=INR","Period=FY","BEST_FPERIOD_OVERRIDE=FY","FILING_STATUS=OR","EQY_CONSOLIDATED=Y","Sort=A","Dates=H","DateFormat=P","Fill=—","Direction=H","UseDPDF=Y")</f>
        <v>#NAME?</v>
      </c>
      <c r="BQ368" s="1" t="e">
        <f ca="1">_xll.BDH($C$353,"WORKING_CAPITAL_SEQ_GROWTH","FY 2017","FY 2017","Currency=INR","Period=FY","BEST_FPERIOD_OVERRIDE=FY","FILING_STATUS=OR","EQY_CONSOLIDATED=Y","Sort=A","Dates=H","DateFormat=P","Fill=—","Direction=H","UseDPDF=Y")</f>
        <v>#NAME?</v>
      </c>
      <c r="BR368" s="1" t="e">
        <f ca="1">_xll.BDH($C$353,"ACCOUNTS_PAYABLE_SEQ_GROWTH","FY 2017","FY 2017","Currency=INR","Period=FY","BEST_FPERIOD_OVERRIDE=FY","FILING_STATUS=OR","EQY_CONSOLIDATED=Y","Sort=A","Dates=H","DateFormat=P","Fill=—","Direction=H","UseDPDF=Y")</f>
        <v>#NAME?</v>
      </c>
      <c r="BS368" s="1" t="e">
        <f ca="1">_xll.BDH($C$353,"ST_DEBT_SEQUENTIAL_GROWTH","FY 2017","FY 2017","Currency=INR","Period=FY","BEST_FPERIOD_OVERRIDE=FY","FILING_STATUS=OR","EQY_CONSOLIDATED=Y","Sort=A","Dates=H","DateFormat=P","Fill=—","Direction=H","UseDPDF=Y")</f>
        <v>#NAME?</v>
      </c>
      <c r="BT368" s="1" t="e">
        <f ca="1">_xll.BDH($C$353,"TOTAL_DEBT_SEQUENTIAL_GROWTH","FY 2017","FY 2017","Currency=INR","Period=FY","BEST_FPERIOD_OVERRIDE=FY","FILING_STATUS=OR","EQY_CONSOLIDATED=Y","Sort=A","Dates=H","DateFormat=P","Fill=—","Direction=H","UseDPDF=Y")</f>
        <v>#NAME?</v>
      </c>
      <c r="BU368" s="1" t="e">
        <f ca="1">_xll.BDH($C$353,"TOTAL_EQUITY_SEQUENTIAL_GROWTH","FY 2017","FY 2017","Currency=INR","Period=FY","BEST_FPERIOD_OVERRIDE=FY","FILING_STATUS=OR","EQY_CONSOLIDATED=Y","Sort=A","Dates=H","DateFormat=P","Fill=—","Direction=H","UseDPDF=Y")</f>
        <v>#NAME?</v>
      </c>
      <c r="BV368" s="1" t="e">
        <f ca="1">_xll.BDH($C$353,"TOTAL_CAPITAL_SEQUENTIAL_GROWTH","FY 2017","FY 2017","Currency=INR","Period=FY","BEST_FPERIOD_OVERRIDE=FY","FILING_STATUS=OR","EQY_CONSOLIDATED=Y","Sort=A","Dates=H","DateFormat=P","Fill=—","Direction=H","UseDPDF=Y")</f>
        <v>#NAME?</v>
      </c>
      <c r="BW368" s="1" t="e">
        <f ca="1">_xll.BDH($C$353,"BPS_SEQUENTIAL_GROWTH","FY 2017","FY 2017","Currency=INR","Period=FY","BEST_FPERIOD_OVERRIDE=FY","FILING_STATUS=OR","EQY_CONSOLIDATED=Y","Sort=A","Dates=H","DateFormat=P","Fill=—","Direction=H","UseDPDF=Y")</f>
        <v>#NAME?</v>
      </c>
      <c r="BX368" s="1" t="e">
        <f ca="1">_xll.BDH($C$353,"CFO_SEQUENTIAL_GROWTH","FY 2017","FY 2017","Currency=INR","Period=FY","BEST_FPERIOD_OVERRIDE=FY","FILING_STATUS=OR","EQY_CONSOLIDATED=Y","Sort=A","Dates=H","DateFormat=P","Fill=—","Direction=H","UseDPDF=Y")</f>
        <v>#NAME?</v>
      </c>
      <c r="BY368" s="2" t="e">
        <f ca="1">_xll.BDH($C$353,"SHORT_AND_LONG_TERM_DEBT","FY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68" s="2" t="e">
        <f ca="1">_xll.BDH($C$353,"BS_ST_BORROW","FY 2017","FY 2017","Currency=INR","Period=FY","BEST_FPERIOD_OVERRIDE=FY","FILING_STATUS=OR","EQY_CONSOLIDATED=Y","SCALING_FORMAT=MLN","Sort=A","Dates=H","DateFormat=P","Fill=—","Direction=H","UseDPDF=Y")</f>
        <v>#NAME?</v>
      </c>
      <c r="CA368" s="2" t="e">
        <f ca="1">_xll.BDH($C$353,"BS_LT_BORROW","FY 2017","FY 2017","Currency=INR","Period=FY","BEST_FPERIOD_OVERRIDE=FY","FILING_STATUS=OR","EQY_CONSOLIDATED=Y","SCALING_FORMAT=MLN","Sort=A","Dates=H","DateFormat=P","Fill=—","Direction=H","UseDPDF=Y")</f>
        <v>#NAME?</v>
      </c>
      <c r="CB368" s="1" t="e">
        <f ca="1">_xll.BDH($C$353,"TOT_DEBT_TO_EBITDA","FY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368" s="1" t="e">
        <f ca="1">_xll.BDH($C$353,"NET_DEBT_TO_EBITDA","FY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368" s="1" t="e">
        <f ca="1">_xll.BDH($C$353,"TOTAL_DEBT_TO_EBIT","FY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368" s="1" t="e">
        <f ca="1">_xll.BDH($C$353,"NET_DEBT_TO_EBIT","FY 2017","FY 2017","Currency=INR","Period=FY","BEST_FPERIOD_OVERRIDE=FY","FILING_STATUS=OR","EQY_CONSOLIDATED=Y","FA_ADJUSTED=GAAP","Sort=A","Dates=H","DateFormat=P","Fill=—","Direction=H","UseDPDF=Y")</f>
        <v>#NAME?</v>
      </c>
      <c r="CF368" s="1" t="e">
        <f ca="1">_xll.BDH($C$353,"EBITDA_TO_INTEREST_EXPN","FY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68" s="1" t="e">
        <f ca="1">_xll.BDH($C$353,"COM_EQY_TO_TOT_ASSET","FY 2017","FY 2017","Currency=INR","Period=FY","BEST_FPERIOD_OVERRIDE=FY","FILING_STATUS=OR","EQY_CONSOLIDATED=Y","Sort=A","Dates=H","DateFormat=P","Fill=—","Direction=H","UseDPDF=Y")</f>
        <v>#NAME?</v>
      </c>
      <c r="CH368" s="1" t="e">
        <f ca="1">_xll.BDH($C$353,"LT_DEBT_TO_TOT_EQY","FY 2017","FY 2017","Currency=INR","Period=FY","BEST_FPERIOD_OVERRIDE=FY","FILING_STATUS=OR","EQY_CONSOLIDATED=Y","Sort=A","Dates=H","DateFormat=P","Fill=—","Direction=H","UseDPDF=Y")</f>
        <v>#NAME?</v>
      </c>
      <c r="CI368" s="1" t="e">
        <f ca="1">_xll.BDH($C$353,"LT_DEBT_TO_TOT_CAP","FY 2017","FY 2017","Currency=INR","Period=FY","BEST_FPERIOD_OVERRIDE=FY","FILING_STATUS=OR","EQY_CONSOLIDATED=Y","Sort=A","Dates=H","DateFormat=P","Fill=—","Direction=H","UseDPDF=Y")</f>
        <v>#NAME?</v>
      </c>
      <c r="CJ368" s="1" t="e">
        <f ca="1">_xll.BDH($C$353,"LT_DEBT_TO_TOT_ASSET","FY 2017","FY 2017","Currency=INR","Period=FY","BEST_FPERIOD_OVERRIDE=FY","FILING_STATUS=OR","EQY_CONSOLIDATED=Y","Sort=A","Dates=H","DateFormat=P","Fill=—","Direction=H","UseDPDF=Y")</f>
        <v>#NAME?</v>
      </c>
      <c r="CK368" s="1" t="e">
        <f ca="1">_xll.BDH($C$353,"TOT_DEBT_TO_TOT_EQY","FY 2017","FY 2017","Currency=INR","Period=FY","BEST_FPERIOD_OVERRIDE=FY","FILING_STATUS=OR","EQY_CONSOLIDATED=Y","Sort=A","Dates=H","DateFormat=P","Fill=—","Direction=H","UseDPDF=Y")</f>
        <v>#NAME?</v>
      </c>
      <c r="CL368" s="1" t="e">
        <f ca="1">_xll.BDH($C$353,"TOT_DEBT_TO_TOT_CAP","FY 2017","FY 2017","Currency=INR","Period=FY","BEST_FPERIOD_OVERRIDE=FY","FILING_STATUS=OR","EQY_CONSOLIDATED=Y","Sort=A","Dates=H","DateFormat=P","Fill=—","Direction=H","UseDPDF=Y")</f>
        <v>#NAME?</v>
      </c>
      <c r="CM368" s="1" t="e">
        <f ca="1">_xll.BDH($C$353,"TOT_DEBT_TO_TOT_ASSET","FY 2017","FY 2017","Currency=INR","Period=FY","BEST_FPERIOD_OVERRIDE=FY","FILING_STATUS=OR","EQY_CONSOLIDATED=Y","Sort=A","Dates=H","DateFormat=P","Fill=—","Direction=H","UseDPDF=Y")</f>
        <v>#NAME?</v>
      </c>
      <c r="CN368" s="1" t="e">
        <f ca="1">_xll.BDH($C$353,"NET_DEBT_TO_SHRHLDR_EQTY","FY 2017","FY 2017","Currency=INR","Period=FY","BEST_FPERIOD_OVERRIDE=FY","FILING_STATUS=OR","EQY_CONSOLIDATED=Y","Sort=A","Dates=H","DateFormat=P","Fill=—","Direction=H","UseDPDF=Y")</f>
        <v>#NAME?</v>
      </c>
      <c r="CO368" s="1" t="e">
        <f ca="1">_xll.BDH($C$353,"NET_DEBT_%_CAPITAL","FY 2017","FY 2017","Currency=INR","Period=FY","BEST_FPERIOD_OVERRIDE=FY","FILING_STATUS=OR","EQY_CONSOLIDATED=Y","Sort=A","Dates=H","DateFormat=P","Fill=—","Direction=H","UseDPDF=Y")</f>
        <v>#NAME?</v>
      </c>
      <c r="CP368" s="2" t="e">
        <f ca="1">_xll.BDH($C$353,"EBITDA","FY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68" s="2" t="e">
        <f ca="1">_xll.BDH($C$353,"EBITDA_AFTER_CAPEX","FY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68" s="2" t="e">
        <f ca="1">_xll.BDH($C$353,"IS_OPER_INC","FY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68" s="1" t="e">
        <f ca="1">_xll.BDH($C$353,"CASH_RATIO","FY 2017","FY 2017","Currency=INR","Period=FY","BEST_FPERIOD_OVERRIDE=FY","FILING_STATUS=OR","EQY_CONSOLIDATED=Y","Sort=A","Dates=H","DateFormat=P","Fill=—","Direction=H","UseDPDF=Y")</f>
        <v>#NAME?</v>
      </c>
      <c r="CT368" s="1" t="e">
        <f ca="1">_xll.BDH($C$353,"CUR_RATIO","FY 2017","FY 2017","Currency=INR","Period=FY","BEST_FPERIOD_OVERRIDE=FY","FILING_STATUS=OR","EQY_CONSOLIDATED=Y","Sort=A","Dates=H","DateFormat=P","Fill=—","Direction=H","UseDPDF=Y")</f>
        <v>#NAME?</v>
      </c>
      <c r="CU368" s="1" t="e">
        <f ca="1">_xll.BDH($C$353,"QUICK_RATIO","FY 2017","FY 2017","Currency=INR","Period=FY","BEST_FPERIOD_OVERRIDE=FY","FILING_STATUS=OR","EQY_CONSOLIDATED=Y","Sort=A","Dates=H","DateFormat=P","Fill=—","Direction=H","UseDPDF=Y")</f>
        <v>#NAME?</v>
      </c>
      <c r="CV368" s="1" t="e">
        <f ca="1">_xll.BDH($C$353,"ALTMAN_Z_SCORE","FY 2017","FY 2017","Currency=INR","Period=FY","BEST_FPERIOD_OVERRIDE=FY","FILING_STATUS=OR","EQY_CONSOLIDATED=Y","Sort=A","Dates=H","DateFormat=P","Fill=—","Direction=H","UseDPDF=Y")</f>
        <v>#NAME?</v>
      </c>
      <c r="CW368" s="3" t="e">
        <f ca="1">_xll.BDH($C$353,"ACCT_RCV_TURN","FY 2017","FY 2017","Currency=INR","Period=FY","BEST_FPERIOD_OVERRIDE=FY","FILING_STATUS=OR","EQY_CONSOLIDATED=Y","FA_ADJUSTED=GAAP","Sort=A","Dates=H","DateFormat=P","Fill=—","Direction=H","UseDPDF=Y")</f>
        <v>#NAME?</v>
      </c>
      <c r="CX368" s="1" t="e">
        <f ca="1">_xll.BDH($C$353,"ACCT_RCV_DAYS","FY 2017","FY 2017","Currency=INR","Period=FY","BEST_FPERIOD_OVERRIDE=FY","FILING_STATUS=OR","EQY_CONSOLIDATED=Y","FA_ADJUSTED=GAAP","Sort=A","Dates=H","DateFormat=P","Fill=—","Direction=H","UseDPDF=Y")</f>
        <v>#NAME?</v>
      </c>
      <c r="CY368" s="3" t="e">
        <f ca="1">_xll.BDH($C$353,"INVENT_TURN","FY 2017","FY 2017","Currency=INR","Period=FY","BEST_FPERIOD_OVERRIDE=FY","FILING_STATUS=OR","EQY_CONSOLIDATED=Y","FA_ADJUSTED=GAAP","Sort=A","Dates=H","DateFormat=P","Fill=—","Direction=H","UseDPDF=Y")</f>
        <v>#NAME?</v>
      </c>
      <c r="CZ368" s="1" t="e">
        <f ca="1">_xll.BDH($C$353,"INVENT_DAYS","FY 2017","FY 2017","Currency=INR","Period=FY","BEST_FPERIOD_OVERRIDE=FY","FILING_STATUS=OR","EQY_CONSOLIDATED=Y","FA_ADJUSTED=GAAP","Sort=A","Dates=H","DateFormat=P","Fill=—","Direction=H","UseDPDF=Y")</f>
        <v>#NAME?</v>
      </c>
      <c r="DA368" s="3" t="e">
        <f ca="1">_xll.BDH($C$353,"ACCOUNTS_PAYABLE_TURNOVER","FY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68" s="1" t="e">
        <f ca="1">_xll.BDH($C$353,"ACCOUNTS_PAYABLE_TURNOVER_DAYS","FY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68" s="3" t="e">
        <f ca="1">_xll.BDH($C$353,"CASH_CONVERSION_CYCLE","FY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68" s="3" t="e">
        <f ca="1">_xll.BDH($C$353,"INV_TO_CASH_DAYS","FY 2017","FY 2017","Currency=INR","Period=FY","BEST_FPERIOD_OVERRIDE=FY","FILING_STATUS=OR","EQY_CONSOLIDATED=Y","FA_ADJUSTED=GAAP","Sort=A","Dates=H","DateFormat=P","Fill=—","Direction=H","UseDPDF=Y")</f>
        <v>#NAME?</v>
      </c>
      <c r="DE368" s="4" t="e">
        <f ca="1">_xll.BDH($C$353,"BS_INVENTORIES","FY 2017","FY 2017","Currency=INR","Period=FY","BEST_FPERIOD_OVERRIDE=FY","FILING_STATUS=OR","EQY_CONSOLIDATED=Y","SCALING_FORMAT=MLN","Sort=A","Dates=H","DateFormat=P","Fill=—","Direction=H","UseDPDF=Y")</f>
        <v>#NAME?</v>
      </c>
      <c r="DF368" s="2" t="e">
        <f ca="1">_xll.BDH($C$353,"INVTRY_RAW_MATERIALS","FY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68" s="2" t="e">
        <f ca="1">_xll.BDH($C$353,"INVTRY_IN_PROGRESS","FY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68" s="2" t="e">
        <f ca="1">_xll.BDH($C$353,"INVTRY_FINISHED_GOODS","FY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68" s="2" t="e">
        <f ca="1">_xll.BDH($C$353,"BS_OTHER_INV","FY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69" spans="1:113" x14ac:dyDescent="0.3">
      <c r="A369" s="6"/>
      <c r="B369" s="6"/>
      <c r="C369" s="6"/>
      <c r="D369" s="6"/>
      <c r="E369" t="s">
        <v>4</v>
      </c>
      <c r="F369" t="e">
        <f ca="1">_xll.BDH($C$353,"RETURN_COM_EQY","FQ1 2017","FQ1 2017","Currency=INR","Period=FQ","BEST_FPERIOD_OVERRIDE=FQ","FILING_STATUS=OR","EQY_CONSOLIDATED=Y","FA_ADJUSTED=GAAP","Sort=A","Dates=H","DateFormat=P","Fill=—","Direction=H","UseDPDF=Y")</f>
        <v>#NAME?</v>
      </c>
      <c r="G369" t="e">
        <f ca="1">_xll.BDH($C$353,"RETURN_ON_ASSET","FQ1 2017","FQ1 2017","Currency=INR","Period=FQ","BEST_FPERIOD_OVERRIDE=FQ","FILING_STATUS=OR","EQY_CONSOLIDATED=Y","FA_ADJUSTED=GAAP","Sort=A","Dates=H","DateFormat=P","Fill=—","Direction=H","UseDPDF=Y")</f>
        <v>#NAME?</v>
      </c>
      <c r="H369" t="e">
        <f ca="1">_xll.BDH($C$353,"RETURN_ON_CAP","FQ1 2017","FQ1 2017","Currency=INR","Period=FQ","BEST_FPERIOD_OVERRIDE=FQ","FILING_STATUS=OR","EQY_CONSOLIDATED=Y","FA_ADJUSTED=GAAP","Sort=A","Dates=H","DateFormat=P","Fill=—","Direction=H","UseDPDF=Y")</f>
        <v>#NAME?</v>
      </c>
      <c r="I369" t="e">
        <f ca="1">_xll.BDH($C$353,"RETURN_ON_INV_CAPITAL","FQ1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69" t="e">
        <f ca="1">_xll.BDH($C$353,"EBITDA_TO_REVENUE","FQ1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369" t="e">
        <f ca="1">_xll.BDH($C$353,"OPER_MARGIN","FQ1 2017","FQ1 2017","Currency=INR","Period=FQ","BEST_FPERIOD_OVERRIDE=FQ","FILING_STATUS=OR","EQY_CONSOLIDATED=Y","FA_ADJUSTED=GAAP","Sort=A","Dates=H","DateFormat=P","Fill=—","Direction=H","UseDPDF=Y")</f>
        <v>#NAME?</v>
      </c>
      <c r="L369" t="e">
        <f ca="1">_xll.BDH($C$353,"INCREMENTAL_OPERATING_MARGIN","FQ1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69" t="e">
        <f ca="1">_xll.BDH($C$353,"PRETAX_INC_TO_NET_SALES","FQ1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69" t="e">
        <f ca="1">_xll.BDH($C$353,"INC_BEF_XO_ITEMS_TO_NET_SALES","FQ1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69" t="e">
        <f ca="1">_xll.BDH($C$353,"PROF_MARGIN","FQ1 2017","FQ1 2017","Currency=INR","Period=FQ","BEST_FPERIOD_OVERRIDE=FQ","FILING_STATUS=OR","EQY_CONSOLIDATED=Y","FA_ADJUSTED=GAAP","Sort=A","Dates=H","DateFormat=P","Fill=—","Direction=H","UseDPDF=Y")</f>
        <v>#NAME?</v>
      </c>
      <c r="P369" t="e">
        <f ca="1">_xll.BDH($C$353,"NET_INCOME_TO_COMMON_MARGIN","FQ1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69" t="e">
        <f ca="1">_xll.BDH($C$353,"EFF_TAX_RATE","FQ1 2017","FQ1 2017","Currency=INR","Period=FQ","BEST_FPERIOD_OVERRIDE=FQ","FILING_STATUS=OR","EQY_CONSOLIDATED=Y","FA_ADJUSTED=GAAP","Sort=A","Dates=H","DateFormat=P","Fill=—","Direction=H","UseDPDF=Y")</f>
        <v>#NAME?</v>
      </c>
      <c r="R369" t="e">
        <f ca="1">_xll.BDH($C$353,"DVD_PAYOUT_RATIO","FQ1 2017","FQ1 2017","Currency=INR","Period=FQ","BEST_FPERIOD_OVERRIDE=FQ","FILING_STATUS=OR","EQY_CONSOLIDATED=Y","FA_ADJUSTED=GAAP","Sort=A","Dates=H","DateFormat=P","Fill=—","Direction=H","UseDPDF=Y")</f>
        <v>#NAME?</v>
      </c>
      <c r="S369" t="e">
        <f ca="1">_xll.BDH($C$353,"SUSTAIN_GROWTH_RT","FQ1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369" s="1" t="e">
        <f ca="1">_xll.BDH($C$353,"SALES_GROWTH","FQ1 2017","FQ1 2017","Currency=INR","Period=FQ","BEST_FPERIOD_OVERRIDE=FQ","FILING_STATUS=OR","EQY_CONSOLIDATED=Y","FA_ADJUSTED=GAAP","Sort=A","Dates=H","DateFormat=P","Fill=—","Direction=H","UseDPDF=Y")</f>
        <v>#NAME?</v>
      </c>
      <c r="U369" s="1" t="e">
        <f ca="1">_xll.BDH($C$353,"EBITDA_GROWTH","FQ1 2017","FQ1 2017","Currency=INR","Period=FQ","BEST_FPERIOD_OVERRIDE=FQ","FILING_STATUS=OR","EQY_CONSOLIDATED=Y","FA_ADJUSTED=GAAP","Sort=A","Dates=H","DateFormat=P","Fill=—","Direction=H","UseDPDF=Y")</f>
        <v>#NAME?</v>
      </c>
      <c r="V369" s="1" t="e">
        <f ca="1">_xll.BDH($C$353,"OPER_INC_GROWTH","FQ1 2017","FQ1 2017","Currency=INR","Period=FQ","BEST_FPERIOD_OVERRIDE=FQ","FILING_STATUS=OR","EQY_CONSOLIDATED=Y","FA_ADJUSTED=GAAP","Sort=A","Dates=H","DateFormat=P","Fill=—","Direction=H","UseDPDF=Y")</f>
        <v>#NAME?</v>
      </c>
      <c r="W369" s="1" t="e">
        <f ca="1">_xll.BDH($C$353,"EARN_FOR_COM_GROWTH","FQ1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69" s="1" t="e">
        <f ca="1">_xll.BDH($C$353,"DILUTED_EPS_AFT_XO_ITEMS_GROWTH","FQ1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69" s="1" t="e">
        <f ca="1">_xll.BDH($C$353,"DIVIDEND_PER_SHARE_1_YEAR_GROWTH","FQ1 2017","FQ1 2017","Currency=INR","Period=FQ","BEST_FPERIOD_OVERRIDE=FQ","FILING_STATUS=OR","EQY_CONSOLIDATED=Y","Sort=A","Dates=H","DateFormat=P","Fill=—","Direction=H","UseDPDF=Y")</f>
        <v>#NAME?</v>
      </c>
      <c r="Z369" s="1" t="e">
        <f ca="1">_xll.BDH($C$353,"ACCOUNTS_RECEIVABLE_GROWTH","FQ1 2017","FQ1 2017","Currency=INR","Period=FQ","BEST_FPERIOD_OVERRIDE=FQ","FILING_STATUS=OR","EQY_CONSOLIDATED=Y","Sort=A","Dates=H","DateFormat=P","Fill=—","Direction=H","UseDPDF=Y")</f>
        <v>#NAME?</v>
      </c>
      <c r="AA369" s="1" t="e">
        <f ca="1">_xll.BDH($C$353,"INVENTORY_GROWTH","FQ1 2017","FQ1 2017","Currency=INR","Period=FQ","BEST_FPERIOD_OVERRIDE=FQ","FILING_STATUS=OR","EQY_CONSOLIDATED=Y","Sort=A","Dates=H","DateFormat=P","Fill=—","Direction=H","UseDPDF=Y")</f>
        <v>#NAME?</v>
      </c>
      <c r="AB369" s="1" t="e">
        <f ca="1">_xll.BDH($C$353,"NET_FIXED_ASSETS_1_YEAR_GROWTH","FQ1 2017","FQ1 2017","Currency=INR","Period=FQ","BEST_FPERIOD_OVERRIDE=FQ","FILING_STATUS=OR","EQY_CONSOLIDATED=Y","Sort=A","Dates=H","DateFormat=P","Fill=—","Direction=H","UseDPDF=Y")</f>
        <v>#NAME?</v>
      </c>
      <c r="AC369" s="1" t="e">
        <f ca="1">_xll.BDH($C$353,"ASSET_GROWTH","FQ1 2017","FQ1 2017","Currency=INR","Period=FQ","BEST_FPERIOD_OVERRIDE=FQ","FILING_STATUS=OR","EQY_CONSOLIDATED=Y","Sort=A","Dates=H","DateFormat=P","Fill=—","Direction=H","UseDPDF=Y")</f>
        <v>#NAME?</v>
      </c>
      <c r="AD369" s="1" t="e">
        <f ca="1">_xll.BDH($C$353,"MODIFIED_WORK_CAP_GROWTH","FQ1 2017","FQ1 2017","Currency=INR","Period=FQ","BEST_FPERIOD_OVERRIDE=FQ","FILING_STATUS=OR","EQY_CONSOLIDATED=Y","Sort=A","Dates=H","DateFormat=P","Fill=—","Direction=H","UseDPDF=Y")</f>
        <v>#NAME?</v>
      </c>
      <c r="AE369" s="1" t="e">
        <f ca="1">_xll.BDH($C$353,"WORK_CAP_GROWTH","FQ1 2017","FQ1 2017","Currency=INR","Period=FQ","BEST_FPERIOD_OVERRIDE=FQ","FILING_STATUS=OR","EQY_CONSOLIDATED=Y","Sort=A","Dates=H","DateFormat=P","Fill=—","Direction=H","UseDPDF=Y")</f>
        <v>#NAME?</v>
      </c>
      <c r="AF369" s="1" t="e">
        <f ca="1">_xll.BDH($C$353,"ACCOUNTS_PAYABLE_GROWTH_1YR","FQ1 2017","FQ1 2017","Currency=INR","Period=FQ","BEST_FPERIOD_OVERRIDE=FQ","FILING_STATUS=OR","EQY_CONSOLIDATED=Y","Sort=A","Dates=H","DateFormat=P","Fill=—","Direction=H","UseDPDF=Y")</f>
        <v>#NAME?</v>
      </c>
      <c r="AG369" s="1" t="e">
        <f ca="1">_xll.BDH($C$353,"SHORT_TERM_DEBT_1_YEAR_GROWTH","FQ1 2017","FQ1 2017","Currency=INR","Period=FQ","BEST_FPERIOD_OVERRIDE=FQ","FILING_STATUS=OR","EQY_CONSOLIDATED=Y","Sort=A","Dates=H","DateFormat=P","Fill=—","Direction=H","UseDPDF=Y")</f>
        <v>#NAME?</v>
      </c>
      <c r="AH369" s="1" t="e">
        <f ca="1">_xll.BDH($C$353,"TOTAL_DEBT_1_YEAR_GROWTH","FQ1 2017","FQ1 2017","Currency=INR","Period=FQ","BEST_FPERIOD_OVERRIDE=FQ","FILING_STATUS=OR","EQY_CONSOLIDATED=Y","Sort=A","Dates=H","DateFormat=P","Fill=—","Direction=H","UseDPDF=Y")</f>
        <v>#NAME?</v>
      </c>
      <c r="AI369" s="1" t="e">
        <f ca="1">_xll.BDH($C$353,"TOTAL_EQUITY_1_YEAR_GROWTH","FQ1 2017","FQ1 2017","Currency=INR","Period=FQ","BEST_FPERIOD_OVERRIDE=FQ","FILING_STATUS=OR","EQY_CONSOLIDATED=Y","Sort=A","Dates=H","DateFormat=P","Fill=—","Direction=H","UseDPDF=Y")</f>
        <v>#NAME?</v>
      </c>
      <c r="AJ369" s="1" t="e">
        <f ca="1">_xll.BDH($C$353,"GROWTH_IN_CAP","FQ1 2017","FQ1 2017","Currency=INR","Period=FQ","BEST_FPERIOD_OVERRIDE=FQ","FILING_STATUS=OR","EQY_CONSOLIDATED=Y","Sort=A","Dates=H","DateFormat=P","Fill=—","Direction=H","UseDPDF=Y")</f>
        <v>#NAME?</v>
      </c>
      <c r="AK369" s="1" t="e">
        <f ca="1">_xll.BDH($C$353,"BVPS_GROWTH","FQ1 2017","FQ1 2017","Currency=INR","Period=FQ","BEST_FPERIOD_OVERRIDE=FQ","FILING_STATUS=OR","EQY_CONSOLIDATED=Y","Sort=A","Dates=H","DateFormat=P","Fill=—","Direction=H","UseDPDF=Y")</f>
        <v>#NAME?</v>
      </c>
      <c r="AL369" s="1" t="e">
        <f ca="1">_xll.BDH($C$353,"CASH_FLOW_GROWTH","FQ1 2017","FQ1 2017","Currency=INR","Period=FQ","BEST_FPERIOD_OVERRIDE=FQ","FILING_STATUS=OR","EQY_CONSOLIDATED=Y","Sort=A","Dates=H","DateFormat=P","Fill=—","Direction=H","UseDPDF=Y")</f>
        <v>#NAME?</v>
      </c>
      <c r="AM369" s="1" t="e">
        <f ca="1">_xll.BDH($C$353,"GEO_GROW_NET_SALES","FQ1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69" s="1" t="e">
        <f ca="1">_xll.BDH($C$353,"GEO_GROW_EBITDA","FQ1 2017","FQ1 2017","Currency=INR","Period=FQ","BEST_FPERIOD_OVERRIDE=FQ","FILING_STATUS=OR","EQY_CONSOLIDATED=Y","FA_ADJUSTED=GAAP","Sort=A","Dates=H","DateFormat=P","Fill=—","Direction=H","UseDPDF=Y")</f>
        <v>#NAME?</v>
      </c>
      <c r="AO369" s="1" t="e">
        <f ca="1">_xll.BDH($C$353,"GEO_GROW_OPER_INC","FQ1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69" s="1" t="e">
        <f ca="1">_xll.BDH($C$353,"NET_INCOME_TO_COMMON_5_YR_GROWTH","FQ1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69" s="1" t="e">
        <f ca="1">_xll.BDH($C$353,"5Y_GEO_GROWTH_DILUTED_EPS","FQ1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69" s="1" t="e">
        <f ca="1">_xll.BDH($C$353,"GEO_GROW_DVD_PER_SH","FQ1 2017","FQ1 2017","Currency=INR","Period=FQ","BEST_FPERIOD_OVERRIDE=FQ","FILING_STATUS=OR","EQY_CONSOLIDATED=Y","Sort=A","Dates=H","DateFormat=P","Fill=—","Direction=H","UseDPDF=Y")</f>
        <v>#NAME?</v>
      </c>
      <c r="AS369" s="1" t="e">
        <f ca="1">_xll.BDH($C$353,"ACCOUNTS_RECEIVABLE_5_YR_GROWTH","FQ1 2017","FQ1 2017","Currency=INR","Period=FQ","BEST_FPERIOD_OVERRIDE=FQ","FILING_STATUS=OR","EQY_CONSOLIDATED=Y","Sort=A","Dates=H","DateFormat=P","Fill=—","Direction=H","UseDPDF=Y")</f>
        <v>#NAME?</v>
      </c>
      <c r="AT369" s="1" t="e">
        <f ca="1">_xll.BDH($C$353,"INVENTORY_5_YEAR_GROWTH","FQ1 2017","FQ1 2017","Currency=INR","Period=FQ","BEST_FPERIOD_OVERRIDE=FQ","FILING_STATUS=OR","EQY_CONSOLIDATED=Y","Sort=A","Dates=H","DateFormat=P","Fill=—","Direction=H","UseDPDF=Y")</f>
        <v>#NAME?</v>
      </c>
      <c r="AU369" s="1" t="e">
        <f ca="1">_xll.BDH($C$353,"NET_FIXED_ASSETS_5_YEAR_GROWTH","FQ1 2017","FQ1 2017","Currency=INR","Period=FQ","BEST_FPERIOD_OVERRIDE=FQ","FILING_STATUS=OR","EQY_CONSOLIDATED=Y","Sort=A","Dates=H","DateFormat=P","Fill=—","Direction=H","UseDPDF=Y")</f>
        <v>#NAME?</v>
      </c>
      <c r="AV369" s="1" t="e">
        <f ca="1">_xll.BDH($C$353,"GEO_GROW_TOT_ASSET","FQ1 2017","FQ1 2017","Currency=INR","Period=FQ","BEST_FPERIOD_OVERRIDE=FQ","FILING_STATUS=OR","EQY_CONSOLIDATED=Y","Sort=A","Dates=H","DateFormat=P","Fill=—","Direction=H","UseDPDF=Y")</f>
        <v>#NAME?</v>
      </c>
      <c r="AW369" s="1" t="e">
        <f ca="1">_xll.BDH($C$353,"MODIFIED_WORKING_CPTL_5YR_GRWTH","FQ1 2017","FQ1 2017","Currency=INR","Period=FQ","BEST_FPERIOD_OVERRIDE=FQ","FILING_STATUS=OR","EQY_CONSOLIDATED=Y","Sort=A","Dates=H","DateFormat=P","Fill=—","Direction=H","UseDPDF=Y")</f>
        <v>#NAME?</v>
      </c>
      <c r="AX369" s="1" t="e">
        <f ca="1">_xll.BDH($C$353,"WORKING_CAPITAL_5_YEAR_GROWTH","FQ1 2017","FQ1 2017","Currency=INR","Period=FQ","BEST_FPERIOD_OVERRIDE=FQ","FILING_STATUS=OR","EQY_CONSOLIDATED=Y","Sort=A","Dates=H","DateFormat=P","Fill=—","Direction=H","UseDPDF=Y")</f>
        <v>#NAME?</v>
      </c>
      <c r="AY369" s="1" t="e">
        <f ca="1">_xll.BDH($C$353,"ACCOUNTS_PAYABLE_5_YEAR_GROWTH","FQ1 2017","FQ1 2017","Currency=INR","Period=FQ","BEST_FPERIOD_OVERRIDE=FQ","FILING_STATUS=OR","EQY_CONSOLIDATED=Y","Sort=A","Dates=H","DateFormat=P","Fill=—","Direction=H","UseDPDF=Y")</f>
        <v>#NAME?</v>
      </c>
      <c r="AZ369" s="1" t="e">
        <f ca="1">_xll.BDH($C$353,"SHORT_TERM_DEBT_5_YEAR_GROWTH","FQ1 2017","FQ1 2017","Currency=INR","Period=FQ","BEST_FPERIOD_OVERRIDE=FQ","FILING_STATUS=OR","EQY_CONSOLIDATED=Y","Sort=A","Dates=H","DateFormat=P","Fill=—","Direction=H","UseDPDF=Y")</f>
        <v>#NAME?</v>
      </c>
      <c r="BA369" s="1" t="e">
        <f ca="1">_xll.BDH($C$353,"TOTAL_DEBT_5_YEAR_GROWTH","FQ1 2017","FQ1 2017","Currency=INR","Period=FQ","BEST_FPERIOD_OVERRIDE=FQ","FILING_STATUS=OR","EQY_CONSOLIDATED=Y","Sort=A","Dates=H","DateFormat=P","Fill=—","Direction=H","UseDPDF=Y")</f>
        <v>#NAME?</v>
      </c>
      <c r="BB369" s="1" t="e">
        <f ca="1">_xll.BDH($C$353,"GEO_GROW_TOT_SHRHLDR_EQY","FQ1 2017","FQ1 2017","Currency=INR","Period=FQ","BEST_FPERIOD_OVERRIDE=FQ","FILING_STATUS=OR","EQY_CONSOLIDATED=Y","Sort=A","Dates=H","DateFormat=P","Fill=—","Direction=H","UseDPDF=Y")</f>
        <v>#NAME?</v>
      </c>
      <c r="BC369" s="1" t="e">
        <f ca="1">_xll.BDH($C$353,"TOTAL_CAPITAL_5_YEAR_GROWTH","FQ1 2017","FQ1 2017","Currency=INR","Period=FQ","BEST_FPERIOD_OVERRIDE=FQ","FILING_STATUS=OR","EQY_CONSOLIDATED=Y","Sort=A","Dates=H","DateFormat=P","Fill=—","Direction=H","UseDPDF=Y")</f>
        <v>#NAME?</v>
      </c>
      <c r="BD369" s="1" t="e">
        <f ca="1">_xll.BDH($C$353,"GEO_GROW_BOOK_VAL","FQ1 2017","FQ1 2017","Currency=INR","Period=FQ","BEST_FPERIOD_OVERRIDE=FQ","FILING_STATUS=OR","EQY_CONSOLIDATED=Y","Sort=A","Dates=H","DateFormat=P","Fill=—","Direction=H","UseDPDF=Y")</f>
        <v>#NAME?</v>
      </c>
      <c r="BE369" s="1" t="e">
        <f ca="1">_xll.BDH($C$353,"GEO_GROW_CASH_OPER_ACT","FQ1 2017","FQ1 2017","Currency=INR","Period=FQ","BEST_FPERIOD_OVERRIDE=FQ","FILING_STATUS=OR","EQY_CONSOLIDATED=Y","Sort=A","Dates=H","DateFormat=P","Fill=—","Direction=H","UseDPDF=Y")</f>
        <v>#NAME?</v>
      </c>
      <c r="BF369" s="1" t="e">
        <f ca="1">_xll.BDH($C$353,"REVENUE_SEQUENTIAL_GROWTH","FQ1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69" s="1" t="e">
        <f ca="1">_xll.BDH($C$353,"EBITDA_SEQUENTIAL_GROWTH","FQ1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69" s="1" t="e">
        <f ca="1">_xll.BDH($C$353,"OPERATING_INCOME_SEQ_GROWTH","FQ1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69" s="1" t="e">
        <f ca="1">_xll.BDH($C$353,"NET_INCOME_TO_COMMON_SEQ_GROWTH","FQ1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69" s="1" t="e">
        <f ca="1">_xll.BDH($C$353,"EPS_DILUTED_SEQUENTIAL_GROWTH","FQ1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69" s="1" t="e">
        <f ca="1">_xll.BDH($C$353,"DPS_SEQUENTIAL_GROWTH","FQ1 2017","FQ1 2017","Currency=INR","Period=FQ","BEST_FPERIOD_OVERRIDE=FQ","FILING_STATUS=OR","EQY_CONSOLIDATED=Y","Sort=A","Dates=H","DateFormat=P","Fill=—","Direction=H","UseDPDF=Y")</f>
        <v>#NAME?</v>
      </c>
      <c r="BL369" s="1" t="e">
        <f ca="1">_xll.BDH($C$353,"ACCOUNTS_RECEIVABLE_SEQ_GROWTH","FQ1 2017","FQ1 2017","Currency=INR","Period=FQ","BEST_FPERIOD_OVERRIDE=FQ","FILING_STATUS=OR","EQY_CONSOLIDATED=Y","Sort=A","Dates=H","DateFormat=P","Fill=—","Direction=H","UseDPDF=Y")</f>
        <v>#NAME?</v>
      </c>
      <c r="BM369" s="1" t="e">
        <f ca="1">_xll.BDH($C$353,"INVENTORY_SEQUENTIAL_GROWTH","FQ1 2017","FQ1 2017","Currency=INR","Period=FQ","BEST_FPERIOD_OVERRIDE=FQ","FILING_STATUS=OR","EQY_CONSOLIDATED=Y","Sort=A","Dates=H","DateFormat=P","Fill=—","Direction=H","UseDPDF=Y")</f>
        <v>#NAME?</v>
      </c>
      <c r="BN369" s="1" t="e">
        <f ca="1">_xll.BDH($C$353,"FIXED_ASSETS_SEQUENTIAL_GROWTH","FQ1 2017","FQ1 2017","Currency=INR","Period=FQ","BEST_FPERIOD_OVERRIDE=FQ","FILING_STATUS=OR","EQY_CONSOLIDATED=Y","Sort=A","Dates=H","DateFormat=P","Fill=—","Direction=H","UseDPDF=Y")</f>
        <v>#NAME?</v>
      </c>
      <c r="BO369" s="1" t="e">
        <f ca="1">_xll.BDH($C$353,"TOTAL_ASSETS_SEQUENTIAL_GROWTH","FQ1 2017","FQ1 2017","Currency=INR","Period=FQ","BEST_FPERIOD_OVERRIDE=FQ","FILING_STATUS=OR","EQY_CONSOLIDATED=Y","Sort=A","Dates=H","DateFormat=P","Fill=—","Direction=H","UseDPDF=Y")</f>
        <v>#NAME?</v>
      </c>
      <c r="BP369" s="1" t="e">
        <f ca="1">_xll.BDH($C$353,"MODIFIED_WORKING_CPTL_SEQ_GRWTH","FQ1 2017","FQ1 2017","Currency=INR","Period=FQ","BEST_FPERIOD_OVERRIDE=FQ","FILING_STATUS=OR","EQY_CONSOLIDATED=Y","Sort=A","Dates=H","DateFormat=P","Fill=—","Direction=H","UseDPDF=Y")</f>
        <v>#NAME?</v>
      </c>
      <c r="BQ369" s="1" t="e">
        <f ca="1">_xll.BDH($C$353,"WORKING_CAPITAL_SEQ_GROWTH","FQ1 2017","FQ1 2017","Currency=INR","Period=FQ","BEST_FPERIOD_OVERRIDE=FQ","FILING_STATUS=OR","EQY_CONSOLIDATED=Y","Sort=A","Dates=H","DateFormat=P","Fill=—","Direction=H","UseDPDF=Y")</f>
        <v>#NAME?</v>
      </c>
      <c r="BR369" s="1" t="e">
        <f ca="1">_xll.BDH($C$353,"ACCOUNTS_PAYABLE_SEQ_GROWTH","FQ1 2017","FQ1 2017","Currency=INR","Period=FQ","BEST_FPERIOD_OVERRIDE=FQ","FILING_STATUS=OR","EQY_CONSOLIDATED=Y","Sort=A","Dates=H","DateFormat=P","Fill=—","Direction=H","UseDPDF=Y")</f>
        <v>#NAME?</v>
      </c>
      <c r="BS369" s="1" t="e">
        <f ca="1">_xll.BDH($C$353,"ST_DEBT_SEQUENTIAL_GROWTH","FQ1 2017","FQ1 2017","Currency=INR","Period=FQ","BEST_FPERIOD_OVERRIDE=FQ","FILING_STATUS=OR","EQY_CONSOLIDATED=Y","Sort=A","Dates=H","DateFormat=P","Fill=—","Direction=H","UseDPDF=Y")</f>
        <v>#NAME?</v>
      </c>
      <c r="BT369" s="1" t="e">
        <f ca="1">_xll.BDH($C$353,"TOTAL_DEBT_SEQUENTIAL_GROWTH","FQ1 2017","FQ1 2017","Currency=INR","Period=FQ","BEST_FPERIOD_OVERRIDE=FQ","FILING_STATUS=OR","EQY_CONSOLIDATED=Y","Sort=A","Dates=H","DateFormat=P","Fill=—","Direction=H","UseDPDF=Y")</f>
        <v>#NAME?</v>
      </c>
      <c r="BU369" s="1" t="e">
        <f ca="1">_xll.BDH($C$353,"TOTAL_EQUITY_SEQUENTIAL_GROWTH","FQ1 2017","FQ1 2017","Currency=INR","Period=FQ","BEST_FPERIOD_OVERRIDE=FQ","FILING_STATUS=OR","EQY_CONSOLIDATED=Y","Sort=A","Dates=H","DateFormat=P","Fill=—","Direction=H","UseDPDF=Y")</f>
        <v>#NAME?</v>
      </c>
      <c r="BV369" s="1" t="e">
        <f ca="1">_xll.BDH($C$353,"TOTAL_CAPITAL_SEQUENTIAL_GROWTH","FQ1 2017","FQ1 2017","Currency=INR","Period=FQ","BEST_FPERIOD_OVERRIDE=FQ","FILING_STATUS=OR","EQY_CONSOLIDATED=Y","Sort=A","Dates=H","DateFormat=P","Fill=—","Direction=H","UseDPDF=Y")</f>
        <v>#NAME?</v>
      </c>
      <c r="BW369" s="1" t="e">
        <f ca="1">_xll.BDH($C$353,"BPS_SEQUENTIAL_GROWTH","FQ1 2017","FQ1 2017","Currency=INR","Period=FQ","BEST_FPERIOD_OVERRIDE=FQ","FILING_STATUS=OR","EQY_CONSOLIDATED=Y","Sort=A","Dates=H","DateFormat=P","Fill=—","Direction=H","UseDPDF=Y")</f>
        <v>#NAME?</v>
      </c>
      <c r="BX369" s="1" t="e">
        <f ca="1">_xll.BDH($C$353,"CFO_SEQUENTIAL_GROWTH","FQ1 2017","FQ1 2017","Currency=INR","Period=FQ","BEST_FPERIOD_OVERRIDE=FQ","FILING_STATUS=OR","EQY_CONSOLIDATED=Y","Sort=A","Dates=H","DateFormat=P","Fill=—","Direction=H","UseDPDF=Y")</f>
        <v>#NAME?</v>
      </c>
      <c r="BY369" s="2" t="e">
        <f ca="1">_xll.BDH($C$353,"SHORT_AND_LONG_TERM_DEBT","FQ1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69" s="2" t="e">
        <f ca="1">_xll.BDH($C$353,"BS_ST_BORROW","FQ1 2017","FQ1 2017","Currency=INR","Period=FQ","BEST_FPERIOD_OVERRIDE=FQ","FILING_STATUS=OR","EQY_CONSOLIDATED=Y","SCALING_FORMAT=MLN","Sort=A","Dates=H","DateFormat=P","Fill=—","Direction=H","UseDPDF=Y")</f>
        <v>#NAME?</v>
      </c>
      <c r="CA369" s="2" t="e">
        <f ca="1">_xll.BDH($C$353,"BS_LT_BORROW","FQ1 2017","FQ1 2017","Currency=INR","Period=FQ","BEST_FPERIOD_OVERRIDE=FQ","FILING_STATUS=OR","EQY_CONSOLIDATED=Y","SCALING_FORMAT=MLN","Sort=A","Dates=H","DateFormat=P","Fill=—","Direction=H","UseDPDF=Y")</f>
        <v>#NAME?</v>
      </c>
      <c r="CB369" s="1" t="e">
        <f ca="1">_xll.BDH($C$353,"TOT_DEBT_TO_EBITDA","FQ1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69" s="1" t="e">
        <f ca="1">_xll.BDH($C$353,"NET_DEBT_TO_EBITDA","FQ1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69" s="1" t="e">
        <f ca="1">_xll.BDH($C$353,"TOTAL_DEBT_TO_EBIT","FQ1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69" s="1" t="e">
        <f ca="1">_xll.BDH($C$353,"NET_DEBT_TO_EBIT","FQ1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369" s="1" t="e">
        <f ca="1">_xll.BDH($C$353,"EBITDA_TO_INTEREST_EXPN","FQ1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69" s="1" t="e">
        <f ca="1">_xll.BDH($C$353,"COM_EQY_TO_TOT_ASSET","FQ1 2017","FQ1 2017","Currency=INR","Period=FQ","BEST_FPERIOD_OVERRIDE=FQ","FILING_STATUS=OR","EQY_CONSOLIDATED=Y","Sort=A","Dates=H","DateFormat=P","Fill=—","Direction=H","UseDPDF=Y")</f>
        <v>#NAME?</v>
      </c>
      <c r="CH369" s="1" t="e">
        <f ca="1">_xll.BDH($C$353,"LT_DEBT_TO_TOT_EQY","FQ1 2017","FQ1 2017","Currency=INR","Period=FQ","BEST_FPERIOD_OVERRIDE=FQ","FILING_STATUS=OR","EQY_CONSOLIDATED=Y","Sort=A","Dates=H","DateFormat=P","Fill=—","Direction=H","UseDPDF=Y")</f>
        <v>#NAME?</v>
      </c>
      <c r="CI369" s="1" t="e">
        <f ca="1">_xll.BDH($C$353,"LT_DEBT_TO_TOT_CAP","FQ1 2017","FQ1 2017","Currency=INR","Period=FQ","BEST_FPERIOD_OVERRIDE=FQ","FILING_STATUS=OR","EQY_CONSOLIDATED=Y","Sort=A","Dates=H","DateFormat=P","Fill=—","Direction=H","UseDPDF=Y")</f>
        <v>#NAME?</v>
      </c>
      <c r="CJ369" s="1" t="e">
        <f ca="1">_xll.BDH($C$353,"LT_DEBT_TO_TOT_ASSET","FQ1 2017","FQ1 2017","Currency=INR","Period=FQ","BEST_FPERIOD_OVERRIDE=FQ","FILING_STATUS=OR","EQY_CONSOLIDATED=Y","Sort=A","Dates=H","DateFormat=P","Fill=—","Direction=H","UseDPDF=Y")</f>
        <v>#NAME?</v>
      </c>
      <c r="CK369" s="1" t="e">
        <f ca="1">_xll.BDH($C$353,"TOT_DEBT_TO_TOT_EQY","FQ1 2017","FQ1 2017","Currency=INR","Period=FQ","BEST_FPERIOD_OVERRIDE=FQ","FILING_STATUS=OR","EQY_CONSOLIDATED=Y","Sort=A","Dates=H","DateFormat=P","Fill=—","Direction=H","UseDPDF=Y")</f>
        <v>#NAME?</v>
      </c>
      <c r="CL369" s="1" t="e">
        <f ca="1">_xll.BDH($C$353,"TOT_DEBT_TO_TOT_CAP","FQ1 2017","FQ1 2017","Currency=INR","Period=FQ","BEST_FPERIOD_OVERRIDE=FQ","FILING_STATUS=OR","EQY_CONSOLIDATED=Y","Sort=A","Dates=H","DateFormat=P","Fill=—","Direction=H","UseDPDF=Y")</f>
        <v>#NAME?</v>
      </c>
      <c r="CM369" s="1" t="e">
        <f ca="1">_xll.BDH($C$353,"TOT_DEBT_TO_TOT_ASSET","FQ1 2017","FQ1 2017","Currency=INR","Period=FQ","BEST_FPERIOD_OVERRIDE=FQ","FILING_STATUS=OR","EQY_CONSOLIDATED=Y","Sort=A","Dates=H","DateFormat=P","Fill=—","Direction=H","UseDPDF=Y")</f>
        <v>#NAME?</v>
      </c>
      <c r="CN369" s="1" t="e">
        <f ca="1">_xll.BDH($C$353,"NET_DEBT_TO_SHRHLDR_EQTY","FQ1 2017","FQ1 2017","Currency=INR","Period=FQ","BEST_FPERIOD_OVERRIDE=FQ","FILING_STATUS=OR","EQY_CONSOLIDATED=Y","Sort=A","Dates=H","DateFormat=P","Fill=—","Direction=H","UseDPDF=Y")</f>
        <v>#NAME?</v>
      </c>
      <c r="CO369" s="1" t="e">
        <f ca="1">_xll.BDH($C$353,"NET_DEBT_%_CAPITAL","FQ1 2017","FQ1 2017","Currency=INR","Period=FQ","BEST_FPERIOD_OVERRIDE=FQ","FILING_STATUS=OR","EQY_CONSOLIDATED=Y","Sort=A","Dates=H","DateFormat=P","Fill=—","Direction=H","UseDPDF=Y")</f>
        <v>#NAME?</v>
      </c>
      <c r="CP369" s="2" t="e">
        <f ca="1">_xll.BDH($C$353,"EBITDA","FQ1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69" s="2" t="e">
        <f ca="1">_xll.BDH($C$353,"EBITDA_AFTER_CAPEX","FQ1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69" s="2" t="e">
        <f ca="1">_xll.BDH($C$353,"IS_OPER_INC","FQ1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69" s="1" t="e">
        <f ca="1">_xll.BDH($C$353,"CASH_RATIO","FQ1 2017","FQ1 2017","Currency=INR","Period=FQ","BEST_FPERIOD_OVERRIDE=FQ","FILING_STATUS=OR","EQY_CONSOLIDATED=Y","Sort=A","Dates=H","DateFormat=P","Fill=—","Direction=H","UseDPDF=Y")</f>
        <v>#NAME?</v>
      </c>
      <c r="CT369" s="1" t="e">
        <f ca="1">_xll.BDH($C$353,"CUR_RATIO","FQ1 2017","FQ1 2017","Currency=INR","Period=FQ","BEST_FPERIOD_OVERRIDE=FQ","FILING_STATUS=OR","EQY_CONSOLIDATED=Y","Sort=A","Dates=H","DateFormat=P","Fill=—","Direction=H","UseDPDF=Y")</f>
        <v>#NAME?</v>
      </c>
      <c r="CU369" s="1" t="e">
        <f ca="1">_xll.BDH($C$353,"QUICK_RATIO","FQ1 2017","FQ1 2017","Currency=INR","Period=FQ","BEST_FPERIOD_OVERRIDE=FQ","FILING_STATUS=OR","EQY_CONSOLIDATED=Y","Sort=A","Dates=H","DateFormat=P","Fill=—","Direction=H","UseDPDF=Y")</f>
        <v>#NAME?</v>
      </c>
      <c r="CV369" s="1" t="e">
        <f ca="1">_xll.BDH($C$353,"ALTMAN_Z_SCORE","FQ1 2017","FQ1 2017","Currency=INR","Period=FQ","BEST_FPERIOD_OVERRIDE=FQ","FILING_STATUS=OR","EQY_CONSOLIDATED=Y","Sort=A","Dates=H","DateFormat=P","Fill=—","Direction=H","UseDPDF=Y")</f>
        <v>#NAME?</v>
      </c>
      <c r="CW369" s="3" t="e">
        <f ca="1">_xll.BDH($C$353,"ACCT_RCV_TURN","FQ1 2017","FQ1 2017","Currency=INR","Period=FQ","BEST_FPERIOD_OVERRIDE=FQ","FILING_STATUS=OR","EQY_CONSOLIDATED=Y","FA_ADJUSTED=GAAP","Sort=A","Dates=H","DateFormat=P","Fill=—","Direction=H","UseDPDF=Y")</f>
        <v>#NAME?</v>
      </c>
      <c r="CX369" s="1" t="e">
        <f ca="1">_xll.BDH($C$353,"ACCT_RCV_DAYS","FQ1 2017","FQ1 2017","Currency=INR","Period=FQ","BEST_FPERIOD_OVERRIDE=FQ","FILING_STATUS=OR","EQY_CONSOLIDATED=Y","FA_ADJUSTED=GAAP","Sort=A","Dates=H","DateFormat=P","Fill=—","Direction=H","UseDPDF=Y")</f>
        <v>#NAME?</v>
      </c>
      <c r="CY369" s="3" t="e">
        <f ca="1">_xll.BDH($C$353,"INVENT_TURN","FQ1 2017","FQ1 2017","Currency=INR","Period=FQ","BEST_FPERIOD_OVERRIDE=FQ","FILING_STATUS=OR","EQY_CONSOLIDATED=Y","FA_ADJUSTED=GAAP","Sort=A","Dates=H","DateFormat=P","Fill=—","Direction=H","UseDPDF=Y")</f>
        <v>#NAME?</v>
      </c>
      <c r="CZ369" s="1" t="e">
        <f ca="1">_xll.BDH($C$353,"INVENT_DAYS","FQ1 2017","FQ1 2017","Currency=INR","Period=FQ","BEST_FPERIOD_OVERRIDE=FQ","FILING_STATUS=OR","EQY_CONSOLIDATED=Y","FA_ADJUSTED=GAAP","Sort=A","Dates=H","DateFormat=P","Fill=—","Direction=H","UseDPDF=Y")</f>
        <v>#NAME?</v>
      </c>
      <c r="DA369" s="3" t="e">
        <f ca="1">_xll.BDH($C$353,"ACCOUNTS_PAYABLE_TURNOVER","FQ1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69" s="1" t="e">
        <f ca="1">_xll.BDH($C$353,"ACCOUNTS_PAYABLE_TURNOVER_DAYS","FQ1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69" s="3" t="e">
        <f ca="1">_xll.BDH($C$353,"CASH_CONVERSION_CYCLE","FQ1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69" s="3" t="e">
        <f ca="1">_xll.BDH($C$353,"INV_TO_CASH_DAYS","FQ1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369" s="4" t="e">
        <f ca="1">_xll.BDH($C$353,"BS_INVENTORIES","FQ1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369" s="2" t="e">
        <f ca="1">_xll.BDH($C$353,"INVTRY_RAW_MATERIALS","FQ1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69" s="2" t="e">
        <f ca="1">_xll.BDH($C$353,"INVTRY_IN_PROGRESS","FQ1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69" s="2" t="e">
        <f ca="1">_xll.BDH($C$353,"INVTRY_FINISHED_GOODS","FQ1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69" s="2" t="e">
        <f ca="1">_xll.BDH($C$353,"BS_OTHER_INV","FQ1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70" spans="1:113" x14ac:dyDescent="0.3">
      <c r="A370" s="6"/>
      <c r="B370" s="6"/>
      <c r="C370" s="6"/>
      <c r="D370" s="6"/>
      <c r="E370" t="s">
        <v>5</v>
      </c>
      <c r="F370" t="e">
        <f ca="1">_xll.BDH($C$353,"RETURN_COM_EQY","FQ2 2017","FQ2 2017","Currency=INR","Period=FQ","BEST_FPERIOD_OVERRIDE=FQ","FILING_STATUS=OR","EQY_CONSOLIDATED=Y","FA_ADJUSTED=GAAP","Sort=A","Dates=H","DateFormat=P","Fill=—","Direction=H","UseDPDF=Y")</f>
        <v>#NAME?</v>
      </c>
      <c r="G370" t="e">
        <f ca="1">_xll.BDH($C$353,"RETURN_ON_ASSET","FQ2 2017","FQ2 2017","Currency=INR","Period=FQ","BEST_FPERIOD_OVERRIDE=FQ","FILING_STATUS=OR","EQY_CONSOLIDATED=Y","FA_ADJUSTED=GAAP","Sort=A","Dates=H","DateFormat=P","Fill=—","Direction=H","UseDPDF=Y")</f>
        <v>#NAME?</v>
      </c>
      <c r="H370" t="e">
        <f ca="1">_xll.BDH($C$353,"RETURN_ON_CAP","FQ2 2017","FQ2 2017","Currency=INR","Period=FQ","BEST_FPERIOD_OVERRIDE=FQ","FILING_STATUS=OR","EQY_CONSOLIDATED=Y","FA_ADJUSTED=GAAP","Sort=A","Dates=H","DateFormat=P","Fill=—","Direction=H","UseDPDF=Y")</f>
        <v>#NAME?</v>
      </c>
      <c r="I370" t="e">
        <f ca="1">_xll.BDH($C$353,"RETURN_ON_INV_CAPITAL","FQ2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70" t="e">
        <f ca="1">_xll.BDH($C$353,"EBITDA_TO_REVENUE","FQ2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370" t="e">
        <f ca="1">_xll.BDH($C$353,"OPER_MARGIN","FQ2 2017","FQ2 2017","Currency=INR","Period=FQ","BEST_FPERIOD_OVERRIDE=FQ","FILING_STATUS=OR","EQY_CONSOLIDATED=Y","FA_ADJUSTED=GAAP","Sort=A","Dates=H","DateFormat=P","Fill=—","Direction=H","UseDPDF=Y")</f>
        <v>#NAME?</v>
      </c>
      <c r="L370" t="e">
        <f ca="1">_xll.BDH($C$353,"INCREMENTAL_OPERATING_MARGIN","FQ2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70" t="e">
        <f ca="1">_xll.BDH($C$353,"PRETAX_INC_TO_NET_SALES","FQ2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70" t="e">
        <f ca="1">_xll.BDH($C$353,"INC_BEF_XO_ITEMS_TO_NET_SALES","FQ2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70" t="e">
        <f ca="1">_xll.BDH($C$353,"PROF_MARGIN","FQ2 2017","FQ2 2017","Currency=INR","Period=FQ","BEST_FPERIOD_OVERRIDE=FQ","FILING_STATUS=OR","EQY_CONSOLIDATED=Y","FA_ADJUSTED=GAAP","Sort=A","Dates=H","DateFormat=P","Fill=—","Direction=H","UseDPDF=Y")</f>
        <v>#NAME?</v>
      </c>
      <c r="P370" t="e">
        <f ca="1">_xll.BDH($C$353,"NET_INCOME_TO_COMMON_MARGIN","FQ2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70" t="e">
        <f ca="1">_xll.BDH($C$353,"EFF_TAX_RATE","FQ2 2017","FQ2 2017","Currency=INR","Period=FQ","BEST_FPERIOD_OVERRIDE=FQ","FILING_STATUS=OR","EQY_CONSOLIDATED=Y","FA_ADJUSTED=GAAP","Sort=A","Dates=H","DateFormat=P","Fill=—","Direction=H","UseDPDF=Y")</f>
        <v>#NAME?</v>
      </c>
      <c r="R370" t="e">
        <f ca="1">_xll.BDH($C$353,"DVD_PAYOUT_RATIO","FQ2 2017","FQ2 2017","Currency=INR","Period=FQ","BEST_FPERIOD_OVERRIDE=FQ","FILING_STATUS=OR","EQY_CONSOLIDATED=Y","FA_ADJUSTED=GAAP","Sort=A","Dates=H","DateFormat=P","Fill=—","Direction=H","UseDPDF=Y")</f>
        <v>#NAME?</v>
      </c>
      <c r="S370" t="e">
        <f ca="1">_xll.BDH($C$353,"SUSTAIN_GROWTH_RT","FQ2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370" s="1" t="e">
        <f ca="1">_xll.BDH($C$353,"SALES_GROWTH","FQ2 2017","FQ2 2017","Currency=INR","Period=FQ","BEST_FPERIOD_OVERRIDE=FQ","FILING_STATUS=OR","EQY_CONSOLIDATED=Y","FA_ADJUSTED=GAAP","Sort=A","Dates=H","DateFormat=P","Fill=—","Direction=H","UseDPDF=Y")</f>
        <v>#NAME?</v>
      </c>
      <c r="U370" s="1" t="e">
        <f ca="1">_xll.BDH($C$353,"EBITDA_GROWTH","FQ2 2017","FQ2 2017","Currency=INR","Period=FQ","BEST_FPERIOD_OVERRIDE=FQ","FILING_STATUS=OR","EQY_CONSOLIDATED=Y","FA_ADJUSTED=GAAP","Sort=A","Dates=H","DateFormat=P","Fill=—","Direction=H","UseDPDF=Y")</f>
        <v>#NAME?</v>
      </c>
      <c r="V370" s="1" t="e">
        <f ca="1">_xll.BDH($C$353,"OPER_INC_GROWTH","FQ2 2017","FQ2 2017","Currency=INR","Period=FQ","BEST_FPERIOD_OVERRIDE=FQ","FILING_STATUS=OR","EQY_CONSOLIDATED=Y","FA_ADJUSTED=GAAP","Sort=A","Dates=H","DateFormat=P","Fill=—","Direction=H","UseDPDF=Y")</f>
        <v>#NAME?</v>
      </c>
      <c r="W370" s="1" t="e">
        <f ca="1">_xll.BDH($C$353,"EARN_FOR_COM_GROWTH","FQ2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70" s="1" t="e">
        <f ca="1">_xll.BDH($C$353,"DILUTED_EPS_AFT_XO_ITEMS_GROWTH","FQ2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70" s="1" t="e">
        <f ca="1">_xll.BDH($C$353,"DIVIDEND_PER_SHARE_1_YEAR_GROWTH","FQ2 2017","FQ2 2017","Currency=INR","Period=FQ","BEST_FPERIOD_OVERRIDE=FQ","FILING_STATUS=OR","EQY_CONSOLIDATED=Y","Sort=A","Dates=H","DateFormat=P","Fill=—","Direction=H","UseDPDF=Y")</f>
        <v>#NAME?</v>
      </c>
      <c r="Z370" s="1" t="e">
        <f ca="1">_xll.BDH($C$353,"ACCOUNTS_RECEIVABLE_GROWTH","FQ2 2017","FQ2 2017","Currency=INR","Period=FQ","BEST_FPERIOD_OVERRIDE=FQ","FILING_STATUS=OR","EQY_CONSOLIDATED=Y","Sort=A","Dates=H","DateFormat=P","Fill=—","Direction=H","UseDPDF=Y")</f>
        <v>#NAME?</v>
      </c>
      <c r="AA370" s="1" t="e">
        <f ca="1">_xll.BDH($C$353,"INVENTORY_GROWTH","FQ2 2017","FQ2 2017","Currency=INR","Period=FQ","BEST_FPERIOD_OVERRIDE=FQ","FILING_STATUS=OR","EQY_CONSOLIDATED=Y","Sort=A","Dates=H","DateFormat=P","Fill=—","Direction=H","UseDPDF=Y")</f>
        <v>#NAME?</v>
      </c>
      <c r="AB370" s="1" t="e">
        <f ca="1">_xll.BDH($C$353,"NET_FIXED_ASSETS_1_YEAR_GROWTH","FQ2 2017","FQ2 2017","Currency=INR","Period=FQ","BEST_FPERIOD_OVERRIDE=FQ","FILING_STATUS=OR","EQY_CONSOLIDATED=Y","Sort=A","Dates=H","DateFormat=P","Fill=—","Direction=H","UseDPDF=Y")</f>
        <v>#NAME?</v>
      </c>
      <c r="AC370" s="1" t="e">
        <f ca="1">_xll.BDH($C$353,"ASSET_GROWTH","FQ2 2017","FQ2 2017","Currency=INR","Period=FQ","BEST_FPERIOD_OVERRIDE=FQ","FILING_STATUS=OR","EQY_CONSOLIDATED=Y","Sort=A","Dates=H","DateFormat=P","Fill=—","Direction=H","UseDPDF=Y")</f>
        <v>#NAME?</v>
      </c>
      <c r="AD370" s="1" t="e">
        <f ca="1">_xll.BDH($C$353,"MODIFIED_WORK_CAP_GROWTH","FQ2 2017","FQ2 2017","Currency=INR","Period=FQ","BEST_FPERIOD_OVERRIDE=FQ","FILING_STATUS=OR","EQY_CONSOLIDATED=Y","Sort=A","Dates=H","DateFormat=P","Fill=—","Direction=H","UseDPDF=Y")</f>
        <v>#NAME?</v>
      </c>
      <c r="AE370" s="1" t="e">
        <f ca="1">_xll.BDH($C$353,"WORK_CAP_GROWTH","FQ2 2017","FQ2 2017","Currency=INR","Period=FQ","BEST_FPERIOD_OVERRIDE=FQ","FILING_STATUS=OR","EQY_CONSOLIDATED=Y","Sort=A","Dates=H","DateFormat=P","Fill=—","Direction=H","UseDPDF=Y")</f>
        <v>#NAME?</v>
      </c>
      <c r="AF370" s="1" t="e">
        <f ca="1">_xll.BDH($C$353,"ACCOUNTS_PAYABLE_GROWTH_1YR","FQ2 2017","FQ2 2017","Currency=INR","Period=FQ","BEST_FPERIOD_OVERRIDE=FQ","FILING_STATUS=OR","EQY_CONSOLIDATED=Y","Sort=A","Dates=H","DateFormat=P","Fill=—","Direction=H","UseDPDF=Y")</f>
        <v>#NAME?</v>
      </c>
      <c r="AG370" s="1" t="e">
        <f ca="1">_xll.BDH($C$353,"SHORT_TERM_DEBT_1_YEAR_GROWTH","FQ2 2017","FQ2 2017","Currency=INR","Period=FQ","BEST_FPERIOD_OVERRIDE=FQ","FILING_STATUS=OR","EQY_CONSOLIDATED=Y","Sort=A","Dates=H","DateFormat=P","Fill=—","Direction=H","UseDPDF=Y")</f>
        <v>#NAME?</v>
      </c>
      <c r="AH370" s="1" t="e">
        <f ca="1">_xll.BDH($C$353,"TOTAL_DEBT_1_YEAR_GROWTH","FQ2 2017","FQ2 2017","Currency=INR","Period=FQ","BEST_FPERIOD_OVERRIDE=FQ","FILING_STATUS=OR","EQY_CONSOLIDATED=Y","Sort=A","Dates=H","DateFormat=P","Fill=—","Direction=H","UseDPDF=Y")</f>
        <v>#NAME?</v>
      </c>
      <c r="AI370" s="1" t="e">
        <f ca="1">_xll.BDH($C$353,"TOTAL_EQUITY_1_YEAR_GROWTH","FQ2 2017","FQ2 2017","Currency=INR","Period=FQ","BEST_FPERIOD_OVERRIDE=FQ","FILING_STATUS=OR","EQY_CONSOLIDATED=Y","Sort=A","Dates=H","DateFormat=P","Fill=—","Direction=H","UseDPDF=Y")</f>
        <v>#NAME?</v>
      </c>
      <c r="AJ370" s="1" t="e">
        <f ca="1">_xll.BDH($C$353,"GROWTH_IN_CAP","FQ2 2017","FQ2 2017","Currency=INR","Period=FQ","BEST_FPERIOD_OVERRIDE=FQ","FILING_STATUS=OR","EQY_CONSOLIDATED=Y","Sort=A","Dates=H","DateFormat=P","Fill=—","Direction=H","UseDPDF=Y")</f>
        <v>#NAME?</v>
      </c>
      <c r="AK370" s="1" t="e">
        <f ca="1">_xll.BDH($C$353,"BVPS_GROWTH","FQ2 2017","FQ2 2017","Currency=INR","Period=FQ","BEST_FPERIOD_OVERRIDE=FQ","FILING_STATUS=OR","EQY_CONSOLIDATED=Y","Sort=A","Dates=H","DateFormat=P","Fill=—","Direction=H","UseDPDF=Y")</f>
        <v>#NAME?</v>
      </c>
      <c r="AL370" s="1" t="e">
        <f ca="1">_xll.BDH($C$353,"CASH_FLOW_GROWTH","FQ2 2017","FQ2 2017","Currency=INR","Period=FQ","BEST_FPERIOD_OVERRIDE=FQ","FILING_STATUS=OR","EQY_CONSOLIDATED=Y","Sort=A","Dates=H","DateFormat=P","Fill=—","Direction=H","UseDPDF=Y")</f>
        <v>#NAME?</v>
      </c>
      <c r="AM370" s="1" t="e">
        <f ca="1">_xll.BDH($C$353,"GEO_GROW_NET_SALES","FQ2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70" s="1" t="e">
        <f ca="1">_xll.BDH($C$353,"GEO_GROW_EBITDA","FQ2 2017","FQ2 2017","Currency=INR","Period=FQ","BEST_FPERIOD_OVERRIDE=FQ","FILING_STATUS=OR","EQY_CONSOLIDATED=Y","FA_ADJUSTED=GAAP","Sort=A","Dates=H","DateFormat=P","Fill=—","Direction=H","UseDPDF=Y")</f>
        <v>#NAME?</v>
      </c>
      <c r="AO370" s="1" t="e">
        <f ca="1">_xll.BDH($C$353,"GEO_GROW_OPER_INC","FQ2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70" s="1" t="e">
        <f ca="1">_xll.BDH($C$353,"NET_INCOME_TO_COMMON_5_YR_GROWTH","FQ2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70" s="1" t="e">
        <f ca="1">_xll.BDH($C$353,"5Y_GEO_GROWTH_DILUTED_EPS","FQ2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70" s="1" t="e">
        <f ca="1">_xll.BDH($C$353,"GEO_GROW_DVD_PER_SH","FQ2 2017","FQ2 2017","Currency=INR","Period=FQ","BEST_FPERIOD_OVERRIDE=FQ","FILING_STATUS=OR","EQY_CONSOLIDATED=Y","Sort=A","Dates=H","DateFormat=P","Fill=—","Direction=H","UseDPDF=Y")</f>
        <v>#NAME?</v>
      </c>
      <c r="AS370" s="1" t="e">
        <f ca="1">_xll.BDH($C$353,"ACCOUNTS_RECEIVABLE_5_YR_GROWTH","FQ2 2017","FQ2 2017","Currency=INR","Period=FQ","BEST_FPERIOD_OVERRIDE=FQ","FILING_STATUS=OR","EQY_CONSOLIDATED=Y","Sort=A","Dates=H","DateFormat=P","Fill=—","Direction=H","UseDPDF=Y")</f>
        <v>#NAME?</v>
      </c>
      <c r="AT370" s="1" t="e">
        <f ca="1">_xll.BDH($C$353,"INVENTORY_5_YEAR_GROWTH","FQ2 2017","FQ2 2017","Currency=INR","Period=FQ","BEST_FPERIOD_OVERRIDE=FQ","FILING_STATUS=OR","EQY_CONSOLIDATED=Y","Sort=A","Dates=H","DateFormat=P","Fill=—","Direction=H","UseDPDF=Y")</f>
        <v>#NAME?</v>
      </c>
      <c r="AU370" s="1" t="e">
        <f ca="1">_xll.BDH($C$353,"NET_FIXED_ASSETS_5_YEAR_GROWTH","FQ2 2017","FQ2 2017","Currency=INR","Period=FQ","BEST_FPERIOD_OVERRIDE=FQ","FILING_STATUS=OR","EQY_CONSOLIDATED=Y","Sort=A","Dates=H","DateFormat=P","Fill=—","Direction=H","UseDPDF=Y")</f>
        <v>#NAME?</v>
      </c>
      <c r="AV370" s="1" t="e">
        <f ca="1">_xll.BDH($C$353,"GEO_GROW_TOT_ASSET","FQ2 2017","FQ2 2017","Currency=INR","Period=FQ","BEST_FPERIOD_OVERRIDE=FQ","FILING_STATUS=OR","EQY_CONSOLIDATED=Y","Sort=A","Dates=H","DateFormat=P","Fill=—","Direction=H","UseDPDF=Y")</f>
        <v>#NAME?</v>
      </c>
      <c r="AW370" s="1" t="e">
        <f ca="1">_xll.BDH($C$353,"MODIFIED_WORKING_CPTL_5YR_GRWTH","FQ2 2017","FQ2 2017","Currency=INR","Period=FQ","BEST_FPERIOD_OVERRIDE=FQ","FILING_STATUS=OR","EQY_CONSOLIDATED=Y","Sort=A","Dates=H","DateFormat=P","Fill=—","Direction=H","UseDPDF=Y")</f>
        <v>#NAME?</v>
      </c>
      <c r="AX370" s="1" t="e">
        <f ca="1">_xll.BDH($C$353,"WORKING_CAPITAL_5_YEAR_GROWTH","FQ2 2017","FQ2 2017","Currency=INR","Period=FQ","BEST_FPERIOD_OVERRIDE=FQ","FILING_STATUS=OR","EQY_CONSOLIDATED=Y","Sort=A","Dates=H","DateFormat=P","Fill=—","Direction=H","UseDPDF=Y")</f>
        <v>#NAME?</v>
      </c>
      <c r="AY370" s="1" t="e">
        <f ca="1">_xll.BDH($C$353,"ACCOUNTS_PAYABLE_5_YEAR_GROWTH","FQ2 2017","FQ2 2017","Currency=INR","Period=FQ","BEST_FPERIOD_OVERRIDE=FQ","FILING_STATUS=OR","EQY_CONSOLIDATED=Y","Sort=A","Dates=H","DateFormat=P","Fill=—","Direction=H","UseDPDF=Y")</f>
        <v>#NAME?</v>
      </c>
      <c r="AZ370" s="1" t="e">
        <f ca="1">_xll.BDH($C$353,"SHORT_TERM_DEBT_5_YEAR_GROWTH","FQ2 2017","FQ2 2017","Currency=INR","Period=FQ","BEST_FPERIOD_OVERRIDE=FQ","FILING_STATUS=OR","EQY_CONSOLIDATED=Y","Sort=A","Dates=H","DateFormat=P","Fill=—","Direction=H","UseDPDF=Y")</f>
        <v>#NAME?</v>
      </c>
      <c r="BA370" s="1" t="e">
        <f ca="1">_xll.BDH($C$353,"TOTAL_DEBT_5_YEAR_GROWTH","FQ2 2017","FQ2 2017","Currency=INR","Period=FQ","BEST_FPERIOD_OVERRIDE=FQ","FILING_STATUS=OR","EQY_CONSOLIDATED=Y","Sort=A","Dates=H","DateFormat=P","Fill=—","Direction=H","UseDPDF=Y")</f>
        <v>#NAME?</v>
      </c>
      <c r="BB370" s="1" t="e">
        <f ca="1">_xll.BDH($C$353,"GEO_GROW_TOT_SHRHLDR_EQY","FQ2 2017","FQ2 2017","Currency=INR","Period=FQ","BEST_FPERIOD_OVERRIDE=FQ","FILING_STATUS=OR","EQY_CONSOLIDATED=Y","Sort=A","Dates=H","DateFormat=P","Fill=—","Direction=H","UseDPDF=Y")</f>
        <v>#NAME?</v>
      </c>
      <c r="BC370" s="1" t="e">
        <f ca="1">_xll.BDH($C$353,"TOTAL_CAPITAL_5_YEAR_GROWTH","FQ2 2017","FQ2 2017","Currency=INR","Period=FQ","BEST_FPERIOD_OVERRIDE=FQ","FILING_STATUS=OR","EQY_CONSOLIDATED=Y","Sort=A","Dates=H","DateFormat=P","Fill=—","Direction=H","UseDPDF=Y")</f>
        <v>#NAME?</v>
      </c>
      <c r="BD370" s="1" t="e">
        <f ca="1">_xll.BDH($C$353,"GEO_GROW_BOOK_VAL","FQ2 2017","FQ2 2017","Currency=INR","Period=FQ","BEST_FPERIOD_OVERRIDE=FQ","FILING_STATUS=OR","EQY_CONSOLIDATED=Y","Sort=A","Dates=H","DateFormat=P","Fill=—","Direction=H","UseDPDF=Y")</f>
        <v>#NAME?</v>
      </c>
      <c r="BE370" s="1" t="e">
        <f ca="1">_xll.BDH($C$353,"GEO_GROW_CASH_OPER_ACT","FQ2 2017","FQ2 2017","Currency=INR","Period=FQ","BEST_FPERIOD_OVERRIDE=FQ","FILING_STATUS=OR","EQY_CONSOLIDATED=Y","Sort=A","Dates=H","DateFormat=P","Fill=—","Direction=H","UseDPDF=Y")</f>
        <v>#NAME?</v>
      </c>
      <c r="BF370" s="1" t="e">
        <f ca="1">_xll.BDH($C$353,"REVENUE_SEQUENTIAL_GROWTH","FQ2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70" s="1" t="e">
        <f ca="1">_xll.BDH($C$353,"EBITDA_SEQUENTIAL_GROWTH","FQ2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70" s="1" t="e">
        <f ca="1">_xll.BDH($C$353,"OPERATING_INCOME_SEQ_GROWTH","FQ2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70" s="1" t="e">
        <f ca="1">_xll.BDH($C$353,"NET_INCOME_TO_COMMON_SEQ_GROWTH","FQ2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70" s="1" t="e">
        <f ca="1">_xll.BDH($C$353,"EPS_DILUTED_SEQUENTIAL_GROWTH","FQ2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70" s="1" t="e">
        <f ca="1">_xll.BDH($C$353,"DPS_SEQUENTIAL_GROWTH","FQ2 2017","FQ2 2017","Currency=INR","Period=FQ","BEST_FPERIOD_OVERRIDE=FQ","FILING_STATUS=OR","EQY_CONSOLIDATED=Y","Sort=A","Dates=H","DateFormat=P","Fill=—","Direction=H","UseDPDF=Y")</f>
        <v>#NAME?</v>
      </c>
      <c r="BL370" s="1" t="e">
        <f ca="1">_xll.BDH($C$353,"ACCOUNTS_RECEIVABLE_SEQ_GROWTH","FQ2 2017","FQ2 2017","Currency=INR","Period=FQ","BEST_FPERIOD_OVERRIDE=FQ","FILING_STATUS=OR","EQY_CONSOLIDATED=Y","Sort=A","Dates=H","DateFormat=P","Fill=—","Direction=H","UseDPDF=Y")</f>
        <v>#NAME?</v>
      </c>
      <c r="BM370" s="1" t="e">
        <f ca="1">_xll.BDH($C$353,"INVENTORY_SEQUENTIAL_GROWTH","FQ2 2017","FQ2 2017","Currency=INR","Period=FQ","BEST_FPERIOD_OVERRIDE=FQ","FILING_STATUS=OR","EQY_CONSOLIDATED=Y","Sort=A","Dates=H","DateFormat=P","Fill=—","Direction=H","UseDPDF=Y")</f>
        <v>#NAME?</v>
      </c>
      <c r="BN370" s="1" t="e">
        <f ca="1">_xll.BDH($C$353,"FIXED_ASSETS_SEQUENTIAL_GROWTH","FQ2 2017","FQ2 2017","Currency=INR","Period=FQ","BEST_FPERIOD_OVERRIDE=FQ","FILING_STATUS=OR","EQY_CONSOLIDATED=Y","Sort=A","Dates=H","DateFormat=P","Fill=—","Direction=H","UseDPDF=Y")</f>
        <v>#NAME?</v>
      </c>
      <c r="BO370" s="1" t="e">
        <f ca="1">_xll.BDH($C$353,"TOTAL_ASSETS_SEQUENTIAL_GROWTH","FQ2 2017","FQ2 2017","Currency=INR","Period=FQ","BEST_FPERIOD_OVERRIDE=FQ","FILING_STATUS=OR","EQY_CONSOLIDATED=Y","Sort=A","Dates=H","DateFormat=P","Fill=—","Direction=H","UseDPDF=Y")</f>
        <v>#NAME?</v>
      </c>
      <c r="BP370" s="1" t="e">
        <f ca="1">_xll.BDH($C$353,"MODIFIED_WORKING_CPTL_SEQ_GRWTH","FQ2 2017","FQ2 2017","Currency=INR","Period=FQ","BEST_FPERIOD_OVERRIDE=FQ","FILING_STATUS=OR","EQY_CONSOLIDATED=Y","Sort=A","Dates=H","DateFormat=P","Fill=—","Direction=H","UseDPDF=Y")</f>
        <v>#NAME?</v>
      </c>
      <c r="BQ370" s="1" t="e">
        <f ca="1">_xll.BDH($C$353,"WORKING_CAPITAL_SEQ_GROWTH","FQ2 2017","FQ2 2017","Currency=INR","Period=FQ","BEST_FPERIOD_OVERRIDE=FQ","FILING_STATUS=OR","EQY_CONSOLIDATED=Y","Sort=A","Dates=H","DateFormat=P","Fill=—","Direction=H","UseDPDF=Y")</f>
        <v>#NAME?</v>
      </c>
      <c r="BR370" s="1" t="e">
        <f ca="1">_xll.BDH($C$353,"ACCOUNTS_PAYABLE_SEQ_GROWTH","FQ2 2017","FQ2 2017","Currency=INR","Period=FQ","BEST_FPERIOD_OVERRIDE=FQ","FILING_STATUS=OR","EQY_CONSOLIDATED=Y","Sort=A","Dates=H","DateFormat=P","Fill=—","Direction=H","UseDPDF=Y")</f>
        <v>#NAME?</v>
      </c>
      <c r="BS370" s="1" t="e">
        <f ca="1">_xll.BDH($C$353,"ST_DEBT_SEQUENTIAL_GROWTH","FQ2 2017","FQ2 2017","Currency=INR","Period=FQ","BEST_FPERIOD_OVERRIDE=FQ","FILING_STATUS=OR","EQY_CONSOLIDATED=Y","Sort=A","Dates=H","DateFormat=P","Fill=—","Direction=H","UseDPDF=Y")</f>
        <v>#NAME?</v>
      </c>
      <c r="BT370" s="1" t="e">
        <f ca="1">_xll.BDH($C$353,"TOTAL_DEBT_SEQUENTIAL_GROWTH","FQ2 2017","FQ2 2017","Currency=INR","Period=FQ","BEST_FPERIOD_OVERRIDE=FQ","FILING_STATUS=OR","EQY_CONSOLIDATED=Y","Sort=A","Dates=H","DateFormat=P","Fill=—","Direction=H","UseDPDF=Y")</f>
        <v>#NAME?</v>
      </c>
      <c r="BU370" s="1" t="e">
        <f ca="1">_xll.BDH($C$353,"TOTAL_EQUITY_SEQUENTIAL_GROWTH","FQ2 2017","FQ2 2017","Currency=INR","Period=FQ","BEST_FPERIOD_OVERRIDE=FQ","FILING_STATUS=OR","EQY_CONSOLIDATED=Y","Sort=A","Dates=H","DateFormat=P","Fill=—","Direction=H","UseDPDF=Y")</f>
        <v>#NAME?</v>
      </c>
      <c r="BV370" s="1" t="e">
        <f ca="1">_xll.BDH($C$353,"TOTAL_CAPITAL_SEQUENTIAL_GROWTH","FQ2 2017","FQ2 2017","Currency=INR","Period=FQ","BEST_FPERIOD_OVERRIDE=FQ","FILING_STATUS=OR","EQY_CONSOLIDATED=Y","Sort=A","Dates=H","DateFormat=P","Fill=—","Direction=H","UseDPDF=Y")</f>
        <v>#NAME?</v>
      </c>
      <c r="BW370" s="1" t="e">
        <f ca="1">_xll.BDH($C$353,"BPS_SEQUENTIAL_GROWTH","FQ2 2017","FQ2 2017","Currency=INR","Period=FQ","BEST_FPERIOD_OVERRIDE=FQ","FILING_STATUS=OR","EQY_CONSOLIDATED=Y","Sort=A","Dates=H","DateFormat=P","Fill=—","Direction=H","UseDPDF=Y")</f>
        <v>#NAME?</v>
      </c>
      <c r="BX370" s="1" t="e">
        <f ca="1">_xll.BDH($C$353,"CFO_SEQUENTIAL_GROWTH","FQ2 2017","FQ2 2017","Currency=INR","Period=FQ","BEST_FPERIOD_OVERRIDE=FQ","FILING_STATUS=OR","EQY_CONSOLIDATED=Y","Sort=A","Dates=H","DateFormat=P","Fill=—","Direction=H","UseDPDF=Y")</f>
        <v>#NAME?</v>
      </c>
      <c r="BY370" s="2" t="e">
        <f ca="1">_xll.BDH($C$353,"SHORT_AND_LONG_TERM_DEBT","FQ2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70" s="2" t="e">
        <f ca="1">_xll.BDH($C$353,"BS_ST_BORROW","FQ2 2017","FQ2 2017","Currency=INR","Period=FQ","BEST_FPERIOD_OVERRIDE=FQ","FILING_STATUS=OR","EQY_CONSOLIDATED=Y","SCALING_FORMAT=MLN","Sort=A","Dates=H","DateFormat=P","Fill=—","Direction=H","UseDPDF=Y")</f>
        <v>#NAME?</v>
      </c>
      <c r="CA370" s="2" t="e">
        <f ca="1">_xll.BDH($C$353,"BS_LT_BORROW","FQ2 2017","FQ2 2017","Currency=INR","Period=FQ","BEST_FPERIOD_OVERRIDE=FQ","FILING_STATUS=OR","EQY_CONSOLIDATED=Y","SCALING_FORMAT=MLN","Sort=A","Dates=H","DateFormat=P","Fill=—","Direction=H","UseDPDF=Y")</f>
        <v>#NAME?</v>
      </c>
      <c r="CB370" s="1" t="e">
        <f ca="1">_xll.BDH($C$353,"TOT_DEBT_TO_EBITDA","FQ2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70" s="1" t="e">
        <f ca="1">_xll.BDH($C$353,"NET_DEBT_TO_EBITDA","FQ2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70" s="1" t="e">
        <f ca="1">_xll.BDH($C$353,"TOTAL_DEBT_TO_EBIT","FQ2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70" s="1" t="e">
        <f ca="1">_xll.BDH($C$353,"NET_DEBT_TO_EBIT","FQ2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370" s="1" t="e">
        <f ca="1">_xll.BDH($C$353,"EBITDA_TO_INTEREST_EXPN","FQ2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70" s="1" t="e">
        <f ca="1">_xll.BDH($C$353,"COM_EQY_TO_TOT_ASSET","FQ2 2017","FQ2 2017","Currency=INR","Period=FQ","BEST_FPERIOD_OVERRIDE=FQ","FILING_STATUS=OR","EQY_CONSOLIDATED=Y","Sort=A","Dates=H","DateFormat=P","Fill=—","Direction=H","UseDPDF=Y")</f>
        <v>#NAME?</v>
      </c>
      <c r="CH370" s="1" t="e">
        <f ca="1">_xll.BDH($C$353,"LT_DEBT_TO_TOT_EQY","FQ2 2017","FQ2 2017","Currency=INR","Period=FQ","BEST_FPERIOD_OVERRIDE=FQ","FILING_STATUS=OR","EQY_CONSOLIDATED=Y","Sort=A","Dates=H","DateFormat=P","Fill=—","Direction=H","UseDPDF=Y")</f>
        <v>#NAME?</v>
      </c>
      <c r="CI370" s="1" t="e">
        <f ca="1">_xll.BDH($C$353,"LT_DEBT_TO_TOT_CAP","FQ2 2017","FQ2 2017","Currency=INR","Period=FQ","BEST_FPERIOD_OVERRIDE=FQ","FILING_STATUS=OR","EQY_CONSOLIDATED=Y","Sort=A","Dates=H","DateFormat=P","Fill=—","Direction=H","UseDPDF=Y")</f>
        <v>#NAME?</v>
      </c>
      <c r="CJ370" s="1" t="e">
        <f ca="1">_xll.BDH($C$353,"LT_DEBT_TO_TOT_ASSET","FQ2 2017","FQ2 2017","Currency=INR","Period=FQ","BEST_FPERIOD_OVERRIDE=FQ","FILING_STATUS=OR","EQY_CONSOLIDATED=Y","Sort=A","Dates=H","DateFormat=P","Fill=—","Direction=H","UseDPDF=Y")</f>
        <v>#NAME?</v>
      </c>
      <c r="CK370" s="1" t="e">
        <f ca="1">_xll.BDH($C$353,"TOT_DEBT_TO_TOT_EQY","FQ2 2017","FQ2 2017","Currency=INR","Period=FQ","BEST_FPERIOD_OVERRIDE=FQ","FILING_STATUS=OR","EQY_CONSOLIDATED=Y","Sort=A","Dates=H","DateFormat=P","Fill=—","Direction=H","UseDPDF=Y")</f>
        <v>#NAME?</v>
      </c>
      <c r="CL370" s="1" t="e">
        <f ca="1">_xll.BDH($C$353,"TOT_DEBT_TO_TOT_CAP","FQ2 2017","FQ2 2017","Currency=INR","Period=FQ","BEST_FPERIOD_OVERRIDE=FQ","FILING_STATUS=OR","EQY_CONSOLIDATED=Y","Sort=A","Dates=H","DateFormat=P","Fill=—","Direction=H","UseDPDF=Y")</f>
        <v>#NAME?</v>
      </c>
      <c r="CM370" s="1" t="e">
        <f ca="1">_xll.BDH($C$353,"TOT_DEBT_TO_TOT_ASSET","FQ2 2017","FQ2 2017","Currency=INR","Period=FQ","BEST_FPERIOD_OVERRIDE=FQ","FILING_STATUS=OR","EQY_CONSOLIDATED=Y","Sort=A","Dates=H","DateFormat=P","Fill=—","Direction=H","UseDPDF=Y")</f>
        <v>#NAME?</v>
      </c>
      <c r="CN370" s="1" t="e">
        <f ca="1">_xll.BDH($C$353,"NET_DEBT_TO_SHRHLDR_EQTY","FQ2 2017","FQ2 2017","Currency=INR","Period=FQ","BEST_FPERIOD_OVERRIDE=FQ","FILING_STATUS=OR","EQY_CONSOLIDATED=Y","Sort=A","Dates=H","DateFormat=P","Fill=—","Direction=H","UseDPDF=Y")</f>
        <v>#NAME?</v>
      </c>
      <c r="CO370" s="1" t="e">
        <f ca="1">_xll.BDH($C$353,"NET_DEBT_%_CAPITAL","FQ2 2017","FQ2 2017","Currency=INR","Period=FQ","BEST_FPERIOD_OVERRIDE=FQ","FILING_STATUS=OR","EQY_CONSOLIDATED=Y","Sort=A","Dates=H","DateFormat=P","Fill=—","Direction=H","UseDPDF=Y")</f>
        <v>#NAME?</v>
      </c>
      <c r="CP370" s="2" t="e">
        <f ca="1">_xll.BDH($C$353,"EBITDA","FQ2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70" s="2" t="e">
        <f ca="1">_xll.BDH($C$353,"EBITDA_AFTER_CAPEX","FQ2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70" s="2" t="e">
        <f ca="1">_xll.BDH($C$353,"IS_OPER_INC","FQ2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70" s="1" t="e">
        <f ca="1">_xll.BDH($C$353,"CASH_RATIO","FQ2 2017","FQ2 2017","Currency=INR","Period=FQ","BEST_FPERIOD_OVERRIDE=FQ","FILING_STATUS=OR","EQY_CONSOLIDATED=Y","Sort=A","Dates=H","DateFormat=P","Fill=—","Direction=H","UseDPDF=Y")</f>
        <v>#NAME?</v>
      </c>
      <c r="CT370" s="1" t="e">
        <f ca="1">_xll.BDH($C$353,"CUR_RATIO","FQ2 2017","FQ2 2017","Currency=INR","Period=FQ","BEST_FPERIOD_OVERRIDE=FQ","FILING_STATUS=OR","EQY_CONSOLIDATED=Y","Sort=A","Dates=H","DateFormat=P","Fill=—","Direction=H","UseDPDF=Y")</f>
        <v>#NAME?</v>
      </c>
      <c r="CU370" s="1" t="e">
        <f ca="1">_xll.BDH($C$353,"QUICK_RATIO","FQ2 2017","FQ2 2017","Currency=INR","Period=FQ","BEST_FPERIOD_OVERRIDE=FQ","FILING_STATUS=OR","EQY_CONSOLIDATED=Y","Sort=A","Dates=H","DateFormat=P","Fill=—","Direction=H","UseDPDF=Y")</f>
        <v>#NAME?</v>
      </c>
      <c r="CV370" s="1" t="e">
        <f ca="1">_xll.BDH($C$353,"ALTMAN_Z_SCORE","FQ2 2017","FQ2 2017","Currency=INR","Period=FQ","BEST_FPERIOD_OVERRIDE=FQ","FILING_STATUS=OR","EQY_CONSOLIDATED=Y","Sort=A","Dates=H","DateFormat=P","Fill=—","Direction=H","UseDPDF=Y")</f>
        <v>#NAME?</v>
      </c>
      <c r="CW370" s="3" t="e">
        <f ca="1">_xll.BDH($C$353,"ACCT_RCV_TURN","FQ2 2017","FQ2 2017","Currency=INR","Period=FQ","BEST_FPERIOD_OVERRIDE=FQ","FILING_STATUS=OR","EQY_CONSOLIDATED=Y","FA_ADJUSTED=GAAP","Sort=A","Dates=H","DateFormat=P","Fill=—","Direction=H","UseDPDF=Y")</f>
        <v>#NAME?</v>
      </c>
      <c r="CX370" s="1" t="e">
        <f ca="1">_xll.BDH($C$353,"ACCT_RCV_DAYS","FQ2 2017","FQ2 2017","Currency=INR","Period=FQ","BEST_FPERIOD_OVERRIDE=FQ","FILING_STATUS=OR","EQY_CONSOLIDATED=Y","FA_ADJUSTED=GAAP","Sort=A","Dates=H","DateFormat=P","Fill=—","Direction=H","UseDPDF=Y")</f>
        <v>#NAME?</v>
      </c>
      <c r="CY370" s="3" t="e">
        <f ca="1">_xll.BDH($C$353,"INVENT_TURN","FQ2 2017","FQ2 2017","Currency=INR","Period=FQ","BEST_FPERIOD_OVERRIDE=FQ","FILING_STATUS=OR","EQY_CONSOLIDATED=Y","FA_ADJUSTED=GAAP","Sort=A","Dates=H","DateFormat=P","Fill=—","Direction=H","UseDPDF=Y")</f>
        <v>#NAME?</v>
      </c>
      <c r="CZ370" s="1" t="e">
        <f ca="1">_xll.BDH($C$353,"INVENT_DAYS","FQ2 2017","FQ2 2017","Currency=INR","Period=FQ","BEST_FPERIOD_OVERRIDE=FQ","FILING_STATUS=OR","EQY_CONSOLIDATED=Y","FA_ADJUSTED=GAAP","Sort=A","Dates=H","DateFormat=P","Fill=—","Direction=H","UseDPDF=Y")</f>
        <v>#NAME?</v>
      </c>
      <c r="DA370" s="3" t="e">
        <f ca="1">_xll.BDH($C$353,"ACCOUNTS_PAYABLE_TURNOVER","FQ2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70" s="1" t="e">
        <f ca="1">_xll.BDH($C$353,"ACCOUNTS_PAYABLE_TURNOVER_DAYS","FQ2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70" s="3" t="e">
        <f ca="1">_xll.BDH($C$353,"CASH_CONVERSION_CYCLE","FQ2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70" s="3" t="e">
        <f ca="1">_xll.BDH($C$353,"INV_TO_CASH_DAYS","FQ2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370" s="4" t="e">
        <f ca="1">_xll.BDH($C$353,"BS_INVENTORIES","FQ2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370" s="2" t="e">
        <f ca="1">_xll.BDH($C$353,"INVTRY_RAW_MATERIALS","FQ2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70" s="2" t="e">
        <f ca="1">_xll.BDH($C$353,"INVTRY_IN_PROGRESS","FQ2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70" s="2" t="e">
        <f ca="1">_xll.BDH($C$353,"INVTRY_FINISHED_GOODS","FQ2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70" s="2" t="e">
        <f ca="1">_xll.BDH($C$353,"BS_OTHER_INV","FQ2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71" spans="1:113" x14ac:dyDescent="0.3">
      <c r="A371" s="6"/>
      <c r="B371" s="6"/>
      <c r="C371" s="6"/>
      <c r="D371" s="6"/>
      <c r="E371" t="s">
        <v>6</v>
      </c>
      <c r="F371" t="e">
        <f ca="1">_xll.BDH($C$353,"RETURN_COM_EQY","FQ3 2017","FQ3 2017","Currency=INR","Period=FQ","BEST_FPERIOD_OVERRIDE=FQ","FILING_STATUS=OR","EQY_CONSOLIDATED=Y","FA_ADJUSTED=GAAP","Sort=A","Dates=H","DateFormat=P","Fill=—","Direction=H","UseDPDF=Y")</f>
        <v>#NAME?</v>
      </c>
      <c r="G371" t="e">
        <f ca="1">_xll.BDH($C$353,"RETURN_ON_ASSET","FQ3 2017","FQ3 2017","Currency=INR","Period=FQ","BEST_FPERIOD_OVERRIDE=FQ","FILING_STATUS=OR","EQY_CONSOLIDATED=Y","FA_ADJUSTED=GAAP","Sort=A","Dates=H","DateFormat=P","Fill=—","Direction=H","UseDPDF=Y")</f>
        <v>#NAME?</v>
      </c>
      <c r="H371" t="e">
        <f ca="1">_xll.BDH($C$353,"RETURN_ON_CAP","FQ3 2017","FQ3 2017","Currency=INR","Period=FQ","BEST_FPERIOD_OVERRIDE=FQ","FILING_STATUS=OR","EQY_CONSOLIDATED=Y","FA_ADJUSTED=GAAP","Sort=A","Dates=H","DateFormat=P","Fill=—","Direction=H","UseDPDF=Y")</f>
        <v>#NAME?</v>
      </c>
      <c r="I371" t="e">
        <f ca="1">_xll.BDH($C$353,"RETURN_ON_INV_CAPITAL","FQ3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71" t="e">
        <f ca="1">_xll.BDH($C$353,"EBITDA_TO_REVENUE","FQ3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371" t="e">
        <f ca="1">_xll.BDH($C$353,"OPER_MARGIN","FQ3 2017","FQ3 2017","Currency=INR","Period=FQ","BEST_FPERIOD_OVERRIDE=FQ","FILING_STATUS=OR","EQY_CONSOLIDATED=Y","FA_ADJUSTED=GAAP","Sort=A","Dates=H","DateFormat=P","Fill=—","Direction=H","UseDPDF=Y")</f>
        <v>#NAME?</v>
      </c>
      <c r="L371" t="e">
        <f ca="1">_xll.BDH($C$353,"INCREMENTAL_OPERATING_MARGIN","FQ3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71" t="e">
        <f ca="1">_xll.BDH($C$353,"PRETAX_INC_TO_NET_SALES","FQ3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71" t="e">
        <f ca="1">_xll.BDH($C$353,"INC_BEF_XO_ITEMS_TO_NET_SALES","FQ3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71" t="e">
        <f ca="1">_xll.BDH($C$353,"PROF_MARGIN","FQ3 2017","FQ3 2017","Currency=INR","Period=FQ","BEST_FPERIOD_OVERRIDE=FQ","FILING_STATUS=OR","EQY_CONSOLIDATED=Y","FA_ADJUSTED=GAAP","Sort=A","Dates=H","DateFormat=P","Fill=—","Direction=H","UseDPDF=Y")</f>
        <v>#NAME?</v>
      </c>
      <c r="P371" t="e">
        <f ca="1">_xll.BDH($C$353,"NET_INCOME_TO_COMMON_MARGIN","FQ3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71" t="e">
        <f ca="1">_xll.BDH($C$353,"EFF_TAX_RATE","FQ3 2017","FQ3 2017","Currency=INR","Period=FQ","BEST_FPERIOD_OVERRIDE=FQ","FILING_STATUS=OR","EQY_CONSOLIDATED=Y","FA_ADJUSTED=GAAP","Sort=A","Dates=H","DateFormat=P","Fill=—","Direction=H","UseDPDF=Y")</f>
        <v>#NAME?</v>
      </c>
      <c r="R371" t="e">
        <f ca="1">_xll.BDH($C$353,"DVD_PAYOUT_RATIO","FQ3 2017","FQ3 2017","Currency=INR","Period=FQ","BEST_FPERIOD_OVERRIDE=FQ","FILING_STATUS=OR","EQY_CONSOLIDATED=Y","FA_ADJUSTED=GAAP","Sort=A","Dates=H","DateFormat=P","Fill=—","Direction=H","UseDPDF=Y")</f>
        <v>#NAME?</v>
      </c>
      <c r="S371" t="e">
        <f ca="1">_xll.BDH($C$353,"SUSTAIN_GROWTH_RT","FQ3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371" s="1" t="e">
        <f ca="1">_xll.BDH($C$353,"SALES_GROWTH","FQ3 2017","FQ3 2017","Currency=INR","Period=FQ","BEST_FPERIOD_OVERRIDE=FQ","FILING_STATUS=OR","EQY_CONSOLIDATED=Y","FA_ADJUSTED=GAAP","Sort=A","Dates=H","DateFormat=P","Fill=—","Direction=H","UseDPDF=Y")</f>
        <v>#NAME?</v>
      </c>
      <c r="U371" s="1" t="e">
        <f ca="1">_xll.BDH($C$353,"EBITDA_GROWTH","FQ3 2017","FQ3 2017","Currency=INR","Period=FQ","BEST_FPERIOD_OVERRIDE=FQ","FILING_STATUS=OR","EQY_CONSOLIDATED=Y","FA_ADJUSTED=GAAP","Sort=A","Dates=H","DateFormat=P","Fill=—","Direction=H","UseDPDF=Y")</f>
        <v>#NAME?</v>
      </c>
      <c r="V371" s="1" t="e">
        <f ca="1">_xll.BDH($C$353,"OPER_INC_GROWTH","FQ3 2017","FQ3 2017","Currency=INR","Period=FQ","BEST_FPERIOD_OVERRIDE=FQ","FILING_STATUS=OR","EQY_CONSOLIDATED=Y","FA_ADJUSTED=GAAP","Sort=A","Dates=H","DateFormat=P","Fill=—","Direction=H","UseDPDF=Y")</f>
        <v>#NAME?</v>
      </c>
      <c r="W371" s="1" t="e">
        <f ca="1">_xll.BDH($C$353,"EARN_FOR_COM_GROWTH","FQ3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71" s="1" t="e">
        <f ca="1">_xll.BDH($C$353,"DILUTED_EPS_AFT_XO_ITEMS_GROWTH","FQ3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71" s="1" t="e">
        <f ca="1">_xll.BDH($C$353,"DIVIDEND_PER_SHARE_1_YEAR_GROWTH","FQ3 2017","FQ3 2017","Currency=INR","Period=FQ","BEST_FPERIOD_OVERRIDE=FQ","FILING_STATUS=OR","EQY_CONSOLIDATED=Y","Sort=A","Dates=H","DateFormat=P","Fill=—","Direction=H","UseDPDF=Y")</f>
        <v>#NAME?</v>
      </c>
      <c r="Z371" s="1" t="e">
        <f ca="1">_xll.BDH($C$353,"ACCOUNTS_RECEIVABLE_GROWTH","FQ3 2017","FQ3 2017","Currency=INR","Period=FQ","BEST_FPERIOD_OVERRIDE=FQ","FILING_STATUS=OR","EQY_CONSOLIDATED=Y","Sort=A","Dates=H","DateFormat=P","Fill=—","Direction=H","UseDPDF=Y")</f>
        <v>#NAME?</v>
      </c>
      <c r="AA371" s="1" t="e">
        <f ca="1">_xll.BDH($C$353,"INVENTORY_GROWTH","FQ3 2017","FQ3 2017","Currency=INR","Period=FQ","BEST_FPERIOD_OVERRIDE=FQ","FILING_STATUS=OR","EQY_CONSOLIDATED=Y","Sort=A","Dates=H","DateFormat=P","Fill=—","Direction=H","UseDPDF=Y")</f>
        <v>#NAME?</v>
      </c>
      <c r="AB371" s="1" t="e">
        <f ca="1">_xll.BDH($C$353,"NET_FIXED_ASSETS_1_YEAR_GROWTH","FQ3 2017","FQ3 2017","Currency=INR","Period=FQ","BEST_FPERIOD_OVERRIDE=FQ","FILING_STATUS=OR","EQY_CONSOLIDATED=Y","Sort=A","Dates=H","DateFormat=P","Fill=—","Direction=H","UseDPDF=Y")</f>
        <v>#NAME?</v>
      </c>
      <c r="AC371" s="1" t="e">
        <f ca="1">_xll.BDH($C$353,"ASSET_GROWTH","FQ3 2017","FQ3 2017","Currency=INR","Period=FQ","BEST_FPERIOD_OVERRIDE=FQ","FILING_STATUS=OR","EQY_CONSOLIDATED=Y","Sort=A","Dates=H","DateFormat=P","Fill=—","Direction=H","UseDPDF=Y")</f>
        <v>#NAME?</v>
      </c>
      <c r="AD371" s="1" t="e">
        <f ca="1">_xll.BDH($C$353,"MODIFIED_WORK_CAP_GROWTH","FQ3 2017","FQ3 2017","Currency=INR","Period=FQ","BEST_FPERIOD_OVERRIDE=FQ","FILING_STATUS=OR","EQY_CONSOLIDATED=Y","Sort=A","Dates=H","DateFormat=P","Fill=—","Direction=H","UseDPDF=Y")</f>
        <v>#NAME?</v>
      </c>
      <c r="AE371" s="1" t="e">
        <f ca="1">_xll.BDH($C$353,"WORK_CAP_GROWTH","FQ3 2017","FQ3 2017","Currency=INR","Period=FQ","BEST_FPERIOD_OVERRIDE=FQ","FILING_STATUS=OR","EQY_CONSOLIDATED=Y","Sort=A","Dates=H","DateFormat=P","Fill=—","Direction=H","UseDPDF=Y")</f>
        <v>#NAME?</v>
      </c>
      <c r="AF371" s="1" t="e">
        <f ca="1">_xll.BDH($C$353,"ACCOUNTS_PAYABLE_GROWTH_1YR","FQ3 2017","FQ3 2017","Currency=INR","Period=FQ","BEST_FPERIOD_OVERRIDE=FQ","FILING_STATUS=OR","EQY_CONSOLIDATED=Y","Sort=A","Dates=H","DateFormat=P","Fill=—","Direction=H","UseDPDF=Y")</f>
        <v>#NAME?</v>
      </c>
      <c r="AG371" s="1" t="e">
        <f ca="1">_xll.BDH($C$353,"SHORT_TERM_DEBT_1_YEAR_GROWTH","FQ3 2017","FQ3 2017","Currency=INR","Period=FQ","BEST_FPERIOD_OVERRIDE=FQ","FILING_STATUS=OR","EQY_CONSOLIDATED=Y","Sort=A","Dates=H","DateFormat=P","Fill=—","Direction=H","UseDPDF=Y")</f>
        <v>#NAME?</v>
      </c>
      <c r="AH371" s="1" t="e">
        <f ca="1">_xll.BDH($C$353,"TOTAL_DEBT_1_YEAR_GROWTH","FQ3 2017","FQ3 2017","Currency=INR","Period=FQ","BEST_FPERIOD_OVERRIDE=FQ","FILING_STATUS=OR","EQY_CONSOLIDATED=Y","Sort=A","Dates=H","DateFormat=P","Fill=—","Direction=H","UseDPDF=Y")</f>
        <v>#NAME?</v>
      </c>
      <c r="AI371" s="1" t="e">
        <f ca="1">_xll.BDH($C$353,"TOTAL_EQUITY_1_YEAR_GROWTH","FQ3 2017","FQ3 2017","Currency=INR","Period=FQ","BEST_FPERIOD_OVERRIDE=FQ","FILING_STATUS=OR","EQY_CONSOLIDATED=Y","Sort=A","Dates=H","DateFormat=P","Fill=—","Direction=H","UseDPDF=Y")</f>
        <v>#NAME?</v>
      </c>
      <c r="AJ371" s="1" t="e">
        <f ca="1">_xll.BDH($C$353,"GROWTH_IN_CAP","FQ3 2017","FQ3 2017","Currency=INR","Period=FQ","BEST_FPERIOD_OVERRIDE=FQ","FILING_STATUS=OR","EQY_CONSOLIDATED=Y","Sort=A","Dates=H","DateFormat=P","Fill=—","Direction=H","UseDPDF=Y")</f>
        <v>#NAME?</v>
      </c>
      <c r="AK371" s="1" t="e">
        <f ca="1">_xll.BDH($C$353,"BVPS_GROWTH","FQ3 2017","FQ3 2017","Currency=INR","Period=FQ","BEST_FPERIOD_OVERRIDE=FQ","FILING_STATUS=OR","EQY_CONSOLIDATED=Y","Sort=A","Dates=H","DateFormat=P","Fill=—","Direction=H","UseDPDF=Y")</f>
        <v>#NAME?</v>
      </c>
      <c r="AL371" s="1" t="e">
        <f ca="1">_xll.BDH($C$353,"CASH_FLOW_GROWTH","FQ3 2017","FQ3 2017","Currency=INR","Period=FQ","BEST_FPERIOD_OVERRIDE=FQ","FILING_STATUS=OR","EQY_CONSOLIDATED=Y","Sort=A","Dates=H","DateFormat=P","Fill=—","Direction=H","UseDPDF=Y")</f>
        <v>#NAME?</v>
      </c>
      <c r="AM371" s="1" t="e">
        <f ca="1">_xll.BDH($C$353,"GEO_GROW_NET_SALES","FQ3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71" s="1" t="e">
        <f ca="1">_xll.BDH($C$353,"GEO_GROW_EBITDA","FQ3 2017","FQ3 2017","Currency=INR","Period=FQ","BEST_FPERIOD_OVERRIDE=FQ","FILING_STATUS=OR","EQY_CONSOLIDATED=Y","FA_ADJUSTED=GAAP","Sort=A","Dates=H","DateFormat=P","Fill=—","Direction=H","UseDPDF=Y")</f>
        <v>#NAME?</v>
      </c>
      <c r="AO371" s="1" t="e">
        <f ca="1">_xll.BDH($C$353,"GEO_GROW_OPER_INC","FQ3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71" s="1" t="e">
        <f ca="1">_xll.BDH($C$353,"NET_INCOME_TO_COMMON_5_YR_GROWTH","FQ3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71" s="1" t="e">
        <f ca="1">_xll.BDH($C$353,"5Y_GEO_GROWTH_DILUTED_EPS","FQ3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71" s="1" t="e">
        <f ca="1">_xll.BDH($C$353,"GEO_GROW_DVD_PER_SH","FQ3 2017","FQ3 2017","Currency=INR","Period=FQ","BEST_FPERIOD_OVERRIDE=FQ","FILING_STATUS=OR","EQY_CONSOLIDATED=Y","Sort=A","Dates=H","DateFormat=P","Fill=—","Direction=H","UseDPDF=Y")</f>
        <v>#NAME?</v>
      </c>
      <c r="AS371" s="1" t="e">
        <f ca="1">_xll.BDH($C$353,"ACCOUNTS_RECEIVABLE_5_YR_GROWTH","FQ3 2017","FQ3 2017","Currency=INR","Period=FQ","BEST_FPERIOD_OVERRIDE=FQ","FILING_STATUS=OR","EQY_CONSOLIDATED=Y","Sort=A","Dates=H","DateFormat=P","Fill=—","Direction=H","UseDPDF=Y")</f>
        <v>#NAME?</v>
      </c>
      <c r="AT371" s="1" t="e">
        <f ca="1">_xll.BDH($C$353,"INVENTORY_5_YEAR_GROWTH","FQ3 2017","FQ3 2017","Currency=INR","Period=FQ","BEST_FPERIOD_OVERRIDE=FQ","FILING_STATUS=OR","EQY_CONSOLIDATED=Y","Sort=A","Dates=H","DateFormat=P","Fill=—","Direction=H","UseDPDF=Y")</f>
        <v>#NAME?</v>
      </c>
      <c r="AU371" s="1" t="e">
        <f ca="1">_xll.BDH($C$353,"NET_FIXED_ASSETS_5_YEAR_GROWTH","FQ3 2017","FQ3 2017","Currency=INR","Period=FQ","BEST_FPERIOD_OVERRIDE=FQ","FILING_STATUS=OR","EQY_CONSOLIDATED=Y","Sort=A","Dates=H","DateFormat=P","Fill=—","Direction=H","UseDPDF=Y")</f>
        <v>#NAME?</v>
      </c>
      <c r="AV371" s="1" t="e">
        <f ca="1">_xll.BDH($C$353,"GEO_GROW_TOT_ASSET","FQ3 2017","FQ3 2017","Currency=INR","Period=FQ","BEST_FPERIOD_OVERRIDE=FQ","FILING_STATUS=OR","EQY_CONSOLIDATED=Y","Sort=A","Dates=H","DateFormat=P","Fill=—","Direction=H","UseDPDF=Y")</f>
        <v>#NAME?</v>
      </c>
      <c r="AW371" s="1" t="e">
        <f ca="1">_xll.BDH($C$353,"MODIFIED_WORKING_CPTL_5YR_GRWTH","FQ3 2017","FQ3 2017","Currency=INR","Period=FQ","BEST_FPERIOD_OVERRIDE=FQ","FILING_STATUS=OR","EQY_CONSOLIDATED=Y","Sort=A","Dates=H","DateFormat=P","Fill=—","Direction=H","UseDPDF=Y")</f>
        <v>#NAME?</v>
      </c>
      <c r="AX371" s="1" t="e">
        <f ca="1">_xll.BDH($C$353,"WORKING_CAPITAL_5_YEAR_GROWTH","FQ3 2017","FQ3 2017","Currency=INR","Period=FQ","BEST_FPERIOD_OVERRIDE=FQ","FILING_STATUS=OR","EQY_CONSOLIDATED=Y","Sort=A","Dates=H","DateFormat=P","Fill=—","Direction=H","UseDPDF=Y")</f>
        <v>#NAME?</v>
      </c>
      <c r="AY371" s="1" t="e">
        <f ca="1">_xll.BDH($C$353,"ACCOUNTS_PAYABLE_5_YEAR_GROWTH","FQ3 2017","FQ3 2017","Currency=INR","Period=FQ","BEST_FPERIOD_OVERRIDE=FQ","FILING_STATUS=OR","EQY_CONSOLIDATED=Y","Sort=A","Dates=H","DateFormat=P","Fill=—","Direction=H","UseDPDF=Y")</f>
        <v>#NAME?</v>
      </c>
      <c r="AZ371" s="1" t="e">
        <f ca="1">_xll.BDH($C$353,"SHORT_TERM_DEBT_5_YEAR_GROWTH","FQ3 2017","FQ3 2017","Currency=INR","Period=FQ","BEST_FPERIOD_OVERRIDE=FQ","FILING_STATUS=OR","EQY_CONSOLIDATED=Y","Sort=A","Dates=H","DateFormat=P","Fill=—","Direction=H","UseDPDF=Y")</f>
        <v>#NAME?</v>
      </c>
      <c r="BA371" s="1" t="e">
        <f ca="1">_xll.BDH($C$353,"TOTAL_DEBT_5_YEAR_GROWTH","FQ3 2017","FQ3 2017","Currency=INR","Period=FQ","BEST_FPERIOD_OVERRIDE=FQ","FILING_STATUS=OR","EQY_CONSOLIDATED=Y","Sort=A","Dates=H","DateFormat=P","Fill=—","Direction=H","UseDPDF=Y")</f>
        <v>#NAME?</v>
      </c>
      <c r="BB371" s="1" t="e">
        <f ca="1">_xll.BDH($C$353,"GEO_GROW_TOT_SHRHLDR_EQY","FQ3 2017","FQ3 2017","Currency=INR","Period=FQ","BEST_FPERIOD_OVERRIDE=FQ","FILING_STATUS=OR","EQY_CONSOLIDATED=Y","Sort=A","Dates=H","DateFormat=P","Fill=—","Direction=H","UseDPDF=Y")</f>
        <v>#NAME?</v>
      </c>
      <c r="BC371" s="1" t="e">
        <f ca="1">_xll.BDH($C$353,"TOTAL_CAPITAL_5_YEAR_GROWTH","FQ3 2017","FQ3 2017","Currency=INR","Period=FQ","BEST_FPERIOD_OVERRIDE=FQ","FILING_STATUS=OR","EQY_CONSOLIDATED=Y","Sort=A","Dates=H","DateFormat=P","Fill=—","Direction=H","UseDPDF=Y")</f>
        <v>#NAME?</v>
      </c>
      <c r="BD371" s="1" t="e">
        <f ca="1">_xll.BDH($C$353,"GEO_GROW_BOOK_VAL","FQ3 2017","FQ3 2017","Currency=INR","Period=FQ","BEST_FPERIOD_OVERRIDE=FQ","FILING_STATUS=OR","EQY_CONSOLIDATED=Y","Sort=A","Dates=H","DateFormat=P","Fill=—","Direction=H","UseDPDF=Y")</f>
        <v>#NAME?</v>
      </c>
      <c r="BE371" s="1" t="e">
        <f ca="1">_xll.BDH($C$353,"GEO_GROW_CASH_OPER_ACT","FQ3 2017","FQ3 2017","Currency=INR","Period=FQ","BEST_FPERIOD_OVERRIDE=FQ","FILING_STATUS=OR","EQY_CONSOLIDATED=Y","Sort=A","Dates=H","DateFormat=P","Fill=—","Direction=H","UseDPDF=Y")</f>
        <v>#NAME?</v>
      </c>
      <c r="BF371" s="1" t="e">
        <f ca="1">_xll.BDH($C$353,"REVENUE_SEQUENTIAL_GROWTH","FQ3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71" s="1" t="e">
        <f ca="1">_xll.BDH($C$353,"EBITDA_SEQUENTIAL_GROWTH","FQ3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71" s="1" t="e">
        <f ca="1">_xll.BDH($C$353,"OPERATING_INCOME_SEQ_GROWTH","FQ3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71" s="1" t="e">
        <f ca="1">_xll.BDH($C$353,"NET_INCOME_TO_COMMON_SEQ_GROWTH","FQ3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71" s="1" t="e">
        <f ca="1">_xll.BDH($C$353,"EPS_DILUTED_SEQUENTIAL_GROWTH","FQ3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71" s="1" t="e">
        <f ca="1">_xll.BDH($C$353,"DPS_SEQUENTIAL_GROWTH","FQ3 2017","FQ3 2017","Currency=INR","Period=FQ","BEST_FPERIOD_OVERRIDE=FQ","FILING_STATUS=OR","EQY_CONSOLIDATED=Y","Sort=A","Dates=H","DateFormat=P","Fill=—","Direction=H","UseDPDF=Y")</f>
        <v>#NAME?</v>
      </c>
      <c r="BL371" s="1" t="e">
        <f ca="1">_xll.BDH($C$353,"ACCOUNTS_RECEIVABLE_SEQ_GROWTH","FQ3 2017","FQ3 2017","Currency=INR","Period=FQ","BEST_FPERIOD_OVERRIDE=FQ","FILING_STATUS=OR","EQY_CONSOLIDATED=Y","Sort=A","Dates=H","DateFormat=P","Fill=—","Direction=H","UseDPDF=Y")</f>
        <v>#NAME?</v>
      </c>
      <c r="BM371" s="1" t="e">
        <f ca="1">_xll.BDH($C$353,"INVENTORY_SEQUENTIAL_GROWTH","FQ3 2017","FQ3 2017","Currency=INR","Period=FQ","BEST_FPERIOD_OVERRIDE=FQ","FILING_STATUS=OR","EQY_CONSOLIDATED=Y","Sort=A","Dates=H","DateFormat=P","Fill=—","Direction=H","UseDPDF=Y")</f>
        <v>#NAME?</v>
      </c>
      <c r="BN371" s="1" t="e">
        <f ca="1">_xll.BDH($C$353,"FIXED_ASSETS_SEQUENTIAL_GROWTH","FQ3 2017","FQ3 2017","Currency=INR","Period=FQ","BEST_FPERIOD_OVERRIDE=FQ","FILING_STATUS=OR","EQY_CONSOLIDATED=Y","Sort=A","Dates=H","DateFormat=P","Fill=—","Direction=H","UseDPDF=Y")</f>
        <v>#NAME?</v>
      </c>
      <c r="BO371" s="1" t="e">
        <f ca="1">_xll.BDH($C$353,"TOTAL_ASSETS_SEQUENTIAL_GROWTH","FQ3 2017","FQ3 2017","Currency=INR","Period=FQ","BEST_FPERIOD_OVERRIDE=FQ","FILING_STATUS=OR","EQY_CONSOLIDATED=Y","Sort=A","Dates=H","DateFormat=P","Fill=—","Direction=H","UseDPDF=Y")</f>
        <v>#NAME?</v>
      </c>
      <c r="BP371" s="1" t="e">
        <f ca="1">_xll.BDH($C$353,"MODIFIED_WORKING_CPTL_SEQ_GRWTH","FQ3 2017","FQ3 2017","Currency=INR","Period=FQ","BEST_FPERIOD_OVERRIDE=FQ","FILING_STATUS=OR","EQY_CONSOLIDATED=Y","Sort=A","Dates=H","DateFormat=P","Fill=—","Direction=H","UseDPDF=Y")</f>
        <v>#NAME?</v>
      </c>
      <c r="BQ371" s="1" t="e">
        <f ca="1">_xll.BDH($C$353,"WORKING_CAPITAL_SEQ_GROWTH","FQ3 2017","FQ3 2017","Currency=INR","Period=FQ","BEST_FPERIOD_OVERRIDE=FQ","FILING_STATUS=OR","EQY_CONSOLIDATED=Y","Sort=A","Dates=H","DateFormat=P","Fill=—","Direction=H","UseDPDF=Y")</f>
        <v>#NAME?</v>
      </c>
      <c r="BR371" s="1" t="e">
        <f ca="1">_xll.BDH($C$353,"ACCOUNTS_PAYABLE_SEQ_GROWTH","FQ3 2017","FQ3 2017","Currency=INR","Period=FQ","BEST_FPERIOD_OVERRIDE=FQ","FILING_STATUS=OR","EQY_CONSOLIDATED=Y","Sort=A","Dates=H","DateFormat=P","Fill=—","Direction=H","UseDPDF=Y")</f>
        <v>#NAME?</v>
      </c>
      <c r="BS371" s="1" t="e">
        <f ca="1">_xll.BDH($C$353,"ST_DEBT_SEQUENTIAL_GROWTH","FQ3 2017","FQ3 2017","Currency=INR","Period=FQ","BEST_FPERIOD_OVERRIDE=FQ","FILING_STATUS=OR","EQY_CONSOLIDATED=Y","Sort=A","Dates=H","DateFormat=P","Fill=—","Direction=H","UseDPDF=Y")</f>
        <v>#NAME?</v>
      </c>
      <c r="BT371" s="1" t="e">
        <f ca="1">_xll.BDH($C$353,"TOTAL_DEBT_SEQUENTIAL_GROWTH","FQ3 2017","FQ3 2017","Currency=INR","Period=FQ","BEST_FPERIOD_OVERRIDE=FQ","FILING_STATUS=OR","EQY_CONSOLIDATED=Y","Sort=A","Dates=H","DateFormat=P","Fill=—","Direction=H","UseDPDF=Y")</f>
        <v>#NAME?</v>
      </c>
      <c r="BU371" s="1" t="e">
        <f ca="1">_xll.BDH($C$353,"TOTAL_EQUITY_SEQUENTIAL_GROWTH","FQ3 2017","FQ3 2017","Currency=INR","Period=FQ","BEST_FPERIOD_OVERRIDE=FQ","FILING_STATUS=OR","EQY_CONSOLIDATED=Y","Sort=A","Dates=H","DateFormat=P","Fill=—","Direction=H","UseDPDF=Y")</f>
        <v>#NAME?</v>
      </c>
      <c r="BV371" s="1" t="e">
        <f ca="1">_xll.BDH($C$353,"TOTAL_CAPITAL_SEQUENTIAL_GROWTH","FQ3 2017","FQ3 2017","Currency=INR","Period=FQ","BEST_FPERIOD_OVERRIDE=FQ","FILING_STATUS=OR","EQY_CONSOLIDATED=Y","Sort=A","Dates=H","DateFormat=P","Fill=—","Direction=H","UseDPDF=Y")</f>
        <v>#NAME?</v>
      </c>
      <c r="BW371" s="1" t="e">
        <f ca="1">_xll.BDH($C$353,"BPS_SEQUENTIAL_GROWTH","FQ3 2017","FQ3 2017","Currency=INR","Period=FQ","BEST_FPERIOD_OVERRIDE=FQ","FILING_STATUS=OR","EQY_CONSOLIDATED=Y","Sort=A","Dates=H","DateFormat=P","Fill=—","Direction=H","UseDPDF=Y")</f>
        <v>#NAME?</v>
      </c>
      <c r="BX371" s="1" t="e">
        <f ca="1">_xll.BDH($C$353,"CFO_SEQUENTIAL_GROWTH","FQ3 2017","FQ3 2017","Currency=INR","Period=FQ","BEST_FPERIOD_OVERRIDE=FQ","FILING_STATUS=OR","EQY_CONSOLIDATED=Y","Sort=A","Dates=H","DateFormat=P","Fill=—","Direction=H","UseDPDF=Y")</f>
        <v>#NAME?</v>
      </c>
      <c r="BY371" s="2" t="e">
        <f ca="1">_xll.BDH($C$353,"SHORT_AND_LONG_TERM_DEBT","FQ3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71" s="2" t="e">
        <f ca="1">_xll.BDH($C$353,"BS_ST_BORROW","FQ3 2017","FQ3 2017","Currency=INR","Period=FQ","BEST_FPERIOD_OVERRIDE=FQ","FILING_STATUS=OR","EQY_CONSOLIDATED=Y","SCALING_FORMAT=MLN","Sort=A","Dates=H","DateFormat=P","Fill=—","Direction=H","UseDPDF=Y")</f>
        <v>#NAME?</v>
      </c>
      <c r="CA371" s="2" t="e">
        <f ca="1">_xll.BDH($C$353,"BS_LT_BORROW","FQ3 2017","FQ3 2017","Currency=INR","Period=FQ","BEST_FPERIOD_OVERRIDE=FQ","FILING_STATUS=OR","EQY_CONSOLIDATED=Y","SCALING_FORMAT=MLN","Sort=A","Dates=H","DateFormat=P","Fill=—","Direction=H","UseDPDF=Y")</f>
        <v>#NAME?</v>
      </c>
      <c r="CB371" s="1" t="e">
        <f ca="1">_xll.BDH($C$353,"TOT_DEBT_TO_EBITDA","FQ3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71" s="1" t="e">
        <f ca="1">_xll.BDH($C$353,"NET_DEBT_TO_EBITDA","FQ3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71" s="1" t="e">
        <f ca="1">_xll.BDH($C$353,"TOTAL_DEBT_TO_EBIT","FQ3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71" s="1" t="e">
        <f ca="1">_xll.BDH($C$353,"NET_DEBT_TO_EBIT","FQ3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371" s="1" t="e">
        <f ca="1">_xll.BDH($C$353,"EBITDA_TO_INTEREST_EXPN","FQ3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71" s="1" t="e">
        <f ca="1">_xll.BDH($C$353,"COM_EQY_TO_TOT_ASSET","FQ3 2017","FQ3 2017","Currency=INR","Period=FQ","BEST_FPERIOD_OVERRIDE=FQ","FILING_STATUS=OR","EQY_CONSOLIDATED=Y","Sort=A","Dates=H","DateFormat=P","Fill=—","Direction=H","UseDPDF=Y")</f>
        <v>#NAME?</v>
      </c>
      <c r="CH371" s="1" t="e">
        <f ca="1">_xll.BDH($C$353,"LT_DEBT_TO_TOT_EQY","FQ3 2017","FQ3 2017","Currency=INR","Period=FQ","BEST_FPERIOD_OVERRIDE=FQ","FILING_STATUS=OR","EQY_CONSOLIDATED=Y","Sort=A","Dates=H","DateFormat=P","Fill=—","Direction=H","UseDPDF=Y")</f>
        <v>#NAME?</v>
      </c>
      <c r="CI371" s="1" t="e">
        <f ca="1">_xll.BDH($C$353,"LT_DEBT_TO_TOT_CAP","FQ3 2017","FQ3 2017","Currency=INR","Period=FQ","BEST_FPERIOD_OVERRIDE=FQ","FILING_STATUS=OR","EQY_CONSOLIDATED=Y","Sort=A","Dates=H","DateFormat=P","Fill=—","Direction=H","UseDPDF=Y")</f>
        <v>#NAME?</v>
      </c>
      <c r="CJ371" s="1" t="e">
        <f ca="1">_xll.BDH($C$353,"LT_DEBT_TO_TOT_ASSET","FQ3 2017","FQ3 2017","Currency=INR","Period=FQ","BEST_FPERIOD_OVERRIDE=FQ","FILING_STATUS=OR","EQY_CONSOLIDATED=Y","Sort=A","Dates=H","DateFormat=P","Fill=—","Direction=H","UseDPDF=Y")</f>
        <v>#NAME?</v>
      </c>
      <c r="CK371" s="1" t="e">
        <f ca="1">_xll.BDH($C$353,"TOT_DEBT_TO_TOT_EQY","FQ3 2017","FQ3 2017","Currency=INR","Period=FQ","BEST_FPERIOD_OVERRIDE=FQ","FILING_STATUS=OR","EQY_CONSOLIDATED=Y","Sort=A","Dates=H","DateFormat=P","Fill=—","Direction=H","UseDPDF=Y")</f>
        <v>#NAME?</v>
      </c>
      <c r="CL371" s="1" t="e">
        <f ca="1">_xll.BDH($C$353,"TOT_DEBT_TO_TOT_CAP","FQ3 2017","FQ3 2017","Currency=INR","Period=FQ","BEST_FPERIOD_OVERRIDE=FQ","FILING_STATUS=OR","EQY_CONSOLIDATED=Y","Sort=A","Dates=H","DateFormat=P","Fill=—","Direction=H","UseDPDF=Y")</f>
        <v>#NAME?</v>
      </c>
      <c r="CM371" s="1" t="e">
        <f ca="1">_xll.BDH($C$353,"TOT_DEBT_TO_TOT_ASSET","FQ3 2017","FQ3 2017","Currency=INR","Period=FQ","BEST_FPERIOD_OVERRIDE=FQ","FILING_STATUS=OR","EQY_CONSOLIDATED=Y","Sort=A","Dates=H","DateFormat=P","Fill=—","Direction=H","UseDPDF=Y")</f>
        <v>#NAME?</v>
      </c>
      <c r="CN371" s="1" t="e">
        <f ca="1">_xll.BDH($C$353,"NET_DEBT_TO_SHRHLDR_EQTY","FQ3 2017","FQ3 2017","Currency=INR","Period=FQ","BEST_FPERIOD_OVERRIDE=FQ","FILING_STATUS=OR","EQY_CONSOLIDATED=Y","Sort=A","Dates=H","DateFormat=P","Fill=—","Direction=H","UseDPDF=Y")</f>
        <v>#NAME?</v>
      </c>
      <c r="CO371" s="1" t="e">
        <f ca="1">_xll.BDH($C$353,"NET_DEBT_%_CAPITAL","FQ3 2017","FQ3 2017","Currency=INR","Period=FQ","BEST_FPERIOD_OVERRIDE=FQ","FILING_STATUS=OR","EQY_CONSOLIDATED=Y","Sort=A","Dates=H","DateFormat=P","Fill=—","Direction=H","UseDPDF=Y")</f>
        <v>#NAME?</v>
      </c>
      <c r="CP371" s="2" t="e">
        <f ca="1">_xll.BDH($C$353,"EBITDA","FQ3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71" s="2" t="e">
        <f ca="1">_xll.BDH($C$353,"EBITDA_AFTER_CAPEX","FQ3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71" s="2" t="e">
        <f ca="1">_xll.BDH($C$353,"IS_OPER_INC","FQ3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71" s="1" t="e">
        <f ca="1">_xll.BDH($C$353,"CASH_RATIO","FQ3 2017","FQ3 2017","Currency=INR","Period=FQ","BEST_FPERIOD_OVERRIDE=FQ","FILING_STATUS=OR","EQY_CONSOLIDATED=Y","Sort=A","Dates=H","DateFormat=P","Fill=—","Direction=H","UseDPDF=Y")</f>
        <v>#NAME?</v>
      </c>
      <c r="CT371" s="1" t="e">
        <f ca="1">_xll.BDH($C$353,"CUR_RATIO","FQ3 2017","FQ3 2017","Currency=INR","Period=FQ","BEST_FPERIOD_OVERRIDE=FQ","FILING_STATUS=OR","EQY_CONSOLIDATED=Y","Sort=A","Dates=H","DateFormat=P","Fill=—","Direction=H","UseDPDF=Y")</f>
        <v>#NAME?</v>
      </c>
      <c r="CU371" s="1" t="e">
        <f ca="1">_xll.BDH($C$353,"QUICK_RATIO","FQ3 2017","FQ3 2017","Currency=INR","Period=FQ","BEST_FPERIOD_OVERRIDE=FQ","FILING_STATUS=OR","EQY_CONSOLIDATED=Y","Sort=A","Dates=H","DateFormat=P","Fill=—","Direction=H","UseDPDF=Y")</f>
        <v>#NAME?</v>
      </c>
      <c r="CV371" s="1" t="e">
        <f ca="1">_xll.BDH($C$353,"ALTMAN_Z_SCORE","FQ3 2017","FQ3 2017","Currency=INR","Period=FQ","BEST_FPERIOD_OVERRIDE=FQ","FILING_STATUS=OR","EQY_CONSOLIDATED=Y","Sort=A","Dates=H","DateFormat=P","Fill=—","Direction=H","UseDPDF=Y")</f>
        <v>#NAME?</v>
      </c>
      <c r="CW371" s="3" t="e">
        <f ca="1">_xll.BDH($C$353,"ACCT_RCV_TURN","FQ3 2017","FQ3 2017","Currency=INR","Period=FQ","BEST_FPERIOD_OVERRIDE=FQ","FILING_STATUS=OR","EQY_CONSOLIDATED=Y","FA_ADJUSTED=GAAP","Sort=A","Dates=H","DateFormat=P","Fill=—","Direction=H","UseDPDF=Y")</f>
        <v>#NAME?</v>
      </c>
      <c r="CX371" s="1" t="e">
        <f ca="1">_xll.BDH($C$353,"ACCT_RCV_DAYS","FQ3 2017","FQ3 2017","Currency=INR","Period=FQ","BEST_FPERIOD_OVERRIDE=FQ","FILING_STATUS=OR","EQY_CONSOLIDATED=Y","FA_ADJUSTED=GAAP","Sort=A","Dates=H","DateFormat=P","Fill=—","Direction=H","UseDPDF=Y")</f>
        <v>#NAME?</v>
      </c>
      <c r="CY371" s="3" t="e">
        <f ca="1">_xll.BDH($C$353,"INVENT_TURN","FQ3 2017","FQ3 2017","Currency=INR","Period=FQ","BEST_FPERIOD_OVERRIDE=FQ","FILING_STATUS=OR","EQY_CONSOLIDATED=Y","FA_ADJUSTED=GAAP","Sort=A","Dates=H","DateFormat=P","Fill=—","Direction=H","UseDPDF=Y")</f>
        <v>#NAME?</v>
      </c>
      <c r="CZ371" s="1" t="e">
        <f ca="1">_xll.BDH($C$353,"INVENT_DAYS","FQ3 2017","FQ3 2017","Currency=INR","Period=FQ","BEST_FPERIOD_OVERRIDE=FQ","FILING_STATUS=OR","EQY_CONSOLIDATED=Y","FA_ADJUSTED=GAAP","Sort=A","Dates=H","DateFormat=P","Fill=—","Direction=H","UseDPDF=Y")</f>
        <v>#NAME?</v>
      </c>
      <c r="DA371" s="3" t="e">
        <f ca="1">_xll.BDH($C$353,"ACCOUNTS_PAYABLE_TURNOVER","FQ3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71" s="1" t="e">
        <f ca="1">_xll.BDH($C$353,"ACCOUNTS_PAYABLE_TURNOVER_DAYS","FQ3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71" s="3" t="e">
        <f ca="1">_xll.BDH($C$353,"CASH_CONVERSION_CYCLE","FQ3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71" s="3" t="e">
        <f ca="1">_xll.BDH($C$353,"INV_TO_CASH_DAYS","FQ3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371" s="4" t="e">
        <f ca="1">_xll.BDH($C$353,"BS_INVENTORIES","FQ3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371" s="2" t="e">
        <f ca="1">_xll.BDH($C$353,"INVTRY_RAW_MATERIALS","FQ3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71" s="2" t="e">
        <f ca="1">_xll.BDH($C$353,"INVTRY_IN_PROGRESS","FQ3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71" s="2" t="e">
        <f ca="1">_xll.BDH($C$353,"INVTRY_FINISHED_GOODS","FQ3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71" s="2" t="e">
        <f ca="1">_xll.BDH($C$353,"BS_OTHER_INV","FQ3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72" spans="1:113" x14ac:dyDescent="0.3">
      <c r="A372" s="6"/>
      <c r="B372" s="6"/>
      <c r="C372" s="6"/>
      <c r="D372" s="6"/>
      <c r="E372" t="s">
        <v>7</v>
      </c>
      <c r="F372" t="e">
        <f ca="1">_xll.BDH($C$353,"RETURN_COM_EQY","FQ4 2017","FQ4 2017","Currency=INR","Period=FQ","BEST_FPERIOD_OVERRIDE=FQ","FILING_STATUS=OR","EQY_CONSOLIDATED=Y","FA_ADJUSTED=GAAP","Sort=A","Dates=H","DateFormat=P","Fill=—","Direction=H","UseDPDF=Y")</f>
        <v>#NAME?</v>
      </c>
      <c r="G372" t="e">
        <f ca="1">_xll.BDH($C$353,"RETURN_ON_ASSET","FQ4 2017","FQ4 2017","Currency=INR","Period=FQ","BEST_FPERIOD_OVERRIDE=FQ","FILING_STATUS=OR","EQY_CONSOLIDATED=Y","FA_ADJUSTED=GAAP","Sort=A","Dates=H","DateFormat=P","Fill=—","Direction=H","UseDPDF=Y")</f>
        <v>#NAME?</v>
      </c>
      <c r="H372" t="e">
        <f ca="1">_xll.BDH($C$353,"RETURN_ON_CAP","FQ4 2017","FQ4 2017","Currency=INR","Period=FQ","BEST_FPERIOD_OVERRIDE=FQ","FILING_STATUS=OR","EQY_CONSOLIDATED=Y","FA_ADJUSTED=GAAP","Sort=A","Dates=H","DateFormat=P","Fill=—","Direction=H","UseDPDF=Y")</f>
        <v>#NAME?</v>
      </c>
      <c r="I372" t="e">
        <f ca="1">_xll.BDH($C$353,"RETURN_ON_INV_CAPITAL","FQ4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72" t="e">
        <f ca="1">_xll.BDH($C$353,"EBITDA_TO_REVENUE","FQ4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372" t="e">
        <f ca="1">_xll.BDH($C$353,"OPER_MARGIN","FQ4 2017","FQ4 2017","Currency=INR","Period=FQ","BEST_FPERIOD_OVERRIDE=FQ","FILING_STATUS=OR","EQY_CONSOLIDATED=Y","FA_ADJUSTED=GAAP","Sort=A","Dates=H","DateFormat=P","Fill=—","Direction=H","UseDPDF=Y")</f>
        <v>#NAME?</v>
      </c>
      <c r="L372" t="e">
        <f ca="1">_xll.BDH($C$353,"INCREMENTAL_OPERATING_MARGIN","FQ4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72" t="e">
        <f ca="1">_xll.BDH($C$353,"PRETAX_INC_TO_NET_SALES","FQ4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72" t="e">
        <f ca="1">_xll.BDH($C$353,"INC_BEF_XO_ITEMS_TO_NET_SALES","FQ4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72" t="e">
        <f ca="1">_xll.BDH($C$353,"PROF_MARGIN","FQ4 2017","FQ4 2017","Currency=INR","Period=FQ","BEST_FPERIOD_OVERRIDE=FQ","FILING_STATUS=OR","EQY_CONSOLIDATED=Y","FA_ADJUSTED=GAAP","Sort=A","Dates=H","DateFormat=P","Fill=—","Direction=H","UseDPDF=Y")</f>
        <v>#NAME?</v>
      </c>
      <c r="P372" t="e">
        <f ca="1">_xll.BDH($C$353,"NET_INCOME_TO_COMMON_MARGIN","FQ4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72" t="e">
        <f ca="1">_xll.BDH($C$353,"EFF_TAX_RATE","FQ4 2017","FQ4 2017","Currency=INR","Period=FQ","BEST_FPERIOD_OVERRIDE=FQ","FILING_STATUS=OR","EQY_CONSOLIDATED=Y","FA_ADJUSTED=GAAP","Sort=A","Dates=H","DateFormat=P","Fill=—","Direction=H","UseDPDF=Y")</f>
        <v>#NAME?</v>
      </c>
      <c r="R372" t="e">
        <f ca="1">_xll.BDH($C$353,"DVD_PAYOUT_RATIO","FQ4 2017","FQ4 2017","Currency=INR","Period=FQ","BEST_FPERIOD_OVERRIDE=FQ","FILING_STATUS=OR","EQY_CONSOLIDATED=Y","FA_ADJUSTED=GAAP","Sort=A","Dates=H","DateFormat=P","Fill=—","Direction=H","UseDPDF=Y")</f>
        <v>#NAME?</v>
      </c>
      <c r="S372" t="e">
        <f ca="1">_xll.BDH($C$353,"SUSTAIN_GROWTH_RT","FQ4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372" s="1" t="e">
        <f ca="1">_xll.BDH($C$353,"SALES_GROWTH","FQ4 2017","FQ4 2017","Currency=INR","Period=FQ","BEST_FPERIOD_OVERRIDE=FQ","FILING_STATUS=OR","EQY_CONSOLIDATED=Y","FA_ADJUSTED=GAAP","Sort=A","Dates=H","DateFormat=P","Fill=—","Direction=H","UseDPDF=Y")</f>
        <v>#NAME?</v>
      </c>
      <c r="U372" s="1" t="e">
        <f ca="1">_xll.BDH($C$353,"EBITDA_GROWTH","FQ4 2017","FQ4 2017","Currency=INR","Period=FQ","BEST_FPERIOD_OVERRIDE=FQ","FILING_STATUS=OR","EQY_CONSOLIDATED=Y","FA_ADJUSTED=GAAP","Sort=A","Dates=H","DateFormat=P","Fill=—","Direction=H","UseDPDF=Y")</f>
        <v>#NAME?</v>
      </c>
      <c r="V372" s="1" t="e">
        <f ca="1">_xll.BDH($C$353,"OPER_INC_GROWTH","FQ4 2017","FQ4 2017","Currency=INR","Period=FQ","BEST_FPERIOD_OVERRIDE=FQ","FILING_STATUS=OR","EQY_CONSOLIDATED=Y","FA_ADJUSTED=GAAP","Sort=A","Dates=H","DateFormat=P","Fill=—","Direction=H","UseDPDF=Y")</f>
        <v>#NAME?</v>
      </c>
      <c r="W372" s="1" t="e">
        <f ca="1">_xll.BDH($C$353,"EARN_FOR_COM_GROWTH","FQ4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72" s="1" t="e">
        <f ca="1">_xll.BDH($C$353,"DILUTED_EPS_AFT_XO_ITEMS_GROWTH","FQ4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72" s="1" t="e">
        <f ca="1">_xll.BDH($C$353,"DIVIDEND_PER_SHARE_1_YEAR_GROWTH","FQ4 2017","FQ4 2017","Currency=INR","Period=FQ","BEST_FPERIOD_OVERRIDE=FQ","FILING_STATUS=OR","EQY_CONSOLIDATED=Y","Sort=A","Dates=H","DateFormat=P","Fill=—","Direction=H","UseDPDF=Y")</f>
        <v>#NAME?</v>
      </c>
      <c r="Z372" s="1" t="e">
        <f ca="1">_xll.BDH($C$353,"ACCOUNTS_RECEIVABLE_GROWTH","FQ4 2017","FQ4 2017","Currency=INR","Period=FQ","BEST_FPERIOD_OVERRIDE=FQ","FILING_STATUS=OR","EQY_CONSOLIDATED=Y","Sort=A","Dates=H","DateFormat=P","Fill=—","Direction=H","UseDPDF=Y")</f>
        <v>#NAME?</v>
      </c>
      <c r="AA372" s="1" t="e">
        <f ca="1">_xll.BDH($C$353,"INVENTORY_GROWTH","FQ4 2017","FQ4 2017","Currency=INR","Period=FQ","BEST_FPERIOD_OVERRIDE=FQ","FILING_STATUS=OR","EQY_CONSOLIDATED=Y","Sort=A","Dates=H","DateFormat=P","Fill=—","Direction=H","UseDPDF=Y")</f>
        <v>#NAME?</v>
      </c>
      <c r="AB372" s="1" t="e">
        <f ca="1">_xll.BDH($C$353,"NET_FIXED_ASSETS_1_YEAR_GROWTH","FQ4 2017","FQ4 2017","Currency=INR","Period=FQ","BEST_FPERIOD_OVERRIDE=FQ","FILING_STATUS=OR","EQY_CONSOLIDATED=Y","Sort=A","Dates=H","DateFormat=P","Fill=—","Direction=H","UseDPDF=Y")</f>
        <v>#NAME?</v>
      </c>
      <c r="AC372" s="1" t="e">
        <f ca="1">_xll.BDH($C$353,"ASSET_GROWTH","FQ4 2017","FQ4 2017","Currency=INR","Period=FQ","BEST_FPERIOD_OVERRIDE=FQ","FILING_STATUS=OR","EQY_CONSOLIDATED=Y","Sort=A","Dates=H","DateFormat=P","Fill=—","Direction=H","UseDPDF=Y")</f>
        <v>#NAME?</v>
      </c>
      <c r="AD372" s="1" t="e">
        <f ca="1">_xll.BDH($C$353,"MODIFIED_WORK_CAP_GROWTH","FQ4 2017","FQ4 2017","Currency=INR","Period=FQ","BEST_FPERIOD_OVERRIDE=FQ","FILING_STATUS=OR","EQY_CONSOLIDATED=Y","Sort=A","Dates=H","DateFormat=P","Fill=—","Direction=H","UseDPDF=Y")</f>
        <v>#NAME?</v>
      </c>
      <c r="AE372" s="1" t="e">
        <f ca="1">_xll.BDH($C$353,"WORK_CAP_GROWTH","FQ4 2017","FQ4 2017","Currency=INR","Period=FQ","BEST_FPERIOD_OVERRIDE=FQ","FILING_STATUS=OR","EQY_CONSOLIDATED=Y","Sort=A","Dates=H","DateFormat=P","Fill=—","Direction=H","UseDPDF=Y")</f>
        <v>#NAME?</v>
      </c>
      <c r="AF372" s="1" t="e">
        <f ca="1">_xll.BDH($C$353,"ACCOUNTS_PAYABLE_GROWTH_1YR","FQ4 2017","FQ4 2017","Currency=INR","Period=FQ","BEST_FPERIOD_OVERRIDE=FQ","FILING_STATUS=OR","EQY_CONSOLIDATED=Y","Sort=A","Dates=H","DateFormat=P","Fill=—","Direction=H","UseDPDF=Y")</f>
        <v>#NAME?</v>
      </c>
      <c r="AG372" s="1" t="e">
        <f ca="1">_xll.BDH($C$353,"SHORT_TERM_DEBT_1_YEAR_GROWTH","FQ4 2017","FQ4 2017","Currency=INR","Period=FQ","BEST_FPERIOD_OVERRIDE=FQ","FILING_STATUS=OR","EQY_CONSOLIDATED=Y","Sort=A","Dates=H","DateFormat=P","Fill=—","Direction=H","UseDPDF=Y")</f>
        <v>#NAME?</v>
      </c>
      <c r="AH372" s="1" t="e">
        <f ca="1">_xll.BDH($C$353,"TOTAL_DEBT_1_YEAR_GROWTH","FQ4 2017","FQ4 2017","Currency=INR","Period=FQ","BEST_FPERIOD_OVERRIDE=FQ","FILING_STATUS=OR","EQY_CONSOLIDATED=Y","Sort=A","Dates=H","DateFormat=P","Fill=—","Direction=H","UseDPDF=Y")</f>
        <v>#NAME?</v>
      </c>
      <c r="AI372" s="1" t="e">
        <f ca="1">_xll.BDH($C$353,"TOTAL_EQUITY_1_YEAR_GROWTH","FQ4 2017","FQ4 2017","Currency=INR","Period=FQ","BEST_FPERIOD_OVERRIDE=FQ","FILING_STATUS=OR","EQY_CONSOLIDATED=Y","Sort=A","Dates=H","DateFormat=P","Fill=—","Direction=H","UseDPDF=Y")</f>
        <v>#NAME?</v>
      </c>
      <c r="AJ372" s="1" t="e">
        <f ca="1">_xll.BDH($C$353,"GROWTH_IN_CAP","FQ4 2017","FQ4 2017","Currency=INR","Period=FQ","BEST_FPERIOD_OVERRIDE=FQ","FILING_STATUS=OR","EQY_CONSOLIDATED=Y","Sort=A","Dates=H","DateFormat=P","Fill=—","Direction=H","UseDPDF=Y")</f>
        <v>#NAME?</v>
      </c>
      <c r="AK372" s="1" t="e">
        <f ca="1">_xll.BDH($C$353,"BVPS_GROWTH","FQ4 2017","FQ4 2017","Currency=INR","Period=FQ","BEST_FPERIOD_OVERRIDE=FQ","FILING_STATUS=OR","EQY_CONSOLIDATED=Y","Sort=A","Dates=H","DateFormat=P","Fill=—","Direction=H","UseDPDF=Y")</f>
        <v>#NAME?</v>
      </c>
      <c r="AL372" s="1" t="e">
        <f ca="1">_xll.BDH($C$353,"CASH_FLOW_GROWTH","FQ4 2017","FQ4 2017","Currency=INR","Period=FQ","BEST_FPERIOD_OVERRIDE=FQ","FILING_STATUS=OR","EQY_CONSOLIDATED=Y","Sort=A","Dates=H","DateFormat=P","Fill=—","Direction=H","UseDPDF=Y")</f>
        <v>#NAME?</v>
      </c>
      <c r="AM372" s="1" t="e">
        <f ca="1">_xll.BDH($C$353,"GEO_GROW_NET_SALES","FQ4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72" s="1" t="e">
        <f ca="1">_xll.BDH($C$353,"GEO_GROW_EBITDA","FQ4 2017","FQ4 2017","Currency=INR","Period=FQ","BEST_FPERIOD_OVERRIDE=FQ","FILING_STATUS=OR","EQY_CONSOLIDATED=Y","FA_ADJUSTED=GAAP","Sort=A","Dates=H","DateFormat=P","Fill=—","Direction=H","UseDPDF=Y")</f>
        <v>#NAME?</v>
      </c>
      <c r="AO372" s="1" t="e">
        <f ca="1">_xll.BDH($C$353,"GEO_GROW_OPER_INC","FQ4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72" s="1" t="e">
        <f ca="1">_xll.BDH($C$353,"NET_INCOME_TO_COMMON_5_YR_GROWTH","FQ4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72" s="1" t="e">
        <f ca="1">_xll.BDH($C$353,"5Y_GEO_GROWTH_DILUTED_EPS","FQ4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72" s="1" t="e">
        <f ca="1">_xll.BDH($C$353,"GEO_GROW_DVD_PER_SH","FQ4 2017","FQ4 2017","Currency=INR","Period=FQ","BEST_FPERIOD_OVERRIDE=FQ","FILING_STATUS=OR","EQY_CONSOLIDATED=Y","Sort=A","Dates=H","DateFormat=P","Fill=—","Direction=H","UseDPDF=Y")</f>
        <v>#NAME?</v>
      </c>
      <c r="AS372" s="1" t="e">
        <f ca="1">_xll.BDH($C$353,"ACCOUNTS_RECEIVABLE_5_YR_GROWTH","FQ4 2017","FQ4 2017","Currency=INR","Period=FQ","BEST_FPERIOD_OVERRIDE=FQ","FILING_STATUS=OR","EQY_CONSOLIDATED=Y","Sort=A","Dates=H","DateFormat=P","Fill=—","Direction=H","UseDPDF=Y")</f>
        <v>#NAME?</v>
      </c>
      <c r="AT372" s="1" t="e">
        <f ca="1">_xll.BDH($C$353,"INVENTORY_5_YEAR_GROWTH","FQ4 2017","FQ4 2017","Currency=INR","Period=FQ","BEST_FPERIOD_OVERRIDE=FQ","FILING_STATUS=OR","EQY_CONSOLIDATED=Y","Sort=A","Dates=H","DateFormat=P","Fill=—","Direction=H","UseDPDF=Y")</f>
        <v>#NAME?</v>
      </c>
      <c r="AU372" s="1" t="e">
        <f ca="1">_xll.BDH($C$353,"NET_FIXED_ASSETS_5_YEAR_GROWTH","FQ4 2017","FQ4 2017","Currency=INR","Period=FQ","BEST_FPERIOD_OVERRIDE=FQ","FILING_STATUS=OR","EQY_CONSOLIDATED=Y","Sort=A","Dates=H","DateFormat=P","Fill=—","Direction=H","UseDPDF=Y")</f>
        <v>#NAME?</v>
      </c>
      <c r="AV372" s="1" t="e">
        <f ca="1">_xll.BDH($C$353,"GEO_GROW_TOT_ASSET","FQ4 2017","FQ4 2017","Currency=INR","Period=FQ","BEST_FPERIOD_OVERRIDE=FQ","FILING_STATUS=OR","EQY_CONSOLIDATED=Y","Sort=A","Dates=H","DateFormat=P","Fill=—","Direction=H","UseDPDF=Y")</f>
        <v>#NAME?</v>
      </c>
      <c r="AW372" s="1" t="e">
        <f ca="1">_xll.BDH($C$353,"MODIFIED_WORKING_CPTL_5YR_GRWTH","FQ4 2017","FQ4 2017","Currency=INR","Period=FQ","BEST_FPERIOD_OVERRIDE=FQ","FILING_STATUS=OR","EQY_CONSOLIDATED=Y","Sort=A","Dates=H","DateFormat=P","Fill=—","Direction=H","UseDPDF=Y")</f>
        <v>#NAME?</v>
      </c>
      <c r="AX372" s="1" t="e">
        <f ca="1">_xll.BDH($C$353,"WORKING_CAPITAL_5_YEAR_GROWTH","FQ4 2017","FQ4 2017","Currency=INR","Period=FQ","BEST_FPERIOD_OVERRIDE=FQ","FILING_STATUS=OR","EQY_CONSOLIDATED=Y","Sort=A","Dates=H","DateFormat=P","Fill=—","Direction=H","UseDPDF=Y")</f>
        <v>#NAME?</v>
      </c>
      <c r="AY372" s="1" t="e">
        <f ca="1">_xll.BDH($C$353,"ACCOUNTS_PAYABLE_5_YEAR_GROWTH","FQ4 2017","FQ4 2017","Currency=INR","Period=FQ","BEST_FPERIOD_OVERRIDE=FQ","FILING_STATUS=OR","EQY_CONSOLIDATED=Y","Sort=A","Dates=H","DateFormat=P","Fill=—","Direction=H","UseDPDF=Y")</f>
        <v>#NAME?</v>
      </c>
      <c r="AZ372" s="1" t="e">
        <f ca="1">_xll.BDH($C$353,"SHORT_TERM_DEBT_5_YEAR_GROWTH","FQ4 2017","FQ4 2017","Currency=INR","Period=FQ","BEST_FPERIOD_OVERRIDE=FQ","FILING_STATUS=OR","EQY_CONSOLIDATED=Y","Sort=A","Dates=H","DateFormat=P","Fill=—","Direction=H","UseDPDF=Y")</f>
        <v>#NAME?</v>
      </c>
      <c r="BA372" s="1" t="e">
        <f ca="1">_xll.BDH($C$353,"TOTAL_DEBT_5_YEAR_GROWTH","FQ4 2017","FQ4 2017","Currency=INR","Period=FQ","BEST_FPERIOD_OVERRIDE=FQ","FILING_STATUS=OR","EQY_CONSOLIDATED=Y","Sort=A","Dates=H","DateFormat=P","Fill=—","Direction=H","UseDPDF=Y")</f>
        <v>#NAME?</v>
      </c>
      <c r="BB372" s="1" t="e">
        <f ca="1">_xll.BDH($C$353,"GEO_GROW_TOT_SHRHLDR_EQY","FQ4 2017","FQ4 2017","Currency=INR","Period=FQ","BEST_FPERIOD_OVERRIDE=FQ","FILING_STATUS=OR","EQY_CONSOLIDATED=Y","Sort=A","Dates=H","DateFormat=P","Fill=—","Direction=H","UseDPDF=Y")</f>
        <v>#NAME?</v>
      </c>
      <c r="BC372" s="1" t="e">
        <f ca="1">_xll.BDH($C$353,"TOTAL_CAPITAL_5_YEAR_GROWTH","FQ4 2017","FQ4 2017","Currency=INR","Period=FQ","BEST_FPERIOD_OVERRIDE=FQ","FILING_STATUS=OR","EQY_CONSOLIDATED=Y","Sort=A","Dates=H","DateFormat=P","Fill=—","Direction=H","UseDPDF=Y")</f>
        <v>#NAME?</v>
      </c>
      <c r="BD372" s="1" t="e">
        <f ca="1">_xll.BDH($C$353,"GEO_GROW_BOOK_VAL","FQ4 2017","FQ4 2017","Currency=INR","Period=FQ","BEST_FPERIOD_OVERRIDE=FQ","FILING_STATUS=OR","EQY_CONSOLIDATED=Y","Sort=A","Dates=H","DateFormat=P","Fill=—","Direction=H","UseDPDF=Y")</f>
        <v>#NAME?</v>
      </c>
      <c r="BE372" s="1" t="e">
        <f ca="1">_xll.BDH($C$353,"GEO_GROW_CASH_OPER_ACT","FQ4 2017","FQ4 2017","Currency=INR","Period=FQ","BEST_FPERIOD_OVERRIDE=FQ","FILING_STATUS=OR","EQY_CONSOLIDATED=Y","Sort=A","Dates=H","DateFormat=P","Fill=—","Direction=H","UseDPDF=Y")</f>
        <v>#NAME?</v>
      </c>
      <c r="BF372" s="1" t="e">
        <f ca="1">_xll.BDH($C$353,"REVENUE_SEQUENTIAL_GROWTH","FQ4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72" s="1" t="e">
        <f ca="1">_xll.BDH($C$353,"EBITDA_SEQUENTIAL_GROWTH","FQ4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72" s="1" t="e">
        <f ca="1">_xll.BDH($C$353,"OPERATING_INCOME_SEQ_GROWTH","FQ4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72" s="1" t="e">
        <f ca="1">_xll.BDH($C$353,"NET_INCOME_TO_COMMON_SEQ_GROWTH","FQ4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72" s="1" t="e">
        <f ca="1">_xll.BDH($C$353,"EPS_DILUTED_SEQUENTIAL_GROWTH","FQ4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72" s="1" t="e">
        <f ca="1">_xll.BDH($C$353,"DPS_SEQUENTIAL_GROWTH","FQ4 2017","FQ4 2017","Currency=INR","Period=FQ","BEST_FPERIOD_OVERRIDE=FQ","FILING_STATUS=OR","EQY_CONSOLIDATED=Y","Sort=A","Dates=H","DateFormat=P","Fill=—","Direction=H","UseDPDF=Y")</f>
        <v>#NAME?</v>
      </c>
      <c r="BL372" s="1" t="e">
        <f ca="1">_xll.BDH($C$353,"ACCOUNTS_RECEIVABLE_SEQ_GROWTH","FQ4 2017","FQ4 2017","Currency=INR","Period=FQ","BEST_FPERIOD_OVERRIDE=FQ","FILING_STATUS=OR","EQY_CONSOLIDATED=Y","Sort=A","Dates=H","DateFormat=P","Fill=—","Direction=H","UseDPDF=Y")</f>
        <v>#NAME?</v>
      </c>
      <c r="BM372" s="1" t="e">
        <f ca="1">_xll.BDH($C$353,"INVENTORY_SEQUENTIAL_GROWTH","FQ4 2017","FQ4 2017","Currency=INR","Period=FQ","BEST_FPERIOD_OVERRIDE=FQ","FILING_STATUS=OR","EQY_CONSOLIDATED=Y","Sort=A","Dates=H","DateFormat=P","Fill=—","Direction=H","UseDPDF=Y")</f>
        <v>#NAME?</v>
      </c>
      <c r="BN372" s="1" t="e">
        <f ca="1">_xll.BDH($C$353,"FIXED_ASSETS_SEQUENTIAL_GROWTH","FQ4 2017","FQ4 2017","Currency=INR","Period=FQ","BEST_FPERIOD_OVERRIDE=FQ","FILING_STATUS=OR","EQY_CONSOLIDATED=Y","Sort=A","Dates=H","DateFormat=P","Fill=—","Direction=H","UseDPDF=Y")</f>
        <v>#NAME?</v>
      </c>
      <c r="BO372" s="1" t="e">
        <f ca="1">_xll.BDH($C$353,"TOTAL_ASSETS_SEQUENTIAL_GROWTH","FQ4 2017","FQ4 2017","Currency=INR","Period=FQ","BEST_FPERIOD_OVERRIDE=FQ","FILING_STATUS=OR","EQY_CONSOLIDATED=Y","Sort=A","Dates=H","DateFormat=P","Fill=—","Direction=H","UseDPDF=Y")</f>
        <v>#NAME?</v>
      </c>
      <c r="BP372" s="1" t="e">
        <f ca="1">_xll.BDH($C$353,"MODIFIED_WORKING_CPTL_SEQ_GRWTH","FQ4 2017","FQ4 2017","Currency=INR","Period=FQ","BEST_FPERIOD_OVERRIDE=FQ","FILING_STATUS=OR","EQY_CONSOLIDATED=Y","Sort=A","Dates=H","DateFormat=P","Fill=—","Direction=H","UseDPDF=Y")</f>
        <v>#NAME?</v>
      </c>
      <c r="BQ372" s="1" t="e">
        <f ca="1">_xll.BDH($C$353,"WORKING_CAPITAL_SEQ_GROWTH","FQ4 2017","FQ4 2017","Currency=INR","Period=FQ","BEST_FPERIOD_OVERRIDE=FQ","FILING_STATUS=OR","EQY_CONSOLIDATED=Y","Sort=A","Dates=H","DateFormat=P","Fill=—","Direction=H","UseDPDF=Y")</f>
        <v>#NAME?</v>
      </c>
      <c r="BR372" s="1" t="e">
        <f ca="1">_xll.BDH($C$353,"ACCOUNTS_PAYABLE_SEQ_GROWTH","FQ4 2017","FQ4 2017","Currency=INR","Period=FQ","BEST_FPERIOD_OVERRIDE=FQ","FILING_STATUS=OR","EQY_CONSOLIDATED=Y","Sort=A","Dates=H","DateFormat=P","Fill=—","Direction=H","UseDPDF=Y")</f>
        <v>#NAME?</v>
      </c>
      <c r="BS372" s="1" t="e">
        <f ca="1">_xll.BDH($C$353,"ST_DEBT_SEQUENTIAL_GROWTH","FQ4 2017","FQ4 2017","Currency=INR","Period=FQ","BEST_FPERIOD_OVERRIDE=FQ","FILING_STATUS=OR","EQY_CONSOLIDATED=Y","Sort=A","Dates=H","DateFormat=P","Fill=—","Direction=H","UseDPDF=Y")</f>
        <v>#NAME?</v>
      </c>
      <c r="BT372" s="1" t="e">
        <f ca="1">_xll.BDH($C$353,"TOTAL_DEBT_SEQUENTIAL_GROWTH","FQ4 2017","FQ4 2017","Currency=INR","Period=FQ","BEST_FPERIOD_OVERRIDE=FQ","FILING_STATUS=OR","EQY_CONSOLIDATED=Y","Sort=A","Dates=H","DateFormat=P","Fill=—","Direction=H","UseDPDF=Y")</f>
        <v>#NAME?</v>
      </c>
      <c r="BU372" s="1" t="e">
        <f ca="1">_xll.BDH($C$353,"TOTAL_EQUITY_SEQUENTIAL_GROWTH","FQ4 2017","FQ4 2017","Currency=INR","Period=FQ","BEST_FPERIOD_OVERRIDE=FQ","FILING_STATUS=OR","EQY_CONSOLIDATED=Y","Sort=A","Dates=H","DateFormat=P","Fill=—","Direction=H","UseDPDF=Y")</f>
        <v>#NAME?</v>
      </c>
      <c r="BV372" s="1" t="e">
        <f ca="1">_xll.BDH($C$353,"TOTAL_CAPITAL_SEQUENTIAL_GROWTH","FQ4 2017","FQ4 2017","Currency=INR","Period=FQ","BEST_FPERIOD_OVERRIDE=FQ","FILING_STATUS=OR","EQY_CONSOLIDATED=Y","Sort=A","Dates=H","DateFormat=P","Fill=—","Direction=H","UseDPDF=Y")</f>
        <v>#NAME?</v>
      </c>
      <c r="BW372" s="1" t="e">
        <f ca="1">_xll.BDH($C$353,"BPS_SEQUENTIAL_GROWTH","FQ4 2017","FQ4 2017","Currency=INR","Period=FQ","BEST_FPERIOD_OVERRIDE=FQ","FILING_STATUS=OR","EQY_CONSOLIDATED=Y","Sort=A","Dates=H","DateFormat=P","Fill=—","Direction=H","UseDPDF=Y")</f>
        <v>#NAME?</v>
      </c>
      <c r="BX372" s="1" t="e">
        <f ca="1">_xll.BDH($C$353,"CFO_SEQUENTIAL_GROWTH","FQ4 2017","FQ4 2017","Currency=INR","Period=FQ","BEST_FPERIOD_OVERRIDE=FQ","FILING_STATUS=OR","EQY_CONSOLIDATED=Y","Sort=A","Dates=H","DateFormat=P","Fill=—","Direction=H","UseDPDF=Y")</f>
        <v>#NAME?</v>
      </c>
      <c r="BY372" s="2" t="e">
        <f ca="1">_xll.BDH($C$353,"SHORT_AND_LONG_TERM_DEBT","FQ4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72" s="2" t="e">
        <f ca="1">_xll.BDH($C$353,"BS_ST_BORROW","FQ4 2017","FQ4 2017","Currency=INR","Period=FQ","BEST_FPERIOD_OVERRIDE=FQ","FILING_STATUS=OR","EQY_CONSOLIDATED=Y","SCALING_FORMAT=MLN","Sort=A","Dates=H","DateFormat=P","Fill=—","Direction=H","UseDPDF=Y")</f>
        <v>#NAME?</v>
      </c>
      <c r="CA372" s="2" t="e">
        <f ca="1">_xll.BDH($C$353,"BS_LT_BORROW","FQ4 2017","FQ4 2017","Currency=INR","Period=FQ","BEST_FPERIOD_OVERRIDE=FQ","FILING_STATUS=OR","EQY_CONSOLIDATED=Y","SCALING_FORMAT=MLN","Sort=A","Dates=H","DateFormat=P","Fill=—","Direction=H","UseDPDF=Y")</f>
        <v>#NAME?</v>
      </c>
      <c r="CB372" s="1" t="e">
        <f ca="1">_xll.BDH($C$353,"TOT_DEBT_TO_EBITDA","FQ4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72" s="1" t="e">
        <f ca="1">_xll.BDH($C$353,"NET_DEBT_TO_EBITDA","FQ4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72" s="1" t="e">
        <f ca="1">_xll.BDH($C$353,"TOTAL_DEBT_TO_EBIT","FQ4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72" s="1" t="e">
        <f ca="1">_xll.BDH($C$353,"NET_DEBT_TO_EBIT","FQ4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372" s="1" t="e">
        <f ca="1">_xll.BDH($C$353,"EBITDA_TO_INTEREST_EXPN","FQ4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72" s="1" t="e">
        <f ca="1">_xll.BDH($C$353,"COM_EQY_TO_TOT_ASSET","FQ4 2017","FQ4 2017","Currency=INR","Period=FQ","BEST_FPERIOD_OVERRIDE=FQ","FILING_STATUS=OR","EQY_CONSOLIDATED=Y","Sort=A","Dates=H","DateFormat=P","Fill=—","Direction=H","UseDPDF=Y")</f>
        <v>#NAME?</v>
      </c>
      <c r="CH372" s="1" t="e">
        <f ca="1">_xll.BDH($C$353,"LT_DEBT_TO_TOT_EQY","FQ4 2017","FQ4 2017","Currency=INR","Period=FQ","BEST_FPERIOD_OVERRIDE=FQ","FILING_STATUS=OR","EQY_CONSOLIDATED=Y","Sort=A","Dates=H","DateFormat=P","Fill=—","Direction=H","UseDPDF=Y")</f>
        <v>#NAME?</v>
      </c>
      <c r="CI372" s="1" t="e">
        <f ca="1">_xll.BDH($C$353,"LT_DEBT_TO_TOT_CAP","FQ4 2017","FQ4 2017","Currency=INR","Period=FQ","BEST_FPERIOD_OVERRIDE=FQ","FILING_STATUS=OR","EQY_CONSOLIDATED=Y","Sort=A","Dates=H","DateFormat=P","Fill=—","Direction=H","UseDPDF=Y")</f>
        <v>#NAME?</v>
      </c>
      <c r="CJ372" s="1" t="e">
        <f ca="1">_xll.BDH($C$353,"LT_DEBT_TO_TOT_ASSET","FQ4 2017","FQ4 2017","Currency=INR","Period=FQ","BEST_FPERIOD_OVERRIDE=FQ","FILING_STATUS=OR","EQY_CONSOLIDATED=Y","Sort=A","Dates=H","DateFormat=P","Fill=—","Direction=H","UseDPDF=Y")</f>
        <v>#NAME?</v>
      </c>
      <c r="CK372" s="1" t="e">
        <f ca="1">_xll.BDH($C$353,"TOT_DEBT_TO_TOT_EQY","FQ4 2017","FQ4 2017","Currency=INR","Period=FQ","BEST_FPERIOD_OVERRIDE=FQ","FILING_STATUS=OR","EQY_CONSOLIDATED=Y","Sort=A","Dates=H","DateFormat=P","Fill=—","Direction=H","UseDPDF=Y")</f>
        <v>#NAME?</v>
      </c>
      <c r="CL372" s="1" t="e">
        <f ca="1">_xll.BDH($C$353,"TOT_DEBT_TO_TOT_CAP","FQ4 2017","FQ4 2017","Currency=INR","Period=FQ","BEST_FPERIOD_OVERRIDE=FQ","FILING_STATUS=OR","EQY_CONSOLIDATED=Y","Sort=A","Dates=H","DateFormat=P","Fill=—","Direction=H","UseDPDF=Y")</f>
        <v>#NAME?</v>
      </c>
      <c r="CM372" s="1" t="e">
        <f ca="1">_xll.BDH($C$353,"TOT_DEBT_TO_TOT_ASSET","FQ4 2017","FQ4 2017","Currency=INR","Period=FQ","BEST_FPERIOD_OVERRIDE=FQ","FILING_STATUS=OR","EQY_CONSOLIDATED=Y","Sort=A","Dates=H","DateFormat=P","Fill=—","Direction=H","UseDPDF=Y")</f>
        <v>#NAME?</v>
      </c>
      <c r="CN372" s="1" t="e">
        <f ca="1">_xll.BDH($C$353,"NET_DEBT_TO_SHRHLDR_EQTY","FQ4 2017","FQ4 2017","Currency=INR","Period=FQ","BEST_FPERIOD_OVERRIDE=FQ","FILING_STATUS=OR","EQY_CONSOLIDATED=Y","Sort=A","Dates=H","DateFormat=P","Fill=—","Direction=H","UseDPDF=Y")</f>
        <v>#NAME?</v>
      </c>
      <c r="CO372" s="1" t="e">
        <f ca="1">_xll.BDH($C$353,"NET_DEBT_%_CAPITAL","FQ4 2017","FQ4 2017","Currency=INR","Period=FQ","BEST_FPERIOD_OVERRIDE=FQ","FILING_STATUS=OR","EQY_CONSOLIDATED=Y","Sort=A","Dates=H","DateFormat=P","Fill=—","Direction=H","UseDPDF=Y")</f>
        <v>#NAME?</v>
      </c>
      <c r="CP372" s="2" t="e">
        <f ca="1">_xll.BDH($C$353,"EBITDA","FQ4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72" s="2" t="e">
        <f ca="1">_xll.BDH($C$353,"EBITDA_AFTER_CAPEX","FQ4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72" s="2" t="e">
        <f ca="1">_xll.BDH($C$353,"IS_OPER_INC","FQ4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72" s="1" t="e">
        <f ca="1">_xll.BDH($C$353,"CASH_RATIO","FQ4 2017","FQ4 2017","Currency=INR","Period=FQ","BEST_FPERIOD_OVERRIDE=FQ","FILING_STATUS=OR","EQY_CONSOLIDATED=Y","Sort=A","Dates=H","DateFormat=P","Fill=—","Direction=H","UseDPDF=Y")</f>
        <v>#NAME?</v>
      </c>
      <c r="CT372" s="1" t="e">
        <f ca="1">_xll.BDH($C$353,"CUR_RATIO","FQ4 2017","FQ4 2017","Currency=INR","Period=FQ","BEST_FPERIOD_OVERRIDE=FQ","FILING_STATUS=OR","EQY_CONSOLIDATED=Y","Sort=A","Dates=H","DateFormat=P","Fill=—","Direction=H","UseDPDF=Y")</f>
        <v>#NAME?</v>
      </c>
      <c r="CU372" s="1" t="e">
        <f ca="1">_xll.BDH($C$353,"QUICK_RATIO","FQ4 2017","FQ4 2017","Currency=INR","Period=FQ","BEST_FPERIOD_OVERRIDE=FQ","FILING_STATUS=OR","EQY_CONSOLIDATED=Y","Sort=A","Dates=H","DateFormat=P","Fill=—","Direction=H","UseDPDF=Y")</f>
        <v>#NAME?</v>
      </c>
      <c r="CV372" s="1" t="e">
        <f ca="1">_xll.BDH($C$353,"ALTMAN_Z_SCORE","FQ4 2017","FQ4 2017","Currency=INR","Period=FQ","BEST_FPERIOD_OVERRIDE=FQ","FILING_STATUS=OR","EQY_CONSOLIDATED=Y","Sort=A","Dates=H","DateFormat=P","Fill=—","Direction=H","UseDPDF=Y")</f>
        <v>#NAME?</v>
      </c>
      <c r="CW372" s="3" t="e">
        <f ca="1">_xll.BDH($C$353,"ACCT_RCV_TURN","FQ4 2017","FQ4 2017","Currency=INR","Period=FQ","BEST_FPERIOD_OVERRIDE=FQ","FILING_STATUS=OR","EQY_CONSOLIDATED=Y","FA_ADJUSTED=GAAP","Sort=A","Dates=H","DateFormat=P","Fill=—","Direction=H","UseDPDF=Y")</f>
        <v>#NAME?</v>
      </c>
      <c r="CX372" s="1" t="e">
        <f ca="1">_xll.BDH($C$353,"ACCT_RCV_DAYS","FQ4 2017","FQ4 2017","Currency=INR","Period=FQ","BEST_FPERIOD_OVERRIDE=FQ","FILING_STATUS=OR","EQY_CONSOLIDATED=Y","FA_ADJUSTED=GAAP","Sort=A","Dates=H","DateFormat=P","Fill=—","Direction=H","UseDPDF=Y")</f>
        <v>#NAME?</v>
      </c>
      <c r="CY372" s="3" t="e">
        <f ca="1">_xll.BDH($C$353,"INVENT_TURN","FQ4 2017","FQ4 2017","Currency=INR","Period=FQ","BEST_FPERIOD_OVERRIDE=FQ","FILING_STATUS=OR","EQY_CONSOLIDATED=Y","FA_ADJUSTED=GAAP","Sort=A","Dates=H","DateFormat=P","Fill=—","Direction=H","UseDPDF=Y")</f>
        <v>#NAME?</v>
      </c>
      <c r="CZ372" s="1" t="e">
        <f ca="1">_xll.BDH($C$353,"INVENT_DAYS","FQ4 2017","FQ4 2017","Currency=INR","Period=FQ","BEST_FPERIOD_OVERRIDE=FQ","FILING_STATUS=OR","EQY_CONSOLIDATED=Y","FA_ADJUSTED=GAAP","Sort=A","Dates=H","DateFormat=P","Fill=—","Direction=H","UseDPDF=Y")</f>
        <v>#NAME?</v>
      </c>
      <c r="DA372" s="3" t="e">
        <f ca="1">_xll.BDH($C$353,"ACCOUNTS_PAYABLE_TURNOVER","FQ4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72" s="1" t="e">
        <f ca="1">_xll.BDH($C$353,"ACCOUNTS_PAYABLE_TURNOVER_DAYS","FQ4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72" s="3" t="e">
        <f ca="1">_xll.BDH($C$353,"CASH_CONVERSION_CYCLE","FQ4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72" s="3" t="e">
        <f ca="1">_xll.BDH($C$353,"INV_TO_CASH_DAYS","FQ4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372" s="4" t="e">
        <f ca="1">_xll.BDH($C$353,"BS_INVENTORIES","FQ4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372" s="2" t="e">
        <f ca="1">_xll.BDH($C$353,"INVTRY_RAW_MATERIALS","FQ4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72" s="2" t="e">
        <f ca="1">_xll.BDH($C$353,"INVTRY_IN_PROGRESS","FQ4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72" s="2" t="e">
        <f ca="1">_xll.BDH($C$353,"INVTRY_FINISHED_GOODS","FQ4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72" s="2" t="e">
        <f ca="1">_xll.BDH($C$353,"BS_OTHER_INV","FQ4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73" spans="1:113" x14ac:dyDescent="0.3">
      <c r="A373" s="6"/>
      <c r="B373" s="6"/>
      <c r="C373" s="6"/>
      <c r="D373" s="6" t="s">
        <v>11</v>
      </c>
      <c r="E373" t="s">
        <v>3</v>
      </c>
      <c r="F373" t="e">
        <f ca="1">_xll.BDH($C$353,"RETURN_COM_EQY","FY 2018","FY 2018","Currency=INR","Period=FY","BEST_FPERIOD_OVERRIDE=FY","FILING_STATUS=OR","EQY_CONSOLIDATED=Y","FA_ADJUSTED=GAAP","Sort=A","Dates=H","DateFormat=P","Fill=—","Direction=H","UseDPDF=Y")</f>
        <v>#NAME?</v>
      </c>
      <c r="G373" t="e">
        <f ca="1">_xll.BDH($C$353,"RETURN_ON_ASSET","FY 2018","FY 2018","Currency=INR","Period=FY","BEST_FPERIOD_OVERRIDE=FY","FILING_STATUS=OR","EQY_CONSOLIDATED=Y","FA_ADJUSTED=GAAP","Sort=A","Dates=H","DateFormat=P","Fill=—","Direction=H","UseDPDF=Y")</f>
        <v>#NAME?</v>
      </c>
      <c r="H373" t="e">
        <f ca="1">_xll.BDH($C$353,"RETURN_ON_CAP","FY 2018","FY 2018","Currency=INR","Period=FY","BEST_FPERIOD_OVERRIDE=FY","FILING_STATUS=OR","EQY_CONSOLIDATED=Y","FA_ADJUSTED=GAAP","Sort=A","Dates=H","DateFormat=P","Fill=—","Direction=H","UseDPDF=Y")</f>
        <v>#NAME?</v>
      </c>
      <c r="I373" t="e">
        <f ca="1">_xll.BDH($C$353,"RETURN_ON_INV_CAPITAL","FY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73" t="e">
        <f ca="1">_xll.BDH($C$353,"EBITDA_TO_REVENUE","FY 2018","FY 2018","Currency=INR","Period=FY","BEST_FPERIOD_OVERRIDE=FY","FILING_STATUS=OR","EQY_CONSOLIDATED=Y","FA_ADJUSTED=GAAP","Sort=A","Dates=H","DateFormat=P","Fill=—","Direction=H","UseDPDF=Y")</f>
        <v>#NAME?</v>
      </c>
      <c r="K373" t="e">
        <f ca="1">_xll.BDH($C$353,"OPER_MARGIN","FY 2018","FY 2018","Currency=INR","Period=FY","BEST_FPERIOD_OVERRIDE=FY","FILING_STATUS=OR","EQY_CONSOLIDATED=Y","FA_ADJUSTED=GAAP","Sort=A","Dates=H","DateFormat=P","Fill=—","Direction=H","UseDPDF=Y")</f>
        <v>#NAME?</v>
      </c>
      <c r="L373" t="e">
        <f ca="1">_xll.BDH($C$353,"INCREMENTAL_OPERATING_MARGIN","FY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73" t="e">
        <f ca="1">_xll.BDH($C$353,"PRETAX_INC_TO_NET_SALES","FY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73" t="e">
        <f ca="1">_xll.BDH($C$353,"INC_BEF_XO_ITEMS_TO_NET_SALES","FY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73" t="e">
        <f ca="1">_xll.BDH($C$353,"PROF_MARGIN","FY 2018","FY 2018","Currency=INR","Period=FY","BEST_FPERIOD_OVERRIDE=FY","FILING_STATUS=OR","EQY_CONSOLIDATED=Y","FA_ADJUSTED=GAAP","Sort=A","Dates=H","DateFormat=P","Fill=—","Direction=H","UseDPDF=Y")</f>
        <v>#NAME?</v>
      </c>
      <c r="P373" t="e">
        <f ca="1">_xll.BDH($C$353,"NET_INCOME_TO_COMMON_MARGIN","FY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73" t="e">
        <f ca="1">_xll.BDH($C$353,"EFF_TAX_RATE","FY 2018","FY 2018","Currency=INR","Period=FY","BEST_FPERIOD_OVERRIDE=FY","FILING_STATUS=OR","EQY_CONSOLIDATED=Y","FA_ADJUSTED=GAAP","Sort=A","Dates=H","DateFormat=P","Fill=—","Direction=H","UseDPDF=Y")</f>
        <v>#NAME?</v>
      </c>
      <c r="R373" t="e">
        <f ca="1">_xll.BDH($C$353,"DVD_PAYOUT_RATIO","FY 2018","FY 2018","Currency=INR","Period=FY","BEST_FPERIOD_OVERRIDE=FY","FILING_STATUS=OR","EQY_CONSOLIDATED=Y","FA_ADJUSTED=GAAP","Sort=A","Dates=H","DateFormat=P","Fill=—","Direction=H","UseDPDF=Y")</f>
        <v>#NAME?</v>
      </c>
      <c r="S373" t="e">
        <f ca="1">_xll.BDH($C$353,"SUSTAIN_GROWTH_RT","FY 2018","FY 2018","Currency=INR","Period=FY","BEST_FPERIOD_OVERRIDE=FY","FILING_STATUS=OR","EQY_CONSOLIDATED=Y","FA_ADJUSTED=GAAP","Sort=A","Dates=H","DateFormat=P","Fill=—","Direction=H","UseDPDF=Y")</f>
        <v>#NAME?</v>
      </c>
      <c r="T373" s="1" t="e">
        <f ca="1">_xll.BDH($C$353,"SALES_GROWTH","FY 2018","FY 2018","Currency=INR","Period=FY","BEST_FPERIOD_OVERRIDE=FY","FILING_STATUS=OR","EQY_CONSOLIDATED=Y","FA_ADJUSTED=GAAP","Sort=A","Dates=H","DateFormat=P","Fill=—","Direction=H","UseDPDF=Y")</f>
        <v>#NAME?</v>
      </c>
      <c r="U373" s="1" t="e">
        <f ca="1">_xll.BDH($C$353,"EBITDA_GROWTH","FY 2018","FY 2018","Currency=INR","Period=FY","BEST_FPERIOD_OVERRIDE=FY","FILING_STATUS=OR","EQY_CONSOLIDATED=Y","FA_ADJUSTED=GAAP","Sort=A","Dates=H","DateFormat=P","Fill=—","Direction=H","UseDPDF=Y")</f>
        <v>#NAME?</v>
      </c>
      <c r="V373" s="1" t="e">
        <f ca="1">_xll.BDH($C$353,"OPER_INC_GROWTH","FY 2018","FY 2018","Currency=INR","Period=FY","BEST_FPERIOD_OVERRIDE=FY","FILING_STATUS=OR","EQY_CONSOLIDATED=Y","FA_ADJUSTED=GAAP","Sort=A","Dates=H","DateFormat=P","Fill=—","Direction=H","UseDPDF=Y")</f>
        <v>#NAME?</v>
      </c>
      <c r="W373" s="1" t="e">
        <f ca="1">_xll.BDH($C$353,"EARN_FOR_COM_GROWTH","FY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373" s="1" t="e">
        <f ca="1">_xll.BDH($C$353,"DILUTED_EPS_AFT_XO_ITEMS_GROWTH","FY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73" s="1" t="e">
        <f ca="1">_xll.BDH($C$353,"DIVIDEND_PER_SHARE_1_YEAR_GROWTH","FY 2018","FY 2018","Currency=INR","Period=FY","BEST_FPERIOD_OVERRIDE=FY","FILING_STATUS=OR","EQY_CONSOLIDATED=Y","Sort=A","Dates=H","DateFormat=P","Fill=—","Direction=H","UseDPDF=Y")</f>
        <v>#NAME?</v>
      </c>
      <c r="Z373" s="1" t="e">
        <f ca="1">_xll.BDH($C$353,"ACCOUNTS_RECEIVABLE_GROWTH","FY 2018","FY 2018","Currency=INR","Period=FY","BEST_FPERIOD_OVERRIDE=FY","FILING_STATUS=OR","EQY_CONSOLIDATED=Y","Sort=A","Dates=H","DateFormat=P","Fill=—","Direction=H","UseDPDF=Y")</f>
        <v>#NAME?</v>
      </c>
      <c r="AA373" s="1" t="e">
        <f ca="1">_xll.BDH($C$353,"INVENTORY_GROWTH","FY 2018","FY 2018","Currency=INR","Period=FY","BEST_FPERIOD_OVERRIDE=FY","FILING_STATUS=OR","EQY_CONSOLIDATED=Y","Sort=A","Dates=H","DateFormat=P","Fill=—","Direction=H","UseDPDF=Y")</f>
        <v>#NAME?</v>
      </c>
      <c r="AB373" s="1" t="e">
        <f ca="1">_xll.BDH($C$353,"NET_FIXED_ASSETS_1_YEAR_GROWTH","FY 2018","FY 2018","Currency=INR","Period=FY","BEST_FPERIOD_OVERRIDE=FY","FILING_STATUS=OR","EQY_CONSOLIDATED=Y","Sort=A","Dates=H","DateFormat=P","Fill=—","Direction=H","UseDPDF=Y")</f>
        <v>#NAME?</v>
      </c>
      <c r="AC373" s="1" t="e">
        <f ca="1">_xll.BDH($C$353,"ASSET_GROWTH","FY 2018","FY 2018","Currency=INR","Period=FY","BEST_FPERIOD_OVERRIDE=FY","FILING_STATUS=OR","EQY_CONSOLIDATED=Y","Sort=A","Dates=H","DateFormat=P","Fill=—","Direction=H","UseDPDF=Y")</f>
        <v>#NAME?</v>
      </c>
      <c r="AD373" s="1" t="e">
        <f ca="1">_xll.BDH($C$353,"MODIFIED_WORK_CAP_GROWTH","FY 2018","FY 2018","Currency=INR","Period=FY","BEST_FPERIOD_OVERRIDE=FY","FILING_STATUS=OR","EQY_CONSOLIDATED=Y","Sort=A","Dates=H","DateFormat=P","Fill=—","Direction=H","UseDPDF=Y")</f>
        <v>#NAME?</v>
      </c>
      <c r="AE373" s="1" t="e">
        <f ca="1">_xll.BDH($C$353,"WORK_CAP_GROWTH","FY 2018","FY 2018","Currency=INR","Period=FY","BEST_FPERIOD_OVERRIDE=FY","FILING_STATUS=OR","EQY_CONSOLIDATED=Y","Sort=A","Dates=H","DateFormat=P","Fill=—","Direction=H","UseDPDF=Y")</f>
        <v>#NAME?</v>
      </c>
      <c r="AF373" s="1" t="e">
        <f ca="1">_xll.BDH($C$353,"ACCOUNTS_PAYABLE_GROWTH_1YR","FY 2018","FY 2018","Currency=INR","Period=FY","BEST_FPERIOD_OVERRIDE=FY","FILING_STATUS=OR","EQY_CONSOLIDATED=Y","Sort=A","Dates=H","DateFormat=P","Fill=—","Direction=H","UseDPDF=Y")</f>
        <v>#NAME?</v>
      </c>
      <c r="AG373" s="1" t="e">
        <f ca="1">_xll.BDH($C$353,"SHORT_TERM_DEBT_1_YEAR_GROWTH","FY 2018","FY 2018","Currency=INR","Period=FY","BEST_FPERIOD_OVERRIDE=FY","FILING_STATUS=OR","EQY_CONSOLIDATED=Y","Sort=A","Dates=H","DateFormat=P","Fill=—","Direction=H","UseDPDF=Y")</f>
        <v>#NAME?</v>
      </c>
      <c r="AH373" s="1" t="e">
        <f ca="1">_xll.BDH($C$353,"TOTAL_DEBT_1_YEAR_GROWTH","FY 2018","FY 2018","Currency=INR","Period=FY","BEST_FPERIOD_OVERRIDE=FY","FILING_STATUS=OR","EQY_CONSOLIDATED=Y","Sort=A","Dates=H","DateFormat=P","Fill=—","Direction=H","UseDPDF=Y")</f>
        <v>#NAME?</v>
      </c>
      <c r="AI373" s="1" t="e">
        <f ca="1">_xll.BDH($C$353,"TOTAL_EQUITY_1_YEAR_GROWTH","FY 2018","FY 2018","Currency=INR","Period=FY","BEST_FPERIOD_OVERRIDE=FY","FILING_STATUS=OR","EQY_CONSOLIDATED=Y","Sort=A","Dates=H","DateFormat=P","Fill=—","Direction=H","UseDPDF=Y")</f>
        <v>#NAME?</v>
      </c>
      <c r="AJ373" s="1" t="e">
        <f ca="1">_xll.BDH($C$353,"GROWTH_IN_CAP","FY 2018","FY 2018","Currency=INR","Period=FY","BEST_FPERIOD_OVERRIDE=FY","FILING_STATUS=OR","EQY_CONSOLIDATED=Y","Sort=A","Dates=H","DateFormat=P","Fill=—","Direction=H","UseDPDF=Y")</f>
        <v>#NAME?</v>
      </c>
      <c r="AK373" s="1" t="e">
        <f ca="1">_xll.BDH($C$353,"BVPS_GROWTH","FY 2018","FY 2018","Currency=INR","Period=FY","BEST_FPERIOD_OVERRIDE=FY","FILING_STATUS=OR","EQY_CONSOLIDATED=Y","Sort=A","Dates=H","DateFormat=P","Fill=—","Direction=H","UseDPDF=Y")</f>
        <v>#NAME?</v>
      </c>
      <c r="AL373" s="1" t="e">
        <f ca="1">_xll.BDH($C$353,"CASH_FLOW_GROWTH","FY 2018","FY 2018","Currency=INR","Period=FY","BEST_FPERIOD_OVERRIDE=FY","FILING_STATUS=OR","EQY_CONSOLIDATED=Y","Sort=A","Dates=H","DateFormat=P","Fill=—","Direction=H","UseDPDF=Y")</f>
        <v>#NAME?</v>
      </c>
      <c r="AM373" s="1" t="e">
        <f ca="1">_xll.BDH($C$353,"GEO_GROW_NET_SALES","FY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373" s="1" t="e">
        <f ca="1">_xll.BDH($C$353,"GEO_GROW_EBITDA","FY 2018","FY 2018","Currency=INR","Period=FY","BEST_FPERIOD_OVERRIDE=FY","FILING_STATUS=OR","EQY_CONSOLIDATED=Y","FA_ADJUSTED=GAAP","Sort=A","Dates=H","DateFormat=P","Fill=—","Direction=H","UseDPDF=Y")</f>
        <v>#NAME?</v>
      </c>
      <c r="AO373" s="1" t="e">
        <f ca="1">_xll.BDH($C$353,"GEO_GROW_OPER_INC","FY 2018","FY 2018","Currency=INR","Period=FY","BEST_FPERIOD_OVERRIDE=FY","FILING_STATUS=OR","EQY_CONSOLIDATED=Y","FA_ADJUSTED=GAAP","Sort=A","Dates=H","DateFormat=P","Fill=—","Direction=H","UseDPDF=Y")</f>
        <v>#NAME?</v>
      </c>
      <c r="AP373" s="1" t="e">
        <f ca="1">_xll.BDH($C$353,"NET_INCOME_TO_COMMON_5_YR_GROWTH","FY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73" s="1" t="e">
        <f ca="1">_xll.BDH($C$353,"5Y_GEO_GROWTH_DILUTED_EPS","FY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73" s="1" t="e">
        <f ca="1">_xll.BDH($C$353,"GEO_GROW_DVD_PER_SH","FY 2018","FY 2018","Currency=INR","Period=FY","BEST_FPERIOD_OVERRIDE=FY","FILING_STATUS=OR","EQY_CONSOLIDATED=Y","Sort=A","Dates=H","DateFormat=P","Fill=—","Direction=H","UseDPDF=Y")</f>
        <v>#NAME?</v>
      </c>
      <c r="AS373" s="1" t="e">
        <f ca="1">_xll.BDH($C$353,"ACCOUNTS_RECEIVABLE_5_YR_GROWTH","FY 2018","FY 2018","Currency=INR","Period=FY","BEST_FPERIOD_OVERRIDE=FY","FILING_STATUS=OR","EQY_CONSOLIDATED=Y","Sort=A","Dates=H","DateFormat=P","Fill=—","Direction=H","UseDPDF=Y")</f>
        <v>#NAME?</v>
      </c>
      <c r="AT373" s="1" t="e">
        <f ca="1">_xll.BDH($C$353,"INVENTORY_5_YEAR_GROWTH","FY 2018","FY 2018","Currency=INR","Period=FY","BEST_FPERIOD_OVERRIDE=FY","FILING_STATUS=OR","EQY_CONSOLIDATED=Y","Sort=A","Dates=H","DateFormat=P","Fill=—","Direction=H","UseDPDF=Y")</f>
        <v>#NAME?</v>
      </c>
      <c r="AU373" s="1" t="e">
        <f ca="1">_xll.BDH($C$353,"NET_FIXED_ASSETS_5_YEAR_GROWTH","FY 2018","FY 2018","Currency=INR","Period=FY","BEST_FPERIOD_OVERRIDE=FY","FILING_STATUS=OR","EQY_CONSOLIDATED=Y","Sort=A","Dates=H","DateFormat=P","Fill=—","Direction=H","UseDPDF=Y")</f>
        <v>#NAME?</v>
      </c>
      <c r="AV373" s="1" t="e">
        <f ca="1">_xll.BDH($C$353,"GEO_GROW_TOT_ASSET","FY 2018","FY 2018","Currency=INR","Period=FY","BEST_FPERIOD_OVERRIDE=FY","FILING_STATUS=OR","EQY_CONSOLIDATED=Y","Sort=A","Dates=H","DateFormat=P","Fill=—","Direction=H","UseDPDF=Y")</f>
        <v>#NAME?</v>
      </c>
      <c r="AW373" s="1" t="e">
        <f ca="1">_xll.BDH($C$353,"MODIFIED_WORKING_CPTL_5YR_GRWTH","FY 2018","FY 2018","Currency=INR","Period=FY","BEST_FPERIOD_OVERRIDE=FY","FILING_STATUS=OR","EQY_CONSOLIDATED=Y","Sort=A","Dates=H","DateFormat=P","Fill=—","Direction=H","UseDPDF=Y")</f>
        <v>#NAME?</v>
      </c>
      <c r="AX373" s="1" t="e">
        <f ca="1">_xll.BDH($C$353,"WORKING_CAPITAL_5_YEAR_GROWTH","FY 2018","FY 2018","Currency=INR","Period=FY","BEST_FPERIOD_OVERRIDE=FY","FILING_STATUS=OR","EQY_CONSOLIDATED=Y","Sort=A","Dates=H","DateFormat=P","Fill=—","Direction=H","UseDPDF=Y")</f>
        <v>#NAME?</v>
      </c>
      <c r="AY373" s="1" t="e">
        <f ca="1">_xll.BDH($C$353,"ACCOUNTS_PAYABLE_5_YEAR_GROWTH","FY 2018","FY 2018","Currency=INR","Period=FY","BEST_FPERIOD_OVERRIDE=FY","FILING_STATUS=OR","EQY_CONSOLIDATED=Y","Sort=A","Dates=H","DateFormat=P","Fill=—","Direction=H","UseDPDF=Y")</f>
        <v>#NAME?</v>
      </c>
      <c r="AZ373" s="1" t="e">
        <f ca="1">_xll.BDH($C$353,"SHORT_TERM_DEBT_5_YEAR_GROWTH","FY 2018","FY 2018","Currency=INR","Period=FY","BEST_FPERIOD_OVERRIDE=FY","FILING_STATUS=OR","EQY_CONSOLIDATED=Y","Sort=A","Dates=H","DateFormat=P","Fill=—","Direction=H","UseDPDF=Y")</f>
        <v>#NAME?</v>
      </c>
      <c r="BA373" s="1" t="e">
        <f ca="1">_xll.BDH($C$353,"TOTAL_DEBT_5_YEAR_GROWTH","FY 2018","FY 2018","Currency=INR","Period=FY","BEST_FPERIOD_OVERRIDE=FY","FILING_STATUS=OR","EQY_CONSOLIDATED=Y","Sort=A","Dates=H","DateFormat=P","Fill=—","Direction=H","UseDPDF=Y")</f>
        <v>#NAME?</v>
      </c>
      <c r="BB373" s="1" t="e">
        <f ca="1">_xll.BDH($C$353,"GEO_GROW_TOT_SHRHLDR_EQY","FY 2018","FY 2018","Currency=INR","Period=FY","BEST_FPERIOD_OVERRIDE=FY","FILING_STATUS=OR","EQY_CONSOLIDATED=Y","Sort=A","Dates=H","DateFormat=P","Fill=—","Direction=H","UseDPDF=Y")</f>
        <v>#NAME?</v>
      </c>
      <c r="BC373" s="1" t="e">
        <f ca="1">_xll.BDH($C$353,"TOTAL_CAPITAL_5_YEAR_GROWTH","FY 2018","FY 2018","Currency=INR","Period=FY","BEST_FPERIOD_OVERRIDE=FY","FILING_STATUS=OR","EQY_CONSOLIDATED=Y","Sort=A","Dates=H","DateFormat=P","Fill=—","Direction=H","UseDPDF=Y")</f>
        <v>#NAME?</v>
      </c>
      <c r="BD373" s="1" t="e">
        <f ca="1">_xll.BDH($C$353,"GEO_GROW_BOOK_VAL","FY 2018","FY 2018","Currency=INR","Period=FY","BEST_FPERIOD_OVERRIDE=FY","FILING_STATUS=OR","EQY_CONSOLIDATED=Y","Sort=A","Dates=H","DateFormat=P","Fill=—","Direction=H","UseDPDF=Y")</f>
        <v>#NAME?</v>
      </c>
      <c r="BE373" s="1" t="e">
        <f ca="1">_xll.BDH($C$353,"GEO_GROW_CASH_OPER_ACT","FY 2018","FY 2018","Currency=INR","Period=FY","BEST_FPERIOD_OVERRIDE=FY","FILING_STATUS=OR","EQY_CONSOLIDATED=Y","Sort=A","Dates=H","DateFormat=P","Fill=—","Direction=H","UseDPDF=Y")</f>
        <v>#NAME?</v>
      </c>
      <c r="BF373" s="1" t="e">
        <f ca="1">_xll.BDH($C$353,"REVENUE_SEQUENTIAL_GROWTH","FY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73" s="1" t="e">
        <f ca="1">_xll.BDH($C$353,"EBITDA_SEQUENTIAL_GROWTH","FY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73" s="1" t="e">
        <f ca="1">_xll.BDH($C$353,"OPERATING_INCOME_SEQ_GROWTH","FY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73" s="1" t="e">
        <f ca="1">_xll.BDH($C$353,"NET_INCOME_TO_COMMON_SEQ_GROWTH","FY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73" s="1" t="e">
        <f ca="1">_xll.BDH($C$353,"EPS_DILUTED_SEQUENTIAL_GROWTH","FY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73" s="1" t="e">
        <f ca="1">_xll.BDH($C$353,"DPS_SEQUENTIAL_GROWTH","FY 2018","FY 2018","Currency=INR","Period=FY","BEST_FPERIOD_OVERRIDE=FY","FILING_STATUS=OR","EQY_CONSOLIDATED=Y","Sort=A","Dates=H","DateFormat=P","Fill=—","Direction=H","UseDPDF=Y")</f>
        <v>#NAME?</v>
      </c>
      <c r="BL373" s="1" t="e">
        <f ca="1">_xll.BDH($C$353,"ACCOUNTS_RECEIVABLE_SEQ_GROWTH","FY 2018","FY 2018","Currency=INR","Period=FY","BEST_FPERIOD_OVERRIDE=FY","FILING_STATUS=OR","EQY_CONSOLIDATED=Y","Sort=A","Dates=H","DateFormat=P","Fill=—","Direction=H","UseDPDF=Y")</f>
        <v>#NAME?</v>
      </c>
      <c r="BM373" s="1" t="e">
        <f ca="1">_xll.BDH($C$353,"INVENTORY_SEQUENTIAL_GROWTH","FY 2018","FY 2018","Currency=INR","Period=FY","BEST_FPERIOD_OVERRIDE=FY","FILING_STATUS=OR","EQY_CONSOLIDATED=Y","Sort=A","Dates=H","DateFormat=P","Fill=—","Direction=H","UseDPDF=Y")</f>
        <v>#NAME?</v>
      </c>
      <c r="BN373" s="1" t="e">
        <f ca="1">_xll.BDH($C$353,"FIXED_ASSETS_SEQUENTIAL_GROWTH","FY 2018","FY 2018","Currency=INR","Period=FY","BEST_FPERIOD_OVERRIDE=FY","FILING_STATUS=OR","EQY_CONSOLIDATED=Y","Sort=A","Dates=H","DateFormat=P","Fill=—","Direction=H","UseDPDF=Y")</f>
        <v>#NAME?</v>
      </c>
      <c r="BO373" s="1" t="e">
        <f ca="1">_xll.BDH($C$353,"TOTAL_ASSETS_SEQUENTIAL_GROWTH","FY 2018","FY 2018","Currency=INR","Period=FY","BEST_FPERIOD_OVERRIDE=FY","FILING_STATUS=OR","EQY_CONSOLIDATED=Y","Sort=A","Dates=H","DateFormat=P","Fill=—","Direction=H","UseDPDF=Y")</f>
        <v>#NAME?</v>
      </c>
      <c r="BP373" s="1" t="e">
        <f ca="1">_xll.BDH($C$353,"MODIFIED_WORKING_CPTL_SEQ_GRWTH","FY 2018","FY 2018","Currency=INR","Period=FY","BEST_FPERIOD_OVERRIDE=FY","FILING_STATUS=OR","EQY_CONSOLIDATED=Y","Sort=A","Dates=H","DateFormat=P","Fill=—","Direction=H","UseDPDF=Y")</f>
        <v>#NAME?</v>
      </c>
      <c r="BQ373" s="1" t="e">
        <f ca="1">_xll.BDH($C$353,"WORKING_CAPITAL_SEQ_GROWTH","FY 2018","FY 2018","Currency=INR","Period=FY","BEST_FPERIOD_OVERRIDE=FY","FILING_STATUS=OR","EQY_CONSOLIDATED=Y","Sort=A","Dates=H","DateFormat=P","Fill=—","Direction=H","UseDPDF=Y")</f>
        <v>#NAME?</v>
      </c>
      <c r="BR373" s="1" t="e">
        <f ca="1">_xll.BDH($C$353,"ACCOUNTS_PAYABLE_SEQ_GROWTH","FY 2018","FY 2018","Currency=INR","Period=FY","BEST_FPERIOD_OVERRIDE=FY","FILING_STATUS=OR","EQY_CONSOLIDATED=Y","Sort=A","Dates=H","DateFormat=P","Fill=—","Direction=H","UseDPDF=Y")</f>
        <v>#NAME?</v>
      </c>
      <c r="BS373" s="1" t="e">
        <f ca="1">_xll.BDH($C$353,"ST_DEBT_SEQUENTIAL_GROWTH","FY 2018","FY 2018","Currency=INR","Period=FY","BEST_FPERIOD_OVERRIDE=FY","FILING_STATUS=OR","EQY_CONSOLIDATED=Y","Sort=A","Dates=H","DateFormat=P","Fill=—","Direction=H","UseDPDF=Y")</f>
        <v>#NAME?</v>
      </c>
      <c r="BT373" s="1" t="e">
        <f ca="1">_xll.BDH($C$353,"TOTAL_DEBT_SEQUENTIAL_GROWTH","FY 2018","FY 2018","Currency=INR","Period=FY","BEST_FPERIOD_OVERRIDE=FY","FILING_STATUS=OR","EQY_CONSOLIDATED=Y","Sort=A","Dates=H","DateFormat=P","Fill=—","Direction=H","UseDPDF=Y")</f>
        <v>#NAME?</v>
      </c>
      <c r="BU373" s="1" t="e">
        <f ca="1">_xll.BDH($C$353,"TOTAL_EQUITY_SEQUENTIAL_GROWTH","FY 2018","FY 2018","Currency=INR","Period=FY","BEST_FPERIOD_OVERRIDE=FY","FILING_STATUS=OR","EQY_CONSOLIDATED=Y","Sort=A","Dates=H","DateFormat=P","Fill=—","Direction=H","UseDPDF=Y")</f>
        <v>#NAME?</v>
      </c>
      <c r="BV373" s="1" t="e">
        <f ca="1">_xll.BDH($C$353,"TOTAL_CAPITAL_SEQUENTIAL_GROWTH","FY 2018","FY 2018","Currency=INR","Period=FY","BEST_FPERIOD_OVERRIDE=FY","FILING_STATUS=OR","EQY_CONSOLIDATED=Y","Sort=A","Dates=H","DateFormat=P","Fill=—","Direction=H","UseDPDF=Y")</f>
        <v>#NAME?</v>
      </c>
      <c r="BW373" s="1" t="e">
        <f ca="1">_xll.BDH($C$353,"BPS_SEQUENTIAL_GROWTH","FY 2018","FY 2018","Currency=INR","Period=FY","BEST_FPERIOD_OVERRIDE=FY","FILING_STATUS=OR","EQY_CONSOLIDATED=Y","Sort=A","Dates=H","DateFormat=P","Fill=—","Direction=H","UseDPDF=Y")</f>
        <v>#NAME?</v>
      </c>
      <c r="BX373" s="1" t="e">
        <f ca="1">_xll.BDH($C$353,"CFO_SEQUENTIAL_GROWTH","FY 2018","FY 2018","Currency=INR","Period=FY","BEST_FPERIOD_OVERRIDE=FY","FILING_STATUS=OR","EQY_CONSOLIDATED=Y","Sort=A","Dates=H","DateFormat=P","Fill=—","Direction=H","UseDPDF=Y")</f>
        <v>#NAME?</v>
      </c>
      <c r="BY373" s="2" t="e">
        <f ca="1">_xll.BDH($C$353,"SHORT_AND_LONG_TERM_DEBT","FY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73" s="2" t="e">
        <f ca="1">_xll.BDH($C$353,"BS_ST_BORROW","FY 2018","FY 2018","Currency=INR","Period=FY","BEST_FPERIOD_OVERRIDE=FY","FILING_STATUS=OR","EQY_CONSOLIDATED=Y","SCALING_FORMAT=MLN","Sort=A","Dates=H","DateFormat=P","Fill=—","Direction=H","UseDPDF=Y")</f>
        <v>#NAME?</v>
      </c>
      <c r="CA373" s="2" t="e">
        <f ca="1">_xll.BDH($C$353,"BS_LT_BORROW","FY 2018","FY 2018","Currency=INR","Period=FY","BEST_FPERIOD_OVERRIDE=FY","FILING_STATUS=OR","EQY_CONSOLIDATED=Y","SCALING_FORMAT=MLN","Sort=A","Dates=H","DateFormat=P","Fill=—","Direction=H","UseDPDF=Y")</f>
        <v>#NAME?</v>
      </c>
      <c r="CB373" s="1" t="e">
        <f ca="1">_xll.BDH($C$353,"TOT_DEBT_TO_EBITDA","FY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373" s="1" t="e">
        <f ca="1">_xll.BDH($C$353,"NET_DEBT_TO_EBITDA","FY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373" s="1" t="e">
        <f ca="1">_xll.BDH($C$353,"TOTAL_DEBT_TO_EBIT","FY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373" s="1" t="e">
        <f ca="1">_xll.BDH($C$353,"NET_DEBT_TO_EBIT","FY 2018","FY 2018","Currency=INR","Period=FY","BEST_FPERIOD_OVERRIDE=FY","FILING_STATUS=OR","EQY_CONSOLIDATED=Y","FA_ADJUSTED=GAAP","Sort=A","Dates=H","DateFormat=P","Fill=—","Direction=H","UseDPDF=Y")</f>
        <v>#NAME?</v>
      </c>
      <c r="CF373" s="1" t="e">
        <f ca="1">_xll.BDH($C$353,"EBITDA_TO_INTEREST_EXPN","FY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73" s="1" t="e">
        <f ca="1">_xll.BDH($C$353,"COM_EQY_TO_TOT_ASSET","FY 2018","FY 2018","Currency=INR","Period=FY","BEST_FPERIOD_OVERRIDE=FY","FILING_STATUS=OR","EQY_CONSOLIDATED=Y","Sort=A","Dates=H","DateFormat=P","Fill=—","Direction=H","UseDPDF=Y")</f>
        <v>#NAME?</v>
      </c>
      <c r="CH373" s="1" t="e">
        <f ca="1">_xll.BDH($C$353,"LT_DEBT_TO_TOT_EQY","FY 2018","FY 2018","Currency=INR","Period=FY","BEST_FPERIOD_OVERRIDE=FY","FILING_STATUS=OR","EQY_CONSOLIDATED=Y","Sort=A","Dates=H","DateFormat=P","Fill=—","Direction=H","UseDPDF=Y")</f>
        <v>#NAME?</v>
      </c>
      <c r="CI373" s="1" t="e">
        <f ca="1">_xll.BDH($C$353,"LT_DEBT_TO_TOT_CAP","FY 2018","FY 2018","Currency=INR","Period=FY","BEST_FPERIOD_OVERRIDE=FY","FILING_STATUS=OR","EQY_CONSOLIDATED=Y","Sort=A","Dates=H","DateFormat=P","Fill=—","Direction=H","UseDPDF=Y")</f>
        <v>#NAME?</v>
      </c>
      <c r="CJ373" s="1" t="e">
        <f ca="1">_xll.BDH($C$353,"LT_DEBT_TO_TOT_ASSET","FY 2018","FY 2018","Currency=INR","Period=FY","BEST_FPERIOD_OVERRIDE=FY","FILING_STATUS=OR","EQY_CONSOLIDATED=Y","Sort=A","Dates=H","DateFormat=P","Fill=—","Direction=H","UseDPDF=Y")</f>
        <v>#NAME?</v>
      </c>
      <c r="CK373" s="1" t="e">
        <f ca="1">_xll.BDH($C$353,"TOT_DEBT_TO_TOT_EQY","FY 2018","FY 2018","Currency=INR","Period=FY","BEST_FPERIOD_OVERRIDE=FY","FILING_STATUS=OR","EQY_CONSOLIDATED=Y","Sort=A","Dates=H","DateFormat=P","Fill=—","Direction=H","UseDPDF=Y")</f>
        <v>#NAME?</v>
      </c>
      <c r="CL373" s="1" t="e">
        <f ca="1">_xll.BDH($C$353,"TOT_DEBT_TO_TOT_CAP","FY 2018","FY 2018","Currency=INR","Period=FY","BEST_FPERIOD_OVERRIDE=FY","FILING_STATUS=OR","EQY_CONSOLIDATED=Y","Sort=A","Dates=H","DateFormat=P","Fill=—","Direction=H","UseDPDF=Y")</f>
        <v>#NAME?</v>
      </c>
      <c r="CM373" s="1" t="e">
        <f ca="1">_xll.BDH($C$353,"TOT_DEBT_TO_TOT_ASSET","FY 2018","FY 2018","Currency=INR","Period=FY","BEST_FPERIOD_OVERRIDE=FY","FILING_STATUS=OR","EQY_CONSOLIDATED=Y","Sort=A","Dates=H","DateFormat=P","Fill=—","Direction=H","UseDPDF=Y")</f>
        <v>#NAME?</v>
      </c>
      <c r="CN373" s="1" t="e">
        <f ca="1">_xll.BDH($C$353,"NET_DEBT_TO_SHRHLDR_EQTY","FY 2018","FY 2018","Currency=INR","Period=FY","BEST_FPERIOD_OVERRIDE=FY","FILING_STATUS=OR","EQY_CONSOLIDATED=Y","Sort=A","Dates=H","DateFormat=P","Fill=—","Direction=H","UseDPDF=Y")</f>
        <v>#NAME?</v>
      </c>
      <c r="CO373" s="1" t="e">
        <f ca="1">_xll.BDH($C$353,"NET_DEBT_%_CAPITAL","FY 2018","FY 2018","Currency=INR","Period=FY","BEST_FPERIOD_OVERRIDE=FY","FILING_STATUS=OR","EQY_CONSOLIDATED=Y","Sort=A","Dates=H","DateFormat=P","Fill=—","Direction=H","UseDPDF=Y")</f>
        <v>#NAME?</v>
      </c>
      <c r="CP373" s="2" t="e">
        <f ca="1">_xll.BDH($C$353,"EBITDA","FY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73" s="2" t="e">
        <f ca="1">_xll.BDH($C$353,"EBITDA_AFTER_CAPEX","FY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73" s="2" t="e">
        <f ca="1">_xll.BDH($C$353,"IS_OPER_INC","FY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73" s="1" t="e">
        <f ca="1">_xll.BDH($C$353,"CASH_RATIO","FY 2018","FY 2018","Currency=INR","Period=FY","BEST_FPERIOD_OVERRIDE=FY","FILING_STATUS=OR","EQY_CONSOLIDATED=Y","Sort=A","Dates=H","DateFormat=P","Fill=—","Direction=H","UseDPDF=Y")</f>
        <v>#NAME?</v>
      </c>
      <c r="CT373" s="1" t="e">
        <f ca="1">_xll.BDH($C$353,"CUR_RATIO","FY 2018","FY 2018","Currency=INR","Period=FY","BEST_FPERIOD_OVERRIDE=FY","FILING_STATUS=OR","EQY_CONSOLIDATED=Y","Sort=A","Dates=H","DateFormat=P","Fill=—","Direction=H","UseDPDF=Y")</f>
        <v>#NAME?</v>
      </c>
      <c r="CU373" s="1" t="e">
        <f ca="1">_xll.BDH($C$353,"QUICK_RATIO","FY 2018","FY 2018","Currency=INR","Period=FY","BEST_FPERIOD_OVERRIDE=FY","FILING_STATUS=OR","EQY_CONSOLIDATED=Y","Sort=A","Dates=H","DateFormat=P","Fill=—","Direction=H","UseDPDF=Y")</f>
        <v>#NAME?</v>
      </c>
      <c r="CV373" s="1" t="e">
        <f ca="1">_xll.BDH($C$353,"ALTMAN_Z_SCORE","FY 2018","FY 2018","Currency=INR","Period=FY","BEST_FPERIOD_OVERRIDE=FY","FILING_STATUS=OR","EQY_CONSOLIDATED=Y","Sort=A","Dates=H","DateFormat=P","Fill=—","Direction=H","UseDPDF=Y")</f>
        <v>#NAME?</v>
      </c>
      <c r="CW373" s="3" t="e">
        <f ca="1">_xll.BDH($C$353,"ACCT_RCV_TURN","FY 2018","FY 2018","Currency=INR","Period=FY","BEST_FPERIOD_OVERRIDE=FY","FILING_STATUS=OR","EQY_CONSOLIDATED=Y","FA_ADJUSTED=GAAP","Sort=A","Dates=H","DateFormat=P","Fill=—","Direction=H","UseDPDF=Y")</f>
        <v>#NAME?</v>
      </c>
      <c r="CX373" s="1" t="e">
        <f ca="1">_xll.BDH($C$353,"ACCT_RCV_DAYS","FY 2018","FY 2018","Currency=INR","Period=FY","BEST_FPERIOD_OVERRIDE=FY","FILING_STATUS=OR","EQY_CONSOLIDATED=Y","FA_ADJUSTED=GAAP","Sort=A","Dates=H","DateFormat=P","Fill=—","Direction=H","UseDPDF=Y")</f>
        <v>#NAME?</v>
      </c>
      <c r="CY373" s="3" t="e">
        <f ca="1">_xll.BDH($C$353,"INVENT_TURN","FY 2018","FY 2018","Currency=INR","Period=FY","BEST_FPERIOD_OVERRIDE=FY","FILING_STATUS=OR","EQY_CONSOLIDATED=Y","FA_ADJUSTED=GAAP","Sort=A","Dates=H","DateFormat=P","Fill=—","Direction=H","UseDPDF=Y")</f>
        <v>#NAME?</v>
      </c>
      <c r="CZ373" s="1" t="e">
        <f ca="1">_xll.BDH($C$353,"INVENT_DAYS","FY 2018","FY 2018","Currency=INR","Period=FY","BEST_FPERIOD_OVERRIDE=FY","FILING_STATUS=OR","EQY_CONSOLIDATED=Y","FA_ADJUSTED=GAAP","Sort=A","Dates=H","DateFormat=P","Fill=—","Direction=H","UseDPDF=Y")</f>
        <v>#NAME?</v>
      </c>
      <c r="DA373" s="3" t="e">
        <f ca="1">_xll.BDH($C$353,"ACCOUNTS_PAYABLE_TURNOVER","FY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73" s="1" t="e">
        <f ca="1">_xll.BDH($C$353,"ACCOUNTS_PAYABLE_TURNOVER_DAYS","FY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73" s="3" t="e">
        <f ca="1">_xll.BDH($C$353,"CASH_CONVERSION_CYCLE","FY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73" s="3" t="e">
        <f ca="1">_xll.BDH($C$353,"INV_TO_CASH_DAYS","FY 2018","FY 2018","Currency=INR","Period=FY","BEST_FPERIOD_OVERRIDE=FY","FILING_STATUS=OR","EQY_CONSOLIDATED=Y","FA_ADJUSTED=GAAP","Sort=A","Dates=H","DateFormat=P","Fill=—","Direction=H","UseDPDF=Y")</f>
        <v>#NAME?</v>
      </c>
      <c r="DE373" s="4" t="e">
        <f ca="1">_xll.BDH($C$353,"BS_INVENTORIES","FY 2018","FY 2018","Currency=INR","Period=FY","BEST_FPERIOD_OVERRIDE=FY","FILING_STATUS=OR","EQY_CONSOLIDATED=Y","SCALING_FORMAT=MLN","Sort=A","Dates=H","DateFormat=P","Fill=—","Direction=H","UseDPDF=Y")</f>
        <v>#NAME?</v>
      </c>
      <c r="DF373" s="2" t="e">
        <f ca="1">_xll.BDH($C$353,"INVTRY_RAW_MATERIALS","FY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73" s="2" t="e">
        <f ca="1">_xll.BDH($C$353,"INVTRY_IN_PROGRESS","FY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73" s="2" t="e">
        <f ca="1">_xll.BDH($C$353,"INVTRY_FINISHED_GOODS","FY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73" s="2" t="e">
        <f ca="1">_xll.BDH($C$353,"BS_OTHER_INV","FY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74" spans="1:113" x14ac:dyDescent="0.3">
      <c r="A374" s="6"/>
      <c r="B374" s="6"/>
      <c r="C374" s="6"/>
      <c r="D374" s="6"/>
      <c r="E374" t="s">
        <v>4</v>
      </c>
      <c r="F374" t="e">
        <f ca="1">_xll.BDH($C$353,"RETURN_COM_EQY","FQ1 2018","FQ1 2018","Currency=INR","Period=FQ","BEST_FPERIOD_OVERRIDE=FQ","FILING_STATUS=OR","EQY_CONSOLIDATED=Y","FA_ADJUSTED=GAAP","Sort=A","Dates=H","DateFormat=P","Fill=—","Direction=H","UseDPDF=Y")</f>
        <v>#NAME?</v>
      </c>
      <c r="G374" t="e">
        <f ca="1">_xll.BDH($C$353,"RETURN_ON_ASSET","FQ1 2018","FQ1 2018","Currency=INR","Period=FQ","BEST_FPERIOD_OVERRIDE=FQ","FILING_STATUS=OR","EQY_CONSOLIDATED=Y","FA_ADJUSTED=GAAP","Sort=A","Dates=H","DateFormat=P","Fill=—","Direction=H","UseDPDF=Y")</f>
        <v>#NAME?</v>
      </c>
      <c r="H374" t="e">
        <f ca="1">_xll.BDH($C$353,"RETURN_ON_CAP","FQ1 2018","FQ1 2018","Currency=INR","Period=FQ","BEST_FPERIOD_OVERRIDE=FQ","FILING_STATUS=OR","EQY_CONSOLIDATED=Y","FA_ADJUSTED=GAAP","Sort=A","Dates=H","DateFormat=P","Fill=—","Direction=H","UseDPDF=Y")</f>
        <v>#NAME?</v>
      </c>
      <c r="I374" t="e">
        <f ca="1">_xll.BDH($C$353,"RETURN_ON_INV_CAPITAL","FQ1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74" t="e">
        <f ca="1">_xll.BDH($C$353,"EBITDA_TO_REVENUE","FQ1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374" t="e">
        <f ca="1">_xll.BDH($C$353,"OPER_MARGIN","FQ1 2018","FQ1 2018","Currency=INR","Period=FQ","BEST_FPERIOD_OVERRIDE=FQ","FILING_STATUS=OR","EQY_CONSOLIDATED=Y","FA_ADJUSTED=GAAP","Sort=A","Dates=H","DateFormat=P","Fill=—","Direction=H","UseDPDF=Y")</f>
        <v>#NAME?</v>
      </c>
      <c r="L374" t="e">
        <f ca="1">_xll.BDH($C$353,"INCREMENTAL_OPERATING_MARGIN","FQ1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74" t="e">
        <f ca="1">_xll.BDH($C$353,"PRETAX_INC_TO_NET_SALES","FQ1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74" t="e">
        <f ca="1">_xll.BDH($C$353,"INC_BEF_XO_ITEMS_TO_NET_SALES","FQ1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74" t="e">
        <f ca="1">_xll.BDH($C$353,"PROF_MARGIN","FQ1 2018","FQ1 2018","Currency=INR","Period=FQ","BEST_FPERIOD_OVERRIDE=FQ","FILING_STATUS=OR","EQY_CONSOLIDATED=Y","FA_ADJUSTED=GAAP","Sort=A","Dates=H","DateFormat=P","Fill=—","Direction=H","UseDPDF=Y")</f>
        <v>#NAME?</v>
      </c>
      <c r="P374" t="e">
        <f ca="1">_xll.BDH($C$353,"NET_INCOME_TO_COMMON_MARGIN","FQ1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74" t="e">
        <f ca="1">_xll.BDH($C$353,"EFF_TAX_RATE","FQ1 2018","FQ1 2018","Currency=INR","Period=FQ","BEST_FPERIOD_OVERRIDE=FQ","FILING_STATUS=OR","EQY_CONSOLIDATED=Y","FA_ADJUSTED=GAAP","Sort=A","Dates=H","DateFormat=P","Fill=—","Direction=H","UseDPDF=Y")</f>
        <v>#NAME?</v>
      </c>
      <c r="R374" t="e">
        <f ca="1">_xll.BDH($C$353,"DVD_PAYOUT_RATIO","FQ1 2018","FQ1 2018","Currency=INR","Period=FQ","BEST_FPERIOD_OVERRIDE=FQ","FILING_STATUS=OR","EQY_CONSOLIDATED=Y","FA_ADJUSTED=GAAP","Sort=A","Dates=H","DateFormat=P","Fill=—","Direction=H","UseDPDF=Y")</f>
        <v>#NAME?</v>
      </c>
      <c r="S374" t="e">
        <f ca="1">_xll.BDH($C$353,"SUSTAIN_GROWTH_RT","FQ1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374" s="1" t="e">
        <f ca="1">_xll.BDH($C$353,"SALES_GROWTH","FQ1 2018","FQ1 2018","Currency=INR","Period=FQ","BEST_FPERIOD_OVERRIDE=FQ","FILING_STATUS=OR","EQY_CONSOLIDATED=Y","FA_ADJUSTED=GAAP","Sort=A","Dates=H","DateFormat=P","Fill=—","Direction=H","UseDPDF=Y")</f>
        <v>#NAME?</v>
      </c>
      <c r="U374" s="1" t="e">
        <f ca="1">_xll.BDH($C$353,"EBITDA_GROWTH","FQ1 2018","FQ1 2018","Currency=INR","Period=FQ","BEST_FPERIOD_OVERRIDE=FQ","FILING_STATUS=OR","EQY_CONSOLIDATED=Y","FA_ADJUSTED=GAAP","Sort=A","Dates=H","DateFormat=P","Fill=—","Direction=H","UseDPDF=Y")</f>
        <v>#NAME?</v>
      </c>
      <c r="V374" s="1" t="e">
        <f ca="1">_xll.BDH($C$353,"OPER_INC_GROWTH","FQ1 2018","FQ1 2018","Currency=INR","Period=FQ","BEST_FPERIOD_OVERRIDE=FQ","FILING_STATUS=OR","EQY_CONSOLIDATED=Y","FA_ADJUSTED=GAAP","Sort=A","Dates=H","DateFormat=P","Fill=—","Direction=H","UseDPDF=Y")</f>
        <v>#NAME?</v>
      </c>
      <c r="W374" s="1" t="e">
        <f ca="1">_xll.BDH($C$353,"EARN_FOR_COM_GROWTH","FQ1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74" s="1" t="e">
        <f ca="1">_xll.BDH($C$353,"DILUTED_EPS_AFT_XO_ITEMS_GROWTH","FQ1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74" s="1" t="e">
        <f ca="1">_xll.BDH($C$353,"DIVIDEND_PER_SHARE_1_YEAR_GROWTH","FQ1 2018","FQ1 2018","Currency=INR","Period=FQ","BEST_FPERIOD_OVERRIDE=FQ","FILING_STATUS=OR","EQY_CONSOLIDATED=Y","Sort=A","Dates=H","DateFormat=P","Fill=—","Direction=H","UseDPDF=Y")</f>
        <v>#NAME?</v>
      </c>
      <c r="Z374" s="1" t="e">
        <f ca="1">_xll.BDH($C$353,"ACCOUNTS_RECEIVABLE_GROWTH","FQ1 2018","FQ1 2018","Currency=INR","Period=FQ","BEST_FPERIOD_OVERRIDE=FQ","FILING_STATUS=OR","EQY_CONSOLIDATED=Y","Sort=A","Dates=H","DateFormat=P","Fill=—","Direction=H","UseDPDF=Y")</f>
        <v>#NAME?</v>
      </c>
      <c r="AA374" s="1" t="e">
        <f ca="1">_xll.BDH($C$353,"INVENTORY_GROWTH","FQ1 2018","FQ1 2018","Currency=INR","Period=FQ","BEST_FPERIOD_OVERRIDE=FQ","FILING_STATUS=OR","EQY_CONSOLIDATED=Y","Sort=A","Dates=H","DateFormat=P","Fill=—","Direction=H","UseDPDF=Y")</f>
        <v>#NAME?</v>
      </c>
      <c r="AB374" s="1" t="e">
        <f ca="1">_xll.BDH($C$353,"NET_FIXED_ASSETS_1_YEAR_GROWTH","FQ1 2018","FQ1 2018","Currency=INR","Period=FQ","BEST_FPERIOD_OVERRIDE=FQ","FILING_STATUS=OR","EQY_CONSOLIDATED=Y","Sort=A","Dates=H","DateFormat=P","Fill=—","Direction=H","UseDPDF=Y")</f>
        <v>#NAME?</v>
      </c>
      <c r="AC374" s="1" t="e">
        <f ca="1">_xll.BDH($C$353,"ASSET_GROWTH","FQ1 2018","FQ1 2018","Currency=INR","Period=FQ","BEST_FPERIOD_OVERRIDE=FQ","FILING_STATUS=OR","EQY_CONSOLIDATED=Y","Sort=A","Dates=H","DateFormat=P","Fill=—","Direction=H","UseDPDF=Y")</f>
        <v>#NAME?</v>
      </c>
      <c r="AD374" s="1" t="e">
        <f ca="1">_xll.BDH($C$353,"MODIFIED_WORK_CAP_GROWTH","FQ1 2018","FQ1 2018","Currency=INR","Period=FQ","BEST_FPERIOD_OVERRIDE=FQ","FILING_STATUS=OR","EQY_CONSOLIDATED=Y","Sort=A","Dates=H","DateFormat=P","Fill=—","Direction=H","UseDPDF=Y")</f>
        <v>#NAME?</v>
      </c>
      <c r="AE374" s="1" t="e">
        <f ca="1">_xll.BDH($C$353,"WORK_CAP_GROWTH","FQ1 2018","FQ1 2018","Currency=INR","Period=FQ","BEST_FPERIOD_OVERRIDE=FQ","FILING_STATUS=OR","EQY_CONSOLIDATED=Y","Sort=A","Dates=H","DateFormat=P","Fill=—","Direction=H","UseDPDF=Y")</f>
        <v>#NAME?</v>
      </c>
      <c r="AF374" s="1" t="e">
        <f ca="1">_xll.BDH($C$353,"ACCOUNTS_PAYABLE_GROWTH_1YR","FQ1 2018","FQ1 2018","Currency=INR","Period=FQ","BEST_FPERIOD_OVERRIDE=FQ","FILING_STATUS=OR","EQY_CONSOLIDATED=Y","Sort=A","Dates=H","DateFormat=P","Fill=—","Direction=H","UseDPDF=Y")</f>
        <v>#NAME?</v>
      </c>
      <c r="AG374" s="1" t="e">
        <f ca="1">_xll.BDH($C$353,"SHORT_TERM_DEBT_1_YEAR_GROWTH","FQ1 2018","FQ1 2018","Currency=INR","Period=FQ","BEST_FPERIOD_OVERRIDE=FQ","FILING_STATUS=OR","EQY_CONSOLIDATED=Y","Sort=A","Dates=H","DateFormat=P","Fill=—","Direction=H","UseDPDF=Y")</f>
        <v>#NAME?</v>
      </c>
      <c r="AH374" s="1" t="e">
        <f ca="1">_xll.BDH($C$353,"TOTAL_DEBT_1_YEAR_GROWTH","FQ1 2018","FQ1 2018","Currency=INR","Period=FQ","BEST_FPERIOD_OVERRIDE=FQ","FILING_STATUS=OR","EQY_CONSOLIDATED=Y","Sort=A","Dates=H","DateFormat=P","Fill=—","Direction=H","UseDPDF=Y")</f>
        <v>#NAME?</v>
      </c>
      <c r="AI374" s="1" t="e">
        <f ca="1">_xll.BDH($C$353,"TOTAL_EQUITY_1_YEAR_GROWTH","FQ1 2018","FQ1 2018","Currency=INR","Period=FQ","BEST_FPERIOD_OVERRIDE=FQ","FILING_STATUS=OR","EQY_CONSOLIDATED=Y","Sort=A","Dates=H","DateFormat=P","Fill=—","Direction=H","UseDPDF=Y")</f>
        <v>#NAME?</v>
      </c>
      <c r="AJ374" s="1" t="e">
        <f ca="1">_xll.BDH($C$353,"GROWTH_IN_CAP","FQ1 2018","FQ1 2018","Currency=INR","Period=FQ","BEST_FPERIOD_OVERRIDE=FQ","FILING_STATUS=OR","EQY_CONSOLIDATED=Y","Sort=A","Dates=H","DateFormat=P","Fill=—","Direction=H","UseDPDF=Y")</f>
        <v>#NAME?</v>
      </c>
      <c r="AK374" s="1" t="e">
        <f ca="1">_xll.BDH($C$353,"BVPS_GROWTH","FQ1 2018","FQ1 2018","Currency=INR","Period=FQ","BEST_FPERIOD_OVERRIDE=FQ","FILING_STATUS=OR","EQY_CONSOLIDATED=Y","Sort=A","Dates=H","DateFormat=P","Fill=—","Direction=H","UseDPDF=Y")</f>
        <v>#NAME?</v>
      </c>
      <c r="AL374" s="1" t="e">
        <f ca="1">_xll.BDH($C$353,"CASH_FLOW_GROWTH","FQ1 2018","FQ1 2018","Currency=INR","Period=FQ","BEST_FPERIOD_OVERRIDE=FQ","FILING_STATUS=OR","EQY_CONSOLIDATED=Y","Sort=A","Dates=H","DateFormat=P","Fill=—","Direction=H","UseDPDF=Y")</f>
        <v>#NAME?</v>
      </c>
      <c r="AM374" s="1" t="e">
        <f ca="1">_xll.BDH($C$353,"GEO_GROW_NET_SALES","FQ1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74" s="1" t="e">
        <f ca="1">_xll.BDH($C$353,"GEO_GROW_EBITDA","FQ1 2018","FQ1 2018","Currency=INR","Period=FQ","BEST_FPERIOD_OVERRIDE=FQ","FILING_STATUS=OR","EQY_CONSOLIDATED=Y","FA_ADJUSTED=GAAP","Sort=A","Dates=H","DateFormat=P","Fill=—","Direction=H","UseDPDF=Y")</f>
        <v>#NAME?</v>
      </c>
      <c r="AO374" s="1" t="e">
        <f ca="1">_xll.BDH($C$353,"GEO_GROW_OPER_INC","FQ1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74" s="1" t="e">
        <f ca="1">_xll.BDH($C$353,"NET_INCOME_TO_COMMON_5_YR_GROWTH","FQ1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74" s="1" t="e">
        <f ca="1">_xll.BDH($C$353,"5Y_GEO_GROWTH_DILUTED_EPS","FQ1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74" s="1" t="e">
        <f ca="1">_xll.BDH($C$353,"GEO_GROW_DVD_PER_SH","FQ1 2018","FQ1 2018","Currency=INR","Period=FQ","BEST_FPERIOD_OVERRIDE=FQ","FILING_STATUS=OR","EQY_CONSOLIDATED=Y","Sort=A","Dates=H","DateFormat=P","Fill=—","Direction=H","UseDPDF=Y")</f>
        <v>#NAME?</v>
      </c>
      <c r="AS374" s="1" t="e">
        <f ca="1">_xll.BDH($C$353,"ACCOUNTS_RECEIVABLE_5_YR_GROWTH","FQ1 2018","FQ1 2018","Currency=INR","Period=FQ","BEST_FPERIOD_OVERRIDE=FQ","FILING_STATUS=OR","EQY_CONSOLIDATED=Y","Sort=A","Dates=H","DateFormat=P","Fill=—","Direction=H","UseDPDF=Y")</f>
        <v>#NAME?</v>
      </c>
      <c r="AT374" s="1" t="e">
        <f ca="1">_xll.BDH($C$353,"INVENTORY_5_YEAR_GROWTH","FQ1 2018","FQ1 2018","Currency=INR","Period=FQ","BEST_FPERIOD_OVERRIDE=FQ","FILING_STATUS=OR","EQY_CONSOLIDATED=Y","Sort=A","Dates=H","DateFormat=P","Fill=—","Direction=H","UseDPDF=Y")</f>
        <v>#NAME?</v>
      </c>
      <c r="AU374" s="1" t="e">
        <f ca="1">_xll.BDH($C$353,"NET_FIXED_ASSETS_5_YEAR_GROWTH","FQ1 2018","FQ1 2018","Currency=INR","Period=FQ","BEST_FPERIOD_OVERRIDE=FQ","FILING_STATUS=OR","EQY_CONSOLIDATED=Y","Sort=A","Dates=H","DateFormat=P","Fill=—","Direction=H","UseDPDF=Y")</f>
        <v>#NAME?</v>
      </c>
      <c r="AV374" s="1" t="e">
        <f ca="1">_xll.BDH($C$353,"GEO_GROW_TOT_ASSET","FQ1 2018","FQ1 2018","Currency=INR","Period=FQ","BEST_FPERIOD_OVERRIDE=FQ","FILING_STATUS=OR","EQY_CONSOLIDATED=Y","Sort=A","Dates=H","DateFormat=P","Fill=—","Direction=H","UseDPDF=Y")</f>
        <v>#NAME?</v>
      </c>
      <c r="AW374" s="1" t="e">
        <f ca="1">_xll.BDH($C$353,"MODIFIED_WORKING_CPTL_5YR_GRWTH","FQ1 2018","FQ1 2018","Currency=INR","Period=FQ","BEST_FPERIOD_OVERRIDE=FQ","FILING_STATUS=OR","EQY_CONSOLIDATED=Y","Sort=A","Dates=H","DateFormat=P","Fill=—","Direction=H","UseDPDF=Y")</f>
        <v>#NAME?</v>
      </c>
      <c r="AX374" s="1" t="e">
        <f ca="1">_xll.BDH($C$353,"WORKING_CAPITAL_5_YEAR_GROWTH","FQ1 2018","FQ1 2018","Currency=INR","Period=FQ","BEST_FPERIOD_OVERRIDE=FQ","FILING_STATUS=OR","EQY_CONSOLIDATED=Y","Sort=A","Dates=H","DateFormat=P","Fill=—","Direction=H","UseDPDF=Y")</f>
        <v>#NAME?</v>
      </c>
      <c r="AY374" s="1" t="e">
        <f ca="1">_xll.BDH($C$353,"ACCOUNTS_PAYABLE_5_YEAR_GROWTH","FQ1 2018","FQ1 2018","Currency=INR","Period=FQ","BEST_FPERIOD_OVERRIDE=FQ","FILING_STATUS=OR","EQY_CONSOLIDATED=Y","Sort=A","Dates=H","DateFormat=P","Fill=—","Direction=H","UseDPDF=Y")</f>
        <v>#NAME?</v>
      </c>
      <c r="AZ374" s="1" t="e">
        <f ca="1">_xll.BDH($C$353,"SHORT_TERM_DEBT_5_YEAR_GROWTH","FQ1 2018","FQ1 2018","Currency=INR","Period=FQ","BEST_FPERIOD_OVERRIDE=FQ","FILING_STATUS=OR","EQY_CONSOLIDATED=Y","Sort=A","Dates=H","DateFormat=P","Fill=—","Direction=H","UseDPDF=Y")</f>
        <v>#NAME?</v>
      </c>
      <c r="BA374" s="1" t="e">
        <f ca="1">_xll.BDH($C$353,"TOTAL_DEBT_5_YEAR_GROWTH","FQ1 2018","FQ1 2018","Currency=INR","Period=FQ","BEST_FPERIOD_OVERRIDE=FQ","FILING_STATUS=OR","EQY_CONSOLIDATED=Y","Sort=A","Dates=H","DateFormat=P","Fill=—","Direction=H","UseDPDF=Y")</f>
        <v>#NAME?</v>
      </c>
      <c r="BB374" s="1" t="e">
        <f ca="1">_xll.BDH($C$353,"GEO_GROW_TOT_SHRHLDR_EQY","FQ1 2018","FQ1 2018","Currency=INR","Period=FQ","BEST_FPERIOD_OVERRIDE=FQ","FILING_STATUS=OR","EQY_CONSOLIDATED=Y","Sort=A","Dates=H","DateFormat=P","Fill=—","Direction=H","UseDPDF=Y")</f>
        <v>#NAME?</v>
      </c>
      <c r="BC374" s="1" t="e">
        <f ca="1">_xll.BDH($C$353,"TOTAL_CAPITAL_5_YEAR_GROWTH","FQ1 2018","FQ1 2018","Currency=INR","Period=FQ","BEST_FPERIOD_OVERRIDE=FQ","FILING_STATUS=OR","EQY_CONSOLIDATED=Y","Sort=A","Dates=H","DateFormat=P","Fill=—","Direction=H","UseDPDF=Y")</f>
        <v>#NAME?</v>
      </c>
      <c r="BD374" s="1" t="e">
        <f ca="1">_xll.BDH($C$353,"GEO_GROW_BOOK_VAL","FQ1 2018","FQ1 2018","Currency=INR","Period=FQ","BEST_FPERIOD_OVERRIDE=FQ","FILING_STATUS=OR","EQY_CONSOLIDATED=Y","Sort=A","Dates=H","DateFormat=P","Fill=—","Direction=H","UseDPDF=Y")</f>
        <v>#NAME?</v>
      </c>
      <c r="BE374" s="1" t="e">
        <f ca="1">_xll.BDH($C$353,"GEO_GROW_CASH_OPER_ACT","FQ1 2018","FQ1 2018","Currency=INR","Period=FQ","BEST_FPERIOD_OVERRIDE=FQ","FILING_STATUS=OR","EQY_CONSOLIDATED=Y","Sort=A","Dates=H","DateFormat=P","Fill=—","Direction=H","UseDPDF=Y")</f>
        <v>#NAME?</v>
      </c>
      <c r="BF374" s="1" t="e">
        <f ca="1">_xll.BDH($C$353,"REVENUE_SEQUENTIAL_GROWTH","FQ1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74" s="1" t="e">
        <f ca="1">_xll.BDH($C$353,"EBITDA_SEQUENTIAL_GROWTH","FQ1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74" s="1" t="e">
        <f ca="1">_xll.BDH($C$353,"OPERATING_INCOME_SEQ_GROWTH","FQ1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74" s="1" t="e">
        <f ca="1">_xll.BDH($C$353,"NET_INCOME_TO_COMMON_SEQ_GROWTH","FQ1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74" s="1" t="e">
        <f ca="1">_xll.BDH($C$353,"EPS_DILUTED_SEQUENTIAL_GROWTH","FQ1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74" s="1" t="e">
        <f ca="1">_xll.BDH($C$353,"DPS_SEQUENTIAL_GROWTH","FQ1 2018","FQ1 2018","Currency=INR","Period=FQ","BEST_FPERIOD_OVERRIDE=FQ","FILING_STATUS=OR","EQY_CONSOLIDATED=Y","Sort=A","Dates=H","DateFormat=P","Fill=—","Direction=H","UseDPDF=Y")</f>
        <v>#NAME?</v>
      </c>
      <c r="BL374" s="1" t="e">
        <f ca="1">_xll.BDH($C$353,"ACCOUNTS_RECEIVABLE_SEQ_GROWTH","FQ1 2018","FQ1 2018","Currency=INR","Period=FQ","BEST_FPERIOD_OVERRIDE=FQ","FILING_STATUS=OR","EQY_CONSOLIDATED=Y","Sort=A","Dates=H","DateFormat=P","Fill=—","Direction=H","UseDPDF=Y")</f>
        <v>#NAME?</v>
      </c>
      <c r="BM374" s="1" t="e">
        <f ca="1">_xll.BDH($C$353,"INVENTORY_SEQUENTIAL_GROWTH","FQ1 2018","FQ1 2018","Currency=INR","Period=FQ","BEST_FPERIOD_OVERRIDE=FQ","FILING_STATUS=OR","EQY_CONSOLIDATED=Y","Sort=A","Dates=H","DateFormat=P","Fill=—","Direction=H","UseDPDF=Y")</f>
        <v>#NAME?</v>
      </c>
      <c r="BN374" s="1" t="e">
        <f ca="1">_xll.BDH($C$353,"FIXED_ASSETS_SEQUENTIAL_GROWTH","FQ1 2018","FQ1 2018","Currency=INR","Period=FQ","BEST_FPERIOD_OVERRIDE=FQ","FILING_STATUS=OR","EQY_CONSOLIDATED=Y","Sort=A","Dates=H","DateFormat=P","Fill=—","Direction=H","UseDPDF=Y")</f>
        <v>#NAME?</v>
      </c>
      <c r="BO374" s="1" t="e">
        <f ca="1">_xll.BDH($C$353,"TOTAL_ASSETS_SEQUENTIAL_GROWTH","FQ1 2018","FQ1 2018","Currency=INR","Period=FQ","BEST_FPERIOD_OVERRIDE=FQ","FILING_STATUS=OR","EQY_CONSOLIDATED=Y","Sort=A","Dates=H","DateFormat=P","Fill=—","Direction=H","UseDPDF=Y")</f>
        <v>#NAME?</v>
      </c>
      <c r="BP374" s="1" t="e">
        <f ca="1">_xll.BDH($C$353,"MODIFIED_WORKING_CPTL_SEQ_GRWTH","FQ1 2018","FQ1 2018","Currency=INR","Period=FQ","BEST_FPERIOD_OVERRIDE=FQ","FILING_STATUS=OR","EQY_CONSOLIDATED=Y","Sort=A","Dates=H","DateFormat=P","Fill=—","Direction=H","UseDPDF=Y")</f>
        <v>#NAME?</v>
      </c>
      <c r="BQ374" s="1" t="e">
        <f ca="1">_xll.BDH($C$353,"WORKING_CAPITAL_SEQ_GROWTH","FQ1 2018","FQ1 2018","Currency=INR","Period=FQ","BEST_FPERIOD_OVERRIDE=FQ","FILING_STATUS=OR","EQY_CONSOLIDATED=Y","Sort=A","Dates=H","DateFormat=P","Fill=—","Direction=H","UseDPDF=Y")</f>
        <v>#NAME?</v>
      </c>
      <c r="BR374" s="1" t="e">
        <f ca="1">_xll.BDH($C$353,"ACCOUNTS_PAYABLE_SEQ_GROWTH","FQ1 2018","FQ1 2018","Currency=INR","Period=FQ","BEST_FPERIOD_OVERRIDE=FQ","FILING_STATUS=OR","EQY_CONSOLIDATED=Y","Sort=A","Dates=H","DateFormat=P","Fill=—","Direction=H","UseDPDF=Y")</f>
        <v>#NAME?</v>
      </c>
      <c r="BS374" s="1" t="e">
        <f ca="1">_xll.BDH($C$353,"ST_DEBT_SEQUENTIAL_GROWTH","FQ1 2018","FQ1 2018","Currency=INR","Period=FQ","BEST_FPERIOD_OVERRIDE=FQ","FILING_STATUS=OR","EQY_CONSOLIDATED=Y","Sort=A","Dates=H","DateFormat=P","Fill=—","Direction=H","UseDPDF=Y")</f>
        <v>#NAME?</v>
      </c>
      <c r="BT374" s="1" t="e">
        <f ca="1">_xll.BDH($C$353,"TOTAL_DEBT_SEQUENTIAL_GROWTH","FQ1 2018","FQ1 2018","Currency=INR","Period=FQ","BEST_FPERIOD_OVERRIDE=FQ","FILING_STATUS=OR","EQY_CONSOLIDATED=Y","Sort=A","Dates=H","DateFormat=P","Fill=—","Direction=H","UseDPDF=Y")</f>
        <v>#NAME?</v>
      </c>
      <c r="BU374" s="1" t="e">
        <f ca="1">_xll.BDH($C$353,"TOTAL_EQUITY_SEQUENTIAL_GROWTH","FQ1 2018","FQ1 2018","Currency=INR","Period=FQ","BEST_FPERIOD_OVERRIDE=FQ","FILING_STATUS=OR","EQY_CONSOLIDATED=Y","Sort=A","Dates=H","DateFormat=P","Fill=—","Direction=H","UseDPDF=Y")</f>
        <v>#NAME?</v>
      </c>
      <c r="BV374" s="1" t="e">
        <f ca="1">_xll.BDH($C$353,"TOTAL_CAPITAL_SEQUENTIAL_GROWTH","FQ1 2018","FQ1 2018","Currency=INR","Period=FQ","BEST_FPERIOD_OVERRIDE=FQ","FILING_STATUS=OR","EQY_CONSOLIDATED=Y","Sort=A","Dates=H","DateFormat=P","Fill=—","Direction=H","UseDPDF=Y")</f>
        <v>#NAME?</v>
      </c>
      <c r="BW374" s="1" t="e">
        <f ca="1">_xll.BDH($C$353,"BPS_SEQUENTIAL_GROWTH","FQ1 2018","FQ1 2018","Currency=INR","Period=FQ","BEST_FPERIOD_OVERRIDE=FQ","FILING_STATUS=OR","EQY_CONSOLIDATED=Y","Sort=A","Dates=H","DateFormat=P","Fill=—","Direction=H","UseDPDF=Y")</f>
        <v>#NAME?</v>
      </c>
      <c r="BX374" s="1" t="e">
        <f ca="1">_xll.BDH($C$353,"CFO_SEQUENTIAL_GROWTH","FQ1 2018","FQ1 2018","Currency=INR","Period=FQ","BEST_FPERIOD_OVERRIDE=FQ","FILING_STATUS=OR","EQY_CONSOLIDATED=Y","Sort=A","Dates=H","DateFormat=P","Fill=—","Direction=H","UseDPDF=Y")</f>
        <v>#NAME?</v>
      </c>
      <c r="BY374" s="2" t="e">
        <f ca="1">_xll.BDH($C$353,"SHORT_AND_LONG_TERM_DEBT","FQ1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74" s="2" t="e">
        <f ca="1">_xll.BDH($C$353,"BS_ST_BORROW","FQ1 2018","FQ1 2018","Currency=INR","Period=FQ","BEST_FPERIOD_OVERRIDE=FQ","FILING_STATUS=OR","EQY_CONSOLIDATED=Y","SCALING_FORMAT=MLN","Sort=A","Dates=H","DateFormat=P","Fill=—","Direction=H","UseDPDF=Y")</f>
        <v>#NAME?</v>
      </c>
      <c r="CA374" s="2" t="e">
        <f ca="1">_xll.BDH($C$353,"BS_LT_BORROW","FQ1 2018","FQ1 2018","Currency=INR","Period=FQ","BEST_FPERIOD_OVERRIDE=FQ","FILING_STATUS=OR","EQY_CONSOLIDATED=Y","SCALING_FORMAT=MLN","Sort=A","Dates=H","DateFormat=P","Fill=—","Direction=H","UseDPDF=Y")</f>
        <v>#NAME?</v>
      </c>
      <c r="CB374" s="1" t="e">
        <f ca="1">_xll.BDH($C$353,"TOT_DEBT_TO_EBITDA","FQ1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74" s="1" t="e">
        <f ca="1">_xll.BDH($C$353,"NET_DEBT_TO_EBITDA","FQ1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74" s="1" t="e">
        <f ca="1">_xll.BDH($C$353,"TOTAL_DEBT_TO_EBIT","FQ1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74" s="1" t="e">
        <f ca="1">_xll.BDH($C$353,"NET_DEBT_TO_EBIT","FQ1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374" s="1" t="e">
        <f ca="1">_xll.BDH($C$353,"EBITDA_TO_INTEREST_EXPN","FQ1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74" s="1" t="e">
        <f ca="1">_xll.BDH($C$353,"COM_EQY_TO_TOT_ASSET","FQ1 2018","FQ1 2018","Currency=INR","Period=FQ","BEST_FPERIOD_OVERRIDE=FQ","FILING_STATUS=OR","EQY_CONSOLIDATED=Y","Sort=A","Dates=H","DateFormat=P","Fill=—","Direction=H","UseDPDF=Y")</f>
        <v>#NAME?</v>
      </c>
      <c r="CH374" s="1" t="e">
        <f ca="1">_xll.BDH($C$353,"LT_DEBT_TO_TOT_EQY","FQ1 2018","FQ1 2018","Currency=INR","Period=FQ","BEST_FPERIOD_OVERRIDE=FQ","FILING_STATUS=OR","EQY_CONSOLIDATED=Y","Sort=A","Dates=H","DateFormat=P","Fill=—","Direction=H","UseDPDF=Y")</f>
        <v>#NAME?</v>
      </c>
      <c r="CI374" s="1" t="e">
        <f ca="1">_xll.BDH($C$353,"LT_DEBT_TO_TOT_CAP","FQ1 2018","FQ1 2018","Currency=INR","Period=FQ","BEST_FPERIOD_OVERRIDE=FQ","FILING_STATUS=OR","EQY_CONSOLIDATED=Y","Sort=A","Dates=H","DateFormat=P","Fill=—","Direction=H","UseDPDF=Y")</f>
        <v>#NAME?</v>
      </c>
      <c r="CJ374" s="1" t="e">
        <f ca="1">_xll.BDH($C$353,"LT_DEBT_TO_TOT_ASSET","FQ1 2018","FQ1 2018","Currency=INR","Period=FQ","BEST_FPERIOD_OVERRIDE=FQ","FILING_STATUS=OR","EQY_CONSOLIDATED=Y","Sort=A","Dates=H","DateFormat=P","Fill=—","Direction=H","UseDPDF=Y")</f>
        <v>#NAME?</v>
      </c>
      <c r="CK374" s="1" t="e">
        <f ca="1">_xll.BDH($C$353,"TOT_DEBT_TO_TOT_EQY","FQ1 2018","FQ1 2018","Currency=INR","Period=FQ","BEST_FPERIOD_OVERRIDE=FQ","FILING_STATUS=OR","EQY_CONSOLIDATED=Y","Sort=A","Dates=H","DateFormat=P","Fill=—","Direction=H","UseDPDF=Y")</f>
        <v>#NAME?</v>
      </c>
      <c r="CL374" s="1" t="e">
        <f ca="1">_xll.BDH($C$353,"TOT_DEBT_TO_TOT_CAP","FQ1 2018","FQ1 2018","Currency=INR","Period=FQ","BEST_FPERIOD_OVERRIDE=FQ","FILING_STATUS=OR","EQY_CONSOLIDATED=Y","Sort=A","Dates=H","DateFormat=P","Fill=—","Direction=H","UseDPDF=Y")</f>
        <v>#NAME?</v>
      </c>
      <c r="CM374" s="1" t="e">
        <f ca="1">_xll.BDH($C$353,"TOT_DEBT_TO_TOT_ASSET","FQ1 2018","FQ1 2018","Currency=INR","Period=FQ","BEST_FPERIOD_OVERRIDE=FQ","FILING_STATUS=OR","EQY_CONSOLIDATED=Y","Sort=A","Dates=H","DateFormat=P","Fill=—","Direction=H","UseDPDF=Y")</f>
        <v>#NAME?</v>
      </c>
      <c r="CN374" s="1" t="e">
        <f ca="1">_xll.BDH($C$353,"NET_DEBT_TO_SHRHLDR_EQTY","FQ1 2018","FQ1 2018","Currency=INR","Period=FQ","BEST_FPERIOD_OVERRIDE=FQ","FILING_STATUS=OR","EQY_CONSOLIDATED=Y","Sort=A","Dates=H","DateFormat=P","Fill=—","Direction=H","UseDPDF=Y")</f>
        <v>#NAME?</v>
      </c>
      <c r="CO374" s="1" t="e">
        <f ca="1">_xll.BDH($C$353,"NET_DEBT_%_CAPITAL","FQ1 2018","FQ1 2018","Currency=INR","Period=FQ","BEST_FPERIOD_OVERRIDE=FQ","FILING_STATUS=OR","EQY_CONSOLIDATED=Y","Sort=A","Dates=H","DateFormat=P","Fill=—","Direction=H","UseDPDF=Y")</f>
        <v>#NAME?</v>
      </c>
      <c r="CP374" s="2" t="e">
        <f ca="1">_xll.BDH($C$353,"EBITDA","FQ1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74" s="2" t="e">
        <f ca="1">_xll.BDH($C$353,"EBITDA_AFTER_CAPEX","FQ1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74" s="2" t="e">
        <f ca="1">_xll.BDH($C$353,"IS_OPER_INC","FQ1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74" s="1" t="e">
        <f ca="1">_xll.BDH($C$353,"CASH_RATIO","FQ1 2018","FQ1 2018","Currency=INR","Period=FQ","BEST_FPERIOD_OVERRIDE=FQ","FILING_STATUS=OR","EQY_CONSOLIDATED=Y","Sort=A","Dates=H","DateFormat=P","Fill=—","Direction=H","UseDPDF=Y")</f>
        <v>#NAME?</v>
      </c>
      <c r="CT374" s="1" t="e">
        <f ca="1">_xll.BDH($C$353,"CUR_RATIO","FQ1 2018","FQ1 2018","Currency=INR","Period=FQ","BEST_FPERIOD_OVERRIDE=FQ","FILING_STATUS=OR","EQY_CONSOLIDATED=Y","Sort=A","Dates=H","DateFormat=P","Fill=—","Direction=H","UseDPDF=Y")</f>
        <v>#NAME?</v>
      </c>
      <c r="CU374" s="1" t="e">
        <f ca="1">_xll.BDH($C$353,"QUICK_RATIO","FQ1 2018","FQ1 2018","Currency=INR","Period=FQ","BEST_FPERIOD_OVERRIDE=FQ","FILING_STATUS=OR","EQY_CONSOLIDATED=Y","Sort=A","Dates=H","DateFormat=P","Fill=—","Direction=H","UseDPDF=Y")</f>
        <v>#NAME?</v>
      </c>
      <c r="CV374" s="1" t="e">
        <f ca="1">_xll.BDH($C$353,"ALTMAN_Z_SCORE","FQ1 2018","FQ1 2018","Currency=INR","Period=FQ","BEST_FPERIOD_OVERRIDE=FQ","FILING_STATUS=OR","EQY_CONSOLIDATED=Y","Sort=A","Dates=H","DateFormat=P","Fill=—","Direction=H","UseDPDF=Y")</f>
        <v>#NAME?</v>
      </c>
      <c r="CW374" s="3" t="e">
        <f ca="1">_xll.BDH($C$353,"ACCT_RCV_TURN","FQ1 2018","FQ1 2018","Currency=INR","Period=FQ","BEST_FPERIOD_OVERRIDE=FQ","FILING_STATUS=OR","EQY_CONSOLIDATED=Y","FA_ADJUSTED=GAAP","Sort=A","Dates=H","DateFormat=P","Fill=—","Direction=H","UseDPDF=Y")</f>
        <v>#NAME?</v>
      </c>
      <c r="CX374" s="1" t="e">
        <f ca="1">_xll.BDH($C$353,"ACCT_RCV_DAYS","FQ1 2018","FQ1 2018","Currency=INR","Period=FQ","BEST_FPERIOD_OVERRIDE=FQ","FILING_STATUS=OR","EQY_CONSOLIDATED=Y","FA_ADJUSTED=GAAP","Sort=A","Dates=H","DateFormat=P","Fill=—","Direction=H","UseDPDF=Y")</f>
        <v>#NAME?</v>
      </c>
      <c r="CY374" s="3" t="e">
        <f ca="1">_xll.BDH($C$353,"INVENT_TURN","FQ1 2018","FQ1 2018","Currency=INR","Period=FQ","BEST_FPERIOD_OVERRIDE=FQ","FILING_STATUS=OR","EQY_CONSOLIDATED=Y","FA_ADJUSTED=GAAP","Sort=A","Dates=H","DateFormat=P","Fill=—","Direction=H","UseDPDF=Y")</f>
        <v>#NAME?</v>
      </c>
      <c r="CZ374" s="1" t="e">
        <f ca="1">_xll.BDH($C$353,"INVENT_DAYS","FQ1 2018","FQ1 2018","Currency=INR","Period=FQ","BEST_FPERIOD_OVERRIDE=FQ","FILING_STATUS=OR","EQY_CONSOLIDATED=Y","FA_ADJUSTED=GAAP","Sort=A","Dates=H","DateFormat=P","Fill=—","Direction=H","UseDPDF=Y")</f>
        <v>#NAME?</v>
      </c>
      <c r="DA374" s="3" t="e">
        <f ca="1">_xll.BDH($C$353,"ACCOUNTS_PAYABLE_TURNOVER","FQ1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74" s="1" t="e">
        <f ca="1">_xll.BDH($C$353,"ACCOUNTS_PAYABLE_TURNOVER_DAYS","FQ1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74" s="3" t="e">
        <f ca="1">_xll.BDH($C$353,"CASH_CONVERSION_CYCLE","FQ1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74" s="3" t="e">
        <f ca="1">_xll.BDH($C$353,"INV_TO_CASH_DAYS","FQ1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374" s="4" t="e">
        <f ca="1">_xll.BDH($C$353,"BS_INVENTORIES","FQ1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374" s="2" t="e">
        <f ca="1">_xll.BDH($C$353,"INVTRY_RAW_MATERIALS","FQ1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74" s="2" t="e">
        <f ca="1">_xll.BDH($C$353,"INVTRY_IN_PROGRESS","FQ1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74" s="2" t="e">
        <f ca="1">_xll.BDH($C$353,"INVTRY_FINISHED_GOODS","FQ1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74" s="2" t="e">
        <f ca="1">_xll.BDH($C$353,"BS_OTHER_INV","FQ1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75" spans="1:113" x14ac:dyDescent="0.3">
      <c r="A375" s="6"/>
      <c r="B375" s="6"/>
      <c r="C375" s="6"/>
      <c r="D375" s="6"/>
      <c r="E375" t="s">
        <v>5</v>
      </c>
      <c r="F375" t="e">
        <f ca="1">_xll.BDH($C$353,"RETURN_COM_EQY","FQ2 2018","FQ2 2018","Currency=INR","Period=FQ","BEST_FPERIOD_OVERRIDE=FQ","FILING_STATUS=OR","EQY_CONSOLIDATED=Y","FA_ADJUSTED=GAAP","Sort=A","Dates=H","DateFormat=P","Fill=—","Direction=H","UseDPDF=Y")</f>
        <v>#NAME?</v>
      </c>
      <c r="G375" t="e">
        <f ca="1">_xll.BDH($C$353,"RETURN_ON_ASSET","FQ2 2018","FQ2 2018","Currency=INR","Period=FQ","BEST_FPERIOD_OVERRIDE=FQ","FILING_STATUS=OR","EQY_CONSOLIDATED=Y","FA_ADJUSTED=GAAP","Sort=A","Dates=H","DateFormat=P","Fill=—","Direction=H","UseDPDF=Y")</f>
        <v>#NAME?</v>
      </c>
      <c r="H375" t="e">
        <f ca="1">_xll.BDH($C$353,"RETURN_ON_CAP","FQ2 2018","FQ2 2018","Currency=INR","Period=FQ","BEST_FPERIOD_OVERRIDE=FQ","FILING_STATUS=OR","EQY_CONSOLIDATED=Y","FA_ADJUSTED=GAAP","Sort=A","Dates=H","DateFormat=P","Fill=—","Direction=H","UseDPDF=Y")</f>
        <v>#NAME?</v>
      </c>
      <c r="I375" t="e">
        <f ca="1">_xll.BDH($C$353,"RETURN_ON_INV_CAPITAL","FQ2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75" t="e">
        <f ca="1">_xll.BDH($C$353,"EBITDA_TO_REVENUE","FQ2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375" t="e">
        <f ca="1">_xll.BDH($C$353,"OPER_MARGIN","FQ2 2018","FQ2 2018","Currency=INR","Period=FQ","BEST_FPERIOD_OVERRIDE=FQ","FILING_STATUS=OR","EQY_CONSOLIDATED=Y","FA_ADJUSTED=GAAP","Sort=A","Dates=H","DateFormat=P","Fill=—","Direction=H","UseDPDF=Y")</f>
        <v>#NAME?</v>
      </c>
      <c r="L375" t="e">
        <f ca="1">_xll.BDH($C$353,"INCREMENTAL_OPERATING_MARGIN","FQ2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75" t="e">
        <f ca="1">_xll.BDH($C$353,"PRETAX_INC_TO_NET_SALES","FQ2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75" t="e">
        <f ca="1">_xll.BDH($C$353,"INC_BEF_XO_ITEMS_TO_NET_SALES","FQ2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75" t="e">
        <f ca="1">_xll.BDH($C$353,"PROF_MARGIN","FQ2 2018","FQ2 2018","Currency=INR","Period=FQ","BEST_FPERIOD_OVERRIDE=FQ","FILING_STATUS=OR","EQY_CONSOLIDATED=Y","FA_ADJUSTED=GAAP","Sort=A","Dates=H","DateFormat=P","Fill=—","Direction=H","UseDPDF=Y")</f>
        <v>#NAME?</v>
      </c>
      <c r="P375" t="e">
        <f ca="1">_xll.BDH($C$353,"NET_INCOME_TO_COMMON_MARGIN","FQ2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75" t="e">
        <f ca="1">_xll.BDH($C$353,"EFF_TAX_RATE","FQ2 2018","FQ2 2018","Currency=INR","Period=FQ","BEST_FPERIOD_OVERRIDE=FQ","FILING_STATUS=OR","EQY_CONSOLIDATED=Y","FA_ADJUSTED=GAAP","Sort=A","Dates=H","DateFormat=P","Fill=—","Direction=H","UseDPDF=Y")</f>
        <v>#NAME?</v>
      </c>
      <c r="R375" t="e">
        <f ca="1">_xll.BDH($C$353,"DVD_PAYOUT_RATIO","FQ2 2018","FQ2 2018","Currency=INR","Period=FQ","BEST_FPERIOD_OVERRIDE=FQ","FILING_STATUS=OR","EQY_CONSOLIDATED=Y","FA_ADJUSTED=GAAP","Sort=A","Dates=H","DateFormat=P","Fill=—","Direction=H","UseDPDF=Y")</f>
        <v>#NAME?</v>
      </c>
      <c r="S375" t="e">
        <f ca="1">_xll.BDH($C$353,"SUSTAIN_GROWTH_RT","FQ2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375" s="1" t="e">
        <f ca="1">_xll.BDH($C$353,"SALES_GROWTH","FQ2 2018","FQ2 2018","Currency=INR","Period=FQ","BEST_FPERIOD_OVERRIDE=FQ","FILING_STATUS=OR","EQY_CONSOLIDATED=Y","FA_ADJUSTED=GAAP","Sort=A","Dates=H","DateFormat=P","Fill=—","Direction=H","UseDPDF=Y")</f>
        <v>#NAME?</v>
      </c>
      <c r="U375" s="1" t="e">
        <f ca="1">_xll.BDH($C$353,"EBITDA_GROWTH","FQ2 2018","FQ2 2018","Currency=INR","Period=FQ","BEST_FPERIOD_OVERRIDE=FQ","FILING_STATUS=OR","EQY_CONSOLIDATED=Y","FA_ADJUSTED=GAAP","Sort=A","Dates=H","DateFormat=P","Fill=—","Direction=H","UseDPDF=Y")</f>
        <v>#NAME?</v>
      </c>
      <c r="V375" s="1" t="e">
        <f ca="1">_xll.BDH($C$353,"OPER_INC_GROWTH","FQ2 2018","FQ2 2018","Currency=INR","Period=FQ","BEST_FPERIOD_OVERRIDE=FQ","FILING_STATUS=OR","EQY_CONSOLIDATED=Y","FA_ADJUSTED=GAAP","Sort=A","Dates=H","DateFormat=P","Fill=—","Direction=H","UseDPDF=Y")</f>
        <v>#NAME?</v>
      </c>
      <c r="W375" s="1" t="e">
        <f ca="1">_xll.BDH($C$353,"EARN_FOR_COM_GROWTH","FQ2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75" s="1" t="e">
        <f ca="1">_xll.BDH($C$353,"DILUTED_EPS_AFT_XO_ITEMS_GROWTH","FQ2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75" s="1" t="e">
        <f ca="1">_xll.BDH($C$353,"DIVIDEND_PER_SHARE_1_YEAR_GROWTH","FQ2 2018","FQ2 2018","Currency=INR","Period=FQ","BEST_FPERIOD_OVERRIDE=FQ","FILING_STATUS=OR","EQY_CONSOLIDATED=Y","Sort=A","Dates=H","DateFormat=P","Fill=—","Direction=H","UseDPDF=Y")</f>
        <v>#NAME?</v>
      </c>
      <c r="Z375" s="1" t="e">
        <f ca="1">_xll.BDH($C$353,"ACCOUNTS_RECEIVABLE_GROWTH","FQ2 2018","FQ2 2018","Currency=INR","Period=FQ","BEST_FPERIOD_OVERRIDE=FQ","FILING_STATUS=OR","EQY_CONSOLIDATED=Y","Sort=A","Dates=H","DateFormat=P","Fill=—","Direction=H","UseDPDF=Y")</f>
        <v>#NAME?</v>
      </c>
      <c r="AA375" s="1" t="e">
        <f ca="1">_xll.BDH($C$353,"INVENTORY_GROWTH","FQ2 2018","FQ2 2018","Currency=INR","Period=FQ","BEST_FPERIOD_OVERRIDE=FQ","FILING_STATUS=OR","EQY_CONSOLIDATED=Y","Sort=A","Dates=H","DateFormat=P","Fill=—","Direction=H","UseDPDF=Y")</f>
        <v>#NAME?</v>
      </c>
      <c r="AB375" s="1" t="e">
        <f ca="1">_xll.BDH($C$353,"NET_FIXED_ASSETS_1_YEAR_GROWTH","FQ2 2018","FQ2 2018","Currency=INR","Period=FQ","BEST_FPERIOD_OVERRIDE=FQ","FILING_STATUS=OR","EQY_CONSOLIDATED=Y","Sort=A","Dates=H","DateFormat=P","Fill=—","Direction=H","UseDPDF=Y")</f>
        <v>#NAME?</v>
      </c>
      <c r="AC375" s="1" t="e">
        <f ca="1">_xll.BDH($C$353,"ASSET_GROWTH","FQ2 2018","FQ2 2018","Currency=INR","Period=FQ","BEST_FPERIOD_OVERRIDE=FQ","FILING_STATUS=OR","EQY_CONSOLIDATED=Y","Sort=A","Dates=H","DateFormat=P","Fill=—","Direction=H","UseDPDF=Y")</f>
        <v>#NAME?</v>
      </c>
      <c r="AD375" s="1" t="e">
        <f ca="1">_xll.BDH($C$353,"MODIFIED_WORK_CAP_GROWTH","FQ2 2018","FQ2 2018","Currency=INR","Period=FQ","BEST_FPERIOD_OVERRIDE=FQ","FILING_STATUS=OR","EQY_CONSOLIDATED=Y","Sort=A","Dates=H","DateFormat=P","Fill=—","Direction=H","UseDPDF=Y")</f>
        <v>#NAME?</v>
      </c>
      <c r="AE375" s="1" t="e">
        <f ca="1">_xll.BDH($C$353,"WORK_CAP_GROWTH","FQ2 2018","FQ2 2018","Currency=INR","Period=FQ","BEST_FPERIOD_OVERRIDE=FQ","FILING_STATUS=OR","EQY_CONSOLIDATED=Y","Sort=A","Dates=H","DateFormat=P","Fill=—","Direction=H","UseDPDF=Y")</f>
        <v>#NAME?</v>
      </c>
      <c r="AF375" s="1" t="e">
        <f ca="1">_xll.BDH($C$353,"ACCOUNTS_PAYABLE_GROWTH_1YR","FQ2 2018","FQ2 2018","Currency=INR","Period=FQ","BEST_FPERIOD_OVERRIDE=FQ","FILING_STATUS=OR","EQY_CONSOLIDATED=Y","Sort=A","Dates=H","DateFormat=P","Fill=—","Direction=H","UseDPDF=Y")</f>
        <v>#NAME?</v>
      </c>
      <c r="AG375" s="1" t="e">
        <f ca="1">_xll.BDH($C$353,"SHORT_TERM_DEBT_1_YEAR_GROWTH","FQ2 2018","FQ2 2018","Currency=INR","Period=FQ","BEST_FPERIOD_OVERRIDE=FQ","FILING_STATUS=OR","EQY_CONSOLIDATED=Y","Sort=A","Dates=H","DateFormat=P","Fill=—","Direction=H","UseDPDF=Y")</f>
        <v>#NAME?</v>
      </c>
      <c r="AH375" s="1" t="e">
        <f ca="1">_xll.BDH($C$353,"TOTAL_DEBT_1_YEAR_GROWTH","FQ2 2018","FQ2 2018","Currency=INR","Period=FQ","BEST_FPERIOD_OVERRIDE=FQ","FILING_STATUS=OR","EQY_CONSOLIDATED=Y","Sort=A","Dates=H","DateFormat=P","Fill=—","Direction=H","UseDPDF=Y")</f>
        <v>#NAME?</v>
      </c>
      <c r="AI375" s="1" t="e">
        <f ca="1">_xll.BDH($C$353,"TOTAL_EQUITY_1_YEAR_GROWTH","FQ2 2018","FQ2 2018","Currency=INR","Period=FQ","BEST_FPERIOD_OVERRIDE=FQ","FILING_STATUS=OR","EQY_CONSOLIDATED=Y","Sort=A","Dates=H","DateFormat=P","Fill=—","Direction=H","UseDPDF=Y")</f>
        <v>#NAME?</v>
      </c>
      <c r="AJ375" s="1" t="e">
        <f ca="1">_xll.BDH($C$353,"GROWTH_IN_CAP","FQ2 2018","FQ2 2018","Currency=INR","Period=FQ","BEST_FPERIOD_OVERRIDE=FQ","FILING_STATUS=OR","EQY_CONSOLIDATED=Y","Sort=A","Dates=H","DateFormat=P","Fill=—","Direction=H","UseDPDF=Y")</f>
        <v>#NAME?</v>
      </c>
      <c r="AK375" s="1" t="e">
        <f ca="1">_xll.BDH($C$353,"BVPS_GROWTH","FQ2 2018","FQ2 2018","Currency=INR","Period=FQ","BEST_FPERIOD_OVERRIDE=FQ","FILING_STATUS=OR","EQY_CONSOLIDATED=Y","Sort=A","Dates=H","DateFormat=P","Fill=—","Direction=H","UseDPDF=Y")</f>
        <v>#NAME?</v>
      </c>
      <c r="AL375" s="1" t="e">
        <f ca="1">_xll.BDH($C$353,"CASH_FLOW_GROWTH","FQ2 2018","FQ2 2018","Currency=INR","Period=FQ","BEST_FPERIOD_OVERRIDE=FQ","FILING_STATUS=OR","EQY_CONSOLIDATED=Y","Sort=A","Dates=H","DateFormat=P","Fill=—","Direction=H","UseDPDF=Y")</f>
        <v>#NAME?</v>
      </c>
      <c r="AM375" s="1" t="e">
        <f ca="1">_xll.BDH($C$353,"GEO_GROW_NET_SALES","FQ2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75" s="1" t="e">
        <f ca="1">_xll.BDH($C$353,"GEO_GROW_EBITDA","FQ2 2018","FQ2 2018","Currency=INR","Period=FQ","BEST_FPERIOD_OVERRIDE=FQ","FILING_STATUS=OR","EQY_CONSOLIDATED=Y","FA_ADJUSTED=GAAP","Sort=A","Dates=H","DateFormat=P","Fill=—","Direction=H","UseDPDF=Y")</f>
        <v>#NAME?</v>
      </c>
      <c r="AO375" s="1" t="e">
        <f ca="1">_xll.BDH($C$353,"GEO_GROW_OPER_INC","FQ2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75" s="1" t="e">
        <f ca="1">_xll.BDH($C$353,"NET_INCOME_TO_COMMON_5_YR_GROWTH","FQ2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75" s="1" t="e">
        <f ca="1">_xll.BDH($C$353,"5Y_GEO_GROWTH_DILUTED_EPS","FQ2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75" s="1" t="e">
        <f ca="1">_xll.BDH($C$353,"GEO_GROW_DVD_PER_SH","FQ2 2018","FQ2 2018","Currency=INR","Period=FQ","BEST_FPERIOD_OVERRIDE=FQ","FILING_STATUS=OR","EQY_CONSOLIDATED=Y","Sort=A","Dates=H","DateFormat=P","Fill=—","Direction=H","UseDPDF=Y")</f>
        <v>#NAME?</v>
      </c>
      <c r="AS375" s="1" t="e">
        <f ca="1">_xll.BDH($C$353,"ACCOUNTS_RECEIVABLE_5_YR_GROWTH","FQ2 2018","FQ2 2018","Currency=INR","Period=FQ","BEST_FPERIOD_OVERRIDE=FQ","FILING_STATUS=OR","EQY_CONSOLIDATED=Y","Sort=A","Dates=H","DateFormat=P","Fill=—","Direction=H","UseDPDF=Y")</f>
        <v>#NAME?</v>
      </c>
      <c r="AT375" s="1" t="e">
        <f ca="1">_xll.BDH($C$353,"INVENTORY_5_YEAR_GROWTH","FQ2 2018","FQ2 2018","Currency=INR","Period=FQ","BEST_FPERIOD_OVERRIDE=FQ","FILING_STATUS=OR","EQY_CONSOLIDATED=Y","Sort=A","Dates=H","DateFormat=P","Fill=—","Direction=H","UseDPDF=Y")</f>
        <v>#NAME?</v>
      </c>
      <c r="AU375" s="1" t="e">
        <f ca="1">_xll.BDH($C$353,"NET_FIXED_ASSETS_5_YEAR_GROWTH","FQ2 2018","FQ2 2018","Currency=INR","Period=FQ","BEST_FPERIOD_OVERRIDE=FQ","FILING_STATUS=OR","EQY_CONSOLIDATED=Y","Sort=A","Dates=H","DateFormat=P","Fill=—","Direction=H","UseDPDF=Y")</f>
        <v>#NAME?</v>
      </c>
      <c r="AV375" s="1" t="e">
        <f ca="1">_xll.BDH($C$353,"GEO_GROW_TOT_ASSET","FQ2 2018","FQ2 2018","Currency=INR","Period=FQ","BEST_FPERIOD_OVERRIDE=FQ","FILING_STATUS=OR","EQY_CONSOLIDATED=Y","Sort=A","Dates=H","DateFormat=P","Fill=—","Direction=H","UseDPDF=Y")</f>
        <v>#NAME?</v>
      </c>
      <c r="AW375" s="1" t="e">
        <f ca="1">_xll.BDH($C$353,"MODIFIED_WORKING_CPTL_5YR_GRWTH","FQ2 2018","FQ2 2018","Currency=INR","Period=FQ","BEST_FPERIOD_OVERRIDE=FQ","FILING_STATUS=OR","EQY_CONSOLIDATED=Y","Sort=A","Dates=H","DateFormat=P","Fill=—","Direction=H","UseDPDF=Y")</f>
        <v>#NAME?</v>
      </c>
      <c r="AX375" s="1" t="e">
        <f ca="1">_xll.BDH($C$353,"WORKING_CAPITAL_5_YEAR_GROWTH","FQ2 2018","FQ2 2018","Currency=INR","Period=FQ","BEST_FPERIOD_OVERRIDE=FQ","FILING_STATUS=OR","EQY_CONSOLIDATED=Y","Sort=A","Dates=H","DateFormat=P","Fill=—","Direction=H","UseDPDF=Y")</f>
        <v>#NAME?</v>
      </c>
      <c r="AY375" s="1" t="e">
        <f ca="1">_xll.BDH($C$353,"ACCOUNTS_PAYABLE_5_YEAR_GROWTH","FQ2 2018","FQ2 2018","Currency=INR","Period=FQ","BEST_FPERIOD_OVERRIDE=FQ","FILING_STATUS=OR","EQY_CONSOLIDATED=Y","Sort=A","Dates=H","DateFormat=P","Fill=—","Direction=H","UseDPDF=Y")</f>
        <v>#NAME?</v>
      </c>
      <c r="AZ375" s="1" t="e">
        <f ca="1">_xll.BDH($C$353,"SHORT_TERM_DEBT_5_YEAR_GROWTH","FQ2 2018","FQ2 2018","Currency=INR","Period=FQ","BEST_FPERIOD_OVERRIDE=FQ","FILING_STATUS=OR","EQY_CONSOLIDATED=Y","Sort=A","Dates=H","DateFormat=P","Fill=—","Direction=H","UseDPDF=Y")</f>
        <v>#NAME?</v>
      </c>
      <c r="BA375" s="1" t="e">
        <f ca="1">_xll.BDH($C$353,"TOTAL_DEBT_5_YEAR_GROWTH","FQ2 2018","FQ2 2018","Currency=INR","Period=FQ","BEST_FPERIOD_OVERRIDE=FQ","FILING_STATUS=OR","EQY_CONSOLIDATED=Y","Sort=A","Dates=H","DateFormat=P","Fill=—","Direction=H","UseDPDF=Y")</f>
        <v>#NAME?</v>
      </c>
      <c r="BB375" s="1" t="e">
        <f ca="1">_xll.BDH($C$353,"GEO_GROW_TOT_SHRHLDR_EQY","FQ2 2018","FQ2 2018","Currency=INR","Period=FQ","BEST_FPERIOD_OVERRIDE=FQ","FILING_STATUS=OR","EQY_CONSOLIDATED=Y","Sort=A","Dates=H","DateFormat=P","Fill=—","Direction=H","UseDPDF=Y")</f>
        <v>#NAME?</v>
      </c>
      <c r="BC375" s="1" t="e">
        <f ca="1">_xll.BDH($C$353,"TOTAL_CAPITAL_5_YEAR_GROWTH","FQ2 2018","FQ2 2018","Currency=INR","Period=FQ","BEST_FPERIOD_OVERRIDE=FQ","FILING_STATUS=OR","EQY_CONSOLIDATED=Y","Sort=A","Dates=H","DateFormat=P","Fill=—","Direction=H","UseDPDF=Y")</f>
        <v>#NAME?</v>
      </c>
      <c r="BD375" s="1" t="e">
        <f ca="1">_xll.BDH($C$353,"GEO_GROW_BOOK_VAL","FQ2 2018","FQ2 2018","Currency=INR","Period=FQ","BEST_FPERIOD_OVERRIDE=FQ","FILING_STATUS=OR","EQY_CONSOLIDATED=Y","Sort=A","Dates=H","DateFormat=P","Fill=—","Direction=H","UseDPDF=Y")</f>
        <v>#NAME?</v>
      </c>
      <c r="BE375" s="1" t="e">
        <f ca="1">_xll.BDH($C$353,"GEO_GROW_CASH_OPER_ACT","FQ2 2018","FQ2 2018","Currency=INR","Period=FQ","BEST_FPERIOD_OVERRIDE=FQ","FILING_STATUS=OR","EQY_CONSOLIDATED=Y","Sort=A","Dates=H","DateFormat=P","Fill=—","Direction=H","UseDPDF=Y")</f>
        <v>#NAME?</v>
      </c>
      <c r="BF375" s="1" t="e">
        <f ca="1">_xll.BDH($C$353,"REVENUE_SEQUENTIAL_GROWTH","FQ2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75" s="1" t="e">
        <f ca="1">_xll.BDH($C$353,"EBITDA_SEQUENTIAL_GROWTH","FQ2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75" s="1" t="e">
        <f ca="1">_xll.BDH($C$353,"OPERATING_INCOME_SEQ_GROWTH","FQ2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75" s="1" t="e">
        <f ca="1">_xll.BDH($C$353,"NET_INCOME_TO_COMMON_SEQ_GROWTH","FQ2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75" s="1" t="e">
        <f ca="1">_xll.BDH($C$353,"EPS_DILUTED_SEQUENTIAL_GROWTH","FQ2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75" s="1" t="e">
        <f ca="1">_xll.BDH($C$353,"DPS_SEQUENTIAL_GROWTH","FQ2 2018","FQ2 2018","Currency=INR","Period=FQ","BEST_FPERIOD_OVERRIDE=FQ","FILING_STATUS=OR","EQY_CONSOLIDATED=Y","Sort=A","Dates=H","DateFormat=P","Fill=—","Direction=H","UseDPDF=Y")</f>
        <v>#NAME?</v>
      </c>
      <c r="BL375" s="1" t="e">
        <f ca="1">_xll.BDH($C$353,"ACCOUNTS_RECEIVABLE_SEQ_GROWTH","FQ2 2018","FQ2 2018","Currency=INR","Period=FQ","BEST_FPERIOD_OVERRIDE=FQ","FILING_STATUS=OR","EQY_CONSOLIDATED=Y","Sort=A","Dates=H","DateFormat=P","Fill=—","Direction=H","UseDPDF=Y")</f>
        <v>#NAME?</v>
      </c>
      <c r="BM375" s="1" t="e">
        <f ca="1">_xll.BDH($C$353,"INVENTORY_SEQUENTIAL_GROWTH","FQ2 2018","FQ2 2018","Currency=INR","Period=FQ","BEST_FPERIOD_OVERRIDE=FQ","FILING_STATUS=OR","EQY_CONSOLIDATED=Y","Sort=A","Dates=H","DateFormat=P","Fill=—","Direction=H","UseDPDF=Y")</f>
        <v>#NAME?</v>
      </c>
      <c r="BN375" s="1" t="e">
        <f ca="1">_xll.BDH($C$353,"FIXED_ASSETS_SEQUENTIAL_GROWTH","FQ2 2018","FQ2 2018","Currency=INR","Period=FQ","BEST_FPERIOD_OVERRIDE=FQ","FILING_STATUS=OR","EQY_CONSOLIDATED=Y","Sort=A","Dates=H","DateFormat=P","Fill=—","Direction=H","UseDPDF=Y")</f>
        <v>#NAME?</v>
      </c>
      <c r="BO375" s="1" t="e">
        <f ca="1">_xll.BDH($C$353,"TOTAL_ASSETS_SEQUENTIAL_GROWTH","FQ2 2018","FQ2 2018","Currency=INR","Period=FQ","BEST_FPERIOD_OVERRIDE=FQ","FILING_STATUS=OR","EQY_CONSOLIDATED=Y","Sort=A","Dates=H","DateFormat=P","Fill=—","Direction=H","UseDPDF=Y")</f>
        <v>#NAME?</v>
      </c>
      <c r="BP375" s="1" t="e">
        <f ca="1">_xll.BDH($C$353,"MODIFIED_WORKING_CPTL_SEQ_GRWTH","FQ2 2018","FQ2 2018","Currency=INR","Period=FQ","BEST_FPERIOD_OVERRIDE=FQ","FILING_STATUS=OR","EQY_CONSOLIDATED=Y","Sort=A","Dates=H","DateFormat=P","Fill=—","Direction=H","UseDPDF=Y")</f>
        <v>#NAME?</v>
      </c>
      <c r="BQ375" s="1" t="e">
        <f ca="1">_xll.BDH($C$353,"WORKING_CAPITAL_SEQ_GROWTH","FQ2 2018","FQ2 2018","Currency=INR","Period=FQ","BEST_FPERIOD_OVERRIDE=FQ","FILING_STATUS=OR","EQY_CONSOLIDATED=Y","Sort=A","Dates=H","DateFormat=P","Fill=—","Direction=H","UseDPDF=Y")</f>
        <v>#NAME?</v>
      </c>
      <c r="BR375" s="1" t="e">
        <f ca="1">_xll.BDH($C$353,"ACCOUNTS_PAYABLE_SEQ_GROWTH","FQ2 2018","FQ2 2018","Currency=INR","Period=FQ","BEST_FPERIOD_OVERRIDE=FQ","FILING_STATUS=OR","EQY_CONSOLIDATED=Y","Sort=A","Dates=H","DateFormat=P","Fill=—","Direction=H","UseDPDF=Y")</f>
        <v>#NAME?</v>
      </c>
      <c r="BS375" s="1" t="e">
        <f ca="1">_xll.BDH($C$353,"ST_DEBT_SEQUENTIAL_GROWTH","FQ2 2018","FQ2 2018","Currency=INR","Period=FQ","BEST_FPERIOD_OVERRIDE=FQ","FILING_STATUS=OR","EQY_CONSOLIDATED=Y","Sort=A","Dates=H","DateFormat=P","Fill=—","Direction=H","UseDPDF=Y")</f>
        <v>#NAME?</v>
      </c>
      <c r="BT375" s="1" t="e">
        <f ca="1">_xll.BDH($C$353,"TOTAL_DEBT_SEQUENTIAL_GROWTH","FQ2 2018","FQ2 2018","Currency=INR","Period=FQ","BEST_FPERIOD_OVERRIDE=FQ","FILING_STATUS=OR","EQY_CONSOLIDATED=Y","Sort=A","Dates=H","DateFormat=P","Fill=—","Direction=H","UseDPDF=Y")</f>
        <v>#NAME?</v>
      </c>
      <c r="BU375" s="1" t="e">
        <f ca="1">_xll.BDH($C$353,"TOTAL_EQUITY_SEQUENTIAL_GROWTH","FQ2 2018","FQ2 2018","Currency=INR","Period=FQ","BEST_FPERIOD_OVERRIDE=FQ","FILING_STATUS=OR","EQY_CONSOLIDATED=Y","Sort=A","Dates=H","DateFormat=P","Fill=—","Direction=H","UseDPDF=Y")</f>
        <v>#NAME?</v>
      </c>
      <c r="BV375" s="1" t="e">
        <f ca="1">_xll.BDH($C$353,"TOTAL_CAPITAL_SEQUENTIAL_GROWTH","FQ2 2018","FQ2 2018","Currency=INR","Period=FQ","BEST_FPERIOD_OVERRIDE=FQ","FILING_STATUS=OR","EQY_CONSOLIDATED=Y","Sort=A","Dates=H","DateFormat=P","Fill=—","Direction=H","UseDPDF=Y")</f>
        <v>#NAME?</v>
      </c>
      <c r="BW375" s="1" t="e">
        <f ca="1">_xll.BDH($C$353,"BPS_SEQUENTIAL_GROWTH","FQ2 2018","FQ2 2018","Currency=INR","Period=FQ","BEST_FPERIOD_OVERRIDE=FQ","FILING_STATUS=OR","EQY_CONSOLIDATED=Y","Sort=A","Dates=H","DateFormat=P","Fill=—","Direction=H","UseDPDF=Y")</f>
        <v>#NAME?</v>
      </c>
      <c r="BX375" s="1" t="e">
        <f ca="1">_xll.BDH($C$353,"CFO_SEQUENTIAL_GROWTH","FQ2 2018","FQ2 2018","Currency=INR","Period=FQ","BEST_FPERIOD_OVERRIDE=FQ","FILING_STATUS=OR","EQY_CONSOLIDATED=Y","Sort=A","Dates=H","DateFormat=P","Fill=—","Direction=H","UseDPDF=Y")</f>
        <v>#NAME?</v>
      </c>
      <c r="BY375" s="2" t="e">
        <f ca="1">_xll.BDH($C$353,"SHORT_AND_LONG_TERM_DEBT","FQ2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75" s="2" t="e">
        <f ca="1">_xll.BDH($C$353,"BS_ST_BORROW","FQ2 2018","FQ2 2018","Currency=INR","Period=FQ","BEST_FPERIOD_OVERRIDE=FQ","FILING_STATUS=OR","EQY_CONSOLIDATED=Y","SCALING_FORMAT=MLN","Sort=A","Dates=H","DateFormat=P","Fill=—","Direction=H","UseDPDF=Y")</f>
        <v>#NAME?</v>
      </c>
      <c r="CA375" s="2" t="e">
        <f ca="1">_xll.BDH($C$353,"BS_LT_BORROW","FQ2 2018","FQ2 2018","Currency=INR","Period=FQ","BEST_FPERIOD_OVERRIDE=FQ","FILING_STATUS=OR","EQY_CONSOLIDATED=Y","SCALING_FORMAT=MLN","Sort=A","Dates=H","DateFormat=P","Fill=—","Direction=H","UseDPDF=Y")</f>
        <v>#NAME?</v>
      </c>
      <c r="CB375" s="1" t="e">
        <f ca="1">_xll.BDH($C$353,"TOT_DEBT_TO_EBITDA","FQ2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75" s="1" t="e">
        <f ca="1">_xll.BDH($C$353,"NET_DEBT_TO_EBITDA","FQ2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75" s="1" t="e">
        <f ca="1">_xll.BDH($C$353,"TOTAL_DEBT_TO_EBIT","FQ2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75" s="1" t="e">
        <f ca="1">_xll.BDH($C$353,"NET_DEBT_TO_EBIT","FQ2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375" s="1" t="e">
        <f ca="1">_xll.BDH($C$353,"EBITDA_TO_INTEREST_EXPN","FQ2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75" s="1" t="e">
        <f ca="1">_xll.BDH($C$353,"COM_EQY_TO_TOT_ASSET","FQ2 2018","FQ2 2018","Currency=INR","Period=FQ","BEST_FPERIOD_OVERRIDE=FQ","FILING_STATUS=OR","EQY_CONSOLIDATED=Y","Sort=A","Dates=H","DateFormat=P","Fill=—","Direction=H","UseDPDF=Y")</f>
        <v>#NAME?</v>
      </c>
      <c r="CH375" s="1" t="e">
        <f ca="1">_xll.BDH($C$353,"LT_DEBT_TO_TOT_EQY","FQ2 2018","FQ2 2018","Currency=INR","Period=FQ","BEST_FPERIOD_OVERRIDE=FQ","FILING_STATUS=OR","EQY_CONSOLIDATED=Y","Sort=A","Dates=H","DateFormat=P","Fill=—","Direction=H","UseDPDF=Y")</f>
        <v>#NAME?</v>
      </c>
      <c r="CI375" s="1" t="e">
        <f ca="1">_xll.BDH($C$353,"LT_DEBT_TO_TOT_CAP","FQ2 2018","FQ2 2018","Currency=INR","Period=FQ","BEST_FPERIOD_OVERRIDE=FQ","FILING_STATUS=OR","EQY_CONSOLIDATED=Y","Sort=A","Dates=H","DateFormat=P","Fill=—","Direction=H","UseDPDF=Y")</f>
        <v>#NAME?</v>
      </c>
      <c r="CJ375" s="1" t="e">
        <f ca="1">_xll.BDH($C$353,"LT_DEBT_TO_TOT_ASSET","FQ2 2018","FQ2 2018","Currency=INR","Period=FQ","BEST_FPERIOD_OVERRIDE=FQ","FILING_STATUS=OR","EQY_CONSOLIDATED=Y","Sort=A","Dates=H","DateFormat=P","Fill=—","Direction=H","UseDPDF=Y")</f>
        <v>#NAME?</v>
      </c>
      <c r="CK375" s="1" t="e">
        <f ca="1">_xll.BDH($C$353,"TOT_DEBT_TO_TOT_EQY","FQ2 2018","FQ2 2018","Currency=INR","Period=FQ","BEST_FPERIOD_OVERRIDE=FQ","FILING_STATUS=OR","EQY_CONSOLIDATED=Y","Sort=A","Dates=H","DateFormat=P","Fill=—","Direction=H","UseDPDF=Y")</f>
        <v>#NAME?</v>
      </c>
      <c r="CL375" s="1" t="e">
        <f ca="1">_xll.BDH($C$353,"TOT_DEBT_TO_TOT_CAP","FQ2 2018","FQ2 2018","Currency=INR","Period=FQ","BEST_FPERIOD_OVERRIDE=FQ","FILING_STATUS=OR","EQY_CONSOLIDATED=Y","Sort=A","Dates=H","DateFormat=P","Fill=—","Direction=H","UseDPDF=Y")</f>
        <v>#NAME?</v>
      </c>
      <c r="CM375" s="1" t="e">
        <f ca="1">_xll.BDH($C$353,"TOT_DEBT_TO_TOT_ASSET","FQ2 2018","FQ2 2018","Currency=INR","Period=FQ","BEST_FPERIOD_OVERRIDE=FQ","FILING_STATUS=OR","EQY_CONSOLIDATED=Y","Sort=A","Dates=H","DateFormat=P","Fill=—","Direction=H","UseDPDF=Y")</f>
        <v>#NAME?</v>
      </c>
      <c r="CN375" s="1" t="e">
        <f ca="1">_xll.BDH($C$353,"NET_DEBT_TO_SHRHLDR_EQTY","FQ2 2018","FQ2 2018","Currency=INR","Period=FQ","BEST_FPERIOD_OVERRIDE=FQ","FILING_STATUS=OR","EQY_CONSOLIDATED=Y","Sort=A","Dates=H","DateFormat=P","Fill=—","Direction=H","UseDPDF=Y")</f>
        <v>#NAME?</v>
      </c>
      <c r="CO375" s="1" t="e">
        <f ca="1">_xll.BDH($C$353,"NET_DEBT_%_CAPITAL","FQ2 2018","FQ2 2018","Currency=INR","Period=FQ","BEST_FPERIOD_OVERRIDE=FQ","FILING_STATUS=OR","EQY_CONSOLIDATED=Y","Sort=A","Dates=H","DateFormat=P","Fill=—","Direction=H","UseDPDF=Y")</f>
        <v>#NAME?</v>
      </c>
      <c r="CP375" s="2" t="e">
        <f ca="1">_xll.BDH($C$353,"EBITDA","FQ2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75" s="2" t="e">
        <f ca="1">_xll.BDH($C$353,"EBITDA_AFTER_CAPEX","FQ2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75" s="2" t="e">
        <f ca="1">_xll.BDH($C$353,"IS_OPER_INC","FQ2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75" s="1" t="e">
        <f ca="1">_xll.BDH($C$353,"CASH_RATIO","FQ2 2018","FQ2 2018","Currency=INR","Period=FQ","BEST_FPERIOD_OVERRIDE=FQ","FILING_STATUS=OR","EQY_CONSOLIDATED=Y","Sort=A","Dates=H","DateFormat=P","Fill=—","Direction=H","UseDPDF=Y")</f>
        <v>#NAME?</v>
      </c>
      <c r="CT375" s="1" t="e">
        <f ca="1">_xll.BDH($C$353,"CUR_RATIO","FQ2 2018","FQ2 2018","Currency=INR","Period=FQ","BEST_FPERIOD_OVERRIDE=FQ","FILING_STATUS=OR","EQY_CONSOLIDATED=Y","Sort=A","Dates=H","DateFormat=P","Fill=—","Direction=H","UseDPDF=Y")</f>
        <v>#NAME?</v>
      </c>
      <c r="CU375" s="1" t="e">
        <f ca="1">_xll.BDH($C$353,"QUICK_RATIO","FQ2 2018","FQ2 2018","Currency=INR","Period=FQ","BEST_FPERIOD_OVERRIDE=FQ","FILING_STATUS=OR","EQY_CONSOLIDATED=Y","Sort=A","Dates=H","DateFormat=P","Fill=—","Direction=H","UseDPDF=Y")</f>
        <v>#NAME?</v>
      </c>
      <c r="CV375" s="1" t="e">
        <f ca="1">_xll.BDH($C$353,"ALTMAN_Z_SCORE","FQ2 2018","FQ2 2018","Currency=INR","Period=FQ","BEST_FPERIOD_OVERRIDE=FQ","FILING_STATUS=OR","EQY_CONSOLIDATED=Y","Sort=A","Dates=H","DateFormat=P","Fill=—","Direction=H","UseDPDF=Y")</f>
        <v>#NAME?</v>
      </c>
      <c r="CW375" s="3" t="e">
        <f ca="1">_xll.BDH($C$353,"ACCT_RCV_TURN","FQ2 2018","FQ2 2018","Currency=INR","Period=FQ","BEST_FPERIOD_OVERRIDE=FQ","FILING_STATUS=OR","EQY_CONSOLIDATED=Y","FA_ADJUSTED=GAAP","Sort=A","Dates=H","DateFormat=P","Fill=—","Direction=H","UseDPDF=Y")</f>
        <v>#NAME?</v>
      </c>
      <c r="CX375" s="1" t="e">
        <f ca="1">_xll.BDH($C$353,"ACCT_RCV_DAYS","FQ2 2018","FQ2 2018","Currency=INR","Period=FQ","BEST_FPERIOD_OVERRIDE=FQ","FILING_STATUS=OR","EQY_CONSOLIDATED=Y","FA_ADJUSTED=GAAP","Sort=A","Dates=H","DateFormat=P","Fill=—","Direction=H","UseDPDF=Y")</f>
        <v>#NAME?</v>
      </c>
      <c r="CY375" s="3" t="e">
        <f ca="1">_xll.BDH($C$353,"INVENT_TURN","FQ2 2018","FQ2 2018","Currency=INR","Period=FQ","BEST_FPERIOD_OVERRIDE=FQ","FILING_STATUS=OR","EQY_CONSOLIDATED=Y","FA_ADJUSTED=GAAP","Sort=A","Dates=H","DateFormat=P","Fill=—","Direction=H","UseDPDF=Y")</f>
        <v>#NAME?</v>
      </c>
      <c r="CZ375" s="1" t="e">
        <f ca="1">_xll.BDH($C$353,"INVENT_DAYS","FQ2 2018","FQ2 2018","Currency=INR","Period=FQ","BEST_FPERIOD_OVERRIDE=FQ","FILING_STATUS=OR","EQY_CONSOLIDATED=Y","FA_ADJUSTED=GAAP","Sort=A","Dates=H","DateFormat=P","Fill=—","Direction=H","UseDPDF=Y")</f>
        <v>#NAME?</v>
      </c>
      <c r="DA375" s="3" t="e">
        <f ca="1">_xll.BDH($C$353,"ACCOUNTS_PAYABLE_TURNOVER","FQ2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75" s="1" t="e">
        <f ca="1">_xll.BDH($C$353,"ACCOUNTS_PAYABLE_TURNOVER_DAYS","FQ2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75" s="3" t="e">
        <f ca="1">_xll.BDH($C$353,"CASH_CONVERSION_CYCLE","FQ2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75" s="3" t="e">
        <f ca="1">_xll.BDH($C$353,"INV_TO_CASH_DAYS","FQ2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375" s="4" t="e">
        <f ca="1">_xll.BDH($C$353,"BS_INVENTORIES","FQ2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375" s="2" t="e">
        <f ca="1">_xll.BDH($C$353,"INVTRY_RAW_MATERIALS","FQ2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75" s="2" t="e">
        <f ca="1">_xll.BDH($C$353,"INVTRY_IN_PROGRESS","FQ2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75" s="2" t="e">
        <f ca="1">_xll.BDH($C$353,"INVTRY_FINISHED_GOODS","FQ2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75" s="2" t="e">
        <f ca="1">_xll.BDH($C$353,"BS_OTHER_INV","FQ2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76" spans="1:113" x14ac:dyDescent="0.3">
      <c r="A376" s="6"/>
      <c r="B376" s="6"/>
      <c r="C376" s="6"/>
      <c r="D376" s="6"/>
      <c r="E376" t="s">
        <v>6</v>
      </c>
      <c r="F376" t="e">
        <f ca="1">_xll.BDH($C$353,"RETURN_COM_EQY","FQ3 2018","FQ3 2018","Currency=INR","Period=FQ","BEST_FPERIOD_OVERRIDE=FQ","FILING_STATUS=OR","EQY_CONSOLIDATED=Y","FA_ADJUSTED=GAAP","Sort=A","Dates=H","DateFormat=P","Fill=—","Direction=H","UseDPDF=Y")</f>
        <v>#NAME?</v>
      </c>
      <c r="G376" t="e">
        <f ca="1">_xll.BDH($C$353,"RETURN_ON_ASSET","FQ3 2018","FQ3 2018","Currency=INR","Period=FQ","BEST_FPERIOD_OVERRIDE=FQ","FILING_STATUS=OR","EQY_CONSOLIDATED=Y","FA_ADJUSTED=GAAP","Sort=A","Dates=H","DateFormat=P","Fill=—","Direction=H","UseDPDF=Y")</f>
        <v>#NAME?</v>
      </c>
      <c r="H376" t="e">
        <f ca="1">_xll.BDH($C$353,"RETURN_ON_CAP","FQ3 2018","FQ3 2018","Currency=INR","Period=FQ","BEST_FPERIOD_OVERRIDE=FQ","FILING_STATUS=OR","EQY_CONSOLIDATED=Y","FA_ADJUSTED=GAAP","Sort=A","Dates=H","DateFormat=P","Fill=—","Direction=H","UseDPDF=Y")</f>
        <v>#NAME?</v>
      </c>
      <c r="I376" t="e">
        <f ca="1">_xll.BDH($C$353,"RETURN_ON_INV_CAPITAL","FQ3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76" t="e">
        <f ca="1">_xll.BDH($C$353,"EBITDA_TO_REVENUE","FQ3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376" t="e">
        <f ca="1">_xll.BDH($C$353,"OPER_MARGIN","FQ3 2018","FQ3 2018","Currency=INR","Period=FQ","BEST_FPERIOD_OVERRIDE=FQ","FILING_STATUS=OR","EQY_CONSOLIDATED=Y","FA_ADJUSTED=GAAP","Sort=A","Dates=H","DateFormat=P","Fill=—","Direction=H","UseDPDF=Y")</f>
        <v>#NAME?</v>
      </c>
      <c r="L376" t="e">
        <f ca="1">_xll.BDH($C$353,"INCREMENTAL_OPERATING_MARGIN","FQ3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76" t="e">
        <f ca="1">_xll.BDH($C$353,"PRETAX_INC_TO_NET_SALES","FQ3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76" t="e">
        <f ca="1">_xll.BDH($C$353,"INC_BEF_XO_ITEMS_TO_NET_SALES","FQ3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76" t="e">
        <f ca="1">_xll.BDH($C$353,"PROF_MARGIN","FQ3 2018","FQ3 2018","Currency=INR","Period=FQ","BEST_FPERIOD_OVERRIDE=FQ","FILING_STATUS=OR","EQY_CONSOLIDATED=Y","FA_ADJUSTED=GAAP","Sort=A","Dates=H","DateFormat=P","Fill=—","Direction=H","UseDPDF=Y")</f>
        <v>#NAME?</v>
      </c>
      <c r="P376" t="e">
        <f ca="1">_xll.BDH($C$353,"NET_INCOME_TO_COMMON_MARGIN","FQ3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76" t="e">
        <f ca="1">_xll.BDH($C$353,"EFF_TAX_RATE","FQ3 2018","FQ3 2018","Currency=INR","Period=FQ","BEST_FPERIOD_OVERRIDE=FQ","FILING_STATUS=OR","EQY_CONSOLIDATED=Y","FA_ADJUSTED=GAAP","Sort=A","Dates=H","DateFormat=P","Fill=—","Direction=H","UseDPDF=Y")</f>
        <v>#NAME?</v>
      </c>
      <c r="R376" t="e">
        <f ca="1">_xll.BDH($C$353,"DVD_PAYOUT_RATIO","FQ3 2018","FQ3 2018","Currency=INR","Period=FQ","BEST_FPERIOD_OVERRIDE=FQ","FILING_STATUS=OR","EQY_CONSOLIDATED=Y","FA_ADJUSTED=GAAP","Sort=A","Dates=H","DateFormat=P","Fill=—","Direction=H","UseDPDF=Y")</f>
        <v>#NAME?</v>
      </c>
      <c r="S376" t="e">
        <f ca="1">_xll.BDH($C$353,"SUSTAIN_GROWTH_RT","FQ3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376" s="1" t="e">
        <f ca="1">_xll.BDH($C$353,"SALES_GROWTH","FQ3 2018","FQ3 2018","Currency=INR","Period=FQ","BEST_FPERIOD_OVERRIDE=FQ","FILING_STATUS=OR","EQY_CONSOLIDATED=Y","FA_ADJUSTED=GAAP","Sort=A","Dates=H","DateFormat=P","Fill=—","Direction=H","UseDPDF=Y")</f>
        <v>#NAME?</v>
      </c>
      <c r="U376" s="1" t="e">
        <f ca="1">_xll.BDH($C$353,"EBITDA_GROWTH","FQ3 2018","FQ3 2018","Currency=INR","Period=FQ","BEST_FPERIOD_OVERRIDE=FQ","FILING_STATUS=OR","EQY_CONSOLIDATED=Y","FA_ADJUSTED=GAAP","Sort=A","Dates=H","DateFormat=P","Fill=—","Direction=H","UseDPDF=Y")</f>
        <v>#NAME?</v>
      </c>
      <c r="V376" s="1" t="e">
        <f ca="1">_xll.BDH($C$353,"OPER_INC_GROWTH","FQ3 2018","FQ3 2018","Currency=INR","Period=FQ","BEST_FPERIOD_OVERRIDE=FQ","FILING_STATUS=OR","EQY_CONSOLIDATED=Y","FA_ADJUSTED=GAAP","Sort=A","Dates=H","DateFormat=P","Fill=—","Direction=H","UseDPDF=Y")</f>
        <v>#NAME?</v>
      </c>
      <c r="W376" s="1" t="e">
        <f ca="1">_xll.BDH($C$353,"EARN_FOR_COM_GROWTH","FQ3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76" s="1" t="e">
        <f ca="1">_xll.BDH($C$353,"DILUTED_EPS_AFT_XO_ITEMS_GROWTH","FQ3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76" s="1" t="e">
        <f ca="1">_xll.BDH($C$353,"DIVIDEND_PER_SHARE_1_YEAR_GROWTH","FQ3 2018","FQ3 2018","Currency=INR","Period=FQ","BEST_FPERIOD_OVERRIDE=FQ","FILING_STATUS=OR","EQY_CONSOLIDATED=Y","Sort=A","Dates=H","DateFormat=P","Fill=—","Direction=H","UseDPDF=Y")</f>
        <v>#NAME?</v>
      </c>
      <c r="Z376" s="1" t="e">
        <f ca="1">_xll.BDH($C$353,"ACCOUNTS_RECEIVABLE_GROWTH","FQ3 2018","FQ3 2018","Currency=INR","Period=FQ","BEST_FPERIOD_OVERRIDE=FQ","FILING_STATUS=OR","EQY_CONSOLIDATED=Y","Sort=A","Dates=H","DateFormat=P","Fill=—","Direction=H","UseDPDF=Y")</f>
        <v>#NAME?</v>
      </c>
      <c r="AA376" s="1" t="e">
        <f ca="1">_xll.BDH($C$353,"INVENTORY_GROWTH","FQ3 2018","FQ3 2018","Currency=INR","Period=FQ","BEST_FPERIOD_OVERRIDE=FQ","FILING_STATUS=OR","EQY_CONSOLIDATED=Y","Sort=A","Dates=H","DateFormat=P","Fill=—","Direction=H","UseDPDF=Y")</f>
        <v>#NAME?</v>
      </c>
      <c r="AB376" s="1" t="e">
        <f ca="1">_xll.BDH($C$353,"NET_FIXED_ASSETS_1_YEAR_GROWTH","FQ3 2018","FQ3 2018","Currency=INR","Period=FQ","BEST_FPERIOD_OVERRIDE=FQ","FILING_STATUS=OR","EQY_CONSOLIDATED=Y","Sort=A","Dates=H","DateFormat=P","Fill=—","Direction=H","UseDPDF=Y")</f>
        <v>#NAME?</v>
      </c>
      <c r="AC376" s="1" t="e">
        <f ca="1">_xll.BDH($C$353,"ASSET_GROWTH","FQ3 2018","FQ3 2018","Currency=INR","Period=FQ","BEST_FPERIOD_OVERRIDE=FQ","FILING_STATUS=OR","EQY_CONSOLIDATED=Y","Sort=A","Dates=H","DateFormat=P","Fill=—","Direction=H","UseDPDF=Y")</f>
        <v>#NAME?</v>
      </c>
      <c r="AD376" s="1" t="e">
        <f ca="1">_xll.BDH($C$353,"MODIFIED_WORK_CAP_GROWTH","FQ3 2018","FQ3 2018","Currency=INR","Period=FQ","BEST_FPERIOD_OVERRIDE=FQ","FILING_STATUS=OR","EQY_CONSOLIDATED=Y","Sort=A","Dates=H","DateFormat=P","Fill=—","Direction=H","UseDPDF=Y")</f>
        <v>#NAME?</v>
      </c>
      <c r="AE376" s="1" t="e">
        <f ca="1">_xll.BDH($C$353,"WORK_CAP_GROWTH","FQ3 2018","FQ3 2018","Currency=INR","Period=FQ","BEST_FPERIOD_OVERRIDE=FQ","FILING_STATUS=OR","EQY_CONSOLIDATED=Y","Sort=A","Dates=H","DateFormat=P","Fill=—","Direction=H","UseDPDF=Y")</f>
        <v>#NAME?</v>
      </c>
      <c r="AF376" s="1" t="e">
        <f ca="1">_xll.BDH($C$353,"ACCOUNTS_PAYABLE_GROWTH_1YR","FQ3 2018","FQ3 2018","Currency=INR","Period=FQ","BEST_FPERIOD_OVERRIDE=FQ","FILING_STATUS=OR","EQY_CONSOLIDATED=Y","Sort=A","Dates=H","DateFormat=P","Fill=—","Direction=H","UseDPDF=Y")</f>
        <v>#NAME?</v>
      </c>
      <c r="AG376" s="1" t="e">
        <f ca="1">_xll.BDH($C$353,"SHORT_TERM_DEBT_1_YEAR_GROWTH","FQ3 2018","FQ3 2018","Currency=INR","Period=FQ","BEST_FPERIOD_OVERRIDE=FQ","FILING_STATUS=OR","EQY_CONSOLIDATED=Y","Sort=A","Dates=H","DateFormat=P","Fill=—","Direction=H","UseDPDF=Y")</f>
        <v>#NAME?</v>
      </c>
      <c r="AH376" s="1" t="e">
        <f ca="1">_xll.BDH($C$353,"TOTAL_DEBT_1_YEAR_GROWTH","FQ3 2018","FQ3 2018","Currency=INR","Period=FQ","BEST_FPERIOD_OVERRIDE=FQ","FILING_STATUS=OR","EQY_CONSOLIDATED=Y","Sort=A","Dates=H","DateFormat=P","Fill=—","Direction=H","UseDPDF=Y")</f>
        <v>#NAME?</v>
      </c>
      <c r="AI376" s="1" t="e">
        <f ca="1">_xll.BDH($C$353,"TOTAL_EQUITY_1_YEAR_GROWTH","FQ3 2018","FQ3 2018","Currency=INR","Period=FQ","BEST_FPERIOD_OVERRIDE=FQ","FILING_STATUS=OR","EQY_CONSOLIDATED=Y","Sort=A","Dates=H","DateFormat=P","Fill=—","Direction=H","UseDPDF=Y")</f>
        <v>#NAME?</v>
      </c>
      <c r="AJ376" s="1" t="e">
        <f ca="1">_xll.BDH($C$353,"GROWTH_IN_CAP","FQ3 2018","FQ3 2018","Currency=INR","Period=FQ","BEST_FPERIOD_OVERRIDE=FQ","FILING_STATUS=OR","EQY_CONSOLIDATED=Y","Sort=A","Dates=H","DateFormat=P","Fill=—","Direction=H","UseDPDF=Y")</f>
        <v>#NAME?</v>
      </c>
      <c r="AK376" s="1" t="e">
        <f ca="1">_xll.BDH($C$353,"BVPS_GROWTH","FQ3 2018","FQ3 2018","Currency=INR","Period=FQ","BEST_FPERIOD_OVERRIDE=FQ","FILING_STATUS=OR","EQY_CONSOLIDATED=Y","Sort=A","Dates=H","DateFormat=P","Fill=—","Direction=H","UseDPDF=Y")</f>
        <v>#NAME?</v>
      </c>
      <c r="AL376" s="1" t="e">
        <f ca="1">_xll.BDH($C$353,"CASH_FLOW_GROWTH","FQ3 2018","FQ3 2018","Currency=INR","Period=FQ","BEST_FPERIOD_OVERRIDE=FQ","FILING_STATUS=OR","EQY_CONSOLIDATED=Y","Sort=A","Dates=H","DateFormat=P","Fill=—","Direction=H","UseDPDF=Y")</f>
        <v>#NAME?</v>
      </c>
      <c r="AM376" s="1" t="e">
        <f ca="1">_xll.BDH($C$353,"GEO_GROW_NET_SALES","FQ3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76" s="1" t="e">
        <f ca="1">_xll.BDH($C$353,"GEO_GROW_EBITDA","FQ3 2018","FQ3 2018","Currency=INR","Period=FQ","BEST_FPERIOD_OVERRIDE=FQ","FILING_STATUS=OR","EQY_CONSOLIDATED=Y","FA_ADJUSTED=GAAP","Sort=A","Dates=H","DateFormat=P","Fill=—","Direction=H","UseDPDF=Y")</f>
        <v>#NAME?</v>
      </c>
      <c r="AO376" s="1" t="e">
        <f ca="1">_xll.BDH($C$353,"GEO_GROW_OPER_INC","FQ3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76" s="1" t="e">
        <f ca="1">_xll.BDH($C$353,"NET_INCOME_TO_COMMON_5_YR_GROWTH","FQ3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76" s="1" t="e">
        <f ca="1">_xll.BDH($C$353,"5Y_GEO_GROWTH_DILUTED_EPS","FQ3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76" s="1" t="e">
        <f ca="1">_xll.BDH($C$353,"GEO_GROW_DVD_PER_SH","FQ3 2018","FQ3 2018","Currency=INR","Period=FQ","BEST_FPERIOD_OVERRIDE=FQ","FILING_STATUS=OR","EQY_CONSOLIDATED=Y","Sort=A","Dates=H","DateFormat=P","Fill=—","Direction=H","UseDPDF=Y")</f>
        <v>#NAME?</v>
      </c>
      <c r="AS376" s="1" t="e">
        <f ca="1">_xll.BDH($C$353,"ACCOUNTS_RECEIVABLE_5_YR_GROWTH","FQ3 2018","FQ3 2018","Currency=INR","Period=FQ","BEST_FPERIOD_OVERRIDE=FQ","FILING_STATUS=OR","EQY_CONSOLIDATED=Y","Sort=A","Dates=H","DateFormat=P","Fill=—","Direction=H","UseDPDF=Y")</f>
        <v>#NAME?</v>
      </c>
      <c r="AT376" s="1" t="e">
        <f ca="1">_xll.BDH($C$353,"INVENTORY_5_YEAR_GROWTH","FQ3 2018","FQ3 2018","Currency=INR","Period=FQ","BEST_FPERIOD_OVERRIDE=FQ","FILING_STATUS=OR","EQY_CONSOLIDATED=Y","Sort=A","Dates=H","DateFormat=P","Fill=—","Direction=H","UseDPDF=Y")</f>
        <v>#NAME?</v>
      </c>
      <c r="AU376" s="1" t="e">
        <f ca="1">_xll.BDH($C$353,"NET_FIXED_ASSETS_5_YEAR_GROWTH","FQ3 2018","FQ3 2018","Currency=INR","Period=FQ","BEST_FPERIOD_OVERRIDE=FQ","FILING_STATUS=OR","EQY_CONSOLIDATED=Y","Sort=A","Dates=H","DateFormat=P","Fill=—","Direction=H","UseDPDF=Y")</f>
        <v>#NAME?</v>
      </c>
      <c r="AV376" s="1" t="e">
        <f ca="1">_xll.BDH($C$353,"GEO_GROW_TOT_ASSET","FQ3 2018","FQ3 2018","Currency=INR","Period=FQ","BEST_FPERIOD_OVERRIDE=FQ","FILING_STATUS=OR","EQY_CONSOLIDATED=Y","Sort=A","Dates=H","DateFormat=P","Fill=—","Direction=H","UseDPDF=Y")</f>
        <v>#NAME?</v>
      </c>
      <c r="AW376" s="1" t="e">
        <f ca="1">_xll.BDH($C$353,"MODIFIED_WORKING_CPTL_5YR_GRWTH","FQ3 2018","FQ3 2018","Currency=INR","Period=FQ","BEST_FPERIOD_OVERRIDE=FQ","FILING_STATUS=OR","EQY_CONSOLIDATED=Y","Sort=A","Dates=H","DateFormat=P","Fill=—","Direction=H","UseDPDF=Y")</f>
        <v>#NAME?</v>
      </c>
      <c r="AX376" s="1" t="e">
        <f ca="1">_xll.BDH($C$353,"WORKING_CAPITAL_5_YEAR_GROWTH","FQ3 2018","FQ3 2018","Currency=INR","Period=FQ","BEST_FPERIOD_OVERRIDE=FQ","FILING_STATUS=OR","EQY_CONSOLIDATED=Y","Sort=A","Dates=H","DateFormat=P","Fill=—","Direction=H","UseDPDF=Y")</f>
        <v>#NAME?</v>
      </c>
      <c r="AY376" s="1" t="e">
        <f ca="1">_xll.BDH($C$353,"ACCOUNTS_PAYABLE_5_YEAR_GROWTH","FQ3 2018","FQ3 2018","Currency=INR","Period=FQ","BEST_FPERIOD_OVERRIDE=FQ","FILING_STATUS=OR","EQY_CONSOLIDATED=Y","Sort=A","Dates=H","DateFormat=P","Fill=—","Direction=H","UseDPDF=Y")</f>
        <v>#NAME?</v>
      </c>
      <c r="AZ376" s="1" t="e">
        <f ca="1">_xll.BDH($C$353,"SHORT_TERM_DEBT_5_YEAR_GROWTH","FQ3 2018","FQ3 2018","Currency=INR","Period=FQ","BEST_FPERIOD_OVERRIDE=FQ","FILING_STATUS=OR","EQY_CONSOLIDATED=Y","Sort=A","Dates=H","DateFormat=P","Fill=—","Direction=H","UseDPDF=Y")</f>
        <v>#NAME?</v>
      </c>
      <c r="BA376" s="1" t="e">
        <f ca="1">_xll.BDH($C$353,"TOTAL_DEBT_5_YEAR_GROWTH","FQ3 2018","FQ3 2018","Currency=INR","Period=FQ","BEST_FPERIOD_OVERRIDE=FQ","FILING_STATUS=OR","EQY_CONSOLIDATED=Y","Sort=A","Dates=H","DateFormat=P","Fill=—","Direction=H","UseDPDF=Y")</f>
        <v>#NAME?</v>
      </c>
      <c r="BB376" s="1" t="e">
        <f ca="1">_xll.BDH($C$353,"GEO_GROW_TOT_SHRHLDR_EQY","FQ3 2018","FQ3 2018","Currency=INR","Period=FQ","BEST_FPERIOD_OVERRIDE=FQ","FILING_STATUS=OR","EQY_CONSOLIDATED=Y","Sort=A","Dates=H","DateFormat=P","Fill=—","Direction=H","UseDPDF=Y")</f>
        <v>#NAME?</v>
      </c>
      <c r="BC376" s="1" t="e">
        <f ca="1">_xll.BDH($C$353,"TOTAL_CAPITAL_5_YEAR_GROWTH","FQ3 2018","FQ3 2018","Currency=INR","Period=FQ","BEST_FPERIOD_OVERRIDE=FQ","FILING_STATUS=OR","EQY_CONSOLIDATED=Y","Sort=A","Dates=H","DateFormat=P","Fill=—","Direction=H","UseDPDF=Y")</f>
        <v>#NAME?</v>
      </c>
      <c r="BD376" s="1" t="e">
        <f ca="1">_xll.BDH($C$353,"GEO_GROW_BOOK_VAL","FQ3 2018","FQ3 2018","Currency=INR","Period=FQ","BEST_FPERIOD_OVERRIDE=FQ","FILING_STATUS=OR","EQY_CONSOLIDATED=Y","Sort=A","Dates=H","DateFormat=P","Fill=—","Direction=H","UseDPDF=Y")</f>
        <v>#NAME?</v>
      </c>
      <c r="BE376" s="1" t="e">
        <f ca="1">_xll.BDH($C$353,"GEO_GROW_CASH_OPER_ACT","FQ3 2018","FQ3 2018","Currency=INR","Period=FQ","BEST_FPERIOD_OVERRIDE=FQ","FILING_STATUS=OR","EQY_CONSOLIDATED=Y","Sort=A","Dates=H","DateFormat=P","Fill=—","Direction=H","UseDPDF=Y")</f>
        <v>#NAME?</v>
      </c>
      <c r="BF376" s="1" t="e">
        <f ca="1">_xll.BDH($C$353,"REVENUE_SEQUENTIAL_GROWTH","FQ3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76" s="1" t="e">
        <f ca="1">_xll.BDH($C$353,"EBITDA_SEQUENTIAL_GROWTH","FQ3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76" s="1" t="e">
        <f ca="1">_xll.BDH($C$353,"OPERATING_INCOME_SEQ_GROWTH","FQ3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76" s="1" t="e">
        <f ca="1">_xll.BDH($C$353,"NET_INCOME_TO_COMMON_SEQ_GROWTH","FQ3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76" s="1" t="e">
        <f ca="1">_xll.BDH($C$353,"EPS_DILUTED_SEQUENTIAL_GROWTH","FQ3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76" s="1" t="e">
        <f ca="1">_xll.BDH($C$353,"DPS_SEQUENTIAL_GROWTH","FQ3 2018","FQ3 2018","Currency=INR","Period=FQ","BEST_FPERIOD_OVERRIDE=FQ","FILING_STATUS=OR","EQY_CONSOLIDATED=Y","Sort=A","Dates=H","DateFormat=P","Fill=—","Direction=H","UseDPDF=Y")</f>
        <v>#NAME?</v>
      </c>
      <c r="BL376" s="1" t="e">
        <f ca="1">_xll.BDH($C$353,"ACCOUNTS_RECEIVABLE_SEQ_GROWTH","FQ3 2018","FQ3 2018","Currency=INR","Period=FQ","BEST_FPERIOD_OVERRIDE=FQ","FILING_STATUS=OR","EQY_CONSOLIDATED=Y","Sort=A","Dates=H","DateFormat=P","Fill=—","Direction=H","UseDPDF=Y")</f>
        <v>#NAME?</v>
      </c>
      <c r="BM376" s="1" t="e">
        <f ca="1">_xll.BDH($C$353,"INVENTORY_SEQUENTIAL_GROWTH","FQ3 2018","FQ3 2018","Currency=INR","Period=FQ","BEST_FPERIOD_OVERRIDE=FQ","FILING_STATUS=OR","EQY_CONSOLIDATED=Y","Sort=A","Dates=H","DateFormat=P","Fill=—","Direction=H","UseDPDF=Y")</f>
        <v>#NAME?</v>
      </c>
      <c r="BN376" s="1" t="e">
        <f ca="1">_xll.BDH($C$353,"FIXED_ASSETS_SEQUENTIAL_GROWTH","FQ3 2018","FQ3 2018","Currency=INR","Period=FQ","BEST_FPERIOD_OVERRIDE=FQ","FILING_STATUS=OR","EQY_CONSOLIDATED=Y","Sort=A","Dates=H","DateFormat=P","Fill=—","Direction=H","UseDPDF=Y")</f>
        <v>#NAME?</v>
      </c>
      <c r="BO376" s="1" t="e">
        <f ca="1">_xll.BDH($C$353,"TOTAL_ASSETS_SEQUENTIAL_GROWTH","FQ3 2018","FQ3 2018","Currency=INR","Period=FQ","BEST_FPERIOD_OVERRIDE=FQ","FILING_STATUS=OR","EQY_CONSOLIDATED=Y","Sort=A","Dates=H","DateFormat=P","Fill=—","Direction=H","UseDPDF=Y")</f>
        <v>#NAME?</v>
      </c>
      <c r="BP376" s="1" t="e">
        <f ca="1">_xll.BDH($C$353,"MODIFIED_WORKING_CPTL_SEQ_GRWTH","FQ3 2018","FQ3 2018","Currency=INR","Period=FQ","BEST_FPERIOD_OVERRIDE=FQ","FILING_STATUS=OR","EQY_CONSOLIDATED=Y","Sort=A","Dates=H","DateFormat=P","Fill=—","Direction=H","UseDPDF=Y")</f>
        <v>#NAME?</v>
      </c>
      <c r="BQ376" s="1" t="e">
        <f ca="1">_xll.BDH($C$353,"WORKING_CAPITAL_SEQ_GROWTH","FQ3 2018","FQ3 2018","Currency=INR","Period=FQ","BEST_FPERIOD_OVERRIDE=FQ","FILING_STATUS=OR","EQY_CONSOLIDATED=Y","Sort=A","Dates=H","DateFormat=P","Fill=—","Direction=H","UseDPDF=Y")</f>
        <v>#NAME?</v>
      </c>
      <c r="BR376" s="1" t="e">
        <f ca="1">_xll.BDH($C$353,"ACCOUNTS_PAYABLE_SEQ_GROWTH","FQ3 2018","FQ3 2018","Currency=INR","Period=FQ","BEST_FPERIOD_OVERRIDE=FQ","FILING_STATUS=OR","EQY_CONSOLIDATED=Y","Sort=A","Dates=H","DateFormat=P","Fill=—","Direction=H","UseDPDF=Y")</f>
        <v>#NAME?</v>
      </c>
      <c r="BS376" s="1" t="e">
        <f ca="1">_xll.BDH($C$353,"ST_DEBT_SEQUENTIAL_GROWTH","FQ3 2018","FQ3 2018","Currency=INR","Period=FQ","BEST_FPERIOD_OVERRIDE=FQ","FILING_STATUS=OR","EQY_CONSOLIDATED=Y","Sort=A","Dates=H","DateFormat=P","Fill=—","Direction=H","UseDPDF=Y")</f>
        <v>#NAME?</v>
      </c>
      <c r="BT376" s="1" t="e">
        <f ca="1">_xll.BDH($C$353,"TOTAL_DEBT_SEQUENTIAL_GROWTH","FQ3 2018","FQ3 2018","Currency=INR","Period=FQ","BEST_FPERIOD_OVERRIDE=FQ","FILING_STATUS=OR","EQY_CONSOLIDATED=Y","Sort=A","Dates=H","DateFormat=P","Fill=—","Direction=H","UseDPDF=Y")</f>
        <v>#NAME?</v>
      </c>
      <c r="BU376" s="1" t="e">
        <f ca="1">_xll.BDH($C$353,"TOTAL_EQUITY_SEQUENTIAL_GROWTH","FQ3 2018","FQ3 2018","Currency=INR","Period=FQ","BEST_FPERIOD_OVERRIDE=FQ","FILING_STATUS=OR","EQY_CONSOLIDATED=Y","Sort=A","Dates=H","DateFormat=P","Fill=—","Direction=H","UseDPDF=Y")</f>
        <v>#NAME?</v>
      </c>
      <c r="BV376" s="1" t="e">
        <f ca="1">_xll.BDH($C$353,"TOTAL_CAPITAL_SEQUENTIAL_GROWTH","FQ3 2018","FQ3 2018","Currency=INR","Period=FQ","BEST_FPERIOD_OVERRIDE=FQ","FILING_STATUS=OR","EQY_CONSOLIDATED=Y","Sort=A","Dates=H","DateFormat=P","Fill=—","Direction=H","UseDPDF=Y")</f>
        <v>#NAME?</v>
      </c>
      <c r="BW376" s="1" t="e">
        <f ca="1">_xll.BDH($C$353,"BPS_SEQUENTIAL_GROWTH","FQ3 2018","FQ3 2018","Currency=INR","Period=FQ","BEST_FPERIOD_OVERRIDE=FQ","FILING_STATUS=OR","EQY_CONSOLIDATED=Y","Sort=A","Dates=H","DateFormat=P","Fill=—","Direction=H","UseDPDF=Y")</f>
        <v>#NAME?</v>
      </c>
      <c r="BX376" s="1" t="e">
        <f ca="1">_xll.BDH($C$353,"CFO_SEQUENTIAL_GROWTH","FQ3 2018","FQ3 2018","Currency=INR","Period=FQ","BEST_FPERIOD_OVERRIDE=FQ","FILING_STATUS=OR","EQY_CONSOLIDATED=Y","Sort=A","Dates=H","DateFormat=P","Fill=—","Direction=H","UseDPDF=Y")</f>
        <v>#NAME?</v>
      </c>
      <c r="BY376" s="2" t="e">
        <f ca="1">_xll.BDH($C$353,"SHORT_AND_LONG_TERM_DEBT","FQ3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76" s="2" t="e">
        <f ca="1">_xll.BDH($C$353,"BS_ST_BORROW","FQ3 2018","FQ3 2018","Currency=INR","Period=FQ","BEST_FPERIOD_OVERRIDE=FQ","FILING_STATUS=OR","EQY_CONSOLIDATED=Y","SCALING_FORMAT=MLN","Sort=A","Dates=H","DateFormat=P","Fill=—","Direction=H","UseDPDF=Y")</f>
        <v>#NAME?</v>
      </c>
      <c r="CA376" s="2" t="e">
        <f ca="1">_xll.BDH($C$353,"BS_LT_BORROW","FQ3 2018","FQ3 2018","Currency=INR","Period=FQ","BEST_FPERIOD_OVERRIDE=FQ","FILING_STATUS=OR","EQY_CONSOLIDATED=Y","SCALING_FORMAT=MLN","Sort=A","Dates=H","DateFormat=P","Fill=—","Direction=H","UseDPDF=Y")</f>
        <v>#NAME?</v>
      </c>
      <c r="CB376" s="1" t="e">
        <f ca="1">_xll.BDH($C$353,"TOT_DEBT_TO_EBITDA","FQ3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76" s="1" t="e">
        <f ca="1">_xll.BDH($C$353,"NET_DEBT_TO_EBITDA","FQ3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76" s="1" t="e">
        <f ca="1">_xll.BDH($C$353,"TOTAL_DEBT_TO_EBIT","FQ3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76" s="1" t="e">
        <f ca="1">_xll.BDH($C$353,"NET_DEBT_TO_EBIT","FQ3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376" s="1" t="e">
        <f ca="1">_xll.BDH($C$353,"EBITDA_TO_INTEREST_EXPN","FQ3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76" s="1" t="e">
        <f ca="1">_xll.BDH($C$353,"COM_EQY_TO_TOT_ASSET","FQ3 2018","FQ3 2018","Currency=INR","Period=FQ","BEST_FPERIOD_OVERRIDE=FQ","FILING_STATUS=OR","EQY_CONSOLIDATED=Y","Sort=A","Dates=H","DateFormat=P","Fill=—","Direction=H","UseDPDF=Y")</f>
        <v>#NAME?</v>
      </c>
      <c r="CH376" s="1" t="e">
        <f ca="1">_xll.BDH($C$353,"LT_DEBT_TO_TOT_EQY","FQ3 2018","FQ3 2018","Currency=INR","Period=FQ","BEST_FPERIOD_OVERRIDE=FQ","FILING_STATUS=OR","EQY_CONSOLIDATED=Y","Sort=A","Dates=H","DateFormat=P","Fill=—","Direction=H","UseDPDF=Y")</f>
        <v>#NAME?</v>
      </c>
      <c r="CI376" s="1" t="e">
        <f ca="1">_xll.BDH($C$353,"LT_DEBT_TO_TOT_CAP","FQ3 2018","FQ3 2018","Currency=INR","Period=FQ","BEST_FPERIOD_OVERRIDE=FQ","FILING_STATUS=OR","EQY_CONSOLIDATED=Y","Sort=A","Dates=H","DateFormat=P","Fill=—","Direction=H","UseDPDF=Y")</f>
        <v>#NAME?</v>
      </c>
      <c r="CJ376" s="1" t="e">
        <f ca="1">_xll.BDH($C$353,"LT_DEBT_TO_TOT_ASSET","FQ3 2018","FQ3 2018","Currency=INR","Period=FQ","BEST_FPERIOD_OVERRIDE=FQ","FILING_STATUS=OR","EQY_CONSOLIDATED=Y","Sort=A","Dates=H","DateFormat=P","Fill=—","Direction=H","UseDPDF=Y")</f>
        <v>#NAME?</v>
      </c>
      <c r="CK376" s="1" t="e">
        <f ca="1">_xll.BDH($C$353,"TOT_DEBT_TO_TOT_EQY","FQ3 2018","FQ3 2018","Currency=INR","Period=FQ","BEST_FPERIOD_OVERRIDE=FQ","FILING_STATUS=OR","EQY_CONSOLIDATED=Y","Sort=A","Dates=H","DateFormat=P","Fill=—","Direction=H","UseDPDF=Y")</f>
        <v>#NAME?</v>
      </c>
      <c r="CL376" s="1" t="e">
        <f ca="1">_xll.BDH($C$353,"TOT_DEBT_TO_TOT_CAP","FQ3 2018","FQ3 2018","Currency=INR","Period=FQ","BEST_FPERIOD_OVERRIDE=FQ","FILING_STATUS=OR","EQY_CONSOLIDATED=Y","Sort=A","Dates=H","DateFormat=P","Fill=—","Direction=H","UseDPDF=Y")</f>
        <v>#NAME?</v>
      </c>
      <c r="CM376" s="1" t="e">
        <f ca="1">_xll.BDH($C$353,"TOT_DEBT_TO_TOT_ASSET","FQ3 2018","FQ3 2018","Currency=INR","Period=FQ","BEST_FPERIOD_OVERRIDE=FQ","FILING_STATUS=OR","EQY_CONSOLIDATED=Y","Sort=A","Dates=H","DateFormat=P","Fill=—","Direction=H","UseDPDF=Y")</f>
        <v>#NAME?</v>
      </c>
      <c r="CN376" s="1" t="e">
        <f ca="1">_xll.BDH($C$353,"NET_DEBT_TO_SHRHLDR_EQTY","FQ3 2018","FQ3 2018","Currency=INR","Period=FQ","BEST_FPERIOD_OVERRIDE=FQ","FILING_STATUS=OR","EQY_CONSOLIDATED=Y","Sort=A","Dates=H","DateFormat=P","Fill=—","Direction=H","UseDPDF=Y")</f>
        <v>#NAME?</v>
      </c>
      <c r="CO376" s="1" t="e">
        <f ca="1">_xll.BDH($C$353,"NET_DEBT_%_CAPITAL","FQ3 2018","FQ3 2018","Currency=INR","Period=FQ","BEST_FPERIOD_OVERRIDE=FQ","FILING_STATUS=OR","EQY_CONSOLIDATED=Y","Sort=A","Dates=H","DateFormat=P","Fill=—","Direction=H","UseDPDF=Y")</f>
        <v>#NAME?</v>
      </c>
      <c r="CP376" s="2" t="e">
        <f ca="1">_xll.BDH($C$353,"EBITDA","FQ3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76" s="2" t="e">
        <f ca="1">_xll.BDH($C$353,"EBITDA_AFTER_CAPEX","FQ3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76" s="2" t="e">
        <f ca="1">_xll.BDH($C$353,"IS_OPER_INC","FQ3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76" s="1" t="e">
        <f ca="1">_xll.BDH($C$353,"CASH_RATIO","FQ3 2018","FQ3 2018","Currency=INR","Period=FQ","BEST_FPERIOD_OVERRIDE=FQ","FILING_STATUS=OR","EQY_CONSOLIDATED=Y","Sort=A","Dates=H","DateFormat=P","Fill=—","Direction=H","UseDPDF=Y")</f>
        <v>#NAME?</v>
      </c>
      <c r="CT376" s="1" t="e">
        <f ca="1">_xll.BDH($C$353,"CUR_RATIO","FQ3 2018","FQ3 2018","Currency=INR","Period=FQ","BEST_FPERIOD_OVERRIDE=FQ","FILING_STATUS=OR","EQY_CONSOLIDATED=Y","Sort=A","Dates=H","DateFormat=P","Fill=—","Direction=H","UseDPDF=Y")</f>
        <v>#NAME?</v>
      </c>
      <c r="CU376" s="1" t="e">
        <f ca="1">_xll.BDH($C$353,"QUICK_RATIO","FQ3 2018","FQ3 2018","Currency=INR","Period=FQ","BEST_FPERIOD_OVERRIDE=FQ","FILING_STATUS=OR","EQY_CONSOLIDATED=Y","Sort=A","Dates=H","DateFormat=P","Fill=—","Direction=H","UseDPDF=Y")</f>
        <v>#NAME?</v>
      </c>
      <c r="CV376" s="1" t="e">
        <f ca="1">_xll.BDH($C$353,"ALTMAN_Z_SCORE","FQ3 2018","FQ3 2018","Currency=INR","Period=FQ","BEST_FPERIOD_OVERRIDE=FQ","FILING_STATUS=OR","EQY_CONSOLIDATED=Y","Sort=A","Dates=H","DateFormat=P","Fill=—","Direction=H","UseDPDF=Y")</f>
        <v>#NAME?</v>
      </c>
      <c r="CW376" s="3" t="e">
        <f ca="1">_xll.BDH($C$353,"ACCT_RCV_TURN","FQ3 2018","FQ3 2018","Currency=INR","Period=FQ","BEST_FPERIOD_OVERRIDE=FQ","FILING_STATUS=OR","EQY_CONSOLIDATED=Y","FA_ADJUSTED=GAAP","Sort=A","Dates=H","DateFormat=P","Fill=—","Direction=H","UseDPDF=Y")</f>
        <v>#NAME?</v>
      </c>
      <c r="CX376" s="1" t="e">
        <f ca="1">_xll.BDH($C$353,"ACCT_RCV_DAYS","FQ3 2018","FQ3 2018","Currency=INR","Period=FQ","BEST_FPERIOD_OVERRIDE=FQ","FILING_STATUS=OR","EQY_CONSOLIDATED=Y","FA_ADJUSTED=GAAP","Sort=A","Dates=H","DateFormat=P","Fill=—","Direction=H","UseDPDF=Y")</f>
        <v>#NAME?</v>
      </c>
      <c r="CY376" s="3" t="e">
        <f ca="1">_xll.BDH($C$353,"INVENT_TURN","FQ3 2018","FQ3 2018","Currency=INR","Period=FQ","BEST_FPERIOD_OVERRIDE=FQ","FILING_STATUS=OR","EQY_CONSOLIDATED=Y","FA_ADJUSTED=GAAP","Sort=A","Dates=H","DateFormat=P","Fill=—","Direction=H","UseDPDF=Y")</f>
        <v>#NAME?</v>
      </c>
      <c r="CZ376" s="1" t="e">
        <f ca="1">_xll.BDH($C$353,"INVENT_DAYS","FQ3 2018","FQ3 2018","Currency=INR","Period=FQ","BEST_FPERIOD_OVERRIDE=FQ","FILING_STATUS=OR","EQY_CONSOLIDATED=Y","FA_ADJUSTED=GAAP","Sort=A","Dates=H","DateFormat=P","Fill=—","Direction=H","UseDPDF=Y")</f>
        <v>#NAME?</v>
      </c>
      <c r="DA376" s="3" t="e">
        <f ca="1">_xll.BDH($C$353,"ACCOUNTS_PAYABLE_TURNOVER","FQ3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76" s="1" t="e">
        <f ca="1">_xll.BDH($C$353,"ACCOUNTS_PAYABLE_TURNOVER_DAYS","FQ3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76" s="3" t="e">
        <f ca="1">_xll.BDH($C$353,"CASH_CONVERSION_CYCLE","FQ3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76" s="3" t="e">
        <f ca="1">_xll.BDH($C$353,"INV_TO_CASH_DAYS","FQ3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376" s="4" t="e">
        <f ca="1">_xll.BDH($C$353,"BS_INVENTORIES","FQ3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376" s="2" t="e">
        <f ca="1">_xll.BDH($C$353,"INVTRY_RAW_MATERIALS","FQ3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76" s="2" t="e">
        <f ca="1">_xll.BDH($C$353,"INVTRY_IN_PROGRESS","FQ3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76" s="2" t="e">
        <f ca="1">_xll.BDH($C$353,"INVTRY_FINISHED_GOODS","FQ3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76" s="2" t="e">
        <f ca="1">_xll.BDH($C$353,"BS_OTHER_INV","FQ3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77" spans="1:113" x14ac:dyDescent="0.3">
      <c r="A377" s="6"/>
      <c r="B377" s="6"/>
      <c r="C377" s="6"/>
      <c r="D377" s="6"/>
      <c r="E377" t="s">
        <v>7</v>
      </c>
      <c r="F377" t="e">
        <f ca="1">_xll.BDH($C$353,"RETURN_COM_EQY","FQ4 2018","FQ4 2018","Currency=INR","Period=FQ","BEST_FPERIOD_OVERRIDE=FQ","FILING_STATUS=OR","EQY_CONSOLIDATED=Y","FA_ADJUSTED=GAAP","Sort=A","Dates=H","DateFormat=P","Fill=—","Direction=H","UseDPDF=Y")</f>
        <v>#NAME?</v>
      </c>
      <c r="G377" t="e">
        <f ca="1">_xll.BDH($C$353,"RETURN_ON_ASSET","FQ4 2018","FQ4 2018","Currency=INR","Period=FQ","BEST_FPERIOD_OVERRIDE=FQ","FILING_STATUS=OR","EQY_CONSOLIDATED=Y","FA_ADJUSTED=GAAP","Sort=A","Dates=H","DateFormat=P","Fill=—","Direction=H","UseDPDF=Y")</f>
        <v>#NAME?</v>
      </c>
      <c r="H377" t="e">
        <f ca="1">_xll.BDH($C$353,"RETURN_ON_CAP","FQ4 2018","FQ4 2018","Currency=INR","Period=FQ","BEST_FPERIOD_OVERRIDE=FQ","FILING_STATUS=OR","EQY_CONSOLIDATED=Y","FA_ADJUSTED=GAAP","Sort=A","Dates=H","DateFormat=P","Fill=—","Direction=H","UseDPDF=Y")</f>
        <v>#NAME?</v>
      </c>
      <c r="I377" t="e">
        <f ca="1">_xll.BDH($C$353,"RETURN_ON_INV_CAPITAL","FQ4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77" t="e">
        <f ca="1">_xll.BDH($C$353,"EBITDA_TO_REVENUE","FQ4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377" t="e">
        <f ca="1">_xll.BDH($C$353,"OPER_MARGIN","FQ4 2018","FQ4 2018","Currency=INR","Period=FQ","BEST_FPERIOD_OVERRIDE=FQ","FILING_STATUS=OR","EQY_CONSOLIDATED=Y","FA_ADJUSTED=GAAP","Sort=A","Dates=H","DateFormat=P","Fill=—","Direction=H","UseDPDF=Y")</f>
        <v>#NAME?</v>
      </c>
      <c r="L377" t="e">
        <f ca="1">_xll.BDH($C$353,"INCREMENTAL_OPERATING_MARGIN","FQ4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77" t="e">
        <f ca="1">_xll.BDH($C$353,"PRETAX_INC_TO_NET_SALES","FQ4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77" t="e">
        <f ca="1">_xll.BDH($C$353,"INC_BEF_XO_ITEMS_TO_NET_SALES","FQ4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77" t="e">
        <f ca="1">_xll.BDH($C$353,"PROF_MARGIN","FQ4 2018","FQ4 2018","Currency=INR","Period=FQ","BEST_FPERIOD_OVERRIDE=FQ","FILING_STATUS=OR","EQY_CONSOLIDATED=Y","FA_ADJUSTED=GAAP","Sort=A","Dates=H","DateFormat=P","Fill=—","Direction=H","UseDPDF=Y")</f>
        <v>#NAME?</v>
      </c>
      <c r="P377" t="e">
        <f ca="1">_xll.BDH($C$353,"NET_INCOME_TO_COMMON_MARGIN","FQ4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77" t="e">
        <f ca="1">_xll.BDH($C$353,"EFF_TAX_RATE","FQ4 2018","FQ4 2018","Currency=INR","Period=FQ","BEST_FPERIOD_OVERRIDE=FQ","FILING_STATUS=OR","EQY_CONSOLIDATED=Y","FA_ADJUSTED=GAAP","Sort=A","Dates=H","DateFormat=P","Fill=—","Direction=H","UseDPDF=Y")</f>
        <v>#NAME?</v>
      </c>
      <c r="R377" t="e">
        <f ca="1">_xll.BDH($C$353,"DVD_PAYOUT_RATIO","FQ4 2018","FQ4 2018","Currency=INR","Period=FQ","BEST_FPERIOD_OVERRIDE=FQ","FILING_STATUS=OR","EQY_CONSOLIDATED=Y","FA_ADJUSTED=GAAP","Sort=A","Dates=H","DateFormat=P","Fill=—","Direction=H","UseDPDF=Y")</f>
        <v>#NAME?</v>
      </c>
      <c r="S377" t="e">
        <f ca="1">_xll.BDH($C$353,"SUSTAIN_GROWTH_RT","FQ4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377" s="1" t="e">
        <f ca="1">_xll.BDH($C$353,"SALES_GROWTH","FQ4 2018","FQ4 2018","Currency=INR","Period=FQ","BEST_FPERIOD_OVERRIDE=FQ","FILING_STATUS=OR","EQY_CONSOLIDATED=Y","FA_ADJUSTED=GAAP","Sort=A","Dates=H","DateFormat=P","Fill=—","Direction=H","UseDPDF=Y")</f>
        <v>#NAME?</v>
      </c>
      <c r="U377" s="1" t="e">
        <f ca="1">_xll.BDH($C$353,"EBITDA_GROWTH","FQ4 2018","FQ4 2018","Currency=INR","Period=FQ","BEST_FPERIOD_OVERRIDE=FQ","FILING_STATUS=OR","EQY_CONSOLIDATED=Y","FA_ADJUSTED=GAAP","Sort=A","Dates=H","DateFormat=P","Fill=—","Direction=H","UseDPDF=Y")</f>
        <v>#NAME?</v>
      </c>
      <c r="V377" s="1" t="e">
        <f ca="1">_xll.BDH($C$353,"OPER_INC_GROWTH","FQ4 2018","FQ4 2018","Currency=INR","Period=FQ","BEST_FPERIOD_OVERRIDE=FQ","FILING_STATUS=OR","EQY_CONSOLIDATED=Y","FA_ADJUSTED=GAAP","Sort=A","Dates=H","DateFormat=P","Fill=—","Direction=H","UseDPDF=Y")</f>
        <v>#NAME?</v>
      </c>
      <c r="W377" s="1" t="e">
        <f ca="1">_xll.BDH($C$353,"EARN_FOR_COM_GROWTH","FQ4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77" s="1" t="e">
        <f ca="1">_xll.BDH($C$353,"DILUTED_EPS_AFT_XO_ITEMS_GROWTH","FQ4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77" s="1" t="e">
        <f ca="1">_xll.BDH($C$353,"DIVIDEND_PER_SHARE_1_YEAR_GROWTH","FQ4 2018","FQ4 2018","Currency=INR","Period=FQ","BEST_FPERIOD_OVERRIDE=FQ","FILING_STATUS=OR","EQY_CONSOLIDATED=Y","Sort=A","Dates=H","DateFormat=P","Fill=—","Direction=H","UseDPDF=Y")</f>
        <v>#NAME?</v>
      </c>
      <c r="Z377" s="1" t="e">
        <f ca="1">_xll.BDH($C$353,"ACCOUNTS_RECEIVABLE_GROWTH","FQ4 2018","FQ4 2018","Currency=INR","Period=FQ","BEST_FPERIOD_OVERRIDE=FQ","FILING_STATUS=OR","EQY_CONSOLIDATED=Y","Sort=A","Dates=H","DateFormat=P","Fill=—","Direction=H","UseDPDF=Y")</f>
        <v>#NAME?</v>
      </c>
      <c r="AA377" s="1" t="e">
        <f ca="1">_xll.BDH($C$353,"INVENTORY_GROWTH","FQ4 2018","FQ4 2018","Currency=INR","Period=FQ","BEST_FPERIOD_OVERRIDE=FQ","FILING_STATUS=OR","EQY_CONSOLIDATED=Y","Sort=A","Dates=H","DateFormat=P","Fill=—","Direction=H","UseDPDF=Y")</f>
        <v>#NAME?</v>
      </c>
      <c r="AB377" s="1" t="e">
        <f ca="1">_xll.BDH($C$353,"NET_FIXED_ASSETS_1_YEAR_GROWTH","FQ4 2018","FQ4 2018","Currency=INR","Period=FQ","BEST_FPERIOD_OVERRIDE=FQ","FILING_STATUS=OR","EQY_CONSOLIDATED=Y","Sort=A","Dates=H","DateFormat=P","Fill=—","Direction=H","UseDPDF=Y")</f>
        <v>#NAME?</v>
      </c>
      <c r="AC377" s="1" t="e">
        <f ca="1">_xll.BDH($C$353,"ASSET_GROWTH","FQ4 2018","FQ4 2018","Currency=INR","Period=FQ","BEST_FPERIOD_OVERRIDE=FQ","FILING_STATUS=OR","EQY_CONSOLIDATED=Y","Sort=A","Dates=H","DateFormat=P","Fill=—","Direction=H","UseDPDF=Y")</f>
        <v>#NAME?</v>
      </c>
      <c r="AD377" s="1" t="e">
        <f ca="1">_xll.BDH($C$353,"MODIFIED_WORK_CAP_GROWTH","FQ4 2018","FQ4 2018","Currency=INR","Period=FQ","BEST_FPERIOD_OVERRIDE=FQ","FILING_STATUS=OR","EQY_CONSOLIDATED=Y","Sort=A","Dates=H","DateFormat=P","Fill=—","Direction=H","UseDPDF=Y")</f>
        <v>#NAME?</v>
      </c>
      <c r="AE377" s="1" t="e">
        <f ca="1">_xll.BDH($C$353,"WORK_CAP_GROWTH","FQ4 2018","FQ4 2018","Currency=INR","Period=FQ","BEST_FPERIOD_OVERRIDE=FQ","FILING_STATUS=OR","EQY_CONSOLIDATED=Y","Sort=A","Dates=H","DateFormat=P","Fill=—","Direction=H","UseDPDF=Y")</f>
        <v>#NAME?</v>
      </c>
      <c r="AF377" s="1" t="e">
        <f ca="1">_xll.BDH($C$353,"ACCOUNTS_PAYABLE_GROWTH_1YR","FQ4 2018","FQ4 2018","Currency=INR","Period=FQ","BEST_FPERIOD_OVERRIDE=FQ","FILING_STATUS=OR","EQY_CONSOLIDATED=Y","Sort=A","Dates=H","DateFormat=P","Fill=—","Direction=H","UseDPDF=Y")</f>
        <v>#NAME?</v>
      </c>
      <c r="AG377" s="1" t="e">
        <f ca="1">_xll.BDH($C$353,"SHORT_TERM_DEBT_1_YEAR_GROWTH","FQ4 2018","FQ4 2018","Currency=INR","Period=FQ","BEST_FPERIOD_OVERRIDE=FQ","FILING_STATUS=OR","EQY_CONSOLIDATED=Y","Sort=A","Dates=H","DateFormat=P","Fill=—","Direction=H","UseDPDF=Y")</f>
        <v>#NAME?</v>
      </c>
      <c r="AH377" s="1" t="e">
        <f ca="1">_xll.BDH($C$353,"TOTAL_DEBT_1_YEAR_GROWTH","FQ4 2018","FQ4 2018","Currency=INR","Period=FQ","BEST_FPERIOD_OVERRIDE=FQ","FILING_STATUS=OR","EQY_CONSOLIDATED=Y","Sort=A","Dates=H","DateFormat=P","Fill=—","Direction=H","UseDPDF=Y")</f>
        <v>#NAME?</v>
      </c>
      <c r="AI377" s="1" t="e">
        <f ca="1">_xll.BDH($C$353,"TOTAL_EQUITY_1_YEAR_GROWTH","FQ4 2018","FQ4 2018","Currency=INR","Period=FQ","BEST_FPERIOD_OVERRIDE=FQ","FILING_STATUS=OR","EQY_CONSOLIDATED=Y","Sort=A","Dates=H","DateFormat=P","Fill=—","Direction=H","UseDPDF=Y")</f>
        <v>#NAME?</v>
      </c>
      <c r="AJ377" s="1" t="e">
        <f ca="1">_xll.BDH($C$353,"GROWTH_IN_CAP","FQ4 2018","FQ4 2018","Currency=INR","Period=FQ","BEST_FPERIOD_OVERRIDE=FQ","FILING_STATUS=OR","EQY_CONSOLIDATED=Y","Sort=A","Dates=H","DateFormat=P","Fill=—","Direction=H","UseDPDF=Y")</f>
        <v>#NAME?</v>
      </c>
      <c r="AK377" s="1" t="e">
        <f ca="1">_xll.BDH($C$353,"BVPS_GROWTH","FQ4 2018","FQ4 2018","Currency=INR","Period=FQ","BEST_FPERIOD_OVERRIDE=FQ","FILING_STATUS=OR","EQY_CONSOLIDATED=Y","Sort=A","Dates=H","DateFormat=P","Fill=—","Direction=H","UseDPDF=Y")</f>
        <v>#NAME?</v>
      </c>
      <c r="AL377" s="1" t="e">
        <f ca="1">_xll.BDH($C$353,"CASH_FLOW_GROWTH","FQ4 2018","FQ4 2018","Currency=INR","Period=FQ","BEST_FPERIOD_OVERRIDE=FQ","FILING_STATUS=OR","EQY_CONSOLIDATED=Y","Sort=A","Dates=H","DateFormat=P","Fill=—","Direction=H","UseDPDF=Y")</f>
        <v>#NAME?</v>
      </c>
      <c r="AM377" s="1" t="e">
        <f ca="1">_xll.BDH($C$353,"GEO_GROW_NET_SALES","FQ4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77" s="1" t="e">
        <f ca="1">_xll.BDH($C$353,"GEO_GROW_EBITDA","FQ4 2018","FQ4 2018","Currency=INR","Period=FQ","BEST_FPERIOD_OVERRIDE=FQ","FILING_STATUS=OR","EQY_CONSOLIDATED=Y","FA_ADJUSTED=GAAP","Sort=A","Dates=H","DateFormat=P","Fill=—","Direction=H","UseDPDF=Y")</f>
        <v>#NAME?</v>
      </c>
      <c r="AO377" s="1" t="e">
        <f ca="1">_xll.BDH($C$353,"GEO_GROW_OPER_INC","FQ4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77" s="1" t="e">
        <f ca="1">_xll.BDH($C$353,"NET_INCOME_TO_COMMON_5_YR_GROWTH","FQ4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77" s="1" t="e">
        <f ca="1">_xll.BDH($C$353,"5Y_GEO_GROWTH_DILUTED_EPS","FQ4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77" s="1" t="e">
        <f ca="1">_xll.BDH($C$353,"GEO_GROW_DVD_PER_SH","FQ4 2018","FQ4 2018","Currency=INR","Period=FQ","BEST_FPERIOD_OVERRIDE=FQ","FILING_STATUS=OR","EQY_CONSOLIDATED=Y","Sort=A","Dates=H","DateFormat=P","Fill=—","Direction=H","UseDPDF=Y")</f>
        <v>#NAME?</v>
      </c>
      <c r="AS377" s="1" t="e">
        <f ca="1">_xll.BDH($C$353,"ACCOUNTS_RECEIVABLE_5_YR_GROWTH","FQ4 2018","FQ4 2018","Currency=INR","Period=FQ","BEST_FPERIOD_OVERRIDE=FQ","FILING_STATUS=OR","EQY_CONSOLIDATED=Y","Sort=A","Dates=H","DateFormat=P","Fill=—","Direction=H","UseDPDF=Y")</f>
        <v>#NAME?</v>
      </c>
      <c r="AT377" s="1" t="e">
        <f ca="1">_xll.BDH($C$353,"INVENTORY_5_YEAR_GROWTH","FQ4 2018","FQ4 2018","Currency=INR","Period=FQ","BEST_FPERIOD_OVERRIDE=FQ","FILING_STATUS=OR","EQY_CONSOLIDATED=Y","Sort=A","Dates=H","DateFormat=P","Fill=—","Direction=H","UseDPDF=Y")</f>
        <v>#NAME?</v>
      </c>
      <c r="AU377" s="1" t="e">
        <f ca="1">_xll.BDH($C$353,"NET_FIXED_ASSETS_5_YEAR_GROWTH","FQ4 2018","FQ4 2018","Currency=INR","Period=FQ","BEST_FPERIOD_OVERRIDE=FQ","FILING_STATUS=OR","EQY_CONSOLIDATED=Y","Sort=A","Dates=H","DateFormat=P","Fill=—","Direction=H","UseDPDF=Y")</f>
        <v>#NAME?</v>
      </c>
      <c r="AV377" s="1" t="e">
        <f ca="1">_xll.BDH($C$353,"GEO_GROW_TOT_ASSET","FQ4 2018","FQ4 2018","Currency=INR","Period=FQ","BEST_FPERIOD_OVERRIDE=FQ","FILING_STATUS=OR","EQY_CONSOLIDATED=Y","Sort=A","Dates=H","DateFormat=P","Fill=—","Direction=H","UseDPDF=Y")</f>
        <v>#NAME?</v>
      </c>
      <c r="AW377" s="1" t="e">
        <f ca="1">_xll.BDH($C$353,"MODIFIED_WORKING_CPTL_5YR_GRWTH","FQ4 2018","FQ4 2018","Currency=INR","Period=FQ","BEST_FPERIOD_OVERRIDE=FQ","FILING_STATUS=OR","EQY_CONSOLIDATED=Y","Sort=A","Dates=H","DateFormat=P","Fill=—","Direction=H","UseDPDF=Y")</f>
        <v>#NAME?</v>
      </c>
      <c r="AX377" s="1" t="e">
        <f ca="1">_xll.BDH($C$353,"WORKING_CAPITAL_5_YEAR_GROWTH","FQ4 2018","FQ4 2018","Currency=INR","Period=FQ","BEST_FPERIOD_OVERRIDE=FQ","FILING_STATUS=OR","EQY_CONSOLIDATED=Y","Sort=A","Dates=H","DateFormat=P","Fill=—","Direction=H","UseDPDF=Y")</f>
        <v>#NAME?</v>
      </c>
      <c r="AY377" s="1" t="e">
        <f ca="1">_xll.BDH($C$353,"ACCOUNTS_PAYABLE_5_YEAR_GROWTH","FQ4 2018","FQ4 2018","Currency=INR","Period=FQ","BEST_FPERIOD_OVERRIDE=FQ","FILING_STATUS=OR","EQY_CONSOLIDATED=Y","Sort=A","Dates=H","DateFormat=P","Fill=—","Direction=H","UseDPDF=Y")</f>
        <v>#NAME?</v>
      </c>
      <c r="AZ377" s="1" t="e">
        <f ca="1">_xll.BDH($C$353,"SHORT_TERM_DEBT_5_YEAR_GROWTH","FQ4 2018","FQ4 2018","Currency=INR","Period=FQ","BEST_FPERIOD_OVERRIDE=FQ","FILING_STATUS=OR","EQY_CONSOLIDATED=Y","Sort=A","Dates=H","DateFormat=P","Fill=—","Direction=H","UseDPDF=Y")</f>
        <v>#NAME?</v>
      </c>
      <c r="BA377" s="1" t="e">
        <f ca="1">_xll.BDH($C$353,"TOTAL_DEBT_5_YEAR_GROWTH","FQ4 2018","FQ4 2018","Currency=INR","Period=FQ","BEST_FPERIOD_OVERRIDE=FQ","FILING_STATUS=OR","EQY_CONSOLIDATED=Y","Sort=A","Dates=H","DateFormat=P","Fill=—","Direction=H","UseDPDF=Y")</f>
        <v>#NAME?</v>
      </c>
      <c r="BB377" s="1" t="e">
        <f ca="1">_xll.BDH($C$353,"GEO_GROW_TOT_SHRHLDR_EQY","FQ4 2018","FQ4 2018","Currency=INR","Period=FQ","BEST_FPERIOD_OVERRIDE=FQ","FILING_STATUS=OR","EQY_CONSOLIDATED=Y","Sort=A","Dates=H","DateFormat=P","Fill=—","Direction=H","UseDPDF=Y")</f>
        <v>#NAME?</v>
      </c>
      <c r="BC377" s="1" t="e">
        <f ca="1">_xll.BDH($C$353,"TOTAL_CAPITAL_5_YEAR_GROWTH","FQ4 2018","FQ4 2018","Currency=INR","Period=FQ","BEST_FPERIOD_OVERRIDE=FQ","FILING_STATUS=OR","EQY_CONSOLIDATED=Y","Sort=A","Dates=H","DateFormat=P","Fill=—","Direction=H","UseDPDF=Y")</f>
        <v>#NAME?</v>
      </c>
      <c r="BD377" s="1" t="e">
        <f ca="1">_xll.BDH($C$353,"GEO_GROW_BOOK_VAL","FQ4 2018","FQ4 2018","Currency=INR","Period=FQ","BEST_FPERIOD_OVERRIDE=FQ","FILING_STATUS=OR","EQY_CONSOLIDATED=Y","Sort=A","Dates=H","DateFormat=P","Fill=—","Direction=H","UseDPDF=Y")</f>
        <v>#NAME?</v>
      </c>
      <c r="BE377" s="1" t="e">
        <f ca="1">_xll.BDH($C$353,"GEO_GROW_CASH_OPER_ACT","FQ4 2018","FQ4 2018","Currency=INR","Period=FQ","BEST_FPERIOD_OVERRIDE=FQ","FILING_STATUS=OR","EQY_CONSOLIDATED=Y","Sort=A","Dates=H","DateFormat=P","Fill=—","Direction=H","UseDPDF=Y")</f>
        <v>#NAME?</v>
      </c>
      <c r="BF377" s="1" t="e">
        <f ca="1">_xll.BDH($C$353,"REVENUE_SEQUENTIAL_GROWTH","FQ4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77" s="1" t="e">
        <f ca="1">_xll.BDH($C$353,"EBITDA_SEQUENTIAL_GROWTH","FQ4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77" s="1" t="e">
        <f ca="1">_xll.BDH($C$353,"OPERATING_INCOME_SEQ_GROWTH","FQ4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77" s="1" t="e">
        <f ca="1">_xll.BDH($C$353,"NET_INCOME_TO_COMMON_SEQ_GROWTH","FQ4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77" s="1" t="e">
        <f ca="1">_xll.BDH($C$353,"EPS_DILUTED_SEQUENTIAL_GROWTH","FQ4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77" s="1" t="e">
        <f ca="1">_xll.BDH($C$353,"DPS_SEQUENTIAL_GROWTH","FQ4 2018","FQ4 2018","Currency=INR","Period=FQ","BEST_FPERIOD_OVERRIDE=FQ","FILING_STATUS=OR","EQY_CONSOLIDATED=Y","Sort=A","Dates=H","DateFormat=P","Fill=—","Direction=H","UseDPDF=Y")</f>
        <v>#NAME?</v>
      </c>
      <c r="BL377" s="1" t="e">
        <f ca="1">_xll.BDH($C$353,"ACCOUNTS_RECEIVABLE_SEQ_GROWTH","FQ4 2018","FQ4 2018","Currency=INR","Period=FQ","BEST_FPERIOD_OVERRIDE=FQ","FILING_STATUS=OR","EQY_CONSOLIDATED=Y","Sort=A","Dates=H","DateFormat=P","Fill=—","Direction=H","UseDPDF=Y")</f>
        <v>#NAME?</v>
      </c>
      <c r="BM377" s="1" t="e">
        <f ca="1">_xll.BDH($C$353,"INVENTORY_SEQUENTIAL_GROWTH","FQ4 2018","FQ4 2018","Currency=INR","Period=FQ","BEST_FPERIOD_OVERRIDE=FQ","FILING_STATUS=OR","EQY_CONSOLIDATED=Y","Sort=A","Dates=H","DateFormat=P","Fill=—","Direction=H","UseDPDF=Y")</f>
        <v>#NAME?</v>
      </c>
      <c r="BN377" s="1" t="e">
        <f ca="1">_xll.BDH($C$353,"FIXED_ASSETS_SEQUENTIAL_GROWTH","FQ4 2018","FQ4 2018","Currency=INR","Period=FQ","BEST_FPERIOD_OVERRIDE=FQ","FILING_STATUS=OR","EQY_CONSOLIDATED=Y","Sort=A","Dates=H","DateFormat=P","Fill=—","Direction=H","UseDPDF=Y")</f>
        <v>#NAME?</v>
      </c>
      <c r="BO377" s="1" t="e">
        <f ca="1">_xll.BDH($C$353,"TOTAL_ASSETS_SEQUENTIAL_GROWTH","FQ4 2018","FQ4 2018","Currency=INR","Period=FQ","BEST_FPERIOD_OVERRIDE=FQ","FILING_STATUS=OR","EQY_CONSOLIDATED=Y","Sort=A","Dates=H","DateFormat=P","Fill=—","Direction=H","UseDPDF=Y")</f>
        <v>#NAME?</v>
      </c>
      <c r="BP377" s="1" t="e">
        <f ca="1">_xll.BDH($C$353,"MODIFIED_WORKING_CPTL_SEQ_GRWTH","FQ4 2018","FQ4 2018","Currency=INR","Period=FQ","BEST_FPERIOD_OVERRIDE=FQ","FILING_STATUS=OR","EQY_CONSOLIDATED=Y","Sort=A","Dates=H","DateFormat=P","Fill=—","Direction=H","UseDPDF=Y")</f>
        <v>#NAME?</v>
      </c>
      <c r="BQ377" s="1" t="e">
        <f ca="1">_xll.BDH($C$353,"WORKING_CAPITAL_SEQ_GROWTH","FQ4 2018","FQ4 2018","Currency=INR","Period=FQ","BEST_FPERIOD_OVERRIDE=FQ","FILING_STATUS=OR","EQY_CONSOLIDATED=Y","Sort=A","Dates=H","DateFormat=P","Fill=—","Direction=H","UseDPDF=Y")</f>
        <v>#NAME?</v>
      </c>
      <c r="BR377" s="1" t="e">
        <f ca="1">_xll.BDH($C$353,"ACCOUNTS_PAYABLE_SEQ_GROWTH","FQ4 2018","FQ4 2018","Currency=INR","Period=FQ","BEST_FPERIOD_OVERRIDE=FQ","FILING_STATUS=OR","EQY_CONSOLIDATED=Y","Sort=A","Dates=H","DateFormat=P","Fill=—","Direction=H","UseDPDF=Y")</f>
        <v>#NAME?</v>
      </c>
      <c r="BS377" s="1" t="e">
        <f ca="1">_xll.BDH($C$353,"ST_DEBT_SEQUENTIAL_GROWTH","FQ4 2018","FQ4 2018","Currency=INR","Period=FQ","BEST_FPERIOD_OVERRIDE=FQ","FILING_STATUS=OR","EQY_CONSOLIDATED=Y","Sort=A","Dates=H","DateFormat=P","Fill=—","Direction=H","UseDPDF=Y")</f>
        <v>#NAME?</v>
      </c>
      <c r="BT377" s="1" t="e">
        <f ca="1">_xll.BDH($C$353,"TOTAL_DEBT_SEQUENTIAL_GROWTH","FQ4 2018","FQ4 2018","Currency=INR","Period=FQ","BEST_FPERIOD_OVERRIDE=FQ","FILING_STATUS=OR","EQY_CONSOLIDATED=Y","Sort=A","Dates=H","DateFormat=P","Fill=—","Direction=H","UseDPDF=Y")</f>
        <v>#NAME?</v>
      </c>
      <c r="BU377" s="1" t="e">
        <f ca="1">_xll.BDH($C$353,"TOTAL_EQUITY_SEQUENTIAL_GROWTH","FQ4 2018","FQ4 2018","Currency=INR","Period=FQ","BEST_FPERIOD_OVERRIDE=FQ","FILING_STATUS=OR","EQY_CONSOLIDATED=Y","Sort=A","Dates=H","DateFormat=P","Fill=—","Direction=H","UseDPDF=Y")</f>
        <v>#NAME?</v>
      </c>
      <c r="BV377" s="1" t="e">
        <f ca="1">_xll.BDH($C$353,"TOTAL_CAPITAL_SEQUENTIAL_GROWTH","FQ4 2018","FQ4 2018","Currency=INR","Period=FQ","BEST_FPERIOD_OVERRIDE=FQ","FILING_STATUS=OR","EQY_CONSOLIDATED=Y","Sort=A","Dates=H","DateFormat=P","Fill=—","Direction=H","UseDPDF=Y")</f>
        <v>#NAME?</v>
      </c>
      <c r="BW377" s="1" t="e">
        <f ca="1">_xll.BDH($C$353,"BPS_SEQUENTIAL_GROWTH","FQ4 2018","FQ4 2018","Currency=INR","Period=FQ","BEST_FPERIOD_OVERRIDE=FQ","FILING_STATUS=OR","EQY_CONSOLIDATED=Y","Sort=A","Dates=H","DateFormat=P","Fill=—","Direction=H","UseDPDF=Y")</f>
        <v>#NAME?</v>
      </c>
      <c r="BX377" s="1" t="e">
        <f ca="1">_xll.BDH($C$353,"CFO_SEQUENTIAL_GROWTH","FQ4 2018","FQ4 2018","Currency=INR","Period=FQ","BEST_FPERIOD_OVERRIDE=FQ","FILING_STATUS=OR","EQY_CONSOLIDATED=Y","Sort=A","Dates=H","DateFormat=P","Fill=—","Direction=H","UseDPDF=Y")</f>
        <v>#NAME?</v>
      </c>
      <c r="BY377" s="2" t="e">
        <f ca="1">_xll.BDH($C$353,"SHORT_AND_LONG_TERM_DEBT","FQ4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77" s="2" t="e">
        <f ca="1">_xll.BDH($C$353,"BS_ST_BORROW","FQ4 2018","FQ4 2018","Currency=INR","Period=FQ","BEST_FPERIOD_OVERRIDE=FQ","FILING_STATUS=OR","EQY_CONSOLIDATED=Y","SCALING_FORMAT=MLN","Sort=A","Dates=H","DateFormat=P","Fill=—","Direction=H","UseDPDF=Y")</f>
        <v>#NAME?</v>
      </c>
      <c r="CA377" s="2" t="e">
        <f ca="1">_xll.BDH($C$353,"BS_LT_BORROW","FQ4 2018","FQ4 2018","Currency=INR","Period=FQ","BEST_FPERIOD_OVERRIDE=FQ","FILING_STATUS=OR","EQY_CONSOLIDATED=Y","SCALING_FORMAT=MLN","Sort=A","Dates=H","DateFormat=P","Fill=—","Direction=H","UseDPDF=Y")</f>
        <v>#NAME?</v>
      </c>
      <c r="CB377" s="1" t="e">
        <f ca="1">_xll.BDH($C$353,"TOT_DEBT_TO_EBITDA","FQ4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77" s="1" t="e">
        <f ca="1">_xll.BDH($C$353,"NET_DEBT_TO_EBITDA","FQ4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77" s="1" t="e">
        <f ca="1">_xll.BDH($C$353,"TOTAL_DEBT_TO_EBIT","FQ4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77" s="1" t="e">
        <f ca="1">_xll.BDH($C$353,"NET_DEBT_TO_EBIT","FQ4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377" s="1" t="e">
        <f ca="1">_xll.BDH($C$353,"EBITDA_TO_INTEREST_EXPN","FQ4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77" s="1" t="e">
        <f ca="1">_xll.BDH($C$353,"COM_EQY_TO_TOT_ASSET","FQ4 2018","FQ4 2018","Currency=INR","Period=FQ","BEST_FPERIOD_OVERRIDE=FQ","FILING_STATUS=OR","EQY_CONSOLIDATED=Y","Sort=A","Dates=H","DateFormat=P","Fill=—","Direction=H","UseDPDF=Y")</f>
        <v>#NAME?</v>
      </c>
      <c r="CH377" s="1" t="e">
        <f ca="1">_xll.BDH($C$353,"LT_DEBT_TO_TOT_EQY","FQ4 2018","FQ4 2018","Currency=INR","Period=FQ","BEST_FPERIOD_OVERRIDE=FQ","FILING_STATUS=OR","EQY_CONSOLIDATED=Y","Sort=A","Dates=H","DateFormat=P","Fill=—","Direction=H","UseDPDF=Y")</f>
        <v>#NAME?</v>
      </c>
      <c r="CI377" s="1" t="e">
        <f ca="1">_xll.BDH($C$353,"LT_DEBT_TO_TOT_CAP","FQ4 2018","FQ4 2018","Currency=INR","Period=FQ","BEST_FPERIOD_OVERRIDE=FQ","FILING_STATUS=OR","EQY_CONSOLIDATED=Y","Sort=A","Dates=H","DateFormat=P","Fill=—","Direction=H","UseDPDF=Y")</f>
        <v>#NAME?</v>
      </c>
      <c r="CJ377" s="1" t="e">
        <f ca="1">_xll.BDH($C$353,"LT_DEBT_TO_TOT_ASSET","FQ4 2018","FQ4 2018","Currency=INR","Period=FQ","BEST_FPERIOD_OVERRIDE=FQ","FILING_STATUS=OR","EQY_CONSOLIDATED=Y","Sort=A","Dates=H","DateFormat=P","Fill=—","Direction=H","UseDPDF=Y")</f>
        <v>#NAME?</v>
      </c>
      <c r="CK377" s="1" t="e">
        <f ca="1">_xll.BDH($C$353,"TOT_DEBT_TO_TOT_EQY","FQ4 2018","FQ4 2018","Currency=INR","Period=FQ","BEST_FPERIOD_OVERRIDE=FQ","FILING_STATUS=OR","EQY_CONSOLIDATED=Y","Sort=A","Dates=H","DateFormat=P","Fill=—","Direction=H","UseDPDF=Y")</f>
        <v>#NAME?</v>
      </c>
      <c r="CL377" s="1" t="e">
        <f ca="1">_xll.BDH($C$353,"TOT_DEBT_TO_TOT_CAP","FQ4 2018","FQ4 2018","Currency=INR","Period=FQ","BEST_FPERIOD_OVERRIDE=FQ","FILING_STATUS=OR","EQY_CONSOLIDATED=Y","Sort=A","Dates=H","DateFormat=P","Fill=—","Direction=H","UseDPDF=Y")</f>
        <v>#NAME?</v>
      </c>
      <c r="CM377" s="1" t="e">
        <f ca="1">_xll.BDH($C$353,"TOT_DEBT_TO_TOT_ASSET","FQ4 2018","FQ4 2018","Currency=INR","Period=FQ","BEST_FPERIOD_OVERRIDE=FQ","FILING_STATUS=OR","EQY_CONSOLIDATED=Y","Sort=A","Dates=H","DateFormat=P","Fill=—","Direction=H","UseDPDF=Y")</f>
        <v>#NAME?</v>
      </c>
      <c r="CN377" s="1" t="e">
        <f ca="1">_xll.BDH($C$353,"NET_DEBT_TO_SHRHLDR_EQTY","FQ4 2018","FQ4 2018","Currency=INR","Period=FQ","BEST_FPERIOD_OVERRIDE=FQ","FILING_STATUS=OR","EQY_CONSOLIDATED=Y","Sort=A","Dates=H","DateFormat=P","Fill=—","Direction=H","UseDPDF=Y")</f>
        <v>#NAME?</v>
      </c>
      <c r="CO377" s="1" t="e">
        <f ca="1">_xll.BDH($C$353,"NET_DEBT_%_CAPITAL","FQ4 2018","FQ4 2018","Currency=INR","Period=FQ","BEST_FPERIOD_OVERRIDE=FQ","FILING_STATUS=OR","EQY_CONSOLIDATED=Y","Sort=A","Dates=H","DateFormat=P","Fill=—","Direction=H","UseDPDF=Y")</f>
        <v>#NAME?</v>
      </c>
      <c r="CP377" s="2" t="e">
        <f ca="1">_xll.BDH($C$353,"EBITDA","FQ4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77" s="2" t="e">
        <f ca="1">_xll.BDH($C$353,"EBITDA_AFTER_CAPEX","FQ4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77" s="2" t="e">
        <f ca="1">_xll.BDH($C$353,"IS_OPER_INC","FQ4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77" s="1" t="e">
        <f ca="1">_xll.BDH($C$353,"CASH_RATIO","FQ4 2018","FQ4 2018","Currency=INR","Period=FQ","BEST_FPERIOD_OVERRIDE=FQ","FILING_STATUS=OR","EQY_CONSOLIDATED=Y","Sort=A","Dates=H","DateFormat=P","Fill=—","Direction=H","UseDPDF=Y")</f>
        <v>#NAME?</v>
      </c>
      <c r="CT377" s="1" t="e">
        <f ca="1">_xll.BDH($C$353,"CUR_RATIO","FQ4 2018","FQ4 2018","Currency=INR","Period=FQ","BEST_FPERIOD_OVERRIDE=FQ","FILING_STATUS=OR","EQY_CONSOLIDATED=Y","Sort=A","Dates=H","DateFormat=P","Fill=—","Direction=H","UseDPDF=Y")</f>
        <v>#NAME?</v>
      </c>
      <c r="CU377" s="1" t="e">
        <f ca="1">_xll.BDH($C$353,"QUICK_RATIO","FQ4 2018","FQ4 2018","Currency=INR","Period=FQ","BEST_FPERIOD_OVERRIDE=FQ","FILING_STATUS=OR","EQY_CONSOLIDATED=Y","Sort=A","Dates=H","DateFormat=P","Fill=—","Direction=H","UseDPDF=Y")</f>
        <v>#NAME?</v>
      </c>
      <c r="CV377" s="1" t="e">
        <f ca="1">_xll.BDH($C$353,"ALTMAN_Z_SCORE","FQ4 2018","FQ4 2018","Currency=INR","Period=FQ","BEST_FPERIOD_OVERRIDE=FQ","FILING_STATUS=OR","EQY_CONSOLIDATED=Y","Sort=A","Dates=H","DateFormat=P","Fill=—","Direction=H","UseDPDF=Y")</f>
        <v>#NAME?</v>
      </c>
      <c r="CW377" s="3" t="e">
        <f ca="1">_xll.BDH($C$353,"ACCT_RCV_TURN","FQ4 2018","FQ4 2018","Currency=INR","Period=FQ","BEST_FPERIOD_OVERRIDE=FQ","FILING_STATUS=OR","EQY_CONSOLIDATED=Y","FA_ADJUSTED=GAAP","Sort=A","Dates=H","DateFormat=P","Fill=—","Direction=H","UseDPDF=Y")</f>
        <v>#NAME?</v>
      </c>
      <c r="CX377" s="1" t="e">
        <f ca="1">_xll.BDH($C$353,"ACCT_RCV_DAYS","FQ4 2018","FQ4 2018","Currency=INR","Period=FQ","BEST_FPERIOD_OVERRIDE=FQ","FILING_STATUS=OR","EQY_CONSOLIDATED=Y","FA_ADJUSTED=GAAP","Sort=A","Dates=H","DateFormat=P","Fill=—","Direction=H","UseDPDF=Y")</f>
        <v>#NAME?</v>
      </c>
      <c r="CY377" s="3" t="e">
        <f ca="1">_xll.BDH($C$353,"INVENT_TURN","FQ4 2018","FQ4 2018","Currency=INR","Period=FQ","BEST_FPERIOD_OVERRIDE=FQ","FILING_STATUS=OR","EQY_CONSOLIDATED=Y","FA_ADJUSTED=GAAP","Sort=A","Dates=H","DateFormat=P","Fill=—","Direction=H","UseDPDF=Y")</f>
        <v>#NAME?</v>
      </c>
      <c r="CZ377" s="1" t="e">
        <f ca="1">_xll.BDH($C$353,"INVENT_DAYS","FQ4 2018","FQ4 2018","Currency=INR","Period=FQ","BEST_FPERIOD_OVERRIDE=FQ","FILING_STATUS=OR","EQY_CONSOLIDATED=Y","FA_ADJUSTED=GAAP","Sort=A","Dates=H","DateFormat=P","Fill=—","Direction=H","UseDPDF=Y")</f>
        <v>#NAME?</v>
      </c>
      <c r="DA377" s="3" t="e">
        <f ca="1">_xll.BDH($C$353,"ACCOUNTS_PAYABLE_TURNOVER","FQ4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77" s="1" t="e">
        <f ca="1">_xll.BDH($C$353,"ACCOUNTS_PAYABLE_TURNOVER_DAYS","FQ4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77" s="3" t="e">
        <f ca="1">_xll.BDH($C$353,"CASH_CONVERSION_CYCLE","FQ4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77" s="3" t="e">
        <f ca="1">_xll.BDH($C$353,"INV_TO_CASH_DAYS","FQ4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377" s="4" t="e">
        <f ca="1">_xll.BDH($C$353,"BS_INVENTORIES","FQ4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377" s="2" t="e">
        <f ca="1">_xll.BDH($C$353,"INVTRY_RAW_MATERIALS","FQ4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77" s="2" t="e">
        <f ca="1">_xll.BDH($C$353,"INVTRY_IN_PROGRESS","FQ4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77" s="2" t="e">
        <f ca="1">_xll.BDH($C$353,"INVTRY_FINISHED_GOODS","FQ4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77" s="2" t="e">
        <f ca="1">_xll.BDH($C$353,"BS_OTHER_INV","FQ4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78" spans="1:113" x14ac:dyDescent="0.3">
      <c r="A378" s="6">
        <v>66</v>
      </c>
      <c r="B378" s="6" t="s">
        <v>40</v>
      </c>
      <c r="C378" s="6" t="s">
        <v>41</v>
      </c>
      <c r="D378" s="6" t="s">
        <v>2</v>
      </c>
      <c r="E378" t="s">
        <v>3</v>
      </c>
      <c r="F378" t="e">
        <f ca="1">_xll.BDH($C$378,"RETURN_COM_EQY","FY 2014","FY 2014","Currency=INR","Period=FY","BEST_FPERIOD_OVERRIDE=FY","FILING_STATUS=OR","EQY_CONSOLIDATED=Y","FA_ADJUSTED=GAAP","Sort=A","Dates=H","DateFormat=P","Fill=—","Direction=H","UseDPDF=Y")</f>
        <v>#NAME?</v>
      </c>
      <c r="G378" t="e">
        <f ca="1">_xll.BDH($C$378,"RETURN_ON_ASSET","FY 2014","FY 2014","Currency=INR","Period=FY","BEST_FPERIOD_OVERRIDE=FY","FILING_STATUS=OR","EQY_CONSOLIDATED=Y","FA_ADJUSTED=GAAP","Sort=A","Dates=H","DateFormat=P","Fill=—","Direction=H","UseDPDF=Y")</f>
        <v>#NAME?</v>
      </c>
      <c r="H378" t="e">
        <f ca="1">_xll.BDH($C$378,"RETURN_ON_CAP","FY 2014","FY 2014","Currency=INR","Period=FY","BEST_FPERIOD_OVERRIDE=FY","FILING_STATUS=OR","EQY_CONSOLIDATED=Y","FA_ADJUSTED=GAAP","Sort=A","Dates=H","DateFormat=P","Fill=—","Direction=H","UseDPDF=Y")</f>
        <v>#NAME?</v>
      </c>
      <c r="I378" t="e">
        <f ca="1">_xll.BDH($C$378,"RETURN_ON_INV_CAPITAL","FY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78" t="e">
        <f ca="1">_xll.BDH($C$378,"EBITDA_TO_REVENUE","FY 2014","FY 2014","Currency=INR","Period=FY","BEST_FPERIOD_OVERRIDE=FY","FILING_STATUS=OR","EQY_CONSOLIDATED=Y","FA_ADJUSTED=GAAP","Sort=A","Dates=H","DateFormat=P","Fill=—","Direction=H","UseDPDF=Y")</f>
        <v>#NAME?</v>
      </c>
      <c r="K378" t="e">
        <f ca="1">_xll.BDH($C$378,"OPER_MARGIN","FY 2014","FY 2014","Currency=INR","Period=FY","BEST_FPERIOD_OVERRIDE=FY","FILING_STATUS=OR","EQY_CONSOLIDATED=Y","FA_ADJUSTED=GAAP","Sort=A","Dates=H","DateFormat=P","Fill=—","Direction=H","UseDPDF=Y")</f>
        <v>#NAME?</v>
      </c>
      <c r="L378" t="e">
        <f ca="1">_xll.BDH($C$378,"INCREMENTAL_OPERATING_MARGIN","FY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78" t="e">
        <f ca="1">_xll.BDH($C$378,"PRETAX_INC_TO_NET_SALES","FY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78" t="e">
        <f ca="1">_xll.BDH($C$378,"INC_BEF_XO_ITEMS_TO_NET_SALES","FY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78" t="e">
        <f ca="1">_xll.BDH($C$378,"PROF_MARGIN","FY 2014","FY 2014","Currency=INR","Period=FY","BEST_FPERIOD_OVERRIDE=FY","FILING_STATUS=OR","EQY_CONSOLIDATED=Y","FA_ADJUSTED=GAAP","Sort=A","Dates=H","DateFormat=P","Fill=—","Direction=H","UseDPDF=Y")</f>
        <v>#NAME?</v>
      </c>
      <c r="P378" t="e">
        <f ca="1">_xll.BDH($C$378,"NET_INCOME_TO_COMMON_MARGIN","FY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78" t="e">
        <f ca="1">_xll.BDH($C$378,"EFF_TAX_RATE","FY 2014","FY 2014","Currency=INR","Period=FY","BEST_FPERIOD_OVERRIDE=FY","FILING_STATUS=OR","EQY_CONSOLIDATED=Y","FA_ADJUSTED=GAAP","Sort=A","Dates=H","DateFormat=P","Fill=—","Direction=H","UseDPDF=Y")</f>
        <v>#NAME?</v>
      </c>
      <c r="R378" t="e">
        <f ca="1">_xll.BDH($C$378,"DVD_PAYOUT_RATIO","FY 2014","FY 2014","Currency=INR","Period=FY","BEST_FPERIOD_OVERRIDE=FY","FILING_STATUS=OR","EQY_CONSOLIDATED=Y","FA_ADJUSTED=GAAP","Sort=A","Dates=H","DateFormat=P","Fill=—","Direction=H","UseDPDF=Y")</f>
        <v>#NAME?</v>
      </c>
      <c r="S378" t="e">
        <f ca="1">_xll.BDH($C$378,"SUSTAIN_GROWTH_RT","FY 2014","FY 2014","Currency=INR","Period=FY","BEST_FPERIOD_OVERRIDE=FY","FILING_STATUS=OR","EQY_CONSOLIDATED=Y","FA_ADJUSTED=GAAP","Sort=A","Dates=H","DateFormat=P","Fill=—","Direction=H","UseDPDF=Y")</f>
        <v>#NAME?</v>
      </c>
      <c r="T378" s="1" t="e">
        <f ca="1">_xll.BDH($C$378,"SALES_GROWTH","FY 2014","FY 2014","Currency=INR","Period=FY","BEST_FPERIOD_OVERRIDE=FY","FILING_STATUS=OR","EQY_CONSOLIDATED=Y","FA_ADJUSTED=GAAP","Sort=A","Dates=H","DateFormat=P","Fill=—","Direction=H","UseDPDF=Y")</f>
        <v>#NAME?</v>
      </c>
      <c r="U378" s="1" t="e">
        <f ca="1">_xll.BDH($C$378,"EBITDA_GROWTH","FY 2014","FY 2014","Currency=INR","Period=FY","BEST_FPERIOD_OVERRIDE=FY","FILING_STATUS=OR","EQY_CONSOLIDATED=Y","FA_ADJUSTED=GAAP","Sort=A","Dates=H","DateFormat=P","Fill=—","Direction=H","UseDPDF=Y")</f>
        <v>#NAME?</v>
      </c>
      <c r="V378" s="1" t="e">
        <f ca="1">_xll.BDH($C$378,"OPER_INC_GROWTH","FY 2014","FY 2014","Currency=INR","Period=FY","BEST_FPERIOD_OVERRIDE=FY","FILING_STATUS=OR","EQY_CONSOLIDATED=Y","FA_ADJUSTED=GAAP","Sort=A","Dates=H","DateFormat=P","Fill=—","Direction=H","UseDPDF=Y")</f>
        <v>#NAME?</v>
      </c>
      <c r="W378" s="1" t="e">
        <f ca="1">_xll.BDH($C$378,"EARN_FOR_COM_GROWTH","FY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378" s="1" t="e">
        <f ca="1">_xll.BDH($C$378,"DILUTED_EPS_AFT_XO_ITEMS_GROWTH","FY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78" s="1" t="e">
        <f ca="1">_xll.BDH($C$378,"DIVIDEND_PER_SHARE_1_YEAR_GROWTH","FY 2014","FY 2014","Currency=INR","Period=FY","BEST_FPERIOD_OVERRIDE=FY","FILING_STATUS=OR","EQY_CONSOLIDATED=Y","Sort=A","Dates=H","DateFormat=P","Fill=—","Direction=H","UseDPDF=Y")</f>
        <v>#NAME?</v>
      </c>
      <c r="Z378" s="1" t="e">
        <f ca="1">_xll.BDH($C$378,"ACCOUNTS_RECEIVABLE_GROWTH","FY 2014","FY 2014","Currency=INR","Period=FY","BEST_FPERIOD_OVERRIDE=FY","FILING_STATUS=OR","EQY_CONSOLIDATED=Y","Sort=A","Dates=H","DateFormat=P","Fill=—","Direction=H","UseDPDF=Y")</f>
        <v>#NAME?</v>
      </c>
      <c r="AA378" s="1" t="e">
        <f ca="1">_xll.BDH($C$378,"INVENTORY_GROWTH","FY 2014","FY 2014","Currency=INR","Period=FY","BEST_FPERIOD_OVERRIDE=FY","FILING_STATUS=OR","EQY_CONSOLIDATED=Y","Sort=A","Dates=H","DateFormat=P","Fill=—","Direction=H","UseDPDF=Y")</f>
        <v>#NAME?</v>
      </c>
      <c r="AB378" s="1" t="e">
        <f ca="1">_xll.BDH($C$378,"NET_FIXED_ASSETS_1_YEAR_GROWTH","FY 2014","FY 2014","Currency=INR","Period=FY","BEST_FPERIOD_OVERRIDE=FY","FILING_STATUS=OR","EQY_CONSOLIDATED=Y","Sort=A","Dates=H","DateFormat=P","Fill=—","Direction=H","UseDPDF=Y")</f>
        <v>#NAME?</v>
      </c>
      <c r="AC378" s="1" t="e">
        <f ca="1">_xll.BDH($C$378,"ASSET_GROWTH","FY 2014","FY 2014","Currency=INR","Period=FY","BEST_FPERIOD_OVERRIDE=FY","FILING_STATUS=OR","EQY_CONSOLIDATED=Y","Sort=A","Dates=H","DateFormat=P","Fill=—","Direction=H","UseDPDF=Y")</f>
        <v>#NAME?</v>
      </c>
      <c r="AD378" s="1" t="e">
        <f ca="1">_xll.BDH($C$378,"MODIFIED_WORK_CAP_GROWTH","FY 2014","FY 2014","Currency=INR","Period=FY","BEST_FPERIOD_OVERRIDE=FY","FILING_STATUS=OR","EQY_CONSOLIDATED=Y","Sort=A","Dates=H","DateFormat=P","Fill=—","Direction=H","UseDPDF=Y")</f>
        <v>#NAME?</v>
      </c>
      <c r="AE378" s="1" t="e">
        <f ca="1">_xll.BDH($C$378,"WORK_CAP_GROWTH","FY 2014","FY 2014","Currency=INR","Period=FY","BEST_FPERIOD_OVERRIDE=FY","FILING_STATUS=OR","EQY_CONSOLIDATED=Y","Sort=A","Dates=H","DateFormat=P","Fill=—","Direction=H","UseDPDF=Y")</f>
        <v>#NAME?</v>
      </c>
      <c r="AF378" s="1" t="e">
        <f ca="1">_xll.BDH($C$378,"ACCOUNTS_PAYABLE_GROWTH_1YR","FY 2014","FY 2014","Currency=INR","Period=FY","BEST_FPERIOD_OVERRIDE=FY","FILING_STATUS=OR","EQY_CONSOLIDATED=Y","Sort=A","Dates=H","DateFormat=P","Fill=—","Direction=H","UseDPDF=Y")</f>
        <v>#NAME?</v>
      </c>
      <c r="AG378" s="1" t="e">
        <f ca="1">_xll.BDH($C$378,"SHORT_TERM_DEBT_1_YEAR_GROWTH","FY 2014","FY 2014","Currency=INR","Period=FY","BEST_FPERIOD_OVERRIDE=FY","FILING_STATUS=OR","EQY_CONSOLIDATED=Y","Sort=A","Dates=H","DateFormat=P","Fill=—","Direction=H","UseDPDF=Y")</f>
        <v>#NAME?</v>
      </c>
      <c r="AH378" s="1" t="e">
        <f ca="1">_xll.BDH($C$378,"TOTAL_DEBT_1_YEAR_GROWTH","FY 2014","FY 2014","Currency=INR","Period=FY","BEST_FPERIOD_OVERRIDE=FY","FILING_STATUS=OR","EQY_CONSOLIDATED=Y","Sort=A","Dates=H","DateFormat=P","Fill=—","Direction=H","UseDPDF=Y")</f>
        <v>#NAME?</v>
      </c>
      <c r="AI378" s="1" t="e">
        <f ca="1">_xll.BDH($C$378,"TOTAL_EQUITY_1_YEAR_GROWTH","FY 2014","FY 2014","Currency=INR","Period=FY","BEST_FPERIOD_OVERRIDE=FY","FILING_STATUS=OR","EQY_CONSOLIDATED=Y","Sort=A","Dates=H","DateFormat=P","Fill=—","Direction=H","UseDPDF=Y")</f>
        <v>#NAME?</v>
      </c>
      <c r="AJ378" s="1" t="e">
        <f ca="1">_xll.BDH($C$378,"GROWTH_IN_CAP","FY 2014","FY 2014","Currency=INR","Period=FY","BEST_FPERIOD_OVERRIDE=FY","FILING_STATUS=OR","EQY_CONSOLIDATED=Y","Sort=A","Dates=H","DateFormat=P","Fill=—","Direction=H","UseDPDF=Y")</f>
        <v>#NAME?</v>
      </c>
      <c r="AK378" s="1" t="e">
        <f ca="1">_xll.BDH($C$378,"BVPS_GROWTH","FY 2014","FY 2014","Currency=INR","Period=FY","BEST_FPERIOD_OVERRIDE=FY","FILING_STATUS=OR","EQY_CONSOLIDATED=Y","Sort=A","Dates=H","DateFormat=P","Fill=—","Direction=H","UseDPDF=Y")</f>
        <v>#NAME?</v>
      </c>
      <c r="AL378" s="1" t="e">
        <f ca="1">_xll.BDH($C$378,"CASH_FLOW_GROWTH","FY 2014","FY 2014","Currency=INR","Period=FY","BEST_FPERIOD_OVERRIDE=FY","FILING_STATUS=OR","EQY_CONSOLIDATED=Y","Sort=A","Dates=H","DateFormat=P","Fill=—","Direction=H","UseDPDF=Y")</f>
        <v>#NAME?</v>
      </c>
      <c r="AM378" s="1" t="e">
        <f ca="1">_xll.BDH($C$378,"GEO_GROW_NET_SALES","FY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378" s="1" t="e">
        <f ca="1">_xll.BDH($C$378,"GEO_GROW_EBITDA","FY 2014","FY 2014","Currency=INR","Period=FY","BEST_FPERIOD_OVERRIDE=FY","FILING_STATUS=OR","EQY_CONSOLIDATED=Y","FA_ADJUSTED=GAAP","Sort=A","Dates=H","DateFormat=P","Fill=—","Direction=H","UseDPDF=Y")</f>
        <v>#NAME?</v>
      </c>
      <c r="AO378" s="1" t="e">
        <f ca="1">_xll.BDH($C$378,"GEO_GROW_OPER_INC","FY 2014","FY 2014","Currency=INR","Period=FY","BEST_FPERIOD_OVERRIDE=FY","FILING_STATUS=OR","EQY_CONSOLIDATED=Y","FA_ADJUSTED=GAAP","Sort=A","Dates=H","DateFormat=P","Fill=—","Direction=H","UseDPDF=Y")</f>
        <v>#NAME?</v>
      </c>
      <c r="AP378" s="1" t="e">
        <f ca="1">_xll.BDH($C$378,"NET_INCOME_TO_COMMON_5_YR_GROWTH","FY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78" s="1" t="e">
        <f ca="1">_xll.BDH($C$378,"5Y_GEO_GROWTH_DILUTED_EPS","FY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78" s="1" t="e">
        <f ca="1">_xll.BDH($C$378,"GEO_GROW_DVD_PER_SH","FY 2014","FY 2014","Currency=INR","Period=FY","BEST_FPERIOD_OVERRIDE=FY","FILING_STATUS=OR","EQY_CONSOLIDATED=Y","Sort=A","Dates=H","DateFormat=P","Fill=—","Direction=H","UseDPDF=Y")</f>
        <v>#NAME?</v>
      </c>
      <c r="AS378" s="1" t="e">
        <f ca="1">_xll.BDH($C$378,"ACCOUNTS_RECEIVABLE_5_YR_GROWTH","FY 2014","FY 2014","Currency=INR","Period=FY","BEST_FPERIOD_OVERRIDE=FY","FILING_STATUS=OR","EQY_CONSOLIDATED=Y","Sort=A","Dates=H","DateFormat=P","Fill=—","Direction=H","UseDPDF=Y")</f>
        <v>#NAME?</v>
      </c>
      <c r="AT378" s="1" t="e">
        <f ca="1">_xll.BDH($C$378,"INVENTORY_5_YEAR_GROWTH","FY 2014","FY 2014","Currency=INR","Period=FY","BEST_FPERIOD_OVERRIDE=FY","FILING_STATUS=OR","EQY_CONSOLIDATED=Y","Sort=A","Dates=H","DateFormat=P","Fill=—","Direction=H","UseDPDF=Y")</f>
        <v>#NAME?</v>
      </c>
      <c r="AU378" s="1" t="e">
        <f ca="1">_xll.BDH($C$378,"NET_FIXED_ASSETS_5_YEAR_GROWTH","FY 2014","FY 2014","Currency=INR","Period=FY","BEST_FPERIOD_OVERRIDE=FY","FILING_STATUS=OR","EQY_CONSOLIDATED=Y","Sort=A","Dates=H","DateFormat=P","Fill=—","Direction=H","UseDPDF=Y")</f>
        <v>#NAME?</v>
      </c>
      <c r="AV378" s="1" t="e">
        <f ca="1">_xll.BDH($C$378,"GEO_GROW_TOT_ASSET","FY 2014","FY 2014","Currency=INR","Period=FY","BEST_FPERIOD_OVERRIDE=FY","FILING_STATUS=OR","EQY_CONSOLIDATED=Y","Sort=A","Dates=H","DateFormat=P","Fill=—","Direction=H","UseDPDF=Y")</f>
        <v>#NAME?</v>
      </c>
      <c r="AW378" s="1" t="e">
        <f ca="1">_xll.BDH($C$378,"MODIFIED_WORKING_CPTL_5YR_GRWTH","FY 2014","FY 2014","Currency=INR","Period=FY","BEST_FPERIOD_OVERRIDE=FY","FILING_STATUS=OR","EQY_CONSOLIDATED=Y","Sort=A","Dates=H","DateFormat=P","Fill=—","Direction=H","UseDPDF=Y")</f>
        <v>#NAME?</v>
      </c>
      <c r="AX378" s="1" t="e">
        <f ca="1">_xll.BDH($C$378,"WORKING_CAPITAL_5_YEAR_GROWTH","FY 2014","FY 2014","Currency=INR","Period=FY","BEST_FPERIOD_OVERRIDE=FY","FILING_STATUS=OR","EQY_CONSOLIDATED=Y","Sort=A","Dates=H","DateFormat=P","Fill=—","Direction=H","UseDPDF=Y")</f>
        <v>#NAME?</v>
      </c>
      <c r="AY378" s="1" t="e">
        <f ca="1">_xll.BDH($C$378,"ACCOUNTS_PAYABLE_5_YEAR_GROWTH","FY 2014","FY 2014","Currency=INR","Period=FY","BEST_FPERIOD_OVERRIDE=FY","FILING_STATUS=OR","EQY_CONSOLIDATED=Y","Sort=A","Dates=H","DateFormat=P","Fill=—","Direction=H","UseDPDF=Y")</f>
        <v>#NAME?</v>
      </c>
      <c r="AZ378" s="1" t="e">
        <f ca="1">_xll.BDH($C$378,"SHORT_TERM_DEBT_5_YEAR_GROWTH","FY 2014","FY 2014","Currency=INR","Period=FY","BEST_FPERIOD_OVERRIDE=FY","FILING_STATUS=OR","EQY_CONSOLIDATED=Y","Sort=A","Dates=H","DateFormat=P","Fill=—","Direction=H","UseDPDF=Y")</f>
        <v>#NAME?</v>
      </c>
      <c r="BA378" s="1" t="e">
        <f ca="1">_xll.BDH($C$378,"TOTAL_DEBT_5_YEAR_GROWTH","FY 2014","FY 2014","Currency=INR","Period=FY","BEST_FPERIOD_OVERRIDE=FY","FILING_STATUS=OR","EQY_CONSOLIDATED=Y","Sort=A","Dates=H","DateFormat=P","Fill=—","Direction=H","UseDPDF=Y")</f>
        <v>#NAME?</v>
      </c>
      <c r="BB378" s="1" t="e">
        <f ca="1">_xll.BDH($C$378,"GEO_GROW_TOT_SHRHLDR_EQY","FY 2014","FY 2014","Currency=INR","Period=FY","BEST_FPERIOD_OVERRIDE=FY","FILING_STATUS=OR","EQY_CONSOLIDATED=Y","Sort=A","Dates=H","DateFormat=P","Fill=—","Direction=H","UseDPDF=Y")</f>
        <v>#NAME?</v>
      </c>
      <c r="BC378" s="1" t="e">
        <f ca="1">_xll.BDH($C$378,"TOTAL_CAPITAL_5_YEAR_GROWTH","FY 2014","FY 2014","Currency=INR","Period=FY","BEST_FPERIOD_OVERRIDE=FY","FILING_STATUS=OR","EQY_CONSOLIDATED=Y","Sort=A","Dates=H","DateFormat=P","Fill=—","Direction=H","UseDPDF=Y")</f>
        <v>#NAME?</v>
      </c>
      <c r="BD378" s="1" t="e">
        <f ca="1">_xll.BDH($C$378,"GEO_GROW_BOOK_VAL","FY 2014","FY 2014","Currency=INR","Period=FY","BEST_FPERIOD_OVERRIDE=FY","FILING_STATUS=OR","EQY_CONSOLIDATED=Y","Sort=A","Dates=H","DateFormat=P","Fill=—","Direction=H","UseDPDF=Y")</f>
        <v>#NAME?</v>
      </c>
      <c r="BE378" s="1" t="e">
        <f ca="1">_xll.BDH($C$378,"GEO_GROW_CASH_OPER_ACT","FY 2014","FY 2014","Currency=INR","Period=FY","BEST_FPERIOD_OVERRIDE=FY","FILING_STATUS=OR","EQY_CONSOLIDATED=Y","Sort=A","Dates=H","DateFormat=P","Fill=—","Direction=H","UseDPDF=Y")</f>
        <v>#NAME?</v>
      </c>
      <c r="BF378" s="1" t="e">
        <f ca="1">_xll.BDH($C$378,"REVENUE_SEQUENTIAL_GROWTH","FY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78" s="1" t="e">
        <f ca="1">_xll.BDH($C$378,"EBITDA_SEQUENTIAL_GROWTH","FY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78" s="1" t="e">
        <f ca="1">_xll.BDH($C$378,"OPERATING_INCOME_SEQ_GROWTH","FY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78" s="1" t="e">
        <f ca="1">_xll.BDH($C$378,"NET_INCOME_TO_COMMON_SEQ_GROWTH","FY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78" s="1" t="e">
        <f ca="1">_xll.BDH($C$378,"EPS_DILUTED_SEQUENTIAL_GROWTH","FY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78" s="1" t="e">
        <f ca="1">_xll.BDH($C$378,"DPS_SEQUENTIAL_GROWTH","FY 2014","FY 2014","Currency=INR","Period=FY","BEST_FPERIOD_OVERRIDE=FY","FILING_STATUS=OR","EQY_CONSOLIDATED=Y","Sort=A","Dates=H","DateFormat=P","Fill=—","Direction=H","UseDPDF=Y")</f>
        <v>#NAME?</v>
      </c>
      <c r="BL378" s="1" t="e">
        <f ca="1">_xll.BDH($C$378,"ACCOUNTS_RECEIVABLE_SEQ_GROWTH","FY 2014","FY 2014","Currency=INR","Period=FY","BEST_FPERIOD_OVERRIDE=FY","FILING_STATUS=OR","EQY_CONSOLIDATED=Y","Sort=A","Dates=H","DateFormat=P","Fill=—","Direction=H","UseDPDF=Y")</f>
        <v>#NAME?</v>
      </c>
      <c r="BM378" s="1" t="e">
        <f ca="1">_xll.BDH($C$378,"INVENTORY_SEQUENTIAL_GROWTH","FY 2014","FY 2014","Currency=INR","Period=FY","BEST_FPERIOD_OVERRIDE=FY","FILING_STATUS=OR","EQY_CONSOLIDATED=Y","Sort=A","Dates=H","DateFormat=P","Fill=—","Direction=H","UseDPDF=Y")</f>
        <v>#NAME?</v>
      </c>
      <c r="BN378" s="1" t="e">
        <f ca="1">_xll.BDH($C$378,"FIXED_ASSETS_SEQUENTIAL_GROWTH","FY 2014","FY 2014","Currency=INR","Period=FY","BEST_FPERIOD_OVERRIDE=FY","FILING_STATUS=OR","EQY_CONSOLIDATED=Y","Sort=A","Dates=H","DateFormat=P","Fill=—","Direction=H","UseDPDF=Y")</f>
        <v>#NAME?</v>
      </c>
      <c r="BO378" s="1" t="e">
        <f ca="1">_xll.BDH($C$378,"TOTAL_ASSETS_SEQUENTIAL_GROWTH","FY 2014","FY 2014","Currency=INR","Period=FY","BEST_FPERIOD_OVERRIDE=FY","FILING_STATUS=OR","EQY_CONSOLIDATED=Y","Sort=A","Dates=H","DateFormat=P","Fill=—","Direction=H","UseDPDF=Y")</f>
        <v>#NAME?</v>
      </c>
      <c r="BP378" s="1" t="e">
        <f ca="1">_xll.BDH($C$378,"MODIFIED_WORKING_CPTL_SEQ_GRWTH","FY 2014","FY 2014","Currency=INR","Period=FY","BEST_FPERIOD_OVERRIDE=FY","FILING_STATUS=OR","EQY_CONSOLIDATED=Y","Sort=A","Dates=H","DateFormat=P","Fill=—","Direction=H","UseDPDF=Y")</f>
        <v>#NAME?</v>
      </c>
      <c r="BQ378" s="1" t="e">
        <f ca="1">_xll.BDH($C$378,"WORKING_CAPITAL_SEQ_GROWTH","FY 2014","FY 2014","Currency=INR","Period=FY","BEST_FPERIOD_OVERRIDE=FY","FILING_STATUS=OR","EQY_CONSOLIDATED=Y","Sort=A","Dates=H","DateFormat=P","Fill=—","Direction=H","UseDPDF=Y")</f>
        <v>#NAME?</v>
      </c>
      <c r="BR378" s="1" t="e">
        <f ca="1">_xll.BDH($C$378,"ACCOUNTS_PAYABLE_SEQ_GROWTH","FY 2014","FY 2014","Currency=INR","Period=FY","BEST_FPERIOD_OVERRIDE=FY","FILING_STATUS=OR","EQY_CONSOLIDATED=Y","Sort=A","Dates=H","DateFormat=P","Fill=—","Direction=H","UseDPDF=Y")</f>
        <v>#NAME?</v>
      </c>
      <c r="BS378" s="1" t="e">
        <f ca="1">_xll.BDH($C$378,"ST_DEBT_SEQUENTIAL_GROWTH","FY 2014","FY 2014","Currency=INR","Period=FY","BEST_FPERIOD_OVERRIDE=FY","FILING_STATUS=OR","EQY_CONSOLIDATED=Y","Sort=A","Dates=H","DateFormat=P","Fill=—","Direction=H","UseDPDF=Y")</f>
        <v>#NAME?</v>
      </c>
      <c r="BT378" s="1" t="e">
        <f ca="1">_xll.BDH($C$378,"TOTAL_DEBT_SEQUENTIAL_GROWTH","FY 2014","FY 2014","Currency=INR","Period=FY","BEST_FPERIOD_OVERRIDE=FY","FILING_STATUS=OR","EQY_CONSOLIDATED=Y","Sort=A","Dates=H","DateFormat=P","Fill=—","Direction=H","UseDPDF=Y")</f>
        <v>#NAME?</v>
      </c>
      <c r="BU378" s="1" t="e">
        <f ca="1">_xll.BDH($C$378,"TOTAL_EQUITY_SEQUENTIAL_GROWTH","FY 2014","FY 2014","Currency=INR","Period=FY","BEST_FPERIOD_OVERRIDE=FY","FILING_STATUS=OR","EQY_CONSOLIDATED=Y","Sort=A","Dates=H","DateFormat=P","Fill=—","Direction=H","UseDPDF=Y")</f>
        <v>#NAME?</v>
      </c>
      <c r="BV378" s="1" t="e">
        <f ca="1">_xll.BDH($C$378,"TOTAL_CAPITAL_SEQUENTIAL_GROWTH","FY 2014","FY 2014","Currency=INR","Period=FY","BEST_FPERIOD_OVERRIDE=FY","FILING_STATUS=OR","EQY_CONSOLIDATED=Y","Sort=A","Dates=H","DateFormat=P","Fill=—","Direction=H","UseDPDF=Y")</f>
        <v>#NAME?</v>
      </c>
      <c r="BW378" s="1" t="e">
        <f ca="1">_xll.BDH($C$378,"BPS_SEQUENTIAL_GROWTH","FY 2014","FY 2014","Currency=INR","Period=FY","BEST_FPERIOD_OVERRIDE=FY","FILING_STATUS=OR","EQY_CONSOLIDATED=Y","Sort=A","Dates=H","DateFormat=P","Fill=—","Direction=H","UseDPDF=Y")</f>
        <v>#NAME?</v>
      </c>
      <c r="BX378" s="1" t="e">
        <f ca="1">_xll.BDH($C$378,"CFO_SEQUENTIAL_GROWTH","FY 2014","FY 2014","Currency=INR","Period=FY","BEST_FPERIOD_OVERRIDE=FY","FILING_STATUS=OR","EQY_CONSOLIDATED=Y","Sort=A","Dates=H","DateFormat=P","Fill=—","Direction=H","UseDPDF=Y")</f>
        <v>#NAME?</v>
      </c>
      <c r="BY378" s="2" t="e">
        <f ca="1">_xll.BDH($C$378,"SHORT_AND_LONG_TERM_DEBT","FY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78" s="2" t="e">
        <f ca="1">_xll.BDH($C$378,"BS_ST_BORROW","FY 2014","FY 2014","Currency=INR","Period=FY","BEST_FPERIOD_OVERRIDE=FY","FILING_STATUS=OR","EQY_CONSOLIDATED=Y","SCALING_FORMAT=MLN","Sort=A","Dates=H","DateFormat=P","Fill=—","Direction=H","UseDPDF=Y")</f>
        <v>#NAME?</v>
      </c>
      <c r="CA378" s="2" t="e">
        <f ca="1">_xll.BDH($C$378,"BS_LT_BORROW","FY 2014","FY 2014","Currency=INR","Period=FY","BEST_FPERIOD_OVERRIDE=FY","FILING_STATUS=OR","EQY_CONSOLIDATED=Y","SCALING_FORMAT=MLN","Sort=A","Dates=H","DateFormat=P","Fill=—","Direction=H","UseDPDF=Y")</f>
        <v>#NAME?</v>
      </c>
      <c r="CB378" s="1" t="e">
        <f ca="1">_xll.BDH($C$378,"TOT_DEBT_TO_EBITDA","FY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378" s="1" t="e">
        <f ca="1">_xll.BDH($C$378,"NET_DEBT_TO_EBITDA","FY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378" s="1" t="e">
        <f ca="1">_xll.BDH($C$378,"TOTAL_DEBT_TO_EBIT","FY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378" s="1" t="e">
        <f ca="1">_xll.BDH($C$378,"NET_DEBT_TO_EBIT","FY 2014","FY 2014","Currency=INR","Period=FY","BEST_FPERIOD_OVERRIDE=FY","FILING_STATUS=OR","EQY_CONSOLIDATED=Y","FA_ADJUSTED=GAAP","Sort=A","Dates=H","DateFormat=P","Fill=—","Direction=H","UseDPDF=Y")</f>
        <v>#NAME?</v>
      </c>
      <c r="CF378" s="1" t="e">
        <f ca="1">_xll.BDH($C$378,"EBITDA_TO_INTEREST_EXPN","FY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78" s="1" t="e">
        <f ca="1">_xll.BDH($C$378,"COM_EQY_TO_TOT_ASSET","FY 2014","FY 2014","Currency=INR","Period=FY","BEST_FPERIOD_OVERRIDE=FY","FILING_STATUS=OR","EQY_CONSOLIDATED=Y","Sort=A","Dates=H","DateFormat=P","Fill=—","Direction=H","UseDPDF=Y")</f>
        <v>#NAME?</v>
      </c>
      <c r="CH378" s="1" t="e">
        <f ca="1">_xll.BDH($C$378,"LT_DEBT_TO_TOT_EQY","FY 2014","FY 2014","Currency=INR","Period=FY","BEST_FPERIOD_OVERRIDE=FY","FILING_STATUS=OR","EQY_CONSOLIDATED=Y","Sort=A","Dates=H","DateFormat=P","Fill=—","Direction=H","UseDPDF=Y")</f>
        <v>#NAME?</v>
      </c>
      <c r="CI378" s="1" t="e">
        <f ca="1">_xll.BDH($C$378,"LT_DEBT_TO_TOT_CAP","FY 2014","FY 2014","Currency=INR","Period=FY","BEST_FPERIOD_OVERRIDE=FY","FILING_STATUS=OR","EQY_CONSOLIDATED=Y","Sort=A","Dates=H","DateFormat=P","Fill=—","Direction=H","UseDPDF=Y")</f>
        <v>#NAME?</v>
      </c>
      <c r="CJ378" s="1" t="e">
        <f ca="1">_xll.BDH($C$378,"LT_DEBT_TO_TOT_ASSET","FY 2014","FY 2014","Currency=INR","Period=FY","BEST_FPERIOD_OVERRIDE=FY","FILING_STATUS=OR","EQY_CONSOLIDATED=Y","Sort=A","Dates=H","DateFormat=P","Fill=—","Direction=H","UseDPDF=Y")</f>
        <v>#NAME?</v>
      </c>
      <c r="CK378" s="1" t="e">
        <f ca="1">_xll.BDH($C$378,"TOT_DEBT_TO_TOT_EQY","FY 2014","FY 2014","Currency=INR","Period=FY","BEST_FPERIOD_OVERRIDE=FY","FILING_STATUS=OR","EQY_CONSOLIDATED=Y","Sort=A","Dates=H","DateFormat=P","Fill=—","Direction=H","UseDPDF=Y")</f>
        <v>#NAME?</v>
      </c>
      <c r="CL378" s="1" t="e">
        <f ca="1">_xll.BDH($C$378,"TOT_DEBT_TO_TOT_CAP","FY 2014","FY 2014","Currency=INR","Period=FY","BEST_FPERIOD_OVERRIDE=FY","FILING_STATUS=OR","EQY_CONSOLIDATED=Y","Sort=A","Dates=H","DateFormat=P","Fill=—","Direction=H","UseDPDF=Y")</f>
        <v>#NAME?</v>
      </c>
      <c r="CM378" s="1" t="e">
        <f ca="1">_xll.BDH($C$378,"TOT_DEBT_TO_TOT_ASSET","FY 2014","FY 2014","Currency=INR","Period=FY","BEST_FPERIOD_OVERRIDE=FY","FILING_STATUS=OR","EQY_CONSOLIDATED=Y","Sort=A","Dates=H","DateFormat=P","Fill=—","Direction=H","UseDPDF=Y")</f>
        <v>#NAME?</v>
      </c>
      <c r="CN378" s="1" t="e">
        <f ca="1">_xll.BDH($C$378,"NET_DEBT_TO_SHRHLDR_EQTY","FY 2014","FY 2014","Currency=INR","Period=FY","BEST_FPERIOD_OVERRIDE=FY","FILING_STATUS=OR","EQY_CONSOLIDATED=Y","Sort=A","Dates=H","DateFormat=P","Fill=—","Direction=H","UseDPDF=Y")</f>
        <v>#NAME?</v>
      </c>
      <c r="CO378" s="1" t="e">
        <f ca="1">_xll.BDH($C$378,"NET_DEBT_%_CAPITAL","FY 2014","FY 2014","Currency=INR","Period=FY","BEST_FPERIOD_OVERRIDE=FY","FILING_STATUS=OR","EQY_CONSOLIDATED=Y","Sort=A","Dates=H","DateFormat=P","Fill=—","Direction=H","UseDPDF=Y")</f>
        <v>#NAME?</v>
      </c>
      <c r="CP378" s="2" t="e">
        <f ca="1">_xll.BDH($C$378,"EBITDA","FY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78" s="2" t="e">
        <f ca="1">_xll.BDH($C$378,"EBITDA_AFTER_CAPEX","FY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78" s="2" t="e">
        <f ca="1">_xll.BDH($C$378,"IS_OPER_INC","FY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78" s="1" t="e">
        <f ca="1">_xll.BDH($C$378,"CASH_RATIO","FY 2014","FY 2014","Currency=INR","Period=FY","BEST_FPERIOD_OVERRIDE=FY","FILING_STATUS=OR","EQY_CONSOLIDATED=Y","Sort=A","Dates=H","DateFormat=P","Fill=—","Direction=H","UseDPDF=Y")</f>
        <v>#NAME?</v>
      </c>
      <c r="CT378" s="1" t="e">
        <f ca="1">_xll.BDH($C$378,"CUR_RATIO","FY 2014","FY 2014","Currency=INR","Period=FY","BEST_FPERIOD_OVERRIDE=FY","FILING_STATUS=OR","EQY_CONSOLIDATED=Y","Sort=A","Dates=H","DateFormat=P","Fill=—","Direction=H","UseDPDF=Y")</f>
        <v>#NAME?</v>
      </c>
      <c r="CU378" s="1" t="e">
        <f ca="1">_xll.BDH($C$378,"QUICK_RATIO","FY 2014","FY 2014","Currency=INR","Period=FY","BEST_FPERIOD_OVERRIDE=FY","FILING_STATUS=OR","EQY_CONSOLIDATED=Y","Sort=A","Dates=H","DateFormat=P","Fill=—","Direction=H","UseDPDF=Y")</f>
        <v>#NAME?</v>
      </c>
      <c r="CV378" s="1" t="e">
        <f ca="1">_xll.BDH($C$378,"ALTMAN_Z_SCORE","FY 2014","FY 2014","Currency=INR","Period=FY","BEST_FPERIOD_OVERRIDE=FY","FILING_STATUS=OR","EQY_CONSOLIDATED=Y","Sort=A","Dates=H","DateFormat=P","Fill=—","Direction=H","UseDPDF=Y")</f>
        <v>#NAME?</v>
      </c>
      <c r="CW378" s="3" t="e">
        <f ca="1">_xll.BDH($C$378,"ACCT_RCV_TURN","FY 2014","FY 2014","Currency=INR","Period=FY","BEST_FPERIOD_OVERRIDE=FY","FILING_STATUS=OR","EQY_CONSOLIDATED=Y","FA_ADJUSTED=GAAP","Sort=A","Dates=H","DateFormat=P","Fill=—","Direction=H","UseDPDF=Y")</f>
        <v>#NAME?</v>
      </c>
      <c r="CX378" s="1" t="e">
        <f ca="1">_xll.BDH($C$378,"ACCT_RCV_DAYS","FY 2014","FY 2014","Currency=INR","Period=FY","BEST_FPERIOD_OVERRIDE=FY","FILING_STATUS=OR","EQY_CONSOLIDATED=Y","FA_ADJUSTED=GAAP","Sort=A","Dates=H","DateFormat=P","Fill=—","Direction=H","UseDPDF=Y")</f>
        <v>#NAME?</v>
      </c>
      <c r="CY378" s="3" t="e">
        <f ca="1">_xll.BDH($C$378,"INVENT_TURN","FY 2014","FY 2014","Currency=INR","Period=FY","BEST_FPERIOD_OVERRIDE=FY","FILING_STATUS=OR","EQY_CONSOLIDATED=Y","FA_ADJUSTED=GAAP","Sort=A","Dates=H","DateFormat=P","Fill=—","Direction=H","UseDPDF=Y")</f>
        <v>#NAME?</v>
      </c>
      <c r="CZ378" s="1" t="e">
        <f ca="1">_xll.BDH($C$378,"INVENT_DAYS","FY 2014","FY 2014","Currency=INR","Period=FY","BEST_FPERIOD_OVERRIDE=FY","FILING_STATUS=OR","EQY_CONSOLIDATED=Y","FA_ADJUSTED=GAAP","Sort=A","Dates=H","DateFormat=P","Fill=—","Direction=H","UseDPDF=Y")</f>
        <v>#NAME?</v>
      </c>
      <c r="DA378" s="3" t="e">
        <f ca="1">_xll.BDH($C$378,"ACCOUNTS_PAYABLE_TURNOVER","FY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78" s="1" t="e">
        <f ca="1">_xll.BDH($C$378,"ACCOUNTS_PAYABLE_TURNOVER_DAYS","FY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78" s="3" t="e">
        <f ca="1">_xll.BDH($C$378,"CASH_CONVERSION_CYCLE","FY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78" s="3" t="e">
        <f ca="1">_xll.BDH($C$378,"INV_TO_CASH_DAYS","FY 2014","FY 2014","Currency=INR","Period=FY","BEST_FPERIOD_OVERRIDE=FY","FILING_STATUS=OR","EQY_CONSOLIDATED=Y","FA_ADJUSTED=GAAP","Sort=A","Dates=H","DateFormat=P","Fill=—","Direction=H","UseDPDF=Y")</f>
        <v>#NAME?</v>
      </c>
      <c r="DE378" s="4" t="e">
        <f ca="1">_xll.BDH($C$378,"BS_INVENTORIES","FY 2014","FY 2014","Currency=INR","Period=FY","BEST_FPERIOD_OVERRIDE=FY","FILING_STATUS=OR","EQY_CONSOLIDATED=Y","SCALING_FORMAT=MLN","Sort=A","Dates=H","DateFormat=P","Fill=—","Direction=H","UseDPDF=Y")</f>
        <v>#NAME?</v>
      </c>
      <c r="DF378" s="2" t="e">
        <f ca="1">_xll.BDH($C$378,"INVTRY_RAW_MATERIALS","FY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78" s="2" t="e">
        <f ca="1">_xll.BDH($C$378,"INVTRY_IN_PROGRESS","FY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78" s="2" t="e">
        <f ca="1">_xll.BDH($C$378,"INVTRY_FINISHED_GOODS","FY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78" s="2" t="e">
        <f ca="1">_xll.BDH($C$378,"BS_OTHER_INV","FY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79" spans="1:113" x14ac:dyDescent="0.3">
      <c r="A379" s="6"/>
      <c r="B379" s="6"/>
      <c r="C379" s="6"/>
      <c r="D379" s="6"/>
      <c r="E379" t="s">
        <v>4</v>
      </c>
      <c r="F379" t="e">
        <f ca="1">_xll.BDH($C$378,"RETURN_COM_EQY","FQ1 2014","FQ1 2014","Currency=INR","Period=FQ","BEST_FPERIOD_OVERRIDE=FQ","FILING_STATUS=OR","EQY_CONSOLIDATED=Y","FA_ADJUSTED=GAAP","Sort=A","Dates=H","DateFormat=P","Fill=—","Direction=H","UseDPDF=Y")</f>
        <v>#NAME?</v>
      </c>
      <c r="G379" t="e">
        <f ca="1">_xll.BDH($C$378,"RETURN_ON_ASSET","FQ1 2014","FQ1 2014","Currency=INR","Period=FQ","BEST_FPERIOD_OVERRIDE=FQ","FILING_STATUS=OR","EQY_CONSOLIDATED=Y","FA_ADJUSTED=GAAP","Sort=A","Dates=H","DateFormat=P","Fill=—","Direction=H","UseDPDF=Y")</f>
        <v>#NAME?</v>
      </c>
      <c r="H379" t="e">
        <f ca="1">_xll.BDH($C$378,"RETURN_ON_CAP","FQ1 2014","FQ1 2014","Currency=INR","Period=FQ","BEST_FPERIOD_OVERRIDE=FQ","FILING_STATUS=OR","EQY_CONSOLIDATED=Y","FA_ADJUSTED=GAAP","Sort=A","Dates=H","DateFormat=P","Fill=—","Direction=H","UseDPDF=Y")</f>
        <v>#NAME?</v>
      </c>
      <c r="I379" t="e">
        <f ca="1">_xll.BDH($C$378,"RETURN_ON_INV_CAPITAL","FQ1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79" t="e">
        <f ca="1">_xll.BDH($C$378,"EBITDA_TO_REVENUE","FQ1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379" t="e">
        <f ca="1">_xll.BDH($C$378,"OPER_MARGIN","FQ1 2014","FQ1 2014","Currency=INR","Period=FQ","BEST_FPERIOD_OVERRIDE=FQ","FILING_STATUS=OR","EQY_CONSOLIDATED=Y","FA_ADJUSTED=GAAP","Sort=A","Dates=H","DateFormat=P","Fill=—","Direction=H","UseDPDF=Y")</f>
        <v>#NAME?</v>
      </c>
      <c r="L379" t="e">
        <f ca="1">_xll.BDH($C$378,"INCREMENTAL_OPERATING_MARGIN","FQ1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79" t="e">
        <f ca="1">_xll.BDH($C$378,"PRETAX_INC_TO_NET_SALES","FQ1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79" t="e">
        <f ca="1">_xll.BDH($C$378,"INC_BEF_XO_ITEMS_TO_NET_SALES","FQ1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79" t="e">
        <f ca="1">_xll.BDH($C$378,"PROF_MARGIN","FQ1 2014","FQ1 2014","Currency=INR","Period=FQ","BEST_FPERIOD_OVERRIDE=FQ","FILING_STATUS=OR","EQY_CONSOLIDATED=Y","FA_ADJUSTED=GAAP","Sort=A","Dates=H","DateFormat=P","Fill=—","Direction=H","UseDPDF=Y")</f>
        <v>#NAME?</v>
      </c>
      <c r="P379" t="e">
        <f ca="1">_xll.BDH($C$378,"NET_INCOME_TO_COMMON_MARGIN","FQ1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79" t="e">
        <f ca="1">_xll.BDH($C$378,"EFF_TAX_RATE","FQ1 2014","FQ1 2014","Currency=INR","Period=FQ","BEST_FPERIOD_OVERRIDE=FQ","FILING_STATUS=OR","EQY_CONSOLIDATED=Y","FA_ADJUSTED=GAAP","Sort=A","Dates=H","DateFormat=P","Fill=—","Direction=H","UseDPDF=Y")</f>
        <v>#NAME?</v>
      </c>
      <c r="R379" t="e">
        <f ca="1">_xll.BDH($C$378,"DVD_PAYOUT_RATIO","FQ1 2014","FQ1 2014","Currency=INR","Period=FQ","BEST_FPERIOD_OVERRIDE=FQ","FILING_STATUS=OR","EQY_CONSOLIDATED=Y","FA_ADJUSTED=GAAP","Sort=A","Dates=H","DateFormat=P","Fill=—","Direction=H","UseDPDF=Y")</f>
        <v>#NAME?</v>
      </c>
      <c r="S379" t="e">
        <f ca="1">_xll.BDH($C$378,"SUSTAIN_GROWTH_RT","FQ1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379" s="1" t="e">
        <f ca="1">_xll.BDH($C$378,"SALES_GROWTH","FQ1 2014","FQ1 2014","Currency=INR","Period=FQ","BEST_FPERIOD_OVERRIDE=FQ","FILING_STATUS=OR","EQY_CONSOLIDATED=Y","FA_ADJUSTED=GAAP","Sort=A","Dates=H","DateFormat=P","Fill=—","Direction=H","UseDPDF=Y")</f>
        <v>#NAME?</v>
      </c>
      <c r="U379" s="1" t="e">
        <f ca="1">_xll.BDH($C$378,"EBITDA_GROWTH","FQ1 2014","FQ1 2014","Currency=INR","Period=FQ","BEST_FPERIOD_OVERRIDE=FQ","FILING_STATUS=OR","EQY_CONSOLIDATED=Y","FA_ADJUSTED=GAAP","Sort=A","Dates=H","DateFormat=P","Fill=—","Direction=H","UseDPDF=Y")</f>
        <v>#NAME?</v>
      </c>
      <c r="V379" s="1" t="e">
        <f ca="1">_xll.BDH($C$378,"OPER_INC_GROWTH","FQ1 2014","FQ1 2014","Currency=INR","Period=FQ","BEST_FPERIOD_OVERRIDE=FQ","FILING_STATUS=OR","EQY_CONSOLIDATED=Y","FA_ADJUSTED=GAAP","Sort=A","Dates=H","DateFormat=P","Fill=—","Direction=H","UseDPDF=Y")</f>
        <v>#NAME?</v>
      </c>
      <c r="W379" s="1" t="e">
        <f ca="1">_xll.BDH($C$378,"EARN_FOR_COM_GROWTH","FQ1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79" s="1" t="e">
        <f ca="1">_xll.BDH($C$378,"DILUTED_EPS_AFT_XO_ITEMS_GROWTH","FQ1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79" s="1" t="e">
        <f ca="1">_xll.BDH($C$378,"DIVIDEND_PER_SHARE_1_YEAR_GROWTH","FQ1 2014","FQ1 2014","Currency=INR","Period=FQ","BEST_FPERIOD_OVERRIDE=FQ","FILING_STATUS=OR","EQY_CONSOLIDATED=Y","Sort=A","Dates=H","DateFormat=P","Fill=—","Direction=H","UseDPDF=Y")</f>
        <v>#NAME?</v>
      </c>
      <c r="Z379" s="1" t="e">
        <f ca="1">_xll.BDH($C$378,"ACCOUNTS_RECEIVABLE_GROWTH","FQ1 2014","FQ1 2014","Currency=INR","Period=FQ","BEST_FPERIOD_OVERRIDE=FQ","FILING_STATUS=OR","EQY_CONSOLIDATED=Y","Sort=A","Dates=H","DateFormat=P","Fill=—","Direction=H","UseDPDF=Y")</f>
        <v>#NAME?</v>
      </c>
      <c r="AA379" s="1" t="e">
        <f ca="1">_xll.BDH($C$378,"INVENTORY_GROWTH","FQ1 2014","FQ1 2014","Currency=INR","Period=FQ","BEST_FPERIOD_OVERRIDE=FQ","FILING_STATUS=OR","EQY_CONSOLIDATED=Y","Sort=A","Dates=H","DateFormat=P","Fill=—","Direction=H","UseDPDF=Y")</f>
        <v>#NAME?</v>
      </c>
      <c r="AB379" s="1" t="e">
        <f ca="1">_xll.BDH($C$378,"NET_FIXED_ASSETS_1_YEAR_GROWTH","FQ1 2014","FQ1 2014","Currency=INR","Period=FQ","BEST_FPERIOD_OVERRIDE=FQ","FILING_STATUS=OR","EQY_CONSOLIDATED=Y","Sort=A","Dates=H","DateFormat=P","Fill=—","Direction=H","UseDPDF=Y")</f>
        <v>#NAME?</v>
      </c>
      <c r="AC379" s="1" t="e">
        <f ca="1">_xll.BDH($C$378,"ASSET_GROWTH","FQ1 2014","FQ1 2014","Currency=INR","Period=FQ","BEST_FPERIOD_OVERRIDE=FQ","FILING_STATUS=OR","EQY_CONSOLIDATED=Y","Sort=A","Dates=H","DateFormat=P","Fill=—","Direction=H","UseDPDF=Y")</f>
        <v>#NAME?</v>
      </c>
      <c r="AD379" s="1" t="e">
        <f ca="1">_xll.BDH($C$378,"MODIFIED_WORK_CAP_GROWTH","FQ1 2014","FQ1 2014","Currency=INR","Period=FQ","BEST_FPERIOD_OVERRIDE=FQ","FILING_STATUS=OR","EQY_CONSOLIDATED=Y","Sort=A","Dates=H","DateFormat=P","Fill=—","Direction=H","UseDPDF=Y")</f>
        <v>#NAME?</v>
      </c>
      <c r="AE379" s="1" t="e">
        <f ca="1">_xll.BDH($C$378,"WORK_CAP_GROWTH","FQ1 2014","FQ1 2014","Currency=INR","Period=FQ","BEST_FPERIOD_OVERRIDE=FQ","FILING_STATUS=OR","EQY_CONSOLIDATED=Y","Sort=A","Dates=H","DateFormat=P","Fill=—","Direction=H","UseDPDF=Y")</f>
        <v>#NAME?</v>
      </c>
      <c r="AF379" s="1" t="e">
        <f ca="1">_xll.BDH($C$378,"ACCOUNTS_PAYABLE_GROWTH_1YR","FQ1 2014","FQ1 2014","Currency=INR","Period=FQ","BEST_FPERIOD_OVERRIDE=FQ","FILING_STATUS=OR","EQY_CONSOLIDATED=Y","Sort=A","Dates=H","DateFormat=P","Fill=—","Direction=H","UseDPDF=Y")</f>
        <v>#NAME?</v>
      </c>
      <c r="AG379" s="1" t="e">
        <f ca="1">_xll.BDH($C$378,"SHORT_TERM_DEBT_1_YEAR_GROWTH","FQ1 2014","FQ1 2014","Currency=INR","Period=FQ","BEST_FPERIOD_OVERRIDE=FQ","FILING_STATUS=OR","EQY_CONSOLIDATED=Y","Sort=A","Dates=H","DateFormat=P","Fill=—","Direction=H","UseDPDF=Y")</f>
        <v>#NAME?</v>
      </c>
      <c r="AH379" s="1" t="e">
        <f ca="1">_xll.BDH($C$378,"TOTAL_DEBT_1_YEAR_GROWTH","FQ1 2014","FQ1 2014","Currency=INR","Period=FQ","BEST_FPERIOD_OVERRIDE=FQ","FILING_STATUS=OR","EQY_CONSOLIDATED=Y","Sort=A","Dates=H","DateFormat=P","Fill=—","Direction=H","UseDPDF=Y")</f>
        <v>#NAME?</v>
      </c>
      <c r="AI379" s="1" t="e">
        <f ca="1">_xll.BDH($C$378,"TOTAL_EQUITY_1_YEAR_GROWTH","FQ1 2014","FQ1 2014","Currency=INR","Period=FQ","BEST_FPERIOD_OVERRIDE=FQ","FILING_STATUS=OR","EQY_CONSOLIDATED=Y","Sort=A","Dates=H","DateFormat=P","Fill=—","Direction=H","UseDPDF=Y")</f>
        <v>#NAME?</v>
      </c>
      <c r="AJ379" s="1" t="e">
        <f ca="1">_xll.BDH($C$378,"GROWTH_IN_CAP","FQ1 2014","FQ1 2014","Currency=INR","Period=FQ","BEST_FPERIOD_OVERRIDE=FQ","FILING_STATUS=OR","EQY_CONSOLIDATED=Y","Sort=A","Dates=H","DateFormat=P","Fill=—","Direction=H","UseDPDF=Y")</f>
        <v>#NAME?</v>
      </c>
      <c r="AK379" s="1" t="e">
        <f ca="1">_xll.BDH($C$378,"BVPS_GROWTH","FQ1 2014","FQ1 2014","Currency=INR","Period=FQ","BEST_FPERIOD_OVERRIDE=FQ","FILING_STATUS=OR","EQY_CONSOLIDATED=Y","Sort=A","Dates=H","DateFormat=P","Fill=—","Direction=H","UseDPDF=Y")</f>
        <v>#NAME?</v>
      </c>
      <c r="AL379" s="1" t="e">
        <f ca="1">_xll.BDH($C$378,"CASH_FLOW_GROWTH","FQ1 2014","FQ1 2014","Currency=INR","Period=FQ","BEST_FPERIOD_OVERRIDE=FQ","FILING_STATUS=OR","EQY_CONSOLIDATED=Y","Sort=A","Dates=H","DateFormat=P","Fill=—","Direction=H","UseDPDF=Y")</f>
        <v>#NAME?</v>
      </c>
      <c r="AM379" s="1" t="e">
        <f ca="1">_xll.BDH($C$378,"GEO_GROW_NET_SALES","FQ1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79" s="1" t="e">
        <f ca="1">_xll.BDH($C$378,"GEO_GROW_EBITDA","FQ1 2014","FQ1 2014","Currency=INR","Period=FQ","BEST_FPERIOD_OVERRIDE=FQ","FILING_STATUS=OR","EQY_CONSOLIDATED=Y","FA_ADJUSTED=GAAP","Sort=A","Dates=H","DateFormat=P","Fill=—","Direction=H","UseDPDF=Y")</f>
        <v>#NAME?</v>
      </c>
      <c r="AO379" s="1" t="e">
        <f ca="1">_xll.BDH($C$378,"GEO_GROW_OPER_INC","FQ1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79" s="1" t="e">
        <f ca="1">_xll.BDH($C$378,"NET_INCOME_TO_COMMON_5_YR_GROWTH","FQ1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79" s="1" t="e">
        <f ca="1">_xll.BDH($C$378,"5Y_GEO_GROWTH_DILUTED_EPS","FQ1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79" s="1" t="e">
        <f ca="1">_xll.BDH($C$378,"GEO_GROW_DVD_PER_SH","FQ1 2014","FQ1 2014","Currency=INR","Period=FQ","BEST_FPERIOD_OVERRIDE=FQ","FILING_STATUS=OR","EQY_CONSOLIDATED=Y","Sort=A","Dates=H","DateFormat=P","Fill=—","Direction=H","UseDPDF=Y")</f>
        <v>#NAME?</v>
      </c>
      <c r="AS379" s="1" t="e">
        <f ca="1">_xll.BDH($C$378,"ACCOUNTS_RECEIVABLE_5_YR_GROWTH","FQ1 2014","FQ1 2014","Currency=INR","Period=FQ","BEST_FPERIOD_OVERRIDE=FQ","FILING_STATUS=OR","EQY_CONSOLIDATED=Y","Sort=A","Dates=H","DateFormat=P","Fill=—","Direction=H","UseDPDF=Y")</f>
        <v>#NAME?</v>
      </c>
      <c r="AT379" s="1" t="e">
        <f ca="1">_xll.BDH($C$378,"INVENTORY_5_YEAR_GROWTH","FQ1 2014","FQ1 2014","Currency=INR","Period=FQ","BEST_FPERIOD_OVERRIDE=FQ","FILING_STATUS=OR","EQY_CONSOLIDATED=Y","Sort=A","Dates=H","DateFormat=P","Fill=—","Direction=H","UseDPDF=Y")</f>
        <v>#NAME?</v>
      </c>
      <c r="AU379" s="1" t="e">
        <f ca="1">_xll.BDH($C$378,"NET_FIXED_ASSETS_5_YEAR_GROWTH","FQ1 2014","FQ1 2014","Currency=INR","Period=FQ","BEST_FPERIOD_OVERRIDE=FQ","FILING_STATUS=OR","EQY_CONSOLIDATED=Y","Sort=A","Dates=H","DateFormat=P","Fill=—","Direction=H","UseDPDF=Y")</f>
        <v>#NAME?</v>
      </c>
      <c r="AV379" s="1" t="e">
        <f ca="1">_xll.BDH($C$378,"GEO_GROW_TOT_ASSET","FQ1 2014","FQ1 2014","Currency=INR","Period=FQ","BEST_FPERIOD_OVERRIDE=FQ","FILING_STATUS=OR","EQY_CONSOLIDATED=Y","Sort=A","Dates=H","DateFormat=P","Fill=—","Direction=H","UseDPDF=Y")</f>
        <v>#NAME?</v>
      </c>
      <c r="AW379" s="1" t="e">
        <f ca="1">_xll.BDH($C$378,"MODIFIED_WORKING_CPTL_5YR_GRWTH","FQ1 2014","FQ1 2014","Currency=INR","Period=FQ","BEST_FPERIOD_OVERRIDE=FQ","FILING_STATUS=OR","EQY_CONSOLIDATED=Y","Sort=A","Dates=H","DateFormat=P","Fill=—","Direction=H","UseDPDF=Y")</f>
        <v>#NAME?</v>
      </c>
      <c r="AX379" s="1" t="e">
        <f ca="1">_xll.BDH($C$378,"WORKING_CAPITAL_5_YEAR_GROWTH","FQ1 2014","FQ1 2014","Currency=INR","Period=FQ","BEST_FPERIOD_OVERRIDE=FQ","FILING_STATUS=OR","EQY_CONSOLIDATED=Y","Sort=A","Dates=H","DateFormat=P","Fill=—","Direction=H","UseDPDF=Y")</f>
        <v>#NAME?</v>
      </c>
      <c r="AY379" s="1" t="e">
        <f ca="1">_xll.BDH($C$378,"ACCOUNTS_PAYABLE_5_YEAR_GROWTH","FQ1 2014","FQ1 2014","Currency=INR","Period=FQ","BEST_FPERIOD_OVERRIDE=FQ","FILING_STATUS=OR","EQY_CONSOLIDATED=Y","Sort=A","Dates=H","DateFormat=P","Fill=—","Direction=H","UseDPDF=Y")</f>
        <v>#NAME?</v>
      </c>
      <c r="AZ379" s="1" t="e">
        <f ca="1">_xll.BDH($C$378,"SHORT_TERM_DEBT_5_YEAR_GROWTH","FQ1 2014","FQ1 2014","Currency=INR","Period=FQ","BEST_FPERIOD_OVERRIDE=FQ","FILING_STATUS=OR","EQY_CONSOLIDATED=Y","Sort=A","Dates=H","DateFormat=P","Fill=—","Direction=H","UseDPDF=Y")</f>
        <v>#NAME?</v>
      </c>
      <c r="BA379" s="1" t="e">
        <f ca="1">_xll.BDH($C$378,"TOTAL_DEBT_5_YEAR_GROWTH","FQ1 2014","FQ1 2014","Currency=INR","Period=FQ","BEST_FPERIOD_OVERRIDE=FQ","FILING_STATUS=OR","EQY_CONSOLIDATED=Y","Sort=A","Dates=H","DateFormat=P","Fill=—","Direction=H","UseDPDF=Y")</f>
        <v>#NAME?</v>
      </c>
      <c r="BB379" s="1" t="e">
        <f ca="1">_xll.BDH($C$378,"GEO_GROW_TOT_SHRHLDR_EQY","FQ1 2014","FQ1 2014","Currency=INR","Period=FQ","BEST_FPERIOD_OVERRIDE=FQ","FILING_STATUS=OR","EQY_CONSOLIDATED=Y","Sort=A","Dates=H","DateFormat=P","Fill=—","Direction=H","UseDPDF=Y")</f>
        <v>#NAME?</v>
      </c>
      <c r="BC379" s="1" t="e">
        <f ca="1">_xll.BDH($C$378,"TOTAL_CAPITAL_5_YEAR_GROWTH","FQ1 2014","FQ1 2014","Currency=INR","Period=FQ","BEST_FPERIOD_OVERRIDE=FQ","FILING_STATUS=OR","EQY_CONSOLIDATED=Y","Sort=A","Dates=H","DateFormat=P","Fill=—","Direction=H","UseDPDF=Y")</f>
        <v>#NAME?</v>
      </c>
      <c r="BD379" s="1" t="e">
        <f ca="1">_xll.BDH($C$378,"GEO_GROW_BOOK_VAL","FQ1 2014","FQ1 2014","Currency=INR","Period=FQ","BEST_FPERIOD_OVERRIDE=FQ","FILING_STATUS=OR","EQY_CONSOLIDATED=Y","Sort=A","Dates=H","DateFormat=P","Fill=—","Direction=H","UseDPDF=Y")</f>
        <v>#NAME?</v>
      </c>
      <c r="BE379" s="1" t="e">
        <f ca="1">_xll.BDH($C$378,"GEO_GROW_CASH_OPER_ACT","FQ1 2014","FQ1 2014","Currency=INR","Period=FQ","BEST_FPERIOD_OVERRIDE=FQ","FILING_STATUS=OR","EQY_CONSOLIDATED=Y","Sort=A","Dates=H","DateFormat=P","Fill=—","Direction=H","UseDPDF=Y")</f>
        <v>#NAME?</v>
      </c>
      <c r="BF379" s="1" t="e">
        <f ca="1">_xll.BDH($C$378,"REVENUE_SEQUENTIAL_GROWTH","FQ1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79" s="1" t="e">
        <f ca="1">_xll.BDH($C$378,"EBITDA_SEQUENTIAL_GROWTH","FQ1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79" s="1" t="e">
        <f ca="1">_xll.BDH($C$378,"OPERATING_INCOME_SEQ_GROWTH","FQ1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79" s="1" t="e">
        <f ca="1">_xll.BDH($C$378,"NET_INCOME_TO_COMMON_SEQ_GROWTH","FQ1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79" s="1" t="e">
        <f ca="1">_xll.BDH($C$378,"EPS_DILUTED_SEQUENTIAL_GROWTH","FQ1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79" s="1" t="e">
        <f ca="1">_xll.BDH($C$378,"DPS_SEQUENTIAL_GROWTH","FQ1 2014","FQ1 2014","Currency=INR","Period=FQ","BEST_FPERIOD_OVERRIDE=FQ","FILING_STATUS=OR","EQY_CONSOLIDATED=Y","Sort=A","Dates=H","DateFormat=P","Fill=—","Direction=H","UseDPDF=Y")</f>
        <v>#NAME?</v>
      </c>
      <c r="BL379" s="1" t="e">
        <f ca="1">_xll.BDH($C$378,"ACCOUNTS_RECEIVABLE_SEQ_GROWTH","FQ1 2014","FQ1 2014","Currency=INR","Period=FQ","BEST_FPERIOD_OVERRIDE=FQ","FILING_STATUS=OR","EQY_CONSOLIDATED=Y","Sort=A","Dates=H","DateFormat=P","Fill=—","Direction=H","UseDPDF=Y")</f>
        <v>#NAME?</v>
      </c>
      <c r="BM379" s="1" t="e">
        <f ca="1">_xll.BDH($C$378,"INVENTORY_SEQUENTIAL_GROWTH","FQ1 2014","FQ1 2014","Currency=INR","Period=FQ","BEST_FPERIOD_OVERRIDE=FQ","FILING_STATUS=OR","EQY_CONSOLIDATED=Y","Sort=A","Dates=H","DateFormat=P","Fill=—","Direction=H","UseDPDF=Y")</f>
        <v>#NAME?</v>
      </c>
      <c r="BN379" s="1" t="e">
        <f ca="1">_xll.BDH($C$378,"FIXED_ASSETS_SEQUENTIAL_GROWTH","FQ1 2014","FQ1 2014","Currency=INR","Period=FQ","BEST_FPERIOD_OVERRIDE=FQ","FILING_STATUS=OR","EQY_CONSOLIDATED=Y","Sort=A","Dates=H","DateFormat=P","Fill=—","Direction=H","UseDPDF=Y")</f>
        <v>#NAME?</v>
      </c>
      <c r="BO379" s="1" t="e">
        <f ca="1">_xll.BDH($C$378,"TOTAL_ASSETS_SEQUENTIAL_GROWTH","FQ1 2014","FQ1 2014","Currency=INR","Period=FQ","BEST_FPERIOD_OVERRIDE=FQ","FILING_STATUS=OR","EQY_CONSOLIDATED=Y","Sort=A","Dates=H","DateFormat=P","Fill=—","Direction=H","UseDPDF=Y")</f>
        <v>#NAME?</v>
      </c>
      <c r="BP379" s="1" t="e">
        <f ca="1">_xll.BDH($C$378,"MODIFIED_WORKING_CPTL_SEQ_GRWTH","FQ1 2014","FQ1 2014","Currency=INR","Period=FQ","BEST_FPERIOD_OVERRIDE=FQ","FILING_STATUS=OR","EQY_CONSOLIDATED=Y","Sort=A","Dates=H","DateFormat=P","Fill=—","Direction=H","UseDPDF=Y")</f>
        <v>#NAME?</v>
      </c>
      <c r="BQ379" s="1" t="e">
        <f ca="1">_xll.BDH($C$378,"WORKING_CAPITAL_SEQ_GROWTH","FQ1 2014","FQ1 2014","Currency=INR","Period=FQ","BEST_FPERIOD_OVERRIDE=FQ","FILING_STATUS=OR","EQY_CONSOLIDATED=Y","Sort=A","Dates=H","DateFormat=P","Fill=—","Direction=H","UseDPDF=Y")</f>
        <v>#NAME?</v>
      </c>
      <c r="BR379" s="1" t="e">
        <f ca="1">_xll.BDH($C$378,"ACCOUNTS_PAYABLE_SEQ_GROWTH","FQ1 2014","FQ1 2014","Currency=INR","Period=FQ","BEST_FPERIOD_OVERRIDE=FQ","FILING_STATUS=OR","EQY_CONSOLIDATED=Y","Sort=A","Dates=H","DateFormat=P","Fill=—","Direction=H","UseDPDF=Y")</f>
        <v>#NAME?</v>
      </c>
      <c r="BS379" s="1" t="e">
        <f ca="1">_xll.BDH($C$378,"ST_DEBT_SEQUENTIAL_GROWTH","FQ1 2014","FQ1 2014","Currency=INR","Period=FQ","BEST_FPERIOD_OVERRIDE=FQ","FILING_STATUS=OR","EQY_CONSOLIDATED=Y","Sort=A","Dates=H","DateFormat=P","Fill=—","Direction=H","UseDPDF=Y")</f>
        <v>#NAME?</v>
      </c>
      <c r="BT379" s="1" t="e">
        <f ca="1">_xll.BDH($C$378,"TOTAL_DEBT_SEQUENTIAL_GROWTH","FQ1 2014","FQ1 2014","Currency=INR","Period=FQ","BEST_FPERIOD_OVERRIDE=FQ","FILING_STATUS=OR","EQY_CONSOLIDATED=Y","Sort=A","Dates=H","DateFormat=P","Fill=—","Direction=H","UseDPDF=Y")</f>
        <v>#NAME?</v>
      </c>
      <c r="BU379" s="1" t="e">
        <f ca="1">_xll.BDH($C$378,"TOTAL_EQUITY_SEQUENTIAL_GROWTH","FQ1 2014","FQ1 2014","Currency=INR","Period=FQ","BEST_FPERIOD_OVERRIDE=FQ","FILING_STATUS=OR","EQY_CONSOLIDATED=Y","Sort=A","Dates=H","DateFormat=P","Fill=—","Direction=H","UseDPDF=Y")</f>
        <v>#NAME?</v>
      </c>
      <c r="BV379" s="1" t="e">
        <f ca="1">_xll.BDH($C$378,"TOTAL_CAPITAL_SEQUENTIAL_GROWTH","FQ1 2014","FQ1 2014","Currency=INR","Period=FQ","BEST_FPERIOD_OVERRIDE=FQ","FILING_STATUS=OR","EQY_CONSOLIDATED=Y","Sort=A","Dates=H","DateFormat=P","Fill=—","Direction=H","UseDPDF=Y")</f>
        <v>#NAME?</v>
      </c>
      <c r="BW379" s="1" t="e">
        <f ca="1">_xll.BDH($C$378,"BPS_SEQUENTIAL_GROWTH","FQ1 2014","FQ1 2014","Currency=INR","Period=FQ","BEST_FPERIOD_OVERRIDE=FQ","FILING_STATUS=OR","EQY_CONSOLIDATED=Y","Sort=A","Dates=H","DateFormat=P","Fill=—","Direction=H","UseDPDF=Y")</f>
        <v>#NAME?</v>
      </c>
      <c r="BX379" s="1" t="e">
        <f ca="1">_xll.BDH($C$378,"CFO_SEQUENTIAL_GROWTH","FQ1 2014","FQ1 2014","Currency=INR","Period=FQ","BEST_FPERIOD_OVERRIDE=FQ","FILING_STATUS=OR","EQY_CONSOLIDATED=Y","Sort=A","Dates=H","DateFormat=P","Fill=—","Direction=H","UseDPDF=Y")</f>
        <v>#NAME?</v>
      </c>
      <c r="BY379" s="2" t="e">
        <f ca="1">_xll.BDH($C$378,"SHORT_AND_LONG_TERM_DEBT","FQ1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79" s="2" t="e">
        <f ca="1">_xll.BDH($C$378,"BS_ST_BORROW","FQ1 2014","FQ1 2014","Currency=INR","Period=FQ","BEST_FPERIOD_OVERRIDE=FQ","FILING_STATUS=OR","EQY_CONSOLIDATED=Y","SCALING_FORMAT=MLN","Sort=A","Dates=H","DateFormat=P","Fill=—","Direction=H","UseDPDF=Y")</f>
        <v>#NAME?</v>
      </c>
      <c r="CA379" s="2" t="e">
        <f ca="1">_xll.BDH($C$378,"BS_LT_BORROW","FQ1 2014","FQ1 2014","Currency=INR","Period=FQ","BEST_FPERIOD_OVERRIDE=FQ","FILING_STATUS=OR","EQY_CONSOLIDATED=Y","SCALING_FORMAT=MLN","Sort=A","Dates=H","DateFormat=P","Fill=—","Direction=H","UseDPDF=Y")</f>
        <v>#NAME?</v>
      </c>
      <c r="CB379" s="1" t="e">
        <f ca="1">_xll.BDH($C$378,"TOT_DEBT_TO_EBITDA","FQ1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79" s="1" t="e">
        <f ca="1">_xll.BDH($C$378,"NET_DEBT_TO_EBITDA","FQ1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79" s="1" t="e">
        <f ca="1">_xll.BDH($C$378,"TOTAL_DEBT_TO_EBIT","FQ1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79" s="1" t="e">
        <f ca="1">_xll.BDH($C$378,"NET_DEBT_TO_EBIT","FQ1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379" s="1" t="e">
        <f ca="1">_xll.BDH($C$378,"EBITDA_TO_INTEREST_EXPN","FQ1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79" s="1" t="e">
        <f ca="1">_xll.BDH($C$378,"COM_EQY_TO_TOT_ASSET","FQ1 2014","FQ1 2014","Currency=INR","Period=FQ","BEST_FPERIOD_OVERRIDE=FQ","FILING_STATUS=OR","EQY_CONSOLIDATED=Y","Sort=A","Dates=H","DateFormat=P","Fill=—","Direction=H","UseDPDF=Y")</f>
        <v>#NAME?</v>
      </c>
      <c r="CH379" s="1" t="e">
        <f ca="1">_xll.BDH($C$378,"LT_DEBT_TO_TOT_EQY","FQ1 2014","FQ1 2014","Currency=INR","Period=FQ","BEST_FPERIOD_OVERRIDE=FQ","FILING_STATUS=OR","EQY_CONSOLIDATED=Y","Sort=A","Dates=H","DateFormat=P","Fill=—","Direction=H","UseDPDF=Y")</f>
        <v>#NAME?</v>
      </c>
      <c r="CI379" s="1" t="e">
        <f ca="1">_xll.BDH($C$378,"LT_DEBT_TO_TOT_CAP","FQ1 2014","FQ1 2014","Currency=INR","Period=FQ","BEST_FPERIOD_OVERRIDE=FQ","FILING_STATUS=OR","EQY_CONSOLIDATED=Y","Sort=A","Dates=H","DateFormat=P","Fill=—","Direction=H","UseDPDF=Y")</f>
        <v>#NAME?</v>
      </c>
      <c r="CJ379" s="1" t="e">
        <f ca="1">_xll.BDH($C$378,"LT_DEBT_TO_TOT_ASSET","FQ1 2014","FQ1 2014","Currency=INR","Period=FQ","BEST_FPERIOD_OVERRIDE=FQ","FILING_STATUS=OR","EQY_CONSOLIDATED=Y","Sort=A","Dates=H","DateFormat=P","Fill=—","Direction=H","UseDPDF=Y")</f>
        <v>#NAME?</v>
      </c>
      <c r="CK379" s="1" t="e">
        <f ca="1">_xll.BDH($C$378,"TOT_DEBT_TO_TOT_EQY","FQ1 2014","FQ1 2014","Currency=INR","Period=FQ","BEST_FPERIOD_OVERRIDE=FQ","FILING_STATUS=OR","EQY_CONSOLIDATED=Y","Sort=A","Dates=H","DateFormat=P","Fill=—","Direction=H","UseDPDF=Y")</f>
        <v>#NAME?</v>
      </c>
      <c r="CL379" s="1" t="e">
        <f ca="1">_xll.BDH($C$378,"TOT_DEBT_TO_TOT_CAP","FQ1 2014","FQ1 2014","Currency=INR","Period=FQ","BEST_FPERIOD_OVERRIDE=FQ","FILING_STATUS=OR","EQY_CONSOLIDATED=Y","Sort=A","Dates=H","DateFormat=P","Fill=—","Direction=H","UseDPDF=Y")</f>
        <v>#NAME?</v>
      </c>
      <c r="CM379" s="1" t="e">
        <f ca="1">_xll.BDH($C$378,"TOT_DEBT_TO_TOT_ASSET","FQ1 2014","FQ1 2014","Currency=INR","Period=FQ","BEST_FPERIOD_OVERRIDE=FQ","FILING_STATUS=OR","EQY_CONSOLIDATED=Y","Sort=A","Dates=H","DateFormat=P","Fill=—","Direction=H","UseDPDF=Y")</f>
        <v>#NAME?</v>
      </c>
      <c r="CN379" s="1" t="e">
        <f ca="1">_xll.BDH($C$378,"NET_DEBT_TO_SHRHLDR_EQTY","FQ1 2014","FQ1 2014","Currency=INR","Period=FQ","BEST_FPERIOD_OVERRIDE=FQ","FILING_STATUS=OR","EQY_CONSOLIDATED=Y","Sort=A","Dates=H","DateFormat=P","Fill=—","Direction=H","UseDPDF=Y")</f>
        <v>#NAME?</v>
      </c>
      <c r="CO379" s="1" t="e">
        <f ca="1">_xll.BDH($C$378,"NET_DEBT_%_CAPITAL","FQ1 2014","FQ1 2014","Currency=INR","Period=FQ","BEST_FPERIOD_OVERRIDE=FQ","FILING_STATUS=OR","EQY_CONSOLIDATED=Y","Sort=A","Dates=H","DateFormat=P","Fill=—","Direction=H","UseDPDF=Y")</f>
        <v>#NAME?</v>
      </c>
      <c r="CP379" s="2" t="e">
        <f ca="1">_xll.BDH($C$378,"EBITDA","FQ1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79" s="2" t="e">
        <f ca="1">_xll.BDH($C$378,"EBITDA_AFTER_CAPEX","FQ1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79" s="2" t="e">
        <f ca="1">_xll.BDH($C$378,"IS_OPER_INC","FQ1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79" s="1" t="e">
        <f ca="1">_xll.BDH($C$378,"CASH_RATIO","FQ1 2014","FQ1 2014","Currency=INR","Period=FQ","BEST_FPERIOD_OVERRIDE=FQ","FILING_STATUS=OR","EQY_CONSOLIDATED=Y","Sort=A","Dates=H","DateFormat=P","Fill=—","Direction=H","UseDPDF=Y")</f>
        <v>#NAME?</v>
      </c>
      <c r="CT379" s="1" t="e">
        <f ca="1">_xll.BDH($C$378,"CUR_RATIO","FQ1 2014","FQ1 2014","Currency=INR","Period=FQ","BEST_FPERIOD_OVERRIDE=FQ","FILING_STATUS=OR","EQY_CONSOLIDATED=Y","Sort=A","Dates=H","DateFormat=P","Fill=—","Direction=H","UseDPDF=Y")</f>
        <v>#NAME?</v>
      </c>
      <c r="CU379" s="1" t="e">
        <f ca="1">_xll.BDH($C$378,"QUICK_RATIO","FQ1 2014","FQ1 2014","Currency=INR","Period=FQ","BEST_FPERIOD_OVERRIDE=FQ","FILING_STATUS=OR","EQY_CONSOLIDATED=Y","Sort=A","Dates=H","DateFormat=P","Fill=—","Direction=H","UseDPDF=Y")</f>
        <v>#NAME?</v>
      </c>
      <c r="CV379" s="1" t="e">
        <f ca="1">_xll.BDH($C$378,"ALTMAN_Z_SCORE","FQ1 2014","FQ1 2014","Currency=INR","Period=FQ","BEST_FPERIOD_OVERRIDE=FQ","FILING_STATUS=OR","EQY_CONSOLIDATED=Y","Sort=A","Dates=H","DateFormat=P","Fill=—","Direction=H","UseDPDF=Y")</f>
        <v>#NAME?</v>
      </c>
      <c r="CW379" s="3" t="e">
        <f ca="1">_xll.BDH($C$378,"ACCT_RCV_TURN","FQ1 2014","FQ1 2014","Currency=INR","Period=FQ","BEST_FPERIOD_OVERRIDE=FQ","FILING_STATUS=OR","EQY_CONSOLIDATED=Y","FA_ADJUSTED=GAAP","Sort=A","Dates=H","DateFormat=P","Fill=—","Direction=H","UseDPDF=Y")</f>
        <v>#NAME?</v>
      </c>
      <c r="CX379" s="1" t="e">
        <f ca="1">_xll.BDH($C$378,"ACCT_RCV_DAYS","FQ1 2014","FQ1 2014","Currency=INR","Period=FQ","BEST_FPERIOD_OVERRIDE=FQ","FILING_STATUS=OR","EQY_CONSOLIDATED=Y","FA_ADJUSTED=GAAP","Sort=A","Dates=H","DateFormat=P","Fill=—","Direction=H","UseDPDF=Y")</f>
        <v>#NAME?</v>
      </c>
      <c r="CY379" s="3" t="e">
        <f ca="1">_xll.BDH($C$378,"INVENT_TURN","FQ1 2014","FQ1 2014","Currency=INR","Period=FQ","BEST_FPERIOD_OVERRIDE=FQ","FILING_STATUS=OR","EQY_CONSOLIDATED=Y","FA_ADJUSTED=GAAP","Sort=A","Dates=H","DateFormat=P","Fill=—","Direction=H","UseDPDF=Y")</f>
        <v>#NAME?</v>
      </c>
      <c r="CZ379" s="1" t="e">
        <f ca="1">_xll.BDH($C$378,"INVENT_DAYS","FQ1 2014","FQ1 2014","Currency=INR","Period=FQ","BEST_FPERIOD_OVERRIDE=FQ","FILING_STATUS=OR","EQY_CONSOLIDATED=Y","FA_ADJUSTED=GAAP","Sort=A","Dates=H","DateFormat=P","Fill=—","Direction=H","UseDPDF=Y")</f>
        <v>#NAME?</v>
      </c>
      <c r="DA379" s="3" t="e">
        <f ca="1">_xll.BDH($C$378,"ACCOUNTS_PAYABLE_TURNOVER","FQ1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79" s="1" t="e">
        <f ca="1">_xll.BDH($C$378,"ACCOUNTS_PAYABLE_TURNOVER_DAYS","FQ1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79" s="3" t="e">
        <f ca="1">_xll.BDH($C$378,"CASH_CONVERSION_CYCLE","FQ1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79" s="3" t="e">
        <f ca="1">_xll.BDH($C$378,"INV_TO_CASH_DAYS","FQ1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379" s="4" t="e">
        <f ca="1">_xll.BDH($C$378,"BS_INVENTORIES","FQ1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379" s="2" t="e">
        <f ca="1">_xll.BDH($C$378,"INVTRY_RAW_MATERIALS","FQ1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79" s="2" t="e">
        <f ca="1">_xll.BDH($C$378,"INVTRY_IN_PROGRESS","FQ1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79" s="2" t="e">
        <f ca="1">_xll.BDH($C$378,"INVTRY_FINISHED_GOODS","FQ1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79" s="2" t="e">
        <f ca="1">_xll.BDH($C$378,"BS_OTHER_INV","FQ1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80" spans="1:113" x14ac:dyDescent="0.3">
      <c r="A380" s="6"/>
      <c r="B380" s="6"/>
      <c r="C380" s="6"/>
      <c r="D380" s="6"/>
      <c r="E380" t="s">
        <v>5</v>
      </c>
      <c r="F380" t="e">
        <f ca="1">_xll.BDH($C$378,"RETURN_COM_EQY","FQ2 2014","FQ2 2014","Currency=INR","Period=FQ","BEST_FPERIOD_OVERRIDE=FQ","FILING_STATUS=OR","EQY_CONSOLIDATED=Y","FA_ADJUSTED=GAAP","Sort=A","Dates=H","DateFormat=P","Fill=—","Direction=H","UseDPDF=Y")</f>
        <v>#NAME?</v>
      </c>
      <c r="G380" t="e">
        <f ca="1">_xll.BDH($C$378,"RETURN_ON_ASSET","FQ2 2014","FQ2 2014","Currency=INR","Period=FQ","BEST_FPERIOD_OVERRIDE=FQ","FILING_STATUS=OR","EQY_CONSOLIDATED=Y","FA_ADJUSTED=GAAP","Sort=A","Dates=H","DateFormat=P","Fill=—","Direction=H","UseDPDF=Y")</f>
        <v>#NAME?</v>
      </c>
      <c r="H380" t="e">
        <f ca="1">_xll.BDH($C$378,"RETURN_ON_CAP","FQ2 2014","FQ2 2014","Currency=INR","Period=FQ","BEST_FPERIOD_OVERRIDE=FQ","FILING_STATUS=OR","EQY_CONSOLIDATED=Y","FA_ADJUSTED=GAAP","Sort=A","Dates=H","DateFormat=P","Fill=—","Direction=H","UseDPDF=Y")</f>
        <v>#NAME?</v>
      </c>
      <c r="I380" t="e">
        <f ca="1">_xll.BDH($C$378,"RETURN_ON_INV_CAPITAL","FQ2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80" t="e">
        <f ca="1">_xll.BDH($C$378,"EBITDA_TO_REVENUE","FQ2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380" t="e">
        <f ca="1">_xll.BDH($C$378,"OPER_MARGIN","FQ2 2014","FQ2 2014","Currency=INR","Period=FQ","BEST_FPERIOD_OVERRIDE=FQ","FILING_STATUS=OR","EQY_CONSOLIDATED=Y","FA_ADJUSTED=GAAP","Sort=A","Dates=H","DateFormat=P","Fill=—","Direction=H","UseDPDF=Y")</f>
        <v>#NAME?</v>
      </c>
      <c r="L380" t="e">
        <f ca="1">_xll.BDH($C$378,"INCREMENTAL_OPERATING_MARGIN","FQ2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80" t="e">
        <f ca="1">_xll.BDH($C$378,"PRETAX_INC_TO_NET_SALES","FQ2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80" t="e">
        <f ca="1">_xll.BDH($C$378,"INC_BEF_XO_ITEMS_TO_NET_SALES","FQ2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80" t="e">
        <f ca="1">_xll.BDH($C$378,"PROF_MARGIN","FQ2 2014","FQ2 2014","Currency=INR","Period=FQ","BEST_FPERIOD_OVERRIDE=FQ","FILING_STATUS=OR","EQY_CONSOLIDATED=Y","FA_ADJUSTED=GAAP","Sort=A","Dates=H","DateFormat=P","Fill=—","Direction=H","UseDPDF=Y")</f>
        <v>#NAME?</v>
      </c>
      <c r="P380" t="e">
        <f ca="1">_xll.BDH($C$378,"NET_INCOME_TO_COMMON_MARGIN","FQ2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80" t="e">
        <f ca="1">_xll.BDH($C$378,"EFF_TAX_RATE","FQ2 2014","FQ2 2014","Currency=INR","Period=FQ","BEST_FPERIOD_OVERRIDE=FQ","FILING_STATUS=OR","EQY_CONSOLIDATED=Y","FA_ADJUSTED=GAAP","Sort=A","Dates=H","DateFormat=P","Fill=—","Direction=H","UseDPDF=Y")</f>
        <v>#NAME?</v>
      </c>
      <c r="R380" t="e">
        <f ca="1">_xll.BDH($C$378,"DVD_PAYOUT_RATIO","FQ2 2014","FQ2 2014","Currency=INR","Period=FQ","BEST_FPERIOD_OVERRIDE=FQ","FILING_STATUS=OR","EQY_CONSOLIDATED=Y","FA_ADJUSTED=GAAP","Sort=A","Dates=H","DateFormat=P","Fill=—","Direction=H","UseDPDF=Y")</f>
        <v>#NAME?</v>
      </c>
      <c r="S380" t="e">
        <f ca="1">_xll.BDH($C$378,"SUSTAIN_GROWTH_RT","FQ2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380" s="1" t="e">
        <f ca="1">_xll.BDH($C$378,"SALES_GROWTH","FQ2 2014","FQ2 2014","Currency=INR","Period=FQ","BEST_FPERIOD_OVERRIDE=FQ","FILING_STATUS=OR","EQY_CONSOLIDATED=Y","FA_ADJUSTED=GAAP","Sort=A","Dates=H","DateFormat=P","Fill=—","Direction=H","UseDPDF=Y")</f>
        <v>#NAME?</v>
      </c>
      <c r="U380" s="1" t="e">
        <f ca="1">_xll.BDH($C$378,"EBITDA_GROWTH","FQ2 2014","FQ2 2014","Currency=INR","Period=FQ","BEST_FPERIOD_OVERRIDE=FQ","FILING_STATUS=OR","EQY_CONSOLIDATED=Y","FA_ADJUSTED=GAAP","Sort=A","Dates=H","DateFormat=P","Fill=—","Direction=H","UseDPDF=Y")</f>
        <v>#NAME?</v>
      </c>
      <c r="V380" s="1" t="e">
        <f ca="1">_xll.BDH($C$378,"OPER_INC_GROWTH","FQ2 2014","FQ2 2014","Currency=INR","Period=FQ","BEST_FPERIOD_OVERRIDE=FQ","FILING_STATUS=OR","EQY_CONSOLIDATED=Y","FA_ADJUSTED=GAAP","Sort=A","Dates=H","DateFormat=P","Fill=—","Direction=H","UseDPDF=Y")</f>
        <v>#NAME?</v>
      </c>
      <c r="W380" s="1" t="e">
        <f ca="1">_xll.BDH($C$378,"EARN_FOR_COM_GROWTH","FQ2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80" s="1" t="e">
        <f ca="1">_xll.BDH($C$378,"DILUTED_EPS_AFT_XO_ITEMS_GROWTH","FQ2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80" s="1" t="e">
        <f ca="1">_xll.BDH($C$378,"DIVIDEND_PER_SHARE_1_YEAR_GROWTH","FQ2 2014","FQ2 2014","Currency=INR","Period=FQ","BEST_FPERIOD_OVERRIDE=FQ","FILING_STATUS=OR","EQY_CONSOLIDATED=Y","Sort=A","Dates=H","DateFormat=P","Fill=—","Direction=H","UseDPDF=Y")</f>
        <v>#NAME?</v>
      </c>
      <c r="Z380" s="1" t="e">
        <f ca="1">_xll.BDH($C$378,"ACCOUNTS_RECEIVABLE_GROWTH","FQ2 2014","FQ2 2014","Currency=INR","Period=FQ","BEST_FPERIOD_OVERRIDE=FQ","FILING_STATUS=OR","EQY_CONSOLIDATED=Y","Sort=A","Dates=H","DateFormat=P","Fill=—","Direction=H","UseDPDF=Y")</f>
        <v>#NAME?</v>
      </c>
      <c r="AA380" s="1" t="e">
        <f ca="1">_xll.BDH($C$378,"INVENTORY_GROWTH","FQ2 2014","FQ2 2014","Currency=INR","Period=FQ","BEST_FPERIOD_OVERRIDE=FQ","FILING_STATUS=OR","EQY_CONSOLIDATED=Y","Sort=A","Dates=H","DateFormat=P","Fill=—","Direction=H","UseDPDF=Y")</f>
        <v>#NAME?</v>
      </c>
      <c r="AB380" s="1" t="e">
        <f ca="1">_xll.BDH($C$378,"NET_FIXED_ASSETS_1_YEAR_GROWTH","FQ2 2014","FQ2 2014","Currency=INR","Period=FQ","BEST_FPERIOD_OVERRIDE=FQ","FILING_STATUS=OR","EQY_CONSOLIDATED=Y","Sort=A","Dates=H","DateFormat=P","Fill=—","Direction=H","UseDPDF=Y")</f>
        <v>#NAME?</v>
      </c>
      <c r="AC380" s="1" t="e">
        <f ca="1">_xll.BDH($C$378,"ASSET_GROWTH","FQ2 2014","FQ2 2014","Currency=INR","Period=FQ","BEST_FPERIOD_OVERRIDE=FQ","FILING_STATUS=OR","EQY_CONSOLIDATED=Y","Sort=A","Dates=H","DateFormat=P","Fill=—","Direction=H","UseDPDF=Y")</f>
        <v>#NAME?</v>
      </c>
      <c r="AD380" s="1" t="e">
        <f ca="1">_xll.BDH($C$378,"MODIFIED_WORK_CAP_GROWTH","FQ2 2014","FQ2 2014","Currency=INR","Period=FQ","BEST_FPERIOD_OVERRIDE=FQ","FILING_STATUS=OR","EQY_CONSOLIDATED=Y","Sort=A","Dates=H","DateFormat=P","Fill=—","Direction=H","UseDPDF=Y")</f>
        <v>#NAME?</v>
      </c>
      <c r="AE380" s="1" t="e">
        <f ca="1">_xll.BDH($C$378,"WORK_CAP_GROWTH","FQ2 2014","FQ2 2014","Currency=INR","Period=FQ","BEST_FPERIOD_OVERRIDE=FQ","FILING_STATUS=OR","EQY_CONSOLIDATED=Y","Sort=A","Dates=H","DateFormat=P","Fill=—","Direction=H","UseDPDF=Y")</f>
        <v>#NAME?</v>
      </c>
      <c r="AF380" s="1" t="e">
        <f ca="1">_xll.BDH($C$378,"ACCOUNTS_PAYABLE_GROWTH_1YR","FQ2 2014","FQ2 2014","Currency=INR","Period=FQ","BEST_FPERIOD_OVERRIDE=FQ","FILING_STATUS=OR","EQY_CONSOLIDATED=Y","Sort=A","Dates=H","DateFormat=P","Fill=—","Direction=H","UseDPDF=Y")</f>
        <v>#NAME?</v>
      </c>
      <c r="AG380" s="1" t="e">
        <f ca="1">_xll.BDH($C$378,"SHORT_TERM_DEBT_1_YEAR_GROWTH","FQ2 2014","FQ2 2014","Currency=INR","Period=FQ","BEST_FPERIOD_OVERRIDE=FQ","FILING_STATUS=OR","EQY_CONSOLIDATED=Y","Sort=A","Dates=H","DateFormat=P","Fill=—","Direction=H","UseDPDF=Y")</f>
        <v>#NAME?</v>
      </c>
      <c r="AH380" s="1" t="e">
        <f ca="1">_xll.BDH($C$378,"TOTAL_DEBT_1_YEAR_GROWTH","FQ2 2014","FQ2 2014","Currency=INR","Period=FQ","BEST_FPERIOD_OVERRIDE=FQ","FILING_STATUS=OR","EQY_CONSOLIDATED=Y","Sort=A","Dates=H","DateFormat=P","Fill=—","Direction=H","UseDPDF=Y")</f>
        <v>#NAME?</v>
      </c>
      <c r="AI380" s="1" t="e">
        <f ca="1">_xll.BDH($C$378,"TOTAL_EQUITY_1_YEAR_GROWTH","FQ2 2014","FQ2 2014","Currency=INR","Period=FQ","BEST_FPERIOD_OVERRIDE=FQ","FILING_STATUS=OR","EQY_CONSOLIDATED=Y","Sort=A","Dates=H","DateFormat=P","Fill=—","Direction=H","UseDPDF=Y")</f>
        <v>#NAME?</v>
      </c>
      <c r="AJ380" s="1" t="e">
        <f ca="1">_xll.BDH($C$378,"GROWTH_IN_CAP","FQ2 2014","FQ2 2014","Currency=INR","Period=FQ","BEST_FPERIOD_OVERRIDE=FQ","FILING_STATUS=OR","EQY_CONSOLIDATED=Y","Sort=A","Dates=H","DateFormat=P","Fill=—","Direction=H","UseDPDF=Y")</f>
        <v>#NAME?</v>
      </c>
      <c r="AK380" s="1" t="e">
        <f ca="1">_xll.BDH($C$378,"BVPS_GROWTH","FQ2 2014","FQ2 2014","Currency=INR","Period=FQ","BEST_FPERIOD_OVERRIDE=FQ","FILING_STATUS=OR","EQY_CONSOLIDATED=Y","Sort=A","Dates=H","DateFormat=P","Fill=—","Direction=H","UseDPDF=Y")</f>
        <v>#NAME?</v>
      </c>
      <c r="AL380" s="1" t="e">
        <f ca="1">_xll.BDH($C$378,"CASH_FLOW_GROWTH","FQ2 2014","FQ2 2014","Currency=INR","Period=FQ","BEST_FPERIOD_OVERRIDE=FQ","FILING_STATUS=OR","EQY_CONSOLIDATED=Y","Sort=A","Dates=H","DateFormat=P","Fill=—","Direction=H","UseDPDF=Y")</f>
        <v>#NAME?</v>
      </c>
      <c r="AM380" s="1" t="e">
        <f ca="1">_xll.BDH($C$378,"GEO_GROW_NET_SALES","FQ2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80" s="1" t="e">
        <f ca="1">_xll.BDH($C$378,"GEO_GROW_EBITDA","FQ2 2014","FQ2 2014","Currency=INR","Period=FQ","BEST_FPERIOD_OVERRIDE=FQ","FILING_STATUS=OR","EQY_CONSOLIDATED=Y","FA_ADJUSTED=GAAP","Sort=A","Dates=H","DateFormat=P","Fill=—","Direction=H","UseDPDF=Y")</f>
        <v>#NAME?</v>
      </c>
      <c r="AO380" s="1" t="e">
        <f ca="1">_xll.BDH($C$378,"GEO_GROW_OPER_INC","FQ2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80" s="1" t="e">
        <f ca="1">_xll.BDH($C$378,"NET_INCOME_TO_COMMON_5_YR_GROWTH","FQ2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80" s="1" t="e">
        <f ca="1">_xll.BDH($C$378,"5Y_GEO_GROWTH_DILUTED_EPS","FQ2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80" s="1" t="e">
        <f ca="1">_xll.BDH($C$378,"GEO_GROW_DVD_PER_SH","FQ2 2014","FQ2 2014","Currency=INR","Period=FQ","BEST_FPERIOD_OVERRIDE=FQ","FILING_STATUS=OR","EQY_CONSOLIDATED=Y","Sort=A","Dates=H","DateFormat=P","Fill=—","Direction=H","UseDPDF=Y")</f>
        <v>#NAME?</v>
      </c>
      <c r="AS380" s="1" t="e">
        <f ca="1">_xll.BDH($C$378,"ACCOUNTS_RECEIVABLE_5_YR_GROWTH","FQ2 2014","FQ2 2014","Currency=INR","Period=FQ","BEST_FPERIOD_OVERRIDE=FQ","FILING_STATUS=OR","EQY_CONSOLIDATED=Y","Sort=A","Dates=H","DateFormat=P","Fill=—","Direction=H","UseDPDF=Y")</f>
        <v>#NAME?</v>
      </c>
      <c r="AT380" s="1" t="e">
        <f ca="1">_xll.BDH($C$378,"INVENTORY_5_YEAR_GROWTH","FQ2 2014","FQ2 2014","Currency=INR","Period=FQ","BEST_FPERIOD_OVERRIDE=FQ","FILING_STATUS=OR","EQY_CONSOLIDATED=Y","Sort=A","Dates=H","DateFormat=P","Fill=—","Direction=H","UseDPDF=Y")</f>
        <v>#NAME?</v>
      </c>
      <c r="AU380" s="1" t="e">
        <f ca="1">_xll.BDH($C$378,"NET_FIXED_ASSETS_5_YEAR_GROWTH","FQ2 2014","FQ2 2014","Currency=INR","Period=FQ","BEST_FPERIOD_OVERRIDE=FQ","FILING_STATUS=OR","EQY_CONSOLIDATED=Y","Sort=A","Dates=H","DateFormat=P","Fill=—","Direction=H","UseDPDF=Y")</f>
        <v>#NAME?</v>
      </c>
      <c r="AV380" s="1" t="e">
        <f ca="1">_xll.BDH($C$378,"GEO_GROW_TOT_ASSET","FQ2 2014","FQ2 2014","Currency=INR","Period=FQ","BEST_FPERIOD_OVERRIDE=FQ","FILING_STATUS=OR","EQY_CONSOLIDATED=Y","Sort=A","Dates=H","DateFormat=P","Fill=—","Direction=H","UseDPDF=Y")</f>
        <v>#NAME?</v>
      </c>
      <c r="AW380" s="1" t="e">
        <f ca="1">_xll.BDH($C$378,"MODIFIED_WORKING_CPTL_5YR_GRWTH","FQ2 2014","FQ2 2014","Currency=INR","Period=FQ","BEST_FPERIOD_OVERRIDE=FQ","FILING_STATUS=OR","EQY_CONSOLIDATED=Y","Sort=A","Dates=H","DateFormat=P","Fill=—","Direction=H","UseDPDF=Y")</f>
        <v>#NAME?</v>
      </c>
      <c r="AX380" s="1" t="e">
        <f ca="1">_xll.BDH($C$378,"WORKING_CAPITAL_5_YEAR_GROWTH","FQ2 2014","FQ2 2014","Currency=INR","Period=FQ","BEST_FPERIOD_OVERRIDE=FQ","FILING_STATUS=OR","EQY_CONSOLIDATED=Y","Sort=A","Dates=H","DateFormat=P","Fill=—","Direction=H","UseDPDF=Y")</f>
        <v>#NAME?</v>
      </c>
      <c r="AY380" s="1" t="e">
        <f ca="1">_xll.BDH($C$378,"ACCOUNTS_PAYABLE_5_YEAR_GROWTH","FQ2 2014","FQ2 2014","Currency=INR","Period=FQ","BEST_FPERIOD_OVERRIDE=FQ","FILING_STATUS=OR","EQY_CONSOLIDATED=Y","Sort=A","Dates=H","DateFormat=P","Fill=—","Direction=H","UseDPDF=Y")</f>
        <v>#NAME?</v>
      </c>
      <c r="AZ380" s="1" t="e">
        <f ca="1">_xll.BDH($C$378,"SHORT_TERM_DEBT_5_YEAR_GROWTH","FQ2 2014","FQ2 2014","Currency=INR","Period=FQ","BEST_FPERIOD_OVERRIDE=FQ","FILING_STATUS=OR","EQY_CONSOLIDATED=Y","Sort=A","Dates=H","DateFormat=P","Fill=—","Direction=H","UseDPDF=Y")</f>
        <v>#NAME?</v>
      </c>
      <c r="BA380" s="1" t="e">
        <f ca="1">_xll.BDH($C$378,"TOTAL_DEBT_5_YEAR_GROWTH","FQ2 2014","FQ2 2014","Currency=INR","Period=FQ","BEST_FPERIOD_OVERRIDE=FQ","FILING_STATUS=OR","EQY_CONSOLIDATED=Y","Sort=A","Dates=H","DateFormat=P","Fill=—","Direction=H","UseDPDF=Y")</f>
        <v>#NAME?</v>
      </c>
      <c r="BB380" s="1" t="e">
        <f ca="1">_xll.BDH($C$378,"GEO_GROW_TOT_SHRHLDR_EQY","FQ2 2014","FQ2 2014","Currency=INR","Period=FQ","BEST_FPERIOD_OVERRIDE=FQ","FILING_STATUS=OR","EQY_CONSOLIDATED=Y","Sort=A","Dates=H","DateFormat=P","Fill=—","Direction=H","UseDPDF=Y")</f>
        <v>#NAME?</v>
      </c>
      <c r="BC380" s="1" t="e">
        <f ca="1">_xll.BDH($C$378,"TOTAL_CAPITAL_5_YEAR_GROWTH","FQ2 2014","FQ2 2014","Currency=INR","Period=FQ","BEST_FPERIOD_OVERRIDE=FQ","FILING_STATUS=OR","EQY_CONSOLIDATED=Y","Sort=A","Dates=H","DateFormat=P","Fill=—","Direction=H","UseDPDF=Y")</f>
        <v>#NAME?</v>
      </c>
      <c r="BD380" s="1" t="e">
        <f ca="1">_xll.BDH($C$378,"GEO_GROW_BOOK_VAL","FQ2 2014","FQ2 2014","Currency=INR","Period=FQ","BEST_FPERIOD_OVERRIDE=FQ","FILING_STATUS=OR","EQY_CONSOLIDATED=Y","Sort=A","Dates=H","DateFormat=P","Fill=—","Direction=H","UseDPDF=Y")</f>
        <v>#NAME?</v>
      </c>
      <c r="BE380" s="1" t="e">
        <f ca="1">_xll.BDH($C$378,"GEO_GROW_CASH_OPER_ACT","FQ2 2014","FQ2 2014","Currency=INR","Period=FQ","BEST_FPERIOD_OVERRIDE=FQ","FILING_STATUS=OR","EQY_CONSOLIDATED=Y","Sort=A","Dates=H","DateFormat=P","Fill=—","Direction=H","UseDPDF=Y")</f>
        <v>#NAME?</v>
      </c>
      <c r="BF380" s="1" t="e">
        <f ca="1">_xll.BDH($C$378,"REVENUE_SEQUENTIAL_GROWTH","FQ2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80" s="1" t="e">
        <f ca="1">_xll.BDH($C$378,"EBITDA_SEQUENTIAL_GROWTH","FQ2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80" s="1" t="e">
        <f ca="1">_xll.BDH($C$378,"OPERATING_INCOME_SEQ_GROWTH","FQ2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80" s="1" t="e">
        <f ca="1">_xll.BDH($C$378,"NET_INCOME_TO_COMMON_SEQ_GROWTH","FQ2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80" s="1" t="e">
        <f ca="1">_xll.BDH($C$378,"EPS_DILUTED_SEQUENTIAL_GROWTH","FQ2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80" s="1" t="e">
        <f ca="1">_xll.BDH($C$378,"DPS_SEQUENTIAL_GROWTH","FQ2 2014","FQ2 2014","Currency=INR","Period=FQ","BEST_FPERIOD_OVERRIDE=FQ","FILING_STATUS=OR","EQY_CONSOLIDATED=Y","Sort=A","Dates=H","DateFormat=P","Fill=—","Direction=H","UseDPDF=Y")</f>
        <v>#NAME?</v>
      </c>
      <c r="BL380" s="1" t="e">
        <f ca="1">_xll.BDH($C$378,"ACCOUNTS_RECEIVABLE_SEQ_GROWTH","FQ2 2014","FQ2 2014","Currency=INR","Period=FQ","BEST_FPERIOD_OVERRIDE=FQ","FILING_STATUS=OR","EQY_CONSOLIDATED=Y","Sort=A","Dates=H","DateFormat=P","Fill=—","Direction=H","UseDPDF=Y")</f>
        <v>#NAME?</v>
      </c>
      <c r="BM380" s="1" t="e">
        <f ca="1">_xll.BDH($C$378,"INVENTORY_SEQUENTIAL_GROWTH","FQ2 2014","FQ2 2014","Currency=INR","Period=FQ","BEST_FPERIOD_OVERRIDE=FQ","FILING_STATUS=OR","EQY_CONSOLIDATED=Y","Sort=A","Dates=H","DateFormat=P","Fill=—","Direction=H","UseDPDF=Y")</f>
        <v>#NAME?</v>
      </c>
      <c r="BN380" s="1" t="e">
        <f ca="1">_xll.BDH($C$378,"FIXED_ASSETS_SEQUENTIAL_GROWTH","FQ2 2014","FQ2 2014","Currency=INR","Period=FQ","BEST_FPERIOD_OVERRIDE=FQ","FILING_STATUS=OR","EQY_CONSOLIDATED=Y","Sort=A","Dates=H","DateFormat=P","Fill=—","Direction=H","UseDPDF=Y")</f>
        <v>#NAME?</v>
      </c>
      <c r="BO380" s="1" t="e">
        <f ca="1">_xll.BDH($C$378,"TOTAL_ASSETS_SEQUENTIAL_GROWTH","FQ2 2014","FQ2 2014","Currency=INR","Period=FQ","BEST_FPERIOD_OVERRIDE=FQ","FILING_STATUS=OR","EQY_CONSOLIDATED=Y","Sort=A","Dates=H","DateFormat=P","Fill=—","Direction=H","UseDPDF=Y")</f>
        <v>#NAME?</v>
      </c>
      <c r="BP380" s="1" t="e">
        <f ca="1">_xll.BDH($C$378,"MODIFIED_WORKING_CPTL_SEQ_GRWTH","FQ2 2014","FQ2 2014","Currency=INR","Period=FQ","BEST_FPERIOD_OVERRIDE=FQ","FILING_STATUS=OR","EQY_CONSOLIDATED=Y","Sort=A","Dates=H","DateFormat=P","Fill=—","Direction=H","UseDPDF=Y")</f>
        <v>#NAME?</v>
      </c>
      <c r="BQ380" s="1" t="e">
        <f ca="1">_xll.BDH($C$378,"WORKING_CAPITAL_SEQ_GROWTH","FQ2 2014","FQ2 2014","Currency=INR","Period=FQ","BEST_FPERIOD_OVERRIDE=FQ","FILING_STATUS=OR","EQY_CONSOLIDATED=Y","Sort=A","Dates=H","DateFormat=P","Fill=—","Direction=H","UseDPDF=Y")</f>
        <v>#NAME?</v>
      </c>
      <c r="BR380" s="1" t="e">
        <f ca="1">_xll.BDH($C$378,"ACCOUNTS_PAYABLE_SEQ_GROWTH","FQ2 2014","FQ2 2014","Currency=INR","Period=FQ","BEST_FPERIOD_OVERRIDE=FQ","FILING_STATUS=OR","EQY_CONSOLIDATED=Y","Sort=A","Dates=H","DateFormat=P","Fill=—","Direction=H","UseDPDF=Y")</f>
        <v>#NAME?</v>
      </c>
      <c r="BS380" s="1" t="e">
        <f ca="1">_xll.BDH($C$378,"ST_DEBT_SEQUENTIAL_GROWTH","FQ2 2014","FQ2 2014","Currency=INR","Period=FQ","BEST_FPERIOD_OVERRIDE=FQ","FILING_STATUS=OR","EQY_CONSOLIDATED=Y","Sort=A","Dates=H","DateFormat=P","Fill=—","Direction=H","UseDPDF=Y")</f>
        <v>#NAME?</v>
      </c>
      <c r="BT380" s="1" t="e">
        <f ca="1">_xll.BDH($C$378,"TOTAL_DEBT_SEQUENTIAL_GROWTH","FQ2 2014","FQ2 2014","Currency=INR","Period=FQ","BEST_FPERIOD_OVERRIDE=FQ","FILING_STATUS=OR","EQY_CONSOLIDATED=Y","Sort=A","Dates=H","DateFormat=P","Fill=—","Direction=H","UseDPDF=Y")</f>
        <v>#NAME?</v>
      </c>
      <c r="BU380" s="1" t="e">
        <f ca="1">_xll.BDH($C$378,"TOTAL_EQUITY_SEQUENTIAL_GROWTH","FQ2 2014","FQ2 2014","Currency=INR","Period=FQ","BEST_FPERIOD_OVERRIDE=FQ","FILING_STATUS=OR","EQY_CONSOLIDATED=Y","Sort=A","Dates=H","DateFormat=P","Fill=—","Direction=H","UseDPDF=Y")</f>
        <v>#NAME?</v>
      </c>
      <c r="BV380" s="1" t="e">
        <f ca="1">_xll.BDH($C$378,"TOTAL_CAPITAL_SEQUENTIAL_GROWTH","FQ2 2014","FQ2 2014","Currency=INR","Period=FQ","BEST_FPERIOD_OVERRIDE=FQ","FILING_STATUS=OR","EQY_CONSOLIDATED=Y","Sort=A","Dates=H","DateFormat=P","Fill=—","Direction=H","UseDPDF=Y")</f>
        <v>#NAME?</v>
      </c>
      <c r="BW380" s="1" t="e">
        <f ca="1">_xll.BDH($C$378,"BPS_SEQUENTIAL_GROWTH","FQ2 2014","FQ2 2014","Currency=INR","Period=FQ","BEST_FPERIOD_OVERRIDE=FQ","FILING_STATUS=OR","EQY_CONSOLIDATED=Y","Sort=A","Dates=H","DateFormat=P","Fill=—","Direction=H","UseDPDF=Y")</f>
        <v>#NAME?</v>
      </c>
      <c r="BX380" s="1" t="e">
        <f ca="1">_xll.BDH($C$378,"CFO_SEQUENTIAL_GROWTH","FQ2 2014","FQ2 2014","Currency=INR","Period=FQ","BEST_FPERIOD_OVERRIDE=FQ","FILING_STATUS=OR","EQY_CONSOLIDATED=Y","Sort=A","Dates=H","DateFormat=P","Fill=—","Direction=H","UseDPDF=Y")</f>
        <v>#NAME?</v>
      </c>
      <c r="BY380" s="2" t="e">
        <f ca="1">_xll.BDH($C$378,"SHORT_AND_LONG_TERM_DEBT","FQ2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80" s="2" t="e">
        <f ca="1">_xll.BDH($C$378,"BS_ST_BORROW","FQ2 2014","FQ2 2014","Currency=INR","Period=FQ","BEST_FPERIOD_OVERRIDE=FQ","FILING_STATUS=OR","EQY_CONSOLIDATED=Y","SCALING_FORMAT=MLN","Sort=A","Dates=H","DateFormat=P","Fill=—","Direction=H","UseDPDF=Y")</f>
        <v>#NAME?</v>
      </c>
      <c r="CA380" s="2" t="e">
        <f ca="1">_xll.BDH($C$378,"BS_LT_BORROW","FQ2 2014","FQ2 2014","Currency=INR","Period=FQ","BEST_FPERIOD_OVERRIDE=FQ","FILING_STATUS=OR","EQY_CONSOLIDATED=Y","SCALING_FORMAT=MLN","Sort=A","Dates=H","DateFormat=P","Fill=—","Direction=H","UseDPDF=Y")</f>
        <v>#NAME?</v>
      </c>
      <c r="CB380" s="1" t="e">
        <f ca="1">_xll.BDH($C$378,"TOT_DEBT_TO_EBITDA","FQ2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80" s="1" t="e">
        <f ca="1">_xll.BDH($C$378,"NET_DEBT_TO_EBITDA","FQ2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80" s="1" t="e">
        <f ca="1">_xll.BDH($C$378,"TOTAL_DEBT_TO_EBIT","FQ2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80" s="1" t="e">
        <f ca="1">_xll.BDH($C$378,"NET_DEBT_TO_EBIT","FQ2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380" s="1" t="e">
        <f ca="1">_xll.BDH($C$378,"EBITDA_TO_INTEREST_EXPN","FQ2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80" s="1" t="e">
        <f ca="1">_xll.BDH($C$378,"COM_EQY_TO_TOT_ASSET","FQ2 2014","FQ2 2014","Currency=INR","Period=FQ","BEST_FPERIOD_OVERRIDE=FQ","FILING_STATUS=OR","EQY_CONSOLIDATED=Y","Sort=A","Dates=H","DateFormat=P","Fill=—","Direction=H","UseDPDF=Y")</f>
        <v>#NAME?</v>
      </c>
      <c r="CH380" s="1" t="e">
        <f ca="1">_xll.BDH($C$378,"LT_DEBT_TO_TOT_EQY","FQ2 2014","FQ2 2014","Currency=INR","Period=FQ","BEST_FPERIOD_OVERRIDE=FQ","FILING_STATUS=OR","EQY_CONSOLIDATED=Y","Sort=A","Dates=H","DateFormat=P","Fill=—","Direction=H","UseDPDF=Y")</f>
        <v>#NAME?</v>
      </c>
      <c r="CI380" s="1" t="e">
        <f ca="1">_xll.BDH($C$378,"LT_DEBT_TO_TOT_CAP","FQ2 2014","FQ2 2014","Currency=INR","Period=FQ","BEST_FPERIOD_OVERRIDE=FQ","FILING_STATUS=OR","EQY_CONSOLIDATED=Y","Sort=A","Dates=H","DateFormat=P","Fill=—","Direction=H","UseDPDF=Y")</f>
        <v>#NAME?</v>
      </c>
      <c r="CJ380" s="1" t="e">
        <f ca="1">_xll.BDH($C$378,"LT_DEBT_TO_TOT_ASSET","FQ2 2014","FQ2 2014","Currency=INR","Period=FQ","BEST_FPERIOD_OVERRIDE=FQ","FILING_STATUS=OR","EQY_CONSOLIDATED=Y","Sort=A","Dates=H","DateFormat=P","Fill=—","Direction=H","UseDPDF=Y")</f>
        <v>#NAME?</v>
      </c>
      <c r="CK380" s="1" t="e">
        <f ca="1">_xll.BDH($C$378,"TOT_DEBT_TO_TOT_EQY","FQ2 2014","FQ2 2014","Currency=INR","Period=FQ","BEST_FPERIOD_OVERRIDE=FQ","FILING_STATUS=OR","EQY_CONSOLIDATED=Y","Sort=A","Dates=H","DateFormat=P","Fill=—","Direction=H","UseDPDF=Y")</f>
        <v>#NAME?</v>
      </c>
      <c r="CL380" s="1" t="e">
        <f ca="1">_xll.BDH($C$378,"TOT_DEBT_TO_TOT_CAP","FQ2 2014","FQ2 2014","Currency=INR","Period=FQ","BEST_FPERIOD_OVERRIDE=FQ","FILING_STATUS=OR","EQY_CONSOLIDATED=Y","Sort=A","Dates=H","DateFormat=P","Fill=—","Direction=H","UseDPDF=Y")</f>
        <v>#NAME?</v>
      </c>
      <c r="CM380" s="1" t="e">
        <f ca="1">_xll.BDH($C$378,"TOT_DEBT_TO_TOT_ASSET","FQ2 2014","FQ2 2014","Currency=INR","Period=FQ","BEST_FPERIOD_OVERRIDE=FQ","FILING_STATUS=OR","EQY_CONSOLIDATED=Y","Sort=A","Dates=H","DateFormat=P","Fill=—","Direction=H","UseDPDF=Y")</f>
        <v>#NAME?</v>
      </c>
      <c r="CN380" s="1" t="e">
        <f ca="1">_xll.BDH($C$378,"NET_DEBT_TO_SHRHLDR_EQTY","FQ2 2014","FQ2 2014","Currency=INR","Period=FQ","BEST_FPERIOD_OVERRIDE=FQ","FILING_STATUS=OR","EQY_CONSOLIDATED=Y","Sort=A","Dates=H","DateFormat=P","Fill=—","Direction=H","UseDPDF=Y")</f>
        <v>#NAME?</v>
      </c>
      <c r="CO380" s="1" t="e">
        <f ca="1">_xll.BDH($C$378,"NET_DEBT_%_CAPITAL","FQ2 2014","FQ2 2014","Currency=INR","Period=FQ","BEST_FPERIOD_OVERRIDE=FQ","FILING_STATUS=OR","EQY_CONSOLIDATED=Y","Sort=A","Dates=H","DateFormat=P","Fill=—","Direction=H","UseDPDF=Y")</f>
        <v>#NAME?</v>
      </c>
      <c r="CP380" s="2" t="e">
        <f ca="1">_xll.BDH($C$378,"EBITDA","FQ2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80" s="2" t="e">
        <f ca="1">_xll.BDH($C$378,"EBITDA_AFTER_CAPEX","FQ2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80" s="2" t="e">
        <f ca="1">_xll.BDH($C$378,"IS_OPER_INC","FQ2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80" s="1" t="e">
        <f ca="1">_xll.BDH($C$378,"CASH_RATIO","FQ2 2014","FQ2 2014","Currency=INR","Period=FQ","BEST_FPERIOD_OVERRIDE=FQ","FILING_STATUS=OR","EQY_CONSOLIDATED=Y","Sort=A","Dates=H","DateFormat=P","Fill=—","Direction=H","UseDPDF=Y")</f>
        <v>#NAME?</v>
      </c>
      <c r="CT380" s="1" t="e">
        <f ca="1">_xll.BDH($C$378,"CUR_RATIO","FQ2 2014","FQ2 2014","Currency=INR","Period=FQ","BEST_FPERIOD_OVERRIDE=FQ","FILING_STATUS=OR","EQY_CONSOLIDATED=Y","Sort=A","Dates=H","DateFormat=P","Fill=—","Direction=H","UseDPDF=Y")</f>
        <v>#NAME?</v>
      </c>
      <c r="CU380" s="1" t="e">
        <f ca="1">_xll.BDH($C$378,"QUICK_RATIO","FQ2 2014","FQ2 2014","Currency=INR","Period=FQ","BEST_FPERIOD_OVERRIDE=FQ","FILING_STATUS=OR","EQY_CONSOLIDATED=Y","Sort=A","Dates=H","DateFormat=P","Fill=—","Direction=H","UseDPDF=Y")</f>
        <v>#NAME?</v>
      </c>
      <c r="CV380" s="1" t="e">
        <f ca="1">_xll.BDH($C$378,"ALTMAN_Z_SCORE","FQ2 2014","FQ2 2014","Currency=INR","Period=FQ","BEST_FPERIOD_OVERRIDE=FQ","FILING_STATUS=OR","EQY_CONSOLIDATED=Y","Sort=A","Dates=H","DateFormat=P","Fill=—","Direction=H","UseDPDF=Y")</f>
        <v>#NAME?</v>
      </c>
      <c r="CW380" s="3" t="e">
        <f ca="1">_xll.BDH($C$378,"ACCT_RCV_TURN","FQ2 2014","FQ2 2014","Currency=INR","Period=FQ","BEST_FPERIOD_OVERRIDE=FQ","FILING_STATUS=OR","EQY_CONSOLIDATED=Y","FA_ADJUSTED=GAAP","Sort=A","Dates=H","DateFormat=P","Fill=—","Direction=H","UseDPDF=Y")</f>
        <v>#NAME?</v>
      </c>
      <c r="CX380" s="1" t="e">
        <f ca="1">_xll.BDH($C$378,"ACCT_RCV_DAYS","FQ2 2014","FQ2 2014","Currency=INR","Period=FQ","BEST_FPERIOD_OVERRIDE=FQ","FILING_STATUS=OR","EQY_CONSOLIDATED=Y","FA_ADJUSTED=GAAP","Sort=A","Dates=H","DateFormat=P","Fill=—","Direction=H","UseDPDF=Y")</f>
        <v>#NAME?</v>
      </c>
      <c r="CY380" s="3" t="e">
        <f ca="1">_xll.BDH($C$378,"INVENT_TURN","FQ2 2014","FQ2 2014","Currency=INR","Period=FQ","BEST_FPERIOD_OVERRIDE=FQ","FILING_STATUS=OR","EQY_CONSOLIDATED=Y","FA_ADJUSTED=GAAP","Sort=A","Dates=H","DateFormat=P","Fill=—","Direction=H","UseDPDF=Y")</f>
        <v>#NAME?</v>
      </c>
      <c r="CZ380" s="1" t="e">
        <f ca="1">_xll.BDH($C$378,"INVENT_DAYS","FQ2 2014","FQ2 2014","Currency=INR","Period=FQ","BEST_FPERIOD_OVERRIDE=FQ","FILING_STATUS=OR","EQY_CONSOLIDATED=Y","FA_ADJUSTED=GAAP","Sort=A","Dates=H","DateFormat=P","Fill=—","Direction=H","UseDPDF=Y")</f>
        <v>#NAME?</v>
      </c>
      <c r="DA380" s="3" t="e">
        <f ca="1">_xll.BDH($C$378,"ACCOUNTS_PAYABLE_TURNOVER","FQ2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80" s="1" t="e">
        <f ca="1">_xll.BDH($C$378,"ACCOUNTS_PAYABLE_TURNOVER_DAYS","FQ2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80" s="3" t="e">
        <f ca="1">_xll.BDH($C$378,"CASH_CONVERSION_CYCLE","FQ2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80" s="3" t="e">
        <f ca="1">_xll.BDH($C$378,"INV_TO_CASH_DAYS","FQ2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380" s="4" t="e">
        <f ca="1">_xll.BDH($C$378,"BS_INVENTORIES","FQ2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380" s="2" t="e">
        <f ca="1">_xll.BDH($C$378,"INVTRY_RAW_MATERIALS","FQ2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80" s="2" t="e">
        <f ca="1">_xll.BDH($C$378,"INVTRY_IN_PROGRESS","FQ2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80" s="2" t="e">
        <f ca="1">_xll.BDH($C$378,"INVTRY_FINISHED_GOODS","FQ2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80" s="2" t="e">
        <f ca="1">_xll.BDH($C$378,"BS_OTHER_INV","FQ2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81" spans="1:113" x14ac:dyDescent="0.3">
      <c r="A381" s="6"/>
      <c r="B381" s="6"/>
      <c r="C381" s="6"/>
      <c r="D381" s="6"/>
      <c r="E381" t="s">
        <v>6</v>
      </c>
      <c r="F381" t="e">
        <f ca="1">_xll.BDH($C$378,"RETURN_COM_EQY","FQ3 2014","FQ3 2014","Currency=INR","Period=FQ","BEST_FPERIOD_OVERRIDE=FQ","FILING_STATUS=OR","EQY_CONSOLIDATED=Y","FA_ADJUSTED=GAAP","Sort=A","Dates=H","DateFormat=P","Fill=—","Direction=H","UseDPDF=Y")</f>
        <v>#NAME?</v>
      </c>
      <c r="G381" t="e">
        <f ca="1">_xll.BDH($C$378,"RETURN_ON_ASSET","FQ3 2014","FQ3 2014","Currency=INR","Period=FQ","BEST_FPERIOD_OVERRIDE=FQ","FILING_STATUS=OR","EQY_CONSOLIDATED=Y","FA_ADJUSTED=GAAP","Sort=A","Dates=H","DateFormat=P","Fill=—","Direction=H","UseDPDF=Y")</f>
        <v>#NAME?</v>
      </c>
      <c r="H381" t="e">
        <f ca="1">_xll.BDH($C$378,"RETURN_ON_CAP","FQ3 2014","FQ3 2014","Currency=INR","Period=FQ","BEST_FPERIOD_OVERRIDE=FQ","FILING_STATUS=OR","EQY_CONSOLIDATED=Y","FA_ADJUSTED=GAAP","Sort=A","Dates=H","DateFormat=P","Fill=—","Direction=H","UseDPDF=Y")</f>
        <v>#NAME?</v>
      </c>
      <c r="I381" t="e">
        <f ca="1">_xll.BDH($C$378,"RETURN_ON_INV_CAPITAL","FQ3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81" t="e">
        <f ca="1">_xll.BDH($C$378,"EBITDA_TO_REVENUE","FQ3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381" t="e">
        <f ca="1">_xll.BDH($C$378,"OPER_MARGIN","FQ3 2014","FQ3 2014","Currency=INR","Period=FQ","BEST_FPERIOD_OVERRIDE=FQ","FILING_STATUS=OR","EQY_CONSOLIDATED=Y","FA_ADJUSTED=GAAP","Sort=A","Dates=H","DateFormat=P","Fill=—","Direction=H","UseDPDF=Y")</f>
        <v>#NAME?</v>
      </c>
      <c r="L381" t="e">
        <f ca="1">_xll.BDH($C$378,"INCREMENTAL_OPERATING_MARGIN","FQ3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81" t="e">
        <f ca="1">_xll.BDH($C$378,"PRETAX_INC_TO_NET_SALES","FQ3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81" t="e">
        <f ca="1">_xll.BDH($C$378,"INC_BEF_XO_ITEMS_TO_NET_SALES","FQ3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81" t="e">
        <f ca="1">_xll.BDH($C$378,"PROF_MARGIN","FQ3 2014","FQ3 2014","Currency=INR","Period=FQ","BEST_FPERIOD_OVERRIDE=FQ","FILING_STATUS=OR","EQY_CONSOLIDATED=Y","FA_ADJUSTED=GAAP","Sort=A","Dates=H","DateFormat=P","Fill=—","Direction=H","UseDPDF=Y")</f>
        <v>#NAME?</v>
      </c>
      <c r="P381" t="e">
        <f ca="1">_xll.BDH($C$378,"NET_INCOME_TO_COMMON_MARGIN","FQ3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81" t="e">
        <f ca="1">_xll.BDH($C$378,"EFF_TAX_RATE","FQ3 2014","FQ3 2014","Currency=INR","Period=FQ","BEST_FPERIOD_OVERRIDE=FQ","FILING_STATUS=OR","EQY_CONSOLIDATED=Y","FA_ADJUSTED=GAAP","Sort=A","Dates=H","DateFormat=P","Fill=—","Direction=H","UseDPDF=Y")</f>
        <v>#NAME?</v>
      </c>
      <c r="R381" t="e">
        <f ca="1">_xll.BDH($C$378,"DVD_PAYOUT_RATIO","FQ3 2014","FQ3 2014","Currency=INR","Period=FQ","BEST_FPERIOD_OVERRIDE=FQ","FILING_STATUS=OR","EQY_CONSOLIDATED=Y","FA_ADJUSTED=GAAP","Sort=A","Dates=H","DateFormat=P","Fill=—","Direction=H","UseDPDF=Y")</f>
        <v>#NAME?</v>
      </c>
      <c r="S381" t="e">
        <f ca="1">_xll.BDH($C$378,"SUSTAIN_GROWTH_RT","FQ3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381" s="1" t="e">
        <f ca="1">_xll.BDH($C$378,"SALES_GROWTH","FQ3 2014","FQ3 2014","Currency=INR","Period=FQ","BEST_FPERIOD_OVERRIDE=FQ","FILING_STATUS=OR","EQY_CONSOLIDATED=Y","FA_ADJUSTED=GAAP","Sort=A","Dates=H","DateFormat=P","Fill=—","Direction=H","UseDPDF=Y")</f>
        <v>#NAME?</v>
      </c>
      <c r="U381" s="1" t="e">
        <f ca="1">_xll.BDH($C$378,"EBITDA_GROWTH","FQ3 2014","FQ3 2014","Currency=INR","Period=FQ","BEST_FPERIOD_OVERRIDE=FQ","FILING_STATUS=OR","EQY_CONSOLIDATED=Y","FA_ADJUSTED=GAAP","Sort=A","Dates=H","DateFormat=P","Fill=—","Direction=H","UseDPDF=Y")</f>
        <v>#NAME?</v>
      </c>
      <c r="V381" s="1" t="e">
        <f ca="1">_xll.BDH($C$378,"OPER_INC_GROWTH","FQ3 2014","FQ3 2014","Currency=INR","Period=FQ","BEST_FPERIOD_OVERRIDE=FQ","FILING_STATUS=OR","EQY_CONSOLIDATED=Y","FA_ADJUSTED=GAAP","Sort=A","Dates=H","DateFormat=P","Fill=—","Direction=H","UseDPDF=Y")</f>
        <v>#NAME?</v>
      </c>
      <c r="W381" s="1" t="e">
        <f ca="1">_xll.BDH($C$378,"EARN_FOR_COM_GROWTH","FQ3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81" s="1" t="e">
        <f ca="1">_xll.BDH($C$378,"DILUTED_EPS_AFT_XO_ITEMS_GROWTH","FQ3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81" s="1" t="e">
        <f ca="1">_xll.BDH($C$378,"DIVIDEND_PER_SHARE_1_YEAR_GROWTH","FQ3 2014","FQ3 2014","Currency=INR","Period=FQ","BEST_FPERIOD_OVERRIDE=FQ","FILING_STATUS=OR","EQY_CONSOLIDATED=Y","Sort=A","Dates=H","DateFormat=P","Fill=—","Direction=H","UseDPDF=Y")</f>
        <v>#NAME?</v>
      </c>
      <c r="Z381" s="1" t="e">
        <f ca="1">_xll.BDH($C$378,"ACCOUNTS_RECEIVABLE_GROWTH","FQ3 2014","FQ3 2014","Currency=INR","Period=FQ","BEST_FPERIOD_OVERRIDE=FQ","FILING_STATUS=OR","EQY_CONSOLIDATED=Y","Sort=A","Dates=H","DateFormat=P","Fill=—","Direction=H","UseDPDF=Y")</f>
        <v>#NAME?</v>
      </c>
      <c r="AA381" s="1" t="e">
        <f ca="1">_xll.BDH($C$378,"INVENTORY_GROWTH","FQ3 2014","FQ3 2014","Currency=INR","Period=FQ","BEST_FPERIOD_OVERRIDE=FQ","FILING_STATUS=OR","EQY_CONSOLIDATED=Y","Sort=A","Dates=H","DateFormat=P","Fill=—","Direction=H","UseDPDF=Y")</f>
        <v>#NAME?</v>
      </c>
      <c r="AB381" s="1" t="e">
        <f ca="1">_xll.BDH($C$378,"NET_FIXED_ASSETS_1_YEAR_GROWTH","FQ3 2014","FQ3 2014","Currency=INR","Period=FQ","BEST_FPERIOD_OVERRIDE=FQ","FILING_STATUS=OR","EQY_CONSOLIDATED=Y","Sort=A","Dates=H","DateFormat=P","Fill=—","Direction=H","UseDPDF=Y")</f>
        <v>#NAME?</v>
      </c>
      <c r="AC381" s="1" t="e">
        <f ca="1">_xll.BDH($C$378,"ASSET_GROWTH","FQ3 2014","FQ3 2014","Currency=INR","Period=FQ","BEST_FPERIOD_OVERRIDE=FQ","FILING_STATUS=OR","EQY_CONSOLIDATED=Y","Sort=A","Dates=H","DateFormat=P","Fill=—","Direction=H","UseDPDF=Y")</f>
        <v>#NAME?</v>
      </c>
      <c r="AD381" s="1" t="e">
        <f ca="1">_xll.BDH($C$378,"MODIFIED_WORK_CAP_GROWTH","FQ3 2014","FQ3 2014","Currency=INR","Period=FQ","BEST_FPERIOD_OVERRIDE=FQ","FILING_STATUS=OR","EQY_CONSOLIDATED=Y","Sort=A","Dates=H","DateFormat=P","Fill=—","Direction=H","UseDPDF=Y")</f>
        <v>#NAME?</v>
      </c>
      <c r="AE381" s="1" t="e">
        <f ca="1">_xll.BDH($C$378,"WORK_CAP_GROWTH","FQ3 2014","FQ3 2014","Currency=INR","Period=FQ","BEST_FPERIOD_OVERRIDE=FQ","FILING_STATUS=OR","EQY_CONSOLIDATED=Y","Sort=A","Dates=H","DateFormat=P","Fill=—","Direction=H","UseDPDF=Y")</f>
        <v>#NAME?</v>
      </c>
      <c r="AF381" s="1" t="e">
        <f ca="1">_xll.BDH($C$378,"ACCOUNTS_PAYABLE_GROWTH_1YR","FQ3 2014","FQ3 2014","Currency=INR","Period=FQ","BEST_FPERIOD_OVERRIDE=FQ","FILING_STATUS=OR","EQY_CONSOLIDATED=Y","Sort=A","Dates=H","DateFormat=P","Fill=—","Direction=H","UseDPDF=Y")</f>
        <v>#NAME?</v>
      </c>
      <c r="AG381" s="1" t="e">
        <f ca="1">_xll.BDH($C$378,"SHORT_TERM_DEBT_1_YEAR_GROWTH","FQ3 2014","FQ3 2014","Currency=INR","Period=FQ","BEST_FPERIOD_OVERRIDE=FQ","FILING_STATUS=OR","EQY_CONSOLIDATED=Y","Sort=A","Dates=H","DateFormat=P","Fill=—","Direction=H","UseDPDF=Y")</f>
        <v>#NAME?</v>
      </c>
      <c r="AH381" s="1" t="e">
        <f ca="1">_xll.BDH($C$378,"TOTAL_DEBT_1_YEAR_GROWTH","FQ3 2014","FQ3 2014","Currency=INR","Period=FQ","BEST_FPERIOD_OVERRIDE=FQ","FILING_STATUS=OR","EQY_CONSOLIDATED=Y","Sort=A","Dates=H","DateFormat=P","Fill=—","Direction=H","UseDPDF=Y")</f>
        <v>#NAME?</v>
      </c>
      <c r="AI381" s="1" t="e">
        <f ca="1">_xll.BDH($C$378,"TOTAL_EQUITY_1_YEAR_GROWTH","FQ3 2014","FQ3 2014","Currency=INR","Period=FQ","BEST_FPERIOD_OVERRIDE=FQ","FILING_STATUS=OR","EQY_CONSOLIDATED=Y","Sort=A","Dates=H","DateFormat=P","Fill=—","Direction=H","UseDPDF=Y")</f>
        <v>#NAME?</v>
      </c>
      <c r="AJ381" s="1" t="e">
        <f ca="1">_xll.BDH($C$378,"GROWTH_IN_CAP","FQ3 2014","FQ3 2014","Currency=INR","Period=FQ","BEST_FPERIOD_OVERRIDE=FQ","FILING_STATUS=OR","EQY_CONSOLIDATED=Y","Sort=A","Dates=H","DateFormat=P","Fill=—","Direction=H","UseDPDF=Y")</f>
        <v>#NAME?</v>
      </c>
      <c r="AK381" s="1" t="e">
        <f ca="1">_xll.BDH($C$378,"BVPS_GROWTH","FQ3 2014","FQ3 2014","Currency=INR","Period=FQ","BEST_FPERIOD_OVERRIDE=FQ","FILING_STATUS=OR","EQY_CONSOLIDATED=Y","Sort=A","Dates=H","DateFormat=P","Fill=—","Direction=H","UseDPDF=Y")</f>
        <v>#NAME?</v>
      </c>
      <c r="AL381" s="1" t="e">
        <f ca="1">_xll.BDH($C$378,"CASH_FLOW_GROWTH","FQ3 2014","FQ3 2014","Currency=INR","Period=FQ","BEST_FPERIOD_OVERRIDE=FQ","FILING_STATUS=OR","EQY_CONSOLIDATED=Y","Sort=A","Dates=H","DateFormat=P","Fill=—","Direction=H","UseDPDF=Y")</f>
        <v>#NAME?</v>
      </c>
      <c r="AM381" s="1" t="e">
        <f ca="1">_xll.BDH($C$378,"GEO_GROW_NET_SALES","FQ3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81" s="1" t="e">
        <f ca="1">_xll.BDH($C$378,"GEO_GROW_EBITDA","FQ3 2014","FQ3 2014","Currency=INR","Period=FQ","BEST_FPERIOD_OVERRIDE=FQ","FILING_STATUS=OR","EQY_CONSOLIDATED=Y","FA_ADJUSTED=GAAP","Sort=A","Dates=H","DateFormat=P","Fill=—","Direction=H","UseDPDF=Y")</f>
        <v>#NAME?</v>
      </c>
      <c r="AO381" s="1" t="e">
        <f ca="1">_xll.BDH($C$378,"GEO_GROW_OPER_INC","FQ3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81" s="1" t="e">
        <f ca="1">_xll.BDH($C$378,"NET_INCOME_TO_COMMON_5_YR_GROWTH","FQ3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81" s="1" t="e">
        <f ca="1">_xll.BDH($C$378,"5Y_GEO_GROWTH_DILUTED_EPS","FQ3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81" s="1" t="e">
        <f ca="1">_xll.BDH($C$378,"GEO_GROW_DVD_PER_SH","FQ3 2014","FQ3 2014","Currency=INR","Period=FQ","BEST_FPERIOD_OVERRIDE=FQ","FILING_STATUS=OR","EQY_CONSOLIDATED=Y","Sort=A","Dates=H","DateFormat=P","Fill=—","Direction=H","UseDPDF=Y")</f>
        <v>#NAME?</v>
      </c>
      <c r="AS381" s="1" t="e">
        <f ca="1">_xll.BDH($C$378,"ACCOUNTS_RECEIVABLE_5_YR_GROWTH","FQ3 2014","FQ3 2014","Currency=INR","Period=FQ","BEST_FPERIOD_OVERRIDE=FQ","FILING_STATUS=OR","EQY_CONSOLIDATED=Y","Sort=A","Dates=H","DateFormat=P","Fill=—","Direction=H","UseDPDF=Y")</f>
        <v>#NAME?</v>
      </c>
      <c r="AT381" s="1" t="e">
        <f ca="1">_xll.BDH($C$378,"INVENTORY_5_YEAR_GROWTH","FQ3 2014","FQ3 2014","Currency=INR","Period=FQ","BEST_FPERIOD_OVERRIDE=FQ","FILING_STATUS=OR","EQY_CONSOLIDATED=Y","Sort=A","Dates=H","DateFormat=P","Fill=—","Direction=H","UseDPDF=Y")</f>
        <v>#NAME?</v>
      </c>
      <c r="AU381" s="1" t="e">
        <f ca="1">_xll.BDH($C$378,"NET_FIXED_ASSETS_5_YEAR_GROWTH","FQ3 2014","FQ3 2014","Currency=INR","Period=FQ","BEST_FPERIOD_OVERRIDE=FQ","FILING_STATUS=OR","EQY_CONSOLIDATED=Y","Sort=A","Dates=H","DateFormat=P","Fill=—","Direction=H","UseDPDF=Y")</f>
        <v>#NAME?</v>
      </c>
      <c r="AV381" s="1" t="e">
        <f ca="1">_xll.BDH($C$378,"GEO_GROW_TOT_ASSET","FQ3 2014","FQ3 2014","Currency=INR","Period=FQ","BEST_FPERIOD_OVERRIDE=FQ","FILING_STATUS=OR","EQY_CONSOLIDATED=Y","Sort=A","Dates=H","DateFormat=P","Fill=—","Direction=H","UseDPDF=Y")</f>
        <v>#NAME?</v>
      </c>
      <c r="AW381" s="1" t="e">
        <f ca="1">_xll.BDH($C$378,"MODIFIED_WORKING_CPTL_5YR_GRWTH","FQ3 2014","FQ3 2014","Currency=INR","Period=FQ","BEST_FPERIOD_OVERRIDE=FQ","FILING_STATUS=OR","EQY_CONSOLIDATED=Y","Sort=A","Dates=H","DateFormat=P","Fill=—","Direction=H","UseDPDF=Y")</f>
        <v>#NAME?</v>
      </c>
      <c r="AX381" s="1" t="e">
        <f ca="1">_xll.BDH($C$378,"WORKING_CAPITAL_5_YEAR_GROWTH","FQ3 2014","FQ3 2014","Currency=INR","Period=FQ","BEST_FPERIOD_OVERRIDE=FQ","FILING_STATUS=OR","EQY_CONSOLIDATED=Y","Sort=A","Dates=H","DateFormat=P","Fill=—","Direction=H","UseDPDF=Y")</f>
        <v>#NAME?</v>
      </c>
      <c r="AY381" s="1" t="e">
        <f ca="1">_xll.BDH($C$378,"ACCOUNTS_PAYABLE_5_YEAR_GROWTH","FQ3 2014","FQ3 2014","Currency=INR","Period=FQ","BEST_FPERIOD_OVERRIDE=FQ","FILING_STATUS=OR","EQY_CONSOLIDATED=Y","Sort=A","Dates=H","DateFormat=P","Fill=—","Direction=H","UseDPDF=Y")</f>
        <v>#NAME?</v>
      </c>
      <c r="AZ381" s="1" t="e">
        <f ca="1">_xll.BDH($C$378,"SHORT_TERM_DEBT_5_YEAR_GROWTH","FQ3 2014","FQ3 2014","Currency=INR","Period=FQ","BEST_FPERIOD_OVERRIDE=FQ","FILING_STATUS=OR","EQY_CONSOLIDATED=Y","Sort=A","Dates=H","DateFormat=P","Fill=—","Direction=H","UseDPDF=Y")</f>
        <v>#NAME?</v>
      </c>
      <c r="BA381" s="1" t="e">
        <f ca="1">_xll.BDH($C$378,"TOTAL_DEBT_5_YEAR_GROWTH","FQ3 2014","FQ3 2014","Currency=INR","Period=FQ","BEST_FPERIOD_OVERRIDE=FQ","FILING_STATUS=OR","EQY_CONSOLIDATED=Y","Sort=A","Dates=H","DateFormat=P","Fill=—","Direction=H","UseDPDF=Y")</f>
        <v>#NAME?</v>
      </c>
      <c r="BB381" s="1" t="e">
        <f ca="1">_xll.BDH($C$378,"GEO_GROW_TOT_SHRHLDR_EQY","FQ3 2014","FQ3 2014","Currency=INR","Period=FQ","BEST_FPERIOD_OVERRIDE=FQ","FILING_STATUS=OR","EQY_CONSOLIDATED=Y","Sort=A","Dates=H","DateFormat=P","Fill=—","Direction=H","UseDPDF=Y")</f>
        <v>#NAME?</v>
      </c>
      <c r="BC381" s="1" t="e">
        <f ca="1">_xll.BDH($C$378,"TOTAL_CAPITAL_5_YEAR_GROWTH","FQ3 2014","FQ3 2014","Currency=INR","Period=FQ","BEST_FPERIOD_OVERRIDE=FQ","FILING_STATUS=OR","EQY_CONSOLIDATED=Y","Sort=A","Dates=H","DateFormat=P","Fill=—","Direction=H","UseDPDF=Y")</f>
        <v>#NAME?</v>
      </c>
      <c r="BD381" s="1" t="e">
        <f ca="1">_xll.BDH($C$378,"GEO_GROW_BOOK_VAL","FQ3 2014","FQ3 2014","Currency=INR","Period=FQ","BEST_FPERIOD_OVERRIDE=FQ","FILING_STATUS=OR","EQY_CONSOLIDATED=Y","Sort=A","Dates=H","DateFormat=P","Fill=—","Direction=H","UseDPDF=Y")</f>
        <v>#NAME?</v>
      </c>
      <c r="BE381" s="1" t="e">
        <f ca="1">_xll.BDH($C$378,"GEO_GROW_CASH_OPER_ACT","FQ3 2014","FQ3 2014","Currency=INR","Period=FQ","BEST_FPERIOD_OVERRIDE=FQ","FILING_STATUS=OR","EQY_CONSOLIDATED=Y","Sort=A","Dates=H","DateFormat=P","Fill=—","Direction=H","UseDPDF=Y")</f>
        <v>#NAME?</v>
      </c>
      <c r="BF381" s="1" t="e">
        <f ca="1">_xll.BDH($C$378,"REVENUE_SEQUENTIAL_GROWTH","FQ3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81" s="1" t="e">
        <f ca="1">_xll.BDH($C$378,"EBITDA_SEQUENTIAL_GROWTH","FQ3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81" s="1" t="e">
        <f ca="1">_xll.BDH($C$378,"OPERATING_INCOME_SEQ_GROWTH","FQ3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81" s="1" t="e">
        <f ca="1">_xll.BDH($C$378,"NET_INCOME_TO_COMMON_SEQ_GROWTH","FQ3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81" s="1" t="e">
        <f ca="1">_xll.BDH($C$378,"EPS_DILUTED_SEQUENTIAL_GROWTH","FQ3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81" s="1" t="e">
        <f ca="1">_xll.BDH($C$378,"DPS_SEQUENTIAL_GROWTH","FQ3 2014","FQ3 2014","Currency=INR","Period=FQ","BEST_FPERIOD_OVERRIDE=FQ","FILING_STATUS=OR","EQY_CONSOLIDATED=Y","Sort=A","Dates=H","DateFormat=P","Fill=—","Direction=H","UseDPDF=Y")</f>
        <v>#NAME?</v>
      </c>
      <c r="BL381" s="1" t="e">
        <f ca="1">_xll.BDH($C$378,"ACCOUNTS_RECEIVABLE_SEQ_GROWTH","FQ3 2014","FQ3 2014","Currency=INR","Period=FQ","BEST_FPERIOD_OVERRIDE=FQ","FILING_STATUS=OR","EQY_CONSOLIDATED=Y","Sort=A","Dates=H","DateFormat=P","Fill=—","Direction=H","UseDPDF=Y")</f>
        <v>#NAME?</v>
      </c>
      <c r="BM381" s="1" t="e">
        <f ca="1">_xll.BDH($C$378,"INVENTORY_SEQUENTIAL_GROWTH","FQ3 2014","FQ3 2014","Currency=INR","Period=FQ","BEST_FPERIOD_OVERRIDE=FQ","FILING_STATUS=OR","EQY_CONSOLIDATED=Y","Sort=A","Dates=H","DateFormat=P","Fill=—","Direction=H","UseDPDF=Y")</f>
        <v>#NAME?</v>
      </c>
      <c r="BN381" s="1" t="e">
        <f ca="1">_xll.BDH($C$378,"FIXED_ASSETS_SEQUENTIAL_GROWTH","FQ3 2014","FQ3 2014","Currency=INR","Period=FQ","BEST_FPERIOD_OVERRIDE=FQ","FILING_STATUS=OR","EQY_CONSOLIDATED=Y","Sort=A","Dates=H","DateFormat=P","Fill=—","Direction=H","UseDPDF=Y")</f>
        <v>#NAME?</v>
      </c>
      <c r="BO381" s="1" t="e">
        <f ca="1">_xll.BDH($C$378,"TOTAL_ASSETS_SEQUENTIAL_GROWTH","FQ3 2014","FQ3 2014","Currency=INR","Period=FQ","BEST_FPERIOD_OVERRIDE=FQ","FILING_STATUS=OR","EQY_CONSOLIDATED=Y","Sort=A","Dates=H","DateFormat=P","Fill=—","Direction=H","UseDPDF=Y")</f>
        <v>#NAME?</v>
      </c>
      <c r="BP381" s="1" t="e">
        <f ca="1">_xll.BDH($C$378,"MODIFIED_WORKING_CPTL_SEQ_GRWTH","FQ3 2014","FQ3 2014","Currency=INR","Period=FQ","BEST_FPERIOD_OVERRIDE=FQ","FILING_STATUS=OR","EQY_CONSOLIDATED=Y","Sort=A","Dates=H","DateFormat=P","Fill=—","Direction=H","UseDPDF=Y")</f>
        <v>#NAME?</v>
      </c>
      <c r="BQ381" s="1" t="e">
        <f ca="1">_xll.BDH($C$378,"WORKING_CAPITAL_SEQ_GROWTH","FQ3 2014","FQ3 2014","Currency=INR","Period=FQ","BEST_FPERIOD_OVERRIDE=FQ","FILING_STATUS=OR","EQY_CONSOLIDATED=Y","Sort=A","Dates=H","DateFormat=P","Fill=—","Direction=H","UseDPDF=Y")</f>
        <v>#NAME?</v>
      </c>
      <c r="BR381" s="1" t="e">
        <f ca="1">_xll.BDH($C$378,"ACCOUNTS_PAYABLE_SEQ_GROWTH","FQ3 2014","FQ3 2014","Currency=INR","Period=FQ","BEST_FPERIOD_OVERRIDE=FQ","FILING_STATUS=OR","EQY_CONSOLIDATED=Y","Sort=A","Dates=H","DateFormat=P","Fill=—","Direction=H","UseDPDF=Y")</f>
        <v>#NAME?</v>
      </c>
      <c r="BS381" s="1" t="e">
        <f ca="1">_xll.BDH($C$378,"ST_DEBT_SEQUENTIAL_GROWTH","FQ3 2014","FQ3 2014","Currency=INR","Period=FQ","BEST_FPERIOD_OVERRIDE=FQ","FILING_STATUS=OR","EQY_CONSOLIDATED=Y","Sort=A","Dates=H","DateFormat=P","Fill=—","Direction=H","UseDPDF=Y")</f>
        <v>#NAME?</v>
      </c>
      <c r="BT381" s="1" t="e">
        <f ca="1">_xll.BDH($C$378,"TOTAL_DEBT_SEQUENTIAL_GROWTH","FQ3 2014","FQ3 2014","Currency=INR","Period=FQ","BEST_FPERIOD_OVERRIDE=FQ","FILING_STATUS=OR","EQY_CONSOLIDATED=Y","Sort=A","Dates=H","DateFormat=P","Fill=—","Direction=H","UseDPDF=Y")</f>
        <v>#NAME?</v>
      </c>
      <c r="BU381" s="1" t="e">
        <f ca="1">_xll.BDH($C$378,"TOTAL_EQUITY_SEQUENTIAL_GROWTH","FQ3 2014","FQ3 2014","Currency=INR","Period=FQ","BEST_FPERIOD_OVERRIDE=FQ","FILING_STATUS=OR","EQY_CONSOLIDATED=Y","Sort=A","Dates=H","DateFormat=P","Fill=—","Direction=H","UseDPDF=Y")</f>
        <v>#NAME?</v>
      </c>
      <c r="BV381" s="1" t="e">
        <f ca="1">_xll.BDH($C$378,"TOTAL_CAPITAL_SEQUENTIAL_GROWTH","FQ3 2014","FQ3 2014","Currency=INR","Period=FQ","BEST_FPERIOD_OVERRIDE=FQ","FILING_STATUS=OR","EQY_CONSOLIDATED=Y","Sort=A","Dates=H","DateFormat=P","Fill=—","Direction=H","UseDPDF=Y")</f>
        <v>#NAME?</v>
      </c>
      <c r="BW381" s="1" t="e">
        <f ca="1">_xll.BDH($C$378,"BPS_SEQUENTIAL_GROWTH","FQ3 2014","FQ3 2014","Currency=INR","Period=FQ","BEST_FPERIOD_OVERRIDE=FQ","FILING_STATUS=OR","EQY_CONSOLIDATED=Y","Sort=A","Dates=H","DateFormat=P","Fill=—","Direction=H","UseDPDF=Y")</f>
        <v>#NAME?</v>
      </c>
      <c r="BX381" s="1" t="e">
        <f ca="1">_xll.BDH($C$378,"CFO_SEQUENTIAL_GROWTH","FQ3 2014","FQ3 2014","Currency=INR","Period=FQ","BEST_FPERIOD_OVERRIDE=FQ","FILING_STATUS=OR","EQY_CONSOLIDATED=Y","Sort=A","Dates=H","DateFormat=P","Fill=—","Direction=H","UseDPDF=Y")</f>
        <v>#NAME?</v>
      </c>
      <c r="BY381" s="2" t="e">
        <f ca="1">_xll.BDH($C$378,"SHORT_AND_LONG_TERM_DEBT","FQ3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81" s="2" t="e">
        <f ca="1">_xll.BDH($C$378,"BS_ST_BORROW","FQ3 2014","FQ3 2014","Currency=INR","Period=FQ","BEST_FPERIOD_OVERRIDE=FQ","FILING_STATUS=OR","EQY_CONSOLIDATED=Y","SCALING_FORMAT=MLN","Sort=A","Dates=H","DateFormat=P","Fill=—","Direction=H","UseDPDF=Y")</f>
        <v>#NAME?</v>
      </c>
      <c r="CA381" s="2" t="e">
        <f ca="1">_xll.BDH($C$378,"BS_LT_BORROW","FQ3 2014","FQ3 2014","Currency=INR","Period=FQ","BEST_FPERIOD_OVERRIDE=FQ","FILING_STATUS=OR","EQY_CONSOLIDATED=Y","SCALING_FORMAT=MLN","Sort=A","Dates=H","DateFormat=P","Fill=—","Direction=H","UseDPDF=Y")</f>
        <v>#NAME?</v>
      </c>
      <c r="CB381" s="1" t="e">
        <f ca="1">_xll.BDH($C$378,"TOT_DEBT_TO_EBITDA","FQ3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81" s="1" t="e">
        <f ca="1">_xll.BDH($C$378,"NET_DEBT_TO_EBITDA","FQ3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81" s="1" t="e">
        <f ca="1">_xll.BDH($C$378,"TOTAL_DEBT_TO_EBIT","FQ3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81" s="1" t="e">
        <f ca="1">_xll.BDH($C$378,"NET_DEBT_TO_EBIT","FQ3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381" s="1" t="e">
        <f ca="1">_xll.BDH($C$378,"EBITDA_TO_INTEREST_EXPN","FQ3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81" s="1" t="e">
        <f ca="1">_xll.BDH($C$378,"COM_EQY_TO_TOT_ASSET","FQ3 2014","FQ3 2014","Currency=INR","Period=FQ","BEST_FPERIOD_OVERRIDE=FQ","FILING_STATUS=OR","EQY_CONSOLIDATED=Y","Sort=A","Dates=H","DateFormat=P","Fill=—","Direction=H","UseDPDF=Y")</f>
        <v>#NAME?</v>
      </c>
      <c r="CH381" s="1" t="e">
        <f ca="1">_xll.BDH($C$378,"LT_DEBT_TO_TOT_EQY","FQ3 2014","FQ3 2014","Currency=INR","Period=FQ","BEST_FPERIOD_OVERRIDE=FQ","FILING_STATUS=OR","EQY_CONSOLIDATED=Y","Sort=A","Dates=H","DateFormat=P","Fill=—","Direction=H","UseDPDF=Y")</f>
        <v>#NAME?</v>
      </c>
      <c r="CI381" s="1" t="e">
        <f ca="1">_xll.BDH($C$378,"LT_DEBT_TO_TOT_CAP","FQ3 2014","FQ3 2014","Currency=INR","Period=FQ","BEST_FPERIOD_OVERRIDE=FQ","FILING_STATUS=OR","EQY_CONSOLIDATED=Y","Sort=A","Dates=H","DateFormat=P","Fill=—","Direction=H","UseDPDF=Y")</f>
        <v>#NAME?</v>
      </c>
      <c r="CJ381" s="1" t="e">
        <f ca="1">_xll.BDH($C$378,"LT_DEBT_TO_TOT_ASSET","FQ3 2014","FQ3 2014","Currency=INR","Period=FQ","BEST_FPERIOD_OVERRIDE=FQ","FILING_STATUS=OR","EQY_CONSOLIDATED=Y","Sort=A","Dates=H","DateFormat=P","Fill=—","Direction=H","UseDPDF=Y")</f>
        <v>#NAME?</v>
      </c>
      <c r="CK381" s="1" t="e">
        <f ca="1">_xll.BDH($C$378,"TOT_DEBT_TO_TOT_EQY","FQ3 2014","FQ3 2014","Currency=INR","Period=FQ","BEST_FPERIOD_OVERRIDE=FQ","FILING_STATUS=OR","EQY_CONSOLIDATED=Y","Sort=A","Dates=H","DateFormat=P","Fill=—","Direction=H","UseDPDF=Y")</f>
        <v>#NAME?</v>
      </c>
      <c r="CL381" s="1" t="e">
        <f ca="1">_xll.BDH($C$378,"TOT_DEBT_TO_TOT_CAP","FQ3 2014","FQ3 2014","Currency=INR","Period=FQ","BEST_FPERIOD_OVERRIDE=FQ","FILING_STATUS=OR","EQY_CONSOLIDATED=Y","Sort=A","Dates=H","DateFormat=P","Fill=—","Direction=H","UseDPDF=Y")</f>
        <v>#NAME?</v>
      </c>
      <c r="CM381" s="1" t="e">
        <f ca="1">_xll.BDH($C$378,"TOT_DEBT_TO_TOT_ASSET","FQ3 2014","FQ3 2014","Currency=INR","Period=FQ","BEST_FPERIOD_OVERRIDE=FQ","FILING_STATUS=OR","EQY_CONSOLIDATED=Y","Sort=A","Dates=H","DateFormat=P","Fill=—","Direction=H","UseDPDF=Y")</f>
        <v>#NAME?</v>
      </c>
      <c r="CN381" s="1" t="e">
        <f ca="1">_xll.BDH($C$378,"NET_DEBT_TO_SHRHLDR_EQTY","FQ3 2014","FQ3 2014","Currency=INR","Period=FQ","BEST_FPERIOD_OVERRIDE=FQ","FILING_STATUS=OR","EQY_CONSOLIDATED=Y","Sort=A","Dates=H","DateFormat=P","Fill=—","Direction=H","UseDPDF=Y")</f>
        <v>#NAME?</v>
      </c>
      <c r="CO381" s="1" t="e">
        <f ca="1">_xll.BDH($C$378,"NET_DEBT_%_CAPITAL","FQ3 2014","FQ3 2014","Currency=INR","Period=FQ","BEST_FPERIOD_OVERRIDE=FQ","FILING_STATUS=OR","EQY_CONSOLIDATED=Y","Sort=A","Dates=H","DateFormat=P","Fill=—","Direction=H","UseDPDF=Y")</f>
        <v>#NAME?</v>
      </c>
      <c r="CP381" s="2" t="e">
        <f ca="1">_xll.BDH($C$378,"EBITDA","FQ3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81" s="2" t="e">
        <f ca="1">_xll.BDH($C$378,"EBITDA_AFTER_CAPEX","FQ3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81" s="2" t="e">
        <f ca="1">_xll.BDH($C$378,"IS_OPER_INC","FQ3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81" s="1" t="e">
        <f ca="1">_xll.BDH($C$378,"CASH_RATIO","FQ3 2014","FQ3 2014","Currency=INR","Period=FQ","BEST_FPERIOD_OVERRIDE=FQ","FILING_STATUS=OR","EQY_CONSOLIDATED=Y","Sort=A","Dates=H","DateFormat=P","Fill=—","Direction=H","UseDPDF=Y")</f>
        <v>#NAME?</v>
      </c>
      <c r="CT381" s="1" t="e">
        <f ca="1">_xll.BDH($C$378,"CUR_RATIO","FQ3 2014","FQ3 2014","Currency=INR","Period=FQ","BEST_FPERIOD_OVERRIDE=FQ","FILING_STATUS=OR","EQY_CONSOLIDATED=Y","Sort=A","Dates=H","DateFormat=P","Fill=—","Direction=H","UseDPDF=Y")</f>
        <v>#NAME?</v>
      </c>
      <c r="CU381" s="1" t="e">
        <f ca="1">_xll.BDH($C$378,"QUICK_RATIO","FQ3 2014","FQ3 2014","Currency=INR","Period=FQ","BEST_FPERIOD_OVERRIDE=FQ","FILING_STATUS=OR","EQY_CONSOLIDATED=Y","Sort=A","Dates=H","DateFormat=P","Fill=—","Direction=H","UseDPDF=Y")</f>
        <v>#NAME?</v>
      </c>
      <c r="CV381" s="1" t="e">
        <f ca="1">_xll.BDH($C$378,"ALTMAN_Z_SCORE","FQ3 2014","FQ3 2014","Currency=INR","Period=FQ","BEST_FPERIOD_OVERRIDE=FQ","FILING_STATUS=OR","EQY_CONSOLIDATED=Y","Sort=A","Dates=H","DateFormat=P","Fill=—","Direction=H","UseDPDF=Y")</f>
        <v>#NAME?</v>
      </c>
      <c r="CW381" s="3" t="e">
        <f ca="1">_xll.BDH($C$378,"ACCT_RCV_TURN","FQ3 2014","FQ3 2014","Currency=INR","Period=FQ","BEST_FPERIOD_OVERRIDE=FQ","FILING_STATUS=OR","EQY_CONSOLIDATED=Y","FA_ADJUSTED=GAAP","Sort=A","Dates=H","DateFormat=P","Fill=—","Direction=H","UseDPDF=Y")</f>
        <v>#NAME?</v>
      </c>
      <c r="CX381" s="1" t="e">
        <f ca="1">_xll.BDH($C$378,"ACCT_RCV_DAYS","FQ3 2014","FQ3 2014","Currency=INR","Period=FQ","BEST_FPERIOD_OVERRIDE=FQ","FILING_STATUS=OR","EQY_CONSOLIDATED=Y","FA_ADJUSTED=GAAP","Sort=A","Dates=H","DateFormat=P","Fill=—","Direction=H","UseDPDF=Y")</f>
        <v>#NAME?</v>
      </c>
      <c r="CY381" s="3" t="e">
        <f ca="1">_xll.BDH($C$378,"INVENT_TURN","FQ3 2014","FQ3 2014","Currency=INR","Period=FQ","BEST_FPERIOD_OVERRIDE=FQ","FILING_STATUS=OR","EQY_CONSOLIDATED=Y","FA_ADJUSTED=GAAP","Sort=A","Dates=H","DateFormat=P","Fill=—","Direction=H","UseDPDF=Y")</f>
        <v>#NAME?</v>
      </c>
      <c r="CZ381" s="1" t="e">
        <f ca="1">_xll.BDH($C$378,"INVENT_DAYS","FQ3 2014","FQ3 2014","Currency=INR","Period=FQ","BEST_FPERIOD_OVERRIDE=FQ","FILING_STATUS=OR","EQY_CONSOLIDATED=Y","FA_ADJUSTED=GAAP","Sort=A","Dates=H","DateFormat=P","Fill=—","Direction=H","UseDPDF=Y")</f>
        <v>#NAME?</v>
      </c>
      <c r="DA381" s="3" t="e">
        <f ca="1">_xll.BDH($C$378,"ACCOUNTS_PAYABLE_TURNOVER","FQ3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81" s="1" t="e">
        <f ca="1">_xll.BDH($C$378,"ACCOUNTS_PAYABLE_TURNOVER_DAYS","FQ3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81" s="3" t="e">
        <f ca="1">_xll.BDH($C$378,"CASH_CONVERSION_CYCLE","FQ3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81" s="3" t="e">
        <f ca="1">_xll.BDH($C$378,"INV_TO_CASH_DAYS","FQ3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381" s="4" t="e">
        <f ca="1">_xll.BDH($C$378,"BS_INVENTORIES","FQ3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381" s="2" t="e">
        <f ca="1">_xll.BDH($C$378,"INVTRY_RAW_MATERIALS","FQ3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81" s="2" t="e">
        <f ca="1">_xll.BDH($C$378,"INVTRY_IN_PROGRESS","FQ3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81" s="2" t="e">
        <f ca="1">_xll.BDH($C$378,"INVTRY_FINISHED_GOODS","FQ3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81" s="2" t="e">
        <f ca="1">_xll.BDH($C$378,"BS_OTHER_INV","FQ3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82" spans="1:113" x14ac:dyDescent="0.3">
      <c r="A382" s="6"/>
      <c r="B382" s="6"/>
      <c r="C382" s="6"/>
      <c r="D382" s="6"/>
      <c r="E382" t="s">
        <v>7</v>
      </c>
      <c r="F382" t="e">
        <f ca="1">_xll.BDH($C$378,"RETURN_COM_EQY","FQ4 2014","FQ4 2014","Currency=INR","Period=FQ","BEST_FPERIOD_OVERRIDE=FQ","FILING_STATUS=OR","EQY_CONSOLIDATED=Y","FA_ADJUSTED=GAAP","Sort=A","Dates=H","DateFormat=P","Fill=—","Direction=H","UseDPDF=Y")</f>
        <v>#NAME?</v>
      </c>
      <c r="G382" t="e">
        <f ca="1">_xll.BDH($C$378,"RETURN_ON_ASSET","FQ4 2014","FQ4 2014","Currency=INR","Period=FQ","BEST_FPERIOD_OVERRIDE=FQ","FILING_STATUS=OR","EQY_CONSOLIDATED=Y","FA_ADJUSTED=GAAP","Sort=A","Dates=H","DateFormat=P","Fill=—","Direction=H","UseDPDF=Y")</f>
        <v>#NAME?</v>
      </c>
      <c r="H382" t="e">
        <f ca="1">_xll.BDH($C$378,"RETURN_ON_CAP","FQ4 2014","FQ4 2014","Currency=INR","Period=FQ","BEST_FPERIOD_OVERRIDE=FQ","FILING_STATUS=OR","EQY_CONSOLIDATED=Y","FA_ADJUSTED=GAAP","Sort=A","Dates=H","DateFormat=P","Fill=—","Direction=H","UseDPDF=Y")</f>
        <v>#NAME?</v>
      </c>
      <c r="I382" t="e">
        <f ca="1">_xll.BDH($C$378,"RETURN_ON_INV_CAPITAL","FQ4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82" t="e">
        <f ca="1">_xll.BDH($C$378,"EBITDA_TO_REVENUE","FQ4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382" t="e">
        <f ca="1">_xll.BDH($C$378,"OPER_MARGIN","FQ4 2014","FQ4 2014","Currency=INR","Period=FQ","BEST_FPERIOD_OVERRIDE=FQ","FILING_STATUS=OR","EQY_CONSOLIDATED=Y","FA_ADJUSTED=GAAP","Sort=A","Dates=H","DateFormat=P","Fill=—","Direction=H","UseDPDF=Y")</f>
        <v>#NAME?</v>
      </c>
      <c r="L382" t="e">
        <f ca="1">_xll.BDH($C$378,"INCREMENTAL_OPERATING_MARGIN","FQ4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82" t="e">
        <f ca="1">_xll.BDH($C$378,"PRETAX_INC_TO_NET_SALES","FQ4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82" t="e">
        <f ca="1">_xll.BDH($C$378,"INC_BEF_XO_ITEMS_TO_NET_SALES","FQ4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82" t="e">
        <f ca="1">_xll.BDH($C$378,"PROF_MARGIN","FQ4 2014","FQ4 2014","Currency=INR","Period=FQ","BEST_FPERIOD_OVERRIDE=FQ","FILING_STATUS=OR","EQY_CONSOLIDATED=Y","FA_ADJUSTED=GAAP","Sort=A","Dates=H","DateFormat=P","Fill=—","Direction=H","UseDPDF=Y")</f>
        <v>#NAME?</v>
      </c>
      <c r="P382" t="e">
        <f ca="1">_xll.BDH($C$378,"NET_INCOME_TO_COMMON_MARGIN","FQ4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82" t="e">
        <f ca="1">_xll.BDH($C$378,"EFF_TAX_RATE","FQ4 2014","FQ4 2014","Currency=INR","Period=FQ","BEST_FPERIOD_OVERRIDE=FQ","FILING_STATUS=OR","EQY_CONSOLIDATED=Y","FA_ADJUSTED=GAAP","Sort=A","Dates=H","DateFormat=P","Fill=—","Direction=H","UseDPDF=Y")</f>
        <v>#NAME?</v>
      </c>
      <c r="R382" t="e">
        <f ca="1">_xll.BDH($C$378,"DVD_PAYOUT_RATIO","FQ4 2014","FQ4 2014","Currency=INR","Period=FQ","BEST_FPERIOD_OVERRIDE=FQ","FILING_STATUS=OR","EQY_CONSOLIDATED=Y","FA_ADJUSTED=GAAP","Sort=A","Dates=H","DateFormat=P","Fill=—","Direction=H","UseDPDF=Y")</f>
        <v>#NAME?</v>
      </c>
      <c r="S382" t="e">
        <f ca="1">_xll.BDH($C$378,"SUSTAIN_GROWTH_RT","FQ4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382" s="1" t="e">
        <f ca="1">_xll.BDH($C$378,"SALES_GROWTH","FQ4 2014","FQ4 2014","Currency=INR","Period=FQ","BEST_FPERIOD_OVERRIDE=FQ","FILING_STATUS=OR","EQY_CONSOLIDATED=Y","FA_ADJUSTED=GAAP","Sort=A","Dates=H","DateFormat=P","Fill=—","Direction=H","UseDPDF=Y")</f>
        <v>#NAME?</v>
      </c>
      <c r="U382" s="1" t="e">
        <f ca="1">_xll.BDH($C$378,"EBITDA_GROWTH","FQ4 2014","FQ4 2014","Currency=INR","Period=FQ","BEST_FPERIOD_OVERRIDE=FQ","FILING_STATUS=OR","EQY_CONSOLIDATED=Y","FA_ADJUSTED=GAAP","Sort=A","Dates=H","DateFormat=P","Fill=—","Direction=H","UseDPDF=Y")</f>
        <v>#NAME?</v>
      </c>
      <c r="V382" s="1" t="e">
        <f ca="1">_xll.BDH($C$378,"OPER_INC_GROWTH","FQ4 2014","FQ4 2014","Currency=INR","Period=FQ","BEST_FPERIOD_OVERRIDE=FQ","FILING_STATUS=OR","EQY_CONSOLIDATED=Y","FA_ADJUSTED=GAAP","Sort=A","Dates=H","DateFormat=P","Fill=—","Direction=H","UseDPDF=Y")</f>
        <v>#NAME?</v>
      </c>
      <c r="W382" s="1" t="e">
        <f ca="1">_xll.BDH($C$378,"EARN_FOR_COM_GROWTH","FQ4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82" s="1" t="e">
        <f ca="1">_xll.BDH($C$378,"DILUTED_EPS_AFT_XO_ITEMS_GROWTH","FQ4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82" s="1" t="e">
        <f ca="1">_xll.BDH($C$378,"DIVIDEND_PER_SHARE_1_YEAR_GROWTH","FQ4 2014","FQ4 2014","Currency=INR","Period=FQ","BEST_FPERIOD_OVERRIDE=FQ","FILING_STATUS=OR","EQY_CONSOLIDATED=Y","Sort=A","Dates=H","DateFormat=P","Fill=—","Direction=H","UseDPDF=Y")</f>
        <v>#NAME?</v>
      </c>
      <c r="Z382" s="1" t="e">
        <f ca="1">_xll.BDH($C$378,"ACCOUNTS_RECEIVABLE_GROWTH","FQ4 2014","FQ4 2014","Currency=INR","Period=FQ","BEST_FPERIOD_OVERRIDE=FQ","FILING_STATUS=OR","EQY_CONSOLIDATED=Y","Sort=A","Dates=H","DateFormat=P","Fill=—","Direction=H","UseDPDF=Y")</f>
        <v>#NAME?</v>
      </c>
      <c r="AA382" s="1" t="e">
        <f ca="1">_xll.BDH($C$378,"INVENTORY_GROWTH","FQ4 2014","FQ4 2014","Currency=INR","Period=FQ","BEST_FPERIOD_OVERRIDE=FQ","FILING_STATUS=OR","EQY_CONSOLIDATED=Y","Sort=A","Dates=H","DateFormat=P","Fill=—","Direction=H","UseDPDF=Y")</f>
        <v>#NAME?</v>
      </c>
      <c r="AB382" s="1" t="e">
        <f ca="1">_xll.BDH($C$378,"NET_FIXED_ASSETS_1_YEAR_GROWTH","FQ4 2014","FQ4 2014","Currency=INR","Period=FQ","BEST_FPERIOD_OVERRIDE=FQ","FILING_STATUS=OR","EQY_CONSOLIDATED=Y","Sort=A","Dates=H","DateFormat=P","Fill=—","Direction=H","UseDPDF=Y")</f>
        <v>#NAME?</v>
      </c>
      <c r="AC382" s="1" t="e">
        <f ca="1">_xll.BDH($C$378,"ASSET_GROWTH","FQ4 2014","FQ4 2014","Currency=INR","Period=FQ","BEST_FPERIOD_OVERRIDE=FQ","FILING_STATUS=OR","EQY_CONSOLIDATED=Y","Sort=A","Dates=H","DateFormat=P","Fill=—","Direction=H","UseDPDF=Y")</f>
        <v>#NAME?</v>
      </c>
      <c r="AD382" s="1" t="e">
        <f ca="1">_xll.BDH($C$378,"MODIFIED_WORK_CAP_GROWTH","FQ4 2014","FQ4 2014","Currency=INR","Period=FQ","BEST_FPERIOD_OVERRIDE=FQ","FILING_STATUS=OR","EQY_CONSOLIDATED=Y","Sort=A","Dates=H","DateFormat=P","Fill=—","Direction=H","UseDPDF=Y")</f>
        <v>#NAME?</v>
      </c>
      <c r="AE382" s="1" t="e">
        <f ca="1">_xll.BDH($C$378,"WORK_CAP_GROWTH","FQ4 2014","FQ4 2014","Currency=INR","Period=FQ","BEST_FPERIOD_OVERRIDE=FQ","FILING_STATUS=OR","EQY_CONSOLIDATED=Y","Sort=A","Dates=H","DateFormat=P","Fill=—","Direction=H","UseDPDF=Y")</f>
        <v>#NAME?</v>
      </c>
      <c r="AF382" s="1" t="e">
        <f ca="1">_xll.BDH($C$378,"ACCOUNTS_PAYABLE_GROWTH_1YR","FQ4 2014","FQ4 2014","Currency=INR","Period=FQ","BEST_FPERIOD_OVERRIDE=FQ","FILING_STATUS=OR","EQY_CONSOLIDATED=Y","Sort=A","Dates=H","DateFormat=P","Fill=—","Direction=H","UseDPDF=Y")</f>
        <v>#NAME?</v>
      </c>
      <c r="AG382" s="1" t="e">
        <f ca="1">_xll.BDH($C$378,"SHORT_TERM_DEBT_1_YEAR_GROWTH","FQ4 2014","FQ4 2014","Currency=INR","Period=FQ","BEST_FPERIOD_OVERRIDE=FQ","FILING_STATUS=OR","EQY_CONSOLIDATED=Y","Sort=A","Dates=H","DateFormat=P","Fill=—","Direction=H","UseDPDF=Y")</f>
        <v>#NAME?</v>
      </c>
      <c r="AH382" s="1" t="e">
        <f ca="1">_xll.BDH($C$378,"TOTAL_DEBT_1_YEAR_GROWTH","FQ4 2014","FQ4 2014","Currency=INR","Period=FQ","BEST_FPERIOD_OVERRIDE=FQ","FILING_STATUS=OR","EQY_CONSOLIDATED=Y","Sort=A","Dates=H","DateFormat=P","Fill=—","Direction=H","UseDPDF=Y")</f>
        <v>#NAME?</v>
      </c>
      <c r="AI382" s="1" t="e">
        <f ca="1">_xll.BDH($C$378,"TOTAL_EQUITY_1_YEAR_GROWTH","FQ4 2014","FQ4 2014","Currency=INR","Period=FQ","BEST_FPERIOD_OVERRIDE=FQ","FILING_STATUS=OR","EQY_CONSOLIDATED=Y","Sort=A","Dates=H","DateFormat=P","Fill=—","Direction=H","UseDPDF=Y")</f>
        <v>#NAME?</v>
      </c>
      <c r="AJ382" s="1" t="e">
        <f ca="1">_xll.BDH($C$378,"GROWTH_IN_CAP","FQ4 2014","FQ4 2014","Currency=INR","Period=FQ","BEST_FPERIOD_OVERRIDE=FQ","FILING_STATUS=OR","EQY_CONSOLIDATED=Y","Sort=A","Dates=H","DateFormat=P","Fill=—","Direction=H","UseDPDF=Y")</f>
        <v>#NAME?</v>
      </c>
      <c r="AK382" s="1" t="e">
        <f ca="1">_xll.BDH($C$378,"BVPS_GROWTH","FQ4 2014","FQ4 2014","Currency=INR","Period=FQ","BEST_FPERIOD_OVERRIDE=FQ","FILING_STATUS=OR","EQY_CONSOLIDATED=Y","Sort=A","Dates=H","DateFormat=P","Fill=—","Direction=H","UseDPDF=Y")</f>
        <v>#NAME?</v>
      </c>
      <c r="AL382" s="1" t="e">
        <f ca="1">_xll.BDH($C$378,"CASH_FLOW_GROWTH","FQ4 2014","FQ4 2014","Currency=INR","Period=FQ","BEST_FPERIOD_OVERRIDE=FQ","FILING_STATUS=OR","EQY_CONSOLIDATED=Y","Sort=A","Dates=H","DateFormat=P","Fill=—","Direction=H","UseDPDF=Y")</f>
        <v>#NAME?</v>
      </c>
      <c r="AM382" s="1" t="e">
        <f ca="1">_xll.BDH($C$378,"GEO_GROW_NET_SALES","FQ4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82" s="1" t="e">
        <f ca="1">_xll.BDH($C$378,"GEO_GROW_EBITDA","FQ4 2014","FQ4 2014","Currency=INR","Period=FQ","BEST_FPERIOD_OVERRIDE=FQ","FILING_STATUS=OR","EQY_CONSOLIDATED=Y","FA_ADJUSTED=GAAP","Sort=A","Dates=H","DateFormat=P","Fill=—","Direction=H","UseDPDF=Y")</f>
        <v>#NAME?</v>
      </c>
      <c r="AO382" s="1" t="e">
        <f ca="1">_xll.BDH($C$378,"GEO_GROW_OPER_INC","FQ4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82" s="1" t="e">
        <f ca="1">_xll.BDH($C$378,"NET_INCOME_TO_COMMON_5_YR_GROWTH","FQ4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82" s="1" t="e">
        <f ca="1">_xll.BDH($C$378,"5Y_GEO_GROWTH_DILUTED_EPS","FQ4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82" s="1" t="e">
        <f ca="1">_xll.BDH($C$378,"GEO_GROW_DVD_PER_SH","FQ4 2014","FQ4 2014","Currency=INR","Period=FQ","BEST_FPERIOD_OVERRIDE=FQ","FILING_STATUS=OR","EQY_CONSOLIDATED=Y","Sort=A","Dates=H","DateFormat=P","Fill=—","Direction=H","UseDPDF=Y")</f>
        <v>#NAME?</v>
      </c>
      <c r="AS382" s="1" t="e">
        <f ca="1">_xll.BDH($C$378,"ACCOUNTS_RECEIVABLE_5_YR_GROWTH","FQ4 2014","FQ4 2014","Currency=INR","Period=FQ","BEST_FPERIOD_OVERRIDE=FQ","FILING_STATUS=OR","EQY_CONSOLIDATED=Y","Sort=A","Dates=H","DateFormat=P","Fill=—","Direction=H","UseDPDF=Y")</f>
        <v>#NAME?</v>
      </c>
      <c r="AT382" s="1" t="e">
        <f ca="1">_xll.BDH($C$378,"INVENTORY_5_YEAR_GROWTH","FQ4 2014","FQ4 2014","Currency=INR","Period=FQ","BEST_FPERIOD_OVERRIDE=FQ","FILING_STATUS=OR","EQY_CONSOLIDATED=Y","Sort=A","Dates=H","DateFormat=P","Fill=—","Direction=H","UseDPDF=Y")</f>
        <v>#NAME?</v>
      </c>
      <c r="AU382" s="1" t="e">
        <f ca="1">_xll.BDH($C$378,"NET_FIXED_ASSETS_5_YEAR_GROWTH","FQ4 2014","FQ4 2014","Currency=INR","Period=FQ","BEST_FPERIOD_OVERRIDE=FQ","FILING_STATUS=OR","EQY_CONSOLIDATED=Y","Sort=A","Dates=H","DateFormat=P","Fill=—","Direction=H","UseDPDF=Y")</f>
        <v>#NAME?</v>
      </c>
      <c r="AV382" s="1" t="e">
        <f ca="1">_xll.BDH($C$378,"GEO_GROW_TOT_ASSET","FQ4 2014","FQ4 2014","Currency=INR","Period=FQ","BEST_FPERIOD_OVERRIDE=FQ","FILING_STATUS=OR","EQY_CONSOLIDATED=Y","Sort=A","Dates=H","DateFormat=P","Fill=—","Direction=H","UseDPDF=Y")</f>
        <v>#NAME?</v>
      </c>
      <c r="AW382" s="1" t="e">
        <f ca="1">_xll.BDH($C$378,"MODIFIED_WORKING_CPTL_5YR_GRWTH","FQ4 2014","FQ4 2014","Currency=INR","Period=FQ","BEST_FPERIOD_OVERRIDE=FQ","FILING_STATUS=OR","EQY_CONSOLIDATED=Y","Sort=A","Dates=H","DateFormat=P","Fill=—","Direction=H","UseDPDF=Y")</f>
        <v>#NAME?</v>
      </c>
      <c r="AX382" s="1" t="e">
        <f ca="1">_xll.BDH($C$378,"WORKING_CAPITAL_5_YEAR_GROWTH","FQ4 2014","FQ4 2014","Currency=INR","Period=FQ","BEST_FPERIOD_OVERRIDE=FQ","FILING_STATUS=OR","EQY_CONSOLIDATED=Y","Sort=A","Dates=H","DateFormat=P","Fill=—","Direction=H","UseDPDF=Y")</f>
        <v>#NAME?</v>
      </c>
      <c r="AY382" s="1" t="e">
        <f ca="1">_xll.BDH($C$378,"ACCOUNTS_PAYABLE_5_YEAR_GROWTH","FQ4 2014","FQ4 2014","Currency=INR","Period=FQ","BEST_FPERIOD_OVERRIDE=FQ","FILING_STATUS=OR","EQY_CONSOLIDATED=Y","Sort=A","Dates=H","DateFormat=P","Fill=—","Direction=H","UseDPDF=Y")</f>
        <v>#NAME?</v>
      </c>
      <c r="AZ382" s="1" t="e">
        <f ca="1">_xll.BDH($C$378,"SHORT_TERM_DEBT_5_YEAR_GROWTH","FQ4 2014","FQ4 2014","Currency=INR","Period=FQ","BEST_FPERIOD_OVERRIDE=FQ","FILING_STATUS=OR","EQY_CONSOLIDATED=Y","Sort=A","Dates=H","DateFormat=P","Fill=—","Direction=H","UseDPDF=Y")</f>
        <v>#NAME?</v>
      </c>
      <c r="BA382" s="1" t="e">
        <f ca="1">_xll.BDH($C$378,"TOTAL_DEBT_5_YEAR_GROWTH","FQ4 2014","FQ4 2014","Currency=INR","Period=FQ","BEST_FPERIOD_OVERRIDE=FQ","FILING_STATUS=OR","EQY_CONSOLIDATED=Y","Sort=A","Dates=H","DateFormat=P","Fill=—","Direction=H","UseDPDF=Y")</f>
        <v>#NAME?</v>
      </c>
      <c r="BB382" s="1" t="e">
        <f ca="1">_xll.BDH($C$378,"GEO_GROW_TOT_SHRHLDR_EQY","FQ4 2014","FQ4 2014","Currency=INR","Period=FQ","BEST_FPERIOD_OVERRIDE=FQ","FILING_STATUS=OR","EQY_CONSOLIDATED=Y","Sort=A","Dates=H","DateFormat=P","Fill=—","Direction=H","UseDPDF=Y")</f>
        <v>#NAME?</v>
      </c>
      <c r="BC382" s="1" t="e">
        <f ca="1">_xll.BDH($C$378,"TOTAL_CAPITAL_5_YEAR_GROWTH","FQ4 2014","FQ4 2014","Currency=INR","Period=FQ","BEST_FPERIOD_OVERRIDE=FQ","FILING_STATUS=OR","EQY_CONSOLIDATED=Y","Sort=A","Dates=H","DateFormat=P","Fill=—","Direction=H","UseDPDF=Y")</f>
        <v>#NAME?</v>
      </c>
      <c r="BD382" s="1" t="e">
        <f ca="1">_xll.BDH($C$378,"GEO_GROW_BOOK_VAL","FQ4 2014","FQ4 2014","Currency=INR","Period=FQ","BEST_FPERIOD_OVERRIDE=FQ","FILING_STATUS=OR","EQY_CONSOLIDATED=Y","Sort=A","Dates=H","DateFormat=P","Fill=—","Direction=H","UseDPDF=Y")</f>
        <v>#NAME?</v>
      </c>
      <c r="BE382" s="1" t="e">
        <f ca="1">_xll.BDH($C$378,"GEO_GROW_CASH_OPER_ACT","FQ4 2014","FQ4 2014","Currency=INR","Period=FQ","BEST_FPERIOD_OVERRIDE=FQ","FILING_STATUS=OR","EQY_CONSOLIDATED=Y","Sort=A","Dates=H","DateFormat=P","Fill=—","Direction=H","UseDPDF=Y")</f>
        <v>#NAME?</v>
      </c>
      <c r="BF382" s="1" t="e">
        <f ca="1">_xll.BDH($C$378,"REVENUE_SEQUENTIAL_GROWTH","FQ4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82" s="1" t="e">
        <f ca="1">_xll.BDH($C$378,"EBITDA_SEQUENTIAL_GROWTH","FQ4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82" s="1" t="e">
        <f ca="1">_xll.BDH($C$378,"OPERATING_INCOME_SEQ_GROWTH","FQ4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82" s="1" t="e">
        <f ca="1">_xll.BDH($C$378,"NET_INCOME_TO_COMMON_SEQ_GROWTH","FQ4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82" s="1" t="e">
        <f ca="1">_xll.BDH($C$378,"EPS_DILUTED_SEQUENTIAL_GROWTH","FQ4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82" s="1" t="e">
        <f ca="1">_xll.BDH($C$378,"DPS_SEQUENTIAL_GROWTH","FQ4 2014","FQ4 2014","Currency=INR","Period=FQ","BEST_FPERIOD_OVERRIDE=FQ","FILING_STATUS=OR","EQY_CONSOLIDATED=Y","Sort=A","Dates=H","DateFormat=P","Fill=—","Direction=H","UseDPDF=Y")</f>
        <v>#NAME?</v>
      </c>
      <c r="BL382" s="1" t="e">
        <f ca="1">_xll.BDH($C$378,"ACCOUNTS_RECEIVABLE_SEQ_GROWTH","FQ4 2014","FQ4 2014","Currency=INR","Period=FQ","BEST_FPERIOD_OVERRIDE=FQ","FILING_STATUS=OR","EQY_CONSOLIDATED=Y","Sort=A","Dates=H","DateFormat=P","Fill=—","Direction=H","UseDPDF=Y")</f>
        <v>#NAME?</v>
      </c>
      <c r="BM382" s="1" t="e">
        <f ca="1">_xll.BDH($C$378,"INVENTORY_SEQUENTIAL_GROWTH","FQ4 2014","FQ4 2014","Currency=INR","Period=FQ","BEST_FPERIOD_OVERRIDE=FQ","FILING_STATUS=OR","EQY_CONSOLIDATED=Y","Sort=A","Dates=H","DateFormat=P","Fill=—","Direction=H","UseDPDF=Y")</f>
        <v>#NAME?</v>
      </c>
      <c r="BN382" s="1" t="e">
        <f ca="1">_xll.BDH($C$378,"FIXED_ASSETS_SEQUENTIAL_GROWTH","FQ4 2014","FQ4 2014","Currency=INR","Period=FQ","BEST_FPERIOD_OVERRIDE=FQ","FILING_STATUS=OR","EQY_CONSOLIDATED=Y","Sort=A","Dates=H","DateFormat=P","Fill=—","Direction=H","UseDPDF=Y")</f>
        <v>#NAME?</v>
      </c>
      <c r="BO382" s="1" t="e">
        <f ca="1">_xll.BDH($C$378,"TOTAL_ASSETS_SEQUENTIAL_GROWTH","FQ4 2014","FQ4 2014","Currency=INR","Period=FQ","BEST_FPERIOD_OVERRIDE=FQ","FILING_STATUS=OR","EQY_CONSOLIDATED=Y","Sort=A","Dates=H","DateFormat=P","Fill=—","Direction=H","UseDPDF=Y")</f>
        <v>#NAME?</v>
      </c>
      <c r="BP382" s="1" t="e">
        <f ca="1">_xll.BDH($C$378,"MODIFIED_WORKING_CPTL_SEQ_GRWTH","FQ4 2014","FQ4 2014","Currency=INR","Period=FQ","BEST_FPERIOD_OVERRIDE=FQ","FILING_STATUS=OR","EQY_CONSOLIDATED=Y","Sort=A","Dates=H","DateFormat=P","Fill=—","Direction=H","UseDPDF=Y")</f>
        <v>#NAME?</v>
      </c>
      <c r="BQ382" s="1" t="e">
        <f ca="1">_xll.BDH($C$378,"WORKING_CAPITAL_SEQ_GROWTH","FQ4 2014","FQ4 2014","Currency=INR","Period=FQ","BEST_FPERIOD_OVERRIDE=FQ","FILING_STATUS=OR","EQY_CONSOLIDATED=Y","Sort=A","Dates=H","DateFormat=P","Fill=—","Direction=H","UseDPDF=Y")</f>
        <v>#NAME?</v>
      </c>
      <c r="BR382" s="1" t="e">
        <f ca="1">_xll.BDH($C$378,"ACCOUNTS_PAYABLE_SEQ_GROWTH","FQ4 2014","FQ4 2014","Currency=INR","Period=FQ","BEST_FPERIOD_OVERRIDE=FQ","FILING_STATUS=OR","EQY_CONSOLIDATED=Y","Sort=A","Dates=H","DateFormat=P","Fill=—","Direction=H","UseDPDF=Y")</f>
        <v>#NAME?</v>
      </c>
      <c r="BS382" s="1" t="e">
        <f ca="1">_xll.BDH($C$378,"ST_DEBT_SEQUENTIAL_GROWTH","FQ4 2014","FQ4 2014","Currency=INR","Period=FQ","BEST_FPERIOD_OVERRIDE=FQ","FILING_STATUS=OR","EQY_CONSOLIDATED=Y","Sort=A","Dates=H","DateFormat=P","Fill=—","Direction=H","UseDPDF=Y")</f>
        <v>#NAME?</v>
      </c>
      <c r="BT382" s="1" t="e">
        <f ca="1">_xll.BDH($C$378,"TOTAL_DEBT_SEQUENTIAL_GROWTH","FQ4 2014","FQ4 2014","Currency=INR","Period=FQ","BEST_FPERIOD_OVERRIDE=FQ","FILING_STATUS=OR","EQY_CONSOLIDATED=Y","Sort=A","Dates=H","DateFormat=P","Fill=—","Direction=H","UseDPDF=Y")</f>
        <v>#NAME?</v>
      </c>
      <c r="BU382" s="1" t="e">
        <f ca="1">_xll.BDH($C$378,"TOTAL_EQUITY_SEQUENTIAL_GROWTH","FQ4 2014","FQ4 2014","Currency=INR","Period=FQ","BEST_FPERIOD_OVERRIDE=FQ","FILING_STATUS=OR","EQY_CONSOLIDATED=Y","Sort=A","Dates=H","DateFormat=P","Fill=—","Direction=H","UseDPDF=Y")</f>
        <v>#NAME?</v>
      </c>
      <c r="BV382" s="1" t="e">
        <f ca="1">_xll.BDH($C$378,"TOTAL_CAPITAL_SEQUENTIAL_GROWTH","FQ4 2014","FQ4 2014","Currency=INR","Period=FQ","BEST_FPERIOD_OVERRIDE=FQ","FILING_STATUS=OR","EQY_CONSOLIDATED=Y","Sort=A","Dates=H","DateFormat=P","Fill=—","Direction=H","UseDPDF=Y")</f>
        <v>#NAME?</v>
      </c>
      <c r="BW382" s="1" t="e">
        <f ca="1">_xll.BDH($C$378,"BPS_SEQUENTIAL_GROWTH","FQ4 2014","FQ4 2014","Currency=INR","Period=FQ","BEST_FPERIOD_OVERRIDE=FQ","FILING_STATUS=OR","EQY_CONSOLIDATED=Y","Sort=A","Dates=H","DateFormat=P","Fill=—","Direction=H","UseDPDF=Y")</f>
        <v>#NAME?</v>
      </c>
      <c r="BX382" s="1" t="e">
        <f ca="1">_xll.BDH($C$378,"CFO_SEQUENTIAL_GROWTH","FQ4 2014","FQ4 2014","Currency=INR","Period=FQ","BEST_FPERIOD_OVERRIDE=FQ","FILING_STATUS=OR","EQY_CONSOLIDATED=Y","Sort=A","Dates=H","DateFormat=P","Fill=—","Direction=H","UseDPDF=Y")</f>
        <v>#NAME?</v>
      </c>
      <c r="BY382" s="2" t="e">
        <f ca="1">_xll.BDH($C$378,"SHORT_AND_LONG_TERM_DEBT","FQ4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82" s="2" t="e">
        <f ca="1">_xll.BDH($C$378,"BS_ST_BORROW","FQ4 2014","FQ4 2014","Currency=INR","Period=FQ","BEST_FPERIOD_OVERRIDE=FQ","FILING_STATUS=OR","EQY_CONSOLIDATED=Y","SCALING_FORMAT=MLN","Sort=A","Dates=H","DateFormat=P","Fill=—","Direction=H","UseDPDF=Y")</f>
        <v>#NAME?</v>
      </c>
      <c r="CA382" s="2" t="e">
        <f ca="1">_xll.BDH($C$378,"BS_LT_BORROW","FQ4 2014","FQ4 2014","Currency=INR","Period=FQ","BEST_FPERIOD_OVERRIDE=FQ","FILING_STATUS=OR","EQY_CONSOLIDATED=Y","SCALING_FORMAT=MLN","Sort=A","Dates=H","DateFormat=P","Fill=—","Direction=H","UseDPDF=Y")</f>
        <v>#NAME?</v>
      </c>
      <c r="CB382" s="1" t="e">
        <f ca="1">_xll.BDH($C$378,"TOT_DEBT_TO_EBITDA","FQ4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82" s="1" t="e">
        <f ca="1">_xll.BDH($C$378,"NET_DEBT_TO_EBITDA","FQ4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82" s="1" t="e">
        <f ca="1">_xll.BDH($C$378,"TOTAL_DEBT_TO_EBIT","FQ4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82" s="1" t="e">
        <f ca="1">_xll.BDH($C$378,"NET_DEBT_TO_EBIT","FQ4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382" s="1" t="e">
        <f ca="1">_xll.BDH($C$378,"EBITDA_TO_INTEREST_EXPN","FQ4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82" s="1" t="e">
        <f ca="1">_xll.BDH($C$378,"COM_EQY_TO_TOT_ASSET","FQ4 2014","FQ4 2014","Currency=INR","Period=FQ","BEST_FPERIOD_OVERRIDE=FQ","FILING_STATUS=OR","EQY_CONSOLIDATED=Y","Sort=A","Dates=H","DateFormat=P","Fill=—","Direction=H","UseDPDF=Y")</f>
        <v>#NAME?</v>
      </c>
      <c r="CH382" s="1" t="e">
        <f ca="1">_xll.BDH($C$378,"LT_DEBT_TO_TOT_EQY","FQ4 2014","FQ4 2014","Currency=INR","Period=FQ","BEST_FPERIOD_OVERRIDE=FQ","FILING_STATUS=OR","EQY_CONSOLIDATED=Y","Sort=A","Dates=H","DateFormat=P","Fill=—","Direction=H","UseDPDF=Y")</f>
        <v>#NAME?</v>
      </c>
      <c r="CI382" s="1" t="e">
        <f ca="1">_xll.BDH($C$378,"LT_DEBT_TO_TOT_CAP","FQ4 2014","FQ4 2014","Currency=INR","Period=FQ","BEST_FPERIOD_OVERRIDE=FQ","FILING_STATUS=OR","EQY_CONSOLIDATED=Y","Sort=A","Dates=H","DateFormat=P","Fill=—","Direction=H","UseDPDF=Y")</f>
        <v>#NAME?</v>
      </c>
      <c r="CJ382" s="1" t="e">
        <f ca="1">_xll.BDH($C$378,"LT_DEBT_TO_TOT_ASSET","FQ4 2014","FQ4 2014","Currency=INR","Period=FQ","BEST_FPERIOD_OVERRIDE=FQ","FILING_STATUS=OR","EQY_CONSOLIDATED=Y","Sort=A","Dates=H","DateFormat=P","Fill=—","Direction=H","UseDPDF=Y")</f>
        <v>#NAME?</v>
      </c>
      <c r="CK382" s="1" t="e">
        <f ca="1">_xll.BDH($C$378,"TOT_DEBT_TO_TOT_EQY","FQ4 2014","FQ4 2014","Currency=INR","Period=FQ","BEST_FPERIOD_OVERRIDE=FQ","FILING_STATUS=OR","EQY_CONSOLIDATED=Y","Sort=A","Dates=H","DateFormat=P","Fill=—","Direction=H","UseDPDF=Y")</f>
        <v>#NAME?</v>
      </c>
      <c r="CL382" s="1" t="e">
        <f ca="1">_xll.BDH($C$378,"TOT_DEBT_TO_TOT_CAP","FQ4 2014","FQ4 2014","Currency=INR","Period=FQ","BEST_FPERIOD_OVERRIDE=FQ","FILING_STATUS=OR","EQY_CONSOLIDATED=Y","Sort=A","Dates=H","DateFormat=P","Fill=—","Direction=H","UseDPDF=Y")</f>
        <v>#NAME?</v>
      </c>
      <c r="CM382" s="1" t="e">
        <f ca="1">_xll.BDH($C$378,"TOT_DEBT_TO_TOT_ASSET","FQ4 2014","FQ4 2014","Currency=INR","Period=FQ","BEST_FPERIOD_OVERRIDE=FQ","FILING_STATUS=OR","EQY_CONSOLIDATED=Y","Sort=A","Dates=H","DateFormat=P","Fill=—","Direction=H","UseDPDF=Y")</f>
        <v>#NAME?</v>
      </c>
      <c r="CN382" s="1" t="e">
        <f ca="1">_xll.BDH($C$378,"NET_DEBT_TO_SHRHLDR_EQTY","FQ4 2014","FQ4 2014","Currency=INR","Period=FQ","BEST_FPERIOD_OVERRIDE=FQ","FILING_STATUS=OR","EQY_CONSOLIDATED=Y","Sort=A","Dates=H","DateFormat=P","Fill=—","Direction=H","UseDPDF=Y")</f>
        <v>#NAME?</v>
      </c>
      <c r="CO382" s="1" t="e">
        <f ca="1">_xll.BDH($C$378,"NET_DEBT_%_CAPITAL","FQ4 2014","FQ4 2014","Currency=INR","Period=FQ","BEST_FPERIOD_OVERRIDE=FQ","FILING_STATUS=OR","EQY_CONSOLIDATED=Y","Sort=A","Dates=H","DateFormat=P","Fill=—","Direction=H","UseDPDF=Y")</f>
        <v>#NAME?</v>
      </c>
      <c r="CP382" s="2" t="e">
        <f ca="1">_xll.BDH($C$378,"EBITDA","FQ4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82" s="2" t="e">
        <f ca="1">_xll.BDH($C$378,"EBITDA_AFTER_CAPEX","FQ4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82" s="2" t="e">
        <f ca="1">_xll.BDH($C$378,"IS_OPER_INC","FQ4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82" s="1" t="e">
        <f ca="1">_xll.BDH($C$378,"CASH_RATIO","FQ4 2014","FQ4 2014","Currency=INR","Period=FQ","BEST_FPERIOD_OVERRIDE=FQ","FILING_STATUS=OR","EQY_CONSOLIDATED=Y","Sort=A","Dates=H","DateFormat=P","Fill=—","Direction=H","UseDPDF=Y")</f>
        <v>#NAME?</v>
      </c>
      <c r="CT382" s="1" t="e">
        <f ca="1">_xll.BDH($C$378,"CUR_RATIO","FQ4 2014","FQ4 2014","Currency=INR","Period=FQ","BEST_FPERIOD_OVERRIDE=FQ","FILING_STATUS=OR","EQY_CONSOLIDATED=Y","Sort=A","Dates=H","DateFormat=P","Fill=—","Direction=H","UseDPDF=Y")</f>
        <v>#NAME?</v>
      </c>
      <c r="CU382" s="1" t="e">
        <f ca="1">_xll.BDH($C$378,"QUICK_RATIO","FQ4 2014","FQ4 2014","Currency=INR","Period=FQ","BEST_FPERIOD_OVERRIDE=FQ","FILING_STATUS=OR","EQY_CONSOLIDATED=Y","Sort=A","Dates=H","DateFormat=P","Fill=—","Direction=H","UseDPDF=Y")</f>
        <v>#NAME?</v>
      </c>
      <c r="CV382" s="1" t="e">
        <f ca="1">_xll.BDH($C$378,"ALTMAN_Z_SCORE","FQ4 2014","FQ4 2014","Currency=INR","Period=FQ","BEST_FPERIOD_OVERRIDE=FQ","FILING_STATUS=OR","EQY_CONSOLIDATED=Y","Sort=A","Dates=H","DateFormat=P","Fill=—","Direction=H","UseDPDF=Y")</f>
        <v>#NAME?</v>
      </c>
      <c r="CW382" s="3" t="e">
        <f ca="1">_xll.BDH($C$378,"ACCT_RCV_TURN","FQ4 2014","FQ4 2014","Currency=INR","Period=FQ","BEST_FPERIOD_OVERRIDE=FQ","FILING_STATUS=OR","EQY_CONSOLIDATED=Y","FA_ADJUSTED=GAAP","Sort=A","Dates=H","DateFormat=P","Fill=—","Direction=H","UseDPDF=Y")</f>
        <v>#NAME?</v>
      </c>
      <c r="CX382" s="1" t="e">
        <f ca="1">_xll.BDH($C$378,"ACCT_RCV_DAYS","FQ4 2014","FQ4 2014","Currency=INR","Period=FQ","BEST_FPERIOD_OVERRIDE=FQ","FILING_STATUS=OR","EQY_CONSOLIDATED=Y","FA_ADJUSTED=GAAP","Sort=A","Dates=H","DateFormat=P","Fill=—","Direction=H","UseDPDF=Y")</f>
        <v>#NAME?</v>
      </c>
      <c r="CY382" s="3" t="e">
        <f ca="1">_xll.BDH($C$378,"INVENT_TURN","FQ4 2014","FQ4 2014","Currency=INR","Period=FQ","BEST_FPERIOD_OVERRIDE=FQ","FILING_STATUS=OR","EQY_CONSOLIDATED=Y","FA_ADJUSTED=GAAP","Sort=A","Dates=H","DateFormat=P","Fill=—","Direction=H","UseDPDF=Y")</f>
        <v>#NAME?</v>
      </c>
      <c r="CZ382" s="1" t="e">
        <f ca="1">_xll.BDH($C$378,"INVENT_DAYS","FQ4 2014","FQ4 2014","Currency=INR","Period=FQ","BEST_FPERIOD_OVERRIDE=FQ","FILING_STATUS=OR","EQY_CONSOLIDATED=Y","FA_ADJUSTED=GAAP","Sort=A","Dates=H","DateFormat=P","Fill=—","Direction=H","UseDPDF=Y")</f>
        <v>#NAME?</v>
      </c>
      <c r="DA382" s="3" t="e">
        <f ca="1">_xll.BDH($C$378,"ACCOUNTS_PAYABLE_TURNOVER","FQ4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82" s="1" t="e">
        <f ca="1">_xll.BDH($C$378,"ACCOUNTS_PAYABLE_TURNOVER_DAYS","FQ4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82" s="3" t="e">
        <f ca="1">_xll.BDH($C$378,"CASH_CONVERSION_CYCLE","FQ4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82" s="3" t="e">
        <f ca="1">_xll.BDH($C$378,"INV_TO_CASH_DAYS","FQ4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382" s="4" t="e">
        <f ca="1">_xll.BDH($C$378,"BS_INVENTORIES","FQ4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382" s="2" t="e">
        <f ca="1">_xll.BDH($C$378,"INVTRY_RAW_MATERIALS","FQ4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82" s="2" t="e">
        <f ca="1">_xll.BDH($C$378,"INVTRY_IN_PROGRESS","FQ4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82" s="2" t="e">
        <f ca="1">_xll.BDH($C$378,"INVTRY_FINISHED_GOODS","FQ4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82" s="2" t="e">
        <f ca="1">_xll.BDH($C$378,"BS_OTHER_INV","FQ4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83" spans="1:113" x14ac:dyDescent="0.3">
      <c r="A383" s="6"/>
      <c r="B383" s="6"/>
      <c r="C383" s="6"/>
      <c r="D383" s="6" t="s">
        <v>8</v>
      </c>
      <c r="E383" t="s">
        <v>3</v>
      </c>
      <c r="F383" t="e">
        <f ca="1">_xll.BDH($C$378,"RETURN_COM_EQY","FY 2015","FY 2015","Currency=INR","Period=FY","BEST_FPERIOD_OVERRIDE=FY","FILING_STATUS=OR","EQY_CONSOLIDATED=Y","FA_ADJUSTED=GAAP","Sort=A","Dates=H","DateFormat=P","Fill=—","Direction=H","UseDPDF=Y")</f>
        <v>#NAME?</v>
      </c>
      <c r="G383" t="e">
        <f ca="1">_xll.BDH($C$378,"RETURN_ON_ASSET","FY 2015","FY 2015","Currency=INR","Period=FY","BEST_FPERIOD_OVERRIDE=FY","FILING_STATUS=OR","EQY_CONSOLIDATED=Y","FA_ADJUSTED=GAAP","Sort=A","Dates=H","DateFormat=P","Fill=—","Direction=H","UseDPDF=Y")</f>
        <v>#NAME?</v>
      </c>
      <c r="H383" t="e">
        <f ca="1">_xll.BDH($C$378,"RETURN_ON_CAP","FY 2015","FY 2015","Currency=INR","Period=FY","BEST_FPERIOD_OVERRIDE=FY","FILING_STATUS=OR","EQY_CONSOLIDATED=Y","FA_ADJUSTED=GAAP","Sort=A","Dates=H","DateFormat=P","Fill=—","Direction=H","UseDPDF=Y")</f>
        <v>#NAME?</v>
      </c>
      <c r="I383" t="e">
        <f ca="1">_xll.BDH($C$378,"RETURN_ON_INV_CAPITAL","FY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83" t="e">
        <f ca="1">_xll.BDH($C$378,"EBITDA_TO_REVENUE","FY 2015","FY 2015","Currency=INR","Period=FY","BEST_FPERIOD_OVERRIDE=FY","FILING_STATUS=OR","EQY_CONSOLIDATED=Y","FA_ADJUSTED=GAAP","Sort=A","Dates=H","DateFormat=P","Fill=—","Direction=H","UseDPDF=Y")</f>
        <v>#NAME?</v>
      </c>
      <c r="K383" t="e">
        <f ca="1">_xll.BDH($C$378,"OPER_MARGIN","FY 2015","FY 2015","Currency=INR","Period=FY","BEST_FPERIOD_OVERRIDE=FY","FILING_STATUS=OR","EQY_CONSOLIDATED=Y","FA_ADJUSTED=GAAP","Sort=A","Dates=H","DateFormat=P","Fill=—","Direction=H","UseDPDF=Y")</f>
        <v>#NAME?</v>
      </c>
      <c r="L383" t="e">
        <f ca="1">_xll.BDH($C$378,"INCREMENTAL_OPERATING_MARGIN","FY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83" t="e">
        <f ca="1">_xll.BDH($C$378,"PRETAX_INC_TO_NET_SALES","FY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83" t="e">
        <f ca="1">_xll.BDH($C$378,"INC_BEF_XO_ITEMS_TO_NET_SALES","FY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83" t="e">
        <f ca="1">_xll.BDH($C$378,"PROF_MARGIN","FY 2015","FY 2015","Currency=INR","Period=FY","BEST_FPERIOD_OVERRIDE=FY","FILING_STATUS=OR","EQY_CONSOLIDATED=Y","FA_ADJUSTED=GAAP","Sort=A","Dates=H","DateFormat=P","Fill=—","Direction=H","UseDPDF=Y")</f>
        <v>#NAME?</v>
      </c>
      <c r="P383" t="e">
        <f ca="1">_xll.BDH($C$378,"NET_INCOME_TO_COMMON_MARGIN","FY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83" t="e">
        <f ca="1">_xll.BDH($C$378,"EFF_TAX_RATE","FY 2015","FY 2015","Currency=INR","Period=FY","BEST_FPERIOD_OVERRIDE=FY","FILING_STATUS=OR","EQY_CONSOLIDATED=Y","FA_ADJUSTED=GAAP","Sort=A","Dates=H","DateFormat=P","Fill=—","Direction=H","UseDPDF=Y")</f>
        <v>#NAME?</v>
      </c>
      <c r="R383" t="e">
        <f ca="1">_xll.BDH($C$378,"DVD_PAYOUT_RATIO","FY 2015","FY 2015","Currency=INR","Period=FY","BEST_FPERIOD_OVERRIDE=FY","FILING_STATUS=OR","EQY_CONSOLIDATED=Y","FA_ADJUSTED=GAAP","Sort=A","Dates=H","DateFormat=P","Fill=—","Direction=H","UseDPDF=Y")</f>
        <v>#NAME?</v>
      </c>
      <c r="S383" t="e">
        <f ca="1">_xll.BDH($C$378,"SUSTAIN_GROWTH_RT","FY 2015","FY 2015","Currency=INR","Period=FY","BEST_FPERIOD_OVERRIDE=FY","FILING_STATUS=OR","EQY_CONSOLIDATED=Y","FA_ADJUSTED=GAAP","Sort=A","Dates=H","DateFormat=P","Fill=—","Direction=H","UseDPDF=Y")</f>
        <v>#NAME?</v>
      </c>
      <c r="T383" s="1" t="e">
        <f ca="1">_xll.BDH($C$378,"SALES_GROWTH","FY 2015","FY 2015","Currency=INR","Period=FY","BEST_FPERIOD_OVERRIDE=FY","FILING_STATUS=OR","EQY_CONSOLIDATED=Y","FA_ADJUSTED=GAAP","Sort=A","Dates=H","DateFormat=P","Fill=—","Direction=H","UseDPDF=Y")</f>
        <v>#NAME?</v>
      </c>
      <c r="U383" s="1" t="e">
        <f ca="1">_xll.BDH($C$378,"EBITDA_GROWTH","FY 2015","FY 2015","Currency=INR","Period=FY","BEST_FPERIOD_OVERRIDE=FY","FILING_STATUS=OR","EQY_CONSOLIDATED=Y","FA_ADJUSTED=GAAP","Sort=A","Dates=H","DateFormat=P","Fill=—","Direction=H","UseDPDF=Y")</f>
        <v>#NAME?</v>
      </c>
      <c r="V383" s="1" t="e">
        <f ca="1">_xll.BDH($C$378,"OPER_INC_GROWTH","FY 2015","FY 2015","Currency=INR","Period=FY","BEST_FPERIOD_OVERRIDE=FY","FILING_STATUS=OR","EQY_CONSOLIDATED=Y","FA_ADJUSTED=GAAP","Sort=A","Dates=H","DateFormat=P","Fill=—","Direction=H","UseDPDF=Y")</f>
        <v>#NAME?</v>
      </c>
      <c r="W383" s="1" t="e">
        <f ca="1">_xll.BDH($C$378,"EARN_FOR_COM_GROWTH","FY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383" s="1" t="e">
        <f ca="1">_xll.BDH($C$378,"DILUTED_EPS_AFT_XO_ITEMS_GROWTH","FY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83" s="1" t="e">
        <f ca="1">_xll.BDH($C$378,"DIVIDEND_PER_SHARE_1_YEAR_GROWTH","FY 2015","FY 2015","Currency=INR","Period=FY","BEST_FPERIOD_OVERRIDE=FY","FILING_STATUS=OR","EQY_CONSOLIDATED=Y","Sort=A","Dates=H","DateFormat=P","Fill=—","Direction=H","UseDPDF=Y")</f>
        <v>#NAME?</v>
      </c>
      <c r="Z383" s="1" t="e">
        <f ca="1">_xll.BDH($C$378,"ACCOUNTS_RECEIVABLE_GROWTH","FY 2015","FY 2015","Currency=INR","Period=FY","BEST_FPERIOD_OVERRIDE=FY","FILING_STATUS=OR","EQY_CONSOLIDATED=Y","Sort=A","Dates=H","DateFormat=P","Fill=—","Direction=H","UseDPDF=Y")</f>
        <v>#NAME?</v>
      </c>
      <c r="AA383" s="1" t="e">
        <f ca="1">_xll.BDH($C$378,"INVENTORY_GROWTH","FY 2015","FY 2015","Currency=INR","Period=FY","BEST_FPERIOD_OVERRIDE=FY","FILING_STATUS=OR","EQY_CONSOLIDATED=Y","Sort=A","Dates=H","DateFormat=P","Fill=—","Direction=H","UseDPDF=Y")</f>
        <v>#NAME?</v>
      </c>
      <c r="AB383" s="1" t="e">
        <f ca="1">_xll.BDH($C$378,"NET_FIXED_ASSETS_1_YEAR_GROWTH","FY 2015","FY 2015","Currency=INR","Period=FY","BEST_FPERIOD_OVERRIDE=FY","FILING_STATUS=OR","EQY_CONSOLIDATED=Y","Sort=A","Dates=H","DateFormat=P","Fill=—","Direction=H","UseDPDF=Y")</f>
        <v>#NAME?</v>
      </c>
      <c r="AC383" s="1" t="e">
        <f ca="1">_xll.BDH($C$378,"ASSET_GROWTH","FY 2015","FY 2015","Currency=INR","Period=FY","BEST_FPERIOD_OVERRIDE=FY","FILING_STATUS=OR","EQY_CONSOLIDATED=Y","Sort=A","Dates=H","DateFormat=P","Fill=—","Direction=H","UseDPDF=Y")</f>
        <v>#NAME?</v>
      </c>
      <c r="AD383" s="1" t="e">
        <f ca="1">_xll.BDH($C$378,"MODIFIED_WORK_CAP_GROWTH","FY 2015","FY 2015","Currency=INR","Period=FY","BEST_FPERIOD_OVERRIDE=FY","FILING_STATUS=OR","EQY_CONSOLIDATED=Y","Sort=A","Dates=H","DateFormat=P","Fill=—","Direction=H","UseDPDF=Y")</f>
        <v>#NAME?</v>
      </c>
      <c r="AE383" s="1" t="e">
        <f ca="1">_xll.BDH($C$378,"WORK_CAP_GROWTH","FY 2015","FY 2015","Currency=INR","Period=FY","BEST_FPERIOD_OVERRIDE=FY","FILING_STATUS=OR","EQY_CONSOLIDATED=Y","Sort=A","Dates=H","DateFormat=P","Fill=—","Direction=H","UseDPDF=Y")</f>
        <v>#NAME?</v>
      </c>
      <c r="AF383" s="1" t="e">
        <f ca="1">_xll.BDH($C$378,"ACCOUNTS_PAYABLE_GROWTH_1YR","FY 2015","FY 2015","Currency=INR","Period=FY","BEST_FPERIOD_OVERRIDE=FY","FILING_STATUS=OR","EQY_CONSOLIDATED=Y","Sort=A","Dates=H","DateFormat=P","Fill=—","Direction=H","UseDPDF=Y")</f>
        <v>#NAME?</v>
      </c>
      <c r="AG383" s="1" t="e">
        <f ca="1">_xll.BDH($C$378,"SHORT_TERM_DEBT_1_YEAR_GROWTH","FY 2015","FY 2015","Currency=INR","Period=FY","BEST_FPERIOD_OVERRIDE=FY","FILING_STATUS=OR","EQY_CONSOLIDATED=Y","Sort=A","Dates=H","DateFormat=P","Fill=—","Direction=H","UseDPDF=Y")</f>
        <v>#NAME?</v>
      </c>
      <c r="AH383" s="1" t="e">
        <f ca="1">_xll.BDH($C$378,"TOTAL_DEBT_1_YEAR_GROWTH","FY 2015","FY 2015","Currency=INR","Period=FY","BEST_FPERIOD_OVERRIDE=FY","FILING_STATUS=OR","EQY_CONSOLIDATED=Y","Sort=A","Dates=H","DateFormat=P","Fill=—","Direction=H","UseDPDF=Y")</f>
        <v>#NAME?</v>
      </c>
      <c r="AI383" s="1" t="e">
        <f ca="1">_xll.BDH($C$378,"TOTAL_EQUITY_1_YEAR_GROWTH","FY 2015","FY 2015","Currency=INR","Period=FY","BEST_FPERIOD_OVERRIDE=FY","FILING_STATUS=OR","EQY_CONSOLIDATED=Y","Sort=A","Dates=H","DateFormat=P","Fill=—","Direction=H","UseDPDF=Y")</f>
        <v>#NAME?</v>
      </c>
      <c r="AJ383" s="1" t="e">
        <f ca="1">_xll.BDH($C$378,"GROWTH_IN_CAP","FY 2015","FY 2015","Currency=INR","Period=FY","BEST_FPERIOD_OVERRIDE=FY","FILING_STATUS=OR","EQY_CONSOLIDATED=Y","Sort=A","Dates=H","DateFormat=P","Fill=—","Direction=H","UseDPDF=Y")</f>
        <v>#NAME?</v>
      </c>
      <c r="AK383" s="1" t="e">
        <f ca="1">_xll.BDH($C$378,"BVPS_GROWTH","FY 2015","FY 2015","Currency=INR","Period=FY","BEST_FPERIOD_OVERRIDE=FY","FILING_STATUS=OR","EQY_CONSOLIDATED=Y","Sort=A","Dates=H","DateFormat=P","Fill=—","Direction=H","UseDPDF=Y")</f>
        <v>#NAME?</v>
      </c>
      <c r="AL383" s="1" t="e">
        <f ca="1">_xll.BDH($C$378,"CASH_FLOW_GROWTH","FY 2015","FY 2015","Currency=INR","Period=FY","BEST_FPERIOD_OVERRIDE=FY","FILING_STATUS=OR","EQY_CONSOLIDATED=Y","Sort=A","Dates=H","DateFormat=P","Fill=—","Direction=H","UseDPDF=Y")</f>
        <v>#NAME?</v>
      </c>
      <c r="AM383" s="1" t="e">
        <f ca="1">_xll.BDH($C$378,"GEO_GROW_NET_SALES","FY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383" s="1" t="e">
        <f ca="1">_xll.BDH($C$378,"GEO_GROW_EBITDA","FY 2015","FY 2015","Currency=INR","Period=FY","BEST_FPERIOD_OVERRIDE=FY","FILING_STATUS=OR","EQY_CONSOLIDATED=Y","FA_ADJUSTED=GAAP","Sort=A","Dates=H","DateFormat=P","Fill=—","Direction=H","UseDPDF=Y")</f>
        <v>#NAME?</v>
      </c>
      <c r="AO383" s="1" t="e">
        <f ca="1">_xll.BDH($C$378,"GEO_GROW_OPER_INC","FY 2015","FY 2015","Currency=INR","Period=FY","BEST_FPERIOD_OVERRIDE=FY","FILING_STATUS=OR","EQY_CONSOLIDATED=Y","FA_ADJUSTED=GAAP","Sort=A","Dates=H","DateFormat=P","Fill=—","Direction=H","UseDPDF=Y")</f>
        <v>#NAME?</v>
      </c>
      <c r="AP383" s="1" t="e">
        <f ca="1">_xll.BDH($C$378,"NET_INCOME_TO_COMMON_5_YR_GROWTH","FY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83" s="1" t="e">
        <f ca="1">_xll.BDH($C$378,"5Y_GEO_GROWTH_DILUTED_EPS","FY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83" s="1" t="e">
        <f ca="1">_xll.BDH($C$378,"GEO_GROW_DVD_PER_SH","FY 2015","FY 2015","Currency=INR","Period=FY","BEST_FPERIOD_OVERRIDE=FY","FILING_STATUS=OR","EQY_CONSOLIDATED=Y","Sort=A","Dates=H","DateFormat=P","Fill=—","Direction=H","UseDPDF=Y")</f>
        <v>#NAME?</v>
      </c>
      <c r="AS383" s="1" t="e">
        <f ca="1">_xll.BDH($C$378,"ACCOUNTS_RECEIVABLE_5_YR_GROWTH","FY 2015","FY 2015","Currency=INR","Period=FY","BEST_FPERIOD_OVERRIDE=FY","FILING_STATUS=OR","EQY_CONSOLIDATED=Y","Sort=A","Dates=H","DateFormat=P","Fill=—","Direction=H","UseDPDF=Y")</f>
        <v>#NAME?</v>
      </c>
      <c r="AT383" s="1" t="e">
        <f ca="1">_xll.BDH($C$378,"INVENTORY_5_YEAR_GROWTH","FY 2015","FY 2015","Currency=INR","Period=FY","BEST_FPERIOD_OVERRIDE=FY","FILING_STATUS=OR","EQY_CONSOLIDATED=Y","Sort=A","Dates=H","DateFormat=P","Fill=—","Direction=H","UseDPDF=Y")</f>
        <v>#NAME?</v>
      </c>
      <c r="AU383" s="1" t="e">
        <f ca="1">_xll.BDH($C$378,"NET_FIXED_ASSETS_5_YEAR_GROWTH","FY 2015","FY 2015","Currency=INR","Period=FY","BEST_FPERIOD_OVERRIDE=FY","FILING_STATUS=OR","EQY_CONSOLIDATED=Y","Sort=A","Dates=H","DateFormat=P","Fill=—","Direction=H","UseDPDF=Y")</f>
        <v>#NAME?</v>
      </c>
      <c r="AV383" s="1" t="e">
        <f ca="1">_xll.BDH($C$378,"GEO_GROW_TOT_ASSET","FY 2015","FY 2015","Currency=INR","Period=FY","BEST_FPERIOD_OVERRIDE=FY","FILING_STATUS=OR","EQY_CONSOLIDATED=Y","Sort=A","Dates=H","DateFormat=P","Fill=—","Direction=H","UseDPDF=Y")</f>
        <v>#NAME?</v>
      </c>
      <c r="AW383" s="1" t="e">
        <f ca="1">_xll.BDH($C$378,"MODIFIED_WORKING_CPTL_5YR_GRWTH","FY 2015","FY 2015","Currency=INR","Period=FY","BEST_FPERIOD_OVERRIDE=FY","FILING_STATUS=OR","EQY_CONSOLIDATED=Y","Sort=A","Dates=H","DateFormat=P","Fill=—","Direction=H","UseDPDF=Y")</f>
        <v>#NAME?</v>
      </c>
      <c r="AX383" s="1" t="e">
        <f ca="1">_xll.BDH($C$378,"WORKING_CAPITAL_5_YEAR_GROWTH","FY 2015","FY 2015","Currency=INR","Period=FY","BEST_FPERIOD_OVERRIDE=FY","FILING_STATUS=OR","EQY_CONSOLIDATED=Y","Sort=A","Dates=H","DateFormat=P","Fill=—","Direction=H","UseDPDF=Y")</f>
        <v>#NAME?</v>
      </c>
      <c r="AY383" s="1" t="e">
        <f ca="1">_xll.BDH($C$378,"ACCOUNTS_PAYABLE_5_YEAR_GROWTH","FY 2015","FY 2015","Currency=INR","Period=FY","BEST_FPERIOD_OVERRIDE=FY","FILING_STATUS=OR","EQY_CONSOLIDATED=Y","Sort=A","Dates=H","DateFormat=P","Fill=—","Direction=H","UseDPDF=Y")</f>
        <v>#NAME?</v>
      </c>
      <c r="AZ383" s="1" t="e">
        <f ca="1">_xll.BDH($C$378,"SHORT_TERM_DEBT_5_YEAR_GROWTH","FY 2015","FY 2015","Currency=INR","Period=FY","BEST_FPERIOD_OVERRIDE=FY","FILING_STATUS=OR","EQY_CONSOLIDATED=Y","Sort=A","Dates=H","DateFormat=P","Fill=—","Direction=H","UseDPDF=Y")</f>
        <v>#NAME?</v>
      </c>
      <c r="BA383" s="1" t="e">
        <f ca="1">_xll.BDH($C$378,"TOTAL_DEBT_5_YEAR_GROWTH","FY 2015","FY 2015","Currency=INR","Period=FY","BEST_FPERIOD_OVERRIDE=FY","FILING_STATUS=OR","EQY_CONSOLIDATED=Y","Sort=A","Dates=H","DateFormat=P","Fill=—","Direction=H","UseDPDF=Y")</f>
        <v>#NAME?</v>
      </c>
      <c r="BB383" s="1" t="e">
        <f ca="1">_xll.BDH($C$378,"GEO_GROW_TOT_SHRHLDR_EQY","FY 2015","FY 2015","Currency=INR","Period=FY","BEST_FPERIOD_OVERRIDE=FY","FILING_STATUS=OR","EQY_CONSOLIDATED=Y","Sort=A","Dates=H","DateFormat=P","Fill=—","Direction=H","UseDPDF=Y")</f>
        <v>#NAME?</v>
      </c>
      <c r="BC383" s="1" t="e">
        <f ca="1">_xll.BDH($C$378,"TOTAL_CAPITAL_5_YEAR_GROWTH","FY 2015","FY 2015","Currency=INR","Period=FY","BEST_FPERIOD_OVERRIDE=FY","FILING_STATUS=OR","EQY_CONSOLIDATED=Y","Sort=A","Dates=H","DateFormat=P","Fill=—","Direction=H","UseDPDF=Y")</f>
        <v>#NAME?</v>
      </c>
      <c r="BD383" s="1" t="e">
        <f ca="1">_xll.BDH($C$378,"GEO_GROW_BOOK_VAL","FY 2015","FY 2015","Currency=INR","Period=FY","BEST_FPERIOD_OVERRIDE=FY","FILING_STATUS=OR","EQY_CONSOLIDATED=Y","Sort=A","Dates=H","DateFormat=P","Fill=—","Direction=H","UseDPDF=Y")</f>
        <v>#NAME?</v>
      </c>
      <c r="BE383" s="1" t="e">
        <f ca="1">_xll.BDH($C$378,"GEO_GROW_CASH_OPER_ACT","FY 2015","FY 2015","Currency=INR","Period=FY","BEST_FPERIOD_OVERRIDE=FY","FILING_STATUS=OR","EQY_CONSOLIDATED=Y","Sort=A","Dates=H","DateFormat=P","Fill=—","Direction=H","UseDPDF=Y")</f>
        <v>#NAME?</v>
      </c>
      <c r="BF383" s="1" t="e">
        <f ca="1">_xll.BDH($C$378,"REVENUE_SEQUENTIAL_GROWTH","FY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83" s="1" t="e">
        <f ca="1">_xll.BDH($C$378,"EBITDA_SEQUENTIAL_GROWTH","FY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83" s="1" t="e">
        <f ca="1">_xll.BDH($C$378,"OPERATING_INCOME_SEQ_GROWTH","FY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83" s="1" t="e">
        <f ca="1">_xll.BDH($C$378,"NET_INCOME_TO_COMMON_SEQ_GROWTH","FY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83" s="1" t="e">
        <f ca="1">_xll.BDH($C$378,"EPS_DILUTED_SEQUENTIAL_GROWTH","FY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83" s="1" t="e">
        <f ca="1">_xll.BDH($C$378,"DPS_SEQUENTIAL_GROWTH","FY 2015","FY 2015","Currency=INR","Period=FY","BEST_FPERIOD_OVERRIDE=FY","FILING_STATUS=OR","EQY_CONSOLIDATED=Y","Sort=A","Dates=H","DateFormat=P","Fill=—","Direction=H","UseDPDF=Y")</f>
        <v>#NAME?</v>
      </c>
      <c r="BL383" s="1" t="e">
        <f ca="1">_xll.BDH($C$378,"ACCOUNTS_RECEIVABLE_SEQ_GROWTH","FY 2015","FY 2015","Currency=INR","Period=FY","BEST_FPERIOD_OVERRIDE=FY","FILING_STATUS=OR","EQY_CONSOLIDATED=Y","Sort=A","Dates=H","DateFormat=P","Fill=—","Direction=H","UseDPDF=Y")</f>
        <v>#NAME?</v>
      </c>
      <c r="BM383" s="1" t="e">
        <f ca="1">_xll.BDH($C$378,"INVENTORY_SEQUENTIAL_GROWTH","FY 2015","FY 2015","Currency=INR","Period=FY","BEST_FPERIOD_OVERRIDE=FY","FILING_STATUS=OR","EQY_CONSOLIDATED=Y","Sort=A","Dates=H","DateFormat=P","Fill=—","Direction=H","UseDPDF=Y")</f>
        <v>#NAME?</v>
      </c>
      <c r="BN383" s="1" t="e">
        <f ca="1">_xll.BDH($C$378,"FIXED_ASSETS_SEQUENTIAL_GROWTH","FY 2015","FY 2015","Currency=INR","Period=FY","BEST_FPERIOD_OVERRIDE=FY","FILING_STATUS=OR","EQY_CONSOLIDATED=Y","Sort=A","Dates=H","DateFormat=P","Fill=—","Direction=H","UseDPDF=Y")</f>
        <v>#NAME?</v>
      </c>
      <c r="BO383" s="1" t="e">
        <f ca="1">_xll.BDH($C$378,"TOTAL_ASSETS_SEQUENTIAL_GROWTH","FY 2015","FY 2015","Currency=INR","Period=FY","BEST_FPERIOD_OVERRIDE=FY","FILING_STATUS=OR","EQY_CONSOLIDATED=Y","Sort=A","Dates=H","DateFormat=P","Fill=—","Direction=H","UseDPDF=Y")</f>
        <v>#NAME?</v>
      </c>
      <c r="BP383" s="1" t="e">
        <f ca="1">_xll.BDH($C$378,"MODIFIED_WORKING_CPTL_SEQ_GRWTH","FY 2015","FY 2015","Currency=INR","Period=FY","BEST_FPERIOD_OVERRIDE=FY","FILING_STATUS=OR","EQY_CONSOLIDATED=Y","Sort=A","Dates=H","DateFormat=P","Fill=—","Direction=H","UseDPDF=Y")</f>
        <v>#NAME?</v>
      </c>
      <c r="BQ383" s="1" t="e">
        <f ca="1">_xll.BDH($C$378,"WORKING_CAPITAL_SEQ_GROWTH","FY 2015","FY 2015","Currency=INR","Period=FY","BEST_FPERIOD_OVERRIDE=FY","FILING_STATUS=OR","EQY_CONSOLIDATED=Y","Sort=A","Dates=H","DateFormat=P","Fill=—","Direction=H","UseDPDF=Y")</f>
        <v>#NAME?</v>
      </c>
      <c r="BR383" s="1" t="e">
        <f ca="1">_xll.BDH($C$378,"ACCOUNTS_PAYABLE_SEQ_GROWTH","FY 2015","FY 2015","Currency=INR","Period=FY","BEST_FPERIOD_OVERRIDE=FY","FILING_STATUS=OR","EQY_CONSOLIDATED=Y","Sort=A","Dates=H","DateFormat=P","Fill=—","Direction=H","UseDPDF=Y")</f>
        <v>#NAME?</v>
      </c>
      <c r="BS383" s="1" t="e">
        <f ca="1">_xll.BDH($C$378,"ST_DEBT_SEQUENTIAL_GROWTH","FY 2015","FY 2015","Currency=INR","Period=FY","BEST_FPERIOD_OVERRIDE=FY","FILING_STATUS=OR","EQY_CONSOLIDATED=Y","Sort=A","Dates=H","DateFormat=P","Fill=—","Direction=H","UseDPDF=Y")</f>
        <v>#NAME?</v>
      </c>
      <c r="BT383" s="1" t="e">
        <f ca="1">_xll.BDH($C$378,"TOTAL_DEBT_SEQUENTIAL_GROWTH","FY 2015","FY 2015","Currency=INR","Period=FY","BEST_FPERIOD_OVERRIDE=FY","FILING_STATUS=OR","EQY_CONSOLIDATED=Y","Sort=A","Dates=H","DateFormat=P","Fill=—","Direction=H","UseDPDF=Y")</f>
        <v>#NAME?</v>
      </c>
      <c r="BU383" s="1" t="e">
        <f ca="1">_xll.BDH($C$378,"TOTAL_EQUITY_SEQUENTIAL_GROWTH","FY 2015","FY 2015","Currency=INR","Period=FY","BEST_FPERIOD_OVERRIDE=FY","FILING_STATUS=OR","EQY_CONSOLIDATED=Y","Sort=A","Dates=H","DateFormat=P","Fill=—","Direction=H","UseDPDF=Y")</f>
        <v>#NAME?</v>
      </c>
      <c r="BV383" s="1" t="e">
        <f ca="1">_xll.BDH($C$378,"TOTAL_CAPITAL_SEQUENTIAL_GROWTH","FY 2015","FY 2015","Currency=INR","Period=FY","BEST_FPERIOD_OVERRIDE=FY","FILING_STATUS=OR","EQY_CONSOLIDATED=Y","Sort=A","Dates=H","DateFormat=P","Fill=—","Direction=H","UseDPDF=Y")</f>
        <v>#NAME?</v>
      </c>
      <c r="BW383" s="1" t="e">
        <f ca="1">_xll.BDH($C$378,"BPS_SEQUENTIAL_GROWTH","FY 2015","FY 2015","Currency=INR","Period=FY","BEST_FPERIOD_OVERRIDE=FY","FILING_STATUS=OR","EQY_CONSOLIDATED=Y","Sort=A","Dates=H","DateFormat=P","Fill=—","Direction=H","UseDPDF=Y")</f>
        <v>#NAME?</v>
      </c>
      <c r="BX383" s="1" t="e">
        <f ca="1">_xll.BDH($C$378,"CFO_SEQUENTIAL_GROWTH","FY 2015","FY 2015","Currency=INR","Period=FY","BEST_FPERIOD_OVERRIDE=FY","FILING_STATUS=OR","EQY_CONSOLIDATED=Y","Sort=A","Dates=H","DateFormat=P","Fill=—","Direction=H","UseDPDF=Y")</f>
        <v>#NAME?</v>
      </c>
      <c r="BY383" s="2" t="e">
        <f ca="1">_xll.BDH($C$378,"SHORT_AND_LONG_TERM_DEBT","FY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83" s="2" t="e">
        <f ca="1">_xll.BDH($C$378,"BS_ST_BORROW","FY 2015","FY 2015","Currency=INR","Period=FY","BEST_FPERIOD_OVERRIDE=FY","FILING_STATUS=OR","EQY_CONSOLIDATED=Y","SCALING_FORMAT=MLN","Sort=A","Dates=H","DateFormat=P","Fill=—","Direction=H","UseDPDF=Y")</f>
        <v>#NAME?</v>
      </c>
      <c r="CA383" s="2" t="e">
        <f ca="1">_xll.BDH($C$378,"BS_LT_BORROW","FY 2015","FY 2015","Currency=INR","Period=FY","BEST_FPERIOD_OVERRIDE=FY","FILING_STATUS=OR","EQY_CONSOLIDATED=Y","SCALING_FORMAT=MLN","Sort=A","Dates=H","DateFormat=P","Fill=—","Direction=H","UseDPDF=Y")</f>
        <v>#NAME?</v>
      </c>
      <c r="CB383" s="1" t="e">
        <f ca="1">_xll.BDH($C$378,"TOT_DEBT_TO_EBITDA","FY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383" s="1" t="e">
        <f ca="1">_xll.BDH($C$378,"NET_DEBT_TO_EBITDA","FY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383" s="1" t="e">
        <f ca="1">_xll.BDH($C$378,"TOTAL_DEBT_TO_EBIT","FY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383" s="1" t="e">
        <f ca="1">_xll.BDH($C$378,"NET_DEBT_TO_EBIT","FY 2015","FY 2015","Currency=INR","Period=FY","BEST_FPERIOD_OVERRIDE=FY","FILING_STATUS=OR","EQY_CONSOLIDATED=Y","FA_ADJUSTED=GAAP","Sort=A","Dates=H","DateFormat=P","Fill=—","Direction=H","UseDPDF=Y")</f>
        <v>#NAME?</v>
      </c>
      <c r="CF383" s="1" t="e">
        <f ca="1">_xll.BDH($C$378,"EBITDA_TO_INTEREST_EXPN","FY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83" s="1" t="e">
        <f ca="1">_xll.BDH($C$378,"COM_EQY_TO_TOT_ASSET","FY 2015","FY 2015","Currency=INR","Period=FY","BEST_FPERIOD_OVERRIDE=FY","FILING_STATUS=OR","EQY_CONSOLIDATED=Y","Sort=A","Dates=H","DateFormat=P","Fill=—","Direction=H","UseDPDF=Y")</f>
        <v>#NAME?</v>
      </c>
      <c r="CH383" s="1" t="e">
        <f ca="1">_xll.BDH($C$378,"LT_DEBT_TO_TOT_EQY","FY 2015","FY 2015","Currency=INR","Period=FY","BEST_FPERIOD_OVERRIDE=FY","FILING_STATUS=OR","EQY_CONSOLIDATED=Y","Sort=A","Dates=H","DateFormat=P","Fill=—","Direction=H","UseDPDF=Y")</f>
        <v>#NAME?</v>
      </c>
      <c r="CI383" s="1" t="e">
        <f ca="1">_xll.BDH($C$378,"LT_DEBT_TO_TOT_CAP","FY 2015","FY 2015","Currency=INR","Period=FY","BEST_FPERIOD_OVERRIDE=FY","FILING_STATUS=OR","EQY_CONSOLIDATED=Y","Sort=A","Dates=H","DateFormat=P","Fill=—","Direction=H","UseDPDF=Y")</f>
        <v>#NAME?</v>
      </c>
      <c r="CJ383" s="1" t="e">
        <f ca="1">_xll.BDH($C$378,"LT_DEBT_TO_TOT_ASSET","FY 2015","FY 2015","Currency=INR","Period=FY","BEST_FPERIOD_OVERRIDE=FY","FILING_STATUS=OR","EQY_CONSOLIDATED=Y","Sort=A","Dates=H","DateFormat=P","Fill=—","Direction=H","UseDPDF=Y")</f>
        <v>#NAME?</v>
      </c>
      <c r="CK383" s="1" t="e">
        <f ca="1">_xll.BDH($C$378,"TOT_DEBT_TO_TOT_EQY","FY 2015","FY 2015","Currency=INR","Period=FY","BEST_FPERIOD_OVERRIDE=FY","FILING_STATUS=OR","EQY_CONSOLIDATED=Y","Sort=A","Dates=H","DateFormat=P","Fill=—","Direction=H","UseDPDF=Y")</f>
        <v>#NAME?</v>
      </c>
      <c r="CL383" s="1" t="e">
        <f ca="1">_xll.BDH($C$378,"TOT_DEBT_TO_TOT_CAP","FY 2015","FY 2015","Currency=INR","Period=FY","BEST_FPERIOD_OVERRIDE=FY","FILING_STATUS=OR","EQY_CONSOLIDATED=Y","Sort=A","Dates=H","DateFormat=P","Fill=—","Direction=H","UseDPDF=Y")</f>
        <v>#NAME?</v>
      </c>
      <c r="CM383" s="1" t="e">
        <f ca="1">_xll.BDH($C$378,"TOT_DEBT_TO_TOT_ASSET","FY 2015","FY 2015","Currency=INR","Period=FY","BEST_FPERIOD_OVERRIDE=FY","FILING_STATUS=OR","EQY_CONSOLIDATED=Y","Sort=A","Dates=H","DateFormat=P","Fill=—","Direction=H","UseDPDF=Y")</f>
        <v>#NAME?</v>
      </c>
      <c r="CN383" s="1" t="e">
        <f ca="1">_xll.BDH($C$378,"NET_DEBT_TO_SHRHLDR_EQTY","FY 2015","FY 2015","Currency=INR","Period=FY","BEST_FPERIOD_OVERRIDE=FY","FILING_STATUS=OR","EQY_CONSOLIDATED=Y","Sort=A","Dates=H","DateFormat=P","Fill=—","Direction=H","UseDPDF=Y")</f>
        <v>#NAME?</v>
      </c>
      <c r="CO383" s="1" t="e">
        <f ca="1">_xll.BDH($C$378,"NET_DEBT_%_CAPITAL","FY 2015","FY 2015","Currency=INR","Period=FY","BEST_FPERIOD_OVERRIDE=FY","FILING_STATUS=OR","EQY_CONSOLIDATED=Y","Sort=A","Dates=H","DateFormat=P","Fill=—","Direction=H","UseDPDF=Y")</f>
        <v>#NAME?</v>
      </c>
      <c r="CP383" s="2" t="e">
        <f ca="1">_xll.BDH($C$378,"EBITDA","FY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83" s="2" t="e">
        <f ca="1">_xll.BDH($C$378,"EBITDA_AFTER_CAPEX","FY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83" s="2" t="e">
        <f ca="1">_xll.BDH($C$378,"IS_OPER_INC","FY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83" s="1" t="e">
        <f ca="1">_xll.BDH($C$378,"CASH_RATIO","FY 2015","FY 2015","Currency=INR","Period=FY","BEST_FPERIOD_OVERRIDE=FY","FILING_STATUS=OR","EQY_CONSOLIDATED=Y","Sort=A","Dates=H","DateFormat=P","Fill=—","Direction=H","UseDPDF=Y")</f>
        <v>#NAME?</v>
      </c>
      <c r="CT383" s="1" t="e">
        <f ca="1">_xll.BDH($C$378,"CUR_RATIO","FY 2015","FY 2015","Currency=INR","Period=FY","BEST_FPERIOD_OVERRIDE=FY","FILING_STATUS=OR","EQY_CONSOLIDATED=Y","Sort=A","Dates=H","DateFormat=P","Fill=—","Direction=H","UseDPDF=Y")</f>
        <v>#NAME?</v>
      </c>
      <c r="CU383" s="1" t="e">
        <f ca="1">_xll.BDH($C$378,"QUICK_RATIO","FY 2015","FY 2015","Currency=INR","Period=FY","BEST_FPERIOD_OVERRIDE=FY","FILING_STATUS=OR","EQY_CONSOLIDATED=Y","Sort=A","Dates=H","DateFormat=P","Fill=—","Direction=H","UseDPDF=Y")</f>
        <v>#NAME?</v>
      </c>
      <c r="CV383" s="1" t="e">
        <f ca="1">_xll.BDH($C$378,"ALTMAN_Z_SCORE","FY 2015","FY 2015","Currency=INR","Period=FY","BEST_FPERIOD_OVERRIDE=FY","FILING_STATUS=OR","EQY_CONSOLIDATED=Y","Sort=A","Dates=H","DateFormat=P","Fill=—","Direction=H","UseDPDF=Y")</f>
        <v>#NAME?</v>
      </c>
      <c r="CW383" s="3" t="e">
        <f ca="1">_xll.BDH($C$378,"ACCT_RCV_TURN","FY 2015","FY 2015","Currency=INR","Period=FY","BEST_FPERIOD_OVERRIDE=FY","FILING_STATUS=OR","EQY_CONSOLIDATED=Y","FA_ADJUSTED=GAAP","Sort=A","Dates=H","DateFormat=P","Fill=—","Direction=H","UseDPDF=Y")</f>
        <v>#NAME?</v>
      </c>
      <c r="CX383" s="1" t="e">
        <f ca="1">_xll.BDH($C$378,"ACCT_RCV_DAYS","FY 2015","FY 2015","Currency=INR","Period=FY","BEST_FPERIOD_OVERRIDE=FY","FILING_STATUS=OR","EQY_CONSOLIDATED=Y","FA_ADJUSTED=GAAP","Sort=A","Dates=H","DateFormat=P","Fill=—","Direction=H","UseDPDF=Y")</f>
        <v>#NAME?</v>
      </c>
      <c r="CY383" s="3" t="e">
        <f ca="1">_xll.BDH($C$378,"INVENT_TURN","FY 2015","FY 2015","Currency=INR","Period=FY","BEST_FPERIOD_OVERRIDE=FY","FILING_STATUS=OR","EQY_CONSOLIDATED=Y","FA_ADJUSTED=GAAP","Sort=A","Dates=H","DateFormat=P","Fill=—","Direction=H","UseDPDF=Y")</f>
        <v>#NAME?</v>
      </c>
      <c r="CZ383" s="1" t="e">
        <f ca="1">_xll.BDH($C$378,"INVENT_DAYS","FY 2015","FY 2015","Currency=INR","Period=FY","BEST_FPERIOD_OVERRIDE=FY","FILING_STATUS=OR","EQY_CONSOLIDATED=Y","FA_ADJUSTED=GAAP","Sort=A","Dates=H","DateFormat=P","Fill=—","Direction=H","UseDPDF=Y")</f>
        <v>#NAME?</v>
      </c>
      <c r="DA383" s="3" t="e">
        <f ca="1">_xll.BDH($C$378,"ACCOUNTS_PAYABLE_TURNOVER","FY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83" s="1" t="e">
        <f ca="1">_xll.BDH($C$378,"ACCOUNTS_PAYABLE_TURNOVER_DAYS","FY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83" s="3" t="e">
        <f ca="1">_xll.BDH($C$378,"CASH_CONVERSION_CYCLE","FY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83" s="3" t="e">
        <f ca="1">_xll.BDH($C$378,"INV_TO_CASH_DAYS","FY 2015","FY 2015","Currency=INR","Period=FY","BEST_FPERIOD_OVERRIDE=FY","FILING_STATUS=OR","EQY_CONSOLIDATED=Y","FA_ADJUSTED=GAAP","Sort=A","Dates=H","DateFormat=P","Fill=—","Direction=H","UseDPDF=Y")</f>
        <v>#NAME?</v>
      </c>
      <c r="DE383" s="4" t="e">
        <f ca="1">_xll.BDH($C$378,"BS_INVENTORIES","FY 2015","FY 2015","Currency=INR","Period=FY","BEST_FPERIOD_OVERRIDE=FY","FILING_STATUS=OR","EQY_CONSOLIDATED=Y","SCALING_FORMAT=MLN","Sort=A","Dates=H","DateFormat=P","Fill=—","Direction=H","UseDPDF=Y")</f>
        <v>#NAME?</v>
      </c>
      <c r="DF383" s="2" t="e">
        <f ca="1">_xll.BDH($C$378,"INVTRY_RAW_MATERIALS","FY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83" s="2" t="e">
        <f ca="1">_xll.BDH($C$378,"INVTRY_IN_PROGRESS","FY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83" s="2" t="e">
        <f ca="1">_xll.BDH($C$378,"INVTRY_FINISHED_GOODS","FY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83" s="2" t="e">
        <f ca="1">_xll.BDH($C$378,"BS_OTHER_INV","FY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84" spans="1:113" x14ac:dyDescent="0.3">
      <c r="A384" s="6"/>
      <c r="B384" s="6"/>
      <c r="C384" s="6"/>
      <c r="D384" s="6"/>
      <c r="E384" t="s">
        <v>4</v>
      </c>
      <c r="F384" t="e">
        <f ca="1">_xll.BDH($C$378,"RETURN_COM_EQY","FQ1 2015","FQ1 2015","Currency=INR","Period=FQ","BEST_FPERIOD_OVERRIDE=FQ","FILING_STATUS=OR","EQY_CONSOLIDATED=Y","FA_ADJUSTED=GAAP","Sort=A","Dates=H","DateFormat=P","Fill=—","Direction=H","UseDPDF=Y")</f>
        <v>#NAME?</v>
      </c>
      <c r="G384" t="e">
        <f ca="1">_xll.BDH($C$378,"RETURN_ON_ASSET","FQ1 2015","FQ1 2015","Currency=INR","Period=FQ","BEST_FPERIOD_OVERRIDE=FQ","FILING_STATUS=OR","EQY_CONSOLIDATED=Y","FA_ADJUSTED=GAAP","Sort=A","Dates=H","DateFormat=P","Fill=—","Direction=H","UseDPDF=Y")</f>
        <v>#NAME?</v>
      </c>
      <c r="H384" t="e">
        <f ca="1">_xll.BDH($C$378,"RETURN_ON_CAP","FQ1 2015","FQ1 2015","Currency=INR","Period=FQ","BEST_FPERIOD_OVERRIDE=FQ","FILING_STATUS=OR","EQY_CONSOLIDATED=Y","FA_ADJUSTED=GAAP","Sort=A","Dates=H","DateFormat=P","Fill=—","Direction=H","UseDPDF=Y")</f>
        <v>#NAME?</v>
      </c>
      <c r="I384" t="e">
        <f ca="1">_xll.BDH($C$378,"RETURN_ON_INV_CAPITAL","FQ1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84" t="e">
        <f ca="1">_xll.BDH($C$378,"EBITDA_TO_REVENUE","FQ1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384" t="e">
        <f ca="1">_xll.BDH($C$378,"OPER_MARGIN","FQ1 2015","FQ1 2015","Currency=INR","Period=FQ","BEST_FPERIOD_OVERRIDE=FQ","FILING_STATUS=OR","EQY_CONSOLIDATED=Y","FA_ADJUSTED=GAAP","Sort=A","Dates=H","DateFormat=P","Fill=—","Direction=H","UseDPDF=Y")</f>
        <v>#NAME?</v>
      </c>
      <c r="L384" t="e">
        <f ca="1">_xll.BDH($C$378,"INCREMENTAL_OPERATING_MARGIN","FQ1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84" t="e">
        <f ca="1">_xll.BDH($C$378,"PRETAX_INC_TO_NET_SALES","FQ1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84" t="e">
        <f ca="1">_xll.BDH($C$378,"INC_BEF_XO_ITEMS_TO_NET_SALES","FQ1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84" t="e">
        <f ca="1">_xll.BDH($C$378,"PROF_MARGIN","FQ1 2015","FQ1 2015","Currency=INR","Period=FQ","BEST_FPERIOD_OVERRIDE=FQ","FILING_STATUS=OR","EQY_CONSOLIDATED=Y","FA_ADJUSTED=GAAP","Sort=A","Dates=H","DateFormat=P","Fill=—","Direction=H","UseDPDF=Y")</f>
        <v>#NAME?</v>
      </c>
      <c r="P384" t="e">
        <f ca="1">_xll.BDH($C$378,"NET_INCOME_TO_COMMON_MARGIN","FQ1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84" t="e">
        <f ca="1">_xll.BDH($C$378,"EFF_TAX_RATE","FQ1 2015","FQ1 2015","Currency=INR","Period=FQ","BEST_FPERIOD_OVERRIDE=FQ","FILING_STATUS=OR","EQY_CONSOLIDATED=Y","FA_ADJUSTED=GAAP","Sort=A","Dates=H","DateFormat=P","Fill=—","Direction=H","UseDPDF=Y")</f>
        <v>#NAME?</v>
      </c>
      <c r="R384" t="e">
        <f ca="1">_xll.BDH($C$378,"DVD_PAYOUT_RATIO","FQ1 2015","FQ1 2015","Currency=INR","Period=FQ","BEST_FPERIOD_OVERRIDE=FQ","FILING_STATUS=OR","EQY_CONSOLIDATED=Y","FA_ADJUSTED=GAAP","Sort=A","Dates=H","DateFormat=P","Fill=—","Direction=H","UseDPDF=Y")</f>
        <v>#NAME?</v>
      </c>
      <c r="S384" t="e">
        <f ca="1">_xll.BDH($C$378,"SUSTAIN_GROWTH_RT","FQ1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384" s="1" t="e">
        <f ca="1">_xll.BDH($C$378,"SALES_GROWTH","FQ1 2015","FQ1 2015","Currency=INR","Period=FQ","BEST_FPERIOD_OVERRIDE=FQ","FILING_STATUS=OR","EQY_CONSOLIDATED=Y","FA_ADJUSTED=GAAP","Sort=A","Dates=H","DateFormat=P","Fill=—","Direction=H","UseDPDF=Y")</f>
        <v>#NAME?</v>
      </c>
      <c r="U384" s="1" t="e">
        <f ca="1">_xll.BDH($C$378,"EBITDA_GROWTH","FQ1 2015","FQ1 2015","Currency=INR","Period=FQ","BEST_FPERIOD_OVERRIDE=FQ","FILING_STATUS=OR","EQY_CONSOLIDATED=Y","FA_ADJUSTED=GAAP","Sort=A","Dates=H","DateFormat=P","Fill=—","Direction=H","UseDPDF=Y")</f>
        <v>#NAME?</v>
      </c>
      <c r="V384" s="1" t="e">
        <f ca="1">_xll.BDH($C$378,"OPER_INC_GROWTH","FQ1 2015","FQ1 2015","Currency=INR","Period=FQ","BEST_FPERIOD_OVERRIDE=FQ","FILING_STATUS=OR","EQY_CONSOLIDATED=Y","FA_ADJUSTED=GAAP","Sort=A","Dates=H","DateFormat=P","Fill=—","Direction=H","UseDPDF=Y")</f>
        <v>#NAME?</v>
      </c>
      <c r="W384" s="1" t="e">
        <f ca="1">_xll.BDH($C$378,"EARN_FOR_COM_GROWTH","FQ1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84" s="1" t="e">
        <f ca="1">_xll.BDH($C$378,"DILUTED_EPS_AFT_XO_ITEMS_GROWTH","FQ1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84" s="1" t="e">
        <f ca="1">_xll.BDH($C$378,"DIVIDEND_PER_SHARE_1_YEAR_GROWTH","FQ1 2015","FQ1 2015","Currency=INR","Period=FQ","BEST_FPERIOD_OVERRIDE=FQ","FILING_STATUS=OR","EQY_CONSOLIDATED=Y","Sort=A","Dates=H","DateFormat=P","Fill=—","Direction=H","UseDPDF=Y")</f>
        <v>#NAME?</v>
      </c>
      <c r="Z384" s="1" t="e">
        <f ca="1">_xll.BDH($C$378,"ACCOUNTS_RECEIVABLE_GROWTH","FQ1 2015","FQ1 2015","Currency=INR","Period=FQ","BEST_FPERIOD_OVERRIDE=FQ","FILING_STATUS=OR","EQY_CONSOLIDATED=Y","Sort=A","Dates=H","DateFormat=P","Fill=—","Direction=H","UseDPDF=Y")</f>
        <v>#NAME?</v>
      </c>
      <c r="AA384" s="1" t="e">
        <f ca="1">_xll.BDH($C$378,"INVENTORY_GROWTH","FQ1 2015","FQ1 2015","Currency=INR","Period=FQ","BEST_FPERIOD_OVERRIDE=FQ","FILING_STATUS=OR","EQY_CONSOLIDATED=Y","Sort=A","Dates=H","DateFormat=P","Fill=—","Direction=H","UseDPDF=Y")</f>
        <v>#NAME?</v>
      </c>
      <c r="AB384" s="1" t="e">
        <f ca="1">_xll.BDH($C$378,"NET_FIXED_ASSETS_1_YEAR_GROWTH","FQ1 2015","FQ1 2015","Currency=INR","Period=FQ","BEST_FPERIOD_OVERRIDE=FQ","FILING_STATUS=OR","EQY_CONSOLIDATED=Y","Sort=A","Dates=H","DateFormat=P","Fill=—","Direction=H","UseDPDF=Y")</f>
        <v>#NAME?</v>
      </c>
      <c r="AC384" s="1" t="e">
        <f ca="1">_xll.BDH($C$378,"ASSET_GROWTH","FQ1 2015","FQ1 2015","Currency=INR","Period=FQ","BEST_FPERIOD_OVERRIDE=FQ","FILING_STATUS=OR","EQY_CONSOLIDATED=Y","Sort=A","Dates=H","DateFormat=P","Fill=—","Direction=H","UseDPDF=Y")</f>
        <v>#NAME?</v>
      </c>
      <c r="AD384" s="1" t="e">
        <f ca="1">_xll.BDH($C$378,"MODIFIED_WORK_CAP_GROWTH","FQ1 2015","FQ1 2015","Currency=INR","Period=FQ","BEST_FPERIOD_OVERRIDE=FQ","FILING_STATUS=OR","EQY_CONSOLIDATED=Y","Sort=A","Dates=H","DateFormat=P","Fill=—","Direction=H","UseDPDF=Y")</f>
        <v>#NAME?</v>
      </c>
      <c r="AE384" s="1" t="e">
        <f ca="1">_xll.BDH($C$378,"WORK_CAP_GROWTH","FQ1 2015","FQ1 2015","Currency=INR","Period=FQ","BEST_FPERIOD_OVERRIDE=FQ","FILING_STATUS=OR","EQY_CONSOLIDATED=Y","Sort=A","Dates=H","DateFormat=P","Fill=—","Direction=H","UseDPDF=Y")</f>
        <v>#NAME?</v>
      </c>
      <c r="AF384" s="1" t="e">
        <f ca="1">_xll.BDH($C$378,"ACCOUNTS_PAYABLE_GROWTH_1YR","FQ1 2015","FQ1 2015","Currency=INR","Period=FQ","BEST_FPERIOD_OVERRIDE=FQ","FILING_STATUS=OR","EQY_CONSOLIDATED=Y","Sort=A","Dates=H","DateFormat=P","Fill=—","Direction=H","UseDPDF=Y")</f>
        <v>#NAME?</v>
      </c>
      <c r="AG384" s="1" t="e">
        <f ca="1">_xll.BDH($C$378,"SHORT_TERM_DEBT_1_YEAR_GROWTH","FQ1 2015","FQ1 2015","Currency=INR","Period=FQ","BEST_FPERIOD_OVERRIDE=FQ","FILING_STATUS=OR","EQY_CONSOLIDATED=Y","Sort=A","Dates=H","DateFormat=P","Fill=—","Direction=H","UseDPDF=Y")</f>
        <v>#NAME?</v>
      </c>
      <c r="AH384" s="1" t="e">
        <f ca="1">_xll.BDH($C$378,"TOTAL_DEBT_1_YEAR_GROWTH","FQ1 2015","FQ1 2015","Currency=INR","Period=FQ","BEST_FPERIOD_OVERRIDE=FQ","FILING_STATUS=OR","EQY_CONSOLIDATED=Y","Sort=A","Dates=H","DateFormat=P","Fill=—","Direction=H","UseDPDF=Y")</f>
        <v>#NAME?</v>
      </c>
      <c r="AI384" s="1" t="e">
        <f ca="1">_xll.BDH($C$378,"TOTAL_EQUITY_1_YEAR_GROWTH","FQ1 2015","FQ1 2015","Currency=INR","Period=FQ","BEST_FPERIOD_OVERRIDE=FQ","FILING_STATUS=OR","EQY_CONSOLIDATED=Y","Sort=A","Dates=H","DateFormat=P","Fill=—","Direction=H","UseDPDF=Y")</f>
        <v>#NAME?</v>
      </c>
      <c r="AJ384" s="1" t="e">
        <f ca="1">_xll.BDH($C$378,"GROWTH_IN_CAP","FQ1 2015","FQ1 2015","Currency=INR","Period=FQ","BEST_FPERIOD_OVERRIDE=FQ","FILING_STATUS=OR","EQY_CONSOLIDATED=Y","Sort=A","Dates=H","DateFormat=P","Fill=—","Direction=H","UseDPDF=Y")</f>
        <v>#NAME?</v>
      </c>
      <c r="AK384" s="1" t="e">
        <f ca="1">_xll.BDH($C$378,"BVPS_GROWTH","FQ1 2015","FQ1 2015","Currency=INR","Period=FQ","BEST_FPERIOD_OVERRIDE=FQ","FILING_STATUS=OR","EQY_CONSOLIDATED=Y","Sort=A","Dates=H","DateFormat=P","Fill=—","Direction=H","UseDPDF=Y")</f>
        <v>#NAME?</v>
      </c>
      <c r="AL384" s="1" t="e">
        <f ca="1">_xll.BDH($C$378,"CASH_FLOW_GROWTH","FQ1 2015","FQ1 2015","Currency=INR","Period=FQ","BEST_FPERIOD_OVERRIDE=FQ","FILING_STATUS=OR","EQY_CONSOLIDATED=Y","Sort=A","Dates=H","DateFormat=P","Fill=—","Direction=H","UseDPDF=Y")</f>
        <v>#NAME?</v>
      </c>
      <c r="AM384" s="1" t="e">
        <f ca="1">_xll.BDH($C$378,"GEO_GROW_NET_SALES","FQ1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84" s="1" t="e">
        <f ca="1">_xll.BDH($C$378,"GEO_GROW_EBITDA","FQ1 2015","FQ1 2015","Currency=INR","Period=FQ","BEST_FPERIOD_OVERRIDE=FQ","FILING_STATUS=OR","EQY_CONSOLIDATED=Y","FA_ADJUSTED=GAAP","Sort=A","Dates=H","DateFormat=P","Fill=—","Direction=H","UseDPDF=Y")</f>
        <v>#NAME?</v>
      </c>
      <c r="AO384" s="1" t="e">
        <f ca="1">_xll.BDH($C$378,"GEO_GROW_OPER_INC","FQ1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84" s="1" t="e">
        <f ca="1">_xll.BDH($C$378,"NET_INCOME_TO_COMMON_5_YR_GROWTH","FQ1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84" s="1" t="e">
        <f ca="1">_xll.BDH($C$378,"5Y_GEO_GROWTH_DILUTED_EPS","FQ1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84" s="1" t="e">
        <f ca="1">_xll.BDH($C$378,"GEO_GROW_DVD_PER_SH","FQ1 2015","FQ1 2015","Currency=INR","Period=FQ","BEST_FPERIOD_OVERRIDE=FQ","FILING_STATUS=OR","EQY_CONSOLIDATED=Y","Sort=A","Dates=H","DateFormat=P","Fill=—","Direction=H","UseDPDF=Y")</f>
        <v>#NAME?</v>
      </c>
      <c r="AS384" s="1" t="e">
        <f ca="1">_xll.BDH($C$378,"ACCOUNTS_RECEIVABLE_5_YR_GROWTH","FQ1 2015","FQ1 2015","Currency=INR","Period=FQ","BEST_FPERIOD_OVERRIDE=FQ","FILING_STATUS=OR","EQY_CONSOLIDATED=Y","Sort=A","Dates=H","DateFormat=P","Fill=—","Direction=H","UseDPDF=Y")</f>
        <v>#NAME?</v>
      </c>
      <c r="AT384" s="1" t="e">
        <f ca="1">_xll.BDH($C$378,"INVENTORY_5_YEAR_GROWTH","FQ1 2015","FQ1 2015","Currency=INR","Period=FQ","BEST_FPERIOD_OVERRIDE=FQ","FILING_STATUS=OR","EQY_CONSOLIDATED=Y","Sort=A","Dates=H","DateFormat=P","Fill=—","Direction=H","UseDPDF=Y")</f>
        <v>#NAME?</v>
      </c>
      <c r="AU384" s="1" t="e">
        <f ca="1">_xll.BDH($C$378,"NET_FIXED_ASSETS_5_YEAR_GROWTH","FQ1 2015","FQ1 2015","Currency=INR","Period=FQ","BEST_FPERIOD_OVERRIDE=FQ","FILING_STATUS=OR","EQY_CONSOLIDATED=Y","Sort=A","Dates=H","DateFormat=P","Fill=—","Direction=H","UseDPDF=Y")</f>
        <v>#NAME?</v>
      </c>
      <c r="AV384" s="1" t="e">
        <f ca="1">_xll.BDH($C$378,"GEO_GROW_TOT_ASSET","FQ1 2015","FQ1 2015","Currency=INR","Period=FQ","BEST_FPERIOD_OVERRIDE=FQ","FILING_STATUS=OR","EQY_CONSOLIDATED=Y","Sort=A","Dates=H","DateFormat=P","Fill=—","Direction=H","UseDPDF=Y")</f>
        <v>#NAME?</v>
      </c>
      <c r="AW384" s="1" t="e">
        <f ca="1">_xll.BDH($C$378,"MODIFIED_WORKING_CPTL_5YR_GRWTH","FQ1 2015","FQ1 2015","Currency=INR","Period=FQ","BEST_FPERIOD_OVERRIDE=FQ","FILING_STATUS=OR","EQY_CONSOLIDATED=Y","Sort=A","Dates=H","DateFormat=P","Fill=—","Direction=H","UseDPDF=Y")</f>
        <v>#NAME?</v>
      </c>
      <c r="AX384" s="1" t="e">
        <f ca="1">_xll.BDH($C$378,"WORKING_CAPITAL_5_YEAR_GROWTH","FQ1 2015","FQ1 2015","Currency=INR","Period=FQ","BEST_FPERIOD_OVERRIDE=FQ","FILING_STATUS=OR","EQY_CONSOLIDATED=Y","Sort=A","Dates=H","DateFormat=P","Fill=—","Direction=H","UseDPDF=Y")</f>
        <v>#NAME?</v>
      </c>
      <c r="AY384" s="1" t="e">
        <f ca="1">_xll.BDH($C$378,"ACCOUNTS_PAYABLE_5_YEAR_GROWTH","FQ1 2015","FQ1 2015","Currency=INR","Period=FQ","BEST_FPERIOD_OVERRIDE=FQ","FILING_STATUS=OR","EQY_CONSOLIDATED=Y","Sort=A","Dates=H","DateFormat=P","Fill=—","Direction=H","UseDPDF=Y")</f>
        <v>#NAME?</v>
      </c>
      <c r="AZ384" s="1" t="e">
        <f ca="1">_xll.BDH($C$378,"SHORT_TERM_DEBT_5_YEAR_GROWTH","FQ1 2015","FQ1 2015","Currency=INR","Period=FQ","BEST_FPERIOD_OVERRIDE=FQ","FILING_STATUS=OR","EQY_CONSOLIDATED=Y","Sort=A","Dates=H","DateFormat=P","Fill=—","Direction=H","UseDPDF=Y")</f>
        <v>#NAME?</v>
      </c>
      <c r="BA384" s="1" t="e">
        <f ca="1">_xll.BDH($C$378,"TOTAL_DEBT_5_YEAR_GROWTH","FQ1 2015","FQ1 2015","Currency=INR","Period=FQ","BEST_FPERIOD_OVERRIDE=FQ","FILING_STATUS=OR","EQY_CONSOLIDATED=Y","Sort=A","Dates=H","DateFormat=P","Fill=—","Direction=H","UseDPDF=Y")</f>
        <v>#NAME?</v>
      </c>
      <c r="BB384" s="1" t="e">
        <f ca="1">_xll.BDH($C$378,"GEO_GROW_TOT_SHRHLDR_EQY","FQ1 2015","FQ1 2015","Currency=INR","Period=FQ","BEST_FPERIOD_OVERRIDE=FQ","FILING_STATUS=OR","EQY_CONSOLIDATED=Y","Sort=A","Dates=H","DateFormat=P","Fill=—","Direction=H","UseDPDF=Y")</f>
        <v>#NAME?</v>
      </c>
      <c r="BC384" s="1" t="e">
        <f ca="1">_xll.BDH($C$378,"TOTAL_CAPITAL_5_YEAR_GROWTH","FQ1 2015","FQ1 2015","Currency=INR","Period=FQ","BEST_FPERIOD_OVERRIDE=FQ","FILING_STATUS=OR","EQY_CONSOLIDATED=Y","Sort=A","Dates=H","DateFormat=P","Fill=—","Direction=H","UseDPDF=Y")</f>
        <v>#NAME?</v>
      </c>
      <c r="BD384" s="1" t="e">
        <f ca="1">_xll.BDH($C$378,"GEO_GROW_BOOK_VAL","FQ1 2015","FQ1 2015","Currency=INR","Period=FQ","BEST_FPERIOD_OVERRIDE=FQ","FILING_STATUS=OR","EQY_CONSOLIDATED=Y","Sort=A","Dates=H","DateFormat=P","Fill=—","Direction=H","UseDPDF=Y")</f>
        <v>#NAME?</v>
      </c>
      <c r="BE384" s="1" t="e">
        <f ca="1">_xll.BDH($C$378,"GEO_GROW_CASH_OPER_ACT","FQ1 2015","FQ1 2015","Currency=INR","Period=FQ","BEST_FPERIOD_OVERRIDE=FQ","FILING_STATUS=OR","EQY_CONSOLIDATED=Y","Sort=A","Dates=H","DateFormat=P","Fill=—","Direction=H","UseDPDF=Y")</f>
        <v>#NAME?</v>
      </c>
      <c r="BF384" s="1" t="e">
        <f ca="1">_xll.BDH($C$378,"REVENUE_SEQUENTIAL_GROWTH","FQ1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84" s="1" t="e">
        <f ca="1">_xll.BDH($C$378,"EBITDA_SEQUENTIAL_GROWTH","FQ1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84" s="1" t="e">
        <f ca="1">_xll.BDH($C$378,"OPERATING_INCOME_SEQ_GROWTH","FQ1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84" s="1" t="e">
        <f ca="1">_xll.BDH($C$378,"NET_INCOME_TO_COMMON_SEQ_GROWTH","FQ1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84" s="1" t="e">
        <f ca="1">_xll.BDH($C$378,"EPS_DILUTED_SEQUENTIAL_GROWTH","FQ1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84" s="1" t="e">
        <f ca="1">_xll.BDH($C$378,"DPS_SEQUENTIAL_GROWTH","FQ1 2015","FQ1 2015","Currency=INR","Period=FQ","BEST_FPERIOD_OVERRIDE=FQ","FILING_STATUS=OR","EQY_CONSOLIDATED=Y","Sort=A","Dates=H","DateFormat=P","Fill=—","Direction=H","UseDPDF=Y")</f>
        <v>#NAME?</v>
      </c>
      <c r="BL384" s="1" t="e">
        <f ca="1">_xll.BDH($C$378,"ACCOUNTS_RECEIVABLE_SEQ_GROWTH","FQ1 2015","FQ1 2015","Currency=INR","Period=FQ","BEST_FPERIOD_OVERRIDE=FQ","FILING_STATUS=OR","EQY_CONSOLIDATED=Y","Sort=A","Dates=H","DateFormat=P","Fill=—","Direction=H","UseDPDF=Y")</f>
        <v>#NAME?</v>
      </c>
      <c r="BM384" s="1" t="e">
        <f ca="1">_xll.BDH($C$378,"INVENTORY_SEQUENTIAL_GROWTH","FQ1 2015","FQ1 2015","Currency=INR","Period=FQ","BEST_FPERIOD_OVERRIDE=FQ","FILING_STATUS=OR","EQY_CONSOLIDATED=Y","Sort=A","Dates=H","DateFormat=P","Fill=—","Direction=H","UseDPDF=Y")</f>
        <v>#NAME?</v>
      </c>
      <c r="BN384" s="1" t="e">
        <f ca="1">_xll.BDH($C$378,"FIXED_ASSETS_SEQUENTIAL_GROWTH","FQ1 2015","FQ1 2015","Currency=INR","Period=FQ","BEST_FPERIOD_OVERRIDE=FQ","FILING_STATUS=OR","EQY_CONSOLIDATED=Y","Sort=A","Dates=H","DateFormat=P","Fill=—","Direction=H","UseDPDF=Y")</f>
        <v>#NAME?</v>
      </c>
      <c r="BO384" s="1" t="e">
        <f ca="1">_xll.BDH($C$378,"TOTAL_ASSETS_SEQUENTIAL_GROWTH","FQ1 2015","FQ1 2015","Currency=INR","Period=FQ","BEST_FPERIOD_OVERRIDE=FQ","FILING_STATUS=OR","EQY_CONSOLIDATED=Y","Sort=A","Dates=H","DateFormat=P","Fill=—","Direction=H","UseDPDF=Y")</f>
        <v>#NAME?</v>
      </c>
      <c r="BP384" s="1" t="e">
        <f ca="1">_xll.BDH($C$378,"MODIFIED_WORKING_CPTL_SEQ_GRWTH","FQ1 2015","FQ1 2015","Currency=INR","Period=FQ","BEST_FPERIOD_OVERRIDE=FQ","FILING_STATUS=OR","EQY_CONSOLIDATED=Y","Sort=A","Dates=H","DateFormat=P","Fill=—","Direction=H","UseDPDF=Y")</f>
        <v>#NAME?</v>
      </c>
      <c r="BQ384" s="1" t="e">
        <f ca="1">_xll.BDH($C$378,"WORKING_CAPITAL_SEQ_GROWTH","FQ1 2015","FQ1 2015","Currency=INR","Period=FQ","BEST_FPERIOD_OVERRIDE=FQ","FILING_STATUS=OR","EQY_CONSOLIDATED=Y","Sort=A","Dates=H","DateFormat=P","Fill=—","Direction=H","UseDPDF=Y")</f>
        <v>#NAME?</v>
      </c>
      <c r="BR384" s="1" t="e">
        <f ca="1">_xll.BDH($C$378,"ACCOUNTS_PAYABLE_SEQ_GROWTH","FQ1 2015","FQ1 2015","Currency=INR","Period=FQ","BEST_FPERIOD_OVERRIDE=FQ","FILING_STATUS=OR","EQY_CONSOLIDATED=Y","Sort=A","Dates=H","DateFormat=P","Fill=—","Direction=H","UseDPDF=Y")</f>
        <v>#NAME?</v>
      </c>
      <c r="BS384" s="1" t="e">
        <f ca="1">_xll.BDH($C$378,"ST_DEBT_SEQUENTIAL_GROWTH","FQ1 2015","FQ1 2015","Currency=INR","Period=FQ","BEST_FPERIOD_OVERRIDE=FQ","FILING_STATUS=OR","EQY_CONSOLIDATED=Y","Sort=A","Dates=H","DateFormat=P","Fill=—","Direction=H","UseDPDF=Y")</f>
        <v>#NAME?</v>
      </c>
      <c r="BT384" s="1" t="e">
        <f ca="1">_xll.BDH($C$378,"TOTAL_DEBT_SEQUENTIAL_GROWTH","FQ1 2015","FQ1 2015","Currency=INR","Period=FQ","BEST_FPERIOD_OVERRIDE=FQ","FILING_STATUS=OR","EQY_CONSOLIDATED=Y","Sort=A","Dates=H","DateFormat=P","Fill=—","Direction=H","UseDPDF=Y")</f>
        <v>#NAME?</v>
      </c>
      <c r="BU384" s="1" t="e">
        <f ca="1">_xll.BDH($C$378,"TOTAL_EQUITY_SEQUENTIAL_GROWTH","FQ1 2015","FQ1 2015","Currency=INR","Period=FQ","BEST_FPERIOD_OVERRIDE=FQ","FILING_STATUS=OR","EQY_CONSOLIDATED=Y","Sort=A","Dates=H","DateFormat=P","Fill=—","Direction=H","UseDPDF=Y")</f>
        <v>#NAME?</v>
      </c>
      <c r="BV384" s="1" t="e">
        <f ca="1">_xll.BDH($C$378,"TOTAL_CAPITAL_SEQUENTIAL_GROWTH","FQ1 2015","FQ1 2015","Currency=INR","Period=FQ","BEST_FPERIOD_OVERRIDE=FQ","FILING_STATUS=OR","EQY_CONSOLIDATED=Y","Sort=A","Dates=H","DateFormat=P","Fill=—","Direction=H","UseDPDF=Y")</f>
        <v>#NAME?</v>
      </c>
      <c r="BW384" s="1" t="e">
        <f ca="1">_xll.BDH($C$378,"BPS_SEQUENTIAL_GROWTH","FQ1 2015","FQ1 2015","Currency=INR","Period=FQ","BEST_FPERIOD_OVERRIDE=FQ","FILING_STATUS=OR","EQY_CONSOLIDATED=Y","Sort=A","Dates=H","DateFormat=P","Fill=—","Direction=H","UseDPDF=Y")</f>
        <v>#NAME?</v>
      </c>
      <c r="BX384" s="1" t="e">
        <f ca="1">_xll.BDH($C$378,"CFO_SEQUENTIAL_GROWTH","FQ1 2015","FQ1 2015","Currency=INR","Period=FQ","BEST_FPERIOD_OVERRIDE=FQ","FILING_STATUS=OR","EQY_CONSOLIDATED=Y","Sort=A","Dates=H","DateFormat=P","Fill=—","Direction=H","UseDPDF=Y")</f>
        <v>#NAME?</v>
      </c>
      <c r="BY384" s="2" t="e">
        <f ca="1">_xll.BDH($C$378,"SHORT_AND_LONG_TERM_DEBT","FQ1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84" s="2" t="e">
        <f ca="1">_xll.BDH($C$378,"BS_ST_BORROW","FQ1 2015","FQ1 2015","Currency=INR","Period=FQ","BEST_FPERIOD_OVERRIDE=FQ","FILING_STATUS=OR","EQY_CONSOLIDATED=Y","SCALING_FORMAT=MLN","Sort=A","Dates=H","DateFormat=P","Fill=—","Direction=H","UseDPDF=Y")</f>
        <v>#NAME?</v>
      </c>
      <c r="CA384" s="2" t="e">
        <f ca="1">_xll.BDH($C$378,"BS_LT_BORROW","FQ1 2015","FQ1 2015","Currency=INR","Period=FQ","BEST_FPERIOD_OVERRIDE=FQ","FILING_STATUS=OR","EQY_CONSOLIDATED=Y","SCALING_FORMAT=MLN","Sort=A","Dates=H","DateFormat=P","Fill=—","Direction=H","UseDPDF=Y")</f>
        <v>#NAME?</v>
      </c>
      <c r="CB384" s="1" t="e">
        <f ca="1">_xll.BDH($C$378,"TOT_DEBT_TO_EBITDA","FQ1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84" s="1" t="e">
        <f ca="1">_xll.BDH($C$378,"NET_DEBT_TO_EBITDA","FQ1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84" s="1" t="e">
        <f ca="1">_xll.BDH($C$378,"TOTAL_DEBT_TO_EBIT","FQ1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84" s="1" t="e">
        <f ca="1">_xll.BDH($C$378,"NET_DEBT_TO_EBIT","FQ1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384" s="1" t="e">
        <f ca="1">_xll.BDH($C$378,"EBITDA_TO_INTEREST_EXPN","FQ1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84" s="1" t="e">
        <f ca="1">_xll.BDH($C$378,"COM_EQY_TO_TOT_ASSET","FQ1 2015","FQ1 2015","Currency=INR","Period=FQ","BEST_FPERIOD_OVERRIDE=FQ","FILING_STATUS=OR","EQY_CONSOLIDATED=Y","Sort=A","Dates=H","DateFormat=P","Fill=—","Direction=H","UseDPDF=Y")</f>
        <v>#NAME?</v>
      </c>
      <c r="CH384" s="1" t="e">
        <f ca="1">_xll.BDH($C$378,"LT_DEBT_TO_TOT_EQY","FQ1 2015","FQ1 2015","Currency=INR","Period=FQ","BEST_FPERIOD_OVERRIDE=FQ","FILING_STATUS=OR","EQY_CONSOLIDATED=Y","Sort=A","Dates=H","DateFormat=P","Fill=—","Direction=H","UseDPDF=Y")</f>
        <v>#NAME?</v>
      </c>
      <c r="CI384" s="1" t="e">
        <f ca="1">_xll.BDH($C$378,"LT_DEBT_TO_TOT_CAP","FQ1 2015","FQ1 2015","Currency=INR","Period=FQ","BEST_FPERIOD_OVERRIDE=FQ","FILING_STATUS=OR","EQY_CONSOLIDATED=Y","Sort=A","Dates=H","DateFormat=P","Fill=—","Direction=H","UseDPDF=Y")</f>
        <v>#NAME?</v>
      </c>
      <c r="CJ384" s="1" t="e">
        <f ca="1">_xll.BDH($C$378,"LT_DEBT_TO_TOT_ASSET","FQ1 2015","FQ1 2015","Currency=INR","Period=FQ","BEST_FPERIOD_OVERRIDE=FQ","FILING_STATUS=OR","EQY_CONSOLIDATED=Y","Sort=A","Dates=H","DateFormat=P","Fill=—","Direction=H","UseDPDF=Y")</f>
        <v>#NAME?</v>
      </c>
      <c r="CK384" s="1" t="e">
        <f ca="1">_xll.BDH($C$378,"TOT_DEBT_TO_TOT_EQY","FQ1 2015","FQ1 2015","Currency=INR","Period=FQ","BEST_FPERIOD_OVERRIDE=FQ","FILING_STATUS=OR","EQY_CONSOLIDATED=Y","Sort=A","Dates=H","DateFormat=P","Fill=—","Direction=H","UseDPDF=Y")</f>
        <v>#NAME?</v>
      </c>
      <c r="CL384" s="1" t="e">
        <f ca="1">_xll.BDH($C$378,"TOT_DEBT_TO_TOT_CAP","FQ1 2015","FQ1 2015","Currency=INR","Period=FQ","BEST_FPERIOD_OVERRIDE=FQ","FILING_STATUS=OR","EQY_CONSOLIDATED=Y","Sort=A","Dates=H","DateFormat=P","Fill=—","Direction=H","UseDPDF=Y")</f>
        <v>#NAME?</v>
      </c>
      <c r="CM384" s="1" t="e">
        <f ca="1">_xll.BDH($C$378,"TOT_DEBT_TO_TOT_ASSET","FQ1 2015","FQ1 2015","Currency=INR","Period=FQ","BEST_FPERIOD_OVERRIDE=FQ","FILING_STATUS=OR","EQY_CONSOLIDATED=Y","Sort=A","Dates=H","DateFormat=P","Fill=—","Direction=H","UseDPDF=Y")</f>
        <v>#NAME?</v>
      </c>
      <c r="CN384" s="1" t="e">
        <f ca="1">_xll.BDH($C$378,"NET_DEBT_TO_SHRHLDR_EQTY","FQ1 2015","FQ1 2015","Currency=INR","Period=FQ","BEST_FPERIOD_OVERRIDE=FQ","FILING_STATUS=OR","EQY_CONSOLIDATED=Y","Sort=A","Dates=H","DateFormat=P","Fill=—","Direction=H","UseDPDF=Y")</f>
        <v>#NAME?</v>
      </c>
      <c r="CO384" s="1" t="e">
        <f ca="1">_xll.BDH($C$378,"NET_DEBT_%_CAPITAL","FQ1 2015","FQ1 2015","Currency=INR","Period=FQ","BEST_FPERIOD_OVERRIDE=FQ","FILING_STATUS=OR","EQY_CONSOLIDATED=Y","Sort=A","Dates=H","DateFormat=P","Fill=—","Direction=H","UseDPDF=Y")</f>
        <v>#NAME?</v>
      </c>
      <c r="CP384" s="2" t="e">
        <f ca="1">_xll.BDH($C$378,"EBITDA","FQ1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84" s="2" t="e">
        <f ca="1">_xll.BDH($C$378,"EBITDA_AFTER_CAPEX","FQ1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84" s="2" t="e">
        <f ca="1">_xll.BDH($C$378,"IS_OPER_INC","FQ1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84" s="1" t="e">
        <f ca="1">_xll.BDH($C$378,"CASH_RATIO","FQ1 2015","FQ1 2015","Currency=INR","Period=FQ","BEST_FPERIOD_OVERRIDE=FQ","FILING_STATUS=OR","EQY_CONSOLIDATED=Y","Sort=A","Dates=H","DateFormat=P","Fill=—","Direction=H","UseDPDF=Y")</f>
        <v>#NAME?</v>
      </c>
      <c r="CT384" s="1" t="e">
        <f ca="1">_xll.BDH($C$378,"CUR_RATIO","FQ1 2015","FQ1 2015","Currency=INR","Period=FQ","BEST_FPERIOD_OVERRIDE=FQ","FILING_STATUS=OR","EQY_CONSOLIDATED=Y","Sort=A","Dates=H","DateFormat=P","Fill=—","Direction=H","UseDPDF=Y")</f>
        <v>#NAME?</v>
      </c>
      <c r="CU384" s="1" t="e">
        <f ca="1">_xll.BDH($C$378,"QUICK_RATIO","FQ1 2015","FQ1 2015","Currency=INR","Period=FQ","BEST_FPERIOD_OVERRIDE=FQ","FILING_STATUS=OR","EQY_CONSOLIDATED=Y","Sort=A","Dates=H","DateFormat=P","Fill=—","Direction=H","UseDPDF=Y")</f>
        <v>#NAME?</v>
      </c>
      <c r="CV384" s="1" t="e">
        <f ca="1">_xll.BDH($C$378,"ALTMAN_Z_SCORE","FQ1 2015","FQ1 2015","Currency=INR","Period=FQ","BEST_FPERIOD_OVERRIDE=FQ","FILING_STATUS=OR","EQY_CONSOLIDATED=Y","Sort=A","Dates=H","DateFormat=P","Fill=—","Direction=H","UseDPDF=Y")</f>
        <v>#NAME?</v>
      </c>
      <c r="CW384" s="3" t="e">
        <f ca="1">_xll.BDH($C$378,"ACCT_RCV_TURN","FQ1 2015","FQ1 2015","Currency=INR","Period=FQ","BEST_FPERIOD_OVERRIDE=FQ","FILING_STATUS=OR","EQY_CONSOLIDATED=Y","FA_ADJUSTED=GAAP","Sort=A","Dates=H","DateFormat=P","Fill=—","Direction=H","UseDPDF=Y")</f>
        <v>#NAME?</v>
      </c>
      <c r="CX384" s="1" t="e">
        <f ca="1">_xll.BDH($C$378,"ACCT_RCV_DAYS","FQ1 2015","FQ1 2015","Currency=INR","Period=FQ","BEST_FPERIOD_OVERRIDE=FQ","FILING_STATUS=OR","EQY_CONSOLIDATED=Y","FA_ADJUSTED=GAAP","Sort=A","Dates=H","DateFormat=P","Fill=—","Direction=H","UseDPDF=Y")</f>
        <v>#NAME?</v>
      </c>
      <c r="CY384" s="3" t="e">
        <f ca="1">_xll.BDH($C$378,"INVENT_TURN","FQ1 2015","FQ1 2015","Currency=INR","Period=FQ","BEST_FPERIOD_OVERRIDE=FQ","FILING_STATUS=OR","EQY_CONSOLIDATED=Y","FA_ADJUSTED=GAAP","Sort=A","Dates=H","DateFormat=P","Fill=—","Direction=H","UseDPDF=Y")</f>
        <v>#NAME?</v>
      </c>
      <c r="CZ384" s="1" t="e">
        <f ca="1">_xll.BDH($C$378,"INVENT_DAYS","FQ1 2015","FQ1 2015","Currency=INR","Period=FQ","BEST_FPERIOD_OVERRIDE=FQ","FILING_STATUS=OR","EQY_CONSOLIDATED=Y","FA_ADJUSTED=GAAP","Sort=A","Dates=H","DateFormat=P","Fill=—","Direction=H","UseDPDF=Y")</f>
        <v>#NAME?</v>
      </c>
      <c r="DA384" s="3" t="e">
        <f ca="1">_xll.BDH($C$378,"ACCOUNTS_PAYABLE_TURNOVER","FQ1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84" s="1" t="e">
        <f ca="1">_xll.BDH($C$378,"ACCOUNTS_PAYABLE_TURNOVER_DAYS","FQ1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84" s="3" t="e">
        <f ca="1">_xll.BDH($C$378,"CASH_CONVERSION_CYCLE","FQ1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84" s="3" t="e">
        <f ca="1">_xll.BDH($C$378,"INV_TO_CASH_DAYS","FQ1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384" s="4" t="e">
        <f ca="1">_xll.BDH($C$378,"BS_INVENTORIES","FQ1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384" s="2" t="e">
        <f ca="1">_xll.BDH($C$378,"INVTRY_RAW_MATERIALS","FQ1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84" s="2" t="e">
        <f ca="1">_xll.BDH($C$378,"INVTRY_IN_PROGRESS","FQ1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84" s="2" t="e">
        <f ca="1">_xll.BDH($C$378,"INVTRY_FINISHED_GOODS","FQ1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84" s="2" t="e">
        <f ca="1">_xll.BDH($C$378,"BS_OTHER_INV","FQ1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85" spans="1:113" x14ac:dyDescent="0.3">
      <c r="A385" s="6"/>
      <c r="B385" s="6"/>
      <c r="C385" s="6"/>
      <c r="D385" s="6"/>
      <c r="E385" t="s">
        <v>5</v>
      </c>
      <c r="F385" t="e">
        <f ca="1">_xll.BDH($C$378,"RETURN_COM_EQY","FQ2 2015","FQ2 2015","Currency=INR","Period=FQ","BEST_FPERIOD_OVERRIDE=FQ","FILING_STATUS=OR","EQY_CONSOLIDATED=Y","FA_ADJUSTED=GAAP","Sort=A","Dates=H","DateFormat=P","Fill=—","Direction=H","UseDPDF=Y")</f>
        <v>#NAME?</v>
      </c>
      <c r="G385" t="e">
        <f ca="1">_xll.BDH($C$378,"RETURN_ON_ASSET","FQ2 2015","FQ2 2015","Currency=INR","Period=FQ","BEST_FPERIOD_OVERRIDE=FQ","FILING_STATUS=OR","EQY_CONSOLIDATED=Y","FA_ADJUSTED=GAAP","Sort=A","Dates=H","DateFormat=P","Fill=—","Direction=H","UseDPDF=Y")</f>
        <v>#NAME?</v>
      </c>
      <c r="H385" t="e">
        <f ca="1">_xll.BDH($C$378,"RETURN_ON_CAP","FQ2 2015","FQ2 2015","Currency=INR","Period=FQ","BEST_FPERIOD_OVERRIDE=FQ","FILING_STATUS=OR","EQY_CONSOLIDATED=Y","FA_ADJUSTED=GAAP","Sort=A","Dates=H","DateFormat=P","Fill=—","Direction=H","UseDPDF=Y")</f>
        <v>#NAME?</v>
      </c>
      <c r="I385" t="e">
        <f ca="1">_xll.BDH($C$378,"RETURN_ON_INV_CAPITAL","FQ2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85" t="e">
        <f ca="1">_xll.BDH($C$378,"EBITDA_TO_REVENUE","FQ2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385" t="e">
        <f ca="1">_xll.BDH($C$378,"OPER_MARGIN","FQ2 2015","FQ2 2015","Currency=INR","Period=FQ","BEST_FPERIOD_OVERRIDE=FQ","FILING_STATUS=OR","EQY_CONSOLIDATED=Y","FA_ADJUSTED=GAAP","Sort=A","Dates=H","DateFormat=P","Fill=—","Direction=H","UseDPDF=Y")</f>
        <v>#NAME?</v>
      </c>
      <c r="L385" t="e">
        <f ca="1">_xll.BDH($C$378,"INCREMENTAL_OPERATING_MARGIN","FQ2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85" t="e">
        <f ca="1">_xll.BDH($C$378,"PRETAX_INC_TO_NET_SALES","FQ2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85" t="e">
        <f ca="1">_xll.BDH($C$378,"INC_BEF_XO_ITEMS_TO_NET_SALES","FQ2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85" t="e">
        <f ca="1">_xll.BDH($C$378,"PROF_MARGIN","FQ2 2015","FQ2 2015","Currency=INR","Period=FQ","BEST_FPERIOD_OVERRIDE=FQ","FILING_STATUS=OR","EQY_CONSOLIDATED=Y","FA_ADJUSTED=GAAP","Sort=A","Dates=H","DateFormat=P","Fill=—","Direction=H","UseDPDF=Y")</f>
        <v>#NAME?</v>
      </c>
      <c r="P385" t="e">
        <f ca="1">_xll.BDH($C$378,"NET_INCOME_TO_COMMON_MARGIN","FQ2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85" t="e">
        <f ca="1">_xll.BDH($C$378,"EFF_TAX_RATE","FQ2 2015","FQ2 2015","Currency=INR","Period=FQ","BEST_FPERIOD_OVERRIDE=FQ","FILING_STATUS=OR","EQY_CONSOLIDATED=Y","FA_ADJUSTED=GAAP","Sort=A","Dates=H","DateFormat=P","Fill=—","Direction=H","UseDPDF=Y")</f>
        <v>#NAME?</v>
      </c>
      <c r="R385" t="e">
        <f ca="1">_xll.BDH($C$378,"DVD_PAYOUT_RATIO","FQ2 2015","FQ2 2015","Currency=INR","Period=FQ","BEST_FPERIOD_OVERRIDE=FQ","FILING_STATUS=OR","EQY_CONSOLIDATED=Y","FA_ADJUSTED=GAAP","Sort=A","Dates=H","DateFormat=P","Fill=—","Direction=H","UseDPDF=Y")</f>
        <v>#NAME?</v>
      </c>
      <c r="S385" t="e">
        <f ca="1">_xll.BDH($C$378,"SUSTAIN_GROWTH_RT","FQ2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385" s="1" t="e">
        <f ca="1">_xll.BDH($C$378,"SALES_GROWTH","FQ2 2015","FQ2 2015","Currency=INR","Period=FQ","BEST_FPERIOD_OVERRIDE=FQ","FILING_STATUS=OR","EQY_CONSOLIDATED=Y","FA_ADJUSTED=GAAP","Sort=A","Dates=H","DateFormat=P","Fill=—","Direction=H","UseDPDF=Y")</f>
        <v>#NAME?</v>
      </c>
      <c r="U385" s="1" t="e">
        <f ca="1">_xll.BDH($C$378,"EBITDA_GROWTH","FQ2 2015","FQ2 2015","Currency=INR","Period=FQ","BEST_FPERIOD_OVERRIDE=FQ","FILING_STATUS=OR","EQY_CONSOLIDATED=Y","FA_ADJUSTED=GAAP","Sort=A","Dates=H","DateFormat=P","Fill=—","Direction=H","UseDPDF=Y")</f>
        <v>#NAME?</v>
      </c>
      <c r="V385" s="1" t="e">
        <f ca="1">_xll.BDH($C$378,"OPER_INC_GROWTH","FQ2 2015","FQ2 2015","Currency=INR","Period=FQ","BEST_FPERIOD_OVERRIDE=FQ","FILING_STATUS=OR","EQY_CONSOLIDATED=Y","FA_ADJUSTED=GAAP","Sort=A","Dates=H","DateFormat=P","Fill=—","Direction=H","UseDPDF=Y")</f>
        <v>#NAME?</v>
      </c>
      <c r="W385" s="1" t="e">
        <f ca="1">_xll.BDH($C$378,"EARN_FOR_COM_GROWTH","FQ2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85" s="1" t="e">
        <f ca="1">_xll.BDH($C$378,"DILUTED_EPS_AFT_XO_ITEMS_GROWTH","FQ2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85" s="1" t="e">
        <f ca="1">_xll.BDH($C$378,"DIVIDEND_PER_SHARE_1_YEAR_GROWTH","FQ2 2015","FQ2 2015","Currency=INR","Period=FQ","BEST_FPERIOD_OVERRIDE=FQ","FILING_STATUS=OR","EQY_CONSOLIDATED=Y","Sort=A","Dates=H","DateFormat=P","Fill=—","Direction=H","UseDPDF=Y")</f>
        <v>#NAME?</v>
      </c>
      <c r="Z385" s="1" t="e">
        <f ca="1">_xll.BDH($C$378,"ACCOUNTS_RECEIVABLE_GROWTH","FQ2 2015","FQ2 2015","Currency=INR","Period=FQ","BEST_FPERIOD_OVERRIDE=FQ","FILING_STATUS=OR","EQY_CONSOLIDATED=Y","Sort=A","Dates=H","DateFormat=P","Fill=—","Direction=H","UseDPDF=Y")</f>
        <v>#NAME?</v>
      </c>
      <c r="AA385" s="1" t="e">
        <f ca="1">_xll.BDH($C$378,"INVENTORY_GROWTH","FQ2 2015","FQ2 2015","Currency=INR","Period=FQ","BEST_FPERIOD_OVERRIDE=FQ","FILING_STATUS=OR","EQY_CONSOLIDATED=Y","Sort=A","Dates=H","DateFormat=P","Fill=—","Direction=H","UseDPDF=Y")</f>
        <v>#NAME?</v>
      </c>
      <c r="AB385" s="1" t="e">
        <f ca="1">_xll.BDH($C$378,"NET_FIXED_ASSETS_1_YEAR_GROWTH","FQ2 2015","FQ2 2015","Currency=INR","Period=FQ","BEST_FPERIOD_OVERRIDE=FQ","FILING_STATUS=OR","EQY_CONSOLIDATED=Y","Sort=A","Dates=H","DateFormat=P","Fill=—","Direction=H","UseDPDF=Y")</f>
        <v>#NAME?</v>
      </c>
      <c r="AC385" s="1" t="e">
        <f ca="1">_xll.BDH($C$378,"ASSET_GROWTH","FQ2 2015","FQ2 2015","Currency=INR","Period=FQ","BEST_FPERIOD_OVERRIDE=FQ","FILING_STATUS=OR","EQY_CONSOLIDATED=Y","Sort=A","Dates=H","DateFormat=P","Fill=—","Direction=H","UseDPDF=Y")</f>
        <v>#NAME?</v>
      </c>
      <c r="AD385" s="1" t="e">
        <f ca="1">_xll.BDH($C$378,"MODIFIED_WORK_CAP_GROWTH","FQ2 2015","FQ2 2015","Currency=INR","Period=FQ","BEST_FPERIOD_OVERRIDE=FQ","FILING_STATUS=OR","EQY_CONSOLIDATED=Y","Sort=A","Dates=H","DateFormat=P","Fill=—","Direction=H","UseDPDF=Y")</f>
        <v>#NAME?</v>
      </c>
      <c r="AE385" s="1" t="e">
        <f ca="1">_xll.BDH($C$378,"WORK_CAP_GROWTH","FQ2 2015","FQ2 2015","Currency=INR","Period=FQ","BEST_FPERIOD_OVERRIDE=FQ","FILING_STATUS=OR","EQY_CONSOLIDATED=Y","Sort=A","Dates=H","DateFormat=P","Fill=—","Direction=H","UseDPDF=Y")</f>
        <v>#NAME?</v>
      </c>
      <c r="AF385" s="1" t="e">
        <f ca="1">_xll.BDH($C$378,"ACCOUNTS_PAYABLE_GROWTH_1YR","FQ2 2015","FQ2 2015","Currency=INR","Period=FQ","BEST_FPERIOD_OVERRIDE=FQ","FILING_STATUS=OR","EQY_CONSOLIDATED=Y","Sort=A","Dates=H","DateFormat=P","Fill=—","Direction=H","UseDPDF=Y")</f>
        <v>#NAME?</v>
      </c>
      <c r="AG385" s="1" t="e">
        <f ca="1">_xll.BDH($C$378,"SHORT_TERM_DEBT_1_YEAR_GROWTH","FQ2 2015","FQ2 2015","Currency=INR","Period=FQ","BEST_FPERIOD_OVERRIDE=FQ","FILING_STATUS=OR","EQY_CONSOLIDATED=Y","Sort=A","Dates=H","DateFormat=P","Fill=—","Direction=H","UseDPDF=Y")</f>
        <v>#NAME?</v>
      </c>
      <c r="AH385" s="1" t="e">
        <f ca="1">_xll.BDH($C$378,"TOTAL_DEBT_1_YEAR_GROWTH","FQ2 2015","FQ2 2015","Currency=INR","Period=FQ","BEST_FPERIOD_OVERRIDE=FQ","FILING_STATUS=OR","EQY_CONSOLIDATED=Y","Sort=A","Dates=H","DateFormat=P","Fill=—","Direction=H","UseDPDF=Y")</f>
        <v>#NAME?</v>
      </c>
      <c r="AI385" s="1" t="e">
        <f ca="1">_xll.BDH($C$378,"TOTAL_EQUITY_1_YEAR_GROWTH","FQ2 2015","FQ2 2015","Currency=INR","Period=FQ","BEST_FPERIOD_OVERRIDE=FQ","FILING_STATUS=OR","EQY_CONSOLIDATED=Y","Sort=A","Dates=H","DateFormat=P","Fill=—","Direction=H","UseDPDF=Y")</f>
        <v>#NAME?</v>
      </c>
      <c r="AJ385" s="1" t="e">
        <f ca="1">_xll.BDH($C$378,"GROWTH_IN_CAP","FQ2 2015","FQ2 2015","Currency=INR","Period=FQ","BEST_FPERIOD_OVERRIDE=FQ","FILING_STATUS=OR","EQY_CONSOLIDATED=Y","Sort=A","Dates=H","DateFormat=P","Fill=—","Direction=H","UseDPDF=Y")</f>
        <v>#NAME?</v>
      </c>
      <c r="AK385" s="1" t="e">
        <f ca="1">_xll.BDH($C$378,"BVPS_GROWTH","FQ2 2015","FQ2 2015","Currency=INR","Period=FQ","BEST_FPERIOD_OVERRIDE=FQ","FILING_STATUS=OR","EQY_CONSOLIDATED=Y","Sort=A","Dates=H","DateFormat=P","Fill=—","Direction=H","UseDPDF=Y")</f>
        <v>#NAME?</v>
      </c>
      <c r="AL385" s="1" t="e">
        <f ca="1">_xll.BDH($C$378,"CASH_FLOW_GROWTH","FQ2 2015","FQ2 2015","Currency=INR","Period=FQ","BEST_FPERIOD_OVERRIDE=FQ","FILING_STATUS=OR","EQY_CONSOLIDATED=Y","Sort=A","Dates=H","DateFormat=P","Fill=—","Direction=H","UseDPDF=Y")</f>
        <v>#NAME?</v>
      </c>
      <c r="AM385" s="1" t="e">
        <f ca="1">_xll.BDH($C$378,"GEO_GROW_NET_SALES","FQ2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85" s="1" t="e">
        <f ca="1">_xll.BDH($C$378,"GEO_GROW_EBITDA","FQ2 2015","FQ2 2015","Currency=INR","Period=FQ","BEST_FPERIOD_OVERRIDE=FQ","FILING_STATUS=OR","EQY_CONSOLIDATED=Y","FA_ADJUSTED=GAAP","Sort=A","Dates=H","DateFormat=P","Fill=—","Direction=H","UseDPDF=Y")</f>
        <v>#NAME?</v>
      </c>
      <c r="AO385" s="1" t="e">
        <f ca="1">_xll.BDH($C$378,"GEO_GROW_OPER_INC","FQ2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85" s="1" t="e">
        <f ca="1">_xll.BDH($C$378,"NET_INCOME_TO_COMMON_5_YR_GROWTH","FQ2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85" s="1" t="e">
        <f ca="1">_xll.BDH($C$378,"5Y_GEO_GROWTH_DILUTED_EPS","FQ2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85" s="1" t="e">
        <f ca="1">_xll.BDH($C$378,"GEO_GROW_DVD_PER_SH","FQ2 2015","FQ2 2015","Currency=INR","Period=FQ","BEST_FPERIOD_OVERRIDE=FQ","FILING_STATUS=OR","EQY_CONSOLIDATED=Y","Sort=A","Dates=H","DateFormat=P","Fill=—","Direction=H","UseDPDF=Y")</f>
        <v>#NAME?</v>
      </c>
      <c r="AS385" s="1" t="e">
        <f ca="1">_xll.BDH($C$378,"ACCOUNTS_RECEIVABLE_5_YR_GROWTH","FQ2 2015","FQ2 2015","Currency=INR","Period=FQ","BEST_FPERIOD_OVERRIDE=FQ","FILING_STATUS=OR","EQY_CONSOLIDATED=Y","Sort=A","Dates=H","DateFormat=P","Fill=—","Direction=H","UseDPDF=Y")</f>
        <v>#NAME?</v>
      </c>
      <c r="AT385" s="1" t="e">
        <f ca="1">_xll.BDH($C$378,"INVENTORY_5_YEAR_GROWTH","FQ2 2015","FQ2 2015","Currency=INR","Period=FQ","BEST_FPERIOD_OVERRIDE=FQ","FILING_STATUS=OR","EQY_CONSOLIDATED=Y","Sort=A","Dates=H","DateFormat=P","Fill=—","Direction=H","UseDPDF=Y")</f>
        <v>#NAME?</v>
      </c>
      <c r="AU385" s="1" t="e">
        <f ca="1">_xll.BDH($C$378,"NET_FIXED_ASSETS_5_YEAR_GROWTH","FQ2 2015","FQ2 2015","Currency=INR","Period=FQ","BEST_FPERIOD_OVERRIDE=FQ","FILING_STATUS=OR","EQY_CONSOLIDATED=Y","Sort=A","Dates=H","DateFormat=P","Fill=—","Direction=H","UseDPDF=Y")</f>
        <v>#NAME?</v>
      </c>
      <c r="AV385" s="1" t="e">
        <f ca="1">_xll.BDH($C$378,"GEO_GROW_TOT_ASSET","FQ2 2015","FQ2 2015","Currency=INR","Period=FQ","BEST_FPERIOD_OVERRIDE=FQ","FILING_STATUS=OR","EQY_CONSOLIDATED=Y","Sort=A","Dates=H","DateFormat=P","Fill=—","Direction=H","UseDPDF=Y")</f>
        <v>#NAME?</v>
      </c>
      <c r="AW385" s="1" t="e">
        <f ca="1">_xll.BDH($C$378,"MODIFIED_WORKING_CPTL_5YR_GRWTH","FQ2 2015","FQ2 2015","Currency=INR","Period=FQ","BEST_FPERIOD_OVERRIDE=FQ","FILING_STATUS=OR","EQY_CONSOLIDATED=Y","Sort=A","Dates=H","DateFormat=P","Fill=—","Direction=H","UseDPDF=Y")</f>
        <v>#NAME?</v>
      </c>
      <c r="AX385" s="1" t="e">
        <f ca="1">_xll.BDH($C$378,"WORKING_CAPITAL_5_YEAR_GROWTH","FQ2 2015","FQ2 2015","Currency=INR","Period=FQ","BEST_FPERIOD_OVERRIDE=FQ","FILING_STATUS=OR","EQY_CONSOLIDATED=Y","Sort=A","Dates=H","DateFormat=P","Fill=—","Direction=H","UseDPDF=Y")</f>
        <v>#NAME?</v>
      </c>
      <c r="AY385" s="1" t="e">
        <f ca="1">_xll.BDH($C$378,"ACCOUNTS_PAYABLE_5_YEAR_GROWTH","FQ2 2015","FQ2 2015","Currency=INR","Period=FQ","BEST_FPERIOD_OVERRIDE=FQ","FILING_STATUS=OR","EQY_CONSOLIDATED=Y","Sort=A","Dates=H","DateFormat=P","Fill=—","Direction=H","UseDPDF=Y")</f>
        <v>#NAME?</v>
      </c>
      <c r="AZ385" s="1" t="e">
        <f ca="1">_xll.BDH($C$378,"SHORT_TERM_DEBT_5_YEAR_GROWTH","FQ2 2015","FQ2 2015","Currency=INR","Period=FQ","BEST_FPERIOD_OVERRIDE=FQ","FILING_STATUS=OR","EQY_CONSOLIDATED=Y","Sort=A","Dates=H","DateFormat=P","Fill=—","Direction=H","UseDPDF=Y")</f>
        <v>#NAME?</v>
      </c>
      <c r="BA385" s="1" t="e">
        <f ca="1">_xll.BDH($C$378,"TOTAL_DEBT_5_YEAR_GROWTH","FQ2 2015","FQ2 2015","Currency=INR","Period=FQ","BEST_FPERIOD_OVERRIDE=FQ","FILING_STATUS=OR","EQY_CONSOLIDATED=Y","Sort=A","Dates=H","DateFormat=P","Fill=—","Direction=H","UseDPDF=Y")</f>
        <v>#NAME?</v>
      </c>
      <c r="BB385" s="1" t="e">
        <f ca="1">_xll.BDH($C$378,"GEO_GROW_TOT_SHRHLDR_EQY","FQ2 2015","FQ2 2015","Currency=INR","Period=FQ","BEST_FPERIOD_OVERRIDE=FQ","FILING_STATUS=OR","EQY_CONSOLIDATED=Y","Sort=A","Dates=H","DateFormat=P","Fill=—","Direction=H","UseDPDF=Y")</f>
        <v>#NAME?</v>
      </c>
      <c r="BC385" s="1" t="e">
        <f ca="1">_xll.BDH($C$378,"TOTAL_CAPITAL_5_YEAR_GROWTH","FQ2 2015","FQ2 2015","Currency=INR","Period=FQ","BEST_FPERIOD_OVERRIDE=FQ","FILING_STATUS=OR","EQY_CONSOLIDATED=Y","Sort=A","Dates=H","DateFormat=P","Fill=—","Direction=H","UseDPDF=Y")</f>
        <v>#NAME?</v>
      </c>
      <c r="BD385" s="1" t="e">
        <f ca="1">_xll.BDH($C$378,"GEO_GROW_BOOK_VAL","FQ2 2015","FQ2 2015","Currency=INR","Period=FQ","BEST_FPERIOD_OVERRIDE=FQ","FILING_STATUS=OR","EQY_CONSOLIDATED=Y","Sort=A","Dates=H","DateFormat=P","Fill=—","Direction=H","UseDPDF=Y")</f>
        <v>#NAME?</v>
      </c>
      <c r="BE385" s="1" t="e">
        <f ca="1">_xll.BDH($C$378,"GEO_GROW_CASH_OPER_ACT","FQ2 2015","FQ2 2015","Currency=INR","Period=FQ","BEST_FPERIOD_OVERRIDE=FQ","FILING_STATUS=OR","EQY_CONSOLIDATED=Y","Sort=A","Dates=H","DateFormat=P","Fill=—","Direction=H","UseDPDF=Y")</f>
        <v>#NAME?</v>
      </c>
      <c r="BF385" s="1" t="e">
        <f ca="1">_xll.BDH($C$378,"REVENUE_SEQUENTIAL_GROWTH","FQ2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85" s="1" t="e">
        <f ca="1">_xll.BDH($C$378,"EBITDA_SEQUENTIAL_GROWTH","FQ2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85" s="1" t="e">
        <f ca="1">_xll.BDH($C$378,"OPERATING_INCOME_SEQ_GROWTH","FQ2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85" s="1" t="e">
        <f ca="1">_xll.BDH($C$378,"NET_INCOME_TO_COMMON_SEQ_GROWTH","FQ2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85" s="1" t="e">
        <f ca="1">_xll.BDH($C$378,"EPS_DILUTED_SEQUENTIAL_GROWTH","FQ2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85" s="1" t="e">
        <f ca="1">_xll.BDH($C$378,"DPS_SEQUENTIAL_GROWTH","FQ2 2015","FQ2 2015","Currency=INR","Period=FQ","BEST_FPERIOD_OVERRIDE=FQ","FILING_STATUS=OR","EQY_CONSOLIDATED=Y","Sort=A","Dates=H","DateFormat=P","Fill=—","Direction=H","UseDPDF=Y")</f>
        <v>#NAME?</v>
      </c>
      <c r="BL385" s="1" t="e">
        <f ca="1">_xll.BDH($C$378,"ACCOUNTS_RECEIVABLE_SEQ_GROWTH","FQ2 2015","FQ2 2015","Currency=INR","Period=FQ","BEST_FPERIOD_OVERRIDE=FQ","FILING_STATUS=OR","EQY_CONSOLIDATED=Y","Sort=A","Dates=H","DateFormat=P","Fill=—","Direction=H","UseDPDF=Y")</f>
        <v>#NAME?</v>
      </c>
      <c r="BM385" s="1" t="e">
        <f ca="1">_xll.BDH($C$378,"INVENTORY_SEQUENTIAL_GROWTH","FQ2 2015","FQ2 2015","Currency=INR","Period=FQ","BEST_FPERIOD_OVERRIDE=FQ","FILING_STATUS=OR","EQY_CONSOLIDATED=Y","Sort=A","Dates=H","DateFormat=P","Fill=—","Direction=H","UseDPDF=Y")</f>
        <v>#NAME?</v>
      </c>
      <c r="BN385" s="1" t="e">
        <f ca="1">_xll.BDH($C$378,"FIXED_ASSETS_SEQUENTIAL_GROWTH","FQ2 2015","FQ2 2015","Currency=INR","Period=FQ","BEST_FPERIOD_OVERRIDE=FQ","FILING_STATUS=OR","EQY_CONSOLIDATED=Y","Sort=A","Dates=H","DateFormat=P","Fill=—","Direction=H","UseDPDF=Y")</f>
        <v>#NAME?</v>
      </c>
      <c r="BO385" s="1" t="e">
        <f ca="1">_xll.BDH($C$378,"TOTAL_ASSETS_SEQUENTIAL_GROWTH","FQ2 2015","FQ2 2015","Currency=INR","Period=FQ","BEST_FPERIOD_OVERRIDE=FQ","FILING_STATUS=OR","EQY_CONSOLIDATED=Y","Sort=A","Dates=H","DateFormat=P","Fill=—","Direction=H","UseDPDF=Y")</f>
        <v>#NAME?</v>
      </c>
      <c r="BP385" s="1" t="e">
        <f ca="1">_xll.BDH($C$378,"MODIFIED_WORKING_CPTL_SEQ_GRWTH","FQ2 2015","FQ2 2015","Currency=INR","Period=FQ","BEST_FPERIOD_OVERRIDE=FQ","FILING_STATUS=OR","EQY_CONSOLIDATED=Y","Sort=A","Dates=H","DateFormat=P","Fill=—","Direction=H","UseDPDF=Y")</f>
        <v>#NAME?</v>
      </c>
      <c r="BQ385" s="1" t="e">
        <f ca="1">_xll.BDH($C$378,"WORKING_CAPITAL_SEQ_GROWTH","FQ2 2015","FQ2 2015","Currency=INR","Period=FQ","BEST_FPERIOD_OVERRIDE=FQ","FILING_STATUS=OR","EQY_CONSOLIDATED=Y","Sort=A","Dates=H","DateFormat=P","Fill=—","Direction=H","UseDPDF=Y")</f>
        <v>#NAME?</v>
      </c>
      <c r="BR385" s="1" t="e">
        <f ca="1">_xll.BDH($C$378,"ACCOUNTS_PAYABLE_SEQ_GROWTH","FQ2 2015","FQ2 2015","Currency=INR","Period=FQ","BEST_FPERIOD_OVERRIDE=FQ","FILING_STATUS=OR","EQY_CONSOLIDATED=Y","Sort=A","Dates=H","DateFormat=P","Fill=—","Direction=H","UseDPDF=Y")</f>
        <v>#NAME?</v>
      </c>
      <c r="BS385" s="1" t="e">
        <f ca="1">_xll.BDH($C$378,"ST_DEBT_SEQUENTIAL_GROWTH","FQ2 2015","FQ2 2015","Currency=INR","Period=FQ","BEST_FPERIOD_OVERRIDE=FQ","FILING_STATUS=OR","EQY_CONSOLIDATED=Y","Sort=A","Dates=H","DateFormat=P","Fill=—","Direction=H","UseDPDF=Y")</f>
        <v>#NAME?</v>
      </c>
      <c r="BT385" s="1" t="e">
        <f ca="1">_xll.BDH($C$378,"TOTAL_DEBT_SEQUENTIAL_GROWTH","FQ2 2015","FQ2 2015","Currency=INR","Period=FQ","BEST_FPERIOD_OVERRIDE=FQ","FILING_STATUS=OR","EQY_CONSOLIDATED=Y","Sort=A","Dates=H","DateFormat=P","Fill=—","Direction=H","UseDPDF=Y")</f>
        <v>#NAME?</v>
      </c>
      <c r="BU385" s="1" t="e">
        <f ca="1">_xll.BDH($C$378,"TOTAL_EQUITY_SEQUENTIAL_GROWTH","FQ2 2015","FQ2 2015","Currency=INR","Period=FQ","BEST_FPERIOD_OVERRIDE=FQ","FILING_STATUS=OR","EQY_CONSOLIDATED=Y","Sort=A","Dates=H","DateFormat=P","Fill=—","Direction=H","UseDPDF=Y")</f>
        <v>#NAME?</v>
      </c>
      <c r="BV385" s="1" t="e">
        <f ca="1">_xll.BDH($C$378,"TOTAL_CAPITAL_SEQUENTIAL_GROWTH","FQ2 2015","FQ2 2015","Currency=INR","Period=FQ","BEST_FPERIOD_OVERRIDE=FQ","FILING_STATUS=OR","EQY_CONSOLIDATED=Y","Sort=A","Dates=H","DateFormat=P","Fill=—","Direction=H","UseDPDF=Y")</f>
        <v>#NAME?</v>
      </c>
      <c r="BW385" s="1" t="e">
        <f ca="1">_xll.BDH($C$378,"BPS_SEQUENTIAL_GROWTH","FQ2 2015","FQ2 2015","Currency=INR","Period=FQ","BEST_FPERIOD_OVERRIDE=FQ","FILING_STATUS=OR","EQY_CONSOLIDATED=Y","Sort=A","Dates=H","DateFormat=P","Fill=—","Direction=H","UseDPDF=Y")</f>
        <v>#NAME?</v>
      </c>
      <c r="BX385" s="1" t="e">
        <f ca="1">_xll.BDH($C$378,"CFO_SEQUENTIAL_GROWTH","FQ2 2015","FQ2 2015","Currency=INR","Period=FQ","BEST_FPERIOD_OVERRIDE=FQ","FILING_STATUS=OR","EQY_CONSOLIDATED=Y","Sort=A","Dates=H","DateFormat=P","Fill=—","Direction=H","UseDPDF=Y")</f>
        <v>#NAME?</v>
      </c>
      <c r="BY385" s="2" t="e">
        <f ca="1">_xll.BDH($C$378,"SHORT_AND_LONG_TERM_DEBT","FQ2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85" s="2" t="e">
        <f ca="1">_xll.BDH($C$378,"BS_ST_BORROW","FQ2 2015","FQ2 2015","Currency=INR","Period=FQ","BEST_FPERIOD_OVERRIDE=FQ","FILING_STATUS=OR","EQY_CONSOLIDATED=Y","SCALING_FORMAT=MLN","Sort=A","Dates=H","DateFormat=P","Fill=—","Direction=H","UseDPDF=Y")</f>
        <v>#NAME?</v>
      </c>
      <c r="CA385" s="2" t="e">
        <f ca="1">_xll.BDH($C$378,"BS_LT_BORROW","FQ2 2015","FQ2 2015","Currency=INR","Period=FQ","BEST_FPERIOD_OVERRIDE=FQ","FILING_STATUS=OR","EQY_CONSOLIDATED=Y","SCALING_FORMAT=MLN","Sort=A","Dates=H","DateFormat=P","Fill=—","Direction=H","UseDPDF=Y")</f>
        <v>#NAME?</v>
      </c>
      <c r="CB385" s="1" t="e">
        <f ca="1">_xll.BDH($C$378,"TOT_DEBT_TO_EBITDA","FQ2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85" s="1" t="e">
        <f ca="1">_xll.BDH($C$378,"NET_DEBT_TO_EBITDA","FQ2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85" s="1" t="e">
        <f ca="1">_xll.BDH($C$378,"TOTAL_DEBT_TO_EBIT","FQ2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85" s="1" t="e">
        <f ca="1">_xll.BDH($C$378,"NET_DEBT_TO_EBIT","FQ2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385" s="1" t="e">
        <f ca="1">_xll.BDH($C$378,"EBITDA_TO_INTEREST_EXPN","FQ2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85" s="1" t="e">
        <f ca="1">_xll.BDH($C$378,"COM_EQY_TO_TOT_ASSET","FQ2 2015","FQ2 2015","Currency=INR","Period=FQ","BEST_FPERIOD_OVERRIDE=FQ","FILING_STATUS=OR","EQY_CONSOLIDATED=Y","Sort=A","Dates=H","DateFormat=P","Fill=—","Direction=H","UseDPDF=Y")</f>
        <v>#NAME?</v>
      </c>
      <c r="CH385" s="1" t="e">
        <f ca="1">_xll.BDH($C$378,"LT_DEBT_TO_TOT_EQY","FQ2 2015","FQ2 2015","Currency=INR","Period=FQ","BEST_FPERIOD_OVERRIDE=FQ","FILING_STATUS=OR","EQY_CONSOLIDATED=Y","Sort=A","Dates=H","DateFormat=P","Fill=—","Direction=H","UseDPDF=Y")</f>
        <v>#NAME?</v>
      </c>
      <c r="CI385" s="1" t="e">
        <f ca="1">_xll.BDH($C$378,"LT_DEBT_TO_TOT_CAP","FQ2 2015","FQ2 2015","Currency=INR","Period=FQ","BEST_FPERIOD_OVERRIDE=FQ","FILING_STATUS=OR","EQY_CONSOLIDATED=Y","Sort=A","Dates=H","DateFormat=P","Fill=—","Direction=H","UseDPDF=Y")</f>
        <v>#NAME?</v>
      </c>
      <c r="CJ385" s="1" t="e">
        <f ca="1">_xll.BDH($C$378,"LT_DEBT_TO_TOT_ASSET","FQ2 2015","FQ2 2015","Currency=INR","Period=FQ","BEST_FPERIOD_OVERRIDE=FQ","FILING_STATUS=OR","EQY_CONSOLIDATED=Y","Sort=A","Dates=H","DateFormat=P","Fill=—","Direction=H","UseDPDF=Y")</f>
        <v>#NAME?</v>
      </c>
      <c r="CK385" s="1" t="e">
        <f ca="1">_xll.BDH($C$378,"TOT_DEBT_TO_TOT_EQY","FQ2 2015","FQ2 2015","Currency=INR","Period=FQ","BEST_FPERIOD_OVERRIDE=FQ","FILING_STATUS=OR","EQY_CONSOLIDATED=Y","Sort=A","Dates=H","DateFormat=P","Fill=—","Direction=H","UseDPDF=Y")</f>
        <v>#NAME?</v>
      </c>
      <c r="CL385" s="1" t="e">
        <f ca="1">_xll.BDH($C$378,"TOT_DEBT_TO_TOT_CAP","FQ2 2015","FQ2 2015","Currency=INR","Period=FQ","BEST_FPERIOD_OVERRIDE=FQ","FILING_STATUS=OR","EQY_CONSOLIDATED=Y","Sort=A","Dates=H","DateFormat=P","Fill=—","Direction=H","UseDPDF=Y")</f>
        <v>#NAME?</v>
      </c>
      <c r="CM385" s="1" t="e">
        <f ca="1">_xll.BDH($C$378,"TOT_DEBT_TO_TOT_ASSET","FQ2 2015","FQ2 2015","Currency=INR","Period=FQ","BEST_FPERIOD_OVERRIDE=FQ","FILING_STATUS=OR","EQY_CONSOLIDATED=Y","Sort=A","Dates=H","DateFormat=P","Fill=—","Direction=H","UseDPDF=Y")</f>
        <v>#NAME?</v>
      </c>
      <c r="CN385" s="1" t="e">
        <f ca="1">_xll.BDH($C$378,"NET_DEBT_TO_SHRHLDR_EQTY","FQ2 2015","FQ2 2015","Currency=INR","Period=FQ","BEST_FPERIOD_OVERRIDE=FQ","FILING_STATUS=OR","EQY_CONSOLIDATED=Y","Sort=A","Dates=H","DateFormat=P","Fill=—","Direction=H","UseDPDF=Y")</f>
        <v>#NAME?</v>
      </c>
      <c r="CO385" s="1" t="e">
        <f ca="1">_xll.BDH($C$378,"NET_DEBT_%_CAPITAL","FQ2 2015","FQ2 2015","Currency=INR","Period=FQ","BEST_FPERIOD_OVERRIDE=FQ","FILING_STATUS=OR","EQY_CONSOLIDATED=Y","Sort=A","Dates=H","DateFormat=P","Fill=—","Direction=H","UseDPDF=Y")</f>
        <v>#NAME?</v>
      </c>
      <c r="CP385" s="2" t="e">
        <f ca="1">_xll.BDH($C$378,"EBITDA","FQ2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85" s="2" t="e">
        <f ca="1">_xll.BDH($C$378,"EBITDA_AFTER_CAPEX","FQ2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85" s="2" t="e">
        <f ca="1">_xll.BDH($C$378,"IS_OPER_INC","FQ2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85" s="1" t="e">
        <f ca="1">_xll.BDH($C$378,"CASH_RATIO","FQ2 2015","FQ2 2015","Currency=INR","Period=FQ","BEST_FPERIOD_OVERRIDE=FQ","FILING_STATUS=OR","EQY_CONSOLIDATED=Y","Sort=A","Dates=H","DateFormat=P","Fill=—","Direction=H","UseDPDF=Y")</f>
        <v>#NAME?</v>
      </c>
      <c r="CT385" s="1" t="e">
        <f ca="1">_xll.BDH($C$378,"CUR_RATIO","FQ2 2015","FQ2 2015","Currency=INR","Period=FQ","BEST_FPERIOD_OVERRIDE=FQ","FILING_STATUS=OR","EQY_CONSOLIDATED=Y","Sort=A","Dates=H","DateFormat=P","Fill=—","Direction=H","UseDPDF=Y")</f>
        <v>#NAME?</v>
      </c>
      <c r="CU385" s="1" t="e">
        <f ca="1">_xll.BDH($C$378,"QUICK_RATIO","FQ2 2015","FQ2 2015","Currency=INR","Period=FQ","BEST_FPERIOD_OVERRIDE=FQ","FILING_STATUS=OR","EQY_CONSOLIDATED=Y","Sort=A","Dates=H","DateFormat=P","Fill=—","Direction=H","UseDPDF=Y")</f>
        <v>#NAME?</v>
      </c>
      <c r="CV385" s="1" t="e">
        <f ca="1">_xll.BDH($C$378,"ALTMAN_Z_SCORE","FQ2 2015","FQ2 2015","Currency=INR","Period=FQ","BEST_FPERIOD_OVERRIDE=FQ","FILING_STATUS=OR","EQY_CONSOLIDATED=Y","Sort=A","Dates=H","DateFormat=P","Fill=—","Direction=H","UseDPDF=Y")</f>
        <v>#NAME?</v>
      </c>
      <c r="CW385" s="3" t="e">
        <f ca="1">_xll.BDH($C$378,"ACCT_RCV_TURN","FQ2 2015","FQ2 2015","Currency=INR","Period=FQ","BEST_FPERIOD_OVERRIDE=FQ","FILING_STATUS=OR","EQY_CONSOLIDATED=Y","FA_ADJUSTED=GAAP","Sort=A","Dates=H","DateFormat=P","Fill=—","Direction=H","UseDPDF=Y")</f>
        <v>#NAME?</v>
      </c>
      <c r="CX385" s="1" t="e">
        <f ca="1">_xll.BDH($C$378,"ACCT_RCV_DAYS","FQ2 2015","FQ2 2015","Currency=INR","Period=FQ","BEST_FPERIOD_OVERRIDE=FQ","FILING_STATUS=OR","EQY_CONSOLIDATED=Y","FA_ADJUSTED=GAAP","Sort=A","Dates=H","DateFormat=P","Fill=—","Direction=H","UseDPDF=Y")</f>
        <v>#NAME?</v>
      </c>
      <c r="CY385" s="3" t="e">
        <f ca="1">_xll.BDH($C$378,"INVENT_TURN","FQ2 2015","FQ2 2015","Currency=INR","Period=FQ","BEST_FPERIOD_OVERRIDE=FQ","FILING_STATUS=OR","EQY_CONSOLIDATED=Y","FA_ADJUSTED=GAAP","Sort=A","Dates=H","DateFormat=P","Fill=—","Direction=H","UseDPDF=Y")</f>
        <v>#NAME?</v>
      </c>
      <c r="CZ385" s="1" t="e">
        <f ca="1">_xll.BDH($C$378,"INVENT_DAYS","FQ2 2015","FQ2 2015","Currency=INR","Period=FQ","BEST_FPERIOD_OVERRIDE=FQ","FILING_STATUS=OR","EQY_CONSOLIDATED=Y","FA_ADJUSTED=GAAP","Sort=A","Dates=H","DateFormat=P","Fill=—","Direction=H","UseDPDF=Y")</f>
        <v>#NAME?</v>
      </c>
      <c r="DA385" s="3" t="e">
        <f ca="1">_xll.BDH($C$378,"ACCOUNTS_PAYABLE_TURNOVER","FQ2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85" s="1" t="e">
        <f ca="1">_xll.BDH($C$378,"ACCOUNTS_PAYABLE_TURNOVER_DAYS","FQ2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85" s="3" t="e">
        <f ca="1">_xll.BDH($C$378,"CASH_CONVERSION_CYCLE","FQ2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85" s="3" t="e">
        <f ca="1">_xll.BDH($C$378,"INV_TO_CASH_DAYS","FQ2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385" s="4" t="e">
        <f ca="1">_xll.BDH($C$378,"BS_INVENTORIES","FQ2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385" s="2" t="e">
        <f ca="1">_xll.BDH($C$378,"INVTRY_RAW_MATERIALS","FQ2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85" s="2" t="e">
        <f ca="1">_xll.BDH($C$378,"INVTRY_IN_PROGRESS","FQ2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85" s="2" t="e">
        <f ca="1">_xll.BDH($C$378,"INVTRY_FINISHED_GOODS","FQ2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85" s="2" t="e">
        <f ca="1">_xll.BDH($C$378,"BS_OTHER_INV","FQ2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86" spans="1:113" x14ac:dyDescent="0.3">
      <c r="A386" s="6"/>
      <c r="B386" s="6"/>
      <c r="C386" s="6"/>
      <c r="D386" s="6"/>
      <c r="E386" t="s">
        <v>6</v>
      </c>
      <c r="F386" t="e">
        <f ca="1">_xll.BDH($C$378,"RETURN_COM_EQY","FQ3 2015","FQ3 2015","Currency=INR","Period=FQ","BEST_FPERIOD_OVERRIDE=FQ","FILING_STATUS=OR","EQY_CONSOLIDATED=Y","FA_ADJUSTED=GAAP","Sort=A","Dates=H","DateFormat=P","Fill=—","Direction=H","UseDPDF=Y")</f>
        <v>#NAME?</v>
      </c>
      <c r="G386" t="e">
        <f ca="1">_xll.BDH($C$378,"RETURN_ON_ASSET","FQ3 2015","FQ3 2015","Currency=INR","Period=FQ","BEST_FPERIOD_OVERRIDE=FQ","FILING_STATUS=OR","EQY_CONSOLIDATED=Y","FA_ADJUSTED=GAAP","Sort=A","Dates=H","DateFormat=P","Fill=—","Direction=H","UseDPDF=Y")</f>
        <v>#NAME?</v>
      </c>
      <c r="H386" t="e">
        <f ca="1">_xll.BDH($C$378,"RETURN_ON_CAP","FQ3 2015","FQ3 2015","Currency=INR","Period=FQ","BEST_FPERIOD_OVERRIDE=FQ","FILING_STATUS=OR","EQY_CONSOLIDATED=Y","FA_ADJUSTED=GAAP","Sort=A","Dates=H","DateFormat=P","Fill=—","Direction=H","UseDPDF=Y")</f>
        <v>#NAME?</v>
      </c>
      <c r="I386" t="e">
        <f ca="1">_xll.BDH($C$378,"RETURN_ON_INV_CAPITAL","FQ3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86" t="e">
        <f ca="1">_xll.BDH($C$378,"EBITDA_TO_REVENUE","FQ3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386" t="e">
        <f ca="1">_xll.BDH($C$378,"OPER_MARGIN","FQ3 2015","FQ3 2015","Currency=INR","Period=FQ","BEST_FPERIOD_OVERRIDE=FQ","FILING_STATUS=OR","EQY_CONSOLIDATED=Y","FA_ADJUSTED=GAAP","Sort=A","Dates=H","DateFormat=P","Fill=—","Direction=H","UseDPDF=Y")</f>
        <v>#NAME?</v>
      </c>
      <c r="L386" t="e">
        <f ca="1">_xll.BDH($C$378,"INCREMENTAL_OPERATING_MARGIN","FQ3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86" t="e">
        <f ca="1">_xll.BDH($C$378,"PRETAX_INC_TO_NET_SALES","FQ3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86" t="e">
        <f ca="1">_xll.BDH($C$378,"INC_BEF_XO_ITEMS_TO_NET_SALES","FQ3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86" t="e">
        <f ca="1">_xll.BDH($C$378,"PROF_MARGIN","FQ3 2015","FQ3 2015","Currency=INR","Period=FQ","BEST_FPERIOD_OVERRIDE=FQ","FILING_STATUS=OR","EQY_CONSOLIDATED=Y","FA_ADJUSTED=GAAP","Sort=A","Dates=H","DateFormat=P","Fill=—","Direction=H","UseDPDF=Y")</f>
        <v>#NAME?</v>
      </c>
      <c r="P386" t="e">
        <f ca="1">_xll.BDH($C$378,"NET_INCOME_TO_COMMON_MARGIN","FQ3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86" t="e">
        <f ca="1">_xll.BDH($C$378,"EFF_TAX_RATE","FQ3 2015","FQ3 2015","Currency=INR","Period=FQ","BEST_FPERIOD_OVERRIDE=FQ","FILING_STATUS=OR","EQY_CONSOLIDATED=Y","FA_ADJUSTED=GAAP","Sort=A","Dates=H","DateFormat=P","Fill=—","Direction=H","UseDPDF=Y")</f>
        <v>#NAME?</v>
      </c>
      <c r="R386" t="e">
        <f ca="1">_xll.BDH($C$378,"DVD_PAYOUT_RATIO","FQ3 2015","FQ3 2015","Currency=INR","Period=FQ","BEST_FPERIOD_OVERRIDE=FQ","FILING_STATUS=OR","EQY_CONSOLIDATED=Y","FA_ADJUSTED=GAAP","Sort=A","Dates=H","DateFormat=P","Fill=—","Direction=H","UseDPDF=Y")</f>
        <v>#NAME?</v>
      </c>
      <c r="S386" t="e">
        <f ca="1">_xll.BDH($C$378,"SUSTAIN_GROWTH_RT","FQ3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386" s="1" t="e">
        <f ca="1">_xll.BDH($C$378,"SALES_GROWTH","FQ3 2015","FQ3 2015","Currency=INR","Period=FQ","BEST_FPERIOD_OVERRIDE=FQ","FILING_STATUS=OR","EQY_CONSOLIDATED=Y","FA_ADJUSTED=GAAP","Sort=A","Dates=H","DateFormat=P","Fill=—","Direction=H","UseDPDF=Y")</f>
        <v>#NAME?</v>
      </c>
      <c r="U386" s="1" t="e">
        <f ca="1">_xll.BDH($C$378,"EBITDA_GROWTH","FQ3 2015","FQ3 2015","Currency=INR","Period=FQ","BEST_FPERIOD_OVERRIDE=FQ","FILING_STATUS=OR","EQY_CONSOLIDATED=Y","FA_ADJUSTED=GAAP","Sort=A","Dates=H","DateFormat=P","Fill=—","Direction=H","UseDPDF=Y")</f>
        <v>#NAME?</v>
      </c>
      <c r="V386" s="1" t="e">
        <f ca="1">_xll.BDH($C$378,"OPER_INC_GROWTH","FQ3 2015","FQ3 2015","Currency=INR","Period=FQ","BEST_FPERIOD_OVERRIDE=FQ","FILING_STATUS=OR","EQY_CONSOLIDATED=Y","FA_ADJUSTED=GAAP","Sort=A","Dates=H","DateFormat=P","Fill=—","Direction=H","UseDPDF=Y")</f>
        <v>#NAME?</v>
      </c>
      <c r="W386" s="1" t="e">
        <f ca="1">_xll.BDH($C$378,"EARN_FOR_COM_GROWTH","FQ3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86" s="1" t="e">
        <f ca="1">_xll.BDH($C$378,"DILUTED_EPS_AFT_XO_ITEMS_GROWTH","FQ3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86" s="1" t="e">
        <f ca="1">_xll.BDH($C$378,"DIVIDEND_PER_SHARE_1_YEAR_GROWTH","FQ3 2015","FQ3 2015","Currency=INR","Period=FQ","BEST_FPERIOD_OVERRIDE=FQ","FILING_STATUS=OR","EQY_CONSOLIDATED=Y","Sort=A","Dates=H","DateFormat=P","Fill=—","Direction=H","UseDPDF=Y")</f>
        <v>#NAME?</v>
      </c>
      <c r="Z386" s="1" t="e">
        <f ca="1">_xll.BDH($C$378,"ACCOUNTS_RECEIVABLE_GROWTH","FQ3 2015","FQ3 2015","Currency=INR","Period=FQ","BEST_FPERIOD_OVERRIDE=FQ","FILING_STATUS=OR","EQY_CONSOLIDATED=Y","Sort=A","Dates=H","DateFormat=P","Fill=—","Direction=H","UseDPDF=Y")</f>
        <v>#NAME?</v>
      </c>
      <c r="AA386" s="1" t="e">
        <f ca="1">_xll.BDH($C$378,"INVENTORY_GROWTH","FQ3 2015","FQ3 2015","Currency=INR","Period=FQ","BEST_FPERIOD_OVERRIDE=FQ","FILING_STATUS=OR","EQY_CONSOLIDATED=Y","Sort=A","Dates=H","DateFormat=P","Fill=—","Direction=H","UseDPDF=Y")</f>
        <v>#NAME?</v>
      </c>
      <c r="AB386" s="1" t="e">
        <f ca="1">_xll.BDH($C$378,"NET_FIXED_ASSETS_1_YEAR_GROWTH","FQ3 2015","FQ3 2015","Currency=INR","Period=FQ","BEST_FPERIOD_OVERRIDE=FQ","FILING_STATUS=OR","EQY_CONSOLIDATED=Y","Sort=A","Dates=H","DateFormat=P","Fill=—","Direction=H","UseDPDF=Y")</f>
        <v>#NAME?</v>
      </c>
      <c r="AC386" s="1" t="e">
        <f ca="1">_xll.BDH($C$378,"ASSET_GROWTH","FQ3 2015","FQ3 2015","Currency=INR","Period=FQ","BEST_FPERIOD_OVERRIDE=FQ","FILING_STATUS=OR","EQY_CONSOLIDATED=Y","Sort=A","Dates=H","DateFormat=P","Fill=—","Direction=H","UseDPDF=Y")</f>
        <v>#NAME?</v>
      </c>
      <c r="AD386" s="1" t="e">
        <f ca="1">_xll.BDH($C$378,"MODIFIED_WORK_CAP_GROWTH","FQ3 2015","FQ3 2015","Currency=INR","Period=FQ","BEST_FPERIOD_OVERRIDE=FQ","FILING_STATUS=OR","EQY_CONSOLIDATED=Y","Sort=A","Dates=H","DateFormat=P","Fill=—","Direction=H","UseDPDF=Y")</f>
        <v>#NAME?</v>
      </c>
      <c r="AE386" s="1" t="e">
        <f ca="1">_xll.BDH($C$378,"WORK_CAP_GROWTH","FQ3 2015","FQ3 2015","Currency=INR","Period=FQ","BEST_FPERIOD_OVERRIDE=FQ","FILING_STATUS=OR","EQY_CONSOLIDATED=Y","Sort=A","Dates=H","DateFormat=P","Fill=—","Direction=H","UseDPDF=Y")</f>
        <v>#NAME?</v>
      </c>
      <c r="AF386" s="1" t="e">
        <f ca="1">_xll.BDH($C$378,"ACCOUNTS_PAYABLE_GROWTH_1YR","FQ3 2015","FQ3 2015","Currency=INR","Period=FQ","BEST_FPERIOD_OVERRIDE=FQ","FILING_STATUS=OR","EQY_CONSOLIDATED=Y","Sort=A","Dates=H","DateFormat=P","Fill=—","Direction=H","UseDPDF=Y")</f>
        <v>#NAME?</v>
      </c>
      <c r="AG386" s="1" t="e">
        <f ca="1">_xll.BDH($C$378,"SHORT_TERM_DEBT_1_YEAR_GROWTH","FQ3 2015","FQ3 2015","Currency=INR","Period=FQ","BEST_FPERIOD_OVERRIDE=FQ","FILING_STATUS=OR","EQY_CONSOLIDATED=Y","Sort=A","Dates=H","DateFormat=P","Fill=—","Direction=H","UseDPDF=Y")</f>
        <v>#NAME?</v>
      </c>
      <c r="AH386" s="1" t="e">
        <f ca="1">_xll.BDH($C$378,"TOTAL_DEBT_1_YEAR_GROWTH","FQ3 2015","FQ3 2015","Currency=INR","Period=FQ","BEST_FPERIOD_OVERRIDE=FQ","FILING_STATUS=OR","EQY_CONSOLIDATED=Y","Sort=A","Dates=H","DateFormat=P","Fill=—","Direction=H","UseDPDF=Y")</f>
        <v>#NAME?</v>
      </c>
      <c r="AI386" s="1" t="e">
        <f ca="1">_xll.BDH($C$378,"TOTAL_EQUITY_1_YEAR_GROWTH","FQ3 2015","FQ3 2015","Currency=INR","Period=FQ","BEST_FPERIOD_OVERRIDE=FQ","FILING_STATUS=OR","EQY_CONSOLIDATED=Y","Sort=A","Dates=H","DateFormat=P","Fill=—","Direction=H","UseDPDF=Y")</f>
        <v>#NAME?</v>
      </c>
      <c r="AJ386" s="1" t="e">
        <f ca="1">_xll.BDH($C$378,"GROWTH_IN_CAP","FQ3 2015","FQ3 2015","Currency=INR","Period=FQ","BEST_FPERIOD_OVERRIDE=FQ","FILING_STATUS=OR","EQY_CONSOLIDATED=Y","Sort=A","Dates=H","DateFormat=P","Fill=—","Direction=H","UseDPDF=Y")</f>
        <v>#NAME?</v>
      </c>
      <c r="AK386" s="1" t="e">
        <f ca="1">_xll.BDH($C$378,"BVPS_GROWTH","FQ3 2015","FQ3 2015","Currency=INR","Period=FQ","BEST_FPERIOD_OVERRIDE=FQ","FILING_STATUS=OR","EQY_CONSOLIDATED=Y","Sort=A","Dates=H","DateFormat=P","Fill=—","Direction=H","UseDPDF=Y")</f>
        <v>#NAME?</v>
      </c>
      <c r="AL386" s="1" t="e">
        <f ca="1">_xll.BDH($C$378,"CASH_FLOW_GROWTH","FQ3 2015","FQ3 2015","Currency=INR","Period=FQ","BEST_FPERIOD_OVERRIDE=FQ","FILING_STATUS=OR","EQY_CONSOLIDATED=Y","Sort=A","Dates=H","DateFormat=P","Fill=—","Direction=H","UseDPDF=Y")</f>
        <v>#NAME?</v>
      </c>
      <c r="AM386" s="1" t="e">
        <f ca="1">_xll.BDH($C$378,"GEO_GROW_NET_SALES","FQ3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86" s="1" t="e">
        <f ca="1">_xll.BDH($C$378,"GEO_GROW_EBITDA","FQ3 2015","FQ3 2015","Currency=INR","Period=FQ","BEST_FPERIOD_OVERRIDE=FQ","FILING_STATUS=OR","EQY_CONSOLIDATED=Y","FA_ADJUSTED=GAAP","Sort=A","Dates=H","DateFormat=P","Fill=—","Direction=H","UseDPDF=Y")</f>
        <v>#NAME?</v>
      </c>
      <c r="AO386" s="1" t="e">
        <f ca="1">_xll.BDH($C$378,"GEO_GROW_OPER_INC","FQ3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86" s="1" t="e">
        <f ca="1">_xll.BDH($C$378,"NET_INCOME_TO_COMMON_5_YR_GROWTH","FQ3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86" s="1" t="e">
        <f ca="1">_xll.BDH($C$378,"5Y_GEO_GROWTH_DILUTED_EPS","FQ3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86" s="1" t="e">
        <f ca="1">_xll.BDH($C$378,"GEO_GROW_DVD_PER_SH","FQ3 2015","FQ3 2015","Currency=INR","Period=FQ","BEST_FPERIOD_OVERRIDE=FQ","FILING_STATUS=OR","EQY_CONSOLIDATED=Y","Sort=A","Dates=H","DateFormat=P","Fill=—","Direction=H","UseDPDF=Y")</f>
        <v>#NAME?</v>
      </c>
      <c r="AS386" s="1" t="e">
        <f ca="1">_xll.BDH($C$378,"ACCOUNTS_RECEIVABLE_5_YR_GROWTH","FQ3 2015","FQ3 2015","Currency=INR","Period=FQ","BEST_FPERIOD_OVERRIDE=FQ","FILING_STATUS=OR","EQY_CONSOLIDATED=Y","Sort=A","Dates=H","DateFormat=P","Fill=—","Direction=H","UseDPDF=Y")</f>
        <v>#NAME?</v>
      </c>
      <c r="AT386" s="1" t="e">
        <f ca="1">_xll.BDH($C$378,"INVENTORY_5_YEAR_GROWTH","FQ3 2015","FQ3 2015","Currency=INR","Period=FQ","BEST_FPERIOD_OVERRIDE=FQ","FILING_STATUS=OR","EQY_CONSOLIDATED=Y","Sort=A","Dates=H","DateFormat=P","Fill=—","Direction=H","UseDPDF=Y")</f>
        <v>#NAME?</v>
      </c>
      <c r="AU386" s="1" t="e">
        <f ca="1">_xll.BDH($C$378,"NET_FIXED_ASSETS_5_YEAR_GROWTH","FQ3 2015","FQ3 2015","Currency=INR","Period=FQ","BEST_FPERIOD_OVERRIDE=FQ","FILING_STATUS=OR","EQY_CONSOLIDATED=Y","Sort=A","Dates=H","DateFormat=P","Fill=—","Direction=H","UseDPDF=Y")</f>
        <v>#NAME?</v>
      </c>
      <c r="AV386" s="1" t="e">
        <f ca="1">_xll.BDH($C$378,"GEO_GROW_TOT_ASSET","FQ3 2015","FQ3 2015","Currency=INR","Period=FQ","BEST_FPERIOD_OVERRIDE=FQ","FILING_STATUS=OR","EQY_CONSOLIDATED=Y","Sort=A","Dates=H","DateFormat=P","Fill=—","Direction=H","UseDPDF=Y")</f>
        <v>#NAME?</v>
      </c>
      <c r="AW386" s="1" t="e">
        <f ca="1">_xll.BDH($C$378,"MODIFIED_WORKING_CPTL_5YR_GRWTH","FQ3 2015","FQ3 2015","Currency=INR","Period=FQ","BEST_FPERIOD_OVERRIDE=FQ","FILING_STATUS=OR","EQY_CONSOLIDATED=Y","Sort=A","Dates=H","DateFormat=P","Fill=—","Direction=H","UseDPDF=Y")</f>
        <v>#NAME?</v>
      </c>
      <c r="AX386" s="1" t="e">
        <f ca="1">_xll.BDH($C$378,"WORKING_CAPITAL_5_YEAR_GROWTH","FQ3 2015","FQ3 2015","Currency=INR","Period=FQ","BEST_FPERIOD_OVERRIDE=FQ","FILING_STATUS=OR","EQY_CONSOLIDATED=Y","Sort=A","Dates=H","DateFormat=P","Fill=—","Direction=H","UseDPDF=Y")</f>
        <v>#NAME?</v>
      </c>
      <c r="AY386" s="1" t="e">
        <f ca="1">_xll.BDH($C$378,"ACCOUNTS_PAYABLE_5_YEAR_GROWTH","FQ3 2015","FQ3 2015","Currency=INR","Period=FQ","BEST_FPERIOD_OVERRIDE=FQ","FILING_STATUS=OR","EQY_CONSOLIDATED=Y","Sort=A","Dates=H","DateFormat=P","Fill=—","Direction=H","UseDPDF=Y")</f>
        <v>#NAME?</v>
      </c>
      <c r="AZ386" s="1" t="e">
        <f ca="1">_xll.BDH($C$378,"SHORT_TERM_DEBT_5_YEAR_GROWTH","FQ3 2015","FQ3 2015","Currency=INR","Period=FQ","BEST_FPERIOD_OVERRIDE=FQ","FILING_STATUS=OR","EQY_CONSOLIDATED=Y","Sort=A","Dates=H","DateFormat=P","Fill=—","Direction=H","UseDPDF=Y")</f>
        <v>#NAME?</v>
      </c>
      <c r="BA386" s="1" t="e">
        <f ca="1">_xll.BDH($C$378,"TOTAL_DEBT_5_YEAR_GROWTH","FQ3 2015","FQ3 2015","Currency=INR","Period=FQ","BEST_FPERIOD_OVERRIDE=FQ","FILING_STATUS=OR","EQY_CONSOLIDATED=Y","Sort=A","Dates=H","DateFormat=P","Fill=—","Direction=H","UseDPDF=Y")</f>
        <v>#NAME?</v>
      </c>
      <c r="BB386" s="1" t="e">
        <f ca="1">_xll.BDH($C$378,"GEO_GROW_TOT_SHRHLDR_EQY","FQ3 2015","FQ3 2015","Currency=INR","Period=FQ","BEST_FPERIOD_OVERRIDE=FQ","FILING_STATUS=OR","EQY_CONSOLIDATED=Y","Sort=A","Dates=H","DateFormat=P","Fill=—","Direction=H","UseDPDF=Y")</f>
        <v>#NAME?</v>
      </c>
      <c r="BC386" s="1" t="e">
        <f ca="1">_xll.BDH($C$378,"TOTAL_CAPITAL_5_YEAR_GROWTH","FQ3 2015","FQ3 2015","Currency=INR","Period=FQ","BEST_FPERIOD_OVERRIDE=FQ","FILING_STATUS=OR","EQY_CONSOLIDATED=Y","Sort=A","Dates=H","DateFormat=P","Fill=—","Direction=H","UseDPDF=Y")</f>
        <v>#NAME?</v>
      </c>
      <c r="BD386" s="1" t="e">
        <f ca="1">_xll.BDH($C$378,"GEO_GROW_BOOK_VAL","FQ3 2015","FQ3 2015","Currency=INR","Period=FQ","BEST_FPERIOD_OVERRIDE=FQ","FILING_STATUS=OR","EQY_CONSOLIDATED=Y","Sort=A","Dates=H","DateFormat=P","Fill=—","Direction=H","UseDPDF=Y")</f>
        <v>#NAME?</v>
      </c>
      <c r="BE386" s="1" t="e">
        <f ca="1">_xll.BDH($C$378,"GEO_GROW_CASH_OPER_ACT","FQ3 2015","FQ3 2015","Currency=INR","Period=FQ","BEST_FPERIOD_OVERRIDE=FQ","FILING_STATUS=OR","EQY_CONSOLIDATED=Y","Sort=A","Dates=H","DateFormat=P","Fill=—","Direction=H","UseDPDF=Y")</f>
        <v>#NAME?</v>
      </c>
      <c r="BF386" s="1" t="e">
        <f ca="1">_xll.BDH($C$378,"REVENUE_SEQUENTIAL_GROWTH","FQ3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86" s="1" t="e">
        <f ca="1">_xll.BDH($C$378,"EBITDA_SEQUENTIAL_GROWTH","FQ3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86" s="1" t="e">
        <f ca="1">_xll.BDH($C$378,"OPERATING_INCOME_SEQ_GROWTH","FQ3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86" s="1" t="e">
        <f ca="1">_xll.BDH($C$378,"NET_INCOME_TO_COMMON_SEQ_GROWTH","FQ3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86" s="1" t="e">
        <f ca="1">_xll.BDH($C$378,"EPS_DILUTED_SEQUENTIAL_GROWTH","FQ3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86" s="1" t="e">
        <f ca="1">_xll.BDH($C$378,"DPS_SEQUENTIAL_GROWTH","FQ3 2015","FQ3 2015","Currency=INR","Period=FQ","BEST_FPERIOD_OVERRIDE=FQ","FILING_STATUS=OR","EQY_CONSOLIDATED=Y","Sort=A","Dates=H","DateFormat=P","Fill=—","Direction=H","UseDPDF=Y")</f>
        <v>#NAME?</v>
      </c>
      <c r="BL386" s="1" t="e">
        <f ca="1">_xll.BDH($C$378,"ACCOUNTS_RECEIVABLE_SEQ_GROWTH","FQ3 2015","FQ3 2015","Currency=INR","Period=FQ","BEST_FPERIOD_OVERRIDE=FQ","FILING_STATUS=OR","EQY_CONSOLIDATED=Y","Sort=A","Dates=H","DateFormat=P","Fill=—","Direction=H","UseDPDF=Y")</f>
        <v>#NAME?</v>
      </c>
      <c r="BM386" s="1" t="e">
        <f ca="1">_xll.BDH($C$378,"INVENTORY_SEQUENTIAL_GROWTH","FQ3 2015","FQ3 2015","Currency=INR","Period=FQ","BEST_FPERIOD_OVERRIDE=FQ","FILING_STATUS=OR","EQY_CONSOLIDATED=Y","Sort=A","Dates=H","DateFormat=P","Fill=—","Direction=H","UseDPDF=Y")</f>
        <v>#NAME?</v>
      </c>
      <c r="BN386" s="1" t="e">
        <f ca="1">_xll.BDH($C$378,"FIXED_ASSETS_SEQUENTIAL_GROWTH","FQ3 2015","FQ3 2015","Currency=INR","Period=FQ","BEST_FPERIOD_OVERRIDE=FQ","FILING_STATUS=OR","EQY_CONSOLIDATED=Y","Sort=A","Dates=H","DateFormat=P","Fill=—","Direction=H","UseDPDF=Y")</f>
        <v>#NAME?</v>
      </c>
      <c r="BO386" s="1" t="e">
        <f ca="1">_xll.BDH($C$378,"TOTAL_ASSETS_SEQUENTIAL_GROWTH","FQ3 2015","FQ3 2015","Currency=INR","Period=FQ","BEST_FPERIOD_OVERRIDE=FQ","FILING_STATUS=OR","EQY_CONSOLIDATED=Y","Sort=A","Dates=H","DateFormat=P","Fill=—","Direction=H","UseDPDF=Y")</f>
        <v>#NAME?</v>
      </c>
      <c r="BP386" s="1" t="e">
        <f ca="1">_xll.BDH($C$378,"MODIFIED_WORKING_CPTL_SEQ_GRWTH","FQ3 2015","FQ3 2015","Currency=INR","Period=FQ","BEST_FPERIOD_OVERRIDE=FQ","FILING_STATUS=OR","EQY_CONSOLIDATED=Y","Sort=A","Dates=H","DateFormat=P","Fill=—","Direction=H","UseDPDF=Y")</f>
        <v>#NAME?</v>
      </c>
      <c r="BQ386" s="1" t="e">
        <f ca="1">_xll.BDH($C$378,"WORKING_CAPITAL_SEQ_GROWTH","FQ3 2015","FQ3 2015","Currency=INR","Period=FQ","BEST_FPERIOD_OVERRIDE=FQ","FILING_STATUS=OR","EQY_CONSOLIDATED=Y","Sort=A","Dates=H","DateFormat=P","Fill=—","Direction=H","UseDPDF=Y")</f>
        <v>#NAME?</v>
      </c>
      <c r="BR386" s="1" t="e">
        <f ca="1">_xll.BDH($C$378,"ACCOUNTS_PAYABLE_SEQ_GROWTH","FQ3 2015","FQ3 2015","Currency=INR","Period=FQ","BEST_FPERIOD_OVERRIDE=FQ","FILING_STATUS=OR","EQY_CONSOLIDATED=Y","Sort=A","Dates=H","DateFormat=P","Fill=—","Direction=H","UseDPDF=Y")</f>
        <v>#NAME?</v>
      </c>
      <c r="BS386" s="1" t="e">
        <f ca="1">_xll.BDH($C$378,"ST_DEBT_SEQUENTIAL_GROWTH","FQ3 2015","FQ3 2015","Currency=INR","Period=FQ","BEST_FPERIOD_OVERRIDE=FQ","FILING_STATUS=OR","EQY_CONSOLIDATED=Y","Sort=A","Dates=H","DateFormat=P","Fill=—","Direction=H","UseDPDF=Y")</f>
        <v>#NAME?</v>
      </c>
      <c r="BT386" s="1" t="e">
        <f ca="1">_xll.BDH($C$378,"TOTAL_DEBT_SEQUENTIAL_GROWTH","FQ3 2015","FQ3 2015","Currency=INR","Period=FQ","BEST_FPERIOD_OVERRIDE=FQ","FILING_STATUS=OR","EQY_CONSOLIDATED=Y","Sort=A","Dates=H","DateFormat=P","Fill=—","Direction=H","UseDPDF=Y")</f>
        <v>#NAME?</v>
      </c>
      <c r="BU386" s="1" t="e">
        <f ca="1">_xll.BDH($C$378,"TOTAL_EQUITY_SEQUENTIAL_GROWTH","FQ3 2015","FQ3 2015","Currency=INR","Period=FQ","BEST_FPERIOD_OVERRIDE=FQ","FILING_STATUS=OR","EQY_CONSOLIDATED=Y","Sort=A","Dates=H","DateFormat=P","Fill=—","Direction=H","UseDPDF=Y")</f>
        <v>#NAME?</v>
      </c>
      <c r="BV386" s="1" t="e">
        <f ca="1">_xll.BDH($C$378,"TOTAL_CAPITAL_SEQUENTIAL_GROWTH","FQ3 2015","FQ3 2015","Currency=INR","Period=FQ","BEST_FPERIOD_OVERRIDE=FQ","FILING_STATUS=OR","EQY_CONSOLIDATED=Y","Sort=A","Dates=H","DateFormat=P","Fill=—","Direction=H","UseDPDF=Y")</f>
        <v>#NAME?</v>
      </c>
      <c r="BW386" s="1" t="e">
        <f ca="1">_xll.BDH($C$378,"BPS_SEQUENTIAL_GROWTH","FQ3 2015","FQ3 2015","Currency=INR","Period=FQ","BEST_FPERIOD_OVERRIDE=FQ","FILING_STATUS=OR","EQY_CONSOLIDATED=Y","Sort=A","Dates=H","DateFormat=P","Fill=—","Direction=H","UseDPDF=Y")</f>
        <v>#NAME?</v>
      </c>
      <c r="BX386" s="1" t="e">
        <f ca="1">_xll.BDH($C$378,"CFO_SEQUENTIAL_GROWTH","FQ3 2015","FQ3 2015","Currency=INR","Period=FQ","BEST_FPERIOD_OVERRIDE=FQ","FILING_STATUS=OR","EQY_CONSOLIDATED=Y","Sort=A","Dates=H","DateFormat=P","Fill=—","Direction=H","UseDPDF=Y")</f>
        <v>#NAME?</v>
      </c>
      <c r="BY386" s="2" t="e">
        <f ca="1">_xll.BDH($C$378,"SHORT_AND_LONG_TERM_DEBT","FQ3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86" s="2" t="e">
        <f ca="1">_xll.BDH($C$378,"BS_ST_BORROW","FQ3 2015","FQ3 2015","Currency=INR","Period=FQ","BEST_FPERIOD_OVERRIDE=FQ","FILING_STATUS=OR","EQY_CONSOLIDATED=Y","SCALING_FORMAT=MLN","Sort=A","Dates=H","DateFormat=P","Fill=—","Direction=H","UseDPDF=Y")</f>
        <v>#NAME?</v>
      </c>
      <c r="CA386" s="2" t="e">
        <f ca="1">_xll.BDH($C$378,"BS_LT_BORROW","FQ3 2015","FQ3 2015","Currency=INR","Period=FQ","BEST_FPERIOD_OVERRIDE=FQ","FILING_STATUS=OR","EQY_CONSOLIDATED=Y","SCALING_FORMAT=MLN","Sort=A","Dates=H","DateFormat=P","Fill=—","Direction=H","UseDPDF=Y")</f>
        <v>#NAME?</v>
      </c>
      <c r="CB386" s="1" t="e">
        <f ca="1">_xll.BDH($C$378,"TOT_DEBT_TO_EBITDA","FQ3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86" s="1" t="e">
        <f ca="1">_xll.BDH($C$378,"NET_DEBT_TO_EBITDA","FQ3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86" s="1" t="e">
        <f ca="1">_xll.BDH($C$378,"TOTAL_DEBT_TO_EBIT","FQ3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86" s="1" t="e">
        <f ca="1">_xll.BDH($C$378,"NET_DEBT_TO_EBIT","FQ3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386" s="1" t="e">
        <f ca="1">_xll.BDH($C$378,"EBITDA_TO_INTEREST_EXPN","FQ3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86" s="1" t="e">
        <f ca="1">_xll.BDH($C$378,"COM_EQY_TO_TOT_ASSET","FQ3 2015","FQ3 2015","Currency=INR","Period=FQ","BEST_FPERIOD_OVERRIDE=FQ","FILING_STATUS=OR","EQY_CONSOLIDATED=Y","Sort=A","Dates=H","DateFormat=P","Fill=—","Direction=H","UseDPDF=Y")</f>
        <v>#NAME?</v>
      </c>
      <c r="CH386" s="1" t="e">
        <f ca="1">_xll.BDH($C$378,"LT_DEBT_TO_TOT_EQY","FQ3 2015","FQ3 2015","Currency=INR","Period=FQ","BEST_FPERIOD_OVERRIDE=FQ","FILING_STATUS=OR","EQY_CONSOLIDATED=Y","Sort=A","Dates=H","DateFormat=P","Fill=—","Direction=H","UseDPDF=Y")</f>
        <v>#NAME?</v>
      </c>
      <c r="CI386" s="1" t="e">
        <f ca="1">_xll.BDH($C$378,"LT_DEBT_TO_TOT_CAP","FQ3 2015","FQ3 2015","Currency=INR","Period=FQ","BEST_FPERIOD_OVERRIDE=FQ","FILING_STATUS=OR","EQY_CONSOLIDATED=Y","Sort=A","Dates=H","DateFormat=P","Fill=—","Direction=H","UseDPDF=Y")</f>
        <v>#NAME?</v>
      </c>
      <c r="CJ386" s="1" t="e">
        <f ca="1">_xll.BDH($C$378,"LT_DEBT_TO_TOT_ASSET","FQ3 2015","FQ3 2015","Currency=INR","Period=FQ","BEST_FPERIOD_OVERRIDE=FQ","FILING_STATUS=OR","EQY_CONSOLIDATED=Y","Sort=A","Dates=H","DateFormat=P","Fill=—","Direction=H","UseDPDF=Y")</f>
        <v>#NAME?</v>
      </c>
      <c r="CK386" s="1" t="e">
        <f ca="1">_xll.BDH($C$378,"TOT_DEBT_TO_TOT_EQY","FQ3 2015","FQ3 2015","Currency=INR","Period=FQ","BEST_FPERIOD_OVERRIDE=FQ","FILING_STATUS=OR","EQY_CONSOLIDATED=Y","Sort=A","Dates=H","DateFormat=P","Fill=—","Direction=H","UseDPDF=Y")</f>
        <v>#NAME?</v>
      </c>
      <c r="CL386" s="1" t="e">
        <f ca="1">_xll.BDH($C$378,"TOT_DEBT_TO_TOT_CAP","FQ3 2015","FQ3 2015","Currency=INR","Period=FQ","BEST_FPERIOD_OVERRIDE=FQ","FILING_STATUS=OR","EQY_CONSOLIDATED=Y","Sort=A","Dates=H","DateFormat=P","Fill=—","Direction=H","UseDPDF=Y")</f>
        <v>#NAME?</v>
      </c>
      <c r="CM386" s="1" t="e">
        <f ca="1">_xll.BDH($C$378,"TOT_DEBT_TO_TOT_ASSET","FQ3 2015","FQ3 2015","Currency=INR","Period=FQ","BEST_FPERIOD_OVERRIDE=FQ","FILING_STATUS=OR","EQY_CONSOLIDATED=Y","Sort=A","Dates=H","DateFormat=P","Fill=—","Direction=H","UseDPDF=Y")</f>
        <v>#NAME?</v>
      </c>
      <c r="CN386" s="1" t="e">
        <f ca="1">_xll.BDH($C$378,"NET_DEBT_TO_SHRHLDR_EQTY","FQ3 2015","FQ3 2015","Currency=INR","Period=FQ","BEST_FPERIOD_OVERRIDE=FQ","FILING_STATUS=OR","EQY_CONSOLIDATED=Y","Sort=A","Dates=H","DateFormat=P","Fill=—","Direction=H","UseDPDF=Y")</f>
        <v>#NAME?</v>
      </c>
      <c r="CO386" s="1" t="e">
        <f ca="1">_xll.BDH($C$378,"NET_DEBT_%_CAPITAL","FQ3 2015","FQ3 2015","Currency=INR","Period=FQ","BEST_FPERIOD_OVERRIDE=FQ","FILING_STATUS=OR","EQY_CONSOLIDATED=Y","Sort=A","Dates=H","DateFormat=P","Fill=—","Direction=H","UseDPDF=Y")</f>
        <v>#NAME?</v>
      </c>
      <c r="CP386" s="2" t="e">
        <f ca="1">_xll.BDH($C$378,"EBITDA","FQ3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86" s="2" t="e">
        <f ca="1">_xll.BDH($C$378,"EBITDA_AFTER_CAPEX","FQ3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86" s="2" t="e">
        <f ca="1">_xll.BDH($C$378,"IS_OPER_INC","FQ3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86" s="1" t="e">
        <f ca="1">_xll.BDH($C$378,"CASH_RATIO","FQ3 2015","FQ3 2015","Currency=INR","Period=FQ","BEST_FPERIOD_OVERRIDE=FQ","FILING_STATUS=OR","EQY_CONSOLIDATED=Y","Sort=A","Dates=H","DateFormat=P","Fill=—","Direction=H","UseDPDF=Y")</f>
        <v>#NAME?</v>
      </c>
      <c r="CT386" s="1" t="e">
        <f ca="1">_xll.BDH($C$378,"CUR_RATIO","FQ3 2015","FQ3 2015","Currency=INR","Period=FQ","BEST_FPERIOD_OVERRIDE=FQ","FILING_STATUS=OR","EQY_CONSOLIDATED=Y","Sort=A","Dates=H","DateFormat=P","Fill=—","Direction=H","UseDPDF=Y")</f>
        <v>#NAME?</v>
      </c>
      <c r="CU386" s="1" t="e">
        <f ca="1">_xll.BDH($C$378,"QUICK_RATIO","FQ3 2015","FQ3 2015","Currency=INR","Period=FQ","BEST_FPERIOD_OVERRIDE=FQ","FILING_STATUS=OR","EQY_CONSOLIDATED=Y","Sort=A","Dates=H","DateFormat=P","Fill=—","Direction=H","UseDPDF=Y")</f>
        <v>#NAME?</v>
      </c>
      <c r="CV386" s="1" t="e">
        <f ca="1">_xll.BDH($C$378,"ALTMAN_Z_SCORE","FQ3 2015","FQ3 2015","Currency=INR","Period=FQ","BEST_FPERIOD_OVERRIDE=FQ","FILING_STATUS=OR","EQY_CONSOLIDATED=Y","Sort=A","Dates=H","DateFormat=P","Fill=—","Direction=H","UseDPDF=Y")</f>
        <v>#NAME?</v>
      </c>
      <c r="CW386" s="3" t="e">
        <f ca="1">_xll.BDH($C$378,"ACCT_RCV_TURN","FQ3 2015","FQ3 2015","Currency=INR","Period=FQ","BEST_FPERIOD_OVERRIDE=FQ","FILING_STATUS=OR","EQY_CONSOLIDATED=Y","FA_ADJUSTED=GAAP","Sort=A","Dates=H","DateFormat=P","Fill=—","Direction=H","UseDPDF=Y")</f>
        <v>#NAME?</v>
      </c>
      <c r="CX386" s="1" t="e">
        <f ca="1">_xll.BDH($C$378,"ACCT_RCV_DAYS","FQ3 2015","FQ3 2015","Currency=INR","Period=FQ","BEST_FPERIOD_OVERRIDE=FQ","FILING_STATUS=OR","EQY_CONSOLIDATED=Y","FA_ADJUSTED=GAAP","Sort=A","Dates=H","DateFormat=P","Fill=—","Direction=H","UseDPDF=Y")</f>
        <v>#NAME?</v>
      </c>
      <c r="CY386" s="3" t="e">
        <f ca="1">_xll.BDH($C$378,"INVENT_TURN","FQ3 2015","FQ3 2015","Currency=INR","Period=FQ","BEST_FPERIOD_OVERRIDE=FQ","FILING_STATUS=OR","EQY_CONSOLIDATED=Y","FA_ADJUSTED=GAAP","Sort=A","Dates=H","DateFormat=P","Fill=—","Direction=H","UseDPDF=Y")</f>
        <v>#NAME?</v>
      </c>
      <c r="CZ386" s="1" t="e">
        <f ca="1">_xll.BDH($C$378,"INVENT_DAYS","FQ3 2015","FQ3 2015","Currency=INR","Period=FQ","BEST_FPERIOD_OVERRIDE=FQ","FILING_STATUS=OR","EQY_CONSOLIDATED=Y","FA_ADJUSTED=GAAP","Sort=A","Dates=H","DateFormat=P","Fill=—","Direction=H","UseDPDF=Y")</f>
        <v>#NAME?</v>
      </c>
      <c r="DA386" s="3" t="e">
        <f ca="1">_xll.BDH($C$378,"ACCOUNTS_PAYABLE_TURNOVER","FQ3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86" s="1" t="e">
        <f ca="1">_xll.BDH($C$378,"ACCOUNTS_PAYABLE_TURNOVER_DAYS","FQ3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86" s="3" t="e">
        <f ca="1">_xll.BDH($C$378,"CASH_CONVERSION_CYCLE","FQ3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86" s="3" t="e">
        <f ca="1">_xll.BDH($C$378,"INV_TO_CASH_DAYS","FQ3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386" s="4" t="e">
        <f ca="1">_xll.BDH($C$378,"BS_INVENTORIES","FQ3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386" s="2" t="e">
        <f ca="1">_xll.BDH($C$378,"INVTRY_RAW_MATERIALS","FQ3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86" s="2" t="e">
        <f ca="1">_xll.BDH($C$378,"INVTRY_IN_PROGRESS","FQ3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86" s="2" t="e">
        <f ca="1">_xll.BDH($C$378,"INVTRY_FINISHED_GOODS","FQ3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86" s="2" t="e">
        <f ca="1">_xll.BDH($C$378,"BS_OTHER_INV","FQ3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87" spans="1:113" x14ac:dyDescent="0.3">
      <c r="A387" s="6"/>
      <c r="B387" s="6"/>
      <c r="C387" s="6"/>
      <c r="D387" s="6"/>
      <c r="E387" t="s">
        <v>7</v>
      </c>
      <c r="F387" t="e">
        <f ca="1">_xll.BDH($C$378,"RETURN_COM_EQY","FQ4 2015","FQ4 2015","Currency=INR","Period=FQ","BEST_FPERIOD_OVERRIDE=FQ","FILING_STATUS=OR","EQY_CONSOLIDATED=Y","FA_ADJUSTED=GAAP","Sort=A","Dates=H","DateFormat=P","Fill=—","Direction=H","UseDPDF=Y")</f>
        <v>#NAME?</v>
      </c>
      <c r="G387" t="e">
        <f ca="1">_xll.BDH($C$378,"RETURN_ON_ASSET","FQ4 2015","FQ4 2015","Currency=INR","Period=FQ","BEST_FPERIOD_OVERRIDE=FQ","FILING_STATUS=OR","EQY_CONSOLIDATED=Y","FA_ADJUSTED=GAAP","Sort=A","Dates=H","DateFormat=P","Fill=—","Direction=H","UseDPDF=Y")</f>
        <v>#NAME?</v>
      </c>
      <c r="H387" t="e">
        <f ca="1">_xll.BDH($C$378,"RETURN_ON_CAP","FQ4 2015","FQ4 2015","Currency=INR","Period=FQ","BEST_FPERIOD_OVERRIDE=FQ","FILING_STATUS=OR","EQY_CONSOLIDATED=Y","FA_ADJUSTED=GAAP","Sort=A","Dates=H","DateFormat=P","Fill=—","Direction=H","UseDPDF=Y")</f>
        <v>#NAME?</v>
      </c>
      <c r="I387" t="e">
        <f ca="1">_xll.BDH($C$378,"RETURN_ON_INV_CAPITAL","FQ4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87" t="e">
        <f ca="1">_xll.BDH($C$378,"EBITDA_TO_REVENUE","FQ4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387" t="e">
        <f ca="1">_xll.BDH($C$378,"OPER_MARGIN","FQ4 2015","FQ4 2015","Currency=INR","Period=FQ","BEST_FPERIOD_OVERRIDE=FQ","FILING_STATUS=OR","EQY_CONSOLIDATED=Y","FA_ADJUSTED=GAAP","Sort=A","Dates=H","DateFormat=P","Fill=—","Direction=H","UseDPDF=Y")</f>
        <v>#NAME?</v>
      </c>
      <c r="L387" t="e">
        <f ca="1">_xll.BDH($C$378,"INCREMENTAL_OPERATING_MARGIN","FQ4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87" t="e">
        <f ca="1">_xll.BDH($C$378,"PRETAX_INC_TO_NET_SALES","FQ4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87" t="e">
        <f ca="1">_xll.BDH($C$378,"INC_BEF_XO_ITEMS_TO_NET_SALES","FQ4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87" t="e">
        <f ca="1">_xll.BDH($C$378,"PROF_MARGIN","FQ4 2015","FQ4 2015","Currency=INR","Period=FQ","BEST_FPERIOD_OVERRIDE=FQ","FILING_STATUS=OR","EQY_CONSOLIDATED=Y","FA_ADJUSTED=GAAP","Sort=A","Dates=H","DateFormat=P","Fill=—","Direction=H","UseDPDF=Y")</f>
        <v>#NAME?</v>
      </c>
      <c r="P387" t="e">
        <f ca="1">_xll.BDH($C$378,"NET_INCOME_TO_COMMON_MARGIN","FQ4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87" t="e">
        <f ca="1">_xll.BDH($C$378,"EFF_TAX_RATE","FQ4 2015","FQ4 2015","Currency=INR","Period=FQ","BEST_FPERIOD_OVERRIDE=FQ","FILING_STATUS=OR","EQY_CONSOLIDATED=Y","FA_ADJUSTED=GAAP","Sort=A","Dates=H","DateFormat=P","Fill=—","Direction=H","UseDPDF=Y")</f>
        <v>#NAME?</v>
      </c>
      <c r="R387" t="e">
        <f ca="1">_xll.BDH($C$378,"DVD_PAYOUT_RATIO","FQ4 2015","FQ4 2015","Currency=INR","Period=FQ","BEST_FPERIOD_OVERRIDE=FQ","FILING_STATUS=OR","EQY_CONSOLIDATED=Y","FA_ADJUSTED=GAAP","Sort=A","Dates=H","DateFormat=P","Fill=—","Direction=H","UseDPDF=Y")</f>
        <v>#NAME?</v>
      </c>
      <c r="S387" t="e">
        <f ca="1">_xll.BDH($C$378,"SUSTAIN_GROWTH_RT","FQ4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387" s="1" t="e">
        <f ca="1">_xll.BDH($C$378,"SALES_GROWTH","FQ4 2015","FQ4 2015","Currency=INR","Period=FQ","BEST_FPERIOD_OVERRIDE=FQ","FILING_STATUS=OR","EQY_CONSOLIDATED=Y","FA_ADJUSTED=GAAP","Sort=A","Dates=H","DateFormat=P","Fill=—","Direction=H","UseDPDF=Y")</f>
        <v>#NAME?</v>
      </c>
      <c r="U387" s="1" t="e">
        <f ca="1">_xll.BDH($C$378,"EBITDA_GROWTH","FQ4 2015","FQ4 2015","Currency=INR","Period=FQ","BEST_FPERIOD_OVERRIDE=FQ","FILING_STATUS=OR","EQY_CONSOLIDATED=Y","FA_ADJUSTED=GAAP","Sort=A","Dates=H","DateFormat=P","Fill=—","Direction=H","UseDPDF=Y")</f>
        <v>#NAME?</v>
      </c>
      <c r="V387" s="1" t="e">
        <f ca="1">_xll.BDH($C$378,"OPER_INC_GROWTH","FQ4 2015","FQ4 2015","Currency=INR","Period=FQ","BEST_FPERIOD_OVERRIDE=FQ","FILING_STATUS=OR","EQY_CONSOLIDATED=Y","FA_ADJUSTED=GAAP","Sort=A","Dates=H","DateFormat=P","Fill=—","Direction=H","UseDPDF=Y")</f>
        <v>#NAME?</v>
      </c>
      <c r="W387" s="1" t="e">
        <f ca="1">_xll.BDH($C$378,"EARN_FOR_COM_GROWTH","FQ4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87" s="1" t="e">
        <f ca="1">_xll.BDH($C$378,"DILUTED_EPS_AFT_XO_ITEMS_GROWTH","FQ4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87" s="1" t="e">
        <f ca="1">_xll.BDH($C$378,"DIVIDEND_PER_SHARE_1_YEAR_GROWTH","FQ4 2015","FQ4 2015","Currency=INR","Period=FQ","BEST_FPERIOD_OVERRIDE=FQ","FILING_STATUS=OR","EQY_CONSOLIDATED=Y","Sort=A","Dates=H","DateFormat=P","Fill=—","Direction=H","UseDPDF=Y")</f>
        <v>#NAME?</v>
      </c>
      <c r="Z387" s="1" t="e">
        <f ca="1">_xll.BDH($C$378,"ACCOUNTS_RECEIVABLE_GROWTH","FQ4 2015","FQ4 2015","Currency=INR","Period=FQ","BEST_FPERIOD_OVERRIDE=FQ","FILING_STATUS=OR","EQY_CONSOLIDATED=Y","Sort=A","Dates=H","DateFormat=P","Fill=—","Direction=H","UseDPDF=Y")</f>
        <v>#NAME?</v>
      </c>
      <c r="AA387" s="1" t="e">
        <f ca="1">_xll.BDH($C$378,"INVENTORY_GROWTH","FQ4 2015","FQ4 2015","Currency=INR","Period=FQ","BEST_FPERIOD_OVERRIDE=FQ","FILING_STATUS=OR","EQY_CONSOLIDATED=Y","Sort=A","Dates=H","DateFormat=P","Fill=—","Direction=H","UseDPDF=Y")</f>
        <v>#NAME?</v>
      </c>
      <c r="AB387" s="1" t="e">
        <f ca="1">_xll.BDH($C$378,"NET_FIXED_ASSETS_1_YEAR_GROWTH","FQ4 2015","FQ4 2015","Currency=INR","Period=FQ","BEST_FPERIOD_OVERRIDE=FQ","FILING_STATUS=OR","EQY_CONSOLIDATED=Y","Sort=A","Dates=H","DateFormat=P","Fill=—","Direction=H","UseDPDF=Y")</f>
        <v>#NAME?</v>
      </c>
      <c r="AC387" s="1" t="e">
        <f ca="1">_xll.BDH($C$378,"ASSET_GROWTH","FQ4 2015","FQ4 2015","Currency=INR","Period=FQ","BEST_FPERIOD_OVERRIDE=FQ","FILING_STATUS=OR","EQY_CONSOLIDATED=Y","Sort=A","Dates=H","DateFormat=P","Fill=—","Direction=H","UseDPDF=Y")</f>
        <v>#NAME?</v>
      </c>
      <c r="AD387" s="1" t="e">
        <f ca="1">_xll.BDH($C$378,"MODIFIED_WORK_CAP_GROWTH","FQ4 2015","FQ4 2015","Currency=INR","Period=FQ","BEST_FPERIOD_OVERRIDE=FQ","FILING_STATUS=OR","EQY_CONSOLIDATED=Y","Sort=A","Dates=H","DateFormat=P","Fill=—","Direction=H","UseDPDF=Y")</f>
        <v>#NAME?</v>
      </c>
      <c r="AE387" s="1" t="e">
        <f ca="1">_xll.BDH($C$378,"WORK_CAP_GROWTH","FQ4 2015","FQ4 2015","Currency=INR","Period=FQ","BEST_FPERIOD_OVERRIDE=FQ","FILING_STATUS=OR","EQY_CONSOLIDATED=Y","Sort=A","Dates=H","DateFormat=P","Fill=—","Direction=H","UseDPDF=Y")</f>
        <v>#NAME?</v>
      </c>
      <c r="AF387" s="1" t="e">
        <f ca="1">_xll.BDH($C$378,"ACCOUNTS_PAYABLE_GROWTH_1YR","FQ4 2015","FQ4 2015","Currency=INR","Period=FQ","BEST_FPERIOD_OVERRIDE=FQ","FILING_STATUS=OR","EQY_CONSOLIDATED=Y","Sort=A","Dates=H","DateFormat=P","Fill=—","Direction=H","UseDPDF=Y")</f>
        <v>#NAME?</v>
      </c>
      <c r="AG387" s="1" t="e">
        <f ca="1">_xll.BDH($C$378,"SHORT_TERM_DEBT_1_YEAR_GROWTH","FQ4 2015","FQ4 2015","Currency=INR","Period=FQ","BEST_FPERIOD_OVERRIDE=FQ","FILING_STATUS=OR","EQY_CONSOLIDATED=Y","Sort=A","Dates=H","DateFormat=P","Fill=—","Direction=H","UseDPDF=Y")</f>
        <v>#NAME?</v>
      </c>
      <c r="AH387" s="1" t="e">
        <f ca="1">_xll.BDH($C$378,"TOTAL_DEBT_1_YEAR_GROWTH","FQ4 2015","FQ4 2015","Currency=INR","Period=FQ","BEST_FPERIOD_OVERRIDE=FQ","FILING_STATUS=OR","EQY_CONSOLIDATED=Y","Sort=A","Dates=H","DateFormat=P","Fill=—","Direction=H","UseDPDF=Y")</f>
        <v>#NAME?</v>
      </c>
      <c r="AI387" s="1" t="e">
        <f ca="1">_xll.BDH($C$378,"TOTAL_EQUITY_1_YEAR_GROWTH","FQ4 2015","FQ4 2015","Currency=INR","Period=FQ","BEST_FPERIOD_OVERRIDE=FQ","FILING_STATUS=OR","EQY_CONSOLIDATED=Y","Sort=A","Dates=H","DateFormat=P","Fill=—","Direction=H","UseDPDF=Y")</f>
        <v>#NAME?</v>
      </c>
      <c r="AJ387" s="1" t="e">
        <f ca="1">_xll.BDH($C$378,"GROWTH_IN_CAP","FQ4 2015","FQ4 2015","Currency=INR","Period=FQ","BEST_FPERIOD_OVERRIDE=FQ","FILING_STATUS=OR","EQY_CONSOLIDATED=Y","Sort=A","Dates=H","DateFormat=P","Fill=—","Direction=H","UseDPDF=Y")</f>
        <v>#NAME?</v>
      </c>
      <c r="AK387" s="1" t="e">
        <f ca="1">_xll.BDH($C$378,"BVPS_GROWTH","FQ4 2015","FQ4 2015","Currency=INR","Period=FQ","BEST_FPERIOD_OVERRIDE=FQ","FILING_STATUS=OR","EQY_CONSOLIDATED=Y","Sort=A","Dates=H","DateFormat=P","Fill=—","Direction=H","UseDPDF=Y")</f>
        <v>#NAME?</v>
      </c>
      <c r="AL387" s="1" t="e">
        <f ca="1">_xll.BDH($C$378,"CASH_FLOW_GROWTH","FQ4 2015","FQ4 2015","Currency=INR","Period=FQ","BEST_FPERIOD_OVERRIDE=FQ","FILING_STATUS=OR","EQY_CONSOLIDATED=Y","Sort=A","Dates=H","DateFormat=P","Fill=—","Direction=H","UseDPDF=Y")</f>
        <v>#NAME?</v>
      </c>
      <c r="AM387" s="1" t="e">
        <f ca="1">_xll.BDH($C$378,"GEO_GROW_NET_SALES","FQ4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87" s="1" t="e">
        <f ca="1">_xll.BDH($C$378,"GEO_GROW_EBITDA","FQ4 2015","FQ4 2015","Currency=INR","Period=FQ","BEST_FPERIOD_OVERRIDE=FQ","FILING_STATUS=OR","EQY_CONSOLIDATED=Y","FA_ADJUSTED=GAAP","Sort=A","Dates=H","DateFormat=P","Fill=—","Direction=H","UseDPDF=Y")</f>
        <v>#NAME?</v>
      </c>
      <c r="AO387" s="1" t="e">
        <f ca="1">_xll.BDH($C$378,"GEO_GROW_OPER_INC","FQ4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87" s="1" t="e">
        <f ca="1">_xll.BDH($C$378,"NET_INCOME_TO_COMMON_5_YR_GROWTH","FQ4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87" s="1" t="e">
        <f ca="1">_xll.BDH($C$378,"5Y_GEO_GROWTH_DILUTED_EPS","FQ4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87" s="1" t="e">
        <f ca="1">_xll.BDH($C$378,"GEO_GROW_DVD_PER_SH","FQ4 2015","FQ4 2015","Currency=INR","Period=FQ","BEST_FPERIOD_OVERRIDE=FQ","FILING_STATUS=OR","EQY_CONSOLIDATED=Y","Sort=A","Dates=H","DateFormat=P","Fill=—","Direction=H","UseDPDF=Y")</f>
        <v>#NAME?</v>
      </c>
      <c r="AS387" s="1" t="e">
        <f ca="1">_xll.BDH($C$378,"ACCOUNTS_RECEIVABLE_5_YR_GROWTH","FQ4 2015","FQ4 2015","Currency=INR","Period=FQ","BEST_FPERIOD_OVERRIDE=FQ","FILING_STATUS=OR","EQY_CONSOLIDATED=Y","Sort=A","Dates=H","DateFormat=P","Fill=—","Direction=H","UseDPDF=Y")</f>
        <v>#NAME?</v>
      </c>
      <c r="AT387" s="1" t="e">
        <f ca="1">_xll.BDH($C$378,"INVENTORY_5_YEAR_GROWTH","FQ4 2015","FQ4 2015","Currency=INR","Period=FQ","BEST_FPERIOD_OVERRIDE=FQ","FILING_STATUS=OR","EQY_CONSOLIDATED=Y","Sort=A","Dates=H","DateFormat=P","Fill=—","Direction=H","UseDPDF=Y")</f>
        <v>#NAME?</v>
      </c>
      <c r="AU387" s="1" t="e">
        <f ca="1">_xll.BDH($C$378,"NET_FIXED_ASSETS_5_YEAR_GROWTH","FQ4 2015","FQ4 2015","Currency=INR","Period=FQ","BEST_FPERIOD_OVERRIDE=FQ","FILING_STATUS=OR","EQY_CONSOLIDATED=Y","Sort=A","Dates=H","DateFormat=P","Fill=—","Direction=H","UseDPDF=Y")</f>
        <v>#NAME?</v>
      </c>
      <c r="AV387" s="1" t="e">
        <f ca="1">_xll.BDH($C$378,"GEO_GROW_TOT_ASSET","FQ4 2015","FQ4 2015","Currency=INR","Period=FQ","BEST_FPERIOD_OVERRIDE=FQ","FILING_STATUS=OR","EQY_CONSOLIDATED=Y","Sort=A","Dates=H","DateFormat=P","Fill=—","Direction=H","UseDPDF=Y")</f>
        <v>#NAME?</v>
      </c>
      <c r="AW387" s="1" t="e">
        <f ca="1">_xll.BDH($C$378,"MODIFIED_WORKING_CPTL_5YR_GRWTH","FQ4 2015","FQ4 2015","Currency=INR","Period=FQ","BEST_FPERIOD_OVERRIDE=FQ","FILING_STATUS=OR","EQY_CONSOLIDATED=Y","Sort=A","Dates=H","DateFormat=P","Fill=—","Direction=H","UseDPDF=Y")</f>
        <v>#NAME?</v>
      </c>
      <c r="AX387" s="1" t="e">
        <f ca="1">_xll.BDH($C$378,"WORKING_CAPITAL_5_YEAR_GROWTH","FQ4 2015","FQ4 2015","Currency=INR","Period=FQ","BEST_FPERIOD_OVERRIDE=FQ","FILING_STATUS=OR","EQY_CONSOLIDATED=Y","Sort=A","Dates=H","DateFormat=P","Fill=—","Direction=H","UseDPDF=Y")</f>
        <v>#NAME?</v>
      </c>
      <c r="AY387" s="1" t="e">
        <f ca="1">_xll.BDH($C$378,"ACCOUNTS_PAYABLE_5_YEAR_GROWTH","FQ4 2015","FQ4 2015","Currency=INR","Period=FQ","BEST_FPERIOD_OVERRIDE=FQ","FILING_STATUS=OR","EQY_CONSOLIDATED=Y","Sort=A","Dates=H","DateFormat=P","Fill=—","Direction=H","UseDPDF=Y")</f>
        <v>#NAME?</v>
      </c>
      <c r="AZ387" s="1" t="e">
        <f ca="1">_xll.BDH($C$378,"SHORT_TERM_DEBT_5_YEAR_GROWTH","FQ4 2015","FQ4 2015","Currency=INR","Period=FQ","BEST_FPERIOD_OVERRIDE=FQ","FILING_STATUS=OR","EQY_CONSOLIDATED=Y","Sort=A","Dates=H","DateFormat=P","Fill=—","Direction=H","UseDPDF=Y")</f>
        <v>#NAME?</v>
      </c>
      <c r="BA387" s="1" t="e">
        <f ca="1">_xll.BDH($C$378,"TOTAL_DEBT_5_YEAR_GROWTH","FQ4 2015","FQ4 2015","Currency=INR","Period=FQ","BEST_FPERIOD_OVERRIDE=FQ","FILING_STATUS=OR","EQY_CONSOLIDATED=Y","Sort=A","Dates=H","DateFormat=P","Fill=—","Direction=H","UseDPDF=Y")</f>
        <v>#NAME?</v>
      </c>
      <c r="BB387" s="1" t="e">
        <f ca="1">_xll.BDH($C$378,"GEO_GROW_TOT_SHRHLDR_EQY","FQ4 2015","FQ4 2015","Currency=INR","Period=FQ","BEST_FPERIOD_OVERRIDE=FQ","FILING_STATUS=OR","EQY_CONSOLIDATED=Y","Sort=A","Dates=H","DateFormat=P","Fill=—","Direction=H","UseDPDF=Y")</f>
        <v>#NAME?</v>
      </c>
      <c r="BC387" s="1" t="e">
        <f ca="1">_xll.BDH($C$378,"TOTAL_CAPITAL_5_YEAR_GROWTH","FQ4 2015","FQ4 2015","Currency=INR","Period=FQ","BEST_FPERIOD_OVERRIDE=FQ","FILING_STATUS=OR","EQY_CONSOLIDATED=Y","Sort=A","Dates=H","DateFormat=P","Fill=—","Direction=H","UseDPDF=Y")</f>
        <v>#NAME?</v>
      </c>
      <c r="BD387" s="1" t="e">
        <f ca="1">_xll.BDH($C$378,"GEO_GROW_BOOK_VAL","FQ4 2015","FQ4 2015","Currency=INR","Period=FQ","BEST_FPERIOD_OVERRIDE=FQ","FILING_STATUS=OR","EQY_CONSOLIDATED=Y","Sort=A","Dates=H","DateFormat=P","Fill=—","Direction=H","UseDPDF=Y")</f>
        <v>#NAME?</v>
      </c>
      <c r="BE387" s="1" t="e">
        <f ca="1">_xll.BDH($C$378,"GEO_GROW_CASH_OPER_ACT","FQ4 2015","FQ4 2015","Currency=INR","Period=FQ","BEST_FPERIOD_OVERRIDE=FQ","FILING_STATUS=OR","EQY_CONSOLIDATED=Y","Sort=A","Dates=H","DateFormat=P","Fill=—","Direction=H","UseDPDF=Y")</f>
        <v>#NAME?</v>
      </c>
      <c r="BF387" s="1" t="e">
        <f ca="1">_xll.BDH($C$378,"REVENUE_SEQUENTIAL_GROWTH","FQ4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87" s="1" t="e">
        <f ca="1">_xll.BDH($C$378,"EBITDA_SEQUENTIAL_GROWTH","FQ4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87" s="1" t="e">
        <f ca="1">_xll.BDH($C$378,"OPERATING_INCOME_SEQ_GROWTH","FQ4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87" s="1" t="e">
        <f ca="1">_xll.BDH($C$378,"NET_INCOME_TO_COMMON_SEQ_GROWTH","FQ4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87" s="1" t="e">
        <f ca="1">_xll.BDH($C$378,"EPS_DILUTED_SEQUENTIAL_GROWTH","FQ4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87" s="1" t="e">
        <f ca="1">_xll.BDH($C$378,"DPS_SEQUENTIAL_GROWTH","FQ4 2015","FQ4 2015","Currency=INR","Period=FQ","BEST_FPERIOD_OVERRIDE=FQ","FILING_STATUS=OR","EQY_CONSOLIDATED=Y","Sort=A","Dates=H","DateFormat=P","Fill=—","Direction=H","UseDPDF=Y")</f>
        <v>#NAME?</v>
      </c>
      <c r="BL387" s="1" t="e">
        <f ca="1">_xll.BDH($C$378,"ACCOUNTS_RECEIVABLE_SEQ_GROWTH","FQ4 2015","FQ4 2015","Currency=INR","Period=FQ","BEST_FPERIOD_OVERRIDE=FQ","FILING_STATUS=OR","EQY_CONSOLIDATED=Y","Sort=A","Dates=H","DateFormat=P","Fill=—","Direction=H","UseDPDF=Y")</f>
        <v>#NAME?</v>
      </c>
      <c r="BM387" s="1" t="e">
        <f ca="1">_xll.BDH($C$378,"INVENTORY_SEQUENTIAL_GROWTH","FQ4 2015","FQ4 2015","Currency=INR","Period=FQ","BEST_FPERIOD_OVERRIDE=FQ","FILING_STATUS=OR","EQY_CONSOLIDATED=Y","Sort=A","Dates=H","DateFormat=P","Fill=—","Direction=H","UseDPDF=Y")</f>
        <v>#NAME?</v>
      </c>
      <c r="BN387" s="1" t="e">
        <f ca="1">_xll.BDH($C$378,"FIXED_ASSETS_SEQUENTIAL_GROWTH","FQ4 2015","FQ4 2015","Currency=INR","Period=FQ","BEST_FPERIOD_OVERRIDE=FQ","FILING_STATUS=OR","EQY_CONSOLIDATED=Y","Sort=A","Dates=H","DateFormat=P","Fill=—","Direction=H","UseDPDF=Y")</f>
        <v>#NAME?</v>
      </c>
      <c r="BO387" s="1" t="e">
        <f ca="1">_xll.BDH($C$378,"TOTAL_ASSETS_SEQUENTIAL_GROWTH","FQ4 2015","FQ4 2015","Currency=INR","Period=FQ","BEST_FPERIOD_OVERRIDE=FQ","FILING_STATUS=OR","EQY_CONSOLIDATED=Y","Sort=A","Dates=H","DateFormat=P","Fill=—","Direction=H","UseDPDF=Y")</f>
        <v>#NAME?</v>
      </c>
      <c r="BP387" s="1" t="e">
        <f ca="1">_xll.BDH($C$378,"MODIFIED_WORKING_CPTL_SEQ_GRWTH","FQ4 2015","FQ4 2015","Currency=INR","Period=FQ","BEST_FPERIOD_OVERRIDE=FQ","FILING_STATUS=OR","EQY_CONSOLIDATED=Y","Sort=A","Dates=H","DateFormat=P","Fill=—","Direction=H","UseDPDF=Y")</f>
        <v>#NAME?</v>
      </c>
      <c r="BQ387" s="1" t="e">
        <f ca="1">_xll.BDH($C$378,"WORKING_CAPITAL_SEQ_GROWTH","FQ4 2015","FQ4 2015","Currency=INR","Period=FQ","BEST_FPERIOD_OVERRIDE=FQ","FILING_STATUS=OR","EQY_CONSOLIDATED=Y","Sort=A","Dates=H","DateFormat=P","Fill=—","Direction=H","UseDPDF=Y")</f>
        <v>#NAME?</v>
      </c>
      <c r="BR387" s="1" t="e">
        <f ca="1">_xll.BDH($C$378,"ACCOUNTS_PAYABLE_SEQ_GROWTH","FQ4 2015","FQ4 2015","Currency=INR","Period=FQ","BEST_FPERIOD_OVERRIDE=FQ","FILING_STATUS=OR","EQY_CONSOLIDATED=Y","Sort=A","Dates=H","DateFormat=P","Fill=—","Direction=H","UseDPDF=Y")</f>
        <v>#NAME?</v>
      </c>
      <c r="BS387" s="1" t="e">
        <f ca="1">_xll.BDH($C$378,"ST_DEBT_SEQUENTIAL_GROWTH","FQ4 2015","FQ4 2015","Currency=INR","Period=FQ","BEST_FPERIOD_OVERRIDE=FQ","FILING_STATUS=OR","EQY_CONSOLIDATED=Y","Sort=A","Dates=H","DateFormat=P","Fill=—","Direction=H","UseDPDF=Y")</f>
        <v>#NAME?</v>
      </c>
      <c r="BT387" s="1" t="e">
        <f ca="1">_xll.BDH($C$378,"TOTAL_DEBT_SEQUENTIAL_GROWTH","FQ4 2015","FQ4 2015","Currency=INR","Period=FQ","BEST_FPERIOD_OVERRIDE=FQ","FILING_STATUS=OR","EQY_CONSOLIDATED=Y","Sort=A","Dates=H","DateFormat=P","Fill=—","Direction=H","UseDPDF=Y")</f>
        <v>#NAME?</v>
      </c>
      <c r="BU387" s="1" t="e">
        <f ca="1">_xll.BDH($C$378,"TOTAL_EQUITY_SEQUENTIAL_GROWTH","FQ4 2015","FQ4 2015","Currency=INR","Period=FQ","BEST_FPERIOD_OVERRIDE=FQ","FILING_STATUS=OR","EQY_CONSOLIDATED=Y","Sort=A","Dates=H","DateFormat=P","Fill=—","Direction=H","UseDPDF=Y")</f>
        <v>#NAME?</v>
      </c>
      <c r="BV387" s="1" t="e">
        <f ca="1">_xll.BDH($C$378,"TOTAL_CAPITAL_SEQUENTIAL_GROWTH","FQ4 2015","FQ4 2015","Currency=INR","Period=FQ","BEST_FPERIOD_OVERRIDE=FQ","FILING_STATUS=OR","EQY_CONSOLIDATED=Y","Sort=A","Dates=H","DateFormat=P","Fill=—","Direction=H","UseDPDF=Y")</f>
        <v>#NAME?</v>
      </c>
      <c r="BW387" s="1" t="e">
        <f ca="1">_xll.BDH($C$378,"BPS_SEQUENTIAL_GROWTH","FQ4 2015","FQ4 2015","Currency=INR","Period=FQ","BEST_FPERIOD_OVERRIDE=FQ","FILING_STATUS=OR","EQY_CONSOLIDATED=Y","Sort=A","Dates=H","DateFormat=P","Fill=—","Direction=H","UseDPDF=Y")</f>
        <v>#NAME?</v>
      </c>
      <c r="BX387" s="1" t="e">
        <f ca="1">_xll.BDH($C$378,"CFO_SEQUENTIAL_GROWTH","FQ4 2015","FQ4 2015","Currency=INR","Period=FQ","BEST_FPERIOD_OVERRIDE=FQ","FILING_STATUS=OR","EQY_CONSOLIDATED=Y","Sort=A","Dates=H","DateFormat=P","Fill=—","Direction=H","UseDPDF=Y")</f>
        <v>#NAME?</v>
      </c>
      <c r="BY387" s="2" t="e">
        <f ca="1">_xll.BDH($C$378,"SHORT_AND_LONG_TERM_DEBT","FQ4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87" s="2" t="e">
        <f ca="1">_xll.BDH($C$378,"BS_ST_BORROW","FQ4 2015","FQ4 2015","Currency=INR","Period=FQ","BEST_FPERIOD_OVERRIDE=FQ","FILING_STATUS=OR","EQY_CONSOLIDATED=Y","SCALING_FORMAT=MLN","Sort=A","Dates=H","DateFormat=P","Fill=—","Direction=H","UseDPDF=Y")</f>
        <v>#NAME?</v>
      </c>
      <c r="CA387" s="2" t="e">
        <f ca="1">_xll.BDH($C$378,"BS_LT_BORROW","FQ4 2015","FQ4 2015","Currency=INR","Period=FQ","BEST_FPERIOD_OVERRIDE=FQ","FILING_STATUS=OR","EQY_CONSOLIDATED=Y","SCALING_FORMAT=MLN","Sort=A","Dates=H","DateFormat=P","Fill=—","Direction=H","UseDPDF=Y")</f>
        <v>#NAME?</v>
      </c>
      <c r="CB387" s="1" t="e">
        <f ca="1">_xll.BDH($C$378,"TOT_DEBT_TO_EBITDA","FQ4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87" s="1" t="e">
        <f ca="1">_xll.BDH($C$378,"NET_DEBT_TO_EBITDA","FQ4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87" s="1" t="e">
        <f ca="1">_xll.BDH($C$378,"TOTAL_DEBT_TO_EBIT","FQ4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87" s="1" t="e">
        <f ca="1">_xll.BDH($C$378,"NET_DEBT_TO_EBIT","FQ4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387" s="1" t="e">
        <f ca="1">_xll.BDH($C$378,"EBITDA_TO_INTEREST_EXPN","FQ4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87" s="1" t="e">
        <f ca="1">_xll.BDH($C$378,"COM_EQY_TO_TOT_ASSET","FQ4 2015","FQ4 2015","Currency=INR","Period=FQ","BEST_FPERIOD_OVERRIDE=FQ","FILING_STATUS=OR","EQY_CONSOLIDATED=Y","Sort=A","Dates=H","DateFormat=P","Fill=—","Direction=H","UseDPDF=Y")</f>
        <v>#NAME?</v>
      </c>
      <c r="CH387" s="1" t="e">
        <f ca="1">_xll.BDH($C$378,"LT_DEBT_TO_TOT_EQY","FQ4 2015","FQ4 2015","Currency=INR","Period=FQ","BEST_FPERIOD_OVERRIDE=FQ","FILING_STATUS=OR","EQY_CONSOLIDATED=Y","Sort=A","Dates=H","DateFormat=P","Fill=—","Direction=H","UseDPDF=Y")</f>
        <v>#NAME?</v>
      </c>
      <c r="CI387" s="1" t="e">
        <f ca="1">_xll.BDH($C$378,"LT_DEBT_TO_TOT_CAP","FQ4 2015","FQ4 2015","Currency=INR","Period=FQ","BEST_FPERIOD_OVERRIDE=FQ","FILING_STATUS=OR","EQY_CONSOLIDATED=Y","Sort=A","Dates=H","DateFormat=P","Fill=—","Direction=H","UseDPDF=Y")</f>
        <v>#NAME?</v>
      </c>
      <c r="CJ387" s="1" t="e">
        <f ca="1">_xll.BDH($C$378,"LT_DEBT_TO_TOT_ASSET","FQ4 2015","FQ4 2015","Currency=INR","Period=FQ","BEST_FPERIOD_OVERRIDE=FQ","FILING_STATUS=OR","EQY_CONSOLIDATED=Y","Sort=A","Dates=H","DateFormat=P","Fill=—","Direction=H","UseDPDF=Y")</f>
        <v>#NAME?</v>
      </c>
      <c r="CK387" s="1" t="e">
        <f ca="1">_xll.BDH($C$378,"TOT_DEBT_TO_TOT_EQY","FQ4 2015","FQ4 2015","Currency=INR","Period=FQ","BEST_FPERIOD_OVERRIDE=FQ","FILING_STATUS=OR","EQY_CONSOLIDATED=Y","Sort=A","Dates=H","DateFormat=P","Fill=—","Direction=H","UseDPDF=Y")</f>
        <v>#NAME?</v>
      </c>
      <c r="CL387" s="1" t="e">
        <f ca="1">_xll.BDH($C$378,"TOT_DEBT_TO_TOT_CAP","FQ4 2015","FQ4 2015","Currency=INR","Period=FQ","BEST_FPERIOD_OVERRIDE=FQ","FILING_STATUS=OR","EQY_CONSOLIDATED=Y","Sort=A","Dates=H","DateFormat=P","Fill=—","Direction=H","UseDPDF=Y")</f>
        <v>#NAME?</v>
      </c>
      <c r="CM387" s="1" t="e">
        <f ca="1">_xll.BDH($C$378,"TOT_DEBT_TO_TOT_ASSET","FQ4 2015","FQ4 2015","Currency=INR","Period=FQ","BEST_FPERIOD_OVERRIDE=FQ","FILING_STATUS=OR","EQY_CONSOLIDATED=Y","Sort=A","Dates=H","DateFormat=P","Fill=—","Direction=H","UseDPDF=Y")</f>
        <v>#NAME?</v>
      </c>
      <c r="CN387" s="1" t="e">
        <f ca="1">_xll.BDH($C$378,"NET_DEBT_TO_SHRHLDR_EQTY","FQ4 2015","FQ4 2015","Currency=INR","Period=FQ","BEST_FPERIOD_OVERRIDE=FQ","FILING_STATUS=OR","EQY_CONSOLIDATED=Y","Sort=A","Dates=H","DateFormat=P","Fill=—","Direction=H","UseDPDF=Y")</f>
        <v>#NAME?</v>
      </c>
      <c r="CO387" s="1" t="e">
        <f ca="1">_xll.BDH($C$378,"NET_DEBT_%_CAPITAL","FQ4 2015","FQ4 2015","Currency=INR","Period=FQ","BEST_FPERIOD_OVERRIDE=FQ","FILING_STATUS=OR","EQY_CONSOLIDATED=Y","Sort=A","Dates=H","DateFormat=P","Fill=—","Direction=H","UseDPDF=Y")</f>
        <v>#NAME?</v>
      </c>
      <c r="CP387" s="2" t="e">
        <f ca="1">_xll.BDH($C$378,"EBITDA","FQ4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87" s="2" t="e">
        <f ca="1">_xll.BDH($C$378,"EBITDA_AFTER_CAPEX","FQ4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87" s="2" t="e">
        <f ca="1">_xll.BDH($C$378,"IS_OPER_INC","FQ4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87" s="1" t="e">
        <f ca="1">_xll.BDH($C$378,"CASH_RATIO","FQ4 2015","FQ4 2015","Currency=INR","Period=FQ","BEST_FPERIOD_OVERRIDE=FQ","FILING_STATUS=OR","EQY_CONSOLIDATED=Y","Sort=A","Dates=H","DateFormat=P","Fill=—","Direction=H","UseDPDF=Y")</f>
        <v>#NAME?</v>
      </c>
      <c r="CT387" s="1" t="e">
        <f ca="1">_xll.BDH($C$378,"CUR_RATIO","FQ4 2015","FQ4 2015","Currency=INR","Period=FQ","BEST_FPERIOD_OVERRIDE=FQ","FILING_STATUS=OR","EQY_CONSOLIDATED=Y","Sort=A","Dates=H","DateFormat=P","Fill=—","Direction=H","UseDPDF=Y")</f>
        <v>#NAME?</v>
      </c>
      <c r="CU387" s="1" t="e">
        <f ca="1">_xll.BDH($C$378,"QUICK_RATIO","FQ4 2015","FQ4 2015","Currency=INR","Period=FQ","BEST_FPERIOD_OVERRIDE=FQ","FILING_STATUS=OR","EQY_CONSOLIDATED=Y","Sort=A","Dates=H","DateFormat=P","Fill=—","Direction=H","UseDPDF=Y")</f>
        <v>#NAME?</v>
      </c>
      <c r="CV387" s="1" t="e">
        <f ca="1">_xll.BDH($C$378,"ALTMAN_Z_SCORE","FQ4 2015","FQ4 2015","Currency=INR","Period=FQ","BEST_FPERIOD_OVERRIDE=FQ","FILING_STATUS=OR","EQY_CONSOLIDATED=Y","Sort=A","Dates=H","DateFormat=P","Fill=—","Direction=H","UseDPDF=Y")</f>
        <v>#NAME?</v>
      </c>
      <c r="CW387" s="3" t="e">
        <f ca="1">_xll.BDH($C$378,"ACCT_RCV_TURN","FQ4 2015","FQ4 2015","Currency=INR","Period=FQ","BEST_FPERIOD_OVERRIDE=FQ","FILING_STATUS=OR","EQY_CONSOLIDATED=Y","FA_ADJUSTED=GAAP","Sort=A","Dates=H","DateFormat=P","Fill=—","Direction=H","UseDPDF=Y")</f>
        <v>#NAME?</v>
      </c>
      <c r="CX387" s="1" t="e">
        <f ca="1">_xll.BDH($C$378,"ACCT_RCV_DAYS","FQ4 2015","FQ4 2015","Currency=INR","Period=FQ","BEST_FPERIOD_OVERRIDE=FQ","FILING_STATUS=OR","EQY_CONSOLIDATED=Y","FA_ADJUSTED=GAAP","Sort=A","Dates=H","DateFormat=P","Fill=—","Direction=H","UseDPDF=Y")</f>
        <v>#NAME?</v>
      </c>
      <c r="CY387" s="3" t="e">
        <f ca="1">_xll.BDH($C$378,"INVENT_TURN","FQ4 2015","FQ4 2015","Currency=INR","Period=FQ","BEST_FPERIOD_OVERRIDE=FQ","FILING_STATUS=OR","EQY_CONSOLIDATED=Y","FA_ADJUSTED=GAAP","Sort=A","Dates=H","DateFormat=P","Fill=—","Direction=H","UseDPDF=Y")</f>
        <v>#NAME?</v>
      </c>
      <c r="CZ387" s="1" t="e">
        <f ca="1">_xll.BDH($C$378,"INVENT_DAYS","FQ4 2015","FQ4 2015","Currency=INR","Period=FQ","BEST_FPERIOD_OVERRIDE=FQ","FILING_STATUS=OR","EQY_CONSOLIDATED=Y","FA_ADJUSTED=GAAP","Sort=A","Dates=H","DateFormat=P","Fill=—","Direction=H","UseDPDF=Y")</f>
        <v>#NAME?</v>
      </c>
      <c r="DA387" s="3" t="e">
        <f ca="1">_xll.BDH($C$378,"ACCOUNTS_PAYABLE_TURNOVER","FQ4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87" s="1" t="e">
        <f ca="1">_xll.BDH($C$378,"ACCOUNTS_PAYABLE_TURNOVER_DAYS","FQ4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87" s="3" t="e">
        <f ca="1">_xll.BDH($C$378,"CASH_CONVERSION_CYCLE","FQ4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87" s="3" t="e">
        <f ca="1">_xll.BDH($C$378,"INV_TO_CASH_DAYS","FQ4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387" s="4" t="e">
        <f ca="1">_xll.BDH($C$378,"BS_INVENTORIES","FQ4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387" s="2" t="e">
        <f ca="1">_xll.BDH($C$378,"INVTRY_RAW_MATERIALS","FQ4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87" s="2" t="e">
        <f ca="1">_xll.BDH($C$378,"INVTRY_IN_PROGRESS","FQ4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87" s="2" t="e">
        <f ca="1">_xll.BDH($C$378,"INVTRY_FINISHED_GOODS","FQ4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87" s="2" t="e">
        <f ca="1">_xll.BDH($C$378,"BS_OTHER_INV","FQ4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88" spans="1:113" x14ac:dyDescent="0.3">
      <c r="A388" s="6"/>
      <c r="B388" s="6"/>
      <c r="C388" s="6"/>
      <c r="D388" s="6" t="s">
        <v>9</v>
      </c>
      <c r="E388" t="s">
        <v>3</v>
      </c>
      <c r="F388" t="e">
        <f ca="1">_xll.BDH($C$378,"RETURN_COM_EQY","FY 2016","FY 2016","Currency=INR","Period=FY","BEST_FPERIOD_OVERRIDE=FY","FILING_STATUS=OR","EQY_CONSOLIDATED=Y","FA_ADJUSTED=GAAP","Sort=A","Dates=H","DateFormat=P","Fill=—","Direction=H","UseDPDF=Y")</f>
        <v>#NAME?</v>
      </c>
      <c r="G388" t="e">
        <f ca="1">_xll.BDH($C$378,"RETURN_ON_ASSET","FY 2016","FY 2016","Currency=INR","Period=FY","BEST_FPERIOD_OVERRIDE=FY","FILING_STATUS=OR","EQY_CONSOLIDATED=Y","FA_ADJUSTED=GAAP","Sort=A","Dates=H","DateFormat=P","Fill=—","Direction=H","UseDPDF=Y")</f>
        <v>#NAME?</v>
      </c>
      <c r="H388" t="e">
        <f ca="1">_xll.BDH($C$378,"RETURN_ON_CAP","FY 2016","FY 2016","Currency=INR","Period=FY","BEST_FPERIOD_OVERRIDE=FY","FILING_STATUS=OR","EQY_CONSOLIDATED=Y","FA_ADJUSTED=GAAP","Sort=A","Dates=H","DateFormat=P","Fill=—","Direction=H","UseDPDF=Y")</f>
        <v>#NAME?</v>
      </c>
      <c r="I388" t="e">
        <f ca="1">_xll.BDH($C$378,"RETURN_ON_INV_CAPITAL","FY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88" t="e">
        <f ca="1">_xll.BDH($C$378,"EBITDA_TO_REVENUE","FY 2016","FY 2016","Currency=INR","Period=FY","BEST_FPERIOD_OVERRIDE=FY","FILING_STATUS=OR","EQY_CONSOLIDATED=Y","FA_ADJUSTED=GAAP","Sort=A","Dates=H","DateFormat=P","Fill=—","Direction=H","UseDPDF=Y")</f>
        <v>#NAME?</v>
      </c>
      <c r="K388" t="e">
        <f ca="1">_xll.BDH($C$378,"OPER_MARGIN","FY 2016","FY 2016","Currency=INR","Period=FY","BEST_FPERIOD_OVERRIDE=FY","FILING_STATUS=OR","EQY_CONSOLIDATED=Y","FA_ADJUSTED=GAAP","Sort=A","Dates=H","DateFormat=P","Fill=—","Direction=H","UseDPDF=Y")</f>
        <v>#NAME?</v>
      </c>
      <c r="L388" t="e">
        <f ca="1">_xll.BDH($C$378,"INCREMENTAL_OPERATING_MARGIN","FY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88" t="e">
        <f ca="1">_xll.BDH($C$378,"PRETAX_INC_TO_NET_SALES","FY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88" t="e">
        <f ca="1">_xll.BDH($C$378,"INC_BEF_XO_ITEMS_TO_NET_SALES","FY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88" t="e">
        <f ca="1">_xll.BDH($C$378,"PROF_MARGIN","FY 2016","FY 2016","Currency=INR","Period=FY","BEST_FPERIOD_OVERRIDE=FY","FILING_STATUS=OR","EQY_CONSOLIDATED=Y","FA_ADJUSTED=GAAP","Sort=A","Dates=H","DateFormat=P","Fill=—","Direction=H","UseDPDF=Y")</f>
        <v>#NAME?</v>
      </c>
      <c r="P388" t="e">
        <f ca="1">_xll.BDH($C$378,"NET_INCOME_TO_COMMON_MARGIN","FY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88" t="e">
        <f ca="1">_xll.BDH($C$378,"EFF_TAX_RATE","FY 2016","FY 2016","Currency=INR","Period=FY","BEST_FPERIOD_OVERRIDE=FY","FILING_STATUS=OR","EQY_CONSOLIDATED=Y","FA_ADJUSTED=GAAP","Sort=A","Dates=H","DateFormat=P","Fill=—","Direction=H","UseDPDF=Y")</f>
        <v>#NAME?</v>
      </c>
      <c r="R388" t="e">
        <f ca="1">_xll.BDH($C$378,"DVD_PAYOUT_RATIO","FY 2016","FY 2016","Currency=INR","Period=FY","BEST_FPERIOD_OVERRIDE=FY","FILING_STATUS=OR","EQY_CONSOLIDATED=Y","FA_ADJUSTED=GAAP","Sort=A","Dates=H","DateFormat=P","Fill=—","Direction=H","UseDPDF=Y")</f>
        <v>#NAME?</v>
      </c>
      <c r="S388" t="e">
        <f ca="1">_xll.BDH($C$378,"SUSTAIN_GROWTH_RT","FY 2016","FY 2016","Currency=INR","Period=FY","BEST_FPERIOD_OVERRIDE=FY","FILING_STATUS=OR","EQY_CONSOLIDATED=Y","FA_ADJUSTED=GAAP","Sort=A","Dates=H","DateFormat=P","Fill=—","Direction=H","UseDPDF=Y")</f>
        <v>#NAME?</v>
      </c>
      <c r="T388" s="1" t="e">
        <f ca="1">_xll.BDH($C$378,"SALES_GROWTH","FY 2016","FY 2016","Currency=INR","Period=FY","BEST_FPERIOD_OVERRIDE=FY","FILING_STATUS=OR","EQY_CONSOLIDATED=Y","FA_ADJUSTED=GAAP","Sort=A","Dates=H","DateFormat=P","Fill=—","Direction=H","UseDPDF=Y")</f>
        <v>#NAME?</v>
      </c>
      <c r="U388" s="1" t="e">
        <f ca="1">_xll.BDH($C$378,"EBITDA_GROWTH","FY 2016","FY 2016","Currency=INR","Period=FY","BEST_FPERIOD_OVERRIDE=FY","FILING_STATUS=OR","EQY_CONSOLIDATED=Y","FA_ADJUSTED=GAAP","Sort=A","Dates=H","DateFormat=P","Fill=—","Direction=H","UseDPDF=Y")</f>
        <v>#NAME?</v>
      </c>
      <c r="V388" s="1" t="e">
        <f ca="1">_xll.BDH($C$378,"OPER_INC_GROWTH","FY 2016","FY 2016","Currency=INR","Period=FY","BEST_FPERIOD_OVERRIDE=FY","FILING_STATUS=OR","EQY_CONSOLIDATED=Y","FA_ADJUSTED=GAAP","Sort=A","Dates=H","DateFormat=P","Fill=—","Direction=H","UseDPDF=Y")</f>
        <v>#NAME?</v>
      </c>
      <c r="W388" s="1" t="e">
        <f ca="1">_xll.BDH($C$378,"EARN_FOR_COM_GROWTH","FY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388" s="1" t="e">
        <f ca="1">_xll.BDH($C$378,"DILUTED_EPS_AFT_XO_ITEMS_GROWTH","FY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88" s="1" t="e">
        <f ca="1">_xll.BDH($C$378,"DIVIDEND_PER_SHARE_1_YEAR_GROWTH","FY 2016","FY 2016","Currency=INR","Period=FY","BEST_FPERIOD_OVERRIDE=FY","FILING_STATUS=OR","EQY_CONSOLIDATED=Y","Sort=A","Dates=H","DateFormat=P","Fill=—","Direction=H","UseDPDF=Y")</f>
        <v>#NAME?</v>
      </c>
      <c r="Z388" s="1" t="e">
        <f ca="1">_xll.BDH($C$378,"ACCOUNTS_RECEIVABLE_GROWTH","FY 2016","FY 2016","Currency=INR","Period=FY","BEST_FPERIOD_OVERRIDE=FY","FILING_STATUS=OR","EQY_CONSOLIDATED=Y","Sort=A","Dates=H","DateFormat=P","Fill=—","Direction=H","UseDPDF=Y")</f>
        <v>#NAME?</v>
      </c>
      <c r="AA388" s="1" t="e">
        <f ca="1">_xll.BDH($C$378,"INVENTORY_GROWTH","FY 2016","FY 2016","Currency=INR","Period=FY","BEST_FPERIOD_OVERRIDE=FY","FILING_STATUS=OR","EQY_CONSOLIDATED=Y","Sort=A","Dates=H","DateFormat=P","Fill=—","Direction=H","UseDPDF=Y")</f>
        <v>#NAME?</v>
      </c>
      <c r="AB388" s="1" t="e">
        <f ca="1">_xll.BDH($C$378,"NET_FIXED_ASSETS_1_YEAR_GROWTH","FY 2016","FY 2016","Currency=INR","Period=FY","BEST_FPERIOD_OVERRIDE=FY","FILING_STATUS=OR","EQY_CONSOLIDATED=Y","Sort=A","Dates=H","DateFormat=P","Fill=—","Direction=H","UseDPDF=Y")</f>
        <v>#NAME?</v>
      </c>
      <c r="AC388" s="1" t="e">
        <f ca="1">_xll.BDH($C$378,"ASSET_GROWTH","FY 2016","FY 2016","Currency=INR","Period=FY","BEST_FPERIOD_OVERRIDE=FY","FILING_STATUS=OR","EQY_CONSOLIDATED=Y","Sort=A","Dates=H","DateFormat=P","Fill=—","Direction=H","UseDPDF=Y")</f>
        <v>#NAME?</v>
      </c>
      <c r="AD388" s="1" t="e">
        <f ca="1">_xll.BDH($C$378,"MODIFIED_WORK_CAP_GROWTH","FY 2016","FY 2016","Currency=INR","Period=FY","BEST_FPERIOD_OVERRIDE=FY","FILING_STATUS=OR","EQY_CONSOLIDATED=Y","Sort=A","Dates=H","DateFormat=P","Fill=—","Direction=H","UseDPDF=Y")</f>
        <v>#NAME?</v>
      </c>
      <c r="AE388" s="1" t="e">
        <f ca="1">_xll.BDH($C$378,"WORK_CAP_GROWTH","FY 2016","FY 2016","Currency=INR","Period=FY","BEST_FPERIOD_OVERRIDE=FY","FILING_STATUS=OR","EQY_CONSOLIDATED=Y","Sort=A","Dates=H","DateFormat=P","Fill=—","Direction=H","UseDPDF=Y")</f>
        <v>#NAME?</v>
      </c>
      <c r="AF388" s="1" t="e">
        <f ca="1">_xll.BDH($C$378,"ACCOUNTS_PAYABLE_GROWTH_1YR","FY 2016","FY 2016","Currency=INR","Period=FY","BEST_FPERIOD_OVERRIDE=FY","FILING_STATUS=OR","EQY_CONSOLIDATED=Y","Sort=A","Dates=H","DateFormat=P","Fill=—","Direction=H","UseDPDF=Y")</f>
        <v>#NAME?</v>
      </c>
      <c r="AG388" s="1" t="e">
        <f ca="1">_xll.BDH($C$378,"SHORT_TERM_DEBT_1_YEAR_GROWTH","FY 2016","FY 2016","Currency=INR","Period=FY","BEST_FPERIOD_OVERRIDE=FY","FILING_STATUS=OR","EQY_CONSOLIDATED=Y","Sort=A","Dates=H","DateFormat=P","Fill=—","Direction=H","UseDPDF=Y")</f>
        <v>#NAME?</v>
      </c>
      <c r="AH388" s="1" t="e">
        <f ca="1">_xll.BDH($C$378,"TOTAL_DEBT_1_YEAR_GROWTH","FY 2016","FY 2016","Currency=INR","Period=FY","BEST_FPERIOD_OVERRIDE=FY","FILING_STATUS=OR","EQY_CONSOLIDATED=Y","Sort=A","Dates=H","DateFormat=P","Fill=—","Direction=H","UseDPDF=Y")</f>
        <v>#NAME?</v>
      </c>
      <c r="AI388" s="1" t="e">
        <f ca="1">_xll.BDH($C$378,"TOTAL_EQUITY_1_YEAR_GROWTH","FY 2016","FY 2016","Currency=INR","Period=FY","BEST_FPERIOD_OVERRIDE=FY","FILING_STATUS=OR","EQY_CONSOLIDATED=Y","Sort=A","Dates=H","DateFormat=P","Fill=—","Direction=H","UseDPDF=Y")</f>
        <v>#NAME?</v>
      </c>
      <c r="AJ388" s="1" t="e">
        <f ca="1">_xll.BDH($C$378,"GROWTH_IN_CAP","FY 2016","FY 2016","Currency=INR","Period=FY","BEST_FPERIOD_OVERRIDE=FY","FILING_STATUS=OR","EQY_CONSOLIDATED=Y","Sort=A","Dates=H","DateFormat=P","Fill=—","Direction=H","UseDPDF=Y")</f>
        <v>#NAME?</v>
      </c>
      <c r="AK388" s="1" t="e">
        <f ca="1">_xll.BDH($C$378,"BVPS_GROWTH","FY 2016","FY 2016","Currency=INR","Period=FY","BEST_FPERIOD_OVERRIDE=FY","FILING_STATUS=OR","EQY_CONSOLIDATED=Y","Sort=A","Dates=H","DateFormat=P","Fill=—","Direction=H","UseDPDF=Y")</f>
        <v>#NAME?</v>
      </c>
      <c r="AL388" s="1" t="e">
        <f ca="1">_xll.BDH($C$378,"CASH_FLOW_GROWTH","FY 2016","FY 2016","Currency=INR","Period=FY","BEST_FPERIOD_OVERRIDE=FY","FILING_STATUS=OR","EQY_CONSOLIDATED=Y","Sort=A","Dates=H","DateFormat=P","Fill=—","Direction=H","UseDPDF=Y")</f>
        <v>#NAME?</v>
      </c>
      <c r="AM388" s="1" t="e">
        <f ca="1">_xll.BDH($C$378,"GEO_GROW_NET_SALES","FY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388" s="1" t="e">
        <f ca="1">_xll.BDH($C$378,"GEO_GROW_EBITDA","FY 2016","FY 2016","Currency=INR","Period=FY","BEST_FPERIOD_OVERRIDE=FY","FILING_STATUS=OR","EQY_CONSOLIDATED=Y","FA_ADJUSTED=GAAP","Sort=A","Dates=H","DateFormat=P","Fill=—","Direction=H","UseDPDF=Y")</f>
        <v>#NAME?</v>
      </c>
      <c r="AO388" s="1" t="e">
        <f ca="1">_xll.BDH($C$378,"GEO_GROW_OPER_INC","FY 2016","FY 2016","Currency=INR","Period=FY","BEST_FPERIOD_OVERRIDE=FY","FILING_STATUS=OR","EQY_CONSOLIDATED=Y","FA_ADJUSTED=GAAP","Sort=A","Dates=H","DateFormat=P","Fill=—","Direction=H","UseDPDF=Y")</f>
        <v>#NAME?</v>
      </c>
      <c r="AP388" s="1" t="e">
        <f ca="1">_xll.BDH($C$378,"NET_INCOME_TO_COMMON_5_YR_GROWTH","FY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88" s="1" t="e">
        <f ca="1">_xll.BDH($C$378,"5Y_GEO_GROWTH_DILUTED_EPS","FY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88" s="1" t="e">
        <f ca="1">_xll.BDH($C$378,"GEO_GROW_DVD_PER_SH","FY 2016","FY 2016","Currency=INR","Period=FY","BEST_FPERIOD_OVERRIDE=FY","FILING_STATUS=OR","EQY_CONSOLIDATED=Y","Sort=A","Dates=H","DateFormat=P","Fill=—","Direction=H","UseDPDF=Y")</f>
        <v>#NAME?</v>
      </c>
      <c r="AS388" s="1" t="e">
        <f ca="1">_xll.BDH($C$378,"ACCOUNTS_RECEIVABLE_5_YR_GROWTH","FY 2016","FY 2016","Currency=INR","Period=FY","BEST_FPERIOD_OVERRIDE=FY","FILING_STATUS=OR","EQY_CONSOLIDATED=Y","Sort=A","Dates=H","DateFormat=P","Fill=—","Direction=H","UseDPDF=Y")</f>
        <v>#NAME?</v>
      </c>
      <c r="AT388" s="1" t="e">
        <f ca="1">_xll.BDH($C$378,"INVENTORY_5_YEAR_GROWTH","FY 2016","FY 2016","Currency=INR","Period=FY","BEST_FPERIOD_OVERRIDE=FY","FILING_STATUS=OR","EQY_CONSOLIDATED=Y","Sort=A","Dates=H","DateFormat=P","Fill=—","Direction=H","UseDPDF=Y")</f>
        <v>#NAME?</v>
      </c>
      <c r="AU388" s="1" t="e">
        <f ca="1">_xll.BDH($C$378,"NET_FIXED_ASSETS_5_YEAR_GROWTH","FY 2016","FY 2016","Currency=INR","Period=FY","BEST_FPERIOD_OVERRIDE=FY","FILING_STATUS=OR","EQY_CONSOLIDATED=Y","Sort=A","Dates=H","DateFormat=P","Fill=—","Direction=H","UseDPDF=Y")</f>
        <v>#NAME?</v>
      </c>
      <c r="AV388" s="1" t="e">
        <f ca="1">_xll.BDH($C$378,"GEO_GROW_TOT_ASSET","FY 2016","FY 2016","Currency=INR","Period=FY","BEST_FPERIOD_OVERRIDE=FY","FILING_STATUS=OR","EQY_CONSOLIDATED=Y","Sort=A","Dates=H","DateFormat=P","Fill=—","Direction=H","UseDPDF=Y")</f>
        <v>#NAME?</v>
      </c>
      <c r="AW388" s="1" t="e">
        <f ca="1">_xll.BDH($C$378,"MODIFIED_WORKING_CPTL_5YR_GRWTH","FY 2016","FY 2016","Currency=INR","Period=FY","BEST_FPERIOD_OVERRIDE=FY","FILING_STATUS=OR","EQY_CONSOLIDATED=Y","Sort=A","Dates=H","DateFormat=P","Fill=—","Direction=H","UseDPDF=Y")</f>
        <v>#NAME?</v>
      </c>
      <c r="AX388" s="1" t="e">
        <f ca="1">_xll.BDH($C$378,"WORKING_CAPITAL_5_YEAR_GROWTH","FY 2016","FY 2016","Currency=INR","Period=FY","BEST_FPERIOD_OVERRIDE=FY","FILING_STATUS=OR","EQY_CONSOLIDATED=Y","Sort=A","Dates=H","DateFormat=P","Fill=—","Direction=H","UseDPDF=Y")</f>
        <v>#NAME?</v>
      </c>
      <c r="AY388" s="1" t="e">
        <f ca="1">_xll.BDH($C$378,"ACCOUNTS_PAYABLE_5_YEAR_GROWTH","FY 2016","FY 2016","Currency=INR","Period=FY","BEST_FPERIOD_OVERRIDE=FY","FILING_STATUS=OR","EQY_CONSOLIDATED=Y","Sort=A","Dates=H","DateFormat=P","Fill=—","Direction=H","UseDPDF=Y")</f>
        <v>#NAME?</v>
      </c>
      <c r="AZ388" s="1" t="e">
        <f ca="1">_xll.BDH($C$378,"SHORT_TERM_DEBT_5_YEAR_GROWTH","FY 2016","FY 2016","Currency=INR","Period=FY","BEST_FPERIOD_OVERRIDE=FY","FILING_STATUS=OR","EQY_CONSOLIDATED=Y","Sort=A","Dates=H","DateFormat=P","Fill=—","Direction=H","UseDPDF=Y")</f>
        <v>#NAME?</v>
      </c>
      <c r="BA388" s="1" t="e">
        <f ca="1">_xll.BDH($C$378,"TOTAL_DEBT_5_YEAR_GROWTH","FY 2016","FY 2016","Currency=INR","Period=FY","BEST_FPERIOD_OVERRIDE=FY","FILING_STATUS=OR","EQY_CONSOLIDATED=Y","Sort=A","Dates=H","DateFormat=P","Fill=—","Direction=H","UseDPDF=Y")</f>
        <v>#NAME?</v>
      </c>
      <c r="BB388" s="1" t="e">
        <f ca="1">_xll.BDH($C$378,"GEO_GROW_TOT_SHRHLDR_EQY","FY 2016","FY 2016","Currency=INR","Period=FY","BEST_FPERIOD_OVERRIDE=FY","FILING_STATUS=OR","EQY_CONSOLIDATED=Y","Sort=A","Dates=H","DateFormat=P","Fill=—","Direction=H","UseDPDF=Y")</f>
        <v>#NAME?</v>
      </c>
      <c r="BC388" s="1" t="e">
        <f ca="1">_xll.BDH($C$378,"TOTAL_CAPITAL_5_YEAR_GROWTH","FY 2016","FY 2016","Currency=INR","Period=FY","BEST_FPERIOD_OVERRIDE=FY","FILING_STATUS=OR","EQY_CONSOLIDATED=Y","Sort=A","Dates=H","DateFormat=P","Fill=—","Direction=H","UseDPDF=Y")</f>
        <v>#NAME?</v>
      </c>
      <c r="BD388" s="1" t="e">
        <f ca="1">_xll.BDH($C$378,"GEO_GROW_BOOK_VAL","FY 2016","FY 2016","Currency=INR","Period=FY","BEST_FPERIOD_OVERRIDE=FY","FILING_STATUS=OR","EQY_CONSOLIDATED=Y","Sort=A","Dates=H","DateFormat=P","Fill=—","Direction=H","UseDPDF=Y")</f>
        <v>#NAME?</v>
      </c>
      <c r="BE388" s="1" t="e">
        <f ca="1">_xll.BDH($C$378,"GEO_GROW_CASH_OPER_ACT","FY 2016","FY 2016","Currency=INR","Period=FY","BEST_FPERIOD_OVERRIDE=FY","FILING_STATUS=OR","EQY_CONSOLIDATED=Y","Sort=A","Dates=H","DateFormat=P","Fill=—","Direction=H","UseDPDF=Y")</f>
        <v>#NAME?</v>
      </c>
      <c r="BF388" s="1" t="e">
        <f ca="1">_xll.BDH($C$378,"REVENUE_SEQUENTIAL_GROWTH","FY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88" s="1" t="e">
        <f ca="1">_xll.BDH($C$378,"EBITDA_SEQUENTIAL_GROWTH","FY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88" s="1" t="e">
        <f ca="1">_xll.BDH($C$378,"OPERATING_INCOME_SEQ_GROWTH","FY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88" s="1" t="e">
        <f ca="1">_xll.BDH($C$378,"NET_INCOME_TO_COMMON_SEQ_GROWTH","FY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88" s="1" t="e">
        <f ca="1">_xll.BDH($C$378,"EPS_DILUTED_SEQUENTIAL_GROWTH","FY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88" s="1" t="e">
        <f ca="1">_xll.BDH($C$378,"DPS_SEQUENTIAL_GROWTH","FY 2016","FY 2016","Currency=INR","Period=FY","BEST_FPERIOD_OVERRIDE=FY","FILING_STATUS=OR","EQY_CONSOLIDATED=Y","Sort=A","Dates=H","DateFormat=P","Fill=—","Direction=H","UseDPDF=Y")</f>
        <v>#NAME?</v>
      </c>
      <c r="BL388" s="1" t="e">
        <f ca="1">_xll.BDH($C$378,"ACCOUNTS_RECEIVABLE_SEQ_GROWTH","FY 2016","FY 2016","Currency=INR","Period=FY","BEST_FPERIOD_OVERRIDE=FY","FILING_STATUS=OR","EQY_CONSOLIDATED=Y","Sort=A","Dates=H","DateFormat=P","Fill=—","Direction=H","UseDPDF=Y")</f>
        <v>#NAME?</v>
      </c>
      <c r="BM388" s="1" t="e">
        <f ca="1">_xll.BDH($C$378,"INVENTORY_SEQUENTIAL_GROWTH","FY 2016","FY 2016","Currency=INR","Period=FY","BEST_FPERIOD_OVERRIDE=FY","FILING_STATUS=OR","EQY_CONSOLIDATED=Y","Sort=A","Dates=H","DateFormat=P","Fill=—","Direction=H","UseDPDF=Y")</f>
        <v>#NAME?</v>
      </c>
      <c r="BN388" s="1" t="e">
        <f ca="1">_xll.BDH($C$378,"FIXED_ASSETS_SEQUENTIAL_GROWTH","FY 2016","FY 2016","Currency=INR","Period=FY","BEST_FPERIOD_OVERRIDE=FY","FILING_STATUS=OR","EQY_CONSOLIDATED=Y","Sort=A","Dates=H","DateFormat=P","Fill=—","Direction=H","UseDPDF=Y")</f>
        <v>#NAME?</v>
      </c>
      <c r="BO388" s="1" t="e">
        <f ca="1">_xll.BDH($C$378,"TOTAL_ASSETS_SEQUENTIAL_GROWTH","FY 2016","FY 2016","Currency=INR","Period=FY","BEST_FPERIOD_OVERRIDE=FY","FILING_STATUS=OR","EQY_CONSOLIDATED=Y","Sort=A","Dates=H","DateFormat=P","Fill=—","Direction=H","UseDPDF=Y")</f>
        <v>#NAME?</v>
      </c>
      <c r="BP388" s="1" t="e">
        <f ca="1">_xll.BDH($C$378,"MODIFIED_WORKING_CPTL_SEQ_GRWTH","FY 2016","FY 2016","Currency=INR","Period=FY","BEST_FPERIOD_OVERRIDE=FY","FILING_STATUS=OR","EQY_CONSOLIDATED=Y","Sort=A","Dates=H","DateFormat=P","Fill=—","Direction=H","UseDPDF=Y")</f>
        <v>#NAME?</v>
      </c>
      <c r="BQ388" s="1" t="e">
        <f ca="1">_xll.BDH($C$378,"WORKING_CAPITAL_SEQ_GROWTH","FY 2016","FY 2016","Currency=INR","Period=FY","BEST_FPERIOD_OVERRIDE=FY","FILING_STATUS=OR","EQY_CONSOLIDATED=Y","Sort=A","Dates=H","DateFormat=P","Fill=—","Direction=H","UseDPDF=Y")</f>
        <v>#NAME?</v>
      </c>
      <c r="BR388" s="1" t="e">
        <f ca="1">_xll.BDH($C$378,"ACCOUNTS_PAYABLE_SEQ_GROWTH","FY 2016","FY 2016","Currency=INR","Period=FY","BEST_FPERIOD_OVERRIDE=FY","FILING_STATUS=OR","EQY_CONSOLIDATED=Y","Sort=A","Dates=H","DateFormat=P","Fill=—","Direction=H","UseDPDF=Y")</f>
        <v>#NAME?</v>
      </c>
      <c r="BS388" s="1" t="e">
        <f ca="1">_xll.BDH($C$378,"ST_DEBT_SEQUENTIAL_GROWTH","FY 2016","FY 2016","Currency=INR","Period=FY","BEST_FPERIOD_OVERRIDE=FY","FILING_STATUS=OR","EQY_CONSOLIDATED=Y","Sort=A","Dates=H","DateFormat=P","Fill=—","Direction=H","UseDPDF=Y")</f>
        <v>#NAME?</v>
      </c>
      <c r="BT388" s="1" t="e">
        <f ca="1">_xll.BDH($C$378,"TOTAL_DEBT_SEQUENTIAL_GROWTH","FY 2016","FY 2016","Currency=INR","Period=FY","BEST_FPERIOD_OVERRIDE=FY","FILING_STATUS=OR","EQY_CONSOLIDATED=Y","Sort=A","Dates=H","DateFormat=P","Fill=—","Direction=H","UseDPDF=Y")</f>
        <v>#NAME?</v>
      </c>
      <c r="BU388" s="1" t="e">
        <f ca="1">_xll.BDH($C$378,"TOTAL_EQUITY_SEQUENTIAL_GROWTH","FY 2016","FY 2016","Currency=INR","Period=FY","BEST_FPERIOD_OVERRIDE=FY","FILING_STATUS=OR","EQY_CONSOLIDATED=Y","Sort=A","Dates=H","DateFormat=P","Fill=—","Direction=H","UseDPDF=Y")</f>
        <v>#NAME?</v>
      </c>
      <c r="BV388" s="1" t="e">
        <f ca="1">_xll.BDH($C$378,"TOTAL_CAPITAL_SEQUENTIAL_GROWTH","FY 2016","FY 2016","Currency=INR","Period=FY","BEST_FPERIOD_OVERRIDE=FY","FILING_STATUS=OR","EQY_CONSOLIDATED=Y","Sort=A","Dates=H","DateFormat=P","Fill=—","Direction=H","UseDPDF=Y")</f>
        <v>#NAME?</v>
      </c>
      <c r="BW388" s="1" t="e">
        <f ca="1">_xll.BDH($C$378,"BPS_SEQUENTIAL_GROWTH","FY 2016","FY 2016","Currency=INR","Period=FY","BEST_FPERIOD_OVERRIDE=FY","FILING_STATUS=OR","EQY_CONSOLIDATED=Y","Sort=A","Dates=H","DateFormat=P","Fill=—","Direction=H","UseDPDF=Y")</f>
        <v>#NAME?</v>
      </c>
      <c r="BX388" s="1" t="e">
        <f ca="1">_xll.BDH($C$378,"CFO_SEQUENTIAL_GROWTH","FY 2016","FY 2016","Currency=INR","Period=FY","BEST_FPERIOD_OVERRIDE=FY","FILING_STATUS=OR","EQY_CONSOLIDATED=Y","Sort=A","Dates=H","DateFormat=P","Fill=—","Direction=H","UseDPDF=Y")</f>
        <v>#NAME?</v>
      </c>
      <c r="BY388" s="2" t="e">
        <f ca="1">_xll.BDH($C$378,"SHORT_AND_LONG_TERM_DEBT","FY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88" s="2" t="e">
        <f ca="1">_xll.BDH($C$378,"BS_ST_BORROW","FY 2016","FY 2016","Currency=INR","Period=FY","BEST_FPERIOD_OVERRIDE=FY","FILING_STATUS=OR","EQY_CONSOLIDATED=Y","SCALING_FORMAT=MLN","Sort=A","Dates=H","DateFormat=P","Fill=—","Direction=H","UseDPDF=Y")</f>
        <v>#NAME?</v>
      </c>
      <c r="CA388" s="2" t="e">
        <f ca="1">_xll.BDH($C$378,"BS_LT_BORROW","FY 2016","FY 2016","Currency=INR","Period=FY","BEST_FPERIOD_OVERRIDE=FY","FILING_STATUS=OR","EQY_CONSOLIDATED=Y","SCALING_FORMAT=MLN","Sort=A","Dates=H","DateFormat=P","Fill=—","Direction=H","UseDPDF=Y")</f>
        <v>#NAME?</v>
      </c>
      <c r="CB388" s="1" t="e">
        <f ca="1">_xll.BDH($C$378,"TOT_DEBT_TO_EBITDA","FY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388" s="1" t="e">
        <f ca="1">_xll.BDH($C$378,"NET_DEBT_TO_EBITDA","FY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388" s="1" t="e">
        <f ca="1">_xll.BDH($C$378,"TOTAL_DEBT_TO_EBIT","FY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388" s="1" t="e">
        <f ca="1">_xll.BDH($C$378,"NET_DEBT_TO_EBIT","FY 2016","FY 2016","Currency=INR","Period=FY","BEST_FPERIOD_OVERRIDE=FY","FILING_STATUS=OR","EQY_CONSOLIDATED=Y","FA_ADJUSTED=GAAP","Sort=A","Dates=H","DateFormat=P","Fill=—","Direction=H","UseDPDF=Y")</f>
        <v>#NAME?</v>
      </c>
      <c r="CF388" s="1" t="e">
        <f ca="1">_xll.BDH($C$378,"EBITDA_TO_INTEREST_EXPN","FY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88" s="1" t="e">
        <f ca="1">_xll.BDH($C$378,"COM_EQY_TO_TOT_ASSET","FY 2016","FY 2016","Currency=INR","Period=FY","BEST_FPERIOD_OVERRIDE=FY","FILING_STATUS=OR","EQY_CONSOLIDATED=Y","Sort=A","Dates=H","DateFormat=P","Fill=—","Direction=H","UseDPDF=Y")</f>
        <v>#NAME?</v>
      </c>
      <c r="CH388" s="1" t="e">
        <f ca="1">_xll.BDH($C$378,"LT_DEBT_TO_TOT_EQY","FY 2016","FY 2016","Currency=INR","Period=FY","BEST_FPERIOD_OVERRIDE=FY","FILING_STATUS=OR","EQY_CONSOLIDATED=Y","Sort=A","Dates=H","DateFormat=P","Fill=—","Direction=H","UseDPDF=Y")</f>
        <v>#NAME?</v>
      </c>
      <c r="CI388" s="1" t="e">
        <f ca="1">_xll.BDH($C$378,"LT_DEBT_TO_TOT_CAP","FY 2016","FY 2016","Currency=INR","Period=FY","BEST_FPERIOD_OVERRIDE=FY","FILING_STATUS=OR","EQY_CONSOLIDATED=Y","Sort=A","Dates=H","DateFormat=P","Fill=—","Direction=H","UseDPDF=Y")</f>
        <v>#NAME?</v>
      </c>
      <c r="CJ388" s="1" t="e">
        <f ca="1">_xll.BDH($C$378,"LT_DEBT_TO_TOT_ASSET","FY 2016","FY 2016","Currency=INR","Period=FY","BEST_FPERIOD_OVERRIDE=FY","FILING_STATUS=OR","EQY_CONSOLIDATED=Y","Sort=A","Dates=H","DateFormat=P","Fill=—","Direction=H","UseDPDF=Y")</f>
        <v>#NAME?</v>
      </c>
      <c r="CK388" s="1" t="e">
        <f ca="1">_xll.BDH($C$378,"TOT_DEBT_TO_TOT_EQY","FY 2016","FY 2016","Currency=INR","Period=FY","BEST_FPERIOD_OVERRIDE=FY","FILING_STATUS=OR","EQY_CONSOLIDATED=Y","Sort=A","Dates=H","DateFormat=P","Fill=—","Direction=H","UseDPDF=Y")</f>
        <v>#NAME?</v>
      </c>
      <c r="CL388" s="1" t="e">
        <f ca="1">_xll.BDH($C$378,"TOT_DEBT_TO_TOT_CAP","FY 2016","FY 2016","Currency=INR","Period=FY","BEST_FPERIOD_OVERRIDE=FY","FILING_STATUS=OR","EQY_CONSOLIDATED=Y","Sort=A","Dates=H","DateFormat=P","Fill=—","Direction=H","UseDPDF=Y")</f>
        <v>#NAME?</v>
      </c>
      <c r="CM388" s="1" t="e">
        <f ca="1">_xll.BDH($C$378,"TOT_DEBT_TO_TOT_ASSET","FY 2016","FY 2016","Currency=INR","Period=FY","BEST_FPERIOD_OVERRIDE=FY","FILING_STATUS=OR","EQY_CONSOLIDATED=Y","Sort=A","Dates=H","DateFormat=P","Fill=—","Direction=H","UseDPDF=Y")</f>
        <v>#NAME?</v>
      </c>
      <c r="CN388" s="1" t="e">
        <f ca="1">_xll.BDH($C$378,"NET_DEBT_TO_SHRHLDR_EQTY","FY 2016","FY 2016","Currency=INR","Period=FY","BEST_FPERIOD_OVERRIDE=FY","FILING_STATUS=OR","EQY_CONSOLIDATED=Y","Sort=A","Dates=H","DateFormat=P","Fill=—","Direction=H","UseDPDF=Y")</f>
        <v>#NAME?</v>
      </c>
      <c r="CO388" s="1" t="e">
        <f ca="1">_xll.BDH($C$378,"NET_DEBT_%_CAPITAL","FY 2016","FY 2016","Currency=INR","Period=FY","BEST_FPERIOD_OVERRIDE=FY","FILING_STATUS=OR","EQY_CONSOLIDATED=Y","Sort=A","Dates=H","DateFormat=P","Fill=—","Direction=H","UseDPDF=Y")</f>
        <v>#NAME?</v>
      </c>
      <c r="CP388" s="2" t="e">
        <f ca="1">_xll.BDH($C$378,"EBITDA","FY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88" s="2" t="e">
        <f ca="1">_xll.BDH($C$378,"EBITDA_AFTER_CAPEX","FY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88" s="2" t="e">
        <f ca="1">_xll.BDH($C$378,"IS_OPER_INC","FY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88" s="1" t="e">
        <f ca="1">_xll.BDH($C$378,"CASH_RATIO","FY 2016","FY 2016","Currency=INR","Period=FY","BEST_FPERIOD_OVERRIDE=FY","FILING_STATUS=OR","EQY_CONSOLIDATED=Y","Sort=A","Dates=H","DateFormat=P","Fill=—","Direction=H","UseDPDF=Y")</f>
        <v>#NAME?</v>
      </c>
      <c r="CT388" s="1" t="e">
        <f ca="1">_xll.BDH($C$378,"CUR_RATIO","FY 2016","FY 2016","Currency=INR","Period=FY","BEST_FPERIOD_OVERRIDE=FY","FILING_STATUS=OR","EQY_CONSOLIDATED=Y","Sort=A","Dates=H","DateFormat=P","Fill=—","Direction=H","UseDPDF=Y")</f>
        <v>#NAME?</v>
      </c>
      <c r="CU388" s="1" t="e">
        <f ca="1">_xll.BDH($C$378,"QUICK_RATIO","FY 2016","FY 2016","Currency=INR","Period=FY","BEST_FPERIOD_OVERRIDE=FY","FILING_STATUS=OR","EQY_CONSOLIDATED=Y","Sort=A","Dates=H","DateFormat=P","Fill=—","Direction=H","UseDPDF=Y")</f>
        <v>#NAME?</v>
      </c>
      <c r="CV388" s="1" t="e">
        <f ca="1">_xll.BDH($C$378,"ALTMAN_Z_SCORE","FY 2016","FY 2016","Currency=INR","Period=FY","BEST_FPERIOD_OVERRIDE=FY","FILING_STATUS=OR","EQY_CONSOLIDATED=Y","Sort=A","Dates=H","DateFormat=P","Fill=—","Direction=H","UseDPDF=Y")</f>
        <v>#NAME?</v>
      </c>
      <c r="CW388" s="3" t="e">
        <f ca="1">_xll.BDH($C$378,"ACCT_RCV_TURN","FY 2016","FY 2016","Currency=INR","Period=FY","BEST_FPERIOD_OVERRIDE=FY","FILING_STATUS=OR","EQY_CONSOLIDATED=Y","FA_ADJUSTED=GAAP","Sort=A","Dates=H","DateFormat=P","Fill=—","Direction=H","UseDPDF=Y")</f>
        <v>#NAME?</v>
      </c>
      <c r="CX388" s="1" t="e">
        <f ca="1">_xll.BDH($C$378,"ACCT_RCV_DAYS","FY 2016","FY 2016","Currency=INR","Period=FY","BEST_FPERIOD_OVERRIDE=FY","FILING_STATUS=OR","EQY_CONSOLIDATED=Y","FA_ADJUSTED=GAAP","Sort=A","Dates=H","DateFormat=P","Fill=—","Direction=H","UseDPDF=Y")</f>
        <v>#NAME?</v>
      </c>
      <c r="CY388" s="3" t="e">
        <f ca="1">_xll.BDH($C$378,"INVENT_TURN","FY 2016","FY 2016","Currency=INR","Period=FY","BEST_FPERIOD_OVERRIDE=FY","FILING_STATUS=OR","EQY_CONSOLIDATED=Y","FA_ADJUSTED=GAAP","Sort=A","Dates=H","DateFormat=P","Fill=—","Direction=H","UseDPDF=Y")</f>
        <v>#NAME?</v>
      </c>
      <c r="CZ388" s="1" t="e">
        <f ca="1">_xll.BDH($C$378,"INVENT_DAYS","FY 2016","FY 2016","Currency=INR","Period=FY","BEST_FPERIOD_OVERRIDE=FY","FILING_STATUS=OR","EQY_CONSOLIDATED=Y","FA_ADJUSTED=GAAP","Sort=A","Dates=H","DateFormat=P","Fill=—","Direction=H","UseDPDF=Y")</f>
        <v>#NAME?</v>
      </c>
      <c r="DA388" s="3" t="e">
        <f ca="1">_xll.BDH($C$378,"ACCOUNTS_PAYABLE_TURNOVER","FY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88" s="1" t="e">
        <f ca="1">_xll.BDH($C$378,"ACCOUNTS_PAYABLE_TURNOVER_DAYS","FY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88" s="3" t="e">
        <f ca="1">_xll.BDH($C$378,"CASH_CONVERSION_CYCLE","FY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88" s="3" t="e">
        <f ca="1">_xll.BDH($C$378,"INV_TO_CASH_DAYS","FY 2016","FY 2016","Currency=INR","Period=FY","BEST_FPERIOD_OVERRIDE=FY","FILING_STATUS=OR","EQY_CONSOLIDATED=Y","FA_ADJUSTED=GAAP","Sort=A","Dates=H","DateFormat=P","Fill=—","Direction=H","UseDPDF=Y")</f>
        <v>#NAME?</v>
      </c>
      <c r="DE388" s="4" t="e">
        <f ca="1">_xll.BDH($C$378,"BS_INVENTORIES","FY 2016","FY 2016","Currency=INR","Period=FY","BEST_FPERIOD_OVERRIDE=FY","FILING_STATUS=OR","EQY_CONSOLIDATED=Y","SCALING_FORMAT=MLN","Sort=A","Dates=H","DateFormat=P","Fill=—","Direction=H","UseDPDF=Y")</f>
        <v>#NAME?</v>
      </c>
      <c r="DF388" s="2" t="e">
        <f ca="1">_xll.BDH($C$378,"INVTRY_RAW_MATERIALS","FY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88" s="2" t="e">
        <f ca="1">_xll.BDH($C$378,"INVTRY_IN_PROGRESS","FY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88" s="2" t="e">
        <f ca="1">_xll.BDH($C$378,"INVTRY_FINISHED_GOODS","FY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88" s="2" t="e">
        <f ca="1">_xll.BDH($C$378,"BS_OTHER_INV","FY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89" spans="1:113" x14ac:dyDescent="0.3">
      <c r="A389" s="6"/>
      <c r="B389" s="6"/>
      <c r="C389" s="6"/>
      <c r="D389" s="6"/>
      <c r="E389" t="s">
        <v>4</v>
      </c>
      <c r="F389" t="e">
        <f ca="1">_xll.BDH($C$378,"RETURN_COM_EQY","FQ1 2016","FQ1 2016","Currency=INR","Period=FQ","BEST_FPERIOD_OVERRIDE=FQ","FILING_STATUS=OR","EQY_CONSOLIDATED=Y","FA_ADJUSTED=GAAP","Sort=A","Dates=H","DateFormat=P","Fill=—","Direction=H","UseDPDF=Y")</f>
        <v>#NAME?</v>
      </c>
      <c r="G389" t="e">
        <f ca="1">_xll.BDH($C$378,"RETURN_ON_ASSET","FQ1 2016","FQ1 2016","Currency=INR","Period=FQ","BEST_FPERIOD_OVERRIDE=FQ","FILING_STATUS=OR","EQY_CONSOLIDATED=Y","FA_ADJUSTED=GAAP","Sort=A","Dates=H","DateFormat=P","Fill=—","Direction=H","UseDPDF=Y")</f>
        <v>#NAME?</v>
      </c>
      <c r="H389" t="e">
        <f ca="1">_xll.BDH($C$378,"RETURN_ON_CAP","FQ1 2016","FQ1 2016","Currency=INR","Period=FQ","BEST_FPERIOD_OVERRIDE=FQ","FILING_STATUS=OR","EQY_CONSOLIDATED=Y","FA_ADJUSTED=GAAP","Sort=A","Dates=H","DateFormat=P","Fill=—","Direction=H","UseDPDF=Y")</f>
        <v>#NAME?</v>
      </c>
      <c r="I389" t="e">
        <f ca="1">_xll.BDH($C$378,"RETURN_ON_INV_CAPITAL","FQ1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89" t="e">
        <f ca="1">_xll.BDH($C$378,"EBITDA_TO_REVENUE","FQ1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389" t="e">
        <f ca="1">_xll.BDH($C$378,"OPER_MARGIN","FQ1 2016","FQ1 2016","Currency=INR","Period=FQ","BEST_FPERIOD_OVERRIDE=FQ","FILING_STATUS=OR","EQY_CONSOLIDATED=Y","FA_ADJUSTED=GAAP","Sort=A","Dates=H","DateFormat=P","Fill=—","Direction=H","UseDPDF=Y")</f>
        <v>#NAME?</v>
      </c>
      <c r="L389" t="e">
        <f ca="1">_xll.BDH($C$378,"INCREMENTAL_OPERATING_MARGIN","FQ1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89" t="e">
        <f ca="1">_xll.BDH($C$378,"PRETAX_INC_TO_NET_SALES","FQ1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89" t="e">
        <f ca="1">_xll.BDH($C$378,"INC_BEF_XO_ITEMS_TO_NET_SALES","FQ1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89" t="e">
        <f ca="1">_xll.BDH($C$378,"PROF_MARGIN","FQ1 2016","FQ1 2016","Currency=INR","Period=FQ","BEST_FPERIOD_OVERRIDE=FQ","FILING_STATUS=OR","EQY_CONSOLIDATED=Y","FA_ADJUSTED=GAAP","Sort=A","Dates=H","DateFormat=P","Fill=—","Direction=H","UseDPDF=Y")</f>
        <v>#NAME?</v>
      </c>
      <c r="P389" t="e">
        <f ca="1">_xll.BDH($C$378,"NET_INCOME_TO_COMMON_MARGIN","FQ1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89" t="e">
        <f ca="1">_xll.BDH($C$378,"EFF_TAX_RATE","FQ1 2016","FQ1 2016","Currency=INR","Period=FQ","BEST_FPERIOD_OVERRIDE=FQ","FILING_STATUS=OR","EQY_CONSOLIDATED=Y","FA_ADJUSTED=GAAP","Sort=A","Dates=H","DateFormat=P","Fill=—","Direction=H","UseDPDF=Y")</f>
        <v>#NAME?</v>
      </c>
      <c r="R389" t="e">
        <f ca="1">_xll.BDH($C$378,"DVD_PAYOUT_RATIO","FQ1 2016","FQ1 2016","Currency=INR","Period=FQ","BEST_FPERIOD_OVERRIDE=FQ","FILING_STATUS=OR","EQY_CONSOLIDATED=Y","FA_ADJUSTED=GAAP","Sort=A","Dates=H","DateFormat=P","Fill=—","Direction=H","UseDPDF=Y")</f>
        <v>#NAME?</v>
      </c>
      <c r="S389" t="e">
        <f ca="1">_xll.BDH($C$378,"SUSTAIN_GROWTH_RT","FQ1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389" s="1" t="e">
        <f ca="1">_xll.BDH($C$378,"SALES_GROWTH","FQ1 2016","FQ1 2016","Currency=INR","Period=FQ","BEST_FPERIOD_OVERRIDE=FQ","FILING_STATUS=OR","EQY_CONSOLIDATED=Y","FA_ADJUSTED=GAAP","Sort=A","Dates=H","DateFormat=P","Fill=—","Direction=H","UseDPDF=Y")</f>
        <v>#NAME?</v>
      </c>
      <c r="U389" s="1" t="e">
        <f ca="1">_xll.BDH($C$378,"EBITDA_GROWTH","FQ1 2016","FQ1 2016","Currency=INR","Period=FQ","BEST_FPERIOD_OVERRIDE=FQ","FILING_STATUS=OR","EQY_CONSOLIDATED=Y","FA_ADJUSTED=GAAP","Sort=A","Dates=H","DateFormat=P","Fill=—","Direction=H","UseDPDF=Y")</f>
        <v>#NAME?</v>
      </c>
      <c r="V389" s="1" t="e">
        <f ca="1">_xll.BDH($C$378,"OPER_INC_GROWTH","FQ1 2016","FQ1 2016","Currency=INR","Period=FQ","BEST_FPERIOD_OVERRIDE=FQ","FILING_STATUS=OR","EQY_CONSOLIDATED=Y","FA_ADJUSTED=GAAP","Sort=A","Dates=H","DateFormat=P","Fill=—","Direction=H","UseDPDF=Y")</f>
        <v>#NAME?</v>
      </c>
      <c r="W389" s="1" t="e">
        <f ca="1">_xll.BDH($C$378,"EARN_FOR_COM_GROWTH","FQ1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89" s="1" t="e">
        <f ca="1">_xll.BDH($C$378,"DILUTED_EPS_AFT_XO_ITEMS_GROWTH","FQ1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89" s="1" t="e">
        <f ca="1">_xll.BDH($C$378,"DIVIDEND_PER_SHARE_1_YEAR_GROWTH","FQ1 2016","FQ1 2016","Currency=INR","Period=FQ","BEST_FPERIOD_OVERRIDE=FQ","FILING_STATUS=OR","EQY_CONSOLIDATED=Y","Sort=A","Dates=H","DateFormat=P","Fill=—","Direction=H","UseDPDF=Y")</f>
        <v>#NAME?</v>
      </c>
      <c r="Z389" s="1" t="e">
        <f ca="1">_xll.BDH($C$378,"ACCOUNTS_RECEIVABLE_GROWTH","FQ1 2016","FQ1 2016","Currency=INR","Period=FQ","BEST_FPERIOD_OVERRIDE=FQ","FILING_STATUS=OR","EQY_CONSOLIDATED=Y","Sort=A","Dates=H","DateFormat=P","Fill=—","Direction=H","UseDPDF=Y")</f>
        <v>#NAME?</v>
      </c>
      <c r="AA389" s="1" t="e">
        <f ca="1">_xll.BDH($C$378,"INVENTORY_GROWTH","FQ1 2016","FQ1 2016","Currency=INR","Period=FQ","BEST_FPERIOD_OVERRIDE=FQ","FILING_STATUS=OR","EQY_CONSOLIDATED=Y","Sort=A","Dates=H","DateFormat=P","Fill=—","Direction=H","UseDPDF=Y")</f>
        <v>#NAME?</v>
      </c>
      <c r="AB389" s="1" t="e">
        <f ca="1">_xll.BDH($C$378,"NET_FIXED_ASSETS_1_YEAR_GROWTH","FQ1 2016","FQ1 2016","Currency=INR","Period=FQ","BEST_FPERIOD_OVERRIDE=FQ","FILING_STATUS=OR","EQY_CONSOLIDATED=Y","Sort=A","Dates=H","DateFormat=P","Fill=—","Direction=H","UseDPDF=Y")</f>
        <v>#NAME?</v>
      </c>
      <c r="AC389" s="1" t="e">
        <f ca="1">_xll.BDH($C$378,"ASSET_GROWTH","FQ1 2016","FQ1 2016","Currency=INR","Period=FQ","BEST_FPERIOD_OVERRIDE=FQ","FILING_STATUS=OR","EQY_CONSOLIDATED=Y","Sort=A","Dates=H","DateFormat=P","Fill=—","Direction=H","UseDPDF=Y")</f>
        <v>#NAME?</v>
      </c>
      <c r="AD389" s="1" t="e">
        <f ca="1">_xll.BDH($C$378,"MODIFIED_WORK_CAP_GROWTH","FQ1 2016","FQ1 2016","Currency=INR","Period=FQ","BEST_FPERIOD_OVERRIDE=FQ","FILING_STATUS=OR","EQY_CONSOLIDATED=Y","Sort=A","Dates=H","DateFormat=P","Fill=—","Direction=H","UseDPDF=Y")</f>
        <v>#NAME?</v>
      </c>
      <c r="AE389" s="1" t="e">
        <f ca="1">_xll.BDH($C$378,"WORK_CAP_GROWTH","FQ1 2016","FQ1 2016","Currency=INR","Period=FQ","BEST_FPERIOD_OVERRIDE=FQ","FILING_STATUS=OR","EQY_CONSOLIDATED=Y","Sort=A","Dates=H","DateFormat=P","Fill=—","Direction=H","UseDPDF=Y")</f>
        <v>#NAME?</v>
      </c>
      <c r="AF389" s="1" t="e">
        <f ca="1">_xll.BDH($C$378,"ACCOUNTS_PAYABLE_GROWTH_1YR","FQ1 2016","FQ1 2016","Currency=INR","Period=FQ","BEST_FPERIOD_OVERRIDE=FQ","FILING_STATUS=OR","EQY_CONSOLIDATED=Y","Sort=A","Dates=H","DateFormat=P","Fill=—","Direction=H","UseDPDF=Y")</f>
        <v>#NAME?</v>
      </c>
      <c r="AG389" s="1" t="e">
        <f ca="1">_xll.BDH($C$378,"SHORT_TERM_DEBT_1_YEAR_GROWTH","FQ1 2016","FQ1 2016","Currency=INR","Period=FQ","BEST_FPERIOD_OVERRIDE=FQ","FILING_STATUS=OR","EQY_CONSOLIDATED=Y","Sort=A","Dates=H","DateFormat=P","Fill=—","Direction=H","UseDPDF=Y")</f>
        <v>#NAME?</v>
      </c>
      <c r="AH389" s="1" t="e">
        <f ca="1">_xll.BDH($C$378,"TOTAL_DEBT_1_YEAR_GROWTH","FQ1 2016","FQ1 2016","Currency=INR","Period=FQ","BEST_FPERIOD_OVERRIDE=FQ","FILING_STATUS=OR","EQY_CONSOLIDATED=Y","Sort=A","Dates=H","DateFormat=P","Fill=—","Direction=H","UseDPDF=Y")</f>
        <v>#NAME?</v>
      </c>
      <c r="AI389" s="1" t="e">
        <f ca="1">_xll.BDH($C$378,"TOTAL_EQUITY_1_YEAR_GROWTH","FQ1 2016","FQ1 2016","Currency=INR","Period=FQ","BEST_FPERIOD_OVERRIDE=FQ","FILING_STATUS=OR","EQY_CONSOLIDATED=Y","Sort=A","Dates=H","DateFormat=P","Fill=—","Direction=H","UseDPDF=Y")</f>
        <v>#NAME?</v>
      </c>
      <c r="AJ389" s="1" t="e">
        <f ca="1">_xll.BDH($C$378,"GROWTH_IN_CAP","FQ1 2016","FQ1 2016","Currency=INR","Period=FQ","BEST_FPERIOD_OVERRIDE=FQ","FILING_STATUS=OR","EQY_CONSOLIDATED=Y","Sort=A","Dates=H","DateFormat=P","Fill=—","Direction=H","UseDPDF=Y")</f>
        <v>#NAME?</v>
      </c>
      <c r="AK389" s="1" t="e">
        <f ca="1">_xll.BDH($C$378,"BVPS_GROWTH","FQ1 2016","FQ1 2016","Currency=INR","Period=FQ","BEST_FPERIOD_OVERRIDE=FQ","FILING_STATUS=OR","EQY_CONSOLIDATED=Y","Sort=A","Dates=H","DateFormat=P","Fill=—","Direction=H","UseDPDF=Y")</f>
        <v>#NAME?</v>
      </c>
      <c r="AL389" s="1" t="e">
        <f ca="1">_xll.BDH($C$378,"CASH_FLOW_GROWTH","FQ1 2016","FQ1 2016","Currency=INR","Period=FQ","BEST_FPERIOD_OVERRIDE=FQ","FILING_STATUS=OR","EQY_CONSOLIDATED=Y","Sort=A","Dates=H","DateFormat=P","Fill=—","Direction=H","UseDPDF=Y")</f>
        <v>#NAME?</v>
      </c>
      <c r="AM389" s="1" t="e">
        <f ca="1">_xll.BDH($C$378,"GEO_GROW_NET_SALES","FQ1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89" s="1" t="e">
        <f ca="1">_xll.BDH($C$378,"GEO_GROW_EBITDA","FQ1 2016","FQ1 2016","Currency=INR","Period=FQ","BEST_FPERIOD_OVERRIDE=FQ","FILING_STATUS=OR","EQY_CONSOLIDATED=Y","FA_ADJUSTED=GAAP","Sort=A","Dates=H","DateFormat=P","Fill=—","Direction=H","UseDPDF=Y")</f>
        <v>#NAME?</v>
      </c>
      <c r="AO389" s="1" t="e">
        <f ca="1">_xll.BDH($C$378,"GEO_GROW_OPER_INC","FQ1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89" s="1" t="e">
        <f ca="1">_xll.BDH($C$378,"NET_INCOME_TO_COMMON_5_YR_GROWTH","FQ1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89" s="1" t="e">
        <f ca="1">_xll.BDH($C$378,"5Y_GEO_GROWTH_DILUTED_EPS","FQ1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89" s="1" t="e">
        <f ca="1">_xll.BDH($C$378,"GEO_GROW_DVD_PER_SH","FQ1 2016","FQ1 2016","Currency=INR","Period=FQ","BEST_FPERIOD_OVERRIDE=FQ","FILING_STATUS=OR","EQY_CONSOLIDATED=Y","Sort=A","Dates=H","DateFormat=P","Fill=—","Direction=H","UseDPDF=Y")</f>
        <v>#NAME?</v>
      </c>
      <c r="AS389" s="1" t="e">
        <f ca="1">_xll.BDH($C$378,"ACCOUNTS_RECEIVABLE_5_YR_GROWTH","FQ1 2016","FQ1 2016","Currency=INR","Period=FQ","BEST_FPERIOD_OVERRIDE=FQ","FILING_STATUS=OR","EQY_CONSOLIDATED=Y","Sort=A","Dates=H","DateFormat=P","Fill=—","Direction=H","UseDPDF=Y")</f>
        <v>#NAME?</v>
      </c>
      <c r="AT389" s="1" t="e">
        <f ca="1">_xll.BDH($C$378,"INVENTORY_5_YEAR_GROWTH","FQ1 2016","FQ1 2016","Currency=INR","Period=FQ","BEST_FPERIOD_OVERRIDE=FQ","FILING_STATUS=OR","EQY_CONSOLIDATED=Y","Sort=A","Dates=H","DateFormat=P","Fill=—","Direction=H","UseDPDF=Y")</f>
        <v>#NAME?</v>
      </c>
      <c r="AU389" s="1" t="e">
        <f ca="1">_xll.BDH($C$378,"NET_FIXED_ASSETS_5_YEAR_GROWTH","FQ1 2016","FQ1 2016","Currency=INR","Period=FQ","BEST_FPERIOD_OVERRIDE=FQ","FILING_STATUS=OR","EQY_CONSOLIDATED=Y","Sort=A","Dates=H","DateFormat=P","Fill=—","Direction=H","UseDPDF=Y")</f>
        <v>#NAME?</v>
      </c>
      <c r="AV389" s="1" t="e">
        <f ca="1">_xll.BDH($C$378,"GEO_GROW_TOT_ASSET","FQ1 2016","FQ1 2016","Currency=INR","Period=FQ","BEST_FPERIOD_OVERRIDE=FQ","FILING_STATUS=OR","EQY_CONSOLIDATED=Y","Sort=A","Dates=H","DateFormat=P","Fill=—","Direction=H","UseDPDF=Y")</f>
        <v>#NAME?</v>
      </c>
      <c r="AW389" s="1" t="e">
        <f ca="1">_xll.BDH($C$378,"MODIFIED_WORKING_CPTL_5YR_GRWTH","FQ1 2016","FQ1 2016","Currency=INR","Period=FQ","BEST_FPERIOD_OVERRIDE=FQ","FILING_STATUS=OR","EQY_CONSOLIDATED=Y","Sort=A","Dates=H","DateFormat=P","Fill=—","Direction=H","UseDPDF=Y")</f>
        <v>#NAME?</v>
      </c>
      <c r="AX389" s="1" t="e">
        <f ca="1">_xll.BDH($C$378,"WORKING_CAPITAL_5_YEAR_GROWTH","FQ1 2016","FQ1 2016","Currency=INR","Period=FQ","BEST_FPERIOD_OVERRIDE=FQ","FILING_STATUS=OR","EQY_CONSOLIDATED=Y","Sort=A","Dates=H","DateFormat=P","Fill=—","Direction=H","UseDPDF=Y")</f>
        <v>#NAME?</v>
      </c>
      <c r="AY389" s="1" t="e">
        <f ca="1">_xll.BDH($C$378,"ACCOUNTS_PAYABLE_5_YEAR_GROWTH","FQ1 2016","FQ1 2016","Currency=INR","Period=FQ","BEST_FPERIOD_OVERRIDE=FQ","FILING_STATUS=OR","EQY_CONSOLIDATED=Y","Sort=A","Dates=H","DateFormat=P","Fill=—","Direction=H","UseDPDF=Y")</f>
        <v>#NAME?</v>
      </c>
      <c r="AZ389" s="1" t="e">
        <f ca="1">_xll.BDH($C$378,"SHORT_TERM_DEBT_5_YEAR_GROWTH","FQ1 2016","FQ1 2016","Currency=INR","Period=FQ","BEST_FPERIOD_OVERRIDE=FQ","FILING_STATUS=OR","EQY_CONSOLIDATED=Y","Sort=A","Dates=H","DateFormat=P","Fill=—","Direction=H","UseDPDF=Y")</f>
        <v>#NAME?</v>
      </c>
      <c r="BA389" s="1" t="e">
        <f ca="1">_xll.BDH($C$378,"TOTAL_DEBT_5_YEAR_GROWTH","FQ1 2016","FQ1 2016","Currency=INR","Period=FQ","BEST_FPERIOD_OVERRIDE=FQ","FILING_STATUS=OR","EQY_CONSOLIDATED=Y","Sort=A","Dates=H","DateFormat=P","Fill=—","Direction=H","UseDPDF=Y")</f>
        <v>#NAME?</v>
      </c>
      <c r="BB389" s="1" t="e">
        <f ca="1">_xll.BDH($C$378,"GEO_GROW_TOT_SHRHLDR_EQY","FQ1 2016","FQ1 2016","Currency=INR","Period=FQ","BEST_FPERIOD_OVERRIDE=FQ","FILING_STATUS=OR","EQY_CONSOLIDATED=Y","Sort=A","Dates=H","DateFormat=P","Fill=—","Direction=H","UseDPDF=Y")</f>
        <v>#NAME?</v>
      </c>
      <c r="BC389" s="1" t="e">
        <f ca="1">_xll.BDH($C$378,"TOTAL_CAPITAL_5_YEAR_GROWTH","FQ1 2016","FQ1 2016","Currency=INR","Period=FQ","BEST_FPERIOD_OVERRIDE=FQ","FILING_STATUS=OR","EQY_CONSOLIDATED=Y","Sort=A","Dates=H","DateFormat=P","Fill=—","Direction=H","UseDPDF=Y")</f>
        <v>#NAME?</v>
      </c>
      <c r="BD389" s="1" t="e">
        <f ca="1">_xll.BDH($C$378,"GEO_GROW_BOOK_VAL","FQ1 2016","FQ1 2016","Currency=INR","Period=FQ","BEST_FPERIOD_OVERRIDE=FQ","FILING_STATUS=OR","EQY_CONSOLIDATED=Y","Sort=A","Dates=H","DateFormat=P","Fill=—","Direction=H","UseDPDF=Y")</f>
        <v>#NAME?</v>
      </c>
      <c r="BE389" s="1" t="e">
        <f ca="1">_xll.BDH($C$378,"GEO_GROW_CASH_OPER_ACT","FQ1 2016","FQ1 2016","Currency=INR","Period=FQ","BEST_FPERIOD_OVERRIDE=FQ","FILING_STATUS=OR","EQY_CONSOLIDATED=Y","Sort=A","Dates=H","DateFormat=P","Fill=—","Direction=H","UseDPDF=Y")</f>
        <v>#NAME?</v>
      </c>
      <c r="BF389" s="1" t="e">
        <f ca="1">_xll.BDH($C$378,"REVENUE_SEQUENTIAL_GROWTH","FQ1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89" s="1" t="e">
        <f ca="1">_xll.BDH($C$378,"EBITDA_SEQUENTIAL_GROWTH","FQ1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89" s="1" t="e">
        <f ca="1">_xll.BDH($C$378,"OPERATING_INCOME_SEQ_GROWTH","FQ1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89" s="1" t="e">
        <f ca="1">_xll.BDH($C$378,"NET_INCOME_TO_COMMON_SEQ_GROWTH","FQ1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89" s="1" t="e">
        <f ca="1">_xll.BDH($C$378,"EPS_DILUTED_SEQUENTIAL_GROWTH","FQ1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89" s="1" t="e">
        <f ca="1">_xll.BDH($C$378,"DPS_SEQUENTIAL_GROWTH","FQ1 2016","FQ1 2016","Currency=INR","Period=FQ","BEST_FPERIOD_OVERRIDE=FQ","FILING_STATUS=OR","EQY_CONSOLIDATED=Y","Sort=A","Dates=H","DateFormat=P","Fill=—","Direction=H","UseDPDF=Y")</f>
        <v>#NAME?</v>
      </c>
      <c r="BL389" s="1" t="e">
        <f ca="1">_xll.BDH($C$378,"ACCOUNTS_RECEIVABLE_SEQ_GROWTH","FQ1 2016","FQ1 2016","Currency=INR","Period=FQ","BEST_FPERIOD_OVERRIDE=FQ","FILING_STATUS=OR","EQY_CONSOLIDATED=Y","Sort=A","Dates=H","DateFormat=P","Fill=—","Direction=H","UseDPDF=Y")</f>
        <v>#NAME?</v>
      </c>
      <c r="BM389" s="1" t="e">
        <f ca="1">_xll.BDH($C$378,"INVENTORY_SEQUENTIAL_GROWTH","FQ1 2016","FQ1 2016","Currency=INR","Period=FQ","BEST_FPERIOD_OVERRIDE=FQ","FILING_STATUS=OR","EQY_CONSOLIDATED=Y","Sort=A","Dates=H","DateFormat=P","Fill=—","Direction=H","UseDPDF=Y")</f>
        <v>#NAME?</v>
      </c>
      <c r="BN389" s="1" t="e">
        <f ca="1">_xll.BDH($C$378,"FIXED_ASSETS_SEQUENTIAL_GROWTH","FQ1 2016","FQ1 2016","Currency=INR","Period=FQ","BEST_FPERIOD_OVERRIDE=FQ","FILING_STATUS=OR","EQY_CONSOLIDATED=Y","Sort=A","Dates=H","DateFormat=P","Fill=—","Direction=H","UseDPDF=Y")</f>
        <v>#NAME?</v>
      </c>
      <c r="BO389" s="1" t="e">
        <f ca="1">_xll.BDH($C$378,"TOTAL_ASSETS_SEQUENTIAL_GROWTH","FQ1 2016","FQ1 2016","Currency=INR","Period=FQ","BEST_FPERIOD_OVERRIDE=FQ","FILING_STATUS=OR","EQY_CONSOLIDATED=Y","Sort=A","Dates=H","DateFormat=P","Fill=—","Direction=H","UseDPDF=Y")</f>
        <v>#NAME?</v>
      </c>
      <c r="BP389" s="1" t="e">
        <f ca="1">_xll.BDH($C$378,"MODIFIED_WORKING_CPTL_SEQ_GRWTH","FQ1 2016","FQ1 2016","Currency=INR","Period=FQ","BEST_FPERIOD_OVERRIDE=FQ","FILING_STATUS=OR","EQY_CONSOLIDATED=Y","Sort=A","Dates=H","DateFormat=P","Fill=—","Direction=H","UseDPDF=Y")</f>
        <v>#NAME?</v>
      </c>
      <c r="BQ389" s="1" t="e">
        <f ca="1">_xll.BDH($C$378,"WORKING_CAPITAL_SEQ_GROWTH","FQ1 2016","FQ1 2016","Currency=INR","Period=FQ","BEST_FPERIOD_OVERRIDE=FQ","FILING_STATUS=OR","EQY_CONSOLIDATED=Y","Sort=A","Dates=H","DateFormat=P","Fill=—","Direction=H","UseDPDF=Y")</f>
        <v>#NAME?</v>
      </c>
      <c r="BR389" s="1" t="e">
        <f ca="1">_xll.BDH($C$378,"ACCOUNTS_PAYABLE_SEQ_GROWTH","FQ1 2016","FQ1 2016","Currency=INR","Period=FQ","BEST_FPERIOD_OVERRIDE=FQ","FILING_STATUS=OR","EQY_CONSOLIDATED=Y","Sort=A","Dates=H","DateFormat=P","Fill=—","Direction=H","UseDPDF=Y")</f>
        <v>#NAME?</v>
      </c>
      <c r="BS389" s="1" t="e">
        <f ca="1">_xll.BDH($C$378,"ST_DEBT_SEQUENTIAL_GROWTH","FQ1 2016","FQ1 2016","Currency=INR","Period=FQ","BEST_FPERIOD_OVERRIDE=FQ","FILING_STATUS=OR","EQY_CONSOLIDATED=Y","Sort=A","Dates=H","DateFormat=P","Fill=—","Direction=H","UseDPDF=Y")</f>
        <v>#NAME?</v>
      </c>
      <c r="BT389" s="1" t="e">
        <f ca="1">_xll.BDH($C$378,"TOTAL_DEBT_SEQUENTIAL_GROWTH","FQ1 2016","FQ1 2016","Currency=INR","Period=FQ","BEST_FPERIOD_OVERRIDE=FQ","FILING_STATUS=OR","EQY_CONSOLIDATED=Y","Sort=A","Dates=H","DateFormat=P","Fill=—","Direction=H","UseDPDF=Y")</f>
        <v>#NAME?</v>
      </c>
      <c r="BU389" s="1" t="e">
        <f ca="1">_xll.BDH($C$378,"TOTAL_EQUITY_SEQUENTIAL_GROWTH","FQ1 2016","FQ1 2016","Currency=INR","Period=FQ","BEST_FPERIOD_OVERRIDE=FQ","FILING_STATUS=OR","EQY_CONSOLIDATED=Y","Sort=A","Dates=H","DateFormat=P","Fill=—","Direction=H","UseDPDF=Y")</f>
        <v>#NAME?</v>
      </c>
      <c r="BV389" s="1" t="e">
        <f ca="1">_xll.BDH($C$378,"TOTAL_CAPITAL_SEQUENTIAL_GROWTH","FQ1 2016","FQ1 2016","Currency=INR","Period=FQ","BEST_FPERIOD_OVERRIDE=FQ","FILING_STATUS=OR","EQY_CONSOLIDATED=Y","Sort=A","Dates=H","DateFormat=P","Fill=—","Direction=H","UseDPDF=Y")</f>
        <v>#NAME?</v>
      </c>
      <c r="BW389" s="1" t="e">
        <f ca="1">_xll.BDH($C$378,"BPS_SEQUENTIAL_GROWTH","FQ1 2016","FQ1 2016","Currency=INR","Period=FQ","BEST_FPERIOD_OVERRIDE=FQ","FILING_STATUS=OR","EQY_CONSOLIDATED=Y","Sort=A","Dates=H","DateFormat=P","Fill=—","Direction=H","UseDPDF=Y")</f>
        <v>#NAME?</v>
      </c>
      <c r="BX389" s="1" t="e">
        <f ca="1">_xll.BDH($C$378,"CFO_SEQUENTIAL_GROWTH","FQ1 2016","FQ1 2016","Currency=INR","Period=FQ","BEST_FPERIOD_OVERRIDE=FQ","FILING_STATUS=OR","EQY_CONSOLIDATED=Y","Sort=A","Dates=H","DateFormat=P","Fill=—","Direction=H","UseDPDF=Y")</f>
        <v>#NAME?</v>
      </c>
      <c r="BY389" s="2" t="e">
        <f ca="1">_xll.BDH($C$378,"SHORT_AND_LONG_TERM_DEBT","FQ1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89" s="2" t="e">
        <f ca="1">_xll.BDH($C$378,"BS_ST_BORROW","FQ1 2016","FQ1 2016","Currency=INR","Period=FQ","BEST_FPERIOD_OVERRIDE=FQ","FILING_STATUS=OR","EQY_CONSOLIDATED=Y","SCALING_FORMAT=MLN","Sort=A","Dates=H","DateFormat=P","Fill=—","Direction=H","UseDPDF=Y")</f>
        <v>#NAME?</v>
      </c>
      <c r="CA389" s="2" t="e">
        <f ca="1">_xll.BDH($C$378,"BS_LT_BORROW","FQ1 2016","FQ1 2016","Currency=INR","Period=FQ","BEST_FPERIOD_OVERRIDE=FQ","FILING_STATUS=OR","EQY_CONSOLIDATED=Y","SCALING_FORMAT=MLN","Sort=A","Dates=H","DateFormat=P","Fill=—","Direction=H","UseDPDF=Y")</f>
        <v>#NAME?</v>
      </c>
      <c r="CB389" s="1" t="e">
        <f ca="1">_xll.BDH($C$378,"TOT_DEBT_TO_EBITDA","FQ1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89" s="1" t="e">
        <f ca="1">_xll.BDH($C$378,"NET_DEBT_TO_EBITDA","FQ1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89" s="1" t="e">
        <f ca="1">_xll.BDH($C$378,"TOTAL_DEBT_TO_EBIT","FQ1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89" s="1" t="e">
        <f ca="1">_xll.BDH($C$378,"NET_DEBT_TO_EBIT","FQ1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389" s="1" t="e">
        <f ca="1">_xll.BDH($C$378,"EBITDA_TO_INTEREST_EXPN","FQ1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89" s="1" t="e">
        <f ca="1">_xll.BDH($C$378,"COM_EQY_TO_TOT_ASSET","FQ1 2016","FQ1 2016","Currency=INR","Period=FQ","BEST_FPERIOD_OVERRIDE=FQ","FILING_STATUS=OR","EQY_CONSOLIDATED=Y","Sort=A","Dates=H","DateFormat=P","Fill=—","Direction=H","UseDPDF=Y")</f>
        <v>#NAME?</v>
      </c>
      <c r="CH389" s="1" t="e">
        <f ca="1">_xll.BDH($C$378,"LT_DEBT_TO_TOT_EQY","FQ1 2016","FQ1 2016","Currency=INR","Period=FQ","BEST_FPERIOD_OVERRIDE=FQ","FILING_STATUS=OR","EQY_CONSOLIDATED=Y","Sort=A","Dates=H","DateFormat=P","Fill=—","Direction=H","UseDPDF=Y")</f>
        <v>#NAME?</v>
      </c>
      <c r="CI389" s="1" t="e">
        <f ca="1">_xll.BDH($C$378,"LT_DEBT_TO_TOT_CAP","FQ1 2016","FQ1 2016","Currency=INR","Period=FQ","BEST_FPERIOD_OVERRIDE=FQ","FILING_STATUS=OR","EQY_CONSOLIDATED=Y","Sort=A","Dates=H","DateFormat=P","Fill=—","Direction=H","UseDPDF=Y")</f>
        <v>#NAME?</v>
      </c>
      <c r="CJ389" s="1" t="e">
        <f ca="1">_xll.BDH($C$378,"LT_DEBT_TO_TOT_ASSET","FQ1 2016","FQ1 2016","Currency=INR","Period=FQ","BEST_FPERIOD_OVERRIDE=FQ","FILING_STATUS=OR","EQY_CONSOLIDATED=Y","Sort=A","Dates=H","DateFormat=P","Fill=—","Direction=H","UseDPDF=Y")</f>
        <v>#NAME?</v>
      </c>
      <c r="CK389" s="1" t="e">
        <f ca="1">_xll.BDH($C$378,"TOT_DEBT_TO_TOT_EQY","FQ1 2016","FQ1 2016","Currency=INR","Period=FQ","BEST_FPERIOD_OVERRIDE=FQ","FILING_STATUS=OR","EQY_CONSOLIDATED=Y","Sort=A","Dates=H","DateFormat=P","Fill=—","Direction=H","UseDPDF=Y")</f>
        <v>#NAME?</v>
      </c>
      <c r="CL389" s="1" t="e">
        <f ca="1">_xll.BDH($C$378,"TOT_DEBT_TO_TOT_CAP","FQ1 2016","FQ1 2016","Currency=INR","Period=FQ","BEST_FPERIOD_OVERRIDE=FQ","FILING_STATUS=OR","EQY_CONSOLIDATED=Y","Sort=A","Dates=H","DateFormat=P","Fill=—","Direction=H","UseDPDF=Y")</f>
        <v>#NAME?</v>
      </c>
      <c r="CM389" s="1" t="e">
        <f ca="1">_xll.BDH($C$378,"TOT_DEBT_TO_TOT_ASSET","FQ1 2016","FQ1 2016","Currency=INR","Period=FQ","BEST_FPERIOD_OVERRIDE=FQ","FILING_STATUS=OR","EQY_CONSOLIDATED=Y","Sort=A","Dates=H","DateFormat=P","Fill=—","Direction=H","UseDPDF=Y")</f>
        <v>#NAME?</v>
      </c>
      <c r="CN389" s="1" t="e">
        <f ca="1">_xll.BDH($C$378,"NET_DEBT_TO_SHRHLDR_EQTY","FQ1 2016","FQ1 2016","Currency=INR","Period=FQ","BEST_FPERIOD_OVERRIDE=FQ","FILING_STATUS=OR","EQY_CONSOLIDATED=Y","Sort=A","Dates=H","DateFormat=P","Fill=—","Direction=H","UseDPDF=Y")</f>
        <v>#NAME?</v>
      </c>
      <c r="CO389" s="1" t="e">
        <f ca="1">_xll.BDH($C$378,"NET_DEBT_%_CAPITAL","FQ1 2016","FQ1 2016","Currency=INR","Period=FQ","BEST_FPERIOD_OVERRIDE=FQ","FILING_STATUS=OR","EQY_CONSOLIDATED=Y","Sort=A","Dates=H","DateFormat=P","Fill=—","Direction=H","UseDPDF=Y")</f>
        <v>#NAME?</v>
      </c>
      <c r="CP389" s="2" t="e">
        <f ca="1">_xll.BDH($C$378,"EBITDA","FQ1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89" s="2" t="e">
        <f ca="1">_xll.BDH($C$378,"EBITDA_AFTER_CAPEX","FQ1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89" s="2" t="e">
        <f ca="1">_xll.BDH($C$378,"IS_OPER_INC","FQ1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89" s="1" t="e">
        <f ca="1">_xll.BDH($C$378,"CASH_RATIO","FQ1 2016","FQ1 2016","Currency=INR","Period=FQ","BEST_FPERIOD_OVERRIDE=FQ","FILING_STATUS=OR","EQY_CONSOLIDATED=Y","Sort=A","Dates=H","DateFormat=P","Fill=—","Direction=H","UseDPDF=Y")</f>
        <v>#NAME?</v>
      </c>
      <c r="CT389" s="1" t="e">
        <f ca="1">_xll.BDH($C$378,"CUR_RATIO","FQ1 2016","FQ1 2016","Currency=INR","Period=FQ","BEST_FPERIOD_OVERRIDE=FQ","FILING_STATUS=OR","EQY_CONSOLIDATED=Y","Sort=A","Dates=H","DateFormat=P","Fill=—","Direction=H","UseDPDF=Y")</f>
        <v>#NAME?</v>
      </c>
      <c r="CU389" s="1" t="e">
        <f ca="1">_xll.BDH($C$378,"QUICK_RATIO","FQ1 2016","FQ1 2016","Currency=INR","Period=FQ","BEST_FPERIOD_OVERRIDE=FQ","FILING_STATUS=OR","EQY_CONSOLIDATED=Y","Sort=A","Dates=H","DateFormat=P","Fill=—","Direction=H","UseDPDF=Y")</f>
        <v>#NAME?</v>
      </c>
      <c r="CV389" s="1" t="e">
        <f ca="1">_xll.BDH($C$378,"ALTMAN_Z_SCORE","FQ1 2016","FQ1 2016","Currency=INR","Period=FQ","BEST_FPERIOD_OVERRIDE=FQ","FILING_STATUS=OR","EQY_CONSOLIDATED=Y","Sort=A","Dates=H","DateFormat=P","Fill=—","Direction=H","UseDPDF=Y")</f>
        <v>#NAME?</v>
      </c>
      <c r="CW389" s="3" t="e">
        <f ca="1">_xll.BDH($C$378,"ACCT_RCV_TURN","FQ1 2016","FQ1 2016","Currency=INR","Period=FQ","BEST_FPERIOD_OVERRIDE=FQ","FILING_STATUS=OR","EQY_CONSOLIDATED=Y","FA_ADJUSTED=GAAP","Sort=A","Dates=H","DateFormat=P","Fill=—","Direction=H","UseDPDF=Y")</f>
        <v>#NAME?</v>
      </c>
      <c r="CX389" s="1" t="e">
        <f ca="1">_xll.BDH($C$378,"ACCT_RCV_DAYS","FQ1 2016","FQ1 2016","Currency=INR","Period=FQ","BEST_FPERIOD_OVERRIDE=FQ","FILING_STATUS=OR","EQY_CONSOLIDATED=Y","FA_ADJUSTED=GAAP","Sort=A","Dates=H","DateFormat=P","Fill=—","Direction=H","UseDPDF=Y")</f>
        <v>#NAME?</v>
      </c>
      <c r="CY389" s="3" t="e">
        <f ca="1">_xll.BDH($C$378,"INVENT_TURN","FQ1 2016","FQ1 2016","Currency=INR","Period=FQ","BEST_FPERIOD_OVERRIDE=FQ","FILING_STATUS=OR","EQY_CONSOLIDATED=Y","FA_ADJUSTED=GAAP","Sort=A","Dates=H","DateFormat=P","Fill=—","Direction=H","UseDPDF=Y")</f>
        <v>#NAME?</v>
      </c>
      <c r="CZ389" s="1" t="e">
        <f ca="1">_xll.BDH($C$378,"INVENT_DAYS","FQ1 2016","FQ1 2016","Currency=INR","Period=FQ","BEST_FPERIOD_OVERRIDE=FQ","FILING_STATUS=OR","EQY_CONSOLIDATED=Y","FA_ADJUSTED=GAAP","Sort=A","Dates=H","DateFormat=P","Fill=—","Direction=H","UseDPDF=Y")</f>
        <v>#NAME?</v>
      </c>
      <c r="DA389" s="3" t="e">
        <f ca="1">_xll.BDH($C$378,"ACCOUNTS_PAYABLE_TURNOVER","FQ1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89" s="1" t="e">
        <f ca="1">_xll.BDH($C$378,"ACCOUNTS_PAYABLE_TURNOVER_DAYS","FQ1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89" s="3" t="e">
        <f ca="1">_xll.BDH($C$378,"CASH_CONVERSION_CYCLE","FQ1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89" s="3" t="e">
        <f ca="1">_xll.BDH($C$378,"INV_TO_CASH_DAYS","FQ1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389" s="4" t="e">
        <f ca="1">_xll.BDH($C$378,"BS_INVENTORIES","FQ1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389" s="2" t="e">
        <f ca="1">_xll.BDH($C$378,"INVTRY_RAW_MATERIALS","FQ1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89" s="2" t="e">
        <f ca="1">_xll.BDH($C$378,"INVTRY_IN_PROGRESS","FQ1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89" s="2" t="e">
        <f ca="1">_xll.BDH($C$378,"INVTRY_FINISHED_GOODS","FQ1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89" s="2" t="e">
        <f ca="1">_xll.BDH($C$378,"BS_OTHER_INV","FQ1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90" spans="1:113" x14ac:dyDescent="0.3">
      <c r="A390" s="6"/>
      <c r="B390" s="6"/>
      <c r="C390" s="6"/>
      <c r="D390" s="6"/>
      <c r="E390" t="s">
        <v>5</v>
      </c>
      <c r="F390" t="e">
        <f ca="1">_xll.BDH($C$378,"RETURN_COM_EQY","FQ2 2016","FQ2 2016","Currency=INR","Period=FQ","BEST_FPERIOD_OVERRIDE=FQ","FILING_STATUS=OR","EQY_CONSOLIDATED=Y","FA_ADJUSTED=GAAP","Sort=A","Dates=H","DateFormat=P","Fill=—","Direction=H","UseDPDF=Y")</f>
        <v>#NAME?</v>
      </c>
      <c r="G390" t="e">
        <f ca="1">_xll.BDH($C$378,"RETURN_ON_ASSET","FQ2 2016","FQ2 2016","Currency=INR","Period=FQ","BEST_FPERIOD_OVERRIDE=FQ","FILING_STATUS=OR","EQY_CONSOLIDATED=Y","FA_ADJUSTED=GAAP","Sort=A","Dates=H","DateFormat=P","Fill=—","Direction=H","UseDPDF=Y")</f>
        <v>#NAME?</v>
      </c>
      <c r="H390" t="e">
        <f ca="1">_xll.BDH($C$378,"RETURN_ON_CAP","FQ2 2016","FQ2 2016","Currency=INR","Period=FQ","BEST_FPERIOD_OVERRIDE=FQ","FILING_STATUS=OR","EQY_CONSOLIDATED=Y","FA_ADJUSTED=GAAP","Sort=A","Dates=H","DateFormat=P","Fill=—","Direction=H","UseDPDF=Y")</f>
        <v>#NAME?</v>
      </c>
      <c r="I390" t="e">
        <f ca="1">_xll.BDH($C$378,"RETURN_ON_INV_CAPITAL","FQ2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90" t="e">
        <f ca="1">_xll.BDH($C$378,"EBITDA_TO_REVENUE","FQ2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390" t="e">
        <f ca="1">_xll.BDH($C$378,"OPER_MARGIN","FQ2 2016","FQ2 2016","Currency=INR","Period=FQ","BEST_FPERIOD_OVERRIDE=FQ","FILING_STATUS=OR","EQY_CONSOLIDATED=Y","FA_ADJUSTED=GAAP","Sort=A","Dates=H","DateFormat=P","Fill=—","Direction=H","UseDPDF=Y")</f>
        <v>#NAME?</v>
      </c>
      <c r="L390" t="e">
        <f ca="1">_xll.BDH($C$378,"INCREMENTAL_OPERATING_MARGIN","FQ2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90" t="e">
        <f ca="1">_xll.BDH($C$378,"PRETAX_INC_TO_NET_SALES","FQ2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90" t="e">
        <f ca="1">_xll.BDH($C$378,"INC_BEF_XO_ITEMS_TO_NET_SALES","FQ2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90" t="e">
        <f ca="1">_xll.BDH($C$378,"PROF_MARGIN","FQ2 2016","FQ2 2016","Currency=INR","Period=FQ","BEST_FPERIOD_OVERRIDE=FQ","FILING_STATUS=OR","EQY_CONSOLIDATED=Y","FA_ADJUSTED=GAAP","Sort=A","Dates=H","DateFormat=P","Fill=—","Direction=H","UseDPDF=Y")</f>
        <v>#NAME?</v>
      </c>
      <c r="P390" t="e">
        <f ca="1">_xll.BDH($C$378,"NET_INCOME_TO_COMMON_MARGIN","FQ2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90" t="e">
        <f ca="1">_xll.BDH($C$378,"EFF_TAX_RATE","FQ2 2016","FQ2 2016","Currency=INR","Period=FQ","BEST_FPERIOD_OVERRIDE=FQ","FILING_STATUS=OR","EQY_CONSOLIDATED=Y","FA_ADJUSTED=GAAP","Sort=A","Dates=H","DateFormat=P","Fill=—","Direction=H","UseDPDF=Y")</f>
        <v>#NAME?</v>
      </c>
      <c r="R390" t="e">
        <f ca="1">_xll.BDH($C$378,"DVD_PAYOUT_RATIO","FQ2 2016","FQ2 2016","Currency=INR","Period=FQ","BEST_FPERIOD_OVERRIDE=FQ","FILING_STATUS=OR","EQY_CONSOLIDATED=Y","FA_ADJUSTED=GAAP","Sort=A","Dates=H","DateFormat=P","Fill=—","Direction=H","UseDPDF=Y")</f>
        <v>#NAME?</v>
      </c>
      <c r="S390" t="e">
        <f ca="1">_xll.BDH($C$378,"SUSTAIN_GROWTH_RT","FQ2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390" s="1" t="e">
        <f ca="1">_xll.BDH($C$378,"SALES_GROWTH","FQ2 2016","FQ2 2016","Currency=INR","Period=FQ","BEST_FPERIOD_OVERRIDE=FQ","FILING_STATUS=OR","EQY_CONSOLIDATED=Y","FA_ADJUSTED=GAAP","Sort=A","Dates=H","DateFormat=P","Fill=—","Direction=H","UseDPDF=Y")</f>
        <v>#NAME?</v>
      </c>
      <c r="U390" s="1" t="e">
        <f ca="1">_xll.BDH($C$378,"EBITDA_GROWTH","FQ2 2016","FQ2 2016","Currency=INR","Period=FQ","BEST_FPERIOD_OVERRIDE=FQ","FILING_STATUS=OR","EQY_CONSOLIDATED=Y","FA_ADJUSTED=GAAP","Sort=A","Dates=H","DateFormat=P","Fill=—","Direction=H","UseDPDF=Y")</f>
        <v>#NAME?</v>
      </c>
      <c r="V390" s="1" t="e">
        <f ca="1">_xll.BDH($C$378,"OPER_INC_GROWTH","FQ2 2016","FQ2 2016","Currency=INR","Period=FQ","BEST_FPERIOD_OVERRIDE=FQ","FILING_STATUS=OR","EQY_CONSOLIDATED=Y","FA_ADJUSTED=GAAP","Sort=A","Dates=H","DateFormat=P","Fill=—","Direction=H","UseDPDF=Y")</f>
        <v>#NAME?</v>
      </c>
      <c r="W390" s="1" t="e">
        <f ca="1">_xll.BDH($C$378,"EARN_FOR_COM_GROWTH","FQ2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90" s="1" t="e">
        <f ca="1">_xll.BDH($C$378,"DILUTED_EPS_AFT_XO_ITEMS_GROWTH","FQ2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90" s="1" t="e">
        <f ca="1">_xll.BDH($C$378,"DIVIDEND_PER_SHARE_1_YEAR_GROWTH","FQ2 2016","FQ2 2016","Currency=INR","Period=FQ","BEST_FPERIOD_OVERRIDE=FQ","FILING_STATUS=OR","EQY_CONSOLIDATED=Y","Sort=A","Dates=H","DateFormat=P","Fill=—","Direction=H","UseDPDF=Y")</f>
        <v>#NAME?</v>
      </c>
      <c r="Z390" s="1" t="e">
        <f ca="1">_xll.BDH($C$378,"ACCOUNTS_RECEIVABLE_GROWTH","FQ2 2016","FQ2 2016","Currency=INR","Period=FQ","BEST_FPERIOD_OVERRIDE=FQ","FILING_STATUS=OR","EQY_CONSOLIDATED=Y","Sort=A","Dates=H","DateFormat=P","Fill=—","Direction=H","UseDPDF=Y")</f>
        <v>#NAME?</v>
      </c>
      <c r="AA390" s="1" t="e">
        <f ca="1">_xll.BDH($C$378,"INVENTORY_GROWTH","FQ2 2016","FQ2 2016","Currency=INR","Period=FQ","BEST_FPERIOD_OVERRIDE=FQ","FILING_STATUS=OR","EQY_CONSOLIDATED=Y","Sort=A","Dates=H","DateFormat=P","Fill=—","Direction=H","UseDPDF=Y")</f>
        <v>#NAME?</v>
      </c>
      <c r="AB390" s="1" t="e">
        <f ca="1">_xll.BDH($C$378,"NET_FIXED_ASSETS_1_YEAR_GROWTH","FQ2 2016","FQ2 2016","Currency=INR","Period=FQ","BEST_FPERIOD_OVERRIDE=FQ","FILING_STATUS=OR","EQY_CONSOLIDATED=Y","Sort=A","Dates=H","DateFormat=P","Fill=—","Direction=H","UseDPDF=Y")</f>
        <v>#NAME?</v>
      </c>
      <c r="AC390" s="1" t="e">
        <f ca="1">_xll.BDH($C$378,"ASSET_GROWTH","FQ2 2016","FQ2 2016","Currency=INR","Period=FQ","BEST_FPERIOD_OVERRIDE=FQ","FILING_STATUS=OR","EQY_CONSOLIDATED=Y","Sort=A","Dates=H","DateFormat=P","Fill=—","Direction=H","UseDPDF=Y")</f>
        <v>#NAME?</v>
      </c>
      <c r="AD390" s="1" t="e">
        <f ca="1">_xll.BDH($C$378,"MODIFIED_WORK_CAP_GROWTH","FQ2 2016","FQ2 2016","Currency=INR","Period=FQ","BEST_FPERIOD_OVERRIDE=FQ","FILING_STATUS=OR","EQY_CONSOLIDATED=Y","Sort=A","Dates=H","DateFormat=P","Fill=—","Direction=H","UseDPDF=Y")</f>
        <v>#NAME?</v>
      </c>
      <c r="AE390" s="1" t="e">
        <f ca="1">_xll.BDH($C$378,"WORK_CAP_GROWTH","FQ2 2016","FQ2 2016","Currency=INR","Period=FQ","BEST_FPERIOD_OVERRIDE=FQ","FILING_STATUS=OR","EQY_CONSOLIDATED=Y","Sort=A","Dates=H","DateFormat=P","Fill=—","Direction=H","UseDPDF=Y")</f>
        <v>#NAME?</v>
      </c>
      <c r="AF390" s="1" t="e">
        <f ca="1">_xll.BDH($C$378,"ACCOUNTS_PAYABLE_GROWTH_1YR","FQ2 2016","FQ2 2016","Currency=INR","Period=FQ","BEST_FPERIOD_OVERRIDE=FQ","FILING_STATUS=OR","EQY_CONSOLIDATED=Y","Sort=A","Dates=H","DateFormat=P","Fill=—","Direction=H","UseDPDF=Y")</f>
        <v>#NAME?</v>
      </c>
      <c r="AG390" s="1" t="e">
        <f ca="1">_xll.BDH($C$378,"SHORT_TERM_DEBT_1_YEAR_GROWTH","FQ2 2016","FQ2 2016","Currency=INR","Period=FQ","BEST_FPERIOD_OVERRIDE=FQ","FILING_STATUS=OR","EQY_CONSOLIDATED=Y","Sort=A","Dates=H","DateFormat=P","Fill=—","Direction=H","UseDPDF=Y")</f>
        <v>#NAME?</v>
      </c>
      <c r="AH390" s="1" t="e">
        <f ca="1">_xll.BDH($C$378,"TOTAL_DEBT_1_YEAR_GROWTH","FQ2 2016","FQ2 2016","Currency=INR","Period=FQ","BEST_FPERIOD_OVERRIDE=FQ","FILING_STATUS=OR","EQY_CONSOLIDATED=Y","Sort=A","Dates=H","DateFormat=P","Fill=—","Direction=H","UseDPDF=Y")</f>
        <v>#NAME?</v>
      </c>
      <c r="AI390" s="1" t="e">
        <f ca="1">_xll.BDH($C$378,"TOTAL_EQUITY_1_YEAR_GROWTH","FQ2 2016","FQ2 2016","Currency=INR","Period=FQ","BEST_FPERIOD_OVERRIDE=FQ","FILING_STATUS=OR","EQY_CONSOLIDATED=Y","Sort=A","Dates=H","DateFormat=P","Fill=—","Direction=H","UseDPDF=Y")</f>
        <v>#NAME?</v>
      </c>
      <c r="AJ390" s="1" t="e">
        <f ca="1">_xll.BDH($C$378,"GROWTH_IN_CAP","FQ2 2016","FQ2 2016","Currency=INR","Period=FQ","BEST_FPERIOD_OVERRIDE=FQ","FILING_STATUS=OR","EQY_CONSOLIDATED=Y","Sort=A","Dates=H","DateFormat=P","Fill=—","Direction=H","UseDPDF=Y")</f>
        <v>#NAME?</v>
      </c>
      <c r="AK390" s="1" t="e">
        <f ca="1">_xll.BDH($C$378,"BVPS_GROWTH","FQ2 2016","FQ2 2016","Currency=INR","Period=FQ","BEST_FPERIOD_OVERRIDE=FQ","FILING_STATUS=OR","EQY_CONSOLIDATED=Y","Sort=A","Dates=H","DateFormat=P","Fill=—","Direction=H","UseDPDF=Y")</f>
        <v>#NAME?</v>
      </c>
      <c r="AL390" s="1" t="e">
        <f ca="1">_xll.BDH($C$378,"CASH_FLOW_GROWTH","FQ2 2016","FQ2 2016","Currency=INR","Period=FQ","BEST_FPERIOD_OVERRIDE=FQ","FILING_STATUS=OR","EQY_CONSOLIDATED=Y","Sort=A","Dates=H","DateFormat=P","Fill=—","Direction=H","UseDPDF=Y")</f>
        <v>#NAME?</v>
      </c>
      <c r="AM390" s="1" t="e">
        <f ca="1">_xll.BDH($C$378,"GEO_GROW_NET_SALES","FQ2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90" s="1" t="e">
        <f ca="1">_xll.BDH($C$378,"GEO_GROW_EBITDA","FQ2 2016","FQ2 2016","Currency=INR","Period=FQ","BEST_FPERIOD_OVERRIDE=FQ","FILING_STATUS=OR","EQY_CONSOLIDATED=Y","FA_ADJUSTED=GAAP","Sort=A","Dates=H","DateFormat=P","Fill=—","Direction=H","UseDPDF=Y")</f>
        <v>#NAME?</v>
      </c>
      <c r="AO390" s="1" t="e">
        <f ca="1">_xll.BDH($C$378,"GEO_GROW_OPER_INC","FQ2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90" s="1" t="e">
        <f ca="1">_xll.BDH($C$378,"NET_INCOME_TO_COMMON_5_YR_GROWTH","FQ2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90" s="1" t="e">
        <f ca="1">_xll.BDH($C$378,"5Y_GEO_GROWTH_DILUTED_EPS","FQ2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90" s="1" t="e">
        <f ca="1">_xll.BDH($C$378,"GEO_GROW_DVD_PER_SH","FQ2 2016","FQ2 2016","Currency=INR","Period=FQ","BEST_FPERIOD_OVERRIDE=FQ","FILING_STATUS=OR","EQY_CONSOLIDATED=Y","Sort=A","Dates=H","DateFormat=P","Fill=—","Direction=H","UseDPDF=Y")</f>
        <v>#NAME?</v>
      </c>
      <c r="AS390" s="1" t="e">
        <f ca="1">_xll.BDH($C$378,"ACCOUNTS_RECEIVABLE_5_YR_GROWTH","FQ2 2016","FQ2 2016","Currency=INR","Period=FQ","BEST_FPERIOD_OVERRIDE=FQ","FILING_STATUS=OR","EQY_CONSOLIDATED=Y","Sort=A","Dates=H","DateFormat=P","Fill=—","Direction=H","UseDPDF=Y")</f>
        <v>#NAME?</v>
      </c>
      <c r="AT390" s="1" t="e">
        <f ca="1">_xll.BDH($C$378,"INVENTORY_5_YEAR_GROWTH","FQ2 2016","FQ2 2016","Currency=INR","Period=FQ","BEST_FPERIOD_OVERRIDE=FQ","FILING_STATUS=OR","EQY_CONSOLIDATED=Y","Sort=A","Dates=H","DateFormat=P","Fill=—","Direction=H","UseDPDF=Y")</f>
        <v>#NAME?</v>
      </c>
      <c r="AU390" s="1" t="e">
        <f ca="1">_xll.BDH($C$378,"NET_FIXED_ASSETS_5_YEAR_GROWTH","FQ2 2016","FQ2 2016","Currency=INR","Period=FQ","BEST_FPERIOD_OVERRIDE=FQ","FILING_STATUS=OR","EQY_CONSOLIDATED=Y","Sort=A","Dates=H","DateFormat=P","Fill=—","Direction=H","UseDPDF=Y")</f>
        <v>#NAME?</v>
      </c>
      <c r="AV390" s="1" t="e">
        <f ca="1">_xll.BDH($C$378,"GEO_GROW_TOT_ASSET","FQ2 2016","FQ2 2016","Currency=INR","Period=FQ","BEST_FPERIOD_OVERRIDE=FQ","FILING_STATUS=OR","EQY_CONSOLIDATED=Y","Sort=A","Dates=H","DateFormat=P","Fill=—","Direction=H","UseDPDF=Y")</f>
        <v>#NAME?</v>
      </c>
      <c r="AW390" s="1" t="e">
        <f ca="1">_xll.BDH($C$378,"MODIFIED_WORKING_CPTL_5YR_GRWTH","FQ2 2016","FQ2 2016","Currency=INR","Period=FQ","BEST_FPERIOD_OVERRIDE=FQ","FILING_STATUS=OR","EQY_CONSOLIDATED=Y","Sort=A","Dates=H","DateFormat=P","Fill=—","Direction=H","UseDPDF=Y")</f>
        <v>#NAME?</v>
      </c>
      <c r="AX390" s="1" t="e">
        <f ca="1">_xll.BDH($C$378,"WORKING_CAPITAL_5_YEAR_GROWTH","FQ2 2016","FQ2 2016","Currency=INR","Period=FQ","BEST_FPERIOD_OVERRIDE=FQ","FILING_STATUS=OR","EQY_CONSOLIDATED=Y","Sort=A","Dates=H","DateFormat=P","Fill=—","Direction=H","UseDPDF=Y")</f>
        <v>#NAME?</v>
      </c>
      <c r="AY390" s="1" t="e">
        <f ca="1">_xll.BDH($C$378,"ACCOUNTS_PAYABLE_5_YEAR_GROWTH","FQ2 2016","FQ2 2016","Currency=INR","Period=FQ","BEST_FPERIOD_OVERRIDE=FQ","FILING_STATUS=OR","EQY_CONSOLIDATED=Y","Sort=A","Dates=H","DateFormat=P","Fill=—","Direction=H","UseDPDF=Y")</f>
        <v>#NAME?</v>
      </c>
      <c r="AZ390" s="1" t="e">
        <f ca="1">_xll.BDH($C$378,"SHORT_TERM_DEBT_5_YEAR_GROWTH","FQ2 2016","FQ2 2016","Currency=INR","Period=FQ","BEST_FPERIOD_OVERRIDE=FQ","FILING_STATUS=OR","EQY_CONSOLIDATED=Y","Sort=A","Dates=H","DateFormat=P","Fill=—","Direction=H","UseDPDF=Y")</f>
        <v>#NAME?</v>
      </c>
      <c r="BA390" s="1" t="e">
        <f ca="1">_xll.BDH($C$378,"TOTAL_DEBT_5_YEAR_GROWTH","FQ2 2016","FQ2 2016","Currency=INR","Period=FQ","BEST_FPERIOD_OVERRIDE=FQ","FILING_STATUS=OR","EQY_CONSOLIDATED=Y","Sort=A","Dates=H","DateFormat=P","Fill=—","Direction=H","UseDPDF=Y")</f>
        <v>#NAME?</v>
      </c>
      <c r="BB390" s="1" t="e">
        <f ca="1">_xll.BDH($C$378,"GEO_GROW_TOT_SHRHLDR_EQY","FQ2 2016","FQ2 2016","Currency=INR","Period=FQ","BEST_FPERIOD_OVERRIDE=FQ","FILING_STATUS=OR","EQY_CONSOLIDATED=Y","Sort=A","Dates=H","DateFormat=P","Fill=—","Direction=H","UseDPDF=Y")</f>
        <v>#NAME?</v>
      </c>
      <c r="BC390" s="1" t="e">
        <f ca="1">_xll.BDH($C$378,"TOTAL_CAPITAL_5_YEAR_GROWTH","FQ2 2016","FQ2 2016","Currency=INR","Period=FQ","BEST_FPERIOD_OVERRIDE=FQ","FILING_STATUS=OR","EQY_CONSOLIDATED=Y","Sort=A","Dates=H","DateFormat=P","Fill=—","Direction=H","UseDPDF=Y")</f>
        <v>#NAME?</v>
      </c>
      <c r="BD390" s="1" t="e">
        <f ca="1">_xll.BDH($C$378,"GEO_GROW_BOOK_VAL","FQ2 2016","FQ2 2016","Currency=INR","Period=FQ","BEST_FPERIOD_OVERRIDE=FQ","FILING_STATUS=OR","EQY_CONSOLIDATED=Y","Sort=A","Dates=H","DateFormat=P","Fill=—","Direction=H","UseDPDF=Y")</f>
        <v>#NAME?</v>
      </c>
      <c r="BE390" s="1" t="e">
        <f ca="1">_xll.BDH($C$378,"GEO_GROW_CASH_OPER_ACT","FQ2 2016","FQ2 2016","Currency=INR","Period=FQ","BEST_FPERIOD_OVERRIDE=FQ","FILING_STATUS=OR","EQY_CONSOLIDATED=Y","Sort=A","Dates=H","DateFormat=P","Fill=—","Direction=H","UseDPDF=Y")</f>
        <v>#NAME?</v>
      </c>
      <c r="BF390" s="1" t="e">
        <f ca="1">_xll.BDH($C$378,"REVENUE_SEQUENTIAL_GROWTH","FQ2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90" s="1" t="e">
        <f ca="1">_xll.BDH($C$378,"EBITDA_SEQUENTIAL_GROWTH","FQ2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90" s="1" t="e">
        <f ca="1">_xll.BDH($C$378,"OPERATING_INCOME_SEQ_GROWTH","FQ2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90" s="1" t="e">
        <f ca="1">_xll.BDH($C$378,"NET_INCOME_TO_COMMON_SEQ_GROWTH","FQ2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90" s="1" t="e">
        <f ca="1">_xll.BDH($C$378,"EPS_DILUTED_SEQUENTIAL_GROWTH","FQ2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90" s="1" t="e">
        <f ca="1">_xll.BDH($C$378,"DPS_SEQUENTIAL_GROWTH","FQ2 2016","FQ2 2016","Currency=INR","Period=FQ","BEST_FPERIOD_OVERRIDE=FQ","FILING_STATUS=OR","EQY_CONSOLIDATED=Y","Sort=A","Dates=H","DateFormat=P","Fill=—","Direction=H","UseDPDF=Y")</f>
        <v>#NAME?</v>
      </c>
      <c r="BL390" s="1" t="e">
        <f ca="1">_xll.BDH($C$378,"ACCOUNTS_RECEIVABLE_SEQ_GROWTH","FQ2 2016","FQ2 2016","Currency=INR","Period=FQ","BEST_FPERIOD_OVERRIDE=FQ","FILING_STATUS=OR","EQY_CONSOLIDATED=Y","Sort=A","Dates=H","DateFormat=P","Fill=—","Direction=H","UseDPDF=Y")</f>
        <v>#NAME?</v>
      </c>
      <c r="BM390" s="1" t="e">
        <f ca="1">_xll.BDH($C$378,"INVENTORY_SEQUENTIAL_GROWTH","FQ2 2016","FQ2 2016","Currency=INR","Period=FQ","BEST_FPERIOD_OVERRIDE=FQ","FILING_STATUS=OR","EQY_CONSOLIDATED=Y","Sort=A","Dates=H","DateFormat=P","Fill=—","Direction=H","UseDPDF=Y")</f>
        <v>#NAME?</v>
      </c>
      <c r="BN390" s="1" t="e">
        <f ca="1">_xll.BDH($C$378,"FIXED_ASSETS_SEQUENTIAL_GROWTH","FQ2 2016","FQ2 2016","Currency=INR","Period=FQ","BEST_FPERIOD_OVERRIDE=FQ","FILING_STATUS=OR","EQY_CONSOLIDATED=Y","Sort=A","Dates=H","DateFormat=P","Fill=—","Direction=H","UseDPDF=Y")</f>
        <v>#NAME?</v>
      </c>
      <c r="BO390" s="1" t="e">
        <f ca="1">_xll.BDH($C$378,"TOTAL_ASSETS_SEQUENTIAL_GROWTH","FQ2 2016","FQ2 2016","Currency=INR","Period=FQ","BEST_FPERIOD_OVERRIDE=FQ","FILING_STATUS=OR","EQY_CONSOLIDATED=Y","Sort=A","Dates=H","DateFormat=P","Fill=—","Direction=H","UseDPDF=Y")</f>
        <v>#NAME?</v>
      </c>
      <c r="BP390" s="1" t="e">
        <f ca="1">_xll.BDH($C$378,"MODIFIED_WORKING_CPTL_SEQ_GRWTH","FQ2 2016","FQ2 2016","Currency=INR","Period=FQ","BEST_FPERIOD_OVERRIDE=FQ","FILING_STATUS=OR","EQY_CONSOLIDATED=Y","Sort=A","Dates=H","DateFormat=P","Fill=—","Direction=H","UseDPDF=Y")</f>
        <v>#NAME?</v>
      </c>
      <c r="BQ390" s="1" t="e">
        <f ca="1">_xll.BDH($C$378,"WORKING_CAPITAL_SEQ_GROWTH","FQ2 2016","FQ2 2016","Currency=INR","Period=FQ","BEST_FPERIOD_OVERRIDE=FQ","FILING_STATUS=OR","EQY_CONSOLIDATED=Y","Sort=A","Dates=H","DateFormat=P","Fill=—","Direction=H","UseDPDF=Y")</f>
        <v>#NAME?</v>
      </c>
      <c r="BR390" s="1" t="e">
        <f ca="1">_xll.BDH($C$378,"ACCOUNTS_PAYABLE_SEQ_GROWTH","FQ2 2016","FQ2 2016","Currency=INR","Period=FQ","BEST_FPERIOD_OVERRIDE=FQ","FILING_STATUS=OR","EQY_CONSOLIDATED=Y","Sort=A","Dates=H","DateFormat=P","Fill=—","Direction=H","UseDPDF=Y")</f>
        <v>#NAME?</v>
      </c>
      <c r="BS390" s="1" t="e">
        <f ca="1">_xll.BDH($C$378,"ST_DEBT_SEQUENTIAL_GROWTH","FQ2 2016","FQ2 2016","Currency=INR","Period=FQ","BEST_FPERIOD_OVERRIDE=FQ","FILING_STATUS=OR","EQY_CONSOLIDATED=Y","Sort=A","Dates=H","DateFormat=P","Fill=—","Direction=H","UseDPDF=Y")</f>
        <v>#NAME?</v>
      </c>
      <c r="BT390" s="1" t="e">
        <f ca="1">_xll.BDH($C$378,"TOTAL_DEBT_SEQUENTIAL_GROWTH","FQ2 2016","FQ2 2016","Currency=INR","Period=FQ","BEST_FPERIOD_OVERRIDE=FQ","FILING_STATUS=OR","EQY_CONSOLIDATED=Y","Sort=A","Dates=H","DateFormat=P","Fill=—","Direction=H","UseDPDF=Y")</f>
        <v>#NAME?</v>
      </c>
      <c r="BU390" s="1" t="e">
        <f ca="1">_xll.BDH($C$378,"TOTAL_EQUITY_SEQUENTIAL_GROWTH","FQ2 2016","FQ2 2016","Currency=INR","Period=FQ","BEST_FPERIOD_OVERRIDE=FQ","FILING_STATUS=OR","EQY_CONSOLIDATED=Y","Sort=A","Dates=H","DateFormat=P","Fill=—","Direction=H","UseDPDF=Y")</f>
        <v>#NAME?</v>
      </c>
      <c r="BV390" s="1" t="e">
        <f ca="1">_xll.BDH($C$378,"TOTAL_CAPITAL_SEQUENTIAL_GROWTH","FQ2 2016","FQ2 2016","Currency=INR","Period=FQ","BEST_FPERIOD_OVERRIDE=FQ","FILING_STATUS=OR","EQY_CONSOLIDATED=Y","Sort=A","Dates=H","DateFormat=P","Fill=—","Direction=H","UseDPDF=Y")</f>
        <v>#NAME?</v>
      </c>
      <c r="BW390" s="1" t="e">
        <f ca="1">_xll.BDH($C$378,"BPS_SEQUENTIAL_GROWTH","FQ2 2016","FQ2 2016","Currency=INR","Period=FQ","BEST_FPERIOD_OVERRIDE=FQ","FILING_STATUS=OR","EQY_CONSOLIDATED=Y","Sort=A","Dates=H","DateFormat=P","Fill=—","Direction=H","UseDPDF=Y")</f>
        <v>#NAME?</v>
      </c>
      <c r="BX390" s="1" t="e">
        <f ca="1">_xll.BDH($C$378,"CFO_SEQUENTIAL_GROWTH","FQ2 2016","FQ2 2016","Currency=INR","Period=FQ","BEST_FPERIOD_OVERRIDE=FQ","FILING_STATUS=OR","EQY_CONSOLIDATED=Y","Sort=A","Dates=H","DateFormat=P","Fill=—","Direction=H","UseDPDF=Y")</f>
        <v>#NAME?</v>
      </c>
      <c r="BY390" s="2" t="e">
        <f ca="1">_xll.BDH($C$378,"SHORT_AND_LONG_TERM_DEBT","FQ2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90" s="2" t="e">
        <f ca="1">_xll.BDH($C$378,"BS_ST_BORROW","FQ2 2016","FQ2 2016","Currency=INR","Period=FQ","BEST_FPERIOD_OVERRIDE=FQ","FILING_STATUS=OR","EQY_CONSOLIDATED=Y","SCALING_FORMAT=MLN","Sort=A","Dates=H","DateFormat=P","Fill=—","Direction=H","UseDPDF=Y")</f>
        <v>#NAME?</v>
      </c>
      <c r="CA390" s="2" t="e">
        <f ca="1">_xll.BDH($C$378,"BS_LT_BORROW","FQ2 2016","FQ2 2016","Currency=INR","Period=FQ","BEST_FPERIOD_OVERRIDE=FQ","FILING_STATUS=OR","EQY_CONSOLIDATED=Y","SCALING_FORMAT=MLN","Sort=A","Dates=H","DateFormat=P","Fill=—","Direction=H","UseDPDF=Y")</f>
        <v>#NAME?</v>
      </c>
      <c r="CB390" s="1" t="e">
        <f ca="1">_xll.BDH($C$378,"TOT_DEBT_TO_EBITDA","FQ2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90" s="1" t="e">
        <f ca="1">_xll.BDH($C$378,"NET_DEBT_TO_EBITDA","FQ2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90" s="1" t="e">
        <f ca="1">_xll.BDH($C$378,"TOTAL_DEBT_TO_EBIT","FQ2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90" s="1" t="e">
        <f ca="1">_xll.BDH($C$378,"NET_DEBT_TO_EBIT","FQ2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390" s="1" t="e">
        <f ca="1">_xll.BDH($C$378,"EBITDA_TO_INTEREST_EXPN","FQ2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90" s="1" t="e">
        <f ca="1">_xll.BDH($C$378,"COM_EQY_TO_TOT_ASSET","FQ2 2016","FQ2 2016","Currency=INR","Period=FQ","BEST_FPERIOD_OVERRIDE=FQ","FILING_STATUS=OR","EQY_CONSOLIDATED=Y","Sort=A","Dates=H","DateFormat=P","Fill=—","Direction=H","UseDPDF=Y")</f>
        <v>#NAME?</v>
      </c>
      <c r="CH390" s="1" t="e">
        <f ca="1">_xll.BDH($C$378,"LT_DEBT_TO_TOT_EQY","FQ2 2016","FQ2 2016","Currency=INR","Period=FQ","BEST_FPERIOD_OVERRIDE=FQ","FILING_STATUS=OR","EQY_CONSOLIDATED=Y","Sort=A","Dates=H","DateFormat=P","Fill=—","Direction=H","UseDPDF=Y")</f>
        <v>#NAME?</v>
      </c>
      <c r="CI390" s="1" t="e">
        <f ca="1">_xll.BDH($C$378,"LT_DEBT_TO_TOT_CAP","FQ2 2016","FQ2 2016","Currency=INR","Period=FQ","BEST_FPERIOD_OVERRIDE=FQ","FILING_STATUS=OR","EQY_CONSOLIDATED=Y","Sort=A","Dates=H","DateFormat=P","Fill=—","Direction=H","UseDPDF=Y")</f>
        <v>#NAME?</v>
      </c>
      <c r="CJ390" s="1" t="e">
        <f ca="1">_xll.BDH($C$378,"LT_DEBT_TO_TOT_ASSET","FQ2 2016","FQ2 2016","Currency=INR","Period=FQ","BEST_FPERIOD_OVERRIDE=FQ","FILING_STATUS=OR","EQY_CONSOLIDATED=Y","Sort=A","Dates=H","DateFormat=P","Fill=—","Direction=H","UseDPDF=Y")</f>
        <v>#NAME?</v>
      </c>
      <c r="CK390" s="1" t="e">
        <f ca="1">_xll.BDH($C$378,"TOT_DEBT_TO_TOT_EQY","FQ2 2016","FQ2 2016","Currency=INR","Period=FQ","BEST_FPERIOD_OVERRIDE=FQ","FILING_STATUS=OR","EQY_CONSOLIDATED=Y","Sort=A","Dates=H","DateFormat=P","Fill=—","Direction=H","UseDPDF=Y")</f>
        <v>#NAME?</v>
      </c>
      <c r="CL390" s="1" t="e">
        <f ca="1">_xll.BDH($C$378,"TOT_DEBT_TO_TOT_CAP","FQ2 2016","FQ2 2016","Currency=INR","Period=FQ","BEST_FPERIOD_OVERRIDE=FQ","FILING_STATUS=OR","EQY_CONSOLIDATED=Y","Sort=A","Dates=H","DateFormat=P","Fill=—","Direction=H","UseDPDF=Y")</f>
        <v>#NAME?</v>
      </c>
      <c r="CM390" s="1" t="e">
        <f ca="1">_xll.BDH($C$378,"TOT_DEBT_TO_TOT_ASSET","FQ2 2016","FQ2 2016","Currency=INR","Period=FQ","BEST_FPERIOD_OVERRIDE=FQ","FILING_STATUS=OR","EQY_CONSOLIDATED=Y","Sort=A","Dates=H","DateFormat=P","Fill=—","Direction=H","UseDPDF=Y")</f>
        <v>#NAME?</v>
      </c>
      <c r="CN390" s="1" t="e">
        <f ca="1">_xll.BDH($C$378,"NET_DEBT_TO_SHRHLDR_EQTY","FQ2 2016","FQ2 2016","Currency=INR","Period=FQ","BEST_FPERIOD_OVERRIDE=FQ","FILING_STATUS=OR","EQY_CONSOLIDATED=Y","Sort=A","Dates=H","DateFormat=P","Fill=—","Direction=H","UseDPDF=Y")</f>
        <v>#NAME?</v>
      </c>
      <c r="CO390" s="1" t="e">
        <f ca="1">_xll.BDH($C$378,"NET_DEBT_%_CAPITAL","FQ2 2016","FQ2 2016","Currency=INR","Period=FQ","BEST_FPERIOD_OVERRIDE=FQ","FILING_STATUS=OR","EQY_CONSOLIDATED=Y","Sort=A","Dates=H","DateFormat=P","Fill=—","Direction=H","UseDPDF=Y")</f>
        <v>#NAME?</v>
      </c>
      <c r="CP390" s="2" t="e">
        <f ca="1">_xll.BDH($C$378,"EBITDA","FQ2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90" s="2" t="e">
        <f ca="1">_xll.BDH($C$378,"EBITDA_AFTER_CAPEX","FQ2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90" s="2" t="e">
        <f ca="1">_xll.BDH($C$378,"IS_OPER_INC","FQ2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90" s="1" t="e">
        <f ca="1">_xll.BDH($C$378,"CASH_RATIO","FQ2 2016","FQ2 2016","Currency=INR","Period=FQ","BEST_FPERIOD_OVERRIDE=FQ","FILING_STATUS=OR","EQY_CONSOLIDATED=Y","Sort=A","Dates=H","DateFormat=P","Fill=—","Direction=H","UseDPDF=Y")</f>
        <v>#NAME?</v>
      </c>
      <c r="CT390" s="1" t="e">
        <f ca="1">_xll.BDH($C$378,"CUR_RATIO","FQ2 2016","FQ2 2016","Currency=INR","Period=FQ","BEST_FPERIOD_OVERRIDE=FQ","FILING_STATUS=OR","EQY_CONSOLIDATED=Y","Sort=A","Dates=H","DateFormat=P","Fill=—","Direction=H","UseDPDF=Y")</f>
        <v>#NAME?</v>
      </c>
      <c r="CU390" s="1" t="e">
        <f ca="1">_xll.BDH($C$378,"QUICK_RATIO","FQ2 2016","FQ2 2016","Currency=INR","Period=FQ","BEST_FPERIOD_OVERRIDE=FQ","FILING_STATUS=OR","EQY_CONSOLIDATED=Y","Sort=A","Dates=H","DateFormat=P","Fill=—","Direction=H","UseDPDF=Y")</f>
        <v>#NAME?</v>
      </c>
      <c r="CV390" s="1" t="e">
        <f ca="1">_xll.BDH($C$378,"ALTMAN_Z_SCORE","FQ2 2016","FQ2 2016","Currency=INR","Period=FQ","BEST_FPERIOD_OVERRIDE=FQ","FILING_STATUS=OR","EQY_CONSOLIDATED=Y","Sort=A","Dates=H","DateFormat=P","Fill=—","Direction=H","UseDPDF=Y")</f>
        <v>#NAME?</v>
      </c>
      <c r="CW390" s="3" t="e">
        <f ca="1">_xll.BDH($C$378,"ACCT_RCV_TURN","FQ2 2016","FQ2 2016","Currency=INR","Period=FQ","BEST_FPERIOD_OVERRIDE=FQ","FILING_STATUS=OR","EQY_CONSOLIDATED=Y","FA_ADJUSTED=GAAP","Sort=A","Dates=H","DateFormat=P","Fill=—","Direction=H","UseDPDF=Y")</f>
        <v>#NAME?</v>
      </c>
      <c r="CX390" s="1" t="e">
        <f ca="1">_xll.BDH($C$378,"ACCT_RCV_DAYS","FQ2 2016","FQ2 2016","Currency=INR","Period=FQ","BEST_FPERIOD_OVERRIDE=FQ","FILING_STATUS=OR","EQY_CONSOLIDATED=Y","FA_ADJUSTED=GAAP","Sort=A","Dates=H","DateFormat=P","Fill=—","Direction=H","UseDPDF=Y")</f>
        <v>#NAME?</v>
      </c>
      <c r="CY390" s="3" t="e">
        <f ca="1">_xll.BDH($C$378,"INVENT_TURN","FQ2 2016","FQ2 2016","Currency=INR","Period=FQ","BEST_FPERIOD_OVERRIDE=FQ","FILING_STATUS=OR","EQY_CONSOLIDATED=Y","FA_ADJUSTED=GAAP","Sort=A","Dates=H","DateFormat=P","Fill=—","Direction=H","UseDPDF=Y")</f>
        <v>#NAME?</v>
      </c>
      <c r="CZ390" s="1" t="e">
        <f ca="1">_xll.BDH($C$378,"INVENT_DAYS","FQ2 2016","FQ2 2016","Currency=INR","Period=FQ","BEST_FPERIOD_OVERRIDE=FQ","FILING_STATUS=OR","EQY_CONSOLIDATED=Y","FA_ADJUSTED=GAAP","Sort=A","Dates=H","DateFormat=P","Fill=—","Direction=H","UseDPDF=Y")</f>
        <v>#NAME?</v>
      </c>
      <c r="DA390" s="3" t="e">
        <f ca="1">_xll.BDH($C$378,"ACCOUNTS_PAYABLE_TURNOVER","FQ2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90" s="1" t="e">
        <f ca="1">_xll.BDH($C$378,"ACCOUNTS_PAYABLE_TURNOVER_DAYS","FQ2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90" s="3" t="e">
        <f ca="1">_xll.BDH($C$378,"CASH_CONVERSION_CYCLE","FQ2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90" s="3" t="e">
        <f ca="1">_xll.BDH($C$378,"INV_TO_CASH_DAYS","FQ2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390" s="4" t="e">
        <f ca="1">_xll.BDH($C$378,"BS_INVENTORIES","FQ2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390" s="2" t="e">
        <f ca="1">_xll.BDH($C$378,"INVTRY_RAW_MATERIALS","FQ2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90" s="2" t="e">
        <f ca="1">_xll.BDH($C$378,"INVTRY_IN_PROGRESS","FQ2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90" s="2" t="e">
        <f ca="1">_xll.BDH($C$378,"INVTRY_FINISHED_GOODS","FQ2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90" s="2" t="e">
        <f ca="1">_xll.BDH($C$378,"BS_OTHER_INV","FQ2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91" spans="1:113" x14ac:dyDescent="0.3">
      <c r="A391" s="6"/>
      <c r="B391" s="6"/>
      <c r="C391" s="6"/>
      <c r="D391" s="6"/>
      <c r="E391" t="s">
        <v>6</v>
      </c>
      <c r="F391" t="e">
        <f ca="1">_xll.BDH($C$378,"RETURN_COM_EQY","FQ3 2016","FQ3 2016","Currency=INR","Period=FQ","BEST_FPERIOD_OVERRIDE=FQ","FILING_STATUS=OR","EQY_CONSOLIDATED=Y","FA_ADJUSTED=GAAP","Sort=A","Dates=H","DateFormat=P","Fill=—","Direction=H","UseDPDF=Y")</f>
        <v>#NAME?</v>
      </c>
      <c r="G391" t="e">
        <f ca="1">_xll.BDH($C$378,"RETURN_ON_ASSET","FQ3 2016","FQ3 2016","Currency=INR","Period=FQ","BEST_FPERIOD_OVERRIDE=FQ","FILING_STATUS=OR","EQY_CONSOLIDATED=Y","FA_ADJUSTED=GAAP","Sort=A","Dates=H","DateFormat=P","Fill=—","Direction=H","UseDPDF=Y")</f>
        <v>#NAME?</v>
      </c>
      <c r="H391" t="e">
        <f ca="1">_xll.BDH($C$378,"RETURN_ON_CAP","FQ3 2016","FQ3 2016","Currency=INR","Period=FQ","BEST_FPERIOD_OVERRIDE=FQ","FILING_STATUS=OR","EQY_CONSOLIDATED=Y","FA_ADJUSTED=GAAP","Sort=A","Dates=H","DateFormat=P","Fill=—","Direction=H","UseDPDF=Y")</f>
        <v>#NAME?</v>
      </c>
      <c r="I391" t="e">
        <f ca="1">_xll.BDH($C$378,"RETURN_ON_INV_CAPITAL","FQ3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91" t="e">
        <f ca="1">_xll.BDH($C$378,"EBITDA_TO_REVENUE","FQ3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391" t="e">
        <f ca="1">_xll.BDH($C$378,"OPER_MARGIN","FQ3 2016","FQ3 2016","Currency=INR","Period=FQ","BEST_FPERIOD_OVERRIDE=FQ","FILING_STATUS=OR","EQY_CONSOLIDATED=Y","FA_ADJUSTED=GAAP","Sort=A","Dates=H","DateFormat=P","Fill=—","Direction=H","UseDPDF=Y")</f>
        <v>#NAME?</v>
      </c>
      <c r="L391" t="e">
        <f ca="1">_xll.BDH($C$378,"INCREMENTAL_OPERATING_MARGIN","FQ3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91" t="e">
        <f ca="1">_xll.BDH($C$378,"PRETAX_INC_TO_NET_SALES","FQ3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91" t="e">
        <f ca="1">_xll.BDH($C$378,"INC_BEF_XO_ITEMS_TO_NET_SALES","FQ3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91" t="e">
        <f ca="1">_xll.BDH($C$378,"PROF_MARGIN","FQ3 2016","FQ3 2016","Currency=INR","Period=FQ","BEST_FPERIOD_OVERRIDE=FQ","FILING_STATUS=OR","EQY_CONSOLIDATED=Y","FA_ADJUSTED=GAAP","Sort=A","Dates=H","DateFormat=P","Fill=—","Direction=H","UseDPDF=Y")</f>
        <v>#NAME?</v>
      </c>
      <c r="P391" t="e">
        <f ca="1">_xll.BDH($C$378,"NET_INCOME_TO_COMMON_MARGIN","FQ3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91" t="e">
        <f ca="1">_xll.BDH($C$378,"EFF_TAX_RATE","FQ3 2016","FQ3 2016","Currency=INR","Period=FQ","BEST_FPERIOD_OVERRIDE=FQ","FILING_STATUS=OR","EQY_CONSOLIDATED=Y","FA_ADJUSTED=GAAP","Sort=A","Dates=H","DateFormat=P","Fill=—","Direction=H","UseDPDF=Y")</f>
        <v>#NAME?</v>
      </c>
      <c r="R391" t="e">
        <f ca="1">_xll.BDH($C$378,"DVD_PAYOUT_RATIO","FQ3 2016","FQ3 2016","Currency=INR","Period=FQ","BEST_FPERIOD_OVERRIDE=FQ","FILING_STATUS=OR","EQY_CONSOLIDATED=Y","FA_ADJUSTED=GAAP","Sort=A","Dates=H","DateFormat=P","Fill=—","Direction=H","UseDPDF=Y")</f>
        <v>#NAME?</v>
      </c>
      <c r="S391" t="e">
        <f ca="1">_xll.BDH($C$378,"SUSTAIN_GROWTH_RT","FQ3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391" s="1" t="e">
        <f ca="1">_xll.BDH($C$378,"SALES_GROWTH","FQ3 2016","FQ3 2016","Currency=INR","Period=FQ","BEST_FPERIOD_OVERRIDE=FQ","FILING_STATUS=OR","EQY_CONSOLIDATED=Y","FA_ADJUSTED=GAAP","Sort=A","Dates=H","DateFormat=P","Fill=—","Direction=H","UseDPDF=Y")</f>
        <v>#NAME?</v>
      </c>
      <c r="U391" s="1" t="e">
        <f ca="1">_xll.BDH($C$378,"EBITDA_GROWTH","FQ3 2016","FQ3 2016","Currency=INR","Period=FQ","BEST_FPERIOD_OVERRIDE=FQ","FILING_STATUS=OR","EQY_CONSOLIDATED=Y","FA_ADJUSTED=GAAP","Sort=A","Dates=H","DateFormat=P","Fill=—","Direction=H","UseDPDF=Y")</f>
        <v>#NAME?</v>
      </c>
      <c r="V391" s="1" t="e">
        <f ca="1">_xll.BDH($C$378,"OPER_INC_GROWTH","FQ3 2016","FQ3 2016","Currency=INR","Period=FQ","BEST_FPERIOD_OVERRIDE=FQ","FILING_STATUS=OR","EQY_CONSOLIDATED=Y","FA_ADJUSTED=GAAP","Sort=A","Dates=H","DateFormat=P","Fill=—","Direction=H","UseDPDF=Y")</f>
        <v>#NAME?</v>
      </c>
      <c r="W391" s="1" t="e">
        <f ca="1">_xll.BDH($C$378,"EARN_FOR_COM_GROWTH","FQ3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91" s="1" t="e">
        <f ca="1">_xll.BDH($C$378,"DILUTED_EPS_AFT_XO_ITEMS_GROWTH","FQ3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91" s="1" t="e">
        <f ca="1">_xll.BDH($C$378,"DIVIDEND_PER_SHARE_1_YEAR_GROWTH","FQ3 2016","FQ3 2016","Currency=INR","Period=FQ","BEST_FPERIOD_OVERRIDE=FQ","FILING_STATUS=OR","EQY_CONSOLIDATED=Y","Sort=A","Dates=H","DateFormat=P","Fill=—","Direction=H","UseDPDF=Y")</f>
        <v>#NAME?</v>
      </c>
      <c r="Z391" s="1" t="e">
        <f ca="1">_xll.BDH($C$378,"ACCOUNTS_RECEIVABLE_GROWTH","FQ3 2016","FQ3 2016","Currency=INR","Period=FQ","BEST_FPERIOD_OVERRIDE=FQ","FILING_STATUS=OR","EQY_CONSOLIDATED=Y","Sort=A","Dates=H","DateFormat=P","Fill=—","Direction=H","UseDPDF=Y")</f>
        <v>#NAME?</v>
      </c>
      <c r="AA391" s="1" t="e">
        <f ca="1">_xll.BDH($C$378,"INVENTORY_GROWTH","FQ3 2016","FQ3 2016","Currency=INR","Period=FQ","BEST_FPERIOD_OVERRIDE=FQ","FILING_STATUS=OR","EQY_CONSOLIDATED=Y","Sort=A","Dates=H","DateFormat=P","Fill=—","Direction=H","UseDPDF=Y")</f>
        <v>#NAME?</v>
      </c>
      <c r="AB391" s="1" t="e">
        <f ca="1">_xll.BDH($C$378,"NET_FIXED_ASSETS_1_YEAR_GROWTH","FQ3 2016","FQ3 2016","Currency=INR","Period=FQ","BEST_FPERIOD_OVERRIDE=FQ","FILING_STATUS=OR","EQY_CONSOLIDATED=Y","Sort=A","Dates=H","DateFormat=P","Fill=—","Direction=H","UseDPDF=Y")</f>
        <v>#NAME?</v>
      </c>
      <c r="AC391" s="1" t="e">
        <f ca="1">_xll.BDH($C$378,"ASSET_GROWTH","FQ3 2016","FQ3 2016","Currency=INR","Period=FQ","BEST_FPERIOD_OVERRIDE=FQ","FILING_STATUS=OR","EQY_CONSOLIDATED=Y","Sort=A","Dates=H","DateFormat=P","Fill=—","Direction=H","UseDPDF=Y")</f>
        <v>#NAME?</v>
      </c>
      <c r="AD391" s="1" t="e">
        <f ca="1">_xll.BDH($C$378,"MODIFIED_WORK_CAP_GROWTH","FQ3 2016","FQ3 2016","Currency=INR","Period=FQ","BEST_FPERIOD_OVERRIDE=FQ","FILING_STATUS=OR","EQY_CONSOLIDATED=Y","Sort=A","Dates=H","DateFormat=P","Fill=—","Direction=H","UseDPDF=Y")</f>
        <v>#NAME?</v>
      </c>
      <c r="AE391" s="1" t="e">
        <f ca="1">_xll.BDH($C$378,"WORK_CAP_GROWTH","FQ3 2016","FQ3 2016","Currency=INR","Period=FQ","BEST_FPERIOD_OVERRIDE=FQ","FILING_STATUS=OR","EQY_CONSOLIDATED=Y","Sort=A","Dates=H","DateFormat=P","Fill=—","Direction=H","UseDPDF=Y")</f>
        <v>#NAME?</v>
      </c>
      <c r="AF391" s="1" t="e">
        <f ca="1">_xll.BDH($C$378,"ACCOUNTS_PAYABLE_GROWTH_1YR","FQ3 2016","FQ3 2016","Currency=INR","Period=FQ","BEST_FPERIOD_OVERRIDE=FQ","FILING_STATUS=OR","EQY_CONSOLIDATED=Y","Sort=A","Dates=H","DateFormat=P","Fill=—","Direction=H","UseDPDF=Y")</f>
        <v>#NAME?</v>
      </c>
      <c r="AG391" s="1" t="e">
        <f ca="1">_xll.BDH($C$378,"SHORT_TERM_DEBT_1_YEAR_GROWTH","FQ3 2016","FQ3 2016","Currency=INR","Period=FQ","BEST_FPERIOD_OVERRIDE=FQ","FILING_STATUS=OR","EQY_CONSOLIDATED=Y","Sort=A","Dates=H","DateFormat=P","Fill=—","Direction=H","UseDPDF=Y")</f>
        <v>#NAME?</v>
      </c>
      <c r="AH391" s="1" t="e">
        <f ca="1">_xll.BDH($C$378,"TOTAL_DEBT_1_YEAR_GROWTH","FQ3 2016","FQ3 2016","Currency=INR","Period=FQ","BEST_FPERIOD_OVERRIDE=FQ","FILING_STATUS=OR","EQY_CONSOLIDATED=Y","Sort=A","Dates=H","DateFormat=P","Fill=—","Direction=H","UseDPDF=Y")</f>
        <v>#NAME?</v>
      </c>
      <c r="AI391" s="1" t="e">
        <f ca="1">_xll.BDH($C$378,"TOTAL_EQUITY_1_YEAR_GROWTH","FQ3 2016","FQ3 2016","Currency=INR","Period=FQ","BEST_FPERIOD_OVERRIDE=FQ","FILING_STATUS=OR","EQY_CONSOLIDATED=Y","Sort=A","Dates=H","DateFormat=P","Fill=—","Direction=H","UseDPDF=Y")</f>
        <v>#NAME?</v>
      </c>
      <c r="AJ391" s="1" t="e">
        <f ca="1">_xll.BDH($C$378,"GROWTH_IN_CAP","FQ3 2016","FQ3 2016","Currency=INR","Period=FQ","BEST_FPERIOD_OVERRIDE=FQ","FILING_STATUS=OR","EQY_CONSOLIDATED=Y","Sort=A","Dates=H","DateFormat=P","Fill=—","Direction=H","UseDPDF=Y")</f>
        <v>#NAME?</v>
      </c>
      <c r="AK391" s="1" t="e">
        <f ca="1">_xll.BDH($C$378,"BVPS_GROWTH","FQ3 2016","FQ3 2016","Currency=INR","Period=FQ","BEST_FPERIOD_OVERRIDE=FQ","FILING_STATUS=OR","EQY_CONSOLIDATED=Y","Sort=A","Dates=H","DateFormat=P","Fill=—","Direction=H","UseDPDF=Y")</f>
        <v>#NAME?</v>
      </c>
      <c r="AL391" s="1" t="e">
        <f ca="1">_xll.BDH($C$378,"CASH_FLOW_GROWTH","FQ3 2016","FQ3 2016","Currency=INR","Period=FQ","BEST_FPERIOD_OVERRIDE=FQ","FILING_STATUS=OR","EQY_CONSOLIDATED=Y","Sort=A","Dates=H","DateFormat=P","Fill=—","Direction=H","UseDPDF=Y")</f>
        <v>#NAME?</v>
      </c>
      <c r="AM391" s="1" t="e">
        <f ca="1">_xll.BDH($C$378,"GEO_GROW_NET_SALES","FQ3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91" s="1" t="e">
        <f ca="1">_xll.BDH($C$378,"GEO_GROW_EBITDA","FQ3 2016","FQ3 2016","Currency=INR","Period=FQ","BEST_FPERIOD_OVERRIDE=FQ","FILING_STATUS=OR","EQY_CONSOLIDATED=Y","FA_ADJUSTED=GAAP","Sort=A","Dates=H","DateFormat=P","Fill=—","Direction=H","UseDPDF=Y")</f>
        <v>#NAME?</v>
      </c>
      <c r="AO391" s="1" t="e">
        <f ca="1">_xll.BDH($C$378,"GEO_GROW_OPER_INC","FQ3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91" s="1" t="e">
        <f ca="1">_xll.BDH($C$378,"NET_INCOME_TO_COMMON_5_YR_GROWTH","FQ3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91" s="1" t="e">
        <f ca="1">_xll.BDH($C$378,"5Y_GEO_GROWTH_DILUTED_EPS","FQ3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91" s="1" t="e">
        <f ca="1">_xll.BDH($C$378,"GEO_GROW_DVD_PER_SH","FQ3 2016","FQ3 2016","Currency=INR","Period=FQ","BEST_FPERIOD_OVERRIDE=FQ","FILING_STATUS=OR","EQY_CONSOLIDATED=Y","Sort=A","Dates=H","DateFormat=P","Fill=—","Direction=H","UseDPDF=Y")</f>
        <v>#NAME?</v>
      </c>
      <c r="AS391" s="1" t="e">
        <f ca="1">_xll.BDH($C$378,"ACCOUNTS_RECEIVABLE_5_YR_GROWTH","FQ3 2016","FQ3 2016","Currency=INR","Period=FQ","BEST_FPERIOD_OVERRIDE=FQ","FILING_STATUS=OR","EQY_CONSOLIDATED=Y","Sort=A","Dates=H","DateFormat=P","Fill=—","Direction=H","UseDPDF=Y")</f>
        <v>#NAME?</v>
      </c>
      <c r="AT391" s="1" t="e">
        <f ca="1">_xll.BDH($C$378,"INVENTORY_5_YEAR_GROWTH","FQ3 2016","FQ3 2016","Currency=INR","Period=FQ","BEST_FPERIOD_OVERRIDE=FQ","FILING_STATUS=OR","EQY_CONSOLIDATED=Y","Sort=A","Dates=H","DateFormat=P","Fill=—","Direction=H","UseDPDF=Y")</f>
        <v>#NAME?</v>
      </c>
      <c r="AU391" s="1" t="e">
        <f ca="1">_xll.BDH($C$378,"NET_FIXED_ASSETS_5_YEAR_GROWTH","FQ3 2016","FQ3 2016","Currency=INR","Period=FQ","BEST_FPERIOD_OVERRIDE=FQ","FILING_STATUS=OR","EQY_CONSOLIDATED=Y","Sort=A","Dates=H","DateFormat=P","Fill=—","Direction=H","UseDPDF=Y")</f>
        <v>#NAME?</v>
      </c>
      <c r="AV391" s="1" t="e">
        <f ca="1">_xll.BDH($C$378,"GEO_GROW_TOT_ASSET","FQ3 2016","FQ3 2016","Currency=INR","Period=FQ","BEST_FPERIOD_OVERRIDE=FQ","FILING_STATUS=OR","EQY_CONSOLIDATED=Y","Sort=A","Dates=H","DateFormat=P","Fill=—","Direction=H","UseDPDF=Y")</f>
        <v>#NAME?</v>
      </c>
      <c r="AW391" s="1" t="e">
        <f ca="1">_xll.BDH($C$378,"MODIFIED_WORKING_CPTL_5YR_GRWTH","FQ3 2016","FQ3 2016","Currency=INR","Period=FQ","BEST_FPERIOD_OVERRIDE=FQ","FILING_STATUS=OR","EQY_CONSOLIDATED=Y","Sort=A","Dates=H","DateFormat=P","Fill=—","Direction=H","UseDPDF=Y")</f>
        <v>#NAME?</v>
      </c>
      <c r="AX391" s="1" t="e">
        <f ca="1">_xll.BDH($C$378,"WORKING_CAPITAL_5_YEAR_GROWTH","FQ3 2016","FQ3 2016","Currency=INR","Period=FQ","BEST_FPERIOD_OVERRIDE=FQ","FILING_STATUS=OR","EQY_CONSOLIDATED=Y","Sort=A","Dates=H","DateFormat=P","Fill=—","Direction=H","UseDPDF=Y")</f>
        <v>#NAME?</v>
      </c>
      <c r="AY391" s="1" t="e">
        <f ca="1">_xll.BDH($C$378,"ACCOUNTS_PAYABLE_5_YEAR_GROWTH","FQ3 2016","FQ3 2016","Currency=INR","Period=FQ","BEST_FPERIOD_OVERRIDE=FQ","FILING_STATUS=OR","EQY_CONSOLIDATED=Y","Sort=A","Dates=H","DateFormat=P","Fill=—","Direction=H","UseDPDF=Y")</f>
        <v>#NAME?</v>
      </c>
      <c r="AZ391" s="1" t="e">
        <f ca="1">_xll.BDH($C$378,"SHORT_TERM_DEBT_5_YEAR_GROWTH","FQ3 2016","FQ3 2016","Currency=INR","Period=FQ","BEST_FPERIOD_OVERRIDE=FQ","FILING_STATUS=OR","EQY_CONSOLIDATED=Y","Sort=A","Dates=H","DateFormat=P","Fill=—","Direction=H","UseDPDF=Y")</f>
        <v>#NAME?</v>
      </c>
      <c r="BA391" s="1" t="e">
        <f ca="1">_xll.BDH($C$378,"TOTAL_DEBT_5_YEAR_GROWTH","FQ3 2016","FQ3 2016","Currency=INR","Period=FQ","BEST_FPERIOD_OVERRIDE=FQ","FILING_STATUS=OR","EQY_CONSOLIDATED=Y","Sort=A","Dates=H","DateFormat=P","Fill=—","Direction=H","UseDPDF=Y")</f>
        <v>#NAME?</v>
      </c>
      <c r="BB391" s="1" t="e">
        <f ca="1">_xll.BDH($C$378,"GEO_GROW_TOT_SHRHLDR_EQY","FQ3 2016","FQ3 2016","Currency=INR","Period=FQ","BEST_FPERIOD_OVERRIDE=FQ","FILING_STATUS=OR","EQY_CONSOLIDATED=Y","Sort=A","Dates=H","DateFormat=P","Fill=—","Direction=H","UseDPDF=Y")</f>
        <v>#NAME?</v>
      </c>
      <c r="BC391" s="1" t="e">
        <f ca="1">_xll.BDH($C$378,"TOTAL_CAPITAL_5_YEAR_GROWTH","FQ3 2016","FQ3 2016","Currency=INR","Period=FQ","BEST_FPERIOD_OVERRIDE=FQ","FILING_STATUS=OR","EQY_CONSOLIDATED=Y","Sort=A","Dates=H","DateFormat=P","Fill=—","Direction=H","UseDPDF=Y")</f>
        <v>#NAME?</v>
      </c>
      <c r="BD391" s="1" t="e">
        <f ca="1">_xll.BDH($C$378,"GEO_GROW_BOOK_VAL","FQ3 2016","FQ3 2016","Currency=INR","Period=FQ","BEST_FPERIOD_OVERRIDE=FQ","FILING_STATUS=OR","EQY_CONSOLIDATED=Y","Sort=A","Dates=H","DateFormat=P","Fill=—","Direction=H","UseDPDF=Y")</f>
        <v>#NAME?</v>
      </c>
      <c r="BE391" s="1" t="e">
        <f ca="1">_xll.BDH($C$378,"GEO_GROW_CASH_OPER_ACT","FQ3 2016","FQ3 2016","Currency=INR","Period=FQ","BEST_FPERIOD_OVERRIDE=FQ","FILING_STATUS=OR","EQY_CONSOLIDATED=Y","Sort=A","Dates=H","DateFormat=P","Fill=—","Direction=H","UseDPDF=Y")</f>
        <v>#NAME?</v>
      </c>
      <c r="BF391" s="1" t="e">
        <f ca="1">_xll.BDH($C$378,"REVENUE_SEQUENTIAL_GROWTH","FQ3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91" s="1" t="e">
        <f ca="1">_xll.BDH($C$378,"EBITDA_SEQUENTIAL_GROWTH","FQ3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91" s="1" t="e">
        <f ca="1">_xll.BDH($C$378,"OPERATING_INCOME_SEQ_GROWTH","FQ3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91" s="1" t="e">
        <f ca="1">_xll.BDH($C$378,"NET_INCOME_TO_COMMON_SEQ_GROWTH","FQ3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91" s="1" t="e">
        <f ca="1">_xll.BDH($C$378,"EPS_DILUTED_SEQUENTIAL_GROWTH","FQ3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91" s="1" t="e">
        <f ca="1">_xll.BDH($C$378,"DPS_SEQUENTIAL_GROWTH","FQ3 2016","FQ3 2016","Currency=INR","Period=FQ","BEST_FPERIOD_OVERRIDE=FQ","FILING_STATUS=OR","EQY_CONSOLIDATED=Y","Sort=A","Dates=H","DateFormat=P","Fill=—","Direction=H","UseDPDF=Y")</f>
        <v>#NAME?</v>
      </c>
      <c r="BL391" s="1" t="e">
        <f ca="1">_xll.BDH($C$378,"ACCOUNTS_RECEIVABLE_SEQ_GROWTH","FQ3 2016","FQ3 2016","Currency=INR","Period=FQ","BEST_FPERIOD_OVERRIDE=FQ","FILING_STATUS=OR","EQY_CONSOLIDATED=Y","Sort=A","Dates=H","DateFormat=P","Fill=—","Direction=H","UseDPDF=Y")</f>
        <v>#NAME?</v>
      </c>
      <c r="BM391" s="1" t="e">
        <f ca="1">_xll.BDH($C$378,"INVENTORY_SEQUENTIAL_GROWTH","FQ3 2016","FQ3 2016","Currency=INR","Period=FQ","BEST_FPERIOD_OVERRIDE=FQ","FILING_STATUS=OR","EQY_CONSOLIDATED=Y","Sort=A","Dates=H","DateFormat=P","Fill=—","Direction=H","UseDPDF=Y")</f>
        <v>#NAME?</v>
      </c>
      <c r="BN391" s="1" t="e">
        <f ca="1">_xll.BDH($C$378,"FIXED_ASSETS_SEQUENTIAL_GROWTH","FQ3 2016","FQ3 2016","Currency=INR","Period=FQ","BEST_FPERIOD_OVERRIDE=FQ","FILING_STATUS=OR","EQY_CONSOLIDATED=Y","Sort=A","Dates=H","DateFormat=P","Fill=—","Direction=H","UseDPDF=Y")</f>
        <v>#NAME?</v>
      </c>
      <c r="BO391" s="1" t="e">
        <f ca="1">_xll.BDH($C$378,"TOTAL_ASSETS_SEQUENTIAL_GROWTH","FQ3 2016","FQ3 2016","Currency=INR","Period=FQ","BEST_FPERIOD_OVERRIDE=FQ","FILING_STATUS=OR","EQY_CONSOLIDATED=Y","Sort=A","Dates=H","DateFormat=P","Fill=—","Direction=H","UseDPDF=Y")</f>
        <v>#NAME?</v>
      </c>
      <c r="BP391" s="1" t="e">
        <f ca="1">_xll.BDH($C$378,"MODIFIED_WORKING_CPTL_SEQ_GRWTH","FQ3 2016","FQ3 2016","Currency=INR","Period=FQ","BEST_FPERIOD_OVERRIDE=FQ","FILING_STATUS=OR","EQY_CONSOLIDATED=Y","Sort=A","Dates=H","DateFormat=P","Fill=—","Direction=H","UseDPDF=Y")</f>
        <v>#NAME?</v>
      </c>
      <c r="BQ391" s="1" t="e">
        <f ca="1">_xll.BDH($C$378,"WORKING_CAPITAL_SEQ_GROWTH","FQ3 2016","FQ3 2016","Currency=INR","Period=FQ","BEST_FPERIOD_OVERRIDE=FQ","FILING_STATUS=OR","EQY_CONSOLIDATED=Y","Sort=A","Dates=H","DateFormat=P","Fill=—","Direction=H","UseDPDF=Y")</f>
        <v>#NAME?</v>
      </c>
      <c r="BR391" s="1" t="e">
        <f ca="1">_xll.BDH($C$378,"ACCOUNTS_PAYABLE_SEQ_GROWTH","FQ3 2016","FQ3 2016","Currency=INR","Period=FQ","BEST_FPERIOD_OVERRIDE=FQ","FILING_STATUS=OR","EQY_CONSOLIDATED=Y","Sort=A","Dates=H","DateFormat=P","Fill=—","Direction=H","UseDPDF=Y")</f>
        <v>#NAME?</v>
      </c>
      <c r="BS391" s="1" t="e">
        <f ca="1">_xll.BDH($C$378,"ST_DEBT_SEQUENTIAL_GROWTH","FQ3 2016","FQ3 2016","Currency=INR","Period=FQ","BEST_FPERIOD_OVERRIDE=FQ","FILING_STATUS=OR","EQY_CONSOLIDATED=Y","Sort=A","Dates=H","DateFormat=P","Fill=—","Direction=H","UseDPDF=Y")</f>
        <v>#NAME?</v>
      </c>
      <c r="BT391" s="1" t="e">
        <f ca="1">_xll.BDH($C$378,"TOTAL_DEBT_SEQUENTIAL_GROWTH","FQ3 2016","FQ3 2016","Currency=INR","Period=FQ","BEST_FPERIOD_OVERRIDE=FQ","FILING_STATUS=OR","EQY_CONSOLIDATED=Y","Sort=A","Dates=H","DateFormat=P","Fill=—","Direction=H","UseDPDF=Y")</f>
        <v>#NAME?</v>
      </c>
      <c r="BU391" s="1" t="e">
        <f ca="1">_xll.BDH($C$378,"TOTAL_EQUITY_SEQUENTIAL_GROWTH","FQ3 2016","FQ3 2016","Currency=INR","Period=FQ","BEST_FPERIOD_OVERRIDE=FQ","FILING_STATUS=OR","EQY_CONSOLIDATED=Y","Sort=A","Dates=H","DateFormat=P","Fill=—","Direction=H","UseDPDF=Y")</f>
        <v>#NAME?</v>
      </c>
      <c r="BV391" s="1" t="e">
        <f ca="1">_xll.BDH($C$378,"TOTAL_CAPITAL_SEQUENTIAL_GROWTH","FQ3 2016","FQ3 2016","Currency=INR","Period=FQ","BEST_FPERIOD_OVERRIDE=FQ","FILING_STATUS=OR","EQY_CONSOLIDATED=Y","Sort=A","Dates=H","DateFormat=P","Fill=—","Direction=H","UseDPDF=Y")</f>
        <v>#NAME?</v>
      </c>
      <c r="BW391" s="1" t="e">
        <f ca="1">_xll.BDH($C$378,"BPS_SEQUENTIAL_GROWTH","FQ3 2016","FQ3 2016","Currency=INR","Period=FQ","BEST_FPERIOD_OVERRIDE=FQ","FILING_STATUS=OR","EQY_CONSOLIDATED=Y","Sort=A","Dates=H","DateFormat=P","Fill=—","Direction=H","UseDPDF=Y")</f>
        <v>#NAME?</v>
      </c>
      <c r="BX391" s="1" t="e">
        <f ca="1">_xll.BDH($C$378,"CFO_SEQUENTIAL_GROWTH","FQ3 2016","FQ3 2016","Currency=INR","Period=FQ","BEST_FPERIOD_OVERRIDE=FQ","FILING_STATUS=OR","EQY_CONSOLIDATED=Y","Sort=A","Dates=H","DateFormat=P","Fill=—","Direction=H","UseDPDF=Y")</f>
        <v>#NAME?</v>
      </c>
      <c r="BY391" s="2" t="e">
        <f ca="1">_xll.BDH($C$378,"SHORT_AND_LONG_TERM_DEBT","FQ3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91" s="2" t="e">
        <f ca="1">_xll.BDH($C$378,"BS_ST_BORROW","FQ3 2016","FQ3 2016","Currency=INR","Period=FQ","BEST_FPERIOD_OVERRIDE=FQ","FILING_STATUS=OR","EQY_CONSOLIDATED=Y","SCALING_FORMAT=MLN","Sort=A","Dates=H","DateFormat=P","Fill=—","Direction=H","UseDPDF=Y")</f>
        <v>#NAME?</v>
      </c>
      <c r="CA391" s="2" t="e">
        <f ca="1">_xll.BDH($C$378,"BS_LT_BORROW","FQ3 2016","FQ3 2016","Currency=INR","Period=FQ","BEST_FPERIOD_OVERRIDE=FQ","FILING_STATUS=OR","EQY_CONSOLIDATED=Y","SCALING_FORMAT=MLN","Sort=A","Dates=H","DateFormat=P","Fill=—","Direction=H","UseDPDF=Y")</f>
        <v>#NAME?</v>
      </c>
      <c r="CB391" s="1" t="e">
        <f ca="1">_xll.BDH($C$378,"TOT_DEBT_TO_EBITDA","FQ3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91" s="1" t="e">
        <f ca="1">_xll.BDH($C$378,"NET_DEBT_TO_EBITDA","FQ3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91" s="1" t="e">
        <f ca="1">_xll.BDH($C$378,"TOTAL_DEBT_TO_EBIT","FQ3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91" s="1" t="e">
        <f ca="1">_xll.BDH($C$378,"NET_DEBT_TO_EBIT","FQ3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391" s="1" t="e">
        <f ca="1">_xll.BDH($C$378,"EBITDA_TO_INTEREST_EXPN","FQ3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91" s="1" t="e">
        <f ca="1">_xll.BDH($C$378,"COM_EQY_TO_TOT_ASSET","FQ3 2016","FQ3 2016","Currency=INR","Period=FQ","BEST_FPERIOD_OVERRIDE=FQ","FILING_STATUS=OR","EQY_CONSOLIDATED=Y","Sort=A","Dates=H","DateFormat=P","Fill=—","Direction=H","UseDPDF=Y")</f>
        <v>#NAME?</v>
      </c>
      <c r="CH391" s="1" t="e">
        <f ca="1">_xll.BDH($C$378,"LT_DEBT_TO_TOT_EQY","FQ3 2016","FQ3 2016","Currency=INR","Period=FQ","BEST_FPERIOD_OVERRIDE=FQ","FILING_STATUS=OR","EQY_CONSOLIDATED=Y","Sort=A","Dates=H","DateFormat=P","Fill=—","Direction=H","UseDPDF=Y")</f>
        <v>#NAME?</v>
      </c>
      <c r="CI391" s="1" t="e">
        <f ca="1">_xll.BDH($C$378,"LT_DEBT_TO_TOT_CAP","FQ3 2016","FQ3 2016","Currency=INR","Period=FQ","BEST_FPERIOD_OVERRIDE=FQ","FILING_STATUS=OR","EQY_CONSOLIDATED=Y","Sort=A","Dates=H","DateFormat=P","Fill=—","Direction=H","UseDPDF=Y")</f>
        <v>#NAME?</v>
      </c>
      <c r="CJ391" s="1" t="e">
        <f ca="1">_xll.BDH($C$378,"LT_DEBT_TO_TOT_ASSET","FQ3 2016","FQ3 2016","Currency=INR","Period=FQ","BEST_FPERIOD_OVERRIDE=FQ","FILING_STATUS=OR","EQY_CONSOLIDATED=Y","Sort=A","Dates=H","DateFormat=P","Fill=—","Direction=H","UseDPDF=Y")</f>
        <v>#NAME?</v>
      </c>
      <c r="CK391" s="1" t="e">
        <f ca="1">_xll.BDH($C$378,"TOT_DEBT_TO_TOT_EQY","FQ3 2016","FQ3 2016","Currency=INR","Period=FQ","BEST_FPERIOD_OVERRIDE=FQ","FILING_STATUS=OR","EQY_CONSOLIDATED=Y","Sort=A","Dates=H","DateFormat=P","Fill=—","Direction=H","UseDPDF=Y")</f>
        <v>#NAME?</v>
      </c>
      <c r="CL391" s="1" t="e">
        <f ca="1">_xll.BDH($C$378,"TOT_DEBT_TO_TOT_CAP","FQ3 2016","FQ3 2016","Currency=INR","Period=FQ","BEST_FPERIOD_OVERRIDE=FQ","FILING_STATUS=OR","EQY_CONSOLIDATED=Y","Sort=A","Dates=H","DateFormat=P","Fill=—","Direction=H","UseDPDF=Y")</f>
        <v>#NAME?</v>
      </c>
      <c r="CM391" s="1" t="e">
        <f ca="1">_xll.BDH($C$378,"TOT_DEBT_TO_TOT_ASSET","FQ3 2016","FQ3 2016","Currency=INR","Period=FQ","BEST_FPERIOD_OVERRIDE=FQ","FILING_STATUS=OR","EQY_CONSOLIDATED=Y","Sort=A","Dates=H","DateFormat=P","Fill=—","Direction=H","UseDPDF=Y")</f>
        <v>#NAME?</v>
      </c>
      <c r="CN391" s="1" t="e">
        <f ca="1">_xll.BDH($C$378,"NET_DEBT_TO_SHRHLDR_EQTY","FQ3 2016","FQ3 2016","Currency=INR","Period=FQ","BEST_FPERIOD_OVERRIDE=FQ","FILING_STATUS=OR","EQY_CONSOLIDATED=Y","Sort=A","Dates=H","DateFormat=P","Fill=—","Direction=H","UseDPDF=Y")</f>
        <v>#NAME?</v>
      </c>
      <c r="CO391" s="1" t="e">
        <f ca="1">_xll.BDH($C$378,"NET_DEBT_%_CAPITAL","FQ3 2016","FQ3 2016","Currency=INR","Period=FQ","BEST_FPERIOD_OVERRIDE=FQ","FILING_STATUS=OR","EQY_CONSOLIDATED=Y","Sort=A","Dates=H","DateFormat=P","Fill=—","Direction=H","UseDPDF=Y")</f>
        <v>#NAME?</v>
      </c>
      <c r="CP391" s="2" t="e">
        <f ca="1">_xll.BDH($C$378,"EBITDA","FQ3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91" s="2" t="e">
        <f ca="1">_xll.BDH($C$378,"EBITDA_AFTER_CAPEX","FQ3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91" s="2" t="e">
        <f ca="1">_xll.BDH($C$378,"IS_OPER_INC","FQ3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91" s="1" t="e">
        <f ca="1">_xll.BDH($C$378,"CASH_RATIO","FQ3 2016","FQ3 2016","Currency=INR","Period=FQ","BEST_FPERIOD_OVERRIDE=FQ","FILING_STATUS=OR","EQY_CONSOLIDATED=Y","Sort=A","Dates=H","DateFormat=P","Fill=—","Direction=H","UseDPDF=Y")</f>
        <v>#NAME?</v>
      </c>
      <c r="CT391" s="1" t="e">
        <f ca="1">_xll.BDH($C$378,"CUR_RATIO","FQ3 2016","FQ3 2016","Currency=INR","Period=FQ","BEST_FPERIOD_OVERRIDE=FQ","FILING_STATUS=OR","EQY_CONSOLIDATED=Y","Sort=A","Dates=H","DateFormat=P","Fill=—","Direction=H","UseDPDF=Y")</f>
        <v>#NAME?</v>
      </c>
      <c r="CU391" s="1" t="e">
        <f ca="1">_xll.BDH($C$378,"QUICK_RATIO","FQ3 2016","FQ3 2016","Currency=INR","Period=FQ","BEST_FPERIOD_OVERRIDE=FQ","FILING_STATUS=OR","EQY_CONSOLIDATED=Y","Sort=A","Dates=H","DateFormat=P","Fill=—","Direction=H","UseDPDF=Y")</f>
        <v>#NAME?</v>
      </c>
      <c r="CV391" s="1" t="e">
        <f ca="1">_xll.BDH($C$378,"ALTMAN_Z_SCORE","FQ3 2016","FQ3 2016","Currency=INR","Period=FQ","BEST_FPERIOD_OVERRIDE=FQ","FILING_STATUS=OR","EQY_CONSOLIDATED=Y","Sort=A","Dates=H","DateFormat=P","Fill=—","Direction=H","UseDPDF=Y")</f>
        <v>#NAME?</v>
      </c>
      <c r="CW391" s="3" t="e">
        <f ca="1">_xll.BDH($C$378,"ACCT_RCV_TURN","FQ3 2016","FQ3 2016","Currency=INR","Period=FQ","BEST_FPERIOD_OVERRIDE=FQ","FILING_STATUS=OR","EQY_CONSOLIDATED=Y","FA_ADJUSTED=GAAP","Sort=A","Dates=H","DateFormat=P","Fill=—","Direction=H","UseDPDF=Y")</f>
        <v>#NAME?</v>
      </c>
      <c r="CX391" s="1" t="e">
        <f ca="1">_xll.BDH($C$378,"ACCT_RCV_DAYS","FQ3 2016","FQ3 2016","Currency=INR","Period=FQ","BEST_FPERIOD_OVERRIDE=FQ","FILING_STATUS=OR","EQY_CONSOLIDATED=Y","FA_ADJUSTED=GAAP","Sort=A","Dates=H","DateFormat=P","Fill=—","Direction=H","UseDPDF=Y")</f>
        <v>#NAME?</v>
      </c>
      <c r="CY391" s="3" t="e">
        <f ca="1">_xll.BDH($C$378,"INVENT_TURN","FQ3 2016","FQ3 2016","Currency=INR","Period=FQ","BEST_FPERIOD_OVERRIDE=FQ","FILING_STATUS=OR","EQY_CONSOLIDATED=Y","FA_ADJUSTED=GAAP","Sort=A","Dates=H","DateFormat=P","Fill=—","Direction=H","UseDPDF=Y")</f>
        <v>#NAME?</v>
      </c>
      <c r="CZ391" s="1" t="e">
        <f ca="1">_xll.BDH($C$378,"INVENT_DAYS","FQ3 2016","FQ3 2016","Currency=INR","Period=FQ","BEST_FPERIOD_OVERRIDE=FQ","FILING_STATUS=OR","EQY_CONSOLIDATED=Y","FA_ADJUSTED=GAAP","Sort=A","Dates=H","DateFormat=P","Fill=—","Direction=H","UseDPDF=Y")</f>
        <v>#NAME?</v>
      </c>
      <c r="DA391" s="3" t="e">
        <f ca="1">_xll.BDH($C$378,"ACCOUNTS_PAYABLE_TURNOVER","FQ3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91" s="1" t="e">
        <f ca="1">_xll.BDH($C$378,"ACCOUNTS_PAYABLE_TURNOVER_DAYS","FQ3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91" s="3" t="e">
        <f ca="1">_xll.BDH($C$378,"CASH_CONVERSION_CYCLE","FQ3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91" s="3" t="e">
        <f ca="1">_xll.BDH($C$378,"INV_TO_CASH_DAYS","FQ3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391" s="4" t="e">
        <f ca="1">_xll.BDH($C$378,"BS_INVENTORIES","FQ3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391" s="2" t="e">
        <f ca="1">_xll.BDH($C$378,"INVTRY_RAW_MATERIALS","FQ3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91" s="2" t="e">
        <f ca="1">_xll.BDH($C$378,"INVTRY_IN_PROGRESS","FQ3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91" s="2" t="e">
        <f ca="1">_xll.BDH($C$378,"INVTRY_FINISHED_GOODS","FQ3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91" s="2" t="e">
        <f ca="1">_xll.BDH($C$378,"BS_OTHER_INV","FQ3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92" spans="1:113" x14ac:dyDescent="0.3">
      <c r="A392" s="6"/>
      <c r="B392" s="6"/>
      <c r="C392" s="6"/>
      <c r="D392" s="6"/>
      <c r="E392" t="s">
        <v>7</v>
      </c>
      <c r="F392" t="e">
        <f ca="1">_xll.BDH($C$378,"RETURN_COM_EQY","FQ4 2016","FQ4 2016","Currency=INR","Period=FQ","BEST_FPERIOD_OVERRIDE=FQ","FILING_STATUS=OR","EQY_CONSOLIDATED=Y","FA_ADJUSTED=GAAP","Sort=A","Dates=H","DateFormat=P","Fill=—","Direction=H","UseDPDF=Y")</f>
        <v>#NAME?</v>
      </c>
      <c r="G392" t="e">
        <f ca="1">_xll.BDH($C$378,"RETURN_ON_ASSET","FQ4 2016","FQ4 2016","Currency=INR","Period=FQ","BEST_FPERIOD_OVERRIDE=FQ","FILING_STATUS=OR","EQY_CONSOLIDATED=Y","FA_ADJUSTED=GAAP","Sort=A","Dates=H","DateFormat=P","Fill=—","Direction=H","UseDPDF=Y")</f>
        <v>#NAME?</v>
      </c>
      <c r="H392" t="e">
        <f ca="1">_xll.BDH($C$378,"RETURN_ON_CAP","FQ4 2016","FQ4 2016","Currency=INR","Period=FQ","BEST_FPERIOD_OVERRIDE=FQ","FILING_STATUS=OR","EQY_CONSOLIDATED=Y","FA_ADJUSTED=GAAP","Sort=A","Dates=H","DateFormat=P","Fill=—","Direction=H","UseDPDF=Y")</f>
        <v>#NAME?</v>
      </c>
      <c r="I392" t="e">
        <f ca="1">_xll.BDH($C$378,"RETURN_ON_INV_CAPITAL","FQ4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92" t="e">
        <f ca="1">_xll.BDH($C$378,"EBITDA_TO_REVENUE","FQ4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392" t="e">
        <f ca="1">_xll.BDH($C$378,"OPER_MARGIN","FQ4 2016","FQ4 2016","Currency=INR","Period=FQ","BEST_FPERIOD_OVERRIDE=FQ","FILING_STATUS=OR","EQY_CONSOLIDATED=Y","FA_ADJUSTED=GAAP","Sort=A","Dates=H","DateFormat=P","Fill=—","Direction=H","UseDPDF=Y")</f>
        <v>#NAME?</v>
      </c>
      <c r="L392" t="e">
        <f ca="1">_xll.BDH($C$378,"INCREMENTAL_OPERATING_MARGIN","FQ4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92" t="e">
        <f ca="1">_xll.BDH($C$378,"PRETAX_INC_TO_NET_SALES","FQ4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92" t="e">
        <f ca="1">_xll.BDH($C$378,"INC_BEF_XO_ITEMS_TO_NET_SALES","FQ4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92" t="e">
        <f ca="1">_xll.BDH($C$378,"PROF_MARGIN","FQ4 2016","FQ4 2016","Currency=INR","Period=FQ","BEST_FPERIOD_OVERRIDE=FQ","FILING_STATUS=OR","EQY_CONSOLIDATED=Y","FA_ADJUSTED=GAAP","Sort=A","Dates=H","DateFormat=P","Fill=—","Direction=H","UseDPDF=Y")</f>
        <v>#NAME?</v>
      </c>
      <c r="P392" t="e">
        <f ca="1">_xll.BDH($C$378,"NET_INCOME_TO_COMMON_MARGIN","FQ4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92" t="e">
        <f ca="1">_xll.BDH($C$378,"EFF_TAX_RATE","FQ4 2016","FQ4 2016","Currency=INR","Period=FQ","BEST_FPERIOD_OVERRIDE=FQ","FILING_STATUS=OR","EQY_CONSOLIDATED=Y","FA_ADJUSTED=GAAP","Sort=A","Dates=H","DateFormat=P","Fill=—","Direction=H","UseDPDF=Y")</f>
        <v>#NAME?</v>
      </c>
      <c r="R392" t="e">
        <f ca="1">_xll.BDH($C$378,"DVD_PAYOUT_RATIO","FQ4 2016","FQ4 2016","Currency=INR","Period=FQ","BEST_FPERIOD_OVERRIDE=FQ","FILING_STATUS=OR","EQY_CONSOLIDATED=Y","FA_ADJUSTED=GAAP","Sort=A","Dates=H","DateFormat=P","Fill=—","Direction=H","UseDPDF=Y")</f>
        <v>#NAME?</v>
      </c>
      <c r="S392" t="e">
        <f ca="1">_xll.BDH($C$378,"SUSTAIN_GROWTH_RT","FQ4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392" s="1" t="e">
        <f ca="1">_xll.BDH($C$378,"SALES_GROWTH","FQ4 2016","FQ4 2016","Currency=INR","Period=FQ","BEST_FPERIOD_OVERRIDE=FQ","FILING_STATUS=OR","EQY_CONSOLIDATED=Y","FA_ADJUSTED=GAAP","Sort=A","Dates=H","DateFormat=P","Fill=—","Direction=H","UseDPDF=Y")</f>
        <v>#NAME?</v>
      </c>
      <c r="U392" s="1" t="e">
        <f ca="1">_xll.BDH($C$378,"EBITDA_GROWTH","FQ4 2016","FQ4 2016","Currency=INR","Period=FQ","BEST_FPERIOD_OVERRIDE=FQ","FILING_STATUS=OR","EQY_CONSOLIDATED=Y","FA_ADJUSTED=GAAP","Sort=A","Dates=H","DateFormat=P","Fill=—","Direction=H","UseDPDF=Y")</f>
        <v>#NAME?</v>
      </c>
      <c r="V392" s="1" t="e">
        <f ca="1">_xll.BDH($C$378,"OPER_INC_GROWTH","FQ4 2016","FQ4 2016","Currency=INR","Period=FQ","BEST_FPERIOD_OVERRIDE=FQ","FILING_STATUS=OR","EQY_CONSOLIDATED=Y","FA_ADJUSTED=GAAP","Sort=A","Dates=H","DateFormat=P","Fill=—","Direction=H","UseDPDF=Y")</f>
        <v>#NAME?</v>
      </c>
      <c r="W392" s="1" t="e">
        <f ca="1">_xll.BDH($C$378,"EARN_FOR_COM_GROWTH","FQ4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92" s="1" t="e">
        <f ca="1">_xll.BDH($C$378,"DILUTED_EPS_AFT_XO_ITEMS_GROWTH","FQ4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92" s="1" t="e">
        <f ca="1">_xll.BDH($C$378,"DIVIDEND_PER_SHARE_1_YEAR_GROWTH","FQ4 2016","FQ4 2016","Currency=INR","Period=FQ","BEST_FPERIOD_OVERRIDE=FQ","FILING_STATUS=OR","EQY_CONSOLIDATED=Y","Sort=A","Dates=H","DateFormat=P","Fill=—","Direction=H","UseDPDF=Y")</f>
        <v>#NAME?</v>
      </c>
      <c r="Z392" s="1" t="e">
        <f ca="1">_xll.BDH($C$378,"ACCOUNTS_RECEIVABLE_GROWTH","FQ4 2016","FQ4 2016","Currency=INR","Period=FQ","BEST_FPERIOD_OVERRIDE=FQ","FILING_STATUS=OR","EQY_CONSOLIDATED=Y","Sort=A","Dates=H","DateFormat=P","Fill=—","Direction=H","UseDPDF=Y")</f>
        <v>#NAME?</v>
      </c>
      <c r="AA392" s="1" t="e">
        <f ca="1">_xll.BDH($C$378,"INVENTORY_GROWTH","FQ4 2016","FQ4 2016","Currency=INR","Period=FQ","BEST_FPERIOD_OVERRIDE=FQ","FILING_STATUS=OR","EQY_CONSOLIDATED=Y","Sort=A","Dates=H","DateFormat=P","Fill=—","Direction=H","UseDPDF=Y")</f>
        <v>#NAME?</v>
      </c>
      <c r="AB392" s="1" t="e">
        <f ca="1">_xll.BDH($C$378,"NET_FIXED_ASSETS_1_YEAR_GROWTH","FQ4 2016","FQ4 2016","Currency=INR","Period=FQ","BEST_FPERIOD_OVERRIDE=FQ","FILING_STATUS=OR","EQY_CONSOLIDATED=Y","Sort=A","Dates=H","DateFormat=P","Fill=—","Direction=H","UseDPDF=Y")</f>
        <v>#NAME?</v>
      </c>
      <c r="AC392" s="1" t="e">
        <f ca="1">_xll.BDH($C$378,"ASSET_GROWTH","FQ4 2016","FQ4 2016","Currency=INR","Period=FQ","BEST_FPERIOD_OVERRIDE=FQ","FILING_STATUS=OR","EQY_CONSOLIDATED=Y","Sort=A","Dates=H","DateFormat=P","Fill=—","Direction=H","UseDPDF=Y")</f>
        <v>#NAME?</v>
      </c>
      <c r="AD392" s="1" t="e">
        <f ca="1">_xll.BDH($C$378,"MODIFIED_WORK_CAP_GROWTH","FQ4 2016","FQ4 2016","Currency=INR","Period=FQ","BEST_FPERIOD_OVERRIDE=FQ","FILING_STATUS=OR","EQY_CONSOLIDATED=Y","Sort=A","Dates=H","DateFormat=P","Fill=—","Direction=H","UseDPDF=Y")</f>
        <v>#NAME?</v>
      </c>
      <c r="AE392" s="1" t="e">
        <f ca="1">_xll.BDH($C$378,"WORK_CAP_GROWTH","FQ4 2016","FQ4 2016","Currency=INR","Period=FQ","BEST_FPERIOD_OVERRIDE=FQ","FILING_STATUS=OR","EQY_CONSOLIDATED=Y","Sort=A","Dates=H","DateFormat=P","Fill=—","Direction=H","UseDPDF=Y")</f>
        <v>#NAME?</v>
      </c>
      <c r="AF392" s="1" t="e">
        <f ca="1">_xll.BDH($C$378,"ACCOUNTS_PAYABLE_GROWTH_1YR","FQ4 2016","FQ4 2016","Currency=INR","Period=FQ","BEST_FPERIOD_OVERRIDE=FQ","FILING_STATUS=OR","EQY_CONSOLIDATED=Y","Sort=A","Dates=H","DateFormat=P","Fill=—","Direction=H","UseDPDF=Y")</f>
        <v>#NAME?</v>
      </c>
      <c r="AG392" s="1" t="e">
        <f ca="1">_xll.BDH($C$378,"SHORT_TERM_DEBT_1_YEAR_GROWTH","FQ4 2016","FQ4 2016","Currency=INR","Period=FQ","BEST_FPERIOD_OVERRIDE=FQ","FILING_STATUS=OR","EQY_CONSOLIDATED=Y","Sort=A","Dates=H","DateFormat=P","Fill=—","Direction=H","UseDPDF=Y")</f>
        <v>#NAME?</v>
      </c>
      <c r="AH392" s="1" t="e">
        <f ca="1">_xll.BDH($C$378,"TOTAL_DEBT_1_YEAR_GROWTH","FQ4 2016","FQ4 2016","Currency=INR","Period=FQ","BEST_FPERIOD_OVERRIDE=FQ","FILING_STATUS=OR","EQY_CONSOLIDATED=Y","Sort=A","Dates=H","DateFormat=P","Fill=—","Direction=H","UseDPDF=Y")</f>
        <v>#NAME?</v>
      </c>
      <c r="AI392" s="1" t="e">
        <f ca="1">_xll.BDH($C$378,"TOTAL_EQUITY_1_YEAR_GROWTH","FQ4 2016","FQ4 2016","Currency=INR","Period=FQ","BEST_FPERIOD_OVERRIDE=FQ","FILING_STATUS=OR","EQY_CONSOLIDATED=Y","Sort=A","Dates=H","DateFormat=P","Fill=—","Direction=H","UseDPDF=Y")</f>
        <v>#NAME?</v>
      </c>
      <c r="AJ392" s="1" t="e">
        <f ca="1">_xll.BDH($C$378,"GROWTH_IN_CAP","FQ4 2016","FQ4 2016","Currency=INR","Period=FQ","BEST_FPERIOD_OVERRIDE=FQ","FILING_STATUS=OR","EQY_CONSOLIDATED=Y","Sort=A","Dates=H","DateFormat=P","Fill=—","Direction=H","UseDPDF=Y")</f>
        <v>#NAME?</v>
      </c>
      <c r="AK392" s="1" t="e">
        <f ca="1">_xll.BDH($C$378,"BVPS_GROWTH","FQ4 2016","FQ4 2016","Currency=INR","Period=FQ","BEST_FPERIOD_OVERRIDE=FQ","FILING_STATUS=OR","EQY_CONSOLIDATED=Y","Sort=A","Dates=H","DateFormat=P","Fill=—","Direction=H","UseDPDF=Y")</f>
        <v>#NAME?</v>
      </c>
      <c r="AL392" s="1" t="e">
        <f ca="1">_xll.BDH($C$378,"CASH_FLOW_GROWTH","FQ4 2016","FQ4 2016","Currency=INR","Period=FQ","BEST_FPERIOD_OVERRIDE=FQ","FILING_STATUS=OR","EQY_CONSOLIDATED=Y","Sort=A","Dates=H","DateFormat=P","Fill=—","Direction=H","UseDPDF=Y")</f>
        <v>#NAME?</v>
      </c>
      <c r="AM392" s="1" t="e">
        <f ca="1">_xll.BDH($C$378,"GEO_GROW_NET_SALES","FQ4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92" s="1" t="e">
        <f ca="1">_xll.BDH($C$378,"GEO_GROW_EBITDA","FQ4 2016","FQ4 2016","Currency=INR","Period=FQ","BEST_FPERIOD_OVERRIDE=FQ","FILING_STATUS=OR","EQY_CONSOLIDATED=Y","FA_ADJUSTED=GAAP","Sort=A","Dates=H","DateFormat=P","Fill=—","Direction=H","UseDPDF=Y")</f>
        <v>#NAME?</v>
      </c>
      <c r="AO392" s="1" t="e">
        <f ca="1">_xll.BDH($C$378,"GEO_GROW_OPER_INC","FQ4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92" s="1" t="e">
        <f ca="1">_xll.BDH($C$378,"NET_INCOME_TO_COMMON_5_YR_GROWTH","FQ4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92" s="1" t="e">
        <f ca="1">_xll.BDH($C$378,"5Y_GEO_GROWTH_DILUTED_EPS","FQ4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92" s="1" t="e">
        <f ca="1">_xll.BDH($C$378,"GEO_GROW_DVD_PER_SH","FQ4 2016","FQ4 2016","Currency=INR","Period=FQ","BEST_FPERIOD_OVERRIDE=FQ","FILING_STATUS=OR","EQY_CONSOLIDATED=Y","Sort=A","Dates=H","DateFormat=P","Fill=—","Direction=H","UseDPDF=Y")</f>
        <v>#NAME?</v>
      </c>
      <c r="AS392" s="1" t="e">
        <f ca="1">_xll.BDH($C$378,"ACCOUNTS_RECEIVABLE_5_YR_GROWTH","FQ4 2016","FQ4 2016","Currency=INR","Period=FQ","BEST_FPERIOD_OVERRIDE=FQ","FILING_STATUS=OR","EQY_CONSOLIDATED=Y","Sort=A","Dates=H","DateFormat=P","Fill=—","Direction=H","UseDPDF=Y")</f>
        <v>#NAME?</v>
      </c>
      <c r="AT392" s="1" t="e">
        <f ca="1">_xll.BDH($C$378,"INVENTORY_5_YEAR_GROWTH","FQ4 2016","FQ4 2016","Currency=INR","Period=FQ","BEST_FPERIOD_OVERRIDE=FQ","FILING_STATUS=OR","EQY_CONSOLIDATED=Y","Sort=A","Dates=H","DateFormat=P","Fill=—","Direction=H","UseDPDF=Y")</f>
        <v>#NAME?</v>
      </c>
      <c r="AU392" s="1" t="e">
        <f ca="1">_xll.BDH($C$378,"NET_FIXED_ASSETS_5_YEAR_GROWTH","FQ4 2016","FQ4 2016","Currency=INR","Period=FQ","BEST_FPERIOD_OVERRIDE=FQ","FILING_STATUS=OR","EQY_CONSOLIDATED=Y","Sort=A","Dates=H","DateFormat=P","Fill=—","Direction=H","UseDPDF=Y")</f>
        <v>#NAME?</v>
      </c>
      <c r="AV392" s="1" t="e">
        <f ca="1">_xll.BDH($C$378,"GEO_GROW_TOT_ASSET","FQ4 2016","FQ4 2016","Currency=INR","Period=FQ","BEST_FPERIOD_OVERRIDE=FQ","FILING_STATUS=OR","EQY_CONSOLIDATED=Y","Sort=A","Dates=H","DateFormat=P","Fill=—","Direction=H","UseDPDF=Y")</f>
        <v>#NAME?</v>
      </c>
      <c r="AW392" s="1" t="e">
        <f ca="1">_xll.BDH($C$378,"MODIFIED_WORKING_CPTL_5YR_GRWTH","FQ4 2016","FQ4 2016","Currency=INR","Period=FQ","BEST_FPERIOD_OVERRIDE=FQ","FILING_STATUS=OR","EQY_CONSOLIDATED=Y","Sort=A","Dates=H","DateFormat=P","Fill=—","Direction=H","UseDPDF=Y")</f>
        <v>#NAME?</v>
      </c>
      <c r="AX392" s="1" t="e">
        <f ca="1">_xll.BDH($C$378,"WORKING_CAPITAL_5_YEAR_GROWTH","FQ4 2016","FQ4 2016","Currency=INR","Period=FQ","BEST_FPERIOD_OVERRIDE=FQ","FILING_STATUS=OR","EQY_CONSOLIDATED=Y","Sort=A","Dates=H","DateFormat=P","Fill=—","Direction=H","UseDPDF=Y")</f>
        <v>#NAME?</v>
      </c>
      <c r="AY392" s="1" t="e">
        <f ca="1">_xll.BDH($C$378,"ACCOUNTS_PAYABLE_5_YEAR_GROWTH","FQ4 2016","FQ4 2016","Currency=INR","Period=FQ","BEST_FPERIOD_OVERRIDE=FQ","FILING_STATUS=OR","EQY_CONSOLIDATED=Y","Sort=A","Dates=H","DateFormat=P","Fill=—","Direction=H","UseDPDF=Y")</f>
        <v>#NAME?</v>
      </c>
      <c r="AZ392" s="1" t="e">
        <f ca="1">_xll.BDH($C$378,"SHORT_TERM_DEBT_5_YEAR_GROWTH","FQ4 2016","FQ4 2016","Currency=INR","Period=FQ","BEST_FPERIOD_OVERRIDE=FQ","FILING_STATUS=OR","EQY_CONSOLIDATED=Y","Sort=A","Dates=H","DateFormat=P","Fill=—","Direction=H","UseDPDF=Y")</f>
        <v>#NAME?</v>
      </c>
      <c r="BA392" s="1" t="e">
        <f ca="1">_xll.BDH($C$378,"TOTAL_DEBT_5_YEAR_GROWTH","FQ4 2016","FQ4 2016","Currency=INR","Period=FQ","BEST_FPERIOD_OVERRIDE=FQ","FILING_STATUS=OR","EQY_CONSOLIDATED=Y","Sort=A","Dates=H","DateFormat=P","Fill=—","Direction=H","UseDPDF=Y")</f>
        <v>#NAME?</v>
      </c>
      <c r="BB392" s="1" t="e">
        <f ca="1">_xll.BDH($C$378,"GEO_GROW_TOT_SHRHLDR_EQY","FQ4 2016","FQ4 2016","Currency=INR","Period=FQ","BEST_FPERIOD_OVERRIDE=FQ","FILING_STATUS=OR","EQY_CONSOLIDATED=Y","Sort=A","Dates=H","DateFormat=P","Fill=—","Direction=H","UseDPDF=Y")</f>
        <v>#NAME?</v>
      </c>
      <c r="BC392" s="1" t="e">
        <f ca="1">_xll.BDH($C$378,"TOTAL_CAPITAL_5_YEAR_GROWTH","FQ4 2016","FQ4 2016","Currency=INR","Period=FQ","BEST_FPERIOD_OVERRIDE=FQ","FILING_STATUS=OR","EQY_CONSOLIDATED=Y","Sort=A","Dates=H","DateFormat=P","Fill=—","Direction=H","UseDPDF=Y")</f>
        <v>#NAME?</v>
      </c>
      <c r="BD392" s="1" t="e">
        <f ca="1">_xll.BDH($C$378,"GEO_GROW_BOOK_VAL","FQ4 2016","FQ4 2016","Currency=INR","Period=FQ","BEST_FPERIOD_OVERRIDE=FQ","FILING_STATUS=OR","EQY_CONSOLIDATED=Y","Sort=A","Dates=H","DateFormat=P","Fill=—","Direction=H","UseDPDF=Y")</f>
        <v>#NAME?</v>
      </c>
      <c r="BE392" s="1" t="e">
        <f ca="1">_xll.BDH($C$378,"GEO_GROW_CASH_OPER_ACT","FQ4 2016","FQ4 2016","Currency=INR","Period=FQ","BEST_FPERIOD_OVERRIDE=FQ","FILING_STATUS=OR","EQY_CONSOLIDATED=Y","Sort=A","Dates=H","DateFormat=P","Fill=—","Direction=H","UseDPDF=Y")</f>
        <v>#NAME?</v>
      </c>
      <c r="BF392" s="1" t="e">
        <f ca="1">_xll.BDH($C$378,"REVENUE_SEQUENTIAL_GROWTH","FQ4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92" s="1" t="e">
        <f ca="1">_xll.BDH($C$378,"EBITDA_SEQUENTIAL_GROWTH","FQ4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92" s="1" t="e">
        <f ca="1">_xll.BDH($C$378,"OPERATING_INCOME_SEQ_GROWTH","FQ4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92" s="1" t="e">
        <f ca="1">_xll.BDH($C$378,"NET_INCOME_TO_COMMON_SEQ_GROWTH","FQ4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92" s="1" t="e">
        <f ca="1">_xll.BDH($C$378,"EPS_DILUTED_SEQUENTIAL_GROWTH","FQ4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92" s="1" t="e">
        <f ca="1">_xll.BDH($C$378,"DPS_SEQUENTIAL_GROWTH","FQ4 2016","FQ4 2016","Currency=INR","Period=FQ","BEST_FPERIOD_OVERRIDE=FQ","FILING_STATUS=OR","EQY_CONSOLIDATED=Y","Sort=A","Dates=H","DateFormat=P","Fill=—","Direction=H","UseDPDF=Y")</f>
        <v>#NAME?</v>
      </c>
      <c r="BL392" s="1" t="e">
        <f ca="1">_xll.BDH($C$378,"ACCOUNTS_RECEIVABLE_SEQ_GROWTH","FQ4 2016","FQ4 2016","Currency=INR","Period=FQ","BEST_FPERIOD_OVERRIDE=FQ","FILING_STATUS=OR","EQY_CONSOLIDATED=Y","Sort=A","Dates=H","DateFormat=P","Fill=—","Direction=H","UseDPDF=Y")</f>
        <v>#NAME?</v>
      </c>
      <c r="BM392" s="1" t="e">
        <f ca="1">_xll.BDH($C$378,"INVENTORY_SEQUENTIAL_GROWTH","FQ4 2016","FQ4 2016","Currency=INR","Period=FQ","BEST_FPERIOD_OVERRIDE=FQ","FILING_STATUS=OR","EQY_CONSOLIDATED=Y","Sort=A","Dates=H","DateFormat=P","Fill=—","Direction=H","UseDPDF=Y")</f>
        <v>#NAME?</v>
      </c>
      <c r="BN392" s="1" t="e">
        <f ca="1">_xll.BDH($C$378,"FIXED_ASSETS_SEQUENTIAL_GROWTH","FQ4 2016","FQ4 2016","Currency=INR","Period=FQ","BEST_FPERIOD_OVERRIDE=FQ","FILING_STATUS=OR","EQY_CONSOLIDATED=Y","Sort=A","Dates=H","DateFormat=P","Fill=—","Direction=H","UseDPDF=Y")</f>
        <v>#NAME?</v>
      </c>
      <c r="BO392" s="1" t="e">
        <f ca="1">_xll.BDH($C$378,"TOTAL_ASSETS_SEQUENTIAL_GROWTH","FQ4 2016","FQ4 2016","Currency=INR","Period=FQ","BEST_FPERIOD_OVERRIDE=FQ","FILING_STATUS=OR","EQY_CONSOLIDATED=Y","Sort=A","Dates=H","DateFormat=P","Fill=—","Direction=H","UseDPDF=Y")</f>
        <v>#NAME?</v>
      </c>
      <c r="BP392" s="1" t="e">
        <f ca="1">_xll.BDH($C$378,"MODIFIED_WORKING_CPTL_SEQ_GRWTH","FQ4 2016","FQ4 2016","Currency=INR","Period=FQ","BEST_FPERIOD_OVERRIDE=FQ","FILING_STATUS=OR","EQY_CONSOLIDATED=Y","Sort=A","Dates=H","DateFormat=P","Fill=—","Direction=H","UseDPDF=Y")</f>
        <v>#NAME?</v>
      </c>
      <c r="BQ392" s="1" t="e">
        <f ca="1">_xll.BDH($C$378,"WORKING_CAPITAL_SEQ_GROWTH","FQ4 2016","FQ4 2016","Currency=INR","Period=FQ","BEST_FPERIOD_OVERRIDE=FQ","FILING_STATUS=OR","EQY_CONSOLIDATED=Y","Sort=A","Dates=H","DateFormat=P","Fill=—","Direction=H","UseDPDF=Y")</f>
        <v>#NAME?</v>
      </c>
      <c r="BR392" s="1" t="e">
        <f ca="1">_xll.BDH($C$378,"ACCOUNTS_PAYABLE_SEQ_GROWTH","FQ4 2016","FQ4 2016","Currency=INR","Period=FQ","BEST_FPERIOD_OVERRIDE=FQ","FILING_STATUS=OR","EQY_CONSOLIDATED=Y","Sort=A","Dates=H","DateFormat=P","Fill=—","Direction=H","UseDPDF=Y")</f>
        <v>#NAME?</v>
      </c>
      <c r="BS392" s="1" t="e">
        <f ca="1">_xll.BDH($C$378,"ST_DEBT_SEQUENTIAL_GROWTH","FQ4 2016","FQ4 2016","Currency=INR","Period=FQ","BEST_FPERIOD_OVERRIDE=FQ","FILING_STATUS=OR","EQY_CONSOLIDATED=Y","Sort=A","Dates=H","DateFormat=P","Fill=—","Direction=H","UseDPDF=Y")</f>
        <v>#NAME?</v>
      </c>
      <c r="BT392" s="1" t="e">
        <f ca="1">_xll.BDH($C$378,"TOTAL_DEBT_SEQUENTIAL_GROWTH","FQ4 2016","FQ4 2016","Currency=INR","Period=FQ","BEST_FPERIOD_OVERRIDE=FQ","FILING_STATUS=OR","EQY_CONSOLIDATED=Y","Sort=A","Dates=H","DateFormat=P","Fill=—","Direction=H","UseDPDF=Y")</f>
        <v>#NAME?</v>
      </c>
      <c r="BU392" s="1" t="e">
        <f ca="1">_xll.BDH($C$378,"TOTAL_EQUITY_SEQUENTIAL_GROWTH","FQ4 2016","FQ4 2016","Currency=INR","Period=FQ","BEST_FPERIOD_OVERRIDE=FQ","FILING_STATUS=OR","EQY_CONSOLIDATED=Y","Sort=A","Dates=H","DateFormat=P","Fill=—","Direction=H","UseDPDF=Y")</f>
        <v>#NAME?</v>
      </c>
      <c r="BV392" s="1" t="e">
        <f ca="1">_xll.BDH($C$378,"TOTAL_CAPITAL_SEQUENTIAL_GROWTH","FQ4 2016","FQ4 2016","Currency=INR","Period=FQ","BEST_FPERIOD_OVERRIDE=FQ","FILING_STATUS=OR","EQY_CONSOLIDATED=Y","Sort=A","Dates=H","DateFormat=P","Fill=—","Direction=H","UseDPDF=Y")</f>
        <v>#NAME?</v>
      </c>
      <c r="BW392" s="1" t="e">
        <f ca="1">_xll.BDH($C$378,"BPS_SEQUENTIAL_GROWTH","FQ4 2016","FQ4 2016","Currency=INR","Period=FQ","BEST_FPERIOD_OVERRIDE=FQ","FILING_STATUS=OR","EQY_CONSOLIDATED=Y","Sort=A","Dates=H","DateFormat=P","Fill=—","Direction=H","UseDPDF=Y")</f>
        <v>#NAME?</v>
      </c>
      <c r="BX392" s="1" t="e">
        <f ca="1">_xll.BDH($C$378,"CFO_SEQUENTIAL_GROWTH","FQ4 2016","FQ4 2016","Currency=INR","Period=FQ","BEST_FPERIOD_OVERRIDE=FQ","FILING_STATUS=OR","EQY_CONSOLIDATED=Y","Sort=A","Dates=H","DateFormat=P","Fill=—","Direction=H","UseDPDF=Y")</f>
        <v>#NAME?</v>
      </c>
      <c r="BY392" s="2" t="e">
        <f ca="1">_xll.BDH($C$378,"SHORT_AND_LONG_TERM_DEBT","FQ4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92" s="2" t="e">
        <f ca="1">_xll.BDH($C$378,"BS_ST_BORROW","FQ4 2016","FQ4 2016","Currency=INR","Period=FQ","BEST_FPERIOD_OVERRIDE=FQ","FILING_STATUS=OR","EQY_CONSOLIDATED=Y","SCALING_FORMAT=MLN","Sort=A","Dates=H","DateFormat=P","Fill=—","Direction=H","UseDPDF=Y")</f>
        <v>#NAME?</v>
      </c>
      <c r="CA392" s="2" t="e">
        <f ca="1">_xll.BDH($C$378,"BS_LT_BORROW","FQ4 2016","FQ4 2016","Currency=INR","Period=FQ","BEST_FPERIOD_OVERRIDE=FQ","FILING_STATUS=OR","EQY_CONSOLIDATED=Y","SCALING_FORMAT=MLN","Sort=A","Dates=H","DateFormat=P","Fill=—","Direction=H","UseDPDF=Y")</f>
        <v>#NAME?</v>
      </c>
      <c r="CB392" s="1" t="e">
        <f ca="1">_xll.BDH($C$378,"TOT_DEBT_TO_EBITDA","FQ4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92" s="1" t="e">
        <f ca="1">_xll.BDH($C$378,"NET_DEBT_TO_EBITDA","FQ4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92" s="1" t="e">
        <f ca="1">_xll.BDH($C$378,"TOTAL_DEBT_TO_EBIT","FQ4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92" s="1" t="e">
        <f ca="1">_xll.BDH($C$378,"NET_DEBT_TO_EBIT","FQ4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392" s="1" t="e">
        <f ca="1">_xll.BDH($C$378,"EBITDA_TO_INTEREST_EXPN","FQ4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92" s="1" t="e">
        <f ca="1">_xll.BDH($C$378,"COM_EQY_TO_TOT_ASSET","FQ4 2016","FQ4 2016","Currency=INR","Period=FQ","BEST_FPERIOD_OVERRIDE=FQ","FILING_STATUS=OR","EQY_CONSOLIDATED=Y","Sort=A","Dates=H","DateFormat=P","Fill=—","Direction=H","UseDPDF=Y")</f>
        <v>#NAME?</v>
      </c>
      <c r="CH392" s="1" t="e">
        <f ca="1">_xll.BDH($C$378,"LT_DEBT_TO_TOT_EQY","FQ4 2016","FQ4 2016","Currency=INR","Period=FQ","BEST_FPERIOD_OVERRIDE=FQ","FILING_STATUS=OR","EQY_CONSOLIDATED=Y","Sort=A","Dates=H","DateFormat=P","Fill=—","Direction=H","UseDPDF=Y")</f>
        <v>#NAME?</v>
      </c>
      <c r="CI392" s="1" t="e">
        <f ca="1">_xll.BDH($C$378,"LT_DEBT_TO_TOT_CAP","FQ4 2016","FQ4 2016","Currency=INR","Period=FQ","BEST_FPERIOD_OVERRIDE=FQ","FILING_STATUS=OR","EQY_CONSOLIDATED=Y","Sort=A","Dates=H","DateFormat=P","Fill=—","Direction=H","UseDPDF=Y")</f>
        <v>#NAME?</v>
      </c>
      <c r="CJ392" s="1" t="e">
        <f ca="1">_xll.BDH($C$378,"LT_DEBT_TO_TOT_ASSET","FQ4 2016","FQ4 2016","Currency=INR","Period=FQ","BEST_FPERIOD_OVERRIDE=FQ","FILING_STATUS=OR","EQY_CONSOLIDATED=Y","Sort=A","Dates=H","DateFormat=P","Fill=—","Direction=H","UseDPDF=Y")</f>
        <v>#NAME?</v>
      </c>
      <c r="CK392" s="1" t="e">
        <f ca="1">_xll.BDH($C$378,"TOT_DEBT_TO_TOT_EQY","FQ4 2016","FQ4 2016","Currency=INR","Period=FQ","BEST_FPERIOD_OVERRIDE=FQ","FILING_STATUS=OR","EQY_CONSOLIDATED=Y","Sort=A","Dates=H","DateFormat=P","Fill=—","Direction=H","UseDPDF=Y")</f>
        <v>#NAME?</v>
      </c>
      <c r="CL392" s="1" t="e">
        <f ca="1">_xll.BDH($C$378,"TOT_DEBT_TO_TOT_CAP","FQ4 2016","FQ4 2016","Currency=INR","Period=FQ","BEST_FPERIOD_OVERRIDE=FQ","FILING_STATUS=OR","EQY_CONSOLIDATED=Y","Sort=A","Dates=H","DateFormat=P","Fill=—","Direction=H","UseDPDF=Y")</f>
        <v>#NAME?</v>
      </c>
      <c r="CM392" s="1" t="e">
        <f ca="1">_xll.BDH($C$378,"TOT_DEBT_TO_TOT_ASSET","FQ4 2016","FQ4 2016","Currency=INR","Period=FQ","BEST_FPERIOD_OVERRIDE=FQ","FILING_STATUS=OR","EQY_CONSOLIDATED=Y","Sort=A","Dates=H","DateFormat=P","Fill=—","Direction=H","UseDPDF=Y")</f>
        <v>#NAME?</v>
      </c>
      <c r="CN392" s="1" t="e">
        <f ca="1">_xll.BDH($C$378,"NET_DEBT_TO_SHRHLDR_EQTY","FQ4 2016","FQ4 2016","Currency=INR","Period=FQ","BEST_FPERIOD_OVERRIDE=FQ","FILING_STATUS=OR","EQY_CONSOLIDATED=Y","Sort=A","Dates=H","DateFormat=P","Fill=—","Direction=H","UseDPDF=Y")</f>
        <v>#NAME?</v>
      </c>
      <c r="CO392" s="1" t="e">
        <f ca="1">_xll.BDH($C$378,"NET_DEBT_%_CAPITAL","FQ4 2016","FQ4 2016","Currency=INR","Period=FQ","BEST_FPERIOD_OVERRIDE=FQ","FILING_STATUS=OR","EQY_CONSOLIDATED=Y","Sort=A","Dates=H","DateFormat=P","Fill=—","Direction=H","UseDPDF=Y")</f>
        <v>#NAME?</v>
      </c>
      <c r="CP392" s="2" t="e">
        <f ca="1">_xll.BDH($C$378,"EBITDA","FQ4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92" s="2" t="e">
        <f ca="1">_xll.BDH($C$378,"EBITDA_AFTER_CAPEX","FQ4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92" s="2" t="e">
        <f ca="1">_xll.BDH($C$378,"IS_OPER_INC","FQ4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92" s="1" t="e">
        <f ca="1">_xll.BDH($C$378,"CASH_RATIO","FQ4 2016","FQ4 2016","Currency=INR","Period=FQ","BEST_FPERIOD_OVERRIDE=FQ","FILING_STATUS=OR","EQY_CONSOLIDATED=Y","Sort=A","Dates=H","DateFormat=P","Fill=—","Direction=H","UseDPDF=Y")</f>
        <v>#NAME?</v>
      </c>
      <c r="CT392" s="1" t="e">
        <f ca="1">_xll.BDH($C$378,"CUR_RATIO","FQ4 2016","FQ4 2016","Currency=INR","Period=FQ","BEST_FPERIOD_OVERRIDE=FQ","FILING_STATUS=OR","EQY_CONSOLIDATED=Y","Sort=A","Dates=H","DateFormat=P","Fill=—","Direction=H","UseDPDF=Y")</f>
        <v>#NAME?</v>
      </c>
      <c r="CU392" s="1" t="e">
        <f ca="1">_xll.BDH($C$378,"QUICK_RATIO","FQ4 2016","FQ4 2016","Currency=INR","Period=FQ","BEST_FPERIOD_OVERRIDE=FQ","FILING_STATUS=OR","EQY_CONSOLIDATED=Y","Sort=A","Dates=H","DateFormat=P","Fill=—","Direction=H","UseDPDF=Y")</f>
        <v>#NAME?</v>
      </c>
      <c r="CV392" s="1" t="e">
        <f ca="1">_xll.BDH($C$378,"ALTMAN_Z_SCORE","FQ4 2016","FQ4 2016","Currency=INR","Period=FQ","BEST_FPERIOD_OVERRIDE=FQ","FILING_STATUS=OR","EQY_CONSOLIDATED=Y","Sort=A","Dates=H","DateFormat=P","Fill=—","Direction=H","UseDPDF=Y")</f>
        <v>#NAME?</v>
      </c>
      <c r="CW392" s="3" t="e">
        <f ca="1">_xll.BDH($C$378,"ACCT_RCV_TURN","FQ4 2016","FQ4 2016","Currency=INR","Period=FQ","BEST_FPERIOD_OVERRIDE=FQ","FILING_STATUS=OR","EQY_CONSOLIDATED=Y","FA_ADJUSTED=GAAP","Sort=A","Dates=H","DateFormat=P","Fill=—","Direction=H","UseDPDF=Y")</f>
        <v>#NAME?</v>
      </c>
      <c r="CX392" s="1" t="e">
        <f ca="1">_xll.BDH($C$378,"ACCT_RCV_DAYS","FQ4 2016","FQ4 2016","Currency=INR","Period=FQ","BEST_FPERIOD_OVERRIDE=FQ","FILING_STATUS=OR","EQY_CONSOLIDATED=Y","FA_ADJUSTED=GAAP","Sort=A","Dates=H","DateFormat=P","Fill=—","Direction=H","UseDPDF=Y")</f>
        <v>#NAME?</v>
      </c>
      <c r="CY392" s="3" t="e">
        <f ca="1">_xll.BDH($C$378,"INVENT_TURN","FQ4 2016","FQ4 2016","Currency=INR","Period=FQ","BEST_FPERIOD_OVERRIDE=FQ","FILING_STATUS=OR","EQY_CONSOLIDATED=Y","FA_ADJUSTED=GAAP","Sort=A","Dates=H","DateFormat=P","Fill=—","Direction=H","UseDPDF=Y")</f>
        <v>#NAME?</v>
      </c>
      <c r="CZ392" s="1" t="e">
        <f ca="1">_xll.BDH($C$378,"INVENT_DAYS","FQ4 2016","FQ4 2016","Currency=INR","Period=FQ","BEST_FPERIOD_OVERRIDE=FQ","FILING_STATUS=OR","EQY_CONSOLIDATED=Y","FA_ADJUSTED=GAAP","Sort=A","Dates=H","DateFormat=P","Fill=—","Direction=H","UseDPDF=Y")</f>
        <v>#NAME?</v>
      </c>
      <c r="DA392" s="3" t="e">
        <f ca="1">_xll.BDH($C$378,"ACCOUNTS_PAYABLE_TURNOVER","FQ4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92" s="1" t="e">
        <f ca="1">_xll.BDH($C$378,"ACCOUNTS_PAYABLE_TURNOVER_DAYS","FQ4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92" s="3" t="e">
        <f ca="1">_xll.BDH($C$378,"CASH_CONVERSION_CYCLE","FQ4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92" s="3" t="e">
        <f ca="1">_xll.BDH($C$378,"INV_TO_CASH_DAYS","FQ4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392" s="4" t="e">
        <f ca="1">_xll.BDH($C$378,"BS_INVENTORIES","FQ4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392" s="2" t="e">
        <f ca="1">_xll.BDH($C$378,"INVTRY_RAW_MATERIALS","FQ4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92" s="2" t="e">
        <f ca="1">_xll.BDH($C$378,"INVTRY_IN_PROGRESS","FQ4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92" s="2" t="e">
        <f ca="1">_xll.BDH($C$378,"INVTRY_FINISHED_GOODS","FQ4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92" s="2" t="e">
        <f ca="1">_xll.BDH($C$378,"BS_OTHER_INV","FQ4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93" spans="1:113" x14ac:dyDescent="0.3">
      <c r="A393" s="6"/>
      <c r="B393" s="6"/>
      <c r="C393" s="6"/>
      <c r="D393" s="6" t="s">
        <v>10</v>
      </c>
      <c r="E393" t="s">
        <v>3</v>
      </c>
      <c r="F393" t="e">
        <f ca="1">_xll.BDH($C$378,"RETURN_COM_EQY","FY 2017","FY 2017","Currency=INR","Period=FY","BEST_FPERIOD_OVERRIDE=FY","FILING_STATUS=OR","EQY_CONSOLIDATED=Y","FA_ADJUSTED=GAAP","Sort=A","Dates=H","DateFormat=P","Fill=—","Direction=H","UseDPDF=Y")</f>
        <v>#NAME?</v>
      </c>
      <c r="G393" t="e">
        <f ca="1">_xll.BDH($C$378,"RETURN_ON_ASSET","FY 2017","FY 2017","Currency=INR","Period=FY","BEST_FPERIOD_OVERRIDE=FY","FILING_STATUS=OR","EQY_CONSOLIDATED=Y","FA_ADJUSTED=GAAP","Sort=A","Dates=H","DateFormat=P","Fill=—","Direction=H","UseDPDF=Y")</f>
        <v>#NAME?</v>
      </c>
      <c r="H393" t="e">
        <f ca="1">_xll.BDH($C$378,"RETURN_ON_CAP","FY 2017","FY 2017","Currency=INR","Period=FY","BEST_FPERIOD_OVERRIDE=FY","FILING_STATUS=OR","EQY_CONSOLIDATED=Y","FA_ADJUSTED=GAAP","Sort=A","Dates=H","DateFormat=P","Fill=—","Direction=H","UseDPDF=Y")</f>
        <v>#NAME?</v>
      </c>
      <c r="I393" t="e">
        <f ca="1">_xll.BDH($C$378,"RETURN_ON_INV_CAPITAL","FY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93" t="e">
        <f ca="1">_xll.BDH($C$378,"EBITDA_TO_REVENUE","FY 2017","FY 2017","Currency=INR","Period=FY","BEST_FPERIOD_OVERRIDE=FY","FILING_STATUS=OR","EQY_CONSOLIDATED=Y","FA_ADJUSTED=GAAP","Sort=A","Dates=H","DateFormat=P","Fill=—","Direction=H","UseDPDF=Y")</f>
        <v>#NAME?</v>
      </c>
      <c r="K393" t="e">
        <f ca="1">_xll.BDH($C$378,"OPER_MARGIN","FY 2017","FY 2017","Currency=INR","Period=FY","BEST_FPERIOD_OVERRIDE=FY","FILING_STATUS=OR","EQY_CONSOLIDATED=Y","FA_ADJUSTED=GAAP","Sort=A","Dates=H","DateFormat=P","Fill=—","Direction=H","UseDPDF=Y")</f>
        <v>#NAME?</v>
      </c>
      <c r="L393" t="e">
        <f ca="1">_xll.BDH($C$378,"INCREMENTAL_OPERATING_MARGIN","FY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93" t="e">
        <f ca="1">_xll.BDH($C$378,"PRETAX_INC_TO_NET_SALES","FY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93" t="e">
        <f ca="1">_xll.BDH($C$378,"INC_BEF_XO_ITEMS_TO_NET_SALES","FY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93" t="e">
        <f ca="1">_xll.BDH($C$378,"PROF_MARGIN","FY 2017","FY 2017","Currency=INR","Period=FY","BEST_FPERIOD_OVERRIDE=FY","FILING_STATUS=OR","EQY_CONSOLIDATED=Y","FA_ADJUSTED=GAAP","Sort=A","Dates=H","DateFormat=P","Fill=—","Direction=H","UseDPDF=Y")</f>
        <v>#NAME?</v>
      </c>
      <c r="P393" t="e">
        <f ca="1">_xll.BDH($C$378,"NET_INCOME_TO_COMMON_MARGIN","FY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93" t="e">
        <f ca="1">_xll.BDH($C$378,"EFF_TAX_RATE","FY 2017","FY 2017","Currency=INR","Period=FY","BEST_FPERIOD_OVERRIDE=FY","FILING_STATUS=OR","EQY_CONSOLIDATED=Y","FA_ADJUSTED=GAAP","Sort=A","Dates=H","DateFormat=P","Fill=—","Direction=H","UseDPDF=Y")</f>
        <v>#NAME?</v>
      </c>
      <c r="R393" t="e">
        <f ca="1">_xll.BDH($C$378,"DVD_PAYOUT_RATIO","FY 2017","FY 2017","Currency=INR","Period=FY","BEST_FPERIOD_OVERRIDE=FY","FILING_STATUS=OR","EQY_CONSOLIDATED=Y","FA_ADJUSTED=GAAP","Sort=A","Dates=H","DateFormat=P","Fill=—","Direction=H","UseDPDF=Y")</f>
        <v>#NAME?</v>
      </c>
      <c r="S393" t="e">
        <f ca="1">_xll.BDH($C$378,"SUSTAIN_GROWTH_RT","FY 2017","FY 2017","Currency=INR","Period=FY","BEST_FPERIOD_OVERRIDE=FY","FILING_STATUS=OR","EQY_CONSOLIDATED=Y","FA_ADJUSTED=GAAP","Sort=A","Dates=H","DateFormat=P","Fill=—","Direction=H","UseDPDF=Y")</f>
        <v>#NAME?</v>
      </c>
      <c r="T393" s="1" t="e">
        <f ca="1">_xll.BDH($C$378,"SALES_GROWTH","FY 2017","FY 2017","Currency=INR","Period=FY","BEST_FPERIOD_OVERRIDE=FY","FILING_STATUS=OR","EQY_CONSOLIDATED=Y","FA_ADJUSTED=GAAP","Sort=A","Dates=H","DateFormat=P","Fill=—","Direction=H","UseDPDF=Y")</f>
        <v>#NAME?</v>
      </c>
      <c r="U393" s="1" t="e">
        <f ca="1">_xll.BDH($C$378,"EBITDA_GROWTH","FY 2017","FY 2017","Currency=INR","Period=FY","BEST_FPERIOD_OVERRIDE=FY","FILING_STATUS=OR","EQY_CONSOLIDATED=Y","FA_ADJUSTED=GAAP","Sort=A","Dates=H","DateFormat=P","Fill=—","Direction=H","UseDPDF=Y")</f>
        <v>#NAME?</v>
      </c>
      <c r="V393" s="1" t="e">
        <f ca="1">_xll.BDH($C$378,"OPER_INC_GROWTH","FY 2017","FY 2017","Currency=INR","Period=FY","BEST_FPERIOD_OVERRIDE=FY","FILING_STATUS=OR","EQY_CONSOLIDATED=Y","FA_ADJUSTED=GAAP","Sort=A","Dates=H","DateFormat=P","Fill=—","Direction=H","UseDPDF=Y")</f>
        <v>#NAME?</v>
      </c>
      <c r="W393" s="1" t="e">
        <f ca="1">_xll.BDH($C$378,"EARN_FOR_COM_GROWTH","FY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393" s="1" t="e">
        <f ca="1">_xll.BDH($C$378,"DILUTED_EPS_AFT_XO_ITEMS_GROWTH","FY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93" s="1" t="e">
        <f ca="1">_xll.BDH($C$378,"DIVIDEND_PER_SHARE_1_YEAR_GROWTH","FY 2017","FY 2017","Currency=INR","Period=FY","BEST_FPERIOD_OVERRIDE=FY","FILING_STATUS=OR","EQY_CONSOLIDATED=Y","Sort=A","Dates=H","DateFormat=P","Fill=—","Direction=H","UseDPDF=Y")</f>
        <v>#NAME?</v>
      </c>
      <c r="Z393" s="1" t="e">
        <f ca="1">_xll.BDH($C$378,"ACCOUNTS_RECEIVABLE_GROWTH","FY 2017","FY 2017","Currency=INR","Period=FY","BEST_FPERIOD_OVERRIDE=FY","FILING_STATUS=OR","EQY_CONSOLIDATED=Y","Sort=A","Dates=H","DateFormat=P","Fill=—","Direction=H","UseDPDF=Y")</f>
        <v>#NAME?</v>
      </c>
      <c r="AA393" s="1" t="e">
        <f ca="1">_xll.BDH($C$378,"INVENTORY_GROWTH","FY 2017","FY 2017","Currency=INR","Period=FY","BEST_FPERIOD_OVERRIDE=FY","FILING_STATUS=OR","EQY_CONSOLIDATED=Y","Sort=A","Dates=H","DateFormat=P","Fill=—","Direction=H","UseDPDF=Y")</f>
        <v>#NAME?</v>
      </c>
      <c r="AB393" s="1" t="e">
        <f ca="1">_xll.BDH($C$378,"NET_FIXED_ASSETS_1_YEAR_GROWTH","FY 2017","FY 2017","Currency=INR","Period=FY","BEST_FPERIOD_OVERRIDE=FY","FILING_STATUS=OR","EQY_CONSOLIDATED=Y","Sort=A","Dates=H","DateFormat=P","Fill=—","Direction=H","UseDPDF=Y")</f>
        <v>#NAME?</v>
      </c>
      <c r="AC393" s="1" t="e">
        <f ca="1">_xll.BDH($C$378,"ASSET_GROWTH","FY 2017","FY 2017","Currency=INR","Period=FY","BEST_FPERIOD_OVERRIDE=FY","FILING_STATUS=OR","EQY_CONSOLIDATED=Y","Sort=A","Dates=H","DateFormat=P","Fill=—","Direction=H","UseDPDF=Y")</f>
        <v>#NAME?</v>
      </c>
      <c r="AD393" s="1" t="e">
        <f ca="1">_xll.BDH($C$378,"MODIFIED_WORK_CAP_GROWTH","FY 2017","FY 2017","Currency=INR","Period=FY","BEST_FPERIOD_OVERRIDE=FY","FILING_STATUS=OR","EQY_CONSOLIDATED=Y","Sort=A","Dates=H","DateFormat=P","Fill=—","Direction=H","UseDPDF=Y")</f>
        <v>#NAME?</v>
      </c>
      <c r="AE393" s="1" t="e">
        <f ca="1">_xll.BDH($C$378,"WORK_CAP_GROWTH","FY 2017","FY 2017","Currency=INR","Period=FY","BEST_FPERIOD_OVERRIDE=FY","FILING_STATUS=OR","EQY_CONSOLIDATED=Y","Sort=A","Dates=H","DateFormat=P","Fill=—","Direction=H","UseDPDF=Y")</f>
        <v>#NAME?</v>
      </c>
      <c r="AF393" s="1" t="e">
        <f ca="1">_xll.BDH($C$378,"ACCOUNTS_PAYABLE_GROWTH_1YR","FY 2017","FY 2017","Currency=INR","Period=FY","BEST_FPERIOD_OVERRIDE=FY","FILING_STATUS=OR","EQY_CONSOLIDATED=Y","Sort=A","Dates=H","DateFormat=P","Fill=—","Direction=H","UseDPDF=Y")</f>
        <v>#NAME?</v>
      </c>
      <c r="AG393" s="1" t="e">
        <f ca="1">_xll.BDH($C$378,"SHORT_TERM_DEBT_1_YEAR_GROWTH","FY 2017","FY 2017","Currency=INR","Period=FY","BEST_FPERIOD_OVERRIDE=FY","FILING_STATUS=OR","EQY_CONSOLIDATED=Y","Sort=A","Dates=H","DateFormat=P","Fill=—","Direction=H","UseDPDF=Y")</f>
        <v>#NAME?</v>
      </c>
      <c r="AH393" s="1" t="e">
        <f ca="1">_xll.BDH($C$378,"TOTAL_DEBT_1_YEAR_GROWTH","FY 2017","FY 2017","Currency=INR","Period=FY","BEST_FPERIOD_OVERRIDE=FY","FILING_STATUS=OR","EQY_CONSOLIDATED=Y","Sort=A","Dates=H","DateFormat=P","Fill=—","Direction=H","UseDPDF=Y")</f>
        <v>#NAME?</v>
      </c>
      <c r="AI393" s="1" t="e">
        <f ca="1">_xll.BDH($C$378,"TOTAL_EQUITY_1_YEAR_GROWTH","FY 2017","FY 2017","Currency=INR","Period=FY","BEST_FPERIOD_OVERRIDE=FY","FILING_STATUS=OR","EQY_CONSOLIDATED=Y","Sort=A","Dates=H","DateFormat=P","Fill=—","Direction=H","UseDPDF=Y")</f>
        <v>#NAME?</v>
      </c>
      <c r="AJ393" s="1" t="e">
        <f ca="1">_xll.BDH($C$378,"GROWTH_IN_CAP","FY 2017","FY 2017","Currency=INR","Period=FY","BEST_FPERIOD_OVERRIDE=FY","FILING_STATUS=OR","EQY_CONSOLIDATED=Y","Sort=A","Dates=H","DateFormat=P","Fill=—","Direction=H","UseDPDF=Y")</f>
        <v>#NAME?</v>
      </c>
      <c r="AK393" s="1" t="e">
        <f ca="1">_xll.BDH($C$378,"BVPS_GROWTH","FY 2017","FY 2017","Currency=INR","Period=FY","BEST_FPERIOD_OVERRIDE=FY","FILING_STATUS=OR","EQY_CONSOLIDATED=Y","Sort=A","Dates=H","DateFormat=P","Fill=—","Direction=H","UseDPDF=Y")</f>
        <v>#NAME?</v>
      </c>
      <c r="AL393" s="1" t="e">
        <f ca="1">_xll.BDH($C$378,"CASH_FLOW_GROWTH","FY 2017","FY 2017","Currency=INR","Period=FY","BEST_FPERIOD_OVERRIDE=FY","FILING_STATUS=OR","EQY_CONSOLIDATED=Y","Sort=A","Dates=H","DateFormat=P","Fill=—","Direction=H","UseDPDF=Y")</f>
        <v>#NAME?</v>
      </c>
      <c r="AM393" s="1" t="e">
        <f ca="1">_xll.BDH($C$378,"GEO_GROW_NET_SALES","FY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393" s="1" t="e">
        <f ca="1">_xll.BDH($C$378,"GEO_GROW_EBITDA","FY 2017","FY 2017","Currency=INR","Period=FY","BEST_FPERIOD_OVERRIDE=FY","FILING_STATUS=OR","EQY_CONSOLIDATED=Y","FA_ADJUSTED=GAAP","Sort=A","Dates=H","DateFormat=P","Fill=—","Direction=H","UseDPDF=Y")</f>
        <v>#NAME?</v>
      </c>
      <c r="AO393" s="1" t="e">
        <f ca="1">_xll.BDH($C$378,"GEO_GROW_OPER_INC","FY 2017","FY 2017","Currency=INR","Period=FY","BEST_FPERIOD_OVERRIDE=FY","FILING_STATUS=OR","EQY_CONSOLIDATED=Y","FA_ADJUSTED=GAAP","Sort=A","Dates=H","DateFormat=P","Fill=—","Direction=H","UseDPDF=Y")</f>
        <v>#NAME?</v>
      </c>
      <c r="AP393" s="1" t="e">
        <f ca="1">_xll.BDH($C$378,"NET_INCOME_TO_COMMON_5_YR_GROWTH","FY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93" s="1" t="e">
        <f ca="1">_xll.BDH($C$378,"5Y_GEO_GROWTH_DILUTED_EPS","FY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93" s="1" t="e">
        <f ca="1">_xll.BDH($C$378,"GEO_GROW_DVD_PER_SH","FY 2017","FY 2017","Currency=INR","Period=FY","BEST_FPERIOD_OVERRIDE=FY","FILING_STATUS=OR","EQY_CONSOLIDATED=Y","Sort=A","Dates=H","DateFormat=P","Fill=—","Direction=H","UseDPDF=Y")</f>
        <v>#NAME?</v>
      </c>
      <c r="AS393" s="1" t="e">
        <f ca="1">_xll.BDH($C$378,"ACCOUNTS_RECEIVABLE_5_YR_GROWTH","FY 2017","FY 2017","Currency=INR","Period=FY","BEST_FPERIOD_OVERRIDE=FY","FILING_STATUS=OR","EQY_CONSOLIDATED=Y","Sort=A","Dates=H","DateFormat=P","Fill=—","Direction=H","UseDPDF=Y")</f>
        <v>#NAME?</v>
      </c>
      <c r="AT393" s="1" t="e">
        <f ca="1">_xll.BDH($C$378,"INVENTORY_5_YEAR_GROWTH","FY 2017","FY 2017","Currency=INR","Period=FY","BEST_FPERIOD_OVERRIDE=FY","FILING_STATUS=OR","EQY_CONSOLIDATED=Y","Sort=A","Dates=H","DateFormat=P","Fill=—","Direction=H","UseDPDF=Y")</f>
        <v>#NAME?</v>
      </c>
      <c r="AU393" s="1" t="e">
        <f ca="1">_xll.BDH($C$378,"NET_FIXED_ASSETS_5_YEAR_GROWTH","FY 2017","FY 2017","Currency=INR","Period=FY","BEST_FPERIOD_OVERRIDE=FY","FILING_STATUS=OR","EQY_CONSOLIDATED=Y","Sort=A","Dates=H","DateFormat=P","Fill=—","Direction=H","UseDPDF=Y")</f>
        <v>#NAME?</v>
      </c>
      <c r="AV393" s="1" t="e">
        <f ca="1">_xll.BDH($C$378,"GEO_GROW_TOT_ASSET","FY 2017","FY 2017","Currency=INR","Period=FY","BEST_FPERIOD_OVERRIDE=FY","FILING_STATUS=OR","EQY_CONSOLIDATED=Y","Sort=A","Dates=H","DateFormat=P","Fill=—","Direction=H","UseDPDF=Y")</f>
        <v>#NAME?</v>
      </c>
      <c r="AW393" s="1" t="e">
        <f ca="1">_xll.BDH($C$378,"MODIFIED_WORKING_CPTL_5YR_GRWTH","FY 2017","FY 2017","Currency=INR","Period=FY","BEST_FPERIOD_OVERRIDE=FY","FILING_STATUS=OR","EQY_CONSOLIDATED=Y","Sort=A","Dates=H","DateFormat=P","Fill=—","Direction=H","UseDPDF=Y")</f>
        <v>#NAME?</v>
      </c>
      <c r="AX393" s="1" t="e">
        <f ca="1">_xll.BDH($C$378,"WORKING_CAPITAL_5_YEAR_GROWTH","FY 2017","FY 2017","Currency=INR","Period=FY","BEST_FPERIOD_OVERRIDE=FY","FILING_STATUS=OR","EQY_CONSOLIDATED=Y","Sort=A","Dates=H","DateFormat=P","Fill=—","Direction=H","UseDPDF=Y")</f>
        <v>#NAME?</v>
      </c>
      <c r="AY393" s="1" t="e">
        <f ca="1">_xll.BDH($C$378,"ACCOUNTS_PAYABLE_5_YEAR_GROWTH","FY 2017","FY 2017","Currency=INR","Period=FY","BEST_FPERIOD_OVERRIDE=FY","FILING_STATUS=OR","EQY_CONSOLIDATED=Y","Sort=A","Dates=H","DateFormat=P","Fill=—","Direction=H","UseDPDF=Y")</f>
        <v>#NAME?</v>
      </c>
      <c r="AZ393" s="1" t="e">
        <f ca="1">_xll.BDH($C$378,"SHORT_TERM_DEBT_5_YEAR_GROWTH","FY 2017","FY 2017","Currency=INR","Period=FY","BEST_FPERIOD_OVERRIDE=FY","FILING_STATUS=OR","EQY_CONSOLIDATED=Y","Sort=A","Dates=H","DateFormat=P","Fill=—","Direction=H","UseDPDF=Y")</f>
        <v>#NAME?</v>
      </c>
      <c r="BA393" s="1" t="e">
        <f ca="1">_xll.BDH($C$378,"TOTAL_DEBT_5_YEAR_GROWTH","FY 2017","FY 2017","Currency=INR","Period=FY","BEST_FPERIOD_OVERRIDE=FY","FILING_STATUS=OR","EQY_CONSOLIDATED=Y","Sort=A","Dates=H","DateFormat=P","Fill=—","Direction=H","UseDPDF=Y")</f>
        <v>#NAME?</v>
      </c>
      <c r="BB393" s="1" t="e">
        <f ca="1">_xll.BDH($C$378,"GEO_GROW_TOT_SHRHLDR_EQY","FY 2017","FY 2017","Currency=INR","Period=FY","BEST_FPERIOD_OVERRIDE=FY","FILING_STATUS=OR","EQY_CONSOLIDATED=Y","Sort=A","Dates=H","DateFormat=P","Fill=—","Direction=H","UseDPDF=Y")</f>
        <v>#NAME?</v>
      </c>
      <c r="BC393" s="1" t="e">
        <f ca="1">_xll.BDH($C$378,"TOTAL_CAPITAL_5_YEAR_GROWTH","FY 2017","FY 2017","Currency=INR","Period=FY","BEST_FPERIOD_OVERRIDE=FY","FILING_STATUS=OR","EQY_CONSOLIDATED=Y","Sort=A","Dates=H","DateFormat=P","Fill=—","Direction=H","UseDPDF=Y")</f>
        <v>#NAME?</v>
      </c>
      <c r="BD393" s="1" t="e">
        <f ca="1">_xll.BDH($C$378,"GEO_GROW_BOOK_VAL","FY 2017","FY 2017","Currency=INR","Period=FY","BEST_FPERIOD_OVERRIDE=FY","FILING_STATUS=OR","EQY_CONSOLIDATED=Y","Sort=A","Dates=H","DateFormat=P","Fill=—","Direction=H","UseDPDF=Y")</f>
        <v>#NAME?</v>
      </c>
      <c r="BE393" s="1" t="e">
        <f ca="1">_xll.BDH($C$378,"GEO_GROW_CASH_OPER_ACT","FY 2017","FY 2017","Currency=INR","Period=FY","BEST_FPERIOD_OVERRIDE=FY","FILING_STATUS=OR","EQY_CONSOLIDATED=Y","Sort=A","Dates=H","DateFormat=P","Fill=—","Direction=H","UseDPDF=Y")</f>
        <v>#NAME?</v>
      </c>
      <c r="BF393" s="1" t="e">
        <f ca="1">_xll.BDH($C$378,"REVENUE_SEQUENTIAL_GROWTH","FY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93" s="1" t="e">
        <f ca="1">_xll.BDH($C$378,"EBITDA_SEQUENTIAL_GROWTH","FY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93" s="1" t="e">
        <f ca="1">_xll.BDH($C$378,"OPERATING_INCOME_SEQ_GROWTH","FY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93" s="1" t="e">
        <f ca="1">_xll.BDH($C$378,"NET_INCOME_TO_COMMON_SEQ_GROWTH","FY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93" s="1" t="e">
        <f ca="1">_xll.BDH($C$378,"EPS_DILUTED_SEQUENTIAL_GROWTH","FY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93" s="1" t="e">
        <f ca="1">_xll.BDH($C$378,"DPS_SEQUENTIAL_GROWTH","FY 2017","FY 2017","Currency=INR","Period=FY","BEST_FPERIOD_OVERRIDE=FY","FILING_STATUS=OR","EQY_CONSOLIDATED=Y","Sort=A","Dates=H","DateFormat=P","Fill=—","Direction=H","UseDPDF=Y")</f>
        <v>#NAME?</v>
      </c>
      <c r="BL393" s="1" t="e">
        <f ca="1">_xll.BDH($C$378,"ACCOUNTS_RECEIVABLE_SEQ_GROWTH","FY 2017","FY 2017","Currency=INR","Period=FY","BEST_FPERIOD_OVERRIDE=FY","FILING_STATUS=OR","EQY_CONSOLIDATED=Y","Sort=A","Dates=H","DateFormat=P","Fill=—","Direction=H","UseDPDF=Y")</f>
        <v>#NAME?</v>
      </c>
      <c r="BM393" s="1" t="e">
        <f ca="1">_xll.BDH($C$378,"INVENTORY_SEQUENTIAL_GROWTH","FY 2017","FY 2017","Currency=INR","Period=FY","BEST_FPERIOD_OVERRIDE=FY","FILING_STATUS=OR","EQY_CONSOLIDATED=Y","Sort=A","Dates=H","DateFormat=P","Fill=—","Direction=H","UseDPDF=Y")</f>
        <v>#NAME?</v>
      </c>
      <c r="BN393" s="1" t="e">
        <f ca="1">_xll.BDH($C$378,"FIXED_ASSETS_SEQUENTIAL_GROWTH","FY 2017","FY 2017","Currency=INR","Period=FY","BEST_FPERIOD_OVERRIDE=FY","FILING_STATUS=OR","EQY_CONSOLIDATED=Y","Sort=A","Dates=H","DateFormat=P","Fill=—","Direction=H","UseDPDF=Y")</f>
        <v>#NAME?</v>
      </c>
      <c r="BO393" s="1" t="e">
        <f ca="1">_xll.BDH($C$378,"TOTAL_ASSETS_SEQUENTIAL_GROWTH","FY 2017","FY 2017","Currency=INR","Period=FY","BEST_FPERIOD_OVERRIDE=FY","FILING_STATUS=OR","EQY_CONSOLIDATED=Y","Sort=A","Dates=H","DateFormat=P","Fill=—","Direction=H","UseDPDF=Y")</f>
        <v>#NAME?</v>
      </c>
      <c r="BP393" s="1" t="e">
        <f ca="1">_xll.BDH($C$378,"MODIFIED_WORKING_CPTL_SEQ_GRWTH","FY 2017","FY 2017","Currency=INR","Period=FY","BEST_FPERIOD_OVERRIDE=FY","FILING_STATUS=OR","EQY_CONSOLIDATED=Y","Sort=A","Dates=H","DateFormat=P","Fill=—","Direction=H","UseDPDF=Y")</f>
        <v>#NAME?</v>
      </c>
      <c r="BQ393" s="1" t="e">
        <f ca="1">_xll.BDH($C$378,"WORKING_CAPITAL_SEQ_GROWTH","FY 2017","FY 2017","Currency=INR","Period=FY","BEST_FPERIOD_OVERRIDE=FY","FILING_STATUS=OR","EQY_CONSOLIDATED=Y","Sort=A","Dates=H","DateFormat=P","Fill=—","Direction=H","UseDPDF=Y")</f>
        <v>#NAME?</v>
      </c>
      <c r="BR393" s="1" t="e">
        <f ca="1">_xll.BDH($C$378,"ACCOUNTS_PAYABLE_SEQ_GROWTH","FY 2017","FY 2017","Currency=INR","Period=FY","BEST_FPERIOD_OVERRIDE=FY","FILING_STATUS=OR","EQY_CONSOLIDATED=Y","Sort=A","Dates=H","DateFormat=P","Fill=—","Direction=H","UseDPDF=Y")</f>
        <v>#NAME?</v>
      </c>
      <c r="BS393" s="1" t="e">
        <f ca="1">_xll.BDH($C$378,"ST_DEBT_SEQUENTIAL_GROWTH","FY 2017","FY 2017","Currency=INR","Period=FY","BEST_FPERIOD_OVERRIDE=FY","FILING_STATUS=OR","EQY_CONSOLIDATED=Y","Sort=A","Dates=H","DateFormat=P","Fill=—","Direction=H","UseDPDF=Y")</f>
        <v>#NAME?</v>
      </c>
      <c r="BT393" s="1" t="e">
        <f ca="1">_xll.BDH($C$378,"TOTAL_DEBT_SEQUENTIAL_GROWTH","FY 2017","FY 2017","Currency=INR","Period=FY","BEST_FPERIOD_OVERRIDE=FY","FILING_STATUS=OR","EQY_CONSOLIDATED=Y","Sort=A","Dates=H","DateFormat=P","Fill=—","Direction=H","UseDPDF=Y")</f>
        <v>#NAME?</v>
      </c>
      <c r="BU393" s="1" t="e">
        <f ca="1">_xll.BDH($C$378,"TOTAL_EQUITY_SEQUENTIAL_GROWTH","FY 2017","FY 2017","Currency=INR","Period=FY","BEST_FPERIOD_OVERRIDE=FY","FILING_STATUS=OR","EQY_CONSOLIDATED=Y","Sort=A","Dates=H","DateFormat=P","Fill=—","Direction=H","UseDPDF=Y")</f>
        <v>#NAME?</v>
      </c>
      <c r="BV393" s="1" t="e">
        <f ca="1">_xll.BDH($C$378,"TOTAL_CAPITAL_SEQUENTIAL_GROWTH","FY 2017","FY 2017","Currency=INR","Period=FY","BEST_FPERIOD_OVERRIDE=FY","FILING_STATUS=OR","EQY_CONSOLIDATED=Y","Sort=A","Dates=H","DateFormat=P","Fill=—","Direction=H","UseDPDF=Y")</f>
        <v>#NAME?</v>
      </c>
      <c r="BW393" s="1" t="e">
        <f ca="1">_xll.BDH($C$378,"BPS_SEQUENTIAL_GROWTH","FY 2017","FY 2017","Currency=INR","Period=FY","BEST_FPERIOD_OVERRIDE=FY","FILING_STATUS=OR","EQY_CONSOLIDATED=Y","Sort=A","Dates=H","DateFormat=P","Fill=—","Direction=H","UseDPDF=Y")</f>
        <v>#NAME?</v>
      </c>
      <c r="BX393" s="1" t="e">
        <f ca="1">_xll.BDH($C$378,"CFO_SEQUENTIAL_GROWTH","FY 2017","FY 2017","Currency=INR","Period=FY","BEST_FPERIOD_OVERRIDE=FY","FILING_STATUS=OR","EQY_CONSOLIDATED=Y","Sort=A","Dates=H","DateFormat=P","Fill=—","Direction=H","UseDPDF=Y")</f>
        <v>#NAME?</v>
      </c>
      <c r="BY393" s="2" t="e">
        <f ca="1">_xll.BDH($C$378,"SHORT_AND_LONG_TERM_DEBT","FY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93" s="2" t="e">
        <f ca="1">_xll.BDH($C$378,"BS_ST_BORROW","FY 2017","FY 2017","Currency=INR","Period=FY","BEST_FPERIOD_OVERRIDE=FY","FILING_STATUS=OR","EQY_CONSOLIDATED=Y","SCALING_FORMAT=MLN","Sort=A","Dates=H","DateFormat=P","Fill=—","Direction=H","UseDPDF=Y")</f>
        <v>#NAME?</v>
      </c>
      <c r="CA393" s="2" t="e">
        <f ca="1">_xll.BDH($C$378,"BS_LT_BORROW","FY 2017","FY 2017","Currency=INR","Period=FY","BEST_FPERIOD_OVERRIDE=FY","FILING_STATUS=OR","EQY_CONSOLIDATED=Y","SCALING_FORMAT=MLN","Sort=A","Dates=H","DateFormat=P","Fill=—","Direction=H","UseDPDF=Y")</f>
        <v>#NAME?</v>
      </c>
      <c r="CB393" s="1" t="e">
        <f ca="1">_xll.BDH($C$378,"TOT_DEBT_TO_EBITDA","FY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393" s="1" t="e">
        <f ca="1">_xll.BDH($C$378,"NET_DEBT_TO_EBITDA","FY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393" s="1" t="e">
        <f ca="1">_xll.BDH($C$378,"TOTAL_DEBT_TO_EBIT","FY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393" s="1" t="e">
        <f ca="1">_xll.BDH($C$378,"NET_DEBT_TO_EBIT","FY 2017","FY 2017","Currency=INR","Period=FY","BEST_FPERIOD_OVERRIDE=FY","FILING_STATUS=OR","EQY_CONSOLIDATED=Y","FA_ADJUSTED=GAAP","Sort=A","Dates=H","DateFormat=P","Fill=—","Direction=H","UseDPDF=Y")</f>
        <v>#NAME?</v>
      </c>
      <c r="CF393" s="1" t="e">
        <f ca="1">_xll.BDH($C$378,"EBITDA_TO_INTEREST_EXPN","FY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93" s="1" t="e">
        <f ca="1">_xll.BDH($C$378,"COM_EQY_TO_TOT_ASSET","FY 2017","FY 2017","Currency=INR","Period=FY","BEST_FPERIOD_OVERRIDE=FY","FILING_STATUS=OR","EQY_CONSOLIDATED=Y","Sort=A","Dates=H","DateFormat=P","Fill=—","Direction=H","UseDPDF=Y")</f>
        <v>#NAME?</v>
      </c>
      <c r="CH393" s="1" t="e">
        <f ca="1">_xll.BDH($C$378,"LT_DEBT_TO_TOT_EQY","FY 2017","FY 2017","Currency=INR","Period=FY","BEST_FPERIOD_OVERRIDE=FY","FILING_STATUS=OR","EQY_CONSOLIDATED=Y","Sort=A","Dates=H","DateFormat=P","Fill=—","Direction=H","UseDPDF=Y")</f>
        <v>#NAME?</v>
      </c>
      <c r="CI393" s="1" t="e">
        <f ca="1">_xll.BDH($C$378,"LT_DEBT_TO_TOT_CAP","FY 2017","FY 2017","Currency=INR","Period=FY","BEST_FPERIOD_OVERRIDE=FY","FILING_STATUS=OR","EQY_CONSOLIDATED=Y","Sort=A","Dates=H","DateFormat=P","Fill=—","Direction=H","UseDPDF=Y")</f>
        <v>#NAME?</v>
      </c>
      <c r="CJ393" s="1" t="e">
        <f ca="1">_xll.BDH($C$378,"LT_DEBT_TO_TOT_ASSET","FY 2017","FY 2017","Currency=INR","Period=FY","BEST_FPERIOD_OVERRIDE=FY","FILING_STATUS=OR","EQY_CONSOLIDATED=Y","Sort=A","Dates=H","DateFormat=P","Fill=—","Direction=H","UseDPDF=Y")</f>
        <v>#NAME?</v>
      </c>
      <c r="CK393" s="1" t="e">
        <f ca="1">_xll.BDH($C$378,"TOT_DEBT_TO_TOT_EQY","FY 2017","FY 2017","Currency=INR","Period=FY","BEST_FPERIOD_OVERRIDE=FY","FILING_STATUS=OR","EQY_CONSOLIDATED=Y","Sort=A","Dates=H","DateFormat=P","Fill=—","Direction=H","UseDPDF=Y")</f>
        <v>#NAME?</v>
      </c>
      <c r="CL393" s="1" t="e">
        <f ca="1">_xll.BDH($C$378,"TOT_DEBT_TO_TOT_CAP","FY 2017","FY 2017","Currency=INR","Period=FY","BEST_FPERIOD_OVERRIDE=FY","FILING_STATUS=OR","EQY_CONSOLIDATED=Y","Sort=A","Dates=H","DateFormat=P","Fill=—","Direction=H","UseDPDF=Y")</f>
        <v>#NAME?</v>
      </c>
      <c r="CM393" s="1" t="e">
        <f ca="1">_xll.BDH($C$378,"TOT_DEBT_TO_TOT_ASSET","FY 2017","FY 2017","Currency=INR","Period=FY","BEST_FPERIOD_OVERRIDE=FY","FILING_STATUS=OR","EQY_CONSOLIDATED=Y","Sort=A","Dates=H","DateFormat=P","Fill=—","Direction=H","UseDPDF=Y")</f>
        <v>#NAME?</v>
      </c>
      <c r="CN393" s="1" t="e">
        <f ca="1">_xll.BDH($C$378,"NET_DEBT_TO_SHRHLDR_EQTY","FY 2017","FY 2017","Currency=INR","Period=FY","BEST_FPERIOD_OVERRIDE=FY","FILING_STATUS=OR","EQY_CONSOLIDATED=Y","Sort=A","Dates=H","DateFormat=P","Fill=—","Direction=H","UseDPDF=Y")</f>
        <v>#NAME?</v>
      </c>
      <c r="CO393" s="1" t="e">
        <f ca="1">_xll.BDH($C$378,"NET_DEBT_%_CAPITAL","FY 2017","FY 2017","Currency=INR","Period=FY","BEST_FPERIOD_OVERRIDE=FY","FILING_STATUS=OR","EQY_CONSOLIDATED=Y","Sort=A","Dates=H","DateFormat=P","Fill=—","Direction=H","UseDPDF=Y")</f>
        <v>#NAME?</v>
      </c>
      <c r="CP393" s="2" t="e">
        <f ca="1">_xll.BDH($C$378,"EBITDA","FY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93" s="2" t="e">
        <f ca="1">_xll.BDH($C$378,"EBITDA_AFTER_CAPEX","FY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93" s="2" t="e">
        <f ca="1">_xll.BDH($C$378,"IS_OPER_INC","FY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93" s="1" t="e">
        <f ca="1">_xll.BDH($C$378,"CASH_RATIO","FY 2017","FY 2017","Currency=INR","Period=FY","BEST_FPERIOD_OVERRIDE=FY","FILING_STATUS=OR","EQY_CONSOLIDATED=Y","Sort=A","Dates=H","DateFormat=P","Fill=—","Direction=H","UseDPDF=Y")</f>
        <v>#NAME?</v>
      </c>
      <c r="CT393" s="1" t="e">
        <f ca="1">_xll.BDH($C$378,"CUR_RATIO","FY 2017","FY 2017","Currency=INR","Period=FY","BEST_FPERIOD_OVERRIDE=FY","FILING_STATUS=OR","EQY_CONSOLIDATED=Y","Sort=A","Dates=H","DateFormat=P","Fill=—","Direction=H","UseDPDF=Y")</f>
        <v>#NAME?</v>
      </c>
      <c r="CU393" s="1" t="e">
        <f ca="1">_xll.BDH($C$378,"QUICK_RATIO","FY 2017","FY 2017","Currency=INR","Period=FY","BEST_FPERIOD_OVERRIDE=FY","FILING_STATUS=OR","EQY_CONSOLIDATED=Y","Sort=A","Dates=H","DateFormat=P","Fill=—","Direction=H","UseDPDF=Y")</f>
        <v>#NAME?</v>
      </c>
      <c r="CV393" s="1" t="e">
        <f ca="1">_xll.BDH($C$378,"ALTMAN_Z_SCORE","FY 2017","FY 2017","Currency=INR","Period=FY","BEST_FPERIOD_OVERRIDE=FY","FILING_STATUS=OR","EQY_CONSOLIDATED=Y","Sort=A","Dates=H","DateFormat=P","Fill=—","Direction=H","UseDPDF=Y")</f>
        <v>#NAME?</v>
      </c>
      <c r="CW393" s="3" t="e">
        <f ca="1">_xll.BDH($C$378,"ACCT_RCV_TURN","FY 2017","FY 2017","Currency=INR","Period=FY","BEST_FPERIOD_OVERRIDE=FY","FILING_STATUS=OR","EQY_CONSOLIDATED=Y","FA_ADJUSTED=GAAP","Sort=A","Dates=H","DateFormat=P","Fill=—","Direction=H","UseDPDF=Y")</f>
        <v>#NAME?</v>
      </c>
      <c r="CX393" s="1" t="e">
        <f ca="1">_xll.BDH($C$378,"ACCT_RCV_DAYS","FY 2017","FY 2017","Currency=INR","Period=FY","BEST_FPERIOD_OVERRIDE=FY","FILING_STATUS=OR","EQY_CONSOLIDATED=Y","FA_ADJUSTED=GAAP","Sort=A","Dates=H","DateFormat=P","Fill=—","Direction=H","UseDPDF=Y")</f>
        <v>#NAME?</v>
      </c>
      <c r="CY393" s="3" t="e">
        <f ca="1">_xll.BDH($C$378,"INVENT_TURN","FY 2017","FY 2017","Currency=INR","Period=FY","BEST_FPERIOD_OVERRIDE=FY","FILING_STATUS=OR","EQY_CONSOLIDATED=Y","FA_ADJUSTED=GAAP","Sort=A","Dates=H","DateFormat=P","Fill=—","Direction=H","UseDPDF=Y")</f>
        <v>#NAME?</v>
      </c>
      <c r="CZ393" s="1" t="e">
        <f ca="1">_xll.BDH($C$378,"INVENT_DAYS","FY 2017","FY 2017","Currency=INR","Period=FY","BEST_FPERIOD_OVERRIDE=FY","FILING_STATUS=OR","EQY_CONSOLIDATED=Y","FA_ADJUSTED=GAAP","Sort=A","Dates=H","DateFormat=P","Fill=—","Direction=H","UseDPDF=Y")</f>
        <v>#NAME?</v>
      </c>
      <c r="DA393" s="3" t="e">
        <f ca="1">_xll.BDH($C$378,"ACCOUNTS_PAYABLE_TURNOVER","FY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93" s="1" t="e">
        <f ca="1">_xll.BDH($C$378,"ACCOUNTS_PAYABLE_TURNOVER_DAYS","FY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93" s="3" t="e">
        <f ca="1">_xll.BDH($C$378,"CASH_CONVERSION_CYCLE","FY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93" s="3" t="e">
        <f ca="1">_xll.BDH($C$378,"INV_TO_CASH_DAYS","FY 2017","FY 2017","Currency=INR","Period=FY","BEST_FPERIOD_OVERRIDE=FY","FILING_STATUS=OR","EQY_CONSOLIDATED=Y","FA_ADJUSTED=GAAP","Sort=A","Dates=H","DateFormat=P","Fill=—","Direction=H","UseDPDF=Y")</f>
        <v>#NAME?</v>
      </c>
      <c r="DE393" s="4" t="e">
        <f ca="1">_xll.BDH($C$378,"BS_INVENTORIES","FY 2017","FY 2017","Currency=INR","Period=FY","BEST_FPERIOD_OVERRIDE=FY","FILING_STATUS=OR","EQY_CONSOLIDATED=Y","SCALING_FORMAT=MLN","Sort=A","Dates=H","DateFormat=P","Fill=—","Direction=H","UseDPDF=Y")</f>
        <v>#NAME?</v>
      </c>
      <c r="DF393" s="2" t="e">
        <f ca="1">_xll.BDH($C$378,"INVTRY_RAW_MATERIALS","FY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93" s="2" t="e">
        <f ca="1">_xll.BDH($C$378,"INVTRY_IN_PROGRESS","FY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93" s="2" t="e">
        <f ca="1">_xll.BDH($C$378,"INVTRY_FINISHED_GOODS","FY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93" s="2" t="e">
        <f ca="1">_xll.BDH($C$378,"BS_OTHER_INV","FY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94" spans="1:113" x14ac:dyDescent="0.3">
      <c r="A394" s="6"/>
      <c r="B394" s="6"/>
      <c r="C394" s="6"/>
      <c r="D394" s="6"/>
      <c r="E394" t="s">
        <v>4</v>
      </c>
      <c r="F394" t="e">
        <f ca="1">_xll.BDH($C$378,"RETURN_COM_EQY","FQ1 2017","FQ1 2017","Currency=INR","Period=FQ","BEST_FPERIOD_OVERRIDE=FQ","FILING_STATUS=OR","EQY_CONSOLIDATED=Y","FA_ADJUSTED=GAAP","Sort=A","Dates=H","DateFormat=P","Fill=—","Direction=H","UseDPDF=Y")</f>
        <v>#NAME?</v>
      </c>
      <c r="G394" t="e">
        <f ca="1">_xll.BDH($C$378,"RETURN_ON_ASSET","FQ1 2017","FQ1 2017","Currency=INR","Period=FQ","BEST_FPERIOD_OVERRIDE=FQ","FILING_STATUS=OR","EQY_CONSOLIDATED=Y","FA_ADJUSTED=GAAP","Sort=A","Dates=H","DateFormat=P","Fill=—","Direction=H","UseDPDF=Y")</f>
        <v>#NAME?</v>
      </c>
      <c r="H394" t="e">
        <f ca="1">_xll.BDH($C$378,"RETURN_ON_CAP","FQ1 2017","FQ1 2017","Currency=INR","Period=FQ","BEST_FPERIOD_OVERRIDE=FQ","FILING_STATUS=OR","EQY_CONSOLIDATED=Y","FA_ADJUSTED=GAAP","Sort=A","Dates=H","DateFormat=P","Fill=—","Direction=H","UseDPDF=Y")</f>
        <v>#NAME?</v>
      </c>
      <c r="I394" t="e">
        <f ca="1">_xll.BDH($C$378,"RETURN_ON_INV_CAPITAL","FQ1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94" t="e">
        <f ca="1">_xll.BDH($C$378,"EBITDA_TO_REVENUE","FQ1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394" t="e">
        <f ca="1">_xll.BDH($C$378,"OPER_MARGIN","FQ1 2017","FQ1 2017","Currency=INR","Period=FQ","BEST_FPERIOD_OVERRIDE=FQ","FILING_STATUS=OR","EQY_CONSOLIDATED=Y","FA_ADJUSTED=GAAP","Sort=A","Dates=H","DateFormat=P","Fill=—","Direction=H","UseDPDF=Y")</f>
        <v>#NAME?</v>
      </c>
      <c r="L394" t="e">
        <f ca="1">_xll.BDH($C$378,"INCREMENTAL_OPERATING_MARGIN","FQ1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94" t="e">
        <f ca="1">_xll.BDH($C$378,"PRETAX_INC_TO_NET_SALES","FQ1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94" t="e">
        <f ca="1">_xll.BDH($C$378,"INC_BEF_XO_ITEMS_TO_NET_SALES","FQ1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94" t="e">
        <f ca="1">_xll.BDH($C$378,"PROF_MARGIN","FQ1 2017","FQ1 2017","Currency=INR","Period=FQ","BEST_FPERIOD_OVERRIDE=FQ","FILING_STATUS=OR","EQY_CONSOLIDATED=Y","FA_ADJUSTED=GAAP","Sort=A","Dates=H","DateFormat=P","Fill=—","Direction=H","UseDPDF=Y")</f>
        <v>#NAME?</v>
      </c>
      <c r="P394" t="e">
        <f ca="1">_xll.BDH($C$378,"NET_INCOME_TO_COMMON_MARGIN","FQ1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94" t="e">
        <f ca="1">_xll.BDH($C$378,"EFF_TAX_RATE","FQ1 2017","FQ1 2017","Currency=INR","Period=FQ","BEST_FPERIOD_OVERRIDE=FQ","FILING_STATUS=OR","EQY_CONSOLIDATED=Y","FA_ADJUSTED=GAAP","Sort=A","Dates=H","DateFormat=P","Fill=—","Direction=H","UseDPDF=Y")</f>
        <v>#NAME?</v>
      </c>
      <c r="R394" t="e">
        <f ca="1">_xll.BDH($C$378,"DVD_PAYOUT_RATIO","FQ1 2017","FQ1 2017","Currency=INR","Period=FQ","BEST_FPERIOD_OVERRIDE=FQ","FILING_STATUS=OR","EQY_CONSOLIDATED=Y","FA_ADJUSTED=GAAP","Sort=A","Dates=H","DateFormat=P","Fill=—","Direction=H","UseDPDF=Y")</f>
        <v>#NAME?</v>
      </c>
      <c r="S394" t="e">
        <f ca="1">_xll.BDH($C$378,"SUSTAIN_GROWTH_RT","FQ1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394" s="1" t="e">
        <f ca="1">_xll.BDH($C$378,"SALES_GROWTH","FQ1 2017","FQ1 2017","Currency=INR","Period=FQ","BEST_FPERIOD_OVERRIDE=FQ","FILING_STATUS=OR","EQY_CONSOLIDATED=Y","FA_ADJUSTED=GAAP","Sort=A","Dates=H","DateFormat=P","Fill=—","Direction=H","UseDPDF=Y")</f>
        <v>#NAME?</v>
      </c>
      <c r="U394" s="1" t="e">
        <f ca="1">_xll.BDH($C$378,"EBITDA_GROWTH","FQ1 2017","FQ1 2017","Currency=INR","Period=FQ","BEST_FPERIOD_OVERRIDE=FQ","FILING_STATUS=OR","EQY_CONSOLIDATED=Y","FA_ADJUSTED=GAAP","Sort=A","Dates=H","DateFormat=P","Fill=—","Direction=H","UseDPDF=Y")</f>
        <v>#NAME?</v>
      </c>
      <c r="V394" s="1" t="e">
        <f ca="1">_xll.BDH($C$378,"OPER_INC_GROWTH","FQ1 2017","FQ1 2017","Currency=INR","Period=FQ","BEST_FPERIOD_OVERRIDE=FQ","FILING_STATUS=OR","EQY_CONSOLIDATED=Y","FA_ADJUSTED=GAAP","Sort=A","Dates=H","DateFormat=P","Fill=—","Direction=H","UseDPDF=Y")</f>
        <v>#NAME?</v>
      </c>
      <c r="W394" s="1" t="e">
        <f ca="1">_xll.BDH($C$378,"EARN_FOR_COM_GROWTH","FQ1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94" s="1" t="e">
        <f ca="1">_xll.BDH($C$378,"DILUTED_EPS_AFT_XO_ITEMS_GROWTH","FQ1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94" s="1" t="e">
        <f ca="1">_xll.BDH($C$378,"DIVIDEND_PER_SHARE_1_YEAR_GROWTH","FQ1 2017","FQ1 2017","Currency=INR","Period=FQ","BEST_FPERIOD_OVERRIDE=FQ","FILING_STATUS=OR","EQY_CONSOLIDATED=Y","Sort=A","Dates=H","DateFormat=P","Fill=—","Direction=H","UseDPDF=Y")</f>
        <v>#NAME?</v>
      </c>
      <c r="Z394" s="1" t="e">
        <f ca="1">_xll.BDH($C$378,"ACCOUNTS_RECEIVABLE_GROWTH","FQ1 2017","FQ1 2017","Currency=INR","Period=FQ","BEST_FPERIOD_OVERRIDE=FQ","FILING_STATUS=OR","EQY_CONSOLIDATED=Y","Sort=A","Dates=H","DateFormat=P","Fill=—","Direction=H","UseDPDF=Y")</f>
        <v>#NAME?</v>
      </c>
      <c r="AA394" s="1" t="e">
        <f ca="1">_xll.BDH($C$378,"INVENTORY_GROWTH","FQ1 2017","FQ1 2017","Currency=INR","Period=FQ","BEST_FPERIOD_OVERRIDE=FQ","FILING_STATUS=OR","EQY_CONSOLIDATED=Y","Sort=A","Dates=H","DateFormat=P","Fill=—","Direction=H","UseDPDF=Y")</f>
        <v>#NAME?</v>
      </c>
      <c r="AB394" s="1" t="e">
        <f ca="1">_xll.BDH($C$378,"NET_FIXED_ASSETS_1_YEAR_GROWTH","FQ1 2017","FQ1 2017","Currency=INR","Period=FQ","BEST_FPERIOD_OVERRIDE=FQ","FILING_STATUS=OR","EQY_CONSOLIDATED=Y","Sort=A","Dates=H","DateFormat=P","Fill=—","Direction=H","UseDPDF=Y")</f>
        <v>#NAME?</v>
      </c>
      <c r="AC394" s="1" t="e">
        <f ca="1">_xll.BDH($C$378,"ASSET_GROWTH","FQ1 2017","FQ1 2017","Currency=INR","Period=FQ","BEST_FPERIOD_OVERRIDE=FQ","FILING_STATUS=OR","EQY_CONSOLIDATED=Y","Sort=A","Dates=H","DateFormat=P","Fill=—","Direction=H","UseDPDF=Y")</f>
        <v>#NAME?</v>
      </c>
      <c r="AD394" s="1" t="e">
        <f ca="1">_xll.BDH($C$378,"MODIFIED_WORK_CAP_GROWTH","FQ1 2017","FQ1 2017","Currency=INR","Period=FQ","BEST_FPERIOD_OVERRIDE=FQ","FILING_STATUS=OR","EQY_CONSOLIDATED=Y","Sort=A","Dates=H","DateFormat=P","Fill=—","Direction=H","UseDPDF=Y")</f>
        <v>#NAME?</v>
      </c>
      <c r="AE394" s="1" t="e">
        <f ca="1">_xll.BDH($C$378,"WORK_CAP_GROWTH","FQ1 2017","FQ1 2017","Currency=INR","Period=FQ","BEST_FPERIOD_OVERRIDE=FQ","FILING_STATUS=OR","EQY_CONSOLIDATED=Y","Sort=A","Dates=H","DateFormat=P","Fill=—","Direction=H","UseDPDF=Y")</f>
        <v>#NAME?</v>
      </c>
      <c r="AF394" s="1" t="e">
        <f ca="1">_xll.BDH($C$378,"ACCOUNTS_PAYABLE_GROWTH_1YR","FQ1 2017","FQ1 2017","Currency=INR","Period=FQ","BEST_FPERIOD_OVERRIDE=FQ","FILING_STATUS=OR","EQY_CONSOLIDATED=Y","Sort=A","Dates=H","DateFormat=P","Fill=—","Direction=H","UseDPDF=Y")</f>
        <v>#NAME?</v>
      </c>
      <c r="AG394" s="1" t="e">
        <f ca="1">_xll.BDH($C$378,"SHORT_TERM_DEBT_1_YEAR_GROWTH","FQ1 2017","FQ1 2017","Currency=INR","Period=FQ","BEST_FPERIOD_OVERRIDE=FQ","FILING_STATUS=OR","EQY_CONSOLIDATED=Y","Sort=A","Dates=H","DateFormat=P","Fill=—","Direction=H","UseDPDF=Y")</f>
        <v>#NAME?</v>
      </c>
      <c r="AH394" s="1" t="e">
        <f ca="1">_xll.BDH($C$378,"TOTAL_DEBT_1_YEAR_GROWTH","FQ1 2017","FQ1 2017","Currency=INR","Period=FQ","BEST_FPERIOD_OVERRIDE=FQ","FILING_STATUS=OR","EQY_CONSOLIDATED=Y","Sort=A","Dates=H","DateFormat=P","Fill=—","Direction=H","UseDPDF=Y")</f>
        <v>#NAME?</v>
      </c>
      <c r="AI394" s="1" t="e">
        <f ca="1">_xll.BDH($C$378,"TOTAL_EQUITY_1_YEAR_GROWTH","FQ1 2017","FQ1 2017","Currency=INR","Period=FQ","BEST_FPERIOD_OVERRIDE=FQ","FILING_STATUS=OR","EQY_CONSOLIDATED=Y","Sort=A","Dates=H","DateFormat=P","Fill=—","Direction=H","UseDPDF=Y")</f>
        <v>#NAME?</v>
      </c>
      <c r="AJ394" s="1" t="e">
        <f ca="1">_xll.BDH($C$378,"GROWTH_IN_CAP","FQ1 2017","FQ1 2017","Currency=INR","Period=FQ","BEST_FPERIOD_OVERRIDE=FQ","FILING_STATUS=OR","EQY_CONSOLIDATED=Y","Sort=A","Dates=H","DateFormat=P","Fill=—","Direction=H","UseDPDF=Y")</f>
        <v>#NAME?</v>
      </c>
      <c r="AK394" s="1" t="e">
        <f ca="1">_xll.BDH($C$378,"BVPS_GROWTH","FQ1 2017","FQ1 2017","Currency=INR","Period=FQ","BEST_FPERIOD_OVERRIDE=FQ","FILING_STATUS=OR","EQY_CONSOLIDATED=Y","Sort=A","Dates=H","DateFormat=P","Fill=—","Direction=H","UseDPDF=Y")</f>
        <v>#NAME?</v>
      </c>
      <c r="AL394" s="1" t="e">
        <f ca="1">_xll.BDH($C$378,"CASH_FLOW_GROWTH","FQ1 2017","FQ1 2017","Currency=INR","Period=FQ","BEST_FPERIOD_OVERRIDE=FQ","FILING_STATUS=OR","EQY_CONSOLIDATED=Y","Sort=A","Dates=H","DateFormat=P","Fill=—","Direction=H","UseDPDF=Y")</f>
        <v>#NAME?</v>
      </c>
      <c r="AM394" s="1" t="e">
        <f ca="1">_xll.BDH($C$378,"GEO_GROW_NET_SALES","FQ1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94" s="1" t="e">
        <f ca="1">_xll.BDH($C$378,"GEO_GROW_EBITDA","FQ1 2017","FQ1 2017","Currency=INR","Period=FQ","BEST_FPERIOD_OVERRIDE=FQ","FILING_STATUS=OR","EQY_CONSOLIDATED=Y","FA_ADJUSTED=GAAP","Sort=A","Dates=H","DateFormat=P","Fill=—","Direction=H","UseDPDF=Y")</f>
        <v>#NAME?</v>
      </c>
      <c r="AO394" s="1" t="e">
        <f ca="1">_xll.BDH($C$378,"GEO_GROW_OPER_INC","FQ1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94" s="1" t="e">
        <f ca="1">_xll.BDH($C$378,"NET_INCOME_TO_COMMON_5_YR_GROWTH","FQ1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94" s="1" t="e">
        <f ca="1">_xll.BDH($C$378,"5Y_GEO_GROWTH_DILUTED_EPS","FQ1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94" s="1" t="e">
        <f ca="1">_xll.BDH($C$378,"GEO_GROW_DVD_PER_SH","FQ1 2017","FQ1 2017","Currency=INR","Period=FQ","BEST_FPERIOD_OVERRIDE=FQ","FILING_STATUS=OR","EQY_CONSOLIDATED=Y","Sort=A","Dates=H","DateFormat=P","Fill=—","Direction=H","UseDPDF=Y")</f>
        <v>#NAME?</v>
      </c>
      <c r="AS394" s="1" t="e">
        <f ca="1">_xll.BDH($C$378,"ACCOUNTS_RECEIVABLE_5_YR_GROWTH","FQ1 2017","FQ1 2017","Currency=INR","Period=FQ","BEST_FPERIOD_OVERRIDE=FQ","FILING_STATUS=OR","EQY_CONSOLIDATED=Y","Sort=A","Dates=H","DateFormat=P","Fill=—","Direction=H","UseDPDF=Y")</f>
        <v>#NAME?</v>
      </c>
      <c r="AT394" s="1" t="e">
        <f ca="1">_xll.BDH($C$378,"INVENTORY_5_YEAR_GROWTH","FQ1 2017","FQ1 2017","Currency=INR","Period=FQ","BEST_FPERIOD_OVERRIDE=FQ","FILING_STATUS=OR","EQY_CONSOLIDATED=Y","Sort=A","Dates=H","DateFormat=P","Fill=—","Direction=H","UseDPDF=Y")</f>
        <v>#NAME?</v>
      </c>
      <c r="AU394" s="1" t="e">
        <f ca="1">_xll.BDH($C$378,"NET_FIXED_ASSETS_5_YEAR_GROWTH","FQ1 2017","FQ1 2017","Currency=INR","Period=FQ","BEST_FPERIOD_OVERRIDE=FQ","FILING_STATUS=OR","EQY_CONSOLIDATED=Y","Sort=A","Dates=H","DateFormat=P","Fill=—","Direction=H","UseDPDF=Y")</f>
        <v>#NAME?</v>
      </c>
      <c r="AV394" s="1" t="e">
        <f ca="1">_xll.BDH($C$378,"GEO_GROW_TOT_ASSET","FQ1 2017","FQ1 2017","Currency=INR","Period=FQ","BEST_FPERIOD_OVERRIDE=FQ","FILING_STATUS=OR","EQY_CONSOLIDATED=Y","Sort=A","Dates=H","DateFormat=P","Fill=—","Direction=H","UseDPDF=Y")</f>
        <v>#NAME?</v>
      </c>
      <c r="AW394" s="1" t="e">
        <f ca="1">_xll.BDH($C$378,"MODIFIED_WORKING_CPTL_5YR_GRWTH","FQ1 2017","FQ1 2017","Currency=INR","Period=FQ","BEST_FPERIOD_OVERRIDE=FQ","FILING_STATUS=OR","EQY_CONSOLIDATED=Y","Sort=A","Dates=H","DateFormat=P","Fill=—","Direction=H","UseDPDF=Y")</f>
        <v>#NAME?</v>
      </c>
      <c r="AX394" s="1" t="e">
        <f ca="1">_xll.BDH($C$378,"WORKING_CAPITAL_5_YEAR_GROWTH","FQ1 2017","FQ1 2017","Currency=INR","Period=FQ","BEST_FPERIOD_OVERRIDE=FQ","FILING_STATUS=OR","EQY_CONSOLIDATED=Y","Sort=A","Dates=H","DateFormat=P","Fill=—","Direction=H","UseDPDF=Y")</f>
        <v>#NAME?</v>
      </c>
      <c r="AY394" s="1" t="e">
        <f ca="1">_xll.BDH($C$378,"ACCOUNTS_PAYABLE_5_YEAR_GROWTH","FQ1 2017","FQ1 2017","Currency=INR","Period=FQ","BEST_FPERIOD_OVERRIDE=FQ","FILING_STATUS=OR","EQY_CONSOLIDATED=Y","Sort=A","Dates=H","DateFormat=P","Fill=—","Direction=H","UseDPDF=Y")</f>
        <v>#NAME?</v>
      </c>
      <c r="AZ394" s="1" t="e">
        <f ca="1">_xll.BDH($C$378,"SHORT_TERM_DEBT_5_YEAR_GROWTH","FQ1 2017","FQ1 2017","Currency=INR","Period=FQ","BEST_FPERIOD_OVERRIDE=FQ","FILING_STATUS=OR","EQY_CONSOLIDATED=Y","Sort=A","Dates=H","DateFormat=P","Fill=—","Direction=H","UseDPDF=Y")</f>
        <v>#NAME?</v>
      </c>
      <c r="BA394" s="1" t="e">
        <f ca="1">_xll.BDH($C$378,"TOTAL_DEBT_5_YEAR_GROWTH","FQ1 2017","FQ1 2017","Currency=INR","Period=FQ","BEST_FPERIOD_OVERRIDE=FQ","FILING_STATUS=OR","EQY_CONSOLIDATED=Y","Sort=A","Dates=H","DateFormat=P","Fill=—","Direction=H","UseDPDF=Y")</f>
        <v>#NAME?</v>
      </c>
      <c r="BB394" s="1" t="e">
        <f ca="1">_xll.BDH($C$378,"GEO_GROW_TOT_SHRHLDR_EQY","FQ1 2017","FQ1 2017","Currency=INR","Period=FQ","BEST_FPERIOD_OVERRIDE=FQ","FILING_STATUS=OR","EQY_CONSOLIDATED=Y","Sort=A","Dates=H","DateFormat=P","Fill=—","Direction=H","UseDPDF=Y")</f>
        <v>#NAME?</v>
      </c>
      <c r="BC394" s="1" t="e">
        <f ca="1">_xll.BDH($C$378,"TOTAL_CAPITAL_5_YEAR_GROWTH","FQ1 2017","FQ1 2017","Currency=INR","Period=FQ","BEST_FPERIOD_OVERRIDE=FQ","FILING_STATUS=OR","EQY_CONSOLIDATED=Y","Sort=A","Dates=H","DateFormat=P","Fill=—","Direction=H","UseDPDF=Y")</f>
        <v>#NAME?</v>
      </c>
      <c r="BD394" s="1" t="e">
        <f ca="1">_xll.BDH($C$378,"GEO_GROW_BOOK_VAL","FQ1 2017","FQ1 2017","Currency=INR","Period=FQ","BEST_FPERIOD_OVERRIDE=FQ","FILING_STATUS=OR","EQY_CONSOLIDATED=Y","Sort=A","Dates=H","DateFormat=P","Fill=—","Direction=H","UseDPDF=Y")</f>
        <v>#NAME?</v>
      </c>
      <c r="BE394" s="1" t="e">
        <f ca="1">_xll.BDH($C$378,"GEO_GROW_CASH_OPER_ACT","FQ1 2017","FQ1 2017","Currency=INR","Period=FQ","BEST_FPERIOD_OVERRIDE=FQ","FILING_STATUS=OR","EQY_CONSOLIDATED=Y","Sort=A","Dates=H","DateFormat=P","Fill=—","Direction=H","UseDPDF=Y")</f>
        <v>#NAME?</v>
      </c>
      <c r="BF394" s="1" t="e">
        <f ca="1">_xll.BDH($C$378,"REVENUE_SEQUENTIAL_GROWTH","FQ1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94" s="1" t="e">
        <f ca="1">_xll.BDH($C$378,"EBITDA_SEQUENTIAL_GROWTH","FQ1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94" s="1" t="e">
        <f ca="1">_xll.BDH($C$378,"OPERATING_INCOME_SEQ_GROWTH","FQ1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94" s="1" t="e">
        <f ca="1">_xll.BDH($C$378,"NET_INCOME_TO_COMMON_SEQ_GROWTH","FQ1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94" s="1" t="e">
        <f ca="1">_xll.BDH($C$378,"EPS_DILUTED_SEQUENTIAL_GROWTH","FQ1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94" s="1" t="e">
        <f ca="1">_xll.BDH($C$378,"DPS_SEQUENTIAL_GROWTH","FQ1 2017","FQ1 2017","Currency=INR","Period=FQ","BEST_FPERIOD_OVERRIDE=FQ","FILING_STATUS=OR","EQY_CONSOLIDATED=Y","Sort=A","Dates=H","DateFormat=P","Fill=—","Direction=H","UseDPDF=Y")</f>
        <v>#NAME?</v>
      </c>
      <c r="BL394" s="1" t="e">
        <f ca="1">_xll.BDH($C$378,"ACCOUNTS_RECEIVABLE_SEQ_GROWTH","FQ1 2017","FQ1 2017","Currency=INR","Period=FQ","BEST_FPERIOD_OVERRIDE=FQ","FILING_STATUS=OR","EQY_CONSOLIDATED=Y","Sort=A","Dates=H","DateFormat=P","Fill=—","Direction=H","UseDPDF=Y")</f>
        <v>#NAME?</v>
      </c>
      <c r="BM394" s="1" t="e">
        <f ca="1">_xll.BDH($C$378,"INVENTORY_SEQUENTIAL_GROWTH","FQ1 2017","FQ1 2017","Currency=INR","Period=FQ","BEST_FPERIOD_OVERRIDE=FQ","FILING_STATUS=OR","EQY_CONSOLIDATED=Y","Sort=A","Dates=H","DateFormat=P","Fill=—","Direction=H","UseDPDF=Y")</f>
        <v>#NAME?</v>
      </c>
      <c r="BN394" s="1" t="e">
        <f ca="1">_xll.BDH($C$378,"FIXED_ASSETS_SEQUENTIAL_GROWTH","FQ1 2017","FQ1 2017","Currency=INR","Period=FQ","BEST_FPERIOD_OVERRIDE=FQ","FILING_STATUS=OR","EQY_CONSOLIDATED=Y","Sort=A","Dates=H","DateFormat=P","Fill=—","Direction=H","UseDPDF=Y")</f>
        <v>#NAME?</v>
      </c>
      <c r="BO394" s="1" t="e">
        <f ca="1">_xll.BDH($C$378,"TOTAL_ASSETS_SEQUENTIAL_GROWTH","FQ1 2017","FQ1 2017","Currency=INR","Period=FQ","BEST_FPERIOD_OVERRIDE=FQ","FILING_STATUS=OR","EQY_CONSOLIDATED=Y","Sort=A","Dates=H","DateFormat=P","Fill=—","Direction=H","UseDPDF=Y")</f>
        <v>#NAME?</v>
      </c>
      <c r="BP394" s="1" t="e">
        <f ca="1">_xll.BDH($C$378,"MODIFIED_WORKING_CPTL_SEQ_GRWTH","FQ1 2017","FQ1 2017","Currency=INR","Period=FQ","BEST_FPERIOD_OVERRIDE=FQ","FILING_STATUS=OR","EQY_CONSOLIDATED=Y","Sort=A","Dates=H","DateFormat=P","Fill=—","Direction=H","UseDPDF=Y")</f>
        <v>#NAME?</v>
      </c>
      <c r="BQ394" s="1" t="e">
        <f ca="1">_xll.BDH($C$378,"WORKING_CAPITAL_SEQ_GROWTH","FQ1 2017","FQ1 2017","Currency=INR","Period=FQ","BEST_FPERIOD_OVERRIDE=FQ","FILING_STATUS=OR","EQY_CONSOLIDATED=Y","Sort=A","Dates=H","DateFormat=P","Fill=—","Direction=H","UseDPDF=Y")</f>
        <v>#NAME?</v>
      </c>
      <c r="BR394" s="1" t="e">
        <f ca="1">_xll.BDH($C$378,"ACCOUNTS_PAYABLE_SEQ_GROWTH","FQ1 2017","FQ1 2017","Currency=INR","Period=FQ","BEST_FPERIOD_OVERRIDE=FQ","FILING_STATUS=OR","EQY_CONSOLIDATED=Y","Sort=A","Dates=H","DateFormat=P","Fill=—","Direction=H","UseDPDF=Y")</f>
        <v>#NAME?</v>
      </c>
      <c r="BS394" s="1" t="e">
        <f ca="1">_xll.BDH($C$378,"ST_DEBT_SEQUENTIAL_GROWTH","FQ1 2017","FQ1 2017","Currency=INR","Period=FQ","BEST_FPERIOD_OVERRIDE=FQ","FILING_STATUS=OR","EQY_CONSOLIDATED=Y","Sort=A","Dates=H","DateFormat=P","Fill=—","Direction=H","UseDPDF=Y")</f>
        <v>#NAME?</v>
      </c>
      <c r="BT394" s="1" t="e">
        <f ca="1">_xll.BDH($C$378,"TOTAL_DEBT_SEQUENTIAL_GROWTH","FQ1 2017","FQ1 2017","Currency=INR","Period=FQ","BEST_FPERIOD_OVERRIDE=FQ","FILING_STATUS=OR","EQY_CONSOLIDATED=Y","Sort=A","Dates=H","DateFormat=P","Fill=—","Direction=H","UseDPDF=Y")</f>
        <v>#NAME?</v>
      </c>
      <c r="BU394" s="1" t="e">
        <f ca="1">_xll.BDH($C$378,"TOTAL_EQUITY_SEQUENTIAL_GROWTH","FQ1 2017","FQ1 2017","Currency=INR","Period=FQ","BEST_FPERIOD_OVERRIDE=FQ","FILING_STATUS=OR","EQY_CONSOLIDATED=Y","Sort=A","Dates=H","DateFormat=P","Fill=—","Direction=H","UseDPDF=Y")</f>
        <v>#NAME?</v>
      </c>
      <c r="BV394" s="1" t="e">
        <f ca="1">_xll.BDH($C$378,"TOTAL_CAPITAL_SEQUENTIAL_GROWTH","FQ1 2017","FQ1 2017","Currency=INR","Period=FQ","BEST_FPERIOD_OVERRIDE=FQ","FILING_STATUS=OR","EQY_CONSOLIDATED=Y","Sort=A","Dates=H","DateFormat=P","Fill=—","Direction=H","UseDPDF=Y")</f>
        <v>#NAME?</v>
      </c>
      <c r="BW394" s="1" t="e">
        <f ca="1">_xll.BDH($C$378,"BPS_SEQUENTIAL_GROWTH","FQ1 2017","FQ1 2017","Currency=INR","Period=FQ","BEST_FPERIOD_OVERRIDE=FQ","FILING_STATUS=OR","EQY_CONSOLIDATED=Y","Sort=A","Dates=H","DateFormat=P","Fill=—","Direction=H","UseDPDF=Y")</f>
        <v>#NAME?</v>
      </c>
      <c r="BX394" s="1" t="e">
        <f ca="1">_xll.BDH($C$378,"CFO_SEQUENTIAL_GROWTH","FQ1 2017","FQ1 2017","Currency=INR","Period=FQ","BEST_FPERIOD_OVERRIDE=FQ","FILING_STATUS=OR","EQY_CONSOLIDATED=Y","Sort=A","Dates=H","DateFormat=P","Fill=—","Direction=H","UseDPDF=Y")</f>
        <v>#NAME?</v>
      </c>
      <c r="BY394" s="2" t="e">
        <f ca="1">_xll.BDH($C$378,"SHORT_AND_LONG_TERM_DEBT","FQ1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94" s="2" t="e">
        <f ca="1">_xll.BDH($C$378,"BS_ST_BORROW","FQ1 2017","FQ1 2017","Currency=INR","Period=FQ","BEST_FPERIOD_OVERRIDE=FQ","FILING_STATUS=OR","EQY_CONSOLIDATED=Y","SCALING_FORMAT=MLN","Sort=A","Dates=H","DateFormat=P","Fill=—","Direction=H","UseDPDF=Y")</f>
        <v>#NAME?</v>
      </c>
      <c r="CA394" s="2" t="e">
        <f ca="1">_xll.BDH($C$378,"BS_LT_BORROW","FQ1 2017","FQ1 2017","Currency=INR","Period=FQ","BEST_FPERIOD_OVERRIDE=FQ","FILING_STATUS=OR","EQY_CONSOLIDATED=Y","SCALING_FORMAT=MLN","Sort=A","Dates=H","DateFormat=P","Fill=—","Direction=H","UseDPDF=Y")</f>
        <v>#NAME?</v>
      </c>
      <c r="CB394" s="1" t="e">
        <f ca="1">_xll.BDH($C$378,"TOT_DEBT_TO_EBITDA","FQ1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94" s="1" t="e">
        <f ca="1">_xll.BDH($C$378,"NET_DEBT_TO_EBITDA","FQ1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94" s="1" t="e">
        <f ca="1">_xll.BDH($C$378,"TOTAL_DEBT_TO_EBIT","FQ1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94" s="1" t="e">
        <f ca="1">_xll.BDH($C$378,"NET_DEBT_TO_EBIT","FQ1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394" s="1" t="e">
        <f ca="1">_xll.BDH($C$378,"EBITDA_TO_INTEREST_EXPN","FQ1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94" s="1" t="e">
        <f ca="1">_xll.BDH($C$378,"COM_EQY_TO_TOT_ASSET","FQ1 2017","FQ1 2017","Currency=INR","Period=FQ","BEST_FPERIOD_OVERRIDE=FQ","FILING_STATUS=OR","EQY_CONSOLIDATED=Y","Sort=A","Dates=H","DateFormat=P","Fill=—","Direction=H","UseDPDF=Y")</f>
        <v>#NAME?</v>
      </c>
      <c r="CH394" s="1" t="e">
        <f ca="1">_xll.BDH($C$378,"LT_DEBT_TO_TOT_EQY","FQ1 2017","FQ1 2017","Currency=INR","Period=FQ","BEST_FPERIOD_OVERRIDE=FQ","FILING_STATUS=OR","EQY_CONSOLIDATED=Y","Sort=A","Dates=H","DateFormat=P","Fill=—","Direction=H","UseDPDF=Y")</f>
        <v>#NAME?</v>
      </c>
      <c r="CI394" s="1" t="e">
        <f ca="1">_xll.BDH($C$378,"LT_DEBT_TO_TOT_CAP","FQ1 2017","FQ1 2017","Currency=INR","Period=FQ","BEST_FPERIOD_OVERRIDE=FQ","FILING_STATUS=OR","EQY_CONSOLIDATED=Y","Sort=A","Dates=H","DateFormat=P","Fill=—","Direction=H","UseDPDF=Y")</f>
        <v>#NAME?</v>
      </c>
      <c r="CJ394" s="1" t="e">
        <f ca="1">_xll.BDH($C$378,"LT_DEBT_TO_TOT_ASSET","FQ1 2017","FQ1 2017","Currency=INR","Period=FQ","BEST_FPERIOD_OVERRIDE=FQ","FILING_STATUS=OR","EQY_CONSOLIDATED=Y","Sort=A","Dates=H","DateFormat=P","Fill=—","Direction=H","UseDPDF=Y")</f>
        <v>#NAME?</v>
      </c>
      <c r="CK394" s="1" t="e">
        <f ca="1">_xll.BDH($C$378,"TOT_DEBT_TO_TOT_EQY","FQ1 2017","FQ1 2017","Currency=INR","Period=FQ","BEST_FPERIOD_OVERRIDE=FQ","FILING_STATUS=OR","EQY_CONSOLIDATED=Y","Sort=A","Dates=H","DateFormat=P","Fill=—","Direction=H","UseDPDF=Y")</f>
        <v>#NAME?</v>
      </c>
      <c r="CL394" s="1" t="e">
        <f ca="1">_xll.BDH($C$378,"TOT_DEBT_TO_TOT_CAP","FQ1 2017","FQ1 2017","Currency=INR","Period=FQ","BEST_FPERIOD_OVERRIDE=FQ","FILING_STATUS=OR","EQY_CONSOLIDATED=Y","Sort=A","Dates=H","DateFormat=P","Fill=—","Direction=H","UseDPDF=Y")</f>
        <v>#NAME?</v>
      </c>
      <c r="CM394" s="1" t="e">
        <f ca="1">_xll.BDH($C$378,"TOT_DEBT_TO_TOT_ASSET","FQ1 2017","FQ1 2017","Currency=INR","Period=FQ","BEST_FPERIOD_OVERRIDE=FQ","FILING_STATUS=OR","EQY_CONSOLIDATED=Y","Sort=A","Dates=H","DateFormat=P","Fill=—","Direction=H","UseDPDF=Y")</f>
        <v>#NAME?</v>
      </c>
      <c r="CN394" s="1" t="e">
        <f ca="1">_xll.BDH($C$378,"NET_DEBT_TO_SHRHLDR_EQTY","FQ1 2017","FQ1 2017","Currency=INR","Period=FQ","BEST_FPERIOD_OVERRIDE=FQ","FILING_STATUS=OR","EQY_CONSOLIDATED=Y","Sort=A","Dates=H","DateFormat=P","Fill=—","Direction=H","UseDPDF=Y")</f>
        <v>#NAME?</v>
      </c>
      <c r="CO394" s="1" t="e">
        <f ca="1">_xll.BDH($C$378,"NET_DEBT_%_CAPITAL","FQ1 2017","FQ1 2017","Currency=INR","Period=FQ","BEST_FPERIOD_OVERRIDE=FQ","FILING_STATUS=OR","EQY_CONSOLIDATED=Y","Sort=A","Dates=H","DateFormat=P","Fill=—","Direction=H","UseDPDF=Y")</f>
        <v>#NAME?</v>
      </c>
      <c r="CP394" s="2" t="e">
        <f ca="1">_xll.BDH($C$378,"EBITDA","FQ1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94" s="2" t="e">
        <f ca="1">_xll.BDH($C$378,"EBITDA_AFTER_CAPEX","FQ1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94" s="2" t="e">
        <f ca="1">_xll.BDH($C$378,"IS_OPER_INC","FQ1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94" s="1" t="e">
        <f ca="1">_xll.BDH($C$378,"CASH_RATIO","FQ1 2017","FQ1 2017","Currency=INR","Period=FQ","BEST_FPERIOD_OVERRIDE=FQ","FILING_STATUS=OR","EQY_CONSOLIDATED=Y","Sort=A","Dates=H","DateFormat=P","Fill=—","Direction=H","UseDPDF=Y")</f>
        <v>#NAME?</v>
      </c>
      <c r="CT394" s="1" t="e">
        <f ca="1">_xll.BDH($C$378,"CUR_RATIO","FQ1 2017","FQ1 2017","Currency=INR","Period=FQ","BEST_FPERIOD_OVERRIDE=FQ","FILING_STATUS=OR","EQY_CONSOLIDATED=Y","Sort=A","Dates=H","DateFormat=P","Fill=—","Direction=H","UseDPDF=Y")</f>
        <v>#NAME?</v>
      </c>
      <c r="CU394" s="1" t="e">
        <f ca="1">_xll.BDH($C$378,"QUICK_RATIO","FQ1 2017","FQ1 2017","Currency=INR","Period=FQ","BEST_FPERIOD_OVERRIDE=FQ","FILING_STATUS=OR","EQY_CONSOLIDATED=Y","Sort=A","Dates=H","DateFormat=P","Fill=—","Direction=H","UseDPDF=Y")</f>
        <v>#NAME?</v>
      </c>
      <c r="CV394" s="1" t="e">
        <f ca="1">_xll.BDH($C$378,"ALTMAN_Z_SCORE","FQ1 2017","FQ1 2017","Currency=INR","Period=FQ","BEST_FPERIOD_OVERRIDE=FQ","FILING_STATUS=OR","EQY_CONSOLIDATED=Y","Sort=A","Dates=H","DateFormat=P","Fill=—","Direction=H","UseDPDF=Y")</f>
        <v>#NAME?</v>
      </c>
      <c r="CW394" s="3" t="e">
        <f ca="1">_xll.BDH($C$378,"ACCT_RCV_TURN","FQ1 2017","FQ1 2017","Currency=INR","Period=FQ","BEST_FPERIOD_OVERRIDE=FQ","FILING_STATUS=OR","EQY_CONSOLIDATED=Y","FA_ADJUSTED=GAAP","Sort=A","Dates=H","DateFormat=P","Fill=—","Direction=H","UseDPDF=Y")</f>
        <v>#NAME?</v>
      </c>
      <c r="CX394" s="1" t="e">
        <f ca="1">_xll.BDH($C$378,"ACCT_RCV_DAYS","FQ1 2017","FQ1 2017","Currency=INR","Period=FQ","BEST_FPERIOD_OVERRIDE=FQ","FILING_STATUS=OR","EQY_CONSOLIDATED=Y","FA_ADJUSTED=GAAP","Sort=A","Dates=H","DateFormat=P","Fill=—","Direction=H","UseDPDF=Y")</f>
        <v>#NAME?</v>
      </c>
      <c r="CY394" s="3" t="e">
        <f ca="1">_xll.BDH($C$378,"INVENT_TURN","FQ1 2017","FQ1 2017","Currency=INR","Period=FQ","BEST_FPERIOD_OVERRIDE=FQ","FILING_STATUS=OR","EQY_CONSOLIDATED=Y","FA_ADJUSTED=GAAP","Sort=A","Dates=H","DateFormat=P","Fill=—","Direction=H","UseDPDF=Y")</f>
        <v>#NAME?</v>
      </c>
      <c r="CZ394" s="1" t="e">
        <f ca="1">_xll.BDH($C$378,"INVENT_DAYS","FQ1 2017","FQ1 2017","Currency=INR","Period=FQ","BEST_FPERIOD_OVERRIDE=FQ","FILING_STATUS=OR","EQY_CONSOLIDATED=Y","FA_ADJUSTED=GAAP","Sort=A","Dates=H","DateFormat=P","Fill=—","Direction=H","UseDPDF=Y")</f>
        <v>#NAME?</v>
      </c>
      <c r="DA394" s="3" t="e">
        <f ca="1">_xll.BDH($C$378,"ACCOUNTS_PAYABLE_TURNOVER","FQ1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94" s="1" t="e">
        <f ca="1">_xll.BDH($C$378,"ACCOUNTS_PAYABLE_TURNOVER_DAYS","FQ1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94" s="3" t="e">
        <f ca="1">_xll.BDH($C$378,"CASH_CONVERSION_CYCLE","FQ1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94" s="3" t="e">
        <f ca="1">_xll.BDH($C$378,"INV_TO_CASH_DAYS","FQ1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394" s="4" t="e">
        <f ca="1">_xll.BDH($C$378,"BS_INVENTORIES","FQ1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394" s="2" t="e">
        <f ca="1">_xll.BDH($C$378,"INVTRY_RAW_MATERIALS","FQ1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94" s="2" t="e">
        <f ca="1">_xll.BDH($C$378,"INVTRY_IN_PROGRESS","FQ1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94" s="2" t="e">
        <f ca="1">_xll.BDH($C$378,"INVTRY_FINISHED_GOODS","FQ1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94" s="2" t="e">
        <f ca="1">_xll.BDH($C$378,"BS_OTHER_INV","FQ1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95" spans="1:113" x14ac:dyDescent="0.3">
      <c r="A395" s="6"/>
      <c r="B395" s="6"/>
      <c r="C395" s="6"/>
      <c r="D395" s="6"/>
      <c r="E395" t="s">
        <v>5</v>
      </c>
      <c r="F395" t="e">
        <f ca="1">_xll.BDH($C$378,"RETURN_COM_EQY","FQ2 2017","FQ2 2017","Currency=INR","Period=FQ","BEST_FPERIOD_OVERRIDE=FQ","FILING_STATUS=OR","EQY_CONSOLIDATED=Y","FA_ADJUSTED=GAAP","Sort=A","Dates=H","DateFormat=P","Fill=—","Direction=H","UseDPDF=Y")</f>
        <v>#NAME?</v>
      </c>
      <c r="G395" t="e">
        <f ca="1">_xll.BDH($C$378,"RETURN_ON_ASSET","FQ2 2017","FQ2 2017","Currency=INR","Period=FQ","BEST_FPERIOD_OVERRIDE=FQ","FILING_STATUS=OR","EQY_CONSOLIDATED=Y","FA_ADJUSTED=GAAP","Sort=A","Dates=H","DateFormat=P","Fill=—","Direction=H","UseDPDF=Y")</f>
        <v>#NAME?</v>
      </c>
      <c r="H395" t="e">
        <f ca="1">_xll.BDH($C$378,"RETURN_ON_CAP","FQ2 2017","FQ2 2017","Currency=INR","Period=FQ","BEST_FPERIOD_OVERRIDE=FQ","FILING_STATUS=OR","EQY_CONSOLIDATED=Y","FA_ADJUSTED=GAAP","Sort=A","Dates=H","DateFormat=P","Fill=—","Direction=H","UseDPDF=Y")</f>
        <v>#NAME?</v>
      </c>
      <c r="I395" t="e">
        <f ca="1">_xll.BDH($C$378,"RETURN_ON_INV_CAPITAL","FQ2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95" t="e">
        <f ca="1">_xll.BDH($C$378,"EBITDA_TO_REVENUE","FQ2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395" t="e">
        <f ca="1">_xll.BDH($C$378,"OPER_MARGIN","FQ2 2017","FQ2 2017","Currency=INR","Period=FQ","BEST_FPERIOD_OVERRIDE=FQ","FILING_STATUS=OR","EQY_CONSOLIDATED=Y","FA_ADJUSTED=GAAP","Sort=A","Dates=H","DateFormat=P","Fill=—","Direction=H","UseDPDF=Y")</f>
        <v>#NAME?</v>
      </c>
      <c r="L395" t="e">
        <f ca="1">_xll.BDH($C$378,"INCREMENTAL_OPERATING_MARGIN","FQ2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95" t="e">
        <f ca="1">_xll.BDH($C$378,"PRETAX_INC_TO_NET_SALES","FQ2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95" t="e">
        <f ca="1">_xll.BDH($C$378,"INC_BEF_XO_ITEMS_TO_NET_SALES","FQ2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95" t="e">
        <f ca="1">_xll.BDH($C$378,"PROF_MARGIN","FQ2 2017","FQ2 2017","Currency=INR","Period=FQ","BEST_FPERIOD_OVERRIDE=FQ","FILING_STATUS=OR","EQY_CONSOLIDATED=Y","FA_ADJUSTED=GAAP","Sort=A","Dates=H","DateFormat=P","Fill=—","Direction=H","UseDPDF=Y")</f>
        <v>#NAME?</v>
      </c>
      <c r="P395" t="e">
        <f ca="1">_xll.BDH($C$378,"NET_INCOME_TO_COMMON_MARGIN","FQ2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95" t="e">
        <f ca="1">_xll.BDH($C$378,"EFF_TAX_RATE","FQ2 2017","FQ2 2017","Currency=INR","Period=FQ","BEST_FPERIOD_OVERRIDE=FQ","FILING_STATUS=OR","EQY_CONSOLIDATED=Y","FA_ADJUSTED=GAAP","Sort=A","Dates=H","DateFormat=P","Fill=—","Direction=H","UseDPDF=Y")</f>
        <v>#NAME?</v>
      </c>
      <c r="R395" t="e">
        <f ca="1">_xll.BDH($C$378,"DVD_PAYOUT_RATIO","FQ2 2017","FQ2 2017","Currency=INR","Period=FQ","BEST_FPERIOD_OVERRIDE=FQ","FILING_STATUS=OR","EQY_CONSOLIDATED=Y","FA_ADJUSTED=GAAP","Sort=A","Dates=H","DateFormat=P","Fill=—","Direction=H","UseDPDF=Y")</f>
        <v>#NAME?</v>
      </c>
      <c r="S395" t="e">
        <f ca="1">_xll.BDH($C$378,"SUSTAIN_GROWTH_RT","FQ2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395" s="1" t="e">
        <f ca="1">_xll.BDH($C$378,"SALES_GROWTH","FQ2 2017","FQ2 2017","Currency=INR","Period=FQ","BEST_FPERIOD_OVERRIDE=FQ","FILING_STATUS=OR","EQY_CONSOLIDATED=Y","FA_ADJUSTED=GAAP","Sort=A","Dates=H","DateFormat=P","Fill=—","Direction=H","UseDPDF=Y")</f>
        <v>#NAME?</v>
      </c>
      <c r="U395" s="1" t="e">
        <f ca="1">_xll.BDH($C$378,"EBITDA_GROWTH","FQ2 2017","FQ2 2017","Currency=INR","Period=FQ","BEST_FPERIOD_OVERRIDE=FQ","FILING_STATUS=OR","EQY_CONSOLIDATED=Y","FA_ADJUSTED=GAAP","Sort=A","Dates=H","DateFormat=P","Fill=—","Direction=H","UseDPDF=Y")</f>
        <v>#NAME?</v>
      </c>
      <c r="V395" s="1" t="e">
        <f ca="1">_xll.BDH($C$378,"OPER_INC_GROWTH","FQ2 2017","FQ2 2017","Currency=INR","Period=FQ","BEST_FPERIOD_OVERRIDE=FQ","FILING_STATUS=OR","EQY_CONSOLIDATED=Y","FA_ADJUSTED=GAAP","Sort=A","Dates=H","DateFormat=P","Fill=—","Direction=H","UseDPDF=Y")</f>
        <v>#NAME?</v>
      </c>
      <c r="W395" s="1" t="e">
        <f ca="1">_xll.BDH($C$378,"EARN_FOR_COM_GROWTH","FQ2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95" s="1" t="e">
        <f ca="1">_xll.BDH($C$378,"DILUTED_EPS_AFT_XO_ITEMS_GROWTH","FQ2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95" s="1" t="e">
        <f ca="1">_xll.BDH($C$378,"DIVIDEND_PER_SHARE_1_YEAR_GROWTH","FQ2 2017","FQ2 2017","Currency=INR","Period=FQ","BEST_FPERIOD_OVERRIDE=FQ","FILING_STATUS=OR","EQY_CONSOLIDATED=Y","Sort=A","Dates=H","DateFormat=P","Fill=—","Direction=H","UseDPDF=Y")</f>
        <v>#NAME?</v>
      </c>
      <c r="Z395" s="1" t="e">
        <f ca="1">_xll.BDH($C$378,"ACCOUNTS_RECEIVABLE_GROWTH","FQ2 2017","FQ2 2017","Currency=INR","Period=FQ","BEST_FPERIOD_OVERRIDE=FQ","FILING_STATUS=OR","EQY_CONSOLIDATED=Y","Sort=A","Dates=H","DateFormat=P","Fill=—","Direction=H","UseDPDF=Y")</f>
        <v>#NAME?</v>
      </c>
      <c r="AA395" s="1" t="e">
        <f ca="1">_xll.BDH($C$378,"INVENTORY_GROWTH","FQ2 2017","FQ2 2017","Currency=INR","Period=FQ","BEST_FPERIOD_OVERRIDE=FQ","FILING_STATUS=OR","EQY_CONSOLIDATED=Y","Sort=A","Dates=H","DateFormat=P","Fill=—","Direction=H","UseDPDF=Y")</f>
        <v>#NAME?</v>
      </c>
      <c r="AB395" s="1" t="e">
        <f ca="1">_xll.BDH($C$378,"NET_FIXED_ASSETS_1_YEAR_GROWTH","FQ2 2017","FQ2 2017","Currency=INR","Period=FQ","BEST_FPERIOD_OVERRIDE=FQ","FILING_STATUS=OR","EQY_CONSOLIDATED=Y","Sort=A","Dates=H","DateFormat=P","Fill=—","Direction=H","UseDPDF=Y")</f>
        <v>#NAME?</v>
      </c>
      <c r="AC395" s="1" t="e">
        <f ca="1">_xll.BDH($C$378,"ASSET_GROWTH","FQ2 2017","FQ2 2017","Currency=INR","Period=FQ","BEST_FPERIOD_OVERRIDE=FQ","FILING_STATUS=OR","EQY_CONSOLIDATED=Y","Sort=A","Dates=H","DateFormat=P","Fill=—","Direction=H","UseDPDF=Y")</f>
        <v>#NAME?</v>
      </c>
      <c r="AD395" s="1" t="e">
        <f ca="1">_xll.BDH($C$378,"MODIFIED_WORK_CAP_GROWTH","FQ2 2017","FQ2 2017","Currency=INR","Period=FQ","BEST_FPERIOD_OVERRIDE=FQ","FILING_STATUS=OR","EQY_CONSOLIDATED=Y","Sort=A","Dates=H","DateFormat=P","Fill=—","Direction=H","UseDPDF=Y")</f>
        <v>#NAME?</v>
      </c>
      <c r="AE395" s="1" t="e">
        <f ca="1">_xll.BDH($C$378,"WORK_CAP_GROWTH","FQ2 2017","FQ2 2017","Currency=INR","Period=FQ","BEST_FPERIOD_OVERRIDE=FQ","FILING_STATUS=OR","EQY_CONSOLIDATED=Y","Sort=A","Dates=H","DateFormat=P","Fill=—","Direction=H","UseDPDF=Y")</f>
        <v>#NAME?</v>
      </c>
      <c r="AF395" s="1" t="e">
        <f ca="1">_xll.BDH($C$378,"ACCOUNTS_PAYABLE_GROWTH_1YR","FQ2 2017","FQ2 2017","Currency=INR","Period=FQ","BEST_FPERIOD_OVERRIDE=FQ","FILING_STATUS=OR","EQY_CONSOLIDATED=Y","Sort=A","Dates=H","DateFormat=P","Fill=—","Direction=H","UseDPDF=Y")</f>
        <v>#NAME?</v>
      </c>
      <c r="AG395" s="1" t="e">
        <f ca="1">_xll.BDH($C$378,"SHORT_TERM_DEBT_1_YEAR_GROWTH","FQ2 2017","FQ2 2017","Currency=INR","Period=FQ","BEST_FPERIOD_OVERRIDE=FQ","FILING_STATUS=OR","EQY_CONSOLIDATED=Y","Sort=A","Dates=H","DateFormat=P","Fill=—","Direction=H","UseDPDF=Y")</f>
        <v>#NAME?</v>
      </c>
      <c r="AH395" s="1" t="e">
        <f ca="1">_xll.BDH($C$378,"TOTAL_DEBT_1_YEAR_GROWTH","FQ2 2017","FQ2 2017","Currency=INR","Period=FQ","BEST_FPERIOD_OVERRIDE=FQ","FILING_STATUS=OR","EQY_CONSOLIDATED=Y","Sort=A","Dates=H","DateFormat=P","Fill=—","Direction=H","UseDPDF=Y")</f>
        <v>#NAME?</v>
      </c>
      <c r="AI395" s="1" t="e">
        <f ca="1">_xll.BDH($C$378,"TOTAL_EQUITY_1_YEAR_GROWTH","FQ2 2017","FQ2 2017","Currency=INR","Period=FQ","BEST_FPERIOD_OVERRIDE=FQ","FILING_STATUS=OR","EQY_CONSOLIDATED=Y","Sort=A","Dates=H","DateFormat=P","Fill=—","Direction=H","UseDPDF=Y")</f>
        <v>#NAME?</v>
      </c>
      <c r="AJ395" s="1" t="e">
        <f ca="1">_xll.BDH($C$378,"GROWTH_IN_CAP","FQ2 2017","FQ2 2017","Currency=INR","Period=FQ","BEST_FPERIOD_OVERRIDE=FQ","FILING_STATUS=OR","EQY_CONSOLIDATED=Y","Sort=A","Dates=H","DateFormat=P","Fill=—","Direction=H","UseDPDF=Y")</f>
        <v>#NAME?</v>
      </c>
      <c r="AK395" s="1" t="e">
        <f ca="1">_xll.BDH($C$378,"BVPS_GROWTH","FQ2 2017","FQ2 2017","Currency=INR","Period=FQ","BEST_FPERIOD_OVERRIDE=FQ","FILING_STATUS=OR","EQY_CONSOLIDATED=Y","Sort=A","Dates=H","DateFormat=P","Fill=—","Direction=H","UseDPDF=Y")</f>
        <v>#NAME?</v>
      </c>
      <c r="AL395" s="1" t="e">
        <f ca="1">_xll.BDH($C$378,"CASH_FLOW_GROWTH","FQ2 2017","FQ2 2017","Currency=INR","Period=FQ","BEST_FPERIOD_OVERRIDE=FQ","FILING_STATUS=OR","EQY_CONSOLIDATED=Y","Sort=A","Dates=H","DateFormat=P","Fill=—","Direction=H","UseDPDF=Y")</f>
        <v>#NAME?</v>
      </c>
      <c r="AM395" s="1" t="e">
        <f ca="1">_xll.BDH($C$378,"GEO_GROW_NET_SALES","FQ2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95" s="1" t="e">
        <f ca="1">_xll.BDH($C$378,"GEO_GROW_EBITDA","FQ2 2017","FQ2 2017","Currency=INR","Period=FQ","BEST_FPERIOD_OVERRIDE=FQ","FILING_STATUS=OR","EQY_CONSOLIDATED=Y","FA_ADJUSTED=GAAP","Sort=A","Dates=H","DateFormat=P","Fill=—","Direction=H","UseDPDF=Y")</f>
        <v>#NAME?</v>
      </c>
      <c r="AO395" s="1" t="e">
        <f ca="1">_xll.BDH($C$378,"GEO_GROW_OPER_INC","FQ2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95" s="1" t="e">
        <f ca="1">_xll.BDH($C$378,"NET_INCOME_TO_COMMON_5_YR_GROWTH","FQ2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95" s="1" t="e">
        <f ca="1">_xll.BDH($C$378,"5Y_GEO_GROWTH_DILUTED_EPS","FQ2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95" s="1" t="e">
        <f ca="1">_xll.BDH($C$378,"GEO_GROW_DVD_PER_SH","FQ2 2017","FQ2 2017","Currency=INR","Period=FQ","BEST_FPERIOD_OVERRIDE=FQ","FILING_STATUS=OR","EQY_CONSOLIDATED=Y","Sort=A","Dates=H","DateFormat=P","Fill=—","Direction=H","UseDPDF=Y")</f>
        <v>#NAME?</v>
      </c>
      <c r="AS395" s="1" t="e">
        <f ca="1">_xll.BDH($C$378,"ACCOUNTS_RECEIVABLE_5_YR_GROWTH","FQ2 2017","FQ2 2017","Currency=INR","Period=FQ","BEST_FPERIOD_OVERRIDE=FQ","FILING_STATUS=OR","EQY_CONSOLIDATED=Y","Sort=A","Dates=H","DateFormat=P","Fill=—","Direction=H","UseDPDF=Y")</f>
        <v>#NAME?</v>
      </c>
      <c r="AT395" s="1" t="e">
        <f ca="1">_xll.BDH($C$378,"INVENTORY_5_YEAR_GROWTH","FQ2 2017","FQ2 2017","Currency=INR","Period=FQ","BEST_FPERIOD_OVERRIDE=FQ","FILING_STATUS=OR","EQY_CONSOLIDATED=Y","Sort=A","Dates=H","DateFormat=P","Fill=—","Direction=H","UseDPDF=Y")</f>
        <v>#NAME?</v>
      </c>
      <c r="AU395" s="1" t="e">
        <f ca="1">_xll.BDH($C$378,"NET_FIXED_ASSETS_5_YEAR_GROWTH","FQ2 2017","FQ2 2017","Currency=INR","Period=FQ","BEST_FPERIOD_OVERRIDE=FQ","FILING_STATUS=OR","EQY_CONSOLIDATED=Y","Sort=A","Dates=H","DateFormat=P","Fill=—","Direction=H","UseDPDF=Y")</f>
        <v>#NAME?</v>
      </c>
      <c r="AV395" s="1" t="e">
        <f ca="1">_xll.BDH($C$378,"GEO_GROW_TOT_ASSET","FQ2 2017","FQ2 2017","Currency=INR","Period=FQ","BEST_FPERIOD_OVERRIDE=FQ","FILING_STATUS=OR","EQY_CONSOLIDATED=Y","Sort=A","Dates=H","DateFormat=P","Fill=—","Direction=H","UseDPDF=Y")</f>
        <v>#NAME?</v>
      </c>
      <c r="AW395" s="1" t="e">
        <f ca="1">_xll.BDH($C$378,"MODIFIED_WORKING_CPTL_5YR_GRWTH","FQ2 2017","FQ2 2017","Currency=INR","Period=FQ","BEST_FPERIOD_OVERRIDE=FQ","FILING_STATUS=OR","EQY_CONSOLIDATED=Y","Sort=A","Dates=H","DateFormat=P","Fill=—","Direction=H","UseDPDF=Y")</f>
        <v>#NAME?</v>
      </c>
      <c r="AX395" s="1" t="e">
        <f ca="1">_xll.BDH($C$378,"WORKING_CAPITAL_5_YEAR_GROWTH","FQ2 2017","FQ2 2017","Currency=INR","Period=FQ","BEST_FPERIOD_OVERRIDE=FQ","FILING_STATUS=OR","EQY_CONSOLIDATED=Y","Sort=A","Dates=H","DateFormat=P","Fill=—","Direction=H","UseDPDF=Y")</f>
        <v>#NAME?</v>
      </c>
      <c r="AY395" s="1" t="e">
        <f ca="1">_xll.BDH($C$378,"ACCOUNTS_PAYABLE_5_YEAR_GROWTH","FQ2 2017","FQ2 2017","Currency=INR","Period=FQ","BEST_FPERIOD_OVERRIDE=FQ","FILING_STATUS=OR","EQY_CONSOLIDATED=Y","Sort=A","Dates=H","DateFormat=P","Fill=—","Direction=H","UseDPDF=Y")</f>
        <v>#NAME?</v>
      </c>
      <c r="AZ395" s="1" t="e">
        <f ca="1">_xll.BDH($C$378,"SHORT_TERM_DEBT_5_YEAR_GROWTH","FQ2 2017","FQ2 2017","Currency=INR","Period=FQ","BEST_FPERIOD_OVERRIDE=FQ","FILING_STATUS=OR","EQY_CONSOLIDATED=Y","Sort=A","Dates=H","DateFormat=P","Fill=—","Direction=H","UseDPDF=Y")</f>
        <v>#NAME?</v>
      </c>
      <c r="BA395" s="1" t="e">
        <f ca="1">_xll.BDH($C$378,"TOTAL_DEBT_5_YEAR_GROWTH","FQ2 2017","FQ2 2017","Currency=INR","Period=FQ","BEST_FPERIOD_OVERRIDE=FQ","FILING_STATUS=OR","EQY_CONSOLIDATED=Y","Sort=A","Dates=H","DateFormat=P","Fill=—","Direction=H","UseDPDF=Y")</f>
        <v>#NAME?</v>
      </c>
      <c r="BB395" s="1" t="e">
        <f ca="1">_xll.BDH($C$378,"GEO_GROW_TOT_SHRHLDR_EQY","FQ2 2017","FQ2 2017","Currency=INR","Period=FQ","BEST_FPERIOD_OVERRIDE=FQ","FILING_STATUS=OR","EQY_CONSOLIDATED=Y","Sort=A","Dates=H","DateFormat=P","Fill=—","Direction=H","UseDPDF=Y")</f>
        <v>#NAME?</v>
      </c>
      <c r="BC395" s="1" t="e">
        <f ca="1">_xll.BDH($C$378,"TOTAL_CAPITAL_5_YEAR_GROWTH","FQ2 2017","FQ2 2017","Currency=INR","Period=FQ","BEST_FPERIOD_OVERRIDE=FQ","FILING_STATUS=OR","EQY_CONSOLIDATED=Y","Sort=A","Dates=H","DateFormat=P","Fill=—","Direction=H","UseDPDF=Y")</f>
        <v>#NAME?</v>
      </c>
      <c r="BD395" s="1" t="e">
        <f ca="1">_xll.BDH($C$378,"GEO_GROW_BOOK_VAL","FQ2 2017","FQ2 2017","Currency=INR","Period=FQ","BEST_FPERIOD_OVERRIDE=FQ","FILING_STATUS=OR","EQY_CONSOLIDATED=Y","Sort=A","Dates=H","DateFormat=P","Fill=—","Direction=H","UseDPDF=Y")</f>
        <v>#NAME?</v>
      </c>
      <c r="BE395" s="1" t="e">
        <f ca="1">_xll.BDH($C$378,"GEO_GROW_CASH_OPER_ACT","FQ2 2017","FQ2 2017","Currency=INR","Period=FQ","BEST_FPERIOD_OVERRIDE=FQ","FILING_STATUS=OR","EQY_CONSOLIDATED=Y","Sort=A","Dates=H","DateFormat=P","Fill=—","Direction=H","UseDPDF=Y")</f>
        <v>#NAME?</v>
      </c>
      <c r="BF395" s="1" t="e">
        <f ca="1">_xll.BDH($C$378,"REVENUE_SEQUENTIAL_GROWTH","FQ2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95" s="1" t="e">
        <f ca="1">_xll.BDH($C$378,"EBITDA_SEQUENTIAL_GROWTH","FQ2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95" s="1" t="e">
        <f ca="1">_xll.BDH($C$378,"OPERATING_INCOME_SEQ_GROWTH","FQ2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95" s="1" t="e">
        <f ca="1">_xll.BDH($C$378,"NET_INCOME_TO_COMMON_SEQ_GROWTH","FQ2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95" s="1" t="e">
        <f ca="1">_xll.BDH($C$378,"EPS_DILUTED_SEQUENTIAL_GROWTH","FQ2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95" s="1" t="e">
        <f ca="1">_xll.BDH($C$378,"DPS_SEQUENTIAL_GROWTH","FQ2 2017","FQ2 2017","Currency=INR","Period=FQ","BEST_FPERIOD_OVERRIDE=FQ","FILING_STATUS=OR","EQY_CONSOLIDATED=Y","Sort=A","Dates=H","DateFormat=P","Fill=—","Direction=H","UseDPDF=Y")</f>
        <v>#NAME?</v>
      </c>
      <c r="BL395" s="1" t="e">
        <f ca="1">_xll.BDH($C$378,"ACCOUNTS_RECEIVABLE_SEQ_GROWTH","FQ2 2017","FQ2 2017","Currency=INR","Period=FQ","BEST_FPERIOD_OVERRIDE=FQ","FILING_STATUS=OR","EQY_CONSOLIDATED=Y","Sort=A","Dates=H","DateFormat=P","Fill=—","Direction=H","UseDPDF=Y")</f>
        <v>#NAME?</v>
      </c>
      <c r="BM395" s="1" t="e">
        <f ca="1">_xll.BDH($C$378,"INVENTORY_SEQUENTIAL_GROWTH","FQ2 2017","FQ2 2017","Currency=INR","Period=FQ","BEST_FPERIOD_OVERRIDE=FQ","FILING_STATUS=OR","EQY_CONSOLIDATED=Y","Sort=A","Dates=H","DateFormat=P","Fill=—","Direction=H","UseDPDF=Y")</f>
        <v>#NAME?</v>
      </c>
      <c r="BN395" s="1" t="e">
        <f ca="1">_xll.BDH($C$378,"FIXED_ASSETS_SEQUENTIAL_GROWTH","FQ2 2017","FQ2 2017","Currency=INR","Period=FQ","BEST_FPERIOD_OVERRIDE=FQ","FILING_STATUS=OR","EQY_CONSOLIDATED=Y","Sort=A","Dates=H","DateFormat=P","Fill=—","Direction=H","UseDPDF=Y")</f>
        <v>#NAME?</v>
      </c>
      <c r="BO395" s="1" t="e">
        <f ca="1">_xll.BDH($C$378,"TOTAL_ASSETS_SEQUENTIAL_GROWTH","FQ2 2017","FQ2 2017","Currency=INR","Period=FQ","BEST_FPERIOD_OVERRIDE=FQ","FILING_STATUS=OR","EQY_CONSOLIDATED=Y","Sort=A","Dates=H","DateFormat=P","Fill=—","Direction=H","UseDPDF=Y")</f>
        <v>#NAME?</v>
      </c>
      <c r="BP395" s="1" t="e">
        <f ca="1">_xll.BDH($C$378,"MODIFIED_WORKING_CPTL_SEQ_GRWTH","FQ2 2017","FQ2 2017","Currency=INR","Period=FQ","BEST_FPERIOD_OVERRIDE=FQ","FILING_STATUS=OR","EQY_CONSOLIDATED=Y","Sort=A","Dates=H","DateFormat=P","Fill=—","Direction=H","UseDPDF=Y")</f>
        <v>#NAME?</v>
      </c>
      <c r="BQ395" s="1" t="e">
        <f ca="1">_xll.BDH($C$378,"WORKING_CAPITAL_SEQ_GROWTH","FQ2 2017","FQ2 2017","Currency=INR","Period=FQ","BEST_FPERIOD_OVERRIDE=FQ","FILING_STATUS=OR","EQY_CONSOLIDATED=Y","Sort=A","Dates=H","DateFormat=P","Fill=—","Direction=H","UseDPDF=Y")</f>
        <v>#NAME?</v>
      </c>
      <c r="BR395" s="1" t="e">
        <f ca="1">_xll.BDH($C$378,"ACCOUNTS_PAYABLE_SEQ_GROWTH","FQ2 2017","FQ2 2017","Currency=INR","Period=FQ","BEST_FPERIOD_OVERRIDE=FQ","FILING_STATUS=OR","EQY_CONSOLIDATED=Y","Sort=A","Dates=H","DateFormat=P","Fill=—","Direction=H","UseDPDF=Y")</f>
        <v>#NAME?</v>
      </c>
      <c r="BS395" s="1" t="e">
        <f ca="1">_xll.BDH($C$378,"ST_DEBT_SEQUENTIAL_GROWTH","FQ2 2017","FQ2 2017","Currency=INR","Period=FQ","BEST_FPERIOD_OVERRIDE=FQ","FILING_STATUS=OR","EQY_CONSOLIDATED=Y","Sort=A","Dates=H","DateFormat=P","Fill=—","Direction=H","UseDPDF=Y")</f>
        <v>#NAME?</v>
      </c>
      <c r="BT395" s="1" t="e">
        <f ca="1">_xll.BDH($C$378,"TOTAL_DEBT_SEQUENTIAL_GROWTH","FQ2 2017","FQ2 2017","Currency=INR","Period=FQ","BEST_FPERIOD_OVERRIDE=FQ","FILING_STATUS=OR","EQY_CONSOLIDATED=Y","Sort=A","Dates=H","DateFormat=P","Fill=—","Direction=H","UseDPDF=Y")</f>
        <v>#NAME?</v>
      </c>
      <c r="BU395" s="1" t="e">
        <f ca="1">_xll.BDH($C$378,"TOTAL_EQUITY_SEQUENTIAL_GROWTH","FQ2 2017","FQ2 2017","Currency=INR","Period=FQ","BEST_FPERIOD_OVERRIDE=FQ","FILING_STATUS=OR","EQY_CONSOLIDATED=Y","Sort=A","Dates=H","DateFormat=P","Fill=—","Direction=H","UseDPDF=Y")</f>
        <v>#NAME?</v>
      </c>
      <c r="BV395" s="1" t="e">
        <f ca="1">_xll.BDH($C$378,"TOTAL_CAPITAL_SEQUENTIAL_GROWTH","FQ2 2017","FQ2 2017","Currency=INR","Period=FQ","BEST_FPERIOD_OVERRIDE=FQ","FILING_STATUS=OR","EQY_CONSOLIDATED=Y","Sort=A","Dates=H","DateFormat=P","Fill=—","Direction=H","UseDPDF=Y")</f>
        <v>#NAME?</v>
      </c>
      <c r="BW395" s="1" t="e">
        <f ca="1">_xll.BDH($C$378,"BPS_SEQUENTIAL_GROWTH","FQ2 2017","FQ2 2017","Currency=INR","Period=FQ","BEST_FPERIOD_OVERRIDE=FQ","FILING_STATUS=OR","EQY_CONSOLIDATED=Y","Sort=A","Dates=H","DateFormat=P","Fill=—","Direction=H","UseDPDF=Y")</f>
        <v>#NAME?</v>
      </c>
      <c r="BX395" s="1" t="e">
        <f ca="1">_xll.BDH($C$378,"CFO_SEQUENTIAL_GROWTH","FQ2 2017","FQ2 2017","Currency=INR","Period=FQ","BEST_FPERIOD_OVERRIDE=FQ","FILING_STATUS=OR","EQY_CONSOLIDATED=Y","Sort=A","Dates=H","DateFormat=P","Fill=—","Direction=H","UseDPDF=Y")</f>
        <v>#NAME?</v>
      </c>
      <c r="BY395" s="2" t="e">
        <f ca="1">_xll.BDH($C$378,"SHORT_AND_LONG_TERM_DEBT","FQ2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95" s="2" t="e">
        <f ca="1">_xll.BDH($C$378,"BS_ST_BORROW","FQ2 2017","FQ2 2017","Currency=INR","Period=FQ","BEST_FPERIOD_OVERRIDE=FQ","FILING_STATUS=OR","EQY_CONSOLIDATED=Y","SCALING_FORMAT=MLN","Sort=A","Dates=H","DateFormat=P","Fill=—","Direction=H","UseDPDF=Y")</f>
        <v>#NAME?</v>
      </c>
      <c r="CA395" s="2" t="e">
        <f ca="1">_xll.BDH($C$378,"BS_LT_BORROW","FQ2 2017","FQ2 2017","Currency=INR","Period=FQ","BEST_FPERIOD_OVERRIDE=FQ","FILING_STATUS=OR","EQY_CONSOLIDATED=Y","SCALING_FORMAT=MLN","Sort=A","Dates=H","DateFormat=P","Fill=—","Direction=H","UseDPDF=Y")</f>
        <v>#NAME?</v>
      </c>
      <c r="CB395" s="1" t="e">
        <f ca="1">_xll.BDH($C$378,"TOT_DEBT_TO_EBITDA","FQ2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95" s="1" t="e">
        <f ca="1">_xll.BDH($C$378,"NET_DEBT_TO_EBITDA","FQ2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95" s="1" t="e">
        <f ca="1">_xll.BDH($C$378,"TOTAL_DEBT_TO_EBIT","FQ2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95" s="1" t="e">
        <f ca="1">_xll.BDH($C$378,"NET_DEBT_TO_EBIT","FQ2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395" s="1" t="e">
        <f ca="1">_xll.BDH($C$378,"EBITDA_TO_INTEREST_EXPN","FQ2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95" s="1" t="e">
        <f ca="1">_xll.BDH($C$378,"COM_EQY_TO_TOT_ASSET","FQ2 2017","FQ2 2017","Currency=INR","Period=FQ","BEST_FPERIOD_OVERRIDE=FQ","FILING_STATUS=OR","EQY_CONSOLIDATED=Y","Sort=A","Dates=H","DateFormat=P","Fill=—","Direction=H","UseDPDF=Y")</f>
        <v>#NAME?</v>
      </c>
      <c r="CH395" s="1" t="e">
        <f ca="1">_xll.BDH($C$378,"LT_DEBT_TO_TOT_EQY","FQ2 2017","FQ2 2017","Currency=INR","Period=FQ","BEST_FPERIOD_OVERRIDE=FQ","FILING_STATUS=OR","EQY_CONSOLIDATED=Y","Sort=A","Dates=H","DateFormat=P","Fill=—","Direction=H","UseDPDF=Y")</f>
        <v>#NAME?</v>
      </c>
      <c r="CI395" s="1" t="e">
        <f ca="1">_xll.BDH($C$378,"LT_DEBT_TO_TOT_CAP","FQ2 2017","FQ2 2017","Currency=INR","Period=FQ","BEST_FPERIOD_OVERRIDE=FQ","FILING_STATUS=OR","EQY_CONSOLIDATED=Y","Sort=A","Dates=H","DateFormat=P","Fill=—","Direction=H","UseDPDF=Y")</f>
        <v>#NAME?</v>
      </c>
      <c r="CJ395" s="1" t="e">
        <f ca="1">_xll.BDH($C$378,"LT_DEBT_TO_TOT_ASSET","FQ2 2017","FQ2 2017","Currency=INR","Period=FQ","BEST_FPERIOD_OVERRIDE=FQ","FILING_STATUS=OR","EQY_CONSOLIDATED=Y","Sort=A","Dates=H","DateFormat=P","Fill=—","Direction=H","UseDPDF=Y")</f>
        <v>#NAME?</v>
      </c>
      <c r="CK395" s="1" t="e">
        <f ca="1">_xll.BDH($C$378,"TOT_DEBT_TO_TOT_EQY","FQ2 2017","FQ2 2017","Currency=INR","Period=FQ","BEST_FPERIOD_OVERRIDE=FQ","FILING_STATUS=OR","EQY_CONSOLIDATED=Y","Sort=A","Dates=H","DateFormat=P","Fill=—","Direction=H","UseDPDF=Y")</f>
        <v>#NAME?</v>
      </c>
      <c r="CL395" s="1" t="e">
        <f ca="1">_xll.BDH($C$378,"TOT_DEBT_TO_TOT_CAP","FQ2 2017","FQ2 2017","Currency=INR","Period=FQ","BEST_FPERIOD_OVERRIDE=FQ","FILING_STATUS=OR","EQY_CONSOLIDATED=Y","Sort=A","Dates=H","DateFormat=P","Fill=—","Direction=H","UseDPDF=Y")</f>
        <v>#NAME?</v>
      </c>
      <c r="CM395" s="1" t="e">
        <f ca="1">_xll.BDH($C$378,"TOT_DEBT_TO_TOT_ASSET","FQ2 2017","FQ2 2017","Currency=INR","Period=FQ","BEST_FPERIOD_OVERRIDE=FQ","FILING_STATUS=OR","EQY_CONSOLIDATED=Y","Sort=A","Dates=H","DateFormat=P","Fill=—","Direction=H","UseDPDF=Y")</f>
        <v>#NAME?</v>
      </c>
      <c r="CN395" s="1" t="e">
        <f ca="1">_xll.BDH($C$378,"NET_DEBT_TO_SHRHLDR_EQTY","FQ2 2017","FQ2 2017","Currency=INR","Period=FQ","BEST_FPERIOD_OVERRIDE=FQ","FILING_STATUS=OR","EQY_CONSOLIDATED=Y","Sort=A","Dates=H","DateFormat=P","Fill=—","Direction=H","UseDPDF=Y")</f>
        <v>#NAME?</v>
      </c>
      <c r="CO395" s="1" t="e">
        <f ca="1">_xll.BDH($C$378,"NET_DEBT_%_CAPITAL","FQ2 2017","FQ2 2017","Currency=INR","Period=FQ","BEST_FPERIOD_OVERRIDE=FQ","FILING_STATUS=OR","EQY_CONSOLIDATED=Y","Sort=A","Dates=H","DateFormat=P","Fill=—","Direction=H","UseDPDF=Y")</f>
        <v>#NAME?</v>
      </c>
      <c r="CP395" s="2" t="e">
        <f ca="1">_xll.BDH($C$378,"EBITDA","FQ2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95" s="2" t="e">
        <f ca="1">_xll.BDH($C$378,"EBITDA_AFTER_CAPEX","FQ2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95" s="2" t="e">
        <f ca="1">_xll.BDH($C$378,"IS_OPER_INC","FQ2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95" s="1" t="e">
        <f ca="1">_xll.BDH($C$378,"CASH_RATIO","FQ2 2017","FQ2 2017","Currency=INR","Period=FQ","BEST_FPERIOD_OVERRIDE=FQ","FILING_STATUS=OR","EQY_CONSOLIDATED=Y","Sort=A","Dates=H","DateFormat=P","Fill=—","Direction=H","UseDPDF=Y")</f>
        <v>#NAME?</v>
      </c>
      <c r="CT395" s="1" t="e">
        <f ca="1">_xll.BDH($C$378,"CUR_RATIO","FQ2 2017","FQ2 2017","Currency=INR","Period=FQ","BEST_FPERIOD_OVERRIDE=FQ","FILING_STATUS=OR","EQY_CONSOLIDATED=Y","Sort=A","Dates=H","DateFormat=P","Fill=—","Direction=H","UseDPDF=Y")</f>
        <v>#NAME?</v>
      </c>
      <c r="CU395" s="1" t="e">
        <f ca="1">_xll.BDH($C$378,"QUICK_RATIO","FQ2 2017","FQ2 2017","Currency=INR","Period=FQ","BEST_FPERIOD_OVERRIDE=FQ","FILING_STATUS=OR","EQY_CONSOLIDATED=Y","Sort=A","Dates=H","DateFormat=P","Fill=—","Direction=H","UseDPDF=Y")</f>
        <v>#NAME?</v>
      </c>
      <c r="CV395" s="1" t="e">
        <f ca="1">_xll.BDH($C$378,"ALTMAN_Z_SCORE","FQ2 2017","FQ2 2017","Currency=INR","Period=FQ","BEST_FPERIOD_OVERRIDE=FQ","FILING_STATUS=OR","EQY_CONSOLIDATED=Y","Sort=A","Dates=H","DateFormat=P","Fill=—","Direction=H","UseDPDF=Y")</f>
        <v>#NAME?</v>
      </c>
      <c r="CW395" s="3" t="e">
        <f ca="1">_xll.BDH($C$378,"ACCT_RCV_TURN","FQ2 2017","FQ2 2017","Currency=INR","Period=FQ","BEST_FPERIOD_OVERRIDE=FQ","FILING_STATUS=OR","EQY_CONSOLIDATED=Y","FA_ADJUSTED=GAAP","Sort=A","Dates=H","DateFormat=P","Fill=—","Direction=H","UseDPDF=Y")</f>
        <v>#NAME?</v>
      </c>
      <c r="CX395" s="1" t="e">
        <f ca="1">_xll.BDH($C$378,"ACCT_RCV_DAYS","FQ2 2017","FQ2 2017","Currency=INR","Period=FQ","BEST_FPERIOD_OVERRIDE=FQ","FILING_STATUS=OR","EQY_CONSOLIDATED=Y","FA_ADJUSTED=GAAP","Sort=A","Dates=H","DateFormat=P","Fill=—","Direction=H","UseDPDF=Y")</f>
        <v>#NAME?</v>
      </c>
      <c r="CY395" s="3" t="e">
        <f ca="1">_xll.BDH($C$378,"INVENT_TURN","FQ2 2017","FQ2 2017","Currency=INR","Period=FQ","BEST_FPERIOD_OVERRIDE=FQ","FILING_STATUS=OR","EQY_CONSOLIDATED=Y","FA_ADJUSTED=GAAP","Sort=A","Dates=H","DateFormat=P","Fill=—","Direction=H","UseDPDF=Y")</f>
        <v>#NAME?</v>
      </c>
      <c r="CZ395" s="1" t="e">
        <f ca="1">_xll.BDH($C$378,"INVENT_DAYS","FQ2 2017","FQ2 2017","Currency=INR","Period=FQ","BEST_FPERIOD_OVERRIDE=FQ","FILING_STATUS=OR","EQY_CONSOLIDATED=Y","FA_ADJUSTED=GAAP","Sort=A","Dates=H","DateFormat=P","Fill=—","Direction=H","UseDPDF=Y")</f>
        <v>#NAME?</v>
      </c>
      <c r="DA395" s="3" t="e">
        <f ca="1">_xll.BDH($C$378,"ACCOUNTS_PAYABLE_TURNOVER","FQ2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95" s="1" t="e">
        <f ca="1">_xll.BDH($C$378,"ACCOUNTS_PAYABLE_TURNOVER_DAYS","FQ2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95" s="3" t="e">
        <f ca="1">_xll.BDH($C$378,"CASH_CONVERSION_CYCLE","FQ2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95" s="3" t="e">
        <f ca="1">_xll.BDH($C$378,"INV_TO_CASH_DAYS","FQ2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395" s="4" t="e">
        <f ca="1">_xll.BDH($C$378,"BS_INVENTORIES","FQ2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395" s="2" t="e">
        <f ca="1">_xll.BDH($C$378,"INVTRY_RAW_MATERIALS","FQ2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95" s="2" t="e">
        <f ca="1">_xll.BDH($C$378,"INVTRY_IN_PROGRESS","FQ2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95" s="2" t="e">
        <f ca="1">_xll.BDH($C$378,"INVTRY_FINISHED_GOODS","FQ2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95" s="2" t="e">
        <f ca="1">_xll.BDH($C$378,"BS_OTHER_INV","FQ2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96" spans="1:113" x14ac:dyDescent="0.3">
      <c r="A396" s="6"/>
      <c r="B396" s="6"/>
      <c r="C396" s="6"/>
      <c r="D396" s="6"/>
      <c r="E396" t="s">
        <v>6</v>
      </c>
      <c r="F396" t="e">
        <f ca="1">_xll.BDH($C$378,"RETURN_COM_EQY","FQ3 2017","FQ3 2017","Currency=INR","Period=FQ","BEST_FPERIOD_OVERRIDE=FQ","FILING_STATUS=OR","EQY_CONSOLIDATED=Y","FA_ADJUSTED=GAAP","Sort=A","Dates=H","DateFormat=P","Fill=—","Direction=H","UseDPDF=Y")</f>
        <v>#NAME?</v>
      </c>
      <c r="G396" t="e">
        <f ca="1">_xll.BDH($C$378,"RETURN_ON_ASSET","FQ3 2017","FQ3 2017","Currency=INR","Period=FQ","BEST_FPERIOD_OVERRIDE=FQ","FILING_STATUS=OR","EQY_CONSOLIDATED=Y","FA_ADJUSTED=GAAP","Sort=A","Dates=H","DateFormat=P","Fill=—","Direction=H","UseDPDF=Y")</f>
        <v>#NAME?</v>
      </c>
      <c r="H396" t="e">
        <f ca="1">_xll.BDH($C$378,"RETURN_ON_CAP","FQ3 2017","FQ3 2017","Currency=INR","Period=FQ","BEST_FPERIOD_OVERRIDE=FQ","FILING_STATUS=OR","EQY_CONSOLIDATED=Y","FA_ADJUSTED=GAAP","Sort=A","Dates=H","DateFormat=P","Fill=—","Direction=H","UseDPDF=Y")</f>
        <v>#NAME?</v>
      </c>
      <c r="I396" t="e">
        <f ca="1">_xll.BDH($C$378,"RETURN_ON_INV_CAPITAL","FQ3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96" t="e">
        <f ca="1">_xll.BDH($C$378,"EBITDA_TO_REVENUE","FQ3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396" t="e">
        <f ca="1">_xll.BDH($C$378,"OPER_MARGIN","FQ3 2017","FQ3 2017","Currency=INR","Period=FQ","BEST_FPERIOD_OVERRIDE=FQ","FILING_STATUS=OR","EQY_CONSOLIDATED=Y","FA_ADJUSTED=GAAP","Sort=A","Dates=H","DateFormat=P","Fill=—","Direction=H","UseDPDF=Y")</f>
        <v>#NAME?</v>
      </c>
      <c r="L396" t="e">
        <f ca="1">_xll.BDH($C$378,"INCREMENTAL_OPERATING_MARGIN","FQ3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96" t="e">
        <f ca="1">_xll.BDH($C$378,"PRETAX_INC_TO_NET_SALES","FQ3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96" t="e">
        <f ca="1">_xll.BDH($C$378,"INC_BEF_XO_ITEMS_TO_NET_SALES","FQ3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96" t="e">
        <f ca="1">_xll.BDH($C$378,"PROF_MARGIN","FQ3 2017","FQ3 2017","Currency=INR","Period=FQ","BEST_FPERIOD_OVERRIDE=FQ","FILING_STATUS=OR","EQY_CONSOLIDATED=Y","FA_ADJUSTED=GAAP","Sort=A","Dates=H","DateFormat=P","Fill=—","Direction=H","UseDPDF=Y")</f>
        <v>#NAME?</v>
      </c>
      <c r="P396" t="e">
        <f ca="1">_xll.BDH($C$378,"NET_INCOME_TO_COMMON_MARGIN","FQ3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96" t="e">
        <f ca="1">_xll.BDH($C$378,"EFF_TAX_RATE","FQ3 2017","FQ3 2017","Currency=INR","Period=FQ","BEST_FPERIOD_OVERRIDE=FQ","FILING_STATUS=OR","EQY_CONSOLIDATED=Y","FA_ADJUSTED=GAAP","Sort=A","Dates=H","DateFormat=P","Fill=—","Direction=H","UseDPDF=Y")</f>
        <v>#NAME?</v>
      </c>
      <c r="R396" t="e">
        <f ca="1">_xll.BDH($C$378,"DVD_PAYOUT_RATIO","FQ3 2017","FQ3 2017","Currency=INR","Period=FQ","BEST_FPERIOD_OVERRIDE=FQ","FILING_STATUS=OR","EQY_CONSOLIDATED=Y","FA_ADJUSTED=GAAP","Sort=A","Dates=H","DateFormat=P","Fill=—","Direction=H","UseDPDF=Y")</f>
        <v>#NAME?</v>
      </c>
      <c r="S396" t="e">
        <f ca="1">_xll.BDH($C$378,"SUSTAIN_GROWTH_RT","FQ3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396" s="1" t="e">
        <f ca="1">_xll.BDH($C$378,"SALES_GROWTH","FQ3 2017","FQ3 2017","Currency=INR","Period=FQ","BEST_FPERIOD_OVERRIDE=FQ","FILING_STATUS=OR","EQY_CONSOLIDATED=Y","FA_ADJUSTED=GAAP","Sort=A","Dates=H","DateFormat=P","Fill=—","Direction=H","UseDPDF=Y")</f>
        <v>#NAME?</v>
      </c>
      <c r="U396" s="1" t="e">
        <f ca="1">_xll.BDH($C$378,"EBITDA_GROWTH","FQ3 2017","FQ3 2017","Currency=INR","Period=FQ","BEST_FPERIOD_OVERRIDE=FQ","FILING_STATUS=OR","EQY_CONSOLIDATED=Y","FA_ADJUSTED=GAAP","Sort=A","Dates=H","DateFormat=P","Fill=—","Direction=H","UseDPDF=Y")</f>
        <v>#NAME?</v>
      </c>
      <c r="V396" s="1" t="e">
        <f ca="1">_xll.BDH($C$378,"OPER_INC_GROWTH","FQ3 2017","FQ3 2017","Currency=INR","Period=FQ","BEST_FPERIOD_OVERRIDE=FQ","FILING_STATUS=OR","EQY_CONSOLIDATED=Y","FA_ADJUSTED=GAAP","Sort=A","Dates=H","DateFormat=P","Fill=—","Direction=H","UseDPDF=Y")</f>
        <v>#NAME?</v>
      </c>
      <c r="W396" s="1" t="e">
        <f ca="1">_xll.BDH($C$378,"EARN_FOR_COM_GROWTH","FQ3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96" s="1" t="e">
        <f ca="1">_xll.BDH($C$378,"DILUTED_EPS_AFT_XO_ITEMS_GROWTH","FQ3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96" s="1" t="e">
        <f ca="1">_xll.BDH($C$378,"DIVIDEND_PER_SHARE_1_YEAR_GROWTH","FQ3 2017","FQ3 2017","Currency=INR","Period=FQ","BEST_FPERIOD_OVERRIDE=FQ","FILING_STATUS=OR","EQY_CONSOLIDATED=Y","Sort=A","Dates=H","DateFormat=P","Fill=—","Direction=H","UseDPDF=Y")</f>
        <v>#NAME?</v>
      </c>
      <c r="Z396" s="1" t="e">
        <f ca="1">_xll.BDH($C$378,"ACCOUNTS_RECEIVABLE_GROWTH","FQ3 2017","FQ3 2017","Currency=INR","Period=FQ","BEST_FPERIOD_OVERRIDE=FQ","FILING_STATUS=OR","EQY_CONSOLIDATED=Y","Sort=A","Dates=H","DateFormat=P","Fill=—","Direction=H","UseDPDF=Y")</f>
        <v>#NAME?</v>
      </c>
      <c r="AA396" s="1" t="e">
        <f ca="1">_xll.BDH($C$378,"INVENTORY_GROWTH","FQ3 2017","FQ3 2017","Currency=INR","Period=FQ","BEST_FPERIOD_OVERRIDE=FQ","FILING_STATUS=OR","EQY_CONSOLIDATED=Y","Sort=A","Dates=H","DateFormat=P","Fill=—","Direction=H","UseDPDF=Y")</f>
        <v>#NAME?</v>
      </c>
      <c r="AB396" s="1" t="e">
        <f ca="1">_xll.BDH($C$378,"NET_FIXED_ASSETS_1_YEAR_GROWTH","FQ3 2017","FQ3 2017","Currency=INR","Period=FQ","BEST_FPERIOD_OVERRIDE=FQ","FILING_STATUS=OR","EQY_CONSOLIDATED=Y","Sort=A","Dates=H","DateFormat=P","Fill=—","Direction=H","UseDPDF=Y")</f>
        <v>#NAME?</v>
      </c>
      <c r="AC396" s="1" t="e">
        <f ca="1">_xll.BDH($C$378,"ASSET_GROWTH","FQ3 2017","FQ3 2017","Currency=INR","Period=FQ","BEST_FPERIOD_OVERRIDE=FQ","FILING_STATUS=OR","EQY_CONSOLIDATED=Y","Sort=A","Dates=H","DateFormat=P","Fill=—","Direction=H","UseDPDF=Y")</f>
        <v>#NAME?</v>
      </c>
      <c r="AD396" s="1" t="e">
        <f ca="1">_xll.BDH($C$378,"MODIFIED_WORK_CAP_GROWTH","FQ3 2017","FQ3 2017","Currency=INR","Period=FQ","BEST_FPERIOD_OVERRIDE=FQ","FILING_STATUS=OR","EQY_CONSOLIDATED=Y","Sort=A","Dates=H","DateFormat=P","Fill=—","Direction=H","UseDPDF=Y")</f>
        <v>#NAME?</v>
      </c>
      <c r="AE396" s="1" t="e">
        <f ca="1">_xll.BDH($C$378,"WORK_CAP_GROWTH","FQ3 2017","FQ3 2017","Currency=INR","Period=FQ","BEST_FPERIOD_OVERRIDE=FQ","FILING_STATUS=OR","EQY_CONSOLIDATED=Y","Sort=A","Dates=H","DateFormat=P","Fill=—","Direction=H","UseDPDF=Y")</f>
        <v>#NAME?</v>
      </c>
      <c r="AF396" s="1" t="e">
        <f ca="1">_xll.BDH($C$378,"ACCOUNTS_PAYABLE_GROWTH_1YR","FQ3 2017","FQ3 2017","Currency=INR","Period=FQ","BEST_FPERIOD_OVERRIDE=FQ","FILING_STATUS=OR","EQY_CONSOLIDATED=Y","Sort=A","Dates=H","DateFormat=P","Fill=—","Direction=H","UseDPDF=Y")</f>
        <v>#NAME?</v>
      </c>
      <c r="AG396" s="1" t="e">
        <f ca="1">_xll.BDH($C$378,"SHORT_TERM_DEBT_1_YEAR_GROWTH","FQ3 2017","FQ3 2017","Currency=INR","Period=FQ","BEST_FPERIOD_OVERRIDE=FQ","FILING_STATUS=OR","EQY_CONSOLIDATED=Y","Sort=A","Dates=H","DateFormat=P","Fill=—","Direction=H","UseDPDF=Y")</f>
        <v>#NAME?</v>
      </c>
      <c r="AH396" s="1" t="e">
        <f ca="1">_xll.BDH($C$378,"TOTAL_DEBT_1_YEAR_GROWTH","FQ3 2017","FQ3 2017","Currency=INR","Period=FQ","BEST_FPERIOD_OVERRIDE=FQ","FILING_STATUS=OR","EQY_CONSOLIDATED=Y","Sort=A","Dates=H","DateFormat=P","Fill=—","Direction=H","UseDPDF=Y")</f>
        <v>#NAME?</v>
      </c>
      <c r="AI396" s="1" t="e">
        <f ca="1">_xll.BDH($C$378,"TOTAL_EQUITY_1_YEAR_GROWTH","FQ3 2017","FQ3 2017","Currency=INR","Period=FQ","BEST_FPERIOD_OVERRIDE=FQ","FILING_STATUS=OR","EQY_CONSOLIDATED=Y","Sort=A","Dates=H","DateFormat=P","Fill=—","Direction=H","UseDPDF=Y")</f>
        <v>#NAME?</v>
      </c>
      <c r="AJ396" s="1" t="e">
        <f ca="1">_xll.BDH($C$378,"GROWTH_IN_CAP","FQ3 2017","FQ3 2017","Currency=INR","Period=FQ","BEST_FPERIOD_OVERRIDE=FQ","FILING_STATUS=OR","EQY_CONSOLIDATED=Y","Sort=A","Dates=H","DateFormat=P","Fill=—","Direction=H","UseDPDF=Y")</f>
        <v>#NAME?</v>
      </c>
      <c r="AK396" s="1" t="e">
        <f ca="1">_xll.BDH($C$378,"BVPS_GROWTH","FQ3 2017","FQ3 2017","Currency=INR","Period=FQ","BEST_FPERIOD_OVERRIDE=FQ","FILING_STATUS=OR","EQY_CONSOLIDATED=Y","Sort=A","Dates=H","DateFormat=P","Fill=—","Direction=H","UseDPDF=Y")</f>
        <v>#NAME?</v>
      </c>
      <c r="AL396" s="1" t="e">
        <f ca="1">_xll.BDH($C$378,"CASH_FLOW_GROWTH","FQ3 2017","FQ3 2017","Currency=INR","Period=FQ","BEST_FPERIOD_OVERRIDE=FQ","FILING_STATUS=OR","EQY_CONSOLIDATED=Y","Sort=A","Dates=H","DateFormat=P","Fill=—","Direction=H","UseDPDF=Y")</f>
        <v>#NAME?</v>
      </c>
      <c r="AM396" s="1" t="e">
        <f ca="1">_xll.BDH($C$378,"GEO_GROW_NET_SALES","FQ3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96" s="1" t="e">
        <f ca="1">_xll.BDH($C$378,"GEO_GROW_EBITDA","FQ3 2017","FQ3 2017","Currency=INR","Period=FQ","BEST_FPERIOD_OVERRIDE=FQ","FILING_STATUS=OR","EQY_CONSOLIDATED=Y","FA_ADJUSTED=GAAP","Sort=A","Dates=H","DateFormat=P","Fill=—","Direction=H","UseDPDF=Y")</f>
        <v>#NAME?</v>
      </c>
      <c r="AO396" s="1" t="e">
        <f ca="1">_xll.BDH($C$378,"GEO_GROW_OPER_INC","FQ3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96" s="1" t="e">
        <f ca="1">_xll.BDH($C$378,"NET_INCOME_TO_COMMON_5_YR_GROWTH","FQ3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96" s="1" t="e">
        <f ca="1">_xll.BDH($C$378,"5Y_GEO_GROWTH_DILUTED_EPS","FQ3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96" s="1" t="e">
        <f ca="1">_xll.BDH($C$378,"GEO_GROW_DVD_PER_SH","FQ3 2017","FQ3 2017","Currency=INR","Period=FQ","BEST_FPERIOD_OVERRIDE=FQ","FILING_STATUS=OR","EQY_CONSOLIDATED=Y","Sort=A","Dates=H","DateFormat=P","Fill=—","Direction=H","UseDPDF=Y")</f>
        <v>#NAME?</v>
      </c>
      <c r="AS396" s="1" t="e">
        <f ca="1">_xll.BDH($C$378,"ACCOUNTS_RECEIVABLE_5_YR_GROWTH","FQ3 2017","FQ3 2017","Currency=INR","Period=FQ","BEST_FPERIOD_OVERRIDE=FQ","FILING_STATUS=OR","EQY_CONSOLIDATED=Y","Sort=A","Dates=H","DateFormat=P","Fill=—","Direction=H","UseDPDF=Y")</f>
        <v>#NAME?</v>
      </c>
      <c r="AT396" s="1" t="e">
        <f ca="1">_xll.BDH($C$378,"INVENTORY_5_YEAR_GROWTH","FQ3 2017","FQ3 2017","Currency=INR","Period=FQ","BEST_FPERIOD_OVERRIDE=FQ","FILING_STATUS=OR","EQY_CONSOLIDATED=Y","Sort=A","Dates=H","DateFormat=P","Fill=—","Direction=H","UseDPDF=Y")</f>
        <v>#NAME?</v>
      </c>
      <c r="AU396" s="1" t="e">
        <f ca="1">_xll.BDH($C$378,"NET_FIXED_ASSETS_5_YEAR_GROWTH","FQ3 2017","FQ3 2017","Currency=INR","Period=FQ","BEST_FPERIOD_OVERRIDE=FQ","FILING_STATUS=OR","EQY_CONSOLIDATED=Y","Sort=A","Dates=H","DateFormat=P","Fill=—","Direction=H","UseDPDF=Y")</f>
        <v>#NAME?</v>
      </c>
      <c r="AV396" s="1" t="e">
        <f ca="1">_xll.BDH($C$378,"GEO_GROW_TOT_ASSET","FQ3 2017","FQ3 2017","Currency=INR","Period=FQ","BEST_FPERIOD_OVERRIDE=FQ","FILING_STATUS=OR","EQY_CONSOLIDATED=Y","Sort=A","Dates=H","DateFormat=P","Fill=—","Direction=H","UseDPDF=Y")</f>
        <v>#NAME?</v>
      </c>
      <c r="AW396" s="1" t="e">
        <f ca="1">_xll.BDH($C$378,"MODIFIED_WORKING_CPTL_5YR_GRWTH","FQ3 2017","FQ3 2017","Currency=INR","Period=FQ","BEST_FPERIOD_OVERRIDE=FQ","FILING_STATUS=OR","EQY_CONSOLIDATED=Y","Sort=A","Dates=H","DateFormat=P","Fill=—","Direction=H","UseDPDF=Y")</f>
        <v>#NAME?</v>
      </c>
      <c r="AX396" s="1" t="e">
        <f ca="1">_xll.BDH($C$378,"WORKING_CAPITAL_5_YEAR_GROWTH","FQ3 2017","FQ3 2017","Currency=INR","Period=FQ","BEST_FPERIOD_OVERRIDE=FQ","FILING_STATUS=OR","EQY_CONSOLIDATED=Y","Sort=A","Dates=H","DateFormat=P","Fill=—","Direction=H","UseDPDF=Y")</f>
        <v>#NAME?</v>
      </c>
      <c r="AY396" s="1" t="e">
        <f ca="1">_xll.BDH($C$378,"ACCOUNTS_PAYABLE_5_YEAR_GROWTH","FQ3 2017","FQ3 2017","Currency=INR","Period=FQ","BEST_FPERIOD_OVERRIDE=FQ","FILING_STATUS=OR","EQY_CONSOLIDATED=Y","Sort=A","Dates=H","DateFormat=P","Fill=—","Direction=H","UseDPDF=Y")</f>
        <v>#NAME?</v>
      </c>
      <c r="AZ396" s="1" t="e">
        <f ca="1">_xll.BDH($C$378,"SHORT_TERM_DEBT_5_YEAR_GROWTH","FQ3 2017","FQ3 2017","Currency=INR","Period=FQ","BEST_FPERIOD_OVERRIDE=FQ","FILING_STATUS=OR","EQY_CONSOLIDATED=Y","Sort=A","Dates=H","DateFormat=P","Fill=—","Direction=H","UseDPDF=Y")</f>
        <v>#NAME?</v>
      </c>
      <c r="BA396" s="1" t="e">
        <f ca="1">_xll.BDH($C$378,"TOTAL_DEBT_5_YEAR_GROWTH","FQ3 2017","FQ3 2017","Currency=INR","Period=FQ","BEST_FPERIOD_OVERRIDE=FQ","FILING_STATUS=OR","EQY_CONSOLIDATED=Y","Sort=A","Dates=H","DateFormat=P","Fill=—","Direction=H","UseDPDF=Y")</f>
        <v>#NAME?</v>
      </c>
      <c r="BB396" s="1" t="e">
        <f ca="1">_xll.BDH($C$378,"GEO_GROW_TOT_SHRHLDR_EQY","FQ3 2017","FQ3 2017","Currency=INR","Period=FQ","BEST_FPERIOD_OVERRIDE=FQ","FILING_STATUS=OR","EQY_CONSOLIDATED=Y","Sort=A","Dates=H","DateFormat=P","Fill=—","Direction=H","UseDPDF=Y")</f>
        <v>#NAME?</v>
      </c>
      <c r="BC396" s="1" t="e">
        <f ca="1">_xll.BDH($C$378,"TOTAL_CAPITAL_5_YEAR_GROWTH","FQ3 2017","FQ3 2017","Currency=INR","Period=FQ","BEST_FPERIOD_OVERRIDE=FQ","FILING_STATUS=OR","EQY_CONSOLIDATED=Y","Sort=A","Dates=H","DateFormat=P","Fill=—","Direction=H","UseDPDF=Y")</f>
        <v>#NAME?</v>
      </c>
      <c r="BD396" s="1" t="e">
        <f ca="1">_xll.BDH($C$378,"GEO_GROW_BOOK_VAL","FQ3 2017","FQ3 2017","Currency=INR","Period=FQ","BEST_FPERIOD_OVERRIDE=FQ","FILING_STATUS=OR","EQY_CONSOLIDATED=Y","Sort=A","Dates=H","DateFormat=P","Fill=—","Direction=H","UseDPDF=Y")</f>
        <v>#NAME?</v>
      </c>
      <c r="BE396" s="1" t="e">
        <f ca="1">_xll.BDH($C$378,"GEO_GROW_CASH_OPER_ACT","FQ3 2017","FQ3 2017","Currency=INR","Period=FQ","BEST_FPERIOD_OVERRIDE=FQ","FILING_STATUS=OR","EQY_CONSOLIDATED=Y","Sort=A","Dates=H","DateFormat=P","Fill=—","Direction=H","UseDPDF=Y")</f>
        <v>#NAME?</v>
      </c>
      <c r="BF396" s="1" t="e">
        <f ca="1">_xll.BDH($C$378,"REVENUE_SEQUENTIAL_GROWTH","FQ3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96" s="1" t="e">
        <f ca="1">_xll.BDH($C$378,"EBITDA_SEQUENTIAL_GROWTH","FQ3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96" s="1" t="e">
        <f ca="1">_xll.BDH($C$378,"OPERATING_INCOME_SEQ_GROWTH","FQ3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96" s="1" t="e">
        <f ca="1">_xll.BDH($C$378,"NET_INCOME_TO_COMMON_SEQ_GROWTH","FQ3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96" s="1" t="e">
        <f ca="1">_xll.BDH($C$378,"EPS_DILUTED_SEQUENTIAL_GROWTH","FQ3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96" s="1" t="e">
        <f ca="1">_xll.BDH($C$378,"DPS_SEQUENTIAL_GROWTH","FQ3 2017","FQ3 2017","Currency=INR","Period=FQ","BEST_FPERIOD_OVERRIDE=FQ","FILING_STATUS=OR","EQY_CONSOLIDATED=Y","Sort=A","Dates=H","DateFormat=P","Fill=—","Direction=H","UseDPDF=Y")</f>
        <v>#NAME?</v>
      </c>
      <c r="BL396" s="1" t="e">
        <f ca="1">_xll.BDH($C$378,"ACCOUNTS_RECEIVABLE_SEQ_GROWTH","FQ3 2017","FQ3 2017","Currency=INR","Period=FQ","BEST_FPERIOD_OVERRIDE=FQ","FILING_STATUS=OR","EQY_CONSOLIDATED=Y","Sort=A","Dates=H","DateFormat=P","Fill=—","Direction=H","UseDPDF=Y")</f>
        <v>#NAME?</v>
      </c>
      <c r="BM396" s="1" t="e">
        <f ca="1">_xll.BDH($C$378,"INVENTORY_SEQUENTIAL_GROWTH","FQ3 2017","FQ3 2017","Currency=INR","Period=FQ","BEST_FPERIOD_OVERRIDE=FQ","FILING_STATUS=OR","EQY_CONSOLIDATED=Y","Sort=A","Dates=H","DateFormat=P","Fill=—","Direction=H","UseDPDF=Y")</f>
        <v>#NAME?</v>
      </c>
      <c r="BN396" s="1" t="e">
        <f ca="1">_xll.BDH($C$378,"FIXED_ASSETS_SEQUENTIAL_GROWTH","FQ3 2017","FQ3 2017","Currency=INR","Period=FQ","BEST_FPERIOD_OVERRIDE=FQ","FILING_STATUS=OR","EQY_CONSOLIDATED=Y","Sort=A","Dates=H","DateFormat=P","Fill=—","Direction=H","UseDPDF=Y")</f>
        <v>#NAME?</v>
      </c>
      <c r="BO396" s="1" t="e">
        <f ca="1">_xll.BDH($C$378,"TOTAL_ASSETS_SEQUENTIAL_GROWTH","FQ3 2017","FQ3 2017","Currency=INR","Period=FQ","BEST_FPERIOD_OVERRIDE=FQ","FILING_STATUS=OR","EQY_CONSOLIDATED=Y","Sort=A","Dates=H","DateFormat=P","Fill=—","Direction=H","UseDPDF=Y")</f>
        <v>#NAME?</v>
      </c>
      <c r="BP396" s="1" t="e">
        <f ca="1">_xll.BDH($C$378,"MODIFIED_WORKING_CPTL_SEQ_GRWTH","FQ3 2017","FQ3 2017","Currency=INR","Period=FQ","BEST_FPERIOD_OVERRIDE=FQ","FILING_STATUS=OR","EQY_CONSOLIDATED=Y","Sort=A","Dates=H","DateFormat=P","Fill=—","Direction=H","UseDPDF=Y")</f>
        <v>#NAME?</v>
      </c>
      <c r="BQ396" s="1" t="e">
        <f ca="1">_xll.BDH($C$378,"WORKING_CAPITAL_SEQ_GROWTH","FQ3 2017","FQ3 2017","Currency=INR","Period=FQ","BEST_FPERIOD_OVERRIDE=FQ","FILING_STATUS=OR","EQY_CONSOLIDATED=Y","Sort=A","Dates=H","DateFormat=P","Fill=—","Direction=H","UseDPDF=Y")</f>
        <v>#NAME?</v>
      </c>
      <c r="BR396" s="1" t="e">
        <f ca="1">_xll.BDH($C$378,"ACCOUNTS_PAYABLE_SEQ_GROWTH","FQ3 2017","FQ3 2017","Currency=INR","Period=FQ","BEST_FPERIOD_OVERRIDE=FQ","FILING_STATUS=OR","EQY_CONSOLIDATED=Y","Sort=A","Dates=H","DateFormat=P","Fill=—","Direction=H","UseDPDF=Y")</f>
        <v>#NAME?</v>
      </c>
      <c r="BS396" s="1" t="e">
        <f ca="1">_xll.BDH($C$378,"ST_DEBT_SEQUENTIAL_GROWTH","FQ3 2017","FQ3 2017","Currency=INR","Period=FQ","BEST_FPERIOD_OVERRIDE=FQ","FILING_STATUS=OR","EQY_CONSOLIDATED=Y","Sort=A","Dates=H","DateFormat=P","Fill=—","Direction=H","UseDPDF=Y")</f>
        <v>#NAME?</v>
      </c>
      <c r="BT396" s="1" t="e">
        <f ca="1">_xll.BDH($C$378,"TOTAL_DEBT_SEQUENTIAL_GROWTH","FQ3 2017","FQ3 2017","Currency=INR","Period=FQ","BEST_FPERIOD_OVERRIDE=FQ","FILING_STATUS=OR","EQY_CONSOLIDATED=Y","Sort=A","Dates=H","DateFormat=P","Fill=—","Direction=H","UseDPDF=Y")</f>
        <v>#NAME?</v>
      </c>
      <c r="BU396" s="1" t="e">
        <f ca="1">_xll.BDH($C$378,"TOTAL_EQUITY_SEQUENTIAL_GROWTH","FQ3 2017","FQ3 2017","Currency=INR","Period=FQ","BEST_FPERIOD_OVERRIDE=FQ","FILING_STATUS=OR","EQY_CONSOLIDATED=Y","Sort=A","Dates=H","DateFormat=P","Fill=—","Direction=H","UseDPDF=Y")</f>
        <v>#NAME?</v>
      </c>
      <c r="BV396" s="1" t="e">
        <f ca="1">_xll.BDH($C$378,"TOTAL_CAPITAL_SEQUENTIAL_GROWTH","FQ3 2017","FQ3 2017","Currency=INR","Period=FQ","BEST_FPERIOD_OVERRIDE=FQ","FILING_STATUS=OR","EQY_CONSOLIDATED=Y","Sort=A","Dates=H","DateFormat=P","Fill=—","Direction=H","UseDPDF=Y")</f>
        <v>#NAME?</v>
      </c>
      <c r="BW396" s="1" t="e">
        <f ca="1">_xll.BDH($C$378,"BPS_SEQUENTIAL_GROWTH","FQ3 2017","FQ3 2017","Currency=INR","Period=FQ","BEST_FPERIOD_OVERRIDE=FQ","FILING_STATUS=OR","EQY_CONSOLIDATED=Y","Sort=A","Dates=H","DateFormat=P","Fill=—","Direction=H","UseDPDF=Y")</f>
        <v>#NAME?</v>
      </c>
      <c r="BX396" s="1" t="e">
        <f ca="1">_xll.BDH($C$378,"CFO_SEQUENTIAL_GROWTH","FQ3 2017","FQ3 2017","Currency=INR","Period=FQ","BEST_FPERIOD_OVERRIDE=FQ","FILING_STATUS=OR","EQY_CONSOLIDATED=Y","Sort=A","Dates=H","DateFormat=P","Fill=—","Direction=H","UseDPDF=Y")</f>
        <v>#NAME?</v>
      </c>
      <c r="BY396" s="2" t="e">
        <f ca="1">_xll.BDH($C$378,"SHORT_AND_LONG_TERM_DEBT","FQ3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96" s="2" t="e">
        <f ca="1">_xll.BDH($C$378,"BS_ST_BORROW","FQ3 2017","FQ3 2017","Currency=INR","Period=FQ","BEST_FPERIOD_OVERRIDE=FQ","FILING_STATUS=OR","EQY_CONSOLIDATED=Y","SCALING_FORMAT=MLN","Sort=A","Dates=H","DateFormat=P","Fill=—","Direction=H","UseDPDF=Y")</f>
        <v>#NAME?</v>
      </c>
      <c r="CA396" s="2" t="e">
        <f ca="1">_xll.BDH($C$378,"BS_LT_BORROW","FQ3 2017","FQ3 2017","Currency=INR","Period=FQ","BEST_FPERIOD_OVERRIDE=FQ","FILING_STATUS=OR","EQY_CONSOLIDATED=Y","SCALING_FORMAT=MLN","Sort=A","Dates=H","DateFormat=P","Fill=—","Direction=H","UseDPDF=Y")</f>
        <v>#NAME?</v>
      </c>
      <c r="CB396" s="1" t="e">
        <f ca="1">_xll.BDH($C$378,"TOT_DEBT_TO_EBITDA","FQ3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96" s="1" t="e">
        <f ca="1">_xll.BDH($C$378,"NET_DEBT_TO_EBITDA","FQ3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96" s="1" t="e">
        <f ca="1">_xll.BDH($C$378,"TOTAL_DEBT_TO_EBIT","FQ3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96" s="1" t="e">
        <f ca="1">_xll.BDH($C$378,"NET_DEBT_TO_EBIT","FQ3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396" s="1" t="e">
        <f ca="1">_xll.BDH($C$378,"EBITDA_TO_INTEREST_EXPN","FQ3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96" s="1" t="e">
        <f ca="1">_xll.BDH($C$378,"COM_EQY_TO_TOT_ASSET","FQ3 2017","FQ3 2017","Currency=INR","Period=FQ","BEST_FPERIOD_OVERRIDE=FQ","FILING_STATUS=OR","EQY_CONSOLIDATED=Y","Sort=A","Dates=H","DateFormat=P","Fill=—","Direction=H","UseDPDF=Y")</f>
        <v>#NAME?</v>
      </c>
      <c r="CH396" s="1" t="e">
        <f ca="1">_xll.BDH($C$378,"LT_DEBT_TO_TOT_EQY","FQ3 2017","FQ3 2017","Currency=INR","Period=FQ","BEST_FPERIOD_OVERRIDE=FQ","FILING_STATUS=OR","EQY_CONSOLIDATED=Y","Sort=A","Dates=H","DateFormat=P","Fill=—","Direction=H","UseDPDF=Y")</f>
        <v>#NAME?</v>
      </c>
      <c r="CI396" s="1" t="e">
        <f ca="1">_xll.BDH($C$378,"LT_DEBT_TO_TOT_CAP","FQ3 2017","FQ3 2017","Currency=INR","Period=FQ","BEST_FPERIOD_OVERRIDE=FQ","FILING_STATUS=OR","EQY_CONSOLIDATED=Y","Sort=A","Dates=H","DateFormat=P","Fill=—","Direction=H","UseDPDF=Y")</f>
        <v>#NAME?</v>
      </c>
      <c r="CJ396" s="1" t="e">
        <f ca="1">_xll.BDH($C$378,"LT_DEBT_TO_TOT_ASSET","FQ3 2017","FQ3 2017","Currency=INR","Period=FQ","BEST_FPERIOD_OVERRIDE=FQ","FILING_STATUS=OR","EQY_CONSOLIDATED=Y","Sort=A","Dates=H","DateFormat=P","Fill=—","Direction=H","UseDPDF=Y")</f>
        <v>#NAME?</v>
      </c>
      <c r="CK396" s="1" t="e">
        <f ca="1">_xll.BDH($C$378,"TOT_DEBT_TO_TOT_EQY","FQ3 2017","FQ3 2017","Currency=INR","Period=FQ","BEST_FPERIOD_OVERRIDE=FQ","FILING_STATUS=OR","EQY_CONSOLIDATED=Y","Sort=A","Dates=H","DateFormat=P","Fill=—","Direction=H","UseDPDF=Y")</f>
        <v>#NAME?</v>
      </c>
      <c r="CL396" s="1" t="e">
        <f ca="1">_xll.BDH($C$378,"TOT_DEBT_TO_TOT_CAP","FQ3 2017","FQ3 2017","Currency=INR","Period=FQ","BEST_FPERIOD_OVERRIDE=FQ","FILING_STATUS=OR","EQY_CONSOLIDATED=Y","Sort=A","Dates=H","DateFormat=P","Fill=—","Direction=H","UseDPDF=Y")</f>
        <v>#NAME?</v>
      </c>
      <c r="CM396" s="1" t="e">
        <f ca="1">_xll.BDH($C$378,"TOT_DEBT_TO_TOT_ASSET","FQ3 2017","FQ3 2017","Currency=INR","Period=FQ","BEST_FPERIOD_OVERRIDE=FQ","FILING_STATUS=OR","EQY_CONSOLIDATED=Y","Sort=A","Dates=H","DateFormat=P","Fill=—","Direction=H","UseDPDF=Y")</f>
        <v>#NAME?</v>
      </c>
      <c r="CN396" s="1" t="e">
        <f ca="1">_xll.BDH($C$378,"NET_DEBT_TO_SHRHLDR_EQTY","FQ3 2017","FQ3 2017","Currency=INR","Period=FQ","BEST_FPERIOD_OVERRIDE=FQ","FILING_STATUS=OR","EQY_CONSOLIDATED=Y","Sort=A","Dates=H","DateFormat=P","Fill=—","Direction=H","UseDPDF=Y")</f>
        <v>#NAME?</v>
      </c>
      <c r="CO396" s="1" t="e">
        <f ca="1">_xll.BDH($C$378,"NET_DEBT_%_CAPITAL","FQ3 2017","FQ3 2017","Currency=INR","Period=FQ","BEST_FPERIOD_OVERRIDE=FQ","FILING_STATUS=OR","EQY_CONSOLIDATED=Y","Sort=A","Dates=H","DateFormat=P","Fill=—","Direction=H","UseDPDF=Y")</f>
        <v>#NAME?</v>
      </c>
      <c r="CP396" s="2" t="e">
        <f ca="1">_xll.BDH($C$378,"EBITDA","FQ3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96" s="2" t="e">
        <f ca="1">_xll.BDH($C$378,"EBITDA_AFTER_CAPEX","FQ3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96" s="2" t="e">
        <f ca="1">_xll.BDH($C$378,"IS_OPER_INC","FQ3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96" s="1" t="e">
        <f ca="1">_xll.BDH($C$378,"CASH_RATIO","FQ3 2017","FQ3 2017","Currency=INR","Period=FQ","BEST_FPERIOD_OVERRIDE=FQ","FILING_STATUS=OR","EQY_CONSOLIDATED=Y","Sort=A","Dates=H","DateFormat=P","Fill=—","Direction=H","UseDPDF=Y")</f>
        <v>#NAME?</v>
      </c>
      <c r="CT396" s="1" t="e">
        <f ca="1">_xll.BDH($C$378,"CUR_RATIO","FQ3 2017","FQ3 2017","Currency=INR","Period=FQ","BEST_FPERIOD_OVERRIDE=FQ","FILING_STATUS=OR","EQY_CONSOLIDATED=Y","Sort=A","Dates=H","DateFormat=P","Fill=—","Direction=H","UseDPDF=Y")</f>
        <v>#NAME?</v>
      </c>
      <c r="CU396" s="1" t="e">
        <f ca="1">_xll.BDH($C$378,"QUICK_RATIO","FQ3 2017","FQ3 2017","Currency=INR","Period=FQ","BEST_FPERIOD_OVERRIDE=FQ","FILING_STATUS=OR","EQY_CONSOLIDATED=Y","Sort=A","Dates=H","DateFormat=P","Fill=—","Direction=H","UseDPDF=Y")</f>
        <v>#NAME?</v>
      </c>
      <c r="CV396" s="1" t="e">
        <f ca="1">_xll.BDH($C$378,"ALTMAN_Z_SCORE","FQ3 2017","FQ3 2017","Currency=INR","Period=FQ","BEST_FPERIOD_OVERRIDE=FQ","FILING_STATUS=OR","EQY_CONSOLIDATED=Y","Sort=A","Dates=H","DateFormat=P","Fill=—","Direction=H","UseDPDF=Y")</f>
        <v>#NAME?</v>
      </c>
      <c r="CW396" s="3" t="e">
        <f ca="1">_xll.BDH($C$378,"ACCT_RCV_TURN","FQ3 2017","FQ3 2017","Currency=INR","Period=FQ","BEST_FPERIOD_OVERRIDE=FQ","FILING_STATUS=OR","EQY_CONSOLIDATED=Y","FA_ADJUSTED=GAAP","Sort=A","Dates=H","DateFormat=P","Fill=—","Direction=H","UseDPDF=Y")</f>
        <v>#NAME?</v>
      </c>
      <c r="CX396" s="1" t="e">
        <f ca="1">_xll.BDH($C$378,"ACCT_RCV_DAYS","FQ3 2017","FQ3 2017","Currency=INR","Period=FQ","BEST_FPERIOD_OVERRIDE=FQ","FILING_STATUS=OR","EQY_CONSOLIDATED=Y","FA_ADJUSTED=GAAP","Sort=A","Dates=H","DateFormat=P","Fill=—","Direction=H","UseDPDF=Y")</f>
        <v>#NAME?</v>
      </c>
      <c r="CY396" s="3" t="e">
        <f ca="1">_xll.BDH($C$378,"INVENT_TURN","FQ3 2017","FQ3 2017","Currency=INR","Period=FQ","BEST_FPERIOD_OVERRIDE=FQ","FILING_STATUS=OR","EQY_CONSOLIDATED=Y","FA_ADJUSTED=GAAP","Sort=A","Dates=H","DateFormat=P","Fill=—","Direction=H","UseDPDF=Y")</f>
        <v>#NAME?</v>
      </c>
      <c r="CZ396" s="1" t="e">
        <f ca="1">_xll.BDH($C$378,"INVENT_DAYS","FQ3 2017","FQ3 2017","Currency=INR","Period=FQ","BEST_FPERIOD_OVERRIDE=FQ","FILING_STATUS=OR","EQY_CONSOLIDATED=Y","FA_ADJUSTED=GAAP","Sort=A","Dates=H","DateFormat=P","Fill=—","Direction=H","UseDPDF=Y")</f>
        <v>#NAME?</v>
      </c>
      <c r="DA396" s="3" t="e">
        <f ca="1">_xll.BDH($C$378,"ACCOUNTS_PAYABLE_TURNOVER","FQ3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96" s="1" t="e">
        <f ca="1">_xll.BDH($C$378,"ACCOUNTS_PAYABLE_TURNOVER_DAYS","FQ3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96" s="3" t="e">
        <f ca="1">_xll.BDH($C$378,"CASH_CONVERSION_CYCLE","FQ3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96" s="3" t="e">
        <f ca="1">_xll.BDH($C$378,"INV_TO_CASH_DAYS","FQ3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396" s="4" t="e">
        <f ca="1">_xll.BDH($C$378,"BS_INVENTORIES","FQ3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396" s="2" t="e">
        <f ca="1">_xll.BDH($C$378,"INVTRY_RAW_MATERIALS","FQ3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96" s="2" t="e">
        <f ca="1">_xll.BDH($C$378,"INVTRY_IN_PROGRESS","FQ3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96" s="2" t="e">
        <f ca="1">_xll.BDH($C$378,"INVTRY_FINISHED_GOODS","FQ3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96" s="2" t="e">
        <f ca="1">_xll.BDH($C$378,"BS_OTHER_INV","FQ3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97" spans="1:113" x14ac:dyDescent="0.3">
      <c r="A397" s="6"/>
      <c r="B397" s="6"/>
      <c r="C397" s="6"/>
      <c r="D397" s="6"/>
      <c r="E397" t="s">
        <v>7</v>
      </c>
      <c r="F397" t="e">
        <f ca="1">_xll.BDH($C$378,"RETURN_COM_EQY","FQ4 2017","FQ4 2017","Currency=INR","Period=FQ","BEST_FPERIOD_OVERRIDE=FQ","FILING_STATUS=OR","EQY_CONSOLIDATED=Y","FA_ADJUSTED=GAAP","Sort=A","Dates=H","DateFormat=P","Fill=—","Direction=H","UseDPDF=Y")</f>
        <v>#NAME?</v>
      </c>
      <c r="G397" t="e">
        <f ca="1">_xll.BDH($C$378,"RETURN_ON_ASSET","FQ4 2017","FQ4 2017","Currency=INR","Period=FQ","BEST_FPERIOD_OVERRIDE=FQ","FILING_STATUS=OR","EQY_CONSOLIDATED=Y","FA_ADJUSTED=GAAP","Sort=A","Dates=H","DateFormat=P","Fill=—","Direction=H","UseDPDF=Y")</f>
        <v>#NAME?</v>
      </c>
      <c r="H397" t="e">
        <f ca="1">_xll.BDH($C$378,"RETURN_ON_CAP","FQ4 2017","FQ4 2017","Currency=INR","Period=FQ","BEST_FPERIOD_OVERRIDE=FQ","FILING_STATUS=OR","EQY_CONSOLIDATED=Y","FA_ADJUSTED=GAAP","Sort=A","Dates=H","DateFormat=P","Fill=—","Direction=H","UseDPDF=Y")</f>
        <v>#NAME?</v>
      </c>
      <c r="I397" t="e">
        <f ca="1">_xll.BDH($C$378,"RETURN_ON_INV_CAPITAL","FQ4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97" t="e">
        <f ca="1">_xll.BDH($C$378,"EBITDA_TO_REVENUE","FQ4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397" t="e">
        <f ca="1">_xll.BDH($C$378,"OPER_MARGIN","FQ4 2017","FQ4 2017","Currency=INR","Period=FQ","BEST_FPERIOD_OVERRIDE=FQ","FILING_STATUS=OR","EQY_CONSOLIDATED=Y","FA_ADJUSTED=GAAP","Sort=A","Dates=H","DateFormat=P","Fill=—","Direction=H","UseDPDF=Y")</f>
        <v>#NAME?</v>
      </c>
      <c r="L397" t="e">
        <f ca="1">_xll.BDH($C$378,"INCREMENTAL_OPERATING_MARGIN","FQ4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97" t="e">
        <f ca="1">_xll.BDH($C$378,"PRETAX_INC_TO_NET_SALES","FQ4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97" t="e">
        <f ca="1">_xll.BDH($C$378,"INC_BEF_XO_ITEMS_TO_NET_SALES","FQ4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97" t="e">
        <f ca="1">_xll.BDH($C$378,"PROF_MARGIN","FQ4 2017","FQ4 2017","Currency=INR","Period=FQ","BEST_FPERIOD_OVERRIDE=FQ","FILING_STATUS=OR","EQY_CONSOLIDATED=Y","FA_ADJUSTED=GAAP","Sort=A","Dates=H","DateFormat=P","Fill=—","Direction=H","UseDPDF=Y")</f>
        <v>#NAME?</v>
      </c>
      <c r="P397" t="e">
        <f ca="1">_xll.BDH($C$378,"NET_INCOME_TO_COMMON_MARGIN","FQ4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97" t="e">
        <f ca="1">_xll.BDH($C$378,"EFF_TAX_RATE","FQ4 2017","FQ4 2017","Currency=INR","Period=FQ","BEST_FPERIOD_OVERRIDE=FQ","FILING_STATUS=OR","EQY_CONSOLIDATED=Y","FA_ADJUSTED=GAAP","Sort=A","Dates=H","DateFormat=P","Fill=—","Direction=H","UseDPDF=Y")</f>
        <v>#NAME?</v>
      </c>
      <c r="R397" t="e">
        <f ca="1">_xll.BDH($C$378,"DVD_PAYOUT_RATIO","FQ4 2017","FQ4 2017","Currency=INR","Period=FQ","BEST_FPERIOD_OVERRIDE=FQ","FILING_STATUS=OR","EQY_CONSOLIDATED=Y","FA_ADJUSTED=GAAP","Sort=A","Dates=H","DateFormat=P","Fill=—","Direction=H","UseDPDF=Y")</f>
        <v>#NAME?</v>
      </c>
      <c r="S397" t="e">
        <f ca="1">_xll.BDH($C$378,"SUSTAIN_GROWTH_RT","FQ4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397" s="1" t="e">
        <f ca="1">_xll.BDH($C$378,"SALES_GROWTH","FQ4 2017","FQ4 2017","Currency=INR","Period=FQ","BEST_FPERIOD_OVERRIDE=FQ","FILING_STATUS=OR","EQY_CONSOLIDATED=Y","FA_ADJUSTED=GAAP","Sort=A","Dates=H","DateFormat=P","Fill=—","Direction=H","UseDPDF=Y")</f>
        <v>#NAME?</v>
      </c>
      <c r="U397" s="1" t="e">
        <f ca="1">_xll.BDH($C$378,"EBITDA_GROWTH","FQ4 2017","FQ4 2017","Currency=INR","Period=FQ","BEST_FPERIOD_OVERRIDE=FQ","FILING_STATUS=OR","EQY_CONSOLIDATED=Y","FA_ADJUSTED=GAAP","Sort=A","Dates=H","DateFormat=P","Fill=—","Direction=H","UseDPDF=Y")</f>
        <v>#NAME?</v>
      </c>
      <c r="V397" s="1" t="e">
        <f ca="1">_xll.BDH($C$378,"OPER_INC_GROWTH","FQ4 2017","FQ4 2017","Currency=INR","Period=FQ","BEST_FPERIOD_OVERRIDE=FQ","FILING_STATUS=OR","EQY_CONSOLIDATED=Y","FA_ADJUSTED=GAAP","Sort=A","Dates=H","DateFormat=P","Fill=—","Direction=H","UseDPDF=Y")</f>
        <v>#NAME?</v>
      </c>
      <c r="W397" s="1" t="e">
        <f ca="1">_xll.BDH($C$378,"EARN_FOR_COM_GROWTH","FQ4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97" s="1" t="e">
        <f ca="1">_xll.BDH($C$378,"DILUTED_EPS_AFT_XO_ITEMS_GROWTH","FQ4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97" s="1" t="e">
        <f ca="1">_xll.BDH($C$378,"DIVIDEND_PER_SHARE_1_YEAR_GROWTH","FQ4 2017","FQ4 2017","Currency=INR","Period=FQ","BEST_FPERIOD_OVERRIDE=FQ","FILING_STATUS=OR","EQY_CONSOLIDATED=Y","Sort=A","Dates=H","DateFormat=P","Fill=—","Direction=H","UseDPDF=Y")</f>
        <v>#NAME?</v>
      </c>
      <c r="Z397" s="1" t="e">
        <f ca="1">_xll.BDH($C$378,"ACCOUNTS_RECEIVABLE_GROWTH","FQ4 2017","FQ4 2017","Currency=INR","Period=FQ","BEST_FPERIOD_OVERRIDE=FQ","FILING_STATUS=OR","EQY_CONSOLIDATED=Y","Sort=A","Dates=H","DateFormat=P","Fill=—","Direction=H","UseDPDF=Y")</f>
        <v>#NAME?</v>
      </c>
      <c r="AA397" s="1" t="e">
        <f ca="1">_xll.BDH($C$378,"INVENTORY_GROWTH","FQ4 2017","FQ4 2017","Currency=INR","Period=FQ","BEST_FPERIOD_OVERRIDE=FQ","FILING_STATUS=OR","EQY_CONSOLIDATED=Y","Sort=A","Dates=H","DateFormat=P","Fill=—","Direction=H","UseDPDF=Y")</f>
        <v>#NAME?</v>
      </c>
      <c r="AB397" s="1" t="e">
        <f ca="1">_xll.BDH($C$378,"NET_FIXED_ASSETS_1_YEAR_GROWTH","FQ4 2017","FQ4 2017","Currency=INR","Period=FQ","BEST_FPERIOD_OVERRIDE=FQ","FILING_STATUS=OR","EQY_CONSOLIDATED=Y","Sort=A","Dates=H","DateFormat=P","Fill=—","Direction=H","UseDPDF=Y")</f>
        <v>#NAME?</v>
      </c>
      <c r="AC397" s="1" t="e">
        <f ca="1">_xll.BDH($C$378,"ASSET_GROWTH","FQ4 2017","FQ4 2017","Currency=INR","Period=FQ","BEST_FPERIOD_OVERRIDE=FQ","FILING_STATUS=OR","EQY_CONSOLIDATED=Y","Sort=A","Dates=H","DateFormat=P","Fill=—","Direction=H","UseDPDF=Y")</f>
        <v>#NAME?</v>
      </c>
      <c r="AD397" s="1" t="e">
        <f ca="1">_xll.BDH($C$378,"MODIFIED_WORK_CAP_GROWTH","FQ4 2017","FQ4 2017","Currency=INR","Period=FQ","BEST_FPERIOD_OVERRIDE=FQ","FILING_STATUS=OR","EQY_CONSOLIDATED=Y","Sort=A","Dates=H","DateFormat=P","Fill=—","Direction=H","UseDPDF=Y")</f>
        <v>#NAME?</v>
      </c>
      <c r="AE397" s="1" t="e">
        <f ca="1">_xll.BDH($C$378,"WORK_CAP_GROWTH","FQ4 2017","FQ4 2017","Currency=INR","Period=FQ","BEST_FPERIOD_OVERRIDE=FQ","FILING_STATUS=OR","EQY_CONSOLIDATED=Y","Sort=A","Dates=H","DateFormat=P","Fill=—","Direction=H","UseDPDF=Y")</f>
        <v>#NAME?</v>
      </c>
      <c r="AF397" s="1" t="e">
        <f ca="1">_xll.BDH($C$378,"ACCOUNTS_PAYABLE_GROWTH_1YR","FQ4 2017","FQ4 2017","Currency=INR","Period=FQ","BEST_FPERIOD_OVERRIDE=FQ","FILING_STATUS=OR","EQY_CONSOLIDATED=Y","Sort=A","Dates=H","DateFormat=P","Fill=—","Direction=H","UseDPDF=Y")</f>
        <v>#NAME?</v>
      </c>
      <c r="AG397" s="1" t="e">
        <f ca="1">_xll.BDH($C$378,"SHORT_TERM_DEBT_1_YEAR_GROWTH","FQ4 2017","FQ4 2017","Currency=INR","Period=FQ","BEST_FPERIOD_OVERRIDE=FQ","FILING_STATUS=OR","EQY_CONSOLIDATED=Y","Sort=A","Dates=H","DateFormat=P","Fill=—","Direction=H","UseDPDF=Y")</f>
        <v>#NAME?</v>
      </c>
      <c r="AH397" s="1" t="e">
        <f ca="1">_xll.BDH($C$378,"TOTAL_DEBT_1_YEAR_GROWTH","FQ4 2017","FQ4 2017","Currency=INR","Period=FQ","BEST_FPERIOD_OVERRIDE=FQ","FILING_STATUS=OR","EQY_CONSOLIDATED=Y","Sort=A","Dates=H","DateFormat=P","Fill=—","Direction=H","UseDPDF=Y")</f>
        <v>#NAME?</v>
      </c>
      <c r="AI397" s="1" t="e">
        <f ca="1">_xll.BDH($C$378,"TOTAL_EQUITY_1_YEAR_GROWTH","FQ4 2017","FQ4 2017","Currency=INR","Period=FQ","BEST_FPERIOD_OVERRIDE=FQ","FILING_STATUS=OR","EQY_CONSOLIDATED=Y","Sort=A","Dates=H","DateFormat=P","Fill=—","Direction=H","UseDPDF=Y")</f>
        <v>#NAME?</v>
      </c>
      <c r="AJ397" s="1" t="e">
        <f ca="1">_xll.BDH($C$378,"GROWTH_IN_CAP","FQ4 2017","FQ4 2017","Currency=INR","Period=FQ","BEST_FPERIOD_OVERRIDE=FQ","FILING_STATUS=OR","EQY_CONSOLIDATED=Y","Sort=A","Dates=H","DateFormat=P","Fill=—","Direction=H","UseDPDF=Y")</f>
        <v>#NAME?</v>
      </c>
      <c r="AK397" s="1" t="e">
        <f ca="1">_xll.BDH($C$378,"BVPS_GROWTH","FQ4 2017","FQ4 2017","Currency=INR","Period=FQ","BEST_FPERIOD_OVERRIDE=FQ","FILING_STATUS=OR","EQY_CONSOLIDATED=Y","Sort=A","Dates=H","DateFormat=P","Fill=—","Direction=H","UseDPDF=Y")</f>
        <v>#NAME?</v>
      </c>
      <c r="AL397" s="1" t="e">
        <f ca="1">_xll.BDH($C$378,"CASH_FLOW_GROWTH","FQ4 2017","FQ4 2017","Currency=INR","Period=FQ","BEST_FPERIOD_OVERRIDE=FQ","FILING_STATUS=OR","EQY_CONSOLIDATED=Y","Sort=A","Dates=H","DateFormat=P","Fill=—","Direction=H","UseDPDF=Y")</f>
        <v>#NAME?</v>
      </c>
      <c r="AM397" s="1" t="e">
        <f ca="1">_xll.BDH($C$378,"GEO_GROW_NET_SALES","FQ4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97" s="1" t="e">
        <f ca="1">_xll.BDH($C$378,"GEO_GROW_EBITDA","FQ4 2017","FQ4 2017","Currency=INR","Period=FQ","BEST_FPERIOD_OVERRIDE=FQ","FILING_STATUS=OR","EQY_CONSOLIDATED=Y","FA_ADJUSTED=GAAP","Sort=A","Dates=H","DateFormat=P","Fill=—","Direction=H","UseDPDF=Y")</f>
        <v>#NAME?</v>
      </c>
      <c r="AO397" s="1" t="e">
        <f ca="1">_xll.BDH($C$378,"GEO_GROW_OPER_INC","FQ4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97" s="1" t="e">
        <f ca="1">_xll.BDH($C$378,"NET_INCOME_TO_COMMON_5_YR_GROWTH","FQ4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97" s="1" t="e">
        <f ca="1">_xll.BDH($C$378,"5Y_GEO_GROWTH_DILUTED_EPS","FQ4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97" s="1" t="e">
        <f ca="1">_xll.BDH($C$378,"GEO_GROW_DVD_PER_SH","FQ4 2017","FQ4 2017","Currency=INR","Period=FQ","BEST_FPERIOD_OVERRIDE=FQ","FILING_STATUS=OR","EQY_CONSOLIDATED=Y","Sort=A","Dates=H","DateFormat=P","Fill=—","Direction=H","UseDPDF=Y")</f>
        <v>#NAME?</v>
      </c>
      <c r="AS397" s="1" t="e">
        <f ca="1">_xll.BDH($C$378,"ACCOUNTS_RECEIVABLE_5_YR_GROWTH","FQ4 2017","FQ4 2017","Currency=INR","Period=FQ","BEST_FPERIOD_OVERRIDE=FQ","FILING_STATUS=OR","EQY_CONSOLIDATED=Y","Sort=A","Dates=H","DateFormat=P","Fill=—","Direction=H","UseDPDF=Y")</f>
        <v>#NAME?</v>
      </c>
      <c r="AT397" s="1" t="e">
        <f ca="1">_xll.BDH($C$378,"INVENTORY_5_YEAR_GROWTH","FQ4 2017","FQ4 2017","Currency=INR","Period=FQ","BEST_FPERIOD_OVERRIDE=FQ","FILING_STATUS=OR","EQY_CONSOLIDATED=Y","Sort=A","Dates=H","DateFormat=P","Fill=—","Direction=H","UseDPDF=Y")</f>
        <v>#NAME?</v>
      </c>
      <c r="AU397" s="1" t="e">
        <f ca="1">_xll.BDH($C$378,"NET_FIXED_ASSETS_5_YEAR_GROWTH","FQ4 2017","FQ4 2017","Currency=INR","Period=FQ","BEST_FPERIOD_OVERRIDE=FQ","FILING_STATUS=OR","EQY_CONSOLIDATED=Y","Sort=A","Dates=H","DateFormat=P","Fill=—","Direction=H","UseDPDF=Y")</f>
        <v>#NAME?</v>
      </c>
      <c r="AV397" s="1" t="e">
        <f ca="1">_xll.BDH($C$378,"GEO_GROW_TOT_ASSET","FQ4 2017","FQ4 2017","Currency=INR","Period=FQ","BEST_FPERIOD_OVERRIDE=FQ","FILING_STATUS=OR","EQY_CONSOLIDATED=Y","Sort=A","Dates=H","DateFormat=P","Fill=—","Direction=H","UseDPDF=Y")</f>
        <v>#NAME?</v>
      </c>
      <c r="AW397" s="1" t="e">
        <f ca="1">_xll.BDH($C$378,"MODIFIED_WORKING_CPTL_5YR_GRWTH","FQ4 2017","FQ4 2017","Currency=INR","Period=FQ","BEST_FPERIOD_OVERRIDE=FQ","FILING_STATUS=OR","EQY_CONSOLIDATED=Y","Sort=A","Dates=H","DateFormat=P","Fill=—","Direction=H","UseDPDF=Y")</f>
        <v>#NAME?</v>
      </c>
      <c r="AX397" s="1" t="e">
        <f ca="1">_xll.BDH($C$378,"WORKING_CAPITAL_5_YEAR_GROWTH","FQ4 2017","FQ4 2017","Currency=INR","Period=FQ","BEST_FPERIOD_OVERRIDE=FQ","FILING_STATUS=OR","EQY_CONSOLIDATED=Y","Sort=A","Dates=H","DateFormat=P","Fill=—","Direction=H","UseDPDF=Y")</f>
        <v>#NAME?</v>
      </c>
      <c r="AY397" s="1" t="e">
        <f ca="1">_xll.BDH($C$378,"ACCOUNTS_PAYABLE_5_YEAR_GROWTH","FQ4 2017","FQ4 2017","Currency=INR","Period=FQ","BEST_FPERIOD_OVERRIDE=FQ","FILING_STATUS=OR","EQY_CONSOLIDATED=Y","Sort=A","Dates=H","DateFormat=P","Fill=—","Direction=H","UseDPDF=Y")</f>
        <v>#NAME?</v>
      </c>
      <c r="AZ397" s="1" t="e">
        <f ca="1">_xll.BDH($C$378,"SHORT_TERM_DEBT_5_YEAR_GROWTH","FQ4 2017","FQ4 2017","Currency=INR","Period=FQ","BEST_FPERIOD_OVERRIDE=FQ","FILING_STATUS=OR","EQY_CONSOLIDATED=Y","Sort=A","Dates=H","DateFormat=P","Fill=—","Direction=H","UseDPDF=Y")</f>
        <v>#NAME?</v>
      </c>
      <c r="BA397" s="1" t="e">
        <f ca="1">_xll.BDH($C$378,"TOTAL_DEBT_5_YEAR_GROWTH","FQ4 2017","FQ4 2017","Currency=INR","Period=FQ","BEST_FPERIOD_OVERRIDE=FQ","FILING_STATUS=OR","EQY_CONSOLIDATED=Y","Sort=A","Dates=H","DateFormat=P","Fill=—","Direction=H","UseDPDF=Y")</f>
        <v>#NAME?</v>
      </c>
      <c r="BB397" s="1" t="e">
        <f ca="1">_xll.BDH($C$378,"GEO_GROW_TOT_SHRHLDR_EQY","FQ4 2017","FQ4 2017","Currency=INR","Period=FQ","BEST_FPERIOD_OVERRIDE=FQ","FILING_STATUS=OR","EQY_CONSOLIDATED=Y","Sort=A","Dates=H","DateFormat=P","Fill=—","Direction=H","UseDPDF=Y")</f>
        <v>#NAME?</v>
      </c>
      <c r="BC397" s="1" t="e">
        <f ca="1">_xll.BDH($C$378,"TOTAL_CAPITAL_5_YEAR_GROWTH","FQ4 2017","FQ4 2017","Currency=INR","Period=FQ","BEST_FPERIOD_OVERRIDE=FQ","FILING_STATUS=OR","EQY_CONSOLIDATED=Y","Sort=A","Dates=H","DateFormat=P","Fill=—","Direction=H","UseDPDF=Y")</f>
        <v>#NAME?</v>
      </c>
      <c r="BD397" s="1" t="e">
        <f ca="1">_xll.BDH($C$378,"GEO_GROW_BOOK_VAL","FQ4 2017","FQ4 2017","Currency=INR","Period=FQ","BEST_FPERIOD_OVERRIDE=FQ","FILING_STATUS=OR","EQY_CONSOLIDATED=Y","Sort=A","Dates=H","DateFormat=P","Fill=—","Direction=H","UseDPDF=Y")</f>
        <v>#NAME?</v>
      </c>
      <c r="BE397" s="1" t="e">
        <f ca="1">_xll.BDH($C$378,"GEO_GROW_CASH_OPER_ACT","FQ4 2017","FQ4 2017","Currency=INR","Period=FQ","BEST_FPERIOD_OVERRIDE=FQ","FILING_STATUS=OR","EQY_CONSOLIDATED=Y","Sort=A","Dates=H","DateFormat=P","Fill=—","Direction=H","UseDPDF=Y")</f>
        <v>#NAME?</v>
      </c>
      <c r="BF397" s="1" t="e">
        <f ca="1">_xll.BDH($C$378,"REVENUE_SEQUENTIAL_GROWTH","FQ4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97" s="1" t="e">
        <f ca="1">_xll.BDH($C$378,"EBITDA_SEQUENTIAL_GROWTH","FQ4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97" s="1" t="e">
        <f ca="1">_xll.BDH($C$378,"OPERATING_INCOME_SEQ_GROWTH","FQ4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97" s="1" t="e">
        <f ca="1">_xll.BDH($C$378,"NET_INCOME_TO_COMMON_SEQ_GROWTH","FQ4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97" s="1" t="e">
        <f ca="1">_xll.BDH($C$378,"EPS_DILUTED_SEQUENTIAL_GROWTH","FQ4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97" s="1" t="e">
        <f ca="1">_xll.BDH($C$378,"DPS_SEQUENTIAL_GROWTH","FQ4 2017","FQ4 2017","Currency=INR","Period=FQ","BEST_FPERIOD_OVERRIDE=FQ","FILING_STATUS=OR","EQY_CONSOLIDATED=Y","Sort=A","Dates=H","DateFormat=P","Fill=—","Direction=H","UseDPDF=Y")</f>
        <v>#NAME?</v>
      </c>
      <c r="BL397" s="1" t="e">
        <f ca="1">_xll.BDH($C$378,"ACCOUNTS_RECEIVABLE_SEQ_GROWTH","FQ4 2017","FQ4 2017","Currency=INR","Period=FQ","BEST_FPERIOD_OVERRIDE=FQ","FILING_STATUS=OR","EQY_CONSOLIDATED=Y","Sort=A","Dates=H","DateFormat=P","Fill=—","Direction=H","UseDPDF=Y")</f>
        <v>#NAME?</v>
      </c>
      <c r="BM397" s="1" t="e">
        <f ca="1">_xll.BDH($C$378,"INVENTORY_SEQUENTIAL_GROWTH","FQ4 2017","FQ4 2017","Currency=INR","Period=FQ","BEST_FPERIOD_OVERRIDE=FQ","FILING_STATUS=OR","EQY_CONSOLIDATED=Y","Sort=A","Dates=H","DateFormat=P","Fill=—","Direction=H","UseDPDF=Y")</f>
        <v>#NAME?</v>
      </c>
      <c r="BN397" s="1" t="e">
        <f ca="1">_xll.BDH($C$378,"FIXED_ASSETS_SEQUENTIAL_GROWTH","FQ4 2017","FQ4 2017","Currency=INR","Period=FQ","BEST_FPERIOD_OVERRIDE=FQ","FILING_STATUS=OR","EQY_CONSOLIDATED=Y","Sort=A","Dates=H","DateFormat=P","Fill=—","Direction=H","UseDPDF=Y")</f>
        <v>#NAME?</v>
      </c>
      <c r="BO397" s="1" t="e">
        <f ca="1">_xll.BDH($C$378,"TOTAL_ASSETS_SEQUENTIAL_GROWTH","FQ4 2017","FQ4 2017","Currency=INR","Period=FQ","BEST_FPERIOD_OVERRIDE=FQ","FILING_STATUS=OR","EQY_CONSOLIDATED=Y","Sort=A","Dates=H","DateFormat=P","Fill=—","Direction=H","UseDPDF=Y")</f>
        <v>#NAME?</v>
      </c>
      <c r="BP397" s="1" t="e">
        <f ca="1">_xll.BDH($C$378,"MODIFIED_WORKING_CPTL_SEQ_GRWTH","FQ4 2017","FQ4 2017","Currency=INR","Period=FQ","BEST_FPERIOD_OVERRIDE=FQ","FILING_STATUS=OR","EQY_CONSOLIDATED=Y","Sort=A","Dates=H","DateFormat=P","Fill=—","Direction=H","UseDPDF=Y")</f>
        <v>#NAME?</v>
      </c>
      <c r="BQ397" s="1" t="e">
        <f ca="1">_xll.BDH($C$378,"WORKING_CAPITAL_SEQ_GROWTH","FQ4 2017","FQ4 2017","Currency=INR","Period=FQ","BEST_FPERIOD_OVERRIDE=FQ","FILING_STATUS=OR","EQY_CONSOLIDATED=Y","Sort=A","Dates=H","DateFormat=P","Fill=—","Direction=H","UseDPDF=Y")</f>
        <v>#NAME?</v>
      </c>
      <c r="BR397" s="1" t="e">
        <f ca="1">_xll.BDH($C$378,"ACCOUNTS_PAYABLE_SEQ_GROWTH","FQ4 2017","FQ4 2017","Currency=INR","Period=FQ","BEST_FPERIOD_OVERRIDE=FQ","FILING_STATUS=OR","EQY_CONSOLIDATED=Y","Sort=A","Dates=H","DateFormat=P","Fill=—","Direction=H","UseDPDF=Y")</f>
        <v>#NAME?</v>
      </c>
      <c r="BS397" s="1" t="e">
        <f ca="1">_xll.BDH($C$378,"ST_DEBT_SEQUENTIAL_GROWTH","FQ4 2017","FQ4 2017","Currency=INR","Period=FQ","BEST_FPERIOD_OVERRIDE=FQ","FILING_STATUS=OR","EQY_CONSOLIDATED=Y","Sort=A","Dates=H","DateFormat=P","Fill=—","Direction=H","UseDPDF=Y")</f>
        <v>#NAME?</v>
      </c>
      <c r="BT397" s="1" t="e">
        <f ca="1">_xll.BDH($C$378,"TOTAL_DEBT_SEQUENTIAL_GROWTH","FQ4 2017","FQ4 2017","Currency=INR","Period=FQ","BEST_FPERIOD_OVERRIDE=FQ","FILING_STATUS=OR","EQY_CONSOLIDATED=Y","Sort=A","Dates=H","DateFormat=P","Fill=—","Direction=H","UseDPDF=Y")</f>
        <v>#NAME?</v>
      </c>
      <c r="BU397" s="1" t="e">
        <f ca="1">_xll.BDH($C$378,"TOTAL_EQUITY_SEQUENTIAL_GROWTH","FQ4 2017","FQ4 2017","Currency=INR","Period=FQ","BEST_FPERIOD_OVERRIDE=FQ","FILING_STATUS=OR","EQY_CONSOLIDATED=Y","Sort=A","Dates=H","DateFormat=P","Fill=—","Direction=H","UseDPDF=Y")</f>
        <v>#NAME?</v>
      </c>
      <c r="BV397" s="1" t="e">
        <f ca="1">_xll.BDH($C$378,"TOTAL_CAPITAL_SEQUENTIAL_GROWTH","FQ4 2017","FQ4 2017","Currency=INR","Period=FQ","BEST_FPERIOD_OVERRIDE=FQ","FILING_STATUS=OR","EQY_CONSOLIDATED=Y","Sort=A","Dates=H","DateFormat=P","Fill=—","Direction=H","UseDPDF=Y")</f>
        <v>#NAME?</v>
      </c>
      <c r="BW397" s="1" t="e">
        <f ca="1">_xll.BDH($C$378,"BPS_SEQUENTIAL_GROWTH","FQ4 2017","FQ4 2017","Currency=INR","Period=FQ","BEST_FPERIOD_OVERRIDE=FQ","FILING_STATUS=OR","EQY_CONSOLIDATED=Y","Sort=A","Dates=H","DateFormat=P","Fill=—","Direction=H","UseDPDF=Y")</f>
        <v>#NAME?</v>
      </c>
      <c r="BX397" s="1" t="e">
        <f ca="1">_xll.BDH($C$378,"CFO_SEQUENTIAL_GROWTH","FQ4 2017","FQ4 2017","Currency=INR","Period=FQ","BEST_FPERIOD_OVERRIDE=FQ","FILING_STATUS=OR","EQY_CONSOLIDATED=Y","Sort=A","Dates=H","DateFormat=P","Fill=—","Direction=H","UseDPDF=Y")</f>
        <v>#NAME?</v>
      </c>
      <c r="BY397" s="2" t="e">
        <f ca="1">_xll.BDH($C$378,"SHORT_AND_LONG_TERM_DEBT","FQ4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97" s="2" t="e">
        <f ca="1">_xll.BDH($C$378,"BS_ST_BORROW","FQ4 2017","FQ4 2017","Currency=INR","Period=FQ","BEST_FPERIOD_OVERRIDE=FQ","FILING_STATUS=OR","EQY_CONSOLIDATED=Y","SCALING_FORMAT=MLN","Sort=A","Dates=H","DateFormat=P","Fill=—","Direction=H","UseDPDF=Y")</f>
        <v>#NAME?</v>
      </c>
      <c r="CA397" s="2" t="e">
        <f ca="1">_xll.BDH($C$378,"BS_LT_BORROW","FQ4 2017","FQ4 2017","Currency=INR","Period=FQ","BEST_FPERIOD_OVERRIDE=FQ","FILING_STATUS=OR","EQY_CONSOLIDATED=Y","SCALING_FORMAT=MLN","Sort=A","Dates=H","DateFormat=P","Fill=—","Direction=H","UseDPDF=Y")</f>
        <v>#NAME?</v>
      </c>
      <c r="CB397" s="1" t="e">
        <f ca="1">_xll.BDH($C$378,"TOT_DEBT_TO_EBITDA","FQ4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97" s="1" t="e">
        <f ca="1">_xll.BDH($C$378,"NET_DEBT_TO_EBITDA","FQ4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97" s="1" t="e">
        <f ca="1">_xll.BDH($C$378,"TOTAL_DEBT_TO_EBIT","FQ4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97" s="1" t="e">
        <f ca="1">_xll.BDH($C$378,"NET_DEBT_TO_EBIT","FQ4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397" s="1" t="e">
        <f ca="1">_xll.BDH($C$378,"EBITDA_TO_INTEREST_EXPN","FQ4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97" s="1" t="e">
        <f ca="1">_xll.BDH($C$378,"COM_EQY_TO_TOT_ASSET","FQ4 2017","FQ4 2017","Currency=INR","Period=FQ","BEST_FPERIOD_OVERRIDE=FQ","FILING_STATUS=OR","EQY_CONSOLIDATED=Y","Sort=A","Dates=H","DateFormat=P","Fill=—","Direction=H","UseDPDF=Y")</f>
        <v>#NAME?</v>
      </c>
      <c r="CH397" s="1" t="e">
        <f ca="1">_xll.BDH($C$378,"LT_DEBT_TO_TOT_EQY","FQ4 2017","FQ4 2017","Currency=INR","Period=FQ","BEST_FPERIOD_OVERRIDE=FQ","FILING_STATUS=OR","EQY_CONSOLIDATED=Y","Sort=A","Dates=H","DateFormat=P","Fill=—","Direction=H","UseDPDF=Y")</f>
        <v>#NAME?</v>
      </c>
      <c r="CI397" s="1" t="e">
        <f ca="1">_xll.BDH($C$378,"LT_DEBT_TO_TOT_CAP","FQ4 2017","FQ4 2017","Currency=INR","Period=FQ","BEST_FPERIOD_OVERRIDE=FQ","FILING_STATUS=OR","EQY_CONSOLIDATED=Y","Sort=A","Dates=H","DateFormat=P","Fill=—","Direction=H","UseDPDF=Y")</f>
        <v>#NAME?</v>
      </c>
      <c r="CJ397" s="1" t="e">
        <f ca="1">_xll.BDH($C$378,"LT_DEBT_TO_TOT_ASSET","FQ4 2017","FQ4 2017","Currency=INR","Period=FQ","BEST_FPERIOD_OVERRIDE=FQ","FILING_STATUS=OR","EQY_CONSOLIDATED=Y","Sort=A","Dates=H","DateFormat=P","Fill=—","Direction=H","UseDPDF=Y")</f>
        <v>#NAME?</v>
      </c>
      <c r="CK397" s="1" t="e">
        <f ca="1">_xll.BDH($C$378,"TOT_DEBT_TO_TOT_EQY","FQ4 2017","FQ4 2017","Currency=INR","Period=FQ","BEST_FPERIOD_OVERRIDE=FQ","FILING_STATUS=OR","EQY_CONSOLIDATED=Y","Sort=A","Dates=H","DateFormat=P","Fill=—","Direction=H","UseDPDF=Y")</f>
        <v>#NAME?</v>
      </c>
      <c r="CL397" s="1" t="e">
        <f ca="1">_xll.BDH($C$378,"TOT_DEBT_TO_TOT_CAP","FQ4 2017","FQ4 2017","Currency=INR","Period=FQ","BEST_FPERIOD_OVERRIDE=FQ","FILING_STATUS=OR","EQY_CONSOLIDATED=Y","Sort=A","Dates=H","DateFormat=P","Fill=—","Direction=H","UseDPDF=Y")</f>
        <v>#NAME?</v>
      </c>
      <c r="CM397" s="1" t="e">
        <f ca="1">_xll.BDH($C$378,"TOT_DEBT_TO_TOT_ASSET","FQ4 2017","FQ4 2017","Currency=INR","Period=FQ","BEST_FPERIOD_OVERRIDE=FQ","FILING_STATUS=OR","EQY_CONSOLIDATED=Y","Sort=A","Dates=H","DateFormat=P","Fill=—","Direction=H","UseDPDF=Y")</f>
        <v>#NAME?</v>
      </c>
      <c r="CN397" s="1" t="e">
        <f ca="1">_xll.BDH($C$378,"NET_DEBT_TO_SHRHLDR_EQTY","FQ4 2017","FQ4 2017","Currency=INR","Period=FQ","BEST_FPERIOD_OVERRIDE=FQ","FILING_STATUS=OR","EQY_CONSOLIDATED=Y","Sort=A","Dates=H","DateFormat=P","Fill=—","Direction=H","UseDPDF=Y")</f>
        <v>#NAME?</v>
      </c>
      <c r="CO397" s="1" t="e">
        <f ca="1">_xll.BDH($C$378,"NET_DEBT_%_CAPITAL","FQ4 2017","FQ4 2017","Currency=INR","Period=FQ","BEST_FPERIOD_OVERRIDE=FQ","FILING_STATUS=OR","EQY_CONSOLIDATED=Y","Sort=A","Dates=H","DateFormat=P","Fill=—","Direction=H","UseDPDF=Y")</f>
        <v>#NAME?</v>
      </c>
      <c r="CP397" s="2" t="e">
        <f ca="1">_xll.BDH($C$378,"EBITDA","FQ4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97" s="2" t="e">
        <f ca="1">_xll.BDH($C$378,"EBITDA_AFTER_CAPEX","FQ4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97" s="2" t="e">
        <f ca="1">_xll.BDH($C$378,"IS_OPER_INC","FQ4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97" s="1" t="e">
        <f ca="1">_xll.BDH($C$378,"CASH_RATIO","FQ4 2017","FQ4 2017","Currency=INR","Period=FQ","BEST_FPERIOD_OVERRIDE=FQ","FILING_STATUS=OR","EQY_CONSOLIDATED=Y","Sort=A","Dates=H","DateFormat=P","Fill=—","Direction=H","UseDPDF=Y")</f>
        <v>#NAME?</v>
      </c>
      <c r="CT397" s="1" t="e">
        <f ca="1">_xll.BDH($C$378,"CUR_RATIO","FQ4 2017","FQ4 2017","Currency=INR","Period=FQ","BEST_FPERIOD_OVERRIDE=FQ","FILING_STATUS=OR","EQY_CONSOLIDATED=Y","Sort=A","Dates=H","DateFormat=P","Fill=—","Direction=H","UseDPDF=Y")</f>
        <v>#NAME?</v>
      </c>
      <c r="CU397" s="1" t="e">
        <f ca="1">_xll.BDH($C$378,"QUICK_RATIO","FQ4 2017","FQ4 2017","Currency=INR","Period=FQ","BEST_FPERIOD_OVERRIDE=FQ","FILING_STATUS=OR","EQY_CONSOLIDATED=Y","Sort=A","Dates=H","DateFormat=P","Fill=—","Direction=H","UseDPDF=Y")</f>
        <v>#NAME?</v>
      </c>
      <c r="CV397" s="1" t="e">
        <f ca="1">_xll.BDH($C$378,"ALTMAN_Z_SCORE","FQ4 2017","FQ4 2017","Currency=INR","Period=FQ","BEST_FPERIOD_OVERRIDE=FQ","FILING_STATUS=OR","EQY_CONSOLIDATED=Y","Sort=A","Dates=H","DateFormat=P","Fill=—","Direction=H","UseDPDF=Y")</f>
        <v>#NAME?</v>
      </c>
      <c r="CW397" s="3" t="e">
        <f ca="1">_xll.BDH($C$378,"ACCT_RCV_TURN","FQ4 2017","FQ4 2017","Currency=INR","Period=FQ","BEST_FPERIOD_OVERRIDE=FQ","FILING_STATUS=OR","EQY_CONSOLIDATED=Y","FA_ADJUSTED=GAAP","Sort=A","Dates=H","DateFormat=P","Fill=—","Direction=H","UseDPDF=Y")</f>
        <v>#NAME?</v>
      </c>
      <c r="CX397" s="1" t="e">
        <f ca="1">_xll.BDH($C$378,"ACCT_RCV_DAYS","FQ4 2017","FQ4 2017","Currency=INR","Period=FQ","BEST_FPERIOD_OVERRIDE=FQ","FILING_STATUS=OR","EQY_CONSOLIDATED=Y","FA_ADJUSTED=GAAP","Sort=A","Dates=H","DateFormat=P","Fill=—","Direction=H","UseDPDF=Y")</f>
        <v>#NAME?</v>
      </c>
      <c r="CY397" s="3" t="e">
        <f ca="1">_xll.BDH($C$378,"INVENT_TURN","FQ4 2017","FQ4 2017","Currency=INR","Period=FQ","BEST_FPERIOD_OVERRIDE=FQ","FILING_STATUS=OR","EQY_CONSOLIDATED=Y","FA_ADJUSTED=GAAP","Sort=A","Dates=H","DateFormat=P","Fill=—","Direction=H","UseDPDF=Y")</f>
        <v>#NAME?</v>
      </c>
      <c r="CZ397" s="1" t="e">
        <f ca="1">_xll.BDH($C$378,"INVENT_DAYS","FQ4 2017","FQ4 2017","Currency=INR","Period=FQ","BEST_FPERIOD_OVERRIDE=FQ","FILING_STATUS=OR","EQY_CONSOLIDATED=Y","FA_ADJUSTED=GAAP","Sort=A","Dates=H","DateFormat=P","Fill=—","Direction=H","UseDPDF=Y")</f>
        <v>#NAME?</v>
      </c>
      <c r="DA397" s="3" t="e">
        <f ca="1">_xll.BDH($C$378,"ACCOUNTS_PAYABLE_TURNOVER","FQ4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97" s="1" t="e">
        <f ca="1">_xll.BDH($C$378,"ACCOUNTS_PAYABLE_TURNOVER_DAYS","FQ4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97" s="3" t="e">
        <f ca="1">_xll.BDH($C$378,"CASH_CONVERSION_CYCLE","FQ4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97" s="3" t="e">
        <f ca="1">_xll.BDH($C$378,"INV_TO_CASH_DAYS","FQ4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397" s="4" t="e">
        <f ca="1">_xll.BDH($C$378,"BS_INVENTORIES","FQ4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397" s="2" t="e">
        <f ca="1">_xll.BDH($C$378,"INVTRY_RAW_MATERIALS","FQ4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97" s="2" t="e">
        <f ca="1">_xll.BDH($C$378,"INVTRY_IN_PROGRESS","FQ4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97" s="2" t="e">
        <f ca="1">_xll.BDH($C$378,"INVTRY_FINISHED_GOODS","FQ4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97" s="2" t="e">
        <f ca="1">_xll.BDH($C$378,"BS_OTHER_INV","FQ4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98" spans="1:113" x14ac:dyDescent="0.3">
      <c r="A398" s="6"/>
      <c r="B398" s="6"/>
      <c r="C398" s="6"/>
      <c r="D398" s="6" t="s">
        <v>11</v>
      </c>
      <c r="E398" t="s">
        <v>3</v>
      </c>
      <c r="F398" t="e">
        <f ca="1">_xll.BDH($C$378,"RETURN_COM_EQY","FY 2018","FY 2018","Currency=INR","Period=FY","BEST_FPERIOD_OVERRIDE=FY","FILING_STATUS=OR","EQY_CONSOLIDATED=Y","FA_ADJUSTED=GAAP","Sort=A","Dates=H","DateFormat=P","Fill=—","Direction=H","UseDPDF=Y")</f>
        <v>#NAME?</v>
      </c>
      <c r="G398" t="e">
        <f ca="1">_xll.BDH($C$378,"RETURN_ON_ASSET","FY 2018","FY 2018","Currency=INR","Period=FY","BEST_FPERIOD_OVERRIDE=FY","FILING_STATUS=OR","EQY_CONSOLIDATED=Y","FA_ADJUSTED=GAAP","Sort=A","Dates=H","DateFormat=P","Fill=—","Direction=H","UseDPDF=Y")</f>
        <v>#NAME?</v>
      </c>
      <c r="H398" t="e">
        <f ca="1">_xll.BDH($C$378,"RETURN_ON_CAP","FY 2018","FY 2018","Currency=INR","Period=FY","BEST_FPERIOD_OVERRIDE=FY","FILING_STATUS=OR","EQY_CONSOLIDATED=Y","FA_ADJUSTED=GAAP","Sort=A","Dates=H","DateFormat=P","Fill=—","Direction=H","UseDPDF=Y")</f>
        <v>#NAME?</v>
      </c>
      <c r="I398" t="e">
        <f ca="1">_xll.BDH($C$378,"RETURN_ON_INV_CAPITAL","FY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98" t="e">
        <f ca="1">_xll.BDH($C$378,"EBITDA_TO_REVENUE","FY 2018","FY 2018","Currency=INR","Period=FY","BEST_FPERIOD_OVERRIDE=FY","FILING_STATUS=OR","EQY_CONSOLIDATED=Y","FA_ADJUSTED=GAAP","Sort=A","Dates=H","DateFormat=P","Fill=—","Direction=H","UseDPDF=Y")</f>
        <v>#NAME?</v>
      </c>
      <c r="K398" t="e">
        <f ca="1">_xll.BDH($C$378,"OPER_MARGIN","FY 2018","FY 2018","Currency=INR","Period=FY","BEST_FPERIOD_OVERRIDE=FY","FILING_STATUS=OR","EQY_CONSOLIDATED=Y","FA_ADJUSTED=GAAP","Sort=A","Dates=H","DateFormat=P","Fill=—","Direction=H","UseDPDF=Y")</f>
        <v>#NAME?</v>
      </c>
      <c r="L398" t="e">
        <f ca="1">_xll.BDH($C$378,"INCREMENTAL_OPERATING_MARGIN","FY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98" t="e">
        <f ca="1">_xll.BDH($C$378,"PRETAX_INC_TO_NET_SALES","FY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98" t="e">
        <f ca="1">_xll.BDH($C$378,"INC_BEF_XO_ITEMS_TO_NET_SALES","FY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98" t="e">
        <f ca="1">_xll.BDH($C$378,"PROF_MARGIN","FY 2018","FY 2018","Currency=INR","Period=FY","BEST_FPERIOD_OVERRIDE=FY","FILING_STATUS=OR","EQY_CONSOLIDATED=Y","FA_ADJUSTED=GAAP","Sort=A","Dates=H","DateFormat=P","Fill=—","Direction=H","UseDPDF=Y")</f>
        <v>#NAME?</v>
      </c>
      <c r="P398" t="e">
        <f ca="1">_xll.BDH($C$378,"NET_INCOME_TO_COMMON_MARGIN","FY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98" t="e">
        <f ca="1">_xll.BDH($C$378,"EFF_TAX_RATE","FY 2018","FY 2018","Currency=INR","Period=FY","BEST_FPERIOD_OVERRIDE=FY","FILING_STATUS=OR","EQY_CONSOLIDATED=Y","FA_ADJUSTED=GAAP","Sort=A","Dates=H","DateFormat=P","Fill=—","Direction=H","UseDPDF=Y")</f>
        <v>#NAME?</v>
      </c>
      <c r="R398" t="e">
        <f ca="1">_xll.BDH($C$378,"DVD_PAYOUT_RATIO","FY 2018","FY 2018","Currency=INR","Period=FY","BEST_FPERIOD_OVERRIDE=FY","FILING_STATUS=OR","EQY_CONSOLIDATED=Y","FA_ADJUSTED=GAAP","Sort=A","Dates=H","DateFormat=P","Fill=—","Direction=H","UseDPDF=Y")</f>
        <v>#NAME?</v>
      </c>
      <c r="S398" t="e">
        <f ca="1">_xll.BDH($C$378,"SUSTAIN_GROWTH_RT","FY 2018","FY 2018","Currency=INR","Period=FY","BEST_FPERIOD_OVERRIDE=FY","FILING_STATUS=OR","EQY_CONSOLIDATED=Y","FA_ADJUSTED=GAAP","Sort=A","Dates=H","DateFormat=P","Fill=—","Direction=H","UseDPDF=Y")</f>
        <v>#NAME?</v>
      </c>
      <c r="T398" s="1" t="e">
        <f ca="1">_xll.BDH($C$378,"SALES_GROWTH","FY 2018","FY 2018","Currency=INR","Period=FY","BEST_FPERIOD_OVERRIDE=FY","FILING_STATUS=OR","EQY_CONSOLIDATED=Y","FA_ADJUSTED=GAAP","Sort=A","Dates=H","DateFormat=P","Fill=—","Direction=H","UseDPDF=Y")</f>
        <v>#NAME?</v>
      </c>
      <c r="U398" s="1" t="e">
        <f ca="1">_xll.BDH($C$378,"EBITDA_GROWTH","FY 2018","FY 2018","Currency=INR","Period=FY","BEST_FPERIOD_OVERRIDE=FY","FILING_STATUS=OR","EQY_CONSOLIDATED=Y","FA_ADJUSTED=GAAP","Sort=A","Dates=H","DateFormat=P","Fill=—","Direction=H","UseDPDF=Y")</f>
        <v>#NAME?</v>
      </c>
      <c r="V398" s="1" t="e">
        <f ca="1">_xll.BDH($C$378,"OPER_INC_GROWTH","FY 2018","FY 2018","Currency=INR","Period=FY","BEST_FPERIOD_OVERRIDE=FY","FILING_STATUS=OR","EQY_CONSOLIDATED=Y","FA_ADJUSTED=GAAP","Sort=A","Dates=H","DateFormat=P","Fill=—","Direction=H","UseDPDF=Y")</f>
        <v>#NAME?</v>
      </c>
      <c r="W398" s="1" t="e">
        <f ca="1">_xll.BDH($C$378,"EARN_FOR_COM_GROWTH","FY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398" s="1" t="e">
        <f ca="1">_xll.BDH($C$378,"DILUTED_EPS_AFT_XO_ITEMS_GROWTH","FY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98" s="1" t="e">
        <f ca="1">_xll.BDH($C$378,"DIVIDEND_PER_SHARE_1_YEAR_GROWTH","FY 2018","FY 2018","Currency=INR","Period=FY","BEST_FPERIOD_OVERRIDE=FY","FILING_STATUS=OR","EQY_CONSOLIDATED=Y","Sort=A","Dates=H","DateFormat=P","Fill=—","Direction=H","UseDPDF=Y")</f>
        <v>#NAME?</v>
      </c>
      <c r="Z398" s="1" t="e">
        <f ca="1">_xll.BDH($C$378,"ACCOUNTS_RECEIVABLE_GROWTH","FY 2018","FY 2018","Currency=INR","Period=FY","BEST_FPERIOD_OVERRIDE=FY","FILING_STATUS=OR","EQY_CONSOLIDATED=Y","Sort=A","Dates=H","DateFormat=P","Fill=—","Direction=H","UseDPDF=Y")</f>
        <v>#NAME?</v>
      </c>
      <c r="AA398" s="1" t="e">
        <f ca="1">_xll.BDH($C$378,"INVENTORY_GROWTH","FY 2018","FY 2018","Currency=INR","Period=FY","BEST_FPERIOD_OVERRIDE=FY","FILING_STATUS=OR","EQY_CONSOLIDATED=Y","Sort=A","Dates=H","DateFormat=P","Fill=—","Direction=H","UseDPDF=Y")</f>
        <v>#NAME?</v>
      </c>
      <c r="AB398" s="1" t="e">
        <f ca="1">_xll.BDH($C$378,"NET_FIXED_ASSETS_1_YEAR_GROWTH","FY 2018","FY 2018","Currency=INR","Period=FY","BEST_FPERIOD_OVERRIDE=FY","FILING_STATUS=OR","EQY_CONSOLIDATED=Y","Sort=A","Dates=H","DateFormat=P","Fill=—","Direction=H","UseDPDF=Y")</f>
        <v>#NAME?</v>
      </c>
      <c r="AC398" s="1" t="e">
        <f ca="1">_xll.BDH($C$378,"ASSET_GROWTH","FY 2018","FY 2018","Currency=INR","Period=FY","BEST_FPERIOD_OVERRIDE=FY","FILING_STATUS=OR","EQY_CONSOLIDATED=Y","Sort=A","Dates=H","DateFormat=P","Fill=—","Direction=H","UseDPDF=Y")</f>
        <v>#NAME?</v>
      </c>
      <c r="AD398" s="1" t="e">
        <f ca="1">_xll.BDH($C$378,"MODIFIED_WORK_CAP_GROWTH","FY 2018","FY 2018","Currency=INR","Period=FY","BEST_FPERIOD_OVERRIDE=FY","FILING_STATUS=OR","EQY_CONSOLIDATED=Y","Sort=A","Dates=H","DateFormat=P","Fill=—","Direction=H","UseDPDF=Y")</f>
        <v>#NAME?</v>
      </c>
      <c r="AE398" s="1" t="e">
        <f ca="1">_xll.BDH($C$378,"WORK_CAP_GROWTH","FY 2018","FY 2018","Currency=INR","Period=FY","BEST_FPERIOD_OVERRIDE=FY","FILING_STATUS=OR","EQY_CONSOLIDATED=Y","Sort=A","Dates=H","DateFormat=P","Fill=—","Direction=H","UseDPDF=Y")</f>
        <v>#NAME?</v>
      </c>
      <c r="AF398" s="1" t="e">
        <f ca="1">_xll.BDH($C$378,"ACCOUNTS_PAYABLE_GROWTH_1YR","FY 2018","FY 2018","Currency=INR","Period=FY","BEST_FPERIOD_OVERRIDE=FY","FILING_STATUS=OR","EQY_CONSOLIDATED=Y","Sort=A","Dates=H","DateFormat=P","Fill=—","Direction=H","UseDPDF=Y")</f>
        <v>#NAME?</v>
      </c>
      <c r="AG398" s="1" t="e">
        <f ca="1">_xll.BDH($C$378,"SHORT_TERM_DEBT_1_YEAR_GROWTH","FY 2018","FY 2018","Currency=INR","Period=FY","BEST_FPERIOD_OVERRIDE=FY","FILING_STATUS=OR","EQY_CONSOLIDATED=Y","Sort=A","Dates=H","DateFormat=P","Fill=—","Direction=H","UseDPDF=Y")</f>
        <v>#NAME?</v>
      </c>
      <c r="AH398" s="1" t="e">
        <f ca="1">_xll.BDH($C$378,"TOTAL_DEBT_1_YEAR_GROWTH","FY 2018","FY 2018","Currency=INR","Period=FY","BEST_FPERIOD_OVERRIDE=FY","FILING_STATUS=OR","EQY_CONSOLIDATED=Y","Sort=A","Dates=H","DateFormat=P","Fill=—","Direction=H","UseDPDF=Y")</f>
        <v>#NAME?</v>
      </c>
      <c r="AI398" s="1" t="e">
        <f ca="1">_xll.BDH($C$378,"TOTAL_EQUITY_1_YEAR_GROWTH","FY 2018","FY 2018","Currency=INR","Period=FY","BEST_FPERIOD_OVERRIDE=FY","FILING_STATUS=OR","EQY_CONSOLIDATED=Y","Sort=A","Dates=H","DateFormat=P","Fill=—","Direction=H","UseDPDF=Y")</f>
        <v>#NAME?</v>
      </c>
      <c r="AJ398" s="1" t="e">
        <f ca="1">_xll.BDH($C$378,"GROWTH_IN_CAP","FY 2018","FY 2018","Currency=INR","Period=FY","BEST_FPERIOD_OVERRIDE=FY","FILING_STATUS=OR","EQY_CONSOLIDATED=Y","Sort=A","Dates=H","DateFormat=P","Fill=—","Direction=H","UseDPDF=Y")</f>
        <v>#NAME?</v>
      </c>
      <c r="AK398" s="1" t="e">
        <f ca="1">_xll.BDH($C$378,"BVPS_GROWTH","FY 2018","FY 2018","Currency=INR","Period=FY","BEST_FPERIOD_OVERRIDE=FY","FILING_STATUS=OR","EQY_CONSOLIDATED=Y","Sort=A","Dates=H","DateFormat=P","Fill=—","Direction=H","UseDPDF=Y")</f>
        <v>#NAME?</v>
      </c>
      <c r="AL398" s="1" t="e">
        <f ca="1">_xll.BDH($C$378,"CASH_FLOW_GROWTH","FY 2018","FY 2018","Currency=INR","Period=FY","BEST_FPERIOD_OVERRIDE=FY","FILING_STATUS=OR","EQY_CONSOLIDATED=Y","Sort=A","Dates=H","DateFormat=P","Fill=—","Direction=H","UseDPDF=Y")</f>
        <v>#NAME?</v>
      </c>
      <c r="AM398" s="1" t="e">
        <f ca="1">_xll.BDH($C$378,"GEO_GROW_NET_SALES","FY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398" s="1" t="e">
        <f ca="1">_xll.BDH($C$378,"GEO_GROW_EBITDA","FY 2018","FY 2018","Currency=INR","Period=FY","BEST_FPERIOD_OVERRIDE=FY","FILING_STATUS=OR","EQY_CONSOLIDATED=Y","FA_ADJUSTED=GAAP","Sort=A","Dates=H","DateFormat=P","Fill=—","Direction=H","UseDPDF=Y")</f>
        <v>#NAME?</v>
      </c>
      <c r="AO398" s="1" t="e">
        <f ca="1">_xll.BDH($C$378,"GEO_GROW_OPER_INC","FY 2018","FY 2018","Currency=INR","Period=FY","BEST_FPERIOD_OVERRIDE=FY","FILING_STATUS=OR","EQY_CONSOLIDATED=Y","FA_ADJUSTED=GAAP","Sort=A","Dates=H","DateFormat=P","Fill=—","Direction=H","UseDPDF=Y")</f>
        <v>#NAME?</v>
      </c>
      <c r="AP398" s="1" t="e">
        <f ca="1">_xll.BDH($C$378,"NET_INCOME_TO_COMMON_5_YR_GROWTH","FY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98" s="1" t="e">
        <f ca="1">_xll.BDH($C$378,"5Y_GEO_GROWTH_DILUTED_EPS","FY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98" s="1" t="e">
        <f ca="1">_xll.BDH($C$378,"GEO_GROW_DVD_PER_SH","FY 2018","FY 2018","Currency=INR","Period=FY","BEST_FPERIOD_OVERRIDE=FY","FILING_STATUS=OR","EQY_CONSOLIDATED=Y","Sort=A","Dates=H","DateFormat=P","Fill=—","Direction=H","UseDPDF=Y")</f>
        <v>#NAME?</v>
      </c>
      <c r="AS398" s="1" t="e">
        <f ca="1">_xll.BDH($C$378,"ACCOUNTS_RECEIVABLE_5_YR_GROWTH","FY 2018","FY 2018","Currency=INR","Period=FY","BEST_FPERIOD_OVERRIDE=FY","FILING_STATUS=OR","EQY_CONSOLIDATED=Y","Sort=A","Dates=H","DateFormat=P","Fill=—","Direction=H","UseDPDF=Y")</f>
        <v>#NAME?</v>
      </c>
      <c r="AT398" s="1" t="e">
        <f ca="1">_xll.BDH($C$378,"INVENTORY_5_YEAR_GROWTH","FY 2018","FY 2018","Currency=INR","Period=FY","BEST_FPERIOD_OVERRIDE=FY","FILING_STATUS=OR","EQY_CONSOLIDATED=Y","Sort=A","Dates=H","DateFormat=P","Fill=—","Direction=H","UseDPDF=Y")</f>
        <v>#NAME?</v>
      </c>
      <c r="AU398" s="1" t="e">
        <f ca="1">_xll.BDH($C$378,"NET_FIXED_ASSETS_5_YEAR_GROWTH","FY 2018","FY 2018","Currency=INR","Period=FY","BEST_FPERIOD_OVERRIDE=FY","FILING_STATUS=OR","EQY_CONSOLIDATED=Y","Sort=A","Dates=H","DateFormat=P","Fill=—","Direction=H","UseDPDF=Y")</f>
        <v>#NAME?</v>
      </c>
      <c r="AV398" s="1" t="e">
        <f ca="1">_xll.BDH($C$378,"GEO_GROW_TOT_ASSET","FY 2018","FY 2018","Currency=INR","Period=FY","BEST_FPERIOD_OVERRIDE=FY","FILING_STATUS=OR","EQY_CONSOLIDATED=Y","Sort=A","Dates=H","DateFormat=P","Fill=—","Direction=H","UseDPDF=Y")</f>
        <v>#NAME?</v>
      </c>
      <c r="AW398" s="1" t="e">
        <f ca="1">_xll.BDH($C$378,"MODIFIED_WORKING_CPTL_5YR_GRWTH","FY 2018","FY 2018","Currency=INR","Period=FY","BEST_FPERIOD_OVERRIDE=FY","FILING_STATUS=OR","EQY_CONSOLIDATED=Y","Sort=A","Dates=H","DateFormat=P","Fill=—","Direction=H","UseDPDF=Y")</f>
        <v>#NAME?</v>
      </c>
      <c r="AX398" s="1" t="e">
        <f ca="1">_xll.BDH($C$378,"WORKING_CAPITAL_5_YEAR_GROWTH","FY 2018","FY 2018","Currency=INR","Period=FY","BEST_FPERIOD_OVERRIDE=FY","FILING_STATUS=OR","EQY_CONSOLIDATED=Y","Sort=A","Dates=H","DateFormat=P","Fill=—","Direction=H","UseDPDF=Y")</f>
        <v>#NAME?</v>
      </c>
      <c r="AY398" s="1" t="e">
        <f ca="1">_xll.BDH($C$378,"ACCOUNTS_PAYABLE_5_YEAR_GROWTH","FY 2018","FY 2018","Currency=INR","Period=FY","BEST_FPERIOD_OVERRIDE=FY","FILING_STATUS=OR","EQY_CONSOLIDATED=Y","Sort=A","Dates=H","DateFormat=P","Fill=—","Direction=H","UseDPDF=Y")</f>
        <v>#NAME?</v>
      </c>
      <c r="AZ398" s="1" t="e">
        <f ca="1">_xll.BDH($C$378,"SHORT_TERM_DEBT_5_YEAR_GROWTH","FY 2018","FY 2018","Currency=INR","Period=FY","BEST_FPERIOD_OVERRIDE=FY","FILING_STATUS=OR","EQY_CONSOLIDATED=Y","Sort=A","Dates=H","DateFormat=P","Fill=—","Direction=H","UseDPDF=Y")</f>
        <v>#NAME?</v>
      </c>
      <c r="BA398" s="1" t="e">
        <f ca="1">_xll.BDH($C$378,"TOTAL_DEBT_5_YEAR_GROWTH","FY 2018","FY 2018","Currency=INR","Period=FY","BEST_FPERIOD_OVERRIDE=FY","FILING_STATUS=OR","EQY_CONSOLIDATED=Y","Sort=A","Dates=H","DateFormat=P","Fill=—","Direction=H","UseDPDF=Y")</f>
        <v>#NAME?</v>
      </c>
      <c r="BB398" s="1" t="e">
        <f ca="1">_xll.BDH($C$378,"GEO_GROW_TOT_SHRHLDR_EQY","FY 2018","FY 2018","Currency=INR","Period=FY","BEST_FPERIOD_OVERRIDE=FY","FILING_STATUS=OR","EQY_CONSOLIDATED=Y","Sort=A","Dates=H","DateFormat=P","Fill=—","Direction=H","UseDPDF=Y")</f>
        <v>#NAME?</v>
      </c>
      <c r="BC398" s="1" t="e">
        <f ca="1">_xll.BDH($C$378,"TOTAL_CAPITAL_5_YEAR_GROWTH","FY 2018","FY 2018","Currency=INR","Period=FY","BEST_FPERIOD_OVERRIDE=FY","FILING_STATUS=OR","EQY_CONSOLIDATED=Y","Sort=A","Dates=H","DateFormat=P","Fill=—","Direction=H","UseDPDF=Y")</f>
        <v>#NAME?</v>
      </c>
      <c r="BD398" s="1" t="e">
        <f ca="1">_xll.BDH($C$378,"GEO_GROW_BOOK_VAL","FY 2018","FY 2018","Currency=INR","Period=FY","BEST_FPERIOD_OVERRIDE=FY","FILING_STATUS=OR","EQY_CONSOLIDATED=Y","Sort=A","Dates=H","DateFormat=P","Fill=—","Direction=H","UseDPDF=Y")</f>
        <v>#NAME?</v>
      </c>
      <c r="BE398" s="1" t="e">
        <f ca="1">_xll.BDH($C$378,"GEO_GROW_CASH_OPER_ACT","FY 2018","FY 2018","Currency=INR","Period=FY","BEST_FPERIOD_OVERRIDE=FY","FILING_STATUS=OR","EQY_CONSOLIDATED=Y","Sort=A","Dates=H","DateFormat=P","Fill=—","Direction=H","UseDPDF=Y")</f>
        <v>#NAME?</v>
      </c>
      <c r="BF398" s="1" t="e">
        <f ca="1">_xll.BDH($C$378,"REVENUE_SEQUENTIAL_GROWTH","FY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98" s="1" t="e">
        <f ca="1">_xll.BDH($C$378,"EBITDA_SEQUENTIAL_GROWTH","FY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98" s="1" t="e">
        <f ca="1">_xll.BDH($C$378,"OPERATING_INCOME_SEQ_GROWTH","FY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98" s="1" t="e">
        <f ca="1">_xll.BDH($C$378,"NET_INCOME_TO_COMMON_SEQ_GROWTH","FY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98" s="1" t="e">
        <f ca="1">_xll.BDH($C$378,"EPS_DILUTED_SEQUENTIAL_GROWTH","FY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98" s="1" t="e">
        <f ca="1">_xll.BDH($C$378,"DPS_SEQUENTIAL_GROWTH","FY 2018","FY 2018","Currency=INR","Period=FY","BEST_FPERIOD_OVERRIDE=FY","FILING_STATUS=OR","EQY_CONSOLIDATED=Y","Sort=A","Dates=H","DateFormat=P","Fill=—","Direction=H","UseDPDF=Y")</f>
        <v>#NAME?</v>
      </c>
      <c r="BL398" s="1" t="e">
        <f ca="1">_xll.BDH($C$378,"ACCOUNTS_RECEIVABLE_SEQ_GROWTH","FY 2018","FY 2018","Currency=INR","Period=FY","BEST_FPERIOD_OVERRIDE=FY","FILING_STATUS=OR","EQY_CONSOLIDATED=Y","Sort=A","Dates=H","DateFormat=P","Fill=—","Direction=H","UseDPDF=Y")</f>
        <v>#NAME?</v>
      </c>
      <c r="BM398" s="1" t="e">
        <f ca="1">_xll.BDH($C$378,"INVENTORY_SEQUENTIAL_GROWTH","FY 2018","FY 2018","Currency=INR","Period=FY","BEST_FPERIOD_OVERRIDE=FY","FILING_STATUS=OR","EQY_CONSOLIDATED=Y","Sort=A","Dates=H","DateFormat=P","Fill=—","Direction=H","UseDPDF=Y")</f>
        <v>#NAME?</v>
      </c>
      <c r="BN398" s="1" t="e">
        <f ca="1">_xll.BDH($C$378,"FIXED_ASSETS_SEQUENTIAL_GROWTH","FY 2018","FY 2018","Currency=INR","Period=FY","BEST_FPERIOD_OVERRIDE=FY","FILING_STATUS=OR","EQY_CONSOLIDATED=Y","Sort=A","Dates=H","DateFormat=P","Fill=—","Direction=H","UseDPDF=Y")</f>
        <v>#NAME?</v>
      </c>
      <c r="BO398" s="1" t="e">
        <f ca="1">_xll.BDH($C$378,"TOTAL_ASSETS_SEQUENTIAL_GROWTH","FY 2018","FY 2018","Currency=INR","Period=FY","BEST_FPERIOD_OVERRIDE=FY","FILING_STATUS=OR","EQY_CONSOLIDATED=Y","Sort=A","Dates=H","DateFormat=P","Fill=—","Direction=H","UseDPDF=Y")</f>
        <v>#NAME?</v>
      </c>
      <c r="BP398" s="1" t="e">
        <f ca="1">_xll.BDH($C$378,"MODIFIED_WORKING_CPTL_SEQ_GRWTH","FY 2018","FY 2018","Currency=INR","Period=FY","BEST_FPERIOD_OVERRIDE=FY","FILING_STATUS=OR","EQY_CONSOLIDATED=Y","Sort=A","Dates=H","DateFormat=P","Fill=—","Direction=H","UseDPDF=Y")</f>
        <v>#NAME?</v>
      </c>
      <c r="BQ398" s="1" t="e">
        <f ca="1">_xll.BDH($C$378,"WORKING_CAPITAL_SEQ_GROWTH","FY 2018","FY 2018","Currency=INR","Period=FY","BEST_FPERIOD_OVERRIDE=FY","FILING_STATUS=OR","EQY_CONSOLIDATED=Y","Sort=A","Dates=H","DateFormat=P","Fill=—","Direction=H","UseDPDF=Y")</f>
        <v>#NAME?</v>
      </c>
      <c r="BR398" s="1" t="e">
        <f ca="1">_xll.BDH($C$378,"ACCOUNTS_PAYABLE_SEQ_GROWTH","FY 2018","FY 2018","Currency=INR","Period=FY","BEST_FPERIOD_OVERRIDE=FY","FILING_STATUS=OR","EQY_CONSOLIDATED=Y","Sort=A","Dates=H","DateFormat=P","Fill=—","Direction=H","UseDPDF=Y")</f>
        <v>#NAME?</v>
      </c>
      <c r="BS398" s="1" t="e">
        <f ca="1">_xll.BDH($C$378,"ST_DEBT_SEQUENTIAL_GROWTH","FY 2018","FY 2018","Currency=INR","Period=FY","BEST_FPERIOD_OVERRIDE=FY","FILING_STATUS=OR","EQY_CONSOLIDATED=Y","Sort=A","Dates=H","DateFormat=P","Fill=—","Direction=H","UseDPDF=Y")</f>
        <v>#NAME?</v>
      </c>
      <c r="BT398" s="1" t="e">
        <f ca="1">_xll.BDH($C$378,"TOTAL_DEBT_SEQUENTIAL_GROWTH","FY 2018","FY 2018","Currency=INR","Period=FY","BEST_FPERIOD_OVERRIDE=FY","FILING_STATUS=OR","EQY_CONSOLIDATED=Y","Sort=A","Dates=H","DateFormat=P","Fill=—","Direction=H","UseDPDF=Y")</f>
        <v>#NAME?</v>
      </c>
      <c r="BU398" s="1" t="e">
        <f ca="1">_xll.BDH($C$378,"TOTAL_EQUITY_SEQUENTIAL_GROWTH","FY 2018","FY 2018","Currency=INR","Period=FY","BEST_FPERIOD_OVERRIDE=FY","FILING_STATUS=OR","EQY_CONSOLIDATED=Y","Sort=A","Dates=H","DateFormat=P","Fill=—","Direction=H","UseDPDF=Y")</f>
        <v>#NAME?</v>
      </c>
      <c r="BV398" s="1" t="e">
        <f ca="1">_xll.BDH($C$378,"TOTAL_CAPITAL_SEQUENTIAL_GROWTH","FY 2018","FY 2018","Currency=INR","Period=FY","BEST_FPERIOD_OVERRIDE=FY","FILING_STATUS=OR","EQY_CONSOLIDATED=Y","Sort=A","Dates=H","DateFormat=P","Fill=—","Direction=H","UseDPDF=Y")</f>
        <v>#NAME?</v>
      </c>
      <c r="BW398" s="1" t="e">
        <f ca="1">_xll.BDH($C$378,"BPS_SEQUENTIAL_GROWTH","FY 2018","FY 2018","Currency=INR","Period=FY","BEST_FPERIOD_OVERRIDE=FY","FILING_STATUS=OR","EQY_CONSOLIDATED=Y","Sort=A","Dates=H","DateFormat=P","Fill=—","Direction=H","UseDPDF=Y")</f>
        <v>#NAME?</v>
      </c>
      <c r="BX398" s="1" t="e">
        <f ca="1">_xll.BDH($C$378,"CFO_SEQUENTIAL_GROWTH","FY 2018","FY 2018","Currency=INR","Period=FY","BEST_FPERIOD_OVERRIDE=FY","FILING_STATUS=OR","EQY_CONSOLIDATED=Y","Sort=A","Dates=H","DateFormat=P","Fill=—","Direction=H","UseDPDF=Y")</f>
        <v>#NAME?</v>
      </c>
      <c r="BY398" s="2" t="e">
        <f ca="1">_xll.BDH($C$378,"SHORT_AND_LONG_TERM_DEBT","FY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98" s="2" t="e">
        <f ca="1">_xll.BDH($C$378,"BS_ST_BORROW","FY 2018","FY 2018","Currency=INR","Period=FY","BEST_FPERIOD_OVERRIDE=FY","FILING_STATUS=OR","EQY_CONSOLIDATED=Y","SCALING_FORMAT=MLN","Sort=A","Dates=H","DateFormat=P","Fill=—","Direction=H","UseDPDF=Y")</f>
        <v>#NAME?</v>
      </c>
      <c r="CA398" s="2" t="e">
        <f ca="1">_xll.BDH($C$378,"BS_LT_BORROW","FY 2018","FY 2018","Currency=INR","Period=FY","BEST_FPERIOD_OVERRIDE=FY","FILING_STATUS=OR","EQY_CONSOLIDATED=Y","SCALING_FORMAT=MLN","Sort=A","Dates=H","DateFormat=P","Fill=—","Direction=H","UseDPDF=Y")</f>
        <v>#NAME?</v>
      </c>
      <c r="CB398" s="1" t="e">
        <f ca="1">_xll.BDH($C$378,"TOT_DEBT_TO_EBITDA","FY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398" s="1" t="e">
        <f ca="1">_xll.BDH($C$378,"NET_DEBT_TO_EBITDA","FY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398" s="1" t="e">
        <f ca="1">_xll.BDH($C$378,"TOTAL_DEBT_TO_EBIT","FY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398" s="1" t="e">
        <f ca="1">_xll.BDH($C$378,"NET_DEBT_TO_EBIT","FY 2018","FY 2018","Currency=INR","Period=FY","BEST_FPERIOD_OVERRIDE=FY","FILING_STATUS=OR","EQY_CONSOLIDATED=Y","FA_ADJUSTED=GAAP","Sort=A","Dates=H","DateFormat=P","Fill=—","Direction=H","UseDPDF=Y")</f>
        <v>#NAME?</v>
      </c>
      <c r="CF398" s="1" t="e">
        <f ca="1">_xll.BDH($C$378,"EBITDA_TO_INTEREST_EXPN","FY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98" s="1" t="e">
        <f ca="1">_xll.BDH($C$378,"COM_EQY_TO_TOT_ASSET","FY 2018","FY 2018","Currency=INR","Period=FY","BEST_FPERIOD_OVERRIDE=FY","FILING_STATUS=OR","EQY_CONSOLIDATED=Y","Sort=A","Dates=H","DateFormat=P","Fill=—","Direction=H","UseDPDF=Y")</f>
        <v>#NAME?</v>
      </c>
      <c r="CH398" s="1" t="e">
        <f ca="1">_xll.BDH($C$378,"LT_DEBT_TO_TOT_EQY","FY 2018","FY 2018","Currency=INR","Period=FY","BEST_FPERIOD_OVERRIDE=FY","FILING_STATUS=OR","EQY_CONSOLIDATED=Y","Sort=A","Dates=H","DateFormat=P","Fill=—","Direction=H","UseDPDF=Y")</f>
        <v>#NAME?</v>
      </c>
      <c r="CI398" s="1" t="e">
        <f ca="1">_xll.BDH($C$378,"LT_DEBT_TO_TOT_CAP","FY 2018","FY 2018","Currency=INR","Period=FY","BEST_FPERIOD_OVERRIDE=FY","FILING_STATUS=OR","EQY_CONSOLIDATED=Y","Sort=A","Dates=H","DateFormat=P","Fill=—","Direction=H","UseDPDF=Y")</f>
        <v>#NAME?</v>
      </c>
      <c r="CJ398" s="1" t="e">
        <f ca="1">_xll.BDH($C$378,"LT_DEBT_TO_TOT_ASSET","FY 2018","FY 2018","Currency=INR","Period=FY","BEST_FPERIOD_OVERRIDE=FY","FILING_STATUS=OR","EQY_CONSOLIDATED=Y","Sort=A","Dates=H","DateFormat=P","Fill=—","Direction=H","UseDPDF=Y")</f>
        <v>#NAME?</v>
      </c>
      <c r="CK398" s="1" t="e">
        <f ca="1">_xll.BDH($C$378,"TOT_DEBT_TO_TOT_EQY","FY 2018","FY 2018","Currency=INR","Period=FY","BEST_FPERIOD_OVERRIDE=FY","FILING_STATUS=OR","EQY_CONSOLIDATED=Y","Sort=A","Dates=H","DateFormat=P","Fill=—","Direction=H","UseDPDF=Y")</f>
        <v>#NAME?</v>
      </c>
      <c r="CL398" s="1" t="e">
        <f ca="1">_xll.BDH($C$378,"TOT_DEBT_TO_TOT_CAP","FY 2018","FY 2018","Currency=INR","Period=FY","BEST_FPERIOD_OVERRIDE=FY","FILING_STATUS=OR","EQY_CONSOLIDATED=Y","Sort=A","Dates=H","DateFormat=P","Fill=—","Direction=H","UseDPDF=Y")</f>
        <v>#NAME?</v>
      </c>
      <c r="CM398" s="1" t="e">
        <f ca="1">_xll.BDH($C$378,"TOT_DEBT_TO_TOT_ASSET","FY 2018","FY 2018","Currency=INR","Period=FY","BEST_FPERIOD_OVERRIDE=FY","FILING_STATUS=OR","EQY_CONSOLIDATED=Y","Sort=A","Dates=H","DateFormat=P","Fill=—","Direction=H","UseDPDF=Y")</f>
        <v>#NAME?</v>
      </c>
      <c r="CN398" s="1" t="e">
        <f ca="1">_xll.BDH($C$378,"NET_DEBT_TO_SHRHLDR_EQTY","FY 2018","FY 2018","Currency=INR","Period=FY","BEST_FPERIOD_OVERRIDE=FY","FILING_STATUS=OR","EQY_CONSOLIDATED=Y","Sort=A","Dates=H","DateFormat=P","Fill=—","Direction=H","UseDPDF=Y")</f>
        <v>#NAME?</v>
      </c>
      <c r="CO398" s="1" t="e">
        <f ca="1">_xll.BDH($C$378,"NET_DEBT_%_CAPITAL","FY 2018","FY 2018","Currency=INR","Period=FY","BEST_FPERIOD_OVERRIDE=FY","FILING_STATUS=OR","EQY_CONSOLIDATED=Y","Sort=A","Dates=H","DateFormat=P","Fill=—","Direction=H","UseDPDF=Y")</f>
        <v>#NAME?</v>
      </c>
      <c r="CP398" s="2" t="e">
        <f ca="1">_xll.BDH($C$378,"EBITDA","FY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98" s="2" t="e">
        <f ca="1">_xll.BDH($C$378,"EBITDA_AFTER_CAPEX","FY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98" s="2" t="e">
        <f ca="1">_xll.BDH($C$378,"IS_OPER_INC","FY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98" s="1" t="e">
        <f ca="1">_xll.BDH($C$378,"CASH_RATIO","FY 2018","FY 2018","Currency=INR","Period=FY","BEST_FPERIOD_OVERRIDE=FY","FILING_STATUS=OR","EQY_CONSOLIDATED=Y","Sort=A","Dates=H","DateFormat=P","Fill=—","Direction=H","UseDPDF=Y")</f>
        <v>#NAME?</v>
      </c>
      <c r="CT398" s="1" t="e">
        <f ca="1">_xll.BDH($C$378,"CUR_RATIO","FY 2018","FY 2018","Currency=INR","Period=FY","BEST_FPERIOD_OVERRIDE=FY","FILING_STATUS=OR","EQY_CONSOLIDATED=Y","Sort=A","Dates=H","DateFormat=P","Fill=—","Direction=H","UseDPDF=Y")</f>
        <v>#NAME?</v>
      </c>
      <c r="CU398" s="1" t="e">
        <f ca="1">_xll.BDH($C$378,"QUICK_RATIO","FY 2018","FY 2018","Currency=INR","Period=FY","BEST_FPERIOD_OVERRIDE=FY","FILING_STATUS=OR","EQY_CONSOLIDATED=Y","Sort=A","Dates=H","DateFormat=P","Fill=—","Direction=H","UseDPDF=Y")</f>
        <v>#NAME?</v>
      </c>
      <c r="CV398" s="1" t="e">
        <f ca="1">_xll.BDH($C$378,"ALTMAN_Z_SCORE","FY 2018","FY 2018","Currency=INR","Period=FY","BEST_FPERIOD_OVERRIDE=FY","FILING_STATUS=OR","EQY_CONSOLIDATED=Y","Sort=A","Dates=H","DateFormat=P","Fill=—","Direction=H","UseDPDF=Y")</f>
        <v>#NAME?</v>
      </c>
      <c r="CW398" s="3" t="e">
        <f ca="1">_xll.BDH($C$378,"ACCT_RCV_TURN","FY 2018","FY 2018","Currency=INR","Period=FY","BEST_FPERIOD_OVERRIDE=FY","FILING_STATUS=OR","EQY_CONSOLIDATED=Y","FA_ADJUSTED=GAAP","Sort=A","Dates=H","DateFormat=P","Fill=—","Direction=H","UseDPDF=Y")</f>
        <v>#NAME?</v>
      </c>
      <c r="CX398" s="1" t="e">
        <f ca="1">_xll.BDH($C$378,"ACCT_RCV_DAYS","FY 2018","FY 2018","Currency=INR","Period=FY","BEST_FPERIOD_OVERRIDE=FY","FILING_STATUS=OR","EQY_CONSOLIDATED=Y","FA_ADJUSTED=GAAP","Sort=A","Dates=H","DateFormat=P","Fill=—","Direction=H","UseDPDF=Y")</f>
        <v>#NAME?</v>
      </c>
      <c r="CY398" s="3" t="e">
        <f ca="1">_xll.BDH($C$378,"INVENT_TURN","FY 2018","FY 2018","Currency=INR","Period=FY","BEST_FPERIOD_OVERRIDE=FY","FILING_STATUS=OR","EQY_CONSOLIDATED=Y","FA_ADJUSTED=GAAP","Sort=A","Dates=H","DateFormat=P","Fill=—","Direction=H","UseDPDF=Y")</f>
        <v>#NAME?</v>
      </c>
      <c r="CZ398" s="1" t="e">
        <f ca="1">_xll.BDH($C$378,"INVENT_DAYS","FY 2018","FY 2018","Currency=INR","Period=FY","BEST_FPERIOD_OVERRIDE=FY","FILING_STATUS=OR","EQY_CONSOLIDATED=Y","FA_ADJUSTED=GAAP","Sort=A","Dates=H","DateFormat=P","Fill=—","Direction=H","UseDPDF=Y")</f>
        <v>#NAME?</v>
      </c>
      <c r="DA398" s="3" t="e">
        <f ca="1">_xll.BDH($C$378,"ACCOUNTS_PAYABLE_TURNOVER","FY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98" s="1" t="e">
        <f ca="1">_xll.BDH($C$378,"ACCOUNTS_PAYABLE_TURNOVER_DAYS","FY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98" s="3" t="e">
        <f ca="1">_xll.BDH($C$378,"CASH_CONVERSION_CYCLE","FY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98" s="3" t="e">
        <f ca="1">_xll.BDH($C$378,"INV_TO_CASH_DAYS","FY 2018","FY 2018","Currency=INR","Period=FY","BEST_FPERIOD_OVERRIDE=FY","FILING_STATUS=OR","EQY_CONSOLIDATED=Y","FA_ADJUSTED=GAAP","Sort=A","Dates=H","DateFormat=P","Fill=—","Direction=H","UseDPDF=Y")</f>
        <v>#NAME?</v>
      </c>
      <c r="DE398" s="4" t="e">
        <f ca="1">_xll.BDH($C$378,"BS_INVENTORIES","FY 2018","FY 2018","Currency=INR","Period=FY","BEST_FPERIOD_OVERRIDE=FY","FILING_STATUS=OR","EQY_CONSOLIDATED=Y","SCALING_FORMAT=MLN","Sort=A","Dates=H","DateFormat=P","Fill=—","Direction=H","UseDPDF=Y")</f>
        <v>#NAME?</v>
      </c>
      <c r="DF398" s="2" t="e">
        <f ca="1">_xll.BDH($C$378,"INVTRY_RAW_MATERIALS","FY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98" s="2" t="e">
        <f ca="1">_xll.BDH($C$378,"INVTRY_IN_PROGRESS","FY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98" s="2" t="e">
        <f ca="1">_xll.BDH($C$378,"INVTRY_FINISHED_GOODS","FY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98" s="2" t="e">
        <f ca="1">_xll.BDH($C$378,"BS_OTHER_INV","FY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99" spans="1:113" x14ac:dyDescent="0.3">
      <c r="A399" s="6"/>
      <c r="B399" s="6"/>
      <c r="C399" s="6"/>
      <c r="D399" s="6"/>
      <c r="E399" t="s">
        <v>4</v>
      </c>
      <c r="F399" t="e">
        <f ca="1">_xll.BDH($C$378,"RETURN_COM_EQY","FQ1 2018","FQ1 2018","Currency=INR","Period=FQ","BEST_FPERIOD_OVERRIDE=FQ","FILING_STATUS=OR","EQY_CONSOLIDATED=Y","FA_ADJUSTED=GAAP","Sort=A","Dates=H","DateFormat=P","Fill=—","Direction=H","UseDPDF=Y")</f>
        <v>#NAME?</v>
      </c>
      <c r="G399" t="e">
        <f ca="1">_xll.BDH($C$378,"RETURN_ON_ASSET","FQ1 2018","FQ1 2018","Currency=INR","Period=FQ","BEST_FPERIOD_OVERRIDE=FQ","FILING_STATUS=OR","EQY_CONSOLIDATED=Y","FA_ADJUSTED=GAAP","Sort=A","Dates=H","DateFormat=P","Fill=—","Direction=H","UseDPDF=Y")</f>
        <v>#NAME?</v>
      </c>
      <c r="H399" t="e">
        <f ca="1">_xll.BDH($C$378,"RETURN_ON_CAP","FQ1 2018","FQ1 2018","Currency=INR","Period=FQ","BEST_FPERIOD_OVERRIDE=FQ","FILING_STATUS=OR","EQY_CONSOLIDATED=Y","FA_ADJUSTED=GAAP","Sort=A","Dates=H","DateFormat=P","Fill=—","Direction=H","UseDPDF=Y")</f>
        <v>#NAME?</v>
      </c>
      <c r="I399" t="e">
        <f ca="1">_xll.BDH($C$378,"RETURN_ON_INV_CAPITAL","FQ1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99" t="e">
        <f ca="1">_xll.BDH($C$378,"EBITDA_TO_REVENUE","FQ1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399" t="e">
        <f ca="1">_xll.BDH($C$378,"OPER_MARGIN","FQ1 2018","FQ1 2018","Currency=INR","Period=FQ","BEST_FPERIOD_OVERRIDE=FQ","FILING_STATUS=OR","EQY_CONSOLIDATED=Y","FA_ADJUSTED=GAAP","Sort=A","Dates=H","DateFormat=P","Fill=—","Direction=H","UseDPDF=Y")</f>
        <v>#NAME?</v>
      </c>
      <c r="L399" t="e">
        <f ca="1">_xll.BDH($C$378,"INCREMENTAL_OPERATING_MARGIN","FQ1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99" t="e">
        <f ca="1">_xll.BDH($C$378,"PRETAX_INC_TO_NET_SALES","FQ1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99" t="e">
        <f ca="1">_xll.BDH($C$378,"INC_BEF_XO_ITEMS_TO_NET_SALES","FQ1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99" t="e">
        <f ca="1">_xll.BDH($C$378,"PROF_MARGIN","FQ1 2018","FQ1 2018","Currency=INR","Period=FQ","BEST_FPERIOD_OVERRIDE=FQ","FILING_STATUS=OR","EQY_CONSOLIDATED=Y","FA_ADJUSTED=GAAP","Sort=A","Dates=H","DateFormat=P","Fill=—","Direction=H","UseDPDF=Y")</f>
        <v>#NAME?</v>
      </c>
      <c r="P399" t="e">
        <f ca="1">_xll.BDH($C$378,"NET_INCOME_TO_COMMON_MARGIN","FQ1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99" t="e">
        <f ca="1">_xll.BDH($C$378,"EFF_TAX_RATE","FQ1 2018","FQ1 2018","Currency=INR","Period=FQ","BEST_FPERIOD_OVERRIDE=FQ","FILING_STATUS=OR","EQY_CONSOLIDATED=Y","FA_ADJUSTED=GAAP","Sort=A","Dates=H","DateFormat=P","Fill=—","Direction=H","UseDPDF=Y")</f>
        <v>#NAME?</v>
      </c>
      <c r="R399" t="e">
        <f ca="1">_xll.BDH($C$378,"DVD_PAYOUT_RATIO","FQ1 2018","FQ1 2018","Currency=INR","Period=FQ","BEST_FPERIOD_OVERRIDE=FQ","FILING_STATUS=OR","EQY_CONSOLIDATED=Y","FA_ADJUSTED=GAAP","Sort=A","Dates=H","DateFormat=P","Fill=—","Direction=H","UseDPDF=Y")</f>
        <v>#NAME?</v>
      </c>
      <c r="S399" t="e">
        <f ca="1">_xll.BDH($C$378,"SUSTAIN_GROWTH_RT","FQ1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399" s="1" t="e">
        <f ca="1">_xll.BDH($C$378,"SALES_GROWTH","FQ1 2018","FQ1 2018","Currency=INR","Period=FQ","BEST_FPERIOD_OVERRIDE=FQ","FILING_STATUS=OR","EQY_CONSOLIDATED=Y","FA_ADJUSTED=GAAP","Sort=A","Dates=H","DateFormat=P","Fill=—","Direction=H","UseDPDF=Y")</f>
        <v>#NAME?</v>
      </c>
      <c r="U399" s="1" t="e">
        <f ca="1">_xll.BDH($C$378,"EBITDA_GROWTH","FQ1 2018","FQ1 2018","Currency=INR","Period=FQ","BEST_FPERIOD_OVERRIDE=FQ","FILING_STATUS=OR","EQY_CONSOLIDATED=Y","FA_ADJUSTED=GAAP","Sort=A","Dates=H","DateFormat=P","Fill=—","Direction=H","UseDPDF=Y")</f>
        <v>#NAME?</v>
      </c>
      <c r="V399" s="1" t="e">
        <f ca="1">_xll.BDH($C$378,"OPER_INC_GROWTH","FQ1 2018","FQ1 2018","Currency=INR","Period=FQ","BEST_FPERIOD_OVERRIDE=FQ","FILING_STATUS=OR","EQY_CONSOLIDATED=Y","FA_ADJUSTED=GAAP","Sort=A","Dates=H","DateFormat=P","Fill=—","Direction=H","UseDPDF=Y")</f>
        <v>#NAME?</v>
      </c>
      <c r="W399" s="1" t="e">
        <f ca="1">_xll.BDH($C$378,"EARN_FOR_COM_GROWTH","FQ1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99" s="1" t="e">
        <f ca="1">_xll.BDH($C$378,"DILUTED_EPS_AFT_XO_ITEMS_GROWTH","FQ1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99" s="1" t="e">
        <f ca="1">_xll.BDH($C$378,"DIVIDEND_PER_SHARE_1_YEAR_GROWTH","FQ1 2018","FQ1 2018","Currency=INR","Period=FQ","BEST_FPERIOD_OVERRIDE=FQ","FILING_STATUS=OR","EQY_CONSOLIDATED=Y","Sort=A","Dates=H","DateFormat=P","Fill=—","Direction=H","UseDPDF=Y")</f>
        <v>#NAME?</v>
      </c>
      <c r="Z399" s="1" t="e">
        <f ca="1">_xll.BDH($C$378,"ACCOUNTS_RECEIVABLE_GROWTH","FQ1 2018","FQ1 2018","Currency=INR","Period=FQ","BEST_FPERIOD_OVERRIDE=FQ","FILING_STATUS=OR","EQY_CONSOLIDATED=Y","Sort=A","Dates=H","DateFormat=P","Fill=—","Direction=H","UseDPDF=Y")</f>
        <v>#NAME?</v>
      </c>
      <c r="AA399" s="1" t="e">
        <f ca="1">_xll.BDH($C$378,"INVENTORY_GROWTH","FQ1 2018","FQ1 2018","Currency=INR","Period=FQ","BEST_FPERIOD_OVERRIDE=FQ","FILING_STATUS=OR","EQY_CONSOLIDATED=Y","Sort=A","Dates=H","DateFormat=P","Fill=—","Direction=H","UseDPDF=Y")</f>
        <v>#NAME?</v>
      </c>
      <c r="AB399" s="1" t="e">
        <f ca="1">_xll.BDH($C$378,"NET_FIXED_ASSETS_1_YEAR_GROWTH","FQ1 2018","FQ1 2018","Currency=INR","Period=FQ","BEST_FPERIOD_OVERRIDE=FQ","FILING_STATUS=OR","EQY_CONSOLIDATED=Y","Sort=A","Dates=H","DateFormat=P","Fill=—","Direction=H","UseDPDF=Y")</f>
        <v>#NAME?</v>
      </c>
      <c r="AC399" s="1" t="e">
        <f ca="1">_xll.BDH($C$378,"ASSET_GROWTH","FQ1 2018","FQ1 2018","Currency=INR","Period=FQ","BEST_FPERIOD_OVERRIDE=FQ","FILING_STATUS=OR","EQY_CONSOLIDATED=Y","Sort=A","Dates=H","DateFormat=P","Fill=—","Direction=H","UseDPDF=Y")</f>
        <v>#NAME?</v>
      </c>
      <c r="AD399" s="1" t="e">
        <f ca="1">_xll.BDH($C$378,"MODIFIED_WORK_CAP_GROWTH","FQ1 2018","FQ1 2018","Currency=INR","Period=FQ","BEST_FPERIOD_OVERRIDE=FQ","FILING_STATUS=OR","EQY_CONSOLIDATED=Y","Sort=A","Dates=H","DateFormat=P","Fill=—","Direction=H","UseDPDF=Y")</f>
        <v>#NAME?</v>
      </c>
      <c r="AE399" s="1" t="e">
        <f ca="1">_xll.BDH($C$378,"WORK_CAP_GROWTH","FQ1 2018","FQ1 2018","Currency=INR","Period=FQ","BEST_FPERIOD_OVERRIDE=FQ","FILING_STATUS=OR","EQY_CONSOLIDATED=Y","Sort=A","Dates=H","DateFormat=P","Fill=—","Direction=H","UseDPDF=Y")</f>
        <v>#NAME?</v>
      </c>
      <c r="AF399" s="1" t="e">
        <f ca="1">_xll.BDH($C$378,"ACCOUNTS_PAYABLE_GROWTH_1YR","FQ1 2018","FQ1 2018","Currency=INR","Period=FQ","BEST_FPERIOD_OVERRIDE=FQ","FILING_STATUS=OR","EQY_CONSOLIDATED=Y","Sort=A","Dates=H","DateFormat=P","Fill=—","Direction=H","UseDPDF=Y")</f>
        <v>#NAME?</v>
      </c>
      <c r="AG399" s="1" t="e">
        <f ca="1">_xll.BDH($C$378,"SHORT_TERM_DEBT_1_YEAR_GROWTH","FQ1 2018","FQ1 2018","Currency=INR","Period=FQ","BEST_FPERIOD_OVERRIDE=FQ","FILING_STATUS=OR","EQY_CONSOLIDATED=Y","Sort=A","Dates=H","DateFormat=P","Fill=—","Direction=H","UseDPDF=Y")</f>
        <v>#NAME?</v>
      </c>
      <c r="AH399" s="1" t="e">
        <f ca="1">_xll.BDH($C$378,"TOTAL_DEBT_1_YEAR_GROWTH","FQ1 2018","FQ1 2018","Currency=INR","Period=FQ","BEST_FPERIOD_OVERRIDE=FQ","FILING_STATUS=OR","EQY_CONSOLIDATED=Y","Sort=A","Dates=H","DateFormat=P","Fill=—","Direction=H","UseDPDF=Y")</f>
        <v>#NAME?</v>
      </c>
      <c r="AI399" s="1" t="e">
        <f ca="1">_xll.BDH($C$378,"TOTAL_EQUITY_1_YEAR_GROWTH","FQ1 2018","FQ1 2018","Currency=INR","Period=FQ","BEST_FPERIOD_OVERRIDE=FQ","FILING_STATUS=OR","EQY_CONSOLIDATED=Y","Sort=A","Dates=H","DateFormat=P","Fill=—","Direction=H","UseDPDF=Y")</f>
        <v>#NAME?</v>
      </c>
      <c r="AJ399" s="1" t="e">
        <f ca="1">_xll.BDH($C$378,"GROWTH_IN_CAP","FQ1 2018","FQ1 2018","Currency=INR","Period=FQ","BEST_FPERIOD_OVERRIDE=FQ","FILING_STATUS=OR","EQY_CONSOLIDATED=Y","Sort=A","Dates=H","DateFormat=P","Fill=—","Direction=H","UseDPDF=Y")</f>
        <v>#NAME?</v>
      </c>
      <c r="AK399" s="1" t="e">
        <f ca="1">_xll.BDH($C$378,"BVPS_GROWTH","FQ1 2018","FQ1 2018","Currency=INR","Period=FQ","BEST_FPERIOD_OVERRIDE=FQ","FILING_STATUS=OR","EQY_CONSOLIDATED=Y","Sort=A","Dates=H","DateFormat=P","Fill=—","Direction=H","UseDPDF=Y")</f>
        <v>#NAME?</v>
      </c>
      <c r="AL399" s="1" t="e">
        <f ca="1">_xll.BDH($C$378,"CASH_FLOW_GROWTH","FQ1 2018","FQ1 2018","Currency=INR","Period=FQ","BEST_FPERIOD_OVERRIDE=FQ","FILING_STATUS=OR","EQY_CONSOLIDATED=Y","Sort=A","Dates=H","DateFormat=P","Fill=—","Direction=H","UseDPDF=Y")</f>
        <v>#NAME?</v>
      </c>
      <c r="AM399" s="1" t="e">
        <f ca="1">_xll.BDH($C$378,"GEO_GROW_NET_SALES","FQ1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99" s="1" t="e">
        <f ca="1">_xll.BDH($C$378,"GEO_GROW_EBITDA","FQ1 2018","FQ1 2018","Currency=INR","Period=FQ","BEST_FPERIOD_OVERRIDE=FQ","FILING_STATUS=OR","EQY_CONSOLIDATED=Y","FA_ADJUSTED=GAAP","Sort=A","Dates=H","DateFormat=P","Fill=—","Direction=H","UseDPDF=Y")</f>
        <v>#NAME?</v>
      </c>
      <c r="AO399" s="1" t="e">
        <f ca="1">_xll.BDH($C$378,"GEO_GROW_OPER_INC","FQ1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99" s="1" t="e">
        <f ca="1">_xll.BDH($C$378,"NET_INCOME_TO_COMMON_5_YR_GROWTH","FQ1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99" s="1" t="e">
        <f ca="1">_xll.BDH($C$378,"5Y_GEO_GROWTH_DILUTED_EPS","FQ1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99" s="1" t="e">
        <f ca="1">_xll.BDH($C$378,"GEO_GROW_DVD_PER_SH","FQ1 2018","FQ1 2018","Currency=INR","Period=FQ","BEST_FPERIOD_OVERRIDE=FQ","FILING_STATUS=OR","EQY_CONSOLIDATED=Y","Sort=A","Dates=H","DateFormat=P","Fill=—","Direction=H","UseDPDF=Y")</f>
        <v>#NAME?</v>
      </c>
      <c r="AS399" s="1" t="e">
        <f ca="1">_xll.BDH($C$378,"ACCOUNTS_RECEIVABLE_5_YR_GROWTH","FQ1 2018","FQ1 2018","Currency=INR","Period=FQ","BEST_FPERIOD_OVERRIDE=FQ","FILING_STATUS=OR","EQY_CONSOLIDATED=Y","Sort=A","Dates=H","DateFormat=P","Fill=—","Direction=H","UseDPDF=Y")</f>
        <v>#NAME?</v>
      </c>
      <c r="AT399" s="1" t="e">
        <f ca="1">_xll.BDH($C$378,"INVENTORY_5_YEAR_GROWTH","FQ1 2018","FQ1 2018","Currency=INR","Period=FQ","BEST_FPERIOD_OVERRIDE=FQ","FILING_STATUS=OR","EQY_CONSOLIDATED=Y","Sort=A","Dates=H","DateFormat=P","Fill=—","Direction=H","UseDPDF=Y")</f>
        <v>#NAME?</v>
      </c>
      <c r="AU399" s="1" t="e">
        <f ca="1">_xll.BDH($C$378,"NET_FIXED_ASSETS_5_YEAR_GROWTH","FQ1 2018","FQ1 2018","Currency=INR","Period=FQ","BEST_FPERIOD_OVERRIDE=FQ","FILING_STATUS=OR","EQY_CONSOLIDATED=Y","Sort=A","Dates=H","DateFormat=P","Fill=—","Direction=H","UseDPDF=Y")</f>
        <v>#NAME?</v>
      </c>
      <c r="AV399" s="1" t="e">
        <f ca="1">_xll.BDH($C$378,"GEO_GROW_TOT_ASSET","FQ1 2018","FQ1 2018","Currency=INR","Period=FQ","BEST_FPERIOD_OVERRIDE=FQ","FILING_STATUS=OR","EQY_CONSOLIDATED=Y","Sort=A","Dates=H","DateFormat=P","Fill=—","Direction=H","UseDPDF=Y")</f>
        <v>#NAME?</v>
      </c>
      <c r="AW399" s="1" t="e">
        <f ca="1">_xll.BDH($C$378,"MODIFIED_WORKING_CPTL_5YR_GRWTH","FQ1 2018","FQ1 2018","Currency=INR","Period=FQ","BEST_FPERIOD_OVERRIDE=FQ","FILING_STATUS=OR","EQY_CONSOLIDATED=Y","Sort=A","Dates=H","DateFormat=P","Fill=—","Direction=H","UseDPDF=Y")</f>
        <v>#NAME?</v>
      </c>
      <c r="AX399" s="1" t="e">
        <f ca="1">_xll.BDH($C$378,"WORKING_CAPITAL_5_YEAR_GROWTH","FQ1 2018","FQ1 2018","Currency=INR","Period=FQ","BEST_FPERIOD_OVERRIDE=FQ","FILING_STATUS=OR","EQY_CONSOLIDATED=Y","Sort=A","Dates=H","DateFormat=P","Fill=—","Direction=H","UseDPDF=Y")</f>
        <v>#NAME?</v>
      </c>
      <c r="AY399" s="1" t="e">
        <f ca="1">_xll.BDH($C$378,"ACCOUNTS_PAYABLE_5_YEAR_GROWTH","FQ1 2018","FQ1 2018","Currency=INR","Period=FQ","BEST_FPERIOD_OVERRIDE=FQ","FILING_STATUS=OR","EQY_CONSOLIDATED=Y","Sort=A","Dates=H","DateFormat=P","Fill=—","Direction=H","UseDPDF=Y")</f>
        <v>#NAME?</v>
      </c>
      <c r="AZ399" s="1" t="e">
        <f ca="1">_xll.BDH($C$378,"SHORT_TERM_DEBT_5_YEAR_GROWTH","FQ1 2018","FQ1 2018","Currency=INR","Period=FQ","BEST_FPERIOD_OVERRIDE=FQ","FILING_STATUS=OR","EQY_CONSOLIDATED=Y","Sort=A","Dates=H","DateFormat=P","Fill=—","Direction=H","UseDPDF=Y")</f>
        <v>#NAME?</v>
      </c>
      <c r="BA399" s="1" t="e">
        <f ca="1">_xll.BDH($C$378,"TOTAL_DEBT_5_YEAR_GROWTH","FQ1 2018","FQ1 2018","Currency=INR","Period=FQ","BEST_FPERIOD_OVERRIDE=FQ","FILING_STATUS=OR","EQY_CONSOLIDATED=Y","Sort=A","Dates=H","DateFormat=P","Fill=—","Direction=H","UseDPDF=Y")</f>
        <v>#NAME?</v>
      </c>
      <c r="BB399" s="1" t="e">
        <f ca="1">_xll.BDH($C$378,"GEO_GROW_TOT_SHRHLDR_EQY","FQ1 2018","FQ1 2018","Currency=INR","Period=FQ","BEST_FPERIOD_OVERRIDE=FQ","FILING_STATUS=OR","EQY_CONSOLIDATED=Y","Sort=A","Dates=H","DateFormat=P","Fill=—","Direction=H","UseDPDF=Y")</f>
        <v>#NAME?</v>
      </c>
      <c r="BC399" s="1" t="e">
        <f ca="1">_xll.BDH($C$378,"TOTAL_CAPITAL_5_YEAR_GROWTH","FQ1 2018","FQ1 2018","Currency=INR","Period=FQ","BEST_FPERIOD_OVERRIDE=FQ","FILING_STATUS=OR","EQY_CONSOLIDATED=Y","Sort=A","Dates=H","DateFormat=P","Fill=—","Direction=H","UseDPDF=Y")</f>
        <v>#NAME?</v>
      </c>
      <c r="BD399" s="1" t="e">
        <f ca="1">_xll.BDH($C$378,"GEO_GROW_BOOK_VAL","FQ1 2018","FQ1 2018","Currency=INR","Period=FQ","BEST_FPERIOD_OVERRIDE=FQ","FILING_STATUS=OR","EQY_CONSOLIDATED=Y","Sort=A","Dates=H","DateFormat=P","Fill=—","Direction=H","UseDPDF=Y")</f>
        <v>#NAME?</v>
      </c>
      <c r="BE399" s="1" t="e">
        <f ca="1">_xll.BDH($C$378,"GEO_GROW_CASH_OPER_ACT","FQ1 2018","FQ1 2018","Currency=INR","Period=FQ","BEST_FPERIOD_OVERRIDE=FQ","FILING_STATUS=OR","EQY_CONSOLIDATED=Y","Sort=A","Dates=H","DateFormat=P","Fill=—","Direction=H","UseDPDF=Y")</f>
        <v>#NAME?</v>
      </c>
      <c r="BF399" s="1" t="e">
        <f ca="1">_xll.BDH($C$378,"REVENUE_SEQUENTIAL_GROWTH","FQ1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99" s="1" t="e">
        <f ca="1">_xll.BDH($C$378,"EBITDA_SEQUENTIAL_GROWTH","FQ1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99" s="1" t="e">
        <f ca="1">_xll.BDH($C$378,"OPERATING_INCOME_SEQ_GROWTH","FQ1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99" s="1" t="e">
        <f ca="1">_xll.BDH($C$378,"NET_INCOME_TO_COMMON_SEQ_GROWTH","FQ1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99" s="1" t="e">
        <f ca="1">_xll.BDH($C$378,"EPS_DILUTED_SEQUENTIAL_GROWTH","FQ1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99" s="1" t="e">
        <f ca="1">_xll.BDH($C$378,"DPS_SEQUENTIAL_GROWTH","FQ1 2018","FQ1 2018","Currency=INR","Period=FQ","BEST_FPERIOD_OVERRIDE=FQ","FILING_STATUS=OR","EQY_CONSOLIDATED=Y","Sort=A","Dates=H","DateFormat=P","Fill=—","Direction=H","UseDPDF=Y")</f>
        <v>#NAME?</v>
      </c>
      <c r="BL399" s="1" t="e">
        <f ca="1">_xll.BDH($C$378,"ACCOUNTS_RECEIVABLE_SEQ_GROWTH","FQ1 2018","FQ1 2018","Currency=INR","Period=FQ","BEST_FPERIOD_OVERRIDE=FQ","FILING_STATUS=OR","EQY_CONSOLIDATED=Y","Sort=A","Dates=H","DateFormat=P","Fill=—","Direction=H","UseDPDF=Y")</f>
        <v>#NAME?</v>
      </c>
      <c r="BM399" s="1" t="e">
        <f ca="1">_xll.BDH($C$378,"INVENTORY_SEQUENTIAL_GROWTH","FQ1 2018","FQ1 2018","Currency=INR","Period=FQ","BEST_FPERIOD_OVERRIDE=FQ","FILING_STATUS=OR","EQY_CONSOLIDATED=Y","Sort=A","Dates=H","DateFormat=P","Fill=—","Direction=H","UseDPDF=Y")</f>
        <v>#NAME?</v>
      </c>
      <c r="BN399" s="1" t="e">
        <f ca="1">_xll.BDH($C$378,"FIXED_ASSETS_SEQUENTIAL_GROWTH","FQ1 2018","FQ1 2018","Currency=INR","Period=FQ","BEST_FPERIOD_OVERRIDE=FQ","FILING_STATUS=OR","EQY_CONSOLIDATED=Y","Sort=A","Dates=H","DateFormat=P","Fill=—","Direction=H","UseDPDF=Y")</f>
        <v>#NAME?</v>
      </c>
      <c r="BO399" s="1" t="e">
        <f ca="1">_xll.BDH($C$378,"TOTAL_ASSETS_SEQUENTIAL_GROWTH","FQ1 2018","FQ1 2018","Currency=INR","Period=FQ","BEST_FPERIOD_OVERRIDE=FQ","FILING_STATUS=OR","EQY_CONSOLIDATED=Y","Sort=A","Dates=H","DateFormat=P","Fill=—","Direction=H","UseDPDF=Y")</f>
        <v>#NAME?</v>
      </c>
      <c r="BP399" s="1" t="e">
        <f ca="1">_xll.BDH($C$378,"MODIFIED_WORKING_CPTL_SEQ_GRWTH","FQ1 2018","FQ1 2018","Currency=INR","Period=FQ","BEST_FPERIOD_OVERRIDE=FQ","FILING_STATUS=OR","EQY_CONSOLIDATED=Y","Sort=A","Dates=H","DateFormat=P","Fill=—","Direction=H","UseDPDF=Y")</f>
        <v>#NAME?</v>
      </c>
      <c r="BQ399" s="1" t="e">
        <f ca="1">_xll.BDH($C$378,"WORKING_CAPITAL_SEQ_GROWTH","FQ1 2018","FQ1 2018","Currency=INR","Period=FQ","BEST_FPERIOD_OVERRIDE=FQ","FILING_STATUS=OR","EQY_CONSOLIDATED=Y","Sort=A","Dates=H","DateFormat=P","Fill=—","Direction=H","UseDPDF=Y")</f>
        <v>#NAME?</v>
      </c>
      <c r="BR399" s="1" t="e">
        <f ca="1">_xll.BDH($C$378,"ACCOUNTS_PAYABLE_SEQ_GROWTH","FQ1 2018","FQ1 2018","Currency=INR","Period=FQ","BEST_FPERIOD_OVERRIDE=FQ","FILING_STATUS=OR","EQY_CONSOLIDATED=Y","Sort=A","Dates=H","DateFormat=P","Fill=—","Direction=H","UseDPDF=Y")</f>
        <v>#NAME?</v>
      </c>
      <c r="BS399" s="1" t="e">
        <f ca="1">_xll.BDH($C$378,"ST_DEBT_SEQUENTIAL_GROWTH","FQ1 2018","FQ1 2018","Currency=INR","Period=FQ","BEST_FPERIOD_OVERRIDE=FQ","FILING_STATUS=OR","EQY_CONSOLIDATED=Y","Sort=A","Dates=H","DateFormat=P","Fill=—","Direction=H","UseDPDF=Y")</f>
        <v>#NAME?</v>
      </c>
      <c r="BT399" s="1" t="e">
        <f ca="1">_xll.BDH($C$378,"TOTAL_DEBT_SEQUENTIAL_GROWTH","FQ1 2018","FQ1 2018","Currency=INR","Period=FQ","BEST_FPERIOD_OVERRIDE=FQ","FILING_STATUS=OR","EQY_CONSOLIDATED=Y","Sort=A","Dates=H","DateFormat=P","Fill=—","Direction=H","UseDPDF=Y")</f>
        <v>#NAME?</v>
      </c>
      <c r="BU399" s="1" t="e">
        <f ca="1">_xll.BDH($C$378,"TOTAL_EQUITY_SEQUENTIAL_GROWTH","FQ1 2018","FQ1 2018","Currency=INR","Period=FQ","BEST_FPERIOD_OVERRIDE=FQ","FILING_STATUS=OR","EQY_CONSOLIDATED=Y","Sort=A","Dates=H","DateFormat=P","Fill=—","Direction=H","UseDPDF=Y")</f>
        <v>#NAME?</v>
      </c>
      <c r="BV399" s="1" t="e">
        <f ca="1">_xll.BDH($C$378,"TOTAL_CAPITAL_SEQUENTIAL_GROWTH","FQ1 2018","FQ1 2018","Currency=INR","Period=FQ","BEST_FPERIOD_OVERRIDE=FQ","FILING_STATUS=OR","EQY_CONSOLIDATED=Y","Sort=A","Dates=H","DateFormat=P","Fill=—","Direction=H","UseDPDF=Y")</f>
        <v>#NAME?</v>
      </c>
      <c r="BW399" s="1" t="e">
        <f ca="1">_xll.BDH($C$378,"BPS_SEQUENTIAL_GROWTH","FQ1 2018","FQ1 2018","Currency=INR","Period=FQ","BEST_FPERIOD_OVERRIDE=FQ","FILING_STATUS=OR","EQY_CONSOLIDATED=Y","Sort=A","Dates=H","DateFormat=P","Fill=—","Direction=H","UseDPDF=Y")</f>
        <v>#NAME?</v>
      </c>
      <c r="BX399" s="1" t="e">
        <f ca="1">_xll.BDH($C$378,"CFO_SEQUENTIAL_GROWTH","FQ1 2018","FQ1 2018","Currency=INR","Period=FQ","BEST_FPERIOD_OVERRIDE=FQ","FILING_STATUS=OR","EQY_CONSOLIDATED=Y","Sort=A","Dates=H","DateFormat=P","Fill=—","Direction=H","UseDPDF=Y")</f>
        <v>#NAME?</v>
      </c>
      <c r="BY399" s="2" t="e">
        <f ca="1">_xll.BDH($C$378,"SHORT_AND_LONG_TERM_DEBT","FQ1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99" s="2" t="e">
        <f ca="1">_xll.BDH($C$378,"BS_ST_BORROW","FQ1 2018","FQ1 2018","Currency=INR","Period=FQ","BEST_FPERIOD_OVERRIDE=FQ","FILING_STATUS=OR","EQY_CONSOLIDATED=Y","SCALING_FORMAT=MLN","Sort=A","Dates=H","DateFormat=P","Fill=—","Direction=H","UseDPDF=Y")</f>
        <v>#NAME?</v>
      </c>
      <c r="CA399" s="2" t="e">
        <f ca="1">_xll.BDH($C$378,"BS_LT_BORROW","FQ1 2018","FQ1 2018","Currency=INR","Period=FQ","BEST_FPERIOD_OVERRIDE=FQ","FILING_STATUS=OR","EQY_CONSOLIDATED=Y","SCALING_FORMAT=MLN","Sort=A","Dates=H","DateFormat=P","Fill=—","Direction=H","UseDPDF=Y")</f>
        <v>#NAME?</v>
      </c>
      <c r="CB399" s="1" t="e">
        <f ca="1">_xll.BDH($C$378,"TOT_DEBT_TO_EBITDA","FQ1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99" s="1" t="e">
        <f ca="1">_xll.BDH($C$378,"NET_DEBT_TO_EBITDA","FQ1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99" s="1" t="e">
        <f ca="1">_xll.BDH($C$378,"TOTAL_DEBT_TO_EBIT","FQ1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99" s="1" t="e">
        <f ca="1">_xll.BDH($C$378,"NET_DEBT_TO_EBIT","FQ1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399" s="1" t="e">
        <f ca="1">_xll.BDH($C$378,"EBITDA_TO_INTEREST_EXPN","FQ1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99" s="1" t="e">
        <f ca="1">_xll.BDH($C$378,"COM_EQY_TO_TOT_ASSET","FQ1 2018","FQ1 2018","Currency=INR","Period=FQ","BEST_FPERIOD_OVERRIDE=FQ","FILING_STATUS=OR","EQY_CONSOLIDATED=Y","Sort=A","Dates=H","DateFormat=P","Fill=—","Direction=H","UseDPDF=Y")</f>
        <v>#NAME?</v>
      </c>
      <c r="CH399" s="1" t="e">
        <f ca="1">_xll.BDH($C$378,"LT_DEBT_TO_TOT_EQY","FQ1 2018","FQ1 2018","Currency=INR","Period=FQ","BEST_FPERIOD_OVERRIDE=FQ","FILING_STATUS=OR","EQY_CONSOLIDATED=Y","Sort=A","Dates=H","DateFormat=P","Fill=—","Direction=H","UseDPDF=Y")</f>
        <v>#NAME?</v>
      </c>
      <c r="CI399" s="1" t="e">
        <f ca="1">_xll.BDH($C$378,"LT_DEBT_TO_TOT_CAP","FQ1 2018","FQ1 2018","Currency=INR","Period=FQ","BEST_FPERIOD_OVERRIDE=FQ","FILING_STATUS=OR","EQY_CONSOLIDATED=Y","Sort=A","Dates=H","DateFormat=P","Fill=—","Direction=H","UseDPDF=Y")</f>
        <v>#NAME?</v>
      </c>
      <c r="CJ399" s="1" t="e">
        <f ca="1">_xll.BDH($C$378,"LT_DEBT_TO_TOT_ASSET","FQ1 2018","FQ1 2018","Currency=INR","Period=FQ","BEST_FPERIOD_OVERRIDE=FQ","FILING_STATUS=OR","EQY_CONSOLIDATED=Y","Sort=A","Dates=H","DateFormat=P","Fill=—","Direction=H","UseDPDF=Y")</f>
        <v>#NAME?</v>
      </c>
      <c r="CK399" s="1" t="e">
        <f ca="1">_xll.BDH($C$378,"TOT_DEBT_TO_TOT_EQY","FQ1 2018","FQ1 2018","Currency=INR","Period=FQ","BEST_FPERIOD_OVERRIDE=FQ","FILING_STATUS=OR","EQY_CONSOLIDATED=Y","Sort=A","Dates=H","DateFormat=P","Fill=—","Direction=H","UseDPDF=Y")</f>
        <v>#NAME?</v>
      </c>
      <c r="CL399" s="1" t="e">
        <f ca="1">_xll.BDH($C$378,"TOT_DEBT_TO_TOT_CAP","FQ1 2018","FQ1 2018","Currency=INR","Period=FQ","BEST_FPERIOD_OVERRIDE=FQ","FILING_STATUS=OR","EQY_CONSOLIDATED=Y","Sort=A","Dates=H","DateFormat=P","Fill=—","Direction=H","UseDPDF=Y")</f>
        <v>#NAME?</v>
      </c>
      <c r="CM399" s="1" t="e">
        <f ca="1">_xll.BDH($C$378,"TOT_DEBT_TO_TOT_ASSET","FQ1 2018","FQ1 2018","Currency=INR","Period=FQ","BEST_FPERIOD_OVERRIDE=FQ","FILING_STATUS=OR","EQY_CONSOLIDATED=Y","Sort=A","Dates=H","DateFormat=P","Fill=—","Direction=H","UseDPDF=Y")</f>
        <v>#NAME?</v>
      </c>
      <c r="CN399" s="1" t="e">
        <f ca="1">_xll.BDH($C$378,"NET_DEBT_TO_SHRHLDR_EQTY","FQ1 2018","FQ1 2018","Currency=INR","Period=FQ","BEST_FPERIOD_OVERRIDE=FQ","FILING_STATUS=OR","EQY_CONSOLIDATED=Y","Sort=A","Dates=H","DateFormat=P","Fill=—","Direction=H","UseDPDF=Y")</f>
        <v>#NAME?</v>
      </c>
      <c r="CO399" s="1" t="e">
        <f ca="1">_xll.BDH($C$378,"NET_DEBT_%_CAPITAL","FQ1 2018","FQ1 2018","Currency=INR","Period=FQ","BEST_FPERIOD_OVERRIDE=FQ","FILING_STATUS=OR","EQY_CONSOLIDATED=Y","Sort=A","Dates=H","DateFormat=P","Fill=—","Direction=H","UseDPDF=Y")</f>
        <v>#NAME?</v>
      </c>
      <c r="CP399" s="2" t="e">
        <f ca="1">_xll.BDH($C$378,"EBITDA","FQ1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99" s="2" t="e">
        <f ca="1">_xll.BDH($C$378,"EBITDA_AFTER_CAPEX","FQ1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99" s="2" t="e">
        <f ca="1">_xll.BDH($C$378,"IS_OPER_INC","FQ1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99" s="1" t="e">
        <f ca="1">_xll.BDH($C$378,"CASH_RATIO","FQ1 2018","FQ1 2018","Currency=INR","Period=FQ","BEST_FPERIOD_OVERRIDE=FQ","FILING_STATUS=OR","EQY_CONSOLIDATED=Y","Sort=A","Dates=H","DateFormat=P","Fill=—","Direction=H","UseDPDF=Y")</f>
        <v>#NAME?</v>
      </c>
      <c r="CT399" s="1" t="e">
        <f ca="1">_xll.BDH($C$378,"CUR_RATIO","FQ1 2018","FQ1 2018","Currency=INR","Period=FQ","BEST_FPERIOD_OVERRIDE=FQ","FILING_STATUS=OR","EQY_CONSOLIDATED=Y","Sort=A","Dates=H","DateFormat=P","Fill=—","Direction=H","UseDPDF=Y")</f>
        <v>#NAME?</v>
      </c>
      <c r="CU399" s="1" t="e">
        <f ca="1">_xll.BDH($C$378,"QUICK_RATIO","FQ1 2018","FQ1 2018","Currency=INR","Period=FQ","BEST_FPERIOD_OVERRIDE=FQ","FILING_STATUS=OR","EQY_CONSOLIDATED=Y","Sort=A","Dates=H","DateFormat=P","Fill=—","Direction=H","UseDPDF=Y")</f>
        <v>#NAME?</v>
      </c>
      <c r="CV399" s="1" t="e">
        <f ca="1">_xll.BDH($C$378,"ALTMAN_Z_SCORE","FQ1 2018","FQ1 2018","Currency=INR","Period=FQ","BEST_FPERIOD_OVERRIDE=FQ","FILING_STATUS=OR","EQY_CONSOLIDATED=Y","Sort=A","Dates=H","DateFormat=P","Fill=—","Direction=H","UseDPDF=Y")</f>
        <v>#NAME?</v>
      </c>
      <c r="CW399" s="3" t="e">
        <f ca="1">_xll.BDH($C$378,"ACCT_RCV_TURN","FQ1 2018","FQ1 2018","Currency=INR","Period=FQ","BEST_FPERIOD_OVERRIDE=FQ","FILING_STATUS=OR","EQY_CONSOLIDATED=Y","FA_ADJUSTED=GAAP","Sort=A","Dates=H","DateFormat=P","Fill=—","Direction=H","UseDPDF=Y")</f>
        <v>#NAME?</v>
      </c>
      <c r="CX399" s="1" t="e">
        <f ca="1">_xll.BDH($C$378,"ACCT_RCV_DAYS","FQ1 2018","FQ1 2018","Currency=INR","Period=FQ","BEST_FPERIOD_OVERRIDE=FQ","FILING_STATUS=OR","EQY_CONSOLIDATED=Y","FA_ADJUSTED=GAAP","Sort=A","Dates=H","DateFormat=P","Fill=—","Direction=H","UseDPDF=Y")</f>
        <v>#NAME?</v>
      </c>
      <c r="CY399" s="3" t="e">
        <f ca="1">_xll.BDH($C$378,"INVENT_TURN","FQ1 2018","FQ1 2018","Currency=INR","Period=FQ","BEST_FPERIOD_OVERRIDE=FQ","FILING_STATUS=OR","EQY_CONSOLIDATED=Y","FA_ADJUSTED=GAAP","Sort=A","Dates=H","DateFormat=P","Fill=—","Direction=H","UseDPDF=Y")</f>
        <v>#NAME?</v>
      </c>
      <c r="CZ399" s="1" t="e">
        <f ca="1">_xll.BDH($C$378,"INVENT_DAYS","FQ1 2018","FQ1 2018","Currency=INR","Period=FQ","BEST_FPERIOD_OVERRIDE=FQ","FILING_STATUS=OR","EQY_CONSOLIDATED=Y","FA_ADJUSTED=GAAP","Sort=A","Dates=H","DateFormat=P","Fill=—","Direction=H","UseDPDF=Y")</f>
        <v>#NAME?</v>
      </c>
      <c r="DA399" s="3" t="e">
        <f ca="1">_xll.BDH($C$378,"ACCOUNTS_PAYABLE_TURNOVER","FQ1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99" s="1" t="e">
        <f ca="1">_xll.BDH($C$378,"ACCOUNTS_PAYABLE_TURNOVER_DAYS","FQ1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99" s="3" t="e">
        <f ca="1">_xll.BDH($C$378,"CASH_CONVERSION_CYCLE","FQ1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99" s="3" t="e">
        <f ca="1">_xll.BDH($C$378,"INV_TO_CASH_DAYS","FQ1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399" s="4" t="e">
        <f ca="1">_xll.BDH($C$378,"BS_INVENTORIES","FQ1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399" s="2" t="e">
        <f ca="1">_xll.BDH($C$378,"INVTRY_RAW_MATERIALS","FQ1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99" s="2" t="e">
        <f ca="1">_xll.BDH($C$378,"INVTRY_IN_PROGRESS","FQ1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99" s="2" t="e">
        <f ca="1">_xll.BDH($C$378,"INVTRY_FINISHED_GOODS","FQ1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99" s="2" t="e">
        <f ca="1">_xll.BDH($C$378,"BS_OTHER_INV","FQ1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00" spans="1:113" x14ac:dyDescent="0.3">
      <c r="A400" s="6"/>
      <c r="B400" s="6"/>
      <c r="C400" s="6"/>
      <c r="D400" s="6"/>
      <c r="E400" t="s">
        <v>5</v>
      </c>
      <c r="F400" t="e">
        <f ca="1">_xll.BDH($C$378,"RETURN_COM_EQY","FQ2 2018","FQ2 2018","Currency=INR","Period=FQ","BEST_FPERIOD_OVERRIDE=FQ","FILING_STATUS=OR","EQY_CONSOLIDATED=Y","FA_ADJUSTED=GAAP","Sort=A","Dates=H","DateFormat=P","Fill=—","Direction=H","UseDPDF=Y")</f>
        <v>#NAME?</v>
      </c>
      <c r="G400" t="e">
        <f ca="1">_xll.BDH($C$378,"RETURN_ON_ASSET","FQ2 2018","FQ2 2018","Currency=INR","Period=FQ","BEST_FPERIOD_OVERRIDE=FQ","FILING_STATUS=OR","EQY_CONSOLIDATED=Y","FA_ADJUSTED=GAAP","Sort=A","Dates=H","DateFormat=P","Fill=—","Direction=H","UseDPDF=Y")</f>
        <v>#NAME?</v>
      </c>
      <c r="H400" t="e">
        <f ca="1">_xll.BDH($C$378,"RETURN_ON_CAP","FQ2 2018","FQ2 2018","Currency=INR","Period=FQ","BEST_FPERIOD_OVERRIDE=FQ","FILING_STATUS=OR","EQY_CONSOLIDATED=Y","FA_ADJUSTED=GAAP","Sort=A","Dates=H","DateFormat=P","Fill=—","Direction=H","UseDPDF=Y")</f>
        <v>#NAME?</v>
      </c>
      <c r="I400" t="e">
        <f ca="1">_xll.BDH($C$378,"RETURN_ON_INV_CAPITAL","FQ2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00" t="e">
        <f ca="1">_xll.BDH($C$378,"EBITDA_TO_REVENUE","FQ2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400" t="e">
        <f ca="1">_xll.BDH($C$378,"OPER_MARGIN","FQ2 2018","FQ2 2018","Currency=INR","Period=FQ","BEST_FPERIOD_OVERRIDE=FQ","FILING_STATUS=OR","EQY_CONSOLIDATED=Y","FA_ADJUSTED=GAAP","Sort=A","Dates=H","DateFormat=P","Fill=—","Direction=H","UseDPDF=Y")</f>
        <v>#NAME?</v>
      </c>
      <c r="L400" t="e">
        <f ca="1">_xll.BDH($C$378,"INCREMENTAL_OPERATING_MARGIN","FQ2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00" t="e">
        <f ca="1">_xll.BDH($C$378,"PRETAX_INC_TO_NET_SALES","FQ2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00" t="e">
        <f ca="1">_xll.BDH($C$378,"INC_BEF_XO_ITEMS_TO_NET_SALES","FQ2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00" t="e">
        <f ca="1">_xll.BDH($C$378,"PROF_MARGIN","FQ2 2018","FQ2 2018","Currency=INR","Period=FQ","BEST_FPERIOD_OVERRIDE=FQ","FILING_STATUS=OR","EQY_CONSOLIDATED=Y","FA_ADJUSTED=GAAP","Sort=A","Dates=H","DateFormat=P","Fill=—","Direction=H","UseDPDF=Y")</f>
        <v>#NAME?</v>
      </c>
      <c r="P400" t="e">
        <f ca="1">_xll.BDH($C$378,"NET_INCOME_TO_COMMON_MARGIN","FQ2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00" t="e">
        <f ca="1">_xll.BDH($C$378,"EFF_TAX_RATE","FQ2 2018","FQ2 2018","Currency=INR","Period=FQ","BEST_FPERIOD_OVERRIDE=FQ","FILING_STATUS=OR","EQY_CONSOLIDATED=Y","FA_ADJUSTED=GAAP","Sort=A","Dates=H","DateFormat=P","Fill=—","Direction=H","UseDPDF=Y")</f>
        <v>#NAME?</v>
      </c>
      <c r="R400" t="e">
        <f ca="1">_xll.BDH($C$378,"DVD_PAYOUT_RATIO","FQ2 2018","FQ2 2018","Currency=INR","Period=FQ","BEST_FPERIOD_OVERRIDE=FQ","FILING_STATUS=OR","EQY_CONSOLIDATED=Y","FA_ADJUSTED=GAAP","Sort=A","Dates=H","DateFormat=P","Fill=—","Direction=H","UseDPDF=Y")</f>
        <v>#NAME?</v>
      </c>
      <c r="S400" t="e">
        <f ca="1">_xll.BDH($C$378,"SUSTAIN_GROWTH_RT","FQ2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400" s="1" t="e">
        <f ca="1">_xll.BDH($C$378,"SALES_GROWTH","FQ2 2018","FQ2 2018","Currency=INR","Period=FQ","BEST_FPERIOD_OVERRIDE=FQ","FILING_STATUS=OR","EQY_CONSOLIDATED=Y","FA_ADJUSTED=GAAP","Sort=A","Dates=H","DateFormat=P","Fill=—","Direction=H","UseDPDF=Y")</f>
        <v>#NAME?</v>
      </c>
      <c r="U400" s="1" t="e">
        <f ca="1">_xll.BDH($C$378,"EBITDA_GROWTH","FQ2 2018","FQ2 2018","Currency=INR","Period=FQ","BEST_FPERIOD_OVERRIDE=FQ","FILING_STATUS=OR","EQY_CONSOLIDATED=Y","FA_ADJUSTED=GAAP","Sort=A","Dates=H","DateFormat=P","Fill=—","Direction=H","UseDPDF=Y")</f>
        <v>#NAME?</v>
      </c>
      <c r="V400" s="1" t="e">
        <f ca="1">_xll.BDH($C$378,"OPER_INC_GROWTH","FQ2 2018","FQ2 2018","Currency=INR","Period=FQ","BEST_FPERIOD_OVERRIDE=FQ","FILING_STATUS=OR","EQY_CONSOLIDATED=Y","FA_ADJUSTED=GAAP","Sort=A","Dates=H","DateFormat=P","Fill=—","Direction=H","UseDPDF=Y")</f>
        <v>#NAME?</v>
      </c>
      <c r="W400" s="1" t="e">
        <f ca="1">_xll.BDH($C$378,"EARN_FOR_COM_GROWTH","FQ2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00" s="1" t="e">
        <f ca="1">_xll.BDH($C$378,"DILUTED_EPS_AFT_XO_ITEMS_GROWTH","FQ2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00" s="1" t="e">
        <f ca="1">_xll.BDH($C$378,"DIVIDEND_PER_SHARE_1_YEAR_GROWTH","FQ2 2018","FQ2 2018","Currency=INR","Period=FQ","BEST_FPERIOD_OVERRIDE=FQ","FILING_STATUS=OR","EQY_CONSOLIDATED=Y","Sort=A","Dates=H","DateFormat=P","Fill=—","Direction=H","UseDPDF=Y")</f>
        <v>#NAME?</v>
      </c>
      <c r="Z400" s="1" t="e">
        <f ca="1">_xll.BDH($C$378,"ACCOUNTS_RECEIVABLE_GROWTH","FQ2 2018","FQ2 2018","Currency=INR","Period=FQ","BEST_FPERIOD_OVERRIDE=FQ","FILING_STATUS=OR","EQY_CONSOLIDATED=Y","Sort=A","Dates=H","DateFormat=P","Fill=—","Direction=H","UseDPDF=Y")</f>
        <v>#NAME?</v>
      </c>
      <c r="AA400" s="1" t="e">
        <f ca="1">_xll.BDH($C$378,"INVENTORY_GROWTH","FQ2 2018","FQ2 2018","Currency=INR","Period=FQ","BEST_FPERIOD_OVERRIDE=FQ","FILING_STATUS=OR","EQY_CONSOLIDATED=Y","Sort=A","Dates=H","DateFormat=P","Fill=—","Direction=H","UseDPDF=Y")</f>
        <v>#NAME?</v>
      </c>
      <c r="AB400" s="1" t="e">
        <f ca="1">_xll.BDH($C$378,"NET_FIXED_ASSETS_1_YEAR_GROWTH","FQ2 2018","FQ2 2018","Currency=INR","Period=FQ","BEST_FPERIOD_OVERRIDE=FQ","FILING_STATUS=OR","EQY_CONSOLIDATED=Y","Sort=A","Dates=H","DateFormat=P","Fill=—","Direction=H","UseDPDF=Y")</f>
        <v>#NAME?</v>
      </c>
      <c r="AC400" s="1" t="e">
        <f ca="1">_xll.BDH($C$378,"ASSET_GROWTH","FQ2 2018","FQ2 2018","Currency=INR","Period=FQ","BEST_FPERIOD_OVERRIDE=FQ","FILING_STATUS=OR","EQY_CONSOLIDATED=Y","Sort=A","Dates=H","DateFormat=P","Fill=—","Direction=H","UseDPDF=Y")</f>
        <v>#NAME?</v>
      </c>
      <c r="AD400" s="1" t="e">
        <f ca="1">_xll.BDH($C$378,"MODIFIED_WORK_CAP_GROWTH","FQ2 2018","FQ2 2018","Currency=INR","Period=FQ","BEST_FPERIOD_OVERRIDE=FQ","FILING_STATUS=OR","EQY_CONSOLIDATED=Y","Sort=A","Dates=H","DateFormat=P","Fill=—","Direction=H","UseDPDF=Y")</f>
        <v>#NAME?</v>
      </c>
      <c r="AE400" s="1" t="e">
        <f ca="1">_xll.BDH($C$378,"WORK_CAP_GROWTH","FQ2 2018","FQ2 2018","Currency=INR","Period=FQ","BEST_FPERIOD_OVERRIDE=FQ","FILING_STATUS=OR","EQY_CONSOLIDATED=Y","Sort=A","Dates=H","DateFormat=P","Fill=—","Direction=H","UseDPDF=Y")</f>
        <v>#NAME?</v>
      </c>
      <c r="AF400" s="1" t="e">
        <f ca="1">_xll.BDH($C$378,"ACCOUNTS_PAYABLE_GROWTH_1YR","FQ2 2018","FQ2 2018","Currency=INR","Period=FQ","BEST_FPERIOD_OVERRIDE=FQ","FILING_STATUS=OR","EQY_CONSOLIDATED=Y","Sort=A","Dates=H","DateFormat=P","Fill=—","Direction=H","UseDPDF=Y")</f>
        <v>#NAME?</v>
      </c>
      <c r="AG400" s="1" t="e">
        <f ca="1">_xll.BDH($C$378,"SHORT_TERM_DEBT_1_YEAR_GROWTH","FQ2 2018","FQ2 2018","Currency=INR","Period=FQ","BEST_FPERIOD_OVERRIDE=FQ","FILING_STATUS=OR","EQY_CONSOLIDATED=Y","Sort=A","Dates=H","DateFormat=P","Fill=—","Direction=H","UseDPDF=Y")</f>
        <v>#NAME?</v>
      </c>
      <c r="AH400" s="1" t="e">
        <f ca="1">_xll.BDH($C$378,"TOTAL_DEBT_1_YEAR_GROWTH","FQ2 2018","FQ2 2018","Currency=INR","Period=FQ","BEST_FPERIOD_OVERRIDE=FQ","FILING_STATUS=OR","EQY_CONSOLIDATED=Y","Sort=A","Dates=H","DateFormat=P","Fill=—","Direction=H","UseDPDF=Y")</f>
        <v>#NAME?</v>
      </c>
      <c r="AI400" s="1" t="e">
        <f ca="1">_xll.BDH($C$378,"TOTAL_EQUITY_1_YEAR_GROWTH","FQ2 2018","FQ2 2018","Currency=INR","Period=FQ","BEST_FPERIOD_OVERRIDE=FQ","FILING_STATUS=OR","EQY_CONSOLIDATED=Y","Sort=A","Dates=H","DateFormat=P","Fill=—","Direction=H","UseDPDF=Y")</f>
        <v>#NAME?</v>
      </c>
      <c r="AJ400" s="1" t="e">
        <f ca="1">_xll.BDH($C$378,"GROWTH_IN_CAP","FQ2 2018","FQ2 2018","Currency=INR","Period=FQ","BEST_FPERIOD_OVERRIDE=FQ","FILING_STATUS=OR","EQY_CONSOLIDATED=Y","Sort=A","Dates=H","DateFormat=P","Fill=—","Direction=H","UseDPDF=Y")</f>
        <v>#NAME?</v>
      </c>
      <c r="AK400" s="1" t="e">
        <f ca="1">_xll.BDH($C$378,"BVPS_GROWTH","FQ2 2018","FQ2 2018","Currency=INR","Period=FQ","BEST_FPERIOD_OVERRIDE=FQ","FILING_STATUS=OR","EQY_CONSOLIDATED=Y","Sort=A","Dates=H","DateFormat=P","Fill=—","Direction=H","UseDPDF=Y")</f>
        <v>#NAME?</v>
      </c>
      <c r="AL400" s="1" t="e">
        <f ca="1">_xll.BDH($C$378,"CASH_FLOW_GROWTH","FQ2 2018","FQ2 2018","Currency=INR","Period=FQ","BEST_FPERIOD_OVERRIDE=FQ","FILING_STATUS=OR","EQY_CONSOLIDATED=Y","Sort=A","Dates=H","DateFormat=P","Fill=—","Direction=H","UseDPDF=Y")</f>
        <v>#NAME?</v>
      </c>
      <c r="AM400" s="1" t="e">
        <f ca="1">_xll.BDH($C$378,"GEO_GROW_NET_SALES","FQ2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00" s="1" t="e">
        <f ca="1">_xll.BDH($C$378,"GEO_GROW_EBITDA","FQ2 2018","FQ2 2018","Currency=INR","Period=FQ","BEST_FPERIOD_OVERRIDE=FQ","FILING_STATUS=OR","EQY_CONSOLIDATED=Y","FA_ADJUSTED=GAAP","Sort=A","Dates=H","DateFormat=P","Fill=—","Direction=H","UseDPDF=Y")</f>
        <v>#NAME?</v>
      </c>
      <c r="AO400" s="1" t="e">
        <f ca="1">_xll.BDH($C$378,"GEO_GROW_OPER_INC","FQ2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00" s="1" t="e">
        <f ca="1">_xll.BDH($C$378,"NET_INCOME_TO_COMMON_5_YR_GROWTH","FQ2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00" s="1" t="e">
        <f ca="1">_xll.BDH($C$378,"5Y_GEO_GROWTH_DILUTED_EPS","FQ2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00" s="1" t="e">
        <f ca="1">_xll.BDH($C$378,"GEO_GROW_DVD_PER_SH","FQ2 2018","FQ2 2018","Currency=INR","Period=FQ","BEST_FPERIOD_OVERRIDE=FQ","FILING_STATUS=OR","EQY_CONSOLIDATED=Y","Sort=A","Dates=H","DateFormat=P","Fill=—","Direction=H","UseDPDF=Y")</f>
        <v>#NAME?</v>
      </c>
      <c r="AS400" s="1" t="e">
        <f ca="1">_xll.BDH($C$378,"ACCOUNTS_RECEIVABLE_5_YR_GROWTH","FQ2 2018","FQ2 2018","Currency=INR","Period=FQ","BEST_FPERIOD_OVERRIDE=FQ","FILING_STATUS=OR","EQY_CONSOLIDATED=Y","Sort=A","Dates=H","DateFormat=P","Fill=—","Direction=H","UseDPDF=Y")</f>
        <v>#NAME?</v>
      </c>
      <c r="AT400" s="1" t="e">
        <f ca="1">_xll.BDH($C$378,"INVENTORY_5_YEAR_GROWTH","FQ2 2018","FQ2 2018","Currency=INR","Period=FQ","BEST_FPERIOD_OVERRIDE=FQ","FILING_STATUS=OR","EQY_CONSOLIDATED=Y","Sort=A","Dates=H","DateFormat=P","Fill=—","Direction=H","UseDPDF=Y")</f>
        <v>#NAME?</v>
      </c>
      <c r="AU400" s="1" t="e">
        <f ca="1">_xll.BDH($C$378,"NET_FIXED_ASSETS_5_YEAR_GROWTH","FQ2 2018","FQ2 2018","Currency=INR","Period=FQ","BEST_FPERIOD_OVERRIDE=FQ","FILING_STATUS=OR","EQY_CONSOLIDATED=Y","Sort=A","Dates=H","DateFormat=P","Fill=—","Direction=H","UseDPDF=Y")</f>
        <v>#NAME?</v>
      </c>
      <c r="AV400" s="1" t="e">
        <f ca="1">_xll.BDH($C$378,"GEO_GROW_TOT_ASSET","FQ2 2018","FQ2 2018","Currency=INR","Period=FQ","BEST_FPERIOD_OVERRIDE=FQ","FILING_STATUS=OR","EQY_CONSOLIDATED=Y","Sort=A","Dates=H","DateFormat=P","Fill=—","Direction=H","UseDPDF=Y")</f>
        <v>#NAME?</v>
      </c>
      <c r="AW400" s="1" t="e">
        <f ca="1">_xll.BDH($C$378,"MODIFIED_WORKING_CPTL_5YR_GRWTH","FQ2 2018","FQ2 2018","Currency=INR","Period=FQ","BEST_FPERIOD_OVERRIDE=FQ","FILING_STATUS=OR","EQY_CONSOLIDATED=Y","Sort=A","Dates=H","DateFormat=P","Fill=—","Direction=H","UseDPDF=Y")</f>
        <v>#NAME?</v>
      </c>
      <c r="AX400" s="1" t="e">
        <f ca="1">_xll.BDH($C$378,"WORKING_CAPITAL_5_YEAR_GROWTH","FQ2 2018","FQ2 2018","Currency=INR","Period=FQ","BEST_FPERIOD_OVERRIDE=FQ","FILING_STATUS=OR","EQY_CONSOLIDATED=Y","Sort=A","Dates=H","DateFormat=P","Fill=—","Direction=H","UseDPDF=Y")</f>
        <v>#NAME?</v>
      </c>
      <c r="AY400" s="1" t="e">
        <f ca="1">_xll.BDH($C$378,"ACCOUNTS_PAYABLE_5_YEAR_GROWTH","FQ2 2018","FQ2 2018","Currency=INR","Period=FQ","BEST_FPERIOD_OVERRIDE=FQ","FILING_STATUS=OR","EQY_CONSOLIDATED=Y","Sort=A","Dates=H","DateFormat=P","Fill=—","Direction=H","UseDPDF=Y")</f>
        <v>#NAME?</v>
      </c>
      <c r="AZ400" s="1" t="e">
        <f ca="1">_xll.BDH($C$378,"SHORT_TERM_DEBT_5_YEAR_GROWTH","FQ2 2018","FQ2 2018","Currency=INR","Period=FQ","BEST_FPERIOD_OVERRIDE=FQ","FILING_STATUS=OR","EQY_CONSOLIDATED=Y","Sort=A","Dates=H","DateFormat=P","Fill=—","Direction=H","UseDPDF=Y")</f>
        <v>#NAME?</v>
      </c>
      <c r="BA400" s="1" t="e">
        <f ca="1">_xll.BDH($C$378,"TOTAL_DEBT_5_YEAR_GROWTH","FQ2 2018","FQ2 2018","Currency=INR","Period=FQ","BEST_FPERIOD_OVERRIDE=FQ","FILING_STATUS=OR","EQY_CONSOLIDATED=Y","Sort=A","Dates=H","DateFormat=P","Fill=—","Direction=H","UseDPDF=Y")</f>
        <v>#NAME?</v>
      </c>
      <c r="BB400" s="1" t="e">
        <f ca="1">_xll.BDH($C$378,"GEO_GROW_TOT_SHRHLDR_EQY","FQ2 2018","FQ2 2018","Currency=INR","Period=FQ","BEST_FPERIOD_OVERRIDE=FQ","FILING_STATUS=OR","EQY_CONSOLIDATED=Y","Sort=A","Dates=H","DateFormat=P","Fill=—","Direction=H","UseDPDF=Y")</f>
        <v>#NAME?</v>
      </c>
      <c r="BC400" s="1" t="e">
        <f ca="1">_xll.BDH($C$378,"TOTAL_CAPITAL_5_YEAR_GROWTH","FQ2 2018","FQ2 2018","Currency=INR","Period=FQ","BEST_FPERIOD_OVERRIDE=FQ","FILING_STATUS=OR","EQY_CONSOLIDATED=Y","Sort=A","Dates=H","DateFormat=P","Fill=—","Direction=H","UseDPDF=Y")</f>
        <v>#NAME?</v>
      </c>
      <c r="BD400" s="1" t="e">
        <f ca="1">_xll.BDH($C$378,"GEO_GROW_BOOK_VAL","FQ2 2018","FQ2 2018","Currency=INR","Period=FQ","BEST_FPERIOD_OVERRIDE=FQ","FILING_STATUS=OR","EQY_CONSOLIDATED=Y","Sort=A","Dates=H","DateFormat=P","Fill=—","Direction=H","UseDPDF=Y")</f>
        <v>#NAME?</v>
      </c>
      <c r="BE400" s="1" t="e">
        <f ca="1">_xll.BDH($C$378,"GEO_GROW_CASH_OPER_ACT","FQ2 2018","FQ2 2018","Currency=INR","Period=FQ","BEST_FPERIOD_OVERRIDE=FQ","FILING_STATUS=OR","EQY_CONSOLIDATED=Y","Sort=A","Dates=H","DateFormat=P","Fill=—","Direction=H","UseDPDF=Y")</f>
        <v>#NAME?</v>
      </c>
      <c r="BF400" s="1" t="e">
        <f ca="1">_xll.BDH($C$378,"REVENUE_SEQUENTIAL_GROWTH","FQ2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00" s="1" t="e">
        <f ca="1">_xll.BDH($C$378,"EBITDA_SEQUENTIAL_GROWTH","FQ2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00" s="1" t="e">
        <f ca="1">_xll.BDH($C$378,"OPERATING_INCOME_SEQ_GROWTH","FQ2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00" s="1" t="e">
        <f ca="1">_xll.BDH($C$378,"NET_INCOME_TO_COMMON_SEQ_GROWTH","FQ2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00" s="1" t="e">
        <f ca="1">_xll.BDH($C$378,"EPS_DILUTED_SEQUENTIAL_GROWTH","FQ2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00" s="1" t="e">
        <f ca="1">_xll.BDH($C$378,"DPS_SEQUENTIAL_GROWTH","FQ2 2018","FQ2 2018","Currency=INR","Period=FQ","BEST_FPERIOD_OVERRIDE=FQ","FILING_STATUS=OR","EQY_CONSOLIDATED=Y","Sort=A","Dates=H","DateFormat=P","Fill=—","Direction=H","UseDPDF=Y")</f>
        <v>#NAME?</v>
      </c>
      <c r="BL400" s="1" t="e">
        <f ca="1">_xll.BDH($C$378,"ACCOUNTS_RECEIVABLE_SEQ_GROWTH","FQ2 2018","FQ2 2018","Currency=INR","Period=FQ","BEST_FPERIOD_OVERRIDE=FQ","FILING_STATUS=OR","EQY_CONSOLIDATED=Y","Sort=A","Dates=H","DateFormat=P","Fill=—","Direction=H","UseDPDF=Y")</f>
        <v>#NAME?</v>
      </c>
      <c r="BM400" s="1" t="e">
        <f ca="1">_xll.BDH($C$378,"INVENTORY_SEQUENTIAL_GROWTH","FQ2 2018","FQ2 2018","Currency=INR","Period=FQ","BEST_FPERIOD_OVERRIDE=FQ","FILING_STATUS=OR","EQY_CONSOLIDATED=Y","Sort=A","Dates=H","DateFormat=P","Fill=—","Direction=H","UseDPDF=Y")</f>
        <v>#NAME?</v>
      </c>
      <c r="BN400" s="1" t="e">
        <f ca="1">_xll.BDH($C$378,"FIXED_ASSETS_SEQUENTIAL_GROWTH","FQ2 2018","FQ2 2018","Currency=INR","Period=FQ","BEST_FPERIOD_OVERRIDE=FQ","FILING_STATUS=OR","EQY_CONSOLIDATED=Y","Sort=A","Dates=H","DateFormat=P","Fill=—","Direction=H","UseDPDF=Y")</f>
        <v>#NAME?</v>
      </c>
      <c r="BO400" s="1" t="e">
        <f ca="1">_xll.BDH($C$378,"TOTAL_ASSETS_SEQUENTIAL_GROWTH","FQ2 2018","FQ2 2018","Currency=INR","Period=FQ","BEST_FPERIOD_OVERRIDE=FQ","FILING_STATUS=OR","EQY_CONSOLIDATED=Y","Sort=A","Dates=H","DateFormat=P","Fill=—","Direction=H","UseDPDF=Y")</f>
        <v>#NAME?</v>
      </c>
      <c r="BP400" s="1" t="e">
        <f ca="1">_xll.BDH($C$378,"MODIFIED_WORKING_CPTL_SEQ_GRWTH","FQ2 2018","FQ2 2018","Currency=INR","Period=FQ","BEST_FPERIOD_OVERRIDE=FQ","FILING_STATUS=OR","EQY_CONSOLIDATED=Y","Sort=A","Dates=H","DateFormat=P","Fill=—","Direction=H","UseDPDF=Y")</f>
        <v>#NAME?</v>
      </c>
      <c r="BQ400" s="1" t="e">
        <f ca="1">_xll.BDH($C$378,"WORKING_CAPITAL_SEQ_GROWTH","FQ2 2018","FQ2 2018","Currency=INR","Period=FQ","BEST_FPERIOD_OVERRIDE=FQ","FILING_STATUS=OR","EQY_CONSOLIDATED=Y","Sort=A","Dates=H","DateFormat=P","Fill=—","Direction=H","UseDPDF=Y")</f>
        <v>#NAME?</v>
      </c>
      <c r="BR400" s="1" t="e">
        <f ca="1">_xll.BDH($C$378,"ACCOUNTS_PAYABLE_SEQ_GROWTH","FQ2 2018","FQ2 2018","Currency=INR","Period=FQ","BEST_FPERIOD_OVERRIDE=FQ","FILING_STATUS=OR","EQY_CONSOLIDATED=Y","Sort=A","Dates=H","DateFormat=P","Fill=—","Direction=H","UseDPDF=Y")</f>
        <v>#NAME?</v>
      </c>
      <c r="BS400" s="1" t="e">
        <f ca="1">_xll.BDH($C$378,"ST_DEBT_SEQUENTIAL_GROWTH","FQ2 2018","FQ2 2018","Currency=INR","Period=FQ","BEST_FPERIOD_OVERRIDE=FQ","FILING_STATUS=OR","EQY_CONSOLIDATED=Y","Sort=A","Dates=H","DateFormat=P","Fill=—","Direction=H","UseDPDF=Y")</f>
        <v>#NAME?</v>
      </c>
      <c r="BT400" s="1" t="e">
        <f ca="1">_xll.BDH($C$378,"TOTAL_DEBT_SEQUENTIAL_GROWTH","FQ2 2018","FQ2 2018","Currency=INR","Period=FQ","BEST_FPERIOD_OVERRIDE=FQ","FILING_STATUS=OR","EQY_CONSOLIDATED=Y","Sort=A","Dates=H","DateFormat=P","Fill=—","Direction=H","UseDPDF=Y")</f>
        <v>#NAME?</v>
      </c>
      <c r="BU400" s="1" t="e">
        <f ca="1">_xll.BDH($C$378,"TOTAL_EQUITY_SEQUENTIAL_GROWTH","FQ2 2018","FQ2 2018","Currency=INR","Period=FQ","BEST_FPERIOD_OVERRIDE=FQ","FILING_STATUS=OR","EQY_CONSOLIDATED=Y","Sort=A","Dates=H","DateFormat=P","Fill=—","Direction=H","UseDPDF=Y")</f>
        <v>#NAME?</v>
      </c>
      <c r="BV400" s="1" t="e">
        <f ca="1">_xll.BDH($C$378,"TOTAL_CAPITAL_SEQUENTIAL_GROWTH","FQ2 2018","FQ2 2018","Currency=INR","Period=FQ","BEST_FPERIOD_OVERRIDE=FQ","FILING_STATUS=OR","EQY_CONSOLIDATED=Y","Sort=A","Dates=H","DateFormat=P","Fill=—","Direction=H","UseDPDF=Y")</f>
        <v>#NAME?</v>
      </c>
      <c r="BW400" s="1" t="e">
        <f ca="1">_xll.BDH($C$378,"BPS_SEQUENTIAL_GROWTH","FQ2 2018","FQ2 2018","Currency=INR","Period=FQ","BEST_FPERIOD_OVERRIDE=FQ","FILING_STATUS=OR","EQY_CONSOLIDATED=Y","Sort=A","Dates=H","DateFormat=P","Fill=—","Direction=H","UseDPDF=Y")</f>
        <v>#NAME?</v>
      </c>
      <c r="BX400" s="1" t="e">
        <f ca="1">_xll.BDH($C$378,"CFO_SEQUENTIAL_GROWTH","FQ2 2018","FQ2 2018","Currency=INR","Period=FQ","BEST_FPERIOD_OVERRIDE=FQ","FILING_STATUS=OR","EQY_CONSOLIDATED=Y","Sort=A","Dates=H","DateFormat=P","Fill=—","Direction=H","UseDPDF=Y")</f>
        <v>#NAME?</v>
      </c>
      <c r="BY400" s="2" t="e">
        <f ca="1">_xll.BDH($C$378,"SHORT_AND_LONG_TERM_DEBT","FQ2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00" s="2" t="e">
        <f ca="1">_xll.BDH($C$378,"BS_ST_BORROW","FQ2 2018","FQ2 2018","Currency=INR","Period=FQ","BEST_FPERIOD_OVERRIDE=FQ","FILING_STATUS=OR","EQY_CONSOLIDATED=Y","SCALING_FORMAT=MLN","Sort=A","Dates=H","DateFormat=P","Fill=—","Direction=H","UseDPDF=Y")</f>
        <v>#NAME?</v>
      </c>
      <c r="CA400" s="2" t="e">
        <f ca="1">_xll.BDH($C$378,"BS_LT_BORROW","FQ2 2018","FQ2 2018","Currency=INR","Period=FQ","BEST_FPERIOD_OVERRIDE=FQ","FILING_STATUS=OR","EQY_CONSOLIDATED=Y","SCALING_FORMAT=MLN","Sort=A","Dates=H","DateFormat=P","Fill=—","Direction=H","UseDPDF=Y")</f>
        <v>#NAME?</v>
      </c>
      <c r="CB400" s="1" t="e">
        <f ca="1">_xll.BDH($C$378,"TOT_DEBT_TO_EBITDA","FQ2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00" s="1" t="e">
        <f ca="1">_xll.BDH($C$378,"NET_DEBT_TO_EBITDA","FQ2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00" s="1" t="e">
        <f ca="1">_xll.BDH($C$378,"TOTAL_DEBT_TO_EBIT","FQ2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00" s="1" t="e">
        <f ca="1">_xll.BDH($C$378,"NET_DEBT_TO_EBIT","FQ2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400" s="1" t="e">
        <f ca="1">_xll.BDH($C$378,"EBITDA_TO_INTEREST_EXPN","FQ2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00" s="1" t="e">
        <f ca="1">_xll.BDH($C$378,"COM_EQY_TO_TOT_ASSET","FQ2 2018","FQ2 2018","Currency=INR","Period=FQ","BEST_FPERIOD_OVERRIDE=FQ","FILING_STATUS=OR","EQY_CONSOLIDATED=Y","Sort=A","Dates=H","DateFormat=P","Fill=—","Direction=H","UseDPDF=Y")</f>
        <v>#NAME?</v>
      </c>
      <c r="CH400" s="1" t="e">
        <f ca="1">_xll.BDH($C$378,"LT_DEBT_TO_TOT_EQY","FQ2 2018","FQ2 2018","Currency=INR","Period=FQ","BEST_FPERIOD_OVERRIDE=FQ","FILING_STATUS=OR","EQY_CONSOLIDATED=Y","Sort=A","Dates=H","DateFormat=P","Fill=—","Direction=H","UseDPDF=Y")</f>
        <v>#NAME?</v>
      </c>
      <c r="CI400" s="1" t="e">
        <f ca="1">_xll.BDH($C$378,"LT_DEBT_TO_TOT_CAP","FQ2 2018","FQ2 2018","Currency=INR","Period=FQ","BEST_FPERIOD_OVERRIDE=FQ","FILING_STATUS=OR","EQY_CONSOLIDATED=Y","Sort=A","Dates=H","DateFormat=P","Fill=—","Direction=H","UseDPDF=Y")</f>
        <v>#NAME?</v>
      </c>
      <c r="CJ400" s="1" t="e">
        <f ca="1">_xll.BDH($C$378,"LT_DEBT_TO_TOT_ASSET","FQ2 2018","FQ2 2018","Currency=INR","Period=FQ","BEST_FPERIOD_OVERRIDE=FQ","FILING_STATUS=OR","EQY_CONSOLIDATED=Y","Sort=A","Dates=H","DateFormat=P","Fill=—","Direction=H","UseDPDF=Y")</f>
        <v>#NAME?</v>
      </c>
      <c r="CK400" s="1" t="e">
        <f ca="1">_xll.BDH($C$378,"TOT_DEBT_TO_TOT_EQY","FQ2 2018","FQ2 2018","Currency=INR","Period=FQ","BEST_FPERIOD_OVERRIDE=FQ","FILING_STATUS=OR","EQY_CONSOLIDATED=Y","Sort=A","Dates=H","DateFormat=P","Fill=—","Direction=H","UseDPDF=Y")</f>
        <v>#NAME?</v>
      </c>
      <c r="CL400" s="1" t="e">
        <f ca="1">_xll.BDH($C$378,"TOT_DEBT_TO_TOT_CAP","FQ2 2018","FQ2 2018","Currency=INR","Period=FQ","BEST_FPERIOD_OVERRIDE=FQ","FILING_STATUS=OR","EQY_CONSOLIDATED=Y","Sort=A","Dates=H","DateFormat=P","Fill=—","Direction=H","UseDPDF=Y")</f>
        <v>#NAME?</v>
      </c>
      <c r="CM400" s="1" t="e">
        <f ca="1">_xll.BDH($C$378,"TOT_DEBT_TO_TOT_ASSET","FQ2 2018","FQ2 2018","Currency=INR","Period=FQ","BEST_FPERIOD_OVERRIDE=FQ","FILING_STATUS=OR","EQY_CONSOLIDATED=Y","Sort=A","Dates=H","DateFormat=P","Fill=—","Direction=H","UseDPDF=Y")</f>
        <v>#NAME?</v>
      </c>
      <c r="CN400" s="1" t="e">
        <f ca="1">_xll.BDH($C$378,"NET_DEBT_TO_SHRHLDR_EQTY","FQ2 2018","FQ2 2018","Currency=INR","Period=FQ","BEST_FPERIOD_OVERRIDE=FQ","FILING_STATUS=OR","EQY_CONSOLIDATED=Y","Sort=A","Dates=H","DateFormat=P","Fill=—","Direction=H","UseDPDF=Y")</f>
        <v>#NAME?</v>
      </c>
      <c r="CO400" s="1" t="e">
        <f ca="1">_xll.BDH($C$378,"NET_DEBT_%_CAPITAL","FQ2 2018","FQ2 2018","Currency=INR","Period=FQ","BEST_FPERIOD_OVERRIDE=FQ","FILING_STATUS=OR","EQY_CONSOLIDATED=Y","Sort=A","Dates=H","DateFormat=P","Fill=—","Direction=H","UseDPDF=Y")</f>
        <v>#NAME?</v>
      </c>
      <c r="CP400" s="2" t="e">
        <f ca="1">_xll.BDH($C$378,"EBITDA","FQ2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00" s="2" t="e">
        <f ca="1">_xll.BDH($C$378,"EBITDA_AFTER_CAPEX","FQ2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00" s="2" t="e">
        <f ca="1">_xll.BDH($C$378,"IS_OPER_INC","FQ2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00" s="1" t="e">
        <f ca="1">_xll.BDH($C$378,"CASH_RATIO","FQ2 2018","FQ2 2018","Currency=INR","Period=FQ","BEST_FPERIOD_OVERRIDE=FQ","FILING_STATUS=OR","EQY_CONSOLIDATED=Y","Sort=A","Dates=H","DateFormat=P","Fill=—","Direction=H","UseDPDF=Y")</f>
        <v>#NAME?</v>
      </c>
      <c r="CT400" s="1" t="e">
        <f ca="1">_xll.BDH($C$378,"CUR_RATIO","FQ2 2018","FQ2 2018","Currency=INR","Period=FQ","BEST_FPERIOD_OVERRIDE=FQ","FILING_STATUS=OR","EQY_CONSOLIDATED=Y","Sort=A","Dates=H","DateFormat=P","Fill=—","Direction=H","UseDPDF=Y")</f>
        <v>#NAME?</v>
      </c>
      <c r="CU400" s="1" t="e">
        <f ca="1">_xll.BDH($C$378,"QUICK_RATIO","FQ2 2018","FQ2 2018","Currency=INR","Period=FQ","BEST_FPERIOD_OVERRIDE=FQ","FILING_STATUS=OR","EQY_CONSOLIDATED=Y","Sort=A","Dates=H","DateFormat=P","Fill=—","Direction=H","UseDPDF=Y")</f>
        <v>#NAME?</v>
      </c>
      <c r="CV400" s="1" t="e">
        <f ca="1">_xll.BDH($C$378,"ALTMAN_Z_SCORE","FQ2 2018","FQ2 2018","Currency=INR","Period=FQ","BEST_FPERIOD_OVERRIDE=FQ","FILING_STATUS=OR","EQY_CONSOLIDATED=Y","Sort=A","Dates=H","DateFormat=P","Fill=—","Direction=H","UseDPDF=Y")</f>
        <v>#NAME?</v>
      </c>
      <c r="CW400" s="3" t="e">
        <f ca="1">_xll.BDH($C$378,"ACCT_RCV_TURN","FQ2 2018","FQ2 2018","Currency=INR","Period=FQ","BEST_FPERIOD_OVERRIDE=FQ","FILING_STATUS=OR","EQY_CONSOLIDATED=Y","FA_ADJUSTED=GAAP","Sort=A","Dates=H","DateFormat=P","Fill=—","Direction=H","UseDPDF=Y")</f>
        <v>#NAME?</v>
      </c>
      <c r="CX400" s="1" t="e">
        <f ca="1">_xll.BDH($C$378,"ACCT_RCV_DAYS","FQ2 2018","FQ2 2018","Currency=INR","Period=FQ","BEST_FPERIOD_OVERRIDE=FQ","FILING_STATUS=OR","EQY_CONSOLIDATED=Y","FA_ADJUSTED=GAAP","Sort=A","Dates=H","DateFormat=P","Fill=—","Direction=H","UseDPDF=Y")</f>
        <v>#NAME?</v>
      </c>
      <c r="CY400" s="3" t="e">
        <f ca="1">_xll.BDH($C$378,"INVENT_TURN","FQ2 2018","FQ2 2018","Currency=INR","Period=FQ","BEST_FPERIOD_OVERRIDE=FQ","FILING_STATUS=OR","EQY_CONSOLIDATED=Y","FA_ADJUSTED=GAAP","Sort=A","Dates=H","DateFormat=P","Fill=—","Direction=H","UseDPDF=Y")</f>
        <v>#NAME?</v>
      </c>
      <c r="CZ400" s="1" t="e">
        <f ca="1">_xll.BDH($C$378,"INVENT_DAYS","FQ2 2018","FQ2 2018","Currency=INR","Period=FQ","BEST_FPERIOD_OVERRIDE=FQ","FILING_STATUS=OR","EQY_CONSOLIDATED=Y","FA_ADJUSTED=GAAP","Sort=A","Dates=H","DateFormat=P","Fill=—","Direction=H","UseDPDF=Y")</f>
        <v>#NAME?</v>
      </c>
      <c r="DA400" s="3" t="e">
        <f ca="1">_xll.BDH($C$378,"ACCOUNTS_PAYABLE_TURNOVER","FQ2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00" s="1" t="e">
        <f ca="1">_xll.BDH($C$378,"ACCOUNTS_PAYABLE_TURNOVER_DAYS","FQ2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00" s="3" t="e">
        <f ca="1">_xll.BDH($C$378,"CASH_CONVERSION_CYCLE","FQ2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00" s="3" t="e">
        <f ca="1">_xll.BDH($C$378,"INV_TO_CASH_DAYS","FQ2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400" s="4" t="e">
        <f ca="1">_xll.BDH($C$378,"BS_INVENTORIES","FQ2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400" s="2" t="e">
        <f ca="1">_xll.BDH($C$378,"INVTRY_RAW_MATERIALS","FQ2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00" s="2" t="e">
        <f ca="1">_xll.BDH($C$378,"INVTRY_IN_PROGRESS","FQ2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00" s="2" t="e">
        <f ca="1">_xll.BDH($C$378,"INVTRY_FINISHED_GOODS","FQ2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00" s="2" t="e">
        <f ca="1">_xll.BDH($C$378,"BS_OTHER_INV","FQ2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01" spans="1:113" x14ac:dyDescent="0.3">
      <c r="A401" s="6"/>
      <c r="B401" s="6"/>
      <c r="C401" s="6"/>
      <c r="D401" s="6"/>
      <c r="E401" t="s">
        <v>6</v>
      </c>
      <c r="F401" t="e">
        <f ca="1">_xll.BDH($C$378,"RETURN_COM_EQY","FQ3 2018","FQ3 2018","Currency=INR","Period=FQ","BEST_FPERIOD_OVERRIDE=FQ","FILING_STATUS=OR","EQY_CONSOLIDATED=Y","FA_ADJUSTED=GAAP","Sort=A","Dates=H","DateFormat=P","Fill=—","Direction=H","UseDPDF=Y")</f>
        <v>#NAME?</v>
      </c>
      <c r="G401" t="e">
        <f ca="1">_xll.BDH($C$378,"RETURN_ON_ASSET","FQ3 2018","FQ3 2018","Currency=INR","Period=FQ","BEST_FPERIOD_OVERRIDE=FQ","FILING_STATUS=OR","EQY_CONSOLIDATED=Y","FA_ADJUSTED=GAAP","Sort=A","Dates=H","DateFormat=P","Fill=—","Direction=H","UseDPDF=Y")</f>
        <v>#NAME?</v>
      </c>
      <c r="H401" t="e">
        <f ca="1">_xll.BDH($C$378,"RETURN_ON_CAP","FQ3 2018","FQ3 2018","Currency=INR","Period=FQ","BEST_FPERIOD_OVERRIDE=FQ","FILING_STATUS=OR","EQY_CONSOLIDATED=Y","FA_ADJUSTED=GAAP","Sort=A","Dates=H","DateFormat=P","Fill=—","Direction=H","UseDPDF=Y")</f>
        <v>#NAME?</v>
      </c>
      <c r="I401" t="e">
        <f ca="1">_xll.BDH($C$378,"RETURN_ON_INV_CAPITAL","FQ3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01" t="e">
        <f ca="1">_xll.BDH($C$378,"EBITDA_TO_REVENUE","FQ3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401" t="e">
        <f ca="1">_xll.BDH($C$378,"OPER_MARGIN","FQ3 2018","FQ3 2018","Currency=INR","Period=FQ","BEST_FPERIOD_OVERRIDE=FQ","FILING_STATUS=OR","EQY_CONSOLIDATED=Y","FA_ADJUSTED=GAAP","Sort=A","Dates=H","DateFormat=P","Fill=—","Direction=H","UseDPDF=Y")</f>
        <v>#NAME?</v>
      </c>
      <c r="L401" t="e">
        <f ca="1">_xll.BDH($C$378,"INCREMENTAL_OPERATING_MARGIN","FQ3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01" t="e">
        <f ca="1">_xll.BDH($C$378,"PRETAX_INC_TO_NET_SALES","FQ3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01" t="e">
        <f ca="1">_xll.BDH($C$378,"INC_BEF_XO_ITEMS_TO_NET_SALES","FQ3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01" t="e">
        <f ca="1">_xll.BDH($C$378,"PROF_MARGIN","FQ3 2018","FQ3 2018","Currency=INR","Period=FQ","BEST_FPERIOD_OVERRIDE=FQ","FILING_STATUS=OR","EQY_CONSOLIDATED=Y","FA_ADJUSTED=GAAP","Sort=A","Dates=H","DateFormat=P","Fill=—","Direction=H","UseDPDF=Y")</f>
        <v>#NAME?</v>
      </c>
      <c r="P401" t="e">
        <f ca="1">_xll.BDH($C$378,"NET_INCOME_TO_COMMON_MARGIN","FQ3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01" t="e">
        <f ca="1">_xll.BDH($C$378,"EFF_TAX_RATE","FQ3 2018","FQ3 2018","Currency=INR","Period=FQ","BEST_FPERIOD_OVERRIDE=FQ","FILING_STATUS=OR","EQY_CONSOLIDATED=Y","FA_ADJUSTED=GAAP","Sort=A","Dates=H","DateFormat=P","Fill=—","Direction=H","UseDPDF=Y")</f>
        <v>#NAME?</v>
      </c>
      <c r="R401" t="e">
        <f ca="1">_xll.BDH($C$378,"DVD_PAYOUT_RATIO","FQ3 2018","FQ3 2018","Currency=INR","Period=FQ","BEST_FPERIOD_OVERRIDE=FQ","FILING_STATUS=OR","EQY_CONSOLIDATED=Y","FA_ADJUSTED=GAAP","Sort=A","Dates=H","DateFormat=P","Fill=—","Direction=H","UseDPDF=Y")</f>
        <v>#NAME?</v>
      </c>
      <c r="S401" t="e">
        <f ca="1">_xll.BDH($C$378,"SUSTAIN_GROWTH_RT","FQ3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401" s="1" t="e">
        <f ca="1">_xll.BDH($C$378,"SALES_GROWTH","FQ3 2018","FQ3 2018","Currency=INR","Period=FQ","BEST_FPERIOD_OVERRIDE=FQ","FILING_STATUS=OR","EQY_CONSOLIDATED=Y","FA_ADJUSTED=GAAP","Sort=A","Dates=H","DateFormat=P","Fill=—","Direction=H","UseDPDF=Y")</f>
        <v>#NAME?</v>
      </c>
      <c r="U401" s="1" t="e">
        <f ca="1">_xll.BDH($C$378,"EBITDA_GROWTH","FQ3 2018","FQ3 2018","Currency=INR","Period=FQ","BEST_FPERIOD_OVERRIDE=FQ","FILING_STATUS=OR","EQY_CONSOLIDATED=Y","FA_ADJUSTED=GAAP","Sort=A","Dates=H","DateFormat=P","Fill=—","Direction=H","UseDPDF=Y")</f>
        <v>#NAME?</v>
      </c>
      <c r="V401" s="1" t="e">
        <f ca="1">_xll.BDH($C$378,"OPER_INC_GROWTH","FQ3 2018","FQ3 2018","Currency=INR","Period=FQ","BEST_FPERIOD_OVERRIDE=FQ","FILING_STATUS=OR","EQY_CONSOLIDATED=Y","FA_ADJUSTED=GAAP","Sort=A","Dates=H","DateFormat=P","Fill=—","Direction=H","UseDPDF=Y")</f>
        <v>#NAME?</v>
      </c>
      <c r="W401" s="1" t="e">
        <f ca="1">_xll.BDH($C$378,"EARN_FOR_COM_GROWTH","FQ3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01" s="1" t="e">
        <f ca="1">_xll.BDH($C$378,"DILUTED_EPS_AFT_XO_ITEMS_GROWTH","FQ3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01" s="1" t="e">
        <f ca="1">_xll.BDH($C$378,"DIVIDEND_PER_SHARE_1_YEAR_GROWTH","FQ3 2018","FQ3 2018","Currency=INR","Period=FQ","BEST_FPERIOD_OVERRIDE=FQ","FILING_STATUS=OR","EQY_CONSOLIDATED=Y","Sort=A","Dates=H","DateFormat=P","Fill=—","Direction=H","UseDPDF=Y")</f>
        <v>#NAME?</v>
      </c>
      <c r="Z401" s="1" t="e">
        <f ca="1">_xll.BDH($C$378,"ACCOUNTS_RECEIVABLE_GROWTH","FQ3 2018","FQ3 2018","Currency=INR","Period=FQ","BEST_FPERIOD_OVERRIDE=FQ","FILING_STATUS=OR","EQY_CONSOLIDATED=Y","Sort=A","Dates=H","DateFormat=P","Fill=—","Direction=H","UseDPDF=Y")</f>
        <v>#NAME?</v>
      </c>
      <c r="AA401" s="1" t="e">
        <f ca="1">_xll.BDH($C$378,"INVENTORY_GROWTH","FQ3 2018","FQ3 2018","Currency=INR","Period=FQ","BEST_FPERIOD_OVERRIDE=FQ","FILING_STATUS=OR","EQY_CONSOLIDATED=Y","Sort=A","Dates=H","DateFormat=P","Fill=—","Direction=H","UseDPDF=Y")</f>
        <v>#NAME?</v>
      </c>
      <c r="AB401" s="1" t="e">
        <f ca="1">_xll.BDH($C$378,"NET_FIXED_ASSETS_1_YEAR_GROWTH","FQ3 2018","FQ3 2018","Currency=INR","Period=FQ","BEST_FPERIOD_OVERRIDE=FQ","FILING_STATUS=OR","EQY_CONSOLIDATED=Y","Sort=A","Dates=H","DateFormat=P","Fill=—","Direction=H","UseDPDF=Y")</f>
        <v>#NAME?</v>
      </c>
      <c r="AC401" s="1" t="e">
        <f ca="1">_xll.BDH($C$378,"ASSET_GROWTH","FQ3 2018","FQ3 2018","Currency=INR","Period=FQ","BEST_FPERIOD_OVERRIDE=FQ","FILING_STATUS=OR","EQY_CONSOLIDATED=Y","Sort=A","Dates=H","DateFormat=P","Fill=—","Direction=H","UseDPDF=Y")</f>
        <v>#NAME?</v>
      </c>
      <c r="AD401" s="1" t="e">
        <f ca="1">_xll.BDH($C$378,"MODIFIED_WORK_CAP_GROWTH","FQ3 2018","FQ3 2018","Currency=INR","Period=FQ","BEST_FPERIOD_OVERRIDE=FQ","FILING_STATUS=OR","EQY_CONSOLIDATED=Y","Sort=A","Dates=H","DateFormat=P","Fill=—","Direction=H","UseDPDF=Y")</f>
        <v>#NAME?</v>
      </c>
      <c r="AE401" s="1" t="e">
        <f ca="1">_xll.BDH($C$378,"WORK_CAP_GROWTH","FQ3 2018","FQ3 2018","Currency=INR","Period=FQ","BEST_FPERIOD_OVERRIDE=FQ","FILING_STATUS=OR","EQY_CONSOLIDATED=Y","Sort=A","Dates=H","DateFormat=P","Fill=—","Direction=H","UseDPDF=Y")</f>
        <v>#NAME?</v>
      </c>
      <c r="AF401" s="1" t="e">
        <f ca="1">_xll.BDH($C$378,"ACCOUNTS_PAYABLE_GROWTH_1YR","FQ3 2018","FQ3 2018","Currency=INR","Period=FQ","BEST_FPERIOD_OVERRIDE=FQ","FILING_STATUS=OR","EQY_CONSOLIDATED=Y","Sort=A","Dates=H","DateFormat=P","Fill=—","Direction=H","UseDPDF=Y")</f>
        <v>#NAME?</v>
      </c>
      <c r="AG401" s="1" t="e">
        <f ca="1">_xll.BDH($C$378,"SHORT_TERM_DEBT_1_YEAR_GROWTH","FQ3 2018","FQ3 2018","Currency=INR","Period=FQ","BEST_FPERIOD_OVERRIDE=FQ","FILING_STATUS=OR","EQY_CONSOLIDATED=Y","Sort=A","Dates=H","DateFormat=P","Fill=—","Direction=H","UseDPDF=Y")</f>
        <v>#NAME?</v>
      </c>
      <c r="AH401" s="1" t="e">
        <f ca="1">_xll.BDH($C$378,"TOTAL_DEBT_1_YEAR_GROWTH","FQ3 2018","FQ3 2018","Currency=INR","Period=FQ","BEST_FPERIOD_OVERRIDE=FQ","FILING_STATUS=OR","EQY_CONSOLIDATED=Y","Sort=A","Dates=H","DateFormat=P","Fill=—","Direction=H","UseDPDF=Y")</f>
        <v>#NAME?</v>
      </c>
      <c r="AI401" s="1" t="e">
        <f ca="1">_xll.BDH($C$378,"TOTAL_EQUITY_1_YEAR_GROWTH","FQ3 2018","FQ3 2018","Currency=INR","Period=FQ","BEST_FPERIOD_OVERRIDE=FQ","FILING_STATUS=OR","EQY_CONSOLIDATED=Y","Sort=A","Dates=H","DateFormat=P","Fill=—","Direction=H","UseDPDF=Y")</f>
        <v>#NAME?</v>
      </c>
      <c r="AJ401" s="1" t="e">
        <f ca="1">_xll.BDH($C$378,"GROWTH_IN_CAP","FQ3 2018","FQ3 2018","Currency=INR","Period=FQ","BEST_FPERIOD_OVERRIDE=FQ","FILING_STATUS=OR","EQY_CONSOLIDATED=Y","Sort=A","Dates=H","DateFormat=P","Fill=—","Direction=H","UseDPDF=Y")</f>
        <v>#NAME?</v>
      </c>
      <c r="AK401" s="1" t="e">
        <f ca="1">_xll.BDH($C$378,"BVPS_GROWTH","FQ3 2018","FQ3 2018","Currency=INR","Period=FQ","BEST_FPERIOD_OVERRIDE=FQ","FILING_STATUS=OR","EQY_CONSOLIDATED=Y","Sort=A","Dates=H","DateFormat=P","Fill=—","Direction=H","UseDPDF=Y")</f>
        <v>#NAME?</v>
      </c>
      <c r="AL401" s="1" t="e">
        <f ca="1">_xll.BDH($C$378,"CASH_FLOW_GROWTH","FQ3 2018","FQ3 2018","Currency=INR","Period=FQ","BEST_FPERIOD_OVERRIDE=FQ","FILING_STATUS=OR","EQY_CONSOLIDATED=Y","Sort=A","Dates=H","DateFormat=P","Fill=—","Direction=H","UseDPDF=Y")</f>
        <v>#NAME?</v>
      </c>
      <c r="AM401" s="1" t="e">
        <f ca="1">_xll.BDH($C$378,"GEO_GROW_NET_SALES","FQ3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01" s="1" t="e">
        <f ca="1">_xll.BDH($C$378,"GEO_GROW_EBITDA","FQ3 2018","FQ3 2018","Currency=INR","Period=FQ","BEST_FPERIOD_OVERRIDE=FQ","FILING_STATUS=OR","EQY_CONSOLIDATED=Y","FA_ADJUSTED=GAAP","Sort=A","Dates=H","DateFormat=P","Fill=—","Direction=H","UseDPDF=Y")</f>
        <v>#NAME?</v>
      </c>
      <c r="AO401" s="1" t="e">
        <f ca="1">_xll.BDH($C$378,"GEO_GROW_OPER_INC","FQ3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01" s="1" t="e">
        <f ca="1">_xll.BDH($C$378,"NET_INCOME_TO_COMMON_5_YR_GROWTH","FQ3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01" s="1" t="e">
        <f ca="1">_xll.BDH($C$378,"5Y_GEO_GROWTH_DILUTED_EPS","FQ3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01" s="1" t="e">
        <f ca="1">_xll.BDH($C$378,"GEO_GROW_DVD_PER_SH","FQ3 2018","FQ3 2018","Currency=INR","Period=FQ","BEST_FPERIOD_OVERRIDE=FQ","FILING_STATUS=OR","EQY_CONSOLIDATED=Y","Sort=A","Dates=H","DateFormat=P","Fill=—","Direction=H","UseDPDF=Y")</f>
        <v>#NAME?</v>
      </c>
      <c r="AS401" s="1" t="e">
        <f ca="1">_xll.BDH($C$378,"ACCOUNTS_RECEIVABLE_5_YR_GROWTH","FQ3 2018","FQ3 2018","Currency=INR","Period=FQ","BEST_FPERIOD_OVERRIDE=FQ","FILING_STATUS=OR","EQY_CONSOLIDATED=Y","Sort=A","Dates=H","DateFormat=P","Fill=—","Direction=H","UseDPDF=Y")</f>
        <v>#NAME?</v>
      </c>
      <c r="AT401" s="1" t="e">
        <f ca="1">_xll.BDH($C$378,"INVENTORY_5_YEAR_GROWTH","FQ3 2018","FQ3 2018","Currency=INR","Period=FQ","BEST_FPERIOD_OVERRIDE=FQ","FILING_STATUS=OR","EQY_CONSOLIDATED=Y","Sort=A","Dates=H","DateFormat=P","Fill=—","Direction=H","UseDPDF=Y")</f>
        <v>#NAME?</v>
      </c>
      <c r="AU401" s="1" t="e">
        <f ca="1">_xll.BDH($C$378,"NET_FIXED_ASSETS_5_YEAR_GROWTH","FQ3 2018","FQ3 2018","Currency=INR","Period=FQ","BEST_FPERIOD_OVERRIDE=FQ","FILING_STATUS=OR","EQY_CONSOLIDATED=Y","Sort=A","Dates=H","DateFormat=P","Fill=—","Direction=H","UseDPDF=Y")</f>
        <v>#NAME?</v>
      </c>
      <c r="AV401" s="1" t="e">
        <f ca="1">_xll.BDH($C$378,"GEO_GROW_TOT_ASSET","FQ3 2018","FQ3 2018","Currency=INR","Period=FQ","BEST_FPERIOD_OVERRIDE=FQ","FILING_STATUS=OR","EQY_CONSOLIDATED=Y","Sort=A","Dates=H","DateFormat=P","Fill=—","Direction=H","UseDPDF=Y")</f>
        <v>#NAME?</v>
      </c>
      <c r="AW401" s="1" t="e">
        <f ca="1">_xll.BDH($C$378,"MODIFIED_WORKING_CPTL_5YR_GRWTH","FQ3 2018","FQ3 2018","Currency=INR","Period=FQ","BEST_FPERIOD_OVERRIDE=FQ","FILING_STATUS=OR","EQY_CONSOLIDATED=Y","Sort=A","Dates=H","DateFormat=P","Fill=—","Direction=H","UseDPDF=Y")</f>
        <v>#NAME?</v>
      </c>
      <c r="AX401" s="1" t="e">
        <f ca="1">_xll.BDH($C$378,"WORKING_CAPITAL_5_YEAR_GROWTH","FQ3 2018","FQ3 2018","Currency=INR","Period=FQ","BEST_FPERIOD_OVERRIDE=FQ","FILING_STATUS=OR","EQY_CONSOLIDATED=Y","Sort=A","Dates=H","DateFormat=P","Fill=—","Direction=H","UseDPDF=Y")</f>
        <v>#NAME?</v>
      </c>
      <c r="AY401" s="1" t="e">
        <f ca="1">_xll.BDH($C$378,"ACCOUNTS_PAYABLE_5_YEAR_GROWTH","FQ3 2018","FQ3 2018","Currency=INR","Period=FQ","BEST_FPERIOD_OVERRIDE=FQ","FILING_STATUS=OR","EQY_CONSOLIDATED=Y","Sort=A","Dates=H","DateFormat=P","Fill=—","Direction=H","UseDPDF=Y")</f>
        <v>#NAME?</v>
      </c>
      <c r="AZ401" s="1" t="e">
        <f ca="1">_xll.BDH($C$378,"SHORT_TERM_DEBT_5_YEAR_GROWTH","FQ3 2018","FQ3 2018","Currency=INR","Period=FQ","BEST_FPERIOD_OVERRIDE=FQ","FILING_STATUS=OR","EQY_CONSOLIDATED=Y","Sort=A","Dates=H","DateFormat=P","Fill=—","Direction=H","UseDPDF=Y")</f>
        <v>#NAME?</v>
      </c>
      <c r="BA401" s="1" t="e">
        <f ca="1">_xll.BDH($C$378,"TOTAL_DEBT_5_YEAR_GROWTH","FQ3 2018","FQ3 2018","Currency=INR","Period=FQ","BEST_FPERIOD_OVERRIDE=FQ","FILING_STATUS=OR","EQY_CONSOLIDATED=Y","Sort=A","Dates=H","DateFormat=P","Fill=—","Direction=H","UseDPDF=Y")</f>
        <v>#NAME?</v>
      </c>
      <c r="BB401" s="1" t="e">
        <f ca="1">_xll.BDH($C$378,"GEO_GROW_TOT_SHRHLDR_EQY","FQ3 2018","FQ3 2018","Currency=INR","Period=FQ","BEST_FPERIOD_OVERRIDE=FQ","FILING_STATUS=OR","EQY_CONSOLIDATED=Y","Sort=A","Dates=H","DateFormat=P","Fill=—","Direction=H","UseDPDF=Y")</f>
        <v>#NAME?</v>
      </c>
      <c r="BC401" s="1" t="e">
        <f ca="1">_xll.BDH($C$378,"TOTAL_CAPITAL_5_YEAR_GROWTH","FQ3 2018","FQ3 2018","Currency=INR","Period=FQ","BEST_FPERIOD_OVERRIDE=FQ","FILING_STATUS=OR","EQY_CONSOLIDATED=Y","Sort=A","Dates=H","DateFormat=P","Fill=—","Direction=H","UseDPDF=Y")</f>
        <v>#NAME?</v>
      </c>
      <c r="BD401" s="1" t="e">
        <f ca="1">_xll.BDH($C$378,"GEO_GROW_BOOK_VAL","FQ3 2018","FQ3 2018","Currency=INR","Period=FQ","BEST_FPERIOD_OVERRIDE=FQ","FILING_STATUS=OR","EQY_CONSOLIDATED=Y","Sort=A","Dates=H","DateFormat=P","Fill=—","Direction=H","UseDPDF=Y")</f>
        <v>#NAME?</v>
      </c>
      <c r="BE401" s="1" t="e">
        <f ca="1">_xll.BDH($C$378,"GEO_GROW_CASH_OPER_ACT","FQ3 2018","FQ3 2018","Currency=INR","Period=FQ","BEST_FPERIOD_OVERRIDE=FQ","FILING_STATUS=OR","EQY_CONSOLIDATED=Y","Sort=A","Dates=H","DateFormat=P","Fill=—","Direction=H","UseDPDF=Y")</f>
        <v>#NAME?</v>
      </c>
      <c r="BF401" s="1" t="e">
        <f ca="1">_xll.BDH($C$378,"REVENUE_SEQUENTIAL_GROWTH","FQ3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01" s="1" t="e">
        <f ca="1">_xll.BDH($C$378,"EBITDA_SEQUENTIAL_GROWTH","FQ3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01" s="1" t="e">
        <f ca="1">_xll.BDH($C$378,"OPERATING_INCOME_SEQ_GROWTH","FQ3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01" s="1" t="e">
        <f ca="1">_xll.BDH($C$378,"NET_INCOME_TO_COMMON_SEQ_GROWTH","FQ3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01" s="1" t="e">
        <f ca="1">_xll.BDH($C$378,"EPS_DILUTED_SEQUENTIAL_GROWTH","FQ3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01" s="1" t="e">
        <f ca="1">_xll.BDH($C$378,"DPS_SEQUENTIAL_GROWTH","FQ3 2018","FQ3 2018","Currency=INR","Period=FQ","BEST_FPERIOD_OVERRIDE=FQ","FILING_STATUS=OR","EQY_CONSOLIDATED=Y","Sort=A","Dates=H","DateFormat=P","Fill=—","Direction=H","UseDPDF=Y")</f>
        <v>#NAME?</v>
      </c>
      <c r="BL401" s="1" t="e">
        <f ca="1">_xll.BDH($C$378,"ACCOUNTS_RECEIVABLE_SEQ_GROWTH","FQ3 2018","FQ3 2018","Currency=INR","Period=FQ","BEST_FPERIOD_OVERRIDE=FQ","FILING_STATUS=OR","EQY_CONSOLIDATED=Y","Sort=A","Dates=H","DateFormat=P","Fill=—","Direction=H","UseDPDF=Y")</f>
        <v>#NAME?</v>
      </c>
      <c r="BM401" s="1" t="e">
        <f ca="1">_xll.BDH($C$378,"INVENTORY_SEQUENTIAL_GROWTH","FQ3 2018","FQ3 2018","Currency=INR","Period=FQ","BEST_FPERIOD_OVERRIDE=FQ","FILING_STATUS=OR","EQY_CONSOLIDATED=Y","Sort=A","Dates=H","DateFormat=P","Fill=—","Direction=H","UseDPDF=Y")</f>
        <v>#NAME?</v>
      </c>
      <c r="BN401" s="1" t="e">
        <f ca="1">_xll.BDH($C$378,"FIXED_ASSETS_SEQUENTIAL_GROWTH","FQ3 2018","FQ3 2018","Currency=INR","Period=FQ","BEST_FPERIOD_OVERRIDE=FQ","FILING_STATUS=OR","EQY_CONSOLIDATED=Y","Sort=A","Dates=H","DateFormat=P","Fill=—","Direction=H","UseDPDF=Y")</f>
        <v>#NAME?</v>
      </c>
      <c r="BO401" s="1" t="e">
        <f ca="1">_xll.BDH($C$378,"TOTAL_ASSETS_SEQUENTIAL_GROWTH","FQ3 2018","FQ3 2018","Currency=INR","Period=FQ","BEST_FPERIOD_OVERRIDE=FQ","FILING_STATUS=OR","EQY_CONSOLIDATED=Y","Sort=A","Dates=H","DateFormat=P","Fill=—","Direction=H","UseDPDF=Y")</f>
        <v>#NAME?</v>
      </c>
      <c r="BP401" s="1" t="e">
        <f ca="1">_xll.BDH($C$378,"MODIFIED_WORKING_CPTL_SEQ_GRWTH","FQ3 2018","FQ3 2018","Currency=INR","Period=FQ","BEST_FPERIOD_OVERRIDE=FQ","FILING_STATUS=OR","EQY_CONSOLIDATED=Y","Sort=A","Dates=H","DateFormat=P","Fill=—","Direction=H","UseDPDF=Y")</f>
        <v>#NAME?</v>
      </c>
      <c r="BQ401" s="1" t="e">
        <f ca="1">_xll.BDH($C$378,"WORKING_CAPITAL_SEQ_GROWTH","FQ3 2018","FQ3 2018","Currency=INR","Period=FQ","BEST_FPERIOD_OVERRIDE=FQ","FILING_STATUS=OR","EQY_CONSOLIDATED=Y","Sort=A","Dates=H","DateFormat=P","Fill=—","Direction=H","UseDPDF=Y")</f>
        <v>#NAME?</v>
      </c>
      <c r="BR401" s="1" t="e">
        <f ca="1">_xll.BDH($C$378,"ACCOUNTS_PAYABLE_SEQ_GROWTH","FQ3 2018","FQ3 2018","Currency=INR","Period=FQ","BEST_FPERIOD_OVERRIDE=FQ","FILING_STATUS=OR","EQY_CONSOLIDATED=Y","Sort=A","Dates=H","DateFormat=P","Fill=—","Direction=H","UseDPDF=Y")</f>
        <v>#NAME?</v>
      </c>
      <c r="BS401" s="1" t="e">
        <f ca="1">_xll.BDH($C$378,"ST_DEBT_SEQUENTIAL_GROWTH","FQ3 2018","FQ3 2018","Currency=INR","Period=FQ","BEST_FPERIOD_OVERRIDE=FQ","FILING_STATUS=OR","EQY_CONSOLIDATED=Y","Sort=A","Dates=H","DateFormat=P","Fill=—","Direction=H","UseDPDF=Y")</f>
        <v>#NAME?</v>
      </c>
      <c r="BT401" s="1" t="e">
        <f ca="1">_xll.BDH($C$378,"TOTAL_DEBT_SEQUENTIAL_GROWTH","FQ3 2018","FQ3 2018","Currency=INR","Period=FQ","BEST_FPERIOD_OVERRIDE=FQ","FILING_STATUS=OR","EQY_CONSOLIDATED=Y","Sort=A","Dates=H","DateFormat=P","Fill=—","Direction=H","UseDPDF=Y")</f>
        <v>#NAME?</v>
      </c>
      <c r="BU401" s="1" t="e">
        <f ca="1">_xll.BDH($C$378,"TOTAL_EQUITY_SEQUENTIAL_GROWTH","FQ3 2018","FQ3 2018","Currency=INR","Period=FQ","BEST_FPERIOD_OVERRIDE=FQ","FILING_STATUS=OR","EQY_CONSOLIDATED=Y","Sort=A","Dates=H","DateFormat=P","Fill=—","Direction=H","UseDPDF=Y")</f>
        <v>#NAME?</v>
      </c>
      <c r="BV401" s="1" t="e">
        <f ca="1">_xll.BDH($C$378,"TOTAL_CAPITAL_SEQUENTIAL_GROWTH","FQ3 2018","FQ3 2018","Currency=INR","Period=FQ","BEST_FPERIOD_OVERRIDE=FQ","FILING_STATUS=OR","EQY_CONSOLIDATED=Y","Sort=A","Dates=H","DateFormat=P","Fill=—","Direction=H","UseDPDF=Y")</f>
        <v>#NAME?</v>
      </c>
      <c r="BW401" s="1" t="e">
        <f ca="1">_xll.BDH($C$378,"BPS_SEQUENTIAL_GROWTH","FQ3 2018","FQ3 2018","Currency=INR","Period=FQ","BEST_FPERIOD_OVERRIDE=FQ","FILING_STATUS=OR","EQY_CONSOLIDATED=Y","Sort=A","Dates=H","DateFormat=P","Fill=—","Direction=H","UseDPDF=Y")</f>
        <v>#NAME?</v>
      </c>
      <c r="BX401" s="1" t="e">
        <f ca="1">_xll.BDH($C$378,"CFO_SEQUENTIAL_GROWTH","FQ3 2018","FQ3 2018","Currency=INR","Period=FQ","BEST_FPERIOD_OVERRIDE=FQ","FILING_STATUS=OR","EQY_CONSOLIDATED=Y","Sort=A","Dates=H","DateFormat=P","Fill=—","Direction=H","UseDPDF=Y")</f>
        <v>#NAME?</v>
      </c>
      <c r="BY401" s="2" t="e">
        <f ca="1">_xll.BDH($C$378,"SHORT_AND_LONG_TERM_DEBT","FQ3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01" s="2" t="e">
        <f ca="1">_xll.BDH($C$378,"BS_ST_BORROW","FQ3 2018","FQ3 2018","Currency=INR","Period=FQ","BEST_FPERIOD_OVERRIDE=FQ","FILING_STATUS=OR","EQY_CONSOLIDATED=Y","SCALING_FORMAT=MLN","Sort=A","Dates=H","DateFormat=P","Fill=—","Direction=H","UseDPDF=Y")</f>
        <v>#NAME?</v>
      </c>
      <c r="CA401" s="2" t="e">
        <f ca="1">_xll.BDH($C$378,"BS_LT_BORROW","FQ3 2018","FQ3 2018","Currency=INR","Period=FQ","BEST_FPERIOD_OVERRIDE=FQ","FILING_STATUS=OR","EQY_CONSOLIDATED=Y","SCALING_FORMAT=MLN","Sort=A","Dates=H","DateFormat=P","Fill=—","Direction=H","UseDPDF=Y")</f>
        <v>#NAME?</v>
      </c>
      <c r="CB401" s="1" t="e">
        <f ca="1">_xll.BDH($C$378,"TOT_DEBT_TO_EBITDA","FQ3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01" s="1" t="e">
        <f ca="1">_xll.BDH($C$378,"NET_DEBT_TO_EBITDA","FQ3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01" s="1" t="e">
        <f ca="1">_xll.BDH($C$378,"TOTAL_DEBT_TO_EBIT","FQ3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01" s="1" t="e">
        <f ca="1">_xll.BDH($C$378,"NET_DEBT_TO_EBIT","FQ3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401" s="1" t="e">
        <f ca="1">_xll.BDH($C$378,"EBITDA_TO_INTEREST_EXPN","FQ3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01" s="1" t="e">
        <f ca="1">_xll.BDH($C$378,"COM_EQY_TO_TOT_ASSET","FQ3 2018","FQ3 2018","Currency=INR","Period=FQ","BEST_FPERIOD_OVERRIDE=FQ","FILING_STATUS=OR","EQY_CONSOLIDATED=Y","Sort=A","Dates=H","DateFormat=P","Fill=—","Direction=H","UseDPDF=Y")</f>
        <v>#NAME?</v>
      </c>
      <c r="CH401" s="1" t="e">
        <f ca="1">_xll.BDH($C$378,"LT_DEBT_TO_TOT_EQY","FQ3 2018","FQ3 2018","Currency=INR","Period=FQ","BEST_FPERIOD_OVERRIDE=FQ","FILING_STATUS=OR","EQY_CONSOLIDATED=Y","Sort=A","Dates=H","DateFormat=P","Fill=—","Direction=H","UseDPDF=Y")</f>
        <v>#NAME?</v>
      </c>
      <c r="CI401" s="1" t="e">
        <f ca="1">_xll.BDH($C$378,"LT_DEBT_TO_TOT_CAP","FQ3 2018","FQ3 2018","Currency=INR","Period=FQ","BEST_FPERIOD_OVERRIDE=FQ","FILING_STATUS=OR","EQY_CONSOLIDATED=Y","Sort=A","Dates=H","DateFormat=P","Fill=—","Direction=H","UseDPDF=Y")</f>
        <v>#NAME?</v>
      </c>
      <c r="CJ401" s="1" t="e">
        <f ca="1">_xll.BDH($C$378,"LT_DEBT_TO_TOT_ASSET","FQ3 2018","FQ3 2018","Currency=INR","Period=FQ","BEST_FPERIOD_OVERRIDE=FQ","FILING_STATUS=OR","EQY_CONSOLIDATED=Y","Sort=A","Dates=H","DateFormat=P","Fill=—","Direction=H","UseDPDF=Y")</f>
        <v>#NAME?</v>
      </c>
      <c r="CK401" s="1" t="e">
        <f ca="1">_xll.BDH($C$378,"TOT_DEBT_TO_TOT_EQY","FQ3 2018","FQ3 2018","Currency=INR","Period=FQ","BEST_FPERIOD_OVERRIDE=FQ","FILING_STATUS=OR","EQY_CONSOLIDATED=Y","Sort=A","Dates=H","DateFormat=P","Fill=—","Direction=H","UseDPDF=Y")</f>
        <v>#NAME?</v>
      </c>
      <c r="CL401" s="1" t="e">
        <f ca="1">_xll.BDH($C$378,"TOT_DEBT_TO_TOT_CAP","FQ3 2018","FQ3 2018","Currency=INR","Period=FQ","BEST_FPERIOD_OVERRIDE=FQ","FILING_STATUS=OR","EQY_CONSOLIDATED=Y","Sort=A","Dates=H","DateFormat=P","Fill=—","Direction=H","UseDPDF=Y")</f>
        <v>#NAME?</v>
      </c>
      <c r="CM401" s="1" t="e">
        <f ca="1">_xll.BDH($C$378,"TOT_DEBT_TO_TOT_ASSET","FQ3 2018","FQ3 2018","Currency=INR","Period=FQ","BEST_FPERIOD_OVERRIDE=FQ","FILING_STATUS=OR","EQY_CONSOLIDATED=Y","Sort=A","Dates=H","DateFormat=P","Fill=—","Direction=H","UseDPDF=Y")</f>
        <v>#NAME?</v>
      </c>
      <c r="CN401" s="1" t="e">
        <f ca="1">_xll.BDH($C$378,"NET_DEBT_TO_SHRHLDR_EQTY","FQ3 2018","FQ3 2018","Currency=INR","Period=FQ","BEST_FPERIOD_OVERRIDE=FQ","FILING_STATUS=OR","EQY_CONSOLIDATED=Y","Sort=A","Dates=H","DateFormat=P","Fill=—","Direction=H","UseDPDF=Y")</f>
        <v>#NAME?</v>
      </c>
      <c r="CO401" s="1" t="e">
        <f ca="1">_xll.BDH($C$378,"NET_DEBT_%_CAPITAL","FQ3 2018","FQ3 2018","Currency=INR","Period=FQ","BEST_FPERIOD_OVERRIDE=FQ","FILING_STATUS=OR","EQY_CONSOLIDATED=Y","Sort=A","Dates=H","DateFormat=P","Fill=—","Direction=H","UseDPDF=Y")</f>
        <v>#NAME?</v>
      </c>
      <c r="CP401" s="2" t="e">
        <f ca="1">_xll.BDH($C$378,"EBITDA","FQ3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01" s="2" t="e">
        <f ca="1">_xll.BDH($C$378,"EBITDA_AFTER_CAPEX","FQ3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01" s="2" t="e">
        <f ca="1">_xll.BDH($C$378,"IS_OPER_INC","FQ3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01" s="1" t="e">
        <f ca="1">_xll.BDH($C$378,"CASH_RATIO","FQ3 2018","FQ3 2018","Currency=INR","Period=FQ","BEST_FPERIOD_OVERRIDE=FQ","FILING_STATUS=OR","EQY_CONSOLIDATED=Y","Sort=A","Dates=H","DateFormat=P","Fill=—","Direction=H","UseDPDF=Y")</f>
        <v>#NAME?</v>
      </c>
      <c r="CT401" s="1" t="e">
        <f ca="1">_xll.BDH($C$378,"CUR_RATIO","FQ3 2018","FQ3 2018","Currency=INR","Period=FQ","BEST_FPERIOD_OVERRIDE=FQ","FILING_STATUS=OR","EQY_CONSOLIDATED=Y","Sort=A","Dates=H","DateFormat=P","Fill=—","Direction=H","UseDPDF=Y")</f>
        <v>#NAME?</v>
      </c>
      <c r="CU401" s="1" t="e">
        <f ca="1">_xll.BDH($C$378,"QUICK_RATIO","FQ3 2018","FQ3 2018","Currency=INR","Period=FQ","BEST_FPERIOD_OVERRIDE=FQ","FILING_STATUS=OR","EQY_CONSOLIDATED=Y","Sort=A","Dates=H","DateFormat=P","Fill=—","Direction=H","UseDPDF=Y")</f>
        <v>#NAME?</v>
      </c>
      <c r="CV401" s="1" t="e">
        <f ca="1">_xll.BDH($C$378,"ALTMAN_Z_SCORE","FQ3 2018","FQ3 2018","Currency=INR","Period=FQ","BEST_FPERIOD_OVERRIDE=FQ","FILING_STATUS=OR","EQY_CONSOLIDATED=Y","Sort=A","Dates=H","DateFormat=P","Fill=—","Direction=H","UseDPDF=Y")</f>
        <v>#NAME?</v>
      </c>
      <c r="CW401" s="3" t="e">
        <f ca="1">_xll.BDH($C$378,"ACCT_RCV_TURN","FQ3 2018","FQ3 2018","Currency=INR","Period=FQ","BEST_FPERIOD_OVERRIDE=FQ","FILING_STATUS=OR","EQY_CONSOLIDATED=Y","FA_ADJUSTED=GAAP","Sort=A","Dates=H","DateFormat=P","Fill=—","Direction=H","UseDPDF=Y")</f>
        <v>#NAME?</v>
      </c>
      <c r="CX401" s="1" t="e">
        <f ca="1">_xll.BDH($C$378,"ACCT_RCV_DAYS","FQ3 2018","FQ3 2018","Currency=INR","Period=FQ","BEST_FPERIOD_OVERRIDE=FQ","FILING_STATUS=OR","EQY_CONSOLIDATED=Y","FA_ADJUSTED=GAAP","Sort=A","Dates=H","DateFormat=P","Fill=—","Direction=H","UseDPDF=Y")</f>
        <v>#NAME?</v>
      </c>
      <c r="CY401" s="3" t="e">
        <f ca="1">_xll.BDH($C$378,"INVENT_TURN","FQ3 2018","FQ3 2018","Currency=INR","Period=FQ","BEST_FPERIOD_OVERRIDE=FQ","FILING_STATUS=OR","EQY_CONSOLIDATED=Y","FA_ADJUSTED=GAAP","Sort=A","Dates=H","DateFormat=P","Fill=—","Direction=H","UseDPDF=Y")</f>
        <v>#NAME?</v>
      </c>
      <c r="CZ401" s="1" t="e">
        <f ca="1">_xll.BDH($C$378,"INVENT_DAYS","FQ3 2018","FQ3 2018","Currency=INR","Period=FQ","BEST_FPERIOD_OVERRIDE=FQ","FILING_STATUS=OR","EQY_CONSOLIDATED=Y","FA_ADJUSTED=GAAP","Sort=A","Dates=H","DateFormat=P","Fill=—","Direction=H","UseDPDF=Y")</f>
        <v>#NAME?</v>
      </c>
      <c r="DA401" s="3" t="e">
        <f ca="1">_xll.BDH($C$378,"ACCOUNTS_PAYABLE_TURNOVER","FQ3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01" s="1" t="e">
        <f ca="1">_xll.BDH($C$378,"ACCOUNTS_PAYABLE_TURNOVER_DAYS","FQ3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01" s="3" t="e">
        <f ca="1">_xll.BDH($C$378,"CASH_CONVERSION_CYCLE","FQ3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01" s="3" t="e">
        <f ca="1">_xll.BDH($C$378,"INV_TO_CASH_DAYS","FQ3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401" s="4" t="e">
        <f ca="1">_xll.BDH($C$378,"BS_INVENTORIES","FQ3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401" s="2" t="e">
        <f ca="1">_xll.BDH($C$378,"INVTRY_RAW_MATERIALS","FQ3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01" s="2" t="e">
        <f ca="1">_xll.BDH($C$378,"INVTRY_IN_PROGRESS","FQ3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01" s="2" t="e">
        <f ca="1">_xll.BDH($C$378,"INVTRY_FINISHED_GOODS","FQ3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01" s="2" t="e">
        <f ca="1">_xll.BDH($C$378,"BS_OTHER_INV","FQ3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02" spans="1:113" x14ac:dyDescent="0.3">
      <c r="A402" s="6"/>
      <c r="B402" s="6"/>
      <c r="C402" s="6"/>
      <c r="D402" s="6"/>
      <c r="E402" t="s">
        <v>7</v>
      </c>
      <c r="F402" t="e">
        <f ca="1">_xll.BDH($C$378,"RETURN_COM_EQY","FQ4 2018","FQ4 2018","Currency=INR","Period=FQ","BEST_FPERIOD_OVERRIDE=FQ","FILING_STATUS=OR","EQY_CONSOLIDATED=Y","FA_ADJUSTED=GAAP","Sort=A","Dates=H","DateFormat=P","Fill=—","Direction=H","UseDPDF=Y")</f>
        <v>#NAME?</v>
      </c>
      <c r="G402" t="e">
        <f ca="1">_xll.BDH($C$378,"RETURN_ON_ASSET","FQ4 2018","FQ4 2018","Currency=INR","Period=FQ","BEST_FPERIOD_OVERRIDE=FQ","FILING_STATUS=OR","EQY_CONSOLIDATED=Y","FA_ADJUSTED=GAAP","Sort=A","Dates=H","DateFormat=P","Fill=—","Direction=H","UseDPDF=Y")</f>
        <v>#NAME?</v>
      </c>
      <c r="H402" t="e">
        <f ca="1">_xll.BDH($C$378,"RETURN_ON_CAP","FQ4 2018","FQ4 2018","Currency=INR","Period=FQ","BEST_FPERIOD_OVERRIDE=FQ","FILING_STATUS=OR","EQY_CONSOLIDATED=Y","FA_ADJUSTED=GAAP","Sort=A","Dates=H","DateFormat=P","Fill=—","Direction=H","UseDPDF=Y")</f>
        <v>#NAME?</v>
      </c>
      <c r="I402" t="e">
        <f ca="1">_xll.BDH($C$378,"RETURN_ON_INV_CAPITAL","FQ4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02" t="e">
        <f ca="1">_xll.BDH($C$378,"EBITDA_TO_REVENUE","FQ4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402" t="e">
        <f ca="1">_xll.BDH($C$378,"OPER_MARGIN","FQ4 2018","FQ4 2018","Currency=INR","Period=FQ","BEST_FPERIOD_OVERRIDE=FQ","FILING_STATUS=OR","EQY_CONSOLIDATED=Y","FA_ADJUSTED=GAAP","Sort=A","Dates=H","DateFormat=P","Fill=—","Direction=H","UseDPDF=Y")</f>
        <v>#NAME?</v>
      </c>
      <c r="L402" t="e">
        <f ca="1">_xll.BDH($C$378,"INCREMENTAL_OPERATING_MARGIN","FQ4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02" t="e">
        <f ca="1">_xll.BDH($C$378,"PRETAX_INC_TO_NET_SALES","FQ4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02" t="e">
        <f ca="1">_xll.BDH($C$378,"INC_BEF_XO_ITEMS_TO_NET_SALES","FQ4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02" t="e">
        <f ca="1">_xll.BDH($C$378,"PROF_MARGIN","FQ4 2018","FQ4 2018","Currency=INR","Period=FQ","BEST_FPERIOD_OVERRIDE=FQ","FILING_STATUS=OR","EQY_CONSOLIDATED=Y","FA_ADJUSTED=GAAP","Sort=A","Dates=H","DateFormat=P","Fill=—","Direction=H","UseDPDF=Y")</f>
        <v>#NAME?</v>
      </c>
      <c r="P402" t="e">
        <f ca="1">_xll.BDH($C$378,"NET_INCOME_TO_COMMON_MARGIN","FQ4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02" t="e">
        <f ca="1">_xll.BDH($C$378,"EFF_TAX_RATE","FQ4 2018","FQ4 2018","Currency=INR","Period=FQ","BEST_FPERIOD_OVERRIDE=FQ","FILING_STATUS=OR","EQY_CONSOLIDATED=Y","FA_ADJUSTED=GAAP","Sort=A","Dates=H","DateFormat=P","Fill=—","Direction=H","UseDPDF=Y")</f>
        <v>#NAME?</v>
      </c>
      <c r="R402" t="e">
        <f ca="1">_xll.BDH($C$378,"DVD_PAYOUT_RATIO","FQ4 2018","FQ4 2018","Currency=INR","Period=FQ","BEST_FPERIOD_OVERRIDE=FQ","FILING_STATUS=OR","EQY_CONSOLIDATED=Y","FA_ADJUSTED=GAAP","Sort=A","Dates=H","DateFormat=P","Fill=—","Direction=H","UseDPDF=Y")</f>
        <v>#NAME?</v>
      </c>
      <c r="S402" t="e">
        <f ca="1">_xll.BDH($C$378,"SUSTAIN_GROWTH_RT","FQ4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402" s="1" t="e">
        <f ca="1">_xll.BDH($C$378,"SALES_GROWTH","FQ4 2018","FQ4 2018","Currency=INR","Period=FQ","BEST_FPERIOD_OVERRIDE=FQ","FILING_STATUS=OR","EQY_CONSOLIDATED=Y","FA_ADJUSTED=GAAP","Sort=A","Dates=H","DateFormat=P","Fill=—","Direction=H","UseDPDF=Y")</f>
        <v>#NAME?</v>
      </c>
      <c r="U402" s="1" t="e">
        <f ca="1">_xll.BDH($C$378,"EBITDA_GROWTH","FQ4 2018","FQ4 2018","Currency=INR","Period=FQ","BEST_FPERIOD_OVERRIDE=FQ","FILING_STATUS=OR","EQY_CONSOLIDATED=Y","FA_ADJUSTED=GAAP","Sort=A","Dates=H","DateFormat=P","Fill=—","Direction=H","UseDPDF=Y")</f>
        <v>#NAME?</v>
      </c>
      <c r="V402" s="1" t="e">
        <f ca="1">_xll.BDH($C$378,"OPER_INC_GROWTH","FQ4 2018","FQ4 2018","Currency=INR","Period=FQ","BEST_FPERIOD_OVERRIDE=FQ","FILING_STATUS=OR","EQY_CONSOLIDATED=Y","FA_ADJUSTED=GAAP","Sort=A","Dates=H","DateFormat=P","Fill=—","Direction=H","UseDPDF=Y")</f>
        <v>#NAME?</v>
      </c>
      <c r="W402" s="1" t="e">
        <f ca="1">_xll.BDH($C$378,"EARN_FOR_COM_GROWTH","FQ4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02" s="1" t="e">
        <f ca="1">_xll.BDH($C$378,"DILUTED_EPS_AFT_XO_ITEMS_GROWTH","FQ4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02" s="1" t="e">
        <f ca="1">_xll.BDH($C$378,"DIVIDEND_PER_SHARE_1_YEAR_GROWTH","FQ4 2018","FQ4 2018","Currency=INR","Period=FQ","BEST_FPERIOD_OVERRIDE=FQ","FILING_STATUS=OR","EQY_CONSOLIDATED=Y","Sort=A","Dates=H","DateFormat=P","Fill=—","Direction=H","UseDPDF=Y")</f>
        <v>#NAME?</v>
      </c>
      <c r="Z402" s="1" t="e">
        <f ca="1">_xll.BDH($C$378,"ACCOUNTS_RECEIVABLE_GROWTH","FQ4 2018","FQ4 2018","Currency=INR","Period=FQ","BEST_FPERIOD_OVERRIDE=FQ","FILING_STATUS=OR","EQY_CONSOLIDATED=Y","Sort=A","Dates=H","DateFormat=P","Fill=—","Direction=H","UseDPDF=Y")</f>
        <v>#NAME?</v>
      </c>
      <c r="AA402" s="1" t="e">
        <f ca="1">_xll.BDH($C$378,"INVENTORY_GROWTH","FQ4 2018","FQ4 2018","Currency=INR","Period=FQ","BEST_FPERIOD_OVERRIDE=FQ","FILING_STATUS=OR","EQY_CONSOLIDATED=Y","Sort=A","Dates=H","DateFormat=P","Fill=—","Direction=H","UseDPDF=Y")</f>
        <v>#NAME?</v>
      </c>
      <c r="AB402" s="1" t="e">
        <f ca="1">_xll.BDH($C$378,"NET_FIXED_ASSETS_1_YEAR_GROWTH","FQ4 2018","FQ4 2018","Currency=INR","Period=FQ","BEST_FPERIOD_OVERRIDE=FQ","FILING_STATUS=OR","EQY_CONSOLIDATED=Y","Sort=A","Dates=H","DateFormat=P","Fill=—","Direction=H","UseDPDF=Y")</f>
        <v>#NAME?</v>
      </c>
      <c r="AC402" s="1" t="e">
        <f ca="1">_xll.BDH($C$378,"ASSET_GROWTH","FQ4 2018","FQ4 2018","Currency=INR","Period=FQ","BEST_FPERIOD_OVERRIDE=FQ","FILING_STATUS=OR","EQY_CONSOLIDATED=Y","Sort=A","Dates=H","DateFormat=P","Fill=—","Direction=H","UseDPDF=Y")</f>
        <v>#NAME?</v>
      </c>
      <c r="AD402" s="1" t="e">
        <f ca="1">_xll.BDH($C$378,"MODIFIED_WORK_CAP_GROWTH","FQ4 2018","FQ4 2018","Currency=INR","Period=FQ","BEST_FPERIOD_OVERRIDE=FQ","FILING_STATUS=OR","EQY_CONSOLIDATED=Y","Sort=A","Dates=H","DateFormat=P","Fill=—","Direction=H","UseDPDF=Y")</f>
        <v>#NAME?</v>
      </c>
      <c r="AE402" s="1" t="e">
        <f ca="1">_xll.BDH($C$378,"WORK_CAP_GROWTH","FQ4 2018","FQ4 2018","Currency=INR","Period=FQ","BEST_FPERIOD_OVERRIDE=FQ","FILING_STATUS=OR","EQY_CONSOLIDATED=Y","Sort=A","Dates=H","DateFormat=P","Fill=—","Direction=H","UseDPDF=Y")</f>
        <v>#NAME?</v>
      </c>
      <c r="AF402" s="1" t="e">
        <f ca="1">_xll.BDH($C$378,"ACCOUNTS_PAYABLE_GROWTH_1YR","FQ4 2018","FQ4 2018","Currency=INR","Period=FQ","BEST_FPERIOD_OVERRIDE=FQ","FILING_STATUS=OR","EQY_CONSOLIDATED=Y","Sort=A","Dates=H","DateFormat=P","Fill=—","Direction=H","UseDPDF=Y")</f>
        <v>#NAME?</v>
      </c>
      <c r="AG402" s="1" t="e">
        <f ca="1">_xll.BDH($C$378,"SHORT_TERM_DEBT_1_YEAR_GROWTH","FQ4 2018","FQ4 2018","Currency=INR","Period=FQ","BEST_FPERIOD_OVERRIDE=FQ","FILING_STATUS=OR","EQY_CONSOLIDATED=Y","Sort=A","Dates=H","DateFormat=P","Fill=—","Direction=H","UseDPDF=Y")</f>
        <v>#NAME?</v>
      </c>
      <c r="AH402" s="1" t="e">
        <f ca="1">_xll.BDH($C$378,"TOTAL_DEBT_1_YEAR_GROWTH","FQ4 2018","FQ4 2018","Currency=INR","Period=FQ","BEST_FPERIOD_OVERRIDE=FQ","FILING_STATUS=OR","EQY_CONSOLIDATED=Y","Sort=A","Dates=H","DateFormat=P","Fill=—","Direction=H","UseDPDF=Y")</f>
        <v>#NAME?</v>
      </c>
      <c r="AI402" s="1" t="e">
        <f ca="1">_xll.BDH($C$378,"TOTAL_EQUITY_1_YEAR_GROWTH","FQ4 2018","FQ4 2018","Currency=INR","Period=FQ","BEST_FPERIOD_OVERRIDE=FQ","FILING_STATUS=OR","EQY_CONSOLIDATED=Y","Sort=A","Dates=H","DateFormat=P","Fill=—","Direction=H","UseDPDF=Y")</f>
        <v>#NAME?</v>
      </c>
      <c r="AJ402" s="1" t="e">
        <f ca="1">_xll.BDH($C$378,"GROWTH_IN_CAP","FQ4 2018","FQ4 2018","Currency=INR","Period=FQ","BEST_FPERIOD_OVERRIDE=FQ","FILING_STATUS=OR","EQY_CONSOLIDATED=Y","Sort=A","Dates=H","DateFormat=P","Fill=—","Direction=H","UseDPDF=Y")</f>
        <v>#NAME?</v>
      </c>
      <c r="AK402" s="1" t="e">
        <f ca="1">_xll.BDH($C$378,"BVPS_GROWTH","FQ4 2018","FQ4 2018","Currency=INR","Period=FQ","BEST_FPERIOD_OVERRIDE=FQ","FILING_STATUS=OR","EQY_CONSOLIDATED=Y","Sort=A","Dates=H","DateFormat=P","Fill=—","Direction=H","UseDPDF=Y")</f>
        <v>#NAME?</v>
      </c>
      <c r="AL402" s="1" t="e">
        <f ca="1">_xll.BDH($C$378,"CASH_FLOW_GROWTH","FQ4 2018","FQ4 2018","Currency=INR","Period=FQ","BEST_FPERIOD_OVERRIDE=FQ","FILING_STATUS=OR","EQY_CONSOLIDATED=Y","Sort=A","Dates=H","DateFormat=P","Fill=—","Direction=H","UseDPDF=Y")</f>
        <v>#NAME?</v>
      </c>
      <c r="AM402" s="1" t="e">
        <f ca="1">_xll.BDH($C$378,"GEO_GROW_NET_SALES","FQ4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02" s="1" t="e">
        <f ca="1">_xll.BDH($C$378,"GEO_GROW_EBITDA","FQ4 2018","FQ4 2018","Currency=INR","Period=FQ","BEST_FPERIOD_OVERRIDE=FQ","FILING_STATUS=OR","EQY_CONSOLIDATED=Y","FA_ADJUSTED=GAAP","Sort=A","Dates=H","DateFormat=P","Fill=—","Direction=H","UseDPDF=Y")</f>
        <v>#NAME?</v>
      </c>
      <c r="AO402" s="1" t="e">
        <f ca="1">_xll.BDH($C$378,"GEO_GROW_OPER_INC","FQ4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02" s="1" t="e">
        <f ca="1">_xll.BDH($C$378,"NET_INCOME_TO_COMMON_5_YR_GROWTH","FQ4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02" s="1" t="e">
        <f ca="1">_xll.BDH($C$378,"5Y_GEO_GROWTH_DILUTED_EPS","FQ4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02" s="1" t="e">
        <f ca="1">_xll.BDH($C$378,"GEO_GROW_DVD_PER_SH","FQ4 2018","FQ4 2018","Currency=INR","Period=FQ","BEST_FPERIOD_OVERRIDE=FQ","FILING_STATUS=OR","EQY_CONSOLIDATED=Y","Sort=A","Dates=H","DateFormat=P","Fill=—","Direction=H","UseDPDF=Y")</f>
        <v>#NAME?</v>
      </c>
      <c r="AS402" s="1" t="e">
        <f ca="1">_xll.BDH($C$378,"ACCOUNTS_RECEIVABLE_5_YR_GROWTH","FQ4 2018","FQ4 2018","Currency=INR","Period=FQ","BEST_FPERIOD_OVERRIDE=FQ","FILING_STATUS=OR","EQY_CONSOLIDATED=Y","Sort=A","Dates=H","DateFormat=P","Fill=—","Direction=H","UseDPDF=Y")</f>
        <v>#NAME?</v>
      </c>
      <c r="AT402" s="1" t="e">
        <f ca="1">_xll.BDH($C$378,"INVENTORY_5_YEAR_GROWTH","FQ4 2018","FQ4 2018","Currency=INR","Period=FQ","BEST_FPERIOD_OVERRIDE=FQ","FILING_STATUS=OR","EQY_CONSOLIDATED=Y","Sort=A","Dates=H","DateFormat=P","Fill=—","Direction=H","UseDPDF=Y")</f>
        <v>#NAME?</v>
      </c>
      <c r="AU402" s="1" t="e">
        <f ca="1">_xll.BDH($C$378,"NET_FIXED_ASSETS_5_YEAR_GROWTH","FQ4 2018","FQ4 2018","Currency=INR","Period=FQ","BEST_FPERIOD_OVERRIDE=FQ","FILING_STATUS=OR","EQY_CONSOLIDATED=Y","Sort=A","Dates=H","DateFormat=P","Fill=—","Direction=H","UseDPDF=Y")</f>
        <v>#NAME?</v>
      </c>
      <c r="AV402" s="1" t="e">
        <f ca="1">_xll.BDH($C$378,"GEO_GROW_TOT_ASSET","FQ4 2018","FQ4 2018","Currency=INR","Period=FQ","BEST_FPERIOD_OVERRIDE=FQ","FILING_STATUS=OR","EQY_CONSOLIDATED=Y","Sort=A","Dates=H","DateFormat=P","Fill=—","Direction=H","UseDPDF=Y")</f>
        <v>#NAME?</v>
      </c>
      <c r="AW402" s="1" t="e">
        <f ca="1">_xll.BDH($C$378,"MODIFIED_WORKING_CPTL_5YR_GRWTH","FQ4 2018","FQ4 2018","Currency=INR","Period=FQ","BEST_FPERIOD_OVERRIDE=FQ","FILING_STATUS=OR","EQY_CONSOLIDATED=Y","Sort=A","Dates=H","DateFormat=P","Fill=—","Direction=H","UseDPDF=Y")</f>
        <v>#NAME?</v>
      </c>
      <c r="AX402" s="1" t="e">
        <f ca="1">_xll.BDH($C$378,"WORKING_CAPITAL_5_YEAR_GROWTH","FQ4 2018","FQ4 2018","Currency=INR","Period=FQ","BEST_FPERIOD_OVERRIDE=FQ","FILING_STATUS=OR","EQY_CONSOLIDATED=Y","Sort=A","Dates=H","DateFormat=P","Fill=—","Direction=H","UseDPDF=Y")</f>
        <v>#NAME?</v>
      </c>
      <c r="AY402" s="1" t="e">
        <f ca="1">_xll.BDH($C$378,"ACCOUNTS_PAYABLE_5_YEAR_GROWTH","FQ4 2018","FQ4 2018","Currency=INR","Period=FQ","BEST_FPERIOD_OVERRIDE=FQ","FILING_STATUS=OR","EQY_CONSOLIDATED=Y","Sort=A","Dates=H","DateFormat=P","Fill=—","Direction=H","UseDPDF=Y")</f>
        <v>#NAME?</v>
      </c>
      <c r="AZ402" s="1" t="e">
        <f ca="1">_xll.BDH($C$378,"SHORT_TERM_DEBT_5_YEAR_GROWTH","FQ4 2018","FQ4 2018","Currency=INR","Period=FQ","BEST_FPERIOD_OVERRIDE=FQ","FILING_STATUS=OR","EQY_CONSOLIDATED=Y","Sort=A","Dates=H","DateFormat=P","Fill=—","Direction=H","UseDPDF=Y")</f>
        <v>#NAME?</v>
      </c>
      <c r="BA402" s="1" t="e">
        <f ca="1">_xll.BDH($C$378,"TOTAL_DEBT_5_YEAR_GROWTH","FQ4 2018","FQ4 2018","Currency=INR","Period=FQ","BEST_FPERIOD_OVERRIDE=FQ","FILING_STATUS=OR","EQY_CONSOLIDATED=Y","Sort=A","Dates=H","DateFormat=P","Fill=—","Direction=H","UseDPDF=Y")</f>
        <v>#NAME?</v>
      </c>
      <c r="BB402" s="1" t="e">
        <f ca="1">_xll.BDH($C$378,"GEO_GROW_TOT_SHRHLDR_EQY","FQ4 2018","FQ4 2018","Currency=INR","Period=FQ","BEST_FPERIOD_OVERRIDE=FQ","FILING_STATUS=OR","EQY_CONSOLIDATED=Y","Sort=A","Dates=H","DateFormat=P","Fill=—","Direction=H","UseDPDF=Y")</f>
        <v>#NAME?</v>
      </c>
      <c r="BC402" s="1" t="e">
        <f ca="1">_xll.BDH($C$378,"TOTAL_CAPITAL_5_YEAR_GROWTH","FQ4 2018","FQ4 2018","Currency=INR","Period=FQ","BEST_FPERIOD_OVERRIDE=FQ","FILING_STATUS=OR","EQY_CONSOLIDATED=Y","Sort=A","Dates=H","DateFormat=P","Fill=—","Direction=H","UseDPDF=Y")</f>
        <v>#NAME?</v>
      </c>
      <c r="BD402" s="1" t="e">
        <f ca="1">_xll.BDH($C$378,"GEO_GROW_BOOK_VAL","FQ4 2018","FQ4 2018","Currency=INR","Period=FQ","BEST_FPERIOD_OVERRIDE=FQ","FILING_STATUS=OR","EQY_CONSOLIDATED=Y","Sort=A","Dates=H","DateFormat=P","Fill=—","Direction=H","UseDPDF=Y")</f>
        <v>#NAME?</v>
      </c>
      <c r="BE402" s="1" t="e">
        <f ca="1">_xll.BDH($C$378,"GEO_GROW_CASH_OPER_ACT","FQ4 2018","FQ4 2018","Currency=INR","Period=FQ","BEST_FPERIOD_OVERRIDE=FQ","FILING_STATUS=OR","EQY_CONSOLIDATED=Y","Sort=A","Dates=H","DateFormat=P","Fill=—","Direction=H","UseDPDF=Y")</f>
        <v>#NAME?</v>
      </c>
      <c r="BF402" s="1" t="e">
        <f ca="1">_xll.BDH($C$378,"REVENUE_SEQUENTIAL_GROWTH","FQ4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02" s="1" t="e">
        <f ca="1">_xll.BDH($C$378,"EBITDA_SEQUENTIAL_GROWTH","FQ4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02" s="1" t="e">
        <f ca="1">_xll.BDH($C$378,"OPERATING_INCOME_SEQ_GROWTH","FQ4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02" s="1" t="e">
        <f ca="1">_xll.BDH($C$378,"NET_INCOME_TO_COMMON_SEQ_GROWTH","FQ4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02" s="1" t="e">
        <f ca="1">_xll.BDH($C$378,"EPS_DILUTED_SEQUENTIAL_GROWTH","FQ4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02" s="1" t="e">
        <f ca="1">_xll.BDH($C$378,"DPS_SEQUENTIAL_GROWTH","FQ4 2018","FQ4 2018","Currency=INR","Period=FQ","BEST_FPERIOD_OVERRIDE=FQ","FILING_STATUS=OR","EQY_CONSOLIDATED=Y","Sort=A","Dates=H","DateFormat=P","Fill=—","Direction=H","UseDPDF=Y")</f>
        <v>#NAME?</v>
      </c>
      <c r="BL402" s="1" t="e">
        <f ca="1">_xll.BDH($C$378,"ACCOUNTS_RECEIVABLE_SEQ_GROWTH","FQ4 2018","FQ4 2018","Currency=INR","Period=FQ","BEST_FPERIOD_OVERRIDE=FQ","FILING_STATUS=OR","EQY_CONSOLIDATED=Y","Sort=A","Dates=H","DateFormat=P","Fill=—","Direction=H","UseDPDF=Y")</f>
        <v>#NAME?</v>
      </c>
      <c r="BM402" s="1" t="e">
        <f ca="1">_xll.BDH($C$378,"INVENTORY_SEQUENTIAL_GROWTH","FQ4 2018","FQ4 2018","Currency=INR","Period=FQ","BEST_FPERIOD_OVERRIDE=FQ","FILING_STATUS=OR","EQY_CONSOLIDATED=Y","Sort=A","Dates=H","DateFormat=P","Fill=—","Direction=H","UseDPDF=Y")</f>
        <v>#NAME?</v>
      </c>
      <c r="BN402" s="1" t="e">
        <f ca="1">_xll.BDH($C$378,"FIXED_ASSETS_SEQUENTIAL_GROWTH","FQ4 2018","FQ4 2018","Currency=INR","Period=FQ","BEST_FPERIOD_OVERRIDE=FQ","FILING_STATUS=OR","EQY_CONSOLIDATED=Y","Sort=A","Dates=H","DateFormat=P","Fill=—","Direction=H","UseDPDF=Y")</f>
        <v>#NAME?</v>
      </c>
      <c r="BO402" s="1" t="e">
        <f ca="1">_xll.BDH($C$378,"TOTAL_ASSETS_SEQUENTIAL_GROWTH","FQ4 2018","FQ4 2018","Currency=INR","Period=FQ","BEST_FPERIOD_OVERRIDE=FQ","FILING_STATUS=OR","EQY_CONSOLIDATED=Y","Sort=A","Dates=H","DateFormat=P","Fill=—","Direction=H","UseDPDF=Y")</f>
        <v>#NAME?</v>
      </c>
      <c r="BP402" s="1" t="e">
        <f ca="1">_xll.BDH($C$378,"MODIFIED_WORKING_CPTL_SEQ_GRWTH","FQ4 2018","FQ4 2018","Currency=INR","Period=FQ","BEST_FPERIOD_OVERRIDE=FQ","FILING_STATUS=OR","EQY_CONSOLIDATED=Y","Sort=A","Dates=H","DateFormat=P","Fill=—","Direction=H","UseDPDF=Y")</f>
        <v>#NAME?</v>
      </c>
      <c r="BQ402" s="1" t="e">
        <f ca="1">_xll.BDH($C$378,"WORKING_CAPITAL_SEQ_GROWTH","FQ4 2018","FQ4 2018","Currency=INR","Period=FQ","BEST_FPERIOD_OVERRIDE=FQ","FILING_STATUS=OR","EQY_CONSOLIDATED=Y","Sort=A","Dates=H","DateFormat=P","Fill=—","Direction=H","UseDPDF=Y")</f>
        <v>#NAME?</v>
      </c>
      <c r="BR402" s="1" t="e">
        <f ca="1">_xll.BDH($C$378,"ACCOUNTS_PAYABLE_SEQ_GROWTH","FQ4 2018","FQ4 2018","Currency=INR","Period=FQ","BEST_FPERIOD_OVERRIDE=FQ","FILING_STATUS=OR","EQY_CONSOLIDATED=Y","Sort=A","Dates=H","DateFormat=P","Fill=—","Direction=H","UseDPDF=Y")</f>
        <v>#NAME?</v>
      </c>
      <c r="BS402" s="1" t="e">
        <f ca="1">_xll.BDH($C$378,"ST_DEBT_SEQUENTIAL_GROWTH","FQ4 2018","FQ4 2018","Currency=INR","Period=FQ","BEST_FPERIOD_OVERRIDE=FQ","FILING_STATUS=OR","EQY_CONSOLIDATED=Y","Sort=A","Dates=H","DateFormat=P","Fill=—","Direction=H","UseDPDF=Y")</f>
        <v>#NAME?</v>
      </c>
      <c r="BT402" s="1" t="e">
        <f ca="1">_xll.BDH($C$378,"TOTAL_DEBT_SEQUENTIAL_GROWTH","FQ4 2018","FQ4 2018","Currency=INR","Period=FQ","BEST_FPERIOD_OVERRIDE=FQ","FILING_STATUS=OR","EQY_CONSOLIDATED=Y","Sort=A","Dates=H","DateFormat=P","Fill=—","Direction=H","UseDPDF=Y")</f>
        <v>#NAME?</v>
      </c>
      <c r="BU402" s="1" t="e">
        <f ca="1">_xll.BDH($C$378,"TOTAL_EQUITY_SEQUENTIAL_GROWTH","FQ4 2018","FQ4 2018","Currency=INR","Period=FQ","BEST_FPERIOD_OVERRIDE=FQ","FILING_STATUS=OR","EQY_CONSOLIDATED=Y","Sort=A","Dates=H","DateFormat=P","Fill=—","Direction=H","UseDPDF=Y")</f>
        <v>#NAME?</v>
      </c>
      <c r="BV402" s="1" t="e">
        <f ca="1">_xll.BDH($C$378,"TOTAL_CAPITAL_SEQUENTIAL_GROWTH","FQ4 2018","FQ4 2018","Currency=INR","Period=FQ","BEST_FPERIOD_OVERRIDE=FQ","FILING_STATUS=OR","EQY_CONSOLIDATED=Y","Sort=A","Dates=H","DateFormat=P","Fill=—","Direction=H","UseDPDF=Y")</f>
        <v>#NAME?</v>
      </c>
      <c r="BW402" s="1" t="e">
        <f ca="1">_xll.BDH($C$378,"BPS_SEQUENTIAL_GROWTH","FQ4 2018","FQ4 2018","Currency=INR","Period=FQ","BEST_FPERIOD_OVERRIDE=FQ","FILING_STATUS=OR","EQY_CONSOLIDATED=Y","Sort=A","Dates=H","DateFormat=P","Fill=—","Direction=H","UseDPDF=Y")</f>
        <v>#NAME?</v>
      </c>
      <c r="BX402" s="1" t="e">
        <f ca="1">_xll.BDH($C$378,"CFO_SEQUENTIAL_GROWTH","FQ4 2018","FQ4 2018","Currency=INR","Period=FQ","BEST_FPERIOD_OVERRIDE=FQ","FILING_STATUS=OR","EQY_CONSOLIDATED=Y","Sort=A","Dates=H","DateFormat=P","Fill=—","Direction=H","UseDPDF=Y")</f>
        <v>#NAME?</v>
      </c>
      <c r="BY402" s="2" t="e">
        <f ca="1">_xll.BDH($C$378,"SHORT_AND_LONG_TERM_DEBT","FQ4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02" s="2" t="e">
        <f ca="1">_xll.BDH($C$378,"BS_ST_BORROW","FQ4 2018","FQ4 2018","Currency=INR","Period=FQ","BEST_FPERIOD_OVERRIDE=FQ","FILING_STATUS=OR","EQY_CONSOLIDATED=Y","SCALING_FORMAT=MLN","Sort=A","Dates=H","DateFormat=P","Fill=—","Direction=H","UseDPDF=Y")</f>
        <v>#NAME?</v>
      </c>
      <c r="CA402" s="2" t="e">
        <f ca="1">_xll.BDH($C$378,"BS_LT_BORROW","FQ4 2018","FQ4 2018","Currency=INR","Period=FQ","BEST_FPERIOD_OVERRIDE=FQ","FILING_STATUS=OR","EQY_CONSOLIDATED=Y","SCALING_FORMAT=MLN","Sort=A","Dates=H","DateFormat=P","Fill=—","Direction=H","UseDPDF=Y")</f>
        <v>#NAME?</v>
      </c>
      <c r="CB402" s="1" t="e">
        <f ca="1">_xll.BDH($C$378,"TOT_DEBT_TO_EBITDA","FQ4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02" s="1" t="e">
        <f ca="1">_xll.BDH($C$378,"NET_DEBT_TO_EBITDA","FQ4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02" s="1" t="e">
        <f ca="1">_xll.BDH($C$378,"TOTAL_DEBT_TO_EBIT","FQ4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02" s="1" t="e">
        <f ca="1">_xll.BDH($C$378,"NET_DEBT_TO_EBIT","FQ4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402" s="1" t="e">
        <f ca="1">_xll.BDH($C$378,"EBITDA_TO_INTEREST_EXPN","FQ4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02" s="1" t="e">
        <f ca="1">_xll.BDH($C$378,"COM_EQY_TO_TOT_ASSET","FQ4 2018","FQ4 2018","Currency=INR","Period=FQ","BEST_FPERIOD_OVERRIDE=FQ","FILING_STATUS=OR","EQY_CONSOLIDATED=Y","Sort=A","Dates=H","DateFormat=P","Fill=—","Direction=H","UseDPDF=Y")</f>
        <v>#NAME?</v>
      </c>
      <c r="CH402" s="1" t="e">
        <f ca="1">_xll.BDH($C$378,"LT_DEBT_TO_TOT_EQY","FQ4 2018","FQ4 2018","Currency=INR","Period=FQ","BEST_FPERIOD_OVERRIDE=FQ","FILING_STATUS=OR","EQY_CONSOLIDATED=Y","Sort=A","Dates=H","DateFormat=P","Fill=—","Direction=H","UseDPDF=Y")</f>
        <v>#NAME?</v>
      </c>
      <c r="CI402" s="1" t="e">
        <f ca="1">_xll.BDH($C$378,"LT_DEBT_TO_TOT_CAP","FQ4 2018","FQ4 2018","Currency=INR","Period=FQ","BEST_FPERIOD_OVERRIDE=FQ","FILING_STATUS=OR","EQY_CONSOLIDATED=Y","Sort=A","Dates=H","DateFormat=P","Fill=—","Direction=H","UseDPDF=Y")</f>
        <v>#NAME?</v>
      </c>
      <c r="CJ402" s="1" t="e">
        <f ca="1">_xll.BDH($C$378,"LT_DEBT_TO_TOT_ASSET","FQ4 2018","FQ4 2018","Currency=INR","Period=FQ","BEST_FPERIOD_OVERRIDE=FQ","FILING_STATUS=OR","EQY_CONSOLIDATED=Y","Sort=A","Dates=H","DateFormat=P","Fill=—","Direction=H","UseDPDF=Y")</f>
        <v>#NAME?</v>
      </c>
      <c r="CK402" s="1" t="e">
        <f ca="1">_xll.BDH($C$378,"TOT_DEBT_TO_TOT_EQY","FQ4 2018","FQ4 2018","Currency=INR","Period=FQ","BEST_FPERIOD_OVERRIDE=FQ","FILING_STATUS=OR","EQY_CONSOLIDATED=Y","Sort=A","Dates=H","DateFormat=P","Fill=—","Direction=H","UseDPDF=Y")</f>
        <v>#NAME?</v>
      </c>
      <c r="CL402" s="1" t="e">
        <f ca="1">_xll.BDH($C$378,"TOT_DEBT_TO_TOT_CAP","FQ4 2018","FQ4 2018","Currency=INR","Period=FQ","BEST_FPERIOD_OVERRIDE=FQ","FILING_STATUS=OR","EQY_CONSOLIDATED=Y","Sort=A","Dates=H","DateFormat=P","Fill=—","Direction=H","UseDPDF=Y")</f>
        <v>#NAME?</v>
      </c>
      <c r="CM402" s="1" t="e">
        <f ca="1">_xll.BDH($C$378,"TOT_DEBT_TO_TOT_ASSET","FQ4 2018","FQ4 2018","Currency=INR","Period=FQ","BEST_FPERIOD_OVERRIDE=FQ","FILING_STATUS=OR","EQY_CONSOLIDATED=Y","Sort=A","Dates=H","DateFormat=P","Fill=—","Direction=H","UseDPDF=Y")</f>
        <v>#NAME?</v>
      </c>
      <c r="CN402" s="1" t="e">
        <f ca="1">_xll.BDH($C$378,"NET_DEBT_TO_SHRHLDR_EQTY","FQ4 2018","FQ4 2018","Currency=INR","Period=FQ","BEST_FPERIOD_OVERRIDE=FQ","FILING_STATUS=OR","EQY_CONSOLIDATED=Y","Sort=A","Dates=H","DateFormat=P","Fill=—","Direction=H","UseDPDF=Y")</f>
        <v>#NAME?</v>
      </c>
      <c r="CO402" s="1" t="e">
        <f ca="1">_xll.BDH($C$378,"NET_DEBT_%_CAPITAL","FQ4 2018","FQ4 2018","Currency=INR","Period=FQ","BEST_FPERIOD_OVERRIDE=FQ","FILING_STATUS=OR","EQY_CONSOLIDATED=Y","Sort=A","Dates=H","DateFormat=P","Fill=—","Direction=H","UseDPDF=Y")</f>
        <v>#NAME?</v>
      </c>
      <c r="CP402" s="2" t="e">
        <f ca="1">_xll.BDH($C$378,"EBITDA","FQ4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02" s="2" t="e">
        <f ca="1">_xll.BDH($C$378,"EBITDA_AFTER_CAPEX","FQ4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02" s="2" t="e">
        <f ca="1">_xll.BDH($C$378,"IS_OPER_INC","FQ4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02" s="1" t="e">
        <f ca="1">_xll.BDH($C$378,"CASH_RATIO","FQ4 2018","FQ4 2018","Currency=INR","Period=FQ","BEST_FPERIOD_OVERRIDE=FQ","FILING_STATUS=OR","EQY_CONSOLIDATED=Y","Sort=A","Dates=H","DateFormat=P","Fill=—","Direction=H","UseDPDF=Y")</f>
        <v>#NAME?</v>
      </c>
      <c r="CT402" s="1" t="e">
        <f ca="1">_xll.BDH($C$378,"CUR_RATIO","FQ4 2018","FQ4 2018","Currency=INR","Period=FQ","BEST_FPERIOD_OVERRIDE=FQ","FILING_STATUS=OR","EQY_CONSOLIDATED=Y","Sort=A","Dates=H","DateFormat=P","Fill=—","Direction=H","UseDPDF=Y")</f>
        <v>#NAME?</v>
      </c>
      <c r="CU402" s="1" t="e">
        <f ca="1">_xll.BDH($C$378,"QUICK_RATIO","FQ4 2018","FQ4 2018","Currency=INR","Period=FQ","BEST_FPERIOD_OVERRIDE=FQ","FILING_STATUS=OR","EQY_CONSOLIDATED=Y","Sort=A","Dates=H","DateFormat=P","Fill=—","Direction=H","UseDPDF=Y")</f>
        <v>#NAME?</v>
      </c>
      <c r="CV402" s="1" t="e">
        <f ca="1">_xll.BDH($C$378,"ALTMAN_Z_SCORE","FQ4 2018","FQ4 2018","Currency=INR","Period=FQ","BEST_FPERIOD_OVERRIDE=FQ","FILING_STATUS=OR","EQY_CONSOLIDATED=Y","Sort=A","Dates=H","DateFormat=P","Fill=—","Direction=H","UseDPDF=Y")</f>
        <v>#NAME?</v>
      </c>
      <c r="CW402" s="3" t="e">
        <f ca="1">_xll.BDH($C$378,"ACCT_RCV_TURN","FQ4 2018","FQ4 2018","Currency=INR","Period=FQ","BEST_FPERIOD_OVERRIDE=FQ","FILING_STATUS=OR","EQY_CONSOLIDATED=Y","FA_ADJUSTED=GAAP","Sort=A","Dates=H","DateFormat=P","Fill=—","Direction=H","UseDPDF=Y")</f>
        <v>#NAME?</v>
      </c>
      <c r="CX402" s="1" t="e">
        <f ca="1">_xll.BDH($C$378,"ACCT_RCV_DAYS","FQ4 2018","FQ4 2018","Currency=INR","Period=FQ","BEST_FPERIOD_OVERRIDE=FQ","FILING_STATUS=OR","EQY_CONSOLIDATED=Y","FA_ADJUSTED=GAAP","Sort=A","Dates=H","DateFormat=P","Fill=—","Direction=H","UseDPDF=Y")</f>
        <v>#NAME?</v>
      </c>
      <c r="CY402" s="3" t="e">
        <f ca="1">_xll.BDH($C$378,"INVENT_TURN","FQ4 2018","FQ4 2018","Currency=INR","Period=FQ","BEST_FPERIOD_OVERRIDE=FQ","FILING_STATUS=OR","EQY_CONSOLIDATED=Y","FA_ADJUSTED=GAAP","Sort=A","Dates=H","DateFormat=P","Fill=—","Direction=H","UseDPDF=Y")</f>
        <v>#NAME?</v>
      </c>
      <c r="CZ402" s="1" t="e">
        <f ca="1">_xll.BDH($C$378,"INVENT_DAYS","FQ4 2018","FQ4 2018","Currency=INR","Period=FQ","BEST_FPERIOD_OVERRIDE=FQ","FILING_STATUS=OR","EQY_CONSOLIDATED=Y","FA_ADJUSTED=GAAP","Sort=A","Dates=H","DateFormat=P","Fill=—","Direction=H","UseDPDF=Y")</f>
        <v>#NAME?</v>
      </c>
      <c r="DA402" s="3" t="e">
        <f ca="1">_xll.BDH($C$378,"ACCOUNTS_PAYABLE_TURNOVER","FQ4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02" s="1" t="e">
        <f ca="1">_xll.BDH($C$378,"ACCOUNTS_PAYABLE_TURNOVER_DAYS","FQ4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02" s="3" t="e">
        <f ca="1">_xll.BDH($C$378,"CASH_CONVERSION_CYCLE","FQ4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02" s="3" t="e">
        <f ca="1">_xll.BDH($C$378,"INV_TO_CASH_DAYS","FQ4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402" s="4" t="e">
        <f ca="1">_xll.BDH($C$378,"BS_INVENTORIES","FQ4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402" s="2" t="e">
        <f ca="1">_xll.BDH($C$378,"INVTRY_RAW_MATERIALS","FQ4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02" s="2" t="e">
        <f ca="1">_xll.BDH($C$378,"INVTRY_IN_PROGRESS","FQ4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02" s="2" t="e">
        <f ca="1">_xll.BDH($C$378,"INVTRY_FINISHED_GOODS","FQ4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02" s="2" t="e">
        <f ca="1">_xll.BDH($C$378,"BS_OTHER_INV","FQ4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03" spans="1:113" x14ac:dyDescent="0.3">
      <c r="A403" s="6">
        <v>67</v>
      </c>
      <c r="B403" s="6" t="s">
        <v>42</v>
      </c>
      <c r="C403" s="6" t="s">
        <v>43</v>
      </c>
      <c r="D403" s="6" t="s">
        <v>2</v>
      </c>
      <c r="E403" t="s">
        <v>3</v>
      </c>
      <c r="F403" t="e">
        <f ca="1">_xll.BDH($C$403,"RETURN_COM_EQY","FY 2014","FY 2014","Currency=INR","Period=FY","BEST_FPERIOD_OVERRIDE=FY","FILING_STATUS=OR","EQY_CONSOLIDATED=Y","FA_ADJUSTED=GAAP","Sort=A","Dates=H","DateFormat=P","Fill=—","Direction=H","UseDPDF=Y")</f>
        <v>#NAME?</v>
      </c>
      <c r="G403" t="e">
        <f ca="1">_xll.BDH($C$403,"RETURN_ON_ASSET","FY 2014","FY 2014","Currency=INR","Period=FY","BEST_FPERIOD_OVERRIDE=FY","FILING_STATUS=OR","EQY_CONSOLIDATED=Y","FA_ADJUSTED=GAAP","Sort=A","Dates=H","DateFormat=P","Fill=—","Direction=H","UseDPDF=Y")</f>
        <v>#NAME?</v>
      </c>
      <c r="H403" t="e">
        <f ca="1">_xll.BDH($C$403,"RETURN_ON_CAP","FY 2014","FY 2014","Currency=INR","Period=FY","BEST_FPERIOD_OVERRIDE=FY","FILING_STATUS=OR","EQY_CONSOLIDATED=Y","FA_ADJUSTED=GAAP","Sort=A","Dates=H","DateFormat=P","Fill=—","Direction=H","UseDPDF=Y")</f>
        <v>#NAME?</v>
      </c>
      <c r="I403" t="e">
        <f ca="1">_xll.BDH($C$403,"RETURN_ON_INV_CAPITAL","FY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03" t="e">
        <f ca="1">_xll.BDH($C$403,"EBITDA_TO_REVENUE","FY 2014","FY 2014","Currency=INR","Period=FY","BEST_FPERIOD_OVERRIDE=FY","FILING_STATUS=OR","EQY_CONSOLIDATED=Y","FA_ADJUSTED=GAAP","Sort=A","Dates=H","DateFormat=P","Fill=—","Direction=H","UseDPDF=Y")</f>
        <v>#NAME?</v>
      </c>
      <c r="K403" t="e">
        <f ca="1">_xll.BDH($C$403,"OPER_MARGIN","FY 2014","FY 2014","Currency=INR","Period=FY","BEST_FPERIOD_OVERRIDE=FY","FILING_STATUS=OR","EQY_CONSOLIDATED=Y","FA_ADJUSTED=GAAP","Sort=A","Dates=H","DateFormat=P","Fill=—","Direction=H","UseDPDF=Y")</f>
        <v>#NAME?</v>
      </c>
      <c r="L403" t="e">
        <f ca="1">_xll.BDH($C$403,"INCREMENTAL_OPERATING_MARGIN","FY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03" t="e">
        <f ca="1">_xll.BDH($C$403,"PRETAX_INC_TO_NET_SALES","FY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03" t="e">
        <f ca="1">_xll.BDH($C$403,"INC_BEF_XO_ITEMS_TO_NET_SALES","FY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03" t="e">
        <f ca="1">_xll.BDH($C$403,"PROF_MARGIN","FY 2014","FY 2014","Currency=INR","Period=FY","BEST_FPERIOD_OVERRIDE=FY","FILING_STATUS=OR","EQY_CONSOLIDATED=Y","FA_ADJUSTED=GAAP","Sort=A","Dates=H","DateFormat=P","Fill=—","Direction=H","UseDPDF=Y")</f>
        <v>#NAME?</v>
      </c>
      <c r="P403" t="e">
        <f ca="1">_xll.BDH($C$403,"NET_INCOME_TO_COMMON_MARGIN","FY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03" t="e">
        <f ca="1">_xll.BDH($C$403,"EFF_TAX_RATE","FY 2014","FY 2014","Currency=INR","Period=FY","BEST_FPERIOD_OVERRIDE=FY","FILING_STATUS=OR","EQY_CONSOLIDATED=Y","FA_ADJUSTED=GAAP","Sort=A","Dates=H","DateFormat=P","Fill=—","Direction=H","UseDPDF=Y")</f>
        <v>#NAME?</v>
      </c>
      <c r="R403" t="e">
        <f ca="1">_xll.BDH($C$403,"DVD_PAYOUT_RATIO","FY 2014","FY 2014","Currency=INR","Period=FY","BEST_FPERIOD_OVERRIDE=FY","FILING_STATUS=OR","EQY_CONSOLIDATED=Y","FA_ADJUSTED=GAAP","Sort=A","Dates=H","DateFormat=P","Fill=—","Direction=H","UseDPDF=Y")</f>
        <v>#NAME?</v>
      </c>
      <c r="S403" t="e">
        <f ca="1">_xll.BDH($C$403,"SUSTAIN_GROWTH_RT","FY 2014","FY 2014","Currency=INR","Period=FY","BEST_FPERIOD_OVERRIDE=FY","FILING_STATUS=OR","EQY_CONSOLIDATED=Y","FA_ADJUSTED=GAAP","Sort=A","Dates=H","DateFormat=P","Fill=—","Direction=H","UseDPDF=Y")</f>
        <v>#NAME?</v>
      </c>
      <c r="T403" s="1" t="e">
        <f ca="1">_xll.BDH($C$403,"SALES_GROWTH","FY 2014","FY 2014","Currency=INR","Period=FY","BEST_FPERIOD_OVERRIDE=FY","FILING_STATUS=OR","EQY_CONSOLIDATED=Y","FA_ADJUSTED=GAAP","Sort=A","Dates=H","DateFormat=P","Fill=—","Direction=H","UseDPDF=Y")</f>
        <v>#NAME?</v>
      </c>
      <c r="U403" s="1" t="e">
        <f ca="1">_xll.BDH($C$403,"EBITDA_GROWTH","FY 2014","FY 2014","Currency=INR","Period=FY","BEST_FPERIOD_OVERRIDE=FY","FILING_STATUS=OR","EQY_CONSOLIDATED=Y","FA_ADJUSTED=GAAP","Sort=A","Dates=H","DateFormat=P","Fill=—","Direction=H","UseDPDF=Y")</f>
        <v>#NAME?</v>
      </c>
      <c r="V403" s="1" t="e">
        <f ca="1">_xll.BDH($C$403,"OPER_INC_GROWTH","FY 2014","FY 2014","Currency=INR","Period=FY","BEST_FPERIOD_OVERRIDE=FY","FILING_STATUS=OR","EQY_CONSOLIDATED=Y","FA_ADJUSTED=GAAP","Sort=A","Dates=H","DateFormat=P","Fill=—","Direction=H","UseDPDF=Y")</f>
        <v>#NAME?</v>
      </c>
      <c r="W403" s="1" t="e">
        <f ca="1">_xll.BDH($C$403,"EARN_FOR_COM_GROWTH","FY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403" s="1" t="e">
        <f ca="1">_xll.BDH($C$403,"DILUTED_EPS_AFT_XO_ITEMS_GROWTH","FY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03" s="1" t="e">
        <f ca="1">_xll.BDH($C$403,"DIVIDEND_PER_SHARE_1_YEAR_GROWTH","FY 2014","FY 2014","Currency=INR","Period=FY","BEST_FPERIOD_OVERRIDE=FY","FILING_STATUS=OR","EQY_CONSOLIDATED=Y","Sort=A","Dates=H","DateFormat=P","Fill=—","Direction=H","UseDPDF=Y")</f>
        <v>#NAME?</v>
      </c>
      <c r="Z403" s="1" t="e">
        <f ca="1">_xll.BDH($C$403,"ACCOUNTS_RECEIVABLE_GROWTH","FY 2014","FY 2014","Currency=INR","Period=FY","BEST_FPERIOD_OVERRIDE=FY","FILING_STATUS=OR","EQY_CONSOLIDATED=Y","Sort=A","Dates=H","DateFormat=P","Fill=—","Direction=H","UseDPDF=Y")</f>
        <v>#NAME?</v>
      </c>
      <c r="AA403" s="1" t="e">
        <f ca="1">_xll.BDH($C$403,"INVENTORY_GROWTH","FY 2014","FY 2014","Currency=INR","Period=FY","BEST_FPERIOD_OVERRIDE=FY","FILING_STATUS=OR","EQY_CONSOLIDATED=Y","Sort=A","Dates=H","DateFormat=P","Fill=—","Direction=H","UseDPDF=Y")</f>
        <v>#NAME?</v>
      </c>
      <c r="AB403" s="1" t="e">
        <f ca="1">_xll.BDH($C$403,"NET_FIXED_ASSETS_1_YEAR_GROWTH","FY 2014","FY 2014","Currency=INR","Period=FY","BEST_FPERIOD_OVERRIDE=FY","FILING_STATUS=OR","EQY_CONSOLIDATED=Y","Sort=A","Dates=H","DateFormat=P","Fill=—","Direction=H","UseDPDF=Y")</f>
        <v>#NAME?</v>
      </c>
      <c r="AC403" s="1" t="e">
        <f ca="1">_xll.BDH($C$403,"ASSET_GROWTH","FY 2014","FY 2014","Currency=INR","Period=FY","BEST_FPERIOD_OVERRIDE=FY","FILING_STATUS=OR","EQY_CONSOLIDATED=Y","Sort=A","Dates=H","DateFormat=P","Fill=—","Direction=H","UseDPDF=Y")</f>
        <v>#NAME?</v>
      </c>
      <c r="AD403" s="1" t="e">
        <f ca="1">_xll.BDH($C$403,"MODIFIED_WORK_CAP_GROWTH","FY 2014","FY 2014","Currency=INR","Period=FY","BEST_FPERIOD_OVERRIDE=FY","FILING_STATUS=OR","EQY_CONSOLIDATED=Y","Sort=A","Dates=H","DateFormat=P","Fill=—","Direction=H","UseDPDF=Y")</f>
        <v>#NAME?</v>
      </c>
      <c r="AE403" s="1" t="e">
        <f ca="1">_xll.BDH($C$403,"WORK_CAP_GROWTH","FY 2014","FY 2014","Currency=INR","Period=FY","BEST_FPERIOD_OVERRIDE=FY","FILING_STATUS=OR","EQY_CONSOLIDATED=Y","Sort=A","Dates=H","DateFormat=P","Fill=—","Direction=H","UseDPDF=Y")</f>
        <v>#NAME?</v>
      </c>
      <c r="AF403" s="1" t="e">
        <f ca="1">_xll.BDH($C$403,"ACCOUNTS_PAYABLE_GROWTH_1YR","FY 2014","FY 2014","Currency=INR","Period=FY","BEST_FPERIOD_OVERRIDE=FY","FILING_STATUS=OR","EQY_CONSOLIDATED=Y","Sort=A","Dates=H","DateFormat=P","Fill=—","Direction=H","UseDPDF=Y")</f>
        <v>#NAME?</v>
      </c>
      <c r="AG403" s="1" t="e">
        <f ca="1">_xll.BDH($C$403,"SHORT_TERM_DEBT_1_YEAR_GROWTH","FY 2014","FY 2014","Currency=INR","Period=FY","BEST_FPERIOD_OVERRIDE=FY","FILING_STATUS=OR","EQY_CONSOLIDATED=Y","Sort=A","Dates=H","DateFormat=P","Fill=—","Direction=H","UseDPDF=Y")</f>
        <v>#NAME?</v>
      </c>
      <c r="AH403" s="1" t="e">
        <f ca="1">_xll.BDH($C$403,"TOTAL_DEBT_1_YEAR_GROWTH","FY 2014","FY 2014","Currency=INR","Period=FY","BEST_FPERIOD_OVERRIDE=FY","FILING_STATUS=OR","EQY_CONSOLIDATED=Y","Sort=A","Dates=H","DateFormat=P","Fill=—","Direction=H","UseDPDF=Y")</f>
        <v>#NAME?</v>
      </c>
      <c r="AI403" s="1" t="e">
        <f ca="1">_xll.BDH($C$403,"TOTAL_EQUITY_1_YEAR_GROWTH","FY 2014","FY 2014","Currency=INR","Period=FY","BEST_FPERIOD_OVERRIDE=FY","FILING_STATUS=OR","EQY_CONSOLIDATED=Y","Sort=A","Dates=H","DateFormat=P","Fill=—","Direction=H","UseDPDF=Y")</f>
        <v>#NAME?</v>
      </c>
      <c r="AJ403" s="1" t="e">
        <f ca="1">_xll.BDH($C$403,"GROWTH_IN_CAP","FY 2014","FY 2014","Currency=INR","Period=FY","BEST_FPERIOD_OVERRIDE=FY","FILING_STATUS=OR","EQY_CONSOLIDATED=Y","Sort=A","Dates=H","DateFormat=P","Fill=—","Direction=H","UseDPDF=Y")</f>
        <v>#NAME?</v>
      </c>
      <c r="AK403" s="1" t="e">
        <f ca="1">_xll.BDH($C$403,"BVPS_GROWTH","FY 2014","FY 2014","Currency=INR","Period=FY","BEST_FPERIOD_OVERRIDE=FY","FILING_STATUS=OR","EQY_CONSOLIDATED=Y","Sort=A","Dates=H","DateFormat=P","Fill=—","Direction=H","UseDPDF=Y")</f>
        <v>#NAME?</v>
      </c>
      <c r="AL403" s="1" t="e">
        <f ca="1">_xll.BDH($C$403,"CASH_FLOW_GROWTH","FY 2014","FY 2014","Currency=INR","Period=FY","BEST_FPERIOD_OVERRIDE=FY","FILING_STATUS=OR","EQY_CONSOLIDATED=Y","Sort=A","Dates=H","DateFormat=P","Fill=—","Direction=H","UseDPDF=Y")</f>
        <v>#NAME?</v>
      </c>
      <c r="AM403" s="1" t="e">
        <f ca="1">_xll.BDH($C$403,"GEO_GROW_NET_SALES","FY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403" s="1" t="e">
        <f ca="1">_xll.BDH($C$403,"GEO_GROW_EBITDA","FY 2014","FY 2014","Currency=INR","Period=FY","BEST_FPERIOD_OVERRIDE=FY","FILING_STATUS=OR","EQY_CONSOLIDATED=Y","FA_ADJUSTED=GAAP","Sort=A","Dates=H","DateFormat=P","Fill=—","Direction=H","UseDPDF=Y")</f>
        <v>#NAME?</v>
      </c>
      <c r="AO403" s="1" t="e">
        <f ca="1">_xll.BDH($C$403,"GEO_GROW_OPER_INC","FY 2014","FY 2014","Currency=INR","Period=FY","BEST_FPERIOD_OVERRIDE=FY","FILING_STATUS=OR","EQY_CONSOLIDATED=Y","FA_ADJUSTED=GAAP","Sort=A","Dates=H","DateFormat=P","Fill=—","Direction=H","UseDPDF=Y")</f>
        <v>#NAME?</v>
      </c>
      <c r="AP403" s="1" t="e">
        <f ca="1">_xll.BDH($C$403,"NET_INCOME_TO_COMMON_5_YR_GROWTH","FY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03" s="1" t="e">
        <f ca="1">_xll.BDH($C$403,"5Y_GEO_GROWTH_DILUTED_EPS","FY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03" s="1" t="e">
        <f ca="1">_xll.BDH($C$403,"GEO_GROW_DVD_PER_SH","FY 2014","FY 2014","Currency=INR","Period=FY","BEST_FPERIOD_OVERRIDE=FY","FILING_STATUS=OR","EQY_CONSOLIDATED=Y","Sort=A","Dates=H","DateFormat=P","Fill=—","Direction=H","UseDPDF=Y")</f>
        <v>#NAME?</v>
      </c>
      <c r="AS403" s="1" t="e">
        <f ca="1">_xll.BDH($C$403,"ACCOUNTS_RECEIVABLE_5_YR_GROWTH","FY 2014","FY 2014","Currency=INR","Period=FY","BEST_FPERIOD_OVERRIDE=FY","FILING_STATUS=OR","EQY_CONSOLIDATED=Y","Sort=A","Dates=H","DateFormat=P","Fill=—","Direction=H","UseDPDF=Y")</f>
        <v>#NAME?</v>
      </c>
      <c r="AT403" s="1" t="e">
        <f ca="1">_xll.BDH($C$403,"INVENTORY_5_YEAR_GROWTH","FY 2014","FY 2014","Currency=INR","Period=FY","BEST_FPERIOD_OVERRIDE=FY","FILING_STATUS=OR","EQY_CONSOLIDATED=Y","Sort=A","Dates=H","DateFormat=P","Fill=—","Direction=H","UseDPDF=Y")</f>
        <v>#NAME?</v>
      </c>
      <c r="AU403" s="1" t="e">
        <f ca="1">_xll.BDH($C$403,"NET_FIXED_ASSETS_5_YEAR_GROWTH","FY 2014","FY 2014","Currency=INR","Period=FY","BEST_FPERIOD_OVERRIDE=FY","FILING_STATUS=OR","EQY_CONSOLIDATED=Y","Sort=A","Dates=H","DateFormat=P","Fill=—","Direction=H","UseDPDF=Y")</f>
        <v>#NAME?</v>
      </c>
      <c r="AV403" s="1" t="e">
        <f ca="1">_xll.BDH($C$403,"GEO_GROW_TOT_ASSET","FY 2014","FY 2014","Currency=INR","Period=FY","BEST_FPERIOD_OVERRIDE=FY","FILING_STATUS=OR","EQY_CONSOLIDATED=Y","Sort=A","Dates=H","DateFormat=P","Fill=—","Direction=H","UseDPDF=Y")</f>
        <v>#NAME?</v>
      </c>
      <c r="AW403" s="1" t="e">
        <f ca="1">_xll.BDH($C$403,"MODIFIED_WORKING_CPTL_5YR_GRWTH","FY 2014","FY 2014","Currency=INR","Period=FY","BEST_FPERIOD_OVERRIDE=FY","FILING_STATUS=OR","EQY_CONSOLIDATED=Y","Sort=A","Dates=H","DateFormat=P","Fill=—","Direction=H","UseDPDF=Y")</f>
        <v>#NAME?</v>
      </c>
      <c r="AX403" s="1" t="e">
        <f ca="1">_xll.BDH($C$403,"WORKING_CAPITAL_5_YEAR_GROWTH","FY 2014","FY 2014","Currency=INR","Period=FY","BEST_FPERIOD_OVERRIDE=FY","FILING_STATUS=OR","EQY_CONSOLIDATED=Y","Sort=A","Dates=H","DateFormat=P","Fill=—","Direction=H","UseDPDF=Y")</f>
        <v>#NAME?</v>
      </c>
      <c r="AY403" s="1" t="e">
        <f ca="1">_xll.BDH($C$403,"ACCOUNTS_PAYABLE_5_YEAR_GROWTH","FY 2014","FY 2014","Currency=INR","Period=FY","BEST_FPERIOD_OVERRIDE=FY","FILING_STATUS=OR","EQY_CONSOLIDATED=Y","Sort=A","Dates=H","DateFormat=P","Fill=—","Direction=H","UseDPDF=Y")</f>
        <v>#NAME?</v>
      </c>
      <c r="AZ403" s="1" t="e">
        <f ca="1">_xll.BDH($C$403,"SHORT_TERM_DEBT_5_YEAR_GROWTH","FY 2014","FY 2014","Currency=INR","Period=FY","BEST_FPERIOD_OVERRIDE=FY","FILING_STATUS=OR","EQY_CONSOLIDATED=Y","Sort=A","Dates=H","DateFormat=P","Fill=—","Direction=H","UseDPDF=Y")</f>
        <v>#NAME?</v>
      </c>
      <c r="BA403" s="1" t="e">
        <f ca="1">_xll.BDH($C$403,"TOTAL_DEBT_5_YEAR_GROWTH","FY 2014","FY 2014","Currency=INR","Period=FY","BEST_FPERIOD_OVERRIDE=FY","FILING_STATUS=OR","EQY_CONSOLIDATED=Y","Sort=A","Dates=H","DateFormat=P","Fill=—","Direction=H","UseDPDF=Y")</f>
        <v>#NAME?</v>
      </c>
      <c r="BB403" s="1" t="e">
        <f ca="1">_xll.BDH($C$403,"GEO_GROW_TOT_SHRHLDR_EQY","FY 2014","FY 2014","Currency=INR","Period=FY","BEST_FPERIOD_OVERRIDE=FY","FILING_STATUS=OR","EQY_CONSOLIDATED=Y","Sort=A","Dates=H","DateFormat=P","Fill=—","Direction=H","UseDPDF=Y")</f>
        <v>#NAME?</v>
      </c>
      <c r="BC403" s="1" t="e">
        <f ca="1">_xll.BDH($C$403,"TOTAL_CAPITAL_5_YEAR_GROWTH","FY 2014","FY 2014","Currency=INR","Period=FY","BEST_FPERIOD_OVERRIDE=FY","FILING_STATUS=OR","EQY_CONSOLIDATED=Y","Sort=A","Dates=H","DateFormat=P","Fill=—","Direction=H","UseDPDF=Y")</f>
        <v>#NAME?</v>
      </c>
      <c r="BD403" s="1" t="e">
        <f ca="1">_xll.BDH($C$403,"GEO_GROW_BOOK_VAL","FY 2014","FY 2014","Currency=INR","Period=FY","BEST_FPERIOD_OVERRIDE=FY","FILING_STATUS=OR","EQY_CONSOLIDATED=Y","Sort=A","Dates=H","DateFormat=P","Fill=—","Direction=H","UseDPDF=Y")</f>
        <v>#NAME?</v>
      </c>
      <c r="BE403" s="1" t="e">
        <f ca="1">_xll.BDH($C$403,"GEO_GROW_CASH_OPER_ACT","FY 2014","FY 2014","Currency=INR","Period=FY","BEST_FPERIOD_OVERRIDE=FY","FILING_STATUS=OR","EQY_CONSOLIDATED=Y","Sort=A","Dates=H","DateFormat=P","Fill=—","Direction=H","UseDPDF=Y")</f>
        <v>#NAME?</v>
      </c>
      <c r="BF403" s="1" t="e">
        <f ca="1">_xll.BDH($C$403,"REVENUE_SEQUENTIAL_GROWTH","FY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03" s="1" t="e">
        <f ca="1">_xll.BDH($C$403,"EBITDA_SEQUENTIAL_GROWTH","FY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03" s="1" t="e">
        <f ca="1">_xll.BDH($C$403,"OPERATING_INCOME_SEQ_GROWTH","FY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03" s="1" t="e">
        <f ca="1">_xll.BDH($C$403,"NET_INCOME_TO_COMMON_SEQ_GROWTH","FY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03" s="1" t="e">
        <f ca="1">_xll.BDH($C$403,"EPS_DILUTED_SEQUENTIAL_GROWTH","FY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03" s="1" t="e">
        <f ca="1">_xll.BDH($C$403,"DPS_SEQUENTIAL_GROWTH","FY 2014","FY 2014","Currency=INR","Period=FY","BEST_FPERIOD_OVERRIDE=FY","FILING_STATUS=OR","EQY_CONSOLIDATED=Y","Sort=A","Dates=H","DateFormat=P","Fill=—","Direction=H","UseDPDF=Y")</f>
        <v>#NAME?</v>
      </c>
      <c r="BL403" s="1" t="e">
        <f ca="1">_xll.BDH($C$403,"ACCOUNTS_RECEIVABLE_SEQ_GROWTH","FY 2014","FY 2014","Currency=INR","Period=FY","BEST_FPERIOD_OVERRIDE=FY","FILING_STATUS=OR","EQY_CONSOLIDATED=Y","Sort=A","Dates=H","DateFormat=P","Fill=—","Direction=H","UseDPDF=Y")</f>
        <v>#NAME?</v>
      </c>
      <c r="BM403" s="1" t="e">
        <f ca="1">_xll.BDH($C$403,"INVENTORY_SEQUENTIAL_GROWTH","FY 2014","FY 2014","Currency=INR","Period=FY","BEST_FPERIOD_OVERRIDE=FY","FILING_STATUS=OR","EQY_CONSOLIDATED=Y","Sort=A","Dates=H","DateFormat=P","Fill=—","Direction=H","UseDPDF=Y")</f>
        <v>#NAME?</v>
      </c>
      <c r="BN403" s="1" t="e">
        <f ca="1">_xll.BDH($C$403,"FIXED_ASSETS_SEQUENTIAL_GROWTH","FY 2014","FY 2014","Currency=INR","Period=FY","BEST_FPERIOD_OVERRIDE=FY","FILING_STATUS=OR","EQY_CONSOLIDATED=Y","Sort=A","Dates=H","DateFormat=P","Fill=—","Direction=H","UseDPDF=Y")</f>
        <v>#NAME?</v>
      </c>
      <c r="BO403" s="1" t="e">
        <f ca="1">_xll.BDH($C$403,"TOTAL_ASSETS_SEQUENTIAL_GROWTH","FY 2014","FY 2014","Currency=INR","Period=FY","BEST_FPERIOD_OVERRIDE=FY","FILING_STATUS=OR","EQY_CONSOLIDATED=Y","Sort=A","Dates=H","DateFormat=P","Fill=—","Direction=H","UseDPDF=Y")</f>
        <v>#NAME?</v>
      </c>
      <c r="BP403" s="1" t="e">
        <f ca="1">_xll.BDH($C$403,"MODIFIED_WORKING_CPTL_SEQ_GRWTH","FY 2014","FY 2014","Currency=INR","Period=FY","BEST_FPERIOD_OVERRIDE=FY","FILING_STATUS=OR","EQY_CONSOLIDATED=Y","Sort=A","Dates=H","DateFormat=P","Fill=—","Direction=H","UseDPDF=Y")</f>
        <v>#NAME?</v>
      </c>
      <c r="BQ403" s="1" t="e">
        <f ca="1">_xll.BDH($C$403,"WORKING_CAPITAL_SEQ_GROWTH","FY 2014","FY 2014","Currency=INR","Period=FY","BEST_FPERIOD_OVERRIDE=FY","FILING_STATUS=OR","EQY_CONSOLIDATED=Y","Sort=A","Dates=H","DateFormat=P","Fill=—","Direction=H","UseDPDF=Y")</f>
        <v>#NAME?</v>
      </c>
      <c r="BR403" s="1" t="e">
        <f ca="1">_xll.BDH($C$403,"ACCOUNTS_PAYABLE_SEQ_GROWTH","FY 2014","FY 2014","Currency=INR","Period=FY","BEST_FPERIOD_OVERRIDE=FY","FILING_STATUS=OR","EQY_CONSOLIDATED=Y","Sort=A","Dates=H","DateFormat=P","Fill=—","Direction=H","UseDPDF=Y")</f>
        <v>#NAME?</v>
      </c>
      <c r="BS403" s="1" t="e">
        <f ca="1">_xll.BDH($C$403,"ST_DEBT_SEQUENTIAL_GROWTH","FY 2014","FY 2014","Currency=INR","Period=FY","BEST_FPERIOD_OVERRIDE=FY","FILING_STATUS=OR","EQY_CONSOLIDATED=Y","Sort=A","Dates=H","DateFormat=P","Fill=—","Direction=H","UseDPDF=Y")</f>
        <v>#NAME?</v>
      </c>
      <c r="BT403" s="1" t="e">
        <f ca="1">_xll.BDH($C$403,"TOTAL_DEBT_SEQUENTIAL_GROWTH","FY 2014","FY 2014","Currency=INR","Period=FY","BEST_FPERIOD_OVERRIDE=FY","FILING_STATUS=OR","EQY_CONSOLIDATED=Y","Sort=A","Dates=H","DateFormat=P","Fill=—","Direction=H","UseDPDF=Y")</f>
        <v>#NAME?</v>
      </c>
      <c r="BU403" s="1" t="e">
        <f ca="1">_xll.BDH($C$403,"TOTAL_EQUITY_SEQUENTIAL_GROWTH","FY 2014","FY 2014","Currency=INR","Period=FY","BEST_FPERIOD_OVERRIDE=FY","FILING_STATUS=OR","EQY_CONSOLIDATED=Y","Sort=A","Dates=H","DateFormat=P","Fill=—","Direction=H","UseDPDF=Y")</f>
        <v>#NAME?</v>
      </c>
      <c r="BV403" s="1" t="e">
        <f ca="1">_xll.BDH($C$403,"TOTAL_CAPITAL_SEQUENTIAL_GROWTH","FY 2014","FY 2014","Currency=INR","Period=FY","BEST_FPERIOD_OVERRIDE=FY","FILING_STATUS=OR","EQY_CONSOLIDATED=Y","Sort=A","Dates=H","DateFormat=P","Fill=—","Direction=H","UseDPDF=Y")</f>
        <v>#NAME?</v>
      </c>
      <c r="BW403" s="1" t="e">
        <f ca="1">_xll.BDH($C$403,"BPS_SEQUENTIAL_GROWTH","FY 2014","FY 2014","Currency=INR","Period=FY","BEST_FPERIOD_OVERRIDE=FY","FILING_STATUS=OR","EQY_CONSOLIDATED=Y","Sort=A","Dates=H","DateFormat=P","Fill=—","Direction=H","UseDPDF=Y")</f>
        <v>#NAME?</v>
      </c>
      <c r="BX403" s="1" t="e">
        <f ca="1">_xll.BDH($C$403,"CFO_SEQUENTIAL_GROWTH","FY 2014","FY 2014","Currency=INR","Period=FY","BEST_FPERIOD_OVERRIDE=FY","FILING_STATUS=OR","EQY_CONSOLIDATED=Y","Sort=A","Dates=H","DateFormat=P","Fill=—","Direction=H","UseDPDF=Y")</f>
        <v>#NAME?</v>
      </c>
      <c r="BY403" s="2" t="e">
        <f ca="1">_xll.BDH($C$403,"SHORT_AND_LONG_TERM_DEBT","FY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03" s="2" t="e">
        <f ca="1">_xll.BDH($C$403,"BS_ST_BORROW","FY 2014","FY 2014","Currency=INR","Period=FY","BEST_FPERIOD_OVERRIDE=FY","FILING_STATUS=OR","EQY_CONSOLIDATED=Y","SCALING_FORMAT=MLN","Sort=A","Dates=H","DateFormat=P","Fill=—","Direction=H","UseDPDF=Y")</f>
        <v>#NAME?</v>
      </c>
      <c r="CA403" s="2" t="e">
        <f ca="1">_xll.BDH($C$403,"BS_LT_BORROW","FY 2014","FY 2014","Currency=INR","Period=FY","BEST_FPERIOD_OVERRIDE=FY","FILING_STATUS=OR","EQY_CONSOLIDATED=Y","SCALING_FORMAT=MLN","Sort=A","Dates=H","DateFormat=P","Fill=—","Direction=H","UseDPDF=Y")</f>
        <v>#NAME?</v>
      </c>
      <c r="CB403" s="1" t="e">
        <f ca="1">_xll.BDH($C$403,"TOT_DEBT_TO_EBITDA","FY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403" s="1" t="e">
        <f ca="1">_xll.BDH($C$403,"NET_DEBT_TO_EBITDA","FY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403" s="1" t="e">
        <f ca="1">_xll.BDH($C$403,"TOTAL_DEBT_TO_EBIT","FY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403" s="1" t="e">
        <f ca="1">_xll.BDH($C$403,"NET_DEBT_TO_EBIT","FY 2014","FY 2014","Currency=INR","Period=FY","BEST_FPERIOD_OVERRIDE=FY","FILING_STATUS=OR","EQY_CONSOLIDATED=Y","FA_ADJUSTED=GAAP","Sort=A","Dates=H","DateFormat=P","Fill=—","Direction=H","UseDPDF=Y")</f>
        <v>#NAME?</v>
      </c>
      <c r="CF403" s="1" t="e">
        <f ca="1">_xll.BDH($C$403,"EBITDA_TO_INTEREST_EXPN","FY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03" s="1" t="e">
        <f ca="1">_xll.BDH($C$403,"COM_EQY_TO_TOT_ASSET","FY 2014","FY 2014","Currency=INR","Period=FY","BEST_FPERIOD_OVERRIDE=FY","FILING_STATUS=OR","EQY_CONSOLIDATED=Y","Sort=A","Dates=H","DateFormat=P","Fill=—","Direction=H","UseDPDF=Y")</f>
        <v>#NAME?</v>
      </c>
      <c r="CH403" s="1" t="e">
        <f ca="1">_xll.BDH($C$403,"LT_DEBT_TO_TOT_EQY","FY 2014","FY 2014","Currency=INR","Period=FY","BEST_FPERIOD_OVERRIDE=FY","FILING_STATUS=OR","EQY_CONSOLIDATED=Y","Sort=A","Dates=H","DateFormat=P","Fill=—","Direction=H","UseDPDF=Y")</f>
        <v>#NAME?</v>
      </c>
      <c r="CI403" s="1" t="e">
        <f ca="1">_xll.BDH($C$403,"LT_DEBT_TO_TOT_CAP","FY 2014","FY 2014","Currency=INR","Period=FY","BEST_FPERIOD_OVERRIDE=FY","FILING_STATUS=OR","EQY_CONSOLIDATED=Y","Sort=A","Dates=H","DateFormat=P","Fill=—","Direction=H","UseDPDF=Y")</f>
        <v>#NAME?</v>
      </c>
      <c r="CJ403" s="1" t="e">
        <f ca="1">_xll.BDH($C$403,"LT_DEBT_TO_TOT_ASSET","FY 2014","FY 2014","Currency=INR","Period=FY","BEST_FPERIOD_OVERRIDE=FY","FILING_STATUS=OR","EQY_CONSOLIDATED=Y","Sort=A","Dates=H","DateFormat=P","Fill=—","Direction=H","UseDPDF=Y")</f>
        <v>#NAME?</v>
      </c>
      <c r="CK403" s="1" t="e">
        <f ca="1">_xll.BDH($C$403,"TOT_DEBT_TO_TOT_EQY","FY 2014","FY 2014","Currency=INR","Period=FY","BEST_FPERIOD_OVERRIDE=FY","FILING_STATUS=OR","EQY_CONSOLIDATED=Y","Sort=A","Dates=H","DateFormat=P","Fill=—","Direction=H","UseDPDF=Y")</f>
        <v>#NAME?</v>
      </c>
      <c r="CL403" s="1" t="e">
        <f ca="1">_xll.BDH($C$403,"TOT_DEBT_TO_TOT_CAP","FY 2014","FY 2014","Currency=INR","Period=FY","BEST_FPERIOD_OVERRIDE=FY","FILING_STATUS=OR","EQY_CONSOLIDATED=Y","Sort=A","Dates=H","DateFormat=P","Fill=—","Direction=H","UseDPDF=Y")</f>
        <v>#NAME?</v>
      </c>
      <c r="CM403" s="1" t="e">
        <f ca="1">_xll.BDH($C$403,"TOT_DEBT_TO_TOT_ASSET","FY 2014","FY 2014","Currency=INR","Period=FY","BEST_FPERIOD_OVERRIDE=FY","FILING_STATUS=OR","EQY_CONSOLIDATED=Y","Sort=A","Dates=H","DateFormat=P","Fill=—","Direction=H","UseDPDF=Y")</f>
        <v>#NAME?</v>
      </c>
      <c r="CN403" s="1" t="e">
        <f ca="1">_xll.BDH($C$403,"NET_DEBT_TO_SHRHLDR_EQTY","FY 2014","FY 2014","Currency=INR","Period=FY","BEST_FPERIOD_OVERRIDE=FY","FILING_STATUS=OR","EQY_CONSOLIDATED=Y","Sort=A","Dates=H","DateFormat=P","Fill=—","Direction=H","UseDPDF=Y")</f>
        <v>#NAME?</v>
      </c>
      <c r="CO403" s="1" t="e">
        <f ca="1">_xll.BDH($C$403,"NET_DEBT_%_CAPITAL","FY 2014","FY 2014","Currency=INR","Period=FY","BEST_FPERIOD_OVERRIDE=FY","FILING_STATUS=OR","EQY_CONSOLIDATED=Y","Sort=A","Dates=H","DateFormat=P","Fill=—","Direction=H","UseDPDF=Y")</f>
        <v>#NAME?</v>
      </c>
      <c r="CP403" s="2" t="e">
        <f ca="1">_xll.BDH($C$403,"EBITDA","FY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03" s="2" t="e">
        <f ca="1">_xll.BDH($C$403,"EBITDA_AFTER_CAPEX","FY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03" s="2" t="e">
        <f ca="1">_xll.BDH($C$403,"IS_OPER_INC","FY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03" s="1" t="e">
        <f ca="1">_xll.BDH($C$403,"CASH_RATIO","FY 2014","FY 2014","Currency=INR","Period=FY","BEST_FPERIOD_OVERRIDE=FY","FILING_STATUS=OR","EQY_CONSOLIDATED=Y","Sort=A","Dates=H","DateFormat=P","Fill=—","Direction=H","UseDPDF=Y")</f>
        <v>#NAME?</v>
      </c>
      <c r="CT403" s="1" t="e">
        <f ca="1">_xll.BDH($C$403,"CUR_RATIO","FY 2014","FY 2014","Currency=INR","Period=FY","BEST_FPERIOD_OVERRIDE=FY","FILING_STATUS=OR","EQY_CONSOLIDATED=Y","Sort=A","Dates=H","DateFormat=P","Fill=—","Direction=H","UseDPDF=Y")</f>
        <v>#NAME?</v>
      </c>
      <c r="CU403" s="1" t="e">
        <f ca="1">_xll.BDH($C$403,"QUICK_RATIO","FY 2014","FY 2014","Currency=INR","Period=FY","BEST_FPERIOD_OVERRIDE=FY","FILING_STATUS=OR","EQY_CONSOLIDATED=Y","Sort=A","Dates=H","DateFormat=P","Fill=—","Direction=H","UseDPDF=Y")</f>
        <v>#NAME?</v>
      </c>
      <c r="CV403" s="1" t="e">
        <f ca="1">_xll.BDH($C$403,"ALTMAN_Z_SCORE","FY 2014","FY 2014","Currency=INR","Period=FY","BEST_FPERIOD_OVERRIDE=FY","FILING_STATUS=OR","EQY_CONSOLIDATED=Y","Sort=A","Dates=H","DateFormat=P","Fill=—","Direction=H","UseDPDF=Y")</f>
        <v>#NAME?</v>
      </c>
      <c r="CW403" s="3" t="e">
        <f ca="1">_xll.BDH($C$403,"ACCT_RCV_TURN","FY 2014","FY 2014","Currency=INR","Period=FY","BEST_FPERIOD_OVERRIDE=FY","FILING_STATUS=OR","EQY_CONSOLIDATED=Y","FA_ADJUSTED=GAAP","Sort=A","Dates=H","DateFormat=P","Fill=—","Direction=H","UseDPDF=Y")</f>
        <v>#NAME?</v>
      </c>
      <c r="CX403" s="1" t="e">
        <f ca="1">_xll.BDH($C$403,"ACCT_RCV_DAYS","FY 2014","FY 2014","Currency=INR","Period=FY","BEST_FPERIOD_OVERRIDE=FY","FILING_STATUS=OR","EQY_CONSOLIDATED=Y","FA_ADJUSTED=GAAP","Sort=A","Dates=H","DateFormat=P","Fill=—","Direction=H","UseDPDF=Y")</f>
        <v>#NAME?</v>
      </c>
      <c r="CY403" s="3" t="e">
        <f ca="1">_xll.BDH($C$403,"INVENT_TURN","FY 2014","FY 2014","Currency=INR","Period=FY","BEST_FPERIOD_OVERRIDE=FY","FILING_STATUS=OR","EQY_CONSOLIDATED=Y","FA_ADJUSTED=GAAP","Sort=A","Dates=H","DateFormat=P","Fill=—","Direction=H","UseDPDF=Y")</f>
        <v>#NAME?</v>
      </c>
      <c r="CZ403" s="1" t="e">
        <f ca="1">_xll.BDH($C$403,"INVENT_DAYS","FY 2014","FY 2014","Currency=INR","Period=FY","BEST_FPERIOD_OVERRIDE=FY","FILING_STATUS=OR","EQY_CONSOLIDATED=Y","FA_ADJUSTED=GAAP","Sort=A","Dates=H","DateFormat=P","Fill=—","Direction=H","UseDPDF=Y")</f>
        <v>#NAME?</v>
      </c>
      <c r="DA403" s="3" t="e">
        <f ca="1">_xll.BDH($C$403,"ACCOUNTS_PAYABLE_TURNOVER","FY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03" s="1" t="e">
        <f ca="1">_xll.BDH($C$403,"ACCOUNTS_PAYABLE_TURNOVER_DAYS","FY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03" s="3" t="e">
        <f ca="1">_xll.BDH($C$403,"CASH_CONVERSION_CYCLE","FY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03" s="3" t="e">
        <f ca="1">_xll.BDH($C$403,"INV_TO_CASH_DAYS","FY 2014","FY 2014","Currency=INR","Period=FY","BEST_FPERIOD_OVERRIDE=FY","FILING_STATUS=OR","EQY_CONSOLIDATED=Y","FA_ADJUSTED=GAAP","Sort=A","Dates=H","DateFormat=P","Fill=—","Direction=H","UseDPDF=Y")</f>
        <v>#NAME?</v>
      </c>
      <c r="DE403" s="4" t="e">
        <f ca="1">_xll.BDH($C$403,"BS_INVENTORIES","FY 2014","FY 2014","Currency=INR","Period=FY","BEST_FPERIOD_OVERRIDE=FY","FILING_STATUS=OR","EQY_CONSOLIDATED=Y","SCALING_FORMAT=MLN","Sort=A","Dates=H","DateFormat=P","Fill=—","Direction=H","UseDPDF=Y")</f>
        <v>#NAME?</v>
      </c>
      <c r="DF403" s="2" t="e">
        <f ca="1">_xll.BDH($C$403,"INVTRY_RAW_MATERIALS","FY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03" s="2" t="e">
        <f ca="1">_xll.BDH($C$403,"INVTRY_IN_PROGRESS","FY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03" s="2" t="e">
        <f ca="1">_xll.BDH($C$403,"INVTRY_FINISHED_GOODS","FY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03" s="2" t="e">
        <f ca="1">_xll.BDH($C$403,"BS_OTHER_INV","FY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04" spans="1:113" x14ac:dyDescent="0.3">
      <c r="A404" s="6"/>
      <c r="B404" s="6"/>
      <c r="C404" s="6"/>
      <c r="D404" s="6"/>
      <c r="E404" t="s">
        <v>4</v>
      </c>
      <c r="F404" t="e">
        <f ca="1">_xll.BDH($C$403,"RETURN_COM_EQY","FQ1 2014","FQ1 2014","Currency=INR","Period=FQ","BEST_FPERIOD_OVERRIDE=FQ","FILING_STATUS=OR","EQY_CONSOLIDATED=Y","FA_ADJUSTED=GAAP","Sort=A","Dates=H","DateFormat=P","Fill=—","Direction=H","UseDPDF=Y")</f>
        <v>#NAME?</v>
      </c>
      <c r="G404" t="e">
        <f ca="1">_xll.BDH($C$403,"RETURN_ON_ASSET","FQ1 2014","FQ1 2014","Currency=INR","Period=FQ","BEST_FPERIOD_OVERRIDE=FQ","FILING_STATUS=OR","EQY_CONSOLIDATED=Y","FA_ADJUSTED=GAAP","Sort=A","Dates=H","DateFormat=P","Fill=—","Direction=H","UseDPDF=Y")</f>
        <v>#NAME?</v>
      </c>
      <c r="H404" t="e">
        <f ca="1">_xll.BDH($C$403,"RETURN_ON_CAP","FQ1 2014","FQ1 2014","Currency=INR","Period=FQ","BEST_FPERIOD_OVERRIDE=FQ","FILING_STATUS=OR","EQY_CONSOLIDATED=Y","FA_ADJUSTED=GAAP","Sort=A","Dates=H","DateFormat=P","Fill=—","Direction=H","UseDPDF=Y")</f>
        <v>#NAME?</v>
      </c>
      <c r="I404" t="e">
        <f ca="1">_xll.BDH($C$403,"RETURN_ON_INV_CAPITAL","FQ1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04" t="e">
        <f ca="1">_xll.BDH($C$403,"EBITDA_TO_REVENUE","FQ1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404" t="e">
        <f ca="1">_xll.BDH($C$403,"OPER_MARGIN","FQ1 2014","FQ1 2014","Currency=INR","Period=FQ","BEST_FPERIOD_OVERRIDE=FQ","FILING_STATUS=OR","EQY_CONSOLIDATED=Y","FA_ADJUSTED=GAAP","Sort=A","Dates=H","DateFormat=P","Fill=—","Direction=H","UseDPDF=Y")</f>
        <v>#NAME?</v>
      </c>
      <c r="L404" t="e">
        <f ca="1">_xll.BDH($C$403,"INCREMENTAL_OPERATING_MARGIN","FQ1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04" t="e">
        <f ca="1">_xll.BDH($C$403,"PRETAX_INC_TO_NET_SALES","FQ1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04" t="e">
        <f ca="1">_xll.BDH($C$403,"INC_BEF_XO_ITEMS_TO_NET_SALES","FQ1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04" t="e">
        <f ca="1">_xll.BDH($C$403,"PROF_MARGIN","FQ1 2014","FQ1 2014","Currency=INR","Period=FQ","BEST_FPERIOD_OVERRIDE=FQ","FILING_STATUS=OR","EQY_CONSOLIDATED=Y","FA_ADJUSTED=GAAP","Sort=A","Dates=H","DateFormat=P","Fill=—","Direction=H","UseDPDF=Y")</f>
        <v>#NAME?</v>
      </c>
      <c r="P404" t="e">
        <f ca="1">_xll.BDH($C$403,"NET_INCOME_TO_COMMON_MARGIN","FQ1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04" t="e">
        <f ca="1">_xll.BDH($C$403,"EFF_TAX_RATE","FQ1 2014","FQ1 2014","Currency=INR","Period=FQ","BEST_FPERIOD_OVERRIDE=FQ","FILING_STATUS=OR","EQY_CONSOLIDATED=Y","FA_ADJUSTED=GAAP","Sort=A","Dates=H","DateFormat=P","Fill=—","Direction=H","UseDPDF=Y")</f>
        <v>#NAME?</v>
      </c>
      <c r="R404" t="e">
        <f ca="1">_xll.BDH($C$403,"DVD_PAYOUT_RATIO","FQ1 2014","FQ1 2014","Currency=INR","Period=FQ","BEST_FPERIOD_OVERRIDE=FQ","FILING_STATUS=OR","EQY_CONSOLIDATED=Y","FA_ADJUSTED=GAAP","Sort=A","Dates=H","DateFormat=P","Fill=—","Direction=H","UseDPDF=Y")</f>
        <v>#NAME?</v>
      </c>
      <c r="S404" t="e">
        <f ca="1">_xll.BDH($C$403,"SUSTAIN_GROWTH_RT","FQ1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404" s="1" t="e">
        <f ca="1">_xll.BDH($C$403,"SALES_GROWTH","FQ1 2014","FQ1 2014","Currency=INR","Period=FQ","BEST_FPERIOD_OVERRIDE=FQ","FILING_STATUS=OR","EQY_CONSOLIDATED=Y","FA_ADJUSTED=GAAP","Sort=A","Dates=H","DateFormat=P","Fill=—","Direction=H","UseDPDF=Y")</f>
        <v>#NAME?</v>
      </c>
      <c r="U404" s="1" t="e">
        <f ca="1">_xll.BDH($C$403,"EBITDA_GROWTH","FQ1 2014","FQ1 2014","Currency=INR","Period=FQ","BEST_FPERIOD_OVERRIDE=FQ","FILING_STATUS=OR","EQY_CONSOLIDATED=Y","FA_ADJUSTED=GAAP","Sort=A","Dates=H","DateFormat=P","Fill=—","Direction=H","UseDPDF=Y")</f>
        <v>#NAME?</v>
      </c>
      <c r="V404" s="1" t="e">
        <f ca="1">_xll.BDH($C$403,"OPER_INC_GROWTH","FQ1 2014","FQ1 2014","Currency=INR","Period=FQ","BEST_FPERIOD_OVERRIDE=FQ","FILING_STATUS=OR","EQY_CONSOLIDATED=Y","FA_ADJUSTED=GAAP","Sort=A","Dates=H","DateFormat=P","Fill=—","Direction=H","UseDPDF=Y")</f>
        <v>#NAME?</v>
      </c>
      <c r="W404" s="1" t="e">
        <f ca="1">_xll.BDH($C$403,"EARN_FOR_COM_GROWTH","FQ1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04" s="1" t="e">
        <f ca="1">_xll.BDH($C$403,"DILUTED_EPS_AFT_XO_ITEMS_GROWTH","FQ1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04" s="1" t="e">
        <f ca="1">_xll.BDH($C$403,"DIVIDEND_PER_SHARE_1_YEAR_GROWTH","FQ1 2014","FQ1 2014","Currency=INR","Period=FQ","BEST_FPERIOD_OVERRIDE=FQ","FILING_STATUS=OR","EQY_CONSOLIDATED=Y","Sort=A","Dates=H","DateFormat=P","Fill=—","Direction=H","UseDPDF=Y")</f>
        <v>#NAME?</v>
      </c>
      <c r="Z404" s="1" t="e">
        <f ca="1">_xll.BDH($C$403,"ACCOUNTS_RECEIVABLE_GROWTH","FQ1 2014","FQ1 2014","Currency=INR","Period=FQ","BEST_FPERIOD_OVERRIDE=FQ","FILING_STATUS=OR","EQY_CONSOLIDATED=Y","Sort=A","Dates=H","DateFormat=P","Fill=—","Direction=H","UseDPDF=Y")</f>
        <v>#NAME?</v>
      </c>
      <c r="AA404" s="1" t="e">
        <f ca="1">_xll.BDH($C$403,"INVENTORY_GROWTH","FQ1 2014","FQ1 2014","Currency=INR","Period=FQ","BEST_FPERIOD_OVERRIDE=FQ","FILING_STATUS=OR","EQY_CONSOLIDATED=Y","Sort=A","Dates=H","DateFormat=P","Fill=—","Direction=H","UseDPDF=Y")</f>
        <v>#NAME?</v>
      </c>
      <c r="AB404" s="1" t="e">
        <f ca="1">_xll.BDH($C$403,"NET_FIXED_ASSETS_1_YEAR_GROWTH","FQ1 2014","FQ1 2014","Currency=INR","Period=FQ","BEST_FPERIOD_OVERRIDE=FQ","FILING_STATUS=OR","EQY_CONSOLIDATED=Y","Sort=A","Dates=H","DateFormat=P","Fill=—","Direction=H","UseDPDF=Y")</f>
        <v>#NAME?</v>
      </c>
      <c r="AC404" s="1" t="e">
        <f ca="1">_xll.BDH($C$403,"ASSET_GROWTH","FQ1 2014","FQ1 2014","Currency=INR","Period=FQ","BEST_FPERIOD_OVERRIDE=FQ","FILING_STATUS=OR","EQY_CONSOLIDATED=Y","Sort=A","Dates=H","DateFormat=P","Fill=—","Direction=H","UseDPDF=Y")</f>
        <v>#NAME?</v>
      </c>
      <c r="AD404" s="1" t="e">
        <f ca="1">_xll.BDH($C$403,"MODIFIED_WORK_CAP_GROWTH","FQ1 2014","FQ1 2014","Currency=INR","Period=FQ","BEST_FPERIOD_OVERRIDE=FQ","FILING_STATUS=OR","EQY_CONSOLIDATED=Y","Sort=A","Dates=H","DateFormat=P","Fill=—","Direction=H","UseDPDF=Y")</f>
        <v>#NAME?</v>
      </c>
      <c r="AE404" s="1" t="e">
        <f ca="1">_xll.BDH($C$403,"WORK_CAP_GROWTH","FQ1 2014","FQ1 2014","Currency=INR","Period=FQ","BEST_FPERIOD_OVERRIDE=FQ","FILING_STATUS=OR","EQY_CONSOLIDATED=Y","Sort=A","Dates=H","DateFormat=P","Fill=—","Direction=H","UseDPDF=Y")</f>
        <v>#NAME?</v>
      </c>
      <c r="AF404" s="1" t="e">
        <f ca="1">_xll.BDH($C$403,"ACCOUNTS_PAYABLE_GROWTH_1YR","FQ1 2014","FQ1 2014","Currency=INR","Period=FQ","BEST_FPERIOD_OVERRIDE=FQ","FILING_STATUS=OR","EQY_CONSOLIDATED=Y","Sort=A","Dates=H","DateFormat=P","Fill=—","Direction=H","UseDPDF=Y")</f>
        <v>#NAME?</v>
      </c>
      <c r="AG404" s="1" t="e">
        <f ca="1">_xll.BDH($C$403,"SHORT_TERM_DEBT_1_YEAR_GROWTH","FQ1 2014","FQ1 2014","Currency=INR","Period=FQ","BEST_FPERIOD_OVERRIDE=FQ","FILING_STATUS=OR","EQY_CONSOLIDATED=Y","Sort=A","Dates=H","DateFormat=P","Fill=—","Direction=H","UseDPDF=Y")</f>
        <v>#NAME?</v>
      </c>
      <c r="AH404" s="1" t="e">
        <f ca="1">_xll.BDH($C$403,"TOTAL_DEBT_1_YEAR_GROWTH","FQ1 2014","FQ1 2014","Currency=INR","Period=FQ","BEST_FPERIOD_OVERRIDE=FQ","FILING_STATUS=OR","EQY_CONSOLIDATED=Y","Sort=A","Dates=H","DateFormat=P","Fill=—","Direction=H","UseDPDF=Y")</f>
        <v>#NAME?</v>
      </c>
      <c r="AI404" s="1" t="e">
        <f ca="1">_xll.BDH($C$403,"TOTAL_EQUITY_1_YEAR_GROWTH","FQ1 2014","FQ1 2014","Currency=INR","Period=FQ","BEST_FPERIOD_OVERRIDE=FQ","FILING_STATUS=OR","EQY_CONSOLIDATED=Y","Sort=A","Dates=H","DateFormat=P","Fill=—","Direction=H","UseDPDF=Y")</f>
        <v>#NAME?</v>
      </c>
      <c r="AJ404" s="1" t="e">
        <f ca="1">_xll.BDH($C$403,"GROWTH_IN_CAP","FQ1 2014","FQ1 2014","Currency=INR","Period=FQ","BEST_FPERIOD_OVERRIDE=FQ","FILING_STATUS=OR","EQY_CONSOLIDATED=Y","Sort=A","Dates=H","DateFormat=P","Fill=—","Direction=H","UseDPDF=Y")</f>
        <v>#NAME?</v>
      </c>
      <c r="AK404" s="1" t="e">
        <f ca="1">_xll.BDH($C$403,"BVPS_GROWTH","FQ1 2014","FQ1 2014","Currency=INR","Period=FQ","BEST_FPERIOD_OVERRIDE=FQ","FILING_STATUS=OR","EQY_CONSOLIDATED=Y","Sort=A","Dates=H","DateFormat=P","Fill=—","Direction=H","UseDPDF=Y")</f>
        <v>#NAME?</v>
      </c>
      <c r="AL404" s="1" t="e">
        <f ca="1">_xll.BDH($C$403,"CASH_FLOW_GROWTH","FQ1 2014","FQ1 2014","Currency=INR","Period=FQ","BEST_FPERIOD_OVERRIDE=FQ","FILING_STATUS=OR","EQY_CONSOLIDATED=Y","Sort=A","Dates=H","DateFormat=P","Fill=—","Direction=H","UseDPDF=Y")</f>
        <v>#NAME?</v>
      </c>
      <c r="AM404" s="1" t="e">
        <f ca="1">_xll.BDH($C$403,"GEO_GROW_NET_SALES","FQ1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04" s="1" t="e">
        <f ca="1">_xll.BDH($C$403,"GEO_GROW_EBITDA","FQ1 2014","FQ1 2014","Currency=INR","Period=FQ","BEST_FPERIOD_OVERRIDE=FQ","FILING_STATUS=OR","EQY_CONSOLIDATED=Y","FA_ADJUSTED=GAAP","Sort=A","Dates=H","DateFormat=P","Fill=—","Direction=H","UseDPDF=Y")</f>
        <v>#NAME?</v>
      </c>
      <c r="AO404" s="1" t="e">
        <f ca="1">_xll.BDH($C$403,"GEO_GROW_OPER_INC","FQ1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04" s="1" t="e">
        <f ca="1">_xll.BDH($C$403,"NET_INCOME_TO_COMMON_5_YR_GROWTH","FQ1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04" s="1" t="e">
        <f ca="1">_xll.BDH($C$403,"5Y_GEO_GROWTH_DILUTED_EPS","FQ1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04" s="1" t="e">
        <f ca="1">_xll.BDH($C$403,"GEO_GROW_DVD_PER_SH","FQ1 2014","FQ1 2014","Currency=INR","Period=FQ","BEST_FPERIOD_OVERRIDE=FQ","FILING_STATUS=OR","EQY_CONSOLIDATED=Y","Sort=A","Dates=H","DateFormat=P","Fill=—","Direction=H","UseDPDF=Y")</f>
        <v>#NAME?</v>
      </c>
      <c r="AS404" s="1" t="e">
        <f ca="1">_xll.BDH($C$403,"ACCOUNTS_RECEIVABLE_5_YR_GROWTH","FQ1 2014","FQ1 2014","Currency=INR","Period=FQ","BEST_FPERIOD_OVERRIDE=FQ","FILING_STATUS=OR","EQY_CONSOLIDATED=Y","Sort=A","Dates=H","DateFormat=P","Fill=—","Direction=H","UseDPDF=Y")</f>
        <v>#NAME?</v>
      </c>
      <c r="AT404" s="1" t="e">
        <f ca="1">_xll.BDH($C$403,"INVENTORY_5_YEAR_GROWTH","FQ1 2014","FQ1 2014","Currency=INR","Period=FQ","BEST_FPERIOD_OVERRIDE=FQ","FILING_STATUS=OR","EQY_CONSOLIDATED=Y","Sort=A","Dates=H","DateFormat=P","Fill=—","Direction=H","UseDPDF=Y")</f>
        <v>#NAME?</v>
      </c>
      <c r="AU404" s="1" t="e">
        <f ca="1">_xll.BDH($C$403,"NET_FIXED_ASSETS_5_YEAR_GROWTH","FQ1 2014","FQ1 2014","Currency=INR","Period=FQ","BEST_FPERIOD_OVERRIDE=FQ","FILING_STATUS=OR","EQY_CONSOLIDATED=Y","Sort=A","Dates=H","DateFormat=P","Fill=—","Direction=H","UseDPDF=Y")</f>
        <v>#NAME?</v>
      </c>
      <c r="AV404" s="1" t="e">
        <f ca="1">_xll.BDH($C$403,"GEO_GROW_TOT_ASSET","FQ1 2014","FQ1 2014","Currency=INR","Period=FQ","BEST_FPERIOD_OVERRIDE=FQ","FILING_STATUS=OR","EQY_CONSOLIDATED=Y","Sort=A","Dates=H","DateFormat=P","Fill=—","Direction=H","UseDPDF=Y")</f>
        <v>#NAME?</v>
      </c>
      <c r="AW404" s="1" t="e">
        <f ca="1">_xll.BDH($C$403,"MODIFIED_WORKING_CPTL_5YR_GRWTH","FQ1 2014","FQ1 2014","Currency=INR","Period=FQ","BEST_FPERIOD_OVERRIDE=FQ","FILING_STATUS=OR","EQY_CONSOLIDATED=Y","Sort=A","Dates=H","DateFormat=P","Fill=—","Direction=H","UseDPDF=Y")</f>
        <v>#NAME?</v>
      </c>
      <c r="AX404" s="1" t="e">
        <f ca="1">_xll.BDH($C$403,"WORKING_CAPITAL_5_YEAR_GROWTH","FQ1 2014","FQ1 2014","Currency=INR","Period=FQ","BEST_FPERIOD_OVERRIDE=FQ","FILING_STATUS=OR","EQY_CONSOLIDATED=Y","Sort=A","Dates=H","DateFormat=P","Fill=—","Direction=H","UseDPDF=Y")</f>
        <v>#NAME?</v>
      </c>
      <c r="AY404" s="1" t="e">
        <f ca="1">_xll.BDH($C$403,"ACCOUNTS_PAYABLE_5_YEAR_GROWTH","FQ1 2014","FQ1 2014","Currency=INR","Period=FQ","BEST_FPERIOD_OVERRIDE=FQ","FILING_STATUS=OR","EQY_CONSOLIDATED=Y","Sort=A","Dates=H","DateFormat=P","Fill=—","Direction=H","UseDPDF=Y")</f>
        <v>#NAME?</v>
      </c>
      <c r="AZ404" s="1" t="e">
        <f ca="1">_xll.BDH($C$403,"SHORT_TERM_DEBT_5_YEAR_GROWTH","FQ1 2014","FQ1 2014","Currency=INR","Period=FQ","BEST_FPERIOD_OVERRIDE=FQ","FILING_STATUS=OR","EQY_CONSOLIDATED=Y","Sort=A","Dates=H","DateFormat=P","Fill=—","Direction=H","UseDPDF=Y")</f>
        <v>#NAME?</v>
      </c>
      <c r="BA404" s="1" t="e">
        <f ca="1">_xll.BDH($C$403,"TOTAL_DEBT_5_YEAR_GROWTH","FQ1 2014","FQ1 2014","Currency=INR","Period=FQ","BEST_FPERIOD_OVERRIDE=FQ","FILING_STATUS=OR","EQY_CONSOLIDATED=Y","Sort=A","Dates=H","DateFormat=P","Fill=—","Direction=H","UseDPDF=Y")</f>
        <v>#NAME?</v>
      </c>
      <c r="BB404" s="1" t="e">
        <f ca="1">_xll.BDH($C$403,"GEO_GROW_TOT_SHRHLDR_EQY","FQ1 2014","FQ1 2014","Currency=INR","Period=FQ","BEST_FPERIOD_OVERRIDE=FQ","FILING_STATUS=OR","EQY_CONSOLIDATED=Y","Sort=A","Dates=H","DateFormat=P","Fill=—","Direction=H","UseDPDF=Y")</f>
        <v>#NAME?</v>
      </c>
      <c r="BC404" s="1" t="e">
        <f ca="1">_xll.BDH($C$403,"TOTAL_CAPITAL_5_YEAR_GROWTH","FQ1 2014","FQ1 2014","Currency=INR","Period=FQ","BEST_FPERIOD_OVERRIDE=FQ","FILING_STATUS=OR","EQY_CONSOLIDATED=Y","Sort=A","Dates=H","DateFormat=P","Fill=—","Direction=H","UseDPDF=Y")</f>
        <v>#NAME?</v>
      </c>
      <c r="BD404" s="1" t="e">
        <f ca="1">_xll.BDH($C$403,"GEO_GROW_BOOK_VAL","FQ1 2014","FQ1 2014","Currency=INR","Period=FQ","BEST_FPERIOD_OVERRIDE=FQ","FILING_STATUS=OR","EQY_CONSOLIDATED=Y","Sort=A","Dates=H","DateFormat=P","Fill=—","Direction=H","UseDPDF=Y")</f>
        <v>#NAME?</v>
      </c>
      <c r="BE404" s="1" t="e">
        <f ca="1">_xll.BDH($C$403,"GEO_GROW_CASH_OPER_ACT","FQ1 2014","FQ1 2014","Currency=INR","Period=FQ","BEST_FPERIOD_OVERRIDE=FQ","FILING_STATUS=OR","EQY_CONSOLIDATED=Y","Sort=A","Dates=H","DateFormat=P","Fill=—","Direction=H","UseDPDF=Y")</f>
        <v>#NAME?</v>
      </c>
      <c r="BF404" s="1" t="e">
        <f ca="1">_xll.BDH($C$403,"REVENUE_SEQUENTIAL_GROWTH","FQ1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04" s="1" t="e">
        <f ca="1">_xll.BDH($C$403,"EBITDA_SEQUENTIAL_GROWTH","FQ1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04" s="1" t="e">
        <f ca="1">_xll.BDH($C$403,"OPERATING_INCOME_SEQ_GROWTH","FQ1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04" s="1" t="e">
        <f ca="1">_xll.BDH($C$403,"NET_INCOME_TO_COMMON_SEQ_GROWTH","FQ1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04" s="1" t="e">
        <f ca="1">_xll.BDH($C$403,"EPS_DILUTED_SEQUENTIAL_GROWTH","FQ1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04" s="1" t="e">
        <f ca="1">_xll.BDH($C$403,"DPS_SEQUENTIAL_GROWTH","FQ1 2014","FQ1 2014","Currency=INR","Period=FQ","BEST_FPERIOD_OVERRIDE=FQ","FILING_STATUS=OR","EQY_CONSOLIDATED=Y","Sort=A","Dates=H","DateFormat=P","Fill=—","Direction=H","UseDPDF=Y")</f>
        <v>#NAME?</v>
      </c>
      <c r="BL404" s="1" t="e">
        <f ca="1">_xll.BDH($C$403,"ACCOUNTS_RECEIVABLE_SEQ_GROWTH","FQ1 2014","FQ1 2014","Currency=INR","Period=FQ","BEST_FPERIOD_OVERRIDE=FQ","FILING_STATUS=OR","EQY_CONSOLIDATED=Y","Sort=A","Dates=H","DateFormat=P","Fill=—","Direction=H","UseDPDF=Y")</f>
        <v>#NAME?</v>
      </c>
      <c r="BM404" s="1" t="e">
        <f ca="1">_xll.BDH($C$403,"INVENTORY_SEQUENTIAL_GROWTH","FQ1 2014","FQ1 2014","Currency=INR","Period=FQ","BEST_FPERIOD_OVERRIDE=FQ","FILING_STATUS=OR","EQY_CONSOLIDATED=Y","Sort=A","Dates=H","DateFormat=P","Fill=—","Direction=H","UseDPDF=Y")</f>
        <v>#NAME?</v>
      </c>
      <c r="BN404" s="1" t="e">
        <f ca="1">_xll.BDH($C$403,"FIXED_ASSETS_SEQUENTIAL_GROWTH","FQ1 2014","FQ1 2014","Currency=INR","Period=FQ","BEST_FPERIOD_OVERRIDE=FQ","FILING_STATUS=OR","EQY_CONSOLIDATED=Y","Sort=A","Dates=H","DateFormat=P","Fill=—","Direction=H","UseDPDF=Y")</f>
        <v>#NAME?</v>
      </c>
      <c r="BO404" s="1" t="e">
        <f ca="1">_xll.BDH($C$403,"TOTAL_ASSETS_SEQUENTIAL_GROWTH","FQ1 2014","FQ1 2014","Currency=INR","Period=FQ","BEST_FPERIOD_OVERRIDE=FQ","FILING_STATUS=OR","EQY_CONSOLIDATED=Y","Sort=A","Dates=H","DateFormat=P","Fill=—","Direction=H","UseDPDF=Y")</f>
        <v>#NAME?</v>
      </c>
      <c r="BP404" s="1" t="e">
        <f ca="1">_xll.BDH($C$403,"MODIFIED_WORKING_CPTL_SEQ_GRWTH","FQ1 2014","FQ1 2014","Currency=INR","Period=FQ","BEST_FPERIOD_OVERRIDE=FQ","FILING_STATUS=OR","EQY_CONSOLIDATED=Y","Sort=A","Dates=H","DateFormat=P","Fill=—","Direction=H","UseDPDF=Y")</f>
        <v>#NAME?</v>
      </c>
      <c r="BQ404" s="1" t="e">
        <f ca="1">_xll.BDH($C$403,"WORKING_CAPITAL_SEQ_GROWTH","FQ1 2014","FQ1 2014","Currency=INR","Period=FQ","BEST_FPERIOD_OVERRIDE=FQ","FILING_STATUS=OR","EQY_CONSOLIDATED=Y","Sort=A","Dates=H","DateFormat=P","Fill=—","Direction=H","UseDPDF=Y")</f>
        <v>#NAME?</v>
      </c>
      <c r="BR404" s="1" t="e">
        <f ca="1">_xll.BDH($C$403,"ACCOUNTS_PAYABLE_SEQ_GROWTH","FQ1 2014","FQ1 2014","Currency=INR","Period=FQ","BEST_FPERIOD_OVERRIDE=FQ","FILING_STATUS=OR","EQY_CONSOLIDATED=Y","Sort=A","Dates=H","DateFormat=P","Fill=—","Direction=H","UseDPDF=Y")</f>
        <v>#NAME?</v>
      </c>
      <c r="BS404" s="1" t="e">
        <f ca="1">_xll.BDH($C$403,"ST_DEBT_SEQUENTIAL_GROWTH","FQ1 2014","FQ1 2014","Currency=INR","Period=FQ","BEST_FPERIOD_OVERRIDE=FQ","FILING_STATUS=OR","EQY_CONSOLIDATED=Y","Sort=A","Dates=H","DateFormat=P","Fill=—","Direction=H","UseDPDF=Y")</f>
        <v>#NAME?</v>
      </c>
      <c r="BT404" s="1" t="e">
        <f ca="1">_xll.BDH($C$403,"TOTAL_DEBT_SEQUENTIAL_GROWTH","FQ1 2014","FQ1 2014","Currency=INR","Period=FQ","BEST_FPERIOD_OVERRIDE=FQ","FILING_STATUS=OR","EQY_CONSOLIDATED=Y","Sort=A","Dates=H","DateFormat=P","Fill=—","Direction=H","UseDPDF=Y")</f>
        <v>#NAME?</v>
      </c>
      <c r="BU404" s="1" t="e">
        <f ca="1">_xll.BDH($C$403,"TOTAL_EQUITY_SEQUENTIAL_GROWTH","FQ1 2014","FQ1 2014","Currency=INR","Period=FQ","BEST_FPERIOD_OVERRIDE=FQ","FILING_STATUS=OR","EQY_CONSOLIDATED=Y","Sort=A","Dates=H","DateFormat=P","Fill=—","Direction=H","UseDPDF=Y")</f>
        <v>#NAME?</v>
      </c>
      <c r="BV404" s="1" t="e">
        <f ca="1">_xll.BDH($C$403,"TOTAL_CAPITAL_SEQUENTIAL_GROWTH","FQ1 2014","FQ1 2014","Currency=INR","Period=FQ","BEST_FPERIOD_OVERRIDE=FQ","FILING_STATUS=OR","EQY_CONSOLIDATED=Y","Sort=A","Dates=H","DateFormat=P","Fill=—","Direction=H","UseDPDF=Y")</f>
        <v>#NAME?</v>
      </c>
      <c r="BW404" s="1" t="e">
        <f ca="1">_xll.BDH($C$403,"BPS_SEQUENTIAL_GROWTH","FQ1 2014","FQ1 2014","Currency=INR","Period=FQ","BEST_FPERIOD_OVERRIDE=FQ","FILING_STATUS=OR","EQY_CONSOLIDATED=Y","Sort=A","Dates=H","DateFormat=P","Fill=—","Direction=H","UseDPDF=Y")</f>
        <v>#NAME?</v>
      </c>
      <c r="BX404" s="1" t="e">
        <f ca="1">_xll.BDH($C$403,"CFO_SEQUENTIAL_GROWTH","FQ1 2014","FQ1 2014","Currency=INR","Period=FQ","BEST_FPERIOD_OVERRIDE=FQ","FILING_STATUS=OR","EQY_CONSOLIDATED=Y","Sort=A","Dates=H","DateFormat=P","Fill=—","Direction=H","UseDPDF=Y")</f>
        <v>#NAME?</v>
      </c>
      <c r="BY404" s="2" t="e">
        <f ca="1">_xll.BDH($C$403,"SHORT_AND_LONG_TERM_DEBT","FQ1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04" s="2" t="e">
        <f ca="1">_xll.BDH($C$403,"BS_ST_BORROW","FQ1 2014","FQ1 2014","Currency=INR","Period=FQ","BEST_FPERIOD_OVERRIDE=FQ","FILING_STATUS=OR","EQY_CONSOLIDATED=Y","SCALING_FORMAT=MLN","Sort=A","Dates=H","DateFormat=P","Fill=—","Direction=H","UseDPDF=Y")</f>
        <v>#NAME?</v>
      </c>
      <c r="CA404" s="2" t="e">
        <f ca="1">_xll.BDH($C$403,"BS_LT_BORROW","FQ1 2014","FQ1 2014","Currency=INR","Period=FQ","BEST_FPERIOD_OVERRIDE=FQ","FILING_STATUS=OR","EQY_CONSOLIDATED=Y","SCALING_FORMAT=MLN","Sort=A","Dates=H","DateFormat=P","Fill=—","Direction=H","UseDPDF=Y")</f>
        <v>#NAME?</v>
      </c>
      <c r="CB404" s="1" t="e">
        <f ca="1">_xll.BDH($C$403,"TOT_DEBT_TO_EBITDA","FQ1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04" s="1" t="e">
        <f ca="1">_xll.BDH($C$403,"NET_DEBT_TO_EBITDA","FQ1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04" s="1" t="e">
        <f ca="1">_xll.BDH($C$403,"TOTAL_DEBT_TO_EBIT","FQ1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04" s="1" t="e">
        <f ca="1">_xll.BDH($C$403,"NET_DEBT_TO_EBIT","FQ1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404" s="1" t="e">
        <f ca="1">_xll.BDH($C$403,"EBITDA_TO_INTEREST_EXPN","FQ1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04" s="1" t="e">
        <f ca="1">_xll.BDH($C$403,"COM_EQY_TO_TOT_ASSET","FQ1 2014","FQ1 2014","Currency=INR","Period=FQ","BEST_FPERIOD_OVERRIDE=FQ","FILING_STATUS=OR","EQY_CONSOLIDATED=Y","Sort=A","Dates=H","DateFormat=P","Fill=—","Direction=H","UseDPDF=Y")</f>
        <v>#NAME?</v>
      </c>
      <c r="CH404" s="1" t="e">
        <f ca="1">_xll.BDH($C$403,"LT_DEBT_TO_TOT_EQY","FQ1 2014","FQ1 2014","Currency=INR","Period=FQ","BEST_FPERIOD_OVERRIDE=FQ","FILING_STATUS=OR","EQY_CONSOLIDATED=Y","Sort=A","Dates=H","DateFormat=P","Fill=—","Direction=H","UseDPDF=Y")</f>
        <v>#NAME?</v>
      </c>
      <c r="CI404" s="1" t="e">
        <f ca="1">_xll.BDH($C$403,"LT_DEBT_TO_TOT_CAP","FQ1 2014","FQ1 2014","Currency=INR","Period=FQ","BEST_FPERIOD_OVERRIDE=FQ","FILING_STATUS=OR","EQY_CONSOLIDATED=Y","Sort=A","Dates=H","DateFormat=P","Fill=—","Direction=H","UseDPDF=Y")</f>
        <v>#NAME?</v>
      </c>
      <c r="CJ404" s="1" t="e">
        <f ca="1">_xll.BDH($C$403,"LT_DEBT_TO_TOT_ASSET","FQ1 2014","FQ1 2014","Currency=INR","Period=FQ","BEST_FPERIOD_OVERRIDE=FQ","FILING_STATUS=OR","EQY_CONSOLIDATED=Y","Sort=A","Dates=H","DateFormat=P","Fill=—","Direction=H","UseDPDF=Y")</f>
        <v>#NAME?</v>
      </c>
      <c r="CK404" s="1" t="e">
        <f ca="1">_xll.BDH($C$403,"TOT_DEBT_TO_TOT_EQY","FQ1 2014","FQ1 2014","Currency=INR","Period=FQ","BEST_FPERIOD_OVERRIDE=FQ","FILING_STATUS=OR","EQY_CONSOLIDATED=Y","Sort=A","Dates=H","DateFormat=P","Fill=—","Direction=H","UseDPDF=Y")</f>
        <v>#NAME?</v>
      </c>
      <c r="CL404" s="1" t="e">
        <f ca="1">_xll.BDH($C$403,"TOT_DEBT_TO_TOT_CAP","FQ1 2014","FQ1 2014","Currency=INR","Period=FQ","BEST_FPERIOD_OVERRIDE=FQ","FILING_STATUS=OR","EQY_CONSOLIDATED=Y","Sort=A","Dates=H","DateFormat=P","Fill=—","Direction=H","UseDPDF=Y")</f>
        <v>#NAME?</v>
      </c>
      <c r="CM404" s="1" t="e">
        <f ca="1">_xll.BDH($C$403,"TOT_DEBT_TO_TOT_ASSET","FQ1 2014","FQ1 2014","Currency=INR","Period=FQ","BEST_FPERIOD_OVERRIDE=FQ","FILING_STATUS=OR","EQY_CONSOLIDATED=Y","Sort=A","Dates=H","DateFormat=P","Fill=—","Direction=H","UseDPDF=Y")</f>
        <v>#NAME?</v>
      </c>
      <c r="CN404" s="1" t="e">
        <f ca="1">_xll.BDH($C$403,"NET_DEBT_TO_SHRHLDR_EQTY","FQ1 2014","FQ1 2014","Currency=INR","Period=FQ","BEST_FPERIOD_OVERRIDE=FQ","FILING_STATUS=OR","EQY_CONSOLIDATED=Y","Sort=A","Dates=H","DateFormat=P","Fill=—","Direction=H","UseDPDF=Y")</f>
        <v>#NAME?</v>
      </c>
      <c r="CO404" s="1" t="e">
        <f ca="1">_xll.BDH($C$403,"NET_DEBT_%_CAPITAL","FQ1 2014","FQ1 2014","Currency=INR","Period=FQ","BEST_FPERIOD_OVERRIDE=FQ","FILING_STATUS=OR","EQY_CONSOLIDATED=Y","Sort=A","Dates=H","DateFormat=P","Fill=—","Direction=H","UseDPDF=Y")</f>
        <v>#NAME?</v>
      </c>
      <c r="CP404" s="2" t="e">
        <f ca="1">_xll.BDH($C$403,"EBITDA","FQ1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04" s="2" t="e">
        <f ca="1">_xll.BDH($C$403,"EBITDA_AFTER_CAPEX","FQ1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04" s="2" t="e">
        <f ca="1">_xll.BDH($C$403,"IS_OPER_INC","FQ1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04" s="1" t="e">
        <f ca="1">_xll.BDH($C$403,"CASH_RATIO","FQ1 2014","FQ1 2014","Currency=INR","Period=FQ","BEST_FPERIOD_OVERRIDE=FQ","FILING_STATUS=OR","EQY_CONSOLIDATED=Y","Sort=A","Dates=H","DateFormat=P","Fill=—","Direction=H","UseDPDF=Y")</f>
        <v>#NAME?</v>
      </c>
      <c r="CT404" s="1" t="e">
        <f ca="1">_xll.BDH($C$403,"CUR_RATIO","FQ1 2014","FQ1 2014","Currency=INR","Period=FQ","BEST_FPERIOD_OVERRIDE=FQ","FILING_STATUS=OR","EQY_CONSOLIDATED=Y","Sort=A","Dates=H","DateFormat=P","Fill=—","Direction=H","UseDPDF=Y")</f>
        <v>#NAME?</v>
      </c>
      <c r="CU404" s="1" t="e">
        <f ca="1">_xll.BDH($C$403,"QUICK_RATIO","FQ1 2014","FQ1 2014","Currency=INR","Period=FQ","BEST_FPERIOD_OVERRIDE=FQ","FILING_STATUS=OR","EQY_CONSOLIDATED=Y","Sort=A","Dates=H","DateFormat=P","Fill=—","Direction=H","UseDPDF=Y")</f>
        <v>#NAME?</v>
      </c>
      <c r="CV404" s="1" t="e">
        <f ca="1">_xll.BDH($C$403,"ALTMAN_Z_SCORE","FQ1 2014","FQ1 2014","Currency=INR","Period=FQ","BEST_FPERIOD_OVERRIDE=FQ","FILING_STATUS=OR","EQY_CONSOLIDATED=Y","Sort=A","Dates=H","DateFormat=P","Fill=—","Direction=H","UseDPDF=Y")</f>
        <v>#NAME?</v>
      </c>
      <c r="CW404" s="3" t="e">
        <f ca="1">_xll.BDH($C$403,"ACCT_RCV_TURN","FQ1 2014","FQ1 2014","Currency=INR","Period=FQ","BEST_FPERIOD_OVERRIDE=FQ","FILING_STATUS=OR","EQY_CONSOLIDATED=Y","FA_ADJUSTED=GAAP","Sort=A","Dates=H","DateFormat=P","Fill=—","Direction=H","UseDPDF=Y")</f>
        <v>#NAME?</v>
      </c>
      <c r="CX404" s="1" t="e">
        <f ca="1">_xll.BDH($C$403,"ACCT_RCV_DAYS","FQ1 2014","FQ1 2014","Currency=INR","Period=FQ","BEST_FPERIOD_OVERRIDE=FQ","FILING_STATUS=OR","EQY_CONSOLIDATED=Y","FA_ADJUSTED=GAAP","Sort=A","Dates=H","DateFormat=P","Fill=—","Direction=H","UseDPDF=Y")</f>
        <v>#NAME?</v>
      </c>
      <c r="CY404" s="3" t="e">
        <f ca="1">_xll.BDH($C$403,"INVENT_TURN","FQ1 2014","FQ1 2014","Currency=INR","Period=FQ","BEST_FPERIOD_OVERRIDE=FQ","FILING_STATUS=OR","EQY_CONSOLIDATED=Y","FA_ADJUSTED=GAAP","Sort=A","Dates=H","DateFormat=P","Fill=—","Direction=H","UseDPDF=Y")</f>
        <v>#NAME?</v>
      </c>
      <c r="CZ404" s="1" t="e">
        <f ca="1">_xll.BDH($C$403,"INVENT_DAYS","FQ1 2014","FQ1 2014","Currency=INR","Period=FQ","BEST_FPERIOD_OVERRIDE=FQ","FILING_STATUS=OR","EQY_CONSOLIDATED=Y","FA_ADJUSTED=GAAP","Sort=A","Dates=H","DateFormat=P","Fill=—","Direction=H","UseDPDF=Y")</f>
        <v>#NAME?</v>
      </c>
      <c r="DA404" s="3" t="e">
        <f ca="1">_xll.BDH($C$403,"ACCOUNTS_PAYABLE_TURNOVER","FQ1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04" s="1" t="e">
        <f ca="1">_xll.BDH($C$403,"ACCOUNTS_PAYABLE_TURNOVER_DAYS","FQ1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04" s="3" t="e">
        <f ca="1">_xll.BDH($C$403,"CASH_CONVERSION_CYCLE","FQ1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04" s="3" t="e">
        <f ca="1">_xll.BDH($C$403,"INV_TO_CASH_DAYS","FQ1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404" s="4" t="e">
        <f ca="1">_xll.BDH($C$403,"BS_INVENTORIES","FQ1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404" s="2" t="e">
        <f ca="1">_xll.BDH($C$403,"INVTRY_RAW_MATERIALS","FQ1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04" s="2" t="e">
        <f ca="1">_xll.BDH($C$403,"INVTRY_IN_PROGRESS","FQ1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04" s="2" t="e">
        <f ca="1">_xll.BDH($C$403,"INVTRY_FINISHED_GOODS","FQ1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04" s="2" t="e">
        <f ca="1">_xll.BDH($C$403,"BS_OTHER_INV","FQ1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05" spans="1:113" x14ac:dyDescent="0.3">
      <c r="A405" s="6"/>
      <c r="B405" s="6"/>
      <c r="C405" s="6"/>
      <c r="D405" s="6"/>
      <c r="E405" t="s">
        <v>5</v>
      </c>
      <c r="F405" t="e">
        <f ca="1">_xll.BDH($C$403,"RETURN_COM_EQY","FQ2 2014","FQ2 2014","Currency=INR","Period=FQ","BEST_FPERIOD_OVERRIDE=FQ","FILING_STATUS=OR","EQY_CONSOLIDATED=Y","FA_ADJUSTED=GAAP","Sort=A","Dates=H","DateFormat=P","Fill=—","Direction=H","UseDPDF=Y")</f>
        <v>#NAME?</v>
      </c>
      <c r="G405" t="e">
        <f ca="1">_xll.BDH($C$403,"RETURN_ON_ASSET","FQ2 2014","FQ2 2014","Currency=INR","Period=FQ","BEST_FPERIOD_OVERRIDE=FQ","FILING_STATUS=OR","EQY_CONSOLIDATED=Y","FA_ADJUSTED=GAAP","Sort=A","Dates=H","DateFormat=P","Fill=—","Direction=H","UseDPDF=Y")</f>
        <v>#NAME?</v>
      </c>
      <c r="H405" t="e">
        <f ca="1">_xll.BDH($C$403,"RETURN_ON_CAP","FQ2 2014","FQ2 2014","Currency=INR","Period=FQ","BEST_FPERIOD_OVERRIDE=FQ","FILING_STATUS=OR","EQY_CONSOLIDATED=Y","FA_ADJUSTED=GAAP","Sort=A","Dates=H","DateFormat=P","Fill=—","Direction=H","UseDPDF=Y")</f>
        <v>#NAME?</v>
      </c>
      <c r="I405" t="e">
        <f ca="1">_xll.BDH($C$403,"RETURN_ON_INV_CAPITAL","FQ2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05" t="e">
        <f ca="1">_xll.BDH($C$403,"EBITDA_TO_REVENUE","FQ2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405" t="e">
        <f ca="1">_xll.BDH($C$403,"OPER_MARGIN","FQ2 2014","FQ2 2014","Currency=INR","Period=FQ","BEST_FPERIOD_OVERRIDE=FQ","FILING_STATUS=OR","EQY_CONSOLIDATED=Y","FA_ADJUSTED=GAAP","Sort=A","Dates=H","DateFormat=P","Fill=—","Direction=H","UseDPDF=Y")</f>
        <v>#NAME?</v>
      </c>
      <c r="L405" t="e">
        <f ca="1">_xll.BDH($C$403,"INCREMENTAL_OPERATING_MARGIN","FQ2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05" t="e">
        <f ca="1">_xll.BDH($C$403,"PRETAX_INC_TO_NET_SALES","FQ2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05" t="e">
        <f ca="1">_xll.BDH($C$403,"INC_BEF_XO_ITEMS_TO_NET_SALES","FQ2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05" t="e">
        <f ca="1">_xll.BDH($C$403,"PROF_MARGIN","FQ2 2014","FQ2 2014","Currency=INR","Period=FQ","BEST_FPERIOD_OVERRIDE=FQ","FILING_STATUS=OR","EQY_CONSOLIDATED=Y","FA_ADJUSTED=GAAP","Sort=A","Dates=H","DateFormat=P","Fill=—","Direction=H","UseDPDF=Y")</f>
        <v>#NAME?</v>
      </c>
      <c r="P405" t="e">
        <f ca="1">_xll.BDH($C$403,"NET_INCOME_TO_COMMON_MARGIN","FQ2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05" t="e">
        <f ca="1">_xll.BDH($C$403,"EFF_TAX_RATE","FQ2 2014","FQ2 2014","Currency=INR","Period=FQ","BEST_FPERIOD_OVERRIDE=FQ","FILING_STATUS=OR","EQY_CONSOLIDATED=Y","FA_ADJUSTED=GAAP","Sort=A","Dates=H","DateFormat=P","Fill=—","Direction=H","UseDPDF=Y")</f>
        <v>#NAME?</v>
      </c>
      <c r="R405" t="e">
        <f ca="1">_xll.BDH($C$403,"DVD_PAYOUT_RATIO","FQ2 2014","FQ2 2014","Currency=INR","Period=FQ","BEST_FPERIOD_OVERRIDE=FQ","FILING_STATUS=OR","EQY_CONSOLIDATED=Y","FA_ADJUSTED=GAAP","Sort=A","Dates=H","DateFormat=P","Fill=—","Direction=H","UseDPDF=Y")</f>
        <v>#NAME?</v>
      </c>
      <c r="S405" t="e">
        <f ca="1">_xll.BDH($C$403,"SUSTAIN_GROWTH_RT","FQ2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405" s="1" t="e">
        <f ca="1">_xll.BDH($C$403,"SALES_GROWTH","FQ2 2014","FQ2 2014","Currency=INR","Period=FQ","BEST_FPERIOD_OVERRIDE=FQ","FILING_STATUS=OR","EQY_CONSOLIDATED=Y","FA_ADJUSTED=GAAP","Sort=A","Dates=H","DateFormat=P","Fill=—","Direction=H","UseDPDF=Y")</f>
        <v>#NAME?</v>
      </c>
      <c r="U405" s="1" t="e">
        <f ca="1">_xll.BDH($C$403,"EBITDA_GROWTH","FQ2 2014","FQ2 2014","Currency=INR","Period=FQ","BEST_FPERIOD_OVERRIDE=FQ","FILING_STATUS=OR","EQY_CONSOLIDATED=Y","FA_ADJUSTED=GAAP","Sort=A","Dates=H","DateFormat=P","Fill=—","Direction=H","UseDPDF=Y")</f>
        <v>#NAME?</v>
      </c>
      <c r="V405" s="1" t="e">
        <f ca="1">_xll.BDH($C$403,"OPER_INC_GROWTH","FQ2 2014","FQ2 2014","Currency=INR","Period=FQ","BEST_FPERIOD_OVERRIDE=FQ","FILING_STATUS=OR","EQY_CONSOLIDATED=Y","FA_ADJUSTED=GAAP","Sort=A","Dates=H","DateFormat=P","Fill=—","Direction=H","UseDPDF=Y")</f>
        <v>#NAME?</v>
      </c>
      <c r="W405" s="1" t="e">
        <f ca="1">_xll.BDH($C$403,"EARN_FOR_COM_GROWTH","FQ2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05" s="1" t="e">
        <f ca="1">_xll.BDH($C$403,"DILUTED_EPS_AFT_XO_ITEMS_GROWTH","FQ2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05" s="1" t="e">
        <f ca="1">_xll.BDH($C$403,"DIVIDEND_PER_SHARE_1_YEAR_GROWTH","FQ2 2014","FQ2 2014","Currency=INR","Period=FQ","BEST_FPERIOD_OVERRIDE=FQ","FILING_STATUS=OR","EQY_CONSOLIDATED=Y","Sort=A","Dates=H","DateFormat=P","Fill=—","Direction=H","UseDPDF=Y")</f>
        <v>#NAME?</v>
      </c>
      <c r="Z405" s="1" t="e">
        <f ca="1">_xll.BDH($C$403,"ACCOUNTS_RECEIVABLE_GROWTH","FQ2 2014","FQ2 2014","Currency=INR","Period=FQ","BEST_FPERIOD_OVERRIDE=FQ","FILING_STATUS=OR","EQY_CONSOLIDATED=Y","Sort=A","Dates=H","DateFormat=P","Fill=—","Direction=H","UseDPDF=Y")</f>
        <v>#NAME?</v>
      </c>
      <c r="AA405" s="1" t="e">
        <f ca="1">_xll.BDH($C$403,"INVENTORY_GROWTH","FQ2 2014","FQ2 2014","Currency=INR","Period=FQ","BEST_FPERIOD_OVERRIDE=FQ","FILING_STATUS=OR","EQY_CONSOLIDATED=Y","Sort=A","Dates=H","DateFormat=P","Fill=—","Direction=H","UseDPDF=Y")</f>
        <v>#NAME?</v>
      </c>
      <c r="AB405" s="1" t="e">
        <f ca="1">_xll.BDH($C$403,"NET_FIXED_ASSETS_1_YEAR_GROWTH","FQ2 2014","FQ2 2014","Currency=INR","Period=FQ","BEST_FPERIOD_OVERRIDE=FQ","FILING_STATUS=OR","EQY_CONSOLIDATED=Y","Sort=A","Dates=H","DateFormat=P","Fill=—","Direction=H","UseDPDF=Y")</f>
        <v>#NAME?</v>
      </c>
      <c r="AC405" s="1" t="e">
        <f ca="1">_xll.BDH($C$403,"ASSET_GROWTH","FQ2 2014","FQ2 2014","Currency=INR","Period=FQ","BEST_FPERIOD_OVERRIDE=FQ","FILING_STATUS=OR","EQY_CONSOLIDATED=Y","Sort=A","Dates=H","DateFormat=P","Fill=—","Direction=H","UseDPDF=Y")</f>
        <v>#NAME?</v>
      </c>
      <c r="AD405" s="1" t="e">
        <f ca="1">_xll.BDH($C$403,"MODIFIED_WORK_CAP_GROWTH","FQ2 2014","FQ2 2014","Currency=INR","Period=FQ","BEST_FPERIOD_OVERRIDE=FQ","FILING_STATUS=OR","EQY_CONSOLIDATED=Y","Sort=A","Dates=H","DateFormat=P","Fill=—","Direction=H","UseDPDF=Y")</f>
        <v>#NAME?</v>
      </c>
      <c r="AE405" s="1" t="e">
        <f ca="1">_xll.BDH($C$403,"WORK_CAP_GROWTH","FQ2 2014","FQ2 2014","Currency=INR","Period=FQ","BEST_FPERIOD_OVERRIDE=FQ","FILING_STATUS=OR","EQY_CONSOLIDATED=Y","Sort=A","Dates=H","DateFormat=P","Fill=—","Direction=H","UseDPDF=Y")</f>
        <v>#NAME?</v>
      </c>
      <c r="AF405" s="1" t="e">
        <f ca="1">_xll.BDH($C$403,"ACCOUNTS_PAYABLE_GROWTH_1YR","FQ2 2014","FQ2 2014","Currency=INR","Period=FQ","BEST_FPERIOD_OVERRIDE=FQ","FILING_STATUS=OR","EQY_CONSOLIDATED=Y","Sort=A","Dates=H","DateFormat=P","Fill=—","Direction=H","UseDPDF=Y")</f>
        <v>#NAME?</v>
      </c>
      <c r="AG405" s="1" t="e">
        <f ca="1">_xll.BDH($C$403,"SHORT_TERM_DEBT_1_YEAR_GROWTH","FQ2 2014","FQ2 2014","Currency=INR","Period=FQ","BEST_FPERIOD_OVERRIDE=FQ","FILING_STATUS=OR","EQY_CONSOLIDATED=Y","Sort=A","Dates=H","DateFormat=P","Fill=—","Direction=H","UseDPDF=Y")</f>
        <v>#NAME?</v>
      </c>
      <c r="AH405" s="1" t="e">
        <f ca="1">_xll.BDH($C$403,"TOTAL_DEBT_1_YEAR_GROWTH","FQ2 2014","FQ2 2014","Currency=INR","Period=FQ","BEST_FPERIOD_OVERRIDE=FQ","FILING_STATUS=OR","EQY_CONSOLIDATED=Y","Sort=A","Dates=H","DateFormat=P","Fill=—","Direction=H","UseDPDF=Y")</f>
        <v>#NAME?</v>
      </c>
      <c r="AI405" s="1" t="e">
        <f ca="1">_xll.BDH($C$403,"TOTAL_EQUITY_1_YEAR_GROWTH","FQ2 2014","FQ2 2014","Currency=INR","Period=FQ","BEST_FPERIOD_OVERRIDE=FQ","FILING_STATUS=OR","EQY_CONSOLIDATED=Y","Sort=A","Dates=H","DateFormat=P","Fill=—","Direction=H","UseDPDF=Y")</f>
        <v>#NAME?</v>
      </c>
      <c r="AJ405" s="1" t="e">
        <f ca="1">_xll.BDH($C$403,"GROWTH_IN_CAP","FQ2 2014","FQ2 2014","Currency=INR","Period=FQ","BEST_FPERIOD_OVERRIDE=FQ","FILING_STATUS=OR","EQY_CONSOLIDATED=Y","Sort=A","Dates=H","DateFormat=P","Fill=—","Direction=H","UseDPDF=Y")</f>
        <v>#NAME?</v>
      </c>
      <c r="AK405" s="1" t="e">
        <f ca="1">_xll.BDH($C$403,"BVPS_GROWTH","FQ2 2014","FQ2 2014","Currency=INR","Period=FQ","BEST_FPERIOD_OVERRIDE=FQ","FILING_STATUS=OR","EQY_CONSOLIDATED=Y","Sort=A","Dates=H","DateFormat=P","Fill=—","Direction=H","UseDPDF=Y")</f>
        <v>#NAME?</v>
      </c>
      <c r="AL405" s="1" t="e">
        <f ca="1">_xll.BDH($C$403,"CASH_FLOW_GROWTH","FQ2 2014","FQ2 2014","Currency=INR","Period=FQ","BEST_FPERIOD_OVERRIDE=FQ","FILING_STATUS=OR","EQY_CONSOLIDATED=Y","Sort=A","Dates=H","DateFormat=P","Fill=—","Direction=H","UseDPDF=Y")</f>
        <v>#NAME?</v>
      </c>
      <c r="AM405" s="1" t="e">
        <f ca="1">_xll.BDH($C$403,"GEO_GROW_NET_SALES","FQ2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05" s="1" t="e">
        <f ca="1">_xll.BDH($C$403,"GEO_GROW_EBITDA","FQ2 2014","FQ2 2014","Currency=INR","Period=FQ","BEST_FPERIOD_OVERRIDE=FQ","FILING_STATUS=OR","EQY_CONSOLIDATED=Y","FA_ADJUSTED=GAAP","Sort=A","Dates=H","DateFormat=P","Fill=—","Direction=H","UseDPDF=Y")</f>
        <v>#NAME?</v>
      </c>
      <c r="AO405" s="1" t="e">
        <f ca="1">_xll.BDH($C$403,"GEO_GROW_OPER_INC","FQ2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05" s="1" t="e">
        <f ca="1">_xll.BDH($C$403,"NET_INCOME_TO_COMMON_5_YR_GROWTH","FQ2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05" s="1" t="e">
        <f ca="1">_xll.BDH($C$403,"5Y_GEO_GROWTH_DILUTED_EPS","FQ2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05" s="1" t="e">
        <f ca="1">_xll.BDH($C$403,"GEO_GROW_DVD_PER_SH","FQ2 2014","FQ2 2014","Currency=INR","Period=FQ","BEST_FPERIOD_OVERRIDE=FQ","FILING_STATUS=OR","EQY_CONSOLIDATED=Y","Sort=A","Dates=H","DateFormat=P","Fill=—","Direction=H","UseDPDF=Y")</f>
        <v>#NAME?</v>
      </c>
      <c r="AS405" s="1" t="e">
        <f ca="1">_xll.BDH($C$403,"ACCOUNTS_RECEIVABLE_5_YR_GROWTH","FQ2 2014","FQ2 2014","Currency=INR","Period=FQ","BEST_FPERIOD_OVERRIDE=FQ","FILING_STATUS=OR","EQY_CONSOLIDATED=Y","Sort=A","Dates=H","DateFormat=P","Fill=—","Direction=H","UseDPDF=Y")</f>
        <v>#NAME?</v>
      </c>
      <c r="AT405" s="1" t="e">
        <f ca="1">_xll.BDH($C$403,"INVENTORY_5_YEAR_GROWTH","FQ2 2014","FQ2 2014","Currency=INR","Period=FQ","BEST_FPERIOD_OVERRIDE=FQ","FILING_STATUS=OR","EQY_CONSOLIDATED=Y","Sort=A","Dates=H","DateFormat=P","Fill=—","Direction=H","UseDPDF=Y")</f>
        <v>#NAME?</v>
      </c>
      <c r="AU405" s="1" t="e">
        <f ca="1">_xll.BDH($C$403,"NET_FIXED_ASSETS_5_YEAR_GROWTH","FQ2 2014","FQ2 2014","Currency=INR","Period=FQ","BEST_FPERIOD_OVERRIDE=FQ","FILING_STATUS=OR","EQY_CONSOLIDATED=Y","Sort=A","Dates=H","DateFormat=P","Fill=—","Direction=H","UseDPDF=Y")</f>
        <v>#NAME?</v>
      </c>
      <c r="AV405" s="1" t="e">
        <f ca="1">_xll.BDH($C$403,"GEO_GROW_TOT_ASSET","FQ2 2014","FQ2 2014","Currency=INR","Period=FQ","BEST_FPERIOD_OVERRIDE=FQ","FILING_STATUS=OR","EQY_CONSOLIDATED=Y","Sort=A","Dates=H","DateFormat=P","Fill=—","Direction=H","UseDPDF=Y")</f>
        <v>#NAME?</v>
      </c>
      <c r="AW405" s="1" t="e">
        <f ca="1">_xll.BDH($C$403,"MODIFIED_WORKING_CPTL_5YR_GRWTH","FQ2 2014","FQ2 2014","Currency=INR","Period=FQ","BEST_FPERIOD_OVERRIDE=FQ","FILING_STATUS=OR","EQY_CONSOLIDATED=Y","Sort=A","Dates=H","DateFormat=P","Fill=—","Direction=H","UseDPDF=Y")</f>
        <v>#NAME?</v>
      </c>
      <c r="AX405" s="1" t="e">
        <f ca="1">_xll.BDH($C$403,"WORKING_CAPITAL_5_YEAR_GROWTH","FQ2 2014","FQ2 2014","Currency=INR","Period=FQ","BEST_FPERIOD_OVERRIDE=FQ","FILING_STATUS=OR","EQY_CONSOLIDATED=Y","Sort=A","Dates=H","DateFormat=P","Fill=—","Direction=H","UseDPDF=Y")</f>
        <v>#NAME?</v>
      </c>
      <c r="AY405" s="1" t="e">
        <f ca="1">_xll.BDH($C$403,"ACCOUNTS_PAYABLE_5_YEAR_GROWTH","FQ2 2014","FQ2 2014","Currency=INR","Period=FQ","BEST_FPERIOD_OVERRIDE=FQ","FILING_STATUS=OR","EQY_CONSOLIDATED=Y","Sort=A","Dates=H","DateFormat=P","Fill=—","Direction=H","UseDPDF=Y")</f>
        <v>#NAME?</v>
      </c>
      <c r="AZ405" s="1" t="e">
        <f ca="1">_xll.BDH($C$403,"SHORT_TERM_DEBT_5_YEAR_GROWTH","FQ2 2014","FQ2 2014","Currency=INR","Period=FQ","BEST_FPERIOD_OVERRIDE=FQ","FILING_STATUS=OR","EQY_CONSOLIDATED=Y","Sort=A","Dates=H","DateFormat=P","Fill=—","Direction=H","UseDPDF=Y")</f>
        <v>#NAME?</v>
      </c>
      <c r="BA405" s="1" t="e">
        <f ca="1">_xll.BDH($C$403,"TOTAL_DEBT_5_YEAR_GROWTH","FQ2 2014","FQ2 2014","Currency=INR","Period=FQ","BEST_FPERIOD_OVERRIDE=FQ","FILING_STATUS=OR","EQY_CONSOLIDATED=Y","Sort=A","Dates=H","DateFormat=P","Fill=—","Direction=H","UseDPDF=Y")</f>
        <v>#NAME?</v>
      </c>
      <c r="BB405" s="1" t="e">
        <f ca="1">_xll.BDH($C$403,"GEO_GROW_TOT_SHRHLDR_EQY","FQ2 2014","FQ2 2014","Currency=INR","Period=FQ","BEST_FPERIOD_OVERRIDE=FQ","FILING_STATUS=OR","EQY_CONSOLIDATED=Y","Sort=A","Dates=H","DateFormat=P","Fill=—","Direction=H","UseDPDF=Y")</f>
        <v>#NAME?</v>
      </c>
      <c r="BC405" s="1" t="e">
        <f ca="1">_xll.BDH($C$403,"TOTAL_CAPITAL_5_YEAR_GROWTH","FQ2 2014","FQ2 2014","Currency=INR","Period=FQ","BEST_FPERIOD_OVERRIDE=FQ","FILING_STATUS=OR","EQY_CONSOLIDATED=Y","Sort=A","Dates=H","DateFormat=P","Fill=—","Direction=H","UseDPDF=Y")</f>
        <v>#NAME?</v>
      </c>
      <c r="BD405" s="1" t="e">
        <f ca="1">_xll.BDH($C$403,"GEO_GROW_BOOK_VAL","FQ2 2014","FQ2 2014","Currency=INR","Period=FQ","BEST_FPERIOD_OVERRIDE=FQ","FILING_STATUS=OR","EQY_CONSOLIDATED=Y","Sort=A","Dates=H","DateFormat=P","Fill=—","Direction=H","UseDPDF=Y")</f>
        <v>#NAME?</v>
      </c>
      <c r="BE405" s="1" t="e">
        <f ca="1">_xll.BDH($C$403,"GEO_GROW_CASH_OPER_ACT","FQ2 2014","FQ2 2014","Currency=INR","Period=FQ","BEST_FPERIOD_OVERRIDE=FQ","FILING_STATUS=OR","EQY_CONSOLIDATED=Y","Sort=A","Dates=H","DateFormat=P","Fill=—","Direction=H","UseDPDF=Y")</f>
        <v>#NAME?</v>
      </c>
      <c r="BF405" s="1" t="e">
        <f ca="1">_xll.BDH($C$403,"REVENUE_SEQUENTIAL_GROWTH","FQ2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05" s="1" t="e">
        <f ca="1">_xll.BDH($C$403,"EBITDA_SEQUENTIAL_GROWTH","FQ2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05" s="1" t="e">
        <f ca="1">_xll.BDH($C$403,"OPERATING_INCOME_SEQ_GROWTH","FQ2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05" s="1" t="e">
        <f ca="1">_xll.BDH($C$403,"NET_INCOME_TO_COMMON_SEQ_GROWTH","FQ2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05" s="1" t="e">
        <f ca="1">_xll.BDH($C$403,"EPS_DILUTED_SEQUENTIAL_GROWTH","FQ2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05" s="1" t="e">
        <f ca="1">_xll.BDH($C$403,"DPS_SEQUENTIAL_GROWTH","FQ2 2014","FQ2 2014","Currency=INR","Period=FQ","BEST_FPERIOD_OVERRIDE=FQ","FILING_STATUS=OR","EQY_CONSOLIDATED=Y","Sort=A","Dates=H","DateFormat=P","Fill=—","Direction=H","UseDPDF=Y")</f>
        <v>#NAME?</v>
      </c>
      <c r="BL405" s="1" t="e">
        <f ca="1">_xll.BDH($C$403,"ACCOUNTS_RECEIVABLE_SEQ_GROWTH","FQ2 2014","FQ2 2014","Currency=INR","Period=FQ","BEST_FPERIOD_OVERRIDE=FQ","FILING_STATUS=OR","EQY_CONSOLIDATED=Y","Sort=A","Dates=H","DateFormat=P","Fill=—","Direction=H","UseDPDF=Y")</f>
        <v>#NAME?</v>
      </c>
      <c r="BM405" s="1" t="e">
        <f ca="1">_xll.BDH($C$403,"INVENTORY_SEQUENTIAL_GROWTH","FQ2 2014","FQ2 2014","Currency=INR","Period=FQ","BEST_FPERIOD_OVERRIDE=FQ","FILING_STATUS=OR","EQY_CONSOLIDATED=Y","Sort=A","Dates=H","DateFormat=P","Fill=—","Direction=H","UseDPDF=Y")</f>
        <v>#NAME?</v>
      </c>
      <c r="BN405" s="1" t="e">
        <f ca="1">_xll.BDH($C$403,"FIXED_ASSETS_SEQUENTIAL_GROWTH","FQ2 2014","FQ2 2014","Currency=INR","Period=FQ","BEST_FPERIOD_OVERRIDE=FQ","FILING_STATUS=OR","EQY_CONSOLIDATED=Y","Sort=A","Dates=H","DateFormat=P","Fill=—","Direction=H","UseDPDF=Y")</f>
        <v>#NAME?</v>
      </c>
      <c r="BO405" s="1" t="e">
        <f ca="1">_xll.BDH($C$403,"TOTAL_ASSETS_SEQUENTIAL_GROWTH","FQ2 2014","FQ2 2014","Currency=INR","Period=FQ","BEST_FPERIOD_OVERRIDE=FQ","FILING_STATUS=OR","EQY_CONSOLIDATED=Y","Sort=A","Dates=H","DateFormat=P","Fill=—","Direction=H","UseDPDF=Y")</f>
        <v>#NAME?</v>
      </c>
      <c r="BP405" s="1" t="e">
        <f ca="1">_xll.BDH($C$403,"MODIFIED_WORKING_CPTL_SEQ_GRWTH","FQ2 2014","FQ2 2014","Currency=INR","Period=FQ","BEST_FPERIOD_OVERRIDE=FQ","FILING_STATUS=OR","EQY_CONSOLIDATED=Y","Sort=A","Dates=H","DateFormat=P","Fill=—","Direction=H","UseDPDF=Y")</f>
        <v>#NAME?</v>
      </c>
      <c r="BQ405" s="1" t="e">
        <f ca="1">_xll.BDH($C$403,"WORKING_CAPITAL_SEQ_GROWTH","FQ2 2014","FQ2 2014","Currency=INR","Period=FQ","BEST_FPERIOD_OVERRIDE=FQ","FILING_STATUS=OR","EQY_CONSOLIDATED=Y","Sort=A","Dates=H","DateFormat=P","Fill=—","Direction=H","UseDPDF=Y")</f>
        <v>#NAME?</v>
      </c>
      <c r="BR405" s="1" t="e">
        <f ca="1">_xll.BDH($C$403,"ACCOUNTS_PAYABLE_SEQ_GROWTH","FQ2 2014","FQ2 2014","Currency=INR","Period=FQ","BEST_FPERIOD_OVERRIDE=FQ","FILING_STATUS=OR","EQY_CONSOLIDATED=Y","Sort=A","Dates=H","DateFormat=P","Fill=—","Direction=H","UseDPDF=Y")</f>
        <v>#NAME?</v>
      </c>
      <c r="BS405" s="1" t="e">
        <f ca="1">_xll.BDH($C$403,"ST_DEBT_SEQUENTIAL_GROWTH","FQ2 2014","FQ2 2014","Currency=INR","Period=FQ","BEST_FPERIOD_OVERRIDE=FQ","FILING_STATUS=OR","EQY_CONSOLIDATED=Y","Sort=A","Dates=H","DateFormat=P","Fill=—","Direction=H","UseDPDF=Y")</f>
        <v>#NAME?</v>
      </c>
      <c r="BT405" s="1" t="e">
        <f ca="1">_xll.BDH($C$403,"TOTAL_DEBT_SEQUENTIAL_GROWTH","FQ2 2014","FQ2 2014","Currency=INR","Period=FQ","BEST_FPERIOD_OVERRIDE=FQ","FILING_STATUS=OR","EQY_CONSOLIDATED=Y","Sort=A","Dates=H","DateFormat=P","Fill=—","Direction=H","UseDPDF=Y")</f>
        <v>#NAME?</v>
      </c>
      <c r="BU405" s="1" t="e">
        <f ca="1">_xll.BDH($C$403,"TOTAL_EQUITY_SEQUENTIAL_GROWTH","FQ2 2014","FQ2 2014","Currency=INR","Period=FQ","BEST_FPERIOD_OVERRIDE=FQ","FILING_STATUS=OR","EQY_CONSOLIDATED=Y","Sort=A","Dates=H","DateFormat=P","Fill=—","Direction=H","UseDPDF=Y")</f>
        <v>#NAME?</v>
      </c>
      <c r="BV405" s="1" t="e">
        <f ca="1">_xll.BDH($C$403,"TOTAL_CAPITAL_SEQUENTIAL_GROWTH","FQ2 2014","FQ2 2014","Currency=INR","Period=FQ","BEST_FPERIOD_OVERRIDE=FQ","FILING_STATUS=OR","EQY_CONSOLIDATED=Y","Sort=A","Dates=H","DateFormat=P","Fill=—","Direction=H","UseDPDF=Y")</f>
        <v>#NAME?</v>
      </c>
      <c r="BW405" s="1" t="e">
        <f ca="1">_xll.BDH($C$403,"BPS_SEQUENTIAL_GROWTH","FQ2 2014","FQ2 2014","Currency=INR","Period=FQ","BEST_FPERIOD_OVERRIDE=FQ","FILING_STATUS=OR","EQY_CONSOLIDATED=Y","Sort=A","Dates=H","DateFormat=P","Fill=—","Direction=H","UseDPDF=Y")</f>
        <v>#NAME?</v>
      </c>
      <c r="BX405" s="1" t="e">
        <f ca="1">_xll.BDH($C$403,"CFO_SEQUENTIAL_GROWTH","FQ2 2014","FQ2 2014","Currency=INR","Period=FQ","BEST_FPERIOD_OVERRIDE=FQ","FILING_STATUS=OR","EQY_CONSOLIDATED=Y","Sort=A","Dates=H","DateFormat=P","Fill=—","Direction=H","UseDPDF=Y")</f>
        <v>#NAME?</v>
      </c>
      <c r="BY405" s="2" t="e">
        <f ca="1">_xll.BDH($C$403,"SHORT_AND_LONG_TERM_DEBT","FQ2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05" s="2" t="e">
        <f ca="1">_xll.BDH($C$403,"BS_ST_BORROW","FQ2 2014","FQ2 2014","Currency=INR","Period=FQ","BEST_FPERIOD_OVERRIDE=FQ","FILING_STATUS=OR","EQY_CONSOLIDATED=Y","SCALING_FORMAT=MLN","Sort=A","Dates=H","DateFormat=P","Fill=—","Direction=H","UseDPDF=Y")</f>
        <v>#NAME?</v>
      </c>
      <c r="CA405" s="2" t="e">
        <f ca="1">_xll.BDH($C$403,"BS_LT_BORROW","FQ2 2014","FQ2 2014","Currency=INR","Period=FQ","BEST_FPERIOD_OVERRIDE=FQ","FILING_STATUS=OR","EQY_CONSOLIDATED=Y","SCALING_FORMAT=MLN","Sort=A","Dates=H","DateFormat=P","Fill=—","Direction=H","UseDPDF=Y")</f>
        <v>#NAME?</v>
      </c>
      <c r="CB405" s="1" t="e">
        <f ca="1">_xll.BDH($C$403,"TOT_DEBT_TO_EBITDA","FQ2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05" s="1" t="e">
        <f ca="1">_xll.BDH($C$403,"NET_DEBT_TO_EBITDA","FQ2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05" s="1" t="e">
        <f ca="1">_xll.BDH($C$403,"TOTAL_DEBT_TO_EBIT","FQ2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05" s="1" t="e">
        <f ca="1">_xll.BDH($C$403,"NET_DEBT_TO_EBIT","FQ2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405" s="1" t="e">
        <f ca="1">_xll.BDH($C$403,"EBITDA_TO_INTEREST_EXPN","FQ2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05" s="1" t="e">
        <f ca="1">_xll.BDH($C$403,"COM_EQY_TO_TOT_ASSET","FQ2 2014","FQ2 2014","Currency=INR","Period=FQ","BEST_FPERIOD_OVERRIDE=FQ","FILING_STATUS=OR","EQY_CONSOLIDATED=Y","Sort=A","Dates=H","DateFormat=P","Fill=—","Direction=H","UseDPDF=Y")</f>
        <v>#NAME?</v>
      </c>
      <c r="CH405" s="1" t="e">
        <f ca="1">_xll.BDH($C$403,"LT_DEBT_TO_TOT_EQY","FQ2 2014","FQ2 2014","Currency=INR","Period=FQ","BEST_FPERIOD_OVERRIDE=FQ","FILING_STATUS=OR","EQY_CONSOLIDATED=Y","Sort=A","Dates=H","DateFormat=P","Fill=—","Direction=H","UseDPDF=Y")</f>
        <v>#NAME?</v>
      </c>
      <c r="CI405" s="1" t="e">
        <f ca="1">_xll.BDH($C$403,"LT_DEBT_TO_TOT_CAP","FQ2 2014","FQ2 2014","Currency=INR","Period=FQ","BEST_FPERIOD_OVERRIDE=FQ","FILING_STATUS=OR","EQY_CONSOLIDATED=Y","Sort=A","Dates=H","DateFormat=P","Fill=—","Direction=H","UseDPDF=Y")</f>
        <v>#NAME?</v>
      </c>
      <c r="CJ405" s="1" t="e">
        <f ca="1">_xll.BDH($C$403,"LT_DEBT_TO_TOT_ASSET","FQ2 2014","FQ2 2014","Currency=INR","Period=FQ","BEST_FPERIOD_OVERRIDE=FQ","FILING_STATUS=OR","EQY_CONSOLIDATED=Y","Sort=A","Dates=H","DateFormat=P","Fill=—","Direction=H","UseDPDF=Y")</f>
        <v>#NAME?</v>
      </c>
      <c r="CK405" s="1" t="e">
        <f ca="1">_xll.BDH($C$403,"TOT_DEBT_TO_TOT_EQY","FQ2 2014","FQ2 2014","Currency=INR","Period=FQ","BEST_FPERIOD_OVERRIDE=FQ","FILING_STATUS=OR","EQY_CONSOLIDATED=Y","Sort=A","Dates=H","DateFormat=P","Fill=—","Direction=H","UseDPDF=Y")</f>
        <v>#NAME?</v>
      </c>
      <c r="CL405" s="1" t="e">
        <f ca="1">_xll.BDH($C$403,"TOT_DEBT_TO_TOT_CAP","FQ2 2014","FQ2 2014","Currency=INR","Period=FQ","BEST_FPERIOD_OVERRIDE=FQ","FILING_STATUS=OR","EQY_CONSOLIDATED=Y","Sort=A","Dates=H","DateFormat=P","Fill=—","Direction=H","UseDPDF=Y")</f>
        <v>#NAME?</v>
      </c>
      <c r="CM405" s="1" t="e">
        <f ca="1">_xll.BDH($C$403,"TOT_DEBT_TO_TOT_ASSET","FQ2 2014","FQ2 2014","Currency=INR","Period=FQ","BEST_FPERIOD_OVERRIDE=FQ","FILING_STATUS=OR","EQY_CONSOLIDATED=Y","Sort=A","Dates=H","DateFormat=P","Fill=—","Direction=H","UseDPDF=Y")</f>
        <v>#NAME?</v>
      </c>
      <c r="CN405" s="1" t="e">
        <f ca="1">_xll.BDH($C$403,"NET_DEBT_TO_SHRHLDR_EQTY","FQ2 2014","FQ2 2014","Currency=INR","Period=FQ","BEST_FPERIOD_OVERRIDE=FQ","FILING_STATUS=OR","EQY_CONSOLIDATED=Y","Sort=A","Dates=H","DateFormat=P","Fill=—","Direction=H","UseDPDF=Y")</f>
        <v>#NAME?</v>
      </c>
      <c r="CO405" s="1" t="e">
        <f ca="1">_xll.BDH($C$403,"NET_DEBT_%_CAPITAL","FQ2 2014","FQ2 2014","Currency=INR","Period=FQ","BEST_FPERIOD_OVERRIDE=FQ","FILING_STATUS=OR","EQY_CONSOLIDATED=Y","Sort=A","Dates=H","DateFormat=P","Fill=—","Direction=H","UseDPDF=Y")</f>
        <v>#NAME?</v>
      </c>
      <c r="CP405" s="2" t="e">
        <f ca="1">_xll.BDH($C$403,"EBITDA","FQ2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05" s="2" t="e">
        <f ca="1">_xll.BDH($C$403,"EBITDA_AFTER_CAPEX","FQ2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05" s="2" t="e">
        <f ca="1">_xll.BDH($C$403,"IS_OPER_INC","FQ2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05" s="1" t="e">
        <f ca="1">_xll.BDH($C$403,"CASH_RATIO","FQ2 2014","FQ2 2014","Currency=INR","Period=FQ","BEST_FPERIOD_OVERRIDE=FQ","FILING_STATUS=OR","EQY_CONSOLIDATED=Y","Sort=A","Dates=H","DateFormat=P","Fill=—","Direction=H","UseDPDF=Y")</f>
        <v>#NAME?</v>
      </c>
      <c r="CT405" s="1" t="e">
        <f ca="1">_xll.BDH($C$403,"CUR_RATIO","FQ2 2014","FQ2 2014","Currency=INR","Period=FQ","BEST_FPERIOD_OVERRIDE=FQ","FILING_STATUS=OR","EQY_CONSOLIDATED=Y","Sort=A","Dates=H","DateFormat=P","Fill=—","Direction=H","UseDPDF=Y")</f>
        <v>#NAME?</v>
      </c>
      <c r="CU405" s="1" t="e">
        <f ca="1">_xll.BDH($C$403,"QUICK_RATIO","FQ2 2014","FQ2 2014","Currency=INR","Period=FQ","BEST_FPERIOD_OVERRIDE=FQ","FILING_STATUS=OR","EQY_CONSOLIDATED=Y","Sort=A","Dates=H","DateFormat=P","Fill=—","Direction=H","UseDPDF=Y")</f>
        <v>#NAME?</v>
      </c>
      <c r="CV405" s="1" t="e">
        <f ca="1">_xll.BDH($C$403,"ALTMAN_Z_SCORE","FQ2 2014","FQ2 2014","Currency=INR","Period=FQ","BEST_FPERIOD_OVERRIDE=FQ","FILING_STATUS=OR","EQY_CONSOLIDATED=Y","Sort=A","Dates=H","DateFormat=P","Fill=—","Direction=H","UseDPDF=Y")</f>
        <v>#NAME?</v>
      </c>
      <c r="CW405" s="3" t="e">
        <f ca="1">_xll.BDH($C$403,"ACCT_RCV_TURN","FQ2 2014","FQ2 2014","Currency=INR","Period=FQ","BEST_FPERIOD_OVERRIDE=FQ","FILING_STATUS=OR","EQY_CONSOLIDATED=Y","FA_ADJUSTED=GAAP","Sort=A","Dates=H","DateFormat=P","Fill=—","Direction=H","UseDPDF=Y")</f>
        <v>#NAME?</v>
      </c>
      <c r="CX405" s="1" t="e">
        <f ca="1">_xll.BDH($C$403,"ACCT_RCV_DAYS","FQ2 2014","FQ2 2014","Currency=INR","Period=FQ","BEST_FPERIOD_OVERRIDE=FQ","FILING_STATUS=OR","EQY_CONSOLIDATED=Y","FA_ADJUSTED=GAAP","Sort=A","Dates=H","DateFormat=P","Fill=—","Direction=H","UseDPDF=Y")</f>
        <v>#NAME?</v>
      </c>
      <c r="CY405" s="3" t="e">
        <f ca="1">_xll.BDH($C$403,"INVENT_TURN","FQ2 2014","FQ2 2014","Currency=INR","Period=FQ","BEST_FPERIOD_OVERRIDE=FQ","FILING_STATUS=OR","EQY_CONSOLIDATED=Y","FA_ADJUSTED=GAAP","Sort=A","Dates=H","DateFormat=P","Fill=—","Direction=H","UseDPDF=Y")</f>
        <v>#NAME?</v>
      </c>
      <c r="CZ405" s="1" t="e">
        <f ca="1">_xll.BDH($C$403,"INVENT_DAYS","FQ2 2014","FQ2 2014","Currency=INR","Period=FQ","BEST_FPERIOD_OVERRIDE=FQ","FILING_STATUS=OR","EQY_CONSOLIDATED=Y","FA_ADJUSTED=GAAP","Sort=A","Dates=H","DateFormat=P","Fill=—","Direction=H","UseDPDF=Y")</f>
        <v>#NAME?</v>
      </c>
      <c r="DA405" s="3" t="e">
        <f ca="1">_xll.BDH($C$403,"ACCOUNTS_PAYABLE_TURNOVER","FQ2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05" s="1" t="e">
        <f ca="1">_xll.BDH($C$403,"ACCOUNTS_PAYABLE_TURNOVER_DAYS","FQ2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05" s="3" t="e">
        <f ca="1">_xll.BDH($C$403,"CASH_CONVERSION_CYCLE","FQ2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05" s="3" t="e">
        <f ca="1">_xll.BDH($C$403,"INV_TO_CASH_DAYS","FQ2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405" s="4" t="e">
        <f ca="1">_xll.BDH($C$403,"BS_INVENTORIES","FQ2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405" s="2" t="e">
        <f ca="1">_xll.BDH($C$403,"INVTRY_RAW_MATERIALS","FQ2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05" s="2" t="e">
        <f ca="1">_xll.BDH($C$403,"INVTRY_IN_PROGRESS","FQ2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05" s="2" t="e">
        <f ca="1">_xll.BDH($C$403,"INVTRY_FINISHED_GOODS","FQ2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05" s="2" t="e">
        <f ca="1">_xll.BDH($C$403,"BS_OTHER_INV","FQ2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06" spans="1:113" x14ac:dyDescent="0.3">
      <c r="A406" s="6"/>
      <c r="B406" s="6"/>
      <c r="C406" s="6"/>
      <c r="D406" s="6"/>
      <c r="E406" t="s">
        <v>6</v>
      </c>
      <c r="F406" t="e">
        <f ca="1">_xll.BDH($C$403,"RETURN_COM_EQY","FQ3 2014","FQ3 2014","Currency=INR","Period=FQ","BEST_FPERIOD_OVERRIDE=FQ","FILING_STATUS=OR","EQY_CONSOLIDATED=Y","FA_ADJUSTED=GAAP","Sort=A","Dates=H","DateFormat=P","Fill=—","Direction=H","UseDPDF=Y")</f>
        <v>#NAME?</v>
      </c>
      <c r="G406" t="e">
        <f ca="1">_xll.BDH($C$403,"RETURN_ON_ASSET","FQ3 2014","FQ3 2014","Currency=INR","Period=FQ","BEST_FPERIOD_OVERRIDE=FQ","FILING_STATUS=OR","EQY_CONSOLIDATED=Y","FA_ADJUSTED=GAAP","Sort=A","Dates=H","DateFormat=P","Fill=—","Direction=H","UseDPDF=Y")</f>
        <v>#NAME?</v>
      </c>
      <c r="H406" t="e">
        <f ca="1">_xll.BDH($C$403,"RETURN_ON_CAP","FQ3 2014","FQ3 2014","Currency=INR","Period=FQ","BEST_FPERIOD_OVERRIDE=FQ","FILING_STATUS=OR","EQY_CONSOLIDATED=Y","FA_ADJUSTED=GAAP","Sort=A","Dates=H","DateFormat=P","Fill=—","Direction=H","UseDPDF=Y")</f>
        <v>#NAME?</v>
      </c>
      <c r="I406" t="e">
        <f ca="1">_xll.BDH($C$403,"RETURN_ON_INV_CAPITAL","FQ3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06" t="e">
        <f ca="1">_xll.BDH($C$403,"EBITDA_TO_REVENUE","FQ3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406" t="e">
        <f ca="1">_xll.BDH($C$403,"OPER_MARGIN","FQ3 2014","FQ3 2014","Currency=INR","Period=FQ","BEST_FPERIOD_OVERRIDE=FQ","FILING_STATUS=OR","EQY_CONSOLIDATED=Y","FA_ADJUSTED=GAAP","Sort=A","Dates=H","DateFormat=P","Fill=—","Direction=H","UseDPDF=Y")</f>
        <v>#NAME?</v>
      </c>
      <c r="L406" t="e">
        <f ca="1">_xll.BDH($C$403,"INCREMENTAL_OPERATING_MARGIN","FQ3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06" t="e">
        <f ca="1">_xll.BDH($C$403,"PRETAX_INC_TO_NET_SALES","FQ3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06" t="e">
        <f ca="1">_xll.BDH($C$403,"INC_BEF_XO_ITEMS_TO_NET_SALES","FQ3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06" t="e">
        <f ca="1">_xll.BDH($C$403,"PROF_MARGIN","FQ3 2014","FQ3 2014","Currency=INR","Period=FQ","BEST_FPERIOD_OVERRIDE=FQ","FILING_STATUS=OR","EQY_CONSOLIDATED=Y","FA_ADJUSTED=GAAP","Sort=A","Dates=H","DateFormat=P","Fill=—","Direction=H","UseDPDF=Y")</f>
        <v>#NAME?</v>
      </c>
      <c r="P406" t="e">
        <f ca="1">_xll.BDH($C$403,"NET_INCOME_TO_COMMON_MARGIN","FQ3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06" t="e">
        <f ca="1">_xll.BDH($C$403,"EFF_TAX_RATE","FQ3 2014","FQ3 2014","Currency=INR","Period=FQ","BEST_FPERIOD_OVERRIDE=FQ","FILING_STATUS=OR","EQY_CONSOLIDATED=Y","FA_ADJUSTED=GAAP","Sort=A","Dates=H","DateFormat=P","Fill=—","Direction=H","UseDPDF=Y")</f>
        <v>#NAME?</v>
      </c>
      <c r="R406" t="e">
        <f ca="1">_xll.BDH($C$403,"DVD_PAYOUT_RATIO","FQ3 2014","FQ3 2014","Currency=INR","Period=FQ","BEST_FPERIOD_OVERRIDE=FQ","FILING_STATUS=OR","EQY_CONSOLIDATED=Y","FA_ADJUSTED=GAAP","Sort=A","Dates=H","DateFormat=P","Fill=—","Direction=H","UseDPDF=Y")</f>
        <v>#NAME?</v>
      </c>
      <c r="S406" t="e">
        <f ca="1">_xll.BDH($C$403,"SUSTAIN_GROWTH_RT","FQ3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406" s="1" t="e">
        <f ca="1">_xll.BDH($C$403,"SALES_GROWTH","FQ3 2014","FQ3 2014","Currency=INR","Period=FQ","BEST_FPERIOD_OVERRIDE=FQ","FILING_STATUS=OR","EQY_CONSOLIDATED=Y","FA_ADJUSTED=GAAP","Sort=A","Dates=H","DateFormat=P","Fill=—","Direction=H","UseDPDF=Y")</f>
        <v>#NAME?</v>
      </c>
      <c r="U406" s="1" t="e">
        <f ca="1">_xll.BDH($C$403,"EBITDA_GROWTH","FQ3 2014","FQ3 2014","Currency=INR","Period=FQ","BEST_FPERIOD_OVERRIDE=FQ","FILING_STATUS=OR","EQY_CONSOLIDATED=Y","FA_ADJUSTED=GAAP","Sort=A","Dates=H","DateFormat=P","Fill=—","Direction=H","UseDPDF=Y")</f>
        <v>#NAME?</v>
      </c>
      <c r="V406" s="1" t="e">
        <f ca="1">_xll.BDH($C$403,"OPER_INC_GROWTH","FQ3 2014","FQ3 2014","Currency=INR","Period=FQ","BEST_FPERIOD_OVERRIDE=FQ","FILING_STATUS=OR","EQY_CONSOLIDATED=Y","FA_ADJUSTED=GAAP","Sort=A","Dates=H","DateFormat=P","Fill=—","Direction=H","UseDPDF=Y")</f>
        <v>#NAME?</v>
      </c>
      <c r="W406" s="1" t="e">
        <f ca="1">_xll.BDH($C$403,"EARN_FOR_COM_GROWTH","FQ3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06" s="1" t="e">
        <f ca="1">_xll.BDH($C$403,"DILUTED_EPS_AFT_XO_ITEMS_GROWTH","FQ3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06" s="1" t="e">
        <f ca="1">_xll.BDH($C$403,"DIVIDEND_PER_SHARE_1_YEAR_GROWTH","FQ3 2014","FQ3 2014","Currency=INR","Period=FQ","BEST_FPERIOD_OVERRIDE=FQ","FILING_STATUS=OR","EQY_CONSOLIDATED=Y","Sort=A","Dates=H","DateFormat=P","Fill=—","Direction=H","UseDPDF=Y")</f>
        <v>#NAME?</v>
      </c>
      <c r="Z406" s="1" t="e">
        <f ca="1">_xll.BDH($C$403,"ACCOUNTS_RECEIVABLE_GROWTH","FQ3 2014","FQ3 2014","Currency=INR","Period=FQ","BEST_FPERIOD_OVERRIDE=FQ","FILING_STATUS=OR","EQY_CONSOLIDATED=Y","Sort=A","Dates=H","DateFormat=P","Fill=—","Direction=H","UseDPDF=Y")</f>
        <v>#NAME?</v>
      </c>
      <c r="AA406" s="1" t="e">
        <f ca="1">_xll.BDH($C$403,"INVENTORY_GROWTH","FQ3 2014","FQ3 2014","Currency=INR","Period=FQ","BEST_FPERIOD_OVERRIDE=FQ","FILING_STATUS=OR","EQY_CONSOLIDATED=Y","Sort=A","Dates=H","DateFormat=P","Fill=—","Direction=H","UseDPDF=Y")</f>
        <v>#NAME?</v>
      </c>
      <c r="AB406" s="1" t="e">
        <f ca="1">_xll.BDH($C$403,"NET_FIXED_ASSETS_1_YEAR_GROWTH","FQ3 2014","FQ3 2014","Currency=INR","Period=FQ","BEST_FPERIOD_OVERRIDE=FQ","FILING_STATUS=OR","EQY_CONSOLIDATED=Y","Sort=A","Dates=H","DateFormat=P","Fill=—","Direction=H","UseDPDF=Y")</f>
        <v>#NAME?</v>
      </c>
      <c r="AC406" s="1" t="e">
        <f ca="1">_xll.BDH($C$403,"ASSET_GROWTH","FQ3 2014","FQ3 2014","Currency=INR","Period=FQ","BEST_FPERIOD_OVERRIDE=FQ","FILING_STATUS=OR","EQY_CONSOLIDATED=Y","Sort=A","Dates=H","DateFormat=P","Fill=—","Direction=H","UseDPDF=Y")</f>
        <v>#NAME?</v>
      </c>
      <c r="AD406" s="1" t="e">
        <f ca="1">_xll.BDH($C$403,"MODIFIED_WORK_CAP_GROWTH","FQ3 2014","FQ3 2014","Currency=INR","Period=FQ","BEST_FPERIOD_OVERRIDE=FQ","FILING_STATUS=OR","EQY_CONSOLIDATED=Y","Sort=A","Dates=H","DateFormat=P","Fill=—","Direction=H","UseDPDF=Y")</f>
        <v>#NAME?</v>
      </c>
      <c r="AE406" s="1" t="e">
        <f ca="1">_xll.BDH($C$403,"WORK_CAP_GROWTH","FQ3 2014","FQ3 2014","Currency=INR","Period=FQ","BEST_FPERIOD_OVERRIDE=FQ","FILING_STATUS=OR","EQY_CONSOLIDATED=Y","Sort=A","Dates=H","DateFormat=P","Fill=—","Direction=H","UseDPDF=Y")</f>
        <v>#NAME?</v>
      </c>
      <c r="AF406" s="1" t="e">
        <f ca="1">_xll.BDH($C$403,"ACCOUNTS_PAYABLE_GROWTH_1YR","FQ3 2014","FQ3 2014","Currency=INR","Period=FQ","BEST_FPERIOD_OVERRIDE=FQ","FILING_STATUS=OR","EQY_CONSOLIDATED=Y","Sort=A","Dates=H","DateFormat=P","Fill=—","Direction=H","UseDPDF=Y")</f>
        <v>#NAME?</v>
      </c>
      <c r="AG406" s="1" t="e">
        <f ca="1">_xll.BDH($C$403,"SHORT_TERM_DEBT_1_YEAR_GROWTH","FQ3 2014","FQ3 2014","Currency=INR","Period=FQ","BEST_FPERIOD_OVERRIDE=FQ","FILING_STATUS=OR","EQY_CONSOLIDATED=Y","Sort=A","Dates=H","DateFormat=P","Fill=—","Direction=H","UseDPDF=Y")</f>
        <v>#NAME?</v>
      </c>
      <c r="AH406" s="1" t="e">
        <f ca="1">_xll.BDH($C$403,"TOTAL_DEBT_1_YEAR_GROWTH","FQ3 2014","FQ3 2014","Currency=INR","Period=FQ","BEST_FPERIOD_OVERRIDE=FQ","FILING_STATUS=OR","EQY_CONSOLIDATED=Y","Sort=A","Dates=H","DateFormat=P","Fill=—","Direction=H","UseDPDF=Y")</f>
        <v>#NAME?</v>
      </c>
      <c r="AI406" s="1" t="e">
        <f ca="1">_xll.BDH($C$403,"TOTAL_EQUITY_1_YEAR_GROWTH","FQ3 2014","FQ3 2014","Currency=INR","Period=FQ","BEST_FPERIOD_OVERRIDE=FQ","FILING_STATUS=OR","EQY_CONSOLIDATED=Y","Sort=A","Dates=H","DateFormat=P","Fill=—","Direction=H","UseDPDF=Y")</f>
        <v>#NAME?</v>
      </c>
      <c r="AJ406" s="1" t="e">
        <f ca="1">_xll.BDH($C$403,"GROWTH_IN_CAP","FQ3 2014","FQ3 2014","Currency=INR","Period=FQ","BEST_FPERIOD_OVERRIDE=FQ","FILING_STATUS=OR","EQY_CONSOLIDATED=Y","Sort=A","Dates=H","DateFormat=P","Fill=—","Direction=H","UseDPDF=Y")</f>
        <v>#NAME?</v>
      </c>
      <c r="AK406" s="1" t="e">
        <f ca="1">_xll.BDH($C$403,"BVPS_GROWTH","FQ3 2014","FQ3 2014","Currency=INR","Period=FQ","BEST_FPERIOD_OVERRIDE=FQ","FILING_STATUS=OR","EQY_CONSOLIDATED=Y","Sort=A","Dates=H","DateFormat=P","Fill=—","Direction=H","UseDPDF=Y")</f>
        <v>#NAME?</v>
      </c>
      <c r="AL406" s="1" t="e">
        <f ca="1">_xll.BDH($C$403,"CASH_FLOW_GROWTH","FQ3 2014","FQ3 2014","Currency=INR","Period=FQ","BEST_FPERIOD_OVERRIDE=FQ","FILING_STATUS=OR","EQY_CONSOLIDATED=Y","Sort=A","Dates=H","DateFormat=P","Fill=—","Direction=H","UseDPDF=Y")</f>
        <v>#NAME?</v>
      </c>
      <c r="AM406" s="1" t="e">
        <f ca="1">_xll.BDH($C$403,"GEO_GROW_NET_SALES","FQ3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06" s="1" t="e">
        <f ca="1">_xll.BDH($C$403,"GEO_GROW_EBITDA","FQ3 2014","FQ3 2014","Currency=INR","Period=FQ","BEST_FPERIOD_OVERRIDE=FQ","FILING_STATUS=OR","EQY_CONSOLIDATED=Y","FA_ADJUSTED=GAAP","Sort=A","Dates=H","DateFormat=P","Fill=—","Direction=H","UseDPDF=Y")</f>
        <v>#NAME?</v>
      </c>
      <c r="AO406" s="1" t="e">
        <f ca="1">_xll.BDH($C$403,"GEO_GROW_OPER_INC","FQ3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06" s="1" t="e">
        <f ca="1">_xll.BDH($C$403,"NET_INCOME_TO_COMMON_5_YR_GROWTH","FQ3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06" s="1" t="e">
        <f ca="1">_xll.BDH($C$403,"5Y_GEO_GROWTH_DILUTED_EPS","FQ3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06" s="1" t="e">
        <f ca="1">_xll.BDH($C$403,"GEO_GROW_DVD_PER_SH","FQ3 2014","FQ3 2014","Currency=INR","Period=FQ","BEST_FPERIOD_OVERRIDE=FQ","FILING_STATUS=OR","EQY_CONSOLIDATED=Y","Sort=A","Dates=H","DateFormat=P","Fill=—","Direction=H","UseDPDF=Y")</f>
        <v>#NAME?</v>
      </c>
      <c r="AS406" s="1" t="e">
        <f ca="1">_xll.BDH($C$403,"ACCOUNTS_RECEIVABLE_5_YR_GROWTH","FQ3 2014","FQ3 2014","Currency=INR","Period=FQ","BEST_FPERIOD_OVERRIDE=FQ","FILING_STATUS=OR","EQY_CONSOLIDATED=Y","Sort=A","Dates=H","DateFormat=P","Fill=—","Direction=H","UseDPDF=Y")</f>
        <v>#NAME?</v>
      </c>
      <c r="AT406" s="1" t="e">
        <f ca="1">_xll.BDH($C$403,"INVENTORY_5_YEAR_GROWTH","FQ3 2014","FQ3 2014","Currency=INR","Period=FQ","BEST_FPERIOD_OVERRIDE=FQ","FILING_STATUS=OR","EQY_CONSOLIDATED=Y","Sort=A","Dates=H","DateFormat=P","Fill=—","Direction=H","UseDPDF=Y")</f>
        <v>#NAME?</v>
      </c>
      <c r="AU406" s="1" t="e">
        <f ca="1">_xll.BDH($C$403,"NET_FIXED_ASSETS_5_YEAR_GROWTH","FQ3 2014","FQ3 2014","Currency=INR","Period=FQ","BEST_FPERIOD_OVERRIDE=FQ","FILING_STATUS=OR","EQY_CONSOLIDATED=Y","Sort=A","Dates=H","DateFormat=P","Fill=—","Direction=H","UseDPDF=Y")</f>
        <v>#NAME?</v>
      </c>
      <c r="AV406" s="1" t="e">
        <f ca="1">_xll.BDH($C$403,"GEO_GROW_TOT_ASSET","FQ3 2014","FQ3 2014","Currency=INR","Period=FQ","BEST_FPERIOD_OVERRIDE=FQ","FILING_STATUS=OR","EQY_CONSOLIDATED=Y","Sort=A","Dates=H","DateFormat=P","Fill=—","Direction=H","UseDPDF=Y")</f>
        <v>#NAME?</v>
      </c>
      <c r="AW406" s="1" t="e">
        <f ca="1">_xll.BDH($C$403,"MODIFIED_WORKING_CPTL_5YR_GRWTH","FQ3 2014","FQ3 2014","Currency=INR","Period=FQ","BEST_FPERIOD_OVERRIDE=FQ","FILING_STATUS=OR","EQY_CONSOLIDATED=Y","Sort=A","Dates=H","DateFormat=P","Fill=—","Direction=H","UseDPDF=Y")</f>
        <v>#NAME?</v>
      </c>
      <c r="AX406" s="1" t="e">
        <f ca="1">_xll.BDH($C$403,"WORKING_CAPITAL_5_YEAR_GROWTH","FQ3 2014","FQ3 2014","Currency=INR","Period=FQ","BEST_FPERIOD_OVERRIDE=FQ","FILING_STATUS=OR","EQY_CONSOLIDATED=Y","Sort=A","Dates=H","DateFormat=P","Fill=—","Direction=H","UseDPDF=Y")</f>
        <v>#NAME?</v>
      </c>
      <c r="AY406" s="1" t="e">
        <f ca="1">_xll.BDH($C$403,"ACCOUNTS_PAYABLE_5_YEAR_GROWTH","FQ3 2014","FQ3 2014","Currency=INR","Period=FQ","BEST_FPERIOD_OVERRIDE=FQ","FILING_STATUS=OR","EQY_CONSOLIDATED=Y","Sort=A","Dates=H","DateFormat=P","Fill=—","Direction=H","UseDPDF=Y")</f>
        <v>#NAME?</v>
      </c>
      <c r="AZ406" s="1" t="e">
        <f ca="1">_xll.BDH($C$403,"SHORT_TERM_DEBT_5_YEAR_GROWTH","FQ3 2014","FQ3 2014","Currency=INR","Period=FQ","BEST_FPERIOD_OVERRIDE=FQ","FILING_STATUS=OR","EQY_CONSOLIDATED=Y","Sort=A","Dates=H","DateFormat=P","Fill=—","Direction=H","UseDPDF=Y")</f>
        <v>#NAME?</v>
      </c>
      <c r="BA406" s="1" t="e">
        <f ca="1">_xll.BDH($C$403,"TOTAL_DEBT_5_YEAR_GROWTH","FQ3 2014","FQ3 2014","Currency=INR","Period=FQ","BEST_FPERIOD_OVERRIDE=FQ","FILING_STATUS=OR","EQY_CONSOLIDATED=Y","Sort=A","Dates=H","DateFormat=P","Fill=—","Direction=H","UseDPDF=Y")</f>
        <v>#NAME?</v>
      </c>
      <c r="BB406" s="1" t="e">
        <f ca="1">_xll.BDH($C$403,"GEO_GROW_TOT_SHRHLDR_EQY","FQ3 2014","FQ3 2014","Currency=INR","Period=FQ","BEST_FPERIOD_OVERRIDE=FQ","FILING_STATUS=OR","EQY_CONSOLIDATED=Y","Sort=A","Dates=H","DateFormat=P","Fill=—","Direction=H","UseDPDF=Y")</f>
        <v>#NAME?</v>
      </c>
      <c r="BC406" s="1" t="e">
        <f ca="1">_xll.BDH($C$403,"TOTAL_CAPITAL_5_YEAR_GROWTH","FQ3 2014","FQ3 2014","Currency=INR","Period=FQ","BEST_FPERIOD_OVERRIDE=FQ","FILING_STATUS=OR","EQY_CONSOLIDATED=Y","Sort=A","Dates=H","DateFormat=P","Fill=—","Direction=H","UseDPDF=Y")</f>
        <v>#NAME?</v>
      </c>
      <c r="BD406" s="1" t="e">
        <f ca="1">_xll.BDH($C$403,"GEO_GROW_BOOK_VAL","FQ3 2014","FQ3 2014","Currency=INR","Period=FQ","BEST_FPERIOD_OVERRIDE=FQ","FILING_STATUS=OR","EQY_CONSOLIDATED=Y","Sort=A","Dates=H","DateFormat=P","Fill=—","Direction=H","UseDPDF=Y")</f>
        <v>#NAME?</v>
      </c>
      <c r="BE406" s="1" t="e">
        <f ca="1">_xll.BDH($C$403,"GEO_GROW_CASH_OPER_ACT","FQ3 2014","FQ3 2014","Currency=INR","Period=FQ","BEST_FPERIOD_OVERRIDE=FQ","FILING_STATUS=OR","EQY_CONSOLIDATED=Y","Sort=A","Dates=H","DateFormat=P","Fill=—","Direction=H","UseDPDF=Y")</f>
        <v>#NAME?</v>
      </c>
      <c r="BF406" s="1" t="e">
        <f ca="1">_xll.BDH($C$403,"REVENUE_SEQUENTIAL_GROWTH","FQ3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06" s="1" t="e">
        <f ca="1">_xll.BDH($C$403,"EBITDA_SEQUENTIAL_GROWTH","FQ3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06" s="1" t="e">
        <f ca="1">_xll.BDH($C$403,"OPERATING_INCOME_SEQ_GROWTH","FQ3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06" s="1" t="e">
        <f ca="1">_xll.BDH($C$403,"NET_INCOME_TO_COMMON_SEQ_GROWTH","FQ3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06" s="1" t="e">
        <f ca="1">_xll.BDH($C$403,"EPS_DILUTED_SEQUENTIAL_GROWTH","FQ3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06" s="1" t="e">
        <f ca="1">_xll.BDH($C$403,"DPS_SEQUENTIAL_GROWTH","FQ3 2014","FQ3 2014","Currency=INR","Period=FQ","BEST_FPERIOD_OVERRIDE=FQ","FILING_STATUS=OR","EQY_CONSOLIDATED=Y","Sort=A","Dates=H","DateFormat=P","Fill=—","Direction=H","UseDPDF=Y")</f>
        <v>#NAME?</v>
      </c>
      <c r="BL406" s="1" t="e">
        <f ca="1">_xll.BDH($C$403,"ACCOUNTS_RECEIVABLE_SEQ_GROWTH","FQ3 2014","FQ3 2014","Currency=INR","Period=FQ","BEST_FPERIOD_OVERRIDE=FQ","FILING_STATUS=OR","EQY_CONSOLIDATED=Y","Sort=A","Dates=H","DateFormat=P","Fill=—","Direction=H","UseDPDF=Y")</f>
        <v>#NAME?</v>
      </c>
      <c r="BM406" s="1" t="e">
        <f ca="1">_xll.BDH($C$403,"INVENTORY_SEQUENTIAL_GROWTH","FQ3 2014","FQ3 2014","Currency=INR","Period=FQ","BEST_FPERIOD_OVERRIDE=FQ","FILING_STATUS=OR","EQY_CONSOLIDATED=Y","Sort=A","Dates=H","DateFormat=P","Fill=—","Direction=H","UseDPDF=Y")</f>
        <v>#NAME?</v>
      </c>
      <c r="BN406" s="1" t="e">
        <f ca="1">_xll.BDH($C$403,"FIXED_ASSETS_SEQUENTIAL_GROWTH","FQ3 2014","FQ3 2014","Currency=INR","Period=FQ","BEST_FPERIOD_OVERRIDE=FQ","FILING_STATUS=OR","EQY_CONSOLIDATED=Y","Sort=A","Dates=H","DateFormat=P","Fill=—","Direction=H","UseDPDF=Y")</f>
        <v>#NAME?</v>
      </c>
      <c r="BO406" s="1" t="e">
        <f ca="1">_xll.BDH($C$403,"TOTAL_ASSETS_SEQUENTIAL_GROWTH","FQ3 2014","FQ3 2014","Currency=INR","Period=FQ","BEST_FPERIOD_OVERRIDE=FQ","FILING_STATUS=OR","EQY_CONSOLIDATED=Y","Sort=A","Dates=H","DateFormat=P","Fill=—","Direction=H","UseDPDF=Y")</f>
        <v>#NAME?</v>
      </c>
      <c r="BP406" s="1" t="e">
        <f ca="1">_xll.BDH($C$403,"MODIFIED_WORKING_CPTL_SEQ_GRWTH","FQ3 2014","FQ3 2014","Currency=INR","Period=FQ","BEST_FPERIOD_OVERRIDE=FQ","FILING_STATUS=OR","EQY_CONSOLIDATED=Y","Sort=A","Dates=H","DateFormat=P","Fill=—","Direction=H","UseDPDF=Y")</f>
        <v>#NAME?</v>
      </c>
      <c r="BQ406" s="1" t="e">
        <f ca="1">_xll.BDH($C$403,"WORKING_CAPITAL_SEQ_GROWTH","FQ3 2014","FQ3 2014","Currency=INR","Period=FQ","BEST_FPERIOD_OVERRIDE=FQ","FILING_STATUS=OR","EQY_CONSOLIDATED=Y","Sort=A","Dates=H","DateFormat=P","Fill=—","Direction=H","UseDPDF=Y")</f>
        <v>#NAME?</v>
      </c>
      <c r="BR406" s="1" t="e">
        <f ca="1">_xll.BDH($C$403,"ACCOUNTS_PAYABLE_SEQ_GROWTH","FQ3 2014","FQ3 2014","Currency=INR","Period=FQ","BEST_FPERIOD_OVERRIDE=FQ","FILING_STATUS=OR","EQY_CONSOLIDATED=Y","Sort=A","Dates=H","DateFormat=P","Fill=—","Direction=H","UseDPDF=Y")</f>
        <v>#NAME?</v>
      </c>
      <c r="BS406" s="1" t="e">
        <f ca="1">_xll.BDH($C$403,"ST_DEBT_SEQUENTIAL_GROWTH","FQ3 2014","FQ3 2014","Currency=INR","Period=FQ","BEST_FPERIOD_OVERRIDE=FQ","FILING_STATUS=OR","EQY_CONSOLIDATED=Y","Sort=A","Dates=H","DateFormat=P","Fill=—","Direction=H","UseDPDF=Y")</f>
        <v>#NAME?</v>
      </c>
      <c r="BT406" s="1" t="e">
        <f ca="1">_xll.BDH($C$403,"TOTAL_DEBT_SEQUENTIAL_GROWTH","FQ3 2014","FQ3 2014","Currency=INR","Period=FQ","BEST_FPERIOD_OVERRIDE=FQ","FILING_STATUS=OR","EQY_CONSOLIDATED=Y","Sort=A","Dates=H","DateFormat=P","Fill=—","Direction=H","UseDPDF=Y")</f>
        <v>#NAME?</v>
      </c>
      <c r="BU406" s="1" t="e">
        <f ca="1">_xll.BDH($C$403,"TOTAL_EQUITY_SEQUENTIAL_GROWTH","FQ3 2014","FQ3 2014","Currency=INR","Period=FQ","BEST_FPERIOD_OVERRIDE=FQ","FILING_STATUS=OR","EQY_CONSOLIDATED=Y","Sort=A","Dates=H","DateFormat=P","Fill=—","Direction=H","UseDPDF=Y")</f>
        <v>#NAME?</v>
      </c>
      <c r="BV406" s="1" t="e">
        <f ca="1">_xll.BDH($C$403,"TOTAL_CAPITAL_SEQUENTIAL_GROWTH","FQ3 2014","FQ3 2014","Currency=INR","Period=FQ","BEST_FPERIOD_OVERRIDE=FQ","FILING_STATUS=OR","EQY_CONSOLIDATED=Y","Sort=A","Dates=H","DateFormat=P","Fill=—","Direction=H","UseDPDF=Y")</f>
        <v>#NAME?</v>
      </c>
      <c r="BW406" s="1" t="e">
        <f ca="1">_xll.BDH($C$403,"BPS_SEQUENTIAL_GROWTH","FQ3 2014","FQ3 2014","Currency=INR","Period=FQ","BEST_FPERIOD_OVERRIDE=FQ","FILING_STATUS=OR","EQY_CONSOLIDATED=Y","Sort=A","Dates=H","DateFormat=P","Fill=—","Direction=H","UseDPDF=Y")</f>
        <v>#NAME?</v>
      </c>
      <c r="BX406" s="1" t="e">
        <f ca="1">_xll.BDH($C$403,"CFO_SEQUENTIAL_GROWTH","FQ3 2014","FQ3 2014","Currency=INR","Period=FQ","BEST_FPERIOD_OVERRIDE=FQ","FILING_STATUS=OR","EQY_CONSOLIDATED=Y","Sort=A","Dates=H","DateFormat=P","Fill=—","Direction=H","UseDPDF=Y")</f>
        <v>#NAME?</v>
      </c>
      <c r="BY406" s="2" t="e">
        <f ca="1">_xll.BDH($C$403,"SHORT_AND_LONG_TERM_DEBT","FQ3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06" s="2" t="e">
        <f ca="1">_xll.BDH($C$403,"BS_ST_BORROW","FQ3 2014","FQ3 2014","Currency=INR","Period=FQ","BEST_FPERIOD_OVERRIDE=FQ","FILING_STATUS=OR","EQY_CONSOLIDATED=Y","SCALING_FORMAT=MLN","Sort=A","Dates=H","DateFormat=P","Fill=—","Direction=H","UseDPDF=Y")</f>
        <v>#NAME?</v>
      </c>
      <c r="CA406" s="2" t="e">
        <f ca="1">_xll.BDH($C$403,"BS_LT_BORROW","FQ3 2014","FQ3 2014","Currency=INR","Period=FQ","BEST_FPERIOD_OVERRIDE=FQ","FILING_STATUS=OR","EQY_CONSOLIDATED=Y","SCALING_FORMAT=MLN","Sort=A","Dates=H","DateFormat=P","Fill=—","Direction=H","UseDPDF=Y")</f>
        <v>#NAME?</v>
      </c>
      <c r="CB406" s="1" t="e">
        <f ca="1">_xll.BDH($C$403,"TOT_DEBT_TO_EBITDA","FQ3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06" s="1" t="e">
        <f ca="1">_xll.BDH($C$403,"NET_DEBT_TO_EBITDA","FQ3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06" s="1" t="e">
        <f ca="1">_xll.BDH($C$403,"TOTAL_DEBT_TO_EBIT","FQ3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06" s="1" t="e">
        <f ca="1">_xll.BDH($C$403,"NET_DEBT_TO_EBIT","FQ3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406" s="1" t="e">
        <f ca="1">_xll.BDH($C$403,"EBITDA_TO_INTEREST_EXPN","FQ3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06" s="1" t="e">
        <f ca="1">_xll.BDH($C$403,"COM_EQY_TO_TOT_ASSET","FQ3 2014","FQ3 2014","Currency=INR","Period=FQ","BEST_FPERIOD_OVERRIDE=FQ","FILING_STATUS=OR","EQY_CONSOLIDATED=Y","Sort=A","Dates=H","DateFormat=P","Fill=—","Direction=H","UseDPDF=Y")</f>
        <v>#NAME?</v>
      </c>
      <c r="CH406" s="1" t="e">
        <f ca="1">_xll.BDH($C$403,"LT_DEBT_TO_TOT_EQY","FQ3 2014","FQ3 2014","Currency=INR","Period=FQ","BEST_FPERIOD_OVERRIDE=FQ","FILING_STATUS=OR","EQY_CONSOLIDATED=Y","Sort=A","Dates=H","DateFormat=P","Fill=—","Direction=H","UseDPDF=Y")</f>
        <v>#NAME?</v>
      </c>
      <c r="CI406" s="1" t="e">
        <f ca="1">_xll.BDH($C$403,"LT_DEBT_TO_TOT_CAP","FQ3 2014","FQ3 2014","Currency=INR","Period=FQ","BEST_FPERIOD_OVERRIDE=FQ","FILING_STATUS=OR","EQY_CONSOLIDATED=Y","Sort=A","Dates=H","DateFormat=P","Fill=—","Direction=H","UseDPDF=Y")</f>
        <v>#NAME?</v>
      </c>
      <c r="CJ406" s="1" t="e">
        <f ca="1">_xll.BDH($C$403,"LT_DEBT_TO_TOT_ASSET","FQ3 2014","FQ3 2014","Currency=INR","Period=FQ","BEST_FPERIOD_OVERRIDE=FQ","FILING_STATUS=OR","EQY_CONSOLIDATED=Y","Sort=A","Dates=H","DateFormat=P","Fill=—","Direction=H","UseDPDF=Y")</f>
        <v>#NAME?</v>
      </c>
      <c r="CK406" s="1" t="e">
        <f ca="1">_xll.BDH($C$403,"TOT_DEBT_TO_TOT_EQY","FQ3 2014","FQ3 2014","Currency=INR","Period=FQ","BEST_FPERIOD_OVERRIDE=FQ","FILING_STATUS=OR","EQY_CONSOLIDATED=Y","Sort=A","Dates=H","DateFormat=P","Fill=—","Direction=H","UseDPDF=Y")</f>
        <v>#NAME?</v>
      </c>
      <c r="CL406" s="1" t="e">
        <f ca="1">_xll.BDH($C$403,"TOT_DEBT_TO_TOT_CAP","FQ3 2014","FQ3 2014","Currency=INR","Period=FQ","BEST_FPERIOD_OVERRIDE=FQ","FILING_STATUS=OR","EQY_CONSOLIDATED=Y","Sort=A","Dates=H","DateFormat=P","Fill=—","Direction=H","UseDPDF=Y")</f>
        <v>#NAME?</v>
      </c>
      <c r="CM406" s="1" t="e">
        <f ca="1">_xll.BDH($C$403,"TOT_DEBT_TO_TOT_ASSET","FQ3 2014","FQ3 2014","Currency=INR","Period=FQ","BEST_FPERIOD_OVERRIDE=FQ","FILING_STATUS=OR","EQY_CONSOLIDATED=Y","Sort=A","Dates=H","DateFormat=P","Fill=—","Direction=H","UseDPDF=Y")</f>
        <v>#NAME?</v>
      </c>
      <c r="CN406" s="1" t="e">
        <f ca="1">_xll.BDH($C$403,"NET_DEBT_TO_SHRHLDR_EQTY","FQ3 2014","FQ3 2014","Currency=INR","Period=FQ","BEST_FPERIOD_OVERRIDE=FQ","FILING_STATUS=OR","EQY_CONSOLIDATED=Y","Sort=A","Dates=H","DateFormat=P","Fill=—","Direction=H","UseDPDF=Y")</f>
        <v>#NAME?</v>
      </c>
      <c r="CO406" s="1" t="e">
        <f ca="1">_xll.BDH($C$403,"NET_DEBT_%_CAPITAL","FQ3 2014","FQ3 2014","Currency=INR","Period=FQ","BEST_FPERIOD_OVERRIDE=FQ","FILING_STATUS=OR","EQY_CONSOLIDATED=Y","Sort=A","Dates=H","DateFormat=P","Fill=—","Direction=H","UseDPDF=Y")</f>
        <v>#NAME?</v>
      </c>
      <c r="CP406" s="2" t="e">
        <f ca="1">_xll.BDH($C$403,"EBITDA","FQ3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06" s="2" t="e">
        <f ca="1">_xll.BDH($C$403,"EBITDA_AFTER_CAPEX","FQ3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06" s="2" t="e">
        <f ca="1">_xll.BDH($C$403,"IS_OPER_INC","FQ3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06" s="1" t="e">
        <f ca="1">_xll.BDH($C$403,"CASH_RATIO","FQ3 2014","FQ3 2014","Currency=INR","Period=FQ","BEST_FPERIOD_OVERRIDE=FQ","FILING_STATUS=OR","EQY_CONSOLIDATED=Y","Sort=A","Dates=H","DateFormat=P","Fill=—","Direction=H","UseDPDF=Y")</f>
        <v>#NAME?</v>
      </c>
      <c r="CT406" s="1" t="e">
        <f ca="1">_xll.BDH($C$403,"CUR_RATIO","FQ3 2014","FQ3 2014","Currency=INR","Period=FQ","BEST_FPERIOD_OVERRIDE=FQ","FILING_STATUS=OR","EQY_CONSOLIDATED=Y","Sort=A","Dates=H","DateFormat=P","Fill=—","Direction=H","UseDPDF=Y")</f>
        <v>#NAME?</v>
      </c>
      <c r="CU406" s="1" t="e">
        <f ca="1">_xll.BDH($C$403,"QUICK_RATIO","FQ3 2014","FQ3 2014","Currency=INR","Period=FQ","BEST_FPERIOD_OVERRIDE=FQ","FILING_STATUS=OR","EQY_CONSOLIDATED=Y","Sort=A","Dates=H","DateFormat=P","Fill=—","Direction=H","UseDPDF=Y")</f>
        <v>#NAME?</v>
      </c>
      <c r="CV406" s="1" t="e">
        <f ca="1">_xll.BDH($C$403,"ALTMAN_Z_SCORE","FQ3 2014","FQ3 2014","Currency=INR","Period=FQ","BEST_FPERIOD_OVERRIDE=FQ","FILING_STATUS=OR","EQY_CONSOLIDATED=Y","Sort=A","Dates=H","DateFormat=P","Fill=—","Direction=H","UseDPDF=Y")</f>
        <v>#NAME?</v>
      </c>
      <c r="CW406" s="3" t="e">
        <f ca="1">_xll.BDH($C$403,"ACCT_RCV_TURN","FQ3 2014","FQ3 2014","Currency=INR","Period=FQ","BEST_FPERIOD_OVERRIDE=FQ","FILING_STATUS=OR","EQY_CONSOLIDATED=Y","FA_ADJUSTED=GAAP","Sort=A","Dates=H","DateFormat=P","Fill=—","Direction=H","UseDPDF=Y")</f>
        <v>#NAME?</v>
      </c>
      <c r="CX406" s="1" t="e">
        <f ca="1">_xll.BDH($C$403,"ACCT_RCV_DAYS","FQ3 2014","FQ3 2014","Currency=INR","Period=FQ","BEST_FPERIOD_OVERRIDE=FQ","FILING_STATUS=OR","EQY_CONSOLIDATED=Y","FA_ADJUSTED=GAAP","Sort=A","Dates=H","DateFormat=P","Fill=—","Direction=H","UseDPDF=Y")</f>
        <v>#NAME?</v>
      </c>
      <c r="CY406" s="3" t="e">
        <f ca="1">_xll.BDH($C$403,"INVENT_TURN","FQ3 2014","FQ3 2014","Currency=INR","Period=FQ","BEST_FPERIOD_OVERRIDE=FQ","FILING_STATUS=OR","EQY_CONSOLIDATED=Y","FA_ADJUSTED=GAAP","Sort=A","Dates=H","DateFormat=P","Fill=—","Direction=H","UseDPDF=Y")</f>
        <v>#NAME?</v>
      </c>
      <c r="CZ406" s="1" t="e">
        <f ca="1">_xll.BDH($C$403,"INVENT_DAYS","FQ3 2014","FQ3 2014","Currency=INR","Period=FQ","BEST_FPERIOD_OVERRIDE=FQ","FILING_STATUS=OR","EQY_CONSOLIDATED=Y","FA_ADJUSTED=GAAP","Sort=A","Dates=H","DateFormat=P","Fill=—","Direction=H","UseDPDF=Y")</f>
        <v>#NAME?</v>
      </c>
      <c r="DA406" s="3" t="e">
        <f ca="1">_xll.BDH($C$403,"ACCOUNTS_PAYABLE_TURNOVER","FQ3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06" s="1" t="e">
        <f ca="1">_xll.BDH($C$403,"ACCOUNTS_PAYABLE_TURNOVER_DAYS","FQ3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06" s="3" t="e">
        <f ca="1">_xll.BDH($C$403,"CASH_CONVERSION_CYCLE","FQ3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06" s="3" t="e">
        <f ca="1">_xll.BDH($C$403,"INV_TO_CASH_DAYS","FQ3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406" s="4" t="e">
        <f ca="1">_xll.BDH($C$403,"BS_INVENTORIES","FQ3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406" s="2" t="e">
        <f ca="1">_xll.BDH($C$403,"INVTRY_RAW_MATERIALS","FQ3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06" s="2" t="e">
        <f ca="1">_xll.BDH($C$403,"INVTRY_IN_PROGRESS","FQ3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06" s="2" t="e">
        <f ca="1">_xll.BDH($C$403,"INVTRY_FINISHED_GOODS","FQ3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06" s="2" t="e">
        <f ca="1">_xll.BDH($C$403,"BS_OTHER_INV","FQ3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07" spans="1:113" x14ac:dyDescent="0.3">
      <c r="A407" s="6"/>
      <c r="B407" s="6"/>
      <c r="C407" s="6"/>
      <c r="D407" s="6"/>
      <c r="E407" t="s">
        <v>7</v>
      </c>
      <c r="F407" t="e">
        <f ca="1">_xll.BDH($C$403,"RETURN_COM_EQY","FQ4 2014","FQ4 2014","Currency=INR","Period=FQ","BEST_FPERIOD_OVERRIDE=FQ","FILING_STATUS=OR","EQY_CONSOLIDATED=Y","FA_ADJUSTED=GAAP","Sort=A","Dates=H","DateFormat=P","Fill=—","Direction=H","UseDPDF=Y")</f>
        <v>#NAME?</v>
      </c>
      <c r="G407" t="e">
        <f ca="1">_xll.BDH($C$403,"RETURN_ON_ASSET","FQ4 2014","FQ4 2014","Currency=INR","Period=FQ","BEST_FPERIOD_OVERRIDE=FQ","FILING_STATUS=OR","EQY_CONSOLIDATED=Y","FA_ADJUSTED=GAAP","Sort=A","Dates=H","DateFormat=P","Fill=—","Direction=H","UseDPDF=Y")</f>
        <v>#NAME?</v>
      </c>
      <c r="H407" t="e">
        <f ca="1">_xll.BDH($C$403,"RETURN_ON_CAP","FQ4 2014","FQ4 2014","Currency=INR","Period=FQ","BEST_FPERIOD_OVERRIDE=FQ","FILING_STATUS=OR","EQY_CONSOLIDATED=Y","FA_ADJUSTED=GAAP","Sort=A","Dates=H","DateFormat=P","Fill=—","Direction=H","UseDPDF=Y")</f>
        <v>#NAME?</v>
      </c>
      <c r="I407" t="e">
        <f ca="1">_xll.BDH($C$403,"RETURN_ON_INV_CAPITAL","FQ4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07" t="e">
        <f ca="1">_xll.BDH($C$403,"EBITDA_TO_REVENUE","FQ4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407" t="e">
        <f ca="1">_xll.BDH($C$403,"OPER_MARGIN","FQ4 2014","FQ4 2014","Currency=INR","Period=FQ","BEST_FPERIOD_OVERRIDE=FQ","FILING_STATUS=OR","EQY_CONSOLIDATED=Y","FA_ADJUSTED=GAAP","Sort=A","Dates=H","DateFormat=P","Fill=—","Direction=H","UseDPDF=Y")</f>
        <v>#NAME?</v>
      </c>
      <c r="L407" t="e">
        <f ca="1">_xll.BDH($C$403,"INCREMENTAL_OPERATING_MARGIN","FQ4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07" t="e">
        <f ca="1">_xll.BDH($C$403,"PRETAX_INC_TO_NET_SALES","FQ4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07" t="e">
        <f ca="1">_xll.BDH($C$403,"INC_BEF_XO_ITEMS_TO_NET_SALES","FQ4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07" t="e">
        <f ca="1">_xll.BDH($C$403,"PROF_MARGIN","FQ4 2014","FQ4 2014","Currency=INR","Period=FQ","BEST_FPERIOD_OVERRIDE=FQ","FILING_STATUS=OR","EQY_CONSOLIDATED=Y","FA_ADJUSTED=GAAP","Sort=A","Dates=H","DateFormat=P","Fill=—","Direction=H","UseDPDF=Y")</f>
        <v>#NAME?</v>
      </c>
      <c r="P407" t="e">
        <f ca="1">_xll.BDH($C$403,"NET_INCOME_TO_COMMON_MARGIN","FQ4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07" t="e">
        <f ca="1">_xll.BDH($C$403,"EFF_TAX_RATE","FQ4 2014","FQ4 2014","Currency=INR","Period=FQ","BEST_FPERIOD_OVERRIDE=FQ","FILING_STATUS=OR","EQY_CONSOLIDATED=Y","FA_ADJUSTED=GAAP","Sort=A","Dates=H","DateFormat=P","Fill=—","Direction=H","UseDPDF=Y")</f>
        <v>#NAME?</v>
      </c>
      <c r="R407" t="e">
        <f ca="1">_xll.BDH($C$403,"DVD_PAYOUT_RATIO","FQ4 2014","FQ4 2014","Currency=INR","Period=FQ","BEST_FPERIOD_OVERRIDE=FQ","FILING_STATUS=OR","EQY_CONSOLIDATED=Y","FA_ADJUSTED=GAAP","Sort=A","Dates=H","DateFormat=P","Fill=—","Direction=H","UseDPDF=Y")</f>
        <v>#NAME?</v>
      </c>
      <c r="S407" t="e">
        <f ca="1">_xll.BDH($C$403,"SUSTAIN_GROWTH_RT","FQ4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407" s="1" t="e">
        <f ca="1">_xll.BDH($C$403,"SALES_GROWTH","FQ4 2014","FQ4 2014","Currency=INR","Period=FQ","BEST_FPERIOD_OVERRIDE=FQ","FILING_STATUS=OR","EQY_CONSOLIDATED=Y","FA_ADJUSTED=GAAP","Sort=A","Dates=H","DateFormat=P","Fill=—","Direction=H","UseDPDF=Y")</f>
        <v>#NAME?</v>
      </c>
      <c r="U407" s="1" t="e">
        <f ca="1">_xll.BDH($C$403,"EBITDA_GROWTH","FQ4 2014","FQ4 2014","Currency=INR","Period=FQ","BEST_FPERIOD_OVERRIDE=FQ","FILING_STATUS=OR","EQY_CONSOLIDATED=Y","FA_ADJUSTED=GAAP","Sort=A","Dates=H","DateFormat=P","Fill=—","Direction=H","UseDPDF=Y")</f>
        <v>#NAME?</v>
      </c>
      <c r="V407" s="1" t="e">
        <f ca="1">_xll.BDH($C$403,"OPER_INC_GROWTH","FQ4 2014","FQ4 2014","Currency=INR","Period=FQ","BEST_FPERIOD_OVERRIDE=FQ","FILING_STATUS=OR","EQY_CONSOLIDATED=Y","FA_ADJUSTED=GAAP","Sort=A","Dates=H","DateFormat=P","Fill=—","Direction=H","UseDPDF=Y")</f>
        <v>#NAME?</v>
      </c>
      <c r="W407" s="1" t="e">
        <f ca="1">_xll.BDH($C$403,"EARN_FOR_COM_GROWTH","FQ4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07" s="1" t="e">
        <f ca="1">_xll.BDH($C$403,"DILUTED_EPS_AFT_XO_ITEMS_GROWTH","FQ4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07" s="1" t="e">
        <f ca="1">_xll.BDH($C$403,"DIVIDEND_PER_SHARE_1_YEAR_GROWTH","FQ4 2014","FQ4 2014","Currency=INR","Period=FQ","BEST_FPERIOD_OVERRIDE=FQ","FILING_STATUS=OR","EQY_CONSOLIDATED=Y","Sort=A","Dates=H","DateFormat=P","Fill=—","Direction=H","UseDPDF=Y")</f>
        <v>#NAME?</v>
      </c>
      <c r="Z407" s="1" t="e">
        <f ca="1">_xll.BDH($C$403,"ACCOUNTS_RECEIVABLE_GROWTH","FQ4 2014","FQ4 2014","Currency=INR","Period=FQ","BEST_FPERIOD_OVERRIDE=FQ","FILING_STATUS=OR","EQY_CONSOLIDATED=Y","Sort=A","Dates=H","DateFormat=P","Fill=—","Direction=H","UseDPDF=Y")</f>
        <v>#NAME?</v>
      </c>
      <c r="AA407" s="1" t="e">
        <f ca="1">_xll.BDH($C$403,"INVENTORY_GROWTH","FQ4 2014","FQ4 2014","Currency=INR","Period=FQ","BEST_FPERIOD_OVERRIDE=FQ","FILING_STATUS=OR","EQY_CONSOLIDATED=Y","Sort=A","Dates=H","DateFormat=P","Fill=—","Direction=H","UseDPDF=Y")</f>
        <v>#NAME?</v>
      </c>
      <c r="AB407" s="1" t="e">
        <f ca="1">_xll.BDH($C$403,"NET_FIXED_ASSETS_1_YEAR_GROWTH","FQ4 2014","FQ4 2014","Currency=INR","Period=FQ","BEST_FPERIOD_OVERRIDE=FQ","FILING_STATUS=OR","EQY_CONSOLIDATED=Y","Sort=A","Dates=H","DateFormat=P","Fill=—","Direction=H","UseDPDF=Y")</f>
        <v>#NAME?</v>
      </c>
      <c r="AC407" s="1" t="e">
        <f ca="1">_xll.BDH($C$403,"ASSET_GROWTH","FQ4 2014","FQ4 2014","Currency=INR","Period=FQ","BEST_FPERIOD_OVERRIDE=FQ","FILING_STATUS=OR","EQY_CONSOLIDATED=Y","Sort=A","Dates=H","DateFormat=P","Fill=—","Direction=H","UseDPDF=Y")</f>
        <v>#NAME?</v>
      </c>
      <c r="AD407" s="1" t="e">
        <f ca="1">_xll.BDH($C$403,"MODIFIED_WORK_CAP_GROWTH","FQ4 2014","FQ4 2014","Currency=INR","Period=FQ","BEST_FPERIOD_OVERRIDE=FQ","FILING_STATUS=OR","EQY_CONSOLIDATED=Y","Sort=A","Dates=H","DateFormat=P","Fill=—","Direction=H","UseDPDF=Y")</f>
        <v>#NAME?</v>
      </c>
      <c r="AE407" s="1" t="e">
        <f ca="1">_xll.BDH($C$403,"WORK_CAP_GROWTH","FQ4 2014","FQ4 2014","Currency=INR","Period=FQ","BEST_FPERIOD_OVERRIDE=FQ","FILING_STATUS=OR","EQY_CONSOLIDATED=Y","Sort=A","Dates=H","DateFormat=P","Fill=—","Direction=H","UseDPDF=Y")</f>
        <v>#NAME?</v>
      </c>
      <c r="AF407" s="1" t="e">
        <f ca="1">_xll.BDH($C$403,"ACCOUNTS_PAYABLE_GROWTH_1YR","FQ4 2014","FQ4 2014","Currency=INR","Period=FQ","BEST_FPERIOD_OVERRIDE=FQ","FILING_STATUS=OR","EQY_CONSOLIDATED=Y","Sort=A","Dates=H","DateFormat=P","Fill=—","Direction=H","UseDPDF=Y")</f>
        <v>#NAME?</v>
      </c>
      <c r="AG407" s="1" t="e">
        <f ca="1">_xll.BDH($C$403,"SHORT_TERM_DEBT_1_YEAR_GROWTH","FQ4 2014","FQ4 2014","Currency=INR","Period=FQ","BEST_FPERIOD_OVERRIDE=FQ","FILING_STATUS=OR","EQY_CONSOLIDATED=Y","Sort=A","Dates=H","DateFormat=P","Fill=—","Direction=H","UseDPDF=Y")</f>
        <v>#NAME?</v>
      </c>
      <c r="AH407" s="1" t="e">
        <f ca="1">_xll.BDH($C$403,"TOTAL_DEBT_1_YEAR_GROWTH","FQ4 2014","FQ4 2014","Currency=INR","Period=FQ","BEST_FPERIOD_OVERRIDE=FQ","FILING_STATUS=OR","EQY_CONSOLIDATED=Y","Sort=A","Dates=H","DateFormat=P","Fill=—","Direction=H","UseDPDF=Y")</f>
        <v>#NAME?</v>
      </c>
      <c r="AI407" s="1" t="e">
        <f ca="1">_xll.BDH($C$403,"TOTAL_EQUITY_1_YEAR_GROWTH","FQ4 2014","FQ4 2014","Currency=INR","Period=FQ","BEST_FPERIOD_OVERRIDE=FQ","FILING_STATUS=OR","EQY_CONSOLIDATED=Y","Sort=A","Dates=H","DateFormat=P","Fill=—","Direction=H","UseDPDF=Y")</f>
        <v>#NAME?</v>
      </c>
      <c r="AJ407" s="1" t="e">
        <f ca="1">_xll.BDH($C$403,"GROWTH_IN_CAP","FQ4 2014","FQ4 2014","Currency=INR","Period=FQ","BEST_FPERIOD_OVERRIDE=FQ","FILING_STATUS=OR","EQY_CONSOLIDATED=Y","Sort=A","Dates=H","DateFormat=P","Fill=—","Direction=H","UseDPDF=Y")</f>
        <v>#NAME?</v>
      </c>
      <c r="AK407" s="1" t="e">
        <f ca="1">_xll.BDH($C$403,"BVPS_GROWTH","FQ4 2014","FQ4 2014","Currency=INR","Period=FQ","BEST_FPERIOD_OVERRIDE=FQ","FILING_STATUS=OR","EQY_CONSOLIDATED=Y","Sort=A","Dates=H","DateFormat=P","Fill=—","Direction=H","UseDPDF=Y")</f>
        <v>#NAME?</v>
      </c>
      <c r="AL407" s="1" t="e">
        <f ca="1">_xll.BDH($C$403,"CASH_FLOW_GROWTH","FQ4 2014","FQ4 2014","Currency=INR","Period=FQ","BEST_FPERIOD_OVERRIDE=FQ","FILING_STATUS=OR","EQY_CONSOLIDATED=Y","Sort=A","Dates=H","DateFormat=P","Fill=—","Direction=H","UseDPDF=Y")</f>
        <v>#NAME?</v>
      </c>
      <c r="AM407" s="1" t="e">
        <f ca="1">_xll.BDH($C$403,"GEO_GROW_NET_SALES","FQ4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07" s="1" t="e">
        <f ca="1">_xll.BDH($C$403,"GEO_GROW_EBITDA","FQ4 2014","FQ4 2014","Currency=INR","Period=FQ","BEST_FPERIOD_OVERRIDE=FQ","FILING_STATUS=OR","EQY_CONSOLIDATED=Y","FA_ADJUSTED=GAAP","Sort=A","Dates=H","DateFormat=P","Fill=—","Direction=H","UseDPDF=Y")</f>
        <v>#NAME?</v>
      </c>
      <c r="AO407" s="1" t="e">
        <f ca="1">_xll.BDH($C$403,"GEO_GROW_OPER_INC","FQ4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07" s="1" t="e">
        <f ca="1">_xll.BDH($C$403,"NET_INCOME_TO_COMMON_5_YR_GROWTH","FQ4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07" s="1" t="e">
        <f ca="1">_xll.BDH($C$403,"5Y_GEO_GROWTH_DILUTED_EPS","FQ4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07" s="1" t="e">
        <f ca="1">_xll.BDH($C$403,"GEO_GROW_DVD_PER_SH","FQ4 2014","FQ4 2014","Currency=INR","Period=FQ","BEST_FPERIOD_OVERRIDE=FQ","FILING_STATUS=OR","EQY_CONSOLIDATED=Y","Sort=A","Dates=H","DateFormat=P","Fill=—","Direction=H","UseDPDF=Y")</f>
        <v>#NAME?</v>
      </c>
      <c r="AS407" s="1" t="e">
        <f ca="1">_xll.BDH($C$403,"ACCOUNTS_RECEIVABLE_5_YR_GROWTH","FQ4 2014","FQ4 2014","Currency=INR","Period=FQ","BEST_FPERIOD_OVERRIDE=FQ","FILING_STATUS=OR","EQY_CONSOLIDATED=Y","Sort=A","Dates=H","DateFormat=P","Fill=—","Direction=H","UseDPDF=Y")</f>
        <v>#NAME?</v>
      </c>
      <c r="AT407" s="1" t="e">
        <f ca="1">_xll.BDH($C$403,"INVENTORY_5_YEAR_GROWTH","FQ4 2014","FQ4 2014","Currency=INR","Period=FQ","BEST_FPERIOD_OVERRIDE=FQ","FILING_STATUS=OR","EQY_CONSOLIDATED=Y","Sort=A","Dates=H","DateFormat=P","Fill=—","Direction=H","UseDPDF=Y")</f>
        <v>#NAME?</v>
      </c>
      <c r="AU407" s="1" t="e">
        <f ca="1">_xll.BDH($C$403,"NET_FIXED_ASSETS_5_YEAR_GROWTH","FQ4 2014","FQ4 2014","Currency=INR","Period=FQ","BEST_FPERIOD_OVERRIDE=FQ","FILING_STATUS=OR","EQY_CONSOLIDATED=Y","Sort=A","Dates=H","DateFormat=P","Fill=—","Direction=H","UseDPDF=Y")</f>
        <v>#NAME?</v>
      </c>
      <c r="AV407" s="1" t="e">
        <f ca="1">_xll.BDH($C$403,"GEO_GROW_TOT_ASSET","FQ4 2014","FQ4 2014","Currency=INR","Period=FQ","BEST_FPERIOD_OVERRIDE=FQ","FILING_STATUS=OR","EQY_CONSOLIDATED=Y","Sort=A","Dates=H","DateFormat=P","Fill=—","Direction=H","UseDPDF=Y")</f>
        <v>#NAME?</v>
      </c>
      <c r="AW407" s="1" t="e">
        <f ca="1">_xll.BDH($C$403,"MODIFIED_WORKING_CPTL_5YR_GRWTH","FQ4 2014","FQ4 2014","Currency=INR","Period=FQ","BEST_FPERIOD_OVERRIDE=FQ","FILING_STATUS=OR","EQY_CONSOLIDATED=Y","Sort=A","Dates=H","DateFormat=P","Fill=—","Direction=H","UseDPDF=Y")</f>
        <v>#NAME?</v>
      </c>
      <c r="AX407" s="1" t="e">
        <f ca="1">_xll.BDH($C$403,"WORKING_CAPITAL_5_YEAR_GROWTH","FQ4 2014","FQ4 2014","Currency=INR","Period=FQ","BEST_FPERIOD_OVERRIDE=FQ","FILING_STATUS=OR","EQY_CONSOLIDATED=Y","Sort=A","Dates=H","DateFormat=P","Fill=—","Direction=H","UseDPDF=Y")</f>
        <v>#NAME?</v>
      </c>
      <c r="AY407" s="1" t="e">
        <f ca="1">_xll.BDH($C$403,"ACCOUNTS_PAYABLE_5_YEAR_GROWTH","FQ4 2014","FQ4 2014","Currency=INR","Period=FQ","BEST_FPERIOD_OVERRIDE=FQ","FILING_STATUS=OR","EQY_CONSOLIDATED=Y","Sort=A","Dates=H","DateFormat=P","Fill=—","Direction=H","UseDPDF=Y")</f>
        <v>#NAME?</v>
      </c>
      <c r="AZ407" s="1" t="e">
        <f ca="1">_xll.BDH($C$403,"SHORT_TERM_DEBT_5_YEAR_GROWTH","FQ4 2014","FQ4 2014","Currency=INR","Period=FQ","BEST_FPERIOD_OVERRIDE=FQ","FILING_STATUS=OR","EQY_CONSOLIDATED=Y","Sort=A","Dates=H","DateFormat=P","Fill=—","Direction=H","UseDPDF=Y")</f>
        <v>#NAME?</v>
      </c>
      <c r="BA407" s="1" t="e">
        <f ca="1">_xll.BDH($C$403,"TOTAL_DEBT_5_YEAR_GROWTH","FQ4 2014","FQ4 2014","Currency=INR","Period=FQ","BEST_FPERIOD_OVERRIDE=FQ","FILING_STATUS=OR","EQY_CONSOLIDATED=Y","Sort=A","Dates=H","DateFormat=P","Fill=—","Direction=H","UseDPDF=Y")</f>
        <v>#NAME?</v>
      </c>
      <c r="BB407" s="1" t="e">
        <f ca="1">_xll.BDH($C$403,"GEO_GROW_TOT_SHRHLDR_EQY","FQ4 2014","FQ4 2014","Currency=INR","Period=FQ","BEST_FPERIOD_OVERRIDE=FQ","FILING_STATUS=OR","EQY_CONSOLIDATED=Y","Sort=A","Dates=H","DateFormat=P","Fill=—","Direction=H","UseDPDF=Y")</f>
        <v>#NAME?</v>
      </c>
      <c r="BC407" s="1" t="e">
        <f ca="1">_xll.BDH($C$403,"TOTAL_CAPITAL_5_YEAR_GROWTH","FQ4 2014","FQ4 2014","Currency=INR","Period=FQ","BEST_FPERIOD_OVERRIDE=FQ","FILING_STATUS=OR","EQY_CONSOLIDATED=Y","Sort=A","Dates=H","DateFormat=P","Fill=—","Direction=H","UseDPDF=Y")</f>
        <v>#NAME?</v>
      </c>
      <c r="BD407" s="1" t="e">
        <f ca="1">_xll.BDH($C$403,"GEO_GROW_BOOK_VAL","FQ4 2014","FQ4 2014","Currency=INR","Period=FQ","BEST_FPERIOD_OVERRIDE=FQ","FILING_STATUS=OR","EQY_CONSOLIDATED=Y","Sort=A","Dates=H","DateFormat=P","Fill=—","Direction=H","UseDPDF=Y")</f>
        <v>#NAME?</v>
      </c>
      <c r="BE407" s="1" t="e">
        <f ca="1">_xll.BDH($C$403,"GEO_GROW_CASH_OPER_ACT","FQ4 2014","FQ4 2014","Currency=INR","Period=FQ","BEST_FPERIOD_OVERRIDE=FQ","FILING_STATUS=OR","EQY_CONSOLIDATED=Y","Sort=A","Dates=H","DateFormat=P","Fill=—","Direction=H","UseDPDF=Y")</f>
        <v>#NAME?</v>
      </c>
      <c r="BF407" s="1" t="e">
        <f ca="1">_xll.BDH($C$403,"REVENUE_SEQUENTIAL_GROWTH","FQ4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07" s="1" t="e">
        <f ca="1">_xll.BDH($C$403,"EBITDA_SEQUENTIAL_GROWTH","FQ4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07" s="1" t="e">
        <f ca="1">_xll.BDH($C$403,"OPERATING_INCOME_SEQ_GROWTH","FQ4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07" s="1" t="e">
        <f ca="1">_xll.BDH($C$403,"NET_INCOME_TO_COMMON_SEQ_GROWTH","FQ4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07" s="1" t="e">
        <f ca="1">_xll.BDH($C$403,"EPS_DILUTED_SEQUENTIAL_GROWTH","FQ4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07" s="1" t="e">
        <f ca="1">_xll.BDH($C$403,"DPS_SEQUENTIAL_GROWTH","FQ4 2014","FQ4 2014","Currency=INR","Period=FQ","BEST_FPERIOD_OVERRIDE=FQ","FILING_STATUS=OR","EQY_CONSOLIDATED=Y","Sort=A","Dates=H","DateFormat=P","Fill=—","Direction=H","UseDPDF=Y")</f>
        <v>#NAME?</v>
      </c>
      <c r="BL407" s="1" t="e">
        <f ca="1">_xll.BDH($C$403,"ACCOUNTS_RECEIVABLE_SEQ_GROWTH","FQ4 2014","FQ4 2014","Currency=INR","Period=FQ","BEST_FPERIOD_OVERRIDE=FQ","FILING_STATUS=OR","EQY_CONSOLIDATED=Y","Sort=A","Dates=H","DateFormat=P","Fill=—","Direction=H","UseDPDF=Y")</f>
        <v>#NAME?</v>
      </c>
      <c r="BM407" s="1" t="e">
        <f ca="1">_xll.BDH($C$403,"INVENTORY_SEQUENTIAL_GROWTH","FQ4 2014","FQ4 2014","Currency=INR","Period=FQ","BEST_FPERIOD_OVERRIDE=FQ","FILING_STATUS=OR","EQY_CONSOLIDATED=Y","Sort=A","Dates=H","DateFormat=P","Fill=—","Direction=H","UseDPDF=Y")</f>
        <v>#NAME?</v>
      </c>
      <c r="BN407" s="1" t="e">
        <f ca="1">_xll.BDH($C$403,"FIXED_ASSETS_SEQUENTIAL_GROWTH","FQ4 2014","FQ4 2014","Currency=INR","Period=FQ","BEST_FPERIOD_OVERRIDE=FQ","FILING_STATUS=OR","EQY_CONSOLIDATED=Y","Sort=A","Dates=H","DateFormat=P","Fill=—","Direction=H","UseDPDF=Y")</f>
        <v>#NAME?</v>
      </c>
      <c r="BO407" s="1" t="e">
        <f ca="1">_xll.BDH($C$403,"TOTAL_ASSETS_SEQUENTIAL_GROWTH","FQ4 2014","FQ4 2014","Currency=INR","Period=FQ","BEST_FPERIOD_OVERRIDE=FQ","FILING_STATUS=OR","EQY_CONSOLIDATED=Y","Sort=A","Dates=H","DateFormat=P","Fill=—","Direction=H","UseDPDF=Y")</f>
        <v>#NAME?</v>
      </c>
      <c r="BP407" s="1" t="e">
        <f ca="1">_xll.BDH($C$403,"MODIFIED_WORKING_CPTL_SEQ_GRWTH","FQ4 2014","FQ4 2014","Currency=INR","Period=FQ","BEST_FPERIOD_OVERRIDE=FQ","FILING_STATUS=OR","EQY_CONSOLIDATED=Y","Sort=A","Dates=H","DateFormat=P","Fill=—","Direction=H","UseDPDF=Y")</f>
        <v>#NAME?</v>
      </c>
      <c r="BQ407" s="1" t="e">
        <f ca="1">_xll.BDH($C$403,"WORKING_CAPITAL_SEQ_GROWTH","FQ4 2014","FQ4 2014","Currency=INR","Period=FQ","BEST_FPERIOD_OVERRIDE=FQ","FILING_STATUS=OR","EQY_CONSOLIDATED=Y","Sort=A","Dates=H","DateFormat=P","Fill=—","Direction=H","UseDPDF=Y")</f>
        <v>#NAME?</v>
      </c>
      <c r="BR407" s="1" t="e">
        <f ca="1">_xll.BDH($C$403,"ACCOUNTS_PAYABLE_SEQ_GROWTH","FQ4 2014","FQ4 2014","Currency=INR","Period=FQ","BEST_FPERIOD_OVERRIDE=FQ","FILING_STATUS=OR","EQY_CONSOLIDATED=Y","Sort=A","Dates=H","DateFormat=P","Fill=—","Direction=H","UseDPDF=Y")</f>
        <v>#NAME?</v>
      </c>
      <c r="BS407" s="1" t="e">
        <f ca="1">_xll.BDH($C$403,"ST_DEBT_SEQUENTIAL_GROWTH","FQ4 2014","FQ4 2014","Currency=INR","Period=FQ","BEST_FPERIOD_OVERRIDE=FQ","FILING_STATUS=OR","EQY_CONSOLIDATED=Y","Sort=A","Dates=H","DateFormat=P","Fill=—","Direction=H","UseDPDF=Y")</f>
        <v>#NAME?</v>
      </c>
      <c r="BT407" s="1" t="e">
        <f ca="1">_xll.BDH($C$403,"TOTAL_DEBT_SEQUENTIAL_GROWTH","FQ4 2014","FQ4 2014","Currency=INR","Period=FQ","BEST_FPERIOD_OVERRIDE=FQ","FILING_STATUS=OR","EQY_CONSOLIDATED=Y","Sort=A","Dates=H","DateFormat=P","Fill=—","Direction=H","UseDPDF=Y")</f>
        <v>#NAME?</v>
      </c>
      <c r="BU407" s="1" t="e">
        <f ca="1">_xll.BDH($C$403,"TOTAL_EQUITY_SEQUENTIAL_GROWTH","FQ4 2014","FQ4 2014","Currency=INR","Period=FQ","BEST_FPERIOD_OVERRIDE=FQ","FILING_STATUS=OR","EQY_CONSOLIDATED=Y","Sort=A","Dates=H","DateFormat=P","Fill=—","Direction=H","UseDPDF=Y")</f>
        <v>#NAME?</v>
      </c>
      <c r="BV407" s="1" t="e">
        <f ca="1">_xll.BDH($C$403,"TOTAL_CAPITAL_SEQUENTIAL_GROWTH","FQ4 2014","FQ4 2014","Currency=INR","Period=FQ","BEST_FPERIOD_OVERRIDE=FQ","FILING_STATUS=OR","EQY_CONSOLIDATED=Y","Sort=A","Dates=H","DateFormat=P","Fill=—","Direction=H","UseDPDF=Y")</f>
        <v>#NAME?</v>
      </c>
      <c r="BW407" s="1" t="e">
        <f ca="1">_xll.BDH($C$403,"BPS_SEQUENTIAL_GROWTH","FQ4 2014","FQ4 2014","Currency=INR","Period=FQ","BEST_FPERIOD_OVERRIDE=FQ","FILING_STATUS=OR","EQY_CONSOLIDATED=Y","Sort=A","Dates=H","DateFormat=P","Fill=—","Direction=H","UseDPDF=Y")</f>
        <v>#NAME?</v>
      </c>
      <c r="BX407" s="1" t="e">
        <f ca="1">_xll.BDH($C$403,"CFO_SEQUENTIAL_GROWTH","FQ4 2014","FQ4 2014","Currency=INR","Period=FQ","BEST_FPERIOD_OVERRIDE=FQ","FILING_STATUS=OR","EQY_CONSOLIDATED=Y","Sort=A","Dates=H","DateFormat=P","Fill=—","Direction=H","UseDPDF=Y")</f>
        <v>#NAME?</v>
      </c>
      <c r="BY407" s="2" t="e">
        <f ca="1">_xll.BDH($C$403,"SHORT_AND_LONG_TERM_DEBT","FQ4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07" s="2" t="e">
        <f ca="1">_xll.BDH($C$403,"BS_ST_BORROW","FQ4 2014","FQ4 2014","Currency=INR","Period=FQ","BEST_FPERIOD_OVERRIDE=FQ","FILING_STATUS=OR","EQY_CONSOLIDATED=Y","SCALING_FORMAT=MLN","Sort=A","Dates=H","DateFormat=P","Fill=—","Direction=H","UseDPDF=Y")</f>
        <v>#NAME?</v>
      </c>
      <c r="CA407" s="2" t="e">
        <f ca="1">_xll.BDH($C$403,"BS_LT_BORROW","FQ4 2014","FQ4 2014","Currency=INR","Period=FQ","BEST_FPERIOD_OVERRIDE=FQ","FILING_STATUS=OR","EQY_CONSOLIDATED=Y","SCALING_FORMAT=MLN","Sort=A","Dates=H","DateFormat=P","Fill=—","Direction=H","UseDPDF=Y")</f>
        <v>#NAME?</v>
      </c>
      <c r="CB407" s="1" t="e">
        <f ca="1">_xll.BDH($C$403,"TOT_DEBT_TO_EBITDA","FQ4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07" s="1" t="e">
        <f ca="1">_xll.BDH($C$403,"NET_DEBT_TO_EBITDA","FQ4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07" s="1" t="e">
        <f ca="1">_xll.BDH($C$403,"TOTAL_DEBT_TO_EBIT","FQ4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07" s="1" t="e">
        <f ca="1">_xll.BDH($C$403,"NET_DEBT_TO_EBIT","FQ4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407" s="1" t="e">
        <f ca="1">_xll.BDH($C$403,"EBITDA_TO_INTEREST_EXPN","FQ4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07" s="1" t="e">
        <f ca="1">_xll.BDH($C$403,"COM_EQY_TO_TOT_ASSET","FQ4 2014","FQ4 2014","Currency=INR","Period=FQ","BEST_FPERIOD_OVERRIDE=FQ","FILING_STATUS=OR","EQY_CONSOLIDATED=Y","Sort=A","Dates=H","DateFormat=P","Fill=—","Direction=H","UseDPDF=Y")</f>
        <v>#NAME?</v>
      </c>
      <c r="CH407" s="1" t="e">
        <f ca="1">_xll.BDH($C$403,"LT_DEBT_TO_TOT_EQY","FQ4 2014","FQ4 2014","Currency=INR","Period=FQ","BEST_FPERIOD_OVERRIDE=FQ","FILING_STATUS=OR","EQY_CONSOLIDATED=Y","Sort=A","Dates=H","DateFormat=P","Fill=—","Direction=H","UseDPDF=Y")</f>
        <v>#NAME?</v>
      </c>
      <c r="CI407" s="1" t="e">
        <f ca="1">_xll.BDH($C$403,"LT_DEBT_TO_TOT_CAP","FQ4 2014","FQ4 2014","Currency=INR","Period=FQ","BEST_FPERIOD_OVERRIDE=FQ","FILING_STATUS=OR","EQY_CONSOLIDATED=Y","Sort=A","Dates=H","DateFormat=P","Fill=—","Direction=H","UseDPDF=Y")</f>
        <v>#NAME?</v>
      </c>
      <c r="CJ407" s="1" t="e">
        <f ca="1">_xll.BDH($C$403,"LT_DEBT_TO_TOT_ASSET","FQ4 2014","FQ4 2014","Currency=INR","Period=FQ","BEST_FPERIOD_OVERRIDE=FQ","FILING_STATUS=OR","EQY_CONSOLIDATED=Y","Sort=A","Dates=H","DateFormat=P","Fill=—","Direction=H","UseDPDF=Y")</f>
        <v>#NAME?</v>
      </c>
      <c r="CK407" s="1" t="e">
        <f ca="1">_xll.BDH($C$403,"TOT_DEBT_TO_TOT_EQY","FQ4 2014","FQ4 2014","Currency=INR","Period=FQ","BEST_FPERIOD_OVERRIDE=FQ","FILING_STATUS=OR","EQY_CONSOLIDATED=Y","Sort=A","Dates=H","DateFormat=P","Fill=—","Direction=H","UseDPDF=Y")</f>
        <v>#NAME?</v>
      </c>
      <c r="CL407" s="1" t="e">
        <f ca="1">_xll.BDH($C$403,"TOT_DEBT_TO_TOT_CAP","FQ4 2014","FQ4 2014","Currency=INR","Period=FQ","BEST_FPERIOD_OVERRIDE=FQ","FILING_STATUS=OR","EQY_CONSOLIDATED=Y","Sort=A","Dates=H","DateFormat=P","Fill=—","Direction=H","UseDPDF=Y")</f>
        <v>#NAME?</v>
      </c>
      <c r="CM407" s="1" t="e">
        <f ca="1">_xll.BDH($C$403,"TOT_DEBT_TO_TOT_ASSET","FQ4 2014","FQ4 2014","Currency=INR","Period=FQ","BEST_FPERIOD_OVERRIDE=FQ","FILING_STATUS=OR","EQY_CONSOLIDATED=Y","Sort=A","Dates=H","DateFormat=P","Fill=—","Direction=H","UseDPDF=Y")</f>
        <v>#NAME?</v>
      </c>
      <c r="CN407" s="1" t="e">
        <f ca="1">_xll.BDH($C$403,"NET_DEBT_TO_SHRHLDR_EQTY","FQ4 2014","FQ4 2014","Currency=INR","Period=FQ","BEST_FPERIOD_OVERRIDE=FQ","FILING_STATUS=OR","EQY_CONSOLIDATED=Y","Sort=A","Dates=H","DateFormat=P","Fill=—","Direction=H","UseDPDF=Y")</f>
        <v>#NAME?</v>
      </c>
      <c r="CO407" s="1" t="e">
        <f ca="1">_xll.BDH($C$403,"NET_DEBT_%_CAPITAL","FQ4 2014","FQ4 2014","Currency=INR","Period=FQ","BEST_FPERIOD_OVERRIDE=FQ","FILING_STATUS=OR","EQY_CONSOLIDATED=Y","Sort=A","Dates=H","DateFormat=P","Fill=—","Direction=H","UseDPDF=Y")</f>
        <v>#NAME?</v>
      </c>
      <c r="CP407" s="2" t="e">
        <f ca="1">_xll.BDH($C$403,"EBITDA","FQ4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07" s="2" t="e">
        <f ca="1">_xll.BDH($C$403,"EBITDA_AFTER_CAPEX","FQ4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07" s="2" t="e">
        <f ca="1">_xll.BDH($C$403,"IS_OPER_INC","FQ4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07" s="1" t="e">
        <f ca="1">_xll.BDH($C$403,"CASH_RATIO","FQ4 2014","FQ4 2014","Currency=INR","Period=FQ","BEST_FPERIOD_OVERRIDE=FQ","FILING_STATUS=OR","EQY_CONSOLIDATED=Y","Sort=A","Dates=H","DateFormat=P","Fill=—","Direction=H","UseDPDF=Y")</f>
        <v>#NAME?</v>
      </c>
      <c r="CT407" s="1" t="e">
        <f ca="1">_xll.BDH($C$403,"CUR_RATIO","FQ4 2014","FQ4 2014","Currency=INR","Period=FQ","BEST_FPERIOD_OVERRIDE=FQ","FILING_STATUS=OR","EQY_CONSOLIDATED=Y","Sort=A","Dates=H","DateFormat=P","Fill=—","Direction=H","UseDPDF=Y")</f>
        <v>#NAME?</v>
      </c>
      <c r="CU407" s="1" t="e">
        <f ca="1">_xll.BDH($C$403,"QUICK_RATIO","FQ4 2014","FQ4 2014","Currency=INR","Period=FQ","BEST_FPERIOD_OVERRIDE=FQ","FILING_STATUS=OR","EQY_CONSOLIDATED=Y","Sort=A","Dates=H","DateFormat=P","Fill=—","Direction=H","UseDPDF=Y")</f>
        <v>#NAME?</v>
      </c>
      <c r="CV407" s="1" t="e">
        <f ca="1">_xll.BDH($C$403,"ALTMAN_Z_SCORE","FQ4 2014","FQ4 2014","Currency=INR","Period=FQ","BEST_FPERIOD_OVERRIDE=FQ","FILING_STATUS=OR","EQY_CONSOLIDATED=Y","Sort=A","Dates=H","DateFormat=P","Fill=—","Direction=H","UseDPDF=Y")</f>
        <v>#NAME?</v>
      </c>
      <c r="CW407" s="3" t="e">
        <f ca="1">_xll.BDH($C$403,"ACCT_RCV_TURN","FQ4 2014","FQ4 2014","Currency=INR","Period=FQ","BEST_FPERIOD_OVERRIDE=FQ","FILING_STATUS=OR","EQY_CONSOLIDATED=Y","FA_ADJUSTED=GAAP","Sort=A","Dates=H","DateFormat=P","Fill=—","Direction=H","UseDPDF=Y")</f>
        <v>#NAME?</v>
      </c>
      <c r="CX407" s="1" t="e">
        <f ca="1">_xll.BDH($C$403,"ACCT_RCV_DAYS","FQ4 2014","FQ4 2014","Currency=INR","Period=FQ","BEST_FPERIOD_OVERRIDE=FQ","FILING_STATUS=OR","EQY_CONSOLIDATED=Y","FA_ADJUSTED=GAAP","Sort=A","Dates=H","DateFormat=P","Fill=—","Direction=H","UseDPDF=Y")</f>
        <v>#NAME?</v>
      </c>
      <c r="CY407" s="3" t="e">
        <f ca="1">_xll.BDH($C$403,"INVENT_TURN","FQ4 2014","FQ4 2014","Currency=INR","Period=FQ","BEST_FPERIOD_OVERRIDE=FQ","FILING_STATUS=OR","EQY_CONSOLIDATED=Y","FA_ADJUSTED=GAAP","Sort=A","Dates=H","DateFormat=P","Fill=—","Direction=H","UseDPDF=Y")</f>
        <v>#NAME?</v>
      </c>
      <c r="CZ407" s="1" t="e">
        <f ca="1">_xll.BDH($C$403,"INVENT_DAYS","FQ4 2014","FQ4 2014","Currency=INR","Period=FQ","BEST_FPERIOD_OVERRIDE=FQ","FILING_STATUS=OR","EQY_CONSOLIDATED=Y","FA_ADJUSTED=GAAP","Sort=A","Dates=H","DateFormat=P","Fill=—","Direction=H","UseDPDF=Y")</f>
        <v>#NAME?</v>
      </c>
      <c r="DA407" s="3" t="e">
        <f ca="1">_xll.BDH($C$403,"ACCOUNTS_PAYABLE_TURNOVER","FQ4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07" s="1" t="e">
        <f ca="1">_xll.BDH($C$403,"ACCOUNTS_PAYABLE_TURNOVER_DAYS","FQ4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07" s="3" t="e">
        <f ca="1">_xll.BDH($C$403,"CASH_CONVERSION_CYCLE","FQ4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07" s="3" t="e">
        <f ca="1">_xll.BDH($C$403,"INV_TO_CASH_DAYS","FQ4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407" s="4" t="e">
        <f ca="1">_xll.BDH($C$403,"BS_INVENTORIES","FQ4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407" s="2" t="e">
        <f ca="1">_xll.BDH($C$403,"INVTRY_RAW_MATERIALS","FQ4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07" s="2" t="e">
        <f ca="1">_xll.BDH($C$403,"INVTRY_IN_PROGRESS","FQ4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07" s="2" t="e">
        <f ca="1">_xll.BDH($C$403,"INVTRY_FINISHED_GOODS","FQ4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07" s="2" t="e">
        <f ca="1">_xll.BDH($C$403,"BS_OTHER_INV","FQ4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08" spans="1:113" x14ac:dyDescent="0.3">
      <c r="A408" s="6"/>
      <c r="B408" s="6"/>
      <c r="C408" s="6"/>
      <c r="D408" s="6" t="s">
        <v>8</v>
      </c>
      <c r="E408" t="s">
        <v>3</v>
      </c>
      <c r="F408" t="e">
        <f ca="1">_xll.BDH($C$403,"RETURN_COM_EQY","FY 2015","FY 2015","Currency=INR","Period=FY","BEST_FPERIOD_OVERRIDE=FY","FILING_STATUS=OR","EQY_CONSOLIDATED=Y","FA_ADJUSTED=GAAP","Sort=A","Dates=H","DateFormat=P","Fill=—","Direction=H","UseDPDF=Y")</f>
        <v>#NAME?</v>
      </c>
      <c r="G408" t="e">
        <f ca="1">_xll.BDH($C$403,"RETURN_ON_ASSET","FY 2015","FY 2015","Currency=INR","Period=FY","BEST_FPERIOD_OVERRIDE=FY","FILING_STATUS=OR","EQY_CONSOLIDATED=Y","FA_ADJUSTED=GAAP","Sort=A","Dates=H","DateFormat=P","Fill=—","Direction=H","UseDPDF=Y")</f>
        <v>#NAME?</v>
      </c>
      <c r="H408" t="e">
        <f ca="1">_xll.BDH($C$403,"RETURN_ON_CAP","FY 2015","FY 2015","Currency=INR","Period=FY","BEST_FPERIOD_OVERRIDE=FY","FILING_STATUS=OR","EQY_CONSOLIDATED=Y","FA_ADJUSTED=GAAP","Sort=A","Dates=H","DateFormat=P","Fill=—","Direction=H","UseDPDF=Y")</f>
        <v>#NAME?</v>
      </c>
      <c r="I408" t="e">
        <f ca="1">_xll.BDH($C$403,"RETURN_ON_INV_CAPITAL","FY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08" t="e">
        <f ca="1">_xll.BDH($C$403,"EBITDA_TO_REVENUE","FY 2015","FY 2015","Currency=INR","Period=FY","BEST_FPERIOD_OVERRIDE=FY","FILING_STATUS=OR","EQY_CONSOLIDATED=Y","FA_ADJUSTED=GAAP","Sort=A","Dates=H","DateFormat=P","Fill=—","Direction=H","UseDPDF=Y")</f>
        <v>#NAME?</v>
      </c>
      <c r="K408" t="e">
        <f ca="1">_xll.BDH($C$403,"OPER_MARGIN","FY 2015","FY 2015","Currency=INR","Period=FY","BEST_FPERIOD_OVERRIDE=FY","FILING_STATUS=OR","EQY_CONSOLIDATED=Y","FA_ADJUSTED=GAAP","Sort=A","Dates=H","DateFormat=P","Fill=—","Direction=H","UseDPDF=Y")</f>
        <v>#NAME?</v>
      </c>
      <c r="L408" t="e">
        <f ca="1">_xll.BDH($C$403,"INCREMENTAL_OPERATING_MARGIN","FY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08" t="e">
        <f ca="1">_xll.BDH($C$403,"PRETAX_INC_TO_NET_SALES","FY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08" t="e">
        <f ca="1">_xll.BDH($C$403,"INC_BEF_XO_ITEMS_TO_NET_SALES","FY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08" t="e">
        <f ca="1">_xll.BDH($C$403,"PROF_MARGIN","FY 2015","FY 2015","Currency=INR","Period=FY","BEST_FPERIOD_OVERRIDE=FY","FILING_STATUS=OR","EQY_CONSOLIDATED=Y","FA_ADJUSTED=GAAP","Sort=A","Dates=H","DateFormat=P","Fill=—","Direction=H","UseDPDF=Y")</f>
        <v>#NAME?</v>
      </c>
      <c r="P408" t="e">
        <f ca="1">_xll.BDH($C$403,"NET_INCOME_TO_COMMON_MARGIN","FY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08" t="e">
        <f ca="1">_xll.BDH($C$403,"EFF_TAX_RATE","FY 2015","FY 2015","Currency=INR","Period=FY","BEST_FPERIOD_OVERRIDE=FY","FILING_STATUS=OR","EQY_CONSOLIDATED=Y","FA_ADJUSTED=GAAP","Sort=A","Dates=H","DateFormat=P","Fill=—","Direction=H","UseDPDF=Y")</f>
        <v>#NAME?</v>
      </c>
      <c r="R408" t="e">
        <f ca="1">_xll.BDH($C$403,"DVD_PAYOUT_RATIO","FY 2015","FY 2015","Currency=INR","Period=FY","BEST_FPERIOD_OVERRIDE=FY","FILING_STATUS=OR","EQY_CONSOLIDATED=Y","FA_ADJUSTED=GAAP","Sort=A","Dates=H","DateFormat=P","Fill=—","Direction=H","UseDPDF=Y")</f>
        <v>#NAME?</v>
      </c>
      <c r="S408" t="e">
        <f ca="1">_xll.BDH($C$403,"SUSTAIN_GROWTH_RT","FY 2015","FY 2015","Currency=INR","Period=FY","BEST_FPERIOD_OVERRIDE=FY","FILING_STATUS=OR","EQY_CONSOLIDATED=Y","FA_ADJUSTED=GAAP","Sort=A","Dates=H","DateFormat=P","Fill=—","Direction=H","UseDPDF=Y")</f>
        <v>#NAME?</v>
      </c>
      <c r="T408" s="1" t="e">
        <f ca="1">_xll.BDH($C$403,"SALES_GROWTH","FY 2015","FY 2015","Currency=INR","Period=FY","BEST_FPERIOD_OVERRIDE=FY","FILING_STATUS=OR","EQY_CONSOLIDATED=Y","FA_ADJUSTED=GAAP","Sort=A","Dates=H","DateFormat=P","Fill=—","Direction=H","UseDPDF=Y")</f>
        <v>#NAME?</v>
      </c>
      <c r="U408" s="1" t="e">
        <f ca="1">_xll.BDH($C$403,"EBITDA_GROWTH","FY 2015","FY 2015","Currency=INR","Period=FY","BEST_FPERIOD_OVERRIDE=FY","FILING_STATUS=OR","EQY_CONSOLIDATED=Y","FA_ADJUSTED=GAAP","Sort=A","Dates=H","DateFormat=P","Fill=—","Direction=H","UseDPDF=Y")</f>
        <v>#NAME?</v>
      </c>
      <c r="V408" s="1" t="e">
        <f ca="1">_xll.BDH($C$403,"OPER_INC_GROWTH","FY 2015","FY 2015","Currency=INR","Period=FY","BEST_FPERIOD_OVERRIDE=FY","FILING_STATUS=OR","EQY_CONSOLIDATED=Y","FA_ADJUSTED=GAAP","Sort=A","Dates=H","DateFormat=P","Fill=—","Direction=H","UseDPDF=Y")</f>
        <v>#NAME?</v>
      </c>
      <c r="W408" s="1" t="e">
        <f ca="1">_xll.BDH($C$403,"EARN_FOR_COM_GROWTH","FY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408" s="1" t="e">
        <f ca="1">_xll.BDH($C$403,"DILUTED_EPS_AFT_XO_ITEMS_GROWTH","FY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08" s="1" t="e">
        <f ca="1">_xll.BDH($C$403,"DIVIDEND_PER_SHARE_1_YEAR_GROWTH","FY 2015","FY 2015","Currency=INR","Period=FY","BEST_FPERIOD_OVERRIDE=FY","FILING_STATUS=OR","EQY_CONSOLIDATED=Y","Sort=A","Dates=H","DateFormat=P","Fill=—","Direction=H","UseDPDF=Y")</f>
        <v>#NAME?</v>
      </c>
      <c r="Z408" s="1" t="e">
        <f ca="1">_xll.BDH($C$403,"ACCOUNTS_RECEIVABLE_GROWTH","FY 2015","FY 2015","Currency=INR","Period=FY","BEST_FPERIOD_OVERRIDE=FY","FILING_STATUS=OR","EQY_CONSOLIDATED=Y","Sort=A","Dates=H","DateFormat=P","Fill=—","Direction=H","UseDPDF=Y")</f>
        <v>#NAME?</v>
      </c>
      <c r="AA408" s="1" t="e">
        <f ca="1">_xll.BDH($C$403,"INVENTORY_GROWTH","FY 2015","FY 2015","Currency=INR","Period=FY","BEST_FPERIOD_OVERRIDE=FY","FILING_STATUS=OR","EQY_CONSOLIDATED=Y","Sort=A","Dates=H","DateFormat=P","Fill=—","Direction=H","UseDPDF=Y")</f>
        <v>#NAME?</v>
      </c>
      <c r="AB408" s="1" t="e">
        <f ca="1">_xll.BDH($C$403,"NET_FIXED_ASSETS_1_YEAR_GROWTH","FY 2015","FY 2015","Currency=INR","Period=FY","BEST_FPERIOD_OVERRIDE=FY","FILING_STATUS=OR","EQY_CONSOLIDATED=Y","Sort=A","Dates=H","DateFormat=P","Fill=—","Direction=H","UseDPDF=Y")</f>
        <v>#NAME?</v>
      </c>
      <c r="AC408" s="1" t="e">
        <f ca="1">_xll.BDH($C$403,"ASSET_GROWTH","FY 2015","FY 2015","Currency=INR","Period=FY","BEST_FPERIOD_OVERRIDE=FY","FILING_STATUS=OR","EQY_CONSOLIDATED=Y","Sort=A","Dates=H","DateFormat=P","Fill=—","Direction=H","UseDPDF=Y")</f>
        <v>#NAME?</v>
      </c>
      <c r="AD408" s="1" t="e">
        <f ca="1">_xll.BDH($C$403,"MODIFIED_WORK_CAP_GROWTH","FY 2015","FY 2015","Currency=INR","Period=FY","BEST_FPERIOD_OVERRIDE=FY","FILING_STATUS=OR","EQY_CONSOLIDATED=Y","Sort=A","Dates=H","DateFormat=P","Fill=—","Direction=H","UseDPDF=Y")</f>
        <v>#NAME?</v>
      </c>
      <c r="AE408" s="1" t="e">
        <f ca="1">_xll.BDH($C$403,"WORK_CAP_GROWTH","FY 2015","FY 2015","Currency=INR","Period=FY","BEST_FPERIOD_OVERRIDE=FY","FILING_STATUS=OR","EQY_CONSOLIDATED=Y","Sort=A","Dates=H","DateFormat=P","Fill=—","Direction=H","UseDPDF=Y")</f>
        <v>#NAME?</v>
      </c>
      <c r="AF408" s="1" t="e">
        <f ca="1">_xll.BDH($C$403,"ACCOUNTS_PAYABLE_GROWTH_1YR","FY 2015","FY 2015","Currency=INR","Period=FY","BEST_FPERIOD_OVERRIDE=FY","FILING_STATUS=OR","EQY_CONSOLIDATED=Y","Sort=A","Dates=H","DateFormat=P","Fill=—","Direction=H","UseDPDF=Y")</f>
        <v>#NAME?</v>
      </c>
      <c r="AG408" s="1" t="e">
        <f ca="1">_xll.BDH($C$403,"SHORT_TERM_DEBT_1_YEAR_GROWTH","FY 2015","FY 2015","Currency=INR","Period=FY","BEST_FPERIOD_OVERRIDE=FY","FILING_STATUS=OR","EQY_CONSOLIDATED=Y","Sort=A","Dates=H","DateFormat=P","Fill=—","Direction=H","UseDPDF=Y")</f>
        <v>#NAME?</v>
      </c>
      <c r="AH408" s="1" t="e">
        <f ca="1">_xll.BDH($C$403,"TOTAL_DEBT_1_YEAR_GROWTH","FY 2015","FY 2015","Currency=INR","Period=FY","BEST_FPERIOD_OVERRIDE=FY","FILING_STATUS=OR","EQY_CONSOLIDATED=Y","Sort=A","Dates=H","DateFormat=P","Fill=—","Direction=H","UseDPDF=Y")</f>
        <v>#NAME?</v>
      </c>
      <c r="AI408" s="1" t="e">
        <f ca="1">_xll.BDH($C$403,"TOTAL_EQUITY_1_YEAR_GROWTH","FY 2015","FY 2015","Currency=INR","Period=FY","BEST_FPERIOD_OVERRIDE=FY","FILING_STATUS=OR","EQY_CONSOLIDATED=Y","Sort=A","Dates=H","DateFormat=P","Fill=—","Direction=H","UseDPDF=Y")</f>
        <v>#NAME?</v>
      </c>
      <c r="AJ408" s="1" t="e">
        <f ca="1">_xll.BDH($C$403,"GROWTH_IN_CAP","FY 2015","FY 2015","Currency=INR","Period=FY","BEST_FPERIOD_OVERRIDE=FY","FILING_STATUS=OR","EQY_CONSOLIDATED=Y","Sort=A","Dates=H","DateFormat=P","Fill=—","Direction=H","UseDPDF=Y")</f>
        <v>#NAME?</v>
      </c>
      <c r="AK408" s="1" t="e">
        <f ca="1">_xll.BDH($C$403,"BVPS_GROWTH","FY 2015","FY 2015","Currency=INR","Period=FY","BEST_FPERIOD_OVERRIDE=FY","FILING_STATUS=OR","EQY_CONSOLIDATED=Y","Sort=A","Dates=H","DateFormat=P","Fill=—","Direction=H","UseDPDF=Y")</f>
        <v>#NAME?</v>
      </c>
      <c r="AL408" s="1" t="e">
        <f ca="1">_xll.BDH($C$403,"CASH_FLOW_GROWTH","FY 2015","FY 2015","Currency=INR","Period=FY","BEST_FPERIOD_OVERRIDE=FY","FILING_STATUS=OR","EQY_CONSOLIDATED=Y","Sort=A","Dates=H","DateFormat=P","Fill=—","Direction=H","UseDPDF=Y")</f>
        <v>#NAME?</v>
      </c>
      <c r="AM408" s="1" t="e">
        <f ca="1">_xll.BDH($C$403,"GEO_GROW_NET_SALES","FY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408" s="1" t="e">
        <f ca="1">_xll.BDH($C$403,"GEO_GROW_EBITDA","FY 2015","FY 2015","Currency=INR","Period=FY","BEST_FPERIOD_OVERRIDE=FY","FILING_STATUS=OR","EQY_CONSOLIDATED=Y","FA_ADJUSTED=GAAP","Sort=A","Dates=H","DateFormat=P","Fill=—","Direction=H","UseDPDF=Y")</f>
        <v>#NAME?</v>
      </c>
      <c r="AO408" s="1" t="e">
        <f ca="1">_xll.BDH($C$403,"GEO_GROW_OPER_INC","FY 2015","FY 2015","Currency=INR","Period=FY","BEST_FPERIOD_OVERRIDE=FY","FILING_STATUS=OR","EQY_CONSOLIDATED=Y","FA_ADJUSTED=GAAP","Sort=A","Dates=H","DateFormat=P","Fill=—","Direction=H","UseDPDF=Y")</f>
        <v>#NAME?</v>
      </c>
      <c r="AP408" s="1" t="e">
        <f ca="1">_xll.BDH($C$403,"NET_INCOME_TO_COMMON_5_YR_GROWTH","FY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08" s="1" t="e">
        <f ca="1">_xll.BDH($C$403,"5Y_GEO_GROWTH_DILUTED_EPS","FY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08" s="1" t="e">
        <f ca="1">_xll.BDH($C$403,"GEO_GROW_DVD_PER_SH","FY 2015","FY 2015","Currency=INR","Period=FY","BEST_FPERIOD_OVERRIDE=FY","FILING_STATUS=OR","EQY_CONSOLIDATED=Y","Sort=A","Dates=H","DateFormat=P","Fill=—","Direction=H","UseDPDF=Y")</f>
        <v>#NAME?</v>
      </c>
      <c r="AS408" s="1" t="e">
        <f ca="1">_xll.BDH($C$403,"ACCOUNTS_RECEIVABLE_5_YR_GROWTH","FY 2015","FY 2015","Currency=INR","Period=FY","BEST_FPERIOD_OVERRIDE=FY","FILING_STATUS=OR","EQY_CONSOLIDATED=Y","Sort=A","Dates=H","DateFormat=P","Fill=—","Direction=H","UseDPDF=Y")</f>
        <v>#NAME?</v>
      </c>
      <c r="AT408" s="1" t="e">
        <f ca="1">_xll.BDH($C$403,"INVENTORY_5_YEAR_GROWTH","FY 2015","FY 2015","Currency=INR","Period=FY","BEST_FPERIOD_OVERRIDE=FY","FILING_STATUS=OR","EQY_CONSOLIDATED=Y","Sort=A","Dates=H","DateFormat=P","Fill=—","Direction=H","UseDPDF=Y")</f>
        <v>#NAME?</v>
      </c>
      <c r="AU408" s="1" t="e">
        <f ca="1">_xll.BDH($C$403,"NET_FIXED_ASSETS_5_YEAR_GROWTH","FY 2015","FY 2015","Currency=INR","Period=FY","BEST_FPERIOD_OVERRIDE=FY","FILING_STATUS=OR","EQY_CONSOLIDATED=Y","Sort=A","Dates=H","DateFormat=P","Fill=—","Direction=H","UseDPDF=Y")</f>
        <v>#NAME?</v>
      </c>
      <c r="AV408" s="1" t="e">
        <f ca="1">_xll.BDH($C$403,"GEO_GROW_TOT_ASSET","FY 2015","FY 2015","Currency=INR","Period=FY","BEST_FPERIOD_OVERRIDE=FY","FILING_STATUS=OR","EQY_CONSOLIDATED=Y","Sort=A","Dates=H","DateFormat=P","Fill=—","Direction=H","UseDPDF=Y")</f>
        <v>#NAME?</v>
      </c>
      <c r="AW408" s="1" t="e">
        <f ca="1">_xll.BDH($C$403,"MODIFIED_WORKING_CPTL_5YR_GRWTH","FY 2015","FY 2015","Currency=INR","Period=FY","BEST_FPERIOD_OVERRIDE=FY","FILING_STATUS=OR","EQY_CONSOLIDATED=Y","Sort=A","Dates=H","DateFormat=P","Fill=—","Direction=H","UseDPDF=Y")</f>
        <v>#NAME?</v>
      </c>
      <c r="AX408" s="1" t="e">
        <f ca="1">_xll.BDH($C$403,"WORKING_CAPITAL_5_YEAR_GROWTH","FY 2015","FY 2015","Currency=INR","Period=FY","BEST_FPERIOD_OVERRIDE=FY","FILING_STATUS=OR","EQY_CONSOLIDATED=Y","Sort=A","Dates=H","DateFormat=P","Fill=—","Direction=H","UseDPDF=Y")</f>
        <v>#NAME?</v>
      </c>
      <c r="AY408" s="1" t="e">
        <f ca="1">_xll.BDH($C$403,"ACCOUNTS_PAYABLE_5_YEAR_GROWTH","FY 2015","FY 2015","Currency=INR","Period=FY","BEST_FPERIOD_OVERRIDE=FY","FILING_STATUS=OR","EQY_CONSOLIDATED=Y","Sort=A","Dates=H","DateFormat=P","Fill=—","Direction=H","UseDPDF=Y")</f>
        <v>#NAME?</v>
      </c>
      <c r="AZ408" s="1" t="e">
        <f ca="1">_xll.BDH($C$403,"SHORT_TERM_DEBT_5_YEAR_GROWTH","FY 2015","FY 2015","Currency=INR","Period=FY","BEST_FPERIOD_OVERRIDE=FY","FILING_STATUS=OR","EQY_CONSOLIDATED=Y","Sort=A","Dates=H","DateFormat=P","Fill=—","Direction=H","UseDPDF=Y")</f>
        <v>#NAME?</v>
      </c>
      <c r="BA408" s="1" t="e">
        <f ca="1">_xll.BDH($C$403,"TOTAL_DEBT_5_YEAR_GROWTH","FY 2015","FY 2015","Currency=INR","Period=FY","BEST_FPERIOD_OVERRIDE=FY","FILING_STATUS=OR","EQY_CONSOLIDATED=Y","Sort=A","Dates=H","DateFormat=P","Fill=—","Direction=H","UseDPDF=Y")</f>
        <v>#NAME?</v>
      </c>
      <c r="BB408" s="1" t="e">
        <f ca="1">_xll.BDH($C$403,"GEO_GROW_TOT_SHRHLDR_EQY","FY 2015","FY 2015","Currency=INR","Period=FY","BEST_FPERIOD_OVERRIDE=FY","FILING_STATUS=OR","EQY_CONSOLIDATED=Y","Sort=A","Dates=H","DateFormat=P","Fill=—","Direction=H","UseDPDF=Y")</f>
        <v>#NAME?</v>
      </c>
      <c r="BC408" s="1" t="e">
        <f ca="1">_xll.BDH($C$403,"TOTAL_CAPITAL_5_YEAR_GROWTH","FY 2015","FY 2015","Currency=INR","Period=FY","BEST_FPERIOD_OVERRIDE=FY","FILING_STATUS=OR","EQY_CONSOLIDATED=Y","Sort=A","Dates=H","DateFormat=P","Fill=—","Direction=H","UseDPDF=Y")</f>
        <v>#NAME?</v>
      </c>
      <c r="BD408" s="1" t="e">
        <f ca="1">_xll.BDH($C$403,"GEO_GROW_BOOK_VAL","FY 2015","FY 2015","Currency=INR","Period=FY","BEST_FPERIOD_OVERRIDE=FY","FILING_STATUS=OR","EQY_CONSOLIDATED=Y","Sort=A","Dates=H","DateFormat=P","Fill=—","Direction=H","UseDPDF=Y")</f>
        <v>#NAME?</v>
      </c>
      <c r="BE408" s="1" t="e">
        <f ca="1">_xll.BDH($C$403,"GEO_GROW_CASH_OPER_ACT","FY 2015","FY 2015","Currency=INR","Period=FY","BEST_FPERIOD_OVERRIDE=FY","FILING_STATUS=OR","EQY_CONSOLIDATED=Y","Sort=A","Dates=H","DateFormat=P","Fill=—","Direction=H","UseDPDF=Y")</f>
        <v>#NAME?</v>
      </c>
      <c r="BF408" s="1" t="e">
        <f ca="1">_xll.BDH($C$403,"REVENUE_SEQUENTIAL_GROWTH","FY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08" s="1" t="e">
        <f ca="1">_xll.BDH($C$403,"EBITDA_SEQUENTIAL_GROWTH","FY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08" s="1" t="e">
        <f ca="1">_xll.BDH($C$403,"OPERATING_INCOME_SEQ_GROWTH","FY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08" s="1" t="e">
        <f ca="1">_xll.BDH($C$403,"NET_INCOME_TO_COMMON_SEQ_GROWTH","FY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08" s="1" t="e">
        <f ca="1">_xll.BDH($C$403,"EPS_DILUTED_SEQUENTIAL_GROWTH","FY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08" s="1" t="e">
        <f ca="1">_xll.BDH($C$403,"DPS_SEQUENTIAL_GROWTH","FY 2015","FY 2015","Currency=INR","Period=FY","BEST_FPERIOD_OVERRIDE=FY","FILING_STATUS=OR","EQY_CONSOLIDATED=Y","Sort=A","Dates=H","DateFormat=P","Fill=—","Direction=H","UseDPDF=Y")</f>
        <v>#NAME?</v>
      </c>
      <c r="BL408" s="1" t="e">
        <f ca="1">_xll.BDH($C$403,"ACCOUNTS_RECEIVABLE_SEQ_GROWTH","FY 2015","FY 2015","Currency=INR","Period=FY","BEST_FPERIOD_OVERRIDE=FY","FILING_STATUS=OR","EQY_CONSOLIDATED=Y","Sort=A","Dates=H","DateFormat=P","Fill=—","Direction=H","UseDPDF=Y")</f>
        <v>#NAME?</v>
      </c>
      <c r="BM408" s="1" t="e">
        <f ca="1">_xll.BDH($C$403,"INVENTORY_SEQUENTIAL_GROWTH","FY 2015","FY 2015","Currency=INR","Period=FY","BEST_FPERIOD_OVERRIDE=FY","FILING_STATUS=OR","EQY_CONSOLIDATED=Y","Sort=A","Dates=H","DateFormat=P","Fill=—","Direction=H","UseDPDF=Y")</f>
        <v>#NAME?</v>
      </c>
      <c r="BN408" s="1" t="e">
        <f ca="1">_xll.BDH($C$403,"FIXED_ASSETS_SEQUENTIAL_GROWTH","FY 2015","FY 2015","Currency=INR","Period=FY","BEST_FPERIOD_OVERRIDE=FY","FILING_STATUS=OR","EQY_CONSOLIDATED=Y","Sort=A","Dates=H","DateFormat=P","Fill=—","Direction=H","UseDPDF=Y")</f>
        <v>#NAME?</v>
      </c>
      <c r="BO408" s="1" t="e">
        <f ca="1">_xll.BDH($C$403,"TOTAL_ASSETS_SEQUENTIAL_GROWTH","FY 2015","FY 2015","Currency=INR","Period=FY","BEST_FPERIOD_OVERRIDE=FY","FILING_STATUS=OR","EQY_CONSOLIDATED=Y","Sort=A","Dates=H","DateFormat=P","Fill=—","Direction=H","UseDPDF=Y")</f>
        <v>#NAME?</v>
      </c>
      <c r="BP408" s="1" t="e">
        <f ca="1">_xll.BDH($C$403,"MODIFIED_WORKING_CPTL_SEQ_GRWTH","FY 2015","FY 2015","Currency=INR","Period=FY","BEST_FPERIOD_OVERRIDE=FY","FILING_STATUS=OR","EQY_CONSOLIDATED=Y","Sort=A","Dates=H","DateFormat=P","Fill=—","Direction=H","UseDPDF=Y")</f>
        <v>#NAME?</v>
      </c>
      <c r="BQ408" s="1" t="e">
        <f ca="1">_xll.BDH($C$403,"WORKING_CAPITAL_SEQ_GROWTH","FY 2015","FY 2015","Currency=INR","Period=FY","BEST_FPERIOD_OVERRIDE=FY","FILING_STATUS=OR","EQY_CONSOLIDATED=Y","Sort=A","Dates=H","DateFormat=P","Fill=—","Direction=H","UseDPDF=Y")</f>
        <v>#NAME?</v>
      </c>
      <c r="BR408" s="1" t="e">
        <f ca="1">_xll.BDH($C$403,"ACCOUNTS_PAYABLE_SEQ_GROWTH","FY 2015","FY 2015","Currency=INR","Period=FY","BEST_FPERIOD_OVERRIDE=FY","FILING_STATUS=OR","EQY_CONSOLIDATED=Y","Sort=A","Dates=H","DateFormat=P","Fill=—","Direction=H","UseDPDF=Y")</f>
        <v>#NAME?</v>
      </c>
      <c r="BS408" s="1" t="e">
        <f ca="1">_xll.BDH($C$403,"ST_DEBT_SEQUENTIAL_GROWTH","FY 2015","FY 2015","Currency=INR","Period=FY","BEST_FPERIOD_OVERRIDE=FY","FILING_STATUS=OR","EQY_CONSOLIDATED=Y","Sort=A","Dates=H","DateFormat=P","Fill=—","Direction=H","UseDPDF=Y")</f>
        <v>#NAME?</v>
      </c>
      <c r="BT408" s="1" t="e">
        <f ca="1">_xll.BDH($C$403,"TOTAL_DEBT_SEQUENTIAL_GROWTH","FY 2015","FY 2015","Currency=INR","Period=FY","BEST_FPERIOD_OVERRIDE=FY","FILING_STATUS=OR","EQY_CONSOLIDATED=Y","Sort=A","Dates=H","DateFormat=P","Fill=—","Direction=H","UseDPDF=Y")</f>
        <v>#NAME?</v>
      </c>
      <c r="BU408" s="1" t="e">
        <f ca="1">_xll.BDH($C$403,"TOTAL_EQUITY_SEQUENTIAL_GROWTH","FY 2015","FY 2015","Currency=INR","Period=FY","BEST_FPERIOD_OVERRIDE=FY","FILING_STATUS=OR","EQY_CONSOLIDATED=Y","Sort=A","Dates=H","DateFormat=P","Fill=—","Direction=H","UseDPDF=Y")</f>
        <v>#NAME?</v>
      </c>
      <c r="BV408" s="1" t="e">
        <f ca="1">_xll.BDH($C$403,"TOTAL_CAPITAL_SEQUENTIAL_GROWTH","FY 2015","FY 2015","Currency=INR","Period=FY","BEST_FPERIOD_OVERRIDE=FY","FILING_STATUS=OR","EQY_CONSOLIDATED=Y","Sort=A","Dates=H","DateFormat=P","Fill=—","Direction=H","UseDPDF=Y")</f>
        <v>#NAME?</v>
      </c>
      <c r="BW408" s="1" t="e">
        <f ca="1">_xll.BDH($C$403,"BPS_SEQUENTIAL_GROWTH","FY 2015","FY 2015","Currency=INR","Period=FY","BEST_FPERIOD_OVERRIDE=FY","FILING_STATUS=OR","EQY_CONSOLIDATED=Y","Sort=A","Dates=H","DateFormat=P","Fill=—","Direction=H","UseDPDF=Y")</f>
        <v>#NAME?</v>
      </c>
      <c r="BX408" s="1" t="e">
        <f ca="1">_xll.BDH($C$403,"CFO_SEQUENTIAL_GROWTH","FY 2015","FY 2015","Currency=INR","Period=FY","BEST_FPERIOD_OVERRIDE=FY","FILING_STATUS=OR","EQY_CONSOLIDATED=Y","Sort=A","Dates=H","DateFormat=P","Fill=—","Direction=H","UseDPDF=Y")</f>
        <v>#NAME?</v>
      </c>
      <c r="BY408" s="2" t="e">
        <f ca="1">_xll.BDH($C$403,"SHORT_AND_LONG_TERM_DEBT","FY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08" s="2" t="e">
        <f ca="1">_xll.BDH($C$403,"BS_ST_BORROW","FY 2015","FY 2015","Currency=INR","Period=FY","BEST_FPERIOD_OVERRIDE=FY","FILING_STATUS=OR","EQY_CONSOLIDATED=Y","SCALING_FORMAT=MLN","Sort=A","Dates=H","DateFormat=P","Fill=—","Direction=H","UseDPDF=Y")</f>
        <v>#NAME?</v>
      </c>
      <c r="CA408" s="2" t="e">
        <f ca="1">_xll.BDH($C$403,"BS_LT_BORROW","FY 2015","FY 2015","Currency=INR","Period=FY","BEST_FPERIOD_OVERRIDE=FY","FILING_STATUS=OR","EQY_CONSOLIDATED=Y","SCALING_FORMAT=MLN","Sort=A","Dates=H","DateFormat=P","Fill=—","Direction=H","UseDPDF=Y")</f>
        <v>#NAME?</v>
      </c>
      <c r="CB408" s="1" t="e">
        <f ca="1">_xll.BDH($C$403,"TOT_DEBT_TO_EBITDA","FY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408" s="1" t="e">
        <f ca="1">_xll.BDH($C$403,"NET_DEBT_TO_EBITDA","FY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408" s="1" t="e">
        <f ca="1">_xll.BDH($C$403,"TOTAL_DEBT_TO_EBIT","FY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408" s="1" t="e">
        <f ca="1">_xll.BDH($C$403,"NET_DEBT_TO_EBIT","FY 2015","FY 2015","Currency=INR","Period=FY","BEST_FPERIOD_OVERRIDE=FY","FILING_STATUS=OR","EQY_CONSOLIDATED=Y","FA_ADJUSTED=GAAP","Sort=A","Dates=H","DateFormat=P","Fill=—","Direction=H","UseDPDF=Y")</f>
        <v>#NAME?</v>
      </c>
      <c r="CF408" s="1" t="e">
        <f ca="1">_xll.BDH($C$403,"EBITDA_TO_INTEREST_EXPN","FY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08" s="1" t="e">
        <f ca="1">_xll.BDH($C$403,"COM_EQY_TO_TOT_ASSET","FY 2015","FY 2015","Currency=INR","Period=FY","BEST_FPERIOD_OVERRIDE=FY","FILING_STATUS=OR","EQY_CONSOLIDATED=Y","Sort=A","Dates=H","DateFormat=P","Fill=—","Direction=H","UseDPDF=Y")</f>
        <v>#NAME?</v>
      </c>
      <c r="CH408" s="1" t="e">
        <f ca="1">_xll.BDH($C$403,"LT_DEBT_TO_TOT_EQY","FY 2015","FY 2015","Currency=INR","Period=FY","BEST_FPERIOD_OVERRIDE=FY","FILING_STATUS=OR","EQY_CONSOLIDATED=Y","Sort=A","Dates=H","DateFormat=P","Fill=—","Direction=H","UseDPDF=Y")</f>
        <v>#NAME?</v>
      </c>
      <c r="CI408" s="1" t="e">
        <f ca="1">_xll.BDH($C$403,"LT_DEBT_TO_TOT_CAP","FY 2015","FY 2015","Currency=INR","Period=FY","BEST_FPERIOD_OVERRIDE=FY","FILING_STATUS=OR","EQY_CONSOLIDATED=Y","Sort=A","Dates=H","DateFormat=P","Fill=—","Direction=H","UseDPDF=Y")</f>
        <v>#NAME?</v>
      </c>
      <c r="CJ408" s="1" t="e">
        <f ca="1">_xll.BDH($C$403,"LT_DEBT_TO_TOT_ASSET","FY 2015","FY 2015","Currency=INR","Period=FY","BEST_FPERIOD_OVERRIDE=FY","FILING_STATUS=OR","EQY_CONSOLIDATED=Y","Sort=A","Dates=H","DateFormat=P","Fill=—","Direction=H","UseDPDF=Y")</f>
        <v>#NAME?</v>
      </c>
      <c r="CK408" s="1" t="e">
        <f ca="1">_xll.BDH($C$403,"TOT_DEBT_TO_TOT_EQY","FY 2015","FY 2015","Currency=INR","Period=FY","BEST_FPERIOD_OVERRIDE=FY","FILING_STATUS=OR","EQY_CONSOLIDATED=Y","Sort=A","Dates=H","DateFormat=P","Fill=—","Direction=H","UseDPDF=Y")</f>
        <v>#NAME?</v>
      </c>
      <c r="CL408" s="1" t="e">
        <f ca="1">_xll.BDH($C$403,"TOT_DEBT_TO_TOT_CAP","FY 2015","FY 2015","Currency=INR","Period=FY","BEST_FPERIOD_OVERRIDE=FY","FILING_STATUS=OR","EQY_CONSOLIDATED=Y","Sort=A","Dates=H","DateFormat=P","Fill=—","Direction=H","UseDPDF=Y")</f>
        <v>#NAME?</v>
      </c>
      <c r="CM408" s="1" t="e">
        <f ca="1">_xll.BDH($C$403,"TOT_DEBT_TO_TOT_ASSET","FY 2015","FY 2015","Currency=INR","Period=FY","BEST_FPERIOD_OVERRIDE=FY","FILING_STATUS=OR","EQY_CONSOLIDATED=Y","Sort=A","Dates=H","DateFormat=P","Fill=—","Direction=H","UseDPDF=Y")</f>
        <v>#NAME?</v>
      </c>
      <c r="CN408" s="1" t="e">
        <f ca="1">_xll.BDH($C$403,"NET_DEBT_TO_SHRHLDR_EQTY","FY 2015","FY 2015","Currency=INR","Period=FY","BEST_FPERIOD_OVERRIDE=FY","FILING_STATUS=OR","EQY_CONSOLIDATED=Y","Sort=A","Dates=H","DateFormat=P","Fill=—","Direction=H","UseDPDF=Y")</f>
        <v>#NAME?</v>
      </c>
      <c r="CO408" s="1" t="e">
        <f ca="1">_xll.BDH($C$403,"NET_DEBT_%_CAPITAL","FY 2015","FY 2015","Currency=INR","Period=FY","BEST_FPERIOD_OVERRIDE=FY","FILING_STATUS=OR","EQY_CONSOLIDATED=Y","Sort=A","Dates=H","DateFormat=P","Fill=—","Direction=H","UseDPDF=Y")</f>
        <v>#NAME?</v>
      </c>
      <c r="CP408" s="2" t="e">
        <f ca="1">_xll.BDH($C$403,"EBITDA","FY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08" s="2" t="e">
        <f ca="1">_xll.BDH($C$403,"EBITDA_AFTER_CAPEX","FY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08" s="2" t="e">
        <f ca="1">_xll.BDH($C$403,"IS_OPER_INC","FY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08" s="1" t="e">
        <f ca="1">_xll.BDH($C$403,"CASH_RATIO","FY 2015","FY 2015","Currency=INR","Period=FY","BEST_FPERIOD_OVERRIDE=FY","FILING_STATUS=OR","EQY_CONSOLIDATED=Y","Sort=A","Dates=H","DateFormat=P","Fill=—","Direction=H","UseDPDF=Y")</f>
        <v>#NAME?</v>
      </c>
      <c r="CT408" s="1" t="e">
        <f ca="1">_xll.BDH($C$403,"CUR_RATIO","FY 2015","FY 2015","Currency=INR","Period=FY","BEST_FPERIOD_OVERRIDE=FY","FILING_STATUS=OR","EQY_CONSOLIDATED=Y","Sort=A","Dates=H","DateFormat=P","Fill=—","Direction=H","UseDPDF=Y")</f>
        <v>#NAME?</v>
      </c>
      <c r="CU408" s="1" t="e">
        <f ca="1">_xll.BDH($C$403,"QUICK_RATIO","FY 2015","FY 2015","Currency=INR","Period=FY","BEST_FPERIOD_OVERRIDE=FY","FILING_STATUS=OR","EQY_CONSOLIDATED=Y","Sort=A","Dates=H","DateFormat=P","Fill=—","Direction=H","UseDPDF=Y")</f>
        <v>#NAME?</v>
      </c>
      <c r="CV408" s="1" t="e">
        <f ca="1">_xll.BDH($C$403,"ALTMAN_Z_SCORE","FY 2015","FY 2015","Currency=INR","Period=FY","BEST_FPERIOD_OVERRIDE=FY","FILING_STATUS=OR","EQY_CONSOLIDATED=Y","Sort=A","Dates=H","DateFormat=P","Fill=—","Direction=H","UseDPDF=Y")</f>
        <v>#NAME?</v>
      </c>
      <c r="CW408" s="3" t="e">
        <f ca="1">_xll.BDH($C$403,"ACCT_RCV_TURN","FY 2015","FY 2015","Currency=INR","Period=FY","BEST_FPERIOD_OVERRIDE=FY","FILING_STATUS=OR","EQY_CONSOLIDATED=Y","FA_ADJUSTED=GAAP","Sort=A","Dates=H","DateFormat=P","Fill=—","Direction=H","UseDPDF=Y")</f>
        <v>#NAME?</v>
      </c>
      <c r="CX408" s="1" t="e">
        <f ca="1">_xll.BDH($C$403,"ACCT_RCV_DAYS","FY 2015","FY 2015","Currency=INR","Period=FY","BEST_FPERIOD_OVERRIDE=FY","FILING_STATUS=OR","EQY_CONSOLIDATED=Y","FA_ADJUSTED=GAAP","Sort=A","Dates=H","DateFormat=P","Fill=—","Direction=H","UseDPDF=Y")</f>
        <v>#NAME?</v>
      </c>
      <c r="CY408" s="3" t="e">
        <f ca="1">_xll.BDH($C$403,"INVENT_TURN","FY 2015","FY 2015","Currency=INR","Period=FY","BEST_FPERIOD_OVERRIDE=FY","FILING_STATUS=OR","EQY_CONSOLIDATED=Y","FA_ADJUSTED=GAAP","Sort=A","Dates=H","DateFormat=P","Fill=—","Direction=H","UseDPDF=Y")</f>
        <v>#NAME?</v>
      </c>
      <c r="CZ408" s="1" t="e">
        <f ca="1">_xll.BDH($C$403,"INVENT_DAYS","FY 2015","FY 2015","Currency=INR","Period=FY","BEST_FPERIOD_OVERRIDE=FY","FILING_STATUS=OR","EQY_CONSOLIDATED=Y","FA_ADJUSTED=GAAP","Sort=A","Dates=H","DateFormat=P","Fill=—","Direction=H","UseDPDF=Y")</f>
        <v>#NAME?</v>
      </c>
      <c r="DA408" s="3" t="e">
        <f ca="1">_xll.BDH($C$403,"ACCOUNTS_PAYABLE_TURNOVER","FY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08" s="1" t="e">
        <f ca="1">_xll.BDH($C$403,"ACCOUNTS_PAYABLE_TURNOVER_DAYS","FY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08" s="3" t="e">
        <f ca="1">_xll.BDH($C$403,"CASH_CONVERSION_CYCLE","FY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08" s="3" t="e">
        <f ca="1">_xll.BDH($C$403,"INV_TO_CASH_DAYS","FY 2015","FY 2015","Currency=INR","Period=FY","BEST_FPERIOD_OVERRIDE=FY","FILING_STATUS=OR","EQY_CONSOLIDATED=Y","FA_ADJUSTED=GAAP","Sort=A","Dates=H","DateFormat=P","Fill=—","Direction=H","UseDPDF=Y")</f>
        <v>#NAME?</v>
      </c>
      <c r="DE408" s="4" t="e">
        <f ca="1">_xll.BDH($C$403,"BS_INVENTORIES","FY 2015","FY 2015","Currency=INR","Period=FY","BEST_FPERIOD_OVERRIDE=FY","FILING_STATUS=OR","EQY_CONSOLIDATED=Y","SCALING_FORMAT=MLN","Sort=A","Dates=H","DateFormat=P","Fill=—","Direction=H","UseDPDF=Y")</f>
        <v>#NAME?</v>
      </c>
      <c r="DF408" s="2" t="e">
        <f ca="1">_xll.BDH($C$403,"INVTRY_RAW_MATERIALS","FY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08" s="2" t="e">
        <f ca="1">_xll.BDH($C$403,"INVTRY_IN_PROGRESS","FY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08" s="2" t="e">
        <f ca="1">_xll.BDH($C$403,"INVTRY_FINISHED_GOODS","FY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08" s="2" t="e">
        <f ca="1">_xll.BDH($C$403,"BS_OTHER_INV","FY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09" spans="1:113" x14ac:dyDescent="0.3">
      <c r="A409" s="6"/>
      <c r="B409" s="6"/>
      <c r="C409" s="6"/>
      <c r="D409" s="6"/>
      <c r="E409" t="s">
        <v>4</v>
      </c>
      <c r="F409" t="e">
        <f ca="1">_xll.BDH($C$403,"RETURN_COM_EQY","FQ1 2015","FQ1 2015","Currency=INR","Period=FQ","BEST_FPERIOD_OVERRIDE=FQ","FILING_STATUS=OR","EQY_CONSOLIDATED=Y","FA_ADJUSTED=GAAP","Sort=A","Dates=H","DateFormat=P","Fill=—","Direction=H","UseDPDF=Y")</f>
        <v>#NAME?</v>
      </c>
      <c r="G409" t="e">
        <f ca="1">_xll.BDH($C$403,"RETURN_ON_ASSET","FQ1 2015","FQ1 2015","Currency=INR","Period=FQ","BEST_FPERIOD_OVERRIDE=FQ","FILING_STATUS=OR","EQY_CONSOLIDATED=Y","FA_ADJUSTED=GAAP","Sort=A","Dates=H","DateFormat=P","Fill=—","Direction=H","UseDPDF=Y")</f>
        <v>#NAME?</v>
      </c>
      <c r="H409" t="e">
        <f ca="1">_xll.BDH($C$403,"RETURN_ON_CAP","FQ1 2015","FQ1 2015","Currency=INR","Period=FQ","BEST_FPERIOD_OVERRIDE=FQ","FILING_STATUS=OR","EQY_CONSOLIDATED=Y","FA_ADJUSTED=GAAP","Sort=A","Dates=H","DateFormat=P","Fill=—","Direction=H","UseDPDF=Y")</f>
        <v>#NAME?</v>
      </c>
      <c r="I409" t="e">
        <f ca="1">_xll.BDH($C$403,"RETURN_ON_INV_CAPITAL","FQ1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09" t="e">
        <f ca="1">_xll.BDH($C$403,"EBITDA_TO_REVENUE","FQ1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409" t="e">
        <f ca="1">_xll.BDH($C$403,"OPER_MARGIN","FQ1 2015","FQ1 2015","Currency=INR","Period=FQ","BEST_FPERIOD_OVERRIDE=FQ","FILING_STATUS=OR","EQY_CONSOLIDATED=Y","FA_ADJUSTED=GAAP","Sort=A","Dates=H","DateFormat=P","Fill=—","Direction=H","UseDPDF=Y")</f>
        <v>#NAME?</v>
      </c>
      <c r="L409" t="e">
        <f ca="1">_xll.BDH($C$403,"INCREMENTAL_OPERATING_MARGIN","FQ1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09" t="e">
        <f ca="1">_xll.BDH($C$403,"PRETAX_INC_TO_NET_SALES","FQ1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09" t="e">
        <f ca="1">_xll.BDH($C$403,"INC_BEF_XO_ITEMS_TO_NET_SALES","FQ1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09" t="e">
        <f ca="1">_xll.BDH($C$403,"PROF_MARGIN","FQ1 2015","FQ1 2015","Currency=INR","Period=FQ","BEST_FPERIOD_OVERRIDE=FQ","FILING_STATUS=OR","EQY_CONSOLIDATED=Y","FA_ADJUSTED=GAAP","Sort=A","Dates=H","DateFormat=P","Fill=—","Direction=H","UseDPDF=Y")</f>
        <v>#NAME?</v>
      </c>
      <c r="P409" t="e">
        <f ca="1">_xll.BDH($C$403,"NET_INCOME_TO_COMMON_MARGIN","FQ1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09" t="e">
        <f ca="1">_xll.BDH($C$403,"EFF_TAX_RATE","FQ1 2015","FQ1 2015","Currency=INR","Period=FQ","BEST_FPERIOD_OVERRIDE=FQ","FILING_STATUS=OR","EQY_CONSOLIDATED=Y","FA_ADJUSTED=GAAP","Sort=A","Dates=H","DateFormat=P","Fill=—","Direction=H","UseDPDF=Y")</f>
        <v>#NAME?</v>
      </c>
      <c r="R409" t="e">
        <f ca="1">_xll.BDH($C$403,"DVD_PAYOUT_RATIO","FQ1 2015","FQ1 2015","Currency=INR","Period=FQ","BEST_FPERIOD_OVERRIDE=FQ","FILING_STATUS=OR","EQY_CONSOLIDATED=Y","FA_ADJUSTED=GAAP","Sort=A","Dates=H","DateFormat=P","Fill=—","Direction=H","UseDPDF=Y")</f>
        <v>#NAME?</v>
      </c>
      <c r="S409" t="e">
        <f ca="1">_xll.BDH($C$403,"SUSTAIN_GROWTH_RT","FQ1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409" s="1" t="e">
        <f ca="1">_xll.BDH($C$403,"SALES_GROWTH","FQ1 2015","FQ1 2015","Currency=INR","Period=FQ","BEST_FPERIOD_OVERRIDE=FQ","FILING_STATUS=OR","EQY_CONSOLIDATED=Y","FA_ADJUSTED=GAAP","Sort=A","Dates=H","DateFormat=P","Fill=—","Direction=H","UseDPDF=Y")</f>
        <v>#NAME?</v>
      </c>
      <c r="U409" s="1" t="e">
        <f ca="1">_xll.BDH($C$403,"EBITDA_GROWTH","FQ1 2015","FQ1 2015","Currency=INR","Period=FQ","BEST_FPERIOD_OVERRIDE=FQ","FILING_STATUS=OR","EQY_CONSOLIDATED=Y","FA_ADJUSTED=GAAP","Sort=A","Dates=H","DateFormat=P","Fill=—","Direction=H","UseDPDF=Y")</f>
        <v>#NAME?</v>
      </c>
      <c r="V409" s="1" t="e">
        <f ca="1">_xll.BDH($C$403,"OPER_INC_GROWTH","FQ1 2015","FQ1 2015","Currency=INR","Period=FQ","BEST_FPERIOD_OVERRIDE=FQ","FILING_STATUS=OR","EQY_CONSOLIDATED=Y","FA_ADJUSTED=GAAP","Sort=A","Dates=H","DateFormat=P","Fill=—","Direction=H","UseDPDF=Y")</f>
        <v>#NAME?</v>
      </c>
      <c r="W409" s="1" t="e">
        <f ca="1">_xll.BDH($C$403,"EARN_FOR_COM_GROWTH","FQ1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09" s="1" t="e">
        <f ca="1">_xll.BDH($C$403,"DILUTED_EPS_AFT_XO_ITEMS_GROWTH","FQ1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09" s="1" t="e">
        <f ca="1">_xll.BDH($C$403,"DIVIDEND_PER_SHARE_1_YEAR_GROWTH","FQ1 2015","FQ1 2015","Currency=INR","Period=FQ","BEST_FPERIOD_OVERRIDE=FQ","FILING_STATUS=OR","EQY_CONSOLIDATED=Y","Sort=A","Dates=H","DateFormat=P","Fill=—","Direction=H","UseDPDF=Y")</f>
        <v>#NAME?</v>
      </c>
      <c r="Z409" s="1" t="e">
        <f ca="1">_xll.BDH($C$403,"ACCOUNTS_RECEIVABLE_GROWTH","FQ1 2015","FQ1 2015","Currency=INR","Period=FQ","BEST_FPERIOD_OVERRIDE=FQ","FILING_STATUS=OR","EQY_CONSOLIDATED=Y","Sort=A","Dates=H","DateFormat=P","Fill=—","Direction=H","UseDPDF=Y")</f>
        <v>#NAME?</v>
      </c>
      <c r="AA409" s="1" t="e">
        <f ca="1">_xll.BDH($C$403,"INVENTORY_GROWTH","FQ1 2015","FQ1 2015","Currency=INR","Period=FQ","BEST_FPERIOD_OVERRIDE=FQ","FILING_STATUS=OR","EQY_CONSOLIDATED=Y","Sort=A","Dates=H","DateFormat=P","Fill=—","Direction=H","UseDPDF=Y")</f>
        <v>#NAME?</v>
      </c>
      <c r="AB409" s="1" t="e">
        <f ca="1">_xll.BDH($C$403,"NET_FIXED_ASSETS_1_YEAR_GROWTH","FQ1 2015","FQ1 2015","Currency=INR","Period=FQ","BEST_FPERIOD_OVERRIDE=FQ","FILING_STATUS=OR","EQY_CONSOLIDATED=Y","Sort=A","Dates=H","DateFormat=P","Fill=—","Direction=H","UseDPDF=Y")</f>
        <v>#NAME?</v>
      </c>
      <c r="AC409" s="1" t="e">
        <f ca="1">_xll.BDH($C$403,"ASSET_GROWTH","FQ1 2015","FQ1 2015","Currency=INR","Period=FQ","BEST_FPERIOD_OVERRIDE=FQ","FILING_STATUS=OR","EQY_CONSOLIDATED=Y","Sort=A","Dates=H","DateFormat=P","Fill=—","Direction=H","UseDPDF=Y")</f>
        <v>#NAME?</v>
      </c>
      <c r="AD409" s="1" t="e">
        <f ca="1">_xll.BDH($C$403,"MODIFIED_WORK_CAP_GROWTH","FQ1 2015","FQ1 2015","Currency=INR","Period=FQ","BEST_FPERIOD_OVERRIDE=FQ","FILING_STATUS=OR","EQY_CONSOLIDATED=Y","Sort=A","Dates=H","DateFormat=P","Fill=—","Direction=H","UseDPDF=Y")</f>
        <v>#NAME?</v>
      </c>
      <c r="AE409" s="1" t="e">
        <f ca="1">_xll.BDH($C$403,"WORK_CAP_GROWTH","FQ1 2015","FQ1 2015","Currency=INR","Period=FQ","BEST_FPERIOD_OVERRIDE=FQ","FILING_STATUS=OR","EQY_CONSOLIDATED=Y","Sort=A","Dates=H","DateFormat=P","Fill=—","Direction=H","UseDPDF=Y")</f>
        <v>#NAME?</v>
      </c>
      <c r="AF409" s="1" t="e">
        <f ca="1">_xll.BDH($C$403,"ACCOUNTS_PAYABLE_GROWTH_1YR","FQ1 2015","FQ1 2015","Currency=INR","Period=FQ","BEST_FPERIOD_OVERRIDE=FQ","FILING_STATUS=OR","EQY_CONSOLIDATED=Y","Sort=A","Dates=H","DateFormat=P","Fill=—","Direction=H","UseDPDF=Y")</f>
        <v>#NAME?</v>
      </c>
      <c r="AG409" s="1" t="e">
        <f ca="1">_xll.BDH($C$403,"SHORT_TERM_DEBT_1_YEAR_GROWTH","FQ1 2015","FQ1 2015","Currency=INR","Period=FQ","BEST_FPERIOD_OVERRIDE=FQ","FILING_STATUS=OR","EQY_CONSOLIDATED=Y","Sort=A","Dates=H","DateFormat=P","Fill=—","Direction=H","UseDPDF=Y")</f>
        <v>#NAME?</v>
      </c>
      <c r="AH409" s="1" t="e">
        <f ca="1">_xll.BDH($C$403,"TOTAL_DEBT_1_YEAR_GROWTH","FQ1 2015","FQ1 2015","Currency=INR","Period=FQ","BEST_FPERIOD_OVERRIDE=FQ","FILING_STATUS=OR","EQY_CONSOLIDATED=Y","Sort=A","Dates=H","DateFormat=P","Fill=—","Direction=H","UseDPDF=Y")</f>
        <v>#NAME?</v>
      </c>
      <c r="AI409" s="1" t="e">
        <f ca="1">_xll.BDH($C$403,"TOTAL_EQUITY_1_YEAR_GROWTH","FQ1 2015","FQ1 2015","Currency=INR","Period=FQ","BEST_FPERIOD_OVERRIDE=FQ","FILING_STATUS=OR","EQY_CONSOLIDATED=Y","Sort=A","Dates=H","DateFormat=P","Fill=—","Direction=H","UseDPDF=Y")</f>
        <v>#NAME?</v>
      </c>
      <c r="AJ409" s="1" t="e">
        <f ca="1">_xll.BDH($C$403,"GROWTH_IN_CAP","FQ1 2015","FQ1 2015","Currency=INR","Period=FQ","BEST_FPERIOD_OVERRIDE=FQ","FILING_STATUS=OR","EQY_CONSOLIDATED=Y","Sort=A","Dates=H","DateFormat=P","Fill=—","Direction=H","UseDPDF=Y")</f>
        <v>#NAME?</v>
      </c>
      <c r="AK409" s="1" t="e">
        <f ca="1">_xll.BDH($C$403,"BVPS_GROWTH","FQ1 2015","FQ1 2015","Currency=INR","Period=FQ","BEST_FPERIOD_OVERRIDE=FQ","FILING_STATUS=OR","EQY_CONSOLIDATED=Y","Sort=A","Dates=H","DateFormat=P","Fill=—","Direction=H","UseDPDF=Y")</f>
        <v>#NAME?</v>
      </c>
      <c r="AL409" s="1" t="e">
        <f ca="1">_xll.BDH($C$403,"CASH_FLOW_GROWTH","FQ1 2015","FQ1 2015","Currency=INR","Period=FQ","BEST_FPERIOD_OVERRIDE=FQ","FILING_STATUS=OR","EQY_CONSOLIDATED=Y","Sort=A","Dates=H","DateFormat=P","Fill=—","Direction=H","UseDPDF=Y")</f>
        <v>#NAME?</v>
      </c>
      <c r="AM409" s="1" t="e">
        <f ca="1">_xll.BDH($C$403,"GEO_GROW_NET_SALES","FQ1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09" s="1" t="e">
        <f ca="1">_xll.BDH($C$403,"GEO_GROW_EBITDA","FQ1 2015","FQ1 2015","Currency=INR","Period=FQ","BEST_FPERIOD_OVERRIDE=FQ","FILING_STATUS=OR","EQY_CONSOLIDATED=Y","FA_ADJUSTED=GAAP","Sort=A","Dates=H","DateFormat=P","Fill=—","Direction=H","UseDPDF=Y")</f>
        <v>#NAME?</v>
      </c>
      <c r="AO409" s="1" t="e">
        <f ca="1">_xll.BDH($C$403,"GEO_GROW_OPER_INC","FQ1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09" s="1" t="e">
        <f ca="1">_xll.BDH($C$403,"NET_INCOME_TO_COMMON_5_YR_GROWTH","FQ1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09" s="1" t="e">
        <f ca="1">_xll.BDH($C$403,"5Y_GEO_GROWTH_DILUTED_EPS","FQ1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09" s="1" t="e">
        <f ca="1">_xll.BDH($C$403,"GEO_GROW_DVD_PER_SH","FQ1 2015","FQ1 2015","Currency=INR","Period=FQ","BEST_FPERIOD_OVERRIDE=FQ","FILING_STATUS=OR","EQY_CONSOLIDATED=Y","Sort=A","Dates=H","DateFormat=P","Fill=—","Direction=H","UseDPDF=Y")</f>
        <v>#NAME?</v>
      </c>
      <c r="AS409" s="1" t="e">
        <f ca="1">_xll.BDH($C$403,"ACCOUNTS_RECEIVABLE_5_YR_GROWTH","FQ1 2015","FQ1 2015","Currency=INR","Period=FQ","BEST_FPERIOD_OVERRIDE=FQ","FILING_STATUS=OR","EQY_CONSOLIDATED=Y","Sort=A","Dates=H","DateFormat=P","Fill=—","Direction=H","UseDPDF=Y")</f>
        <v>#NAME?</v>
      </c>
      <c r="AT409" s="1" t="e">
        <f ca="1">_xll.BDH($C$403,"INVENTORY_5_YEAR_GROWTH","FQ1 2015","FQ1 2015","Currency=INR","Period=FQ","BEST_FPERIOD_OVERRIDE=FQ","FILING_STATUS=OR","EQY_CONSOLIDATED=Y","Sort=A","Dates=H","DateFormat=P","Fill=—","Direction=H","UseDPDF=Y")</f>
        <v>#NAME?</v>
      </c>
      <c r="AU409" s="1" t="e">
        <f ca="1">_xll.BDH($C$403,"NET_FIXED_ASSETS_5_YEAR_GROWTH","FQ1 2015","FQ1 2015","Currency=INR","Period=FQ","BEST_FPERIOD_OVERRIDE=FQ","FILING_STATUS=OR","EQY_CONSOLIDATED=Y","Sort=A","Dates=H","DateFormat=P","Fill=—","Direction=H","UseDPDF=Y")</f>
        <v>#NAME?</v>
      </c>
      <c r="AV409" s="1" t="e">
        <f ca="1">_xll.BDH($C$403,"GEO_GROW_TOT_ASSET","FQ1 2015","FQ1 2015","Currency=INR","Period=FQ","BEST_FPERIOD_OVERRIDE=FQ","FILING_STATUS=OR","EQY_CONSOLIDATED=Y","Sort=A","Dates=H","DateFormat=P","Fill=—","Direction=H","UseDPDF=Y")</f>
        <v>#NAME?</v>
      </c>
      <c r="AW409" s="1" t="e">
        <f ca="1">_xll.BDH($C$403,"MODIFIED_WORKING_CPTL_5YR_GRWTH","FQ1 2015","FQ1 2015","Currency=INR","Period=FQ","BEST_FPERIOD_OVERRIDE=FQ","FILING_STATUS=OR","EQY_CONSOLIDATED=Y","Sort=A","Dates=H","DateFormat=P","Fill=—","Direction=H","UseDPDF=Y")</f>
        <v>#NAME?</v>
      </c>
      <c r="AX409" s="1" t="e">
        <f ca="1">_xll.BDH($C$403,"WORKING_CAPITAL_5_YEAR_GROWTH","FQ1 2015","FQ1 2015","Currency=INR","Period=FQ","BEST_FPERIOD_OVERRIDE=FQ","FILING_STATUS=OR","EQY_CONSOLIDATED=Y","Sort=A","Dates=H","DateFormat=P","Fill=—","Direction=H","UseDPDF=Y")</f>
        <v>#NAME?</v>
      </c>
      <c r="AY409" s="1" t="e">
        <f ca="1">_xll.BDH($C$403,"ACCOUNTS_PAYABLE_5_YEAR_GROWTH","FQ1 2015","FQ1 2015","Currency=INR","Period=FQ","BEST_FPERIOD_OVERRIDE=FQ","FILING_STATUS=OR","EQY_CONSOLIDATED=Y","Sort=A","Dates=H","DateFormat=P","Fill=—","Direction=H","UseDPDF=Y")</f>
        <v>#NAME?</v>
      </c>
      <c r="AZ409" s="1" t="e">
        <f ca="1">_xll.BDH($C$403,"SHORT_TERM_DEBT_5_YEAR_GROWTH","FQ1 2015","FQ1 2015","Currency=INR","Period=FQ","BEST_FPERIOD_OVERRIDE=FQ","FILING_STATUS=OR","EQY_CONSOLIDATED=Y","Sort=A","Dates=H","DateFormat=P","Fill=—","Direction=H","UseDPDF=Y")</f>
        <v>#NAME?</v>
      </c>
      <c r="BA409" s="1" t="e">
        <f ca="1">_xll.BDH($C$403,"TOTAL_DEBT_5_YEAR_GROWTH","FQ1 2015","FQ1 2015","Currency=INR","Period=FQ","BEST_FPERIOD_OVERRIDE=FQ","FILING_STATUS=OR","EQY_CONSOLIDATED=Y","Sort=A","Dates=H","DateFormat=P","Fill=—","Direction=H","UseDPDF=Y")</f>
        <v>#NAME?</v>
      </c>
      <c r="BB409" s="1" t="e">
        <f ca="1">_xll.BDH($C$403,"GEO_GROW_TOT_SHRHLDR_EQY","FQ1 2015","FQ1 2015","Currency=INR","Period=FQ","BEST_FPERIOD_OVERRIDE=FQ","FILING_STATUS=OR","EQY_CONSOLIDATED=Y","Sort=A","Dates=H","DateFormat=P","Fill=—","Direction=H","UseDPDF=Y")</f>
        <v>#NAME?</v>
      </c>
      <c r="BC409" s="1" t="e">
        <f ca="1">_xll.BDH($C$403,"TOTAL_CAPITAL_5_YEAR_GROWTH","FQ1 2015","FQ1 2015","Currency=INR","Period=FQ","BEST_FPERIOD_OVERRIDE=FQ","FILING_STATUS=OR","EQY_CONSOLIDATED=Y","Sort=A","Dates=H","DateFormat=P","Fill=—","Direction=H","UseDPDF=Y")</f>
        <v>#NAME?</v>
      </c>
      <c r="BD409" s="1" t="e">
        <f ca="1">_xll.BDH($C$403,"GEO_GROW_BOOK_VAL","FQ1 2015","FQ1 2015","Currency=INR","Period=FQ","BEST_FPERIOD_OVERRIDE=FQ","FILING_STATUS=OR","EQY_CONSOLIDATED=Y","Sort=A","Dates=H","DateFormat=P","Fill=—","Direction=H","UseDPDF=Y")</f>
        <v>#NAME?</v>
      </c>
      <c r="BE409" s="1" t="e">
        <f ca="1">_xll.BDH($C$403,"GEO_GROW_CASH_OPER_ACT","FQ1 2015","FQ1 2015","Currency=INR","Period=FQ","BEST_FPERIOD_OVERRIDE=FQ","FILING_STATUS=OR","EQY_CONSOLIDATED=Y","Sort=A","Dates=H","DateFormat=P","Fill=—","Direction=H","UseDPDF=Y")</f>
        <v>#NAME?</v>
      </c>
      <c r="BF409" s="1" t="e">
        <f ca="1">_xll.BDH($C$403,"REVENUE_SEQUENTIAL_GROWTH","FQ1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09" s="1" t="e">
        <f ca="1">_xll.BDH($C$403,"EBITDA_SEQUENTIAL_GROWTH","FQ1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09" s="1" t="e">
        <f ca="1">_xll.BDH($C$403,"OPERATING_INCOME_SEQ_GROWTH","FQ1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09" s="1" t="e">
        <f ca="1">_xll.BDH($C$403,"NET_INCOME_TO_COMMON_SEQ_GROWTH","FQ1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09" s="1" t="e">
        <f ca="1">_xll.BDH($C$403,"EPS_DILUTED_SEQUENTIAL_GROWTH","FQ1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09" s="1" t="e">
        <f ca="1">_xll.BDH($C$403,"DPS_SEQUENTIAL_GROWTH","FQ1 2015","FQ1 2015","Currency=INR","Period=FQ","BEST_FPERIOD_OVERRIDE=FQ","FILING_STATUS=OR","EQY_CONSOLIDATED=Y","Sort=A","Dates=H","DateFormat=P","Fill=—","Direction=H","UseDPDF=Y")</f>
        <v>#NAME?</v>
      </c>
      <c r="BL409" s="1" t="e">
        <f ca="1">_xll.BDH($C$403,"ACCOUNTS_RECEIVABLE_SEQ_GROWTH","FQ1 2015","FQ1 2015","Currency=INR","Period=FQ","BEST_FPERIOD_OVERRIDE=FQ","FILING_STATUS=OR","EQY_CONSOLIDATED=Y","Sort=A","Dates=H","DateFormat=P","Fill=—","Direction=H","UseDPDF=Y")</f>
        <v>#NAME?</v>
      </c>
      <c r="BM409" s="1" t="e">
        <f ca="1">_xll.BDH($C$403,"INVENTORY_SEQUENTIAL_GROWTH","FQ1 2015","FQ1 2015","Currency=INR","Period=FQ","BEST_FPERIOD_OVERRIDE=FQ","FILING_STATUS=OR","EQY_CONSOLIDATED=Y","Sort=A","Dates=H","DateFormat=P","Fill=—","Direction=H","UseDPDF=Y")</f>
        <v>#NAME?</v>
      </c>
      <c r="BN409" s="1" t="e">
        <f ca="1">_xll.BDH($C$403,"FIXED_ASSETS_SEQUENTIAL_GROWTH","FQ1 2015","FQ1 2015","Currency=INR","Period=FQ","BEST_FPERIOD_OVERRIDE=FQ","FILING_STATUS=OR","EQY_CONSOLIDATED=Y","Sort=A","Dates=H","DateFormat=P","Fill=—","Direction=H","UseDPDF=Y")</f>
        <v>#NAME?</v>
      </c>
      <c r="BO409" s="1" t="e">
        <f ca="1">_xll.BDH($C$403,"TOTAL_ASSETS_SEQUENTIAL_GROWTH","FQ1 2015","FQ1 2015","Currency=INR","Period=FQ","BEST_FPERIOD_OVERRIDE=FQ","FILING_STATUS=OR","EQY_CONSOLIDATED=Y","Sort=A","Dates=H","DateFormat=P","Fill=—","Direction=H","UseDPDF=Y")</f>
        <v>#NAME?</v>
      </c>
      <c r="BP409" s="1" t="e">
        <f ca="1">_xll.BDH($C$403,"MODIFIED_WORKING_CPTL_SEQ_GRWTH","FQ1 2015","FQ1 2015","Currency=INR","Period=FQ","BEST_FPERIOD_OVERRIDE=FQ","FILING_STATUS=OR","EQY_CONSOLIDATED=Y","Sort=A","Dates=H","DateFormat=P","Fill=—","Direction=H","UseDPDF=Y")</f>
        <v>#NAME?</v>
      </c>
      <c r="BQ409" s="1" t="e">
        <f ca="1">_xll.BDH($C$403,"WORKING_CAPITAL_SEQ_GROWTH","FQ1 2015","FQ1 2015","Currency=INR","Period=FQ","BEST_FPERIOD_OVERRIDE=FQ","FILING_STATUS=OR","EQY_CONSOLIDATED=Y","Sort=A","Dates=H","DateFormat=P","Fill=—","Direction=H","UseDPDF=Y")</f>
        <v>#NAME?</v>
      </c>
      <c r="BR409" s="1" t="e">
        <f ca="1">_xll.BDH($C$403,"ACCOUNTS_PAYABLE_SEQ_GROWTH","FQ1 2015","FQ1 2015","Currency=INR","Period=FQ","BEST_FPERIOD_OVERRIDE=FQ","FILING_STATUS=OR","EQY_CONSOLIDATED=Y","Sort=A","Dates=H","DateFormat=P","Fill=—","Direction=H","UseDPDF=Y")</f>
        <v>#NAME?</v>
      </c>
      <c r="BS409" s="1" t="e">
        <f ca="1">_xll.BDH($C$403,"ST_DEBT_SEQUENTIAL_GROWTH","FQ1 2015","FQ1 2015","Currency=INR","Period=FQ","BEST_FPERIOD_OVERRIDE=FQ","FILING_STATUS=OR","EQY_CONSOLIDATED=Y","Sort=A","Dates=H","DateFormat=P","Fill=—","Direction=H","UseDPDF=Y")</f>
        <v>#NAME?</v>
      </c>
      <c r="BT409" s="1" t="e">
        <f ca="1">_xll.BDH($C$403,"TOTAL_DEBT_SEQUENTIAL_GROWTH","FQ1 2015","FQ1 2015","Currency=INR","Period=FQ","BEST_FPERIOD_OVERRIDE=FQ","FILING_STATUS=OR","EQY_CONSOLIDATED=Y","Sort=A","Dates=H","DateFormat=P","Fill=—","Direction=H","UseDPDF=Y")</f>
        <v>#NAME?</v>
      </c>
      <c r="BU409" s="1" t="e">
        <f ca="1">_xll.BDH($C$403,"TOTAL_EQUITY_SEQUENTIAL_GROWTH","FQ1 2015","FQ1 2015","Currency=INR","Period=FQ","BEST_FPERIOD_OVERRIDE=FQ","FILING_STATUS=OR","EQY_CONSOLIDATED=Y","Sort=A","Dates=H","DateFormat=P","Fill=—","Direction=H","UseDPDF=Y")</f>
        <v>#NAME?</v>
      </c>
      <c r="BV409" s="1" t="e">
        <f ca="1">_xll.BDH($C$403,"TOTAL_CAPITAL_SEQUENTIAL_GROWTH","FQ1 2015","FQ1 2015","Currency=INR","Period=FQ","BEST_FPERIOD_OVERRIDE=FQ","FILING_STATUS=OR","EQY_CONSOLIDATED=Y","Sort=A","Dates=H","DateFormat=P","Fill=—","Direction=H","UseDPDF=Y")</f>
        <v>#NAME?</v>
      </c>
      <c r="BW409" s="1" t="e">
        <f ca="1">_xll.BDH($C$403,"BPS_SEQUENTIAL_GROWTH","FQ1 2015","FQ1 2015","Currency=INR","Period=FQ","BEST_FPERIOD_OVERRIDE=FQ","FILING_STATUS=OR","EQY_CONSOLIDATED=Y","Sort=A","Dates=H","DateFormat=P","Fill=—","Direction=H","UseDPDF=Y")</f>
        <v>#NAME?</v>
      </c>
      <c r="BX409" s="1" t="e">
        <f ca="1">_xll.BDH($C$403,"CFO_SEQUENTIAL_GROWTH","FQ1 2015","FQ1 2015","Currency=INR","Period=FQ","BEST_FPERIOD_OVERRIDE=FQ","FILING_STATUS=OR","EQY_CONSOLIDATED=Y","Sort=A","Dates=H","DateFormat=P","Fill=—","Direction=H","UseDPDF=Y")</f>
        <v>#NAME?</v>
      </c>
      <c r="BY409" s="2" t="e">
        <f ca="1">_xll.BDH($C$403,"SHORT_AND_LONG_TERM_DEBT","FQ1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09" s="2" t="e">
        <f ca="1">_xll.BDH($C$403,"BS_ST_BORROW","FQ1 2015","FQ1 2015","Currency=INR","Period=FQ","BEST_FPERIOD_OVERRIDE=FQ","FILING_STATUS=OR","EQY_CONSOLIDATED=Y","SCALING_FORMAT=MLN","Sort=A","Dates=H","DateFormat=P","Fill=—","Direction=H","UseDPDF=Y")</f>
        <v>#NAME?</v>
      </c>
      <c r="CA409" s="2" t="e">
        <f ca="1">_xll.BDH($C$403,"BS_LT_BORROW","FQ1 2015","FQ1 2015","Currency=INR","Period=FQ","BEST_FPERIOD_OVERRIDE=FQ","FILING_STATUS=OR","EQY_CONSOLIDATED=Y","SCALING_FORMAT=MLN","Sort=A","Dates=H","DateFormat=P","Fill=—","Direction=H","UseDPDF=Y")</f>
        <v>#NAME?</v>
      </c>
      <c r="CB409" s="1" t="e">
        <f ca="1">_xll.BDH($C$403,"TOT_DEBT_TO_EBITDA","FQ1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09" s="1" t="e">
        <f ca="1">_xll.BDH($C$403,"NET_DEBT_TO_EBITDA","FQ1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09" s="1" t="e">
        <f ca="1">_xll.BDH($C$403,"TOTAL_DEBT_TO_EBIT","FQ1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09" s="1" t="e">
        <f ca="1">_xll.BDH($C$403,"NET_DEBT_TO_EBIT","FQ1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409" s="1" t="e">
        <f ca="1">_xll.BDH($C$403,"EBITDA_TO_INTEREST_EXPN","FQ1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09" s="1" t="e">
        <f ca="1">_xll.BDH($C$403,"COM_EQY_TO_TOT_ASSET","FQ1 2015","FQ1 2015","Currency=INR","Period=FQ","BEST_FPERIOD_OVERRIDE=FQ","FILING_STATUS=OR","EQY_CONSOLIDATED=Y","Sort=A","Dates=H","DateFormat=P","Fill=—","Direction=H","UseDPDF=Y")</f>
        <v>#NAME?</v>
      </c>
      <c r="CH409" s="1" t="e">
        <f ca="1">_xll.BDH($C$403,"LT_DEBT_TO_TOT_EQY","FQ1 2015","FQ1 2015","Currency=INR","Period=FQ","BEST_FPERIOD_OVERRIDE=FQ","FILING_STATUS=OR","EQY_CONSOLIDATED=Y","Sort=A","Dates=H","DateFormat=P","Fill=—","Direction=H","UseDPDF=Y")</f>
        <v>#NAME?</v>
      </c>
      <c r="CI409" s="1" t="e">
        <f ca="1">_xll.BDH($C$403,"LT_DEBT_TO_TOT_CAP","FQ1 2015","FQ1 2015","Currency=INR","Period=FQ","BEST_FPERIOD_OVERRIDE=FQ","FILING_STATUS=OR","EQY_CONSOLIDATED=Y","Sort=A","Dates=H","DateFormat=P","Fill=—","Direction=H","UseDPDF=Y")</f>
        <v>#NAME?</v>
      </c>
      <c r="CJ409" s="1" t="e">
        <f ca="1">_xll.BDH($C$403,"LT_DEBT_TO_TOT_ASSET","FQ1 2015","FQ1 2015","Currency=INR","Period=FQ","BEST_FPERIOD_OVERRIDE=FQ","FILING_STATUS=OR","EQY_CONSOLIDATED=Y","Sort=A","Dates=H","DateFormat=P","Fill=—","Direction=H","UseDPDF=Y")</f>
        <v>#NAME?</v>
      </c>
      <c r="CK409" s="1" t="e">
        <f ca="1">_xll.BDH($C$403,"TOT_DEBT_TO_TOT_EQY","FQ1 2015","FQ1 2015","Currency=INR","Period=FQ","BEST_FPERIOD_OVERRIDE=FQ","FILING_STATUS=OR","EQY_CONSOLIDATED=Y","Sort=A","Dates=H","DateFormat=P","Fill=—","Direction=H","UseDPDF=Y")</f>
        <v>#NAME?</v>
      </c>
      <c r="CL409" s="1" t="e">
        <f ca="1">_xll.BDH($C$403,"TOT_DEBT_TO_TOT_CAP","FQ1 2015","FQ1 2015","Currency=INR","Period=FQ","BEST_FPERIOD_OVERRIDE=FQ","FILING_STATUS=OR","EQY_CONSOLIDATED=Y","Sort=A","Dates=H","DateFormat=P","Fill=—","Direction=H","UseDPDF=Y")</f>
        <v>#NAME?</v>
      </c>
      <c r="CM409" s="1" t="e">
        <f ca="1">_xll.BDH($C$403,"TOT_DEBT_TO_TOT_ASSET","FQ1 2015","FQ1 2015","Currency=INR","Period=FQ","BEST_FPERIOD_OVERRIDE=FQ","FILING_STATUS=OR","EQY_CONSOLIDATED=Y","Sort=A","Dates=H","DateFormat=P","Fill=—","Direction=H","UseDPDF=Y")</f>
        <v>#NAME?</v>
      </c>
      <c r="CN409" s="1" t="e">
        <f ca="1">_xll.BDH($C$403,"NET_DEBT_TO_SHRHLDR_EQTY","FQ1 2015","FQ1 2015","Currency=INR","Period=FQ","BEST_FPERIOD_OVERRIDE=FQ","FILING_STATUS=OR","EQY_CONSOLIDATED=Y","Sort=A","Dates=H","DateFormat=P","Fill=—","Direction=H","UseDPDF=Y")</f>
        <v>#NAME?</v>
      </c>
      <c r="CO409" s="1" t="e">
        <f ca="1">_xll.BDH($C$403,"NET_DEBT_%_CAPITAL","FQ1 2015","FQ1 2015","Currency=INR","Period=FQ","BEST_FPERIOD_OVERRIDE=FQ","FILING_STATUS=OR","EQY_CONSOLIDATED=Y","Sort=A","Dates=H","DateFormat=P","Fill=—","Direction=H","UseDPDF=Y")</f>
        <v>#NAME?</v>
      </c>
      <c r="CP409" s="2" t="e">
        <f ca="1">_xll.BDH($C$403,"EBITDA","FQ1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09" s="2" t="e">
        <f ca="1">_xll.BDH($C$403,"EBITDA_AFTER_CAPEX","FQ1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09" s="2" t="e">
        <f ca="1">_xll.BDH($C$403,"IS_OPER_INC","FQ1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09" s="1" t="e">
        <f ca="1">_xll.BDH($C$403,"CASH_RATIO","FQ1 2015","FQ1 2015","Currency=INR","Period=FQ","BEST_FPERIOD_OVERRIDE=FQ","FILING_STATUS=OR","EQY_CONSOLIDATED=Y","Sort=A","Dates=H","DateFormat=P","Fill=—","Direction=H","UseDPDF=Y")</f>
        <v>#NAME?</v>
      </c>
      <c r="CT409" s="1" t="e">
        <f ca="1">_xll.BDH($C$403,"CUR_RATIO","FQ1 2015","FQ1 2015","Currency=INR","Period=FQ","BEST_FPERIOD_OVERRIDE=FQ","FILING_STATUS=OR","EQY_CONSOLIDATED=Y","Sort=A","Dates=H","DateFormat=P","Fill=—","Direction=H","UseDPDF=Y")</f>
        <v>#NAME?</v>
      </c>
      <c r="CU409" s="1" t="e">
        <f ca="1">_xll.BDH($C$403,"QUICK_RATIO","FQ1 2015","FQ1 2015","Currency=INR","Period=FQ","BEST_FPERIOD_OVERRIDE=FQ","FILING_STATUS=OR","EQY_CONSOLIDATED=Y","Sort=A","Dates=H","DateFormat=P","Fill=—","Direction=H","UseDPDF=Y")</f>
        <v>#NAME?</v>
      </c>
      <c r="CV409" s="1" t="e">
        <f ca="1">_xll.BDH($C$403,"ALTMAN_Z_SCORE","FQ1 2015","FQ1 2015","Currency=INR","Period=FQ","BEST_FPERIOD_OVERRIDE=FQ","FILING_STATUS=OR","EQY_CONSOLIDATED=Y","Sort=A","Dates=H","DateFormat=P","Fill=—","Direction=H","UseDPDF=Y")</f>
        <v>#NAME?</v>
      </c>
      <c r="CW409" s="3" t="e">
        <f ca="1">_xll.BDH($C$403,"ACCT_RCV_TURN","FQ1 2015","FQ1 2015","Currency=INR","Period=FQ","BEST_FPERIOD_OVERRIDE=FQ","FILING_STATUS=OR","EQY_CONSOLIDATED=Y","FA_ADJUSTED=GAAP","Sort=A","Dates=H","DateFormat=P","Fill=—","Direction=H","UseDPDF=Y")</f>
        <v>#NAME?</v>
      </c>
      <c r="CX409" s="1" t="e">
        <f ca="1">_xll.BDH($C$403,"ACCT_RCV_DAYS","FQ1 2015","FQ1 2015","Currency=INR","Period=FQ","BEST_FPERIOD_OVERRIDE=FQ","FILING_STATUS=OR","EQY_CONSOLIDATED=Y","FA_ADJUSTED=GAAP","Sort=A","Dates=H","DateFormat=P","Fill=—","Direction=H","UseDPDF=Y")</f>
        <v>#NAME?</v>
      </c>
      <c r="CY409" s="3" t="e">
        <f ca="1">_xll.BDH($C$403,"INVENT_TURN","FQ1 2015","FQ1 2015","Currency=INR","Period=FQ","BEST_FPERIOD_OVERRIDE=FQ","FILING_STATUS=OR","EQY_CONSOLIDATED=Y","FA_ADJUSTED=GAAP","Sort=A","Dates=H","DateFormat=P","Fill=—","Direction=H","UseDPDF=Y")</f>
        <v>#NAME?</v>
      </c>
      <c r="CZ409" s="1" t="e">
        <f ca="1">_xll.BDH($C$403,"INVENT_DAYS","FQ1 2015","FQ1 2015","Currency=INR","Period=FQ","BEST_FPERIOD_OVERRIDE=FQ","FILING_STATUS=OR","EQY_CONSOLIDATED=Y","FA_ADJUSTED=GAAP","Sort=A","Dates=H","DateFormat=P","Fill=—","Direction=H","UseDPDF=Y")</f>
        <v>#NAME?</v>
      </c>
      <c r="DA409" s="3" t="e">
        <f ca="1">_xll.BDH($C$403,"ACCOUNTS_PAYABLE_TURNOVER","FQ1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09" s="1" t="e">
        <f ca="1">_xll.BDH($C$403,"ACCOUNTS_PAYABLE_TURNOVER_DAYS","FQ1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09" s="3" t="e">
        <f ca="1">_xll.BDH($C$403,"CASH_CONVERSION_CYCLE","FQ1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09" s="3" t="e">
        <f ca="1">_xll.BDH($C$403,"INV_TO_CASH_DAYS","FQ1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409" s="4" t="e">
        <f ca="1">_xll.BDH($C$403,"BS_INVENTORIES","FQ1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409" s="2" t="e">
        <f ca="1">_xll.BDH($C$403,"INVTRY_RAW_MATERIALS","FQ1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09" s="2" t="e">
        <f ca="1">_xll.BDH($C$403,"INVTRY_IN_PROGRESS","FQ1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09" s="2" t="e">
        <f ca="1">_xll.BDH($C$403,"INVTRY_FINISHED_GOODS","FQ1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09" s="2" t="e">
        <f ca="1">_xll.BDH($C$403,"BS_OTHER_INV","FQ1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10" spans="1:113" x14ac:dyDescent="0.3">
      <c r="A410" s="6"/>
      <c r="B410" s="6"/>
      <c r="C410" s="6"/>
      <c r="D410" s="6"/>
      <c r="E410" t="s">
        <v>5</v>
      </c>
      <c r="F410" t="e">
        <f ca="1">_xll.BDH($C$403,"RETURN_COM_EQY","FQ2 2015","FQ2 2015","Currency=INR","Period=FQ","BEST_FPERIOD_OVERRIDE=FQ","FILING_STATUS=OR","EQY_CONSOLIDATED=Y","FA_ADJUSTED=GAAP","Sort=A","Dates=H","DateFormat=P","Fill=—","Direction=H","UseDPDF=Y")</f>
        <v>#NAME?</v>
      </c>
      <c r="G410" t="e">
        <f ca="1">_xll.BDH($C$403,"RETURN_ON_ASSET","FQ2 2015","FQ2 2015","Currency=INR","Period=FQ","BEST_FPERIOD_OVERRIDE=FQ","FILING_STATUS=OR","EQY_CONSOLIDATED=Y","FA_ADJUSTED=GAAP","Sort=A","Dates=H","DateFormat=P","Fill=—","Direction=H","UseDPDF=Y")</f>
        <v>#NAME?</v>
      </c>
      <c r="H410" t="e">
        <f ca="1">_xll.BDH($C$403,"RETURN_ON_CAP","FQ2 2015","FQ2 2015","Currency=INR","Period=FQ","BEST_FPERIOD_OVERRIDE=FQ","FILING_STATUS=OR","EQY_CONSOLIDATED=Y","FA_ADJUSTED=GAAP","Sort=A","Dates=H","DateFormat=P","Fill=—","Direction=H","UseDPDF=Y")</f>
        <v>#NAME?</v>
      </c>
      <c r="I410" t="e">
        <f ca="1">_xll.BDH($C$403,"RETURN_ON_INV_CAPITAL","FQ2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10" t="e">
        <f ca="1">_xll.BDH($C$403,"EBITDA_TO_REVENUE","FQ2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410" t="e">
        <f ca="1">_xll.BDH($C$403,"OPER_MARGIN","FQ2 2015","FQ2 2015","Currency=INR","Period=FQ","BEST_FPERIOD_OVERRIDE=FQ","FILING_STATUS=OR","EQY_CONSOLIDATED=Y","FA_ADJUSTED=GAAP","Sort=A","Dates=H","DateFormat=P","Fill=—","Direction=H","UseDPDF=Y")</f>
        <v>#NAME?</v>
      </c>
      <c r="L410" t="e">
        <f ca="1">_xll.BDH($C$403,"INCREMENTAL_OPERATING_MARGIN","FQ2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10" t="e">
        <f ca="1">_xll.BDH($C$403,"PRETAX_INC_TO_NET_SALES","FQ2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10" t="e">
        <f ca="1">_xll.BDH($C$403,"INC_BEF_XO_ITEMS_TO_NET_SALES","FQ2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10" t="e">
        <f ca="1">_xll.BDH($C$403,"PROF_MARGIN","FQ2 2015","FQ2 2015","Currency=INR","Period=FQ","BEST_FPERIOD_OVERRIDE=FQ","FILING_STATUS=OR","EQY_CONSOLIDATED=Y","FA_ADJUSTED=GAAP","Sort=A","Dates=H","DateFormat=P","Fill=—","Direction=H","UseDPDF=Y")</f>
        <v>#NAME?</v>
      </c>
      <c r="P410" t="e">
        <f ca="1">_xll.BDH($C$403,"NET_INCOME_TO_COMMON_MARGIN","FQ2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10" t="e">
        <f ca="1">_xll.BDH($C$403,"EFF_TAX_RATE","FQ2 2015","FQ2 2015","Currency=INR","Period=FQ","BEST_FPERIOD_OVERRIDE=FQ","FILING_STATUS=OR","EQY_CONSOLIDATED=Y","FA_ADJUSTED=GAAP","Sort=A","Dates=H","DateFormat=P","Fill=—","Direction=H","UseDPDF=Y")</f>
        <v>#NAME?</v>
      </c>
      <c r="R410" t="e">
        <f ca="1">_xll.BDH($C$403,"DVD_PAYOUT_RATIO","FQ2 2015","FQ2 2015","Currency=INR","Period=FQ","BEST_FPERIOD_OVERRIDE=FQ","FILING_STATUS=OR","EQY_CONSOLIDATED=Y","FA_ADJUSTED=GAAP","Sort=A","Dates=H","DateFormat=P","Fill=—","Direction=H","UseDPDF=Y")</f>
        <v>#NAME?</v>
      </c>
      <c r="S410" t="e">
        <f ca="1">_xll.BDH($C$403,"SUSTAIN_GROWTH_RT","FQ2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410" s="1" t="e">
        <f ca="1">_xll.BDH($C$403,"SALES_GROWTH","FQ2 2015","FQ2 2015","Currency=INR","Period=FQ","BEST_FPERIOD_OVERRIDE=FQ","FILING_STATUS=OR","EQY_CONSOLIDATED=Y","FA_ADJUSTED=GAAP","Sort=A","Dates=H","DateFormat=P","Fill=—","Direction=H","UseDPDF=Y")</f>
        <v>#NAME?</v>
      </c>
      <c r="U410" s="1" t="e">
        <f ca="1">_xll.BDH($C$403,"EBITDA_GROWTH","FQ2 2015","FQ2 2015","Currency=INR","Period=FQ","BEST_FPERIOD_OVERRIDE=FQ","FILING_STATUS=OR","EQY_CONSOLIDATED=Y","FA_ADJUSTED=GAAP","Sort=A","Dates=H","DateFormat=P","Fill=—","Direction=H","UseDPDF=Y")</f>
        <v>#NAME?</v>
      </c>
      <c r="V410" s="1" t="e">
        <f ca="1">_xll.BDH($C$403,"OPER_INC_GROWTH","FQ2 2015","FQ2 2015","Currency=INR","Period=FQ","BEST_FPERIOD_OVERRIDE=FQ","FILING_STATUS=OR","EQY_CONSOLIDATED=Y","FA_ADJUSTED=GAAP","Sort=A","Dates=H","DateFormat=P","Fill=—","Direction=H","UseDPDF=Y")</f>
        <v>#NAME?</v>
      </c>
      <c r="W410" s="1" t="e">
        <f ca="1">_xll.BDH($C$403,"EARN_FOR_COM_GROWTH","FQ2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10" s="1" t="e">
        <f ca="1">_xll.BDH($C$403,"DILUTED_EPS_AFT_XO_ITEMS_GROWTH","FQ2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10" s="1" t="e">
        <f ca="1">_xll.BDH($C$403,"DIVIDEND_PER_SHARE_1_YEAR_GROWTH","FQ2 2015","FQ2 2015","Currency=INR","Period=FQ","BEST_FPERIOD_OVERRIDE=FQ","FILING_STATUS=OR","EQY_CONSOLIDATED=Y","Sort=A","Dates=H","DateFormat=P","Fill=—","Direction=H","UseDPDF=Y")</f>
        <v>#NAME?</v>
      </c>
      <c r="Z410" s="1" t="e">
        <f ca="1">_xll.BDH($C$403,"ACCOUNTS_RECEIVABLE_GROWTH","FQ2 2015","FQ2 2015","Currency=INR","Period=FQ","BEST_FPERIOD_OVERRIDE=FQ","FILING_STATUS=OR","EQY_CONSOLIDATED=Y","Sort=A","Dates=H","DateFormat=P","Fill=—","Direction=H","UseDPDF=Y")</f>
        <v>#NAME?</v>
      </c>
      <c r="AA410" s="1" t="e">
        <f ca="1">_xll.BDH($C$403,"INVENTORY_GROWTH","FQ2 2015","FQ2 2015","Currency=INR","Period=FQ","BEST_FPERIOD_OVERRIDE=FQ","FILING_STATUS=OR","EQY_CONSOLIDATED=Y","Sort=A","Dates=H","DateFormat=P","Fill=—","Direction=H","UseDPDF=Y")</f>
        <v>#NAME?</v>
      </c>
      <c r="AB410" s="1" t="e">
        <f ca="1">_xll.BDH($C$403,"NET_FIXED_ASSETS_1_YEAR_GROWTH","FQ2 2015","FQ2 2015","Currency=INR","Period=FQ","BEST_FPERIOD_OVERRIDE=FQ","FILING_STATUS=OR","EQY_CONSOLIDATED=Y","Sort=A","Dates=H","DateFormat=P","Fill=—","Direction=H","UseDPDF=Y")</f>
        <v>#NAME?</v>
      </c>
      <c r="AC410" s="1" t="e">
        <f ca="1">_xll.BDH($C$403,"ASSET_GROWTH","FQ2 2015","FQ2 2015","Currency=INR","Period=FQ","BEST_FPERIOD_OVERRIDE=FQ","FILING_STATUS=OR","EQY_CONSOLIDATED=Y","Sort=A","Dates=H","DateFormat=P","Fill=—","Direction=H","UseDPDF=Y")</f>
        <v>#NAME?</v>
      </c>
      <c r="AD410" s="1" t="e">
        <f ca="1">_xll.BDH($C$403,"MODIFIED_WORK_CAP_GROWTH","FQ2 2015","FQ2 2015","Currency=INR","Period=FQ","BEST_FPERIOD_OVERRIDE=FQ","FILING_STATUS=OR","EQY_CONSOLIDATED=Y","Sort=A","Dates=H","DateFormat=P","Fill=—","Direction=H","UseDPDF=Y")</f>
        <v>#NAME?</v>
      </c>
      <c r="AE410" s="1" t="e">
        <f ca="1">_xll.BDH($C$403,"WORK_CAP_GROWTH","FQ2 2015","FQ2 2015","Currency=INR","Period=FQ","BEST_FPERIOD_OVERRIDE=FQ","FILING_STATUS=OR","EQY_CONSOLIDATED=Y","Sort=A","Dates=H","DateFormat=P","Fill=—","Direction=H","UseDPDF=Y")</f>
        <v>#NAME?</v>
      </c>
      <c r="AF410" s="1" t="e">
        <f ca="1">_xll.BDH($C$403,"ACCOUNTS_PAYABLE_GROWTH_1YR","FQ2 2015","FQ2 2015","Currency=INR","Period=FQ","BEST_FPERIOD_OVERRIDE=FQ","FILING_STATUS=OR","EQY_CONSOLIDATED=Y","Sort=A","Dates=H","DateFormat=P","Fill=—","Direction=H","UseDPDF=Y")</f>
        <v>#NAME?</v>
      </c>
      <c r="AG410" s="1" t="e">
        <f ca="1">_xll.BDH($C$403,"SHORT_TERM_DEBT_1_YEAR_GROWTH","FQ2 2015","FQ2 2015","Currency=INR","Period=FQ","BEST_FPERIOD_OVERRIDE=FQ","FILING_STATUS=OR","EQY_CONSOLIDATED=Y","Sort=A","Dates=H","DateFormat=P","Fill=—","Direction=H","UseDPDF=Y")</f>
        <v>#NAME?</v>
      </c>
      <c r="AH410" s="1" t="e">
        <f ca="1">_xll.BDH($C$403,"TOTAL_DEBT_1_YEAR_GROWTH","FQ2 2015","FQ2 2015","Currency=INR","Period=FQ","BEST_FPERIOD_OVERRIDE=FQ","FILING_STATUS=OR","EQY_CONSOLIDATED=Y","Sort=A","Dates=H","DateFormat=P","Fill=—","Direction=H","UseDPDF=Y")</f>
        <v>#NAME?</v>
      </c>
      <c r="AI410" s="1" t="e">
        <f ca="1">_xll.BDH($C$403,"TOTAL_EQUITY_1_YEAR_GROWTH","FQ2 2015","FQ2 2015","Currency=INR","Period=FQ","BEST_FPERIOD_OVERRIDE=FQ","FILING_STATUS=OR","EQY_CONSOLIDATED=Y","Sort=A","Dates=H","DateFormat=P","Fill=—","Direction=H","UseDPDF=Y")</f>
        <v>#NAME?</v>
      </c>
      <c r="AJ410" s="1" t="e">
        <f ca="1">_xll.BDH($C$403,"GROWTH_IN_CAP","FQ2 2015","FQ2 2015","Currency=INR","Period=FQ","BEST_FPERIOD_OVERRIDE=FQ","FILING_STATUS=OR","EQY_CONSOLIDATED=Y","Sort=A","Dates=H","DateFormat=P","Fill=—","Direction=H","UseDPDF=Y")</f>
        <v>#NAME?</v>
      </c>
      <c r="AK410" s="1" t="e">
        <f ca="1">_xll.BDH($C$403,"BVPS_GROWTH","FQ2 2015","FQ2 2015","Currency=INR","Period=FQ","BEST_FPERIOD_OVERRIDE=FQ","FILING_STATUS=OR","EQY_CONSOLIDATED=Y","Sort=A","Dates=H","DateFormat=P","Fill=—","Direction=H","UseDPDF=Y")</f>
        <v>#NAME?</v>
      </c>
      <c r="AL410" s="1" t="e">
        <f ca="1">_xll.BDH($C$403,"CASH_FLOW_GROWTH","FQ2 2015","FQ2 2015","Currency=INR","Period=FQ","BEST_FPERIOD_OVERRIDE=FQ","FILING_STATUS=OR","EQY_CONSOLIDATED=Y","Sort=A","Dates=H","DateFormat=P","Fill=—","Direction=H","UseDPDF=Y")</f>
        <v>#NAME?</v>
      </c>
      <c r="AM410" s="1" t="e">
        <f ca="1">_xll.BDH($C$403,"GEO_GROW_NET_SALES","FQ2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10" s="1" t="e">
        <f ca="1">_xll.BDH($C$403,"GEO_GROW_EBITDA","FQ2 2015","FQ2 2015","Currency=INR","Period=FQ","BEST_FPERIOD_OVERRIDE=FQ","FILING_STATUS=OR","EQY_CONSOLIDATED=Y","FA_ADJUSTED=GAAP","Sort=A","Dates=H","DateFormat=P","Fill=—","Direction=H","UseDPDF=Y")</f>
        <v>#NAME?</v>
      </c>
      <c r="AO410" s="1" t="e">
        <f ca="1">_xll.BDH($C$403,"GEO_GROW_OPER_INC","FQ2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10" s="1" t="e">
        <f ca="1">_xll.BDH($C$403,"NET_INCOME_TO_COMMON_5_YR_GROWTH","FQ2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10" s="1" t="e">
        <f ca="1">_xll.BDH($C$403,"5Y_GEO_GROWTH_DILUTED_EPS","FQ2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10" s="1" t="e">
        <f ca="1">_xll.BDH($C$403,"GEO_GROW_DVD_PER_SH","FQ2 2015","FQ2 2015","Currency=INR","Period=FQ","BEST_FPERIOD_OVERRIDE=FQ","FILING_STATUS=OR","EQY_CONSOLIDATED=Y","Sort=A","Dates=H","DateFormat=P","Fill=—","Direction=H","UseDPDF=Y")</f>
        <v>#NAME?</v>
      </c>
      <c r="AS410" s="1" t="e">
        <f ca="1">_xll.BDH($C$403,"ACCOUNTS_RECEIVABLE_5_YR_GROWTH","FQ2 2015","FQ2 2015","Currency=INR","Period=FQ","BEST_FPERIOD_OVERRIDE=FQ","FILING_STATUS=OR","EQY_CONSOLIDATED=Y","Sort=A","Dates=H","DateFormat=P","Fill=—","Direction=H","UseDPDF=Y")</f>
        <v>#NAME?</v>
      </c>
      <c r="AT410" s="1" t="e">
        <f ca="1">_xll.BDH($C$403,"INVENTORY_5_YEAR_GROWTH","FQ2 2015","FQ2 2015","Currency=INR","Period=FQ","BEST_FPERIOD_OVERRIDE=FQ","FILING_STATUS=OR","EQY_CONSOLIDATED=Y","Sort=A","Dates=H","DateFormat=P","Fill=—","Direction=H","UseDPDF=Y")</f>
        <v>#NAME?</v>
      </c>
      <c r="AU410" s="1" t="e">
        <f ca="1">_xll.BDH($C$403,"NET_FIXED_ASSETS_5_YEAR_GROWTH","FQ2 2015","FQ2 2015","Currency=INR","Period=FQ","BEST_FPERIOD_OVERRIDE=FQ","FILING_STATUS=OR","EQY_CONSOLIDATED=Y","Sort=A","Dates=H","DateFormat=P","Fill=—","Direction=H","UseDPDF=Y")</f>
        <v>#NAME?</v>
      </c>
      <c r="AV410" s="1" t="e">
        <f ca="1">_xll.BDH($C$403,"GEO_GROW_TOT_ASSET","FQ2 2015","FQ2 2015","Currency=INR","Period=FQ","BEST_FPERIOD_OVERRIDE=FQ","FILING_STATUS=OR","EQY_CONSOLIDATED=Y","Sort=A","Dates=H","DateFormat=P","Fill=—","Direction=H","UseDPDF=Y")</f>
        <v>#NAME?</v>
      </c>
      <c r="AW410" s="1" t="e">
        <f ca="1">_xll.BDH($C$403,"MODIFIED_WORKING_CPTL_5YR_GRWTH","FQ2 2015","FQ2 2015","Currency=INR","Period=FQ","BEST_FPERIOD_OVERRIDE=FQ","FILING_STATUS=OR","EQY_CONSOLIDATED=Y","Sort=A","Dates=H","DateFormat=P","Fill=—","Direction=H","UseDPDF=Y")</f>
        <v>#NAME?</v>
      </c>
      <c r="AX410" s="1" t="e">
        <f ca="1">_xll.BDH($C$403,"WORKING_CAPITAL_5_YEAR_GROWTH","FQ2 2015","FQ2 2015","Currency=INR","Period=FQ","BEST_FPERIOD_OVERRIDE=FQ","FILING_STATUS=OR","EQY_CONSOLIDATED=Y","Sort=A","Dates=H","DateFormat=P","Fill=—","Direction=H","UseDPDF=Y")</f>
        <v>#NAME?</v>
      </c>
      <c r="AY410" s="1" t="e">
        <f ca="1">_xll.BDH($C$403,"ACCOUNTS_PAYABLE_5_YEAR_GROWTH","FQ2 2015","FQ2 2015","Currency=INR","Period=FQ","BEST_FPERIOD_OVERRIDE=FQ","FILING_STATUS=OR","EQY_CONSOLIDATED=Y","Sort=A","Dates=H","DateFormat=P","Fill=—","Direction=H","UseDPDF=Y")</f>
        <v>#NAME?</v>
      </c>
      <c r="AZ410" s="1" t="e">
        <f ca="1">_xll.BDH($C$403,"SHORT_TERM_DEBT_5_YEAR_GROWTH","FQ2 2015","FQ2 2015","Currency=INR","Period=FQ","BEST_FPERIOD_OVERRIDE=FQ","FILING_STATUS=OR","EQY_CONSOLIDATED=Y","Sort=A","Dates=H","DateFormat=P","Fill=—","Direction=H","UseDPDF=Y")</f>
        <v>#NAME?</v>
      </c>
      <c r="BA410" s="1" t="e">
        <f ca="1">_xll.BDH($C$403,"TOTAL_DEBT_5_YEAR_GROWTH","FQ2 2015","FQ2 2015","Currency=INR","Period=FQ","BEST_FPERIOD_OVERRIDE=FQ","FILING_STATUS=OR","EQY_CONSOLIDATED=Y","Sort=A","Dates=H","DateFormat=P","Fill=—","Direction=H","UseDPDF=Y")</f>
        <v>#NAME?</v>
      </c>
      <c r="BB410" s="1" t="e">
        <f ca="1">_xll.BDH($C$403,"GEO_GROW_TOT_SHRHLDR_EQY","FQ2 2015","FQ2 2015","Currency=INR","Period=FQ","BEST_FPERIOD_OVERRIDE=FQ","FILING_STATUS=OR","EQY_CONSOLIDATED=Y","Sort=A","Dates=H","DateFormat=P","Fill=—","Direction=H","UseDPDF=Y")</f>
        <v>#NAME?</v>
      </c>
      <c r="BC410" s="1" t="e">
        <f ca="1">_xll.BDH($C$403,"TOTAL_CAPITAL_5_YEAR_GROWTH","FQ2 2015","FQ2 2015","Currency=INR","Period=FQ","BEST_FPERIOD_OVERRIDE=FQ","FILING_STATUS=OR","EQY_CONSOLIDATED=Y","Sort=A","Dates=H","DateFormat=P","Fill=—","Direction=H","UseDPDF=Y")</f>
        <v>#NAME?</v>
      </c>
      <c r="BD410" s="1" t="e">
        <f ca="1">_xll.BDH($C$403,"GEO_GROW_BOOK_VAL","FQ2 2015","FQ2 2015","Currency=INR","Period=FQ","BEST_FPERIOD_OVERRIDE=FQ","FILING_STATUS=OR","EQY_CONSOLIDATED=Y","Sort=A","Dates=H","DateFormat=P","Fill=—","Direction=H","UseDPDF=Y")</f>
        <v>#NAME?</v>
      </c>
      <c r="BE410" s="1" t="e">
        <f ca="1">_xll.BDH($C$403,"GEO_GROW_CASH_OPER_ACT","FQ2 2015","FQ2 2015","Currency=INR","Period=FQ","BEST_FPERIOD_OVERRIDE=FQ","FILING_STATUS=OR","EQY_CONSOLIDATED=Y","Sort=A","Dates=H","DateFormat=P","Fill=—","Direction=H","UseDPDF=Y")</f>
        <v>#NAME?</v>
      </c>
      <c r="BF410" s="1" t="e">
        <f ca="1">_xll.BDH($C$403,"REVENUE_SEQUENTIAL_GROWTH","FQ2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10" s="1" t="e">
        <f ca="1">_xll.BDH($C$403,"EBITDA_SEQUENTIAL_GROWTH","FQ2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10" s="1" t="e">
        <f ca="1">_xll.BDH($C$403,"OPERATING_INCOME_SEQ_GROWTH","FQ2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10" s="1" t="e">
        <f ca="1">_xll.BDH($C$403,"NET_INCOME_TO_COMMON_SEQ_GROWTH","FQ2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10" s="1" t="e">
        <f ca="1">_xll.BDH($C$403,"EPS_DILUTED_SEQUENTIAL_GROWTH","FQ2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10" s="1" t="e">
        <f ca="1">_xll.BDH($C$403,"DPS_SEQUENTIAL_GROWTH","FQ2 2015","FQ2 2015","Currency=INR","Period=FQ","BEST_FPERIOD_OVERRIDE=FQ","FILING_STATUS=OR","EQY_CONSOLIDATED=Y","Sort=A","Dates=H","DateFormat=P","Fill=—","Direction=H","UseDPDF=Y")</f>
        <v>#NAME?</v>
      </c>
      <c r="BL410" s="1" t="e">
        <f ca="1">_xll.BDH($C$403,"ACCOUNTS_RECEIVABLE_SEQ_GROWTH","FQ2 2015","FQ2 2015","Currency=INR","Period=FQ","BEST_FPERIOD_OVERRIDE=FQ","FILING_STATUS=OR","EQY_CONSOLIDATED=Y","Sort=A","Dates=H","DateFormat=P","Fill=—","Direction=H","UseDPDF=Y")</f>
        <v>#NAME?</v>
      </c>
      <c r="BM410" s="1" t="e">
        <f ca="1">_xll.BDH($C$403,"INVENTORY_SEQUENTIAL_GROWTH","FQ2 2015","FQ2 2015","Currency=INR","Period=FQ","BEST_FPERIOD_OVERRIDE=FQ","FILING_STATUS=OR","EQY_CONSOLIDATED=Y","Sort=A","Dates=H","DateFormat=P","Fill=—","Direction=H","UseDPDF=Y")</f>
        <v>#NAME?</v>
      </c>
      <c r="BN410" s="1" t="e">
        <f ca="1">_xll.BDH($C$403,"FIXED_ASSETS_SEQUENTIAL_GROWTH","FQ2 2015","FQ2 2015","Currency=INR","Period=FQ","BEST_FPERIOD_OVERRIDE=FQ","FILING_STATUS=OR","EQY_CONSOLIDATED=Y","Sort=A","Dates=H","DateFormat=P","Fill=—","Direction=H","UseDPDF=Y")</f>
        <v>#NAME?</v>
      </c>
      <c r="BO410" s="1" t="e">
        <f ca="1">_xll.BDH($C$403,"TOTAL_ASSETS_SEQUENTIAL_GROWTH","FQ2 2015","FQ2 2015","Currency=INR","Period=FQ","BEST_FPERIOD_OVERRIDE=FQ","FILING_STATUS=OR","EQY_CONSOLIDATED=Y","Sort=A","Dates=H","DateFormat=P","Fill=—","Direction=H","UseDPDF=Y")</f>
        <v>#NAME?</v>
      </c>
      <c r="BP410" s="1" t="e">
        <f ca="1">_xll.BDH($C$403,"MODIFIED_WORKING_CPTL_SEQ_GRWTH","FQ2 2015","FQ2 2015","Currency=INR","Period=FQ","BEST_FPERIOD_OVERRIDE=FQ","FILING_STATUS=OR","EQY_CONSOLIDATED=Y","Sort=A","Dates=H","DateFormat=P","Fill=—","Direction=H","UseDPDF=Y")</f>
        <v>#NAME?</v>
      </c>
      <c r="BQ410" s="1" t="e">
        <f ca="1">_xll.BDH($C$403,"WORKING_CAPITAL_SEQ_GROWTH","FQ2 2015","FQ2 2015","Currency=INR","Period=FQ","BEST_FPERIOD_OVERRIDE=FQ","FILING_STATUS=OR","EQY_CONSOLIDATED=Y","Sort=A","Dates=H","DateFormat=P","Fill=—","Direction=H","UseDPDF=Y")</f>
        <v>#NAME?</v>
      </c>
      <c r="BR410" s="1" t="e">
        <f ca="1">_xll.BDH($C$403,"ACCOUNTS_PAYABLE_SEQ_GROWTH","FQ2 2015","FQ2 2015","Currency=INR","Period=FQ","BEST_FPERIOD_OVERRIDE=FQ","FILING_STATUS=OR","EQY_CONSOLIDATED=Y","Sort=A","Dates=H","DateFormat=P","Fill=—","Direction=H","UseDPDF=Y")</f>
        <v>#NAME?</v>
      </c>
      <c r="BS410" s="1" t="e">
        <f ca="1">_xll.BDH($C$403,"ST_DEBT_SEQUENTIAL_GROWTH","FQ2 2015","FQ2 2015","Currency=INR","Period=FQ","BEST_FPERIOD_OVERRIDE=FQ","FILING_STATUS=OR","EQY_CONSOLIDATED=Y","Sort=A","Dates=H","DateFormat=P","Fill=—","Direction=H","UseDPDF=Y")</f>
        <v>#NAME?</v>
      </c>
      <c r="BT410" s="1" t="e">
        <f ca="1">_xll.BDH($C$403,"TOTAL_DEBT_SEQUENTIAL_GROWTH","FQ2 2015","FQ2 2015","Currency=INR","Period=FQ","BEST_FPERIOD_OVERRIDE=FQ","FILING_STATUS=OR","EQY_CONSOLIDATED=Y","Sort=A","Dates=H","DateFormat=P","Fill=—","Direction=H","UseDPDF=Y")</f>
        <v>#NAME?</v>
      </c>
      <c r="BU410" s="1" t="e">
        <f ca="1">_xll.BDH($C$403,"TOTAL_EQUITY_SEQUENTIAL_GROWTH","FQ2 2015","FQ2 2015","Currency=INR","Period=FQ","BEST_FPERIOD_OVERRIDE=FQ","FILING_STATUS=OR","EQY_CONSOLIDATED=Y","Sort=A","Dates=H","DateFormat=P","Fill=—","Direction=H","UseDPDF=Y")</f>
        <v>#NAME?</v>
      </c>
      <c r="BV410" s="1" t="e">
        <f ca="1">_xll.BDH($C$403,"TOTAL_CAPITAL_SEQUENTIAL_GROWTH","FQ2 2015","FQ2 2015","Currency=INR","Period=FQ","BEST_FPERIOD_OVERRIDE=FQ","FILING_STATUS=OR","EQY_CONSOLIDATED=Y","Sort=A","Dates=H","DateFormat=P","Fill=—","Direction=H","UseDPDF=Y")</f>
        <v>#NAME?</v>
      </c>
      <c r="BW410" s="1" t="e">
        <f ca="1">_xll.BDH($C$403,"BPS_SEQUENTIAL_GROWTH","FQ2 2015","FQ2 2015","Currency=INR","Period=FQ","BEST_FPERIOD_OVERRIDE=FQ","FILING_STATUS=OR","EQY_CONSOLIDATED=Y","Sort=A","Dates=H","DateFormat=P","Fill=—","Direction=H","UseDPDF=Y")</f>
        <v>#NAME?</v>
      </c>
      <c r="BX410" s="1" t="e">
        <f ca="1">_xll.BDH($C$403,"CFO_SEQUENTIAL_GROWTH","FQ2 2015","FQ2 2015","Currency=INR","Period=FQ","BEST_FPERIOD_OVERRIDE=FQ","FILING_STATUS=OR","EQY_CONSOLIDATED=Y","Sort=A","Dates=H","DateFormat=P","Fill=—","Direction=H","UseDPDF=Y")</f>
        <v>#NAME?</v>
      </c>
      <c r="BY410" s="2" t="e">
        <f ca="1">_xll.BDH($C$403,"SHORT_AND_LONG_TERM_DEBT","FQ2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10" s="2" t="e">
        <f ca="1">_xll.BDH($C$403,"BS_ST_BORROW","FQ2 2015","FQ2 2015","Currency=INR","Period=FQ","BEST_FPERIOD_OVERRIDE=FQ","FILING_STATUS=OR","EQY_CONSOLIDATED=Y","SCALING_FORMAT=MLN","Sort=A","Dates=H","DateFormat=P","Fill=—","Direction=H","UseDPDF=Y")</f>
        <v>#NAME?</v>
      </c>
      <c r="CA410" s="2" t="e">
        <f ca="1">_xll.BDH($C$403,"BS_LT_BORROW","FQ2 2015","FQ2 2015","Currency=INR","Period=FQ","BEST_FPERIOD_OVERRIDE=FQ","FILING_STATUS=OR","EQY_CONSOLIDATED=Y","SCALING_FORMAT=MLN","Sort=A","Dates=H","DateFormat=P","Fill=—","Direction=H","UseDPDF=Y")</f>
        <v>#NAME?</v>
      </c>
      <c r="CB410" s="1" t="e">
        <f ca="1">_xll.BDH($C$403,"TOT_DEBT_TO_EBITDA","FQ2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10" s="1" t="e">
        <f ca="1">_xll.BDH($C$403,"NET_DEBT_TO_EBITDA","FQ2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10" s="1" t="e">
        <f ca="1">_xll.BDH($C$403,"TOTAL_DEBT_TO_EBIT","FQ2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10" s="1" t="e">
        <f ca="1">_xll.BDH($C$403,"NET_DEBT_TO_EBIT","FQ2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410" s="1" t="e">
        <f ca="1">_xll.BDH($C$403,"EBITDA_TO_INTEREST_EXPN","FQ2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10" s="1" t="e">
        <f ca="1">_xll.BDH($C$403,"COM_EQY_TO_TOT_ASSET","FQ2 2015","FQ2 2015","Currency=INR","Period=FQ","BEST_FPERIOD_OVERRIDE=FQ","FILING_STATUS=OR","EQY_CONSOLIDATED=Y","Sort=A","Dates=H","DateFormat=P","Fill=—","Direction=H","UseDPDF=Y")</f>
        <v>#NAME?</v>
      </c>
      <c r="CH410" s="1" t="e">
        <f ca="1">_xll.BDH($C$403,"LT_DEBT_TO_TOT_EQY","FQ2 2015","FQ2 2015","Currency=INR","Period=FQ","BEST_FPERIOD_OVERRIDE=FQ","FILING_STATUS=OR","EQY_CONSOLIDATED=Y","Sort=A","Dates=H","DateFormat=P","Fill=—","Direction=H","UseDPDF=Y")</f>
        <v>#NAME?</v>
      </c>
      <c r="CI410" s="1" t="e">
        <f ca="1">_xll.BDH($C$403,"LT_DEBT_TO_TOT_CAP","FQ2 2015","FQ2 2015","Currency=INR","Period=FQ","BEST_FPERIOD_OVERRIDE=FQ","FILING_STATUS=OR","EQY_CONSOLIDATED=Y","Sort=A","Dates=H","DateFormat=P","Fill=—","Direction=H","UseDPDF=Y")</f>
        <v>#NAME?</v>
      </c>
      <c r="CJ410" s="1" t="e">
        <f ca="1">_xll.BDH($C$403,"LT_DEBT_TO_TOT_ASSET","FQ2 2015","FQ2 2015","Currency=INR","Period=FQ","BEST_FPERIOD_OVERRIDE=FQ","FILING_STATUS=OR","EQY_CONSOLIDATED=Y","Sort=A","Dates=H","DateFormat=P","Fill=—","Direction=H","UseDPDF=Y")</f>
        <v>#NAME?</v>
      </c>
      <c r="CK410" s="1" t="e">
        <f ca="1">_xll.BDH($C$403,"TOT_DEBT_TO_TOT_EQY","FQ2 2015","FQ2 2015","Currency=INR","Period=FQ","BEST_FPERIOD_OVERRIDE=FQ","FILING_STATUS=OR","EQY_CONSOLIDATED=Y","Sort=A","Dates=H","DateFormat=P","Fill=—","Direction=H","UseDPDF=Y")</f>
        <v>#NAME?</v>
      </c>
      <c r="CL410" s="1" t="e">
        <f ca="1">_xll.BDH($C$403,"TOT_DEBT_TO_TOT_CAP","FQ2 2015","FQ2 2015","Currency=INR","Period=FQ","BEST_FPERIOD_OVERRIDE=FQ","FILING_STATUS=OR","EQY_CONSOLIDATED=Y","Sort=A","Dates=H","DateFormat=P","Fill=—","Direction=H","UseDPDF=Y")</f>
        <v>#NAME?</v>
      </c>
      <c r="CM410" s="1" t="e">
        <f ca="1">_xll.BDH($C$403,"TOT_DEBT_TO_TOT_ASSET","FQ2 2015","FQ2 2015","Currency=INR","Period=FQ","BEST_FPERIOD_OVERRIDE=FQ","FILING_STATUS=OR","EQY_CONSOLIDATED=Y","Sort=A","Dates=H","DateFormat=P","Fill=—","Direction=H","UseDPDF=Y")</f>
        <v>#NAME?</v>
      </c>
      <c r="CN410" s="1" t="e">
        <f ca="1">_xll.BDH($C$403,"NET_DEBT_TO_SHRHLDR_EQTY","FQ2 2015","FQ2 2015","Currency=INR","Period=FQ","BEST_FPERIOD_OVERRIDE=FQ","FILING_STATUS=OR","EQY_CONSOLIDATED=Y","Sort=A","Dates=H","DateFormat=P","Fill=—","Direction=H","UseDPDF=Y")</f>
        <v>#NAME?</v>
      </c>
      <c r="CO410" s="1" t="e">
        <f ca="1">_xll.BDH($C$403,"NET_DEBT_%_CAPITAL","FQ2 2015","FQ2 2015","Currency=INR","Period=FQ","BEST_FPERIOD_OVERRIDE=FQ","FILING_STATUS=OR","EQY_CONSOLIDATED=Y","Sort=A","Dates=H","DateFormat=P","Fill=—","Direction=H","UseDPDF=Y")</f>
        <v>#NAME?</v>
      </c>
      <c r="CP410" s="2" t="e">
        <f ca="1">_xll.BDH($C$403,"EBITDA","FQ2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10" s="2" t="e">
        <f ca="1">_xll.BDH($C$403,"EBITDA_AFTER_CAPEX","FQ2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10" s="2" t="e">
        <f ca="1">_xll.BDH($C$403,"IS_OPER_INC","FQ2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10" s="1" t="e">
        <f ca="1">_xll.BDH($C$403,"CASH_RATIO","FQ2 2015","FQ2 2015","Currency=INR","Period=FQ","BEST_FPERIOD_OVERRIDE=FQ","FILING_STATUS=OR","EQY_CONSOLIDATED=Y","Sort=A","Dates=H","DateFormat=P","Fill=—","Direction=H","UseDPDF=Y")</f>
        <v>#NAME?</v>
      </c>
      <c r="CT410" s="1" t="e">
        <f ca="1">_xll.BDH($C$403,"CUR_RATIO","FQ2 2015","FQ2 2015","Currency=INR","Period=FQ","BEST_FPERIOD_OVERRIDE=FQ","FILING_STATUS=OR","EQY_CONSOLIDATED=Y","Sort=A","Dates=H","DateFormat=P","Fill=—","Direction=H","UseDPDF=Y")</f>
        <v>#NAME?</v>
      </c>
      <c r="CU410" s="1" t="e">
        <f ca="1">_xll.BDH($C$403,"QUICK_RATIO","FQ2 2015","FQ2 2015","Currency=INR","Period=FQ","BEST_FPERIOD_OVERRIDE=FQ","FILING_STATUS=OR","EQY_CONSOLIDATED=Y","Sort=A","Dates=H","DateFormat=P","Fill=—","Direction=H","UseDPDF=Y")</f>
        <v>#NAME?</v>
      </c>
      <c r="CV410" s="1" t="e">
        <f ca="1">_xll.BDH($C$403,"ALTMAN_Z_SCORE","FQ2 2015","FQ2 2015","Currency=INR","Period=FQ","BEST_FPERIOD_OVERRIDE=FQ","FILING_STATUS=OR","EQY_CONSOLIDATED=Y","Sort=A","Dates=H","DateFormat=P","Fill=—","Direction=H","UseDPDF=Y")</f>
        <v>#NAME?</v>
      </c>
      <c r="CW410" s="3" t="e">
        <f ca="1">_xll.BDH($C$403,"ACCT_RCV_TURN","FQ2 2015","FQ2 2015","Currency=INR","Period=FQ","BEST_FPERIOD_OVERRIDE=FQ","FILING_STATUS=OR","EQY_CONSOLIDATED=Y","FA_ADJUSTED=GAAP","Sort=A","Dates=H","DateFormat=P","Fill=—","Direction=H","UseDPDF=Y")</f>
        <v>#NAME?</v>
      </c>
      <c r="CX410" s="1" t="e">
        <f ca="1">_xll.BDH($C$403,"ACCT_RCV_DAYS","FQ2 2015","FQ2 2015","Currency=INR","Period=FQ","BEST_FPERIOD_OVERRIDE=FQ","FILING_STATUS=OR","EQY_CONSOLIDATED=Y","FA_ADJUSTED=GAAP","Sort=A","Dates=H","DateFormat=P","Fill=—","Direction=H","UseDPDF=Y")</f>
        <v>#NAME?</v>
      </c>
      <c r="CY410" s="3" t="e">
        <f ca="1">_xll.BDH($C$403,"INVENT_TURN","FQ2 2015","FQ2 2015","Currency=INR","Period=FQ","BEST_FPERIOD_OVERRIDE=FQ","FILING_STATUS=OR","EQY_CONSOLIDATED=Y","FA_ADJUSTED=GAAP","Sort=A","Dates=H","DateFormat=P","Fill=—","Direction=H","UseDPDF=Y")</f>
        <v>#NAME?</v>
      </c>
      <c r="CZ410" s="1" t="e">
        <f ca="1">_xll.BDH($C$403,"INVENT_DAYS","FQ2 2015","FQ2 2015","Currency=INR","Period=FQ","BEST_FPERIOD_OVERRIDE=FQ","FILING_STATUS=OR","EQY_CONSOLIDATED=Y","FA_ADJUSTED=GAAP","Sort=A","Dates=H","DateFormat=P","Fill=—","Direction=H","UseDPDF=Y")</f>
        <v>#NAME?</v>
      </c>
      <c r="DA410" s="3" t="e">
        <f ca="1">_xll.BDH($C$403,"ACCOUNTS_PAYABLE_TURNOVER","FQ2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10" s="1" t="e">
        <f ca="1">_xll.BDH($C$403,"ACCOUNTS_PAYABLE_TURNOVER_DAYS","FQ2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10" s="3" t="e">
        <f ca="1">_xll.BDH($C$403,"CASH_CONVERSION_CYCLE","FQ2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10" s="3" t="e">
        <f ca="1">_xll.BDH($C$403,"INV_TO_CASH_DAYS","FQ2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410" s="4" t="e">
        <f ca="1">_xll.BDH($C$403,"BS_INVENTORIES","FQ2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410" s="2" t="e">
        <f ca="1">_xll.BDH($C$403,"INVTRY_RAW_MATERIALS","FQ2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10" s="2" t="e">
        <f ca="1">_xll.BDH($C$403,"INVTRY_IN_PROGRESS","FQ2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10" s="2" t="e">
        <f ca="1">_xll.BDH($C$403,"INVTRY_FINISHED_GOODS","FQ2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10" s="2" t="e">
        <f ca="1">_xll.BDH($C$403,"BS_OTHER_INV","FQ2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11" spans="1:113" x14ac:dyDescent="0.3">
      <c r="A411" s="6"/>
      <c r="B411" s="6"/>
      <c r="C411" s="6"/>
      <c r="D411" s="6"/>
      <c r="E411" t="s">
        <v>6</v>
      </c>
      <c r="F411" t="e">
        <f ca="1">_xll.BDH($C$403,"RETURN_COM_EQY","FQ3 2015","FQ3 2015","Currency=INR","Period=FQ","BEST_FPERIOD_OVERRIDE=FQ","FILING_STATUS=OR","EQY_CONSOLIDATED=Y","FA_ADJUSTED=GAAP","Sort=A","Dates=H","DateFormat=P","Fill=—","Direction=H","UseDPDF=Y")</f>
        <v>#NAME?</v>
      </c>
      <c r="G411" t="e">
        <f ca="1">_xll.BDH($C$403,"RETURN_ON_ASSET","FQ3 2015","FQ3 2015","Currency=INR","Period=FQ","BEST_FPERIOD_OVERRIDE=FQ","FILING_STATUS=OR","EQY_CONSOLIDATED=Y","FA_ADJUSTED=GAAP","Sort=A","Dates=H","DateFormat=P","Fill=—","Direction=H","UseDPDF=Y")</f>
        <v>#NAME?</v>
      </c>
      <c r="H411" t="e">
        <f ca="1">_xll.BDH($C$403,"RETURN_ON_CAP","FQ3 2015","FQ3 2015","Currency=INR","Period=FQ","BEST_FPERIOD_OVERRIDE=FQ","FILING_STATUS=OR","EQY_CONSOLIDATED=Y","FA_ADJUSTED=GAAP","Sort=A","Dates=H","DateFormat=P","Fill=—","Direction=H","UseDPDF=Y")</f>
        <v>#NAME?</v>
      </c>
      <c r="I411" t="e">
        <f ca="1">_xll.BDH($C$403,"RETURN_ON_INV_CAPITAL","FQ3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11" t="e">
        <f ca="1">_xll.BDH($C$403,"EBITDA_TO_REVENUE","FQ3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411" t="e">
        <f ca="1">_xll.BDH($C$403,"OPER_MARGIN","FQ3 2015","FQ3 2015","Currency=INR","Period=FQ","BEST_FPERIOD_OVERRIDE=FQ","FILING_STATUS=OR","EQY_CONSOLIDATED=Y","FA_ADJUSTED=GAAP","Sort=A","Dates=H","DateFormat=P","Fill=—","Direction=H","UseDPDF=Y")</f>
        <v>#NAME?</v>
      </c>
      <c r="L411" t="e">
        <f ca="1">_xll.BDH($C$403,"INCREMENTAL_OPERATING_MARGIN","FQ3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11" t="e">
        <f ca="1">_xll.BDH($C$403,"PRETAX_INC_TO_NET_SALES","FQ3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11" t="e">
        <f ca="1">_xll.BDH($C$403,"INC_BEF_XO_ITEMS_TO_NET_SALES","FQ3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11" t="e">
        <f ca="1">_xll.BDH($C$403,"PROF_MARGIN","FQ3 2015","FQ3 2015","Currency=INR","Period=FQ","BEST_FPERIOD_OVERRIDE=FQ","FILING_STATUS=OR","EQY_CONSOLIDATED=Y","FA_ADJUSTED=GAAP","Sort=A","Dates=H","DateFormat=P","Fill=—","Direction=H","UseDPDF=Y")</f>
        <v>#NAME?</v>
      </c>
      <c r="P411" t="e">
        <f ca="1">_xll.BDH($C$403,"NET_INCOME_TO_COMMON_MARGIN","FQ3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11" t="e">
        <f ca="1">_xll.BDH($C$403,"EFF_TAX_RATE","FQ3 2015","FQ3 2015","Currency=INR","Period=FQ","BEST_FPERIOD_OVERRIDE=FQ","FILING_STATUS=OR","EQY_CONSOLIDATED=Y","FA_ADJUSTED=GAAP","Sort=A","Dates=H","DateFormat=P","Fill=—","Direction=H","UseDPDF=Y")</f>
        <v>#NAME?</v>
      </c>
      <c r="R411" t="e">
        <f ca="1">_xll.BDH($C$403,"DVD_PAYOUT_RATIO","FQ3 2015","FQ3 2015","Currency=INR","Period=FQ","BEST_FPERIOD_OVERRIDE=FQ","FILING_STATUS=OR","EQY_CONSOLIDATED=Y","FA_ADJUSTED=GAAP","Sort=A","Dates=H","DateFormat=P","Fill=—","Direction=H","UseDPDF=Y")</f>
        <v>#NAME?</v>
      </c>
      <c r="S411" t="e">
        <f ca="1">_xll.BDH($C$403,"SUSTAIN_GROWTH_RT","FQ3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411" s="1" t="e">
        <f ca="1">_xll.BDH($C$403,"SALES_GROWTH","FQ3 2015","FQ3 2015","Currency=INR","Period=FQ","BEST_FPERIOD_OVERRIDE=FQ","FILING_STATUS=OR","EQY_CONSOLIDATED=Y","FA_ADJUSTED=GAAP","Sort=A","Dates=H","DateFormat=P","Fill=—","Direction=H","UseDPDF=Y")</f>
        <v>#NAME?</v>
      </c>
      <c r="U411" s="1" t="e">
        <f ca="1">_xll.BDH($C$403,"EBITDA_GROWTH","FQ3 2015","FQ3 2015","Currency=INR","Period=FQ","BEST_FPERIOD_OVERRIDE=FQ","FILING_STATUS=OR","EQY_CONSOLIDATED=Y","FA_ADJUSTED=GAAP","Sort=A","Dates=H","DateFormat=P","Fill=—","Direction=H","UseDPDF=Y")</f>
        <v>#NAME?</v>
      </c>
      <c r="V411" s="1" t="e">
        <f ca="1">_xll.BDH($C$403,"OPER_INC_GROWTH","FQ3 2015","FQ3 2015","Currency=INR","Period=FQ","BEST_FPERIOD_OVERRIDE=FQ","FILING_STATUS=OR","EQY_CONSOLIDATED=Y","FA_ADJUSTED=GAAP","Sort=A","Dates=H","DateFormat=P","Fill=—","Direction=H","UseDPDF=Y")</f>
        <v>#NAME?</v>
      </c>
      <c r="W411" s="1" t="e">
        <f ca="1">_xll.BDH($C$403,"EARN_FOR_COM_GROWTH","FQ3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11" s="1" t="e">
        <f ca="1">_xll.BDH($C$403,"DILUTED_EPS_AFT_XO_ITEMS_GROWTH","FQ3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11" s="1" t="e">
        <f ca="1">_xll.BDH($C$403,"DIVIDEND_PER_SHARE_1_YEAR_GROWTH","FQ3 2015","FQ3 2015","Currency=INR","Period=FQ","BEST_FPERIOD_OVERRIDE=FQ","FILING_STATUS=OR","EQY_CONSOLIDATED=Y","Sort=A","Dates=H","DateFormat=P","Fill=—","Direction=H","UseDPDF=Y")</f>
        <v>#NAME?</v>
      </c>
      <c r="Z411" s="1" t="e">
        <f ca="1">_xll.BDH($C$403,"ACCOUNTS_RECEIVABLE_GROWTH","FQ3 2015","FQ3 2015","Currency=INR","Period=FQ","BEST_FPERIOD_OVERRIDE=FQ","FILING_STATUS=OR","EQY_CONSOLIDATED=Y","Sort=A","Dates=H","DateFormat=P","Fill=—","Direction=H","UseDPDF=Y")</f>
        <v>#NAME?</v>
      </c>
      <c r="AA411" s="1" t="e">
        <f ca="1">_xll.BDH($C$403,"INVENTORY_GROWTH","FQ3 2015","FQ3 2015","Currency=INR","Period=FQ","BEST_FPERIOD_OVERRIDE=FQ","FILING_STATUS=OR","EQY_CONSOLIDATED=Y","Sort=A","Dates=H","DateFormat=P","Fill=—","Direction=H","UseDPDF=Y")</f>
        <v>#NAME?</v>
      </c>
      <c r="AB411" s="1" t="e">
        <f ca="1">_xll.BDH($C$403,"NET_FIXED_ASSETS_1_YEAR_GROWTH","FQ3 2015","FQ3 2015","Currency=INR","Period=FQ","BEST_FPERIOD_OVERRIDE=FQ","FILING_STATUS=OR","EQY_CONSOLIDATED=Y","Sort=A","Dates=H","DateFormat=P","Fill=—","Direction=H","UseDPDF=Y")</f>
        <v>#NAME?</v>
      </c>
      <c r="AC411" s="1" t="e">
        <f ca="1">_xll.BDH($C$403,"ASSET_GROWTH","FQ3 2015","FQ3 2015","Currency=INR","Period=FQ","BEST_FPERIOD_OVERRIDE=FQ","FILING_STATUS=OR","EQY_CONSOLIDATED=Y","Sort=A","Dates=H","DateFormat=P","Fill=—","Direction=H","UseDPDF=Y")</f>
        <v>#NAME?</v>
      </c>
      <c r="AD411" s="1" t="e">
        <f ca="1">_xll.BDH($C$403,"MODIFIED_WORK_CAP_GROWTH","FQ3 2015","FQ3 2015","Currency=INR","Period=FQ","BEST_FPERIOD_OVERRIDE=FQ","FILING_STATUS=OR","EQY_CONSOLIDATED=Y","Sort=A","Dates=H","DateFormat=P","Fill=—","Direction=H","UseDPDF=Y")</f>
        <v>#NAME?</v>
      </c>
      <c r="AE411" s="1" t="e">
        <f ca="1">_xll.BDH($C$403,"WORK_CAP_GROWTH","FQ3 2015","FQ3 2015","Currency=INR","Period=FQ","BEST_FPERIOD_OVERRIDE=FQ","FILING_STATUS=OR","EQY_CONSOLIDATED=Y","Sort=A","Dates=H","DateFormat=P","Fill=—","Direction=H","UseDPDF=Y")</f>
        <v>#NAME?</v>
      </c>
      <c r="AF411" s="1" t="e">
        <f ca="1">_xll.BDH($C$403,"ACCOUNTS_PAYABLE_GROWTH_1YR","FQ3 2015","FQ3 2015","Currency=INR","Period=FQ","BEST_FPERIOD_OVERRIDE=FQ","FILING_STATUS=OR","EQY_CONSOLIDATED=Y","Sort=A","Dates=H","DateFormat=P","Fill=—","Direction=H","UseDPDF=Y")</f>
        <v>#NAME?</v>
      </c>
      <c r="AG411" s="1" t="e">
        <f ca="1">_xll.BDH($C$403,"SHORT_TERM_DEBT_1_YEAR_GROWTH","FQ3 2015","FQ3 2015","Currency=INR","Period=FQ","BEST_FPERIOD_OVERRIDE=FQ","FILING_STATUS=OR","EQY_CONSOLIDATED=Y","Sort=A","Dates=H","DateFormat=P","Fill=—","Direction=H","UseDPDF=Y")</f>
        <v>#NAME?</v>
      </c>
      <c r="AH411" s="1" t="e">
        <f ca="1">_xll.BDH($C$403,"TOTAL_DEBT_1_YEAR_GROWTH","FQ3 2015","FQ3 2015","Currency=INR","Period=FQ","BEST_FPERIOD_OVERRIDE=FQ","FILING_STATUS=OR","EQY_CONSOLIDATED=Y","Sort=A","Dates=H","DateFormat=P","Fill=—","Direction=H","UseDPDF=Y")</f>
        <v>#NAME?</v>
      </c>
      <c r="AI411" s="1" t="e">
        <f ca="1">_xll.BDH($C$403,"TOTAL_EQUITY_1_YEAR_GROWTH","FQ3 2015","FQ3 2015","Currency=INR","Period=FQ","BEST_FPERIOD_OVERRIDE=FQ","FILING_STATUS=OR","EQY_CONSOLIDATED=Y","Sort=A","Dates=H","DateFormat=P","Fill=—","Direction=H","UseDPDF=Y")</f>
        <v>#NAME?</v>
      </c>
      <c r="AJ411" s="1" t="e">
        <f ca="1">_xll.BDH($C$403,"GROWTH_IN_CAP","FQ3 2015","FQ3 2015","Currency=INR","Period=FQ","BEST_FPERIOD_OVERRIDE=FQ","FILING_STATUS=OR","EQY_CONSOLIDATED=Y","Sort=A","Dates=H","DateFormat=P","Fill=—","Direction=H","UseDPDF=Y")</f>
        <v>#NAME?</v>
      </c>
      <c r="AK411" s="1" t="e">
        <f ca="1">_xll.BDH($C$403,"BVPS_GROWTH","FQ3 2015","FQ3 2015","Currency=INR","Period=FQ","BEST_FPERIOD_OVERRIDE=FQ","FILING_STATUS=OR","EQY_CONSOLIDATED=Y","Sort=A","Dates=H","DateFormat=P","Fill=—","Direction=H","UseDPDF=Y")</f>
        <v>#NAME?</v>
      </c>
      <c r="AL411" s="1" t="e">
        <f ca="1">_xll.BDH($C$403,"CASH_FLOW_GROWTH","FQ3 2015","FQ3 2015","Currency=INR","Period=FQ","BEST_FPERIOD_OVERRIDE=FQ","FILING_STATUS=OR","EQY_CONSOLIDATED=Y","Sort=A","Dates=H","DateFormat=P","Fill=—","Direction=H","UseDPDF=Y")</f>
        <v>#NAME?</v>
      </c>
      <c r="AM411" s="1" t="e">
        <f ca="1">_xll.BDH($C$403,"GEO_GROW_NET_SALES","FQ3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11" s="1" t="e">
        <f ca="1">_xll.BDH($C$403,"GEO_GROW_EBITDA","FQ3 2015","FQ3 2015","Currency=INR","Period=FQ","BEST_FPERIOD_OVERRIDE=FQ","FILING_STATUS=OR","EQY_CONSOLIDATED=Y","FA_ADJUSTED=GAAP","Sort=A","Dates=H","DateFormat=P","Fill=—","Direction=H","UseDPDF=Y")</f>
        <v>#NAME?</v>
      </c>
      <c r="AO411" s="1" t="e">
        <f ca="1">_xll.BDH($C$403,"GEO_GROW_OPER_INC","FQ3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11" s="1" t="e">
        <f ca="1">_xll.BDH($C$403,"NET_INCOME_TO_COMMON_5_YR_GROWTH","FQ3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11" s="1" t="e">
        <f ca="1">_xll.BDH($C$403,"5Y_GEO_GROWTH_DILUTED_EPS","FQ3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11" s="1" t="e">
        <f ca="1">_xll.BDH($C$403,"GEO_GROW_DVD_PER_SH","FQ3 2015","FQ3 2015","Currency=INR","Period=FQ","BEST_FPERIOD_OVERRIDE=FQ","FILING_STATUS=OR","EQY_CONSOLIDATED=Y","Sort=A","Dates=H","DateFormat=P","Fill=—","Direction=H","UseDPDF=Y")</f>
        <v>#NAME?</v>
      </c>
      <c r="AS411" s="1" t="e">
        <f ca="1">_xll.BDH($C$403,"ACCOUNTS_RECEIVABLE_5_YR_GROWTH","FQ3 2015","FQ3 2015","Currency=INR","Period=FQ","BEST_FPERIOD_OVERRIDE=FQ","FILING_STATUS=OR","EQY_CONSOLIDATED=Y","Sort=A","Dates=H","DateFormat=P","Fill=—","Direction=H","UseDPDF=Y")</f>
        <v>#NAME?</v>
      </c>
      <c r="AT411" s="1" t="e">
        <f ca="1">_xll.BDH($C$403,"INVENTORY_5_YEAR_GROWTH","FQ3 2015","FQ3 2015","Currency=INR","Period=FQ","BEST_FPERIOD_OVERRIDE=FQ","FILING_STATUS=OR","EQY_CONSOLIDATED=Y","Sort=A","Dates=H","DateFormat=P","Fill=—","Direction=H","UseDPDF=Y")</f>
        <v>#NAME?</v>
      </c>
      <c r="AU411" s="1" t="e">
        <f ca="1">_xll.BDH($C$403,"NET_FIXED_ASSETS_5_YEAR_GROWTH","FQ3 2015","FQ3 2015","Currency=INR","Period=FQ","BEST_FPERIOD_OVERRIDE=FQ","FILING_STATUS=OR","EQY_CONSOLIDATED=Y","Sort=A","Dates=H","DateFormat=P","Fill=—","Direction=H","UseDPDF=Y")</f>
        <v>#NAME?</v>
      </c>
      <c r="AV411" s="1" t="e">
        <f ca="1">_xll.BDH($C$403,"GEO_GROW_TOT_ASSET","FQ3 2015","FQ3 2015","Currency=INR","Period=FQ","BEST_FPERIOD_OVERRIDE=FQ","FILING_STATUS=OR","EQY_CONSOLIDATED=Y","Sort=A","Dates=H","DateFormat=P","Fill=—","Direction=H","UseDPDF=Y")</f>
        <v>#NAME?</v>
      </c>
      <c r="AW411" s="1" t="e">
        <f ca="1">_xll.BDH($C$403,"MODIFIED_WORKING_CPTL_5YR_GRWTH","FQ3 2015","FQ3 2015","Currency=INR","Period=FQ","BEST_FPERIOD_OVERRIDE=FQ","FILING_STATUS=OR","EQY_CONSOLIDATED=Y","Sort=A","Dates=H","DateFormat=P","Fill=—","Direction=H","UseDPDF=Y")</f>
        <v>#NAME?</v>
      </c>
      <c r="AX411" s="1" t="e">
        <f ca="1">_xll.BDH($C$403,"WORKING_CAPITAL_5_YEAR_GROWTH","FQ3 2015","FQ3 2015","Currency=INR","Period=FQ","BEST_FPERIOD_OVERRIDE=FQ","FILING_STATUS=OR","EQY_CONSOLIDATED=Y","Sort=A","Dates=H","DateFormat=P","Fill=—","Direction=H","UseDPDF=Y")</f>
        <v>#NAME?</v>
      </c>
      <c r="AY411" s="1" t="e">
        <f ca="1">_xll.BDH($C$403,"ACCOUNTS_PAYABLE_5_YEAR_GROWTH","FQ3 2015","FQ3 2015","Currency=INR","Period=FQ","BEST_FPERIOD_OVERRIDE=FQ","FILING_STATUS=OR","EQY_CONSOLIDATED=Y","Sort=A","Dates=H","DateFormat=P","Fill=—","Direction=H","UseDPDF=Y")</f>
        <v>#NAME?</v>
      </c>
      <c r="AZ411" s="1" t="e">
        <f ca="1">_xll.BDH($C$403,"SHORT_TERM_DEBT_5_YEAR_GROWTH","FQ3 2015","FQ3 2015","Currency=INR","Period=FQ","BEST_FPERIOD_OVERRIDE=FQ","FILING_STATUS=OR","EQY_CONSOLIDATED=Y","Sort=A","Dates=H","DateFormat=P","Fill=—","Direction=H","UseDPDF=Y")</f>
        <v>#NAME?</v>
      </c>
      <c r="BA411" s="1" t="e">
        <f ca="1">_xll.BDH($C$403,"TOTAL_DEBT_5_YEAR_GROWTH","FQ3 2015","FQ3 2015","Currency=INR","Period=FQ","BEST_FPERIOD_OVERRIDE=FQ","FILING_STATUS=OR","EQY_CONSOLIDATED=Y","Sort=A","Dates=H","DateFormat=P","Fill=—","Direction=H","UseDPDF=Y")</f>
        <v>#NAME?</v>
      </c>
      <c r="BB411" s="1" t="e">
        <f ca="1">_xll.BDH($C$403,"GEO_GROW_TOT_SHRHLDR_EQY","FQ3 2015","FQ3 2015","Currency=INR","Period=FQ","BEST_FPERIOD_OVERRIDE=FQ","FILING_STATUS=OR","EQY_CONSOLIDATED=Y","Sort=A","Dates=H","DateFormat=P","Fill=—","Direction=H","UseDPDF=Y")</f>
        <v>#NAME?</v>
      </c>
      <c r="BC411" s="1" t="e">
        <f ca="1">_xll.BDH($C$403,"TOTAL_CAPITAL_5_YEAR_GROWTH","FQ3 2015","FQ3 2015","Currency=INR","Period=FQ","BEST_FPERIOD_OVERRIDE=FQ","FILING_STATUS=OR","EQY_CONSOLIDATED=Y","Sort=A","Dates=H","DateFormat=P","Fill=—","Direction=H","UseDPDF=Y")</f>
        <v>#NAME?</v>
      </c>
      <c r="BD411" s="1" t="e">
        <f ca="1">_xll.BDH($C$403,"GEO_GROW_BOOK_VAL","FQ3 2015","FQ3 2015","Currency=INR","Period=FQ","BEST_FPERIOD_OVERRIDE=FQ","FILING_STATUS=OR","EQY_CONSOLIDATED=Y","Sort=A","Dates=H","DateFormat=P","Fill=—","Direction=H","UseDPDF=Y")</f>
        <v>#NAME?</v>
      </c>
      <c r="BE411" s="1" t="e">
        <f ca="1">_xll.BDH($C$403,"GEO_GROW_CASH_OPER_ACT","FQ3 2015","FQ3 2015","Currency=INR","Period=FQ","BEST_FPERIOD_OVERRIDE=FQ","FILING_STATUS=OR","EQY_CONSOLIDATED=Y","Sort=A","Dates=H","DateFormat=P","Fill=—","Direction=H","UseDPDF=Y")</f>
        <v>#NAME?</v>
      </c>
      <c r="BF411" s="1" t="e">
        <f ca="1">_xll.BDH($C$403,"REVENUE_SEQUENTIAL_GROWTH","FQ3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11" s="1" t="e">
        <f ca="1">_xll.BDH($C$403,"EBITDA_SEQUENTIAL_GROWTH","FQ3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11" s="1" t="e">
        <f ca="1">_xll.BDH($C$403,"OPERATING_INCOME_SEQ_GROWTH","FQ3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11" s="1" t="e">
        <f ca="1">_xll.BDH($C$403,"NET_INCOME_TO_COMMON_SEQ_GROWTH","FQ3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11" s="1" t="e">
        <f ca="1">_xll.BDH($C$403,"EPS_DILUTED_SEQUENTIAL_GROWTH","FQ3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11" s="1" t="e">
        <f ca="1">_xll.BDH($C$403,"DPS_SEQUENTIAL_GROWTH","FQ3 2015","FQ3 2015","Currency=INR","Period=FQ","BEST_FPERIOD_OVERRIDE=FQ","FILING_STATUS=OR","EQY_CONSOLIDATED=Y","Sort=A","Dates=H","DateFormat=P","Fill=—","Direction=H","UseDPDF=Y")</f>
        <v>#NAME?</v>
      </c>
      <c r="BL411" s="1" t="e">
        <f ca="1">_xll.BDH($C$403,"ACCOUNTS_RECEIVABLE_SEQ_GROWTH","FQ3 2015","FQ3 2015","Currency=INR","Period=FQ","BEST_FPERIOD_OVERRIDE=FQ","FILING_STATUS=OR","EQY_CONSOLIDATED=Y","Sort=A","Dates=H","DateFormat=P","Fill=—","Direction=H","UseDPDF=Y")</f>
        <v>#NAME?</v>
      </c>
      <c r="BM411" s="1" t="e">
        <f ca="1">_xll.BDH($C$403,"INVENTORY_SEQUENTIAL_GROWTH","FQ3 2015","FQ3 2015","Currency=INR","Period=FQ","BEST_FPERIOD_OVERRIDE=FQ","FILING_STATUS=OR","EQY_CONSOLIDATED=Y","Sort=A","Dates=H","DateFormat=P","Fill=—","Direction=H","UseDPDF=Y")</f>
        <v>#NAME?</v>
      </c>
      <c r="BN411" s="1" t="e">
        <f ca="1">_xll.BDH($C$403,"FIXED_ASSETS_SEQUENTIAL_GROWTH","FQ3 2015","FQ3 2015","Currency=INR","Period=FQ","BEST_FPERIOD_OVERRIDE=FQ","FILING_STATUS=OR","EQY_CONSOLIDATED=Y","Sort=A","Dates=H","DateFormat=P","Fill=—","Direction=H","UseDPDF=Y")</f>
        <v>#NAME?</v>
      </c>
      <c r="BO411" s="1" t="e">
        <f ca="1">_xll.BDH($C$403,"TOTAL_ASSETS_SEQUENTIAL_GROWTH","FQ3 2015","FQ3 2015","Currency=INR","Period=FQ","BEST_FPERIOD_OVERRIDE=FQ","FILING_STATUS=OR","EQY_CONSOLIDATED=Y","Sort=A","Dates=H","DateFormat=P","Fill=—","Direction=H","UseDPDF=Y")</f>
        <v>#NAME?</v>
      </c>
      <c r="BP411" s="1" t="e">
        <f ca="1">_xll.BDH($C$403,"MODIFIED_WORKING_CPTL_SEQ_GRWTH","FQ3 2015","FQ3 2015","Currency=INR","Period=FQ","BEST_FPERIOD_OVERRIDE=FQ","FILING_STATUS=OR","EQY_CONSOLIDATED=Y","Sort=A","Dates=H","DateFormat=P","Fill=—","Direction=H","UseDPDF=Y")</f>
        <v>#NAME?</v>
      </c>
      <c r="BQ411" s="1" t="e">
        <f ca="1">_xll.BDH($C$403,"WORKING_CAPITAL_SEQ_GROWTH","FQ3 2015","FQ3 2015","Currency=INR","Period=FQ","BEST_FPERIOD_OVERRIDE=FQ","FILING_STATUS=OR","EQY_CONSOLIDATED=Y","Sort=A","Dates=H","DateFormat=P","Fill=—","Direction=H","UseDPDF=Y")</f>
        <v>#NAME?</v>
      </c>
      <c r="BR411" s="1" t="e">
        <f ca="1">_xll.BDH($C$403,"ACCOUNTS_PAYABLE_SEQ_GROWTH","FQ3 2015","FQ3 2015","Currency=INR","Period=FQ","BEST_FPERIOD_OVERRIDE=FQ","FILING_STATUS=OR","EQY_CONSOLIDATED=Y","Sort=A","Dates=H","DateFormat=P","Fill=—","Direction=H","UseDPDF=Y")</f>
        <v>#NAME?</v>
      </c>
      <c r="BS411" s="1" t="e">
        <f ca="1">_xll.BDH($C$403,"ST_DEBT_SEQUENTIAL_GROWTH","FQ3 2015","FQ3 2015","Currency=INR","Period=FQ","BEST_FPERIOD_OVERRIDE=FQ","FILING_STATUS=OR","EQY_CONSOLIDATED=Y","Sort=A","Dates=H","DateFormat=P","Fill=—","Direction=H","UseDPDF=Y")</f>
        <v>#NAME?</v>
      </c>
      <c r="BT411" s="1" t="e">
        <f ca="1">_xll.BDH($C$403,"TOTAL_DEBT_SEQUENTIAL_GROWTH","FQ3 2015","FQ3 2015","Currency=INR","Period=FQ","BEST_FPERIOD_OVERRIDE=FQ","FILING_STATUS=OR","EQY_CONSOLIDATED=Y","Sort=A","Dates=H","DateFormat=P","Fill=—","Direction=H","UseDPDF=Y")</f>
        <v>#NAME?</v>
      </c>
      <c r="BU411" s="1" t="e">
        <f ca="1">_xll.BDH($C$403,"TOTAL_EQUITY_SEQUENTIAL_GROWTH","FQ3 2015","FQ3 2015","Currency=INR","Period=FQ","BEST_FPERIOD_OVERRIDE=FQ","FILING_STATUS=OR","EQY_CONSOLIDATED=Y","Sort=A","Dates=H","DateFormat=P","Fill=—","Direction=H","UseDPDF=Y")</f>
        <v>#NAME?</v>
      </c>
      <c r="BV411" s="1" t="e">
        <f ca="1">_xll.BDH($C$403,"TOTAL_CAPITAL_SEQUENTIAL_GROWTH","FQ3 2015","FQ3 2015","Currency=INR","Period=FQ","BEST_FPERIOD_OVERRIDE=FQ","FILING_STATUS=OR","EQY_CONSOLIDATED=Y","Sort=A","Dates=H","DateFormat=P","Fill=—","Direction=H","UseDPDF=Y")</f>
        <v>#NAME?</v>
      </c>
      <c r="BW411" s="1" t="e">
        <f ca="1">_xll.BDH($C$403,"BPS_SEQUENTIAL_GROWTH","FQ3 2015","FQ3 2015","Currency=INR","Period=FQ","BEST_FPERIOD_OVERRIDE=FQ","FILING_STATUS=OR","EQY_CONSOLIDATED=Y","Sort=A","Dates=H","DateFormat=P","Fill=—","Direction=H","UseDPDF=Y")</f>
        <v>#NAME?</v>
      </c>
      <c r="BX411" s="1" t="e">
        <f ca="1">_xll.BDH($C$403,"CFO_SEQUENTIAL_GROWTH","FQ3 2015","FQ3 2015","Currency=INR","Period=FQ","BEST_FPERIOD_OVERRIDE=FQ","FILING_STATUS=OR","EQY_CONSOLIDATED=Y","Sort=A","Dates=H","DateFormat=P","Fill=—","Direction=H","UseDPDF=Y")</f>
        <v>#NAME?</v>
      </c>
      <c r="BY411" s="2" t="e">
        <f ca="1">_xll.BDH($C$403,"SHORT_AND_LONG_TERM_DEBT","FQ3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11" s="2" t="e">
        <f ca="1">_xll.BDH($C$403,"BS_ST_BORROW","FQ3 2015","FQ3 2015","Currency=INR","Period=FQ","BEST_FPERIOD_OVERRIDE=FQ","FILING_STATUS=OR","EQY_CONSOLIDATED=Y","SCALING_FORMAT=MLN","Sort=A","Dates=H","DateFormat=P","Fill=—","Direction=H","UseDPDF=Y")</f>
        <v>#NAME?</v>
      </c>
      <c r="CA411" s="2" t="e">
        <f ca="1">_xll.BDH($C$403,"BS_LT_BORROW","FQ3 2015","FQ3 2015","Currency=INR","Period=FQ","BEST_FPERIOD_OVERRIDE=FQ","FILING_STATUS=OR","EQY_CONSOLIDATED=Y","SCALING_FORMAT=MLN","Sort=A","Dates=H","DateFormat=P","Fill=—","Direction=H","UseDPDF=Y")</f>
        <v>#NAME?</v>
      </c>
      <c r="CB411" s="1" t="e">
        <f ca="1">_xll.BDH($C$403,"TOT_DEBT_TO_EBITDA","FQ3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11" s="1" t="e">
        <f ca="1">_xll.BDH($C$403,"NET_DEBT_TO_EBITDA","FQ3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11" s="1" t="e">
        <f ca="1">_xll.BDH($C$403,"TOTAL_DEBT_TO_EBIT","FQ3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11" s="1" t="e">
        <f ca="1">_xll.BDH($C$403,"NET_DEBT_TO_EBIT","FQ3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411" s="1" t="e">
        <f ca="1">_xll.BDH($C$403,"EBITDA_TO_INTEREST_EXPN","FQ3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11" s="1" t="e">
        <f ca="1">_xll.BDH($C$403,"COM_EQY_TO_TOT_ASSET","FQ3 2015","FQ3 2015","Currency=INR","Period=FQ","BEST_FPERIOD_OVERRIDE=FQ","FILING_STATUS=OR","EQY_CONSOLIDATED=Y","Sort=A","Dates=H","DateFormat=P","Fill=—","Direction=H","UseDPDF=Y")</f>
        <v>#NAME?</v>
      </c>
      <c r="CH411" s="1" t="e">
        <f ca="1">_xll.BDH($C$403,"LT_DEBT_TO_TOT_EQY","FQ3 2015","FQ3 2015","Currency=INR","Period=FQ","BEST_FPERIOD_OVERRIDE=FQ","FILING_STATUS=OR","EQY_CONSOLIDATED=Y","Sort=A","Dates=H","DateFormat=P","Fill=—","Direction=H","UseDPDF=Y")</f>
        <v>#NAME?</v>
      </c>
      <c r="CI411" s="1" t="e">
        <f ca="1">_xll.BDH($C$403,"LT_DEBT_TO_TOT_CAP","FQ3 2015","FQ3 2015","Currency=INR","Period=FQ","BEST_FPERIOD_OVERRIDE=FQ","FILING_STATUS=OR","EQY_CONSOLIDATED=Y","Sort=A","Dates=H","DateFormat=P","Fill=—","Direction=H","UseDPDF=Y")</f>
        <v>#NAME?</v>
      </c>
      <c r="CJ411" s="1" t="e">
        <f ca="1">_xll.BDH($C$403,"LT_DEBT_TO_TOT_ASSET","FQ3 2015","FQ3 2015","Currency=INR","Period=FQ","BEST_FPERIOD_OVERRIDE=FQ","FILING_STATUS=OR","EQY_CONSOLIDATED=Y","Sort=A","Dates=H","DateFormat=P","Fill=—","Direction=H","UseDPDF=Y")</f>
        <v>#NAME?</v>
      </c>
      <c r="CK411" s="1" t="e">
        <f ca="1">_xll.BDH($C$403,"TOT_DEBT_TO_TOT_EQY","FQ3 2015","FQ3 2015","Currency=INR","Period=FQ","BEST_FPERIOD_OVERRIDE=FQ","FILING_STATUS=OR","EQY_CONSOLIDATED=Y","Sort=A","Dates=H","DateFormat=P","Fill=—","Direction=H","UseDPDF=Y")</f>
        <v>#NAME?</v>
      </c>
      <c r="CL411" s="1" t="e">
        <f ca="1">_xll.BDH($C$403,"TOT_DEBT_TO_TOT_CAP","FQ3 2015","FQ3 2015","Currency=INR","Period=FQ","BEST_FPERIOD_OVERRIDE=FQ","FILING_STATUS=OR","EQY_CONSOLIDATED=Y","Sort=A","Dates=H","DateFormat=P","Fill=—","Direction=H","UseDPDF=Y")</f>
        <v>#NAME?</v>
      </c>
      <c r="CM411" s="1" t="e">
        <f ca="1">_xll.BDH($C$403,"TOT_DEBT_TO_TOT_ASSET","FQ3 2015","FQ3 2015","Currency=INR","Period=FQ","BEST_FPERIOD_OVERRIDE=FQ","FILING_STATUS=OR","EQY_CONSOLIDATED=Y","Sort=A","Dates=H","DateFormat=P","Fill=—","Direction=H","UseDPDF=Y")</f>
        <v>#NAME?</v>
      </c>
      <c r="CN411" s="1" t="e">
        <f ca="1">_xll.BDH($C$403,"NET_DEBT_TO_SHRHLDR_EQTY","FQ3 2015","FQ3 2015","Currency=INR","Period=FQ","BEST_FPERIOD_OVERRIDE=FQ","FILING_STATUS=OR","EQY_CONSOLIDATED=Y","Sort=A","Dates=H","DateFormat=P","Fill=—","Direction=H","UseDPDF=Y")</f>
        <v>#NAME?</v>
      </c>
      <c r="CO411" s="1" t="e">
        <f ca="1">_xll.BDH($C$403,"NET_DEBT_%_CAPITAL","FQ3 2015","FQ3 2015","Currency=INR","Period=FQ","BEST_FPERIOD_OVERRIDE=FQ","FILING_STATUS=OR","EQY_CONSOLIDATED=Y","Sort=A","Dates=H","DateFormat=P","Fill=—","Direction=H","UseDPDF=Y")</f>
        <v>#NAME?</v>
      </c>
      <c r="CP411" s="2" t="e">
        <f ca="1">_xll.BDH($C$403,"EBITDA","FQ3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11" s="2" t="e">
        <f ca="1">_xll.BDH($C$403,"EBITDA_AFTER_CAPEX","FQ3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11" s="2" t="e">
        <f ca="1">_xll.BDH($C$403,"IS_OPER_INC","FQ3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11" s="1" t="e">
        <f ca="1">_xll.BDH($C$403,"CASH_RATIO","FQ3 2015","FQ3 2015","Currency=INR","Period=FQ","BEST_FPERIOD_OVERRIDE=FQ","FILING_STATUS=OR","EQY_CONSOLIDATED=Y","Sort=A","Dates=H","DateFormat=P","Fill=—","Direction=H","UseDPDF=Y")</f>
        <v>#NAME?</v>
      </c>
      <c r="CT411" s="1" t="e">
        <f ca="1">_xll.BDH($C$403,"CUR_RATIO","FQ3 2015","FQ3 2015","Currency=INR","Period=FQ","BEST_FPERIOD_OVERRIDE=FQ","FILING_STATUS=OR","EQY_CONSOLIDATED=Y","Sort=A","Dates=H","DateFormat=P","Fill=—","Direction=H","UseDPDF=Y")</f>
        <v>#NAME?</v>
      </c>
      <c r="CU411" s="1" t="e">
        <f ca="1">_xll.BDH($C$403,"QUICK_RATIO","FQ3 2015","FQ3 2015","Currency=INR","Period=FQ","BEST_FPERIOD_OVERRIDE=FQ","FILING_STATUS=OR","EQY_CONSOLIDATED=Y","Sort=A","Dates=H","DateFormat=P","Fill=—","Direction=H","UseDPDF=Y")</f>
        <v>#NAME?</v>
      </c>
      <c r="CV411" s="1" t="e">
        <f ca="1">_xll.BDH($C$403,"ALTMAN_Z_SCORE","FQ3 2015","FQ3 2015","Currency=INR","Period=FQ","BEST_FPERIOD_OVERRIDE=FQ","FILING_STATUS=OR","EQY_CONSOLIDATED=Y","Sort=A","Dates=H","DateFormat=P","Fill=—","Direction=H","UseDPDF=Y")</f>
        <v>#NAME?</v>
      </c>
      <c r="CW411" s="3" t="e">
        <f ca="1">_xll.BDH($C$403,"ACCT_RCV_TURN","FQ3 2015","FQ3 2015","Currency=INR","Period=FQ","BEST_FPERIOD_OVERRIDE=FQ","FILING_STATUS=OR","EQY_CONSOLIDATED=Y","FA_ADJUSTED=GAAP","Sort=A","Dates=H","DateFormat=P","Fill=—","Direction=H","UseDPDF=Y")</f>
        <v>#NAME?</v>
      </c>
      <c r="CX411" s="1" t="e">
        <f ca="1">_xll.BDH($C$403,"ACCT_RCV_DAYS","FQ3 2015","FQ3 2015","Currency=INR","Period=FQ","BEST_FPERIOD_OVERRIDE=FQ","FILING_STATUS=OR","EQY_CONSOLIDATED=Y","FA_ADJUSTED=GAAP","Sort=A","Dates=H","DateFormat=P","Fill=—","Direction=H","UseDPDF=Y")</f>
        <v>#NAME?</v>
      </c>
      <c r="CY411" s="3" t="e">
        <f ca="1">_xll.BDH($C$403,"INVENT_TURN","FQ3 2015","FQ3 2015","Currency=INR","Period=FQ","BEST_FPERIOD_OVERRIDE=FQ","FILING_STATUS=OR","EQY_CONSOLIDATED=Y","FA_ADJUSTED=GAAP","Sort=A","Dates=H","DateFormat=P","Fill=—","Direction=H","UseDPDF=Y")</f>
        <v>#NAME?</v>
      </c>
      <c r="CZ411" s="1" t="e">
        <f ca="1">_xll.BDH($C$403,"INVENT_DAYS","FQ3 2015","FQ3 2015","Currency=INR","Period=FQ","BEST_FPERIOD_OVERRIDE=FQ","FILING_STATUS=OR","EQY_CONSOLIDATED=Y","FA_ADJUSTED=GAAP","Sort=A","Dates=H","DateFormat=P","Fill=—","Direction=H","UseDPDF=Y")</f>
        <v>#NAME?</v>
      </c>
      <c r="DA411" s="3" t="e">
        <f ca="1">_xll.BDH($C$403,"ACCOUNTS_PAYABLE_TURNOVER","FQ3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11" s="1" t="e">
        <f ca="1">_xll.BDH($C$403,"ACCOUNTS_PAYABLE_TURNOVER_DAYS","FQ3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11" s="3" t="e">
        <f ca="1">_xll.BDH($C$403,"CASH_CONVERSION_CYCLE","FQ3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11" s="3" t="e">
        <f ca="1">_xll.BDH($C$403,"INV_TO_CASH_DAYS","FQ3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411" s="4" t="e">
        <f ca="1">_xll.BDH($C$403,"BS_INVENTORIES","FQ3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411" s="2" t="e">
        <f ca="1">_xll.BDH($C$403,"INVTRY_RAW_MATERIALS","FQ3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11" s="2" t="e">
        <f ca="1">_xll.BDH($C$403,"INVTRY_IN_PROGRESS","FQ3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11" s="2" t="e">
        <f ca="1">_xll.BDH($C$403,"INVTRY_FINISHED_GOODS","FQ3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11" s="2" t="e">
        <f ca="1">_xll.BDH($C$403,"BS_OTHER_INV","FQ3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12" spans="1:113" x14ac:dyDescent="0.3">
      <c r="A412" s="6"/>
      <c r="B412" s="6"/>
      <c r="C412" s="6"/>
      <c r="D412" s="6"/>
      <c r="E412" t="s">
        <v>7</v>
      </c>
      <c r="F412" t="e">
        <f ca="1">_xll.BDH($C$403,"RETURN_COM_EQY","FQ4 2015","FQ4 2015","Currency=INR","Period=FQ","BEST_FPERIOD_OVERRIDE=FQ","FILING_STATUS=OR","EQY_CONSOLIDATED=Y","FA_ADJUSTED=GAAP","Sort=A","Dates=H","DateFormat=P","Fill=—","Direction=H","UseDPDF=Y")</f>
        <v>#NAME?</v>
      </c>
      <c r="G412" t="e">
        <f ca="1">_xll.BDH($C$403,"RETURN_ON_ASSET","FQ4 2015","FQ4 2015","Currency=INR","Period=FQ","BEST_FPERIOD_OVERRIDE=FQ","FILING_STATUS=OR","EQY_CONSOLIDATED=Y","FA_ADJUSTED=GAAP","Sort=A","Dates=H","DateFormat=P","Fill=—","Direction=H","UseDPDF=Y")</f>
        <v>#NAME?</v>
      </c>
      <c r="H412" t="e">
        <f ca="1">_xll.BDH($C$403,"RETURN_ON_CAP","FQ4 2015","FQ4 2015","Currency=INR","Period=FQ","BEST_FPERIOD_OVERRIDE=FQ","FILING_STATUS=OR","EQY_CONSOLIDATED=Y","FA_ADJUSTED=GAAP","Sort=A","Dates=H","DateFormat=P","Fill=—","Direction=H","UseDPDF=Y")</f>
        <v>#NAME?</v>
      </c>
      <c r="I412" t="e">
        <f ca="1">_xll.BDH($C$403,"RETURN_ON_INV_CAPITAL","FQ4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12" t="e">
        <f ca="1">_xll.BDH($C$403,"EBITDA_TO_REVENUE","FQ4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412" t="e">
        <f ca="1">_xll.BDH($C$403,"OPER_MARGIN","FQ4 2015","FQ4 2015","Currency=INR","Period=FQ","BEST_FPERIOD_OVERRIDE=FQ","FILING_STATUS=OR","EQY_CONSOLIDATED=Y","FA_ADJUSTED=GAAP","Sort=A","Dates=H","DateFormat=P","Fill=—","Direction=H","UseDPDF=Y")</f>
        <v>#NAME?</v>
      </c>
      <c r="L412" t="e">
        <f ca="1">_xll.BDH($C$403,"INCREMENTAL_OPERATING_MARGIN","FQ4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12" t="e">
        <f ca="1">_xll.BDH($C$403,"PRETAX_INC_TO_NET_SALES","FQ4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12" t="e">
        <f ca="1">_xll.BDH($C$403,"INC_BEF_XO_ITEMS_TO_NET_SALES","FQ4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12" t="e">
        <f ca="1">_xll.BDH($C$403,"PROF_MARGIN","FQ4 2015","FQ4 2015","Currency=INR","Period=FQ","BEST_FPERIOD_OVERRIDE=FQ","FILING_STATUS=OR","EQY_CONSOLIDATED=Y","FA_ADJUSTED=GAAP","Sort=A","Dates=H","DateFormat=P","Fill=—","Direction=H","UseDPDF=Y")</f>
        <v>#NAME?</v>
      </c>
      <c r="P412" t="e">
        <f ca="1">_xll.BDH($C$403,"NET_INCOME_TO_COMMON_MARGIN","FQ4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12" t="e">
        <f ca="1">_xll.BDH($C$403,"EFF_TAX_RATE","FQ4 2015","FQ4 2015","Currency=INR","Period=FQ","BEST_FPERIOD_OVERRIDE=FQ","FILING_STATUS=OR","EQY_CONSOLIDATED=Y","FA_ADJUSTED=GAAP","Sort=A","Dates=H","DateFormat=P","Fill=—","Direction=H","UseDPDF=Y")</f>
        <v>#NAME?</v>
      </c>
      <c r="R412" t="e">
        <f ca="1">_xll.BDH($C$403,"DVD_PAYOUT_RATIO","FQ4 2015","FQ4 2015","Currency=INR","Period=FQ","BEST_FPERIOD_OVERRIDE=FQ","FILING_STATUS=OR","EQY_CONSOLIDATED=Y","FA_ADJUSTED=GAAP","Sort=A","Dates=H","DateFormat=P","Fill=—","Direction=H","UseDPDF=Y")</f>
        <v>#NAME?</v>
      </c>
      <c r="S412" t="e">
        <f ca="1">_xll.BDH($C$403,"SUSTAIN_GROWTH_RT","FQ4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412" s="1" t="e">
        <f ca="1">_xll.BDH($C$403,"SALES_GROWTH","FQ4 2015","FQ4 2015","Currency=INR","Period=FQ","BEST_FPERIOD_OVERRIDE=FQ","FILING_STATUS=OR","EQY_CONSOLIDATED=Y","FA_ADJUSTED=GAAP","Sort=A","Dates=H","DateFormat=P","Fill=—","Direction=H","UseDPDF=Y")</f>
        <v>#NAME?</v>
      </c>
      <c r="U412" s="1" t="e">
        <f ca="1">_xll.BDH($C$403,"EBITDA_GROWTH","FQ4 2015","FQ4 2015","Currency=INR","Period=FQ","BEST_FPERIOD_OVERRIDE=FQ","FILING_STATUS=OR","EQY_CONSOLIDATED=Y","FA_ADJUSTED=GAAP","Sort=A","Dates=H","DateFormat=P","Fill=—","Direction=H","UseDPDF=Y")</f>
        <v>#NAME?</v>
      </c>
      <c r="V412" s="1" t="e">
        <f ca="1">_xll.BDH($C$403,"OPER_INC_GROWTH","FQ4 2015","FQ4 2015","Currency=INR","Period=FQ","BEST_FPERIOD_OVERRIDE=FQ","FILING_STATUS=OR","EQY_CONSOLIDATED=Y","FA_ADJUSTED=GAAP","Sort=A","Dates=H","DateFormat=P","Fill=—","Direction=H","UseDPDF=Y")</f>
        <v>#NAME?</v>
      </c>
      <c r="W412" s="1" t="e">
        <f ca="1">_xll.BDH($C$403,"EARN_FOR_COM_GROWTH","FQ4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12" s="1" t="e">
        <f ca="1">_xll.BDH($C$403,"DILUTED_EPS_AFT_XO_ITEMS_GROWTH","FQ4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12" s="1" t="e">
        <f ca="1">_xll.BDH($C$403,"DIVIDEND_PER_SHARE_1_YEAR_GROWTH","FQ4 2015","FQ4 2015","Currency=INR","Period=FQ","BEST_FPERIOD_OVERRIDE=FQ","FILING_STATUS=OR","EQY_CONSOLIDATED=Y","Sort=A","Dates=H","DateFormat=P","Fill=—","Direction=H","UseDPDF=Y")</f>
        <v>#NAME?</v>
      </c>
      <c r="Z412" s="1" t="e">
        <f ca="1">_xll.BDH($C$403,"ACCOUNTS_RECEIVABLE_GROWTH","FQ4 2015","FQ4 2015","Currency=INR","Period=FQ","BEST_FPERIOD_OVERRIDE=FQ","FILING_STATUS=OR","EQY_CONSOLIDATED=Y","Sort=A","Dates=H","DateFormat=P","Fill=—","Direction=H","UseDPDF=Y")</f>
        <v>#NAME?</v>
      </c>
      <c r="AA412" s="1" t="e">
        <f ca="1">_xll.BDH($C$403,"INVENTORY_GROWTH","FQ4 2015","FQ4 2015","Currency=INR","Period=FQ","BEST_FPERIOD_OVERRIDE=FQ","FILING_STATUS=OR","EQY_CONSOLIDATED=Y","Sort=A","Dates=H","DateFormat=P","Fill=—","Direction=H","UseDPDF=Y")</f>
        <v>#NAME?</v>
      </c>
      <c r="AB412" s="1" t="e">
        <f ca="1">_xll.BDH($C$403,"NET_FIXED_ASSETS_1_YEAR_GROWTH","FQ4 2015","FQ4 2015","Currency=INR","Period=FQ","BEST_FPERIOD_OVERRIDE=FQ","FILING_STATUS=OR","EQY_CONSOLIDATED=Y","Sort=A","Dates=H","DateFormat=P","Fill=—","Direction=H","UseDPDF=Y")</f>
        <v>#NAME?</v>
      </c>
      <c r="AC412" s="1" t="e">
        <f ca="1">_xll.BDH($C$403,"ASSET_GROWTH","FQ4 2015","FQ4 2015","Currency=INR","Period=FQ","BEST_FPERIOD_OVERRIDE=FQ","FILING_STATUS=OR","EQY_CONSOLIDATED=Y","Sort=A","Dates=H","DateFormat=P","Fill=—","Direction=H","UseDPDF=Y")</f>
        <v>#NAME?</v>
      </c>
      <c r="AD412" s="1" t="e">
        <f ca="1">_xll.BDH($C$403,"MODIFIED_WORK_CAP_GROWTH","FQ4 2015","FQ4 2015","Currency=INR","Period=FQ","BEST_FPERIOD_OVERRIDE=FQ","FILING_STATUS=OR","EQY_CONSOLIDATED=Y","Sort=A","Dates=H","DateFormat=P","Fill=—","Direction=H","UseDPDF=Y")</f>
        <v>#NAME?</v>
      </c>
      <c r="AE412" s="1" t="e">
        <f ca="1">_xll.BDH($C$403,"WORK_CAP_GROWTH","FQ4 2015","FQ4 2015","Currency=INR","Period=FQ","BEST_FPERIOD_OVERRIDE=FQ","FILING_STATUS=OR","EQY_CONSOLIDATED=Y","Sort=A","Dates=H","DateFormat=P","Fill=—","Direction=H","UseDPDF=Y")</f>
        <v>#NAME?</v>
      </c>
      <c r="AF412" s="1" t="e">
        <f ca="1">_xll.BDH($C$403,"ACCOUNTS_PAYABLE_GROWTH_1YR","FQ4 2015","FQ4 2015","Currency=INR","Period=FQ","BEST_FPERIOD_OVERRIDE=FQ","FILING_STATUS=OR","EQY_CONSOLIDATED=Y","Sort=A","Dates=H","DateFormat=P","Fill=—","Direction=H","UseDPDF=Y")</f>
        <v>#NAME?</v>
      </c>
      <c r="AG412" s="1" t="e">
        <f ca="1">_xll.BDH($C$403,"SHORT_TERM_DEBT_1_YEAR_GROWTH","FQ4 2015","FQ4 2015","Currency=INR","Period=FQ","BEST_FPERIOD_OVERRIDE=FQ","FILING_STATUS=OR","EQY_CONSOLIDATED=Y","Sort=A","Dates=H","DateFormat=P","Fill=—","Direction=H","UseDPDF=Y")</f>
        <v>#NAME?</v>
      </c>
      <c r="AH412" s="1" t="e">
        <f ca="1">_xll.BDH($C$403,"TOTAL_DEBT_1_YEAR_GROWTH","FQ4 2015","FQ4 2015","Currency=INR","Period=FQ","BEST_FPERIOD_OVERRIDE=FQ","FILING_STATUS=OR","EQY_CONSOLIDATED=Y","Sort=A","Dates=H","DateFormat=P","Fill=—","Direction=H","UseDPDF=Y")</f>
        <v>#NAME?</v>
      </c>
      <c r="AI412" s="1" t="e">
        <f ca="1">_xll.BDH($C$403,"TOTAL_EQUITY_1_YEAR_GROWTH","FQ4 2015","FQ4 2015","Currency=INR","Period=FQ","BEST_FPERIOD_OVERRIDE=FQ","FILING_STATUS=OR","EQY_CONSOLIDATED=Y","Sort=A","Dates=H","DateFormat=P","Fill=—","Direction=H","UseDPDF=Y")</f>
        <v>#NAME?</v>
      </c>
      <c r="AJ412" s="1" t="e">
        <f ca="1">_xll.BDH($C$403,"GROWTH_IN_CAP","FQ4 2015","FQ4 2015","Currency=INR","Period=FQ","BEST_FPERIOD_OVERRIDE=FQ","FILING_STATUS=OR","EQY_CONSOLIDATED=Y","Sort=A","Dates=H","DateFormat=P","Fill=—","Direction=H","UseDPDF=Y")</f>
        <v>#NAME?</v>
      </c>
      <c r="AK412" s="1" t="e">
        <f ca="1">_xll.BDH($C$403,"BVPS_GROWTH","FQ4 2015","FQ4 2015","Currency=INR","Period=FQ","BEST_FPERIOD_OVERRIDE=FQ","FILING_STATUS=OR","EQY_CONSOLIDATED=Y","Sort=A","Dates=H","DateFormat=P","Fill=—","Direction=H","UseDPDF=Y")</f>
        <v>#NAME?</v>
      </c>
      <c r="AL412" s="1" t="e">
        <f ca="1">_xll.BDH($C$403,"CASH_FLOW_GROWTH","FQ4 2015","FQ4 2015","Currency=INR","Period=FQ","BEST_FPERIOD_OVERRIDE=FQ","FILING_STATUS=OR","EQY_CONSOLIDATED=Y","Sort=A","Dates=H","DateFormat=P","Fill=—","Direction=H","UseDPDF=Y")</f>
        <v>#NAME?</v>
      </c>
      <c r="AM412" s="1" t="e">
        <f ca="1">_xll.BDH($C$403,"GEO_GROW_NET_SALES","FQ4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12" s="1" t="e">
        <f ca="1">_xll.BDH($C$403,"GEO_GROW_EBITDA","FQ4 2015","FQ4 2015","Currency=INR","Period=FQ","BEST_FPERIOD_OVERRIDE=FQ","FILING_STATUS=OR","EQY_CONSOLIDATED=Y","FA_ADJUSTED=GAAP","Sort=A","Dates=H","DateFormat=P","Fill=—","Direction=H","UseDPDF=Y")</f>
        <v>#NAME?</v>
      </c>
      <c r="AO412" s="1" t="e">
        <f ca="1">_xll.BDH($C$403,"GEO_GROW_OPER_INC","FQ4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12" s="1" t="e">
        <f ca="1">_xll.BDH($C$403,"NET_INCOME_TO_COMMON_5_YR_GROWTH","FQ4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12" s="1" t="e">
        <f ca="1">_xll.BDH($C$403,"5Y_GEO_GROWTH_DILUTED_EPS","FQ4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12" s="1" t="e">
        <f ca="1">_xll.BDH($C$403,"GEO_GROW_DVD_PER_SH","FQ4 2015","FQ4 2015","Currency=INR","Period=FQ","BEST_FPERIOD_OVERRIDE=FQ","FILING_STATUS=OR","EQY_CONSOLIDATED=Y","Sort=A","Dates=H","DateFormat=P","Fill=—","Direction=H","UseDPDF=Y")</f>
        <v>#NAME?</v>
      </c>
      <c r="AS412" s="1" t="e">
        <f ca="1">_xll.BDH($C$403,"ACCOUNTS_RECEIVABLE_5_YR_GROWTH","FQ4 2015","FQ4 2015","Currency=INR","Period=FQ","BEST_FPERIOD_OVERRIDE=FQ","FILING_STATUS=OR","EQY_CONSOLIDATED=Y","Sort=A","Dates=H","DateFormat=P","Fill=—","Direction=H","UseDPDF=Y")</f>
        <v>#NAME?</v>
      </c>
      <c r="AT412" s="1" t="e">
        <f ca="1">_xll.BDH($C$403,"INVENTORY_5_YEAR_GROWTH","FQ4 2015","FQ4 2015","Currency=INR","Period=FQ","BEST_FPERIOD_OVERRIDE=FQ","FILING_STATUS=OR","EQY_CONSOLIDATED=Y","Sort=A","Dates=H","DateFormat=P","Fill=—","Direction=H","UseDPDF=Y")</f>
        <v>#NAME?</v>
      </c>
      <c r="AU412" s="1" t="e">
        <f ca="1">_xll.BDH($C$403,"NET_FIXED_ASSETS_5_YEAR_GROWTH","FQ4 2015","FQ4 2015","Currency=INR","Period=FQ","BEST_FPERIOD_OVERRIDE=FQ","FILING_STATUS=OR","EQY_CONSOLIDATED=Y","Sort=A","Dates=H","DateFormat=P","Fill=—","Direction=H","UseDPDF=Y")</f>
        <v>#NAME?</v>
      </c>
      <c r="AV412" s="1" t="e">
        <f ca="1">_xll.BDH($C$403,"GEO_GROW_TOT_ASSET","FQ4 2015","FQ4 2015","Currency=INR","Period=FQ","BEST_FPERIOD_OVERRIDE=FQ","FILING_STATUS=OR","EQY_CONSOLIDATED=Y","Sort=A","Dates=H","DateFormat=P","Fill=—","Direction=H","UseDPDF=Y")</f>
        <v>#NAME?</v>
      </c>
      <c r="AW412" s="1" t="e">
        <f ca="1">_xll.BDH($C$403,"MODIFIED_WORKING_CPTL_5YR_GRWTH","FQ4 2015","FQ4 2015","Currency=INR","Period=FQ","BEST_FPERIOD_OVERRIDE=FQ","FILING_STATUS=OR","EQY_CONSOLIDATED=Y","Sort=A","Dates=H","DateFormat=P","Fill=—","Direction=H","UseDPDF=Y")</f>
        <v>#NAME?</v>
      </c>
      <c r="AX412" s="1" t="e">
        <f ca="1">_xll.BDH($C$403,"WORKING_CAPITAL_5_YEAR_GROWTH","FQ4 2015","FQ4 2015","Currency=INR","Period=FQ","BEST_FPERIOD_OVERRIDE=FQ","FILING_STATUS=OR","EQY_CONSOLIDATED=Y","Sort=A","Dates=H","DateFormat=P","Fill=—","Direction=H","UseDPDF=Y")</f>
        <v>#NAME?</v>
      </c>
      <c r="AY412" s="1" t="e">
        <f ca="1">_xll.BDH($C$403,"ACCOUNTS_PAYABLE_5_YEAR_GROWTH","FQ4 2015","FQ4 2015","Currency=INR","Period=FQ","BEST_FPERIOD_OVERRIDE=FQ","FILING_STATUS=OR","EQY_CONSOLIDATED=Y","Sort=A","Dates=H","DateFormat=P","Fill=—","Direction=H","UseDPDF=Y")</f>
        <v>#NAME?</v>
      </c>
      <c r="AZ412" s="1" t="e">
        <f ca="1">_xll.BDH($C$403,"SHORT_TERM_DEBT_5_YEAR_GROWTH","FQ4 2015","FQ4 2015","Currency=INR","Period=FQ","BEST_FPERIOD_OVERRIDE=FQ","FILING_STATUS=OR","EQY_CONSOLIDATED=Y","Sort=A","Dates=H","DateFormat=P","Fill=—","Direction=H","UseDPDF=Y")</f>
        <v>#NAME?</v>
      </c>
      <c r="BA412" s="1" t="e">
        <f ca="1">_xll.BDH($C$403,"TOTAL_DEBT_5_YEAR_GROWTH","FQ4 2015","FQ4 2015","Currency=INR","Period=FQ","BEST_FPERIOD_OVERRIDE=FQ","FILING_STATUS=OR","EQY_CONSOLIDATED=Y","Sort=A","Dates=H","DateFormat=P","Fill=—","Direction=H","UseDPDF=Y")</f>
        <v>#NAME?</v>
      </c>
      <c r="BB412" s="1" t="e">
        <f ca="1">_xll.BDH($C$403,"GEO_GROW_TOT_SHRHLDR_EQY","FQ4 2015","FQ4 2015","Currency=INR","Period=FQ","BEST_FPERIOD_OVERRIDE=FQ","FILING_STATUS=OR","EQY_CONSOLIDATED=Y","Sort=A","Dates=H","DateFormat=P","Fill=—","Direction=H","UseDPDF=Y")</f>
        <v>#NAME?</v>
      </c>
      <c r="BC412" s="1" t="e">
        <f ca="1">_xll.BDH($C$403,"TOTAL_CAPITAL_5_YEAR_GROWTH","FQ4 2015","FQ4 2015","Currency=INR","Period=FQ","BEST_FPERIOD_OVERRIDE=FQ","FILING_STATUS=OR","EQY_CONSOLIDATED=Y","Sort=A","Dates=H","DateFormat=P","Fill=—","Direction=H","UseDPDF=Y")</f>
        <v>#NAME?</v>
      </c>
      <c r="BD412" s="1" t="e">
        <f ca="1">_xll.BDH($C$403,"GEO_GROW_BOOK_VAL","FQ4 2015","FQ4 2015","Currency=INR","Period=FQ","BEST_FPERIOD_OVERRIDE=FQ","FILING_STATUS=OR","EQY_CONSOLIDATED=Y","Sort=A","Dates=H","DateFormat=P","Fill=—","Direction=H","UseDPDF=Y")</f>
        <v>#NAME?</v>
      </c>
      <c r="BE412" s="1" t="e">
        <f ca="1">_xll.BDH($C$403,"GEO_GROW_CASH_OPER_ACT","FQ4 2015","FQ4 2015","Currency=INR","Period=FQ","BEST_FPERIOD_OVERRIDE=FQ","FILING_STATUS=OR","EQY_CONSOLIDATED=Y","Sort=A","Dates=H","DateFormat=P","Fill=—","Direction=H","UseDPDF=Y")</f>
        <v>#NAME?</v>
      </c>
      <c r="BF412" s="1" t="e">
        <f ca="1">_xll.BDH($C$403,"REVENUE_SEQUENTIAL_GROWTH","FQ4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12" s="1" t="e">
        <f ca="1">_xll.BDH($C$403,"EBITDA_SEQUENTIAL_GROWTH","FQ4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12" s="1" t="e">
        <f ca="1">_xll.BDH($C$403,"OPERATING_INCOME_SEQ_GROWTH","FQ4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12" s="1" t="e">
        <f ca="1">_xll.BDH($C$403,"NET_INCOME_TO_COMMON_SEQ_GROWTH","FQ4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12" s="1" t="e">
        <f ca="1">_xll.BDH($C$403,"EPS_DILUTED_SEQUENTIAL_GROWTH","FQ4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12" s="1" t="e">
        <f ca="1">_xll.BDH($C$403,"DPS_SEQUENTIAL_GROWTH","FQ4 2015","FQ4 2015","Currency=INR","Period=FQ","BEST_FPERIOD_OVERRIDE=FQ","FILING_STATUS=OR","EQY_CONSOLIDATED=Y","Sort=A","Dates=H","DateFormat=P","Fill=—","Direction=H","UseDPDF=Y")</f>
        <v>#NAME?</v>
      </c>
      <c r="BL412" s="1" t="e">
        <f ca="1">_xll.BDH($C$403,"ACCOUNTS_RECEIVABLE_SEQ_GROWTH","FQ4 2015","FQ4 2015","Currency=INR","Period=FQ","BEST_FPERIOD_OVERRIDE=FQ","FILING_STATUS=OR","EQY_CONSOLIDATED=Y","Sort=A","Dates=H","DateFormat=P","Fill=—","Direction=H","UseDPDF=Y")</f>
        <v>#NAME?</v>
      </c>
      <c r="BM412" s="1" t="e">
        <f ca="1">_xll.BDH($C$403,"INVENTORY_SEQUENTIAL_GROWTH","FQ4 2015","FQ4 2015","Currency=INR","Period=FQ","BEST_FPERIOD_OVERRIDE=FQ","FILING_STATUS=OR","EQY_CONSOLIDATED=Y","Sort=A","Dates=H","DateFormat=P","Fill=—","Direction=H","UseDPDF=Y")</f>
        <v>#NAME?</v>
      </c>
      <c r="BN412" s="1" t="e">
        <f ca="1">_xll.BDH($C$403,"FIXED_ASSETS_SEQUENTIAL_GROWTH","FQ4 2015","FQ4 2015","Currency=INR","Period=FQ","BEST_FPERIOD_OVERRIDE=FQ","FILING_STATUS=OR","EQY_CONSOLIDATED=Y","Sort=A","Dates=H","DateFormat=P","Fill=—","Direction=H","UseDPDF=Y")</f>
        <v>#NAME?</v>
      </c>
      <c r="BO412" s="1" t="e">
        <f ca="1">_xll.BDH($C$403,"TOTAL_ASSETS_SEQUENTIAL_GROWTH","FQ4 2015","FQ4 2015","Currency=INR","Period=FQ","BEST_FPERIOD_OVERRIDE=FQ","FILING_STATUS=OR","EQY_CONSOLIDATED=Y","Sort=A","Dates=H","DateFormat=P","Fill=—","Direction=H","UseDPDF=Y")</f>
        <v>#NAME?</v>
      </c>
      <c r="BP412" s="1" t="e">
        <f ca="1">_xll.BDH($C$403,"MODIFIED_WORKING_CPTL_SEQ_GRWTH","FQ4 2015","FQ4 2015","Currency=INR","Period=FQ","BEST_FPERIOD_OVERRIDE=FQ","FILING_STATUS=OR","EQY_CONSOLIDATED=Y","Sort=A","Dates=H","DateFormat=P","Fill=—","Direction=H","UseDPDF=Y")</f>
        <v>#NAME?</v>
      </c>
      <c r="BQ412" s="1" t="e">
        <f ca="1">_xll.BDH($C$403,"WORKING_CAPITAL_SEQ_GROWTH","FQ4 2015","FQ4 2015","Currency=INR","Period=FQ","BEST_FPERIOD_OVERRIDE=FQ","FILING_STATUS=OR","EQY_CONSOLIDATED=Y","Sort=A","Dates=H","DateFormat=P","Fill=—","Direction=H","UseDPDF=Y")</f>
        <v>#NAME?</v>
      </c>
      <c r="BR412" s="1" t="e">
        <f ca="1">_xll.BDH($C$403,"ACCOUNTS_PAYABLE_SEQ_GROWTH","FQ4 2015","FQ4 2015","Currency=INR","Period=FQ","BEST_FPERIOD_OVERRIDE=FQ","FILING_STATUS=OR","EQY_CONSOLIDATED=Y","Sort=A","Dates=H","DateFormat=P","Fill=—","Direction=H","UseDPDF=Y")</f>
        <v>#NAME?</v>
      </c>
      <c r="BS412" s="1" t="e">
        <f ca="1">_xll.BDH($C$403,"ST_DEBT_SEQUENTIAL_GROWTH","FQ4 2015","FQ4 2015","Currency=INR","Period=FQ","BEST_FPERIOD_OVERRIDE=FQ","FILING_STATUS=OR","EQY_CONSOLIDATED=Y","Sort=A","Dates=H","DateFormat=P","Fill=—","Direction=H","UseDPDF=Y")</f>
        <v>#NAME?</v>
      </c>
      <c r="BT412" s="1" t="e">
        <f ca="1">_xll.BDH($C$403,"TOTAL_DEBT_SEQUENTIAL_GROWTH","FQ4 2015","FQ4 2015","Currency=INR","Period=FQ","BEST_FPERIOD_OVERRIDE=FQ","FILING_STATUS=OR","EQY_CONSOLIDATED=Y","Sort=A","Dates=H","DateFormat=P","Fill=—","Direction=H","UseDPDF=Y")</f>
        <v>#NAME?</v>
      </c>
      <c r="BU412" s="1" t="e">
        <f ca="1">_xll.BDH($C$403,"TOTAL_EQUITY_SEQUENTIAL_GROWTH","FQ4 2015","FQ4 2015","Currency=INR","Period=FQ","BEST_FPERIOD_OVERRIDE=FQ","FILING_STATUS=OR","EQY_CONSOLIDATED=Y","Sort=A","Dates=H","DateFormat=P","Fill=—","Direction=H","UseDPDF=Y")</f>
        <v>#NAME?</v>
      </c>
      <c r="BV412" s="1" t="e">
        <f ca="1">_xll.BDH($C$403,"TOTAL_CAPITAL_SEQUENTIAL_GROWTH","FQ4 2015","FQ4 2015","Currency=INR","Period=FQ","BEST_FPERIOD_OVERRIDE=FQ","FILING_STATUS=OR","EQY_CONSOLIDATED=Y","Sort=A","Dates=H","DateFormat=P","Fill=—","Direction=H","UseDPDF=Y")</f>
        <v>#NAME?</v>
      </c>
      <c r="BW412" s="1" t="e">
        <f ca="1">_xll.BDH($C$403,"BPS_SEQUENTIAL_GROWTH","FQ4 2015","FQ4 2015","Currency=INR","Period=FQ","BEST_FPERIOD_OVERRIDE=FQ","FILING_STATUS=OR","EQY_CONSOLIDATED=Y","Sort=A","Dates=H","DateFormat=P","Fill=—","Direction=H","UseDPDF=Y")</f>
        <v>#NAME?</v>
      </c>
      <c r="BX412" s="1" t="e">
        <f ca="1">_xll.BDH($C$403,"CFO_SEQUENTIAL_GROWTH","FQ4 2015","FQ4 2015","Currency=INR","Period=FQ","BEST_FPERIOD_OVERRIDE=FQ","FILING_STATUS=OR","EQY_CONSOLIDATED=Y","Sort=A","Dates=H","DateFormat=P","Fill=—","Direction=H","UseDPDF=Y")</f>
        <v>#NAME?</v>
      </c>
      <c r="BY412" s="2" t="e">
        <f ca="1">_xll.BDH($C$403,"SHORT_AND_LONG_TERM_DEBT","FQ4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12" s="2" t="e">
        <f ca="1">_xll.BDH($C$403,"BS_ST_BORROW","FQ4 2015","FQ4 2015","Currency=INR","Period=FQ","BEST_FPERIOD_OVERRIDE=FQ","FILING_STATUS=OR","EQY_CONSOLIDATED=Y","SCALING_FORMAT=MLN","Sort=A","Dates=H","DateFormat=P","Fill=—","Direction=H","UseDPDF=Y")</f>
        <v>#NAME?</v>
      </c>
      <c r="CA412" s="2" t="e">
        <f ca="1">_xll.BDH($C$403,"BS_LT_BORROW","FQ4 2015","FQ4 2015","Currency=INR","Period=FQ","BEST_FPERIOD_OVERRIDE=FQ","FILING_STATUS=OR","EQY_CONSOLIDATED=Y","SCALING_FORMAT=MLN","Sort=A","Dates=H","DateFormat=P","Fill=—","Direction=H","UseDPDF=Y")</f>
        <v>#NAME?</v>
      </c>
      <c r="CB412" s="1" t="e">
        <f ca="1">_xll.BDH($C$403,"TOT_DEBT_TO_EBITDA","FQ4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12" s="1" t="e">
        <f ca="1">_xll.BDH($C$403,"NET_DEBT_TO_EBITDA","FQ4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12" s="1" t="e">
        <f ca="1">_xll.BDH($C$403,"TOTAL_DEBT_TO_EBIT","FQ4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12" s="1" t="e">
        <f ca="1">_xll.BDH($C$403,"NET_DEBT_TO_EBIT","FQ4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412" s="1" t="e">
        <f ca="1">_xll.BDH($C$403,"EBITDA_TO_INTEREST_EXPN","FQ4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12" s="1" t="e">
        <f ca="1">_xll.BDH($C$403,"COM_EQY_TO_TOT_ASSET","FQ4 2015","FQ4 2015","Currency=INR","Period=FQ","BEST_FPERIOD_OVERRIDE=FQ","FILING_STATUS=OR","EQY_CONSOLIDATED=Y","Sort=A","Dates=H","DateFormat=P","Fill=—","Direction=H","UseDPDF=Y")</f>
        <v>#NAME?</v>
      </c>
      <c r="CH412" s="1" t="e">
        <f ca="1">_xll.BDH($C$403,"LT_DEBT_TO_TOT_EQY","FQ4 2015","FQ4 2015","Currency=INR","Period=FQ","BEST_FPERIOD_OVERRIDE=FQ","FILING_STATUS=OR","EQY_CONSOLIDATED=Y","Sort=A","Dates=H","DateFormat=P","Fill=—","Direction=H","UseDPDF=Y")</f>
        <v>#NAME?</v>
      </c>
      <c r="CI412" s="1" t="e">
        <f ca="1">_xll.BDH($C$403,"LT_DEBT_TO_TOT_CAP","FQ4 2015","FQ4 2015","Currency=INR","Period=FQ","BEST_FPERIOD_OVERRIDE=FQ","FILING_STATUS=OR","EQY_CONSOLIDATED=Y","Sort=A","Dates=H","DateFormat=P","Fill=—","Direction=H","UseDPDF=Y")</f>
        <v>#NAME?</v>
      </c>
      <c r="CJ412" s="1" t="e">
        <f ca="1">_xll.BDH($C$403,"LT_DEBT_TO_TOT_ASSET","FQ4 2015","FQ4 2015","Currency=INR","Period=FQ","BEST_FPERIOD_OVERRIDE=FQ","FILING_STATUS=OR","EQY_CONSOLIDATED=Y","Sort=A","Dates=H","DateFormat=P","Fill=—","Direction=H","UseDPDF=Y")</f>
        <v>#NAME?</v>
      </c>
      <c r="CK412" s="1" t="e">
        <f ca="1">_xll.BDH($C$403,"TOT_DEBT_TO_TOT_EQY","FQ4 2015","FQ4 2015","Currency=INR","Period=FQ","BEST_FPERIOD_OVERRIDE=FQ","FILING_STATUS=OR","EQY_CONSOLIDATED=Y","Sort=A","Dates=H","DateFormat=P","Fill=—","Direction=H","UseDPDF=Y")</f>
        <v>#NAME?</v>
      </c>
      <c r="CL412" s="1" t="e">
        <f ca="1">_xll.BDH($C$403,"TOT_DEBT_TO_TOT_CAP","FQ4 2015","FQ4 2015","Currency=INR","Period=FQ","BEST_FPERIOD_OVERRIDE=FQ","FILING_STATUS=OR","EQY_CONSOLIDATED=Y","Sort=A","Dates=H","DateFormat=P","Fill=—","Direction=H","UseDPDF=Y")</f>
        <v>#NAME?</v>
      </c>
      <c r="CM412" s="1" t="e">
        <f ca="1">_xll.BDH($C$403,"TOT_DEBT_TO_TOT_ASSET","FQ4 2015","FQ4 2015","Currency=INR","Period=FQ","BEST_FPERIOD_OVERRIDE=FQ","FILING_STATUS=OR","EQY_CONSOLIDATED=Y","Sort=A","Dates=H","DateFormat=P","Fill=—","Direction=H","UseDPDF=Y")</f>
        <v>#NAME?</v>
      </c>
      <c r="CN412" s="1" t="e">
        <f ca="1">_xll.BDH($C$403,"NET_DEBT_TO_SHRHLDR_EQTY","FQ4 2015","FQ4 2015","Currency=INR","Period=FQ","BEST_FPERIOD_OVERRIDE=FQ","FILING_STATUS=OR","EQY_CONSOLIDATED=Y","Sort=A","Dates=H","DateFormat=P","Fill=—","Direction=H","UseDPDF=Y")</f>
        <v>#NAME?</v>
      </c>
      <c r="CO412" s="1" t="e">
        <f ca="1">_xll.BDH($C$403,"NET_DEBT_%_CAPITAL","FQ4 2015","FQ4 2015","Currency=INR","Period=FQ","BEST_FPERIOD_OVERRIDE=FQ","FILING_STATUS=OR","EQY_CONSOLIDATED=Y","Sort=A","Dates=H","DateFormat=P","Fill=—","Direction=H","UseDPDF=Y")</f>
        <v>#NAME?</v>
      </c>
      <c r="CP412" s="2" t="e">
        <f ca="1">_xll.BDH($C$403,"EBITDA","FQ4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12" s="2" t="e">
        <f ca="1">_xll.BDH($C$403,"EBITDA_AFTER_CAPEX","FQ4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12" s="2" t="e">
        <f ca="1">_xll.BDH($C$403,"IS_OPER_INC","FQ4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12" s="1" t="e">
        <f ca="1">_xll.BDH($C$403,"CASH_RATIO","FQ4 2015","FQ4 2015","Currency=INR","Period=FQ","BEST_FPERIOD_OVERRIDE=FQ","FILING_STATUS=OR","EQY_CONSOLIDATED=Y","Sort=A","Dates=H","DateFormat=P","Fill=—","Direction=H","UseDPDF=Y")</f>
        <v>#NAME?</v>
      </c>
      <c r="CT412" s="1" t="e">
        <f ca="1">_xll.BDH($C$403,"CUR_RATIO","FQ4 2015","FQ4 2015","Currency=INR","Period=FQ","BEST_FPERIOD_OVERRIDE=FQ","FILING_STATUS=OR","EQY_CONSOLIDATED=Y","Sort=A","Dates=H","DateFormat=P","Fill=—","Direction=H","UseDPDF=Y")</f>
        <v>#NAME?</v>
      </c>
      <c r="CU412" s="1" t="e">
        <f ca="1">_xll.BDH($C$403,"QUICK_RATIO","FQ4 2015","FQ4 2015","Currency=INR","Period=FQ","BEST_FPERIOD_OVERRIDE=FQ","FILING_STATUS=OR","EQY_CONSOLIDATED=Y","Sort=A","Dates=H","DateFormat=P","Fill=—","Direction=H","UseDPDF=Y")</f>
        <v>#NAME?</v>
      </c>
      <c r="CV412" s="1" t="e">
        <f ca="1">_xll.BDH($C$403,"ALTMAN_Z_SCORE","FQ4 2015","FQ4 2015","Currency=INR","Period=FQ","BEST_FPERIOD_OVERRIDE=FQ","FILING_STATUS=OR","EQY_CONSOLIDATED=Y","Sort=A","Dates=H","DateFormat=P","Fill=—","Direction=H","UseDPDF=Y")</f>
        <v>#NAME?</v>
      </c>
      <c r="CW412" s="3" t="e">
        <f ca="1">_xll.BDH($C$403,"ACCT_RCV_TURN","FQ4 2015","FQ4 2015","Currency=INR","Period=FQ","BEST_FPERIOD_OVERRIDE=FQ","FILING_STATUS=OR","EQY_CONSOLIDATED=Y","FA_ADJUSTED=GAAP","Sort=A","Dates=H","DateFormat=P","Fill=—","Direction=H","UseDPDF=Y")</f>
        <v>#NAME?</v>
      </c>
      <c r="CX412" s="1" t="e">
        <f ca="1">_xll.BDH($C$403,"ACCT_RCV_DAYS","FQ4 2015","FQ4 2015","Currency=INR","Period=FQ","BEST_FPERIOD_OVERRIDE=FQ","FILING_STATUS=OR","EQY_CONSOLIDATED=Y","FA_ADJUSTED=GAAP","Sort=A","Dates=H","DateFormat=P","Fill=—","Direction=H","UseDPDF=Y")</f>
        <v>#NAME?</v>
      </c>
      <c r="CY412" s="3" t="e">
        <f ca="1">_xll.BDH($C$403,"INVENT_TURN","FQ4 2015","FQ4 2015","Currency=INR","Period=FQ","BEST_FPERIOD_OVERRIDE=FQ","FILING_STATUS=OR","EQY_CONSOLIDATED=Y","FA_ADJUSTED=GAAP","Sort=A","Dates=H","DateFormat=P","Fill=—","Direction=H","UseDPDF=Y")</f>
        <v>#NAME?</v>
      </c>
      <c r="CZ412" s="1" t="e">
        <f ca="1">_xll.BDH($C$403,"INVENT_DAYS","FQ4 2015","FQ4 2015","Currency=INR","Period=FQ","BEST_FPERIOD_OVERRIDE=FQ","FILING_STATUS=OR","EQY_CONSOLIDATED=Y","FA_ADJUSTED=GAAP","Sort=A","Dates=H","DateFormat=P","Fill=—","Direction=H","UseDPDF=Y")</f>
        <v>#NAME?</v>
      </c>
      <c r="DA412" s="3" t="e">
        <f ca="1">_xll.BDH($C$403,"ACCOUNTS_PAYABLE_TURNOVER","FQ4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12" s="1" t="e">
        <f ca="1">_xll.BDH($C$403,"ACCOUNTS_PAYABLE_TURNOVER_DAYS","FQ4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12" s="3" t="e">
        <f ca="1">_xll.BDH($C$403,"CASH_CONVERSION_CYCLE","FQ4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12" s="3" t="e">
        <f ca="1">_xll.BDH($C$403,"INV_TO_CASH_DAYS","FQ4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412" s="4" t="e">
        <f ca="1">_xll.BDH($C$403,"BS_INVENTORIES","FQ4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412" s="2" t="e">
        <f ca="1">_xll.BDH($C$403,"INVTRY_RAW_MATERIALS","FQ4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12" s="2" t="e">
        <f ca="1">_xll.BDH($C$403,"INVTRY_IN_PROGRESS","FQ4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12" s="2" t="e">
        <f ca="1">_xll.BDH($C$403,"INVTRY_FINISHED_GOODS","FQ4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12" s="2" t="e">
        <f ca="1">_xll.BDH($C$403,"BS_OTHER_INV","FQ4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13" spans="1:113" x14ac:dyDescent="0.3">
      <c r="A413" s="6"/>
      <c r="B413" s="6"/>
      <c r="C413" s="6"/>
      <c r="D413" s="6" t="s">
        <v>9</v>
      </c>
      <c r="E413" t="s">
        <v>3</v>
      </c>
      <c r="F413" t="e">
        <f ca="1">_xll.BDH($C$403,"RETURN_COM_EQY","FY 2016","FY 2016","Currency=INR","Period=FY","BEST_FPERIOD_OVERRIDE=FY","FILING_STATUS=OR","EQY_CONSOLIDATED=Y","FA_ADJUSTED=GAAP","Sort=A","Dates=H","DateFormat=P","Fill=—","Direction=H","UseDPDF=Y")</f>
        <v>#NAME?</v>
      </c>
      <c r="G413" t="e">
        <f ca="1">_xll.BDH($C$403,"RETURN_ON_ASSET","FY 2016","FY 2016","Currency=INR","Period=FY","BEST_FPERIOD_OVERRIDE=FY","FILING_STATUS=OR","EQY_CONSOLIDATED=Y","FA_ADJUSTED=GAAP","Sort=A","Dates=H","DateFormat=P","Fill=—","Direction=H","UseDPDF=Y")</f>
        <v>#NAME?</v>
      </c>
      <c r="H413" t="e">
        <f ca="1">_xll.BDH($C$403,"RETURN_ON_CAP","FY 2016","FY 2016","Currency=INR","Period=FY","BEST_FPERIOD_OVERRIDE=FY","FILING_STATUS=OR","EQY_CONSOLIDATED=Y","FA_ADJUSTED=GAAP","Sort=A","Dates=H","DateFormat=P","Fill=—","Direction=H","UseDPDF=Y")</f>
        <v>#NAME?</v>
      </c>
      <c r="I413" t="e">
        <f ca="1">_xll.BDH($C$403,"RETURN_ON_INV_CAPITAL","FY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13" t="e">
        <f ca="1">_xll.BDH($C$403,"EBITDA_TO_REVENUE","FY 2016","FY 2016","Currency=INR","Period=FY","BEST_FPERIOD_OVERRIDE=FY","FILING_STATUS=OR","EQY_CONSOLIDATED=Y","FA_ADJUSTED=GAAP","Sort=A","Dates=H","DateFormat=P","Fill=—","Direction=H","UseDPDF=Y")</f>
        <v>#NAME?</v>
      </c>
      <c r="K413" t="e">
        <f ca="1">_xll.BDH($C$403,"OPER_MARGIN","FY 2016","FY 2016","Currency=INR","Period=FY","BEST_FPERIOD_OVERRIDE=FY","FILING_STATUS=OR","EQY_CONSOLIDATED=Y","FA_ADJUSTED=GAAP","Sort=A","Dates=H","DateFormat=P","Fill=—","Direction=H","UseDPDF=Y")</f>
        <v>#NAME?</v>
      </c>
      <c r="L413" t="e">
        <f ca="1">_xll.BDH($C$403,"INCREMENTAL_OPERATING_MARGIN","FY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13" t="e">
        <f ca="1">_xll.BDH($C$403,"PRETAX_INC_TO_NET_SALES","FY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13" t="e">
        <f ca="1">_xll.BDH($C$403,"INC_BEF_XO_ITEMS_TO_NET_SALES","FY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13" t="e">
        <f ca="1">_xll.BDH($C$403,"PROF_MARGIN","FY 2016","FY 2016","Currency=INR","Period=FY","BEST_FPERIOD_OVERRIDE=FY","FILING_STATUS=OR","EQY_CONSOLIDATED=Y","FA_ADJUSTED=GAAP","Sort=A","Dates=H","DateFormat=P","Fill=—","Direction=H","UseDPDF=Y")</f>
        <v>#NAME?</v>
      </c>
      <c r="P413" t="e">
        <f ca="1">_xll.BDH($C$403,"NET_INCOME_TO_COMMON_MARGIN","FY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13" t="e">
        <f ca="1">_xll.BDH($C$403,"EFF_TAX_RATE","FY 2016","FY 2016","Currency=INR","Period=FY","BEST_FPERIOD_OVERRIDE=FY","FILING_STATUS=OR","EQY_CONSOLIDATED=Y","FA_ADJUSTED=GAAP","Sort=A","Dates=H","DateFormat=P","Fill=—","Direction=H","UseDPDF=Y")</f>
        <v>#NAME?</v>
      </c>
      <c r="R413" t="e">
        <f ca="1">_xll.BDH($C$403,"DVD_PAYOUT_RATIO","FY 2016","FY 2016","Currency=INR","Period=FY","BEST_FPERIOD_OVERRIDE=FY","FILING_STATUS=OR","EQY_CONSOLIDATED=Y","FA_ADJUSTED=GAAP","Sort=A","Dates=H","DateFormat=P","Fill=—","Direction=H","UseDPDF=Y")</f>
        <v>#NAME?</v>
      </c>
      <c r="S413" t="e">
        <f ca="1">_xll.BDH($C$403,"SUSTAIN_GROWTH_RT","FY 2016","FY 2016","Currency=INR","Period=FY","BEST_FPERIOD_OVERRIDE=FY","FILING_STATUS=OR","EQY_CONSOLIDATED=Y","FA_ADJUSTED=GAAP","Sort=A","Dates=H","DateFormat=P","Fill=—","Direction=H","UseDPDF=Y")</f>
        <v>#NAME?</v>
      </c>
      <c r="T413" s="1" t="e">
        <f ca="1">_xll.BDH($C$403,"SALES_GROWTH","FY 2016","FY 2016","Currency=INR","Period=FY","BEST_FPERIOD_OVERRIDE=FY","FILING_STATUS=OR","EQY_CONSOLIDATED=Y","FA_ADJUSTED=GAAP","Sort=A","Dates=H","DateFormat=P","Fill=—","Direction=H","UseDPDF=Y")</f>
        <v>#NAME?</v>
      </c>
      <c r="U413" s="1" t="e">
        <f ca="1">_xll.BDH($C$403,"EBITDA_GROWTH","FY 2016","FY 2016","Currency=INR","Period=FY","BEST_FPERIOD_OVERRIDE=FY","FILING_STATUS=OR","EQY_CONSOLIDATED=Y","FA_ADJUSTED=GAAP","Sort=A","Dates=H","DateFormat=P","Fill=—","Direction=H","UseDPDF=Y")</f>
        <v>#NAME?</v>
      </c>
      <c r="V413" s="1" t="e">
        <f ca="1">_xll.BDH($C$403,"OPER_INC_GROWTH","FY 2016","FY 2016","Currency=INR","Period=FY","BEST_FPERIOD_OVERRIDE=FY","FILING_STATUS=OR","EQY_CONSOLIDATED=Y","FA_ADJUSTED=GAAP","Sort=A","Dates=H","DateFormat=P","Fill=—","Direction=H","UseDPDF=Y")</f>
        <v>#NAME?</v>
      </c>
      <c r="W413" s="1" t="e">
        <f ca="1">_xll.BDH($C$403,"EARN_FOR_COM_GROWTH","FY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413" s="1" t="e">
        <f ca="1">_xll.BDH($C$403,"DILUTED_EPS_AFT_XO_ITEMS_GROWTH","FY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13" s="1" t="e">
        <f ca="1">_xll.BDH($C$403,"DIVIDEND_PER_SHARE_1_YEAR_GROWTH","FY 2016","FY 2016","Currency=INR","Period=FY","BEST_FPERIOD_OVERRIDE=FY","FILING_STATUS=OR","EQY_CONSOLIDATED=Y","Sort=A","Dates=H","DateFormat=P","Fill=—","Direction=H","UseDPDF=Y")</f>
        <v>#NAME?</v>
      </c>
      <c r="Z413" s="1" t="e">
        <f ca="1">_xll.BDH($C$403,"ACCOUNTS_RECEIVABLE_GROWTH","FY 2016","FY 2016","Currency=INR","Period=FY","BEST_FPERIOD_OVERRIDE=FY","FILING_STATUS=OR","EQY_CONSOLIDATED=Y","Sort=A","Dates=H","DateFormat=P","Fill=—","Direction=H","UseDPDF=Y")</f>
        <v>#NAME?</v>
      </c>
      <c r="AA413" s="1" t="e">
        <f ca="1">_xll.BDH($C$403,"INVENTORY_GROWTH","FY 2016","FY 2016","Currency=INR","Period=FY","BEST_FPERIOD_OVERRIDE=FY","FILING_STATUS=OR","EQY_CONSOLIDATED=Y","Sort=A","Dates=H","DateFormat=P","Fill=—","Direction=H","UseDPDF=Y")</f>
        <v>#NAME?</v>
      </c>
      <c r="AB413" s="1" t="e">
        <f ca="1">_xll.BDH($C$403,"NET_FIXED_ASSETS_1_YEAR_GROWTH","FY 2016","FY 2016","Currency=INR","Period=FY","BEST_FPERIOD_OVERRIDE=FY","FILING_STATUS=OR","EQY_CONSOLIDATED=Y","Sort=A","Dates=H","DateFormat=P","Fill=—","Direction=H","UseDPDF=Y")</f>
        <v>#NAME?</v>
      </c>
      <c r="AC413" s="1" t="e">
        <f ca="1">_xll.BDH($C$403,"ASSET_GROWTH","FY 2016","FY 2016","Currency=INR","Period=FY","BEST_FPERIOD_OVERRIDE=FY","FILING_STATUS=OR","EQY_CONSOLIDATED=Y","Sort=A","Dates=H","DateFormat=P","Fill=—","Direction=H","UseDPDF=Y")</f>
        <v>#NAME?</v>
      </c>
      <c r="AD413" s="1" t="e">
        <f ca="1">_xll.BDH($C$403,"MODIFIED_WORK_CAP_GROWTH","FY 2016","FY 2016","Currency=INR","Period=FY","BEST_FPERIOD_OVERRIDE=FY","FILING_STATUS=OR","EQY_CONSOLIDATED=Y","Sort=A","Dates=H","DateFormat=P","Fill=—","Direction=H","UseDPDF=Y")</f>
        <v>#NAME?</v>
      </c>
      <c r="AE413" s="1" t="e">
        <f ca="1">_xll.BDH($C$403,"WORK_CAP_GROWTH","FY 2016","FY 2016","Currency=INR","Period=FY","BEST_FPERIOD_OVERRIDE=FY","FILING_STATUS=OR","EQY_CONSOLIDATED=Y","Sort=A","Dates=H","DateFormat=P","Fill=—","Direction=H","UseDPDF=Y")</f>
        <v>#NAME?</v>
      </c>
      <c r="AF413" s="1" t="e">
        <f ca="1">_xll.BDH($C$403,"ACCOUNTS_PAYABLE_GROWTH_1YR","FY 2016","FY 2016","Currency=INR","Period=FY","BEST_FPERIOD_OVERRIDE=FY","FILING_STATUS=OR","EQY_CONSOLIDATED=Y","Sort=A","Dates=H","DateFormat=P","Fill=—","Direction=H","UseDPDF=Y")</f>
        <v>#NAME?</v>
      </c>
      <c r="AG413" s="1" t="e">
        <f ca="1">_xll.BDH($C$403,"SHORT_TERM_DEBT_1_YEAR_GROWTH","FY 2016","FY 2016","Currency=INR","Period=FY","BEST_FPERIOD_OVERRIDE=FY","FILING_STATUS=OR","EQY_CONSOLIDATED=Y","Sort=A","Dates=H","DateFormat=P","Fill=—","Direction=H","UseDPDF=Y")</f>
        <v>#NAME?</v>
      </c>
      <c r="AH413" s="1" t="e">
        <f ca="1">_xll.BDH($C$403,"TOTAL_DEBT_1_YEAR_GROWTH","FY 2016","FY 2016","Currency=INR","Period=FY","BEST_FPERIOD_OVERRIDE=FY","FILING_STATUS=OR","EQY_CONSOLIDATED=Y","Sort=A","Dates=H","DateFormat=P","Fill=—","Direction=H","UseDPDF=Y")</f>
        <v>#NAME?</v>
      </c>
      <c r="AI413" s="1" t="e">
        <f ca="1">_xll.BDH($C$403,"TOTAL_EQUITY_1_YEAR_GROWTH","FY 2016","FY 2016","Currency=INR","Period=FY","BEST_FPERIOD_OVERRIDE=FY","FILING_STATUS=OR","EQY_CONSOLIDATED=Y","Sort=A","Dates=H","DateFormat=P","Fill=—","Direction=H","UseDPDF=Y")</f>
        <v>#NAME?</v>
      </c>
      <c r="AJ413" s="1" t="e">
        <f ca="1">_xll.BDH($C$403,"GROWTH_IN_CAP","FY 2016","FY 2016","Currency=INR","Period=FY","BEST_FPERIOD_OVERRIDE=FY","FILING_STATUS=OR","EQY_CONSOLIDATED=Y","Sort=A","Dates=H","DateFormat=P","Fill=—","Direction=H","UseDPDF=Y")</f>
        <v>#NAME?</v>
      </c>
      <c r="AK413" s="1" t="e">
        <f ca="1">_xll.BDH($C$403,"BVPS_GROWTH","FY 2016","FY 2016","Currency=INR","Period=FY","BEST_FPERIOD_OVERRIDE=FY","FILING_STATUS=OR","EQY_CONSOLIDATED=Y","Sort=A","Dates=H","DateFormat=P","Fill=—","Direction=H","UseDPDF=Y")</f>
        <v>#NAME?</v>
      </c>
      <c r="AL413" s="1" t="e">
        <f ca="1">_xll.BDH($C$403,"CASH_FLOW_GROWTH","FY 2016","FY 2016","Currency=INR","Period=FY","BEST_FPERIOD_OVERRIDE=FY","FILING_STATUS=OR","EQY_CONSOLIDATED=Y","Sort=A","Dates=H","DateFormat=P","Fill=—","Direction=H","UseDPDF=Y")</f>
        <v>#NAME?</v>
      </c>
      <c r="AM413" s="1" t="e">
        <f ca="1">_xll.BDH($C$403,"GEO_GROW_NET_SALES","FY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413" s="1" t="e">
        <f ca="1">_xll.BDH($C$403,"GEO_GROW_EBITDA","FY 2016","FY 2016","Currency=INR","Period=FY","BEST_FPERIOD_OVERRIDE=FY","FILING_STATUS=OR","EQY_CONSOLIDATED=Y","FA_ADJUSTED=GAAP","Sort=A","Dates=H","DateFormat=P","Fill=—","Direction=H","UseDPDF=Y")</f>
        <v>#NAME?</v>
      </c>
      <c r="AO413" s="1" t="e">
        <f ca="1">_xll.BDH($C$403,"GEO_GROW_OPER_INC","FY 2016","FY 2016","Currency=INR","Period=FY","BEST_FPERIOD_OVERRIDE=FY","FILING_STATUS=OR","EQY_CONSOLIDATED=Y","FA_ADJUSTED=GAAP","Sort=A","Dates=H","DateFormat=P","Fill=—","Direction=H","UseDPDF=Y")</f>
        <v>#NAME?</v>
      </c>
      <c r="AP413" s="1" t="e">
        <f ca="1">_xll.BDH($C$403,"NET_INCOME_TO_COMMON_5_YR_GROWTH","FY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13" s="1" t="e">
        <f ca="1">_xll.BDH($C$403,"5Y_GEO_GROWTH_DILUTED_EPS","FY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13" s="1" t="e">
        <f ca="1">_xll.BDH($C$403,"GEO_GROW_DVD_PER_SH","FY 2016","FY 2016","Currency=INR","Period=FY","BEST_FPERIOD_OVERRIDE=FY","FILING_STATUS=OR","EQY_CONSOLIDATED=Y","Sort=A","Dates=H","DateFormat=P","Fill=—","Direction=H","UseDPDF=Y")</f>
        <v>#NAME?</v>
      </c>
      <c r="AS413" s="1" t="e">
        <f ca="1">_xll.BDH($C$403,"ACCOUNTS_RECEIVABLE_5_YR_GROWTH","FY 2016","FY 2016","Currency=INR","Period=FY","BEST_FPERIOD_OVERRIDE=FY","FILING_STATUS=OR","EQY_CONSOLIDATED=Y","Sort=A","Dates=H","DateFormat=P","Fill=—","Direction=H","UseDPDF=Y")</f>
        <v>#NAME?</v>
      </c>
      <c r="AT413" s="1" t="e">
        <f ca="1">_xll.BDH($C$403,"INVENTORY_5_YEAR_GROWTH","FY 2016","FY 2016","Currency=INR","Period=FY","BEST_FPERIOD_OVERRIDE=FY","FILING_STATUS=OR","EQY_CONSOLIDATED=Y","Sort=A","Dates=H","DateFormat=P","Fill=—","Direction=H","UseDPDF=Y")</f>
        <v>#NAME?</v>
      </c>
      <c r="AU413" s="1" t="e">
        <f ca="1">_xll.BDH($C$403,"NET_FIXED_ASSETS_5_YEAR_GROWTH","FY 2016","FY 2016","Currency=INR","Period=FY","BEST_FPERIOD_OVERRIDE=FY","FILING_STATUS=OR","EQY_CONSOLIDATED=Y","Sort=A","Dates=H","DateFormat=P","Fill=—","Direction=H","UseDPDF=Y")</f>
        <v>#NAME?</v>
      </c>
      <c r="AV413" s="1" t="e">
        <f ca="1">_xll.BDH($C$403,"GEO_GROW_TOT_ASSET","FY 2016","FY 2016","Currency=INR","Period=FY","BEST_FPERIOD_OVERRIDE=FY","FILING_STATUS=OR","EQY_CONSOLIDATED=Y","Sort=A","Dates=H","DateFormat=P","Fill=—","Direction=H","UseDPDF=Y")</f>
        <v>#NAME?</v>
      </c>
      <c r="AW413" s="1" t="e">
        <f ca="1">_xll.BDH($C$403,"MODIFIED_WORKING_CPTL_5YR_GRWTH","FY 2016","FY 2016","Currency=INR","Period=FY","BEST_FPERIOD_OVERRIDE=FY","FILING_STATUS=OR","EQY_CONSOLIDATED=Y","Sort=A","Dates=H","DateFormat=P","Fill=—","Direction=H","UseDPDF=Y")</f>
        <v>#NAME?</v>
      </c>
      <c r="AX413" s="1" t="e">
        <f ca="1">_xll.BDH($C$403,"WORKING_CAPITAL_5_YEAR_GROWTH","FY 2016","FY 2016","Currency=INR","Period=FY","BEST_FPERIOD_OVERRIDE=FY","FILING_STATUS=OR","EQY_CONSOLIDATED=Y","Sort=A","Dates=H","DateFormat=P","Fill=—","Direction=H","UseDPDF=Y")</f>
        <v>#NAME?</v>
      </c>
      <c r="AY413" s="1" t="e">
        <f ca="1">_xll.BDH($C$403,"ACCOUNTS_PAYABLE_5_YEAR_GROWTH","FY 2016","FY 2016","Currency=INR","Period=FY","BEST_FPERIOD_OVERRIDE=FY","FILING_STATUS=OR","EQY_CONSOLIDATED=Y","Sort=A","Dates=H","DateFormat=P","Fill=—","Direction=H","UseDPDF=Y")</f>
        <v>#NAME?</v>
      </c>
      <c r="AZ413" s="1" t="e">
        <f ca="1">_xll.BDH($C$403,"SHORT_TERM_DEBT_5_YEAR_GROWTH","FY 2016","FY 2016","Currency=INR","Period=FY","BEST_FPERIOD_OVERRIDE=FY","FILING_STATUS=OR","EQY_CONSOLIDATED=Y","Sort=A","Dates=H","DateFormat=P","Fill=—","Direction=H","UseDPDF=Y")</f>
        <v>#NAME?</v>
      </c>
      <c r="BA413" s="1" t="e">
        <f ca="1">_xll.BDH($C$403,"TOTAL_DEBT_5_YEAR_GROWTH","FY 2016","FY 2016","Currency=INR","Period=FY","BEST_FPERIOD_OVERRIDE=FY","FILING_STATUS=OR","EQY_CONSOLIDATED=Y","Sort=A","Dates=H","DateFormat=P","Fill=—","Direction=H","UseDPDF=Y")</f>
        <v>#NAME?</v>
      </c>
      <c r="BB413" s="1" t="e">
        <f ca="1">_xll.BDH($C$403,"GEO_GROW_TOT_SHRHLDR_EQY","FY 2016","FY 2016","Currency=INR","Period=FY","BEST_FPERIOD_OVERRIDE=FY","FILING_STATUS=OR","EQY_CONSOLIDATED=Y","Sort=A","Dates=H","DateFormat=P","Fill=—","Direction=H","UseDPDF=Y")</f>
        <v>#NAME?</v>
      </c>
      <c r="BC413" s="1" t="e">
        <f ca="1">_xll.BDH($C$403,"TOTAL_CAPITAL_5_YEAR_GROWTH","FY 2016","FY 2016","Currency=INR","Period=FY","BEST_FPERIOD_OVERRIDE=FY","FILING_STATUS=OR","EQY_CONSOLIDATED=Y","Sort=A","Dates=H","DateFormat=P","Fill=—","Direction=H","UseDPDF=Y")</f>
        <v>#NAME?</v>
      </c>
      <c r="BD413" s="1" t="e">
        <f ca="1">_xll.BDH($C$403,"GEO_GROW_BOOK_VAL","FY 2016","FY 2016","Currency=INR","Period=FY","BEST_FPERIOD_OVERRIDE=FY","FILING_STATUS=OR","EQY_CONSOLIDATED=Y","Sort=A","Dates=H","DateFormat=P","Fill=—","Direction=H","UseDPDF=Y")</f>
        <v>#NAME?</v>
      </c>
      <c r="BE413" s="1" t="e">
        <f ca="1">_xll.BDH($C$403,"GEO_GROW_CASH_OPER_ACT","FY 2016","FY 2016","Currency=INR","Period=FY","BEST_FPERIOD_OVERRIDE=FY","FILING_STATUS=OR","EQY_CONSOLIDATED=Y","Sort=A","Dates=H","DateFormat=P","Fill=—","Direction=H","UseDPDF=Y")</f>
        <v>#NAME?</v>
      </c>
      <c r="BF413" s="1" t="e">
        <f ca="1">_xll.BDH($C$403,"REVENUE_SEQUENTIAL_GROWTH","FY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13" s="1" t="e">
        <f ca="1">_xll.BDH($C$403,"EBITDA_SEQUENTIAL_GROWTH","FY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13" s="1" t="e">
        <f ca="1">_xll.BDH($C$403,"OPERATING_INCOME_SEQ_GROWTH","FY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13" s="1" t="e">
        <f ca="1">_xll.BDH($C$403,"NET_INCOME_TO_COMMON_SEQ_GROWTH","FY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13" s="1" t="e">
        <f ca="1">_xll.BDH($C$403,"EPS_DILUTED_SEQUENTIAL_GROWTH","FY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13" s="1" t="e">
        <f ca="1">_xll.BDH($C$403,"DPS_SEQUENTIAL_GROWTH","FY 2016","FY 2016","Currency=INR","Period=FY","BEST_FPERIOD_OVERRIDE=FY","FILING_STATUS=OR","EQY_CONSOLIDATED=Y","Sort=A","Dates=H","DateFormat=P","Fill=—","Direction=H","UseDPDF=Y")</f>
        <v>#NAME?</v>
      </c>
      <c r="BL413" s="1" t="e">
        <f ca="1">_xll.BDH($C$403,"ACCOUNTS_RECEIVABLE_SEQ_GROWTH","FY 2016","FY 2016","Currency=INR","Period=FY","BEST_FPERIOD_OVERRIDE=FY","FILING_STATUS=OR","EQY_CONSOLIDATED=Y","Sort=A","Dates=H","DateFormat=P","Fill=—","Direction=H","UseDPDF=Y")</f>
        <v>#NAME?</v>
      </c>
      <c r="BM413" s="1" t="e">
        <f ca="1">_xll.BDH($C$403,"INVENTORY_SEQUENTIAL_GROWTH","FY 2016","FY 2016","Currency=INR","Period=FY","BEST_FPERIOD_OVERRIDE=FY","FILING_STATUS=OR","EQY_CONSOLIDATED=Y","Sort=A","Dates=H","DateFormat=P","Fill=—","Direction=H","UseDPDF=Y")</f>
        <v>#NAME?</v>
      </c>
      <c r="BN413" s="1" t="e">
        <f ca="1">_xll.BDH($C$403,"FIXED_ASSETS_SEQUENTIAL_GROWTH","FY 2016","FY 2016","Currency=INR","Period=FY","BEST_FPERIOD_OVERRIDE=FY","FILING_STATUS=OR","EQY_CONSOLIDATED=Y","Sort=A","Dates=H","DateFormat=P","Fill=—","Direction=H","UseDPDF=Y")</f>
        <v>#NAME?</v>
      </c>
      <c r="BO413" s="1" t="e">
        <f ca="1">_xll.BDH($C$403,"TOTAL_ASSETS_SEQUENTIAL_GROWTH","FY 2016","FY 2016","Currency=INR","Period=FY","BEST_FPERIOD_OVERRIDE=FY","FILING_STATUS=OR","EQY_CONSOLIDATED=Y","Sort=A","Dates=H","DateFormat=P","Fill=—","Direction=H","UseDPDF=Y")</f>
        <v>#NAME?</v>
      </c>
      <c r="BP413" s="1" t="e">
        <f ca="1">_xll.BDH($C$403,"MODIFIED_WORKING_CPTL_SEQ_GRWTH","FY 2016","FY 2016","Currency=INR","Period=FY","BEST_FPERIOD_OVERRIDE=FY","FILING_STATUS=OR","EQY_CONSOLIDATED=Y","Sort=A","Dates=H","DateFormat=P","Fill=—","Direction=H","UseDPDF=Y")</f>
        <v>#NAME?</v>
      </c>
      <c r="BQ413" s="1" t="e">
        <f ca="1">_xll.BDH($C$403,"WORKING_CAPITAL_SEQ_GROWTH","FY 2016","FY 2016","Currency=INR","Period=FY","BEST_FPERIOD_OVERRIDE=FY","FILING_STATUS=OR","EQY_CONSOLIDATED=Y","Sort=A","Dates=H","DateFormat=P","Fill=—","Direction=H","UseDPDF=Y")</f>
        <v>#NAME?</v>
      </c>
      <c r="BR413" s="1" t="e">
        <f ca="1">_xll.BDH($C$403,"ACCOUNTS_PAYABLE_SEQ_GROWTH","FY 2016","FY 2016","Currency=INR","Period=FY","BEST_FPERIOD_OVERRIDE=FY","FILING_STATUS=OR","EQY_CONSOLIDATED=Y","Sort=A","Dates=H","DateFormat=P","Fill=—","Direction=H","UseDPDF=Y")</f>
        <v>#NAME?</v>
      </c>
      <c r="BS413" s="1" t="e">
        <f ca="1">_xll.BDH($C$403,"ST_DEBT_SEQUENTIAL_GROWTH","FY 2016","FY 2016","Currency=INR","Period=FY","BEST_FPERIOD_OVERRIDE=FY","FILING_STATUS=OR","EQY_CONSOLIDATED=Y","Sort=A","Dates=H","DateFormat=P","Fill=—","Direction=H","UseDPDF=Y")</f>
        <v>#NAME?</v>
      </c>
      <c r="BT413" s="1" t="e">
        <f ca="1">_xll.BDH($C$403,"TOTAL_DEBT_SEQUENTIAL_GROWTH","FY 2016","FY 2016","Currency=INR","Period=FY","BEST_FPERIOD_OVERRIDE=FY","FILING_STATUS=OR","EQY_CONSOLIDATED=Y","Sort=A","Dates=H","DateFormat=P","Fill=—","Direction=H","UseDPDF=Y")</f>
        <v>#NAME?</v>
      </c>
      <c r="BU413" s="1" t="e">
        <f ca="1">_xll.BDH($C$403,"TOTAL_EQUITY_SEQUENTIAL_GROWTH","FY 2016","FY 2016","Currency=INR","Period=FY","BEST_FPERIOD_OVERRIDE=FY","FILING_STATUS=OR","EQY_CONSOLIDATED=Y","Sort=A","Dates=H","DateFormat=P","Fill=—","Direction=H","UseDPDF=Y")</f>
        <v>#NAME?</v>
      </c>
      <c r="BV413" s="1" t="e">
        <f ca="1">_xll.BDH($C$403,"TOTAL_CAPITAL_SEQUENTIAL_GROWTH","FY 2016","FY 2016","Currency=INR","Period=FY","BEST_FPERIOD_OVERRIDE=FY","FILING_STATUS=OR","EQY_CONSOLIDATED=Y","Sort=A","Dates=H","DateFormat=P","Fill=—","Direction=H","UseDPDF=Y")</f>
        <v>#NAME?</v>
      </c>
      <c r="BW413" s="1" t="e">
        <f ca="1">_xll.BDH($C$403,"BPS_SEQUENTIAL_GROWTH","FY 2016","FY 2016","Currency=INR","Period=FY","BEST_FPERIOD_OVERRIDE=FY","FILING_STATUS=OR","EQY_CONSOLIDATED=Y","Sort=A","Dates=H","DateFormat=P","Fill=—","Direction=H","UseDPDF=Y")</f>
        <v>#NAME?</v>
      </c>
      <c r="BX413" s="1" t="e">
        <f ca="1">_xll.BDH($C$403,"CFO_SEQUENTIAL_GROWTH","FY 2016","FY 2016","Currency=INR","Period=FY","BEST_FPERIOD_OVERRIDE=FY","FILING_STATUS=OR","EQY_CONSOLIDATED=Y","Sort=A","Dates=H","DateFormat=P","Fill=—","Direction=H","UseDPDF=Y")</f>
        <v>#NAME?</v>
      </c>
      <c r="BY413" s="2" t="e">
        <f ca="1">_xll.BDH($C$403,"SHORT_AND_LONG_TERM_DEBT","FY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13" s="2" t="e">
        <f ca="1">_xll.BDH($C$403,"BS_ST_BORROW","FY 2016","FY 2016","Currency=INR","Period=FY","BEST_FPERIOD_OVERRIDE=FY","FILING_STATUS=OR","EQY_CONSOLIDATED=Y","SCALING_FORMAT=MLN","Sort=A","Dates=H","DateFormat=P","Fill=—","Direction=H","UseDPDF=Y")</f>
        <v>#NAME?</v>
      </c>
      <c r="CA413" s="2" t="e">
        <f ca="1">_xll.BDH($C$403,"BS_LT_BORROW","FY 2016","FY 2016","Currency=INR","Period=FY","BEST_FPERIOD_OVERRIDE=FY","FILING_STATUS=OR","EQY_CONSOLIDATED=Y","SCALING_FORMAT=MLN","Sort=A","Dates=H","DateFormat=P","Fill=—","Direction=H","UseDPDF=Y")</f>
        <v>#NAME?</v>
      </c>
      <c r="CB413" s="1" t="e">
        <f ca="1">_xll.BDH($C$403,"TOT_DEBT_TO_EBITDA","FY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413" s="1" t="e">
        <f ca="1">_xll.BDH($C$403,"NET_DEBT_TO_EBITDA","FY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413" s="1" t="e">
        <f ca="1">_xll.BDH($C$403,"TOTAL_DEBT_TO_EBIT","FY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413" s="1" t="e">
        <f ca="1">_xll.BDH($C$403,"NET_DEBT_TO_EBIT","FY 2016","FY 2016","Currency=INR","Period=FY","BEST_FPERIOD_OVERRIDE=FY","FILING_STATUS=OR","EQY_CONSOLIDATED=Y","FA_ADJUSTED=GAAP","Sort=A","Dates=H","DateFormat=P","Fill=—","Direction=H","UseDPDF=Y")</f>
        <v>#NAME?</v>
      </c>
      <c r="CF413" s="1" t="e">
        <f ca="1">_xll.BDH($C$403,"EBITDA_TO_INTEREST_EXPN","FY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13" s="1" t="e">
        <f ca="1">_xll.BDH($C$403,"COM_EQY_TO_TOT_ASSET","FY 2016","FY 2016","Currency=INR","Period=FY","BEST_FPERIOD_OVERRIDE=FY","FILING_STATUS=OR","EQY_CONSOLIDATED=Y","Sort=A","Dates=H","DateFormat=P","Fill=—","Direction=H","UseDPDF=Y")</f>
        <v>#NAME?</v>
      </c>
      <c r="CH413" s="1" t="e">
        <f ca="1">_xll.BDH($C$403,"LT_DEBT_TO_TOT_EQY","FY 2016","FY 2016","Currency=INR","Period=FY","BEST_FPERIOD_OVERRIDE=FY","FILING_STATUS=OR","EQY_CONSOLIDATED=Y","Sort=A","Dates=H","DateFormat=P","Fill=—","Direction=H","UseDPDF=Y")</f>
        <v>#NAME?</v>
      </c>
      <c r="CI413" s="1" t="e">
        <f ca="1">_xll.BDH($C$403,"LT_DEBT_TO_TOT_CAP","FY 2016","FY 2016","Currency=INR","Period=FY","BEST_FPERIOD_OVERRIDE=FY","FILING_STATUS=OR","EQY_CONSOLIDATED=Y","Sort=A","Dates=H","DateFormat=P","Fill=—","Direction=H","UseDPDF=Y")</f>
        <v>#NAME?</v>
      </c>
      <c r="CJ413" s="1" t="e">
        <f ca="1">_xll.BDH($C$403,"LT_DEBT_TO_TOT_ASSET","FY 2016","FY 2016","Currency=INR","Period=FY","BEST_FPERIOD_OVERRIDE=FY","FILING_STATUS=OR","EQY_CONSOLIDATED=Y","Sort=A","Dates=H","DateFormat=P","Fill=—","Direction=H","UseDPDF=Y")</f>
        <v>#NAME?</v>
      </c>
      <c r="CK413" s="1" t="e">
        <f ca="1">_xll.BDH($C$403,"TOT_DEBT_TO_TOT_EQY","FY 2016","FY 2016","Currency=INR","Period=FY","BEST_FPERIOD_OVERRIDE=FY","FILING_STATUS=OR","EQY_CONSOLIDATED=Y","Sort=A","Dates=H","DateFormat=P","Fill=—","Direction=H","UseDPDF=Y")</f>
        <v>#NAME?</v>
      </c>
      <c r="CL413" s="1" t="e">
        <f ca="1">_xll.BDH($C$403,"TOT_DEBT_TO_TOT_CAP","FY 2016","FY 2016","Currency=INR","Period=FY","BEST_FPERIOD_OVERRIDE=FY","FILING_STATUS=OR","EQY_CONSOLIDATED=Y","Sort=A","Dates=H","DateFormat=P","Fill=—","Direction=H","UseDPDF=Y")</f>
        <v>#NAME?</v>
      </c>
      <c r="CM413" s="1" t="e">
        <f ca="1">_xll.BDH($C$403,"TOT_DEBT_TO_TOT_ASSET","FY 2016","FY 2016","Currency=INR","Period=FY","BEST_FPERIOD_OVERRIDE=FY","FILING_STATUS=OR","EQY_CONSOLIDATED=Y","Sort=A","Dates=H","DateFormat=P","Fill=—","Direction=H","UseDPDF=Y")</f>
        <v>#NAME?</v>
      </c>
      <c r="CN413" s="1" t="e">
        <f ca="1">_xll.BDH($C$403,"NET_DEBT_TO_SHRHLDR_EQTY","FY 2016","FY 2016","Currency=INR","Period=FY","BEST_FPERIOD_OVERRIDE=FY","FILING_STATUS=OR","EQY_CONSOLIDATED=Y","Sort=A","Dates=H","DateFormat=P","Fill=—","Direction=H","UseDPDF=Y")</f>
        <v>#NAME?</v>
      </c>
      <c r="CO413" s="1" t="e">
        <f ca="1">_xll.BDH($C$403,"NET_DEBT_%_CAPITAL","FY 2016","FY 2016","Currency=INR","Period=FY","BEST_FPERIOD_OVERRIDE=FY","FILING_STATUS=OR","EQY_CONSOLIDATED=Y","Sort=A","Dates=H","DateFormat=P","Fill=—","Direction=H","UseDPDF=Y")</f>
        <v>#NAME?</v>
      </c>
      <c r="CP413" s="2" t="e">
        <f ca="1">_xll.BDH($C$403,"EBITDA","FY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13" s="2" t="e">
        <f ca="1">_xll.BDH($C$403,"EBITDA_AFTER_CAPEX","FY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13" s="2" t="e">
        <f ca="1">_xll.BDH($C$403,"IS_OPER_INC","FY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13" s="1" t="e">
        <f ca="1">_xll.BDH($C$403,"CASH_RATIO","FY 2016","FY 2016","Currency=INR","Period=FY","BEST_FPERIOD_OVERRIDE=FY","FILING_STATUS=OR","EQY_CONSOLIDATED=Y","Sort=A","Dates=H","DateFormat=P","Fill=—","Direction=H","UseDPDF=Y")</f>
        <v>#NAME?</v>
      </c>
      <c r="CT413" s="1" t="e">
        <f ca="1">_xll.BDH($C$403,"CUR_RATIO","FY 2016","FY 2016","Currency=INR","Period=FY","BEST_FPERIOD_OVERRIDE=FY","FILING_STATUS=OR","EQY_CONSOLIDATED=Y","Sort=A","Dates=H","DateFormat=P","Fill=—","Direction=H","UseDPDF=Y")</f>
        <v>#NAME?</v>
      </c>
      <c r="CU413" s="1" t="e">
        <f ca="1">_xll.BDH($C$403,"QUICK_RATIO","FY 2016","FY 2016","Currency=INR","Period=FY","BEST_FPERIOD_OVERRIDE=FY","FILING_STATUS=OR","EQY_CONSOLIDATED=Y","Sort=A","Dates=H","DateFormat=P","Fill=—","Direction=H","UseDPDF=Y")</f>
        <v>#NAME?</v>
      </c>
      <c r="CV413" s="1" t="e">
        <f ca="1">_xll.BDH($C$403,"ALTMAN_Z_SCORE","FY 2016","FY 2016","Currency=INR","Period=FY","BEST_FPERIOD_OVERRIDE=FY","FILING_STATUS=OR","EQY_CONSOLIDATED=Y","Sort=A","Dates=H","DateFormat=P","Fill=—","Direction=H","UseDPDF=Y")</f>
        <v>#NAME?</v>
      </c>
      <c r="CW413" s="3" t="e">
        <f ca="1">_xll.BDH($C$403,"ACCT_RCV_TURN","FY 2016","FY 2016","Currency=INR","Period=FY","BEST_FPERIOD_OVERRIDE=FY","FILING_STATUS=OR","EQY_CONSOLIDATED=Y","FA_ADJUSTED=GAAP","Sort=A","Dates=H","DateFormat=P","Fill=—","Direction=H","UseDPDF=Y")</f>
        <v>#NAME?</v>
      </c>
      <c r="CX413" s="1" t="e">
        <f ca="1">_xll.BDH($C$403,"ACCT_RCV_DAYS","FY 2016","FY 2016","Currency=INR","Period=FY","BEST_FPERIOD_OVERRIDE=FY","FILING_STATUS=OR","EQY_CONSOLIDATED=Y","FA_ADJUSTED=GAAP","Sort=A","Dates=H","DateFormat=P","Fill=—","Direction=H","UseDPDF=Y")</f>
        <v>#NAME?</v>
      </c>
      <c r="CY413" s="3" t="e">
        <f ca="1">_xll.BDH($C$403,"INVENT_TURN","FY 2016","FY 2016","Currency=INR","Period=FY","BEST_FPERIOD_OVERRIDE=FY","FILING_STATUS=OR","EQY_CONSOLIDATED=Y","FA_ADJUSTED=GAAP","Sort=A","Dates=H","DateFormat=P","Fill=—","Direction=H","UseDPDF=Y")</f>
        <v>#NAME?</v>
      </c>
      <c r="CZ413" s="1" t="e">
        <f ca="1">_xll.BDH($C$403,"INVENT_DAYS","FY 2016","FY 2016","Currency=INR","Period=FY","BEST_FPERIOD_OVERRIDE=FY","FILING_STATUS=OR","EQY_CONSOLIDATED=Y","FA_ADJUSTED=GAAP","Sort=A","Dates=H","DateFormat=P","Fill=—","Direction=H","UseDPDF=Y")</f>
        <v>#NAME?</v>
      </c>
      <c r="DA413" s="3" t="e">
        <f ca="1">_xll.BDH($C$403,"ACCOUNTS_PAYABLE_TURNOVER","FY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13" s="1" t="e">
        <f ca="1">_xll.BDH($C$403,"ACCOUNTS_PAYABLE_TURNOVER_DAYS","FY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13" s="3" t="e">
        <f ca="1">_xll.BDH($C$403,"CASH_CONVERSION_CYCLE","FY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13" s="3" t="e">
        <f ca="1">_xll.BDH($C$403,"INV_TO_CASH_DAYS","FY 2016","FY 2016","Currency=INR","Period=FY","BEST_FPERIOD_OVERRIDE=FY","FILING_STATUS=OR","EQY_CONSOLIDATED=Y","FA_ADJUSTED=GAAP","Sort=A","Dates=H","DateFormat=P","Fill=—","Direction=H","UseDPDF=Y")</f>
        <v>#NAME?</v>
      </c>
      <c r="DE413" s="4" t="e">
        <f ca="1">_xll.BDH($C$403,"BS_INVENTORIES","FY 2016","FY 2016","Currency=INR","Period=FY","BEST_FPERIOD_OVERRIDE=FY","FILING_STATUS=OR","EQY_CONSOLIDATED=Y","SCALING_FORMAT=MLN","Sort=A","Dates=H","DateFormat=P","Fill=—","Direction=H","UseDPDF=Y")</f>
        <v>#NAME?</v>
      </c>
      <c r="DF413" s="2" t="e">
        <f ca="1">_xll.BDH($C$403,"INVTRY_RAW_MATERIALS","FY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13" s="2" t="e">
        <f ca="1">_xll.BDH($C$403,"INVTRY_IN_PROGRESS","FY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13" s="2" t="e">
        <f ca="1">_xll.BDH($C$403,"INVTRY_FINISHED_GOODS","FY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13" s="2" t="e">
        <f ca="1">_xll.BDH($C$403,"BS_OTHER_INV","FY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14" spans="1:113" x14ac:dyDescent="0.3">
      <c r="A414" s="6"/>
      <c r="B414" s="6"/>
      <c r="C414" s="6"/>
      <c r="D414" s="6"/>
      <c r="E414" t="s">
        <v>4</v>
      </c>
      <c r="F414" t="e">
        <f ca="1">_xll.BDH($C$403,"RETURN_COM_EQY","FQ1 2016","FQ1 2016","Currency=INR","Period=FQ","BEST_FPERIOD_OVERRIDE=FQ","FILING_STATUS=OR","EQY_CONSOLIDATED=Y","FA_ADJUSTED=GAAP","Sort=A","Dates=H","DateFormat=P","Fill=—","Direction=H","UseDPDF=Y")</f>
        <v>#NAME?</v>
      </c>
      <c r="G414" t="e">
        <f ca="1">_xll.BDH($C$403,"RETURN_ON_ASSET","FQ1 2016","FQ1 2016","Currency=INR","Period=FQ","BEST_FPERIOD_OVERRIDE=FQ","FILING_STATUS=OR","EQY_CONSOLIDATED=Y","FA_ADJUSTED=GAAP","Sort=A","Dates=H","DateFormat=P","Fill=—","Direction=H","UseDPDF=Y")</f>
        <v>#NAME?</v>
      </c>
      <c r="H414" t="e">
        <f ca="1">_xll.BDH($C$403,"RETURN_ON_CAP","FQ1 2016","FQ1 2016","Currency=INR","Period=FQ","BEST_FPERIOD_OVERRIDE=FQ","FILING_STATUS=OR","EQY_CONSOLIDATED=Y","FA_ADJUSTED=GAAP","Sort=A","Dates=H","DateFormat=P","Fill=—","Direction=H","UseDPDF=Y")</f>
        <v>#NAME?</v>
      </c>
      <c r="I414" t="e">
        <f ca="1">_xll.BDH($C$403,"RETURN_ON_INV_CAPITAL","FQ1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14" t="e">
        <f ca="1">_xll.BDH($C$403,"EBITDA_TO_REVENUE","FQ1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414" t="e">
        <f ca="1">_xll.BDH($C$403,"OPER_MARGIN","FQ1 2016","FQ1 2016","Currency=INR","Period=FQ","BEST_FPERIOD_OVERRIDE=FQ","FILING_STATUS=OR","EQY_CONSOLIDATED=Y","FA_ADJUSTED=GAAP","Sort=A","Dates=H","DateFormat=P","Fill=—","Direction=H","UseDPDF=Y")</f>
        <v>#NAME?</v>
      </c>
      <c r="L414" t="e">
        <f ca="1">_xll.BDH($C$403,"INCREMENTAL_OPERATING_MARGIN","FQ1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14" t="e">
        <f ca="1">_xll.BDH($C$403,"PRETAX_INC_TO_NET_SALES","FQ1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14" t="e">
        <f ca="1">_xll.BDH($C$403,"INC_BEF_XO_ITEMS_TO_NET_SALES","FQ1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14" t="e">
        <f ca="1">_xll.BDH($C$403,"PROF_MARGIN","FQ1 2016","FQ1 2016","Currency=INR","Period=FQ","BEST_FPERIOD_OVERRIDE=FQ","FILING_STATUS=OR","EQY_CONSOLIDATED=Y","FA_ADJUSTED=GAAP","Sort=A","Dates=H","DateFormat=P","Fill=—","Direction=H","UseDPDF=Y")</f>
        <v>#NAME?</v>
      </c>
      <c r="P414" t="e">
        <f ca="1">_xll.BDH($C$403,"NET_INCOME_TO_COMMON_MARGIN","FQ1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14" t="e">
        <f ca="1">_xll.BDH($C$403,"EFF_TAX_RATE","FQ1 2016","FQ1 2016","Currency=INR","Period=FQ","BEST_FPERIOD_OVERRIDE=FQ","FILING_STATUS=OR","EQY_CONSOLIDATED=Y","FA_ADJUSTED=GAAP","Sort=A","Dates=H","DateFormat=P","Fill=—","Direction=H","UseDPDF=Y")</f>
        <v>#NAME?</v>
      </c>
      <c r="R414" t="e">
        <f ca="1">_xll.BDH($C$403,"DVD_PAYOUT_RATIO","FQ1 2016","FQ1 2016","Currency=INR","Period=FQ","BEST_FPERIOD_OVERRIDE=FQ","FILING_STATUS=OR","EQY_CONSOLIDATED=Y","FA_ADJUSTED=GAAP","Sort=A","Dates=H","DateFormat=P","Fill=—","Direction=H","UseDPDF=Y")</f>
        <v>#NAME?</v>
      </c>
      <c r="S414" t="e">
        <f ca="1">_xll.BDH($C$403,"SUSTAIN_GROWTH_RT","FQ1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414" s="1" t="e">
        <f ca="1">_xll.BDH($C$403,"SALES_GROWTH","FQ1 2016","FQ1 2016","Currency=INR","Period=FQ","BEST_FPERIOD_OVERRIDE=FQ","FILING_STATUS=OR","EQY_CONSOLIDATED=Y","FA_ADJUSTED=GAAP","Sort=A","Dates=H","DateFormat=P","Fill=—","Direction=H","UseDPDF=Y")</f>
        <v>#NAME?</v>
      </c>
      <c r="U414" s="1" t="e">
        <f ca="1">_xll.BDH($C$403,"EBITDA_GROWTH","FQ1 2016","FQ1 2016","Currency=INR","Period=FQ","BEST_FPERIOD_OVERRIDE=FQ","FILING_STATUS=OR","EQY_CONSOLIDATED=Y","FA_ADJUSTED=GAAP","Sort=A","Dates=H","DateFormat=P","Fill=—","Direction=H","UseDPDF=Y")</f>
        <v>#NAME?</v>
      </c>
      <c r="V414" s="1" t="e">
        <f ca="1">_xll.BDH($C$403,"OPER_INC_GROWTH","FQ1 2016","FQ1 2016","Currency=INR","Period=FQ","BEST_FPERIOD_OVERRIDE=FQ","FILING_STATUS=OR","EQY_CONSOLIDATED=Y","FA_ADJUSTED=GAAP","Sort=A","Dates=H","DateFormat=P","Fill=—","Direction=H","UseDPDF=Y")</f>
        <v>#NAME?</v>
      </c>
      <c r="W414" s="1" t="e">
        <f ca="1">_xll.BDH($C$403,"EARN_FOR_COM_GROWTH","FQ1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14" s="1" t="e">
        <f ca="1">_xll.BDH($C$403,"DILUTED_EPS_AFT_XO_ITEMS_GROWTH","FQ1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14" s="1" t="e">
        <f ca="1">_xll.BDH($C$403,"DIVIDEND_PER_SHARE_1_YEAR_GROWTH","FQ1 2016","FQ1 2016","Currency=INR","Period=FQ","BEST_FPERIOD_OVERRIDE=FQ","FILING_STATUS=OR","EQY_CONSOLIDATED=Y","Sort=A","Dates=H","DateFormat=P","Fill=—","Direction=H","UseDPDF=Y")</f>
        <v>#NAME?</v>
      </c>
      <c r="Z414" s="1" t="e">
        <f ca="1">_xll.BDH($C$403,"ACCOUNTS_RECEIVABLE_GROWTH","FQ1 2016","FQ1 2016","Currency=INR","Period=FQ","BEST_FPERIOD_OVERRIDE=FQ","FILING_STATUS=OR","EQY_CONSOLIDATED=Y","Sort=A","Dates=H","DateFormat=P","Fill=—","Direction=H","UseDPDF=Y")</f>
        <v>#NAME?</v>
      </c>
      <c r="AA414" s="1" t="e">
        <f ca="1">_xll.BDH($C$403,"INVENTORY_GROWTH","FQ1 2016","FQ1 2016","Currency=INR","Period=FQ","BEST_FPERIOD_OVERRIDE=FQ","FILING_STATUS=OR","EQY_CONSOLIDATED=Y","Sort=A","Dates=H","DateFormat=P","Fill=—","Direction=H","UseDPDF=Y")</f>
        <v>#NAME?</v>
      </c>
      <c r="AB414" s="1" t="e">
        <f ca="1">_xll.BDH($C$403,"NET_FIXED_ASSETS_1_YEAR_GROWTH","FQ1 2016","FQ1 2016","Currency=INR","Period=FQ","BEST_FPERIOD_OVERRIDE=FQ","FILING_STATUS=OR","EQY_CONSOLIDATED=Y","Sort=A","Dates=H","DateFormat=P","Fill=—","Direction=H","UseDPDF=Y")</f>
        <v>#NAME?</v>
      </c>
      <c r="AC414" s="1" t="e">
        <f ca="1">_xll.BDH($C$403,"ASSET_GROWTH","FQ1 2016","FQ1 2016","Currency=INR","Period=FQ","BEST_FPERIOD_OVERRIDE=FQ","FILING_STATUS=OR","EQY_CONSOLIDATED=Y","Sort=A","Dates=H","DateFormat=P","Fill=—","Direction=H","UseDPDF=Y")</f>
        <v>#NAME?</v>
      </c>
      <c r="AD414" s="1" t="e">
        <f ca="1">_xll.BDH($C$403,"MODIFIED_WORK_CAP_GROWTH","FQ1 2016","FQ1 2016","Currency=INR","Period=FQ","BEST_FPERIOD_OVERRIDE=FQ","FILING_STATUS=OR","EQY_CONSOLIDATED=Y","Sort=A","Dates=H","DateFormat=P","Fill=—","Direction=H","UseDPDF=Y")</f>
        <v>#NAME?</v>
      </c>
      <c r="AE414" s="1" t="e">
        <f ca="1">_xll.BDH($C$403,"WORK_CAP_GROWTH","FQ1 2016","FQ1 2016","Currency=INR","Period=FQ","BEST_FPERIOD_OVERRIDE=FQ","FILING_STATUS=OR","EQY_CONSOLIDATED=Y","Sort=A","Dates=H","DateFormat=P","Fill=—","Direction=H","UseDPDF=Y")</f>
        <v>#NAME?</v>
      </c>
      <c r="AF414" s="1" t="e">
        <f ca="1">_xll.BDH($C$403,"ACCOUNTS_PAYABLE_GROWTH_1YR","FQ1 2016","FQ1 2016","Currency=INR","Period=FQ","BEST_FPERIOD_OVERRIDE=FQ","FILING_STATUS=OR","EQY_CONSOLIDATED=Y","Sort=A","Dates=H","DateFormat=P","Fill=—","Direction=H","UseDPDF=Y")</f>
        <v>#NAME?</v>
      </c>
      <c r="AG414" s="1" t="e">
        <f ca="1">_xll.BDH($C$403,"SHORT_TERM_DEBT_1_YEAR_GROWTH","FQ1 2016","FQ1 2016","Currency=INR","Period=FQ","BEST_FPERIOD_OVERRIDE=FQ","FILING_STATUS=OR","EQY_CONSOLIDATED=Y","Sort=A","Dates=H","DateFormat=P","Fill=—","Direction=H","UseDPDF=Y")</f>
        <v>#NAME?</v>
      </c>
      <c r="AH414" s="1" t="e">
        <f ca="1">_xll.BDH($C$403,"TOTAL_DEBT_1_YEAR_GROWTH","FQ1 2016","FQ1 2016","Currency=INR","Period=FQ","BEST_FPERIOD_OVERRIDE=FQ","FILING_STATUS=OR","EQY_CONSOLIDATED=Y","Sort=A","Dates=H","DateFormat=P","Fill=—","Direction=H","UseDPDF=Y")</f>
        <v>#NAME?</v>
      </c>
      <c r="AI414" s="1" t="e">
        <f ca="1">_xll.BDH($C$403,"TOTAL_EQUITY_1_YEAR_GROWTH","FQ1 2016","FQ1 2016","Currency=INR","Period=FQ","BEST_FPERIOD_OVERRIDE=FQ","FILING_STATUS=OR","EQY_CONSOLIDATED=Y","Sort=A","Dates=H","DateFormat=P","Fill=—","Direction=H","UseDPDF=Y")</f>
        <v>#NAME?</v>
      </c>
      <c r="AJ414" s="1" t="e">
        <f ca="1">_xll.BDH($C$403,"GROWTH_IN_CAP","FQ1 2016","FQ1 2016","Currency=INR","Period=FQ","BEST_FPERIOD_OVERRIDE=FQ","FILING_STATUS=OR","EQY_CONSOLIDATED=Y","Sort=A","Dates=H","DateFormat=P","Fill=—","Direction=H","UseDPDF=Y")</f>
        <v>#NAME?</v>
      </c>
      <c r="AK414" s="1" t="e">
        <f ca="1">_xll.BDH($C$403,"BVPS_GROWTH","FQ1 2016","FQ1 2016","Currency=INR","Period=FQ","BEST_FPERIOD_OVERRIDE=FQ","FILING_STATUS=OR","EQY_CONSOLIDATED=Y","Sort=A","Dates=H","DateFormat=P","Fill=—","Direction=H","UseDPDF=Y")</f>
        <v>#NAME?</v>
      </c>
      <c r="AL414" s="1" t="e">
        <f ca="1">_xll.BDH($C$403,"CASH_FLOW_GROWTH","FQ1 2016","FQ1 2016","Currency=INR","Period=FQ","BEST_FPERIOD_OVERRIDE=FQ","FILING_STATUS=OR","EQY_CONSOLIDATED=Y","Sort=A","Dates=H","DateFormat=P","Fill=—","Direction=H","UseDPDF=Y")</f>
        <v>#NAME?</v>
      </c>
      <c r="AM414" s="1" t="e">
        <f ca="1">_xll.BDH($C$403,"GEO_GROW_NET_SALES","FQ1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14" s="1" t="e">
        <f ca="1">_xll.BDH($C$403,"GEO_GROW_EBITDA","FQ1 2016","FQ1 2016","Currency=INR","Period=FQ","BEST_FPERIOD_OVERRIDE=FQ","FILING_STATUS=OR","EQY_CONSOLIDATED=Y","FA_ADJUSTED=GAAP","Sort=A","Dates=H","DateFormat=P","Fill=—","Direction=H","UseDPDF=Y")</f>
        <v>#NAME?</v>
      </c>
      <c r="AO414" s="1" t="e">
        <f ca="1">_xll.BDH($C$403,"GEO_GROW_OPER_INC","FQ1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14" s="1" t="e">
        <f ca="1">_xll.BDH($C$403,"NET_INCOME_TO_COMMON_5_YR_GROWTH","FQ1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14" s="1" t="e">
        <f ca="1">_xll.BDH($C$403,"5Y_GEO_GROWTH_DILUTED_EPS","FQ1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14" s="1" t="e">
        <f ca="1">_xll.BDH($C$403,"GEO_GROW_DVD_PER_SH","FQ1 2016","FQ1 2016","Currency=INR","Period=FQ","BEST_FPERIOD_OVERRIDE=FQ","FILING_STATUS=OR","EQY_CONSOLIDATED=Y","Sort=A","Dates=H","DateFormat=P","Fill=—","Direction=H","UseDPDF=Y")</f>
        <v>#NAME?</v>
      </c>
      <c r="AS414" s="1" t="e">
        <f ca="1">_xll.BDH($C$403,"ACCOUNTS_RECEIVABLE_5_YR_GROWTH","FQ1 2016","FQ1 2016","Currency=INR","Period=FQ","BEST_FPERIOD_OVERRIDE=FQ","FILING_STATUS=OR","EQY_CONSOLIDATED=Y","Sort=A","Dates=H","DateFormat=P","Fill=—","Direction=H","UseDPDF=Y")</f>
        <v>#NAME?</v>
      </c>
      <c r="AT414" s="1" t="e">
        <f ca="1">_xll.BDH($C$403,"INVENTORY_5_YEAR_GROWTH","FQ1 2016","FQ1 2016","Currency=INR","Period=FQ","BEST_FPERIOD_OVERRIDE=FQ","FILING_STATUS=OR","EQY_CONSOLIDATED=Y","Sort=A","Dates=H","DateFormat=P","Fill=—","Direction=H","UseDPDF=Y")</f>
        <v>#NAME?</v>
      </c>
      <c r="AU414" s="1" t="e">
        <f ca="1">_xll.BDH($C$403,"NET_FIXED_ASSETS_5_YEAR_GROWTH","FQ1 2016","FQ1 2016","Currency=INR","Period=FQ","BEST_FPERIOD_OVERRIDE=FQ","FILING_STATUS=OR","EQY_CONSOLIDATED=Y","Sort=A","Dates=H","DateFormat=P","Fill=—","Direction=H","UseDPDF=Y")</f>
        <v>#NAME?</v>
      </c>
      <c r="AV414" s="1" t="e">
        <f ca="1">_xll.BDH($C$403,"GEO_GROW_TOT_ASSET","FQ1 2016","FQ1 2016","Currency=INR","Period=FQ","BEST_FPERIOD_OVERRIDE=FQ","FILING_STATUS=OR","EQY_CONSOLIDATED=Y","Sort=A","Dates=H","DateFormat=P","Fill=—","Direction=H","UseDPDF=Y")</f>
        <v>#NAME?</v>
      </c>
      <c r="AW414" s="1" t="e">
        <f ca="1">_xll.BDH($C$403,"MODIFIED_WORKING_CPTL_5YR_GRWTH","FQ1 2016","FQ1 2016","Currency=INR","Period=FQ","BEST_FPERIOD_OVERRIDE=FQ","FILING_STATUS=OR","EQY_CONSOLIDATED=Y","Sort=A","Dates=H","DateFormat=P","Fill=—","Direction=H","UseDPDF=Y")</f>
        <v>#NAME?</v>
      </c>
      <c r="AX414" s="1" t="e">
        <f ca="1">_xll.BDH($C$403,"WORKING_CAPITAL_5_YEAR_GROWTH","FQ1 2016","FQ1 2016","Currency=INR","Period=FQ","BEST_FPERIOD_OVERRIDE=FQ","FILING_STATUS=OR","EQY_CONSOLIDATED=Y","Sort=A","Dates=H","DateFormat=P","Fill=—","Direction=H","UseDPDF=Y")</f>
        <v>#NAME?</v>
      </c>
      <c r="AY414" s="1" t="e">
        <f ca="1">_xll.BDH($C$403,"ACCOUNTS_PAYABLE_5_YEAR_GROWTH","FQ1 2016","FQ1 2016","Currency=INR","Period=FQ","BEST_FPERIOD_OVERRIDE=FQ","FILING_STATUS=OR","EQY_CONSOLIDATED=Y","Sort=A","Dates=H","DateFormat=P","Fill=—","Direction=H","UseDPDF=Y")</f>
        <v>#NAME?</v>
      </c>
      <c r="AZ414" s="1" t="e">
        <f ca="1">_xll.BDH($C$403,"SHORT_TERM_DEBT_5_YEAR_GROWTH","FQ1 2016","FQ1 2016","Currency=INR","Period=FQ","BEST_FPERIOD_OVERRIDE=FQ","FILING_STATUS=OR","EQY_CONSOLIDATED=Y","Sort=A","Dates=H","DateFormat=P","Fill=—","Direction=H","UseDPDF=Y")</f>
        <v>#NAME?</v>
      </c>
      <c r="BA414" s="1" t="e">
        <f ca="1">_xll.BDH($C$403,"TOTAL_DEBT_5_YEAR_GROWTH","FQ1 2016","FQ1 2016","Currency=INR","Period=FQ","BEST_FPERIOD_OVERRIDE=FQ","FILING_STATUS=OR","EQY_CONSOLIDATED=Y","Sort=A","Dates=H","DateFormat=P","Fill=—","Direction=H","UseDPDF=Y")</f>
        <v>#NAME?</v>
      </c>
      <c r="BB414" s="1" t="e">
        <f ca="1">_xll.BDH($C$403,"GEO_GROW_TOT_SHRHLDR_EQY","FQ1 2016","FQ1 2016","Currency=INR","Period=FQ","BEST_FPERIOD_OVERRIDE=FQ","FILING_STATUS=OR","EQY_CONSOLIDATED=Y","Sort=A","Dates=H","DateFormat=P","Fill=—","Direction=H","UseDPDF=Y")</f>
        <v>#NAME?</v>
      </c>
      <c r="BC414" s="1" t="e">
        <f ca="1">_xll.BDH($C$403,"TOTAL_CAPITAL_5_YEAR_GROWTH","FQ1 2016","FQ1 2016","Currency=INR","Period=FQ","BEST_FPERIOD_OVERRIDE=FQ","FILING_STATUS=OR","EQY_CONSOLIDATED=Y","Sort=A","Dates=H","DateFormat=P","Fill=—","Direction=H","UseDPDF=Y")</f>
        <v>#NAME?</v>
      </c>
      <c r="BD414" s="1" t="e">
        <f ca="1">_xll.BDH($C$403,"GEO_GROW_BOOK_VAL","FQ1 2016","FQ1 2016","Currency=INR","Period=FQ","BEST_FPERIOD_OVERRIDE=FQ","FILING_STATUS=OR","EQY_CONSOLIDATED=Y","Sort=A","Dates=H","DateFormat=P","Fill=—","Direction=H","UseDPDF=Y")</f>
        <v>#NAME?</v>
      </c>
      <c r="BE414" s="1" t="e">
        <f ca="1">_xll.BDH($C$403,"GEO_GROW_CASH_OPER_ACT","FQ1 2016","FQ1 2016","Currency=INR","Period=FQ","BEST_FPERIOD_OVERRIDE=FQ","FILING_STATUS=OR","EQY_CONSOLIDATED=Y","Sort=A","Dates=H","DateFormat=P","Fill=—","Direction=H","UseDPDF=Y")</f>
        <v>#NAME?</v>
      </c>
      <c r="BF414" s="1" t="e">
        <f ca="1">_xll.BDH($C$403,"REVENUE_SEQUENTIAL_GROWTH","FQ1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14" s="1" t="e">
        <f ca="1">_xll.BDH($C$403,"EBITDA_SEQUENTIAL_GROWTH","FQ1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14" s="1" t="e">
        <f ca="1">_xll.BDH($C$403,"OPERATING_INCOME_SEQ_GROWTH","FQ1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14" s="1" t="e">
        <f ca="1">_xll.BDH($C$403,"NET_INCOME_TO_COMMON_SEQ_GROWTH","FQ1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14" s="1" t="e">
        <f ca="1">_xll.BDH($C$403,"EPS_DILUTED_SEQUENTIAL_GROWTH","FQ1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14" s="1" t="e">
        <f ca="1">_xll.BDH($C$403,"DPS_SEQUENTIAL_GROWTH","FQ1 2016","FQ1 2016","Currency=INR","Period=FQ","BEST_FPERIOD_OVERRIDE=FQ","FILING_STATUS=OR","EQY_CONSOLIDATED=Y","Sort=A","Dates=H","DateFormat=P","Fill=—","Direction=H","UseDPDF=Y")</f>
        <v>#NAME?</v>
      </c>
      <c r="BL414" s="1" t="e">
        <f ca="1">_xll.BDH($C$403,"ACCOUNTS_RECEIVABLE_SEQ_GROWTH","FQ1 2016","FQ1 2016","Currency=INR","Period=FQ","BEST_FPERIOD_OVERRIDE=FQ","FILING_STATUS=OR","EQY_CONSOLIDATED=Y","Sort=A","Dates=H","DateFormat=P","Fill=—","Direction=H","UseDPDF=Y")</f>
        <v>#NAME?</v>
      </c>
      <c r="BM414" s="1" t="e">
        <f ca="1">_xll.BDH($C$403,"INVENTORY_SEQUENTIAL_GROWTH","FQ1 2016","FQ1 2016","Currency=INR","Period=FQ","BEST_FPERIOD_OVERRIDE=FQ","FILING_STATUS=OR","EQY_CONSOLIDATED=Y","Sort=A","Dates=H","DateFormat=P","Fill=—","Direction=H","UseDPDF=Y")</f>
        <v>#NAME?</v>
      </c>
      <c r="BN414" s="1" t="e">
        <f ca="1">_xll.BDH($C$403,"FIXED_ASSETS_SEQUENTIAL_GROWTH","FQ1 2016","FQ1 2016","Currency=INR","Period=FQ","BEST_FPERIOD_OVERRIDE=FQ","FILING_STATUS=OR","EQY_CONSOLIDATED=Y","Sort=A","Dates=H","DateFormat=P","Fill=—","Direction=H","UseDPDF=Y")</f>
        <v>#NAME?</v>
      </c>
      <c r="BO414" s="1" t="e">
        <f ca="1">_xll.BDH($C$403,"TOTAL_ASSETS_SEQUENTIAL_GROWTH","FQ1 2016","FQ1 2016","Currency=INR","Period=FQ","BEST_FPERIOD_OVERRIDE=FQ","FILING_STATUS=OR","EQY_CONSOLIDATED=Y","Sort=A","Dates=H","DateFormat=P","Fill=—","Direction=H","UseDPDF=Y")</f>
        <v>#NAME?</v>
      </c>
      <c r="BP414" s="1" t="e">
        <f ca="1">_xll.BDH($C$403,"MODIFIED_WORKING_CPTL_SEQ_GRWTH","FQ1 2016","FQ1 2016","Currency=INR","Period=FQ","BEST_FPERIOD_OVERRIDE=FQ","FILING_STATUS=OR","EQY_CONSOLIDATED=Y","Sort=A","Dates=H","DateFormat=P","Fill=—","Direction=H","UseDPDF=Y")</f>
        <v>#NAME?</v>
      </c>
      <c r="BQ414" s="1" t="e">
        <f ca="1">_xll.BDH($C$403,"WORKING_CAPITAL_SEQ_GROWTH","FQ1 2016","FQ1 2016","Currency=INR","Period=FQ","BEST_FPERIOD_OVERRIDE=FQ","FILING_STATUS=OR","EQY_CONSOLIDATED=Y","Sort=A","Dates=H","DateFormat=P","Fill=—","Direction=H","UseDPDF=Y")</f>
        <v>#NAME?</v>
      </c>
      <c r="BR414" s="1" t="e">
        <f ca="1">_xll.BDH($C$403,"ACCOUNTS_PAYABLE_SEQ_GROWTH","FQ1 2016","FQ1 2016","Currency=INR","Period=FQ","BEST_FPERIOD_OVERRIDE=FQ","FILING_STATUS=OR","EQY_CONSOLIDATED=Y","Sort=A","Dates=H","DateFormat=P","Fill=—","Direction=H","UseDPDF=Y")</f>
        <v>#NAME?</v>
      </c>
      <c r="BS414" s="1" t="e">
        <f ca="1">_xll.BDH($C$403,"ST_DEBT_SEQUENTIAL_GROWTH","FQ1 2016","FQ1 2016","Currency=INR","Period=FQ","BEST_FPERIOD_OVERRIDE=FQ","FILING_STATUS=OR","EQY_CONSOLIDATED=Y","Sort=A","Dates=H","DateFormat=P","Fill=—","Direction=H","UseDPDF=Y")</f>
        <v>#NAME?</v>
      </c>
      <c r="BT414" s="1" t="e">
        <f ca="1">_xll.BDH($C$403,"TOTAL_DEBT_SEQUENTIAL_GROWTH","FQ1 2016","FQ1 2016","Currency=INR","Period=FQ","BEST_FPERIOD_OVERRIDE=FQ","FILING_STATUS=OR","EQY_CONSOLIDATED=Y","Sort=A","Dates=H","DateFormat=P","Fill=—","Direction=H","UseDPDF=Y")</f>
        <v>#NAME?</v>
      </c>
      <c r="BU414" s="1" t="e">
        <f ca="1">_xll.BDH($C$403,"TOTAL_EQUITY_SEQUENTIAL_GROWTH","FQ1 2016","FQ1 2016","Currency=INR","Period=FQ","BEST_FPERIOD_OVERRIDE=FQ","FILING_STATUS=OR","EQY_CONSOLIDATED=Y","Sort=A","Dates=H","DateFormat=P","Fill=—","Direction=H","UseDPDF=Y")</f>
        <v>#NAME?</v>
      </c>
      <c r="BV414" s="1" t="e">
        <f ca="1">_xll.BDH($C$403,"TOTAL_CAPITAL_SEQUENTIAL_GROWTH","FQ1 2016","FQ1 2016","Currency=INR","Period=FQ","BEST_FPERIOD_OVERRIDE=FQ","FILING_STATUS=OR","EQY_CONSOLIDATED=Y","Sort=A","Dates=H","DateFormat=P","Fill=—","Direction=H","UseDPDF=Y")</f>
        <v>#NAME?</v>
      </c>
      <c r="BW414" s="1" t="e">
        <f ca="1">_xll.BDH($C$403,"BPS_SEQUENTIAL_GROWTH","FQ1 2016","FQ1 2016","Currency=INR","Period=FQ","BEST_FPERIOD_OVERRIDE=FQ","FILING_STATUS=OR","EQY_CONSOLIDATED=Y","Sort=A","Dates=H","DateFormat=P","Fill=—","Direction=H","UseDPDF=Y")</f>
        <v>#NAME?</v>
      </c>
      <c r="BX414" s="1" t="e">
        <f ca="1">_xll.BDH($C$403,"CFO_SEQUENTIAL_GROWTH","FQ1 2016","FQ1 2016","Currency=INR","Period=FQ","BEST_FPERIOD_OVERRIDE=FQ","FILING_STATUS=OR","EQY_CONSOLIDATED=Y","Sort=A","Dates=H","DateFormat=P","Fill=—","Direction=H","UseDPDF=Y")</f>
        <v>#NAME?</v>
      </c>
      <c r="BY414" s="2" t="e">
        <f ca="1">_xll.BDH($C$403,"SHORT_AND_LONG_TERM_DEBT","FQ1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14" s="2" t="e">
        <f ca="1">_xll.BDH($C$403,"BS_ST_BORROW","FQ1 2016","FQ1 2016","Currency=INR","Period=FQ","BEST_FPERIOD_OVERRIDE=FQ","FILING_STATUS=OR","EQY_CONSOLIDATED=Y","SCALING_FORMAT=MLN","Sort=A","Dates=H","DateFormat=P","Fill=—","Direction=H","UseDPDF=Y")</f>
        <v>#NAME?</v>
      </c>
      <c r="CA414" s="2" t="e">
        <f ca="1">_xll.BDH($C$403,"BS_LT_BORROW","FQ1 2016","FQ1 2016","Currency=INR","Period=FQ","BEST_FPERIOD_OVERRIDE=FQ","FILING_STATUS=OR","EQY_CONSOLIDATED=Y","SCALING_FORMAT=MLN","Sort=A","Dates=H","DateFormat=P","Fill=—","Direction=H","UseDPDF=Y")</f>
        <v>#NAME?</v>
      </c>
      <c r="CB414" s="1" t="e">
        <f ca="1">_xll.BDH($C$403,"TOT_DEBT_TO_EBITDA","FQ1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14" s="1" t="e">
        <f ca="1">_xll.BDH($C$403,"NET_DEBT_TO_EBITDA","FQ1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14" s="1" t="e">
        <f ca="1">_xll.BDH($C$403,"TOTAL_DEBT_TO_EBIT","FQ1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14" s="1" t="e">
        <f ca="1">_xll.BDH($C$403,"NET_DEBT_TO_EBIT","FQ1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414" s="1" t="e">
        <f ca="1">_xll.BDH($C$403,"EBITDA_TO_INTEREST_EXPN","FQ1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14" s="1" t="e">
        <f ca="1">_xll.BDH($C$403,"COM_EQY_TO_TOT_ASSET","FQ1 2016","FQ1 2016","Currency=INR","Period=FQ","BEST_FPERIOD_OVERRIDE=FQ","FILING_STATUS=OR","EQY_CONSOLIDATED=Y","Sort=A","Dates=H","DateFormat=P","Fill=—","Direction=H","UseDPDF=Y")</f>
        <v>#NAME?</v>
      </c>
      <c r="CH414" s="1" t="e">
        <f ca="1">_xll.BDH($C$403,"LT_DEBT_TO_TOT_EQY","FQ1 2016","FQ1 2016","Currency=INR","Period=FQ","BEST_FPERIOD_OVERRIDE=FQ","FILING_STATUS=OR","EQY_CONSOLIDATED=Y","Sort=A","Dates=H","DateFormat=P","Fill=—","Direction=H","UseDPDF=Y")</f>
        <v>#NAME?</v>
      </c>
      <c r="CI414" s="1" t="e">
        <f ca="1">_xll.BDH($C$403,"LT_DEBT_TO_TOT_CAP","FQ1 2016","FQ1 2016","Currency=INR","Period=FQ","BEST_FPERIOD_OVERRIDE=FQ","FILING_STATUS=OR","EQY_CONSOLIDATED=Y","Sort=A","Dates=H","DateFormat=P","Fill=—","Direction=H","UseDPDF=Y")</f>
        <v>#NAME?</v>
      </c>
      <c r="CJ414" s="1" t="e">
        <f ca="1">_xll.BDH($C$403,"LT_DEBT_TO_TOT_ASSET","FQ1 2016","FQ1 2016","Currency=INR","Period=FQ","BEST_FPERIOD_OVERRIDE=FQ","FILING_STATUS=OR","EQY_CONSOLIDATED=Y","Sort=A","Dates=H","DateFormat=P","Fill=—","Direction=H","UseDPDF=Y")</f>
        <v>#NAME?</v>
      </c>
      <c r="CK414" s="1" t="e">
        <f ca="1">_xll.BDH($C$403,"TOT_DEBT_TO_TOT_EQY","FQ1 2016","FQ1 2016","Currency=INR","Period=FQ","BEST_FPERIOD_OVERRIDE=FQ","FILING_STATUS=OR","EQY_CONSOLIDATED=Y","Sort=A","Dates=H","DateFormat=P","Fill=—","Direction=H","UseDPDF=Y")</f>
        <v>#NAME?</v>
      </c>
      <c r="CL414" s="1" t="e">
        <f ca="1">_xll.BDH($C$403,"TOT_DEBT_TO_TOT_CAP","FQ1 2016","FQ1 2016","Currency=INR","Period=FQ","BEST_FPERIOD_OVERRIDE=FQ","FILING_STATUS=OR","EQY_CONSOLIDATED=Y","Sort=A","Dates=H","DateFormat=P","Fill=—","Direction=H","UseDPDF=Y")</f>
        <v>#NAME?</v>
      </c>
      <c r="CM414" s="1" t="e">
        <f ca="1">_xll.BDH($C$403,"TOT_DEBT_TO_TOT_ASSET","FQ1 2016","FQ1 2016","Currency=INR","Period=FQ","BEST_FPERIOD_OVERRIDE=FQ","FILING_STATUS=OR","EQY_CONSOLIDATED=Y","Sort=A","Dates=H","DateFormat=P","Fill=—","Direction=H","UseDPDF=Y")</f>
        <v>#NAME?</v>
      </c>
      <c r="CN414" s="1" t="e">
        <f ca="1">_xll.BDH($C$403,"NET_DEBT_TO_SHRHLDR_EQTY","FQ1 2016","FQ1 2016","Currency=INR","Period=FQ","BEST_FPERIOD_OVERRIDE=FQ","FILING_STATUS=OR","EQY_CONSOLIDATED=Y","Sort=A","Dates=H","DateFormat=P","Fill=—","Direction=H","UseDPDF=Y")</f>
        <v>#NAME?</v>
      </c>
      <c r="CO414" s="1" t="e">
        <f ca="1">_xll.BDH($C$403,"NET_DEBT_%_CAPITAL","FQ1 2016","FQ1 2016","Currency=INR","Period=FQ","BEST_FPERIOD_OVERRIDE=FQ","FILING_STATUS=OR","EQY_CONSOLIDATED=Y","Sort=A","Dates=H","DateFormat=P","Fill=—","Direction=H","UseDPDF=Y")</f>
        <v>#NAME?</v>
      </c>
      <c r="CP414" s="2" t="e">
        <f ca="1">_xll.BDH($C$403,"EBITDA","FQ1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14" s="2" t="e">
        <f ca="1">_xll.BDH($C$403,"EBITDA_AFTER_CAPEX","FQ1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14" s="2" t="e">
        <f ca="1">_xll.BDH($C$403,"IS_OPER_INC","FQ1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14" s="1" t="e">
        <f ca="1">_xll.BDH($C$403,"CASH_RATIO","FQ1 2016","FQ1 2016","Currency=INR","Period=FQ","BEST_FPERIOD_OVERRIDE=FQ","FILING_STATUS=OR","EQY_CONSOLIDATED=Y","Sort=A","Dates=H","DateFormat=P","Fill=—","Direction=H","UseDPDF=Y")</f>
        <v>#NAME?</v>
      </c>
      <c r="CT414" s="1" t="e">
        <f ca="1">_xll.BDH($C$403,"CUR_RATIO","FQ1 2016","FQ1 2016","Currency=INR","Period=FQ","BEST_FPERIOD_OVERRIDE=FQ","FILING_STATUS=OR","EQY_CONSOLIDATED=Y","Sort=A","Dates=H","DateFormat=P","Fill=—","Direction=H","UseDPDF=Y")</f>
        <v>#NAME?</v>
      </c>
      <c r="CU414" s="1" t="e">
        <f ca="1">_xll.BDH($C$403,"QUICK_RATIO","FQ1 2016","FQ1 2016","Currency=INR","Period=FQ","BEST_FPERIOD_OVERRIDE=FQ","FILING_STATUS=OR","EQY_CONSOLIDATED=Y","Sort=A","Dates=H","DateFormat=P","Fill=—","Direction=H","UseDPDF=Y")</f>
        <v>#NAME?</v>
      </c>
      <c r="CV414" s="1" t="e">
        <f ca="1">_xll.BDH($C$403,"ALTMAN_Z_SCORE","FQ1 2016","FQ1 2016","Currency=INR","Period=FQ","BEST_FPERIOD_OVERRIDE=FQ","FILING_STATUS=OR","EQY_CONSOLIDATED=Y","Sort=A","Dates=H","DateFormat=P","Fill=—","Direction=H","UseDPDF=Y")</f>
        <v>#NAME?</v>
      </c>
      <c r="CW414" s="3" t="e">
        <f ca="1">_xll.BDH($C$403,"ACCT_RCV_TURN","FQ1 2016","FQ1 2016","Currency=INR","Period=FQ","BEST_FPERIOD_OVERRIDE=FQ","FILING_STATUS=OR","EQY_CONSOLIDATED=Y","FA_ADJUSTED=GAAP","Sort=A","Dates=H","DateFormat=P","Fill=—","Direction=H","UseDPDF=Y")</f>
        <v>#NAME?</v>
      </c>
      <c r="CX414" s="1" t="e">
        <f ca="1">_xll.BDH($C$403,"ACCT_RCV_DAYS","FQ1 2016","FQ1 2016","Currency=INR","Period=FQ","BEST_FPERIOD_OVERRIDE=FQ","FILING_STATUS=OR","EQY_CONSOLIDATED=Y","FA_ADJUSTED=GAAP","Sort=A","Dates=H","DateFormat=P","Fill=—","Direction=H","UseDPDF=Y")</f>
        <v>#NAME?</v>
      </c>
      <c r="CY414" s="3" t="e">
        <f ca="1">_xll.BDH($C$403,"INVENT_TURN","FQ1 2016","FQ1 2016","Currency=INR","Period=FQ","BEST_FPERIOD_OVERRIDE=FQ","FILING_STATUS=OR","EQY_CONSOLIDATED=Y","FA_ADJUSTED=GAAP","Sort=A","Dates=H","DateFormat=P","Fill=—","Direction=H","UseDPDF=Y")</f>
        <v>#NAME?</v>
      </c>
      <c r="CZ414" s="1" t="e">
        <f ca="1">_xll.BDH($C$403,"INVENT_DAYS","FQ1 2016","FQ1 2016","Currency=INR","Period=FQ","BEST_FPERIOD_OVERRIDE=FQ","FILING_STATUS=OR","EQY_CONSOLIDATED=Y","FA_ADJUSTED=GAAP","Sort=A","Dates=H","DateFormat=P","Fill=—","Direction=H","UseDPDF=Y")</f>
        <v>#NAME?</v>
      </c>
      <c r="DA414" s="3" t="e">
        <f ca="1">_xll.BDH($C$403,"ACCOUNTS_PAYABLE_TURNOVER","FQ1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14" s="1" t="e">
        <f ca="1">_xll.BDH($C$403,"ACCOUNTS_PAYABLE_TURNOVER_DAYS","FQ1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14" s="3" t="e">
        <f ca="1">_xll.BDH($C$403,"CASH_CONVERSION_CYCLE","FQ1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14" s="3" t="e">
        <f ca="1">_xll.BDH($C$403,"INV_TO_CASH_DAYS","FQ1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414" s="4" t="e">
        <f ca="1">_xll.BDH($C$403,"BS_INVENTORIES","FQ1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414" s="2" t="e">
        <f ca="1">_xll.BDH($C$403,"INVTRY_RAW_MATERIALS","FQ1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14" s="2" t="e">
        <f ca="1">_xll.BDH($C$403,"INVTRY_IN_PROGRESS","FQ1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14" s="2" t="e">
        <f ca="1">_xll.BDH($C$403,"INVTRY_FINISHED_GOODS","FQ1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14" s="2" t="e">
        <f ca="1">_xll.BDH($C$403,"BS_OTHER_INV","FQ1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15" spans="1:113" x14ac:dyDescent="0.3">
      <c r="A415" s="6"/>
      <c r="B415" s="6"/>
      <c r="C415" s="6"/>
      <c r="D415" s="6"/>
      <c r="E415" t="s">
        <v>5</v>
      </c>
      <c r="F415" t="e">
        <f ca="1">_xll.BDH($C$403,"RETURN_COM_EQY","FQ2 2016","FQ2 2016","Currency=INR","Period=FQ","BEST_FPERIOD_OVERRIDE=FQ","FILING_STATUS=OR","EQY_CONSOLIDATED=Y","FA_ADJUSTED=GAAP","Sort=A","Dates=H","DateFormat=P","Fill=—","Direction=H","UseDPDF=Y")</f>
        <v>#NAME?</v>
      </c>
      <c r="G415" t="e">
        <f ca="1">_xll.BDH($C$403,"RETURN_ON_ASSET","FQ2 2016","FQ2 2016","Currency=INR","Period=FQ","BEST_FPERIOD_OVERRIDE=FQ","FILING_STATUS=OR","EQY_CONSOLIDATED=Y","FA_ADJUSTED=GAAP","Sort=A","Dates=H","DateFormat=P","Fill=—","Direction=H","UseDPDF=Y")</f>
        <v>#NAME?</v>
      </c>
      <c r="H415" t="e">
        <f ca="1">_xll.BDH($C$403,"RETURN_ON_CAP","FQ2 2016","FQ2 2016","Currency=INR","Period=FQ","BEST_FPERIOD_OVERRIDE=FQ","FILING_STATUS=OR","EQY_CONSOLIDATED=Y","FA_ADJUSTED=GAAP","Sort=A","Dates=H","DateFormat=P","Fill=—","Direction=H","UseDPDF=Y")</f>
        <v>#NAME?</v>
      </c>
      <c r="I415" t="e">
        <f ca="1">_xll.BDH($C$403,"RETURN_ON_INV_CAPITAL","FQ2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15" t="e">
        <f ca="1">_xll.BDH($C$403,"EBITDA_TO_REVENUE","FQ2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415" t="e">
        <f ca="1">_xll.BDH($C$403,"OPER_MARGIN","FQ2 2016","FQ2 2016","Currency=INR","Period=FQ","BEST_FPERIOD_OVERRIDE=FQ","FILING_STATUS=OR","EQY_CONSOLIDATED=Y","FA_ADJUSTED=GAAP","Sort=A","Dates=H","DateFormat=P","Fill=—","Direction=H","UseDPDF=Y")</f>
        <v>#NAME?</v>
      </c>
      <c r="L415" t="e">
        <f ca="1">_xll.BDH($C$403,"INCREMENTAL_OPERATING_MARGIN","FQ2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15" t="e">
        <f ca="1">_xll.BDH($C$403,"PRETAX_INC_TO_NET_SALES","FQ2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15" t="e">
        <f ca="1">_xll.BDH($C$403,"INC_BEF_XO_ITEMS_TO_NET_SALES","FQ2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15" t="e">
        <f ca="1">_xll.BDH($C$403,"PROF_MARGIN","FQ2 2016","FQ2 2016","Currency=INR","Period=FQ","BEST_FPERIOD_OVERRIDE=FQ","FILING_STATUS=OR","EQY_CONSOLIDATED=Y","FA_ADJUSTED=GAAP","Sort=A","Dates=H","DateFormat=P","Fill=—","Direction=H","UseDPDF=Y")</f>
        <v>#NAME?</v>
      </c>
      <c r="P415" t="e">
        <f ca="1">_xll.BDH($C$403,"NET_INCOME_TO_COMMON_MARGIN","FQ2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15" t="e">
        <f ca="1">_xll.BDH($C$403,"EFF_TAX_RATE","FQ2 2016","FQ2 2016","Currency=INR","Period=FQ","BEST_FPERIOD_OVERRIDE=FQ","FILING_STATUS=OR","EQY_CONSOLIDATED=Y","FA_ADJUSTED=GAAP","Sort=A","Dates=H","DateFormat=P","Fill=—","Direction=H","UseDPDF=Y")</f>
        <v>#NAME?</v>
      </c>
      <c r="R415" t="e">
        <f ca="1">_xll.BDH($C$403,"DVD_PAYOUT_RATIO","FQ2 2016","FQ2 2016","Currency=INR","Period=FQ","BEST_FPERIOD_OVERRIDE=FQ","FILING_STATUS=OR","EQY_CONSOLIDATED=Y","FA_ADJUSTED=GAAP","Sort=A","Dates=H","DateFormat=P","Fill=—","Direction=H","UseDPDF=Y")</f>
        <v>#NAME?</v>
      </c>
      <c r="S415" t="e">
        <f ca="1">_xll.BDH($C$403,"SUSTAIN_GROWTH_RT","FQ2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415" s="1" t="e">
        <f ca="1">_xll.BDH($C$403,"SALES_GROWTH","FQ2 2016","FQ2 2016","Currency=INR","Period=FQ","BEST_FPERIOD_OVERRIDE=FQ","FILING_STATUS=OR","EQY_CONSOLIDATED=Y","FA_ADJUSTED=GAAP","Sort=A","Dates=H","DateFormat=P","Fill=—","Direction=H","UseDPDF=Y")</f>
        <v>#NAME?</v>
      </c>
      <c r="U415" s="1" t="e">
        <f ca="1">_xll.BDH($C$403,"EBITDA_GROWTH","FQ2 2016","FQ2 2016","Currency=INR","Period=FQ","BEST_FPERIOD_OVERRIDE=FQ","FILING_STATUS=OR","EQY_CONSOLIDATED=Y","FA_ADJUSTED=GAAP","Sort=A","Dates=H","DateFormat=P","Fill=—","Direction=H","UseDPDF=Y")</f>
        <v>#NAME?</v>
      </c>
      <c r="V415" s="1" t="e">
        <f ca="1">_xll.BDH($C$403,"OPER_INC_GROWTH","FQ2 2016","FQ2 2016","Currency=INR","Period=FQ","BEST_FPERIOD_OVERRIDE=FQ","FILING_STATUS=OR","EQY_CONSOLIDATED=Y","FA_ADJUSTED=GAAP","Sort=A","Dates=H","DateFormat=P","Fill=—","Direction=H","UseDPDF=Y")</f>
        <v>#NAME?</v>
      </c>
      <c r="W415" s="1" t="e">
        <f ca="1">_xll.BDH($C$403,"EARN_FOR_COM_GROWTH","FQ2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15" s="1" t="e">
        <f ca="1">_xll.BDH($C$403,"DILUTED_EPS_AFT_XO_ITEMS_GROWTH","FQ2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15" s="1" t="e">
        <f ca="1">_xll.BDH($C$403,"DIVIDEND_PER_SHARE_1_YEAR_GROWTH","FQ2 2016","FQ2 2016","Currency=INR","Period=FQ","BEST_FPERIOD_OVERRIDE=FQ","FILING_STATUS=OR","EQY_CONSOLIDATED=Y","Sort=A","Dates=H","DateFormat=P","Fill=—","Direction=H","UseDPDF=Y")</f>
        <v>#NAME?</v>
      </c>
      <c r="Z415" s="1" t="e">
        <f ca="1">_xll.BDH($C$403,"ACCOUNTS_RECEIVABLE_GROWTH","FQ2 2016","FQ2 2016","Currency=INR","Period=FQ","BEST_FPERIOD_OVERRIDE=FQ","FILING_STATUS=OR","EQY_CONSOLIDATED=Y","Sort=A","Dates=H","DateFormat=P","Fill=—","Direction=H","UseDPDF=Y")</f>
        <v>#NAME?</v>
      </c>
      <c r="AA415" s="1" t="e">
        <f ca="1">_xll.BDH($C$403,"INVENTORY_GROWTH","FQ2 2016","FQ2 2016","Currency=INR","Period=FQ","BEST_FPERIOD_OVERRIDE=FQ","FILING_STATUS=OR","EQY_CONSOLIDATED=Y","Sort=A","Dates=H","DateFormat=P","Fill=—","Direction=H","UseDPDF=Y")</f>
        <v>#NAME?</v>
      </c>
      <c r="AB415" s="1" t="e">
        <f ca="1">_xll.BDH($C$403,"NET_FIXED_ASSETS_1_YEAR_GROWTH","FQ2 2016","FQ2 2016","Currency=INR","Period=FQ","BEST_FPERIOD_OVERRIDE=FQ","FILING_STATUS=OR","EQY_CONSOLIDATED=Y","Sort=A","Dates=H","DateFormat=P","Fill=—","Direction=H","UseDPDF=Y")</f>
        <v>#NAME?</v>
      </c>
      <c r="AC415" s="1" t="e">
        <f ca="1">_xll.BDH($C$403,"ASSET_GROWTH","FQ2 2016","FQ2 2016","Currency=INR","Period=FQ","BEST_FPERIOD_OVERRIDE=FQ","FILING_STATUS=OR","EQY_CONSOLIDATED=Y","Sort=A","Dates=H","DateFormat=P","Fill=—","Direction=H","UseDPDF=Y")</f>
        <v>#NAME?</v>
      </c>
      <c r="AD415" s="1" t="e">
        <f ca="1">_xll.BDH($C$403,"MODIFIED_WORK_CAP_GROWTH","FQ2 2016","FQ2 2016","Currency=INR","Period=FQ","BEST_FPERIOD_OVERRIDE=FQ","FILING_STATUS=OR","EQY_CONSOLIDATED=Y","Sort=A","Dates=H","DateFormat=P","Fill=—","Direction=H","UseDPDF=Y")</f>
        <v>#NAME?</v>
      </c>
      <c r="AE415" s="1" t="e">
        <f ca="1">_xll.BDH($C$403,"WORK_CAP_GROWTH","FQ2 2016","FQ2 2016","Currency=INR","Period=FQ","BEST_FPERIOD_OVERRIDE=FQ","FILING_STATUS=OR","EQY_CONSOLIDATED=Y","Sort=A","Dates=H","DateFormat=P","Fill=—","Direction=H","UseDPDF=Y")</f>
        <v>#NAME?</v>
      </c>
      <c r="AF415" s="1" t="e">
        <f ca="1">_xll.BDH($C$403,"ACCOUNTS_PAYABLE_GROWTH_1YR","FQ2 2016","FQ2 2016","Currency=INR","Period=FQ","BEST_FPERIOD_OVERRIDE=FQ","FILING_STATUS=OR","EQY_CONSOLIDATED=Y","Sort=A","Dates=H","DateFormat=P","Fill=—","Direction=H","UseDPDF=Y")</f>
        <v>#NAME?</v>
      </c>
      <c r="AG415" s="1" t="e">
        <f ca="1">_xll.BDH($C$403,"SHORT_TERM_DEBT_1_YEAR_GROWTH","FQ2 2016","FQ2 2016","Currency=INR","Period=FQ","BEST_FPERIOD_OVERRIDE=FQ","FILING_STATUS=OR","EQY_CONSOLIDATED=Y","Sort=A","Dates=H","DateFormat=P","Fill=—","Direction=H","UseDPDF=Y")</f>
        <v>#NAME?</v>
      </c>
      <c r="AH415" s="1" t="e">
        <f ca="1">_xll.BDH($C$403,"TOTAL_DEBT_1_YEAR_GROWTH","FQ2 2016","FQ2 2016","Currency=INR","Period=FQ","BEST_FPERIOD_OVERRIDE=FQ","FILING_STATUS=OR","EQY_CONSOLIDATED=Y","Sort=A","Dates=H","DateFormat=P","Fill=—","Direction=H","UseDPDF=Y")</f>
        <v>#NAME?</v>
      </c>
      <c r="AI415" s="1" t="e">
        <f ca="1">_xll.BDH($C$403,"TOTAL_EQUITY_1_YEAR_GROWTH","FQ2 2016","FQ2 2016","Currency=INR","Period=FQ","BEST_FPERIOD_OVERRIDE=FQ","FILING_STATUS=OR","EQY_CONSOLIDATED=Y","Sort=A","Dates=H","DateFormat=P","Fill=—","Direction=H","UseDPDF=Y")</f>
        <v>#NAME?</v>
      </c>
      <c r="AJ415" s="1" t="e">
        <f ca="1">_xll.BDH($C$403,"GROWTH_IN_CAP","FQ2 2016","FQ2 2016","Currency=INR","Period=FQ","BEST_FPERIOD_OVERRIDE=FQ","FILING_STATUS=OR","EQY_CONSOLIDATED=Y","Sort=A","Dates=H","DateFormat=P","Fill=—","Direction=H","UseDPDF=Y")</f>
        <v>#NAME?</v>
      </c>
      <c r="AK415" s="1" t="e">
        <f ca="1">_xll.BDH($C$403,"BVPS_GROWTH","FQ2 2016","FQ2 2016","Currency=INR","Period=FQ","BEST_FPERIOD_OVERRIDE=FQ","FILING_STATUS=OR","EQY_CONSOLIDATED=Y","Sort=A","Dates=H","DateFormat=P","Fill=—","Direction=H","UseDPDF=Y")</f>
        <v>#NAME?</v>
      </c>
      <c r="AL415" s="1" t="e">
        <f ca="1">_xll.BDH($C$403,"CASH_FLOW_GROWTH","FQ2 2016","FQ2 2016","Currency=INR","Period=FQ","BEST_FPERIOD_OVERRIDE=FQ","FILING_STATUS=OR","EQY_CONSOLIDATED=Y","Sort=A","Dates=H","DateFormat=P","Fill=—","Direction=H","UseDPDF=Y")</f>
        <v>#NAME?</v>
      </c>
      <c r="AM415" s="1" t="e">
        <f ca="1">_xll.BDH($C$403,"GEO_GROW_NET_SALES","FQ2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15" s="1" t="e">
        <f ca="1">_xll.BDH($C$403,"GEO_GROW_EBITDA","FQ2 2016","FQ2 2016","Currency=INR","Period=FQ","BEST_FPERIOD_OVERRIDE=FQ","FILING_STATUS=OR","EQY_CONSOLIDATED=Y","FA_ADJUSTED=GAAP","Sort=A","Dates=H","DateFormat=P","Fill=—","Direction=H","UseDPDF=Y")</f>
        <v>#NAME?</v>
      </c>
      <c r="AO415" s="1" t="e">
        <f ca="1">_xll.BDH($C$403,"GEO_GROW_OPER_INC","FQ2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15" s="1" t="e">
        <f ca="1">_xll.BDH($C$403,"NET_INCOME_TO_COMMON_5_YR_GROWTH","FQ2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15" s="1" t="e">
        <f ca="1">_xll.BDH($C$403,"5Y_GEO_GROWTH_DILUTED_EPS","FQ2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15" s="1" t="e">
        <f ca="1">_xll.BDH($C$403,"GEO_GROW_DVD_PER_SH","FQ2 2016","FQ2 2016","Currency=INR","Period=FQ","BEST_FPERIOD_OVERRIDE=FQ","FILING_STATUS=OR","EQY_CONSOLIDATED=Y","Sort=A","Dates=H","DateFormat=P","Fill=—","Direction=H","UseDPDF=Y")</f>
        <v>#NAME?</v>
      </c>
      <c r="AS415" s="1" t="e">
        <f ca="1">_xll.BDH($C$403,"ACCOUNTS_RECEIVABLE_5_YR_GROWTH","FQ2 2016","FQ2 2016","Currency=INR","Period=FQ","BEST_FPERIOD_OVERRIDE=FQ","FILING_STATUS=OR","EQY_CONSOLIDATED=Y","Sort=A","Dates=H","DateFormat=P","Fill=—","Direction=H","UseDPDF=Y")</f>
        <v>#NAME?</v>
      </c>
      <c r="AT415" s="1" t="e">
        <f ca="1">_xll.BDH($C$403,"INVENTORY_5_YEAR_GROWTH","FQ2 2016","FQ2 2016","Currency=INR","Period=FQ","BEST_FPERIOD_OVERRIDE=FQ","FILING_STATUS=OR","EQY_CONSOLIDATED=Y","Sort=A","Dates=H","DateFormat=P","Fill=—","Direction=H","UseDPDF=Y")</f>
        <v>#NAME?</v>
      </c>
      <c r="AU415" s="1" t="e">
        <f ca="1">_xll.BDH($C$403,"NET_FIXED_ASSETS_5_YEAR_GROWTH","FQ2 2016","FQ2 2016","Currency=INR","Period=FQ","BEST_FPERIOD_OVERRIDE=FQ","FILING_STATUS=OR","EQY_CONSOLIDATED=Y","Sort=A","Dates=H","DateFormat=P","Fill=—","Direction=H","UseDPDF=Y")</f>
        <v>#NAME?</v>
      </c>
      <c r="AV415" s="1" t="e">
        <f ca="1">_xll.BDH($C$403,"GEO_GROW_TOT_ASSET","FQ2 2016","FQ2 2016","Currency=INR","Period=FQ","BEST_FPERIOD_OVERRIDE=FQ","FILING_STATUS=OR","EQY_CONSOLIDATED=Y","Sort=A","Dates=H","DateFormat=P","Fill=—","Direction=H","UseDPDF=Y")</f>
        <v>#NAME?</v>
      </c>
      <c r="AW415" s="1" t="e">
        <f ca="1">_xll.BDH($C$403,"MODIFIED_WORKING_CPTL_5YR_GRWTH","FQ2 2016","FQ2 2016","Currency=INR","Period=FQ","BEST_FPERIOD_OVERRIDE=FQ","FILING_STATUS=OR","EQY_CONSOLIDATED=Y","Sort=A","Dates=H","DateFormat=P","Fill=—","Direction=H","UseDPDF=Y")</f>
        <v>#NAME?</v>
      </c>
      <c r="AX415" s="1" t="e">
        <f ca="1">_xll.BDH($C$403,"WORKING_CAPITAL_5_YEAR_GROWTH","FQ2 2016","FQ2 2016","Currency=INR","Period=FQ","BEST_FPERIOD_OVERRIDE=FQ","FILING_STATUS=OR","EQY_CONSOLIDATED=Y","Sort=A","Dates=H","DateFormat=P","Fill=—","Direction=H","UseDPDF=Y")</f>
        <v>#NAME?</v>
      </c>
      <c r="AY415" s="1" t="e">
        <f ca="1">_xll.BDH($C$403,"ACCOUNTS_PAYABLE_5_YEAR_GROWTH","FQ2 2016","FQ2 2016","Currency=INR","Period=FQ","BEST_FPERIOD_OVERRIDE=FQ","FILING_STATUS=OR","EQY_CONSOLIDATED=Y","Sort=A","Dates=H","DateFormat=P","Fill=—","Direction=H","UseDPDF=Y")</f>
        <v>#NAME?</v>
      </c>
      <c r="AZ415" s="1" t="e">
        <f ca="1">_xll.BDH($C$403,"SHORT_TERM_DEBT_5_YEAR_GROWTH","FQ2 2016","FQ2 2016","Currency=INR","Period=FQ","BEST_FPERIOD_OVERRIDE=FQ","FILING_STATUS=OR","EQY_CONSOLIDATED=Y","Sort=A","Dates=H","DateFormat=P","Fill=—","Direction=H","UseDPDF=Y")</f>
        <v>#NAME?</v>
      </c>
      <c r="BA415" s="1" t="e">
        <f ca="1">_xll.BDH($C$403,"TOTAL_DEBT_5_YEAR_GROWTH","FQ2 2016","FQ2 2016","Currency=INR","Period=FQ","BEST_FPERIOD_OVERRIDE=FQ","FILING_STATUS=OR","EQY_CONSOLIDATED=Y","Sort=A","Dates=H","DateFormat=P","Fill=—","Direction=H","UseDPDF=Y")</f>
        <v>#NAME?</v>
      </c>
      <c r="BB415" s="1" t="e">
        <f ca="1">_xll.BDH($C$403,"GEO_GROW_TOT_SHRHLDR_EQY","FQ2 2016","FQ2 2016","Currency=INR","Period=FQ","BEST_FPERIOD_OVERRIDE=FQ","FILING_STATUS=OR","EQY_CONSOLIDATED=Y","Sort=A","Dates=H","DateFormat=P","Fill=—","Direction=H","UseDPDF=Y")</f>
        <v>#NAME?</v>
      </c>
      <c r="BC415" s="1" t="e">
        <f ca="1">_xll.BDH($C$403,"TOTAL_CAPITAL_5_YEAR_GROWTH","FQ2 2016","FQ2 2016","Currency=INR","Period=FQ","BEST_FPERIOD_OVERRIDE=FQ","FILING_STATUS=OR","EQY_CONSOLIDATED=Y","Sort=A","Dates=H","DateFormat=P","Fill=—","Direction=H","UseDPDF=Y")</f>
        <v>#NAME?</v>
      </c>
      <c r="BD415" s="1" t="e">
        <f ca="1">_xll.BDH($C$403,"GEO_GROW_BOOK_VAL","FQ2 2016","FQ2 2016","Currency=INR","Period=FQ","BEST_FPERIOD_OVERRIDE=FQ","FILING_STATUS=OR","EQY_CONSOLIDATED=Y","Sort=A","Dates=H","DateFormat=P","Fill=—","Direction=H","UseDPDF=Y")</f>
        <v>#NAME?</v>
      </c>
      <c r="BE415" s="1" t="e">
        <f ca="1">_xll.BDH($C$403,"GEO_GROW_CASH_OPER_ACT","FQ2 2016","FQ2 2016","Currency=INR","Period=FQ","BEST_FPERIOD_OVERRIDE=FQ","FILING_STATUS=OR","EQY_CONSOLIDATED=Y","Sort=A","Dates=H","DateFormat=P","Fill=—","Direction=H","UseDPDF=Y")</f>
        <v>#NAME?</v>
      </c>
      <c r="BF415" s="1" t="e">
        <f ca="1">_xll.BDH($C$403,"REVENUE_SEQUENTIAL_GROWTH","FQ2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15" s="1" t="e">
        <f ca="1">_xll.BDH($C$403,"EBITDA_SEQUENTIAL_GROWTH","FQ2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15" s="1" t="e">
        <f ca="1">_xll.BDH($C$403,"OPERATING_INCOME_SEQ_GROWTH","FQ2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15" s="1" t="e">
        <f ca="1">_xll.BDH($C$403,"NET_INCOME_TO_COMMON_SEQ_GROWTH","FQ2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15" s="1" t="e">
        <f ca="1">_xll.BDH($C$403,"EPS_DILUTED_SEQUENTIAL_GROWTH","FQ2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15" s="1" t="e">
        <f ca="1">_xll.BDH($C$403,"DPS_SEQUENTIAL_GROWTH","FQ2 2016","FQ2 2016","Currency=INR","Period=FQ","BEST_FPERIOD_OVERRIDE=FQ","FILING_STATUS=OR","EQY_CONSOLIDATED=Y","Sort=A","Dates=H","DateFormat=P","Fill=—","Direction=H","UseDPDF=Y")</f>
        <v>#NAME?</v>
      </c>
      <c r="BL415" s="1" t="e">
        <f ca="1">_xll.BDH($C$403,"ACCOUNTS_RECEIVABLE_SEQ_GROWTH","FQ2 2016","FQ2 2016","Currency=INR","Period=FQ","BEST_FPERIOD_OVERRIDE=FQ","FILING_STATUS=OR","EQY_CONSOLIDATED=Y","Sort=A","Dates=H","DateFormat=P","Fill=—","Direction=H","UseDPDF=Y")</f>
        <v>#NAME?</v>
      </c>
      <c r="BM415" s="1" t="e">
        <f ca="1">_xll.BDH($C$403,"INVENTORY_SEQUENTIAL_GROWTH","FQ2 2016","FQ2 2016","Currency=INR","Period=FQ","BEST_FPERIOD_OVERRIDE=FQ","FILING_STATUS=OR","EQY_CONSOLIDATED=Y","Sort=A","Dates=H","DateFormat=P","Fill=—","Direction=H","UseDPDF=Y")</f>
        <v>#NAME?</v>
      </c>
      <c r="BN415" s="1" t="e">
        <f ca="1">_xll.BDH($C$403,"FIXED_ASSETS_SEQUENTIAL_GROWTH","FQ2 2016","FQ2 2016","Currency=INR","Period=FQ","BEST_FPERIOD_OVERRIDE=FQ","FILING_STATUS=OR","EQY_CONSOLIDATED=Y","Sort=A","Dates=H","DateFormat=P","Fill=—","Direction=H","UseDPDF=Y")</f>
        <v>#NAME?</v>
      </c>
      <c r="BO415" s="1" t="e">
        <f ca="1">_xll.BDH($C$403,"TOTAL_ASSETS_SEQUENTIAL_GROWTH","FQ2 2016","FQ2 2016","Currency=INR","Period=FQ","BEST_FPERIOD_OVERRIDE=FQ","FILING_STATUS=OR","EQY_CONSOLIDATED=Y","Sort=A","Dates=H","DateFormat=P","Fill=—","Direction=H","UseDPDF=Y")</f>
        <v>#NAME?</v>
      </c>
      <c r="BP415" s="1" t="e">
        <f ca="1">_xll.BDH($C$403,"MODIFIED_WORKING_CPTL_SEQ_GRWTH","FQ2 2016","FQ2 2016","Currency=INR","Period=FQ","BEST_FPERIOD_OVERRIDE=FQ","FILING_STATUS=OR","EQY_CONSOLIDATED=Y","Sort=A","Dates=H","DateFormat=P","Fill=—","Direction=H","UseDPDF=Y")</f>
        <v>#NAME?</v>
      </c>
      <c r="BQ415" s="1" t="e">
        <f ca="1">_xll.BDH($C$403,"WORKING_CAPITAL_SEQ_GROWTH","FQ2 2016","FQ2 2016","Currency=INR","Period=FQ","BEST_FPERIOD_OVERRIDE=FQ","FILING_STATUS=OR","EQY_CONSOLIDATED=Y","Sort=A","Dates=H","DateFormat=P","Fill=—","Direction=H","UseDPDF=Y")</f>
        <v>#NAME?</v>
      </c>
      <c r="BR415" s="1" t="e">
        <f ca="1">_xll.BDH($C$403,"ACCOUNTS_PAYABLE_SEQ_GROWTH","FQ2 2016","FQ2 2016","Currency=INR","Period=FQ","BEST_FPERIOD_OVERRIDE=FQ","FILING_STATUS=OR","EQY_CONSOLIDATED=Y","Sort=A","Dates=H","DateFormat=P","Fill=—","Direction=H","UseDPDF=Y")</f>
        <v>#NAME?</v>
      </c>
      <c r="BS415" s="1" t="e">
        <f ca="1">_xll.BDH($C$403,"ST_DEBT_SEQUENTIAL_GROWTH","FQ2 2016","FQ2 2016","Currency=INR","Period=FQ","BEST_FPERIOD_OVERRIDE=FQ","FILING_STATUS=OR","EQY_CONSOLIDATED=Y","Sort=A","Dates=H","DateFormat=P","Fill=—","Direction=H","UseDPDF=Y")</f>
        <v>#NAME?</v>
      </c>
      <c r="BT415" s="1" t="e">
        <f ca="1">_xll.BDH($C$403,"TOTAL_DEBT_SEQUENTIAL_GROWTH","FQ2 2016","FQ2 2016","Currency=INR","Period=FQ","BEST_FPERIOD_OVERRIDE=FQ","FILING_STATUS=OR","EQY_CONSOLIDATED=Y","Sort=A","Dates=H","DateFormat=P","Fill=—","Direction=H","UseDPDF=Y")</f>
        <v>#NAME?</v>
      </c>
      <c r="BU415" s="1" t="e">
        <f ca="1">_xll.BDH($C$403,"TOTAL_EQUITY_SEQUENTIAL_GROWTH","FQ2 2016","FQ2 2016","Currency=INR","Period=FQ","BEST_FPERIOD_OVERRIDE=FQ","FILING_STATUS=OR","EQY_CONSOLIDATED=Y","Sort=A","Dates=H","DateFormat=P","Fill=—","Direction=H","UseDPDF=Y")</f>
        <v>#NAME?</v>
      </c>
      <c r="BV415" s="1" t="e">
        <f ca="1">_xll.BDH($C$403,"TOTAL_CAPITAL_SEQUENTIAL_GROWTH","FQ2 2016","FQ2 2016","Currency=INR","Period=FQ","BEST_FPERIOD_OVERRIDE=FQ","FILING_STATUS=OR","EQY_CONSOLIDATED=Y","Sort=A","Dates=H","DateFormat=P","Fill=—","Direction=H","UseDPDF=Y")</f>
        <v>#NAME?</v>
      </c>
      <c r="BW415" s="1" t="e">
        <f ca="1">_xll.BDH($C$403,"BPS_SEQUENTIAL_GROWTH","FQ2 2016","FQ2 2016","Currency=INR","Period=FQ","BEST_FPERIOD_OVERRIDE=FQ","FILING_STATUS=OR","EQY_CONSOLIDATED=Y","Sort=A","Dates=H","DateFormat=P","Fill=—","Direction=H","UseDPDF=Y")</f>
        <v>#NAME?</v>
      </c>
      <c r="BX415" s="1" t="e">
        <f ca="1">_xll.BDH($C$403,"CFO_SEQUENTIAL_GROWTH","FQ2 2016","FQ2 2016","Currency=INR","Period=FQ","BEST_FPERIOD_OVERRIDE=FQ","FILING_STATUS=OR","EQY_CONSOLIDATED=Y","Sort=A","Dates=H","DateFormat=P","Fill=—","Direction=H","UseDPDF=Y")</f>
        <v>#NAME?</v>
      </c>
      <c r="BY415" s="2" t="e">
        <f ca="1">_xll.BDH($C$403,"SHORT_AND_LONG_TERM_DEBT","FQ2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15" s="2" t="e">
        <f ca="1">_xll.BDH($C$403,"BS_ST_BORROW","FQ2 2016","FQ2 2016","Currency=INR","Period=FQ","BEST_FPERIOD_OVERRIDE=FQ","FILING_STATUS=OR","EQY_CONSOLIDATED=Y","SCALING_FORMAT=MLN","Sort=A","Dates=H","DateFormat=P","Fill=—","Direction=H","UseDPDF=Y")</f>
        <v>#NAME?</v>
      </c>
      <c r="CA415" s="2" t="e">
        <f ca="1">_xll.BDH($C$403,"BS_LT_BORROW","FQ2 2016","FQ2 2016","Currency=INR","Period=FQ","BEST_FPERIOD_OVERRIDE=FQ","FILING_STATUS=OR","EQY_CONSOLIDATED=Y","SCALING_FORMAT=MLN","Sort=A","Dates=H","DateFormat=P","Fill=—","Direction=H","UseDPDF=Y")</f>
        <v>#NAME?</v>
      </c>
      <c r="CB415" s="1" t="e">
        <f ca="1">_xll.BDH($C$403,"TOT_DEBT_TO_EBITDA","FQ2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15" s="1" t="e">
        <f ca="1">_xll.BDH($C$403,"NET_DEBT_TO_EBITDA","FQ2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15" s="1" t="e">
        <f ca="1">_xll.BDH($C$403,"TOTAL_DEBT_TO_EBIT","FQ2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15" s="1" t="e">
        <f ca="1">_xll.BDH($C$403,"NET_DEBT_TO_EBIT","FQ2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415" s="1" t="e">
        <f ca="1">_xll.BDH($C$403,"EBITDA_TO_INTEREST_EXPN","FQ2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15" s="1" t="e">
        <f ca="1">_xll.BDH($C$403,"COM_EQY_TO_TOT_ASSET","FQ2 2016","FQ2 2016","Currency=INR","Period=FQ","BEST_FPERIOD_OVERRIDE=FQ","FILING_STATUS=OR","EQY_CONSOLIDATED=Y","Sort=A","Dates=H","DateFormat=P","Fill=—","Direction=H","UseDPDF=Y")</f>
        <v>#NAME?</v>
      </c>
      <c r="CH415" s="1" t="e">
        <f ca="1">_xll.BDH($C$403,"LT_DEBT_TO_TOT_EQY","FQ2 2016","FQ2 2016","Currency=INR","Period=FQ","BEST_FPERIOD_OVERRIDE=FQ","FILING_STATUS=OR","EQY_CONSOLIDATED=Y","Sort=A","Dates=H","DateFormat=P","Fill=—","Direction=H","UseDPDF=Y")</f>
        <v>#NAME?</v>
      </c>
      <c r="CI415" s="1" t="e">
        <f ca="1">_xll.BDH($C$403,"LT_DEBT_TO_TOT_CAP","FQ2 2016","FQ2 2016","Currency=INR","Period=FQ","BEST_FPERIOD_OVERRIDE=FQ","FILING_STATUS=OR","EQY_CONSOLIDATED=Y","Sort=A","Dates=H","DateFormat=P","Fill=—","Direction=H","UseDPDF=Y")</f>
        <v>#NAME?</v>
      </c>
      <c r="CJ415" s="1" t="e">
        <f ca="1">_xll.BDH($C$403,"LT_DEBT_TO_TOT_ASSET","FQ2 2016","FQ2 2016","Currency=INR","Period=FQ","BEST_FPERIOD_OVERRIDE=FQ","FILING_STATUS=OR","EQY_CONSOLIDATED=Y","Sort=A","Dates=H","DateFormat=P","Fill=—","Direction=H","UseDPDF=Y")</f>
        <v>#NAME?</v>
      </c>
      <c r="CK415" s="1" t="e">
        <f ca="1">_xll.BDH($C$403,"TOT_DEBT_TO_TOT_EQY","FQ2 2016","FQ2 2016","Currency=INR","Period=FQ","BEST_FPERIOD_OVERRIDE=FQ","FILING_STATUS=OR","EQY_CONSOLIDATED=Y","Sort=A","Dates=H","DateFormat=P","Fill=—","Direction=H","UseDPDF=Y")</f>
        <v>#NAME?</v>
      </c>
      <c r="CL415" s="1" t="e">
        <f ca="1">_xll.BDH($C$403,"TOT_DEBT_TO_TOT_CAP","FQ2 2016","FQ2 2016","Currency=INR","Period=FQ","BEST_FPERIOD_OVERRIDE=FQ","FILING_STATUS=OR","EQY_CONSOLIDATED=Y","Sort=A","Dates=H","DateFormat=P","Fill=—","Direction=H","UseDPDF=Y")</f>
        <v>#NAME?</v>
      </c>
      <c r="CM415" s="1" t="e">
        <f ca="1">_xll.BDH($C$403,"TOT_DEBT_TO_TOT_ASSET","FQ2 2016","FQ2 2016","Currency=INR","Period=FQ","BEST_FPERIOD_OVERRIDE=FQ","FILING_STATUS=OR","EQY_CONSOLIDATED=Y","Sort=A","Dates=H","DateFormat=P","Fill=—","Direction=H","UseDPDF=Y")</f>
        <v>#NAME?</v>
      </c>
      <c r="CN415" s="1" t="e">
        <f ca="1">_xll.BDH($C$403,"NET_DEBT_TO_SHRHLDR_EQTY","FQ2 2016","FQ2 2016","Currency=INR","Period=FQ","BEST_FPERIOD_OVERRIDE=FQ","FILING_STATUS=OR","EQY_CONSOLIDATED=Y","Sort=A","Dates=H","DateFormat=P","Fill=—","Direction=H","UseDPDF=Y")</f>
        <v>#NAME?</v>
      </c>
      <c r="CO415" s="1" t="e">
        <f ca="1">_xll.BDH($C$403,"NET_DEBT_%_CAPITAL","FQ2 2016","FQ2 2016","Currency=INR","Period=FQ","BEST_FPERIOD_OVERRIDE=FQ","FILING_STATUS=OR","EQY_CONSOLIDATED=Y","Sort=A","Dates=H","DateFormat=P","Fill=—","Direction=H","UseDPDF=Y")</f>
        <v>#NAME?</v>
      </c>
      <c r="CP415" s="2" t="e">
        <f ca="1">_xll.BDH($C$403,"EBITDA","FQ2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15" s="2" t="e">
        <f ca="1">_xll.BDH($C$403,"EBITDA_AFTER_CAPEX","FQ2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15" s="2" t="e">
        <f ca="1">_xll.BDH($C$403,"IS_OPER_INC","FQ2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15" s="1" t="e">
        <f ca="1">_xll.BDH($C$403,"CASH_RATIO","FQ2 2016","FQ2 2016","Currency=INR","Period=FQ","BEST_FPERIOD_OVERRIDE=FQ","FILING_STATUS=OR","EQY_CONSOLIDATED=Y","Sort=A","Dates=H","DateFormat=P","Fill=—","Direction=H","UseDPDF=Y")</f>
        <v>#NAME?</v>
      </c>
      <c r="CT415" s="1" t="e">
        <f ca="1">_xll.BDH($C$403,"CUR_RATIO","FQ2 2016","FQ2 2016","Currency=INR","Period=FQ","BEST_FPERIOD_OVERRIDE=FQ","FILING_STATUS=OR","EQY_CONSOLIDATED=Y","Sort=A","Dates=H","DateFormat=P","Fill=—","Direction=H","UseDPDF=Y")</f>
        <v>#NAME?</v>
      </c>
      <c r="CU415" s="1" t="e">
        <f ca="1">_xll.BDH($C$403,"QUICK_RATIO","FQ2 2016","FQ2 2016","Currency=INR","Period=FQ","BEST_FPERIOD_OVERRIDE=FQ","FILING_STATUS=OR","EQY_CONSOLIDATED=Y","Sort=A","Dates=H","DateFormat=P","Fill=—","Direction=H","UseDPDF=Y")</f>
        <v>#NAME?</v>
      </c>
      <c r="CV415" s="1" t="e">
        <f ca="1">_xll.BDH($C$403,"ALTMAN_Z_SCORE","FQ2 2016","FQ2 2016","Currency=INR","Period=FQ","BEST_FPERIOD_OVERRIDE=FQ","FILING_STATUS=OR","EQY_CONSOLIDATED=Y","Sort=A","Dates=H","DateFormat=P","Fill=—","Direction=H","UseDPDF=Y")</f>
        <v>#NAME?</v>
      </c>
      <c r="CW415" s="3" t="e">
        <f ca="1">_xll.BDH($C$403,"ACCT_RCV_TURN","FQ2 2016","FQ2 2016","Currency=INR","Period=FQ","BEST_FPERIOD_OVERRIDE=FQ","FILING_STATUS=OR","EQY_CONSOLIDATED=Y","FA_ADJUSTED=GAAP","Sort=A","Dates=H","DateFormat=P","Fill=—","Direction=H","UseDPDF=Y")</f>
        <v>#NAME?</v>
      </c>
      <c r="CX415" s="1" t="e">
        <f ca="1">_xll.BDH($C$403,"ACCT_RCV_DAYS","FQ2 2016","FQ2 2016","Currency=INR","Period=FQ","BEST_FPERIOD_OVERRIDE=FQ","FILING_STATUS=OR","EQY_CONSOLIDATED=Y","FA_ADJUSTED=GAAP","Sort=A","Dates=H","DateFormat=P","Fill=—","Direction=H","UseDPDF=Y")</f>
        <v>#NAME?</v>
      </c>
      <c r="CY415" s="3" t="e">
        <f ca="1">_xll.BDH($C$403,"INVENT_TURN","FQ2 2016","FQ2 2016","Currency=INR","Period=FQ","BEST_FPERIOD_OVERRIDE=FQ","FILING_STATUS=OR","EQY_CONSOLIDATED=Y","FA_ADJUSTED=GAAP","Sort=A","Dates=H","DateFormat=P","Fill=—","Direction=H","UseDPDF=Y")</f>
        <v>#NAME?</v>
      </c>
      <c r="CZ415" s="1" t="e">
        <f ca="1">_xll.BDH($C$403,"INVENT_DAYS","FQ2 2016","FQ2 2016","Currency=INR","Period=FQ","BEST_FPERIOD_OVERRIDE=FQ","FILING_STATUS=OR","EQY_CONSOLIDATED=Y","FA_ADJUSTED=GAAP","Sort=A","Dates=H","DateFormat=P","Fill=—","Direction=H","UseDPDF=Y")</f>
        <v>#NAME?</v>
      </c>
      <c r="DA415" s="3" t="e">
        <f ca="1">_xll.BDH($C$403,"ACCOUNTS_PAYABLE_TURNOVER","FQ2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15" s="1" t="e">
        <f ca="1">_xll.BDH($C$403,"ACCOUNTS_PAYABLE_TURNOVER_DAYS","FQ2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15" s="3" t="e">
        <f ca="1">_xll.BDH($C$403,"CASH_CONVERSION_CYCLE","FQ2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15" s="3" t="e">
        <f ca="1">_xll.BDH($C$403,"INV_TO_CASH_DAYS","FQ2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415" s="4" t="e">
        <f ca="1">_xll.BDH($C$403,"BS_INVENTORIES","FQ2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415" s="2" t="e">
        <f ca="1">_xll.BDH($C$403,"INVTRY_RAW_MATERIALS","FQ2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15" s="2" t="e">
        <f ca="1">_xll.BDH($C$403,"INVTRY_IN_PROGRESS","FQ2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15" s="2" t="e">
        <f ca="1">_xll.BDH($C$403,"INVTRY_FINISHED_GOODS","FQ2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15" s="2" t="e">
        <f ca="1">_xll.BDH($C$403,"BS_OTHER_INV","FQ2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16" spans="1:113" x14ac:dyDescent="0.3">
      <c r="A416" s="6"/>
      <c r="B416" s="6"/>
      <c r="C416" s="6"/>
      <c r="D416" s="6"/>
      <c r="E416" t="s">
        <v>6</v>
      </c>
      <c r="F416" t="e">
        <f ca="1">_xll.BDH($C$403,"RETURN_COM_EQY","FQ3 2016","FQ3 2016","Currency=INR","Period=FQ","BEST_FPERIOD_OVERRIDE=FQ","FILING_STATUS=OR","EQY_CONSOLIDATED=Y","FA_ADJUSTED=GAAP","Sort=A","Dates=H","DateFormat=P","Fill=—","Direction=H","UseDPDF=Y")</f>
        <v>#NAME?</v>
      </c>
      <c r="G416" t="e">
        <f ca="1">_xll.BDH($C$403,"RETURN_ON_ASSET","FQ3 2016","FQ3 2016","Currency=INR","Period=FQ","BEST_FPERIOD_OVERRIDE=FQ","FILING_STATUS=OR","EQY_CONSOLIDATED=Y","FA_ADJUSTED=GAAP","Sort=A","Dates=H","DateFormat=P","Fill=—","Direction=H","UseDPDF=Y")</f>
        <v>#NAME?</v>
      </c>
      <c r="H416" t="e">
        <f ca="1">_xll.BDH($C$403,"RETURN_ON_CAP","FQ3 2016","FQ3 2016","Currency=INR","Period=FQ","BEST_FPERIOD_OVERRIDE=FQ","FILING_STATUS=OR","EQY_CONSOLIDATED=Y","FA_ADJUSTED=GAAP","Sort=A","Dates=H","DateFormat=P","Fill=—","Direction=H","UseDPDF=Y")</f>
        <v>#NAME?</v>
      </c>
      <c r="I416" t="e">
        <f ca="1">_xll.BDH($C$403,"RETURN_ON_INV_CAPITAL","FQ3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16" t="e">
        <f ca="1">_xll.BDH($C$403,"EBITDA_TO_REVENUE","FQ3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416" t="e">
        <f ca="1">_xll.BDH($C$403,"OPER_MARGIN","FQ3 2016","FQ3 2016","Currency=INR","Period=FQ","BEST_FPERIOD_OVERRIDE=FQ","FILING_STATUS=OR","EQY_CONSOLIDATED=Y","FA_ADJUSTED=GAAP","Sort=A","Dates=H","DateFormat=P","Fill=—","Direction=H","UseDPDF=Y")</f>
        <v>#NAME?</v>
      </c>
      <c r="L416" t="e">
        <f ca="1">_xll.BDH($C$403,"INCREMENTAL_OPERATING_MARGIN","FQ3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16" t="e">
        <f ca="1">_xll.BDH($C$403,"PRETAX_INC_TO_NET_SALES","FQ3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16" t="e">
        <f ca="1">_xll.BDH($C$403,"INC_BEF_XO_ITEMS_TO_NET_SALES","FQ3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16" t="e">
        <f ca="1">_xll.BDH($C$403,"PROF_MARGIN","FQ3 2016","FQ3 2016","Currency=INR","Period=FQ","BEST_FPERIOD_OVERRIDE=FQ","FILING_STATUS=OR","EQY_CONSOLIDATED=Y","FA_ADJUSTED=GAAP","Sort=A","Dates=H","DateFormat=P","Fill=—","Direction=H","UseDPDF=Y")</f>
        <v>#NAME?</v>
      </c>
      <c r="P416" t="e">
        <f ca="1">_xll.BDH($C$403,"NET_INCOME_TO_COMMON_MARGIN","FQ3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16" t="e">
        <f ca="1">_xll.BDH($C$403,"EFF_TAX_RATE","FQ3 2016","FQ3 2016","Currency=INR","Period=FQ","BEST_FPERIOD_OVERRIDE=FQ","FILING_STATUS=OR","EQY_CONSOLIDATED=Y","FA_ADJUSTED=GAAP","Sort=A","Dates=H","DateFormat=P","Fill=—","Direction=H","UseDPDF=Y")</f>
        <v>#NAME?</v>
      </c>
      <c r="R416" t="e">
        <f ca="1">_xll.BDH($C$403,"DVD_PAYOUT_RATIO","FQ3 2016","FQ3 2016","Currency=INR","Period=FQ","BEST_FPERIOD_OVERRIDE=FQ","FILING_STATUS=OR","EQY_CONSOLIDATED=Y","FA_ADJUSTED=GAAP","Sort=A","Dates=H","DateFormat=P","Fill=—","Direction=H","UseDPDF=Y")</f>
        <v>#NAME?</v>
      </c>
      <c r="S416" t="e">
        <f ca="1">_xll.BDH($C$403,"SUSTAIN_GROWTH_RT","FQ3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416" s="1" t="e">
        <f ca="1">_xll.BDH($C$403,"SALES_GROWTH","FQ3 2016","FQ3 2016","Currency=INR","Period=FQ","BEST_FPERIOD_OVERRIDE=FQ","FILING_STATUS=OR","EQY_CONSOLIDATED=Y","FA_ADJUSTED=GAAP","Sort=A","Dates=H","DateFormat=P","Fill=—","Direction=H","UseDPDF=Y")</f>
        <v>#NAME?</v>
      </c>
      <c r="U416" s="1" t="e">
        <f ca="1">_xll.BDH($C$403,"EBITDA_GROWTH","FQ3 2016","FQ3 2016","Currency=INR","Period=FQ","BEST_FPERIOD_OVERRIDE=FQ","FILING_STATUS=OR","EQY_CONSOLIDATED=Y","FA_ADJUSTED=GAAP","Sort=A","Dates=H","DateFormat=P","Fill=—","Direction=H","UseDPDF=Y")</f>
        <v>#NAME?</v>
      </c>
      <c r="V416" s="1" t="e">
        <f ca="1">_xll.BDH($C$403,"OPER_INC_GROWTH","FQ3 2016","FQ3 2016","Currency=INR","Period=FQ","BEST_FPERIOD_OVERRIDE=FQ","FILING_STATUS=OR","EQY_CONSOLIDATED=Y","FA_ADJUSTED=GAAP","Sort=A","Dates=H","DateFormat=P","Fill=—","Direction=H","UseDPDF=Y")</f>
        <v>#NAME?</v>
      </c>
      <c r="W416" s="1" t="e">
        <f ca="1">_xll.BDH($C$403,"EARN_FOR_COM_GROWTH","FQ3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16" s="1" t="e">
        <f ca="1">_xll.BDH($C$403,"DILUTED_EPS_AFT_XO_ITEMS_GROWTH","FQ3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16" s="1" t="e">
        <f ca="1">_xll.BDH($C$403,"DIVIDEND_PER_SHARE_1_YEAR_GROWTH","FQ3 2016","FQ3 2016","Currency=INR","Period=FQ","BEST_FPERIOD_OVERRIDE=FQ","FILING_STATUS=OR","EQY_CONSOLIDATED=Y","Sort=A","Dates=H","DateFormat=P","Fill=—","Direction=H","UseDPDF=Y")</f>
        <v>#NAME?</v>
      </c>
      <c r="Z416" s="1" t="e">
        <f ca="1">_xll.BDH($C$403,"ACCOUNTS_RECEIVABLE_GROWTH","FQ3 2016","FQ3 2016","Currency=INR","Period=FQ","BEST_FPERIOD_OVERRIDE=FQ","FILING_STATUS=OR","EQY_CONSOLIDATED=Y","Sort=A","Dates=H","DateFormat=P","Fill=—","Direction=H","UseDPDF=Y")</f>
        <v>#NAME?</v>
      </c>
      <c r="AA416" s="1" t="e">
        <f ca="1">_xll.BDH($C$403,"INVENTORY_GROWTH","FQ3 2016","FQ3 2016","Currency=INR","Period=FQ","BEST_FPERIOD_OVERRIDE=FQ","FILING_STATUS=OR","EQY_CONSOLIDATED=Y","Sort=A","Dates=H","DateFormat=P","Fill=—","Direction=H","UseDPDF=Y")</f>
        <v>#NAME?</v>
      </c>
      <c r="AB416" s="1" t="e">
        <f ca="1">_xll.BDH($C$403,"NET_FIXED_ASSETS_1_YEAR_GROWTH","FQ3 2016","FQ3 2016","Currency=INR","Period=FQ","BEST_FPERIOD_OVERRIDE=FQ","FILING_STATUS=OR","EQY_CONSOLIDATED=Y","Sort=A","Dates=H","DateFormat=P","Fill=—","Direction=H","UseDPDF=Y")</f>
        <v>#NAME?</v>
      </c>
      <c r="AC416" s="1" t="e">
        <f ca="1">_xll.BDH($C$403,"ASSET_GROWTH","FQ3 2016","FQ3 2016","Currency=INR","Period=FQ","BEST_FPERIOD_OVERRIDE=FQ","FILING_STATUS=OR","EQY_CONSOLIDATED=Y","Sort=A","Dates=H","DateFormat=P","Fill=—","Direction=H","UseDPDF=Y")</f>
        <v>#NAME?</v>
      </c>
      <c r="AD416" s="1" t="e">
        <f ca="1">_xll.BDH($C$403,"MODIFIED_WORK_CAP_GROWTH","FQ3 2016","FQ3 2016","Currency=INR","Period=FQ","BEST_FPERIOD_OVERRIDE=FQ","FILING_STATUS=OR","EQY_CONSOLIDATED=Y","Sort=A","Dates=H","DateFormat=P","Fill=—","Direction=H","UseDPDF=Y")</f>
        <v>#NAME?</v>
      </c>
      <c r="AE416" s="1" t="e">
        <f ca="1">_xll.BDH($C$403,"WORK_CAP_GROWTH","FQ3 2016","FQ3 2016","Currency=INR","Period=FQ","BEST_FPERIOD_OVERRIDE=FQ","FILING_STATUS=OR","EQY_CONSOLIDATED=Y","Sort=A","Dates=H","DateFormat=P","Fill=—","Direction=H","UseDPDF=Y")</f>
        <v>#NAME?</v>
      </c>
      <c r="AF416" s="1" t="e">
        <f ca="1">_xll.BDH($C$403,"ACCOUNTS_PAYABLE_GROWTH_1YR","FQ3 2016","FQ3 2016","Currency=INR","Period=FQ","BEST_FPERIOD_OVERRIDE=FQ","FILING_STATUS=OR","EQY_CONSOLIDATED=Y","Sort=A","Dates=H","DateFormat=P","Fill=—","Direction=H","UseDPDF=Y")</f>
        <v>#NAME?</v>
      </c>
      <c r="AG416" s="1" t="e">
        <f ca="1">_xll.BDH($C$403,"SHORT_TERM_DEBT_1_YEAR_GROWTH","FQ3 2016","FQ3 2016","Currency=INR","Period=FQ","BEST_FPERIOD_OVERRIDE=FQ","FILING_STATUS=OR","EQY_CONSOLIDATED=Y","Sort=A","Dates=H","DateFormat=P","Fill=—","Direction=H","UseDPDF=Y")</f>
        <v>#NAME?</v>
      </c>
      <c r="AH416" s="1" t="e">
        <f ca="1">_xll.BDH($C$403,"TOTAL_DEBT_1_YEAR_GROWTH","FQ3 2016","FQ3 2016","Currency=INR","Period=FQ","BEST_FPERIOD_OVERRIDE=FQ","FILING_STATUS=OR","EQY_CONSOLIDATED=Y","Sort=A","Dates=H","DateFormat=P","Fill=—","Direction=H","UseDPDF=Y")</f>
        <v>#NAME?</v>
      </c>
      <c r="AI416" s="1" t="e">
        <f ca="1">_xll.BDH($C$403,"TOTAL_EQUITY_1_YEAR_GROWTH","FQ3 2016","FQ3 2016","Currency=INR","Period=FQ","BEST_FPERIOD_OVERRIDE=FQ","FILING_STATUS=OR","EQY_CONSOLIDATED=Y","Sort=A","Dates=H","DateFormat=P","Fill=—","Direction=H","UseDPDF=Y")</f>
        <v>#NAME?</v>
      </c>
      <c r="AJ416" s="1" t="e">
        <f ca="1">_xll.BDH($C$403,"GROWTH_IN_CAP","FQ3 2016","FQ3 2016","Currency=INR","Period=FQ","BEST_FPERIOD_OVERRIDE=FQ","FILING_STATUS=OR","EQY_CONSOLIDATED=Y","Sort=A","Dates=H","DateFormat=P","Fill=—","Direction=H","UseDPDF=Y")</f>
        <v>#NAME?</v>
      </c>
      <c r="AK416" s="1" t="e">
        <f ca="1">_xll.BDH($C$403,"BVPS_GROWTH","FQ3 2016","FQ3 2016","Currency=INR","Period=FQ","BEST_FPERIOD_OVERRIDE=FQ","FILING_STATUS=OR","EQY_CONSOLIDATED=Y","Sort=A","Dates=H","DateFormat=P","Fill=—","Direction=H","UseDPDF=Y")</f>
        <v>#NAME?</v>
      </c>
      <c r="AL416" s="1" t="e">
        <f ca="1">_xll.BDH($C$403,"CASH_FLOW_GROWTH","FQ3 2016","FQ3 2016","Currency=INR","Period=FQ","BEST_FPERIOD_OVERRIDE=FQ","FILING_STATUS=OR","EQY_CONSOLIDATED=Y","Sort=A","Dates=H","DateFormat=P","Fill=—","Direction=H","UseDPDF=Y")</f>
        <v>#NAME?</v>
      </c>
      <c r="AM416" s="1" t="e">
        <f ca="1">_xll.BDH($C$403,"GEO_GROW_NET_SALES","FQ3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16" s="1" t="e">
        <f ca="1">_xll.BDH($C$403,"GEO_GROW_EBITDA","FQ3 2016","FQ3 2016","Currency=INR","Period=FQ","BEST_FPERIOD_OVERRIDE=FQ","FILING_STATUS=OR","EQY_CONSOLIDATED=Y","FA_ADJUSTED=GAAP","Sort=A","Dates=H","DateFormat=P","Fill=—","Direction=H","UseDPDF=Y")</f>
        <v>#NAME?</v>
      </c>
      <c r="AO416" s="1" t="e">
        <f ca="1">_xll.BDH($C$403,"GEO_GROW_OPER_INC","FQ3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16" s="1" t="e">
        <f ca="1">_xll.BDH($C$403,"NET_INCOME_TO_COMMON_5_YR_GROWTH","FQ3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16" s="1" t="e">
        <f ca="1">_xll.BDH($C$403,"5Y_GEO_GROWTH_DILUTED_EPS","FQ3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16" s="1" t="e">
        <f ca="1">_xll.BDH($C$403,"GEO_GROW_DVD_PER_SH","FQ3 2016","FQ3 2016","Currency=INR","Period=FQ","BEST_FPERIOD_OVERRIDE=FQ","FILING_STATUS=OR","EQY_CONSOLIDATED=Y","Sort=A","Dates=H","DateFormat=P","Fill=—","Direction=H","UseDPDF=Y")</f>
        <v>#NAME?</v>
      </c>
      <c r="AS416" s="1" t="e">
        <f ca="1">_xll.BDH($C$403,"ACCOUNTS_RECEIVABLE_5_YR_GROWTH","FQ3 2016","FQ3 2016","Currency=INR","Period=FQ","BEST_FPERIOD_OVERRIDE=FQ","FILING_STATUS=OR","EQY_CONSOLIDATED=Y","Sort=A","Dates=H","DateFormat=P","Fill=—","Direction=H","UseDPDF=Y")</f>
        <v>#NAME?</v>
      </c>
      <c r="AT416" s="1" t="e">
        <f ca="1">_xll.BDH($C$403,"INVENTORY_5_YEAR_GROWTH","FQ3 2016","FQ3 2016","Currency=INR","Period=FQ","BEST_FPERIOD_OVERRIDE=FQ","FILING_STATUS=OR","EQY_CONSOLIDATED=Y","Sort=A","Dates=H","DateFormat=P","Fill=—","Direction=H","UseDPDF=Y")</f>
        <v>#NAME?</v>
      </c>
      <c r="AU416" s="1" t="e">
        <f ca="1">_xll.BDH($C$403,"NET_FIXED_ASSETS_5_YEAR_GROWTH","FQ3 2016","FQ3 2016","Currency=INR","Period=FQ","BEST_FPERIOD_OVERRIDE=FQ","FILING_STATUS=OR","EQY_CONSOLIDATED=Y","Sort=A","Dates=H","DateFormat=P","Fill=—","Direction=H","UseDPDF=Y")</f>
        <v>#NAME?</v>
      </c>
      <c r="AV416" s="1" t="e">
        <f ca="1">_xll.BDH($C$403,"GEO_GROW_TOT_ASSET","FQ3 2016","FQ3 2016","Currency=INR","Period=FQ","BEST_FPERIOD_OVERRIDE=FQ","FILING_STATUS=OR","EQY_CONSOLIDATED=Y","Sort=A","Dates=H","DateFormat=P","Fill=—","Direction=H","UseDPDF=Y")</f>
        <v>#NAME?</v>
      </c>
      <c r="AW416" s="1" t="e">
        <f ca="1">_xll.BDH($C$403,"MODIFIED_WORKING_CPTL_5YR_GRWTH","FQ3 2016","FQ3 2016","Currency=INR","Period=FQ","BEST_FPERIOD_OVERRIDE=FQ","FILING_STATUS=OR","EQY_CONSOLIDATED=Y","Sort=A","Dates=H","DateFormat=P","Fill=—","Direction=H","UseDPDF=Y")</f>
        <v>#NAME?</v>
      </c>
      <c r="AX416" s="1" t="e">
        <f ca="1">_xll.BDH($C$403,"WORKING_CAPITAL_5_YEAR_GROWTH","FQ3 2016","FQ3 2016","Currency=INR","Period=FQ","BEST_FPERIOD_OVERRIDE=FQ","FILING_STATUS=OR","EQY_CONSOLIDATED=Y","Sort=A","Dates=H","DateFormat=P","Fill=—","Direction=H","UseDPDF=Y")</f>
        <v>#NAME?</v>
      </c>
      <c r="AY416" s="1" t="e">
        <f ca="1">_xll.BDH($C$403,"ACCOUNTS_PAYABLE_5_YEAR_GROWTH","FQ3 2016","FQ3 2016","Currency=INR","Period=FQ","BEST_FPERIOD_OVERRIDE=FQ","FILING_STATUS=OR","EQY_CONSOLIDATED=Y","Sort=A","Dates=H","DateFormat=P","Fill=—","Direction=H","UseDPDF=Y")</f>
        <v>#NAME?</v>
      </c>
      <c r="AZ416" s="1" t="e">
        <f ca="1">_xll.BDH($C$403,"SHORT_TERM_DEBT_5_YEAR_GROWTH","FQ3 2016","FQ3 2016","Currency=INR","Period=FQ","BEST_FPERIOD_OVERRIDE=FQ","FILING_STATUS=OR","EQY_CONSOLIDATED=Y","Sort=A","Dates=H","DateFormat=P","Fill=—","Direction=H","UseDPDF=Y")</f>
        <v>#NAME?</v>
      </c>
      <c r="BA416" s="1" t="e">
        <f ca="1">_xll.BDH($C$403,"TOTAL_DEBT_5_YEAR_GROWTH","FQ3 2016","FQ3 2016","Currency=INR","Period=FQ","BEST_FPERIOD_OVERRIDE=FQ","FILING_STATUS=OR","EQY_CONSOLIDATED=Y","Sort=A","Dates=H","DateFormat=P","Fill=—","Direction=H","UseDPDF=Y")</f>
        <v>#NAME?</v>
      </c>
      <c r="BB416" s="1" t="e">
        <f ca="1">_xll.BDH($C$403,"GEO_GROW_TOT_SHRHLDR_EQY","FQ3 2016","FQ3 2016","Currency=INR","Period=FQ","BEST_FPERIOD_OVERRIDE=FQ","FILING_STATUS=OR","EQY_CONSOLIDATED=Y","Sort=A","Dates=H","DateFormat=P","Fill=—","Direction=H","UseDPDF=Y")</f>
        <v>#NAME?</v>
      </c>
      <c r="BC416" s="1" t="e">
        <f ca="1">_xll.BDH($C$403,"TOTAL_CAPITAL_5_YEAR_GROWTH","FQ3 2016","FQ3 2016","Currency=INR","Period=FQ","BEST_FPERIOD_OVERRIDE=FQ","FILING_STATUS=OR","EQY_CONSOLIDATED=Y","Sort=A","Dates=H","DateFormat=P","Fill=—","Direction=H","UseDPDF=Y")</f>
        <v>#NAME?</v>
      </c>
      <c r="BD416" s="1" t="e">
        <f ca="1">_xll.BDH($C$403,"GEO_GROW_BOOK_VAL","FQ3 2016","FQ3 2016","Currency=INR","Period=FQ","BEST_FPERIOD_OVERRIDE=FQ","FILING_STATUS=OR","EQY_CONSOLIDATED=Y","Sort=A","Dates=H","DateFormat=P","Fill=—","Direction=H","UseDPDF=Y")</f>
        <v>#NAME?</v>
      </c>
      <c r="BE416" s="1" t="e">
        <f ca="1">_xll.BDH($C$403,"GEO_GROW_CASH_OPER_ACT","FQ3 2016","FQ3 2016","Currency=INR","Period=FQ","BEST_FPERIOD_OVERRIDE=FQ","FILING_STATUS=OR","EQY_CONSOLIDATED=Y","Sort=A","Dates=H","DateFormat=P","Fill=—","Direction=H","UseDPDF=Y")</f>
        <v>#NAME?</v>
      </c>
      <c r="BF416" s="1" t="e">
        <f ca="1">_xll.BDH($C$403,"REVENUE_SEQUENTIAL_GROWTH","FQ3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16" s="1" t="e">
        <f ca="1">_xll.BDH($C$403,"EBITDA_SEQUENTIAL_GROWTH","FQ3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16" s="1" t="e">
        <f ca="1">_xll.BDH($C$403,"OPERATING_INCOME_SEQ_GROWTH","FQ3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16" s="1" t="e">
        <f ca="1">_xll.BDH($C$403,"NET_INCOME_TO_COMMON_SEQ_GROWTH","FQ3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16" s="1" t="e">
        <f ca="1">_xll.BDH($C$403,"EPS_DILUTED_SEQUENTIAL_GROWTH","FQ3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16" s="1" t="e">
        <f ca="1">_xll.BDH($C$403,"DPS_SEQUENTIAL_GROWTH","FQ3 2016","FQ3 2016","Currency=INR","Period=FQ","BEST_FPERIOD_OVERRIDE=FQ","FILING_STATUS=OR","EQY_CONSOLIDATED=Y","Sort=A","Dates=H","DateFormat=P","Fill=—","Direction=H","UseDPDF=Y")</f>
        <v>#NAME?</v>
      </c>
      <c r="BL416" s="1" t="e">
        <f ca="1">_xll.BDH($C$403,"ACCOUNTS_RECEIVABLE_SEQ_GROWTH","FQ3 2016","FQ3 2016","Currency=INR","Period=FQ","BEST_FPERIOD_OVERRIDE=FQ","FILING_STATUS=OR","EQY_CONSOLIDATED=Y","Sort=A","Dates=H","DateFormat=P","Fill=—","Direction=H","UseDPDF=Y")</f>
        <v>#NAME?</v>
      </c>
      <c r="BM416" s="1" t="e">
        <f ca="1">_xll.BDH($C$403,"INVENTORY_SEQUENTIAL_GROWTH","FQ3 2016","FQ3 2016","Currency=INR","Period=FQ","BEST_FPERIOD_OVERRIDE=FQ","FILING_STATUS=OR","EQY_CONSOLIDATED=Y","Sort=A","Dates=H","DateFormat=P","Fill=—","Direction=H","UseDPDF=Y")</f>
        <v>#NAME?</v>
      </c>
      <c r="BN416" s="1" t="e">
        <f ca="1">_xll.BDH($C$403,"FIXED_ASSETS_SEQUENTIAL_GROWTH","FQ3 2016","FQ3 2016","Currency=INR","Period=FQ","BEST_FPERIOD_OVERRIDE=FQ","FILING_STATUS=OR","EQY_CONSOLIDATED=Y","Sort=A","Dates=H","DateFormat=P","Fill=—","Direction=H","UseDPDF=Y")</f>
        <v>#NAME?</v>
      </c>
      <c r="BO416" s="1" t="e">
        <f ca="1">_xll.BDH($C$403,"TOTAL_ASSETS_SEQUENTIAL_GROWTH","FQ3 2016","FQ3 2016","Currency=INR","Period=FQ","BEST_FPERIOD_OVERRIDE=FQ","FILING_STATUS=OR","EQY_CONSOLIDATED=Y","Sort=A","Dates=H","DateFormat=P","Fill=—","Direction=H","UseDPDF=Y")</f>
        <v>#NAME?</v>
      </c>
      <c r="BP416" s="1" t="e">
        <f ca="1">_xll.BDH($C$403,"MODIFIED_WORKING_CPTL_SEQ_GRWTH","FQ3 2016","FQ3 2016","Currency=INR","Period=FQ","BEST_FPERIOD_OVERRIDE=FQ","FILING_STATUS=OR","EQY_CONSOLIDATED=Y","Sort=A","Dates=H","DateFormat=P","Fill=—","Direction=H","UseDPDF=Y")</f>
        <v>#NAME?</v>
      </c>
      <c r="BQ416" s="1" t="e">
        <f ca="1">_xll.BDH($C$403,"WORKING_CAPITAL_SEQ_GROWTH","FQ3 2016","FQ3 2016","Currency=INR","Period=FQ","BEST_FPERIOD_OVERRIDE=FQ","FILING_STATUS=OR","EQY_CONSOLIDATED=Y","Sort=A","Dates=H","DateFormat=P","Fill=—","Direction=H","UseDPDF=Y")</f>
        <v>#NAME?</v>
      </c>
      <c r="BR416" s="1" t="e">
        <f ca="1">_xll.BDH($C$403,"ACCOUNTS_PAYABLE_SEQ_GROWTH","FQ3 2016","FQ3 2016","Currency=INR","Period=FQ","BEST_FPERIOD_OVERRIDE=FQ","FILING_STATUS=OR","EQY_CONSOLIDATED=Y","Sort=A","Dates=H","DateFormat=P","Fill=—","Direction=H","UseDPDF=Y")</f>
        <v>#NAME?</v>
      </c>
      <c r="BS416" s="1" t="e">
        <f ca="1">_xll.BDH($C$403,"ST_DEBT_SEQUENTIAL_GROWTH","FQ3 2016","FQ3 2016","Currency=INR","Period=FQ","BEST_FPERIOD_OVERRIDE=FQ","FILING_STATUS=OR","EQY_CONSOLIDATED=Y","Sort=A","Dates=H","DateFormat=P","Fill=—","Direction=H","UseDPDF=Y")</f>
        <v>#NAME?</v>
      </c>
      <c r="BT416" s="1" t="e">
        <f ca="1">_xll.BDH($C$403,"TOTAL_DEBT_SEQUENTIAL_GROWTH","FQ3 2016","FQ3 2016","Currency=INR","Period=FQ","BEST_FPERIOD_OVERRIDE=FQ","FILING_STATUS=OR","EQY_CONSOLIDATED=Y","Sort=A","Dates=H","DateFormat=P","Fill=—","Direction=H","UseDPDF=Y")</f>
        <v>#NAME?</v>
      </c>
      <c r="BU416" s="1" t="e">
        <f ca="1">_xll.BDH($C$403,"TOTAL_EQUITY_SEQUENTIAL_GROWTH","FQ3 2016","FQ3 2016","Currency=INR","Period=FQ","BEST_FPERIOD_OVERRIDE=FQ","FILING_STATUS=OR","EQY_CONSOLIDATED=Y","Sort=A","Dates=H","DateFormat=P","Fill=—","Direction=H","UseDPDF=Y")</f>
        <v>#NAME?</v>
      </c>
      <c r="BV416" s="1" t="e">
        <f ca="1">_xll.BDH($C$403,"TOTAL_CAPITAL_SEQUENTIAL_GROWTH","FQ3 2016","FQ3 2016","Currency=INR","Period=FQ","BEST_FPERIOD_OVERRIDE=FQ","FILING_STATUS=OR","EQY_CONSOLIDATED=Y","Sort=A","Dates=H","DateFormat=P","Fill=—","Direction=H","UseDPDF=Y")</f>
        <v>#NAME?</v>
      </c>
      <c r="BW416" s="1" t="e">
        <f ca="1">_xll.BDH($C$403,"BPS_SEQUENTIAL_GROWTH","FQ3 2016","FQ3 2016","Currency=INR","Period=FQ","BEST_FPERIOD_OVERRIDE=FQ","FILING_STATUS=OR","EQY_CONSOLIDATED=Y","Sort=A","Dates=H","DateFormat=P","Fill=—","Direction=H","UseDPDF=Y")</f>
        <v>#NAME?</v>
      </c>
      <c r="BX416" s="1" t="e">
        <f ca="1">_xll.BDH($C$403,"CFO_SEQUENTIAL_GROWTH","FQ3 2016","FQ3 2016","Currency=INR","Period=FQ","BEST_FPERIOD_OVERRIDE=FQ","FILING_STATUS=OR","EQY_CONSOLIDATED=Y","Sort=A","Dates=H","DateFormat=P","Fill=—","Direction=H","UseDPDF=Y")</f>
        <v>#NAME?</v>
      </c>
      <c r="BY416" s="2" t="e">
        <f ca="1">_xll.BDH($C$403,"SHORT_AND_LONG_TERM_DEBT","FQ3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16" s="2" t="e">
        <f ca="1">_xll.BDH($C$403,"BS_ST_BORROW","FQ3 2016","FQ3 2016","Currency=INR","Period=FQ","BEST_FPERIOD_OVERRIDE=FQ","FILING_STATUS=OR","EQY_CONSOLIDATED=Y","SCALING_FORMAT=MLN","Sort=A","Dates=H","DateFormat=P","Fill=—","Direction=H","UseDPDF=Y")</f>
        <v>#NAME?</v>
      </c>
      <c r="CA416" s="2" t="e">
        <f ca="1">_xll.BDH($C$403,"BS_LT_BORROW","FQ3 2016","FQ3 2016","Currency=INR","Period=FQ","BEST_FPERIOD_OVERRIDE=FQ","FILING_STATUS=OR","EQY_CONSOLIDATED=Y","SCALING_FORMAT=MLN","Sort=A","Dates=H","DateFormat=P","Fill=—","Direction=H","UseDPDF=Y")</f>
        <v>#NAME?</v>
      </c>
      <c r="CB416" s="1" t="e">
        <f ca="1">_xll.BDH($C$403,"TOT_DEBT_TO_EBITDA","FQ3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16" s="1" t="e">
        <f ca="1">_xll.BDH($C$403,"NET_DEBT_TO_EBITDA","FQ3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16" s="1" t="e">
        <f ca="1">_xll.BDH($C$403,"TOTAL_DEBT_TO_EBIT","FQ3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16" s="1" t="e">
        <f ca="1">_xll.BDH($C$403,"NET_DEBT_TO_EBIT","FQ3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416" s="1" t="e">
        <f ca="1">_xll.BDH($C$403,"EBITDA_TO_INTEREST_EXPN","FQ3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16" s="1" t="e">
        <f ca="1">_xll.BDH($C$403,"COM_EQY_TO_TOT_ASSET","FQ3 2016","FQ3 2016","Currency=INR","Period=FQ","BEST_FPERIOD_OVERRIDE=FQ","FILING_STATUS=OR","EQY_CONSOLIDATED=Y","Sort=A","Dates=H","DateFormat=P","Fill=—","Direction=H","UseDPDF=Y")</f>
        <v>#NAME?</v>
      </c>
      <c r="CH416" s="1" t="e">
        <f ca="1">_xll.BDH($C$403,"LT_DEBT_TO_TOT_EQY","FQ3 2016","FQ3 2016","Currency=INR","Period=FQ","BEST_FPERIOD_OVERRIDE=FQ","FILING_STATUS=OR","EQY_CONSOLIDATED=Y","Sort=A","Dates=H","DateFormat=P","Fill=—","Direction=H","UseDPDF=Y")</f>
        <v>#NAME?</v>
      </c>
      <c r="CI416" s="1" t="e">
        <f ca="1">_xll.BDH($C$403,"LT_DEBT_TO_TOT_CAP","FQ3 2016","FQ3 2016","Currency=INR","Period=FQ","BEST_FPERIOD_OVERRIDE=FQ","FILING_STATUS=OR","EQY_CONSOLIDATED=Y","Sort=A","Dates=H","DateFormat=P","Fill=—","Direction=H","UseDPDF=Y")</f>
        <v>#NAME?</v>
      </c>
      <c r="CJ416" s="1" t="e">
        <f ca="1">_xll.BDH($C$403,"LT_DEBT_TO_TOT_ASSET","FQ3 2016","FQ3 2016","Currency=INR","Period=FQ","BEST_FPERIOD_OVERRIDE=FQ","FILING_STATUS=OR","EQY_CONSOLIDATED=Y","Sort=A","Dates=H","DateFormat=P","Fill=—","Direction=H","UseDPDF=Y")</f>
        <v>#NAME?</v>
      </c>
      <c r="CK416" s="1" t="e">
        <f ca="1">_xll.BDH($C$403,"TOT_DEBT_TO_TOT_EQY","FQ3 2016","FQ3 2016","Currency=INR","Period=FQ","BEST_FPERIOD_OVERRIDE=FQ","FILING_STATUS=OR","EQY_CONSOLIDATED=Y","Sort=A","Dates=H","DateFormat=P","Fill=—","Direction=H","UseDPDF=Y")</f>
        <v>#NAME?</v>
      </c>
      <c r="CL416" s="1" t="e">
        <f ca="1">_xll.BDH($C$403,"TOT_DEBT_TO_TOT_CAP","FQ3 2016","FQ3 2016","Currency=INR","Period=FQ","BEST_FPERIOD_OVERRIDE=FQ","FILING_STATUS=OR","EQY_CONSOLIDATED=Y","Sort=A","Dates=H","DateFormat=P","Fill=—","Direction=H","UseDPDF=Y")</f>
        <v>#NAME?</v>
      </c>
      <c r="CM416" s="1" t="e">
        <f ca="1">_xll.BDH($C$403,"TOT_DEBT_TO_TOT_ASSET","FQ3 2016","FQ3 2016","Currency=INR","Period=FQ","BEST_FPERIOD_OVERRIDE=FQ","FILING_STATUS=OR","EQY_CONSOLIDATED=Y","Sort=A","Dates=H","DateFormat=P","Fill=—","Direction=H","UseDPDF=Y")</f>
        <v>#NAME?</v>
      </c>
      <c r="CN416" s="1" t="e">
        <f ca="1">_xll.BDH($C$403,"NET_DEBT_TO_SHRHLDR_EQTY","FQ3 2016","FQ3 2016","Currency=INR","Period=FQ","BEST_FPERIOD_OVERRIDE=FQ","FILING_STATUS=OR","EQY_CONSOLIDATED=Y","Sort=A","Dates=H","DateFormat=P","Fill=—","Direction=H","UseDPDF=Y")</f>
        <v>#NAME?</v>
      </c>
      <c r="CO416" s="1" t="e">
        <f ca="1">_xll.BDH($C$403,"NET_DEBT_%_CAPITAL","FQ3 2016","FQ3 2016","Currency=INR","Period=FQ","BEST_FPERIOD_OVERRIDE=FQ","FILING_STATUS=OR","EQY_CONSOLIDATED=Y","Sort=A","Dates=H","DateFormat=P","Fill=—","Direction=H","UseDPDF=Y")</f>
        <v>#NAME?</v>
      </c>
      <c r="CP416" s="2" t="e">
        <f ca="1">_xll.BDH($C$403,"EBITDA","FQ3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16" s="2" t="e">
        <f ca="1">_xll.BDH($C$403,"EBITDA_AFTER_CAPEX","FQ3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16" s="2" t="e">
        <f ca="1">_xll.BDH($C$403,"IS_OPER_INC","FQ3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16" s="1" t="e">
        <f ca="1">_xll.BDH($C$403,"CASH_RATIO","FQ3 2016","FQ3 2016","Currency=INR","Period=FQ","BEST_FPERIOD_OVERRIDE=FQ","FILING_STATUS=OR","EQY_CONSOLIDATED=Y","Sort=A","Dates=H","DateFormat=P","Fill=—","Direction=H","UseDPDF=Y")</f>
        <v>#NAME?</v>
      </c>
      <c r="CT416" s="1" t="e">
        <f ca="1">_xll.BDH($C$403,"CUR_RATIO","FQ3 2016","FQ3 2016","Currency=INR","Period=FQ","BEST_FPERIOD_OVERRIDE=FQ","FILING_STATUS=OR","EQY_CONSOLIDATED=Y","Sort=A","Dates=H","DateFormat=P","Fill=—","Direction=H","UseDPDF=Y")</f>
        <v>#NAME?</v>
      </c>
      <c r="CU416" s="1" t="e">
        <f ca="1">_xll.BDH($C$403,"QUICK_RATIO","FQ3 2016","FQ3 2016","Currency=INR","Period=FQ","BEST_FPERIOD_OVERRIDE=FQ","FILING_STATUS=OR","EQY_CONSOLIDATED=Y","Sort=A","Dates=H","DateFormat=P","Fill=—","Direction=H","UseDPDF=Y")</f>
        <v>#NAME?</v>
      </c>
      <c r="CV416" s="1" t="e">
        <f ca="1">_xll.BDH($C$403,"ALTMAN_Z_SCORE","FQ3 2016","FQ3 2016","Currency=INR","Period=FQ","BEST_FPERIOD_OVERRIDE=FQ","FILING_STATUS=OR","EQY_CONSOLIDATED=Y","Sort=A","Dates=H","DateFormat=P","Fill=—","Direction=H","UseDPDF=Y")</f>
        <v>#NAME?</v>
      </c>
      <c r="CW416" s="3" t="e">
        <f ca="1">_xll.BDH($C$403,"ACCT_RCV_TURN","FQ3 2016","FQ3 2016","Currency=INR","Period=FQ","BEST_FPERIOD_OVERRIDE=FQ","FILING_STATUS=OR","EQY_CONSOLIDATED=Y","FA_ADJUSTED=GAAP","Sort=A","Dates=H","DateFormat=P","Fill=—","Direction=H","UseDPDF=Y")</f>
        <v>#NAME?</v>
      </c>
      <c r="CX416" s="1" t="e">
        <f ca="1">_xll.BDH($C$403,"ACCT_RCV_DAYS","FQ3 2016","FQ3 2016","Currency=INR","Period=FQ","BEST_FPERIOD_OVERRIDE=FQ","FILING_STATUS=OR","EQY_CONSOLIDATED=Y","FA_ADJUSTED=GAAP","Sort=A","Dates=H","DateFormat=P","Fill=—","Direction=H","UseDPDF=Y")</f>
        <v>#NAME?</v>
      </c>
      <c r="CY416" s="3" t="e">
        <f ca="1">_xll.BDH($C$403,"INVENT_TURN","FQ3 2016","FQ3 2016","Currency=INR","Period=FQ","BEST_FPERIOD_OVERRIDE=FQ","FILING_STATUS=OR","EQY_CONSOLIDATED=Y","FA_ADJUSTED=GAAP","Sort=A","Dates=H","DateFormat=P","Fill=—","Direction=H","UseDPDF=Y")</f>
        <v>#NAME?</v>
      </c>
      <c r="CZ416" s="1" t="e">
        <f ca="1">_xll.BDH($C$403,"INVENT_DAYS","FQ3 2016","FQ3 2016","Currency=INR","Period=FQ","BEST_FPERIOD_OVERRIDE=FQ","FILING_STATUS=OR","EQY_CONSOLIDATED=Y","FA_ADJUSTED=GAAP","Sort=A","Dates=H","DateFormat=P","Fill=—","Direction=H","UseDPDF=Y")</f>
        <v>#NAME?</v>
      </c>
      <c r="DA416" s="3" t="e">
        <f ca="1">_xll.BDH($C$403,"ACCOUNTS_PAYABLE_TURNOVER","FQ3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16" s="1" t="e">
        <f ca="1">_xll.BDH($C$403,"ACCOUNTS_PAYABLE_TURNOVER_DAYS","FQ3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16" s="3" t="e">
        <f ca="1">_xll.BDH($C$403,"CASH_CONVERSION_CYCLE","FQ3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16" s="3" t="e">
        <f ca="1">_xll.BDH($C$403,"INV_TO_CASH_DAYS","FQ3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416" s="4" t="e">
        <f ca="1">_xll.BDH($C$403,"BS_INVENTORIES","FQ3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416" s="2" t="e">
        <f ca="1">_xll.BDH($C$403,"INVTRY_RAW_MATERIALS","FQ3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16" s="2" t="e">
        <f ca="1">_xll.BDH($C$403,"INVTRY_IN_PROGRESS","FQ3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16" s="2" t="e">
        <f ca="1">_xll.BDH($C$403,"INVTRY_FINISHED_GOODS","FQ3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16" s="2" t="e">
        <f ca="1">_xll.BDH($C$403,"BS_OTHER_INV","FQ3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17" spans="1:113" x14ac:dyDescent="0.3">
      <c r="A417" s="6"/>
      <c r="B417" s="6"/>
      <c r="C417" s="6"/>
      <c r="D417" s="6"/>
      <c r="E417" t="s">
        <v>7</v>
      </c>
      <c r="F417" t="e">
        <f ca="1">_xll.BDH($C$403,"RETURN_COM_EQY","FQ4 2016","FQ4 2016","Currency=INR","Period=FQ","BEST_FPERIOD_OVERRIDE=FQ","FILING_STATUS=OR","EQY_CONSOLIDATED=Y","FA_ADJUSTED=GAAP","Sort=A","Dates=H","DateFormat=P","Fill=—","Direction=H","UseDPDF=Y")</f>
        <v>#NAME?</v>
      </c>
      <c r="G417" t="e">
        <f ca="1">_xll.BDH($C$403,"RETURN_ON_ASSET","FQ4 2016","FQ4 2016","Currency=INR","Period=FQ","BEST_FPERIOD_OVERRIDE=FQ","FILING_STATUS=OR","EQY_CONSOLIDATED=Y","FA_ADJUSTED=GAAP","Sort=A","Dates=H","DateFormat=P","Fill=—","Direction=H","UseDPDF=Y")</f>
        <v>#NAME?</v>
      </c>
      <c r="H417" t="e">
        <f ca="1">_xll.BDH($C$403,"RETURN_ON_CAP","FQ4 2016","FQ4 2016","Currency=INR","Period=FQ","BEST_FPERIOD_OVERRIDE=FQ","FILING_STATUS=OR","EQY_CONSOLIDATED=Y","FA_ADJUSTED=GAAP","Sort=A","Dates=H","DateFormat=P","Fill=—","Direction=H","UseDPDF=Y")</f>
        <v>#NAME?</v>
      </c>
      <c r="I417" t="e">
        <f ca="1">_xll.BDH($C$403,"RETURN_ON_INV_CAPITAL","FQ4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17" t="e">
        <f ca="1">_xll.BDH($C$403,"EBITDA_TO_REVENUE","FQ4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417" t="e">
        <f ca="1">_xll.BDH($C$403,"OPER_MARGIN","FQ4 2016","FQ4 2016","Currency=INR","Period=FQ","BEST_FPERIOD_OVERRIDE=FQ","FILING_STATUS=OR","EQY_CONSOLIDATED=Y","FA_ADJUSTED=GAAP","Sort=A","Dates=H","DateFormat=P","Fill=—","Direction=H","UseDPDF=Y")</f>
        <v>#NAME?</v>
      </c>
      <c r="L417" t="e">
        <f ca="1">_xll.BDH($C$403,"INCREMENTAL_OPERATING_MARGIN","FQ4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17" t="e">
        <f ca="1">_xll.BDH($C$403,"PRETAX_INC_TO_NET_SALES","FQ4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17" t="e">
        <f ca="1">_xll.BDH($C$403,"INC_BEF_XO_ITEMS_TO_NET_SALES","FQ4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17" t="e">
        <f ca="1">_xll.BDH($C$403,"PROF_MARGIN","FQ4 2016","FQ4 2016","Currency=INR","Period=FQ","BEST_FPERIOD_OVERRIDE=FQ","FILING_STATUS=OR","EQY_CONSOLIDATED=Y","FA_ADJUSTED=GAAP","Sort=A","Dates=H","DateFormat=P","Fill=—","Direction=H","UseDPDF=Y")</f>
        <v>#NAME?</v>
      </c>
      <c r="P417" t="e">
        <f ca="1">_xll.BDH($C$403,"NET_INCOME_TO_COMMON_MARGIN","FQ4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17" t="e">
        <f ca="1">_xll.BDH($C$403,"EFF_TAX_RATE","FQ4 2016","FQ4 2016","Currency=INR","Period=FQ","BEST_FPERIOD_OVERRIDE=FQ","FILING_STATUS=OR","EQY_CONSOLIDATED=Y","FA_ADJUSTED=GAAP","Sort=A","Dates=H","DateFormat=P","Fill=—","Direction=H","UseDPDF=Y")</f>
        <v>#NAME?</v>
      </c>
      <c r="R417" t="e">
        <f ca="1">_xll.BDH($C$403,"DVD_PAYOUT_RATIO","FQ4 2016","FQ4 2016","Currency=INR","Period=FQ","BEST_FPERIOD_OVERRIDE=FQ","FILING_STATUS=OR","EQY_CONSOLIDATED=Y","FA_ADJUSTED=GAAP","Sort=A","Dates=H","DateFormat=P","Fill=—","Direction=H","UseDPDF=Y")</f>
        <v>#NAME?</v>
      </c>
      <c r="S417" t="e">
        <f ca="1">_xll.BDH($C$403,"SUSTAIN_GROWTH_RT","FQ4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417" s="1" t="e">
        <f ca="1">_xll.BDH($C$403,"SALES_GROWTH","FQ4 2016","FQ4 2016","Currency=INR","Period=FQ","BEST_FPERIOD_OVERRIDE=FQ","FILING_STATUS=OR","EQY_CONSOLIDATED=Y","FA_ADJUSTED=GAAP","Sort=A","Dates=H","DateFormat=P","Fill=—","Direction=H","UseDPDF=Y")</f>
        <v>#NAME?</v>
      </c>
      <c r="U417" s="1" t="e">
        <f ca="1">_xll.BDH($C$403,"EBITDA_GROWTH","FQ4 2016","FQ4 2016","Currency=INR","Period=FQ","BEST_FPERIOD_OVERRIDE=FQ","FILING_STATUS=OR","EQY_CONSOLIDATED=Y","FA_ADJUSTED=GAAP","Sort=A","Dates=H","DateFormat=P","Fill=—","Direction=H","UseDPDF=Y")</f>
        <v>#NAME?</v>
      </c>
      <c r="V417" s="1" t="e">
        <f ca="1">_xll.BDH($C$403,"OPER_INC_GROWTH","FQ4 2016","FQ4 2016","Currency=INR","Period=FQ","BEST_FPERIOD_OVERRIDE=FQ","FILING_STATUS=OR","EQY_CONSOLIDATED=Y","FA_ADJUSTED=GAAP","Sort=A","Dates=H","DateFormat=P","Fill=—","Direction=H","UseDPDF=Y")</f>
        <v>#NAME?</v>
      </c>
      <c r="W417" s="1" t="e">
        <f ca="1">_xll.BDH($C$403,"EARN_FOR_COM_GROWTH","FQ4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17" s="1" t="e">
        <f ca="1">_xll.BDH($C$403,"DILUTED_EPS_AFT_XO_ITEMS_GROWTH","FQ4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17" s="1" t="e">
        <f ca="1">_xll.BDH($C$403,"DIVIDEND_PER_SHARE_1_YEAR_GROWTH","FQ4 2016","FQ4 2016","Currency=INR","Period=FQ","BEST_FPERIOD_OVERRIDE=FQ","FILING_STATUS=OR","EQY_CONSOLIDATED=Y","Sort=A","Dates=H","DateFormat=P","Fill=—","Direction=H","UseDPDF=Y")</f>
        <v>#NAME?</v>
      </c>
      <c r="Z417" s="1" t="e">
        <f ca="1">_xll.BDH($C$403,"ACCOUNTS_RECEIVABLE_GROWTH","FQ4 2016","FQ4 2016","Currency=INR","Period=FQ","BEST_FPERIOD_OVERRIDE=FQ","FILING_STATUS=OR","EQY_CONSOLIDATED=Y","Sort=A","Dates=H","DateFormat=P","Fill=—","Direction=H","UseDPDF=Y")</f>
        <v>#NAME?</v>
      </c>
      <c r="AA417" s="1" t="e">
        <f ca="1">_xll.BDH($C$403,"INVENTORY_GROWTH","FQ4 2016","FQ4 2016","Currency=INR","Period=FQ","BEST_FPERIOD_OVERRIDE=FQ","FILING_STATUS=OR","EQY_CONSOLIDATED=Y","Sort=A","Dates=H","DateFormat=P","Fill=—","Direction=H","UseDPDF=Y")</f>
        <v>#NAME?</v>
      </c>
      <c r="AB417" s="1" t="e">
        <f ca="1">_xll.BDH($C$403,"NET_FIXED_ASSETS_1_YEAR_GROWTH","FQ4 2016","FQ4 2016","Currency=INR","Period=FQ","BEST_FPERIOD_OVERRIDE=FQ","FILING_STATUS=OR","EQY_CONSOLIDATED=Y","Sort=A","Dates=H","DateFormat=P","Fill=—","Direction=H","UseDPDF=Y")</f>
        <v>#NAME?</v>
      </c>
      <c r="AC417" s="1" t="e">
        <f ca="1">_xll.BDH($C$403,"ASSET_GROWTH","FQ4 2016","FQ4 2016","Currency=INR","Period=FQ","BEST_FPERIOD_OVERRIDE=FQ","FILING_STATUS=OR","EQY_CONSOLIDATED=Y","Sort=A","Dates=H","DateFormat=P","Fill=—","Direction=H","UseDPDF=Y")</f>
        <v>#NAME?</v>
      </c>
      <c r="AD417" s="1" t="e">
        <f ca="1">_xll.BDH($C$403,"MODIFIED_WORK_CAP_GROWTH","FQ4 2016","FQ4 2016","Currency=INR","Period=FQ","BEST_FPERIOD_OVERRIDE=FQ","FILING_STATUS=OR","EQY_CONSOLIDATED=Y","Sort=A","Dates=H","DateFormat=P","Fill=—","Direction=H","UseDPDF=Y")</f>
        <v>#NAME?</v>
      </c>
      <c r="AE417" s="1" t="e">
        <f ca="1">_xll.BDH($C$403,"WORK_CAP_GROWTH","FQ4 2016","FQ4 2016","Currency=INR","Period=FQ","BEST_FPERIOD_OVERRIDE=FQ","FILING_STATUS=OR","EQY_CONSOLIDATED=Y","Sort=A","Dates=H","DateFormat=P","Fill=—","Direction=H","UseDPDF=Y")</f>
        <v>#NAME?</v>
      </c>
      <c r="AF417" s="1" t="e">
        <f ca="1">_xll.BDH($C$403,"ACCOUNTS_PAYABLE_GROWTH_1YR","FQ4 2016","FQ4 2016","Currency=INR","Period=FQ","BEST_FPERIOD_OVERRIDE=FQ","FILING_STATUS=OR","EQY_CONSOLIDATED=Y","Sort=A","Dates=H","DateFormat=P","Fill=—","Direction=H","UseDPDF=Y")</f>
        <v>#NAME?</v>
      </c>
      <c r="AG417" s="1" t="e">
        <f ca="1">_xll.BDH($C$403,"SHORT_TERM_DEBT_1_YEAR_GROWTH","FQ4 2016","FQ4 2016","Currency=INR","Period=FQ","BEST_FPERIOD_OVERRIDE=FQ","FILING_STATUS=OR","EQY_CONSOLIDATED=Y","Sort=A","Dates=H","DateFormat=P","Fill=—","Direction=H","UseDPDF=Y")</f>
        <v>#NAME?</v>
      </c>
      <c r="AH417" s="1" t="e">
        <f ca="1">_xll.BDH($C$403,"TOTAL_DEBT_1_YEAR_GROWTH","FQ4 2016","FQ4 2016","Currency=INR","Period=FQ","BEST_FPERIOD_OVERRIDE=FQ","FILING_STATUS=OR","EQY_CONSOLIDATED=Y","Sort=A","Dates=H","DateFormat=P","Fill=—","Direction=H","UseDPDF=Y")</f>
        <v>#NAME?</v>
      </c>
      <c r="AI417" s="1" t="e">
        <f ca="1">_xll.BDH($C$403,"TOTAL_EQUITY_1_YEAR_GROWTH","FQ4 2016","FQ4 2016","Currency=INR","Period=FQ","BEST_FPERIOD_OVERRIDE=FQ","FILING_STATUS=OR","EQY_CONSOLIDATED=Y","Sort=A","Dates=H","DateFormat=P","Fill=—","Direction=H","UseDPDF=Y")</f>
        <v>#NAME?</v>
      </c>
      <c r="AJ417" s="1" t="e">
        <f ca="1">_xll.BDH($C$403,"GROWTH_IN_CAP","FQ4 2016","FQ4 2016","Currency=INR","Period=FQ","BEST_FPERIOD_OVERRIDE=FQ","FILING_STATUS=OR","EQY_CONSOLIDATED=Y","Sort=A","Dates=H","DateFormat=P","Fill=—","Direction=H","UseDPDF=Y")</f>
        <v>#NAME?</v>
      </c>
      <c r="AK417" s="1" t="e">
        <f ca="1">_xll.BDH($C$403,"BVPS_GROWTH","FQ4 2016","FQ4 2016","Currency=INR","Period=FQ","BEST_FPERIOD_OVERRIDE=FQ","FILING_STATUS=OR","EQY_CONSOLIDATED=Y","Sort=A","Dates=H","DateFormat=P","Fill=—","Direction=H","UseDPDF=Y")</f>
        <v>#NAME?</v>
      </c>
      <c r="AL417" s="1" t="e">
        <f ca="1">_xll.BDH($C$403,"CASH_FLOW_GROWTH","FQ4 2016","FQ4 2016","Currency=INR","Period=FQ","BEST_FPERIOD_OVERRIDE=FQ","FILING_STATUS=OR","EQY_CONSOLIDATED=Y","Sort=A","Dates=H","DateFormat=P","Fill=—","Direction=H","UseDPDF=Y")</f>
        <v>#NAME?</v>
      </c>
      <c r="AM417" s="1" t="e">
        <f ca="1">_xll.BDH($C$403,"GEO_GROW_NET_SALES","FQ4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17" s="1" t="e">
        <f ca="1">_xll.BDH($C$403,"GEO_GROW_EBITDA","FQ4 2016","FQ4 2016","Currency=INR","Period=FQ","BEST_FPERIOD_OVERRIDE=FQ","FILING_STATUS=OR","EQY_CONSOLIDATED=Y","FA_ADJUSTED=GAAP","Sort=A","Dates=H","DateFormat=P","Fill=—","Direction=H","UseDPDF=Y")</f>
        <v>#NAME?</v>
      </c>
      <c r="AO417" s="1" t="e">
        <f ca="1">_xll.BDH($C$403,"GEO_GROW_OPER_INC","FQ4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17" s="1" t="e">
        <f ca="1">_xll.BDH($C$403,"NET_INCOME_TO_COMMON_5_YR_GROWTH","FQ4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17" s="1" t="e">
        <f ca="1">_xll.BDH($C$403,"5Y_GEO_GROWTH_DILUTED_EPS","FQ4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17" s="1" t="e">
        <f ca="1">_xll.BDH($C$403,"GEO_GROW_DVD_PER_SH","FQ4 2016","FQ4 2016","Currency=INR","Period=FQ","BEST_FPERIOD_OVERRIDE=FQ","FILING_STATUS=OR","EQY_CONSOLIDATED=Y","Sort=A","Dates=H","DateFormat=P","Fill=—","Direction=H","UseDPDF=Y")</f>
        <v>#NAME?</v>
      </c>
      <c r="AS417" s="1" t="e">
        <f ca="1">_xll.BDH($C$403,"ACCOUNTS_RECEIVABLE_5_YR_GROWTH","FQ4 2016","FQ4 2016","Currency=INR","Period=FQ","BEST_FPERIOD_OVERRIDE=FQ","FILING_STATUS=OR","EQY_CONSOLIDATED=Y","Sort=A","Dates=H","DateFormat=P","Fill=—","Direction=H","UseDPDF=Y")</f>
        <v>#NAME?</v>
      </c>
      <c r="AT417" s="1" t="e">
        <f ca="1">_xll.BDH($C$403,"INVENTORY_5_YEAR_GROWTH","FQ4 2016","FQ4 2016","Currency=INR","Period=FQ","BEST_FPERIOD_OVERRIDE=FQ","FILING_STATUS=OR","EQY_CONSOLIDATED=Y","Sort=A","Dates=H","DateFormat=P","Fill=—","Direction=H","UseDPDF=Y")</f>
        <v>#NAME?</v>
      </c>
      <c r="AU417" s="1" t="e">
        <f ca="1">_xll.BDH($C$403,"NET_FIXED_ASSETS_5_YEAR_GROWTH","FQ4 2016","FQ4 2016","Currency=INR","Period=FQ","BEST_FPERIOD_OVERRIDE=FQ","FILING_STATUS=OR","EQY_CONSOLIDATED=Y","Sort=A","Dates=H","DateFormat=P","Fill=—","Direction=H","UseDPDF=Y")</f>
        <v>#NAME?</v>
      </c>
      <c r="AV417" s="1" t="e">
        <f ca="1">_xll.BDH($C$403,"GEO_GROW_TOT_ASSET","FQ4 2016","FQ4 2016","Currency=INR","Period=FQ","BEST_FPERIOD_OVERRIDE=FQ","FILING_STATUS=OR","EQY_CONSOLIDATED=Y","Sort=A","Dates=H","DateFormat=P","Fill=—","Direction=H","UseDPDF=Y")</f>
        <v>#NAME?</v>
      </c>
      <c r="AW417" s="1" t="e">
        <f ca="1">_xll.BDH($C$403,"MODIFIED_WORKING_CPTL_5YR_GRWTH","FQ4 2016","FQ4 2016","Currency=INR","Period=FQ","BEST_FPERIOD_OVERRIDE=FQ","FILING_STATUS=OR","EQY_CONSOLIDATED=Y","Sort=A","Dates=H","DateFormat=P","Fill=—","Direction=H","UseDPDF=Y")</f>
        <v>#NAME?</v>
      </c>
      <c r="AX417" s="1" t="e">
        <f ca="1">_xll.BDH($C$403,"WORKING_CAPITAL_5_YEAR_GROWTH","FQ4 2016","FQ4 2016","Currency=INR","Period=FQ","BEST_FPERIOD_OVERRIDE=FQ","FILING_STATUS=OR","EQY_CONSOLIDATED=Y","Sort=A","Dates=H","DateFormat=P","Fill=—","Direction=H","UseDPDF=Y")</f>
        <v>#NAME?</v>
      </c>
      <c r="AY417" s="1" t="e">
        <f ca="1">_xll.BDH($C$403,"ACCOUNTS_PAYABLE_5_YEAR_GROWTH","FQ4 2016","FQ4 2016","Currency=INR","Period=FQ","BEST_FPERIOD_OVERRIDE=FQ","FILING_STATUS=OR","EQY_CONSOLIDATED=Y","Sort=A","Dates=H","DateFormat=P","Fill=—","Direction=H","UseDPDF=Y")</f>
        <v>#NAME?</v>
      </c>
      <c r="AZ417" s="1" t="e">
        <f ca="1">_xll.BDH($C$403,"SHORT_TERM_DEBT_5_YEAR_GROWTH","FQ4 2016","FQ4 2016","Currency=INR","Period=FQ","BEST_FPERIOD_OVERRIDE=FQ","FILING_STATUS=OR","EQY_CONSOLIDATED=Y","Sort=A","Dates=H","DateFormat=P","Fill=—","Direction=H","UseDPDF=Y")</f>
        <v>#NAME?</v>
      </c>
      <c r="BA417" s="1" t="e">
        <f ca="1">_xll.BDH($C$403,"TOTAL_DEBT_5_YEAR_GROWTH","FQ4 2016","FQ4 2016","Currency=INR","Period=FQ","BEST_FPERIOD_OVERRIDE=FQ","FILING_STATUS=OR","EQY_CONSOLIDATED=Y","Sort=A","Dates=H","DateFormat=P","Fill=—","Direction=H","UseDPDF=Y")</f>
        <v>#NAME?</v>
      </c>
      <c r="BB417" s="1" t="e">
        <f ca="1">_xll.BDH($C$403,"GEO_GROW_TOT_SHRHLDR_EQY","FQ4 2016","FQ4 2016","Currency=INR","Period=FQ","BEST_FPERIOD_OVERRIDE=FQ","FILING_STATUS=OR","EQY_CONSOLIDATED=Y","Sort=A","Dates=H","DateFormat=P","Fill=—","Direction=H","UseDPDF=Y")</f>
        <v>#NAME?</v>
      </c>
      <c r="BC417" s="1" t="e">
        <f ca="1">_xll.BDH($C$403,"TOTAL_CAPITAL_5_YEAR_GROWTH","FQ4 2016","FQ4 2016","Currency=INR","Period=FQ","BEST_FPERIOD_OVERRIDE=FQ","FILING_STATUS=OR","EQY_CONSOLIDATED=Y","Sort=A","Dates=H","DateFormat=P","Fill=—","Direction=H","UseDPDF=Y")</f>
        <v>#NAME?</v>
      </c>
      <c r="BD417" s="1" t="e">
        <f ca="1">_xll.BDH($C$403,"GEO_GROW_BOOK_VAL","FQ4 2016","FQ4 2016","Currency=INR","Period=FQ","BEST_FPERIOD_OVERRIDE=FQ","FILING_STATUS=OR","EQY_CONSOLIDATED=Y","Sort=A","Dates=H","DateFormat=P","Fill=—","Direction=H","UseDPDF=Y")</f>
        <v>#NAME?</v>
      </c>
      <c r="BE417" s="1" t="e">
        <f ca="1">_xll.BDH($C$403,"GEO_GROW_CASH_OPER_ACT","FQ4 2016","FQ4 2016","Currency=INR","Period=FQ","BEST_FPERIOD_OVERRIDE=FQ","FILING_STATUS=OR","EQY_CONSOLIDATED=Y","Sort=A","Dates=H","DateFormat=P","Fill=—","Direction=H","UseDPDF=Y")</f>
        <v>#NAME?</v>
      </c>
      <c r="BF417" s="1" t="e">
        <f ca="1">_xll.BDH($C$403,"REVENUE_SEQUENTIAL_GROWTH","FQ4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17" s="1" t="e">
        <f ca="1">_xll.BDH($C$403,"EBITDA_SEQUENTIAL_GROWTH","FQ4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17" s="1" t="e">
        <f ca="1">_xll.BDH($C$403,"OPERATING_INCOME_SEQ_GROWTH","FQ4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17" s="1" t="e">
        <f ca="1">_xll.BDH($C$403,"NET_INCOME_TO_COMMON_SEQ_GROWTH","FQ4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17" s="1" t="e">
        <f ca="1">_xll.BDH($C$403,"EPS_DILUTED_SEQUENTIAL_GROWTH","FQ4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17" s="1" t="e">
        <f ca="1">_xll.BDH($C$403,"DPS_SEQUENTIAL_GROWTH","FQ4 2016","FQ4 2016","Currency=INR","Period=FQ","BEST_FPERIOD_OVERRIDE=FQ","FILING_STATUS=OR","EQY_CONSOLIDATED=Y","Sort=A","Dates=H","DateFormat=P","Fill=—","Direction=H","UseDPDF=Y")</f>
        <v>#NAME?</v>
      </c>
      <c r="BL417" s="1" t="e">
        <f ca="1">_xll.BDH($C$403,"ACCOUNTS_RECEIVABLE_SEQ_GROWTH","FQ4 2016","FQ4 2016","Currency=INR","Period=FQ","BEST_FPERIOD_OVERRIDE=FQ","FILING_STATUS=OR","EQY_CONSOLIDATED=Y","Sort=A","Dates=H","DateFormat=P","Fill=—","Direction=H","UseDPDF=Y")</f>
        <v>#NAME?</v>
      </c>
      <c r="BM417" s="1" t="e">
        <f ca="1">_xll.BDH($C$403,"INVENTORY_SEQUENTIAL_GROWTH","FQ4 2016","FQ4 2016","Currency=INR","Period=FQ","BEST_FPERIOD_OVERRIDE=FQ","FILING_STATUS=OR","EQY_CONSOLIDATED=Y","Sort=A","Dates=H","DateFormat=P","Fill=—","Direction=H","UseDPDF=Y")</f>
        <v>#NAME?</v>
      </c>
      <c r="BN417" s="1" t="e">
        <f ca="1">_xll.BDH($C$403,"FIXED_ASSETS_SEQUENTIAL_GROWTH","FQ4 2016","FQ4 2016","Currency=INR","Period=FQ","BEST_FPERIOD_OVERRIDE=FQ","FILING_STATUS=OR","EQY_CONSOLIDATED=Y","Sort=A","Dates=H","DateFormat=P","Fill=—","Direction=H","UseDPDF=Y")</f>
        <v>#NAME?</v>
      </c>
      <c r="BO417" s="1" t="e">
        <f ca="1">_xll.BDH($C$403,"TOTAL_ASSETS_SEQUENTIAL_GROWTH","FQ4 2016","FQ4 2016","Currency=INR","Period=FQ","BEST_FPERIOD_OVERRIDE=FQ","FILING_STATUS=OR","EQY_CONSOLIDATED=Y","Sort=A","Dates=H","DateFormat=P","Fill=—","Direction=H","UseDPDF=Y")</f>
        <v>#NAME?</v>
      </c>
      <c r="BP417" s="1" t="e">
        <f ca="1">_xll.BDH($C$403,"MODIFIED_WORKING_CPTL_SEQ_GRWTH","FQ4 2016","FQ4 2016","Currency=INR","Period=FQ","BEST_FPERIOD_OVERRIDE=FQ","FILING_STATUS=OR","EQY_CONSOLIDATED=Y","Sort=A","Dates=H","DateFormat=P","Fill=—","Direction=H","UseDPDF=Y")</f>
        <v>#NAME?</v>
      </c>
      <c r="BQ417" s="1" t="e">
        <f ca="1">_xll.BDH($C$403,"WORKING_CAPITAL_SEQ_GROWTH","FQ4 2016","FQ4 2016","Currency=INR","Period=FQ","BEST_FPERIOD_OVERRIDE=FQ","FILING_STATUS=OR","EQY_CONSOLIDATED=Y","Sort=A","Dates=H","DateFormat=P","Fill=—","Direction=H","UseDPDF=Y")</f>
        <v>#NAME?</v>
      </c>
      <c r="BR417" s="1" t="e">
        <f ca="1">_xll.BDH($C$403,"ACCOUNTS_PAYABLE_SEQ_GROWTH","FQ4 2016","FQ4 2016","Currency=INR","Period=FQ","BEST_FPERIOD_OVERRIDE=FQ","FILING_STATUS=OR","EQY_CONSOLIDATED=Y","Sort=A","Dates=H","DateFormat=P","Fill=—","Direction=H","UseDPDF=Y")</f>
        <v>#NAME?</v>
      </c>
      <c r="BS417" s="1" t="e">
        <f ca="1">_xll.BDH($C$403,"ST_DEBT_SEQUENTIAL_GROWTH","FQ4 2016","FQ4 2016","Currency=INR","Period=FQ","BEST_FPERIOD_OVERRIDE=FQ","FILING_STATUS=OR","EQY_CONSOLIDATED=Y","Sort=A","Dates=H","DateFormat=P","Fill=—","Direction=H","UseDPDF=Y")</f>
        <v>#NAME?</v>
      </c>
      <c r="BT417" s="1" t="e">
        <f ca="1">_xll.BDH($C$403,"TOTAL_DEBT_SEQUENTIAL_GROWTH","FQ4 2016","FQ4 2016","Currency=INR","Period=FQ","BEST_FPERIOD_OVERRIDE=FQ","FILING_STATUS=OR","EQY_CONSOLIDATED=Y","Sort=A","Dates=H","DateFormat=P","Fill=—","Direction=H","UseDPDF=Y")</f>
        <v>#NAME?</v>
      </c>
      <c r="BU417" s="1" t="e">
        <f ca="1">_xll.BDH($C$403,"TOTAL_EQUITY_SEQUENTIAL_GROWTH","FQ4 2016","FQ4 2016","Currency=INR","Period=FQ","BEST_FPERIOD_OVERRIDE=FQ","FILING_STATUS=OR","EQY_CONSOLIDATED=Y","Sort=A","Dates=H","DateFormat=P","Fill=—","Direction=H","UseDPDF=Y")</f>
        <v>#NAME?</v>
      </c>
      <c r="BV417" s="1" t="e">
        <f ca="1">_xll.BDH($C$403,"TOTAL_CAPITAL_SEQUENTIAL_GROWTH","FQ4 2016","FQ4 2016","Currency=INR","Period=FQ","BEST_FPERIOD_OVERRIDE=FQ","FILING_STATUS=OR","EQY_CONSOLIDATED=Y","Sort=A","Dates=H","DateFormat=P","Fill=—","Direction=H","UseDPDF=Y")</f>
        <v>#NAME?</v>
      </c>
      <c r="BW417" s="1" t="e">
        <f ca="1">_xll.BDH($C$403,"BPS_SEQUENTIAL_GROWTH","FQ4 2016","FQ4 2016","Currency=INR","Period=FQ","BEST_FPERIOD_OVERRIDE=FQ","FILING_STATUS=OR","EQY_CONSOLIDATED=Y","Sort=A","Dates=H","DateFormat=P","Fill=—","Direction=H","UseDPDF=Y")</f>
        <v>#NAME?</v>
      </c>
      <c r="BX417" s="1" t="e">
        <f ca="1">_xll.BDH($C$403,"CFO_SEQUENTIAL_GROWTH","FQ4 2016","FQ4 2016","Currency=INR","Period=FQ","BEST_FPERIOD_OVERRIDE=FQ","FILING_STATUS=OR","EQY_CONSOLIDATED=Y","Sort=A","Dates=H","DateFormat=P","Fill=—","Direction=H","UseDPDF=Y")</f>
        <v>#NAME?</v>
      </c>
      <c r="BY417" s="2" t="e">
        <f ca="1">_xll.BDH($C$403,"SHORT_AND_LONG_TERM_DEBT","FQ4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17" s="2" t="e">
        <f ca="1">_xll.BDH($C$403,"BS_ST_BORROW","FQ4 2016","FQ4 2016","Currency=INR","Period=FQ","BEST_FPERIOD_OVERRIDE=FQ","FILING_STATUS=OR","EQY_CONSOLIDATED=Y","SCALING_FORMAT=MLN","Sort=A","Dates=H","DateFormat=P","Fill=—","Direction=H","UseDPDF=Y")</f>
        <v>#NAME?</v>
      </c>
      <c r="CA417" s="2" t="e">
        <f ca="1">_xll.BDH($C$403,"BS_LT_BORROW","FQ4 2016","FQ4 2016","Currency=INR","Period=FQ","BEST_FPERIOD_OVERRIDE=FQ","FILING_STATUS=OR","EQY_CONSOLIDATED=Y","SCALING_FORMAT=MLN","Sort=A","Dates=H","DateFormat=P","Fill=—","Direction=H","UseDPDF=Y")</f>
        <v>#NAME?</v>
      </c>
      <c r="CB417" s="1" t="e">
        <f ca="1">_xll.BDH($C$403,"TOT_DEBT_TO_EBITDA","FQ4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17" s="1" t="e">
        <f ca="1">_xll.BDH($C$403,"NET_DEBT_TO_EBITDA","FQ4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17" s="1" t="e">
        <f ca="1">_xll.BDH($C$403,"TOTAL_DEBT_TO_EBIT","FQ4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17" s="1" t="e">
        <f ca="1">_xll.BDH($C$403,"NET_DEBT_TO_EBIT","FQ4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417" s="1" t="e">
        <f ca="1">_xll.BDH($C$403,"EBITDA_TO_INTEREST_EXPN","FQ4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17" s="1" t="e">
        <f ca="1">_xll.BDH($C$403,"COM_EQY_TO_TOT_ASSET","FQ4 2016","FQ4 2016","Currency=INR","Period=FQ","BEST_FPERIOD_OVERRIDE=FQ","FILING_STATUS=OR","EQY_CONSOLIDATED=Y","Sort=A","Dates=H","DateFormat=P","Fill=—","Direction=H","UseDPDF=Y")</f>
        <v>#NAME?</v>
      </c>
      <c r="CH417" s="1" t="e">
        <f ca="1">_xll.BDH($C$403,"LT_DEBT_TO_TOT_EQY","FQ4 2016","FQ4 2016","Currency=INR","Period=FQ","BEST_FPERIOD_OVERRIDE=FQ","FILING_STATUS=OR","EQY_CONSOLIDATED=Y","Sort=A","Dates=H","DateFormat=P","Fill=—","Direction=H","UseDPDF=Y")</f>
        <v>#NAME?</v>
      </c>
      <c r="CI417" s="1" t="e">
        <f ca="1">_xll.BDH($C$403,"LT_DEBT_TO_TOT_CAP","FQ4 2016","FQ4 2016","Currency=INR","Period=FQ","BEST_FPERIOD_OVERRIDE=FQ","FILING_STATUS=OR","EQY_CONSOLIDATED=Y","Sort=A","Dates=H","DateFormat=P","Fill=—","Direction=H","UseDPDF=Y")</f>
        <v>#NAME?</v>
      </c>
      <c r="CJ417" s="1" t="e">
        <f ca="1">_xll.BDH($C$403,"LT_DEBT_TO_TOT_ASSET","FQ4 2016","FQ4 2016","Currency=INR","Period=FQ","BEST_FPERIOD_OVERRIDE=FQ","FILING_STATUS=OR","EQY_CONSOLIDATED=Y","Sort=A","Dates=H","DateFormat=P","Fill=—","Direction=H","UseDPDF=Y")</f>
        <v>#NAME?</v>
      </c>
      <c r="CK417" s="1" t="e">
        <f ca="1">_xll.BDH($C$403,"TOT_DEBT_TO_TOT_EQY","FQ4 2016","FQ4 2016","Currency=INR","Period=FQ","BEST_FPERIOD_OVERRIDE=FQ","FILING_STATUS=OR","EQY_CONSOLIDATED=Y","Sort=A","Dates=H","DateFormat=P","Fill=—","Direction=H","UseDPDF=Y")</f>
        <v>#NAME?</v>
      </c>
      <c r="CL417" s="1" t="e">
        <f ca="1">_xll.BDH($C$403,"TOT_DEBT_TO_TOT_CAP","FQ4 2016","FQ4 2016","Currency=INR","Period=FQ","BEST_FPERIOD_OVERRIDE=FQ","FILING_STATUS=OR","EQY_CONSOLIDATED=Y","Sort=A","Dates=H","DateFormat=P","Fill=—","Direction=H","UseDPDF=Y")</f>
        <v>#NAME?</v>
      </c>
      <c r="CM417" s="1" t="e">
        <f ca="1">_xll.BDH($C$403,"TOT_DEBT_TO_TOT_ASSET","FQ4 2016","FQ4 2016","Currency=INR","Period=FQ","BEST_FPERIOD_OVERRIDE=FQ","FILING_STATUS=OR","EQY_CONSOLIDATED=Y","Sort=A","Dates=H","DateFormat=P","Fill=—","Direction=H","UseDPDF=Y")</f>
        <v>#NAME?</v>
      </c>
      <c r="CN417" s="1" t="e">
        <f ca="1">_xll.BDH($C$403,"NET_DEBT_TO_SHRHLDR_EQTY","FQ4 2016","FQ4 2016","Currency=INR","Period=FQ","BEST_FPERIOD_OVERRIDE=FQ","FILING_STATUS=OR","EQY_CONSOLIDATED=Y","Sort=A","Dates=H","DateFormat=P","Fill=—","Direction=H","UseDPDF=Y")</f>
        <v>#NAME?</v>
      </c>
      <c r="CO417" s="1" t="e">
        <f ca="1">_xll.BDH($C$403,"NET_DEBT_%_CAPITAL","FQ4 2016","FQ4 2016","Currency=INR","Period=FQ","BEST_FPERIOD_OVERRIDE=FQ","FILING_STATUS=OR","EQY_CONSOLIDATED=Y","Sort=A","Dates=H","DateFormat=P","Fill=—","Direction=H","UseDPDF=Y")</f>
        <v>#NAME?</v>
      </c>
      <c r="CP417" s="2" t="e">
        <f ca="1">_xll.BDH($C$403,"EBITDA","FQ4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17" s="2" t="e">
        <f ca="1">_xll.BDH($C$403,"EBITDA_AFTER_CAPEX","FQ4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17" s="2" t="e">
        <f ca="1">_xll.BDH($C$403,"IS_OPER_INC","FQ4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17" s="1" t="e">
        <f ca="1">_xll.BDH($C$403,"CASH_RATIO","FQ4 2016","FQ4 2016","Currency=INR","Period=FQ","BEST_FPERIOD_OVERRIDE=FQ","FILING_STATUS=OR","EQY_CONSOLIDATED=Y","Sort=A","Dates=H","DateFormat=P","Fill=—","Direction=H","UseDPDF=Y")</f>
        <v>#NAME?</v>
      </c>
      <c r="CT417" s="1" t="e">
        <f ca="1">_xll.BDH($C$403,"CUR_RATIO","FQ4 2016","FQ4 2016","Currency=INR","Period=FQ","BEST_FPERIOD_OVERRIDE=FQ","FILING_STATUS=OR","EQY_CONSOLIDATED=Y","Sort=A","Dates=H","DateFormat=P","Fill=—","Direction=H","UseDPDF=Y")</f>
        <v>#NAME?</v>
      </c>
      <c r="CU417" s="1" t="e">
        <f ca="1">_xll.BDH($C$403,"QUICK_RATIO","FQ4 2016","FQ4 2016","Currency=INR","Period=FQ","BEST_FPERIOD_OVERRIDE=FQ","FILING_STATUS=OR","EQY_CONSOLIDATED=Y","Sort=A","Dates=H","DateFormat=P","Fill=—","Direction=H","UseDPDF=Y")</f>
        <v>#NAME?</v>
      </c>
      <c r="CV417" s="1" t="e">
        <f ca="1">_xll.BDH($C$403,"ALTMAN_Z_SCORE","FQ4 2016","FQ4 2016","Currency=INR","Period=FQ","BEST_FPERIOD_OVERRIDE=FQ","FILING_STATUS=OR","EQY_CONSOLIDATED=Y","Sort=A","Dates=H","DateFormat=P","Fill=—","Direction=H","UseDPDF=Y")</f>
        <v>#NAME?</v>
      </c>
      <c r="CW417" s="3" t="e">
        <f ca="1">_xll.BDH($C$403,"ACCT_RCV_TURN","FQ4 2016","FQ4 2016","Currency=INR","Period=FQ","BEST_FPERIOD_OVERRIDE=FQ","FILING_STATUS=OR","EQY_CONSOLIDATED=Y","FA_ADJUSTED=GAAP","Sort=A","Dates=H","DateFormat=P","Fill=—","Direction=H","UseDPDF=Y")</f>
        <v>#NAME?</v>
      </c>
      <c r="CX417" s="1" t="e">
        <f ca="1">_xll.BDH($C$403,"ACCT_RCV_DAYS","FQ4 2016","FQ4 2016","Currency=INR","Period=FQ","BEST_FPERIOD_OVERRIDE=FQ","FILING_STATUS=OR","EQY_CONSOLIDATED=Y","FA_ADJUSTED=GAAP","Sort=A","Dates=H","DateFormat=P","Fill=—","Direction=H","UseDPDF=Y")</f>
        <v>#NAME?</v>
      </c>
      <c r="CY417" s="3" t="e">
        <f ca="1">_xll.BDH($C$403,"INVENT_TURN","FQ4 2016","FQ4 2016","Currency=INR","Period=FQ","BEST_FPERIOD_OVERRIDE=FQ","FILING_STATUS=OR","EQY_CONSOLIDATED=Y","FA_ADJUSTED=GAAP","Sort=A","Dates=H","DateFormat=P","Fill=—","Direction=H","UseDPDF=Y")</f>
        <v>#NAME?</v>
      </c>
      <c r="CZ417" s="1" t="e">
        <f ca="1">_xll.BDH($C$403,"INVENT_DAYS","FQ4 2016","FQ4 2016","Currency=INR","Period=FQ","BEST_FPERIOD_OVERRIDE=FQ","FILING_STATUS=OR","EQY_CONSOLIDATED=Y","FA_ADJUSTED=GAAP","Sort=A","Dates=H","DateFormat=P","Fill=—","Direction=H","UseDPDF=Y")</f>
        <v>#NAME?</v>
      </c>
      <c r="DA417" s="3" t="e">
        <f ca="1">_xll.BDH($C$403,"ACCOUNTS_PAYABLE_TURNOVER","FQ4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17" s="1" t="e">
        <f ca="1">_xll.BDH($C$403,"ACCOUNTS_PAYABLE_TURNOVER_DAYS","FQ4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17" s="3" t="e">
        <f ca="1">_xll.BDH($C$403,"CASH_CONVERSION_CYCLE","FQ4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17" s="3" t="e">
        <f ca="1">_xll.BDH($C$403,"INV_TO_CASH_DAYS","FQ4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417" s="4" t="e">
        <f ca="1">_xll.BDH($C$403,"BS_INVENTORIES","FQ4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417" s="2" t="e">
        <f ca="1">_xll.BDH($C$403,"INVTRY_RAW_MATERIALS","FQ4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17" s="2" t="e">
        <f ca="1">_xll.BDH($C$403,"INVTRY_IN_PROGRESS","FQ4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17" s="2" t="e">
        <f ca="1">_xll.BDH($C$403,"INVTRY_FINISHED_GOODS","FQ4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17" s="2" t="e">
        <f ca="1">_xll.BDH($C$403,"BS_OTHER_INV","FQ4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18" spans="1:113" x14ac:dyDescent="0.3">
      <c r="A418" s="6"/>
      <c r="B418" s="6"/>
      <c r="C418" s="6"/>
      <c r="D418" s="6" t="s">
        <v>10</v>
      </c>
      <c r="E418" t="s">
        <v>3</v>
      </c>
      <c r="F418" t="e">
        <f ca="1">_xll.BDH($C$403,"RETURN_COM_EQY","FY 2017","FY 2017","Currency=INR","Period=FY","BEST_FPERIOD_OVERRIDE=FY","FILING_STATUS=OR","EQY_CONSOLIDATED=Y","FA_ADJUSTED=GAAP","Sort=A","Dates=H","DateFormat=P","Fill=—","Direction=H","UseDPDF=Y")</f>
        <v>#NAME?</v>
      </c>
      <c r="G418" t="e">
        <f ca="1">_xll.BDH($C$403,"RETURN_ON_ASSET","FY 2017","FY 2017","Currency=INR","Period=FY","BEST_FPERIOD_OVERRIDE=FY","FILING_STATUS=OR","EQY_CONSOLIDATED=Y","FA_ADJUSTED=GAAP","Sort=A","Dates=H","DateFormat=P","Fill=—","Direction=H","UseDPDF=Y")</f>
        <v>#NAME?</v>
      </c>
      <c r="H418" t="e">
        <f ca="1">_xll.BDH($C$403,"RETURN_ON_CAP","FY 2017","FY 2017","Currency=INR","Period=FY","BEST_FPERIOD_OVERRIDE=FY","FILING_STATUS=OR","EQY_CONSOLIDATED=Y","FA_ADJUSTED=GAAP","Sort=A","Dates=H","DateFormat=P","Fill=—","Direction=H","UseDPDF=Y")</f>
        <v>#NAME?</v>
      </c>
      <c r="I418" t="e">
        <f ca="1">_xll.BDH($C$403,"RETURN_ON_INV_CAPITAL","FY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18" t="e">
        <f ca="1">_xll.BDH($C$403,"EBITDA_TO_REVENUE","FY 2017","FY 2017","Currency=INR","Period=FY","BEST_FPERIOD_OVERRIDE=FY","FILING_STATUS=OR","EQY_CONSOLIDATED=Y","FA_ADJUSTED=GAAP","Sort=A","Dates=H","DateFormat=P","Fill=—","Direction=H","UseDPDF=Y")</f>
        <v>#NAME?</v>
      </c>
      <c r="K418" t="e">
        <f ca="1">_xll.BDH($C$403,"OPER_MARGIN","FY 2017","FY 2017","Currency=INR","Period=FY","BEST_FPERIOD_OVERRIDE=FY","FILING_STATUS=OR","EQY_CONSOLIDATED=Y","FA_ADJUSTED=GAAP","Sort=A","Dates=H","DateFormat=P","Fill=—","Direction=H","UseDPDF=Y")</f>
        <v>#NAME?</v>
      </c>
      <c r="L418" t="e">
        <f ca="1">_xll.BDH($C$403,"INCREMENTAL_OPERATING_MARGIN","FY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18" t="e">
        <f ca="1">_xll.BDH($C$403,"PRETAX_INC_TO_NET_SALES","FY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18" t="e">
        <f ca="1">_xll.BDH($C$403,"INC_BEF_XO_ITEMS_TO_NET_SALES","FY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18" t="e">
        <f ca="1">_xll.BDH($C$403,"PROF_MARGIN","FY 2017","FY 2017","Currency=INR","Period=FY","BEST_FPERIOD_OVERRIDE=FY","FILING_STATUS=OR","EQY_CONSOLIDATED=Y","FA_ADJUSTED=GAAP","Sort=A","Dates=H","DateFormat=P","Fill=—","Direction=H","UseDPDF=Y")</f>
        <v>#NAME?</v>
      </c>
      <c r="P418" t="e">
        <f ca="1">_xll.BDH($C$403,"NET_INCOME_TO_COMMON_MARGIN","FY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18" t="e">
        <f ca="1">_xll.BDH($C$403,"EFF_TAX_RATE","FY 2017","FY 2017","Currency=INR","Period=FY","BEST_FPERIOD_OVERRIDE=FY","FILING_STATUS=OR","EQY_CONSOLIDATED=Y","FA_ADJUSTED=GAAP","Sort=A","Dates=H","DateFormat=P","Fill=—","Direction=H","UseDPDF=Y")</f>
        <v>#NAME?</v>
      </c>
      <c r="R418" t="e">
        <f ca="1">_xll.BDH($C$403,"DVD_PAYOUT_RATIO","FY 2017","FY 2017","Currency=INR","Period=FY","BEST_FPERIOD_OVERRIDE=FY","FILING_STATUS=OR","EQY_CONSOLIDATED=Y","FA_ADJUSTED=GAAP","Sort=A","Dates=H","DateFormat=P","Fill=—","Direction=H","UseDPDF=Y")</f>
        <v>#NAME?</v>
      </c>
      <c r="S418" t="e">
        <f ca="1">_xll.BDH($C$403,"SUSTAIN_GROWTH_RT","FY 2017","FY 2017","Currency=INR","Period=FY","BEST_FPERIOD_OVERRIDE=FY","FILING_STATUS=OR","EQY_CONSOLIDATED=Y","FA_ADJUSTED=GAAP","Sort=A","Dates=H","DateFormat=P","Fill=—","Direction=H","UseDPDF=Y")</f>
        <v>#NAME?</v>
      </c>
      <c r="T418" s="1" t="e">
        <f ca="1">_xll.BDH($C$403,"SALES_GROWTH","FY 2017","FY 2017","Currency=INR","Period=FY","BEST_FPERIOD_OVERRIDE=FY","FILING_STATUS=OR","EQY_CONSOLIDATED=Y","FA_ADJUSTED=GAAP","Sort=A","Dates=H","DateFormat=P","Fill=—","Direction=H","UseDPDF=Y")</f>
        <v>#NAME?</v>
      </c>
      <c r="U418" s="1" t="e">
        <f ca="1">_xll.BDH($C$403,"EBITDA_GROWTH","FY 2017","FY 2017","Currency=INR","Period=FY","BEST_FPERIOD_OVERRIDE=FY","FILING_STATUS=OR","EQY_CONSOLIDATED=Y","FA_ADJUSTED=GAAP","Sort=A","Dates=H","DateFormat=P","Fill=—","Direction=H","UseDPDF=Y")</f>
        <v>#NAME?</v>
      </c>
      <c r="V418" s="1" t="e">
        <f ca="1">_xll.BDH($C$403,"OPER_INC_GROWTH","FY 2017","FY 2017","Currency=INR","Period=FY","BEST_FPERIOD_OVERRIDE=FY","FILING_STATUS=OR","EQY_CONSOLIDATED=Y","FA_ADJUSTED=GAAP","Sort=A","Dates=H","DateFormat=P","Fill=—","Direction=H","UseDPDF=Y")</f>
        <v>#NAME?</v>
      </c>
      <c r="W418" s="1" t="e">
        <f ca="1">_xll.BDH($C$403,"EARN_FOR_COM_GROWTH","FY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418" s="1" t="e">
        <f ca="1">_xll.BDH($C$403,"DILUTED_EPS_AFT_XO_ITEMS_GROWTH","FY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18" s="1" t="e">
        <f ca="1">_xll.BDH($C$403,"DIVIDEND_PER_SHARE_1_YEAR_GROWTH","FY 2017","FY 2017","Currency=INR","Period=FY","BEST_FPERIOD_OVERRIDE=FY","FILING_STATUS=OR","EQY_CONSOLIDATED=Y","Sort=A","Dates=H","DateFormat=P","Fill=—","Direction=H","UseDPDF=Y")</f>
        <v>#NAME?</v>
      </c>
      <c r="Z418" s="1" t="e">
        <f ca="1">_xll.BDH($C$403,"ACCOUNTS_RECEIVABLE_GROWTH","FY 2017","FY 2017","Currency=INR","Period=FY","BEST_FPERIOD_OVERRIDE=FY","FILING_STATUS=OR","EQY_CONSOLIDATED=Y","Sort=A","Dates=H","DateFormat=P","Fill=—","Direction=H","UseDPDF=Y")</f>
        <v>#NAME?</v>
      </c>
      <c r="AA418" s="1" t="e">
        <f ca="1">_xll.BDH($C$403,"INVENTORY_GROWTH","FY 2017","FY 2017","Currency=INR","Period=FY","BEST_FPERIOD_OVERRIDE=FY","FILING_STATUS=OR","EQY_CONSOLIDATED=Y","Sort=A","Dates=H","DateFormat=P","Fill=—","Direction=H","UseDPDF=Y")</f>
        <v>#NAME?</v>
      </c>
      <c r="AB418" s="1" t="e">
        <f ca="1">_xll.BDH($C$403,"NET_FIXED_ASSETS_1_YEAR_GROWTH","FY 2017","FY 2017","Currency=INR","Period=FY","BEST_FPERIOD_OVERRIDE=FY","FILING_STATUS=OR","EQY_CONSOLIDATED=Y","Sort=A","Dates=H","DateFormat=P","Fill=—","Direction=H","UseDPDF=Y")</f>
        <v>#NAME?</v>
      </c>
      <c r="AC418" s="1" t="e">
        <f ca="1">_xll.BDH($C$403,"ASSET_GROWTH","FY 2017","FY 2017","Currency=INR","Period=FY","BEST_FPERIOD_OVERRIDE=FY","FILING_STATUS=OR","EQY_CONSOLIDATED=Y","Sort=A","Dates=H","DateFormat=P","Fill=—","Direction=H","UseDPDF=Y")</f>
        <v>#NAME?</v>
      </c>
      <c r="AD418" s="1" t="e">
        <f ca="1">_xll.BDH($C$403,"MODIFIED_WORK_CAP_GROWTH","FY 2017","FY 2017","Currency=INR","Period=FY","BEST_FPERIOD_OVERRIDE=FY","FILING_STATUS=OR","EQY_CONSOLIDATED=Y","Sort=A","Dates=H","DateFormat=P","Fill=—","Direction=H","UseDPDF=Y")</f>
        <v>#NAME?</v>
      </c>
      <c r="AE418" s="1" t="e">
        <f ca="1">_xll.BDH($C$403,"WORK_CAP_GROWTH","FY 2017","FY 2017","Currency=INR","Period=FY","BEST_FPERIOD_OVERRIDE=FY","FILING_STATUS=OR","EQY_CONSOLIDATED=Y","Sort=A","Dates=H","DateFormat=P","Fill=—","Direction=H","UseDPDF=Y")</f>
        <v>#NAME?</v>
      </c>
      <c r="AF418" s="1" t="e">
        <f ca="1">_xll.BDH($C$403,"ACCOUNTS_PAYABLE_GROWTH_1YR","FY 2017","FY 2017","Currency=INR","Period=FY","BEST_FPERIOD_OVERRIDE=FY","FILING_STATUS=OR","EQY_CONSOLIDATED=Y","Sort=A","Dates=H","DateFormat=P","Fill=—","Direction=H","UseDPDF=Y")</f>
        <v>#NAME?</v>
      </c>
      <c r="AG418" s="1" t="e">
        <f ca="1">_xll.BDH($C$403,"SHORT_TERM_DEBT_1_YEAR_GROWTH","FY 2017","FY 2017","Currency=INR","Period=FY","BEST_FPERIOD_OVERRIDE=FY","FILING_STATUS=OR","EQY_CONSOLIDATED=Y","Sort=A","Dates=H","DateFormat=P","Fill=—","Direction=H","UseDPDF=Y")</f>
        <v>#NAME?</v>
      </c>
      <c r="AH418" s="1" t="e">
        <f ca="1">_xll.BDH($C$403,"TOTAL_DEBT_1_YEAR_GROWTH","FY 2017","FY 2017","Currency=INR","Period=FY","BEST_FPERIOD_OVERRIDE=FY","FILING_STATUS=OR","EQY_CONSOLIDATED=Y","Sort=A","Dates=H","DateFormat=P","Fill=—","Direction=H","UseDPDF=Y")</f>
        <v>#NAME?</v>
      </c>
      <c r="AI418" s="1" t="e">
        <f ca="1">_xll.BDH($C$403,"TOTAL_EQUITY_1_YEAR_GROWTH","FY 2017","FY 2017","Currency=INR","Period=FY","BEST_FPERIOD_OVERRIDE=FY","FILING_STATUS=OR","EQY_CONSOLIDATED=Y","Sort=A","Dates=H","DateFormat=P","Fill=—","Direction=H","UseDPDF=Y")</f>
        <v>#NAME?</v>
      </c>
      <c r="AJ418" s="1" t="e">
        <f ca="1">_xll.BDH($C$403,"GROWTH_IN_CAP","FY 2017","FY 2017","Currency=INR","Period=FY","BEST_FPERIOD_OVERRIDE=FY","FILING_STATUS=OR","EQY_CONSOLIDATED=Y","Sort=A","Dates=H","DateFormat=P","Fill=—","Direction=H","UseDPDF=Y")</f>
        <v>#NAME?</v>
      </c>
      <c r="AK418" s="1" t="e">
        <f ca="1">_xll.BDH($C$403,"BVPS_GROWTH","FY 2017","FY 2017","Currency=INR","Period=FY","BEST_FPERIOD_OVERRIDE=FY","FILING_STATUS=OR","EQY_CONSOLIDATED=Y","Sort=A","Dates=H","DateFormat=P","Fill=—","Direction=H","UseDPDF=Y")</f>
        <v>#NAME?</v>
      </c>
      <c r="AL418" s="1" t="e">
        <f ca="1">_xll.BDH($C$403,"CASH_FLOW_GROWTH","FY 2017","FY 2017","Currency=INR","Period=FY","BEST_FPERIOD_OVERRIDE=FY","FILING_STATUS=OR","EQY_CONSOLIDATED=Y","Sort=A","Dates=H","DateFormat=P","Fill=—","Direction=H","UseDPDF=Y")</f>
        <v>#NAME?</v>
      </c>
      <c r="AM418" s="1" t="e">
        <f ca="1">_xll.BDH($C$403,"GEO_GROW_NET_SALES","FY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418" s="1" t="e">
        <f ca="1">_xll.BDH($C$403,"GEO_GROW_EBITDA","FY 2017","FY 2017","Currency=INR","Period=FY","BEST_FPERIOD_OVERRIDE=FY","FILING_STATUS=OR","EQY_CONSOLIDATED=Y","FA_ADJUSTED=GAAP","Sort=A","Dates=H","DateFormat=P","Fill=—","Direction=H","UseDPDF=Y")</f>
        <v>#NAME?</v>
      </c>
      <c r="AO418" s="1" t="e">
        <f ca="1">_xll.BDH($C$403,"GEO_GROW_OPER_INC","FY 2017","FY 2017","Currency=INR","Period=FY","BEST_FPERIOD_OVERRIDE=FY","FILING_STATUS=OR","EQY_CONSOLIDATED=Y","FA_ADJUSTED=GAAP","Sort=A","Dates=H","DateFormat=P","Fill=—","Direction=H","UseDPDF=Y")</f>
        <v>#NAME?</v>
      </c>
      <c r="AP418" s="1" t="e">
        <f ca="1">_xll.BDH($C$403,"NET_INCOME_TO_COMMON_5_YR_GROWTH","FY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18" s="1" t="e">
        <f ca="1">_xll.BDH($C$403,"5Y_GEO_GROWTH_DILUTED_EPS","FY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18" s="1" t="e">
        <f ca="1">_xll.BDH($C$403,"GEO_GROW_DVD_PER_SH","FY 2017","FY 2017","Currency=INR","Period=FY","BEST_FPERIOD_OVERRIDE=FY","FILING_STATUS=OR","EQY_CONSOLIDATED=Y","Sort=A","Dates=H","DateFormat=P","Fill=—","Direction=H","UseDPDF=Y")</f>
        <v>#NAME?</v>
      </c>
      <c r="AS418" s="1" t="e">
        <f ca="1">_xll.BDH($C$403,"ACCOUNTS_RECEIVABLE_5_YR_GROWTH","FY 2017","FY 2017","Currency=INR","Period=FY","BEST_FPERIOD_OVERRIDE=FY","FILING_STATUS=OR","EQY_CONSOLIDATED=Y","Sort=A","Dates=H","DateFormat=P","Fill=—","Direction=H","UseDPDF=Y")</f>
        <v>#NAME?</v>
      </c>
      <c r="AT418" s="1" t="e">
        <f ca="1">_xll.BDH($C$403,"INVENTORY_5_YEAR_GROWTH","FY 2017","FY 2017","Currency=INR","Period=FY","BEST_FPERIOD_OVERRIDE=FY","FILING_STATUS=OR","EQY_CONSOLIDATED=Y","Sort=A","Dates=H","DateFormat=P","Fill=—","Direction=H","UseDPDF=Y")</f>
        <v>#NAME?</v>
      </c>
      <c r="AU418" s="1" t="e">
        <f ca="1">_xll.BDH($C$403,"NET_FIXED_ASSETS_5_YEAR_GROWTH","FY 2017","FY 2017","Currency=INR","Period=FY","BEST_FPERIOD_OVERRIDE=FY","FILING_STATUS=OR","EQY_CONSOLIDATED=Y","Sort=A","Dates=H","DateFormat=P","Fill=—","Direction=H","UseDPDF=Y")</f>
        <v>#NAME?</v>
      </c>
      <c r="AV418" s="1" t="e">
        <f ca="1">_xll.BDH($C$403,"GEO_GROW_TOT_ASSET","FY 2017","FY 2017","Currency=INR","Period=FY","BEST_FPERIOD_OVERRIDE=FY","FILING_STATUS=OR","EQY_CONSOLIDATED=Y","Sort=A","Dates=H","DateFormat=P","Fill=—","Direction=H","UseDPDF=Y")</f>
        <v>#NAME?</v>
      </c>
      <c r="AW418" s="1" t="e">
        <f ca="1">_xll.BDH($C$403,"MODIFIED_WORKING_CPTL_5YR_GRWTH","FY 2017","FY 2017","Currency=INR","Period=FY","BEST_FPERIOD_OVERRIDE=FY","FILING_STATUS=OR","EQY_CONSOLIDATED=Y","Sort=A","Dates=H","DateFormat=P","Fill=—","Direction=H","UseDPDF=Y")</f>
        <v>#NAME?</v>
      </c>
      <c r="AX418" s="1" t="e">
        <f ca="1">_xll.BDH($C$403,"WORKING_CAPITAL_5_YEAR_GROWTH","FY 2017","FY 2017","Currency=INR","Period=FY","BEST_FPERIOD_OVERRIDE=FY","FILING_STATUS=OR","EQY_CONSOLIDATED=Y","Sort=A","Dates=H","DateFormat=P","Fill=—","Direction=H","UseDPDF=Y")</f>
        <v>#NAME?</v>
      </c>
      <c r="AY418" s="1" t="e">
        <f ca="1">_xll.BDH($C$403,"ACCOUNTS_PAYABLE_5_YEAR_GROWTH","FY 2017","FY 2017","Currency=INR","Period=FY","BEST_FPERIOD_OVERRIDE=FY","FILING_STATUS=OR","EQY_CONSOLIDATED=Y","Sort=A","Dates=H","DateFormat=P","Fill=—","Direction=H","UseDPDF=Y")</f>
        <v>#NAME?</v>
      </c>
      <c r="AZ418" s="1" t="e">
        <f ca="1">_xll.BDH($C$403,"SHORT_TERM_DEBT_5_YEAR_GROWTH","FY 2017","FY 2017","Currency=INR","Period=FY","BEST_FPERIOD_OVERRIDE=FY","FILING_STATUS=OR","EQY_CONSOLIDATED=Y","Sort=A","Dates=H","DateFormat=P","Fill=—","Direction=H","UseDPDF=Y")</f>
        <v>#NAME?</v>
      </c>
      <c r="BA418" s="1" t="e">
        <f ca="1">_xll.BDH($C$403,"TOTAL_DEBT_5_YEAR_GROWTH","FY 2017","FY 2017","Currency=INR","Period=FY","BEST_FPERIOD_OVERRIDE=FY","FILING_STATUS=OR","EQY_CONSOLIDATED=Y","Sort=A","Dates=H","DateFormat=P","Fill=—","Direction=H","UseDPDF=Y")</f>
        <v>#NAME?</v>
      </c>
      <c r="BB418" s="1" t="e">
        <f ca="1">_xll.BDH($C$403,"GEO_GROW_TOT_SHRHLDR_EQY","FY 2017","FY 2017","Currency=INR","Period=FY","BEST_FPERIOD_OVERRIDE=FY","FILING_STATUS=OR","EQY_CONSOLIDATED=Y","Sort=A","Dates=H","DateFormat=P","Fill=—","Direction=H","UseDPDF=Y")</f>
        <v>#NAME?</v>
      </c>
      <c r="BC418" s="1" t="e">
        <f ca="1">_xll.BDH($C$403,"TOTAL_CAPITAL_5_YEAR_GROWTH","FY 2017","FY 2017","Currency=INR","Period=FY","BEST_FPERIOD_OVERRIDE=FY","FILING_STATUS=OR","EQY_CONSOLIDATED=Y","Sort=A","Dates=H","DateFormat=P","Fill=—","Direction=H","UseDPDF=Y")</f>
        <v>#NAME?</v>
      </c>
      <c r="BD418" s="1" t="e">
        <f ca="1">_xll.BDH($C$403,"GEO_GROW_BOOK_VAL","FY 2017","FY 2017","Currency=INR","Period=FY","BEST_FPERIOD_OVERRIDE=FY","FILING_STATUS=OR","EQY_CONSOLIDATED=Y","Sort=A","Dates=H","DateFormat=P","Fill=—","Direction=H","UseDPDF=Y")</f>
        <v>#NAME?</v>
      </c>
      <c r="BE418" s="1" t="e">
        <f ca="1">_xll.BDH($C$403,"GEO_GROW_CASH_OPER_ACT","FY 2017","FY 2017","Currency=INR","Period=FY","BEST_FPERIOD_OVERRIDE=FY","FILING_STATUS=OR","EQY_CONSOLIDATED=Y","Sort=A","Dates=H","DateFormat=P","Fill=—","Direction=H","UseDPDF=Y")</f>
        <v>#NAME?</v>
      </c>
      <c r="BF418" s="1" t="e">
        <f ca="1">_xll.BDH($C$403,"REVENUE_SEQUENTIAL_GROWTH","FY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18" s="1" t="e">
        <f ca="1">_xll.BDH($C$403,"EBITDA_SEQUENTIAL_GROWTH","FY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18" s="1" t="e">
        <f ca="1">_xll.BDH($C$403,"OPERATING_INCOME_SEQ_GROWTH","FY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18" s="1" t="e">
        <f ca="1">_xll.BDH($C$403,"NET_INCOME_TO_COMMON_SEQ_GROWTH","FY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18" s="1" t="e">
        <f ca="1">_xll.BDH($C$403,"EPS_DILUTED_SEQUENTIAL_GROWTH","FY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18" s="1" t="e">
        <f ca="1">_xll.BDH($C$403,"DPS_SEQUENTIAL_GROWTH","FY 2017","FY 2017","Currency=INR","Period=FY","BEST_FPERIOD_OVERRIDE=FY","FILING_STATUS=OR","EQY_CONSOLIDATED=Y","Sort=A","Dates=H","DateFormat=P","Fill=—","Direction=H","UseDPDF=Y")</f>
        <v>#NAME?</v>
      </c>
      <c r="BL418" s="1" t="e">
        <f ca="1">_xll.BDH($C$403,"ACCOUNTS_RECEIVABLE_SEQ_GROWTH","FY 2017","FY 2017","Currency=INR","Period=FY","BEST_FPERIOD_OVERRIDE=FY","FILING_STATUS=OR","EQY_CONSOLIDATED=Y","Sort=A","Dates=H","DateFormat=P","Fill=—","Direction=H","UseDPDF=Y")</f>
        <v>#NAME?</v>
      </c>
      <c r="BM418" s="1" t="e">
        <f ca="1">_xll.BDH($C$403,"INVENTORY_SEQUENTIAL_GROWTH","FY 2017","FY 2017","Currency=INR","Period=FY","BEST_FPERIOD_OVERRIDE=FY","FILING_STATUS=OR","EQY_CONSOLIDATED=Y","Sort=A","Dates=H","DateFormat=P","Fill=—","Direction=H","UseDPDF=Y")</f>
        <v>#NAME?</v>
      </c>
      <c r="BN418" s="1" t="e">
        <f ca="1">_xll.BDH($C$403,"FIXED_ASSETS_SEQUENTIAL_GROWTH","FY 2017","FY 2017","Currency=INR","Period=FY","BEST_FPERIOD_OVERRIDE=FY","FILING_STATUS=OR","EQY_CONSOLIDATED=Y","Sort=A","Dates=H","DateFormat=P","Fill=—","Direction=H","UseDPDF=Y")</f>
        <v>#NAME?</v>
      </c>
      <c r="BO418" s="1" t="e">
        <f ca="1">_xll.BDH($C$403,"TOTAL_ASSETS_SEQUENTIAL_GROWTH","FY 2017","FY 2017","Currency=INR","Period=FY","BEST_FPERIOD_OVERRIDE=FY","FILING_STATUS=OR","EQY_CONSOLIDATED=Y","Sort=A","Dates=H","DateFormat=P","Fill=—","Direction=H","UseDPDF=Y")</f>
        <v>#NAME?</v>
      </c>
      <c r="BP418" s="1" t="e">
        <f ca="1">_xll.BDH($C$403,"MODIFIED_WORKING_CPTL_SEQ_GRWTH","FY 2017","FY 2017","Currency=INR","Period=FY","BEST_FPERIOD_OVERRIDE=FY","FILING_STATUS=OR","EQY_CONSOLIDATED=Y","Sort=A","Dates=H","DateFormat=P","Fill=—","Direction=H","UseDPDF=Y")</f>
        <v>#NAME?</v>
      </c>
      <c r="BQ418" s="1" t="e">
        <f ca="1">_xll.BDH($C$403,"WORKING_CAPITAL_SEQ_GROWTH","FY 2017","FY 2017","Currency=INR","Period=FY","BEST_FPERIOD_OVERRIDE=FY","FILING_STATUS=OR","EQY_CONSOLIDATED=Y","Sort=A","Dates=H","DateFormat=P","Fill=—","Direction=H","UseDPDF=Y")</f>
        <v>#NAME?</v>
      </c>
      <c r="BR418" s="1" t="e">
        <f ca="1">_xll.BDH($C$403,"ACCOUNTS_PAYABLE_SEQ_GROWTH","FY 2017","FY 2017","Currency=INR","Period=FY","BEST_FPERIOD_OVERRIDE=FY","FILING_STATUS=OR","EQY_CONSOLIDATED=Y","Sort=A","Dates=H","DateFormat=P","Fill=—","Direction=H","UseDPDF=Y")</f>
        <v>#NAME?</v>
      </c>
      <c r="BS418" s="1" t="e">
        <f ca="1">_xll.BDH($C$403,"ST_DEBT_SEQUENTIAL_GROWTH","FY 2017","FY 2017","Currency=INR","Period=FY","BEST_FPERIOD_OVERRIDE=FY","FILING_STATUS=OR","EQY_CONSOLIDATED=Y","Sort=A","Dates=H","DateFormat=P","Fill=—","Direction=H","UseDPDF=Y")</f>
        <v>#NAME?</v>
      </c>
      <c r="BT418" s="1" t="e">
        <f ca="1">_xll.BDH($C$403,"TOTAL_DEBT_SEQUENTIAL_GROWTH","FY 2017","FY 2017","Currency=INR","Period=FY","BEST_FPERIOD_OVERRIDE=FY","FILING_STATUS=OR","EQY_CONSOLIDATED=Y","Sort=A","Dates=H","DateFormat=P","Fill=—","Direction=H","UseDPDF=Y")</f>
        <v>#NAME?</v>
      </c>
      <c r="BU418" s="1" t="e">
        <f ca="1">_xll.BDH($C$403,"TOTAL_EQUITY_SEQUENTIAL_GROWTH","FY 2017","FY 2017","Currency=INR","Period=FY","BEST_FPERIOD_OVERRIDE=FY","FILING_STATUS=OR","EQY_CONSOLIDATED=Y","Sort=A","Dates=H","DateFormat=P","Fill=—","Direction=H","UseDPDF=Y")</f>
        <v>#NAME?</v>
      </c>
      <c r="BV418" s="1" t="e">
        <f ca="1">_xll.BDH($C$403,"TOTAL_CAPITAL_SEQUENTIAL_GROWTH","FY 2017","FY 2017","Currency=INR","Period=FY","BEST_FPERIOD_OVERRIDE=FY","FILING_STATUS=OR","EQY_CONSOLIDATED=Y","Sort=A","Dates=H","DateFormat=P","Fill=—","Direction=H","UseDPDF=Y")</f>
        <v>#NAME?</v>
      </c>
      <c r="BW418" s="1" t="e">
        <f ca="1">_xll.BDH($C$403,"BPS_SEQUENTIAL_GROWTH","FY 2017","FY 2017","Currency=INR","Period=FY","BEST_FPERIOD_OVERRIDE=FY","FILING_STATUS=OR","EQY_CONSOLIDATED=Y","Sort=A","Dates=H","DateFormat=P","Fill=—","Direction=H","UseDPDF=Y")</f>
        <v>#NAME?</v>
      </c>
      <c r="BX418" s="1" t="e">
        <f ca="1">_xll.BDH($C$403,"CFO_SEQUENTIAL_GROWTH","FY 2017","FY 2017","Currency=INR","Period=FY","BEST_FPERIOD_OVERRIDE=FY","FILING_STATUS=OR","EQY_CONSOLIDATED=Y","Sort=A","Dates=H","DateFormat=P","Fill=—","Direction=H","UseDPDF=Y")</f>
        <v>#NAME?</v>
      </c>
      <c r="BY418" s="2" t="e">
        <f ca="1">_xll.BDH($C$403,"SHORT_AND_LONG_TERM_DEBT","FY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18" s="2" t="e">
        <f ca="1">_xll.BDH($C$403,"BS_ST_BORROW","FY 2017","FY 2017","Currency=INR","Period=FY","BEST_FPERIOD_OVERRIDE=FY","FILING_STATUS=OR","EQY_CONSOLIDATED=Y","SCALING_FORMAT=MLN","Sort=A","Dates=H","DateFormat=P","Fill=—","Direction=H","UseDPDF=Y")</f>
        <v>#NAME?</v>
      </c>
      <c r="CA418" s="2" t="e">
        <f ca="1">_xll.BDH($C$403,"BS_LT_BORROW","FY 2017","FY 2017","Currency=INR","Period=FY","BEST_FPERIOD_OVERRIDE=FY","FILING_STATUS=OR","EQY_CONSOLIDATED=Y","SCALING_FORMAT=MLN","Sort=A","Dates=H","DateFormat=P","Fill=—","Direction=H","UseDPDF=Y")</f>
        <v>#NAME?</v>
      </c>
      <c r="CB418" s="1" t="e">
        <f ca="1">_xll.BDH($C$403,"TOT_DEBT_TO_EBITDA","FY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418" s="1" t="e">
        <f ca="1">_xll.BDH($C$403,"NET_DEBT_TO_EBITDA","FY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418" s="1" t="e">
        <f ca="1">_xll.BDH($C$403,"TOTAL_DEBT_TO_EBIT","FY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418" s="1" t="e">
        <f ca="1">_xll.BDH($C$403,"NET_DEBT_TO_EBIT","FY 2017","FY 2017","Currency=INR","Period=FY","BEST_FPERIOD_OVERRIDE=FY","FILING_STATUS=OR","EQY_CONSOLIDATED=Y","FA_ADJUSTED=GAAP","Sort=A","Dates=H","DateFormat=P","Fill=—","Direction=H","UseDPDF=Y")</f>
        <v>#NAME?</v>
      </c>
      <c r="CF418" s="1" t="e">
        <f ca="1">_xll.BDH($C$403,"EBITDA_TO_INTEREST_EXPN","FY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18" s="1" t="e">
        <f ca="1">_xll.BDH($C$403,"COM_EQY_TO_TOT_ASSET","FY 2017","FY 2017","Currency=INR","Period=FY","BEST_FPERIOD_OVERRIDE=FY","FILING_STATUS=OR","EQY_CONSOLIDATED=Y","Sort=A","Dates=H","DateFormat=P","Fill=—","Direction=H","UseDPDF=Y")</f>
        <v>#NAME?</v>
      </c>
      <c r="CH418" s="1" t="e">
        <f ca="1">_xll.BDH($C$403,"LT_DEBT_TO_TOT_EQY","FY 2017","FY 2017","Currency=INR","Period=FY","BEST_FPERIOD_OVERRIDE=FY","FILING_STATUS=OR","EQY_CONSOLIDATED=Y","Sort=A","Dates=H","DateFormat=P","Fill=—","Direction=H","UseDPDF=Y")</f>
        <v>#NAME?</v>
      </c>
      <c r="CI418" s="1" t="e">
        <f ca="1">_xll.BDH($C$403,"LT_DEBT_TO_TOT_CAP","FY 2017","FY 2017","Currency=INR","Period=FY","BEST_FPERIOD_OVERRIDE=FY","FILING_STATUS=OR","EQY_CONSOLIDATED=Y","Sort=A","Dates=H","DateFormat=P","Fill=—","Direction=H","UseDPDF=Y")</f>
        <v>#NAME?</v>
      </c>
      <c r="CJ418" s="1" t="e">
        <f ca="1">_xll.BDH($C$403,"LT_DEBT_TO_TOT_ASSET","FY 2017","FY 2017","Currency=INR","Period=FY","BEST_FPERIOD_OVERRIDE=FY","FILING_STATUS=OR","EQY_CONSOLIDATED=Y","Sort=A","Dates=H","DateFormat=P","Fill=—","Direction=H","UseDPDF=Y")</f>
        <v>#NAME?</v>
      </c>
      <c r="CK418" s="1" t="e">
        <f ca="1">_xll.BDH($C$403,"TOT_DEBT_TO_TOT_EQY","FY 2017","FY 2017","Currency=INR","Period=FY","BEST_FPERIOD_OVERRIDE=FY","FILING_STATUS=OR","EQY_CONSOLIDATED=Y","Sort=A","Dates=H","DateFormat=P","Fill=—","Direction=H","UseDPDF=Y")</f>
        <v>#NAME?</v>
      </c>
      <c r="CL418" s="1" t="e">
        <f ca="1">_xll.BDH($C$403,"TOT_DEBT_TO_TOT_CAP","FY 2017","FY 2017","Currency=INR","Period=FY","BEST_FPERIOD_OVERRIDE=FY","FILING_STATUS=OR","EQY_CONSOLIDATED=Y","Sort=A","Dates=H","DateFormat=P","Fill=—","Direction=H","UseDPDF=Y")</f>
        <v>#NAME?</v>
      </c>
      <c r="CM418" s="1" t="e">
        <f ca="1">_xll.BDH($C$403,"TOT_DEBT_TO_TOT_ASSET","FY 2017","FY 2017","Currency=INR","Period=FY","BEST_FPERIOD_OVERRIDE=FY","FILING_STATUS=OR","EQY_CONSOLIDATED=Y","Sort=A","Dates=H","DateFormat=P","Fill=—","Direction=H","UseDPDF=Y")</f>
        <v>#NAME?</v>
      </c>
      <c r="CN418" s="1" t="e">
        <f ca="1">_xll.BDH($C$403,"NET_DEBT_TO_SHRHLDR_EQTY","FY 2017","FY 2017","Currency=INR","Period=FY","BEST_FPERIOD_OVERRIDE=FY","FILING_STATUS=OR","EQY_CONSOLIDATED=Y","Sort=A","Dates=H","DateFormat=P","Fill=—","Direction=H","UseDPDF=Y")</f>
        <v>#NAME?</v>
      </c>
      <c r="CO418" s="1" t="e">
        <f ca="1">_xll.BDH($C$403,"NET_DEBT_%_CAPITAL","FY 2017","FY 2017","Currency=INR","Period=FY","BEST_FPERIOD_OVERRIDE=FY","FILING_STATUS=OR","EQY_CONSOLIDATED=Y","Sort=A","Dates=H","DateFormat=P","Fill=—","Direction=H","UseDPDF=Y")</f>
        <v>#NAME?</v>
      </c>
      <c r="CP418" s="2" t="e">
        <f ca="1">_xll.BDH($C$403,"EBITDA","FY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18" s="2" t="e">
        <f ca="1">_xll.BDH($C$403,"EBITDA_AFTER_CAPEX","FY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18" s="2" t="e">
        <f ca="1">_xll.BDH($C$403,"IS_OPER_INC","FY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18" s="1" t="e">
        <f ca="1">_xll.BDH($C$403,"CASH_RATIO","FY 2017","FY 2017","Currency=INR","Period=FY","BEST_FPERIOD_OVERRIDE=FY","FILING_STATUS=OR","EQY_CONSOLIDATED=Y","Sort=A","Dates=H","DateFormat=P","Fill=—","Direction=H","UseDPDF=Y")</f>
        <v>#NAME?</v>
      </c>
      <c r="CT418" s="1" t="e">
        <f ca="1">_xll.BDH($C$403,"CUR_RATIO","FY 2017","FY 2017","Currency=INR","Period=FY","BEST_FPERIOD_OVERRIDE=FY","FILING_STATUS=OR","EQY_CONSOLIDATED=Y","Sort=A","Dates=H","DateFormat=P","Fill=—","Direction=H","UseDPDF=Y")</f>
        <v>#NAME?</v>
      </c>
      <c r="CU418" s="1" t="e">
        <f ca="1">_xll.BDH($C$403,"QUICK_RATIO","FY 2017","FY 2017","Currency=INR","Period=FY","BEST_FPERIOD_OVERRIDE=FY","FILING_STATUS=OR","EQY_CONSOLIDATED=Y","Sort=A","Dates=H","DateFormat=P","Fill=—","Direction=H","UseDPDF=Y")</f>
        <v>#NAME?</v>
      </c>
      <c r="CV418" s="1" t="e">
        <f ca="1">_xll.BDH($C$403,"ALTMAN_Z_SCORE","FY 2017","FY 2017","Currency=INR","Period=FY","BEST_FPERIOD_OVERRIDE=FY","FILING_STATUS=OR","EQY_CONSOLIDATED=Y","Sort=A","Dates=H","DateFormat=P","Fill=—","Direction=H","UseDPDF=Y")</f>
        <v>#NAME?</v>
      </c>
      <c r="CW418" s="3" t="e">
        <f ca="1">_xll.BDH($C$403,"ACCT_RCV_TURN","FY 2017","FY 2017","Currency=INR","Period=FY","BEST_FPERIOD_OVERRIDE=FY","FILING_STATUS=OR","EQY_CONSOLIDATED=Y","FA_ADJUSTED=GAAP","Sort=A","Dates=H","DateFormat=P","Fill=—","Direction=H","UseDPDF=Y")</f>
        <v>#NAME?</v>
      </c>
      <c r="CX418" s="1" t="e">
        <f ca="1">_xll.BDH($C$403,"ACCT_RCV_DAYS","FY 2017","FY 2017","Currency=INR","Period=FY","BEST_FPERIOD_OVERRIDE=FY","FILING_STATUS=OR","EQY_CONSOLIDATED=Y","FA_ADJUSTED=GAAP","Sort=A","Dates=H","DateFormat=P","Fill=—","Direction=H","UseDPDF=Y")</f>
        <v>#NAME?</v>
      </c>
      <c r="CY418" s="3" t="e">
        <f ca="1">_xll.BDH($C$403,"INVENT_TURN","FY 2017","FY 2017","Currency=INR","Period=FY","BEST_FPERIOD_OVERRIDE=FY","FILING_STATUS=OR","EQY_CONSOLIDATED=Y","FA_ADJUSTED=GAAP","Sort=A","Dates=H","DateFormat=P","Fill=—","Direction=H","UseDPDF=Y")</f>
        <v>#NAME?</v>
      </c>
      <c r="CZ418" s="1" t="e">
        <f ca="1">_xll.BDH($C$403,"INVENT_DAYS","FY 2017","FY 2017","Currency=INR","Period=FY","BEST_FPERIOD_OVERRIDE=FY","FILING_STATUS=OR","EQY_CONSOLIDATED=Y","FA_ADJUSTED=GAAP","Sort=A","Dates=H","DateFormat=P","Fill=—","Direction=H","UseDPDF=Y")</f>
        <v>#NAME?</v>
      </c>
      <c r="DA418" s="3" t="e">
        <f ca="1">_xll.BDH($C$403,"ACCOUNTS_PAYABLE_TURNOVER","FY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18" s="1" t="e">
        <f ca="1">_xll.BDH($C$403,"ACCOUNTS_PAYABLE_TURNOVER_DAYS","FY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18" s="3" t="e">
        <f ca="1">_xll.BDH($C$403,"CASH_CONVERSION_CYCLE","FY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18" s="3" t="e">
        <f ca="1">_xll.BDH($C$403,"INV_TO_CASH_DAYS","FY 2017","FY 2017","Currency=INR","Period=FY","BEST_FPERIOD_OVERRIDE=FY","FILING_STATUS=OR","EQY_CONSOLIDATED=Y","FA_ADJUSTED=GAAP","Sort=A","Dates=H","DateFormat=P","Fill=—","Direction=H","UseDPDF=Y")</f>
        <v>#NAME?</v>
      </c>
      <c r="DE418" s="4" t="e">
        <f ca="1">_xll.BDH($C$403,"BS_INVENTORIES","FY 2017","FY 2017","Currency=INR","Period=FY","BEST_FPERIOD_OVERRIDE=FY","FILING_STATUS=OR","EQY_CONSOLIDATED=Y","SCALING_FORMAT=MLN","Sort=A","Dates=H","DateFormat=P","Fill=—","Direction=H","UseDPDF=Y")</f>
        <v>#NAME?</v>
      </c>
      <c r="DF418" s="2" t="e">
        <f ca="1">_xll.BDH($C$403,"INVTRY_RAW_MATERIALS","FY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18" s="2" t="e">
        <f ca="1">_xll.BDH($C$403,"INVTRY_IN_PROGRESS","FY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18" s="2" t="e">
        <f ca="1">_xll.BDH($C$403,"INVTRY_FINISHED_GOODS","FY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18" s="2" t="e">
        <f ca="1">_xll.BDH($C$403,"BS_OTHER_INV","FY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19" spans="1:113" x14ac:dyDescent="0.3">
      <c r="A419" s="6"/>
      <c r="B419" s="6"/>
      <c r="C419" s="6"/>
      <c r="D419" s="6"/>
      <c r="E419" t="s">
        <v>4</v>
      </c>
      <c r="F419" t="e">
        <f ca="1">_xll.BDH($C$403,"RETURN_COM_EQY","FQ1 2017","FQ1 2017","Currency=INR","Period=FQ","BEST_FPERIOD_OVERRIDE=FQ","FILING_STATUS=OR","EQY_CONSOLIDATED=Y","FA_ADJUSTED=GAAP","Sort=A","Dates=H","DateFormat=P","Fill=—","Direction=H","UseDPDF=Y")</f>
        <v>#NAME?</v>
      </c>
      <c r="G419" t="e">
        <f ca="1">_xll.BDH($C$403,"RETURN_ON_ASSET","FQ1 2017","FQ1 2017","Currency=INR","Period=FQ","BEST_FPERIOD_OVERRIDE=FQ","FILING_STATUS=OR","EQY_CONSOLIDATED=Y","FA_ADJUSTED=GAAP","Sort=A","Dates=H","DateFormat=P","Fill=—","Direction=H","UseDPDF=Y")</f>
        <v>#NAME?</v>
      </c>
      <c r="H419" t="e">
        <f ca="1">_xll.BDH($C$403,"RETURN_ON_CAP","FQ1 2017","FQ1 2017","Currency=INR","Period=FQ","BEST_FPERIOD_OVERRIDE=FQ","FILING_STATUS=OR","EQY_CONSOLIDATED=Y","FA_ADJUSTED=GAAP","Sort=A","Dates=H","DateFormat=P","Fill=—","Direction=H","UseDPDF=Y")</f>
        <v>#NAME?</v>
      </c>
      <c r="I419" t="e">
        <f ca="1">_xll.BDH($C$403,"RETURN_ON_INV_CAPITAL","FQ1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19" t="e">
        <f ca="1">_xll.BDH($C$403,"EBITDA_TO_REVENUE","FQ1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419" t="e">
        <f ca="1">_xll.BDH($C$403,"OPER_MARGIN","FQ1 2017","FQ1 2017","Currency=INR","Period=FQ","BEST_FPERIOD_OVERRIDE=FQ","FILING_STATUS=OR","EQY_CONSOLIDATED=Y","FA_ADJUSTED=GAAP","Sort=A","Dates=H","DateFormat=P","Fill=—","Direction=H","UseDPDF=Y")</f>
        <v>#NAME?</v>
      </c>
      <c r="L419" t="e">
        <f ca="1">_xll.BDH($C$403,"INCREMENTAL_OPERATING_MARGIN","FQ1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19" t="e">
        <f ca="1">_xll.BDH($C$403,"PRETAX_INC_TO_NET_SALES","FQ1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19" t="e">
        <f ca="1">_xll.BDH($C$403,"INC_BEF_XO_ITEMS_TO_NET_SALES","FQ1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19" t="e">
        <f ca="1">_xll.BDH($C$403,"PROF_MARGIN","FQ1 2017","FQ1 2017","Currency=INR","Period=FQ","BEST_FPERIOD_OVERRIDE=FQ","FILING_STATUS=OR","EQY_CONSOLIDATED=Y","FA_ADJUSTED=GAAP","Sort=A","Dates=H","DateFormat=P","Fill=—","Direction=H","UseDPDF=Y")</f>
        <v>#NAME?</v>
      </c>
      <c r="P419" t="e">
        <f ca="1">_xll.BDH($C$403,"NET_INCOME_TO_COMMON_MARGIN","FQ1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19" t="e">
        <f ca="1">_xll.BDH($C$403,"EFF_TAX_RATE","FQ1 2017","FQ1 2017","Currency=INR","Period=FQ","BEST_FPERIOD_OVERRIDE=FQ","FILING_STATUS=OR","EQY_CONSOLIDATED=Y","FA_ADJUSTED=GAAP","Sort=A","Dates=H","DateFormat=P","Fill=—","Direction=H","UseDPDF=Y")</f>
        <v>#NAME?</v>
      </c>
      <c r="R419" t="e">
        <f ca="1">_xll.BDH($C$403,"DVD_PAYOUT_RATIO","FQ1 2017","FQ1 2017","Currency=INR","Period=FQ","BEST_FPERIOD_OVERRIDE=FQ","FILING_STATUS=OR","EQY_CONSOLIDATED=Y","FA_ADJUSTED=GAAP","Sort=A","Dates=H","DateFormat=P","Fill=—","Direction=H","UseDPDF=Y")</f>
        <v>#NAME?</v>
      </c>
      <c r="S419" t="e">
        <f ca="1">_xll.BDH($C$403,"SUSTAIN_GROWTH_RT","FQ1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419" s="1" t="e">
        <f ca="1">_xll.BDH($C$403,"SALES_GROWTH","FQ1 2017","FQ1 2017","Currency=INR","Period=FQ","BEST_FPERIOD_OVERRIDE=FQ","FILING_STATUS=OR","EQY_CONSOLIDATED=Y","FA_ADJUSTED=GAAP","Sort=A","Dates=H","DateFormat=P","Fill=—","Direction=H","UseDPDF=Y")</f>
        <v>#NAME?</v>
      </c>
      <c r="U419" s="1" t="e">
        <f ca="1">_xll.BDH($C$403,"EBITDA_GROWTH","FQ1 2017","FQ1 2017","Currency=INR","Period=FQ","BEST_FPERIOD_OVERRIDE=FQ","FILING_STATUS=OR","EQY_CONSOLIDATED=Y","FA_ADJUSTED=GAAP","Sort=A","Dates=H","DateFormat=P","Fill=—","Direction=H","UseDPDF=Y")</f>
        <v>#NAME?</v>
      </c>
      <c r="V419" s="1" t="e">
        <f ca="1">_xll.BDH($C$403,"OPER_INC_GROWTH","FQ1 2017","FQ1 2017","Currency=INR","Period=FQ","BEST_FPERIOD_OVERRIDE=FQ","FILING_STATUS=OR","EQY_CONSOLIDATED=Y","FA_ADJUSTED=GAAP","Sort=A","Dates=H","DateFormat=P","Fill=—","Direction=H","UseDPDF=Y")</f>
        <v>#NAME?</v>
      </c>
      <c r="W419" s="1" t="e">
        <f ca="1">_xll.BDH($C$403,"EARN_FOR_COM_GROWTH","FQ1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19" s="1" t="e">
        <f ca="1">_xll.BDH($C$403,"DILUTED_EPS_AFT_XO_ITEMS_GROWTH","FQ1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19" s="1" t="e">
        <f ca="1">_xll.BDH($C$403,"DIVIDEND_PER_SHARE_1_YEAR_GROWTH","FQ1 2017","FQ1 2017","Currency=INR","Period=FQ","BEST_FPERIOD_OVERRIDE=FQ","FILING_STATUS=OR","EQY_CONSOLIDATED=Y","Sort=A","Dates=H","DateFormat=P","Fill=—","Direction=H","UseDPDF=Y")</f>
        <v>#NAME?</v>
      </c>
      <c r="Z419" s="1" t="e">
        <f ca="1">_xll.BDH($C$403,"ACCOUNTS_RECEIVABLE_GROWTH","FQ1 2017","FQ1 2017","Currency=INR","Period=FQ","BEST_FPERIOD_OVERRIDE=FQ","FILING_STATUS=OR","EQY_CONSOLIDATED=Y","Sort=A","Dates=H","DateFormat=P","Fill=—","Direction=H","UseDPDF=Y")</f>
        <v>#NAME?</v>
      </c>
      <c r="AA419" s="1" t="e">
        <f ca="1">_xll.BDH($C$403,"INVENTORY_GROWTH","FQ1 2017","FQ1 2017","Currency=INR","Period=FQ","BEST_FPERIOD_OVERRIDE=FQ","FILING_STATUS=OR","EQY_CONSOLIDATED=Y","Sort=A","Dates=H","DateFormat=P","Fill=—","Direction=H","UseDPDF=Y")</f>
        <v>#NAME?</v>
      </c>
      <c r="AB419" s="1" t="e">
        <f ca="1">_xll.BDH($C$403,"NET_FIXED_ASSETS_1_YEAR_GROWTH","FQ1 2017","FQ1 2017","Currency=INR","Period=FQ","BEST_FPERIOD_OVERRIDE=FQ","FILING_STATUS=OR","EQY_CONSOLIDATED=Y","Sort=A","Dates=H","DateFormat=P","Fill=—","Direction=H","UseDPDF=Y")</f>
        <v>#NAME?</v>
      </c>
      <c r="AC419" s="1" t="e">
        <f ca="1">_xll.BDH($C$403,"ASSET_GROWTH","FQ1 2017","FQ1 2017","Currency=INR","Period=FQ","BEST_FPERIOD_OVERRIDE=FQ","FILING_STATUS=OR","EQY_CONSOLIDATED=Y","Sort=A","Dates=H","DateFormat=P","Fill=—","Direction=H","UseDPDF=Y")</f>
        <v>#NAME?</v>
      </c>
      <c r="AD419" s="1" t="e">
        <f ca="1">_xll.BDH($C$403,"MODIFIED_WORK_CAP_GROWTH","FQ1 2017","FQ1 2017","Currency=INR","Period=FQ","BEST_FPERIOD_OVERRIDE=FQ","FILING_STATUS=OR","EQY_CONSOLIDATED=Y","Sort=A","Dates=H","DateFormat=P","Fill=—","Direction=H","UseDPDF=Y")</f>
        <v>#NAME?</v>
      </c>
      <c r="AE419" s="1" t="e">
        <f ca="1">_xll.BDH($C$403,"WORK_CAP_GROWTH","FQ1 2017","FQ1 2017","Currency=INR","Period=FQ","BEST_FPERIOD_OVERRIDE=FQ","FILING_STATUS=OR","EQY_CONSOLIDATED=Y","Sort=A","Dates=H","DateFormat=P","Fill=—","Direction=H","UseDPDF=Y")</f>
        <v>#NAME?</v>
      </c>
      <c r="AF419" s="1" t="e">
        <f ca="1">_xll.BDH($C$403,"ACCOUNTS_PAYABLE_GROWTH_1YR","FQ1 2017","FQ1 2017","Currency=INR","Period=FQ","BEST_FPERIOD_OVERRIDE=FQ","FILING_STATUS=OR","EQY_CONSOLIDATED=Y","Sort=A","Dates=H","DateFormat=P","Fill=—","Direction=H","UseDPDF=Y")</f>
        <v>#NAME?</v>
      </c>
      <c r="AG419" s="1" t="e">
        <f ca="1">_xll.BDH($C$403,"SHORT_TERM_DEBT_1_YEAR_GROWTH","FQ1 2017","FQ1 2017","Currency=INR","Period=FQ","BEST_FPERIOD_OVERRIDE=FQ","FILING_STATUS=OR","EQY_CONSOLIDATED=Y","Sort=A","Dates=H","DateFormat=P","Fill=—","Direction=H","UseDPDF=Y")</f>
        <v>#NAME?</v>
      </c>
      <c r="AH419" s="1" t="e">
        <f ca="1">_xll.BDH($C$403,"TOTAL_DEBT_1_YEAR_GROWTH","FQ1 2017","FQ1 2017","Currency=INR","Period=FQ","BEST_FPERIOD_OVERRIDE=FQ","FILING_STATUS=OR","EQY_CONSOLIDATED=Y","Sort=A","Dates=H","DateFormat=P","Fill=—","Direction=H","UseDPDF=Y")</f>
        <v>#NAME?</v>
      </c>
      <c r="AI419" s="1" t="e">
        <f ca="1">_xll.BDH($C$403,"TOTAL_EQUITY_1_YEAR_GROWTH","FQ1 2017","FQ1 2017","Currency=INR","Period=FQ","BEST_FPERIOD_OVERRIDE=FQ","FILING_STATUS=OR","EQY_CONSOLIDATED=Y","Sort=A","Dates=H","DateFormat=P","Fill=—","Direction=H","UseDPDF=Y")</f>
        <v>#NAME?</v>
      </c>
      <c r="AJ419" s="1" t="e">
        <f ca="1">_xll.BDH($C$403,"GROWTH_IN_CAP","FQ1 2017","FQ1 2017","Currency=INR","Period=FQ","BEST_FPERIOD_OVERRIDE=FQ","FILING_STATUS=OR","EQY_CONSOLIDATED=Y","Sort=A","Dates=H","DateFormat=P","Fill=—","Direction=H","UseDPDF=Y")</f>
        <v>#NAME?</v>
      </c>
      <c r="AK419" s="1" t="e">
        <f ca="1">_xll.BDH($C$403,"BVPS_GROWTH","FQ1 2017","FQ1 2017","Currency=INR","Period=FQ","BEST_FPERIOD_OVERRIDE=FQ","FILING_STATUS=OR","EQY_CONSOLIDATED=Y","Sort=A","Dates=H","DateFormat=P","Fill=—","Direction=H","UseDPDF=Y")</f>
        <v>#NAME?</v>
      </c>
      <c r="AL419" s="1" t="e">
        <f ca="1">_xll.BDH($C$403,"CASH_FLOW_GROWTH","FQ1 2017","FQ1 2017","Currency=INR","Period=FQ","BEST_FPERIOD_OVERRIDE=FQ","FILING_STATUS=OR","EQY_CONSOLIDATED=Y","Sort=A","Dates=H","DateFormat=P","Fill=—","Direction=H","UseDPDF=Y")</f>
        <v>#NAME?</v>
      </c>
      <c r="AM419" s="1" t="e">
        <f ca="1">_xll.BDH($C$403,"GEO_GROW_NET_SALES","FQ1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19" s="1" t="e">
        <f ca="1">_xll.BDH($C$403,"GEO_GROW_EBITDA","FQ1 2017","FQ1 2017","Currency=INR","Period=FQ","BEST_FPERIOD_OVERRIDE=FQ","FILING_STATUS=OR","EQY_CONSOLIDATED=Y","FA_ADJUSTED=GAAP","Sort=A","Dates=H","DateFormat=P","Fill=—","Direction=H","UseDPDF=Y")</f>
        <v>#NAME?</v>
      </c>
      <c r="AO419" s="1" t="e">
        <f ca="1">_xll.BDH($C$403,"GEO_GROW_OPER_INC","FQ1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19" s="1" t="e">
        <f ca="1">_xll.BDH($C$403,"NET_INCOME_TO_COMMON_5_YR_GROWTH","FQ1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19" s="1" t="e">
        <f ca="1">_xll.BDH($C$403,"5Y_GEO_GROWTH_DILUTED_EPS","FQ1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19" s="1" t="e">
        <f ca="1">_xll.BDH($C$403,"GEO_GROW_DVD_PER_SH","FQ1 2017","FQ1 2017","Currency=INR","Period=FQ","BEST_FPERIOD_OVERRIDE=FQ","FILING_STATUS=OR","EQY_CONSOLIDATED=Y","Sort=A","Dates=H","DateFormat=P","Fill=—","Direction=H","UseDPDF=Y")</f>
        <v>#NAME?</v>
      </c>
      <c r="AS419" s="1" t="e">
        <f ca="1">_xll.BDH($C$403,"ACCOUNTS_RECEIVABLE_5_YR_GROWTH","FQ1 2017","FQ1 2017","Currency=INR","Period=FQ","BEST_FPERIOD_OVERRIDE=FQ","FILING_STATUS=OR","EQY_CONSOLIDATED=Y","Sort=A","Dates=H","DateFormat=P","Fill=—","Direction=H","UseDPDF=Y")</f>
        <v>#NAME?</v>
      </c>
      <c r="AT419" s="1" t="e">
        <f ca="1">_xll.BDH($C$403,"INVENTORY_5_YEAR_GROWTH","FQ1 2017","FQ1 2017","Currency=INR","Period=FQ","BEST_FPERIOD_OVERRIDE=FQ","FILING_STATUS=OR","EQY_CONSOLIDATED=Y","Sort=A","Dates=H","DateFormat=P","Fill=—","Direction=H","UseDPDF=Y")</f>
        <v>#NAME?</v>
      </c>
      <c r="AU419" s="1" t="e">
        <f ca="1">_xll.BDH($C$403,"NET_FIXED_ASSETS_5_YEAR_GROWTH","FQ1 2017","FQ1 2017","Currency=INR","Period=FQ","BEST_FPERIOD_OVERRIDE=FQ","FILING_STATUS=OR","EQY_CONSOLIDATED=Y","Sort=A","Dates=H","DateFormat=P","Fill=—","Direction=H","UseDPDF=Y")</f>
        <v>#NAME?</v>
      </c>
      <c r="AV419" s="1" t="e">
        <f ca="1">_xll.BDH($C$403,"GEO_GROW_TOT_ASSET","FQ1 2017","FQ1 2017","Currency=INR","Period=FQ","BEST_FPERIOD_OVERRIDE=FQ","FILING_STATUS=OR","EQY_CONSOLIDATED=Y","Sort=A","Dates=H","DateFormat=P","Fill=—","Direction=H","UseDPDF=Y")</f>
        <v>#NAME?</v>
      </c>
      <c r="AW419" s="1" t="e">
        <f ca="1">_xll.BDH($C$403,"MODIFIED_WORKING_CPTL_5YR_GRWTH","FQ1 2017","FQ1 2017","Currency=INR","Period=FQ","BEST_FPERIOD_OVERRIDE=FQ","FILING_STATUS=OR","EQY_CONSOLIDATED=Y","Sort=A","Dates=H","DateFormat=P","Fill=—","Direction=H","UseDPDF=Y")</f>
        <v>#NAME?</v>
      </c>
      <c r="AX419" s="1" t="e">
        <f ca="1">_xll.BDH($C$403,"WORKING_CAPITAL_5_YEAR_GROWTH","FQ1 2017","FQ1 2017","Currency=INR","Period=FQ","BEST_FPERIOD_OVERRIDE=FQ","FILING_STATUS=OR","EQY_CONSOLIDATED=Y","Sort=A","Dates=H","DateFormat=P","Fill=—","Direction=H","UseDPDF=Y")</f>
        <v>#NAME?</v>
      </c>
      <c r="AY419" s="1" t="e">
        <f ca="1">_xll.BDH($C$403,"ACCOUNTS_PAYABLE_5_YEAR_GROWTH","FQ1 2017","FQ1 2017","Currency=INR","Period=FQ","BEST_FPERIOD_OVERRIDE=FQ","FILING_STATUS=OR","EQY_CONSOLIDATED=Y","Sort=A","Dates=H","DateFormat=P","Fill=—","Direction=H","UseDPDF=Y")</f>
        <v>#NAME?</v>
      </c>
      <c r="AZ419" s="1" t="e">
        <f ca="1">_xll.BDH($C$403,"SHORT_TERM_DEBT_5_YEAR_GROWTH","FQ1 2017","FQ1 2017","Currency=INR","Period=FQ","BEST_FPERIOD_OVERRIDE=FQ","FILING_STATUS=OR","EQY_CONSOLIDATED=Y","Sort=A","Dates=H","DateFormat=P","Fill=—","Direction=H","UseDPDF=Y")</f>
        <v>#NAME?</v>
      </c>
      <c r="BA419" s="1" t="e">
        <f ca="1">_xll.BDH($C$403,"TOTAL_DEBT_5_YEAR_GROWTH","FQ1 2017","FQ1 2017","Currency=INR","Period=FQ","BEST_FPERIOD_OVERRIDE=FQ","FILING_STATUS=OR","EQY_CONSOLIDATED=Y","Sort=A","Dates=H","DateFormat=P","Fill=—","Direction=H","UseDPDF=Y")</f>
        <v>#NAME?</v>
      </c>
      <c r="BB419" s="1" t="e">
        <f ca="1">_xll.BDH($C$403,"GEO_GROW_TOT_SHRHLDR_EQY","FQ1 2017","FQ1 2017","Currency=INR","Period=FQ","BEST_FPERIOD_OVERRIDE=FQ","FILING_STATUS=OR","EQY_CONSOLIDATED=Y","Sort=A","Dates=H","DateFormat=P","Fill=—","Direction=H","UseDPDF=Y")</f>
        <v>#NAME?</v>
      </c>
      <c r="BC419" s="1" t="e">
        <f ca="1">_xll.BDH($C$403,"TOTAL_CAPITAL_5_YEAR_GROWTH","FQ1 2017","FQ1 2017","Currency=INR","Period=FQ","BEST_FPERIOD_OVERRIDE=FQ","FILING_STATUS=OR","EQY_CONSOLIDATED=Y","Sort=A","Dates=H","DateFormat=P","Fill=—","Direction=H","UseDPDF=Y")</f>
        <v>#NAME?</v>
      </c>
      <c r="BD419" s="1" t="e">
        <f ca="1">_xll.BDH($C$403,"GEO_GROW_BOOK_VAL","FQ1 2017","FQ1 2017","Currency=INR","Period=FQ","BEST_FPERIOD_OVERRIDE=FQ","FILING_STATUS=OR","EQY_CONSOLIDATED=Y","Sort=A","Dates=H","DateFormat=P","Fill=—","Direction=H","UseDPDF=Y")</f>
        <v>#NAME?</v>
      </c>
      <c r="BE419" s="1" t="e">
        <f ca="1">_xll.BDH($C$403,"GEO_GROW_CASH_OPER_ACT","FQ1 2017","FQ1 2017","Currency=INR","Period=FQ","BEST_FPERIOD_OVERRIDE=FQ","FILING_STATUS=OR","EQY_CONSOLIDATED=Y","Sort=A","Dates=H","DateFormat=P","Fill=—","Direction=H","UseDPDF=Y")</f>
        <v>#NAME?</v>
      </c>
      <c r="BF419" s="1" t="e">
        <f ca="1">_xll.BDH($C$403,"REVENUE_SEQUENTIAL_GROWTH","FQ1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19" s="1" t="e">
        <f ca="1">_xll.BDH($C$403,"EBITDA_SEQUENTIAL_GROWTH","FQ1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19" s="1" t="e">
        <f ca="1">_xll.BDH($C$403,"OPERATING_INCOME_SEQ_GROWTH","FQ1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19" s="1" t="e">
        <f ca="1">_xll.BDH($C$403,"NET_INCOME_TO_COMMON_SEQ_GROWTH","FQ1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19" s="1" t="e">
        <f ca="1">_xll.BDH($C$403,"EPS_DILUTED_SEQUENTIAL_GROWTH","FQ1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19" s="1" t="e">
        <f ca="1">_xll.BDH($C$403,"DPS_SEQUENTIAL_GROWTH","FQ1 2017","FQ1 2017","Currency=INR","Period=FQ","BEST_FPERIOD_OVERRIDE=FQ","FILING_STATUS=OR","EQY_CONSOLIDATED=Y","Sort=A","Dates=H","DateFormat=P","Fill=—","Direction=H","UseDPDF=Y")</f>
        <v>#NAME?</v>
      </c>
      <c r="BL419" s="1" t="e">
        <f ca="1">_xll.BDH($C$403,"ACCOUNTS_RECEIVABLE_SEQ_GROWTH","FQ1 2017","FQ1 2017","Currency=INR","Period=FQ","BEST_FPERIOD_OVERRIDE=FQ","FILING_STATUS=OR","EQY_CONSOLIDATED=Y","Sort=A","Dates=H","DateFormat=P","Fill=—","Direction=H","UseDPDF=Y")</f>
        <v>#NAME?</v>
      </c>
      <c r="BM419" s="1" t="e">
        <f ca="1">_xll.BDH($C$403,"INVENTORY_SEQUENTIAL_GROWTH","FQ1 2017","FQ1 2017","Currency=INR","Period=FQ","BEST_FPERIOD_OVERRIDE=FQ","FILING_STATUS=OR","EQY_CONSOLIDATED=Y","Sort=A","Dates=H","DateFormat=P","Fill=—","Direction=H","UseDPDF=Y")</f>
        <v>#NAME?</v>
      </c>
      <c r="BN419" s="1" t="e">
        <f ca="1">_xll.BDH($C$403,"FIXED_ASSETS_SEQUENTIAL_GROWTH","FQ1 2017","FQ1 2017","Currency=INR","Period=FQ","BEST_FPERIOD_OVERRIDE=FQ","FILING_STATUS=OR","EQY_CONSOLIDATED=Y","Sort=A","Dates=H","DateFormat=P","Fill=—","Direction=H","UseDPDF=Y")</f>
        <v>#NAME?</v>
      </c>
      <c r="BO419" s="1" t="e">
        <f ca="1">_xll.BDH($C$403,"TOTAL_ASSETS_SEQUENTIAL_GROWTH","FQ1 2017","FQ1 2017","Currency=INR","Period=FQ","BEST_FPERIOD_OVERRIDE=FQ","FILING_STATUS=OR","EQY_CONSOLIDATED=Y","Sort=A","Dates=H","DateFormat=P","Fill=—","Direction=H","UseDPDF=Y")</f>
        <v>#NAME?</v>
      </c>
      <c r="BP419" s="1" t="e">
        <f ca="1">_xll.BDH($C$403,"MODIFIED_WORKING_CPTL_SEQ_GRWTH","FQ1 2017","FQ1 2017","Currency=INR","Period=FQ","BEST_FPERIOD_OVERRIDE=FQ","FILING_STATUS=OR","EQY_CONSOLIDATED=Y","Sort=A","Dates=H","DateFormat=P","Fill=—","Direction=H","UseDPDF=Y")</f>
        <v>#NAME?</v>
      </c>
      <c r="BQ419" s="1" t="e">
        <f ca="1">_xll.BDH($C$403,"WORKING_CAPITAL_SEQ_GROWTH","FQ1 2017","FQ1 2017","Currency=INR","Period=FQ","BEST_FPERIOD_OVERRIDE=FQ","FILING_STATUS=OR","EQY_CONSOLIDATED=Y","Sort=A","Dates=H","DateFormat=P","Fill=—","Direction=H","UseDPDF=Y")</f>
        <v>#NAME?</v>
      </c>
      <c r="BR419" s="1" t="e">
        <f ca="1">_xll.BDH($C$403,"ACCOUNTS_PAYABLE_SEQ_GROWTH","FQ1 2017","FQ1 2017","Currency=INR","Period=FQ","BEST_FPERIOD_OVERRIDE=FQ","FILING_STATUS=OR","EQY_CONSOLIDATED=Y","Sort=A","Dates=H","DateFormat=P","Fill=—","Direction=H","UseDPDF=Y")</f>
        <v>#NAME?</v>
      </c>
      <c r="BS419" s="1" t="e">
        <f ca="1">_xll.BDH($C$403,"ST_DEBT_SEQUENTIAL_GROWTH","FQ1 2017","FQ1 2017","Currency=INR","Period=FQ","BEST_FPERIOD_OVERRIDE=FQ","FILING_STATUS=OR","EQY_CONSOLIDATED=Y","Sort=A","Dates=H","DateFormat=P","Fill=—","Direction=H","UseDPDF=Y")</f>
        <v>#NAME?</v>
      </c>
      <c r="BT419" s="1" t="e">
        <f ca="1">_xll.BDH($C$403,"TOTAL_DEBT_SEQUENTIAL_GROWTH","FQ1 2017","FQ1 2017","Currency=INR","Period=FQ","BEST_FPERIOD_OVERRIDE=FQ","FILING_STATUS=OR","EQY_CONSOLIDATED=Y","Sort=A","Dates=H","DateFormat=P","Fill=—","Direction=H","UseDPDF=Y")</f>
        <v>#NAME?</v>
      </c>
      <c r="BU419" s="1" t="e">
        <f ca="1">_xll.BDH($C$403,"TOTAL_EQUITY_SEQUENTIAL_GROWTH","FQ1 2017","FQ1 2017","Currency=INR","Period=FQ","BEST_FPERIOD_OVERRIDE=FQ","FILING_STATUS=OR","EQY_CONSOLIDATED=Y","Sort=A","Dates=H","DateFormat=P","Fill=—","Direction=H","UseDPDF=Y")</f>
        <v>#NAME?</v>
      </c>
      <c r="BV419" s="1" t="e">
        <f ca="1">_xll.BDH($C$403,"TOTAL_CAPITAL_SEQUENTIAL_GROWTH","FQ1 2017","FQ1 2017","Currency=INR","Period=FQ","BEST_FPERIOD_OVERRIDE=FQ","FILING_STATUS=OR","EQY_CONSOLIDATED=Y","Sort=A","Dates=H","DateFormat=P","Fill=—","Direction=H","UseDPDF=Y")</f>
        <v>#NAME?</v>
      </c>
      <c r="BW419" s="1" t="e">
        <f ca="1">_xll.BDH($C$403,"BPS_SEQUENTIAL_GROWTH","FQ1 2017","FQ1 2017","Currency=INR","Period=FQ","BEST_FPERIOD_OVERRIDE=FQ","FILING_STATUS=OR","EQY_CONSOLIDATED=Y","Sort=A","Dates=H","DateFormat=P","Fill=—","Direction=H","UseDPDF=Y")</f>
        <v>#NAME?</v>
      </c>
      <c r="BX419" s="1" t="e">
        <f ca="1">_xll.BDH($C$403,"CFO_SEQUENTIAL_GROWTH","FQ1 2017","FQ1 2017","Currency=INR","Period=FQ","BEST_FPERIOD_OVERRIDE=FQ","FILING_STATUS=OR","EQY_CONSOLIDATED=Y","Sort=A","Dates=H","DateFormat=P","Fill=—","Direction=H","UseDPDF=Y")</f>
        <v>#NAME?</v>
      </c>
      <c r="BY419" s="2" t="e">
        <f ca="1">_xll.BDH($C$403,"SHORT_AND_LONG_TERM_DEBT","FQ1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19" s="2" t="e">
        <f ca="1">_xll.BDH($C$403,"BS_ST_BORROW","FQ1 2017","FQ1 2017","Currency=INR","Period=FQ","BEST_FPERIOD_OVERRIDE=FQ","FILING_STATUS=OR","EQY_CONSOLIDATED=Y","SCALING_FORMAT=MLN","Sort=A","Dates=H","DateFormat=P","Fill=—","Direction=H","UseDPDF=Y")</f>
        <v>#NAME?</v>
      </c>
      <c r="CA419" s="2" t="e">
        <f ca="1">_xll.BDH($C$403,"BS_LT_BORROW","FQ1 2017","FQ1 2017","Currency=INR","Period=FQ","BEST_FPERIOD_OVERRIDE=FQ","FILING_STATUS=OR","EQY_CONSOLIDATED=Y","SCALING_FORMAT=MLN","Sort=A","Dates=H","DateFormat=P","Fill=—","Direction=H","UseDPDF=Y")</f>
        <v>#NAME?</v>
      </c>
      <c r="CB419" s="1" t="e">
        <f ca="1">_xll.BDH($C$403,"TOT_DEBT_TO_EBITDA","FQ1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19" s="1" t="e">
        <f ca="1">_xll.BDH($C$403,"NET_DEBT_TO_EBITDA","FQ1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19" s="1" t="e">
        <f ca="1">_xll.BDH($C$403,"TOTAL_DEBT_TO_EBIT","FQ1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19" s="1" t="e">
        <f ca="1">_xll.BDH($C$403,"NET_DEBT_TO_EBIT","FQ1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419" s="1" t="e">
        <f ca="1">_xll.BDH($C$403,"EBITDA_TO_INTEREST_EXPN","FQ1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19" s="1" t="e">
        <f ca="1">_xll.BDH($C$403,"COM_EQY_TO_TOT_ASSET","FQ1 2017","FQ1 2017","Currency=INR","Period=FQ","BEST_FPERIOD_OVERRIDE=FQ","FILING_STATUS=OR","EQY_CONSOLIDATED=Y","Sort=A","Dates=H","DateFormat=P","Fill=—","Direction=H","UseDPDF=Y")</f>
        <v>#NAME?</v>
      </c>
      <c r="CH419" s="1" t="e">
        <f ca="1">_xll.BDH($C$403,"LT_DEBT_TO_TOT_EQY","FQ1 2017","FQ1 2017","Currency=INR","Period=FQ","BEST_FPERIOD_OVERRIDE=FQ","FILING_STATUS=OR","EQY_CONSOLIDATED=Y","Sort=A","Dates=H","DateFormat=P","Fill=—","Direction=H","UseDPDF=Y")</f>
        <v>#NAME?</v>
      </c>
      <c r="CI419" s="1" t="e">
        <f ca="1">_xll.BDH($C$403,"LT_DEBT_TO_TOT_CAP","FQ1 2017","FQ1 2017","Currency=INR","Period=FQ","BEST_FPERIOD_OVERRIDE=FQ","FILING_STATUS=OR","EQY_CONSOLIDATED=Y","Sort=A","Dates=H","DateFormat=P","Fill=—","Direction=H","UseDPDF=Y")</f>
        <v>#NAME?</v>
      </c>
      <c r="CJ419" s="1" t="e">
        <f ca="1">_xll.BDH($C$403,"LT_DEBT_TO_TOT_ASSET","FQ1 2017","FQ1 2017","Currency=INR","Period=FQ","BEST_FPERIOD_OVERRIDE=FQ","FILING_STATUS=OR","EQY_CONSOLIDATED=Y","Sort=A","Dates=H","DateFormat=P","Fill=—","Direction=H","UseDPDF=Y")</f>
        <v>#NAME?</v>
      </c>
      <c r="CK419" s="1" t="e">
        <f ca="1">_xll.BDH($C$403,"TOT_DEBT_TO_TOT_EQY","FQ1 2017","FQ1 2017","Currency=INR","Period=FQ","BEST_FPERIOD_OVERRIDE=FQ","FILING_STATUS=OR","EQY_CONSOLIDATED=Y","Sort=A","Dates=H","DateFormat=P","Fill=—","Direction=H","UseDPDF=Y")</f>
        <v>#NAME?</v>
      </c>
      <c r="CL419" s="1" t="e">
        <f ca="1">_xll.BDH($C$403,"TOT_DEBT_TO_TOT_CAP","FQ1 2017","FQ1 2017","Currency=INR","Period=FQ","BEST_FPERIOD_OVERRIDE=FQ","FILING_STATUS=OR","EQY_CONSOLIDATED=Y","Sort=A","Dates=H","DateFormat=P","Fill=—","Direction=H","UseDPDF=Y")</f>
        <v>#NAME?</v>
      </c>
      <c r="CM419" s="1" t="e">
        <f ca="1">_xll.BDH($C$403,"TOT_DEBT_TO_TOT_ASSET","FQ1 2017","FQ1 2017","Currency=INR","Period=FQ","BEST_FPERIOD_OVERRIDE=FQ","FILING_STATUS=OR","EQY_CONSOLIDATED=Y","Sort=A","Dates=H","DateFormat=P","Fill=—","Direction=H","UseDPDF=Y")</f>
        <v>#NAME?</v>
      </c>
      <c r="CN419" s="1" t="e">
        <f ca="1">_xll.BDH($C$403,"NET_DEBT_TO_SHRHLDR_EQTY","FQ1 2017","FQ1 2017","Currency=INR","Period=FQ","BEST_FPERIOD_OVERRIDE=FQ","FILING_STATUS=OR","EQY_CONSOLIDATED=Y","Sort=A","Dates=H","DateFormat=P","Fill=—","Direction=H","UseDPDF=Y")</f>
        <v>#NAME?</v>
      </c>
      <c r="CO419" s="1" t="e">
        <f ca="1">_xll.BDH($C$403,"NET_DEBT_%_CAPITAL","FQ1 2017","FQ1 2017","Currency=INR","Period=FQ","BEST_FPERIOD_OVERRIDE=FQ","FILING_STATUS=OR","EQY_CONSOLIDATED=Y","Sort=A","Dates=H","DateFormat=P","Fill=—","Direction=H","UseDPDF=Y")</f>
        <v>#NAME?</v>
      </c>
      <c r="CP419" s="2" t="e">
        <f ca="1">_xll.BDH($C$403,"EBITDA","FQ1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19" s="2" t="e">
        <f ca="1">_xll.BDH($C$403,"EBITDA_AFTER_CAPEX","FQ1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19" s="2" t="e">
        <f ca="1">_xll.BDH($C$403,"IS_OPER_INC","FQ1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19" s="1" t="e">
        <f ca="1">_xll.BDH($C$403,"CASH_RATIO","FQ1 2017","FQ1 2017","Currency=INR","Period=FQ","BEST_FPERIOD_OVERRIDE=FQ","FILING_STATUS=OR","EQY_CONSOLIDATED=Y","Sort=A","Dates=H","DateFormat=P","Fill=—","Direction=H","UseDPDF=Y")</f>
        <v>#NAME?</v>
      </c>
      <c r="CT419" s="1" t="e">
        <f ca="1">_xll.BDH($C$403,"CUR_RATIO","FQ1 2017","FQ1 2017","Currency=INR","Period=FQ","BEST_FPERIOD_OVERRIDE=FQ","FILING_STATUS=OR","EQY_CONSOLIDATED=Y","Sort=A","Dates=H","DateFormat=P","Fill=—","Direction=H","UseDPDF=Y")</f>
        <v>#NAME?</v>
      </c>
      <c r="CU419" s="1" t="e">
        <f ca="1">_xll.BDH($C$403,"QUICK_RATIO","FQ1 2017","FQ1 2017","Currency=INR","Period=FQ","BEST_FPERIOD_OVERRIDE=FQ","FILING_STATUS=OR","EQY_CONSOLIDATED=Y","Sort=A","Dates=H","DateFormat=P","Fill=—","Direction=H","UseDPDF=Y")</f>
        <v>#NAME?</v>
      </c>
      <c r="CV419" s="1" t="e">
        <f ca="1">_xll.BDH($C$403,"ALTMAN_Z_SCORE","FQ1 2017","FQ1 2017","Currency=INR","Period=FQ","BEST_FPERIOD_OVERRIDE=FQ","FILING_STATUS=OR","EQY_CONSOLIDATED=Y","Sort=A","Dates=H","DateFormat=P","Fill=—","Direction=H","UseDPDF=Y")</f>
        <v>#NAME?</v>
      </c>
      <c r="CW419" s="3" t="e">
        <f ca="1">_xll.BDH($C$403,"ACCT_RCV_TURN","FQ1 2017","FQ1 2017","Currency=INR","Period=FQ","BEST_FPERIOD_OVERRIDE=FQ","FILING_STATUS=OR","EQY_CONSOLIDATED=Y","FA_ADJUSTED=GAAP","Sort=A","Dates=H","DateFormat=P","Fill=—","Direction=H","UseDPDF=Y")</f>
        <v>#NAME?</v>
      </c>
      <c r="CX419" s="1" t="e">
        <f ca="1">_xll.BDH($C$403,"ACCT_RCV_DAYS","FQ1 2017","FQ1 2017","Currency=INR","Period=FQ","BEST_FPERIOD_OVERRIDE=FQ","FILING_STATUS=OR","EQY_CONSOLIDATED=Y","FA_ADJUSTED=GAAP","Sort=A","Dates=H","DateFormat=P","Fill=—","Direction=H","UseDPDF=Y")</f>
        <v>#NAME?</v>
      </c>
      <c r="CY419" s="3" t="e">
        <f ca="1">_xll.BDH($C$403,"INVENT_TURN","FQ1 2017","FQ1 2017","Currency=INR","Period=FQ","BEST_FPERIOD_OVERRIDE=FQ","FILING_STATUS=OR","EQY_CONSOLIDATED=Y","FA_ADJUSTED=GAAP","Sort=A","Dates=H","DateFormat=P","Fill=—","Direction=H","UseDPDF=Y")</f>
        <v>#NAME?</v>
      </c>
      <c r="CZ419" s="1" t="e">
        <f ca="1">_xll.BDH($C$403,"INVENT_DAYS","FQ1 2017","FQ1 2017","Currency=INR","Period=FQ","BEST_FPERIOD_OVERRIDE=FQ","FILING_STATUS=OR","EQY_CONSOLIDATED=Y","FA_ADJUSTED=GAAP","Sort=A","Dates=H","DateFormat=P","Fill=—","Direction=H","UseDPDF=Y")</f>
        <v>#NAME?</v>
      </c>
      <c r="DA419" s="3" t="e">
        <f ca="1">_xll.BDH($C$403,"ACCOUNTS_PAYABLE_TURNOVER","FQ1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19" s="1" t="e">
        <f ca="1">_xll.BDH($C$403,"ACCOUNTS_PAYABLE_TURNOVER_DAYS","FQ1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19" s="3" t="e">
        <f ca="1">_xll.BDH($C$403,"CASH_CONVERSION_CYCLE","FQ1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19" s="3" t="e">
        <f ca="1">_xll.BDH($C$403,"INV_TO_CASH_DAYS","FQ1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419" s="4" t="e">
        <f ca="1">_xll.BDH($C$403,"BS_INVENTORIES","FQ1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419" s="2" t="e">
        <f ca="1">_xll.BDH($C$403,"INVTRY_RAW_MATERIALS","FQ1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19" s="2" t="e">
        <f ca="1">_xll.BDH($C$403,"INVTRY_IN_PROGRESS","FQ1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19" s="2" t="e">
        <f ca="1">_xll.BDH($C$403,"INVTRY_FINISHED_GOODS","FQ1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19" s="2" t="e">
        <f ca="1">_xll.BDH($C$403,"BS_OTHER_INV","FQ1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20" spans="1:113" x14ac:dyDescent="0.3">
      <c r="A420" s="6"/>
      <c r="B420" s="6"/>
      <c r="C420" s="6"/>
      <c r="D420" s="6"/>
      <c r="E420" t="s">
        <v>5</v>
      </c>
      <c r="F420" t="e">
        <f ca="1">_xll.BDH($C$403,"RETURN_COM_EQY","FQ2 2017","FQ2 2017","Currency=INR","Period=FQ","BEST_FPERIOD_OVERRIDE=FQ","FILING_STATUS=OR","EQY_CONSOLIDATED=Y","FA_ADJUSTED=GAAP","Sort=A","Dates=H","DateFormat=P","Fill=—","Direction=H","UseDPDF=Y")</f>
        <v>#NAME?</v>
      </c>
      <c r="G420" t="e">
        <f ca="1">_xll.BDH($C$403,"RETURN_ON_ASSET","FQ2 2017","FQ2 2017","Currency=INR","Period=FQ","BEST_FPERIOD_OVERRIDE=FQ","FILING_STATUS=OR","EQY_CONSOLIDATED=Y","FA_ADJUSTED=GAAP","Sort=A","Dates=H","DateFormat=P","Fill=—","Direction=H","UseDPDF=Y")</f>
        <v>#NAME?</v>
      </c>
      <c r="H420" t="e">
        <f ca="1">_xll.BDH($C$403,"RETURN_ON_CAP","FQ2 2017","FQ2 2017","Currency=INR","Period=FQ","BEST_FPERIOD_OVERRIDE=FQ","FILING_STATUS=OR","EQY_CONSOLIDATED=Y","FA_ADJUSTED=GAAP","Sort=A","Dates=H","DateFormat=P","Fill=—","Direction=H","UseDPDF=Y")</f>
        <v>#NAME?</v>
      </c>
      <c r="I420" t="e">
        <f ca="1">_xll.BDH($C$403,"RETURN_ON_INV_CAPITAL","FQ2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20" t="e">
        <f ca="1">_xll.BDH($C$403,"EBITDA_TO_REVENUE","FQ2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420" t="e">
        <f ca="1">_xll.BDH($C$403,"OPER_MARGIN","FQ2 2017","FQ2 2017","Currency=INR","Period=FQ","BEST_FPERIOD_OVERRIDE=FQ","FILING_STATUS=OR","EQY_CONSOLIDATED=Y","FA_ADJUSTED=GAAP","Sort=A","Dates=H","DateFormat=P","Fill=—","Direction=H","UseDPDF=Y")</f>
        <v>#NAME?</v>
      </c>
      <c r="L420" t="e">
        <f ca="1">_xll.BDH($C$403,"INCREMENTAL_OPERATING_MARGIN","FQ2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20" t="e">
        <f ca="1">_xll.BDH($C$403,"PRETAX_INC_TO_NET_SALES","FQ2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20" t="e">
        <f ca="1">_xll.BDH($C$403,"INC_BEF_XO_ITEMS_TO_NET_SALES","FQ2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20" t="e">
        <f ca="1">_xll.BDH($C$403,"PROF_MARGIN","FQ2 2017","FQ2 2017","Currency=INR","Period=FQ","BEST_FPERIOD_OVERRIDE=FQ","FILING_STATUS=OR","EQY_CONSOLIDATED=Y","FA_ADJUSTED=GAAP","Sort=A","Dates=H","DateFormat=P","Fill=—","Direction=H","UseDPDF=Y")</f>
        <v>#NAME?</v>
      </c>
      <c r="P420" t="e">
        <f ca="1">_xll.BDH($C$403,"NET_INCOME_TO_COMMON_MARGIN","FQ2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20" t="e">
        <f ca="1">_xll.BDH($C$403,"EFF_TAX_RATE","FQ2 2017","FQ2 2017","Currency=INR","Period=FQ","BEST_FPERIOD_OVERRIDE=FQ","FILING_STATUS=OR","EQY_CONSOLIDATED=Y","FA_ADJUSTED=GAAP","Sort=A","Dates=H","DateFormat=P","Fill=—","Direction=H","UseDPDF=Y")</f>
        <v>#NAME?</v>
      </c>
      <c r="R420" t="e">
        <f ca="1">_xll.BDH($C$403,"DVD_PAYOUT_RATIO","FQ2 2017","FQ2 2017","Currency=INR","Period=FQ","BEST_FPERIOD_OVERRIDE=FQ","FILING_STATUS=OR","EQY_CONSOLIDATED=Y","FA_ADJUSTED=GAAP","Sort=A","Dates=H","DateFormat=P","Fill=—","Direction=H","UseDPDF=Y")</f>
        <v>#NAME?</v>
      </c>
      <c r="S420" t="e">
        <f ca="1">_xll.BDH($C$403,"SUSTAIN_GROWTH_RT","FQ2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420" s="1" t="e">
        <f ca="1">_xll.BDH($C$403,"SALES_GROWTH","FQ2 2017","FQ2 2017","Currency=INR","Period=FQ","BEST_FPERIOD_OVERRIDE=FQ","FILING_STATUS=OR","EQY_CONSOLIDATED=Y","FA_ADJUSTED=GAAP","Sort=A","Dates=H","DateFormat=P","Fill=—","Direction=H","UseDPDF=Y")</f>
        <v>#NAME?</v>
      </c>
      <c r="U420" s="1" t="e">
        <f ca="1">_xll.BDH($C$403,"EBITDA_GROWTH","FQ2 2017","FQ2 2017","Currency=INR","Period=FQ","BEST_FPERIOD_OVERRIDE=FQ","FILING_STATUS=OR","EQY_CONSOLIDATED=Y","FA_ADJUSTED=GAAP","Sort=A","Dates=H","DateFormat=P","Fill=—","Direction=H","UseDPDF=Y")</f>
        <v>#NAME?</v>
      </c>
      <c r="V420" s="1" t="e">
        <f ca="1">_xll.BDH($C$403,"OPER_INC_GROWTH","FQ2 2017","FQ2 2017","Currency=INR","Period=FQ","BEST_FPERIOD_OVERRIDE=FQ","FILING_STATUS=OR","EQY_CONSOLIDATED=Y","FA_ADJUSTED=GAAP","Sort=A","Dates=H","DateFormat=P","Fill=—","Direction=H","UseDPDF=Y")</f>
        <v>#NAME?</v>
      </c>
      <c r="W420" s="1" t="e">
        <f ca="1">_xll.BDH($C$403,"EARN_FOR_COM_GROWTH","FQ2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20" s="1" t="e">
        <f ca="1">_xll.BDH($C$403,"DILUTED_EPS_AFT_XO_ITEMS_GROWTH","FQ2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20" s="1" t="e">
        <f ca="1">_xll.BDH($C$403,"DIVIDEND_PER_SHARE_1_YEAR_GROWTH","FQ2 2017","FQ2 2017","Currency=INR","Period=FQ","BEST_FPERIOD_OVERRIDE=FQ","FILING_STATUS=OR","EQY_CONSOLIDATED=Y","Sort=A","Dates=H","DateFormat=P","Fill=—","Direction=H","UseDPDF=Y")</f>
        <v>#NAME?</v>
      </c>
      <c r="Z420" s="1" t="e">
        <f ca="1">_xll.BDH($C$403,"ACCOUNTS_RECEIVABLE_GROWTH","FQ2 2017","FQ2 2017","Currency=INR","Period=FQ","BEST_FPERIOD_OVERRIDE=FQ","FILING_STATUS=OR","EQY_CONSOLIDATED=Y","Sort=A","Dates=H","DateFormat=P","Fill=—","Direction=H","UseDPDF=Y")</f>
        <v>#NAME?</v>
      </c>
      <c r="AA420" s="1" t="e">
        <f ca="1">_xll.BDH($C$403,"INVENTORY_GROWTH","FQ2 2017","FQ2 2017","Currency=INR","Period=FQ","BEST_FPERIOD_OVERRIDE=FQ","FILING_STATUS=OR","EQY_CONSOLIDATED=Y","Sort=A","Dates=H","DateFormat=P","Fill=—","Direction=H","UseDPDF=Y")</f>
        <v>#NAME?</v>
      </c>
      <c r="AB420" s="1" t="e">
        <f ca="1">_xll.BDH($C$403,"NET_FIXED_ASSETS_1_YEAR_GROWTH","FQ2 2017","FQ2 2017","Currency=INR","Period=FQ","BEST_FPERIOD_OVERRIDE=FQ","FILING_STATUS=OR","EQY_CONSOLIDATED=Y","Sort=A","Dates=H","DateFormat=P","Fill=—","Direction=H","UseDPDF=Y")</f>
        <v>#NAME?</v>
      </c>
      <c r="AC420" s="1" t="e">
        <f ca="1">_xll.BDH($C$403,"ASSET_GROWTH","FQ2 2017","FQ2 2017","Currency=INR","Period=FQ","BEST_FPERIOD_OVERRIDE=FQ","FILING_STATUS=OR","EQY_CONSOLIDATED=Y","Sort=A","Dates=H","DateFormat=P","Fill=—","Direction=H","UseDPDF=Y")</f>
        <v>#NAME?</v>
      </c>
      <c r="AD420" s="1" t="e">
        <f ca="1">_xll.BDH($C$403,"MODIFIED_WORK_CAP_GROWTH","FQ2 2017","FQ2 2017","Currency=INR","Period=FQ","BEST_FPERIOD_OVERRIDE=FQ","FILING_STATUS=OR","EQY_CONSOLIDATED=Y","Sort=A","Dates=H","DateFormat=P","Fill=—","Direction=H","UseDPDF=Y")</f>
        <v>#NAME?</v>
      </c>
      <c r="AE420" s="1" t="e">
        <f ca="1">_xll.BDH($C$403,"WORK_CAP_GROWTH","FQ2 2017","FQ2 2017","Currency=INR","Period=FQ","BEST_FPERIOD_OVERRIDE=FQ","FILING_STATUS=OR","EQY_CONSOLIDATED=Y","Sort=A","Dates=H","DateFormat=P","Fill=—","Direction=H","UseDPDF=Y")</f>
        <v>#NAME?</v>
      </c>
      <c r="AF420" s="1" t="e">
        <f ca="1">_xll.BDH($C$403,"ACCOUNTS_PAYABLE_GROWTH_1YR","FQ2 2017","FQ2 2017","Currency=INR","Period=FQ","BEST_FPERIOD_OVERRIDE=FQ","FILING_STATUS=OR","EQY_CONSOLIDATED=Y","Sort=A","Dates=H","DateFormat=P","Fill=—","Direction=H","UseDPDF=Y")</f>
        <v>#NAME?</v>
      </c>
      <c r="AG420" s="1" t="e">
        <f ca="1">_xll.BDH($C$403,"SHORT_TERM_DEBT_1_YEAR_GROWTH","FQ2 2017","FQ2 2017","Currency=INR","Period=FQ","BEST_FPERIOD_OVERRIDE=FQ","FILING_STATUS=OR","EQY_CONSOLIDATED=Y","Sort=A","Dates=H","DateFormat=P","Fill=—","Direction=H","UseDPDF=Y")</f>
        <v>#NAME?</v>
      </c>
      <c r="AH420" s="1" t="e">
        <f ca="1">_xll.BDH($C$403,"TOTAL_DEBT_1_YEAR_GROWTH","FQ2 2017","FQ2 2017","Currency=INR","Period=FQ","BEST_FPERIOD_OVERRIDE=FQ","FILING_STATUS=OR","EQY_CONSOLIDATED=Y","Sort=A","Dates=H","DateFormat=P","Fill=—","Direction=H","UseDPDF=Y")</f>
        <v>#NAME?</v>
      </c>
      <c r="AI420" s="1" t="e">
        <f ca="1">_xll.BDH($C$403,"TOTAL_EQUITY_1_YEAR_GROWTH","FQ2 2017","FQ2 2017","Currency=INR","Period=FQ","BEST_FPERIOD_OVERRIDE=FQ","FILING_STATUS=OR","EQY_CONSOLIDATED=Y","Sort=A","Dates=H","DateFormat=P","Fill=—","Direction=H","UseDPDF=Y")</f>
        <v>#NAME?</v>
      </c>
      <c r="AJ420" s="1" t="e">
        <f ca="1">_xll.BDH($C$403,"GROWTH_IN_CAP","FQ2 2017","FQ2 2017","Currency=INR","Period=FQ","BEST_FPERIOD_OVERRIDE=FQ","FILING_STATUS=OR","EQY_CONSOLIDATED=Y","Sort=A","Dates=H","DateFormat=P","Fill=—","Direction=H","UseDPDF=Y")</f>
        <v>#NAME?</v>
      </c>
      <c r="AK420" s="1" t="e">
        <f ca="1">_xll.BDH($C$403,"BVPS_GROWTH","FQ2 2017","FQ2 2017","Currency=INR","Period=FQ","BEST_FPERIOD_OVERRIDE=FQ","FILING_STATUS=OR","EQY_CONSOLIDATED=Y","Sort=A","Dates=H","DateFormat=P","Fill=—","Direction=H","UseDPDF=Y")</f>
        <v>#NAME?</v>
      </c>
      <c r="AL420" s="1" t="e">
        <f ca="1">_xll.BDH($C$403,"CASH_FLOW_GROWTH","FQ2 2017","FQ2 2017","Currency=INR","Period=FQ","BEST_FPERIOD_OVERRIDE=FQ","FILING_STATUS=OR","EQY_CONSOLIDATED=Y","Sort=A","Dates=H","DateFormat=P","Fill=—","Direction=H","UseDPDF=Y")</f>
        <v>#NAME?</v>
      </c>
      <c r="AM420" s="1" t="e">
        <f ca="1">_xll.BDH($C$403,"GEO_GROW_NET_SALES","FQ2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20" s="1" t="e">
        <f ca="1">_xll.BDH($C$403,"GEO_GROW_EBITDA","FQ2 2017","FQ2 2017","Currency=INR","Period=FQ","BEST_FPERIOD_OVERRIDE=FQ","FILING_STATUS=OR","EQY_CONSOLIDATED=Y","FA_ADJUSTED=GAAP","Sort=A","Dates=H","DateFormat=P","Fill=—","Direction=H","UseDPDF=Y")</f>
        <v>#NAME?</v>
      </c>
      <c r="AO420" s="1" t="e">
        <f ca="1">_xll.BDH($C$403,"GEO_GROW_OPER_INC","FQ2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20" s="1" t="e">
        <f ca="1">_xll.BDH($C$403,"NET_INCOME_TO_COMMON_5_YR_GROWTH","FQ2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20" s="1" t="e">
        <f ca="1">_xll.BDH($C$403,"5Y_GEO_GROWTH_DILUTED_EPS","FQ2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20" s="1" t="e">
        <f ca="1">_xll.BDH($C$403,"GEO_GROW_DVD_PER_SH","FQ2 2017","FQ2 2017","Currency=INR","Period=FQ","BEST_FPERIOD_OVERRIDE=FQ","FILING_STATUS=OR","EQY_CONSOLIDATED=Y","Sort=A","Dates=H","DateFormat=P","Fill=—","Direction=H","UseDPDF=Y")</f>
        <v>#NAME?</v>
      </c>
      <c r="AS420" s="1" t="e">
        <f ca="1">_xll.BDH($C$403,"ACCOUNTS_RECEIVABLE_5_YR_GROWTH","FQ2 2017","FQ2 2017","Currency=INR","Period=FQ","BEST_FPERIOD_OVERRIDE=FQ","FILING_STATUS=OR","EQY_CONSOLIDATED=Y","Sort=A","Dates=H","DateFormat=P","Fill=—","Direction=H","UseDPDF=Y")</f>
        <v>#NAME?</v>
      </c>
      <c r="AT420" s="1" t="e">
        <f ca="1">_xll.BDH($C$403,"INVENTORY_5_YEAR_GROWTH","FQ2 2017","FQ2 2017","Currency=INR","Period=FQ","BEST_FPERIOD_OVERRIDE=FQ","FILING_STATUS=OR","EQY_CONSOLIDATED=Y","Sort=A","Dates=H","DateFormat=P","Fill=—","Direction=H","UseDPDF=Y")</f>
        <v>#NAME?</v>
      </c>
      <c r="AU420" s="1" t="e">
        <f ca="1">_xll.BDH($C$403,"NET_FIXED_ASSETS_5_YEAR_GROWTH","FQ2 2017","FQ2 2017","Currency=INR","Period=FQ","BEST_FPERIOD_OVERRIDE=FQ","FILING_STATUS=OR","EQY_CONSOLIDATED=Y","Sort=A","Dates=H","DateFormat=P","Fill=—","Direction=H","UseDPDF=Y")</f>
        <v>#NAME?</v>
      </c>
      <c r="AV420" s="1" t="e">
        <f ca="1">_xll.BDH($C$403,"GEO_GROW_TOT_ASSET","FQ2 2017","FQ2 2017","Currency=INR","Period=FQ","BEST_FPERIOD_OVERRIDE=FQ","FILING_STATUS=OR","EQY_CONSOLIDATED=Y","Sort=A","Dates=H","DateFormat=P","Fill=—","Direction=H","UseDPDF=Y")</f>
        <v>#NAME?</v>
      </c>
      <c r="AW420" s="1" t="e">
        <f ca="1">_xll.BDH($C$403,"MODIFIED_WORKING_CPTL_5YR_GRWTH","FQ2 2017","FQ2 2017","Currency=INR","Period=FQ","BEST_FPERIOD_OVERRIDE=FQ","FILING_STATUS=OR","EQY_CONSOLIDATED=Y","Sort=A","Dates=H","DateFormat=P","Fill=—","Direction=H","UseDPDF=Y")</f>
        <v>#NAME?</v>
      </c>
      <c r="AX420" s="1" t="e">
        <f ca="1">_xll.BDH($C$403,"WORKING_CAPITAL_5_YEAR_GROWTH","FQ2 2017","FQ2 2017","Currency=INR","Period=FQ","BEST_FPERIOD_OVERRIDE=FQ","FILING_STATUS=OR","EQY_CONSOLIDATED=Y","Sort=A","Dates=H","DateFormat=P","Fill=—","Direction=H","UseDPDF=Y")</f>
        <v>#NAME?</v>
      </c>
      <c r="AY420" s="1" t="e">
        <f ca="1">_xll.BDH($C$403,"ACCOUNTS_PAYABLE_5_YEAR_GROWTH","FQ2 2017","FQ2 2017","Currency=INR","Period=FQ","BEST_FPERIOD_OVERRIDE=FQ","FILING_STATUS=OR","EQY_CONSOLIDATED=Y","Sort=A","Dates=H","DateFormat=P","Fill=—","Direction=H","UseDPDF=Y")</f>
        <v>#NAME?</v>
      </c>
      <c r="AZ420" s="1" t="e">
        <f ca="1">_xll.BDH($C$403,"SHORT_TERM_DEBT_5_YEAR_GROWTH","FQ2 2017","FQ2 2017","Currency=INR","Period=FQ","BEST_FPERIOD_OVERRIDE=FQ","FILING_STATUS=OR","EQY_CONSOLIDATED=Y","Sort=A","Dates=H","DateFormat=P","Fill=—","Direction=H","UseDPDF=Y")</f>
        <v>#NAME?</v>
      </c>
      <c r="BA420" s="1" t="e">
        <f ca="1">_xll.BDH($C$403,"TOTAL_DEBT_5_YEAR_GROWTH","FQ2 2017","FQ2 2017","Currency=INR","Period=FQ","BEST_FPERIOD_OVERRIDE=FQ","FILING_STATUS=OR","EQY_CONSOLIDATED=Y","Sort=A","Dates=H","DateFormat=P","Fill=—","Direction=H","UseDPDF=Y")</f>
        <v>#NAME?</v>
      </c>
      <c r="BB420" s="1" t="e">
        <f ca="1">_xll.BDH($C$403,"GEO_GROW_TOT_SHRHLDR_EQY","FQ2 2017","FQ2 2017","Currency=INR","Period=FQ","BEST_FPERIOD_OVERRIDE=FQ","FILING_STATUS=OR","EQY_CONSOLIDATED=Y","Sort=A","Dates=H","DateFormat=P","Fill=—","Direction=H","UseDPDF=Y")</f>
        <v>#NAME?</v>
      </c>
      <c r="BC420" s="1" t="e">
        <f ca="1">_xll.BDH($C$403,"TOTAL_CAPITAL_5_YEAR_GROWTH","FQ2 2017","FQ2 2017","Currency=INR","Period=FQ","BEST_FPERIOD_OVERRIDE=FQ","FILING_STATUS=OR","EQY_CONSOLIDATED=Y","Sort=A","Dates=H","DateFormat=P","Fill=—","Direction=H","UseDPDF=Y")</f>
        <v>#NAME?</v>
      </c>
      <c r="BD420" s="1" t="e">
        <f ca="1">_xll.BDH($C$403,"GEO_GROW_BOOK_VAL","FQ2 2017","FQ2 2017","Currency=INR","Period=FQ","BEST_FPERIOD_OVERRIDE=FQ","FILING_STATUS=OR","EQY_CONSOLIDATED=Y","Sort=A","Dates=H","DateFormat=P","Fill=—","Direction=H","UseDPDF=Y")</f>
        <v>#NAME?</v>
      </c>
      <c r="BE420" s="1" t="e">
        <f ca="1">_xll.BDH($C$403,"GEO_GROW_CASH_OPER_ACT","FQ2 2017","FQ2 2017","Currency=INR","Period=FQ","BEST_FPERIOD_OVERRIDE=FQ","FILING_STATUS=OR","EQY_CONSOLIDATED=Y","Sort=A","Dates=H","DateFormat=P","Fill=—","Direction=H","UseDPDF=Y")</f>
        <v>#NAME?</v>
      </c>
      <c r="BF420" s="1" t="e">
        <f ca="1">_xll.BDH($C$403,"REVENUE_SEQUENTIAL_GROWTH","FQ2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20" s="1" t="e">
        <f ca="1">_xll.BDH($C$403,"EBITDA_SEQUENTIAL_GROWTH","FQ2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20" s="1" t="e">
        <f ca="1">_xll.BDH($C$403,"OPERATING_INCOME_SEQ_GROWTH","FQ2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20" s="1" t="e">
        <f ca="1">_xll.BDH($C$403,"NET_INCOME_TO_COMMON_SEQ_GROWTH","FQ2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20" s="1" t="e">
        <f ca="1">_xll.BDH($C$403,"EPS_DILUTED_SEQUENTIAL_GROWTH","FQ2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20" s="1" t="e">
        <f ca="1">_xll.BDH($C$403,"DPS_SEQUENTIAL_GROWTH","FQ2 2017","FQ2 2017","Currency=INR","Period=FQ","BEST_FPERIOD_OVERRIDE=FQ","FILING_STATUS=OR","EQY_CONSOLIDATED=Y","Sort=A","Dates=H","DateFormat=P","Fill=—","Direction=H","UseDPDF=Y")</f>
        <v>#NAME?</v>
      </c>
      <c r="BL420" s="1" t="e">
        <f ca="1">_xll.BDH($C$403,"ACCOUNTS_RECEIVABLE_SEQ_GROWTH","FQ2 2017","FQ2 2017","Currency=INR","Period=FQ","BEST_FPERIOD_OVERRIDE=FQ","FILING_STATUS=OR","EQY_CONSOLIDATED=Y","Sort=A","Dates=H","DateFormat=P","Fill=—","Direction=H","UseDPDF=Y")</f>
        <v>#NAME?</v>
      </c>
      <c r="BM420" s="1" t="e">
        <f ca="1">_xll.BDH($C$403,"INVENTORY_SEQUENTIAL_GROWTH","FQ2 2017","FQ2 2017","Currency=INR","Period=FQ","BEST_FPERIOD_OVERRIDE=FQ","FILING_STATUS=OR","EQY_CONSOLIDATED=Y","Sort=A","Dates=H","DateFormat=P","Fill=—","Direction=H","UseDPDF=Y")</f>
        <v>#NAME?</v>
      </c>
      <c r="BN420" s="1" t="e">
        <f ca="1">_xll.BDH($C$403,"FIXED_ASSETS_SEQUENTIAL_GROWTH","FQ2 2017","FQ2 2017","Currency=INR","Period=FQ","BEST_FPERIOD_OVERRIDE=FQ","FILING_STATUS=OR","EQY_CONSOLIDATED=Y","Sort=A","Dates=H","DateFormat=P","Fill=—","Direction=H","UseDPDF=Y")</f>
        <v>#NAME?</v>
      </c>
      <c r="BO420" s="1" t="e">
        <f ca="1">_xll.BDH($C$403,"TOTAL_ASSETS_SEQUENTIAL_GROWTH","FQ2 2017","FQ2 2017","Currency=INR","Period=FQ","BEST_FPERIOD_OVERRIDE=FQ","FILING_STATUS=OR","EQY_CONSOLIDATED=Y","Sort=A","Dates=H","DateFormat=P","Fill=—","Direction=H","UseDPDF=Y")</f>
        <v>#NAME?</v>
      </c>
      <c r="BP420" s="1" t="e">
        <f ca="1">_xll.BDH($C$403,"MODIFIED_WORKING_CPTL_SEQ_GRWTH","FQ2 2017","FQ2 2017","Currency=INR","Period=FQ","BEST_FPERIOD_OVERRIDE=FQ","FILING_STATUS=OR","EQY_CONSOLIDATED=Y","Sort=A","Dates=H","DateFormat=P","Fill=—","Direction=H","UseDPDF=Y")</f>
        <v>#NAME?</v>
      </c>
      <c r="BQ420" s="1" t="e">
        <f ca="1">_xll.BDH($C$403,"WORKING_CAPITAL_SEQ_GROWTH","FQ2 2017","FQ2 2017","Currency=INR","Period=FQ","BEST_FPERIOD_OVERRIDE=FQ","FILING_STATUS=OR","EQY_CONSOLIDATED=Y","Sort=A","Dates=H","DateFormat=P","Fill=—","Direction=H","UseDPDF=Y")</f>
        <v>#NAME?</v>
      </c>
      <c r="BR420" s="1" t="e">
        <f ca="1">_xll.BDH($C$403,"ACCOUNTS_PAYABLE_SEQ_GROWTH","FQ2 2017","FQ2 2017","Currency=INR","Period=FQ","BEST_FPERIOD_OVERRIDE=FQ","FILING_STATUS=OR","EQY_CONSOLIDATED=Y","Sort=A","Dates=H","DateFormat=P","Fill=—","Direction=H","UseDPDF=Y")</f>
        <v>#NAME?</v>
      </c>
      <c r="BS420" s="1" t="e">
        <f ca="1">_xll.BDH($C$403,"ST_DEBT_SEQUENTIAL_GROWTH","FQ2 2017","FQ2 2017","Currency=INR","Period=FQ","BEST_FPERIOD_OVERRIDE=FQ","FILING_STATUS=OR","EQY_CONSOLIDATED=Y","Sort=A","Dates=H","DateFormat=P","Fill=—","Direction=H","UseDPDF=Y")</f>
        <v>#NAME?</v>
      </c>
      <c r="BT420" s="1" t="e">
        <f ca="1">_xll.BDH($C$403,"TOTAL_DEBT_SEQUENTIAL_GROWTH","FQ2 2017","FQ2 2017","Currency=INR","Period=FQ","BEST_FPERIOD_OVERRIDE=FQ","FILING_STATUS=OR","EQY_CONSOLIDATED=Y","Sort=A","Dates=H","DateFormat=P","Fill=—","Direction=H","UseDPDF=Y")</f>
        <v>#NAME?</v>
      </c>
      <c r="BU420" s="1" t="e">
        <f ca="1">_xll.BDH($C$403,"TOTAL_EQUITY_SEQUENTIAL_GROWTH","FQ2 2017","FQ2 2017","Currency=INR","Period=FQ","BEST_FPERIOD_OVERRIDE=FQ","FILING_STATUS=OR","EQY_CONSOLIDATED=Y","Sort=A","Dates=H","DateFormat=P","Fill=—","Direction=H","UseDPDF=Y")</f>
        <v>#NAME?</v>
      </c>
      <c r="BV420" s="1" t="e">
        <f ca="1">_xll.BDH($C$403,"TOTAL_CAPITAL_SEQUENTIAL_GROWTH","FQ2 2017","FQ2 2017","Currency=INR","Period=FQ","BEST_FPERIOD_OVERRIDE=FQ","FILING_STATUS=OR","EQY_CONSOLIDATED=Y","Sort=A","Dates=H","DateFormat=P","Fill=—","Direction=H","UseDPDF=Y")</f>
        <v>#NAME?</v>
      </c>
      <c r="BW420" s="1" t="e">
        <f ca="1">_xll.BDH($C$403,"BPS_SEQUENTIAL_GROWTH","FQ2 2017","FQ2 2017","Currency=INR","Period=FQ","BEST_FPERIOD_OVERRIDE=FQ","FILING_STATUS=OR","EQY_CONSOLIDATED=Y","Sort=A","Dates=H","DateFormat=P","Fill=—","Direction=H","UseDPDF=Y")</f>
        <v>#NAME?</v>
      </c>
      <c r="BX420" s="1" t="e">
        <f ca="1">_xll.BDH($C$403,"CFO_SEQUENTIAL_GROWTH","FQ2 2017","FQ2 2017","Currency=INR","Period=FQ","BEST_FPERIOD_OVERRIDE=FQ","FILING_STATUS=OR","EQY_CONSOLIDATED=Y","Sort=A","Dates=H","DateFormat=P","Fill=—","Direction=H","UseDPDF=Y")</f>
        <v>#NAME?</v>
      </c>
      <c r="BY420" s="2" t="e">
        <f ca="1">_xll.BDH($C$403,"SHORT_AND_LONG_TERM_DEBT","FQ2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20" s="2" t="e">
        <f ca="1">_xll.BDH($C$403,"BS_ST_BORROW","FQ2 2017","FQ2 2017","Currency=INR","Period=FQ","BEST_FPERIOD_OVERRIDE=FQ","FILING_STATUS=OR","EQY_CONSOLIDATED=Y","SCALING_FORMAT=MLN","Sort=A","Dates=H","DateFormat=P","Fill=—","Direction=H","UseDPDF=Y")</f>
        <v>#NAME?</v>
      </c>
      <c r="CA420" s="2" t="e">
        <f ca="1">_xll.BDH($C$403,"BS_LT_BORROW","FQ2 2017","FQ2 2017","Currency=INR","Period=FQ","BEST_FPERIOD_OVERRIDE=FQ","FILING_STATUS=OR","EQY_CONSOLIDATED=Y","SCALING_FORMAT=MLN","Sort=A","Dates=H","DateFormat=P","Fill=—","Direction=H","UseDPDF=Y")</f>
        <v>#NAME?</v>
      </c>
      <c r="CB420" s="1" t="e">
        <f ca="1">_xll.BDH($C$403,"TOT_DEBT_TO_EBITDA","FQ2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20" s="1" t="e">
        <f ca="1">_xll.BDH($C$403,"NET_DEBT_TO_EBITDA","FQ2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20" s="1" t="e">
        <f ca="1">_xll.BDH($C$403,"TOTAL_DEBT_TO_EBIT","FQ2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20" s="1" t="e">
        <f ca="1">_xll.BDH($C$403,"NET_DEBT_TO_EBIT","FQ2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420" s="1" t="e">
        <f ca="1">_xll.BDH($C$403,"EBITDA_TO_INTEREST_EXPN","FQ2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20" s="1" t="e">
        <f ca="1">_xll.BDH($C$403,"COM_EQY_TO_TOT_ASSET","FQ2 2017","FQ2 2017","Currency=INR","Period=FQ","BEST_FPERIOD_OVERRIDE=FQ","FILING_STATUS=OR","EQY_CONSOLIDATED=Y","Sort=A","Dates=H","DateFormat=P","Fill=—","Direction=H","UseDPDF=Y")</f>
        <v>#NAME?</v>
      </c>
      <c r="CH420" s="1" t="e">
        <f ca="1">_xll.BDH($C$403,"LT_DEBT_TO_TOT_EQY","FQ2 2017","FQ2 2017","Currency=INR","Period=FQ","BEST_FPERIOD_OVERRIDE=FQ","FILING_STATUS=OR","EQY_CONSOLIDATED=Y","Sort=A","Dates=H","DateFormat=P","Fill=—","Direction=H","UseDPDF=Y")</f>
        <v>#NAME?</v>
      </c>
      <c r="CI420" s="1" t="e">
        <f ca="1">_xll.BDH($C$403,"LT_DEBT_TO_TOT_CAP","FQ2 2017","FQ2 2017","Currency=INR","Period=FQ","BEST_FPERIOD_OVERRIDE=FQ","FILING_STATUS=OR","EQY_CONSOLIDATED=Y","Sort=A","Dates=H","DateFormat=P","Fill=—","Direction=H","UseDPDF=Y")</f>
        <v>#NAME?</v>
      </c>
      <c r="CJ420" s="1" t="e">
        <f ca="1">_xll.BDH($C$403,"LT_DEBT_TO_TOT_ASSET","FQ2 2017","FQ2 2017","Currency=INR","Period=FQ","BEST_FPERIOD_OVERRIDE=FQ","FILING_STATUS=OR","EQY_CONSOLIDATED=Y","Sort=A","Dates=H","DateFormat=P","Fill=—","Direction=H","UseDPDF=Y")</f>
        <v>#NAME?</v>
      </c>
      <c r="CK420" s="1" t="e">
        <f ca="1">_xll.BDH($C$403,"TOT_DEBT_TO_TOT_EQY","FQ2 2017","FQ2 2017","Currency=INR","Period=FQ","BEST_FPERIOD_OVERRIDE=FQ","FILING_STATUS=OR","EQY_CONSOLIDATED=Y","Sort=A","Dates=H","DateFormat=P","Fill=—","Direction=H","UseDPDF=Y")</f>
        <v>#NAME?</v>
      </c>
      <c r="CL420" s="1" t="e">
        <f ca="1">_xll.BDH($C$403,"TOT_DEBT_TO_TOT_CAP","FQ2 2017","FQ2 2017","Currency=INR","Period=FQ","BEST_FPERIOD_OVERRIDE=FQ","FILING_STATUS=OR","EQY_CONSOLIDATED=Y","Sort=A","Dates=H","DateFormat=P","Fill=—","Direction=H","UseDPDF=Y")</f>
        <v>#NAME?</v>
      </c>
      <c r="CM420" s="1" t="e">
        <f ca="1">_xll.BDH($C$403,"TOT_DEBT_TO_TOT_ASSET","FQ2 2017","FQ2 2017","Currency=INR","Period=FQ","BEST_FPERIOD_OVERRIDE=FQ","FILING_STATUS=OR","EQY_CONSOLIDATED=Y","Sort=A","Dates=H","DateFormat=P","Fill=—","Direction=H","UseDPDF=Y")</f>
        <v>#NAME?</v>
      </c>
      <c r="CN420" s="1" t="e">
        <f ca="1">_xll.BDH($C$403,"NET_DEBT_TO_SHRHLDR_EQTY","FQ2 2017","FQ2 2017","Currency=INR","Period=FQ","BEST_FPERIOD_OVERRIDE=FQ","FILING_STATUS=OR","EQY_CONSOLIDATED=Y","Sort=A","Dates=H","DateFormat=P","Fill=—","Direction=H","UseDPDF=Y")</f>
        <v>#NAME?</v>
      </c>
      <c r="CO420" s="1" t="e">
        <f ca="1">_xll.BDH($C$403,"NET_DEBT_%_CAPITAL","FQ2 2017","FQ2 2017","Currency=INR","Period=FQ","BEST_FPERIOD_OVERRIDE=FQ","FILING_STATUS=OR","EQY_CONSOLIDATED=Y","Sort=A","Dates=H","DateFormat=P","Fill=—","Direction=H","UseDPDF=Y")</f>
        <v>#NAME?</v>
      </c>
      <c r="CP420" s="2" t="e">
        <f ca="1">_xll.BDH($C$403,"EBITDA","FQ2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20" s="2" t="e">
        <f ca="1">_xll.BDH($C$403,"EBITDA_AFTER_CAPEX","FQ2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20" s="2" t="e">
        <f ca="1">_xll.BDH($C$403,"IS_OPER_INC","FQ2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20" s="1" t="e">
        <f ca="1">_xll.BDH($C$403,"CASH_RATIO","FQ2 2017","FQ2 2017","Currency=INR","Period=FQ","BEST_FPERIOD_OVERRIDE=FQ","FILING_STATUS=OR","EQY_CONSOLIDATED=Y","Sort=A","Dates=H","DateFormat=P","Fill=—","Direction=H","UseDPDF=Y")</f>
        <v>#NAME?</v>
      </c>
      <c r="CT420" s="1" t="e">
        <f ca="1">_xll.BDH($C$403,"CUR_RATIO","FQ2 2017","FQ2 2017","Currency=INR","Period=FQ","BEST_FPERIOD_OVERRIDE=FQ","FILING_STATUS=OR","EQY_CONSOLIDATED=Y","Sort=A","Dates=H","DateFormat=P","Fill=—","Direction=H","UseDPDF=Y")</f>
        <v>#NAME?</v>
      </c>
      <c r="CU420" s="1" t="e">
        <f ca="1">_xll.BDH($C$403,"QUICK_RATIO","FQ2 2017","FQ2 2017","Currency=INR","Period=FQ","BEST_FPERIOD_OVERRIDE=FQ","FILING_STATUS=OR","EQY_CONSOLIDATED=Y","Sort=A","Dates=H","DateFormat=P","Fill=—","Direction=H","UseDPDF=Y")</f>
        <v>#NAME?</v>
      </c>
      <c r="CV420" s="1" t="e">
        <f ca="1">_xll.BDH($C$403,"ALTMAN_Z_SCORE","FQ2 2017","FQ2 2017","Currency=INR","Period=FQ","BEST_FPERIOD_OVERRIDE=FQ","FILING_STATUS=OR","EQY_CONSOLIDATED=Y","Sort=A","Dates=H","DateFormat=P","Fill=—","Direction=H","UseDPDF=Y")</f>
        <v>#NAME?</v>
      </c>
      <c r="CW420" s="3" t="e">
        <f ca="1">_xll.BDH($C$403,"ACCT_RCV_TURN","FQ2 2017","FQ2 2017","Currency=INR","Period=FQ","BEST_FPERIOD_OVERRIDE=FQ","FILING_STATUS=OR","EQY_CONSOLIDATED=Y","FA_ADJUSTED=GAAP","Sort=A","Dates=H","DateFormat=P","Fill=—","Direction=H","UseDPDF=Y")</f>
        <v>#NAME?</v>
      </c>
      <c r="CX420" s="1" t="e">
        <f ca="1">_xll.BDH($C$403,"ACCT_RCV_DAYS","FQ2 2017","FQ2 2017","Currency=INR","Period=FQ","BEST_FPERIOD_OVERRIDE=FQ","FILING_STATUS=OR","EQY_CONSOLIDATED=Y","FA_ADJUSTED=GAAP","Sort=A","Dates=H","DateFormat=P","Fill=—","Direction=H","UseDPDF=Y")</f>
        <v>#NAME?</v>
      </c>
      <c r="CY420" s="3" t="e">
        <f ca="1">_xll.BDH($C$403,"INVENT_TURN","FQ2 2017","FQ2 2017","Currency=INR","Period=FQ","BEST_FPERIOD_OVERRIDE=FQ","FILING_STATUS=OR","EQY_CONSOLIDATED=Y","FA_ADJUSTED=GAAP","Sort=A","Dates=H","DateFormat=P","Fill=—","Direction=H","UseDPDF=Y")</f>
        <v>#NAME?</v>
      </c>
      <c r="CZ420" s="1" t="e">
        <f ca="1">_xll.BDH($C$403,"INVENT_DAYS","FQ2 2017","FQ2 2017","Currency=INR","Period=FQ","BEST_FPERIOD_OVERRIDE=FQ","FILING_STATUS=OR","EQY_CONSOLIDATED=Y","FA_ADJUSTED=GAAP","Sort=A","Dates=H","DateFormat=P","Fill=—","Direction=H","UseDPDF=Y")</f>
        <v>#NAME?</v>
      </c>
      <c r="DA420" s="3" t="e">
        <f ca="1">_xll.BDH($C$403,"ACCOUNTS_PAYABLE_TURNOVER","FQ2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20" s="1" t="e">
        <f ca="1">_xll.BDH($C$403,"ACCOUNTS_PAYABLE_TURNOVER_DAYS","FQ2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20" s="3" t="e">
        <f ca="1">_xll.BDH($C$403,"CASH_CONVERSION_CYCLE","FQ2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20" s="3" t="e">
        <f ca="1">_xll.BDH($C$403,"INV_TO_CASH_DAYS","FQ2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420" s="4" t="e">
        <f ca="1">_xll.BDH($C$403,"BS_INVENTORIES","FQ2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420" s="2" t="e">
        <f ca="1">_xll.BDH($C$403,"INVTRY_RAW_MATERIALS","FQ2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20" s="2" t="e">
        <f ca="1">_xll.BDH($C$403,"INVTRY_IN_PROGRESS","FQ2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20" s="2" t="e">
        <f ca="1">_xll.BDH($C$403,"INVTRY_FINISHED_GOODS","FQ2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20" s="2" t="e">
        <f ca="1">_xll.BDH($C$403,"BS_OTHER_INV","FQ2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21" spans="1:113" x14ac:dyDescent="0.3">
      <c r="A421" s="6"/>
      <c r="B421" s="6"/>
      <c r="C421" s="6"/>
      <c r="D421" s="6"/>
      <c r="E421" t="s">
        <v>6</v>
      </c>
      <c r="F421" t="e">
        <f ca="1">_xll.BDH($C$403,"RETURN_COM_EQY","FQ3 2017","FQ3 2017","Currency=INR","Period=FQ","BEST_FPERIOD_OVERRIDE=FQ","FILING_STATUS=OR","EQY_CONSOLIDATED=Y","FA_ADJUSTED=GAAP","Sort=A","Dates=H","DateFormat=P","Fill=—","Direction=H","UseDPDF=Y")</f>
        <v>#NAME?</v>
      </c>
      <c r="G421" t="e">
        <f ca="1">_xll.BDH($C$403,"RETURN_ON_ASSET","FQ3 2017","FQ3 2017","Currency=INR","Period=FQ","BEST_FPERIOD_OVERRIDE=FQ","FILING_STATUS=OR","EQY_CONSOLIDATED=Y","FA_ADJUSTED=GAAP","Sort=A","Dates=H","DateFormat=P","Fill=—","Direction=H","UseDPDF=Y")</f>
        <v>#NAME?</v>
      </c>
      <c r="H421" t="e">
        <f ca="1">_xll.BDH($C$403,"RETURN_ON_CAP","FQ3 2017","FQ3 2017","Currency=INR","Period=FQ","BEST_FPERIOD_OVERRIDE=FQ","FILING_STATUS=OR","EQY_CONSOLIDATED=Y","FA_ADJUSTED=GAAP","Sort=A","Dates=H","DateFormat=P","Fill=—","Direction=H","UseDPDF=Y")</f>
        <v>#NAME?</v>
      </c>
      <c r="I421" t="e">
        <f ca="1">_xll.BDH($C$403,"RETURN_ON_INV_CAPITAL","FQ3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21" t="e">
        <f ca="1">_xll.BDH($C$403,"EBITDA_TO_REVENUE","FQ3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421" t="e">
        <f ca="1">_xll.BDH($C$403,"OPER_MARGIN","FQ3 2017","FQ3 2017","Currency=INR","Period=FQ","BEST_FPERIOD_OVERRIDE=FQ","FILING_STATUS=OR","EQY_CONSOLIDATED=Y","FA_ADJUSTED=GAAP","Sort=A","Dates=H","DateFormat=P","Fill=—","Direction=H","UseDPDF=Y")</f>
        <v>#NAME?</v>
      </c>
      <c r="L421" t="e">
        <f ca="1">_xll.BDH($C$403,"INCREMENTAL_OPERATING_MARGIN","FQ3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21" t="e">
        <f ca="1">_xll.BDH($C$403,"PRETAX_INC_TO_NET_SALES","FQ3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21" t="e">
        <f ca="1">_xll.BDH($C$403,"INC_BEF_XO_ITEMS_TO_NET_SALES","FQ3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21" t="e">
        <f ca="1">_xll.BDH($C$403,"PROF_MARGIN","FQ3 2017","FQ3 2017","Currency=INR","Period=FQ","BEST_FPERIOD_OVERRIDE=FQ","FILING_STATUS=OR","EQY_CONSOLIDATED=Y","FA_ADJUSTED=GAAP","Sort=A","Dates=H","DateFormat=P","Fill=—","Direction=H","UseDPDF=Y")</f>
        <v>#NAME?</v>
      </c>
      <c r="P421" t="e">
        <f ca="1">_xll.BDH($C$403,"NET_INCOME_TO_COMMON_MARGIN","FQ3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21" t="e">
        <f ca="1">_xll.BDH($C$403,"EFF_TAX_RATE","FQ3 2017","FQ3 2017","Currency=INR","Period=FQ","BEST_FPERIOD_OVERRIDE=FQ","FILING_STATUS=OR","EQY_CONSOLIDATED=Y","FA_ADJUSTED=GAAP","Sort=A","Dates=H","DateFormat=P","Fill=—","Direction=H","UseDPDF=Y")</f>
        <v>#NAME?</v>
      </c>
      <c r="R421" t="e">
        <f ca="1">_xll.BDH($C$403,"DVD_PAYOUT_RATIO","FQ3 2017","FQ3 2017","Currency=INR","Period=FQ","BEST_FPERIOD_OVERRIDE=FQ","FILING_STATUS=OR","EQY_CONSOLIDATED=Y","FA_ADJUSTED=GAAP","Sort=A","Dates=H","DateFormat=P","Fill=—","Direction=H","UseDPDF=Y")</f>
        <v>#NAME?</v>
      </c>
      <c r="S421" t="e">
        <f ca="1">_xll.BDH($C$403,"SUSTAIN_GROWTH_RT","FQ3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421" s="1" t="e">
        <f ca="1">_xll.BDH($C$403,"SALES_GROWTH","FQ3 2017","FQ3 2017","Currency=INR","Period=FQ","BEST_FPERIOD_OVERRIDE=FQ","FILING_STATUS=OR","EQY_CONSOLIDATED=Y","FA_ADJUSTED=GAAP","Sort=A","Dates=H","DateFormat=P","Fill=—","Direction=H","UseDPDF=Y")</f>
        <v>#NAME?</v>
      </c>
      <c r="U421" s="1" t="e">
        <f ca="1">_xll.BDH($C$403,"EBITDA_GROWTH","FQ3 2017","FQ3 2017","Currency=INR","Period=FQ","BEST_FPERIOD_OVERRIDE=FQ","FILING_STATUS=OR","EQY_CONSOLIDATED=Y","FA_ADJUSTED=GAAP","Sort=A","Dates=H","DateFormat=P","Fill=—","Direction=H","UseDPDF=Y")</f>
        <v>#NAME?</v>
      </c>
      <c r="V421" s="1" t="e">
        <f ca="1">_xll.BDH($C$403,"OPER_INC_GROWTH","FQ3 2017","FQ3 2017","Currency=INR","Period=FQ","BEST_FPERIOD_OVERRIDE=FQ","FILING_STATUS=OR","EQY_CONSOLIDATED=Y","FA_ADJUSTED=GAAP","Sort=A","Dates=H","DateFormat=P","Fill=—","Direction=H","UseDPDF=Y")</f>
        <v>#NAME?</v>
      </c>
      <c r="W421" s="1" t="e">
        <f ca="1">_xll.BDH($C$403,"EARN_FOR_COM_GROWTH","FQ3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21" s="1" t="e">
        <f ca="1">_xll.BDH($C$403,"DILUTED_EPS_AFT_XO_ITEMS_GROWTH","FQ3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21" s="1" t="e">
        <f ca="1">_xll.BDH($C$403,"DIVIDEND_PER_SHARE_1_YEAR_GROWTH","FQ3 2017","FQ3 2017","Currency=INR","Period=FQ","BEST_FPERIOD_OVERRIDE=FQ","FILING_STATUS=OR","EQY_CONSOLIDATED=Y","Sort=A","Dates=H","DateFormat=P","Fill=—","Direction=H","UseDPDF=Y")</f>
        <v>#NAME?</v>
      </c>
      <c r="Z421" s="1" t="e">
        <f ca="1">_xll.BDH($C$403,"ACCOUNTS_RECEIVABLE_GROWTH","FQ3 2017","FQ3 2017","Currency=INR","Period=FQ","BEST_FPERIOD_OVERRIDE=FQ","FILING_STATUS=OR","EQY_CONSOLIDATED=Y","Sort=A","Dates=H","DateFormat=P","Fill=—","Direction=H","UseDPDF=Y")</f>
        <v>#NAME?</v>
      </c>
      <c r="AA421" s="1" t="e">
        <f ca="1">_xll.BDH($C$403,"INVENTORY_GROWTH","FQ3 2017","FQ3 2017","Currency=INR","Period=FQ","BEST_FPERIOD_OVERRIDE=FQ","FILING_STATUS=OR","EQY_CONSOLIDATED=Y","Sort=A","Dates=H","DateFormat=P","Fill=—","Direction=H","UseDPDF=Y")</f>
        <v>#NAME?</v>
      </c>
      <c r="AB421" s="1" t="e">
        <f ca="1">_xll.BDH($C$403,"NET_FIXED_ASSETS_1_YEAR_GROWTH","FQ3 2017","FQ3 2017","Currency=INR","Period=FQ","BEST_FPERIOD_OVERRIDE=FQ","FILING_STATUS=OR","EQY_CONSOLIDATED=Y","Sort=A","Dates=H","DateFormat=P","Fill=—","Direction=H","UseDPDF=Y")</f>
        <v>#NAME?</v>
      </c>
      <c r="AC421" s="1" t="e">
        <f ca="1">_xll.BDH($C$403,"ASSET_GROWTH","FQ3 2017","FQ3 2017","Currency=INR","Period=FQ","BEST_FPERIOD_OVERRIDE=FQ","FILING_STATUS=OR","EQY_CONSOLIDATED=Y","Sort=A","Dates=H","DateFormat=P","Fill=—","Direction=H","UseDPDF=Y")</f>
        <v>#NAME?</v>
      </c>
      <c r="AD421" s="1" t="e">
        <f ca="1">_xll.BDH($C$403,"MODIFIED_WORK_CAP_GROWTH","FQ3 2017","FQ3 2017","Currency=INR","Period=FQ","BEST_FPERIOD_OVERRIDE=FQ","FILING_STATUS=OR","EQY_CONSOLIDATED=Y","Sort=A","Dates=H","DateFormat=P","Fill=—","Direction=H","UseDPDF=Y")</f>
        <v>#NAME?</v>
      </c>
      <c r="AE421" s="1" t="e">
        <f ca="1">_xll.BDH($C$403,"WORK_CAP_GROWTH","FQ3 2017","FQ3 2017","Currency=INR","Period=FQ","BEST_FPERIOD_OVERRIDE=FQ","FILING_STATUS=OR","EQY_CONSOLIDATED=Y","Sort=A","Dates=H","DateFormat=P","Fill=—","Direction=H","UseDPDF=Y")</f>
        <v>#NAME?</v>
      </c>
      <c r="AF421" s="1" t="e">
        <f ca="1">_xll.BDH($C$403,"ACCOUNTS_PAYABLE_GROWTH_1YR","FQ3 2017","FQ3 2017","Currency=INR","Period=FQ","BEST_FPERIOD_OVERRIDE=FQ","FILING_STATUS=OR","EQY_CONSOLIDATED=Y","Sort=A","Dates=H","DateFormat=P","Fill=—","Direction=H","UseDPDF=Y")</f>
        <v>#NAME?</v>
      </c>
      <c r="AG421" s="1" t="e">
        <f ca="1">_xll.BDH($C$403,"SHORT_TERM_DEBT_1_YEAR_GROWTH","FQ3 2017","FQ3 2017","Currency=INR","Period=FQ","BEST_FPERIOD_OVERRIDE=FQ","FILING_STATUS=OR","EQY_CONSOLIDATED=Y","Sort=A","Dates=H","DateFormat=P","Fill=—","Direction=H","UseDPDF=Y")</f>
        <v>#NAME?</v>
      </c>
      <c r="AH421" s="1" t="e">
        <f ca="1">_xll.BDH($C$403,"TOTAL_DEBT_1_YEAR_GROWTH","FQ3 2017","FQ3 2017","Currency=INR","Period=FQ","BEST_FPERIOD_OVERRIDE=FQ","FILING_STATUS=OR","EQY_CONSOLIDATED=Y","Sort=A","Dates=H","DateFormat=P","Fill=—","Direction=H","UseDPDF=Y")</f>
        <v>#NAME?</v>
      </c>
      <c r="AI421" s="1" t="e">
        <f ca="1">_xll.BDH($C$403,"TOTAL_EQUITY_1_YEAR_GROWTH","FQ3 2017","FQ3 2017","Currency=INR","Period=FQ","BEST_FPERIOD_OVERRIDE=FQ","FILING_STATUS=OR","EQY_CONSOLIDATED=Y","Sort=A","Dates=H","DateFormat=P","Fill=—","Direction=H","UseDPDF=Y")</f>
        <v>#NAME?</v>
      </c>
      <c r="AJ421" s="1" t="e">
        <f ca="1">_xll.BDH($C$403,"GROWTH_IN_CAP","FQ3 2017","FQ3 2017","Currency=INR","Period=FQ","BEST_FPERIOD_OVERRIDE=FQ","FILING_STATUS=OR","EQY_CONSOLIDATED=Y","Sort=A","Dates=H","DateFormat=P","Fill=—","Direction=H","UseDPDF=Y")</f>
        <v>#NAME?</v>
      </c>
      <c r="AK421" s="1" t="e">
        <f ca="1">_xll.BDH($C$403,"BVPS_GROWTH","FQ3 2017","FQ3 2017","Currency=INR","Period=FQ","BEST_FPERIOD_OVERRIDE=FQ","FILING_STATUS=OR","EQY_CONSOLIDATED=Y","Sort=A","Dates=H","DateFormat=P","Fill=—","Direction=H","UseDPDF=Y")</f>
        <v>#NAME?</v>
      </c>
      <c r="AL421" s="1" t="e">
        <f ca="1">_xll.BDH($C$403,"CASH_FLOW_GROWTH","FQ3 2017","FQ3 2017","Currency=INR","Period=FQ","BEST_FPERIOD_OVERRIDE=FQ","FILING_STATUS=OR","EQY_CONSOLIDATED=Y","Sort=A","Dates=H","DateFormat=P","Fill=—","Direction=H","UseDPDF=Y")</f>
        <v>#NAME?</v>
      </c>
      <c r="AM421" s="1" t="e">
        <f ca="1">_xll.BDH($C$403,"GEO_GROW_NET_SALES","FQ3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21" s="1" t="e">
        <f ca="1">_xll.BDH($C$403,"GEO_GROW_EBITDA","FQ3 2017","FQ3 2017","Currency=INR","Period=FQ","BEST_FPERIOD_OVERRIDE=FQ","FILING_STATUS=OR","EQY_CONSOLIDATED=Y","FA_ADJUSTED=GAAP","Sort=A","Dates=H","DateFormat=P","Fill=—","Direction=H","UseDPDF=Y")</f>
        <v>#NAME?</v>
      </c>
      <c r="AO421" s="1" t="e">
        <f ca="1">_xll.BDH($C$403,"GEO_GROW_OPER_INC","FQ3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21" s="1" t="e">
        <f ca="1">_xll.BDH($C$403,"NET_INCOME_TO_COMMON_5_YR_GROWTH","FQ3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21" s="1" t="e">
        <f ca="1">_xll.BDH($C$403,"5Y_GEO_GROWTH_DILUTED_EPS","FQ3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21" s="1" t="e">
        <f ca="1">_xll.BDH($C$403,"GEO_GROW_DVD_PER_SH","FQ3 2017","FQ3 2017","Currency=INR","Period=FQ","BEST_FPERIOD_OVERRIDE=FQ","FILING_STATUS=OR","EQY_CONSOLIDATED=Y","Sort=A","Dates=H","DateFormat=P","Fill=—","Direction=H","UseDPDF=Y")</f>
        <v>#NAME?</v>
      </c>
      <c r="AS421" s="1" t="e">
        <f ca="1">_xll.BDH($C$403,"ACCOUNTS_RECEIVABLE_5_YR_GROWTH","FQ3 2017","FQ3 2017","Currency=INR","Period=FQ","BEST_FPERIOD_OVERRIDE=FQ","FILING_STATUS=OR","EQY_CONSOLIDATED=Y","Sort=A","Dates=H","DateFormat=P","Fill=—","Direction=H","UseDPDF=Y")</f>
        <v>#NAME?</v>
      </c>
      <c r="AT421" s="1" t="e">
        <f ca="1">_xll.BDH($C$403,"INVENTORY_5_YEAR_GROWTH","FQ3 2017","FQ3 2017","Currency=INR","Period=FQ","BEST_FPERIOD_OVERRIDE=FQ","FILING_STATUS=OR","EQY_CONSOLIDATED=Y","Sort=A","Dates=H","DateFormat=P","Fill=—","Direction=H","UseDPDF=Y")</f>
        <v>#NAME?</v>
      </c>
      <c r="AU421" s="1" t="e">
        <f ca="1">_xll.BDH($C$403,"NET_FIXED_ASSETS_5_YEAR_GROWTH","FQ3 2017","FQ3 2017","Currency=INR","Period=FQ","BEST_FPERIOD_OVERRIDE=FQ","FILING_STATUS=OR","EQY_CONSOLIDATED=Y","Sort=A","Dates=H","DateFormat=P","Fill=—","Direction=H","UseDPDF=Y")</f>
        <v>#NAME?</v>
      </c>
      <c r="AV421" s="1" t="e">
        <f ca="1">_xll.BDH($C$403,"GEO_GROW_TOT_ASSET","FQ3 2017","FQ3 2017","Currency=INR","Period=FQ","BEST_FPERIOD_OVERRIDE=FQ","FILING_STATUS=OR","EQY_CONSOLIDATED=Y","Sort=A","Dates=H","DateFormat=P","Fill=—","Direction=H","UseDPDF=Y")</f>
        <v>#NAME?</v>
      </c>
      <c r="AW421" s="1" t="e">
        <f ca="1">_xll.BDH($C$403,"MODIFIED_WORKING_CPTL_5YR_GRWTH","FQ3 2017","FQ3 2017","Currency=INR","Period=FQ","BEST_FPERIOD_OVERRIDE=FQ","FILING_STATUS=OR","EQY_CONSOLIDATED=Y","Sort=A","Dates=H","DateFormat=P","Fill=—","Direction=H","UseDPDF=Y")</f>
        <v>#NAME?</v>
      </c>
      <c r="AX421" s="1" t="e">
        <f ca="1">_xll.BDH($C$403,"WORKING_CAPITAL_5_YEAR_GROWTH","FQ3 2017","FQ3 2017","Currency=INR","Period=FQ","BEST_FPERIOD_OVERRIDE=FQ","FILING_STATUS=OR","EQY_CONSOLIDATED=Y","Sort=A","Dates=H","DateFormat=P","Fill=—","Direction=H","UseDPDF=Y")</f>
        <v>#NAME?</v>
      </c>
      <c r="AY421" s="1" t="e">
        <f ca="1">_xll.BDH($C$403,"ACCOUNTS_PAYABLE_5_YEAR_GROWTH","FQ3 2017","FQ3 2017","Currency=INR","Period=FQ","BEST_FPERIOD_OVERRIDE=FQ","FILING_STATUS=OR","EQY_CONSOLIDATED=Y","Sort=A","Dates=H","DateFormat=P","Fill=—","Direction=H","UseDPDF=Y")</f>
        <v>#NAME?</v>
      </c>
      <c r="AZ421" s="1" t="e">
        <f ca="1">_xll.BDH($C$403,"SHORT_TERM_DEBT_5_YEAR_GROWTH","FQ3 2017","FQ3 2017","Currency=INR","Period=FQ","BEST_FPERIOD_OVERRIDE=FQ","FILING_STATUS=OR","EQY_CONSOLIDATED=Y","Sort=A","Dates=H","DateFormat=P","Fill=—","Direction=H","UseDPDF=Y")</f>
        <v>#NAME?</v>
      </c>
      <c r="BA421" s="1" t="e">
        <f ca="1">_xll.BDH($C$403,"TOTAL_DEBT_5_YEAR_GROWTH","FQ3 2017","FQ3 2017","Currency=INR","Period=FQ","BEST_FPERIOD_OVERRIDE=FQ","FILING_STATUS=OR","EQY_CONSOLIDATED=Y","Sort=A","Dates=H","DateFormat=P","Fill=—","Direction=H","UseDPDF=Y")</f>
        <v>#NAME?</v>
      </c>
      <c r="BB421" s="1" t="e">
        <f ca="1">_xll.BDH($C$403,"GEO_GROW_TOT_SHRHLDR_EQY","FQ3 2017","FQ3 2017","Currency=INR","Period=FQ","BEST_FPERIOD_OVERRIDE=FQ","FILING_STATUS=OR","EQY_CONSOLIDATED=Y","Sort=A","Dates=H","DateFormat=P","Fill=—","Direction=H","UseDPDF=Y")</f>
        <v>#NAME?</v>
      </c>
      <c r="BC421" s="1" t="e">
        <f ca="1">_xll.BDH($C$403,"TOTAL_CAPITAL_5_YEAR_GROWTH","FQ3 2017","FQ3 2017","Currency=INR","Period=FQ","BEST_FPERIOD_OVERRIDE=FQ","FILING_STATUS=OR","EQY_CONSOLIDATED=Y","Sort=A","Dates=H","DateFormat=P","Fill=—","Direction=H","UseDPDF=Y")</f>
        <v>#NAME?</v>
      </c>
      <c r="BD421" s="1" t="e">
        <f ca="1">_xll.BDH($C$403,"GEO_GROW_BOOK_VAL","FQ3 2017","FQ3 2017","Currency=INR","Period=FQ","BEST_FPERIOD_OVERRIDE=FQ","FILING_STATUS=OR","EQY_CONSOLIDATED=Y","Sort=A","Dates=H","DateFormat=P","Fill=—","Direction=H","UseDPDF=Y")</f>
        <v>#NAME?</v>
      </c>
      <c r="BE421" s="1" t="e">
        <f ca="1">_xll.BDH($C$403,"GEO_GROW_CASH_OPER_ACT","FQ3 2017","FQ3 2017","Currency=INR","Period=FQ","BEST_FPERIOD_OVERRIDE=FQ","FILING_STATUS=OR","EQY_CONSOLIDATED=Y","Sort=A","Dates=H","DateFormat=P","Fill=—","Direction=H","UseDPDF=Y")</f>
        <v>#NAME?</v>
      </c>
      <c r="BF421" s="1" t="e">
        <f ca="1">_xll.BDH($C$403,"REVENUE_SEQUENTIAL_GROWTH","FQ3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21" s="1" t="e">
        <f ca="1">_xll.BDH($C$403,"EBITDA_SEQUENTIAL_GROWTH","FQ3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21" s="1" t="e">
        <f ca="1">_xll.BDH($C$403,"OPERATING_INCOME_SEQ_GROWTH","FQ3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21" s="1" t="e">
        <f ca="1">_xll.BDH($C$403,"NET_INCOME_TO_COMMON_SEQ_GROWTH","FQ3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21" s="1" t="e">
        <f ca="1">_xll.BDH($C$403,"EPS_DILUTED_SEQUENTIAL_GROWTH","FQ3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21" s="1" t="e">
        <f ca="1">_xll.BDH($C$403,"DPS_SEQUENTIAL_GROWTH","FQ3 2017","FQ3 2017","Currency=INR","Period=FQ","BEST_FPERIOD_OVERRIDE=FQ","FILING_STATUS=OR","EQY_CONSOLIDATED=Y","Sort=A","Dates=H","DateFormat=P","Fill=—","Direction=H","UseDPDF=Y")</f>
        <v>#NAME?</v>
      </c>
      <c r="BL421" s="1" t="e">
        <f ca="1">_xll.BDH($C$403,"ACCOUNTS_RECEIVABLE_SEQ_GROWTH","FQ3 2017","FQ3 2017","Currency=INR","Period=FQ","BEST_FPERIOD_OVERRIDE=FQ","FILING_STATUS=OR","EQY_CONSOLIDATED=Y","Sort=A","Dates=H","DateFormat=P","Fill=—","Direction=H","UseDPDF=Y")</f>
        <v>#NAME?</v>
      </c>
      <c r="BM421" s="1" t="e">
        <f ca="1">_xll.BDH($C$403,"INVENTORY_SEQUENTIAL_GROWTH","FQ3 2017","FQ3 2017","Currency=INR","Period=FQ","BEST_FPERIOD_OVERRIDE=FQ","FILING_STATUS=OR","EQY_CONSOLIDATED=Y","Sort=A","Dates=H","DateFormat=P","Fill=—","Direction=H","UseDPDF=Y")</f>
        <v>#NAME?</v>
      </c>
      <c r="BN421" s="1" t="e">
        <f ca="1">_xll.BDH($C$403,"FIXED_ASSETS_SEQUENTIAL_GROWTH","FQ3 2017","FQ3 2017","Currency=INR","Period=FQ","BEST_FPERIOD_OVERRIDE=FQ","FILING_STATUS=OR","EQY_CONSOLIDATED=Y","Sort=A","Dates=H","DateFormat=P","Fill=—","Direction=H","UseDPDF=Y")</f>
        <v>#NAME?</v>
      </c>
      <c r="BO421" s="1" t="e">
        <f ca="1">_xll.BDH($C$403,"TOTAL_ASSETS_SEQUENTIAL_GROWTH","FQ3 2017","FQ3 2017","Currency=INR","Period=FQ","BEST_FPERIOD_OVERRIDE=FQ","FILING_STATUS=OR","EQY_CONSOLIDATED=Y","Sort=A","Dates=H","DateFormat=P","Fill=—","Direction=H","UseDPDF=Y")</f>
        <v>#NAME?</v>
      </c>
      <c r="BP421" s="1" t="e">
        <f ca="1">_xll.BDH($C$403,"MODIFIED_WORKING_CPTL_SEQ_GRWTH","FQ3 2017","FQ3 2017","Currency=INR","Period=FQ","BEST_FPERIOD_OVERRIDE=FQ","FILING_STATUS=OR","EQY_CONSOLIDATED=Y","Sort=A","Dates=H","DateFormat=P","Fill=—","Direction=H","UseDPDF=Y")</f>
        <v>#NAME?</v>
      </c>
      <c r="BQ421" s="1" t="e">
        <f ca="1">_xll.BDH($C$403,"WORKING_CAPITAL_SEQ_GROWTH","FQ3 2017","FQ3 2017","Currency=INR","Period=FQ","BEST_FPERIOD_OVERRIDE=FQ","FILING_STATUS=OR","EQY_CONSOLIDATED=Y","Sort=A","Dates=H","DateFormat=P","Fill=—","Direction=H","UseDPDF=Y")</f>
        <v>#NAME?</v>
      </c>
      <c r="BR421" s="1" t="e">
        <f ca="1">_xll.BDH($C$403,"ACCOUNTS_PAYABLE_SEQ_GROWTH","FQ3 2017","FQ3 2017","Currency=INR","Period=FQ","BEST_FPERIOD_OVERRIDE=FQ","FILING_STATUS=OR","EQY_CONSOLIDATED=Y","Sort=A","Dates=H","DateFormat=P","Fill=—","Direction=H","UseDPDF=Y")</f>
        <v>#NAME?</v>
      </c>
      <c r="BS421" s="1" t="e">
        <f ca="1">_xll.BDH($C$403,"ST_DEBT_SEQUENTIAL_GROWTH","FQ3 2017","FQ3 2017","Currency=INR","Period=FQ","BEST_FPERIOD_OVERRIDE=FQ","FILING_STATUS=OR","EQY_CONSOLIDATED=Y","Sort=A","Dates=H","DateFormat=P","Fill=—","Direction=H","UseDPDF=Y")</f>
        <v>#NAME?</v>
      </c>
      <c r="BT421" s="1" t="e">
        <f ca="1">_xll.BDH($C$403,"TOTAL_DEBT_SEQUENTIAL_GROWTH","FQ3 2017","FQ3 2017","Currency=INR","Period=FQ","BEST_FPERIOD_OVERRIDE=FQ","FILING_STATUS=OR","EQY_CONSOLIDATED=Y","Sort=A","Dates=H","DateFormat=P","Fill=—","Direction=H","UseDPDF=Y")</f>
        <v>#NAME?</v>
      </c>
      <c r="BU421" s="1" t="e">
        <f ca="1">_xll.BDH($C$403,"TOTAL_EQUITY_SEQUENTIAL_GROWTH","FQ3 2017","FQ3 2017","Currency=INR","Period=FQ","BEST_FPERIOD_OVERRIDE=FQ","FILING_STATUS=OR","EQY_CONSOLIDATED=Y","Sort=A","Dates=H","DateFormat=P","Fill=—","Direction=H","UseDPDF=Y")</f>
        <v>#NAME?</v>
      </c>
      <c r="BV421" s="1" t="e">
        <f ca="1">_xll.BDH($C$403,"TOTAL_CAPITAL_SEQUENTIAL_GROWTH","FQ3 2017","FQ3 2017","Currency=INR","Period=FQ","BEST_FPERIOD_OVERRIDE=FQ","FILING_STATUS=OR","EQY_CONSOLIDATED=Y","Sort=A","Dates=H","DateFormat=P","Fill=—","Direction=H","UseDPDF=Y")</f>
        <v>#NAME?</v>
      </c>
      <c r="BW421" s="1" t="e">
        <f ca="1">_xll.BDH($C$403,"BPS_SEQUENTIAL_GROWTH","FQ3 2017","FQ3 2017","Currency=INR","Period=FQ","BEST_FPERIOD_OVERRIDE=FQ","FILING_STATUS=OR","EQY_CONSOLIDATED=Y","Sort=A","Dates=H","DateFormat=P","Fill=—","Direction=H","UseDPDF=Y")</f>
        <v>#NAME?</v>
      </c>
      <c r="BX421" s="1" t="e">
        <f ca="1">_xll.BDH($C$403,"CFO_SEQUENTIAL_GROWTH","FQ3 2017","FQ3 2017","Currency=INR","Period=FQ","BEST_FPERIOD_OVERRIDE=FQ","FILING_STATUS=OR","EQY_CONSOLIDATED=Y","Sort=A","Dates=H","DateFormat=P","Fill=—","Direction=H","UseDPDF=Y")</f>
        <v>#NAME?</v>
      </c>
      <c r="BY421" s="2" t="e">
        <f ca="1">_xll.BDH($C$403,"SHORT_AND_LONG_TERM_DEBT","FQ3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21" s="2" t="e">
        <f ca="1">_xll.BDH($C$403,"BS_ST_BORROW","FQ3 2017","FQ3 2017","Currency=INR","Period=FQ","BEST_FPERIOD_OVERRIDE=FQ","FILING_STATUS=OR","EQY_CONSOLIDATED=Y","SCALING_FORMAT=MLN","Sort=A","Dates=H","DateFormat=P","Fill=—","Direction=H","UseDPDF=Y")</f>
        <v>#NAME?</v>
      </c>
      <c r="CA421" s="2" t="e">
        <f ca="1">_xll.BDH($C$403,"BS_LT_BORROW","FQ3 2017","FQ3 2017","Currency=INR","Period=FQ","BEST_FPERIOD_OVERRIDE=FQ","FILING_STATUS=OR","EQY_CONSOLIDATED=Y","SCALING_FORMAT=MLN","Sort=A","Dates=H","DateFormat=P","Fill=—","Direction=H","UseDPDF=Y")</f>
        <v>#NAME?</v>
      </c>
      <c r="CB421" s="1" t="e">
        <f ca="1">_xll.BDH($C$403,"TOT_DEBT_TO_EBITDA","FQ3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21" s="1" t="e">
        <f ca="1">_xll.BDH($C$403,"NET_DEBT_TO_EBITDA","FQ3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21" s="1" t="e">
        <f ca="1">_xll.BDH($C$403,"TOTAL_DEBT_TO_EBIT","FQ3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21" s="1" t="e">
        <f ca="1">_xll.BDH($C$403,"NET_DEBT_TO_EBIT","FQ3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421" s="1" t="e">
        <f ca="1">_xll.BDH($C$403,"EBITDA_TO_INTEREST_EXPN","FQ3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21" s="1" t="e">
        <f ca="1">_xll.BDH($C$403,"COM_EQY_TO_TOT_ASSET","FQ3 2017","FQ3 2017","Currency=INR","Period=FQ","BEST_FPERIOD_OVERRIDE=FQ","FILING_STATUS=OR","EQY_CONSOLIDATED=Y","Sort=A","Dates=H","DateFormat=P","Fill=—","Direction=H","UseDPDF=Y")</f>
        <v>#NAME?</v>
      </c>
      <c r="CH421" s="1" t="e">
        <f ca="1">_xll.BDH($C$403,"LT_DEBT_TO_TOT_EQY","FQ3 2017","FQ3 2017","Currency=INR","Period=FQ","BEST_FPERIOD_OVERRIDE=FQ","FILING_STATUS=OR","EQY_CONSOLIDATED=Y","Sort=A","Dates=H","DateFormat=P","Fill=—","Direction=H","UseDPDF=Y")</f>
        <v>#NAME?</v>
      </c>
      <c r="CI421" s="1" t="e">
        <f ca="1">_xll.BDH($C$403,"LT_DEBT_TO_TOT_CAP","FQ3 2017","FQ3 2017","Currency=INR","Period=FQ","BEST_FPERIOD_OVERRIDE=FQ","FILING_STATUS=OR","EQY_CONSOLIDATED=Y","Sort=A","Dates=H","DateFormat=P","Fill=—","Direction=H","UseDPDF=Y")</f>
        <v>#NAME?</v>
      </c>
      <c r="CJ421" s="1" t="e">
        <f ca="1">_xll.BDH($C$403,"LT_DEBT_TO_TOT_ASSET","FQ3 2017","FQ3 2017","Currency=INR","Period=FQ","BEST_FPERIOD_OVERRIDE=FQ","FILING_STATUS=OR","EQY_CONSOLIDATED=Y","Sort=A","Dates=H","DateFormat=P","Fill=—","Direction=H","UseDPDF=Y")</f>
        <v>#NAME?</v>
      </c>
      <c r="CK421" s="1" t="e">
        <f ca="1">_xll.BDH($C$403,"TOT_DEBT_TO_TOT_EQY","FQ3 2017","FQ3 2017","Currency=INR","Period=FQ","BEST_FPERIOD_OVERRIDE=FQ","FILING_STATUS=OR","EQY_CONSOLIDATED=Y","Sort=A","Dates=H","DateFormat=P","Fill=—","Direction=H","UseDPDF=Y")</f>
        <v>#NAME?</v>
      </c>
      <c r="CL421" s="1" t="e">
        <f ca="1">_xll.BDH($C$403,"TOT_DEBT_TO_TOT_CAP","FQ3 2017","FQ3 2017","Currency=INR","Period=FQ","BEST_FPERIOD_OVERRIDE=FQ","FILING_STATUS=OR","EQY_CONSOLIDATED=Y","Sort=A","Dates=H","DateFormat=P","Fill=—","Direction=H","UseDPDF=Y")</f>
        <v>#NAME?</v>
      </c>
      <c r="CM421" s="1" t="e">
        <f ca="1">_xll.BDH($C$403,"TOT_DEBT_TO_TOT_ASSET","FQ3 2017","FQ3 2017","Currency=INR","Period=FQ","BEST_FPERIOD_OVERRIDE=FQ","FILING_STATUS=OR","EQY_CONSOLIDATED=Y","Sort=A","Dates=H","DateFormat=P","Fill=—","Direction=H","UseDPDF=Y")</f>
        <v>#NAME?</v>
      </c>
      <c r="CN421" s="1" t="e">
        <f ca="1">_xll.BDH($C$403,"NET_DEBT_TO_SHRHLDR_EQTY","FQ3 2017","FQ3 2017","Currency=INR","Period=FQ","BEST_FPERIOD_OVERRIDE=FQ","FILING_STATUS=OR","EQY_CONSOLIDATED=Y","Sort=A","Dates=H","DateFormat=P","Fill=—","Direction=H","UseDPDF=Y")</f>
        <v>#NAME?</v>
      </c>
      <c r="CO421" s="1" t="e">
        <f ca="1">_xll.BDH($C$403,"NET_DEBT_%_CAPITAL","FQ3 2017","FQ3 2017","Currency=INR","Period=FQ","BEST_FPERIOD_OVERRIDE=FQ","FILING_STATUS=OR","EQY_CONSOLIDATED=Y","Sort=A","Dates=H","DateFormat=P","Fill=—","Direction=H","UseDPDF=Y")</f>
        <v>#NAME?</v>
      </c>
      <c r="CP421" s="2" t="e">
        <f ca="1">_xll.BDH($C$403,"EBITDA","FQ3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21" s="2" t="e">
        <f ca="1">_xll.BDH($C$403,"EBITDA_AFTER_CAPEX","FQ3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21" s="2" t="e">
        <f ca="1">_xll.BDH($C$403,"IS_OPER_INC","FQ3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21" s="1" t="e">
        <f ca="1">_xll.BDH($C$403,"CASH_RATIO","FQ3 2017","FQ3 2017","Currency=INR","Period=FQ","BEST_FPERIOD_OVERRIDE=FQ","FILING_STATUS=OR","EQY_CONSOLIDATED=Y","Sort=A","Dates=H","DateFormat=P","Fill=—","Direction=H","UseDPDF=Y")</f>
        <v>#NAME?</v>
      </c>
      <c r="CT421" s="1" t="e">
        <f ca="1">_xll.BDH($C$403,"CUR_RATIO","FQ3 2017","FQ3 2017","Currency=INR","Period=FQ","BEST_FPERIOD_OVERRIDE=FQ","FILING_STATUS=OR","EQY_CONSOLIDATED=Y","Sort=A","Dates=H","DateFormat=P","Fill=—","Direction=H","UseDPDF=Y")</f>
        <v>#NAME?</v>
      </c>
      <c r="CU421" s="1" t="e">
        <f ca="1">_xll.BDH($C$403,"QUICK_RATIO","FQ3 2017","FQ3 2017","Currency=INR","Period=FQ","BEST_FPERIOD_OVERRIDE=FQ","FILING_STATUS=OR","EQY_CONSOLIDATED=Y","Sort=A","Dates=H","DateFormat=P","Fill=—","Direction=H","UseDPDF=Y")</f>
        <v>#NAME?</v>
      </c>
      <c r="CV421" s="1" t="e">
        <f ca="1">_xll.BDH($C$403,"ALTMAN_Z_SCORE","FQ3 2017","FQ3 2017","Currency=INR","Period=FQ","BEST_FPERIOD_OVERRIDE=FQ","FILING_STATUS=OR","EQY_CONSOLIDATED=Y","Sort=A","Dates=H","DateFormat=P","Fill=—","Direction=H","UseDPDF=Y")</f>
        <v>#NAME?</v>
      </c>
      <c r="CW421" s="3" t="e">
        <f ca="1">_xll.BDH($C$403,"ACCT_RCV_TURN","FQ3 2017","FQ3 2017","Currency=INR","Period=FQ","BEST_FPERIOD_OVERRIDE=FQ","FILING_STATUS=OR","EQY_CONSOLIDATED=Y","FA_ADJUSTED=GAAP","Sort=A","Dates=H","DateFormat=P","Fill=—","Direction=H","UseDPDF=Y")</f>
        <v>#NAME?</v>
      </c>
      <c r="CX421" s="1" t="e">
        <f ca="1">_xll.BDH($C$403,"ACCT_RCV_DAYS","FQ3 2017","FQ3 2017","Currency=INR","Period=FQ","BEST_FPERIOD_OVERRIDE=FQ","FILING_STATUS=OR","EQY_CONSOLIDATED=Y","FA_ADJUSTED=GAAP","Sort=A","Dates=H","DateFormat=P","Fill=—","Direction=H","UseDPDF=Y")</f>
        <v>#NAME?</v>
      </c>
      <c r="CY421" s="3" t="e">
        <f ca="1">_xll.BDH($C$403,"INVENT_TURN","FQ3 2017","FQ3 2017","Currency=INR","Period=FQ","BEST_FPERIOD_OVERRIDE=FQ","FILING_STATUS=OR","EQY_CONSOLIDATED=Y","FA_ADJUSTED=GAAP","Sort=A","Dates=H","DateFormat=P","Fill=—","Direction=H","UseDPDF=Y")</f>
        <v>#NAME?</v>
      </c>
      <c r="CZ421" s="1" t="e">
        <f ca="1">_xll.BDH($C$403,"INVENT_DAYS","FQ3 2017","FQ3 2017","Currency=INR","Period=FQ","BEST_FPERIOD_OVERRIDE=FQ","FILING_STATUS=OR","EQY_CONSOLIDATED=Y","FA_ADJUSTED=GAAP","Sort=A","Dates=H","DateFormat=P","Fill=—","Direction=H","UseDPDF=Y")</f>
        <v>#NAME?</v>
      </c>
      <c r="DA421" s="3" t="e">
        <f ca="1">_xll.BDH($C$403,"ACCOUNTS_PAYABLE_TURNOVER","FQ3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21" s="1" t="e">
        <f ca="1">_xll.BDH($C$403,"ACCOUNTS_PAYABLE_TURNOVER_DAYS","FQ3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21" s="3" t="e">
        <f ca="1">_xll.BDH($C$403,"CASH_CONVERSION_CYCLE","FQ3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21" s="3" t="e">
        <f ca="1">_xll.BDH($C$403,"INV_TO_CASH_DAYS","FQ3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421" s="4" t="e">
        <f ca="1">_xll.BDH($C$403,"BS_INVENTORIES","FQ3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421" s="2" t="e">
        <f ca="1">_xll.BDH($C$403,"INVTRY_RAW_MATERIALS","FQ3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21" s="2" t="e">
        <f ca="1">_xll.BDH($C$403,"INVTRY_IN_PROGRESS","FQ3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21" s="2" t="e">
        <f ca="1">_xll.BDH($C$403,"INVTRY_FINISHED_GOODS","FQ3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21" s="2" t="e">
        <f ca="1">_xll.BDH($C$403,"BS_OTHER_INV","FQ3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22" spans="1:113" x14ac:dyDescent="0.3">
      <c r="A422" s="6"/>
      <c r="B422" s="6"/>
      <c r="C422" s="6"/>
      <c r="D422" s="6"/>
      <c r="E422" t="s">
        <v>7</v>
      </c>
      <c r="F422" t="e">
        <f ca="1">_xll.BDH($C$403,"RETURN_COM_EQY","FQ4 2017","FQ4 2017","Currency=INR","Period=FQ","BEST_FPERIOD_OVERRIDE=FQ","FILING_STATUS=OR","EQY_CONSOLIDATED=Y","FA_ADJUSTED=GAAP","Sort=A","Dates=H","DateFormat=P","Fill=—","Direction=H","UseDPDF=Y")</f>
        <v>#NAME?</v>
      </c>
      <c r="G422" t="e">
        <f ca="1">_xll.BDH($C$403,"RETURN_ON_ASSET","FQ4 2017","FQ4 2017","Currency=INR","Period=FQ","BEST_FPERIOD_OVERRIDE=FQ","FILING_STATUS=OR","EQY_CONSOLIDATED=Y","FA_ADJUSTED=GAAP","Sort=A","Dates=H","DateFormat=P","Fill=—","Direction=H","UseDPDF=Y")</f>
        <v>#NAME?</v>
      </c>
      <c r="H422" t="e">
        <f ca="1">_xll.BDH($C$403,"RETURN_ON_CAP","FQ4 2017","FQ4 2017","Currency=INR","Period=FQ","BEST_FPERIOD_OVERRIDE=FQ","FILING_STATUS=OR","EQY_CONSOLIDATED=Y","FA_ADJUSTED=GAAP","Sort=A","Dates=H","DateFormat=P","Fill=—","Direction=H","UseDPDF=Y")</f>
        <v>#NAME?</v>
      </c>
      <c r="I422" t="e">
        <f ca="1">_xll.BDH($C$403,"RETURN_ON_INV_CAPITAL","FQ4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22" t="e">
        <f ca="1">_xll.BDH($C$403,"EBITDA_TO_REVENUE","FQ4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422" t="e">
        <f ca="1">_xll.BDH($C$403,"OPER_MARGIN","FQ4 2017","FQ4 2017","Currency=INR","Period=FQ","BEST_FPERIOD_OVERRIDE=FQ","FILING_STATUS=OR","EQY_CONSOLIDATED=Y","FA_ADJUSTED=GAAP","Sort=A","Dates=H","DateFormat=P","Fill=—","Direction=H","UseDPDF=Y")</f>
        <v>#NAME?</v>
      </c>
      <c r="L422" t="e">
        <f ca="1">_xll.BDH($C$403,"INCREMENTAL_OPERATING_MARGIN","FQ4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22" t="e">
        <f ca="1">_xll.BDH($C$403,"PRETAX_INC_TO_NET_SALES","FQ4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22" t="e">
        <f ca="1">_xll.BDH($C$403,"INC_BEF_XO_ITEMS_TO_NET_SALES","FQ4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22" t="e">
        <f ca="1">_xll.BDH($C$403,"PROF_MARGIN","FQ4 2017","FQ4 2017","Currency=INR","Period=FQ","BEST_FPERIOD_OVERRIDE=FQ","FILING_STATUS=OR","EQY_CONSOLIDATED=Y","FA_ADJUSTED=GAAP","Sort=A","Dates=H","DateFormat=P","Fill=—","Direction=H","UseDPDF=Y")</f>
        <v>#NAME?</v>
      </c>
      <c r="P422" t="e">
        <f ca="1">_xll.BDH($C$403,"NET_INCOME_TO_COMMON_MARGIN","FQ4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22" t="e">
        <f ca="1">_xll.BDH($C$403,"EFF_TAX_RATE","FQ4 2017","FQ4 2017","Currency=INR","Period=FQ","BEST_FPERIOD_OVERRIDE=FQ","FILING_STATUS=OR","EQY_CONSOLIDATED=Y","FA_ADJUSTED=GAAP","Sort=A","Dates=H","DateFormat=P","Fill=—","Direction=H","UseDPDF=Y")</f>
        <v>#NAME?</v>
      </c>
      <c r="R422" t="e">
        <f ca="1">_xll.BDH($C$403,"DVD_PAYOUT_RATIO","FQ4 2017","FQ4 2017","Currency=INR","Period=FQ","BEST_FPERIOD_OVERRIDE=FQ","FILING_STATUS=OR","EQY_CONSOLIDATED=Y","FA_ADJUSTED=GAAP","Sort=A","Dates=H","DateFormat=P","Fill=—","Direction=H","UseDPDF=Y")</f>
        <v>#NAME?</v>
      </c>
      <c r="S422" t="e">
        <f ca="1">_xll.BDH($C$403,"SUSTAIN_GROWTH_RT","FQ4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422" s="1" t="e">
        <f ca="1">_xll.BDH($C$403,"SALES_GROWTH","FQ4 2017","FQ4 2017","Currency=INR","Period=FQ","BEST_FPERIOD_OVERRIDE=FQ","FILING_STATUS=OR","EQY_CONSOLIDATED=Y","FA_ADJUSTED=GAAP","Sort=A","Dates=H","DateFormat=P","Fill=—","Direction=H","UseDPDF=Y")</f>
        <v>#NAME?</v>
      </c>
      <c r="U422" s="1" t="e">
        <f ca="1">_xll.BDH($C$403,"EBITDA_GROWTH","FQ4 2017","FQ4 2017","Currency=INR","Period=FQ","BEST_FPERIOD_OVERRIDE=FQ","FILING_STATUS=OR","EQY_CONSOLIDATED=Y","FA_ADJUSTED=GAAP","Sort=A","Dates=H","DateFormat=P","Fill=—","Direction=H","UseDPDF=Y")</f>
        <v>#NAME?</v>
      </c>
      <c r="V422" s="1" t="e">
        <f ca="1">_xll.BDH($C$403,"OPER_INC_GROWTH","FQ4 2017","FQ4 2017","Currency=INR","Period=FQ","BEST_FPERIOD_OVERRIDE=FQ","FILING_STATUS=OR","EQY_CONSOLIDATED=Y","FA_ADJUSTED=GAAP","Sort=A","Dates=H","DateFormat=P","Fill=—","Direction=H","UseDPDF=Y")</f>
        <v>#NAME?</v>
      </c>
      <c r="W422" s="1" t="e">
        <f ca="1">_xll.BDH($C$403,"EARN_FOR_COM_GROWTH","FQ4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22" s="1" t="e">
        <f ca="1">_xll.BDH($C$403,"DILUTED_EPS_AFT_XO_ITEMS_GROWTH","FQ4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22" s="1" t="e">
        <f ca="1">_xll.BDH($C$403,"DIVIDEND_PER_SHARE_1_YEAR_GROWTH","FQ4 2017","FQ4 2017","Currency=INR","Period=FQ","BEST_FPERIOD_OVERRIDE=FQ","FILING_STATUS=OR","EQY_CONSOLIDATED=Y","Sort=A","Dates=H","DateFormat=P","Fill=—","Direction=H","UseDPDF=Y")</f>
        <v>#NAME?</v>
      </c>
      <c r="Z422" s="1" t="e">
        <f ca="1">_xll.BDH($C$403,"ACCOUNTS_RECEIVABLE_GROWTH","FQ4 2017","FQ4 2017","Currency=INR","Period=FQ","BEST_FPERIOD_OVERRIDE=FQ","FILING_STATUS=OR","EQY_CONSOLIDATED=Y","Sort=A","Dates=H","DateFormat=P","Fill=—","Direction=H","UseDPDF=Y")</f>
        <v>#NAME?</v>
      </c>
      <c r="AA422" s="1" t="e">
        <f ca="1">_xll.BDH($C$403,"INVENTORY_GROWTH","FQ4 2017","FQ4 2017","Currency=INR","Period=FQ","BEST_FPERIOD_OVERRIDE=FQ","FILING_STATUS=OR","EQY_CONSOLIDATED=Y","Sort=A","Dates=H","DateFormat=P","Fill=—","Direction=H","UseDPDF=Y")</f>
        <v>#NAME?</v>
      </c>
      <c r="AB422" s="1" t="e">
        <f ca="1">_xll.BDH($C$403,"NET_FIXED_ASSETS_1_YEAR_GROWTH","FQ4 2017","FQ4 2017","Currency=INR","Period=FQ","BEST_FPERIOD_OVERRIDE=FQ","FILING_STATUS=OR","EQY_CONSOLIDATED=Y","Sort=A","Dates=H","DateFormat=P","Fill=—","Direction=H","UseDPDF=Y")</f>
        <v>#NAME?</v>
      </c>
      <c r="AC422" s="1" t="e">
        <f ca="1">_xll.BDH($C$403,"ASSET_GROWTH","FQ4 2017","FQ4 2017","Currency=INR","Period=FQ","BEST_FPERIOD_OVERRIDE=FQ","FILING_STATUS=OR","EQY_CONSOLIDATED=Y","Sort=A","Dates=H","DateFormat=P","Fill=—","Direction=H","UseDPDF=Y")</f>
        <v>#NAME?</v>
      </c>
      <c r="AD422" s="1" t="e">
        <f ca="1">_xll.BDH($C$403,"MODIFIED_WORK_CAP_GROWTH","FQ4 2017","FQ4 2017","Currency=INR","Period=FQ","BEST_FPERIOD_OVERRIDE=FQ","FILING_STATUS=OR","EQY_CONSOLIDATED=Y","Sort=A","Dates=H","DateFormat=P","Fill=—","Direction=H","UseDPDF=Y")</f>
        <v>#NAME?</v>
      </c>
      <c r="AE422" s="1" t="e">
        <f ca="1">_xll.BDH($C$403,"WORK_CAP_GROWTH","FQ4 2017","FQ4 2017","Currency=INR","Period=FQ","BEST_FPERIOD_OVERRIDE=FQ","FILING_STATUS=OR","EQY_CONSOLIDATED=Y","Sort=A","Dates=H","DateFormat=P","Fill=—","Direction=H","UseDPDF=Y")</f>
        <v>#NAME?</v>
      </c>
      <c r="AF422" s="1" t="e">
        <f ca="1">_xll.BDH($C$403,"ACCOUNTS_PAYABLE_GROWTH_1YR","FQ4 2017","FQ4 2017","Currency=INR","Period=FQ","BEST_FPERIOD_OVERRIDE=FQ","FILING_STATUS=OR","EQY_CONSOLIDATED=Y","Sort=A","Dates=H","DateFormat=P","Fill=—","Direction=H","UseDPDF=Y")</f>
        <v>#NAME?</v>
      </c>
      <c r="AG422" s="1" t="e">
        <f ca="1">_xll.BDH($C$403,"SHORT_TERM_DEBT_1_YEAR_GROWTH","FQ4 2017","FQ4 2017","Currency=INR","Period=FQ","BEST_FPERIOD_OVERRIDE=FQ","FILING_STATUS=OR","EQY_CONSOLIDATED=Y","Sort=A","Dates=H","DateFormat=P","Fill=—","Direction=H","UseDPDF=Y")</f>
        <v>#NAME?</v>
      </c>
      <c r="AH422" s="1" t="e">
        <f ca="1">_xll.BDH($C$403,"TOTAL_DEBT_1_YEAR_GROWTH","FQ4 2017","FQ4 2017","Currency=INR","Period=FQ","BEST_FPERIOD_OVERRIDE=FQ","FILING_STATUS=OR","EQY_CONSOLIDATED=Y","Sort=A","Dates=H","DateFormat=P","Fill=—","Direction=H","UseDPDF=Y")</f>
        <v>#NAME?</v>
      </c>
      <c r="AI422" s="1" t="e">
        <f ca="1">_xll.BDH($C$403,"TOTAL_EQUITY_1_YEAR_GROWTH","FQ4 2017","FQ4 2017","Currency=INR","Period=FQ","BEST_FPERIOD_OVERRIDE=FQ","FILING_STATUS=OR","EQY_CONSOLIDATED=Y","Sort=A","Dates=H","DateFormat=P","Fill=—","Direction=H","UseDPDF=Y")</f>
        <v>#NAME?</v>
      </c>
      <c r="AJ422" s="1" t="e">
        <f ca="1">_xll.BDH($C$403,"GROWTH_IN_CAP","FQ4 2017","FQ4 2017","Currency=INR","Period=FQ","BEST_FPERIOD_OVERRIDE=FQ","FILING_STATUS=OR","EQY_CONSOLIDATED=Y","Sort=A","Dates=H","DateFormat=P","Fill=—","Direction=H","UseDPDF=Y")</f>
        <v>#NAME?</v>
      </c>
      <c r="AK422" s="1" t="e">
        <f ca="1">_xll.BDH($C$403,"BVPS_GROWTH","FQ4 2017","FQ4 2017","Currency=INR","Period=FQ","BEST_FPERIOD_OVERRIDE=FQ","FILING_STATUS=OR","EQY_CONSOLIDATED=Y","Sort=A","Dates=H","DateFormat=P","Fill=—","Direction=H","UseDPDF=Y")</f>
        <v>#NAME?</v>
      </c>
      <c r="AL422" s="1" t="e">
        <f ca="1">_xll.BDH($C$403,"CASH_FLOW_GROWTH","FQ4 2017","FQ4 2017","Currency=INR","Period=FQ","BEST_FPERIOD_OVERRIDE=FQ","FILING_STATUS=OR","EQY_CONSOLIDATED=Y","Sort=A","Dates=H","DateFormat=P","Fill=—","Direction=H","UseDPDF=Y")</f>
        <v>#NAME?</v>
      </c>
      <c r="AM422" s="1" t="e">
        <f ca="1">_xll.BDH($C$403,"GEO_GROW_NET_SALES","FQ4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22" s="1" t="e">
        <f ca="1">_xll.BDH($C$403,"GEO_GROW_EBITDA","FQ4 2017","FQ4 2017","Currency=INR","Period=FQ","BEST_FPERIOD_OVERRIDE=FQ","FILING_STATUS=OR","EQY_CONSOLIDATED=Y","FA_ADJUSTED=GAAP","Sort=A","Dates=H","DateFormat=P","Fill=—","Direction=H","UseDPDF=Y")</f>
        <v>#NAME?</v>
      </c>
      <c r="AO422" s="1" t="e">
        <f ca="1">_xll.BDH($C$403,"GEO_GROW_OPER_INC","FQ4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22" s="1" t="e">
        <f ca="1">_xll.BDH($C$403,"NET_INCOME_TO_COMMON_5_YR_GROWTH","FQ4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22" s="1" t="e">
        <f ca="1">_xll.BDH($C$403,"5Y_GEO_GROWTH_DILUTED_EPS","FQ4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22" s="1" t="e">
        <f ca="1">_xll.BDH($C$403,"GEO_GROW_DVD_PER_SH","FQ4 2017","FQ4 2017","Currency=INR","Period=FQ","BEST_FPERIOD_OVERRIDE=FQ","FILING_STATUS=OR","EQY_CONSOLIDATED=Y","Sort=A","Dates=H","DateFormat=P","Fill=—","Direction=H","UseDPDF=Y")</f>
        <v>#NAME?</v>
      </c>
      <c r="AS422" s="1" t="e">
        <f ca="1">_xll.BDH($C$403,"ACCOUNTS_RECEIVABLE_5_YR_GROWTH","FQ4 2017","FQ4 2017","Currency=INR","Period=FQ","BEST_FPERIOD_OVERRIDE=FQ","FILING_STATUS=OR","EQY_CONSOLIDATED=Y","Sort=A","Dates=H","DateFormat=P","Fill=—","Direction=H","UseDPDF=Y")</f>
        <v>#NAME?</v>
      </c>
      <c r="AT422" s="1" t="e">
        <f ca="1">_xll.BDH($C$403,"INVENTORY_5_YEAR_GROWTH","FQ4 2017","FQ4 2017","Currency=INR","Period=FQ","BEST_FPERIOD_OVERRIDE=FQ","FILING_STATUS=OR","EQY_CONSOLIDATED=Y","Sort=A","Dates=H","DateFormat=P","Fill=—","Direction=H","UseDPDF=Y")</f>
        <v>#NAME?</v>
      </c>
      <c r="AU422" s="1" t="e">
        <f ca="1">_xll.BDH($C$403,"NET_FIXED_ASSETS_5_YEAR_GROWTH","FQ4 2017","FQ4 2017","Currency=INR","Period=FQ","BEST_FPERIOD_OVERRIDE=FQ","FILING_STATUS=OR","EQY_CONSOLIDATED=Y","Sort=A","Dates=H","DateFormat=P","Fill=—","Direction=H","UseDPDF=Y")</f>
        <v>#NAME?</v>
      </c>
      <c r="AV422" s="1" t="e">
        <f ca="1">_xll.BDH($C$403,"GEO_GROW_TOT_ASSET","FQ4 2017","FQ4 2017","Currency=INR","Period=FQ","BEST_FPERIOD_OVERRIDE=FQ","FILING_STATUS=OR","EQY_CONSOLIDATED=Y","Sort=A","Dates=H","DateFormat=P","Fill=—","Direction=H","UseDPDF=Y")</f>
        <v>#NAME?</v>
      </c>
      <c r="AW422" s="1" t="e">
        <f ca="1">_xll.BDH($C$403,"MODIFIED_WORKING_CPTL_5YR_GRWTH","FQ4 2017","FQ4 2017","Currency=INR","Period=FQ","BEST_FPERIOD_OVERRIDE=FQ","FILING_STATUS=OR","EQY_CONSOLIDATED=Y","Sort=A","Dates=H","DateFormat=P","Fill=—","Direction=H","UseDPDF=Y")</f>
        <v>#NAME?</v>
      </c>
      <c r="AX422" s="1" t="e">
        <f ca="1">_xll.BDH($C$403,"WORKING_CAPITAL_5_YEAR_GROWTH","FQ4 2017","FQ4 2017","Currency=INR","Period=FQ","BEST_FPERIOD_OVERRIDE=FQ","FILING_STATUS=OR","EQY_CONSOLIDATED=Y","Sort=A","Dates=H","DateFormat=P","Fill=—","Direction=H","UseDPDF=Y")</f>
        <v>#NAME?</v>
      </c>
      <c r="AY422" s="1" t="e">
        <f ca="1">_xll.BDH($C$403,"ACCOUNTS_PAYABLE_5_YEAR_GROWTH","FQ4 2017","FQ4 2017","Currency=INR","Period=FQ","BEST_FPERIOD_OVERRIDE=FQ","FILING_STATUS=OR","EQY_CONSOLIDATED=Y","Sort=A","Dates=H","DateFormat=P","Fill=—","Direction=H","UseDPDF=Y")</f>
        <v>#NAME?</v>
      </c>
      <c r="AZ422" s="1" t="e">
        <f ca="1">_xll.BDH($C$403,"SHORT_TERM_DEBT_5_YEAR_GROWTH","FQ4 2017","FQ4 2017","Currency=INR","Period=FQ","BEST_FPERIOD_OVERRIDE=FQ","FILING_STATUS=OR","EQY_CONSOLIDATED=Y","Sort=A","Dates=H","DateFormat=P","Fill=—","Direction=H","UseDPDF=Y")</f>
        <v>#NAME?</v>
      </c>
      <c r="BA422" s="1" t="e">
        <f ca="1">_xll.BDH($C$403,"TOTAL_DEBT_5_YEAR_GROWTH","FQ4 2017","FQ4 2017","Currency=INR","Period=FQ","BEST_FPERIOD_OVERRIDE=FQ","FILING_STATUS=OR","EQY_CONSOLIDATED=Y","Sort=A","Dates=H","DateFormat=P","Fill=—","Direction=H","UseDPDF=Y")</f>
        <v>#NAME?</v>
      </c>
      <c r="BB422" s="1" t="e">
        <f ca="1">_xll.BDH($C$403,"GEO_GROW_TOT_SHRHLDR_EQY","FQ4 2017","FQ4 2017","Currency=INR","Period=FQ","BEST_FPERIOD_OVERRIDE=FQ","FILING_STATUS=OR","EQY_CONSOLIDATED=Y","Sort=A","Dates=H","DateFormat=P","Fill=—","Direction=H","UseDPDF=Y")</f>
        <v>#NAME?</v>
      </c>
      <c r="BC422" s="1" t="e">
        <f ca="1">_xll.BDH($C$403,"TOTAL_CAPITAL_5_YEAR_GROWTH","FQ4 2017","FQ4 2017","Currency=INR","Period=FQ","BEST_FPERIOD_OVERRIDE=FQ","FILING_STATUS=OR","EQY_CONSOLIDATED=Y","Sort=A","Dates=H","DateFormat=P","Fill=—","Direction=H","UseDPDF=Y")</f>
        <v>#NAME?</v>
      </c>
      <c r="BD422" s="1" t="e">
        <f ca="1">_xll.BDH($C$403,"GEO_GROW_BOOK_VAL","FQ4 2017","FQ4 2017","Currency=INR","Period=FQ","BEST_FPERIOD_OVERRIDE=FQ","FILING_STATUS=OR","EQY_CONSOLIDATED=Y","Sort=A","Dates=H","DateFormat=P","Fill=—","Direction=H","UseDPDF=Y")</f>
        <v>#NAME?</v>
      </c>
      <c r="BE422" s="1" t="e">
        <f ca="1">_xll.BDH($C$403,"GEO_GROW_CASH_OPER_ACT","FQ4 2017","FQ4 2017","Currency=INR","Period=FQ","BEST_FPERIOD_OVERRIDE=FQ","FILING_STATUS=OR","EQY_CONSOLIDATED=Y","Sort=A","Dates=H","DateFormat=P","Fill=—","Direction=H","UseDPDF=Y")</f>
        <v>#NAME?</v>
      </c>
      <c r="BF422" s="1" t="e">
        <f ca="1">_xll.BDH($C$403,"REVENUE_SEQUENTIAL_GROWTH","FQ4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22" s="1" t="e">
        <f ca="1">_xll.BDH($C$403,"EBITDA_SEQUENTIAL_GROWTH","FQ4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22" s="1" t="e">
        <f ca="1">_xll.BDH($C$403,"OPERATING_INCOME_SEQ_GROWTH","FQ4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22" s="1" t="e">
        <f ca="1">_xll.BDH($C$403,"NET_INCOME_TO_COMMON_SEQ_GROWTH","FQ4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22" s="1" t="e">
        <f ca="1">_xll.BDH($C$403,"EPS_DILUTED_SEQUENTIAL_GROWTH","FQ4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22" s="1" t="e">
        <f ca="1">_xll.BDH($C$403,"DPS_SEQUENTIAL_GROWTH","FQ4 2017","FQ4 2017","Currency=INR","Period=FQ","BEST_FPERIOD_OVERRIDE=FQ","FILING_STATUS=OR","EQY_CONSOLIDATED=Y","Sort=A","Dates=H","DateFormat=P","Fill=—","Direction=H","UseDPDF=Y")</f>
        <v>#NAME?</v>
      </c>
      <c r="BL422" s="1" t="e">
        <f ca="1">_xll.BDH($C$403,"ACCOUNTS_RECEIVABLE_SEQ_GROWTH","FQ4 2017","FQ4 2017","Currency=INR","Period=FQ","BEST_FPERIOD_OVERRIDE=FQ","FILING_STATUS=OR","EQY_CONSOLIDATED=Y","Sort=A","Dates=H","DateFormat=P","Fill=—","Direction=H","UseDPDF=Y")</f>
        <v>#NAME?</v>
      </c>
      <c r="BM422" s="1" t="e">
        <f ca="1">_xll.BDH($C$403,"INVENTORY_SEQUENTIAL_GROWTH","FQ4 2017","FQ4 2017","Currency=INR","Period=FQ","BEST_FPERIOD_OVERRIDE=FQ","FILING_STATUS=OR","EQY_CONSOLIDATED=Y","Sort=A","Dates=H","DateFormat=P","Fill=—","Direction=H","UseDPDF=Y")</f>
        <v>#NAME?</v>
      </c>
      <c r="BN422" s="1" t="e">
        <f ca="1">_xll.BDH($C$403,"FIXED_ASSETS_SEQUENTIAL_GROWTH","FQ4 2017","FQ4 2017","Currency=INR","Period=FQ","BEST_FPERIOD_OVERRIDE=FQ","FILING_STATUS=OR","EQY_CONSOLIDATED=Y","Sort=A","Dates=H","DateFormat=P","Fill=—","Direction=H","UseDPDF=Y")</f>
        <v>#NAME?</v>
      </c>
      <c r="BO422" s="1" t="e">
        <f ca="1">_xll.BDH($C$403,"TOTAL_ASSETS_SEQUENTIAL_GROWTH","FQ4 2017","FQ4 2017","Currency=INR","Period=FQ","BEST_FPERIOD_OVERRIDE=FQ","FILING_STATUS=OR","EQY_CONSOLIDATED=Y","Sort=A","Dates=H","DateFormat=P","Fill=—","Direction=H","UseDPDF=Y")</f>
        <v>#NAME?</v>
      </c>
      <c r="BP422" s="1" t="e">
        <f ca="1">_xll.BDH($C$403,"MODIFIED_WORKING_CPTL_SEQ_GRWTH","FQ4 2017","FQ4 2017","Currency=INR","Period=FQ","BEST_FPERIOD_OVERRIDE=FQ","FILING_STATUS=OR","EQY_CONSOLIDATED=Y","Sort=A","Dates=H","DateFormat=P","Fill=—","Direction=H","UseDPDF=Y")</f>
        <v>#NAME?</v>
      </c>
      <c r="BQ422" s="1" t="e">
        <f ca="1">_xll.BDH($C$403,"WORKING_CAPITAL_SEQ_GROWTH","FQ4 2017","FQ4 2017","Currency=INR","Period=FQ","BEST_FPERIOD_OVERRIDE=FQ","FILING_STATUS=OR","EQY_CONSOLIDATED=Y","Sort=A","Dates=H","DateFormat=P","Fill=—","Direction=H","UseDPDF=Y")</f>
        <v>#NAME?</v>
      </c>
      <c r="BR422" s="1" t="e">
        <f ca="1">_xll.BDH($C$403,"ACCOUNTS_PAYABLE_SEQ_GROWTH","FQ4 2017","FQ4 2017","Currency=INR","Period=FQ","BEST_FPERIOD_OVERRIDE=FQ","FILING_STATUS=OR","EQY_CONSOLIDATED=Y","Sort=A","Dates=H","DateFormat=P","Fill=—","Direction=H","UseDPDF=Y")</f>
        <v>#NAME?</v>
      </c>
      <c r="BS422" s="1" t="e">
        <f ca="1">_xll.BDH($C$403,"ST_DEBT_SEQUENTIAL_GROWTH","FQ4 2017","FQ4 2017","Currency=INR","Period=FQ","BEST_FPERIOD_OVERRIDE=FQ","FILING_STATUS=OR","EQY_CONSOLIDATED=Y","Sort=A","Dates=H","DateFormat=P","Fill=—","Direction=H","UseDPDF=Y")</f>
        <v>#NAME?</v>
      </c>
      <c r="BT422" s="1" t="e">
        <f ca="1">_xll.BDH($C$403,"TOTAL_DEBT_SEQUENTIAL_GROWTH","FQ4 2017","FQ4 2017","Currency=INR","Period=FQ","BEST_FPERIOD_OVERRIDE=FQ","FILING_STATUS=OR","EQY_CONSOLIDATED=Y","Sort=A","Dates=H","DateFormat=P","Fill=—","Direction=H","UseDPDF=Y")</f>
        <v>#NAME?</v>
      </c>
      <c r="BU422" s="1" t="e">
        <f ca="1">_xll.BDH($C$403,"TOTAL_EQUITY_SEQUENTIAL_GROWTH","FQ4 2017","FQ4 2017","Currency=INR","Period=FQ","BEST_FPERIOD_OVERRIDE=FQ","FILING_STATUS=OR","EQY_CONSOLIDATED=Y","Sort=A","Dates=H","DateFormat=P","Fill=—","Direction=H","UseDPDF=Y")</f>
        <v>#NAME?</v>
      </c>
      <c r="BV422" s="1" t="e">
        <f ca="1">_xll.BDH($C$403,"TOTAL_CAPITAL_SEQUENTIAL_GROWTH","FQ4 2017","FQ4 2017","Currency=INR","Period=FQ","BEST_FPERIOD_OVERRIDE=FQ","FILING_STATUS=OR","EQY_CONSOLIDATED=Y","Sort=A","Dates=H","DateFormat=P","Fill=—","Direction=H","UseDPDF=Y")</f>
        <v>#NAME?</v>
      </c>
      <c r="BW422" s="1" t="e">
        <f ca="1">_xll.BDH($C$403,"BPS_SEQUENTIAL_GROWTH","FQ4 2017","FQ4 2017","Currency=INR","Period=FQ","BEST_FPERIOD_OVERRIDE=FQ","FILING_STATUS=OR","EQY_CONSOLIDATED=Y","Sort=A","Dates=H","DateFormat=P","Fill=—","Direction=H","UseDPDF=Y")</f>
        <v>#NAME?</v>
      </c>
      <c r="BX422" s="1" t="e">
        <f ca="1">_xll.BDH($C$403,"CFO_SEQUENTIAL_GROWTH","FQ4 2017","FQ4 2017","Currency=INR","Period=FQ","BEST_FPERIOD_OVERRIDE=FQ","FILING_STATUS=OR","EQY_CONSOLIDATED=Y","Sort=A","Dates=H","DateFormat=P","Fill=—","Direction=H","UseDPDF=Y")</f>
        <v>#NAME?</v>
      </c>
      <c r="BY422" s="2" t="e">
        <f ca="1">_xll.BDH($C$403,"SHORT_AND_LONG_TERM_DEBT","FQ4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22" s="2" t="e">
        <f ca="1">_xll.BDH($C$403,"BS_ST_BORROW","FQ4 2017","FQ4 2017","Currency=INR","Period=FQ","BEST_FPERIOD_OVERRIDE=FQ","FILING_STATUS=OR","EQY_CONSOLIDATED=Y","SCALING_FORMAT=MLN","Sort=A","Dates=H","DateFormat=P","Fill=—","Direction=H","UseDPDF=Y")</f>
        <v>#NAME?</v>
      </c>
      <c r="CA422" s="2" t="e">
        <f ca="1">_xll.BDH($C$403,"BS_LT_BORROW","FQ4 2017","FQ4 2017","Currency=INR","Period=FQ","BEST_FPERIOD_OVERRIDE=FQ","FILING_STATUS=OR","EQY_CONSOLIDATED=Y","SCALING_FORMAT=MLN","Sort=A","Dates=H","DateFormat=P","Fill=—","Direction=H","UseDPDF=Y")</f>
        <v>#NAME?</v>
      </c>
      <c r="CB422" s="1" t="e">
        <f ca="1">_xll.BDH($C$403,"TOT_DEBT_TO_EBITDA","FQ4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22" s="1" t="e">
        <f ca="1">_xll.BDH($C$403,"NET_DEBT_TO_EBITDA","FQ4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22" s="1" t="e">
        <f ca="1">_xll.BDH($C$403,"TOTAL_DEBT_TO_EBIT","FQ4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22" s="1" t="e">
        <f ca="1">_xll.BDH($C$403,"NET_DEBT_TO_EBIT","FQ4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422" s="1" t="e">
        <f ca="1">_xll.BDH($C$403,"EBITDA_TO_INTEREST_EXPN","FQ4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22" s="1" t="e">
        <f ca="1">_xll.BDH($C$403,"COM_EQY_TO_TOT_ASSET","FQ4 2017","FQ4 2017","Currency=INR","Period=FQ","BEST_FPERIOD_OVERRIDE=FQ","FILING_STATUS=OR","EQY_CONSOLIDATED=Y","Sort=A","Dates=H","DateFormat=P","Fill=—","Direction=H","UseDPDF=Y")</f>
        <v>#NAME?</v>
      </c>
      <c r="CH422" s="1" t="e">
        <f ca="1">_xll.BDH($C$403,"LT_DEBT_TO_TOT_EQY","FQ4 2017","FQ4 2017","Currency=INR","Period=FQ","BEST_FPERIOD_OVERRIDE=FQ","FILING_STATUS=OR","EQY_CONSOLIDATED=Y","Sort=A","Dates=H","DateFormat=P","Fill=—","Direction=H","UseDPDF=Y")</f>
        <v>#NAME?</v>
      </c>
      <c r="CI422" s="1" t="e">
        <f ca="1">_xll.BDH($C$403,"LT_DEBT_TO_TOT_CAP","FQ4 2017","FQ4 2017","Currency=INR","Period=FQ","BEST_FPERIOD_OVERRIDE=FQ","FILING_STATUS=OR","EQY_CONSOLIDATED=Y","Sort=A","Dates=H","DateFormat=P","Fill=—","Direction=H","UseDPDF=Y")</f>
        <v>#NAME?</v>
      </c>
      <c r="CJ422" s="1" t="e">
        <f ca="1">_xll.BDH($C$403,"LT_DEBT_TO_TOT_ASSET","FQ4 2017","FQ4 2017","Currency=INR","Period=FQ","BEST_FPERIOD_OVERRIDE=FQ","FILING_STATUS=OR","EQY_CONSOLIDATED=Y","Sort=A","Dates=H","DateFormat=P","Fill=—","Direction=H","UseDPDF=Y")</f>
        <v>#NAME?</v>
      </c>
      <c r="CK422" s="1" t="e">
        <f ca="1">_xll.BDH($C$403,"TOT_DEBT_TO_TOT_EQY","FQ4 2017","FQ4 2017","Currency=INR","Period=FQ","BEST_FPERIOD_OVERRIDE=FQ","FILING_STATUS=OR","EQY_CONSOLIDATED=Y","Sort=A","Dates=H","DateFormat=P","Fill=—","Direction=H","UseDPDF=Y")</f>
        <v>#NAME?</v>
      </c>
      <c r="CL422" s="1" t="e">
        <f ca="1">_xll.BDH($C$403,"TOT_DEBT_TO_TOT_CAP","FQ4 2017","FQ4 2017","Currency=INR","Period=FQ","BEST_FPERIOD_OVERRIDE=FQ","FILING_STATUS=OR","EQY_CONSOLIDATED=Y","Sort=A","Dates=H","DateFormat=P","Fill=—","Direction=H","UseDPDF=Y")</f>
        <v>#NAME?</v>
      </c>
      <c r="CM422" s="1" t="e">
        <f ca="1">_xll.BDH($C$403,"TOT_DEBT_TO_TOT_ASSET","FQ4 2017","FQ4 2017","Currency=INR","Period=FQ","BEST_FPERIOD_OVERRIDE=FQ","FILING_STATUS=OR","EQY_CONSOLIDATED=Y","Sort=A","Dates=H","DateFormat=P","Fill=—","Direction=H","UseDPDF=Y")</f>
        <v>#NAME?</v>
      </c>
      <c r="CN422" s="1" t="e">
        <f ca="1">_xll.BDH($C$403,"NET_DEBT_TO_SHRHLDR_EQTY","FQ4 2017","FQ4 2017","Currency=INR","Period=FQ","BEST_FPERIOD_OVERRIDE=FQ","FILING_STATUS=OR","EQY_CONSOLIDATED=Y","Sort=A","Dates=H","DateFormat=P","Fill=—","Direction=H","UseDPDF=Y")</f>
        <v>#NAME?</v>
      </c>
      <c r="CO422" s="1" t="e">
        <f ca="1">_xll.BDH($C$403,"NET_DEBT_%_CAPITAL","FQ4 2017","FQ4 2017","Currency=INR","Period=FQ","BEST_FPERIOD_OVERRIDE=FQ","FILING_STATUS=OR","EQY_CONSOLIDATED=Y","Sort=A","Dates=H","DateFormat=P","Fill=—","Direction=H","UseDPDF=Y")</f>
        <v>#NAME?</v>
      </c>
      <c r="CP422" s="2" t="e">
        <f ca="1">_xll.BDH($C$403,"EBITDA","FQ4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22" s="2" t="e">
        <f ca="1">_xll.BDH($C$403,"EBITDA_AFTER_CAPEX","FQ4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22" s="2" t="e">
        <f ca="1">_xll.BDH($C$403,"IS_OPER_INC","FQ4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22" s="1" t="e">
        <f ca="1">_xll.BDH($C$403,"CASH_RATIO","FQ4 2017","FQ4 2017","Currency=INR","Period=FQ","BEST_FPERIOD_OVERRIDE=FQ","FILING_STATUS=OR","EQY_CONSOLIDATED=Y","Sort=A","Dates=H","DateFormat=P","Fill=—","Direction=H","UseDPDF=Y")</f>
        <v>#NAME?</v>
      </c>
      <c r="CT422" s="1" t="e">
        <f ca="1">_xll.BDH($C$403,"CUR_RATIO","FQ4 2017","FQ4 2017","Currency=INR","Period=FQ","BEST_FPERIOD_OVERRIDE=FQ","FILING_STATUS=OR","EQY_CONSOLIDATED=Y","Sort=A","Dates=H","DateFormat=P","Fill=—","Direction=H","UseDPDF=Y")</f>
        <v>#NAME?</v>
      </c>
      <c r="CU422" s="1" t="e">
        <f ca="1">_xll.BDH($C$403,"QUICK_RATIO","FQ4 2017","FQ4 2017","Currency=INR","Period=FQ","BEST_FPERIOD_OVERRIDE=FQ","FILING_STATUS=OR","EQY_CONSOLIDATED=Y","Sort=A","Dates=H","DateFormat=P","Fill=—","Direction=H","UseDPDF=Y")</f>
        <v>#NAME?</v>
      </c>
      <c r="CV422" s="1" t="e">
        <f ca="1">_xll.BDH($C$403,"ALTMAN_Z_SCORE","FQ4 2017","FQ4 2017","Currency=INR","Period=FQ","BEST_FPERIOD_OVERRIDE=FQ","FILING_STATUS=OR","EQY_CONSOLIDATED=Y","Sort=A","Dates=H","DateFormat=P","Fill=—","Direction=H","UseDPDF=Y")</f>
        <v>#NAME?</v>
      </c>
      <c r="CW422" s="3" t="e">
        <f ca="1">_xll.BDH($C$403,"ACCT_RCV_TURN","FQ4 2017","FQ4 2017","Currency=INR","Period=FQ","BEST_FPERIOD_OVERRIDE=FQ","FILING_STATUS=OR","EQY_CONSOLIDATED=Y","FA_ADJUSTED=GAAP","Sort=A","Dates=H","DateFormat=P","Fill=—","Direction=H","UseDPDF=Y")</f>
        <v>#NAME?</v>
      </c>
      <c r="CX422" s="1" t="e">
        <f ca="1">_xll.BDH($C$403,"ACCT_RCV_DAYS","FQ4 2017","FQ4 2017","Currency=INR","Period=FQ","BEST_FPERIOD_OVERRIDE=FQ","FILING_STATUS=OR","EQY_CONSOLIDATED=Y","FA_ADJUSTED=GAAP","Sort=A","Dates=H","DateFormat=P","Fill=—","Direction=H","UseDPDF=Y")</f>
        <v>#NAME?</v>
      </c>
      <c r="CY422" s="3" t="e">
        <f ca="1">_xll.BDH($C$403,"INVENT_TURN","FQ4 2017","FQ4 2017","Currency=INR","Period=FQ","BEST_FPERIOD_OVERRIDE=FQ","FILING_STATUS=OR","EQY_CONSOLIDATED=Y","FA_ADJUSTED=GAAP","Sort=A","Dates=H","DateFormat=P","Fill=—","Direction=H","UseDPDF=Y")</f>
        <v>#NAME?</v>
      </c>
      <c r="CZ422" s="1" t="e">
        <f ca="1">_xll.BDH($C$403,"INVENT_DAYS","FQ4 2017","FQ4 2017","Currency=INR","Period=FQ","BEST_FPERIOD_OVERRIDE=FQ","FILING_STATUS=OR","EQY_CONSOLIDATED=Y","FA_ADJUSTED=GAAP","Sort=A","Dates=H","DateFormat=P","Fill=—","Direction=H","UseDPDF=Y")</f>
        <v>#NAME?</v>
      </c>
      <c r="DA422" s="3" t="e">
        <f ca="1">_xll.BDH($C$403,"ACCOUNTS_PAYABLE_TURNOVER","FQ4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22" s="1" t="e">
        <f ca="1">_xll.BDH($C$403,"ACCOUNTS_PAYABLE_TURNOVER_DAYS","FQ4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22" s="3" t="e">
        <f ca="1">_xll.BDH($C$403,"CASH_CONVERSION_CYCLE","FQ4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22" s="3" t="e">
        <f ca="1">_xll.BDH($C$403,"INV_TO_CASH_DAYS","FQ4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422" s="4" t="e">
        <f ca="1">_xll.BDH($C$403,"BS_INVENTORIES","FQ4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422" s="2" t="e">
        <f ca="1">_xll.BDH($C$403,"INVTRY_RAW_MATERIALS","FQ4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22" s="2" t="e">
        <f ca="1">_xll.BDH($C$403,"INVTRY_IN_PROGRESS","FQ4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22" s="2" t="e">
        <f ca="1">_xll.BDH($C$403,"INVTRY_FINISHED_GOODS","FQ4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22" s="2" t="e">
        <f ca="1">_xll.BDH($C$403,"BS_OTHER_INV","FQ4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23" spans="1:113" x14ac:dyDescent="0.3">
      <c r="A423" s="6"/>
      <c r="B423" s="6"/>
      <c r="C423" s="6"/>
      <c r="D423" s="6" t="s">
        <v>11</v>
      </c>
      <c r="E423" t="s">
        <v>3</v>
      </c>
      <c r="F423" t="e">
        <f ca="1">_xll.BDH($C$403,"RETURN_COM_EQY","FY 2018","FY 2018","Currency=INR","Period=FY","BEST_FPERIOD_OVERRIDE=FY","FILING_STATUS=OR","EQY_CONSOLIDATED=Y","FA_ADJUSTED=GAAP","Sort=A","Dates=H","DateFormat=P","Fill=—","Direction=H","UseDPDF=Y")</f>
        <v>#NAME?</v>
      </c>
      <c r="G423" t="e">
        <f ca="1">_xll.BDH($C$403,"RETURN_ON_ASSET","FY 2018","FY 2018","Currency=INR","Period=FY","BEST_FPERIOD_OVERRIDE=FY","FILING_STATUS=OR","EQY_CONSOLIDATED=Y","FA_ADJUSTED=GAAP","Sort=A","Dates=H","DateFormat=P","Fill=—","Direction=H","UseDPDF=Y")</f>
        <v>#NAME?</v>
      </c>
      <c r="H423" t="e">
        <f ca="1">_xll.BDH($C$403,"RETURN_ON_CAP","FY 2018","FY 2018","Currency=INR","Period=FY","BEST_FPERIOD_OVERRIDE=FY","FILING_STATUS=OR","EQY_CONSOLIDATED=Y","FA_ADJUSTED=GAAP","Sort=A","Dates=H","DateFormat=P","Fill=—","Direction=H","UseDPDF=Y")</f>
        <v>#NAME?</v>
      </c>
      <c r="I423" t="e">
        <f ca="1">_xll.BDH($C$403,"RETURN_ON_INV_CAPITAL","FY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23" t="e">
        <f ca="1">_xll.BDH($C$403,"EBITDA_TO_REVENUE","FY 2018","FY 2018","Currency=INR","Period=FY","BEST_FPERIOD_OVERRIDE=FY","FILING_STATUS=OR","EQY_CONSOLIDATED=Y","FA_ADJUSTED=GAAP","Sort=A","Dates=H","DateFormat=P","Fill=—","Direction=H","UseDPDF=Y")</f>
        <v>#NAME?</v>
      </c>
      <c r="K423" t="e">
        <f ca="1">_xll.BDH($C$403,"OPER_MARGIN","FY 2018","FY 2018","Currency=INR","Period=FY","BEST_FPERIOD_OVERRIDE=FY","FILING_STATUS=OR","EQY_CONSOLIDATED=Y","FA_ADJUSTED=GAAP","Sort=A","Dates=H","DateFormat=P","Fill=—","Direction=H","UseDPDF=Y")</f>
        <v>#NAME?</v>
      </c>
      <c r="L423" t="e">
        <f ca="1">_xll.BDH($C$403,"INCREMENTAL_OPERATING_MARGIN","FY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23" t="e">
        <f ca="1">_xll.BDH($C$403,"PRETAX_INC_TO_NET_SALES","FY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23" t="e">
        <f ca="1">_xll.BDH($C$403,"INC_BEF_XO_ITEMS_TO_NET_SALES","FY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23" t="e">
        <f ca="1">_xll.BDH($C$403,"PROF_MARGIN","FY 2018","FY 2018","Currency=INR","Period=FY","BEST_FPERIOD_OVERRIDE=FY","FILING_STATUS=OR","EQY_CONSOLIDATED=Y","FA_ADJUSTED=GAAP","Sort=A","Dates=H","DateFormat=P","Fill=—","Direction=H","UseDPDF=Y")</f>
        <v>#NAME?</v>
      </c>
      <c r="P423" t="e">
        <f ca="1">_xll.BDH($C$403,"NET_INCOME_TO_COMMON_MARGIN","FY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23" t="e">
        <f ca="1">_xll.BDH($C$403,"EFF_TAX_RATE","FY 2018","FY 2018","Currency=INR","Period=FY","BEST_FPERIOD_OVERRIDE=FY","FILING_STATUS=OR","EQY_CONSOLIDATED=Y","FA_ADJUSTED=GAAP","Sort=A","Dates=H","DateFormat=P","Fill=—","Direction=H","UseDPDF=Y")</f>
        <v>#NAME?</v>
      </c>
      <c r="R423" t="e">
        <f ca="1">_xll.BDH($C$403,"DVD_PAYOUT_RATIO","FY 2018","FY 2018","Currency=INR","Period=FY","BEST_FPERIOD_OVERRIDE=FY","FILING_STATUS=OR","EQY_CONSOLIDATED=Y","FA_ADJUSTED=GAAP","Sort=A","Dates=H","DateFormat=P","Fill=—","Direction=H","UseDPDF=Y")</f>
        <v>#NAME?</v>
      </c>
      <c r="S423" t="e">
        <f ca="1">_xll.BDH($C$403,"SUSTAIN_GROWTH_RT","FY 2018","FY 2018","Currency=INR","Period=FY","BEST_FPERIOD_OVERRIDE=FY","FILING_STATUS=OR","EQY_CONSOLIDATED=Y","FA_ADJUSTED=GAAP","Sort=A","Dates=H","DateFormat=P","Fill=—","Direction=H","UseDPDF=Y")</f>
        <v>#NAME?</v>
      </c>
      <c r="T423" s="1" t="e">
        <f ca="1">_xll.BDH($C$403,"SALES_GROWTH","FY 2018","FY 2018","Currency=INR","Period=FY","BEST_FPERIOD_OVERRIDE=FY","FILING_STATUS=OR","EQY_CONSOLIDATED=Y","FA_ADJUSTED=GAAP","Sort=A","Dates=H","DateFormat=P","Fill=—","Direction=H","UseDPDF=Y")</f>
        <v>#NAME?</v>
      </c>
      <c r="U423" s="1" t="e">
        <f ca="1">_xll.BDH($C$403,"EBITDA_GROWTH","FY 2018","FY 2018","Currency=INR","Period=FY","BEST_FPERIOD_OVERRIDE=FY","FILING_STATUS=OR","EQY_CONSOLIDATED=Y","FA_ADJUSTED=GAAP","Sort=A","Dates=H","DateFormat=P","Fill=—","Direction=H","UseDPDF=Y")</f>
        <v>#NAME?</v>
      </c>
      <c r="V423" s="1" t="e">
        <f ca="1">_xll.BDH($C$403,"OPER_INC_GROWTH","FY 2018","FY 2018","Currency=INR","Period=FY","BEST_FPERIOD_OVERRIDE=FY","FILING_STATUS=OR","EQY_CONSOLIDATED=Y","FA_ADJUSTED=GAAP","Sort=A","Dates=H","DateFormat=P","Fill=—","Direction=H","UseDPDF=Y")</f>
        <v>#NAME?</v>
      </c>
      <c r="W423" s="1" t="e">
        <f ca="1">_xll.BDH($C$403,"EARN_FOR_COM_GROWTH","FY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423" s="1" t="e">
        <f ca="1">_xll.BDH($C$403,"DILUTED_EPS_AFT_XO_ITEMS_GROWTH","FY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23" s="1" t="e">
        <f ca="1">_xll.BDH($C$403,"DIVIDEND_PER_SHARE_1_YEAR_GROWTH","FY 2018","FY 2018","Currency=INR","Period=FY","BEST_FPERIOD_OVERRIDE=FY","FILING_STATUS=OR","EQY_CONSOLIDATED=Y","Sort=A","Dates=H","DateFormat=P","Fill=—","Direction=H","UseDPDF=Y")</f>
        <v>#NAME?</v>
      </c>
      <c r="Z423" s="1" t="e">
        <f ca="1">_xll.BDH($C$403,"ACCOUNTS_RECEIVABLE_GROWTH","FY 2018","FY 2018","Currency=INR","Period=FY","BEST_FPERIOD_OVERRIDE=FY","FILING_STATUS=OR","EQY_CONSOLIDATED=Y","Sort=A","Dates=H","DateFormat=P","Fill=—","Direction=H","UseDPDF=Y")</f>
        <v>#NAME?</v>
      </c>
      <c r="AA423" s="1" t="e">
        <f ca="1">_xll.BDH($C$403,"INVENTORY_GROWTH","FY 2018","FY 2018","Currency=INR","Period=FY","BEST_FPERIOD_OVERRIDE=FY","FILING_STATUS=OR","EQY_CONSOLIDATED=Y","Sort=A","Dates=H","DateFormat=P","Fill=—","Direction=H","UseDPDF=Y")</f>
        <v>#NAME?</v>
      </c>
      <c r="AB423" s="1" t="e">
        <f ca="1">_xll.BDH($C$403,"NET_FIXED_ASSETS_1_YEAR_GROWTH","FY 2018","FY 2018","Currency=INR","Period=FY","BEST_FPERIOD_OVERRIDE=FY","FILING_STATUS=OR","EQY_CONSOLIDATED=Y","Sort=A","Dates=H","DateFormat=P","Fill=—","Direction=H","UseDPDF=Y")</f>
        <v>#NAME?</v>
      </c>
      <c r="AC423" s="1" t="e">
        <f ca="1">_xll.BDH($C$403,"ASSET_GROWTH","FY 2018","FY 2018","Currency=INR","Period=FY","BEST_FPERIOD_OVERRIDE=FY","FILING_STATUS=OR","EQY_CONSOLIDATED=Y","Sort=A","Dates=H","DateFormat=P","Fill=—","Direction=H","UseDPDF=Y")</f>
        <v>#NAME?</v>
      </c>
      <c r="AD423" s="1" t="e">
        <f ca="1">_xll.BDH($C$403,"MODIFIED_WORK_CAP_GROWTH","FY 2018","FY 2018","Currency=INR","Period=FY","BEST_FPERIOD_OVERRIDE=FY","FILING_STATUS=OR","EQY_CONSOLIDATED=Y","Sort=A","Dates=H","DateFormat=P","Fill=—","Direction=H","UseDPDF=Y")</f>
        <v>#NAME?</v>
      </c>
      <c r="AE423" s="1" t="e">
        <f ca="1">_xll.BDH($C$403,"WORK_CAP_GROWTH","FY 2018","FY 2018","Currency=INR","Period=FY","BEST_FPERIOD_OVERRIDE=FY","FILING_STATUS=OR","EQY_CONSOLIDATED=Y","Sort=A","Dates=H","DateFormat=P","Fill=—","Direction=H","UseDPDF=Y")</f>
        <v>#NAME?</v>
      </c>
      <c r="AF423" s="1" t="e">
        <f ca="1">_xll.BDH($C$403,"ACCOUNTS_PAYABLE_GROWTH_1YR","FY 2018","FY 2018","Currency=INR","Period=FY","BEST_FPERIOD_OVERRIDE=FY","FILING_STATUS=OR","EQY_CONSOLIDATED=Y","Sort=A","Dates=H","DateFormat=P","Fill=—","Direction=H","UseDPDF=Y")</f>
        <v>#NAME?</v>
      </c>
      <c r="AG423" s="1" t="e">
        <f ca="1">_xll.BDH($C$403,"SHORT_TERM_DEBT_1_YEAR_GROWTH","FY 2018","FY 2018","Currency=INR","Period=FY","BEST_FPERIOD_OVERRIDE=FY","FILING_STATUS=OR","EQY_CONSOLIDATED=Y","Sort=A","Dates=H","DateFormat=P","Fill=—","Direction=H","UseDPDF=Y")</f>
        <v>#NAME?</v>
      </c>
      <c r="AH423" s="1" t="e">
        <f ca="1">_xll.BDH($C$403,"TOTAL_DEBT_1_YEAR_GROWTH","FY 2018","FY 2018","Currency=INR","Period=FY","BEST_FPERIOD_OVERRIDE=FY","FILING_STATUS=OR","EQY_CONSOLIDATED=Y","Sort=A","Dates=H","DateFormat=P","Fill=—","Direction=H","UseDPDF=Y")</f>
        <v>#NAME?</v>
      </c>
      <c r="AI423" s="1" t="e">
        <f ca="1">_xll.BDH($C$403,"TOTAL_EQUITY_1_YEAR_GROWTH","FY 2018","FY 2018","Currency=INR","Period=FY","BEST_FPERIOD_OVERRIDE=FY","FILING_STATUS=OR","EQY_CONSOLIDATED=Y","Sort=A","Dates=H","DateFormat=P","Fill=—","Direction=H","UseDPDF=Y")</f>
        <v>#NAME?</v>
      </c>
      <c r="AJ423" s="1" t="e">
        <f ca="1">_xll.BDH($C$403,"GROWTH_IN_CAP","FY 2018","FY 2018","Currency=INR","Period=FY","BEST_FPERIOD_OVERRIDE=FY","FILING_STATUS=OR","EQY_CONSOLIDATED=Y","Sort=A","Dates=H","DateFormat=P","Fill=—","Direction=H","UseDPDF=Y")</f>
        <v>#NAME?</v>
      </c>
      <c r="AK423" s="1" t="e">
        <f ca="1">_xll.BDH($C$403,"BVPS_GROWTH","FY 2018","FY 2018","Currency=INR","Period=FY","BEST_FPERIOD_OVERRIDE=FY","FILING_STATUS=OR","EQY_CONSOLIDATED=Y","Sort=A","Dates=H","DateFormat=P","Fill=—","Direction=H","UseDPDF=Y")</f>
        <v>#NAME?</v>
      </c>
      <c r="AL423" s="1" t="e">
        <f ca="1">_xll.BDH($C$403,"CASH_FLOW_GROWTH","FY 2018","FY 2018","Currency=INR","Period=FY","BEST_FPERIOD_OVERRIDE=FY","FILING_STATUS=OR","EQY_CONSOLIDATED=Y","Sort=A","Dates=H","DateFormat=P","Fill=—","Direction=H","UseDPDF=Y")</f>
        <v>#NAME?</v>
      </c>
      <c r="AM423" s="1" t="e">
        <f ca="1">_xll.BDH($C$403,"GEO_GROW_NET_SALES","FY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423" s="1" t="e">
        <f ca="1">_xll.BDH($C$403,"GEO_GROW_EBITDA","FY 2018","FY 2018","Currency=INR","Period=FY","BEST_FPERIOD_OVERRIDE=FY","FILING_STATUS=OR","EQY_CONSOLIDATED=Y","FA_ADJUSTED=GAAP","Sort=A","Dates=H","DateFormat=P","Fill=—","Direction=H","UseDPDF=Y")</f>
        <v>#NAME?</v>
      </c>
      <c r="AO423" s="1" t="e">
        <f ca="1">_xll.BDH($C$403,"GEO_GROW_OPER_INC","FY 2018","FY 2018","Currency=INR","Period=FY","BEST_FPERIOD_OVERRIDE=FY","FILING_STATUS=OR","EQY_CONSOLIDATED=Y","FA_ADJUSTED=GAAP","Sort=A","Dates=H","DateFormat=P","Fill=—","Direction=H","UseDPDF=Y")</f>
        <v>#NAME?</v>
      </c>
      <c r="AP423" s="1" t="e">
        <f ca="1">_xll.BDH($C$403,"NET_INCOME_TO_COMMON_5_YR_GROWTH","FY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23" s="1" t="e">
        <f ca="1">_xll.BDH($C$403,"5Y_GEO_GROWTH_DILUTED_EPS","FY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23" s="1" t="e">
        <f ca="1">_xll.BDH($C$403,"GEO_GROW_DVD_PER_SH","FY 2018","FY 2018","Currency=INR","Period=FY","BEST_FPERIOD_OVERRIDE=FY","FILING_STATUS=OR","EQY_CONSOLIDATED=Y","Sort=A","Dates=H","DateFormat=P","Fill=—","Direction=H","UseDPDF=Y")</f>
        <v>#NAME?</v>
      </c>
      <c r="AS423" s="1" t="e">
        <f ca="1">_xll.BDH($C$403,"ACCOUNTS_RECEIVABLE_5_YR_GROWTH","FY 2018","FY 2018","Currency=INR","Period=FY","BEST_FPERIOD_OVERRIDE=FY","FILING_STATUS=OR","EQY_CONSOLIDATED=Y","Sort=A","Dates=H","DateFormat=P","Fill=—","Direction=H","UseDPDF=Y")</f>
        <v>#NAME?</v>
      </c>
      <c r="AT423" s="1" t="e">
        <f ca="1">_xll.BDH($C$403,"INVENTORY_5_YEAR_GROWTH","FY 2018","FY 2018","Currency=INR","Period=FY","BEST_FPERIOD_OVERRIDE=FY","FILING_STATUS=OR","EQY_CONSOLIDATED=Y","Sort=A","Dates=H","DateFormat=P","Fill=—","Direction=H","UseDPDF=Y")</f>
        <v>#NAME?</v>
      </c>
      <c r="AU423" s="1" t="e">
        <f ca="1">_xll.BDH($C$403,"NET_FIXED_ASSETS_5_YEAR_GROWTH","FY 2018","FY 2018","Currency=INR","Period=FY","BEST_FPERIOD_OVERRIDE=FY","FILING_STATUS=OR","EQY_CONSOLIDATED=Y","Sort=A","Dates=H","DateFormat=P","Fill=—","Direction=H","UseDPDF=Y")</f>
        <v>#NAME?</v>
      </c>
      <c r="AV423" s="1" t="e">
        <f ca="1">_xll.BDH($C$403,"GEO_GROW_TOT_ASSET","FY 2018","FY 2018","Currency=INR","Period=FY","BEST_FPERIOD_OVERRIDE=FY","FILING_STATUS=OR","EQY_CONSOLIDATED=Y","Sort=A","Dates=H","DateFormat=P","Fill=—","Direction=H","UseDPDF=Y")</f>
        <v>#NAME?</v>
      </c>
      <c r="AW423" s="1" t="e">
        <f ca="1">_xll.BDH($C$403,"MODIFIED_WORKING_CPTL_5YR_GRWTH","FY 2018","FY 2018","Currency=INR","Period=FY","BEST_FPERIOD_OVERRIDE=FY","FILING_STATUS=OR","EQY_CONSOLIDATED=Y","Sort=A","Dates=H","DateFormat=P","Fill=—","Direction=H","UseDPDF=Y")</f>
        <v>#NAME?</v>
      </c>
      <c r="AX423" s="1" t="e">
        <f ca="1">_xll.BDH($C$403,"WORKING_CAPITAL_5_YEAR_GROWTH","FY 2018","FY 2018","Currency=INR","Period=FY","BEST_FPERIOD_OVERRIDE=FY","FILING_STATUS=OR","EQY_CONSOLIDATED=Y","Sort=A","Dates=H","DateFormat=P","Fill=—","Direction=H","UseDPDF=Y")</f>
        <v>#NAME?</v>
      </c>
      <c r="AY423" s="1" t="e">
        <f ca="1">_xll.BDH($C$403,"ACCOUNTS_PAYABLE_5_YEAR_GROWTH","FY 2018","FY 2018","Currency=INR","Period=FY","BEST_FPERIOD_OVERRIDE=FY","FILING_STATUS=OR","EQY_CONSOLIDATED=Y","Sort=A","Dates=H","DateFormat=P","Fill=—","Direction=H","UseDPDF=Y")</f>
        <v>#NAME?</v>
      </c>
      <c r="AZ423" s="1" t="e">
        <f ca="1">_xll.BDH($C$403,"SHORT_TERM_DEBT_5_YEAR_GROWTH","FY 2018","FY 2018","Currency=INR","Period=FY","BEST_FPERIOD_OVERRIDE=FY","FILING_STATUS=OR","EQY_CONSOLIDATED=Y","Sort=A","Dates=H","DateFormat=P","Fill=—","Direction=H","UseDPDF=Y")</f>
        <v>#NAME?</v>
      </c>
      <c r="BA423" s="1" t="e">
        <f ca="1">_xll.BDH($C$403,"TOTAL_DEBT_5_YEAR_GROWTH","FY 2018","FY 2018","Currency=INR","Period=FY","BEST_FPERIOD_OVERRIDE=FY","FILING_STATUS=OR","EQY_CONSOLIDATED=Y","Sort=A","Dates=H","DateFormat=P","Fill=—","Direction=H","UseDPDF=Y")</f>
        <v>#NAME?</v>
      </c>
      <c r="BB423" s="1" t="e">
        <f ca="1">_xll.BDH($C$403,"GEO_GROW_TOT_SHRHLDR_EQY","FY 2018","FY 2018","Currency=INR","Period=FY","BEST_FPERIOD_OVERRIDE=FY","FILING_STATUS=OR","EQY_CONSOLIDATED=Y","Sort=A","Dates=H","DateFormat=P","Fill=—","Direction=H","UseDPDF=Y")</f>
        <v>#NAME?</v>
      </c>
      <c r="BC423" s="1" t="e">
        <f ca="1">_xll.BDH($C$403,"TOTAL_CAPITAL_5_YEAR_GROWTH","FY 2018","FY 2018","Currency=INR","Period=FY","BEST_FPERIOD_OVERRIDE=FY","FILING_STATUS=OR","EQY_CONSOLIDATED=Y","Sort=A","Dates=H","DateFormat=P","Fill=—","Direction=H","UseDPDF=Y")</f>
        <v>#NAME?</v>
      </c>
      <c r="BD423" s="1" t="e">
        <f ca="1">_xll.BDH($C$403,"GEO_GROW_BOOK_VAL","FY 2018","FY 2018","Currency=INR","Period=FY","BEST_FPERIOD_OVERRIDE=FY","FILING_STATUS=OR","EQY_CONSOLIDATED=Y","Sort=A","Dates=H","DateFormat=P","Fill=—","Direction=H","UseDPDF=Y")</f>
        <v>#NAME?</v>
      </c>
      <c r="BE423" s="1" t="e">
        <f ca="1">_xll.BDH($C$403,"GEO_GROW_CASH_OPER_ACT","FY 2018","FY 2018","Currency=INR","Period=FY","BEST_FPERIOD_OVERRIDE=FY","FILING_STATUS=OR","EQY_CONSOLIDATED=Y","Sort=A","Dates=H","DateFormat=P","Fill=—","Direction=H","UseDPDF=Y")</f>
        <v>#NAME?</v>
      </c>
      <c r="BF423" s="1" t="e">
        <f ca="1">_xll.BDH($C$403,"REVENUE_SEQUENTIAL_GROWTH","FY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23" s="1" t="e">
        <f ca="1">_xll.BDH($C$403,"EBITDA_SEQUENTIAL_GROWTH","FY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23" s="1" t="e">
        <f ca="1">_xll.BDH($C$403,"OPERATING_INCOME_SEQ_GROWTH","FY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23" s="1" t="e">
        <f ca="1">_xll.BDH($C$403,"NET_INCOME_TO_COMMON_SEQ_GROWTH","FY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23" s="1" t="e">
        <f ca="1">_xll.BDH($C$403,"EPS_DILUTED_SEQUENTIAL_GROWTH","FY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23" s="1" t="e">
        <f ca="1">_xll.BDH($C$403,"DPS_SEQUENTIAL_GROWTH","FY 2018","FY 2018","Currency=INR","Period=FY","BEST_FPERIOD_OVERRIDE=FY","FILING_STATUS=OR","EQY_CONSOLIDATED=Y","Sort=A","Dates=H","DateFormat=P","Fill=—","Direction=H","UseDPDF=Y")</f>
        <v>#NAME?</v>
      </c>
      <c r="BL423" s="1" t="e">
        <f ca="1">_xll.BDH($C$403,"ACCOUNTS_RECEIVABLE_SEQ_GROWTH","FY 2018","FY 2018","Currency=INR","Period=FY","BEST_FPERIOD_OVERRIDE=FY","FILING_STATUS=OR","EQY_CONSOLIDATED=Y","Sort=A","Dates=H","DateFormat=P","Fill=—","Direction=H","UseDPDF=Y")</f>
        <v>#NAME?</v>
      </c>
      <c r="BM423" s="1" t="e">
        <f ca="1">_xll.BDH($C$403,"INVENTORY_SEQUENTIAL_GROWTH","FY 2018","FY 2018","Currency=INR","Period=FY","BEST_FPERIOD_OVERRIDE=FY","FILING_STATUS=OR","EQY_CONSOLIDATED=Y","Sort=A","Dates=H","DateFormat=P","Fill=—","Direction=H","UseDPDF=Y")</f>
        <v>#NAME?</v>
      </c>
      <c r="BN423" s="1" t="e">
        <f ca="1">_xll.BDH($C$403,"FIXED_ASSETS_SEQUENTIAL_GROWTH","FY 2018","FY 2018","Currency=INR","Period=FY","BEST_FPERIOD_OVERRIDE=FY","FILING_STATUS=OR","EQY_CONSOLIDATED=Y","Sort=A","Dates=H","DateFormat=P","Fill=—","Direction=H","UseDPDF=Y")</f>
        <v>#NAME?</v>
      </c>
      <c r="BO423" s="1" t="e">
        <f ca="1">_xll.BDH($C$403,"TOTAL_ASSETS_SEQUENTIAL_GROWTH","FY 2018","FY 2018","Currency=INR","Period=FY","BEST_FPERIOD_OVERRIDE=FY","FILING_STATUS=OR","EQY_CONSOLIDATED=Y","Sort=A","Dates=H","DateFormat=P","Fill=—","Direction=H","UseDPDF=Y")</f>
        <v>#NAME?</v>
      </c>
      <c r="BP423" s="1" t="e">
        <f ca="1">_xll.BDH($C$403,"MODIFIED_WORKING_CPTL_SEQ_GRWTH","FY 2018","FY 2018","Currency=INR","Period=FY","BEST_FPERIOD_OVERRIDE=FY","FILING_STATUS=OR","EQY_CONSOLIDATED=Y","Sort=A","Dates=H","DateFormat=P","Fill=—","Direction=H","UseDPDF=Y")</f>
        <v>#NAME?</v>
      </c>
      <c r="BQ423" s="1" t="e">
        <f ca="1">_xll.BDH($C$403,"WORKING_CAPITAL_SEQ_GROWTH","FY 2018","FY 2018","Currency=INR","Period=FY","BEST_FPERIOD_OVERRIDE=FY","FILING_STATUS=OR","EQY_CONSOLIDATED=Y","Sort=A","Dates=H","DateFormat=P","Fill=—","Direction=H","UseDPDF=Y")</f>
        <v>#NAME?</v>
      </c>
      <c r="BR423" s="1" t="e">
        <f ca="1">_xll.BDH($C$403,"ACCOUNTS_PAYABLE_SEQ_GROWTH","FY 2018","FY 2018","Currency=INR","Period=FY","BEST_FPERIOD_OVERRIDE=FY","FILING_STATUS=OR","EQY_CONSOLIDATED=Y","Sort=A","Dates=H","DateFormat=P","Fill=—","Direction=H","UseDPDF=Y")</f>
        <v>#NAME?</v>
      </c>
      <c r="BS423" s="1" t="e">
        <f ca="1">_xll.BDH($C$403,"ST_DEBT_SEQUENTIAL_GROWTH","FY 2018","FY 2018","Currency=INR","Period=FY","BEST_FPERIOD_OVERRIDE=FY","FILING_STATUS=OR","EQY_CONSOLIDATED=Y","Sort=A","Dates=H","DateFormat=P","Fill=—","Direction=H","UseDPDF=Y")</f>
        <v>#NAME?</v>
      </c>
      <c r="BT423" s="1" t="e">
        <f ca="1">_xll.BDH($C$403,"TOTAL_DEBT_SEQUENTIAL_GROWTH","FY 2018","FY 2018","Currency=INR","Period=FY","BEST_FPERIOD_OVERRIDE=FY","FILING_STATUS=OR","EQY_CONSOLIDATED=Y","Sort=A","Dates=H","DateFormat=P","Fill=—","Direction=H","UseDPDF=Y")</f>
        <v>#NAME?</v>
      </c>
      <c r="BU423" s="1" t="e">
        <f ca="1">_xll.BDH($C$403,"TOTAL_EQUITY_SEQUENTIAL_GROWTH","FY 2018","FY 2018","Currency=INR","Period=FY","BEST_FPERIOD_OVERRIDE=FY","FILING_STATUS=OR","EQY_CONSOLIDATED=Y","Sort=A","Dates=H","DateFormat=P","Fill=—","Direction=H","UseDPDF=Y")</f>
        <v>#NAME?</v>
      </c>
      <c r="BV423" s="1" t="e">
        <f ca="1">_xll.BDH($C$403,"TOTAL_CAPITAL_SEQUENTIAL_GROWTH","FY 2018","FY 2018","Currency=INR","Period=FY","BEST_FPERIOD_OVERRIDE=FY","FILING_STATUS=OR","EQY_CONSOLIDATED=Y","Sort=A","Dates=H","DateFormat=P","Fill=—","Direction=H","UseDPDF=Y")</f>
        <v>#NAME?</v>
      </c>
      <c r="BW423" s="1" t="e">
        <f ca="1">_xll.BDH($C$403,"BPS_SEQUENTIAL_GROWTH","FY 2018","FY 2018","Currency=INR","Period=FY","BEST_FPERIOD_OVERRIDE=FY","FILING_STATUS=OR","EQY_CONSOLIDATED=Y","Sort=A","Dates=H","DateFormat=P","Fill=—","Direction=H","UseDPDF=Y")</f>
        <v>#NAME?</v>
      </c>
      <c r="BX423" s="1" t="e">
        <f ca="1">_xll.BDH($C$403,"CFO_SEQUENTIAL_GROWTH","FY 2018","FY 2018","Currency=INR","Period=FY","BEST_FPERIOD_OVERRIDE=FY","FILING_STATUS=OR","EQY_CONSOLIDATED=Y","Sort=A","Dates=H","DateFormat=P","Fill=—","Direction=H","UseDPDF=Y")</f>
        <v>#NAME?</v>
      </c>
      <c r="BY423" s="2" t="e">
        <f ca="1">_xll.BDH($C$403,"SHORT_AND_LONG_TERM_DEBT","FY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23" s="2" t="e">
        <f ca="1">_xll.BDH($C$403,"BS_ST_BORROW","FY 2018","FY 2018","Currency=INR","Period=FY","BEST_FPERIOD_OVERRIDE=FY","FILING_STATUS=OR","EQY_CONSOLIDATED=Y","SCALING_FORMAT=MLN","Sort=A","Dates=H","DateFormat=P","Fill=—","Direction=H","UseDPDF=Y")</f>
        <v>#NAME?</v>
      </c>
      <c r="CA423" s="2" t="e">
        <f ca="1">_xll.BDH($C$403,"BS_LT_BORROW","FY 2018","FY 2018","Currency=INR","Period=FY","BEST_FPERIOD_OVERRIDE=FY","FILING_STATUS=OR","EQY_CONSOLIDATED=Y","SCALING_FORMAT=MLN","Sort=A","Dates=H","DateFormat=P","Fill=—","Direction=H","UseDPDF=Y")</f>
        <v>#NAME?</v>
      </c>
      <c r="CB423" s="1" t="e">
        <f ca="1">_xll.BDH($C$403,"TOT_DEBT_TO_EBITDA","FY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423" s="1" t="e">
        <f ca="1">_xll.BDH($C$403,"NET_DEBT_TO_EBITDA","FY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423" s="1" t="e">
        <f ca="1">_xll.BDH($C$403,"TOTAL_DEBT_TO_EBIT","FY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423" s="1" t="e">
        <f ca="1">_xll.BDH($C$403,"NET_DEBT_TO_EBIT","FY 2018","FY 2018","Currency=INR","Period=FY","BEST_FPERIOD_OVERRIDE=FY","FILING_STATUS=OR","EQY_CONSOLIDATED=Y","FA_ADJUSTED=GAAP","Sort=A","Dates=H","DateFormat=P","Fill=—","Direction=H","UseDPDF=Y")</f>
        <v>#NAME?</v>
      </c>
      <c r="CF423" s="1" t="e">
        <f ca="1">_xll.BDH($C$403,"EBITDA_TO_INTEREST_EXPN","FY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23" s="1" t="e">
        <f ca="1">_xll.BDH($C$403,"COM_EQY_TO_TOT_ASSET","FY 2018","FY 2018","Currency=INR","Period=FY","BEST_FPERIOD_OVERRIDE=FY","FILING_STATUS=OR","EQY_CONSOLIDATED=Y","Sort=A","Dates=H","DateFormat=P","Fill=—","Direction=H","UseDPDF=Y")</f>
        <v>#NAME?</v>
      </c>
      <c r="CH423" s="1" t="e">
        <f ca="1">_xll.BDH($C$403,"LT_DEBT_TO_TOT_EQY","FY 2018","FY 2018","Currency=INR","Period=FY","BEST_FPERIOD_OVERRIDE=FY","FILING_STATUS=OR","EQY_CONSOLIDATED=Y","Sort=A","Dates=H","DateFormat=P","Fill=—","Direction=H","UseDPDF=Y")</f>
        <v>#NAME?</v>
      </c>
      <c r="CI423" s="1" t="e">
        <f ca="1">_xll.BDH($C$403,"LT_DEBT_TO_TOT_CAP","FY 2018","FY 2018","Currency=INR","Period=FY","BEST_FPERIOD_OVERRIDE=FY","FILING_STATUS=OR","EQY_CONSOLIDATED=Y","Sort=A","Dates=H","DateFormat=P","Fill=—","Direction=H","UseDPDF=Y")</f>
        <v>#NAME?</v>
      </c>
      <c r="CJ423" s="1" t="e">
        <f ca="1">_xll.BDH($C$403,"LT_DEBT_TO_TOT_ASSET","FY 2018","FY 2018","Currency=INR","Period=FY","BEST_FPERIOD_OVERRIDE=FY","FILING_STATUS=OR","EQY_CONSOLIDATED=Y","Sort=A","Dates=H","DateFormat=P","Fill=—","Direction=H","UseDPDF=Y")</f>
        <v>#NAME?</v>
      </c>
      <c r="CK423" s="1" t="e">
        <f ca="1">_xll.BDH($C$403,"TOT_DEBT_TO_TOT_EQY","FY 2018","FY 2018","Currency=INR","Period=FY","BEST_FPERIOD_OVERRIDE=FY","FILING_STATUS=OR","EQY_CONSOLIDATED=Y","Sort=A","Dates=H","DateFormat=P","Fill=—","Direction=H","UseDPDF=Y")</f>
        <v>#NAME?</v>
      </c>
      <c r="CL423" s="1" t="e">
        <f ca="1">_xll.BDH($C$403,"TOT_DEBT_TO_TOT_CAP","FY 2018","FY 2018","Currency=INR","Period=FY","BEST_FPERIOD_OVERRIDE=FY","FILING_STATUS=OR","EQY_CONSOLIDATED=Y","Sort=A","Dates=H","DateFormat=P","Fill=—","Direction=H","UseDPDF=Y")</f>
        <v>#NAME?</v>
      </c>
      <c r="CM423" s="1" t="e">
        <f ca="1">_xll.BDH($C$403,"TOT_DEBT_TO_TOT_ASSET","FY 2018","FY 2018","Currency=INR","Period=FY","BEST_FPERIOD_OVERRIDE=FY","FILING_STATUS=OR","EQY_CONSOLIDATED=Y","Sort=A","Dates=H","DateFormat=P","Fill=—","Direction=H","UseDPDF=Y")</f>
        <v>#NAME?</v>
      </c>
      <c r="CN423" s="1" t="e">
        <f ca="1">_xll.BDH($C$403,"NET_DEBT_TO_SHRHLDR_EQTY","FY 2018","FY 2018","Currency=INR","Period=FY","BEST_FPERIOD_OVERRIDE=FY","FILING_STATUS=OR","EQY_CONSOLIDATED=Y","Sort=A","Dates=H","DateFormat=P","Fill=—","Direction=H","UseDPDF=Y")</f>
        <v>#NAME?</v>
      </c>
      <c r="CO423" s="1" t="e">
        <f ca="1">_xll.BDH($C$403,"NET_DEBT_%_CAPITAL","FY 2018","FY 2018","Currency=INR","Period=FY","BEST_FPERIOD_OVERRIDE=FY","FILING_STATUS=OR","EQY_CONSOLIDATED=Y","Sort=A","Dates=H","DateFormat=P","Fill=—","Direction=H","UseDPDF=Y")</f>
        <v>#NAME?</v>
      </c>
      <c r="CP423" s="2" t="e">
        <f ca="1">_xll.BDH($C$403,"EBITDA","FY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23" s="2" t="e">
        <f ca="1">_xll.BDH($C$403,"EBITDA_AFTER_CAPEX","FY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23" s="2" t="e">
        <f ca="1">_xll.BDH($C$403,"IS_OPER_INC","FY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23" s="1" t="e">
        <f ca="1">_xll.BDH($C$403,"CASH_RATIO","FY 2018","FY 2018","Currency=INR","Period=FY","BEST_FPERIOD_OVERRIDE=FY","FILING_STATUS=OR","EQY_CONSOLIDATED=Y","Sort=A","Dates=H","DateFormat=P","Fill=—","Direction=H","UseDPDF=Y")</f>
        <v>#NAME?</v>
      </c>
      <c r="CT423" s="1" t="e">
        <f ca="1">_xll.BDH($C$403,"CUR_RATIO","FY 2018","FY 2018","Currency=INR","Period=FY","BEST_FPERIOD_OVERRIDE=FY","FILING_STATUS=OR","EQY_CONSOLIDATED=Y","Sort=A","Dates=H","DateFormat=P","Fill=—","Direction=H","UseDPDF=Y")</f>
        <v>#NAME?</v>
      </c>
      <c r="CU423" s="1" t="e">
        <f ca="1">_xll.BDH($C$403,"QUICK_RATIO","FY 2018","FY 2018","Currency=INR","Period=FY","BEST_FPERIOD_OVERRIDE=FY","FILING_STATUS=OR","EQY_CONSOLIDATED=Y","Sort=A","Dates=H","DateFormat=P","Fill=—","Direction=H","UseDPDF=Y")</f>
        <v>#NAME?</v>
      </c>
      <c r="CV423" s="1" t="e">
        <f ca="1">_xll.BDH($C$403,"ALTMAN_Z_SCORE","FY 2018","FY 2018","Currency=INR","Period=FY","BEST_FPERIOD_OVERRIDE=FY","FILING_STATUS=OR","EQY_CONSOLIDATED=Y","Sort=A","Dates=H","DateFormat=P","Fill=—","Direction=H","UseDPDF=Y")</f>
        <v>#NAME?</v>
      </c>
      <c r="CW423" s="3" t="e">
        <f ca="1">_xll.BDH($C$403,"ACCT_RCV_TURN","FY 2018","FY 2018","Currency=INR","Period=FY","BEST_FPERIOD_OVERRIDE=FY","FILING_STATUS=OR","EQY_CONSOLIDATED=Y","FA_ADJUSTED=GAAP","Sort=A","Dates=H","DateFormat=P","Fill=—","Direction=H","UseDPDF=Y")</f>
        <v>#NAME?</v>
      </c>
      <c r="CX423" s="1" t="e">
        <f ca="1">_xll.BDH($C$403,"ACCT_RCV_DAYS","FY 2018","FY 2018","Currency=INR","Period=FY","BEST_FPERIOD_OVERRIDE=FY","FILING_STATUS=OR","EQY_CONSOLIDATED=Y","FA_ADJUSTED=GAAP","Sort=A","Dates=H","DateFormat=P","Fill=—","Direction=H","UseDPDF=Y")</f>
        <v>#NAME?</v>
      </c>
      <c r="CY423" s="3" t="e">
        <f ca="1">_xll.BDH($C$403,"INVENT_TURN","FY 2018","FY 2018","Currency=INR","Period=FY","BEST_FPERIOD_OVERRIDE=FY","FILING_STATUS=OR","EQY_CONSOLIDATED=Y","FA_ADJUSTED=GAAP","Sort=A","Dates=H","DateFormat=P","Fill=—","Direction=H","UseDPDF=Y")</f>
        <v>#NAME?</v>
      </c>
      <c r="CZ423" s="1" t="e">
        <f ca="1">_xll.BDH($C$403,"INVENT_DAYS","FY 2018","FY 2018","Currency=INR","Period=FY","BEST_FPERIOD_OVERRIDE=FY","FILING_STATUS=OR","EQY_CONSOLIDATED=Y","FA_ADJUSTED=GAAP","Sort=A","Dates=H","DateFormat=P","Fill=—","Direction=H","UseDPDF=Y")</f>
        <v>#NAME?</v>
      </c>
      <c r="DA423" s="3" t="e">
        <f ca="1">_xll.BDH($C$403,"ACCOUNTS_PAYABLE_TURNOVER","FY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23" s="1" t="e">
        <f ca="1">_xll.BDH($C$403,"ACCOUNTS_PAYABLE_TURNOVER_DAYS","FY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23" s="3" t="e">
        <f ca="1">_xll.BDH($C$403,"CASH_CONVERSION_CYCLE","FY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23" s="3" t="e">
        <f ca="1">_xll.BDH($C$403,"INV_TO_CASH_DAYS","FY 2018","FY 2018","Currency=INR","Period=FY","BEST_FPERIOD_OVERRIDE=FY","FILING_STATUS=OR","EQY_CONSOLIDATED=Y","FA_ADJUSTED=GAAP","Sort=A","Dates=H","DateFormat=P","Fill=—","Direction=H","UseDPDF=Y")</f>
        <v>#NAME?</v>
      </c>
      <c r="DE423" s="4" t="e">
        <f ca="1">_xll.BDH($C$403,"BS_INVENTORIES","FY 2018","FY 2018","Currency=INR","Period=FY","BEST_FPERIOD_OVERRIDE=FY","FILING_STATUS=OR","EQY_CONSOLIDATED=Y","SCALING_FORMAT=MLN","Sort=A","Dates=H","DateFormat=P","Fill=—","Direction=H","UseDPDF=Y")</f>
        <v>#NAME?</v>
      </c>
      <c r="DF423" s="2" t="e">
        <f ca="1">_xll.BDH($C$403,"INVTRY_RAW_MATERIALS","FY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23" s="2" t="e">
        <f ca="1">_xll.BDH($C$403,"INVTRY_IN_PROGRESS","FY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23" s="2" t="e">
        <f ca="1">_xll.BDH($C$403,"INVTRY_FINISHED_GOODS","FY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23" s="2" t="e">
        <f ca="1">_xll.BDH($C$403,"BS_OTHER_INV","FY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24" spans="1:113" x14ac:dyDescent="0.3">
      <c r="A424" s="6"/>
      <c r="B424" s="6"/>
      <c r="C424" s="6"/>
      <c r="D424" s="6"/>
      <c r="E424" t="s">
        <v>4</v>
      </c>
      <c r="F424" t="e">
        <f ca="1">_xll.BDH($C$403,"RETURN_COM_EQY","FQ1 2018","FQ1 2018","Currency=INR","Period=FQ","BEST_FPERIOD_OVERRIDE=FQ","FILING_STATUS=OR","EQY_CONSOLIDATED=Y","FA_ADJUSTED=GAAP","Sort=A","Dates=H","DateFormat=P","Fill=—","Direction=H","UseDPDF=Y")</f>
        <v>#NAME?</v>
      </c>
      <c r="G424" t="e">
        <f ca="1">_xll.BDH($C$403,"RETURN_ON_ASSET","FQ1 2018","FQ1 2018","Currency=INR","Period=FQ","BEST_FPERIOD_OVERRIDE=FQ","FILING_STATUS=OR","EQY_CONSOLIDATED=Y","FA_ADJUSTED=GAAP","Sort=A","Dates=H","DateFormat=P","Fill=—","Direction=H","UseDPDF=Y")</f>
        <v>#NAME?</v>
      </c>
      <c r="H424" t="e">
        <f ca="1">_xll.BDH($C$403,"RETURN_ON_CAP","FQ1 2018","FQ1 2018","Currency=INR","Period=FQ","BEST_FPERIOD_OVERRIDE=FQ","FILING_STATUS=OR","EQY_CONSOLIDATED=Y","FA_ADJUSTED=GAAP","Sort=A","Dates=H","DateFormat=P","Fill=—","Direction=H","UseDPDF=Y")</f>
        <v>#NAME?</v>
      </c>
      <c r="I424" t="e">
        <f ca="1">_xll.BDH($C$403,"RETURN_ON_INV_CAPITAL","FQ1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24" t="e">
        <f ca="1">_xll.BDH($C$403,"EBITDA_TO_REVENUE","FQ1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424" t="e">
        <f ca="1">_xll.BDH($C$403,"OPER_MARGIN","FQ1 2018","FQ1 2018","Currency=INR","Period=FQ","BEST_FPERIOD_OVERRIDE=FQ","FILING_STATUS=OR","EQY_CONSOLIDATED=Y","FA_ADJUSTED=GAAP","Sort=A","Dates=H","DateFormat=P","Fill=—","Direction=H","UseDPDF=Y")</f>
        <v>#NAME?</v>
      </c>
      <c r="L424" t="e">
        <f ca="1">_xll.BDH($C$403,"INCREMENTAL_OPERATING_MARGIN","FQ1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24" t="e">
        <f ca="1">_xll.BDH($C$403,"PRETAX_INC_TO_NET_SALES","FQ1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24" t="e">
        <f ca="1">_xll.BDH($C$403,"INC_BEF_XO_ITEMS_TO_NET_SALES","FQ1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24" t="e">
        <f ca="1">_xll.BDH($C$403,"PROF_MARGIN","FQ1 2018","FQ1 2018","Currency=INR","Period=FQ","BEST_FPERIOD_OVERRIDE=FQ","FILING_STATUS=OR","EQY_CONSOLIDATED=Y","FA_ADJUSTED=GAAP","Sort=A","Dates=H","DateFormat=P","Fill=—","Direction=H","UseDPDF=Y")</f>
        <v>#NAME?</v>
      </c>
      <c r="P424" t="e">
        <f ca="1">_xll.BDH($C$403,"NET_INCOME_TO_COMMON_MARGIN","FQ1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24" t="e">
        <f ca="1">_xll.BDH($C$403,"EFF_TAX_RATE","FQ1 2018","FQ1 2018","Currency=INR","Period=FQ","BEST_FPERIOD_OVERRIDE=FQ","FILING_STATUS=OR","EQY_CONSOLIDATED=Y","FA_ADJUSTED=GAAP","Sort=A","Dates=H","DateFormat=P","Fill=—","Direction=H","UseDPDF=Y")</f>
        <v>#NAME?</v>
      </c>
      <c r="R424" t="e">
        <f ca="1">_xll.BDH($C$403,"DVD_PAYOUT_RATIO","FQ1 2018","FQ1 2018","Currency=INR","Period=FQ","BEST_FPERIOD_OVERRIDE=FQ","FILING_STATUS=OR","EQY_CONSOLIDATED=Y","FA_ADJUSTED=GAAP","Sort=A","Dates=H","DateFormat=P","Fill=—","Direction=H","UseDPDF=Y")</f>
        <v>#NAME?</v>
      </c>
      <c r="S424" t="e">
        <f ca="1">_xll.BDH($C$403,"SUSTAIN_GROWTH_RT","FQ1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424" s="1" t="e">
        <f ca="1">_xll.BDH($C$403,"SALES_GROWTH","FQ1 2018","FQ1 2018","Currency=INR","Period=FQ","BEST_FPERIOD_OVERRIDE=FQ","FILING_STATUS=OR","EQY_CONSOLIDATED=Y","FA_ADJUSTED=GAAP","Sort=A","Dates=H","DateFormat=P","Fill=—","Direction=H","UseDPDF=Y")</f>
        <v>#NAME?</v>
      </c>
      <c r="U424" s="1" t="e">
        <f ca="1">_xll.BDH($C$403,"EBITDA_GROWTH","FQ1 2018","FQ1 2018","Currency=INR","Period=FQ","BEST_FPERIOD_OVERRIDE=FQ","FILING_STATUS=OR","EQY_CONSOLIDATED=Y","FA_ADJUSTED=GAAP","Sort=A","Dates=H","DateFormat=P","Fill=—","Direction=H","UseDPDF=Y")</f>
        <v>#NAME?</v>
      </c>
      <c r="V424" s="1" t="e">
        <f ca="1">_xll.BDH($C$403,"OPER_INC_GROWTH","FQ1 2018","FQ1 2018","Currency=INR","Period=FQ","BEST_FPERIOD_OVERRIDE=FQ","FILING_STATUS=OR","EQY_CONSOLIDATED=Y","FA_ADJUSTED=GAAP","Sort=A","Dates=H","DateFormat=P","Fill=—","Direction=H","UseDPDF=Y")</f>
        <v>#NAME?</v>
      </c>
      <c r="W424" s="1" t="e">
        <f ca="1">_xll.BDH($C$403,"EARN_FOR_COM_GROWTH","FQ1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24" s="1" t="e">
        <f ca="1">_xll.BDH($C$403,"DILUTED_EPS_AFT_XO_ITEMS_GROWTH","FQ1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24" s="1" t="e">
        <f ca="1">_xll.BDH($C$403,"DIVIDEND_PER_SHARE_1_YEAR_GROWTH","FQ1 2018","FQ1 2018","Currency=INR","Period=FQ","BEST_FPERIOD_OVERRIDE=FQ","FILING_STATUS=OR","EQY_CONSOLIDATED=Y","Sort=A","Dates=H","DateFormat=P","Fill=—","Direction=H","UseDPDF=Y")</f>
        <v>#NAME?</v>
      </c>
      <c r="Z424" s="1" t="e">
        <f ca="1">_xll.BDH($C$403,"ACCOUNTS_RECEIVABLE_GROWTH","FQ1 2018","FQ1 2018","Currency=INR","Period=FQ","BEST_FPERIOD_OVERRIDE=FQ","FILING_STATUS=OR","EQY_CONSOLIDATED=Y","Sort=A","Dates=H","DateFormat=P","Fill=—","Direction=H","UseDPDF=Y")</f>
        <v>#NAME?</v>
      </c>
      <c r="AA424" s="1" t="e">
        <f ca="1">_xll.BDH($C$403,"INVENTORY_GROWTH","FQ1 2018","FQ1 2018","Currency=INR","Period=FQ","BEST_FPERIOD_OVERRIDE=FQ","FILING_STATUS=OR","EQY_CONSOLIDATED=Y","Sort=A","Dates=H","DateFormat=P","Fill=—","Direction=H","UseDPDF=Y")</f>
        <v>#NAME?</v>
      </c>
      <c r="AB424" s="1" t="e">
        <f ca="1">_xll.BDH($C$403,"NET_FIXED_ASSETS_1_YEAR_GROWTH","FQ1 2018","FQ1 2018","Currency=INR","Period=FQ","BEST_FPERIOD_OVERRIDE=FQ","FILING_STATUS=OR","EQY_CONSOLIDATED=Y","Sort=A","Dates=H","DateFormat=P","Fill=—","Direction=H","UseDPDF=Y")</f>
        <v>#NAME?</v>
      </c>
      <c r="AC424" s="1" t="e">
        <f ca="1">_xll.BDH($C$403,"ASSET_GROWTH","FQ1 2018","FQ1 2018","Currency=INR","Period=FQ","BEST_FPERIOD_OVERRIDE=FQ","FILING_STATUS=OR","EQY_CONSOLIDATED=Y","Sort=A","Dates=H","DateFormat=P","Fill=—","Direction=H","UseDPDF=Y")</f>
        <v>#NAME?</v>
      </c>
      <c r="AD424" s="1" t="e">
        <f ca="1">_xll.BDH($C$403,"MODIFIED_WORK_CAP_GROWTH","FQ1 2018","FQ1 2018","Currency=INR","Period=FQ","BEST_FPERIOD_OVERRIDE=FQ","FILING_STATUS=OR","EQY_CONSOLIDATED=Y","Sort=A","Dates=H","DateFormat=P","Fill=—","Direction=H","UseDPDF=Y")</f>
        <v>#NAME?</v>
      </c>
      <c r="AE424" s="1" t="e">
        <f ca="1">_xll.BDH($C$403,"WORK_CAP_GROWTH","FQ1 2018","FQ1 2018","Currency=INR","Period=FQ","BEST_FPERIOD_OVERRIDE=FQ","FILING_STATUS=OR","EQY_CONSOLIDATED=Y","Sort=A","Dates=H","DateFormat=P","Fill=—","Direction=H","UseDPDF=Y")</f>
        <v>#NAME?</v>
      </c>
      <c r="AF424" s="1" t="e">
        <f ca="1">_xll.BDH($C$403,"ACCOUNTS_PAYABLE_GROWTH_1YR","FQ1 2018","FQ1 2018","Currency=INR","Period=FQ","BEST_FPERIOD_OVERRIDE=FQ","FILING_STATUS=OR","EQY_CONSOLIDATED=Y","Sort=A","Dates=H","DateFormat=P","Fill=—","Direction=H","UseDPDF=Y")</f>
        <v>#NAME?</v>
      </c>
      <c r="AG424" s="1" t="e">
        <f ca="1">_xll.BDH($C$403,"SHORT_TERM_DEBT_1_YEAR_GROWTH","FQ1 2018","FQ1 2018","Currency=INR","Period=FQ","BEST_FPERIOD_OVERRIDE=FQ","FILING_STATUS=OR","EQY_CONSOLIDATED=Y","Sort=A","Dates=H","DateFormat=P","Fill=—","Direction=H","UseDPDF=Y")</f>
        <v>#NAME?</v>
      </c>
      <c r="AH424" s="1" t="e">
        <f ca="1">_xll.BDH($C$403,"TOTAL_DEBT_1_YEAR_GROWTH","FQ1 2018","FQ1 2018","Currency=INR","Period=FQ","BEST_FPERIOD_OVERRIDE=FQ","FILING_STATUS=OR","EQY_CONSOLIDATED=Y","Sort=A","Dates=H","DateFormat=P","Fill=—","Direction=H","UseDPDF=Y")</f>
        <v>#NAME?</v>
      </c>
      <c r="AI424" s="1" t="e">
        <f ca="1">_xll.BDH($C$403,"TOTAL_EQUITY_1_YEAR_GROWTH","FQ1 2018","FQ1 2018","Currency=INR","Period=FQ","BEST_FPERIOD_OVERRIDE=FQ","FILING_STATUS=OR","EQY_CONSOLIDATED=Y","Sort=A","Dates=H","DateFormat=P","Fill=—","Direction=H","UseDPDF=Y")</f>
        <v>#NAME?</v>
      </c>
      <c r="AJ424" s="1" t="e">
        <f ca="1">_xll.BDH($C$403,"GROWTH_IN_CAP","FQ1 2018","FQ1 2018","Currency=INR","Period=FQ","BEST_FPERIOD_OVERRIDE=FQ","FILING_STATUS=OR","EQY_CONSOLIDATED=Y","Sort=A","Dates=H","DateFormat=P","Fill=—","Direction=H","UseDPDF=Y")</f>
        <v>#NAME?</v>
      </c>
      <c r="AK424" s="1" t="e">
        <f ca="1">_xll.BDH($C$403,"BVPS_GROWTH","FQ1 2018","FQ1 2018","Currency=INR","Period=FQ","BEST_FPERIOD_OVERRIDE=FQ","FILING_STATUS=OR","EQY_CONSOLIDATED=Y","Sort=A","Dates=H","DateFormat=P","Fill=—","Direction=H","UseDPDF=Y")</f>
        <v>#NAME?</v>
      </c>
      <c r="AL424" s="1" t="e">
        <f ca="1">_xll.BDH($C$403,"CASH_FLOW_GROWTH","FQ1 2018","FQ1 2018","Currency=INR","Period=FQ","BEST_FPERIOD_OVERRIDE=FQ","FILING_STATUS=OR","EQY_CONSOLIDATED=Y","Sort=A","Dates=H","DateFormat=P","Fill=—","Direction=H","UseDPDF=Y")</f>
        <v>#NAME?</v>
      </c>
      <c r="AM424" s="1" t="e">
        <f ca="1">_xll.BDH($C$403,"GEO_GROW_NET_SALES","FQ1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24" s="1" t="e">
        <f ca="1">_xll.BDH($C$403,"GEO_GROW_EBITDA","FQ1 2018","FQ1 2018","Currency=INR","Period=FQ","BEST_FPERIOD_OVERRIDE=FQ","FILING_STATUS=OR","EQY_CONSOLIDATED=Y","FA_ADJUSTED=GAAP","Sort=A","Dates=H","DateFormat=P","Fill=—","Direction=H","UseDPDF=Y")</f>
        <v>#NAME?</v>
      </c>
      <c r="AO424" s="1" t="e">
        <f ca="1">_xll.BDH($C$403,"GEO_GROW_OPER_INC","FQ1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24" s="1" t="e">
        <f ca="1">_xll.BDH($C$403,"NET_INCOME_TO_COMMON_5_YR_GROWTH","FQ1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24" s="1" t="e">
        <f ca="1">_xll.BDH($C$403,"5Y_GEO_GROWTH_DILUTED_EPS","FQ1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24" s="1" t="e">
        <f ca="1">_xll.BDH($C$403,"GEO_GROW_DVD_PER_SH","FQ1 2018","FQ1 2018","Currency=INR","Period=FQ","BEST_FPERIOD_OVERRIDE=FQ","FILING_STATUS=OR","EQY_CONSOLIDATED=Y","Sort=A","Dates=H","DateFormat=P","Fill=—","Direction=H","UseDPDF=Y")</f>
        <v>#NAME?</v>
      </c>
      <c r="AS424" s="1" t="e">
        <f ca="1">_xll.BDH($C$403,"ACCOUNTS_RECEIVABLE_5_YR_GROWTH","FQ1 2018","FQ1 2018","Currency=INR","Period=FQ","BEST_FPERIOD_OVERRIDE=FQ","FILING_STATUS=OR","EQY_CONSOLIDATED=Y","Sort=A","Dates=H","DateFormat=P","Fill=—","Direction=H","UseDPDF=Y")</f>
        <v>#NAME?</v>
      </c>
      <c r="AT424" s="1" t="e">
        <f ca="1">_xll.BDH($C$403,"INVENTORY_5_YEAR_GROWTH","FQ1 2018","FQ1 2018","Currency=INR","Period=FQ","BEST_FPERIOD_OVERRIDE=FQ","FILING_STATUS=OR","EQY_CONSOLIDATED=Y","Sort=A","Dates=H","DateFormat=P","Fill=—","Direction=H","UseDPDF=Y")</f>
        <v>#NAME?</v>
      </c>
      <c r="AU424" s="1" t="e">
        <f ca="1">_xll.BDH($C$403,"NET_FIXED_ASSETS_5_YEAR_GROWTH","FQ1 2018","FQ1 2018","Currency=INR","Period=FQ","BEST_FPERIOD_OVERRIDE=FQ","FILING_STATUS=OR","EQY_CONSOLIDATED=Y","Sort=A","Dates=H","DateFormat=P","Fill=—","Direction=H","UseDPDF=Y")</f>
        <v>#NAME?</v>
      </c>
      <c r="AV424" s="1" t="e">
        <f ca="1">_xll.BDH($C$403,"GEO_GROW_TOT_ASSET","FQ1 2018","FQ1 2018","Currency=INR","Period=FQ","BEST_FPERIOD_OVERRIDE=FQ","FILING_STATUS=OR","EQY_CONSOLIDATED=Y","Sort=A","Dates=H","DateFormat=P","Fill=—","Direction=H","UseDPDF=Y")</f>
        <v>#NAME?</v>
      </c>
      <c r="AW424" s="1" t="e">
        <f ca="1">_xll.BDH($C$403,"MODIFIED_WORKING_CPTL_5YR_GRWTH","FQ1 2018","FQ1 2018","Currency=INR","Period=FQ","BEST_FPERIOD_OVERRIDE=FQ","FILING_STATUS=OR","EQY_CONSOLIDATED=Y","Sort=A","Dates=H","DateFormat=P","Fill=—","Direction=H","UseDPDF=Y")</f>
        <v>#NAME?</v>
      </c>
      <c r="AX424" s="1" t="e">
        <f ca="1">_xll.BDH($C$403,"WORKING_CAPITAL_5_YEAR_GROWTH","FQ1 2018","FQ1 2018","Currency=INR","Period=FQ","BEST_FPERIOD_OVERRIDE=FQ","FILING_STATUS=OR","EQY_CONSOLIDATED=Y","Sort=A","Dates=H","DateFormat=P","Fill=—","Direction=H","UseDPDF=Y")</f>
        <v>#NAME?</v>
      </c>
      <c r="AY424" s="1" t="e">
        <f ca="1">_xll.BDH($C$403,"ACCOUNTS_PAYABLE_5_YEAR_GROWTH","FQ1 2018","FQ1 2018","Currency=INR","Period=FQ","BEST_FPERIOD_OVERRIDE=FQ","FILING_STATUS=OR","EQY_CONSOLIDATED=Y","Sort=A","Dates=H","DateFormat=P","Fill=—","Direction=H","UseDPDF=Y")</f>
        <v>#NAME?</v>
      </c>
      <c r="AZ424" s="1" t="e">
        <f ca="1">_xll.BDH($C$403,"SHORT_TERM_DEBT_5_YEAR_GROWTH","FQ1 2018","FQ1 2018","Currency=INR","Period=FQ","BEST_FPERIOD_OVERRIDE=FQ","FILING_STATUS=OR","EQY_CONSOLIDATED=Y","Sort=A","Dates=H","DateFormat=P","Fill=—","Direction=H","UseDPDF=Y")</f>
        <v>#NAME?</v>
      </c>
      <c r="BA424" s="1" t="e">
        <f ca="1">_xll.BDH($C$403,"TOTAL_DEBT_5_YEAR_GROWTH","FQ1 2018","FQ1 2018","Currency=INR","Period=FQ","BEST_FPERIOD_OVERRIDE=FQ","FILING_STATUS=OR","EQY_CONSOLIDATED=Y","Sort=A","Dates=H","DateFormat=P","Fill=—","Direction=H","UseDPDF=Y")</f>
        <v>#NAME?</v>
      </c>
      <c r="BB424" s="1" t="e">
        <f ca="1">_xll.BDH($C$403,"GEO_GROW_TOT_SHRHLDR_EQY","FQ1 2018","FQ1 2018","Currency=INR","Period=FQ","BEST_FPERIOD_OVERRIDE=FQ","FILING_STATUS=OR","EQY_CONSOLIDATED=Y","Sort=A","Dates=H","DateFormat=P","Fill=—","Direction=H","UseDPDF=Y")</f>
        <v>#NAME?</v>
      </c>
      <c r="BC424" s="1" t="e">
        <f ca="1">_xll.BDH($C$403,"TOTAL_CAPITAL_5_YEAR_GROWTH","FQ1 2018","FQ1 2018","Currency=INR","Period=FQ","BEST_FPERIOD_OVERRIDE=FQ","FILING_STATUS=OR","EQY_CONSOLIDATED=Y","Sort=A","Dates=H","DateFormat=P","Fill=—","Direction=H","UseDPDF=Y")</f>
        <v>#NAME?</v>
      </c>
      <c r="BD424" s="1" t="e">
        <f ca="1">_xll.BDH($C$403,"GEO_GROW_BOOK_VAL","FQ1 2018","FQ1 2018","Currency=INR","Period=FQ","BEST_FPERIOD_OVERRIDE=FQ","FILING_STATUS=OR","EQY_CONSOLIDATED=Y","Sort=A","Dates=H","DateFormat=P","Fill=—","Direction=H","UseDPDF=Y")</f>
        <v>#NAME?</v>
      </c>
      <c r="BE424" s="1" t="e">
        <f ca="1">_xll.BDH($C$403,"GEO_GROW_CASH_OPER_ACT","FQ1 2018","FQ1 2018","Currency=INR","Period=FQ","BEST_FPERIOD_OVERRIDE=FQ","FILING_STATUS=OR","EQY_CONSOLIDATED=Y","Sort=A","Dates=H","DateFormat=P","Fill=—","Direction=H","UseDPDF=Y")</f>
        <v>#NAME?</v>
      </c>
      <c r="BF424" s="1" t="e">
        <f ca="1">_xll.BDH($C$403,"REVENUE_SEQUENTIAL_GROWTH","FQ1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24" s="1" t="e">
        <f ca="1">_xll.BDH($C$403,"EBITDA_SEQUENTIAL_GROWTH","FQ1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24" s="1" t="e">
        <f ca="1">_xll.BDH($C$403,"OPERATING_INCOME_SEQ_GROWTH","FQ1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24" s="1" t="e">
        <f ca="1">_xll.BDH($C$403,"NET_INCOME_TO_COMMON_SEQ_GROWTH","FQ1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24" s="1" t="e">
        <f ca="1">_xll.BDH($C$403,"EPS_DILUTED_SEQUENTIAL_GROWTH","FQ1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24" s="1" t="e">
        <f ca="1">_xll.BDH($C$403,"DPS_SEQUENTIAL_GROWTH","FQ1 2018","FQ1 2018","Currency=INR","Period=FQ","BEST_FPERIOD_OVERRIDE=FQ","FILING_STATUS=OR","EQY_CONSOLIDATED=Y","Sort=A","Dates=H","DateFormat=P","Fill=—","Direction=H","UseDPDF=Y")</f>
        <v>#NAME?</v>
      </c>
      <c r="BL424" s="1" t="e">
        <f ca="1">_xll.BDH($C$403,"ACCOUNTS_RECEIVABLE_SEQ_GROWTH","FQ1 2018","FQ1 2018","Currency=INR","Period=FQ","BEST_FPERIOD_OVERRIDE=FQ","FILING_STATUS=OR","EQY_CONSOLIDATED=Y","Sort=A","Dates=H","DateFormat=P","Fill=—","Direction=H","UseDPDF=Y")</f>
        <v>#NAME?</v>
      </c>
      <c r="BM424" s="1" t="e">
        <f ca="1">_xll.BDH($C$403,"INVENTORY_SEQUENTIAL_GROWTH","FQ1 2018","FQ1 2018","Currency=INR","Period=FQ","BEST_FPERIOD_OVERRIDE=FQ","FILING_STATUS=OR","EQY_CONSOLIDATED=Y","Sort=A","Dates=H","DateFormat=P","Fill=—","Direction=H","UseDPDF=Y")</f>
        <v>#NAME?</v>
      </c>
      <c r="BN424" s="1" t="e">
        <f ca="1">_xll.BDH($C$403,"FIXED_ASSETS_SEQUENTIAL_GROWTH","FQ1 2018","FQ1 2018","Currency=INR","Period=FQ","BEST_FPERIOD_OVERRIDE=FQ","FILING_STATUS=OR","EQY_CONSOLIDATED=Y","Sort=A","Dates=H","DateFormat=P","Fill=—","Direction=H","UseDPDF=Y")</f>
        <v>#NAME?</v>
      </c>
      <c r="BO424" s="1" t="e">
        <f ca="1">_xll.BDH($C$403,"TOTAL_ASSETS_SEQUENTIAL_GROWTH","FQ1 2018","FQ1 2018","Currency=INR","Period=FQ","BEST_FPERIOD_OVERRIDE=FQ","FILING_STATUS=OR","EQY_CONSOLIDATED=Y","Sort=A","Dates=H","DateFormat=P","Fill=—","Direction=H","UseDPDF=Y")</f>
        <v>#NAME?</v>
      </c>
      <c r="BP424" s="1" t="e">
        <f ca="1">_xll.BDH($C$403,"MODIFIED_WORKING_CPTL_SEQ_GRWTH","FQ1 2018","FQ1 2018","Currency=INR","Period=FQ","BEST_FPERIOD_OVERRIDE=FQ","FILING_STATUS=OR","EQY_CONSOLIDATED=Y","Sort=A","Dates=H","DateFormat=P","Fill=—","Direction=H","UseDPDF=Y")</f>
        <v>#NAME?</v>
      </c>
      <c r="BQ424" s="1" t="e">
        <f ca="1">_xll.BDH($C$403,"WORKING_CAPITAL_SEQ_GROWTH","FQ1 2018","FQ1 2018","Currency=INR","Period=FQ","BEST_FPERIOD_OVERRIDE=FQ","FILING_STATUS=OR","EQY_CONSOLIDATED=Y","Sort=A","Dates=H","DateFormat=P","Fill=—","Direction=H","UseDPDF=Y")</f>
        <v>#NAME?</v>
      </c>
      <c r="BR424" s="1" t="e">
        <f ca="1">_xll.BDH($C$403,"ACCOUNTS_PAYABLE_SEQ_GROWTH","FQ1 2018","FQ1 2018","Currency=INR","Period=FQ","BEST_FPERIOD_OVERRIDE=FQ","FILING_STATUS=OR","EQY_CONSOLIDATED=Y","Sort=A","Dates=H","DateFormat=P","Fill=—","Direction=H","UseDPDF=Y")</f>
        <v>#NAME?</v>
      </c>
      <c r="BS424" s="1" t="e">
        <f ca="1">_xll.BDH($C$403,"ST_DEBT_SEQUENTIAL_GROWTH","FQ1 2018","FQ1 2018","Currency=INR","Period=FQ","BEST_FPERIOD_OVERRIDE=FQ","FILING_STATUS=OR","EQY_CONSOLIDATED=Y","Sort=A","Dates=H","DateFormat=P","Fill=—","Direction=H","UseDPDF=Y")</f>
        <v>#NAME?</v>
      </c>
      <c r="BT424" s="1" t="e">
        <f ca="1">_xll.BDH($C$403,"TOTAL_DEBT_SEQUENTIAL_GROWTH","FQ1 2018","FQ1 2018","Currency=INR","Period=FQ","BEST_FPERIOD_OVERRIDE=FQ","FILING_STATUS=OR","EQY_CONSOLIDATED=Y","Sort=A","Dates=H","DateFormat=P","Fill=—","Direction=H","UseDPDF=Y")</f>
        <v>#NAME?</v>
      </c>
      <c r="BU424" s="1" t="e">
        <f ca="1">_xll.BDH($C$403,"TOTAL_EQUITY_SEQUENTIAL_GROWTH","FQ1 2018","FQ1 2018","Currency=INR","Period=FQ","BEST_FPERIOD_OVERRIDE=FQ","FILING_STATUS=OR","EQY_CONSOLIDATED=Y","Sort=A","Dates=H","DateFormat=P","Fill=—","Direction=H","UseDPDF=Y")</f>
        <v>#NAME?</v>
      </c>
      <c r="BV424" s="1" t="e">
        <f ca="1">_xll.BDH($C$403,"TOTAL_CAPITAL_SEQUENTIAL_GROWTH","FQ1 2018","FQ1 2018","Currency=INR","Period=FQ","BEST_FPERIOD_OVERRIDE=FQ","FILING_STATUS=OR","EQY_CONSOLIDATED=Y","Sort=A","Dates=H","DateFormat=P","Fill=—","Direction=H","UseDPDF=Y")</f>
        <v>#NAME?</v>
      </c>
      <c r="BW424" s="1" t="e">
        <f ca="1">_xll.BDH($C$403,"BPS_SEQUENTIAL_GROWTH","FQ1 2018","FQ1 2018","Currency=INR","Period=FQ","BEST_FPERIOD_OVERRIDE=FQ","FILING_STATUS=OR","EQY_CONSOLIDATED=Y","Sort=A","Dates=H","DateFormat=P","Fill=—","Direction=H","UseDPDF=Y")</f>
        <v>#NAME?</v>
      </c>
      <c r="BX424" s="1" t="e">
        <f ca="1">_xll.BDH($C$403,"CFO_SEQUENTIAL_GROWTH","FQ1 2018","FQ1 2018","Currency=INR","Period=FQ","BEST_FPERIOD_OVERRIDE=FQ","FILING_STATUS=OR","EQY_CONSOLIDATED=Y","Sort=A","Dates=H","DateFormat=P","Fill=—","Direction=H","UseDPDF=Y")</f>
        <v>#NAME?</v>
      </c>
      <c r="BY424" s="2" t="e">
        <f ca="1">_xll.BDH($C$403,"SHORT_AND_LONG_TERM_DEBT","FQ1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24" s="2" t="e">
        <f ca="1">_xll.BDH($C$403,"BS_ST_BORROW","FQ1 2018","FQ1 2018","Currency=INR","Period=FQ","BEST_FPERIOD_OVERRIDE=FQ","FILING_STATUS=OR","EQY_CONSOLIDATED=Y","SCALING_FORMAT=MLN","Sort=A","Dates=H","DateFormat=P","Fill=—","Direction=H","UseDPDF=Y")</f>
        <v>#NAME?</v>
      </c>
      <c r="CA424" s="2" t="e">
        <f ca="1">_xll.BDH($C$403,"BS_LT_BORROW","FQ1 2018","FQ1 2018","Currency=INR","Period=FQ","BEST_FPERIOD_OVERRIDE=FQ","FILING_STATUS=OR","EQY_CONSOLIDATED=Y","SCALING_FORMAT=MLN","Sort=A","Dates=H","DateFormat=P","Fill=—","Direction=H","UseDPDF=Y")</f>
        <v>#NAME?</v>
      </c>
      <c r="CB424" s="1" t="e">
        <f ca="1">_xll.BDH($C$403,"TOT_DEBT_TO_EBITDA","FQ1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24" s="1" t="e">
        <f ca="1">_xll.BDH($C$403,"NET_DEBT_TO_EBITDA","FQ1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24" s="1" t="e">
        <f ca="1">_xll.BDH($C$403,"TOTAL_DEBT_TO_EBIT","FQ1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24" s="1" t="e">
        <f ca="1">_xll.BDH($C$403,"NET_DEBT_TO_EBIT","FQ1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424" s="1" t="e">
        <f ca="1">_xll.BDH($C$403,"EBITDA_TO_INTEREST_EXPN","FQ1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24" s="1" t="e">
        <f ca="1">_xll.BDH($C$403,"COM_EQY_TO_TOT_ASSET","FQ1 2018","FQ1 2018","Currency=INR","Period=FQ","BEST_FPERIOD_OVERRIDE=FQ","FILING_STATUS=OR","EQY_CONSOLIDATED=Y","Sort=A","Dates=H","DateFormat=P","Fill=—","Direction=H","UseDPDF=Y")</f>
        <v>#NAME?</v>
      </c>
      <c r="CH424" s="1" t="e">
        <f ca="1">_xll.BDH($C$403,"LT_DEBT_TO_TOT_EQY","FQ1 2018","FQ1 2018","Currency=INR","Period=FQ","BEST_FPERIOD_OVERRIDE=FQ","FILING_STATUS=OR","EQY_CONSOLIDATED=Y","Sort=A","Dates=H","DateFormat=P","Fill=—","Direction=H","UseDPDF=Y")</f>
        <v>#NAME?</v>
      </c>
      <c r="CI424" s="1" t="e">
        <f ca="1">_xll.BDH($C$403,"LT_DEBT_TO_TOT_CAP","FQ1 2018","FQ1 2018","Currency=INR","Period=FQ","BEST_FPERIOD_OVERRIDE=FQ","FILING_STATUS=OR","EQY_CONSOLIDATED=Y","Sort=A","Dates=H","DateFormat=P","Fill=—","Direction=H","UseDPDF=Y")</f>
        <v>#NAME?</v>
      </c>
      <c r="CJ424" s="1" t="e">
        <f ca="1">_xll.BDH($C$403,"LT_DEBT_TO_TOT_ASSET","FQ1 2018","FQ1 2018","Currency=INR","Period=FQ","BEST_FPERIOD_OVERRIDE=FQ","FILING_STATUS=OR","EQY_CONSOLIDATED=Y","Sort=A","Dates=H","DateFormat=P","Fill=—","Direction=H","UseDPDF=Y")</f>
        <v>#NAME?</v>
      </c>
      <c r="CK424" s="1" t="e">
        <f ca="1">_xll.BDH($C$403,"TOT_DEBT_TO_TOT_EQY","FQ1 2018","FQ1 2018","Currency=INR","Period=FQ","BEST_FPERIOD_OVERRIDE=FQ","FILING_STATUS=OR","EQY_CONSOLIDATED=Y","Sort=A","Dates=H","DateFormat=P","Fill=—","Direction=H","UseDPDF=Y")</f>
        <v>#NAME?</v>
      </c>
      <c r="CL424" s="1" t="e">
        <f ca="1">_xll.BDH($C$403,"TOT_DEBT_TO_TOT_CAP","FQ1 2018","FQ1 2018","Currency=INR","Period=FQ","BEST_FPERIOD_OVERRIDE=FQ","FILING_STATUS=OR","EQY_CONSOLIDATED=Y","Sort=A","Dates=H","DateFormat=P","Fill=—","Direction=H","UseDPDF=Y")</f>
        <v>#NAME?</v>
      </c>
      <c r="CM424" s="1" t="e">
        <f ca="1">_xll.BDH($C$403,"TOT_DEBT_TO_TOT_ASSET","FQ1 2018","FQ1 2018","Currency=INR","Period=FQ","BEST_FPERIOD_OVERRIDE=FQ","FILING_STATUS=OR","EQY_CONSOLIDATED=Y","Sort=A","Dates=H","DateFormat=P","Fill=—","Direction=H","UseDPDF=Y")</f>
        <v>#NAME?</v>
      </c>
      <c r="CN424" s="1" t="e">
        <f ca="1">_xll.BDH($C$403,"NET_DEBT_TO_SHRHLDR_EQTY","FQ1 2018","FQ1 2018","Currency=INR","Period=FQ","BEST_FPERIOD_OVERRIDE=FQ","FILING_STATUS=OR","EQY_CONSOLIDATED=Y","Sort=A","Dates=H","DateFormat=P","Fill=—","Direction=H","UseDPDF=Y")</f>
        <v>#NAME?</v>
      </c>
      <c r="CO424" s="1" t="e">
        <f ca="1">_xll.BDH($C$403,"NET_DEBT_%_CAPITAL","FQ1 2018","FQ1 2018","Currency=INR","Period=FQ","BEST_FPERIOD_OVERRIDE=FQ","FILING_STATUS=OR","EQY_CONSOLIDATED=Y","Sort=A","Dates=H","DateFormat=P","Fill=—","Direction=H","UseDPDF=Y")</f>
        <v>#NAME?</v>
      </c>
      <c r="CP424" s="2" t="e">
        <f ca="1">_xll.BDH($C$403,"EBITDA","FQ1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24" s="2" t="e">
        <f ca="1">_xll.BDH($C$403,"EBITDA_AFTER_CAPEX","FQ1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24" s="2" t="e">
        <f ca="1">_xll.BDH($C$403,"IS_OPER_INC","FQ1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24" s="1" t="e">
        <f ca="1">_xll.BDH($C$403,"CASH_RATIO","FQ1 2018","FQ1 2018","Currency=INR","Period=FQ","BEST_FPERIOD_OVERRIDE=FQ","FILING_STATUS=OR","EQY_CONSOLIDATED=Y","Sort=A","Dates=H","DateFormat=P","Fill=—","Direction=H","UseDPDF=Y")</f>
        <v>#NAME?</v>
      </c>
      <c r="CT424" s="1" t="e">
        <f ca="1">_xll.BDH($C$403,"CUR_RATIO","FQ1 2018","FQ1 2018","Currency=INR","Period=FQ","BEST_FPERIOD_OVERRIDE=FQ","FILING_STATUS=OR","EQY_CONSOLIDATED=Y","Sort=A","Dates=H","DateFormat=P","Fill=—","Direction=H","UseDPDF=Y")</f>
        <v>#NAME?</v>
      </c>
      <c r="CU424" s="1" t="e">
        <f ca="1">_xll.BDH($C$403,"QUICK_RATIO","FQ1 2018","FQ1 2018","Currency=INR","Period=FQ","BEST_FPERIOD_OVERRIDE=FQ","FILING_STATUS=OR","EQY_CONSOLIDATED=Y","Sort=A","Dates=H","DateFormat=P","Fill=—","Direction=H","UseDPDF=Y")</f>
        <v>#NAME?</v>
      </c>
      <c r="CV424" s="1" t="e">
        <f ca="1">_xll.BDH($C$403,"ALTMAN_Z_SCORE","FQ1 2018","FQ1 2018","Currency=INR","Period=FQ","BEST_FPERIOD_OVERRIDE=FQ","FILING_STATUS=OR","EQY_CONSOLIDATED=Y","Sort=A","Dates=H","DateFormat=P","Fill=—","Direction=H","UseDPDF=Y")</f>
        <v>#NAME?</v>
      </c>
      <c r="CW424" s="3" t="e">
        <f ca="1">_xll.BDH($C$403,"ACCT_RCV_TURN","FQ1 2018","FQ1 2018","Currency=INR","Period=FQ","BEST_FPERIOD_OVERRIDE=FQ","FILING_STATUS=OR","EQY_CONSOLIDATED=Y","FA_ADJUSTED=GAAP","Sort=A","Dates=H","DateFormat=P","Fill=—","Direction=H","UseDPDF=Y")</f>
        <v>#NAME?</v>
      </c>
      <c r="CX424" s="1" t="e">
        <f ca="1">_xll.BDH($C$403,"ACCT_RCV_DAYS","FQ1 2018","FQ1 2018","Currency=INR","Period=FQ","BEST_FPERIOD_OVERRIDE=FQ","FILING_STATUS=OR","EQY_CONSOLIDATED=Y","FA_ADJUSTED=GAAP","Sort=A","Dates=H","DateFormat=P","Fill=—","Direction=H","UseDPDF=Y")</f>
        <v>#NAME?</v>
      </c>
      <c r="CY424" s="3" t="e">
        <f ca="1">_xll.BDH($C$403,"INVENT_TURN","FQ1 2018","FQ1 2018","Currency=INR","Period=FQ","BEST_FPERIOD_OVERRIDE=FQ","FILING_STATUS=OR","EQY_CONSOLIDATED=Y","FA_ADJUSTED=GAAP","Sort=A","Dates=H","DateFormat=P","Fill=—","Direction=H","UseDPDF=Y")</f>
        <v>#NAME?</v>
      </c>
      <c r="CZ424" s="1" t="e">
        <f ca="1">_xll.BDH($C$403,"INVENT_DAYS","FQ1 2018","FQ1 2018","Currency=INR","Period=FQ","BEST_FPERIOD_OVERRIDE=FQ","FILING_STATUS=OR","EQY_CONSOLIDATED=Y","FA_ADJUSTED=GAAP","Sort=A","Dates=H","DateFormat=P","Fill=—","Direction=H","UseDPDF=Y")</f>
        <v>#NAME?</v>
      </c>
      <c r="DA424" s="3" t="e">
        <f ca="1">_xll.BDH($C$403,"ACCOUNTS_PAYABLE_TURNOVER","FQ1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24" s="1" t="e">
        <f ca="1">_xll.BDH($C$403,"ACCOUNTS_PAYABLE_TURNOVER_DAYS","FQ1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24" s="3" t="e">
        <f ca="1">_xll.BDH($C$403,"CASH_CONVERSION_CYCLE","FQ1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24" s="3" t="e">
        <f ca="1">_xll.BDH($C$403,"INV_TO_CASH_DAYS","FQ1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424" s="4" t="e">
        <f ca="1">_xll.BDH($C$403,"BS_INVENTORIES","FQ1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424" s="2" t="e">
        <f ca="1">_xll.BDH($C$403,"INVTRY_RAW_MATERIALS","FQ1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24" s="2" t="e">
        <f ca="1">_xll.BDH($C$403,"INVTRY_IN_PROGRESS","FQ1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24" s="2" t="e">
        <f ca="1">_xll.BDH($C$403,"INVTRY_FINISHED_GOODS","FQ1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24" s="2" t="e">
        <f ca="1">_xll.BDH($C$403,"BS_OTHER_INV","FQ1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25" spans="1:113" x14ac:dyDescent="0.3">
      <c r="A425" s="6"/>
      <c r="B425" s="6"/>
      <c r="C425" s="6"/>
      <c r="D425" s="6"/>
      <c r="E425" t="s">
        <v>5</v>
      </c>
      <c r="F425" t="e">
        <f ca="1">_xll.BDH($C$403,"RETURN_COM_EQY","FQ2 2018","FQ2 2018","Currency=INR","Period=FQ","BEST_FPERIOD_OVERRIDE=FQ","FILING_STATUS=OR","EQY_CONSOLIDATED=Y","FA_ADJUSTED=GAAP","Sort=A","Dates=H","DateFormat=P","Fill=—","Direction=H","UseDPDF=Y")</f>
        <v>#NAME?</v>
      </c>
      <c r="G425" t="e">
        <f ca="1">_xll.BDH($C$403,"RETURN_ON_ASSET","FQ2 2018","FQ2 2018","Currency=INR","Period=FQ","BEST_FPERIOD_OVERRIDE=FQ","FILING_STATUS=OR","EQY_CONSOLIDATED=Y","FA_ADJUSTED=GAAP","Sort=A","Dates=H","DateFormat=P","Fill=—","Direction=H","UseDPDF=Y")</f>
        <v>#NAME?</v>
      </c>
      <c r="H425" t="e">
        <f ca="1">_xll.BDH($C$403,"RETURN_ON_CAP","FQ2 2018","FQ2 2018","Currency=INR","Period=FQ","BEST_FPERIOD_OVERRIDE=FQ","FILING_STATUS=OR","EQY_CONSOLIDATED=Y","FA_ADJUSTED=GAAP","Sort=A","Dates=H","DateFormat=P","Fill=—","Direction=H","UseDPDF=Y")</f>
        <v>#NAME?</v>
      </c>
      <c r="I425" t="e">
        <f ca="1">_xll.BDH($C$403,"RETURN_ON_INV_CAPITAL","FQ2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25" t="e">
        <f ca="1">_xll.BDH($C$403,"EBITDA_TO_REVENUE","FQ2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425" t="e">
        <f ca="1">_xll.BDH($C$403,"OPER_MARGIN","FQ2 2018","FQ2 2018","Currency=INR","Period=FQ","BEST_FPERIOD_OVERRIDE=FQ","FILING_STATUS=OR","EQY_CONSOLIDATED=Y","FA_ADJUSTED=GAAP","Sort=A","Dates=H","DateFormat=P","Fill=—","Direction=H","UseDPDF=Y")</f>
        <v>#NAME?</v>
      </c>
      <c r="L425" t="e">
        <f ca="1">_xll.BDH($C$403,"INCREMENTAL_OPERATING_MARGIN","FQ2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25" t="e">
        <f ca="1">_xll.BDH($C$403,"PRETAX_INC_TO_NET_SALES","FQ2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25" t="e">
        <f ca="1">_xll.BDH($C$403,"INC_BEF_XO_ITEMS_TO_NET_SALES","FQ2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25" t="e">
        <f ca="1">_xll.BDH($C$403,"PROF_MARGIN","FQ2 2018","FQ2 2018","Currency=INR","Period=FQ","BEST_FPERIOD_OVERRIDE=FQ","FILING_STATUS=OR","EQY_CONSOLIDATED=Y","FA_ADJUSTED=GAAP","Sort=A","Dates=H","DateFormat=P","Fill=—","Direction=H","UseDPDF=Y")</f>
        <v>#NAME?</v>
      </c>
      <c r="P425" t="e">
        <f ca="1">_xll.BDH($C$403,"NET_INCOME_TO_COMMON_MARGIN","FQ2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25" t="e">
        <f ca="1">_xll.BDH($C$403,"EFF_TAX_RATE","FQ2 2018","FQ2 2018","Currency=INR","Period=FQ","BEST_FPERIOD_OVERRIDE=FQ","FILING_STATUS=OR","EQY_CONSOLIDATED=Y","FA_ADJUSTED=GAAP","Sort=A","Dates=H","DateFormat=P","Fill=—","Direction=H","UseDPDF=Y")</f>
        <v>#NAME?</v>
      </c>
      <c r="R425" t="e">
        <f ca="1">_xll.BDH($C$403,"DVD_PAYOUT_RATIO","FQ2 2018","FQ2 2018","Currency=INR","Period=FQ","BEST_FPERIOD_OVERRIDE=FQ","FILING_STATUS=OR","EQY_CONSOLIDATED=Y","FA_ADJUSTED=GAAP","Sort=A","Dates=H","DateFormat=P","Fill=—","Direction=H","UseDPDF=Y")</f>
        <v>#NAME?</v>
      </c>
      <c r="S425" t="e">
        <f ca="1">_xll.BDH($C$403,"SUSTAIN_GROWTH_RT","FQ2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425" s="1" t="e">
        <f ca="1">_xll.BDH($C$403,"SALES_GROWTH","FQ2 2018","FQ2 2018","Currency=INR","Period=FQ","BEST_FPERIOD_OVERRIDE=FQ","FILING_STATUS=OR","EQY_CONSOLIDATED=Y","FA_ADJUSTED=GAAP","Sort=A","Dates=H","DateFormat=P","Fill=—","Direction=H","UseDPDF=Y")</f>
        <v>#NAME?</v>
      </c>
      <c r="U425" s="1" t="e">
        <f ca="1">_xll.BDH($C$403,"EBITDA_GROWTH","FQ2 2018","FQ2 2018","Currency=INR","Period=FQ","BEST_FPERIOD_OVERRIDE=FQ","FILING_STATUS=OR","EQY_CONSOLIDATED=Y","FA_ADJUSTED=GAAP","Sort=A","Dates=H","DateFormat=P","Fill=—","Direction=H","UseDPDF=Y")</f>
        <v>#NAME?</v>
      </c>
      <c r="V425" s="1" t="e">
        <f ca="1">_xll.BDH($C$403,"OPER_INC_GROWTH","FQ2 2018","FQ2 2018","Currency=INR","Period=FQ","BEST_FPERIOD_OVERRIDE=FQ","FILING_STATUS=OR","EQY_CONSOLIDATED=Y","FA_ADJUSTED=GAAP","Sort=A","Dates=H","DateFormat=P","Fill=—","Direction=H","UseDPDF=Y")</f>
        <v>#NAME?</v>
      </c>
      <c r="W425" s="1" t="e">
        <f ca="1">_xll.BDH($C$403,"EARN_FOR_COM_GROWTH","FQ2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25" s="1" t="e">
        <f ca="1">_xll.BDH($C$403,"DILUTED_EPS_AFT_XO_ITEMS_GROWTH","FQ2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25" s="1" t="e">
        <f ca="1">_xll.BDH($C$403,"DIVIDEND_PER_SHARE_1_YEAR_GROWTH","FQ2 2018","FQ2 2018","Currency=INR","Period=FQ","BEST_FPERIOD_OVERRIDE=FQ","FILING_STATUS=OR","EQY_CONSOLIDATED=Y","Sort=A","Dates=H","DateFormat=P","Fill=—","Direction=H","UseDPDF=Y")</f>
        <v>#NAME?</v>
      </c>
      <c r="Z425" s="1" t="e">
        <f ca="1">_xll.BDH($C$403,"ACCOUNTS_RECEIVABLE_GROWTH","FQ2 2018","FQ2 2018","Currency=INR","Period=FQ","BEST_FPERIOD_OVERRIDE=FQ","FILING_STATUS=OR","EQY_CONSOLIDATED=Y","Sort=A","Dates=H","DateFormat=P","Fill=—","Direction=H","UseDPDF=Y")</f>
        <v>#NAME?</v>
      </c>
      <c r="AA425" s="1" t="e">
        <f ca="1">_xll.BDH($C$403,"INVENTORY_GROWTH","FQ2 2018","FQ2 2018","Currency=INR","Period=FQ","BEST_FPERIOD_OVERRIDE=FQ","FILING_STATUS=OR","EQY_CONSOLIDATED=Y","Sort=A","Dates=H","DateFormat=P","Fill=—","Direction=H","UseDPDF=Y")</f>
        <v>#NAME?</v>
      </c>
      <c r="AB425" s="1" t="e">
        <f ca="1">_xll.BDH($C$403,"NET_FIXED_ASSETS_1_YEAR_GROWTH","FQ2 2018","FQ2 2018","Currency=INR","Period=FQ","BEST_FPERIOD_OVERRIDE=FQ","FILING_STATUS=OR","EQY_CONSOLIDATED=Y","Sort=A","Dates=H","DateFormat=P","Fill=—","Direction=H","UseDPDF=Y")</f>
        <v>#NAME?</v>
      </c>
      <c r="AC425" s="1" t="e">
        <f ca="1">_xll.BDH($C$403,"ASSET_GROWTH","FQ2 2018","FQ2 2018","Currency=INR","Period=FQ","BEST_FPERIOD_OVERRIDE=FQ","FILING_STATUS=OR","EQY_CONSOLIDATED=Y","Sort=A","Dates=H","DateFormat=P","Fill=—","Direction=H","UseDPDF=Y")</f>
        <v>#NAME?</v>
      </c>
      <c r="AD425" s="1" t="e">
        <f ca="1">_xll.BDH($C$403,"MODIFIED_WORK_CAP_GROWTH","FQ2 2018","FQ2 2018","Currency=INR","Period=FQ","BEST_FPERIOD_OVERRIDE=FQ","FILING_STATUS=OR","EQY_CONSOLIDATED=Y","Sort=A","Dates=H","DateFormat=P","Fill=—","Direction=H","UseDPDF=Y")</f>
        <v>#NAME?</v>
      </c>
      <c r="AE425" s="1" t="e">
        <f ca="1">_xll.BDH($C$403,"WORK_CAP_GROWTH","FQ2 2018","FQ2 2018","Currency=INR","Period=FQ","BEST_FPERIOD_OVERRIDE=FQ","FILING_STATUS=OR","EQY_CONSOLIDATED=Y","Sort=A","Dates=H","DateFormat=P","Fill=—","Direction=H","UseDPDF=Y")</f>
        <v>#NAME?</v>
      </c>
      <c r="AF425" s="1" t="e">
        <f ca="1">_xll.BDH($C$403,"ACCOUNTS_PAYABLE_GROWTH_1YR","FQ2 2018","FQ2 2018","Currency=INR","Period=FQ","BEST_FPERIOD_OVERRIDE=FQ","FILING_STATUS=OR","EQY_CONSOLIDATED=Y","Sort=A","Dates=H","DateFormat=P","Fill=—","Direction=H","UseDPDF=Y")</f>
        <v>#NAME?</v>
      </c>
      <c r="AG425" s="1" t="e">
        <f ca="1">_xll.BDH($C$403,"SHORT_TERM_DEBT_1_YEAR_GROWTH","FQ2 2018","FQ2 2018","Currency=INR","Period=FQ","BEST_FPERIOD_OVERRIDE=FQ","FILING_STATUS=OR","EQY_CONSOLIDATED=Y","Sort=A","Dates=H","DateFormat=P","Fill=—","Direction=H","UseDPDF=Y")</f>
        <v>#NAME?</v>
      </c>
      <c r="AH425" s="1" t="e">
        <f ca="1">_xll.BDH($C$403,"TOTAL_DEBT_1_YEAR_GROWTH","FQ2 2018","FQ2 2018","Currency=INR","Period=FQ","BEST_FPERIOD_OVERRIDE=FQ","FILING_STATUS=OR","EQY_CONSOLIDATED=Y","Sort=A","Dates=H","DateFormat=P","Fill=—","Direction=H","UseDPDF=Y")</f>
        <v>#NAME?</v>
      </c>
      <c r="AI425" s="1" t="e">
        <f ca="1">_xll.BDH($C$403,"TOTAL_EQUITY_1_YEAR_GROWTH","FQ2 2018","FQ2 2018","Currency=INR","Period=FQ","BEST_FPERIOD_OVERRIDE=FQ","FILING_STATUS=OR","EQY_CONSOLIDATED=Y","Sort=A","Dates=H","DateFormat=P","Fill=—","Direction=H","UseDPDF=Y")</f>
        <v>#NAME?</v>
      </c>
      <c r="AJ425" s="1" t="e">
        <f ca="1">_xll.BDH($C$403,"GROWTH_IN_CAP","FQ2 2018","FQ2 2018","Currency=INR","Period=FQ","BEST_FPERIOD_OVERRIDE=FQ","FILING_STATUS=OR","EQY_CONSOLIDATED=Y","Sort=A","Dates=H","DateFormat=P","Fill=—","Direction=H","UseDPDF=Y")</f>
        <v>#NAME?</v>
      </c>
      <c r="AK425" s="1" t="e">
        <f ca="1">_xll.BDH($C$403,"BVPS_GROWTH","FQ2 2018","FQ2 2018","Currency=INR","Period=FQ","BEST_FPERIOD_OVERRIDE=FQ","FILING_STATUS=OR","EQY_CONSOLIDATED=Y","Sort=A","Dates=H","DateFormat=P","Fill=—","Direction=H","UseDPDF=Y")</f>
        <v>#NAME?</v>
      </c>
      <c r="AL425" s="1" t="e">
        <f ca="1">_xll.BDH($C$403,"CASH_FLOW_GROWTH","FQ2 2018","FQ2 2018","Currency=INR","Period=FQ","BEST_FPERIOD_OVERRIDE=FQ","FILING_STATUS=OR","EQY_CONSOLIDATED=Y","Sort=A","Dates=H","DateFormat=P","Fill=—","Direction=H","UseDPDF=Y")</f>
        <v>#NAME?</v>
      </c>
      <c r="AM425" s="1" t="e">
        <f ca="1">_xll.BDH($C$403,"GEO_GROW_NET_SALES","FQ2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25" s="1" t="e">
        <f ca="1">_xll.BDH($C$403,"GEO_GROW_EBITDA","FQ2 2018","FQ2 2018","Currency=INR","Period=FQ","BEST_FPERIOD_OVERRIDE=FQ","FILING_STATUS=OR","EQY_CONSOLIDATED=Y","FA_ADJUSTED=GAAP","Sort=A","Dates=H","DateFormat=P","Fill=—","Direction=H","UseDPDF=Y")</f>
        <v>#NAME?</v>
      </c>
      <c r="AO425" s="1" t="e">
        <f ca="1">_xll.BDH($C$403,"GEO_GROW_OPER_INC","FQ2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25" s="1" t="e">
        <f ca="1">_xll.BDH($C$403,"NET_INCOME_TO_COMMON_5_YR_GROWTH","FQ2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25" s="1" t="e">
        <f ca="1">_xll.BDH($C$403,"5Y_GEO_GROWTH_DILUTED_EPS","FQ2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25" s="1" t="e">
        <f ca="1">_xll.BDH($C$403,"GEO_GROW_DVD_PER_SH","FQ2 2018","FQ2 2018","Currency=INR","Period=FQ","BEST_FPERIOD_OVERRIDE=FQ","FILING_STATUS=OR","EQY_CONSOLIDATED=Y","Sort=A","Dates=H","DateFormat=P","Fill=—","Direction=H","UseDPDF=Y")</f>
        <v>#NAME?</v>
      </c>
      <c r="AS425" s="1" t="e">
        <f ca="1">_xll.BDH($C$403,"ACCOUNTS_RECEIVABLE_5_YR_GROWTH","FQ2 2018","FQ2 2018","Currency=INR","Period=FQ","BEST_FPERIOD_OVERRIDE=FQ","FILING_STATUS=OR","EQY_CONSOLIDATED=Y","Sort=A","Dates=H","DateFormat=P","Fill=—","Direction=H","UseDPDF=Y")</f>
        <v>#NAME?</v>
      </c>
      <c r="AT425" s="1" t="e">
        <f ca="1">_xll.BDH($C$403,"INVENTORY_5_YEAR_GROWTH","FQ2 2018","FQ2 2018","Currency=INR","Period=FQ","BEST_FPERIOD_OVERRIDE=FQ","FILING_STATUS=OR","EQY_CONSOLIDATED=Y","Sort=A","Dates=H","DateFormat=P","Fill=—","Direction=H","UseDPDF=Y")</f>
        <v>#NAME?</v>
      </c>
      <c r="AU425" s="1" t="e">
        <f ca="1">_xll.BDH($C$403,"NET_FIXED_ASSETS_5_YEAR_GROWTH","FQ2 2018","FQ2 2018","Currency=INR","Period=FQ","BEST_FPERIOD_OVERRIDE=FQ","FILING_STATUS=OR","EQY_CONSOLIDATED=Y","Sort=A","Dates=H","DateFormat=P","Fill=—","Direction=H","UseDPDF=Y")</f>
        <v>#NAME?</v>
      </c>
      <c r="AV425" s="1" t="e">
        <f ca="1">_xll.BDH($C$403,"GEO_GROW_TOT_ASSET","FQ2 2018","FQ2 2018","Currency=INR","Period=FQ","BEST_FPERIOD_OVERRIDE=FQ","FILING_STATUS=OR","EQY_CONSOLIDATED=Y","Sort=A","Dates=H","DateFormat=P","Fill=—","Direction=H","UseDPDF=Y")</f>
        <v>#NAME?</v>
      </c>
      <c r="AW425" s="1" t="e">
        <f ca="1">_xll.BDH($C$403,"MODIFIED_WORKING_CPTL_5YR_GRWTH","FQ2 2018","FQ2 2018","Currency=INR","Period=FQ","BEST_FPERIOD_OVERRIDE=FQ","FILING_STATUS=OR","EQY_CONSOLIDATED=Y","Sort=A","Dates=H","DateFormat=P","Fill=—","Direction=H","UseDPDF=Y")</f>
        <v>#NAME?</v>
      </c>
      <c r="AX425" s="1" t="e">
        <f ca="1">_xll.BDH($C$403,"WORKING_CAPITAL_5_YEAR_GROWTH","FQ2 2018","FQ2 2018","Currency=INR","Period=FQ","BEST_FPERIOD_OVERRIDE=FQ","FILING_STATUS=OR","EQY_CONSOLIDATED=Y","Sort=A","Dates=H","DateFormat=P","Fill=—","Direction=H","UseDPDF=Y")</f>
        <v>#NAME?</v>
      </c>
      <c r="AY425" s="1" t="e">
        <f ca="1">_xll.BDH($C$403,"ACCOUNTS_PAYABLE_5_YEAR_GROWTH","FQ2 2018","FQ2 2018","Currency=INR","Period=FQ","BEST_FPERIOD_OVERRIDE=FQ","FILING_STATUS=OR","EQY_CONSOLIDATED=Y","Sort=A","Dates=H","DateFormat=P","Fill=—","Direction=H","UseDPDF=Y")</f>
        <v>#NAME?</v>
      </c>
      <c r="AZ425" s="1" t="e">
        <f ca="1">_xll.BDH($C$403,"SHORT_TERM_DEBT_5_YEAR_GROWTH","FQ2 2018","FQ2 2018","Currency=INR","Period=FQ","BEST_FPERIOD_OVERRIDE=FQ","FILING_STATUS=OR","EQY_CONSOLIDATED=Y","Sort=A","Dates=H","DateFormat=P","Fill=—","Direction=H","UseDPDF=Y")</f>
        <v>#NAME?</v>
      </c>
      <c r="BA425" s="1" t="e">
        <f ca="1">_xll.BDH($C$403,"TOTAL_DEBT_5_YEAR_GROWTH","FQ2 2018","FQ2 2018","Currency=INR","Period=FQ","BEST_FPERIOD_OVERRIDE=FQ","FILING_STATUS=OR","EQY_CONSOLIDATED=Y","Sort=A","Dates=H","DateFormat=P","Fill=—","Direction=H","UseDPDF=Y")</f>
        <v>#NAME?</v>
      </c>
      <c r="BB425" s="1" t="e">
        <f ca="1">_xll.BDH($C$403,"GEO_GROW_TOT_SHRHLDR_EQY","FQ2 2018","FQ2 2018","Currency=INR","Period=FQ","BEST_FPERIOD_OVERRIDE=FQ","FILING_STATUS=OR","EQY_CONSOLIDATED=Y","Sort=A","Dates=H","DateFormat=P","Fill=—","Direction=H","UseDPDF=Y")</f>
        <v>#NAME?</v>
      </c>
      <c r="BC425" s="1" t="e">
        <f ca="1">_xll.BDH($C$403,"TOTAL_CAPITAL_5_YEAR_GROWTH","FQ2 2018","FQ2 2018","Currency=INR","Period=FQ","BEST_FPERIOD_OVERRIDE=FQ","FILING_STATUS=OR","EQY_CONSOLIDATED=Y","Sort=A","Dates=H","DateFormat=P","Fill=—","Direction=H","UseDPDF=Y")</f>
        <v>#NAME?</v>
      </c>
      <c r="BD425" s="1" t="e">
        <f ca="1">_xll.BDH($C$403,"GEO_GROW_BOOK_VAL","FQ2 2018","FQ2 2018","Currency=INR","Period=FQ","BEST_FPERIOD_OVERRIDE=FQ","FILING_STATUS=OR","EQY_CONSOLIDATED=Y","Sort=A","Dates=H","DateFormat=P","Fill=—","Direction=H","UseDPDF=Y")</f>
        <v>#NAME?</v>
      </c>
      <c r="BE425" s="1" t="e">
        <f ca="1">_xll.BDH($C$403,"GEO_GROW_CASH_OPER_ACT","FQ2 2018","FQ2 2018","Currency=INR","Period=FQ","BEST_FPERIOD_OVERRIDE=FQ","FILING_STATUS=OR","EQY_CONSOLIDATED=Y","Sort=A","Dates=H","DateFormat=P","Fill=—","Direction=H","UseDPDF=Y")</f>
        <v>#NAME?</v>
      </c>
      <c r="BF425" s="1" t="e">
        <f ca="1">_xll.BDH($C$403,"REVENUE_SEQUENTIAL_GROWTH","FQ2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25" s="1" t="e">
        <f ca="1">_xll.BDH($C$403,"EBITDA_SEQUENTIAL_GROWTH","FQ2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25" s="1" t="e">
        <f ca="1">_xll.BDH($C$403,"OPERATING_INCOME_SEQ_GROWTH","FQ2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25" s="1" t="e">
        <f ca="1">_xll.BDH($C$403,"NET_INCOME_TO_COMMON_SEQ_GROWTH","FQ2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25" s="1" t="e">
        <f ca="1">_xll.BDH($C$403,"EPS_DILUTED_SEQUENTIAL_GROWTH","FQ2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25" s="1" t="e">
        <f ca="1">_xll.BDH($C$403,"DPS_SEQUENTIAL_GROWTH","FQ2 2018","FQ2 2018","Currency=INR","Period=FQ","BEST_FPERIOD_OVERRIDE=FQ","FILING_STATUS=OR","EQY_CONSOLIDATED=Y","Sort=A","Dates=H","DateFormat=P","Fill=—","Direction=H","UseDPDF=Y")</f>
        <v>#NAME?</v>
      </c>
      <c r="BL425" s="1" t="e">
        <f ca="1">_xll.BDH($C$403,"ACCOUNTS_RECEIVABLE_SEQ_GROWTH","FQ2 2018","FQ2 2018","Currency=INR","Period=FQ","BEST_FPERIOD_OVERRIDE=FQ","FILING_STATUS=OR","EQY_CONSOLIDATED=Y","Sort=A","Dates=H","DateFormat=P","Fill=—","Direction=H","UseDPDF=Y")</f>
        <v>#NAME?</v>
      </c>
      <c r="BM425" s="1" t="e">
        <f ca="1">_xll.BDH($C$403,"INVENTORY_SEQUENTIAL_GROWTH","FQ2 2018","FQ2 2018","Currency=INR","Period=FQ","BEST_FPERIOD_OVERRIDE=FQ","FILING_STATUS=OR","EQY_CONSOLIDATED=Y","Sort=A","Dates=H","DateFormat=P","Fill=—","Direction=H","UseDPDF=Y")</f>
        <v>#NAME?</v>
      </c>
      <c r="BN425" s="1" t="e">
        <f ca="1">_xll.BDH($C$403,"FIXED_ASSETS_SEQUENTIAL_GROWTH","FQ2 2018","FQ2 2018","Currency=INR","Period=FQ","BEST_FPERIOD_OVERRIDE=FQ","FILING_STATUS=OR","EQY_CONSOLIDATED=Y","Sort=A","Dates=H","DateFormat=P","Fill=—","Direction=H","UseDPDF=Y")</f>
        <v>#NAME?</v>
      </c>
      <c r="BO425" s="1" t="e">
        <f ca="1">_xll.BDH($C$403,"TOTAL_ASSETS_SEQUENTIAL_GROWTH","FQ2 2018","FQ2 2018","Currency=INR","Period=FQ","BEST_FPERIOD_OVERRIDE=FQ","FILING_STATUS=OR","EQY_CONSOLIDATED=Y","Sort=A","Dates=H","DateFormat=P","Fill=—","Direction=H","UseDPDF=Y")</f>
        <v>#NAME?</v>
      </c>
      <c r="BP425" s="1" t="e">
        <f ca="1">_xll.BDH($C$403,"MODIFIED_WORKING_CPTL_SEQ_GRWTH","FQ2 2018","FQ2 2018","Currency=INR","Period=FQ","BEST_FPERIOD_OVERRIDE=FQ","FILING_STATUS=OR","EQY_CONSOLIDATED=Y","Sort=A","Dates=H","DateFormat=P","Fill=—","Direction=H","UseDPDF=Y")</f>
        <v>#NAME?</v>
      </c>
      <c r="BQ425" s="1" t="e">
        <f ca="1">_xll.BDH($C$403,"WORKING_CAPITAL_SEQ_GROWTH","FQ2 2018","FQ2 2018","Currency=INR","Period=FQ","BEST_FPERIOD_OVERRIDE=FQ","FILING_STATUS=OR","EQY_CONSOLIDATED=Y","Sort=A","Dates=H","DateFormat=P","Fill=—","Direction=H","UseDPDF=Y")</f>
        <v>#NAME?</v>
      </c>
      <c r="BR425" s="1" t="e">
        <f ca="1">_xll.BDH($C$403,"ACCOUNTS_PAYABLE_SEQ_GROWTH","FQ2 2018","FQ2 2018","Currency=INR","Period=FQ","BEST_FPERIOD_OVERRIDE=FQ","FILING_STATUS=OR","EQY_CONSOLIDATED=Y","Sort=A","Dates=H","DateFormat=P","Fill=—","Direction=H","UseDPDF=Y")</f>
        <v>#NAME?</v>
      </c>
      <c r="BS425" s="1" t="e">
        <f ca="1">_xll.BDH($C$403,"ST_DEBT_SEQUENTIAL_GROWTH","FQ2 2018","FQ2 2018","Currency=INR","Period=FQ","BEST_FPERIOD_OVERRIDE=FQ","FILING_STATUS=OR","EQY_CONSOLIDATED=Y","Sort=A","Dates=H","DateFormat=P","Fill=—","Direction=H","UseDPDF=Y")</f>
        <v>#NAME?</v>
      </c>
      <c r="BT425" s="1" t="e">
        <f ca="1">_xll.BDH($C$403,"TOTAL_DEBT_SEQUENTIAL_GROWTH","FQ2 2018","FQ2 2018","Currency=INR","Period=FQ","BEST_FPERIOD_OVERRIDE=FQ","FILING_STATUS=OR","EQY_CONSOLIDATED=Y","Sort=A","Dates=H","DateFormat=P","Fill=—","Direction=H","UseDPDF=Y")</f>
        <v>#NAME?</v>
      </c>
      <c r="BU425" s="1" t="e">
        <f ca="1">_xll.BDH($C$403,"TOTAL_EQUITY_SEQUENTIAL_GROWTH","FQ2 2018","FQ2 2018","Currency=INR","Period=FQ","BEST_FPERIOD_OVERRIDE=FQ","FILING_STATUS=OR","EQY_CONSOLIDATED=Y","Sort=A","Dates=H","DateFormat=P","Fill=—","Direction=H","UseDPDF=Y")</f>
        <v>#NAME?</v>
      </c>
      <c r="BV425" s="1" t="e">
        <f ca="1">_xll.BDH($C$403,"TOTAL_CAPITAL_SEQUENTIAL_GROWTH","FQ2 2018","FQ2 2018","Currency=INR","Period=FQ","BEST_FPERIOD_OVERRIDE=FQ","FILING_STATUS=OR","EQY_CONSOLIDATED=Y","Sort=A","Dates=H","DateFormat=P","Fill=—","Direction=H","UseDPDF=Y")</f>
        <v>#NAME?</v>
      </c>
      <c r="BW425" s="1" t="e">
        <f ca="1">_xll.BDH($C$403,"BPS_SEQUENTIAL_GROWTH","FQ2 2018","FQ2 2018","Currency=INR","Period=FQ","BEST_FPERIOD_OVERRIDE=FQ","FILING_STATUS=OR","EQY_CONSOLIDATED=Y","Sort=A","Dates=H","DateFormat=P","Fill=—","Direction=H","UseDPDF=Y")</f>
        <v>#NAME?</v>
      </c>
      <c r="BX425" s="1" t="e">
        <f ca="1">_xll.BDH($C$403,"CFO_SEQUENTIAL_GROWTH","FQ2 2018","FQ2 2018","Currency=INR","Period=FQ","BEST_FPERIOD_OVERRIDE=FQ","FILING_STATUS=OR","EQY_CONSOLIDATED=Y","Sort=A","Dates=H","DateFormat=P","Fill=—","Direction=H","UseDPDF=Y")</f>
        <v>#NAME?</v>
      </c>
      <c r="BY425" s="2" t="e">
        <f ca="1">_xll.BDH($C$403,"SHORT_AND_LONG_TERM_DEBT","FQ2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25" s="2" t="e">
        <f ca="1">_xll.BDH($C$403,"BS_ST_BORROW","FQ2 2018","FQ2 2018","Currency=INR","Period=FQ","BEST_FPERIOD_OVERRIDE=FQ","FILING_STATUS=OR","EQY_CONSOLIDATED=Y","SCALING_FORMAT=MLN","Sort=A","Dates=H","DateFormat=P","Fill=—","Direction=H","UseDPDF=Y")</f>
        <v>#NAME?</v>
      </c>
      <c r="CA425" s="2" t="e">
        <f ca="1">_xll.BDH($C$403,"BS_LT_BORROW","FQ2 2018","FQ2 2018","Currency=INR","Period=FQ","BEST_FPERIOD_OVERRIDE=FQ","FILING_STATUS=OR","EQY_CONSOLIDATED=Y","SCALING_FORMAT=MLN","Sort=A","Dates=H","DateFormat=P","Fill=—","Direction=H","UseDPDF=Y")</f>
        <v>#NAME?</v>
      </c>
      <c r="CB425" s="1" t="e">
        <f ca="1">_xll.BDH($C$403,"TOT_DEBT_TO_EBITDA","FQ2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25" s="1" t="e">
        <f ca="1">_xll.BDH($C$403,"NET_DEBT_TO_EBITDA","FQ2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25" s="1" t="e">
        <f ca="1">_xll.BDH($C$403,"TOTAL_DEBT_TO_EBIT","FQ2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25" s="1" t="e">
        <f ca="1">_xll.BDH($C$403,"NET_DEBT_TO_EBIT","FQ2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425" s="1" t="e">
        <f ca="1">_xll.BDH($C$403,"EBITDA_TO_INTEREST_EXPN","FQ2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25" s="1" t="e">
        <f ca="1">_xll.BDH($C$403,"COM_EQY_TO_TOT_ASSET","FQ2 2018","FQ2 2018","Currency=INR","Period=FQ","BEST_FPERIOD_OVERRIDE=FQ","FILING_STATUS=OR","EQY_CONSOLIDATED=Y","Sort=A","Dates=H","DateFormat=P","Fill=—","Direction=H","UseDPDF=Y")</f>
        <v>#NAME?</v>
      </c>
      <c r="CH425" s="1" t="e">
        <f ca="1">_xll.BDH($C$403,"LT_DEBT_TO_TOT_EQY","FQ2 2018","FQ2 2018","Currency=INR","Period=FQ","BEST_FPERIOD_OVERRIDE=FQ","FILING_STATUS=OR","EQY_CONSOLIDATED=Y","Sort=A","Dates=H","DateFormat=P","Fill=—","Direction=H","UseDPDF=Y")</f>
        <v>#NAME?</v>
      </c>
      <c r="CI425" s="1" t="e">
        <f ca="1">_xll.BDH($C$403,"LT_DEBT_TO_TOT_CAP","FQ2 2018","FQ2 2018","Currency=INR","Period=FQ","BEST_FPERIOD_OVERRIDE=FQ","FILING_STATUS=OR","EQY_CONSOLIDATED=Y","Sort=A","Dates=H","DateFormat=P","Fill=—","Direction=H","UseDPDF=Y")</f>
        <v>#NAME?</v>
      </c>
      <c r="CJ425" s="1" t="e">
        <f ca="1">_xll.BDH($C$403,"LT_DEBT_TO_TOT_ASSET","FQ2 2018","FQ2 2018","Currency=INR","Period=FQ","BEST_FPERIOD_OVERRIDE=FQ","FILING_STATUS=OR","EQY_CONSOLIDATED=Y","Sort=A","Dates=H","DateFormat=P","Fill=—","Direction=H","UseDPDF=Y")</f>
        <v>#NAME?</v>
      </c>
      <c r="CK425" s="1" t="e">
        <f ca="1">_xll.BDH($C$403,"TOT_DEBT_TO_TOT_EQY","FQ2 2018","FQ2 2018","Currency=INR","Period=FQ","BEST_FPERIOD_OVERRIDE=FQ","FILING_STATUS=OR","EQY_CONSOLIDATED=Y","Sort=A","Dates=H","DateFormat=P","Fill=—","Direction=H","UseDPDF=Y")</f>
        <v>#NAME?</v>
      </c>
      <c r="CL425" s="1" t="e">
        <f ca="1">_xll.BDH($C$403,"TOT_DEBT_TO_TOT_CAP","FQ2 2018","FQ2 2018","Currency=INR","Period=FQ","BEST_FPERIOD_OVERRIDE=FQ","FILING_STATUS=OR","EQY_CONSOLIDATED=Y","Sort=A","Dates=H","DateFormat=P","Fill=—","Direction=H","UseDPDF=Y")</f>
        <v>#NAME?</v>
      </c>
      <c r="CM425" s="1" t="e">
        <f ca="1">_xll.BDH($C$403,"TOT_DEBT_TO_TOT_ASSET","FQ2 2018","FQ2 2018","Currency=INR","Period=FQ","BEST_FPERIOD_OVERRIDE=FQ","FILING_STATUS=OR","EQY_CONSOLIDATED=Y","Sort=A","Dates=H","DateFormat=P","Fill=—","Direction=H","UseDPDF=Y")</f>
        <v>#NAME?</v>
      </c>
      <c r="CN425" s="1" t="e">
        <f ca="1">_xll.BDH($C$403,"NET_DEBT_TO_SHRHLDR_EQTY","FQ2 2018","FQ2 2018","Currency=INR","Period=FQ","BEST_FPERIOD_OVERRIDE=FQ","FILING_STATUS=OR","EQY_CONSOLIDATED=Y","Sort=A","Dates=H","DateFormat=P","Fill=—","Direction=H","UseDPDF=Y")</f>
        <v>#NAME?</v>
      </c>
      <c r="CO425" s="1" t="e">
        <f ca="1">_xll.BDH($C$403,"NET_DEBT_%_CAPITAL","FQ2 2018","FQ2 2018","Currency=INR","Period=FQ","BEST_FPERIOD_OVERRIDE=FQ","FILING_STATUS=OR","EQY_CONSOLIDATED=Y","Sort=A","Dates=H","DateFormat=P","Fill=—","Direction=H","UseDPDF=Y")</f>
        <v>#NAME?</v>
      </c>
      <c r="CP425" s="2" t="e">
        <f ca="1">_xll.BDH($C$403,"EBITDA","FQ2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25" s="2" t="e">
        <f ca="1">_xll.BDH($C$403,"EBITDA_AFTER_CAPEX","FQ2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25" s="2" t="e">
        <f ca="1">_xll.BDH($C$403,"IS_OPER_INC","FQ2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25" s="1" t="e">
        <f ca="1">_xll.BDH($C$403,"CASH_RATIO","FQ2 2018","FQ2 2018","Currency=INR","Period=FQ","BEST_FPERIOD_OVERRIDE=FQ","FILING_STATUS=OR","EQY_CONSOLIDATED=Y","Sort=A","Dates=H","DateFormat=P","Fill=—","Direction=H","UseDPDF=Y")</f>
        <v>#NAME?</v>
      </c>
      <c r="CT425" s="1" t="e">
        <f ca="1">_xll.BDH($C$403,"CUR_RATIO","FQ2 2018","FQ2 2018","Currency=INR","Period=FQ","BEST_FPERIOD_OVERRIDE=FQ","FILING_STATUS=OR","EQY_CONSOLIDATED=Y","Sort=A","Dates=H","DateFormat=P","Fill=—","Direction=H","UseDPDF=Y")</f>
        <v>#NAME?</v>
      </c>
      <c r="CU425" s="1" t="e">
        <f ca="1">_xll.BDH($C$403,"QUICK_RATIO","FQ2 2018","FQ2 2018","Currency=INR","Period=FQ","BEST_FPERIOD_OVERRIDE=FQ","FILING_STATUS=OR","EQY_CONSOLIDATED=Y","Sort=A","Dates=H","DateFormat=P","Fill=—","Direction=H","UseDPDF=Y")</f>
        <v>#NAME?</v>
      </c>
      <c r="CV425" s="1" t="e">
        <f ca="1">_xll.BDH($C$403,"ALTMAN_Z_SCORE","FQ2 2018","FQ2 2018","Currency=INR","Period=FQ","BEST_FPERIOD_OVERRIDE=FQ","FILING_STATUS=OR","EQY_CONSOLIDATED=Y","Sort=A","Dates=H","DateFormat=P","Fill=—","Direction=H","UseDPDF=Y")</f>
        <v>#NAME?</v>
      </c>
      <c r="CW425" s="3" t="e">
        <f ca="1">_xll.BDH($C$403,"ACCT_RCV_TURN","FQ2 2018","FQ2 2018","Currency=INR","Period=FQ","BEST_FPERIOD_OVERRIDE=FQ","FILING_STATUS=OR","EQY_CONSOLIDATED=Y","FA_ADJUSTED=GAAP","Sort=A","Dates=H","DateFormat=P","Fill=—","Direction=H","UseDPDF=Y")</f>
        <v>#NAME?</v>
      </c>
      <c r="CX425" s="1" t="e">
        <f ca="1">_xll.BDH($C$403,"ACCT_RCV_DAYS","FQ2 2018","FQ2 2018","Currency=INR","Period=FQ","BEST_FPERIOD_OVERRIDE=FQ","FILING_STATUS=OR","EQY_CONSOLIDATED=Y","FA_ADJUSTED=GAAP","Sort=A","Dates=H","DateFormat=P","Fill=—","Direction=H","UseDPDF=Y")</f>
        <v>#NAME?</v>
      </c>
      <c r="CY425" s="3" t="e">
        <f ca="1">_xll.BDH($C$403,"INVENT_TURN","FQ2 2018","FQ2 2018","Currency=INR","Period=FQ","BEST_FPERIOD_OVERRIDE=FQ","FILING_STATUS=OR","EQY_CONSOLIDATED=Y","FA_ADJUSTED=GAAP","Sort=A","Dates=H","DateFormat=P","Fill=—","Direction=H","UseDPDF=Y")</f>
        <v>#NAME?</v>
      </c>
      <c r="CZ425" s="1" t="e">
        <f ca="1">_xll.BDH($C$403,"INVENT_DAYS","FQ2 2018","FQ2 2018","Currency=INR","Period=FQ","BEST_FPERIOD_OVERRIDE=FQ","FILING_STATUS=OR","EQY_CONSOLIDATED=Y","FA_ADJUSTED=GAAP","Sort=A","Dates=H","DateFormat=P","Fill=—","Direction=H","UseDPDF=Y")</f>
        <v>#NAME?</v>
      </c>
      <c r="DA425" s="3" t="e">
        <f ca="1">_xll.BDH($C$403,"ACCOUNTS_PAYABLE_TURNOVER","FQ2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25" s="1" t="e">
        <f ca="1">_xll.BDH($C$403,"ACCOUNTS_PAYABLE_TURNOVER_DAYS","FQ2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25" s="3" t="e">
        <f ca="1">_xll.BDH($C$403,"CASH_CONVERSION_CYCLE","FQ2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25" s="3" t="e">
        <f ca="1">_xll.BDH($C$403,"INV_TO_CASH_DAYS","FQ2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425" s="4" t="e">
        <f ca="1">_xll.BDH($C$403,"BS_INVENTORIES","FQ2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425" s="2" t="e">
        <f ca="1">_xll.BDH($C$403,"INVTRY_RAW_MATERIALS","FQ2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25" s="2" t="e">
        <f ca="1">_xll.BDH($C$403,"INVTRY_IN_PROGRESS","FQ2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25" s="2" t="e">
        <f ca="1">_xll.BDH($C$403,"INVTRY_FINISHED_GOODS","FQ2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25" s="2" t="e">
        <f ca="1">_xll.BDH($C$403,"BS_OTHER_INV","FQ2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26" spans="1:113" x14ac:dyDescent="0.3">
      <c r="A426" s="6"/>
      <c r="B426" s="6"/>
      <c r="C426" s="6"/>
      <c r="D426" s="6"/>
      <c r="E426" t="s">
        <v>6</v>
      </c>
      <c r="F426" t="e">
        <f ca="1">_xll.BDH($C$403,"RETURN_COM_EQY","FQ3 2018","FQ3 2018","Currency=INR","Period=FQ","BEST_FPERIOD_OVERRIDE=FQ","FILING_STATUS=OR","EQY_CONSOLIDATED=Y","FA_ADJUSTED=GAAP","Sort=A","Dates=H","DateFormat=P","Fill=—","Direction=H","UseDPDF=Y")</f>
        <v>#NAME?</v>
      </c>
      <c r="G426" t="e">
        <f ca="1">_xll.BDH($C$403,"RETURN_ON_ASSET","FQ3 2018","FQ3 2018","Currency=INR","Period=FQ","BEST_FPERIOD_OVERRIDE=FQ","FILING_STATUS=OR","EQY_CONSOLIDATED=Y","FA_ADJUSTED=GAAP","Sort=A","Dates=H","DateFormat=P","Fill=—","Direction=H","UseDPDF=Y")</f>
        <v>#NAME?</v>
      </c>
      <c r="H426" t="e">
        <f ca="1">_xll.BDH($C$403,"RETURN_ON_CAP","FQ3 2018","FQ3 2018","Currency=INR","Period=FQ","BEST_FPERIOD_OVERRIDE=FQ","FILING_STATUS=OR","EQY_CONSOLIDATED=Y","FA_ADJUSTED=GAAP","Sort=A","Dates=H","DateFormat=P","Fill=—","Direction=H","UseDPDF=Y")</f>
        <v>#NAME?</v>
      </c>
      <c r="I426" t="e">
        <f ca="1">_xll.BDH($C$403,"RETURN_ON_INV_CAPITAL","FQ3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26" t="e">
        <f ca="1">_xll.BDH($C$403,"EBITDA_TO_REVENUE","FQ3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426" t="e">
        <f ca="1">_xll.BDH($C$403,"OPER_MARGIN","FQ3 2018","FQ3 2018","Currency=INR","Period=FQ","BEST_FPERIOD_OVERRIDE=FQ","FILING_STATUS=OR","EQY_CONSOLIDATED=Y","FA_ADJUSTED=GAAP","Sort=A","Dates=H","DateFormat=P","Fill=—","Direction=H","UseDPDF=Y")</f>
        <v>#NAME?</v>
      </c>
      <c r="L426" t="e">
        <f ca="1">_xll.BDH($C$403,"INCREMENTAL_OPERATING_MARGIN","FQ3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26" t="e">
        <f ca="1">_xll.BDH($C$403,"PRETAX_INC_TO_NET_SALES","FQ3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26" t="e">
        <f ca="1">_xll.BDH($C$403,"INC_BEF_XO_ITEMS_TO_NET_SALES","FQ3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26" t="e">
        <f ca="1">_xll.BDH($C$403,"PROF_MARGIN","FQ3 2018","FQ3 2018","Currency=INR","Period=FQ","BEST_FPERIOD_OVERRIDE=FQ","FILING_STATUS=OR","EQY_CONSOLIDATED=Y","FA_ADJUSTED=GAAP","Sort=A","Dates=H","DateFormat=P","Fill=—","Direction=H","UseDPDF=Y")</f>
        <v>#NAME?</v>
      </c>
      <c r="P426" t="e">
        <f ca="1">_xll.BDH($C$403,"NET_INCOME_TO_COMMON_MARGIN","FQ3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26" t="e">
        <f ca="1">_xll.BDH($C$403,"EFF_TAX_RATE","FQ3 2018","FQ3 2018","Currency=INR","Period=FQ","BEST_FPERIOD_OVERRIDE=FQ","FILING_STATUS=OR","EQY_CONSOLIDATED=Y","FA_ADJUSTED=GAAP","Sort=A","Dates=H","DateFormat=P","Fill=—","Direction=H","UseDPDF=Y")</f>
        <v>#NAME?</v>
      </c>
      <c r="R426" t="e">
        <f ca="1">_xll.BDH($C$403,"DVD_PAYOUT_RATIO","FQ3 2018","FQ3 2018","Currency=INR","Period=FQ","BEST_FPERIOD_OVERRIDE=FQ","FILING_STATUS=OR","EQY_CONSOLIDATED=Y","FA_ADJUSTED=GAAP","Sort=A","Dates=H","DateFormat=P","Fill=—","Direction=H","UseDPDF=Y")</f>
        <v>#NAME?</v>
      </c>
      <c r="S426" t="e">
        <f ca="1">_xll.BDH($C$403,"SUSTAIN_GROWTH_RT","FQ3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426" s="1" t="e">
        <f ca="1">_xll.BDH($C$403,"SALES_GROWTH","FQ3 2018","FQ3 2018","Currency=INR","Period=FQ","BEST_FPERIOD_OVERRIDE=FQ","FILING_STATUS=OR","EQY_CONSOLIDATED=Y","FA_ADJUSTED=GAAP","Sort=A","Dates=H","DateFormat=P","Fill=—","Direction=H","UseDPDF=Y")</f>
        <v>#NAME?</v>
      </c>
      <c r="U426" s="1" t="e">
        <f ca="1">_xll.BDH($C$403,"EBITDA_GROWTH","FQ3 2018","FQ3 2018","Currency=INR","Period=FQ","BEST_FPERIOD_OVERRIDE=FQ","FILING_STATUS=OR","EQY_CONSOLIDATED=Y","FA_ADJUSTED=GAAP","Sort=A","Dates=H","DateFormat=P","Fill=—","Direction=H","UseDPDF=Y")</f>
        <v>#NAME?</v>
      </c>
      <c r="V426" s="1" t="e">
        <f ca="1">_xll.BDH($C$403,"OPER_INC_GROWTH","FQ3 2018","FQ3 2018","Currency=INR","Period=FQ","BEST_FPERIOD_OVERRIDE=FQ","FILING_STATUS=OR","EQY_CONSOLIDATED=Y","FA_ADJUSTED=GAAP","Sort=A","Dates=H","DateFormat=P","Fill=—","Direction=H","UseDPDF=Y")</f>
        <v>#NAME?</v>
      </c>
      <c r="W426" s="1" t="e">
        <f ca="1">_xll.BDH($C$403,"EARN_FOR_COM_GROWTH","FQ3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26" s="1" t="e">
        <f ca="1">_xll.BDH($C$403,"DILUTED_EPS_AFT_XO_ITEMS_GROWTH","FQ3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26" s="1" t="e">
        <f ca="1">_xll.BDH($C$403,"DIVIDEND_PER_SHARE_1_YEAR_GROWTH","FQ3 2018","FQ3 2018","Currency=INR","Period=FQ","BEST_FPERIOD_OVERRIDE=FQ","FILING_STATUS=OR","EQY_CONSOLIDATED=Y","Sort=A","Dates=H","DateFormat=P","Fill=—","Direction=H","UseDPDF=Y")</f>
        <v>#NAME?</v>
      </c>
      <c r="Z426" s="1" t="e">
        <f ca="1">_xll.BDH($C$403,"ACCOUNTS_RECEIVABLE_GROWTH","FQ3 2018","FQ3 2018","Currency=INR","Period=FQ","BEST_FPERIOD_OVERRIDE=FQ","FILING_STATUS=OR","EQY_CONSOLIDATED=Y","Sort=A","Dates=H","DateFormat=P","Fill=—","Direction=H","UseDPDF=Y")</f>
        <v>#NAME?</v>
      </c>
      <c r="AA426" s="1" t="e">
        <f ca="1">_xll.BDH($C$403,"INVENTORY_GROWTH","FQ3 2018","FQ3 2018","Currency=INR","Period=FQ","BEST_FPERIOD_OVERRIDE=FQ","FILING_STATUS=OR","EQY_CONSOLIDATED=Y","Sort=A","Dates=H","DateFormat=P","Fill=—","Direction=H","UseDPDF=Y")</f>
        <v>#NAME?</v>
      </c>
      <c r="AB426" s="1" t="e">
        <f ca="1">_xll.BDH($C$403,"NET_FIXED_ASSETS_1_YEAR_GROWTH","FQ3 2018","FQ3 2018","Currency=INR","Period=FQ","BEST_FPERIOD_OVERRIDE=FQ","FILING_STATUS=OR","EQY_CONSOLIDATED=Y","Sort=A","Dates=H","DateFormat=P","Fill=—","Direction=H","UseDPDF=Y")</f>
        <v>#NAME?</v>
      </c>
      <c r="AC426" s="1" t="e">
        <f ca="1">_xll.BDH($C$403,"ASSET_GROWTH","FQ3 2018","FQ3 2018","Currency=INR","Period=FQ","BEST_FPERIOD_OVERRIDE=FQ","FILING_STATUS=OR","EQY_CONSOLIDATED=Y","Sort=A","Dates=H","DateFormat=P","Fill=—","Direction=H","UseDPDF=Y")</f>
        <v>#NAME?</v>
      </c>
      <c r="AD426" s="1" t="e">
        <f ca="1">_xll.BDH($C$403,"MODIFIED_WORK_CAP_GROWTH","FQ3 2018","FQ3 2018","Currency=INR","Period=FQ","BEST_FPERIOD_OVERRIDE=FQ","FILING_STATUS=OR","EQY_CONSOLIDATED=Y","Sort=A","Dates=H","DateFormat=P","Fill=—","Direction=H","UseDPDF=Y")</f>
        <v>#NAME?</v>
      </c>
      <c r="AE426" s="1" t="e">
        <f ca="1">_xll.BDH($C$403,"WORK_CAP_GROWTH","FQ3 2018","FQ3 2018","Currency=INR","Period=FQ","BEST_FPERIOD_OVERRIDE=FQ","FILING_STATUS=OR","EQY_CONSOLIDATED=Y","Sort=A","Dates=H","DateFormat=P","Fill=—","Direction=H","UseDPDF=Y")</f>
        <v>#NAME?</v>
      </c>
      <c r="AF426" s="1" t="e">
        <f ca="1">_xll.BDH($C$403,"ACCOUNTS_PAYABLE_GROWTH_1YR","FQ3 2018","FQ3 2018","Currency=INR","Period=FQ","BEST_FPERIOD_OVERRIDE=FQ","FILING_STATUS=OR","EQY_CONSOLIDATED=Y","Sort=A","Dates=H","DateFormat=P","Fill=—","Direction=H","UseDPDF=Y")</f>
        <v>#NAME?</v>
      </c>
      <c r="AG426" s="1" t="e">
        <f ca="1">_xll.BDH($C$403,"SHORT_TERM_DEBT_1_YEAR_GROWTH","FQ3 2018","FQ3 2018","Currency=INR","Period=FQ","BEST_FPERIOD_OVERRIDE=FQ","FILING_STATUS=OR","EQY_CONSOLIDATED=Y","Sort=A","Dates=H","DateFormat=P","Fill=—","Direction=H","UseDPDF=Y")</f>
        <v>#NAME?</v>
      </c>
      <c r="AH426" s="1" t="e">
        <f ca="1">_xll.BDH($C$403,"TOTAL_DEBT_1_YEAR_GROWTH","FQ3 2018","FQ3 2018","Currency=INR","Period=FQ","BEST_FPERIOD_OVERRIDE=FQ","FILING_STATUS=OR","EQY_CONSOLIDATED=Y","Sort=A","Dates=H","DateFormat=P","Fill=—","Direction=H","UseDPDF=Y")</f>
        <v>#NAME?</v>
      </c>
      <c r="AI426" s="1" t="e">
        <f ca="1">_xll.BDH($C$403,"TOTAL_EQUITY_1_YEAR_GROWTH","FQ3 2018","FQ3 2018","Currency=INR","Period=FQ","BEST_FPERIOD_OVERRIDE=FQ","FILING_STATUS=OR","EQY_CONSOLIDATED=Y","Sort=A","Dates=H","DateFormat=P","Fill=—","Direction=H","UseDPDF=Y")</f>
        <v>#NAME?</v>
      </c>
      <c r="AJ426" s="1" t="e">
        <f ca="1">_xll.BDH($C$403,"GROWTH_IN_CAP","FQ3 2018","FQ3 2018","Currency=INR","Period=FQ","BEST_FPERIOD_OVERRIDE=FQ","FILING_STATUS=OR","EQY_CONSOLIDATED=Y","Sort=A","Dates=H","DateFormat=P","Fill=—","Direction=H","UseDPDF=Y")</f>
        <v>#NAME?</v>
      </c>
      <c r="AK426" s="1" t="e">
        <f ca="1">_xll.BDH($C$403,"BVPS_GROWTH","FQ3 2018","FQ3 2018","Currency=INR","Period=FQ","BEST_FPERIOD_OVERRIDE=FQ","FILING_STATUS=OR","EQY_CONSOLIDATED=Y","Sort=A","Dates=H","DateFormat=P","Fill=—","Direction=H","UseDPDF=Y")</f>
        <v>#NAME?</v>
      </c>
      <c r="AL426" s="1" t="e">
        <f ca="1">_xll.BDH($C$403,"CASH_FLOW_GROWTH","FQ3 2018","FQ3 2018","Currency=INR","Period=FQ","BEST_FPERIOD_OVERRIDE=FQ","FILING_STATUS=OR","EQY_CONSOLIDATED=Y","Sort=A","Dates=H","DateFormat=P","Fill=—","Direction=H","UseDPDF=Y")</f>
        <v>#NAME?</v>
      </c>
      <c r="AM426" s="1" t="e">
        <f ca="1">_xll.BDH($C$403,"GEO_GROW_NET_SALES","FQ3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26" s="1" t="e">
        <f ca="1">_xll.BDH($C$403,"GEO_GROW_EBITDA","FQ3 2018","FQ3 2018","Currency=INR","Period=FQ","BEST_FPERIOD_OVERRIDE=FQ","FILING_STATUS=OR","EQY_CONSOLIDATED=Y","FA_ADJUSTED=GAAP","Sort=A","Dates=H","DateFormat=P","Fill=—","Direction=H","UseDPDF=Y")</f>
        <v>#NAME?</v>
      </c>
      <c r="AO426" s="1" t="e">
        <f ca="1">_xll.BDH($C$403,"GEO_GROW_OPER_INC","FQ3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26" s="1" t="e">
        <f ca="1">_xll.BDH($C$403,"NET_INCOME_TO_COMMON_5_YR_GROWTH","FQ3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26" s="1" t="e">
        <f ca="1">_xll.BDH($C$403,"5Y_GEO_GROWTH_DILUTED_EPS","FQ3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26" s="1" t="e">
        <f ca="1">_xll.BDH($C$403,"GEO_GROW_DVD_PER_SH","FQ3 2018","FQ3 2018","Currency=INR","Period=FQ","BEST_FPERIOD_OVERRIDE=FQ","FILING_STATUS=OR","EQY_CONSOLIDATED=Y","Sort=A","Dates=H","DateFormat=P","Fill=—","Direction=H","UseDPDF=Y")</f>
        <v>#NAME?</v>
      </c>
      <c r="AS426" s="1" t="e">
        <f ca="1">_xll.BDH($C$403,"ACCOUNTS_RECEIVABLE_5_YR_GROWTH","FQ3 2018","FQ3 2018","Currency=INR","Period=FQ","BEST_FPERIOD_OVERRIDE=FQ","FILING_STATUS=OR","EQY_CONSOLIDATED=Y","Sort=A","Dates=H","DateFormat=P","Fill=—","Direction=H","UseDPDF=Y")</f>
        <v>#NAME?</v>
      </c>
      <c r="AT426" s="1" t="e">
        <f ca="1">_xll.BDH($C$403,"INVENTORY_5_YEAR_GROWTH","FQ3 2018","FQ3 2018","Currency=INR","Period=FQ","BEST_FPERIOD_OVERRIDE=FQ","FILING_STATUS=OR","EQY_CONSOLIDATED=Y","Sort=A","Dates=H","DateFormat=P","Fill=—","Direction=H","UseDPDF=Y")</f>
        <v>#NAME?</v>
      </c>
      <c r="AU426" s="1" t="e">
        <f ca="1">_xll.BDH($C$403,"NET_FIXED_ASSETS_5_YEAR_GROWTH","FQ3 2018","FQ3 2018","Currency=INR","Period=FQ","BEST_FPERIOD_OVERRIDE=FQ","FILING_STATUS=OR","EQY_CONSOLIDATED=Y","Sort=A","Dates=H","DateFormat=P","Fill=—","Direction=H","UseDPDF=Y")</f>
        <v>#NAME?</v>
      </c>
      <c r="AV426" s="1" t="e">
        <f ca="1">_xll.BDH($C$403,"GEO_GROW_TOT_ASSET","FQ3 2018","FQ3 2018","Currency=INR","Period=FQ","BEST_FPERIOD_OVERRIDE=FQ","FILING_STATUS=OR","EQY_CONSOLIDATED=Y","Sort=A","Dates=H","DateFormat=P","Fill=—","Direction=H","UseDPDF=Y")</f>
        <v>#NAME?</v>
      </c>
      <c r="AW426" s="1" t="e">
        <f ca="1">_xll.BDH($C$403,"MODIFIED_WORKING_CPTL_5YR_GRWTH","FQ3 2018","FQ3 2018","Currency=INR","Period=FQ","BEST_FPERIOD_OVERRIDE=FQ","FILING_STATUS=OR","EQY_CONSOLIDATED=Y","Sort=A","Dates=H","DateFormat=P","Fill=—","Direction=H","UseDPDF=Y")</f>
        <v>#NAME?</v>
      </c>
      <c r="AX426" s="1" t="e">
        <f ca="1">_xll.BDH($C$403,"WORKING_CAPITAL_5_YEAR_GROWTH","FQ3 2018","FQ3 2018","Currency=INR","Period=FQ","BEST_FPERIOD_OVERRIDE=FQ","FILING_STATUS=OR","EQY_CONSOLIDATED=Y","Sort=A","Dates=H","DateFormat=P","Fill=—","Direction=H","UseDPDF=Y")</f>
        <v>#NAME?</v>
      </c>
      <c r="AY426" s="1" t="e">
        <f ca="1">_xll.BDH($C$403,"ACCOUNTS_PAYABLE_5_YEAR_GROWTH","FQ3 2018","FQ3 2018","Currency=INR","Period=FQ","BEST_FPERIOD_OVERRIDE=FQ","FILING_STATUS=OR","EQY_CONSOLIDATED=Y","Sort=A","Dates=H","DateFormat=P","Fill=—","Direction=H","UseDPDF=Y")</f>
        <v>#NAME?</v>
      </c>
      <c r="AZ426" s="1" t="e">
        <f ca="1">_xll.BDH($C$403,"SHORT_TERM_DEBT_5_YEAR_GROWTH","FQ3 2018","FQ3 2018","Currency=INR","Period=FQ","BEST_FPERIOD_OVERRIDE=FQ","FILING_STATUS=OR","EQY_CONSOLIDATED=Y","Sort=A","Dates=H","DateFormat=P","Fill=—","Direction=H","UseDPDF=Y")</f>
        <v>#NAME?</v>
      </c>
      <c r="BA426" s="1" t="e">
        <f ca="1">_xll.BDH($C$403,"TOTAL_DEBT_5_YEAR_GROWTH","FQ3 2018","FQ3 2018","Currency=INR","Period=FQ","BEST_FPERIOD_OVERRIDE=FQ","FILING_STATUS=OR","EQY_CONSOLIDATED=Y","Sort=A","Dates=H","DateFormat=P","Fill=—","Direction=H","UseDPDF=Y")</f>
        <v>#NAME?</v>
      </c>
      <c r="BB426" s="1" t="e">
        <f ca="1">_xll.BDH($C$403,"GEO_GROW_TOT_SHRHLDR_EQY","FQ3 2018","FQ3 2018","Currency=INR","Period=FQ","BEST_FPERIOD_OVERRIDE=FQ","FILING_STATUS=OR","EQY_CONSOLIDATED=Y","Sort=A","Dates=H","DateFormat=P","Fill=—","Direction=H","UseDPDF=Y")</f>
        <v>#NAME?</v>
      </c>
      <c r="BC426" s="1" t="e">
        <f ca="1">_xll.BDH($C$403,"TOTAL_CAPITAL_5_YEAR_GROWTH","FQ3 2018","FQ3 2018","Currency=INR","Period=FQ","BEST_FPERIOD_OVERRIDE=FQ","FILING_STATUS=OR","EQY_CONSOLIDATED=Y","Sort=A","Dates=H","DateFormat=P","Fill=—","Direction=H","UseDPDF=Y")</f>
        <v>#NAME?</v>
      </c>
      <c r="BD426" s="1" t="e">
        <f ca="1">_xll.BDH($C$403,"GEO_GROW_BOOK_VAL","FQ3 2018","FQ3 2018","Currency=INR","Period=FQ","BEST_FPERIOD_OVERRIDE=FQ","FILING_STATUS=OR","EQY_CONSOLIDATED=Y","Sort=A","Dates=H","DateFormat=P","Fill=—","Direction=H","UseDPDF=Y")</f>
        <v>#NAME?</v>
      </c>
      <c r="BE426" s="1" t="e">
        <f ca="1">_xll.BDH($C$403,"GEO_GROW_CASH_OPER_ACT","FQ3 2018","FQ3 2018","Currency=INR","Period=FQ","BEST_FPERIOD_OVERRIDE=FQ","FILING_STATUS=OR","EQY_CONSOLIDATED=Y","Sort=A","Dates=H","DateFormat=P","Fill=—","Direction=H","UseDPDF=Y")</f>
        <v>#NAME?</v>
      </c>
      <c r="BF426" s="1" t="e">
        <f ca="1">_xll.BDH($C$403,"REVENUE_SEQUENTIAL_GROWTH","FQ3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26" s="1" t="e">
        <f ca="1">_xll.BDH($C$403,"EBITDA_SEQUENTIAL_GROWTH","FQ3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26" s="1" t="e">
        <f ca="1">_xll.BDH($C$403,"OPERATING_INCOME_SEQ_GROWTH","FQ3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26" s="1" t="e">
        <f ca="1">_xll.BDH($C$403,"NET_INCOME_TO_COMMON_SEQ_GROWTH","FQ3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26" s="1" t="e">
        <f ca="1">_xll.BDH($C$403,"EPS_DILUTED_SEQUENTIAL_GROWTH","FQ3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26" s="1" t="e">
        <f ca="1">_xll.BDH($C$403,"DPS_SEQUENTIAL_GROWTH","FQ3 2018","FQ3 2018","Currency=INR","Period=FQ","BEST_FPERIOD_OVERRIDE=FQ","FILING_STATUS=OR","EQY_CONSOLIDATED=Y","Sort=A","Dates=H","DateFormat=P","Fill=—","Direction=H","UseDPDF=Y")</f>
        <v>#NAME?</v>
      </c>
      <c r="BL426" s="1" t="e">
        <f ca="1">_xll.BDH($C$403,"ACCOUNTS_RECEIVABLE_SEQ_GROWTH","FQ3 2018","FQ3 2018","Currency=INR","Period=FQ","BEST_FPERIOD_OVERRIDE=FQ","FILING_STATUS=OR","EQY_CONSOLIDATED=Y","Sort=A","Dates=H","DateFormat=P","Fill=—","Direction=H","UseDPDF=Y")</f>
        <v>#NAME?</v>
      </c>
      <c r="BM426" s="1" t="e">
        <f ca="1">_xll.BDH($C$403,"INVENTORY_SEQUENTIAL_GROWTH","FQ3 2018","FQ3 2018","Currency=INR","Period=FQ","BEST_FPERIOD_OVERRIDE=FQ","FILING_STATUS=OR","EQY_CONSOLIDATED=Y","Sort=A","Dates=H","DateFormat=P","Fill=—","Direction=H","UseDPDF=Y")</f>
        <v>#NAME?</v>
      </c>
      <c r="BN426" s="1" t="e">
        <f ca="1">_xll.BDH($C$403,"FIXED_ASSETS_SEQUENTIAL_GROWTH","FQ3 2018","FQ3 2018","Currency=INR","Period=FQ","BEST_FPERIOD_OVERRIDE=FQ","FILING_STATUS=OR","EQY_CONSOLIDATED=Y","Sort=A","Dates=H","DateFormat=P","Fill=—","Direction=H","UseDPDF=Y")</f>
        <v>#NAME?</v>
      </c>
      <c r="BO426" s="1" t="e">
        <f ca="1">_xll.BDH($C$403,"TOTAL_ASSETS_SEQUENTIAL_GROWTH","FQ3 2018","FQ3 2018","Currency=INR","Period=FQ","BEST_FPERIOD_OVERRIDE=FQ","FILING_STATUS=OR","EQY_CONSOLIDATED=Y","Sort=A","Dates=H","DateFormat=P","Fill=—","Direction=H","UseDPDF=Y")</f>
        <v>#NAME?</v>
      </c>
      <c r="BP426" s="1" t="e">
        <f ca="1">_xll.BDH($C$403,"MODIFIED_WORKING_CPTL_SEQ_GRWTH","FQ3 2018","FQ3 2018","Currency=INR","Period=FQ","BEST_FPERIOD_OVERRIDE=FQ","FILING_STATUS=OR","EQY_CONSOLIDATED=Y","Sort=A","Dates=H","DateFormat=P","Fill=—","Direction=H","UseDPDF=Y")</f>
        <v>#NAME?</v>
      </c>
      <c r="BQ426" s="1" t="e">
        <f ca="1">_xll.BDH($C$403,"WORKING_CAPITAL_SEQ_GROWTH","FQ3 2018","FQ3 2018","Currency=INR","Period=FQ","BEST_FPERIOD_OVERRIDE=FQ","FILING_STATUS=OR","EQY_CONSOLIDATED=Y","Sort=A","Dates=H","DateFormat=P","Fill=—","Direction=H","UseDPDF=Y")</f>
        <v>#NAME?</v>
      </c>
      <c r="BR426" s="1" t="e">
        <f ca="1">_xll.BDH($C$403,"ACCOUNTS_PAYABLE_SEQ_GROWTH","FQ3 2018","FQ3 2018","Currency=INR","Period=FQ","BEST_FPERIOD_OVERRIDE=FQ","FILING_STATUS=OR","EQY_CONSOLIDATED=Y","Sort=A","Dates=H","DateFormat=P","Fill=—","Direction=H","UseDPDF=Y")</f>
        <v>#NAME?</v>
      </c>
      <c r="BS426" s="1" t="e">
        <f ca="1">_xll.BDH($C$403,"ST_DEBT_SEQUENTIAL_GROWTH","FQ3 2018","FQ3 2018","Currency=INR","Period=FQ","BEST_FPERIOD_OVERRIDE=FQ","FILING_STATUS=OR","EQY_CONSOLIDATED=Y","Sort=A","Dates=H","DateFormat=P","Fill=—","Direction=H","UseDPDF=Y")</f>
        <v>#NAME?</v>
      </c>
      <c r="BT426" s="1" t="e">
        <f ca="1">_xll.BDH($C$403,"TOTAL_DEBT_SEQUENTIAL_GROWTH","FQ3 2018","FQ3 2018","Currency=INR","Period=FQ","BEST_FPERIOD_OVERRIDE=FQ","FILING_STATUS=OR","EQY_CONSOLIDATED=Y","Sort=A","Dates=H","DateFormat=P","Fill=—","Direction=H","UseDPDF=Y")</f>
        <v>#NAME?</v>
      </c>
      <c r="BU426" s="1" t="e">
        <f ca="1">_xll.BDH($C$403,"TOTAL_EQUITY_SEQUENTIAL_GROWTH","FQ3 2018","FQ3 2018","Currency=INR","Period=FQ","BEST_FPERIOD_OVERRIDE=FQ","FILING_STATUS=OR","EQY_CONSOLIDATED=Y","Sort=A","Dates=H","DateFormat=P","Fill=—","Direction=H","UseDPDF=Y")</f>
        <v>#NAME?</v>
      </c>
      <c r="BV426" s="1" t="e">
        <f ca="1">_xll.BDH($C$403,"TOTAL_CAPITAL_SEQUENTIAL_GROWTH","FQ3 2018","FQ3 2018","Currency=INR","Period=FQ","BEST_FPERIOD_OVERRIDE=FQ","FILING_STATUS=OR","EQY_CONSOLIDATED=Y","Sort=A","Dates=H","DateFormat=P","Fill=—","Direction=H","UseDPDF=Y")</f>
        <v>#NAME?</v>
      </c>
      <c r="BW426" s="1" t="e">
        <f ca="1">_xll.BDH($C$403,"BPS_SEQUENTIAL_GROWTH","FQ3 2018","FQ3 2018","Currency=INR","Period=FQ","BEST_FPERIOD_OVERRIDE=FQ","FILING_STATUS=OR","EQY_CONSOLIDATED=Y","Sort=A","Dates=H","DateFormat=P","Fill=—","Direction=H","UseDPDF=Y")</f>
        <v>#NAME?</v>
      </c>
      <c r="BX426" s="1" t="e">
        <f ca="1">_xll.BDH($C$403,"CFO_SEQUENTIAL_GROWTH","FQ3 2018","FQ3 2018","Currency=INR","Period=FQ","BEST_FPERIOD_OVERRIDE=FQ","FILING_STATUS=OR","EQY_CONSOLIDATED=Y","Sort=A","Dates=H","DateFormat=P","Fill=—","Direction=H","UseDPDF=Y")</f>
        <v>#NAME?</v>
      </c>
      <c r="BY426" s="2" t="e">
        <f ca="1">_xll.BDH($C$403,"SHORT_AND_LONG_TERM_DEBT","FQ3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26" s="2" t="e">
        <f ca="1">_xll.BDH($C$403,"BS_ST_BORROW","FQ3 2018","FQ3 2018","Currency=INR","Period=FQ","BEST_FPERIOD_OVERRIDE=FQ","FILING_STATUS=OR","EQY_CONSOLIDATED=Y","SCALING_FORMAT=MLN","Sort=A","Dates=H","DateFormat=P","Fill=—","Direction=H","UseDPDF=Y")</f>
        <v>#NAME?</v>
      </c>
      <c r="CA426" s="2" t="e">
        <f ca="1">_xll.BDH($C$403,"BS_LT_BORROW","FQ3 2018","FQ3 2018","Currency=INR","Period=FQ","BEST_FPERIOD_OVERRIDE=FQ","FILING_STATUS=OR","EQY_CONSOLIDATED=Y","SCALING_FORMAT=MLN","Sort=A","Dates=H","DateFormat=P","Fill=—","Direction=H","UseDPDF=Y")</f>
        <v>#NAME?</v>
      </c>
      <c r="CB426" s="1" t="e">
        <f ca="1">_xll.BDH($C$403,"TOT_DEBT_TO_EBITDA","FQ3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26" s="1" t="e">
        <f ca="1">_xll.BDH($C$403,"NET_DEBT_TO_EBITDA","FQ3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26" s="1" t="e">
        <f ca="1">_xll.BDH($C$403,"TOTAL_DEBT_TO_EBIT","FQ3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26" s="1" t="e">
        <f ca="1">_xll.BDH($C$403,"NET_DEBT_TO_EBIT","FQ3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426" s="1" t="e">
        <f ca="1">_xll.BDH($C$403,"EBITDA_TO_INTEREST_EXPN","FQ3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26" s="1" t="e">
        <f ca="1">_xll.BDH($C$403,"COM_EQY_TO_TOT_ASSET","FQ3 2018","FQ3 2018","Currency=INR","Period=FQ","BEST_FPERIOD_OVERRIDE=FQ","FILING_STATUS=OR","EQY_CONSOLIDATED=Y","Sort=A","Dates=H","DateFormat=P","Fill=—","Direction=H","UseDPDF=Y")</f>
        <v>#NAME?</v>
      </c>
      <c r="CH426" s="1" t="e">
        <f ca="1">_xll.BDH($C$403,"LT_DEBT_TO_TOT_EQY","FQ3 2018","FQ3 2018","Currency=INR","Period=FQ","BEST_FPERIOD_OVERRIDE=FQ","FILING_STATUS=OR","EQY_CONSOLIDATED=Y","Sort=A","Dates=H","DateFormat=P","Fill=—","Direction=H","UseDPDF=Y")</f>
        <v>#NAME?</v>
      </c>
      <c r="CI426" s="1" t="e">
        <f ca="1">_xll.BDH($C$403,"LT_DEBT_TO_TOT_CAP","FQ3 2018","FQ3 2018","Currency=INR","Period=FQ","BEST_FPERIOD_OVERRIDE=FQ","FILING_STATUS=OR","EQY_CONSOLIDATED=Y","Sort=A","Dates=H","DateFormat=P","Fill=—","Direction=H","UseDPDF=Y")</f>
        <v>#NAME?</v>
      </c>
      <c r="CJ426" s="1" t="e">
        <f ca="1">_xll.BDH($C$403,"LT_DEBT_TO_TOT_ASSET","FQ3 2018","FQ3 2018","Currency=INR","Period=FQ","BEST_FPERIOD_OVERRIDE=FQ","FILING_STATUS=OR","EQY_CONSOLIDATED=Y","Sort=A","Dates=H","DateFormat=P","Fill=—","Direction=H","UseDPDF=Y")</f>
        <v>#NAME?</v>
      </c>
      <c r="CK426" s="1" t="e">
        <f ca="1">_xll.BDH($C$403,"TOT_DEBT_TO_TOT_EQY","FQ3 2018","FQ3 2018","Currency=INR","Period=FQ","BEST_FPERIOD_OVERRIDE=FQ","FILING_STATUS=OR","EQY_CONSOLIDATED=Y","Sort=A","Dates=H","DateFormat=P","Fill=—","Direction=H","UseDPDF=Y")</f>
        <v>#NAME?</v>
      </c>
      <c r="CL426" s="1" t="e">
        <f ca="1">_xll.BDH($C$403,"TOT_DEBT_TO_TOT_CAP","FQ3 2018","FQ3 2018","Currency=INR","Period=FQ","BEST_FPERIOD_OVERRIDE=FQ","FILING_STATUS=OR","EQY_CONSOLIDATED=Y","Sort=A","Dates=H","DateFormat=P","Fill=—","Direction=H","UseDPDF=Y")</f>
        <v>#NAME?</v>
      </c>
      <c r="CM426" s="1" t="e">
        <f ca="1">_xll.BDH($C$403,"TOT_DEBT_TO_TOT_ASSET","FQ3 2018","FQ3 2018","Currency=INR","Period=FQ","BEST_FPERIOD_OVERRIDE=FQ","FILING_STATUS=OR","EQY_CONSOLIDATED=Y","Sort=A","Dates=H","DateFormat=P","Fill=—","Direction=H","UseDPDF=Y")</f>
        <v>#NAME?</v>
      </c>
      <c r="CN426" s="1" t="e">
        <f ca="1">_xll.BDH($C$403,"NET_DEBT_TO_SHRHLDR_EQTY","FQ3 2018","FQ3 2018","Currency=INR","Period=FQ","BEST_FPERIOD_OVERRIDE=FQ","FILING_STATUS=OR","EQY_CONSOLIDATED=Y","Sort=A","Dates=H","DateFormat=P","Fill=—","Direction=H","UseDPDF=Y")</f>
        <v>#NAME?</v>
      </c>
      <c r="CO426" s="1" t="e">
        <f ca="1">_xll.BDH($C$403,"NET_DEBT_%_CAPITAL","FQ3 2018","FQ3 2018","Currency=INR","Period=FQ","BEST_FPERIOD_OVERRIDE=FQ","FILING_STATUS=OR","EQY_CONSOLIDATED=Y","Sort=A","Dates=H","DateFormat=P","Fill=—","Direction=H","UseDPDF=Y")</f>
        <v>#NAME?</v>
      </c>
      <c r="CP426" s="2" t="e">
        <f ca="1">_xll.BDH($C$403,"EBITDA","FQ3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26" s="2" t="e">
        <f ca="1">_xll.BDH($C$403,"EBITDA_AFTER_CAPEX","FQ3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26" s="2" t="e">
        <f ca="1">_xll.BDH($C$403,"IS_OPER_INC","FQ3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26" s="1" t="e">
        <f ca="1">_xll.BDH($C$403,"CASH_RATIO","FQ3 2018","FQ3 2018","Currency=INR","Period=FQ","BEST_FPERIOD_OVERRIDE=FQ","FILING_STATUS=OR","EQY_CONSOLIDATED=Y","Sort=A","Dates=H","DateFormat=P","Fill=—","Direction=H","UseDPDF=Y")</f>
        <v>#NAME?</v>
      </c>
      <c r="CT426" s="1" t="e">
        <f ca="1">_xll.BDH($C$403,"CUR_RATIO","FQ3 2018","FQ3 2018","Currency=INR","Period=FQ","BEST_FPERIOD_OVERRIDE=FQ","FILING_STATUS=OR","EQY_CONSOLIDATED=Y","Sort=A","Dates=H","DateFormat=P","Fill=—","Direction=H","UseDPDF=Y")</f>
        <v>#NAME?</v>
      </c>
      <c r="CU426" s="1" t="e">
        <f ca="1">_xll.BDH($C$403,"QUICK_RATIO","FQ3 2018","FQ3 2018","Currency=INR","Period=FQ","BEST_FPERIOD_OVERRIDE=FQ","FILING_STATUS=OR","EQY_CONSOLIDATED=Y","Sort=A","Dates=H","DateFormat=P","Fill=—","Direction=H","UseDPDF=Y")</f>
        <v>#NAME?</v>
      </c>
      <c r="CV426" s="1" t="e">
        <f ca="1">_xll.BDH($C$403,"ALTMAN_Z_SCORE","FQ3 2018","FQ3 2018","Currency=INR","Period=FQ","BEST_FPERIOD_OVERRIDE=FQ","FILING_STATUS=OR","EQY_CONSOLIDATED=Y","Sort=A","Dates=H","DateFormat=P","Fill=—","Direction=H","UseDPDF=Y")</f>
        <v>#NAME?</v>
      </c>
      <c r="CW426" s="3" t="e">
        <f ca="1">_xll.BDH($C$403,"ACCT_RCV_TURN","FQ3 2018","FQ3 2018","Currency=INR","Period=FQ","BEST_FPERIOD_OVERRIDE=FQ","FILING_STATUS=OR","EQY_CONSOLIDATED=Y","FA_ADJUSTED=GAAP","Sort=A","Dates=H","DateFormat=P","Fill=—","Direction=H","UseDPDF=Y")</f>
        <v>#NAME?</v>
      </c>
      <c r="CX426" s="1" t="e">
        <f ca="1">_xll.BDH($C$403,"ACCT_RCV_DAYS","FQ3 2018","FQ3 2018","Currency=INR","Period=FQ","BEST_FPERIOD_OVERRIDE=FQ","FILING_STATUS=OR","EQY_CONSOLIDATED=Y","FA_ADJUSTED=GAAP","Sort=A","Dates=H","DateFormat=P","Fill=—","Direction=H","UseDPDF=Y")</f>
        <v>#NAME?</v>
      </c>
      <c r="CY426" s="3" t="e">
        <f ca="1">_xll.BDH($C$403,"INVENT_TURN","FQ3 2018","FQ3 2018","Currency=INR","Period=FQ","BEST_FPERIOD_OVERRIDE=FQ","FILING_STATUS=OR","EQY_CONSOLIDATED=Y","FA_ADJUSTED=GAAP","Sort=A","Dates=H","DateFormat=P","Fill=—","Direction=H","UseDPDF=Y")</f>
        <v>#NAME?</v>
      </c>
      <c r="CZ426" s="1" t="e">
        <f ca="1">_xll.BDH($C$403,"INVENT_DAYS","FQ3 2018","FQ3 2018","Currency=INR","Period=FQ","BEST_FPERIOD_OVERRIDE=FQ","FILING_STATUS=OR","EQY_CONSOLIDATED=Y","FA_ADJUSTED=GAAP","Sort=A","Dates=H","DateFormat=P","Fill=—","Direction=H","UseDPDF=Y")</f>
        <v>#NAME?</v>
      </c>
      <c r="DA426" s="3" t="e">
        <f ca="1">_xll.BDH($C$403,"ACCOUNTS_PAYABLE_TURNOVER","FQ3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26" s="1" t="e">
        <f ca="1">_xll.BDH($C$403,"ACCOUNTS_PAYABLE_TURNOVER_DAYS","FQ3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26" s="3" t="e">
        <f ca="1">_xll.BDH($C$403,"CASH_CONVERSION_CYCLE","FQ3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26" s="3" t="e">
        <f ca="1">_xll.BDH($C$403,"INV_TO_CASH_DAYS","FQ3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426" s="4" t="e">
        <f ca="1">_xll.BDH($C$403,"BS_INVENTORIES","FQ3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426" s="2" t="e">
        <f ca="1">_xll.BDH($C$403,"INVTRY_RAW_MATERIALS","FQ3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26" s="2" t="e">
        <f ca="1">_xll.BDH($C$403,"INVTRY_IN_PROGRESS","FQ3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26" s="2" t="e">
        <f ca="1">_xll.BDH($C$403,"INVTRY_FINISHED_GOODS","FQ3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26" s="2" t="e">
        <f ca="1">_xll.BDH($C$403,"BS_OTHER_INV","FQ3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27" spans="1:113" x14ac:dyDescent="0.3">
      <c r="A427" s="6"/>
      <c r="B427" s="6"/>
      <c r="C427" s="6"/>
      <c r="D427" s="6"/>
      <c r="E427" t="s">
        <v>7</v>
      </c>
      <c r="F427" t="e">
        <f ca="1">_xll.BDH($C$403,"RETURN_COM_EQY","FQ4 2018","FQ4 2018","Currency=INR","Period=FQ","BEST_FPERIOD_OVERRIDE=FQ","FILING_STATUS=OR","EQY_CONSOLIDATED=Y","FA_ADJUSTED=GAAP","Sort=A","Dates=H","DateFormat=P","Fill=—","Direction=H","UseDPDF=Y")</f>
        <v>#NAME?</v>
      </c>
      <c r="G427" t="e">
        <f ca="1">_xll.BDH($C$403,"RETURN_ON_ASSET","FQ4 2018","FQ4 2018","Currency=INR","Period=FQ","BEST_FPERIOD_OVERRIDE=FQ","FILING_STATUS=OR","EQY_CONSOLIDATED=Y","FA_ADJUSTED=GAAP","Sort=A","Dates=H","DateFormat=P","Fill=—","Direction=H","UseDPDF=Y")</f>
        <v>#NAME?</v>
      </c>
      <c r="H427" t="e">
        <f ca="1">_xll.BDH($C$403,"RETURN_ON_CAP","FQ4 2018","FQ4 2018","Currency=INR","Period=FQ","BEST_FPERIOD_OVERRIDE=FQ","FILING_STATUS=OR","EQY_CONSOLIDATED=Y","FA_ADJUSTED=GAAP","Sort=A","Dates=H","DateFormat=P","Fill=—","Direction=H","UseDPDF=Y")</f>
        <v>#NAME?</v>
      </c>
      <c r="I427" t="e">
        <f ca="1">_xll.BDH($C$403,"RETURN_ON_INV_CAPITAL","FQ4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27" t="e">
        <f ca="1">_xll.BDH($C$403,"EBITDA_TO_REVENUE","FQ4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427" t="e">
        <f ca="1">_xll.BDH($C$403,"OPER_MARGIN","FQ4 2018","FQ4 2018","Currency=INR","Period=FQ","BEST_FPERIOD_OVERRIDE=FQ","FILING_STATUS=OR","EQY_CONSOLIDATED=Y","FA_ADJUSTED=GAAP","Sort=A","Dates=H","DateFormat=P","Fill=—","Direction=H","UseDPDF=Y")</f>
        <v>#NAME?</v>
      </c>
      <c r="L427" t="e">
        <f ca="1">_xll.BDH($C$403,"INCREMENTAL_OPERATING_MARGIN","FQ4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27" t="e">
        <f ca="1">_xll.BDH($C$403,"PRETAX_INC_TO_NET_SALES","FQ4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27" t="e">
        <f ca="1">_xll.BDH($C$403,"INC_BEF_XO_ITEMS_TO_NET_SALES","FQ4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27" t="e">
        <f ca="1">_xll.BDH($C$403,"PROF_MARGIN","FQ4 2018","FQ4 2018","Currency=INR","Period=FQ","BEST_FPERIOD_OVERRIDE=FQ","FILING_STATUS=OR","EQY_CONSOLIDATED=Y","FA_ADJUSTED=GAAP","Sort=A","Dates=H","DateFormat=P","Fill=—","Direction=H","UseDPDF=Y")</f>
        <v>#NAME?</v>
      </c>
      <c r="P427" t="e">
        <f ca="1">_xll.BDH($C$403,"NET_INCOME_TO_COMMON_MARGIN","FQ4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27" t="e">
        <f ca="1">_xll.BDH($C$403,"EFF_TAX_RATE","FQ4 2018","FQ4 2018","Currency=INR","Period=FQ","BEST_FPERIOD_OVERRIDE=FQ","FILING_STATUS=OR","EQY_CONSOLIDATED=Y","FA_ADJUSTED=GAAP","Sort=A","Dates=H","DateFormat=P","Fill=—","Direction=H","UseDPDF=Y")</f>
        <v>#NAME?</v>
      </c>
      <c r="R427" t="e">
        <f ca="1">_xll.BDH($C$403,"DVD_PAYOUT_RATIO","FQ4 2018","FQ4 2018","Currency=INR","Period=FQ","BEST_FPERIOD_OVERRIDE=FQ","FILING_STATUS=OR","EQY_CONSOLIDATED=Y","FA_ADJUSTED=GAAP","Sort=A","Dates=H","DateFormat=P","Fill=—","Direction=H","UseDPDF=Y")</f>
        <v>#NAME?</v>
      </c>
      <c r="S427" t="e">
        <f ca="1">_xll.BDH($C$403,"SUSTAIN_GROWTH_RT","FQ4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427" s="1" t="e">
        <f ca="1">_xll.BDH($C$403,"SALES_GROWTH","FQ4 2018","FQ4 2018","Currency=INR","Period=FQ","BEST_FPERIOD_OVERRIDE=FQ","FILING_STATUS=OR","EQY_CONSOLIDATED=Y","FA_ADJUSTED=GAAP","Sort=A","Dates=H","DateFormat=P","Fill=—","Direction=H","UseDPDF=Y")</f>
        <v>#NAME?</v>
      </c>
      <c r="U427" s="1" t="e">
        <f ca="1">_xll.BDH($C$403,"EBITDA_GROWTH","FQ4 2018","FQ4 2018","Currency=INR","Period=FQ","BEST_FPERIOD_OVERRIDE=FQ","FILING_STATUS=OR","EQY_CONSOLIDATED=Y","FA_ADJUSTED=GAAP","Sort=A","Dates=H","DateFormat=P","Fill=—","Direction=H","UseDPDF=Y")</f>
        <v>#NAME?</v>
      </c>
      <c r="V427" s="1" t="e">
        <f ca="1">_xll.BDH($C$403,"OPER_INC_GROWTH","FQ4 2018","FQ4 2018","Currency=INR","Period=FQ","BEST_FPERIOD_OVERRIDE=FQ","FILING_STATUS=OR","EQY_CONSOLIDATED=Y","FA_ADJUSTED=GAAP","Sort=A","Dates=H","DateFormat=P","Fill=—","Direction=H","UseDPDF=Y")</f>
        <v>#NAME?</v>
      </c>
      <c r="W427" s="1" t="e">
        <f ca="1">_xll.BDH($C$403,"EARN_FOR_COM_GROWTH","FQ4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27" s="1" t="e">
        <f ca="1">_xll.BDH($C$403,"DILUTED_EPS_AFT_XO_ITEMS_GROWTH","FQ4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27" s="1" t="e">
        <f ca="1">_xll.BDH($C$403,"DIVIDEND_PER_SHARE_1_YEAR_GROWTH","FQ4 2018","FQ4 2018","Currency=INR","Period=FQ","BEST_FPERIOD_OVERRIDE=FQ","FILING_STATUS=OR","EQY_CONSOLIDATED=Y","Sort=A","Dates=H","DateFormat=P","Fill=—","Direction=H","UseDPDF=Y")</f>
        <v>#NAME?</v>
      </c>
      <c r="Z427" s="1" t="e">
        <f ca="1">_xll.BDH($C$403,"ACCOUNTS_RECEIVABLE_GROWTH","FQ4 2018","FQ4 2018","Currency=INR","Period=FQ","BEST_FPERIOD_OVERRIDE=FQ","FILING_STATUS=OR","EQY_CONSOLIDATED=Y","Sort=A","Dates=H","DateFormat=P","Fill=—","Direction=H","UseDPDF=Y")</f>
        <v>#NAME?</v>
      </c>
      <c r="AA427" s="1" t="e">
        <f ca="1">_xll.BDH($C$403,"INVENTORY_GROWTH","FQ4 2018","FQ4 2018","Currency=INR","Period=FQ","BEST_FPERIOD_OVERRIDE=FQ","FILING_STATUS=OR","EQY_CONSOLIDATED=Y","Sort=A","Dates=H","DateFormat=P","Fill=—","Direction=H","UseDPDF=Y")</f>
        <v>#NAME?</v>
      </c>
      <c r="AB427" s="1" t="e">
        <f ca="1">_xll.BDH($C$403,"NET_FIXED_ASSETS_1_YEAR_GROWTH","FQ4 2018","FQ4 2018","Currency=INR","Period=FQ","BEST_FPERIOD_OVERRIDE=FQ","FILING_STATUS=OR","EQY_CONSOLIDATED=Y","Sort=A","Dates=H","DateFormat=P","Fill=—","Direction=H","UseDPDF=Y")</f>
        <v>#NAME?</v>
      </c>
      <c r="AC427" s="1" t="e">
        <f ca="1">_xll.BDH($C$403,"ASSET_GROWTH","FQ4 2018","FQ4 2018","Currency=INR","Period=FQ","BEST_FPERIOD_OVERRIDE=FQ","FILING_STATUS=OR","EQY_CONSOLIDATED=Y","Sort=A","Dates=H","DateFormat=P","Fill=—","Direction=H","UseDPDF=Y")</f>
        <v>#NAME?</v>
      </c>
      <c r="AD427" s="1" t="e">
        <f ca="1">_xll.BDH($C$403,"MODIFIED_WORK_CAP_GROWTH","FQ4 2018","FQ4 2018","Currency=INR","Period=FQ","BEST_FPERIOD_OVERRIDE=FQ","FILING_STATUS=OR","EQY_CONSOLIDATED=Y","Sort=A","Dates=H","DateFormat=P","Fill=—","Direction=H","UseDPDF=Y")</f>
        <v>#NAME?</v>
      </c>
      <c r="AE427" s="1" t="e">
        <f ca="1">_xll.BDH($C$403,"WORK_CAP_GROWTH","FQ4 2018","FQ4 2018","Currency=INR","Period=FQ","BEST_FPERIOD_OVERRIDE=FQ","FILING_STATUS=OR","EQY_CONSOLIDATED=Y","Sort=A","Dates=H","DateFormat=P","Fill=—","Direction=H","UseDPDF=Y")</f>
        <v>#NAME?</v>
      </c>
      <c r="AF427" s="1" t="e">
        <f ca="1">_xll.BDH($C$403,"ACCOUNTS_PAYABLE_GROWTH_1YR","FQ4 2018","FQ4 2018","Currency=INR","Period=FQ","BEST_FPERIOD_OVERRIDE=FQ","FILING_STATUS=OR","EQY_CONSOLIDATED=Y","Sort=A","Dates=H","DateFormat=P","Fill=—","Direction=H","UseDPDF=Y")</f>
        <v>#NAME?</v>
      </c>
      <c r="AG427" s="1" t="e">
        <f ca="1">_xll.BDH($C$403,"SHORT_TERM_DEBT_1_YEAR_GROWTH","FQ4 2018","FQ4 2018","Currency=INR","Period=FQ","BEST_FPERIOD_OVERRIDE=FQ","FILING_STATUS=OR","EQY_CONSOLIDATED=Y","Sort=A","Dates=H","DateFormat=P","Fill=—","Direction=H","UseDPDF=Y")</f>
        <v>#NAME?</v>
      </c>
      <c r="AH427" s="1" t="e">
        <f ca="1">_xll.BDH($C$403,"TOTAL_DEBT_1_YEAR_GROWTH","FQ4 2018","FQ4 2018","Currency=INR","Period=FQ","BEST_FPERIOD_OVERRIDE=FQ","FILING_STATUS=OR","EQY_CONSOLIDATED=Y","Sort=A","Dates=H","DateFormat=P","Fill=—","Direction=H","UseDPDF=Y")</f>
        <v>#NAME?</v>
      </c>
      <c r="AI427" s="1" t="e">
        <f ca="1">_xll.BDH($C$403,"TOTAL_EQUITY_1_YEAR_GROWTH","FQ4 2018","FQ4 2018","Currency=INR","Period=FQ","BEST_FPERIOD_OVERRIDE=FQ","FILING_STATUS=OR","EQY_CONSOLIDATED=Y","Sort=A","Dates=H","DateFormat=P","Fill=—","Direction=H","UseDPDF=Y")</f>
        <v>#NAME?</v>
      </c>
      <c r="AJ427" s="1" t="e">
        <f ca="1">_xll.BDH($C$403,"GROWTH_IN_CAP","FQ4 2018","FQ4 2018","Currency=INR","Period=FQ","BEST_FPERIOD_OVERRIDE=FQ","FILING_STATUS=OR","EQY_CONSOLIDATED=Y","Sort=A","Dates=H","DateFormat=P","Fill=—","Direction=H","UseDPDF=Y")</f>
        <v>#NAME?</v>
      </c>
      <c r="AK427" s="1" t="e">
        <f ca="1">_xll.BDH($C$403,"BVPS_GROWTH","FQ4 2018","FQ4 2018","Currency=INR","Period=FQ","BEST_FPERIOD_OVERRIDE=FQ","FILING_STATUS=OR","EQY_CONSOLIDATED=Y","Sort=A","Dates=H","DateFormat=P","Fill=—","Direction=H","UseDPDF=Y")</f>
        <v>#NAME?</v>
      </c>
      <c r="AL427" s="1" t="e">
        <f ca="1">_xll.BDH($C$403,"CASH_FLOW_GROWTH","FQ4 2018","FQ4 2018","Currency=INR","Period=FQ","BEST_FPERIOD_OVERRIDE=FQ","FILING_STATUS=OR","EQY_CONSOLIDATED=Y","Sort=A","Dates=H","DateFormat=P","Fill=—","Direction=H","UseDPDF=Y")</f>
        <v>#NAME?</v>
      </c>
      <c r="AM427" s="1" t="e">
        <f ca="1">_xll.BDH($C$403,"GEO_GROW_NET_SALES","FQ4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27" s="1" t="e">
        <f ca="1">_xll.BDH($C$403,"GEO_GROW_EBITDA","FQ4 2018","FQ4 2018","Currency=INR","Period=FQ","BEST_FPERIOD_OVERRIDE=FQ","FILING_STATUS=OR","EQY_CONSOLIDATED=Y","FA_ADJUSTED=GAAP","Sort=A","Dates=H","DateFormat=P","Fill=—","Direction=H","UseDPDF=Y")</f>
        <v>#NAME?</v>
      </c>
      <c r="AO427" s="1" t="e">
        <f ca="1">_xll.BDH($C$403,"GEO_GROW_OPER_INC","FQ4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27" s="1" t="e">
        <f ca="1">_xll.BDH($C$403,"NET_INCOME_TO_COMMON_5_YR_GROWTH","FQ4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27" s="1" t="e">
        <f ca="1">_xll.BDH($C$403,"5Y_GEO_GROWTH_DILUTED_EPS","FQ4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27" s="1" t="e">
        <f ca="1">_xll.BDH($C$403,"GEO_GROW_DVD_PER_SH","FQ4 2018","FQ4 2018","Currency=INR","Period=FQ","BEST_FPERIOD_OVERRIDE=FQ","FILING_STATUS=OR","EQY_CONSOLIDATED=Y","Sort=A","Dates=H","DateFormat=P","Fill=—","Direction=H","UseDPDF=Y")</f>
        <v>#NAME?</v>
      </c>
      <c r="AS427" s="1" t="e">
        <f ca="1">_xll.BDH($C$403,"ACCOUNTS_RECEIVABLE_5_YR_GROWTH","FQ4 2018","FQ4 2018","Currency=INR","Period=FQ","BEST_FPERIOD_OVERRIDE=FQ","FILING_STATUS=OR","EQY_CONSOLIDATED=Y","Sort=A","Dates=H","DateFormat=P","Fill=—","Direction=H","UseDPDF=Y")</f>
        <v>#NAME?</v>
      </c>
      <c r="AT427" s="1" t="e">
        <f ca="1">_xll.BDH($C$403,"INVENTORY_5_YEAR_GROWTH","FQ4 2018","FQ4 2018","Currency=INR","Period=FQ","BEST_FPERIOD_OVERRIDE=FQ","FILING_STATUS=OR","EQY_CONSOLIDATED=Y","Sort=A","Dates=H","DateFormat=P","Fill=—","Direction=H","UseDPDF=Y")</f>
        <v>#NAME?</v>
      </c>
      <c r="AU427" s="1" t="e">
        <f ca="1">_xll.BDH($C$403,"NET_FIXED_ASSETS_5_YEAR_GROWTH","FQ4 2018","FQ4 2018","Currency=INR","Period=FQ","BEST_FPERIOD_OVERRIDE=FQ","FILING_STATUS=OR","EQY_CONSOLIDATED=Y","Sort=A","Dates=H","DateFormat=P","Fill=—","Direction=H","UseDPDF=Y")</f>
        <v>#NAME?</v>
      </c>
      <c r="AV427" s="1" t="e">
        <f ca="1">_xll.BDH($C$403,"GEO_GROW_TOT_ASSET","FQ4 2018","FQ4 2018","Currency=INR","Period=FQ","BEST_FPERIOD_OVERRIDE=FQ","FILING_STATUS=OR","EQY_CONSOLIDATED=Y","Sort=A","Dates=H","DateFormat=P","Fill=—","Direction=H","UseDPDF=Y")</f>
        <v>#NAME?</v>
      </c>
      <c r="AW427" s="1" t="e">
        <f ca="1">_xll.BDH($C$403,"MODIFIED_WORKING_CPTL_5YR_GRWTH","FQ4 2018","FQ4 2018","Currency=INR","Period=FQ","BEST_FPERIOD_OVERRIDE=FQ","FILING_STATUS=OR","EQY_CONSOLIDATED=Y","Sort=A","Dates=H","DateFormat=P","Fill=—","Direction=H","UseDPDF=Y")</f>
        <v>#NAME?</v>
      </c>
      <c r="AX427" s="1" t="e">
        <f ca="1">_xll.BDH($C$403,"WORKING_CAPITAL_5_YEAR_GROWTH","FQ4 2018","FQ4 2018","Currency=INR","Period=FQ","BEST_FPERIOD_OVERRIDE=FQ","FILING_STATUS=OR","EQY_CONSOLIDATED=Y","Sort=A","Dates=H","DateFormat=P","Fill=—","Direction=H","UseDPDF=Y")</f>
        <v>#NAME?</v>
      </c>
      <c r="AY427" s="1" t="e">
        <f ca="1">_xll.BDH($C$403,"ACCOUNTS_PAYABLE_5_YEAR_GROWTH","FQ4 2018","FQ4 2018","Currency=INR","Period=FQ","BEST_FPERIOD_OVERRIDE=FQ","FILING_STATUS=OR","EQY_CONSOLIDATED=Y","Sort=A","Dates=H","DateFormat=P","Fill=—","Direction=H","UseDPDF=Y")</f>
        <v>#NAME?</v>
      </c>
      <c r="AZ427" s="1" t="e">
        <f ca="1">_xll.BDH($C$403,"SHORT_TERM_DEBT_5_YEAR_GROWTH","FQ4 2018","FQ4 2018","Currency=INR","Period=FQ","BEST_FPERIOD_OVERRIDE=FQ","FILING_STATUS=OR","EQY_CONSOLIDATED=Y","Sort=A","Dates=H","DateFormat=P","Fill=—","Direction=H","UseDPDF=Y")</f>
        <v>#NAME?</v>
      </c>
      <c r="BA427" s="1" t="e">
        <f ca="1">_xll.BDH($C$403,"TOTAL_DEBT_5_YEAR_GROWTH","FQ4 2018","FQ4 2018","Currency=INR","Period=FQ","BEST_FPERIOD_OVERRIDE=FQ","FILING_STATUS=OR","EQY_CONSOLIDATED=Y","Sort=A","Dates=H","DateFormat=P","Fill=—","Direction=H","UseDPDF=Y")</f>
        <v>#NAME?</v>
      </c>
      <c r="BB427" s="1" t="e">
        <f ca="1">_xll.BDH($C$403,"GEO_GROW_TOT_SHRHLDR_EQY","FQ4 2018","FQ4 2018","Currency=INR","Period=FQ","BEST_FPERIOD_OVERRIDE=FQ","FILING_STATUS=OR","EQY_CONSOLIDATED=Y","Sort=A","Dates=H","DateFormat=P","Fill=—","Direction=H","UseDPDF=Y")</f>
        <v>#NAME?</v>
      </c>
      <c r="BC427" s="1" t="e">
        <f ca="1">_xll.BDH($C$403,"TOTAL_CAPITAL_5_YEAR_GROWTH","FQ4 2018","FQ4 2018","Currency=INR","Period=FQ","BEST_FPERIOD_OVERRIDE=FQ","FILING_STATUS=OR","EQY_CONSOLIDATED=Y","Sort=A","Dates=H","DateFormat=P","Fill=—","Direction=H","UseDPDF=Y")</f>
        <v>#NAME?</v>
      </c>
      <c r="BD427" s="1" t="e">
        <f ca="1">_xll.BDH($C$403,"GEO_GROW_BOOK_VAL","FQ4 2018","FQ4 2018","Currency=INR","Period=FQ","BEST_FPERIOD_OVERRIDE=FQ","FILING_STATUS=OR","EQY_CONSOLIDATED=Y","Sort=A","Dates=H","DateFormat=P","Fill=—","Direction=H","UseDPDF=Y")</f>
        <v>#NAME?</v>
      </c>
      <c r="BE427" s="1" t="e">
        <f ca="1">_xll.BDH($C$403,"GEO_GROW_CASH_OPER_ACT","FQ4 2018","FQ4 2018","Currency=INR","Period=FQ","BEST_FPERIOD_OVERRIDE=FQ","FILING_STATUS=OR","EQY_CONSOLIDATED=Y","Sort=A","Dates=H","DateFormat=P","Fill=—","Direction=H","UseDPDF=Y")</f>
        <v>#NAME?</v>
      </c>
      <c r="BF427" s="1" t="e">
        <f ca="1">_xll.BDH($C$403,"REVENUE_SEQUENTIAL_GROWTH","FQ4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27" s="1" t="e">
        <f ca="1">_xll.BDH($C$403,"EBITDA_SEQUENTIAL_GROWTH","FQ4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27" s="1" t="e">
        <f ca="1">_xll.BDH($C$403,"OPERATING_INCOME_SEQ_GROWTH","FQ4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27" s="1" t="e">
        <f ca="1">_xll.BDH($C$403,"NET_INCOME_TO_COMMON_SEQ_GROWTH","FQ4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27" s="1" t="e">
        <f ca="1">_xll.BDH($C$403,"EPS_DILUTED_SEQUENTIAL_GROWTH","FQ4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27" s="1" t="e">
        <f ca="1">_xll.BDH($C$403,"DPS_SEQUENTIAL_GROWTH","FQ4 2018","FQ4 2018","Currency=INR","Period=FQ","BEST_FPERIOD_OVERRIDE=FQ","FILING_STATUS=OR","EQY_CONSOLIDATED=Y","Sort=A","Dates=H","DateFormat=P","Fill=—","Direction=H","UseDPDF=Y")</f>
        <v>#NAME?</v>
      </c>
      <c r="BL427" s="1" t="e">
        <f ca="1">_xll.BDH($C$403,"ACCOUNTS_RECEIVABLE_SEQ_GROWTH","FQ4 2018","FQ4 2018","Currency=INR","Period=FQ","BEST_FPERIOD_OVERRIDE=FQ","FILING_STATUS=OR","EQY_CONSOLIDATED=Y","Sort=A","Dates=H","DateFormat=P","Fill=—","Direction=H","UseDPDF=Y")</f>
        <v>#NAME?</v>
      </c>
      <c r="BM427" s="1" t="e">
        <f ca="1">_xll.BDH($C$403,"INVENTORY_SEQUENTIAL_GROWTH","FQ4 2018","FQ4 2018","Currency=INR","Period=FQ","BEST_FPERIOD_OVERRIDE=FQ","FILING_STATUS=OR","EQY_CONSOLIDATED=Y","Sort=A","Dates=H","DateFormat=P","Fill=—","Direction=H","UseDPDF=Y")</f>
        <v>#NAME?</v>
      </c>
      <c r="BN427" s="1" t="e">
        <f ca="1">_xll.BDH($C$403,"FIXED_ASSETS_SEQUENTIAL_GROWTH","FQ4 2018","FQ4 2018","Currency=INR","Period=FQ","BEST_FPERIOD_OVERRIDE=FQ","FILING_STATUS=OR","EQY_CONSOLIDATED=Y","Sort=A","Dates=H","DateFormat=P","Fill=—","Direction=H","UseDPDF=Y")</f>
        <v>#NAME?</v>
      </c>
      <c r="BO427" s="1" t="e">
        <f ca="1">_xll.BDH($C$403,"TOTAL_ASSETS_SEQUENTIAL_GROWTH","FQ4 2018","FQ4 2018","Currency=INR","Period=FQ","BEST_FPERIOD_OVERRIDE=FQ","FILING_STATUS=OR","EQY_CONSOLIDATED=Y","Sort=A","Dates=H","DateFormat=P","Fill=—","Direction=H","UseDPDF=Y")</f>
        <v>#NAME?</v>
      </c>
      <c r="BP427" s="1" t="e">
        <f ca="1">_xll.BDH($C$403,"MODIFIED_WORKING_CPTL_SEQ_GRWTH","FQ4 2018","FQ4 2018","Currency=INR","Period=FQ","BEST_FPERIOD_OVERRIDE=FQ","FILING_STATUS=OR","EQY_CONSOLIDATED=Y","Sort=A","Dates=H","DateFormat=P","Fill=—","Direction=H","UseDPDF=Y")</f>
        <v>#NAME?</v>
      </c>
      <c r="BQ427" s="1" t="e">
        <f ca="1">_xll.BDH($C$403,"WORKING_CAPITAL_SEQ_GROWTH","FQ4 2018","FQ4 2018","Currency=INR","Period=FQ","BEST_FPERIOD_OVERRIDE=FQ","FILING_STATUS=OR","EQY_CONSOLIDATED=Y","Sort=A","Dates=H","DateFormat=P","Fill=—","Direction=H","UseDPDF=Y")</f>
        <v>#NAME?</v>
      </c>
      <c r="BR427" s="1" t="e">
        <f ca="1">_xll.BDH($C$403,"ACCOUNTS_PAYABLE_SEQ_GROWTH","FQ4 2018","FQ4 2018","Currency=INR","Period=FQ","BEST_FPERIOD_OVERRIDE=FQ","FILING_STATUS=OR","EQY_CONSOLIDATED=Y","Sort=A","Dates=H","DateFormat=P","Fill=—","Direction=H","UseDPDF=Y")</f>
        <v>#NAME?</v>
      </c>
      <c r="BS427" s="1" t="e">
        <f ca="1">_xll.BDH($C$403,"ST_DEBT_SEQUENTIAL_GROWTH","FQ4 2018","FQ4 2018","Currency=INR","Period=FQ","BEST_FPERIOD_OVERRIDE=FQ","FILING_STATUS=OR","EQY_CONSOLIDATED=Y","Sort=A","Dates=H","DateFormat=P","Fill=—","Direction=H","UseDPDF=Y")</f>
        <v>#NAME?</v>
      </c>
      <c r="BT427" s="1" t="e">
        <f ca="1">_xll.BDH($C$403,"TOTAL_DEBT_SEQUENTIAL_GROWTH","FQ4 2018","FQ4 2018","Currency=INR","Period=FQ","BEST_FPERIOD_OVERRIDE=FQ","FILING_STATUS=OR","EQY_CONSOLIDATED=Y","Sort=A","Dates=H","DateFormat=P","Fill=—","Direction=H","UseDPDF=Y")</f>
        <v>#NAME?</v>
      </c>
      <c r="BU427" s="1" t="e">
        <f ca="1">_xll.BDH($C$403,"TOTAL_EQUITY_SEQUENTIAL_GROWTH","FQ4 2018","FQ4 2018","Currency=INR","Period=FQ","BEST_FPERIOD_OVERRIDE=FQ","FILING_STATUS=OR","EQY_CONSOLIDATED=Y","Sort=A","Dates=H","DateFormat=P","Fill=—","Direction=H","UseDPDF=Y")</f>
        <v>#NAME?</v>
      </c>
      <c r="BV427" s="1" t="e">
        <f ca="1">_xll.BDH($C$403,"TOTAL_CAPITAL_SEQUENTIAL_GROWTH","FQ4 2018","FQ4 2018","Currency=INR","Period=FQ","BEST_FPERIOD_OVERRIDE=FQ","FILING_STATUS=OR","EQY_CONSOLIDATED=Y","Sort=A","Dates=H","DateFormat=P","Fill=—","Direction=H","UseDPDF=Y")</f>
        <v>#NAME?</v>
      </c>
      <c r="BW427" s="1" t="e">
        <f ca="1">_xll.BDH($C$403,"BPS_SEQUENTIAL_GROWTH","FQ4 2018","FQ4 2018","Currency=INR","Period=FQ","BEST_FPERIOD_OVERRIDE=FQ","FILING_STATUS=OR","EQY_CONSOLIDATED=Y","Sort=A","Dates=H","DateFormat=P","Fill=—","Direction=H","UseDPDF=Y")</f>
        <v>#NAME?</v>
      </c>
      <c r="BX427" s="1" t="e">
        <f ca="1">_xll.BDH($C$403,"CFO_SEQUENTIAL_GROWTH","FQ4 2018","FQ4 2018","Currency=INR","Period=FQ","BEST_FPERIOD_OVERRIDE=FQ","FILING_STATUS=OR","EQY_CONSOLIDATED=Y","Sort=A","Dates=H","DateFormat=P","Fill=—","Direction=H","UseDPDF=Y")</f>
        <v>#NAME?</v>
      </c>
      <c r="BY427" s="2" t="e">
        <f ca="1">_xll.BDH($C$403,"SHORT_AND_LONG_TERM_DEBT","FQ4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27" s="2" t="e">
        <f ca="1">_xll.BDH($C$403,"BS_ST_BORROW","FQ4 2018","FQ4 2018","Currency=INR","Period=FQ","BEST_FPERIOD_OVERRIDE=FQ","FILING_STATUS=OR","EQY_CONSOLIDATED=Y","SCALING_FORMAT=MLN","Sort=A","Dates=H","DateFormat=P","Fill=—","Direction=H","UseDPDF=Y")</f>
        <v>#NAME?</v>
      </c>
      <c r="CA427" s="2" t="e">
        <f ca="1">_xll.BDH($C$403,"BS_LT_BORROW","FQ4 2018","FQ4 2018","Currency=INR","Period=FQ","BEST_FPERIOD_OVERRIDE=FQ","FILING_STATUS=OR","EQY_CONSOLIDATED=Y","SCALING_FORMAT=MLN","Sort=A","Dates=H","DateFormat=P","Fill=—","Direction=H","UseDPDF=Y")</f>
        <v>#NAME?</v>
      </c>
      <c r="CB427" s="1" t="e">
        <f ca="1">_xll.BDH($C$403,"TOT_DEBT_TO_EBITDA","FQ4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27" s="1" t="e">
        <f ca="1">_xll.BDH($C$403,"NET_DEBT_TO_EBITDA","FQ4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27" s="1" t="e">
        <f ca="1">_xll.BDH($C$403,"TOTAL_DEBT_TO_EBIT","FQ4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27" s="1" t="e">
        <f ca="1">_xll.BDH($C$403,"NET_DEBT_TO_EBIT","FQ4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427" s="1" t="e">
        <f ca="1">_xll.BDH($C$403,"EBITDA_TO_INTEREST_EXPN","FQ4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27" s="1" t="e">
        <f ca="1">_xll.BDH($C$403,"COM_EQY_TO_TOT_ASSET","FQ4 2018","FQ4 2018","Currency=INR","Period=FQ","BEST_FPERIOD_OVERRIDE=FQ","FILING_STATUS=OR","EQY_CONSOLIDATED=Y","Sort=A","Dates=H","DateFormat=P","Fill=—","Direction=H","UseDPDF=Y")</f>
        <v>#NAME?</v>
      </c>
      <c r="CH427" s="1" t="e">
        <f ca="1">_xll.BDH($C$403,"LT_DEBT_TO_TOT_EQY","FQ4 2018","FQ4 2018","Currency=INR","Period=FQ","BEST_FPERIOD_OVERRIDE=FQ","FILING_STATUS=OR","EQY_CONSOLIDATED=Y","Sort=A","Dates=H","DateFormat=P","Fill=—","Direction=H","UseDPDF=Y")</f>
        <v>#NAME?</v>
      </c>
      <c r="CI427" s="1" t="e">
        <f ca="1">_xll.BDH($C$403,"LT_DEBT_TO_TOT_CAP","FQ4 2018","FQ4 2018","Currency=INR","Period=FQ","BEST_FPERIOD_OVERRIDE=FQ","FILING_STATUS=OR","EQY_CONSOLIDATED=Y","Sort=A","Dates=H","DateFormat=P","Fill=—","Direction=H","UseDPDF=Y")</f>
        <v>#NAME?</v>
      </c>
      <c r="CJ427" s="1" t="e">
        <f ca="1">_xll.BDH($C$403,"LT_DEBT_TO_TOT_ASSET","FQ4 2018","FQ4 2018","Currency=INR","Period=FQ","BEST_FPERIOD_OVERRIDE=FQ","FILING_STATUS=OR","EQY_CONSOLIDATED=Y","Sort=A","Dates=H","DateFormat=P","Fill=—","Direction=H","UseDPDF=Y")</f>
        <v>#NAME?</v>
      </c>
      <c r="CK427" s="1" t="e">
        <f ca="1">_xll.BDH($C$403,"TOT_DEBT_TO_TOT_EQY","FQ4 2018","FQ4 2018","Currency=INR","Period=FQ","BEST_FPERIOD_OVERRIDE=FQ","FILING_STATUS=OR","EQY_CONSOLIDATED=Y","Sort=A","Dates=H","DateFormat=P","Fill=—","Direction=H","UseDPDF=Y")</f>
        <v>#NAME?</v>
      </c>
      <c r="CL427" s="1" t="e">
        <f ca="1">_xll.BDH($C$403,"TOT_DEBT_TO_TOT_CAP","FQ4 2018","FQ4 2018","Currency=INR","Period=FQ","BEST_FPERIOD_OVERRIDE=FQ","FILING_STATUS=OR","EQY_CONSOLIDATED=Y","Sort=A","Dates=H","DateFormat=P","Fill=—","Direction=H","UseDPDF=Y")</f>
        <v>#NAME?</v>
      </c>
      <c r="CM427" s="1" t="e">
        <f ca="1">_xll.BDH($C$403,"TOT_DEBT_TO_TOT_ASSET","FQ4 2018","FQ4 2018","Currency=INR","Period=FQ","BEST_FPERIOD_OVERRIDE=FQ","FILING_STATUS=OR","EQY_CONSOLIDATED=Y","Sort=A","Dates=H","DateFormat=P","Fill=—","Direction=H","UseDPDF=Y")</f>
        <v>#NAME?</v>
      </c>
      <c r="CN427" s="1" t="e">
        <f ca="1">_xll.BDH($C$403,"NET_DEBT_TO_SHRHLDR_EQTY","FQ4 2018","FQ4 2018","Currency=INR","Period=FQ","BEST_FPERIOD_OVERRIDE=FQ","FILING_STATUS=OR","EQY_CONSOLIDATED=Y","Sort=A","Dates=H","DateFormat=P","Fill=—","Direction=H","UseDPDF=Y")</f>
        <v>#NAME?</v>
      </c>
      <c r="CO427" s="1" t="e">
        <f ca="1">_xll.BDH($C$403,"NET_DEBT_%_CAPITAL","FQ4 2018","FQ4 2018","Currency=INR","Period=FQ","BEST_FPERIOD_OVERRIDE=FQ","FILING_STATUS=OR","EQY_CONSOLIDATED=Y","Sort=A","Dates=H","DateFormat=P","Fill=—","Direction=H","UseDPDF=Y")</f>
        <v>#NAME?</v>
      </c>
      <c r="CP427" s="2" t="e">
        <f ca="1">_xll.BDH($C$403,"EBITDA","FQ4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27" s="2" t="e">
        <f ca="1">_xll.BDH($C$403,"EBITDA_AFTER_CAPEX","FQ4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27" s="2" t="e">
        <f ca="1">_xll.BDH($C$403,"IS_OPER_INC","FQ4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27" s="1" t="e">
        <f ca="1">_xll.BDH($C$403,"CASH_RATIO","FQ4 2018","FQ4 2018","Currency=INR","Period=FQ","BEST_FPERIOD_OVERRIDE=FQ","FILING_STATUS=OR","EQY_CONSOLIDATED=Y","Sort=A","Dates=H","DateFormat=P","Fill=—","Direction=H","UseDPDF=Y")</f>
        <v>#NAME?</v>
      </c>
      <c r="CT427" s="1" t="e">
        <f ca="1">_xll.BDH($C$403,"CUR_RATIO","FQ4 2018","FQ4 2018","Currency=INR","Period=FQ","BEST_FPERIOD_OVERRIDE=FQ","FILING_STATUS=OR","EQY_CONSOLIDATED=Y","Sort=A","Dates=H","DateFormat=P","Fill=—","Direction=H","UseDPDF=Y")</f>
        <v>#NAME?</v>
      </c>
      <c r="CU427" s="1" t="e">
        <f ca="1">_xll.BDH($C$403,"QUICK_RATIO","FQ4 2018","FQ4 2018","Currency=INR","Period=FQ","BEST_FPERIOD_OVERRIDE=FQ","FILING_STATUS=OR","EQY_CONSOLIDATED=Y","Sort=A","Dates=H","DateFormat=P","Fill=—","Direction=H","UseDPDF=Y")</f>
        <v>#NAME?</v>
      </c>
      <c r="CV427" s="1" t="e">
        <f ca="1">_xll.BDH($C$403,"ALTMAN_Z_SCORE","FQ4 2018","FQ4 2018","Currency=INR","Period=FQ","BEST_FPERIOD_OVERRIDE=FQ","FILING_STATUS=OR","EQY_CONSOLIDATED=Y","Sort=A","Dates=H","DateFormat=P","Fill=—","Direction=H","UseDPDF=Y")</f>
        <v>#NAME?</v>
      </c>
      <c r="CW427" s="3" t="e">
        <f ca="1">_xll.BDH($C$403,"ACCT_RCV_TURN","FQ4 2018","FQ4 2018","Currency=INR","Period=FQ","BEST_FPERIOD_OVERRIDE=FQ","FILING_STATUS=OR","EQY_CONSOLIDATED=Y","FA_ADJUSTED=GAAP","Sort=A","Dates=H","DateFormat=P","Fill=—","Direction=H","UseDPDF=Y")</f>
        <v>#NAME?</v>
      </c>
      <c r="CX427" s="1" t="e">
        <f ca="1">_xll.BDH($C$403,"ACCT_RCV_DAYS","FQ4 2018","FQ4 2018","Currency=INR","Period=FQ","BEST_FPERIOD_OVERRIDE=FQ","FILING_STATUS=OR","EQY_CONSOLIDATED=Y","FA_ADJUSTED=GAAP","Sort=A","Dates=H","DateFormat=P","Fill=—","Direction=H","UseDPDF=Y")</f>
        <v>#NAME?</v>
      </c>
      <c r="CY427" s="3" t="e">
        <f ca="1">_xll.BDH($C$403,"INVENT_TURN","FQ4 2018","FQ4 2018","Currency=INR","Period=FQ","BEST_FPERIOD_OVERRIDE=FQ","FILING_STATUS=OR","EQY_CONSOLIDATED=Y","FA_ADJUSTED=GAAP","Sort=A","Dates=H","DateFormat=P","Fill=—","Direction=H","UseDPDF=Y")</f>
        <v>#NAME?</v>
      </c>
      <c r="CZ427" s="1" t="e">
        <f ca="1">_xll.BDH($C$403,"INVENT_DAYS","FQ4 2018","FQ4 2018","Currency=INR","Period=FQ","BEST_FPERIOD_OVERRIDE=FQ","FILING_STATUS=OR","EQY_CONSOLIDATED=Y","FA_ADJUSTED=GAAP","Sort=A","Dates=H","DateFormat=P","Fill=—","Direction=H","UseDPDF=Y")</f>
        <v>#NAME?</v>
      </c>
      <c r="DA427" s="3" t="e">
        <f ca="1">_xll.BDH($C$403,"ACCOUNTS_PAYABLE_TURNOVER","FQ4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27" s="1" t="e">
        <f ca="1">_xll.BDH($C$403,"ACCOUNTS_PAYABLE_TURNOVER_DAYS","FQ4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27" s="3" t="e">
        <f ca="1">_xll.BDH($C$403,"CASH_CONVERSION_CYCLE","FQ4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27" s="3" t="e">
        <f ca="1">_xll.BDH($C$403,"INV_TO_CASH_DAYS","FQ4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427" s="4" t="e">
        <f ca="1">_xll.BDH($C$403,"BS_INVENTORIES","FQ4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427" s="2" t="e">
        <f ca="1">_xll.BDH($C$403,"INVTRY_RAW_MATERIALS","FQ4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27" s="2" t="e">
        <f ca="1">_xll.BDH($C$403,"INVTRY_IN_PROGRESS","FQ4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27" s="2" t="e">
        <f ca="1">_xll.BDH($C$403,"INVTRY_FINISHED_GOODS","FQ4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27" s="2" t="e">
        <f ca="1">_xll.BDH($C$403,"BS_OTHER_INV","FQ4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28" spans="1:113" x14ac:dyDescent="0.3">
      <c r="A428" s="6">
        <v>68</v>
      </c>
      <c r="B428" s="6" t="s">
        <v>44</v>
      </c>
      <c r="C428" s="6" t="s">
        <v>45</v>
      </c>
      <c r="D428" s="6" t="s">
        <v>2</v>
      </c>
      <c r="E428" t="s">
        <v>3</v>
      </c>
      <c r="F428" t="e">
        <f ca="1">_xll.BDH($C$428,"RETURN_COM_EQY","FY 2014","FY 2014","Currency=INR","Period=FY","BEST_FPERIOD_OVERRIDE=FY","FILING_STATUS=OR","EQY_CONSOLIDATED=Y","FA_ADJUSTED=GAAP","Sort=A","Dates=H","DateFormat=P","Fill=—","Direction=H","UseDPDF=Y")</f>
        <v>#NAME?</v>
      </c>
      <c r="G428" t="e">
        <f ca="1">_xll.BDH($C$428,"RETURN_ON_ASSET","FY 2014","FY 2014","Currency=INR","Period=FY","BEST_FPERIOD_OVERRIDE=FY","FILING_STATUS=OR","EQY_CONSOLIDATED=Y","FA_ADJUSTED=GAAP","Sort=A","Dates=H","DateFormat=P","Fill=—","Direction=H","UseDPDF=Y")</f>
        <v>#NAME?</v>
      </c>
      <c r="H428" t="e">
        <f ca="1">_xll.BDH($C$428,"RETURN_ON_CAP","FY 2014","FY 2014","Currency=INR","Period=FY","BEST_FPERIOD_OVERRIDE=FY","FILING_STATUS=OR","EQY_CONSOLIDATED=Y","FA_ADJUSTED=GAAP","Sort=A","Dates=H","DateFormat=P","Fill=—","Direction=H","UseDPDF=Y")</f>
        <v>#NAME?</v>
      </c>
      <c r="I428" t="e">
        <f ca="1">_xll.BDH($C$428,"RETURN_ON_INV_CAPITAL","FY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28" t="e">
        <f ca="1">_xll.BDH($C$428,"EBITDA_TO_REVENUE","FY 2014","FY 2014","Currency=INR","Period=FY","BEST_FPERIOD_OVERRIDE=FY","FILING_STATUS=OR","EQY_CONSOLIDATED=Y","FA_ADJUSTED=GAAP","Sort=A","Dates=H","DateFormat=P","Fill=—","Direction=H","UseDPDF=Y")</f>
        <v>#NAME?</v>
      </c>
      <c r="K428" t="e">
        <f ca="1">_xll.BDH($C$428,"OPER_MARGIN","FY 2014","FY 2014","Currency=INR","Period=FY","BEST_FPERIOD_OVERRIDE=FY","FILING_STATUS=OR","EQY_CONSOLIDATED=Y","FA_ADJUSTED=GAAP","Sort=A","Dates=H","DateFormat=P","Fill=—","Direction=H","UseDPDF=Y")</f>
        <v>#NAME?</v>
      </c>
      <c r="L428" t="e">
        <f ca="1">_xll.BDH($C$428,"INCREMENTAL_OPERATING_MARGIN","FY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28" t="e">
        <f ca="1">_xll.BDH($C$428,"PRETAX_INC_TO_NET_SALES","FY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28" t="e">
        <f ca="1">_xll.BDH($C$428,"INC_BEF_XO_ITEMS_TO_NET_SALES","FY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28" t="e">
        <f ca="1">_xll.BDH($C$428,"PROF_MARGIN","FY 2014","FY 2014","Currency=INR","Period=FY","BEST_FPERIOD_OVERRIDE=FY","FILING_STATUS=OR","EQY_CONSOLIDATED=Y","FA_ADJUSTED=GAAP","Sort=A","Dates=H","DateFormat=P","Fill=—","Direction=H","UseDPDF=Y")</f>
        <v>#NAME?</v>
      </c>
      <c r="P428" t="e">
        <f ca="1">_xll.BDH($C$428,"NET_INCOME_TO_COMMON_MARGIN","FY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28" t="e">
        <f ca="1">_xll.BDH($C$428,"EFF_TAX_RATE","FY 2014","FY 2014","Currency=INR","Period=FY","BEST_FPERIOD_OVERRIDE=FY","FILING_STATUS=OR","EQY_CONSOLIDATED=Y","FA_ADJUSTED=GAAP","Sort=A","Dates=H","DateFormat=P","Fill=—","Direction=H","UseDPDF=Y")</f>
        <v>#NAME?</v>
      </c>
      <c r="R428" t="e">
        <f ca="1">_xll.BDH($C$428,"DVD_PAYOUT_RATIO","FY 2014","FY 2014","Currency=INR","Period=FY","BEST_FPERIOD_OVERRIDE=FY","FILING_STATUS=OR","EQY_CONSOLIDATED=Y","FA_ADJUSTED=GAAP","Sort=A","Dates=H","DateFormat=P","Fill=—","Direction=H","UseDPDF=Y")</f>
        <v>#NAME?</v>
      </c>
      <c r="S428" t="e">
        <f ca="1">_xll.BDH($C$428,"SUSTAIN_GROWTH_RT","FY 2014","FY 2014","Currency=INR","Period=FY","BEST_FPERIOD_OVERRIDE=FY","FILING_STATUS=OR","EQY_CONSOLIDATED=Y","FA_ADJUSTED=GAAP","Sort=A","Dates=H","DateFormat=P","Fill=—","Direction=H","UseDPDF=Y")</f>
        <v>#NAME?</v>
      </c>
      <c r="T428" s="1" t="e">
        <f ca="1">_xll.BDH($C$428,"SALES_GROWTH","FY 2014","FY 2014","Currency=INR","Period=FY","BEST_FPERIOD_OVERRIDE=FY","FILING_STATUS=OR","EQY_CONSOLIDATED=Y","FA_ADJUSTED=GAAP","Sort=A","Dates=H","DateFormat=P","Fill=—","Direction=H","UseDPDF=Y")</f>
        <v>#NAME?</v>
      </c>
      <c r="U428" s="1" t="e">
        <f ca="1">_xll.BDH($C$428,"EBITDA_GROWTH","FY 2014","FY 2014","Currency=INR","Period=FY","BEST_FPERIOD_OVERRIDE=FY","FILING_STATUS=OR","EQY_CONSOLIDATED=Y","FA_ADJUSTED=GAAP","Sort=A","Dates=H","DateFormat=P","Fill=—","Direction=H","UseDPDF=Y")</f>
        <v>#NAME?</v>
      </c>
      <c r="V428" s="1" t="e">
        <f ca="1">_xll.BDH($C$428,"OPER_INC_GROWTH","FY 2014","FY 2014","Currency=INR","Period=FY","BEST_FPERIOD_OVERRIDE=FY","FILING_STATUS=OR","EQY_CONSOLIDATED=Y","FA_ADJUSTED=GAAP","Sort=A","Dates=H","DateFormat=P","Fill=—","Direction=H","UseDPDF=Y")</f>
        <v>#NAME?</v>
      </c>
      <c r="W428" s="1" t="e">
        <f ca="1">_xll.BDH($C$428,"EARN_FOR_COM_GROWTH","FY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428" s="1" t="e">
        <f ca="1">_xll.BDH($C$428,"DILUTED_EPS_AFT_XO_ITEMS_GROWTH","FY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28" s="1" t="e">
        <f ca="1">_xll.BDH($C$428,"DIVIDEND_PER_SHARE_1_YEAR_GROWTH","FY 2014","FY 2014","Currency=INR","Period=FY","BEST_FPERIOD_OVERRIDE=FY","FILING_STATUS=OR","EQY_CONSOLIDATED=Y","Sort=A","Dates=H","DateFormat=P","Fill=—","Direction=H","UseDPDF=Y")</f>
        <v>#NAME?</v>
      </c>
      <c r="Z428" s="1" t="e">
        <f ca="1">_xll.BDH($C$428,"ACCOUNTS_RECEIVABLE_GROWTH","FY 2014","FY 2014","Currency=INR","Period=FY","BEST_FPERIOD_OVERRIDE=FY","FILING_STATUS=OR","EQY_CONSOLIDATED=Y","Sort=A","Dates=H","DateFormat=P","Fill=—","Direction=H","UseDPDF=Y")</f>
        <v>#NAME?</v>
      </c>
      <c r="AA428" s="1" t="e">
        <f ca="1">_xll.BDH($C$428,"INVENTORY_GROWTH","FY 2014","FY 2014","Currency=INR","Period=FY","BEST_FPERIOD_OVERRIDE=FY","FILING_STATUS=OR","EQY_CONSOLIDATED=Y","Sort=A","Dates=H","DateFormat=P","Fill=—","Direction=H","UseDPDF=Y")</f>
        <v>#NAME?</v>
      </c>
      <c r="AB428" s="1" t="e">
        <f ca="1">_xll.BDH($C$428,"NET_FIXED_ASSETS_1_YEAR_GROWTH","FY 2014","FY 2014","Currency=INR","Period=FY","BEST_FPERIOD_OVERRIDE=FY","FILING_STATUS=OR","EQY_CONSOLIDATED=Y","Sort=A","Dates=H","DateFormat=P","Fill=—","Direction=H","UseDPDF=Y")</f>
        <v>#NAME?</v>
      </c>
      <c r="AC428" s="1" t="e">
        <f ca="1">_xll.BDH($C$428,"ASSET_GROWTH","FY 2014","FY 2014","Currency=INR","Period=FY","BEST_FPERIOD_OVERRIDE=FY","FILING_STATUS=OR","EQY_CONSOLIDATED=Y","Sort=A","Dates=H","DateFormat=P","Fill=—","Direction=H","UseDPDF=Y")</f>
        <v>#NAME?</v>
      </c>
      <c r="AD428" s="1" t="e">
        <f ca="1">_xll.BDH($C$428,"MODIFIED_WORK_CAP_GROWTH","FY 2014","FY 2014","Currency=INR","Period=FY","BEST_FPERIOD_OVERRIDE=FY","FILING_STATUS=OR","EQY_CONSOLIDATED=Y","Sort=A","Dates=H","DateFormat=P","Fill=—","Direction=H","UseDPDF=Y")</f>
        <v>#NAME?</v>
      </c>
      <c r="AE428" s="1" t="e">
        <f ca="1">_xll.BDH($C$428,"WORK_CAP_GROWTH","FY 2014","FY 2014","Currency=INR","Period=FY","BEST_FPERIOD_OVERRIDE=FY","FILING_STATUS=OR","EQY_CONSOLIDATED=Y","Sort=A","Dates=H","DateFormat=P","Fill=—","Direction=H","UseDPDF=Y")</f>
        <v>#NAME?</v>
      </c>
      <c r="AF428" s="1" t="e">
        <f ca="1">_xll.BDH($C$428,"ACCOUNTS_PAYABLE_GROWTH_1YR","FY 2014","FY 2014","Currency=INR","Period=FY","BEST_FPERIOD_OVERRIDE=FY","FILING_STATUS=OR","EQY_CONSOLIDATED=Y","Sort=A","Dates=H","DateFormat=P","Fill=—","Direction=H","UseDPDF=Y")</f>
        <v>#NAME?</v>
      </c>
      <c r="AG428" s="1" t="e">
        <f ca="1">_xll.BDH($C$428,"SHORT_TERM_DEBT_1_YEAR_GROWTH","FY 2014","FY 2014","Currency=INR","Period=FY","BEST_FPERIOD_OVERRIDE=FY","FILING_STATUS=OR","EQY_CONSOLIDATED=Y","Sort=A","Dates=H","DateFormat=P","Fill=—","Direction=H","UseDPDF=Y")</f>
        <v>#NAME?</v>
      </c>
      <c r="AH428" s="1" t="e">
        <f ca="1">_xll.BDH($C$428,"TOTAL_DEBT_1_YEAR_GROWTH","FY 2014","FY 2014","Currency=INR","Period=FY","BEST_FPERIOD_OVERRIDE=FY","FILING_STATUS=OR","EQY_CONSOLIDATED=Y","Sort=A","Dates=H","DateFormat=P","Fill=—","Direction=H","UseDPDF=Y")</f>
        <v>#NAME?</v>
      </c>
      <c r="AI428" s="1" t="e">
        <f ca="1">_xll.BDH($C$428,"TOTAL_EQUITY_1_YEAR_GROWTH","FY 2014","FY 2014","Currency=INR","Period=FY","BEST_FPERIOD_OVERRIDE=FY","FILING_STATUS=OR","EQY_CONSOLIDATED=Y","Sort=A","Dates=H","DateFormat=P","Fill=—","Direction=H","UseDPDF=Y")</f>
        <v>#NAME?</v>
      </c>
      <c r="AJ428" s="1" t="e">
        <f ca="1">_xll.BDH($C$428,"GROWTH_IN_CAP","FY 2014","FY 2014","Currency=INR","Period=FY","BEST_FPERIOD_OVERRIDE=FY","FILING_STATUS=OR","EQY_CONSOLIDATED=Y","Sort=A","Dates=H","DateFormat=P","Fill=—","Direction=H","UseDPDF=Y")</f>
        <v>#NAME?</v>
      </c>
      <c r="AK428" s="1" t="e">
        <f ca="1">_xll.BDH($C$428,"BVPS_GROWTH","FY 2014","FY 2014","Currency=INR","Period=FY","BEST_FPERIOD_OVERRIDE=FY","FILING_STATUS=OR","EQY_CONSOLIDATED=Y","Sort=A","Dates=H","DateFormat=P","Fill=—","Direction=H","UseDPDF=Y")</f>
        <v>#NAME?</v>
      </c>
      <c r="AL428" s="1" t="e">
        <f ca="1">_xll.BDH($C$428,"CASH_FLOW_GROWTH","FY 2014","FY 2014","Currency=INR","Period=FY","BEST_FPERIOD_OVERRIDE=FY","FILING_STATUS=OR","EQY_CONSOLIDATED=Y","Sort=A","Dates=H","DateFormat=P","Fill=—","Direction=H","UseDPDF=Y")</f>
        <v>#NAME?</v>
      </c>
      <c r="AM428" s="1" t="e">
        <f ca="1">_xll.BDH($C$428,"GEO_GROW_NET_SALES","FY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428" s="1" t="e">
        <f ca="1">_xll.BDH($C$428,"GEO_GROW_EBITDA","FY 2014","FY 2014","Currency=INR","Period=FY","BEST_FPERIOD_OVERRIDE=FY","FILING_STATUS=OR","EQY_CONSOLIDATED=Y","FA_ADJUSTED=GAAP","Sort=A","Dates=H","DateFormat=P","Fill=—","Direction=H","UseDPDF=Y")</f>
        <v>#NAME?</v>
      </c>
      <c r="AO428" s="1" t="e">
        <f ca="1">_xll.BDH($C$428,"GEO_GROW_OPER_INC","FY 2014","FY 2014","Currency=INR","Period=FY","BEST_FPERIOD_OVERRIDE=FY","FILING_STATUS=OR","EQY_CONSOLIDATED=Y","FA_ADJUSTED=GAAP","Sort=A","Dates=H","DateFormat=P","Fill=—","Direction=H","UseDPDF=Y")</f>
        <v>#NAME?</v>
      </c>
      <c r="AP428" s="1" t="e">
        <f ca="1">_xll.BDH($C$428,"NET_INCOME_TO_COMMON_5_YR_GROWTH","FY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28" s="1" t="e">
        <f ca="1">_xll.BDH($C$428,"5Y_GEO_GROWTH_DILUTED_EPS","FY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28" s="1" t="e">
        <f ca="1">_xll.BDH($C$428,"GEO_GROW_DVD_PER_SH","FY 2014","FY 2014","Currency=INR","Period=FY","BEST_FPERIOD_OVERRIDE=FY","FILING_STATUS=OR","EQY_CONSOLIDATED=Y","Sort=A","Dates=H","DateFormat=P","Fill=—","Direction=H","UseDPDF=Y")</f>
        <v>#NAME?</v>
      </c>
      <c r="AS428" s="1" t="e">
        <f ca="1">_xll.BDH($C$428,"ACCOUNTS_RECEIVABLE_5_YR_GROWTH","FY 2014","FY 2014","Currency=INR","Period=FY","BEST_FPERIOD_OVERRIDE=FY","FILING_STATUS=OR","EQY_CONSOLIDATED=Y","Sort=A","Dates=H","DateFormat=P","Fill=—","Direction=H","UseDPDF=Y")</f>
        <v>#NAME?</v>
      </c>
      <c r="AT428" s="1" t="e">
        <f ca="1">_xll.BDH($C$428,"INVENTORY_5_YEAR_GROWTH","FY 2014","FY 2014","Currency=INR","Period=FY","BEST_FPERIOD_OVERRIDE=FY","FILING_STATUS=OR","EQY_CONSOLIDATED=Y","Sort=A","Dates=H","DateFormat=P","Fill=—","Direction=H","UseDPDF=Y")</f>
        <v>#NAME?</v>
      </c>
      <c r="AU428" s="1" t="e">
        <f ca="1">_xll.BDH($C$428,"NET_FIXED_ASSETS_5_YEAR_GROWTH","FY 2014","FY 2014","Currency=INR","Period=FY","BEST_FPERIOD_OVERRIDE=FY","FILING_STATUS=OR","EQY_CONSOLIDATED=Y","Sort=A","Dates=H","DateFormat=P","Fill=—","Direction=H","UseDPDF=Y")</f>
        <v>#NAME?</v>
      </c>
      <c r="AV428" s="1" t="e">
        <f ca="1">_xll.BDH($C$428,"GEO_GROW_TOT_ASSET","FY 2014","FY 2014","Currency=INR","Period=FY","BEST_FPERIOD_OVERRIDE=FY","FILING_STATUS=OR","EQY_CONSOLIDATED=Y","Sort=A","Dates=H","DateFormat=P","Fill=—","Direction=H","UseDPDF=Y")</f>
        <v>#NAME?</v>
      </c>
      <c r="AW428" s="1" t="e">
        <f ca="1">_xll.BDH($C$428,"MODIFIED_WORKING_CPTL_5YR_GRWTH","FY 2014","FY 2014","Currency=INR","Period=FY","BEST_FPERIOD_OVERRIDE=FY","FILING_STATUS=OR","EQY_CONSOLIDATED=Y","Sort=A","Dates=H","DateFormat=P","Fill=—","Direction=H","UseDPDF=Y")</f>
        <v>#NAME?</v>
      </c>
      <c r="AX428" s="1" t="e">
        <f ca="1">_xll.BDH($C$428,"WORKING_CAPITAL_5_YEAR_GROWTH","FY 2014","FY 2014","Currency=INR","Period=FY","BEST_FPERIOD_OVERRIDE=FY","FILING_STATUS=OR","EQY_CONSOLIDATED=Y","Sort=A","Dates=H","DateFormat=P","Fill=—","Direction=H","UseDPDF=Y")</f>
        <v>#NAME?</v>
      </c>
      <c r="AY428" s="1" t="e">
        <f ca="1">_xll.BDH($C$428,"ACCOUNTS_PAYABLE_5_YEAR_GROWTH","FY 2014","FY 2014","Currency=INR","Period=FY","BEST_FPERIOD_OVERRIDE=FY","FILING_STATUS=OR","EQY_CONSOLIDATED=Y","Sort=A","Dates=H","DateFormat=P","Fill=—","Direction=H","UseDPDF=Y")</f>
        <v>#NAME?</v>
      </c>
      <c r="AZ428" s="1" t="e">
        <f ca="1">_xll.BDH($C$428,"SHORT_TERM_DEBT_5_YEAR_GROWTH","FY 2014","FY 2014","Currency=INR","Period=FY","BEST_FPERIOD_OVERRIDE=FY","FILING_STATUS=OR","EQY_CONSOLIDATED=Y","Sort=A","Dates=H","DateFormat=P","Fill=—","Direction=H","UseDPDF=Y")</f>
        <v>#NAME?</v>
      </c>
      <c r="BA428" s="1" t="e">
        <f ca="1">_xll.BDH($C$428,"TOTAL_DEBT_5_YEAR_GROWTH","FY 2014","FY 2014","Currency=INR","Period=FY","BEST_FPERIOD_OVERRIDE=FY","FILING_STATUS=OR","EQY_CONSOLIDATED=Y","Sort=A","Dates=H","DateFormat=P","Fill=—","Direction=H","UseDPDF=Y")</f>
        <v>#NAME?</v>
      </c>
      <c r="BB428" s="1" t="e">
        <f ca="1">_xll.BDH($C$428,"GEO_GROW_TOT_SHRHLDR_EQY","FY 2014","FY 2014","Currency=INR","Period=FY","BEST_FPERIOD_OVERRIDE=FY","FILING_STATUS=OR","EQY_CONSOLIDATED=Y","Sort=A","Dates=H","DateFormat=P","Fill=—","Direction=H","UseDPDF=Y")</f>
        <v>#NAME?</v>
      </c>
      <c r="BC428" s="1" t="e">
        <f ca="1">_xll.BDH($C$428,"TOTAL_CAPITAL_5_YEAR_GROWTH","FY 2014","FY 2014","Currency=INR","Period=FY","BEST_FPERIOD_OVERRIDE=FY","FILING_STATUS=OR","EQY_CONSOLIDATED=Y","Sort=A","Dates=H","DateFormat=P","Fill=—","Direction=H","UseDPDF=Y")</f>
        <v>#NAME?</v>
      </c>
      <c r="BD428" s="1" t="e">
        <f ca="1">_xll.BDH($C$428,"GEO_GROW_BOOK_VAL","FY 2014","FY 2014","Currency=INR","Period=FY","BEST_FPERIOD_OVERRIDE=FY","FILING_STATUS=OR","EQY_CONSOLIDATED=Y","Sort=A","Dates=H","DateFormat=P","Fill=—","Direction=H","UseDPDF=Y")</f>
        <v>#NAME?</v>
      </c>
      <c r="BE428" s="1" t="e">
        <f ca="1">_xll.BDH($C$428,"GEO_GROW_CASH_OPER_ACT","FY 2014","FY 2014","Currency=INR","Period=FY","BEST_FPERIOD_OVERRIDE=FY","FILING_STATUS=OR","EQY_CONSOLIDATED=Y","Sort=A","Dates=H","DateFormat=P","Fill=—","Direction=H","UseDPDF=Y")</f>
        <v>#NAME?</v>
      </c>
      <c r="BF428" s="1" t="e">
        <f ca="1">_xll.BDH($C$428,"REVENUE_SEQUENTIAL_GROWTH","FY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28" s="1" t="e">
        <f ca="1">_xll.BDH($C$428,"EBITDA_SEQUENTIAL_GROWTH","FY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28" s="1" t="e">
        <f ca="1">_xll.BDH($C$428,"OPERATING_INCOME_SEQ_GROWTH","FY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28" s="1" t="e">
        <f ca="1">_xll.BDH($C$428,"NET_INCOME_TO_COMMON_SEQ_GROWTH","FY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28" s="1" t="e">
        <f ca="1">_xll.BDH($C$428,"EPS_DILUTED_SEQUENTIAL_GROWTH","FY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28" s="1" t="e">
        <f ca="1">_xll.BDH($C$428,"DPS_SEQUENTIAL_GROWTH","FY 2014","FY 2014","Currency=INR","Period=FY","BEST_FPERIOD_OVERRIDE=FY","FILING_STATUS=OR","EQY_CONSOLIDATED=Y","Sort=A","Dates=H","DateFormat=P","Fill=—","Direction=H","UseDPDF=Y")</f>
        <v>#NAME?</v>
      </c>
      <c r="BL428" s="1" t="e">
        <f ca="1">_xll.BDH($C$428,"ACCOUNTS_RECEIVABLE_SEQ_GROWTH","FY 2014","FY 2014","Currency=INR","Period=FY","BEST_FPERIOD_OVERRIDE=FY","FILING_STATUS=OR","EQY_CONSOLIDATED=Y","Sort=A","Dates=H","DateFormat=P","Fill=—","Direction=H","UseDPDF=Y")</f>
        <v>#NAME?</v>
      </c>
      <c r="BM428" s="1" t="e">
        <f ca="1">_xll.BDH($C$428,"INVENTORY_SEQUENTIAL_GROWTH","FY 2014","FY 2014","Currency=INR","Period=FY","BEST_FPERIOD_OVERRIDE=FY","FILING_STATUS=OR","EQY_CONSOLIDATED=Y","Sort=A","Dates=H","DateFormat=P","Fill=—","Direction=H","UseDPDF=Y")</f>
        <v>#NAME?</v>
      </c>
      <c r="BN428" s="1" t="e">
        <f ca="1">_xll.BDH($C$428,"FIXED_ASSETS_SEQUENTIAL_GROWTH","FY 2014","FY 2014","Currency=INR","Period=FY","BEST_FPERIOD_OVERRIDE=FY","FILING_STATUS=OR","EQY_CONSOLIDATED=Y","Sort=A","Dates=H","DateFormat=P","Fill=—","Direction=H","UseDPDF=Y")</f>
        <v>#NAME?</v>
      </c>
      <c r="BO428" s="1" t="e">
        <f ca="1">_xll.BDH($C$428,"TOTAL_ASSETS_SEQUENTIAL_GROWTH","FY 2014","FY 2014","Currency=INR","Period=FY","BEST_FPERIOD_OVERRIDE=FY","FILING_STATUS=OR","EQY_CONSOLIDATED=Y","Sort=A","Dates=H","DateFormat=P","Fill=—","Direction=H","UseDPDF=Y")</f>
        <v>#NAME?</v>
      </c>
      <c r="BP428" s="1" t="e">
        <f ca="1">_xll.BDH($C$428,"MODIFIED_WORKING_CPTL_SEQ_GRWTH","FY 2014","FY 2014","Currency=INR","Period=FY","BEST_FPERIOD_OVERRIDE=FY","FILING_STATUS=OR","EQY_CONSOLIDATED=Y","Sort=A","Dates=H","DateFormat=P","Fill=—","Direction=H","UseDPDF=Y")</f>
        <v>#NAME?</v>
      </c>
      <c r="BQ428" s="1" t="e">
        <f ca="1">_xll.BDH($C$428,"WORKING_CAPITAL_SEQ_GROWTH","FY 2014","FY 2014","Currency=INR","Period=FY","BEST_FPERIOD_OVERRIDE=FY","FILING_STATUS=OR","EQY_CONSOLIDATED=Y","Sort=A","Dates=H","DateFormat=P","Fill=—","Direction=H","UseDPDF=Y")</f>
        <v>#NAME?</v>
      </c>
      <c r="BR428" s="1" t="e">
        <f ca="1">_xll.BDH($C$428,"ACCOUNTS_PAYABLE_SEQ_GROWTH","FY 2014","FY 2014","Currency=INR","Period=FY","BEST_FPERIOD_OVERRIDE=FY","FILING_STATUS=OR","EQY_CONSOLIDATED=Y","Sort=A","Dates=H","DateFormat=P","Fill=—","Direction=H","UseDPDF=Y")</f>
        <v>#NAME?</v>
      </c>
      <c r="BS428" s="1" t="e">
        <f ca="1">_xll.BDH($C$428,"ST_DEBT_SEQUENTIAL_GROWTH","FY 2014","FY 2014","Currency=INR","Period=FY","BEST_FPERIOD_OVERRIDE=FY","FILING_STATUS=OR","EQY_CONSOLIDATED=Y","Sort=A","Dates=H","DateFormat=P","Fill=—","Direction=H","UseDPDF=Y")</f>
        <v>#NAME?</v>
      </c>
      <c r="BT428" s="1" t="e">
        <f ca="1">_xll.BDH($C$428,"TOTAL_DEBT_SEQUENTIAL_GROWTH","FY 2014","FY 2014","Currency=INR","Period=FY","BEST_FPERIOD_OVERRIDE=FY","FILING_STATUS=OR","EQY_CONSOLIDATED=Y","Sort=A","Dates=H","DateFormat=P","Fill=—","Direction=H","UseDPDF=Y")</f>
        <v>#NAME?</v>
      </c>
      <c r="BU428" s="1" t="e">
        <f ca="1">_xll.BDH($C$428,"TOTAL_EQUITY_SEQUENTIAL_GROWTH","FY 2014","FY 2014","Currency=INR","Period=FY","BEST_FPERIOD_OVERRIDE=FY","FILING_STATUS=OR","EQY_CONSOLIDATED=Y","Sort=A","Dates=H","DateFormat=P","Fill=—","Direction=H","UseDPDF=Y")</f>
        <v>#NAME?</v>
      </c>
      <c r="BV428" s="1" t="e">
        <f ca="1">_xll.BDH($C$428,"TOTAL_CAPITAL_SEQUENTIAL_GROWTH","FY 2014","FY 2014","Currency=INR","Period=FY","BEST_FPERIOD_OVERRIDE=FY","FILING_STATUS=OR","EQY_CONSOLIDATED=Y","Sort=A","Dates=H","DateFormat=P","Fill=—","Direction=H","UseDPDF=Y")</f>
        <v>#NAME?</v>
      </c>
      <c r="BW428" s="1" t="e">
        <f ca="1">_xll.BDH($C$428,"BPS_SEQUENTIAL_GROWTH","FY 2014","FY 2014","Currency=INR","Period=FY","BEST_FPERIOD_OVERRIDE=FY","FILING_STATUS=OR","EQY_CONSOLIDATED=Y","Sort=A","Dates=H","DateFormat=P","Fill=—","Direction=H","UseDPDF=Y")</f>
        <v>#NAME?</v>
      </c>
      <c r="BX428" s="1" t="e">
        <f ca="1">_xll.BDH($C$428,"CFO_SEQUENTIAL_GROWTH","FY 2014","FY 2014","Currency=INR","Period=FY","BEST_FPERIOD_OVERRIDE=FY","FILING_STATUS=OR","EQY_CONSOLIDATED=Y","Sort=A","Dates=H","DateFormat=P","Fill=—","Direction=H","UseDPDF=Y")</f>
        <v>#NAME?</v>
      </c>
      <c r="BY428" s="2" t="e">
        <f ca="1">_xll.BDH($C$428,"SHORT_AND_LONG_TERM_DEBT","FY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28" s="2" t="e">
        <f ca="1">_xll.BDH($C$428,"BS_ST_BORROW","FY 2014","FY 2014","Currency=INR","Period=FY","BEST_FPERIOD_OVERRIDE=FY","FILING_STATUS=OR","EQY_CONSOLIDATED=Y","SCALING_FORMAT=MLN","Sort=A","Dates=H","DateFormat=P","Fill=—","Direction=H","UseDPDF=Y")</f>
        <v>#NAME?</v>
      </c>
      <c r="CA428" s="2" t="e">
        <f ca="1">_xll.BDH($C$428,"BS_LT_BORROW","FY 2014","FY 2014","Currency=INR","Period=FY","BEST_FPERIOD_OVERRIDE=FY","FILING_STATUS=OR","EQY_CONSOLIDATED=Y","SCALING_FORMAT=MLN","Sort=A","Dates=H","DateFormat=P","Fill=—","Direction=H","UseDPDF=Y")</f>
        <v>#NAME?</v>
      </c>
      <c r="CB428" s="1" t="e">
        <f ca="1">_xll.BDH($C$428,"TOT_DEBT_TO_EBITDA","FY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428" s="1" t="e">
        <f ca="1">_xll.BDH($C$428,"NET_DEBT_TO_EBITDA","FY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428" s="1" t="e">
        <f ca="1">_xll.BDH($C$428,"TOTAL_DEBT_TO_EBIT","FY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428" s="1" t="e">
        <f ca="1">_xll.BDH($C$428,"NET_DEBT_TO_EBIT","FY 2014","FY 2014","Currency=INR","Period=FY","BEST_FPERIOD_OVERRIDE=FY","FILING_STATUS=OR","EQY_CONSOLIDATED=Y","FA_ADJUSTED=GAAP","Sort=A","Dates=H","DateFormat=P","Fill=—","Direction=H","UseDPDF=Y")</f>
        <v>#NAME?</v>
      </c>
      <c r="CF428" s="1" t="e">
        <f ca="1">_xll.BDH($C$428,"EBITDA_TO_INTEREST_EXPN","FY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28" s="1" t="e">
        <f ca="1">_xll.BDH($C$428,"COM_EQY_TO_TOT_ASSET","FY 2014","FY 2014","Currency=INR","Period=FY","BEST_FPERIOD_OVERRIDE=FY","FILING_STATUS=OR","EQY_CONSOLIDATED=Y","Sort=A","Dates=H","DateFormat=P","Fill=—","Direction=H","UseDPDF=Y")</f>
        <v>#NAME?</v>
      </c>
      <c r="CH428" s="1" t="e">
        <f ca="1">_xll.BDH($C$428,"LT_DEBT_TO_TOT_EQY","FY 2014","FY 2014","Currency=INR","Period=FY","BEST_FPERIOD_OVERRIDE=FY","FILING_STATUS=OR","EQY_CONSOLIDATED=Y","Sort=A","Dates=H","DateFormat=P","Fill=—","Direction=H","UseDPDF=Y")</f>
        <v>#NAME?</v>
      </c>
      <c r="CI428" s="1" t="e">
        <f ca="1">_xll.BDH($C$428,"LT_DEBT_TO_TOT_CAP","FY 2014","FY 2014","Currency=INR","Period=FY","BEST_FPERIOD_OVERRIDE=FY","FILING_STATUS=OR","EQY_CONSOLIDATED=Y","Sort=A","Dates=H","DateFormat=P","Fill=—","Direction=H","UseDPDF=Y")</f>
        <v>#NAME?</v>
      </c>
      <c r="CJ428" s="1" t="e">
        <f ca="1">_xll.BDH($C$428,"LT_DEBT_TO_TOT_ASSET","FY 2014","FY 2014","Currency=INR","Period=FY","BEST_FPERIOD_OVERRIDE=FY","FILING_STATUS=OR","EQY_CONSOLIDATED=Y","Sort=A","Dates=H","DateFormat=P","Fill=—","Direction=H","UseDPDF=Y")</f>
        <v>#NAME?</v>
      </c>
      <c r="CK428" s="1" t="e">
        <f ca="1">_xll.BDH($C$428,"TOT_DEBT_TO_TOT_EQY","FY 2014","FY 2014","Currency=INR","Period=FY","BEST_FPERIOD_OVERRIDE=FY","FILING_STATUS=OR","EQY_CONSOLIDATED=Y","Sort=A","Dates=H","DateFormat=P","Fill=—","Direction=H","UseDPDF=Y")</f>
        <v>#NAME?</v>
      </c>
      <c r="CL428" s="1" t="e">
        <f ca="1">_xll.BDH($C$428,"TOT_DEBT_TO_TOT_CAP","FY 2014","FY 2014","Currency=INR","Period=FY","BEST_FPERIOD_OVERRIDE=FY","FILING_STATUS=OR","EQY_CONSOLIDATED=Y","Sort=A","Dates=H","DateFormat=P","Fill=—","Direction=H","UseDPDF=Y")</f>
        <v>#NAME?</v>
      </c>
      <c r="CM428" s="1" t="e">
        <f ca="1">_xll.BDH($C$428,"TOT_DEBT_TO_TOT_ASSET","FY 2014","FY 2014","Currency=INR","Period=FY","BEST_FPERIOD_OVERRIDE=FY","FILING_STATUS=OR","EQY_CONSOLIDATED=Y","Sort=A","Dates=H","DateFormat=P","Fill=—","Direction=H","UseDPDF=Y")</f>
        <v>#NAME?</v>
      </c>
      <c r="CN428" s="1" t="e">
        <f ca="1">_xll.BDH($C$428,"NET_DEBT_TO_SHRHLDR_EQTY","FY 2014","FY 2014","Currency=INR","Period=FY","BEST_FPERIOD_OVERRIDE=FY","FILING_STATUS=OR","EQY_CONSOLIDATED=Y","Sort=A","Dates=H","DateFormat=P","Fill=—","Direction=H","UseDPDF=Y")</f>
        <v>#NAME?</v>
      </c>
      <c r="CO428" s="1" t="e">
        <f ca="1">_xll.BDH($C$428,"NET_DEBT_%_CAPITAL","FY 2014","FY 2014","Currency=INR","Period=FY","BEST_FPERIOD_OVERRIDE=FY","FILING_STATUS=OR","EQY_CONSOLIDATED=Y","Sort=A","Dates=H","DateFormat=P","Fill=—","Direction=H","UseDPDF=Y")</f>
        <v>#NAME?</v>
      </c>
      <c r="CP428" s="2" t="e">
        <f ca="1">_xll.BDH($C$428,"EBITDA","FY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28" s="2" t="e">
        <f ca="1">_xll.BDH($C$428,"EBITDA_AFTER_CAPEX","FY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28" s="2" t="e">
        <f ca="1">_xll.BDH($C$428,"IS_OPER_INC","FY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28" s="1" t="e">
        <f ca="1">_xll.BDH($C$428,"CASH_RATIO","FY 2014","FY 2014","Currency=INR","Period=FY","BEST_FPERIOD_OVERRIDE=FY","FILING_STATUS=OR","EQY_CONSOLIDATED=Y","Sort=A","Dates=H","DateFormat=P","Fill=—","Direction=H","UseDPDF=Y")</f>
        <v>#NAME?</v>
      </c>
      <c r="CT428" s="1" t="e">
        <f ca="1">_xll.BDH($C$428,"CUR_RATIO","FY 2014","FY 2014","Currency=INR","Period=FY","BEST_FPERIOD_OVERRIDE=FY","FILING_STATUS=OR","EQY_CONSOLIDATED=Y","Sort=A","Dates=H","DateFormat=P","Fill=—","Direction=H","UseDPDF=Y")</f>
        <v>#NAME?</v>
      </c>
      <c r="CU428" s="1" t="e">
        <f ca="1">_xll.BDH($C$428,"QUICK_RATIO","FY 2014","FY 2014","Currency=INR","Period=FY","BEST_FPERIOD_OVERRIDE=FY","FILING_STATUS=OR","EQY_CONSOLIDATED=Y","Sort=A","Dates=H","DateFormat=P","Fill=—","Direction=H","UseDPDF=Y")</f>
        <v>#NAME?</v>
      </c>
      <c r="CV428" s="1" t="e">
        <f ca="1">_xll.BDH($C$428,"ALTMAN_Z_SCORE","FY 2014","FY 2014","Currency=INR","Period=FY","BEST_FPERIOD_OVERRIDE=FY","FILING_STATUS=OR","EQY_CONSOLIDATED=Y","Sort=A","Dates=H","DateFormat=P","Fill=—","Direction=H","UseDPDF=Y")</f>
        <v>#NAME?</v>
      </c>
      <c r="CW428" s="3" t="e">
        <f ca="1">_xll.BDH($C$428,"ACCT_RCV_TURN","FY 2014","FY 2014","Currency=INR","Period=FY","BEST_FPERIOD_OVERRIDE=FY","FILING_STATUS=OR","EQY_CONSOLIDATED=Y","FA_ADJUSTED=GAAP","Sort=A","Dates=H","DateFormat=P","Fill=—","Direction=H","UseDPDF=Y")</f>
        <v>#NAME?</v>
      </c>
      <c r="CX428" s="1" t="e">
        <f ca="1">_xll.BDH($C$428,"ACCT_RCV_DAYS","FY 2014","FY 2014","Currency=INR","Period=FY","BEST_FPERIOD_OVERRIDE=FY","FILING_STATUS=OR","EQY_CONSOLIDATED=Y","FA_ADJUSTED=GAAP","Sort=A","Dates=H","DateFormat=P","Fill=—","Direction=H","UseDPDF=Y")</f>
        <v>#NAME?</v>
      </c>
      <c r="CY428" s="3" t="e">
        <f ca="1">_xll.BDH($C$428,"INVENT_TURN","FY 2014","FY 2014","Currency=INR","Period=FY","BEST_FPERIOD_OVERRIDE=FY","FILING_STATUS=OR","EQY_CONSOLIDATED=Y","FA_ADJUSTED=GAAP","Sort=A","Dates=H","DateFormat=P","Fill=—","Direction=H","UseDPDF=Y")</f>
        <v>#NAME?</v>
      </c>
      <c r="CZ428" s="1" t="e">
        <f ca="1">_xll.BDH($C$428,"INVENT_DAYS","FY 2014","FY 2014","Currency=INR","Period=FY","BEST_FPERIOD_OVERRIDE=FY","FILING_STATUS=OR","EQY_CONSOLIDATED=Y","FA_ADJUSTED=GAAP","Sort=A","Dates=H","DateFormat=P","Fill=—","Direction=H","UseDPDF=Y")</f>
        <v>#NAME?</v>
      </c>
      <c r="DA428" s="3" t="e">
        <f ca="1">_xll.BDH($C$428,"ACCOUNTS_PAYABLE_TURNOVER","FY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28" s="1" t="e">
        <f ca="1">_xll.BDH($C$428,"ACCOUNTS_PAYABLE_TURNOVER_DAYS","FY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28" s="3" t="e">
        <f ca="1">_xll.BDH($C$428,"CASH_CONVERSION_CYCLE","FY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28" s="3" t="e">
        <f ca="1">_xll.BDH($C$428,"INV_TO_CASH_DAYS","FY 2014","FY 2014","Currency=INR","Period=FY","BEST_FPERIOD_OVERRIDE=FY","FILING_STATUS=OR","EQY_CONSOLIDATED=Y","FA_ADJUSTED=GAAP","Sort=A","Dates=H","DateFormat=P","Fill=—","Direction=H","UseDPDF=Y")</f>
        <v>#NAME?</v>
      </c>
      <c r="DE428" s="4" t="e">
        <f ca="1">_xll.BDH($C$428,"BS_INVENTORIES","FY 2014","FY 2014","Currency=INR","Period=FY","BEST_FPERIOD_OVERRIDE=FY","FILING_STATUS=OR","EQY_CONSOLIDATED=Y","SCALING_FORMAT=MLN","Sort=A","Dates=H","DateFormat=P","Fill=—","Direction=H","UseDPDF=Y")</f>
        <v>#NAME?</v>
      </c>
      <c r="DF428" s="2" t="e">
        <f ca="1">_xll.BDH($C$428,"INVTRY_RAW_MATERIALS","FY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28" s="2" t="e">
        <f ca="1">_xll.BDH($C$428,"INVTRY_IN_PROGRESS","FY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28" s="2" t="e">
        <f ca="1">_xll.BDH($C$428,"INVTRY_FINISHED_GOODS","FY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28" s="2" t="e">
        <f ca="1">_xll.BDH($C$428,"BS_OTHER_INV","FY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29" spans="1:113" x14ac:dyDescent="0.3">
      <c r="A429" s="6"/>
      <c r="B429" s="6"/>
      <c r="C429" s="6"/>
      <c r="D429" s="6"/>
      <c r="E429" t="s">
        <v>4</v>
      </c>
      <c r="F429" t="e">
        <f ca="1">_xll.BDH($C$428,"RETURN_COM_EQY","FQ1 2014","FQ1 2014","Currency=INR","Period=FQ","BEST_FPERIOD_OVERRIDE=FQ","FILING_STATUS=OR","EQY_CONSOLIDATED=Y","FA_ADJUSTED=GAAP","Sort=A","Dates=H","DateFormat=P","Fill=—","Direction=H","UseDPDF=Y")</f>
        <v>#NAME?</v>
      </c>
      <c r="G429" t="e">
        <f ca="1">_xll.BDH($C$428,"RETURN_ON_ASSET","FQ1 2014","FQ1 2014","Currency=INR","Period=FQ","BEST_FPERIOD_OVERRIDE=FQ","FILING_STATUS=OR","EQY_CONSOLIDATED=Y","FA_ADJUSTED=GAAP","Sort=A","Dates=H","DateFormat=P","Fill=—","Direction=H","UseDPDF=Y")</f>
        <v>#NAME?</v>
      </c>
      <c r="H429" t="e">
        <f ca="1">_xll.BDH($C$428,"RETURN_ON_CAP","FQ1 2014","FQ1 2014","Currency=INR","Period=FQ","BEST_FPERIOD_OVERRIDE=FQ","FILING_STATUS=OR","EQY_CONSOLIDATED=Y","FA_ADJUSTED=GAAP","Sort=A","Dates=H","DateFormat=P","Fill=—","Direction=H","UseDPDF=Y")</f>
        <v>#NAME?</v>
      </c>
      <c r="I429" t="e">
        <f ca="1">_xll.BDH($C$428,"RETURN_ON_INV_CAPITAL","FQ1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29" t="e">
        <f ca="1">_xll.BDH($C$428,"EBITDA_TO_REVENUE","FQ1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429" t="e">
        <f ca="1">_xll.BDH($C$428,"OPER_MARGIN","FQ1 2014","FQ1 2014","Currency=INR","Period=FQ","BEST_FPERIOD_OVERRIDE=FQ","FILING_STATUS=OR","EQY_CONSOLIDATED=Y","FA_ADJUSTED=GAAP","Sort=A","Dates=H","DateFormat=P","Fill=—","Direction=H","UseDPDF=Y")</f>
        <v>#NAME?</v>
      </c>
      <c r="L429" t="e">
        <f ca="1">_xll.BDH($C$428,"INCREMENTAL_OPERATING_MARGIN","FQ1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29" t="e">
        <f ca="1">_xll.BDH($C$428,"PRETAX_INC_TO_NET_SALES","FQ1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29" t="e">
        <f ca="1">_xll.BDH($C$428,"INC_BEF_XO_ITEMS_TO_NET_SALES","FQ1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29" t="e">
        <f ca="1">_xll.BDH($C$428,"PROF_MARGIN","FQ1 2014","FQ1 2014","Currency=INR","Period=FQ","BEST_FPERIOD_OVERRIDE=FQ","FILING_STATUS=OR","EQY_CONSOLIDATED=Y","FA_ADJUSTED=GAAP","Sort=A","Dates=H","DateFormat=P","Fill=—","Direction=H","UseDPDF=Y")</f>
        <v>#NAME?</v>
      </c>
      <c r="P429" t="e">
        <f ca="1">_xll.BDH($C$428,"NET_INCOME_TO_COMMON_MARGIN","FQ1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29" t="e">
        <f ca="1">_xll.BDH($C$428,"EFF_TAX_RATE","FQ1 2014","FQ1 2014","Currency=INR","Period=FQ","BEST_FPERIOD_OVERRIDE=FQ","FILING_STATUS=OR","EQY_CONSOLIDATED=Y","FA_ADJUSTED=GAAP","Sort=A","Dates=H","DateFormat=P","Fill=—","Direction=H","UseDPDF=Y")</f>
        <v>#NAME?</v>
      </c>
      <c r="R429" t="e">
        <f ca="1">_xll.BDH($C$428,"DVD_PAYOUT_RATIO","FQ1 2014","FQ1 2014","Currency=INR","Period=FQ","BEST_FPERIOD_OVERRIDE=FQ","FILING_STATUS=OR","EQY_CONSOLIDATED=Y","FA_ADJUSTED=GAAP","Sort=A","Dates=H","DateFormat=P","Fill=—","Direction=H","UseDPDF=Y")</f>
        <v>#NAME?</v>
      </c>
      <c r="S429" t="e">
        <f ca="1">_xll.BDH($C$428,"SUSTAIN_GROWTH_RT","FQ1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429" s="1" t="e">
        <f ca="1">_xll.BDH($C$428,"SALES_GROWTH","FQ1 2014","FQ1 2014","Currency=INR","Period=FQ","BEST_FPERIOD_OVERRIDE=FQ","FILING_STATUS=OR","EQY_CONSOLIDATED=Y","FA_ADJUSTED=GAAP","Sort=A","Dates=H","DateFormat=P","Fill=—","Direction=H","UseDPDF=Y")</f>
        <v>#NAME?</v>
      </c>
      <c r="U429" s="1" t="e">
        <f ca="1">_xll.BDH($C$428,"EBITDA_GROWTH","FQ1 2014","FQ1 2014","Currency=INR","Period=FQ","BEST_FPERIOD_OVERRIDE=FQ","FILING_STATUS=OR","EQY_CONSOLIDATED=Y","FA_ADJUSTED=GAAP","Sort=A","Dates=H","DateFormat=P","Fill=—","Direction=H","UseDPDF=Y")</f>
        <v>#NAME?</v>
      </c>
      <c r="V429" s="1" t="e">
        <f ca="1">_xll.BDH($C$428,"OPER_INC_GROWTH","FQ1 2014","FQ1 2014","Currency=INR","Period=FQ","BEST_FPERIOD_OVERRIDE=FQ","FILING_STATUS=OR","EQY_CONSOLIDATED=Y","FA_ADJUSTED=GAAP","Sort=A","Dates=H","DateFormat=P","Fill=—","Direction=H","UseDPDF=Y")</f>
        <v>#NAME?</v>
      </c>
      <c r="W429" s="1" t="e">
        <f ca="1">_xll.BDH($C$428,"EARN_FOR_COM_GROWTH","FQ1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29" s="1" t="e">
        <f ca="1">_xll.BDH($C$428,"DILUTED_EPS_AFT_XO_ITEMS_GROWTH","FQ1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29" s="1" t="e">
        <f ca="1">_xll.BDH($C$428,"DIVIDEND_PER_SHARE_1_YEAR_GROWTH","FQ1 2014","FQ1 2014","Currency=INR","Period=FQ","BEST_FPERIOD_OVERRIDE=FQ","FILING_STATUS=OR","EQY_CONSOLIDATED=Y","Sort=A","Dates=H","DateFormat=P","Fill=—","Direction=H","UseDPDF=Y")</f>
        <v>#NAME?</v>
      </c>
      <c r="Z429" s="1" t="e">
        <f ca="1">_xll.BDH($C$428,"ACCOUNTS_RECEIVABLE_GROWTH","FQ1 2014","FQ1 2014","Currency=INR","Period=FQ","BEST_FPERIOD_OVERRIDE=FQ","FILING_STATUS=OR","EQY_CONSOLIDATED=Y","Sort=A","Dates=H","DateFormat=P","Fill=—","Direction=H","UseDPDF=Y")</f>
        <v>#NAME?</v>
      </c>
      <c r="AA429" s="1" t="e">
        <f ca="1">_xll.BDH($C$428,"INVENTORY_GROWTH","FQ1 2014","FQ1 2014","Currency=INR","Period=FQ","BEST_FPERIOD_OVERRIDE=FQ","FILING_STATUS=OR","EQY_CONSOLIDATED=Y","Sort=A","Dates=H","DateFormat=P","Fill=—","Direction=H","UseDPDF=Y")</f>
        <v>#NAME?</v>
      </c>
      <c r="AB429" s="1" t="e">
        <f ca="1">_xll.BDH($C$428,"NET_FIXED_ASSETS_1_YEAR_GROWTH","FQ1 2014","FQ1 2014","Currency=INR","Period=FQ","BEST_FPERIOD_OVERRIDE=FQ","FILING_STATUS=OR","EQY_CONSOLIDATED=Y","Sort=A","Dates=H","DateFormat=P","Fill=—","Direction=H","UseDPDF=Y")</f>
        <v>#NAME?</v>
      </c>
      <c r="AC429" s="1" t="e">
        <f ca="1">_xll.BDH($C$428,"ASSET_GROWTH","FQ1 2014","FQ1 2014","Currency=INR","Period=FQ","BEST_FPERIOD_OVERRIDE=FQ","FILING_STATUS=OR","EQY_CONSOLIDATED=Y","Sort=A","Dates=H","DateFormat=P","Fill=—","Direction=H","UseDPDF=Y")</f>
        <v>#NAME?</v>
      </c>
      <c r="AD429" s="1" t="e">
        <f ca="1">_xll.BDH($C$428,"MODIFIED_WORK_CAP_GROWTH","FQ1 2014","FQ1 2014","Currency=INR","Period=FQ","BEST_FPERIOD_OVERRIDE=FQ","FILING_STATUS=OR","EQY_CONSOLIDATED=Y","Sort=A","Dates=H","DateFormat=P","Fill=—","Direction=H","UseDPDF=Y")</f>
        <v>#NAME?</v>
      </c>
      <c r="AE429" s="1" t="e">
        <f ca="1">_xll.BDH($C$428,"WORK_CAP_GROWTH","FQ1 2014","FQ1 2014","Currency=INR","Period=FQ","BEST_FPERIOD_OVERRIDE=FQ","FILING_STATUS=OR","EQY_CONSOLIDATED=Y","Sort=A","Dates=H","DateFormat=P","Fill=—","Direction=H","UseDPDF=Y")</f>
        <v>#NAME?</v>
      </c>
      <c r="AF429" s="1" t="e">
        <f ca="1">_xll.BDH($C$428,"ACCOUNTS_PAYABLE_GROWTH_1YR","FQ1 2014","FQ1 2014","Currency=INR","Period=FQ","BEST_FPERIOD_OVERRIDE=FQ","FILING_STATUS=OR","EQY_CONSOLIDATED=Y","Sort=A","Dates=H","DateFormat=P","Fill=—","Direction=H","UseDPDF=Y")</f>
        <v>#NAME?</v>
      </c>
      <c r="AG429" s="1" t="e">
        <f ca="1">_xll.BDH($C$428,"SHORT_TERM_DEBT_1_YEAR_GROWTH","FQ1 2014","FQ1 2014","Currency=INR","Period=FQ","BEST_FPERIOD_OVERRIDE=FQ","FILING_STATUS=OR","EQY_CONSOLIDATED=Y","Sort=A","Dates=H","DateFormat=P","Fill=—","Direction=H","UseDPDF=Y")</f>
        <v>#NAME?</v>
      </c>
      <c r="AH429" s="1" t="e">
        <f ca="1">_xll.BDH($C$428,"TOTAL_DEBT_1_YEAR_GROWTH","FQ1 2014","FQ1 2014","Currency=INR","Period=FQ","BEST_FPERIOD_OVERRIDE=FQ","FILING_STATUS=OR","EQY_CONSOLIDATED=Y","Sort=A","Dates=H","DateFormat=P","Fill=—","Direction=H","UseDPDF=Y")</f>
        <v>#NAME?</v>
      </c>
      <c r="AI429" s="1" t="e">
        <f ca="1">_xll.BDH($C$428,"TOTAL_EQUITY_1_YEAR_GROWTH","FQ1 2014","FQ1 2014","Currency=INR","Period=FQ","BEST_FPERIOD_OVERRIDE=FQ","FILING_STATUS=OR","EQY_CONSOLIDATED=Y","Sort=A","Dates=H","DateFormat=P","Fill=—","Direction=H","UseDPDF=Y")</f>
        <v>#NAME?</v>
      </c>
      <c r="AJ429" s="1" t="e">
        <f ca="1">_xll.BDH($C$428,"GROWTH_IN_CAP","FQ1 2014","FQ1 2014","Currency=INR","Period=FQ","BEST_FPERIOD_OVERRIDE=FQ","FILING_STATUS=OR","EQY_CONSOLIDATED=Y","Sort=A","Dates=H","DateFormat=P","Fill=—","Direction=H","UseDPDF=Y")</f>
        <v>#NAME?</v>
      </c>
      <c r="AK429" s="1" t="e">
        <f ca="1">_xll.BDH($C$428,"BVPS_GROWTH","FQ1 2014","FQ1 2014","Currency=INR","Period=FQ","BEST_FPERIOD_OVERRIDE=FQ","FILING_STATUS=OR","EQY_CONSOLIDATED=Y","Sort=A","Dates=H","DateFormat=P","Fill=—","Direction=H","UseDPDF=Y")</f>
        <v>#NAME?</v>
      </c>
      <c r="AL429" s="1" t="e">
        <f ca="1">_xll.BDH($C$428,"CASH_FLOW_GROWTH","FQ1 2014","FQ1 2014","Currency=INR","Period=FQ","BEST_FPERIOD_OVERRIDE=FQ","FILING_STATUS=OR","EQY_CONSOLIDATED=Y","Sort=A","Dates=H","DateFormat=P","Fill=—","Direction=H","UseDPDF=Y")</f>
        <v>#NAME?</v>
      </c>
      <c r="AM429" s="1" t="e">
        <f ca="1">_xll.BDH($C$428,"GEO_GROW_NET_SALES","FQ1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29" s="1" t="e">
        <f ca="1">_xll.BDH($C$428,"GEO_GROW_EBITDA","FQ1 2014","FQ1 2014","Currency=INR","Period=FQ","BEST_FPERIOD_OVERRIDE=FQ","FILING_STATUS=OR","EQY_CONSOLIDATED=Y","FA_ADJUSTED=GAAP","Sort=A","Dates=H","DateFormat=P","Fill=—","Direction=H","UseDPDF=Y")</f>
        <v>#NAME?</v>
      </c>
      <c r="AO429" s="1" t="e">
        <f ca="1">_xll.BDH($C$428,"GEO_GROW_OPER_INC","FQ1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29" s="1" t="e">
        <f ca="1">_xll.BDH($C$428,"NET_INCOME_TO_COMMON_5_YR_GROWTH","FQ1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29" s="1" t="e">
        <f ca="1">_xll.BDH($C$428,"5Y_GEO_GROWTH_DILUTED_EPS","FQ1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29" s="1" t="e">
        <f ca="1">_xll.BDH($C$428,"GEO_GROW_DVD_PER_SH","FQ1 2014","FQ1 2014","Currency=INR","Period=FQ","BEST_FPERIOD_OVERRIDE=FQ","FILING_STATUS=OR","EQY_CONSOLIDATED=Y","Sort=A","Dates=H","DateFormat=P","Fill=—","Direction=H","UseDPDF=Y")</f>
        <v>#NAME?</v>
      </c>
      <c r="AS429" s="1" t="e">
        <f ca="1">_xll.BDH($C$428,"ACCOUNTS_RECEIVABLE_5_YR_GROWTH","FQ1 2014","FQ1 2014","Currency=INR","Period=FQ","BEST_FPERIOD_OVERRIDE=FQ","FILING_STATUS=OR","EQY_CONSOLIDATED=Y","Sort=A","Dates=H","DateFormat=P","Fill=—","Direction=H","UseDPDF=Y")</f>
        <v>#NAME?</v>
      </c>
      <c r="AT429" s="1" t="e">
        <f ca="1">_xll.BDH($C$428,"INVENTORY_5_YEAR_GROWTH","FQ1 2014","FQ1 2014","Currency=INR","Period=FQ","BEST_FPERIOD_OVERRIDE=FQ","FILING_STATUS=OR","EQY_CONSOLIDATED=Y","Sort=A","Dates=H","DateFormat=P","Fill=—","Direction=H","UseDPDF=Y")</f>
        <v>#NAME?</v>
      </c>
      <c r="AU429" s="1" t="e">
        <f ca="1">_xll.BDH($C$428,"NET_FIXED_ASSETS_5_YEAR_GROWTH","FQ1 2014","FQ1 2014","Currency=INR","Period=FQ","BEST_FPERIOD_OVERRIDE=FQ","FILING_STATUS=OR","EQY_CONSOLIDATED=Y","Sort=A","Dates=H","DateFormat=P","Fill=—","Direction=H","UseDPDF=Y")</f>
        <v>#NAME?</v>
      </c>
      <c r="AV429" s="1" t="e">
        <f ca="1">_xll.BDH($C$428,"GEO_GROW_TOT_ASSET","FQ1 2014","FQ1 2014","Currency=INR","Period=FQ","BEST_FPERIOD_OVERRIDE=FQ","FILING_STATUS=OR","EQY_CONSOLIDATED=Y","Sort=A","Dates=H","DateFormat=P","Fill=—","Direction=H","UseDPDF=Y")</f>
        <v>#NAME?</v>
      </c>
      <c r="AW429" s="1" t="e">
        <f ca="1">_xll.BDH($C$428,"MODIFIED_WORKING_CPTL_5YR_GRWTH","FQ1 2014","FQ1 2014","Currency=INR","Period=FQ","BEST_FPERIOD_OVERRIDE=FQ","FILING_STATUS=OR","EQY_CONSOLIDATED=Y","Sort=A","Dates=H","DateFormat=P","Fill=—","Direction=H","UseDPDF=Y")</f>
        <v>#NAME?</v>
      </c>
      <c r="AX429" s="1" t="e">
        <f ca="1">_xll.BDH($C$428,"WORKING_CAPITAL_5_YEAR_GROWTH","FQ1 2014","FQ1 2014","Currency=INR","Period=FQ","BEST_FPERIOD_OVERRIDE=FQ","FILING_STATUS=OR","EQY_CONSOLIDATED=Y","Sort=A","Dates=H","DateFormat=P","Fill=—","Direction=H","UseDPDF=Y")</f>
        <v>#NAME?</v>
      </c>
      <c r="AY429" s="1" t="e">
        <f ca="1">_xll.BDH($C$428,"ACCOUNTS_PAYABLE_5_YEAR_GROWTH","FQ1 2014","FQ1 2014","Currency=INR","Period=FQ","BEST_FPERIOD_OVERRIDE=FQ","FILING_STATUS=OR","EQY_CONSOLIDATED=Y","Sort=A","Dates=H","DateFormat=P","Fill=—","Direction=H","UseDPDF=Y")</f>
        <v>#NAME?</v>
      </c>
      <c r="AZ429" s="1" t="e">
        <f ca="1">_xll.BDH($C$428,"SHORT_TERM_DEBT_5_YEAR_GROWTH","FQ1 2014","FQ1 2014","Currency=INR","Period=FQ","BEST_FPERIOD_OVERRIDE=FQ","FILING_STATUS=OR","EQY_CONSOLIDATED=Y","Sort=A","Dates=H","DateFormat=P","Fill=—","Direction=H","UseDPDF=Y")</f>
        <v>#NAME?</v>
      </c>
      <c r="BA429" s="1" t="e">
        <f ca="1">_xll.BDH($C$428,"TOTAL_DEBT_5_YEAR_GROWTH","FQ1 2014","FQ1 2014","Currency=INR","Period=FQ","BEST_FPERIOD_OVERRIDE=FQ","FILING_STATUS=OR","EQY_CONSOLIDATED=Y","Sort=A","Dates=H","DateFormat=P","Fill=—","Direction=H","UseDPDF=Y")</f>
        <v>#NAME?</v>
      </c>
      <c r="BB429" s="1" t="e">
        <f ca="1">_xll.BDH($C$428,"GEO_GROW_TOT_SHRHLDR_EQY","FQ1 2014","FQ1 2014","Currency=INR","Period=FQ","BEST_FPERIOD_OVERRIDE=FQ","FILING_STATUS=OR","EQY_CONSOLIDATED=Y","Sort=A","Dates=H","DateFormat=P","Fill=—","Direction=H","UseDPDF=Y")</f>
        <v>#NAME?</v>
      </c>
      <c r="BC429" s="1" t="e">
        <f ca="1">_xll.BDH($C$428,"TOTAL_CAPITAL_5_YEAR_GROWTH","FQ1 2014","FQ1 2014","Currency=INR","Period=FQ","BEST_FPERIOD_OVERRIDE=FQ","FILING_STATUS=OR","EQY_CONSOLIDATED=Y","Sort=A","Dates=H","DateFormat=P","Fill=—","Direction=H","UseDPDF=Y")</f>
        <v>#NAME?</v>
      </c>
      <c r="BD429" s="1" t="e">
        <f ca="1">_xll.BDH($C$428,"GEO_GROW_BOOK_VAL","FQ1 2014","FQ1 2014","Currency=INR","Period=FQ","BEST_FPERIOD_OVERRIDE=FQ","FILING_STATUS=OR","EQY_CONSOLIDATED=Y","Sort=A","Dates=H","DateFormat=P","Fill=—","Direction=H","UseDPDF=Y")</f>
        <v>#NAME?</v>
      </c>
      <c r="BE429" s="1" t="e">
        <f ca="1">_xll.BDH($C$428,"GEO_GROW_CASH_OPER_ACT","FQ1 2014","FQ1 2014","Currency=INR","Period=FQ","BEST_FPERIOD_OVERRIDE=FQ","FILING_STATUS=OR","EQY_CONSOLIDATED=Y","Sort=A","Dates=H","DateFormat=P","Fill=—","Direction=H","UseDPDF=Y")</f>
        <v>#NAME?</v>
      </c>
      <c r="BF429" s="1" t="e">
        <f ca="1">_xll.BDH($C$428,"REVENUE_SEQUENTIAL_GROWTH","FQ1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29" s="1" t="e">
        <f ca="1">_xll.BDH($C$428,"EBITDA_SEQUENTIAL_GROWTH","FQ1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29" s="1" t="e">
        <f ca="1">_xll.BDH($C$428,"OPERATING_INCOME_SEQ_GROWTH","FQ1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29" s="1" t="e">
        <f ca="1">_xll.BDH($C$428,"NET_INCOME_TO_COMMON_SEQ_GROWTH","FQ1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29" s="1" t="e">
        <f ca="1">_xll.BDH($C$428,"EPS_DILUTED_SEQUENTIAL_GROWTH","FQ1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29" s="1" t="e">
        <f ca="1">_xll.BDH($C$428,"DPS_SEQUENTIAL_GROWTH","FQ1 2014","FQ1 2014","Currency=INR","Period=FQ","BEST_FPERIOD_OVERRIDE=FQ","FILING_STATUS=OR","EQY_CONSOLIDATED=Y","Sort=A","Dates=H","DateFormat=P","Fill=—","Direction=H","UseDPDF=Y")</f>
        <v>#NAME?</v>
      </c>
      <c r="BL429" s="1" t="e">
        <f ca="1">_xll.BDH($C$428,"ACCOUNTS_RECEIVABLE_SEQ_GROWTH","FQ1 2014","FQ1 2014","Currency=INR","Period=FQ","BEST_FPERIOD_OVERRIDE=FQ","FILING_STATUS=OR","EQY_CONSOLIDATED=Y","Sort=A","Dates=H","DateFormat=P","Fill=—","Direction=H","UseDPDF=Y")</f>
        <v>#NAME?</v>
      </c>
      <c r="BM429" s="1" t="e">
        <f ca="1">_xll.BDH($C$428,"INVENTORY_SEQUENTIAL_GROWTH","FQ1 2014","FQ1 2014","Currency=INR","Period=FQ","BEST_FPERIOD_OVERRIDE=FQ","FILING_STATUS=OR","EQY_CONSOLIDATED=Y","Sort=A","Dates=H","DateFormat=P","Fill=—","Direction=H","UseDPDF=Y")</f>
        <v>#NAME?</v>
      </c>
      <c r="BN429" s="1" t="e">
        <f ca="1">_xll.BDH($C$428,"FIXED_ASSETS_SEQUENTIAL_GROWTH","FQ1 2014","FQ1 2014","Currency=INR","Period=FQ","BEST_FPERIOD_OVERRIDE=FQ","FILING_STATUS=OR","EQY_CONSOLIDATED=Y","Sort=A","Dates=H","DateFormat=P","Fill=—","Direction=H","UseDPDF=Y")</f>
        <v>#NAME?</v>
      </c>
      <c r="BO429" s="1" t="e">
        <f ca="1">_xll.BDH($C$428,"TOTAL_ASSETS_SEQUENTIAL_GROWTH","FQ1 2014","FQ1 2014","Currency=INR","Period=FQ","BEST_FPERIOD_OVERRIDE=FQ","FILING_STATUS=OR","EQY_CONSOLIDATED=Y","Sort=A","Dates=H","DateFormat=P","Fill=—","Direction=H","UseDPDF=Y")</f>
        <v>#NAME?</v>
      </c>
      <c r="BP429" s="1" t="e">
        <f ca="1">_xll.BDH($C$428,"MODIFIED_WORKING_CPTL_SEQ_GRWTH","FQ1 2014","FQ1 2014","Currency=INR","Period=FQ","BEST_FPERIOD_OVERRIDE=FQ","FILING_STATUS=OR","EQY_CONSOLIDATED=Y","Sort=A","Dates=H","DateFormat=P","Fill=—","Direction=H","UseDPDF=Y")</f>
        <v>#NAME?</v>
      </c>
      <c r="BQ429" s="1" t="e">
        <f ca="1">_xll.BDH($C$428,"WORKING_CAPITAL_SEQ_GROWTH","FQ1 2014","FQ1 2014","Currency=INR","Period=FQ","BEST_FPERIOD_OVERRIDE=FQ","FILING_STATUS=OR","EQY_CONSOLIDATED=Y","Sort=A","Dates=H","DateFormat=P","Fill=—","Direction=H","UseDPDF=Y")</f>
        <v>#NAME?</v>
      </c>
      <c r="BR429" s="1" t="e">
        <f ca="1">_xll.BDH($C$428,"ACCOUNTS_PAYABLE_SEQ_GROWTH","FQ1 2014","FQ1 2014","Currency=INR","Period=FQ","BEST_FPERIOD_OVERRIDE=FQ","FILING_STATUS=OR","EQY_CONSOLIDATED=Y","Sort=A","Dates=H","DateFormat=P","Fill=—","Direction=H","UseDPDF=Y")</f>
        <v>#NAME?</v>
      </c>
      <c r="BS429" s="1" t="e">
        <f ca="1">_xll.BDH($C$428,"ST_DEBT_SEQUENTIAL_GROWTH","FQ1 2014","FQ1 2014","Currency=INR","Period=FQ","BEST_FPERIOD_OVERRIDE=FQ","FILING_STATUS=OR","EQY_CONSOLIDATED=Y","Sort=A","Dates=H","DateFormat=P","Fill=—","Direction=H","UseDPDF=Y")</f>
        <v>#NAME?</v>
      </c>
      <c r="BT429" s="1" t="e">
        <f ca="1">_xll.BDH($C$428,"TOTAL_DEBT_SEQUENTIAL_GROWTH","FQ1 2014","FQ1 2014","Currency=INR","Period=FQ","BEST_FPERIOD_OVERRIDE=FQ","FILING_STATUS=OR","EQY_CONSOLIDATED=Y","Sort=A","Dates=H","DateFormat=P","Fill=—","Direction=H","UseDPDF=Y")</f>
        <v>#NAME?</v>
      </c>
      <c r="BU429" s="1" t="e">
        <f ca="1">_xll.BDH($C$428,"TOTAL_EQUITY_SEQUENTIAL_GROWTH","FQ1 2014","FQ1 2014","Currency=INR","Period=FQ","BEST_FPERIOD_OVERRIDE=FQ","FILING_STATUS=OR","EQY_CONSOLIDATED=Y","Sort=A","Dates=H","DateFormat=P","Fill=—","Direction=H","UseDPDF=Y")</f>
        <v>#NAME?</v>
      </c>
      <c r="BV429" s="1" t="e">
        <f ca="1">_xll.BDH($C$428,"TOTAL_CAPITAL_SEQUENTIAL_GROWTH","FQ1 2014","FQ1 2014","Currency=INR","Period=FQ","BEST_FPERIOD_OVERRIDE=FQ","FILING_STATUS=OR","EQY_CONSOLIDATED=Y","Sort=A","Dates=H","DateFormat=P","Fill=—","Direction=H","UseDPDF=Y")</f>
        <v>#NAME?</v>
      </c>
      <c r="BW429" s="1" t="e">
        <f ca="1">_xll.BDH($C$428,"BPS_SEQUENTIAL_GROWTH","FQ1 2014","FQ1 2014","Currency=INR","Period=FQ","BEST_FPERIOD_OVERRIDE=FQ","FILING_STATUS=OR","EQY_CONSOLIDATED=Y","Sort=A","Dates=H","DateFormat=P","Fill=—","Direction=H","UseDPDF=Y")</f>
        <v>#NAME?</v>
      </c>
      <c r="BX429" s="1" t="e">
        <f ca="1">_xll.BDH($C$428,"CFO_SEQUENTIAL_GROWTH","FQ1 2014","FQ1 2014","Currency=INR","Period=FQ","BEST_FPERIOD_OVERRIDE=FQ","FILING_STATUS=OR","EQY_CONSOLIDATED=Y","Sort=A","Dates=H","DateFormat=P","Fill=—","Direction=H","UseDPDF=Y")</f>
        <v>#NAME?</v>
      </c>
      <c r="BY429" s="2" t="e">
        <f ca="1">_xll.BDH($C$428,"SHORT_AND_LONG_TERM_DEBT","FQ1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29" s="2" t="e">
        <f ca="1">_xll.BDH($C$428,"BS_ST_BORROW","FQ1 2014","FQ1 2014","Currency=INR","Period=FQ","BEST_FPERIOD_OVERRIDE=FQ","FILING_STATUS=OR","EQY_CONSOLIDATED=Y","SCALING_FORMAT=MLN","Sort=A","Dates=H","DateFormat=P","Fill=—","Direction=H","UseDPDF=Y")</f>
        <v>#NAME?</v>
      </c>
      <c r="CA429" s="2" t="e">
        <f ca="1">_xll.BDH($C$428,"BS_LT_BORROW","FQ1 2014","FQ1 2014","Currency=INR","Period=FQ","BEST_FPERIOD_OVERRIDE=FQ","FILING_STATUS=OR","EQY_CONSOLIDATED=Y","SCALING_FORMAT=MLN","Sort=A","Dates=H","DateFormat=P","Fill=—","Direction=H","UseDPDF=Y")</f>
        <v>#NAME?</v>
      </c>
      <c r="CB429" s="1" t="e">
        <f ca="1">_xll.BDH($C$428,"TOT_DEBT_TO_EBITDA","FQ1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29" s="1" t="e">
        <f ca="1">_xll.BDH($C$428,"NET_DEBT_TO_EBITDA","FQ1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29" s="1" t="e">
        <f ca="1">_xll.BDH($C$428,"TOTAL_DEBT_TO_EBIT","FQ1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29" s="1" t="e">
        <f ca="1">_xll.BDH($C$428,"NET_DEBT_TO_EBIT","FQ1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429" s="1" t="e">
        <f ca="1">_xll.BDH($C$428,"EBITDA_TO_INTEREST_EXPN","FQ1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29" s="1" t="e">
        <f ca="1">_xll.BDH($C$428,"COM_EQY_TO_TOT_ASSET","FQ1 2014","FQ1 2014","Currency=INR","Period=FQ","BEST_FPERIOD_OVERRIDE=FQ","FILING_STATUS=OR","EQY_CONSOLIDATED=Y","Sort=A","Dates=H","DateFormat=P","Fill=—","Direction=H","UseDPDF=Y")</f>
        <v>#NAME?</v>
      </c>
      <c r="CH429" s="1" t="e">
        <f ca="1">_xll.BDH($C$428,"LT_DEBT_TO_TOT_EQY","FQ1 2014","FQ1 2014","Currency=INR","Period=FQ","BEST_FPERIOD_OVERRIDE=FQ","FILING_STATUS=OR","EQY_CONSOLIDATED=Y","Sort=A","Dates=H","DateFormat=P","Fill=—","Direction=H","UseDPDF=Y")</f>
        <v>#NAME?</v>
      </c>
      <c r="CI429" s="1" t="e">
        <f ca="1">_xll.BDH($C$428,"LT_DEBT_TO_TOT_CAP","FQ1 2014","FQ1 2014","Currency=INR","Period=FQ","BEST_FPERIOD_OVERRIDE=FQ","FILING_STATUS=OR","EQY_CONSOLIDATED=Y","Sort=A","Dates=H","DateFormat=P","Fill=—","Direction=H","UseDPDF=Y")</f>
        <v>#NAME?</v>
      </c>
      <c r="CJ429" s="1" t="e">
        <f ca="1">_xll.BDH($C$428,"LT_DEBT_TO_TOT_ASSET","FQ1 2014","FQ1 2014","Currency=INR","Period=FQ","BEST_FPERIOD_OVERRIDE=FQ","FILING_STATUS=OR","EQY_CONSOLIDATED=Y","Sort=A","Dates=H","DateFormat=P","Fill=—","Direction=H","UseDPDF=Y")</f>
        <v>#NAME?</v>
      </c>
      <c r="CK429" s="1" t="e">
        <f ca="1">_xll.BDH($C$428,"TOT_DEBT_TO_TOT_EQY","FQ1 2014","FQ1 2014","Currency=INR","Period=FQ","BEST_FPERIOD_OVERRIDE=FQ","FILING_STATUS=OR","EQY_CONSOLIDATED=Y","Sort=A","Dates=H","DateFormat=P","Fill=—","Direction=H","UseDPDF=Y")</f>
        <v>#NAME?</v>
      </c>
      <c r="CL429" s="1" t="e">
        <f ca="1">_xll.BDH($C$428,"TOT_DEBT_TO_TOT_CAP","FQ1 2014","FQ1 2014","Currency=INR","Period=FQ","BEST_FPERIOD_OVERRIDE=FQ","FILING_STATUS=OR","EQY_CONSOLIDATED=Y","Sort=A","Dates=H","DateFormat=P","Fill=—","Direction=H","UseDPDF=Y")</f>
        <v>#NAME?</v>
      </c>
      <c r="CM429" s="1" t="e">
        <f ca="1">_xll.BDH($C$428,"TOT_DEBT_TO_TOT_ASSET","FQ1 2014","FQ1 2014","Currency=INR","Period=FQ","BEST_FPERIOD_OVERRIDE=FQ","FILING_STATUS=OR","EQY_CONSOLIDATED=Y","Sort=A","Dates=H","DateFormat=P","Fill=—","Direction=H","UseDPDF=Y")</f>
        <v>#NAME?</v>
      </c>
      <c r="CN429" s="1" t="e">
        <f ca="1">_xll.BDH($C$428,"NET_DEBT_TO_SHRHLDR_EQTY","FQ1 2014","FQ1 2014","Currency=INR","Period=FQ","BEST_FPERIOD_OVERRIDE=FQ","FILING_STATUS=OR","EQY_CONSOLIDATED=Y","Sort=A","Dates=H","DateFormat=P","Fill=—","Direction=H","UseDPDF=Y")</f>
        <v>#NAME?</v>
      </c>
      <c r="CO429" s="1" t="e">
        <f ca="1">_xll.BDH($C$428,"NET_DEBT_%_CAPITAL","FQ1 2014","FQ1 2014","Currency=INR","Period=FQ","BEST_FPERIOD_OVERRIDE=FQ","FILING_STATUS=OR","EQY_CONSOLIDATED=Y","Sort=A","Dates=H","DateFormat=P","Fill=—","Direction=H","UseDPDF=Y")</f>
        <v>#NAME?</v>
      </c>
      <c r="CP429" s="2" t="e">
        <f ca="1">_xll.BDH($C$428,"EBITDA","FQ1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29" s="2" t="e">
        <f ca="1">_xll.BDH($C$428,"EBITDA_AFTER_CAPEX","FQ1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29" s="2" t="e">
        <f ca="1">_xll.BDH($C$428,"IS_OPER_INC","FQ1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29" s="1" t="e">
        <f ca="1">_xll.BDH($C$428,"CASH_RATIO","FQ1 2014","FQ1 2014","Currency=INR","Period=FQ","BEST_FPERIOD_OVERRIDE=FQ","FILING_STATUS=OR","EQY_CONSOLIDATED=Y","Sort=A","Dates=H","DateFormat=P","Fill=—","Direction=H","UseDPDF=Y")</f>
        <v>#NAME?</v>
      </c>
      <c r="CT429" s="1" t="e">
        <f ca="1">_xll.BDH($C$428,"CUR_RATIO","FQ1 2014","FQ1 2014","Currency=INR","Period=FQ","BEST_FPERIOD_OVERRIDE=FQ","FILING_STATUS=OR","EQY_CONSOLIDATED=Y","Sort=A","Dates=H","DateFormat=P","Fill=—","Direction=H","UseDPDF=Y")</f>
        <v>#NAME?</v>
      </c>
      <c r="CU429" s="1" t="e">
        <f ca="1">_xll.BDH($C$428,"QUICK_RATIO","FQ1 2014","FQ1 2014","Currency=INR","Period=FQ","BEST_FPERIOD_OVERRIDE=FQ","FILING_STATUS=OR","EQY_CONSOLIDATED=Y","Sort=A","Dates=H","DateFormat=P","Fill=—","Direction=H","UseDPDF=Y")</f>
        <v>#NAME?</v>
      </c>
      <c r="CV429" s="1" t="e">
        <f ca="1">_xll.BDH($C$428,"ALTMAN_Z_SCORE","FQ1 2014","FQ1 2014","Currency=INR","Period=FQ","BEST_FPERIOD_OVERRIDE=FQ","FILING_STATUS=OR","EQY_CONSOLIDATED=Y","Sort=A","Dates=H","DateFormat=P","Fill=—","Direction=H","UseDPDF=Y")</f>
        <v>#NAME?</v>
      </c>
      <c r="CW429" s="3" t="e">
        <f ca="1">_xll.BDH($C$428,"ACCT_RCV_TURN","FQ1 2014","FQ1 2014","Currency=INR","Period=FQ","BEST_FPERIOD_OVERRIDE=FQ","FILING_STATUS=OR","EQY_CONSOLIDATED=Y","FA_ADJUSTED=GAAP","Sort=A","Dates=H","DateFormat=P","Fill=—","Direction=H","UseDPDF=Y")</f>
        <v>#NAME?</v>
      </c>
      <c r="CX429" s="1" t="e">
        <f ca="1">_xll.BDH($C$428,"ACCT_RCV_DAYS","FQ1 2014","FQ1 2014","Currency=INR","Period=FQ","BEST_FPERIOD_OVERRIDE=FQ","FILING_STATUS=OR","EQY_CONSOLIDATED=Y","FA_ADJUSTED=GAAP","Sort=A","Dates=H","DateFormat=P","Fill=—","Direction=H","UseDPDF=Y")</f>
        <v>#NAME?</v>
      </c>
      <c r="CY429" s="3" t="e">
        <f ca="1">_xll.BDH($C$428,"INVENT_TURN","FQ1 2014","FQ1 2014","Currency=INR","Period=FQ","BEST_FPERIOD_OVERRIDE=FQ","FILING_STATUS=OR","EQY_CONSOLIDATED=Y","FA_ADJUSTED=GAAP","Sort=A","Dates=H","DateFormat=P","Fill=—","Direction=H","UseDPDF=Y")</f>
        <v>#NAME?</v>
      </c>
      <c r="CZ429" s="1" t="e">
        <f ca="1">_xll.BDH($C$428,"INVENT_DAYS","FQ1 2014","FQ1 2014","Currency=INR","Period=FQ","BEST_FPERIOD_OVERRIDE=FQ","FILING_STATUS=OR","EQY_CONSOLIDATED=Y","FA_ADJUSTED=GAAP","Sort=A","Dates=H","DateFormat=P","Fill=—","Direction=H","UseDPDF=Y")</f>
        <v>#NAME?</v>
      </c>
      <c r="DA429" s="3" t="e">
        <f ca="1">_xll.BDH($C$428,"ACCOUNTS_PAYABLE_TURNOVER","FQ1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29" s="1" t="e">
        <f ca="1">_xll.BDH($C$428,"ACCOUNTS_PAYABLE_TURNOVER_DAYS","FQ1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29" s="3" t="e">
        <f ca="1">_xll.BDH($C$428,"CASH_CONVERSION_CYCLE","FQ1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29" s="3" t="e">
        <f ca="1">_xll.BDH($C$428,"INV_TO_CASH_DAYS","FQ1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429" s="4" t="e">
        <f ca="1">_xll.BDH($C$428,"BS_INVENTORIES","FQ1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429" s="2" t="e">
        <f ca="1">_xll.BDH($C$428,"INVTRY_RAW_MATERIALS","FQ1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29" s="2" t="e">
        <f ca="1">_xll.BDH($C$428,"INVTRY_IN_PROGRESS","FQ1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29" s="2" t="e">
        <f ca="1">_xll.BDH($C$428,"INVTRY_FINISHED_GOODS","FQ1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29" s="2" t="e">
        <f ca="1">_xll.BDH($C$428,"BS_OTHER_INV","FQ1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30" spans="1:113" x14ac:dyDescent="0.3">
      <c r="A430" s="6"/>
      <c r="B430" s="6"/>
      <c r="C430" s="6"/>
      <c r="D430" s="6"/>
      <c r="E430" t="s">
        <v>5</v>
      </c>
      <c r="F430" t="e">
        <f ca="1">_xll.BDH($C$428,"RETURN_COM_EQY","FQ2 2014","FQ2 2014","Currency=INR","Period=FQ","BEST_FPERIOD_OVERRIDE=FQ","FILING_STATUS=OR","EQY_CONSOLIDATED=Y","FA_ADJUSTED=GAAP","Sort=A","Dates=H","DateFormat=P","Fill=—","Direction=H","UseDPDF=Y")</f>
        <v>#NAME?</v>
      </c>
      <c r="G430" t="e">
        <f ca="1">_xll.BDH($C$428,"RETURN_ON_ASSET","FQ2 2014","FQ2 2014","Currency=INR","Period=FQ","BEST_FPERIOD_OVERRIDE=FQ","FILING_STATUS=OR","EQY_CONSOLIDATED=Y","FA_ADJUSTED=GAAP","Sort=A","Dates=H","DateFormat=P","Fill=—","Direction=H","UseDPDF=Y")</f>
        <v>#NAME?</v>
      </c>
      <c r="H430" t="e">
        <f ca="1">_xll.BDH($C$428,"RETURN_ON_CAP","FQ2 2014","FQ2 2014","Currency=INR","Period=FQ","BEST_FPERIOD_OVERRIDE=FQ","FILING_STATUS=OR","EQY_CONSOLIDATED=Y","FA_ADJUSTED=GAAP","Sort=A","Dates=H","DateFormat=P","Fill=—","Direction=H","UseDPDF=Y")</f>
        <v>#NAME?</v>
      </c>
      <c r="I430" t="e">
        <f ca="1">_xll.BDH($C$428,"RETURN_ON_INV_CAPITAL","FQ2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30" t="e">
        <f ca="1">_xll.BDH($C$428,"EBITDA_TO_REVENUE","FQ2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430" t="e">
        <f ca="1">_xll.BDH($C$428,"OPER_MARGIN","FQ2 2014","FQ2 2014","Currency=INR","Period=FQ","BEST_FPERIOD_OVERRIDE=FQ","FILING_STATUS=OR","EQY_CONSOLIDATED=Y","FA_ADJUSTED=GAAP","Sort=A","Dates=H","DateFormat=P","Fill=—","Direction=H","UseDPDF=Y")</f>
        <v>#NAME?</v>
      </c>
      <c r="L430" t="e">
        <f ca="1">_xll.BDH($C$428,"INCREMENTAL_OPERATING_MARGIN","FQ2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30" t="e">
        <f ca="1">_xll.BDH($C$428,"PRETAX_INC_TO_NET_SALES","FQ2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30" t="e">
        <f ca="1">_xll.BDH($C$428,"INC_BEF_XO_ITEMS_TO_NET_SALES","FQ2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30" t="e">
        <f ca="1">_xll.BDH($C$428,"PROF_MARGIN","FQ2 2014","FQ2 2014","Currency=INR","Period=FQ","BEST_FPERIOD_OVERRIDE=FQ","FILING_STATUS=OR","EQY_CONSOLIDATED=Y","FA_ADJUSTED=GAAP","Sort=A","Dates=H","DateFormat=P","Fill=—","Direction=H","UseDPDF=Y")</f>
        <v>#NAME?</v>
      </c>
      <c r="P430" t="e">
        <f ca="1">_xll.BDH($C$428,"NET_INCOME_TO_COMMON_MARGIN","FQ2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30" t="e">
        <f ca="1">_xll.BDH($C$428,"EFF_TAX_RATE","FQ2 2014","FQ2 2014","Currency=INR","Period=FQ","BEST_FPERIOD_OVERRIDE=FQ","FILING_STATUS=OR","EQY_CONSOLIDATED=Y","FA_ADJUSTED=GAAP","Sort=A","Dates=H","DateFormat=P","Fill=—","Direction=H","UseDPDF=Y")</f>
        <v>#NAME?</v>
      </c>
      <c r="R430" t="e">
        <f ca="1">_xll.BDH($C$428,"DVD_PAYOUT_RATIO","FQ2 2014","FQ2 2014","Currency=INR","Period=FQ","BEST_FPERIOD_OVERRIDE=FQ","FILING_STATUS=OR","EQY_CONSOLIDATED=Y","FA_ADJUSTED=GAAP","Sort=A","Dates=H","DateFormat=P","Fill=—","Direction=H","UseDPDF=Y")</f>
        <v>#NAME?</v>
      </c>
      <c r="S430" t="e">
        <f ca="1">_xll.BDH($C$428,"SUSTAIN_GROWTH_RT","FQ2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430" s="1" t="e">
        <f ca="1">_xll.BDH($C$428,"SALES_GROWTH","FQ2 2014","FQ2 2014","Currency=INR","Period=FQ","BEST_FPERIOD_OVERRIDE=FQ","FILING_STATUS=OR","EQY_CONSOLIDATED=Y","FA_ADJUSTED=GAAP","Sort=A","Dates=H","DateFormat=P","Fill=—","Direction=H","UseDPDF=Y")</f>
        <v>#NAME?</v>
      </c>
      <c r="U430" s="1" t="e">
        <f ca="1">_xll.BDH($C$428,"EBITDA_GROWTH","FQ2 2014","FQ2 2014","Currency=INR","Period=FQ","BEST_FPERIOD_OVERRIDE=FQ","FILING_STATUS=OR","EQY_CONSOLIDATED=Y","FA_ADJUSTED=GAAP","Sort=A","Dates=H","DateFormat=P","Fill=—","Direction=H","UseDPDF=Y")</f>
        <v>#NAME?</v>
      </c>
      <c r="V430" s="1" t="e">
        <f ca="1">_xll.BDH($C$428,"OPER_INC_GROWTH","FQ2 2014","FQ2 2014","Currency=INR","Period=FQ","BEST_FPERIOD_OVERRIDE=FQ","FILING_STATUS=OR","EQY_CONSOLIDATED=Y","FA_ADJUSTED=GAAP","Sort=A","Dates=H","DateFormat=P","Fill=—","Direction=H","UseDPDF=Y")</f>
        <v>#NAME?</v>
      </c>
      <c r="W430" s="1" t="e">
        <f ca="1">_xll.BDH($C$428,"EARN_FOR_COM_GROWTH","FQ2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30" s="1" t="e">
        <f ca="1">_xll.BDH($C$428,"DILUTED_EPS_AFT_XO_ITEMS_GROWTH","FQ2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30" s="1" t="e">
        <f ca="1">_xll.BDH($C$428,"DIVIDEND_PER_SHARE_1_YEAR_GROWTH","FQ2 2014","FQ2 2014","Currency=INR","Period=FQ","BEST_FPERIOD_OVERRIDE=FQ","FILING_STATUS=OR","EQY_CONSOLIDATED=Y","Sort=A","Dates=H","DateFormat=P","Fill=—","Direction=H","UseDPDF=Y")</f>
        <v>#NAME?</v>
      </c>
      <c r="Z430" s="1" t="e">
        <f ca="1">_xll.BDH($C$428,"ACCOUNTS_RECEIVABLE_GROWTH","FQ2 2014","FQ2 2014","Currency=INR","Period=FQ","BEST_FPERIOD_OVERRIDE=FQ","FILING_STATUS=OR","EQY_CONSOLIDATED=Y","Sort=A","Dates=H","DateFormat=P","Fill=—","Direction=H","UseDPDF=Y")</f>
        <v>#NAME?</v>
      </c>
      <c r="AA430" s="1" t="e">
        <f ca="1">_xll.BDH($C$428,"INVENTORY_GROWTH","FQ2 2014","FQ2 2014","Currency=INR","Period=FQ","BEST_FPERIOD_OVERRIDE=FQ","FILING_STATUS=OR","EQY_CONSOLIDATED=Y","Sort=A","Dates=H","DateFormat=P","Fill=—","Direction=H","UseDPDF=Y")</f>
        <v>#NAME?</v>
      </c>
      <c r="AB430" s="1" t="e">
        <f ca="1">_xll.BDH($C$428,"NET_FIXED_ASSETS_1_YEAR_GROWTH","FQ2 2014","FQ2 2014","Currency=INR","Period=FQ","BEST_FPERIOD_OVERRIDE=FQ","FILING_STATUS=OR","EQY_CONSOLIDATED=Y","Sort=A","Dates=H","DateFormat=P","Fill=—","Direction=H","UseDPDF=Y")</f>
        <v>#NAME?</v>
      </c>
      <c r="AC430" s="1" t="e">
        <f ca="1">_xll.BDH($C$428,"ASSET_GROWTH","FQ2 2014","FQ2 2014","Currency=INR","Period=FQ","BEST_FPERIOD_OVERRIDE=FQ","FILING_STATUS=OR","EQY_CONSOLIDATED=Y","Sort=A","Dates=H","DateFormat=P","Fill=—","Direction=H","UseDPDF=Y")</f>
        <v>#NAME?</v>
      </c>
      <c r="AD430" s="1" t="e">
        <f ca="1">_xll.BDH($C$428,"MODIFIED_WORK_CAP_GROWTH","FQ2 2014","FQ2 2014","Currency=INR","Period=FQ","BEST_FPERIOD_OVERRIDE=FQ","FILING_STATUS=OR","EQY_CONSOLIDATED=Y","Sort=A","Dates=H","DateFormat=P","Fill=—","Direction=H","UseDPDF=Y")</f>
        <v>#NAME?</v>
      </c>
      <c r="AE430" s="1" t="e">
        <f ca="1">_xll.BDH($C$428,"WORK_CAP_GROWTH","FQ2 2014","FQ2 2014","Currency=INR","Period=FQ","BEST_FPERIOD_OVERRIDE=FQ","FILING_STATUS=OR","EQY_CONSOLIDATED=Y","Sort=A","Dates=H","DateFormat=P","Fill=—","Direction=H","UseDPDF=Y")</f>
        <v>#NAME?</v>
      </c>
      <c r="AF430" s="1" t="e">
        <f ca="1">_xll.BDH($C$428,"ACCOUNTS_PAYABLE_GROWTH_1YR","FQ2 2014","FQ2 2014","Currency=INR","Period=FQ","BEST_FPERIOD_OVERRIDE=FQ","FILING_STATUS=OR","EQY_CONSOLIDATED=Y","Sort=A","Dates=H","DateFormat=P","Fill=—","Direction=H","UseDPDF=Y")</f>
        <v>#NAME?</v>
      </c>
      <c r="AG430" s="1" t="e">
        <f ca="1">_xll.BDH($C$428,"SHORT_TERM_DEBT_1_YEAR_GROWTH","FQ2 2014","FQ2 2014","Currency=INR","Period=FQ","BEST_FPERIOD_OVERRIDE=FQ","FILING_STATUS=OR","EQY_CONSOLIDATED=Y","Sort=A","Dates=H","DateFormat=P","Fill=—","Direction=H","UseDPDF=Y")</f>
        <v>#NAME?</v>
      </c>
      <c r="AH430" s="1" t="e">
        <f ca="1">_xll.BDH($C$428,"TOTAL_DEBT_1_YEAR_GROWTH","FQ2 2014","FQ2 2014","Currency=INR","Period=FQ","BEST_FPERIOD_OVERRIDE=FQ","FILING_STATUS=OR","EQY_CONSOLIDATED=Y","Sort=A","Dates=H","DateFormat=P","Fill=—","Direction=H","UseDPDF=Y")</f>
        <v>#NAME?</v>
      </c>
      <c r="AI430" s="1" t="e">
        <f ca="1">_xll.BDH($C$428,"TOTAL_EQUITY_1_YEAR_GROWTH","FQ2 2014","FQ2 2014","Currency=INR","Period=FQ","BEST_FPERIOD_OVERRIDE=FQ","FILING_STATUS=OR","EQY_CONSOLIDATED=Y","Sort=A","Dates=H","DateFormat=P","Fill=—","Direction=H","UseDPDF=Y")</f>
        <v>#NAME?</v>
      </c>
      <c r="AJ430" s="1" t="e">
        <f ca="1">_xll.BDH($C$428,"GROWTH_IN_CAP","FQ2 2014","FQ2 2014","Currency=INR","Period=FQ","BEST_FPERIOD_OVERRIDE=FQ","FILING_STATUS=OR","EQY_CONSOLIDATED=Y","Sort=A","Dates=H","DateFormat=P","Fill=—","Direction=H","UseDPDF=Y")</f>
        <v>#NAME?</v>
      </c>
      <c r="AK430" s="1" t="e">
        <f ca="1">_xll.BDH($C$428,"BVPS_GROWTH","FQ2 2014","FQ2 2014","Currency=INR","Period=FQ","BEST_FPERIOD_OVERRIDE=FQ","FILING_STATUS=OR","EQY_CONSOLIDATED=Y","Sort=A","Dates=H","DateFormat=P","Fill=—","Direction=H","UseDPDF=Y")</f>
        <v>#NAME?</v>
      </c>
      <c r="AL430" s="1" t="e">
        <f ca="1">_xll.BDH($C$428,"CASH_FLOW_GROWTH","FQ2 2014","FQ2 2014","Currency=INR","Period=FQ","BEST_FPERIOD_OVERRIDE=FQ","FILING_STATUS=OR","EQY_CONSOLIDATED=Y","Sort=A","Dates=H","DateFormat=P","Fill=—","Direction=H","UseDPDF=Y")</f>
        <v>#NAME?</v>
      </c>
      <c r="AM430" s="1" t="e">
        <f ca="1">_xll.BDH($C$428,"GEO_GROW_NET_SALES","FQ2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30" s="1" t="e">
        <f ca="1">_xll.BDH($C$428,"GEO_GROW_EBITDA","FQ2 2014","FQ2 2014","Currency=INR","Period=FQ","BEST_FPERIOD_OVERRIDE=FQ","FILING_STATUS=OR","EQY_CONSOLIDATED=Y","FA_ADJUSTED=GAAP","Sort=A","Dates=H","DateFormat=P","Fill=—","Direction=H","UseDPDF=Y")</f>
        <v>#NAME?</v>
      </c>
      <c r="AO430" s="1" t="e">
        <f ca="1">_xll.BDH($C$428,"GEO_GROW_OPER_INC","FQ2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30" s="1" t="e">
        <f ca="1">_xll.BDH($C$428,"NET_INCOME_TO_COMMON_5_YR_GROWTH","FQ2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30" s="1" t="e">
        <f ca="1">_xll.BDH($C$428,"5Y_GEO_GROWTH_DILUTED_EPS","FQ2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30" s="1" t="e">
        <f ca="1">_xll.BDH($C$428,"GEO_GROW_DVD_PER_SH","FQ2 2014","FQ2 2014","Currency=INR","Period=FQ","BEST_FPERIOD_OVERRIDE=FQ","FILING_STATUS=OR","EQY_CONSOLIDATED=Y","Sort=A","Dates=H","DateFormat=P","Fill=—","Direction=H","UseDPDF=Y")</f>
        <v>#NAME?</v>
      </c>
      <c r="AS430" s="1" t="e">
        <f ca="1">_xll.BDH($C$428,"ACCOUNTS_RECEIVABLE_5_YR_GROWTH","FQ2 2014","FQ2 2014","Currency=INR","Period=FQ","BEST_FPERIOD_OVERRIDE=FQ","FILING_STATUS=OR","EQY_CONSOLIDATED=Y","Sort=A","Dates=H","DateFormat=P","Fill=—","Direction=H","UseDPDF=Y")</f>
        <v>#NAME?</v>
      </c>
      <c r="AT430" s="1" t="e">
        <f ca="1">_xll.BDH($C$428,"INVENTORY_5_YEAR_GROWTH","FQ2 2014","FQ2 2014","Currency=INR","Period=FQ","BEST_FPERIOD_OVERRIDE=FQ","FILING_STATUS=OR","EQY_CONSOLIDATED=Y","Sort=A","Dates=H","DateFormat=P","Fill=—","Direction=H","UseDPDF=Y")</f>
        <v>#NAME?</v>
      </c>
      <c r="AU430" s="1" t="e">
        <f ca="1">_xll.BDH($C$428,"NET_FIXED_ASSETS_5_YEAR_GROWTH","FQ2 2014","FQ2 2014","Currency=INR","Period=FQ","BEST_FPERIOD_OVERRIDE=FQ","FILING_STATUS=OR","EQY_CONSOLIDATED=Y","Sort=A","Dates=H","DateFormat=P","Fill=—","Direction=H","UseDPDF=Y")</f>
        <v>#NAME?</v>
      </c>
      <c r="AV430" s="1" t="e">
        <f ca="1">_xll.BDH($C$428,"GEO_GROW_TOT_ASSET","FQ2 2014","FQ2 2014","Currency=INR","Period=FQ","BEST_FPERIOD_OVERRIDE=FQ","FILING_STATUS=OR","EQY_CONSOLIDATED=Y","Sort=A","Dates=H","DateFormat=P","Fill=—","Direction=H","UseDPDF=Y")</f>
        <v>#NAME?</v>
      </c>
      <c r="AW430" s="1" t="e">
        <f ca="1">_xll.BDH($C$428,"MODIFIED_WORKING_CPTL_5YR_GRWTH","FQ2 2014","FQ2 2014","Currency=INR","Period=FQ","BEST_FPERIOD_OVERRIDE=FQ","FILING_STATUS=OR","EQY_CONSOLIDATED=Y","Sort=A","Dates=H","DateFormat=P","Fill=—","Direction=H","UseDPDF=Y")</f>
        <v>#NAME?</v>
      </c>
      <c r="AX430" s="1" t="e">
        <f ca="1">_xll.BDH($C$428,"WORKING_CAPITAL_5_YEAR_GROWTH","FQ2 2014","FQ2 2014","Currency=INR","Period=FQ","BEST_FPERIOD_OVERRIDE=FQ","FILING_STATUS=OR","EQY_CONSOLIDATED=Y","Sort=A","Dates=H","DateFormat=P","Fill=—","Direction=H","UseDPDF=Y")</f>
        <v>#NAME?</v>
      </c>
      <c r="AY430" s="1" t="e">
        <f ca="1">_xll.BDH($C$428,"ACCOUNTS_PAYABLE_5_YEAR_GROWTH","FQ2 2014","FQ2 2014","Currency=INR","Period=FQ","BEST_FPERIOD_OVERRIDE=FQ","FILING_STATUS=OR","EQY_CONSOLIDATED=Y","Sort=A","Dates=H","DateFormat=P","Fill=—","Direction=H","UseDPDF=Y")</f>
        <v>#NAME?</v>
      </c>
      <c r="AZ430" s="1" t="e">
        <f ca="1">_xll.BDH($C$428,"SHORT_TERM_DEBT_5_YEAR_GROWTH","FQ2 2014","FQ2 2014","Currency=INR","Period=FQ","BEST_FPERIOD_OVERRIDE=FQ","FILING_STATUS=OR","EQY_CONSOLIDATED=Y","Sort=A","Dates=H","DateFormat=P","Fill=—","Direction=H","UseDPDF=Y")</f>
        <v>#NAME?</v>
      </c>
      <c r="BA430" s="1" t="e">
        <f ca="1">_xll.BDH($C$428,"TOTAL_DEBT_5_YEAR_GROWTH","FQ2 2014","FQ2 2014","Currency=INR","Period=FQ","BEST_FPERIOD_OVERRIDE=FQ","FILING_STATUS=OR","EQY_CONSOLIDATED=Y","Sort=A","Dates=H","DateFormat=P","Fill=—","Direction=H","UseDPDF=Y")</f>
        <v>#NAME?</v>
      </c>
      <c r="BB430" s="1" t="e">
        <f ca="1">_xll.BDH($C$428,"GEO_GROW_TOT_SHRHLDR_EQY","FQ2 2014","FQ2 2014","Currency=INR","Period=FQ","BEST_FPERIOD_OVERRIDE=FQ","FILING_STATUS=OR","EQY_CONSOLIDATED=Y","Sort=A","Dates=H","DateFormat=P","Fill=—","Direction=H","UseDPDF=Y")</f>
        <v>#NAME?</v>
      </c>
      <c r="BC430" s="1" t="e">
        <f ca="1">_xll.BDH($C$428,"TOTAL_CAPITAL_5_YEAR_GROWTH","FQ2 2014","FQ2 2014","Currency=INR","Period=FQ","BEST_FPERIOD_OVERRIDE=FQ","FILING_STATUS=OR","EQY_CONSOLIDATED=Y","Sort=A","Dates=H","DateFormat=P","Fill=—","Direction=H","UseDPDF=Y")</f>
        <v>#NAME?</v>
      </c>
      <c r="BD430" s="1" t="e">
        <f ca="1">_xll.BDH($C$428,"GEO_GROW_BOOK_VAL","FQ2 2014","FQ2 2014","Currency=INR","Period=FQ","BEST_FPERIOD_OVERRIDE=FQ","FILING_STATUS=OR","EQY_CONSOLIDATED=Y","Sort=A","Dates=H","DateFormat=P","Fill=—","Direction=H","UseDPDF=Y")</f>
        <v>#NAME?</v>
      </c>
      <c r="BE430" s="1" t="e">
        <f ca="1">_xll.BDH($C$428,"GEO_GROW_CASH_OPER_ACT","FQ2 2014","FQ2 2014","Currency=INR","Period=FQ","BEST_FPERIOD_OVERRIDE=FQ","FILING_STATUS=OR","EQY_CONSOLIDATED=Y","Sort=A","Dates=H","DateFormat=P","Fill=—","Direction=H","UseDPDF=Y")</f>
        <v>#NAME?</v>
      </c>
      <c r="BF430" s="1" t="e">
        <f ca="1">_xll.BDH($C$428,"REVENUE_SEQUENTIAL_GROWTH","FQ2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30" s="1" t="e">
        <f ca="1">_xll.BDH($C$428,"EBITDA_SEQUENTIAL_GROWTH","FQ2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30" s="1" t="e">
        <f ca="1">_xll.BDH($C$428,"OPERATING_INCOME_SEQ_GROWTH","FQ2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30" s="1" t="e">
        <f ca="1">_xll.BDH($C$428,"NET_INCOME_TO_COMMON_SEQ_GROWTH","FQ2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30" s="1" t="e">
        <f ca="1">_xll.BDH($C$428,"EPS_DILUTED_SEQUENTIAL_GROWTH","FQ2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30" s="1" t="e">
        <f ca="1">_xll.BDH($C$428,"DPS_SEQUENTIAL_GROWTH","FQ2 2014","FQ2 2014","Currency=INR","Period=FQ","BEST_FPERIOD_OVERRIDE=FQ","FILING_STATUS=OR","EQY_CONSOLIDATED=Y","Sort=A","Dates=H","DateFormat=P","Fill=—","Direction=H","UseDPDF=Y")</f>
        <v>#NAME?</v>
      </c>
      <c r="BL430" s="1" t="e">
        <f ca="1">_xll.BDH($C$428,"ACCOUNTS_RECEIVABLE_SEQ_GROWTH","FQ2 2014","FQ2 2014","Currency=INR","Period=FQ","BEST_FPERIOD_OVERRIDE=FQ","FILING_STATUS=OR","EQY_CONSOLIDATED=Y","Sort=A","Dates=H","DateFormat=P","Fill=—","Direction=H","UseDPDF=Y")</f>
        <v>#NAME?</v>
      </c>
      <c r="BM430" s="1" t="e">
        <f ca="1">_xll.BDH($C$428,"INVENTORY_SEQUENTIAL_GROWTH","FQ2 2014","FQ2 2014","Currency=INR","Period=FQ","BEST_FPERIOD_OVERRIDE=FQ","FILING_STATUS=OR","EQY_CONSOLIDATED=Y","Sort=A","Dates=H","DateFormat=P","Fill=—","Direction=H","UseDPDF=Y")</f>
        <v>#NAME?</v>
      </c>
      <c r="BN430" s="1" t="e">
        <f ca="1">_xll.BDH($C$428,"FIXED_ASSETS_SEQUENTIAL_GROWTH","FQ2 2014","FQ2 2014","Currency=INR","Period=FQ","BEST_FPERIOD_OVERRIDE=FQ","FILING_STATUS=OR","EQY_CONSOLIDATED=Y","Sort=A","Dates=H","DateFormat=P","Fill=—","Direction=H","UseDPDF=Y")</f>
        <v>#NAME?</v>
      </c>
      <c r="BO430" s="1" t="e">
        <f ca="1">_xll.BDH($C$428,"TOTAL_ASSETS_SEQUENTIAL_GROWTH","FQ2 2014","FQ2 2014","Currency=INR","Period=FQ","BEST_FPERIOD_OVERRIDE=FQ","FILING_STATUS=OR","EQY_CONSOLIDATED=Y","Sort=A","Dates=H","DateFormat=P","Fill=—","Direction=H","UseDPDF=Y")</f>
        <v>#NAME?</v>
      </c>
      <c r="BP430" s="1" t="e">
        <f ca="1">_xll.BDH($C$428,"MODIFIED_WORKING_CPTL_SEQ_GRWTH","FQ2 2014","FQ2 2014","Currency=INR","Period=FQ","BEST_FPERIOD_OVERRIDE=FQ","FILING_STATUS=OR","EQY_CONSOLIDATED=Y","Sort=A","Dates=H","DateFormat=P","Fill=—","Direction=H","UseDPDF=Y")</f>
        <v>#NAME?</v>
      </c>
      <c r="BQ430" s="1" t="e">
        <f ca="1">_xll.BDH($C$428,"WORKING_CAPITAL_SEQ_GROWTH","FQ2 2014","FQ2 2014","Currency=INR","Period=FQ","BEST_FPERIOD_OVERRIDE=FQ","FILING_STATUS=OR","EQY_CONSOLIDATED=Y","Sort=A","Dates=H","DateFormat=P","Fill=—","Direction=H","UseDPDF=Y")</f>
        <v>#NAME?</v>
      </c>
      <c r="BR430" s="1" t="e">
        <f ca="1">_xll.BDH($C$428,"ACCOUNTS_PAYABLE_SEQ_GROWTH","FQ2 2014","FQ2 2014","Currency=INR","Period=FQ","BEST_FPERIOD_OVERRIDE=FQ","FILING_STATUS=OR","EQY_CONSOLIDATED=Y","Sort=A","Dates=H","DateFormat=P","Fill=—","Direction=H","UseDPDF=Y")</f>
        <v>#NAME?</v>
      </c>
      <c r="BS430" s="1" t="e">
        <f ca="1">_xll.BDH($C$428,"ST_DEBT_SEQUENTIAL_GROWTH","FQ2 2014","FQ2 2014","Currency=INR","Period=FQ","BEST_FPERIOD_OVERRIDE=FQ","FILING_STATUS=OR","EQY_CONSOLIDATED=Y","Sort=A","Dates=H","DateFormat=P","Fill=—","Direction=H","UseDPDF=Y")</f>
        <v>#NAME?</v>
      </c>
      <c r="BT430" s="1" t="e">
        <f ca="1">_xll.BDH($C$428,"TOTAL_DEBT_SEQUENTIAL_GROWTH","FQ2 2014","FQ2 2014","Currency=INR","Period=FQ","BEST_FPERIOD_OVERRIDE=FQ","FILING_STATUS=OR","EQY_CONSOLIDATED=Y","Sort=A","Dates=H","DateFormat=P","Fill=—","Direction=H","UseDPDF=Y")</f>
        <v>#NAME?</v>
      </c>
      <c r="BU430" s="1" t="e">
        <f ca="1">_xll.BDH($C$428,"TOTAL_EQUITY_SEQUENTIAL_GROWTH","FQ2 2014","FQ2 2014","Currency=INR","Period=FQ","BEST_FPERIOD_OVERRIDE=FQ","FILING_STATUS=OR","EQY_CONSOLIDATED=Y","Sort=A","Dates=H","DateFormat=P","Fill=—","Direction=H","UseDPDF=Y")</f>
        <v>#NAME?</v>
      </c>
      <c r="BV430" s="1" t="e">
        <f ca="1">_xll.BDH($C$428,"TOTAL_CAPITAL_SEQUENTIAL_GROWTH","FQ2 2014","FQ2 2014","Currency=INR","Period=FQ","BEST_FPERIOD_OVERRIDE=FQ","FILING_STATUS=OR","EQY_CONSOLIDATED=Y","Sort=A","Dates=H","DateFormat=P","Fill=—","Direction=H","UseDPDF=Y")</f>
        <v>#NAME?</v>
      </c>
      <c r="BW430" s="1" t="e">
        <f ca="1">_xll.BDH($C$428,"BPS_SEQUENTIAL_GROWTH","FQ2 2014","FQ2 2014","Currency=INR","Period=FQ","BEST_FPERIOD_OVERRIDE=FQ","FILING_STATUS=OR","EQY_CONSOLIDATED=Y","Sort=A","Dates=H","DateFormat=P","Fill=—","Direction=H","UseDPDF=Y")</f>
        <v>#NAME?</v>
      </c>
      <c r="BX430" s="1" t="e">
        <f ca="1">_xll.BDH($C$428,"CFO_SEQUENTIAL_GROWTH","FQ2 2014","FQ2 2014","Currency=INR","Period=FQ","BEST_FPERIOD_OVERRIDE=FQ","FILING_STATUS=OR","EQY_CONSOLIDATED=Y","Sort=A","Dates=H","DateFormat=P","Fill=—","Direction=H","UseDPDF=Y")</f>
        <v>#NAME?</v>
      </c>
      <c r="BY430" s="2" t="e">
        <f ca="1">_xll.BDH($C$428,"SHORT_AND_LONG_TERM_DEBT","FQ2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30" s="2" t="e">
        <f ca="1">_xll.BDH($C$428,"BS_ST_BORROW","FQ2 2014","FQ2 2014","Currency=INR","Period=FQ","BEST_FPERIOD_OVERRIDE=FQ","FILING_STATUS=OR","EQY_CONSOLIDATED=Y","SCALING_FORMAT=MLN","Sort=A","Dates=H","DateFormat=P","Fill=—","Direction=H","UseDPDF=Y")</f>
        <v>#NAME?</v>
      </c>
      <c r="CA430" s="2" t="e">
        <f ca="1">_xll.BDH($C$428,"BS_LT_BORROW","FQ2 2014","FQ2 2014","Currency=INR","Period=FQ","BEST_FPERIOD_OVERRIDE=FQ","FILING_STATUS=OR","EQY_CONSOLIDATED=Y","SCALING_FORMAT=MLN","Sort=A","Dates=H","DateFormat=P","Fill=—","Direction=H","UseDPDF=Y")</f>
        <v>#NAME?</v>
      </c>
      <c r="CB430" s="1" t="e">
        <f ca="1">_xll.BDH($C$428,"TOT_DEBT_TO_EBITDA","FQ2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30" s="1" t="e">
        <f ca="1">_xll.BDH($C$428,"NET_DEBT_TO_EBITDA","FQ2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30" s="1" t="e">
        <f ca="1">_xll.BDH($C$428,"TOTAL_DEBT_TO_EBIT","FQ2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30" s="1" t="e">
        <f ca="1">_xll.BDH($C$428,"NET_DEBT_TO_EBIT","FQ2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430" s="1" t="e">
        <f ca="1">_xll.BDH($C$428,"EBITDA_TO_INTEREST_EXPN","FQ2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30" s="1" t="e">
        <f ca="1">_xll.BDH($C$428,"COM_EQY_TO_TOT_ASSET","FQ2 2014","FQ2 2014","Currency=INR","Period=FQ","BEST_FPERIOD_OVERRIDE=FQ","FILING_STATUS=OR","EQY_CONSOLIDATED=Y","Sort=A","Dates=H","DateFormat=P","Fill=—","Direction=H","UseDPDF=Y")</f>
        <v>#NAME?</v>
      </c>
      <c r="CH430" s="1" t="e">
        <f ca="1">_xll.BDH($C$428,"LT_DEBT_TO_TOT_EQY","FQ2 2014","FQ2 2014","Currency=INR","Period=FQ","BEST_FPERIOD_OVERRIDE=FQ","FILING_STATUS=OR","EQY_CONSOLIDATED=Y","Sort=A","Dates=H","DateFormat=P","Fill=—","Direction=H","UseDPDF=Y")</f>
        <v>#NAME?</v>
      </c>
      <c r="CI430" s="1" t="e">
        <f ca="1">_xll.BDH($C$428,"LT_DEBT_TO_TOT_CAP","FQ2 2014","FQ2 2014","Currency=INR","Period=FQ","BEST_FPERIOD_OVERRIDE=FQ","FILING_STATUS=OR","EQY_CONSOLIDATED=Y","Sort=A","Dates=H","DateFormat=P","Fill=—","Direction=H","UseDPDF=Y")</f>
        <v>#NAME?</v>
      </c>
      <c r="CJ430" s="1" t="e">
        <f ca="1">_xll.BDH($C$428,"LT_DEBT_TO_TOT_ASSET","FQ2 2014","FQ2 2014","Currency=INR","Period=FQ","BEST_FPERIOD_OVERRIDE=FQ","FILING_STATUS=OR","EQY_CONSOLIDATED=Y","Sort=A","Dates=H","DateFormat=P","Fill=—","Direction=H","UseDPDF=Y")</f>
        <v>#NAME?</v>
      </c>
      <c r="CK430" s="1" t="e">
        <f ca="1">_xll.BDH($C$428,"TOT_DEBT_TO_TOT_EQY","FQ2 2014","FQ2 2014","Currency=INR","Period=FQ","BEST_FPERIOD_OVERRIDE=FQ","FILING_STATUS=OR","EQY_CONSOLIDATED=Y","Sort=A","Dates=H","DateFormat=P","Fill=—","Direction=H","UseDPDF=Y")</f>
        <v>#NAME?</v>
      </c>
      <c r="CL430" s="1" t="e">
        <f ca="1">_xll.BDH($C$428,"TOT_DEBT_TO_TOT_CAP","FQ2 2014","FQ2 2014","Currency=INR","Period=FQ","BEST_FPERIOD_OVERRIDE=FQ","FILING_STATUS=OR","EQY_CONSOLIDATED=Y","Sort=A","Dates=H","DateFormat=P","Fill=—","Direction=H","UseDPDF=Y")</f>
        <v>#NAME?</v>
      </c>
      <c r="CM430" s="1" t="e">
        <f ca="1">_xll.BDH($C$428,"TOT_DEBT_TO_TOT_ASSET","FQ2 2014","FQ2 2014","Currency=INR","Period=FQ","BEST_FPERIOD_OVERRIDE=FQ","FILING_STATUS=OR","EQY_CONSOLIDATED=Y","Sort=A","Dates=H","DateFormat=P","Fill=—","Direction=H","UseDPDF=Y")</f>
        <v>#NAME?</v>
      </c>
      <c r="CN430" s="1" t="e">
        <f ca="1">_xll.BDH($C$428,"NET_DEBT_TO_SHRHLDR_EQTY","FQ2 2014","FQ2 2014","Currency=INR","Period=FQ","BEST_FPERIOD_OVERRIDE=FQ","FILING_STATUS=OR","EQY_CONSOLIDATED=Y","Sort=A","Dates=H","DateFormat=P","Fill=—","Direction=H","UseDPDF=Y")</f>
        <v>#NAME?</v>
      </c>
      <c r="CO430" s="1" t="e">
        <f ca="1">_xll.BDH($C$428,"NET_DEBT_%_CAPITAL","FQ2 2014","FQ2 2014","Currency=INR","Period=FQ","BEST_FPERIOD_OVERRIDE=FQ","FILING_STATUS=OR","EQY_CONSOLIDATED=Y","Sort=A","Dates=H","DateFormat=P","Fill=—","Direction=H","UseDPDF=Y")</f>
        <v>#NAME?</v>
      </c>
      <c r="CP430" s="2" t="e">
        <f ca="1">_xll.BDH($C$428,"EBITDA","FQ2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30" s="2" t="e">
        <f ca="1">_xll.BDH($C$428,"EBITDA_AFTER_CAPEX","FQ2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30" s="2" t="e">
        <f ca="1">_xll.BDH($C$428,"IS_OPER_INC","FQ2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30" s="1" t="e">
        <f ca="1">_xll.BDH($C$428,"CASH_RATIO","FQ2 2014","FQ2 2014","Currency=INR","Period=FQ","BEST_FPERIOD_OVERRIDE=FQ","FILING_STATUS=OR","EQY_CONSOLIDATED=Y","Sort=A","Dates=H","DateFormat=P","Fill=—","Direction=H","UseDPDF=Y")</f>
        <v>#NAME?</v>
      </c>
      <c r="CT430" s="1" t="e">
        <f ca="1">_xll.BDH($C$428,"CUR_RATIO","FQ2 2014","FQ2 2014","Currency=INR","Period=FQ","BEST_FPERIOD_OVERRIDE=FQ","FILING_STATUS=OR","EQY_CONSOLIDATED=Y","Sort=A","Dates=H","DateFormat=P","Fill=—","Direction=H","UseDPDF=Y")</f>
        <v>#NAME?</v>
      </c>
      <c r="CU430" s="1" t="e">
        <f ca="1">_xll.BDH($C$428,"QUICK_RATIO","FQ2 2014","FQ2 2014","Currency=INR","Period=FQ","BEST_FPERIOD_OVERRIDE=FQ","FILING_STATUS=OR","EQY_CONSOLIDATED=Y","Sort=A","Dates=H","DateFormat=P","Fill=—","Direction=H","UseDPDF=Y")</f>
        <v>#NAME?</v>
      </c>
      <c r="CV430" s="1" t="e">
        <f ca="1">_xll.BDH($C$428,"ALTMAN_Z_SCORE","FQ2 2014","FQ2 2014","Currency=INR","Period=FQ","BEST_FPERIOD_OVERRIDE=FQ","FILING_STATUS=OR","EQY_CONSOLIDATED=Y","Sort=A","Dates=H","DateFormat=P","Fill=—","Direction=H","UseDPDF=Y")</f>
        <v>#NAME?</v>
      </c>
      <c r="CW430" s="3" t="e">
        <f ca="1">_xll.BDH($C$428,"ACCT_RCV_TURN","FQ2 2014","FQ2 2014","Currency=INR","Period=FQ","BEST_FPERIOD_OVERRIDE=FQ","FILING_STATUS=OR","EQY_CONSOLIDATED=Y","FA_ADJUSTED=GAAP","Sort=A","Dates=H","DateFormat=P","Fill=—","Direction=H","UseDPDF=Y")</f>
        <v>#NAME?</v>
      </c>
      <c r="CX430" s="1" t="e">
        <f ca="1">_xll.BDH($C$428,"ACCT_RCV_DAYS","FQ2 2014","FQ2 2014","Currency=INR","Period=FQ","BEST_FPERIOD_OVERRIDE=FQ","FILING_STATUS=OR","EQY_CONSOLIDATED=Y","FA_ADJUSTED=GAAP","Sort=A","Dates=H","DateFormat=P","Fill=—","Direction=H","UseDPDF=Y")</f>
        <v>#NAME?</v>
      </c>
      <c r="CY430" s="3" t="e">
        <f ca="1">_xll.BDH($C$428,"INVENT_TURN","FQ2 2014","FQ2 2014","Currency=INR","Period=FQ","BEST_FPERIOD_OVERRIDE=FQ","FILING_STATUS=OR","EQY_CONSOLIDATED=Y","FA_ADJUSTED=GAAP","Sort=A","Dates=H","DateFormat=P","Fill=—","Direction=H","UseDPDF=Y")</f>
        <v>#NAME?</v>
      </c>
      <c r="CZ430" s="1" t="e">
        <f ca="1">_xll.BDH($C$428,"INVENT_DAYS","FQ2 2014","FQ2 2014","Currency=INR","Period=FQ","BEST_FPERIOD_OVERRIDE=FQ","FILING_STATUS=OR","EQY_CONSOLIDATED=Y","FA_ADJUSTED=GAAP","Sort=A","Dates=H","DateFormat=P","Fill=—","Direction=H","UseDPDF=Y")</f>
        <v>#NAME?</v>
      </c>
      <c r="DA430" s="3" t="e">
        <f ca="1">_xll.BDH($C$428,"ACCOUNTS_PAYABLE_TURNOVER","FQ2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30" s="1" t="e">
        <f ca="1">_xll.BDH($C$428,"ACCOUNTS_PAYABLE_TURNOVER_DAYS","FQ2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30" s="3" t="e">
        <f ca="1">_xll.BDH($C$428,"CASH_CONVERSION_CYCLE","FQ2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30" s="3" t="e">
        <f ca="1">_xll.BDH($C$428,"INV_TO_CASH_DAYS","FQ2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430" s="4" t="e">
        <f ca="1">_xll.BDH($C$428,"BS_INVENTORIES","FQ2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430" s="2" t="e">
        <f ca="1">_xll.BDH($C$428,"INVTRY_RAW_MATERIALS","FQ2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30" s="2" t="e">
        <f ca="1">_xll.BDH($C$428,"INVTRY_IN_PROGRESS","FQ2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30" s="2" t="e">
        <f ca="1">_xll.BDH($C$428,"INVTRY_FINISHED_GOODS","FQ2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30" s="2" t="e">
        <f ca="1">_xll.BDH($C$428,"BS_OTHER_INV","FQ2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31" spans="1:113" x14ac:dyDescent="0.3">
      <c r="A431" s="6"/>
      <c r="B431" s="6"/>
      <c r="C431" s="6"/>
      <c r="D431" s="6"/>
      <c r="E431" t="s">
        <v>6</v>
      </c>
      <c r="F431" t="e">
        <f ca="1">_xll.BDH($C$428,"RETURN_COM_EQY","FQ3 2014","FQ3 2014","Currency=INR","Period=FQ","BEST_FPERIOD_OVERRIDE=FQ","FILING_STATUS=OR","EQY_CONSOLIDATED=Y","FA_ADJUSTED=GAAP","Sort=A","Dates=H","DateFormat=P","Fill=—","Direction=H","UseDPDF=Y")</f>
        <v>#NAME?</v>
      </c>
      <c r="G431" t="e">
        <f ca="1">_xll.BDH($C$428,"RETURN_ON_ASSET","FQ3 2014","FQ3 2014","Currency=INR","Period=FQ","BEST_FPERIOD_OVERRIDE=FQ","FILING_STATUS=OR","EQY_CONSOLIDATED=Y","FA_ADJUSTED=GAAP","Sort=A","Dates=H","DateFormat=P","Fill=—","Direction=H","UseDPDF=Y")</f>
        <v>#NAME?</v>
      </c>
      <c r="H431" t="e">
        <f ca="1">_xll.BDH($C$428,"RETURN_ON_CAP","FQ3 2014","FQ3 2014","Currency=INR","Period=FQ","BEST_FPERIOD_OVERRIDE=FQ","FILING_STATUS=OR","EQY_CONSOLIDATED=Y","FA_ADJUSTED=GAAP","Sort=A","Dates=H","DateFormat=P","Fill=—","Direction=H","UseDPDF=Y")</f>
        <v>#NAME?</v>
      </c>
      <c r="I431" t="e">
        <f ca="1">_xll.BDH($C$428,"RETURN_ON_INV_CAPITAL","FQ3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31" t="e">
        <f ca="1">_xll.BDH($C$428,"EBITDA_TO_REVENUE","FQ3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431" t="e">
        <f ca="1">_xll.BDH($C$428,"OPER_MARGIN","FQ3 2014","FQ3 2014","Currency=INR","Period=FQ","BEST_FPERIOD_OVERRIDE=FQ","FILING_STATUS=OR","EQY_CONSOLIDATED=Y","FA_ADJUSTED=GAAP","Sort=A","Dates=H","DateFormat=P","Fill=—","Direction=H","UseDPDF=Y")</f>
        <v>#NAME?</v>
      </c>
      <c r="L431" t="e">
        <f ca="1">_xll.BDH($C$428,"INCREMENTAL_OPERATING_MARGIN","FQ3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31" t="e">
        <f ca="1">_xll.BDH($C$428,"PRETAX_INC_TO_NET_SALES","FQ3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31" t="e">
        <f ca="1">_xll.BDH($C$428,"INC_BEF_XO_ITEMS_TO_NET_SALES","FQ3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31" t="e">
        <f ca="1">_xll.BDH($C$428,"PROF_MARGIN","FQ3 2014","FQ3 2014","Currency=INR","Period=FQ","BEST_FPERIOD_OVERRIDE=FQ","FILING_STATUS=OR","EQY_CONSOLIDATED=Y","FA_ADJUSTED=GAAP","Sort=A","Dates=H","DateFormat=P","Fill=—","Direction=H","UseDPDF=Y")</f>
        <v>#NAME?</v>
      </c>
      <c r="P431" t="e">
        <f ca="1">_xll.BDH($C$428,"NET_INCOME_TO_COMMON_MARGIN","FQ3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31" t="e">
        <f ca="1">_xll.BDH($C$428,"EFF_TAX_RATE","FQ3 2014","FQ3 2014","Currency=INR","Period=FQ","BEST_FPERIOD_OVERRIDE=FQ","FILING_STATUS=OR","EQY_CONSOLIDATED=Y","FA_ADJUSTED=GAAP","Sort=A","Dates=H","DateFormat=P","Fill=—","Direction=H","UseDPDF=Y")</f>
        <v>#NAME?</v>
      </c>
      <c r="R431" t="e">
        <f ca="1">_xll.BDH($C$428,"DVD_PAYOUT_RATIO","FQ3 2014","FQ3 2014","Currency=INR","Period=FQ","BEST_FPERIOD_OVERRIDE=FQ","FILING_STATUS=OR","EQY_CONSOLIDATED=Y","FA_ADJUSTED=GAAP","Sort=A","Dates=H","DateFormat=P","Fill=—","Direction=H","UseDPDF=Y")</f>
        <v>#NAME?</v>
      </c>
      <c r="S431" t="e">
        <f ca="1">_xll.BDH($C$428,"SUSTAIN_GROWTH_RT","FQ3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431" s="1" t="e">
        <f ca="1">_xll.BDH($C$428,"SALES_GROWTH","FQ3 2014","FQ3 2014","Currency=INR","Period=FQ","BEST_FPERIOD_OVERRIDE=FQ","FILING_STATUS=OR","EQY_CONSOLIDATED=Y","FA_ADJUSTED=GAAP","Sort=A","Dates=H","DateFormat=P","Fill=—","Direction=H","UseDPDF=Y")</f>
        <v>#NAME?</v>
      </c>
      <c r="U431" s="1" t="e">
        <f ca="1">_xll.BDH($C$428,"EBITDA_GROWTH","FQ3 2014","FQ3 2014","Currency=INR","Period=FQ","BEST_FPERIOD_OVERRIDE=FQ","FILING_STATUS=OR","EQY_CONSOLIDATED=Y","FA_ADJUSTED=GAAP","Sort=A","Dates=H","DateFormat=P","Fill=—","Direction=H","UseDPDF=Y")</f>
        <v>#NAME?</v>
      </c>
      <c r="V431" s="1" t="e">
        <f ca="1">_xll.BDH($C$428,"OPER_INC_GROWTH","FQ3 2014","FQ3 2014","Currency=INR","Period=FQ","BEST_FPERIOD_OVERRIDE=FQ","FILING_STATUS=OR","EQY_CONSOLIDATED=Y","FA_ADJUSTED=GAAP","Sort=A","Dates=H","DateFormat=P","Fill=—","Direction=H","UseDPDF=Y")</f>
        <v>#NAME?</v>
      </c>
      <c r="W431" s="1" t="e">
        <f ca="1">_xll.BDH($C$428,"EARN_FOR_COM_GROWTH","FQ3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31" s="1" t="e">
        <f ca="1">_xll.BDH($C$428,"DILUTED_EPS_AFT_XO_ITEMS_GROWTH","FQ3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31" s="1" t="e">
        <f ca="1">_xll.BDH($C$428,"DIVIDEND_PER_SHARE_1_YEAR_GROWTH","FQ3 2014","FQ3 2014","Currency=INR","Period=FQ","BEST_FPERIOD_OVERRIDE=FQ","FILING_STATUS=OR","EQY_CONSOLIDATED=Y","Sort=A","Dates=H","DateFormat=P","Fill=—","Direction=H","UseDPDF=Y")</f>
        <v>#NAME?</v>
      </c>
      <c r="Z431" s="1" t="e">
        <f ca="1">_xll.BDH($C$428,"ACCOUNTS_RECEIVABLE_GROWTH","FQ3 2014","FQ3 2014","Currency=INR","Period=FQ","BEST_FPERIOD_OVERRIDE=FQ","FILING_STATUS=OR","EQY_CONSOLIDATED=Y","Sort=A","Dates=H","DateFormat=P","Fill=—","Direction=H","UseDPDF=Y")</f>
        <v>#NAME?</v>
      </c>
      <c r="AA431" s="1" t="e">
        <f ca="1">_xll.BDH($C$428,"INVENTORY_GROWTH","FQ3 2014","FQ3 2014","Currency=INR","Period=FQ","BEST_FPERIOD_OVERRIDE=FQ","FILING_STATUS=OR","EQY_CONSOLIDATED=Y","Sort=A","Dates=H","DateFormat=P","Fill=—","Direction=H","UseDPDF=Y")</f>
        <v>#NAME?</v>
      </c>
      <c r="AB431" s="1" t="e">
        <f ca="1">_xll.BDH($C$428,"NET_FIXED_ASSETS_1_YEAR_GROWTH","FQ3 2014","FQ3 2014","Currency=INR","Period=FQ","BEST_FPERIOD_OVERRIDE=FQ","FILING_STATUS=OR","EQY_CONSOLIDATED=Y","Sort=A","Dates=H","DateFormat=P","Fill=—","Direction=H","UseDPDF=Y")</f>
        <v>#NAME?</v>
      </c>
      <c r="AC431" s="1" t="e">
        <f ca="1">_xll.BDH($C$428,"ASSET_GROWTH","FQ3 2014","FQ3 2014","Currency=INR","Period=FQ","BEST_FPERIOD_OVERRIDE=FQ","FILING_STATUS=OR","EQY_CONSOLIDATED=Y","Sort=A","Dates=H","DateFormat=P","Fill=—","Direction=H","UseDPDF=Y")</f>
        <v>#NAME?</v>
      </c>
      <c r="AD431" s="1" t="e">
        <f ca="1">_xll.BDH($C$428,"MODIFIED_WORK_CAP_GROWTH","FQ3 2014","FQ3 2014","Currency=INR","Period=FQ","BEST_FPERIOD_OVERRIDE=FQ","FILING_STATUS=OR","EQY_CONSOLIDATED=Y","Sort=A","Dates=H","DateFormat=P","Fill=—","Direction=H","UseDPDF=Y")</f>
        <v>#NAME?</v>
      </c>
      <c r="AE431" s="1" t="e">
        <f ca="1">_xll.BDH($C$428,"WORK_CAP_GROWTH","FQ3 2014","FQ3 2014","Currency=INR","Period=FQ","BEST_FPERIOD_OVERRIDE=FQ","FILING_STATUS=OR","EQY_CONSOLIDATED=Y","Sort=A","Dates=H","DateFormat=P","Fill=—","Direction=H","UseDPDF=Y")</f>
        <v>#NAME?</v>
      </c>
      <c r="AF431" s="1" t="e">
        <f ca="1">_xll.BDH($C$428,"ACCOUNTS_PAYABLE_GROWTH_1YR","FQ3 2014","FQ3 2014","Currency=INR","Period=FQ","BEST_FPERIOD_OVERRIDE=FQ","FILING_STATUS=OR","EQY_CONSOLIDATED=Y","Sort=A","Dates=H","DateFormat=P","Fill=—","Direction=H","UseDPDF=Y")</f>
        <v>#NAME?</v>
      </c>
      <c r="AG431" s="1" t="e">
        <f ca="1">_xll.BDH($C$428,"SHORT_TERM_DEBT_1_YEAR_GROWTH","FQ3 2014","FQ3 2014","Currency=INR","Period=FQ","BEST_FPERIOD_OVERRIDE=FQ","FILING_STATUS=OR","EQY_CONSOLIDATED=Y","Sort=A","Dates=H","DateFormat=P","Fill=—","Direction=H","UseDPDF=Y")</f>
        <v>#NAME?</v>
      </c>
      <c r="AH431" s="1" t="e">
        <f ca="1">_xll.BDH($C$428,"TOTAL_DEBT_1_YEAR_GROWTH","FQ3 2014","FQ3 2014","Currency=INR","Period=FQ","BEST_FPERIOD_OVERRIDE=FQ","FILING_STATUS=OR","EQY_CONSOLIDATED=Y","Sort=A","Dates=H","DateFormat=P","Fill=—","Direction=H","UseDPDF=Y")</f>
        <v>#NAME?</v>
      </c>
      <c r="AI431" s="1" t="e">
        <f ca="1">_xll.BDH($C$428,"TOTAL_EQUITY_1_YEAR_GROWTH","FQ3 2014","FQ3 2014","Currency=INR","Period=FQ","BEST_FPERIOD_OVERRIDE=FQ","FILING_STATUS=OR","EQY_CONSOLIDATED=Y","Sort=A","Dates=H","DateFormat=P","Fill=—","Direction=H","UseDPDF=Y")</f>
        <v>#NAME?</v>
      </c>
      <c r="AJ431" s="1" t="e">
        <f ca="1">_xll.BDH($C$428,"GROWTH_IN_CAP","FQ3 2014","FQ3 2014","Currency=INR","Period=FQ","BEST_FPERIOD_OVERRIDE=FQ","FILING_STATUS=OR","EQY_CONSOLIDATED=Y","Sort=A","Dates=H","DateFormat=P","Fill=—","Direction=H","UseDPDF=Y")</f>
        <v>#NAME?</v>
      </c>
      <c r="AK431" s="1" t="e">
        <f ca="1">_xll.BDH($C$428,"BVPS_GROWTH","FQ3 2014","FQ3 2014","Currency=INR","Period=FQ","BEST_FPERIOD_OVERRIDE=FQ","FILING_STATUS=OR","EQY_CONSOLIDATED=Y","Sort=A","Dates=H","DateFormat=P","Fill=—","Direction=H","UseDPDF=Y")</f>
        <v>#NAME?</v>
      </c>
      <c r="AL431" s="1" t="e">
        <f ca="1">_xll.BDH($C$428,"CASH_FLOW_GROWTH","FQ3 2014","FQ3 2014","Currency=INR","Period=FQ","BEST_FPERIOD_OVERRIDE=FQ","FILING_STATUS=OR","EQY_CONSOLIDATED=Y","Sort=A","Dates=H","DateFormat=P","Fill=—","Direction=H","UseDPDF=Y")</f>
        <v>#NAME?</v>
      </c>
      <c r="AM431" s="1" t="e">
        <f ca="1">_xll.BDH($C$428,"GEO_GROW_NET_SALES","FQ3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31" s="1" t="e">
        <f ca="1">_xll.BDH($C$428,"GEO_GROW_EBITDA","FQ3 2014","FQ3 2014","Currency=INR","Period=FQ","BEST_FPERIOD_OVERRIDE=FQ","FILING_STATUS=OR","EQY_CONSOLIDATED=Y","FA_ADJUSTED=GAAP","Sort=A","Dates=H","DateFormat=P","Fill=—","Direction=H","UseDPDF=Y")</f>
        <v>#NAME?</v>
      </c>
      <c r="AO431" s="1" t="e">
        <f ca="1">_xll.BDH($C$428,"GEO_GROW_OPER_INC","FQ3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31" s="1" t="e">
        <f ca="1">_xll.BDH($C$428,"NET_INCOME_TO_COMMON_5_YR_GROWTH","FQ3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31" s="1" t="e">
        <f ca="1">_xll.BDH($C$428,"5Y_GEO_GROWTH_DILUTED_EPS","FQ3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31" s="1" t="e">
        <f ca="1">_xll.BDH($C$428,"GEO_GROW_DVD_PER_SH","FQ3 2014","FQ3 2014","Currency=INR","Period=FQ","BEST_FPERIOD_OVERRIDE=FQ","FILING_STATUS=OR","EQY_CONSOLIDATED=Y","Sort=A","Dates=H","DateFormat=P","Fill=—","Direction=H","UseDPDF=Y")</f>
        <v>#NAME?</v>
      </c>
      <c r="AS431" s="1" t="e">
        <f ca="1">_xll.BDH($C$428,"ACCOUNTS_RECEIVABLE_5_YR_GROWTH","FQ3 2014","FQ3 2014","Currency=INR","Period=FQ","BEST_FPERIOD_OVERRIDE=FQ","FILING_STATUS=OR","EQY_CONSOLIDATED=Y","Sort=A","Dates=H","DateFormat=P","Fill=—","Direction=H","UseDPDF=Y")</f>
        <v>#NAME?</v>
      </c>
      <c r="AT431" s="1" t="e">
        <f ca="1">_xll.BDH($C$428,"INVENTORY_5_YEAR_GROWTH","FQ3 2014","FQ3 2014","Currency=INR","Period=FQ","BEST_FPERIOD_OVERRIDE=FQ","FILING_STATUS=OR","EQY_CONSOLIDATED=Y","Sort=A","Dates=H","DateFormat=P","Fill=—","Direction=H","UseDPDF=Y")</f>
        <v>#NAME?</v>
      </c>
      <c r="AU431" s="1" t="e">
        <f ca="1">_xll.BDH($C$428,"NET_FIXED_ASSETS_5_YEAR_GROWTH","FQ3 2014","FQ3 2014","Currency=INR","Period=FQ","BEST_FPERIOD_OVERRIDE=FQ","FILING_STATUS=OR","EQY_CONSOLIDATED=Y","Sort=A","Dates=H","DateFormat=P","Fill=—","Direction=H","UseDPDF=Y")</f>
        <v>#NAME?</v>
      </c>
      <c r="AV431" s="1" t="e">
        <f ca="1">_xll.BDH($C$428,"GEO_GROW_TOT_ASSET","FQ3 2014","FQ3 2014","Currency=INR","Period=FQ","BEST_FPERIOD_OVERRIDE=FQ","FILING_STATUS=OR","EQY_CONSOLIDATED=Y","Sort=A","Dates=H","DateFormat=P","Fill=—","Direction=H","UseDPDF=Y")</f>
        <v>#NAME?</v>
      </c>
      <c r="AW431" s="1" t="e">
        <f ca="1">_xll.BDH($C$428,"MODIFIED_WORKING_CPTL_5YR_GRWTH","FQ3 2014","FQ3 2014","Currency=INR","Period=FQ","BEST_FPERIOD_OVERRIDE=FQ","FILING_STATUS=OR","EQY_CONSOLIDATED=Y","Sort=A","Dates=H","DateFormat=P","Fill=—","Direction=H","UseDPDF=Y")</f>
        <v>#NAME?</v>
      </c>
      <c r="AX431" s="1" t="e">
        <f ca="1">_xll.BDH($C$428,"WORKING_CAPITAL_5_YEAR_GROWTH","FQ3 2014","FQ3 2014","Currency=INR","Period=FQ","BEST_FPERIOD_OVERRIDE=FQ","FILING_STATUS=OR","EQY_CONSOLIDATED=Y","Sort=A","Dates=H","DateFormat=P","Fill=—","Direction=H","UseDPDF=Y")</f>
        <v>#NAME?</v>
      </c>
      <c r="AY431" s="1" t="e">
        <f ca="1">_xll.BDH($C$428,"ACCOUNTS_PAYABLE_5_YEAR_GROWTH","FQ3 2014","FQ3 2014","Currency=INR","Period=FQ","BEST_FPERIOD_OVERRIDE=FQ","FILING_STATUS=OR","EQY_CONSOLIDATED=Y","Sort=A","Dates=H","DateFormat=P","Fill=—","Direction=H","UseDPDF=Y")</f>
        <v>#NAME?</v>
      </c>
      <c r="AZ431" s="1" t="e">
        <f ca="1">_xll.BDH($C$428,"SHORT_TERM_DEBT_5_YEAR_GROWTH","FQ3 2014","FQ3 2014","Currency=INR","Period=FQ","BEST_FPERIOD_OVERRIDE=FQ","FILING_STATUS=OR","EQY_CONSOLIDATED=Y","Sort=A","Dates=H","DateFormat=P","Fill=—","Direction=H","UseDPDF=Y")</f>
        <v>#NAME?</v>
      </c>
      <c r="BA431" s="1" t="e">
        <f ca="1">_xll.BDH($C$428,"TOTAL_DEBT_5_YEAR_GROWTH","FQ3 2014","FQ3 2014","Currency=INR","Period=FQ","BEST_FPERIOD_OVERRIDE=FQ","FILING_STATUS=OR","EQY_CONSOLIDATED=Y","Sort=A","Dates=H","DateFormat=P","Fill=—","Direction=H","UseDPDF=Y")</f>
        <v>#NAME?</v>
      </c>
      <c r="BB431" s="1" t="e">
        <f ca="1">_xll.BDH($C$428,"GEO_GROW_TOT_SHRHLDR_EQY","FQ3 2014","FQ3 2014","Currency=INR","Period=FQ","BEST_FPERIOD_OVERRIDE=FQ","FILING_STATUS=OR","EQY_CONSOLIDATED=Y","Sort=A","Dates=H","DateFormat=P","Fill=—","Direction=H","UseDPDF=Y")</f>
        <v>#NAME?</v>
      </c>
      <c r="BC431" s="1" t="e">
        <f ca="1">_xll.BDH($C$428,"TOTAL_CAPITAL_5_YEAR_GROWTH","FQ3 2014","FQ3 2014","Currency=INR","Period=FQ","BEST_FPERIOD_OVERRIDE=FQ","FILING_STATUS=OR","EQY_CONSOLIDATED=Y","Sort=A","Dates=H","DateFormat=P","Fill=—","Direction=H","UseDPDF=Y")</f>
        <v>#NAME?</v>
      </c>
      <c r="BD431" s="1" t="e">
        <f ca="1">_xll.BDH($C$428,"GEO_GROW_BOOK_VAL","FQ3 2014","FQ3 2014","Currency=INR","Period=FQ","BEST_FPERIOD_OVERRIDE=FQ","FILING_STATUS=OR","EQY_CONSOLIDATED=Y","Sort=A","Dates=H","DateFormat=P","Fill=—","Direction=H","UseDPDF=Y")</f>
        <v>#NAME?</v>
      </c>
      <c r="BE431" s="1" t="e">
        <f ca="1">_xll.BDH($C$428,"GEO_GROW_CASH_OPER_ACT","FQ3 2014","FQ3 2014","Currency=INR","Period=FQ","BEST_FPERIOD_OVERRIDE=FQ","FILING_STATUS=OR","EQY_CONSOLIDATED=Y","Sort=A","Dates=H","DateFormat=P","Fill=—","Direction=H","UseDPDF=Y")</f>
        <v>#NAME?</v>
      </c>
      <c r="BF431" s="1" t="e">
        <f ca="1">_xll.BDH($C$428,"REVENUE_SEQUENTIAL_GROWTH","FQ3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31" s="1" t="e">
        <f ca="1">_xll.BDH($C$428,"EBITDA_SEQUENTIAL_GROWTH","FQ3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31" s="1" t="e">
        <f ca="1">_xll.BDH($C$428,"OPERATING_INCOME_SEQ_GROWTH","FQ3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31" s="1" t="e">
        <f ca="1">_xll.BDH($C$428,"NET_INCOME_TO_COMMON_SEQ_GROWTH","FQ3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31" s="1" t="e">
        <f ca="1">_xll.BDH($C$428,"EPS_DILUTED_SEQUENTIAL_GROWTH","FQ3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31" s="1" t="e">
        <f ca="1">_xll.BDH($C$428,"DPS_SEQUENTIAL_GROWTH","FQ3 2014","FQ3 2014","Currency=INR","Period=FQ","BEST_FPERIOD_OVERRIDE=FQ","FILING_STATUS=OR","EQY_CONSOLIDATED=Y","Sort=A","Dates=H","DateFormat=P","Fill=—","Direction=H","UseDPDF=Y")</f>
        <v>#NAME?</v>
      </c>
      <c r="BL431" s="1" t="e">
        <f ca="1">_xll.BDH($C$428,"ACCOUNTS_RECEIVABLE_SEQ_GROWTH","FQ3 2014","FQ3 2014","Currency=INR","Period=FQ","BEST_FPERIOD_OVERRIDE=FQ","FILING_STATUS=OR","EQY_CONSOLIDATED=Y","Sort=A","Dates=H","DateFormat=P","Fill=—","Direction=H","UseDPDF=Y")</f>
        <v>#NAME?</v>
      </c>
      <c r="BM431" s="1" t="e">
        <f ca="1">_xll.BDH($C$428,"INVENTORY_SEQUENTIAL_GROWTH","FQ3 2014","FQ3 2014","Currency=INR","Period=FQ","BEST_FPERIOD_OVERRIDE=FQ","FILING_STATUS=OR","EQY_CONSOLIDATED=Y","Sort=A","Dates=H","DateFormat=P","Fill=—","Direction=H","UseDPDF=Y")</f>
        <v>#NAME?</v>
      </c>
      <c r="BN431" s="1" t="e">
        <f ca="1">_xll.BDH($C$428,"FIXED_ASSETS_SEQUENTIAL_GROWTH","FQ3 2014","FQ3 2014","Currency=INR","Period=FQ","BEST_FPERIOD_OVERRIDE=FQ","FILING_STATUS=OR","EQY_CONSOLIDATED=Y","Sort=A","Dates=H","DateFormat=P","Fill=—","Direction=H","UseDPDF=Y")</f>
        <v>#NAME?</v>
      </c>
      <c r="BO431" s="1" t="e">
        <f ca="1">_xll.BDH($C$428,"TOTAL_ASSETS_SEQUENTIAL_GROWTH","FQ3 2014","FQ3 2014","Currency=INR","Period=FQ","BEST_FPERIOD_OVERRIDE=FQ","FILING_STATUS=OR","EQY_CONSOLIDATED=Y","Sort=A","Dates=H","DateFormat=P","Fill=—","Direction=H","UseDPDF=Y")</f>
        <v>#NAME?</v>
      </c>
      <c r="BP431" s="1" t="e">
        <f ca="1">_xll.BDH($C$428,"MODIFIED_WORKING_CPTL_SEQ_GRWTH","FQ3 2014","FQ3 2014","Currency=INR","Period=FQ","BEST_FPERIOD_OVERRIDE=FQ","FILING_STATUS=OR","EQY_CONSOLIDATED=Y","Sort=A","Dates=H","DateFormat=P","Fill=—","Direction=H","UseDPDF=Y")</f>
        <v>#NAME?</v>
      </c>
      <c r="BQ431" s="1" t="e">
        <f ca="1">_xll.BDH($C$428,"WORKING_CAPITAL_SEQ_GROWTH","FQ3 2014","FQ3 2014","Currency=INR","Period=FQ","BEST_FPERIOD_OVERRIDE=FQ","FILING_STATUS=OR","EQY_CONSOLIDATED=Y","Sort=A","Dates=H","DateFormat=P","Fill=—","Direction=H","UseDPDF=Y")</f>
        <v>#NAME?</v>
      </c>
      <c r="BR431" s="1" t="e">
        <f ca="1">_xll.BDH($C$428,"ACCOUNTS_PAYABLE_SEQ_GROWTH","FQ3 2014","FQ3 2014","Currency=INR","Period=FQ","BEST_FPERIOD_OVERRIDE=FQ","FILING_STATUS=OR","EQY_CONSOLIDATED=Y","Sort=A","Dates=H","DateFormat=P","Fill=—","Direction=H","UseDPDF=Y")</f>
        <v>#NAME?</v>
      </c>
      <c r="BS431" s="1" t="e">
        <f ca="1">_xll.BDH($C$428,"ST_DEBT_SEQUENTIAL_GROWTH","FQ3 2014","FQ3 2014","Currency=INR","Period=FQ","BEST_FPERIOD_OVERRIDE=FQ","FILING_STATUS=OR","EQY_CONSOLIDATED=Y","Sort=A","Dates=H","DateFormat=P","Fill=—","Direction=H","UseDPDF=Y")</f>
        <v>#NAME?</v>
      </c>
      <c r="BT431" s="1" t="e">
        <f ca="1">_xll.BDH($C$428,"TOTAL_DEBT_SEQUENTIAL_GROWTH","FQ3 2014","FQ3 2014","Currency=INR","Period=FQ","BEST_FPERIOD_OVERRIDE=FQ","FILING_STATUS=OR","EQY_CONSOLIDATED=Y","Sort=A","Dates=H","DateFormat=P","Fill=—","Direction=H","UseDPDF=Y")</f>
        <v>#NAME?</v>
      </c>
      <c r="BU431" s="1" t="e">
        <f ca="1">_xll.BDH($C$428,"TOTAL_EQUITY_SEQUENTIAL_GROWTH","FQ3 2014","FQ3 2014","Currency=INR","Period=FQ","BEST_FPERIOD_OVERRIDE=FQ","FILING_STATUS=OR","EQY_CONSOLIDATED=Y","Sort=A","Dates=H","DateFormat=P","Fill=—","Direction=H","UseDPDF=Y")</f>
        <v>#NAME?</v>
      </c>
      <c r="BV431" s="1" t="e">
        <f ca="1">_xll.BDH($C$428,"TOTAL_CAPITAL_SEQUENTIAL_GROWTH","FQ3 2014","FQ3 2014","Currency=INR","Period=FQ","BEST_FPERIOD_OVERRIDE=FQ","FILING_STATUS=OR","EQY_CONSOLIDATED=Y","Sort=A","Dates=H","DateFormat=P","Fill=—","Direction=H","UseDPDF=Y")</f>
        <v>#NAME?</v>
      </c>
      <c r="BW431" s="1" t="e">
        <f ca="1">_xll.BDH($C$428,"BPS_SEQUENTIAL_GROWTH","FQ3 2014","FQ3 2014","Currency=INR","Period=FQ","BEST_FPERIOD_OVERRIDE=FQ","FILING_STATUS=OR","EQY_CONSOLIDATED=Y","Sort=A","Dates=H","DateFormat=P","Fill=—","Direction=H","UseDPDF=Y")</f>
        <v>#NAME?</v>
      </c>
      <c r="BX431" s="1" t="e">
        <f ca="1">_xll.BDH($C$428,"CFO_SEQUENTIAL_GROWTH","FQ3 2014","FQ3 2014","Currency=INR","Period=FQ","BEST_FPERIOD_OVERRIDE=FQ","FILING_STATUS=OR","EQY_CONSOLIDATED=Y","Sort=A","Dates=H","DateFormat=P","Fill=—","Direction=H","UseDPDF=Y")</f>
        <v>#NAME?</v>
      </c>
      <c r="BY431" s="2" t="e">
        <f ca="1">_xll.BDH($C$428,"SHORT_AND_LONG_TERM_DEBT","FQ3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31" s="2" t="e">
        <f ca="1">_xll.BDH($C$428,"BS_ST_BORROW","FQ3 2014","FQ3 2014","Currency=INR","Period=FQ","BEST_FPERIOD_OVERRIDE=FQ","FILING_STATUS=OR","EQY_CONSOLIDATED=Y","SCALING_FORMAT=MLN","Sort=A","Dates=H","DateFormat=P","Fill=—","Direction=H","UseDPDF=Y")</f>
        <v>#NAME?</v>
      </c>
      <c r="CA431" s="2" t="e">
        <f ca="1">_xll.BDH($C$428,"BS_LT_BORROW","FQ3 2014","FQ3 2014","Currency=INR","Period=FQ","BEST_FPERIOD_OVERRIDE=FQ","FILING_STATUS=OR","EQY_CONSOLIDATED=Y","SCALING_FORMAT=MLN","Sort=A","Dates=H","DateFormat=P","Fill=—","Direction=H","UseDPDF=Y")</f>
        <v>#NAME?</v>
      </c>
      <c r="CB431" s="1" t="e">
        <f ca="1">_xll.BDH($C$428,"TOT_DEBT_TO_EBITDA","FQ3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31" s="1" t="e">
        <f ca="1">_xll.BDH($C$428,"NET_DEBT_TO_EBITDA","FQ3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31" s="1" t="e">
        <f ca="1">_xll.BDH($C$428,"TOTAL_DEBT_TO_EBIT","FQ3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31" s="1" t="e">
        <f ca="1">_xll.BDH($C$428,"NET_DEBT_TO_EBIT","FQ3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431" s="1" t="e">
        <f ca="1">_xll.BDH($C$428,"EBITDA_TO_INTEREST_EXPN","FQ3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31" s="1" t="e">
        <f ca="1">_xll.BDH($C$428,"COM_EQY_TO_TOT_ASSET","FQ3 2014","FQ3 2014","Currency=INR","Period=FQ","BEST_FPERIOD_OVERRIDE=FQ","FILING_STATUS=OR","EQY_CONSOLIDATED=Y","Sort=A","Dates=H","DateFormat=P","Fill=—","Direction=H","UseDPDF=Y")</f>
        <v>#NAME?</v>
      </c>
      <c r="CH431" s="1" t="e">
        <f ca="1">_xll.BDH($C$428,"LT_DEBT_TO_TOT_EQY","FQ3 2014","FQ3 2014","Currency=INR","Period=FQ","BEST_FPERIOD_OVERRIDE=FQ","FILING_STATUS=OR","EQY_CONSOLIDATED=Y","Sort=A","Dates=H","DateFormat=P","Fill=—","Direction=H","UseDPDF=Y")</f>
        <v>#NAME?</v>
      </c>
      <c r="CI431" s="1" t="e">
        <f ca="1">_xll.BDH($C$428,"LT_DEBT_TO_TOT_CAP","FQ3 2014","FQ3 2014","Currency=INR","Period=FQ","BEST_FPERIOD_OVERRIDE=FQ","FILING_STATUS=OR","EQY_CONSOLIDATED=Y","Sort=A","Dates=H","DateFormat=P","Fill=—","Direction=H","UseDPDF=Y")</f>
        <v>#NAME?</v>
      </c>
      <c r="CJ431" s="1" t="e">
        <f ca="1">_xll.BDH($C$428,"LT_DEBT_TO_TOT_ASSET","FQ3 2014","FQ3 2014","Currency=INR","Period=FQ","BEST_FPERIOD_OVERRIDE=FQ","FILING_STATUS=OR","EQY_CONSOLIDATED=Y","Sort=A","Dates=H","DateFormat=P","Fill=—","Direction=H","UseDPDF=Y")</f>
        <v>#NAME?</v>
      </c>
      <c r="CK431" s="1" t="e">
        <f ca="1">_xll.BDH($C$428,"TOT_DEBT_TO_TOT_EQY","FQ3 2014","FQ3 2014","Currency=INR","Period=FQ","BEST_FPERIOD_OVERRIDE=FQ","FILING_STATUS=OR","EQY_CONSOLIDATED=Y","Sort=A","Dates=H","DateFormat=P","Fill=—","Direction=H","UseDPDF=Y")</f>
        <v>#NAME?</v>
      </c>
      <c r="CL431" s="1" t="e">
        <f ca="1">_xll.BDH($C$428,"TOT_DEBT_TO_TOT_CAP","FQ3 2014","FQ3 2014","Currency=INR","Period=FQ","BEST_FPERIOD_OVERRIDE=FQ","FILING_STATUS=OR","EQY_CONSOLIDATED=Y","Sort=A","Dates=H","DateFormat=P","Fill=—","Direction=H","UseDPDF=Y")</f>
        <v>#NAME?</v>
      </c>
      <c r="CM431" s="1" t="e">
        <f ca="1">_xll.BDH($C$428,"TOT_DEBT_TO_TOT_ASSET","FQ3 2014","FQ3 2014","Currency=INR","Period=FQ","BEST_FPERIOD_OVERRIDE=FQ","FILING_STATUS=OR","EQY_CONSOLIDATED=Y","Sort=A","Dates=H","DateFormat=P","Fill=—","Direction=H","UseDPDF=Y")</f>
        <v>#NAME?</v>
      </c>
      <c r="CN431" s="1" t="e">
        <f ca="1">_xll.BDH($C$428,"NET_DEBT_TO_SHRHLDR_EQTY","FQ3 2014","FQ3 2014","Currency=INR","Period=FQ","BEST_FPERIOD_OVERRIDE=FQ","FILING_STATUS=OR","EQY_CONSOLIDATED=Y","Sort=A","Dates=H","DateFormat=P","Fill=—","Direction=H","UseDPDF=Y")</f>
        <v>#NAME?</v>
      </c>
      <c r="CO431" s="1" t="e">
        <f ca="1">_xll.BDH($C$428,"NET_DEBT_%_CAPITAL","FQ3 2014","FQ3 2014","Currency=INR","Period=FQ","BEST_FPERIOD_OVERRIDE=FQ","FILING_STATUS=OR","EQY_CONSOLIDATED=Y","Sort=A","Dates=H","DateFormat=P","Fill=—","Direction=H","UseDPDF=Y")</f>
        <v>#NAME?</v>
      </c>
      <c r="CP431" s="2" t="e">
        <f ca="1">_xll.BDH($C$428,"EBITDA","FQ3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31" s="2" t="e">
        <f ca="1">_xll.BDH($C$428,"EBITDA_AFTER_CAPEX","FQ3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31" s="2" t="e">
        <f ca="1">_xll.BDH($C$428,"IS_OPER_INC","FQ3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31" s="1" t="e">
        <f ca="1">_xll.BDH($C$428,"CASH_RATIO","FQ3 2014","FQ3 2014","Currency=INR","Period=FQ","BEST_FPERIOD_OVERRIDE=FQ","FILING_STATUS=OR","EQY_CONSOLIDATED=Y","Sort=A","Dates=H","DateFormat=P","Fill=—","Direction=H","UseDPDF=Y")</f>
        <v>#NAME?</v>
      </c>
      <c r="CT431" s="1" t="e">
        <f ca="1">_xll.BDH($C$428,"CUR_RATIO","FQ3 2014","FQ3 2014","Currency=INR","Period=FQ","BEST_FPERIOD_OVERRIDE=FQ","FILING_STATUS=OR","EQY_CONSOLIDATED=Y","Sort=A","Dates=H","DateFormat=P","Fill=—","Direction=H","UseDPDF=Y")</f>
        <v>#NAME?</v>
      </c>
      <c r="CU431" s="1" t="e">
        <f ca="1">_xll.BDH($C$428,"QUICK_RATIO","FQ3 2014","FQ3 2014","Currency=INR","Period=FQ","BEST_FPERIOD_OVERRIDE=FQ","FILING_STATUS=OR","EQY_CONSOLIDATED=Y","Sort=A","Dates=H","DateFormat=P","Fill=—","Direction=H","UseDPDF=Y")</f>
        <v>#NAME?</v>
      </c>
      <c r="CV431" s="1" t="e">
        <f ca="1">_xll.BDH($C$428,"ALTMAN_Z_SCORE","FQ3 2014","FQ3 2014","Currency=INR","Period=FQ","BEST_FPERIOD_OVERRIDE=FQ","FILING_STATUS=OR","EQY_CONSOLIDATED=Y","Sort=A","Dates=H","DateFormat=P","Fill=—","Direction=H","UseDPDF=Y")</f>
        <v>#NAME?</v>
      </c>
      <c r="CW431" s="3" t="e">
        <f ca="1">_xll.BDH($C$428,"ACCT_RCV_TURN","FQ3 2014","FQ3 2014","Currency=INR","Period=FQ","BEST_FPERIOD_OVERRIDE=FQ","FILING_STATUS=OR","EQY_CONSOLIDATED=Y","FA_ADJUSTED=GAAP","Sort=A","Dates=H","DateFormat=P","Fill=—","Direction=H","UseDPDF=Y")</f>
        <v>#NAME?</v>
      </c>
      <c r="CX431" s="1" t="e">
        <f ca="1">_xll.BDH($C$428,"ACCT_RCV_DAYS","FQ3 2014","FQ3 2014","Currency=INR","Period=FQ","BEST_FPERIOD_OVERRIDE=FQ","FILING_STATUS=OR","EQY_CONSOLIDATED=Y","FA_ADJUSTED=GAAP","Sort=A","Dates=H","DateFormat=P","Fill=—","Direction=H","UseDPDF=Y")</f>
        <v>#NAME?</v>
      </c>
      <c r="CY431" s="3" t="e">
        <f ca="1">_xll.BDH($C$428,"INVENT_TURN","FQ3 2014","FQ3 2014","Currency=INR","Period=FQ","BEST_FPERIOD_OVERRIDE=FQ","FILING_STATUS=OR","EQY_CONSOLIDATED=Y","FA_ADJUSTED=GAAP","Sort=A","Dates=H","DateFormat=P","Fill=—","Direction=H","UseDPDF=Y")</f>
        <v>#NAME?</v>
      </c>
      <c r="CZ431" s="1" t="e">
        <f ca="1">_xll.BDH($C$428,"INVENT_DAYS","FQ3 2014","FQ3 2014","Currency=INR","Period=FQ","BEST_FPERIOD_OVERRIDE=FQ","FILING_STATUS=OR","EQY_CONSOLIDATED=Y","FA_ADJUSTED=GAAP","Sort=A","Dates=H","DateFormat=P","Fill=—","Direction=H","UseDPDF=Y")</f>
        <v>#NAME?</v>
      </c>
      <c r="DA431" s="3" t="e">
        <f ca="1">_xll.BDH($C$428,"ACCOUNTS_PAYABLE_TURNOVER","FQ3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31" s="1" t="e">
        <f ca="1">_xll.BDH($C$428,"ACCOUNTS_PAYABLE_TURNOVER_DAYS","FQ3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31" s="3" t="e">
        <f ca="1">_xll.BDH($C$428,"CASH_CONVERSION_CYCLE","FQ3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31" s="3" t="e">
        <f ca="1">_xll.BDH($C$428,"INV_TO_CASH_DAYS","FQ3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431" s="4" t="e">
        <f ca="1">_xll.BDH($C$428,"BS_INVENTORIES","FQ3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431" s="2" t="e">
        <f ca="1">_xll.BDH($C$428,"INVTRY_RAW_MATERIALS","FQ3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31" s="2" t="e">
        <f ca="1">_xll.BDH($C$428,"INVTRY_IN_PROGRESS","FQ3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31" s="2" t="e">
        <f ca="1">_xll.BDH($C$428,"INVTRY_FINISHED_GOODS","FQ3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31" s="2" t="e">
        <f ca="1">_xll.BDH($C$428,"BS_OTHER_INV","FQ3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32" spans="1:113" x14ac:dyDescent="0.3">
      <c r="A432" s="6"/>
      <c r="B432" s="6"/>
      <c r="C432" s="6"/>
      <c r="D432" s="6"/>
      <c r="E432" t="s">
        <v>7</v>
      </c>
      <c r="F432" t="e">
        <f ca="1">_xll.BDH($C$428,"RETURN_COM_EQY","FQ4 2014","FQ4 2014","Currency=INR","Period=FQ","BEST_FPERIOD_OVERRIDE=FQ","FILING_STATUS=OR","EQY_CONSOLIDATED=Y","FA_ADJUSTED=GAAP","Sort=A","Dates=H","DateFormat=P","Fill=—","Direction=H","UseDPDF=Y")</f>
        <v>#NAME?</v>
      </c>
      <c r="G432" t="e">
        <f ca="1">_xll.BDH($C$428,"RETURN_ON_ASSET","FQ4 2014","FQ4 2014","Currency=INR","Period=FQ","BEST_FPERIOD_OVERRIDE=FQ","FILING_STATUS=OR","EQY_CONSOLIDATED=Y","FA_ADJUSTED=GAAP","Sort=A","Dates=H","DateFormat=P","Fill=—","Direction=H","UseDPDF=Y")</f>
        <v>#NAME?</v>
      </c>
      <c r="H432" t="e">
        <f ca="1">_xll.BDH($C$428,"RETURN_ON_CAP","FQ4 2014","FQ4 2014","Currency=INR","Period=FQ","BEST_FPERIOD_OVERRIDE=FQ","FILING_STATUS=OR","EQY_CONSOLIDATED=Y","FA_ADJUSTED=GAAP","Sort=A","Dates=H","DateFormat=P","Fill=—","Direction=H","UseDPDF=Y")</f>
        <v>#NAME?</v>
      </c>
      <c r="I432" t="e">
        <f ca="1">_xll.BDH($C$428,"RETURN_ON_INV_CAPITAL","FQ4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32" t="e">
        <f ca="1">_xll.BDH($C$428,"EBITDA_TO_REVENUE","FQ4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432" t="e">
        <f ca="1">_xll.BDH($C$428,"OPER_MARGIN","FQ4 2014","FQ4 2014","Currency=INR","Period=FQ","BEST_FPERIOD_OVERRIDE=FQ","FILING_STATUS=OR","EQY_CONSOLIDATED=Y","FA_ADJUSTED=GAAP","Sort=A","Dates=H","DateFormat=P","Fill=—","Direction=H","UseDPDF=Y")</f>
        <v>#NAME?</v>
      </c>
      <c r="L432" t="e">
        <f ca="1">_xll.BDH($C$428,"INCREMENTAL_OPERATING_MARGIN","FQ4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32" t="e">
        <f ca="1">_xll.BDH($C$428,"PRETAX_INC_TO_NET_SALES","FQ4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32" t="e">
        <f ca="1">_xll.BDH($C$428,"INC_BEF_XO_ITEMS_TO_NET_SALES","FQ4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32" t="e">
        <f ca="1">_xll.BDH($C$428,"PROF_MARGIN","FQ4 2014","FQ4 2014","Currency=INR","Period=FQ","BEST_FPERIOD_OVERRIDE=FQ","FILING_STATUS=OR","EQY_CONSOLIDATED=Y","FA_ADJUSTED=GAAP","Sort=A","Dates=H","DateFormat=P","Fill=—","Direction=H","UseDPDF=Y")</f>
        <v>#NAME?</v>
      </c>
      <c r="P432" t="e">
        <f ca="1">_xll.BDH($C$428,"NET_INCOME_TO_COMMON_MARGIN","FQ4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32" t="e">
        <f ca="1">_xll.BDH($C$428,"EFF_TAX_RATE","FQ4 2014","FQ4 2014","Currency=INR","Period=FQ","BEST_FPERIOD_OVERRIDE=FQ","FILING_STATUS=OR","EQY_CONSOLIDATED=Y","FA_ADJUSTED=GAAP","Sort=A","Dates=H","DateFormat=P","Fill=—","Direction=H","UseDPDF=Y")</f>
        <v>#NAME?</v>
      </c>
      <c r="R432" t="e">
        <f ca="1">_xll.BDH($C$428,"DVD_PAYOUT_RATIO","FQ4 2014","FQ4 2014","Currency=INR","Period=FQ","BEST_FPERIOD_OVERRIDE=FQ","FILING_STATUS=OR","EQY_CONSOLIDATED=Y","FA_ADJUSTED=GAAP","Sort=A","Dates=H","DateFormat=P","Fill=—","Direction=H","UseDPDF=Y")</f>
        <v>#NAME?</v>
      </c>
      <c r="S432" t="e">
        <f ca="1">_xll.BDH($C$428,"SUSTAIN_GROWTH_RT","FQ4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432" s="1" t="e">
        <f ca="1">_xll.BDH($C$428,"SALES_GROWTH","FQ4 2014","FQ4 2014","Currency=INR","Period=FQ","BEST_FPERIOD_OVERRIDE=FQ","FILING_STATUS=OR","EQY_CONSOLIDATED=Y","FA_ADJUSTED=GAAP","Sort=A","Dates=H","DateFormat=P","Fill=—","Direction=H","UseDPDF=Y")</f>
        <v>#NAME?</v>
      </c>
      <c r="U432" s="1" t="e">
        <f ca="1">_xll.BDH($C$428,"EBITDA_GROWTH","FQ4 2014","FQ4 2014","Currency=INR","Period=FQ","BEST_FPERIOD_OVERRIDE=FQ","FILING_STATUS=OR","EQY_CONSOLIDATED=Y","FA_ADJUSTED=GAAP","Sort=A","Dates=H","DateFormat=P","Fill=—","Direction=H","UseDPDF=Y")</f>
        <v>#NAME?</v>
      </c>
      <c r="V432" s="1" t="e">
        <f ca="1">_xll.BDH($C$428,"OPER_INC_GROWTH","FQ4 2014","FQ4 2014","Currency=INR","Period=FQ","BEST_FPERIOD_OVERRIDE=FQ","FILING_STATUS=OR","EQY_CONSOLIDATED=Y","FA_ADJUSTED=GAAP","Sort=A","Dates=H","DateFormat=P","Fill=—","Direction=H","UseDPDF=Y")</f>
        <v>#NAME?</v>
      </c>
      <c r="W432" s="1" t="e">
        <f ca="1">_xll.BDH($C$428,"EARN_FOR_COM_GROWTH","FQ4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32" s="1" t="e">
        <f ca="1">_xll.BDH($C$428,"DILUTED_EPS_AFT_XO_ITEMS_GROWTH","FQ4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32" s="1" t="e">
        <f ca="1">_xll.BDH($C$428,"DIVIDEND_PER_SHARE_1_YEAR_GROWTH","FQ4 2014","FQ4 2014","Currency=INR","Period=FQ","BEST_FPERIOD_OVERRIDE=FQ","FILING_STATUS=OR","EQY_CONSOLIDATED=Y","Sort=A","Dates=H","DateFormat=P","Fill=—","Direction=H","UseDPDF=Y")</f>
        <v>#NAME?</v>
      </c>
      <c r="Z432" s="1" t="e">
        <f ca="1">_xll.BDH($C$428,"ACCOUNTS_RECEIVABLE_GROWTH","FQ4 2014","FQ4 2014","Currency=INR","Period=FQ","BEST_FPERIOD_OVERRIDE=FQ","FILING_STATUS=OR","EQY_CONSOLIDATED=Y","Sort=A","Dates=H","DateFormat=P","Fill=—","Direction=H","UseDPDF=Y")</f>
        <v>#NAME?</v>
      </c>
      <c r="AA432" s="1" t="e">
        <f ca="1">_xll.BDH($C$428,"INVENTORY_GROWTH","FQ4 2014","FQ4 2014","Currency=INR","Period=FQ","BEST_FPERIOD_OVERRIDE=FQ","FILING_STATUS=OR","EQY_CONSOLIDATED=Y","Sort=A","Dates=H","DateFormat=P","Fill=—","Direction=H","UseDPDF=Y")</f>
        <v>#NAME?</v>
      </c>
      <c r="AB432" s="1" t="e">
        <f ca="1">_xll.BDH($C$428,"NET_FIXED_ASSETS_1_YEAR_GROWTH","FQ4 2014","FQ4 2014","Currency=INR","Period=FQ","BEST_FPERIOD_OVERRIDE=FQ","FILING_STATUS=OR","EQY_CONSOLIDATED=Y","Sort=A","Dates=H","DateFormat=P","Fill=—","Direction=H","UseDPDF=Y")</f>
        <v>#NAME?</v>
      </c>
      <c r="AC432" s="1" t="e">
        <f ca="1">_xll.BDH($C$428,"ASSET_GROWTH","FQ4 2014","FQ4 2014","Currency=INR","Period=FQ","BEST_FPERIOD_OVERRIDE=FQ","FILING_STATUS=OR","EQY_CONSOLIDATED=Y","Sort=A","Dates=H","DateFormat=P","Fill=—","Direction=H","UseDPDF=Y")</f>
        <v>#NAME?</v>
      </c>
      <c r="AD432" s="1" t="e">
        <f ca="1">_xll.BDH($C$428,"MODIFIED_WORK_CAP_GROWTH","FQ4 2014","FQ4 2014","Currency=INR","Period=FQ","BEST_FPERIOD_OVERRIDE=FQ","FILING_STATUS=OR","EQY_CONSOLIDATED=Y","Sort=A","Dates=H","DateFormat=P","Fill=—","Direction=H","UseDPDF=Y")</f>
        <v>#NAME?</v>
      </c>
      <c r="AE432" s="1" t="e">
        <f ca="1">_xll.BDH($C$428,"WORK_CAP_GROWTH","FQ4 2014","FQ4 2014","Currency=INR","Period=FQ","BEST_FPERIOD_OVERRIDE=FQ","FILING_STATUS=OR","EQY_CONSOLIDATED=Y","Sort=A","Dates=H","DateFormat=P","Fill=—","Direction=H","UseDPDF=Y")</f>
        <v>#NAME?</v>
      </c>
      <c r="AF432" s="1" t="e">
        <f ca="1">_xll.BDH($C$428,"ACCOUNTS_PAYABLE_GROWTH_1YR","FQ4 2014","FQ4 2014","Currency=INR","Period=FQ","BEST_FPERIOD_OVERRIDE=FQ","FILING_STATUS=OR","EQY_CONSOLIDATED=Y","Sort=A","Dates=H","DateFormat=P","Fill=—","Direction=H","UseDPDF=Y")</f>
        <v>#NAME?</v>
      </c>
      <c r="AG432" s="1" t="e">
        <f ca="1">_xll.BDH($C$428,"SHORT_TERM_DEBT_1_YEAR_GROWTH","FQ4 2014","FQ4 2014","Currency=INR","Period=FQ","BEST_FPERIOD_OVERRIDE=FQ","FILING_STATUS=OR","EQY_CONSOLIDATED=Y","Sort=A","Dates=H","DateFormat=P","Fill=—","Direction=H","UseDPDF=Y")</f>
        <v>#NAME?</v>
      </c>
      <c r="AH432" s="1" t="e">
        <f ca="1">_xll.BDH($C$428,"TOTAL_DEBT_1_YEAR_GROWTH","FQ4 2014","FQ4 2014","Currency=INR","Period=FQ","BEST_FPERIOD_OVERRIDE=FQ","FILING_STATUS=OR","EQY_CONSOLIDATED=Y","Sort=A","Dates=H","DateFormat=P","Fill=—","Direction=H","UseDPDF=Y")</f>
        <v>#NAME?</v>
      </c>
      <c r="AI432" s="1" t="e">
        <f ca="1">_xll.BDH($C$428,"TOTAL_EQUITY_1_YEAR_GROWTH","FQ4 2014","FQ4 2014","Currency=INR","Period=FQ","BEST_FPERIOD_OVERRIDE=FQ","FILING_STATUS=OR","EQY_CONSOLIDATED=Y","Sort=A","Dates=H","DateFormat=P","Fill=—","Direction=H","UseDPDF=Y")</f>
        <v>#NAME?</v>
      </c>
      <c r="AJ432" s="1" t="e">
        <f ca="1">_xll.BDH($C$428,"GROWTH_IN_CAP","FQ4 2014","FQ4 2014","Currency=INR","Period=FQ","BEST_FPERIOD_OVERRIDE=FQ","FILING_STATUS=OR","EQY_CONSOLIDATED=Y","Sort=A","Dates=H","DateFormat=P","Fill=—","Direction=H","UseDPDF=Y")</f>
        <v>#NAME?</v>
      </c>
      <c r="AK432" s="1" t="e">
        <f ca="1">_xll.BDH($C$428,"BVPS_GROWTH","FQ4 2014","FQ4 2014","Currency=INR","Period=FQ","BEST_FPERIOD_OVERRIDE=FQ","FILING_STATUS=OR","EQY_CONSOLIDATED=Y","Sort=A","Dates=H","DateFormat=P","Fill=—","Direction=H","UseDPDF=Y")</f>
        <v>#NAME?</v>
      </c>
      <c r="AL432" s="1" t="e">
        <f ca="1">_xll.BDH($C$428,"CASH_FLOW_GROWTH","FQ4 2014","FQ4 2014","Currency=INR","Period=FQ","BEST_FPERIOD_OVERRIDE=FQ","FILING_STATUS=OR","EQY_CONSOLIDATED=Y","Sort=A","Dates=H","DateFormat=P","Fill=—","Direction=H","UseDPDF=Y")</f>
        <v>#NAME?</v>
      </c>
      <c r="AM432" s="1" t="e">
        <f ca="1">_xll.BDH($C$428,"GEO_GROW_NET_SALES","FQ4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32" s="1" t="e">
        <f ca="1">_xll.BDH($C$428,"GEO_GROW_EBITDA","FQ4 2014","FQ4 2014","Currency=INR","Period=FQ","BEST_FPERIOD_OVERRIDE=FQ","FILING_STATUS=OR","EQY_CONSOLIDATED=Y","FA_ADJUSTED=GAAP","Sort=A","Dates=H","DateFormat=P","Fill=—","Direction=H","UseDPDF=Y")</f>
        <v>#NAME?</v>
      </c>
      <c r="AO432" s="1" t="e">
        <f ca="1">_xll.BDH($C$428,"GEO_GROW_OPER_INC","FQ4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32" s="1" t="e">
        <f ca="1">_xll.BDH($C$428,"NET_INCOME_TO_COMMON_5_YR_GROWTH","FQ4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32" s="1" t="e">
        <f ca="1">_xll.BDH($C$428,"5Y_GEO_GROWTH_DILUTED_EPS","FQ4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32" s="1" t="e">
        <f ca="1">_xll.BDH($C$428,"GEO_GROW_DVD_PER_SH","FQ4 2014","FQ4 2014","Currency=INR","Period=FQ","BEST_FPERIOD_OVERRIDE=FQ","FILING_STATUS=OR","EQY_CONSOLIDATED=Y","Sort=A","Dates=H","DateFormat=P","Fill=—","Direction=H","UseDPDF=Y")</f>
        <v>#NAME?</v>
      </c>
      <c r="AS432" s="1" t="e">
        <f ca="1">_xll.BDH($C$428,"ACCOUNTS_RECEIVABLE_5_YR_GROWTH","FQ4 2014","FQ4 2014","Currency=INR","Period=FQ","BEST_FPERIOD_OVERRIDE=FQ","FILING_STATUS=OR","EQY_CONSOLIDATED=Y","Sort=A","Dates=H","DateFormat=P","Fill=—","Direction=H","UseDPDF=Y")</f>
        <v>#NAME?</v>
      </c>
      <c r="AT432" s="1" t="e">
        <f ca="1">_xll.BDH($C$428,"INVENTORY_5_YEAR_GROWTH","FQ4 2014","FQ4 2014","Currency=INR","Period=FQ","BEST_FPERIOD_OVERRIDE=FQ","FILING_STATUS=OR","EQY_CONSOLIDATED=Y","Sort=A","Dates=H","DateFormat=P","Fill=—","Direction=H","UseDPDF=Y")</f>
        <v>#NAME?</v>
      </c>
      <c r="AU432" s="1" t="e">
        <f ca="1">_xll.BDH($C$428,"NET_FIXED_ASSETS_5_YEAR_GROWTH","FQ4 2014","FQ4 2014","Currency=INR","Period=FQ","BEST_FPERIOD_OVERRIDE=FQ","FILING_STATUS=OR","EQY_CONSOLIDATED=Y","Sort=A","Dates=H","DateFormat=P","Fill=—","Direction=H","UseDPDF=Y")</f>
        <v>#NAME?</v>
      </c>
      <c r="AV432" s="1" t="e">
        <f ca="1">_xll.BDH($C$428,"GEO_GROW_TOT_ASSET","FQ4 2014","FQ4 2014","Currency=INR","Period=FQ","BEST_FPERIOD_OVERRIDE=FQ","FILING_STATUS=OR","EQY_CONSOLIDATED=Y","Sort=A","Dates=H","DateFormat=P","Fill=—","Direction=H","UseDPDF=Y")</f>
        <v>#NAME?</v>
      </c>
      <c r="AW432" s="1" t="e">
        <f ca="1">_xll.BDH($C$428,"MODIFIED_WORKING_CPTL_5YR_GRWTH","FQ4 2014","FQ4 2014","Currency=INR","Period=FQ","BEST_FPERIOD_OVERRIDE=FQ","FILING_STATUS=OR","EQY_CONSOLIDATED=Y","Sort=A","Dates=H","DateFormat=P","Fill=—","Direction=H","UseDPDF=Y")</f>
        <v>#NAME?</v>
      </c>
      <c r="AX432" s="1" t="e">
        <f ca="1">_xll.BDH($C$428,"WORKING_CAPITAL_5_YEAR_GROWTH","FQ4 2014","FQ4 2014","Currency=INR","Period=FQ","BEST_FPERIOD_OVERRIDE=FQ","FILING_STATUS=OR","EQY_CONSOLIDATED=Y","Sort=A","Dates=H","DateFormat=P","Fill=—","Direction=H","UseDPDF=Y")</f>
        <v>#NAME?</v>
      </c>
      <c r="AY432" s="1" t="e">
        <f ca="1">_xll.BDH($C$428,"ACCOUNTS_PAYABLE_5_YEAR_GROWTH","FQ4 2014","FQ4 2014","Currency=INR","Period=FQ","BEST_FPERIOD_OVERRIDE=FQ","FILING_STATUS=OR","EQY_CONSOLIDATED=Y","Sort=A","Dates=H","DateFormat=P","Fill=—","Direction=H","UseDPDF=Y")</f>
        <v>#NAME?</v>
      </c>
      <c r="AZ432" s="1" t="e">
        <f ca="1">_xll.BDH($C$428,"SHORT_TERM_DEBT_5_YEAR_GROWTH","FQ4 2014","FQ4 2014","Currency=INR","Period=FQ","BEST_FPERIOD_OVERRIDE=FQ","FILING_STATUS=OR","EQY_CONSOLIDATED=Y","Sort=A","Dates=H","DateFormat=P","Fill=—","Direction=H","UseDPDF=Y")</f>
        <v>#NAME?</v>
      </c>
      <c r="BA432" s="1" t="e">
        <f ca="1">_xll.BDH($C$428,"TOTAL_DEBT_5_YEAR_GROWTH","FQ4 2014","FQ4 2014","Currency=INR","Period=FQ","BEST_FPERIOD_OVERRIDE=FQ","FILING_STATUS=OR","EQY_CONSOLIDATED=Y","Sort=A","Dates=H","DateFormat=P","Fill=—","Direction=H","UseDPDF=Y")</f>
        <v>#NAME?</v>
      </c>
      <c r="BB432" s="1" t="e">
        <f ca="1">_xll.BDH($C$428,"GEO_GROW_TOT_SHRHLDR_EQY","FQ4 2014","FQ4 2014","Currency=INR","Period=FQ","BEST_FPERIOD_OVERRIDE=FQ","FILING_STATUS=OR","EQY_CONSOLIDATED=Y","Sort=A","Dates=H","DateFormat=P","Fill=—","Direction=H","UseDPDF=Y")</f>
        <v>#NAME?</v>
      </c>
      <c r="BC432" s="1" t="e">
        <f ca="1">_xll.BDH($C$428,"TOTAL_CAPITAL_5_YEAR_GROWTH","FQ4 2014","FQ4 2014","Currency=INR","Period=FQ","BEST_FPERIOD_OVERRIDE=FQ","FILING_STATUS=OR","EQY_CONSOLIDATED=Y","Sort=A","Dates=H","DateFormat=P","Fill=—","Direction=H","UseDPDF=Y")</f>
        <v>#NAME?</v>
      </c>
      <c r="BD432" s="1" t="e">
        <f ca="1">_xll.BDH($C$428,"GEO_GROW_BOOK_VAL","FQ4 2014","FQ4 2014","Currency=INR","Period=FQ","BEST_FPERIOD_OVERRIDE=FQ","FILING_STATUS=OR","EQY_CONSOLIDATED=Y","Sort=A","Dates=H","DateFormat=P","Fill=—","Direction=H","UseDPDF=Y")</f>
        <v>#NAME?</v>
      </c>
      <c r="BE432" s="1" t="e">
        <f ca="1">_xll.BDH($C$428,"GEO_GROW_CASH_OPER_ACT","FQ4 2014","FQ4 2014","Currency=INR","Period=FQ","BEST_FPERIOD_OVERRIDE=FQ","FILING_STATUS=OR","EQY_CONSOLIDATED=Y","Sort=A","Dates=H","DateFormat=P","Fill=—","Direction=H","UseDPDF=Y")</f>
        <v>#NAME?</v>
      </c>
      <c r="BF432" s="1" t="e">
        <f ca="1">_xll.BDH($C$428,"REVENUE_SEQUENTIAL_GROWTH","FQ4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32" s="1" t="e">
        <f ca="1">_xll.BDH($C$428,"EBITDA_SEQUENTIAL_GROWTH","FQ4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32" s="1" t="e">
        <f ca="1">_xll.BDH($C$428,"OPERATING_INCOME_SEQ_GROWTH","FQ4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32" s="1" t="e">
        <f ca="1">_xll.BDH($C$428,"NET_INCOME_TO_COMMON_SEQ_GROWTH","FQ4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32" s="1" t="e">
        <f ca="1">_xll.BDH($C$428,"EPS_DILUTED_SEQUENTIAL_GROWTH","FQ4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32" s="1" t="e">
        <f ca="1">_xll.BDH($C$428,"DPS_SEQUENTIAL_GROWTH","FQ4 2014","FQ4 2014","Currency=INR","Period=FQ","BEST_FPERIOD_OVERRIDE=FQ","FILING_STATUS=OR","EQY_CONSOLIDATED=Y","Sort=A","Dates=H","DateFormat=P","Fill=—","Direction=H","UseDPDF=Y")</f>
        <v>#NAME?</v>
      </c>
      <c r="BL432" s="1" t="e">
        <f ca="1">_xll.BDH($C$428,"ACCOUNTS_RECEIVABLE_SEQ_GROWTH","FQ4 2014","FQ4 2014","Currency=INR","Period=FQ","BEST_FPERIOD_OVERRIDE=FQ","FILING_STATUS=OR","EQY_CONSOLIDATED=Y","Sort=A","Dates=H","DateFormat=P","Fill=—","Direction=H","UseDPDF=Y")</f>
        <v>#NAME?</v>
      </c>
      <c r="BM432" s="1" t="e">
        <f ca="1">_xll.BDH($C$428,"INVENTORY_SEQUENTIAL_GROWTH","FQ4 2014","FQ4 2014","Currency=INR","Period=FQ","BEST_FPERIOD_OVERRIDE=FQ","FILING_STATUS=OR","EQY_CONSOLIDATED=Y","Sort=A","Dates=H","DateFormat=P","Fill=—","Direction=H","UseDPDF=Y")</f>
        <v>#NAME?</v>
      </c>
      <c r="BN432" s="1" t="e">
        <f ca="1">_xll.BDH($C$428,"FIXED_ASSETS_SEQUENTIAL_GROWTH","FQ4 2014","FQ4 2014","Currency=INR","Period=FQ","BEST_FPERIOD_OVERRIDE=FQ","FILING_STATUS=OR","EQY_CONSOLIDATED=Y","Sort=A","Dates=H","DateFormat=P","Fill=—","Direction=H","UseDPDF=Y")</f>
        <v>#NAME?</v>
      </c>
      <c r="BO432" s="1" t="e">
        <f ca="1">_xll.BDH($C$428,"TOTAL_ASSETS_SEQUENTIAL_GROWTH","FQ4 2014","FQ4 2014","Currency=INR","Period=FQ","BEST_FPERIOD_OVERRIDE=FQ","FILING_STATUS=OR","EQY_CONSOLIDATED=Y","Sort=A","Dates=H","DateFormat=P","Fill=—","Direction=H","UseDPDF=Y")</f>
        <v>#NAME?</v>
      </c>
      <c r="BP432" s="1" t="e">
        <f ca="1">_xll.BDH($C$428,"MODIFIED_WORKING_CPTL_SEQ_GRWTH","FQ4 2014","FQ4 2014","Currency=INR","Period=FQ","BEST_FPERIOD_OVERRIDE=FQ","FILING_STATUS=OR","EQY_CONSOLIDATED=Y","Sort=A","Dates=H","DateFormat=P","Fill=—","Direction=H","UseDPDF=Y")</f>
        <v>#NAME?</v>
      </c>
      <c r="BQ432" s="1" t="e">
        <f ca="1">_xll.BDH($C$428,"WORKING_CAPITAL_SEQ_GROWTH","FQ4 2014","FQ4 2014","Currency=INR","Period=FQ","BEST_FPERIOD_OVERRIDE=FQ","FILING_STATUS=OR","EQY_CONSOLIDATED=Y","Sort=A","Dates=H","DateFormat=P","Fill=—","Direction=H","UseDPDF=Y")</f>
        <v>#NAME?</v>
      </c>
      <c r="BR432" s="1" t="e">
        <f ca="1">_xll.BDH($C$428,"ACCOUNTS_PAYABLE_SEQ_GROWTH","FQ4 2014","FQ4 2014","Currency=INR","Period=FQ","BEST_FPERIOD_OVERRIDE=FQ","FILING_STATUS=OR","EQY_CONSOLIDATED=Y","Sort=A","Dates=H","DateFormat=P","Fill=—","Direction=H","UseDPDF=Y")</f>
        <v>#NAME?</v>
      </c>
      <c r="BS432" s="1" t="e">
        <f ca="1">_xll.BDH($C$428,"ST_DEBT_SEQUENTIAL_GROWTH","FQ4 2014","FQ4 2014","Currency=INR","Period=FQ","BEST_FPERIOD_OVERRIDE=FQ","FILING_STATUS=OR","EQY_CONSOLIDATED=Y","Sort=A","Dates=H","DateFormat=P","Fill=—","Direction=H","UseDPDF=Y")</f>
        <v>#NAME?</v>
      </c>
      <c r="BT432" s="1" t="e">
        <f ca="1">_xll.BDH($C$428,"TOTAL_DEBT_SEQUENTIAL_GROWTH","FQ4 2014","FQ4 2014","Currency=INR","Period=FQ","BEST_FPERIOD_OVERRIDE=FQ","FILING_STATUS=OR","EQY_CONSOLIDATED=Y","Sort=A","Dates=H","DateFormat=P","Fill=—","Direction=H","UseDPDF=Y")</f>
        <v>#NAME?</v>
      </c>
      <c r="BU432" s="1" t="e">
        <f ca="1">_xll.BDH($C$428,"TOTAL_EQUITY_SEQUENTIAL_GROWTH","FQ4 2014","FQ4 2014","Currency=INR","Period=FQ","BEST_FPERIOD_OVERRIDE=FQ","FILING_STATUS=OR","EQY_CONSOLIDATED=Y","Sort=A","Dates=H","DateFormat=P","Fill=—","Direction=H","UseDPDF=Y")</f>
        <v>#NAME?</v>
      </c>
      <c r="BV432" s="1" t="e">
        <f ca="1">_xll.BDH($C$428,"TOTAL_CAPITAL_SEQUENTIAL_GROWTH","FQ4 2014","FQ4 2014","Currency=INR","Period=FQ","BEST_FPERIOD_OVERRIDE=FQ","FILING_STATUS=OR","EQY_CONSOLIDATED=Y","Sort=A","Dates=H","DateFormat=P","Fill=—","Direction=H","UseDPDF=Y")</f>
        <v>#NAME?</v>
      </c>
      <c r="BW432" s="1" t="e">
        <f ca="1">_xll.BDH($C$428,"BPS_SEQUENTIAL_GROWTH","FQ4 2014","FQ4 2014","Currency=INR","Period=FQ","BEST_FPERIOD_OVERRIDE=FQ","FILING_STATUS=OR","EQY_CONSOLIDATED=Y","Sort=A","Dates=H","DateFormat=P","Fill=—","Direction=H","UseDPDF=Y")</f>
        <v>#NAME?</v>
      </c>
      <c r="BX432" s="1" t="e">
        <f ca="1">_xll.BDH($C$428,"CFO_SEQUENTIAL_GROWTH","FQ4 2014","FQ4 2014","Currency=INR","Period=FQ","BEST_FPERIOD_OVERRIDE=FQ","FILING_STATUS=OR","EQY_CONSOLIDATED=Y","Sort=A","Dates=H","DateFormat=P","Fill=—","Direction=H","UseDPDF=Y")</f>
        <v>#NAME?</v>
      </c>
      <c r="BY432" s="2" t="e">
        <f ca="1">_xll.BDH($C$428,"SHORT_AND_LONG_TERM_DEBT","FQ4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32" s="2" t="e">
        <f ca="1">_xll.BDH($C$428,"BS_ST_BORROW","FQ4 2014","FQ4 2014","Currency=INR","Period=FQ","BEST_FPERIOD_OVERRIDE=FQ","FILING_STATUS=OR","EQY_CONSOLIDATED=Y","SCALING_FORMAT=MLN","Sort=A","Dates=H","DateFormat=P","Fill=—","Direction=H","UseDPDF=Y")</f>
        <v>#NAME?</v>
      </c>
      <c r="CA432" s="2" t="e">
        <f ca="1">_xll.BDH($C$428,"BS_LT_BORROW","FQ4 2014","FQ4 2014","Currency=INR","Period=FQ","BEST_FPERIOD_OVERRIDE=FQ","FILING_STATUS=OR","EQY_CONSOLIDATED=Y","SCALING_FORMAT=MLN","Sort=A","Dates=H","DateFormat=P","Fill=—","Direction=H","UseDPDF=Y")</f>
        <v>#NAME?</v>
      </c>
      <c r="CB432" s="1" t="e">
        <f ca="1">_xll.BDH($C$428,"TOT_DEBT_TO_EBITDA","FQ4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32" s="1" t="e">
        <f ca="1">_xll.BDH($C$428,"NET_DEBT_TO_EBITDA","FQ4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32" s="1" t="e">
        <f ca="1">_xll.BDH($C$428,"TOTAL_DEBT_TO_EBIT","FQ4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32" s="1" t="e">
        <f ca="1">_xll.BDH($C$428,"NET_DEBT_TO_EBIT","FQ4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432" s="1" t="e">
        <f ca="1">_xll.BDH($C$428,"EBITDA_TO_INTEREST_EXPN","FQ4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32" s="1" t="e">
        <f ca="1">_xll.BDH($C$428,"COM_EQY_TO_TOT_ASSET","FQ4 2014","FQ4 2014","Currency=INR","Period=FQ","BEST_FPERIOD_OVERRIDE=FQ","FILING_STATUS=OR","EQY_CONSOLIDATED=Y","Sort=A","Dates=H","DateFormat=P","Fill=—","Direction=H","UseDPDF=Y")</f>
        <v>#NAME?</v>
      </c>
      <c r="CH432" s="1" t="e">
        <f ca="1">_xll.BDH($C$428,"LT_DEBT_TO_TOT_EQY","FQ4 2014","FQ4 2014","Currency=INR","Period=FQ","BEST_FPERIOD_OVERRIDE=FQ","FILING_STATUS=OR","EQY_CONSOLIDATED=Y","Sort=A","Dates=H","DateFormat=P","Fill=—","Direction=H","UseDPDF=Y")</f>
        <v>#NAME?</v>
      </c>
      <c r="CI432" s="1" t="e">
        <f ca="1">_xll.BDH($C$428,"LT_DEBT_TO_TOT_CAP","FQ4 2014","FQ4 2014","Currency=INR","Period=FQ","BEST_FPERIOD_OVERRIDE=FQ","FILING_STATUS=OR","EQY_CONSOLIDATED=Y","Sort=A","Dates=H","DateFormat=P","Fill=—","Direction=H","UseDPDF=Y")</f>
        <v>#NAME?</v>
      </c>
      <c r="CJ432" s="1" t="e">
        <f ca="1">_xll.BDH($C$428,"LT_DEBT_TO_TOT_ASSET","FQ4 2014","FQ4 2014","Currency=INR","Period=FQ","BEST_FPERIOD_OVERRIDE=FQ","FILING_STATUS=OR","EQY_CONSOLIDATED=Y","Sort=A","Dates=H","DateFormat=P","Fill=—","Direction=H","UseDPDF=Y")</f>
        <v>#NAME?</v>
      </c>
      <c r="CK432" s="1" t="e">
        <f ca="1">_xll.BDH($C$428,"TOT_DEBT_TO_TOT_EQY","FQ4 2014","FQ4 2014","Currency=INR","Period=FQ","BEST_FPERIOD_OVERRIDE=FQ","FILING_STATUS=OR","EQY_CONSOLIDATED=Y","Sort=A","Dates=H","DateFormat=P","Fill=—","Direction=H","UseDPDF=Y")</f>
        <v>#NAME?</v>
      </c>
      <c r="CL432" s="1" t="e">
        <f ca="1">_xll.BDH($C$428,"TOT_DEBT_TO_TOT_CAP","FQ4 2014","FQ4 2014","Currency=INR","Period=FQ","BEST_FPERIOD_OVERRIDE=FQ","FILING_STATUS=OR","EQY_CONSOLIDATED=Y","Sort=A","Dates=H","DateFormat=P","Fill=—","Direction=H","UseDPDF=Y")</f>
        <v>#NAME?</v>
      </c>
      <c r="CM432" s="1" t="e">
        <f ca="1">_xll.BDH($C$428,"TOT_DEBT_TO_TOT_ASSET","FQ4 2014","FQ4 2014","Currency=INR","Period=FQ","BEST_FPERIOD_OVERRIDE=FQ","FILING_STATUS=OR","EQY_CONSOLIDATED=Y","Sort=A","Dates=H","DateFormat=P","Fill=—","Direction=H","UseDPDF=Y")</f>
        <v>#NAME?</v>
      </c>
      <c r="CN432" s="1" t="e">
        <f ca="1">_xll.BDH($C$428,"NET_DEBT_TO_SHRHLDR_EQTY","FQ4 2014","FQ4 2014","Currency=INR","Period=FQ","BEST_FPERIOD_OVERRIDE=FQ","FILING_STATUS=OR","EQY_CONSOLIDATED=Y","Sort=A","Dates=H","DateFormat=P","Fill=—","Direction=H","UseDPDF=Y")</f>
        <v>#NAME?</v>
      </c>
      <c r="CO432" s="1" t="e">
        <f ca="1">_xll.BDH($C$428,"NET_DEBT_%_CAPITAL","FQ4 2014","FQ4 2014","Currency=INR","Period=FQ","BEST_FPERIOD_OVERRIDE=FQ","FILING_STATUS=OR","EQY_CONSOLIDATED=Y","Sort=A","Dates=H","DateFormat=P","Fill=—","Direction=H","UseDPDF=Y")</f>
        <v>#NAME?</v>
      </c>
      <c r="CP432" s="2" t="e">
        <f ca="1">_xll.BDH($C$428,"EBITDA","FQ4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32" s="2" t="e">
        <f ca="1">_xll.BDH($C$428,"EBITDA_AFTER_CAPEX","FQ4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32" s="2" t="e">
        <f ca="1">_xll.BDH($C$428,"IS_OPER_INC","FQ4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32" s="1" t="e">
        <f ca="1">_xll.BDH($C$428,"CASH_RATIO","FQ4 2014","FQ4 2014","Currency=INR","Period=FQ","BEST_FPERIOD_OVERRIDE=FQ","FILING_STATUS=OR","EQY_CONSOLIDATED=Y","Sort=A","Dates=H","DateFormat=P","Fill=—","Direction=H","UseDPDF=Y")</f>
        <v>#NAME?</v>
      </c>
      <c r="CT432" s="1" t="e">
        <f ca="1">_xll.BDH($C$428,"CUR_RATIO","FQ4 2014","FQ4 2014","Currency=INR","Period=FQ","BEST_FPERIOD_OVERRIDE=FQ","FILING_STATUS=OR","EQY_CONSOLIDATED=Y","Sort=A","Dates=H","DateFormat=P","Fill=—","Direction=H","UseDPDF=Y")</f>
        <v>#NAME?</v>
      </c>
      <c r="CU432" s="1" t="e">
        <f ca="1">_xll.BDH($C$428,"QUICK_RATIO","FQ4 2014","FQ4 2014","Currency=INR","Period=FQ","BEST_FPERIOD_OVERRIDE=FQ","FILING_STATUS=OR","EQY_CONSOLIDATED=Y","Sort=A","Dates=H","DateFormat=P","Fill=—","Direction=H","UseDPDF=Y")</f>
        <v>#NAME?</v>
      </c>
      <c r="CV432" s="1" t="e">
        <f ca="1">_xll.BDH($C$428,"ALTMAN_Z_SCORE","FQ4 2014","FQ4 2014","Currency=INR","Period=FQ","BEST_FPERIOD_OVERRIDE=FQ","FILING_STATUS=OR","EQY_CONSOLIDATED=Y","Sort=A","Dates=H","DateFormat=P","Fill=—","Direction=H","UseDPDF=Y")</f>
        <v>#NAME?</v>
      </c>
      <c r="CW432" s="3" t="e">
        <f ca="1">_xll.BDH($C$428,"ACCT_RCV_TURN","FQ4 2014","FQ4 2014","Currency=INR","Period=FQ","BEST_FPERIOD_OVERRIDE=FQ","FILING_STATUS=OR","EQY_CONSOLIDATED=Y","FA_ADJUSTED=GAAP","Sort=A","Dates=H","DateFormat=P","Fill=—","Direction=H","UseDPDF=Y")</f>
        <v>#NAME?</v>
      </c>
      <c r="CX432" s="1" t="e">
        <f ca="1">_xll.BDH($C$428,"ACCT_RCV_DAYS","FQ4 2014","FQ4 2014","Currency=INR","Period=FQ","BEST_FPERIOD_OVERRIDE=FQ","FILING_STATUS=OR","EQY_CONSOLIDATED=Y","FA_ADJUSTED=GAAP","Sort=A","Dates=H","DateFormat=P","Fill=—","Direction=H","UseDPDF=Y")</f>
        <v>#NAME?</v>
      </c>
      <c r="CY432" s="3" t="e">
        <f ca="1">_xll.BDH($C$428,"INVENT_TURN","FQ4 2014","FQ4 2014","Currency=INR","Period=FQ","BEST_FPERIOD_OVERRIDE=FQ","FILING_STATUS=OR","EQY_CONSOLIDATED=Y","FA_ADJUSTED=GAAP","Sort=A","Dates=H","DateFormat=P","Fill=—","Direction=H","UseDPDF=Y")</f>
        <v>#NAME?</v>
      </c>
      <c r="CZ432" s="1" t="e">
        <f ca="1">_xll.BDH($C$428,"INVENT_DAYS","FQ4 2014","FQ4 2014","Currency=INR","Period=FQ","BEST_FPERIOD_OVERRIDE=FQ","FILING_STATUS=OR","EQY_CONSOLIDATED=Y","FA_ADJUSTED=GAAP","Sort=A","Dates=H","DateFormat=P","Fill=—","Direction=H","UseDPDF=Y")</f>
        <v>#NAME?</v>
      </c>
      <c r="DA432" s="3" t="e">
        <f ca="1">_xll.BDH($C$428,"ACCOUNTS_PAYABLE_TURNOVER","FQ4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32" s="1" t="e">
        <f ca="1">_xll.BDH($C$428,"ACCOUNTS_PAYABLE_TURNOVER_DAYS","FQ4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32" s="3" t="e">
        <f ca="1">_xll.BDH($C$428,"CASH_CONVERSION_CYCLE","FQ4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32" s="3" t="e">
        <f ca="1">_xll.BDH($C$428,"INV_TO_CASH_DAYS","FQ4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432" s="4" t="e">
        <f ca="1">_xll.BDH($C$428,"BS_INVENTORIES","FQ4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432" s="2" t="e">
        <f ca="1">_xll.BDH($C$428,"INVTRY_RAW_MATERIALS","FQ4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32" s="2" t="e">
        <f ca="1">_xll.BDH($C$428,"INVTRY_IN_PROGRESS","FQ4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32" s="2" t="e">
        <f ca="1">_xll.BDH($C$428,"INVTRY_FINISHED_GOODS","FQ4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32" s="2" t="e">
        <f ca="1">_xll.BDH($C$428,"BS_OTHER_INV","FQ4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33" spans="1:113" x14ac:dyDescent="0.3">
      <c r="A433" s="6"/>
      <c r="B433" s="6"/>
      <c r="C433" s="6"/>
      <c r="D433" s="6" t="s">
        <v>8</v>
      </c>
      <c r="E433" t="s">
        <v>3</v>
      </c>
      <c r="F433" t="e">
        <f ca="1">_xll.BDH($C$428,"RETURN_COM_EQY","FY 2015","FY 2015","Currency=INR","Period=FY","BEST_FPERIOD_OVERRIDE=FY","FILING_STATUS=OR","EQY_CONSOLIDATED=Y","FA_ADJUSTED=GAAP","Sort=A","Dates=H","DateFormat=P","Fill=—","Direction=H","UseDPDF=Y")</f>
        <v>#NAME?</v>
      </c>
      <c r="G433" t="e">
        <f ca="1">_xll.BDH($C$428,"RETURN_ON_ASSET","FY 2015","FY 2015","Currency=INR","Period=FY","BEST_FPERIOD_OVERRIDE=FY","FILING_STATUS=OR","EQY_CONSOLIDATED=Y","FA_ADJUSTED=GAAP","Sort=A","Dates=H","DateFormat=P","Fill=—","Direction=H","UseDPDF=Y")</f>
        <v>#NAME?</v>
      </c>
      <c r="H433" t="e">
        <f ca="1">_xll.BDH($C$428,"RETURN_ON_CAP","FY 2015","FY 2015","Currency=INR","Period=FY","BEST_FPERIOD_OVERRIDE=FY","FILING_STATUS=OR","EQY_CONSOLIDATED=Y","FA_ADJUSTED=GAAP","Sort=A","Dates=H","DateFormat=P","Fill=—","Direction=H","UseDPDF=Y")</f>
        <v>#NAME?</v>
      </c>
      <c r="I433" t="e">
        <f ca="1">_xll.BDH($C$428,"RETURN_ON_INV_CAPITAL","FY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33" t="e">
        <f ca="1">_xll.BDH($C$428,"EBITDA_TO_REVENUE","FY 2015","FY 2015","Currency=INR","Period=FY","BEST_FPERIOD_OVERRIDE=FY","FILING_STATUS=OR","EQY_CONSOLIDATED=Y","FA_ADJUSTED=GAAP","Sort=A","Dates=H","DateFormat=P","Fill=—","Direction=H","UseDPDF=Y")</f>
        <v>#NAME?</v>
      </c>
      <c r="K433" t="e">
        <f ca="1">_xll.BDH($C$428,"OPER_MARGIN","FY 2015","FY 2015","Currency=INR","Period=FY","BEST_FPERIOD_OVERRIDE=FY","FILING_STATUS=OR","EQY_CONSOLIDATED=Y","FA_ADJUSTED=GAAP","Sort=A","Dates=H","DateFormat=P","Fill=—","Direction=H","UseDPDF=Y")</f>
        <v>#NAME?</v>
      </c>
      <c r="L433" t="e">
        <f ca="1">_xll.BDH($C$428,"INCREMENTAL_OPERATING_MARGIN","FY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33" t="e">
        <f ca="1">_xll.BDH($C$428,"PRETAX_INC_TO_NET_SALES","FY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33" t="e">
        <f ca="1">_xll.BDH($C$428,"INC_BEF_XO_ITEMS_TO_NET_SALES","FY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33" t="e">
        <f ca="1">_xll.BDH($C$428,"PROF_MARGIN","FY 2015","FY 2015","Currency=INR","Period=FY","BEST_FPERIOD_OVERRIDE=FY","FILING_STATUS=OR","EQY_CONSOLIDATED=Y","FA_ADJUSTED=GAAP","Sort=A","Dates=H","DateFormat=P","Fill=—","Direction=H","UseDPDF=Y")</f>
        <v>#NAME?</v>
      </c>
      <c r="P433" t="e">
        <f ca="1">_xll.BDH($C$428,"NET_INCOME_TO_COMMON_MARGIN","FY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33" t="e">
        <f ca="1">_xll.BDH($C$428,"EFF_TAX_RATE","FY 2015","FY 2015","Currency=INR","Period=FY","BEST_FPERIOD_OVERRIDE=FY","FILING_STATUS=OR","EQY_CONSOLIDATED=Y","FA_ADJUSTED=GAAP","Sort=A","Dates=H","DateFormat=P","Fill=—","Direction=H","UseDPDF=Y")</f>
        <v>#NAME?</v>
      </c>
      <c r="R433" t="e">
        <f ca="1">_xll.BDH($C$428,"DVD_PAYOUT_RATIO","FY 2015","FY 2015","Currency=INR","Period=FY","BEST_FPERIOD_OVERRIDE=FY","FILING_STATUS=OR","EQY_CONSOLIDATED=Y","FA_ADJUSTED=GAAP","Sort=A","Dates=H","DateFormat=P","Fill=—","Direction=H","UseDPDF=Y")</f>
        <v>#NAME?</v>
      </c>
      <c r="S433" t="e">
        <f ca="1">_xll.BDH($C$428,"SUSTAIN_GROWTH_RT","FY 2015","FY 2015","Currency=INR","Period=FY","BEST_FPERIOD_OVERRIDE=FY","FILING_STATUS=OR","EQY_CONSOLIDATED=Y","FA_ADJUSTED=GAAP","Sort=A","Dates=H","DateFormat=P","Fill=—","Direction=H","UseDPDF=Y")</f>
        <v>#NAME?</v>
      </c>
      <c r="T433" s="1" t="e">
        <f ca="1">_xll.BDH($C$428,"SALES_GROWTH","FY 2015","FY 2015","Currency=INR","Period=FY","BEST_FPERIOD_OVERRIDE=FY","FILING_STATUS=OR","EQY_CONSOLIDATED=Y","FA_ADJUSTED=GAAP","Sort=A","Dates=H","DateFormat=P","Fill=—","Direction=H","UseDPDF=Y")</f>
        <v>#NAME?</v>
      </c>
      <c r="U433" s="1" t="e">
        <f ca="1">_xll.BDH($C$428,"EBITDA_GROWTH","FY 2015","FY 2015","Currency=INR","Period=FY","BEST_FPERIOD_OVERRIDE=FY","FILING_STATUS=OR","EQY_CONSOLIDATED=Y","FA_ADJUSTED=GAAP","Sort=A","Dates=H","DateFormat=P","Fill=—","Direction=H","UseDPDF=Y")</f>
        <v>#NAME?</v>
      </c>
      <c r="V433" s="1" t="e">
        <f ca="1">_xll.BDH($C$428,"OPER_INC_GROWTH","FY 2015","FY 2015","Currency=INR","Period=FY","BEST_FPERIOD_OVERRIDE=FY","FILING_STATUS=OR","EQY_CONSOLIDATED=Y","FA_ADJUSTED=GAAP","Sort=A","Dates=H","DateFormat=P","Fill=—","Direction=H","UseDPDF=Y")</f>
        <v>#NAME?</v>
      </c>
      <c r="W433" s="1" t="e">
        <f ca="1">_xll.BDH($C$428,"EARN_FOR_COM_GROWTH","FY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433" s="1" t="e">
        <f ca="1">_xll.BDH($C$428,"DILUTED_EPS_AFT_XO_ITEMS_GROWTH","FY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33" s="1" t="e">
        <f ca="1">_xll.BDH($C$428,"DIVIDEND_PER_SHARE_1_YEAR_GROWTH","FY 2015","FY 2015","Currency=INR","Period=FY","BEST_FPERIOD_OVERRIDE=FY","FILING_STATUS=OR","EQY_CONSOLIDATED=Y","Sort=A","Dates=H","DateFormat=P","Fill=—","Direction=H","UseDPDF=Y")</f>
        <v>#NAME?</v>
      </c>
      <c r="Z433" s="1" t="e">
        <f ca="1">_xll.BDH($C$428,"ACCOUNTS_RECEIVABLE_GROWTH","FY 2015","FY 2015","Currency=INR","Period=FY","BEST_FPERIOD_OVERRIDE=FY","FILING_STATUS=OR","EQY_CONSOLIDATED=Y","Sort=A","Dates=H","DateFormat=P","Fill=—","Direction=H","UseDPDF=Y")</f>
        <v>#NAME?</v>
      </c>
      <c r="AA433" s="1" t="e">
        <f ca="1">_xll.BDH($C$428,"INVENTORY_GROWTH","FY 2015","FY 2015","Currency=INR","Period=FY","BEST_FPERIOD_OVERRIDE=FY","FILING_STATUS=OR","EQY_CONSOLIDATED=Y","Sort=A","Dates=H","DateFormat=P","Fill=—","Direction=H","UseDPDF=Y")</f>
        <v>#NAME?</v>
      </c>
      <c r="AB433" s="1" t="e">
        <f ca="1">_xll.BDH($C$428,"NET_FIXED_ASSETS_1_YEAR_GROWTH","FY 2015","FY 2015","Currency=INR","Period=FY","BEST_FPERIOD_OVERRIDE=FY","FILING_STATUS=OR","EQY_CONSOLIDATED=Y","Sort=A","Dates=H","DateFormat=P","Fill=—","Direction=H","UseDPDF=Y")</f>
        <v>#NAME?</v>
      </c>
      <c r="AC433" s="1" t="e">
        <f ca="1">_xll.BDH($C$428,"ASSET_GROWTH","FY 2015","FY 2015","Currency=INR","Period=FY","BEST_FPERIOD_OVERRIDE=FY","FILING_STATUS=OR","EQY_CONSOLIDATED=Y","Sort=A","Dates=H","DateFormat=P","Fill=—","Direction=H","UseDPDF=Y")</f>
        <v>#NAME?</v>
      </c>
      <c r="AD433" s="1" t="e">
        <f ca="1">_xll.BDH($C$428,"MODIFIED_WORK_CAP_GROWTH","FY 2015","FY 2015","Currency=INR","Period=FY","BEST_FPERIOD_OVERRIDE=FY","FILING_STATUS=OR","EQY_CONSOLIDATED=Y","Sort=A","Dates=H","DateFormat=P","Fill=—","Direction=H","UseDPDF=Y")</f>
        <v>#NAME?</v>
      </c>
      <c r="AE433" s="1" t="e">
        <f ca="1">_xll.BDH($C$428,"WORK_CAP_GROWTH","FY 2015","FY 2015","Currency=INR","Period=FY","BEST_FPERIOD_OVERRIDE=FY","FILING_STATUS=OR","EQY_CONSOLIDATED=Y","Sort=A","Dates=H","DateFormat=P","Fill=—","Direction=H","UseDPDF=Y")</f>
        <v>#NAME?</v>
      </c>
      <c r="AF433" s="1" t="e">
        <f ca="1">_xll.BDH($C$428,"ACCOUNTS_PAYABLE_GROWTH_1YR","FY 2015","FY 2015","Currency=INR","Period=FY","BEST_FPERIOD_OVERRIDE=FY","FILING_STATUS=OR","EQY_CONSOLIDATED=Y","Sort=A","Dates=H","DateFormat=P","Fill=—","Direction=H","UseDPDF=Y")</f>
        <v>#NAME?</v>
      </c>
      <c r="AG433" s="1" t="e">
        <f ca="1">_xll.BDH($C$428,"SHORT_TERM_DEBT_1_YEAR_GROWTH","FY 2015","FY 2015","Currency=INR","Period=FY","BEST_FPERIOD_OVERRIDE=FY","FILING_STATUS=OR","EQY_CONSOLIDATED=Y","Sort=A","Dates=H","DateFormat=P","Fill=—","Direction=H","UseDPDF=Y")</f>
        <v>#NAME?</v>
      </c>
      <c r="AH433" s="1" t="e">
        <f ca="1">_xll.BDH($C$428,"TOTAL_DEBT_1_YEAR_GROWTH","FY 2015","FY 2015","Currency=INR","Period=FY","BEST_FPERIOD_OVERRIDE=FY","FILING_STATUS=OR","EQY_CONSOLIDATED=Y","Sort=A","Dates=H","DateFormat=P","Fill=—","Direction=H","UseDPDF=Y")</f>
        <v>#NAME?</v>
      </c>
      <c r="AI433" s="1" t="e">
        <f ca="1">_xll.BDH($C$428,"TOTAL_EQUITY_1_YEAR_GROWTH","FY 2015","FY 2015","Currency=INR","Period=FY","BEST_FPERIOD_OVERRIDE=FY","FILING_STATUS=OR","EQY_CONSOLIDATED=Y","Sort=A","Dates=H","DateFormat=P","Fill=—","Direction=H","UseDPDF=Y")</f>
        <v>#NAME?</v>
      </c>
      <c r="AJ433" s="1" t="e">
        <f ca="1">_xll.BDH($C$428,"GROWTH_IN_CAP","FY 2015","FY 2015","Currency=INR","Period=FY","BEST_FPERIOD_OVERRIDE=FY","FILING_STATUS=OR","EQY_CONSOLIDATED=Y","Sort=A","Dates=H","DateFormat=P","Fill=—","Direction=H","UseDPDF=Y")</f>
        <v>#NAME?</v>
      </c>
      <c r="AK433" s="1" t="e">
        <f ca="1">_xll.BDH($C$428,"BVPS_GROWTH","FY 2015","FY 2015","Currency=INR","Period=FY","BEST_FPERIOD_OVERRIDE=FY","FILING_STATUS=OR","EQY_CONSOLIDATED=Y","Sort=A","Dates=H","DateFormat=P","Fill=—","Direction=H","UseDPDF=Y")</f>
        <v>#NAME?</v>
      </c>
      <c r="AL433" s="1" t="e">
        <f ca="1">_xll.BDH($C$428,"CASH_FLOW_GROWTH","FY 2015","FY 2015","Currency=INR","Period=FY","BEST_FPERIOD_OVERRIDE=FY","FILING_STATUS=OR","EQY_CONSOLIDATED=Y","Sort=A","Dates=H","DateFormat=P","Fill=—","Direction=H","UseDPDF=Y")</f>
        <v>#NAME?</v>
      </c>
      <c r="AM433" s="1" t="e">
        <f ca="1">_xll.BDH($C$428,"GEO_GROW_NET_SALES","FY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433" s="1" t="e">
        <f ca="1">_xll.BDH($C$428,"GEO_GROW_EBITDA","FY 2015","FY 2015","Currency=INR","Period=FY","BEST_FPERIOD_OVERRIDE=FY","FILING_STATUS=OR","EQY_CONSOLIDATED=Y","FA_ADJUSTED=GAAP","Sort=A","Dates=H","DateFormat=P","Fill=—","Direction=H","UseDPDF=Y")</f>
        <v>#NAME?</v>
      </c>
      <c r="AO433" s="1" t="e">
        <f ca="1">_xll.BDH($C$428,"GEO_GROW_OPER_INC","FY 2015","FY 2015","Currency=INR","Period=FY","BEST_FPERIOD_OVERRIDE=FY","FILING_STATUS=OR","EQY_CONSOLIDATED=Y","FA_ADJUSTED=GAAP","Sort=A","Dates=H","DateFormat=P","Fill=—","Direction=H","UseDPDF=Y")</f>
        <v>#NAME?</v>
      </c>
      <c r="AP433" s="1" t="e">
        <f ca="1">_xll.BDH($C$428,"NET_INCOME_TO_COMMON_5_YR_GROWTH","FY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33" s="1" t="e">
        <f ca="1">_xll.BDH($C$428,"5Y_GEO_GROWTH_DILUTED_EPS","FY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33" s="1" t="e">
        <f ca="1">_xll.BDH($C$428,"GEO_GROW_DVD_PER_SH","FY 2015","FY 2015","Currency=INR","Period=FY","BEST_FPERIOD_OVERRIDE=FY","FILING_STATUS=OR","EQY_CONSOLIDATED=Y","Sort=A","Dates=H","DateFormat=P","Fill=—","Direction=H","UseDPDF=Y")</f>
        <v>#NAME?</v>
      </c>
      <c r="AS433" s="1" t="e">
        <f ca="1">_xll.BDH($C$428,"ACCOUNTS_RECEIVABLE_5_YR_GROWTH","FY 2015","FY 2015","Currency=INR","Period=FY","BEST_FPERIOD_OVERRIDE=FY","FILING_STATUS=OR","EQY_CONSOLIDATED=Y","Sort=A","Dates=H","DateFormat=P","Fill=—","Direction=H","UseDPDF=Y")</f>
        <v>#NAME?</v>
      </c>
      <c r="AT433" s="1" t="e">
        <f ca="1">_xll.BDH($C$428,"INVENTORY_5_YEAR_GROWTH","FY 2015","FY 2015","Currency=INR","Period=FY","BEST_FPERIOD_OVERRIDE=FY","FILING_STATUS=OR","EQY_CONSOLIDATED=Y","Sort=A","Dates=H","DateFormat=P","Fill=—","Direction=H","UseDPDF=Y")</f>
        <v>#NAME?</v>
      </c>
      <c r="AU433" s="1" t="e">
        <f ca="1">_xll.BDH($C$428,"NET_FIXED_ASSETS_5_YEAR_GROWTH","FY 2015","FY 2015","Currency=INR","Period=FY","BEST_FPERIOD_OVERRIDE=FY","FILING_STATUS=OR","EQY_CONSOLIDATED=Y","Sort=A","Dates=H","DateFormat=P","Fill=—","Direction=H","UseDPDF=Y")</f>
        <v>#NAME?</v>
      </c>
      <c r="AV433" s="1" t="e">
        <f ca="1">_xll.BDH($C$428,"GEO_GROW_TOT_ASSET","FY 2015","FY 2015","Currency=INR","Period=FY","BEST_FPERIOD_OVERRIDE=FY","FILING_STATUS=OR","EQY_CONSOLIDATED=Y","Sort=A","Dates=H","DateFormat=P","Fill=—","Direction=H","UseDPDF=Y")</f>
        <v>#NAME?</v>
      </c>
      <c r="AW433" s="1" t="e">
        <f ca="1">_xll.BDH($C$428,"MODIFIED_WORKING_CPTL_5YR_GRWTH","FY 2015","FY 2015","Currency=INR","Period=FY","BEST_FPERIOD_OVERRIDE=FY","FILING_STATUS=OR","EQY_CONSOLIDATED=Y","Sort=A","Dates=H","DateFormat=P","Fill=—","Direction=H","UseDPDF=Y")</f>
        <v>#NAME?</v>
      </c>
      <c r="AX433" s="1" t="e">
        <f ca="1">_xll.BDH($C$428,"WORKING_CAPITAL_5_YEAR_GROWTH","FY 2015","FY 2015","Currency=INR","Period=FY","BEST_FPERIOD_OVERRIDE=FY","FILING_STATUS=OR","EQY_CONSOLIDATED=Y","Sort=A","Dates=H","DateFormat=P","Fill=—","Direction=H","UseDPDF=Y")</f>
        <v>#NAME?</v>
      </c>
      <c r="AY433" s="1" t="e">
        <f ca="1">_xll.BDH($C$428,"ACCOUNTS_PAYABLE_5_YEAR_GROWTH","FY 2015","FY 2015","Currency=INR","Period=FY","BEST_FPERIOD_OVERRIDE=FY","FILING_STATUS=OR","EQY_CONSOLIDATED=Y","Sort=A","Dates=H","DateFormat=P","Fill=—","Direction=H","UseDPDF=Y")</f>
        <v>#NAME?</v>
      </c>
      <c r="AZ433" s="1" t="e">
        <f ca="1">_xll.BDH($C$428,"SHORT_TERM_DEBT_5_YEAR_GROWTH","FY 2015","FY 2015","Currency=INR","Period=FY","BEST_FPERIOD_OVERRIDE=FY","FILING_STATUS=OR","EQY_CONSOLIDATED=Y","Sort=A","Dates=H","DateFormat=P","Fill=—","Direction=H","UseDPDF=Y")</f>
        <v>#NAME?</v>
      </c>
      <c r="BA433" s="1" t="e">
        <f ca="1">_xll.BDH($C$428,"TOTAL_DEBT_5_YEAR_GROWTH","FY 2015","FY 2015","Currency=INR","Period=FY","BEST_FPERIOD_OVERRIDE=FY","FILING_STATUS=OR","EQY_CONSOLIDATED=Y","Sort=A","Dates=H","DateFormat=P","Fill=—","Direction=H","UseDPDF=Y")</f>
        <v>#NAME?</v>
      </c>
      <c r="BB433" s="1" t="e">
        <f ca="1">_xll.BDH($C$428,"GEO_GROW_TOT_SHRHLDR_EQY","FY 2015","FY 2015","Currency=INR","Period=FY","BEST_FPERIOD_OVERRIDE=FY","FILING_STATUS=OR","EQY_CONSOLIDATED=Y","Sort=A","Dates=H","DateFormat=P","Fill=—","Direction=H","UseDPDF=Y")</f>
        <v>#NAME?</v>
      </c>
      <c r="BC433" s="1" t="e">
        <f ca="1">_xll.BDH($C$428,"TOTAL_CAPITAL_5_YEAR_GROWTH","FY 2015","FY 2015","Currency=INR","Period=FY","BEST_FPERIOD_OVERRIDE=FY","FILING_STATUS=OR","EQY_CONSOLIDATED=Y","Sort=A","Dates=H","DateFormat=P","Fill=—","Direction=H","UseDPDF=Y")</f>
        <v>#NAME?</v>
      </c>
      <c r="BD433" s="1" t="e">
        <f ca="1">_xll.BDH($C$428,"GEO_GROW_BOOK_VAL","FY 2015","FY 2015","Currency=INR","Period=FY","BEST_FPERIOD_OVERRIDE=FY","FILING_STATUS=OR","EQY_CONSOLIDATED=Y","Sort=A","Dates=H","DateFormat=P","Fill=—","Direction=H","UseDPDF=Y")</f>
        <v>#NAME?</v>
      </c>
      <c r="BE433" s="1" t="e">
        <f ca="1">_xll.BDH($C$428,"GEO_GROW_CASH_OPER_ACT","FY 2015","FY 2015","Currency=INR","Period=FY","BEST_FPERIOD_OVERRIDE=FY","FILING_STATUS=OR","EQY_CONSOLIDATED=Y","Sort=A","Dates=H","DateFormat=P","Fill=—","Direction=H","UseDPDF=Y")</f>
        <v>#NAME?</v>
      </c>
      <c r="BF433" s="1" t="e">
        <f ca="1">_xll.BDH($C$428,"REVENUE_SEQUENTIAL_GROWTH","FY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33" s="1" t="e">
        <f ca="1">_xll.BDH($C$428,"EBITDA_SEQUENTIAL_GROWTH","FY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33" s="1" t="e">
        <f ca="1">_xll.BDH($C$428,"OPERATING_INCOME_SEQ_GROWTH","FY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33" s="1" t="e">
        <f ca="1">_xll.BDH($C$428,"NET_INCOME_TO_COMMON_SEQ_GROWTH","FY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33" s="1" t="e">
        <f ca="1">_xll.BDH($C$428,"EPS_DILUTED_SEQUENTIAL_GROWTH","FY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33" s="1" t="e">
        <f ca="1">_xll.BDH($C$428,"DPS_SEQUENTIAL_GROWTH","FY 2015","FY 2015","Currency=INR","Period=FY","BEST_FPERIOD_OVERRIDE=FY","FILING_STATUS=OR","EQY_CONSOLIDATED=Y","Sort=A","Dates=H","DateFormat=P","Fill=—","Direction=H","UseDPDF=Y")</f>
        <v>#NAME?</v>
      </c>
      <c r="BL433" s="1" t="e">
        <f ca="1">_xll.BDH($C$428,"ACCOUNTS_RECEIVABLE_SEQ_GROWTH","FY 2015","FY 2015","Currency=INR","Period=FY","BEST_FPERIOD_OVERRIDE=FY","FILING_STATUS=OR","EQY_CONSOLIDATED=Y","Sort=A","Dates=H","DateFormat=P","Fill=—","Direction=H","UseDPDF=Y")</f>
        <v>#NAME?</v>
      </c>
      <c r="BM433" s="1" t="e">
        <f ca="1">_xll.BDH($C$428,"INVENTORY_SEQUENTIAL_GROWTH","FY 2015","FY 2015","Currency=INR","Period=FY","BEST_FPERIOD_OVERRIDE=FY","FILING_STATUS=OR","EQY_CONSOLIDATED=Y","Sort=A","Dates=H","DateFormat=P","Fill=—","Direction=H","UseDPDF=Y")</f>
        <v>#NAME?</v>
      </c>
      <c r="BN433" s="1" t="e">
        <f ca="1">_xll.BDH($C$428,"FIXED_ASSETS_SEQUENTIAL_GROWTH","FY 2015","FY 2015","Currency=INR","Period=FY","BEST_FPERIOD_OVERRIDE=FY","FILING_STATUS=OR","EQY_CONSOLIDATED=Y","Sort=A","Dates=H","DateFormat=P","Fill=—","Direction=H","UseDPDF=Y")</f>
        <v>#NAME?</v>
      </c>
      <c r="BO433" s="1" t="e">
        <f ca="1">_xll.BDH($C$428,"TOTAL_ASSETS_SEQUENTIAL_GROWTH","FY 2015","FY 2015","Currency=INR","Period=FY","BEST_FPERIOD_OVERRIDE=FY","FILING_STATUS=OR","EQY_CONSOLIDATED=Y","Sort=A","Dates=H","DateFormat=P","Fill=—","Direction=H","UseDPDF=Y")</f>
        <v>#NAME?</v>
      </c>
      <c r="BP433" s="1" t="e">
        <f ca="1">_xll.BDH($C$428,"MODIFIED_WORKING_CPTL_SEQ_GRWTH","FY 2015","FY 2015","Currency=INR","Period=FY","BEST_FPERIOD_OVERRIDE=FY","FILING_STATUS=OR","EQY_CONSOLIDATED=Y","Sort=A","Dates=H","DateFormat=P","Fill=—","Direction=H","UseDPDF=Y")</f>
        <v>#NAME?</v>
      </c>
      <c r="BQ433" s="1" t="e">
        <f ca="1">_xll.BDH($C$428,"WORKING_CAPITAL_SEQ_GROWTH","FY 2015","FY 2015","Currency=INR","Period=FY","BEST_FPERIOD_OVERRIDE=FY","FILING_STATUS=OR","EQY_CONSOLIDATED=Y","Sort=A","Dates=H","DateFormat=P","Fill=—","Direction=H","UseDPDF=Y")</f>
        <v>#NAME?</v>
      </c>
      <c r="BR433" s="1" t="e">
        <f ca="1">_xll.BDH($C$428,"ACCOUNTS_PAYABLE_SEQ_GROWTH","FY 2015","FY 2015","Currency=INR","Period=FY","BEST_FPERIOD_OVERRIDE=FY","FILING_STATUS=OR","EQY_CONSOLIDATED=Y","Sort=A","Dates=H","DateFormat=P","Fill=—","Direction=H","UseDPDF=Y")</f>
        <v>#NAME?</v>
      </c>
      <c r="BS433" s="1" t="e">
        <f ca="1">_xll.BDH($C$428,"ST_DEBT_SEQUENTIAL_GROWTH","FY 2015","FY 2015","Currency=INR","Period=FY","BEST_FPERIOD_OVERRIDE=FY","FILING_STATUS=OR","EQY_CONSOLIDATED=Y","Sort=A","Dates=H","DateFormat=P","Fill=—","Direction=H","UseDPDF=Y")</f>
        <v>#NAME?</v>
      </c>
      <c r="BT433" s="1" t="e">
        <f ca="1">_xll.BDH($C$428,"TOTAL_DEBT_SEQUENTIAL_GROWTH","FY 2015","FY 2015","Currency=INR","Period=FY","BEST_FPERIOD_OVERRIDE=FY","FILING_STATUS=OR","EQY_CONSOLIDATED=Y","Sort=A","Dates=H","DateFormat=P","Fill=—","Direction=H","UseDPDF=Y")</f>
        <v>#NAME?</v>
      </c>
      <c r="BU433" s="1" t="e">
        <f ca="1">_xll.BDH($C$428,"TOTAL_EQUITY_SEQUENTIAL_GROWTH","FY 2015","FY 2015","Currency=INR","Period=FY","BEST_FPERIOD_OVERRIDE=FY","FILING_STATUS=OR","EQY_CONSOLIDATED=Y","Sort=A","Dates=H","DateFormat=P","Fill=—","Direction=H","UseDPDF=Y")</f>
        <v>#NAME?</v>
      </c>
      <c r="BV433" s="1" t="e">
        <f ca="1">_xll.BDH($C$428,"TOTAL_CAPITAL_SEQUENTIAL_GROWTH","FY 2015","FY 2015","Currency=INR","Period=FY","BEST_FPERIOD_OVERRIDE=FY","FILING_STATUS=OR","EQY_CONSOLIDATED=Y","Sort=A","Dates=H","DateFormat=P","Fill=—","Direction=H","UseDPDF=Y")</f>
        <v>#NAME?</v>
      </c>
      <c r="BW433" s="1" t="e">
        <f ca="1">_xll.BDH($C$428,"BPS_SEQUENTIAL_GROWTH","FY 2015","FY 2015","Currency=INR","Period=FY","BEST_FPERIOD_OVERRIDE=FY","FILING_STATUS=OR","EQY_CONSOLIDATED=Y","Sort=A","Dates=H","DateFormat=P","Fill=—","Direction=H","UseDPDF=Y")</f>
        <v>#NAME?</v>
      </c>
      <c r="BX433" s="1" t="e">
        <f ca="1">_xll.BDH($C$428,"CFO_SEQUENTIAL_GROWTH","FY 2015","FY 2015","Currency=INR","Period=FY","BEST_FPERIOD_OVERRIDE=FY","FILING_STATUS=OR","EQY_CONSOLIDATED=Y","Sort=A","Dates=H","DateFormat=P","Fill=—","Direction=H","UseDPDF=Y")</f>
        <v>#NAME?</v>
      </c>
      <c r="BY433" s="2" t="e">
        <f ca="1">_xll.BDH($C$428,"SHORT_AND_LONG_TERM_DEBT","FY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33" s="2" t="e">
        <f ca="1">_xll.BDH($C$428,"BS_ST_BORROW","FY 2015","FY 2015","Currency=INR","Period=FY","BEST_FPERIOD_OVERRIDE=FY","FILING_STATUS=OR","EQY_CONSOLIDATED=Y","SCALING_FORMAT=MLN","Sort=A","Dates=H","DateFormat=P","Fill=—","Direction=H","UseDPDF=Y")</f>
        <v>#NAME?</v>
      </c>
      <c r="CA433" s="2" t="e">
        <f ca="1">_xll.BDH($C$428,"BS_LT_BORROW","FY 2015","FY 2015","Currency=INR","Period=FY","BEST_FPERIOD_OVERRIDE=FY","FILING_STATUS=OR","EQY_CONSOLIDATED=Y","SCALING_FORMAT=MLN","Sort=A","Dates=H","DateFormat=P","Fill=—","Direction=H","UseDPDF=Y")</f>
        <v>#NAME?</v>
      </c>
      <c r="CB433" s="1" t="e">
        <f ca="1">_xll.BDH($C$428,"TOT_DEBT_TO_EBITDA","FY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433" s="1" t="e">
        <f ca="1">_xll.BDH($C$428,"NET_DEBT_TO_EBITDA","FY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433" s="1" t="e">
        <f ca="1">_xll.BDH($C$428,"TOTAL_DEBT_TO_EBIT","FY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433" s="1" t="e">
        <f ca="1">_xll.BDH($C$428,"NET_DEBT_TO_EBIT","FY 2015","FY 2015","Currency=INR","Period=FY","BEST_FPERIOD_OVERRIDE=FY","FILING_STATUS=OR","EQY_CONSOLIDATED=Y","FA_ADJUSTED=GAAP","Sort=A","Dates=H","DateFormat=P","Fill=—","Direction=H","UseDPDF=Y")</f>
        <v>#NAME?</v>
      </c>
      <c r="CF433" s="1" t="e">
        <f ca="1">_xll.BDH($C$428,"EBITDA_TO_INTEREST_EXPN","FY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33" s="1" t="e">
        <f ca="1">_xll.BDH($C$428,"COM_EQY_TO_TOT_ASSET","FY 2015","FY 2015","Currency=INR","Period=FY","BEST_FPERIOD_OVERRIDE=FY","FILING_STATUS=OR","EQY_CONSOLIDATED=Y","Sort=A","Dates=H","DateFormat=P","Fill=—","Direction=H","UseDPDF=Y")</f>
        <v>#NAME?</v>
      </c>
      <c r="CH433" s="1" t="e">
        <f ca="1">_xll.BDH($C$428,"LT_DEBT_TO_TOT_EQY","FY 2015","FY 2015","Currency=INR","Period=FY","BEST_FPERIOD_OVERRIDE=FY","FILING_STATUS=OR","EQY_CONSOLIDATED=Y","Sort=A","Dates=H","DateFormat=P","Fill=—","Direction=H","UseDPDF=Y")</f>
        <v>#NAME?</v>
      </c>
      <c r="CI433" s="1" t="e">
        <f ca="1">_xll.BDH($C$428,"LT_DEBT_TO_TOT_CAP","FY 2015","FY 2015","Currency=INR","Period=FY","BEST_FPERIOD_OVERRIDE=FY","FILING_STATUS=OR","EQY_CONSOLIDATED=Y","Sort=A","Dates=H","DateFormat=P","Fill=—","Direction=H","UseDPDF=Y")</f>
        <v>#NAME?</v>
      </c>
      <c r="CJ433" s="1" t="e">
        <f ca="1">_xll.BDH($C$428,"LT_DEBT_TO_TOT_ASSET","FY 2015","FY 2015","Currency=INR","Period=FY","BEST_FPERIOD_OVERRIDE=FY","FILING_STATUS=OR","EQY_CONSOLIDATED=Y","Sort=A","Dates=H","DateFormat=P","Fill=—","Direction=H","UseDPDF=Y")</f>
        <v>#NAME?</v>
      </c>
      <c r="CK433" s="1" t="e">
        <f ca="1">_xll.BDH($C$428,"TOT_DEBT_TO_TOT_EQY","FY 2015","FY 2015","Currency=INR","Period=FY","BEST_FPERIOD_OVERRIDE=FY","FILING_STATUS=OR","EQY_CONSOLIDATED=Y","Sort=A","Dates=H","DateFormat=P","Fill=—","Direction=H","UseDPDF=Y")</f>
        <v>#NAME?</v>
      </c>
      <c r="CL433" s="1" t="e">
        <f ca="1">_xll.BDH($C$428,"TOT_DEBT_TO_TOT_CAP","FY 2015","FY 2015","Currency=INR","Period=FY","BEST_FPERIOD_OVERRIDE=FY","FILING_STATUS=OR","EQY_CONSOLIDATED=Y","Sort=A","Dates=H","DateFormat=P","Fill=—","Direction=H","UseDPDF=Y")</f>
        <v>#NAME?</v>
      </c>
      <c r="CM433" s="1" t="e">
        <f ca="1">_xll.BDH($C$428,"TOT_DEBT_TO_TOT_ASSET","FY 2015","FY 2015","Currency=INR","Period=FY","BEST_FPERIOD_OVERRIDE=FY","FILING_STATUS=OR","EQY_CONSOLIDATED=Y","Sort=A","Dates=H","DateFormat=P","Fill=—","Direction=H","UseDPDF=Y")</f>
        <v>#NAME?</v>
      </c>
      <c r="CN433" s="1" t="e">
        <f ca="1">_xll.BDH($C$428,"NET_DEBT_TO_SHRHLDR_EQTY","FY 2015","FY 2015","Currency=INR","Period=FY","BEST_FPERIOD_OVERRIDE=FY","FILING_STATUS=OR","EQY_CONSOLIDATED=Y","Sort=A","Dates=H","DateFormat=P","Fill=—","Direction=H","UseDPDF=Y")</f>
        <v>#NAME?</v>
      </c>
      <c r="CO433" s="1" t="e">
        <f ca="1">_xll.BDH($C$428,"NET_DEBT_%_CAPITAL","FY 2015","FY 2015","Currency=INR","Period=FY","BEST_FPERIOD_OVERRIDE=FY","FILING_STATUS=OR","EQY_CONSOLIDATED=Y","Sort=A","Dates=H","DateFormat=P","Fill=—","Direction=H","UseDPDF=Y")</f>
        <v>#NAME?</v>
      </c>
      <c r="CP433" s="2" t="e">
        <f ca="1">_xll.BDH($C$428,"EBITDA","FY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33" s="2" t="e">
        <f ca="1">_xll.BDH($C$428,"EBITDA_AFTER_CAPEX","FY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33" s="2" t="e">
        <f ca="1">_xll.BDH($C$428,"IS_OPER_INC","FY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33" s="1" t="e">
        <f ca="1">_xll.BDH($C$428,"CASH_RATIO","FY 2015","FY 2015","Currency=INR","Period=FY","BEST_FPERIOD_OVERRIDE=FY","FILING_STATUS=OR","EQY_CONSOLIDATED=Y","Sort=A","Dates=H","DateFormat=P","Fill=—","Direction=H","UseDPDF=Y")</f>
        <v>#NAME?</v>
      </c>
      <c r="CT433" s="1" t="e">
        <f ca="1">_xll.BDH($C$428,"CUR_RATIO","FY 2015","FY 2015","Currency=INR","Period=FY","BEST_FPERIOD_OVERRIDE=FY","FILING_STATUS=OR","EQY_CONSOLIDATED=Y","Sort=A","Dates=H","DateFormat=P","Fill=—","Direction=H","UseDPDF=Y")</f>
        <v>#NAME?</v>
      </c>
      <c r="CU433" s="1" t="e">
        <f ca="1">_xll.BDH($C$428,"QUICK_RATIO","FY 2015","FY 2015","Currency=INR","Period=FY","BEST_FPERIOD_OVERRIDE=FY","FILING_STATUS=OR","EQY_CONSOLIDATED=Y","Sort=A","Dates=H","DateFormat=P","Fill=—","Direction=H","UseDPDF=Y")</f>
        <v>#NAME?</v>
      </c>
      <c r="CV433" s="1" t="e">
        <f ca="1">_xll.BDH($C$428,"ALTMAN_Z_SCORE","FY 2015","FY 2015","Currency=INR","Period=FY","BEST_FPERIOD_OVERRIDE=FY","FILING_STATUS=OR","EQY_CONSOLIDATED=Y","Sort=A","Dates=H","DateFormat=P","Fill=—","Direction=H","UseDPDF=Y")</f>
        <v>#NAME?</v>
      </c>
      <c r="CW433" s="3" t="e">
        <f ca="1">_xll.BDH($C$428,"ACCT_RCV_TURN","FY 2015","FY 2015","Currency=INR","Period=FY","BEST_FPERIOD_OVERRIDE=FY","FILING_STATUS=OR","EQY_CONSOLIDATED=Y","FA_ADJUSTED=GAAP","Sort=A","Dates=H","DateFormat=P","Fill=—","Direction=H","UseDPDF=Y")</f>
        <v>#NAME?</v>
      </c>
      <c r="CX433" s="1" t="e">
        <f ca="1">_xll.BDH($C$428,"ACCT_RCV_DAYS","FY 2015","FY 2015","Currency=INR","Period=FY","BEST_FPERIOD_OVERRIDE=FY","FILING_STATUS=OR","EQY_CONSOLIDATED=Y","FA_ADJUSTED=GAAP","Sort=A","Dates=H","DateFormat=P","Fill=—","Direction=H","UseDPDF=Y")</f>
        <v>#NAME?</v>
      </c>
      <c r="CY433" s="3" t="e">
        <f ca="1">_xll.BDH($C$428,"INVENT_TURN","FY 2015","FY 2015","Currency=INR","Period=FY","BEST_FPERIOD_OVERRIDE=FY","FILING_STATUS=OR","EQY_CONSOLIDATED=Y","FA_ADJUSTED=GAAP","Sort=A","Dates=H","DateFormat=P","Fill=—","Direction=H","UseDPDF=Y")</f>
        <v>#NAME?</v>
      </c>
      <c r="CZ433" s="1" t="e">
        <f ca="1">_xll.BDH($C$428,"INVENT_DAYS","FY 2015","FY 2015","Currency=INR","Period=FY","BEST_FPERIOD_OVERRIDE=FY","FILING_STATUS=OR","EQY_CONSOLIDATED=Y","FA_ADJUSTED=GAAP","Sort=A","Dates=H","DateFormat=P","Fill=—","Direction=H","UseDPDF=Y")</f>
        <v>#NAME?</v>
      </c>
      <c r="DA433" s="3" t="e">
        <f ca="1">_xll.BDH($C$428,"ACCOUNTS_PAYABLE_TURNOVER","FY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33" s="1" t="e">
        <f ca="1">_xll.BDH($C$428,"ACCOUNTS_PAYABLE_TURNOVER_DAYS","FY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33" s="3" t="e">
        <f ca="1">_xll.BDH($C$428,"CASH_CONVERSION_CYCLE","FY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33" s="3" t="e">
        <f ca="1">_xll.BDH($C$428,"INV_TO_CASH_DAYS","FY 2015","FY 2015","Currency=INR","Period=FY","BEST_FPERIOD_OVERRIDE=FY","FILING_STATUS=OR","EQY_CONSOLIDATED=Y","FA_ADJUSTED=GAAP","Sort=A","Dates=H","DateFormat=P","Fill=—","Direction=H","UseDPDF=Y")</f>
        <v>#NAME?</v>
      </c>
      <c r="DE433" s="4" t="e">
        <f ca="1">_xll.BDH($C$428,"BS_INVENTORIES","FY 2015","FY 2015","Currency=INR","Period=FY","BEST_FPERIOD_OVERRIDE=FY","FILING_STATUS=OR","EQY_CONSOLIDATED=Y","SCALING_FORMAT=MLN","Sort=A","Dates=H","DateFormat=P","Fill=—","Direction=H","UseDPDF=Y")</f>
        <v>#NAME?</v>
      </c>
      <c r="DF433" s="2" t="e">
        <f ca="1">_xll.BDH($C$428,"INVTRY_RAW_MATERIALS","FY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33" s="2" t="e">
        <f ca="1">_xll.BDH($C$428,"INVTRY_IN_PROGRESS","FY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33" s="2" t="e">
        <f ca="1">_xll.BDH($C$428,"INVTRY_FINISHED_GOODS","FY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33" s="2" t="e">
        <f ca="1">_xll.BDH($C$428,"BS_OTHER_INV","FY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34" spans="1:113" x14ac:dyDescent="0.3">
      <c r="A434" s="6"/>
      <c r="B434" s="6"/>
      <c r="C434" s="6"/>
      <c r="D434" s="6"/>
      <c r="E434" t="s">
        <v>4</v>
      </c>
      <c r="F434" t="e">
        <f ca="1">_xll.BDH($C$428,"RETURN_COM_EQY","FQ1 2015","FQ1 2015","Currency=INR","Period=FQ","BEST_FPERIOD_OVERRIDE=FQ","FILING_STATUS=OR","EQY_CONSOLIDATED=Y","FA_ADJUSTED=GAAP","Sort=A","Dates=H","DateFormat=P","Fill=—","Direction=H","UseDPDF=Y")</f>
        <v>#NAME?</v>
      </c>
      <c r="G434" t="e">
        <f ca="1">_xll.BDH($C$428,"RETURN_ON_ASSET","FQ1 2015","FQ1 2015","Currency=INR","Period=FQ","BEST_FPERIOD_OVERRIDE=FQ","FILING_STATUS=OR","EQY_CONSOLIDATED=Y","FA_ADJUSTED=GAAP","Sort=A","Dates=H","DateFormat=P","Fill=—","Direction=H","UseDPDF=Y")</f>
        <v>#NAME?</v>
      </c>
      <c r="H434" t="e">
        <f ca="1">_xll.BDH($C$428,"RETURN_ON_CAP","FQ1 2015","FQ1 2015","Currency=INR","Period=FQ","BEST_FPERIOD_OVERRIDE=FQ","FILING_STATUS=OR","EQY_CONSOLIDATED=Y","FA_ADJUSTED=GAAP","Sort=A","Dates=H","DateFormat=P","Fill=—","Direction=H","UseDPDF=Y")</f>
        <v>#NAME?</v>
      </c>
      <c r="I434" t="e">
        <f ca="1">_xll.BDH($C$428,"RETURN_ON_INV_CAPITAL","FQ1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34" t="e">
        <f ca="1">_xll.BDH($C$428,"EBITDA_TO_REVENUE","FQ1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434" t="e">
        <f ca="1">_xll.BDH($C$428,"OPER_MARGIN","FQ1 2015","FQ1 2015","Currency=INR","Period=FQ","BEST_FPERIOD_OVERRIDE=FQ","FILING_STATUS=OR","EQY_CONSOLIDATED=Y","FA_ADJUSTED=GAAP","Sort=A","Dates=H","DateFormat=P","Fill=—","Direction=H","UseDPDF=Y")</f>
        <v>#NAME?</v>
      </c>
      <c r="L434" t="e">
        <f ca="1">_xll.BDH($C$428,"INCREMENTAL_OPERATING_MARGIN","FQ1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34" t="e">
        <f ca="1">_xll.BDH($C$428,"PRETAX_INC_TO_NET_SALES","FQ1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34" t="e">
        <f ca="1">_xll.BDH($C$428,"INC_BEF_XO_ITEMS_TO_NET_SALES","FQ1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34" t="e">
        <f ca="1">_xll.BDH($C$428,"PROF_MARGIN","FQ1 2015","FQ1 2015","Currency=INR","Period=FQ","BEST_FPERIOD_OVERRIDE=FQ","FILING_STATUS=OR","EQY_CONSOLIDATED=Y","FA_ADJUSTED=GAAP","Sort=A","Dates=H","DateFormat=P","Fill=—","Direction=H","UseDPDF=Y")</f>
        <v>#NAME?</v>
      </c>
      <c r="P434" t="e">
        <f ca="1">_xll.BDH($C$428,"NET_INCOME_TO_COMMON_MARGIN","FQ1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34" t="e">
        <f ca="1">_xll.BDH($C$428,"EFF_TAX_RATE","FQ1 2015","FQ1 2015","Currency=INR","Period=FQ","BEST_FPERIOD_OVERRIDE=FQ","FILING_STATUS=OR","EQY_CONSOLIDATED=Y","FA_ADJUSTED=GAAP","Sort=A","Dates=H","DateFormat=P","Fill=—","Direction=H","UseDPDF=Y")</f>
        <v>#NAME?</v>
      </c>
      <c r="R434" t="e">
        <f ca="1">_xll.BDH($C$428,"DVD_PAYOUT_RATIO","FQ1 2015","FQ1 2015","Currency=INR","Period=FQ","BEST_FPERIOD_OVERRIDE=FQ","FILING_STATUS=OR","EQY_CONSOLIDATED=Y","FA_ADJUSTED=GAAP","Sort=A","Dates=H","DateFormat=P","Fill=—","Direction=H","UseDPDF=Y")</f>
        <v>#NAME?</v>
      </c>
      <c r="S434" t="e">
        <f ca="1">_xll.BDH($C$428,"SUSTAIN_GROWTH_RT","FQ1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434" s="1" t="e">
        <f ca="1">_xll.BDH($C$428,"SALES_GROWTH","FQ1 2015","FQ1 2015","Currency=INR","Period=FQ","BEST_FPERIOD_OVERRIDE=FQ","FILING_STATUS=OR","EQY_CONSOLIDATED=Y","FA_ADJUSTED=GAAP","Sort=A","Dates=H","DateFormat=P","Fill=—","Direction=H","UseDPDF=Y")</f>
        <v>#NAME?</v>
      </c>
      <c r="U434" s="1" t="e">
        <f ca="1">_xll.BDH($C$428,"EBITDA_GROWTH","FQ1 2015","FQ1 2015","Currency=INR","Period=FQ","BEST_FPERIOD_OVERRIDE=FQ","FILING_STATUS=OR","EQY_CONSOLIDATED=Y","FA_ADJUSTED=GAAP","Sort=A","Dates=H","DateFormat=P","Fill=—","Direction=H","UseDPDF=Y")</f>
        <v>#NAME?</v>
      </c>
      <c r="V434" s="1" t="e">
        <f ca="1">_xll.BDH($C$428,"OPER_INC_GROWTH","FQ1 2015","FQ1 2015","Currency=INR","Period=FQ","BEST_FPERIOD_OVERRIDE=FQ","FILING_STATUS=OR","EQY_CONSOLIDATED=Y","FA_ADJUSTED=GAAP","Sort=A","Dates=H","DateFormat=P","Fill=—","Direction=H","UseDPDF=Y")</f>
        <v>#NAME?</v>
      </c>
      <c r="W434" s="1" t="e">
        <f ca="1">_xll.BDH($C$428,"EARN_FOR_COM_GROWTH","FQ1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34" s="1" t="e">
        <f ca="1">_xll.BDH($C$428,"DILUTED_EPS_AFT_XO_ITEMS_GROWTH","FQ1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34" s="1" t="e">
        <f ca="1">_xll.BDH($C$428,"DIVIDEND_PER_SHARE_1_YEAR_GROWTH","FQ1 2015","FQ1 2015","Currency=INR","Period=FQ","BEST_FPERIOD_OVERRIDE=FQ","FILING_STATUS=OR","EQY_CONSOLIDATED=Y","Sort=A","Dates=H","DateFormat=P","Fill=—","Direction=H","UseDPDF=Y")</f>
        <v>#NAME?</v>
      </c>
      <c r="Z434" s="1" t="e">
        <f ca="1">_xll.BDH($C$428,"ACCOUNTS_RECEIVABLE_GROWTH","FQ1 2015","FQ1 2015","Currency=INR","Period=FQ","BEST_FPERIOD_OVERRIDE=FQ","FILING_STATUS=OR","EQY_CONSOLIDATED=Y","Sort=A","Dates=H","DateFormat=P","Fill=—","Direction=H","UseDPDF=Y")</f>
        <v>#NAME?</v>
      </c>
      <c r="AA434" s="1" t="e">
        <f ca="1">_xll.BDH($C$428,"INVENTORY_GROWTH","FQ1 2015","FQ1 2015","Currency=INR","Period=FQ","BEST_FPERIOD_OVERRIDE=FQ","FILING_STATUS=OR","EQY_CONSOLIDATED=Y","Sort=A","Dates=H","DateFormat=P","Fill=—","Direction=H","UseDPDF=Y")</f>
        <v>#NAME?</v>
      </c>
      <c r="AB434" s="1" t="e">
        <f ca="1">_xll.BDH($C$428,"NET_FIXED_ASSETS_1_YEAR_GROWTH","FQ1 2015","FQ1 2015","Currency=INR","Period=FQ","BEST_FPERIOD_OVERRIDE=FQ","FILING_STATUS=OR","EQY_CONSOLIDATED=Y","Sort=A","Dates=H","DateFormat=P","Fill=—","Direction=H","UseDPDF=Y")</f>
        <v>#NAME?</v>
      </c>
      <c r="AC434" s="1" t="e">
        <f ca="1">_xll.BDH($C$428,"ASSET_GROWTH","FQ1 2015","FQ1 2015","Currency=INR","Period=FQ","BEST_FPERIOD_OVERRIDE=FQ","FILING_STATUS=OR","EQY_CONSOLIDATED=Y","Sort=A","Dates=H","DateFormat=P","Fill=—","Direction=H","UseDPDF=Y")</f>
        <v>#NAME?</v>
      </c>
      <c r="AD434" s="1" t="e">
        <f ca="1">_xll.BDH($C$428,"MODIFIED_WORK_CAP_GROWTH","FQ1 2015","FQ1 2015","Currency=INR","Period=FQ","BEST_FPERIOD_OVERRIDE=FQ","FILING_STATUS=OR","EQY_CONSOLIDATED=Y","Sort=A","Dates=H","DateFormat=P","Fill=—","Direction=H","UseDPDF=Y")</f>
        <v>#NAME?</v>
      </c>
      <c r="AE434" s="1" t="e">
        <f ca="1">_xll.BDH($C$428,"WORK_CAP_GROWTH","FQ1 2015","FQ1 2015","Currency=INR","Period=FQ","BEST_FPERIOD_OVERRIDE=FQ","FILING_STATUS=OR","EQY_CONSOLIDATED=Y","Sort=A","Dates=H","DateFormat=P","Fill=—","Direction=H","UseDPDF=Y")</f>
        <v>#NAME?</v>
      </c>
      <c r="AF434" s="1" t="e">
        <f ca="1">_xll.BDH($C$428,"ACCOUNTS_PAYABLE_GROWTH_1YR","FQ1 2015","FQ1 2015","Currency=INR","Period=FQ","BEST_FPERIOD_OVERRIDE=FQ","FILING_STATUS=OR","EQY_CONSOLIDATED=Y","Sort=A","Dates=H","DateFormat=P","Fill=—","Direction=H","UseDPDF=Y")</f>
        <v>#NAME?</v>
      </c>
      <c r="AG434" s="1" t="e">
        <f ca="1">_xll.BDH($C$428,"SHORT_TERM_DEBT_1_YEAR_GROWTH","FQ1 2015","FQ1 2015","Currency=INR","Period=FQ","BEST_FPERIOD_OVERRIDE=FQ","FILING_STATUS=OR","EQY_CONSOLIDATED=Y","Sort=A","Dates=H","DateFormat=P","Fill=—","Direction=H","UseDPDF=Y")</f>
        <v>#NAME?</v>
      </c>
      <c r="AH434" s="1" t="e">
        <f ca="1">_xll.BDH($C$428,"TOTAL_DEBT_1_YEAR_GROWTH","FQ1 2015","FQ1 2015","Currency=INR","Period=FQ","BEST_FPERIOD_OVERRIDE=FQ","FILING_STATUS=OR","EQY_CONSOLIDATED=Y","Sort=A","Dates=H","DateFormat=P","Fill=—","Direction=H","UseDPDF=Y")</f>
        <v>#NAME?</v>
      </c>
      <c r="AI434" s="1" t="e">
        <f ca="1">_xll.BDH($C$428,"TOTAL_EQUITY_1_YEAR_GROWTH","FQ1 2015","FQ1 2015","Currency=INR","Period=FQ","BEST_FPERIOD_OVERRIDE=FQ","FILING_STATUS=OR","EQY_CONSOLIDATED=Y","Sort=A","Dates=H","DateFormat=P","Fill=—","Direction=H","UseDPDF=Y")</f>
        <v>#NAME?</v>
      </c>
      <c r="AJ434" s="1" t="e">
        <f ca="1">_xll.BDH($C$428,"GROWTH_IN_CAP","FQ1 2015","FQ1 2015","Currency=INR","Period=FQ","BEST_FPERIOD_OVERRIDE=FQ","FILING_STATUS=OR","EQY_CONSOLIDATED=Y","Sort=A","Dates=H","DateFormat=P","Fill=—","Direction=H","UseDPDF=Y")</f>
        <v>#NAME?</v>
      </c>
      <c r="AK434" s="1" t="e">
        <f ca="1">_xll.BDH($C$428,"BVPS_GROWTH","FQ1 2015","FQ1 2015","Currency=INR","Period=FQ","BEST_FPERIOD_OVERRIDE=FQ","FILING_STATUS=OR","EQY_CONSOLIDATED=Y","Sort=A","Dates=H","DateFormat=P","Fill=—","Direction=H","UseDPDF=Y")</f>
        <v>#NAME?</v>
      </c>
      <c r="AL434" s="1" t="e">
        <f ca="1">_xll.BDH($C$428,"CASH_FLOW_GROWTH","FQ1 2015","FQ1 2015","Currency=INR","Period=FQ","BEST_FPERIOD_OVERRIDE=FQ","FILING_STATUS=OR","EQY_CONSOLIDATED=Y","Sort=A","Dates=H","DateFormat=P","Fill=—","Direction=H","UseDPDF=Y")</f>
        <v>#NAME?</v>
      </c>
      <c r="AM434" s="1" t="e">
        <f ca="1">_xll.BDH($C$428,"GEO_GROW_NET_SALES","FQ1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34" s="1" t="e">
        <f ca="1">_xll.BDH($C$428,"GEO_GROW_EBITDA","FQ1 2015","FQ1 2015","Currency=INR","Period=FQ","BEST_FPERIOD_OVERRIDE=FQ","FILING_STATUS=OR","EQY_CONSOLIDATED=Y","FA_ADJUSTED=GAAP","Sort=A","Dates=H","DateFormat=P","Fill=—","Direction=H","UseDPDF=Y")</f>
        <v>#NAME?</v>
      </c>
      <c r="AO434" s="1" t="e">
        <f ca="1">_xll.BDH($C$428,"GEO_GROW_OPER_INC","FQ1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34" s="1" t="e">
        <f ca="1">_xll.BDH($C$428,"NET_INCOME_TO_COMMON_5_YR_GROWTH","FQ1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34" s="1" t="e">
        <f ca="1">_xll.BDH($C$428,"5Y_GEO_GROWTH_DILUTED_EPS","FQ1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34" s="1" t="e">
        <f ca="1">_xll.BDH($C$428,"GEO_GROW_DVD_PER_SH","FQ1 2015","FQ1 2015","Currency=INR","Period=FQ","BEST_FPERIOD_OVERRIDE=FQ","FILING_STATUS=OR","EQY_CONSOLIDATED=Y","Sort=A","Dates=H","DateFormat=P","Fill=—","Direction=H","UseDPDF=Y")</f>
        <v>#NAME?</v>
      </c>
      <c r="AS434" s="1" t="e">
        <f ca="1">_xll.BDH($C$428,"ACCOUNTS_RECEIVABLE_5_YR_GROWTH","FQ1 2015","FQ1 2015","Currency=INR","Period=FQ","BEST_FPERIOD_OVERRIDE=FQ","FILING_STATUS=OR","EQY_CONSOLIDATED=Y","Sort=A","Dates=H","DateFormat=P","Fill=—","Direction=H","UseDPDF=Y")</f>
        <v>#NAME?</v>
      </c>
      <c r="AT434" s="1" t="e">
        <f ca="1">_xll.BDH($C$428,"INVENTORY_5_YEAR_GROWTH","FQ1 2015","FQ1 2015","Currency=INR","Period=FQ","BEST_FPERIOD_OVERRIDE=FQ","FILING_STATUS=OR","EQY_CONSOLIDATED=Y","Sort=A","Dates=H","DateFormat=P","Fill=—","Direction=H","UseDPDF=Y")</f>
        <v>#NAME?</v>
      </c>
      <c r="AU434" s="1" t="e">
        <f ca="1">_xll.BDH($C$428,"NET_FIXED_ASSETS_5_YEAR_GROWTH","FQ1 2015","FQ1 2015","Currency=INR","Period=FQ","BEST_FPERIOD_OVERRIDE=FQ","FILING_STATUS=OR","EQY_CONSOLIDATED=Y","Sort=A","Dates=H","DateFormat=P","Fill=—","Direction=H","UseDPDF=Y")</f>
        <v>#NAME?</v>
      </c>
      <c r="AV434" s="1" t="e">
        <f ca="1">_xll.BDH($C$428,"GEO_GROW_TOT_ASSET","FQ1 2015","FQ1 2015","Currency=INR","Period=FQ","BEST_FPERIOD_OVERRIDE=FQ","FILING_STATUS=OR","EQY_CONSOLIDATED=Y","Sort=A","Dates=H","DateFormat=P","Fill=—","Direction=H","UseDPDF=Y")</f>
        <v>#NAME?</v>
      </c>
      <c r="AW434" s="1" t="e">
        <f ca="1">_xll.BDH($C$428,"MODIFIED_WORKING_CPTL_5YR_GRWTH","FQ1 2015","FQ1 2015","Currency=INR","Period=FQ","BEST_FPERIOD_OVERRIDE=FQ","FILING_STATUS=OR","EQY_CONSOLIDATED=Y","Sort=A","Dates=H","DateFormat=P","Fill=—","Direction=H","UseDPDF=Y")</f>
        <v>#NAME?</v>
      </c>
      <c r="AX434" s="1" t="e">
        <f ca="1">_xll.BDH($C$428,"WORKING_CAPITAL_5_YEAR_GROWTH","FQ1 2015","FQ1 2015","Currency=INR","Period=FQ","BEST_FPERIOD_OVERRIDE=FQ","FILING_STATUS=OR","EQY_CONSOLIDATED=Y","Sort=A","Dates=H","DateFormat=P","Fill=—","Direction=H","UseDPDF=Y")</f>
        <v>#NAME?</v>
      </c>
      <c r="AY434" s="1" t="e">
        <f ca="1">_xll.BDH($C$428,"ACCOUNTS_PAYABLE_5_YEAR_GROWTH","FQ1 2015","FQ1 2015","Currency=INR","Period=FQ","BEST_FPERIOD_OVERRIDE=FQ","FILING_STATUS=OR","EQY_CONSOLIDATED=Y","Sort=A","Dates=H","DateFormat=P","Fill=—","Direction=H","UseDPDF=Y")</f>
        <v>#NAME?</v>
      </c>
      <c r="AZ434" s="1" t="e">
        <f ca="1">_xll.BDH($C$428,"SHORT_TERM_DEBT_5_YEAR_GROWTH","FQ1 2015","FQ1 2015","Currency=INR","Period=FQ","BEST_FPERIOD_OVERRIDE=FQ","FILING_STATUS=OR","EQY_CONSOLIDATED=Y","Sort=A","Dates=H","DateFormat=P","Fill=—","Direction=H","UseDPDF=Y")</f>
        <v>#NAME?</v>
      </c>
      <c r="BA434" s="1" t="e">
        <f ca="1">_xll.BDH($C$428,"TOTAL_DEBT_5_YEAR_GROWTH","FQ1 2015","FQ1 2015","Currency=INR","Period=FQ","BEST_FPERIOD_OVERRIDE=FQ","FILING_STATUS=OR","EQY_CONSOLIDATED=Y","Sort=A","Dates=H","DateFormat=P","Fill=—","Direction=H","UseDPDF=Y")</f>
        <v>#NAME?</v>
      </c>
      <c r="BB434" s="1" t="e">
        <f ca="1">_xll.BDH($C$428,"GEO_GROW_TOT_SHRHLDR_EQY","FQ1 2015","FQ1 2015","Currency=INR","Period=FQ","BEST_FPERIOD_OVERRIDE=FQ","FILING_STATUS=OR","EQY_CONSOLIDATED=Y","Sort=A","Dates=H","DateFormat=P","Fill=—","Direction=H","UseDPDF=Y")</f>
        <v>#NAME?</v>
      </c>
      <c r="BC434" s="1" t="e">
        <f ca="1">_xll.BDH($C$428,"TOTAL_CAPITAL_5_YEAR_GROWTH","FQ1 2015","FQ1 2015","Currency=INR","Period=FQ","BEST_FPERIOD_OVERRIDE=FQ","FILING_STATUS=OR","EQY_CONSOLIDATED=Y","Sort=A","Dates=H","DateFormat=P","Fill=—","Direction=H","UseDPDF=Y")</f>
        <v>#NAME?</v>
      </c>
      <c r="BD434" s="1" t="e">
        <f ca="1">_xll.BDH($C$428,"GEO_GROW_BOOK_VAL","FQ1 2015","FQ1 2015","Currency=INR","Period=FQ","BEST_FPERIOD_OVERRIDE=FQ","FILING_STATUS=OR","EQY_CONSOLIDATED=Y","Sort=A","Dates=H","DateFormat=P","Fill=—","Direction=H","UseDPDF=Y")</f>
        <v>#NAME?</v>
      </c>
      <c r="BE434" s="1" t="e">
        <f ca="1">_xll.BDH($C$428,"GEO_GROW_CASH_OPER_ACT","FQ1 2015","FQ1 2015","Currency=INR","Period=FQ","BEST_FPERIOD_OVERRIDE=FQ","FILING_STATUS=OR","EQY_CONSOLIDATED=Y","Sort=A","Dates=H","DateFormat=P","Fill=—","Direction=H","UseDPDF=Y")</f>
        <v>#NAME?</v>
      </c>
      <c r="BF434" s="1" t="e">
        <f ca="1">_xll.BDH($C$428,"REVENUE_SEQUENTIAL_GROWTH","FQ1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34" s="1" t="e">
        <f ca="1">_xll.BDH($C$428,"EBITDA_SEQUENTIAL_GROWTH","FQ1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34" s="1" t="e">
        <f ca="1">_xll.BDH($C$428,"OPERATING_INCOME_SEQ_GROWTH","FQ1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34" s="1" t="e">
        <f ca="1">_xll.BDH($C$428,"NET_INCOME_TO_COMMON_SEQ_GROWTH","FQ1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34" s="1" t="e">
        <f ca="1">_xll.BDH($C$428,"EPS_DILUTED_SEQUENTIAL_GROWTH","FQ1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34" s="1" t="e">
        <f ca="1">_xll.BDH($C$428,"DPS_SEQUENTIAL_GROWTH","FQ1 2015","FQ1 2015","Currency=INR","Period=FQ","BEST_FPERIOD_OVERRIDE=FQ","FILING_STATUS=OR","EQY_CONSOLIDATED=Y","Sort=A","Dates=H","DateFormat=P","Fill=—","Direction=H","UseDPDF=Y")</f>
        <v>#NAME?</v>
      </c>
      <c r="BL434" s="1" t="e">
        <f ca="1">_xll.BDH($C$428,"ACCOUNTS_RECEIVABLE_SEQ_GROWTH","FQ1 2015","FQ1 2015","Currency=INR","Period=FQ","BEST_FPERIOD_OVERRIDE=FQ","FILING_STATUS=OR","EQY_CONSOLIDATED=Y","Sort=A","Dates=H","DateFormat=P","Fill=—","Direction=H","UseDPDF=Y")</f>
        <v>#NAME?</v>
      </c>
      <c r="BM434" s="1" t="e">
        <f ca="1">_xll.BDH($C$428,"INVENTORY_SEQUENTIAL_GROWTH","FQ1 2015","FQ1 2015","Currency=INR","Period=FQ","BEST_FPERIOD_OVERRIDE=FQ","FILING_STATUS=OR","EQY_CONSOLIDATED=Y","Sort=A","Dates=H","DateFormat=P","Fill=—","Direction=H","UseDPDF=Y")</f>
        <v>#NAME?</v>
      </c>
      <c r="BN434" s="1" t="e">
        <f ca="1">_xll.BDH($C$428,"FIXED_ASSETS_SEQUENTIAL_GROWTH","FQ1 2015","FQ1 2015","Currency=INR","Period=FQ","BEST_FPERIOD_OVERRIDE=FQ","FILING_STATUS=OR","EQY_CONSOLIDATED=Y","Sort=A","Dates=H","DateFormat=P","Fill=—","Direction=H","UseDPDF=Y")</f>
        <v>#NAME?</v>
      </c>
      <c r="BO434" s="1" t="e">
        <f ca="1">_xll.BDH($C$428,"TOTAL_ASSETS_SEQUENTIAL_GROWTH","FQ1 2015","FQ1 2015","Currency=INR","Period=FQ","BEST_FPERIOD_OVERRIDE=FQ","FILING_STATUS=OR","EQY_CONSOLIDATED=Y","Sort=A","Dates=H","DateFormat=P","Fill=—","Direction=H","UseDPDF=Y")</f>
        <v>#NAME?</v>
      </c>
      <c r="BP434" s="1" t="e">
        <f ca="1">_xll.BDH($C$428,"MODIFIED_WORKING_CPTL_SEQ_GRWTH","FQ1 2015","FQ1 2015","Currency=INR","Period=FQ","BEST_FPERIOD_OVERRIDE=FQ","FILING_STATUS=OR","EQY_CONSOLIDATED=Y","Sort=A","Dates=H","DateFormat=P","Fill=—","Direction=H","UseDPDF=Y")</f>
        <v>#NAME?</v>
      </c>
      <c r="BQ434" s="1" t="e">
        <f ca="1">_xll.BDH($C$428,"WORKING_CAPITAL_SEQ_GROWTH","FQ1 2015","FQ1 2015","Currency=INR","Period=FQ","BEST_FPERIOD_OVERRIDE=FQ","FILING_STATUS=OR","EQY_CONSOLIDATED=Y","Sort=A","Dates=H","DateFormat=P","Fill=—","Direction=H","UseDPDF=Y")</f>
        <v>#NAME?</v>
      </c>
      <c r="BR434" s="1" t="e">
        <f ca="1">_xll.BDH($C$428,"ACCOUNTS_PAYABLE_SEQ_GROWTH","FQ1 2015","FQ1 2015","Currency=INR","Period=FQ","BEST_FPERIOD_OVERRIDE=FQ","FILING_STATUS=OR","EQY_CONSOLIDATED=Y","Sort=A","Dates=H","DateFormat=P","Fill=—","Direction=H","UseDPDF=Y")</f>
        <v>#NAME?</v>
      </c>
      <c r="BS434" s="1" t="e">
        <f ca="1">_xll.BDH($C$428,"ST_DEBT_SEQUENTIAL_GROWTH","FQ1 2015","FQ1 2015","Currency=INR","Period=FQ","BEST_FPERIOD_OVERRIDE=FQ","FILING_STATUS=OR","EQY_CONSOLIDATED=Y","Sort=A","Dates=H","DateFormat=P","Fill=—","Direction=H","UseDPDF=Y")</f>
        <v>#NAME?</v>
      </c>
      <c r="BT434" s="1" t="e">
        <f ca="1">_xll.BDH($C$428,"TOTAL_DEBT_SEQUENTIAL_GROWTH","FQ1 2015","FQ1 2015","Currency=INR","Period=FQ","BEST_FPERIOD_OVERRIDE=FQ","FILING_STATUS=OR","EQY_CONSOLIDATED=Y","Sort=A","Dates=H","DateFormat=P","Fill=—","Direction=H","UseDPDF=Y")</f>
        <v>#NAME?</v>
      </c>
      <c r="BU434" s="1" t="e">
        <f ca="1">_xll.BDH($C$428,"TOTAL_EQUITY_SEQUENTIAL_GROWTH","FQ1 2015","FQ1 2015","Currency=INR","Period=FQ","BEST_FPERIOD_OVERRIDE=FQ","FILING_STATUS=OR","EQY_CONSOLIDATED=Y","Sort=A","Dates=H","DateFormat=P","Fill=—","Direction=H","UseDPDF=Y")</f>
        <v>#NAME?</v>
      </c>
      <c r="BV434" s="1" t="e">
        <f ca="1">_xll.BDH($C$428,"TOTAL_CAPITAL_SEQUENTIAL_GROWTH","FQ1 2015","FQ1 2015","Currency=INR","Period=FQ","BEST_FPERIOD_OVERRIDE=FQ","FILING_STATUS=OR","EQY_CONSOLIDATED=Y","Sort=A","Dates=H","DateFormat=P","Fill=—","Direction=H","UseDPDF=Y")</f>
        <v>#NAME?</v>
      </c>
      <c r="BW434" s="1" t="e">
        <f ca="1">_xll.BDH($C$428,"BPS_SEQUENTIAL_GROWTH","FQ1 2015","FQ1 2015","Currency=INR","Period=FQ","BEST_FPERIOD_OVERRIDE=FQ","FILING_STATUS=OR","EQY_CONSOLIDATED=Y","Sort=A","Dates=H","DateFormat=P","Fill=—","Direction=H","UseDPDF=Y")</f>
        <v>#NAME?</v>
      </c>
      <c r="BX434" s="1" t="e">
        <f ca="1">_xll.BDH($C$428,"CFO_SEQUENTIAL_GROWTH","FQ1 2015","FQ1 2015","Currency=INR","Period=FQ","BEST_FPERIOD_OVERRIDE=FQ","FILING_STATUS=OR","EQY_CONSOLIDATED=Y","Sort=A","Dates=H","DateFormat=P","Fill=—","Direction=H","UseDPDF=Y")</f>
        <v>#NAME?</v>
      </c>
      <c r="BY434" s="2" t="e">
        <f ca="1">_xll.BDH($C$428,"SHORT_AND_LONG_TERM_DEBT","FQ1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34" s="2" t="e">
        <f ca="1">_xll.BDH($C$428,"BS_ST_BORROW","FQ1 2015","FQ1 2015","Currency=INR","Period=FQ","BEST_FPERIOD_OVERRIDE=FQ","FILING_STATUS=OR","EQY_CONSOLIDATED=Y","SCALING_FORMAT=MLN","Sort=A","Dates=H","DateFormat=P","Fill=—","Direction=H","UseDPDF=Y")</f>
        <v>#NAME?</v>
      </c>
      <c r="CA434" s="2" t="e">
        <f ca="1">_xll.BDH($C$428,"BS_LT_BORROW","FQ1 2015","FQ1 2015","Currency=INR","Period=FQ","BEST_FPERIOD_OVERRIDE=FQ","FILING_STATUS=OR","EQY_CONSOLIDATED=Y","SCALING_FORMAT=MLN","Sort=A","Dates=H","DateFormat=P","Fill=—","Direction=H","UseDPDF=Y")</f>
        <v>#NAME?</v>
      </c>
      <c r="CB434" s="1" t="e">
        <f ca="1">_xll.BDH($C$428,"TOT_DEBT_TO_EBITDA","FQ1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34" s="1" t="e">
        <f ca="1">_xll.BDH($C$428,"NET_DEBT_TO_EBITDA","FQ1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34" s="1" t="e">
        <f ca="1">_xll.BDH($C$428,"TOTAL_DEBT_TO_EBIT","FQ1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34" s="1" t="e">
        <f ca="1">_xll.BDH($C$428,"NET_DEBT_TO_EBIT","FQ1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434" s="1" t="e">
        <f ca="1">_xll.BDH($C$428,"EBITDA_TO_INTEREST_EXPN","FQ1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34" s="1" t="e">
        <f ca="1">_xll.BDH($C$428,"COM_EQY_TO_TOT_ASSET","FQ1 2015","FQ1 2015","Currency=INR","Period=FQ","BEST_FPERIOD_OVERRIDE=FQ","FILING_STATUS=OR","EQY_CONSOLIDATED=Y","Sort=A","Dates=H","DateFormat=P","Fill=—","Direction=H","UseDPDF=Y")</f>
        <v>#NAME?</v>
      </c>
      <c r="CH434" s="1" t="e">
        <f ca="1">_xll.BDH($C$428,"LT_DEBT_TO_TOT_EQY","FQ1 2015","FQ1 2015","Currency=INR","Period=FQ","BEST_FPERIOD_OVERRIDE=FQ","FILING_STATUS=OR","EQY_CONSOLIDATED=Y","Sort=A","Dates=H","DateFormat=P","Fill=—","Direction=H","UseDPDF=Y")</f>
        <v>#NAME?</v>
      </c>
      <c r="CI434" s="1" t="e">
        <f ca="1">_xll.BDH($C$428,"LT_DEBT_TO_TOT_CAP","FQ1 2015","FQ1 2015","Currency=INR","Period=FQ","BEST_FPERIOD_OVERRIDE=FQ","FILING_STATUS=OR","EQY_CONSOLIDATED=Y","Sort=A","Dates=H","DateFormat=P","Fill=—","Direction=H","UseDPDF=Y")</f>
        <v>#NAME?</v>
      </c>
      <c r="CJ434" s="1" t="e">
        <f ca="1">_xll.BDH($C$428,"LT_DEBT_TO_TOT_ASSET","FQ1 2015","FQ1 2015","Currency=INR","Period=FQ","BEST_FPERIOD_OVERRIDE=FQ","FILING_STATUS=OR","EQY_CONSOLIDATED=Y","Sort=A","Dates=H","DateFormat=P","Fill=—","Direction=H","UseDPDF=Y")</f>
        <v>#NAME?</v>
      </c>
      <c r="CK434" s="1" t="e">
        <f ca="1">_xll.BDH($C$428,"TOT_DEBT_TO_TOT_EQY","FQ1 2015","FQ1 2015","Currency=INR","Period=FQ","BEST_FPERIOD_OVERRIDE=FQ","FILING_STATUS=OR","EQY_CONSOLIDATED=Y","Sort=A","Dates=H","DateFormat=P","Fill=—","Direction=H","UseDPDF=Y")</f>
        <v>#NAME?</v>
      </c>
      <c r="CL434" s="1" t="e">
        <f ca="1">_xll.BDH($C$428,"TOT_DEBT_TO_TOT_CAP","FQ1 2015","FQ1 2015","Currency=INR","Period=FQ","BEST_FPERIOD_OVERRIDE=FQ","FILING_STATUS=OR","EQY_CONSOLIDATED=Y","Sort=A","Dates=H","DateFormat=P","Fill=—","Direction=H","UseDPDF=Y")</f>
        <v>#NAME?</v>
      </c>
      <c r="CM434" s="1" t="e">
        <f ca="1">_xll.BDH($C$428,"TOT_DEBT_TO_TOT_ASSET","FQ1 2015","FQ1 2015","Currency=INR","Period=FQ","BEST_FPERIOD_OVERRIDE=FQ","FILING_STATUS=OR","EQY_CONSOLIDATED=Y","Sort=A","Dates=H","DateFormat=P","Fill=—","Direction=H","UseDPDF=Y")</f>
        <v>#NAME?</v>
      </c>
      <c r="CN434" s="1" t="e">
        <f ca="1">_xll.BDH($C$428,"NET_DEBT_TO_SHRHLDR_EQTY","FQ1 2015","FQ1 2015","Currency=INR","Period=FQ","BEST_FPERIOD_OVERRIDE=FQ","FILING_STATUS=OR","EQY_CONSOLIDATED=Y","Sort=A","Dates=H","DateFormat=P","Fill=—","Direction=H","UseDPDF=Y")</f>
        <v>#NAME?</v>
      </c>
      <c r="CO434" s="1" t="e">
        <f ca="1">_xll.BDH($C$428,"NET_DEBT_%_CAPITAL","FQ1 2015","FQ1 2015","Currency=INR","Period=FQ","BEST_FPERIOD_OVERRIDE=FQ","FILING_STATUS=OR","EQY_CONSOLIDATED=Y","Sort=A","Dates=H","DateFormat=P","Fill=—","Direction=H","UseDPDF=Y")</f>
        <v>#NAME?</v>
      </c>
      <c r="CP434" s="2" t="e">
        <f ca="1">_xll.BDH($C$428,"EBITDA","FQ1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34" s="2" t="e">
        <f ca="1">_xll.BDH($C$428,"EBITDA_AFTER_CAPEX","FQ1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34" s="2" t="e">
        <f ca="1">_xll.BDH($C$428,"IS_OPER_INC","FQ1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34" s="1" t="e">
        <f ca="1">_xll.BDH($C$428,"CASH_RATIO","FQ1 2015","FQ1 2015","Currency=INR","Period=FQ","BEST_FPERIOD_OVERRIDE=FQ","FILING_STATUS=OR","EQY_CONSOLIDATED=Y","Sort=A","Dates=H","DateFormat=P","Fill=—","Direction=H","UseDPDF=Y")</f>
        <v>#NAME?</v>
      </c>
      <c r="CT434" s="1" t="e">
        <f ca="1">_xll.BDH($C$428,"CUR_RATIO","FQ1 2015","FQ1 2015","Currency=INR","Period=FQ","BEST_FPERIOD_OVERRIDE=FQ","FILING_STATUS=OR","EQY_CONSOLIDATED=Y","Sort=A","Dates=H","DateFormat=P","Fill=—","Direction=H","UseDPDF=Y")</f>
        <v>#NAME?</v>
      </c>
      <c r="CU434" s="1" t="e">
        <f ca="1">_xll.BDH($C$428,"QUICK_RATIO","FQ1 2015","FQ1 2015","Currency=INR","Period=FQ","BEST_FPERIOD_OVERRIDE=FQ","FILING_STATUS=OR","EQY_CONSOLIDATED=Y","Sort=A","Dates=H","DateFormat=P","Fill=—","Direction=H","UseDPDF=Y")</f>
        <v>#NAME?</v>
      </c>
      <c r="CV434" s="1" t="e">
        <f ca="1">_xll.BDH($C$428,"ALTMAN_Z_SCORE","FQ1 2015","FQ1 2015","Currency=INR","Period=FQ","BEST_FPERIOD_OVERRIDE=FQ","FILING_STATUS=OR","EQY_CONSOLIDATED=Y","Sort=A","Dates=H","DateFormat=P","Fill=—","Direction=H","UseDPDF=Y")</f>
        <v>#NAME?</v>
      </c>
      <c r="CW434" s="3" t="e">
        <f ca="1">_xll.BDH($C$428,"ACCT_RCV_TURN","FQ1 2015","FQ1 2015","Currency=INR","Period=FQ","BEST_FPERIOD_OVERRIDE=FQ","FILING_STATUS=OR","EQY_CONSOLIDATED=Y","FA_ADJUSTED=GAAP","Sort=A","Dates=H","DateFormat=P","Fill=—","Direction=H","UseDPDF=Y")</f>
        <v>#NAME?</v>
      </c>
      <c r="CX434" s="1" t="e">
        <f ca="1">_xll.BDH($C$428,"ACCT_RCV_DAYS","FQ1 2015","FQ1 2015","Currency=INR","Period=FQ","BEST_FPERIOD_OVERRIDE=FQ","FILING_STATUS=OR","EQY_CONSOLIDATED=Y","FA_ADJUSTED=GAAP","Sort=A","Dates=H","DateFormat=P","Fill=—","Direction=H","UseDPDF=Y")</f>
        <v>#NAME?</v>
      </c>
      <c r="CY434" s="3" t="e">
        <f ca="1">_xll.BDH($C$428,"INVENT_TURN","FQ1 2015","FQ1 2015","Currency=INR","Period=FQ","BEST_FPERIOD_OVERRIDE=FQ","FILING_STATUS=OR","EQY_CONSOLIDATED=Y","FA_ADJUSTED=GAAP","Sort=A","Dates=H","DateFormat=P","Fill=—","Direction=H","UseDPDF=Y")</f>
        <v>#NAME?</v>
      </c>
      <c r="CZ434" s="1" t="e">
        <f ca="1">_xll.BDH($C$428,"INVENT_DAYS","FQ1 2015","FQ1 2015","Currency=INR","Period=FQ","BEST_FPERIOD_OVERRIDE=FQ","FILING_STATUS=OR","EQY_CONSOLIDATED=Y","FA_ADJUSTED=GAAP","Sort=A","Dates=H","DateFormat=P","Fill=—","Direction=H","UseDPDF=Y")</f>
        <v>#NAME?</v>
      </c>
      <c r="DA434" s="3" t="e">
        <f ca="1">_xll.BDH($C$428,"ACCOUNTS_PAYABLE_TURNOVER","FQ1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34" s="1" t="e">
        <f ca="1">_xll.BDH($C$428,"ACCOUNTS_PAYABLE_TURNOVER_DAYS","FQ1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34" s="3" t="e">
        <f ca="1">_xll.BDH($C$428,"CASH_CONVERSION_CYCLE","FQ1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34" s="3" t="e">
        <f ca="1">_xll.BDH($C$428,"INV_TO_CASH_DAYS","FQ1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434" s="4" t="e">
        <f ca="1">_xll.BDH($C$428,"BS_INVENTORIES","FQ1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434" s="2" t="e">
        <f ca="1">_xll.BDH($C$428,"INVTRY_RAW_MATERIALS","FQ1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34" s="2" t="e">
        <f ca="1">_xll.BDH($C$428,"INVTRY_IN_PROGRESS","FQ1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34" s="2" t="e">
        <f ca="1">_xll.BDH($C$428,"INVTRY_FINISHED_GOODS","FQ1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34" s="2" t="e">
        <f ca="1">_xll.BDH($C$428,"BS_OTHER_INV","FQ1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35" spans="1:113" x14ac:dyDescent="0.3">
      <c r="A435" s="6"/>
      <c r="B435" s="6"/>
      <c r="C435" s="6"/>
      <c r="D435" s="6"/>
      <c r="E435" t="s">
        <v>5</v>
      </c>
      <c r="F435" t="e">
        <f ca="1">_xll.BDH($C$428,"RETURN_COM_EQY","FQ2 2015","FQ2 2015","Currency=INR","Period=FQ","BEST_FPERIOD_OVERRIDE=FQ","FILING_STATUS=OR","EQY_CONSOLIDATED=Y","FA_ADJUSTED=GAAP","Sort=A","Dates=H","DateFormat=P","Fill=—","Direction=H","UseDPDF=Y")</f>
        <v>#NAME?</v>
      </c>
      <c r="G435" t="e">
        <f ca="1">_xll.BDH($C$428,"RETURN_ON_ASSET","FQ2 2015","FQ2 2015","Currency=INR","Period=FQ","BEST_FPERIOD_OVERRIDE=FQ","FILING_STATUS=OR","EQY_CONSOLIDATED=Y","FA_ADJUSTED=GAAP","Sort=A","Dates=H","DateFormat=P","Fill=—","Direction=H","UseDPDF=Y")</f>
        <v>#NAME?</v>
      </c>
      <c r="H435" t="e">
        <f ca="1">_xll.BDH($C$428,"RETURN_ON_CAP","FQ2 2015","FQ2 2015","Currency=INR","Period=FQ","BEST_FPERIOD_OVERRIDE=FQ","FILING_STATUS=OR","EQY_CONSOLIDATED=Y","FA_ADJUSTED=GAAP","Sort=A","Dates=H","DateFormat=P","Fill=—","Direction=H","UseDPDF=Y")</f>
        <v>#NAME?</v>
      </c>
      <c r="I435" t="e">
        <f ca="1">_xll.BDH($C$428,"RETURN_ON_INV_CAPITAL","FQ2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35" t="e">
        <f ca="1">_xll.BDH($C$428,"EBITDA_TO_REVENUE","FQ2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435" t="e">
        <f ca="1">_xll.BDH($C$428,"OPER_MARGIN","FQ2 2015","FQ2 2015","Currency=INR","Period=FQ","BEST_FPERIOD_OVERRIDE=FQ","FILING_STATUS=OR","EQY_CONSOLIDATED=Y","FA_ADJUSTED=GAAP","Sort=A","Dates=H","DateFormat=P","Fill=—","Direction=H","UseDPDF=Y")</f>
        <v>#NAME?</v>
      </c>
      <c r="L435" t="e">
        <f ca="1">_xll.BDH($C$428,"INCREMENTAL_OPERATING_MARGIN","FQ2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35" t="e">
        <f ca="1">_xll.BDH($C$428,"PRETAX_INC_TO_NET_SALES","FQ2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35" t="e">
        <f ca="1">_xll.BDH($C$428,"INC_BEF_XO_ITEMS_TO_NET_SALES","FQ2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35" t="e">
        <f ca="1">_xll.BDH($C$428,"PROF_MARGIN","FQ2 2015","FQ2 2015","Currency=INR","Period=FQ","BEST_FPERIOD_OVERRIDE=FQ","FILING_STATUS=OR","EQY_CONSOLIDATED=Y","FA_ADJUSTED=GAAP","Sort=A","Dates=H","DateFormat=P","Fill=—","Direction=H","UseDPDF=Y")</f>
        <v>#NAME?</v>
      </c>
      <c r="P435" t="e">
        <f ca="1">_xll.BDH($C$428,"NET_INCOME_TO_COMMON_MARGIN","FQ2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35" t="e">
        <f ca="1">_xll.BDH($C$428,"EFF_TAX_RATE","FQ2 2015","FQ2 2015","Currency=INR","Period=FQ","BEST_FPERIOD_OVERRIDE=FQ","FILING_STATUS=OR","EQY_CONSOLIDATED=Y","FA_ADJUSTED=GAAP","Sort=A","Dates=H","DateFormat=P","Fill=—","Direction=H","UseDPDF=Y")</f>
        <v>#NAME?</v>
      </c>
      <c r="R435" t="e">
        <f ca="1">_xll.BDH($C$428,"DVD_PAYOUT_RATIO","FQ2 2015","FQ2 2015","Currency=INR","Period=FQ","BEST_FPERIOD_OVERRIDE=FQ","FILING_STATUS=OR","EQY_CONSOLIDATED=Y","FA_ADJUSTED=GAAP","Sort=A","Dates=H","DateFormat=P","Fill=—","Direction=H","UseDPDF=Y")</f>
        <v>#NAME?</v>
      </c>
      <c r="S435" t="e">
        <f ca="1">_xll.BDH($C$428,"SUSTAIN_GROWTH_RT","FQ2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435" s="1" t="e">
        <f ca="1">_xll.BDH($C$428,"SALES_GROWTH","FQ2 2015","FQ2 2015","Currency=INR","Period=FQ","BEST_FPERIOD_OVERRIDE=FQ","FILING_STATUS=OR","EQY_CONSOLIDATED=Y","FA_ADJUSTED=GAAP","Sort=A","Dates=H","DateFormat=P","Fill=—","Direction=H","UseDPDF=Y")</f>
        <v>#NAME?</v>
      </c>
      <c r="U435" s="1" t="e">
        <f ca="1">_xll.BDH($C$428,"EBITDA_GROWTH","FQ2 2015","FQ2 2015","Currency=INR","Period=FQ","BEST_FPERIOD_OVERRIDE=FQ","FILING_STATUS=OR","EQY_CONSOLIDATED=Y","FA_ADJUSTED=GAAP","Sort=A","Dates=H","DateFormat=P","Fill=—","Direction=H","UseDPDF=Y")</f>
        <v>#NAME?</v>
      </c>
      <c r="V435" s="1" t="e">
        <f ca="1">_xll.BDH($C$428,"OPER_INC_GROWTH","FQ2 2015","FQ2 2015","Currency=INR","Period=FQ","BEST_FPERIOD_OVERRIDE=FQ","FILING_STATUS=OR","EQY_CONSOLIDATED=Y","FA_ADJUSTED=GAAP","Sort=A","Dates=H","DateFormat=P","Fill=—","Direction=H","UseDPDF=Y")</f>
        <v>#NAME?</v>
      </c>
      <c r="W435" s="1" t="e">
        <f ca="1">_xll.BDH($C$428,"EARN_FOR_COM_GROWTH","FQ2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35" s="1" t="e">
        <f ca="1">_xll.BDH($C$428,"DILUTED_EPS_AFT_XO_ITEMS_GROWTH","FQ2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35" s="1" t="e">
        <f ca="1">_xll.BDH($C$428,"DIVIDEND_PER_SHARE_1_YEAR_GROWTH","FQ2 2015","FQ2 2015","Currency=INR","Period=FQ","BEST_FPERIOD_OVERRIDE=FQ","FILING_STATUS=OR","EQY_CONSOLIDATED=Y","Sort=A","Dates=H","DateFormat=P","Fill=—","Direction=H","UseDPDF=Y")</f>
        <v>#NAME?</v>
      </c>
      <c r="Z435" s="1" t="e">
        <f ca="1">_xll.BDH($C$428,"ACCOUNTS_RECEIVABLE_GROWTH","FQ2 2015","FQ2 2015","Currency=INR","Period=FQ","BEST_FPERIOD_OVERRIDE=FQ","FILING_STATUS=OR","EQY_CONSOLIDATED=Y","Sort=A","Dates=H","DateFormat=P","Fill=—","Direction=H","UseDPDF=Y")</f>
        <v>#NAME?</v>
      </c>
      <c r="AA435" s="1" t="e">
        <f ca="1">_xll.BDH($C$428,"INVENTORY_GROWTH","FQ2 2015","FQ2 2015","Currency=INR","Period=FQ","BEST_FPERIOD_OVERRIDE=FQ","FILING_STATUS=OR","EQY_CONSOLIDATED=Y","Sort=A","Dates=H","DateFormat=P","Fill=—","Direction=H","UseDPDF=Y")</f>
        <v>#NAME?</v>
      </c>
      <c r="AB435" s="1" t="e">
        <f ca="1">_xll.BDH($C$428,"NET_FIXED_ASSETS_1_YEAR_GROWTH","FQ2 2015","FQ2 2015","Currency=INR","Period=FQ","BEST_FPERIOD_OVERRIDE=FQ","FILING_STATUS=OR","EQY_CONSOLIDATED=Y","Sort=A","Dates=H","DateFormat=P","Fill=—","Direction=H","UseDPDF=Y")</f>
        <v>#NAME?</v>
      </c>
      <c r="AC435" s="1" t="e">
        <f ca="1">_xll.BDH($C$428,"ASSET_GROWTH","FQ2 2015","FQ2 2015","Currency=INR","Period=FQ","BEST_FPERIOD_OVERRIDE=FQ","FILING_STATUS=OR","EQY_CONSOLIDATED=Y","Sort=A","Dates=H","DateFormat=P","Fill=—","Direction=H","UseDPDF=Y")</f>
        <v>#NAME?</v>
      </c>
      <c r="AD435" s="1" t="e">
        <f ca="1">_xll.BDH($C$428,"MODIFIED_WORK_CAP_GROWTH","FQ2 2015","FQ2 2015","Currency=INR","Period=FQ","BEST_FPERIOD_OVERRIDE=FQ","FILING_STATUS=OR","EQY_CONSOLIDATED=Y","Sort=A","Dates=H","DateFormat=P","Fill=—","Direction=H","UseDPDF=Y")</f>
        <v>#NAME?</v>
      </c>
      <c r="AE435" s="1" t="e">
        <f ca="1">_xll.BDH($C$428,"WORK_CAP_GROWTH","FQ2 2015","FQ2 2015","Currency=INR","Period=FQ","BEST_FPERIOD_OVERRIDE=FQ","FILING_STATUS=OR","EQY_CONSOLIDATED=Y","Sort=A","Dates=H","DateFormat=P","Fill=—","Direction=H","UseDPDF=Y")</f>
        <v>#NAME?</v>
      </c>
      <c r="AF435" s="1" t="e">
        <f ca="1">_xll.BDH($C$428,"ACCOUNTS_PAYABLE_GROWTH_1YR","FQ2 2015","FQ2 2015","Currency=INR","Period=FQ","BEST_FPERIOD_OVERRIDE=FQ","FILING_STATUS=OR","EQY_CONSOLIDATED=Y","Sort=A","Dates=H","DateFormat=P","Fill=—","Direction=H","UseDPDF=Y")</f>
        <v>#NAME?</v>
      </c>
      <c r="AG435" s="1" t="e">
        <f ca="1">_xll.BDH($C$428,"SHORT_TERM_DEBT_1_YEAR_GROWTH","FQ2 2015","FQ2 2015","Currency=INR","Period=FQ","BEST_FPERIOD_OVERRIDE=FQ","FILING_STATUS=OR","EQY_CONSOLIDATED=Y","Sort=A","Dates=H","DateFormat=P","Fill=—","Direction=H","UseDPDF=Y")</f>
        <v>#NAME?</v>
      </c>
      <c r="AH435" s="1" t="e">
        <f ca="1">_xll.BDH($C$428,"TOTAL_DEBT_1_YEAR_GROWTH","FQ2 2015","FQ2 2015","Currency=INR","Period=FQ","BEST_FPERIOD_OVERRIDE=FQ","FILING_STATUS=OR","EQY_CONSOLIDATED=Y","Sort=A","Dates=H","DateFormat=P","Fill=—","Direction=H","UseDPDF=Y")</f>
        <v>#NAME?</v>
      </c>
      <c r="AI435" s="1" t="e">
        <f ca="1">_xll.BDH($C$428,"TOTAL_EQUITY_1_YEAR_GROWTH","FQ2 2015","FQ2 2015","Currency=INR","Period=FQ","BEST_FPERIOD_OVERRIDE=FQ","FILING_STATUS=OR","EQY_CONSOLIDATED=Y","Sort=A","Dates=H","DateFormat=P","Fill=—","Direction=H","UseDPDF=Y")</f>
        <v>#NAME?</v>
      </c>
      <c r="AJ435" s="1" t="e">
        <f ca="1">_xll.BDH($C$428,"GROWTH_IN_CAP","FQ2 2015","FQ2 2015","Currency=INR","Period=FQ","BEST_FPERIOD_OVERRIDE=FQ","FILING_STATUS=OR","EQY_CONSOLIDATED=Y","Sort=A","Dates=H","DateFormat=P","Fill=—","Direction=H","UseDPDF=Y")</f>
        <v>#NAME?</v>
      </c>
      <c r="AK435" s="1" t="e">
        <f ca="1">_xll.BDH($C$428,"BVPS_GROWTH","FQ2 2015","FQ2 2015","Currency=INR","Period=FQ","BEST_FPERIOD_OVERRIDE=FQ","FILING_STATUS=OR","EQY_CONSOLIDATED=Y","Sort=A","Dates=H","DateFormat=P","Fill=—","Direction=H","UseDPDF=Y")</f>
        <v>#NAME?</v>
      </c>
      <c r="AL435" s="1" t="e">
        <f ca="1">_xll.BDH($C$428,"CASH_FLOW_GROWTH","FQ2 2015","FQ2 2015","Currency=INR","Period=FQ","BEST_FPERIOD_OVERRIDE=FQ","FILING_STATUS=OR","EQY_CONSOLIDATED=Y","Sort=A","Dates=H","DateFormat=P","Fill=—","Direction=H","UseDPDF=Y")</f>
        <v>#NAME?</v>
      </c>
      <c r="AM435" s="1" t="e">
        <f ca="1">_xll.BDH($C$428,"GEO_GROW_NET_SALES","FQ2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35" s="1" t="e">
        <f ca="1">_xll.BDH($C$428,"GEO_GROW_EBITDA","FQ2 2015","FQ2 2015","Currency=INR","Period=FQ","BEST_FPERIOD_OVERRIDE=FQ","FILING_STATUS=OR","EQY_CONSOLIDATED=Y","FA_ADJUSTED=GAAP","Sort=A","Dates=H","DateFormat=P","Fill=—","Direction=H","UseDPDF=Y")</f>
        <v>#NAME?</v>
      </c>
      <c r="AO435" s="1" t="e">
        <f ca="1">_xll.BDH($C$428,"GEO_GROW_OPER_INC","FQ2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35" s="1" t="e">
        <f ca="1">_xll.BDH($C$428,"NET_INCOME_TO_COMMON_5_YR_GROWTH","FQ2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35" s="1" t="e">
        <f ca="1">_xll.BDH($C$428,"5Y_GEO_GROWTH_DILUTED_EPS","FQ2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35" s="1" t="e">
        <f ca="1">_xll.BDH($C$428,"GEO_GROW_DVD_PER_SH","FQ2 2015","FQ2 2015","Currency=INR","Period=FQ","BEST_FPERIOD_OVERRIDE=FQ","FILING_STATUS=OR","EQY_CONSOLIDATED=Y","Sort=A","Dates=H","DateFormat=P","Fill=—","Direction=H","UseDPDF=Y")</f>
        <v>#NAME?</v>
      </c>
      <c r="AS435" s="1" t="e">
        <f ca="1">_xll.BDH($C$428,"ACCOUNTS_RECEIVABLE_5_YR_GROWTH","FQ2 2015","FQ2 2015","Currency=INR","Period=FQ","BEST_FPERIOD_OVERRIDE=FQ","FILING_STATUS=OR","EQY_CONSOLIDATED=Y","Sort=A","Dates=H","DateFormat=P","Fill=—","Direction=H","UseDPDF=Y")</f>
        <v>#NAME?</v>
      </c>
      <c r="AT435" s="1" t="e">
        <f ca="1">_xll.BDH($C$428,"INVENTORY_5_YEAR_GROWTH","FQ2 2015","FQ2 2015","Currency=INR","Period=FQ","BEST_FPERIOD_OVERRIDE=FQ","FILING_STATUS=OR","EQY_CONSOLIDATED=Y","Sort=A","Dates=H","DateFormat=P","Fill=—","Direction=H","UseDPDF=Y")</f>
        <v>#NAME?</v>
      </c>
      <c r="AU435" s="1" t="e">
        <f ca="1">_xll.BDH($C$428,"NET_FIXED_ASSETS_5_YEAR_GROWTH","FQ2 2015","FQ2 2015","Currency=INR","Period=FQ","BEST_FPERIOD_OVERRIDE=FQ","FILING_STATUS=OR","EQY_CONSOLIDATED=Y","Sort=A","Dates=H","DateFormat=P","Fill=—","Direction=H","UseDPDF=Y")</f>
        <v>#NAME?</v>
      </c>
      <c r="AV435" s="1" t="e">
        <f ca="1">_xll.BDH($C$428,"GEO_GROW_TOT_ASSET","FQ2 2015","FQ2 2015","Currency=INR","Period=FQ","BEST_FPERIOD_OVERRIDE=FQ","FILING_STATUS=OR","EQY_CONSOLIDATED=Y","Sort=A","Dates=H","DateFormat=P","Fill=—","Direction=H","UseDPDF=Y")</f>
        <v>#NAME?</v>
      </c>
      <c r="AW435" s="1" t="e">
        <f ca="1">_xll.BDH($C$428,"MODIFIED_WORKING_CPTL_5YR_GRWTH","FQ2 2015","FQ2 2015","Currency=INR","Period=FQ","BEST_FPERIOD_OVERRIDE=FQ","FILING_STATUS=OR","EQY_CONSOLIDATED=Y","Sort=A","Dates=H","DateFormat=P","Fill=—","Direction=H","UseDPDF=Y")</f>
        <v>#NAME?</v>
      </c>
      <c r="AX435" s="1" t="e">
        <f ca="1">_xll.BDH($C$428,"WORKING_CAPITAL_5_YEAR_GROWTH","FQ2 2015","FQ2 2015","Currency=INR","Period=FQ","BEST_FPERIOD_OVERRIDE=FQ","FILING_STATUS=OR","EQY_CONSOLIDATED=Y","Sort=A","Dates=H","DateFormat=P","Fill=—","Direction=H","UseDPDF=Y")</f>
        <v>#NAME?</v>
      </c>
      <c r="AY435" s="1" t="e">
        <f ca="1">_xll.BDH($C$428,"ACCOUNTS_PAYABLE_5_YEAR_GROWTH","FQ2 2015","FQ2 2015","Currency=INR","Period=FQ","BEST_FPERIOD_OVERRIDE=FQ","FILING_STATUS=OR","EQY_CONSOLIDATED=Y","Sort=A","Dates=H","DateFormat=P","Fill=—","Direction=H","UseDPDF=Y")</f>
        <v>#NAME?</v>
      </c>
      <c r="AZ435" s="1" t="e">
        <f ca="1">_xll.BDH($C$428,"SHORT_TERM_DEBT_5_YEAR_GROWTH","FQ2 2015","FQ2 2015","Currency=INR","Period=FQ","BEST_FPERIOD_OVERRIDE=FQ","FILING_STATUS=OR","EQY_CONSOLIDATED=Y","Sort=A","Dates=H","DateFormat=P","Fill=—","Direction=H","UseDPDF=Y")</f>
        <v>#NAME?</v>
      </c>
      <c r="BA435" s="1" t="e">
        <f ca="1">_xll.BDH($C$428,"TOTAL_DEBT_5_YEAR_GROWTH","FQ2 2015","FQ2 2015","Currency=INR","Period=FQ","BEST_FPERIOD_OVERRIDE=FQ","FILING_STATUS=OR","EQY_CONSOLIDATED=Y","Sort=A","Dates=H","DateFormat=P","Fill=—","Direction=H","UseDPDF=Y")</f>
        <v>#NAME?</v>
      </c>
      <c r="BB435" s="1" t="e">
        <f ca="1">_xll.BDH($C$428,"GEO_GROW_TOT_SHRHLDR_EQY","FQ2 2015","FQ2 2015","Currency=INR","Period=FQ","BEST_FPERIOD_OVERRIDE=FQ","FILING_STATUS=OR","EQY_CONSOLIDATED=Y","Sort=A","Dates=H","DateFormat=P","Fill=—","Direction=H","UseDPDF=Y")</f>
        <v>#NAME?</v>
      </c>
      <c r="BC435" s="1" t="e">
        <f ca="1">_xll.BDH($C$428,"TOTAL_CAPITAL_5_YEAR_GROWTH","FQ2 2015","FQ2 2015","Currency=INR","Period=FQ","BEST_FPERIOD_OVERRIDE=FQ","FILING_STATUS=OR","EQY_CONSOLIDATED=Y","Sort=A","Dates=H","DateFormat=P","Fill=—","Direction=H","UseDPDF=Y")</f>
        <v>#NAME?</v>
      </c>
      <c r="BD435" s="1" t="e">
        <f ca="1">_xll.BDH($C$428,"GEO_GROW_BOOK_VAL","FQ2 2015","FQ2 2015","Currency=INR","Period=FQ","BEST_FPERIOD_OVERRIDE=FQ","FILING_STATUS=OR","EQY_CONSOLIDATED=Y","Sort=A","Dates=H","DateFormat=P","Fill=—","Direction=H","UseDPDF=Y")</f>
        <v>#NAME?</v>
      </c>
      <c r="BE435" s="1" t="e">
        <f ca="1">_xll.BDH($C$428,"GEO_GROW_CASH_OPER_ACT","FQ2 2015","FQ2 2015","Currency=INR","Period=FQ","BEST_FPERIOD_OVERRIDE=FQ","FILING_STATUS=OR","EQY_CONSOLIDATED=Y","Sort=A","Dates=H","DateFormat=P","Fill=—","Direction=H","UseDPDF=Y")</f>
        <v>#NAME?</v>
      </c>
      <c r="BF435" s="1" t="e">
        <f ca="1">_xll.BDH($C$428,"REVENUE_SEQUENTIAL_GROWTH","FQ2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35" s="1" t="e">
        <f ca="1">_xll.BDH($C$428,"EBITDA_SEQUENTIAL_GROWTH","FQ2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35" s="1" t="e">
        <f ca="1">_xll.BDH($C$428,"OPERATING_INCOME_SEQ_GROWTH","FQ2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35" s="1" t="e">
        <f ca="1">_xll.BDH($C$428,"NET_INCOME_TO_COMMON_SEQ_GROWTH","FQ2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35" s="1" t="e">
        <f ca="1">_xll.BDH($C$428,"EPS_DILUTED_SEQUENTIAL_GROWTH","FQ2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35" s="1" t="e">
        <f ca="1">_xll.BDH($C$428,"DPS_SEQUENTIAL_GROWTH","FQ2 2015","FQ2 2015","Currency=INR","Period=FQ","BEST_FPERIOD_OVERRIDE=FQ","FILING_STATUS=OR","EQY_CONSOLIDATED=Y","Sort=A","Dates=H","DateFormat=P","Fill=—","Direction=H","UseDPDF=Y")</f>
        <v>#NAME?</v>
      </c>
      <c r="BL435" s="1" t="e">
        <f ca="1">_xll.BDH($C$428,"ACCOUNTS_RECEIVABLE_SEQ_GROWTH","FQ2 2015","FQ2 2015","Currency=INR","Period=FQ","BEST_FPERIOD_OVERRIDE=FQ","FILING_STATUS=OR","EQY_CONSOLIDATED=Y","Sort=A","Dates=H","DateFormat=P","Fill=—","Direction=H","UseDPDF=Y")</f>
        <v>#NAME?</v>
      </c>
      <c r="BM435" s="1" t="e">
        <f ca="1">_xll.BDH($C$428,"INVENTORY_SEQUENTIAL_GROWTH","FQ2 2015","FQ2 2015","Currency=INR","Period=FQ","BEST_FPERIOD_OVERRIDE=FQ","FILING_STATUS=OR","EQY_CONSOLIDATED=Y","Sort=A","Dates=H","DateFormat=P","Fill=—","Direction=H","UseDPDF=Y")</f>
        <v>#NAME?</v>
      </c>
      <c r="BN435" s="1" t="e">
        <f ca="1">_xll.BDH($C$428,"FIXED_ASSETS_SEQUENTIAL_GROWTH","FQ2 2015","FQ2 2015","Currency=INR","Period=FQ","BEST_FPERIOD_OVERRIDE=FQ","FILING_STATUS=OR","EQY_CONSOLIDATED=Y","Sort=A","Dates=H","DateFormat=P","Fill=—","Direction=H","UseDPDF=Y")</f>
        <v>#NAME?</v>
      </c>
      <c r="BO435" s="1" t="e">
        <f ca="1">_xll.BDH($C$428,"TOTAL_ASSETS_SEQUENTIAL_GROWTH","FQ2 2015","FQ2 2015","Currency=INR","Period=FQ","BEST_FPERIOD_OVERRIDE=FQ","FILING_STATUS=OR","EQY_CONSOLIDATED=Y","Sort=A","Dates=H","DateFormat=P","Fill=—","Direction=H","UseDPDF=Y")</f>
        <v>#NAME?</v>
      </c>
      <c r="BP435" s="1" t="e">
        <f ca="1">_xll.BDH($C$428,"MODIFIED_WORKING_CPTL_SEQ_GRWTH","FQ2 2015","FQ2 2015","Currency=INR","Period=FQ","BEST_FPERIOD_OVERRIDE=FQ","FILING_STATUS=OR","EQY_CONSOLIDATED=Y","Sort=A","Dates=H","DateFormat=P","Fill=—","Direction=H","UseDPDF=Y")</f>
        <v>#NAME?</v>
      </c>
      <c r="BQ435" s="1" t="e">
        <f ca="1">_xll.BDH($C$428,"WORKING_CAPITAL_SEQ_GROWTH","FQ2 2015","FQ2 2015","Currency=INR","Period=FQ","BEST_FPERIOD_OVERRIDE=FQ","FILING_STATUS=OR","EQY_CONSOLIDATED=Y","Sort=A","Dates=H","DateFormat=P","Fill=—","Direction=H","UseDPDF=Y")</f>
        <v>#NAME?</v>
      </c>
      <c r="BR435" s="1" t="e">
        <f ca="1">_xll.BDH($C$428,"ACCOUNTS_PAYABLE_SEQ_GROWTH","FQ2 2015","FQ2 2015","Currency=INR","Period=FQ","BEST_FPERIOD_OVERRIDE=FQ","FILING_STATUS=OR","EQY_CONSOLIDATED=Y","Sort=A","Dates=H","DateFormat=P","Fill=—","Direction=H","UseDPDF=Y")</f>
        <v>#NAME?</v>
      </c>
      <c r="BS435" s="1" t="e">
        <f ca="1">_xll.BDH($C$428,"ST_DEBT_SEQUENTIAL_GROWTH","FQ2 2015","FQ2 2015","Currency=INR","Period=FQ","BEST_FPERIOD_OVERRIDE=FQ","FILING_STATUS=OR","EQY_CONSOLIDATED=Y","Sort=A","Dates=H","DateFormat=P","Fill=—","Direction=H","UseDPDF=Y")</f>
        <v>#NAME?</v>
      </c>
      <c r="BT435" s="1" t="e">
        <f ca="1">_xll.BDH($C$428,"TOTAL_DEBT_SEQUENTIAL_GROWTH","FQ2 2015","FQ2 2015","Currency=INR","Period=FQ","BEST_FPERIOD_OVERRIDE=FQ","FILING_STATUS=OR","EQY_CONSOLIDATED=Y","Sort=A","Dates=H","DateFormat=P","Fill=—","Direction=H","UseDPDF=Y")</f>
        <v>#NAME?</v>
      </c>
      <c r="BU435" s="1" t="e">
        <f ca="1">_xll.BDH($C$428,"TOTAL_EQUITY_SEQUENTIAL_GROWTH","FQ2 2015","FQ2 2015","Currency=INR","Period=FQ","BEST_FPERIOD_OVERRIDE=FQ","FILING_STATUS=OR","EQY_CONSOLIDATED=Y","Sort=A","Dates=H","DateFormat=P","Fill=—","Direction=H","UseDPDF=Y")</f>
        <v>#NAME?</v>
      </c>
      <c r="BV435" s="1" t="e">
        <f ca="1">_xll.BDH($C$428,"TOTAL_CAPITAL_SEQUENTIAL_GROWTH","FQ2 2015","FQ2 2015","Currency=INR","Period=FQ","BEST_FPERIOD_OVERRIDE=FQ","FILING_STATUS=OR","EQY_CONSOLIDATED=Y","Sort=A","Dates=H","DateFormat=P","Fill=—","Direction=H","UseDPDF=Y")</f>
        <v>#NAME?</v>
      </c>
      <c r="BW435" s="1" t="e">
        <f ca="1">_xll.BDH($C$428,"BPS_SEQUENTIAL_GROWTH","FQ2 2015","FQ2 2015","Currency=INR","Period=FQ","BEST_FPERIOD_OVERRIDE=FQ","FILING_STATUS=OR","EQY_CONSOLIDATED=Y","Sort=A","Dates=H","DateFormat=P","Fill=—","Direction=H","UseDPDF=Y")</f>
        <v>#NAME?</v>
      </c>
      <c r="BX435" s="1" t="e">
        <f ca="1">_xll.BDH($C$428,"CFO_SEQUENTIAL_GROWTH","FQ2 2015","FQ2 2015","Currency=INR","Period=FQ","BEST_FPERIOD_OVERRIDE=FQ","FILING_STATUS=OR","EQY_CONSOLIDATED=Y","Sort=A","Dates=H","DateFormat=P","Fill=—","Direction=H","UseDPDF=Y")</f>
        <v>#NAME?</v>
      </c>
      <c r="BY435" s="2" t="e">
        <f ca="1">_xll.BDH($C$428,"SHORT_AND_LONG_TERM_DEBT","FQ2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35" s="2" t="e">
        <f ca="1">_xll.BDH($C$428,"BS_ST_BORROW","FQ2 2015","FQ2 2015","Currency=INR","Period=FQ","BEST_FPERIOD_OVERRIDE=FQ","FILING_STATUS=OR","EQY_CONSOLIDATED=Y","SCALING_FORMAT=MLN","Sort=A","Dates=H","DateFormat=P","Fill=—","Direction=H","UseDPDF=Y")</f>
        <v>#NAME?</v>
      </c>
      <c r="CA435" s="2" t="e">
        <f ca="1">_xll.BDH($C$428,"BS_LT_BORROW","FQ2 2015","FQ2 2015","Currency=INR","Period=FQ","BEST_FPERIOD_OVERRIDE=FQ","FILING_STATUS=OR","EQY_CONSOLIDATED=Y","SCALING_FORMAT=MLN","Sort=A","Dates=H","DateFormat=P","Fill=—","Direction=H","UseDPDF=Y")</f>
        <v>#NAME?</v>
      </c>
      <c r="CB435" s="1" t="e">
        <f ca="1">_xll.BDH($C$428,"TOT_DEBT_TO_EBITDA","FQ2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35" s="1" t="e">
        <f ca="1">_xll.BDH($C$428,"NET_DEBT_TO_EBITDA","FQ2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35" s="1" t="e">
        <f ca="1">_xll.BDH($C$428,"TOTAL_DEBT_TO_EBIT","FQ2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35" s="1" t="e">
        <f ca="1">_xll.BDH($C$428,"NET_DEBT_TO_EBIT","FQ2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435" s="1" t="e">
        <f ca="1">_xll.BDH($C$428,"EBITDA_TO_INTEREST_EXPN","FQ2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35" s="1" t="e">
        <f ca="1">_xll.BDH($C$428,"COM_EQY_TO_TOT_ASSET","FQ2 2015","FQ2 2015","Currency=INR","Period=FQ","BEST_FPERIOD_OVERRIDE=FQ","FILING_STATUS=OR","EQY_CONSOLIDATED=Y","Sort=A","Dates=H","DateFormat=P","Fill=—","Direction=H","UseDPDF=Y")</f>
        <v>#NAME?</v>
      </c>
      <c r="CH435" s="1" t="e">
        <f ca="1">_xll.BDH($C$428,"LT_DEBT_TO_TOT_EQY","FQ2 2015","FQ2 2015","Currency=INR","Period=FQ","BEST_FPERIOD_OVERRIDE=FQ","FILING_STATUS=OR","EQY_CONSOLIDATED=Y","Sort=A","Dates=H","DateFormat=P","Fill=—","Direction=H","UseDPDF=Y")</f>
        <v>#NAME?</v>
      </c>
      <c r="CI435" s="1" t="e">
        <f ca="1">_xll.BDH($C$428,"LT_DEBT_TO_TOT_CAP","FQ2 2015","FQ2 2015","Currency=INR","Period=FQ","BEST_FPERIOD_OVERRIDE=FQ","FILING_STATUS=OR","EQY_CONSOLIDATED=Y","Sort=A","Dates=H","DateFormat=P","Fill=—","Direction=H","UseDPDF=Y")</f>
        <v>#NAME?</v>
      </c>
      <c r="CJ435" s="1" t="e">
        <f ca="1">_xll.BDH($C$428,"LT_DEBT_TO_TOT_ASSET","FQ2 2015","FQ2 2015","Currency=INR","Period=FQ","BEST_FPERIOD_OVERRIDE=FQ","FILING_STATUS=OR","EQY_CONSOLIDATED=Y","Sort=A","Dates=H","DateFormat=P","Fill=—","Direction=H","UseDPDF=Y")</f>
        <v>#NAME?</v>
      </c>
      <c r="CK435" s="1" t="e">
        <f ca="1">_xll.BDH($C$428,"TOT_DEBT_TO_TOT_EQY","FQ2 2015","FQ2 2015","Currency=INR","Period=FQ","BEST_FPERIOD_OVERRIDE=FQ","FILING_STATUS=OR","EQY_CONSOLIDATED=Y","Sort=A","Dates=H","DateFormat=P","Fill=—","Direction=H","UseDPDF=Y")</f>
        <v>#NAME?</v>
      </c>
      <c r="CL435" s="1" t="e">
        <f ca="1">_xll.BDH($C$428,"TOT_DEBT_TO_TOT_CAP","FQ2 2015","FQ2 2015","Currency=INR","Period=FQ","BEST_FPERIOD_OVERRIDE=FQ","FILING_STATUS=OR","EQY_CONSOLIDATED=Y","Sort=A","Dates=H","DateFormat=P","Fill=—","Direction=H","UseDPDF=Y")</f>
        <v>#NAME?</v>
      </c>
      <c r="CM435" s="1" t="e">
        <f ca="1">_xll.BDH($C$428,"TOT_DEBT_TO_TOT_ASSET","FQ2 2015","FQ2 2015","Currency=INR","Period=FQ","BEST_FPERIOD_OVERRIDE=FQ","FILING_STATUS=OR","EQY_CONSOLIDATED=Y","Sort=A","Dates=H","DateFormat=P","Fill=—","Direction=H","UseDPDF=Y")</f>
        <v>#NAME?</v>
      </c>
      <c r="CN435" s="1" t="e">
        <f ca="1">_xll.BDH($C$428,"NET_DEBT_TO_SHRHLDR_EQTY","FQ2 2015","FQ2 2015","Currency=INR","Period=FQ","BEST_FPERIOD_OVERRIDE=FQ","FILING_STATUS=OR","EQY_CONSOLIDATED=Y","Sort=A","Dates=H","DateFormat=P","Fill=—","Direction=H","UseDPDF=Y")</f>
        <v>#NAME?</v>
      </c>
      <c r="CO435" s="1" t="e">
        <f ca="1">_xll.BDH($C$428,"NET_DEBT_%_CAPITAL","FQ2 2015","FQ2 2015","Currency=INR","Period=FQ","BEST_FPERIOD_OVERRIDE=FQ","FILING_STATUS=OR","EQY_CONSOLIDATED=Y","Sort=A","Dates=H","DateFormat=P","Fill=—","Direction=H","UseDPDF=Y")</f>
        <v>#NAME?</v>
      </c>
      <c r="CP435" s="2" t="e">
        <f ca="1">_xll.BDH($C$428,"EBITDA","FQ2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35" s="2" t="e">
        <f ca="1">_xll.BDH($C$428,"EBITDA_AFTER_CAPEX","FQ2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35" s="2" t="e">
        <f ca="1">_xll.BDH($C$428,"IS_OPER_INC","FQ2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35" s="1" t="e">
        <f ca="1">_xll.BDH($C$428,"CASH_RATIO","FQ2 2015","FQ2 2015","Currency=INR","Period=FQ","BEST_FPERIOD_OVERRIDE=FQ","FILING_STATUS=OR","EQY_CONSOLIDATED=Y","Sort=A","Dates=H","DateFormat=P","Fill=—","Direction=H","UseDPDF=Y")</f>
        <v>#NAME?</v>
      </c>
      <c r="CT435" s="1" t="e">
        <f ca="1">_xll.BDH($C$428,"CUR_RATIO","FQ2 2015","FQ2 2015","Currency=INR","Period=FQ","BEST_FPERIOD_OVERRIDE=FQ","FILING_STATUS=OR","EQY_CONSOLIDATED=Y","Sort=A","Dates=H","DateFormat=P","Fill=—","Direction=H","UseDPDF=Y")</f>
        <v>#NAME?</v>
      </c>
      <c r="CU435" s="1" t="e">
        <f ca="1">_xll.BDH($C$428,"QUICK_RATIO","FQ2 2015","FQ2 2015","Currency=INR","Period=FQ","BEST_FPERIOD_OVERRIDE=FQ","FILING_STATUS=OR","EQY_CONSOLIDATED=Y","Sort=A","Dates=H","DateFormat=P","Fill=—","Direction=H","UseDPDF=Y")</f>
        <v>#NAME?</v>
      </c>
      <c r="CV435" s="1" t="e">
        <f ca="1">_xll.BDH($C$428,"ALTMAN_Z_SCORE","FQ2 2015","FQ2 2015","Currency=INR","Period=FQ","BEST_FPERIOD_OVERRIDE=FQ","FILING_STATUS=OR","EQY_CONSOLIDATED=Y","Sort=A","Dates=H","DateFormat=P","Fill=—","Direction=H","UseDPDF=Y")</f>
        <v>#NAME?</v>
      </c>
      <c r="CW435" s="3" t="e">
        <f ca="1">_xll.BDH($C$428,"ACCT_RCV_TURN","FQ2 2015","FQ2 2015","Currency=INR","Period=FQ","BEST_FPERIOD_OVERRIDE=FQ","FILING_STATUS=OR","EQY_CONSOLIDATED=Y","FA_ADJUSTED=GAAP","Sort=A","Dates=H","DateFormat=P","Fill=—","Direction=H","UseDPDF=Y")</f>
        <v>#NAME?</v>
      </c>
      <c r="CX435" s="1" t="e">
        <f ca="1">_xll.BDH($C$428,"ACCT_RCV_DAYS","FQ2 2015","FQ2 2015","Currency=INR","Period=FQ","BEST_FPERIOD_OVERRIDE=FQ","FILING_STATUS=OR","EQY_CONSOLIDATED=Y","FA_ADJUSTED=GAAP","Sort=A","Dates=H","DateFormat=P","Fill=—","Direction=H","UseDPDF=Y")</f>
        <v>#NAME?</v>
      </c>
      <c r="CY435" s="3" t="e">
        <f ca="1">_xll.BDH($C$428,"INVENT_TURN","FQ2 2015","FQ2 2015","Currency=INR","Period=FQ","BEST_FPERIOD_OVERRIDE=FQ","FILING_STATUS=OR","EQY_CONSOLIDATED=Y","FA_ADJUSTED=GAAP","Sort=A","Dates=H","DateFormat=P","Fill=—","Direction=H","UseDPDF=Y")</f>
        <v>#NAME?</v>
      </c>
      <c r="CZ435" s="1" t="e">
        <f ca="1">_xll.BDH($C$428,"INVENT_DAYS","FQ2 2015","FQ2 2015","Currency=INR","Period=FQ","BEST_FPERIOD_OVERRIDE=FQ","FILING_STATUS=OR","EQY_CONSOLIDATED=Y","FA_ADJUSTED=GAAP","Sort=A","Dates=H","DateFormat=P","Fill=—","Direction=H","UseDPDF=Y")</f>
        <v>#NAME?</v>
      </c>
      <c r="DA435" s="3" t="e">
        <f ca="1">_xll.BDH($C$428,"ACCOUNTS_PAYABLE_TURNOVER","FQ2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35" s="1" t="e">
        <f ca="1">_xll.BDH($C$428,"ACCOUNTS_PAYABLE_TURNOVER_DAYS","FQ2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35" s="3" t="e">
        <f ca="1">_xll.BDH($C$428,"CASH_CONVERSION_CYCLE","FQ2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35" s="3" t="e">
        <f ca="1">_xll.BDH($C$428,"INV_TO_CASH_DAYS","FQ2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435" s="4" t="e">
        <f ca="1">_xll.BDH($C$428,"BS_INVENTORIES","FQ2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435" s="2" t="e">
        <f ca="1">_xll.BDH($C$428,"INVTRY_RAW_MATERIALS","FQ2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35" s="2" t="e">
        <f ca="1">_xll.BDH($C$428,"INVTRY_IN_PROGRESS","FQ2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35" s="2" t="e">
        <f ca="1">_xll.BDH($C$428,"INVTRY_FINISHED_GOODS","FQ2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35" s="2" t="e">
        <f ca="1">_xll.BDH($C$428,"BS_OTHER_INV","FQ2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36" spans="1:113" x14ac:dyDescent="0.3">
      <c r="A436" s="6"/>
      <c r="B436" s="6"/>
      <c r="C436" s="6"/>
      <c r="D436" s="6"/>
      <c r="E436" t="s">
        <v>6</v>
      </c>
      <c r="F436" t="e">
        <f ca="1">_xll.BDH($C$428,"RETURN_COM_EQY","FQ3 2015","FQ3 2015","Currency=INR","Period=FQ","BEST_FPERIOD_OVERRIDE=FQ","FILING_STATUS=OR","EQY_CONSOLIDATED=Y","FA_ADJUSTED=GAAP","Sort=A","Dates=H","DateFormat=P","Fill=—","Direction=H","UseDPDF=Y")</f>
        <v>#NAME?</v>
      </c>
      <c r="G436" t="e">
        <f ca="1">_xll.BDH($C$428,"RETURN_ON_ASSET","FQ3 2015","FQ3 2015","Currency=INR","Period=FQ","BEST_FPERIOD_OVERRIDE=FQ","FILING_STATUS=OR","EQY_CONSOLIDATED=Y","FA_ADJUSTED=GAAP","Sort=A","Dates=H","DateFormat=P","Fill=—","Direction=H","UseDPDF=Y")</f>
        <v>#NAME?</v>
      </c>
      <c r="H436" t="e">
        <f ca="1">_xll.BDH($C$428,"RETURN_ON_CAP","FQ3 2015","FQ3 2015","Currency=INR","Period=FQ","BEST_FPERIOD_OVERRIDE=FQ","FILING_STATUS=OR","EQY_CONSOLIDATED=Y","FA_ADJUSTED=GAAP","Sort=A","Dates=H","DateFormat=P","Fill=—","Direction=H","UseDPDF=Y")</f>
        <v>#NAME?</v>
      </c>
      <c r="I436" t="e">
        <f ca="1">_xll.BDH($C$428,"RETURN_ON_INV_CAPITAL","FQ3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36" t="e">
        <f ca="1">_xll.BDH($C$428,"EBITDA_TO_REVENUE","FQ3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436" t="e">
        <f ca="1">_xll.BDH($C$428,"OPER_MARGIN","FQ3 2015","FQ3 2015","Currency=INR","Period=FQ","BEST_FPERIOD_OVERRIDE=FQ","FILING_STATUS=OR","EQY_CONSOLIDATED=Y","FA_ADJUSTED=GAAP","Sort=A","Dates=H","DateFormat=P","Fill=—","Direction=H","UseDPDF=Y")</f>
        <v>#NAME?</v>
      </c>
      <c r="L436" t="e">
        <f ca="1">_xll.BDH($C$428,"INCREMENTAL_OPERATING_MARGIN","FQ3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36" t="e">
        <f ca="1">_xll.BDH($C$428,"PRETAX_INC_TO_NET_SALES","FQ3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36" t="e">
        <f ca="1">_xll.BDH($C$428,"INC_BEF_XO_ITEMS_TO_NET_SALES","FQ3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36" t="e">
        <f ca="1">_xll.BDH($C$428,"PROF_MARGIN","FQ3 2015","FQ3 2015","Currency=INR","Period=FQ","BEST_FPERIOD_OVERRIDE=FQ","FILING_STATUS=OR","EQY_CONSOLIDATED=Y","FA_ADJUSTED=GAAP","Sort=A","Dates=H","DateFormat=P","Fill=—","Direction=H","UseDPDF=Y")</f>
        <v>#NAME?</v>
      </c>
      <c r="P436" t="e">
        <f ca="1">_xll.BDH($C$428,"NET_INCOME_TO_COMMON_MARGIN","FQ3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36" t="e">
        <f ca="1">_xll.BDH($C$428,"EFF_TAX_RATE","FQ3 2015","FQ3 2015","Currency=INR","Period=FQ","BEST_FPERIOD_OVERRIDE=FQ","FILING_STATUS=OR","EQY_CONSOLIDATED=Y","FA_ADJUSTED=GAAP","Sort=A","Dates=H","DateFormat=P","Fill=—","Direction=H","UseDPDF=Y")</f>
        <v>#NAME?</v>
      </c>
      <c r="R436" t="e">
        <f ca="1">_xll.BDH($C$428,"DVD_PAYOUT_RATIO","FQ3 2015","FQ3 2015","Currency=INR","Period=FQ","BEST_FPERIOD_OVERRIDE=FQ","FILING_STATUS=OR","EQY_CONSOLIDATED=Y","FA_ADJUSTED=GAAP","Sort=A","Dates=H","DateFormat=P","Fill=—","Direction=H","UseDPDF=Y")</f>
        <v>#NAME?</v>
      </c>
      <c r="S436" t="e">
        <f ca="1">_xll.BDH($C$428,"SUSTAIN_GROWTH_RT","FQ3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436" s="1" t="e">
        <f ca="1">_xll.BDH($C$428,"SALES_GROWTH","FQ3 2015","FQ3 2015","Currency=INR","Period=FQ","BEST_FPERIOD_OVERRIDE=FQ","FILING_STATUS=OR","EQY_CONSOLIDATED=Y","FA_ADJUSTED=GAAP","Sort=A","Dates=H","DateFormat=P","Fill=—","Direction=H","UseDPDF=Y")</f>
        <v>#NAME?</v>
      </c>
      <c r="U436" s="1" t="e">
        <f ca="1">_xll.BDH($C$428,"EBITDA_GROWTH","FQ3 2015","FQ3 2015","Currency=INR","Period=FQ","BEST_FPERIOD_OVERRIDE=FQ","FILING_STATUS=OR","EQY_CONSOLIDATED=Y","FA_ADJUSTED=GAAP","Sort=A","Dates=H","DateFormat=P","Fill=—","Direction=H","UseDPDF=Y")</f>
        <v>#NAME?</v>
      </c>
      <c r="V436" s="1" t="e">
        <f ca="1">_xll.BDH($C$428,"OPER_INC_GROWTH","FQ3 2015","FQ3 2015","Currency=INR","Period=FQ","BEST_FPERIOD_OVERRIDE=FQ","FILING_STATUS=OR","EQY_CONSOLIDATED=Y","FA_ADJUSTED=GAAP","Sort=A","Dates=H","DateFormat=P","Fill=—","Direction=H","UseDPDF=Y")</f>
        <v>#NAME?</v>
      </c>
      <c r="W436" s="1" t="e">
        <f ca="1">_xll.BDH($C$428,"EARN_FOR_COM_GROWTH","FQ3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36" s="1" t="e">
        <f ca="1">_xll.BDH($C$428,"DILUTED_EPS_AFT_XO_ITEMS_GROWTH","FQ3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36" s="1" t="e">
        <f ca="1">_xll.BDH($C$428,"DIVIDEND_PER_SHARE_1_YEAR_GROWTH","FQ3 2015","FQ3 2015","Currency=INR","Period=FQ","BEST_FPERIOD_OVERRIDE=FQ","FILING_STATUS=OR","EQY_CONSOLIDATED=Y","Sort=A","Dates=H","DateFormat=P","Fill=—","Direction=H","UseDPDF=Y")</f>
        <v>#NAME?</v>
      </c>
      <c r="Z436" s="1" t="e">
        <f ca="1">_xll.BDH($C$428,"ACCOUNTS_RECEIVABLE_GROWTH","FQ3 2015","FQ3 2015","Currency=INR","Period=FQ","BEST_FPERIOD_OVERRIDE=FQ","FILING_STATUS=OR","EQY_CONSOLIDATED=Y","Sort=A","Dates=H","DateFormat=P","Fill=—","Direction=H","UseDPDF=Y")</f>
        <v>#NAME?</v>
      </c>
      <c r="AA436" s="1" t="e">
        <f ca="1">_xll.BDH($C$428,"INVENTORY_GROWTH","FQ3 2015","FQ3 2015","Currency=INR","Period=FQ","BEST_FPERIOD_OVERRIDE=FQ","FILING_STATUS=OR","EQY_CONSOLIDATED=Y","Sort=A","Dates=H","DateFormat=P","Fill=—","Direction=H","UseDPDF=Y")</f>
        <v>#NAME?</v>
      </c>
      <c r="AB436" s="1" t="e">
        <f ca="1">_xll.BDH($C$428,"NET_FIXED_ASSETS_1_YEAR_GROWTH","FQ3 2015","FQ3 2015","Currency=INR","Period=FQ","BEST_FPERIOD_OVERRIDE=FQ","FILING_STATUS=OR","EQY_CONSOLIDATED=Y","Sort=A","Dates=H","DateFormat=P","Fill=—","Direction=H","UseDPDF=Y")</f>
        <v>#NAME?</v>
      </c>
      <c r="AC436" s="1" t="e">
        <f ca="1">_xll.BDH($C$428,"ASSET_GROWTH","FQ3 2015","FQ3 2015","Currency=INR","Period=FQ","BEST_FPERIOD_OVERRIDE=FQ","FILING_STATUS=OR","EQY_CONSOLIDATED=Y","Sort=A","Dates=H","DateFormat=P","Fill=—","Direction=H","UseDPDF=Y")</f>
        <v>#NAME?</v>
      </c>
      <c r="AD436" s="1" t="e">
        <f ca="1">_xll.BDH($C$428,"MODIFIED_WORK_CAP_GROWTH","FQ3 2015","FQ3 2015","Currency=INR","Period=FQ","BEST_FPERIOD_OVERRIDE=FQ","FILING_STATUS=OR","EQY_CONSOLIDATED=Y","Sort=A","Dates=H","DateFormat=P","Fill=—","Direction=H","UseDPDF=Y")</f>
        <v>#NAME?</v>
      </c>
      <c r="AE436" s="1" t="e">
        <f ca="1">_xll.BDH($C$428,"WORK_CAP_GROWTH","FQ3 2015","FQ3 2015","Currency=INR","Period=FQ","BEST_FPERIOD_OVERRIDE=FQ","FILING_STATUS=OR","EQY_CONSOLIDATED=Y","Sort=A","Dates=H","DateFormat=P","Fill=—","Direction=H","UseDPDF=Y")</f>
        <v>#NAME?</v>
      </c>
      <c r="AF436" s="1" t="e">
        <f ca="1">_xll.BDH($C$428,"ACCOUNTS_PAYABLE_GROWTH_1YR","FQ3 2015","FQ3 2015","Currency=INR","Period=FQ","BEST_FPERIOD_OVERRIDE=FQ","FILING_STATUS=OR","EQY_CONSOLIDATED=Y","Sort=A","Dates=H","DateFormat=P","Fill=—","Direction=H","UseDPDF=Y")</f>
        <v>#NAME?</v>
      </c>
      <c r="AG436" s="1" t="e">
        <f ca="1">_xll.BDH($C$428,"SHORT_TERM_DEBT_1_YEAR_GROWTH","FQ3 2015","FQ3 2015","Currency=INR","Period=FQ","BEST_FPERIOD_OVERRIDE=FQ","FILING_STATUS=OR","EQY_CONSOLIDATED=Y","Sort=A","Dates=H","DateFormat=P","Fill=—","Direction=H","UseDPDF=Y")</f>
        <v>#NAME?</v>
      </c>
      <c r="AH436" s="1" t="e">
        <f ca="1">_xll.BDH($C$428,"TOTAL_DEBT_1_YEAR_GROWTH","FQ3 2015","FQ3 2015","Currency=INR","Period=FQ","BEST_FPERIOD_OVERRIDE=FQ","FILING_STATUS=OR","EQY_CONSOLIDATED=Y","Sort=A","Dates=H","DateFormat=P","Fill=—","Direction=H","UseDPDF=Y")</f>
        <v>#NAME?</v>
      </c>
      <c r="AI436" s="1" t="e">
        <f ca="1">_xll.BDH($C$428,"TOTAL_EQUITY_1_YEAR_GROWTH","FQ3 2015","FQ3 2015","Currency=INR","Period=FQ","BEST_FPERIOD_OVERRIDE=FQ","FILING_STATUS=OR","EQY_CONSOLIDATED=Y","Sort=A","Dates=H","DateFormat=P","Fill=—","Direction=H","UseDPDF=Y")</f>
        <v>#NAME?</v>
      </c>
      <c r="AJ436" s="1" t="e">
        <f ca="1">_xll.BDH($C$428,"GROWTH_IN_CAP","FQ3 2015","FQ3 2015","Currency=INR","Period=FQ","BEST_FPERIOD_OVERRIDE=FQ","FILING_STATUS=OR","EQY_CONSOLIDATED=Y","Sort=A","Dates=H","DateFormat=P","Fill=—","Direction=H","UseDPDF=Y")</f>
        <v>#NAME?</v>
      </c>
      <c r="AK436" s="1" t="e">
        <f ca="1">_xll.BDH($C$428,"BVPS_GROWTH","FQ3 2015","FQ3 2015","Currency=INR","Period=FQ","BEST_FPERIOD_OVERRIDE=FQ","FILING_STATUS=OR","EQY_CONSOLIDATED=Y","Sort=A","Dates=H","DateFormat=P","Fill=—","Direction=H","UseDPDF=Y")</f>
        <v>#NAME?</v>
      </c>
      <c r="AL436" s="1" t="e">
        <f ca="1">_xll.BDH($C$428,"CASH_FLOW_GROWTH","FQ3 2015","FQ3 2015","Currency=INR","Period=FQ","BEST_FPERIOD_OVERRIDE=FQ","FILING_STATUS=OR","EQY_CONSOLIDATED=Y","Sort=A","Dates=H","DateFormat=P","Fill=—","Direction=H","UseDPDF=Y")</f>
        <v>#NAME?</v>
      </c>
      <c r="AM436" s="1" t="e">
        <f ca="1">_xll.BDH($C$428,"GEO_GROW_NET_SALES","FQ3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36" s="1" t="e">
        <f ca="1">_xll.BDH($C$428,"GEO_GROW_EBITDA","FQ3 2015","FQ3 2015","Currency=INR","Period=FQ","BEST_FPERIOD_OVERRIDE=FQ","FILING_STATUS=OR","EQY_CONSOLIDATED=Y","FA_ADJUSTED=GAAP","Sort=A","Dates=H","DateFormat=P","Fill=—","Direction=H","UseDPDF=Y")</f>
        <v>#NAME?</v>
      </c>
      <c r="AO436" s="1" t="e">
        <f ca="1">_xll.BDH($C$428,"GEO_GROW_OPER_INC","FQ3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36" s="1" t="e">
        <f ca="1">_xll.BDH($C$428,"NET_INCOME_TO_COMMON_5_YR_GROWTH","FQ3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36" s="1" t="e">
        <f ca="1">_xll.BDH($C$428,"5Y_GEO_GROWTH_DILUTED_EPS","FQ3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36" s="1" t="e">
        <f ca="1">_xll.BDH($C$428,"GEO_GROW_DVD_PER_SH","FQ3 2015","FQ3 2015","Currency=INR","Period=FQ","BEST_FPERIOD_OVERRIDE=FQ","FILING_STATUS=OR","EQY_CONSOLIDATED=Y","Sort=A","Dates=H","DateFormat=P","Fill=—","Direction=H","UseDPDF=Y")</f>
        <v>#NAME?</v>
      </c>
      <c r="AS436" s="1" t="e">
        <f ca="1">_xll.BDH($C$428,"ACCOUNTS_RECEIVABLE_5_YR_GROWTH","FQ3 2015","FQ3 2015","Currency=INR","Period=FQ","BEST_FPERIOD_OVERRIDE=FQ","FILING_STATUS=OR","EQY_CONSOLIDATED=Y","Sort=A","Dates=H","DateFormat=P","Fill=—","Direction=H","UseDPDF=Y")</f>
        <v>#NAME?</v>
      </c>
      <c r="AT436" s="1" t="e">
        <f ca="1">_xll.BDH($C$428,"INVENTORY_5_YEAR_GROWTH","FQ3 2015","FQ3 2015","Currency=INR","Period=FQ","BEST_FPERIOD_OVERRIDE=FQ","FILING_STATUS=OR","EQY_CONSOLIDATED=Y","Sort=A","Dates=H","DateFormat=P","Fill=—","Direction=H","UseDPDF=Y")</f>
        <v>#NAME?</v>
      </c>
      <c r="AU436" s="1" t="e">
        <f ca="1">_xll.BDH($C$428,"NET_FIXED_ASSETS_5_YEAR_GROWTH","FQ3 2015","FQ3 2015","Currency=INR","Period=FQ","BEST_FPERIOD_OVERRIDE=FQ","FILING_STATUS=OR","EQY_CONSOLIDATED=Y","Sort=A","Dates=H","DateFormat=P","Fill=—","Direction=H","UseDPDF=Y")</f>
        <v>#NAME?</v>
      </c>
      <c r="AV436" s="1" t="e">
        <f ca="1">_xll.BDH($C$428,"GEO_GROW_TOT_ASSET","FQ3 2015","FQ3 2015","Currency=INR","Period=FQ","BEST_FPERIOD_OVERRIDE=FQ","FILING_STATUS=OR","EQY_CONSOLIDATED=Y","Sort=A","Dates=H","DateFormat=P","Fill=—","Direction=H","UseDPDF=Y")</f>
        <v>#NAME?</v>
      </c>
      <c r="AW436" s="1" t="e">
        <f ca="1">_xll.BDH($C$428,"MODIFIED_WORKING_CPTL_5YR_GRWTH","FQ3 2015","FQ3 2015","Currency=INR","Period=FQ","BEST_FPERIOD_OVERRIDE=FQ","FILING_STATUS=OR","EQY_CONSOLIDATED=Y","Sort=A","Dates=H","DateFormat=P","Fill=—","Direction=H","UseDPDF=Y")</f>
        <v>#NAME?</v>
      </c>
      <c r="AX436" s="1" t="e">
        <f ca="1">_xll.BDH($C$428,"WORKING_CAPITAL_5_YEAR_GROWTH","FQ3 2015","FQ3 2015","Currency=INR","Period=FQ","BEST_FPERIOD_OVERRIDE=FQ","FILING_STATUS=OR","EQY_CONSOLIDATED=Y","Sort=A","Dates=H","DateFormat=P","Fill=—","Direction=H","UseDPDF=Y")</f>
        <v>#NAME?</v>
      </c>
      <c r="AY436" s="1" t="e">
        <f ca="1">_xll.BDH($C$428,"ACCOUNTS_PAYABLE_5_YEAR_GROWTH","FQ3 2015","FQ3 2015","Currency=INR","Period=FQ","BEST_FPERIOD_OVERRIDE=FQ","FILING_STATUS=OR","EQY_CONSOLIDATED=Y","Sort=A","Dates=H","DateFormat=P","Fill=—","Direction=H","UseDPDF=Y")</f>
        <v>#NAME?</v>
      </c>
      <c r="AZ436" s="1" t="e">
        <f ca="1">_xll.BDH($C$428,"SHORT_TERM_DEBT_5_YEAR_GROWTH","FQ3 2015","FQ3 2015","Currency=INR","Period=FQ","BEST_FPERIOD_OVERRIDE=FQ","FILING_STATUS=OR","EQY_CONSOLIDATED=Y","Sort=A","Dates=H","DateFormat=P","Fill=—","Direction=H","UseDPDF=Y")</f>
        <v>#NAME?</v>
      </c>
      <c r="BA436" s="1" t="e">
        <f ca="1">_xll.BDH($C$428,"TOTAL_DEBT_5_YEAR_GROWTH","FQ3 2015","FQ3 2015","Currency=INR","Period=FQ","BEST_FPERIOD_OVERRIDE=FQ","FILING_STATUS=OR","EQY_CONSOLIDATED=Y","Sort=A","Dates=H","DateFormat=P","Fill=—","Direction=H","UseDPDF=Y")</f>
        <v>#NAME?</v>
      </c>
      <c r="BB436" s="1" t="e">
        <f ca="1">_xll.BDH($C$428,"GEO_GROW_TOT_SHRHLDR_EQY","FQ3 2015","FQ3 2015","Currency=INR","Period=FQ","BEST_FPERIOD_OVERRIDE=FQ","FILING_STATUS=OR","EQY_CONSOLIDATED=Y","Sort=A","Dates=H","DateFormat=P","Fill=—","Direction=H","UseDPDF=Y")</f>
        <v>#NAME?</v>
      </c>
      <c r="BC436" s="1" t="e">
        <f ca="1">_xll.BDH($C$428,"TOTAL_CAPITAL_5_YEAR_GROWTH","FQ3 2015","FQ3 2015","Currency=INR","Period=FQ","BEST_FPERIOD_OVERRIDE=FQ","FILING_STATUS=OR","EQY_CONSOLIDATED=Y","Sort=A","Dates=H","DateFormat=P","Fill=—","Direction=H","UseDPDF=Y")</f>
        <v>#NAME?</v>
      </c>
      <c r="BD436" s="1" t="e">
        <f ca="1">_xll.BDH($C$428,"GEO_GROW_BOOK_VAL","FQ3 2015","FQ3 2015","Currency=INR","Period=FQ","BEST_FPERIOD_OVERRIDE=FQ","FILING_STATUS=OR","EQY_CONSOLIDATED=Y","Sort=A","Dates=H","DateFormat=P","Fill=—","Direction=H","UseDPDF=Y")</f>
        <v>#NAME?</v>
      </c>
      <c r="BE436" s="1" t="e">
        <f ca="1">_xll.BDH($C$428,"GEO_GROW_CASH_OPER_ACT","FQ3 2015","FQ3 2015","Currency=INR","Period=FQ","BEST_FPERIOD_OVERRIDE=FQ","FILING_STATUS=OR","EQY_CONSOLIDATED=Y","Sort=A","Dates=H","DateFormat=P","Fill=—","Direction=H","UseDPDF=Y")</f>
        <v>#NAME?</v>
      </c>
      <c r="BF436" s="1" t="e">
        <f ca="1">_xll.BDH($C$428,"REVENUE_SEQUENTIAL_GROWTH","FQ3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36" s="1" t="e">
        <f ca="1">_xll.BDH($C$428,"EBITDA_SEQUENTIAL_GROWTH","FQ3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36" s="1" t="e">
        <f ca="1">_xll.BDH($C$428,"OPERATING_INCOME_SEQ_GROWTH","FQ3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36" s="1" t="e">
        <f ca="1">_xll.BDH($C$428,"NET_INCOME_TO_COMMON_SEQ_GROWTH","FQ3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36" s="1" t="e">
        <f ca="1">_xll.BDH($C$428,"EPS_DILUTED_SEQUENTIAL_GROWTH","FQ3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36" s="1" t="e">
        <f ca="1">_xll.BDH($C$428,"DPS_SEQUENTIAL_GROWTH","FQ3 2015","FQ3 2015","Currency=INR","Period=FQ","BEST_FPERIOD_OVERRIDE=FQ","FILING_STATUS=OR","EQY_CONSOLIDATED=Y","Sort=A","Dates=H","DateFormat=P","Fill=—","Direction=H","UseDPDF=Y")</f>
        <v>#NAME?</v>
      </c>
      <c r="BL436" s="1" t="e">
        <f ca="1">_xll.BDH($C$428,"ACCOUNTS_RECEIVABLE_SEQ_GROWTH","FQ3 2015","FQ3 2015","Currency=INR","Period=FQ","BEST_FPERIOD_OVERRIDE=FQ","FILING_STATUS=OR","EQY_CONSOLIDATED=Y","Sort=A","Dates=H","DateFormat=P","Fill=—","Direction=H","UseDPDF=Y")</f>
        <v>#NAME?</v>
      </c>
      <c r="BM436" s="1" t="e">
        <f ca="1">_xll.BDH($C$428,"INVENTORY_SEQUENTIAL_GROWTH","FQ3 2015","FQ3 2015","Currency=INR","Period=FQ","BEST_FPERIOD_OVERRIDE=FQ","FILING_STATUS=OR","EQY_CONSOLIDATED=Y","Sort=A","Dates=H","DateFormat=P","Fill=—","Direction=H","UseDPDF=Y")</f>
        <v>#NAME?</v>
      </c>
      <c r="BN436" s="1" t="e">
        <f ca="1">_xll.BDH($C$428,"FIXED_ASSETS_SEQUENTIAL_GROWTH","FQ3 2015","FQ3 2015","Currency=INR","Period=FQ","BEST_FPERIOD_OVERRIDE=FQ","FILING_STATUS=OR","EQY_CONSOLIDATED=Y","Sort=A","Dates=H","DateFormat=P","Fill=—","Direction=H","UseDPDF=Y")</f>
        <v>#NAME?</v>
      </c>
      <c r="BO436" s="1" t="e">
        <f ca="1">_xll.BDH($C$428,"TOTAL_ASSETS_SEQUENTIAL_GROWTH","FQ3 2015","FQ3 2015","Currency=INR","Period=FQ","BEST_FPERIOD_OVERRIDE=FQ","FILING_STATUS=OR","EQY_CONSOLIDATED=Y","Sort=A","Dates=H","DateFormat=P","Fill=—","Direction=H","UseDPDF=Y")</f>
        <v>#NAME?</v>
      </c>
      <c r="BP436" s="1" t="e">
        <f ca="1">_xll.BDH($C$428,"MODIFIED_WORKING_CPTL_SEQ_GRWTH","FQ3 2015","FQ3 2015","Currency=INR","Period=FQ","BEST_FPERIOD_OVERRIDE=FQ","FILING_STATUS=OR","EQY_CONSOLIDATED=Y","Sort=A","Dates=H","DateFormat=P","Fill=—","Direction=H","UseDPDF=Y")</f>
        <v>#NAME?</v>
      </c>
      <c r="BQ436" s="1" t="e">
        <f ca="1">_xll.BDH($C$428,"WORKING_CAPITAL_SEQ_GROWTH","FQ3 2015","FQ3 2015","Currency=INR","Period=FQ","BEST_FPERIOD_OVERRIDE=FQ","FILING_STATUS=OR","EQY_CONSOLIDATED=Y","Sort=A","Dates=H","DateFormat=P","Fill=—","Direction=H","UseDPDF=Y")</f>
        <v>#NAME?</v>
      </c>
      <c r="BR436" s="1" t="e">
        <f ca="1">_xll.BDH($C$428,"ACCOUNTS_PAYABLE_SEQ_GROWTH","FQ3 2015","FQ3 2015","Currency=INR","Period=FQ","BEST_FPERIOD_OVERRIDE=FQ","FILING_STATUS=OR","EQY_CONSOLIDATED=Y","Sort=A","Dates=H","DateFormat=P","Fill=—","Direction=H","UseDPDF=Y")</f>
        <v>#NAME?</v>
      </c>
      <c r="BS436" s="1" t="e">
        <f ca="1">_xll.BDH($C$428,"ST_DEBT_SEQUENTIAL_GROWTH","FQ3 2015","FQ3 2015","Currency=INR","Period=FQ","BEST_FPERIOD_OVERRIDE=FQ","FILING_STATUS=OR","EQY_CONSOLIDATED=Y","Sort=A","Dates=H","DateFormat=P","Fill=—","Direction=H","UseDPDF=Y")</f>
        <v>#NAME?</v>
      </c>
      <c r="BT436" s="1" t="e">
        <f ca="1">_xll.BDH($C$428,"TOTAL_DEBT_SEQUENTIAL_GROWTH","FQ3 2015","FQ3 2015","Currency=INR","Period=FQ","BEST_FPERIOD_OVERRIDE=FQ","FILING_STATUS=OR","EQY_CONSOLIDATED=Y","Sort=A","Dates=H","DateFormat=P","Fill=—","Direction=H","UseDPDF=Y")</f>
        <v>#NAME?</v>
      </c>
      <c r="BU436" s="1" t="e">
        <f ca="1">_xll.BDH($C$428,"TOTAL_EQUITY_SEQUENTIAL_GROWTH","FQ3 2015","FQ3 2015","Currency=INR","Period=FQ","BEST_FPERIOD_OVERRIDE=FQ","FILING_STATUS=OR","EQY_CONSOLIDATED=Y","Sort=A","Dates=H","DateFormat=P","Fill=—","Direction=H","UseDPDF=Y")</f>
        <v>#NAME?</v>
      </c>
      <c r="BV436" s="1" t="e">
        <f ca="1">_xll.BDH($C$428,"TOTAL_CAPITAL_SEQUENTIAL_GROWTH","FQ3 2015","FQ3 2015","Currency=INR","Period=FQ","BEST_FPERIOD_OVERRIDE=FQ","FILING_STATUS=OR","EQY_CONSOLIDATED=Y","Sort=A","Dates=H","DateFormat=P","Fill=—","Direction=H","UseDPDF=Y")</f>
        <v>#NAME?</v>
      </c>
      <c r="BW436" s="1" t="e">
        <f ca="1">_xll.BDH($C$428,"BPS_SEQUENTIAL_GROWTH","FQ3 2015","FQ3 2015","Currency=INR","Period=FQ","BEST_FPERIOD_OVERRIDE=FQ","FILING_STATUS=OR","EQY_CONSOLIDATED=Y","Sort=A","Dates=H","DateFormat=P","Fill=—","Direction=H","UseDPDF=Y")</f>
        <v>#NAME?</v>
      </c>
      <c r="BX436" s="1" t="e">
        <f ca="1">_xll.BDH($C$428,"CFO_SEQUENTIAL_GROWTH","FQ3 2015","FQ3 2015","Currency=INR","Period=FQ","BEST_FPERIOD_OVERRIDE=FQ","FILING_STATUS=OR","EQY_CONSOLIDATED=Y","Sort=A","Dates=H","DateFormat=P","Fill=—","Direction=H","UseDPDF=Y")</f>
        <v>#NAME?</v>
      </c>
      <c r="BY436" s="2" t="e">
        <f ca="1">_xll.BDH($C$428,"SHORT_AND_LONG_TERM_DEBT","FQ3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36" s="2" t="e">
        <f ca="1">_xll.BDH($C$428,"BS_ST_BORROW","FQ3 2015","FQ3 2015","Currency=INR","Period=FQ","BEST_FPERIOD_OVERRIDE=FQ","FILING_STATUS=OR","EQY_CONSOLIDATED=Y","SCALING_FORMAT=MLN","Sort=A","Dates=H","DateFormat=P","Fill=—","Direction=H","UseDPDF=Y")</f>
        <v>#NAME?</v>
      </c>
      <c r="CA436" s="2" t="e">
        <f ca="1">_xll.BDH($C$428,"BS_LT_BORROW","FQ3 2015","FQ3 2015","Currency=INR","Period=FQ","BEST_FPERIOD_OVERRIDE=FQ","FILING_STATUS=OR","EQY_CONSOLIDATED=Y","SCALING_FORMAT=MLN","Sort=A","Dates=H","DateFormat=P","Fill=—","Direction=H","UseDPDF=Y")</f>
        <v>#NAME?</v>
      </c>
      <c r="CB436" s="1" t="e">
        <f ca="1">_xll.BDH($C$428,"TOT_DEBT_TO_EBITDA","FQ3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36" s="1" t="e">
        <f ca="1">_xll.BDH($C$428,"NET_DEBT_TO_EBITDA","FQ3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36" s="1" t="e">
        <f ca="1">_xll.BDH($C$428,"TOTAL_DEBT_TO_EBIT","FQ3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36" s="1" t="e">
        <f ca="1">_xll.BDH($C$428,"NET_DEBT_TO_EBIT","FQ3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436" s="1" t="e">
        <f ca="1">_xll.BDH($C$428,"EBITDA_TO_INTEREST_EXPN","FQ3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36" s="1" t="e">
        <f ca="1">_xll.BDH($C$428,"COM_EQY_TO_TOT_ASSET","FQ3 2015","FQ3 2015","Currency=INR","Period=FQ","BEST_FPERIOD_OVERRIDE=FQ","FILING_STATUS=OR","EQY_CONSOLIDATED=Y","Sort=A","Dates=H","DateFormat=P","Fill=—","Direction=H","UseDPDF=Y")</f>
        <v>#NAME?</v>
      </c>
      <c r="CH436" s="1" t="e">
        <f ca="1">_xll.BDH($C$428,"LT_DEBT_TO_TOT_EQY","FQ3 2015","FQ3 2015","Currency=INR","Period=FQ","BEST_FPERIOD_OVERRIDE=FQ","FILING_STATUS=OR","EQY_CONSOLIDATED=Y","Sort=A","Dates=H","DateFormat=P","Fill=—","Direction=H","UseDPDF=Y")</f>
        <v>#NAME?</v>
      </c>
      <c r="CI436" s="1" t="e">
        <f ca="1">_xll.BDH($C$428,"LT_DEBT_TO_TOT_CAP","FQ3 2015","FQ3 2015","Currency=INR","Period=FQ","BEST_FPERIOD_OVERRIDE=FQ","FILING_STATUS=OR","EQY_CONSOLIDATED=Y","Sort=A","Dates=H","DateFormat=P","Fill=—","Direction=H","UseDPDF=Y")</f>
        <v>#NAME?</v>
      </c>
      <c r="CJ436" s="1" t="e">
        <f ca="1">_xll.BDH($C$428,"LT_DEBT_TO_TOT_ASSET","FQ3 2015","FQ3 2015","Currency=INR","Period=FQ","BEST_FPERIOD_OVERRIDE=FQ","FILING_STATUS=OR","EQY_CONSOLIDATED=Y","Sort=A","Dates=H","DateFormat=P","Fill=—","Direction=H","UseDPDF=Y")</f>
        <v>#NAME?</v>
      </c>
      <c r="CK436" s="1" t="e">
        <f ca="1">_xll.BDH($C$428,"TOT_DEBT_TO_TOT_EQY","FQ3 2015","FQ3 2015","Currency=INR","Period=FQ","BEST_FPERIOD_OVERRIDE=FQ","FILING_STATUS=OR","EQY_CONSOLIDATED=Y","Sort=A","Dates=H","DateFormat=P","Fill=—","Direction=H","UseDPDF=Y")</f>
        <v>#NAME?</v>
      </c>
      <c r="CL436" s="1" t="e">
        <f ca="1">_xll.BDH($C$428,"TOT_DEBT_TO_TOT_CAP","FQ3 2015","FQ3 2015","Currency=INR","Period=FQ","BEST_FPERIOD_OVERRIDE=FQ","FILING_STATUS=OR","EQY_CONSOLIDATED=Y","Sort=A","Dates=H","DateFormat=P","Fill=—","Direction=H","UseDPDF=Y")</f>
        <v>#NAME?</v>
      </c>
      <c r="CM436" s="1" t="e">
        <f ca="1">_xll.BDH($C$428,"TOT_DEBT_TO_TOT_ASSET","FQ3 2015","FQ3 2015","Currency=INR","Period=FQ","BEST_FPERIOD_OVERRIDE=FQ","FILING_STATUS=OR","EQY_CONSOLIDATED=Y","Sort=A","Dates=H","DateFormat=P","Fill=—","Direction=H","UseDPDF=Y")</f>
        <v>#NAME?</v>
      </c>
      <c r="CN436" s="1" t="e">
        <f ca="1">_xll.BDH($C$428,"NET_DEBT_TO_SHRHLDR_EQTY","FQ3 2015","FQ3 2015","Currency=INR","Period=FQ","BEST_FPERIOD_OVERRIDE=FQ","FILING_STATUS=OR","EQY_CONSOLIDATED=Y","Sort=A","Dates=H","DateFormat=P","Fill=—","Direction=H","UseDPDF=Y")</f>
        <v>#NAME?</v>
      </c>
      <c r="CO436" s="1" t="e">
        <f ca="1">_xll.BDH($C$428,"NET_DEBT_%_CAPITAL","FQ3 2015","FQ3 2015","Currency=INR","Period=FQ","BEST_FPERIOD_OVERRIDE=FQ","FILING_STATUS=OR","EQY_CONSOLIDATED=Y","Sort=A","Dates=H","DateFormat=P","Fill=—","Direction=H","UseDPDF=Y")</f>
        <v>#NAME?</v>
      </c>
      <c r="CP436" s="2" t="e">
        <f ca="1">_xll.BDH($C$428,"EBITDA","FQ3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36" s="2" t="e">
        <f ca="1">_xll.BDH($C$428,"EBITDA_AFTER_CAPEX","FQ3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36" s="2" t="e">
        <f ca="1">_xll.BDH($C$428,"IS_OPER_INC","FQ3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36" s="1" t="e">
        <f ca="1">_xll.BDH($C$428,"CASH_RATIO","FQ3 2015","FQ3 2015","Currency=INR","Period=FQ","BEST_FPERIOD_OVERRIDE=FQ","FILING_STATUS=OR","EQY_CONSOLIDATED=Y","Sort=A","Dates=H","DateFormat=P","Fill=—","Direction=H","UseDPDF=Y")</f>
        <v>#NAME?</v>
      </c>
      <c r="CT436" s="1" t="e">
        <f ca="1">_xll.BDH($C$428,"CUR_RATIO","FQ3 2015","FQ3 2015","Currency=INR","Period=FQ","BEST_FPERIOD_OVERRIDE=FQ","FILING_STATUS=OR","EQY_CONSOLIDATED=Y","Sort=A","Dates=H","DateFormat=P","Fill=—","Direction=H","UseDPDF=Y")</f>
        <v>#NAME?</v>
      </c>
      <c r="CU436" s="1" t="e">
        <f ca="1">_xll.BDH($C$428,"QUICK_RATIO","FQ3 2015","FQ3 2015","Currency=INR","Period=FQ","BEST_FPERIOD_OVERRIDE=FQ","FILING_STATUS=OR","EQY_CONSOLIDATED=Y","Sort=A","Dates=H","DateFormat=P","Fill=—","Direction=H","UseDPDF=Y")</f>
        <v>#NAME?</v>
      </c>
      <c r="CV436" s="1" t="e">
        <f ca="1">_xll.BDH($C$428,"ALTMAN_Z_SCORE","FQ3 2015","FQ3 2015","Currency=INR","Period=FQ","BEST_FPERIOD_OVERRIDE=FQ","FILING_STATUS=OR","EQY_CONSOLIDATED=Y","Sort=A","Dates=H","DateFormat=P","Fill=—","Direction=H","UseDPDF=Y")</f>
        <v>#NAME?</v>
      </c>
      <c r="CW436" s="3" t="e">
        <f ca="1">_xll.BDH($C$428,"ACCT_RCV_TURN","FQ3 2015","FQ3 2015","Currency=INR","Period=FQ","BEST_FPERIOD_OVERRIDE=FQ","FILING_STATUS=OR","EQY_CONSOLIDATED=Y","FA_ADJUSTED=GAAP","Sort=A","Dates=H","DateFormat=P","Fill=—","Direction=H","UseDPDF=Y")</f>
        <v>#NAME?</v>
      </c>
      <c r="CX436" s="1" t="e">
        <f ca="1">_xll.BDH($C$428,"ACCT_RCV_DAYS","FQ3 2015","FQ3 2015","Currency=INR","Period=FQ","BEST_FPERIOD_OVERRIDE=FQ","FILING_STATUS=OR","EQY_CONSOLIDATED=Y","FA_ADJUSTED=GAAP","Sort=A","Dates=H","DateFormat=P","Fill=—","Direction=H","UseDPDF=Y")</f>
        <v>#NAME?</v>
      </c>
      <c r="CY436" s="3" t="e">
        <f ca="1">_xll.BDH($C$428,"INVENT_TURN","FQ3 2015","FQ3 2015","Currency=INR","Period=FQ","BEST_FPERIOD_OVERRIDE=FQ","FILING_STATUS=OR","EQY_CONSOLIDATED=Y","FA_ADJUSTED=GAAP","Sort=A","Dates=H","DateFormat=P","Fill=—","Direction=H","UseDPDF=Y")</f>
        <v>#NAME?</v>
      </c>
      <c r="CZ436" s="1" t="e">
        <f ca="1">_xll.BDH($C$428,"INVENT_DAYS","FQ3 2015","FQ3 2015","Currency=INR","Period=FQ","BEST_FPERIOD_OVERRIDE=FQ","FILING_STATUS=OR","EQY_CONSOLIDATED=Y","FA_ADJUSTED=GAAP","Sort=A","Dates=H","DateFormat=P","Fill=—","Direction=H","UseDPDF=Y")</f>
        <v>#NAME?</v>
      </c>
      <c r="DA436" s="3" t="e">
        <f ca="1">_xll.BDH($C$428,"ACCOUNTS_PAYABLE_TURNOVER","FQ3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36" s="1" t="e">
        <f ca="1">_xll.BDH($C$428,"ACCOUNTS_PAYABLE_TURNOVER_DAYS","FQ3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36" s="3" t="e">
        <f ca="1">_xll.BDH($C$428,"CASH_CONVERSION_CYCLE","FQ3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36" s="3" t="e">
        <f ca="1">_xll.BDH($C$428,"INV_TO_CASH_DAYS","FQ3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436" s="4" t="e">
        <f ca="1">_xll.BDH($C$428,"BS_INVENTORIES","FQ3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436" s="2" t="e">
        <f ca="1">_xll.BDH($C$428,"INVTRY_RAW_MATERIALS","FQ3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36" s="2" t="e">
        <f ca="1">_xll.BDH($C$428,"INVTRY_IN_PROGRESS","FQ3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36" s="2" t="e">
        <f ca="1">_xll.BDH($C$428,"INVTRY_FINISHED_GOODS","FQ3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36" s="2" t="e">
        <f ca="1">_xll.BDH($C$428,"BS_OTHER_INV","FQ3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37" spans="1:113" x14ac:dyDescent="0.3">
      <c r="A437" s="6"/>
      <c r="B437" s="6"/>
      <c r="C437" s="6"/>
      <c r="D437" s="6"/>
      <c r="E437" t="s">
        <v>7</v>
      </c>
      <c r="F437" t="e">
        <f ca="1">_xll.BDH($C$428,"RETURN_COM_EQY","FQ4 2015","FQ4 2015","Currency=INR","Period=FQ","BEST_FPERIOD_OVERRIDE=FQ","FILING_STATUS=OR","EQY_CONSOLIDATED=Y","FA_ADJUSTED=GAAP","Sort=A","Dates=H","DateFormat=P","Fill=—","Direction=H","UseDPDF=Y")</f>
        <v>#NAME?</v>
      </c>
      <c r="G437" t="e">
        <f ca="1">_xll.BDH($C$428,"RETURN_ON_ASSET","FQ4 2015","FQ4 2015","Currency=INR","Period=FQ","BEST_FPERIOD_OVERRIDE=FQ","FILING_STATUS=OR","EQY_CONSOLIDATED=Y","FA_ADJUSTED=GAAP","Sort=A","Dates=H","DateFormat=P","Fill=—","Direction=H","UseDPDF=Y")</f>
        <v>#NAME?</v>
      </c>
      <c r="H437" t="e">
        <f ca="1">_xll.BDH($C$428,"RETURN_ON_CAP","FQ4 2015","FQ4 2015","Currency=INR","Period=FQ","BEST_FPERIOD_OVERRIDE=FQ","FILING_STATUS=OR","EQY_CONSOLIDATED=Y","FA_ADJUSTED=GAAP","Sort=A","Dates=H","DateFormat=P","Fill=—","Direction=H","UseDPDF=Y")</f>
        <v>#NAME?</v>
      </c>
      <c r="I437" t="e">
        <f ca="1">_xll.BDH($C$428,"RETURN_ON_INV_CAPITAL","FQ4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37" t="e">
        <f ca="1">_xll.BDH($C$428,"EBITDA_TO_REVENUE","FQ4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437" t="e">
        <f ca="1">_xll.BDH($C$428,"OPER_MARGIN","FQ4 2015","FQ4 2015","Currency=INR","Period=FQ","BEST_FPERIOD_OVERRIDE=FQ","FILING_STATUS=OR","EQY_CONSOLIDATED=Y","FA_ADJUSTED=GAAP","Sort=A","Dates=H","DateFormat=P","Fill=—","Direction=H","UseDPDF=Y")</f>
        <v>#NAME?</v>
      </c>
      <c r="L437" t="e">
        <f ca="1">_xll.BDH($C$428,"INCREMENTAL_OPERATING_MARGIN","FQ4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37" t="e">
        <f ca="1">_xll.BDH($C$428,"PRETAX_INC_TO_NET_SALES","FQ4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37" t="e">
        <f ca="1">_xll.BDH($C$428,"INC_BEF_XO_ITEMS_TO_NET_SALES","FQ4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37" t="e">
        <f ca="1">_xll.BDH($C$428,"PROF_MARGIN","FQ4 2015","FQ4 2015","Currency=INR","Period=FQ","BEST_FPERIOD_OVERRIDE=FQ","FILING_STATUS=OR","EQY_CONSOLIDATED=Y","FA_ADJUSTED=GAAP","Sort=A","Dates=H","DateFormat=P","Fill=—","Direction=H","UseDPDF=Y")</f>
        <v>#NAME?</v>
      </c>
      <c r="P437" t="e">
        <f ca="1">_xll.BDH($C$428,"NET_INCOME_TO_COMMON_MARGIN","FQ4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37" t="e">
        <f ca="1">_xll.BDH($C$428,"EFF_TAX_RATE","FQ4 2015","FQ4 2015","Currency=INR","Period=FQ","BEST_FPERIOD_OVERRIDE=FQ","FILING_STATUS=OR","EQY_CONSOLIDATED=Y","FA_ADJUSTED=GAAP","Sort=A","Dates=H","DateFormat=P","Fill=—","Direction=H","UseDPDF=Y")</f>
        <v>#NAME?</v>
      </c>
      <c r="R437" t="e">
        <f ca="1">_xll.BDH($C$428,"DVD_PAYOUT_RATIO","FQ4 2015","FQ4 2015","Currency=INR","Period=FQ","BEST_FPERIOD_OVERRIDE=FQ","FILING_STATUS=OR","EQY_CONSOLIDATED=Y","FA_ADJUSTED=GAAP","Sort=A","Dates=H","DateFormat=P","Fill=—","Direction=H","UseDPDF=Y")</f>
        <v>#NAME?</v>
      </c>
      <c r="S437" t="e">
        <f ca="1">_xll.BDH($C$428,"SUSTAIN_GROWTH_RT","FQ4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437" s="1" t="e">
        <f ca="1">_xll.BDH($C$428,"SALES_GROWTH","FQ4 2015","FQ4 2015","Currency=INR","Period=FQ","BEST_FPERIOD_OVERRIDE=FQ","FILING_STATUS=OR","EQY_CONSOLIDATED=Y","FA_ADJUSTED=GAAP","Sort=A","Dates=H","DateFormat=P","Fill=—","Direction=H","UseDPDF=Y")</f>
        <v>#NAME?</v>
      </c>
      <c r="U437" s="1" t="e">
        <f ca="1">_xll.BDH($C$428,"EBITDA_GROWTH","FQ4 2015","FQ4 2015","Currency=INR","Period=FQ","BEST_FPERIOD_OVERRIDE=FQ","FILING_STATUS=OR","EQY_CONSOLIDATED=Y","FA_ADJUSTED=GAAP","Sort=A","Dates=H","DateFormat=P","Fill=—","Direction=H","UseDPDF=Y")</f>
        <v>#NAME?</v>
      </c>
      <c r="V437" s="1" t="e">
        <f ca="1">_xll.BDH($C$428,"OPER_INC_GROWTH","FQ4 2015","FQ4 2015","Currency=INR","Period=FQ","BEST_FPERIOD_OVERRIDE=FQ","FILING_STATUS=OR","EQY_CONSOLIDATED=Y","FA_ADJUSTED=GAAP","Sort=A","Dates=H","DateFormat=P","Fill=—","Direction=H","UseDPDF=Y")</f>
        <v>#NAME?</v>
      </c>
      <c r="W437" s="1" t="e">
        <f ca="1">_xll.BDH($C$428,"EARN_FOR_COM_GROWTH","FQ4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37" s="1" t="e">
        <f ca="1">_xll.BDH($C$428,"DILUTED_EPS_AFT_XO_ITEMS_GROWTH","FQ4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37" s="1" t="e">
        <f ca="1">_xll.BDH($C$428,"DIVIDEND_PER_SHARE_1_YEAR_GROWTH","FQ4 2015","FQ4 2015","Currency=INR","Period=FQ","BEST_FPERIOD_OVERRIDE=FQ","FILING_STATUS=OR","EQY_CONSOLIDATED=Y","Sort=A","Dates=H","DateFormat=P","Fill=—","Direction=H","UseDPDF=Y")</f>
        <v>#NAME?</v>
      </c>
      <c r="Z437" s="1" t="e">
        <f ca="1">_xll.BDH($C$428,"ACCOUNTS_RECEIVABLE_GROWTH","FQ4 2015","FQ4 2015","Currency=INR","Period=FQ","BEST_FPERIOD_OVERRIDE=FQ","FILING_STATUS=OR","EQY_CONSOLIDATED=Y","Sort=A","Dates=H","DateFormat=P","Fill=—","Direction=H","UseDPDF=Y")</f>
        <v>#NAME?</v>
      </c>
      <c r="AA437" s="1" t="e">
        <f ca="1">_xll.BDH($C$428,"INVENTORY_GROWTH","FQ4 2015","FQ4 2015","Currency=INR","Period=FQ","BEST_FPERIOD_OVERRIDE=FQ","FILING_STATUS=OR","EQY_CONSOLIDATED=Y","Sort=A","Dates=H","DateFormat=P","Fill=—","Direction=H","UseDPDF=Y")</f>
        <v>#NAME?</v>
      </c>
      <c r="AB437" s="1" t="e">
        <f ca="1">_xll.BDH($C$428,"NET_FIXED_ASSETS_1_YEAR_GROWTH","FQ4 2015","FQ4 2015","Currency=INR","Period=FQ","BEST_FPERIOD_OVERRIDE=FQ","FILING_STATUS=OR","EQY_CONSOLIDATED=Y","Sort=A","Dates=H","DateFormat=P","Fill=—","Direction=H","UseDPDF=Y")</f>
        <v>#NAME?</v>
      </c>
      <c r="AC437" s="1" t="e">
        <f ca="1">_xll.BDH($C$428,"ASSET_GROWTH","FQ4 2015","FQ4 2015","Currency=INR","Period=FQ","BEST_FPERIOD_OVERRIDE=FQ","FILING_STATUS=OR","EQY_CONSOLIDATED=Y","Sort=A","Dates=H","DateFormat=P","Fill=—","Direction=H","UseDPDF=Y")</f>
        <v>#NAME?</v>
      </c>
      <c r="AD437" s="1" t="e">
        <f ca="1">_xll.BDH($C$428,"MODIFIED_WORK_CAP_GROWTH","FQ4 2015","FQ4 2015","Currency=INR","Period=FQ","BEST_FPERIOD_OVERRIDE=FQ","FILING_STATUS=OR","EQY_CONSOLIDATED=Y","Sort=A","Dates=H","DateFormat=P","Fill=—","Direction=H","UseDPDF=Y")</f>
        <v>#NAME?</v>
      </c>
      <c r="AE437" s="1" t="e">
        <f ca="1">_xll.BDH($C$428,"WORK_CAP_GROWTH","FQ4 2015","FQ4 2015","Currency=INR","Period=FQ","BEST_FPERIOD_OVERRIDE=FQ","FILING_STATUS=OR","EQY_CONSOLIDATED=Y","Sort=A","Dates=H","DateFormat=P","Fill=—","Direction=H","UseDPDF=Y")</f>
        <v>#NAME?</v>
      </c>
      <c r="AF437" s="1" t="e">
        <f ca="1">_xll.BDH($C$428,"ACCOUNTS_PAYABLE_GROWTH_1YR","FQ4 2015","FQ4 2015","Currency=INR","Period=FQ","BEST_FPERIOD_OVERRIDE=FQ","FILING_STATUS=OR","EQY_CONSOLIDATED=Y","Sort=A","Dates=H","DateFormat=P","Fill=—","Direction=H","UseDPDF=Y")</f>
        <v>#NAME?</v>
      </c>
      <c r="AG437" s="1" t="e">
        <f ca="1">_xll.BDH($C$428,"SHORT_TERM_DEBT_1_YEAR_GROWTH","FQ4 2015","FQ4 2015","Currency=INR","Period=FQ","BEST_FPERIOD_OVERRIDE=FQ","FILING_STATUS=OR","EQY_CONSOLIDATED=Y","Sort=A","Dates=H","DateFormat=P","Fill=—","Direction=H","UseDPDF=Y")</f>
        <v>#NAME?</v>
      </c>
      <c r="AH437" s="1" t="e">
        <f ca="1">_xll.BDH($C$428,"TOTAL_DEBT_1_YEAR_GROWTH","FQ4 2015","FQ4 2015","Currency=INR","Period=FQ","BEST_FPERIOD_OVERRIDE=FQ","FILING_STATUS=OR","EQY_CONSOLIDATED=Y","Sort=A","Dates=H","DateFormat=P","Fill=—","Direction=H","UseDPDF=Y")</f>
        <v>#NAME?</v>
      </c>
      <c r="AI437" s="1" t="e">
        <f ca="1">_xll.BDH($C$428,"TOTAL_EQUITY_1_YEAR_GROWTH","FQ4 2015","FQ4 2015","Currency=INR","Period=FQ","BEST_FPERIOD_OVERRIDE=FQ","FILING_STATUS=OR","EQY_CONSOLIDATED=Y","Sort=A","Dates=H","DateFormat=P","Fill=—","Direction=H","UseDPDF=Y")</f>
        <v>#NAME?</v>
      </c>
      <c r="AJ437" s="1" t="e">
        <f ca="1">_xll.BDH($C$428,"GROWTH_IN_CAP","FQ4 2015","FQ4 2015","Currency=INR","Period=FQ","BEST_FPERIOD_OVERRIDE=FQ","FILING_STATUS=OR","EQY_CONSOLIDATED=Y","Sort=A","Dates=H","DateFormat=P","Fill=—","Direction=H","UseDPDF=Y")</f>
        <v>#NAME?</v>
      </c>
      <c r="AK437" s="1" t="e">
        <f ca="1">_xll.BDH($C$428,"BVPS_GROWTH","FQ4 2015","FQ4 2015","Currency=INR","Period=FQ","BEST_FPERIOD_OVERRIDE=FQ","FILING_STATUS=OR","EQY_CONSOLIDATED=Y","Sort=A","Dates=H","DateFormat=P","Fill=—","Direction=H","UseDPDF=Y")</f>
        <v>#NAME?</v>
      </c>
      <c r="AL437" s="1" t="e">
        <f ca="1">_xll.BDH($C$428,"CASH_FLOW_GROWTH","FQ4 2015","FQ4 2015","Currency=INR","Period=FQ","BEST_FPERIOD_OVERRIDE=FQ","FILING_STATUS=OR","EQY_CONSOLIDATED=Y","Sort=A","Dates=H","DateFormat=P","Fill=—","Direction=H","UseDPDF=Y")</f>
        <v>#NAME?</v>
      </c>
      <c r="AM437" s="1" t="e">
        <f ca="1">_xll.BDH($C$428,"GEO_GROW_NET_SALES","FQ4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37" s="1" t="e">
        <f ca="1">_xll.BDH($C$428,"GEO_GROW_EBITDA","FQ4 2015","FQ4 2015","Currency=INR","Period=FQ","BEST_FPERIOD_OVERRIDE=FQ","FILING_STATUS=OR","EQY_CONSOLIDATED=Y","FA_ADJUSTED=GAAP","Sort=A","Dates=H","DateFormat=P","Fill=—","Direction=H","UseDPDF=Y")</f>
        <v>#NAME?</v>
      </c>
      <c r="AO437" s="1" t="e">
        <f ca="1">_xll.BDH($C$428,"GEO_GROW_OPER_INC","FQ4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37" s="1" t="e">
        <f ca="1">_xll.BDH($C$428,"NET_INCOME_TO_COMMON_5_YR_GROWTH","FQ4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37" s="1" t="e">
        <f ca="1">_xll.BDH($C$428,"5Y_GEO_GROWTH_DILUTED_EPS","FQ4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37" s="1" t="e">
        <f ca="1">_xll.BDH($C$428,"GEO_GROW_DVD_PER_SH","FQ4 2015","FQ4 2015","Currency=INR","Period=FQ","BEST_FPERIOD_OVERRIDE=FQ","FILING_STATUS=OR","EQY_CONSOLIDATED=Y","Sort=A","Dates=H","DateFormat=P","Fill=—","Direction=H","UseDPDF=Y")</f>
        <v>#NAME?</v>
      </c>
      <c r="AS437" s="1" t="e">
        <f ca="1">_xll.BDH($C$428,"ACCOUNTS_RECEIVABLE_5_YR_GROWTH","FQ4 2015","FQ4 2015","Currency=INR","Period=FQ","BEST_FPERIOD_OVERRIDE=FQ","FILING_STATUS=OR","EQY_CONSOLIDATED=Y","Sort=A","Dates=H","DateFormat=P","Fill=—","Direction=H","UseDPDF=Y")</f>
        <v>#NAME?</v>
      </c>
      <c r="AT437" s="1" t="e">
        <f ca="1">_xll.BDH($C$428,"INVENTORY_5_YEAR_GROWTH","FQ4 2015","FQ4 2015","Currency=INR","Period=FQ","BEST_FPERIOD_OVERRIDE=FQ","FILING_STATUS=OR","EQY_CONSOLIDATED=Y","Sort=A","Dates=H","DateFormat=P","Fill=—","Direction=H","UseDPDF=Y")</f>
        <v>#NAME?</v>
      </c>
      <c r="AU437" s="1" t="e">
        <f ca="1">_xll.BDH($C$428,"NET_FIXED_ASSETS_5_YEAR_GROWTH","FQ4 2015","FQ4 2015","Currency=INR","Period=FQ","BEST_FPERIOD_OVERRIDE=FQ","FILING_STATUS=OR","EQY_CONSOLIDATED=Y","Sort=A","Dates=H","DateFormat=P","Fill=—","Direction=H","UseDPDF=Y")</f>
        <v>#NAME?</v>
      </c>
      <c r="AV437" s="1" t="e">
        <f ca="1">_xll.BDH($C$428,"GEO_GROW_TOT_ASSET","FQ4 2015","FQ4 2015","Currency=INR","Period=FQ","BEST_FPERIOD_OVERRIDE=FQ","FILING_STATUS=OR","EQY_CONSOLIDATED=Y","Sort=A","Dates=H","DateFormat=P","Fill=—","Direction=H","UseDPDF=Y")</f>
        <v>#NAME?</v>
      </c>
      <c r="AW437" s="1" t="e">
        <f ca="1">_xll.BDH($C$428,"MODIFIED_WORKING_CPTL_5YR_GRWTH","FQ4 2015","FQ4 2015","Currency=INR","Period=FQ","BEST_FPERIOD_OVERRIDE=FQ","FILING_STATUS=OR","EQY_CONSOLIDATED=Y","Sort=A","Dates=H","DateFormat=P","Fill=—","Direction=H","UseDPDF=Y")</f>
        <v>#NAME?</v>
      </c>
      <c r="AX437" s="1" t="e">
        <f ca="1">_xll.BDH($C$428,"WORKING_CAPITAL_5_YEAR_GROWTH","FQ4 2015","FQ4 2015","Currency=INR","Period=FQ","BEST_FPERIOD_OVERRIDE=FQ","FILING_STATUS=OR","EQY_CONSOLIDATED=Y","Sort=A","Dates=H","DateFormat=P","Fill=—","Direction=H","UseDPDF=Y")</f>
        <v>#NAME?</v>
      </c>
      <c r="AY437" s="1" t="e">
        <f ca="1">_xll.BDH($C$428,"ACCOUNTS_PAYABLE_5_YEAR_GROWTH","FQ4 2015","FQ4 2015","Currency=INR","Period=FQ","BEST_FPERIOD_OVERRIDE=FQ","FILING_STATUS=OR","EQY_CONSOLIDATED=Y","Sort=A","Dates=H","DateFormat=P","Fill=—","Direction=H","UseDPDF=Y")</f>
        <v>#NAME?</v>
      </c>
      <c r="AZ437" s="1" t="e">
        <f ca="1">_xll.BDH($C$428,"SHORT_TERM_DEBT_5_YEAR_GROWTH","FQ4 2015","FQ4 2015","Currency=INR","Period=FQ","BEST_FPERIOD_OVERRIDE=FQ","FILING_STATUS=OR","EQY_CONSOLIDATED=Y","Sort=A","Dates=H","DateFormat=P","Fill=—","Direction=H","UseDPDF=Y")</f>
        <v>#NAME?</v>
      </c>
      <c r="BA437" s="1" t="e">
        <f ca="1">_xll.BDH($C$428,"TOTAL_DEBT_5_YEAR_GROWTH","FQ4 2015","FQ4 2015","Currency=INR","Period=FQ","BEST_FPERIOD_OVERRIDE=FQ","FILING_STATUS=OR","EQY_CONSOLIDATED=Y","Sort=A","Dates=H","DateFormat=P","Fill=—","Direction=H","UseDPDF=Y")</f>
        <v>#NAME?</v>
      </c>
      <c r="BB437" s="1" t="e">
        <f ca="1">_xll.BDH($C$428,"GEO_GROW_TOT_SHRHLDR_EQY","FQ4 2015","FQ4 2015","Currency=INR","Period=FQ","BEST_FPERIOD_OVERRIDE=FQ","FILING_STATUS=OR","EQY_CONSOLIDATED=Y","Sort=A","Dates=H","DateFormat=P","Fill=—","Direction=H","UseDPDF=Y")</f>
        <v>#NAME?</v>
      </c>
      <c r="BC437" s="1" t="e">
        <f ca="1">_xll.BDH($C$428,"TOTAL_CAPITAL_5_YEAR_GROWTH","FQ4 2015","FQ4 2015","Currency=INR","Period=FQ","BEST_FPERIOD_OVERRIDE=FQ","FILING_STATUS=OR","EQY_CONSOLIDATED=Y","Sort=A","Dates=H","DateFormat=P","Fill=—","Direction=H","UseDPDF=Y")</f>
        <v>#NAME?</v>
      </c>
      <c r="BD437" s="1" t="e">
        <f ca="1">_xll.BDH($C$428,"GEO_GROW_BOOK_VAL","FQ4 2015","FQ4 2015","Currency=INR","Period=FQ","BEST_FPERIOD_OVERRIDE=FQ","FILING_STATUS=OR","EQY_CONSOLIDATED=Y","Sort=A","Dates=H","DateFormat=P","Fill=—","Direction=H","UseDPDF=Y")</f>
        <v>#NAME?</v>
      </c>
      <c r="BE437" s="1" t="e">
        <f ca="1">_xll.BDH($C$428,"GEO_GROW_CASH_OPER_ACT","FQ4 2015","FQ4 2015","Currency=INR","Period=FQ","BEST_FPERIOD_OVERRIDE=FQ","FILING_STATUS=OR","EQY_CONSOLIDATED=Y","Sort=A","Dates=H","DateFormat=P","Fill=—","Direction=H","UseDPDF=Y")</f>
        <v>#NAME?</v>
      </c>
      <c r="BF437" s="1" t="e">
        <f ca="1">_xll.BDH($C$428,"REVENUE_SEQUENTIAL_GROWTH","FQ4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37" s="1" t="e">
        <f ca="1">_xll.BDH($C$428,"EBITDA_SEQUENTIAL_GROWTH","FQ4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37" s="1" t="e">
        <f ca="1">_xll.BDH($C$428,"OPERATING_INCOME_SEQ_GROWTH","FQ4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37" s="1" t="e">
        <f ca="1">_xll.BDH($C$428,"NET_INCOME_TO_COMMON_SEQ_GROWTH","FQ4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37" s="1" t="e">
        <f ca="1">_xll.BDH($C$428,"EPS_DILUTED_SEQUENTIAL_GROWTH","FQ4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37" s="1" t="e">
        <f ca="1">_xll.BDH($C$428,"DPS_SEQUENTIAL_GROWTH","FQ4 2015","FQ4 2015","Currency=INR","Period=FQ","BEST_FPERIOD_OVERRIDE=FQ","FILING_STATUS=OR","EQY_CONSOLIDATED=Y","Sort=A","Dates=H","DateFormat=P","Fill=—","Direction=H","UseDPDF=Y")</f>
        <v>#NAME?</v>
      </c>
      <c r="BL437" s="1" t="e">
        <f ca="1">_xll.BDH($C$428,"ACCOUNTS_RECEIVABLE_SEQ_GROWTH","FQ4 2015","FQ4 2015","Currency=INR","Period=FQ","BEST_FPERIOD_OVERRIDE=FQ","FILING_STATUS=OR","EQY_CONSOLIDATED=Y","Sort=A","Dates=H","DateFormat=P","Fill=—","Direction=H","UseDPDF=Y")</f>
        <v>#NAME?</v>
      </c>
      <c r="BM437" s="1" t="e">
        <f ca="1">_xll.BDH($C$428,"INVENTORY_SEQUENTIAL_GROWTH","FQ4 2015","FQ4 2015","Currency=INR","Period=FQ","BEST_FPERIOD_OVERRIDE=FQ","FILING_STATUS=OR","EQY_CONSOLIDATED=Y","Sort=A","Dates=H","DateFormat=P","Fill=—","Direction=H","UseDPDF=Y")</f>
        <v>#NAME?</v>
      </c>
      <c r="BN437" s="1" t="e">
        <f ca="1">_xll.BDH($C$428,"FIXED_ASSETS_SEQUENTIAL_GROWTH","FQ4 2015","FQ4 2015","Currency=INR","Period=FQ","BEST_FPERIOD_OVERRIDE=FQ","FILING_STATUS=OR","EQY_CONSOLIDATED=Y","Sort=A","Dates=H","DateFormat=P","Fill=—","Direction=H","UseDPDF=Y")</f>
        <v>#NAME?</v>
      </c>
      <c r="BO437" s="1" t="e">
        <f ca="1">_xll.BDH($C$428,"TOTAL_ASSETS_SEQUENTIAL_GROWTH","FQ4 2015","FQ4 2015","Currency=INR","Period=FQ","BEST_FPERIOD_OVERRIDE=FQ","FILING_STATUS=OR","EQY_CONSOLIDATED=Y","Sort=A","Dates=H","DateFormat=P","Fill=—","Direction=H","UseDPDF=Y")</f>
        <v>#NAME?</v>
      </c>
      <c r="BP437" s="1" t="e">
        <f ca="1">_xll.BDH($C$428,"MODIFIED_WORKING_CPTL_SEQ_GRWTH","FQ4 2015","FQ4 2015","Currency=INR","Period=FQ","BEST_FPERIOD_OVERRIDE=FQ","FILING_STATUS=OR","EQY_CONSOLIDATED=Y","Sort=A","Dates=H","DateFormat=P","Fill=—","Direction=H","UseDPDF=Y")</f>
        <v>#NAME?</v>
      </c>
      <c r="BQ437" s="1" t="e">
        <f ca="1">_xll.BDH($C$428,"WORKING_CAPITAL_SEQ_GROWTH","FQ4 2015","FQ4 2015","Currency=INR","Period=FQ","BEST_FPERIOD_OVERRIDE=FQ","FILING_STATUS=OR","EQY_CONSOLIDATED=Y","Sort=A","Dates=H","DateFormat=P","Fill=—","Direction=H","UseDPDF=Y")</f>
        <v>#NAME?</v>
      </c>
      <c r="BR437" s="1" t="e">
        <f ca="1">_xll.BDH($C$428,"ACCOUNTS_PAYABLE_SEQ_GROWTH","FQ4 2015","FQ4 2015","Currency=INR","Period=FQ","BEST_FPERIOD_OVERRIDE=FQ","FILING_STATUS=OR","EQY_CONSOLIDATED=Y","Sort=A","Dates=H","DateFormat=P","Fill=—","Direction=H","UseDPDF=Y")</f>
        <v>#NAME?</v>
      </c>
      <c r="BS437" s="1" t="e">
        <f ca="1">_xll.BDH($C$428,"ST_DEBT_SEQUENTIAL_GROWTH","FQ4 2015","FQ4 2015","Currency=INR","Period=FQ","BEST_FPERIOD_OVERRIDE=FQ","FILING_STATUS=OR","EQY_CONSOLIDATED=Y","Sort=A","Dates=H","DateFormat=P","Fill=—","Direction=H","UseDPDF=Y")</f>
        <v>#NAME?</v>
      </c>
      <c r="BT437" s="1" t="e">
        <f ca="1">_xll.BDH($C$428,"TOTAL_DEBT_SEQUENTIAL_GROWTH","FQ4 2015","FQ4 2015","Currency=INR","Period=FQ","BEST_FPERIOD_OVERRIDE=FQ","FILING_STATUS=OR","EQY_CONSOLIDATED=Y","Sort=A","Dates=H","DateFormat=P","Fill=—","Direction=H","UseDPDF=Y")</f>
        <v>#NAME?</v>
      </c>
      <c r="BU437" s="1" t="e">
        <f ca="1">_xll.BDH($C$428,"TOTAL_EQUITY_SEQUENTIAL_GROWTH","FQ4 2015","FQ4 2015","Currency=INR","Period=FQ","BEST_FPERIOD_OVERRIDE=FQ","FILING_STATUS=OR","EQY_CONSOLIDATED=Y","Sort=A","Dates=H","DateFormat=P","Fill=—","Direction=H","UseDPDF=Y")</f>
        <v>#NAME?</v>
      </c>
      <c r="BV437" s="1" t="e">
        <f ca="1">_xll.BDH($C$428,"TOTAL_CAPITAL_SEQUENTIAL_GROWTH","FQ4 2015","FQ4 2015","Currency=INR","Period=FQ","BEST_FPERIOD_OVERRIDE=FQ","FILING_STATUS=OR","EQY_CONSOLIDATED=Y","Sort=A","Dates=H","DateFormat=P","Fill=—","Direction=H","UseDPDF=Y")</f>
        <v>#NAME?</v>
      </c>
      <c r="BW437" s="1" t="e">
        <f ca="1">_xll.BDH($C$428,"BPS_SEQUENTIAL_GROWTH","FQ4 2015","FQ4 2015","Currency=INR","Period=FQ","BEST_FPERIOD_OVERRIDE=FQ","FILING_STATUS=OR","EQY_CONSOLIDATED=Y","Sort=A","Dates=H","DateFormat=P","Fill=—","Direction=H","UseDPDF=Y")</f>
        <v>#NAME?</v>
      </c>
      <c r="BX437" s="1" t="e">
        <f ca="1">_xll.BDH($C$428,"CFO_SEQUENTIAL_GROWTH","FQ4 2015","FQ4 2015","Currency=INR","Period=FQ","BEST_FPERIOD_OVERRIDE=FQ","FILING_STATUS=OR","EQY_CONSOLIDATED=Y","Sort=A","Dates=H","DateFormat=P","Fill=—","Direction=H","UseDPDF=Y")</f>
        <v>#NAME?</v>
      </c>
      <c r="BY437" s="2" t="e">
        <f ca="1">_xll.BDH($C$428,"SHORT_AND_LONG_TERM_DEBT","FQ4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37" s="2" t="e">
        <f ca="1">_xll.BDH($C$428,"BS_ST_BORROW","FQ4 2015","FQ4 2015","Currency=INR","Period=FQ","BEST_FPERIOD_OVERRIDE=FQ","FILING_STATUS=OR","EQY_CONSOLIDATED=Y","SCALING_FORMAT=MLN","Sort=A","Dates=H","DateFormat=P","Fill=—","Direction=H","UseDPDF=Y")</f>
        <v>#NAME?</v>
      </c>
      <c r="CA437" s="2" t="e">
        <f ca="1">_xll.BDH($C$428,"BS_LT_BORROW","FQ4 2015","FQ4 2015","Currency=INR","Period=FQ","BEST_FPERIOD_OVERRIDE=FQ","FILING_STATUS=OR","EQY_CONSOLIDATED=Y","SCALING_FORMAT=MLN","Sort=A","Dates=H","DateFormat=P","Fill=—","Direction=H","UseDPDF=Y")</f>
        <v>#NAME?</v>
      </c>
      <c r="CB437" s="1" t="e">
        <f ca="1">_xll.BDH($C$428,"TOT_DEBT_TO_EBITDA","FQ4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37" s="1" t="e">
        <f ca="1">_xll.BDH($C$428,"NET_DEBT_TO_EBITDA","FQ4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37" s="1" t="e">
        <f ca="1">_xll.BDH($C$428,"TOTAL_DEBT_TO_EBIT","FQ4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37" s="1" t="e">
        <f ca="1">_xll.BDH($C$428,"NET_DEBT_TO_EBIT","FQ4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437" s="1" t="e">
        <f ca="1">_xll.BDH($C$428,"EBITDA_TO_INTEREST_EXPN","FQ4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37" s="1" t="e">
        <f ca="1">_xll.BDH($C$428,"COM_EQY_TO_TOT_ASSET","FQ4 2015","FQ4 2015","Currency=INR","Period=FQ","BEST_FPERIOD_OVERRIDE=FQ","FILING_STATUS=OR","EQY_CONSOLIDATED=Y","Sort=A","Dates=H","DateFormat=P","Fill=—","Direction=H","UseDPDF=Y")</f>
        <v>#NAME?</v>
      </c>
      <c r="CH437" s="1" t="e">
        <f ca="1">_xll.BDH($C$428,"LT_DEBT_TO_TOT_EQY","FQ4 2015","FQ4 2015","Currency=INR","Period=FQ","BEST_FPERIOD_OVERRIDE=FQ","FILING_STATUS=OR","EQY_CONSOLIDATED=Y","Sort=A","Dates=H","DateFormat=P","Fill=—","Direction=H","UseDPDF=Y")</f>
        <v>#NAME?</v>
      </c>
      <c r="CI437" s="1" t="e">
        <f ca="1">_xll.BDH($C$428,"LT_DEBT_TO_TOT_CAP","FQ4 2015","FQ4 2015","Currency=INR","Period=FQ","BEST_FPERIOD_OVERRIDE=FQ","FILING_STATUS=OR","EQY_CONSOLIDATED=Y","Sort=A","Dates=H","DateFormat=P","Fill=—","Direction=H","UseDPDF=Y")</f>
        <v>#NAME?</v>
      </c>
      <c r="CJ437" s="1" t="e">
        <f ca="1">_xll.BDH($C$428,"LT_DEBT_TO_TOT_ASSET","FQ4 2015","FQ4 2015","Currency=INR","Period=FQ","BEST_FPERIOD_OVERRIDE=FQ","FILING_STATUS=OR","EQY_CONSOLIDATED=Y","Sort=A","Dates=H","DateFormat=P","Fill=—","Direction=H","UseDPDF=Y")</f>
        <v>#NAME?</v>
      </c>
      <c r="CK437" s="1" t="e">
        <f ca="1">_xll.BDH($C$428,"TOT_DEBT_TO_TOT_EQY","FQ4 2015","FQ4 2015","Currency=INR","Period=FQ","BEST_FPERIOD_OVERRIDE=FQ","FILING_STATUS=OR","EQY_CONSOLIDATED=Y","Sort=A","Dates=H","DateFormat=P","Fill=—","Direction=H","UseDPDF=Y")</f>
        <v>#NAME?</v>
      </c>
      <c r="CL437" s="1" t="e">
        <f ca="1">_xll.BDH($C$428,"TOT_DEBT_TO_TOT_CAP","FQ4 2015","FQ4 2015","Currency=INR","Period=FQ","BEST_FPERIOD_OVERRIDE=FQ","FILING_STATUS=OR","EQY_CONSOLIDATED=Y","Sort=A","Dates=H","DateFormat=P","Fill=—","Direction=H","UseDPDF=Y")</f>
        <v>#NAME?</v>
      </c>
      <c r="CM437" s="1" t="e">
        <f ca="1">_xll.BDH($C$428,"TOT_DEBT_TO_TOT_ASSET","FQ4 2015","FQ4 2015","Currency=INR","Period=FQ","BEST_FPERIOD_OVERRIDE=FQ","FILING_STATUS=OR","EQY_CONSOLIDATED=Y","Sort=A","Dates=H","DateFormat=P","Fill=—","Direction=H","UseDPDF=Y")</f>
        <v>#NAME?</v>
      </c>
      <c r="CN437" s="1" t="e">
        <f ca="1">_xll.BDH($C$428,"NET_DEBT_TO_SHRHLDR_EQTY","FQ4 2015","FQ4 2015","Currency=INR","Period=FQ","BEST_FPERIOD_OVERRIDE=FQ","FILING_STATUS=OR","EQY_CONSOLIDATED=Y","Sort=A","Dates=H","DateFormat=P","Fill=—","Direction=H","UseDPDF=Y")</f>
        <v>#NAME?</v>
      </c>
      <c r="CO437" s="1" t="e">
        <f ca="1">_xll.BDH($C$428,"NET_DEBT_%_CAPITAL","FQ4 2015","FQ4 2015","Currency=INR","Period=FQ","BEST_FPERIOD_OVERRIDE=FQ","FILING_STATUS=OR","EQY_CONSOLIDATED=Y","Sort=A","Dates=H","DateFormat=P","Fill=—","Direction=H","UseDPDF=Y")</f>
        <v>#NAME?</v>
      </c>
      <c r="CP437" s="2" t="e">
        <f ca="1">_xll.BDH($C$428,"EBITDA","FQ4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37" s="2" t="e">
        <f ca="1">_xll.BDH($C$428,"EBITDA_AFTER_CAPEX","FQ4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37" s="2" t="e">
        <f ca="1">_xll.BDH($C$428,"IS_OPER_INC","FQ4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37" s="1" t="e">
        <f ca="1">_xll.BDH($C$428,"CASH_RATIO","FQ4 2015","FQ4 2015","Currency=INR","Period=FQ","BEST_FPERIOD_OVERRIDE=FQ","FILING_STATUS=OR","EQY_CONSOLIDATED=Y","Sort=A","Dates=H","DateFormat=P","Fill=—","Direction=H","UseDPDF=Y")</f>
        <v>#NAME?</v>
      </c>
      <c r="CT437" s="1" t="e">
        <f ca="1">_xll.BDH($C$428,"CUR_RATIO","FQ4 2015","FQ4 2015","Currency=INR","Period=FQ","BEST_FPERIOD_OVERRIDE=FQ","FILING_STATUS=OR","EQY_CONSOLIDATED=Y","Sort=A","Dates=H","DateFormat=P","Fill=—","Direction=H","UseDPDF=Y")</f>
        <v>#NAME?</v>
      </c>
      <c r="CU437" s="1" t="e">
        <f ca="1">_xll.BDH($C$428,"QUICK_RATIO","FQ4 2015","FQ4 2015","Currency=INR","Period=FQ","BEST_FPERIOD_OVERRIDE=FQ","FILING_STATUS=OR","EQY_CONSOLIDATED=Y","Sort=A","Dates=H","DateFormat=P","Fill=—","Direction=H","UseDPDF=Y")</f>
        <v>#NAME?</v>
      </c>
      <c r="CV437" s="1" t="e">
        <f ca="1">_xll.BDH($C$428,"ALTMAN_Z_SCORE","FQ4 2015","FQ4 2015","Currency=INR","Period=FQ","BEST_FPERIOD_OVERRIDE=FQ","FILING_STATUS=OR","EQY_CONSOLIDATED=Y","Sort=A","Dates=H","DateFormat=P","Fill=—","Direction=H","UseDPDF=Y")</f>
        <v>#NAME?</v>
      </c>
      <c r="CW437" s="3" t="e">
        <f ca="1">_xll.BDH($C$428,"ACCT_RCV_TURN","FQ4 2015","FQ4 2015","Currency=INR","Period=FQ","BEST_FPERIOD_OVERRIDE=FQ","FILING_STATUS=OR","EQY_CONSOLIDATED=Y","FA_ADJUSTED=GAAP","Sort=A","Dates=H","DateFormat=P","Fill=—","Direction=H","UseDPDF=Y")</f>
        <v>#NAME?</v>
      </c>
      <c r="CX437" s="1" t="e">
        <f ca="1">_xll.BDH($C$428,"ACCT_RCV_DAYS","FQ4 2015","FQ4 2015","Currency=INR","Period=FQ","BEST_FPERIOD_OVERRIDE=FQ","FILING_STATUS=OR","EQY_CONSOLIDATED=Y","FA_ADJUSTED=GAAP","Sort=A","Dates=H","DateFormat=P","Fill=—","Direction=H","UseDPDF=Y")</f>
        <v>#NAME?</v>
      </c>
      <c r="CY437" s="3" t="e">
        <f ca="1">_xll.BDH($C$428,"INVENT_TURN","FQ4 2015","FQ4 2015","Currency=INR","Period=FQ","BEST_FPERIOD_OVERRIDE=FQ","FILING_STATUS=OR","EQY_CONSOLIDATED=Y","FA_ADJUSTED=GAAP","Sort=A","Dates=H","DateFormat=P","Fill=—","Direction=H","UseDPDF=Y")</f>
        <v>#NAME?</v>
      </c>
      <c r="CZ437" s="1" t="e">
        <f ca="1">_xll.BDH($C$428,"INVENT_DAYS","FQ4 2015","FQ4 2015","Currency=INR","Period=FQ","BEST_FPERIOD_OVERRIDE=FQ","FILING_STATUS=OR","EQY_CONSOLIDATED=Y","FA_ADJUSTED=GAAP","Sort=A","Dates=H","DateFormat=P","Fill=—","Direction=H","UseDPDF=Y")</f>
        <v>#NAME?</v>
      </c>
      <c r="DA437" s="3" t="e">
        <f ca="1">_xll.BDH($C$428,"ACCOUNTS_PAYABLE_TURNOVER","FQ4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37" s="1" t="e">
        <f ca="1">_xll.BDH($C$428,"ACCOUNTS_PAYABLE_TURNOVER_DAYS","FQ4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37" s="3" t="e">
        <f ca="1">_xll.BDH($C$428,"CASH_CONVERSION_CYCLE","FQ4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37" s="3" t="e">
        <f ca="1">_xll.BDH($C$428,"INV_TO_CASH_DAYS","FQ4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437" s="4" t="e">
        <f ca="1">_xll.BDH($C$428,"BS_INVENTORIES","FQ4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437" s="2" t="e">
        <f ca="1">_xll.BDH($C$428,"INVTRY_RAW_MATERIALS","FQ4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37" s="2" t="e">
        <f ca="1">_xll.BDH($C$428,"INVTRY_IN_PROGRESS","FQ4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37" s="2" t="e">
        <f ca="1">_xll.BDH($C$428,"INVTRY_FINISHED_GOODS","FQ4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37" s="2" t="e">
        <f ca="1">_xll.BDH($C$428,"BS_OTHER_INV","FQ4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38" spans="1:113" x14ac:dyDescent="0.3">
      <c r="A438" s="6"/>
      <c r="B438" s="6"/>
      <c r="C438" s="6"/>
      <c r="D438" s="6" t="s">
        <v>9</v>
      </c>
      <c r="E438" t="s">
        <v>3</v>
      </c>
      <c r="F438" t="e">
        <f ca="1">_xll.BDH($C$428,"RETURN_COM_EQY","FY 2016","FY 2016","Currency=INR","Period=FY","BEST_FPERIOD_OVERRIDE=FY","FILING_STATUS=OR","EQY_CONSOLIDATED=Y","FA_ADJUSTED=GAAP","Sort=A","Dates=H","DateFormat=P","Fill=—","Direction=H","UseDPDF=Y")</f>
        <v>#NAME?</v>
      </c>
      <c r="G438" t="e">
        <f ca="1">_xll.BDH($C$428,"RETURN_ON_ASSET","FY 2016","FY 2016","Currency=INR","Period=FY","BEST_FPERIOD_OVERRIDE=FY","FILING_STATUS=OR","EQY_CONSOLIDATED=Y","FA_ADJUSTED=GAAP","Sort=A","Dates=H","DateFormat=P","Fill=—","Direction=H","UseDPDF=Y")</f>
        <v>#NAME?</v>
      </c>
      <c r="H438" t="e">
        <f ca="1">_xll.BDH($C$428,"RETURN_ON_CAP","FY 2016","FY 2016","Currency=INR","Period=FY","BEST_FPERIOD_OVERRIDE=FY","FILING_STATUS=OR","EQY_CONSOLIDATED=Y","FA_ADJUSTED=GAAP","Sort=A","Dates=H","DateFormat=P","Fill=—","Direction=H","UseDPDF=Y")</f>
        <v>#NAME?</v>
      </c>
      <c r="I438" t="e">
        <f ca="1">_xll.BDH($C$428,"RETURN_ON_INV_CAPITAL","FY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38" t="e">
        <f ca="1">_xll.BDH($C$428,"EBITDA_TO_REVENUE","FY 2016","FY 2016","Currency=INR","Period=FY","BEST_FPERIOD_OVERRIDE=FY","FILING_STATUS=OR","EQY_CONSOLIDATED=Y","FA_ADJUSTED=GAAP","Sort=A","Dates=H","DateFormat=P","Fill=—","Direction=H","UseDPDF=Y")</f>
        <v>#NAME?</v>
      </c>
      <c r="K438" t="e">
        <f ca="1">_xll.BDH($C$428,"OPER_MARGIN","FY 2016","FY 2016","Currency=INR","Period=FY","BEST_FPERIOD_OVERRIDE=FY","FILING_STATUS=OR","EQY_CONSOLIDATED=Y","FA_ADJUSTED=GAAP","Sort=A","Dates=H","DateFormat=P","Fill=—","Direction=H","UseDPDF=Y")</f>
        <v>#NAME?</v>
      </c>
      <c r="L438" t="e">
        <f ca="1">_xll.BDH($C$428,"INCREMENTAL_OPERATING_MARGIN","FY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38" t="e">
        <f ca="1">_xll.BDH($C$428,"PRETAX_INC_TO_NET_SALES","FY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38" t="e">
        <f ca="1">_xll.BDH($C$428,"INC_BEF_XO_ITEMS_TO_NET_SALES","FY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38" t="e">
        <f ca="1">_xll.BDH($C$428,"PROF_MARGIN","FY 2016","FY 2016","Currency=INR","Period=FY","BEST_FPERIOD_OVERRIDE=FY","FILING_STATUS=OR","EQY_CONSOLIDATED=Y","FA_ADJUSTED=GAAP","Sort=A","Dates=H","DateFormat=P","Fill=—","Direction=H","UseDPDF=Y")</f>
        <v>#NAME?</v>
      </c>
      <c r="P438" t="e">
        <f ca="1">_xll.BDH($C$428,"NET_INCOME_TO_COMMON_MARGIN","FY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38" t="e">
        <f ca="1">_xll.BDH($C$428,"EFF_TAX_RATE","FY 2016","FY 2016","Currency=INR","Period=FY","BEST_FPERIOD_OVERRIDE=FY","FILING_STATUS=OR","EQY_CONSOLIDATED=Y","FA_ADJUSTED=GAAP","Sort=A","Dates=H","DateFormat=P","Fill=—","Direction=H","UseDPDF=Y")</f>
        <v>#NAME?</v>
      </c>
      <c r="R438" t="e">
        <f ca="1">_xll.BDH($C$428,"DVD_PAYOUT_RATIO","FY 2016","FY 2016","Currency=INR","Period=FY","BEST_FPERIOD_OVERRIDE=FY","FILING_STATUS=OR","EQY_CONSOLIDATED=Y","FA_ADJUSTED=GAAP","Sort=A","Dates=H","DateFormat=P","Fill=—","Direction=H","UseDPDF=Y")</f>
        <v>#NAME?</v>
      </c>
      <c r="S438" t="e">
        <f ca="1">_xll.BDH($C$428,"SUSTAIN_GROWTH_RT","FY 2016","FY 2016","Currency=INR","Period=FY","BEST_FPERIOD_OVERRIDE=FY","FILING_STATUS=OR","EQY_CONSOLIDATED=Y","FA_ADJUSTED=GAAP","Sort=A","Dates=H","DateFormat=P","Fill=—","Direction=H","UseDPDF=Y")</f>
        <v>#NAME?</v>
      </c>
      <c r="T438" s="1" t="e">
        <f ca="1">_xll.BDH($C$428,"SALES_GROWTH","FY 2016","FY 2016","Currency=INR","Period=FY","BEST_FPERIOD_OVERRIDE=FY","FILING_STATUS=OR","EQY_CONSOLIDATED=Y","FA_ADJUSTED=GAAP","Sort=A","Dates=H","DateFormat=P","Fill=—","Direction=H","UseDPDF=Y")</f>
        <v>#NAME?</v>
      </c>
      <c r="U438" s="1" t="e">
        <f ca="1">_xll.BDH($C$428,"EBITDA_GROWTH","FY 2016","FY 2016","Currency=INR","Period=FY","BEST_FPERIOD_OVERRIDE=FY","FILING_STATUS=OR","EQY_CONSOLIDATED=Y","FA_ADJUSTED=GAAP","Sort=A","Dates=H","DateFormat=P","Fill=—","Direction=H","UseDPDF=Y")</f>
        <v>#NAME?</v>
      </c>
      <c r="V438" s="1" t="e">
        <f ca="1">_xll.BDH($C$428,"OPER_INC_GROWTH","FY 2016","FY 2016","Currency=INR","Period=FY","BEST_FPERIOD_OVERRIDE=FY","FILING_STATUS=OR","EQY_CONSOLIDATED=Y","FA_ADJUSTED=GAAP","Sort=A","Dates=H","DateFormat=P","Fill=—","Direction=H","UseDPDF=Y")</f>
        <v>#NAME?</v>
      </c>
      <c r="W438" s="1" t="e">
        <f ca="1">_xll.BDH($C$428,"EARN_FOR_COM_GROWTH","FY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438" s="1" t="e">
        <f ca="1">_xll.BDH($C$428,"DILUTED_EPS_AFT_XO_ITEMS_GROWTH","FY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38" s="1" t="e">
        <f ca="1">_xll.BDH($C$428,"DIVIDEND_PER_SHARE_1_YEAR_GROWTH","FY 2016","FY 2016","Currency=INR","Period=FY","BEST_FPERIOD_OVERRIDE=FY","FILING_STATUS=OR","EQY_CONSOLIDATED=Y","Sort=A","Dates=H","DateFormat=P","Fill=—","Direction=H","UseDPDF=Y")</f>
        <v>#NAME?</v>
      </c>
      <c r="Z438" s="1" t="e">
        <f ca="1">_xll.BDH($C$428,"ACCOUNTS_RECEIVABLE_GROWTH","FY 2016","FY 2016","Currency=INR","Period=FY","BEST_FPERIOD_OVERRIDE=FY","FILING_STATUS=OR","EQY_CONSOLIDATED=Y","Sort=A","Dates=H","DateFormat=P","Fill=—","Direction=H","UseDPDF=Y")</f>
        <v>#NAME?</v>
      </c>
      <c r="AA438" s="1" t="e">
        <f ca="1">_xll.BDH($C$428,"INVENTORY_GROWTH","FY 2016","FY 2016","Currency=INR","Period=FY","BEST_FPERIOD_OVERRIDE=FY","FILING_STATUS=OR","EQY_CONSOLIDATED=Y","Sort=A","Dates=H","DateFormat=P","Fill=—","Direction=H","UseDPDF=Y")</f>
        <v>#NAME?</v>
      </c>
      <c r="AB438" s="1" t="e">
        <f ca="1">_xll.BDH($C$428,"NET_FIXED_ASSETS_1_YEAR_GROWTH","FY 2016","FY 2016","Currency=INR","Period=FY","BEST_FPERIOD_OVERRIDE=FY","FILING_STATUS=OR","EQY_CONSOLIDATED=Y","Sort=A","Dates=H","DateFormat=P","Fill=—","Direction=H","UseDPDF=Y")</f>
        <v>#NAME?</v>
      </c>
      <c r="AC438" s="1" t="e">
        <f ca="1">_xll.BDH($C$428,"ASSET_GROWTH","FY 2016","FY 2016","Currency=INR","Period=FY","BEST_FPERIOD_OVERRIDE=FY","FILING_STATUS=OR","EQY_CONSOLIDATED=Y","Sort=A","Dates=H","DateFormat=P","Fill=—","Direction=H","UseDPDF=Y")</f>
        <v>#NAME?</v>
      </c>
      <c r="AD438" s="1" t="e">
        <f ca="1">_xll.BDH($C$428,"MODIFIED_WORK_CAP_GROWTH","FY 2016","FY 2016","Currency=INR","Period=FY","BEST_FPERIOD_OVERRIDE=FY","FILING_STATUS=OR","EQY_CONSOLIDATED=Y","Sort=A","Dates=H","DateFormat=P","Fill=—","Direction=H","UseDPDF=Y")</f>
        <v>#NAME?</v>
      </c>
      <c r="AE438" s="1" t="e">
        <f ca="1">_xll.BDH($C$428,"WORK_CAP_GROWTH","FY 2016","FY 2016","Currency=INR","Period=FY","BEST_FPERIOD_OVERRIDE=FY","FILING_STATUS=OR","EQY_CONSOLIDATED=Y","Sort=A","Dates=H","DateFormat=P","Fill=—","Direction=H","UseDPDF=Y")</f>
        <v>#NAME?</v>
      </c>
      <c r="AF438" s="1" t="e">
        <f ca="1">_xll.BDH($C$428,"ACCOUNTS_PAYABLE_GROWTH_1YR","FY 2016","FY 2016","Currency=INR","Period=FY","BEST_FPERIOD_OVERRIDE=FY","FILING_STATUS=OR","EQY_CONSOLIDATED=Y","Sort=A","Dates=H","DateFormat=P","Fill=—","Direction=H","UseDPDF=Y")</f>
        <v>#NAME?</v>
      </c>
      <c r="AG438" s="1" t="e">
        <f ca="1">_xll.BDH($C$428,"SHORT_TERM_DEBT_1_YEAR_GROWTH","FY 2016","FY 2016","Currency=INR","Period=FY","BEST_FPERIOD_OVERRIDE=FY","FILING_STATUS=OR","EQY_CONSOLIDATED=Y","Sort=A","Dates=H","DateFormat=P","Fill=—","Direction=H","UseDPDF=Y")</f>
        <v>#NAME?</v>
      </c>
      <c r="AH438" s="1" t="e">
        <f ca="1">_xll.BDH($C$428,"TOTAL_DEBT_1_YEAR_GROWTH","FY 2016","FY 2016","Currency=INR","Period=FY","BEST_FPERIOD_OVERRIDE=FY","FILING_STATUS=OR","EQY_CONSOLIDATED=Y","Sort=A","Dates=H","DateFormat=P","Fill=—","Direction=H","UseDPDF=Y")</f>
        <v>#NAME?</v>
      </c>
      <c r="AI438" s="1" t="e">
        <f ca="1">_xll.BDH($C$428,"TOTAL_EQUITY_1_YEAR_GROWTH","FY 2016","FY 2016","Currency=INR","Period=FY","BEST_FPERIOD_OVERRIDE=FY","FILING_STATUS=OR","EQY_CONSOLIDATED=Y","Sort=A","Dates=H","DateFormat=P","Fill=—","Direction=H","UseDPDF=Y")</f>
        <v>#NAME?</v>
      </c>
      <c r="AJ438" s="1" t="e">
        <f ca="1">_xll.BDH($C$428,"GROWTH_IN_CAP","FY 2016","FY 2016","Currency=INR","Period=FY","BEST_FPERIOD_OVERRIDE=FY","FILING_STATUS=OR","EQY_CONSOLIDATED=Y","Sort=A","Dates=H","DateFormat=P","Fill=—","Direction=H","UseDPDF=Y")</f>
        <v>#NAME?</v>
      </c>
      <c r="AK438" s="1" t="e">
        <f ca="1">_xll.BDH($C$428,"BVPS_GROWTH","FY 2016","FY 2016","Currency=INR","Period=FY","BEST_FPERIOD_OVERRIDE=FY","FILING_STATUS=OR","EQY_CONSOLIDATED=Y","Sort=A","Dates=H","DateFormat=P","Fill=—","Direction=H","UseDPDF=Y")</f>
        <v>#NAME?</v>
      </c>
      <c r="AL438" s="1" t="e">
        <f ca="1">_xll.BDH($C$428,"CASH_FLOW_GROWTH","FY 2016","FY 2016","Currency=INR","Period=FY","BEST_FPERIOD_OVERRIDE=FY","FILING_STATUS=OR","EQY_CONSOLIDATED=Y","Sort=A","Dates=H","DateFormat=P","Fill=—","Direction=H","UseDPDF=Y")</f>
        <v>#NAME?</v>
      </c>
      <c r="AM438" s="1" t="e">
        <f ca="1">_xll.BDH($C$428,"GEO_GROW_NET_SALES","FY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438" s="1" t="e">
        <f ca="1">_xll.BDH($C$428,"GEO_GROW_EBITDA","FY 2016","FY 2016","Currency=INR","Period=FY","BEST_FPERIOD_OVERRIDE=FY","FILING_STATUS=OR","EQY_CONSOLIDATED=Y","FA_ADJUSTED=GAAP","Sort=A","Dates=H","DateFormat=P","Fill=—","Direction=H","UseDPDF=Y")</f>
        <v>#NAME?</v>
      </c>
      <c r="AO438" s="1" t="e">
        <f ca="1">_xll.BDH($C$428,"GEO_GROW_OPER_INC","FY 2016","FY 2016","Currency=INR","Period=FY","BEST_FPERIOD_OVERRIDE=FY","FILING_STATUS=OR","EQY_CONSOLIDATED=Y","FA_ADJUSTED=GAAP","Sort=A","Dates=H","DateFormat=P","Fill=—","Direction=H","UseDPDF=Y")</f>
        <v>#NAME?</v>
      </c>
      <c r="AP438" s="1" t="e">
        <f ca="1">_xll.BDH($C$428,"NET_INCOME_TO_COMMON_5_YR_GROWTH","FY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38" s="1" t="e">
        <f ca="1">_xll.BDH($C$428,"5Y_GEO_GROWTH_DILUTED_EPS","FY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38" s="1" t="e">
        <f ca="1">_xll.BDH($C$428,"GEO_GROW_DVD_PER_SH","FY 2016","FY 2016","Currency=INR","Period=FY","BEST_FPERIOD_OVERRIDE=FY","FILING_STATUS=OR","EQY_CONSOLIDATED=Y","Sort=A","Dates=H","DateFormat=P","Fill=—","Direction=H","UseDPDF=Y")</f>
        <v>#NAME?</v>
      </c>
      <c r="AS438" s="1" t="e">
        <f ca="1">_xll.BDH($C$428,"ACCOUNTS_RECEIVABLE_5_YR_GROWTH","FY 2016","FY 2016","Currency=INR","Period=FY","BEST_FPERIOD_OVERRIDE=FY","FILING_STATUS=OR","EQY_CONSOLIDATED=Y","Sort=A","Dates=H","DateFormat=P","Fill=—","Direction=H","UseDPDF=Y")</f>
        <v>#NAME?</v>
      </c>
      <c r="AT438" s="1" t="e">
        <f ca="1">_xll.BDH($C$428,"INVENTORY_5_YEAR_GROWTH","FY 2016","FY 2016","Currency=INR","Period=FY","BEST_FPERIOD_OVERRIDE=FY","FILING_STATUS=OR","EQY_CONSOLIDATED=Y","Sort=A","Dates=H","DateFormat=P","Fill=—","Direction=H","UseDPDF=Y")</f>
        <v>#NAME?</v>
      </c>
      <c r="AU438" s="1" t="e">
        <f ca="1">_xll.BDH($C$428,"NET_FIXED_ASSETS_5_YEAR_GROWTH","FY 2016","FY 2016","Currency=INR","Period=FY","BEST_FPERIOD_OVERRIDE=FY","FILING_STATUS=OR","EQY_CONSOLIDATED=Y","Sort=A","Dates=H","DateFormat=P","Fill=—","Direction=H","UseDPDF=Y")</f>
        <v>#NAME?</v>
      </c>
      <c r="AV438" s="1" t="e">
        <f ca="1">_xll.BDH($C$428,"GEO_GROW_TOT_ASSET","FY 2016","FY 2016","Currency=INR","Period=FY","BEST_FPERIOD_OVERRIDE=FY","FILING_STATUS=OR","EQY_CONSOLIDATED=Y","Sort=A","Dates=H","DateFormat=P","Fill=—","Direction=H","UseDPDF=Y")</f>
        <v>#NAME?</v>
      </c>
      <c r="AW438" s="1" t="e">
        <f ca="1">_xll.BDH($C$428,"MODIFIED_WORKING_CPTL_5YR_GRWTH","FY 2016","FY 2016","Currency=INR","Period=FY","BEST_FPERIOD_OVERRIDE=FY","FILING_STATUS=OR","EQY_CONSOLIDATED=Y","Sort=A","Dates=H","DateFormat=P","Fill=—","Direction=H","UseDPDF=Y")</f>
        <v>#NAME?</v>
      </c>
      <c r="AX438" s="1" t="e">
        <f ca="1">_xll.BDH($C$428,"WORKING_CAPITAL_5_YEAR_GROWTH","FY 2016","FY 2016","Currency=INR","Period=FY","BEST_FPERIOD_OVERRIDE=FY","FILING_STATUS=OR","EQY_CONSOLIDATED=Y","Sort=A","Dates=H","DateFormat=P","Fill=—","Direction=H","UseDPDF=Y")</f>
        <v>#NAME?</v>
      </c>
      <c r="AY438" s="1" t="e">
        <f ca="1">_xll.BDH($C$428,"ACCOUNTS_PAYABLE_5_YEAR_GROWTH","FY 2016","FY 2016","Currency=INR","Period=FY","BEST_FPERIOD_OVERRIDE=FY","FILING_STATUS=OR","EQY_CONSOLIDATED=Y","Sort=A","Dates=H","DateFormat=P","Fill=—","Direction=H","UseDPDF=Y")</f>
        <v>#NAME?</v>
      </c>
      <c r="AZ438" s="1" t="e">
        <f ca="1">_xll.BDH($C$428,"SHORT_TERM_DEBT_5_YEAR_GROWTH","FY 2016","FY 2016","Currency=INR","Period=FY","BEST_FPERIOD_OVERRIDE=FY","FILING_STATUS=OR","EQY_CONSOLIDATED=Y","Sort=A","Dates=H","DateFormat=P","Fill=—","Direction=H","UseDPDF=Y")</f>
        <v>#NAME?</v>
      </c>
      <c r="BA438" s="1" t="e">
        <f ca="1">_xll.BDH($C$428,"TOTAL_DEBT_5_YEAR_GROWTH","FY 2016","FY 2016","Currency=INR","Period=FY","BEST_FPERIOD_OVERRIDE=FY","FILING_STATUS=OR","EQY_CONSOLIDATED=Y","Sort=A","Dates=H","DateFormat=P","Fill=—","Direction=H","UseDPDF=Y")</f>
        <v>#NAME?</v>
      </c>
      <c r="BB438" s="1" t="e">
        <f ca="1">_xll.BDH($C$428,"GEO_GROW_TOT_SHRHLDR_EQY","FY 2016","FY 2016","Currency=INR","Period=FY","BEST_FPERIOD_OVERRIDE=FY","FILING_STATUS=OR","EQY_CONSOLIDATED=Y","Sort=A","Dates=H","DateFormat=P","Fill=—","Direction=H","UseDPDF=Y")</f>
        <v>#NAME?</v>
      </c>
      <c r="BC438" s="1" t="e">
        <f ca="1">_xll.BDH($C$428,"TOTAL_CAPITAL_5_YEAR_GROWTH","FY 2016","FY 2016","Currency=INR","Period=FY","BEST_FPERIOD_OVERRIDE=FY","FILING_STATUS=OR","EQY_CONSOLIDATED=Y","Sort=A","Dates=H","DateFormat=P","Fill=—","Direction=H","UseDPDF=Y")</f>
        <v>#NAME?</v>
      </c>
      <c r="BD438" s="1" t="e">
        <f ca="1">_xll.BDH($C$428,"GEO_GROW_BOOK_VAL","FY 2016","FY 2016","Currency=INR","Period=FY","BEST_FPERIOD_OVERRIDE=FY","FILING_STATUS=OR","EQY_CONSOLIDATED=Y","Sort=A","Dates=H","DateFormat=P","Fill=—","Direction=H","UseDPDF=Y")</f>
        <v>#NAME?</v>
      </c>
      <c r="BE438" s="1" t="e">
        <f ca="1">_xll.BDH($C$428,"GEO_GROW_CASH_OPER_ACT","FY 2016","FY 2016","Currency=INR","Period=FY","BEST_FPERIOD_OVERRIDE=FY","FILING_STATUS=OR","EQY_CONSOLIDATED=Y","Sort=A","Dates=H","DateFormat=P","Fill=—","Direction=H","UseDPDF=Y")</f>
        <v>#NAME?</v>
      </c>
      <c r="BF438" s="1" t="e">
        <f ca="1">_xll.BDH($C$428,"REVENUE_SEQUENTIAL_GROWTH","FY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38" s="1" t="e">
        <f ca="1">_xll.BDH($C$428,"EBITDA_SEQUENTIAL_GROWTH","FY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38" s="1" t="e">
        <f ca="1">_xll.BDH($C$428,"OPERATING_INCOME_SEQ_GROWTH","FY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38" s="1" t="e">
        <f ca="1">_xll.BDH($C$428,"NET_INCOME_TO_COMMON_SEQ_GROWTH","FY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38" s="1" t="e">
        <f ca="1">_xll.BDH($C$428,"EPS_DILUTED_SEQUENTIAL_GROWTH","FY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38" s="1" t="e">
        <f ca="1">_xll.BDH($C$428,"DPS_SEQUENTIAL_GROWTH","FY 2016","FY 2016","Currency=INR","Period=FY","BEST_FPERIOD_OVERRIDE=FY","FILING_STATUS=OR","EQY_CONSOLIDATED=Y","Sort=A","Dates=H","DateFormat=P","Fill=—","Direction=H","UseDPDF=Y")</f>
        <v>#NAME?</v>
      </c>
      <c r="BL438" s="1" t="e">
        <f ca="1">_xll.BDH($C$428,"ACCOUNTS_RECEIVABLE_SEQ_GROWTH","FY 2016","FY 2016","Currency=INR","Period=FY","BEST_FPERIOD_OVERRIDE=FY","FILING_STATUS=OR","EQY_CONSOLIDATED=Y","Sort=A","Dates=H","DateFormat=P","Fill=—","Direction=H","UseDPDF=Y")</f>
        <v>#NAME?</v>
      </c>
      <c r="BM438" s="1" t="e">
        <f ca="1">_xll.BDH($C$428,"INVENTORY_SEQUENTIAL_GROWTH","FY 2016","FY 2016","Currency=INR","Period=FY","BEST_FPERIOD_OVERRIDE=FY","FILING_STATUS=OR","EQY_CONSOLIDATED=Y","Sort=A","Dates=H","DateFormat=P","Fill=—","Direction=H","UseDPDF=Y")</f>
        <v>#NAME?</v>
      </c>
      <c r="BN438" s="1" t="e">
        <f ca="1">_xll.BDH($C$428,"FIXED_ASSETS_SEQUENTIAL_GROWTH","FY 2016","FY 2016","Currency=INR","Period=FY","BEST_FPERIOD_OVERRIDE=FY","FILING_STATUS=OR","EQY_CONSOLIDATED=Y","Sort=A","Dates=H","DateFormat=P","Fill=—","Direction=H","UseDPDF=Y")</f>
        <v>#NAME?</v>
      </c>
      <c r="BO438" s="1" t="e">
        <f ca="1">_xll.BDH($C$428,"TOTAL_ASSETS_SEQUENTIAL_GROWTH","FY 2016","FY 2016","Currency=INR","Period=FY","BEST_FPERIOD_OVERRIDE=FY","FILING_STATUS=OR","EQY_CONSOLIDATED=Y","Sort=A","Dates=H","DateFormat=P","Fill=—","Direction=H","UseDPDF=Y")</f>
        <v>#NAME?</v>
      </c>
      <c r="BP438" s="1" t="e">
        <f ca="1">_xll.BDH($C$428,"MODIFIED_WORKING_CPTL_SEQ_GRWTH","FY 2016","FY 2016","Currency=INR","Period=FY","BEST_FPERIOD_OVERRIDE=FY","FILING_STATUS=OR","EQY_CONSOLIDATED=Y","Sort=A","Dates=H","DateFormat=P","Fill=—","Direction=H","UseDPDF=Y")</f>
        <v>#NAME?</v>
      </c>
      <c r="BQ438" s="1" t="e">
        <f ca="1">_xll.BDH($C$428,"WORKING_CAPITAL_SEQ_GROWTH","FY 2016","FY 2016","Currency=INR","Period=FY","BEST_FPERIOD_OVERRIDE=FY","FILING_STATUS=OR","EQY_CONSOLIDATED=Y","Sort=A","Dates=H","DateFormat=P","Fill=—","Direction=H","UseDPDF=Y")</f>
        <v>#NAME?</v>
      </c>
      <c r="BR438" s="1" t="e">
        <f ca="1">_xll.BDH($C$428,"ACCOUNTS_PAYABLE_SEQ_GROWTH","FY 2016","FY 2016","Currency=INR","Period=FY","BEST_FPERIOD_OVERRIDE=FY","FILING_STATUS=OR","EQY_CONSOLIDATED=Y","Sort=A","Dates=H","DateFormat=P","Fill=—","Direction=H","UseDPDF=Y")</f>
        <v>#NAME?</v>
      </c>
      <c r="BS438" s="1" t="e">
        <f ca="1">_xll.BDH($C$428,"ST_DEBT_SEQUENTIAL_GROWTH","FY 2016","FY 2016","Currency=INR","Period=FY","BEST_FPERIOD_OVERRIDE=FY","FILING_STATUS=OR","EQY_CONSOLIDATED=Y","Sort=A","Dates=H","DateFormat=P","Fill=—","Direction=H","UseDPDF=Y")</f>
        <v>#NAME?</v>
      </c>
      <c r="BT438" s="1" t="e">
        <f ca="1">_xll.BDH($C$428,"TOTAL_DEBT_SEQUENTIAL_GROWTH","FY 2016","FY 2016","Currency=INR","Period=FY","BEST_FPERIOD_OVERRIDE=FY","FILING_STATUS=OR","EQY_CONSOLIDATED=Y","Sort=A","Dates=H","DateFormat=P","Fill=—","Direction=H","UseDPDF=Y")</f>
        <v>#NAME?</v>
      </c>
      <c r="BU438" s="1" t="e">
        <f ca="1">_xll.BDH($C$428,"TOTAL_EQUITY_SEQUENTIAL_GROWTH","FY 2016","FY 2016","Currency=INR","Period=FY","BEST_FPERIOD_OVERRIDE=FY","FILING_STATUS=OR","EQY_CONSOLIDATED=Y","Sort=A","Dates=H","DateFormat=P","Fill=—","Direction=H","UseDPDF=Y")</f>
        <v>#NAME?</v>
      </c>
      <c r="BV438" s="1" t="e">
        <f ca="1">_xll.BDH($C$428,"TOTAL_CAPITAL_SEQUENTIAL_GROWTH","FY 2016","FY 2016","Currency=INR","Period=FY","BEST_FPERIOD_OVERRIDE=FY","FILING_STATUS=OR","EQY_CONSOLIDATED=Y","Sort=A","Dates=H","DateFormat=P","Fill=—","Direction=H","UseDPDF=Y")</f>
        <v>#NAME?</v>
      </c>
      <c r="BW438" s="1" t="e">
        <f ca="1">_xll.BDH($C$428,"BPS_SEQUENTIAL_GROWTH","FY 2016","FY 2016","Currency=INR","Period=FY","BEST_FPERIOD_OVERRIDE=FY","FILING_STATUS=OR","EQY_CONSOLIDATED=Y","Sort=A","Dates=H","DateFormat=P","Fill=—","Direction=H","UseDPDF=Y")</f>
        <v>#NAME?</v>
      </c>
      <c r="BX438" s="1" t="e">
        <f ca="1">_xll.BDH($C$428,"CFO_SEQUENTIAL_GROWTH","FY 2016","FY 2016","Currency=INR","Period=FY","BEST_FPERIOD_OVERRIDE=FY","FILING_STATUS=OR","EQY_CONSOLIDATED=Y","Sort=A","Dates=H","DateFormat=P","Fill=—","Direction=H","UseDPDF=Y")</f>
        <v>#NAME?</v>
      </c>
      <c r="BY438" s="2" t="e">
        <f ca="1">_xll.BDH($C$428,"SHORT_AND_LONG_TERM_DEBT","FY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38" s="2" t="e">
        <f ca="1">_xll.BDH($C$428,"BS_ST_BORROW","FY 2016","FY 2016","Currency=INR","Period=FY","BEST_FPERIOD_OVERRIDE=FY","FILING_STATUS=OR","EQY_CONSOLIDATED=Y","SCALING_FORMAT=MLN","Sort=A","Dates=H","DateFormat=P","Fill=—","Direction=H","UseDPDF=Y")</f>
        <v>#NAME?</v>
      </c>
      <c r="CA438" s="2" t="e">
        <f ca="1">_xll.BDH($C$428,"BS_LT_BORROW","FY 2016","FY 2016","Currency=INR","Period=FY","BEST_FPERIOD_OVERRIDE=FY","FILING_STATUS=OR","EQY_CONSOLIDATED=Y","SCALING_FORMAT=MLN","Sort=A","Dates=H","DateFormat=P","Fill=—","Direction=H","UseDPDF=Y")</f>
        <v>#NAME?</v>
      </c>
      <c r="CB438" s="1" t="e">
        <f ca="1">_xll.BDH($C$428,"TOT_DEBT_TO_EBITDA","FY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438" s="1" t="e">
        <f ca="1">_xll.BDH($C$428,"NET_DEBT_TO_EBITDA","FY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438" s="1" t="e">
        <f ca="1">_xll.BDH($C$428,"TOTAL_DEBT_TO_EBIT","FY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438" s="1" t="e">
        <f ca="1">_xll.BDH($C$428,"NET_DEBT_TO_EBIT","FY 2016","FY 2016","Currency=INR","Period=FY","BEST_FPERIOD_OVERRIDE=FY","FILING_STATUS=OR","EQY_CONSOLIDATED=Y","FA_ADJUSTED=GAAP","Sort=A","Dates=H","DateFormat=P","Fill=—","Direction=H","UseDPDF=Y")</f>
        <v>#NAME?</v>
      </c>
      <c r="CF438" s="1" t="e">
        <f ca="1">_xll.BDH($C$428,"EBITDA_TO_INTEREST_EXPN","FY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38" s="1" t="e">
        <f ca="1">_xll.BDH($C$428,"COM_EQY_TO_TOT_ASSET","FY 2016","FY 2016","Currency=INR","Period=FY","BEST_FPERIOD_OVERRIDE=FY","FILING_STATUS=OR","EQY_CONSOLIDATED=Y","Sort=A","Dates=H","DateFormat=P","Fill=—","Direction=H","UseDPDF=Y")</f>
        <v>#NAME?</v>
      </c>
      <c r="CH438" s="1" t="e">
        <f ca="1">_xll.BDH($C$428,"LT_DEBT_TO_TOT_EQY","FY 2016","FY 2016","Currency=INR","Period=FY","BEST_FPERIOD_OVERRIDE=FY","FILING_STATUS=OR","EQY_CONSOLIDATED=Y","Sort=A","Dates=H","DateFormat=P","Fill=—","Direction=H","UseDPDF=Y")</f>
        <v>#NAME?</v>
      </c>
      <c r="CI438" s="1" t="e">
        <f ca="1">_xll.BDH($C$428,"LT_DEBT_TO_TOT_CAP","FY 2016","FY 2016","Currency=INR","Period=FY","BEST_FPERIOD_OVERRIDE=FY","FILING_STATUS=OR","EQY_CONSOLIDATED=Y","Sort=A","Dates=H","DateFormat=P","Fill=—","Direction=H","UseDPDF=Y")</f>
        <v>#NAME?</v>
      </c>
      <c r="CJ438" s="1" t="e">
        <f ca="1">_xll.BDH($C$428,"LT_DEBT_TO_TOT_ASSET","FY 2016","FY 2016","Currency=INR","Period=FY","BEST_FPERIOD_OVERRIDE=FY","FILING_STATUS=OR","EQY_CONSOLIDATED=Y","Sort=A","Dates=H","DateFormat=P","Fill=—","Direction=H","UseDPDF=Y")</f>
        <v>#NAME?</v>
      </c>
      <c r="CK438" s="1" t="e">
        <f ca="1">_xll.BDH($C$428,"TOT_DEBT_TO_TOT_EQY","FY 2016","FY 2016","Currency=INR","Period=FY","BEST_FPERIOD_OVERRIDE=FY","FILING_STATUS=OR","EQY_CONSOLIDATED=Y","Sort=A","Dates=H","DateFormat=P","Fill=—","Direction=H","UseDPDF=Y")</f>
        <v>#NAME?</v>
      </c>
      <c r="CL438" s="1" t="e">
        <f ca="1">_xll.BDH($C$428,"TOT_DEBT_TO_TOT_CAP","FY 2016","FY 2016","Currency=INR","Period=FY","BEST_FPERIOD_OVERRIDE=FY","FILING_STATUS=OR","EQY_CONSOLIDATED=Y","Sort=A","Dates=H","DateFormat=P","Fill=—","Direction=H","UseDPDF=Y")</f>
        <v>#NAME?</v>
      </c>
      <c r="CM438" s="1" t="e">
        <f ca="1">_xll.BDH($C$428,"TOT_DEBT_TO_TOT_ASSET","FY 2016","FY 2016","Currency=INR","Period=FY","BEST_FPERIOD_OVERRIDE=FY","FILING_STATUS=OR","EQY_CONSOLIDATED=Y","Sort=A","Dates=H","DateFormat=P","Fill=—","Direction=H","UseDPDF=Y")</f>
        <v>#NAME?</v>
      </c>
      <c r="CN438" s="1" t="e">
        <f ca="1">_xll.BDH($C$428,"NET_DEBT_TO_SHRHLDR_EQTY","FY 2016","FY 2016","Currency=INR","Period=FY","BEST_FPERIOD_OVERRIDE=FY","FILING_STATUS=OR","EQY_CONSOLIDATED=Y","Sort=A","Dates=H","DateFormat=P","Fill=—","Direction=H","UseDPDF=Y")</f>
        <v>#NAME?</v>
      </c>
      <c r="CO438" s="1" t="e">
        <f ca="1">_xll.BDH($C$428,"NET_DEBT_%_CAPITAL","FY 2016","FY 2016","Currency=INR","Period=FY","BEST_FPERIOD_OVERRIDE=FY","FILING_STATUS=OR","EQY_CONSOLIDATED=Y","Sort=A","Dates=H","DateFormat=P","Fill=—","Direction=H","UseDPDF=Y")</f>
        <v>#NAME?</v>
      </c>
      <c r="CP438" s="2" t="e">
        <f ca="1">_xll.BDH($C$428,"EBITDA","FY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38" s="2" t="e">
        <f ca="1">_xll.BDH($C$428,"EBITDA_AFTER_CAPEX","FY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38" s="2" t="e">
        <f ca="1">_xll.BDH($C$428,"IS_OPER_INC","FY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38" s="1" t="e">
        <f ca="1">_xll.BDH($C$428,"CASH_RATIO","FY 2016","FY 2016","Currency=INR","Period=FY","BEST_FPERIOD_OVERRIDE=FY","FILING_STATUS=OR","EQY_CONSOLIDATED=Y","Sort=A","Dates=H","DateFormat=P","Fill=—","Direction=H","UseDPDF=Y")</f>
        <v>#NAME?</v>
      </c>
      <c r="CT438" s="1" t="e">
        <f ca="1">_xll.BDH($C$428,"CUR_RATIO","FY 2016","FY 2016","Currency=INR","Period=FY","BEST_FPERIOD_OVERRIDE=FY","FILING_STATUS=OR","EQY_CONSOLIDATED=Y","Sort=A","Dates=H","DateFormat=P","Fill=—","Direction=H","UseDPDF=Y")</f>
        <v>#NAME?</v>
      </c>
      <c r="CU438" s="1" t="e">
        <f ca="1">_xll.BDH($C$428,"QUICK_RATIO","FY 2016","FY 2016","Currency=INR","Period=FY","BEST_FPERIOD_OVERRIDE=FY","FILING_STATUS=OR","EQY_CONSOLIDATED=Y","Sort=A","Dates=H","DateFormat=P","Fill=—","Direction=H","UseDPDF=Y")</f>
        <v>#NAME?</v>
      </c>
      <c r="CV438" s="1" t="e">
        <f ca="1">_xll.BDH($C$428,"ALTMAN_Z_SCORE","FY 2016","FY 2016","Currency=INR","Period=FY","BEST_FPERIOD_OVERRIDE=FY","FILING_STATUS=OR","EQY_CONSOLIDATED=Y","Sort=A","Dates=H","DateFormat=P","Fill=—","Direction=H","UseDPDF=Y")</f>
        <v>#NAME?</v>
      </c>
      <c r="CW438" s="3" t="e">
        <f ca="1">_xll.BDH($C$428,"ACCT_RCV_TURN","FY 2016","FY 2016","Currency=INR","Period=FY","BEST_FPERIOD_OVERRIDE=FY","FILING_STATUS=OR","EQY_CONSOLIDATED=Y","FA_ADJUSTED=GAAP","Sort=A","Dates=H","DateFormat=P","Fill=—","Direction=H","UseDPDF=Y")</f>
        <v>#NAME?</v>
      </c>
      <c r="CX438" s="1" t="e">
        <f ca="1">_xll.BDH($C$428,"ACCT_RCV_DAYS","FY 2016","FY 2016","Currency=INR","Period=FY","BEST_FPERIOD_OVERRIDE=FY","FILING_STATUS=OR","EQY_CONSOLIDATED=Y","FA_ADJUSTED=GAAP","Sort=A","Dates=H","DateFormat=P","Fill=—","Direction=H","UseDPDF=Y")</f>
        <v>#NAME?</v>
      </c>
      <c r="CY438" s="3" t="e">
        <f ca="1">_xll.BDH($C$428,"INVENT_TURN","FY 2016","FY 2016","Currency=INR","Period=FY","BEST_FPERIOD_OVERRIDE=FY","FILING_STATUS=OR","EQY_CONSOLIDATED=Y","FA_ADJUSTED=GAAP","Sort=A","Dates=H","DateFormat=P","Fill=—","Direction=H","UseDPDF=Y")</f>
        <v>#NAME?</v>
      </c>
      <c r="CZ438" s="1" t="e">
        <f ca="1">_xll.BDH($C$428,"INVENT_DAYS","FY 2016","FY 2016","Currency=INR","Period=FY","BEST_FPERIOD_OVERRIDE=FY","FILING_STATUS=OR","EQY_CONSOLIDATED=Y","FA_ADJUSTED=GAAP","Sort=A","Dates=H","DateFormat=P","Fill=—","Direction=H","UseDPDF=Y")</f>
        <v>#NAME?</v>
      </c>
      <c r="DA438" s="3" t="e">
        <f ca="1">_xll.BDH($C$428,"ACCOUNTS_PAYABLE_TURNOVER","FY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38" s="1" t="e">
        <f ca="1">_xll.BDH($C$428,"ACCOUNTS_PAYABLE_TURNOVER_DAYS","FY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38" s="3" t="e">
        <f ca="1">_xll.BDH($C$428,"CASH_CONVERSION_CYCLE","FY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38" s="3" t="e">
        <f ca="1">_xll.BDH($C$428,"INV_TO_CASH_DAYS","FY 2016","FY 2016","Currency=INR","Period=FY","BEST_FPERIOD_OVERRIDE=FY","FILING_STATUS=OR","EQY_CONSOLIDATED=Y","FA_ADJUSTED=GAAP","Sort=A","Dates=H","DateFormat=P","Fill=—","Direction=H","UseDPDF=Y")</f>
        <v>#NAME?</v>
      </c>
      <c r="DE438" s="4" t="e">
        <f ca="1">_xll.BDH($C$428,"BS_INVENTORIES","FY 2016","FY 2016","Currency=INR","Period=FY","BEST_FPERIOD_OVERRIDE=FY","FILING_STATUS=OR","EQY_CONSOLIDATED=Y","SCALING_FORMAT=MLN","Sort=A","Dates=H","DateFormat=P","Fill=—","Direction=H","UseDPDF=Y")</f>
        <v>#NAME?</v>
      </c>
      <c r="DF438" s="2" t="e">
        <f ca="1">_xll.BDH($C$428,"INVTRY_RAW_MATERIALS","FY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38" s="2" t="e">
        <f ca="1">_xll.BDH($C$428,"INVTRY_IN_PROGRESS","FY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38" s="2" t="e">
        <f ca="1">_xll.BDH($C$428,"INVTRY_FINISHED_GOODS","FY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38" s="2" t="e">
        <f ca="1">_xll.BDH($C$428,"BS_OTHER_INV","FY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39" spans="1:113" x14ac:dyDescent="0.3">
      <c r="A439" s="6"/>
      <c r="B439" s="6"/>
      <c r="C439" s="6"/>
      <c r="D439" s="6"/>
      <c r="E439" t="s">
        <v>4</v>
      </c>
      <c r="F439" t="e">
        <f ca="1">_xll.BDH($C$428,"RETURN_COM_EQY","FQ1 2016","FQ1 2016","Currency=INR","Period=FQ","BEST_FPERIOD_OVERRIDE=FQ","FILING_STATUS=OR","EQY_CONSOLIDATED=Y","FA_ADJUSTED=GAAP","Sort=A","Dates=H","DateFormat=P","Fill=—","Direction=H","UseDPDF=Y")</f>
        <v>#NAME?</v>
      </c>
      <c r="G439" t="e">
        <f ca="1">_xll.BDH($C$428,"RETURN_ON_ASSET","FQ1 2016","FQ1 2016","Currency=INR","Period=FQ","BEST_FPERIOD_OVERRIDE=FQ","FILING_STATUS=OR","EQY_CONSOLIDATED=Y","FA_ADJUSTED=GAAP","Sort=A","Dates=H","DateFormat=P","Fill=—","Direction=H","UseDPDF=Y")</f>
        <v>#NAME?</v>
      </c>
      <c r="H439" t="e">
        <f ca="1">_xll.BDH($C$428,"RETURN_ON_CAP","FQ1 2016","FQ1 2016","Currency=INR","Period=FQ","BEST_FPERIOD_OVERRIDE=FQ","FILING_STATUS=OR","EQY_CONSOLIDATED=Y","FA_ADJUSTED=GAAP","Sort=A","Dates=H","DateFormat=P","Fill=—","Direction=H","UseDPDF=Y")</f>
        <v>#NAME?</v>
      </c>
      <c r="I439" t="e">
        <f ca="1">_xll.BDH($C$428,"RETURN_ON_INV_CAPITAL","FQ1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39" t="e">
        <f ca="1">_xll.BDH($C$428,"EBITDA_TO_REVENUE","FQ1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439" t="e">
        <f ca="1">_xll.BDH($C$428,"OPER_MARGIN","FQ1 2016","FQ1 2016","Currency=INR","Period=FQ","BEST_FPERIOD_OVERRIDE=FQ","FILING_STATUS=OR","EQY_CONSOLIDATED=Y","FA_ADJUSTED=GAAP","Sort=A","Dates=H","DateFormat=P","Fill=—","Direction=H","UseDPDF=Y")</f>
        <v>#NAME?</v>
      </c>
      <c r="L439" t="e">
        <f ca="1">_xll.BDH($C$428,"INCREMENTAL_OPERATING_MARGIN","FQ1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39" t="e">
        <f ca="1">_xll.BDH($C$428,"PRETAX_INC_TO_NET_SALES","FQ1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39" t="e">
        <f ca="1">_xll.BDH($C$428,"INC_BEF_XO_ITEMS_TO_NET_SALES","FQ1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39" t="e">
        <f ca="1">_xll.BDH($C$428,"PROF_MARGIN","FQ1 2016","FQ1 2016","Currency=INR","Period=FQ","BEST_FPERIOD_OVERRIDE=FQ","FILING_STATUS=OR","EQY_CONSOLIDATED=Y","FA_ADJUSTED=GAAP","Sort=A","Dates=H","DateFormat=P","Fill=—","Direction=H","UseDPDF=Y")</f>
        <v>#NAME?</v>
      </c>
      <c r="P439" t="e">
        <f ca="1">_xll.BDH($C$428,"NET_INCOME_TO_COMMON_MARGIN","FQ1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39" t="e">
        <f ca="1">_xll.BDH($C$428,"EFF_TAX_RATE","FQ1 2016","FQ1 2016","Currency=INR","Period=FQ","BEST_FPERIOD_OVERRIDE=FQ","FILING_STATUS=OR","EQY_CONSOLIDATED=Y","FA_ADJUSTED=GAAP","Sort=A","Dates=H","DateFormat=P","Fill=—","Direction=H","UseDPDF=Y")</f>
        <v>#NAME?</v>
      </c>
      <c r="R439" t="e">
        <f ca="1">_xll.BDH($C$428,"DVD_PAYOUT_RATIO","FQ1 2016","FQ1 2016","Currency=INR","Period=FQ","BEST_FPERIOD_OVERRIDE=FQ","FILING_STATUS=OR","EQY_CONSOLIDATED=Y","FA_ADJUSTED=GAAP","Sort=A","Dates=H","DateFormat=P","Fill=—","Direction=H","UseDPDF=Y")</f>
        <v>#NAME?</v>
      </c>
      <c r="S439" t="e">
        <f ca="1">_xll.BDH($C$428,"SUSTAIN_GROWTH_RT","FQ1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439" s="1" t="e">
        <f ca="1">_xll.BDH($C$428,"SALES_GROWTH","FQ1 2016","FQ1 2016","Currency=INR","Period=FQ","BEST_FPERIOD_OVERRIDE=FQ","FILING_STATUS=OR","EQY_CONSOLIDATED=Y","FA_ADJUSTED=GAAP","Sort=A","Dates=H","DateFormat=P","Fill=—","Direction=H","UseDPDF=Y")</f>
        <v>#NAME?</v>
      </c>
      <c r="U439" s="1" t="e">
        <f ca="1">_xll.BDH($C$428,"EBITDA_GROWTH","FQ1 2016","FQ1 2016","Currency=INR","Period=FQ","BEST_FPERIOD_OVERRIDE=FQ","FILING_STATUS=OR","EQY_CONSOLIDATED=Y","FA_ADJUSTED=GAAP","Sort=A","Dates=H","DateFormat=P","Fill=—","Direction=H","UseDPDF=Y")</f>
        <v>#NAME?</v>
      </c>
      <c r="V439" s="1" t="e">
        <f ca="1">_xll.BDH($C$428,"OPER_INC_GROWTH","FQ1 2016","FQ1 2016","Currency=INR","Period=FQ","BEST_FPERIOD_OVERRIDE=FQ","FILING_STATUS=OR","EQY_CONSOLIDATED=Y","FA_ADJUSTED=GAAP","Sort=A","Dates=H","DateFormat=P","Fill=—","Direction=H","UseDPDF=Y")</f>
        <v>#NAME?</v>
      </c>
      <c r="W439" s="1" t="e">
        <f ca="1">_xll.BDH($C$428,"EARN_FOR_COM_GROWTH","FQ1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39" s="1" t="e">
        <f ca="1">_xll.BDH($C$428,"DILUTED_EPS_AFT_XO_ITEMS_GROWTH","FQ1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39" s="1" t="e">
        <f ca="1">_xll.BDH($C$428,"DIVIDEND_PER_SHARE_1_YEAR_GROWTH","FQ1 2016","FQ1 2016","Currency=INR","Period=FQ","BEST_FPERIOD_OVERRIDE=FQ","FILING_STATUS=OR","EQY_CONSOLIDATED=Y","Sort=A","Dates=H","DateFormat=P","Fill=—","Direction=H","UseDPDF=Y")</f>
        <v>#NAME?</v>
      </c>
      <c r="Z439" s="1" t="e">
        <f ca="1">_xll.BDH($C$428,"ACCOUNTS_RECEIVABLE_GROWTH","FQ1 2016","FQ1 2016","Currency=INR","Period=FQ","BEST_FPERIOD_OVERRIDE=FQ","FILING_STATUS=OR","EQY_CONSOLIDATED=Y","Sort=A","Dates=H","DateFormat=P","Fill=—","Direction=H","UseDPDF=Y")</f>
        <v>#NAME?</v>
      </c>
      <c r="AA439" s="1" t="e">
        <f ca="1">_xll.BDH($C$428,"INVENTORY_GROWTH","FQ1 2016","FQ1 2016","Currency=INR","Period=FQ","BEST_FPERIOD_OVERRIDE=FQ","FILING_STATUS=OR","EQY_CONSOLIDATED=Y","Sort=A","Dates=H","DateFormat=P","Fill=—","Direction=H","UseDPDF=Y")</f>
        <v>#NAME?</v>
      </c>
      <c r="AB439" s="1" t="e">
        <f ca="1">_xll.BDH($C$428,"NET_FIXED_ASSETS_1_YEAR_GROWTH","FQ1 2016","FQ1 2016","Currency=INR","Period=FQ","BEST_FPERIOD_OVERRIDE=FQ","FILING_STATUS=OR","EQY_CONSOLIDATED=Y","Sort=A","Dates=H","DateFormat=P","Fill=—","Direction=H","UseDPDF=Y")</f>
        <v>#NAME?</v>
      </c>
      <c r="AC439" s="1" t="e">
        <f ca="1">_xll.BDH($C$428,"ASSET_GROWTH","FQ1 2016","FQ1 2016","Currency=INR","Period=FQ","BEST_FPERIOD_OVERRIDE=FQ","FILING_STATUS=OR","EQY_CONSOLIDATED=Y","Sort=A","Dates=H","DateFormat=P","Fill=—","Direction=H","UseDPDF=Y")</f>
        <v>#NAME?</v>
      </c>
      <c r="AD439" s="1" t="e">
        <f ca="1">_xll.BDH($C$428,"MODIFIED_WORK_CAP_GROWTH","FQ1 2016","FQ1 2016","Currency=INR","Period=FQ","BEST_FPERIOD_OVERRIDE=FQ","FILING_STATUS=OR","EQY_CONSOLIDATED=Y","Sort=A","Dates=H","DateFormat=P","Fill=—","Direction=H","UseDPDF=Y")</f>
        <v>#NAME?</v>
      </c>
      <c r="AE439" s="1" t="e">
        <f ca="1">_xll.BDH($C$428,"WORK_CAP_GROWTH","FQ1 2016","FQ1 2016","Currency=INR","Period=FQ","BEST_FPERIOD_OVERRIDE=FQ","FILING_STATUS=OR","EQY_CONSOLIDATED=Y","Sort=A","Dates=H","DateFormat=P","Fill=—","Direction=H","UseDPDF=Y")</f>
        <v>#NAME?</v>
      </c>
      <c r="AF439" s="1" t="e">
        <f ca="1">_xll.BDH($C$428,"ACCOUNTS_PAYABLE_GROWTH_1YR","FQ1 2016","FQ1 2016","Currency=INR","Period=FQ","BEST_FPERIOD_OVERRIDE=FQ","FILING_STATUS=OR","EQY_CONSOLIDATED=Y","Sort=A","Dates=H","DateFormat=P","Fill=—","Direction=H","UseDPDF=Y")</f>
        <v>#NAME?</v>
      </c>
      <c r="AG439" s="1" t="e">
        <f ca="1">_xll.BDH($C$428,"SHORT_TERM_DEBT_1_YEAR_GROWTH","FQ1 2016","FQ1 2016","Currency=INR","Period=FQ","BEST_FPERIOD_OVERRIDE=FQ","FILING_STATUS=OR","EQY_CONSOLIDATED=Y","Sort=A","Dates=H","DateFormat=P","Fill=—","Direction=H","UseDPDF=Y")</f>
        <v>#NAME?</v>
      </c>
      <c r="AH439" s="1" t="e">
        <f ca="1">_xll.BDH($C$428,"TOTAL_DEBT_1_YEAR_GROWTH","FQ1 2016","FQ1 2016","Currency=INR","Period=FQ","BEST_FPERIOD_OVERRIDE=FQ","FILING_STATUS=OR","EQY_CONSOLIDATED=Y","Sort=A","Dates=H","DateFormat=P","Fill=—","Direction=H","UseDPDF=Y")</f>
        <v>#NAME?</v>
      </c>
      <c r="AI439" s="1" t="e">
        <f ca="1">_xll.BDH($C$428,"TOTAL_EQUITY_1_YEAR_GROWTH","FQ1 2016","FQ1 2016","Currency=INR","Period=FQ","BEST_FPERIOD_OVERRIDE=FQ","FILING_STATUS=OR","EQY_CONSOLIDATED=Y","Sort=A","Dates=H","DateFormat=P","Fill=—","Direction=H","UseDPDF=Y")</f>
        <v>#NAME?</v>
      </c>
      <c r="AJ439" s="1" t="e">
        <f ca="1">_xll.BDH($C$428,"GROWTH_IN_CAP","FQ1 2016","FQ1 2016","Currency=INR","Period=FQ","BEST_FPERIOD_OVERRIDE=FQ","FILING_STATUS=OR","EQY_CONSOLIDATED=Y","Sort=A","Dates=H","DateFormat=P","Fill=—","Direction=H","UseDPDF=Y")</f>
        <v>#NAME?</v>
      </c>
      <c r="AK439" s="1" t="e">
        <f ca="1">_xll.BDH($C$428,"BVPS_GROWTH","FQ1 2016","FQ1 2016","Currency=INR","Period=FQ","BEST_FPERIOD_OVERRIDE=FQ","FILING_STATUS=OR","EQY_CONSOLIDATED=Y","Sort=A","Dates=H","DateFormat=P","Fill=—","Direction=H","UseDPDF=Y")</f>
        <v>#NAME?</v>
      </c>
      <c r="AL439" s="1" t="e">
        <f ca="1">_xll.BDH($C$428,"CASH_FLOW_GROWTH","FQ1 2016","FQ1 2016","Currency=INR","Period=FQ","BEST_FPERIOD_OVERRIDE=FQ","FILING_STATUS=OR","EQY_CONSOLIDATED=Y","Sort=A","Dates=H","DateFormat=P","Fill=—","Direction=H","UseDPDF=Y")</f>
        <v>#NAME?</v>
      </c>
      <c r="AM439" s="1" t="e">
        <f ca="1">_xll.BDH($C$428,"GEO_GROW_NET_SALES","FQ1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39" s="1" t="e">
        <f ca="1">_xll.BDH($C$428,"GEO_GROW_EBITDA","FQ1 2016","FQ1 2016","Currency=INR","Period=FQ","BEST_FPERIOD_OVERRIDE=FQ","FILING_STATUS=OR","EQY_CONSOLIDATED=Y","FA_ADJUSTED=GAAP","Sort=A","Dates=H","DateFormat=P","Fill=—","Direction=H","UseDPDF=Y")</f>
        <v>#NAME?</v>
      </c>
      <c r="AO439" s="1" t="e">
        <f ca="1">_xll.BDH($C$428,"GEO_GROW_OPER_INC","FQ1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39" s="1" t="e">
        <f ca="1">_xll.BDH($C$428,"NET_INCOME_TO_COMMON_5_YR_GROWTH","FQ1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39" s="1" t="e">
        <f ca="1">_xll.BDH($C$428,"5Y_GEO_GROWTH_DILUTED_EPS","FQ1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39" s="1" t="e">
        <f ca="1">_xll.BDH($C$428,"GEO_GROW_DVD_PER_SH","FQ1 2016","FQ1 2016","Currency=INR","Period=FQ","BEST_FPERIOD_OVERRIDE=FQ","FILING_STATUS=OR","EQY_CONSOLIDATED=Y","Sort=A","Dates=H","DateFormat=P","Fill=—","Direction=H","UseDPDF=Y")</f>
        <v>#NAME?</v>
      </c>
      <c r="AS439" s="1" t="e">
        <f ca="1">_xll.BDH($C$428,"ACCOUNTS_RECEIVABLE_5_YR_GROWTH","FQ1 2016","FQ1 2016","Currency=INR","Period=FQ","BEST_FPERIOD_OVERRIDE=FQ","FILING_STATUS=OR","EQY_CONSOLIDATED=Y","Sort=A","Dates=H","DateFormat=P","Fill=—","Direction=H","UseDPDF=Y")</f>
        <v>#NAME?</v>
      </c>
      <c r="AT439" s="1" t="e">
        <f ca="1">_xll.BDH($C$428,"INVENTORY_5_YEAR_GROWTH","FQ1 2016","FQ1 2016","Currency=INR","Period=FQ","BEST_FPERIOD_OVERRIDE=FQ","FILING_STATUS=OR","EQY_CONSOLIDATED=Y","Sort=A","Dates=H","DateFormat=P","Fill=—","Direction=H","UseDPDF=Y")</f>
        <v>#NAME?</v>
      </c>
      <c r="AU439" s="1" t="e">
        <f ca="1">_xll.BDH($C$428,"NET_FIXED_ASSETS_5_YEAR_GROWTH","FQ1 2016","FQ1 2016","Currency=INR","Period=FQ","BEST_FPERIOD_OVERRIDE=FQ","FILING_STATUS=OR","EQY_CONSOLIDATED=Y","Sort=A","Dates=H","DateFormat=P","Fill=—","Direction=H","UseDPDF=Y")</f>
        <v>#NAME?</v>
      </c>
      <c r="AV439" s="1" t="e">
        <f ca="1">_xll.BDH($C$428,"GEO_GROW_TOT_ASSET","FQ1 2016","FQ1 2016","Currency=INR","Period=FQ","BEST_FPERIOD_OVERRIDE=FQ","FILING_STATUS=OR","EQY_CONSOLIDATED=Y","Sort=A","Dates=H","DateFormat=P","Fill=—","Direction=H","UseDPDF=Y")</f>
        <v>#NAME?</v>
      </c>
      <c r="AW439" s="1" t="e">
        <f ca="1">_xll.BDH($C$428,"MODIFIED_WORKING_CPTL_5YR_GRWTH","FQ1 2016","FQ1 2016","Currency=INR","Period=FQ","BEST_FPERIOD_OVERRIDE=FQ","FILING_STATUS=OR","EQY_CONSOLIDATED=Y","Sort=A","Dates=H","DateFormat=P","Fill=—","Direction=H","UseDPDF=Y")</f>
        <v>#NAME?</v>
      </c>
      <c r="AX439" s="1" t="e">
        <f ca="1">_xll.BDH($C$428,"WORKING_CAPITAL_5_YEAR_GROWTH","FQ1 2016","FQ1 2016","Currency=INR","Period=FQ","BEST_FPERIOD_OVERRIDE=FQ","FILING_STATUS=OR","EQY_CONSOLIDATED=Y","Sort=A","Dates=H","DateFormat=P","Fill=—","Direction=H","UseDPDF=Y")</f>
        <v>#NAME?</v>
      </c>
      <c r="AY439" s="1" t="e">
        <f ca="1">_xll.BDH($C$428,"ACCOUNTS_PAYABLE_5_YEAR_GROWTH","FQ1 2016","FQ1 2016","Currency=INR","Period=FQ","BEST_FPERIOD_OVERRIDE=FQ","FILING_STATUS=OR","EQY_CONSOLIDATED=Y","Sort=A","Dates=H","DateFormat=P","Fill=—","Direction=H","UseDPDF=Y")</f>
        <v>#NAME?</v>
      </c>
      <c r="AZ439" s="1" t="e">
        <f ca="1">_xll.BDH($C$428,"SHORT_TERM_DEBT_5_YEAR_GROWTH","FQ1 2016","FQ1 2016","Currency=INR","Period=FQ","BEST_FPERIOD_OVERRIDE=FQ","FILING_STATUS=OR","EQY_CONSOLIDATED=Y","Sort=A","Dates=H","DateFormat=P","Fill=—","Direction=H","UseDPDF=Y")</f>
        <v>#NAME?</v>
      </c>
      <c r="BA439" s="1" t="e">
        <f ca="1">_xll.BDH($C$428,"TOTAL_DEBT_5_YEAR_GROWTH","FQ1 2016","FQ1 2016","Currency=INR","Period=FQ","BEST_FPERIOD_OVERRIDE=FQ","FILING_STATUS=OR","EQY_CONSOLIDATED=Y","Sort=A","Dates=H","DateFormat=P","Fill=—","Direction=H","UseDPDF=Y")</f>
        <v>#NAME?</v>
      </c>
      <c r="BB439" s="1" t="e">
        <f ca="1">_xll.BDH($C$428,"GEO_GROW_TOT_SHRHLDR_EQY","FQ1 2016","FQ1 2016","Currency=INR","Period=FQ","BEST_FPERIOD_OVERRIDE=FQ","FILING_STATUS=OR","EQY_CONSOLIDATED=Y","Sort=A","Dates=H","DateFormat=P","Fill=—","Direction=H","UseDPDF=Y")</f>
        <v>#NAME?</v>
      </c>
      <c r="BC439" s="1" t="e">
        <f ca="1">_xll.BDH($C$428,"TOTAL_CAPITAL_5_YEAR_GROWTH","FQ1 2016","FQ1 2016","Currency=INR","Period=FQ","BEST_FPERIOD_OVERRIDE=FQ","FILING_STATUS=OR","EQY_CONSOLIDATED=Y","Sort=A","Dates=H","DateFormat=P","Fill=—","Direction=H","UseDPDF=Y")</f>
        <v>#NAME?</v>
      </c>
      <c r="BD439" s="1" t="e">
        <f ca="1">_xll.BDH($C$428,"GEO_GROW_BOOK_VAL","FQ1 2016","FQ1 2016","Currency=INR","Period=FQ","BEST_FPERIOD_OVERRIDE=FQ","FILING_STATUS=OR","EQY_CONSOLIDATED=Y","Sort=A","Dates=H","DateFormat=P","Fill=—","Direction=H","UseDPDF=Y")</f>
        <v>#NAME?</v>
      </c>
      <c r="BE439" s="1" t="e">
        <f ca="1">_xll.BDH($C$428,"GEO_GROW_CASH_OPER_ACT","FQ1 2016","FQ1 2016","Currency=INR","Period=FQ","BEST_FPERIOD_OVERRIDE=FQ","FILING_STATUS=OR","EQY_CONSOLIDATED=Y","Sort=A","Dates=H","DateFormat=P","Fill=—","Direction=H","UseDPDF=Y")</f>
        <v>#NAME?</v>
      </c>
      <c r="BF439" s="1" t="e">
        <f ca="1">_xll.BDH($C$428,"REVENUE_SEQUENTIAL_GROWTH","FQ1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39" s="1" t="e">
        <f ca="1">_xll.BDH($C$428,"EBITDA_SEQUENTIAL_GROWTH","FQ1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39" s="1" t="e">
        <f ca="1">_xll.BDH($C$428,"OPERATING_INCOME_SEQ_GROWTH","FQ1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39" s="1" t="e">
        <f ca="1">_xll.BDH($C$428,"NET_INCOME_TO_COMMON_SEQ_GROWTH","FQ1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39" s="1" t="e">
        <f ca="1">_xll.BDH($C$428,"EPS_DILUTED_SEQUENTIAL_GROWTH","FQ1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39" s="1" t="e">
        <f ca="1">_xll.BDH($C$428,"DPS_SEQUENTIAL_GROWTH","FQ1 2016","FQ1 2016","Currency=INR","Period=FQ","BEST_FPERIOD_OVERRIDE=FQ","FILING_STATUS=OR","EQY_CONSOLIDATED=Y","Sort=A","Dates=H","DateFormat=P","Fill=—","Direction=H","UseDPDF=Y")</f>
        <v>#NAME?</v>
      </c>
      <c r="BL439" s="1" t="e">
        <f ca="1">_xll.BDH($C$428,"ACCOUNTS_RECEIVABLE_SEQ_GROWTH","FQ1 2016","FQ1 2016","Currency=INR","Period=FQ","BEST_FPERIOD_OVERRIDE=FQ","FILING_STATUS=OR","EQY_CONSOLIDATED=Y","Sort=A","Dates=H","DateFormat=P","Fill=—","Direction=H","UseDPDF=Y")</f>
        <v>#NAME?</v>
      </c>
      <c r="BM439" s="1" t="e">
        <f ca="1">_xll.BDH($C$428,"INVENTORY_SEQUENTIAL_GROWTH","FQ1 2016","FQ1 2016","Currency=INR","Period=FQ","BEST_FPERIOD_OVERRIDE=FQ","FILING_STATUS=OR","EQY_CONSOLIDATED=Y","Sort=A","Dates=H","DateFormat=P","Fill=—","Direction=H","UseDPDF=Y")</f>
        <v>#NAME?</v>
      </c>
      <c r="BN439" s="1" t="e">
        <f ca="1">_xll.BDH($C$428,"FIXED_ASSETS_SEQUENTIAL_GROWTH","FQ1 2016","FQ1 2016","Currency=INR","Period=FQ","BEST_FPERIOD_OVERRIDE=FQ","FILING_STATUS=OR","EQY_CONSOLIDATED=Y","Sort=A","Dates=H","DateFormat=P","Fill=—","Direction=H","UseDPDF=Y")</f>
        <v>#NAME?</v>
      </c>
      <c r="BO439" s="1" t="e">
        <f ca="1">_xll.BDH($C$428,"TOTAL_ASSETS_SEQUENTIAL_GROWTH","FQ1 2016","FQ1 2016","Currency=INR","Period=FQ","BEST_FPERIOD_OVERRIDE=FQ","FILING_STATUS=OR","EQY_CONSOLIDATED=Y","Sort=A","Dates=H","DateFormat=P","Fill=—","Direction=H","UseDPDF=Y")</f>
        <v>#NAME?</v>
      </c>
      <c r="BP439" s="1" t="e">
        <f ca="1">_xll.BDH($C$428,"MODIFIED_WORKING_CPTL_SEQ_GRWTH","FQ1 2016","FQ1 2016","Currency=INR","Period=FQ","BEST_FPERIOD_OVERRIDE=FQ","FILING_STATUS=OR","EQY_CONSOLIDATED=Y","Sort=A","Dates=H","DateFormat=P","Fill=—","Direction=H","UseDPDF=Y")</f>
        <v>#NAME?</v>
      </c>
      <c r="BQ439" s="1" t="e">
        <f ca="1">_xll.BDH($C$428,"WORKING_CAPITAL_SEQ_GROWTH","FQ1 2016","FQ1 2016","Currency=INR","Period=FQ","BEST_FPERIOD_OVERRIDE=FQ","FILING_STATUS=OR","EQY_CONSOLIDATED=Y","Sort=A","Dates=H","DateFormat=P","Fill=—","Direction=H","UseDPDF=Y")</f>
        <v>#NAME?</v>
      </c>
      <c r="BR439" s="1" t="e">
        <f ca="1">_xll.BDH($C$428,"ACCOUNTS_PAYABLE_SEQ_GROWTH","FQ1 2016","FQ1 2016","Currency=INR","Period=FQ","BEST_FPERIOD_OVERRIDE=FQ","FILING_STATUS=OR","EQY_CONSOLIDATED=Y","Sort=A","Dates=H","DateFormat=P","Fill=—","Direction=H","UseDPDF=Y")</f>
        <v>#NAME?</v>
      </c>
      <c r="BS439" s="1" t="e">
        <f ca="1">_xll.BDH($C$428,"ST_DEBT_SEQUENTIAL_GROWTH","FQ1 2016","FQ1 2016","Currency=INR","Period=FQ","BEST_FPERIOD_OVERRIDE=FQ","FILING_STATUS=OR","EQY_CONSOLIDATED=Y","Sort=A","Dates=H","DateFormat=P","Fill=—","Direction=H","UseDPDF=Y")</f>
        <v>#NAME?</v>
      </c>
      <c r="BT439" s="1" t="e">
        <f ca="1">_xll.BDH($C$428,"TOTAL_DEBT_SEQUENTIAL_GROWTH","FQ1 2016","FQ1 2016","Currency=INR","Period=FQ","BEST_FPERIOD_OVERRIDE=FQ","FILING_STATUS=OR","EQY_CONSOLIDATED=Y","Sort=A","Dates=H","DateFormat=P","Fill=—","Direction=H","UseDPDF=Y")</f>
        <v>#NAME?</v>
      </c>
      <c r="BU439" s="1" t="e">
        <f ca="1">_xll.BDH($C$428,"TOTAL_EQUITY_SEQUENTIAL_GROWTH","FQ1 2016","FQ1 2016","Currency=INR","Period=FQ","BEST_FPERIOD_OVERRIDE=FQ","FILING_STATUS=OR","EQY_CONSOLIDATED=Y","Sort=A","Dates=H","DateFormat=P","Fill=—","Direction=H","UseDPDF=Y")</f>
        <v>#NAME?</v>
      </c>
      <c r="BV439" s="1" t="e">
        <f ca="1">_xll.BDH($C$428,"TOTAL_CAPITAL_SEQUENTIAL_GROWTH","FQ1 2016","FQ1 2016","Currency=INR","Period=FQ","BEST_FPERIOD_OVERRIDE=FQ","FILING_STATUS=OR","EQY_CONSOLIDATED=Y","Sort=A","Dates=H","DateFormat=P","Fill=—","Direction=H","UseDPDF=Y")</f>
        <v>#NAME?</v>
      </c>
      <c r="BW439" s="1" t="e">
        <f ca="1">_xll.BDH($C$428,"BPS_SEQUENTIAL_GROWTH","FQ1 2016","FQ1 2016","Currency=INR","Period=FQ","BEST_FPERIOD_OVERRIDE=FQ","FILING_STATUS=OR","EQY_CONSOLIDATED=Y","Sort=A","Dates=H","DateFormat=P","Fill=—","Direction=H","UseDPDF=Y")</f>
        <v>#NAME?</v>
      </c>
      <c r="BX439" s="1" t="e">
        <f ca="1">_xll.BDH($C$428,"CFO_SEQUENTIAL_GROWTH","FQ1 2016","FQ1 2016","Currency=INR","Period=FQ","BEST_FPERIOD_OVERRIDE=FQ","FILING_STATUS=OR","EQY_CONSOLIDATED=Y","Sort=A","Dates=H","DateFormat=P","Fill=—","Direction=H","UseDPDF=Y")</f>
        <v>#NAME?</v>
      </c>
      <c r="BY439" s="2" t="e">
        <f ca="1">_xll.BDH($C$428,"SHORT_AND_LONG_TERM_DEBT","FQ1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39" s="2" t="e">
        <f ca="1">_xll.BDH($C$428,"BS_ST_BORROW","FQ1 2016","FQ1 2016","Currency=INR","Period=FQ","BEST_FPERIOD_OVERRIDE=FQ","FILING_STATUS=OR","EQY_CONSOLIDATED=Y","SCALING_FORMAT=MLN","Sort=A","Dates=H","DateFormat=P","Fill=—","Direction=H","UseDPDF=Y")</f>
        <v>#NAME?</v>
      </c>
      <c r="CA439" s="2" t="e">
        <f ca="1">_xll.BDH($C$428,"BS_LT_BORROW","FQ1 2016","FQ1 2016","Currency=INR","Period=FQ","BEST_FPERIOD_OVERRIDE=FQ","FILING_STATUS=OR","EQY_CONSOLIDATED=Y","SCALING_FORMAT=MLN","Sort=A","Dates=H","DateFormat=P","Fill=—","Direction=H","UseDPDF=Y")</f>
        <v>#NAME?</v>
      </c>
      <c r="CB439" s="1" t="e">
        <f ca="1">_xll.BDH($C$428,"TOT_DEBT_TO_EBITDA","FQ1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39" s="1" t="e">
        <f ca="1">_xll.BDH($C$428,"NET_DEBT_TO_EBITDA","FQ1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39" s="1" t="e">
        <f ca="1">_xll.BDH($C$428,"TOTAL_DEBT_TO_EBIT","FQ1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39" s="1" t="e">
        <f ca="1">_xll.BDH($C$428,"NET_DEBT_TO_EBIT","FQ1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439" s="1" t="e">
        <f ca="1">_xll.BDH($C$428,"EBITDA_TO_INTEREST_EXPN","FQ1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39" s="1" t="e">
        <f ca="1">_xll.BDH($C$428,"COM_EQY_TO_TOT_ASSET","FQ1 2016","FQ1 2016","Currency=INR","Period=FQ","BEST_FPERIOD_OVERRIDE=FQ","FILING_STATUS=OR","EQY_CONSOLIDATED=Y","Sort=A","Dates=H","DateFormat=P","Fill=—","Direction=H","UseDPDF=Y")</f>
        <v>#NAME?</v>
      </c>
      <c r="CH439" s="1" t="e">
        <f ca="1">_xll.BDH($C$428,"LT_DEBT_TO_TOT_EQY","FQ1 2016","FQ1 2016","Currency=INR","Period=FQ","BEST_FPERIOD_OVERRIDE=FQ","FILING_STATUS=OR","EQY_CONSOLIDATED=Y","Sort=A","Dates=H","DateFormat=P","Fill=—","Direction=H","UseDPDF=Y")</f>
        <v>#NAME?</v>
      </c>
      <c r="CI439" s="1" t="e">
        <f ca="1">_xll.BDH($C$428,"LT_DEBT_TO_TOT_CAP","FQ1 2016","FQ1 2016","Currency=INR","Period=FQ","BEST_FPERIOD_OVERRIDE=FQ","FILING_STATUS=OR","EQY_CONSOLIDATED=Y","Sort=A","Dates=H","DateFormat=P","Fill=—","Direction=H","UseDPDF=Y")</f>
        <v>#NAME?</v>
      </c>
      <c r="CJ439" s="1" t="e">
        <f ca="1">_xll.BDH($C$428,"LT_DEBT_TO_TOT_ASSET","FQ1 2016","FQ1 2016","Currency=INR","Period=FQ","BEST_FPERIOD_OVERRIDE=FQ","FILING_STATUS=OR","EQY_CONSOLIDATED=Y","Sort=A","Dates=H","DateFormat=P","Fill=—","Direction=H","UseDPDF=Y")</f>
        <v>#NAME?</v>
      </c>
      <c r="CK439" s="1" t="e">
        <f ca="1">_xll.BDH($C$428,"TOT_DEBT_TO_TOT_EQY","FQ1 2016","FQ1 2016","Currency=INR","Period=FQ","BEST_FPERIOD_OVERRIDE=FQ","FILING_STATUS=OR","EQY_CONSOLIDATED=Y","Sort=A","Dates=H","DateFormat=P","Fill=—","Direction=H","UseDPDF=Y")</f>
        <v>#NAME?</v>
      </c>
      <c r="CL439" s="1" t="e">
        <f ca="1">_xll.BDH($C$428,"TOT_DEBT_TO_TOT_CAP","FQ1 2016","FQ1 2016","Currency=INR","Period=FQ","BEST_FPERIOD_OVERRIDE=FQ","FILING_STATUS=OR","EQY_CONSOLIDATED=Y","Sort=A","Dates=H","DateFormat=P","Fill=—","Direction=H","UseDPDF=Y")</f>
        <v>#NAME?</v>
      </c>
      <c r="CM439" s="1" t="e">
        <f ca="1">_xll.BDH($C$428,"TOT_DEBT_TO_TOT_ASSET","FQ1 2016","FQ1 2016","Currency=INR","Period=FQ","BEST_FPERIOD_OVERRIDE=FQ","FILING_STATUS=OR","EQY_CONSOLIDATED=Y","Sort=A","Dates=H","DateFormat=P","Fill=—","Direction=H","UseDPDF=Y")</f>
        <v>#NAME?</v>
      </c>
      <c r="CN439" s="1" t="e">
        <f ca="1">_xll.BDH($C$428,"NET_DEBT_TO_SHRHLDR_EQTY","FQ1 2016","FQ1 2016","Currency=INR","Period=FQ","BEST_FPERIOD_OVERRIDE=FQ","FILING_STATUS=OR","EQY_CONSOLIDATED=Y","Sort=A","Dates=H","DateFormat=P","Fill=—","Direction=H","UseDPDF=Y")</f>
        <v>#NAME?</v>
      </c>
      <c r="CO439" s="1" t="e">
        <f ca="1">_xll.BDH($C$428,"NET_DEBT_%_CAPITAL","FQ1 2016","FQ1 2016","Currency=INR","Period=FQ","BEST_FPERIOD_OVERRIDE=FQ","FILING_STATUS=OR","EQY_CONSOLIDATED=Y","Sort=A","Dates=H","DateFormat=P","Fill=—","Direction=H","UseDPDF=Y")</f>
        <v>#NAME?</v>
      </c>
      <c r="CP439" s="2" t="e">
        <f ca="1">_xll.BDH($C$428,"EBITDA","FQ1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39" s="2" t="e">
        <f ca="1">_xll.BDH($C$428,"EBITDA_AFTER_CAPEX","FQ1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39" s="2" t="e">
        <f ca="1">_xll.BDH($C$428,"IS_OPER_INC","FQ1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39" s="1" t="e">
        <f ca="1">_xll.BDH($C$428,"CASH_RATIO","FQ1 2016","FQ1 2016","Currency=INR","Period=FQ","BEST_FPERIOD_OVERRIDE=FQ","FILING_STATUS=OR","EQY_CONSOLIDATED=Y","Sort=A","Dates=H","DateFormat=P","Fill=—","Direction=H","UseDPDF=Y")</f>
        <v>#NAME?</v>
      </c>
      <c r="CT439" s="1" t="e">
        <f ca="1">_xll.BDH($C$428,"CUR_RATIO","FQ1 2016","FQ1 2016","Currency=INR","Period=FQ","BEST_FPERIOD_OVERRIDE=FQ","FILING_STATUS=OR","EQY_CONSOLIDATED=Y","Sort=A","Dates=H","DateFormat=P","Fill=—","Direction=H","UseDPDF=Y")</f>
        <v>#NAME?</v>
      </c>
      <c r="CU439" s="1" t="e">
        <f ca="1">_xll.BDH($C$428,"QUICK_RATIO","FQ1 2016","FQ1 2016","Currency=INR","Period=FQ","BEST_FPERIOD_OVERRIDE=FQ","FILING_STATUS=OR","EQY_CONSOLIDATED=Y","Sort=A","Dates=H","DateFormat=P","Fill=—","Direction=H","UseDPDF=Y")</f>
        <v>#NAME?</v>
      </c>
      <c r="CV439" s="1" t="e">
        <f ca="1">_xll.BDH($C$428,"ALTMAN_Z_SCORE","FQ1 2016","FQ1 2016","Currency=INR","Period=FQ","BEST_FPERIOD_OVERRIDE=FQ","FILING_STATUS=OR","EQY_CONSOLIDATED=Y","Sort=A","Dates=H","DateFormat=P","Fill=—","Direction=H","UseDPDF=Y")</f>
        <v>#NAME?</v>
      </c>
      <c r="CW439" s="3" t="e">
        <f ca="1">_xll.BDH($C$428,"ACCT_RCV_TURN","FQ1 2016","FQ1 2016","Currency=INR","Period=FQ","BEST_FPERIOD_OVERRIDE=FQ","FILING_STATUS=OR","EQY_CONSOLIDATED=Y","FA_ADJUSTED=GAAP","Sort=A","Dates=H","DateFormat=P","Fill=—","Direction=H","UseDPDF=Y")</f>
        <v>#NAME?</v>
      </c>
      <c r="CX439" s="1" t="e">
        <f ca="1">_xll.BDH($C$428,"ACCT_RCV_DAYS","FQ1 2016","FQ1 2016","Currency=INR","Period=FQ","BEST_FPERIOD_OVERRIDE=FQ","FILING_STATUS=OR","EQY_CONSOLIDATED=Y","FA_ADJUSTED=GAAP","Sort=A","Dates=H","DateFormat=P","Fill=—","Direction=H","UseDPDF=Y")</f>
        <v>#NAME?</v>
      </c>
      <c r="CY439" s="3" t="e">
        <f ca="1">_xll.BDH($C$428,"INVENT_TURN","FQ1 2016","FQ1 2016","Currency=INR","Period=FQ","BEST_FPERIOD_OVERRIDE=FQ","FILING_STATUS=OR","EQY_CONSOLIDATED=Y","FA_ADJUSTED=GAAP","Sort=A","Dates=H","DateFormat=P","Fill=—","Direction=H","UseDPDF=Y")</f>
        <v>#NAME?</v>
      </c>
      <c r="CZ439" s="1" t="e">
        <f ca="1">_xll.BDH($C$428,"INVENT_DAYS","FQ1 2016","FQ1 2016","Currency=INR","Period=FQ","BEST_FPERIOD_OVERRIDE=FQ","FILING_STATUS=OR","EQY_CONSOLIDATED=Y","FA_ADJUSTED=GAAP","Sort=A","Dates=H","DateFormat=P","Fill=—","Direction=H","UseDPDF=Y")</f>
        <v>#NAME?</v>
      </c>
      <c r="DA439" s="3" t="e">
        <f ca="1">_xll.BDH($C$428,"ACCOUNTS_PAYABLE_TURNOVER","FQ1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39" s="1" t="e">
        <f ca="1">_xll.BDH($C$428,"ACCOUNTS_PAYABLE_TURNOVER_DAYS","FQ1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39" s="3" t="e">
        <f ca="1">_xll.BDH($C$428,"CASH_CONVERSION_CYCLE","FQ1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39" s="3" t="e">
        <f ca="1">_xll.BDH($C$428,"INV_TO_CASH_DAYS","FQ1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439" s="4" t="e">
        <f ca="1">_xll.BDH($C$428,"BS_INVENTORIES","FQ1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439" s="2" t="e">
        <f ca="1">_xll.BDH($C$428,"INVTRY_RAW_MATERIALS","FQ1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39" s="2" t="e">
        <f ca="1">_xll.BDH($C$428,"INVTRY_IN_PROGRESS","FQ1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39" s="2" t="e">
        <f ca="1">_xll.BDH($C$428,"INVTRY_FINISHED_GOODS","FQ1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39" s="2" t="e">
        <f ca="1">_xll.BDH($C$428,"BS_OTHER_INV","FQ1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40" spans="1:113" x14ac:dyDescent="0.3">
      <c r="A440" s="6"/>
      <c r="B440" s="6"/>
      <c r="C440" s="6"/>
      <c r="D440" s="6"/>
      <c r="E440" t="s">
        <v>5</v>
      </c>
      <c r="F440" t="e">
        <f ca="1">_xll.BDH($C$428,"RETURN_COM_EQY","FQ2 2016","FQ2 2016","Currency=INR","Period=FQ","BEST_FPERIOD_OVERRIDE=FQ","FILING_STATUS=OR","EQY_CONSOLIDATED=Y","FA_ADJUSTED=GAAP","Sort=A","Dates=H","DateFormat=P","Fill=—","Direction=H","UseDPDF=Y")</f>
        <v>#NAME?</v>
      </c>
      <c r="G440" t="e">
        <f ca="1">_xll.BDH($C$428,"RETURN_ON_ASSET","FQ2 2016","FQ2 2016","Currency=INR","Period=FQ","BEST_FPERIOD_OVERRIDE=FQ","FILING_STATUS=OR","EQY_CONSOLIDATED=Y","FA_ADJUSTED=GAAP","Sort=A","Dates=H","DateFormat=P","Fill=—","Direction=H","UseDPDF=Y")</f>
        <v>#NAME?</v>
      </c>
      <c r="H440" t="e">
        <f ca="1">_xll.BDH($C$428,"RETURN_ON_CAP","FQ2 2016","FQ2 2016","Currency=INR","Period=FQ","BEST_FPERIOD_OVERRIDE=FQ","FILING_STATUS=OR","EQY_CONSOLIDATED=Y","FA_ADJUSTED=GAAP","Sort=A","Dates=H","DateFormat=P","Fill=—","Direction=H","UseDPDF=Y")</f>
        <v>#NAME?</v>
      </c>
      <c r="I440" t="e">
        <f ca="1">_xll.BDH($C$428,"RETURN_ON_INV_CAPITAL","FQ2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40" t="e">
        <f ca="1">_xll.BDH($C$428,"EBITDA_TO_REVENUE","FQ2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440" t="e">
        <f ca="1">_xll.BDH($C$428,"OPER_MARGIN","FQ2 2016","FQ2 2016","Currency=INR","Period=FQ","BEST_FPERIOD_OVERRIDE=FQ","FILING_STATUS=OR","EQY_CONSOLIDATED=Y","FA_ADJUSTED=GAAP","Sort=A","Dates=H","DateFormat=P","Fill=—","Direction=H","UseDPDF=Y")</f>
        <v>#NAME?</v>
      </c>
      <c r="L440" t="e">
        <f ca="1">_xll.BDH($C$428,"INCREMENTAL_OPERATING_MARGIN","FQ2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40" t="e">
        <f ca="1">_xll.BDH($C$428,"PRETAX_INC_TO_NET_SALES","FQ2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40" t="e">
        <f ca="1">_xll.BDH($C$428,"INC_BEF_XO_ITEMS_TO_NET_SALES","FQ2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40" t="e">
        <f ca="1">_xll.BDH($C$428,"PROF_MARGIN","FQ2 2016","FQ2 2016","Currency=INR","Period=FQ","BEST_FPERIOD_OVERRIDE=FQ","FILING_STATUS=OR","EQY_CONSOLIDATED=Y","FA_ADJUSTED=GAAP","Sort=A","Dates=H","DateFormat=P","Fill=—","Direction=H","UseDPDF=Y")</f>
        <v>#NAME?</v>
      </c>
      <c r="P440" t="e">
        <f ca="1">_xll.BDH($C$428,"NET_INCOME_TO_COMMON_MARGIN","FQ2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40" t="e">
        <f ca="1">_xll.BDH($C$428,"EFF_TAX_RATE","FQ2 2016","FQ2 2016","Currency=INR","Period=FQ","BEST_FPERIOD_OVERRIDE=FQ","FILING_STATUS=OR","EQY_CONSOLIDATED=Y","FA_ADJUSTED=GAAP","Sort=A","Dates=H","DateFormat=P","Fill=—","Direction=H","UseDPDF=Y")</f>
        <v>#NAME?</v>
      </c>
      <c r="R440" t="e">
        <f ca="1">_xll.BDH($C$428,"DVD_PAYOUT_RATIO","FQ2 2016","FQ2 2016","Currency=INR","Period=FQ","BEST_FPERIOD_OVERRIDE=FQ","FILING_STATUS=OR","EQY_CONSOLIDATED=Y","FA_ADJUSTED=GAAP","Sort=A","Dates=H","DateFormat=P","Fill=—","Direction=H","UseDPDF=Y")</f>
        <v>#NAME?</v>
      </c>
      <c r="S440" t="e">
        <f ca="1">_xll.BDH($C$428,"SUSTAIN_GROWTH_RT","FQ2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440" s="1" t="e">
        <f ca="1">_xll.BDH($C$428,"SALES_GROWTH","FQ2 2016","FQ2 2016","Currency=INR","Period=FQ","BEST_FPERIOD_OVERRIDE=FQ","FILING_STATUS=OR","EQY_CONSOLIDATED=Y","FA_ADJUSTED=GAAP","Sort=A","Dates=H","DateFormat=P","Fill=—","Direction=H","UseDPDF=Y")</f>
        <v>#NAME?</v>
      </c>
      <c r="U440" s="1" t="e">
        <f ca="1">_xll.BDH($C$428,"EBITDA_GROWTH","FQ2 2016","FQ2 2016","Currency=INR","Period=FQ","BEST_FPERIOD_OVERRIDE=FQ","FILING_STATUS=OR","EQY_CONSOLIDATED=Y","FA_ADJUSTED=GAAP","Sort=A","Dates=H","DateFormat=P","Fill=—","Direction=H","UseDPDF=Y")</f>
        <v>#NAME?</v>
      </c>
      <c r="V440" s="1" t="e">
        <f ca="1">_xll.BDH($C$428,"OPER_INC_GROWTH","FQ2 2016","FQ2 2016","Currency=INR","Period=FQ","BEST_FPERIOD_OVERRIDE=FQ","FILING_STATUS=OR","EQY_CONSOLIDATED=Y","FA_ADJUSTED=GAAP","Sort=A","Dates=H","DateFormat=P","Fill=—","Direction=H","UseDPDF=Y")</f>
        <v>#NAME?</v>
      </c>
      <c r="W440" s="1" t="e">
        <f ca="1">_xll.BDH($C$428,"EARN_FOR_COM_GROWTH","FQ2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40" s="1" t="e">
        <f ca="1">_xll.BDH($C$428,"DILUTED_EPS_AFT_XO_ITEMS_GROWTH","FQ2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40" s="1" t="e">
        <f ca="1">_xll.BDH($C$428,"DIVIDEND_PER_SHARE_1_YEAR_GROWTH","FQ2 2016","FQ2 2016","Currency=INR","Period=FQ","BEST_FPERIOD_OVERRIDE=FQ","FILING_STATUS=OR","EQY_CONSOLIDATED=Y","Sort=A","Dates=H","DateFormat=P","Fill=—","Direction=H","UseDPDF=Y")</f>
        <v>#NAME?</v>
      </c>
      <c r="Z440" s="1" t="e">
        <f ca="1">_xll.BDH($C$428,"ACCOUNTS_RECEIVABLE_GROWTH","FQ2 2016","FQ2 2016","Currency=INR","Period=FQ","BEST_FPERIOD_OVERRIDE=FQ","FILING_STATUS=OR","EQY_CONSOLIDATED=Y","Sort=A","Dates=H","DateFormat=P","Fill=—","Direction=H","UseDPDF=Y")</f>
        <v>#NAME?</v>
      </c>
      <c r="AA440" s="1" t="e">
        <f ca="1">_xll.BDH($C$428,"INVENTORY_GROWTH","FQ2 2016","FQ2 2016","Currency=INR","Period=FQ","BEST_FPERIOD_OVERRIDE=FQ","FILING_STATUS=OR","EQY_CONSOLIDATED=Y","Sort=A","Dates=H","DateFormat=P","Fill=—","Direction=H","UseDPDF=Y")</f>
        <v>#NAME?</v>
      </c>
      <c r="AB440" s="1" t="e">
        <f ca="1">_xll.BDH($C$428,"NET_FIXED_ASSETS_1_YEAR_GROWTH","FQ2 2016","FQ2 2016","Currency=INR","Period=FQ","BEST_FPERIOD_OVERRIDE=FQ","FILING_STATUS=OR","EQY_CONSOLIDATED=Y","Sort=A","Dates=H","DateFormat=P","Fill=—","Direction=H","UseDPDF=Y")</f>
        <v>#NAME?</v>
      </c>
      <c r="AC440" s="1" t="e">
        <f ca="1">_xll.BDH($C$428,"ASSET_GROWTH","FQ2 2016","FQ2 2016","Currency=INR","Period=FQ","BEST_FPERIOD_OVERRIDE=FQ","FILING_STATUS=OR","EQY_CONSOLIDATED=Y","Sort=A","Dates=H","DateFormat=P","Fill=—","Direction=H","UseDPDF=Y")</f>
        <v>#NAME?</v>
      </c>
      <c r="AD440" s="1" t="e">
        <f ca="1">_xll.BDH($C$428,"MODIFIED_WORK_CAP_GROWTH","FQ2 2016","FQ2 2016","Currency=INR","Period=FQ","BEST_FPERIOD_OVERRIDE=FQ","FILING_STATUS=OR","EQY_CONSOLIDATED=Y","Sort=A","Dates=H","DateFormat=P","Fill=—","Direction=H","UseDPDF=Y")</f>
        <v>#NAME?</v>
      </c>
      <c r="AE440" s="1" t="e">
        <f ca="1">_xll.BDH($C$428,"WORK_CAP_GROWTH","FQ2 2016","FQ2 2016","Currency=INR","Period=FQ","BEST_FPERIOD_OVERRIDE=FQ","FILING_STATUS=OR","EQY_CONSOLIDATED=Y","Sort=A","Dates=H","DateFormat=P","Fill=—","Direction=H","UseDPDF=Y")</f>
        <v>#NAME?</v>
      </c>
      <c r="AF440" s="1" t="e">
        <f ca="1">_xll.BDH($C$428,"ACCOUNTS_PAYABLE_GROWTH_1YR","FQ2 2016","FQ2 2016","Currency=INR","Period=FQ","BEST_FPERIOD_OVERRIDE=FQ","FILING_STATUS=OR","EQY_CONSOLIDATED=Y","Sort=A","Dates=H","DateFormat=P","Fill=—","Direction=H","UseDPDF=Y")</f>
        <v>#NAME?</v>
      </c>
      <c r="AG440" s="1" t="e">
        <f ca="1">_xll.BDH($C$428,"SHORT_TERM_DEBT_1_YEAR_GROWTH","FQ2 2016","FQ2 2016","Currency=INR","Period=FQ","BEST_FPERIOD_OVERRIDE=FQ","FILING_STATUS=OR","EQY_CONSOLIDATED=Y","Sort=A","Dates=H","DateFormat=P","Fill=—","Direction=H","UseDPDF=Y")</f>
        <v>#NAME?</v>
      </c>
      <c r="AH440" s="1" t="e">
        <f ca="1">_xll.BDH($C$428,"TOTAL_DEBT_1_YEAR_GROWTH","FQ2 2016","FQ2 2016","Currency=INR","Period=FQ","BEST_FPERIOD_OVERRIDE=FQ","FILING_STATUS=OR","EQY_CONSOLIDATED=Y","Sort=A","Dates=H","DateFormat=P","Fill=—","Direction=H","UseDPDF=Y")</f>
        <v>#NAME?</v>
      </c>
      <c r="AI440" s="1" t="e">
        <f ca="1">_xll.BDH($C$428,"TOTAL_EQUITY_1_YEAR_GROWTH","FQ2 2016","FQ2 2016","Currency=INR","Period=FQ","BEST_FPERIOD_OVERRIDE=FQ","FILING_STATUS=OR","EQY_CONSOLIDATED=Y","Sort=A","Dates=H","DateFormat=P","Fill=—","Direction=H","UseDPDF=Y")</f>
        <v>#NAME?</v>
      </c>
      <c r="AJ440" s="1" t="e">
        <f ca="1">_xll.BDH($C$428,"GROWTH_IN_CAP","FQ2 2016","FQ2 2016","Currency=INR","Period=FQ","BEST_FPERIOD_OVERRIDE=FQ","FILING_STATUS=OR","EQY_CONSOLIDATED=Y","Sort=A","Dates=H","DateFormat=P","Fill=—","Direction=H","UseDPDF=Y")</f>
        <v>#NAME?</v>
      </c>
      <c r="AK440" s="1" t="e">
        <f ca="1">_xll.BDH($C$428,"BVPS_GROWTH","FQ2 2016","FQ2 2016","Currency=INR","Period=FQ","BEST_FPERIOD_OVERRIDE=FQ","FILING_STATUS=OR","EQY_CONSOLIDATED=Y","Sort=A","Dates=H","DateFormat=P","Fill=—","Direction=H","UseDPDF=Y")</f>
        <v>#NAME?</v>
      </c>
      <c r="AL440" s="1" t="e">
        <f ca="1">_xll.BDH($C$428,"CASH_FLOW_GROWTH","FQ2 2016","FQ2 2016","Currency=INR","Period=FQ","BEST_FPERIOD_OVERRIDE=FQ","FILING_STATUS=OR","EQY_CONSOLIDATED=Y","Sort=A","Dates=H","DateFormat=P","Fill=—","Direction=H","UseDPDF=Y")</f>
        <v>#NAME?</v>
      </c>
      <c r="AM440" s="1" t="e">
        <f ca="1">_xll.BDH($C$428,"GEO_GROW_NET_SALES","FQ2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40" s="1" t="e">
        <f ca="1">_xll.BDH($C$428,"GEO_GROW_EBITDA","FQ2 2016","FQ2 2016","Currency=INR","Period=FQ","BEST_FPERIOD_OVERRIDE=FQ","FILING_STATUS=OR","EQY_CONSOLIDATED=Y","FA_ADJUSTED=GAAP","Sort=A","Dates=H","DateFormat=P","Fill=—","Direction=H","UseDPDF=Y")</f>
        <v>#NAME?</v>
      </c>
      <c r="AO440" s="1" t="e">
        <f ca="1">_xll.BDH($C$428,"GEO_GROW_OPER_INC","FQ2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40" s="1" t="e">
        <f ca="1">_xll.BDH($C$428,"NET_INCOME_TO_COMMON_5_YR_GROWTH","FQ2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40" s="1" t="e">
        <f ca="1">_xll.BDH($C$428,"5Y_GEO_GROWTH_DILUTED_EPS","FQ2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40" s="1" t="e">
        <f ca="1">_xll.BDH($C$428,"GEO_GROW_DVD_PER_SH","FQ2 2016","FQ2 2016","Currency=INR","Period=FQ","BEST_FPERIOD_OVERRIDE=FQ","FILING_STATUS=OR","EQY_CONSOLIDATED=Y","Sort=A","Dates=H","DateFormat=P","Fill=—","Direction=H","UseDPDF=Y")</f>
        <v>#NAME?</v>
      </c>
      <c r="AS440" s="1" t="e">
        <f ca="1">_xll.BDH($C$428,"ACCOUNTS_RECEIVABLE_5_YR_GROWTH","FQ2 2016","FQ2 2016","Currency=INR","Period=FQ","BEST_FPERIOD_OVERRIDE=FQ","FILING_STATUS=OR","EQY_CONSOLIDATED=Y","Sort=A","Dates=H","DateFormat=P","Fill=—","Direction=H","UseDPDF=Y")</f>
        <v>#NAME?</v>
      </c>
      <c r="AT440" s="1" t="e">
        <f ca="1">_xll.BDH($C$428,"INVENTORY_5_YEAR_GROWTH","FQ2 2016","FQ2 2016","Currency=INR","Period=FQ","BEST_FPERIOD_OVERRIDE=FQ","FILING_STATUS=OR","EQY_CONSOLIDATED=Y","Sort=A","Dates=H","DateFormat=P","Fill=—","Direction=H","UseDPDF=Y")</f>
        <v>#NAME?</v>
      </c>
      <c r="AU440" s="1" t="e">
        <f ca="1">_xll.BDH($C$428,"NET_FIXED_ASSETS_5_YEAR_GROWTH","FQ2 2016","FQ2 2016","Currency=INR","Period=FQ","BEST_FPERIOD_OVERRIDE=FQ","FILING_STATUS=OR","EQY_CONSOLIDATED=Y","Sort=A","Dates=H","DateFormat=P","Fill=—","Direction=H","UseDPDF=Y")</f>
        <v>#NAME?</v>
      </c>
      <c r="AV440" s="1" t="e">
        <f ca="1">_xll.BDH($C$428,"GEO_GROW_TOT_ASSET","FQ2 2016","FQ2 2016","Currency=INR","Period=FQ","BEST_FPERIOD_OVERRIDE=FQ","FILING_STATUS=OR","EQY_CONSOLIDATED=Y","Sort=A","Dates=H","DateFormat=P","Fill=—","Direction=H","UseDPDF=Y")</f>
        <v>#NAME?</v>
      </c>
      <c r="AW440" s="1" t="e">
        <f ca="1">_xll.BDH($C$428,"MODIFIED_WORKING_CPTL_5YR_GRWTH","FQ2 2016","FQ2 2016","Currency=INR","Period=FQ","BEST_FPERIOD_OVERRIDE=FQ","FILING_STATUS=OR","EQY_CONSOLIDATED=Y","Sort=A","Dates=H","DateFormat=P","Fill=—","Direction=H","UseDPDF=Y")</f>
        <v>#NAME?</v>
      </c>
      <c r="AX440" s="1" t="e">
        <f ca="1">_xll.BDH($C$428,"WORKING_CAPITAL_5_YEAR_GROWTH","FQ2 2016","FQ2 2016","Currency=INR","Period=FQ","BEST_FPERIOD_OVERRIDE=FQ","FILING_STATUS=OR","EQY_CONSOLIDATED=Y","Sort=A","Dates=H","DateFormat=P","Fill=—","Direction=H","UseDPDF=Y")</f>
        <v>#NAME?</v>
      </c>
      <c r="AY440" s="1" t="e">
        <f ca="1">_xll.BDH($C$428,"ACCOUNTS_PAYABLE_5_YEAR_GROWTH","FQ2 2016","FQ2 2016","Currency=INR","Period=FQ","BEST_FPERIOD_OVERRIDE=FQ","FILING_STATUS=OR","EQY_CONSOLIDATED=Y","Sort=A","Dates=H","DateFormat=P","Fill=—","Direction=H","UseDPDF=Y")</f>
        <v>#NAME?</v>
      </c>
      <c r="AZ440" s="1" t="e">
        <f ca="1">_xll.BDH($C$428,"SHORT_TERM_DEBT_5_YEAR_GROWTH","FQ2 2016","FQ2 2016","Currency=INR","Period=FQ","BEST_FPERIOD_OVERRIDE=FQ","FILING_STATUS=OR","EQY_CONSOLIDATED=Y","Sort=A","Dates=H","DateFormat=P","Fill=—","Direction=H","UseDPDF=Y")</f>
        <v>#NAME?</v>
      </c>
      <c r="BA440" s="1" t="e">
        <f ca="1">_xll.BDH($C$428,"TOTAL_DEBT_5_YEAR_GROWTH","FQ2 2016","FQ2 2016","Currency=INR","Period=FQ","BEST_FPERIOD_OVERRIDE=FQ","FILING_STATUS=OR","EQY_CONSOLIDATED=Y","Sort=A","Dates=H","DateFormat=P","Fill=—","Direction=H","UseDPDF=Y")</f>
        <v>#NAME?</v>
      </c>
      <c r="BB440" s="1" t="e">
        <f ca="1">_xll.BDH($C$428,"GEO_GROW_TOT_SHRHLDR_EQY","FQ2 2016","FQ2 2016","Currency=INR","Period=FQ","BEST_FPERIOD_OVERRIDE=FQ","FILING_STATUS=OR","EQY_CONSOLIDATED=Y","Sort=A","Dates=H","DateFormat=P","Fill=—","Direction=H","UseDPDF=Y")</f>
        <v>#NAME?</v>
      </c>
      <c r="BC440" s="1" t="e">
        <f ca="1">_xll.BDH($C$428,"TOTAL_CAPITAL_5_YEAR_GROWTH","FQ2 2016","FQ2 2016","Currency=INR","Period=FQ","BEST_FPERIOD_OVERRIDE=FQ","FILING_STATUS=OR","EQY_CONSOLIDATED=Y","Sort=A","Dates=H","DateFormat=P","Fill=—","Direction=H","UseDPDF=Y")</f>
        <v>#NAME?</v>
      </c>
      <c r="BD440" s="1" t="e">
        <f ca="1">_xll.BDH($C$428,"GEO_GROW_BOOK_VAL","FQ2 2016","FQ2 2016","Currency=INR","Period=FQ","BEST_FPERIOD_OVERRIDE=FQ","FILING_STATUS=OR","EQY_CONSOLIDATED=Y","Sort=A","Dates=H","DateFormat=P","Fill=—","Direction=H","UseDPDF=Y")</f>
        <v>#NAME?</v>
      </c>
      <c r="BE440" s="1" t="e">
        <f ca="1">_xll.BDH($C$428,"GEO_GROW_CASH_OPER_ACT","FQ2 2016","FQ2 2016","Currency=INR","Period=FQ","BEST_FPERIOD_OVERRIDE=FQ","FILING_STATUS=OR","EQY_CONSOLIDATED=Y","Sort=A","Dates=H","DateFormat=P","Fill=—","Direction=H","UseDPDF=Y")</f>
        <v>#NAME?</v>
      </c>
      <c r="BF440" s="1" t="e">
        <f ca="1">_xll.BDH($C$428,"REVENUE_SEQUENTIAL_GROWTH","FQ2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40" s="1" t="e">
        <f ca="1">_xll.BDH($C$428,"EBITDA_SEQUENTIAL_GROWTH","FQ2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40" s="1" t="e">
        <f ca="1">_xll.BDH($C$428,"OPERATING_INCOME_SEQ_GROWTH","FQ2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40" s="1" t="e">
        <f ca="1">_xll.BDH($C$428,"NET_INCOME_TO_COMMON_SEQ_GROWTH","FQ2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40" s="1" t="e">
        <f ca="1">_xll.BDH($C$428,"EPS_DILUTED_SEQUENTIAL_GROWTH","FQ2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40" s="1" t="e">
        <f ca="1">_xll.BDH($C$428,"DPS_SEQUENTIAL_GROWTH","FQ2 2016","FQ2 2016","Currency=INR","Period=FQ","BEST_FPERIOD_OVERRIDE=FQ","FILING_STATUS=OR","EQY_CONSOLIDATED=Y","Sort=A","Dates=H","DateFormat=P","Fill=—","Direction=H","UseDPDF=Y")</f>
        <v>#NAME?</v>
      </c>
      <c r="BL440" s="1" t="e">
        <f ca="1">_xll.BDH($C$428,"ACCOUNTS_RECEIVABLE_SEQ_GROWTH","FQ2 2016","FQ2 2016","Currency=INR","Period=FQ","BEST_FPERIOD_OVERRIDE=FQ","FILING_STATUS=OR","EQY_CONSOLIDATED=Y","Sort=A","Dates=H","DateFormat=P","Fill=—","Direction=H","UseDPDF=Y")</f>
        <v>#NAME?</v>
      </c>
      <c r="BM440" s="1" t="e">
        <f ca="1">_xll.BDH($C$428,"INVENTORY_SEQUENTIAL_GROWTH","FQ2 2016","FQ2 2016","Currency=INR","Period=FQ","BEST_FPERIOD_OVERRIDE=FQ","FILING_STATUS=OR","EQY_CONSOLIDATED=Y","Sort=A","Dates=H","DateFormat=P","Fill=—","Direction=H","UseDPDF=Y")</f>
        <v>#NAME?</v>
      </c>
      <c r="BN440" s="1" t="e">
        <f ca="1">_xll.BDH($C$428,"FIXED_ASSETS_SEQUENTIAL_GROWTH","FQ2 2016","FQ2 2016","Currency=INR","Period=FQ","BEST_FPERIOD_OVERRIDE=FQ","FILING_STATUS=OR","EQY_CONSOLIDATED=Y","Sort=A","Dates=H","DateFormat=P","Fill=—","Direction=H","UseDPDF=Y")</f>
        <v>#NAME?</v>
      </c>
      <c r="BO440" s="1" t="e">
        <f ca="1">_xll.BDH($C$428,"TOTAL_ASSETS_SEQUENTIAL_GROWTH","FQ2 2016","FQ2 2016","Currency=INR","Period=FQ","BEST_FPERIOD_OVERRIDE=FQ","FILING_STATUS=OR","EQY_CONSOLIDATED=Y","Sort=A","Dates=H","DateFormat=P","Fill=—","Direction=H","UseDPDF=Y")</f>
        <v>#NAME?</v>
      </c>
      <c r="BP440" s="1" t="e">
        <f ca="1">_xll.BDH($C$428,"MODIFIED_WORKING_CPTL_SEQ_GRWTH","FQ2 2016","FQ2 2016","Currency=INR","Period=FQ","BEST_FPERIOD_OVERRIDE=FQ","FILING_STATUS=OR","EQY_CONSOLIDATED=Y","Sort=A","Dates=H","DateFormat=P","Fill=—","Direction=H","UseDPDF=Y")</f>
        <v>#NAME?</v>
      </c>
      <c r="BQ440" s="1" t="e">
        <f ca="1">_xll.BDH($C$428,"WORKING_CAPITAL_SEQ_GROWTH","FQ2 2016","FQ2 2016","Currency=INR","Period=FQ","BEST_FPERIOD_OVERRIDE=FQ","FILING_STATUS=OR","EQY_CONSOLIDATED=Y","Sort=A","Dates=H","DateFormat=P","Fill=—","Direction=H","UseDPDF=Y")</f>
        <v>#NAME?</v>
      </c>
      <c r="BR440" s="1" t="e">
        <f ca="1">_xll.BDH($C$428,"ACCOUNTS_PAYABLE_SEQ_GROWTH","FQ2 2016","FQ2 2016","Currency=INR","Period=FQ","BEST_FPERIOD_OVERRIDE=FQ","FILING_STATUS=OR","EQY_CONSOLIDATED=Y","Sort=A","Dates=H","DateFormat=P","Fill=—","Direction=H","UseDPDF=Y")</f>
        <v>#NAME?</v>
      </c>
      <c r="BS440" s="1" t="e">
        <f ca="1">_xll.BDH($C$428,"ST_DEBT_SEQUENTIAL_GROWTH","FQ2 2016","FQ2 2016","Currency=INR","Period=FQ","BEST_FPERIOD_OVERRIDE=FQ","FILING_STATUS=OR","EQY_CONSOLIDATED=Y","Sort=A","Dates=H","DateFormat=P","Fill=—","Direction=H","UseDPDF=Y")</f>
        <v>#NAME?</v>
      </c>
      <c r="BT440" s="1" t="e">
        <f ca="1">_xll.BDH($C$428,"TOTAL_DEBT_SEQUENTIAL_GROWTH","FQ2 2016","FQ2 2016","Currency=INR","Period=FQ","BEST_FPERIOD_OVERRIDE=FQ","FILING_STATUS=OR","EQY_CONSOLIDATED=Y","Sort=A","Dates=H","DateFormat=P","Fill=—","Direction=H","UseDPDF=Y")</f>
        <v>#NAME?</v>
      </c>
      <c r="BU440" s="1" t="e">
        <f ca="1">_xll.BDH($C$428,"TOTAL_EQUITY_SEQUENTIAL_GROWTH","FQ2 2016","FQ2 2016","Currency=INR","Period=FQ","BEST_FPERIOD_OVERRIDE=FQ","FILING_STATUS=OR","EQY_CONSOLIDATED=Y","Sort=A","Dates=H","DateFormat=P","Fill=—","Direction=H","UseDPDF=Y")</f>
        <v>#NAME?</v>
      </c>
      <c r="BV440" s="1" t="e">
        <f ca="1">_xll.BDH($C$428,"TOTAL_CAPITAL_SEQUENTIAL_GROWTH","FQ2 2016","FQ2 2016","Currency=INR","Period=FQ","BEST_FPERIOD_OVERRIDE=FQ","FILING_STATUS=OR","EQY_CONSOLIDATED=Y","Sort=A","Dates=H","DateFormat=P","Fill=—","Direction=H","UseDPDF=Y")</f>
        <v>#NAME?</v>
      </c>
      <c r="BW440" s="1" t="e">
        <f ca="1">_xll.BDH($C$428,"BPS_SEQUENTIAL_GROWTH","FQ2 2016","FQ2 2016","Currency=INR","Period=FQ","BEST_FPERIOD_OVERRIDE=FQ","FILING_STATUS=OR","EQY_CONSOLIDATED=Y","Sort=A","Dates=H","DateFormat=P","Fill=—","Direction=H","UseDPDF=Y")</f>
        <v>#NAME?</v>
      </c>
      <c r="BX440" s="1" t="e">
        <f ca="1">_xll.BDH($C$428,"CFO_SEQUENTIAL_GROWTH","FQ2 2016","FQ2 2016","Currency=INR","Period=FQ","BEST_FPERIOD_OVERRIDE=FQ","FILING_STATUS=OR","EQY_CONSOLIDATED=Y","Sort=A","Dates=H","DateFormat=P","Fill=—","Direction=H","UseDPDF=Y")</f>
        <v>#NAME?</v>
      </c>
      <c r="BY440" s="2" t="e">
        <f ca="1">_xll.BDH($C$428,"SHORT_AND_LONG_TERM_DEBT","FQ2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40" s="2" t="e">
        <f ca="1">_xll.BDH($C$428,"BS_ST_BORROW","FQ2 2016","FQ2 2016","Currency=INR","Period=FQ","BEST_FPERIOD_OVERRIDE=FQ","FILING_STATUS=OR","EQY_CONSOLIDATED=Y","SCALING_FORMAT=MLN","Sort=A","Dates=H","DateFormat=P","Fill=—","Direction=H","UseDPDF=Y")</f>
        <v>#NAME?</v>
      </c>
      <c r="CA440" s="2" t="e">
        <f ca="1">_xll.BDH($C$428,"BS_LT_BORROW","FQ2 2016","FQ2 2016","Currency=INR","Period=FQ","BEST_FPERIOD_OVERRIDE=FQ","FILING_STATUS=OR","EQY_CONSOLIDATED=Y","SCALING_FORMAT=MLN","Sort=A","Dates=H","DateFormat=P","Fill=—","Direction=H","UseDPDF=Y")</f>
        <v>#NAME?</v>
      </c>
      <c r="CB440" s="1" t="e">
        <f ca="1">_xll.BDH($C$428,"TOT_DEBT_TO_EBITDA","FQ2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40" s="1" t="e">
        <f ca="1">_xll.BDH($C$428,"NET_DEBT_TO_EBITDA","FQ2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40" s="1" t="e">
        <f ca="1">_xll.BDH($C$428,"TOTAL_DEBT_TO_EBIT","FQ2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40" s="1" t="e">
        <f ca="1">_xll.BDH($C$428,"NET_DEBT_TO_EBIT","FQ2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440" s="1" t="e">
        <f ca="1">_xll.BDH($C$428,"EBITDA_TO_INTEREST_EXPN","FQ2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40" s="1" t="e">
        <f ca="1">_xll.BDH($C$428,"COM_EQY_TO_TOT_ASSET","FQ2 2016","FQ2 2016","Currency=INR","Period=FQ","BEST_FPERIOD_OVERRIDE=FQ","FILING_STATUS=OR","EQY_CONSOLIDATED=Y","Sort=A","Dates=H","DateFormat=P","Fill=—","Direction=H","UseDPDF=Y")</f>
        <v>#NAME?</v>
      </c>
      <c r="CH440" s="1" t="e">
        <f ca="1">_xll.BDH($C$428,"LT_DEBT_TO_TOT_EQY","FQ2 2016","FQ2 2016","Currency=INR","Period=FQ","BEST_FPERIOD_OVERRIDE=FQ","FILING_STATUS=OR","EQY_CONSOLIDATED=Y","Sort=A","Dates=H","DateFormat=P","Fill=—","Direction=H","UseDPDF=Y")</f>
        <v>#NAME?</v>
      </c>
      <c r="CI440" s="1" t="e">
        <f ca="1">_xll.BDH($C$428,"LT_DEBT_TO_TOT_CAP","FQ2 2016","FQ2 2016","Currency=INR","Period=FQ","BEST_FPERIOD_OVERRIDE=FQ","FILING_STATUS=OR","EQY_CONSOLIDATED=Y","Sort=A","Dates=H","DateFormat=P","Fill=—","Direction=H","UseDPDF=Y")</f>
        <v>#NAME?</v>
      </c>
      <c r="CJ440" s="1" t="e">
        <f ca="1">_xll.BDH($C$428,"LT_DEBT_TO_TOT_ASSET","FQ2 2016","FQ2 2016","Currency=INR","Period=FQ","BEST_FPERIOD_OVERRIDE=FQ","FILING_STATUS=OR","EQY_CONSOLIDATED=Y","Sort=A","Dates=H","DateFormat=P","Fill=—","Direction=H","UseDPDF=Y")</f>
        <v>#NAME?</v>
      </c>
      <c r="CK440" s="1" t="e">
        <f ca="1">_xll.BDH($C$428,"TOT_DEBT_TO_TOT_EQY","FQ2 2016","FQ2 2016","Currency=INR","Period=FQ","BEST_FPERIOD_OVERRIDE=FQ","FILING_STATUS=OR","EQY_CONSOLIDATED=Y","Sort=A","Dates=H","DateFormat=P","Fill=—","Direction=H","UseDPDF=Y")</f>
        <v>#NAME?</v>
      </c>
      <c r="CL440" s="1" t="e">
        <f ca="1">_xll.BDH($C$428,"TOT_DEBT_TO_TOT_CAP","FQ2 2016","FQ2 2016","Currency=INR","Period=FQ","BEST_FPERIOD_OVERRIDE=FQ","FILING_STATUS=OR","EQY_CONSOLIDATED=Y","Sort=A","Dates=H","DateFormat=P","Fill=—","Direction=H","UseDPDF=Y")</f>
        <v>#NAME?</v>
      </c>
      <c r="CM440" s="1" t="e">
        <f ca="1">_xll.BDH($C$428,"TOT_DEBT_TO_TOT_ASSET","FQ2 2016","FQ2 2016","Currency=INR","Period=FQ","BEST_FPERIOD_OVERRIDE=FQ","FILING_STATUS=OR","EQY_CONSOLIDATED=Y","Sort=A","Dates=H","DateFormat=P","Fill=—","Direction=H","UseDPDF=Y")</f>
        <v>#NAME?</v>
      </c>
      <c r="CN440" s="1" t="e">
        <f ca="1">_xll.BDH($C$428,"NET_DEBT_TO_SHRHLDR_EQTY","FQ2 2016","FQ2 2016","Currency=INR","Period=FQ","BEST_FPERIOD_OVERRIDE=FQ","FILING_STATUS=OR","EQY_CONSOLIDATED=Y","Sort=A","Dates=H","DateFormat=P","Fill=—","Direction=H","UseDPDF=Y")</f>
        <v>#NAME?</v>
      </c>
      <c r="CO440" s="1" t="e">
        <f ca="1">_xll.BDH($C$428,"NET_DEBT_%_CAPITAL","FQ2 2016","FQ2 2016","Currency=INR","Period=FQ","BEST_FPERIOD_OVERRIDE=FQ","FILING_STATUS=OR","EQY_CONSOLIDATED=Y","Sort=A","Dates=H","DateFormat=P","Fill=—","Direction=H","UseDPDF=Y")</f>
        <v>#NAME?</v>
      </c>
      <c r="CP440" s="2" t="e">
        <f ca="1">_xll.BDH($C$428,"EBITDA","FQ2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40" s="2" t="e">
        <f ca="1">_xll.BDH($C$428,"EBITDA_AFTER_CAPEX","FQ2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40" s="2" t="e">
        <f ca="1">_xll.BDH($C$428,"IS_OPER_INC","FQ2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40" s="1" t="e">
        <f ca="1">_xll.BDH($C$428,"CASH_RATIO","FQ2 2016","FQ2 2016","Currency=INR","Period=FQ","BEST_FPERIOD_OVERRIDE=FQ","FILING_STATUS=OR","EQY_CONSOLIDATED=Y","Sort=A","Dates=H","DateFormat=P","Fill=—","Direction=H","UseDPDF=Y")</f>
        <v>#NAME?</v>
      </c>
      <c r="CT440" s="1" t="e">
        <f ca="1">_xll.BDH($C$428,"CUR_RATIO","FQ2 2016","FQ2 2016","Currency=INR","Period=FQ","BEST_FPERIOD_OVERRIDE=FQ","FILING_STATUS=OR","EQY_CONSOLIDATED=Y","Sort=A","Dates=H","DateFormat=P","Fill=—","Direction=H","UseDPDF=Y")</f>
        <v>#NAME?</v>
      </c>
      <c r="CU440" s="1" t="e">
        <f ca="1">_xll.BDH($C$428,"QUICK_RATIO","FQ2 2016","FQ2 2016","Currency=INR","Period=FQ","BEST_FPERIOD_OVERRIDE=FQ","FILING_STATUS=OR","EQY_CONSOLIDATED=Y","Sort=A","Dates=H","DateFormat=P","Fill=—","Direction=H","UseDPDF=Y")</f>
        <v>#NAME?</v>
      </c>
      <c r="CV440" s="1" t="e">
        <f ca="1">_xll.BDH($C$428,"ALTMAN_Z_SCORE","FQ2 2016","FQ2 2016","Currency=INR","Period=FQ","BEST_FPERIOD_OVERRIDE=FQ","FILING_STATUS=OR","EQY_CONSOLIDATED=Y","Sort=A","Dates=H","DateFormat=P","Fill=—","Direction=H","UseDPDF=Y")</f>
        <v>#NAME?</v>
      </c>
      <c r="CW440" s="3" t="e">
        <f ca="1">_xll.BDH($C$428,"ACCT_RCV_TURN","FQ2 2016","FQ2 2016","Currency=INR","Period=FQ","BEST_FPERIOD_OVERRIDE=FQ","FILING_STATUS=OR","EQY_CONSOLIDATED=Y","FA_ADJUSTED=GAAP","Sort=A","Dates=H","DateFormat=P","Fill=—","Direction=H","UseDPDF=Y")</f>
        <v>#NAME?</v>
      </c>
      <c r="CX440" s="1" t="e">
        <f ca="1">_xll.BDH($C$428,"ACCT_RCV_DAYS","FQ2 2016","FQ2 2016","Currency=INR","Period=FQ","BEST_FPERIOD_OVERRIDE=FQ","FILING_STATUS=OR","EQY_CONSOLIDATED=Y","FA_ADJUSTED=GAAP","Sort=A","Dates=H","DateFormat=P","Fill=—","Direction=H","UseDPDF=Y")</f>
        <v>#NAME?</v>
      </c>
      <c r="CY440" s="3" t="e">
        <f ca="1">_xll.BDH($C$428,"INVENT_TURN","FQ2 2016","FQ2 2016","Currency=INR","Period=FQ","BEST_FPERIOD_OVERRIDE=FQ","FILING_STATUS=OR","EQY_CONSOLIDATED=Y","FA_ADJUSTED=GAAP","Sort=A","Dates=H","DateFormat=P","Fill=—","Direction=H","UseDPDF=Y")</f>
        <v>#NAME?</v>
      </c>
      <c r="CZ440" s="1" t="e">
        <f ca="1">_xll.BDH($C$428,"INVENT_DAYS","FQ2 2016","FQ2 2016","Currency=INR","Period=FQ","BEST_FPERIOD_OVERRIDE=FQ","FILING_STATUS=OR","EQY_CONSOLIDATED=Y","FA_ADJUSTED=GAAP","Sort=A","Dates=H","DateFormat=P","Fill=—","Direction=H","UseDPDF=Y")</f>
        <v>#NAME?</v>
      </c>
      <c r="DA440" s="3" t="e">
        <f ca="1">_xll.BDH($C$428,"ACCOUNTS_PAYABLE_TURNOVER","FQ2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40" s="1" t="e">
        <f ca="1">_xll.BDH($C$428,"ACCOUNTS_PAYABLE_TURNOVER_DAYS","FQ2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40" s="3" t="e">
        <f ca="1">_xll.BDH($C$428,"CASH_CONVERSION_CYCLE","FQ2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40" s="3" t="e">
        <f ca="1">_xll.BDH($C$428,"INV_TO_CASH_DAYS","FQ2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440" s="4" t="e">
        <f ca="1">_xll.BDH($C$428,"BS_INVENTORIES","FQ2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440" s="2" t="e">
        <f ca="1">_xll.BDH($C$428,"INVTRY_RAW_MATERIALS","FQ2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40" s="2" t="e">
        <f ca="1">_xll.BDH($C$428,"INVTRY_IN_PROGRESS","FQ2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40" s="2" t="e">
        <f ca="1">_xll.BDH($C$428,"INVTRY_FINISHED_GOODS","FQ2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40" s="2" t="e">
        <f ca="1">_xll.BDH($C$428,"BS_OTHER_INV","FQ2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41" spans="1:113" x14ac:dyDescent="0.3">
      <c r="A441" s="6"/>
      <c r="B441" s="6"/>
      <c r="C441" s="6"/>
      <c r="D441" s="6"/>
      <c r="E441" t="s">
        <v>6</v>
      </c>
      <c r="F441" t="e">
        <f ca="1">_xll.BDH($C$428,"RETURN_COM_EQY","FQ3 2016","FQ3 2016","Currency=INR","Period=FQ","BEST_FPERIOD_OVERRIDE=FQ","FILING_STATUS=OR","EQY_CONSOLIDATED=Y","FA_ADJUSTED=GAAP","Sort=A","Dates=H","DateFormat=P","Fill=—","Direction=H","UseDPDF=Y")</f>
        <v>#NAME?</v>
      </c>
      <c r="G441" t="e">
        <f ca="1">_xll.BDH($C$428,"RETURN_ON_ASSET","FQ3 2016","FQ3 2016","Currency=INR","Period=FQ","BEST_FPERIOD_OVERRIDE=FQ","FILING_STATUS=OR","EQY_CONSOLIDATED=Y","FA_ADJUSTED=GAAP","Sort=A","Dates=H","DateFormat=P","Fill=—","Direction=H","UseDPDF=Y")</f>
        <v>#NAME?</v>
      </c>
      <c r="H441" t="e">
        <f ca="1">_xll.BDH($C$428,"RETURN_ON_CAP","FQ3 2016","FQ3 2016","Currency=INR","Period=FQ","BEST_FPERIOD_OVERRIDE=FQ","FILING_STATUS=OR","EQY_CONSOLIDATED=Y","FA_ADJUSTED=GAAP","Sort=A","Dates=H","DateFormat=P","Fill=—","Direction=H","UseDPDF=Y")</f>
        <v>#NAME?</v>
      </c>
      <c r="I441" t="e">
        <f ca="1">_xll.BDH($C$428,"RETURN_ON_INV_CAPITAL","FQ3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41" t="e">
        <f ca="1">_xll.BDH($C$428,"EBITDA_TO_REVENUE","FQ3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441" t="e">
        <f ca="1">_xll.BDH($C$428,"OPER_MARGIN","FQ3 2016","FQ3 2016","Currency=INR","Period=FQ","BEST_FPERIOD_OVERRIDE=FQ","FILING_STATUS=OR","EQY_CONSOLIDATED=Y","FA_ADJUSTED=GAAP","Sort=A","Dates=H","DateFormat=P","Fill=—","Direction=H","UseDPDF=Y")</f>
        <v>#NAME?</v>
      </c>
      <c r="L441" t="e">
        <f ca="1">_xll.BDH($C$428,"INCREMENTAL_OPERATING_MARGIN","FQ3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41" t="e">
        <f ca="1">_xll.BDH($C$428,"PRETAX_INC_TO_NET_SALES","FQ3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41" t="e">
        <f ca="1">_xll.BDH($C$428,"INC_BEF_XO_ITEMS_TO_NET_SALES","FQ3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41" t="e">
        <f ca="1">_xll.BDH($C$428,"PROF_MARGIN","FQ3 2016","FQ3 2016","Currency=INR","Period=FQ","BEST_FPERIOD_OVERRIDE=FQ","FILING_STATUS=OR","EQY_CONSOLIDATED=Y","FA_ADJUSTED=GAAP","Sort=A","Dates=H","DateFormat=P","Fill=—","Direction=H","UseDPDF=Y")</f>
        <v>#NAME?</v>
      </c>
      <c r="P441" t="e">
        <f ca="1">_xll.BDH($C$428,"NET_INCOME_TO_COMMON_MARGIN","FQ3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41" t="e">
        <f ca="1">_xll.BDH($C$428,"EFF_TAX_RATE","FQ3 2016","FQ3 2016","Currency=INR","Period=FQ","BEST_FPERIOD_OVERRIDE=FQ","FILING_STATUS=OR","EQY_CONSOLIDATED=Y","FA_ADJUSTED=GAAP","Sort=A","Dates=H","DateFormat=P","Fill=—","Direction=H","UseDPDF=Y")</f>
        <v>#NAME?</v>
      </c>
      <c r="R441" t="e">
        <f ca="1">_xll.BDH($C$428,"DVD_PAYOUT_RATIO","FQ3 2016","FQ3 2016","Currency=INR","Period=FQ","BEST_FPERIOD_OVERRIDE=FQ","FILING_STATUS=OR","EQY_CONSOLIDATED=Y","FA_ADJUSTED=GAAP","Sort=A","Dates=H","DateFormat=P","Fill=—","Direction=H","UseDPDF=Y")</f>
        <v>#NAME?</v>
      </c>
      <c r="S441" t="e">
        <f ca="1">_xll.BDH($C$428,"SUSTAIN_GROWTH_RT","FQ3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441" s="1" t="e">
        <f ca="1">_xll.BDH($C$428,"SALES_GROWTH","FQ3 2016","FQ3 2016","Currency=INR","Period=FQ","BEST_FPERIOD_OVERRIDE=FQ","FILING_STATUS=OR","EQY_CONSOLIDATED=Y","FA_ADJUSTED=GAAP","Sort=A","Dates=H","DateFormat=P","Fill=—","Direction=H","UseDPDF=Y")</f>
        <v>#NAME?</v>
      </c>
      <c r="U441" s="1" t="e">
        <f ca="1">_xll.BDH($C$428,"EBITDA_GROWTH","FQ3 2016","FQ3 2016","Currency=INR","Period=FQ","BEST_FPERIOD_OVERRIDE=FQ","FILING_STATUS=OR","EQY_CONSOLIDATED=Y","FA_ADJUSTED=GAAP","Sort=A","Dates=H","DateFormat=P","Fill=—","Direction=H","UseDPDF=Y")</f>
        <v>#NAME?</v>
      </c>
      <c r="V441" s="1" t="e">
        <f ca="1">_xll.BDH($C$428,"OPER_INC_GROWTH","FQ3 2016","FQ3 2016","Currency=INR","Period=FQ","BEST_FPERIOD_OVERRIDE=FQ","FILING_STATUS=OR","EQY_CONSOLIDATED=Y","FA_ADJUSTED=GAAP","Sort=A","Dates=H","DateFormat=P","Fill=—","Direction=H","UseDPDF=Y")</f>
        <v>#NAME?</v>
      </c>
      <c r="W441" s="1" t="e">
        <f ca="1">_xll.BDH($C$428,"EARN_FOR_COM_GROWTH","FQ3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41" s="1" t="e">
        <f ca="1">_xll.BDH($C$428,"DILUTED_EPS_AFT_XO_ITEMS_GROWTH","FQ3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41" s="1" t="e">
        <f ca="1">_xll.BDH($C$428,"DIVIDEND_PER_SHARE_1_YEAR_GROWTH","FQ3 2016","FQ3 2016","Currency=INR","Period=FQ","BEST_FPERIOD_OVERRIDE=FQ","FILING_STATUS=OR","EQY_CONSOLIDATED=Y","Sort=A","Dates=H","DateFormat=P","Fill=—","Direction=H","UseDPDF=Y")</f>
        <v>#NAME?</v>
      </c>
      <c r="Z441" s="1" t="e">
        <f ca="1">_xll.BDH($C$428,"ACCOUNTS_RECEIVABLE_GROWTH","FQ3 2016","FQ3 2016","Currency=INR","Period=FQ","BEST_FPERIOD_OVERRIDE=FQ","FILING_STATUS=OR","EQY_CONSOLIDATED=Y","Sort=A","Dates=H","DateFormat=P","Fill=—","Direction=H","UseDPDF=Y")</f>
        <v>#NAME?</v>
      </c>
      <c r="AA441" s="1" t="e">
        <f ca="1">_xll.BDH($C$428,"INVENTORY_GROWTH","FQ3 2016","FQ3 2016","Currency=INR","Period=FQ","BEST_FPERIOD_OVERRIDE=FQ","FILING_STATUS=OR","EQY_CONSOLIDATED=Y","Sort=A","Dates=H","DateFormat=P","Fill=—","Direction=H","UseDPDF=Y")</f>
        <v>#NAME?</v>
      </c>
      <c r="AB441" s="1" t="e">
        <f ca="1">_xll.BDH($C$428,"NET_FIXED_ASSETS_1_YEAR_GROWTH","FQ3 2016","FQ3 2016","Currency=INR","Period=FQ","BEST_FPERIOD_OVERRIDE=FQ","FILING_STATUS=OR","EQY_CONSOLIDATED=Y","Sort=A","Dates=H","DateFormat=P","Fill=—","Direction=H","UseDPDF=Y")</f>
        <v>#NAME?</v>
      </c>
      <c r="AC441" s="1" t="e">
        <f ca="1">_xll.BDH($C$428,"ASSET_GROWTH","FQ3 2016","FQ3 2016","Currency=INR","Period=FQ","BEST_FPERIOD_OVERRIDE=FQ","FILING_STATUS=OR","EQY_CONSOLIDATED=Y","Sort=A","Dates=H","DateFormat=P","Fill=—","Direction=H","UseDPDF=Y")</f>
        <v>#NAME?</v>
      </c>
      <c r="AD441" s="1" t="e">
        <f ca="1">_xll.BDH($C$428,"MODIFIED_WORK_CAP_GROWTH","FQ3 2016","FQ3 2016","Currency=INR","Period=FQ","BEST_FPERIOD_OVERRIDE=FQ","FILING_STATUS=OR","EQY_CONSOLIDATED=Y","Sort=A","Dates=H","DateFormat=P","Fill=—","Direction=H","UseDPDF=Y")</f>
        <v>#NAME?</v>
      </c>
      <c r="AE441" s="1" t="e">
        <f ca="1">_xll.BDH($C$428,"WORK_CAP_GROWTH","FQ3 2016","FQ3 2016","Currency=INR","Period=FQ","BEST_FPERIOD_OVERRIDE=FQ","FILING_STATUS=OR","EQY_CONSOLIDATED=Y","Sort=A","Dates=H","DateFormat=P","Fill=—","Direction=H","UseDPDF=Y")</f>
        <v>#NAME?</v>
      </c>
      <c r="AF441" s="1" t="e">
        <f ca="1">_xll.BDH($C$428,"ACCOUNTS_PAYABLE_GROWTH_1YR","FQ3 2016","FQ3 2016","Currency=INR","Period=FQ","BEST_FPERIOD_OVERRIDE=FQ","FILING_STATUS=OR","EQY_CONSOLIDATED=Y","Sort=A","Dates=H","DateFormat=P","Fill=—","Direction=H","UseDPDF=Y")</f>
        <v>#NAME?</v>
      </c>
      <c r="AG441" s="1" t="e">
        <f ca="1">_xll.BDH($C$428,"SHORT_TERM_DEBT_1_YEAR_GROWTH","FQ3 2016","FQ3 2016","Currency=INR","Period=FQ","BEST_FPERIOD_OVERRIDE=FQ","FILING_STATUS=OR","EQY_CONSOLIDATED=Y","Sort=A","Dates=H","DateFormat=P","Fill=—","Direction=H","UseDPDF=Y")</f>
        <v>#NAME?</v>
      </c>
      <c r="AH441" s="1" t="e">
        <f ca="1">_xll.BDH($C$428,"TOTAL_DEBT_1_YEAR_GROWTH","FQ3 2016","FQ3 2016","Currency=INR","Period=FQ","BEST_FPERIOD_OVERRIDE=FQ","FILING_STATUS=OR","EQY_CONSOLIDATED=Y","Sort=A","Dates=H","DateFormat=P","Fill=—","Direction=H","UseDPDF=Y")</f>
        <v>#NAME?</v>
      </c>
      <c r="AI441" s="1" t="e">
        <f ca="1">_xll.BDH($C$428,"TOTAL_EQUITY_1_YEAR_GROWTH","FQ3 2016","FQ3 2016","Currency=INR","Period=FQ","BEST_FPERIOD_OVERRIDE=FQ","FILING_STATUS=OR","EQY_CONSOLIDATED=Y","Sort=A","Dates=H","DateFormat=P","Fill=—","Direction=H","UseDPDF=Y")</f>
        <v>#NAME?</v>
      </c>
      <c r="AJ441" s="1" t="e">
        <f ca="1">_xll.BDH($C$428,"GROWTH_IN_CAP","FQ3 2016","FQ3 2016","Currency=INR","Period=FQ","BEST_FPERIOD_OVERRIDE=FQ","FILING_STATUS=OR","EQY_CONSOLIDATED=Y","Sort=A","Dates=H","DateFormat=P","Fill=—","Direction=H","UseDPDF=Y")</f>
        <v>#NAME?</v>
      </c>
      <c r="AK441" s="1" t="e">
        <f ca="1">_xll.BDH($C$428,"BVPS_GROWTH","FQ3 2016","FQ3 2016","Currency=INR","Period=FQ","BEST_FPERIOD_OVERRIDE=FQ","FILING_STATUS=OR","EQY_CONSOLIDATED=Y","Sort=A","Dates=H","DateFormat=P","Fill=—","Direction=H","UseDPDF=Y")</f>
        <v>#NAME?</v>
      </c>
      <c r="AL441" s="1" t="e">
        <f ca="1">_xll.BDH($C$428,"CASH_FLOW_GROWTH","FQ3 2016","FQ3 2016","Currency=INR","Period=FQ","BEST_FPERIOD_OVERRIDE=FQ","FILING_STATUS=OR","EQY_CONSOLIDATED=Y","Sort=A","Dates=H","DateFormat=P","Fill=—","Direction=H","UseDPDF=Y")</f>
        <v>#NAME?</v>
      </c>
      <c r="AM441" s="1" t="e">
        <f ca="1">_xll.BDH($C$428,"GEO_GROW_NET_SALES","FQ3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41" s="1" t="e">
        <f ca="1">_xll.BDH($C$428,"GEO_GROW_EBITDA","FQ3 2016","FQ3 2016","Currency=INR","Period=FQ","BEST_FPERIOD_OVERRIDE=FQ","FILING_STATUS=OR","EQY_CONSOLIDATED=Y","FA_ADJUSTED=GAAP","Sort=A","Dates=H","DateFormat=P","Fill=—","Direction=H","UseDPDF=Y")</f>
        <v>#NAME?</v>
      </c>
      <c r="AO441" s="1" t="e">
        <f ca="1">_xll.BDH($C$428,"GEO_GROW_OPER_INC","FQ3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41" s="1" t="e">
        <f ca="1">_xll.BDH($C$428,"NET_INCOME_TO_COMMON_5_YR_GROWTH","FQ3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41" s="1" t="e">
        <f ca="1">_xll.BDH($C$428,"5Y_GEO_GROWTH_DILUTED_EPS","FQ3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41" s="1" t="e">
        <f ca="1">_xll.BDH($C$428,"GEO_GROW_DVD_PER_SH","FQ3 2016","FQ3 2016","Currency=INR","Period=FQ","BEST_FPERIOD_OVERRIDE=FQ","FILING_STATUS=OR","EQY_CONSOLIDATED=Y","Sort=A","Dates=H","DateFormat=P","Fill=—","Direction=H","UseDPDF=Y")</f>
        <v>#NAME?</v>
      </c>
      <c r="AS441" s="1" t="e">
        <f ca="1">_xll.BDH($C$428,"ACCOUNTS_RECEIVABLE_5_YR_GROWTH","FQ3 2016","FQ3 2016","Currency=INR","Period=FQ","BEST_FPERIOD_OVERRIDE=FQ","FILING_STATUS=OR","EQY_CONSOLIDATED=Y","Sort=A","Dates=H","DateFormat=P","Fill=—","Direction=H","UseDPDF=Y")</f>
        <v>#NAME?</v>
      </c>
      <c r="AT441" s="1" t="e">
        <f ca="1">_xll.BDH($C$428,"INVENTORY_5_YEAR_GROWTH","FQ3 2016","FQ3 2016","Currency=INR","Period=FQ","BEST_FPERIOD_OVERRIDE=FQ","FILING_STATUS=OR","EQY_CONSOLIDATED=Y","Sort=A","Dates=H","DateFormat=P","Fill=—","Direction=H","UseDPDF=Y")</f>
        <v>#NAME?</v>
      </c>
      <c r="AU441" s="1" t="e">
        <f ca="1">_xll.BDH($C$428,"NET_FIXED_ASSETS_5_YEAR_GROWTH","FQ3 2016","FQ3 2016","Currency=INR","Period=FQ","BEST_FPERIOD_OVERRIDE=FQ","FILING_STATUS=OR","EQY_CONSOLIDATED=Y","Sort=A","Dates=H","DateFormat=P","Fill=—","Direction=H","UseDPDF=Y")</f>
        <v>#NAME?</v>
      </c>
      <c r="AV441" s="1" t="e">
        <f ca="1">_xll.BDH($C$428,"GEO_GROW_TOT_ASSET","FQ3 2016","FQ3 2016","Currency=INR","Period=FQ","BEST_FPERIOD_OVERRIDE=FQ","FILING_STATUS=OR","EQY_CONSOLIDATED=Y","Sort=A","Dates=H","DateFormat=P","Fill=—","Direction=H","UseDPDF=Y")</f>
        <v>#NAME?</v>
      </c>
      <c r="AW441" s="1" t="e">
        <f ca="1">_xll.BDH($C$428,"MODIFIED_WORKING_CPTL_5YR_GRWTH","FQ3 2016","FQ3 2016","Currency=INR","Period=FQ","BEST_FPERIOD_OVERRIDE=FQ","FILING_STATUS=OR","EQY_CONSOLIDATED=Y","Sort=A","Dates=H","DateFormat=P","Fill=—","Direction=H","UseDPDF=Y")</f>
        <v>#NAME?</v>
      </c>
      <c r="AX441" s="1" t="e">
        <f ca="1">_xll.BDH($C$428,"WORKING_CAPITAL_5_YEAR_GROWTH","FQ3 2016","FQ3 2016","Currency=INR","Period=FQ","BEST_FPERIOD_OVERRIDE=FQ","FILING_STATUS=OR","EQY_CONSOLIDATED=Y","Sort=A","Dates=H","DateFormat=P","Fill=—","Direction=H","UseDPDF=Y")</f>
        <v>#NAME?</v>
      </c>
      <c r="AY441" s="1" t="e">
        <f ca="1">_xll.BDH($C$428,"ACCOUNTS_PAYABLE_5_YEAR_GROWTH","FQ3 2016","FQ3 2016","Currency=INR","Period=FQ","BEST_FPERIOD_OVERRIDE=FQ","FILING_STATUS=OR","EQY_CONSOLIDATED=Y","Sort=A","Dates=H","DateFormat=P","Fill=—","Direction=H","UseDPDF=Y")</f>
        <v>#NAME?</v>
      </c>
      <c r="AZ441" s="1" t="e">
        <f ca="1">_xll.BDH($C$428,"SHORT_TERM_DEBT_5_YEAR_GROWTH","FQ3 2016","FQ3 2016","Currency=INR","Period=FQ","BEST_FPERIOD_OVERRIDE=FQ","FILING_STATUS=OR","EQY_CONSOLIDATED=Y","Sort=A","Dates=H","DateFormat=P","Fill=—","Direction=H","UseDPDF=Y")</f>
        <v>#NAME?</v>
      </c>
      <c r="BA441" s="1" t="e">
        <f ca="1">_xll.BDH($C$428,"TOTAL_DEBT_5_YEAR_GROWTH","FQ3 2016","FQ3 2016","Currency=INR","Period=FQ","BEST_FPERIOD_OVERRIDE=FQ","FILING_STATUS=OR","EQY_CONSOLIDATED=Y","Sort=A","Dates=H","DateFormat=P","Fill=—","Direction=H","UseDPDF=Y")</f>
        <v>#NAME?</v>
      </c>
      <c r="BB441" s="1" t="e">
        <f ca="1">_xll.BDH($C$428,"GEO_GROW_TOT_SHRHLDR_EQY","FQ3 2016","FQ3 2016","Currency=INR","Period=FQ","BEST_FPERIOD_OVERRIDE=FQ","FILING_STATUS=OR","EQY_CONSOLIDATED=Y","Sort=A","Dates=H","DateFormat=P","Fill=—","Direction=H","UseDPDF=Y")</f>
        <v>#NAME?</v>
      </c>
      <c r="BC441" s="1" t="e">
        <f ca="1">_xll.BDH($C$428,"TOTAL_CAPITAL_5_YEAR_GROWTH","FQ3 2016","FQ3 2016","Currency=INR","Period=FQ","BEST_FPERIOD_OVERRIDE=FQ","FILING_STATUS=OR","EQY_CONSOLIDATED=Y","Sort=A","Dates=H","DateFormat=P","Fill=—","Direction=H","UseDPDF=Y")</f>
        <v>#NAME?</v>
      </c>
      <c r="BD441" s="1" t="e">
        <f ca="1">_xll.BDH($C$428,"GEO_GROW_BOOK_VAL","FQ3 2016","FQ3 2016","Currency=INR","Period=FQ","BEST_FPERIOD_OVERRIDE=FQ","FILING_STATUS=OR","EQY_CONSOLIDATED=Y","Sort=A","Dates=H","DateFormat=P","Fill=—","Direction=H","UseDPDF=Y")</f>
        <v>#NAME?</v>
      </c>
      <c r="BE441" s="1" t="e">
        <f ca="1">_xll.BDH($C$428,"GEO_GROW_CASH_OPER_ACT","FQ3 2016","FQ3 2016","Currency=INR","Period=FQ","BEST_FPERIOD_OVERRIDE=FQ","FILING_STATUS=OR","EQY_CONSOLIDATED=Y","Sort=A","Dates=H","DateFormat=P","Fill=—","Direction=H","UseDPDF=Y")</f>
        <v>#NAME?</v>
      </c>
      <c r="BF441" s="1" t="e">
        <f ca="1">_xll.BDH($C$428,"REVENUE_SEQUENTIAL_GROWTH","FQ3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41" s="1" t="e">
        <f ca="1">_xll.BDH($C$428,"EBITDA_SEQUENTIAL_GROWTH","FQ3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41" s="1" t="e">
        <f ca="1">_xll.BDH($C$428,"OPERATING_INCOME_SEQ_GROWTH","FQ3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41" s="1" t="e">
        <f ca="1">_xll.BDH($C$428,"NET_INCOME_TO_COMMON_SEQ_GROWTH","FQ3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41" s="1" t="e">
        <f ca="1">_xll.BDH($C$428,"EPS_DILUTED_SEQUENTIAL_GROWTH","FQ3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41" s="1" t="e">
        <f ca="1">_xll.BDH($C$428,"DPS_SEQUENTIAL_GROWTH","FQ3 2016","FQ3 2016","Currency=INR","Period=FQ","BEST_FPERIOD_OVERRIDE=FQ","FILING_STATUS=OR","EQY_CONSOLIDATED=Y","Sort=A","Dates=H","DateFormat=P","Fill=—","Direction=H","UseDPDF=Y")</f>
        <v>#NAME?</v>
      </c>
      <c r="BL441" s="1" t="e">
        <f ca="1">_xll.BDH($C$428,"ACCOUNTS_RECEIVABLE_SEQ_GROWTH","FQ3 2016","FQ3 2016","Currency=INR","Period=FQ","BEST_FPERIOD_OVERRIDE=FQ","FILING_STATUS=OR","EQY_CONSOLIDATED=Y","Sort=A","Dates=H","DateFormat=P","Fill=—","Direction=H","UseDPDF=Y")</f>
        <v>#NAME?</v>
      </c>
      <c r="BM441" s="1" t="e">
        <f ca="1">_xll.BDH($C$428,"INVENTORY_SEQUENTIAL_GROWTH","FQ3 2016","FQ3 2016","Currency=INR","Period=FQ","BEST_FPERIOD_OVERRIDE=FQ","FILING_STATUS=OR","EQY_CONSOLIDATED=Y","Sort=A","Dates=H","DateFormat=P","Fill=—","Direction=H","UseDPDF=Y")</f>
        <v>#NAME?</v>
      </c>
      <c r="BN441" s="1" t="e">
        <f ca="1">_xll.BDH($C$428,"FIXED_ASSETS_SEQUENTIAL_GROWTH","FQ3 2016","FQ3 2016","Currency=INR","Period=FQ","BEST_FPERIOD_OVERRIDE=FQ","FILING_STATUS=OR","EQY_CONSOLIDATED=Y","Sort=A","Dates=H","DateFormat=P","Fill=—","Direction=H","UseDPDF=Y")</f>
        <v>#NAME?</v>
      </c>
      <c r="BO441" s="1" t="e">
        <f ca="1">_xll.BDH($C$428,"TOTAL_ASSETS_SEQUENTIAL_GROWTH","FQ3 2016","FQ3 2016","Currency=INR","Period=FQ","BEST_FPERIOD_OVERRIDE=FQ","FILING_STATUS=OR","EQY_CONSOLIDATED=Y","Sort=A","Dates=H","DateFormat=P","Fill=—","Direction=H","UseDPDF=Y")</f>
        <v>#NAME?</v>
      </c>
      <c r="BP441" s="1" t="e">
        <f ca="1">_xll.BDH($C$428,"MODIFIED_WORKING_CPTL_SEQ_GRWTH","FQ3 2016","FQ3 2016","Currency=INR","Period=FQ","BEST_FPERIOD_OVERRIDE=FQ","FILING_STATUS=OR","EQY_CONSOLIDATED=Y","Sort=A","Dates=H","DateFormat=P","Fill=—","Direction=H","UseDPDF=Y")</f>
        <v>#NAME?</v>
      </c>
      <c r="BQ441" s="1" t="e">
        <f ca="1">_xll.BDH($C$428,"WORKING_CAPITAL_SEQ_GROWTH","FQ3 2016","FQ3 2016","Currency=INR","Period=FQ","BEST_FPERIOD_OVERRIDE=FQ","FILING_STATUS=OR","EQY_CONSOLIDATED=Y","Sort=A","Dates=H","DateFormat=P","Fill=—","Direction=H","UseDPDF=Y")</f>
        <v>#NAME?</v>
      </c>
      <c r="BR441" s="1" t="e">
        <f ca="1">_xll.BDH($C$428,"ACCOUNTS_PAYABLE_SEQ_GROWTH","FQ3 2016","FQ3 2016","Currency=INR","Period=FQ","BEST_FPERIOD_OVERRIDE=FQ","FILING_STATUS=OR","EQY_CONSOLIDATED=Y","Sort=A","Dates=H","DateFormat=P","Fill=—","Direction=H","UseDPDF=Y")</f>
        <v>#NAME?</v>
      </c>
      <c r="BS441" s="1" t="e">
        <f ca="1">_xll.BDH($C$428,"ST_DEBT_SEQUENTIAL_GROWTH","FQ3 2016","FQ3 2016","Currency=INR","Period=FQ","BEST_FPERIOD_OVERRIDE=FQ","FILING_STATUS=OR","EQY_CONSOLIDATED=Y","Sort=A","Dates=H","DateFormat=P","Fill=—","Direction=H","UseDPDF=Y")</f>
        <v>#NAME?</v>
      </c>
      <c r="BT441" s="1" t="e">
        <f ca="1">_xll.BDH($C$428,"TOTAL_DEBT_SEQUENTIAL_GROWTH","FQ3 2016","FQ3 2016","Currency=INR","Period=FQ","BEST_FPERIOD_OVERRIDE=FQ","FILING_STATUS=OR","EQY_CONSOLIDATED=Y","Sort=A","Dates=H","DateFormat=P","Fill=—","Direction=H","UseDPDF=Y")</f>
        <v>#NAME?</v>
      </c>
      <c r="BU441" s="1" t="e">
        <f ca="1">_xll.BDH($C$428,"TOTAL_EQUITY_SEQUENTIAL_GROWTH","FQ3 2016","FQ3 2016","Currency=INR","Period=FQ","BEST_FPERIOD_OVERRIDE=FQ","FILING_STATUS=OR","EQY_CONSOLIDATED=Y","Sort=A","Dates=H","DateFormat=P","Fill=—","Direction=H","UseDPDF=Y")</f>
        <v>#NAME?</v>
      </c>
      <c r="BV441" s="1" t="e">
        <f ca="1">_xll.BDH($C$428,"TOTAL_CAPITAL_SEQUENTIAL_GROWTH","FQ3 2016","FQ3 2016","Currency=INR","Period=FQ","BEST_FPERIOD_OVERRIDE=FQ","FILING_STATUS=OR","EQY_CONSOLIDATED=Y","Sort=A","Dates=H","DateFormat=P","Fill=—","Direction=H","UseDPDF=Y")</f>
        <v>#NAME?</v>
      </c>
      <c r="BW441" s="1" t="e">
        <f ca="1">_xll.BDH($C$428,"BPS_SEQUENTIAL_GROWTH","FQ3 2016","FQ3 2016","Currency=INR","Period=FQ","BEST_FPERIOD_OVERRIDE=FQ","FILING_STATUS=OR","EQY_CONSOLIDATED=Y","Sort=A","Dates=H","DateFormat=P","Fill=—","Direction=H","UseDPDF=Y")</f>
        <v>#NAME?</v>
      </c>
      <c r="BX441" s="1" t="e">
        <f ca="1">_xll.BDH($C$428,"CFO_SEQUENTIAL_GROWTH","FQ3 2016","FQ3 2016","Currency=INR","Period=FQ","BEST_FPERIOD_OVERRIDE=FQ","FILING_STATUS=OR","EQY_CONSOLIDATED=Y","Sort=A","Dates=H","DateFormat=P","Fill=—","Direction=H","UseDPDF=Y")</f>
        <v>#NAME?</v>
      </c>
      <c r="BY441" s="2" t="e">
        <f ca="1">_xll.BDH($C$428,"SHORT_AND_LONG_TERM_DEBT","FQ3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41" s="2" t="e">
        <f ca="1">_xll.BDH($C$428,"BS_ST_BORROW","FQ3 2016","FQ3 2016","Currency=INR","Period=FQ","BEST_FPERIOD_OVERRIDE=FQ","FILING_STATUS=OR","EQY_CONSOLIDATED=Y","SCALING_FORMAT=MLN","Sort=A","Dates=H","DateFormat=P","Fill=—","Direction=H","UseDPDF=Y")</f>
        <v>#NAME?</v>
      </c>
      <c r="CA441" s="2" t="e">
        <f ca="1">_xll.BDH($C$428,"BS_LT_BORROW","FQ3 2016","FQ3 2016","Currency=INR","Period=FQ","BEST_FPERIOD_OVERRIDE=FQ","FILING_STATUS=OR","EQY_CONSOLIDATED=Y","SCALING_FORMAT=MLN","Sort=A","Dates=H","DateFormat=P","Fill=—","Direction=H","UseDPDF=Y")</f>
        <v>#NAME?</v>
      </c>
      <c r="CB441" s="1" t="e">
        <f ca="1">_xll.BDH($C$428,"TOT_DEBT_TO_EBITDA","FQ3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41" s="1" t="e">
        <f ca="1">_xll.BDH($C$428,"NET_DEBT_TO_EBITDA","FQ3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41" s="1" t="e">
        <f ca="1">_xll.BDH($C$428,"TOTAL_DEBT_TO_EBIT","FQ3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41" s="1" t="e">
        <f ca="1">_xll.BDH($C$428,"NET_DEBT_TO_EBIT","FQ3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441" s="1" t="e">
        <f ca="1">_xll.BDH($C$428,"EBITDA_TO_INTEREST_EXPN","FQ3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41" s="1" t="e">
        <f ca="1">_xll.BDH($C$428,"COM_EQY_TO_TOT_ASSET","FQ3 2016","FQ3 2016","Currency=INR","Period=FQ","BEST_FPERIOD_OVERRIDE=FQ","FILING_STATUS=OR","EQY_CONSOLIDATED=Y","Sort=A","Dates=H","DateFormat=P","Fill=—","Direction=H","UseDPDF=Y")</f>
        <v>#NAME?</v>
      </c>
      <c r="CH441" s="1" t="e">
        <f ca="1">_xll.BDH($C$428,"LT_DEBT_TO_TOT_EQY","FQ3 2016","FQ3 2016","Currency=INR","Period=FQ","BEST_FPERIOD_OVERRIDE=FQ","FILING_STATUS=OR","EQY_CONSOLIDATED=Y","Sort=A","Dates=H","DateFormat=P","Fill=—","Direction=H","UseDPDF=Y")</f>
        <v>#NAME?</v>
      </c>
      <c r="CI441" s="1" t="e">
        <f ca="1">_xll.BDH($C$428,"LT_DEBT_TO_TOT_CAP","FQ3 2016","FQ3 2016","Currency=INR","Period=FQ","BEST_FPERIOD_OVERRIDE=FQ","FILING_STATUS=OR","EQY_CONSOLIDATED=Y","Sort=A","Dates=H","DateFormat=P","Fill=—","Direction=H","UseDPDF=Y")</f>
        <v>#NAME?</v>
      </c>
      <c r="CJ441" s="1" t="e">
        <f ca="1">_xll.BDH($C$428,"LT_DEBT_TO_TOT_ASSET","FQ3 2016","FQ3 2016","Currency=INR","Period=FQ","BEST_FPERIOD_OVERRIDE=FQ","FILING_STATUS=OR","EQY_CONSOLIDATED=Y","Sort=A","Dates=H","DateFormat=P","Fill=—","Direction=H","UseDPDF=Y")</f>
        <v>#NAME?</v>
      </c>
      <c r="CK441" s="1" t="e">
        <f ca="1">_xll.BDH($C$428,"TOT_DEBT_TO_TOT_EQY","FQ3 2016","FQ3 2016","Currency=INR","Period=FQ","BEST_FPERIOD_OVERRIDE=FQ","FILING_STATUS=OR","EQY_CONSOLIDATED=Y","Sort=A","Dates=H","DateFormat=P","Fill=—","Direction=H","UseDPDF=Y")</f>
        <v>#NAME?</v>
      </c>
      <c r="CL441" s="1" t="e">
        <f ca="1">_xll.BDH($C$428,"TOT_DEBT_TO_TOT_CAP","FQ3 2016","FQ3 2016","Currency=INR","Period=FQ","BEST_FPERIOD_OVERRIDE=FQ","FILING_STATUS=OR","EQY_CONSOLIDATED=Y","Sort=A","Dates=H","DateFormat=P","Fill=—","Direction=H","UseDPDF=Y")</f>
        <v>#NAME?</v>
      </c>
      <c r="CM441" s="1" t="e">
        <f ca="1">_xll.BDH($C$428,"TOT_DEBT_TO_TOT_ASSET","FQ3 2016","FQ3 2016","Currency=INR","Period=FQ","BEST_FPERIOD_OVERRIDE=FQ","FILING_STATUS=OR","EQY_CONSOLIDATED=Y","Sort=A","Dates=H","DateFormat=P","Fill=—","Direction=H","UseDPDF=Y")</f>
        <v>#NAME?</v>
      </c>
      <c r="CN441" s="1" t="e">
        <f ca="1">_xll.BDH($C$428,"NET_DEBT_TO_SHRHLDR_EQTY","FQ3 2016","FQ3 2016","Currency=INR","Period=FQ","BEST_FPERIOD_OVERRIDE=FQ","FILING_STATUS=OR","EQY_CONSOLIDATED=Y","Sort=A","Dates=H","DateFormat=P","Fill=—","Direction=H","UseDPDF=Y")</f>
        <v>#NAME?</v>
      </c>
      <c r="CO441" s="1" t="e">
        <f ca="1">_xll.BDH($C$428,"NET_DEBT_%_CAPITAL","FQ3 2016","FQ3 2016","Currency=INR","Period=FQ","BEST_FPERIOD_OVERRIDE=FQ","FILING_STATUS=OR","EQY_CONSOLIDATED=Y","Sort=A","Dates=H","DateFormat=P","Fill=—","Direction=H","UseDPDF=Y")</f>
        <v>#NAME?</v>
      </c>
      <c r="CP441" s="2" t="e">
        <f ca="1">_xll.BDH($C$428,"EBITDA","FQ3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41" s="2" t="e">
        <f ca="1">_xll.BDH($C$428,"EBITDA_AFTER_CAPEX","FQ3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41" s="2" t="e">
        <f ca="1">_xll.BDH($C$428,"IS_OPER_INC","FQ3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41" s="1" t="e">
        <f ca="1">_xll.BDH($C$428,"CASH_RATIO","FQ3 2016","FQ3 2016","Currency=INR","Period=FQ","BEST_FPERIOD_OVERRIDE=FQ","FILING_STATUS=OR","EQY_CONSOLIDATED=Y","Sort=A","Dates=H","DateFormat=P","Fill=—","Direction=H","UseDPDF=Y")</f>
        <v>#NAME?</v>
      </c>
      <c r="CT441" s="1" t="e">
        <f ca="1">_xll.BDH($C$428,"CUR_RATIO","FQ3 2016","FQ3 2016","Currency=INR","Period=FQ","BEST_FPERIOD_OVERRIDE=FQ","FILING_STATUS=OR","EQY_CONSOLIDATED=Y","Sort=A","Dates=H","DateFormat=P","Fill=—","Direction=H","UseDPDF=Y")</f>
        <v>#NAME?</v>
      </c>
      <c r="CU441" s="1" t="e">
        <f ca="1">_xll.BDH($C$428,"QUICK_RATIO","FQ3 2016","FQ3 2016","Currency=INR","Period=FQ","BEST_FPERIOD_OVERRIDE=FQ","FILING_STATUS=OR","EQY_CONSOLIDATED=Y","Sort=A","Dates=H","DateFormat=P","Fill=—","Direction=H","UseDPDF=Y")</f>
        <v>#NAME?</v>
      </c>
      <c r="CV441" s="1" t="e">
        <f ca="1">_xll.BDH($C$428,"ALTMAN_Z_SCORE","FQ3 2016","FQ3 2016","Currency=INR","Period=FQ","BEST_FPERIOD_OVERRIDE=FQ","FILING_STATUS=OR","EQY_CONSOLIDATED=Y","Sort=A","Dates=H","DateFormat=P","Fill=—","Direction=H","UseDPDF=Y")</f>
        <v>#NAME?</v>
      </c>
      <c r="CW441" s="3" t="e">
        <f ca="1">_xll.BDH($C$428,"ACCT_RCV_TURN","FQ3 2016","FQ3 2016","Currency=INR","Period=FQ","BEST_FPERIOD_OVERRIDE=FQ","FILING_STATUS=OR","EQY_CONSOLIDATED=Y","FA_ADJUSTED=GAAP","Sort=A","Dates=H","DateFormat=P","Fill=—","Direction=H","UseDPDF=Y")</f>
        <v>#NAME?</v>
      </c>
      <c r="CX441" s="1" t="e">
        <f ca="1">_xll.BDH($C$428,"ACCT_RCV_DAYS","FQ3 2016","FQ3 2016","Currency=INR","Period=FQ","BEST_FPERIOD_OVERRIDE=FQ","FILING_STATUS=OR","EQY_CONSOLIDATED=Y","FA_ADJUSTED=GAAP","Sort=A","Dates=H","DateFormat=P","Fill=—","Direction=H","UseDPDF=Y")</f>
        <v>#NAME?</v>
      </c>
      <c r="CY441" s="3" t="e">
        <f ca="1">_xll.BDH($C$428,"INVENT_TURN","FQ3 2016","FQ3 2016","Currency=INR","Period=FQ","BEST_FPERIOD_OVERRIDE=FQ","FILING_STATUS=OR","EQY_CONSOLIDATED=Y","FA_ADJUSTED=GAAP","Sort=A","Dates=H","DateFormat=P","Fill=—","Direction=H","UseDPDF=Y")</f>
        <v>#NAME?</v>
      </c>
      <c r="CZ441" s="1" t="e">
        <f ca="1">_xll.BDH($C$428,"INVENT_DAYS","FQ3 2016","FQ3 2016","Currency=INR","Period=FQ","BEST_FPERIOD_OVERRIDE=FQ","FILING_STATUS=OR","EQY_CONSOLIDATED=Y","FA_ADJUSTED=GAAP","Sort=A","Dates=H","DateFormat=P","Fill=—","Direction=H","UseDPDF=Y")</f>
        <v>#NAME?</v>
      </c>
      <c r="DA441" s="3" t="e">
        <f ca="1">_xll.BDH($C$428,"ACCOUNTS_PAYABLE_TURNOVER","FQ3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41" s="1" t="e">
        <f ca="1">_xll.BDH($C$428,"ACCOUNTS_PAYABLE_TURNOVER_DAYS","FQ3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41" s="3" t="e">
        <f ca="1">_xll.BDH($C$428,"CASH_CONVERSION_CYCLE","FQ3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41" s="3" t="e">
        <f ca="1">_xll.BDH($C$428,"INV_TO_CASH_DAYS","FQ3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441" s="4" t="e">
        <f ca="1">_xll.BDH($C$428,"BS_INVENTORIES","FQ3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441" s="2" t="e">
        <f ca="1">_xll.BDH($C$428,"INVTRY_RAW_MATERIALS","FQ3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41" s="2" t="e">
        <f ca="1">_xll.BDH($C$428,"INVTRY_IN_PROGRESS","FQ3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41" s="2" t="e">
        <f ca="1">_xll.BDH($C$428,"INVTRY_FINISHED_GOODS","FQ3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41" s="2" t="e">
        <f ca="1">_xll.BDH($C$428,"BS_OTHER_INV","FQ3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42" spans="1:113" x14ac:dyDescent="0.3">
      <c r="A442" s="6"/>
      <c r="B442" s="6"/>
      <c r="C442" s="6"/>
      <c r="D442" s="6"/>
      <c r="E442" t="s">
        <v>7</v>
      </c>
      <c r="F442" t="e">
        <f ca="1">_xll.BDH($C$428,"RETURN_COM_EQY","FQ4 2016","FQ4 2016","Currency=INR","Period=FQ","BEST_FPERIOD_OVERRIDE=FQ","FILING_STATUS=OR","EQY_CONSOLIDATED=Y","FA_ADJUSTED=GAAP","Sort=A","Dates=H","DateFormat=P","Fill=—","Direction=H","UseDPDF=Y")</f>
        <v>#NAME?</v>
      </c>
      <c r="G442" t="e">
        <f ca="1">_xll.BDH($C$428,"RETURN_ON_ASSET","FQ4 2016","FQ4 2016","Currency=INR","Period=FQ","BEST_FPERIOD_OVERRIDE=FQ","FILING_STATUS=OR","EQY_CONSOLIDATED=Y","FA_ADJUSTED=GAAP","Sort=A","Dates=H","DateFormat=P","Fill=—","Direction=H","UseDPDF=Y")</f>
        <v>#NAME?</v>
      </c>
      <c r="H442" t="e">
        <f ca="1">_xll.BDH($C$428,"RETURN_ON_CAP","FQ4 2016","FQ4 2016","Currency=INR","Period=FQ","BEST_FPERIOD_OVERRIDE=FQ","FILING_STATUS=OR","EQY_CONSOLIDATED=Y","FA_ADJUSTED=GAAP","Sort=A","Dates=H","DateFormat=P","Fill=—","Direction=H","UseDPDF=Y")</f>
        <v>#NAME?</v>
      </c>
      <c r="I442" t="e">
        <f ca="1">_xll.BDH($C$428,"RETURN_ON_INV_CAPITAL","FQ4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42" t="e">
        <f ca="1">_xll.BDH($C$428,"EBITDA_TO_REVENUE","FQ4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442" t="e">
        <f ca="1">_xll.BDH($C$428,"OPER_MARGIN","FQ4 2016","FQ4 2016","Currency=INR","Period=FQ","BEST_FPERIOD_OVERRIDE=FQ","FILING_STATUS=OR","EQY_CONSOLIDATED=Y","FA_ADJUSTED=GAAP","Sort=A","Dates=H","DateFormat=P","Fill=—","Direction=H","UseDPDF=Y")</f>
        <v>#NAME?</v>
      </c>
      <c r="L442" t="e">
        <f ca="1">_xll.BDH($C$428,"INCREMENTAL_OPERATING_MARGIN","FQ4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42" t="e">
        <f ca="1">_xll.BDH($C$428,"PRETAX_INC_TO_NET_SALES","FQ4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42" t="e">
        <f ca="1">_xll.BDH($C$428,"INC_BEF_XO_ITEMS_TO_NET_SALES","FQ4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42" t="e">
        <f ca="1">_xll.BDH($C$428,"PROF_MARGIN","FQ4 2016","FQ4 2016","Currency=INR","Period=FQ","BEST_FPERIOD_OVERRIDE=FQ","FILING_STATUS=OR","EQY_CONSOLIDATED=Y","FA_ADJUSTED=GAAP","Sort=A","Dates=H","DateFormat=P","Fill=—","Direction=H","UseDPDF=Y")</f>
        <v>#NAME?</v>
      </c>
      <c r="P442" t="e">
        <f ca="1">_xll.BDH($C$428,"NET_INCOME_TO_COMMON_MARGIN","FQ4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42" t="e">
        <f ca="1">_xll.BDH($C$428,"EFF_TAX_RATE","FQ4 2016","FQ4 2016","Currency=INR","Period=FQ","BEST_FPERIOD_OVERRIDE=FQ","FILING_STATUS=OR","EQY_CONSOLIDATED=Y","FA_ADJUSTED=GAAP","Sort=A","Dates=H","DateFormat=P","Fill=—","Direction=H","UseDPDF=Y")</f>
        <v>#NAME?</v>
      </c>
      <c r="R442" t="e">
        <f ca="1">_xll.BDH($C$428,"DVD_PAYOUT_RATIO","FQ4 2016","FQ4 2016","Currency=INR","Period=FQ","BEST_FPERIOD_OVERRIDE=FQ","FILING_STATUS=OR","EQY_CONSOLIDATED=Y","FA_ADJUSTED=GAAP","Sort=A","Dates=H","DateFormat=P","Fill=—","Direction=H","UseDPDF=Y")</f>
        <v>#NAME?</v>
      </c>
      <c r="S442" t="e">
        <f ca="1">_xll.BDH($C$428,"SUSTAIN_GROWTH_RT","FQ4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442" s="1" t="e">
        <f ca="1">_xll.BDH($C$428,"SALES_GROWTH","FQ4 2016","FQ4 2016","Currency=INR","Period=FQ","BEST_FPERIOD_OVERRIDE=FQ","FILING_STATUS=OR","EQY_CONSOLIDATED=Y","FA_ADJUSTED=GAAP","Sort=A","Dates=H","DateFormat=P","Fill=—","Direction=H","UseDPDF=Y")</f>
        <v>#NAME?</v>
      </c>
      <c r="U442" s="1" t="e">
        <f ca="1">_xll.BDH($C$428,"EBITDA_GROWTH","FQ4 2016","FQ4 2016","Currency=INR","Period=FQ","BEST_FPERIOD_OVERRIDE=FQ","FILING_STATUS=OR","EQY_CONSOLIDATED=Y","FA_ADJUSTED=GAAP","Sort=A","Dates=H","DateFormat=P","Fill=—","Direction=H","UseDPDF=Y")</f>
        <v>#NAME?</v>
      </c>
      <c r="V442" s="1" t="e">
        <f ca="1">_xll.BDH($C$428,"OPER_INC_GROWTH","FQ4 2016","FQ4 2016","Currency=INR","Period=FQ","BEST_FPERIOD_OVERRIDE=FQ","FILING_STATUS=OR","EQY_CONSOLIDATED=Y","FA_ADJUSTED=GAAP","Sort=A","Dates=H","DateFormat=P","Fill=—","Direction=H","UseDPDF=Y")</f>
        <v>#NAME?</v>
      </c>
      <c r="W442" s="1" t="e">
        <f ca="1">_xll.BDH($C$428,"EARN_FOR_COM_GROWTH","FQ4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42" s="1" t="e">
        <f ca="1">_xll.BDH($C$428,"DILUTED_EPS_AFT_XO_ITEMS_GROWTH","FQ4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42" s="1" t="e">
        <f ca="1">_xll.BDH($C$428,"DIVIDEND_PER_SHARE_1_YEAR_GROWTH","FQ4 2016","FQ4 2016","Currency=INR","Period=FQ","BEST_FPERIOD_OVERRIDE=FQ","FILING_STATUS=OR","EQY_CONSOLIDATED=Y","Sort=A","Dates=H","DateFormat=P","Fill=—","Direction=H","UseDPDF=Y")</f>
        <v>#NAME?</v>
      </c>
      <c r="Z442" s="1" t="e">
        <f ca="1">_xll.BDH($C$428,"ACCOUNTS_RECEIVABLE_GROWTH","FQ4 2016","FQ4 2016","Currency=INR","Period=FQ","BEST_FPERIOD_OVERRIDE=FQ","FILING_STATUS=OR","EQY_CONSOLIDATED=Y","Sort=A","Dates=H","DateFormat=P","Fill=—","Direction=H","UseDPDF=Y")</f>
        <v>#NAME?</v>
      </c>
      <c r="AA442" s="1" t="e">
        <f ca="1">_xll.BDH($C$428,"INVENTORY_GROWTH","FQ4 2016","FQ4 2016","Currency=INR","Period=FQ","BEST_FPERIOD_OVERRIDE=FQ","FILING_STATUS=OR","EQY_CONSOLIDATED=Y","Sort=A","Dates=H","DateFormat=P","Fill=—","Direction=H","UseDPDF=Y")</f>
        <v>#NAME?</v>
      </c>
      <c r="AB442" s="1" t="e">
        <f ca="1">_xll.BDH($C$428,"NET_FIXED_ASSETS_1_YEAR_GROWTH","FQ4 2016","FQ4 2016","Currency=INR","Period=FQ","BEST_FPERIOD_OVERRIDE=FQ","FILING_STATUS=OR","EQY_CONSOLIDATED=Y","Sort=A","Dates=H","DateFormat=P","Fill=—","Direction=H","UseDPDF=Y")</f>
        <v>#NAME?</v>
      </c>
      <c r="AC442" s="1" t="e">
        <f ca="1">_xll.BDH($C$428,"ASSET_GROWTH","FQ4 2016","FQ4 2016","Currency=INR","Period=FQ","BEST_FPERIOD_OVERRIDE=FQ","FILING_STATUS=OR","EQY_CONSOLIDATED=Y","Sort=A","Dates=H","DateFormat=P","Fill=—","Direction=H","UseDPDF=Y")</f>
        <v>#NAME?</v>
      </c>
      <c r="AD442" s="1" t="e">
        <f ca="1">_xll.BDH($C$428,"MODIFIED_WORK_CAP_GROWTH","FQ4 2016","FQ4 2016","Currency=INR","Period=FQ","BEST_FPERIOD_OVERRIDE=FQ","FILING_STATUS=OR","EQY_CONSOLIDATED=Y","Sort=A","Dates=H","DateFormat=P","Fill=—","Direction=H","UseDPDF=Y")</f>
        <v>#NAME?</v>
      </c>
      <c r="AE442" s="1" t="e">
        <f ca="1">_xll.BDH($C$428,"WORK_CAP_GROWTH","FQ4 2016","FQ4 2016","Currency=INR","Period=FQ","BEST_FPERIOD_OVERRIDE=FQ","FILING_STATUS=OR","EQY_CONSOLIDATED=Y","Sort=A","Dates=H","DateFormat=P","Fill=—","Direction=H","UseDPDF=Y")</f>
        <v>#NAME?</v>
      </c>
      <c r="AF442" s="1" t="e">
        <f ca="1">_xll.BDH($C$428,"ACCOUNTS_PAYABLE_GROWTH_1YR","FQ4 2016","FQ4 2016","Currency=INR","Period=FQ","BEST_FPERIOD_OVERRIDE=FQ","FILING_STATUS=OR","EQY_CONSOLIDATED=Y","Sort=A","Dates=H","DateFormat=P","Fill=—","Direction=H","UseDPDF=Y")</f>
        <v>#NAME?</v>
      </c>
      <c r="AG442" s="1" t="e">
        <f ca="1">_xll.BDH($C$428,"SHORT_TERM_DEBT_1_YEAR_GROWTH","FQ4 2016","FQ4 2016","Currency=INR","Period=FQ","BEST_FPERIOD_OVERRIDE=FQ","FILING_STATUS=OR","EQY_CONSOLIDATED=Y","Sort=A","Dates=H","DateFormat=P","Fill=—","Direction=H","UseDPDF=Y")</f>
        <v>#NAME?</v>
      </c>
      <c r="AH442" s="1" t="e">
        <f ca="1">_xll.BDH($C$428,"TOTAL_DEBT_1_YEAR_GROWTH","FQ4 2016","FQ4 2016","Currency=INR","Period=FQ","BEST_FPERIOD_OVERRIDE=FQ","FILING_STATUS=OR","EQY_CONSOLIDATED=Y","Sort=A","Dates=H","DateFormat=P","Fill=—","Direction=H","UseDPDF=Y")</f>
        <v>#NAME?</v>
      </c>
      <c r="AI442" s="1" t="e">
        <f ca="1">_xll.BDH($C$428,"TOTAL_EQUITY_1_YEAR_GROWTH","FQ4 2016","FQ4 2016","Currency=INR","Period=FQ","BEST_FPERIOD_OVERRIDE=FQ","FILING_STATUS=OR","EQY_CONSOLIDATED=Y","Sort=A","Dates=H","DateFormat=P","Fill=—","Direction=H","UseDPDF=Y")</f>
        <v>#NAME?</v>
      </c>
      <c r="AJ442" s="1" t="e">
        <f ca="1">_xll.BDH($C$428,"GROWTH_IN_CAP","FQ4 2016","FQ4 2016","Currency=INR","Period=FQ","BEST_FPERIOD_OVERRIDE=FQ","FILING_STATUS=OR","EQY_CONSOLIDATED=Y","Sort=A","Dates=H","DateFormat=P","Fill=—","Direction=H","UseDPDF=Y")</f>
        <v>#NAME?</v>
      </c>
      <c r="AK442" s="1" t="e">
        <f ca="1">_xll.BDH($C$428,"BVPS_GROWTH","FQ4 2016","FQ4 2016","Currency=INR","Period=FQ","BEST_FPERIOD_OVERRIDE=FQ","FILING_STATUS=OR","EQY_CONSOLIDATED=Y","Sort=A","Dates=H","DateFormat=P","Fill=—","Direction=H","UseDPDF=Y")</f>
        <v>#NAME?</v>
      </c>
      <c r="AL442" s="1" t="e">
        <f ca="1">_xll.BDH($C$428,"CASH_FLOW_GROWTH","FQ4 2016","FQ4 2016","Currency=INR","Period=FQ","BEST_FPERIOD_OVERRIDE=FQ","FILING_STATUS=OR","EQY_CONSOLIDATED=Y","Sort=A","Dates=H","DateFormat=P","Fill=—","Direction=H","UseDPDF=Y")</f>
        <v>#NAME?</v>
      </c>
      <c r="AM442" s="1" t="e">
        <f ca="1">_xll.BDH($C$428,"GEO_GROW_NET_SALES","FQ4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42" s="1" t="e">
        <f ca="1">_xll.BDH($C$428,"GEO_GROW_EBITDA","FQ4 2016","FQ4 2016","Currency=INR","Period=FQ","BEST_FPERIOD_OVERRIDE=FQ","FILING_STATUS=OR","EQY_CONSOLIDATED=Y","FA_ADJUSTED=GAAP","Sort=A","Dates=H","DateFormat=P","Fill=—","Direction=H","UseDPDF=Y")</f>
        <v>#NAME?</v>
      </c>
      <c r="AO442" s="1" t="e">
        <f ca="1">_xll.BDH($C$428,"GEO_GROW_OPER_INC","FQ4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42" s="1" t="e">
        <f ca="1">_xll.BDH($C$428,"NET_INCOME_TO_COMMON_5_YR_GROWTH","FQ4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42" s="1" t="e">
        <f ca="1">_xll.BDH($C$428,"5Y_GEO_GROWTH_DILUTED_EPS","FQ4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42" s="1" t="e">
        <f ca="1">_xll.BDH($C$428,"GEO_GROW_DVD_PER_SH","FQ4 2016","FQ4 2016","Currency=INR","Period=FQ","BEST_FPERIOD_OVERRIDE=FQ","FILING_STATUS=OR","EQY_CONSOLIDATED=Y","Sort=A","Dates=H","DateFormat=P","Fill=—","Direction=H","UseDPDF=Y")</f>
        <v>#NAME?</v>
      </c>
      <c r="AS442" s="1" t="e">
        <f ca="1">_xll.BDH($C$428,"ACCOUNTS_RECEIVABLE_5_YR_GROWTH","FQ4 2016","FQ4 2016","Currency=INR","Period=FQ","BEST_FPERIOD_OVERRIDE=FQ","FILING_STATUS=OR","EQY_CONSOLIDATED=Y","Sort=A","Dates=H","DateFormat=P","Fill=—","Direction=H","UseDPDF=Y")</f>
        <v>#NAME?</v>
      </c>
      <c r="AT442" s="1" t="e">
        <f ca="1">_xll.BDH($C$428,"INVENTORY_5_YEAR_GROWTH","FQ4 2016","FQ4 2016","Currency=INR","Period=FQ","BEST_FPERIOD_OVERRIDE=FQ","FILING_STATUS=OR","EQY_CONSOLIDATED=Y","Sort=A","Dates=H","DateFormat=P","Fill=—","Direction=H","UseDPDF=Y")</f>
        <v>#NAME?</v>
      </c>
      <c r="AU442" s="1" t="e">
        <f ca="1">_xll.BDH($C$428,"NET_FIXED_ASSETS_5_YEAR_GROWTH","FQ4 2016","FQ4 2016","Currency=INR","Period=FQ","BEST_FPERIOD_OVERRIDE=FQ","FILING_STATUS=OR","EQY_CONSOLIDATED=Y","Sort=A","Dates=H","DateFormat=P","Fill=—","Direction=H","UseDPDF=Y")</f>
        <v>#NAME?</v>
      </c>
      <c r="AV442" s="1" t="e">
        <f ca="1">_xll.BDH($C$428,"GEO_GROW_TOT_ASSET","FQ4 2016","FQ4 2016","Currency=INR","Period=FQ","BEST_FPERIOD_OVERRIDE=FQ","FILING_STATUS=OR","EQY_CONSOLIDATED=Y","Sort=A","Dates=H","DateFormat=P","Fill=—","Direction=H","UseDPDF=Y")</f>
        <v>#NAME?</v>
      </c>
      <c r="AW442" s="1" t="e">
        <f ca="1">_xll.BDH($C$428,"MODIFIED_WORKING_CPTL_5YR_GRWTH","FQ4 2016","FQ4 2016","Currency=INR","Period=FQ","BEST_FPERIOD_OVERRIDE=FQ","FILING_STATUS=OR","EQY_CONSOLIDATED=Y","Sort=A","Dates=H","DateFormat=P","Fill=—","Direction=H","UseDPDF=Y")</f>
        <v>#NAME?</v>
      </c>
      <c r="AX442" s="1" t="e">
        <f ca="1">_xll.BDH($C$428,"WORKING_CAPITAL_5_YEAR_GROWTH","FQ4 2016","FQ4 2016","Currency=INR","Period=FQ","BEST_FPERIOD_OVERRIDE=FQ","FILING_STATUS=OR","EQY_CONSOLIDATED=Y","Sort=A","Dates=H","DateFormat=P","Fill=—","Direction=H","UseDPDF=Y")</f>
        <v>#NAME?</v>
      </c>
      <c r="AY442" s="1" t="e">
        <f ca="1">_xll.BDH($C$428,"ACCOUNTS_PAYABLE_5_YEAR_GROWTH","FQ4 2016","FQ4 2016","Currency=INR","Period=FQ","BEST_FPERIOD_OVERRIDE=FQ","FILING_STATUS=OR","EQY_CONSOLIDATED=Y","Sort=A","Dates=H","DateFormat=P","Fill=—","Direction=H","UseDPDF=Y")</f>
        <v>#NAME?</v>
      </c>
      <c r="AZ442" s="1" t="e">
        <f ca="1">_xll.BDH($C$428,"SHORT_TERM_DEBT_5_YEAR_GROWTH","FQ4 2016","FQ4 2016","Currency=INR","Period=FQ","BEST_FPERIOD_OVERRIDE=FQ","FILING_STATUS=OR","EQY_CONSOLIDATED=Y","Sort=A","Dates=H","DateFormat=P","Fill=—","Direction=H","UseDPDF=Y")</f>
        <v>#NAME?</v>
      </c>
      <c r="BA442" s="1" t="e">
        <f ca="1">_xll.BDH($C$428,"TOTAL_DEBT_5_YEAR_GROWTH","FQ4 2016","FQ4 2016","Currency=INR","Period=FQ","BEST_FPERIOD_OVERRIDE=FQ","FILING_STATUS=OR","EQY_CONSOLIDATED=Y","Sort=A","Dates=H","DateFormat=P","Fill=—","Direction=H","UseDPDF=Y")</f>
        <v>#NAME?</v>
      </c>
      <c r="BB442" s="1" t="e">
        <f ca="1">_xll.BDH($C$428,"GEO_GROW_TOT_SHRHLDR_EQY","FQ4 2016","FQ4 2016","Currency=INR","Period=FQ","BEST_FPERIOD_OVERRIDE=FQ","FILING_STATUS=OR","EQY_CONSOLIDATED=Y","Sort=A","Dates=H","DateFormat=P","Fill=—","Direction=H","UseDPDF=Y")</f>
        <v>#NAME?</v>
      </c>
      <c r="BC442" s="1" t="e">
        <f ca="1">_xll.BDH($C$428,"TOTAL_CAPITAL_5_YEAR_GROWTH","FQ4 2016","FQ4 2016","Currency=INR","Period=FQ","BEST_FPERIOD_OVERRIDE=FQ","FILING_STATUS=OR","EQY_CONSOLIDATED=Y","Sort=A","Dates=H","DateFormat=P","Fill=—","Direction=H","UseDPDF=Y")</f>
        <v>#NAME?</v>
      </c>
      <c r="BD442" s="1" t="e">
        <f ca="1">_xll.BDH($C$428,"GEO_GROW_BOOK_VAL","FQ4 2016","FQ4 2016","Currency=INR","Period=FQ","BEST_FPERIOD_OVERRIDE=FQ","FILING_STATUS=OR","EQY_CONSOLIDATED=Y","Sort=A","Dates=H","DateFormat=P","Fill=—","Direction=H","UseDPDF=Y")</f>
        <v>#NAME?</v>
      </c>
      <c r="BE442" s="1" t="e">
        <f ca="1">_xll.BDH($C$428,"GEO_GROW_CASH_OPER_ACT","FQ4 2016","FQ4 2016","Currency=INR","Period=FQ","BEST_FPERIOD_OVERRIDE=FQ","FILING_STATUS=OR","EQY_CONSOLIDATED=Y","Sort=A","Dates=H","DateFormat=P","Fill=—","Direction=H","UseDPDF=Y")</f>
        <v>#NAME?</v>
      </c>
      <c r="BF442" s="1" t="e">
        <f ca="1">_xll.BDH($C$428,"REVENUE_SEQUENTIAL_GROWTH","FQ4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42" s="1" t="e">
        <f ca="1">_xll.BDH($C$428,"EBITDA_SEQUENTIAL_GROWTH","FQ4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42" s="1" t="e">
        <f ca="1">_xll.BDH($C$428,"OPERATING_INCOME_SEQ_GROWTH","FQ4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42" s="1" t="e">
        <f ca="1">_xll.BDH($C$428,"NET_INCOME_TO_COMMON_SEQ_GROWTH","FQ4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42" s="1" t="e">
        <f ca="1">_xll.BDH($C$428,"EPS_DILUTED_SEQUENTIAL_GROWTH","FQ4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42" s="1" t="e">
        <f ca="1">_xll.BDH($C$428,"DPS_SEQUENTIAL_GROWTH","FQ4 2016","FQ4 2016","Currency=INR","Period=FQ","BEST_FPERIOD_OVERRIDE=FQ","FILING_STATUS=OR","EQY_CONSOLIDATED=Y","Sort=A","Dates=H","DateFormat=P","Fill=—","Direction=H","UseDPDF=Y")</f>
        <v>#NAME?</v>
      </c>
      <c r="BL442" s="1" t="e">
        <f ca="1">_xll.BDH($C$428,"ACCOUNTS_RECEIVABLE_SEQ_GROWTH","FQ4 2016","FQ4 2016","Currency=INR","Period=FQ","BEST_FPERIOD_OVERRIDE=FQ","FILING_STATUS=OR","EQY_CONSOLIDATED=Y","Sort=A","Dates=H","DateFormat=P","Fill=—","Direction=H","UseDPDF=Y")</f>
        <v>#NAME?</v>
      </c>
      <c r="BM442" s="1" t="e">
        <f ca="1">_xll.BDH($C$428,"INVENTORY_SEQUENTIAL_GROWTH","FQ4 2016","FQ4 2016","Currency=INR","Period=FQ","BEST_FPERIOD_OVERRIDE=FQ","FILING_STATUS=OR","EQY_CONSOLIDATED=Y","Sort=A","Dates=H","DateFormat=P","Fill=—","Direction=H","UseDPDF=Y")</f>
        <v>#NAME?</v>
      </c>
      <c r="BN442" s="1" t="e">
        <f ca="1">_xll.BDH($C$428,"FIXED_ASSETS_SEQUENTIAL_GROWTH","FQ4 2016","FQ4 2016","Currency=INR","Period=FQ","BEST_FPERIOD_OVERRIDE=FQ","FILING_STATUS=OR","EQY_CONSOLIDATED=Y","Sort=A","Dates=H","DateFormat=P","Fill=—","Direction=H","UseDPDF=Y")</f>
        <v>#NAME?</v>
      </c>
      <c r="BO442" s="1" t="e">
        <f ca="1">_xll.BDH($C$428,"TOTAL_ASSETS_SEQUENTIAL_GROWTH","FQ4 2016","FQ4 2016","Currency=INR","Period=FQ","BEST_FPERIOD_OVERRIDE=FQ","FILING_STATUS=OR","EQY_CONSOLIDATED=Y","Sort=A","Dates=H","DateFormat=P","Fill=—","Direction=H","UseDPDF=Y")</f>
        <v>#NAME?</v>
      </c>
      <c r="BP442" s="1" t="e">
        <f ca="1">_xll.BDH($C$428,"MODIFIED_WORKING_CPTL_SEQ_GRWTH","FQ4 2016","FQ4 2016","Currency=INR","Period=FQ","BEST_FPERIOD_OVERRIDE=FQ","FILING_STATUS=OR","EQY_CONSOLIDATED=Y","Sort=A","Dates=H","DateFormat=P","Fill=—","Direction=H","UseDPDF=Y")</f>
        <v>#NAME?</v>
      </c>
      <c r="BQ442" s="1" t="e">
        <f ca="1">_xll.BDH($C$428,"WORKING_CAPITAL_SEQ_GROWTH","FQ4 2016","FQ4 2016","Currency=INR","Period=FQ","BEST_FPERIOD_OVERRIDE=FQ","FILING_STATUS=OR","EQY_CONSOLIDATED=Y","Sort=A","Dates=H","DateFormat=P","Fill=—","Direction=H","UseDPDF=Y")</f>
        <v>#NAME?</v>
      </c>
      <c r="BR442" s="1" t="e">
        <f ca="1">_xll.BDH($C$428,"ACCOUNTS_PAYABLE_SEQ_GROWTH","FQ4 2016","FQ4 2016","Currency=INR","Period=FQ","BEST_FPERIOD_OVERRIDE=FQ","FILING_STATUS=OR","EQY_CONSOLIDATED=Y","Sort=A","Dates=H","DateFormat=P","Fill=—","Direction=H","UseDPDF=Y")</f>
        <v>#NAME?</v>
      </c>
      <c r="BS442" s="1" t="e">
        <f ca="1">_xll.BDH($C$428,"ST_DEBT_SEQUENTIAL_GROWTH","FQ4 2016","FQ4 2016","Currency=INR","Period=FQ","BEST_FPERIOD_OVERRIDE=FQ","FILING_STATUS=OR","EQY_CONSOLIDATED=Y","Sort=A","Dates=H","DateFormat=P","Fill=—","Direction=H","UseDPDF=Y")</f>
        <v>#NAME?</v>
      </c>
      <c r="BT442" s="1" t="e">
        <f ca="1">_xll.BDH($C$428,"TOTAL_DEBT_SEQUENTIAL_GROWTH","FQ4 2016","FQ4 2016","Currency=INR","Period=FQ","BEST_FPERIOD_OVERRIDE=FQ","FILING_STATUS=OR","EQY_CONSOLIDATED=Y","Sort=A","Dates=H","DateFormat=P","Fill=—","Direction=H","UseDPDF=Y")</f>
        <v>#NAME?</v>
      </c>
      <c r="BU442" s="1" t="e">
        <f ca="1">_xll.BDH($C$428,"TOTAL_EQUITY_SEQUENTIAL_GROWTH","FQ4 2016","FQ4 2016","Currency=INR","Period=FQ","BEST_FPERIOD_OVERRIDE=FQ","FILING_STATUS=OR","EQY_CONSOLIDATED=Y","Sort=A","Dates=H","DateFormat=P","Fill=—","Direction=H","UseDPDF=Y")</f>
        <v>#NAME?</v>
      </c>
      <c r="BV442" s="1" t="e">
        <f ca="1">_xll.BDH($C$428,"TOTAL_CAPITAL_SEQUENTIAL_GROWTH","FQ4 2016","FQ4 2016","Currency=INR","Period=FQ","BEST_FPERIOD_OVERRIDE=FQ","FILING_STATUS=OR","EQY_CONSOLIDATED=Y","Sort=A","Dates=H","DateFormat=P","Fill=—","Direction=H","UseDPDF=Y")</f>
        <v>#NAME?</v>
      </c>
      <c r="BW442" s="1" t="e">
        <f ca="1">_xll.BDH($C$428,"BPS_SEQUENTIAL_GROWTH","FQ4 2016","FQ4 2016","Currency=INR","Period=FQ","BEST_FPERIOD_OVERRIDE=FQ","FILING_STATUS=OR","EQY_CONSOLIDATED=Y","Sort=A","Dates=H","DateFormat=P","Fill=—","Direction=H","UseDPDF=Y")</f>
        <v>#NAME?</v>
      </c>
      <c r="BX442" s="1" t="e">
        <f ca="1">_xll.BDH($C$428,"CFO_SEQUENTIAL_GROWTH","FQ4 2016","FQ4 2016","Currency=INR","Period=FQ","BEST_FPERIOD_OVERRIDE=FQ","FILING_STATUS=OR","EQY_CONSOLIDATED=Y","Sort=A","Dates=H","DateFormat=P","Fill=—","Direction=H","UseDPDF=Y")</f>
        <v>#NAME?</v>
      </c>
      <c r="BY442" s="2" t="e">
        <f ca="1">_xll.BDH($C$428,"SHORT_AND_LONG_TERM_DEBT","FQ4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42" s="2" t="e">
        <f ca="1">_xll.BDH($C$428,"BS_ST_BORROW","FQ4 2016","FQ4 2016","Currency=INR","Period=FQ","BEST_FPERIOD_OVERRIDE=FQ","FILING_STATUS=OR","EQY_CONSOLIDATED=Y","SCALING_FORMAT=MLN","Sort=A","Dates=H","DateFormat=P","Fill=—","Direction=H","UseDPDF=Y")</f>
        <v>#NAME?</v>
      </c>
      <c r="CA442" s="2" t="e">
        <f ca="1">_xll.BDH($C$428,"BS_LT_BORROW","FQ4 2016","FQ4 2016","Currency=INR","Period=FQ","BEST_FPERIOD_OVERRIDE=FQ","FILING_STATUS=OR","EQY_CONSOLIDATED=Y","SCALING_FORMAT=MLN","Sort=A","Dates=H","DateFormat=P","Fill=—","Direction=H","UseDPDF=Y")</f>
        <v>#NAME?</v>
      </c>
      <c r="CB442" s="1" t="e">
        <f ca="1">_xll.BDH($C$428,"TOT_DEBT_TO_EBITDA","FQ4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42" s="1" t="e">
        <f ca="1">_xll.BDH($C$428,"NET_DEBT_TO_EBITDA","FQ4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42" s="1" t="e">
        <f ca="1">_xll.BDH($C$428,"TOTAL_DEBT_TO_EBIT","FQ4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42" s="1" t="e">
        <f ca="1">_xll.BDH($C$428,"NET_DEBT_TO_EBIT","FQ4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442" s="1" t="e">
        <f ca="1">_xll.BDH($C$428,"EBITDA_TO_INTEREST_EXPN","FQ4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42" s="1" t="e">
        <f ca="1">_xll.BDH($C$428,"COM_EQY_TO_TOT_ASSET","FQ4 2016","FQ4 2016","Currency=INR","Period=FQ","BEST_FPERIOD_OVERRIDE=FQ","FILING_STATUS=OR","EQY_CONSOLIDATED=Y","Sort=A","Dates=H","DateFormat=P","Fill=—","Direction=H","UseDPDF=Y")</f>
        <v>#NAME?</v>
      </c>
      <c r="CH442" s="1" t="e">
        <f ca="1">_xll.BDH($C$428,"LT_DEBT_TO_TOT_EQY","FQ4 2016","FQ4 2016","Currency=INR","Period=FQ","BEST_FPERIOD_OVERRIDE=FQ","FILING_STATUS=OR","EQY_CONSOLIDATED=Y","Sort=A","Dates=H","DateFormat=P","Fill=—","Direction=H","UseDPDF=Y")</f>
        <v>#NAME?</v>
      </c>
      <c r="CI442" s="1" t="e">
        <f ca="1">_xll.BDH($C$428,"LT_DEBT_TO_TOT_CAP","FQ4 2016","FQ4 2016","Currency=INR","Period=FQ","BEST_FPERIOD_OVERRIDE=FQ","FILING_STATUS=OR","EQY_CONSOLIDATED=Y","Sort=A","Dates=H","DateFormat=P","Fill=—","Direction=H","UseDPDF=Y")</f>
        <v>#NAME?</v>
      </c>
      <c r="CJ442" s="1" t="e">
        <f ca="1">_xll.BDH($C$428,"LT_DEBT_TO_TOT_ASSET","FQ4 2016","FQ4 2016","Currency=INR","Period=FQ","BEST_FPERIOD_OVERRIDE=FQ","FILING_STATUS=OR","EQY_CONSOLIDATED=Y","Sort=A","Dates=H","DateFormat=P","Fill=—","Direction=H","UseDPDF=Y")</f>
        <v>#NAME?</v>
      </c>
      <c r="CK442" s="1" t="e">
        <f ca="1">_xll.BDH($C$428,"TOT_DEBT_TO_TOT_EQY","FQ4 2016","FQ4 2016","Currency=INR","Period=FQ","BEST_FPERIOD_OVERRIDE=FQ","FILING_STATUS=OR","EQY_CONSOLIDATED=Y","Sort=A","Dates=H","DateFormat=P","Fill=—","Direction=H","UseDPDF=Y")</f>
        <v>#NAME?</v>
      </c>
      <c r="CL442" s="1" t="e">
        <f ca="1">_xll.BDH($C$428,"TOT_DEBT_TO_TOT_CAP","FQ4 2016","FQ4 2016","Currency=INR","Period=FQ","BEST_FPERIOD_OVERRIDE=FQ","FILING_STATUS=OR","EQY_CONSOLIDATED=Y","Sort=A","Dates=H","DateFormat=P","Fill=—","Direction=H","UseDPDF=Y")</f>
        <v>#NAME?</v>
      </c>
      <c r="CM442" s="1" t="e">
        <f ca="1">_xll.BDH($C$428,"TOT_DEBT_TO_TOT_ASSET","FQ4 2016","FQ4 2016","Currency=INR","Period=FQ","BEST_FPERIOD_OVERRIDE=FQ","FILING_STATUS=OR","EQY_CONSOLIDATED=Y","Sort=A","Dates=H","DateFormat=P","Fill=—","Direction=H","UseDPDF=Y")</f>
        <v>#NAME?</v>
      </c>
      <c r="CN442" s="1" t="e">
        <f ca="1">_xll.BDH($C$428,"NET_DEBT_TO_SHRHLDR_EQTY","FQ4 2016","FQ4 2016","Currency=INR","Period=FQ","BEST_FPERIOD_OVERRIDE=FQ","FILING_STATUS=OR","EQY_CONSOLIDATED=Y","Sort=A","Dates=H","DateFormat=P","Fill=—","Direction=H","UseDPDF=Y")</f>
        <v>#NAME?</v>
      </c>
      <c r="CO442" s="1" t="e">
        <f ca="1">_xll.BDH($C$428,"NET_DEBT_%_CAPITAL","FQ4 2016","FQ4 2016","Currency=INR","Period=FQ","BEST_FPERIOD_OVERRIDE=FQ","FILING_STATUS=OR","EQY_CONSOLIDATED=Y","Sort=A","Dates=H","DateFormat=P","Fill=—","Direction=H","UseDPDF=Y")</f>
        <v>#NAME?</v>
      </c>
      <c r="CP442" s="2" t="e">
        <f ca="1">_xll.BDH($C$428,"EBITDA","FQ4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42" s="2" t="e">
        <f ca="1">_xll.BDH($C$428,"EBITDA_AFTER_CAPEX","FQ4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42" s="2" t="e">
        <f ca="1">_xll.BDH($C$428,"IS_OPER_INC","FQ4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42" s="1" t="e">
        <f ca="1">_xll.BDH($C$428,"CASH_RATIO","FQ4 2016","FQ4 2016","Currency=INR","Period=FQ","BEST_FPERIOD_OVERRIDE=FQ","FILING_STATUS=OR","EQY_CONSOLIDATED=Y","Sort=A","Dates=H","DateFormat=P","Fill=—","Direction=H","UseDPDF=Y")</f>
        <v>#NAME?</v>
      </c>
      <c r="CT442" s="1" t="e">
        <f ca="1">_xll.BDH($C$428,"CUR_RATIO","FQ4 2016","FQ4 2016","Currency=INR","Period=FQ","BEST_FPERIOD_OVERRIDE=FQ","FILING_STATUS=OR","EQY_CONSOLIDATED=Y","Sort=A","Dates=H","DateFormat=P","Fill=—","Direction=H","UseDPDF=Y")</f>
        <v>#NAME?</v>
      </c>
      <c r="CU442" s="1" t="e">
        <f ca="1">_xll.BDH($C$428,"QUICK_RATIO","FQ4 2016","FQ4 2016","Currency=INR","Period=FQ","BEST_FPERIOD_OVERRIDE=FQ","FILING_STATUS=OR","EQY_CONSOLIDATED=Y","Sort=A","Dates=H","DateFormat=P","Fill=—","Direction=H","UseDPDF=Y")</f>
        <v>#NAME?</v>
      </c>
      <c r="CV442" s="1" t="e">
        <f ca="1">_xll.BDH($C$428,"ALTMAN_Z_SCORE","FQ4 2016","FQ4 2016","Currency=INR","Period=FQ","BEST_FPERIOD_OVERRIDE=FQ","FILING_STATUS=OR","EQY_CONSOLIDATED=Y","Sort=A","Dates=H","DateFormat=P","Fill=—","Direction=H","UseDPDF=Y")</f>
        <v>#NAME?</v>
      </c>
      <c r="CW442" s="3" t="e">
        <f ca="1">_xll.BDH($C$428,"ACCT_RCV_TURN","FQ4 2016","FQ4 2016","Currency=INR","Period=FQ","BEST_FPERIOD_OVERRIDE=FQ","FILING_STATUS=OR","EQY_CONSOLIDATED=Y","FA_ADJUSTED=GAAP","Sort=A","Dates=H","DateFormat=P","Fill=—","Direction=H","UseDPDF=Y")</f>
        <v>#NAME?</v>
      </c>
      <c r="CX442" s="1" t="e">
        <f ca="1">_xll.BDH($C$428,"ACCT_RCV_DAYS","FQ4 2016","FQ4 2016","Currency=INR","Period=FQ","BEST_FPERIOD_OVERRIDE=FQ","FILING_STATUS=OR","EQY_CONSOLIDATED=Y","FA_ADJUSTED=GAAP","Sort=A","Dates=H","DateFormat=P","Fill=—","Direction=H","UseDPDF=Y")</f>
        <v>#NAME?</v>
      </c>
      <c r="CY442" s="3" t="e">
        <f ca="1">_xll.BDH($C$428,"INVENT_TURN","FQ4 2016","FQ4 2016","Currency=INR","Period=FQ","BEST_FPERIOD_OVERRIDE=FQ","FILING_STATUS=OR","EQY_CONSOLIDATED=Y","FA_ADJUSTED=GAAP","Sort=A","Dates=H","DateFormat=P","Fill=—","Direction=H","UseDPDF=Y")</f>
        <v>#NAME?</v>
      </c>
      <c r="CZ442" s="1" t="e">
        <f ca="1">_xll.BDH($C$428,"INVENT_DAYS","FQ4 2016","FQ4 2016","Currency=INR","Period=FQ","BEST_FPERIOD_OVERRIDE=FQ","FILING_STATUS=OR","EQY_CONSOLIDATED=Y","FA_ADJUSTED=GAAP","Sort=A","Dates=H","DateFormat=P","Fill=—","Direction=H","UseDPDF=Y")</f>
        <v>#NAME?</v>
      </c>
      <c r="DA442" s="3" t="e">
        <f ca="1">_xll.BDH($C$428,"ACCOUNTS_PAYABLE_TURNOVER","FQ4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42" s="1" t="e">
        <f ca="1">_xll.BDH($C$428,"ACCOUNTS_PAYABLE_TURNOVER_DAYS","FQ4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42" s="3" t="e">
        <f ca="1">_xll.BDH($C$428,"CASH_CONVERSION_CYCLE","FQ4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42" s="3" t="e">
        <f ca="1">_xll.BDH($C$428,"INV_TO_CASH_DAYS","FQ4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442" s="4" t="e">
        <f ca="1">_xll.BDH($C$428,"BS_INVENTORIES","FQ4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442" s="2" t="e">
        <f ca="1">_xll.BDH($C$428,"INVTRY_RAW_MATERIALS","FQ4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42" s="2" t="e">
        <f ca="1">_xll.BDH($C$428,"INVTRY_IN_PROGRESS","FQ4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42" s="2" t="e">
        <f ca="1">_xll.BDH($C$428,"INVTRY_FINISHED_GOODS","FQ4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42" s="2" t="e">
        <f ca="1">_xll.BDH($C$428,"BS_OTHER_INV","FQ4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43" spans="1:113" x14ac:dyDescent="0.3">
      <c r="A443" s="6"/>
      <c r="B443" s="6"/>
      <c r="C443" s="6"/>
      <c r="D443" s="6" t="s">
        <v>10</v>
      </c>
      <c r="E443" t="s">
        <v>3</v>
      </c>
      <c r="F443" t="e">
        <f ca="1">_xll.BDH($C$428,"RETURN_COM_EQY","FY 2017","FY 2017","Currency=INR","Period=FY","BEST_FPERIOD_OVERRIDE=FY","FILING_STATUS=OR","EQY_CONSOLIDATED=Y","FA_ADJUSTED=GAAP","Sort=A","Dates=H","DateFormat=P","Fill=—","Direction=H","UseDPDF=Y")</f>
        <v>#NAME?</v>
      </c>
      <c r="G443" t="e">
        <f ca="1">_xll.BDH($C$428,"RETURN_ON_ASSET","FY 2017","FY 2017","Currency=INR","Period=FY","BEST_FPERIOD_OVERRIDE=FY","FILING_STATUS=OR","EQY_CONSOLIDATED=Y","FA_ADJUSTED=GAAP","Sort=A","Dates=H","DateFormat=P","Fill=—","Direction=H","UseDPDF=Y")</f>
        <v>#NAME?</v>
      </c>
      <c r="H443" t="e">
        <f ca="1">_xll.BDH($C$428,"RETURN_ON_CAP","FY 2017","FY 2017","Currency=INR","Period=FY","BEST_FPERIOD_OVERRIDE=FY","FILING_STATUS=OR","EQY_CONSOLIDATED=Y","FA_ADJUSTED=GAAP","Sort=A","Dates=H","DateFormat=P","Fill=—","Direction=H","UseDPDF=Y")</f>
        <v>#NAME?</v>
      </c>
      <c r="I443" t="e">
        <f ca="1">_xll.BDH($C$428,"RETURN_ON_INV_CAPITAL","FY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43" t="e">
        <f ca="1">_xll.BDH($C$428,"EBITDA_TO_REVENUE","FY 2017","FY 2017","Currency=INR","Period=FY","BEST_FPERIOD_OVERRIDE=FY","FILING_STATUS=OR","EQY_CONSOLIDATED=Y","FA_ADJUSTED=GAAP","Sort=A","Dates=H","DateFormat=P","Fill=—","Direction=H","UseDPDF=Y")</f>
        <v>#NAME?</v>
      </c>
      <c r="K443" t="e">
        <f ca="1">_xll.BDH($C$428,"OPER_MARGIN","FY 2017","FY 2017","Currency=INR","Period=FY","BEST_FPERIOD_OVERRIDE=FY","FILING_STATUS=OR","EQY_CONSOLIDATED=Y","FA_ADJUSTED=GAAP","Sort=A","Dates=H","DateFormat=P","Fill=—","Direction=H","UseDPDF=Y")</f>
        <v>#NAME?</v>
      </c>
      <c r="L443" t="e">
        <f ca="1">_xll.BDH($C$428,"INCREMENTAL_OPERATING_MARGIN","FY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43" t="e">
        <f ca="1">_xll.BDH($C$428,"PRETAX_INC_TO_NET_SALES","FY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43" t="e">
        <f ca="1">_xll.BDH($C$428,"INC_BEF_XO_ITEMS_TO_NET_SALES","FY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43" t="e">
        <f ca="1">_xll.BDH($C$428,"PROF_MARGIN","FY 2017","FY 2017","Currency=INR","Period=FY","BEST_FPERIOD_OVERRIDE=FY","FILING_STATUS=OR","EQY_CONSOLIDATED=Y","FA_ADJUSTED=GAAP","Sort=A","Dates=H","DateFormat=P","Fill=—","Direction=H","UseDPDF=Y")</f>
        <v>#NAME?</v>
      </c>
      <c r="P443" t="e">
        <f ca="1">_xll.BDH($C$428,"NET_INCOME_TO_COMMON_MARGIN","FY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43" t="e">
        <f ca="1">_xll.BDH($C$428,"EFF_TAX_RATE","FY 2017","FY 2017","Currency=INR","Period=FY","BEST_FPERIOD_OVERRIDE=FY","FILING_STATUS=OR","EQY_CONSOLIDATED=Y","FA_ADJUSTED=GAAP","Sort=A","Dates=H","DateFormat=P","Fill=—","Direction=H","UseDPDF=Y")</f>
        <v>#NAME?</v>
      </c>
      <c r="R443" t="e">
        <f ca="1">_xll.BDH($C$428,"DVD_PAYOUT_RATIO","FY 2017","FY 2017","Currency=INR","Period=FY","BEST_FPERIOD_OVERRIDE=FY","FILING_STATUS=OR","EQY_CONSOLIDATED=Y","FA_ADJUSTED=GAAP","Sort=A","Dates=H","DateFormat=P","Fill=—","Direction=H","UseDPDF=Y")</f>
        <v>#NAME?</v>
      </c>
      <c r="S443" t="e">
        <f ca="1">_xll.BDH($C$428,"SUSTAIN_GROWTH_RT","FY 2017","FY 2017","Currency=INR","Period=FY","BEST_FPERIOD_OVERRIDE=FY","FILING_STATUS=OR","EQY_CONSOLIDATED=Y","FA_ADJUSTED=GAAP","Sort=A","Dates=H","DateFormat=P","Fill=—","Direction=H","UseDPDF=Y")</f>
        <v>#NAME?</v>
      </c>
      <c r="T443" s="1" t="e">
        <f ca="1">_xll.BDH($C$428,"SALES_GROWTH","FY 2017","FY 2017","Currency=INR","Period=FY","BEST_FPERIOD_OVERRIDE=FY","FILING_STATUS=OR","EQY_CONSOLIDATED=Y","FA_ADJUSTED=GAAP","Sort=A","Dates=H","DateFormat=P","Fill=—","Direction=H","UseDPDF=Y")</f>
        <v>#NAME?</v>
      </c>
      <c r="U443" s="1" t="e">
        <f ca="1">_xll.BDH($C$428,"EBITDA_GROWTH","FY 2017","FY 2017","Currency=INR","Period=FY","BEST_FPERIOD_OVERRIDE=FY","FILING_STATUS=OR","EQY_CONSOLIDATED=Y","FA_ADJUSTED=GAAP","Sort=A","Dates=H","DateFormat=P","Fill=—","Direction=H","UseDPDF=Y")</f>
        <v>#NAME?</v>
      </c>
      <c r="V443" s="1" t="e">
        <f ca="1">_xll.BDH($C$428,"OPER_INC_GROWTH","FY 2017","FY 2017","Currency=INR","Period=FY","BEST_FPERIOD_OVERRIDE=FY","FILING_STATUS=OR","EQY_CONSOLIDATED=Y","FA_ADJUSTED=GAAP","Sort=A","Dates=H","DateFormat=P","Fill=—","Direction=H","UseDPDF=Y")</f>
        <v>#NAME?</v>
      </c>
      <c r="W443" s="1" t="e">
        <f ca="1">_xll.BDH($C$428,"EARN_FOR_COM_GROWTH","FY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443" s="1" t="e">
        <f ca="1">_xll.BDH($C$428,"DILUTED_EPS_AFT_XO_ITEMS_GROWTH","FY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43" s="1" t="e">
        <f ca="1">_xll.BDH($C$428,"DIVIDEND_PER_SHARE_1_YEAR_GROWTH","FY 2017","FY 2017","Currency=INR","Period=FY","BEST_FPERIOD_OVERRIDE=FY","FILING_STATUS=OR","EQY_CONSOLIDATED=Y","Sort=A","Dates=H","DateFormat=P","Fill=—","Direction=H","UseDPDF=Y")</f>
        <v>#NAME?</v>
      </c>
      <c r="Z443" s="1" t="e">
        <f ca="1">_xll.BDH($C$428,"ACCOUNTS_RECEIVABLE_GROWTH","FY 2017","FY 2017","Currency=INR","Period=FY","BEST_FPERIOD_OVERRIDE=FY","FILING_STATUS=OR","EQY_CONSOLIDATED=Y","Sort=A","Dates=H","DateFormat=P","Fill=—","Direction=H","UseDPDF=Y")</f>
        <v>#NAME?</v>
      </c>
      <c r="AA443" s="1" t="e">
        <f ca="1">_xll.BDH($C$428,"INVENTORY_GROWTH","FY 2017","FY 2017","Currency=INR","Period=FY","BEST_FPERIOD_OVERRIDE=FY","FILING_STATUS=OR","EQY_CONSOLIDATED=Y","Sort=A","Dates=H","DateFormat=P","Fill=—","Direction=H","UseDPDF=Y")</f>
        <v>#NAME?</v>
      </c>
      <c r="AB443" s="1" t="e">
        <f ca="1">_xll.BDH($C$428,"NET_FIXED_ASSETS_1_YEAR_GROWTH","FY 2017","FY 2017","Currency=INR","Period=FY","BEST_FPERIOD_OVERRIDE=FY","FILING_STATUS=OR","EQY_CONSOLIDATED=Y","Sort=A","Dates=H","DateFormat=P","Fill=—","Direction=H","UseDPDF=Y")</f>
        <v>#NAME?</v>
      </c>
      <c r="AC443" s="1" t="e">
        <f ca="1">_xll.BDH($C$428,"ASSET_GROWTH","FY 2017","FY 2017","Currency=INR","Period=FY","BEST_FPERIOD_OVERRIDE=FY","FILING_STATUS=OR","EQY_CONSOLIDATED=Y","Sort=A","Dates=H","DateFormat=P","Fill=—","Direction=H","UseDPDF=Y")</f>
        <v>#NAME?</v>
      </c>
      <c r="AD443" s="1" t="e">
        <f ca="1">_xll.BDH($C$428,"MODIFIED_WORK_CAP_GROWTH","FY 2017","FY 2017","Currency=INR","Period=FY","BEST_FPERIOD_OVERRIDE=FY","FILING_STATUS=OR","EQY_CONSOLIDATED=Y","Sort=A","Dates=H","DateFormat=P","Fill=—","Direction=H","UseDPDF=Y")</f>
        <v>#NAME?</v>
      </c>
      <c r="AE443" s="1" t="e">
        <f ca="1">_xll.BDH($C$428,"WORK_CAP_GROWTH","FY 2017","FY 2017","Currency=INR","Period=FY","BEST_FPERIOD_OVERRIDE=FY","FILING_STATUS=OR","EQY_CONSOLIDATED=Y","Sort=A","Dates=H","DateFormat=P","Fill=—","Direction=H","UseDPDF=Y")</f>
        <v>#NAME?</v>
      </c>
      <c r="AF443" s="1" t="e">
        <f ca="1">_xll.BDH($C$428,"ACCOUNTS_PAYABLE_GROWTH_1YR","FY 2017","FY 2017","Currency=INR","Period=FY","BEST_FPERIOD_OVERRIDE=FY","FILING_STATUS=OR","EQY_CONSOLIDATED=Y","Sort=A","Dates=H","DateFormat=P","Fill=—","Direction=H","UseDPDF=Y")</f>
        <v>#NAME?</v>
      </c>
      <c r="AG443" s="1" t="e">
        <f ca="1">_xll.BDH($C$428,"SHORT_TERM_DEBT_1_YEAR_GROWTH","FY 2017","FY 2017","Currency=INR","Period=FY","BEST_FPERIOD_OVERRIDE=FY","FILING_STATUS=OR","EQY_CONSOLIDATED=Y","Sort=A","Dates=H","DateFormat=P","Fill=—","Direction=H","UseDPDF=Y")</f>
        <v>#NAME?</v>
      </c>
      <c r="AH443" s="1" t="e">
        <f ca="1">_xll.BDH($C$428,"TOTAL_DEBT_1_YEAR_GROWTH","FY 2017","FY 2017","Currency=INR","Period=FY","BEST_FPERIOD_OVERRIDE=FY","FILING_STATUS=OR","EQY_CONSOLIDATED=Y","Sort=A","Dates=H","DateFormat=P","Fill=—","Direction=H","UseDPDF=Y")</f>
        <v>#NAME?</v>
      </c>
      <c r="AI443" s="1" t="e">
        <f ca="1">_xll.BDH($C$428,"TOTAL_EQUITY_1_YEAR_GROWTH","FY 2017","FY 2017","Currency=INR","Period=FY","BEST_FPERIOD_OVERRIDE=FY","FILING_STATUS=OR","EQY_CONSOLIDATED=Y","Sort=A","Dates=H","DateFormat=P","Fill=—","Direction=H","UseDPDF=Y")</f>
        <v>#NAME?</v>
      </c>
      <c r="AJ443" s="1" t="e">
        <f ca="1">_xll.BDH($C$428,"GROWTH_IN_CAP","FY 2017","FY 2017","Currency=INR","Period=FY","BEST_FPERIOD_OVERRIDE=FY","FILING_STATUS=OR","EQY_CONSOLIDATED=Y","Sort=A","Dates=H","DateFormat=P","Fill=—","Direction=H","UseDPDF=Y")</f>
        <v>#NAME?</v>
      </c>
      <c r="AK443" s="1" t="e">
        <f ca="1">_xll.BDH($C$428,"BVPS_GROWTH","FY 2017","FY 2017","Currency=INR","Period=FY","BEST_FPERIOD_OVERRIDE=FY","FILING_STATUS=OR","EQY_CONSOLIDATED=Y","Sort=A","Dates=H","DateFormat=P","Fill=—","Direction=H","UseDPDF=Y")</f>
        <v>#NAME?</v>
      </c>
      <c r="AL443" s="1" t="e">
        <f ca="1">_xll.BDH($C$428,"CASH_FLOW_GROWTH","FY 2017","FY 2017","Currency=INR","Period=FY","BEST_FPERIOD_OVERRIDE=FY","FILING_STATUS=OR","EQY_CONSOLIDATED=Y","Sort=A","Dates=H","DateFormat=P","Fill=—","Direction=H","UseDPDF=Y")</f>
        <v>#NAME?</v>
      </c>
      <c r="AM443" s="1" t="e">
        <f ca="1">_xll.BDH($C$428,"GEO_GROW_NET_SALES","FY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443" s="1" t="e">
        <f ca="1">_xll.BDH($C$428,"GEO_GROW_EBITDA","FY 2017","FY 2017","Currency=INR","Period=FY","BEST_FPERIOD_OVERRIDE=FY","FILING_STATUS=OR","EQY_CONSOLIDATED=Y","FA_ADJUSTED=GAAP","Sort=A","Dates=H","DateFormat=P","Fill=—","Direction=H","UseDPDF=Y")</f>
        <v>#NAME?</v>
      </c>
      <c r="AO443" s="1" t="e">
        <f ca="1">_xll.BDH($C$428,"GEO_GROW_OPER_INC","FY 2017","FY 2017","Currency=INR","Period=FY","BEST_FPERIOD_OVERRIDE=FY","FILING_STATUS=OR","EQY_CONSOLIDATED=Y","FA_ADJUSTED=GAAP","Sort=A","Dates=H","DateFormat=P","Fill=—","Direction=H","UseDPDF=Y")</f>
        <v>#NAME?</v>
      </c>
      <c r="AP443" s="1" t="e">
        <f ca="1">_xll.BDH($C$428,"NET_INCOME_TO_COMMON_5_YR_GROWTH","FY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43" s="1" t="e">
        <f ca="1">_xll.BDH($C$428,"5Y_GEO_GROWTH_DILUTED_EPS","FY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43" s="1" t="e">
        <f ca="1">_xll.BDH($C$428,"GEO_GROW_DVD_PER_SH","FY 2017","FY 2017","Currency=INR","Period=FY","BEST_FPERIOD_OVERRIDE=FY","FILING_STATUS=OR","EQY_CONSOLIDATED=Y","Sort=A","Dates=H","DateFormat=P","Fill=—","Direction=H","UseDPDF=Y")</f>
        <v>#NAME?</v>
      </c>
      <c r="AS443" s="1" t="e">
        <f ca="1">_xll.BDH($C$428,"ACCOUNTS_RECEIVABLE_5_YR_GROWTH","FY 2017","FY 2017","Currency=INR","Period=FY","BEST_FPERIOD_OVERRIDE=FY","FILING_STATUS=OR","EQY_CONSOLIDATED=Y","Sort=A","Dates=H","DateFormat=P","Fill=—","Direction=H","UseDPDF=Y")</f>
        <v>#NAME?</v>
      </c>
      <c r="AT443" s="1" t="e">
        <f ca="1">_xll.BDH($C$428,"INVENTORY_5_YEAR_GROWTH","FY 2017","FY 2017","Currency=INR","Period=FY","BEST_FPERIOD_OVERRIDE=FY","FILING_STATUS=OR","EQY_CONSOLIDATED=Y","Sort=A","Dates=H","DateFormat=P","Fill=—","Direction=H","UseDPDF=Y")</f>
        <v>#NAME?</v>
      </c>
      <c r="AU443" s="1" t="e">
        <f ca="1">_xll.BDH($C$428,"NET_FIXED_ASSETS_5_YEAR_GROWTH","FY 2017","FY 2017","Currency=INR","Period=FY","BEST_FPERIOD_OVERRIDE=FY","FILING_STATUS=OR","EQY_CONSOLIDATED=Y","Sort=A","Dates=H","DateFormat=P","Fill=—","Direction=H","UseDPDF=Y")</f>
        <v>#NAME?</v>
      </c>
      <c r="AV443" s="1" t="e">
        <f ca="1">_xll.BDH($C$428,"GEO_GROW_TOT_ASSET","FY 2017","FY 2017","Currency=INR","Period=FY","BEST_FPERIOD_OVERRIDE=FY","FILING_STATUS=OR","EQY_CONSOLIDATED=Y","Sort=A","Dates=H","DateFormat=P","Fill=—","Direction=H","UseDPDF=Y")</f>
        <v>#NAME?</v>
      </c>
      <c r="AW443" s="1" t="e">
        <f ca="1">_xll.BDH($C$428,"MODIFIED_WORKING_CPTL_5YR_GRWTH","FY 2017","FY 2017","Currency=INR","Period=FY","BEST_FPERIOD_OVERRIDE=FY","FILING_STATUS=OR","EQY_CONSOLIDATED=Y","Sort=A","Dates=H","DateFormat=P","Fill=—","Direction=H","UseDPDF=Y")</f>
        <v>#NAME?</v>
      </c>
      <c r="AX443" s="1" t="e">
        <f ca="1">_xll.BDH($C$428,"WORKING_CAPITAL_5_YEAR_GROWTH","FY 2017","FY 2017","Currency=INR","Period=FY","BEST_FPERIOD_OVERRIDE=FY","FILING_STATUS=OR","EQY_CONSOLIDATED=Y","Sort=A","Dates=H","DateFormat=P","Fill=—","Direction=H","UseDPDF=Y")</f>
        <v>#NAME?</v>
      </c>
      <c r="AY443" s="1" t="e">
        <f ca="1">_xll.BDH($C$428,"ACCOUNTS_PAYABLE_5_YEAR_GROWTH","FY 2017","FY 2017","Currency=INR","Period=FY","BEST_FPERIOD_OVERRIDE=FY","FILING_STATUS=OR","EQY_CONSOLIDATED=Y","Sort=A","Dates=H","DateFormat=P","Fill=—","Direction=H","UseDPDF=Y")</f>
        <v>#NAME?</v>
      </c>
      <c r="AZ443" s="1" t="e">
        <f ca="1">_xll.BDH($C$428,"SHORT_TERM_DEBT_5_YEAR_GROWTH","FY 2017","FY 2017","Currency=INR","Period=FY","BEST_FPERIOD_OVERRIDE=FY","FILING_STATUS=OR","EQY_CONSOLIDATED=Y","Sort=A","Dates=H","DateFormat=P","Fill=—","Direction=H","UseDPDF=Y")</f>
        <v>#NAME?</v>
      </c>
      <c r="BA443" s="1" t="e">
        <f ca="1">_xll.BDH($C$428,"TOTAL_DEBT_5_YEAR_GROWTH","FY 2017","FY 2017","Currency=INR","Period=FY","BEST_FPERIOD_OVERRIDE=FY","FILING_STATUS=OR","EQY_CONSOLIDATED=Y","Sort=A","Dates=H","DateFormat=P","Fill=—","Direction=H","UseDPDF=Y")</f>
        <v>#NAME?</v>
      </c>
      <c r="BB443" s="1" t="e">
        <f ca="1">_xll.BDH($C$428,"GEO_GROW_TOT_SHRHLDR_EQY","FY 2017","FY 2017","Currency=INR","Period=FY","BEST_FPERIOD_OVERRIDE=FY","FILING_STATUS=OR","EQY_CONSOLIDATED=Y","Sort=A","Dates=H","DateFormat=P","Fill=—","Direction=H","UseDPDF=Y")</f>
        <v>#NAME?</v>
      </c>
      <c r="BC443" s="1" t="e">
        <f ca="1">_xll.BDH($C$428,"TOTAL_CAPITAL_5_YEAR_GROWTH","FY 2017","FY 2017","Currency=INR","Period=FY","BEST_FPERIOD_OVERRIDE=FY","FILING_STATUS=OR","EQY_CONSOLIDATED=Y","Sort=A","Dates=H","DateFormat=P","Fill=—","Direction=H","UseDPDF=Y")</f>
        <v>#NAME?</v>
      </c>
      <c r="BD443" s="1" t="e">
        <f ca="1">_xll.BDH($C$428,"GEO_GROW_BOOK_VAL","FY 2017","FY 2017","Currency=INR","Period=FY","BEST_FPERIOD_OVERRIDE=FY","FILING_STATUS=OR","EQY_CONSOLIDATED=Y","Sort=A","Dates=H","DateFormat=P","Fill=—","Direction=H","UseDPDF=Y")</f>
        <v>#NAME?</v>
      </c>
      <c r="BE443" s="1" t="e">
        <f ca="1">_xll.BDH($C$428,"GEO_GROW_CASH_OPER_ACT","FY 2017","FY 2017","Currency=INR","Period=FY","BEST_FPERIOD_OVERRIDE=FY","FILING_STATUS=OR","EQY_CONSOLIDATED=Y","Sort=A","Dates=H","DateFormat=P","Fill=—","Direction=H","UseDPDF=Y")</f>
        <v>#NAME?</v>
      </c>
      <c r="BF443" s="1" t="e">
        <f ca="1">_xll.BDH($C$428,"REVENUE_SEQUENTIAL_GROWTH","FY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43" s="1" t="e">
        <f ca="1">_xll.BDH($C$428,"EBITDA_SEQUENTIAL_GROWTH","FY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43" s="1" t="e">
        <f ca="1">_xll.BDH($C$428,"OPERATING_INCOME_SEQ_GROWTH","FY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43" s="1" t="e">
        <f ca="1">_xll.BDH($C$428,"NET_INCOME_TO_COMMON_SEQ_GROWTH","FY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43" s="1" t="e">
        <f ca="1">_xll.BDH($C$428,"EPS_DILUTED_SEQUENTIAL_GROWTH","FY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43" s="1" t="e">
        <f ca="1">_xll.BDH($C$428,"DPS_SEQUENTIAL_GROWTH","FY 2017","FY 2017","Currency=INR","Period=FY","BEST_FPERIOD_OVERRIDE=FY","FILING_STATUS=OR","EQY_CONSOLIDATED=Y","Sort=A","Dates=H","DateFormat=P","Fill=—","Direction=H","UseDPDF=Y")</f>
        <v>#NAME?</v>
      </c>
      <c r="BL443" s="1" t="e">
        <f ca="1">_xll.BDH($C$428,"ACCOUNTS_RECEIVABLE_SEQ_GROWTH","FY 2017","FY 2017","Currency=INR","Period=FY","BEST_FPERIOD_OVERRIDE=FY","FILING_STATUS=OR","EQY_CONSOLIDATED=Y","Sort=A","Dates=H","DateFormat=P","Fill=—","Direction=H","UseDPDF=Y")</f>
        <v>#NAME?</v>
      </c>
      <c r="BM443" s="1" t="e">
        <f ca="1">_xll.BDH($C$428,"INVENTORY_SEQUENTIAL_GROWTH","FY 2017","FY 2017","Currency=INR","Period=FY","BEST_FPERIOD_OVERRIDE=FY","FILING_STATUS=OR","EQY_CONSOLIDATED=Y","Sort=A","Dates=H","DateFormat=P","Fill=—","Direction=H","UseDPDF=Y")</f>
        <v>#NAME?</v>
      </c>
      <c r="BN443" s="1" t="e">
        <f ca="1">_xll.BDH($C$428,"FIXED_ASSETS_SEQUENTIAL_GROWTH","FY 2017","FY 2017","Currency=INR","Period=FY","BEST_FPERIOD_OVERRIDE=FY","FILING_STATUS=OR","EQY_CONSOLIDATED=Y","Sort=A","Dates=H","DateFormat=P","Fill=—","Direction=H","UseDPDF=Y")</f>
        <v>#NAME?</v>
      </c>
      <c r="BO443" s="1" t="e">
        <f ca="1">_xll.BDH($C$428,"TOTAL_ASSETS_SEQUENTIAL_GROWTH","FY 2017","FY 2017","Currency=INR","Period=FY","BEST_FPERIOD_OVERRIDE=FY","FILING_STATUS=OR","EQY_CONSOLIDATED=Y","Sort=A","Dates=H","DateFormat=P","Fill=—","Direction=H","UseDPDF=Y")</f>
        <v>#NAME?</v>
      </c>
      <c r="BP443" s="1" t="e">
        <f ca="1">_xll.BDH($C$428,"MODIFIED_WORKING_CPTL_SEQ_GRWTH","FY 2017","FY 2017","Currency=INR","Period=FY","BEST_FPERIOD_OVERRIDE=FY","FILING_STATUS=OR","EQY_CONSOLIDATED=Y","Sort=A","Dates=H","DateFormat=P","Fill=—","Direction=H","UseDPDF=Y")</f>
        <v>#NAME?</v>
      </c>
      <c r="BQ443" s="1" t="e">
        <f ca="1">_xll.BDH($C$428,"WORKING_CAPITAL_SEQ_GROWTH","FY 2017","FY 2017","Currency=INR","Period=FY","BEST_FPERIOD_OVERRIDE=FY","FILING_STATUS=OR","EQY_CONSOLIDATED=Y","Sort=A","Dates=H","DateFormat=P","Fill=—","Direction=H","UseDPDF=Y")</f>
        <v>#NAME?</v>
      </c>
      <c r="BR443" s="1" t="e">
        <f ca="1">_xll.BDH($C$428,"ACCOUNTS_PAYABLE_SEQ_GROWTH","FY 2017","FY 2017","Currency=INR","Period=FY","BEST_FPERIOD_OVERRIDE=FY","FILING_STATUS=OR","EQY_CONSOLIDATED=Y","Sort=A","Dates=H","DateFormat=P","Fill=—","Direction=H","UseDPDF=Y")</f>
        <v>#NAME?</v>
      </c>
      <c r="BS443" s="1" t="e">
        <f ca="1">_xll.BDH($C$428,"ST_DEBT_SEQUENTIAL_GROWTH","FY 2017","FY 2017","Currency=INR","Period=FY","BEST_FPERIOD_OVERRIDE=FY","FILING_STATUS=OR","EQY_CONSOLIDATED=Y","Sort=A","Dates=H","DateFormat=P","Fill=—","Direction=H","UseDPDF=Y")</f>
        <v>#NAME?</v>
      </c>
      <c r="BT443" s="1" t="e">
        <f ca="1">_xll.BDH($C$428,"TOTAL_DEBT_SEQUENTIAL_GROWTH","FY 2017","FY 2017","Currency=INR","Period=FY","BEST_FPERIOD_OVERRIDE=FY","FILING_STATUS=OR","EQY_CONSOLIDATED=Y","Sort=A","Dates=H","DateFormat=P","Fill=—","Direction=H","UseDPDF=Y")</f>
        <v>#NAME?</v>
      </c>
      <c r="BU443" s="1" t="e">
        <f ca="1">_xll.BDH($C$428,"TOTAL_EQUITY_SEQUENTIAL_GROWTH","FY 2017","FY 2017","Currency=INR","Period=FY","BEST_FPERIOD_OVERRIDE=FY","FILING_STATUS=OR","EQY_CONSOLIDATED=Y","Sort=A","Dates=H","DateFormat=P","Fill=—","Direction=H","UseDPDF=Y")</f>
        <v>#NAME?</v>
      </c>
      <c r="BV443" s="1" t="e">
        <f ca="1">_xll.BDH($C$428,"TOTAL_CAPITAL_SEQUENTIAL_GROWTH","FY 2017","FY 2017","Currency=INR","Period=FY","BEST_FPERIOD_OVERRIDE=FY","FILING_STATUS=OR","EQY_CONSOLIDATED=Y","Sort=A","Dates=H","DateFormat=P","Fill=—","Direction=H","UseDPDF=Y")</f>
        <v>#NAME?</v>
      </c>
      <c r="BW443" s="1" t="e">
        <f ca="1">_xll.BDH($C$428,"BPS_SEQUENTIAL_GROWTH","FY 2017","FY 2017","Currency=INR","Period=FY","BEST_FPERIOD_OVERRIDE=FY","FILING_STATUS=OR","EQY_CONSOLIDATED=Y","Sort=A","Dates=H","DateFormat=P","Fill=—","Direction=H","UseDPDF=Y")</f>
        <v>#NAME?</v>
      </c>
      <c r="BX443" s="1" t="e">
        <f ca="1">_xll.BDH($C$428,"CFO_SEQUENTIAL_GROWTH","FY 2017","FY 2017","Currency=INR","Period=FY","BEST_FPERIOD_OVERRIDE=FY","FILING_STATUS=OR","EQY_CONSOLIDATED=Y","Sort=A","Dates=H","DateFormat=P","Fill=—","Direction=H","UseDPDF=Y")</f>
        <v>#NAME?</v>
      </c>
      <c r="BY443" s="2" t="e">
        <f ca="1">_xll.BDH($C$428,"SHORT_AND_LONG_TERM_DEBT","FY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43" s="2" t="e">
        <f ca="1">_xll.BDH($C$428,"BS_ST_BORROW","FY 2017","FY 2017","Currency=INR","Period=FY","BEST_FPERIOD_OVERRIDE=FY","FILING_STATUS=OR","EQY_CONSOLIDATED=Y","SCALING_FORMAT=MLN","Sort=A","Dates=H","DateFormat=P","Fill=—","Direction=H","UseDPDF=Y")</f>
        <v>#NAME?</v>
      </c>
      <c r="CA443" s="2" t="e">
        <f ca="1">_xll.BDH($C$428,"BS_LT_BORROW","FY 2017","FY 2017","Currency=INR","Period=FY","BEST_FPERIOD_OVERRIDE=FY","FILING_STATUS=OR","EQY_CONSOLIDATED=Y","SCALING_FORMAT=MLN","Sort=A","Dates=H","DateFormat=P","Fill=—","Direction=H","UseDPDF=Y")</f>
        <v>#NAME?</v>
      </c>
      <c r="CB443" s="1" t="e">
        <f ca="1">_xll.BDH($C$428,"TOT_DEBT_TO_EBITDA","FY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443" s="1" t="e">
        <f ca="1">_xll.BDH($C$428,"NET_DEBT_TO_EBITDA","FY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443" s="1" t="e">
        <f ca="1">_xll.BDH($C$428,"TOTAL_DEBT_TO_EBIT","FY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443" s="1" t="e">
        <f ca="1">_xll.BDH($C$428,"NET_DEBT_TO_EBIT","FY 2017","FY 2017","Currency=INR","Period=FY","BEST_FPERIOD_OVERRIDE=FY","FILING_STATUS=OR","EQY_CONSOLIDATED=Y","FA_ADJUSTED=GAAP","Sort=A","Dates=H","DateFormat=P","Fill=—","Direction=H","UseDPDF=Y")</f>
        <v>#NAME?</v>
      </c>
      <c r="CF443" s="1" t="e">
        <f ca="1">_xll.BDH($C$428,"EBITDA_TO_INTEREST_EXPN","FY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43" s="1" t="e">
        <f ca="1">_xll.BDH($C$428,"COM_EQY_TO_TOT_ASSET","FY 2017","FY 2017","Currency=INR","Period=FY","BEST_FPERIOD_OVERRIDE=FY","FILING_STATUS=OR","EQY_CONSOLIDATED=Y","Sort=A","Dates=H","DateFormat=P","Fill=—","Direction=H","UseDPDF=Y")</f>
        <v>#NAME?</v>
      </c>
      <c r="CH443" s="1" t="e">
        <f ca="1">_xll.BDH($C$428,"LT_DEBT_TO_TOT_EQY","FY 2017","FY 2017","Currency=INR","Period=FY","BEST_FPERIOD_OVERRIDE=FY","FILING_STATUS=OR","EQY_CONSOLIDATED=Y","Sort=A","Dates=H","DateFormat=P","Fill=—","Direction=H","UseDPDF=Y")</f>
        <v>#NAME?</v>
      </c>
      <c r="CI443" s="1" t="e">
        <f ca="1">_xll.BDH($C$428,"LT_DEBT_TO_TOT_CAP","FY 2017","FY 2017","Currency=INR","Period=FY","BEST_FPERIOD_OVERRIDE=FY","FILING_STATUS=OR","EQY_CONSOLIDATED=Y","Sort=A","Dates=H","DateFormat=P","Fill=—","Direction=H","UseDPDF=Y")</f>
        <v>#NAME?</v>
      </c>
      <c r="CJ443" s="1" t="e">
        <f ca="1">_xll.BDH($C$428,"LT_DEBT_TO_TOT_ASSET","FY 2017","FY 2017","Currency=INR","Period=FY","BEST_FPERIOD_OVERRIDE=FY","FILING_STATUS=OR","EQY_CONSOLIDATED=Y","Sort=A","Dates=H","DateFormat=P","Fill=—","Direction=H","UseDPDF=Y")</f>
        <v>#NAME?</v>
      </c>
      <c r="CK443" s="1" t="e">
        <f ca="1">_xll.BDH($C$428,"TOT_DEBT_TO_TOT_EQY","FY 2017","FY 2017","Currency=INR","Period=FY","BEST_FPERIOD_OVERRIDE=FY","FILING_STATUS=OR","EQY_CONSOLIDATED=Y","Sort=A","Dates=H","DateFormat=P","Fill=—","Direction=H","UseDPDF=Y")</f>
        <v>#NAME?</v>
      </c>
      <c r="CL443" s="1" t="e">
        <f ca="1">_xll.BDH($C$428,"TOT_DEBT_TO_TOT_CAP","FY 2017","FY 2017","Currency=INR","Period=FY","BEST_FPERIOD_OVERRIDE=FY","FILING_STATUS=OR","EQY_CONSOLIDATED=Y","Sort=A","Dates=H","DateFormat=P","Fill=—","Direction=H","UseDPDF=Y")</f>
        <v>#NAME?</v>
      </c>
      <c r="CM443" s="1" t="e">
        <f ca="1">_xll.BDH($C$428,"TOT_DEBT_TO_TOT_ASSET","FY 2017","FY 2017","Currency=INR","Period=FY","BEST_FPERIOD_OVERRIDE=FY","FILING_STATUS=OR","EQY_CONSOLIDATED=Y","Sort=A","Dates=H","DateFormat=P","Fill=—","Direction=H","UseDPDF=Y")</f>
        <v>#NAME?</v>
      </c>
      <c r="CN443" s="1" t="e">
        <f ca="1">_xll.BDH($C$428,"NET_DEBT_TO_SHRHLDR_EQTY","FY 2017","FY 2017","Currency=INR","Period=FY","BEST_FPERIOD_OVERRIDE=FY","FILING_STATUS=OR","EQY_CONSOLIDATED=Y","Sort=A","Dates=H","DateFormat=P","Fill=—","Direction=H","UseDPDF=Y")</f>
        <v>#NAME?</v>
      </c>
      <c r="CO443" s="1" t="e">
        <f ca="1">_xll.BDH($C$428,"NET_DEBT_%_CAPITAL","FY 2017","FY 2017","Currency=INR","Period=FY","BEST_FPERIOD_OVERRIDE=FY","FILING_STATUS=OR","EQY_CONSOLIDATED=Y","Sort=A","Dates=H","DateFormat=P","Fill=—","Direction=H","UseDPDF=Y")</f>
        <v>#NAME?</v>
      </c>
      <c r="CP443" s="2" t="e">
        <f ca="1">_xll.BDH($C$428,"EBITDA","FY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43" s="2" t="e">
        <f ca="1">_xll.BDH($C$428,"EBITDA_AFTER_CAPEX","FY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43" s="2" t="e">
        <f ca="1">_xll.BDH($C$428,"IS_OPER_INC","FY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43" s="1" t="e">
        <f ca="1">_xll.BDH($C$428,"CASH_RATIO","FY 2017","FY 2017","Currency=INR","Period=FY","BEST_FPERIOD_OVERRIDE=FY","FILING_STATUS=OR","EQY_CONSOLIDATED=Y","Sort=A","Dates=H","DateFormat=P","Fill=—","Direction=H","UseDPDF=Y")</f>
        <v>#NAME?</v>
      </c>
      <c r="CT443" s="1" t="e">
        <f ca="1">_xll.BDH($C$428,"CUR_RATIO","FY 2017","FY 2017","Currency=INR","Period=FY","BEST_FPERIOD_OVERRIDE=FY","FILING_STATUS=OR","EQY_CONSOLIDATED=Y","Sort=A","Dates=H","DateFormat=P","Fill=—","Direction=H","UseDPDF=Y")</f>
        <v>#NAME?</v>
      </c>
      <c r="CU443" s="1" t="e">
        <f ca="1">_xll.BDH($C$428,"QUICK_RATIO","FY 2017","FY 2017","Currency=INR","Period=FY","BEST_FPERIOD_OVERRIDE=FY","FILING_STATUS=OR","EQY_CONSOLIDATED=Y","Sort=A","Dates=H","DateFormat=P","Fill=—","Direction=H","UseDPDF=Y")</f>
        <v>#NAME?</v>
      </c>
      <c r="CV443" s="1" t="e">
        <f ca="1">_xll.BDH($C$428,"ALTMAN_Z_SCORE","FY 2017","FY 2017","Currency=INR","Period=FY","BEST_FPERIOD_OVERRIDE=FY","FILING_STATUS=OR","EQY_CONSOLIDATED=Y","Sort=A","Dates=H","DateFormat=P","Fill=—","Direction=H","UseDPDF=Y")</f>
        <v>#NAME?</v>
      </c>
      <c r="CW443" s="3" t="e">
        <f ca="1">_xll.BDH($C$428,"ACCT_RCV_TURN","FY 2017","FY 2017","Currency=INR","Period=FY","BEST_FPERIOD_OVERRIDE=FY","FILING_STATUS=OR","EQY_CONSOLIDATED=Y","FA_ADJUSTED=GAAP","Sort=A","Dates=H","DateFormat=P","Fill=—","Direction=H","UseDPDF=Y")</f>
        <v>#NAME?</v>
      </c>
      <c r="CX443" s="1" t="e">
        <f ca="1">_xll.BDH($C$428,"ACCT_RCV_DAYS","FY 2017","FY 2017","Currency=INR","Period=FY","BEST_FPERIOD_OVERRIDE=FY","FILING_STATUS=OR","EQY_CONSOLIDATED=Y","FA_ADJUSTED=GAAP","Sort=A","Dates=H","DateFormat=P","Fill=—","Direction=H","UseDPDF=Y")</f>
        <v>#NAME?</v>
      </c>
      <c r="CY443" s="3" t="e">
        <f ca="1">_xll.BDH($C$428,"INVENT_TURN","FY 2017","FY 2017","Currency=INR","Period=FY","BEST_FPERIOD_OVERRIDE=FY","FILING_STATUS=OR","EQY_CONSOLIDATED=Y","FA_ADJUSTED=GAAP","Sort=A","Dates=H","DateFormat=P","Fill=—","Direction=H","UseDPDF=Y")</f>
        <v>#NAME?</v>
      </c>
      <c r="CZ443" s="1" t="e">
        <f ca="1">_xll.BDH($C$428,"INVENT_DAYS","FY 2017","FY 2017","Currency=INR","Period=FY","BEST_FPERIOD_OVERRIDE=FY","FILING_STATUS=OR","EQY_CONSOLIDATED=Y","FA_ADJUSTED=GAAP","Sort=A","Dates=H","DateFormat=P","Fill=—","Direction=H","UseDPDF=Y")</f>
        <v>#NAME?</v>
      </c>
      <c r="DA443" s="3" t="e">
        <f ca="1">_xll.BDH($C$428,"ACCOUNTS_PAYABLE_TURNOVER","FY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43" s="1" t="e">
        <f ca="1">_xll.BDH($C$428,"ACCOUNTS_PAYABLE_TURNOVER_DAYS","FY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43" s="3" t="e">
        <f ca="1">_xll.BDH($C$428,"CASH_CONVERSION_CYCLE","FY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43" s="3" t="e">
        <f ca="1">_xll.BDH($C$428,"INV_TO_CASH_DAYS","FY 2017","FY 2017","Currency=INR","Period=FY","BEST_FPERIOD_OVERRIDE=FY","FILING_STATUS=OR","EQY_CONSOLIDATED=Y","FA_ADJUSTED=GAAP","Sort=A","Dates=H","DateFormat=P","Fill=—","Direction=H","UseDPDF=Y")</f>
        <v>#NAME?</v>
      </c>
      <c r="DE443" s="4" t="e">
        <f ca="1">_xll.BDH($C$428,"BS_INVENTORIES","FY 2017","FY 2017","Currency=INR","Period=FY","BEST_FPERIOD_OVERRIDE=FY","FILING_STATUS=OR","EQY_CONSOLIDATED=Y","SCALING_FORMAT=MLN","Sort=A","Dates=H","DateFormat=P","Fill=—","Direction=H","UseDPDF=Y")</f>
        <v>#NAME?</v>
      </c>
      <c r="DF443" s="2" t="e">
        <f ca="1">_xll.BDH($C$428,"INVTRY_RAW_MATERIALS","FY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43" s="2" t="e">
        <f ca="1">_xll.BDH($C$428,"INVTRY_IN_PROGRESS","FY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43" s="2" t="e">
        <f ca="1">_xll.BDH($C$428,"INVTRY_FINISHED_GOODS","FY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43" s="2" t="e">
        <f ca="1">_xll.BDH($C$428,"BS_OTHER_INV","FY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44" spans="1:113" x14ac:dyDescent="0.3">
      <c r="A444" s="6"/>
      <c r="B444" s="6"/>
      <c r="C444" s="6"/>
      <c r="D444" s="6"/>
      <c r="E444" t="s">
        <v>4</v>
      </c>
      <c r="F444" t="e">
        <f ca="1">_xll.BDH($C$428,"RETURN_COM_EQY","FQ1 2017","FQ1 2017","Currency=INR","Period=FQ","BEST_FPERIOD_OVERRIDE=FQ","FILING_STATUS=OR","EQY_CONSOLIDATED=Y","FA_ADJUSTED=GAAP","Sort=A","Dates=H","DateFormat=P","Fill=—","Direction=H","UseDPDF=Y")</f>
        <v>#NAME?</v>
      </c>
      <c r="G444" t="e">
        <f ca="1">_xll.BDH($C$428,"RETURN_ON_ASSET","FQ1 2017","FQ1 2017","Currency=INR","Period=FQ","BEST_FPERIOD_OVERRIDE=FQ","FILING_STATUS=OR","EQY_CONSOLIDATED=Y","FA_ADJUSTED=GAAP","Sort=A","Dates=H","DateFormat=P","Fill=—","Direction=H","UseDPDF=Y")</f>
        <v>#NAME?</v>
      </c>
      <c r="H444" t="e">
        <f ca="1">_xll.BDH($C$428,"RETURN_ON_CAP","FQ1 2017","FQ1 2017","Currency=INR","Period=FQ","BEST_FPERIOD_OVERRIDE=FQ","FILING_STATUS=OR","EQY_CONSOLIDATED=Y","FA_ADJUSTED=GAAP","Sort=A","Dates=H","DateFormat=P","Fill=—","Direction=H","UseDPDF=Y")</f>
        <v>#NAME?</v>
      </c>
      <c r="I444" t="e">
        <f ca="1">_xll.BDH($C$428,"RETURN_ON_INV_CAPITAL","FQ1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44" t="e">
        <f ca="1">_xll.BDH($C$428,"EBITDA_TO_REVENUE","FQ1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444" t="e">
        <f ca="1">_xll.BDH($C$428,"OPER_MARGIN","FQ1 2017","FQ1 2017","Currency=INR","Period=FQ","BEST_FPERIOD_OVERRIDE=FQ","FILING_STATUS=OR","EQY_CONSOLIDATED=Y","FA_ADJUSTED=GAAP","Sort=A","Dates=H","DateFormat=P","Fill=—","Direction=H","UseDPDF=Y")</f>
        <v>#NAME?</v>
      </c>
      <c r="L444" t="e">
        <f ca="1">_xll.BDH($C$428,"INCREMENTAL_OPERATING_MARGIN","FQ1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44" t="e">
        <f ca="1">_xll.BDH($C$428,"PRETAX_INC_TO_NET_SALES","FQ1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44" t="e">
        <f ca="1">_xll.BDH($C$428,"INC_BEF_XO_ITEMS_TO_NET_SALES","FQ1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44" t="e">
        <f ca="1">_xll.BDH($C$428,"PROF_MARGIN","FQ1 2017","FQ1 2017","Currency=INR","Period=FQ","BEST_FPERIOD_OVERRIDE=FQ","FILING_STATUS=OR","EQY_CONSOLIDATED=Y","FA_ADJUSTED=GAAP","Sort=A","Dates=H","DateFormat=P","Fill=—","Direction=H","UseDPDF=Y")</f>
        <v>#NAME?</v>
      </c>
      <c r="P444" t="e">
        <f ca="1">_xll.BDH($C$428,"NET_INCOME_TO_COMMON_MARGIN","FQ1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44" t="e">
        <f ca="1">_xll.BDH($C$428,"EFF_TAX_RATE","FQ1 2017","FQ1 2017","Currency=INR","Period=FQ","BEST_FPERIOD_OVERRIDE=FQ","FILING_STATUS=OR","EQY_CONSOLIDATED=Y","FA_ADJUSTED=GAAP","Sort=A","Dates=H","DateFormat=P","Fill=—","Direction=H","UseDPDF=Y")</f>
        <v>#NAME?</v>
      </c>
      <c r="R444" t="e">
        <f ca="1">_xll.BDH($C$428,"DVD_PAYOUT_RATIO","FQ1 2017","FQ1 2017","Currency=INR","Period=FQ","BEST_FPERIOD_OVERRIDE=FQ","FILING_STATUS=OR","EQY_CONSOLIDATED=Y","FA_ADJUSTED=GAAP","Sort=A","Dates=H","DateFormat=P","Fill=—","Direction=H","UseDPDF=Y")</f>
        <v>#NAME?</v>
      </c>
      <c r="S444" t="e">
        <f ca="1">_xll.BDH($C$428,"SUSTAIN_GROWTH_RT","FQ1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444" s="1" t="e">
        <f ca="1">_xll.BDH($C$428,"SALES_GROWTH","FQ1 2017","FQ1 2017","Currency=INR","Period=FQ","BEST_FPERIOD_OVERRIDE=FQ","FILING_STATUS=OR","EQY_CONSOLIDATED=Y","FA_ADJUSTED=GAAP","Sort=A","Dates=H","DateFormat=P","Fill=—","Direction=H","UseDPDF=Y")</f>
        <v>#NAME?</v>
      </c>
      <c r="U444" s="1" t="e">
        <f ca="1">_xll.BDH($C$428,"EBITDA_GROWTH","FQ1 2017","FQ1 2017","Currency=INR","Period=FQ","BEST_FPERIOD_OVERRIDE=FQ","FILING_STATUS=OR","EQY_CONSOLIDATED=Y","FA_ADJUSTED=GAAP","Sort=A","Dates=H","DateFormat=P","Fill=—","Direction=H","UseDPDF=Y")</f>
        <v>#NAME?</v>
      </c>
      <c r="V444" s="1" t="e">
        <f ca="1">_xll.BDH($C$428,"OPER_INC_GROWTH","FQ1 2017","FQ1 2017","Currency=INR","Period=FQ","BEST_FPERIOD_OVERRIDE=FQ","FILING_STATUS=OR","EQY_CONSOLIDATED=Y","FA_ADJUSTED=GAAP","Sort=A","Dates=H","DateFormat=P","Fill=—","Direction=H","UseDPDF=Y")</f>
        <v>#NAME?</v>
      </c>
      <c r="W444" s="1" t="e">
        <f ca="1">_xll.BDH($C$428,"EARN_FOR_COM_GROWTH","FQ1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44" s="1" t="e">
        <f ca="1">_xll.BDH($C$428,"DILUTED_EPS_AFT_XO_ITEMS_GROWTH","FQ1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44" s="1" t="e">
        <f ca="1">_xll.BDH($C$428,"DIVIDEND_PER_SHARE_1_YEAR_GROWTH","FQ1 2017","FQ1 2017","Currency=INR","Period=FQ","BEST_FPERIOD_OVERRIDE=FQ","FILING_STATUS=OR","EQY_CONSOLIDATED=Y","Sort=A","Dates=H","DateFormat=P","Fill=—","Direction=H","UseDPDF=Y")</f>
        <v>#NAME?</v>
      </c>
      <c r="Z444" s="1" t="e">
        <f ca="1">_xll.BDH($C$428,"ACCOUNTS_RECEIVABLE_GROWTH","FQ1 2017","FQ1 2017","Currency=INR","Period=FQ","BEST_FPERIOD_OVERRIDE=FQ","FILING_STATUS=OR","EQY_CONSOLIDATED=Y","Sort=A","Dates=H","DateFormat=P","Fill=—","Direction=H","UseDPDF=Y")</f>
        <v>#NAME?</v>
      </c>
      <c r="AA444" s="1" t="e">
        <f ca="1">_xll.BDH($C$428,"INVENTORY_GROWTH","FQ1 2017","FQ1 2017","Currency=INR","Period=FQ","BEST_FPERIOD_OVERRIDE=FQ","FILING_STATUS=OR","EQY_CONSOLIDATED=Y","Sort=A","Dates=H","DateFormat=P","Fill=—","Direction=H","UseDPDF=Y")</f>
        <v>#NAME?</v>
      </c>
      <c r="AB444" s="1" t="e">
        <f ca="1">_xll.BDH($C$428,"NET_FIXED_ASSETS_1_YEAR_GROWTH","FQ1 2017","FQ1 2017","Currency=INR","Period=FQ","BEST_FPERIOD_OVERRIDE=FQ","FILING_STATUS=OR","EQY_CONSOLIDATED=Y","Sort=A","Dates=H","DateFormat=P","Fill=—","Direction=H","UseDPDF=Y")</f>
        <v>#NAME?</v>
      </c>
      <c r="AC444" s="1" t="e">
        <f ca="1">_xll.BDH($C$428,"ASSET_GROWTH","FQ1 2017","FQ1 2017","Currency=INR","Period=FQ","BEST_FPERIOD_OVERRIDE=FQ","FILING_STATUS=OR","EQY_CONSOLIDATED=Y","Sort=A","Dates=H","DateFormat=P","Fill=—","Direction=H","UseDPDF=Y")</f>
        <v>#NAME?</v>
      </c>
      <c r="AD444" s="1" t="e">
        <f ca="1">_xll.BDH($C$428,"MODIFIED_WORK_CAP_GROWTH","FQ1 2017","FQ1 2017","Currency=INR","Period=FQ","BEST_FPERIOD_OVERRIDE=FQ","FILING_STATUS=OR","EQY_CONSOLIDATED=Y","Sort=A","Dates=H","DateFormat=P","Fill=—","Direction=H","UseDPDF=Y")</f>
        <v>#NAME?</v>
      </c>
      <c r="AE444" s="1" t="e">
        <f ca="1">_xll.BDH($C$428,"WORK_CAP_GROWTH","FQ1 2017","FQ1 2017","Currency=INR","Period=FQ","BEST_FPERIOD_OVERRIDE=FQ","FILING_STATUS=OR","EQY_CONSOLIDATED=Y","Sort=A","Dates=H","DateFormat=P","Fill=—","Direction=H","UseDPDF=Y")</f>
        <v>#NAME?</v>
      </c>
      <c r="AF444" s="1" t="e">
        <f ca="1">_xll.BDH($C$428,"ACCOUNTS_PAYABLE_GROWTH_1YR","FQ1 2017","FQ1 2017","Currency=INR","Period=FQ","BEST_FPERIOD_OVERRIDE=FQ","FILING_STATUS=OR","EQY_CONSOLIDATED=Y","Sort=A","Dates=H","DateFormat=P","Fill=—","Direction=H","UseDPDF=Y")</f>
        <v>#NAME?</v>
      </c>
      <c r="AG444" s="1" t="e">
        <f ca="1">_xll.BDH($C$428,"SHORT_TERM_DEBT_1_YEAR_GROWTH","FQ1 2017","FQ1 2017","Currency=INR","Period=FQ","BEST_FPERIOD_OVERRIDE=FQ","FILING_STATUS=OR","EQY_CONSOLIDATED=Y","Sort=A","Dates=H","DateFormat=P","Fill=—","Direction=H","UseDPDF=Y")</f>
        <v>#NAME?</v>
      </c>
      <c r="AH444" s="1" t="e">
        <f ca="1">_xll.BDH($C$428,"TOTAL_DEBT_1_YEAR_GROWTH","FQ1 2017","FQ1 2017","Currency=INR","Period=FQ","BEST_FPERIOD_OVERRIDE=FQ","FILING_STATUS=OR","EQY_CONSOLIDATED=Y","Sort=A","Dates=H","DateFormat=P","Fill=—","Direction=H","UseDPDF=Y")</f>
        <v>#NAME?</v>
      </c>
      <c r="AI444" s="1" t="e">
        <f ca="1">_xll.BDH($C$428,"TOTAL_EQUITY_1_YEAR_GROWTH","FQ1 2017","FQ1 2017","Currency=INR","Period=FQ","BEST_FPERIOD_OVERRIDE=FQ","FILING_STATUS=OR","EQY_CONSOLIDATED=Y","Sort=A","Dates=H","DateFormat=P","Fill=—","Direction=H","UseDPDF=Y")</f>
        <v>#NAME?</v>
      </c>
      <c r="AJ444" s="1" t="e">
        <f ca="1">_xll.BDH($C$428,"GROWTH_IN_CAP","FQ1 2017","FQ1 2017","Currency=INR","Period=FQ","BEST_FPERIOD_OVERRIDE=FQ","FILING_STATUS=OR","EQY_CONSOLIDATED=Y","Sort=A","Dates=H","DateFormat=P","Fill=—","Direction=H","UseDPDF=Y")</f>
        <v>#NAME?</v>
      </c>
      <c r="AK444" s="1" t="e">
        <f ca="1">_xll.BDH($C$428,"BVPS_GROWTH","FQ1 2017","FQ1 2017","Currency=INR","Period=FQ","BEST_FPERIOD_OVERRIDE=FQ","FILING_STATUS=OR","EQY_CONSOLIDATED=Y","Sort=A","Dates=H","DateFormat=P","Fill=—","Direction=H","UseDPDF=Y")</f>
        <v>#NAME?</v>
      </c>
      <c r="AL444" s="1" t="e">
        <f ca="1">_xll.BDH($C$428,"CASH_FLOW_GROWTH","FQ1 2017","FQ1 2017","Currency=INR","Period=FQ","BEST_FPERIOD_OVERRIDE=FQ","FILING_STATUS=OR","EQY_CONSOLIDATED=Y","Sort=A","Dates=H","DateFormat=P","Fill=—","Direction=H","UseDPDF=Y")</f>
        <v>#NAME?</v>
      </c>
      <c r="AM444" s="1" t="e">
        <f ca="1">_xll.BDH($C$428,"GEO_GROW_NET_SALES","FQ1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44" s="1" t="e">
        <f ca="1">_xll.BDH($C$428,"GEO_GROW_EBITDA","FQ1 2017","FQ1 2017","Currency=INR","Period=FQ","BEST_FPERIOD_OVERRIDE=FQ","FILING_STATUS=OR","EQY_CONSOLIDATED=Y","FA_ADJUSTED=GAAP","Sort=A","Dates=H","DateFormat=P","Fill=—","Direction=H","UseDPDF=Y")</f>
        <v>#NAME?</v>
      </c>
      <c r="AO444" s="1" t="e">
        <f ca="1">_xll.BDH($C$428,"GEO_GROW_OPER_INC","FQ1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44" s="1" t="e">
        <f ca="1">_xll.BDH($C$428,"NET_INCOME_TO_COMMON_5_YR_GROWTH","FQ1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44" s="1" t="e">
        <f ca="1">_xll.BDH($C$428,"5Y_GEO_GROWTH_DILUTED_EPS","FQ1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44" s="1" t="e">
        <f ca="1">_xll.BDH($C$428,"GEO_GROW_DVD_PER_SH","FQ1 2017","FQ1 2017","Currency=INR","Period=FQ","BEST_FPERIOD_OVERRIDE=FQ","FILING_STATUS=OR","EQY_CONSOLIDATED=Y","Sort=A","Dates=H","DateFormat=P","Fill=—","Direction=H","UseDPDF=Y")</f>
        <v>#NAME?</v>
      </c>
      <c r="AS444" s="1" t="e">
        <f ca="1">_xll.BDH($C$428,"ACCOUNTS_RECEIVABLE_5_YR_GROWTH","FQ1 2017","FQ1 2017","Currency=INR","Period=FQ","BEST_FPERIOD_OVERRIDE=FQ","FILING_STATUS=OR","EQY_CONSOLIDATED=Y","Sort=A","Dates=H","DateFormat=P","Fill=—","Direction=H","UseDPDF=Y")</f>
        <v>#NAME?</v>
      </c>
      <c r="AT444" s="1" t="e">
        <f ca="1">_xll.BDH($C$428,"INVENTORY_5_YEAR_GROWTH","FQ1 2017","FQ1 2017","Currency=INR","Period=FQ","BEST_FPERIOD_OVERRIDE=FQ","FILING_STATUS=OR","EQY_CONSOLIDATED=Y","Sort=A","Dates=H","DateFormat=P","Fill=—","Direction=H","UseDPDF=Y")</f>
        <v>#NAME?</v>
      </c>
      <c r="AU444" s="1" t="e">
        <f ca="1">_xll.BDH($C$428,"NET_FIXED_ASSETS_5_YEAR_GROWTH","FQ1 2017","FQ1 2017","Currency=INR","Period=FQ","BEST_FPERIOD_OVERRIDE=FQ","FILING_STATUS=OR","EQY_CONSOLIDATED=Y","Sort=A","Dates=H","DateFormat=P","Fill=—","Direction=H","UseDPDF=Y")</f>
        <v>#NAME?</v>
      </c>
      <c r="AV444" s="1" t="e">
        <f ca="1">_xll.BDH($C$428,"GEO_GROW_TOT_ASSET","FQ1 2017","FQ1 2017","Currency=INR","Period=FQ","BEST_FPERIOD_OVERRIDE=FQ","FILING_STATUS=OR","EQY_CONSOLIDATED=Y","Sort=A","Dates=H","DateFormat=P","Fill=—","Direction=H","UseDPDF=Y")</f>
        <v>#NAME?</v>
      </c>
      <c r="AW444" s="1" t="e">
        <f ca="1">_xll.BDH($C$428,"MODIFIED_WORKING_CPTL_5YR_GRWTH","FQ1 2017","FQ1 2017","Currency=INR","Period=FQ","BEST_FPERIOD_OVERRIDE=FQ","FILING_STATUS=OR","EQY_CONSOLIDATED=Y","Sort=A","Dates=H","DateFormat=P","Fill=—","Direction=H","UseDPDF=Y")</f>
        <v>#NAME?</v>
      </c>
      <c r="AX444" s="1" t="e">
        <f ca="1">_xll.BDH($C$428,"WORKING_CAPITAL_5_YEAR_GROWTH","FQ1 2017","FQ1 2017","Currency=INR","Period=FQ","BEST_FPERIOD_OVERRIDE=FQ","FILING_STATUS=OR","EQY_CONSOLIDATED=Y","Sort=A","Dates=H","DateFormat=P","Fill=—","Direction=H","UseDPDF=Y")</f>
        <v>#NAME?</v>
      </c>
      <c r="AY444" s="1" t="e">
        <f ca="1">_xll.BDH($C$428,"ACCOUNTS_PAYABLE_5_YEAR_GROWTH","FQ1 2017","FQ1 2017","Currency=INR","Period=FQ","BEST_FPERIOD_OVERRIDE=FQ","FILING_STATUS=OR","EQY_CONSOLIDATED=Y","Sort=A","Dates=H","DateFormat=P","Fill=—","Direction=H","UseDPDF=Y")</f>
        <v>#NAME?</v>
      </c>
      <c r="AZ444" s="1" t="e">
        <f ca="1">_xll.BDH($C$428,"SHORT_TERM_DEBT_5_YEAR_GROWTH","FQ1 2017","FQ1 2017","Currency=INR","Period=FQ","BEST_FPERIOD_OVERRIDE=FQ","FILING_STATUS=OR","EQY_CONSOLIDATED=Y","Sort=A","Dates=H","DateFormat=P","Fill=—","Direction=H","UseDPDF=Y")</f>
        <v>#NAME?</v>
      </c>
      <c r="BA444" s="1" t="e">
        <f ca="1">_xll.BDH($C$428,"TOTAL_DEBT_5_YEAR_GROWTH","FQ1 2017","FQ1 2017","Currency=INR","Period=FQ","BEST_FPERIOD_OVERRIDE=FQ","FILING_STATUS=OR","EQY_CONSOLIDATED=Y","Sort=A","Dates=H","DateFormat=P","Fill=—","Direction=H","UseDPDF=Y")</f>
        <v>#NAME?</v>
      </c>
      <c r="BB444" s="1" t="e">
        <f ca="1">_xll.BDH($C$428,"GEO_GROW_TOT_SHRHLDR_EQY","FQ1 2017","FQ1 2017","Currency=INR","Period=FQ","BEST_FPERIOD_OVERRIDE=FQ","FILING_STATUS=OR","EQY_CONSOLIDATED=Y","Sort=A","Dates=H","DateFormat=P","Fill=—","Direction=H","UseDPDF=Y")</f>
        <v>#NAME?</v>
      </c>
      <c r="BC444" s="1" t="e">
        <f ca="1">_xll.BDH($C$428,"TOTAL_CAPITAL_5_YEAR_GROWTH","FQ1 2017","FQ1 2017","Currency=INR","Period=FQ","BEST_FPERIOD_OVERRIDE=FQ","FILING_STATUS=OR","EQY_CONSOLIDATED=Y","Sort=A","Dates=H","DateFormat=P","Fill=—","Direction=H","UseDPDF=Y")</f>
        <v>#NAME?</v>
      </c>
      <c r="BD444" s="1" t="e">
        <f ca="1">_xll.BDH($C$428,"GEO_GROW_BOOK_VAL","FQ1 2017","FQ1 2017","Currency=INR","Period=FQ","BEST_FPERIOD_OVERRIDE=FQ","FILING_STATUS=OR","EQY_CONSOLIDATED=Y","Sort=A","Dates=H","DateFormat=P","Fill=—","Direction=H","UseDPDF=Y")</f>
        <v>#NAME?</v>
      </c>
      <c r="BE444" s="1" t="e">
        <f ca="1">_xll.BDH($C$428,"GEO_GROW_CASH_OPER_ACT","FQ1 2017","FQ1 2017","Currency=INR","Period=FQ","BEST_FPERIOD_OVERRIDE=FQ","FILING_STATUS=OR","EQY_CONSOLIDATED=Y","Sort=A","Dates=H","DateFormat=P","Fill=—","Direction=H","UseDPDF=Y")</f>
        <v>#NAME?</v>
      </c>
      <c r="BF444" s="1" t="e">
        <f ca="1">_xll.BDH($C$428,"REVENUE_SEQUENTIAL_GROWTH","FQ1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44" s="1" t="e">
        <f ca="1">_xll.BDH($C$428,"EBITDA_SEQUENTIAL_GROWTH","FQ1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44" s="1" t="e">
        <f ca="1">_xll.BDH($C$428,"OPERATING_INCOME_SEQ_GROWTH","FQ1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44" s="1" t="e">
        <f ca="1">_xll.BDH($C$428,"NET_INCOME_TO_COMMON_SEQ_GROWTH","FQ1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44" s="1" t="e">
        <f ca="1">_xll.BDH($C$428,"EPS_DILUTED_SEQUENTIAL_GROWTH","FQ1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44" s="1" t="e">
        <f ca="1">_xll.BDH($C$428,"DPS_SEQUENTIAL_GROWTH","FQ1 2017","FQ1 2017","Currency=INR","Period=FQ","BEST_FPERIOD_OVERRIDE=FQ","FILING_STATUS=OR","EQY_CONSOLIDATED=Y","Sort=A","Dates=H","DateFormat=P","Fill=—","Direction=H","UseDPDF=Y")</f>
        <v>#NAME?</v>
      </c>
      <c r="BL444" s="1" t="e">
        <f ca="1">_xll.BDH($C$428,"ACCOUNTS_RECEIVABLE_SEQ_GROWTH","FQ1 2017","FQ1 2017","Currency=INR","Period=FQ","BEST_FPERIOD_OVERRIDE=FQ","FILING_STATUS=OR","EQY_CONSOLIDATED=Y","Sort=A","Dates=H","DateFormat=P","Fill=—","Direction=H","UseDPDF=Y")</f>
        <v>#NAME?</v>
      </c>
      <c r="BM444" s="1" t="e">
        <f ca="1">_xll.BDH($C$428,"INVENTORY_SEQUENTIAL_GROWTH","FQ1 2017","FQ1 2017","Currency=INR","Period=FQ","BEST_FPERIOD_OVERRIDE=FQ","FILING_STATUS=OR","EQY_CONSOLIDATED=Y","Sort=A","Dates=H","DateFormat=P","Fill=—","Direction=H","UseDPDF=Y")</f>
        <v>#NAME?</v>
      </c>
      <c r="BN444" s="1" t="e">
        <f ca="1">_xll.BDH($C$428,"FIXED_ASSETS_SEQUENTIAL_GROWTH","FQ1 2017","FQ1 2017","Currency=INR","Period=FQ","BEST_FPERIOD_OVERRIDE=FQ","FILING_STATUS=OR","EQY_CONSOLIDATED=Y","Sort=A","Dates=H","DateFormat=P","Fill=—","Direction=H","UseDPDF=Y")</f>
        <v>#NAME?</v>
      </c>
      <c r="BO444" s="1" t="e">
        <f ca="1">_xll.BDH($C$428,"TOTAL_ASSETS_SEQUENTIAL_GROWTH","FQ1 2017","FQ1 2017","Currency=INR","Period=FQ","BEST_FPERIOD_OVERRIDE=FQ","FILING_STATUS=OR","EQY_CONSOLIDATED=Y","Sort=A","Dates=H","DateFormat=P","Fill=—","Direction=H","UseDPDF=Y")</f>
        <v>#NAME?</v>
      </c>
      <c r="BP444" s="1" t="e">
        <f ca="1">_xll.BDH($C$428,"MODIFIED_WORKING_CPTL_SEQ_GRWTH","FQ1 2017","FQ1 2017","Currency=INR","Period=FQ","BEST_FPERIOD_OVERRIDE=FQ","FILING_STATUS=OR","EQY_CONSOLIDATED=Y","Sort=A","Dates=H","DateFormat=P","Fill=—","Direction=H","UseDPDF=Y")</f>
        <v>#NAME?</v>
      </c>
      <c r="BQ444" s="1" t="e">
        <f ca="1">_xll.BDH($C$428,"WORKING_CAPITAL_SEQ_GROWTH","FQ1 2017","FQ1 2017","Currency=INR","Period=FQ","BEST_FPERIOD_OVERRIDE=FQ","FILING_STATUS=OR","EQY_CONSOLIDATED=Y","Sort=A","Dates=H","DateFormat=P","Fill=—","Direction=H","UseDPDF=Y")</f>
        <v>#NAME?</v>
      </c>
      <c r="BR444" s="1" t="e">
        <f ca="1">_xll.BDH($C$428,"ACCOUNTS_PAYABLE_SEQ_GROWTH","FQ1 2017","FQ1 2017","Currency=INR","Period=FQ","BEST_FPERIOD_OVERRIDE=FQ","FILING_STATUS=OR","EQY_CONSOLIDATED=Y","Sort=A","Dates=H","DateFormat=P","Fill=—","Direction=H","UseDPDF=Y")</f>
        <v>#NAME?</v>
      </c>
      <c r="BS444" s="1" t="e">
        <f ca="1">_xll.BDH($C$428,"ST_DEBT_SEQUENTIAL_GROWTH","FQ1 2017","FQ1 2017","Currency=INR","Period=FQ","BEST_FPERIOD_OVERRIDE=FQ","FILING_STATUS=OR","EQY_CONSOLIDATED=Y","Sort=A","Dates=H","DateFormat=P","Fill=—","Direction=H","UseDPDF=Y")</f>
        <v>#NAME?</v>
      </c>
      <c r="BT444" s="1" t="e">
        <f ca="1">_xll.BDH($C$428,"TOTAL_DEBT_SEQUENTIAL_GROWTH","FQ1 2017","FQ1 2017","Currency=INR","Period=FQ","BEST_FPERIOD_OVERRIDE=FQ","FILING_STATUS=OR","EQY_CONSOLIDATED=Y","Sort=A","Dates=H","DateFormat=P","Fill=—","Direction=H","UseDPDF=Y")</f>
        <v>#NAME?</v>
      </c>
      <c r="BU444" s="1" t="e">
        <f ca="1">_xll.BDH($C$428,"TOTAL_EQUITY_SEQUENTIAL_GROWTH","FQ1 2017","FQ1 2017","Currency=INR","Period=FQ","BEST_FPERIOD_OVERRIDE=FQ","FILING_STATUS=OR","EQY_CONSOLIDATED=Y","Sort=A","Dates=H","DateFormat=P","Fill=—","Direction=H","UseDPDF=Y")</f>
        <v>#NAME?</v>
      </c>
      <c r="BV444" s="1" t="e">
        <f ca="1">_xll.BDH($C$428,"TOTAL_CAPITAL_SEQUENTIAL_GROWTH","FQ1 2017","FQ1 2017","Currency=INR","Period=FQ","BEST_FPERIOD_OVERRIDE=FQ","FILING_STATUS=OR","EQY_CONSOLIDATED=Y","Sort=A","Dates=H","DateFormat=P","Fill=—","Direction=H","UseDPDF=Y")</f>
        <v>#NAME?</v>
      </c>
      <c r="BW444" s="1" t="e">
        <f ca="1">_xll.BDH($C$428,"BPS_SEQUENTIAL_GROWTH","FQ1 2017","FQ1 2017","Currency=INR","Period=FQ","BEST_FPERIOD_OVERRIDE=FQ","FILING_STATUS=OR","EQY_CONSOLIDATED=Y","Sort=A","Dates=H","DateFormat=P","Fill=—","Direction=H","UseDPDF=Y")</f>
        <v>#NAME?</v>
      </c>
      <c r="BX444" s="1" t="e">
        <f ca="1">_xll.BDH($C$428,"CFO_SEQUENTIAL_GROWTH","FQ1 2017","FQ1 2017","Currency=INR","Period=FQ","BEST_FPERIOD_OVERRIDE=FQ","FILING_STATUS=OR","EQY_CONSOLIDATED=Y","Sort=A","Dates=H","DateFormat=P","Fill=—","Direction=H","UseDPDF=Y")</f>
        <v>#NAME?</v>
      </c>
      <c r="BY444" s="2" t="e">
        <f ca="1">_xll.BDH($C$428,"SHORT_AND_LONG_TERM_DEBT","FQ1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44" s="2" t="e">
        <f ca="1">_xll.BDH($C$428,"BS_ST_BORROW","FQ1 2017","FQ1 2017","Currency=INR","Period=FQ","BEST_FPERIOD_OVERRIDE=FQ","FILING_STATUS=OR","EQY_CONSOLIDATED=Y","SCALING_FORMAT=MLN","Sort=A","Dates=H","DateFormat=P","Fill=—","Direction=H","UseDPDF=Y")</f>
        <v>#NAME?</v>
      </c>
      <c r="CA444" s="2" t="e">
        <f ca="1">_xll.BDH($C$428,"BS_LT_BORROW","FQ1 2017","FQ1 2017","Currency=INR","Period=FQ","BEST_FPERIOD_OVERRIDE=FQ","FILING_STATUS=OR","EQY_CONSOLIDATED=Y","SCALING_FORMAT=MLN","Sort=A","Dates=H","DateFormat=P","Fill=—","Direction=H","UseDPDF=Y")</f>
        <v>#NAME?</v>
      </c>
      <c r="CB444" s="1" t="e">
        <f ca="1">_xll.BDH($C$428,"TOT_DEBT_TO_EBITDA","FQ1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44" s="1" t="e">
        <f ca="1">_xll.BDH($C$428,"NET_DEBT_TO_EBITDA","FQ1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44" s="1" t="e">
        <f ca="1">_xll.BDH($C$428,"TOTAL_DEBT_TO_EBIT","FQ1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44" s="1" t="e">
        <f ca="1">_xll.BDH($C$428,"NET_DEBT_TO_EBIT","FQ1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444" s="1" t="e">
        <f ca="1">_xll.BDH($C$428,"EBITDA_TO_INTEREST_EXPN","FQ1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44" s="1" t="e">
        <f ca="1">_xll.BDH($C$428,"COM_EQY_TO_TOT_ASSET","FQ1 2017","FQ1 2017","Currency=INR","Period=FQ","BEST_FPERIOD_OVERRIDE=FQ","FILING_STATUS=OR","EQY_CONSOLIDATED=Y","Sort=A","Dates=H","DateFormat=P","Fill=—","Direction=H","UseDPDF=Y")</f>
        <v>#NAME?</v>
      </c>
      <c r="CH444" s="1" t="e">
        <f ca="1">_xll.BDH($C$428,"LT_DEBT_TO_TOT_EQY","FQ1 2017","FQ1 2017","Currency=INR","Period=FQ","BEST_FPERIOD_OVERRIDE=FQ","FILING_STATUS=OR","EQY_CONSOLIDATED=Y","Sort=A","Dates=H","DateFormat=P","Fill=—","Direction=H","UseDPDF=Y")</f>
        <v>#NAME?</v>
      </c>
      <c r="CI444" s="1" t="e">
        <f ca="1">_xll.BDH($C$428,"LT_DEBT_TO_TOT_CAP","FQ1 2017","FQ1 2017","Currency=INR","Period=FQ","BEST_FPERIOD_OVERRIDE=FQ","FILING_STATUS=OR","EQY_CONSOLIDATED=Y","Sort=A","Dates=H","DateFormat=P","Fill=—","Direction=H","UseDPDF=Y")</f>
        <v>#NAME?</v>
      </c>
      <c r="CJ444" s="1" t="e">
        <f ca="1">_xll.BDH($C$428,"LT_DEBT_TO_TOT_ASSET","FQ1 2017","FQ1 2017","Currency=INR","Period=FQ","BEST_FPERIOD_OVERRIDE=FQ","FILING_STATUS=OR","EQY_CONSOLIDATED=Y","Sort=A","Dates=H","DateFormat=P","Fill=—","Direction=H","UseDPDF=Y")</f>
        <v>#NAME?</v>
      </c>
      <c r="CK444" s="1" t="e">
        <f ca="1">_xll.BDH($C$428,"TOT_DEBT_TO_TOT_EQY","FQ1 2017","FQ1 2017","Currency=INR","Period=FQ","BEST_FPERIOD_OVERRIDE=FQ","FILING_STATUS=OR","EQY_CONSOLIDATED=Y","Sort=A","Dates=H","DateFormat=P","Fill=—","Direction=H","UseDPDF=Y")</f>
        <v>#NAME?</v>
      </c>
      <c r="CL444" s="1" t="e">
        <f ca="1">_xll.BDH($C$428,"TOT_DEBT_TO_TOT_CAP","FQ1 2017","FQ1 2017","Currency=INR","Period=FQ","BEST_FPERIOD_OVERRIDE=FQ","FILING_STATUS=OR","EQY_CONSOLIDATED=Y","Sort=A","Dates=H","DateFormat=P","Fill=—","Direction=H","UseDPDF=Y")</f>
        <v>#NAME?</v>
      </c>
      <c r="CM444" s="1" t="e">
        <f ca="1">_xll.BDH($C$428,"TOT_DEBT_TO_TOT_ASSET","FQ1 2017","FQ1 2017","Currency=INR","Period=FQ","BEST_FPERIOD_OVERRIDE=FQ","FILING_STATUS=OR","EQY_CONSOLIDATED=Y","Sort=A","Dates=H","DateFormat=P","Fill=—","Direction=H","UseDPDF=Y")</f>
        <v>#NAME?</v>
      </c>
      <c r="CN444" s="1" t="e">
        <f ca="1">_xll.BDH($C$428,"NET_DEBT_TO_SHRHLDR_EQTY","FQ1 2017","FQ1 2017","Currency=INR","Period=FQ","BEST_FPERIOD_OVERRIDE=FQ","FILING_STATUS=OR","EQY_CONSOLIDATED=Y","Sort=A","Dates=H","DateFormat=P","Fill=—","Direction=H","UseDPDF=Y")</f>
        <v>#NAME?</v>
      </c>
      <c r="CO444" s="1" t="e">
        <f ca="1">_xll.BDH($C$428,"NET_DEBT_%_CAPITAL","FQ1 2017","FQ1 2017","Currency=INR","Period=FQ","BEST_FPERIOD_OVERRIDE=FQ","FILING_STATUS=OR","EQY_CONSOLIDATED=Y","Sort=A","Dates=H","DateFormat=P","Fill=—","Direction=H","UseDPDF=Y")</f>
        <v>#NAME?</v>
      </c>
      <c r="CP444" s="2" t="e">
        <f ca="1">_xll.BDH($C$428,"EBITDA","FQ1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44" s="2" t="e">
        <f ca="1">_xll.BDH($C$428,"EBITDA_AFTER_CAPEX","FQ1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44" s="2" t="e">
        <f ca="1">_xll.BDH($C$428,"IS_OPER_INC","FQ1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44" s="1" t="e">
        <f ca="1">_xll.BDH($C$428,"CASH_RATIO","FQ1 2017","FQ1 2017","Currency=INR","Period=FQ","BEST_FPERIOD_OVERRIDE=FQ","FILING_STATUS=OR","EQY_CONSOLIDATED=Y","Sort=A","Dates=H","DateFormat=P","Fill=—","Direction=H","UseDPDF=Y")</f>
        <v>#NAME?</v>
      </c>
      <c r="CT444" s="1" t="e">
        <f ca="1">_xll.BDH($C$428,"CUR_RATIO","FQ1 2017","FQ1 2017","Currency=INR","Period=FQ","BEST_FPERIOD_OVERRIDE=FQ","FILING_STATUS=OR","EQY_CONSOLIDATED=Y","Sort=A","Dates=H","DateFormat=P","Fill=—","Direction=H","UseDPDF=Y")</f>
        <v>#NAME?</v>
      </c>
      <c r="CU444" s="1" t="e">
        <f ca="1">_xll.BDH($C$428,"QUICK_RATIO","FQ1 2017","FQ1 2017","Currency=INR","Period=FQ","BEST_FPERIOD_OVERRIDE=FQ","FILING_STATUS=OR","EQY_CONSOLIDATED=Y","Sort=A","Dates=H","DateFormat=P","Fill=—","Direction=H","UseDPDF=Y")</f>
        <v>#NAME?</v>
      </c>
      <c r="CV444" s="1" t="e">
        <f ca="1">_xll.BDH($C$428,"ALTMAN_Z_SCORE","FQ1 2017","FQ1 2017","Currency=INR","Period=FQ","BEST_FPERIOD_OVERRIDE=FQ","FILING_STATUS=OR","EQY_CONSOLIDATED=Y","Sort=A","Dates=H","DateFormat=P","Fill=—","Direction=H","UseDPDF=Y")</f>
        <v>#NAME?</v>
      </c>
      <c r="CW444" s="3" t="e">
        <f ca="1">_xll.BDH($C$428,"ACCT_RCV_TURN","FQ1 2017","FQ1 2017","Currency=INR","Period=FQ","BEST_FPERIOD_OVERRIDE=FQ","FILING_STATUS=OR","EQY_CONSOLIDATED=Y","FA_ADJUSTED=GAAP","Sort=A","Dates=H","DateFormat=P","Fill=—","Direction=H","UseDPDF=Y")</f>
        <v>#NAME?</v>
      </c>
      <c r="CX444" s="1" t="e">
        <f ca="1">_xll.BDH($C$428,"ACCT_RCV_DAYS","FQ1 2017","FQ1 2017","Currency=INR","Period=FQ","BEST_FPERIOD_OVERRIDE=FQ","FILING_STATUS=OR","EQY_CONSOLIDATED=Y","FA_ADJUSTED=GAAP","Sort=A","Dates=H","DateFormat=P","Fill=—","Direction=H","UseDPDF=Y")</f>
        <v>#NAME?</v>
      </c>
      <c r="CY444" s="3" t="e">
        <f ca="1">_xll.BDH($C$428,"INVENT_TURN","FQ1 2017","FQ1 2017","Currency=INR","Period=FQ","BEST_FPERIOD_OVERRIDE=FQ","FILING_STATUS=OR","EQY_CONSOLIDATED=Y","FA_ADJUSTED=GAAP","Sort=A","Dates=H","DateFormat=P","Fill=—","Direction=H","UseDPDF=Y")</f>
        <v>#NAME?</v>
      </c>
      <c r="CZ444" s="1" t="e">
        <f ca="1">_xll.BDH($C$428,"INVENT_DAYS","FQ1 2017","FQ1 2017","Currency=INR","Period=FQ","BEST_FPERIOD_OVERRIDE=FQ","FILING_STATUS=OR","EQY_CONSOLIDATED=Y","FA_ADJUSTED=GAAP","Sort=A","Dates=H","DateFormat=P","Fill=—","Direction=H","UseDPDF=Y")</f>
        <v>#NAME?</v>
      </c>
      <c r="DA444" s="3" t="e">
        <f ca="1">_xll.BDH($C$428,"ACCOUNTS_PAYABLE_TURNOVER","FQ1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44" s="1" t="e">
        <f ca="1">_xll.BDH($C$428,"ACCOUNTS_PAYABLE_TURNOVER_DAYS","FQ1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44" s="3" t="e">
        <f ca="1">_xll.BDH($C$428,"CASH_CONVERSION_CYCLE","FQ1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44" s="3" t="e">
        <f ca="1">_xll.BDH($C$428,"INV_TO_CASH_DAYS","FQ1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444" s="4" t="e">
        <f ca="1">_xll.BDH($C$428,"BS_INVENTORIES","FQ1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444" s="2" t="e">
        <f ca="1">_xll.BDH($C$428,"INVTRY_RAW_MATERIALS","FQ1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44" s="2" t="e">
        <f ca="1">_xll.BDH($C$428,"INVTRY_IN_PROGRESS","FQ1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44" s="2" t="e">
        <f ca="1">_xll.BDH($C$428,"INVTRY_FINISHED_GOODS","FQ1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44" s="2" t="e">
        <f ca="1">_xll.BDH($C$428,"BS_OTHER_INV","FQ1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45" spans="1:113" x14ac:dyDescent="0.3">
      <c r="A445" s="6"/>
      <c r="B445" s="6"/>
      <c r="C445" s="6"/>
      <c r="D445" s="6"/>
      <c r="E445" t="s">
        <v>5</v>
      </c>
      <c r="F445" t="e">
        <f ca="1">_xll.BDH($C$428,"RETURN_COM_EQY","FQ2 2017","FQ2 2017","Currency=INR","Period=FQ","BEST_FPERIOD_OVERRIDE=FQ","FILING_STATUS=OR","EQY_CONSOLIDATED=Y","FA_ADJUSTED=GAAP","Sort=A","Dates=H","DateFormat=P","Fill=—","Direction=H","UseDPDF=Y")</f>
        <v>#NAME?</v>
      </c>
      <c r="G445" t="e">
        <f ca="1">_xll.BDH($C$428,"RETURN_ON_ASSET","FQ2 2017","FQ2 2017","Currency=INR","Period=FQ","BEST_FPERIOD_OVERRIDE=FQ","FILING_STATUS=OR","EQY_CONSOLIDATED=Y","FA_ADJUSTED=GAAP","Sort=A","Dates=H","DateFormat=P","Fill=—","Direction=H","UseDPDF=Y")</f>
        <v>#NAME?</v>
      </c>
      <c r="H445" t="e">
        <f ca="1">_xll.BDH($C$428,"RETURN_ON_CAP","FQ2 2017","FQ2 2017","Currency=INR","Period=FQ","BEST_FPERIOD_OVERRIDE=FQ","FILING_STATUS=OR","EQY_CONSOLIDATED=Y","FA_ADJUSTED=GAAP","Sort=A","Dates=H","DateFormat=P","Fill=—","Direction=H","UseDPDF=Y")</f>
        <v>#NAME?</v>
      </c>
      <c r="I445" t="e">
        <f ca="1">_xll.BDH($C$428,"RETURN_ON_INV_CAPITAL","FQ2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45" t="e">
        <f ca="1">_xll.BDH($C$428,"EBITDA_TO_REVENUE","FQ2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445" t="e">
        <f ca="1">_xll.BDH($C$428,"OPER_MARGIN","FQ2 2017","FQ2 2017","Currency=INR","Period=FQ","BEST_FPERIOD_OVERRIDE=FQ","FILING_STATUS=OR","EQY_CONSOLIDATED=Y","FA_ADJUSTED=GAAP","Sort=A","Dates=H","DateFormat=P","Fill=—","Direction=H","UseDPDF=Y")</f>
        <v>#NAME?</v>
      </c>
      <c r="L445" t="e">
        <f ca="1">_xll.BDH($C$428,"INCREMENTAL_OPERATING_MARGIN","FQ2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45" t="e">
        <f ca="1">_xll.BDH($C$428,"PRETAX_INC_TO_NET_SALES","FQ2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45" t="e">
        <f ca="1">_xll.BDH($C$428,"INC_BEF_XO_ITEMS_TO_NET_SALES","FQ2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45" t="e">
        <f ca="1">_xll.BDH($C$428,"PROF_MARGIN","FQ2 2017","FQ2 2017","Currency=INR","Period=FQ","BEST_FPERIOD_OVERRIDE=FQ","FILING_STATUS=OR","EQY_CONSOLIDATED=Y","FA_ADJUSTED=GAAP","Sort=A","Dates=H","DateFormat=P","Fill=—","Direction=H","UseDPDF=Y")</f>
        <v>#NAME?</v>
      </c>
      <c r="P445" t="e">
        <f ca="1">_xll.BDH($C$428,"NET_INCOME_TO_COMMON_MARGIN","FQ2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45" t="e">
        <f ca="1">_xll.BDH($C$428,"EFF_TAX_RATE","FQ2 2017","FQ2 2017","Currency=INR","Period=FQ","BEST_FPERIOD_OVERRIDE=FQ","FILING_STATUS=OR","EQY_CONSOLIDATED=Y","FA_ADJUSTED=GAAP","Sort=A","Dates=H","DateFormat=P","Fill=—","Direction=H","UseDPDF=Y")</f>
        <v>#NAME?</v>
      </c>
      <c r="R445" t="e">
        <f ca="1">_xll.BDH($C$428,"DVD_PAYOUT_RATIO","FQ2 2017","FQ2 2017","Currency=INR","Period=FQ","BEST_FPERIOD_OVERRIDE=FQ","FILING_STATUS=OR","EQY_CONSOLIDATED=Y","FA_ADJUSTED=GAAP","Sort=A","Dates=H","DateFormat=P","Fill=—","Direction=H","UseDPDF=Y")</f>
        <v>#NAME?</v>
      </c>
      <c r="S445" t="e">
        <f ca="1">_xll.BDH($C$428,"SUSTAIN_GROWTH_RT","FQ2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445" s="1" t="e">
        <f ca="1">_xll.BDH($C$428,"SALES_GROWTH","FQ2 2017","FQ2 2017","Currency=INR","Period=FQ","BEST_FPERIOD_OVERRIDE=FQ","FILING_STATUS=OR","EQY_CONSOLIDATED=Y","FA_ADJUSTED=GAAP","Sort=A","Dates=H","DateFormat=P","Fill=—","Direction=H","UseDPDF=Y")</f>
        <v>#NAME?</v>
      </c>
      <c r="U445" s="1" t="e">
        <f ca="1">_xll.BDH($C$428,"EBITDA_GROWTH","FQ2 2017","FQ2 2017","Currency=INR","Period=FQ","BEST_FPERIOD_OVERRIDE=FQ","FILING_STATUS=OR","EQY_CONSOLIDATED=Y","FA_ADJUSTED=GAAP","Sort=A","Dates=H","DateFormat=P","Fill=—","Direction=H","UseDPDF=Y")</f>
        <v>#NAME?</v>
      </c>
      <c r="V445" s="1" t="e">
        <f ca="1">_xll.BDH($C$428,"OPER_INC_GROWTH","FQ2 2017","FQ2 2017","Currency=INR","Period=FQ","BEST_FPERIOD_OVERRIDE=FQ","FILING_STATUS=OR","EQY_CONSOLIDATED=Y","FA_ADJUSTED=GAAP","Sort=A","Dates=H","DateFormat=P","Fill=—","Direction=H","UseDPDF=Y")</f>
        <v>#NAME?</v>
      </c>
      <c r="W445" s="1" t="e">
        <f ca="1">_xll.BDH($C$428,"EARN_FOR_COM_GROWTH","FQ2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45" s="1" t="e">
        <f ca="1">_xll.BDH($C$428,"DILUTED_EPS_AFT_XO_ITEMS_GROWTH","FQ2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45" s="1" t="e">
        <f ca="1">_xll.BDH($C$428,"DIVIDEND_PER_SHARE_1_YEAR_GROWTH","FQ2 2017","FQ2 2017","Currency=INR","Period=FQ","BEST_FPERIOD_OVERRIDE=FQ","FILING_STATUS=OR","EQY_CONSOLIDATED=Y","Sort=A","Dates=H","DateFormat=P","Fill=—","Direction=H","UseDPDF=Y")</f>
        <v>#NAME?</v>
      </c>
      <c r="Z445" s="1" t="e">
        <f ca="1">_xll.BDH($C$428,"ACCOUNTS_RECEIVABLE_GROWTH","FQ2 2017","FQ2 2017","Currency=INR","Period=FQ","BEST_FPERIOD_OVERRIDE=FQ","FILING_STATUS=OR","EQY_CONSOLIDATED=Y","Sort=A","Dates=H","DateFormat=P","Fill=—","Direction=H","UseDPDF=Y")</f>
        <v>#NAME?</v>
      </c>
      <c r="AA445" s="1" t="e">
        <f ca="1">_xll.BDH($C$428,"INVENTORY_GROWTH","FQ2 2017","FQ2 2017","Currency=INR","Period=FQ","BEST_FPERIOD_OVERRIDE=FQ","FILING_STATUS=OR","EQY_CONSOLIDATED=Y","Sort=A","Dates=H","DateFormat=P","Fill=—","Direction=H","UseDPDF=Y")</f>
        <v>#NAME?</v>
      </c>
      <c r="AB445" s="1" t="e">
        <f ca="1">_xll.BDH($C$428,"NET_FIXED_ASSETS_1_YEAR_GROWTH","FQ2 2017","FQ2 2017","Currency=INR","Period=FQ","BEST_FPERIOD_OVERRIDE=FQ","FILING_STATUS=OR","EQY_CONSOLIDATED=Y","Sort=A","Dates=H","DateFormat=P","Fill=—","Direction=H","UseDPDF=Y")</f>
        <v>#NAME?</v>
      </c>
      <c r="AC445" s="1" t="e">
        <f ca="1">_xll.BDH($C$428,"ASSET_GROWTH","FQ2 2017","FQ2 2017","Currency=INR","Period=FQ","BEST_FPERIOD_OVERRIDE=FQ","FILING_STATUS=OR","EQY_CONSOLIDATED=Y","Sort=A","Dates=H","DateFormat=P","Fill=—","Direction=H","UseDPDF=Y")</f>
        <v>#NAME?</v>
      </c>
      <c r="AD445" s="1" t="e">
        <f ca="1">_xll.BDH($C$428,"MODIFIED_WORK_CAP_GROWTH","FQ2 2017","FQ2 2017","Currency=INR","Period=FQ","BEST_FPERIOD_OVERRIDE=FQ","FILING_STATUS=OR","EQY_CONSOLIDATED=Y","Sort=A","Dates=H","DateFormat=P","Fill=—","Direction=H","UseDPDF=Y")</f>
        <v>#NAME?</v>
      </c>
      <c r="AE445" s="1" t="e">
        <f ca="1">_xll.BDH($C$428,"WORK_CAP_GROWTH","FQ2 2017","FQ2 2017","Currency=INR","Period=FQ","BEST_FPERIOD_OVERRIDE=FQ","FILING_STATUS=OR","EQY_CONSOLIDATED=Y","Sort=A","Dates=H","DateFormat=P","Fill=—","Direction=H","UseDPDF=Y")</f>
        <v>#NAME?</v>
      </c>
      <c r="AF445" s="1" t="e">
        <f ca="1">_xll.BDH($C$428,"ACCOUNTS_PAYABLE_GROWTH_1YR","FQ2 2017","FQ2 2017","Currency=INR","Period=FQ","BEST_FPERIOD_OVERRIDE=FQ","FILING_STATUS=OR","EQY_CONSOLIDATED=Y","Sort=A","Dates=H","DateFormat=P","Fill=—","Direction=H","UseDPDF=Y")</f>
        <v>#NAME?</v>
      </c>
      <c r="AG445" s="1" t="e">
        <f ca="1">_xll.BDH($C$428,"SHORT_TERM_DEBT_1_YEAR_GROWTH","FQ2 2017","FQ2 2017","Currency=INR","Period=FQ","BEST_FPERIOD_OVERRIDE=FQ","FILING_STATUS=OR","EQY_CONSOLIDATED=Y","Sort=A","Dates=H","DateFormat=P","Fill=—","Direction=H","UseDPDF=Y")</f>
        <v>#NAME?</v>
      </c>
      <c r="AH445" s="1" t="e">
        <f ca="1">_xll.BDH($C$428,"TOTAL_DEBT_1_YEAR_GROWTH","FQ2 2017","FQ2 2017","Currency=INR","Period=FQ","BEST_FPERIOD_OVERRIDE=FQ","FILING_STATUS=OR","EQY_CONSOLIDATED=Y","Sort=A","Dates=H","DateFormat=P","Fill=—","Direction=H","UseDPDF=Y")</f>
        <v>#NAME?</v>
      </c>
      <c r="AI445" s="1" t="e">
        <f ca="1">_xll.BDH($C$428,"TOTAL_EQUITY_1_YEAR_GROWTH","FQ2 2017","FQ2 2017","Currency=INR","Period=FQ","BEST_FPERIOD_OVERRIDE=FQ","FILING_STATUS=OR","EQY_CONSOLIDATED=Y","Sort=A","Dates=H","DateFormat=P","Fill=—","Direction=H","UseDPDF=Y")</f>
        <v>#NAME?</v>
      </c>
      <c r="AJ445" s="1" t="e">
        <f ca="1">_xll.BDH($C$428,"GROWTH_IN_CAP","FQ2 2017","FQ2 2017","Currency=INR","Period=FQ","BEST_FPERIOD_OVERRIDE=FQ","FILING_STATUS=OR","EQY_CONSOLIDATED=Y","Sort=A","Dates=H","DateFormat=P","Fill=—","Direction=H","UseDPDF=Y")</f>
        <v>#NAME?</v>
      </c>
      <c r="AK445" s="1" t="e">
        <f ca="1">_xll.BDH($C$428,"BVPS_GROWTH","FQ2 2017","FQ2 2017","Currency=INR","Period=FQ","BEST_FPERIOD_OVERRIDE=FQ","FILING_STATUS=OR","EQY_CONSOLIDATED=Y","Sort=A","Dates=H","DateFormat=P","Fill=—","Direction=H","UseDPDF=Y")</f>
        <v>#NAME?</v>
      </c>
      <c r="AL445" s="1" t="e">
        <f ca="1">_xll.BDH($C$428,"CASH_FLOW_GROWTH","FQ2 2017","FQ2 2017","Currency=INR","Period=FQ","BEST_FPERIOD_OVERRIDE=FQ","FILING_STATUS=OR","EQY_CONSOLIDATED=Y","Sort=A","Dates=H","DateFormat=P","Fill=—","Direction=H","UseDPDF=Y")</f>
        <v>#NAME?</v>
      </c>
      <c r="AM445" s="1" t="e">
        <f ca="1">_xll.BDH($C$428,"GEO_GROW_NET_SALES","FQ2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45" s="1" t="e">
        <f ca="1">_xll.BDH($C$428,"GEO_GROW_EBITDA","FQ2 2017","FQ2 2017","Currency=INR","Period=FQ","BEST_FPERIOD_OVERRIDE=FQ","FILING_STATUS=OR","EQY_CONSOLIDATED=Y","FA_ADJUSTED=GAAP","Sort=A","Dates=H","DateFormat=P","Fill=—","Direction=H","UseDPDF=Y")</f>
        <v>#NAME?</v>
      </c>
      <c r="AO445" s="1" t="e">
        <f ca="1">_xll.BDH($C$428,"GEO_GROW_OPER_INC","FQ2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45" s="1" t="e">
        <f ca="1">_xll.BDH($C$428,"NET_INCOME_TO_COMMON_5_YR_GROWTH","FQ2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45" s="1" t="e">
        <f ca="1">_xll.BDH($C$428,"5Y_GEO_GROWTH_DILUTED_EPS","FQ2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45" s="1" t="e">
        <f ca="1">_xll.BDH($C$428,"GEO_GROW_DVD_PER_SH","FQ2 2017","FQ2 2017","Currency=INR","Period=FQ","BEST_FPERIOD_OVERRIDE=FQ","FILING_STATUS=OR","EQY_CONSOLIDATED=Y","Sort=A","Dates=H","DateFormat=P","Fill=—","Direction=H","UseDPDF=Y")</f>
        <v>#NAME?</v>
      </c>
      <c r="AS445" s="1" t="e">
        <f ca="1">_xll.BDH($C$428,"ACCOUNTS_RECEIVABLE_5_YR_GROWTH","FQ2 2017","FQ2 2017","Currency=INR","Period=FQ","BEST_FPERIOD_OVERRIDE=FQ","FILING_STATUS=OR","EQY_CONSOLIDATED=Y","Sort=A","Dates=H","DateFormat=P","Fill=—","Direction=H","UseDPDF=Y")</f>
        <v>#NAME?</v>
      </c>
      <c r="AT445" s="1" t="e">
        <f ca="1">_xll.BDH($C$428,"INVENTORY_5_YEAR_GROWTH","FQ2 2017","FQ2 2017","Currency=INR","Period=FQ","BEST_FPERIOD_OVERRIDE=FQ","FILING_STATUS=OR","EQY_CONSOLIDATED=Y","Sort=A","Dates=H","DateFormat=P","Fill=—","Direction=H","UseDPDF=Y")</f>
        <v>#NAME?</v>
      </c>
      <c r="AU445" s="1" t="e">
        <f ca="1">_xll.BDH($C$428,"NET_FIXED_ASSETS_5_YEAR_GROWTH","FQ2 2017","FQ2 2017","Currency=INR","Period=FQ","BEST_FPERIOD_OVERRIDE=FQ","FILING_STATUS=OR","EQY_CONSOLIDATED=Y","Sort=A","Dates=H","DateFormat=P","Fill=—","Direction=H","UseDPDF=Y")</f>
        <v>#NAME?</v>
      </c>
      <c r="AV445" s="1" t="e">
        <f ca="1">_xll.BDH($C$428,"GEO_GROW_TOT_ASSET","FQ2 2017","FQ2 2017","Currency=INR","Period=FQ","BEST_FPERIOD_OVERRIDE=FQ","FILING_STATUS=OR","EQY_CONSOLIDATED=Y","Sort=A","Dates=H","DateFormat=P","Fill=—","Direction=H","UseDPDF=Y")</f>
        <v>#NAME?</v>
      </c>
      <c r="AW445" s="1" t="e">
        <f ca="1">_xll.BDH($C$428,"MODIFIED_WORKING_CPTL_5YR_GRWTH","FQ2 2017","FQ2 2017","Currency=INR","Period=FQ","BEST_FPERIOD_OVERRIDE=FQ","FILING_STATUS=OR","EQY_CONSOLIDATED=Y","Sort=A","Dates=H","DateFormat=P","Fill=—","Direction=H","UseDPDF=Y")</f>
        <v>#NAME?</v>
      </c>
      <c r="AX445" s="1" t="e">
        <f ca="1">_xll.BDH($C$428,"WORKING_CAPITAL_5_YEAR_GROWTH","FQ2 2017","FQ2 2017","Currency=INR","Period=FQ","BEST_FPERIOD_OVERRIDE=FQ","FILING_STATUS=OR","EQY_CONSOLIDATED=Y","Sort=A","Dates=H","DateFormat=P","Fill=—","Direction=H","UseDPDF=Y")</f>
        <v>#NAME?</v>
      </c>
      <c r="AY445" s="1" t="e">
        <f ca="1">_xll.BDH($C$428,"ACCOUNTS_PAYABLE_5_YEAR_GROWTH","FQ2 2017","FQ2 2017","Currency=INR","Period=FQ","BEST_FPERIOD_OVERRIDE=FQ","FILING_STATUS=OR","EQY_CONSOLIDATED=Y","Sort=A","Dates=H","DateFormat=P","Fill=—","Direction=H","UseDPDF=Y")</f>
        <v>#NAME?</v>
      </c>
      <c r="AZ445" s="1" t="e">
        <f ca="1">_xll.BDH($C$428,"SHORT_TERM_DEBT_5_YEAR_GROWTH","FQ2 2017","FQ2 2017","Currency=INR","Period=FQ","BEST_FPERIOD_OVERRIDE=FQ","FILING_STATUS=OR","EQY_CONSOLIDATED=Y","Sort=A","Dates=H","DateFormat=P","Fill=—","Direction=H","UseDPDF=Y")</f>
        <v>#NAME?</v>
      </c>
      <c r="BA445" s="1" t="e">
        <f ca="1">_xll.BDH($C$428,"TOTAL_DEBT_5_YEAR_GROWTH","FQ2 2017","FQ2 2017","Currency=INR","Period=FQ","BEST_FPERIOD_OVERRIDE=FQ","FILING_STATUS=OR","EQY_CONSOLIDATED=Y","Sort=A","Dates=H","DateFormat=P","Fill=—","Direction=H","UseDPDF=Y")</f>
        <v>#NAME?</v>
      </c>
      <c r="BB445" s="1" t="e">
        <f ca="1">_xll.BDH($C$428,"GEO_GROW_TOT_SHRHLDR_EQY","FQ2 2017","FQ2 2017","Currency=INR","Period=FQ","BEST_FPERIOD_OVERRIDE=FQ","FILING_STATUS=OR","EQY_CONSOLIDATED=Y","Sort=A","Dates=H","DateFormat=P","Fill=—","Direction=H","UseDPDF=Y")</f>
        <v>#NAME?</v>
      </c>
      <c r="BC445" s="1" t="e">
        <f ca="1">_xll.BDH($C$428,"TOTAL_CAPITAL_5_YEAR_GROWTH","FQ2 2017","FQ2 2017","Currency=INR","Period=FQ","BEST_FPERIOD_OVERRIDE=FQ","FILING_STATUS=OR","EQY_CONSOLIDATED=Y","Sort=A","Dates=H","DateFormat=P","Fill=—","Direction=H","UseDPDF=Y")</f>
        <v>#NAME?</v>
      </c>
      <c r="BD445" s="1" t="e">
        <f ca="1">_xll.BDH($C$428,"GEO_GROW_BOOK_VAL","FQ2 2017","FQ2 2017","Currency=INR","Period=FQ","BEST_FPERIOD_OVERRIDE=FQ","FILING_STATUS=OR","EQY_CONSOLIDATED=Y","Sort=A","Dates=H","DateFormat=P","Fill=—","Direction=H","UseDPDF=Y")</f>
        <v>#NAME?</v>
      </c>
      <c r="BE445" s="1" t="e">
        <f ca="1">_xll.BDH($C$428,"GEO_GROW_CASH_OPER_ACT","FQ2 2017","FQ2 2017","Currency=INR","Period=FQ","BEST_FPERIOD_OVERRIDE=FQ","FILING_STATUS=OR","EQY_CONSOLIDATED=Y","Sort=A","Dates=H","DateFormat=P","Fill=—","Direction=H","UseDPDF=Y")</f>
        <v>#NAME?</v>
      </c>
      <c r="BF445" s="1" t="e">
        <f ca="1">_xll.BDH($C$428,"REVENUE_SEQUENTIAL_GROWTH","FQ2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45" s="1" t="e">
        <f ca="1">_xll.BDH($C$428,"EBITDA_SEQUENTIAL_GROWTH","FQ2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45" s="1" t="e">
        <f ca="1">_xll.BDH($C$428,"OPERATING_INCOME_SEQ_GROWTH","FQ2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45" s="1" t="e">
        <f ca="1">_xll.BDH($C$428,"NET_INCOME_TO_COMMON_SEQ_GROWTH","FQ2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45" s="1" t="e">
        <f ca="1">_xll.BDH($C$428,"EPS_DILUTED_SEQUENTIAL_GROWTH","FQ2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45" s="1" t="e">
        <f ca="1">_xll.BDH($C$428,"DPS_SEQUENTIAL_GROWTH","FQ2 2017","FQ2 2017","Currency=INR","Period=FQ","BEST_FPERIOD_OVERRIDE=FQ","FILING_STATUS=OR","EQY_CONSOLIDATED=Y","Sort=A","Dates=H","DateFormat=P","Fill=—","Direction=H","UseDPDF=Y")</f>
        <v>#NAME?</v>
      </c>
      <c r="BL445" s="1" t="e">
        <f ca="1">_xll.BDH($C$428,"ACCOUNTS_RECEIVABLE_SEQ_GROWTH","FQ2 2017","FQ2 2017","Currency=INR","Period=FQ","BEST_FPERIOD_OVERRIDE=FQ","FILING_STATUS=OR","EQY_CONSOLIDATED=Y","Sort=A","Dates=H","DateFormat=P","Fill=—","Direction=H","UseDPDF=Y")</f>
        <v>#NAME?</v>
      </c>
      <c r="BM445" s="1" t="e">
        <f ca="1">_xll.BDH($C$428,"INVENTORY_SEQUENTIAL_GROWTH","FQ2 2017","FQ2 2017","Currency=INR","Period=FQ","BEST_FPERIOD_OVERRIDE=FQ","FILING_STATUS=OR","EQY_CONSOLIDATED=Y","Sort=A","Dates=H","DateFormat=P","Fill=—","Direction=H","UseDPDF=Y")</f>
        <v>#NAME?</v>
      </c>
      <c r="BN445" s="1" t="e">
        <f ca="1">_xll.BDH($C$428,"FIXED_ASSETS_SEQUENTIAL_GROWTH","FQ2 2017","FQ2 2017","Currency=INR","Period=FQ","BEST_FPERIOD_OVERRIDE=FQ","FILING_STATUS=OR","EQY_CONSOLIDATED=Y","Sort=A","Dates=H","DateFormat=P","Fill=—","Direction=H","UseDPDF=Y")</f>
        <v>#NAME?</v>
      </c>
      <c r="BO445" s="1" t="e">
        <f ca="1">_xll.BDH($C$428,"TOTAL_ASSETS_SEQUENTIAL_GROWTH","FQ2 2017","FQ2 2017","Currency=INR","Period=FQ","BEST_FPERIOD_OVERRIDE=FQ","FILING_STATUS=OR","EQY_CONSOLIDATED=Y","Sort=A","Dates=H","DateFormat=P","Fill=—","Direction=H","UseDPDF=Y")</f>
        <v>#NAME?</v>
      </c>
      <c r="BP445" s="1" t="e">
        <f ca="1">_xll.BDH($C$428,"MODIFIED_WORKING_CPTL_SEQ_GRWTH","FQ2 2017","FQ2 2017","Currency=INR","Period=FQ","BEST_FPERIOD_OVERRIDE=FQ","FILING_STATUS=OR","EQY_CONSOLIDATED=Y","Sort=A","Dates=H","DateFormat=P","Fill=—","Direction=H","UseDPDF=Y")</f>
        <v>#NAME?</v>
      </c>
      <c r="BQ445" s="1" t="e">
        <f ca="1">_xll.BDH($C$428,"WORKING_CAPITAL_SEQ_GROWTH","FQ2 2017","FQ2 2017","Currency=INR","Period=FQ","BEST_FPERIOD_OVERRIDE=FQ","FILING_STATUS=OR","EQY_CONSOLIDATED=Y","Sort=A","Dates=H","DateFormat=P","Fill=—","Direction=H","UseDPDF=Y")</f>
        <v>#NAME?</v>
      </c>
      <c r="BR445" s="1" t="e">
        <f ca="1">_xll.BDH($C$428,"ACCOUNTS_PAYABLE_SEQ_GROWTH","FQ2 2017","FQ2 2017","Currency=INR","Period=FQ","BEST_FPERIOD_OVERRIDE=FQ","FILING_STATUS=OR","EQY_CONSOLIDATED=Y","Sort=A","Dates=H","DateFormat=P","Fill=—","Direction=H","UseDPDF=Y")</f>
        <v>#NAME?</v>
      </c>
      <c r="BS445" s="1" t="e">
        <f ca="1">_xll.BDH($C$428,"ST_DEBT_SEQUENTIAL_GROWTH","FQ2 2017","FQ2 2017","Currency=INR","Period=FQ","BEST_FPERIOD_OVERRIDE=FQ","FILING_STATUS=OR","EQY_CONSOLIDATED=Y","Sort=A","Dates=H","DateFormat=P","Fill=—","Direction=H","UseDPDF=Y")</f>
        <v>#NAME?</v>
      </c>
      <c r="BT445" s="1" t="e">
        <f ca="1">_xll.BDH($C$428,"TOTAL_DEBT_SEQUENTIAL_GROWTH","FQ2 2017","FQ2 2017","Currency=INR","Period=FQ","BEST_FPERIOD_OVERRIDE=FQ","FILING_STATUS=OR","EQY_CONSOLIDATED=Y","Sort=A","Dates=H","DateFormat=P","Fill=—","Direction=H","UseDPDF=Y")</f>
        <v>#NAME?</v>
      </c>
      <c r="BU445" s="1" t="e">
        <f ca="1">_xll.BDH($C$428,"TOTAL_EQUITY_SEQUENTIAL_GROWTH","FQ2 2017","FQ2 2017","Currency=INR","Period=FQ","BEST_FPERIOD_OVERRIDE=FQ","FILING_STATUS=OR","EQY_CONSOLIDATED=Y","Sort=A","Dates=H","DateFormat=P","Fill=—","Direction=H","UseDPDF=Y")</f>
        <v>#NAME?</v>
      </c>
      <c r="BV445" s="1" t="e">
        <f ca="1">_xll.BDH($C$428,"TOTAL_CAPITAL_SEQUENTIAL_GROWTH","FQ2 2017","FQ2 2017","Currency=INR","Period=FQ","BEST_FPERIOD_OVERRIDE=FQ","FILING_STATUS=OR","EQY_CONSOLIDATED=Y","Sort=A","Dates=H","DateFormat=P","Fill=—","Direction=H","UseDPDF=Y")</f>
        <v>#NAME?</v>
      </c>
      <c r="BW445" s="1" t="e">
        <f ca="1">_xll.BDH($C$428,"BPS_SEQUENTIAL_GROWTH","FQ2 2017","FQ2 2017","Currency=INR","Period=FQ","BEST_FPERIOD_OVERRIDE=FQ","FILING_STATUS=OR","EQY_CONSOLIDATED=Y","Sort=A","Dates=H","DateFormat=P","Fill=—","Direction=H","UseDPDF=Y")</f>
        <v>#NAME?</v>
      </c>
      <c r="BX445" s="1" t="e">
        <f ca="1">_xll.BDH($C$428,"CFO_SEQUENTIAL_GROWTH","FQ2 2017","FQ2 2017","Currency=INR","Period=FQ","BEST_FPERIOD_OVERRIDE=FQ","FILING_STATUS=OR","EQY_CONSOLIDATED=Y","Sort=A","Dates=H","DateFormat=P","Fill=—","Direction=H","UseDPDF=Y")</f>
        <v>#NAME?</v>
      </c>
      <c r="BY445" s="2" t="e">
        <f ca="1">_xll.BDH($C$428,"SHORT_AND_LONG_TERM_DEBT","FQ2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45" s="2" t="e">
        <f ca="1">_xll.BDH($C$428,"BS_ST_BORROW","FQ2 2017","FQ2 2017","Currency=INR","Period=FQ","BEST_FPERIOD_OVERRIDE=FQ","FILING_STATUS=OR","EQY_CONSOLIDATED=Y","SCALING_FORMAT=MLN","Sort=A","Dates=H","DateFormat=P","Fill=—","Direction=H","UseDPDF=Y")</f>
        <v>#NAME?</v>
      </c>
      <c r="CA445" s="2" t="e">
        <f ca="1">_xll.BDH($C$428,"BS_LT_BORROW","FQ2 2017","FQ2 2017","Currency=INR","Period=FQ","BEST_FPERIOD_OVERRIDE=FQ","FILING_STATUS=OR","EQY_CONSOLIDATED=Y","SCALING_FORMAT=MLN","Sort=A","Dates=H","DateFormat=P","Fill=—","Direction=H","UseDPDF=Y")</f>
        <v>#NAME?</v>
      </c>
      <c r="CB445" s="1" t="e">
        <f ca="1">_xll.BDH($C$428,"TOT_DEBT_TO_EBITDA","FQ2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45" s="1" t="e">
        <f ca="1">_xll.BDH($C$428,"NET_DEBT_TO_EBITDA","FQ2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45" s="1" t="e">
        <f ca="1">_xll.BDH($C$428,"TOTAL_DEBT_TO_EBIT","FQ2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45" s="1" t="e">
        <f ca="1">_xll.BDH($C$428,"NET_DEBT_TO_EBIT","FQ2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445" s="1" t="e">
        <f ca="1">_xll.BDH($C$428,"EBITDA_TO_INTEREST_EXPN","FQ2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45" s="1" t="e">
        <f ca="1">_xll.BDH($C$428,"COM_EQY_TO_TOT_ASSET","FQ2 2017","FQ2 2017","Currency=INR","Period=FQ","BEST_FPERIOD_OVERRIDE=FQ","FILING_STATUS=OR","EQY_CONSOLIDATED=Y","Sort=A","Dates=H","DateFormat=P","Fill=—","Direction=H","UseDPDF=Y")</f>
        <v>#NAME?</v>
      </c>
      <c r="CH445" s="1" t="e">
        <f ca="1">_xll.BDH($C$428,"LT_DEBT_TO_TOT_EQY","FQ2 2017","FQ2 2017","Currency=INR","Period=FQ","BEST_FPERIOD_OVERRIDE=FQ","FILING_STATUS=OR","EQY_CONSOLIDATED=Y","Sort=A","Dates=H","DateFormat=P","Fill=—","Direction=H","UseDPDF=Y")</f>
        <v>#NAME?</v>
      </c>
      <c r="CI445" s="1" t="e">
        <f ca="1">_xll.BDH($C$428,"LT_DEBT_TO_TOT_CAP","FQ2 2017","FQ2 2017","Currency=INR","Period=FQ","BEST_FPERIOD_OVERRIDE=FQ","FILING_STATUS=OR","EQY_CONSOLIDATED=Y","Sort=A","Dates=H","DateFormat=P","Fill=—","Direction=H","UseDPDF=Y")</f>
        <v>#NAME?</v>
      </c>
      <c r="CJ445" s="1" t="e">
        <f ca="1">_xll.BDH($C$428,"LT_DEBT_TO_TOT_ASSET","FQ2 2017","FQ2 2017","Currency=INR","Period=FQ","BEST_FPERIOD_OVERRIDE=FQ","FILING_STATUS=OR","EQY_CONSOLIDATED=Y","Sort=A","Dates=H","DateFormat=P","Fill=—","Direction=H","UseDPDF=Y")</f>
        <v>#NAME?</v>
      </c>
      <c r="CK445" s="1" t="e">
        <f ca="1">_xll.BDH($C$428,"TOT_DEBT_TO_TOT_EQY","FQ2 2017","FQ2 2017","Currency=INR","Period=FQ","BEST_FPERIOD_OVERRIDE=FQ","FILING_STATUS=OR","EQY_CONSOLIDATED=Y","Sort=A","Dates=H","DateFormat=P","Fill=—","Direction=H","UseDPDF=Y")</f>
        <v>#NAME?</v>
      </c>
      <c r="CL445" s="1" t="e">
        <f ca="1">_xll.BDH($C$428,"TOT_DEBT_TO_TOT_CAP","FQ2 2017","FQ2 2017","Currency=INR","Period=FQ","BEST_FPERIOD_OVERRIDE=FQ","FILING_STATUS=OR","EQY_CONSOLIDATED=Y","Sort=A","Dates=H","DateFormat=P","Fill=—","Direction=H","UseDPDF=Y")</f>
        <v>#NAME?</v>
      </c>
      <c r="CM445" s="1" t="e">
        <f ca="1">_xll.BDH($C$428,"TOT_DEBT_TO_TOT_ASSET","FQ2 2017","FQ2 2017","Currency=INR","Period=FQ","BEST_FPERIOD_OVERRIDE=FQ","FILING_STATUS=OR","EQY_CONSOLIDATED=Y","Sort=A","Dates=H","DateFormat=P","Fill=—","Direction=H","UseDPDF=Y")</f>
        <v>#NAME?</v>
      </c>
      <c r="CN445" s="1" t="e">
        <f ca="1">_xll.BDH($C$428,"NET_DEBT_TO_SHRHLDR_EQTY","FQ2 2017","FQ2 2017","Currency=INR","Period=FQ","BEST_FPERIOD_OVERRIDE=FQ","FILING_STATUS=OR","EQY_CONSOLIDATED=Y","Sort=A","Dates=H","DateFormat=P","Fill=—","Direction=H","UseDPDF=Y")</f>
        <v>#NAME?</v>
      </c>
      <c r="CO445" s="1" t="e">
        <f ca="1">_xll.BDH($C$428,"NET_DEBT_%_CAPITAL","FQ2 2017","FQ2 2017","Currency=INR","Period=FQ","BEST_FPERIOD_OVERRIDE=FQ","FILING_STATUS=OR","EQY_CONSOLIDATED=Y","Sort=A","Dates=H","DateFormat=P","Fill=—","Direction=H","UseDPDF=Y")</f>
        <v>#NAME?</v>
      </c>
      <c r="CP445" s="2" t="e">
        <f ca="1">_xll.BDH($C$428,"EBITDA","FQ2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45" s="2" t="e">
        <f ca="1">_xll.BDH($C$428,"EBITDA_AFTER_CAPEX","FQ2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45" s="2" t="e">
        <f ca="1">_xll.BDH($C$428,"IS_OPER_INC","FQ2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45" s="1" t="e">
        <f ca="1">_xll.BDH($C$428,"CASH_RATIO","FQ2 2017","FQ2 2017","Currency=INR","Period=FQ","BEST_FPERIOD_OVERRIDE=FQ","FILING_STATUS=OR","EQY_CONSOLIDATED=Y","Sort=A","Dates=H","DateFormat=P","Fill=—","Direction=H","UseDPDF=Y")</f>
        <v>#NAME?</v>
      </c>
      <c r="CT445" s="1" t="e">
        <f ca="1">_xll.BDH($C$428,"CUR_RATIO","FQ2 2017","FQ2 2017","Currency=INR","Period=FQ","BEST_FPERIOD_OVERRIDE=FQ","FILING_STATUS=OR","EQY_CONSOLIDATED=Y","Sort=A","Dates=H","DateFormat=P","Fill=—","Direction=H","UseDPDF=Y")</f>
        <v>#NAME?</v>
      </c>
      <c r="CU445" s="1" t="e">
        <f ca="1">_xll.BDH($C$428,"QUICK_RATIO","FQ2 2017","FQ2 2017","Currency=INR","Period=FQ","BEST_FPERIOD_OVERRIDE=FQ","FILING_STATUS=OR","EQY_CONSOLIDATED=Y","Sort=A","Dates=H","DateFormat=P","Fill=—","Direction=H","UseDPDF=Y")</f>
        <v>#NAME?</v>
      </c>
      <c r="CV445" s="1" t="e">
        <f ca="1">_xll.BDH($C$428,"ALTMAN_Z_SCORE","FQ2 2017","FQ2 2017","Currency=INR","Period=FQ","BEST_FPERIOD_OVERRIDE=FQ","FILING_STATUS=OR","EQY_CONSOLIDATED=Y","Sort=A","Dates=H","DateFormat=P","Fill=—","Direction=H","UseDPDF=Y")</f>
        <v>#NAME?</v>
      </c>
      <c r="CW445" s="3" t="e">
        <f ca="1">_xll.BDH($C$428,"ACCT_RCV_TURN","FQ2 2017","FQ2 2017","Currency=INR","Period=FQ","BEST_FPERIOD_OVERRIDE=FQ","FILING_STATUS=OR","EQY_CONSOLIDATED=Y","FA_ADJUSTED=GAAP","Sort=A","Dates=H","DateFormat=P","Fill=—","Direction=H","UseDPDF=Y")</f>
        <v>#NAME?</v>
      </c>
      <c r="CX445" s="1" t="e">
        <f ca="1">_xll.BDH($C$428,"ACCT_RCV_DAYS","FQ2 2017","FQ2 2017","Currency=INR","Period=FQ","BEST_FPERIOD_OVERRIDE=FQ","FILING_STATUS=OR","EQY_CONSOLIDATED=Y","FA_ADJUSTED=GAAP","Sort=A","Dates=H","DateFormat=P","Fill=—","Direction=H","UseDPDF=Y")</f>
        <v>#NAME?</v>
      </c>
      <c r="CY445" s="3" t="e">
        <f ca="1">_xll.BDH($C$428,"INVENT_TURN","FQ2 2017","FQ2 2017","Currency=INR","Period=FQ","BEST_FPERIOD_OVERRIDE=FQ","FILING_STATUS=OR","EQY_CONSOLIDATED=Y","FA_ADJUSTED=GAAP","Sort=A","Dates=H","DateFormat=P","Fill=—","Direction=H","UseDPDF=Y")</f>
        <v>#NAME?</v>
      </c>
      <c r="CZ445" s="1" t="e">
        <f ca="1">_xll.BDH($C$428,"INVENT_DAYS","FQ2 2017","FQ2 2017","Currency=INR","Period=FQ","BEST_FPERIOD_OVERRIDE=FQ","FILING_STATUS=OR","EQY_CONSOLIDATED=Y","FA_ADJUSTED=GAAP","Sort=A","Dates=H","DateFormat=P","Fill=—","Direction=H","UseDPDF=Y")</f>
        <v>#NAME?</v>
      </c>
      <c r="DA445" s="3" t="e">
        <f ca="1">_xll.BDH($C$428,"ACCOUNTS_PAYABLE_TURNOVER","FQ2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45" s="1" t="e">
        <f ca="1">_xll.BDH($C$428,"ACCOUNTS_PAYABLE_TURNOVER_DAYS","FQ2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45" s="3" t="e">
        <f ca="1">_xll.BDH($C$428,"CASH_CONVERSION_CYCLE","FQ2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45" s="3" t="e">
        <f ca="1">_xll.BDH($C$428,"INV_TO_CASH_DAYS","FQ2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445" s="4" t="e">
        <f ca="1">_xll.BDH($C$428,"BS_INVENTORIES","FQ2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445" s="2" t="e">
        <f ca="1">_xll.BDH($C$428,"INVTRY_RAW_MATERIALS","FQ2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45" s="2" t="e">
        <f ca="1">_xll.BDH($C$428,"INVTRY_IN_PROGRESS","FQ2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45" s="2" t="e">
        <f ca="1">_xll.BDH($C$428,"INVTRY_FINISHED_GOODS","FQ2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45" s="2" t="e">
        <f ca="1">_xll.BDH($C$428,"BS_OTHER_INV","FQ2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46" spans="1:113" x14ac:dyDescent="0.3">
      <c r="A446" s="6"/>
      <c r="B446" s="6"/>
      <c r="C446" s="6"/>
      <c r="D446" s="6"/>
      <c r="E446" t="s">
        <v>6</v>
      </c>
      <c r="F446" t="e">
        <f ca="1">_xll.BDH($C$428,"RETURN_COM_EQY","FQ3 2017","FQ3 2017","Currency=INR","Period=FQ","BEST_FPERIOD_OVERRIDE=FQ","FILING_STATUS=OR","EQY_CONSOLIDATED=Y","FA_ADJUSTED=GAAP","Sort=A","Dates=H","DateFormat=P","Fill=—","Direction=H","UseDPDF=Y")</f>
        <v>#NAME?</v>
      </c>
      <c r="G446" t="e">
        <f ca="1">_xll.BDH($C$428,"RETURN_ON_ASSET","FQ3 2017","FQ3 2017","Currency=INR","Period=FQ","BEST_FPERIOD_OVERRIDE=FQ","FILING_STATUS=OR","EQY_CONSOLIDATED=Y","FA_ADJUSTED=GAAP","Sort=A","Dates=H","DateFormat=P","Fill=—","Direction=H","UseDPDF=Y")</f>
        <v>#NAME?</v>
      </c>
      <c r="H446" t="e">
        <f ca="1">_xll.BDH($C$428,"RETURN_ON_CAP","FQ3 2017","FQ3 2017","Currency=INR","Period=FQ","BEST_FPERIOD_OVERRIDE=FQ","FILING_STATUS=OR","EQY_CONSOLIDATED=Y","FA_ADJUSTED=GAAP","Sort=A","Dates=H","DateFormat=P","Fill=—","Direction=H","UseDPDF=Y")</f>
        <v>#NAME?</v>
      </c>
      <c r="I446" t="e">
        <f ca="1">_xll.BDH($C$428,"RETURN_ON_INV_CAPITAL","FQ3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46" t="e">
        <f ca="1">_xll.BDH($C$428,"EBITDA_TO_REVENUE","FQ3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446" t="e">
        <f ca="1">_xll.BDH($C$428,"OPER_MARGIN","FQ3 2017","FQ3 2017","Currency=INR","Period=FQ","BEST_FPERIOD_OVERRIDE=FQ","FILING_STATUS=OR","EQY_CONSOLIDATED=Y","FA_ADJUSTED=GAAP","Sort=A","Dates=H","DateFormat=P","Fill=—","Direction=H","UseDPDF=Y")</f>
        <v>#NAME?</v>
      </c>
      <c r="L446" t="e">
        <f ca="1">_xll.BDH($C$428,"INCREMENTAL_OPERATING_MARGIN","FQ3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46" t="e">
        <f ca="1">_xll.BDH($C$428,"PRETAX_INC_TO_NET_SALES","FQ3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46" t="e">
        <f ca="1">_xll.BDH($C$428,"INC_BEF_XO_ITEMS_TO_NET_SALES","FQ3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46" t="e">
        <f ca="1">_xll.BDH($C$428,"PROF_MARGIN","FQ3 2017","FQ3 2017","Currency=INR","Period=FQ","BEST_FPERIOD_OVERRIDE=FQ","FILING_STATUS=OR","EQY_CONSOLIDATED=Y","FA_ADJUSTED=GAAP","Sort=A","Dates=H","DateFormat=P","Fill=—","Direction=H","UseDPDF=Y")</f>
        <v>#NAME?</v>
      </c>
      <c r="P446" t="e">
        <f ca="1">_xll.BDH($C$428,"NET_INCOME_TO_COMMON_MARGIN","FQ3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46" t="e">
        <f ca="1">_xll.BDH($C$428,"EFF_TAX_RATE","FQ3 2017","FQ3 2017","Currency=INR","Period=FQ","BEST_FPERIOD_OVERRIDE=FQ","FILING_STATUS=OR","EQY_CONSOLIDATED=Y","FA_ADJUSTED=GAAP","Sort=A","Dates=H","DateFormat=P","Fill=—","Direction=H","UseDPDF=Y")</f>
        <v>#NAME?</v>
      </c>
      <c r="R446" t="e">
        <f ca="1">_xll.BDH($C$428,"DVD_PAYOUT_RATIO","FQ3 2017","FQ3 2017","Currency=INR","Period=FQ","BEST_FPERIOD_OVERRIDE=FQ","FILING_STATUS=OR","EQY_CONSOLIDATED=Y","FA_ADJUSTED=GAAP","Sort=A","Dates=H","DateFormat=P","Fill=—","Direction=H","UseDPDF=Y")</f>
        <v>#NAME?</v>
      </c>
      <c r="S446" t="e">
        <f ca="1">_xll.BDH($C$428,"SUSTAIN_GROWTH_RT","FQ3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446" s="1" t="e">
        <f ca="1">_xll.BDH($C$428,"SALES_GROWTH","FQ3 2017","FQ3 2017","Currency=INR","Period=FQ","BEST_FPERIOD_OVERRIDE=FQ","FILING_STATUS=OR","EQY_CONSOLIDATED=Y","FA_ADJUSTED=GAAP","Sort=A","Dates=H","DateFormat=P","Fill=—","Direction=H","UseDPDF=Y")</f>
        <v>#NAME?</v>
      </c>
      <c r="U446" s="1" t="e">
        <f ca="1">_xll.BDH($C$428,"EBITDA_GROWTH","FQ3 2017","FQ3 2017","Currency=INR","Period=FQ","BEST_FPERIOD_OVERRIDE=FQ","FILING_STATUS=OR","EQY_CONSOLIDATED=Y","FA_ADJUSTED=GAAP","Sort=A","Dates=H","DateFormat=P","Fill=—","Direction=H","UseDPDF=Y")</f>
        <v>#NAME?</v>
      </c>
      <c r="V446" s="1" t="e">
        <f ca="1">_xll.BDH($C$428,"OPER_INC_GROWTH","FQ3 2017","FQ3 2017","Currency=INR","Period=FQ","BEST_FPERIOD_OVERRIDE=FQ","FILING_STATUS=OR","EQY_CONSOLIDATED=Y","FA_ADJUSTED=GAAP","Sort=A","Dates=H","DateFormat=P","Fill=—","Direction=H","UseDPDF=Y")</f>
        <v>#NAME?</v>
      </c>
      <c r="W446" s="1" t="e">
        <f ca="1">_xll.BDH($C$428,"EARN_FOR_COM_GROWTH","FQ3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46" s="1" t="e">
        <f ca="1">_xll.BDH($C$428,"DILUTED_EPS_AFT_XO_ITEMS_GROWTH","FQ3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46" s="1" t="e">
        <f ca="1">_xll.BDH($C$428,"DIVIDEND_PER_SHARE_1_YEAR_GROWTH","FQ3 2017","FQ3 2017","Currency=INR","Period=FQ","BEST_FPERIOD_OVERRIDE=FQ","FILING_STATUS=OR","EQY_CONSOLIDATED=Y","Sort=A","Dates=H","DateFormat=P","Fill=—","Direction=H","UseDPDF=Y")</f>
        <v>#NAME?</v>
      </c>
      <c r="Z446" s="1" t="e">
        <f ca="1">_xll.BDH($C$428,"ACCOUNTS_RECEIVABLE_GROWTH","FQ3 2017","FQ3 2017","Currency=INR","Period=FQ","BEST_FPERIOD_OVERRIDE=FQ","FILING_STATUS=OR","EQY_CONSOLIDATED=Y","Sort=A","Dates=H","DateFormat=P","Fill=—","Direction=H","UseDPDF=Y")</f>
        <v>#NAME?</v>
      </c>
      <c r="AA446" s="1" t="e">
        <f ca="1">_xll.BDH($C$428,"INVENTORY_GROWTH","FQ3 2017","FQ3 2017","Currency=INR","Period=FQ","BEST_FPERIOD_OVERRIDE=FQ","FILING_STATUS=OR","EQY_CONSOLIDATED=Y","Sort=A","Dates=H","DateFormat=P","Fill=—","Direction=H","UseDPDF=Y")</f>
        <v>#NAME?</v>
      </c>
      <c r="AB446" s="1" t="e">
        <f ca="1">_xll.BDH($C$428,"NET_FIXED_ASSETS_1_YEAR_GROWTH","FQ3 2017","FQ3 2017","Currency=INR","Period=FQ","BEST_FPERIOD_OVERRIDE=FQ","FILING_STATUS=OR","EQY_CONSOLIDATED=Y","Sort=A","Dates=H","DateFormat=P","Fill=—","Direction=H","UseDPDF=Y")</f>
        <v>#NAME?</v>
      </c>
      <c r="AC446" s="1" t="e">
        <f ca="1">_xll.BDH($C$428,"ASSET_GROWTH","FQ3 2017","FQ3 2017","Currency=INR","Period=FQ","BEST_FPERIOD_OVERRIDE=FQ","FILING_STATUS=OR","EQY_CONSOLIDATED=Y","Sort=A","Dates=H","DateFormat=P","Fill=—","Direction=H","UseDPDF=Y")</f>
        <v>#NAME?</v>
      </c>
      <c r="AD446" s="1" t="e">
        <f ca="1">_xll.BDH($C$428,"MODIFIED_WORK_CAP_GROWTH","FQ3 2017","FQ3 2017","Currency=INR","Period=FQ","BEST_FPERIOD_OVERRIDE=FQ","FILING_STATUS=OR","EQY_CONSOLIDATED=Y","Sort=A","Dates=H","DateFormat=P","Fill=—","Direction=H","UseDPDF=Y")</f>
        <v>#NAME?</v>
      </c>
      <c r="AE446" s="1" t="e">
        <f ca="1">_xll.BDH($C$428,"WORK_CAP_GROWTH","FQ3 2017","FQ3 2017","Currency=INR","Period=FQ","BEST_FPERIOD_OVERRIDE=FQ","FILING_STATUS=OR","EQY_CONSOLIDATED=Y","Sort=A","Dates=H","DateFormat=P","Fill=—","Direction=H","UseDPDF=Y")</f>
        <v>#NAME?</v>
      </c>
      <c r="AF446" s="1" t="e">
        <f ca="1">_xll.BDH($C$428,"ACCOUNTS_PAYABLE_GROWTH_1YR","FQ3 2017","FQ3 2017","Currency=INR","Period=FQ","BEST_FPERIOD_OVERRIDE=FQ","FILING_STATUS=OR","EQY_CONSOLIDATED=Y","Sort=A","Dates=H","DateFormat=P","Fill=—","Direction=H","UseDPDF=Y")</f>
        <v>#NAME?</v>
      </c>
      <c r="AG446" s="1" t="e">
        <f ca="1">_xll.BDH($C$428,"SHORT_TERM_DEBT_1_YEAR_GROWTH","FQ3 2017","FQ3 2017","Currency=INR","Period=FQ","BEST_FPERIOD_OVERRIDE=FQ","FILING_STATUS=OR","EQY_CONSOLIDATED=Y","Sort=A","Dates=H","DateFormat=P","Fill=—","Direction=H","UseDPDF=Y")</f>
        <v>#NAME?</v>
      </c>
      <c r="AH446" s="1" t="e">
        <f ca="1">_xll.BDH($C$428,"TOTAL_DEBT_1_YEAR_GROWTH","FQ3 2017","FQ3 2017","Currency=INR","Period=FQ","BEST_FPERIOD_OVERRIDE=FQ","FILING_STATUS=OR","EQY_CONSOLIDATED=Y","Sort=A","Dates=H","DateFormat=P","Fill=—","Direction=H","UseDPDF=Y")</f>
        <v>#NAME?</v>
      </c>
      <c r="AI446" s="1" t="e">
        <f ca="1">_xll.BDH($C$428,"TOTAL_EQUITY_1_YEAR_GROWTH","FQ3 2017","FQ3 2017","Currency=INR","Period=FQ","BEST_FPERIOD_OVERRIDE=FQ","FILING_STATUS=OR","EQY_CONSOLIDATED=Y","Sort=A","Dates=H","DateFormat=P","Fill=—","Direction=H","UseDPDF=Y")</f>
        <v>#NAME?</v>
      </c>
      <c r="AJ446" s="1" t="e">
        <f ca="1">_xll.BDH($C$428,"GROWTH_IN_CAP","FQ3 2017","FQ3 2017","Currency=INR","Period=FQ","BEST_FPERIOD_OVERRIDE=FQ","FILING_STATUS=OR","EQY_CONSOLIDATED=Y","Sort=A","Dates=H","DateFormat=P","Fill=—","Direction=H","UseDPDF=Y")</f>
        <v>#NAME?</v>
      </c>
      <c r="AK446" s="1" t="e">
        <f ca="1">_xll.BDH($C$428,"BVPS_GROWTH","FQ3 2017","FQ3 2017","Currency=INR","Period=FQ","BEST_FPERIOD_OVERRIDE=FQ","FILING_STATUS=OR","EQY_CONSOLIDATED=Y","Sort=A","Dates=H","DateFormat=P","Fill=—","Direction=H","UseDPDF=Y")</f>
        <v>#NAME?</v>
      </c>
      <c r="AL446" s="1" t="e">
        <f ca="1">_xll.BDH($C$428,"CASH_FLOW_GROWTH","FQ3 2017","FQ3 2017","Currency=INR","Period=FQ","BEST_FPERIOD_OVERRIDE=FQ","FILING_STATUS=OR","EQY_CONSOLIDATED=Y","Sort=A","Dates=H","DateFormat=P","Fill=—","Direction=H","UseDPDF=Y")</f>
        <v>#NAME?</v>
      </c>
      <c r="AM446" s="1" t="e">
        <f ca="1">_xll.BDH($C$428,"GEO_GROW_NET_SALES","FQ3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46" s="1" t="e">
        <f ca="1">_xll.BDH($C$428,"GEO_GROW_EBITDA","FQ3 2017","FQ3 2017","Currency=INR","Period=FQ","BEST_FPERIOD_OVERRIDE=FQ","FILING_STATUS=OR","EQY_CONSOLIDATED=Y","FA_ADJUSTED=GAAP","Sort=A","Dates=H","DateFormat=P","Fill=—","Direction=H","UseDPDF=Y")</f>
        <v>#NAME?</v>
      </c>
      <c r="AO446" s="1" t="e">
        <f ca="1">_xll.BDH($C$428,"GEO_GROW_OPER_INC","FQ3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46" s="1" t="e">
        <f ca="1">_xll.BDH($C$428,"NET_INCOME_TO_COMMON_5_YR_GROWTH","FQ3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46" s="1" t="e">
        <f ca="1">_xll.BDH($C$428,"5Y_GEO_GROWTH_DILUTED_EPS","FQ3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46" s="1" t="e">
        <f ca="1">_xll.BDH($C$428,"GEO_GROW_DVD_PER_SH","FQ3 2017","FQ3 2017","Currency=INR","Period=FQ","BEST_FPERIOD_OVERRIDE=FQ","FILING_STATUS=OR","EQY_CONSOLIDATED=Y","Sort=A","Dates=H","DateFormat=P","Fill=—","Direction=H","UseDPDF=Y")</f>
        <v>#NAME?</v>
      </c>
      <c r="AS446" s="1" t="e">
        <f ca="1">_xll.BDH($C$428,"ACCOUNTS_RECEIVABLE_5_YR_GROWTH","FQ3 2017","FQ3 2017","Currency=INR","Period=FQ","BEST_FPERIOD_OVERRIDE=FQ","FILING_STATUS=OR","EQY_CONSOLIDATED=Y","Sort=A","Dates=H","DateFormat=P","Fill=—","Direction=H","UseDPDF=Y")</f>
        <v>#NAME?</v>
      </c>
      <c r="AT446" s="1" t="e">
        <f ca="1">_xll.BDH($C$428,"INVENTORY_5_YEAR_GROWTH","FQ3 2017","FQ3 2017","Currency=INR","Period=FQ","BEST_FPERIOD_OVERRIDE=FQ","FILING_STATUS=OR","EQY_CONSOLIDATED=Y","Sort=A","Dates=H","DateFormat=P","Fill=—","Direction=H","UseDPDF=Y")</f>
        <v>#NAME?</v>
      </c>
      <c r="AU446" s="1" t="e">
        <f ca="1">_xll.BDH($C$428,"NET_FIXED_ASSETS_5_YEAR_GROWTH","FQ3 2017","FQ3 2017","Currency=INR","Period=FQ","BEST_FPERIOD_OVERRIDE=FQ","FILING_STATUS=OR","EQY_CONSOLIDATED=Y","Sort=A","Dates=H","DateFormat=P","Fill=—","Direction=H","UseDPDF=Y")</f>
        <v>#NAME?</v>
      </c>
      <c r="AV446" s="1" t="e">
        <f ca="1">_xll.BDH($C$428,"GEO_GROW_TOT_ASSET","FQ3 2017","FQ3 2017","Currency=INR","Period=FQ","BEST_FPERIOD_OVERRIDE=FQ","FILING_STATUS=OR","EQY_CONSOLIDATED=Y","Sort=A","Dates=H","DateFormat=P","Fill=—","Direction=H","UseDPDF=Y")</f>
        <v>#NAME?</v>
      </c>
      <c r="AW446" s="1" t="e">
        <f ca="1">_xll.BDH($C$428,"MODIFIED_WORKING_CPTL_5YR_GRWTH","FQ3 2017","FQ3 2017","Currency=INR","Period=FQ","BEST_FPERIOD_OVERRIDE=FQ","FILING_STATUS=OR","EQY_CONSOLIDATED=Y","Sort=A","Dates=H","DateFormat=P","Fill=—","Direction=H","UseDPDF=Y")</f>
        <v>#NAME?</v>
      </c>
      <c r="AX446" s="1" t="e">
        <f ca="1">_xll.BDH($C$428,"WORKING_CAPITAL_5_YEAR_GROWTH","FQ3 2017","FQ3 2017","Currency=INR","Period=FQ","BEST_FPERIOD_OVERRIDE=FQ","FILING_STATUS=OR","EQY_CONSOLIDATED=Y","Sort=A","Dates=H","DateFormat=P","Fill=—","Direction=H","UseDPDF=Y")</f>
        <v>#NAME?</v>
      </c>
      <c r="AY446" s="1" t="e">
        <f ca="1">_xll.BDH($C$428,"ACCOUNTS_PAYABLE_5_YEAR_GROWTH","FQ3 2017","FQ3 2017","Currency=INR","Period=FQ","BEST_FPERIOD_OVERRIDE=FQ","FILING_STATUS=OR","EQY_CONSOLIDATED=Y","Sort=A","Dates=H","DateFormat=P","Fill=—","Direction=H","UseDPDF=Y")</f>
        <v>#NAME?</v>
      </c>
      <c r="AZ446" s="1" t="e">
        <f ca="1">_xll.BDH($C$428,"SHORT_TERM_DEBT_5_YEAR_GROWTH","FQ3 2017","FQ3 2017","Currency=INR","Period=FQ","BEST_FPERIOD_OVERRIDE=FQ","FILING_STATUS=OR","EQY_CONSOLIDATED=Y","Sort=A","Dates=H","DateFormat=P","Fill=—","Direction=H","UseDPDF=Y")</f>
        <v>#NAME?</v>
      </c>
      <c r="BA446" s="1" t="e">
        <f ca="1">_xll.BDH($C$428,"TOTAL_DEBT_5_YEAR_GROWTH","FQ3 2017","FQ3 2017","Currency=INR","Period=FQ","BEST_FPERIOD_OVERRIDE=FQ","FILING_STATUS=OR","EQY_CONSOLIDATED=Y","Sort=A","Dates=H","DateFormat=P","Fill=—","Direction=H","UseDPDF=Y")</f>
        <v>#NAME?</v>
      </c>
      <c r="BB446" s="1" t="e">
        <f ca="1">_xll.BDH($C$428,"GEO_GROW_TOT_SHRHLDR_EQY","FQ3 2017","FQ3 2017","Currency=INR","Period=FQ","BEST_FPERIOD_OVERRIDE=FQ","FILING_STATUS=OR","EQY_CONSOLIDATED=Y","Sort=A","Dates=H","DateFormat=P","Fill=—","Direction=H","UseDPDF=Y")</f>
        <v>#NAME?</v>
      </c>
      <c r="BC446" s="1" t="e">
        <f ca="1">_xll.BDH($C$428,"TOTAL_CAPITAL_5_YEAR_GROWTH","FQ3 2017","FQ3 2017","Currency=INR","Period=FQ","BEST_FPERIOD_OVERRIDE=FQ","FILING_STATUS=OR","EQY_CONSOLIDATED=Y","Sort=A","Dates=H","DateFormat=P","Fill=—","Direction=H","UseDPDF=Y")</f>
        <v>#NAME?</v>
      </c>
      <c r="BD446" s="1" t="e">
        <f ca="1">_xll.BDH($C$428,"GEO_GROW_BOOK_VAL","FQ3 2017","FQ3 2017","Currency=INR","Period=FQ","BEST_FPERIOD_OVERRIDE=FQ","FILING_STATUS=OR","EQY_CONSOLIDATED=Y","Sort=A","Dates=H","DateFormat=P","Fill=—","Direction=H","UseDPDF=Y")</f>
        <v>#NAME?</v>
      </c>
      <c r="BE446" s="1" t="e">
        <f ca="1">_xll.BDH($C$428,"GEO_GROW_CASH_OPER_ACT","FQ3 2017","FQ3 2017","Currency=INR","Period=FQ","BEST_FPERIOD_OVERRIDE=FQ","FILING_STATUS=OR","EQY_CONSOLIDATED=Y","Sort=A","Dates=H","DateFormat=P","Fill=—","Direction=H","UseDPDF=Y")</f>
        <v>#NAME?</v>
      </c>
      <c r="BF446" s="1" t="e">
        <f ca="1">_xll.BDH($C$428,"REVENUE_SEQUENTIAL_GROWTH","FQ3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46" s="1" t="e">
        <f ca="1">_xll.BDH($C$428,"EBITDA_SEQUENTIAL_GROWTH","FQ3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46" s="1" t="e">
        <f ca="1">_xll.BDH($C$428,"OPERATING_INCOME_SEQ_GROWTH","FQ3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46" s="1" t="e">
        <f ca="1">_xll.BDH($C$428,"NET_INCOME_TO_COMMON_SEQ_GROWTH","FQ3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46" s="1" t="e">
        <f ca="1">_xll.BDH($C$428,"EPS_DILUTED_SEQUENTIAL_GROWTH","FQ3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46" s="1" t="e">
        <f ca="1">_xll.BDH($C$428,"DPS_SEQUENTIAL_GROWTH","FQ3 2017","FQ3 2017","Currency=INR","Period=FQ","BEST_FPERIOD_OVERRIDE=FQ","FILING_STATUS=OR","EQY_CONSOLIDATED=Y","Sort=A","Dates=H","DateFormat=P","Fill=—","Direction=H","UseDPDF=Y")</f>
        <v>#NAME?</v>
      </c>
      <c r="BL446" s="1" t="e">
        <f ca="1">_xll.BDH($C$428,"ACCOUNTS_RECEIVABLE_SEQ_GROWTH","FQ3 2017","FQ3 2017","Currency=INR","Period=FQ","BEST_FPERIOD_OVERRIDE=FQ","FILING_STATUS=OR","EQY_CONSOLIDATED=Y","Sort=A","Dates=H","DateFormat=P","Fill=—","Direction=H","UseDPDF=Y")</f>
        <v>#NAME?</v>
      </c>
      <c r="BM446" s="1" t="e">
        <f ca="1">_xll.BDH($C$428,"INVENTORY_SEQUENTIAL_GROWTH","FQ3 2017","FQ3 2017","Currency=INR","Period=FQ","BEST_FPERIOD_OVERRIDE=FQ","FILING_STATUS=OR","EQY_CONSOLIDATED=Y","Sort=A","Dates=H","DateFormat=P","Fill=—","Direction=H","UseDPDF=Y")</f>
        <v>#NAME?</v>
      </c>
      <c r="BN446" s="1" t="e">
        <f ca="1">_xll.BDH($C$428,"FIXED_ASSETS_SEQUENTIAL_GROWTH","FQ3 2017","FQ3 2017","Currency=INR","Period=FQ","BEST_FPERIOD_OVERRIDE=FQ","FILING_STATUS=OR","EQY_CONSOLIDATED=Y","Sort=A","Dates=H","DateFormat=P","Fill=—","Direction=H","UseDPDF=Y")</f>
        <v>#NAME?</v>
      </c>
      <c r="BO446" s="1" t="e">
        <f ca="1">_xll.BDH($C$428,"TOTAL_ASSETS_SEQUENTIAL_GROWTH","FQ3 2017","FQ3 2017","Currency=INR","Period=FQ","BEST_FPERIOD_OVERRIDE=FQ","FILING_STATUS=OR","EQY_CONSOLIDATED=Y","Sort=A","Dates=H","DateFormat=P","Fill=—","Direction=H","UseDPDF=Y")</f>
        <v>#NAME?</v>
      </c>
      <c r="BP446" s="1" t="e">
        <f ca="1">_xll.BDH($C$428,"MODIFIED_WORKING_CPTL_SEQ_GRWTH","FQ3 2017","FQ3 2017","Currency=INR","Period=FQ","BEST_FPERIOD_OVERRIDE=FQ","FILING_STATUS=OR","EQY_CONSOLIDATED=Y","Sort=A","Dates=H","DateFormat=P","Fill=—","Direction=H","UseDPDF=Y")</f>
        <v>#NAME?</v>
      </c>
      <c r="BQ446" s="1" t="e">
        <f ca="1">_xll.BDH($C$428,"WORKING_CAPITAL_SEQ_GROWTH","FQ3 2017","FQ3 2017","Currency=INR","Period=FQ","BEST_FPERIOD_OVERRIDE=FQ","FILING_STATUS=OR","EQY_CONSOLIDATED=Y","Sort=A","Dates=H","DateFormat=P","Fill=—","Direction=H","UseDPDF=Y")</f>
        <v>#NAME?</v>
      </c>
      <c r="BR446" s="1" t="e">
        <f ca="1">_xll.BDH($C$428,"ACCOUNTS_PAYABLE_SEQ_GROWTH","FQ3 2017","FQ3 2017","Currency=INR","Period=FQ","BEST_FPERIOD_OVERRIDE=FQ","FILING_STATUS=OR","EQY_CONSOLIDATED=Y","Sort=A","Dates=H","DateFormat=P","Fill=—","Direction=H","UseDPDF=Y")</f>
        <v>#NAME?</v>
      </c>
      <c r="BS446" s="1" t="e">
        <f ca="1">_xll.BDH($C$428,"ST_DEBT_SEQUENTIAL_GROWTH","FQ3 2017","FQ3 2017","Currency=INR","Period=FQ","BEST_FPERIOD_OVERRIDE=FQ","FILING_STATUS=OR","EQY_CONSOLIDATED=Y","Sort=A","Dates=H","DateFormat=P","Fill=—","Direction=H","UseDPDF=Y")</f>
        <v>#NAME?</v>
      </c>
      <c r="BT446" s="1" t="e">
        <f ca="1">_xll.BDH($C$428,"TOTAL_DEBT_SEQUENTIAL_GROWTH","FQ3 2017","FQ3 2017","Currency=INR","Period=FQ","BEST_FPERIOD_OVERRIDE=FQ","FILING_STATUS=OR","EQY_CONSOLIDATED=Y","Sort=A","Dates=H","DateFormat=P","Fill=—","Direction=H","UseDPDF=Y")</f>
        <v>#NAME?</v>
      </c>
      <c r="BU446" s="1" t="e">
        <f ca="1">_xll.BDH($C$428,"TOTAL_EQUITY_SEQUENTIAL_GROWTH","FQ3 2017","FQ3 2017","Currency=INR","Period=FQ","BEST_FPERIOD_OVERRIDE=FQ","FILING_STATUS=OR","EQY_CONSOLIDATED=Y","Sort=A","Dates=H","DateFormat=P","Fill=—","Direction=H","UseDPDF=Y")</f>
        <v>#NAME?</v>
      </c>
      <c r="BV446" s="1" t="e">
        <f ca="1">_xll.BDH($C$428,"TOTAL_CAPITAL_SEQUENTIAL_GROWTH","FQ3 2017","FQ3 2017","Currency=INR","Period=FQ","BEST_FPERIOD_OVERRIDE=FQ","FILING_STATUS=OR","EQY_CONSOLIDATED=Y","Sort=A","Dates=H","DateFormat=P","Fill=—","Direction=H","UseDPDF=Y")</f>
        <v>#NAME?</v>
      </c>
      <c r="BW446" s="1" t="e">
        <f ca="1">_xll.BDH($C$428,"BPS_SEQUENTIAL_GROWTH","FQ3 2017","FQ3 2017","Currency=INR","Period=FQ","BEST_FPERIOD_OVERRIDE=FQ","FILING_STATUS=OR","EQY_CONSOLIDATED=Y","Sort=A","Dates=H","DateFormat=P","Fill=—","Direction=H","UseDPDF=Y")</f>
        <v>#NAME?</v>
      </c>
      <c r="BX446" s="1" t="e">
        <f ca="1">_xll.BDH($C$428,"CFO_SEQUENTIAL_GROWTH","FQ3 2017","FQ3 2017","Currency=INR","Period=FQ","BEST_FPERIOD_OVERRIDE=FQ","FILING_STATUS=OR","EQY_CONSOLIDATED=Y","Sort=A","Dates=H","DateFormat=P","Fill=—","Direction=H","UseDPDF=Y")</f>
        <v>#NAME?</v>
      </c>
      <c r="BY446" s="2" t="e">
        <f ca="1">_xll.BDH($C$428,"SHORT_AND_LONG_TERM_DEBT","FQ3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46" s="2" t="e">
        <f ca="1">_xll.BDH($C$428,"BS_ST_BORROW","FQ3 2017","FQ3 2017","Currency=INR","Period=FQ","BEST_FPERIOD_OVERRIDE=FQ","FILING_STATUS=OR","EQY_CONSOLIDATED=Y","SCALING_FORMAT=MLN","Sort=A","Dates=H","DateFormat=P","Fill=—","Direction=H","UseDPDF=Y")</f>
        <v>#NAME?</v>
      </c>
      <c r="CA446" s="2" t="e">
        <f ca="1">_xll.BDH($C$428,"BS_LT_BORROW","FQ3 2017","FQ3 2017","Currency=INR","Period=FQ","BEST_FPERIOD_OVERRIDE=FQ","FILING_STATUS=OR","EQY_CONSOLIDATED=Y","SCALING_FORMAT=MLN","Sort=A","Dates=H","DateFormat=P","Fill=—","Direction=H","UseDPDF=Y")</f>
        <v>#NAME?</v>
      </c>
      <c r="CB446" s="1" t="e">
        <f ca="1">_xll.BDH($C$428,"TOT_DEBT_TO_EBITDA","FQ3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46" s="1" t="e">
        <f ca="1">_xll.BDH($C$428,"NET_DEBT_TO_EBITDA","FQ3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46" s="1" t="e">
        <f ca="1">_xll.BDH($C$428,"TOTAL_DEBT_TO_EBIT","FQ3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46" s="1" t="e">
        <f ca="1">_xll.BDH($C$428,"NET_DEBT_TO_EBIT","FQ3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446" s="1" t="e">
        <f ca="1">_xll.BDH($C$428,"EBITDA_TO_INTEREST_EXPN","FQ3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46" s="1" t="e">
        <f ca="1">_xll.BDH($C$428,"COM_EQY_TO_TOT_ASSET","FQ3 2017","FQ3 2017","Currency=INR","Period=FQ","BEST_FPERIOD_OVERRIDE=FQ","FILING_STATUS=OR","EQY_CONSOLIDATED=Y","Sort=A","Dates=H","DateFormat=P","Fill=—","Direction=H","UseDPDF=Y")</f>
        <v>#NAME?</v>
      </c>
      <c r="CH446" s="1" t="e">
        <f ca="1">_xll.BDH($C$428,"LT_DEBT_TO_TOT_EQY","FQ3 2017","FQ3 2017","Currency=INR","Period=FQ","BEST_FPERIOD_OVERRIDE=FQ","FILING_STATUS=OR","EQY_CONSOLIDATED=Y","Sort=A","Dates=H","DateFormat=P","Fill=—","Direction=H","UseDPDF=Y")</f>
        <v>#NAME?</v>
      </c>
      <c r="CI446" s="1" t="e">
        <f ca="1">_xll.BDH($C$428,"LT_DEBT_TO_TOT_CAP","FQ3 2017","FQ3 2017","Currency=INR","Period=FQ","BEST_FPERIOD_OVERRIDE=FQ","FILING_STATUS=OR","EQY_CONSOLIDATED=Y","Sort=A","Dates=H","DateFormat=P","Fill=—","Direction=H","UseDPDF=Y")</f>
        <v>#NAME?</v>
      </c>
      <c r="CJ446" s="1" t="e">
        <f ca="1">_xll.BDH($C$428,"LT_DEBT_TO_TOT_ASSET","FQ3 2017","FQ3 2017","Currency=INR","Period=FQ","BEST_FPERIOD_OVERRIDE=FQ","FILING_STATUS=OR","EQY_CONSOLIDATED=Y","Sort=A","Dates=H","DateFormat=P","Fill=—","Direction=H","UseDPDF=Y")</f>
        <v>#NAME?</v>
      </c>
      <c r="CK446" s="1" t="e">
        <f ca="1">_xll.BDH($C$428,"TOT_DEBT_TO_TOT_EQY","FQ3 2017","FQ3 2017","Currency=INR","Period=FQ","BEST_FPERIOD_OVERRIDE=FQ","FILING_STATUS=OR","EQY_CONSOLIDATED=Y","Sort=A","Dates=H","DateFormat=P","Fill=—","Direction=H","UseDPDF=Y")</f>
        <v>#NAME?</v>
      </c>
      <c r="CL446" s="1" t="e">
        <f ca="1">_xll.BDH($C$428,"TOT_DEBT_TO_TOT_CAP","FQ3 2017","FQ3 2017","Currency=INR","Period=FQ","BEST_FPERIOD_OVERRIDE=FQ","FILING_STATUS=OR","EQY_CONSOLIDATED=Y","Sort=A","Dates=H","DateFormat=P","Fill=—","Direction=H","UseDPDF=Y")</f>
        <v>#NAME?</v>
      </c>
      <c r="CM446" s="1" t="e">
        <f ca="1">_xll.BDH($C$428,"TOT_DEBT_TO_TOT_ASSET","FQ3 2017","FQ3 2017","Currency=INR","Period=FQ","BEST_FPERIOD_OVERRIDE=FQ","FILING_STATUS=OR","EQY_CONSOLIDATED=Y","Sort=A","Dates=H","DateFormat=P","Fill=—","Direction=H","UseDPDF=Y")</f>
        <v>#NAME?</v>
      </c>
      <c r="CN446" s="1" t="e">
        <f ca="1">_xll.BDH($C$428,"NET_DEBT_TO_SHRHLDR_EQTY","FQ3 2017","FQ3 2017","Currency=INR","Period=FQ","BEST_FPERIOD_OVERRIDE=FQ","FILING_STATUS=OR","EQY_CONSOLIDATED=Y","Sort=A","Dates=H","DateFormat=P","Fill=—","Direction=H","UseDPDF=Y")</f>
        <v>#NAME?</v>
      </c>
      <c r="CO446" s="1" t="e">
        <f ca="1">_xll.BDH($C$428,"NET_DEBT_%_CAPITAL","FQ3 2017","FQ3 2017","Currency=INR","Period=FQ","BEST_FPERIOD_OVERRIDE=FQ","FILING_STATUS=OR","EQY_CONSOLIDATED=Y","Sort=A","Dates=H","DateFormat=P","Fill=—","Direction=H","UseDPDF=Y")</f>
        <v>#NAME?</v>
      </c>
      <c r="CP446" s="2" t="e">
        <f ca="1">_xll.BDH($C$428,"EBITDA","FQ3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46" s="2" t="e">
        <f ca="1">_xll.BDH($C$428,"EBITDA_AFTER_CAPEX","FQ3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46" s="2" t="e">
        <f ca="1">_xll.BDH($C$428,"IS_OPER_INC","FQ3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46" s="1" t="e">
        <f ca="1">_xll.BDH($C$428,"CASH_RATIO","FQ3 2017","FQ3 2017","Currency=INR","Period=FQ","BEST_FPERIOD_OVERRIDE=FQ","FILING_STATUS=OR","EQY_CONSOLIDATED=Y","Sort=A","Dates=H","DateFormat=P","Fill=—","Direction=H","UseDPDF=Y")</f>
        <v>#NAME?</v>
      </c>
      <c r="CT446" s="1" t="e">
        <f ca="1">_xll.BDH($C$428,"CUR_RATIO","FQ3 2017","FQ3 2017","Currency=INR","Period=FQ","BEST_FPERIOD_OVERRIDE=FQ","FILING_STATUS=OR","EQY_CONSOLIDATED=Y","Sort=A","Dates=H","DateFormat=P","Fill=—","Direction=H","UseDPDF=Y")</f>
        <v>#NAME?</v>
      </c>
      <c r="CU446" s="1" t="e">
        <f ca="1">_xll.BDH($C$428,"QUICK_RATIO","FQ3 2017","FQ3 2017","Currency=INR","Period=FQ","BEST_FPERIOD_OVERRIDE=FQ","FILING_STATUS=OR","EQY_CONSOLIDATED=Y","Sort=A","Dates=H","DateFormat=P","Fill=—","Direction=H","UseDPDF=Y")</f>
        <v>#NAME?</v>
      </c>
      <c r="CV446" s="1" t="e">
        <f ca="1">_xll.BDH($C$428,"ALTMAN_Z_SCORE","FQ3 2017","FQ3 2017","Currency=INR","Period=FQ","BEST_FPERIOD_OVERRIDE=FQ","FILING_STATUS=OR","EQY_CONSOLIDATED=Y","Sort=A","Dates=H","DateFormat=P","Fill=—","Direction=H","UseDPDF=Y")</f>
        <v>#NAME?</v>
      </c>
      <c r="CW446" s="3" t="e">
        <f ca="1">_xll.BDH($C$428,"ACCT_RCV_TURN","FQ3 2017","FQ3 2017","Currency=INR","Period=FQ","BEST_FPERIOD_OVERRIDE=FQ","FILING_STATUS=OR","EQY_CONSOLIDATED=Y","FA_ADJUSTED=GAAP","Sort=A","Dates=H","DateFormat=P","Fill=—","Direction=H","UseDPDF=Y")</f>
        <v>#NAME?</v>
      </c>
      <c r="CX446" s="1" t="e">
        <f ca="1">_xll.BDH($C$428,"ACCT_RCV_DAYS","FQ3 2017","FQ3 2017","Currency=INR","Period=FQ","BEST_FPERIOD_OVERRIDE=FQ","FILING_STATUS=OR","EQY_CONSOLIDATED=Y","FA_ADJUSTED=GAAP","Sort=A","Dates=H","DateFormat=P","Fill=—","Direction=H","UseDPDF=Y")</f>
        <v>#NAME?</v>
      </c>
      <c r="CY446" s="3" t="e">
        <f ca="1">_xll.BDH($C$428,"INVENT_TURN","FQ3 2017","FQ3 2017","Currency=INR","Period=FQ","BEST_FPERIOD_OVERRIDE=FQ","FILING_STATUS=OR","EQY_CONSOLIDATED=Y","FA_ADJUSTED=GAAP","Sort=A","Dates=H","DateFormat=P","Fill=—","Direction=H","UseDPDF=Y")</f>
        <v>#NAME?</v>
      </c>
      <c r="CZ446" s="1" t="e">
        <f ca="1">_xll.BDH($C$428,"INVENT_DAYS","FQ3 2017","FQ3 2017","Currency=INR","Period=FQ","BEST_FPERIOD_OVERRIDE=FQ","FILING_STATUS=OR","EQY_CONSOLIDATED=Y","FA_ADJUSTED=GAAP","Sort=A","Dates=H","DateFormat=P","Fill=—","Direction=H","UseDPDF=Y")</f>
        <v>#NAME?</v>
      </c>
      <c r="DA446" s="3" t="e">
        <f ca="1">_xll.BDH($C$428,"ACCOUNTS_PAYABLE_TURNOVER","FQ3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46" s="1" t="e">
        <f ca="1">_xll.BDH($C$428,"ACCOUNTS_PAYABLE_TURNOVER_DAYS","FQ3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46" s="3" t="e">
        <f ca="1">_xll.BDH($C$428,"CASH_CONVERSION_CYCLE","FQ3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46" s="3" t="e">
        <f ca="1">_xll.BDH($C$428,"INV_TO_CASH_DAYS","FQ3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446" s="4" t="e">
        <f ca="1">_xll.BDH($C$428,"BS_INVENTORIES","FQ3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446" s="2" t="e">
        <f ca="1">_xll.BDH($C$428,"INVTRY_RAW_MATERIALS","FQ3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46" s="2" t="e">
        <f ca="1">_xll.BDH($C$428,"INVTRY_IN_PROGRESS","FQ3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46" s="2" t="e">
        <f ca="1">_xll.BDH($C$428,"INVTRY_FINISHED_GOODS","FQ3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46" s="2" t="e">
        <f ca="1">_xll.BDH($C$428,"BS_OTHER_INV","FQ3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47" spans="1:113" x14ac:dyDescent="0.3">
      <c r="A447" s="6"/>
      <c r="B447" s="6"/>
      <c r="C447" s="6"/>
      <c r="D447" s="6"/>
      <c r="E447" t="s">
        <v>7</v>
      </c>
      <c r="F447" t="e">
        <f ca="1">_xll.BDH($C$428,"RETURN_COM_EQY","FQ4 2017","FQ4 2017","Currency=INR","Period=FQ","BEST_FPERIOD_OVERRIDE=FQ","FILING_STATUS=OR","EQY_CONSOLIDATED=Y","FA_ADJUSTED=GAAP","Sort=A","Dates=H","DateFormat=P","Fill=—","Direction=H","UseDPDF=Y")</f>
        <v>#NAME?</v>
      </c>
      <c r="G447" t="e">
        <f ca="1">_xll.BDH($C$428,"RETURN_ON_ASSET","FQ4 2017","FQ4 2017","Currency=INR","Period=FQ","BEST_FPERIOD_OVERRIDE=FQ","FILING_STATUS=OR","EQY_CONSOLIDATED=Y","FA_ADJUSTED=GAAP","Sort=A","Dates=H","DateFormat=P","Fill=—","Direction=H","UseDPDF=Y")</f>
        <v>#NAME?</v>
      </c>
      <c r="H447" t="e">
        <f ca="1">_xll.BDH($C$428,"RETURN_ON_CAP","FQ4 2017","FQ4 2017","Currency=INR","Period=FQ","BEST_FPERIOD_OVERRIDE=FQ","FILING_STATUS=OR","EQY_CONSOLIDATED=Y","FA_ADJUSTED=GAAP","Sort=A","Dates=H","DateFormat=P","Fill=—","Direction=H","UseDPDF=Y")</f>
        <v>#NAME?</v>
      </c>
      <c r="I447" t="e">
        <f ca="1">_xll.BDH($C$428,"RETURN_ON_INV_CAPITAL","FQ4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47" t="e">
        <f ca="1">_xll.BDH($C$428,"EBITDA_TO_REVENUE","FQ4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447" t="e">
        <f ca="1">_xll.BDH($C$428,"OPER_MARGIN","FQ4 2017","FQ4 2017","Currency=INR","Period=FQ","BEST_FPERIOD_OVERRIDE=FQ","FILING_STATUS=OR","EQY_CONSOLIDATED=Y","FA_ADJUSTED=GAAP","Sort=A","Dates=H","DateFormat=P","Fill=—","Direction=H","UseDPDF=Y")</f>
        <v>#NAME?</v>
      </c>
      <c r="L447" t="e">
        <f ca="1">_xll.BDH($C$428,"INCREMENTAL_OPERATING_MARGIN","FQ4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47" t="e">
        <f ca="1">_xll.BDH($C$428,"PRETAX_INC_TO_NET_SALES","FQ4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47" t="e">
        <f ca="1">_xll.BDH($C$428,"INC_BEF_XO_ITEMS_TO_NET_SALES","FQ4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47" t="e">
        <f ca="1">_xll.BDH($C$428,"PROF_MARGIN","FQ4 2017","FQ4 2017","Currency=INR","Period=FQ","BEST_FPERIOD_OVERRIDE=FQ","FILING_STATUS=OR","EQY_CONSOLIDATED=Y","FA_ADJUSTED=GAAP","Sort=A","Dates=H","DateFormat=P","Fill=—","Direction=H","UseDPDF=Y")</f>
        <v>#NAME?</v>
      </c>
      <c r="P447" t="e">
        <f ca="1">_xll.BDH($C$428,"NET_INCOME_TO_COMMON_MARGIN","FQ4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47" t="e">
        <f ca="1">_xll.BDH($C$428,"EFF_TAX_RATE","FQ4 2017","FQ4 2017","Currency=INR","Period=FQ","BEST_FPERIOD_OVERRIDE=FQ","FILING_STATUS=OR","EQY_CONSOLIDATED=Y","FA_ADJUSTED=GAAP","Sort=A","Dates=H","DateFormat=P","Fill=—","Direction=H","UseDPDF=Y")</f>
        <v>#NAME?</v>
      </c>
      <c r="R447" t="e">
        <f ca="1">_xll.BDH($C$428,"DVD_PAYOUT_RATIO","FQ4 2017","FQ4 2017","Currency=INR","Period=FQ","BEST_FPERIOD_OVERRIDE=FQ","FILING_STATUS=OR","EQY_CONSOLIDATED=Y","FA_ADJUSTED=GAAP","Sort=A","Dates=H","DateFormat=P","Fill=—","Direction=H","UseDPDF=Y")</f>
        <v>#NAME?</v>
      </c>
      <c r="S447" t="e">
        <f ca="1">_xll.BDH($C$428,"SUSTAIN_GROWTH_RT","FQ4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447" s="1" t="e">
        <f ca="1">_xll.BDH($C$428,"SALES_GROWTH","FQ4 2017","FQ4 2017","Currency=INR","Period=FQ","BEST_FPERIOD_OVERRIDE=FQ","FILING_STATUS=OR","EQY_CONSOLIDATED=Y","FA_ADJUSTED=GAAP","Sort=A","Dates=H","DateFormat=P","Fill=—","Direction=H","UseDPDF=Y")</f>
        <v>#NAME?</v>
      </c>
      <c r="U447" s="1" t="e">
        <f ca="1">_xll.BDH($C$428,"EBITDA_GROWTH","FQ4 2017","FQ4 2017","Currency=INR","Period=FQ","BEST_FPERIOD_OVERRIDE=FQ","FILING_STATUS=OR","EQY_CONSOLIDATED=Y","FA_ADJUSTED=GAAP","Sort=A","Dates=H","DateFormat=P","Fill=—","Direction=H","UseDPDF=Y")</f>
        <v>#NAME?</v>
      </c>
      <c r="V447" s="1" t="e">
        <f ca="1">_xll.BDH($C$428,"OPER_INC_GROWTH","FQ4 2017","FQ4 2017","Currency=INR","Period=FQ","BEST_FPERIOD_OVERRIDE=FQ","FILING_STATUS=OR","EQY_CONSOLIDATED=Y","FA_ADJUSTED=GAAP","Sort=A","Dates=H","DateFormat=P","Fill=—","Direction=H","UseDPDF=Y")</f>
        <v>#NAME?</v>
      </c>
      <c r="W447" s="1" t="e">
        <f ca="1">_xll.BDH($C$428,"EARN_FOR_COM_GROWTH","FQ4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47" s="1" t="e">
        <f ca="1">_xll.BDH($C$428,"DILUTED_EPS_AFT_XO_ITEMS_GROWTH","FQ4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47" s="1" t="e">
        <f ca="1">_xll.BDH($C$428,"DIVIDEND_PER_SHARE_1_YEAR_GROWTH","FQ4 2017","FQ4 2017","Currency=INR","Period=FQ","BEST_FPERIOD_OVERRIDE=FQ","FILING_STATUS=OR","EQY_CONSOLIDATED=Y","Sort=A","Dates=H","DateFormat=P","Fill=—","Direction=H","UseDPDF=Y")</f>
        <v>#NAME?</v>
      </c>
      <c r="Z447" s="1" t="e">
        <f ca="1">_xll.BDH($C$428,"ACCOUNTS_RECEIVABLE_GROWTH","FQ4 2017","FQ4 2017","Currency=INR","Period=FQ","BEST_FPERIOD_OVERRIDE=FQ","FILING_STATUS=OR","EQY_CONSOLIDATED=Y","Sort=A","Dates=H","DateFormat=P","Fill=—","Direction=H","UseDPDF=Y")</f>
        <v>#NAME?</v>
      </c>
      <c r="AA447" s="1" t="e">
        <f ca="1">_xll.BDH($C$428,"INVENTORY_GROWTH","FQ4 2017","FQ4 2017","Currency=INR","Period=FQ","BEST_FPERIOD_OVERRIDE=FQ","FILING_STATUS=OR","EQY_CONSOLIDATED=Y","Sort=A","Dates=H","DateFormat=P","Fill=—","Direction=H","UseDPDF=Y")</f>
        <v>#NAME?</v>
      </c>
      <c r="AB447" s="1" t="e">
        <f ca="1">_xll.BDH($C$428,"NET_FIXED_ASSETS_1_YEAR_GROWTH","FQ4 2017","FQ4 2017","Currency=INR","Period=FQ","BEST_FPERIOD_OVERRIDE=FQ","FILING_STATUS=OR","EQY_CONSOLIDATED=Y","Sort=A","Dates=H","DateFormat=P","Fill=—","Direction=H","UseDPDF=Y")</f>
        <v>#NAME?</v>
      </c>
      <c r="AC447" s="1" t="e">
        <f ca="1">_xll.BDH($C$428,"ASSET_GROWTH","FQ4 2017","FQ4 2017","Currency=INR","Period=FQ","BEST_FPERIOD_OVERRIDE=FQ","FILING_STATUS=OR","EQY_CONSOLIDATED=Y","Sort=A","Dates=H","DateFormat=P","Fill=—","Direction=H","UseDPDF=Y")</f>
        <v>#NAME?</v>
      </c>
      <c r="AD447" s="1" t="e">
        <f ca="1">_xll.BDH($C$428,"MODIFIED_WORK_CAP_GROWTH","FQ4 2017","FQ4 2017","Currency=INR","Period=FQ","BEST_FPERIOD_OVERRIDE=FQ","FILING_STATUS=OR","EQY_CONSOLIDATED=Y","Sort=A","Dates=H","DateFormat=P","Fill=—","Direction=H","UseDPDF=Y")</f>
        <v>#NAME?</v>
      </c>
      <c r="AE447" s="1" t="e">
        <f ca="1">_xll.BDH($C$428,"WORK_CAP_GROWTH","FQ4 2017","FQ4 2017","Currency=INR","Period=FQ","BEST_FPERIOD_OVERRIDE=FQ","FILING_STATUS=OR","EQY_CONSOLIDATED=Y","Sort=A","Dates=H","DateFormat=P","Fill=—","Direction=H","UseDPDF=Y")</f>
        <v>#NAME?</v>
      </c>
      <c r="AF447" s="1" t="e">
        <f ca="1">_xll.BDH($C$428,"ACCOUNTS_PAYABLE_GROWTH_1YR","FQ4 2017","FQ4 2017","Currency=INR","Period=FQ","BEST_FPERIOD_OVERRIDE=FQ","FILING_STATUS=OR","EQY_CONSOLIDATED=Y","Sort=A","Dates=H","DateFormat=P","Fill=—","Direction=H","UseDPDF=Y")</f>
        <v>#NAME?</v>
      </c>
      <c r="AG447" s="1" t="e">
        <f ca="1">_xll.BDH($C$428,"SHORT_TERM_DEBT_1_YEAR_GROWTH","FQ4 2017","FQ4 2017","Currency=INR","Period=FQ","BEST_FPERIOD_OVERRIDE=FQ","FILING_STATUS=OR","EQY_CONSOLIDATED=Y","Sort=A","Dates=H","DateFormat=P","Fill=—","Direction=H","UseDPDF=Y")</f>
        <v>#NAME?</v>
      </c>
      <c r="AH447" s="1" t="e">
        <f ca="1">_xll.BDH($C$428,"TOTAL_DEBT_1_YEAR_GROWTH","FQ4 2017","FQ4 2017","Currency=INR","Period=FQ","BEST_FPERIOD_OVERRIDE=FQ","FILING_STATUS=OR","EQY_CONSOLIDATED=Y","Sort=A","Dates=H","DateFormat=P","Fill=—","Direction=H","UseDPDF=Y")</f>
        <v>#NAME?</v>
      </c>
      <c r="AI447" s="1" t="e">
        <f ca="1">_xll.BDH($C$428,"TOTAL_EQUITY_1_YEAR_GROWTH","FQ4 2017","FQ4 2017","Currency=INR","Period=FQ","BEST_FPERIOD_OVERRIDE=FQ","FILING_STATUS=OR","EQY_CONSOLIDATED=Y","Sort=A","Dates=H","DateFormat=P","Fill=—","Direction=H","UseDPDF=Y")</f>
        <v>#NAME?</v>
      </c>
      <c r="AJ447" s="1" t="e">
        <f ca="1">_xll.BDH($C$428,"GROWTH_IN_CAP","FQ4 2017","FQ4 2017","Currency=INR","Period=FQ","BEST_FPERIOD_OVERRIDE=FQ","FILING_STATUS=OR","EQY_CONSOLIDATED=Y","Sort=A","Dates=H","DateFormat=P","Fill=—","Direction=H","UseDPDF=Y")</f>
        <v>#NAME?</v>
      </c>
      <c r="AK447" s="1" t="e">
        <f ca="1">_xll.BDH($C$428,"BVPS_GROWTH","FQ4 2017","FQ4 2017","Currency=INR","Period=FQ","BEST_FPERIOD_OVERRIDE=FQ","FILING_STATUS=OR","EQY_CONSOLIDATED=Y","Sort=A","Dates=H","DateFormat=P","Fill=—","Direction=H","UseDPDF=Y")</f>
        <v>#NAME?</v>
      </c>
      <c r="AL447" s="1" t="e">
        <f ca="1">_xll.BDH($C$428,"CASH_FLOW_GROWTH","FQ4 2017","FQ4 2017","Currency=INR","Period=FQ","BEST_FPERIOD_OVERRIDE=FQ","FILING_STATUS=OR","EQY_CONSOLIDATED=Y","Sort=A","Dates=H","DateFormat=P","Fill=—","Direction=H","UseDPDF=Y")</f>
        <v>#NAME?</v>
      </c>
      <c r="AM447" s="1" t="e">
        <f ca="1">_xll.BDH($C$428,"GEO_GROW_NET_SALES","FQ4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47" s="1" t="e">
        <f ca="1">_xll.BDH($C$428,"GEO_GROW_EBITDA","FQ4 2017","FQ4 2017","Currency=INR","Period=FQ","BEST_FPERIOD_OVERRIDE=FQ","FILING_STATUS=OR","EQY_CONSOLIDATED=Y","FA_ADJUSTED=GAAP","Sort=A","Dates=H","DateFormat=P","Fill=—","Direction=H","UseDPDF=Y")</f>
        <v>#NAME?</v>
      </c>
      <c r="AO447" s="1" t="e">
        <f ca="1">_xll.BDH($C$428,"GEO_GROW_OPER_INC","FQ4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47" s="1" t="e">
        <f ca="1">_xll.BDH($C$428,"NET_INCOME_TO_COMMON_5_YR_GROWTH","FQ4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47" s="1" t="e">
        <f ca="1">_xll.BDH($C$428,"5Y_GEO_GROWTH_DILUTED_EPS","FQ4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47" s="1" t="e">
        <f ca="1">_xll.BDH($C$428,"GEO_GROW_DVD_PER_SH","FQ4 2017","FQ4 2017","Currency=INR","Period=FQ","BEST_FPERIOD_OVERRIDE=FQ","FILING_STATUS=OR","EQY_CONSOLIDATED=Y","Sort=A","Dates=H","DateFormat=P","Fill=—","Direction=H","UseDPDF=Y")</f>
        <v>#NAME?</v>
      </c>
      <c r="AS447" s="1" t="e">
        <f ca="1">_xll.BDH($C$428,"ACCOUNTS_RECEIVABLE_5_YR_GROWTH","FQ4 2017","FQ4 2017","Currency=INR","Period=FQ","BEST_FPERIOD_OVERRIDE=FQ","FILING_STATUS=OR","EQY_CONSOLIDATED=Y","Sort=A","Dates=H","DateFormat=P","Fill=—","Direction=H","UseDPDF=Y")</f>
        <v>#NAME?</v>
      </c>
      <c r="AT447" s="1" t="e">
        <f ca="1">_xll.BDH($C$428,"INVENTORY_5_YEAR_GROWTH","FQ4 2017","FQ4 2017","Currency=INR","Period=FQ","BEST_FPERIOD_OVERRIDE=FQ","FILING_STATUS=OR","EQY_CONSOLIDATED=Y","Sort=A","Dates=H","DateFormat=P","Fill=—","Direction=H","UseDPDF=Y")</f>
        <v>#NAME?</v>
      </c>
      <c r="AU447" s="1" t="e">
        <f ca="1">_xll.BDH($C$428,"NET_FIXED_ASSETS_5_YEAR_GROWTH","FQ4 2017","FQ4 2017","Currency=INR","Period=FQ","BEST_FPERIOD_OVERRIDE=FQ","FILING_STATUS=OR","EQY_CONSOLIDATED=Y","Sort=A","Dates=H","DateFormat=P","Fill=—","Direction=H","UseDPDF=Y")</f>
        <v>#NAME?</v>
      </c>
      <c r="AV447" s="1" t="e">
        <f ca="1">_xll.BDH($C$428,"GEO_GROW_TOT_ASSET","FQ4 2017","FQ4 2017","Currency=INR","Period=FQ","BEST_FPERIOD_OVERRIDE=FQ","FILING_STATUS=OR","EQY_CONSOLIDATED=Y","Sort=A","Dates=H","DateFormat=P","Fill=—","Direction=H","UseDPDF=Y")</f>
        <v>#NAME?</v>
      </c>
      <c r="AW447" s="1" t="e">
        <f ca="1">_xll.BDH($C$428,"MODIFIED_WORKING_CPTL_5YR_GRWTH","FQ4 2017","FQ4 2017","Currency=INR","Period=FQ","BEST_FPERIOD_OVERRIDE=FQ","FILING_STATUS=OR","EQY_CONSOLIDATED=Y","Sort=A","Dates=H","DateFormat=P","Fill=—","Direction=H","UseDPDF=Y")</f>
        <v>#NAME?</v>
      </c>
      <c r="AX447" s="1" t="e">
        <f ca="1">_xll.BDH($C$428,"WORKING_CAPITAL_5_YEAR_GROWTH","FQ4 2017","FQ4 2017","Currency=INR","Period=FQ","BEST_FPERIOD_OVERRIDE=FQ","FILING_STATUS=OR","EQY_CONSOLIDATED=Y","Sort=A","Dates=H","DateFormat=P","Fill=—","Direction=H","UseDPDF=Y")</f>
        <v>#NAME?</v>
      </c>
      <c r="AY447" s="1" t="e">
        <f ca="1">_xll.BDH($C$428,"ACCOUNTS_PAYABLE_5_YEAR_GROWTH","FQ4 2017","FQ4 2017","Currency=INR","Period=FQ","BEST_FPERIOD_OVERRIDE=FQ","FILING_STATUS=OR","EQY_CONSOLIDATED=Y","Sort=A","Dates=H","DateFormat=P","Fill=—","Direction=H","UseDPDF=Y")</f>
        <v>#NAME?</v>
      </c>
      <c r="AZ447" s="1" t="e">
        <f ca="1">_xll.BDH($C$428,"SHORT_TERM_DEBT_5_YEAR_GROWTH","FQ4 2017","FQ4 2017","Currency=INR","Period=FQ","BEST_FPERIOD_OVERRIDE=FQ","FILING_STATUS=OR","EQY_CONSOLIDATED=Y","Sort=A","Dates=H","DateFormat=P","Fill=—","Direction=H","UseDPDF=Y")</f>
        <v>#NAME?</v>
      </c>
      <c r="BA447" s="1" t="e">
        <f ca="1">_xll.BDH($C$428,"TOTAL_DEBT_5_YEAR_GROWTH","FQ4 2017","FQ4 2017","Currency=INR","Period=FQ","BEST_FPERIOD_OVERRIDE=FQ","FILING_STATUS=OR","EQY_CONSOLIDATED=Y","Sort=A","Dates=H","DateFormat=P","Fill=—","Direction=H","UseDPDF=Y")</f>
        <v>#NAME?</v>
      </c>
      <c r="BB447" s="1" t="e">
        <f ca="1">_xll.BDH($C$428,"GEO_GROW_TOT_SHRHLDR_EQY","FQ4 2017","FQ4 2017","Currency=INR","Period=FQ","BEST_FPERIOD_OVERRIDE=FQ","FILING_STATUS=OR","EQY_CONSOLIDATED=Y","Sort=A","Dates=H","DateFormat=P","Fill=—","Direction=H","UseDPDF=Y")</f>
        <v>#NAME?</v>
      </c>
      <c r="BC447" s="1" t="e">
        <f ca="1">_xll.BDH($C$428,"TOTAL_CAPITAL_5_YEAR_GROWTH","FQ4 2017","FQ4 2017","Currency=INR","Period=FQ","BEST_FPERIOD_OVERRIDE=FQ","FILING_STATUS=OR","EQY_CONSOLIDATED=Y","Sort=A","Dates=H","DateFormat=P","Fill=—","Direction=H","UseDPDF=Y")</f>
        <v>#NAME?</v>
      </c>
      <c r="BD447" s="1" t="e">
        <f ca="1">_xll.BDH($C$428,"GEO_GROW_BOOK_VAL","FQ4 2017","FQ4 2017","Currency=INR","Period=FQ","BEST_FPERIOD_OVERRIDE=FQ","FILING_STATUS=OR","EQY_CONSOLIDATED=Y","Sort=A","Dates=H","DateFormat=P","Fill=—","Direction=H","UseDPDF=Y")</f>
        <v>#NAME?</v>
      </c>
      <c r="BE447" s="1" t="e">
        <f ca="1">_xll.BDH($C$428,"GEO_GROW_CASH_OPER_ACT","FQ4 2017","FQ4 2017","Currency=INR","Period=FQ","BEST_FPERIOD_OVERRIDE=FQ","FILING_STATUS=OR","EQY_CONSOLIDATED=Y","Sort=A","Dates=H","DateFormat=P","Fill=—","Direction=H","UseDPDF=Y")</f>
        <v>#NAME?</v>
      </c>
      <c r="BF447" s="1" t="e">
        <f ca="1">_xll.BDH($C$428,"REVENUE_SEQUENTIAL_GROWTH","FQ4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47" s="1" t="e">
        <f ca="1">_xll.BDH($C$428,"EBITDA_SEQUENTIAL_GROWTH","FQ4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47" s="1" t="e">
        <f ca="1">_xll.BDH($C$428,"OPERATING_INCOME_SEQ_GROWTH","FQ4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47" s="1" t="e">
        <f ca="1">_xll.BDH($C$428,"NET_INCOME_TO_COMMON_SEQ_GROWTH","FQ4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47" s="1" t="e">
        <f ca="1">_xll.BDH($C$428,"EPS_DILUTED_SEQUENTIAL_GROWTH","FQ4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47" s="1" t="e">
        <f ca="1">_xll.BDH($C$428,"DPS_SEQUENTIAL_GROWTH","FQ4 2017","FQ4 2017","Currency=INR","Period=FQ","BEST_FPERIOD_OVERRIDE=FQ","FILING_STATUS=OR","EQY_CONSOLIDATED=Y","Sort=A","Dates=H","DateFormat=P","Fill=—","Direction=H","UseDPDF=Y")</f>
        <v>#NAME?</v>
      </c>
      <c r="BL447" s="1" t="e">
        <f ca="1">_xll.BDH($C$428,"ACCOUNTS_RECEIVABLE_SEQ_GROWTH","FQ4 2017","FQ4 2017","Currency=INR","Period=FQ","BEST_FPERIOD_OVERRIDE=FQ","FILING_STATUS=OR","EQY_CONSOLIDATED=Y","Sort=A","Dates=H","DateFormat=P","Fill=—","Direction=H","UseDPDF=Y")</f>
        <v>#NAME?</v>
      </c>
      <c r="BM447" s="1" t="e">
        <f ca="1">_xll.BDH($C$428,"INVENTORY_SEQUENTIAL_GROWTH","FQ4 2017","FQ4 2017","Currency=INR","Period=FQ","BEST_FPERIOD_OVERRIDE=FQ","FILING_STATUS=OR","EQY_CONSOLIDATED=Y","Sort=A","Dates=H","DateFormat=P","Fill=—","Direction=H","UseDPDF=Y")</f>
        <v>#NAME?</v>
      </c>
      <c r="BN447" s="1" t="e">
        <f ca="1">_xll.BDH($C$428,"FIXED_ASSETS_SEQUENTIAL_GROWTH","FQ4 2017","FQ4 2017","Currency=INR","Period=FQ","BEST_FPERIOD_OVERRIDE=FQ","FILING_STATUS=OR","EQY_CONSOLIDATED=Y","Sort=A","Dates=H","DateFormat=P","Fill=—","Direction=H","UseDPDF=Y")</f>
        <v>#NAME?</v>
      </c>
      <c r="BO447" s="1" t="e">
        <f ca="1">_xll.BDH($C$428,"TOTAL_ASSETS_SEQUENTIAL_GROWTH","FQ4 2017","FQ4 2017","Currency=INR","Period=FQ","BEST_FPERIOD_OVERRIDE=FQ","FILING_STATUS=OR","EQY_CONSOLIDATED=Y","Sort=A","Dates=H","DateFormat=P","Fill=—","Direction=H","UseDPDF=Y")</f>
        <v>#NAME?</v>
      </c>
      <c r="BP447" s="1" t="e">
        <f ca="1">_xll.BDH($C$428,"MODIFIED_WORKING_CPTL_SEQ_GRWTH","FQ4 2017","FQ4 2017","Currency=INR","Period=FQ","BEST_FPERIOD_OVERRIDE=FQ","FILING_STATUS=OR","EQY_CONSOLIDATED=Y","Sort=A","Dates=H","DateFormat=P","Fill=—","Direction=H","UseDPDF=Y")</f>
        <v>#NAME?</v>
      </c>
      <c r="BQ447" s="1" t="e">
        <f ca="1">_xll.BDH($C$428,"WORKING_CAPITAL_SEQ_GROWTH","FQ4 2017","FQ4 2017","Currency=INR","Period=FQ","BEST_FPERIOD_OVERRIDE=FQ","FILING_STATUS=OR","EQY_CONSOLIDATED=Y","Sort=A","Dates=H","DateFormat=P","Fill=—","Direction=H","UseDPDF=Y")</f>
        <v>#NAME?</v>
      </c>
      <c r="BR447" s="1" t="e">
        <f ca="1">_xll.BDH($C$428,"ACCOUNTS_PAYABLE_SEQ_GROWTH","FQ4 2017","FQ4 2017","Currency=INR","Period=FQ","BEST_FPERIOD_OVERRIDE=FQ","FILING_STATUS=OR","EQY_CONSOLIDATED=Y","Sort=A","Dates=H","DateFormat=P","Fill=—","Direction=H","UseDPDF=Y")</f>
        <v>#NAME?</v>
      </c>
      <c r="BS447" s="1" t="e">
        <f ca="1">_xll.BDH($C$428,"ST_DEBT_SEQUENTIAL_GROWTH","FQ4 2017","FQ4 2017","Currency=INR","Period=FQ","BEST_FPERIOD_OVERRIDE=FQ","FILING_STATUS=OR","EQY_CONSOLIDATED=Y","Sort=A","Dates=H","DateFormat=P","Fill=—","Direction=H","UseDPDF=Y")</f>
        <v>#NAME?</v>
      </c>
      <c r="BT447" s="1" t="e">
        <f ca="1">_xll.BDH($C$428,"TOTAL_DEBT_SEQUENTIAL_GROWTH","FQ4 2017","FQ4 2017","Currency=INR","Period=FQ","BEST_FPERIOD_OVERRIDE=FQ","FILING_STATUS=OR","EQY_CONSOLIDATED=Y","Sort=A","Dates=H","DateFormat=P","Fill=—","Direction=H","UseDPDF=Y")</f>
        <v>#NAME?</v>
      </c>
      <c r="BU447" s="1" t="e">
        <f ca="1">_xll.BDH($C$428,"TOTAL_EQUITY_SEQUENTIAL_GROWTH","FQ4 2017","FQ4 2017","Currency=INR","Period=FQ","BEST_FPERIOD_OVERRIDE=FQ","FILING_STATUS=OR","EQY_CONSOLIDATED=Y","Sort=A","Dates=H","DateFormat=P","Fill=—","Direction=H","UseDPDF=Y")</f>
        <v>#NAME?</v>
      </c>
      <c r="BV447" s="1" t="e">
        <f ca="1">_xll.BDH($C$428,"TOTAL_CAPITAL_SEQUENTIAL_GROWTH","FQ4 2017","FQ4 2017","Currency=INR","Period=FQ","BEST_FPERIOD_OVERRIDE=FQ","FILING_STATUS=OR","EQY_CONSOLIDATED=Y","Sort=A","Dates=H","DateFormat=P","Fill=—","Direction=H","UseDPDF=Y")</f>
        <v>#NAME?</v>
      </c>
      <c r="BW447" s="1" t="e">
        <f ca="1">_xll.BDH($C$428,"BPS_SEQUENTIAL_GROWTH","FQ4 2017","FQ4 2017","Currency=INR","Period=FQ","BEST_FPERIOD_OVERRIDE=FQ","FILING_STATUS=OR","EQY_CONSOLIDATED=Y","Sort=A","Dates=H","DateFormat=P","Fill=—","Direction=H","UseDPDF=Y")</f>
        <v>#NAME?</v>
      </c>
      <c r="BX447" s="1" t="e">
        <f ca="1">_xll.BDH($C$428,"CFO_SEQUENTIAL_GROWTH","FQ4 2017","FQ4 2017","Currency=INR","Period=FQ","BEST_FPERIOD_OVERRIDE=FQ","FILING_STATUS=OR","EQY_CONSOLIDATED=Y","Sort=A","Dates=H","DateFormat=P","Fill=—","Direction=H","UseDPDF=Y")</f>
        <v>#NAME?</v>
      </c>
      <c r="BY447" s="2" t="e">
        <f ca="1">_xll.BDH($C$428,"SHORT_AND_LONG_TERM_DEBT","FQ4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47" s="2" t="e">
        <f ca="1">_xll.BDH($C$428,"BS_ST_BORROW","FQ4 2017","FQ4 2017","Currency=INR","Period=FQ","BEST_FPERIOD_OVERRIDE=FQ","FILING_STATUS=OR","EQY_CONSOLIDATED=Y","SCALING_FORMAT=MLN","Sort=A","Dates=H","DateFormat=P","Fill=—","Direction=H","UseDPDF=Y")</f>
        <v>#NAME?</v>
      </c>
      <c r="CA447" s="2" t="e">
        <f ca="1">_xll.BDH($C$428,"BS_LT_BORROW","FQ4 2017","FQ4 2017","Currency=INR","Period=FQ","BEST_FPERIOD_OVERRIDE=FQ","FILING_STATUS=OR","EQY_CONSOLIDATED=Y","SCALING_FORMAT=MLN","Sort=A","Dates=H","DateFormat=P","Fill=—","Direction=H","UseDPDF=Y")</f>
        <v>#NAME?</v>
      </c>
      <c r="CB447" s="1" t="e">
        <f ca="1">_xll.BDH($C$428,"TOT_DEBT_TO_EBITDA","FQ4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47" s="1" t="e">
        <f ca="1">_xll.BDH($C$428,"NET_DEBT_TO_EBITDA","FQ4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47" s="1" t="e">
        <f ca="1">_xll.BDH($C$428,"TOTAL_DEBT_TO_EBIT","FQ4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47" s="1" t="e">
        <f ca="1">_xll.BDH($C$428,"NET_DEBT_TO_EBIT","FQ4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447" s="1" t="e">
        <f ca="1">_xll.BDH($C$428,"EBITDA_TO_INTEREST_EXPN","FQ4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47" s="1" t="e">
        <f ca="1">_xll.BDH($C$428,"COM_EQY_TO_TOT_ASSET","FQ4 2017","FQ4 2017","Currency=INR","Period=FQ","BEST_FPERIOD_OVERRIDE=FQ","FILING_STATUS=OR","EQY_CONSOLIDATED=Y","Sort=A","Dates=H","DateFormat=P","Fill=—","Direction=H","UseDPDF=Y")</f>
        <v>#NAME?</v>
      </c>
      <c r="CH447" s="1" t="e">
        <f ca="1">_xll.BDH($C$428,"LT_DEBT_TO_TOT_EQY","FQ4 2017","FQ4 2017","Currency=INR","Period=FQ","BEST_FPERIOD_OVERRIDE=FQ","FILING_STATUS=OR","EQY_CONSOLIDATED=Y","Sort=A","Dates=H","DateFormat=P","Fill=—","Direction=H","UseDPDF=Y")</f>
        <v>#NAME?</v>
      </c>
      <c r="CI447" s="1" t="e">
        <f ca="1">_xll.BDH($C$428,"LT_DEBT_TO_TOT_CAP","FQ4 2017","FQ4 2017","Currency=INR","Period=FQ","BEST_FPERIOD_OVERRIDE=FQ","FILING_STATUS=OR","EQY_CONSOLIDATED=Y","Sort=A","Dates=H","DateFormat=P","Fill=—","Direction=H","UseDPDF=Y")</f>
        <v>#NAME?</v>
      </c>
      <c r="CJ447" s="1" t="e">
        <f ca="1">_xll.BDH($C$428,"LT_DEBT_TO_TOT_ASSET","FQ4 2017","FQ4 2017","Currency=INR","Period=FQ","BEST_FPERIOD_OVERRIDE=FQ","FILING_STATUS=OR","EQY_CONSOLIDATED=Y","Sort=A","Dates=H","DateFormat=P","Fill=—","Direction=H","UseDPDF=Y")</f>
        <v>#NAME?</v>
      </c>
      <c r="CK447" s="1" t="e">
        <f ca="1">_xll.BDH($C$428,"TOT_DEBT_TO_TOT_EQY","FQ4 2017","FQ4 2017","Currency=INR","Period=FQ","BEST_FPERIOD_OVERRIDE=FQ","FILING_STATUS=OR","EQY_CONSOLIDATED=Y","Sort=A","Dates=H","DateFormat=P","Fill=—","Direction=H","UseDPDF=Y")</f>
        <v>#NAME?</v>
      </c>
      <c r="CL447" s="1" t="e">
        <f ca="1">_xll.BDH($C$428,"TOT_DEBT_TO_TOT_CAP","FQ4 2017","FQ4 2017","Currency=INR","Period=FQ","BEST_FPERIOD_OVERRIDE=FQ","FILING_STATUS=OR","EQY_CONSOLIDATED=Y","Sort=A","Dates=H","DateFormat=P","Fill=—","Direction=H","UseDPDF=Y")</f>
        <v>#NAME?</v>
      </c>
      <c r="CM447" s="1" t="e">
        <f ca="1">_xll.BDH($C$428,"TOT_DEBT_TO_TOT_ASSET","FQ4 2017","FQ4 2017","Currency=INR","Period=FQ","BEST_FPERIOD_OVERRIDE=FQ","FILING_STATUS=OR","EQY_CONSOLIDATED=Y","Sort=A","Dates=H","DateFormat=P","Fill=—","Direction=H","UseDPDF=Y")</f>
        <v>#NAME?</v>
      </c>
      <c r="CN447" s="1" t="e">
        <f ca="1">_xll.BDH($C$428,"NET_DEBT_TO_SHRHLDR_EQTY","FQ4 2017","FQ4 2017","Currency=INR","Period=FQ","BEST_FPERIOD_OVERRIDE=FQ","FILING_STATUS=OR","EQY_CONSOLIDATED=Y","Sort=A","Dates=H","DateFormat=P","Fill=—","Direction=H","UseDPDF=Y")</f>
        <v>#NAME?</v>
      </c>
      <c r="CO447" s="1" t="e">
        <f ca="1">_xll.BDH($C$428,"NET_DEBT_%_CAPITAL","FQ4 2017","FQ4 2017","Currency=INR","Period=FQ","BEST_FPERIOD_OVERRIDE=FQ","FILING_STATUS=OR","EQY_CONSOLIDATED=Y","Sort=A","Dates=H","DateFormat=P","Fill=—","Direction=H","UseDPDF=Y")</f>
        <v>#NAME?</v>
      </c>
      <c r="CP447" s="2" t="e">
        <f ca="1">_xll.BDH($C$428,"EBITDA","FQ4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47" s="2" t="e">
        <f ca="1">_xll.BDH($C$428,"EBITDA_AFTER_CAPEX","FQ4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47" s="2" t="e">
        <f ca="1">_xll.BDH($C$428,"IS_OPER_INC","FQ4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47" s="1" t="e">
        <f ca="1">_xll.BDH($C$428,"CASH_RATIO","FQ4 2017","FQ4 2017","Currency=INR","Period=FQ","BEST_FPERIOD_OVERRIDE=FQ","FILING_STATUS=OR","EQY_CONSOLIDATED=Y","Sort=A","Dates=H","DateFormat=P","Fill=—","Direction=H","UseDPDF=Y")</f>
        <v>#NAME?</v>
      </c>
      <c r="CT447" s="1" t="e">
        <f ca="1">_xll.BDH($C$428,"CUR_RATIO","FQ4 2017","FQ4 2017","Currency=INR","Period=FQ","BEST_FPERIOD_OVERRIDE=FQ","FILING_STATUS=OR","EQY_CONSOLIDATED=Y","Sort=A","Dates=H","DateFormat=P","Fill=—","Direction=H","UseDPDF=Y")</f>
        <v>#NAME?</v>
      </c>
      <c r="CU447" s="1" t="e">
        <f ca="1">_xll.BDH($C$428,"QUICK_RATIO","FQ4 2017","FQ4 2017","Currency=INR","Period=FQ","BEST_FPERIOD_OVERRIDE=FQ","FILING_STATUS=OR","EQY_CONSOLIDATED=Y","Sort=A","Dates=H","DateFormat=P","Fill=—","Direction=H","UseDPDF=Y")</f>
        <v>#NAME?</v>
      </c>
      <c r="CV447" s="1" t="e">
        <f ca="1">_xll.BDH($C$428,"ALTMAN_Z_SCORE","FQ4 2017","FQ4 2017","Currency=INR","Period=FQ","BEST_FPERIOD_OVERRIDE=FQ","FILING_STATUS=OR","EQY_CONSOLIDATED=Y","Sort=A","Dates=H","DateFormat=P","Fill=—","Direction=H","UseDPDF=Y")</f>
        <v>#NAME?</v>
      </c>
      <c r="CW447" s="3" t="e">
        <f ca="1">_xll.BDH($C$428,"ACCT_RCV_TURN","FQ4 2017","FQ4 2017","Currency=INR","Period=FQ","BEST_FPERIOD_OVERRIDE=FQ","FILING_STATUS=OR","EQY_CONSOLIDATED=Y","FA_ADJUSTED=GAAP","Sort=A","Dates=H","DateFormat=P","Fill=—","Direction=H","UseDPDF=Y")</f>
        <v>#NAME?</v>
      </c>
      <c r="CX447" s="1" t="e">
        <f ca="1">_xll.BDH($C$428,"ACCT_RCV_DAYS","FQ4 2017","FQ4 2017","Currency=INR","Period=FQ","BEST_FPERIOD_OVERRIDE=FQ","FILING_STATUS=OR","EQY_CONSOLIDATED=Y","FA_ADJUSTED=GAAP","Sort=A","Dates=H","DateFormat=P","Fill=—","Direction=H","UseDPDF=Y")</f>
        <v>#NAME?</v>
      </c>
      <c r="CY447" s="3" t="e">
        <f ca="1">_xll.BDH($C$428,"INVENT_TURN","FQ4 2017","FQ4 2017","Currency=INR","Period=FQ","BEST_FPERIOD_OVERRIDE=FQ","FILING_STATUS=OR","EQY_CONSOLIDATED=Y","FA_ADJUSTED=GAAP","Sort=A","Dates=H","DateFormat=P","Fill=—","Direction=H","UseDPDF=Y")</f>
        <v>#NAME?</v>
      </c>
      <c r="CZ447" s="1" t="e">
        <f ca="1">_xll.BDH($C$428,"INVENT_DAYS","FQ4 2017","FQ4 2017","Currency=INR","Period=FQ","BEST_FPERIOD_OVERRIDE=FQ","FILING_STATUS=OR","EQY_CONSOLIDATED=Y","FA_ADJUSTED=GAAP","Sort=A","Dates=H","DateFormat=P","Fill=—","Direction=H","UseDPDF=Y")</f>
        <v>#NAME?</v>
      </c>
      <c r="DA447" s="3" t="e">
        <f ca="1">_xll.BDH($C$428,"ACCOUNTS_PAYABLE_TURNOVER","FQ4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47" s="1" t="e">
        <f ca="1">_xll.BDH($C$428,"ACCOUNTS_PAYABLE_TURNOVER_DAYS","FQ4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47" s="3" t="e">
        <f ca="1">_xll.BDH($C$428,"CASH_CONVERSION_CYCLE","FQ4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47" s="3" t="e">
        <f ca="1">_xll.BDH($C$428,"INV_TO_CASH_DAYS","FQ4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447" s="4" t="e">
        <f ca="1">_xll.BDH($C$428,"BS_INVENTORIES","FQ4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447" s="2" t="e">
        <f ca="1">_xll.BDH($C$428,"INVTRY_RAW_MATERIALS","FQ4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47" s="2" t="e">
        <f ca="1">_xll.BDH($C$428,"INVTRY_IN_PROGRESS","FQ4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47" s="2" t="e">
        <f ca="1">_xll.BDH($C$428,"INVTRY_FINISHED_GOODS","FQ4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47" s="2" t="e">
        <f ca="1">_xll.BDH($C$428,"BS_OTHER_INV","FQ4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48" spans="1:113" x14ac:dyDescent="0.3">
      <c r="A448" s="6"/>
      <c r="B448" s="6"/>
      <c r="C448" s="6"/>
      <c r="D448" s="6" t="s">
        <v>11</v>
      </c>
      <c r="E448" t="s">
        <v>3</v>
      </c>
      <c r="F448" t="e">
        <f ca="1">_xll.BDH($C$428,"RETURN_COM_EQY","FY 2018","FY 2018","Currency=INR","Period=FY","BEST_FPERIOD_OVERRIDE=FY","FILING_STATUS=OR","EQY_CONSOLIDATED=Y","FA_ADJUSTED=GAAP","Sort=A","Dates=H","DateFormat=P","Fill=—","Direction=H","UseDPDF=Y")</f>
        <v>#NAME?</v>
      </c>
      <c r="G448" t="e">
        <f ca="1">_xll.BDH($C$428,"RETURN_ON_ASSET","FY 2018","FY 2018","Currency=INR","Period=FY","BEST_FPERIOD_OVERRIDE=FY","FILING_STATUS=OR","EQY_CONSOLIDATED=Y","FA_ADJUSTED=GAAP","Sort=A","Dates=H","DateFormat=P","Fill=—","Direction=H","UseDPDF=Y")</f>
        <v>#NAME?</v>
      </c>
      <c r="H448" t="e">
        <f ca="1">_xll.BDH($C$428,"RETURN_ON_CAP","FY 2018","FY 2018","Currency=INR","Period=FY","BEST_FPERIOD_OVERRIDE=FY","FILING_STATUS=OR","EQY_CONSOLIDATED=Y","FA_ADJUSTED=GAAP","Sort=A","Dates=H","DateFormat=P","Fill=—","Direction=H","UseDPDF=Y")</f>
        <v>#NAME?</v>
      </c>
      <c r="I448" t="e">
        <f ca="1">_xll.BDH($C$428,"RETURN_ON_INV_CAPITAL","FY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48" t="e">
        <f ca="1">_xll.BDH($C$428,"EBITDA_TO_REVENUE","FY 2018","FY 2018","Currency=INR","Period=FY","BEST_FPERIOD_OVERRIDE=FY","FILING_STATUS=OR","EQY_CONSOLIDATED=Y","FA_ADJUSTED=GAAP","Sort=A","Dates=H","DateFormat=P","Fill=—","Direction=H","UseDPDF=Y")</f>
        <v>#NAME?</v>
      </c>
      <c r="K448" t="e">
        <f ca="1">_xll.BDH($C$428,"OPER_MARGIN","FY 2018","FY 2018","Currency=INR","Period=FY","BEST_FPERIOD_OVERRIDE=FY","FILING_STATUS=OR","EQY_CONSOLIDATED=Y","FA_ADJUSTED=GAAP","Sort=A","Dates=H","DateFormat=P","Fill=—","Direction=H","UseDPDF=Y")</f>
        <v>#NAME?</v>
      </c>
      <c r="L448" t="e">
        <f ca="1">_xll.BDH($C$428,"INCREMENTAL_OPERATING_MARGIN","FY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48" t="e">
        <f ca="1">_xll.BDH($C$428,"PRETAX_INC_TO_NET_SALES","FY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48" t="e">
        <f ca="1">_xll.BDH($C$428,"INC_BEF_XO_ITEMS_TO_NET_SALES","FY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48" t="e">
        <f ca="1">_xll.BDH($C$428,"PROF_MARGIN","FY 2018","FY 2018","Currency=INR","Period=FY","BEST_FPERIOD_OVERRIDE=FY","FILING_STATUS=OR","EQY_CONSOLIDATED=Y","FA_ADJUSTED=GAAP","Sort=A","Dates=H","DateFormat=P","Fill=—","Direction=H","UseDPDF=Y")</f>
        <v>#NAME?</v>
      </c>
      <c r="P448" t="e">
        <f ca="1">_xll.BDH($C$428,"NET_INCOME_TO_COMMON_MARGIN","FY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48" t="e">
        <f ca="1">_xll.BDH($C$428,"EFF_TAX_RATE","FY 2018","FY 2018","Currency=INR","Period=FY","BEST_FPERIOD_OVERRIDE=FY","FILING_STATUS=OR","EQY_CONSOLIDATED=Y","FA_ADJUSTED=GAAP","Sort=A","Dates=H","DateFormat=P","Fill=—","Direction=H","UseDPDF=Y")</f>
        <v>#NAME?</v>
      </c>
      <c r="R448" t="e">
        <f ca="1">_xll.BDH($C$428,"DVD_PAYOUT_RATIO","FY 2018","FY 2018","Currency=INR","Period=FY","BEST_FPERIOD_OVERRIDE=FY","FILING_STATUS=OR","EQY_CONSOLIDATED=Y","FA_ADJUSTED=GAAP","Sort=A","Dates=H","DateFormat=P","Fill=—","Direction=H","UseDPDF=Y")</f>
        <v>#NAME?</v>
      </c>
      <c r="S448" t="e">
        <f ca="1">_xll.BDH($C$428,"SUSTAIN_GROWTH_RT","FY 2018","FY 2018","Currency=INR","Period=FY","BEST_FPERIOD_OVERRIDE=FY","FILING_STATUS=OR","EQY_CONSOLIDATED=Y","FA_ADJUSTED=GAAP","Sort=A","Dates=H","DateFormat=P","Fill=—","Direction=H","UseDPDF=Y")</f>
        <v>#NAME?</v>
      </c>
      <c r="T448" s="1" t="e">
        <f ca="1">_xll.BDH($C$428,"SALES_GROWTH","FY 2018","FY 2018","Currency=INR","Period=FY","BEST_FPERIOD_OVERRIDE=FY","FILING_STATUS=OR","EQY_CONSOLIDATED=Y","FA_ADJUSTED=GAAP","Sort=A","Dates=H","DateFormat=P","Fill=—","Direction=H","UseDPDF=Y")</f>
        <v>#NAME?</v>
      </c>
      <c r="U448" s="1" t="e">
        <f ca="1">_xll.BDH($C$428,"EBITDA_GROWTH","FY 2018","FY 2018","Currency=INR","Period=FY","BEST_FPERIOD_OVERRIDE=FY","FILING_STATUS=OR","EQY_CONSOLIDATED=Y","FA_ADJUSTED=GAAP","Sort=A","Dates=H","DateFormat=P","Fill=—","Direction=H","UseDPDF=Y")</f>
        <v>#NAME?</v>
      </c>
      <c r="V448" s="1" t="e">
        <f ca="1">_xll.BDH($C$428,"OPER_INC_GROWTH","FY 2018","FY 2018","Currency=INR","Period=FY","BEST_FPERIOD_OVERRIDE=FY","FILING_STATUS=OR","EQY_CONSOLIDATED=Y","FA_ADJUSTED=GAAP","Sort=A","Dates=H","DateFormat=P","Fill=—","Direction=H","UseDPDF=Y")</f>
        <v>#NAME?</v>
      </c>
      <c r="W448" s="1" t="e">
        <f ca="1">_xll.BDH($C$428,"EARN_FOR_COM_GROWTH","FY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448" s="1" t="e">
        <f ca="1">_xll.BDH($C$428,"DILUTED_EPS_AFT_XO_ITEMS_GROWTH","FY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48" s="1" t="e">
        <f ca="1">_xll.BDH($C$428,"DIVIDEND_PER_SHARE_1_YEAR_GROWTH","FY 2018","FY 2018","Currency=INR","Period=FY","BEST_FPERIOD_OVERRIDE=FY","FILING_STATUS=OR","EQY_CONSOLIDATED=Y","Sort=A","Dates=H","DateFormat=P","Fill=—","Direction=H","UseDPDF=Y")</f>
        <v>#NAME?</v>
      </c>
      <c r="Z448" s="1" t="e">
        <f ca="1">_xll.BDH($C$428,"ACCOUNTS_RECEIVABLE_GROWTH","FY 2018","FY 2018","Currency=INR","Period=FY","BEST_FPERIOD_OVERRIDE=FY","FILING_STATUS=OR","EQY_CONSOLIDATED=Y","Sort=A","Dates=H","DateFormat=P","Fill=—","Direction=H","UseDPDF=Y")</f>
        <v>#NAME?</v>
      </c>
      <c r="AA448" s="1" t="e">
        <f ca="1">_xll.BDH($C$428,"INVENTORY_GROWTH","FY 2018","FY 2018","Currency=INR","Period=FY","BEST_FPERIOD_OVERRIDE=FY","FILING_STATUS=OR","EQY_CONSOLIDATED=Y","Sort=A","Dates=H","DateFormat=P","Fill=—","Direction=H","UseDPDF=Y")</f>
        <v>#NAME?</v>
      </c>
      <c r="AB448" s="1" t="e">
        <f ca="1">_xll.BDH($C$428,"NET_FIXED_ASSETS_1_YEAR_GROWTH","FY 2018","FY 2018","Currency=INR","Period=FY","BEST_FPERIOD_OVERRIDE=FY","FILING_STATUS=OR","EQY_CONSOLIDATED=Y","Sort=A","Dates=H","DateFormat=P","Fill=—","Direction=H","UseDPDF=Y")</f>
        <v>#NAME?</v>
      </c>
      <c r="AC448" s="1" t="e">
        <f ca="1">_xll.BDH($C$428,"ASSET_GROWTH","FY 2018","FY 2018","Currency=INR","Period=FY","BEST_FPERIOD_OVERRIDE=FY","FILING_STATUS=OR","EQY_CONSOLIDATED=Y","Sort=A","Dates=H","DateFormat=P","Fill=—","Direction=H","UseDPDF=Y")</f>
        <v>#NAME?</v>
      </c>
      <c r="AD448" s="1" t="e">
        <f ca="1">_xll.BDH($C$428,"MODIFIED_WORK_CAP_GROWTH","FY 2018","FY 2018","Currency=INR","Period=FY","BEST_FPERIOD_OVERRIDE=FY","FILING_STATUS=OR","EQY_CONSOLIDATED=Y","Sort=A","Dates=H","DateFormat=P","Fill=—","Direction=H","UseDPDF=Y")</f>
        <v>#NAME?</v>
      </c>
      <c r="AE448" s="1" t="e">
        <f ca="1">_xll.BDH($C$428,"WORK_CAP_GROWTH","FY 2018","FY 2018","Currency=INR","Period=FY","BEST_FPERIOD_OVERRIDE=FY","FILING_STATUS=OR","EQY_CONSOLIDATED=Y","Sort=A","Dates=H","DateFormat=P","Fill=—","Direction=H","UseDPDF=Y")</f>
        <v>#NAME?</v>
      </c>
      <c r="AF448" s="1" t="e">
        <f ca="1">_xll.BDH($C$428,"ACCOUNTS_PAYABLE_GROWTH_1YR","FY 2018","FY 2018","Currency=INR","Period=FY","BEST_FPERIOD_OVERRIDE=FY","FILING_STATUS=OR","EQY_CONSOLIDATED=Y","Sort=A","Dates=H","DateFormat=P","Fill=—","Direction=H","UseDPDF=Y")</f>
        <v>#NAME?</v>
      </c>
      <c r="AG448" s="1" t="e">
        <f ca="1">_xll.BDH($C$428,"SHORT_TERM_DEBT_1_YEAR_GROWTH","FY 2018","FY 2018","Currency=INR","Period=FY","BEST_FPERIOD_OVERRIDE=FY","FILING_STATUS=OR","EQY_CONSOLIDATED=Y","Sort=A","Dates=H","DateFormat=P","Fill=—","Direction=H","UseDPDF=Y")</f>
        <v>#NAME?</v>
      </c>
      <c r="AH448" s="1" t="e">
        <f ca="1">_xll.BDH($C$428,"TOTAL_DEBT_1_YEAR_GROWTH","FY 2018","FY 2018","Currency=INR","Period=FY","BEST_FPERIOD_OVERRIDE=FY","FILING_STATUS=OR","EQY_CONSOLIDATED=Y","Sort=A","Dates=H","DateFormat=P","Fill=—","Direction=H","UseDPDF=Y")</f>
        <v>#NAME?</v>
      </c>
      <c r="AI448" s="1" t="e">
        <f ca="1">_xll.BDH($C$428,"TOTAL_EQUITY_1_YEAR_GROWTH","FY 2018","FY 2018","Currency=INR","Period=FY","BEST_FPERIOD_OVERRIDE=FY","FILING_STATUS=OR","EQY_CONSOLIDATED=Y","Sort=A","Dates=H","DateFormat=P","Fill=—","Direction=H","UseDPDF=Y")</f>
        <v>#NAME?</v>
      </c>
      <c r="AJ448" s="1" t="e">
        <f ca="1">_xll.BDH($C$428,"GROWTH_IN_CAP","FY 2018","FY 2018","Currency=INR","Period=FY","BEST_FPERIOD_OVERRIDE=FY","FILING_STATUS=OR","EQY_CONSOLIDATED=Y","Sort=A","Dates=H","DateFormat=P","Fill=—","Direction=H","UseDPDF=Y")</f>
        <v>#NAME?</v>
      </c>
      <c r="AK448" s="1" t="e">
        <f ca="1">_xll.BDH($C$428,"BVPS_GROWTH","FY 2018","FY 2018","Currency=INR","Period=FY","BEST_FPERIOD_OVERRIDE=FY","FILING_STATUS=OR","EQY_CONSOLIDATED=Y","Sort=A","Dates=H","DateFormat=P","Fill=—","Direction=H","UseDPDF=Y")</f>
        <v>#NAME?</v>
      </c>
      <c r="AL448" s="1" t="e">
        <f ca="1">_xll.BDH($C$428,"CASH_FLOW_GROWTH","FY 2018","FY 2018","Currency=INR","Period=FY","BEST_FPERIOD_OVERRIDE=FY","FILING_STATUS=OR","EQY_CONSOLIDATED=Y","Sort=A","Dates=H","DateFormat=P","Fill=—","Direction=H","UseDPDF=Y")</f>
        <v>#NAME?</v>
      </c>
      <c r="AM448" s="1" t="e">
        <f ca="1">_xll.BDH($C$428,"GEO_GROW_NET_SALES","FY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448" s="1" t="e">
        <f ca="1">_xll.BDH($C$428,"GEO_GROW_EBITDA","FY 2018","FY 2018","Currency=INR","Period=FY","BEST_FPERIOD_OVERRIDE=FY","FILING_STATUS=OR","EQY_CONSOLIDATED=Y","FA_ADJUSTED=GAAP","Sort=A","Dates=H","DateFormat=P","Fill=—","Direction=H","UseDPDF=Y")</f>
        <v>#NAME?</v>
      </c>
      <c r="AO448" s="1" t="e">
        <f ca="1">_xll.BDH($C$428,"GEO_GROW_OPER_INC","FY 2018","FY 2018","Currency=INR","Period=FY","BEST_FPERIOD_OVERRIDE=FY","FILING_STATUS=OR","EQY_CONSOLIDATED=Y","FA_ADJUSTED=GAAP","Sort=A","Dates=H","DateFormat=P","Fill=—","Direction=H","UseDPDF=Y")</f>
        <v>#NAME?</v>
      </c>
      <c r="AP448" s="1" t="e">
        <f ca="1">_xll.BDH($C$428,"NET_INCOME_TO_COMMON_5_YR_GROWTH","FY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48" s="1" t="e">
        <f ca="1">_xll.BDH($C$428,"5Y_GEO_GROWTH_DILUTED_EPS","FY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48" s="1" t="e">
        <f ca="1">_xll.BDH($C$428,"GEO_GROW_DVD_PER_SH","FY 2018","FY 2018","Currency=INR","Period=FY","BEST_FPERIOD_OVERRIDE=FY","FILING_STATUS=OR","EQY_CONSOLIDATED=Y","Sort=A","Dates=H","DateFormat=P","Fill=—","Direction=H","UseDPDF=Y")</f>
        <v>#NAME?</v>
      </c>
      <c r="AS448" s="1" t="e">
        <f ca="1">_xll.BDH($C$428,"ACCOUNTS_RECEIVABLE_5_YR_GROWTH","FY 2018","FY 2018","Currency=INR","Period=FY","BEST_FPERIOD_OVERRIDE=FY","FILING_STATUS=OR","EQY_CONSOLIDATED=Y","Sort=A","Dates=H","DateFormat=P","Fill=—","Direction=H","UseDPDF=Y")</f>
        <v>#NAME?</v>
      </c>
      <c r="AT448" s="1" t="e">
        <f ca="1">_xll.BDH($C$428,"INVENTORY_5_YEAR_GROWTH","FY 2018","FY 2018","Currency=INR","Period=FY","BEST_FPERIOD_OVERRIDE=FY","FILING_STATUS=OR","EQY_CONSOLIDATED=Y","Sort=A","Dates=H","DateFormat=P","Fill=—","Direction=H","UseDPDF=Y")</f>
        <v>#NAME?</v>
      </c>
      <c r="AU448" s="1" t="e">
        <f ca="1">_xll.BDH($C$428,"NET_FIXED_ASSETS_5_YEAR_GROWTH","FY 2018","FY 2018","Currency=INR","Period=FY","BEST_FPERIOD_OVERRIDE=FY","FILING_STATUS=OR","EQY_CONSOLIDATED=Y","Sort=A","Dates=H","DateFormat=P","Fill=—","Direction=H","UseDPDF=Y")</f>
        <v>#NAME?</v>
      </c>
      <c r="AV448" s="1" t="e">
        <f ca="1">_xll.BDH($C$428,"GEO_GROW_TOT_ASSET","FY 2018","FY 2018","Currency=INR","Period=FY","BEST_FPERIOD_OVERRIDE=FY","FILING_STATUS=OR","EQY_CONSOLIDATED=Y","Sort=A","Dates=H","DateFormat=P","Fill=—","Direction=H","UseDPDF=Y")</f>
        <v>#NAME?</v>
      </c>
      <c r="AW448" s="1" t="e">
        <f ca="1">_xll.BDH($C$428,"MODIFIED_WORKING_CPTL_5YR_GRWTH","FY 2018","FY 2018","Currency=INR","Period=FY","BEST_FPERIOD_OVERRIDE=FY","FILING_STATUS=OR","EQY_CONSOLIDATED=Y","Sort=A","Dates=H","DateFormat=P","Fill=—","Direction=H","UseDPDF=Y")</f>
        <v>#NAME?</v>
      </c>
      <c r="AX448" s="1" t="e">
        <f ca="1">_xll.BDH($C$428,"WORKING_CAPITAL_5_YEAR_GROWTH","FY 2018","FY 2018","Currency=INR","Period=FY","BEST_FPERIOD_OVERRIDE=FY","FILING_STATUS=OR","EQY_CONSOLIDATED=Y","Sort=A","Dates=H","DateFormat=P","Fill=—","Direction=H","UseDPDF=Y")</f>
        <v>#NAME?</v>
      </c>
      <c r="AY448" s="1" t="e">
        <f ca="1">_xll.BDH($C$428,"ACCOUNTS_PAYABLE_5_YEAR_GROWTH","FY 2018","FY 2018","Currency=INR","Period=FY","BEST_FPERIOD_OVERRIDE=FY","FILING_STATUS=OR","EQY_CONSOLIDATED=Y","Sort=A","Dates=H","DateFormat=P","Fill=—","Direction=H","UseDPDF=Y")</f>
        <v>#NAME?</v>
      </c>
      <c r="AZ448" s="1" t="e">
        <f ca="1">_xll.BDH($C$428,"SHORT_TERM_DEBT_5_YEAR_GROWTH","FY 2018","FY 2018","Currency=INR","Period=FY","BEST_FPERIOD_OVERRIDE=FY","FILING_STATUS=OR","EQY_CONSOLIDATED=Y","Sort=A","Dates=H","DateFormat=P","Fill=—","Direction=H","UseDPDF=Y")</f>
        <v>#NAME?</v>
      </c>
      <c r="BA448" s="1" t="e">
        <f ca="1">_xll.BDH($C$428,"TOTAL_DEBT_5_YEAR_GROWTH","FY 2018","FY 2018","Currency=INR","Period=FY","BEST_FPERIOD_OVERRIDE=FY","FILING_STATUS=OR","EQY_CONSOLIDATED=Y","Sort=A","Dates=H","DateFormat=P","Fill=—","Direction=H","UseDPDF=Y")</f>
        <v>#NAME?</v>
      </c>
      <c r="BB448" s="1" t="e">
        <f ca="1">_xll.BDH($C$428,"GEO_GROW_TOT_SHRHLDR_EQY","FY 2018","FY 2018","Currency=INR","Period=FY","BEST_FPERIOD_OVERRIDE=FY","FILING_STATUS=OR","EQY_CONSOLIDATED=Y","Sort=A","Dates=H","DateFormat=P","Fill=—","Direction=H","UseDPDF=Y")</f>
        <v>#NAME?</v>
      </c>
      <c r="BC448" s="1" t="e">
        <f ca="1">_xll.BDH($C$428,"TOTAL_CAPITAL_5_YEAR_GROWTH","FY 2018","FY 2018","Currency=INR","Period=FY","BEST_FPERIOD_OVERRIDE=FY","FILING_STATUS=OR","EQY_CONSOLIDATED=Y","Sort=A","Dates=H","DateFormat=P","Fill=—","Direction=H","UseDPDF=Y")</f>
        <v>#NAME?</v>
      </c>
      <c r="BD448" s="1" t="e">
        <f ca="1">_xll.BDH($C$428,"GEO_GROW_BOOK_VAL","FY 2018","FY 2018","Currency=INR","Period=FY","BEST_FPERIOD_OVERRIDE=FY","FILING_STATUS=OR","EQY_CONSOLIDATED=Y","Sort=A","Dates=H","DateFormat=P","Fill=—","Direction=H","UseDPDF=Y")</f>
        <v>#NAME?</v>
      </c>
      <c r="BE448" s="1" t="e">
        <f ca="1">_xll.BDH($C$428,"GEO_GROW_CASH_OPER_ACT","FY 2018","FY 2018","Currency=INR","Period=FY","BEST_FPERIOD_OVERRIDE=FY","FILING_STATUS=OR","EQY_CONSOLIDATED=Y","Sort=A","Dates=H","DateFormat=P","Fill=—","Direction=H","UseDPDF=Y")</f>
        <v>#NAME?</v>
      </c>
      <c r="BF448" s="1" t="e">
        <f ca="1">_xll.BDH($C$428,"REVENUE_SEQUENTIAL_GROWTH","FY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48" s="1" t="e">
        <f ca="1">_xll.BDH($C$428,"EBITDA_SEQUENTIAL_GROWTH","FY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48" s="1" t="e">
        <f ca="1">_xll.BDH($C$428,"OPERATING_INCOME_SEQ_GROWTH","FY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48" s="1" t="e">
        <f ca="1">_xll.BDH($C$428,"NET_INCOME_TO_COMMON_SEQ_GROWTH","FY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48" s="1" t="e">
        <f ca="1">_xll.BDH($C$428,"EPS_DILUTED_SEQUENTIAL_GROWTH","FY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48" s="1" t="e">
        <f ca="1">_xll.BDH($C$428,"DPS_SEQUENTIAL_GROWTH","FY 2018","FY 2018","Currency=INR","Period=FY","BEST_FPERIOD_OVERRIDE=FY","FILING_STATUS=OR","EQY_CONSOLIDATED=Y","Sort=A","Dates=H","DateFormat=P","Fill=—","Direction=H","UseDPDF=Y")</f>
        <v>#NAME?</v>
      </c>
      <c r="BL448" s="1" t="e">
        <f ca="1">_xll.BDH($C$428,"ACCOUNTS_RECEIVABLE_SEQ_GROWTH","FY 2018","FY 2018","Currency=INR","Period=FY","BEST_FPERIOD_OVERRIDE=FY","FILING_STATUS=OR","EQY_CONSOLIDATED=Y","Sort=A","Dates=H","DateFormat=P","Fill=—","Direction=H","UseDPDF=Y")</f>
        <v>#NAME?</v>
      </c>
      <c r="BM448" s="1" t="e">
        <f ca="1">_xll.BDH($C$428,"INVENTORY_SEQUENTIAL_GROWTH","FY 2018","FY 2018","Currency=INR","Period=FY","BEST_FPERIOD_OVERRIDE=FY","FILING_STATUS=OR","EQY_CONSOLIDATED=Y","Sort=A","Dates=H","DateFormat=P","Fill=—","Direction=H","UseDPDF=Y")</f>
        <v>#NAME?</v>
      </c>
      <c r="BN448" s="1" t="e">
        <f ca="1">_xll.BDH($C$428,"FIXED_ASSETS_SEQUENTIAL_GROWTH","FY 2018","FY 2018","Currency=INR","Period=FY","BEST_FPERIOD_OVERRIDE=FY","FILING_STATUS=OR","EQY_CONSOLIDATED=Y","Sort=A","Dates=H","DateFormat=P","Fill=—","Direction=H","UseDPDF=Y")</f>
        <v>#NAME?</v>
      </c>
      <c r="BO448" s="1" t="e">
        <f ca="1">_xll.BDH($C$428,"TOTAL_ASSETS_SEQUENTIAL_GROWTH","FY 2018","FY 2018","Currency=INR","Period=FY","BEST_FPERIOD_OVERRIDE=FY","FILING_STATUS=OR","EQY_CONSOLIDATED=Y","Sort=A","Dates=H","DateFormat=P","Fill=—","Direction=H","UseDPDF=Y")</f>
        <v>#NAME?</v>
      </c>
      <c r="BP448" s="1" t="e">
        <f ca="1">_xll.BDH($C$428,"MODIFIED_WORKING_CPTL_SEQ_GRWTH","FY 2018","FY 2018","Currency=INR","Period=FY","BEST_FPERIOD_OVERRIDE=FY","FILING_STATUS=OR","EQY_CONSOLIDATED=Y","Sort=A","Dates=H","DateFormat=P","Fill=—","Direction=H","UseDPDF=Y")</f>
        <v>#NAME?</v>
      </c>
      <c r="BQ448" s="1" t="e">
        <f ca="1">_xll.BDH($C$428,"WORKING_CAPITAL_SEQ_GROWTH","FY 2018","FY 2018","Currency=INR","Period=FY","BEST_FPERIOD_OVERRIDE=FY","FILING_STATUS=OR","EQY_CONSOLIDATED=Y","Sort=A","Dates=H","DateFormat=P","Fill=—","Direction=H","UseDPDF=Y")</f>
        <v>#NAME?</v>
      </c>
      <c r="BR448" s="1" t="e">
        <f ca="1">_xll.BDH($C$428,"ACCOUNTS_PAYABLE_SEQ_GROWTH","FY 2018","FY 2018","Currency=INR","Period=FY","BEST_FPERIOD_OVERRIDE=FY","FILING_STATUS=OR","EQY_CONSOLIDATED=Y","Sort=A","Dates=H","DateFormat=P","Fill=—","Direction=H","UseDPDF=Y")</f>
        <v>#NAME?</v>
      </c>
      <c r="BS448" s="1" t="e">
        <f ca="1">_xll.BDH($C$428,"ST_DEBT_SEQUENTIAL_GROWTH","FY 2018","FY 2018","Currency=INR","Period=FY","BEST_FPERIOD_OVERRIDE=FY","FILING_STATUS=OR","EQY_CONSOLIDATED=Y","Sort=A","Dates=H","DateFormat=P","Fill=—","Direction=H","UseDPDF=Y")</f>
        <v>#NAME?</v>
      </c>
      <c r="BT448" s="1" t="e">
        <f ca="1">_xll.BDH($C$428,"TOTAL_DEBT_SEQUENTIAL_GROWTH","FY 2018","FY 2018","Currency=INR","Period=FY","BEST_FPERIOD_OVERRIDE=FY","FILING_STATUS=OR","EQY_CONSOLIDATED=Y","Sort=A","Dates=H","DateFormat=P","Fill=—","Direction=H","UseDPDF=Y")</f>
        <v>#NAME?</v>
      </c>
      <c r="BU448" s="1" t="e">
        <f ca="1">_xll.BDH($C$428,"TOTAL_EQUITY_SEQUENTIAL_GROWTH","FY 2018","FY 2018","Currency=INR","Period=FY","BEST_FPERIOD_OVERRIDE=FY","FILING_STATUS=OR","EQY_CONSOLIDATED=Y","Sort=A","Dates=H","DateFormat=P","Fill=—","Direction=H","UseDPDF=Y")</f>
        <v>#NAME?</v>
      </c>
      <c r="BV448" s="1" t="e">
        <f ca="1">_xll.BDH($C$428,"TOTAL_CAPITAL_SEQUENTIAL_GROWTH","FY 2018","FY 2018","Currency=INR","Period=FY","BEST_FPERIOD_OVERRIDE=FY","FILING_STATUS=OR","EQY_CONSOLIDATED=Y","Sort=A","Dates=H","DateFormat=P","Fill=—","Direction=H","UseDPDF=Y")</f>
        <v>#NAME?</v>
      </c>
      <c r="BW448" s="1" t="e">
        <f ca="1">_xll.BDH($C$428,"BPS_SEQUENTIAL_GROWTH","FY 2018","FY 2018","Currency=INR","Period=FY","BEST_FPERIOD_OVERRIDE=FY","FILING_STATUS=OR","EQY_CONSOLIDATED=Y","Sort=A","Dates=H","DateFormat=P","Fill=—","Direction=H","UseDPDF=Y")</f>
        <v>#NAME?</v>
      </c>
      <c r="BX448" s="1" t="e">
        <f ca="1">_xll.BDH($C$428,"CFO_SEQUENTIAL_GROWTH","FY 2018","FY 2018","Currency=INR","Period=FY","BEST_FPERIOD_OVERRIDE=FY","FILING_STATUS=OR","EQY_CONSOLIDATED=Y","Sort=A","Dates=H","DateFormat=P","Fill=—","Direction=H","UseDPDF=Y")</f>
        <v>#NAME?</v>
      </c>
      <c r="BY448" s="2" t="e">
        <f ca="1">_xll.BDH($C$428,"SHORT_AND_LONG_TERM_DEBT","FY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48" s="2" t="e">
        <f ca="1">_xll.BDH($C$428,"BS_ST_BORROW","FY 2018","FY 2018","Currency=INR","Period=FY","BEST_FPERIOD_OVERRIDE=FY","FILING_STATUS=OR","EQY_CONSOLIDATED=Y","SCALING_FORMAT=MLN","Sort=A","Dates=H","DateFormat=P","Fill=—","Direction=H","UseDPDF=Y")</f>
        <v>#NAME?</v>
      </c>
      <c r="CA448" s="2" t="e">
        <f ca="1">_xll.BDH($C$428,"BS_LT_BORROW","FY 2018","FY 2018","Currency=INR","Period=FY","BEST_FPERIOD_OVERRIDE=FY","FILING_STATUS=OR","EQY_CONSOLIDATED=Y","SCALING_FORMAT=MLN","Sort=A","Dates=H","DateFormat=P","Fill=—","Direction=H","UseDPDF=Y")</f>
        <v>#NAME?</v>
      </c>
      <c r="CB448" s="1" t="e">
        <f ca="1">_xll.BDH($C$428,"TOT_DEBT_TO_EBITDA","FY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448" s="1" t="e">
        <f ca="1">_xll.BDH($C$428,"NET_DEBT_TO_EBITDA","FY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448" s="1" t="e">
        <f ca="1">_xll.BDH($C$428,"TOTAL_DEBT_TO_EBIT","FY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448" s="1" t="e">
        <f ca="1">_xll.BDH($C$428,"NET_DEBT_TO_EBIT","FY 2018","FY 2018","Currency=INR","Period=FY","BEST_FPERIOD_OVERRIDE=FY","FILING_STATUS=OR","EQY_CONSOLIDATED=Y","FA_ADJUSTED=GAAP","Sort=A","Dates=H","DateFormat=P","Fill=—","Direction=H","UseDPDF=Y")</f>
        <v>#NAME?</v>
      </c>
      <c r="CF448" s="1" t="e">
        <f ca="1">_xll.BDH($C$428,"EBITDA_TO_INTEREST_EXPN","FY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48" s="1" t="e">
        <f ca="1">_xll.BDH($C$428,"COM_EQY_TO_TOT_ASSET","FY 2018","FY 2018","Currency=INR","Period=FY","BEST_FPERIOD_OVERRIDE=FY","FILING_STATUS=OR","EQY_CONSOLIDATED=Y","Sort=A","Dates=H","DateFormat=P","Fill=—","Direction=H","UseDPDF=Y")</f>
        <v>#NAME?</v>
      </c>
      <c r="CH448" s="1" t="e">
        <f ca="1">_xll.BDH($C$428,"LT_DEBT_TO_TOT_EQY","FY 2018","FY 2018","Currency=INR","Period=FY","BEST_FPERIOD_OVERRIDE=FY","FILING_STATUS=OR","EQY_CONSOLIDATED=Y","Sort=A","Dates=H","DateFormat=P","Fill=—","Direction=H","UseDPDF=Y")</f>
        <v>#NAME?</v>
      </c>
      <c r="CI448" s="1" t="e">
        <f ca="1">_xll.BDH($C$428,"LT_DEBT_TO_TOT_CAP","FY 2018","FY 2018","Currency=INR","Period=FY","BEST_FPERIOD_OVERRIDE=FY","FILING_STATUS=OR","EQY_CONSOLIDATED=Y","Sort=A","Dates=H","DateFormat=P","Fill=—","Direction=H","UseDPDF=Y")</f>
        <v>#NAME?</v>
      </c>
      <c r="CJ448" s="1" t="e">
        <f ca="1">_xll.BDH($C$428,"LT_DEBT_TO_TOT_ASSET","FY 2018","FY 2018","Currency=INR","Period=FY","BEST_FPERIOD_OVERRIDE=FY","FILING_STATUS=OR","EQY_CONSOLIDATED=Y","Sort=A","Dates=H","DateFormat=P","Fill=—","Direction=H","UseDPDF=Y")</f>
        <v>#NAME?</v>
      </c>
      <c r="CK448" s="1" t="e">
        <f ca="1">_xll.BDH($C$428,"TOT_DEBT_TO_TOT_EQY","FY 2018","FY 2018","Currency=INR","Period=FY","BEST_FPERIOD_OVERRIDE=FY","FILING_STATUS=OR","EQY_CONSOLIDATED=Y","Sort=A","Dates=H","DateFormat=P","Fill=—","Direction=H","UseDPDF=Y")</f>
        <v>#NAME?</v>
      </c>
      <c r="CL448" s="1" t="e">
        <f ca="1">_xll.BDH($C$428,"TOT_DEBT_TO_TOT_CAP","FY 2018","FY 2018","Currency=INR","Period=FY","BEST_FPERIOD_OVERRIDE=FY","FILING_STATUS=OR","EQY_CONSOLIDATED=Y","Sort=A","Dates=H","DateFormat=P","Fill=—","Direction=H","UseDPDF=Y")</f>
        <v>#NAME?</v>
      </c>
      <c r="CM448" s="1" t="e">
        <f ca="1">_xll.BDH($C$428,"TOT_DEBT_TO_TOT_ASSET","FY 2018","FY 2018","Currency=INR","Period=FY","BEST_FPERIOD_OVERRIDE=FY","FILING_STATUS=OR","EQY_CONSOLIDATED=Y","Sort=A","Dates=H","DateFormat=P","Fill=—","Direction=H","UseDPDF=Y")</f>
        <v>#NAME?</v>
      </c>
      <c r="CN448" s="1" t="e">
        <f ca="1">_xll.BDH($C$428,"NET_DEBT_TO_SHRHLDR_EQTY","FY 2018","FY 2018","Currency=INR","Period=FY","BEST_FPERIOD_OVERRIDE=FY","FILING_STATUS=OR","EQY_CONSOLIDATED=Y","Sort=A","Dates=H","DateFormat=P","Fill=—","Direction=H","UseDPDF=Y")</f>
        <v>#NAME?</v>
      </c>
      <c r="CO448" s="1" t="e">
        <f ca="1">_xll.BDH($C$428,"NET_DEBT_%_CAPITAL","FY 2018","FY 2018","Currency=INR","Period=FY","BEST_FPERIOD_OVERRIDE=FY","FILING_STATUS=OR","EQY_CONSOLIDATED=Y","Sort=A","Dates=H","DateFormat=P","Fill=—","Direction=H","UseDPDF=Y")</f>
        <v>#NAME?</v>
      </c>
      <c r="CP448" s="2" t="e">
        <f ca="1">_xll.BDH($C$428,"EBITDA","FY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48" s="2" t="e">
        <f ca="1">_xll.BDH($C$428,"EBITDA_AFTER_CAPEX","FY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48" s="2" t="e">
        <f ca="1">_xll.BDH($C$428,"IS_OPER_INC","FY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48" s="1" t="e">
        <f ca="1">_xll.BDH($C$428,"CASH_RATIO","FY 2018","FY 2018","Currency=INR","Period=FY","BEST_FPERIOD_OVERRIDE=FY","FILING_STATUS=OR","EQY_CONSOLIDATED=Y","Sort=A","Dates=H","DateFormat=P","Fill=—","Direction=H","UseDPDF=Y")</f>
        <v>#NAME?</v>
      </c>
      <c r="CT448" s="1" t="e">
        <f ca="1">_xll.BDH($C$428,"CUR_RATIO","FY 2018","FY 2018","Currency=INR","Period=FY","BEST_FPERIOD_OVERRIDE=FY","FILING_STATUS=OR","EQY_CONSOLIDATED=Y","Sort=A","Dates=H","DateFormat=P","Fill=—","Direction=H","UseDPDF=Y")</f>
        <v>#NAME?</v>
      </c>
      <c r="CU448" s="1" t="e">
        <f ca="1">_xll.BDH($C$428,"QUICK_RATIO","FY 2018","FY 2018","Currency=INR","Period=FY","BEST_FPERIOD_OVERRIDE=FY","FILING_STATUS=OR","EQY_CONSOLIDATED=Y","Sort=A","Dates=H","DateFormat=P","Fill=—","Direction=H","UseDPDF=Y")</f>
        <v>#NAME?</v>
      </c>
      <c r="CV448" s="1" t="e">
        <f ca="1">_xll.BDH($C$428,"ALTMAN_Z_SCORE","FY 2018","FY 2018","Currency=INR","Period=FY","BEST_FPERIOD_OVERRIDE=FY","FILING_STATUS=OR","EQY_CONSOLIDATED=Y","Sort=A","Dates=H","DateFormat=P","Fill=—","Direction=H","UseDPDF=Y")</f>
        <v>#NAME?</v>
      </c>
      <c r="CW448" s="3" t="e">
        <f ca="1">_xll.BDH($C$428,"ACCT_RCV_TURN","FY 2018","FY 2018","Currency=INR","Period=FY","BEST_FPERIOD_OVERRIDE=FY","FILING_STATUS=OR","EQY_CONSOLIDATED=Y","FA_ADJUSTED=GAAP","Sort=A","Dates=H","DateFormat=P","Fill=—","Direction=H","UseDPDF=Y")</f>
        <v>#NAME?</v>
      </c>
      <c r="CX448" s="1" t="e">
        <f ca="1">_xll.BDH($C$428,"ACCT_RCV_DAYS","FY 2018","FY 2018","Currency=INR","Period=FY","BEST_FPERIOD_OVERRIDE=FY","FILING_STATUS=OR","EQY_CONSOLIDATED=Y","FA_ADJUSTED=GAAP","Sort=A","Dates=H","DateFormat=P","Fill=—","Direction=H","UseDPDF=Y")</f>
        <v>#NAME?</v>
      </c>
      <c r="CY448" s="3" t="e">
        <f ca="1">_xll.BDH($C$428,"INVENT_TURN","FY 2018","FY 2018","Currency=INR","Period=FY","BEST_FPERIOD_OVERRIDE=FY","FILING_STATUS=OR","EQY_CONSOLIDATED=Y","FA_ADJUSTED=GAAP","Sort=A","Dates=H","DateFormat=P","Fill=—","Direction=H","UseDPDF=Y")</f>
        <v>#NAME?</v>
      </c>
      <c r="CZ448" s="1" t="e">
        <f ca="1">_xll.BDH($C$428,"INVENT_DAYS","FY 2018","FY 2018","Currency=INR","Period=FY","BEST_FPERIOD_OVERRIDE=FY","FILING_STATUS=OR","EQY_CONSOLIDATED=Y","FA_ADJUSTED=GAAP","Sort=A","Dates=H","DateFormat=P","Fill=—","Direction=H","UseDPDF=Y")</f>
        <v>#NAME?</v>
      </c>
      <c r="DA448" s="3" t="e">
        <f ca="1">_xll.BDH($C$428,"ACCOUNTS_PAYABLE_TURNOVER","FY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48" s="1" t="e">
        <f ca="1">_xll.BDH($C$428,"ACCOUNTS_PAYABLE_TURNOVER_DAYS","FY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48" s="3" t="e">
        <f ca="1">_xll.BDH($C$428,"CASH_CONVERSION_CYCLE","FY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48" s="3" t="e">
        <f ca="1">_xll.BDH($C$428,"INV_TO_CASH_DAYS","FY 2018","FY 2018","Currency=INR","Period=FY","BEST_FPERIOD_OVERRIDE=FY","FILING_STATUS=OR","EQY_CONSOLIDATED=Y","FA_ADJUSTED=GAAP","Sort=A","Dates=H","DateFormat=P","Fill=—","Direction=H","UseDPDF=Y")</f>
        <v>#NAME?</v>
      </c>
      <c r="DE448" s="4" t="e">
        <f ca="1">_xll.BDH($C$428,"BS_INVENTORIES","FY 2018","FY 2018","Currency=INR","Period=FY","BEST_FPERIOD_OVERRIDE=FY","FILING_STATUS=OR","EQY_CONSOLIDATED=Y","SCALING_FORMAT=MLN","Sort=A","Dates=H","DateFormat=P","Fill=—","Direction=H","UseDPDF=Y")</f>
        <v>#NAME?</v>
      </c>
      <c r="DF448" s="2" t="e">
        <f ca="1">_xll.BDH($C$428,"INVTRY_RAW_MATERIALS","FY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48" s="2" t="e">
        <f ca="1">_xll.BDH($C$428,"INVTRY_IN_PROGRESS","FY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48" s="2" t="e">
        <f ca="1">_xll.BDH($C$428,"INVTRY_FINISHED_GOODS","FY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48" s="2" t="e">
        <f ca="1">_xll.BDH($C$428,"BS_OTHER_INV","FY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49" spans="1:113" x14ac:dyDescent="0.3">
      <c r="A449" s="6"/>
      <c r="B449" s="6"/>
      <c r="C449" s="6"/>
      <c r="D449" s="6"/>
      <c r="E449" t="s">
        <v>4</v>
      </c>
      <c r="F449" t="e">
        <f ca="1">_xll.BDH($C$428,"RETURN_COM_EQY","FQ1 2018","FQ1 2018","Currency=INR","Period=FQ","BEST_FPERIOD_OVERRIDE=FQ","FILING_STATUS=OR","EQY_CONSOLIDATED=Y","FA_ADJUSTED=GAAP","Sort=A","Dates=H","DateFormat=P","Fill=—","Direction=H","UseDPDF=Y")</f>
        <v>#NAME?</v>
      </c>
      <c r="G449" t="e">
        <f ca="1">_xll.BDH($C$428,"RETURN_ON_ASSET","FQ1 2018","FQ1 2018","Currency=INR","Period=FQ","BEST_FPERIOD_OVERRIDE=FQ","FILING_STATUS=OR","EQY_CONSOLIDATED=Y","FA_ADJUSTED=GAAP","Sort=A","Dates=H","DateFormat=P","Fill=—","Direction=H","UseDPDF=Y")</f>
        <v>#NAME?</v>
      </c>
      <c r="H449" t="e">
        <f ca="1">_xll.BDH($C$428,"RETURN_ON_CAP","FQ1 2018","FQ1 2018","Currency=INR","Period=FQ","BEST_FPERIOD_OVERRIDE=FQ","FILING_STATUS=OR","EQY_CONSOLIDATED=Y","FA_ADJUSTED=GAAP","Sort=A","Dates=H","DateFormat=P","Fill=—","Direction=H","UseDPDF=Y")</f>
        <v>#NAME?</v>
      </c>
      <c r="I449" t="e">
        <f ca="1">_xll.BDH($C$428,"RETURN_ON_INV_CAPITAL","FQ1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49" t="e">
        <f ca="1">_xll.BDH($C$428,"EBITDA_TO_REVENUE","FQ1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449" t="e">
        <f ca="1">_xll.BDH($C$428,"OPER_MARGIN","FQ1 2018","FQ1 2018","Currency=INR","Period=FQ","BEST_FPERIOD_OVERRIDE=FQ","FILING_STATUS=OR","EQY_CONSOLIDATED=Y","FA_ADJUSTED=GAAP","Sort=A","Dates=H","DateFormat=P","Fill=—","Direction=H","UseDPDF=Y")</f>
        <v>#NAME?</v>
      </c>
      <c r="L449" t="e">
        <f ca="1">_xll.BDH($C$428,"INCREMENTAL_OPERATING_MARGIN","FQ1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49" t="e">
        <f ca="1">_xll.BDH($C$428,"PRETAX_INC_TO_NET_SALES","FQ1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49" t="e">
        <f ca="1">_xll.BDH($C$428,"INC_BEF_XO_ITEMS_TO_NET_SALES","FQ1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49" t="e">
        <f ca="1">_xll.BDH($C$428,"PROF_MARGIN","FQ1 2018","FQ1 2018","Currency=INR","Period=FQ","BEST_FPERIOD_OVERRIDE=FQ","FILING_STATUS=OR","EQY_CONSOLIDATED=Y","FA_ADJUSTED=GAAP","Sort=A","Dates=H","DateFormat=P","Fill=—","Direction=H","UseDPDF=Y")</f>
        <v>#NAME?</v>
      </c>
      <c r="P449" t="e">
        <f ca="1">_xll.BDH($C$428,"NET_INCOME_TO_COMMON_MARGIN","FQ1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49" t="e">
        <f ca="1">_xll.BDH($C$428,"EFF_TAX_RATE","FQ1 2018","FQ1 2018","Currency=INR","Period=FQ","BEST_FPERIOD_OVERRIDE=FQ","FILING_STATUS=OR","EQY_CONSOLIDATED=Y","FA_ADJUSTED=GAAP","Sort=A","Dates=H","DateFormat=P","Fill=—","Direction=H","UseDPDF=Y")</f>
        <v>#NAME?</v>
      </c>
      <c r="R449" t="e">
        <f ca="1">_xll.BDH($C$428,"DVD_PAYOUT_RATIO","FQ1 2018","FQ1 2018","Currency=INR","Period=FQ","BEST_FPERIOD_OVERRIDE=FQ","FILING_STATUS=OR","EQY_CONSOLIDATED=Y","FA_ADJUSTED=GAAP","Sort=A","Dates=H","DateFormat=P","Fill=—","Direction=H","UseDPDF=Y")</f>
        <v>#NAME?</v>
      </c>
      <c r="S449" t="e">
        <f ca="1">_xll.BDH($C$428,"SUSTAIN_GROWTH_RT","FQ1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449" s="1" t="e">
        <f ca="1">_xll.BDH($C$428,"SALES_GROWTH","FQ1 2018","FQ1 2018","Currency=INR","Period=FQ","BEST_FPERIOD_OVERRIDE=FQ","FILING_STATUS=OR","EQY_CONSOLIDATED=Y","FA_ADJUSTED=GAAP","Sort=A","Dates=H","DateFormat=P","Fill=—","Direction=H","UseDPDF=Y")</f>
        <v>#NAME?</v>
      </c>
      <c r="U449" s="1" t="e">
        <f ca="1">_xll.BDH($C$428,"EBITDA_GROWTH","FQ1 2018","FQ1 2018","Currency=INR","Period=FQ","BEST_FPERIOD_OVERRIDE=FQ","FILING_STATUS=OR","EQY_CONSOLIDATED=Y","FA_ADJUSTED=GAAP","Sort=A","Dates=H","DateFormat=P","Fill=—","Direction=H","UseDPDF=Y")</f>
        <v>#NAME?</v>
      </c>
      <c r="V449" s="1" t="e">
        <f ca="1">_xll.BDH($C$428,"OPER_INC_GROWTH","FQ1 2018","FQ1 2018","Currency=INR","Period=FQ","BEST_FPERIOD_OVERRIDE=FQ","FILING_STATUS=OR","EQY_CONSOLIDATED=Y","FA_ADJUSTED=GAAP","Sort=A","Dates=H","DateFormat=P","Fill=—","Direction=H","UseDPDF=Y")</f>
        <v>#NAME?</v>
      </c>
      <c r="W449" s="1" t="e">
        <f ca="1">_xll.BDH($C$428,"EARN_FOR_COM_GROWTH","FQ1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49" s="1" t="e">
        <f ca="1">_xll.BDH($C$428,"DILUTED_EPS_AFT_XO_ITEMS_GROWTH","FQ1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49" s="1" t="e">
        <f ca="1">_xll.BDH($C$428,"DIVIDEND_PER_SHARE_1_YEAR_GROWTH","FQ1 2018","FQ1 2018","Currency=INR","Period=FQ","BEST_FPERIOD_OVERRIDE=FQ","FILING_STATUS=OR","EQY_CONSOLIDATED=Y","Sort=A","Dates=H","DateFormat=P","Fill=—","Direction=H","UseDPDF=Y")</f>
        <v>#NAME?</v>
      </c>
      <c r="Z449" s="1" t="e">
        <f ca="1">_xll.BDH($C$428,"ACCOUNTS_RECEIVABLE_GROWTH","FQ1 2018","FQ1 2018","Currency=INR","Period=FQ","BEST_FPERIOD_OVERRIDE=FQ","FILING_STATUS=OR","EQY_CONSOLIDATED=Y","Sort=A","Dates=H","DateFormat=P","Fill=—","Direction=H","UseDPDF=Y")</f>
        <v>#NAME?</v>
      </c>
      <c r="AA449" s="1" t="e">
        <f ca="1">_xll.BDH($C$428,"INVENTORY_GROWTH","FQ1 2018","FQ1 2018","Currency=INR","Period=FQ","BEST_FPERIOD_OVERRIDE=FQ","FILING_STATUS=OR","EQY_CONSOLIDATED=Y","Sort=A","Dates=H","DateFormat=P","Fill=—","Direction=H","UseDPDF=Y")</f>
        <v>#NAME?</v>
      </c>
      <c r="AB449" s="1" t="e">
        <f ca="1">_xll.BDH($C$428,"NET_FIXED_ASSETS_1_YEAR_GROWTH","FQ1 2018","FQ1 2018","Currency=INR","Period=FQ","BEST_FPERIOD_OVERRIDE=FQ","FILING_STATUS=OR","EQY_CONSOLIDATED=Y","Sort=A","Dates=H","DateFormat=P","Fill=—","Direction=H","UseDPDF=Y")</f>
        <v>#NAME?</v>
      </c>
      <c r="AC449" s="1" t="e">
        <f ca="1">_xll.BDH($C$428,"ASSET_GROWTH","FQ1 2018","FQ1 2018","Currency=INR","Period=FQ","BEST_FPERIOD_OVERRIDE=FQ","FILING_STATUS=OR","EQY_CONSOLIDATED=Y","Sort=A","Dates=H","DateFormat=P","Fill=—","Direction=H","UseDPDF=Y")</f>
        <v>#NAME?</v>
      </c>
      <c r="AD449" s="1" t="e">
        <f ca="1">_xll.BDH($C$428,"MODIFIED_WORK_CAP_GROWTH","FQ1 2018","FQ1 2018","Currency=INR","Period=FQ","BEST_FPERIOD_OVERRIDE=FQ","FILING_STATUS=OR","EQY_CONSOLIDATED=Y","Sort=A","Dates=H","DateFormat=P","Fill=—","Direction=H","UseDPDF=Y")</f>
        <v>#NAME?</v>
      </c>
      <c r="AE449" s="1" t="e">
        <f ca="1">_xll.BDH($C$428,"WORK_CAP_GROWTH","FQ1 2018","FQ1 2018","Currency=INR","Period=FQ","BEST_FPERIOD_OVERRIDE=FQ","FILING_STATUS=OR","EQY_CONSOLIDATED=Y","Sort=A","Dates=H","DateFormat=P","Fill=—","Direction=H","UseDPDF=Y")</f>
        <v>#NAME?</v>
      </c>
      <c r="AF449" s="1" t="e">
        <f ca="1">_xll.BDH($C$428,"ACCOUNTS_PAYABLE_GROWTH_1YR","FQ1 2018","FQ1 2018","Currency=INR","Period=FQ","BEST_FPERIOD_OVERRIDE=FQ","FILING_STATUS=OR","EQY_CONSOLIDATED=Y","Sort=A","Dates=H","DateFormat=P","Fill=—","Direction=H","UseDPDF=Y")</f>
        <v>#NAME?</v>
      </c>
      <c r="AG449" s="1" t="e">
        <f ca="1">_xll.BDH($C$428,"SHORT_TERM_DEBT_1_YEAR_GROWTH","FQ1 2018","FQ1 2018","Currency=INR","Period=FQ","BEST_FPERIOD_OVERRIDE=FQ","FILING_STATUS=OR","EQY_CONSOLIDATED=Y","Sort=A","Dates=H","DateFormat=P","Fill=—","Direction=H","UseDPDF=Y")</f>
        <v>#NAME?</v>
      </c>
      <c r="AH449" s="1" t="e">
        <f ca="1">_xll.BDH($C$428,"TOTAL_DEBT_1_YEAR_GROWTH","FQ1 2018","FQ1 2018","Currency=INR","Period=FQ","BEST_FPERIOD_OVERRIDE=FQ","FILING_STATUS=OR","EQY_CONSOLIDATED=Y","Sort=A","Dates=H","DateFormat=P","Fill=—","Direction=H","UseDPDF=Y")</f>
        <v>#NAME?</v>
      </c>
      <c r="AI449" s="1" t="e">
        <f ca="1">_xll.BDH($C$428,"TOTAL_EQUITY_1_YEAR_GROWTH","FQ1 2018","FQ1 2018","Currency=INR","Period=FQ","BEST_FPERIOD_OVERRIDE=FQ","FILING_STATUS=OR","EQY_CONSOLIDATED=Y","Sort=A","Dates=H","DateFormat=P","Fill=—","Direction=H","UseDPDF=Y")</f>
        <v>#NAME?</v>
      </c>
      <c r="AJ449" s="1" t="e">
        <f ca="1">_xll.BDH($C$428,"GROWTH_IN_CAP","FQ1 2018","FQ1 2018","Currency=INR","Period=FQ","BEST_FPERIOD_OVERRIDE=FQ","FILING_STATUS=OR","EQY_CONSOLIDATED=Y","Sort=A","Dates=H","DateFormat=P","Fill=—","Direction=H","UseDPDF=Y")</f>
        <v>#NAME?</v>
      </c>
      <c r="AK449" s="1" t="e">
        <f ca="1">_xll.BDH($C$428,"BVPS_GROWTH","FQ1 2018","FQ1 2018","Currency=INR","Period=FQ","BEST_FPERIOD_OVERRIDE=FQ","FILING_STATUS=OR","EQY_CONSOLIDATED=Y","Sort=A","Dates=H","DateFormat=P","Fill=—","Direction=H","UseDPDF=Y")</f>
        <v>#NAME?</v>
      </c>
      <c r="AL449" s="1" t="e">
        <f ca="1">_xll.BDH($C$428,"CASH_FLOW_GROWTH","FQ1 2018","FQ1 2018","Currency=INR","Period=FQ","BEST_FPERIOD_OVERRIDE=FQ","FILING_STATUS=OR","EQY_CONSOLIDATED=Y","Sort=A","Dates=H","DateFormat=P","Fill=—","Direction=H","UseDPDF=Y")</f>
        <v>#NAME?</v>
      </c>
      <c r="AM449" s="1" t="e">
        <f ca="1">_xll.BDH($C$428,"GEO_GROW_NET_SALES","FQ1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49" s="1" t="e">
        <f ca="1">_xll.BDH($C$428,"GEO_GROW_EBITDA","FQ1 2018","FQ1 2018","Currency=INR","Period=FQ","BEST_FPERIOD_OVERRIDE=FQ","FILING_STATUS=OR","EQY_CONSOLIDATED=Y","FA_ADJUSTED=GAAP","Sort=A","Dates=H","DateFormat=P","Fill=—","Direction=H","UseDPDF=Y")</f>
        <v>#NAME?</v>
      </c>
      <c r="AO449" s="1" t="e">
        <f ca="1">_xll.BDH($C$428,"GEO_GROW_OPER_INC","FQ1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49" s="1" t="e">
        <f ca="1">_xll.BDH($C$428,"NET_INCOME_TO_COMMON_5_YR_GROWTH","FQ1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49" s="1" t="e">
        <f ca="1">_xll.BDH($C$428,"5Y_GEO_GROWTH_DILUTED_EPS","FQ1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49" s="1" t="e">
        <f ca="1">_xll.BDH($C$428,"GEO_GROW_DVD_PER_SH","FQ1 2018","FQ1 2018","Currency=INR","Period=FQ","BEST_FPERIOD_OVERRIDE=FQ","FILING_STATUS=OR","EQY_CONSOLIDATED=Y","Sort=A","Dates=H","DateFormat=P","Fill=—","Direction=H","UseDPDF=Y")</f>
        <v>#NAME?</v>
      </c>
      <c r="AS449" s="1" t="e">
        <f ca="1">_xll.BDH($C$428,"ACCOUNTS_RECEIVABLE_5_YR_GROWTH","FQ1 2018","FQ1 2018","Currency=INR","Period=FQ","BEST_FPERIOD_OVERRIDE=FQ","FILING_STATUS=OR","EQY_CONSOLIDATED=Y","Sort=A","Dates=H","DateFormat=P","Fill=—","Direction=H","UseDPDF=Y")</f>
        <v>#NAME?</v>
      </c>
      <c r="AT449" s="1" t="e">
        <f ca="1">_xll.BDH($C$428,"INVENTORY_5_YEAR_GROWTH","FQ1 2018","FQ1 2018","Currency=INR","Period=FQ","BEST_FPERIOD_OVERRIDE=FQ","FILING_STATUS=OR","EQY_CONSOLIDATED=Y","Sort=A","Dates=H","DateFormat=P","Fill=—","Direction=H","UseDPDF=Y")</f>
        <v>#NAME?</v>
      </c>
      <c r="AU449" s="1" t="e">
        <f ca="1">_xll.BDH($C$428,"NET_FIXED_ASSETS_5_YEAR_GROWTH","FQ1 2018","FQ1 2018","Currency=INR","Period=FQ","BEST_FPERIOD_OVERRIDE=FQ","FILING_STATUS=OR","EQY_CONSOLIDATED=Y","Sort=A","Dates=H","DateFormat=P","Fill=—","Direction=H","UseDPDF=Y")</f>
        <v>#NAME?</v>
      </c>
      <c r="AV449" s="1" t="e">
        <f ca="1">_xll.BDH($C$428,"GEO_GROW_TOT_ASSET","FQ1 2018","FQ1 2018","Currency=INR","Period=FQ","BEST_FPERIOD_OVERRIDE=FQ","FILING_STATUS=OR","EQY_CONSOLIDATED=Y","Sort=A","Dates=H","DateFormat=P","Fill=—","Direction=H","UseDPDF=Y")</f>
        <v>#NAME?</v>
      </c>
      <c r="AW449" s="1" t="e">
        <f ca="1">_xll.BDH($C$428,"MODIFIED_WORKING_CPTL_5YR_GRWTH","FQ1 2018","FQ1 2018","Currency=INR","Period=FQ","BEST_FPERIOD_OVERRIDE=FQ","FILING_STATUS=OR","EQY_CONSOLIDATED=Y","Sort=A","Dates=H","DateFormat=P","Fill=—","Direction=H","UseDPDF=Y")</f>
        <v>#NAME?</v>
      </c>
      <c r="AX449" s="1" t="e">
        <f ca="1">_xll.BDH($C$428,"WORKING_CAPITAL_5_YEAR_GROWTH","FQ1 2018","FQ1 2018","Currency=INR","Period=FQ","BEST_FPERIOD_OVERRIDE=FQ","FILING_STATUS=OR","EQY_CONSOLIDATED=Y","Sort=A","Dates=H","DateFormat=P","Fill=—","Direction=H","UseDPDF=Y")</f>
        <v>#NAME?</v>
      </c>
      <c r="AY449" s="1" t="e">
        <f ca="1">_xll.BDH($C$428,"ACCOUNTS_PAYABLE_5_YEAR_GROWTH","FQ1 2018","FQ1 2018","Currency=INR","Period=FQ","BEST_FPERIOD_OVERRIDE=FQ","FILING_STATUS=OR","EQY_CONSOLIDATED=Y","Sort=A","Dates=H","DateFormat=P","Fill=—","Direction=H","UseDPDF=Y")</f>
        <v>#NAME?</v>
      </c>
      <c r="AZ449" s="1" t="e">
        <f ca="1">_xll.BDH($C$428,"SHORT_TERM_DEBT_5_YEAR_GROWTH","FQ1 2018","FQ1 2018","Currency=INR","Period=FQ","BEST_FPERIOD_OVERRIDE=FQ","FILING_STATUS=OR","EQY_CONSOLIDATED=Y","Sort=A","Dates=H","DateFormat=P","Fill=—","Direction=H","UseDPDF=Y")</f>
        <v>#NAME?</v>
      </c>
      <c r="BA449" s="1" t="e">
        <f ca="1">_xll.BDH($C$428,"TOTAL_DEBT_5_YEAR_GROWTH","FQ1 2018","FQ1 2018","Currency=INR","Period=FQ","BEST_FPERIOD_OVERRIDE=FQ","FILING_STATUS=OR","EQY_CONSOLIDATED=Y","Sort=A","Dates=H","DateFormat=P","Fill=—","Direction=H","UseDPDF=Y")</f>
        <v>#NAME?</v>
      </c>
      <c r="BB449" s="1" t="e">
        <f ca="1">_xll.BDH($C$428,"GEO_GROW_TOT_SHRHLDR_EQY","FQ1 2018","FQ1 2018","Currency=INR","Period=FQ","BEST_FPERIOD_OVERRIDE=FQ","FILING_STATUS=OR","EQY_CONSOLIDATED=Y","Sort=A","Dates=H","DateFormat=P","Fill=—","Direction=H","UseDPDF=Y")</f>
        <v>#NAME?</v>
      </c>
      <c r="BC449" s="1" t="e">
        <f ca="1">_xll.BDH($C$428,"TOTAL_CAPITAL_5_YEAR_GROWTH","FQ1 2018","FQ1 2018","Currency=INR","Period=FQ","BEST_FPERIOD_OVERRIDE=FQ","FILING_STATUS=OR","EQY_CONSOLIDATED=Y","Sort=A","Dates=H","DateFormat=P","Fill=—","Direction=H","UseDPDF=Y")</f>
        <v>#NAME?</v>
      </c>
      <c r="BD449" s="1" t="e">
        <f ca="1">_xll.BDH($C$428,"GEO_GROW_BOOK_VAL","FQ1 2018","FQ1 2018","Currency=INR","Period=FQ","BEST_FPERIOD_OVERRIDE=FQ","FILING_STATUS=OR","EQY_CONSOLIDATED=Y","Sort=A","Dates=H","DateFormat=P","Fill=—","Direction=H","UseDPDF=Y")</f>
        <v>#NAME?</v>
      </c>
      <c r="BE449" s="1" t="e">
        <f ca="1">_xll.BDH($C$428,"GEO_GROW_CASH_OPER_ACT","FQ1 2018","FQ1 2018","Currency=INR","Period=FQ","BEST_FPERIOD_OVERRIDE=FQ","FILING_STATUS=OR","EQY_CONSOLIDATED=Y","Sort=A","Dates=H","DateFormat=P","Fill=—","Direction=H","UseDPDF=Y")</f>
        <v>#NAME?</v>
      </c>
      <c r="BF449" s="1" t="e">
        <f ca="1">_xll.BDH($C$428,"REVENUE_SEQUENTIAL_GROWTH","FQ1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49" s="1" t="e">
        <f ca="1">_xll.BDH($C$428,"EBITDA_SEQUENTIAL_GROWTH","FQ1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49" s="1" t="e">
        <f ca="1">_xll.BDH($C$428,"OPERATING_INCOME_SEQ_GROWTH","FQ1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49" s="1" t="e">
        <f ca="1">_xll.BDH($C$428,"NET_INCOME_TO_COMMON_SEQ_GROWTH","FQ1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49" s="1" t="e">
        <f ca="1">_xll.BDH($C$428,"EPS_DILUTED_SEQUENTIAL_GROWTH","FQ1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49" s="1" t="e">
        <f ca="1">_xll.BDH($C$428,"DPS_SEQUENTIAL_GROWTH","FQ1 2018","FQ1 2018","Currency=INR","Period=FQ","BEST_FPERIOD_OVERRIDE=FQ","FILING_STATUS=OR","EQY_CONSOLIDATED=Y","Sort=A","Dates=H","DateFormat=P","Fill=—","Direction=H","UseDPDF=Y")</f>
        <v>#NAME?</v>
      </c>
      <c r="BL449" s="1" t="e">
        <f ca="1">_xll.BDH($C$428,"ACCOUNTS_RECEIVABLE_SEQ_GROWTH","FQ1 2018","FQ1 2018","Currency=INR","Period=FQ","BEST_FPERIOD_OVERRIDE=FQ","FILING_STATUS=OR","EQY_CONSOLIDATED=Y","Sort=A","Dates=H","DateFormat=P","Fill=—","Direction=H","UseDPDF=Y")</f>
        <v>#NAME?</v>
      </c>
      <c r="BM449" s="1" t="e">
        <f ca="1">_xll.BDH($C$428,"INVENTORY_SEQUENTIAL_GROWTH","FQ1 2018","FQ1 2018","Currency=INR","Period=FQ","BEST_FPERIOD_OVERRIDE=FQ","FILING_STATUS=OR","EQY_CONSOLIDATED=Y","Sort=A","Dates=H","DateFormat=P","Fill=—","Direction=H","UseDPDF=Y")</f>
        <v>#NAME?</v>
      </c>
      <c r="BN449" s="1" t="e">
        <f ca="1">_xll.BDH($C$428,"FIXED_ASSETS_SEQUENTIAL_GROWTH","FQ1 2018","FQ1 2018","Currency=INR","Period=FQ","BEST_FPERIOD_OVERRIDE=FQ","FILING_STATUS=OR","EQY_CONSOLIDATED=Y","Sort=A","Dates=H","DateFormat=P","Fill=—","Direction=H","UseDPDF=Y")</f>
        <v>#NAME?</v>
      </c>
      <c r="BO449" s="1" t="e">
        <f ca="1">_xll.BDH($C$428,"TOTAL_ASSETS_SEQUENTIAL_GROWTH","FQ1 2018","FQ1 2018","Currency=INR","Period=FQ","BEST_FPERIOD_OVERRIDE=FQ","FILING_STATUS=OR","EQY_CONSOLIDATED=Y","Sort=A","Dates=H","DateFormat=P","Fill=—","Direction=H","UseDPDF=Y")</f>
        <v>#NAME?</v>
      </c>
      <c r="BP449" s="1" t="e">
        <f ca="1">_xll.BDH($C$428,"MODIFIED_WORKING_CPTL_SEQ_GRWTH","FQ1 2018","FQ1 2018","Currency=INR","Period=FQ","BEST_FPERIOD_OVERRIDE=FQ","FILING_STATUS=OR","EQY_CONSOLIDATED=Y","Sort=A","Dates=H","DateFormat=P","Fill=—","Direction=H","UseDPDF=Y")</f>
        <v>#NAME?</v>
      </c>
      <c r="BQ449" s="1" t="e">
        <f ca="1">_xll.BDH($C$428,"WORKING_CAPITAL_SEQ_GROWTH","FQ1 2018","FQ1 2018","Currency=INR","Period=FQ","BEST_FPERIOD_OVERRIDE=FQ","FILING_STATUS=OR","EQY_CONSOLIDATED=Y","Sort=A","Dates=H","DateFormat=P","Fill=—","Direction=H","UseDPDF=Y")</f>
        <v>#NAME?</v>
      </c>
      <c r="BR449" s="1" t="e">
        <f ca="1">_xll.BDH($C$428,"ACCOUNTS_PAYABLE_SEQ_GROWTH","FQ1 2018","FQ1 2018","Currency=INR","Period=FQ","BEST_FPERIOD_OVERRIDE=FQ","FILING_STATUS=OR","EQY_CONSOLIDATED=Y","Sort=A","Dates=H","DateFormat=P","Fill=—","Direction=H","UseDPDF=Y")</f>
        <v>#NAME?</v>
      </c>
      <c r="BS449" s="1" t="e">
        <f ca="1">_xll.BDH($C$428,"ST_DEBT_SEQUENTIAL_GROWTH","FQ1 2018","FQ1 2018","Currency=INR","Period=FQ","BEST_FPERIOD_OVERRIDE=FQ","FILING_STATUS=OR","EQY_CONSOLIDATED=Y","Sort=A","Dates=H","DateFormat=P","Fill=—","Direction=H","UseDPDF=Y")</f>
        <v>#NAME?</v>
      </c>
      <c r="BT449" s="1" t="e">
        <f ca="1">_xll.BDH($C$428,"TOTAL_DEBT_SEQUENTIAL_GROWTH","FQ1 2018","FQ1 2018","Currency=INR","Period=FQ","BEST_FPERIOD_OVERRIDE=FQ","FILING_STATUS=OR","EQY_CONSOLIDATED=Y","Sort=A","Dates=H","DateFormat=P","Fill=—","Direction=H","UseDPDF=Y")</f>
        <v>#NAME?</v>
      </c>
      <c r="BU449" s="1" t="e">
        <f ca="1">_xll.BDH($C$428,"TOTAL_EQUITY_SEQUENTIAL_GROWTH","FQ1 2018","FQ1 2018","Currency=INR","Period=FQ","BEST_FPERIOD_OVERRIDE=FQ","FILING_STATUS=OR","EQY_CONSOLIDATED=Y","Sort=A","Dates=H","DateFormat=P","Fill=—","Direction=H","UseDPDF=Y")</f>
        <v>#NAME?</v>
      </c>
      <c r="BV449" s="1" t="e">
        <f ca="1">_xll.BDH($C$428,"TOTAL_CAPITAL_SEQUENTIAL_GROWTH","FQ1 2018","FQ1 2018","Currency=INR","Period=FQ","BEST_FPERIOD_OVERRIDE=FQ","FILING_STATUS=OR","EQY_CONSOLIDATED=Y","Sort=A","Dates=H","DateFormat=P","Fill=—","Direction=H","UseDPDF=Y")</f>
        <v>#NAME?</v>
      </c>
      <c r="BW449" s="1" t="e">
        <f ca="1">_xll.BDH($C$428,"BPS_SEQUENTIAL_GROWTH","FQ1 2018","FQ1 2018","Currency=INR","Period=FQ","BEST_FPERIOD_OVERRIDE=FQ","FILING_STATUS=OR","EQY_CONSOLIDATED=Y","Sort=A","Dates=H","DateFormat=P","Fill=—","Direction=H","UseDPDF=Y")</f>
        <v>#NAME?</v>
      </c>
      <c r="BX449" s="1" t="e">
        <f ca="1">_xll.BDH($C$428,"CFO_SEQUENTIAL_GROWTH","FQ1 2018","FQ1 2018","Currency=INR","Period=FQ","BEST_FPERIOD_OVERRIDE=FQ","FILING_STATUS=OR","EQY_CONSOLIDATED=Y","Sort=A","Dates=H","DateFormat=P","Fill=—","Direction=H","UseDPDF=Y")</f>
        <v>#NAME?</v>
      </c>
      <c r="BY449" s="2" t="e">
        <f ca="1">_xll.BDH($C$428,"SHORT_AND_LONG_TERM_DEBT","FQ1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49" s="2" t="e">
        <f ca="1">_xll.BDH($C$428,"BS_ST_BORROW","FQ1 2018","FQ1 2018","Currency=INR","Period=FQ","BEST_FPERIOD_OVERRIDE=FQ","FILING_STATUS=OR","EQY_CONSOLIDATED=Y","SCALING_FORMAT=MLN","Sort=A","Dates=H","DateFormat=P","Fill=—","Direction=H","UseDPDF=Y")</f>
        <v>#NAME?</v>
      </c>
      <c r="CA449" s="2" t="e">
        <f ca="1">_xll.BDH($C$428,"BS_LT_BORROW","FQ1 2018","FQ1 2018","Currency=INR","Period=FQ","BEST_FPERIOD_OVERRIDE=FQ","FILING_STATUS=OR","EQY_CONSOLIDATED=Y","SCALING_FORMAT=MLN","Sort=A","Dates=H","DateFormat=P","Fill=—","Direction=H","UseDPDF=Y")</f>
        <v>#NAME?</v>
      </c>
      <c r="CB449" s="1" t="e">
        <f ca="1">_xll.BDH($C$428,"TOT_DEBT_TO_EBITDA","FQ1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49" s="1" t="e">
        <f ca="1">_xll.BDH($C$428,"NET_DEBT_TO_EBITDA","FQ1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49" s="1" t="e">
        <f ca="1">_xll.BDH($C$428,"TOTAL_DEBT_TO_EBIT","FQ1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49" s="1" t="e">
        <f ca="1">_xll.BDH($C$428,"NET_DEBT_TO_EBIT","FQ1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449" s="1" t="e">
        <f ca="1">_xll.BDH($C$428,"EBITDA_TO_INTEREST_EXPN","FQ1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49" s="1" t="e">
        <f ca="1">_xll.BDH($C$428,"COM_EQY_TO_TOT_ASSET","FQ1 2018","FQ1 2018","Currency=INR","Period=FQ","BEST_FPERIOD_OVERRIDE=FQ","FILING_STATUS=OR","EQY_CONSOLIDATED=Y","Sort=A","Dates=H","DateFormat=P","Fill=—","Direction=H","UseDPDF=Y")</f>
        <v>#NAME?</v>
      </c>
      <c r="CH449" s="1" t="e">
        <f ca="1">_xll.BDH($C$428,"LT_DEBT_TO_TOT_EQY","FQ1 2018","FQ1 2018","Currency=INR","Period=FQ","BEST_FPERIOD_OVERRIDE=FQ","FILING_STATUS=OR","EQY_CONSOLIDATED=Y","Sort=A","Dates=H","DateFormat=P","Fill=—","Direction=H","UseDPDF=Y")</f>
        <v>#NAME?</v>
      </c>
      <c r="CI449" s="1" t="e">
        <f ca="1">_xll.BDH($C$428,"LT_DEBT_TO_TOT_CAP","FQ1 2018","FQ1 2018","Currency=INR","Period=FQ","BEST_FPERIOD_OVERRIDE=FQ","FILING_STATUS=OR","EQY_CONSOLIDATED=Y","Sort=A","Dates=H","DateFormat=P","Fill=—","Direction=H","UseDPDF=Y")</f>
        <v>#NAME?</v>
      </c>
      <c r="CJ449" s="1" t="e">
        <f ca="1">_xll.BDH($C$428,"LT_DEBT_TO_TOT_ASSET","FQ1 2018","FQ1 2018","Currency=INR","Period=FQ","BEST_FPERIOD_OVERRIDE=FQ","FILING_STATUS=OR","EQY_CONSOLIDATED=Y","Sort=A","Dates=H","DateFormat=P","Fill=—","Direction=H","UseDPDF=Y")</f>
        <v>#NAME?</v>
      </c>
      <c r="CK449" s="1" t="e">
        <f ca="1">_xll.BDH($C$428,"TOT_DEBT_TO_TOT_EQY","FQ1 2018","FQ1 2018","Currency=INR","Period=FQ","BEST_FPERIOD_OVERRIDE=FQ","FILING_STATUS=OR","EQY_CONSOLIDATED=Y","Sort=A","Dates=H","DateFormat=P","Fill=—","Direction=H","UseDPDF=Y")</f>
        <v>#NAME?</v>
      </c>
      <c r="CL449" s="1" t="e">
        <f ca="1">_xll.BDH($C$428,"TOT_DEBT_TO_TOT_CAP","FQ1 2018","FQ1 2018","Currency=INR","Period=FQ","BEST_FPERIOD_OVERRIDE=FQ","FILING_STATUS=OR","EQY_CONSOLIDATED=Y","Sort=A","Dates=H","DateFormat=P","Fill=—","Direction=H","UseDPDF=Y")</f>
        <v>#NAME?</v>
      </c>
      <c r="CM449" s="1" t="e">
        <f ca="1">_xll.BDH($C$428,"TOT_DEBT_TO_TOT_ASSET","FQ1 2018","FQ1 2018","Currency=INR","Period=FQ","BEST_FPERIOD_OVERRIDE=FQ","FILING_STATUS=OR","EQY_CONSOLIDATED=Y","Sort=A","Dates=H","DateFormat=P","Fill=—","Direction=H","UseDPDF=Y")</f>
        <v>#NAME?</v>
      </c>
      <c r="CN449" s="1" t="e">
        <f ca="1">_xll.BDH($C$428,"NET_DEBT_TO_SHRHLDR_EQTY","FQ1 2018","FQ1 2018","Currency=INR","Period=FQ","BEST_FPERIOD_OVERRIDE=FQ","FILING_STATUS=OR","EQY_CONSOLIDATED=Y","Sort=A","Dates=H","DateFormat=P","Fill=—","Direction=H","UseDPDF=Y")</f>
        <v>#NAME?</v>
      </c>
      <c r="CO449" s="1" t="e">
        <f ca="1">_xll.BDH($C$428,"NET_DEBT_%_CAPITAL","FQ1 2018","FQ1 2018","Currency=INR","Period=FQ","BEST_FPERIOD_OVERRIDE=FQ","FILING_STATUS=OR","EQY_CONSOLIDATED=Y","Sort=A","Dates=H","DateFormat=P","Fill=—","Direction=H","UseDPDF=Y")</f>
        <v>#NAME?</v>
      </c>
      <c r="CP449" s="2" t="e">
        <f ca="1">_xll.BDH($C$428,"EBITDA","FQ1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49" s="2" t="e">
        <f ca="1">_xll.BDH($C$428,"EBITDA_AFTER_CAPEX","FQ1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49" s="2" t="e">
        <f ca="1">_xll.BDH($C$428,"IS_OPER_INC","FQ1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49" s="1" t="e">
        <f ca="1">_xll.BDH($C$428,"CASH_RATIO","FQ1 2018","FQ1 2018","Currency=INR","Period=FQ","BEST_FPERIOD_OVERRIDE=FQ","FILING_STATUS=OR","EQY_CONSOLIDATED=Y","Sort=A","Dates=H","DateFormat=P","Fill=—","Direction=H","UseDPDF=Y")</f>
        <v>#NAME?</v>
      </c>
      <c r="CT449" s="1" t="e">
        <f ca="1">_xll.BDH($C$428,"CUR_RATIO","FQ1 2018","FQ1 2018","Currency=INR","Period=FQ","BEST_FPERIOD_OVERRIDE=FQ","FILING_STATUS=OR","EQY_CONSOLIDATED=Y","Sort=A","Dates=H","DateFormat=P","Fill=—","Direction=H","UseDPDF=Y")</f>
        <v>#NAME?</v>
      </c>
      <c r="CU449" s="1" t="e">
        <f ca="1">_xll.BDH($C$428,"QUICK_RATIO","FQ1 2018","FQ1 2018","Currency=INR","Period=FQ","BEST_FPERIOD_OVERRIDE=FQ","FILING_STATUS=OR","EQY_CONSOLIDATED=Y","Sort=A","Dates=H","DateFormat=P","Fill=—","Direction=H","UseDPDF=Y")</f>
        <v>#NAME?</v>
      </c>
      <c r="CV449" s="1" t="e">
        <f ca="1">_xll.BDH($C$428,"ALTMAN_Z_SCORE","FQ1 2018","FQ1 2018","Currency=INR","Period=FQ","BEST_FPERIOD_OVERRIDE=FQ","FILING_STATUS=OR","EQY_CONSOLIDATED=Y","Sort=A","Dates=H","DateFormat=P","Fill=—","Direction=H","UseDPDF=Y")</f>
        <v>#NAME?</v>
      </c>
      <c r="CW449" s="3" t="e">
        <f ca="1">_xll.BDH($C$428,"ACCT_RCV_TURN","FQ1 2018","FQ1 2018","Currency=INR","Period=FQ","BEST_FPERIOD_OVERRIDE=FQ","FILING_STATUS=OR","EQY_CONSOLIDATED=Y","FA_ADJUSTED=GAAP","Sort=A","Dates=H","DateFormat=P","Fill=—","Direction=H","UseDPDF=Y")</f>
        <v>#NAME?</v>
      </c>
      <c r="CX449" s="1" t="e">
        <f ca="1">_xll.BDH($C$428,"ACCT_RCV_DAYS","FQ1 2018","FQ1 2018","Currency=INR","Period=FQ","BEST_FPERIOD_OVERRIDE=FQ","FILING_STATUS=OR","EQY_CONSOLIDATED=Y","FA_ADJUSTED=GAAP","Sort=A","Dates=H","DateFormat=P","Fill=—","Direction=H","UseDPDF=Y")</f>
        <v>#NAME?</v>
      </c>
      <c r="CY449" s="3" t="e">
        <f ca="1">_xll.BDH($C$428,"INVENT_TURN","FQ1 2018","FQ1 2018","Currency=INR","Period=FQ","BEST_FPERIOD_OVERRIDE=FQ","FILING_STATUS=OR","EQY_CONSOLIDATED=Y","FA_ADJUSTED=GAAP","Sort=A","Dates=H","DateFormat=P","Fill=—","Direction=H","UseDPDF=Y")</f>
        <v>#NAME?</v>
      </c>
      <c r="CZ449" s="1" t="e">
        <f ca="1">_xll.BDH($C$428,"INVENT_DAYS","FQ1 2018","FQ1 2018","Currency=INR","Period=FQ","BEST_FPERIOD_OVERRIDE=FQ","FILING_STATUS=OR","EQY_CONSOLIDATED=Y","FA_ADJUSTED=GAAP","Sort=A","Dates=H","DateFormat=P","Fill=—","Direction=H","UseDPDF=Y")</f>
        <v>#NAME?</v>
      </c>
      <c r="DA449" s="3" t="e">
        <f ca="1">_xll.BDH($C$428,"ACCOUNTS_PAYABLE_TURNOVER","FQ1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49" s="1" t="e">
        <f ca="1">_xll.BDH($C$428,"ACCOUNTS_PAYABLE_TURNOVER_DAYS","FQ1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49" s="3" t="e">
        <f ca="1">_xll.BDH($C$428,"CASH_CONVERSION_CYCLE","FQ1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49" s="3" t="e">
        <f ca="1">_xll.BDH($C$428,"INV_TO_CASH_DAYS","FQ1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449" s="4" t="e">
        <f ca="1">_xll.BDH($C$428,"BS_INVENTORIES","FQ1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449" s="2" t="e">
        <f ca="1">_xll.BDH($C$428,"INVTRY_RAW_MATERIALS","FQ1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49" s="2" t="e">
        <f ca="1">_xll.BDH($C$428,"INVTRY_IN_PROGRESS","FQ1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49" s="2" t="e">
        <f ca="1">_xll.BDH($C$428,"INVTRY_FINISHED_GOODS","FQ1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49" s="2" t="e">
        <f ca="1">_xll.BDH($C$428,"BS_OTHER_INV","FQ1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50" spans="1:113" x14ac:dyDescent="0.3">
      <c r="A450" s="6"/>
      <c r="B450" s="6"/>
      <c r="C450" s="6"/>
      <c r="D450" s="6"/>
      <c r="E450" t="s">
        <v>5</v>
      </c>
      <c r="F450" t="e">
        <f ca="1">_xll.BDH($C$428,"RETURN_COM_EQY","FQ2 2018","FQ2 2018","Currency=INR","Period=FQ","BEST_FPERIOD_OVERRIDE=FQ","FILING_STATUS=OR","EQY_CONSOLIDATED=Y","FA_ADJUSTED=GAAP","Sort=A","Dates=H","DateFormat=P","Fill=—","Direction=H","UseDPDF=Y")</f>
        <v>#NAME?</v>
      </c>
      <c r="G450" t="e">
        <f ca="1">_xll.BDH($C$428,"RETURN_ON_ASSET","FQ2 2018","FQ2 2018","Currency=INR","Period=FQ","BEST_FPERIOD_OVERRIDE=FQ","FILING_STATUS=OR","EQY_CONSOLIDATED=Y","FA_ADJUSTED=GAAP","Sort=A","Dates=H","DateFormat=P","Fill=—","Direction=H","UseDPDF=Y")</f>
        <v>#NAME?</v>
      </c>
      <c r="H450" t="e">
        <f ca="1">_xll.BDH($C$428,"RETURN_ON_CAP","FQ2 2018","FQ2 2018","Currency=INR","Period=FQ","BEST_FPERIOD_OVERRIDE=FQ","FILING_STATUS=OR","EQY_CONSOLIDATED=Y","FA_ADJUSTED=GAAP","Sort=A","Dates=H","DateFormat=P","Fill=—","Direction=H","UseDPDF=Y")</f>
        <v>#NAME?</v>
      </c>
      <c r="I450" t="e">
        <f ca="1">_xll.BDH($C$428,"RETURN_ON_INV_CAPITAL","FQ2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50" t="e">
        <f ca="1">_xll.BDH($C$428,"EBITDA_TO_REVENUE","FQ2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450" t="e">
        <f ca="1">_xll.BDH($C$428,"OPER_MARGIN","FQ2 2018","FQ2 2018","Currency=INR","Period=FQ","BEST_FPERIOD_OVERRIDE=FQ","FILING_STATUS=OR","EQY_CONSOLIDATED=Y","FA_ADJUSTED=GAAP","Sort=A","Dates=H","DateFormat=P","Fill=—","Direction=H","UseDPDF=Y")</f>
        <v>#NAME?</v>
      </c>
      <c r="L450" t="e">
        <f ca="1">_xll.BDH($C$428,"INCREMENTAL_OPERATING_MARGIN","FQ2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50" t="e">
        <f ca="1">_xll.BDH($C$428,"PRETAX_INC_TO_NET_SALES","FQ2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50" t="e">
        <f ca="1">_xll.BDH($C$428,"INC_BEF_XO_ITEMS_TO_NET_SALES","FQ2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50" t="e">
        <f ca="1">_xll.BDH($C$428,"PROF_MARGIN","FQ2 2018","FQ2 2018","Currency=INR","Period=FQ","BEST_FPERIOD_OVERRIDE=FQ","FILING_STATUS=OR","EQY_CONSOLIDATED=Y","FA_ADJUSTED=GAAP","Sort=A","Dates=H","DateFormat=P","Fill=—","Direction=H","UseDPDF=Y")</f>
        <v>#NAME?</v>
      </c>
      <c r="P450" t="e">
        <f ca="1">_xll.BDH($C$428,"NET_INCOME_TO_COMMON_MARGIN","FQ2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50" t="e">
        <f ca="1">_xll.BDH($C$428,"EFF_TAX_RATE","FQ2 2018","FQ2 2018","Currency=INR","Period=FQ","BEST_FPERIOD_OVERRIDE=FQ","FILING_STATUS=OR","EQY_CONSOLIDATED=Y","FA_ADJUSTED=GAAP","Sort=A","Dates=H","DateFormat=P","Fill=—","Direction=H","UseDPDF=Y")</f>
        <v>#NAME?</v>
      </c>
      <c r="R450" t="e">
        <f ca="1">_xll.BDH($C$428,"DVD_PAYOUT_RATIO","FQ2 2018","FQ2 2018","Currency=INR","Period=FQ","BEST_FPERIOD_OVERRIDE=FQ","FILING_STATUS=OR","EQY_CONSOLIDATED=Y","FA_ADJUSTED=GAAP","Sort=A","Dates=H","DateFormat=P","Fill=—","Direction=H","UseDPDF=Y")</f>
        <v>#NAME?</v>
      </c>
      <c r="S450" t="e">
        <f ca="1">_xll.BDH($C$428,"SUSTAIN_GROWTH_RT","FQ2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450" s="1" t="e">
        <f ca="1">_xll.BDH($C$428,"SALES_GROWTH","FQ2 2018","FQ2 2018","Currency=INR","Period=FQ","BEST_FPERIOD_OVERRIDE=FQ","FILING_STATUS=OR","EQY_CONSOLIDATED=Y","FA_ADJUSTED=GAAP","Sort=A","Dates=H","DateFormat=P","Fill=—","Direction=H","UseDPDF=Y")</f>
        <v>#NAME?</v>
      </c>
      <c r="U450" s="1" t="e">
        <f ca="1">_xll.BDH($C$428,"EBITDA_GROWTH","FQ2 2018","FQ2 2018","Currency=INR","Period=FQ","BEST_FPERIOD_OVERRIDE=FQ","FILING_STATUS=OR","EQY_CONSOLIDATED=Y","FA_ADJUSTED=GAAP","Sort=A","Dates=H","DateFormat=P","Fill=—","Direction=H","UseDPDF=Y")</f>
        <v>#NAME?</v>
      </c>
      <c r="V450" s="1" t="e">
        <f ca="1">_xll.BDH($C$428,"OPER_INC_GROWTH","FQ2 2018","FQ2 2018","Currency=INR","Period=FQ","BEST_FPERIOD_OVERRIDE=FQ","FILING_STATUS=OR","EQY_CONSOLIDATED=Y","FA_ADJUSTED=GAAP","Sort=A","Dates=H","DateFormat=P","Fill=—","Direction=H","UseDPDF=Y")</f>
        <v>#NAME?</v>
      </c>
      <c r="W450" s="1" t="e">
        <f ca="1">_xll.BDH($C$428,"EARN_FOR_COM_GROWTH","FQ2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50" s="1" t="e">
        <f ca="1">_xll.BDH($C$428,"DILUTED_EPS_AFT_XO_ITEMS_GROWTH","FQ2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50" s="1" t="e">
        <f ca="1">_xll.BDH($C$428,"DIVIDEND_PER_SHARE_1_YEAR_GROWTH","FQ2 2018","FQ2 2018","Currency=INR","Period=FQ","BEST_FPERIOD_OVERRIDE=FQ","FILING_STATUS=OR","EQY_CONSOLIDATED=Y","Sort=A","Dates=H","DateFormat=P","Fill=—","Direction=H","UseDPDF=Y")</f>
        <v>#NAME?</v>
      </c>
      <c r="Z450" s="1" t="e">
        <f ca="1">_xll.BDH($C$428,"ACCOUNTS_RECEIVABLE_GROWTH","FQ2 2018","FQ2 2018","Currency=INR","Period=FQ","BEST_FPERIOD_OVERRIDE=FQ","FILING_STATUS=OR","EQY_CONSOLIDATED=Y","Sort=A","Dates=H","DateFormat=P","Fill=—","Direction=H","UseDPDF=Y")</f>
        <v>#NAME?</v>
      </c>
      <c r="AA450" s="1" t="e">
        <f ca="1">_xll.BDH($C$428,"INVENTORY_GROWTH","FQ2 2018","FQ2 2018","Currency=INR","Period=FQ","BEST_FPERIOD_OVERRIDE=FQ","FILING_STATUS=OR","EQY_CONSOLIDATED=Y","Sort=A","Dates=H","DateFormat=P","Fill=—","Direction=H","UseDPDF=Y")</f>
        <v>#NAME?</v>
      </c>
      <c r="AB450" s="1" t="e">
        <f ca="1">_xll.BDH($C$428,"NET_FIXED_ASSETS_1_YEAR_GROWTH","FQ2 2018","FQ2 2018","Currency=INR","Period=FQ","BEST_FPERIOD_OVERRIDE=FQ","FILING_STATUS=OR","EQY_CONSOLIDATED=Y","Sort=A","Dates=H","DateFormat=P","Fill=—","Direction=H","UseDPDF=Y")</f>
        <v>#NAME?</v>
      </c>
      <c r="AC450" s="1" t="e">
        <f ca="1">_xll.BDH($C$428,"ASSET_GROWTH","FQ2 2018","FQ2 2018","Currency=INR","Period=FQ","BEST_FPERIOD_OVERRIDE=FQ","FILING_STATUS=OR","EQY_CONSOLIDATED=Y","Sort=A","Dates=H","DateFormat=P","Fill=—","Direction=H","UseDPDF=Y")</f>
        <v>#NAME?</v>
      </c>
      <c r="AD450" s="1" t="e">
        <f ca="1">_xll.BDH($C$428,"MODIFIED_WORK_CAP_GROWTH","FQ2 2018","FQ2 2018","Currency=INR","Period=FQ","BEST_FPERIOD_OVERRIDE=FQ","FILING_STATUS=OR","EQY_CONSOLIDATED=Y","Sort=A","Dates=H","DateFormat=P","Fill=—","Direction=H","UseDPDF=Y")</f>
        <v>#NAME?</v>
      </c>
      <c r="AE450" s="1" t="e">
        <f ca="1">_xll.BDH($C$428,"WORK_CAP_GROWTH","FQ2 2018","FQ2 2018","Currency=INR","Period=FQ","BEST_FPERIOD_OVERRIDE=FQ","FILING_STATUS=OR","EQY_CONSOLIDATED=Y","Sort=A","Dates=H","DateFormat=P","Fill=—","Direction=H","UseDPDF=Y")</f>
        <v>#NAME?</v>
      </c>
      <c r="AF450" s="1" t="e">
        <f ca="1">_xll.BDH($C$428,"ACCOUNTS_PAYABLE_GROWTH_1YR","FQ2 2018","FQ2 2018","Currency=INR","Period=FQ","BEST_FPERIOD_OVERRIDE=FQ","FILING_STATUS=OR","EQY_CONSOLIDATED=Y","Sort=A","Dates=H","DateFormat=P","Fill=—","Direction=H","UseDPDF=Y")</f>
        <v>#NAME?</v>
      </c>
      <c r="AG450" s="1" t="e">
        <f ca="1">_xll.BDH($C$428,"SHORT_TERM_DEBT_1_YEAR_GROWTH","FQ2 2018","FQ2 2018","Currency=INR","Period=FQ","BEST_FPERIOD_OVERRIDE=FQ","FILING_STATUS=OR","EQY_CONSOLIDATED=Y","Sort=A","Dates=H","DateFormat=P","Fill=—","Direction=H","UseDPDF=Y")</f>
        <v>#NAME?</v>
      </c>
      <c r="AH450" s="1" t="e">
        <f ca="1">_xll.BDH($C$428,"TOTAL_DEBT_1_YEAR_GROWTH","FQ2 2018","FQ2 2018","Currency=INR","Period=FQ","BEST_FPERIOD_OVERRIDE=FQ","FILING_STATUS=OR","EQY_CONSOLIDATED=Y","Sort=A","Dates=H","DateFormat=P","Fill=—","Direction=H","UseDPDF=Y")</f>
        <v>#NAME?</v>
      </c>
      <c r="AI450" s="1" t="e">
        <f ca="1">_xll.BDH($C$428,"TOTAL_EQUITY_1_YEAR_GROWTH","FQ2 2018","FQ2 2018","Currency=INR","Period=FQ","BEST_FPERIOD_OVERRIDE=FQ","FILING_STATUS=OR","EQY_CONSOLIDATED=Y","Sort=A","Dates=H","DateFormat=P","Fill=—","Direction=H","UseDPDF=Y")</f>
        <v>#NAME?</v>
      </c>
      <c r="AJ450" s="1" t="e">
        <f ca="1">_xll.BDH($C$428,"GROWTH_IN_CAP","FQ2 2018","FQ2 2018","Currency=INR","Period=FQ","BEST_FPERIOD_OVERRIDE=FQ","FILING_STATUS=OR","EQY_CONSOLIDATED=Y","Sort=A","Dates=H","DateFormat=P","Fill=—","Direction=H","UseDPDF=Y")</f>
        <v>#NAME?</v>
      </c>
      <c r="AK450" s="1" t="e">
        <f ca="1">_xll.BDH($C$428,"BVPS_GROWTH","FQ2 2018","FQ2 2018","Currency=INR","Period=FQ","BEST_FPERIOD_OVERRIDE=FQ","FILING_STATUS=OR","EQY_CONSOLIDATED=Y","Sort=A","Dates=H","DateFormat=P","Fill=—","Direction=H","UseDPDF=Y")</f>
        <v>#NAME?</v>
      </c>
      <c r="AL450" s="1" t="e">
        <f ca="1">_xll.BDH($C$428,"CASH_FLOW_GROWTH","FQ2 2018","FQ2 2018","Currency=INR","Period=FQ","BEST_FPERIOD_OVERRIDE=FQ","FILING_STATUS=OR","EQY_CONSOLIDATED=Y","Sort=A","Dates=H","DateFormat=P","Fill=—","Direction=H","UseDPDF=Y")</f>
        <v>#NAME?</v>
      </c>
      <c r="AM450" s="1" t="e">
        <f ca="1">_xll.BDH($C$428,"GEO_GROW_NET_SALES","FQ2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50" s="1" t="e">
        <f ca="1">_xll.BDH($C$428,"GEO_GROW_EBITDA","FQ2 2018","FQ2 2018","Currency=INR","Period=FQ","BEST_FPERIOD_OVERRIDE=FQ","FILING_STATUS=OR","EQY_CONSOLIDATED=Y","FA_ADJUSTED=GAAP","Sort=A","Dates=H","DateFormat=P","Fill=—","Direction=H","UseDPDF=Y")</f>
        <v>#NAME?</v>
      </c>
      <c r="AO450" s="1" t="e">
        <f ca="1">_xll.BDH($C$428,"GEO_GROW_OPER_INC","FQ2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50" s="1" t="e">
        <f ca="1">_xll.BDH($C$428,"NET_INCOME_TO_COMMON_5_YR_GROWTH","FQ2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50" s="1" t="e">
        <f ca="1">_xll.BDH($C$428,"5Y_GEO_GROWTH_DILUTED_EPS","FQ2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50" s="1" t="e">
        <f ca="1">_xll.BDH($C$428,"GEO_GROW_DVD_PER_SH","FQ2 2018","FQ2 2018","Currency=INR","Period=FQ","BEST_FPERIOD_OVERRIDE=FQ","FILING_STATUS=OR","EQY_CONSOLIDATED=Y","Sort=A","Dates=H","DateFormat=P","Fill=—","Direction=H","UseDPDF=Y")</f>
        <v>#NAME?</v>
      </c>
      <c r="AS450" s="1" t="e">
        <f ca="1">_xll.BDH($C$428,"ACCOUNTS_RECEIVABLE_5_YR_GROWTH","FQ2 2018","FQ2 2018","Currency=INR","Period=FQ","BEST_FPERIOD_OVERRIDE=FQ","FILING_STATUS=OR","EQY_CONSOLIDATED=Y","Sort=A","Dates=H","DateFormat=P","Fill=—","Direction=H","UseDPDF=Y")</f>
        <v>#NAME?</v>
      </c>
      <c r="AT450" s="1" t="e">
        <f ca="1">_xll.BDH($C$428,"INVENTORY_5_YEAR_GROWTH","FQ2 2018","FQ2 2018","Currency=INR","Period=FQ","BEST_FPERIOD_OVERRIDE=FQ","FILING_STATUS=OR","EQY_CONSOLIDATED=Y","Sort=A","Dates=H","DateFormat=P","Fill=—","Direction=H","UseDPDF=Y")</f>
        <v>#NAME?</v>
      </c>
      <c r="AU450" s="1" t="e">
        <f ca="1">_xll.BDH($C$428,"NET_FIXED_ASSETS_5_YEAR_GROWTH","FQ2 2018","FQ2 2018","Currency=INR","Period=FQ","BEST_FPERIOD_OVERRIDE=FQ","FILING_STATUS=OR","EQY_CONSOLIDATED=Y","Sort=A","Dates=H","DateFormat=P","Fill=—","Direction=H","UseDPDF=Y")</f>
        <v>#NAME?</v>
      </c>
      <c r="AV450" s="1" t="e">
        <f ca="1">_xll.BDH($C$428,"GEO_GROW_TOT_ASSET","FQ2 2018","FQ2 2018","Currency=INR","Period=FQ","BEST_FPERIOD_OVERRIDE=FQ","FILING_STATUS=OR","EQY_CONSOLIDATED=Y","Sort=A","Dates=H","DateFormat=P","Fill=—","Direction=H","UseDPDF=Y")</f>
        <v>#NAME?</v>
      </c>
      <c r="AW450" s="1" t="e">
        <f ca="1">_xll.BDH($C$428,"MODIFIED_WORKING_CPTL_5YR_GRWTH","FQ2 2018","FQ2 2018","Currency=INR","Period=FQ","BEST_FPERIOD_OVERRIDE=FQ","FILING_STATUS=OR","EQY_CONSOLIDATED=Y","Sort=A","Dates=H","DateFormat=P","Fill=—","Direction=H","UseDPDF=Y")</f>
        <v>#NAME?</v>
      </c>
      <c r="AX450" s="1" t="e">
        <f ca="1">_xll.BDH($C$428,"WORKING_CAPITAL_5_YEAR_GROWTH","FQ2 2018","FQ2 2018","Currency=INR","Period=FQ","BEST_FPERIOD_OVERRIDE=FQ","FILING_STATUS=OR","EQY_CONSOLIDATED=Y","Sort=A","Dates=H","DateFormat=P","Fill=—","Direction=H","UseDPDF=Y")</f>
        <v>#NAME?</v>
      </c>
      <c r="AY450" s="1" t="e">
        <f ca="1">_xll.BDH($C$428,"ACCOUNTS_PAYABLE_5_YEAR_GROWTH","FQ2 2018","FQ2 2018","Currency=INR","Period=FQ","BEST_FPERIOD_OVERRIDE=FQ","FILING_STATUS=OR","EQY_CONSOLIDATED=Y","Sort=A","Dates=H","DateFormat=P","Fill=—","Direction=H","UseDPDF=Y")</f>
        <v>#NAME?</v>
      </c>
      <c r="AZ450" s="1" t="e">
        <f ca="1">_xll.BDH($C$428,"SHORT_TERM_DEBT_5_YEAR_GROWTH","FQ2 2018","FQ2 2018","Currency=INR","Period=FQ","BEST_FPERIOD_OVERRIDE=FQ","FILING_STATUS=OR","EQY_CONSOLIDATED=Y","Sort=A","Dates=H","DateFormat=P","Fill=—","Direction=H","UseDPDF=Y")</f>
        <v>#NAME?</v>
      </c>
      <c r="BA450" s="1" t="e">
        <f ca="1">_xll.BDH($C$428,"TOTAL_DEBT_5_YEAR_GROWTH","FQ2 2018","FQ2 2018","Currency=INR","Period=FQ","BEST_FPERIOD_OVERRIDE=FQ","FILING_STATUS=OR","EQY_CONSOLIDATED=Y","Sort=A","Dates=H","DateFormat=P","Fill=—","Direction=H","UseDPDF=Y")</f>
        <v>#NAME?</v>
      </c>
      <c r="BB450" s="1" t="e">
        <f ca="1">_xll.BDH($C$428,"GEO_GROW_TOT_SHRHLDR_EQY","FQ2 2018","FQ2 2018","Currency=INR","Period=FQ","BEST_FPERIOD_OVERRIDE=FQ","FILING_STATUS=OR","EQY_CONSOLIDATED=Y","Sort=A","Dates=H","DateFormat=P","Fill=—","Direction=H","UseDPDF=Y")</f>
        <v>#NAME?</v>
      </c>
      <c r="BC450" s="1" t="e">
        <f ca="1">_xll.BDH($C$428,"TOTAL_CAPITAL_5_YEAR_GROWTH","FQ2 2018","FQ2 2018","Currency=INR","Period=FQ","BEST_FPERIOD_OVERRIDE=FQ","FILING_STATUS=OR","EQY_CONSOLIDATED=Y","Sort=A","Dates=H","DateFormat=P","Fill=—","Direction=H","UseDPDF=Y")</f>
        <v>#NAME?</v>
      </c>
      <c r="BD450" s="1" t="e">
        <f ca="1">_xll.BDH($C$428,"GEO_GROW_BOOK_VAL","FQ2 2018","FQ2 2018","Currency=INR","Period=FQ","BEST_FPERIOD_OVERRIDE=FQ","FILING_STATUS=OR","EQY_CONSOLIDATED=Y","Sort=A","Dates=H","DateFormat=P","Fill=—","Direction=H","UseDPDF=Y")</f>
        <v>#NAME?</v>
      </c>
      <c r="BE450" s="1" t="e">
        <f ca="1">_xll.BDH($C$428,"GEO_GROW_CASH_OPER_ACT","FQ2 2018","FQ2 2018","Currency=INR","Period=FQ","BEST_FPERIOD_OVERRIDE=FQ","FILING_STATUS=OR","EQY_CONSOLIDATED=Y","Sort=A","Dates=H","DateFormat=P","Fill=—","Direction=H","UseDPDF=Y")</f>
        <v>#NAME?</v>
      </c>
      <c r="BF450" s="1" t="e">
        <f ca="1">_xll.BDH($C$428,"REVENUE_SEQUENTIAL_GROWTH","FQ2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50" s="1" t="e">
        <f ca="1">_xll.BDH($C$428,"EBITDA_SEQUENTIAL_GROWTH","FQ2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50" s="1" t="e">
        <f ca="1">_xll.BDH($C$428,"OPERATING_INCOME_SEQ_GROWTH","FQ2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50" s="1" t="e">
        <f ca="1">_xll.BDH($C$428,"NET_INCOME_TO_COMMON_SEQ_GROWTH","FQ2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50" s="1" t="e">
        <f ca="1">_xll.BDH($C$428,"EPS_DILUTED_SEQUENTIAL_GROWTH","FQ2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50" s="1" t="e">
        <f ca="1">_xll.BDH($C$428,"DPS_SEQUENTIAL_GROWTH","FQ2 2018","FQ2 2018","Currency=INR","Period=FQ","BEST_FPERIOD_OVERRIDE=FQ","FILING_STATUS=OR","EQY_CONSOLIDATED=Y","Sort=A","Dates=H","DateFormat=P","Fill=—","Direction=H","UseDPDF=Y")</f>
        <v>#NAME?</v>
      </c>
      <c r="BL450" s="1" t="e">
        <f ca="1">_xll.BDH($C$428,"ACCOUNTS_RECEIVABLE_SEQ_GROWTH","FQ2 2018","FQ2 2018","Currency=INR","Period=FQ","BEST_FPERIOD_OVERRIDE=FQ","FILING_STATUS=OR","EQY_CONSOLIDATED=Y","Sort=A","Dates=H","DateFormat=P","Fill=—","Direction=H","UseDPDF=Y")</f>
        <v>#NAME?</v>
      </c>
      <c r="BM450" s="1" t="e">
        <f ca="1">_xll.BDH($C$428,"INVENTORY_SEQUENTIAL_GROWTH","FQ2 2018","FQ2 2018","Currency=INR","Period=FQ","BEST_FPERIOD_OVERRIDE=FQ","FILING_STATUS=OR","EQY_CONSOLIDATED=Y","Sort=A","Dates=H","DateFormat=P","Fill=—","Direction=H","UseDPDF=Y")</f>
        <v>#NAME?</v>
      </c>
      <c r="BN450" s="1" t="e">
        <f ca="1">_xll.BDH($C$428,"FIXED_ASSETS_SEQUENTIAL_GROWTH","FQ2 2018","FQ2 2018","Currency=INR","Period=FQ","BEST_FPERIOD_OVERRIDE=FQ","FILING_STATUS=OR","EQY_CONSOLIDATED=Y","Sort=A","Dates=H","DateFormat=P","Fill=—","Direction=H","UseDPDF=Y")</f>
        <v>#NAME?</v>
      </c>
      <c r="BO450" s="1" t="e">
        <f ca="1">_xll.BDH($C$428,"TOTAL_ASSETS_SEQUENTIAL_GROWTH","FQ2 2018","FQ2 2018","Currency=INR","Period=FQ","BEST_FPERIOD_OVERRIDE=FQ","FILING_STATUS=OR","EQY_CONSOLIDATED=Y","Sort=A","Dates=H","DateFormat=P","Fill=—","Direction=H","UseDPDF=Y")</f>
        <v>#NAME?</v>
      </c>
      <c r="BP450" s="1" t="e">
        <f ca="1">_xll.BDH($C$428,"MODIFIED_WORKING_CPTL_SEQ_GRWTH","FQ2 2018","FQ2 2018","Currency=INR","Period=FQ","BEST_FPERIOD_OVERRIDE=FQ","FILING_STATUS=OR","EQY_CONSOLIDATED=Y","Sort=A","Dates=H","DateFormat=P","Fill=—","Direction=H","UseDPDF=Y")</f>
        <v>#NAME?</v>
      </c>
      <c r="BQ450" s="1" t="e">
        <f ca="1">_xll.BDH($C$428,"WORKING_CAPITAL_SEQ_GROWTH","FQ2 2018","FQ2 2018","Currency=INR","Period=FQ","BEST_FPERIOD_OVERRIDE=FQ","FILING_STATUS=OR","EQY_CONSOLIDATED=Y","Sort=A","Dates=H","DateFormat=P","Fill=—","Direction=H","UseDPDF=Y")</f>
        <v>#NAME?</v>
      </c>
      <c r="BR450" s="1" t="e">
        <f ca="1">_xll.BDH($C$428,"ACCOUNTS_PAYABLE_SEQ_GROWTH","FQ2 2018","FQ2 2018","Currency=INR","Period=FQ","BEST_FPERIOD_OVERRIDE=FQ","FILING_STATUS=OR","EQY_CONSOLIDATED=Y","Sort=A","Dates=H","DateFormat=P","Fill=—","Direction=H","UseDPDF=Y")</f>
        <v>#NAME?</v>
      </c>
      <c r="BS450" s="1" t="e">
        <f ca="1">_xll.BDH($C$428,"ST_DEBT_SEQUENTIAL_GROWTH","FQ2 2018","FQ2 2018","Currency=INR","Period=FQ","BEST_FPERIOD_OVERRIDE=FQ","FILING_STATUS=OR","EQY_CONSOLIDATED=Y","Sort=A","Dates=H","DateFormat=P","Fill=—","Direction=H","UseDPDF=Y")</f>
        <v>#NAME?</v>
      </c>
      <c r="BT450" s="1" t="e">
        <f ca="1">_xll.BDH($C$428,"TOTAL_DEBT_SEQUENTIAL_GROWTH","FQ2 2018","FQ2 2018","Currency=INR","Period=FQ","BEST_FPERIOD_OVERRIDE=FQ","FILING_STATUS=OR","EQY_CONSOLIDATED=Y","Sort=A","Dates=H","DateFormat=P","Fill=—","Direction=H","UseDPDF=Y")</f>
        <v>#NAME?</v>
      </c>
      <c r="BU450" s="1" t="e">
        <f ca="1">_xll.BDH($C$428,"TOTAL_EQUITY_SEQUENTIAL_GROWTH","FQ2 2018","FQ2 2018","Currency=INR","Period=FQ","BEST_FPERIOD_OVERRIDE=FQ","FILING_STATUS=OR","EQY_CONSOLIDATED=Y","Sort=A","Dates=H","DateFormat=P","Fill=—","Direction=H","UseDPDF=Y")</f>
        <v>#NAME?</v>
      </c>
      <c r="BV450" s="1" t="e">
        <f ca="1">_xll.BDH($C$428,"TOTAL_CAPITAL_SEQUENTIAL_GROWTH","FQ2 2018","FQ2 2018","Currency=INR","Period=FQ","BEST_FPERIOD_OVERRIDE=FQ","FILING_STATUS=OR","EQY_CONSOLIDATED=Y","Sort=A","Dates=H","DateFormat=P","Fill=—","Direction=H","UseDPDF=Y")</f>
        <v>#NAME?</v>
      </c>
      <c r="BW450" s="1" t="e">
        <f ca="1">_xll.BDH($C$428,"BPS_SEQUENTIAL_GROWTH","FQ2 2018","FQ2 2018","Currency=INR","Period=FQ","BEST_FPERIOD_OVERRIDE=FQ","FILING_STATUS=OR","EQY_CONSOLIDATED=Y","Sort=A","Dates=H","DateFormat=P","Fill=—","Direction=H","UseDPDF=Y")</f>
        <v>#NAME?</v>
      </c>
      <c r="BX450" s="1" t="e">
        <f ca="1">_xll.BDH($C$428,"CFO_SEQUENTIAL_GROWTH","FQ2 2018","FQ2 2018","Currency=INR","Period=FQ","BEST_FPERIOD_OVERRIDE=FQ","FILING_STATUS=OR","EQY_CONSOLIDATED=Y","Sort=A","Dates=H","DateFormat=P","Fill=—","Direction=H","UseDPDF=Y")</f>
        <v>#NAME?</v>
      </c>
      <c r="BY450" s="2" t="e">
        <f ca="1">_xll.BDH($C$428,"SHORT_AND_LONG_TERM_DEBT","FQ2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50" s="2" t="e">
        <f ca="1">_xll.BDH($C$428,"BS_ST_BORROW","FQ2 2018","FQ2 2018","Currency=INR","Period=FQ","BEST_FPERIOD_OVERRIDE=FQ","FILING_STATUS=OR","EQY_CONSOLIDATED=Y","SCALING_FORMAT=MLN","Sort=A","Dates=H","DateFormat=P","Fill=—","Direction=H","UseDPDF=Y")</f>
        <v>#NAME?</v>
      </c>
      <c r="CA450" s="2" t="e">
        <f ca="1">_xll.BDH($C$428,"BS_LT_BORROW","FQ2 2018","FQ2 2018","Currency=INR","Period=FQ","BEST_FPERIOD_OVERRIDE=FQ","FILING_STATUS=OR","EQY_CONSOLIDATED=Y","SCALING_FORMAT=MLN","Sort=A","Dates=H","DateFormat=P","Fill=—","Direction=H","UseDPDF=Y")</f>
        <v>#NAME?</v>
      </c>
      <c r="CB450" s="1" t="e">
        <f ca="1">_xll.BDH($C$428,"TOT_DEBT_TO_EBITDA","FQ2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50" s="1" t="e">
        <f ca="1">_xll.BDH($C$428,"NET_DEBT_TO_EBITDA","FQ2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50" s="1" t="e">
        <f ca="1">_xll.BDH($C$428,"TOTAL_DEBT_TO_EBIT","FQ2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50" s="1" t="e">
        <f ca="1">_xll.BDH($C$428,"NET_DEBT_TO_EBIT","FQ2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450" s="1" t="e">
        <f ca="1">_xll.BDH($C$428,"EBITDA_TO_INTEREST_EXPN","FQ2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50" s="1" t="e">
        <f ca="1">_xll.BDH($C$428,"COM_EQY_TO_TOT_ASSET","FQ2 2018","FQ2 2018","Currency=INR","Period=FQ","BEST_FPERIOD_OVERRIDE=FQ","FILING_STATUS=OR","EQY_CONSOLIDATED=Y","Sort=A","Dates=H","DateFormat=P","Fill=—","Direction=H","UseDPDF=Y")</f>
        <v>#NAME?</v>
      </c>
      <c r="CH450" s="1" t="e">
        <f ca="1">_xll.BDH($C$428,"LT_DEBT_TO_TOT_EQY","FQ2 2018","FQ2 2018","Currency=INR","Period=FQ","BEST_FPERIOD_OVERRIDE=FQ","FILING_STATUS=OR","EQY_CONSOLIDATED=Y","Sort=A","Dates=H","DateFormat=P","Fill=—","Direction=H","UseDPDF=Y")</f>
        <v>#NAME?</v>
      </c>
      <c r="CI450" s="1" t="e">
        <f ca="1">_xll.BDH($C$428,"LT_DEBT_TO_TOT_CAP","FQ2 2018","FQ2 2018","Currency=INR","Period=FQ","BEST_FPERIOD_OVERRIDE=FQ","FILING_STATUS=OR","EQY_CONSOLIDATED=Y","Sort=A","Dates=H","DateFormat=P","Fill=—","Direction=H","UseDPDF=Y")</f>
        <v>#NAME?</v>
      </c>
      <c r="CJ450" s="1" t="e">
        <f ca="1">_xll.BDH($C$428,"LT_DEBT_TO_TOT_ASSET","FQ2 2018","FQ2 2018","Currency=INR","Period=FQ","BEST_FPERIOD_OVERRIDE=FQ","FILING_STATUS=OR","EQY_CONSOLIDATED=Y","Sort=A","Dates=H","DateFormat=P","Fill=—","Direction=H","UseDPDF=Y")</f>
        <v>#NAME?</v>
      </c>
      <c r="CK450" s="1" t="e">
        <f ca="1">_xll.BDH($C$428,"TOT_DEBT_TO_TOT_EQY","FQ2 2018","FQ2 2018","Currency=INR","Period=FQ","BEST_FPERIOD_OVERRIDE=FQ","FILING_STATUS=OR","EQY_CONSOLIDATED=Y","Sort=A","Dates=H","DateFormat=P","Fill=—","Direction=H","UseDPDF=Y")</f>
        <v>#NAME?</v>
      </c>
      <c r="CL450" s="1" t="e">
        <f ca="1">_xll.BDH($C$428,"TOT_DEBT_TO_TOT_CAP","FQ2 2018","FQ2 2018","Currency=INR","Period=FQ","BEST_FPERIOD_OVERRIDE=FQ","FILING_STATUS=OR","EQY_CONSOLIDATED=Y","Sort=A","Dates=H","DateFormat=P","Fill=—","Direction=H","UseDPDF=Y")</f>
        <v>#NAME?</v>
      </c>
      <c r="CM450" s="1" t="e">
        <f ca="1">_xll.BDH($C$428,"TOT_DEBT_TO_TOT_ASSET","FQ2 2018","FQ2 2018","Currency=INR","Period=FQ","BEST_FPERIOD_OVERRIDE=FQ","FILING_STATUS=OR","EQY_CONSOLIDATED=Y","Sort=A","Dates=H","DateFormat=P","Fill=—","Direction=H","UseDPDF=Y")</f>
        <v>#NAME?</v>
      </c>
      <c r="CN450" s="1" t="e">
        <f ca="1">_xll.BDH($C$428,"NET_DEBT_TO_SHRHLDR_EQTY","FQ2 2018","FQ2 2018","Currency=INR","Period=FQ","BEST_FPERIOD_OVERRIDE=FQ","FILING_STATUS=OR","EQY_CONSOLIDATED=Y","Sort=A","Dates=H","DateFormat=P","Fill=—","Direction=H","UseDPDF=Y")</f>
        <v>#NAME?</v>
      </c>
      <c r="CO450" s="1" t="e">
        <f ca="1">_xll.BDH($C$428,"NET_DEBT_%_CAPITAL","FQ2 2018","FQ2 2018","Currency=INR","Period=FQ","BEST_FPERIOD_OVERRIDE=FQ","FILING_STATUS=OR","EQY_CONSOLIDATED=Y","Sort=A","Dates=H","DateFormat=P","Fill=—","Direction=H","UseDPDF=Y")</f>
        <v>#NAME?</v>
      </c>
      <c r="CP450" s="2" t="e">
        <f ca="1">_xll.BDH($C$428,"EBITDA","FQ2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50" s="2" t="e">
        <f ca="1">_xll.BDH($C$428,"EBITDA_AFTER_CAPEX","FQ2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50" s="2" t="e">
        <f ca="1">_xll.BDH($C$428,"IS_OPER_INC","FQ2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50" s="1" t="e">
        <f ca="1">_xll.BDH($C$428,"CASH_RATIO","FQ2 2018","FQ2 2018","Currency=INR","Period=FQ","BEST_FPERIOD_OVERRIDE=FQ","FILING_STATUS=OR","EQY_CONSOLIDATED=Y","Sort=A","Dates=H","DateFormat=P","Fill=—","Direction=H","UseDPDF=Y")</f>
        <v>#NAME?</v>
      </c>
      <c r="CT450" s="1" t="e">
        <f ca="1">_xll.BDH($C$428,"CUR_RATIO","FQ2 2018","FQ2 2018","Currency=INR","Period=FQ","BEST_FPERIOD_OVERRIDE=FQ","FILING_STATUS=OR","EQY_CONSOLIDATED=Y","Sort=A","Dates=H","DateFormat=P","Fill=—","Direction=H","UseDPDF=Y")</f>
        <v>#NAME?</v>
      </c>
      <c r="CU450" s="1" t="e">
        <f ca="1">_xll.BDH($C$428,"QUICK_RATIO","FQ2 2018","FQ2 2018","Currency=INR","Period=FQ","BEST_FPERIOD_OVERRIDE=FQ","FILING_STATUS=OR","EQY_CONSOLIDATED=Y","Sort=A","Dates=H","DateFormat=P","Fill=—","Direction=H","UseDPDF=Y")</f>
        <v>#NAME?</v>
      </c>
      <c r="CV450" s="1" t="e">
        <f ca="1">_xll.BDH($C$428,"ALTMAN_Z_SCORE","FQ2 2018","FQ2 2018","Currency=INR","Period=FQ","BEST_FPERIOD_OVERRIDE=FQ","FILING_STATUS=OR","EQY_CONSOLIDATED=Y","Sort=A","Dates=H","DateFormat=P","Fill=—","Direction=H","UseDPDF=Y")</f>
        <v>#NAME?</v>
      </c>
      <c r="CW450" s="3" t="e">
        <f ca="1">_xll.BDH($C$428,"ACCT_RCV_TURN","FQ2 2018","FQ2 2018","Currency=INR","Period=FQ","BEST_FPERIOD_OVERRIDE=FQ","FILING_STATUS=OR","EQY_CONSOLIDATED=Y","FA_ADJUSTED=GAAP","Sort=A","Dates=H","DateFormat=P","Fill=—","Direction=H","UseDPDF=Y")</f>
        <v>#NAME?</v>
      </c>
      <c r="CX450" s="1" t="e">
        <f ca="1">_xll.BDH($C$428,"ACCT_RCV_DAYS","FQ2 2018","FQ2 2018","Currency=INR","Period=FQ","BEST_FPERIOD_OVERRIDE=FQ","FILING_STATUS=OR","EQY_CONSOLIDATED=Y","FA_ADJUSTED=GAAP","Sort=A","Dates=H","DateFormat=P","Fill=—","Direction=H","UseDPDF=Y")</f>
        <v>#NAME?</v>
      </c>
      <c r="CY450" s="3" t="e">
        <f ca="1">_xll.BDH($C$428,"INVENT_TURN","FQ2 2018","FQ2 2018","Currency=INR","Period=FQ","BEST_FPERIOD_OVERRIDE=FQ","FILING_STATUS=OR","EQY_CONSOLIDATED=Y","FA_ADJUSTED=GAAP","Sort=A","Dates=H","DateFormat=P","Fill=—","Direction=H","UseDPDF=Y")</f>
        <v>#NAME?</v>
      </c>
      <c r="CZ450" s="1" t="e">
        <f ca="1">_xll.BDH($C$428,"INVENT_DAYS","FQ2 2018","FQ2 2018","Currency=INR","Period=FQ","BEST_FPERIOD_OVERRIDE=FQ","FILING_STATUS=OR","EQY_CONSOLIDATED=Y","FA_ADJUSTED=GAAP","Sort=A","Dates=H","DateFormat=P","Fill=—","Direction=H","UseDPDF=Y")</f>
        <v>#NAME?</v>
      </c>
      <c r="DA450" s="3" t="e">
        <f ca="1">_xll.BDH($C$428,"ACCOUNTS_PAYABLE_TURNOVER","FQ2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50" s="1" t="e">
        <f ca="1">_xll.BDH($C$428,"ACCOUNTS_PAYABLE_TURNOVER_DAYS","FQ2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50" s="3" t="e">
        <f ca="1">_xll.BDH($C$428,"CASH_CONVERSION_CYCLE","FQ2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50" s="3" t="e">
        <f ca="1">_xll.BDH($C$428,"INV_TO_CASH_DAYS","FQ2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450" s="4" t="e">
        <f ca="1">_xll.BDH($C$428,"BS_INVENTORIES","FQ2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450" s="2" t="e">
        <f ca="1">_xll.BDH($C$428,"INVTRY_RAW_MATERIALS","FQ2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50" s="2" t="e">
        <f ca="1">_xll.BDH($C$428,"INVTRY_IN_PROGRESS","FQ2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50" s="2" t="e">
        <f ca="1">_xll.BDH($C$428,"INVTRY_FINISHED_GOODS","FQ2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50" s="2" t="e">
        <f ca="1">_xll.BDH($C$428,"BS_OTHER_INV","FQ2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51" spans="1:113" x14ac:dyDescent="0.3">
      <c r="A451" s="6"/>
      <c r="B451" s="6"/>
      <c r="C451" s="6"/>
      <c r="D451" s="6"/>
      <c r="E451" t="s">
        <v>6</v>
      </c>
      <c r="F451" t="e">
        <f ca="1">_xll.BDH($C$428,"RETURN_COM_EQY","FQ3 2018","FQ3 2018","Currency=INR","Period=FQ","BEST_FPERIOD_OVERRIDE=FQ","FILING_STATUS=OR","EQY_CONSOLIDATED=Y","FA_ADJUSTED=GAAP","Sort=A","Dates=H","DateFormat=P","Fill=—","Direction=H","UseDPDF=Y")</f>
        <v>#NAME?</v>
      </c>
      <c r="G451" t="e">
        <f ca="1">_xll.BDH($C$428,"RETURN_ON_ASSET","FQ3 2018","FQ3 2018","Currency=INR","Period=FQ","BEST_FPERIOD_OVERRIDE=FQ","FILING_STATUS=OR","EQY_CONSOLIDATED=Y","FA_ADJUSTED=GAAP","Sort=A","Dates=H","DateFormat=P","Fill=—","Direction=H","UseDPDF=Y")</f>
        <v>#NAME?</v>
      </c>
      <c r="H451" t="e">
        <f ca="1">_xll.BDH($C$428,"RETURN_ON_CAP","FQ3 2018","FQ3 2018","Currency=INR","Period=FQ","BEST_FPERIOD_OVERRIDE=FQ","FILING_STATUS=OR","EQY_CONSOLIDATED=Y","FA_ADJUSTED=GAAP","Sort=A","Dates=H","DateFormat=P","Fill=—","Direction=H","UseDPDF=Y")</f>
        <v>#NAME?</v>
      </c>
      <c r="I451" t="e">
        <f ca="1">_xll.BDH($C$428,"RETURN_ON_INV_CAPITAL","FQ3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51" t="e">
        <f ca="1">_xll.BDH($C$428,"EBITDA_TO_REVENUE","FQ3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451" t="e">
        <f ca="1">_xll.BDH($C$428,"OPER_MARGIN","FQ3 2018","FQ3 2018","Currency=INR","Period=FQ","BEST_FPERIOD_OVERRIDE=FQ","FILING_STATUS=OR","EQY_CONSOLIDATED=Y","FA_ADJUSTED=GAAP","Sort=A","Dates=H","DateFormat=P","Fill=—","Direction=H","UseDPDF=Y")</f>
        <v>#NAME?</v>
      </c>
      <c r="L451" t="e">
        <f ca="1">_xll.BDH($C$428,"INCREMENTAL_OPERATING_MARGIN","FQ3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51" t="e">
        <f ca="1">_xll.BDH($C$428,"PRETAX_INC_TO_NET_SALES","FQ3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51" t="e">
        <f ca="1">_xll.BDH($C$428,"INC_BEF_XO_ITEMS_TO_NET_SALES","FQ3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51" t="e">
        <f ca="1">_xll.BDH($C$428,"PROF_MARGIN","FQ3 2018","FQ3 2018","Currency=INR","Period=FQ","BEST_FPERIOD_OVERRIDE=FQ","FILING_STATUS=OR","EQY_CONSOLIDATED=Y","FA_ADJUSTED=GAAP","Sort=A","Dates=H","DateFormat=P","Fill=—","Direction=H","UseDPDF=Y")</f>
        <v>#NAME?</v>
      </c>
      <c r="P451" t="e">
        <f ca="1">_xll.BDH($C$428,"NET_INCOME_TO_COMMON_MARGIN","FQ3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51" t="e">
        <f ca="1">_xll.BDH($C$428,"EFF_TAX_RATE","FQ3 2018","FQ3 2018","Currency=INR","Period=FQ","BEST_FPERIOD_OVERRIDE=FQ","FILING_STATUS=OR","EQY_CONSOLIDATED=Y","FA_ADJUSTED=GAAP","Sort=A","Dates=H","DateFormat=P","Fill=—","Direction=H","UseDPDF=Y")</f>
        <v>#NAME?</v>
      </c>
      <c r="R451" t="e">
        <f ca="1">_xll.BDH($C$428,"DVD_PAYOUT_RATIO","FQ3 2018","FQ3 2018","Currency=INR","Period=FQ","BEST_FPERIOD_OVERRIDE=FQ","FILING_STATUS=OR","EQY_CONSOLIDATED=Y","FA_ADJUSTED=GAAP","Sort=A","Dates=H","DateFormat=P","Fill=—","Direction=H","UseDPDF=Y")</f>
        <v>#NAME?</v>
      </c>
      <c r="S451" t="e">
        <f ca="1">_xll.BDH($C$428,"SUSTAIN_GROWTH_RT","FQ3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451" s="1" t="e">
        <f ca="1">_xll.BDH($C$428,"SALES_GROWTH","FQ3 2018","FQ3 2018","Currency=INR","Period=FQ","BEST_FPERIOD_OVERRIDE=FQ","FILING_STATUS=OR","EQY_CONSOLIDATED=Y","FA_ADJUSTED=GAAP","Sort=A","Dates=H","DateFormat=P","Fill=—","Direction=H","UseDPDF=Y")</f>
        <v>#NAME?</v>
      </c>
      <c r="U451" s="1" t="e">
        <f ca="1">_xll.BDH($C$428,"EBITDA_GROWTH","FQ3 2018","FQ3 2018","Currency=INR","Period=FQ","BEST_FPERIOD_OVERRIDE=FQ","FILING_STATUS=OR","EQY_CONSOLIDATED=Y","FA_ADJUSTED=GAAP","Sort=A","Dates=H","DateFormat=P","Fill=—","Direction=H","UseDPDF=Y")</f>
        <v>#NAME?</v>
      </c>
      <c r="V451" s="1" t="e">
        <f ca="1">_xll.BDH($C$428,"OPER_INC_GROWTH","FQ3 2018","FQ3 2018","Currency=INR","Period=FQ","BEST_FPERIOD_OVERRIDE=FQ","FILING_STATUS=OR","EQY_CONSOLIDATED=Y","FA_ADJUSTED=GAAP","Sort=A","Dates=H","DateFormat=P","Fill=—","Direction=H","UseDPDF=Y")</f>
        <v>#NAME?</v>
      </c>
      <c r="W451" s="1" t="e">
        <f ca="1">_xll.BDH($C$428,"EARN_FOR_COM_GROWTH","FQ3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51" s="1" t="e">
        <f ca="1">_xll.BDH($C$428,"DILUTED_EPS_AFT_XO_ITEMS_GROWTH","FQ3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51" s="1" t="e">
        <f ca="1">_xll.BDH($C$428,"DIVIDEND_PER_SHARE_1_YEAR_GROWTH","FQ3 2018","FQ3 2018","Currency=INR","Period=FQ","BEST_FPERIOD_OVERRIDE=FQ","FILING_STATUS=OR","EQY_CONSOLIDATED=Y","Sort=A","Dates=H","DateFormat=P","Fill=—","Direction=H","UseDPDF=Y")</f>
        <v>#NAME?</v>
      </c>
      <c r="Z451" s="1" t="e">
        <f ca="1">_xll.BDH($C$428,"ACCOUNTS_RECEIVABLE_GROWTH","FQ3 2018","FQ3 2018","Currency=INR","Period=FQ","BEST_FPERIOD_OVERRIDE=FQ","FILING_STATUS=OR","EQY_CONSOLIDATED=Y","Sort=A","Dates=H","DateFormat=P","Fill=—","Direction=H","UseDPDF=Y")</f>
        <v>#NAME?</v>
      </c>
      <c r="AA451" s="1" t="e">
        <f ca="1">_xll.BDH($C$428,"INVENTORY_GROWTH","FQ3 2018","FQ3 2018","Currency=INR","Period=FQ","BEST_FPERIOD_OVERRIDE=FQ","FILING_STATUS=OR","EQY_CONSOLIDATED=Y","Sort=A","Dates=H","DateFormat=P","Fill=—","Direction=H","UseDPDF=Y")</f>
        <v>#NAME?</v>
      </c>
      <c r="AB451" s="1" t="e">
        <f ca="1">_xll.BDH($C$428,"NET_FIXED_ASSETS_1_YEAR_GROWTH","FQ3 2018","FQ3 2018","Currency=INR","Period=FQ","BEST_FPERIOD_OVERRIDE=FQ","FILING_STATUS=OR","EQY_CONSOLIDATED=Y","Sort=A","Dates=H","DateFormat=P","Fill=—","Direction=H","UseDPDF=Y")</f>
        <v>#NAME?</v>
      </c>
      <c r="AC451" s="1" t="e">
        <f ca="1">_xll.BDH($C$428,"ASSET_GROWTH","FQ3 2018","FQ3 2018","Currency=INR","Period=FQ","BEST_FPERIOD_OVERRIDE=FQ","FILING_STATUS=OR","EQY_CONSOLIDATED=Y","Sort=A","Dates=H","DateFormat=P","Fill=—","Direction=H","UseDPDF=Y")</f>
        <v>#NAME?</v>
      </c>
      <c r="AD451" s="1" t="e">
        <f ca="1">_xll.BDH($C$428,"MODIFIED_WORK_CAP_GROWTH","FQ3 2018","FQ3 2018","Currency=INR","Period=FQ","BEST_FPERIOD_OVERRIDE=FQ","FILING_STATUS=OR","EQY_CONSOLIDATED=Y","Sort=A","Dates=H","DateFormat=P","Fill=—","Direction=H","UseDPDF=Y")</f>
        <v>#NAME?</v>
      </c>
      <c r="AE451" s="1" t="e">
        <f ca="1">_xll.BDH($C$428,"WORK_CAP_GROWTH","FQ3 2018","FQ3 2018","Currency=INR","Period=FQ","BEST_FPERIOD_OVERRIDE=FQ","FILING_STATUS=OR","EQY_CONSOLIDATED=Y","Sort=A","Dates=H","DateFormat=P","Fill=—","Direction=H","UseDPDF=Y")</f>
        <v>#NAME?</v>
      </c>
      <c r="AF451" s="1" t="e">
        <f ca="1">_xll.BDH($C$428,"ACCOUNTS_PAYABLE_GROWTH_1YR","FQ3 2018","FQ3 2018","Currency=INR","Period=FQ","BEST_FPERIOD_OVERRIDE=FQ","FILING_STATUS=OR","EQY_CONSOLIDATED=Y","Sort=A","Dates=H","DateFormat=P","Fill=—","Direction=H","UseDPDF=Y")</f>
        <v>#NAME?</v>
      </c>
      <c r="AG451" s="1" t="e">
        <f ca="1">_xll.BDH($C$428,"SHORT_TERM_DEBT_1_YEAR_GROWTH","FQ3 2018","FQ3 2018","Currency=INR","Period=FQ","BEST_FPERIOD_OVERRIDE=FQ","FILING_STATUS=OR","EQY_CONSOLIDATED=Y","Sort=A","Dates=H","DateFormat=P","Fill=—","Direction=H","UseDPDF=Y")</f>
        <v>#NAME?</v>
      </c>
      <c r="AH451" s="1" t="e">
        <f ca="1">_xll.BDH($C$428,"TOTAL_DEBT_1_YEAR_GROWTH","FQ3 2018","FQ3 2018","Currency=INR","Period=FQ","BEST_FPERIOD_OVERRIDE=FQ","FILING_STATUS=OR","EQY_CONSOLIDATED=Y","Sort=A","Dates=H","DateFormat=P","Fill=—","Direction=H","UseDPDF=Y")</f>
        <v>#NAME?</v>
      </c>
      <c r="AI451" s="1" t="e">
        <f ca="1">_xll.BDH($C$428,"TOTAL_EQUITY_1_YEAR_GROWTH","FQ3 2018","FQ3 2018","Currency=INR","Period=FQ","BEST_FPERIOD_OVERRIDE=FQ","FILING_STATUS=OR","EQY_CONSOLIDATED=Y","Sort=A","Dates=H","DateFormat=P","Fill=—","Direction=H","UseDPDF=Y")</f>
        <v>#NAME?</v>
      </c>
      <c r="AJ451" s="1" t="e">
        <f ca="1">_xll.BDH($C$428,"GROWTH_IN_CAP","FQ3 2018","FQ3 2018","Currency=INR","Period=FQ","BEST_FPERIOD_OVERRIDE=FQ","FILING_STATUS=OR","EQY_CONSOLIDATED=Y","Sort=A","Dates=H","DateFormat=P","Fill=—","Direction=H","UseDPDF=Y")</f>
        <v>#NAME?</v>
      </c>
      <c r="AK451" s="1" t="e">
        <f ca="1">_xll.BDH($C$428,"BVPS_GROWTH","FQ3 2018","FQ3 2018","Currency=INR","Period=FQ","BEST_FPERIOD_OVERRIDE=FQ","FILING_STATUS=OR","EQY_CONSOLIDATED=Y","Sort=A","Dates=H","DateFormat=P","Fill=—","Direction=H","UseDPDF=Y")</f>
        <v>#NAME?</v>
      </c>
      <c r="AL451" s="1" t="e">
        <f ca="1">_xll.BDH($C$428,"CASH_FLOW_GROWTH","FQ3 2018","FQ3 2018","Currency=INR","Period=FQ","BEST_FPERIOD_OVERRIDE=FQ","FILING_STATUS=OR","EQY_CONSOLIDATED=Y","Sort=A","Dates=H","DateFormat=P","Fill=—","Direction=H","UseDPDF=Y")</f>
        <v>#NAME?</v>
      </c>
      <c r="AM451" s="1" t="e">
        <f ca="1">_xll.BDH($C$428,"GEO_GROW_NET_SALES","FQ3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51" s="1" t="e">
        <f ca="1">_xll.BDH($C$428,"GEO_GROW_EBITDA","FQ3 2018","FQ3 2018","Currency=INR","Period=FQ","BEST_FPERIOD_OVERRIDE=FQ","FILING_STATUS=OR","EQY_CONSOLIDATED=Y","FA_ADJUSTED=GAAP","Sort=A","Dates=H","DateFormat=P","Fill=—","Direction=H","UseDPDF=Y")</f>
        <v>#NAME?</v>
      </c>
      <c r="AO451" s="1" t="e">
        <f ca="1">_xll.BDH($C$428,"GEO_GROW_OPER_INC","FQ3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51" s="1" t="e">
        <f ca="1">_xll.BDH($C$428,"NET_INCOME_TO_COMMON_5_YR_GROWTH","FQ3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51" s="1" t="e">
        <f ca="1">_xll.BDH($C$428,"5Y_GEO_GROWTH_DILUTED_EPS","FQ3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51" s="1" t="e">
        <f ca="1">_xll.BDH($C$428,"GEO_GROW_DVD_PER_SH","FQ3 2018","FQ3 2018","Currency=INR","Period=FQ","BEST_FPERIOD_OVERRIDE=FQ","FILING_STATUS=OR","EQY_CONSOLIDATED=Y","Sort=A","Dates=H","DateFormat=P","Fill=—","Direction=H","UseDPDF=Y")</f>
        <v>#NAME?</v>
      </c>
      <c r="AS451" s="1" t="e">
        <f ca="1">_xll.BDH($C$428,"ACCOUNTS_RECEIVABLE_5_YR_GROWTH","FQ3 2018","FQ3 2018","Currency=INR","Period=FQ","BEST_FPERIOD_OVERRIDE=FQ","FILING_STATUS=OR","EQY_CONSOLIDATED=Y","Sort=A","Dates=H","DateFormat=P","Fill=—","Direction=H","UseDPDF=Y")</f>
        <v>#NAME?</v>
      </c>
      <c r="AT451" s="1" t="e">
        <f ca="1">_xll.BDH($C$428,"INVENTORY_5_YEAR_GROWTH","FQ3 2018","FQ3 2018","Currency=INR","Period=FQ","BEST_FPERIOD_OVERRIDE=FQ","FILING_STATUS=OR","EQY_CONSOLIDATED=Y","Sort=A","Dates=H","DateFormat=P","Fill=—","Direction=H","UseDPDF=Y")</f>
        <v>#NAME?</v>
      </c>
      <c r="AU451" s="1" t="e">
        <f ca="1">_xll.BDH($C$428,"NET_FIXED_ASSETS_5_YEAR_GROWTH","FQ3 2018","FQ3 2018","Currency=INR","Period=FQ","BEST_FPERIOD_OVERRIDE=FQ","FILING_STATUS=OR","EQY_CONSOLIDATED=Y","Sort=A","Dates=H","DateFormat=P","Fill=—","Direction=H","UseDPDF=Y")</f>
        <v>#NAME?</v>
      </c>
      <c r="AV451" s="1" t="e">
        <f ca="1">_xll.BDH($C$428,"GEO_GROW_TOT_ASSET","FQ3 2018","FQ3 2018","Currency=INR","Period=FQ","BEST_FPERIOD_OVERRIDE=FQ","FILING_STATUS=OR","EQY_CONSOLIDATED=Y","Sort=A","Dates=H","DateFormat=P","Fill=—","Direction=H","UseDPDF=Y")</f>
        <v>#NAME?</v>
      </c>
      <c r="AW451" s="1" t="e">
        <f ca="1">_xll.BDH($C$428,"MODIFIED_WORKING_CPTL_5YR_GRWTH","FQ3 2018","FQ3 2018","Currency=INR","Period=FQ","BEST_FPERIOD_OVERRIDE=FQ","FILING_STATUS=OR","EQY_CONSOLIDATED=Y","Sort=A","Dates=H","DateFormat=P","Fill=—","Direction=H","UseDPDF=Y")</f>
        <v>#NAME?</v>
      </c>
      <c r="AX451" s="1" t="e">
        <f ca="1">_xll.BDH($C$428,"WORKING_CAPITAL_5_YEAR_GROWTH","FQ3 2018","FQ3 2018","Currency=INR","Period=FQ","BEST_FPERIOD_OVERRIDE=FQ","FILING_STATUS=OR","EQY_CONSOLIDATED=Y","Sort=A","Dates=H","DateFormat=P","Fill=—","Direction=H","UseDPDF=Y")</f>
        <v>#NAME?</v>
      </c>
      <c r="AY451" s="1" t="e">
        <f ca="1">_xll.BDH($C$428,"ACCOUNTS_PAYABLE_5_YEAR_GROWTH","FQ3 2018","FQ3 2018","Currency=INR","Period=FQ","BEST_FPERIOD_OVERRIDE=FQ","FILING_STATUS=OR","EQY_CONSOLIDATED=Y","Sort=A","Dates=H","DateFormat=P","Fill=—","Direction=H","UseDPDF=Y")</f>
        <v>#NAME?</v>
      </c>
      <c r="AZ451" s="1" t="e">
        <f ca="1">_xll.BDH($C$428,"SHORT_TERM_DEBT_5_YEAR_GROWTH","FQ3 2018","FQ3 2018","Currency=INR","Period=FQ","BEST_FPERIOD_OVERRIDE=FQ","FILING_STATUS=OR","EQY_CONSOLIDATED=Y","Sort=A","Dates=H","DateFormat=P","Fill=—","Direction=H","UseDPDF=Y")</f>
        <v>#NAME?</v>
      </c>
      <c r="BA451" s="1" t="e">
        <f ca="1">_xll.BDH($C$428,"TOTAL_DEBT_5_YEAR_GROWTH","FQ3 2018","FQ3 2018","Currency=INR","Period=FQ","BEST_FPERIOD_OVERRIDE=FQ","FILING_STATUS=OR","EQY_CONSOLIDATED=Y","Sort=A","Dates=H","DateFormat=P","Fill=—","Direction=H","UseDPDF=Y")</f>
        <v>#NAME?</v>
      </c>
      <c r="BB451" s="1" t="e">
        <f ca="1">_xll.BDH($C$428,"GEO_GROW_TOT_SHRHLDR_EQY","FQ3 2018","FQ3 2018","Currency=INR","Period=FQ","BEST_FPERIOD_OVERRIDE=FQ","FILING_STATUS=OR","EQY_CONSOLIDATED=Y","Sort=A","Dates=H","DateFormat=P","Fill=—","Direction=H","UseDPDF=Y")</f>
        <v>#NAME?</v>
      </c>
      <c r="BC451" s="1" t="e">
        <f ca="1">_xll.BDH($C$428,"TOTAL_CAPITAL_5_YEAR_GROWTH","FQ3 2018","FQ3 2018","Currency=INR","Period=FQ","BEST_FPERIOD_OVERRIDE=FQ","FILING_STATUS=OR","EQY_CONSOLIDATED=Y","Sort=A","Dates=H","DateFormat=P","Fill=—","Direction=H","UseDPDF=Y")</f>
        <v>#NAME?</v>
      </c>
      <c r="BD451" s="1" t="e">
        <f ca="1">_xll.BDH($C$428,"GEO_GROW_BOOK_VAL","FQ3 2018","FQ3 2018","Currency=INR","Period=FQ","BEST_FPERIOD_OVERRIDE=FQ","FILING_STATUS=OR","EQY_CONSOLIDATED=Y","Sort=A","Dates=H","DateFormat=P","Fill=—","Direction=H","UseDPDF=Y")</f>
        <v>#NAME?</v>
      </c>
      <c r="BE451" s="1" t="e">
        <f ca="1">_xll.BDH($C$428,"GEO_GROW_CASH_OPER_ACT","FQ3 2018","FQ3 2018","Currency=INR","Period=FQ","BEST_FPERIOD_OVERRIDE=FQ","FILING_STATUS=OR","EQY_CONSOLIDATED=Y","Sort=A","Dates=H","DateFormat=P","Fill=—","Direction=H","UseDPDF=Y")</f>
        <v>#NAME?</v>
      </c>
      <c r="BF451" s="1" t="e">
        <f ca="1">_xll.BDH($C$428,"REVENUE_SEQUENTIAL_GROWTH","FQ3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51" s="1" t="e">
        <f ca="1">_xll.BDH($C$428,"EBITDA_SEQUENTIAL_GROWTH","FQ3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51" s="1" t="e">
        <f ca="1">_xll.BDH($C$428,"OPERATING_INCOME_SEQ_GROWTH","FQ3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51" s="1" t="e">
        <f ca="1">_xll.BDH($C$428,"NET_INCOME_TO_COMMON_SEQ_GROWTH","FQ3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51" s="1" t="e">
        <f ca="1">_xll.BDH($C$428,"EPS_DILUTED_SEQUENTIAL_GROWTH","FQ3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51" s="1" t="e">
        <f ca="1">_xll.BDH($C$428,"DPS_SEQUENTIAL_GROWTH","FQ3 2018","FQ3 2018","Currency=INR","Period=FQ","BEST_FPERIOD_OVERRIDE=FQ","FILING_STATUS=OR","EQY_CONSOLIDATED=Y","Sort=A","Dates=H","DateFormat=P","Fill=—","Direction=H","UseDPDF=Y")</f>
        <v>#NAME?</v>
      </c>
      <c r="BL451" s="1" t="e">
        <f ca="1">_xll.BDH($C$428,"ACCOUNTS_RECEIVABLE_SEQ_GROWTH","FQ3 2018","FQ3 2018","Currency=INR","Period=FQ","BEST_FPERIOD_OVERRIDE=FQ","FILING_STATUS=OR","EQY_CONSOLIDATED=Y","Sort=A","Dates=H","DateFormat=P","Fill=—","Direction=H","UseDPDF=Y")</f>
        <v>#NAME?</v>
      </c>
      <c r="BM451" s="1" t="e">
        <f ca="1">_xll.BDH($C$428,"INVENTORY_SEQUENTIAL_GROWTH","FQ3 2018","FQ3 2018","Currency=INR","Period=FQ","BEST_FPERIOD_OVERRIDE=FQ","FILING_STATUS=OR","EQY_CONSOLIDATED=Y","Sort=A","Dates=H","DateFormat=P","Fill=—","Direction=H","UseDPDF=Y")</f>
        <v>#NAME?</v>
      </c>
      <c r="BN451" s="1" t="e">
        <f ca="1">_xll.BDH($C$428,"FIXED_ASSETS_SEQUENTIAL_GROWTH","FQ3 2018","FQ3 2018","Currency=INR","Period=FQ","BEST_FPERIOD_OVERRIDE=FQ","FILING_STATUS=OR","EQY_CONSOLIDATED=Y","Sort=A","Dates=H","DateFormat=P","Fill=—","Direction=H","UseDPDF=Y")</f>
        <v>#NAME?</v>
      </c>
      <c r="BO451" s="1" t="e">
        <f ca="1">_xll.BDH($C$428,"TOTAL_ASSETS_SEQUENTIAL_GROWTH","FQ3 2018","FQ3 2018","Currency=INR","Period=FQ","BEST_FPERIOD_OVERRIDE=FQ","FILING_STATUS=OR","EQY_CONSOLIDATED=Y","Sort=A","Dates=H","DateFormat=P","Fill=—","Direction=H","UseDPDF=Y")</f>
        <v>#NAME?</v>
      </c>
      <c r="BP451" s="1" t="e">
        <f ca="1">_xll.BDH($C$428,"MODIFIED_WORKING_CPTL_SEQ_GRWTH","FQ3 2018","FQ3 2018","Currency=INR","Period=FQ","BEST_FPERIOD_OVERRIDE=FQ","FILING_STATUS=OR","EQY_CONSOLIDATED=Y","Sort=A","Dates=H","DateFormat=P","Fill=—","Direction=H","UseDPDF=Y")</f>
        <v>#NAME?</v>
      </c>
      <c r="BQ451" s="1" t="e">
        <f ca="1">_xll.BDH($C$428,"WORKING_CAPITAL_SEQ_GROWTH","FQ3 2018","FQ3 2018","Currency=INR","Period=FQ","BEST_FPERIOD_OVERRIDE=FQ","FILING_STATUS=OR","EQY_CONSOLIDATED=Y","Sort=A","Dates=H","DateFormat=P","Fill=—","Direction=H","UseDPDF=Y")</f>
        <v>#NAME?</v>
      </c>
      <c r="BR451" s="1" t="e">
        <f ca="1">_xll.BDH($C$428,"ACCOUNTS_PAYABLE_SEQ_GROWTH","FQ3 2018","FQ3 2018","Currency=INR","Period=FQ","BEST_FPERIOD_OVERRIDE=FQ","FILING_STATUS=OR","EQY_CONSOLIDATED=Y","Sort=A","Dates=H","DateFormat=P","Fill=—","Direction=H","UseDPDF=Y")</f>
        <v>#NAME?</v>
      </c>
      <c r="BS451" s="1" t="e">
        <f ca="1">_xll.BDH($C$428,"ST_DEBT_SEQUENTIAL_GROWTH","FQ3 2018","FQ3 2018","Currency=INR","Period=FQ","BEST_FPERIOD_OVERRIDE=FQ","FILING_STATUS=OR","EQY_CONSOLIDATED=Y","Sort=A","Dates=H","DateFormat=P","Fill=—","Direction=H","UseDPDF=Y")</f>
        <v>#NAME?</v>
      </c>
      <c r="BT451" s="1" t="e">
        <f ca="1">_xll.BDH($C$428,"TOTAL_DEBT_SEQUENTIAL_GROWTH","FQ3 2018","FQ3 2018","Currency=INR","Period=FQ","BEST_FPERIOD_OVERRIDE=FQ","FILING_STATUS=OR","EQY_CONSOLIDATED=Y","Sort=A","Dates=H","DateFormat=P","Fill=—","Direction=H","UseDPDF=Y")</f>
        <v>#NAME?</v>
      </c>
      <c r="BU451" s="1" t="e">
        <f ca="1">_xll.BDH($C$428,"TOTAL_EQUITY_SEQUENTIAL_GROWTH","FQ3 2018","FQ3 2018","Currency=INR","Period=FQ","BEST_FPERIOD_OVERRIDE=FQ","FILING_STATUS=OR","EQY_CONSOLIDATED=Y","Sort=A","Dates=H","DateFormat=P","Fill=—","Direction=H","UseDPDF=Y")</f>
        <v>#NAME?</v>
      </c>
      <c r="BV451" s="1" t="e">
        <f ca="1">_xll.BDH($C$428,"TOTAL_CAPITAL_SEQUENTIAL_GROWTH","FQ3 2018","FQ3 2018","Currency=INR","Period=FQ","BEST_FPERIOD_OVERRIDE=FQ","FILING_STATUS=OR","EQY_CONSOLIDATED=Y","Sort=A","Dates=H","DateFormat=P","Fill=—","Direction=H","UseDPDF=Y")</f>
        <v>#NAME?</v>
      </c>
      <c r="BW451" s="1" t="e">
        <f ca="1">_xll.BDH($C$428,"BPS_SEQUENTIAL_GROWTH","FQ3 2018","FQ3 2018","Currency=INR","Period=FQ","BEST_FPERIOD_OVERRIDE=FQ","FILING_STATUS=OR","EQY_CONSOLIDATED=Y","Sort=A","Dates=H","DateFormat=P","Fill=—","Direction=H","UseDPDF=Y")</f>
        <v>#NAME?</v>
      </c>
      <c r="BX451" s="1" t="e">
        <f ca="1">_xll.BDH($C$428,"CFO_SEQUENTIAL_GROWTH","FQ3 2018","FQ3 2018","Currency=INR","Period=FQ","BEST_FPERIOD_OVERRIDE=FQ","FILING_STATUS=OR","EQY_CONSOLIDATED=Y","Sort=A","Dates=H","DateFormat=P","Fill=—","Direction=H","UseDPDF=Y")</f>
        <v>#NAME?</v>
      </c>
      <c r="BY451" s="2" t="e">
        <f ca="1">_xll.BDH($C$428,"SHORT_AND_LONG_TERM_DEBT","FQ3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51" s="2" t="e">
        <f ca="1">_xll.BDH($C$428,"BS_ST_BORROW","FQ3 2018","FQ3 2018","Currency=INR","Period=FQ","BEST_FPERIOD_OVERRIDE=FQ","FILING_STATUS=OR","EQY_CONSOLIDATED=Y","SCALING_FORMAT=MLN","Sort=A","Dates=H","DateFormat=P","Fill=—","Direction=H","UseDPDF=Y")</f>
        <v>#NAME?</v>
      </c>
      <c r="CA451" s="2" t="e">
        <f ca="1">_xll.BDH($C$428,"BS_LT_BORROW","FQ3 2018","FQ3 2018","Currency=INR","Period=FQ","BEST_FPERIOD_OVERRIDE=FQ","FILING_STATUS=OR","EQY_CONSOLIDATED=Y","SCALING_FORMAT=MLN","Sort=A","Dates=H","DateFormat=P","Fill=—","Direction=H","UseDPDF=Y")</f>
        <v>#NAME?</v>
      </c>
      <c r="CB451" s="1" t="e">
        <f ca="1">_xll.BDH($C$428,"TOT_DEBT_TO_EBITDA","FQ3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51" s="1" t="e">
        <f ca="1">_xll.BDH($C$428,"NET_DEBT_TO_EBITDA","FQ3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51" s="1" t="e">
        <f ca="1">_xll.BDH($C$428,"TOTAL_DEBT_TO_EBIT","FQ3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51" s="1" t="e">
        <f ca="1">_xll.BDH($C$428,"NET_DEBT_TO_EBIT","FQ3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451" s="1" t="e">
        <f ca="1">_xll.BDH($C$428,"EBITDA_TO_INTEREST_EXPN","FQ3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51" s="1" t="e">
        <f ca="1">_xll.BDH($C$428,"COM_EQY_TO_TOT_ASSET","FQ3 2018","FQ3 2018","Currency=INR","Period=FQ","BEST_FPERIOD_OVERRIDE=FQ","FILING_STATUS=OR","EQY_CONSOLIDATED=Y","Sort=A","Dates=H","DateFormat=P","Fill=—","Direction=H","UseDPDF=Y")</f>
        <v>#NAME?</v>
      </c>
      <c r="CH451" s="1" t="e">
        <f ca="1">_xll.BDH($C$428,"LT_DEBT_TO_TOT_EQY","FQ3 2018","FQ3 2018","Currency=INR","Period=FQ","BEST_FPERIOD_OVERRIDE=FQ","FILING_STATUS=OR","EQY_CONSOLIDATED=Y","Sort=A","Dates=H","DateFormat=P","Fill=—","Direction=H","UseDPDF=Y")</f>
        <v>#NAME?</v>
      </c>
      <c r="CI451" s="1" t="e">
        <f ca="1">_xll.BDH($C$428,"LT_DEBT_TO_TOT_CAP","FQ3 2018","FQ3 2018","Currency=INR","Period=FQ","BEST_FPERIOD_OVERRIDE=FQ","FILING_STATUS=OR","EQY_CONSOLIDATED=Y","Sort=A","Dates=H","DateFormat=P","Fill=—","Direction=H","UseDPDF=Y")</f>
        <v>#NAME?</v>
      </c>
      <c r="CJ451" s="1" t="e">
        <f ca="1">_xll.BDH($C$428,"LT_DEBT_TO_TOT_ASSET","FQ3 2018","FQ3 2018","Currency=INR","Period=FQ","BEST_FPERIOD_OVERRIDE=FQ","FILING_STATUS=OR","EQY_CONSOLIDATED=Y","Sort=A","Dates=H","DateFormat=P","Fill=—","Direction=H","UseDPDF=Y")</f>
        <v>#NAME?</v>
      </c>
      <c r="CK451" s="1" t="e">
        <f ca="1">_xll.BDH($C$428,"TOT_DEBT_TO_TOT_EQY","FQ3 2018","FQ3 2018","Currency=INR","Period=FQ","BEST_FPERIOD_OVERRIDE=FQ","FILING_STATUS=OR","EQY_CONSOLIDATED=Y","Sort=A","Dates=H","DateFormat=P","Fill=—","Direction=H","UseDPDF=Y")</f>
        <v>#NAME?</v>
      </c>
      <c r="CL451" s="1" t="e">
        <f ca="1">_xll.BDH($C$428,"TOT_DEBT_TO_TOT_CAP","FQ3 2018","FQ3 2018","Currency=INR","Period=FQ","BEST_FPERIOD_OVERRIDE=FQ","FILING_STATUS=OR","EQY_CONSOLIDATED=Y","Sort=A","Dates=H","DateFormat=P","Fill=—","Direction=H","UseDPDF=Y")</f>
        <v>#NAME?</v>
      </c>
      <c r="CM451" s="1" t="e">
        <f ca="1">_xll.BDH($C$428,"TOT_DEBT_TO_TOT_ASSET","FQ3 2018","FQ3 2018","Currency=INR","Period=FQ","BEST_FPERIOD_OVERRIDE=FQ","FILING_STATUS=OR","EQY_CONSOLIDATED=Y","Sort=A","Dates=H","DateFormat=P","Fill=—","Direction=H","UseDPDF=Y")</f>
        <v>#NAME?</v>
      </c>
      <c r="CN451" s="1" t="e">
        <f ca="1">_xll.BDH($C$428,"NET_DEBT_TO_SHRHLDR_EQTY","FQ3 2018","FQ3 2018","Currency=INR","Period=FQ","BEST_FPERIOD_OVERRIDE=FQ","FILING_STATUS=OR","EQY_CONSOLIDATED=Y","Sort=A","Dates=H","DateFormat=P","Fill=—","Direction=H","UseDPDF=Y")</f>
        <v>#NAME?</v>
      </c>
      <c r="CO451" s="1" t="e">
        <f ca="1">_xll.BDH($C$428,"NET_DEBT_%_CAPITAL","FQ3 2018","FQ3 2018","Currency=INR","Period=FQ","BEST_FPERIOD_OVERRIDE=FQ","FILING_STATUS=OR","EQY_CONSOLIDATED=Y","Sort=A","Dates=H","DateFormat=P","Fill=—","Direction=H","UseDPDF=Y")</f>
        <v>#NAME?</v>
      </c>
      <c r="CP451" s="2" t="e">
        <f ca="1">_xll.BDH($C$428,"EBITDA","FQ3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51" s="2" t="e">
        <f ca="1">_xll.BDH($C$428,"EBITDA_AFTER_CAPEX","FQ3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51" s="2" t="e">
        <f ca="1">_xll.BDH($C$428,"IS_OPER_INC","FQ3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51" s="1" t="e">
        <f ca="1">_xll.BDH($C$428,"CASH_RATIO","FQ3 2018","FQ3 2018","Currency=INR","Period=FQ","BEST_FPERIOD_OVERRIDE=FQ","FILING_STATUS=OR","EQY_CONSOLIDATED=Y","Sort=A","Dates=H","DateFormat=P","Fill=—","Direction=H","UseDPDF=Y")</f>
        <v>#NAME?</v>
      </c>
      <c r="CT451" s="1" t="e">
        <f ca="1">_xll.BDH($C$428,"CUR_RATIO","FQ3 2018","FQ3 2018","Currency=INR","Period=FQ","BEST_FPERIOD_OVERRIDE=FQ","FILING_STATUS=OR","EQY_CONSOLIDATED=Y","Sort=A","Dates=H","DateFormat=P","Fill=—","Direction=H","UseDPDF=Y")</f>
        <v>#NAME?</v>
      </c>
      <c r="CU451" s="1" t="e">
        <f ca="1">_xll.BDH($C$428,"QUICK_RATIO","FQ3 2018","FQ3 2018","Currency=INR","Period=FQ","BEST_FPERIOD_OVERRIDE=FQ","FILING_STATUS=OR","EQY_CONSOLIDATED=Y","Sort=A","Dates=H","DateFormat=P","Fill=—","Direction=H","UseDPDF=Y")</f>
        <v>#NAME?</v>
      </c>
      <c r="CV451" s="1" t="e">
        <f ca="1">_xll.BDH($C$428,"ALTMAN_Z_SCORE","FQ3 2018","FQ3 2018","Currency=INR","Period=FQ","BEST_FPERIOD_OVERRIDE=FQ","FILING_STATUS=OR","EQY_CONSOLIDATED=Y","Sort=A","Dates=H","DateFormat=P","Fill=—","Direction=H","UseDPDF=Y")</f>
        <v>#NAME?</v>
      </c>
      <c r="CW451" s="3" t="e">
        <f ca="1">_xll.BDH($C$428,"ACCT_RCV_TURN","FQ3 2018","FQ3 2018","Currency=INR","Period=FQ","BEST_FPERIOD_OVERRIDE=FQ","FILING_STATUS=OR","EQY_CONSOLIDATED=Y","FA_ADJUSTED=GAAP","Sort=A","Dates=H","DateFormat=P","Fill=—","Direction=H","UseDPDF=Y")</f>
        <v>#NAME?</v>
      </c>
      <c r="CX451" s="1" t="e">
        <f ca="1">_xll.BDH($C$428,"ACCT_RCV_DAYS","FQ3 2018","FQ3 2018","Currency=INR","Period=FQ","BEST_FPERIOD_OVERRIDE=FQ","FILING_STATUS=OR","EQY_CONSOLIDATED=Y","FA_ADJUSTED=GAAP","Sort=A","Dates=H","DateFormat=P","Fill=—","Direction=H","UseDPDF=Y")</f>
        <v>#NAME?</v>
      </c>
      <c r="CY451" s="3" t="e">
        <f ca="1">_xll.BDH($C$428,"INVENT_TURN","FQ3 2018","FQ3 2018","Currency=INR","Period=FQ","BEST_FPERIOD_OVERRIDE=FQ","FILING_STATUS=OR","EQY_CONSOLIDATED=Y","FA_ADJUSTED=GAAP","Sort=A","Dates=H","DateFormat=P","Fill=—","Direction=H","UseDPDF=Y")</f>
        <v>#NAME?</v>
      </c>
      <c r="CZ451" s="1" t="e">
        <f ca="1">_xll.BDH($C$428,"INVENT_DAYS","FQ3 2018","FQ3 2018","Currency=INR","Period=FQ","BEST_FPERIOD_OVERRIDE=FQ","FILING_STATUS=OR","EQY_CONSOLIDATED=Y","FA_ADJUSTED=GAAP","Sort=A","Dates=H","DateFormat=P","Fill=—","Direction=H","UseDPDF=Y")</f>
        <v>#NAME?</v>
      </c>
      <c r="DA451" s="3" t="e">
        <f ca="1">_xll.BDH($C$428,"ACCOUNTS_PAYABLE_TURNOVER","FQ3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51" s="1" t="e">
        <f ca="1">_xll.BDH($C$428,"ACCOUNTS_PAYABLE_TURNOVER_DAYS","FQ3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51" s="3" t="e">
        <f ca="1">_xll.BDH($C$428,"CASH_CONVERSION_CYCLE","FQ3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51" s="3" t="e">
        <f ca="1">_xll.BDH($C$428,"INV_TO_CASH_DAYS","FQ3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451" s="4" t="e">
        <f ca="1">_xll.BDH($C$428,"BS_INVENTORIES","FQ3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451" s="2" t="e">
        <f ca="1">_xll.BDH($C$428,"INVTRY_RAW_MATERIALS","FQ3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51" s="2" t="e">
        <f ca="1">_xll.BDH($C$428,"INVTRY_IN_PROGRESS","FQ3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51" s="2" t="e">
        <f ca="1">_xll.BDH($C$428,"INVTRY_FINISHED_GOODS","FQ3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51" s="2" t="e">
        <f ca="1">_xll.BDH($C$428,"BS_OTHER_INV","FQ3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52" spans="1:113" x14ac:dyDescent="0.3">
      <c r="A452" s="6"/>
      <c r="B452" s="6"/>
      <c r="C452" s="6"/>
      <c r="D452" s="6"/>
      <c r="E452" t="s">
        <v>7</v>
      </c>
      <c r="F452" t="e">
        <f ca="1">_xll.BDH($C$428,"RETURN_COM_EQY","FQ4 2018","FQ4 2018","Currency=INR","Period=FQ","BEST_FPERIOD_OVERRIDE=FQ","FILING_STATUS=OR","EQY_CONSOLIDATED=Y","FA_ADJUSTED=GAAP","Sort=A","Dates=H","DateFormat=P","Fill=—","Direction=H","UseDPDF=Y")</f>
        <v>#NAME?</v>
      </c>
      <c r="G452" t="e">
        <f ca="1">_xll.BDH($C$428,"RETURN_ON_ASSET","FQ4 2018","FQ4 2018","Currency=INR","Period=FQ","BEST_FPERIOD_OVERRIDE=FQ","FILING_STATUS=OR","EQY_CONSOLIDATED=Y","FA_ADJUSTED=GAAP","Sort=A","Dates=H","DateFormat=P","Fill=—","Direction=H","UseDPDF=Y")</f>
        <v>#NAME?</v>
      </c>
      <c r="H452" t="e">
        <f ca="1">_xll.BDH($C$428,"RETURN_ON_CAP","FQ4 2018","FQ4 2018","Currency=INR","Period=FQ","BEST_FPERIOD_OVERRIDE=FQ","FILING_STATUS=OR","EQY_CONSOLIDATED=Y","FA_ADJUSTED=GAAP","Sort=A","Dates=H","DateFormat=P","Fill=—","Direction=H","UseDPDF=Y")</f>
        <v>#NAME?</v>
      </c>
      <c r="I452" t="e">
        <f ca="1">_xll.BDH($C$428,"RETURN_ON_INV_CAPITAL","FQ4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52" t="e">
        <f ca="1">_xll.BDH($C$428,"EBITDA_TO_REVENUE","FQ4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452" t="e">
        <f ca="1">_xll.BDH($C$428,"OPER_MARGIN","FQ4 2018","FQ4 2018","Currency=INR","Period=FQ","BEST_FPERIOD_OVERRIDE=FQ","FILING_STATUS=OR","EQY_CONSOLIDATED=Y","FA_ADJUSTED=GAAP","Sort=A","Dates=H","DateFormat=P","Fill=—","Direction=H","UseDPDF=Y")</f>
        <v>#NAME?</v>
      </c>
      <c r="L452" t="e">
        <f ca="1">_xll.BDH($C$428,"INCREMENTAL_OPERATING_MARGIN","FQ4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52" t="e">
        <f ca="1">_xll.BDH($C$428,"PRETAX_INC_TO_NET_SALES","FQ4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52" t="e">
        <f ca="1">_xll.BDH($C$428,"INC_BEF_XO_ITEMS_TO_NET_SALES","FQ4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52" t="e">
        <f ca="1">_xll.BDH($C$428,"PROF_MARGIN","FQ4 2018","FQ4 2018","Currency=INR","Period=FQ","BEST_FPERIOD_OVERRIDE=FQ","FILING_STATUS=OR","EQY_CONSOLIDATED=Y","FA_ADJUSTED=GAAP","Sort=A","Dates=H","DateFormat=P","Fill=—","Direction=H","UseDPDF=Y")</f>
        <v>#NAME?</v>
      </c>
      <c r="P452" t="e">
        <f ca="1">_xll.BDH($C$428,"NET_INCOME_TO_COMMON_MARGIN","FQ4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52" t="e">
        <f ca="1">_xll.BDH($C$428,"EFF_TAX_RATE","FQ4 2018","FQ4 2018","Currency=INR","Period=FQ","BEST_FPERIOD_OVERRIDE=FQ","FILING_STATUS=OR","EQY_CONSOLIDATED=Y","FA_ADJUSTED=GAAP","Sort=A","Dates=H","DateFormat=P","Fill=—","Direction=H","UseDPDF=Y")</f>
        <v>#NAME?</v>
      </c>
      <c r="R452" t="e">
        <f ca="1">_xll.BDH($C$428,"DVD_PAYOUT_RATIO","FQ4 2018","FQ4 2018","Currency=INR","Period=FQ","BEST_FPERIOD_OVERRIDE=FQ","FILING_STATUS=OR","EQY_CONSOLIDATED=Y","FA_ADJUSTED=GAAP","Sort=A","Dates=H","DateFormat=P","Fill=—","Direction=H","UseDPDF=Y")</f>
        <v>#NAME?</v>
      </c>
      <c r="S452" t="e">
        <f ca="1">_xll.BDH($C$428,"SUSTAIN_GROWTH_RT","FQ4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452" s="1" t="e">
        <f ca="1">_xll.BDH($C$428,"SALES_GROWTH","FQ4 2018","FQ4 2018","Currency=INR","Period=FQ","BEST_FPERIOD_OVERRIDE=FQ","FILING_STATUS=OR","EQY_CONSOLIDATED=Y","FA_ADJUSTED=GAAP","Sort=A","Dates=H","DateFormat=P","Fill=—","Direction=H","UseDPDF=Y")</f>
        <v>#NAME?</v>
      </c>
      <c r="U452" s="1" t="e">
        <f ca="1">_xll.BDH($C$428,"EBITDA_GROWTH","FQ4 2018","FQ4 2018","Currency=INR","Period=FQ","BEST_FPERIOD_OVERRIDE=FQ","FILING_STATUS=OR","EQY_CONSOLIDATED=Y","FA_ADJUSTED=GAAP","Sort=A","Dates=H","DateFormat=P","Fill=—","Direction=H","UseDPDF=Y")</f>
        <v>#NAME?</v>
      </c>
      <c r="V452" s="1" t="e">
        <f ca="1">_xll.BDH($C$428,"OPER_INC_GROWTH","FQ4 2018","FQ4 2018","Currency=INR","Period=FQ","BEST_FPERIOD_OVERRIDE=FQ","FILING_STATUS=OR","EQY_CONSOLIDATED=Y","FA_ADJUSTED=GAAP","Sort=A","Dates=H","DateFormat=P","Fill=—","Direction=H","UseDPDF=Y")</f>
        <v>#NAME?</v>
      </c>
      <c r="W452" s="1" t="e">
        <f ca="1">_xll.BDH($C$428,"EARN_FOR_COM_GROWTH","FQ4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52" s="1" t="e">
        <f ca="1">_xll.BDH($C$428,"DILUTED_EPS_AFT_XO_ITEMS_GROWTH","FQ4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52" s="1" t="e">
        <f ca="1">_xll.BDH($C$428,"DIVIDEND_PER_SHARE_1_YEAR_GROWTH","FQ4 2018","FQ4 2018","Currency=INR","Period=FQ","BEST_FPERIOD_OVERRIDE=FQ","FILING_STATUS=OR","EQY_CONSOLIDATED=Y","Sort=A","Dates=H","DateFormat=P","Fill=—","Direction=H","UseDPDF=Y")</f>
        <v>#NAME?</v>
      </c>
      <c r="Z452" s="1" t="e">
        <f ca="1">_xll.BDH($C$428,"ACCOUNTS_RECEIVABLE_GROWTH","FQ4 2018","FQ4 2018","Currency=INR","Period=FQ","BEST_FPERIOD_OVERRIDE=FQ","FILING_STATUS=OR","EQY_CONSOLIDATED=Y","Sort=A","Dates=H","DateFormat=P","Fill=—","Direction=H","UseDPDF=Y")</f>
        <v>#NAME?</v>
      </c>
      <c r="AA452" s="1" t="e">
        <f ca="1">_xll.BDH($C$428,"INVENTORY_GROWTH","FQ4 2018","FQ4 2018","Currency=INR","Period=FQ","BEST_FPERIOD_OVERRIDE=FQ","FILING_STATUS=OR","EQY_CONSOLIDATED=Y","Sort=A","Dates=H","DateFormat=P","Fill=—","Direction=H","UseDPDF=Y")</f>
        <v>#NAME?</v>
      </c>
      <c r="AB452" s="1" t="e">
        <f ca="1">_xll.BDH($C$428,"NET_FIXED_ASSETS_1_YEAR_GROWTH","FQ4 2018","FQ4 2018","Currency=INR","Period=FQ","BEST_FPERIOD_OVERRIDE=FQ","FILING_STATUS=OR","EQY_CONSOLIDATED=Y","Sort=A","Dates=H","DateFormat=P","Fill=—","Direction=H","UseDPDF=Y")</f>
        <v>#NAME?</v>
      </c>
      <c r="AC452" s="1" t="e">
        <f ca="1">_xll.BDH($C$428,"ASSET_GROWTH","FQ4 2018","FQ4 2018","Currency=INR","Period=FQ","BEST_FPERIOD_OVERRIDE=FQ","FILING_STATUS=OR","EQY_CONSOLIDATED=Y","Sort=A","Dates=H","DateFormat=P","Fill=—","Direction=H","UseDPDF=Y")</f>
        <v>#NAME?</v>
      </c>
      <c r="AD452" s="1" t="e">
        <f ca="1">_xll.BDH($C$428,"MODIFIED_WORK_CAP_GROWTH","FQ4 2018","FQ4 2018","Currency=INR","Period=FQ","BEST_FPERIOD_OVERRIDE=FQ","FILING_STATUS=OR","EQY_CONSOLIDATED=Y","Sort=A","Dates=H","DateFormat=P","Fill=—","Direction=H","UseDPDF=Y")</f>
        <v>#NAME?</v>
      </c>
      <c r="AE452" s="1" t="e">
        <f ca="1">_xll.BDH($C$428,"WORK_CAP_GROWTH","FQ4 2018","FQ4 2018","Currency=INR","Period=FQ","BEST_FPERIOD_OVERRIDE=FQ","FILING_STATUS=OR","EQY_CONSOLIDATED=Y","Sort=A","Dates=H","DateFormat=P","Fill=—","Direction=H","UseDPDF=Y")</f>
        <v>#NAME?</v>
      </c>
      <c r="AF452" s="1" t="e">
        <f ca="1">_xll.BDH($C$428,"ACCOUNTS_PAYABLE_GROWTH_1YR","FQ4 2018","FQ4 2018","Currency=INR","Period=FQ","BEST_FPERIOD_OVERRIDE=FQ","FILING_STATUS=OR","EQY_CONSOLIDATED=Y","Sort=A","Dates=H","DateFormat=P","Fill=—","Direction=H","UseDPDF=Y")</f>
        <v>#NAME?</v>
      </c>
      <c r="AG452" s="1" t="e">
        <f ca="1">_xll.BDH($C$428,"SHORT_TERM_DEBT_1_YEAR_GROWTH","FQ4 2018","FQ4 2018","Currency=INR","Period=FQ","BEST_FPERIOD_OVERRIDE=FQ","FILING_STATUS=OR","EQY_CONSOLIDATED=Y","Sort=A","Dates=H","DateFormat=P","Fill=—","Direction=H","UseDPDF=Y")</f>
        <v>#NAME?</v>
      </c>
      <c r="AH452" s="1" t="e">
        <f ca="1">_xll.BDH($C$428,"TOTAL_DEBT_1_YEAR_GROWTH","FQ4 2018","FQ4 2018","Currency=INR","Period=FQ","BEST_FPERIOD_OVERRIDE=FQ","FILING_STATUS=OR","EQY_CONSOLIDATED=Y","Sort=A","Dates=H","DateFormat=P","Fill=—","Direction=H","UseDPDF=Y")</f>
        <v>#NAME?</v>
      </c>
      <c r="AI452" s="1" t="e">
        <f ca="1">_xll.BDH($C$428,"TOTAL_EQUITY_1_YEAR_GROWTH","FQ4 2018","FQ4 2018","Currency=INR","Period=FQ","BEST_FPERIOD_OVERRIDE=FQ","FILING_STATUS=OR","EQY_CONSOLIDATED=Y","Sort=A","Dates=H","DateFormat=P","Fill=—","Direction=H","UseDPDF=Y")</f>
        <v>#NAME?</v>
      </c>
      <c r="AJ452" s="1" t="e">
        <f ca="1">_xll.BDH($C$428,"GROWTH_IN_CAP","FQ4 2018","FQ4 2018","Currency=INR","Period=FQ","BEST_FPERIOD_OVERRIDE=FQ","FILING_STATUS=OR","EQY_CONSOLIDATED=Y","Sort=A","Dates=H","DateFormat=P","Fill=—","Direction=H","UseDPDF=Y")</f>
        <v>#NAME?</v>
      </c>
      <c r="AK452" s="1" t="e">
        <f ca="1">_xll.BDH($C$428,"BVPS_GROWTH","FQ4 2018","FQ4 2018","Currency=INR","Period=FQ","BEST_FPERIOD_OVERRIDE=FQ","FILING_STATUS=OR","EQY_CONSOLIDATED=Y","Sort=A","Dates=H","DateFormat=P","Fill=—","Direction=H","UseDPDF=Y")</f>
        <v>#NAME?</v>
      </c>
      <c r="AL452" s="1" t="e">
        <f ca="1">_xll.BDH($C$428,"CASH_FLOW_GROWTH","FQ4 2018","FQ4 2018","Currency=INR","Period=FQ","BEST_FPERIOD_OVERRIDE=FQ","FILING_STATUS=OR","EQY_CONSOLIDATED=Y","Sort=A","Dates=H","DateFormat=P","Fill=—","Direction=H","UseDPDF=Y")</f>
        <v>#NAME?</v>
      </c>
      <c r="AM452" s="1" t="e">
        <f ca="1">_xll.BDH($C$428,"GEO_GROW_NET_SALES","FQ4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52" s="1" t="e">
        <f ca="1">_xll.BDH($C$428,"GEO_GROW_EBITDA","FQ4 2018","FQ4 2018","Currency=INR","Period=FQ","BEST_FPERIOD_OVERRIDE=FQ","FILING_STATUS=OR","EQY_CONSOLIDATED=Y","FA_ADJUSTED=GAAP","Sort=A","Dates=H","DateFormat=P","Fill=—","Direction=H","UseDPDF=Y")</f>
        <v>#NAME?</v>
      </c>
      <c r="AO452" s="1" t="e">
        <f ca="1">_xll.BDH($C$428,"GEO_GROW_OPER_INC","FQ4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52" s="1" t="e">
        <f ca="1">_xll.BDH($C$428,"NET_INCOME_TO_COMMON_5_YR_GROWTH","FQ4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52" s="1" t="e">
        <f ca="1">_xll.BDH($C$428,"5Y_GEO_GROWTH_DILUTED_EPS","FQ4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52" s="1" t="e">
        <f ca="1">_xll.BDH($C$428,"GEO_GROW_DVD_PER_SH","FQ4 2018","FQ4 2018","Currency=INR","Period=FQ","BEST_FPERIOD_OVERRIDE=FQ","FILING_STATUS=OR","EQY_CONSOLIDATED=Y","Sort=A","Dates=H","DateFormat=P","Fill=—","Direction=H","UseDPDF=Y")</f>
        <v>#NAME?</v>
      </c>
      <c r="AS452" s="1" t="e">
        <f ca="1">_xll.BDH($C$428,"ACCOUNTS_RECEIVABLE_5_YR_GROWTH","FQ4 2018","FQ4 2018","Currency=INR","Period=FQ","BEST_FPERIOD_OVERRIDE=FQ","FILING_STATUS=OR","EQY_CONSOLIDATED=Y","Sort=A","Dates=H","DateFormat=P","Fill=—","Direction=H","UseDPDF=Y")</f>
        <v>#NAME?</v>
      </c>
      <c r="AT452" s="1" t="e">
        <f ca="1">_xll.BDH($C$428,"INVENTORY_5_YEAR_GROWTH","FQ4 2018","FQ4 2018","Currency=INR","Period=FQ","BEST_FPERIOD_OVERRIDE=FQ","FILING_STATUS=OR","EQY_CONSOLIDATED=Y","Sort=A","Dates=H","DateFormat=P","Fill=—","Direction=H","UseDPDF=Y")</f>
        <v>#NAME?</v>
      </c>
      <c r="AU452" s="1" t="e">
        <f ca="1">_xll.BDH($C$428,"NET_FIXED_ASSETS_5_YEAR_GROWTH","FQ4 2018","FQ4 2018","Currency=INR","Period=FQ","BEST_FPERIOD_OVERRIDE=FQ","FILING_STATUS=OR","EQY_CONSOLIDATED=Y","Sort=A","Dates=H","DateFormat=P","Fill=—","Direction=H","UseDPDF=Y")</f>
        <v>#NAME?</v>
      </c>
      <c r="AV452" s="1" t="e">
        <f ca="1">_xll.BDH($C$428,"GEO_GROW_TOT_ASSET","FQ4 2018","FQ4 2018","Currency=INR","Period=FQ","BEST_FPERIOD_OVERRIDE=FQ","FILING_STATUS=OR","EQY_CONSOLIDATED=Y","Sort=A","Dates=H","DateFormat=P","Fill=—","Direction=H","UseDPDF=Y")</f>
        <v>#NAME?</v>
      </c>
      <c r="AW452" s="1" t="e">
        <f ca="1">_xll.BDH($C$428,"MODIFIED_WORKING_CPTL_5YR_GRWTH","FQ4 2018","FQ4 2018","Currency=INR","Period=FQ","BEST_FPERIOD_OVERRIDE=FQ","FILING_STATUS=OR","EQY_CONSOLIDATED=Y","Sort=A","Dates=H","DateFormat=P","Fill=—","Direction=H","UseDPDF=Y")</f>
        <v>#NAME?</v>
      </c>
      <c r="AX452" s="1" t="e">
        <f ca="1">_xll.BDH($C$428,"WORKING_CAPITAL_5_YEAR_GROWTH","FQ4 2018","FQ4 2018","Currency=INR","Period=FQ","BEST_FPERIOD_OVERRIDE=FQ","FILING_STATUS=OR","EQY_CONSOLIDATED=Y","Sort=A","Dates=H","DateFormat=P","Fill=—","Direction=H","UseDPDF=Y")</f>
        <v>#NAME?</v>
      </c>
      <c r="AY452" s="1" t="e">
        <f ca="1">_xll.BDH($C$428,"ACCOUNTS_PAYABLE_5_YEAR_GROWTH","FQ4 2018","FQ4 2018","Currency=INR","Period=FQ","BEST_FPERIOD_OVERRIDE=FQ","FILING_STATUS=OR","EQY_CONSOLIDATED=Y","Sort=A","Dates=H","DateFormat=P","Fill=—","Direction=H","UseDPDF=Y")</f>
        <v>#NAME?</v>
      </c>
      <c r="AZ452" s="1" t="e">
        <f ca="1">_xll.BDH($C$428,"SHORT_TERM_DEBT_5_YEAR_GROWTH","FQ4 2018","FQ4 2018","Currency=INR","Period=FQ","BEST_FPERIOD_OVERRIDE=FQ","FILING_STATUS=OR","EQY_CONSOLIDATED=Y","Sort=A","Dates=H","DateFormat=P","Fill=—","Direction=H","UseDPDF=Y")</f>
        <v>#NAME?</v>
      </c>
      <c r="BA452" s="1" t="e">
        <f ca="1">_xll.BDH($C$428,"TOTAL_DEBT_5_YEAR_GROWTH","FQ4 2018","FQ4 2018","Currency=INR","Period=FQ","BEST_FPERIOD_OVERRIDE=FQ","FILING_STATUS=OR","EQY_CONSOLIDATED=Y","Sort=A","Dates=H","DateFormat=P","Fill=—","Direction=H","UseDPDF=Y")</f>
        <v>#NAME?</v>
      </c>
      <c r="BB452" s="1" t="e">
        <f ca="1">_xll.BDH($C$428,"GEO_GROW_TOT_SHRHLDR_EQY","FQ4 2018","FQ4 2018","Currency=INR","Period=FQ","BEST_FPERIOD_OVERRIDE=FQ","FILING_STATUS=OR","EQY_CONSOLIDATED=Y","Sort=A","Dates=H","DateFormat=P","Fill=—","Direction=H","UseDPDF=Y")</f>
        <v>#NAME?</v>
      </c>
      <c r="BC452" s="1" t="e">
        <f ca="1">_xll.BDH($C$428,"TOTAL_CAPITAL_5_YEAR_GROWTH","FQ4 2018","FQ4 2018","Currency=INR","Period=FQ","BEST_FPERIOD_OVERRIDE=FQ","FILING_STATUS=OR","EQY_CONSOLIDATED=Y","Sort=A","Dates=H","DateFormat=P","Fill=—","Direction=H","UseDPDF=Y")</f>
        <v>#NAME?</v>
      </c>
      <c r="BD452" s="1" t="e">
        <f ca="1">_xll.BDH($C$428,"GEO_GROW_BOOK_VAL","FQ4 2018","FQ4 2018","Currency=INR","Period=FQ","BEST_FPERIOD_OVERRIDE=FQ","FILING_STATUS=OR","EQY_CONSOLIDATED=Y","Sort=A","Dates=H","DateFormat=P","Fill=—","Direction=H","UseDPDF=Y")</f>
        <v>#NAME?</v>
      </c>
      <c r="BE452" s="1" t="e">
        <f ca="1">_xll.BDH($C$428,"GEO_GROW_CASH_OPER_ACT","FQ4 2018","FQ4 2018","Currency=INR","Period=FQ","BEST_FPERIOD_OVERRIDE=FQ","FILING_STATUS=OR","EQY_CONSOLIDATED=Y","Sort=A","Dates=H","DateFormat=P","Fill=—","Direction=H","UseDPDF=Y")</f>
        <v>#NAME?</v>
      </c>
      <c r="BF452" s="1" t="e">
        <f ca="1">_xll.BDH($C$428,"REVENUE_SEQUENTIAL_GROWTH","FQ4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52" s="1" t="e">
        <f ca="1">_xll.BDH($C$428,"EBITDA_SEQUENTIAL_GROWTH","FQ4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52" s="1" t="e">
        <f ca="1">_xll.BDH($C$428,"OPERATING_INCOME_SEQ_GROWTH","FQ4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52" s="1" t="e">
        <f ca="1">_xll.BDH($C$428,"NET_INCOME_TO_COMMON_SEQ_GROWTH","FQ4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52" s="1" t="e">
        <f ca="1">_xll.BDH($C$428,"EPS_DILUTED_SEQUENTIAL_GROWTH","FQ4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52" s="1" t="e">
        <f ca="1">_xll.BDH($C$428,"DPS_SEQUENTIAL_GROWTH","FQ4 2018","FQ4 2018","Currency=INR","Period=FQ","BEST_FPERIOD_OVERRIDE=FQ","FILING_STATUS=OR","EQY_CONSOLIDATED=Y","Sort=A","Dates=H","DateFormat=P","Fill=—","Direction=H","UseDPDF=Y")</f>
        <v>#NAME?</v>
      </c>
      <c r="BL452" s="1" t="e">
        <f ca="1">_xll.BDH($C$428,"ACCOUNTS_RECEIVABLE_SEQ_GROWTH","FQ4 2018","FQ4 2018","Currency=INR","Period=FQ","BEST_FPERIOD_OVERRIDE=FQ","FILING_STATUS=OR","EQY_CONSOLIDATED=Y","Sort=A","Dates=H","DateFormat=P","Fill=—","Direction=H","UseDPDF=Y")</f>
        <v>#NAME?</v>
      </c>
      <c r="BM452" s="1" t="e">
        <f ca="1">_xll.BDH($C$428,"INVENTORY_SEQUENTIAL_GROWTH","FQ4 2018","FQ4 2018","Currency=INR","Period=FQ","BEST_FPERIOD_OVERRIDE=FQ","FILING_STATUS=OR","EQY_CONSOLIDATED=Y","Sort=A","Dates=H","DateFormat=P","Fill=—","Direction=H","UseDPDF=Y")</f>
        <v>#NAME?</v>
      </c>
      <c r="BN452" s="1" t="e">
        <f ca="1">_xll.BDH($C$428,"FIXED_ASSETS_SEQUENTIAL_GROWTH","FQ4 2018","FQ4 2018","Currency=INR","Period=FQ","BEST_FPERIOD_OVERRIDE=FQ","FILING_STATUS=OR","EQY_CONSOLIDATED=Y","Sort=A","Dates=H","DateFormat=P","Fill=—","Direction=H","UseDPDF=Y")</f>
        <v>#NAME?</v>
      </c>
      <c r="BO452" s="1" t="e">
        <f ca="1">_xll.BDH($C$428,"TOTAL_ASSETS_SEQUENTIAL_GROWTH","FQ4 2018","FQ4 2018","Currency=INR","Period=FQ","BEST_FPERIOD_OVERRIDE=FQ","FILING_STATUS=OR","EQY_CONSOLIDATED=Y","Sort=A","Dates=H","DateFormat=P","Fill=—","Direction=H","UseDPDF=Y")</f>
        <v>#NAME?</v>
      </c>
      <c r="BP452" s="1" t="e">
        <f ca="1">_xll.BDH($C$428,"MODIFIED_WORKING_CPTL_SEQ_GRWTH","FQ4 2018","FQ4 2018","Currency=INR","Period=FQ","BEST_FPERIOD_OVERRIDE=FQ","FILING_STATUS=OR","EQY_CONSOLIDATED=Y","Sort=A","Dates=H","DateFormat=P","Fill=—","Direction=H","UseDPDF=Y")</f>
        <v>#NAME?</v>
      </c>
      <c r="BQ452" s="1" t="e">
        <f ca="1">_xll.BDH($C$428,"WORKING_CAPITAL_SEQ_GROWTH","FQ4 2018","FQ4 2018","Currency=INR","Period=FQ","BEST_FPERIOD_OVERRIDE=FQ","FILING_STATUS=OR","EQY_CONSOLIDATED=Y","Sort=A","Dates=H","DateFormat=P","Fill=—","Direction=H","UseDPDF=Y")</f>
        <v>#NAME?</v>
      </c>
      <c r="BR452" s="1" t="e">
        <f ca="1">_xll.BDH($C$428,"ACCOUNTS_PAYABLE_SEQ_GROWTH","FQ4 2018","FQ4 2018","Currency=INR","Period=FQ","BEST_FPERIOD_OVERRIDE=FQ","FILING_STATUS=OR","EQY_CONSOLIDATED=Y","Sort=A","Dates=H","DateFormat=P","Fill=—","Direction=H","UseDPDF=Y")</f>
        <v>#NAME?</v>
      </c>
      <c r="BS452" s="1" t="e">
        <f ca="1">_xll.BDH($C$428,"ST_DEBT_SEQUENTIAL_GROWTH","FQ4 2018","FQ4 2018","Currency=INR","Period=FQ","BEST_FPERIOD_OVERRIDE=FQ","FILING_STATUS=OR","EQY_CONSOLIDATED=Y","Sort=A","Dates=H","DateFormat=P","Fill=—","Direction=H","UseDPDF=Y")</f>
        <v>#NAME?</v>
      </c>
      <c r="BT452" s="1" t="e">
        <f ca="1">_xll.BDH($C$428,"TOTAL_DEBT_SEQUENTIAL_GROWTH","FQ4 2018","FQ4 2018","Currency=INR","Period=FQ","BEST_FPERIOD_OVERRIDE=FQ","FILING_STATUS=OR","EQY_CONSOLIDATED=Y","Sort=A","Dates=H","DateFormat=P","Fill=—","Direction=H","UseDPDF=Y")</f>
        <v>#NAME?</v>
      </c>
      <c r="BU452" s="1" t="e">
        <f ca="1">_xll.BDH($C$428,"TOTAL_EQUITY_SEQUENTIAL_GROWTH","FQ4 2018","FQ4 2018","Currency=INR","Period=FQ","BEST_FPERIOD_OVERRIDE=FQ","FILING_STATUS=OR","EQY_CONSOLIDATED=Y","Sort=A","Dates=H","DateFormat=P","Fill=—","Direction=H","UseDPDF=Y")</f>
        <v>#NAME?</v>
      </c>
      <c r="BV452" s="1" t="e">
        <f ca="1">_xll.BDH($C$428,"TOTAL_CAPITAL_SEQUENTIAL_GROWTH","FQ4 2018","FQ4 2018","Currency=INR","Period=FQ","BEST_FPERIOD_OVERRIDE=FQ","FILING_STATUS=OR","EQY_CONSOLIDATED=Y","Sort=A","Dates=H","DateFormat=P","Fill=—","Direction=H","UseDPDF=Y")</f>
        <v>#NAME?</v>
      </c>
      <c r="BW452" s="1" t="e">
        <f ca="1">_xll.BDH($C$428,"BPS_SEQUENTIAL_GROWTH","FQ4 2018","FQ4 2018","Currency=INR","Period=FQ","BEST_FPERIOD_OVERRIDE=FQ","FILING_STATUS=OR","EQY_CONSOLIDATED=Y","Sort=A","Dates=H","DateFormat=P","Fill=—","Direction=H","UseDPDF=Y")</f>
        <v>#NAME?</v>
      </c>
      <c r="BX452" s="1" t="e">
        <f ca="1">_xll.BDH($C$428,"CFO_SEQUENTIAL_GROWTH","FQ4 2018","FQ4 2018","Currency=INR","Period=FQ","BEST_FPERIOD_OVERRIDE=FQ","FILING_STATUS=OR","EQY_CONSOLIDATED=Y","Sort=A","Dates=H","DateFormat=P","Fill=—","Direction=H","UseDPDF=Y")</f>
        <v>#NAME?</v>
      </c>
      <c r="BY452" s="2" t="e">
        <f ca="1">_xll.BDH($C$428,"SHORT_AND_LONG_TERM_DEBT","FQ4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52" s="2" t="e">
        <f ca="1">_xll.BDH($C$428,"BS_ST_BORROW","FQ4 2018","FQ4 2018","Currency=INR","Period=FQ","BEST_FPERIOD_OVERRIDE=FQ","FILING_STATUS=OR","EQY_CONSOLIDATED=Y","SCALING_FORMAT=MLN","Sort=A","Dates=H","DateFormat=P","Fill=—","Direction=H","UseDPDF=Y")</f>
        <v>#NAME?</v>
      </c>
      <c r="CA452" s="2" t="e">
        <f ca="1">_xll.BDH($C$428,"BS_LT_BORROW","FQ4 2018","FQ4 2018","Currency=INR","Period=FQ","BEST_FPERIOD_OVERRIDE=FQ","FILING_STATUS=OR","EQY_CONSOLIDATED=Y","SCALING_FORMAT=MLN","Sort=A","Dates=H","DateFormat=P","Fill=—","Direction=H","UseDPDF=Y")</f>
        <v>#NAME?</v>
      </c>
      <c r="CB452" s="1" t="e">
        <f ca="1">_xll.BDH($C$428,"TOT_DEBT_TO_EBITDA","FQ4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52" s="1" t="e">
        <f ca="1">_xll.BDH($C$428,"NET_DEBT_TO_EBITDA","FQ4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52" s="1" t="e">
        <f ca="1">_xll.BDH($C$428,"TOTAL_DEBT_TO_EBIT","FQ4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52" s="1" t="e">
        <f ca="1">_xll.BDH($C$428,"NET_DEBT_TO_EBIT","FQ4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452" s="1" t="e">
        <f ca="1">_xll.BDH($C$428,"EBITDA_TO_INTEREST_EXPN","FQ4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52" s="1" t="e">
        <f ca="1">_xll.BDH($C$428,"COM_EQY_TO_TOT_ASSET","FQ4 2018","FQ4 2018","Currency=INR","Period=FQ","BEST_FPERIOD_OVERRIDE=FQ","FILING_STATUS=OR","EQY_CONSOLIDATED=Y","Sort=A","Dates=H","DateFormat=P","Fill=—","Direction=H","UseDPDF=Y")</f>
        <v>#NAME?</v>
      </c>
      <c r="CH452" s="1" t="e">
        <f ca="1">_xll.BDH($C$428,"LT_DEBT_TO_TOT_EQY","FQ4 2018","FQ4 2018","Currency=INR","Period=FQ","BEST_FPERIOD_OVERRIDE=FQ","FILING_STATUS=OR","EQY_CONSOLIDATED=Y","Sort=A","Dates=H","DateFormat=P","Fill=—","Direction=H","UseDPDF=Y")</f>
        <v>#NAME?</v>
      </c>
      <c r="CI452" s="1" t="e">
        <f ca="1">_xll.BDH($C$428,"LT_DEBT_TO_TOT_CAP","FQ4 2018","FQ4 2018","Currency=INR","Period=FQ","BEST_FPERIOD_OVERRIDE=FQ","FILING_STATUS=OR","EQY_CONSOLIDATED=Y","Sort=A","Dates=H","DateFormat=P","Fill=—","Direction=H","UseDPDF=Y")</f>
        <v>#NAME?</v>
      </c>
      <c r="CJ452" s="1" t="e">
        <f ca="1">_xll.BDH($C$428,"LT_DEBT_TO_TOT_ASSET","FQ4 2018","FQ4 2018","Currency=INR","Period=FQ","BEST_FPERIOD_OVERRIDE=FQ","FILING_STATUS=OR","EQY_CONSOLIDATED=Y","Sort=A","Dates=H","DateFormat=P","Fill=—","Direction=H","UseDPDF=Y")</f>
        <v>#NAME?</v>
      </c>
      <c r="CK452" s="1" t="e">
        <f ca="1">_xll.BDH($C$428,"TOT_DEBT_TO_TOT_EQY","FQ4 2018","FQ4 2018","Currency=INR","Period=FQ","BEST_FPERIOD_OVERRIDE=FQ","FILING_STATUS=OR","EQY_CONSOLIDATED=Y","Sort=A","Dates=H","DateFormat=P","Fill=—","Direction=H","UseDPDF=Y")</f>
        <v>#NAME?</v>
      </c>
      <c r="CL452" s="1" t="e">
        <f ca="1">_xll.BDH($C$428,"TOT_DEBT_TO_TOT_CAP","FQ4 2018","FQ4 2018","Currency=INR","Period=FQ","BEST_FPERIOD_OVERRIDE=FQ","FILING_STATUS=OR","EQY_CONSOLIDATED=Y","Sort=A","Dates=H","DateFormat=P","Fill=—","Direction=H","UseDPDF=Y")</f>
        <v>#NAME?</v>
      </c>
      <c r="CM452" s="1" t="e">
        <f ca="1">_xll.BDH($C$428,"TOT_DEBT_TO_TOT_ASSET","FQ4 2018","FQ4 2018","Currency=INR","Period=FQ","BEST_FPERIOD_OVERRIDE=FQ","FILING_STATUS=OR","EQY_CONSOLIDATED=Y","Sort=A","Dates=H","DateFormat=P","Fill=—","Direction=H","UseDPDF=Y")</f>
        <v>#NAME?</v>
      </c>
      <c r="CN452" s="1" t="e">
        <f ca="1">_xll.BDH($C$428,"NET_DEBT_TO_SHRHLDR_EQTY","FQ4 2018","FQ4 2018","Currency=INR","Period=FQ","BEST_FPERIOD_OVERRIDE=FQ","FILING_STATUS=OR","EQY_CONSOLIDATED=Y","Sort=A","Dates=H","DateFormat=P","Fill=—","Direction=H","UseDPDF=Y")</f>
        <v>#NAME?</v>
      </c>
      <c r="CO452" s="1" t="e">
        <f ca="1">_xll.BDH($C$428,"NET_DEBT_%_CAPITAL","FQ4 2018","FQ4 2018","Currency=INR","Period=FQ","BEST_FPERIOD_OVERRIDE=FQ","FILING_STATUS=OR","EQY_CONSOLIDATED=Y","Sort=A","Dates=H","DateFormat=P","Fill=—","Direction=H","UseDPDF=Y")</f>
        <v>#NAME?</v>
      </c>
      <c r="CP452" s="2" t="e">
        <f ca="1">_xll.BDH($C$428,"EBITDA","FQ4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52" s="2" t="e">
        <f ca="1">_xll.BDH($C$428,"EBITDA_AFTER_CAPEX","FQ4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52" s="2" t="e">
        <f ca="1">_xll.BDH($C$428,"IS_OPER_INC","FQ4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52" s="1" t="e">
        <f ca="1">_xll.BDH($C$428,"CASH_RATIO","FQ4 2018","FQ4 2018","Currency=INR","Period=FQ","BEST_FPERIOD_OVERRIDE=FQ","FILING_STATUS=OR","EQY_CONSOLIDATED=Y","Sort=A","Dates=H","DateFormat=P","Fill=—","Direction=H","UseDPDF=Y")</f>
        <v>#NAME?</v>
      </c>
      <c r="CT452" s="1" t="e">
        <f ca="1">_xll.BDH($C$428,"CUR_RATIO","FQ4 2018","FQ4 2018","Currency=INR","Period=FQ","BEST_FPERIOD_OVERRIDE=FQ","FILING_STATUS=OR","EQY_CONSOLIDATED=Y","Sort=A","Dates=H","DateFormat=P","Fill=—","Direction=H","UseDPDF=Y")</f>
        <v>#NAME?</v>
      </c>
      <c r="CU452" s="1" t="e">
        <f ca="1">_xll.BDH($C$428,"QUICK_RATIO","FQ4 2018","FQ4 2018","Currency=INR","Period=FQ","BEST_FPERIOD_OVERRIDE=FQ","FILING_STATUS=OR","EQY_CONSOLIDATED=Y","Sort=A","Dates=H","DateFormat=P","Fill=—","Direction=H","UseDPDF=Y")</f>
        <v>#NAME?</v>
      </c>
      <c r="CV452" s="1" t="e">
        <f ca="1">_xll.BDH($C$428,"ALTMAN_Z_SCORE","FQ4 2018","FQ4 2018","Currency=INR","Period=FQ","BEST_FPERIOD_OVERRIDE=FQ","FILING_STATUS=OR","EQY_CONSOLIDATED=Y","Sort=A","Dates=H","DateFormat=P","Fill=—","Direction=H","UseDPDF=Y")</f>
        <v>#NAME?</v>
      </c>
      <c r="CW452" s="3" t="e">
        <f ca="1">_xll.BDH($C$428,"ACCT_RCV_TURN","FQ4 2018","FQ4 2018","Currency=INR","Period=FQ","BEST_FPERIOD_OVERRIDE=FQ","FILING_STATUS=OR","EQY_CONSOLIDATED=Y","FA_ADJUSTED=GAAP","Sort=A","Dates=H","DateFormat=P","Fill=—","Direction=H","UseDPDF=Y")</f>
        <v>#NAME?</v>
      </c>
      <c r="CX452" s="1" t="e">
        <f ca="1">_xll.BDH($C$428,"ACCT_RCV_DAYS","FQ4 2018","FQ4 2018","Currency=INR","Period=FQ","BEST_FPERIOD_OVERRIDE=FQ","FILING_STATUS=OR","EQY_CONSOLIDATED=Y","FA_ADJUSTED=GAAP","Sort=A","Dates=H","DateFormat=P","Fill=—","Direction=H","UseDPDF=Y")</f>
        <v>#NAME?</v>
      </c>
      <c r="CY452" s="3" t="e">
        <f ca="1">_xll.BDH($C$428,"INVENT_TURN","FQ4 2018","FQ4 2018","Currency=INR","Period=FQ","BEST_FPERIOD_OVERRIDE=FQ","FILING_STATUS=OR","EQY_CONSOLIDATED=Y","FA_ADJUSTED=GAAP","Sort=A","Dates=H","DateFormat=P","Fill=—","Direction=H","UseDPDF=Y")</f>
        <v>#NAME?</v>
      </c>
      <c r="CZ452" s="1" t="e">
        <f ca="1">_xll.BDH($C$428,"INVENT_DAYS","FQ4 2018","FQ4 2018","Currency=INR","Period=FQ","BEST_FPERIOD_OVERRIDE=FQ","FILING_STATUS=OR","EQY_CONSOLIDATED=Y","FA_ADJUSTED=GAAP","Sort=A","Dates=H","DateFormat=P","Fill=—","Direction=H","UseDPDF=Y")</f>
        <v>#NAME?</v>
      </c>
      <c r="DA452" s="3" t="e">
        <f ca="1">_xll.BDH($C$428,"ACCOUNTS_PAYABLE_TURNOVER","FQ4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52" s="1" t="e">
        <f ca="1">_xll.BDH($C$428,"ACCOUNTS_PAYABLE_TURNOVER_DAYS","FQ4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52" s="3" t="e">
        <f ca="1">_xll.BDH($C$428,"CASH_CONVERSION_CYCLE","FQ4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52" s="3" t="e">
        <f ca="1">_xll.BDH($C$428,"INV_TO_CASH_DAYS","FQ4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452" s="4" t="e">
        <f ca="1">_xll.BDH($C$428,"BS_INVENTORIES","FQ4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452" s="2" t="e">
        <f ca="1">_xll.BDH($C$428,"INVTRY_RAW_MATERIALS","FQ4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52" s="2" t="e">
        <f ca="1">_xll.BDH($C$428,"INVTRY_IN_PROGRESS","FQ4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52" s="2" t="e">
        <f ca="1">_xll.BDH($C$428,"INVTRY_FINISHED_GOODS","FQ4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52" s="2" t="e">
        <f ca="1">_xll.BDH($C$428,"BS_OTHER_INV","FQ4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53" spans="1:113" x14ac:dyDescent="0.3">
      <c r="A453" s="6">
        <v>69</v>
      </c>
      <c r="B453" s="6" t="s">
        <v>46</v>
      </c>
      <c r="C453" s="6" t="s">
        <v>47</v>
      </c>
      <c r="D453" s="6" t="s">
        <v>2</v>
      </c>
      <c r="E453" t="s">
        <v>3</v>
      </c>
      <c r="F453" t="e">
        <f ca="1">_xll.BDH($C$453,"RETURN_COM_EQY","FY 2014","FY 2014","Currency=INR","Period=FY","BEST_FPERIOD_OVERRIDE=FY","FILING_STATUS=OR","EQY_CONSOLIDATED=Y","FA_ADJUSTED=GAAP","Sort=A","Dates=H","DateFormat=P","Fill=—","Direction=H","UseDPDF=Y")</f>
        <v>#NAME?</v>
      </c>
      <c r="G453" t="e">
        <f ca="1">_xll.BDH($C$453,"RETURN_ON_ASSET","FY 2014","FY 2014","Currency=INR","Period=FY","BEST_FPERIOD_OVERRIDE=FY","FILING_STATUS=OR","EQY_CONSOLIDATED=Y","FA_ADJUSTED=GAAP","Sort=A","Dates=H","DateFormat=P","Fill=—","Direction=H","UseDPDF=Y")</f>
        <v>#NAME?</v>
      </c>
      <c r="H453" t="e">
        <f ca="1">_xll.BDH($C$453,"RETURN_ON_CAP","FY 2014","FY 2014","Currency=INR","Period=FY","BEST_FPERIOD_OVERRIDE=FY","FILING_STATUS=OR","EQY_CONSOLIDATED=Y","FA_ADJUSTED=GAAP","Sort=A","Dates=H","DateFormat=P","Fill=—","Direction=H","UseDPDF=Y")</f>
        <v>#NAME?</v>
      </c>
      <c r="I453" t="e">
        <f ca="1">_xll.BDH($C$453,"RETURN_ON_INV_CAPITAL","FY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53" t="e">
        <f ca="1">_xll.BDH($C$453,"EBITDA_TO_REVENUE","FY 2014","FY 2014","Currency=INR","Period=FY","BEST_FPERIOD_OVERRIDE=FY","FILING_STATUS=OR","EQY_CONSOLIDATED=Y","FA_ADJUSTED=GAAP","Sort=A","Dates=H","DateFormat=P","Fill=—","Direction=H","UseDPDF=Y")</f>
        <v>#NAME?</v>
      </c>
      <c r="K453" t="e">
        <f ca="1">_xll.BDH($C$453,"OPER_MARGIN","FY 2014","FY 2014","Currency=INR","Period=FY","BEST_FPERIOD_OVERRIDE=FY","FILING_STATUS=OR","EQY_CONSOLIDATED=Y","FA_ADJUSTED=GAAP","Sort=A","Dates=H","DateFormat=P","Fill=—","Direction=H","UseDPDF=Y")</f>
        <v>#NAME?</v>
      </c>
      <c r="L453" t="e">
        <f ca="1">_xll.BDH($C$453,"INCREMENTAL_OPERATING_MARGIN","FY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53" t="e">
        <f ca="1">_xll.BDH($C$453,"PRETAX_INC_TO_NET_SALES","FY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53" t="e">
        <f ca="1">_xll.BDH($C$453,"INC_BEF_XO_ITEMS_TO_NET_SALES","FY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53" t="e">
        <f ca="1">_xll.BDH($C$453,"PROF_MARGIN","FY 2014","FY 2014","Currency=INR","Period=FY","BEST_FPERIOD_OVERRIDE=FY","FILING_STATUS=OR","EQY_CONSOLIDATED=Y","FA_ADJUSTED=GAAP","Sort=A","Dates=H","DateFormat=P","Fill=—","Direction=H","UseDPDF=Y")</f>
        <v>#NAME?</v>
      </c>
      <c r="P453" t="e">
        <f ca="1">_xll.BDH($C$453,"NET_INCOME_TO_COMMON_MARGIN","FY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53" t="e">
        <f ca="1">_xll.BDH($C$453,"EFF_TAX_RATE","FY 2014","FY 2014","Currency=INR","Period=FY","BEST_FPERIOD_OVERRIDE=FY","FILING_STATUS=OR","EQY_CONSOLIDATED=Y","FA_ADJUSTED=GAAP","Sort=A","Dates=H","DateFormat=P","Fill=—","Direction=H","UseDPDF=Y")</f>
        <v>#NAME?</v>
      </c>
      <c r="R453" t="e">
        <f ca="1">_xll.BDH($C$453,"DVD_PAYOUT_RATIO","FY 2014","FY 2014","Currency=INR","Period=FY","BEST_FPERIOD_OVERRIDE=FY","FILING_STATUS=OR","EQY_CONSOLIDATED=Y","FA_ADJUSTED=GAAP","Sort=A","Dates=H","DateFormat=P","Fill=—","Direction=H","UseDPDF=Y")</f>
        <v>#NAME?</v>
      </c>
      <c r="S453" t="e">
        <f ca="1">_xll.BDH($C$453,"SUSTAIN_GROWTH_RT","FY 2014","FY 2014","Currency=INR","Period=FY","BEST_FPERIOD_OVERRIDE=FY","FILING_STATUS=OR","EQY_CONSOLIDATED=Y","FA_ADJUSTED=GAAP","Sort=A","Dates=H","DateFormat=P","Fill=—","Direction=H","UseDPDF=Y")</f>
        <v>#NAME?</v>
      </c>
      <c r="T453" s="1" t="e">
        <f ca="1">_xll.BDH($C$453,"SALES_GROWTH","FY 2014","FY 2014","Currency=INR","Period=FY","BEST_FPERIOD_OVERRIDE=FY","FILING_STATUS=OR","EQY_CONSOLIDATED=Y","FA_ADJUSTED=GAAP","Sort=A","Dates=H","DateFormat=P","Fill=—","Direction=H","UseDPDF=Y")</f>
        <v>#NAME?</v>
      </c>
      <c r="U453" s="1" t="e">
        <f ca="1">_xll.BDH($C$453,"EBITDA_GROWTH","FY 2014","FY 2014","Currency=INR","Period=FY","BEST_FPERIOD_OVERRIDE=FY","FILING_STATUS=OR","EQY_CONSOLIDATED=Y","FA_ADJUSTED=GAAP","Sort=A","Dates=H","DateFormat=P","Fill=—","Direction=H","UseDPDF=Y")</f>
        <v>#NAME?</v>
      </c>
      <c r="V453" s="1" t="e">
        <f ca="1">_xll.BDH($C$453,"OPER_INC_GROWTH","FY 2014","FY 2014","Currency=INR","Period=FY","BEST_FPERIOD_OVERRIDE=FY","FILING_STATUS=OR","EQY_CONSOLIDATED=Y","FA_ADJUSTED=GAAP","Sort=A","Dates=H","DateFormat=P","Fill=—","Direction=H","UseDPDF=Y")</f>
        <v>#NAME?</v>
      </c>
      <c r="W453" s="1" t="e">
        <f ca="1">_xll.BDH($C$453,"EARN_FOR_COM_GROWTH","FY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453" s="1" t="e">
        <f ca="1">_xll.BDH($C$453,"DILUTED_EPS_AFT_XO_ITEMS_GROWTH","FY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53" s="1" t="e">
        <f ca="1">_xll.BDH($C$453,"DIVIDEND_PER_SHARE_1_YEAR_GROWTH","FY 2014","FY 2014","Currency=INR","Period=FY","BEST_FPERIOD_OVERRIDE=FY","FILING_STATUS=OR","EQY_CONSOLIDATED=Y","Sort=A","Dates=H","DateFormat=P","Fill=—","Direction=H","UseDPDF=Y")</f>
        <v>#NAME?</v>
      </c>
      <c r="Z453" s="1" t="e">
        <f ca="1">_xll.BDH($C$453,"ACCOUNTS_RECEIVABLE_GROWTH","FY 2014","FY 2014","Currency=INR","Period=FY","BEST_FPERIOD_OVERRIDE=FY","FILING_STATUS=OR","EQY_CONSOLIDATED=Y","Sort=A","Dates=H","DateFormat=P","Fill=—","Direction=H","UseDPDF=Y")</f>
        <v>#NAME?</v>
      </c>
      <c r="AA453" s="1" t="e">
        <f ca="1">_xll.BDH($C$453,"INVENTORY_GROWTH","FY 2014","FY 2014","Currency=INR","Period=FY","BEST_FPERIOD_OVERRIDE=FY","FILING_STATUS=OR","EQY_CONSOLIDATED=Y","Sort=A","Dates=H","DateFormat=P","Fill=—","Direction=H","UseDPDF=Y")</f>
        <v>#NAME?</v>
      </c>
      <c r="AB453" s="1" t="e">
        <f ca="1">_xll.BDH($C$453,"NET_FIXED_ASSETS_1_YEAR_GROWTH","FY 2014","FY 2014","Currency=INR","Period=FY","BEST_FPERIOD_OVERRIDE=FY","FILING_STATUS=OR","EQY_CONSOLIDATED=Y","Sort=A","Dates=H","DateFormat=P","Fill=—","Direction=H","UseDPDF=Y")</f>
        <v>#NAME?</v>
      </c>
      <c r="AC453" s="1" t="e">
        <f ca="1">_xll.BDH($C$453,"ASSET_GROWTH","FY 2014","FY 2014","Currency=INR","Period=FY","BEST_FPERIOD_OVERRIDE=FY","FILING_STATUS=OR","EQY_CONSOLIDATED=Y","Sort=A","Dates=H","DateFormat=P","Fill=—","Direction=H","UseDPDF=Y")</f>
        <v>#NAME?</v>
      </c>
      <c r="AD453" s="1" t="e">
        <f ca="1">_xll.BDH($C$453,"MODIFIED_WORK_CAP_GROWTH","FY 2014","FY 2014","Currency=INR","Period=FY","BEST_FPERIOD_OVERRIDE=FY","FILING_STATUS=OR","EQY_CONSOLIDATED=Y","Sort=A","Dates=H","DateFormat=P","Fill=—","Direction=H","UseDPDF=Y")</f>
        <v>#NAME?</v>
      </c>
      <c r="AE453" s="1" t="e">
        <f ca="1">_xll.BDH($C$453,"WORK_CAP_GROWTH","FY 2014","FY 2014","Currency=INR","Period=FY","BEST_FPERIOD_OVERRIDE=FY","FILING_STATUS=OR","EQY_CONSOLIDATED=Y","Sort=A","Dates=H","DateFormat=P","Fill=—","Direction=H","UseDPDF=Y")</f>
        <v>#NAME?</v>
      </c>
      <c r="AF453" s="1" t="e">
        <f ca="1">_xll.BDH($C$453,"ACCOUNTS_PAYABLE_GROWTH_1YR","FY 2014","FY 2014","Currency=INR","Period=FY","BEST_FPERIOD_OVERRIDE=FY","FILING_STATUS=OR","EQY_CONSOLIDATED=Y","Sort=A","Dates=H","DateFormat=P","Fill=—","Direction=H","UseDPDF=Y")</f>
        <v>#NAME?</v>
      </c>
      <c r="AG453" s="1" t="e">
        <f ca="1">_xll.BDH($C$453,"SHORT_TERM_DEBT_1_YEAR_GROWTH","FY 2014","FY 2014","Currency=INR","Period=FY","BEST_FPERIOD_OVERRIDE=FY","FILING_STATUS=OR","EQY_CONSOLIDATED=Y","Sort=A","Dates=H","DateFormat=P","Fill=—","Direction=H","UseDPDF=Y")</f>
        <v>#NAME?</v>
      </c>
      <c r="AH453" s="1" t="e">
        <f ca="1">_xll.BDH($C$453,"TOTAL_DEBT_1_YEAR_GROWTH","FY 2014","FY 2014","Currency=INR","Period=FY","BEST_FPERIOD_OVERRIDE=FY","FILING_STATUS=OR","EQY_CONSOLIDATED=Y","Sort=A","Dates=H","DateFormat=P","Fill=—","Direction=H","UseDPDF=Y")</f>
        <v>#NAME?</v>
      </c>
      <c r="AI453" s="1" t="e">
        <f ca="1">_xll.BDH($C$453,"TOTAL_EQUITY_1_YEAR_GROWTH","FY 2014","FY 2014","Currency=INR","Period=FY","BEST_FPERIOD_OVERRIDE=FY","FILING_STATUS=OR","EQY_CONSOLIDATED=Y","Sort=A","Dates=H","DateFormat=P","Fill=—","Direction=H","UseDPDF=Y")</f>
        <v>#NAME?</v>
      </c>
      <c r="AJ453" s="1" t="e">
        <f ca="1">_xll.BDH($C$453,"GROWTH_IN_CAP","FY 2014","FY 2014","Currency=INR","Period=FY","BEST_FPERIOD_OVERRIDE=FY","FILING_STATUS=OR","EQY_CONSOLIDATED=Y","Sort=A","Dates=H","DateFormat=P","Fill=—","Direction=H","UseDPDF=Y")</f>
        <v>#NAME?</v>
      </c>
      <c r="AK453" s="1" t="e">
        <f ca="1">_xll.BDH($C$453,"BVPS_GROWTH","FY 2014","FY 2014","Currency=INR","Period=FY","BEST_FPERIOD_OVERRIDE=FY","FILING_STATUS=OR","EQY_CONSOLIDATED=Y","Sort=A","Dates=H","DateFormat=P","Fill=—","Direction=H","UseDPDF=Y")</f>
        <v>#NAME?</v>
      </c>
      <c r="AL453" s="1" t="e">
        <f ca="1">_xll.BDH($C$453,"CASH_FLOW_GROWTH","FY 2014","FY 2014","Currency=INR","Period=FY","BEST_FPERIOD_OVERRIDE=FY","FILING_STATUS=OR","EQY_CONSOLIDATED=Y","Sort=A","Dates=H","DateFormat=P","Fill=—","Direction=H","UseDPDF=Y")</f>
        <v>#NAME?</v>
      </c>
      <c r="AM453" s="1" t="e">
        <f ca="1">_xll.BDH($C$453,"GEO_GROW_NET_SALES","FY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453" s="1" t="e">
        <f ca="1">_xll.BDH($C$453,"GEO_GROW_EBITDA","FY 2014","FY 2014","Currency=INR","Period=FY","BEST_FPERIOD_OVERRIDE=FY","FILING_STATUS=OR","EQY_CONSOLIDATED=Y","FA_ADJUSTED=GAAP","Sort=A","Dates=H","DateFormat=P","Fill=—","Direction=H","UseDPDF=Y")</f>
        <v>#NAME?</v>
      </c>
      <c r="AO453" s="1" t="e">
        <f ca="1">_xll.BDH($C$453,"GEO_GROW_OPER_INC","FY 2014","FY 2014","Currency=INR","Period=FY","BEST_FPERIOD_OVERRIDE=FY","FILING_STATUS=OR","EQY_CONSOLIDATED=Y","FA_ADJUSTED=GAAP","Sort=A","Dates=H","DateFormat=P","Fill=—","Direction=H","UseDPDF=Y")</f>
        <v>#NAME?</v>
      </c>
      <c r="AP453" s="1" t="e">
        <f ca="1">_xll.BDH($C$453,"NET_INCOME_TO_COMMON_5_YR_GROWTH","FY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53" s="1" t="e">
        <f ca="1">_xll.BDH($C$453,"5Y_GEO_GROWTH_DILUTED_EPS","FY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53" s="1" t="e">
        <f ca="1">_xll.BDH($C$453,"GEO_GROW_DVD_PER_SH","FY 2014","FY 2014","Currency=INR","Period=FY","BEST_FPERIOD_OVERRIDE=FY","FILING_STATUS=OR","EQY_CONSOLIDATED=Y","Sort=A","Dates=H","DateFormat=P","Fill=—","Direction=H","UseDPDF=Y")</f>
        <v>#NAME?</v>
      </c>
      <c r="AS453" s="1" t="e">
        <f ca="1">_xll.BDH($C$453,"ACCOUNTS_RECEIVABLE_5_YR_GROWTH","FY 2014","FY 2014","Currency=INR","Period=FY","BEST_FPERIOD_OVERRIDE=FY","FILING_STATUS=OR","EQY_CONSOLIDATED=Y","Sort=A","Dates=H","DateFormat=P","Fill=—","Direction=H","UseDPDF=Y")</f>
        <v>#NAME?</v>
      </c>
      <c r="AT453" s="1" t="e">
        <f ca="1">_xll.BDH($C$453,"INVENTORY_5_YEAR_GROWTH","FY 2014","FY 2014","Currency=INR","Period=FY","BEST_FPERIOD_OVERRIDE=FY","FILING_STATUS=OR","EQY_CONSOLIDATED=Y","Sort=A","Dates=H","DateFormat=P","Fill=—","Direction=H","UseDPDF=Y")</f>
        <v>#NAME?</v>
      </c>
      <c r="AU453" s="1" t="e">
        <f ca="1">_xll.BDH($C$453,"NET_FIXED_ASSETS_5_YEAR_GROWTH","FY 2014","FY 2014","Currency=INR","Period=FY","BEST_FPERIOD_OVERRIDE=FY","FILING_STATUS=OR","EQY_CONSOLIDATED=Y","Sort=A","Dates=H","DateFormat=P","Fill=—","Direction=H","UseDPDF=Y")</f>
        <v>#NAME?</v>
      </c>
      <c r="AV453" s="1" t="e">
        <f ca="1">_xll.BDH($C$453,"GEO_GROW_TOT_ASSET","FY 2014","FY 2014","Currency=INR","Period=FY","BEST_FPERIOD_OVERRIDE=FY","FILING_STATUS=OR","EQY_CONSOLIDATED=Y","Sort=A","Dates=H","DateFormat=P","Fill=—","Direction=H","UseDPDF=Y")</f>
        <v>#NAME?</v>
      </c>
      <c r="AW453" s="1" t="e">
        <f ca="1">_xll.BDH($C$453,"MODIFIED_WORKING_CPTL_5YR_GRWTH","FY 2014","FY 2014","Currency=INR","Period=FY","BEST_FPERIOD_OVERRIDE=FY","FILING_STATUS=OR","EQY_CONSOLIDATED=Y","Sort=A","Dates=H","DateFormat=P","Fill=—","Direction=H","UseDPDF=Y")</f>
        <v>#NAME?</v>
      </c>
      <c r="AX453" s="1" t="e">
        <f ca="1">_xll.BDH($C$453,"WORKING_CAPITAL_5_YEAR_GROWTH","FY 2014","FY 2014","Currency=INR","Period=FY","BEST_FPERIOD_OVERRIDE=FY","FILING_STATUS=OR","EQY_CONSOLIDATED=Y","Sort=A","Dates=H","DateFormat=P","Fill=—","Direction=H","UseDPDF=Y")</f>
        <v>#NAME?</v>
      </c>
      <c r="AY453" s="1" t="e">
        <f ca="1">_xll.BDH($C$453,"ACCOUNTS_PAYABLE_5_YEAR_GROWTH","FY 2014","FY 2014","Currency=INR","Period=FY","BEST_FPERIOD_OVERRIDE=FY","FILING_STATUS=OR","EQY_CONSOLIDATED=Y","Sort=A","Dates=H","DateFormat=P","Fill=—","Direction=H","UseDPDF=Y")</f>
        <v>#NAME?</v>
      </c>
      <c r="AZ453" s="1" t="e">
        <f ca="1">_xll.BDH($C$453,"SHORT_TERM_DEBT_5_YEAR_GROWTH","FY 2014","FY 2014","Currency=INR","Period=FY","BEST_FPERIOD_OVERRIDE=FY","FILING_STATUS=OR","EQY_CONSOLIDATED=Y","Sort=A","Dates=H","DateFormat=P","Fill=—","Direction=H","UseDPDF=Y")</f>
        <v>#NAME?</v>
      </c>
      <c r="BA453" s="1" t="e">
        <f ca="1">_xll.BDH($C$453,"TOTAL_DEBT_5_YEAR_GROWTH","FY 2014","FY 2014","Currency=INR","Period=FY","BEST_FPERIOD_OVERRIDE=FY","FILING_STATUS=OR","EQY_CONSOLIDATED=Y","Sort=A","Dates=H","DateFormat=P","Fill=—","Direction=H","UseDPDF=Y")</f>
        <v>#NAME?</v>
      </c>
      <c r="BB453" s="1" t="e">
        <f ca="1">_xll.BDH($C$453,"GEO_GROW_TOT_SHRHLDR_EQY","FY 2014","FY 2014","Currency=INR","Period=FY","BEST_FPERIOD_OVERRIDE=FY","FILING_STATUS=OR","EQY_CONSOLIDATED=Y","Sort=A","Dates=H","DateFormat=P","Fill=—","Direction=H","UseDPDF=Y")</f>
        <v>#NAME?</v>
      </c>
      <c r="BC453" s="1" t="e">
        <f ca="1">_xll.BDH($C$453,"TOTAL_CAPITAL_5_YEAR_GROWTH","FY 2014","FY 2014","Currency=INR","Period=FY","BEST_FPERIOD_OVERRIDE=FY","FILING_STATUS=OR","EQY_CONSOLIDATED=Y","Sort=A","Dates=H","DateFormat=P","Fill=—","Direction=H","UseDPDF=Y")</f>
        <v>#NAME?</v>
      </c>
      <c r="BD453" s="1" t="e">
        <f ca="1">_xll.BDH($C$453,"GEO_GROW_BOOK_VAL","FY 2014","FY 2014","Currency=INR","Period=FY","BEST_FPERIOD_OVERRIDE=FY","FILING_STATUS=OR","EQY_CONSOLIDATED=Y","Sort=A","Dates=H","DateFormat=P","Fill=—","Direction=H","UseDPDF=Y")</f>
        <v>#NAME?</v>
      </c>
      <c r="BE453" s="1" t="e">
        <f ca="1">_xll.BDH($C$453,"GEO_GROW_CASH_OPER_ACT","FY 2014","FY 2014","Currency=INR","Period=FY","BEST_FPERIOD_OVERRIDE=FY","FILING_STATUS=OR","EQY_CONSOLIDATED=Y","Sort=A","Dates=H","DateFormat=P","Fill=—","Direction=H","UseDPDF=Y")</f>
        <v>#NAME?</v>
      </c>
      <c r="BF453" s="1" t="e">
        <f ca="1">_xll.BDH($C$453,"REVENUE_SEQUENTIAL_GROWTH","FY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53" s="1" t="e">
        <f ca="1">_xll.BDH($C$453,"EBITDA_SEQUENTIAL_GROWTH","FY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53" s="1" t="e">
        <f ca="1">_xll.BDH($C$453,"OPERATING_INCOME_SEQ_GROWTH","FY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53" s="1" t="e">
        <f ca="1">_xll.BDH($C$453,"NET_INCOME_TO_COMMON_SEQ_GROWTH","FY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53" s="1" t="e">
        <f ca="1">_xll.BDH($C$453,"EPS_DILUTED_SEQUENTIAL_GROWTH","FY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53" s="1" t="e">
        <f ca="1">_xll.BDH($C$453,"DPS_SEQUENTIAL_GROWTH","FY 2014","FY 2014","Currency=INR","Period=FY","BEST_FPERIOD_OVERRIDE=FY","FILING_STATUS=OR","EQY_CONSOLIDATED=Y","Sort=A","Dates=H","DateFormat=P","Fill=—","Direction=H","UseDPDF=Y")</f>
        <v>#NAME?</v>
      </c>
      <c r="BL453" s="1" t="e">
        <f ca="1">_xll.BDH($C$453,"ACCOUNTS_RECEIVABLE_SEQ_GROWTH","FY 2014","FY 2014","Currency=INR","Period=FY","BEST_FPERIOD_OVERRIDE=FY","FILING_STATUS=OR","EQY_CONSOLIDATED=Y","Sort=A","Dates=H","DateFormat=P","Fill=—","Direction=H","UseDPDF=Y")</f>
        <v>#NAME?</v>
      </c>
      <c r="BM453" s="1" t="e">
        <f ca="1">_xll.BDH($C$453,"INVENTORY_SEQUENTIAL_GROWTH","FY 2014","FY 2014","Currency=INR","Period=FY","BEST_FPERIOD_OVERRIDE=FY","FILING_STATUS=OR","EQY_CONSOLIDATED=Y","Sort=A","Dates=H","DateFormat=P","Fill=—","Direction=H","UseDPDF=Y")</f>
        <v>#NAME?</v>
      </c>
      <c r="BN453" s="1" t="e">
        <f ca="1">_xll.BDH($C$453,"FIXED_ASSETS_SEQUENTIAL_GROWTH","FY 2014","FY 2014","Currency=INR","Period=FY","BEST_FPERIOD_OVERRIDE=FY","FILING_STATUS=OR","EQY_CONSOLIDATED=Y","Sort=A","Dates=H","DateFormat=P","Fill=—","Direction=H","UseDPDF=Y")</f>
        <v>#NAME?</v>
      </c>
      <c r="BO453" s="1" t="e">
        <f ca="1">_xll.BDH($C$453,"TOTAL_ASSETS_SEQUENTIAL_GROWTH","FY 2014","FY 2014","Currency=INR","Period=FY","BEST_FPERIOD_OVERRIDE=FY","FILING_STATUS=OR","EQY_CONSOLIDATED=Y","Sort=A","Dates=H","DateFormat=P","Fill=—","Direction=H","UseDPDF=Y")</f>
        <v>#NAME?</v>
      </c>
      <c r="BP453" s="1" t="e">
        <f ca="1">_xll.BDH($C$453,"MODIFIED_WORKING_CPTL_SEQ_GRWTH","FY 2014","FY 2014","Currency=INR","Period=FY","BEST_FPERIOD_OVERRIDE=FY","FILING_STATUS=OR","EQY_CONSOLIDATED=Y","Sort=A","Dates=H","DateFormat=P","Fill=—","Direction=H","UseDPDF=Y")</f>
        <v>#NAME?</v>
      </c>
      <c r="BQ453" s="1" t="e">
        <f ca="1">_xll.BDH($C$453,"WORKING_CAPITAL_SEQ_GROWTH","FY 2014","FY 2014","Currency=INR","Period=FY","BEST_FPERIOD_OVERRIDE=FY","FILING_STATUS=OR","EQY_CONSOLIDATED=Y","Sort=A","Dates=H","DateFormat=P","Fill=—","Direction=H","UseDPDF=Y")</f>
        <v>#NAME?</v>
      </c>
      <c r="BR453" s="1" t="e">
        <f ca="1">_xll.BDH($C$453,"ACCOUNTS_PAYABLE_SEQ_GROWTH","FY 2014","FY 2014","Currency=INR","Period=FY","BEST_FPERIOD_OVERRIDE=FY","FILING_STATUS=OR","EQY_CONSOLIDATED=Y","Sort=A","Dates=H","DateFormat=P","Fill=—","Direction=H","UseDPDF=Y")</f>
        <v>#NAME?</v>
      </c>
      <c r="BS453" s="1" t="e">
        <f ca="1">_xll.BDH($C$453,"ST_DEBT_SEQUENTIAL_GROWTH","FY 2014","FY 2014","Currency=INR","Period=FY","BEST_FPERIOD_OVERRIDE=FY","FILING_STATUS=OR","EQY_CONSOLIDATED=Y","Sort=A","Dates=H","DateFormat=P","Fill=—","Direction=H","UseDPDF=Y")</f>
        <v>#NAME?</v>
      </c>
      <c r="BT453" s="1" t="e">
        <f ca="1">_xll.BDH($C$453,"TOTAL_DEBT_SEQUENTIAL_GROWTH","FY 2014","FY 2014","Currency=INR","Period=FY","BEST_FPERIOD_OVERRIDE=FY","FILING_STATUS=OR","EQY_CONSOLIDATED=Y","Sort=A","Dates=H","DateFormat=P","Fill=—","Direction=H","UseDPDF=Y")</f>
        <v>#NAME?</v>
      </c>
      <c r="BU453" s="1" t="e">
        <f ca="1">_xll.BDH($C$453,"TOTAL_EQUITY_SEQUENTIAL_GROWTH","FY 2014","FY 2014","Currency=INR","Period=FY","BEST_FPERIOD_OVERRIDE=FY","FILING_STATUS=OR","EQY_CONSOLIDATED=Y","Sort=A","Dates=H","DateFormat=P","Fill=—","Direction=H","UseDPDF=Y")</f>
        <v>#NAME?</v>
      </c>
      <c r="BV453" s="1" t="e">
        <f ca="1">_xll.BDH($C$453,"TOTAL_CAPITAL_SEQUENTIAL_GROWTH","FY 2014","FY 2014","Currency=INR","Period=FY","BEST_FPERIOD_OVERRIDE=FY","FILING_STATUS=OR","EQY_CONSOLIDATED=Y","Sort=A","Dates=H","DateFormat=P","Fill=—","Direction=H","UseDPDF=Y")</f>
        <v>#NAME?</v>
      </c>
      <c r="BW453" s="1" t="e">
        <f ca="1">_xll.BDH($C$453,"BPS_SEQUENTIAL_GROWTH","FY 2014","FY 2014","Currency=INR","Period=FY","BEST_FPERIOD_OVERRIDE=FY","FILING_STATUS=OR","EQY_CONSOLIDATED=Y","Sort=A","Dates=H","DateFormat=P","Fill=—","Direction=H","UseDPDF=Y")</f>
        <v>#NAME?</v>
      </c>
      <c r="BX453" s="1" t="e">
        <f ca="1">_xll.BDH($C$453,"CFO_SEQUENTIAL_GROWTH","FY 2014","FY 2014","Currency=INR","Period=FY","BEST_FPERIOD_OVERRIDE=FY","FILING_STATUS=OR","EQY_CONSOLIDATED=Y","Sort=A","Dates=H","DateFormat=P","Fill=—","Direction=H","UseDPDF=Y")</f>
        <v>#NAME?</v>
      </c>
      <c r="BY453" s="2" t="e">
        <f ca="1">_xll.BDH($C$453,"SHORT_AND_LONG_TERM_DEBT","FY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53" s="2" t="e">
        <f ca="1">_xll.BDH($C$453,"BS_ST_BORROW","FY 2014","FY 2014","Currency=INR","Period=FY","BEST_FPERIOD_OVERRIDE=FY","FILING_STATUS=OR","EQY_CONSOLIDATED=Y","SCALING_FORMAT=MLN","Sort=A","Dates=H","DateFormat=P","Fill=—","Direction=H","UseDPDF=Y")</f>
        <v>#NAME?</v>
      </c>
      <c r="CA453" s="2" t="e">
        <f ca="1">_xll.BDH($C$453,"BS_LT_BORROW","FY 2014","FY 2014","Currency=INR","Period=FY","BEST_FPERIOD_OVERRIDE=FY","FILING_STATUS=OR","EQY_CONSOLIDATED=Y","SCALING_FORMAT=MLN","Sort=A","Dates=H","DateFormat=P","Fill=—","Direction=H","UseDPDF=Y")</f>
        <v>#NAME?</v>
      </c>
      <c r="CB453" s="1" t="e">
        <f ca="1">_xll.BDH($C$453,"TOT_DEBT_TO_EBITDA","FY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453" s="1" t="e">
        <f ca="1">_xll.BDH($C$453,"NET_DEBT_TO_EBITDA","FY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453" s="1" t="e">
        <f ca="1">_xll.BDH($C$453,"TOTAL_DEBT_TO_EBIT","FY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453" s="1" t="e">
        <f ca="1">_xll.BDH($C$453,"NET_DEBT_TO_EBIT","FY 2014","FY 2014","Currency=INR","Period=FY","BEST_FPERIOD_OVERRIDE=FY","FILING_STATUS=OR","EQY_CONSOLIDATED=Y","FA_ADJUSTED=GAAP","Sort=A","Dates=H","DateFormat=P","Fill=—","Direction=H","UseDPDF=Y")</f>
        <v>#NAME?</v>
      </c>
      <c r="CF453" s="1" t="e">
        <f ca="1">_xll.BDH($C$453,"EBITDA_TO_INTEREST_EXPN","FY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53" s="1" t="e">
        <f ca="1">_xll.BDH($C$453,"COM_EQY_TO_TOT_ASSET","FY 2014","FY 2014","Currency=INR","Period=FY","BEST_FPERIOD_OVERRIDE=FY","FILING_STATUS=OR","EQY_CONSOLIDATED=Y","Sort=A","Dates=H","DateFormat=P","Fill=—","Direction=H","UseDPDF=Y")</f>
        <v>#NAME?</v>
      </c>
      <c r="CH453" s="1" t="e">
        <f ca="1">_xll.BDH($C$453,"LT_DEBT_TO_TOT_EQY","FY 2014","FY 2014","Currency=INR","Period=FY","BEST_FPERIOD_OVERRIDE=FY","FILING_STATUS=OR","EQY_CONSOLIDATED=Y","Sort=A","Dates=H","DateFormat=P","Fill=—","Direction=H","UseDPDF=Y")</f>
        <v>#NAME?</v>
      </c>
      <c r="CI453" s="1" t="e">
        <f ca="1">_xll.BDH($C$453,"LT_DEBT_TO_TOT_CAP","FY 2014","FY 2014","Currency=INR","Period=FY","BEST_FPERIOD_OVERRIDE=FY","FILING_STATUS=OR","EQY_CONSOLIDATED=Y","Sort=A","Dates=H","DateFormat=P","Fill=—","Direction=H","UseDPDF=Y")</f>
        <v>#NAME?</v>
      </c>
      <c r="CJ453" s="1" t="e">
        <f ca="1">_xll.BDH($C$453,"LT_DEBT_TO_TOT_ASSET","FY 2014","FY 2014","Currency=INR","Period=FY","BEST_FPERIOD_OVERRIDE=FY","FILING_STATUS=OR","EQY_CONSOLIDATED=Y","Sort=A","Dates=H","DateFormat=P","Fill=—","Direction=H","UseDPDF=Y")</f>
        <v>#NAME?</v>
      </c>
      <c r="CK453" s="1" t="e">
        <f ca="1">_xll.BDH($C$453,"TOT_DEBT_TO_TOT_EQY","FY 2014","FY 2014","Currency=INR","Period=FY","BEST_FPERIOD_OVERRIDE=FY","FILING_STATUS=OR","EQY_CONSOLIDATED=Y","Sort=A","Dates=H","DateFormat=P","Fill=—","Direction=H","UseDPDF=Y")</f>
        <v>#NAME?</v>
      </c>
      <c r="CL453" s="1" t="e">
        <f ca="1">_xll.BDH($C$453,"TOT_DEBT_TO_TOT_CAP","FY 2014","FY 2014","Currency=INR","Period=FY","BEST_FPERIOD_OVERRIDE=FY","FILING_STATUS=OR","EQY_CONSOLIDATED=Y","Sort=A","Dates=H","DateFormat=P","Fill=—","Direction=H","UseDPDF=Y")</f>
        <v>#NAME?</v>
      </c>
      <c r="CM453" s="1" t="e">
        <f ca="1">_xll.BDH($C$453,"TOT_DEBT_TO_TOT_ASSET","FY 2014","FY 2014","Currency=INR","Period=FY","BEST_FPERIOD_OVERRIDE=FY","FILING_STATUS=OR","EQY_CONSOLIDATED=Y","Sort=A","Dates=H","DateFormat=P","Fill=—","Direction=H","UseDPDF=Y")</f>
        <v>#NAME?</v>
      </c>
      <c r="CN453" s="1" t="e">
        <f ca="1">_xll.BDH($C$453,"NET_DEBT_TO_SHRHLDR_EQTY","FY 2014","FY 2014","Currency=INR","Period=FY","BEST_FPERIOD_OVERRIDE=FY","FILING_STATUS=OR","EQY_CONSOLIDATED=Y","Sort=A","Dates=H","DateFormat=P","Fill=—","Direction=H","UseDPDF=Y")</f>
        <v>#NAME?</v>
      </c>
      <c r="CO453" s="1" t="e">
        <f ca="1">_xll.BDH($C$453,"NET_DEBT_%_CAPITAL","FY 2014","FY 2014","Currency=INR","Period=FY","BEST_FPERIOD_OVERRIDE=FY","FILING_STATUS=OR","EQY_CONSOLIDATED=Y","Sort=A","Dates=H","DateFormat=P","Fill=—","Direction=H","UseDPDF=Y")</f>
        <v>#NAME?</v>
      </c>
      <c r="CP453" s="2" t="e">
        <f ca="1">_xll.BDH($C$453,"EBITDA","FY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53" s="2" t="e">
        <f ca="1">_xll.BDH($C$453,"EBITDA_AFTER_CAPEX","FY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53" s="2" t="e">
        <f ca="1">_xll.BDH($C$453,"IS_OPER_INC","FY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53" s="1" t="e">
        <f ca="1">_xll.BDH($C$453,"CASH_RATIO","FY 2014","FY 2014","Currency=INR","Period=FY","BEST_FPERIOD_OVERRIDE=FY","FILING_STATUS=OR","EQY_CONSOLIDATED=Y","Sort=A","Dates=H","DateFormat=P","Fill=—","Direction=H","UseDPDF=Y")</f>
        <v>#NAME?</v>
      </c>
      <c r="CT453" s="1" t="e">
        <f ca="1">_xll.BDH($C$453,"CUR_RATIO","FY 2014","FY 2014","Currency=INR","Period=FY","BEST_FPERIOD_OVERRIDE=FY","FILING_STATUS=OR","EQY_CONSOLIDATED=Y","Sort=A","Dates=H","DateFormat=P","Fill=—","Direction=H","UseDPDF=Y")</f>
        <v>#NAME?</v>
      </c>
      <c r="CU453" s="1" t="e">
        <f ca="1">_xll.BDH($C$453,"QUICK_RATIO","FY 2014","FY 2014","Currency=INR","Period=FY","BEST_FPERIOD_OVERRIDE=FY","FILING_STATUS=OR","EQY_CONSOLIDATED=Y","Sort=A","Dates=H","DateFormat=P","Fill=—","Direction=H","UseDPDF=Y")</f>
        <v>#NAME?</v>
      </c>
      <c r="CV453" s="1" t="e">
        <f ca="1">_xll.BDH($C$453,"ALTMAN_Z_SCORE","FY 2014","FY 2014","Currency=INR","Period=FY","BEST_FPERIOD_OVERRIDE=FY","FILING_STATUS=OR","EQY_CONSOLIDATED=Y","Sort=A","Dates=H","DateFormat=P","Fill=—","Direction=H","UseDPDF=Y")</f>
        <v>#NAME?</v>
      </c>
      <c r="CW453" s="3" t="e">
        <f ca="1">_xll.BDH($C$453,"ACCT_RCV_TURN","FY 2014","FY 2014","Currency=INR","Period=FY","BEST_FPERIOD_OVERRIDE=FY","FILING_STATUS=OR","EQY_CONSOLIDATED=Y","FA_ADJUSTED=GAAP","Sort=A","Dates=H","DateFormat=P","Fill=—","Direction=H","UseDPDF=Y")</f>
        <v>#NAME?</v>
      </c>
      <c r="CX453" s="1" t="e">
        <f ca="1">_xll.BDH($C$453,"ACCT_RCV_DAYS","FY 2014","FY 2014","Currency=INR","Period=FY","BEST_FPERIOD_OVERRIDE=FY","FILING_STATUS=OR","EQY_CONSOLIDATED=Y","FA_ADJUSTED=GAAP","Sort=A","Dates=H","DateFormat=P","Fill=—","Direction=H","UseDPDF=Y")</f>
        <v>#NAME?</v>
      </c>
      <c r="CY453" s="3" t="e">
        <f ca="1">_xll.BDH($C$453,"INVENT_TURN","FY 2014","FY 2014","Currency=INR","Period=FY","BEST_FPERIOD_OVERRIDE=FY","FILING_STATUS=OR","EQY_CONSOLIDATED=Y","FA_ADJUSTED=GAAP","Sort=A","Dates=H","DateFormat=P","Fill=—","Direction=H","UseDPDF=Y")</f>
        <v>#NAME?</v>
      </c>
      <c r="CZ453" s="1" t="e">
        <f ca="1">_xll.BDH($C$453,"INVENT_DAYS","FY 2014","FY 2014","Currency=INR","Period=FY","BEST_FPERIOD_OVERRIDE=FY","FILING_STATUS=OR","EQY_CONSOLIDATED=Y","FA_ADJUSTED=GAAP","Sort=A","Dates=H","DateFormat=P","Fill=—","Direction=H","UseDPDF=Y")</f>
        <v>#NAME?</v>
      </c>
      <c r="DA453" s="3" t="e">
        <f ca="1">_xll.BDH($C$453,"ACCOUNTS_PAYABLE_TURNOVER","FY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53" s="1" t="e">
        <f ca="1">_xll.BDH($C$453,"ACCOUNTS_PAYABLE_TURNOVER_DAYS","FY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53" s="3" t="e">
        <f ca="1">_xll.BDH($C$453,"CASH_CONVERSION_CYCLE","FY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53" s="3" t="e">
        <f ca="1">_xll.BDH($C$453,"INV_TO_CASH_DAYS","FY 2014","FY 2014","Currency=INR","Period=FY","BEST_FPERIOD_OVERRIDE=FY","FILING_STATUS=OR","EQY_CONSOLIDATED=Y","FA_ADJUSTED=GAAP","Sort=A","Dates=H","DateFormat=P","Fill=—","Direction=H","UseDPDF=Y")</f>
        <v>#NAME?</v>
      </c>
      <c r="DE453" s="4" t="e">
        <f ca="1">_xll.BDH($C$453,"BS_INVENTORIES","FY 2014","FY 2014","Currency=INR","Period=FY","BEST_FPERIOD_OVERRIDE=FY","FILING_STATUS=OR","EQY_CONSOLIDATED=Y","SCALING_FORMAT=MLN","Sort=A","Dates=H","DateFormat=P","Fill=—","Direction=H","UseDPDF=Y")</f>
        <v>#NAME?</v>
      </c>
      <c r="DF453" s="2" t="e">
        <f ca="1">_xll.BDH($C$453,"INVTRY_RAW_MATERIALS","FY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53" s="2" t="e">
        <f ca="1">_xll.BDH($C$453,"INVTRY_IN_PROGRESS","FY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53" s="2" t="e">
        <f ca="1">_xll.BDH($C$453,"INVTRY_FINISHED_GOODS","FY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53" s="2" t="e">
        <f ca="1">_xll.BDH($C$453,"BS_OTHER_INV","FY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54" spans="1:113" x14ac:dyDescent="0.3">
      <c r="A454" s="6"/>
      <c r="B454" s="6"/>
      <c r="C454" s="6"/>
      <c r="D454" s="6"/>
      <c r="E454" t="s">
        <v>4</v>
      </c>
      <c r="F454" t="e">
        <f ca="1">_xll.BDH($C$453,"RETURN_COM_EQY","FQ1 2014","FQ1 2014","Currency=INR","Period=FQ","BEST_FPERIOD_OVERRIDE=FQ","FILING_STATUS=OR","EQY_CONSOLIDATED=Y","FA_ADJUSTED=GAAP","Sort=A","Dates=H","DateFormat=P","Fill=—","Direction=H","UseDPDF=Y")</f>
        <v>#NAME?</v>
      </c>
      <c r="G454" t="e">
        <f ca="1">_xll.BDH($C$453,"RETURN_ON_ASSET","FQ1 2014","FQ1 2014","Currency=INR","Period=FQ","BEST_FPERIOD_OVERRIDE=FQ","FILING_STATUS=OR","EQY_CONSOLIDATED=Y","FA_ADJUSTED=GAAP","Sort=A","Dates=H","DateFormat=P","Fill=—","Direction=H","UseDPDF=Y")</f>
        <v>#NAME?</v>
      </c>
      <c r="H454" t="e">
        <f ca="1">_xll.BDH($C$453,"RETURN_ON_CAP","FQ1 2014","FQ1 2014","Currency=INR","Period=FQ","BEST_FPERIOD_OVERRIDE=FQ","FILING_STATUS=OR","EQY_CONSOLIDATED=Y","FA_ADJUSTED=GAAP","Sort=A","Dates=H","DateFormat=P","Fill=—","Direction=H","UseDPDF=Y")</f>
        <v>#NAME?</v>
      </c>
      <c r="I454" t="e">
        <f ca="1">_xll.BDH($C$453,"RETURN_ON_INV_CAPITAL","FQ1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54" t="e">
        <f ca="1">_xll.BDH($C$453,"EBITDA_TO_REVENUE","FQ1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454" t="e">
        <f ca="1">_xll.BDH($C$453,"OPER_MARGIN","FQ1 2014","FQ1 2014","Currency=INR","Period=FQ","BEST_FPERIOD_OVERRIDE=FQ","FILING_STATUS=OR","EQY_CONSOLIDATED=Y","FA_ADJUSTED=GAAP","Sort=A","Dates=H","DateFormat=P","Fill=—","Direction=H","UseDPDF=Y")</f>
        <v>#NAME?</v>
      </c>
      <c r="L454" t="e">
        <f ca="1">_xll.BDH($C$453,"INCREMENTAL_OPERATING_MARGIN","FQ1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54" t="e">
        <f ca="1">_xll.BDH($C$453,"PRETAX_INC_TO_NET_SALES","FQ1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54" t="e">
        <f ca="1">_xll.BDH($C$453,"INC_BEF_XO_ITEMS_TO_NET_SALES","FQ1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54" t="e">
        <f ca="1">_xll.BDH($C$453,"PROF_MARGIN","FQ1 2014","FQ1 2014","Currency=INR","Period=FQ","BEST_FPERIOD_OVERRIDE=FQ","FILING_STATUS=OR","EQY_CONSOLIDATED=Y","FA_ADJUSTED=GAAP","Sort=A","Dates=H","DateFormat=P","Fill=—","Direction=H","UseDPDF=Y")</f>
        <v>#NAME?</v>
      </c>
      <c r="P454" t="e">
        <f ca="1">_xll.BDH($C$453,"NET_INCOME_TO_COMMON_MARGIN","FQ1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54" t="e">
        <f ca="1">_xll.BDH($C$453,"EFF_TAX_RATE","FQ1 2014","FQ1 2014","Currency=INR","Period=FQ","BEST_FPERIOD_OVERRIDE=FQ","FILING_STATUS=OR","EQY_CONSOLIDATED=Y","FA_ADJUSTED=GAAP","Sort=A","Dates=H","DateFormat=P","Fill=—","Direction=H","UseDPDF=Y")</f>
        <v>#NAME?</v>
      </c>
      <c r="R454" t="e">
        <f ca="1">_xll.BDH($C$453,"DVD_PAYOUT_RATIO","FQ1 2014","FQ1 2014","Currency=INR","Period=FQ","BEST_FPERIOD_OVERRIDE=FQ","FILING_STATUS=OR","EQY_CONSOLIDATED=Y","FA_ADJUSTED=GAAP","Sort=A","Dates=H","DateFormat=P","Fill=—","Direction=H","UseDPDF=Y")</f>
        <v>#NAME?</v>
      </c>
      <c r="S454" t="e">
        <f ca="1">_xll.BDH($C$453,"SUSTAIN_GROWTH_RT","FQ1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454" s="1" t="e">
        <f ca="1">_xll.BDH($C$453,"SALES_GROWTH","FQ1 2014","FQ1 2014","Currency=INR","Period=FQ","BEST_FPERIOD_OVERRIDE=FQ","FILING_STATUS=OR","EQY_CONSOLIDATED=Y","FA_ADJUSTED=GAAP","Sort=A","Dates=H","DateFormat=P","Fill=—","Direction=H","UseDPDF=Y")</f>
        <v>#NAME?</v>
      </c>
      <c r="U454" s="1" t="e">
        <f ca="1">_xll.BDH($C$453,"EBITDA_GROWTH","FQ1 2014","FQ1 2014","Currency=INR","Period=FQ","BEST_FPERIOD_OVERRIDE=FQ","FILING_STATUS=OR","EQY_CONSOLIDATED=Y","FA_ADJUSTED=GAAP","Sort=A","Dates=H","DateFormat=P","Fill=—","Direction=H","UseDPDF=Y")</f>
        <v>#NAME?</v>
      </c>
      <c r="V454" s="1" t="e">
        <f ca="1">_xll.BDH($C$453,"OPER_INC_GROWTH","FQ1 2014","FQ1 2014","Currency=INR","Period=FQ","BEST_FPERIOD_OVERRIDE=FQ","FILING_STATUS=OR","EQY_CONSOLIDATED=Y","FA_ADJUSTED=GAAP","Sort=A","Dates=H","DateFormat=P","Fill=—","Direction=H","UseDPDF=Y")</f>
        <v>#NAME?</v>
      </c>
      <c r="W454" s="1" t="e">
        <f ca="1">_xll.BDH($C$453,"EARN_FOR_COM_GROWTH","FQ1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54" s="1" t="e">
        <f ca="1">_xll.BDH($C$453,"DILUTED_EPS_AFT_XO_ITEMS_GROWTH","FQ1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54" s="1" t="e">
        <f ca="1">_xll.BDH($C$453,"DIVIDEND_PER_SHARE_1_YEAR_GROWTH","FQ1 2014","FQ1 2014","Currency=INR","Period=FQ","BEST_FPERIOD_OVERRIDE=FQ","FILING_STATUS=OR","EQY_CONSOLIDATED=Y","Sort=A","Dates=H","DateFormat=P","Fill=—","Direction=H","UseDPDF=Y")</f>
        <v>#NAME?</v>
      </c>
      <c r="Z454" s="1" t="e">
        <f ca="1">_xll.BDH($C$453,"ACCOUNTS_RECEIVABLE_GROWTH","FQ1 2014","FQ1 2014","Currency=INR","Period=FQ","BEST_FPERIOD_OVERRIDE=FQ","FILING_STATUS=OR","EQY_CONSOLIDATED=Y","Sort=A","Dates=H","DateFormat=P","Fill=—","Direction=H","UseDPDF=Y")</f>
        <v>#NAME?</v>
      </c>
      <c r="AA454" s="1" t="e">
        <f ca="1">_xll.BDH($C$453,"INVENTORY_GROWTH","FQ1 2014","FQ1 2014","Currency=INR","Period=FQ","BEST_FPERIOD_OVERRIDE=FQ","FILING_STATUS=OR","EQY_CONSOLIDATED=Y","Sort=A","Dates=H","DateFormat=P","Fill=—","Direction=H","UseDPDF=Y")</f>
        <v>#NAME?</v>
      </c>
      <c r="AB454" s="1" t="e">
        <f ca="1">_xll.BDH($C$453,"NET_FIXED_ASSETS_1_YEAR_GROWTH","FQ1 2014","FQ1 2014","Currency=INR","Period=FQ","BEST_FPERIOD_OVERRIDE=FQ","FILING_STATUS=OR","EQY_CONSOLIDATED=Y","Sort=A","Dates=H","DateFormat=P","Fill=—","Direction=H","UseDPDF=Y")</f>
        <v>#NAME?</v>
      </c>
      <c r="AC454" s="1" t="e">
        <f ca="1">_xll.BDH($C$453,"ASSET_GROWTH","FQ1 2014","FQ1 2014","Currency=INR","Period=FQ","BEST_FPERIOD_OVERRIDE=FQ","FILING_STATUS=OR","EQY_CONSOLIDATED=Y","Sort=A","Dates=H","DateFormat=P","Fill=—","Direction=H","UseDPDF=Y")</f>
        <v>#NAME?</v>
      </c>
      <c r="AD454" s="1" t="e">
        <f ca="1">_xll.BDH($C$453,"MODIFIED_WORK_CAP_GROWTH","FQ1 2014","FQ1 2014","Currency=INR","Period=FQ","BEST_FPERIOD_OVERRIDE=FQ","FILING_STATUS=OR","EQY_CONSOLIDATED=Y","Sort=A","Dates=H","DateFormat=P","Fill=—","Direction=H","UseDPDF=Y")</f>
        <v>#NAME?</v>
      </c>
      <c r="AE454" s="1" t="e">
        <f ca="1">_xll.BDH($C$453,"WORK_CAP_GROWTH","FQ1 2014","FQ1 2014","Currency=INR","Period=FQ","BEST_FPERIOD_OVERRIDE=FQ","FILING_STATUS=OR","EQY_CONSOLIDATED=Y","Sort=A","Dates=H","DateFormat=P","Fill=—","Direction=H","UseDPDF=Y")</f>
        <v>#NAME?</v>
      </c>
      <c r="AF454" s="1" t="e">
        <f ca="1">_xll.BDH($C$453,"ACCOUNTS_PAYABLE_GROWTH_1YR","FQ1 2014","FQ1 2014","Currency=INR","Period=FQ","BEST_FPERIOD_OVERRIDE=FQ","FILING_STATUS=OR","EQY_CONSOLIDATED=Y","Sort=A","Dates=H","DateFormat=P","Fill=—","Direction=H","UseDPDF=Y")</f>
        <v>#NAME?</v>
      </c>
      <c r="AG454" s="1" t="e">
        <f ca="1">_xll.BDH($C$453,"SHORT_TERM_DEBT_1_YEAR_GROWTH","FQ1 2014","FQ1 2014","Currency=INR","Period=FQ","BEST_FPERIOD_OVERRIDE=FQ","FILING_STATUS=OR","EQY_CONSOLIDATED=Y","Sort=A","Dates=H","DateFormat=P","Fill=—","Direction=H","UseDPDF=Y")</f>
        <v>#NAME?</v>
      </c>
      <c r="AH454" s="1" t="e">
        <f ca="1">_xll.BDH($C$453,"TOTAL_DEBT_1_YEAR_GROWTH","FQ1 2014","FQ1 2014","Currency=INR","Period=FQ","BEST_FPERIOD_OVERRIDE=FQ","FILING_STATUS=OR","EQY_CONSOLIDATED=Y","Sort=A","Dates=H","DateFormat=P","Fill=—","Direction=H","UseDPDF=Y")</f>
        <v>#NAME?</v>
      </c>
      <c r="AI454" s="1" t="e">
        <f ca="1">_xll.BDH($C$453,"TOTAL_EQUITY_1_YEAR_GROWTH","FQ1 2014","FQ1 2014","Currency=INR","Period=FQ","BEST_FPERIOD_OVERRIDE=FQ","FILING_STATUS=OR","EQY_CONSOLIDATED=Y","Sort=A","Dates=H","DateFormat=P","Fill=—","Direction=H","UseDPDF=Y")</f>
        <v>#NAME?</v>
      </c>
      <c r="AJ454" s="1" t="e">
        <f ca="1">_xll.BDH($C$453,"GROWTH_IN_CAP","FQ1 2014","FQ1 2014","Currency=INR","Period=FQ","BEST_FPERIOD_OVERRIDE=FQ","FILING_STATUS=OR","EQY_CONSOLIDATED=Y","Sort=A","Dates=H","DateFormat=P","Fill=—","Direction=H","UseDPDF=Y")</f>
        <v>#NAME?</v>
      </c>
      <c r="AK454" s="1" t="e">
        <f ca="1">_xll.BDH($C$453,"BVPS_GROWTH","FQ1 2014","FQ1 2014","Currency=INR","Period=FQ","BEST_FPERIOD_OVERRIDE=FQ","FILING_STATUS=OR","EQY_CONSOLIDATED=Y","Sort=A","Dates=H","DateFormat=P","Fill=—","Direction=H","UseDPDF=Y")</f>
        <v>#NAME?</v>
      </c>
      <c r="AL454" s="1" t="e">
        <f ca="1">_xll.BDH($C$453,"CASH_FLOW_GROWTH","FQ1 2014","FQ1 2014","Currency=INR","Period=FQ","BEST_FPERIOD_OVERRIDE=FQ","FILING_STATUS=OR","EQY_CONSOLIDATED=Y","Sort=A","Dates=H","DateFormat=P","Fill=—","Direction=H","UseDPDF=Y")</f>
        <v>#NAME?</v>
      </c>
      <c r="AM454" s="1" t="e">
        <f ca="1">_xll.BDH($C$453,"GEO_GROW_NET_SALES","FQ1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54" s="1" t="e">
        <f ca="1">_xll.BDH($C$453,"GEO_GROW_EBITDA","FQ1 2014","FQ1 2014","Currency=INR","Period=FQ","BEST_FPERIOD_OVERRIDE=FQ","FILING_STATUS=OR","EQY_CONSOLIDATED=Y","FA_ADJUSTED=GAAP","Sort=A","Dates=H","DateFormat=P","Fill=—","Direction=H","UseDPDF=Y")</f>
        <v>#NAME?</v>
      </c>
      <c r="AO454" s="1" t="e">
        <f ca="1">_xll.BDH($C$453,"GEO_GROW_OPER_INC","FQ1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54" s="1" t="e">
        <f ca="1">_xll.BDH($C$453,"NET_INCOME_TO_COMMON_5_YR_GROWTH","FQ1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54" s="1" t="e">
        <f ca="1">_xll.BDH($C$453,"5Y_GEO_GROWTH_DILUTED_EPS","FQ1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54" s="1" t="e">
        <f ca="1">_xll.BDH($C$453,"GEO_GROW_DVD_PER_SH","FQ1 2014","FQ1 2014","Currency=INR","Period=FQ","BEST_FPERIOD_OVERRIDE=FQ","FILING_STATUS=OR","EQY_CONSOLIDATED=Y","Sort=A","Dates=H","DateFormat=P","Fill=—","Direction=H","UseDPDF=Y")</f>
        <v>#NAME?</v>
      </c>
      <c r="AS454" s="1" t="e">
        <f ca="1">_xll.BDH($C$453,"ACCOUNTS_RECEIVABLE_5_YR_GROWTH","FQ1 2014","FQ1 2014","Currency=INR","Period=FQ","BEST_FPERIOD_OVERRIDE=FQ","FILING_STATUS=OR","EQY_CONSOLIDATED=Y","Sort=A","Dates=H","DateFormat=P","Fill=—","Direction=H","UseDPDF=Y")</f>
        <v>#NAME?</v>
      </c>
      <c r="AT454" s="1" t="e">
        <f ca="1">_xll.BDH($C$453,"INVENTORY_5_YEAR_GROWTH","FQ1 2014","FQ1 2014","Currency=INR","Period=FQ","BEST_FPERIOD_OVERRIDE=FQ","FILING_STATUS=OR","EQY_CONSOLIDATED=Y","Sort=A","Dates=H","DateFormat=P","Fill=—","Direction=H","UseDPDF=Y")</f>
        <v>#NAME?</v>
      </c>
      <c r="AU454" s="1" t="e">
        <f ca="1">_xll.BDH($C$453,"NET_FIXED_ASSETS_5_YEAR_GROWTH","FQ1 2014","FQ1 2014","Currency=INR","Period=FQ","BEST_FPERIOD_OVERRIDE=FQ","FILING_STATUS=OR","EQY_CONSOLIDATED=Y","Sort=A","Dates=H","DateFormat=P","Fill=—","Direction=H","UseDPDF=Y")</f>
        <v>#NAME?</v>
      </c>
      <c r="AV454" s="1" t="e">
        <f ca="1">_xll.BDH($C$453,"GEO_GROW_TOT_ASSET","FQ1 2014","FQ1 2014","Currency=INR","Period=FQ","BEST_FPERIOD_OVERRIDE=FQ","FILING_STATUS=OR","EQY_CONSOLIDATED=Y","Sort=A","Dates=H","DateFormat=P","Fill=—","Direction=H","UseDPDF=Y")</f>
        <v>#NAME?</v>
      </c>
      <c r="AW454" s="1" t="e">
        <f ca="1">_xll.BDH($C$453,"MODIFIED_WORKING_CPTL_5YR_GRWTH","FQ1 2014","FQ1 2014","Currency=INR","Period=FQ","BEST_FPERIOD_OVERRIDE=FQ","FILING_STATUS=OR","EQY_CONSOLIDATED=Y","Sort=A","Dates=H","DateFormat=P","Fill=—","Direction=H","UseDPDF=Y")</f>
        <v>#NAME?</v>
      </c>
      <c r="AX454" s="1" t="e">
        <f ca="1">_xll.BDH($C$453,"WORKING_CAPITAL_5_YEAR_GROWTH","FQ1 2014","FQ1 2014","Currency=INR","Period=FQ","BEST_FPERIOD_OVERRIDE=FQ","FILING_STATUS=OR","EQY_CONSOLIDATED=Y","Sort=A","Dates=H","DateFormat=P","Fill=—","Direction=H","UseDPDF=Y")</f>
        <v>#NAME?</v>
      </c>
      <c r="AY454" s="1" t="e">
        <f ca="1">_xll.BDH($C$453,"ACCOUNTS_PAYABLE_5_YEAR_GROWTH","FQ1 2014","FQ1 2014","Currency=INR","Period=FQ","BEST_FPERIOD_OVERRIDE=FQ","FILING_STATUS=OR","EQY_CONSOLIDATED=Y","Sort=A","Dates=H","DateFormat=P","Fill=—","Direction=H","UseDPDF=Y")</f>
        <v>#NAME?</v>
      </c>
      <c r="AZ454" s="1" t="e">
        <f ca="1">_xll.BDH($C$453,"SHORT_TERM_DEBT_5_YEAR_GROWTH","FQ1 2014","FQ1 2014","Currency=INR","Period=FQ","BEST_FPERIOD_OVERRIDE=FQ","FILING_STATUS=OR","EQY_CONSOLIDATED=Y","Sort=A","Dates=H","DateFormat=P","Fill=—","Direction=H","UseDPDF=Y")</f>
        <v>#NAME?</v>
      </c>
      <c r="BA454" s="1" t="e">
        <f ca="1">_xll.BDH($C$453,"TOTAL_DEBT_5_YEAR_GROWTH","FQ1 2014","FQ1 2014","Currency=INR","Period=FQ","BEST_FPERIOD_OVERRIDE=FQ","FILING_STATUS=OR","EQY_CONSOLIDATED=Y","Sort=A","Dates=H","DateFormat=P","Fill=—","Direction=H","UseDPDF=Y")</f>
        <v>#NAME?</v>
      </c>
      <c r="BB454" s="1" t="e">
        <f ca="1">_xll.BDH($C$453,"GEO_GROW_TOT_SHRHLDR_EQY","FQ1 2014","FQ1 2014","Currency=INR","Period=FQ","BEST_FPERIOD_OVERRIDE=FQ","FILING_STATUS=OR","EQY_CONSOLIDATED=Y","Sort=A","Dates=H","DateFormat=P","Fill=—","Direction=H","UseDPDF=Y")</f>
        <v>#NAME?</v>
      </c>
      <c r="BC454" s="1" t="e">
        <f ca="1">_xll.BDH($C$453,"TOTAL_CAPITAL_5_YEAR_GROWTH","FQ1 2014","FQ1 2014","Currency=INR","Period=FQ","BEST_FPERIOD_OVERRIDE=FQ","FILING_STATUS=OR","EQY_CONSOLIDATED=Y","Sort=A","Dates=H","DateFormat=P","Fill=—","Direction=H","UseDPDF=Y")</f>
        <v>#NAME?</v>
      </c>
      <c r="BD454" s="1" t="e">
        <f ca="1">_xll.BDH($C$453,"GEO_GROW_BOOK_VAL","FQ1 2014","FQ1 2014","Currency=INR","Period=FQ","BEST_FPERIOD_OVERRIDE=FQ","FILING_STATUS=OR","EQY_CONSOLIDATED=Y","Sort=A","Dates=H","DateFormat=P","Fill=—","Direction=H","UseDPDF=Y")</f>
        <v>#NAME?</v>
      </c>
      <c r="BE454" s="1" t="e">
        <f ca="1">_xll.BDH($C$453,"GEO_GROW_CASH_OPER_ACT","FQ1 2014","FQ1 2014","Currency=INR","Period=FQ","BEST_FPERIOD_OVERRIDE=FQ","FILING_STATUS=OR","EQY_CONSOLIDATED=Y","Sort=A","Dates=H","DateFormat=P","Fill=—","Direction=H","UseDPDF=Y")</f>
        <v>#NAME?</v>
      </c>
      <c r="BF454" s="1" t="e">
        <f ca="1">_xll.BDH($C$453,"REVENUE_SEQUENTIAL_GROWTH","FQ1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54" s="1" t="e">
        <f ca="1">_xll.BDH($C$453,"EBITDA_SEQUENTIAL_GROWTH","FQ1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54" s="1" t="e">
        <f ca="1">_xll.BDH($C$453,"OPERATING_INCOME_SEQ_GROWTH","FQ1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54" s="1" t="e">
        <f ca="1">_xll.BDH($C$453,"NET_INCOME_TO_COMMON_SEQ_GROWTH","FQ1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54" s="1" t="e">
        <f ca="1">_xll.BDH($C$453,"EPS_DILUTED_SEQUENTIAL_GROWTH","FQ1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54" s="1" t="e">
        <f ca="1">_xll.BDH($C$453,"DPS_SEQUENTIAL_GROWTH","FQ1 2014","FQ1 2014","Currency=INR","Period=FQ","BEST_FPERIOD_OVERRIDE=FQ","FILING_STATUS=OR","EQY_CONSOLIDATED=Y","Sort=A","Dates=H","DateFormat=P","Fill=—","Direction=H","UseDPDF=Y")</f>
        <v>#NAME?</v>
      </c>
      <c r="BL454" s="1" t="e">
        <f ca="1">_xll.BDH($C$453,"ACCOUNTS_RECEIVABLE_SEQ_GROWTH","FQ1 2014","FQ1 2014","Currency=INR","Period=FQ","BEST_FPERIOD_OVERRIDE=FQ","FILING_STATUS=OR","EQY_CONSOLIDATED=Y","Sort=A","Dates=H","DateFormat=P","Fill=—","Direction=H","UseDPDF=Y")</f>
        <v>#NAME?</v>
      </c>
      <c r="BM454" s="1" t="e">
        <f ca="1">_xll.BDH($C$453,"INVENTORY_SEQUENTIAL_GROWTH","FQ1 2014","FQ1 2014","Currency=INR","Period=FQ","BEST_FPERIOD_OVERRIDE=FQ","FILING_STATUS=OR","EQY_CONSOLIDATED=Y","Sort=A","Dates=H","DateFormat=P","Fill=—","Direction=H","UseDPDF=Y")</f>
        <v>#NAME?</v>
      </c>
      <c r="BN454" s="1" t="e">
        <f ca="1">_xll.BDH($C$453,"FIXED_ASSETS_SEQUENTIAL_GROWTH","FQ1 2014","FQ1 2014","Currency=INR","Period=FQ","BEST_FPERIOD_OVERRIDE=FQ","FILING_STATUS=OR","EQY_CONSOLIDATED=Y","Sort=A","Dates=H","DateFormat=P","Fill=—","Direction=H","UseDPDF=Y")</f>
        <v>#NAME?</v>
      </c>
      <c r="BO454" s="1" t="e">
        <f ca="1">_xll.BDH($C$453,"TOTAL_ASSETS_SEQUENTIAL_GROWTH","FQ1 2014","FQ1 2014","Currency=INR","Period=FQ","BEST_FPERIOD_OVERRIDE=FQ","FILING_STATUS=OR","EQY_CONSOLIDATED=Y","Sort=A","Dates=H","DateFormat=P","Fill=—","Direction=H","UseDPDF=Y")</f>
        <v>#NAME?</v>
      </c>
      <c r="BP454" s="1" t="e">
        <f ca="1">_xll.BDH($C$453,"MODIFIED_WORKING_CPTL_SEQ_GRWTH","FQ1 2014","FQ1 2014","Currency=INR","Period=FQ","BEST_FPERIOD_OVERRIDE=FQ","FILING_STATUS=OR","EQY_CONSOLIDATED=Y","Sort=A","Dates=H","DateFormat=P","Fill=—","Direction=H","UseDPDF=Y")</f>
        <v>#NAME?</v>
      </c>
      <c r="BQ454" s="1" t="e">
        <f ca="1">_xll.BDH($C$453,"WORKING_CAPITAL_SEQ_GROWTH","FQ1 2014","FQ1 2014","Currency=INR","Period=FQ","BEST_FPERIOD_OVERRIDE=FQ","FILING_STATUS=OR","EQY_CONSOLIDATED=Y","Sort=A","Dates=H","DateFormat=P","Fill=—","Direction=H","UseDPDF=Y")</f>
        <v>#NAME?</v>
      </c>
      <c r="BR454" s="1" t="e">
        <f ca="1">_xll.BDH($C$453,"ACCOUNTS_PAYABLE_SEQ_GROWTH","FQ1 2014","FQ1 2014","Currency=INR","Period=FQ","BEST_FPERIOD_OVERRIDE=FQ","FILING_STATUS=OR","EQY_CONSOLIDATED=Y","Sort=A","Dates=H","DateFormat=P","Fill=—","Direction=H","UseDPDF=Y")</f>
        <v>#NAME?</v>
      </c>
      <c r="BS454" s="1" t="e">
        <f ca="1">_xll.BDH($C$453,"ST_DEBT_SEQUENTIAL_GROWTH","FQ1 2014","FQ1 2014","Currency=INR","Period=FQ","BEST_FPERIOD_OVERRIDE=FQ","FILING_STATUS=OR","EQY_CONSOLIDATED=Y","Sort=A","Dates=H","DateFormat=P","Fill=—","Direction=H","UseDPDF=Y")</f>
        <v>#NAME?</v>
      </c>
      <c r="BT454" s="1" t="e">
        <f ca="1">_xll.BDH($C$453,"TOTAL_DEBT_SEQUENTIAL_GROWTH","FQ1 2014","FQ1 2014","Currency=INR","Period=FQ","BEST_FPERIOD_OVERRIDE=FQ","FILING_STATUS=OR","EQY_CONSOLIDATED=Y","Sort=A","Dates=H","DateFormat=P","Fill=—","Direction=H","UseDPDF=Y")</f>
        <v>#NAME?</v>
      </c>
      <c r="BU454" s="1" t="e">
        <f ca="1">_xll.BDH($C$453,"TOTAL_EQUITY_SEQUENTIAL_GROWTH","FQ1 2014","FQ1 2014","Currency=INR","Period=FQ","BEST_FPERIOD_OVERRIDE=FQ","FILING_STATUS=OR","EQY_CONSOLIDATED=Y","Sort=A","Dates=H","DateFormat=P","Fill=—","Direction=H","UseDPDF=Y")</f>
        <v>#NAME?</v>
      </c>
      <c r="BV454" s="1" t="e">
        <f ca="1">_xll.BDH($C$453,"TOTAL_CAPITAL_SEQUENTIAL_GROWTH","FQ1 2014","FQ1 2014","Currency=INR","Period=FQ","BEST_FPERIOD_OVERRIDE=FQ","FILING_STATUS=OR","EQY_CONSOLIDATED=Y","Sort=A","Dates=H","DateFormat=P","Fill=—","Direction=H","UseDPDF=Y")</f>
        <v>#NAME?</v>
      </c>
      <c r="BW454" s="1" t="e">
        <f ca="1">_xll.BDH($C$453,"BPS_SEQUENTIAL_GROWTH","FQ1 2014","FQ1 2014","Currency=INR","Period=FQ","BEST_FPERIOD_OVERRIDE=FQ","FILING_STATUS=OR","EQY_CONSOLIDATED=Y","Sort=A","Dates=H","DateFormat=P","Fill=—","Direction=H","UseDPDF=Y")</f>
        <v>#NAME?</v>
      </c>
      <c r="BX454" s="1" t="e">
        <f ca="1">_xll.BDH($C$453,"CFO_SEQUENTIAL_GROWTH","FQ1 2014","FQ1 2014","Currency=INR","Period=FQ","BEST_FPERIOD_OVERRIDE=FQ","FILING_STATUS=OR","EQY_CONSOLIDATED=Y","Sort=A","Dates=H","DateFormat=P","Fill=—","Direction=H","UseDPDF=Y")</f>
        <v>#NAME?</v>
      </c>
      <c r="BY454" s="2" t="e">
        <f ca="1">_xll.BDH($C$453,"SHORT_AND_LONG_TERM_DEBT","FQ1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54" s="2" t="e">
        <f ca="1">_xll.BDH($C$453,"BS_ST_BORROW","FQ1 2014","FQ1 2014","Currency=INR","Period=FQ","BEST_FPERIOD_OVERRIDE=FQ","FILING_STATUS=OR","EQY_CONSOLIDATED=Y","SCALING_FORMAT=MLN","Sort=A","Dates=H","DateFormat=P","Fill=—","Direction=H","UseDPDF=Y")</f>
        <v>#NAME?</v>
      </c>
      <c r="CA454" s="2" t="e">
        <f ca="1">_xll.BDH($C$453,"BS_LT_BORROW","FQ1 2014","FQ1 2014","Currency=INR","Period=FQ","BEST_FPERIOD_OVERRIDE=FQ","FILING_STATUS=OR","EQY_CONSOLIDATED=Y","SCALING_FORMAT=MLN","Sort=A","Dates=H","DateFormat=P","Fill=—","Direction=H","UseDPDF=Y")</f>
        <v>#NAME?</v>
      </c>
      <c r="CB454" s="1" t="e">
        <f ca="1">_xll.BDH($C$453,"TOT_DEBT_TO_EBITDA","FQ1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54" s="1" t="e">
        <f ca="1">_xll.BDH($C$453,"NET_DEBT_TO_EBITDA","FQ1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54" s="1" t="e">
        <f ca="1">_xll.BDH($C$453,"TOTAL_DEBT_TO_EBIT","FQ1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54" s="1" t="e">
        <f ca="1">_xll.BDH($C$453,"NET_DEBT_TO_EBIT","FQ1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454" s="1" t="e">
        <f ca="1">_xll.BDH($C$453,"EBITDA_TO_INTEREST_EXPN","FQ1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54" s="1" t="e">
        <f ca="1">_xll.BDH($C$453,"COM_EQY_TO_TOT_ASSET","FQ1 2014","FQ1 2014","Currency=INR","Period=FQ","BEST_FPERIOD_OVERRIDE=FQ","FILING_STATUS=OR","EQY_CONSOLIDATED=Y","Sort=A","Dates=H","DateFormat=P","Fill=—","Direction=H","UseDPDF=Y")</f>
        <v>#NAME?</v>
      </c>
      <c r="CH454" s="1" t="e">
        <f ca="1">_xll.BDH($C$453,"LT_DEBT_TO_TOT_EQY","FQ1 2014","FQ1 2014","Currency=INR","Period=FQ","BEST_FPERIOD_OVERRIDE=FQ","FILING_STATUS=OR","EQY_CONSOLIDATED=Y","Sort=A","Dates=H","DateFormat=P","Fill=—","Direction=H","UseDPDF=Y")</f>
        <v>#NAME?</v>
      </c>
      <c r="CI454" s="1" t="e">
        <f ca="1">_xll.BDH($C$453,"LT_DEBT_TO_TOT_CAP","FQ1 2014","FQ1 2014","Currency=INR","Period=FQ","BEST_FPERIOD_OVERRIDE=FQ","FILING_STATUS=OR","EQY_CONSOLIDATED=Y","Sort=A","Dates=H","DateFormat=P","Fill=—","Direction=H","UseDPDF=Y")</f>
        <v>#NAME?</v>
      </c>
      <c r="CJ454" s="1" t="e">
        <f ca="1">_xll.BDH($C$453,"LT_DEBT_TO_TOT_ASSET","FQ1 2014","FQ1 2014","Currency=INR","Period=FQ","BEST_FPERIOD_OVERRIDE=FQ","FILING_STATUS=OR","EQY_CONSOLIDATED=Y","Sort=A","Dates=H","DateFormat=P","Fill=—","Direction=H","UseDPDF=Y")</f>
        <v>#NAME?</v>
      </c>
      <c r="CK454" s="1" t="e">
        <f ca="1">_xll.BDH($C$453,"TOT_DEBT_TO_TOT_EQY","FQ1 2014","FQ1 2014","Currency=INR","Period=FQ","BEST_FPERIOD_OVERRIDE=FQ","FILING_STATUS=OR","EQY_CONSOLIDATED=Y","Sort=A","Dates=H","DateFormat=P","Fill=—","Direction=H","UseDPDF=Y")</f>
        <v>#NAME?</v>
      </c>
      <c r="CL454" s="1" t="e">
        <f ca="1">_xll.BDH($C$453,"TOT_DEBT_TO_TOT_CAP","FQ1 2014","FQ1 2014","Currency=INR","Period=FQ","BEST_FPERIOD_OVERRIDE=FQ","FILING_STATUS=OR","EQY_CONSOLIDATED=Y","Sort=A","Dates=H","DateFormat=P","Fill=—","Direction=H","UseDPDF=Y")</f>
        <v>#NAME?</v>
      </c>
      <c r="CM454" s="1" t="e">
        <f ca="1">_xll.BDH($C$453,"TOT_DEBT_TO_TOT_ASSET","FQ1 2014","FQ1 2014","Currency=INR","Period=FQ","BEST_FPERIOD_OVERRIDE=FQ","FILING_STATUS=OR","EQY_CONSOLIDATED=Y","Sort=A","Dates=H","DateFormat=P","Fill=—","Direction=H","UseDPDF=Y")</f>
        <v>#NAME?</v>
      </c>
      <c r="CN454" s="1" t="e">
        <f ca="1">_xll.BDH($C$453,"NET_DEBT_TO_SHRHLDR_EQTY","FQ1 2014","FQ1 2014","Currency=INR","Period=FQ","BEST_FPERIOD_OVERRIDE=FQ","FILING_STATUS=OR","EQY_CONSOLIDATED=Y","Sort=A","Dates=H","DateFormat=P","Fill=—","Direction=H","UseDPDF=Y")</f>
        <v>#NAME?</v>
      </c>
      <c r="CO454" s="1" t="e">
        <f ca="1">_xll.BDH($C$453,"NET_DEBT_%_CAPITAL","FQ1 2014","FQ1 2014","Currency=INR","Period=FQ","BEST_FPERIOD_OVERRIDE=FQ","FILING_STATUS=OR","EQY_CONSOLIDATED=Y","Sort=A","Dates=H","DateFormat=P","Fill=—","Direction=H","UseDPDF=Y")</f>
        <v>#NAME?</v>
      </c>
      <c r="CP454" s="2" t="e">
        <f ca="1">_xll.BDH($C$453,"EBITDA","FQ1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54" s="2" t="e">
        <f ca="1">_xll.BDH($C$453,"EBITDA_AFTER_CAPEX","FQ1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54" s="2" t="e">
        <f ca="1">_xll.BDH($C$453,"IS_OPER_INC","FQ1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54" s="1" t="e">
        <f ca="1">_xll.BDH($C$453,"CASH_RATIO","FQ1 2014","FQ1 2014","Currency=INR","Period=FQ","BEST_FPERIOD_OVERRIDE=FQ","FILING_STATUS=OR","EQY_CONSOLIDATED=Y","Sort=A","Dates=H","DateFormat=P","Fill=—","Direction=H","UseDPDF=Y")</f>
        <v>#NAME?</v>
      </c>
      <c r="CT454" s="1" t="e">
        <f ca="1">_xll.BDH($C$453,"CUR_RATIO","FQ1 2014","FQ1 2014","Currency=INR","Period=FQ","BEST_FPERIOD_OVERRIDE=FQ","FILING_STATUS=OR","EQY_CONSOLIDATED=Y","Sort=A","Dates=H","DateFormat=P","Fill=—","Direction=H","UseDPDF=Y")</f>
        <v>#NAME?</v>
      </c>
      <c r="CU454" s="1" t="e">
        <f ca="1">_xll.BDH($C$453,"QUICK_RATIO","FQ1 2014","FQ1 2014","Currency=INR","Period=FQ","BEST_FPERIOD_OVERRIDE=FQ","FILING_STATUS=OR","EQY_CONSOLIDATED=Y","Sort=A","Dates=H","DateFormat=P","Fill=—","Direction=H","UseDPDF=Y")</f>
        <v>#NAME?</v>
      </c>
      <c r="CV454" s="1" t="e">
        <f ca="1">_xll.BDH($C$453,"ALTMAN_Z_SCORE","FQ1 2014","FQ1 2014","Currency=INR","Period=FQ","BEST_FPERIOD_OVERRIDE=FQ","FILING_STATUS=OR","EQY_CONSOLIDATED=Y","Sort=A","Dates=H","DateFormat=P","Fill=—","Direction=H","UseDPDF=Y")</f>
        <v>#NAME?</v>
      </c>
      <c r="CW454" s="3" t="e">
        <f ca="1">_xll.BDH($C$453,"ACCT_RCV_TURN","FQ1 2014","FQ1 2014","Currency=INR","Period=FQ","BEST_FPERIOD_OVERRIDE=FQ","FILING_STATUS=OR","EQY_CONSOLIDATED=Y","FA_ADJUSTED=GAAP","Sort=A","Dates=H","DateFormat=P","Fill=—","Direction=H","UseDPDF=Y")</f>
        <v>#NAME?</v>
      </c>
      <c r="CX454" s="1" t="e">
        <f ca="1">_xll.BDH($C$453,"ACCT_RCV_DAYS","FQ1 2014","FQ1 2014","Currency=INR","Period=FQ","BEST_FPERIOD_OVERRIDE=FQ","FILING_STATUS=OR","EQY_CONSOLIDATED=Y","FA_ADJUSTED=GAAP","Sort=A","Dates=H","DateFormat=P","Fill=—","Direction=H","UseDPDF=Y")</f>
        <v>#NAME?</v>
      </c>
      <c r="CY454" s="3" t="e">
        <f ca="1">_xll.BDH($C$453,"INVENT_TURN","FQ1 2014","FQ1 2014","Currency=INR","Period=FQ","BEST_FPERIOD_OVERRIDE=FQ","FILING_STATUS=OR","EQY_CONSOLIDATED=Y","FA_ADJUSTED=GAAP","Sort=A","Dates=H","DateFormat=P","Fill=—","Direction=H","UseDPDF=Y")</f>
        <v>#NAME?</v>
      </c>
      <c r="CZ454" s="1" t="e">
        <f ca="1">_xll.BDH($C$453,"INVENT_DAYS","FQ1 2014","FQ1 2014","Currency=INR","Period=FQ","BEST_FPERIOD_OVERRIDE=FQ","FILING_STATUS=OR","EQY_CONSOLIDATED=Y","FA_ADJUSTED=GAAP","Sort=A","Dates=H","DateFormat=P","Fill=—","Direction=H","UseDPDF=Y")</f>
        <v>#NAME?</v>
      </c>
      <c r="DA454" s="3" t="e">
        <f ca="1">_xll.BDH($C$453,"ACCOUNTS_PAYABLE_TURNOVER","FQ1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54" s="1" t="e">
        <f ca="1">_xll.BDH($C$453,"ACCOUNTS_PAYABLE_TURNOVER_DAYS","FQ1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54" s="3" t="e">
        <f ca="1">_xll.BDH($C$453,"CASH_CONVERSION_CYCLE","FQ1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54" s="3" t="e">
        <f ca="1">_xll.BDH($C$453,"INV_TO_CASH_DAYS","FQ1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454" s="4" t="e">
        <f ca="1">_xll.BDH($C$453,"BS_INVENTORIES","FQ1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454" s="2" t="e">
        <f ca="1">_xll.BDH($C$453,"INVTRY_RAW_MATERIALS","FQ1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54" s="2" t="e">
        <f ca="1">_xll.BDH($C$453,"INVTRY_IN_PROGRESS","FQ1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54" s="2" t="e">
        <f ca="1">_xll.BDH($C$453,"INVTRY_FINISHED_GOODS","FQ1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54" s="2" t="e">
        <f ca="1">_xll.BDH($C$453,"BS_OTHER_INV","FQ1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55" spans="1:113" x14ac:dyDescent="0.3">
      <c r="A455" s="6"/>
      <c r="B455" s="6"/>
      <c r="C455" s="6"/>
      <c r="D455" s="6"/>
      <c r="E455" t="s">
        <v>5</v>
      </c>
      <c r="F455" t="e">
        <f ca="1">_xll.BDH($C$453,"RETURN_COM_EQY","FQ2 2014","FQ2 2014","Currency=INR","Period=FQ","BEST_FPERIOD_OVERRIDE=FQ","FILING_STATUS=OR","EQY_CONSOLIDATED=Y","FA_ADJUSTED=GAAP","Sort=A","Dates=H","DateFormat=P","Fill=—","Direction=H","UseDPDF=Y")</f>
        <v>#NAME?</v>
      </c>
      <c r="G455" t="e">
        <f ca="1">_xll.BDH($C$453,"RETURN_ON_ASSET","FQ2 2014","FQ2 2014","Currency=INR","Period=FQ","BEST_FPERIOD_OVERRIDE=FQ","FILING_STATUS=OR","EQY_CONSOLIDATED=Y","FA_ADJUSTED=GAAP","Sort=A","Dates=H","DateFormat=P","Fill=—","Direction=H","UseDPDF=Y")</f>
        <v>#NAME?</v>
      </c>
      <c r="H455" t="e">
        <f ca="1">_xll.BDH($C$453,"RETURN_ON_CAP","FQ2 2014","FQ2 2014","Currency=INR","Period=FQ","BEST_FPERIOD_OVERRIDE=FQ","FILING_STATUS=OR","EQY_CONSOLIDATED=Y","FA_ADJUSTED=GAAP","Sort=A","Dates=H","DateFormat=P","Fill=—","Direction=H","UseDPDF=Y")</f>
        <v>#NAME?</v>
      </c>
      <c r="I455" t="e">
        <f ca="1">_xll.BDH($C$453,"RETURN_ON_INV_CAPITAL","FQ2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55" t="e">
        <f ca="1">_xll.BDH($C$453,"EBITDA_TO_REVENUE","FQ2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455" t="e">
        <f ca="1">_xll.BDH($C$453,"OPER_MARGIN","FQ2 2014","FQ2 2014","Currency=INR","Period=FQ","BEST_FPERIOD_OVERRIDE=FQ","FILING_STATUS=OR","EQY_CONSOLIDATED=Y","FA_ADJUSTED=GAAP","Sort=A","Dates=H","DateFormat=P","Fill=—","Direction=H","UseDPDF=Y")</f>
        <v>#NAME?</v>
      </c>
      <c r="L455" t="e">
        <f ca="1">_xll.BDH($C$453,"INCREMENTAL_OPERATING_MARGIN","FQ2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55" t="e">
        <f ca="1">_xll.BDH($C$453,"PRETAX_INC_TO_NET_SALES","FQ2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55" t="e">
        <f ca="1">_xll.BDH($C$453,"INC_BEF_XO_ITEMS_TO_NET_SALES","FQ2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55" t="e">
        <f ca="1">_xll.BDH($C$453,"PROF_MARGIN","FQ2 2014","FQ2 2014","Currency=INR","Period=FQ","BEST_FPERIOD_OVERRIDE=FQ","FILING_STATUS=OR","EQY_CONSOLIDATED=Y","FA_ADJUSTED=GAAP","Sort=A","Dates=H","DateFormat=P","Fill=—","Direction=H","UseDPDF=Y")</f>
        <v>#NAME?</v>
      </c>
      <c r="P455" t="e">
        <f ca="1">_xll.BDH($C$453,"NET_INCOME_TO_COMMON_MARGIN","FQ2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55" t="e">
        <f ca="1">_xll.BDH($C$453,"EFF_TAX_RATE","FQ2 2014","FQ2 2014","Currency=INR","Period=FQ","BEST_FPERIOD_OVERRIDE=FQ","FILING_STATUS=OR","EQY_CONSOLIDATED=Y","FA_ADJUSTED=GAAP","Sort=A","Dates=H","DateFormat=P","Fill=—","Direction=H","UseDPDF=Y")</f>
        <v>#NAME?</v>
      </c>
      <c r="R455" t="e">
        <f ca="1">_xll.BDH($C$453,"DVD_PAYOUT_RATIO","FQ2 2014","FQ2 2014","Currency=INR","Period=FQ","BEST_FPERIOD_OVERRIDE=FQ","FILING_STATUS=OR","EQY_CONSOLIDATED=Y","FA_ADJUSTED=GAAP","Sort=A","Dates=H","DateFormat=P","Fill=—","Direction=H","UseDPDF=Y")</f>
        <v>#NAME?</v>
      </c>
      <c r="S455" t="e">
        <f ca="1">_xll.BDH($C$453,"SUSTAIN_GROWTH_RT","FQ2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455" s="1" t="e">
        <f ca="1">_xll.BDH($C$453,"SALES_GROWTH","FQ2 2014","FQ2 2014","Currency=INR","Period=FQ","BEST_FPERIOD_OVERRIDE=FQ","FILING_STATUS=OR","EQY_CONSOLIDATED=Y","FA_ADJUSTED=GAAP","Sort=A","Dates=H","DateFormat=P","Fill=—","Direction=H","UseDPDF=Y")</f>
        <v>#NAME?</v>
      </c>
      <c r="U455" s="1" t="e">
        <f ca="1">_xll.BDH($C$453,"EBITDA_GROWTH","FQ2 2014","FQ2 2014","Currency=INR","Period=FQ","BEST_FPERIOD_OVERRIDE=FQ","FILING_STATUS=OR","EQY_CONSOLIDATED=Y","FA_ADJUSTED=GAAP","Sort=A","Dates=H","DateFormat=P","Fill=—","Direction=H","UseDPDF=Y")</f>
        <v>#NAME?</v>
      </c>
      <c r="V455" s="1" t="e">
        <f ca="1">_xll.BDH($C$453,"OPER_INC_GROWTH","FQ2 2014","FQ2 2014","Currency=INR","Period=FQ","BEST_FPERIOD_OVERRIDE=FQ","FILING_STATUS=OR","EQY_CONSOLIDATED=Y","FA_ADJUSTED=GAAP","Sort=A","Dates=H","DateFormat=P","Fill=—","Direction=H","UseDPDF=Y")</f>
        <v>#NAME?</v>
      </c>
      <c r="W455" s="1" t="e">
        <f ca="1">_xll.BDH($C$453,"EARN_FOR_COM_GROWTH","FQ2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55" s="1" t="e">
        <f ca="1">_xll.BDH($C$453,"DILUTED_EPS_AFT_XO_ITEMS_GROWTH","FQ2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55" s="1" t="e">
        <f ca="1">_xll.BDH($C$453,"DIVIDEND_PER_SHARE_1_YEAR_GROWTH","FQ2 2014","FQ2 2014","Currency=INR","Period=FQ","BEST_FPERIOD_OVERRIDE=FQ","FILING_STATUS=OR","EQY_CONSOLIDATED=Y","Sort=A","Dates=H","DateFormat=P","Fill=—","Direction=H","UseDPDF=Y")</f>
        <v>#NAME?</v>
      </c>
      <c r="Z455" s="1" t="e">
        <f ca="1">_xll.BDH($C$453,"ACCOUNTS_RECEIVABLE_GROWTH","FQ2 2014","FQ2 2014","Currency=INR","Period=FQ","BEST_FPERIOD_OVERRIDE=FQ","FILING_STATUS=OR","EQY_CONSOLIDATED=Y","Sort=A","Dates=H","DateFormat=P","Fill=—","Direction=H","UseDPDF=Y")</f>
        <v>#NAME?</v>
      </c>
      <c r="AA455" s="1" t="e">
        <f ca="1">_xll.BDH($C$453,"INVENTORY_GROWTH","FQ2 2014","FQ2 2014","Currency=INR","Period=FQ","BEST_FPERIOD_OVERRIDE=FQ","FILING_STATUS=OR","EQY_CONSOLIDATED=Y","Sort=A","Dates=H","DateFormat=P","Fill=—","Direction=H","UseDPDF=Y")</f>
        <v>#NAME?</v>
      </c>
      <c r="AB455" s="1" t="e">
        <f ca="1">_xll.BDH($C$453,"NET_FIXED_ASSETS_1_YEAR_GROWTH","FQ2 2014","FQ2 2014","Currency=INR","Period=FQ","BEST_FPERIOD_OVERRIDE=FQ","FILING_STATUS=OR","EQY_CONSOLIDATED=Y","Sort=A","Dates=H","DateFormat=P","Fill=—","Direction=H","UseDPDF=Y")</f>
        <v>#NAME?</v>
      </c>
      <c r="AC455" s="1" t="e">
        <f ca="1">_xll.BDH($C$453,"ASSET_GROWTH","FQ2 2014","FQ2 2014","Currency=INR","Period=FQ","BEST_FPERIOD_OVERRIDE=FQ","FILING_STATUS=OR","EQY_CONSOLIDATED=Y","Sort=A","Dates=H","DateFormat=P","Fill=—","Direction=H","UseDPDF=Y")</f>
        <v>#NAME?</v>
      </c>
      <c r="AD455" s="1" t="e">
        <f ca="1">_xll.BDH($C$453,"MODIFIED_WORK_CAP_GROWTH","FQ2 2014","FQ2 2014","Currency=INR","Period=FQ","BEST_FPERIOD_OVERRIDE=FQ","FILING_STATUS=OR","EQY_CONSOLIDATED=Y","Sort=A","Dates=H","DateFormat=P","Fill=—","Direction=H","UseDPDF=Y")</f>
        <v>#NAME?</v>
      </c>
      <c r="AE455" s="1" t="e">
        <f ca="1">_xll.BDH($C$453,"WORK_CAP_GROWTH","FQ2 2014","FQ2 2014","Currency=INR","Period=FQ","BEST_FPERIOD_OVERRIDE=FQ","FILING_STATUS=OR","EQY_CONSOLIDATED=Y","Sort=A","Dates=H","DateFormat=P","Fill=—","Direction=H","UseDPDF=Y")</f>
        <v>#NAME?</v>
      </c>
      <c r="AF455" s="1" t="e">
        <f ca="1">_xll.BDH($C$453,"ACCOUNTS_PAYABLE_GROWTH_1YR","FQ2 2014","FQ2 2014","Currency=INR","Period=FQ","BEST_FPERIOD_OVERRIDE=FQ","FILING_STATUS=OR","EQY_CONSOLIDATED=Y","Sort=A","Dates=H","DateFormat=P","Fill=—","Direction=H","UseDPDF=Y")</f>
        <v>#NAME?</v>
      </c>
      <c r="AG455" s="1" t="e">
        <f ca="1">_xll.BDH($C$453,"SHORT_TERM_DEBT_1_YEAR_GROWTH","FQ2 2014","FQ2 2014","Currency=INR","Period=FQ","BEST_FPERIOD_OVERRIDE=FQ","FILING_STATUS=OR","EQY_CONSOLIDATED=Y","Sort=A","Dates=H","DateFormat=P","Fill=—","Direction=H","UseDPDF=Y")</f>
        <v>#NAME?</v>
      </c>
      <c r="AH455" s="1" t="e">
        <f ca="1">_xll.BDH($C$453,"TOTAL_DEBT_1_YEAR_GROWTH","FQ2 2014","FQ2 2014","Currency=INR","Period=FQ","BEST_FPERIOD_OVERRIDE=FQ","FILING_STATUS=OR","EQY_CONSOLIDATED=Y","Sort=A","Dates=H","DateFormat=P","Fill=—","Direction=H","UseDPDF=Y")</f>
        <v>#NAME?</v>
      </c>
      <c r="AI455" s="1" t="e">
        <f ca="1">_xll.BDH($C$453,"TOTAL_EQUITY_1_YEAR_GROWTH","FQ2 2014","FQ2 2014","Currency=INR","Period=FQ","BEST_FPERIOD_OVERRIDE=FQ","FILING_STATUS=OR","EQY_CONSOLIDATED=Y","Sort=A","Dates=H","DateFormat=P","Fill=—","Direction=H","UseDPDF=Y")</f>
        <v>#NAME?</v>
      </c>
      <c r="AJ455" s="1" t="e">
        <f ca="1">_xll.BDH($C$453,"GROWTH_IN_CAP","FQ2 2014","FQ2 2014","Currency=INR","Period=FQ","BEST_FPERIOD_OVERRIDE=FQ","FILING_STATUS=OR","EQY_CONSOLIDATED=Y","Sort=A","Dates=H","DateFormat=P","Fill=—","Direction=H","UseDPDF=Y")</f>
        <v>#NAME?</v>
      </c>
      <c r="AK455" s="1" t="e">
        <f ca="1">_xll.BDH($C$453,"BVPS_GROWTH","FQ2 2014","FQ2 2014","Currency=INR","Period=FQ","BEST_FPERIOD_OVERRIDE=FQ","FILING_STATUS=OR","EQY_CONSOLIDATED=Y","Sort=A","Dates=H","DateFormat=P","Fill=—","Direction=H","UseDPDF=Y")</f>
        <v>#NAME?</v>
      </c>
      <c r="AL455" s="1" t="e">
        <f ca="1">_xll.BDH($C$453,"CASH_FLOW_GROWTH","FQ2 2014","FQ2 2014","Currency=INR","Period=FQ","BEST_FPERIOD_OVERRIDE=FQ","FILING_STATUS=OR","EQY_CONSOLIDATED=Y","Sort=A","Dates=H","DateFormat=P","Fill=—","Direction=H","UseDPDF=Y")</f>
        <v>#NAME?</v>
      </c>
      <c r="AM455" s="1" t="e">
        <f ca="1">_xll.BDH($C$453,"GEO_GROW_NET_SALES","FQ2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55" s="1" t="e">
        <f ca="1">_xll.BDH($C$453,"GEO_GROW_EBITDA","FQ2 2014","FQ2 2014","Currency=INR","Period=FQ","BEST_FPERIOD_OVERRIDE=FQ","FILING_STATUS=OR","EQY_CONSOLIDATED=Y","FA_ADJUSTED=GAAP","Sort=A","Dates=H","DateFormat=P","Fill=—","Direction=H","UseDPDF=Y")</f>
        <v>#NAME?</v>
      </c>
      <c r="AO455" s="1" t="e">
        <f ca="1">_xll.BDH($C$453,"GEO_GROW_OPER_INC","FQ2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55" s="1" t="e">
        <f ca="1">_xll.BDH($C$453,"NET_INCOME_TO_COMMON_5_YR_GROWTH","FQ2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55" s="1" t="e">
        <f ca="1">_xll.BDH($C$453,"5Y_GEO_GROWTH_DILUTED_EPS","FQ2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55" s="1" t="e">
        <f ca="1">_xll.BDH($C$453,"GEO_GROW_DVD_PER_SH","FQ2 2014","FQ2 2014","Currency=INR","Period=FQ","BEST_FPERIOD_OVERRIDE=FQ","FILING_STATUS=OR","EQY_CONSOLIDATED=Y","Sort=A","Dates=H","DateFormat=P","Fill=—","Direction=H","UseDPDF=Y")</f>
        <v>#NAME?</v>
      </c>
      <c r="AS455" s="1" t="e">
        <f ca="1">_xll.BDH($C$453,"ACCOUNTS_RECEIVABLE_5_YR_GROWTH","FQ2 2014","FQ2 2014","Currency=INR","Period=FQ","BEST_FPERIOD_OVERRIDE=FQ","FILING_STATUS=OR","EQY_CONSOLIDATED=Y","Sort=A","Dates=H","DateFormat=P","Fill=—","Direction=H","UseDPDF=Y")</f>
        <v>#NAME?</v>
      </c>
      <c r="AT455" s="1" t="e">
        <f ca="1">_xll.BDH($C$453,"INVENTORY_5_YEAR_GROWTH","FQ2 2014","FQ2 2014","Currency=INR","Period=FQ","BEST_FPERIOD_OVERRIDE=FQ","FILING_STATUS=OR","EQY_CONSOLIDATED=Y","Sort=A","Dates=H","DateFormat=P","Fill=—","Direction=H","UseDPDF=Y")</f>
        <v>#NAME?</v>
      </c>
      <c r="AU455" s="1" t="e">
        <f ca="1">_xll.BDH($C$453,"NET_FIXED_ASSETS_5_YEAR_GROWTH","FQ2 2014","FQ2 2014","Currency=INR","Period=FQ","BEST_FPERIOD_OVERRIDE=FQ","FILING_STATUS=OR","EQY_CONSOLIDATED=Y","Sort=A","Dates=H","DateFormat=P","Fill=—","Direction=H","UseDPDF=Y")</f>
        <v>#NAME?</v>
      </c>
      <c r="AV455" s="1" t="e">
        <f ca="1">_xll.BDH($C$453,"GEO_GROW_TOT_ASSET","FQ2 2014","FQ2 2014","Currency=INR","Period=FQ","BEST_FPERIOD_OVERRIDE=FQ","FILING_STATUS=OR","EQY_CONSOLIDATED=Y","Sort=A","Dates=H","DateFormat=P","Fill=—","Direction=H","UseDPDF=Y")</f>
        <v>#NAME?</v>
      </c>
      <c r="AW455" s="1" t="e">
        <f ca="1">_xll.BDH($C$453,"MODIFIED_WORKING_CPTL_5YR_GRWTH","FQ2 2014","FQ2 2014","Currency=INR","Period=FQ","BEST_FPERIOD_OVERRIDE=FQ","FILING_STATUS=OR","EQY_CONSOLIDATED=Y","Sort=A","Dates=H","DateFormat=P","Fill=—","Direction=H","UseDPDF=Y")</f>
        <v>#NAME?</v>
      </c>
      <c r="AX455" s="1" t="e">
        <f ca="1">_xll.BDH($C$453,"WORKING_CAPITAL_5_YEAR_GROWTH","FQ2 2014","FQ2 2014","Currency=INR","Period=FQ","BEST_FPERIOD_OVERRIDE=FQ","FILING_STATUS=OR","EQY_CONSOLIDATED=Y","Sort=A","Dates=H","DateFormat=P","Fill=—","Direction=H","UseDPDF=Y")</f>
        <v>#NAME?</v>
      </c>
      <c r="AY455" s="1" t="e">
        <f ca="1">_xll.BDH($C$453,"ACCOUNTS_PAYABLE_5_YEAR_GROWTH","FQ2 2014","FQ2 2014","Currency=INR","Period=FQ","BEST_FPERIOD_OVERRIDE=FQ","FILING_STATUS=OR","EQY_CONSOLIDATED=Y","Sort=A","Dates=H","DateFormat=P","Fill=—","Direction=H","UseDPDF=Y")</f>
        <v>#NAME?</v>
      </c>
      <c r="AZ455" s="1" t="e">
        <f ca="1">_xll.BDH($C$453,"SHORT_TERM_DEBT_5_YEAR_GROWTH","FQ2 2014","FQ2 2014","Currency=INR","Period=FQ","BEST_FPERIOD_OVERRIDE=FQ","FILING_STATUS=OR","EQY_CONSOLIDATED=Y","Sort=A","Dates=H","DateFormat=P","Fill=—","Direction=H","UseDPDF=Y")</f>
        <v>#NAME?</v>
      </c>
      <c r="BA455" s="1" t="e">
        <f ca="1">_xll.BDH($C$453,"TOTAL_DEBT_5_YEAR_GROWTH","FQ2 2014","FQ2 2014","Currency=INR","Period=FQ","BEST_FPERIOD_OVERRIDE=FQ","FILING_STATUS=OR","EQY_CONSOLIDATED=Y","Sort=A","Dates=H","DateFormat=P","Fill=—","Direction=H","UseDPDF=Y")</f>
        <v>#NAME?</v>
      </c>
      <c r="BB455" s="1" t="e">
        <f ca="1">_xll.BDH($C$453,"GEO_GROW_TOT_SHRHLDR_EQY","FQ2 2014","FQ2 2014","Currency=INR","Period=FQ","BEST_FPERIOD_OVERRIDE=FQ","FILING_STATUS=OR","EQY_CONSOLIDATED=Y","Sort=A","Dates=H","DateFormat=P","Fill=—","Direction=H","UseDPDF=Y")</f>
        <v>#NAME?</v>
      </c>
      <c r="BC455" s="1" t="e">
        <f ca="1">_xll.BDH($C$453,"TOTAL_CAPITAL_5_YEAR_GROWTH","FQ2 2014","FQ2 2014","Currency=INR","Period=FQ","BEST_FPERIOD_OVERRIDE=FQ","FILING_STATUS=OR","EQY_CONSOLIDATED=Y","Sort=A","Dates=H","DateFormat=P","Fill=—","Direction=H","UseDPDF=Y")</f>
        <v>#NAME?</v>
      </c>
      <c r="BD455" s="1" t="e">
        <f ca="1">_xll.BDH($C$453,"GEO_GROW_BOOK_VAL","FQ2 2014","FQ2 2014","Currency=INR","Period=FQ","BEST_FPERIOD_OVERRIDE=FQ","FILING_STATUS=OR","EQY_CONSOLIDATED=Y","Sort=A","Dates=H","DateFormat=P","Fill=—","Direction=H","UseDPDF=Y")</f>
        <v>#NAME?</v>
      </c>
      <c r="BE455" s="1" t="e">
        <f ca="1">_xll.BDH($C$453,"GEO_GROW_CASH_OPER_ACT","FQ2 2014","FQ2 2014","Currency=INR","Period=FQ","BEST_FPERIOD_OVERRIDE=FQ","FILING_STATUS=OR","EQY_CONSOLIDATED=Y","Sort=A","Dates=H","DateFormat=P","Fill=—","Direction=H","UseDPDF=Y")</f>
        <v>#NAME?</v>
      </c>
      <c r="BF455" s="1" t="e">
        <f ca="1">_xll.BDH($C$453,"REVENUE_SEQUENTIAL_GROWTH","FQ2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55" s="1" t="e">
        <f ca="1">_xll.BDH($C$453,"EBITDA_SEQUENTIAL_GROWTH","FQ2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55" s="1" t="e">
        <f ca="1">_xll.BDH($C$453,"OPERATING_INCOME_SEQ_GROWTH","FQ2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55" s="1" t="e">
        <f ca="1">_xll.BDH($C$453,"NET_INCOME_TO_COMMON_SEQ_GROWTH","FQ2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55" s="1" t="e">
        <f ca="1">_xll.BDH($C$453,"EPS_DILUTED_SEQUENTIAL_GROWTH","FQ2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55" s="1" t="e">
        <f ca="1">_xll.BDH($C$453,"DPS_SEQUENTIAL_GROWTH","FQ2 2014","FQ2 2014","Currency=INR","Period=FQ","BEST_FPERIOD_OVERRIDE=FQ","FILING_STATUS=OR","EQY_CONSOLIDATED=Y","Sort=A","Dates=H","DateFormat=P","Fill=—","Direction=H","UseDPDF=Y")</f>
        <v>#NAME?</v>
      </c>
      <c r="BL455" s="1" t="e">
        <f ca="1">_xll.BDH($C$453,"ACCOUNTS_RECEIVABLE_SEQ_GROWTH","FQ2 2014","FQ2 2014","Currency=INR","Period=FQ","BEST_FPERIOD_OVERRIDE=FQ","FILING_STATUS=OR","EQY_CONSOLIDATED=Y","Sort=A","Dates=H","DateFormat=P","Fill=—","Direction=H","UseDPDF=Y")</f>
        <v>#NAME?</v>
      </c>
      <c r="BM455" s="1" t="e">
        <f ca="1">_xll.BDH($C$453,"INVENTORY_SEQUENTIAL_GROWTH","FQ2 2014","FQ2 2014","Currency=INR","Period=FQ","BEST_FPERIOD_OVERRIDE=FQ","FILING_STATUS=OR","EQY_CONSOLIDATED=Y","Sort=A","Dates=H","DateFormat=P","Fill=—","Direction=H","UseDPDF=Y")</f>
        <v>#NAME?</v>
      </c>
      <c r="BN455" s="1" t="e">
        <f ca="1">_xll.BDH($C$453,"FIXED_ASSETS_SEQUENTIAL_GROWTH","FQ2 2014","FQ2 2014","Currency=INR","Period=FQ","BEST_FPERIOD_OVERRIDE=FQ","FILING_STATUS=OR","EQY_CONSOLIDATED=Y","Sort=A","Dates=H","DateFormat=P","Fill=—","Direction=H","UseDPDF=Y")</f>
        <v>#NAME?</v>
      </c>
      <c r="BO455" s="1" t="e">
        <f ca="1">_xll.BDH($C$453,"TOTAL_ASSETS_SEQUENTIAL_GROWTH","FQ2 2014","FQ2 2014","Currency=INR","Period=FQ","BEST_FPERIOD_OVERRIDE=FQ","FILING_STATUS=OR","EQY_CONSOLIDATED=Y","Sort=A","Dates=H","DateFormat=P","Fill=—","Direction=H","UseDPDF=Y")</f>
        <v>#NAME?</v>
      </c>
      <c r="BP455" s="1" t="e">
        <f ca="1">_xll.BDH($C$453,"MODIFIED_WORKING_CPTL_SEQ_GRWTH","FQ2 2014","FQ2 2014","Currency=INR","Period=FQ","BEST_FPERIOD_OVERRIDE=FQ","FILING_STATUS=OR","EQY_CONSOLIDATED=Y","Sort=A","Dates=H","DateFormat=P","Fill=—","Direction=H","UseDPDF=Y")</f>
        <v>#NAME?</v>
      </c>
      <c r="BQ455" s="1" t="e">
        <f ca="1">_xll.BDH($C$453,"WORKING_CAPITAL_SEQ_GROWTH","FQ2 2014","FQ2 2014","Currency=INR","Period=FQ","BEST_FPERIOD_OVERRIDE=FQ","FILING_STATUS=OR","EQY_CONSOLIDATED=Y","Sort=A","Dates=H","DateFormat=P","Fill=—","Direction=H","UseDPDF=Y")</f>
        <v>#NAME?</v>
      </c>
      <c r="BR455" s="1" t="e">
        <f ca="1">_xll.BDH($C$453,"ACCOUNTS_PAYABLE_SEQ_GROWTH","FQ2 2014","FQ2 2014","Currency=INR","Period=FQ","BEST_FPERIOD_OVERRIDE=FQ","FILING_STATUS=OR","EQY_CONSOLIDATED=Y","Sort=A","Dates=H","DateFormat=P","Fill=—","Direction=H","UseDPDF=Y")</f>
        <v>#NAME?</v>
      </c>
      <c r="BS455" s="1" t="e">
        <f ca="1">_xll.BDH($C$453,"ST_DEBT_SEQUENTIAL_GROWTH","FQ2 2014","FQ2 2014","Currency=INR","Period=FQ","BEST_FPERIOD_OVERRIDE=FQ","FILING_STATUS=OR","EQY_CONSOLIDATED=Y","Sort=A","Dates=H","DateFormat=P","Fill=—","Direction=H","UseDPDF=Y")</f>
        <v>#NAME?</v>
      </c>
      <c r="BT455" s="1" t="e">
        <f ca="1">_xll.BDH($C$453,"TOTAL_DEBT_SEQUENTIAL_GROWTH","FQ2 2014","FQ2 2014","Currency=INR","Period=FQ","BEST_FPERIOD_OVERRIDE=FQ","FILING_STATUS=OR","EQY_CONSOLIDATED=Y","Sort=A","Dates=H","DateFormat=P","Fill=—","Direction=H","UseDPDF=Y")</f>
        <v>#NAME?</v>
      </c>
      <c r="BU455" s="1" t="e">
        <f ca="1">_xll.BDH($C$453,"TOTAL_EQUITY_SEQUENTIAL_GROWTH","FQ2 2014","FQ2 2014","Currency=INR","Period=FQ","BEST_FPERIOD_OVERRIDE=FQ","FILING_STATUS=OR","EQY_CONSOLIDATED=Y","Sort=A","Dates=H","DateFormat=P","Fill=—","Direction=H","UseDPDF=Y")</f>
        <v>#NAME?</v>
      </c>
      <c r="BV455" s="1" t="e">
        <f ca="1">_xll.BDH($C$453,"TOTAL_CAPITAL_SEQUENTIAL_GROWTH","FQ2 2014","FQ2 2014","Currency=INR","Period=FQ","BEST_FPERIOD_OVERRIDE=FQ","FILING_STATUS=OR","EQY_CONSOLIDATED=Y","Sort=A","Dates=H","DateFormat=P","Fill=—","Direction=H","UseDPDF=Y")</f>
        <v>#NAME?</v>
      </c>
      <c r="BW455" s="1" t="e">
        <f ca="1">_xll.BDH($C$453,"BPS_SEQUENTIAL_GROWTH","FQ2 2014","FQ2 2014","Currency=INR","Period=FQ","BEST_FPERIOD_OVERRIDE=FQ","FILING_STATUS=OR","EQY_CONSOLIDATED=Y","Sort=A","Dates=H","DateFormat=P","Fill=—","Direction=H","UseDPDF=Y")</f>
        <v>#NAME?</v>
      </c>
      <c r="BX455" s="1" t="e">
        <f ca="1">_xll.BDH($C$453,"CFO_SEQUENTIAL_GROWTH","FQ2 2014","FQ2 2014","Currency=INR","Period=FQ","BEST_FPERIOD_OVERRIDE=FQ","FILING_STATUS=OR","EQY_CONSOLIDATED=Y","Sort=A","Dates=H","DateFormat=P","Fill=—","Direction=H","UseDPDF=Y")</f>
        <v>#NAME?</v>
      </c>
      <c r="BY455" s="2" t="e">
        <f ca="1">_xll.BDH($C$453,"SHORT_AND_LONG_TERM_DEBT","FQ2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55" s="2" t="e">
        <f ca="1">_xll.BDH($C$453,"BS_ST_BORROW","FQ2 2014","FQ2 2014","Currency=INR","Period=FQ","BEST_FPERIOD_OVERRIDE=FQ","FILING_STATUS=OR","EQY_CONSOLIDATED=Y","SCALING_FORMAT=MLN","Sort=A","Dates=H","DateFormat=P","Fill=—","Direction=H","UseDPDF=Y")</f>
        <v>#NAME?</v>
      </c>
      <c r="CA455" s="2" t="e">
        <f ca="1">_xll.BDH($C$453,"BS_LT_BORROW","FQ2 2014","FQ2 2014","Currency=INR","Period=FQ","BEST_FPERIOD_OVERRIDE=FQ","FILING_STATUS=OR","EQY_CONSOLIDATED=Y","SCALING_FORMAT=MLN","Sort=A","Dates=H","DateFormat=P","Fill=—","Direction=H","UseDPDF=Y")</f>
        <v>#NAME?</v>
      </c>
      <c r="CB455" s="1" t="e">
        <f ca="1">_xll.BDH($C$453,"TOT_DEBT_TO_EBITDA","FQ2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55" s="1" t="e">
        <f ca="1">_xll.BDH($C$453,"NET_DEBT_TO_EBITDA","FQ2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55" s="1" t="e">
        <f ca="1">_xll.BDH($C$453,"TOTAL_DEBT_TO_EBIT","FQ2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55" s="1" t="e">
        <f ca="1">_xll.BDH($C$453,"NET_DEBT_TO_EBIT","FQ2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455" s="1" t="e">
        <f ca="1">_xll.BDH($C$453,"EBITDA_TO_INTEREST_EXPN","FQ2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55" s="1" t="e">
        <f ca="1">_xll.BDH($C$453,"COM_EQY_TO_TOT_ASSET","FQ2 2014","FQ2 2014","Currency=INR","Period=FQ","BEST_FPERIOD_OVERRIDE=FQ","FILING_STATUS=OR","EQY_CONSOLIDATED=Y","Sort=A","Dates=H","DateFormat=P","Fill=—","Direction=H","UseDPDF=Y")</f>
        <v>#NAME?</v>
      </c>
      <c r="CH455" s="1" t="e">
        <f ca="1">_xll.BDH($C$453,"LT_DEBT_TO_TOT_EQY","FQ2 2014","FQ2 2014","Currency=INR","Period=FQ","BEST_FPERIOD_OVERRIDE=FQ","FILING_STATUS=OR","EQY_CONSOLIDATED=Y","Sort=A","Dates=H","DateFormat=P","Fill=—","Direction=H","UseDPDF=Y")</f>
        <v>#NAME?</v>
      </c>
      <c r="CI455" s="1" t="e">
        <f ca="1">_xll.BDH($C$453,"LT_DEBT_TO_TOT_CAP","FQ2 2014","FQ2 2014","Currency=INR","Period=FQ","BEST_FPERIOD_OVERRIDE=FQ","FILING_STATUS=OR","EQY_CONSOLIDATED=Y","Sort=A","Dates=H","DateFormat=P","Fill=—","Direction=H","UseDPDF=Y")</f>
        <v>#NAME?</v>
      </c>
      <c r="CJ455" s="1" t="e">
        <f ca="1">_xll.BDH($C$453,"LT_DEBT_TO_TOT_ASSET","FQ2 2014","FQ2 2014","Currency=INR","Period=FQ","BEST_FPERIOD_OVERRIDE=FQ","FILING_STATUS=OR","EQY_CONSOLIDATED=Y","Sort=A","Dates=H","DateFormat=P","Fill=—","Direction=H","UseDPDF=Y")</f>
        <v>#NAME?</v>
      </c>
      <c r="CK455" s="1" t="e">
        <f ca="1">_xll.BDH($C$453,"TOT_DEBT_TO_TOT_EQY","FQ2 2014","FQ2 2014","Currency=INR","Period=FQ","BEST_FPERIOD_OVERRIDE=FQ","FILING_STATUS=OR","EQY_CONSOLIDATED=Y","Sort=A","Dates=H","DateFormat=P","Fill=—","Direction=H","UseDPDF=Y")</f>
        <v>#NAME?</v>
      </c>
      <c r="CL455" s="1" t="e">
        <f ca="1">_xll.BDH($C$453,"TOT_DEBT_TO_TOT_CAP","FQ2 2014","FQ2 2014","Currency=INR","Period=FQ","BEST_FPERIOD_OVERRIDE=FQ","FILING_STATUS=OR","EQY_CONSOLIDATED=Y","Sort=A","Dates=H","DateFormat=P","Fill=—","Direction=H","UseDPDF=Y")</f>
        <v>#NAME?</v>
      </c>
      <c r="CM455" s="1" t="e">
        <f ca="1">_xll.BDH($C$453,"TOT_DEBT_TO_TOT_ASSET","FQ2 2014","FQ2 2014","Currency=INR","Period=FQ","BEST_FPERIOD_OVERRIDE=FQ","FILING_STATUS=OR","EQY_CONSOLIDATED=Y","Sort=A","Dates=H","DateFormat=P","Fill=—","Direction=H","UseDPDF=Y")</f>
        <v>#NAME?</v>
      </c>
      <c r="CN455" s="1" t="e">
        <f ca="1">_xll.BDH($C$453,"NET_DEBT_TO_SHRHLDR_EQTY","FQ2 2014","FQ2 2014","Currency=INR","Period=FQ","BEST_FPERIOD_OVERRIDE=FQ","FILING_STATUS=OR","EQY_CONSOLIDATED=Y","Sort=A","Dates=H","DateFormat=P","Fill=—","Direction=H","UseDPDF=Y")</f>
        <v>#NAME?</v>
      </c>
      <c r="CO455" s="1" t="e">
        <f ca="1">_xll.BDH($C$453,"NET_DEBT_%_CAPITAL","FQ2 2014","FQ2 2014","Currency=INR","Period=FQ","BEST_FPERIOD_OVERRIDE=FQ","FILING_STATUS=OR","EQY_CONSOLIDATED=Y","Sort=A","Dates=H","DateFormat=P","Fill=—","Direction=H","UseDPDF=Y")</f>
        <v>#NAME?</v>
      </c>
      <c r="CP455" s="2" t="e">
        <f ca="1">_xll.BDH($C$453,"EBITDA","FQ2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55" s="2" t="e">
        <f ca="1">_xll.BDH($C$453,"EBITDA_AFTER_CAPEX","FQ2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55" s="2" t="e">
        <f ca="1">_xll.BDH($C$453,"IS_OPER_INC","FQ2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55" s="1" t="e">
        <f ca="1">_xll.BDH($C$453,"CASH_RATIO","FQ2 2014","FQ2 2014","Currency=INR","Period=FQ","BEST_FPERIOD_OVERRIDE=FQ","FILING_STATUS=OR","EQY_CONSOLIDATED=Y","Sort=A","Dates=H","DateFormat=P","Fill=—","Direction=H","UseDPDF=Y")</f>
        <v>#NAME?</v>
      </c>
      <c r="CT455" s="1" t="e">
        <f ca="1">_xll.BDH($C$453,"CUR_RATIO","FQ2 2014","FQ2 2014","Currency=INR","Period=FQ","BEST_FPERIOD_OVERRIDE=FQ","FILING_STATUS=OR","EQY_CONSOLIDATED=Y","Sort=A","Dates=H","DateFormat=P","Fill=—","Direction=H","UseDPDF=Y")</f>
        <v>#NAME?</v>
      </c>
      <c r="CU455" s="1" t="e">
        <f ca="1">_xll.BDH($C$453,"QUICK_RATIO","FQ2 2014","FQ2 2014","Currency=INR","Period=FQ","BEST_FPERIOD_OVERRIDE=FQ","FILING_STATUS=OR","EQY_CONSOLIDATED=Y","Sort=A","Dates=H","DateFormat=P","Fill=—","Direction=H","UseDPDF=Y")</f>
        <v>#NAME?</v>
      </c>
      <c r="CV455" s="1" t="e">
        <f ca="1">_xll.BDH($C$453,"ALTMAN_Z_SCORE","FQ2 2014","FQ2 2014","Currency=INR","Period=FQ","BEST_FPERIOD_OVERRIDE=FQ","FILING_STATUS=OR","EQY_CONSOLIDATED=Y","Sort=A","Dates=H","DateFormat=P","Fill=—","Direction=H","UseDPDF=Y")</f>
        <v>#NAME?</v>
      </c>
      <c r="CW455" s="3" t="e">
        <f ca="1">_xll.BDH($C$453,"ACCT_RCV_TURN","FQ2 2014","FQ2 2014","Currency=INR","Period=FQ","BEST_FPERIOD_OVERRIDE=FQ","FILING_STATUS=OR","EQY_CONSOLIDATED=Y","FA_ADJUSTED=GAAP","Sort=A","Dates=H","DateFormat=P","Fill=—","Direction=H","UseDPDF=Y")</f>
        <v>#NAME?</v>
      </c>
      <c r="CX455" s="1" t="e">
        <f ca="1">_xll.BDH($C$453,"ACCT_RCV_DAYS","FQ2 2014","FQ2 2014","Currency=INR","Period=FQ","BEST_FPERIOD_OVERRIDE=FQ","FILING_STATUS=OR","EQY_CONSOLIDATED=Y","FA_ADJUSTED=GAAP","Sort=A","Dates=H","DateFormat=P","Fill=—","Direction=H","UseDPDF=Y")</f>
        <v>#NAME?</v>
      </c>
      <c r="CY455" s="3" t="e">
        <f ca="1">_xll.BDH($C$453,"INVENT_TURN","FQ2 2014","FQ2 2014","Currency=INR","Period=FQ","BEST_FPERIOD_OVERRIDE=FQ","FILING_STATUS=OR","EQY_CONSOLIDATED=Y","FA_ADJUSTED=GAAP","Sort=A","Dates=H","DateFormat=P","Fill=—","Direction=H","UseDPDF=Y")</f>
        <v>#NAME?</v>
      </c>
      <c r="CZ455" s="1" t="e">
        <f ca="1">_xll.BDH($C$453,"INVENT_DAYS","FQ2 2014","FQ2 2014","Currency=INR","Period=FQ","BEST_FPERIOD_OVERRIDE=FQ","FILING_STATUS=OR","EQY_CONSOLIDATED=Y","FA_ADJUSTED=GAAP","Sort=A","Dates=H","DateFormat=P","Fill=—","Direction=H","UseDPDF=Y")</f>
        <v>#NAME?</v>
      </c>
      <c r="DA455" s="3" t="e">
        <f ca="1">_xll.BDH($C$453,"ACCOUNTS_PAYABLE_TURNOVER","FQ2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55" s="1" t="e">
        <f ca="1">_xll.BDH($C$453,"ACCOUNTS_PAYABLE_TURNOVER_DAYS","FQ2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55" s="3" t="e">
        <f ca="1">_xll.BDH($C$453,"CASH_CONVERSION_CYCLE","FQ2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55" s="3" t="e">
        <f ca="1">_xll.BDH($C$453,"INV_TO_CASH_DAYS","FQ2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455" s="4" t="e">
        <f ca="1">_xll.BDH($C$453,"BS_INVENTORIES","FQ2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455" s="2" t="e">
        <f ca="1">_xll.BDH($C$453,"INVTRY_RAW_MATERIALS","FQ2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55" s="2" t="e">
        <f ca="1">_xll.BDH($C$453,"INVTRY_IN_PROGRESS","FQ2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55" s="2" t="e">
        <f ca="1">_xll.BDH($C$453,"INVTRY_FINISHED_GOODS","FQ2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55" s="2" t="e">
        <f ca="1">_xll.BDH($C$453,"BS_OTHER_INV","FQ2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56" spans="1:113" x14ac:dyDescent="0.3">
      <c r="A456" s="6"/>
      <c r="B456" s="6"/>
      <c r="C456" s="6"/>
      <c r="D456" s="6"/>
      <c r="E456" t="s">
        <v>6</v>
      </c>
      <c r="F456" t="e">
        <f ca="1">_xll.BDH($C$453,"RETURN_COM_EQY","FQ3 2014","FQ3 2014","Currency=INR","Period=FQ","BEST_FPERIOD_OVERRIDE=FQ","FILING_STATUS=OR","EQY_CONSOLIDATED=Y","FA_ADJUSTED=GAAP","Sort=A","Dates=H","DateFormat=P","Fill=—","Direction=H","UseDPDF=Y")</f>
        <v>#NAME?</v>
      </c>
      <c r="G456" t="e">
        <f ca="1">_xll.BDH($C$453,"RETURN_ON_ASSET","FQ3 2014","FQ3 2014","Currency=INR","Period=FQ","BEST_FPERIOD_OVERRIDE=FQ","FILING_STATUS=OR","EQY_CONSOLIDATED=Y","FA_ADJUSTED=GAAP","Sort=A","Dates=H","DateFormat=P","Fill=—","Direction=H","UseDPDF=Y")</f>
        <v>#NAME?</v>
      </c>
      <c r="H456" t="e">
        <f ca="1">_xll.BDH($C$453,"RETURN_ON_CAP","FQ3 2014","FQ3 2014","Currency=INR","Period=FQ","BEST_FPERIOD_OVERRIDE=FQ","FILING_STATUS=OR","EQY_CONSOLIDATED=Y","FA_ADJUSTED=GAAP","Sort=A","Dates=H","DateFormat=P","Fill=—","Direction=H","UseDPDF=Y")</f>
        <v>#NAME?</v>
      </c>
      <c r="I456" t="e">
        <f ca="1">_xll.BDH($C$453,"RETURN_ON_INV_CAPITAL","FQ3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56" t="e">
        <f ca="1">_xll.BDH($C$453,"EBITDA_TO_REVENUE","FQ3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456" t="e">
        <f ca="1">_xll.BDH($C$453,"OPER_MARGIN","FQ3 2014","FQ3 2014","Currency=INR","Period=FQ","BEST_FPERIOD_OVERRIDE=FQ","FILING_STATUS=OR","EQY_CONSOLIDATED=Y","FA_ADJUSTED=GAAP","Sort=A","Dates=H","DateFormat=P","Fill=—","Direction=H","UseDPDF=Y")</f>
        <v>#NAME?</v>
      </c>
      <c r="L456" t="e">
        <f ca="1">_xll.BDH($C$453,"INCREMENTAL_OPERATING_MARGIN","FQ3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56" t="e">
        <f ca="1">_xll.BDH($C$453,"PRETAX_INC_TO_NET_SALES","FQ3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56" t="e">
        <f ca="1">_xll.BDH($C$453,"INC_BEF_XO_ITEMS_TO_NET_SALES","FQ3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56" t="e">
        <f ca="1">_xll.BDH($C$453,"PROF_MARGIN","FQ3 2014","FQ3 2014","Currency=INR","Period=FQ","BEST_FPERIOD_OVERRIDE=FQ","FILING_STATUS=OR","EQY_CONSOLIDATED=Y","FA_ADJUSTED=GAAP","Sort=A","Dates=H","DateFormat=P","Fill=—","Direction=H","UseDPDF=Y")</f>
        <v>#NAME?</v>
      </c>
      <c r="P456" t="e">
        <f ca="1">_xll.BDH($C$453,"NET_INCOME_TO_COMMON_MARGIN","FQ3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56" t="e">
        <f ca="1">_xll.BDH($C$453,"EFF_TAX_RATE","FQ3 2014","FQ3 2014","Currency=INR","Period=FQ","BEST_FPERIOD_OVERRIDE=FQ","FILING_STATUS=OR","EQY_CONSOLIDATED=Y","FA_ADJUSTED=GAAP","Sort=A","Dates=H","DateFormat=P","Fill=—","Direction=H","UseDPDF=Y")</f>
        <v>#NAME?</v>
      </c>
      <c r="R456" t="e">
        <f ca="1">_xll.BDH($C$453,"DVD_PAYOUT_RATIO","FQ3 2014","FQ3 2014","Currency=INR","Period=FQ","BEST_FPERIOD_OVERRIDE=FQ","FILING_STATUS=OR","EQY_CONSOLIDATED=Y","FA_ADJUSTED=GAAP","Sort=A","Dates=H","DateFormat=P","Fill=—","Direction=H","UseDPDF=Y")</f>
        <v>#NAME?</v>
      </c>
      <c r="S456" t="e">
        <f ca="1">_xll.BDH($C$453,"SUSTAIN_GROWTH_RT","FQ3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456" s="1" t="e">
        <f ca="1">_xll.BDH($C$453,"SALES_GROWTH","FQ3 2014","FQ3 2014","Currency=INR","Period=FQ","BEST_FPERIOD_OVERRIDE=FQ","FILING_STATUS=OR","EQY_CONSOLIDATED=Y","FA_ADJUSTED=GAAP","Sort=A","Dates=H","DateFormat=P","Fill=—","Direction=H","UseDPDF=Y")</f>
        <v>#NAME?</v>
      </c>
      <c r="U456" s="1" t="e">
        <f ca="1">_xll.BDH($C$453,"EBITDA_GROWTH","FQ3 2014","FQ3 2014","Currency=INR","Period=FQ","BEST_FPERIOD_OVERRIDE=FQ","FILING_STATUS=OR","EQY_CONSOLIDATED=Y","FA_ADJUSTED=GAAP","Sort=A","Dates=H","DateFormat=P","Fill=—","Direction=H","UseDPDF=Y")</f>
        <v>#NAME?</v>
      </c>
      <c r="V456" s="1" t="e">
        <f ca="1">_xll.BDH($C$453,"OPER_INC_GROWTH","FQ3 2014","FQ3 2014","Currency=INR","Period=FQ","BEST_FPERIOD_OVERRIDE=FQ","FILING_STATUS=OR","EQY_CONSOLIDATED=Y","FA_ADJUSTED=GAAP","Sort=A","Dates=H","DateFormat=P","Fill=—","Direction=H","UseDPDF=Y")</f>
        <v>#NAME?</v>
      </c>
      <c r="W456" s="1" t="e">
        <f ca="1">_xll.BDH($C$453,"EARN_FOR_COM_GROWTH","FQ3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56" s="1" t="e">
        <f ca="1">_xll.BDH($C$453,"DILUTED_EPS_AFT_XO_ITEMS_GROWTH","FQ3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56" s="1" t="e">
        <f ca="1">_xll.BDH($C$453,"DIVIDEND_PER_SHARE_1_YEAR_GROWTH","FQ3 2014","FQ3 2014","Currency=INR","Period=FQ","BEST_FPERIOD_OVERRIDE=FQ","FILING_STATUS=OR","EQY_CONSOLIDATED=Y","Sort=A","Dates=H","DateFormat=P","Fill=—","Direction=H","UseDPDF=Y")</f>
        <v>#NAME?</v>
      </c>
      <c r="Z456" s="1" t="e">
        <f ca="1">_xll.BDH($C$453,"ACCOUNTS_RECEIVABLE_GROWTH","FQ3 2014","FQ3 2014","Currency=INR","Period=FQ","BEST_FPERIOD_OVERRIDE=FQ","FILING_STATUS=OR","EQY_CONSOLIDATED=Y","Sort=A","Dates=H","DateFormat=P","Fill=—","Direction=H","UseDPDF=Y")</f>
        <v>#NAME?</v>
      </c>
      <c r="AA456" s="1" t="e">
        <f ca="1">_xll.BDH($C$453,"INVENTORY_GROWTH","FQ3 2014","FQ3 2014","Currency=INR","Period=FQ","BEST_FPERIOD_OVERRIDE=FQ","FILING_STATUS=OR","EQY_CONSOLIDATED=Y","Sort=A","Dates=H","DateFormat=P","Fill=—","Direction=H","UseDPDF=Y")</f>
        <v>#NAME?</v>
      </c>
      <c r="AB456" s="1" t="e">
        <f ca="1">_xll.BDH($C$453,"NET_FIXED_ASSETS_1_YEAR_GROWTH","FQ3 2014","FQ3 2014","Currency=INR","Period=FQ","BEST_FPERIOD_OVERRIDE=FQ","FILING_STATUS=OR","EQY_CONSOLIDATED=Y","Sort=A","Dates=H","DateFormat=P","Fill=—","Direction=H","UseDPDF=Y")</f>
        <v>#NAME?</v>
      </c>
      <c r="AC456" s="1" t="e">
        <f ca="1">_xll.BDH($C$453,"ASSET_GROWTH","FQ3 2014","FQ3 2014","Currency=INR","Period=FQ","BEST_FPERIOD_OVERRIDE=FQ","FILING_STATUS=OR","EQY_CONSOLIDATED=Y","Sort=A","Dates=H","DateFormat=P","Fill=—","Direction=H","UseDPDF=Y")</f>
        <v>#NAME?</v>
      </c>
      <c r="AD456" s="1" t="e">
        <f ca="1">_xll.BDH($C$453,"MODIFIED_WORK_CAP_GROWTH","FQ3 2014","FQ3 2014","Currency=INR","Period=FQ","BEST_FPERIOD_OVERRIDE=FQ","FILING_STATUS=OR","EQY_CONSOLIDATED=Y","Sort=A","Dates=H","DateFormat=P","Fill=—","Direction=H","UseDPDF=Y")</f>
        <v>#NAME?</v>
      </c>
      <c r="AE456" s="1" t="e">
        <f ca="1">_xll.BDH($C$453,"WORK_CAP_GROWTH","FQ3 2014","FQ3 2014","Currency=INR","Period=FQ","BEST_FPERIOD_OVERRIDE=FQ","FILING_STATUS=OR","EQY_CONSOLIDATED=Y","Sort=A","Dates=H","DateFormat=P","Fill=—","Direction=H","UseDPDF=Y")</f>
        <v>#NAME?</v>
      </c>
      <c r="AF456" s="1" t="e">
        <f ca="1">_xll.BDH($C$453,"ACCOUNTS_PAYABLE_GROWTH_1YR","FQ3 2014","FQ3 2014","Currency=INR","Period=FQ","BEST_FPERIOD_OVERRIDE=FQ","FILING_STATUS=OR","EQY_CONSOLIDATED=Y","Sort=A","Dates=H","DateFormat=P","Fill=—","Direction=H","UseDPDF=Y")</f>
        <v>#NAME?</v>
      </c>
      <c r="AG456" s="1" t="e">
        <f ca="1">_xll.BDH($C$453,"SHORT_TERM_DEBT_1_YEAR_GROWTH","FQ3 2014","FQ3 2014","Currency=INR","Period=FQ","BEST_FPERIOD_OVERRIDE=FQ","FILING_STATUS=OR","EQY_CONSOLIDATED=Y","Sort=A","Dates=H","DateFormat=P","Fill=—","Direction=H","UseDPDF=Y")</f>
        <v>#NAME?</v>
      </c>
      <c r="AH456" s="1" t="e">
        <f ca="1">_xll.BDH($C$453,"TOTAL_DEBT_1_YEAR_GROWTH","FQ3 2014","FQ3 2014","Currency=INR","Period=FQ","BEST_FPERIOD_OVERRIDE=FQ","FILING_STATUS=OR","EQY_CONSOLIDATED=Y","Sort=A","Dates=H","DateFormat=P","Fill=—","Direction=H","UseDPDF=Y")</f>
        <v>#NAME?</v>
      </c>
      <c r="AI456" s="1" t="e">
        <f ca="1">_xll.BDH($C$453,"TOTAL_EQUITY_1_YEAR_GROWTH","FQ3 2014","FQ3 2014","Currency=INR","Period=FQ","BEST_FPERIOD_OVERRIDE=FQ","FILING_STATUS=OR","EQY_CONSOLIDATED=Y","Sort=A","Dates=H","DateFormat=P","Fill=—","Direction=H","UseDPDF=Y")</f>
        <v>#NAME?</v>
      </c>
      <c r="AJ456" s="1" t="e">
        <f ca="1">_xll.BDH($C$453,"GROWTH_IN_CAP","FQ3 2014","FQ3 2014","Currency=INR","Period=FQ","BEST_FPERIOD_OVERRIDE=FQ","FILING_STATUS=OR","EQY_CONSOLIDATED=Y","Sort=A","Dates=H","DateFormat=P","Fill=—","Direction=H","UseDPDF=Y")</f>
        <v>#NAME?</v>
      </c>
      <c r="AK456" s="1" t="e">
        <f ca="1">_xll.BDH($C$453,"BVPS_GROWTH","FQ3 2014","FQ3 2014","Currency=INR","Period=FQ","BEST_FPERIOD_OVERRIDE=FQ","FILING_STATUS=OR","EQY_CONSOLIDATED=Y","Sort=A","Dates=H","DateFormat=P","Fill=—","Direction=H","UseDPDF=Y")</f>
        <v>#NAME?</v>
      </c>
      <c r="AL456" s="1" t="e">
        <f ca="1">_xll.BDH($C$453,"CASH_FLOW_GROWTH","FQ3 2014","FQ3 2014","Currency=INR","Period=FQ","BEST_FPERIOD_OVERRIDE=FQ","FILING_STATUS=OR","EQY_CONSOLIDATED=Y","Sort=A","Dates=H","DateFormat=P","Fill=—","Direction=H","UseDPDF=Y")</f>
        <v>#NAME?</v>
      </c>
      <c r="AM456" s="1" t="e">
        <f ca="1">_xll.BDH($C$453,"GEO_GROW_NET_SALES","FQ3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56" s="1" t="e">
        <f ca="1">_xll.BDH($C$453,"GEO_GROW_EBITDA","FQ3 2014","FQ3 2014","Currency=INR","Period=FQ","BEST_FPERIOD_OVERRIDE=FQ","FILING_STATUS=OR","EQY_CONSOLIDATED=Y","FA_ADJUSTED=GAAP","Sort=A","Dates=H","DateFormat=P","Fill=—","Direction=H","UseDPDF=Y")</f>
        <v>#NAME?</v>
      </c>
      <c r="AO456" s="1" t="e">
        <f ca="1">_xll.BDH($C$453,"GEO_GROW_OPER_INC","FQ3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56" s="1" t="e">
        <f ca="1">_xll.BDH($C$453,"NET_INCOME_TO_COMMON_5_YR_GROWTH","FQ3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56" s="1" t="e">
        <f ca="1">_xll.BDH($C$453,"5Y_GEO_GROWTH_DILUTED_EPS","FQ3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56" s="1" t="e">
        <f ca="1">_xll.BDH($C$453,"GEO_GROW_DVD_PER_SH","FQ3 2014","FQ3 2014","Currency=INR","Period=FQ","BEST_FPERIOD_OVERRIDE=FQ","FILING_STATUS=OR","EQY_CONSOLIDATED=Y","Sort=A","Dates=H","DateFormat=P","Fill=—","Direction=H","UseDPDF=Y")</f>
        <v>#NAME?</v>
      </c>
      <c r="AS456" s="1" t="e">
        <f ca="1">_xll.BDH($C$453,"ACCOUNTS_RECEIVABLE_5_YR_GROWTH","FQ3 2014","FQ3 2014","Currency=INR","Period=FQ","BEST_FPERIOD_OVERRIDE=FQ","FILING_STATUS=OR","EQY_CONSOLIDATED=Y","Sort=A","Dates=H","DateFormat=P","Fill=—","Direction=H","UseDPDF=Y")</f>
        <v>#NAME?</v>
      </c>
      <c r="AT456" s="1" t="e">
        <f ca="1">_xll.BDH($C$453,"INVENTORY_5_YEAR_GROWTH","FQ3 2014","FQ3 2014","Currency=INR","Period=FQ","BEST_FPERIOD_OVERRIDE=FQ","FILING_STATUS=OR","EQY_CONSOLIDATED=Y","Sort=A","Dates=H","DateFormat=P","Fill=—","Direction=H","UseDPDF=Y")</f>
        <v>#NAME?</v>
      </c>
      <c r="AU456" s="1" t="e">
        <f ca="1">_xll.BDH($C$453,"NET_FIXED_ASSETS_5_YEAR_GROWTH","FQ3 2014","FQ3 2014","Currency=INR","Period=FQ","BEST_FPERIOD_OVERRIDE=FQ","FILING_STATUS=OR","EQY_CONSOLIDATED=Y","Sort=A","Dates=H","DateFormat=P","Fill=—","Direction=H","UseDPDF=Y")</f>
        <v>#NAME?</v>
      </c>
      <c r="AV456" s="1" t="e">
        <f ca="1">_xll.BDH($C$453,"GEO_GROW_TOT_ASSET","FQ3 2014","FQ3 2014","Currency=INR","Period=FQ","BEST_FPERIOD_OVERRIDE=FQ","FILING_STATUS=OR","EQY_CONSOLIDATED=Y","Sort=A","Dates=H","DateFormat=P","Fill=—","Direction=H","UseDPDF=Y")</f>
        <v>#NAME?</v>
      </c>
      <c r="AW456" s="1" t="e">
        <f ca="1">_xll.BDH($C$453,"MODIFIED_WORKING_CPTL_5YR_GRWTH","FQ3 2014","FQ3 2014","Currency=INR","Period=FQ","BEST_FPERIOD_OVERRIDE=FQ","FILING_STATUS=OR","EQY_CONSOLIDATED=Y","Sort=A","Dates=H","DateFormat=P","Fill=—","Direction=H","UseDPDF=Y")</f>
        <v>#NAME?</v>
      </c>
      <c r="AX456" s="1" t="e">
        <f ca="1">_xll.BDH($C$453,"WORKING_CAPITAL_5_YEAR_GROWTH","FQ3 2014","FQ3 2014","Currency=INR","Period=FQ","BEST_FPERIOD_OVERRIDE=FQ","FILING_STATUS=OR","EQY_CONSOLIDATED=Y","Sort=A","Dates=H","DateFormat=P","Fill=—","Direction=H","UseDPDF=Y")</f>
        <v>#NAME?</v>
      </c>
      <c r="AY456" s="1" t="e">
        <f ca="1">_xll.BDH($C$453,"ACCOUNTS_PAYABLE_5_YEAR_GROWTH","FQ3 2014","FQ3 2014","Currency=INR","Period=FQ","BEST_FPERIOD_OVERRIDE=FQ","FILING_STATUS=OR","EQY_CONSOLIDATED=Y","Sort=A","Dates=H","DateFormat=P","Fill=—","Direction=H","UseDPDF=Y")</f>
        <v>#NAME?</v>
      </c>
      <c r="AZ456" s="1" t="e">
        <f ca="1">_xll.BDH($C$453,"SHORT_TERM_DEBT_5_YEAR_GROWTH","FQ3 2014","FQ3 2014","Currency=INR","Period=FQ","BEST_FPERIOD_OVERRIDE=FQ","FILING_STATUS=OR","EQY_CONSOLIDATED=Y","Sort=A","Dates=H","DateFormat=P","Fill=—","Direction=H","UseDPDF=Y")</f>
        <v>#NAME?</v>
      </c>
      <c r="BA456" s="1" t="e">
        <f ca="1">_xll.BDH($C$453,"TOTAL_DEBT_5_YEAR_GROWTH","FQ3 2014","FQ3 2014","Currency=INR","Period=FQ","BEST_FPERIOD_OVERRIDE=FQ","FILING_STATUS=OR","EQY_CONSOLIDATED=Y","Sort=A","Dates=H","DateFormat=P","Fill=—","Direction=H","UseDPDF=Y")</f>
        <v>#NAME?</v>
      </c>
      <c r="BB456" s="1" t="e">
        <f ca="1">_xll.BDH($C$453,"GEO_GROW_TOT_SHRHLDR_EQY","FQ3 2014","FQ3 2014","Currency=INR","Period=FQ","BEST_FPERIOD_OVERRIDE=FQ","FILING_STATUS=OR","EQY_CONSOLIDATED=Y","Sort=A","Dates=H","DateFormat=P","Fill=—","Direction=H","UseDPDF=Y")</f>
        <v>#NAME?</v>
      </c>
      <c r="BC456" s="1" t="e">
        <f ca="1">_xll.BDH($C$453,"TOTAL_CAPITAL_5_YEAR_GROWTH","FQ3 2014","FQ3 2014","Currency=INR","Period=FQ","BEST_FPERIOD_OVERRIDE=FQ","FILING_STATUS=OR","EQY_CONSOLIDATED=Y","Sort=A","Dates=H","DateFormat=P","Fill=—","Direction=H","UseDPDF=Y")</f>
        <v>#NAME?</v>
      </c>
      <c r="BD456" s="1" t="e">
        <f ca="1">_xll.BDH($C$453,"GEO_GROW_BOOK_VAL","FQ3 2014","FQ3 2014","Currency=INR","Period=FQ","BEST_FPERIOD_OVERRIDE=FQ","FILING_STATUS=OR","EQY_CONSOLIDATED=Y","Sort=A","Dates=H","DateFormat=P","Fill=—","Direction=H","UseDPDF=Y")</f>
        <v>#NAME?</v>
      </c>
      <c r="BE456" s="1" t="e">
        <f ca="1">_xll.BDH($C$453,"GEO_GROW_CASH_OPER_ACT","FQ3 2014","FQ3 2014","Currency=INR","Period=FQ","BEST_FPERIOD_OVERRIDE=FQ","FILING_STATUS=OR","EQY_CONSOLIDATED=Y","Sort=A","Dates=H","DateFormat=P","Fill=—","Direction=H","UseDPDF=Y")</f>
        <v>#NAME?</v>
      </c>
      <c r="BF456" s="1" t="e">
        <f ca="1">_xll.BDH($C$453,"REVENUE_SEQUENTIAL_GROWTH","FQ3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56" s="1" t="e">
        <f ca="1">_xll.BDH($C$453,"EBITDA_SEQUENTIAL_GROWTH","FQ3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56" s="1" t="e">
        <f ca="1">_xll.BDH($C$453,"OPERATING_INCOME_SEQ_GROWTH","FQ3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56" s="1" t="e">
        <f ca="1">_xll.BDH($C$453,"NET_INCOME_TO_COMMON_SEQ_GROWTH","FQ3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56" s="1" t="e">
        <f ca="1">_xll.BDH($C$453,"EPS_DILUTED_SEQUENTIAL_GROWTH","FQ3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56" s="1" t="e">
        <f ca="1">_xll.BDH($C$453,"DPS_SEQUENTIAL_GROWTH","FQ3 2014","FQ3 2014","Currency=INR","Period=FQ","BEST_FPERIOD_OVERRIDE=FQ","FILING_STATUS=OR","EQY_CONSOLIDATED=Y","Sort=A","Dates=H","DateFormat=P","Fill=—","Direction=H","UseDPDF=Y")</f>
        <v>#NAME?</v>
      </c>
      <c r="BL456" s="1" t="e">
        <f ca="1">_xll.BDH($C$453,"ACCOUNTS_RECEIVABLE_SEQ_GROWTH","FQ3 2014","FQ3 2014","Currency=INR","Period=FQ","BEST_FPERIOD_OVERRIDE=FQ","FILING_STATUS=OR","EQY_CONSOLIDATED=Y","Sort=A","Dates=H","DateFormat=P","Fill=—","Direction=H","UseDPDF=Y")</f>
        <v>#NAME?</v>
      </c>
      <c r="BM456" s="1" t="e">
        <f ca="1">_xll.BDH($C$453,"INVENTORY_SEQUENTIAL_GROWTH","FQ3 2014","FQ3 2014","Currency=INR","Period=FQ","BEST_FPERIOD_OVERRIDE=FQ","FILING_STATUS=OR","EQY_CONSOLIDATED=Y","Sort=A","Dates=H","DateFormat=P","Fill=—","Direction=H","UseDPDF=Y")</f>
        <v>#NAME?</v>
      </c>
      <c r="BN456" s="1" t="e">
        <f ca="1">_xll.BDH($C$453,"FIXED_ASSETS_SEQUENTIAL_GROWTH","FQ3 2014","FQ3 2014","Currency=INR","Period=FQ","BEST_FPERIOD_OVERRIDE=FQ","FILING_STATUS=OR","EQY_CONSOLIDATED=Y","Sort=A","Dates=H","DateFormat=P","Fill=—","Direction=H","UseDPDF=Y")</f>
        <v>#NAME?</v>
      </c>
      <c r="BO456" s="1" t="e">
        <f ca="1">_xll.BDH($C$453,"TOTAL_ASSETS_SEQUENTIAL_GROWTH","FQ3 2014","FQ3 2014","Currency=INR","Period=FQ","BEST_FPERIOD_OVERRIDE=FQ","FILING_STATUS=OR","EQY_CONSOLIDATED=Y","Sort=A","Dates=H","DateFormat=P","Fill=—","Direction=H","UseDPDF=Y")</f>
        <v>#NAME?</v>
      </c>
      <c r="BP456" s="1" t="e">
        <f ca="1">_xll.BDH($C$453,"MODIFIED_WORKING_CPTL_SEQ_GRWTH","FQ3 2014","FQ3 2014","Currency=INR","Period=FQ","BEST_FPERIOD_OVERRIDE=FQ","FILING_STATUS=OR","EQY_CONSOLIDATED=Y","Sort=A","Dates=H","DateFormat=P","Fill=—","Direction=H","UseDPDF=Y")</f>
        <v>#NAME?</v>
      </c>
      <c r="BQ456" s="1" t="e">
        <f ca="1">_xll.BDH($C$453,"WORKING_CAPITAL_SEQ_GROWTH","FQ3 2014","FQ3 2014","Currency=INR","Period=FQ","BEST_FPERIOD_OVERRIDE=FQ","FILING_STATUS=OR","EQY_CONSOLIDATED=Y","Sort=A","Dates=H","DateFormat=P","Fill=—","Direction=H","UseDPDF=Y")</f>
        <v>#NAME?</v>
      </c>
      <c r="BR456" s="1" t="e">
        <f ca="1">_xll.BDH($C$453,"ACCOUNTS_PAYABLE_SEQ_GROWTH","FQ3 2014","FQ3 2014","Currency=INR","Period=FQ","BEST_FPERIOD_OVERRIDE=FQ","FILING_STATUS=OR","EQY_CONSOLIDATED=Y","Sort=A","Dates=H","DateFormat=P","Fill=—","Direction=H","UseDPDF=Y")</f>
        <v>#NAME?</v>
      </c>
      <c r="BS456" s="1" t="e">
        <f ca="1">_xll.BDH($C$453,"ST_DEBT_SEQUENTIAL_GROWTH","FQ3 2014","FQ3 2014","Currency=INR","Period=FQ","BEST_FPERIOD_OVERRIDE=FQ","FILING_STATUS=OR","EQY_CONSOLIDATED=Y","Sort=A","Dates=H","DateFormat=P","Fill=—","Direction=H","UseDPDF=Y")</f>
        <v>#NAME?</v>
      </c>
      <c r="BT456" s="1" t="e">
        <f ca="1">_xll.BDH($C$453,"TOTAL_DEBT_SEQUENTIAL_GROWTH","FQ3 2014","FQ3 2014","Currency=INR","Period=FQ","BEST_FPERIOD_OVERRIDE=FQ","FILING_STATUS=OR","EQY_CONSOLIDATED=Y","Sort=A","Dates=H","DateFormat=P","Fill=—","Direction=H","UseDPDF=Y")</f>
        <v>#NAME?</v>
      </c>
      <c r="BU456" s="1" t="e">
        <f ca="1">_xll.BDH($C$453,"TOTAL_EQUITY_SEQUENTIAL_GROWTH","FQ3 2014","FQ3 2014","Currency=INR","Period=FQ","BEST_FPERIOD_OVERRIDE=FQ","FILING_STATUS=OR","EQY_CONSOLIDATED=Y","Sort=A","Dates=H","DateFormat=P","Fill=—","Direction=H","UseDPDF=Y")</f>
        <v>#NAME?</v>
      </c>
      <c r="BV456" s="1" t="e">
        <f ca="1">_xll.BDH($C$453,"TOTAL_CAPITAL_SEQUENTIAL_GROWTH","FQ3 2014","FQ3 2014","Currency=INR","Period=FQ","BEST_FPERIOD_OVERRIDE=FQ","FILING_STATUS=OR","EQY_CONSOLIDATED=Y","Sort=A","Dates=H","DateFormat=P","Fill=—","Direction=H","UseDPDF=Y")</f>
        <v>#NAME?</v>
      </c>
      <c r="BW456" s="1" t="e">
        <f ca="1">_xll.BDH($C$453,"BPS_SEQUENTIAL_GROWTH","FQ3 2014","FQ3 2014","Currency=INR","Period=FQ","BEST_FPERIOD_OVERRIDE=FQ","FILING_STATUS=OR","EQY_CONSOLIDATED=Y","Sort=A","Dates=H","DateFormat=P","Fill=—","Direction=H","UseDPDF=Y")</f>
        <v>#NAME?</v>
      </c>
      <c r="BX456" s="1" t="e">
        <f ca="1">_xll.BDH($C$453,"CFO_SEQUENTIAL_GROWTH","FQ3 2014","FQ3 2014","Currency=INR","Period=FQ","BEST_FPERIOD_OVERRIDE=FQ","FILING_STATUS=OR","EQY_CONSOLIDATED=Y","Sort=A","Dates=H","DateFormat=P","Fill=—","Direction=H","UseDPDF=Y")</f>
        <v>#NAME?</v>
      </c>
      <c r="BY456" s="2" t="e">
        <f ca="1">_xll.BDH($C$453,"SHORT_AND_LONG_TERM_DEBT","FQ3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56" s="2" t="e">
        <f ca="1">_xll.BDH($C$453,"BS_ST_BORROW","FQ3 2014","FQ3 2014","Currency=INR","Period=FQ","BEST_FPERIOD_OVERRIDE=FQ","FILING_STATUS=OR","EQY_CONSOLIDATED=Y","SCALING_FORMAT=MLN","Sort=A","Dates=H","DateFormat=P","Fill=—","Direction=H","UseDPDF=Y")</f>
        <v>#NAME?</v>
      </c>
      <c r="CA456" s="2" t="e">
        <f ca="1">_xll.BDH($C$453,"BS_LT_BORROW","FQ3 2014","FQ3 2014","Currency=INR","Period=FQ","BEST_FPERIOD_OVERRIDE=FQ","FILING_STATUS=OR","EQY_CONSOLIDATED=Y","SCALING_FORMAT=MLN","Sort=A","Dates=H","DateFormat=P","Fill=—","Direction=H","UseDPDF=Y")</f>
        <v>#NAME?</v>
      </c>
      <c r="CB456" s="1" t="e">
        <f ca="1">_xll.BDH($C$453,"TOT_DEBT_TO_EBITDA","FQ3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56" s="1" t="e">
        <f ca="1">_xll.BDH($C$453,"NET_DEBT_TO_EBITDA","FQ3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56" s="1" t="e">
        <f ca="1">_xll.BDH($C$453,"TOTAL_DEBT_TO_EBIT","FQ3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56" s="1" t="e">
        <f ca="1">_xll.BDH($C$453,"NET_DEBT_TO_EBIT","FQ3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456" s="1" t="e">
        <f ca="1">_xll.BDH($C$453,"EBITDA_TO_INTEREST_EXPN","FQ3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56" s="1" t="e">
        <f ca="1">_xll.BDH($C$453,"COM_EQY_TO_TOT_ASSET","FQ3 2014","FQ3 2014","Currency=INR","Period=FQ","BEST_FPERIOD_OVERRIDE=FQ","FILING_STATUS=OR","EQY_CONSOLIDATED=Y","Sort=A","Dates=H","DateFormat=P","Fill=—","Direction=H","UseDPDF=Y")</f>
        <v>#NAME?</v>
      </c>
      <c r="CH456" s="1" t="e">
        <f ca="1">_xll.BDH($C$453,"LT_DEBT_TO_TOT_EQY","FQ3 2014","FQ3 2014","Currency=INR","Period=FQ","BEST_FPERIOD_OVERRIDE=FQ","FILING_STATUS=OR","EQY_CONSOLIDATED=Y","Sort=A","Dates=H","DateFormat=P","Fill=—","Direction=H","UseDPDF=Y")</f>
        <v>#NAME?</v>
      </c>
      <c r="CI456" s="1" t="e">
        <f ca="1">_xll.BDH($C$453,"LT_DEBT_TO_TOT_CAP","FQ3 2014","FQ3 2014","Currency=INR","Period=FQ","BEST_FPERIOD_OVERRIDE=FQ","FILING_STATUS=OR","EQY_CONSOLIDATED=Y","Sort=A","Dates=H","DateFormat=P","Fill=—","Direction=H","UseDPDF=Y")</f>
        <v>#NAME?</v>
      </c>
      <c r="CJ456" s="1" t="e">
        <f ca="1">_xll.BDH($C$453,"LT_DEBT_TO_TOT_ASSET","FQ3 2014","FQ3 2014","Currency=INR","Period=FQ","BEST_FPERIOD_OVERRIDE=FQ","FILING_STATUS=OR","EQY_CONSOLIDATED=Y","Sort=A","Dates=H","DateFormat=P","Fill=—","Direction=H","UseDPDF=Y")</f>
        <v>#NAME?</v>
      </c>
      <c r="CK456" s="1" t="e">
        <f ca="1">_xll.BDH($C$453,"TOT_DEBT_TO_TOT_EQY","FQ3 2014","FQ3 2014","Currency=INR","Period=FQ","BEST_FPERIOD_OVERRIDE=FQ","FILING_STATUS=OR","EQY_CONSOLIDATED=Y","Sort=A","Dates=H","DateFormat=P","Fill=—","Direction=H","UseDPDF=Y")</f>
        <v>#NAME?</v>
      </c>
      <c r="CL456" s="1" t="e">
        <f ca="1">_xll.BDH($C$453,"TOT_DEBT_TO_TOT_CAP","FQ3 2014","FQ3 2014","Currency=INR","Period=FQ","BEST_FPERIOD_OVERRIDE=FQ","FILING_STATUS=OR","EQY_CONSOLIDATED=Y","Sort=A","Dates=H","DateFormat=P","Fill=—","Direction=H","UseDPDF=Y")</f>
        <v>#NAME?</v>
      </c>
      <c r="CM456" s="1" t="e">
        <f ca="1">_xll.BDH($C$453,"TOT_DEBT_TO_TOT_ASSET","FQ3 2014","FQ3 2014","Currency=INR","Period=FQ","BEST_FPERIOD_OVERRIDE=FQ","FILING_STATUS=OR","EQY_CONSOLIDATED=Y","Sort=A","Dates=H","DateFormat=P","Fill=—","Direction=H","UseDPDF=Y")</f>
        <v>#NAME?</v>
      </c>
      <c r="CN456" s="1" t="e">
        <f ca="1">_xll.BDH($C$453,"NET_DEBT_TO_SHRHLDR_EQTY","FQ3 2014","FQ3 2014","Currency=INR","Period=FQ","BEST_FPERIOD_OVERRIDE=FQ","FILING_STATUS=OR","EQY_CONSOLIDATED=Y","Sort=A","Dates=H","DateFormat=P","Fill=—","Direction=H","UseDPDF=Y")</f>
        <v>#NAME?</v>
      </c>
      <c r="CO456" s="1" t="e">
        <f ca="1">_xll.BDH($C$453,"NET_DEBT_%_CAPITAL","FQ3 2014","FQ3 2014","Currency=INR","Period=FQ","BEST_FPERIOD_OVERRIDE=FQ","FILING_STATUS=OR","EQY_CONSOLIDATED=Y","Sort=A","Dates=H","DateFormat=P","Fill=—","Direction=H","UseDPDF=Y")</f>
        <v>#NAME?</v>
      </c>
      <c r="CP456" s="2" t="e">
        <f ca="1">_xll.BDH($C$453,"EBITDA","FQ3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56" s="2" t="e">
        <f ca="1">_xll.BDH($C$453,"EBITDA_AFTER_CAPEX","FQ3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56" s="2" t="e">
        <f ca="1">_xll.BDH($C$453,"IS_OPER_INC","FQ3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56" s="1" t="e">
        <f ca="1">_xll.BDH($C$453,"CASH_RATIO","FQ3 2014","FQ3 2014","Currency=INR","Period=FQ","BEST_FPERIOD_OVERRIDE=FQ","FILING_STATUS=OR","EQY_CONSOLIDATED=Y","Sort=A","Dates=H","DateFormat=P","Fill=—","Direction=H","UseDPDF=Y")</f>
        <v>#NAME?</v>
      </c>
      <c r="CT456" s="1" t="e">
        <f ca="1">_xll.BDH($C$453,"CUR_RATIO","FQ3 2014","FQ3 2014","Currency=INR","Period=FQ","BEST_FPERIOD_OVERRIDE=FQ","FILING_STATUS=OR","EQY_CONSOLIDATED=Y","Sort=A","Dates=H","DateFormat=P","Fill=—","Direction=H","UseDPDF=Y")</f>
        <v>#NAME?</v>
      </c>
      <c r="CU456" s="1" t="e">
        <f ca="1">_xll.BDH($C$453,"QUICK_RATIO","FQ3 2014","FQ3 2014","Currency=INR","Period=FQ","BEST_FPERIOD_OVERRIDE=FQ","FILING_STATUS=OR","EQY_CONSOLIDATED=Y","Sort=A","Dates=H","DateFormat=P","Fill=—","Direction=H","UseDPDF=Y")</f>
        <v>#NAME?</v>
      </c>
      <c r="CV456" s="1" t="e">
        <f ca="1">_xll.BDH($C$453,"ALTMAN_Z_SCORE","FQ3 2014","FQ3 2014","Currency=INR","Period=FQ","BEST_FPERIOD_OVERRIDE=FQ","FILING_STATUS=OR","EQY_CONSOLIDATED=Y","Sort=A","Dates=H","DateFormat=P","Fill=—","Direction=H","UseDPDF=Y")</f>
        <v>#NAME?</v>
      </c>
      <c r="CW456" s="3" t="e">
        <f ca="1">_xll.BDH($C$453,"ACCT_RCV_TURN","FQ3 2014","FQ3 2014","Currency=INR","Period=FQ","BEST_FPERIOD_OVERRIDE=FQ","FILING_STATUS=OR","EQY_CONSOLIDATED=Y","FA_ADJUSTED=GAAP","Sort=A","Dates=H","DateFormat=P","Fill=—","Direction=H","UseDPDF=Y")</f>
        <v>#NAME?</v>
      </c>
      <c r="CX456" s="1" t="e">
        <f ca="1">_xll.BDH($C$453,"ACCT_RCV_DAYS","FQ3 2014","FQ3 2014","Currency=INR","Period=FQ","BEST_FPERIOD_OVERRIDE=FQ","FILING_STATUS=OR","EQY_CONSOLIDATED=Y","FA_ADJUSTED=GAAP","Sort=A","Dates=H","DateFormat=P","Fill=—","Direction=H","UseDPDF=Y")</f>
        <v>#NAME?</v>
      </c>
      <c r="CY456" s="3" t="e">
        <f ca="1">_xll.BDH($C$453,"INVENT_TURN","FQ3 2014","FQ3 2014","Currency=INR","Period=FQ","BEST_FPERIOD_OVERRIDE=FQ","FILING_STATUS=OR","EQY_CONSOLIDATED=Y","FA_ADJUSTED=GAAP","Sort=A","Dates=H","DateFormat=P","Fill=—","Direction=H","UseDPDF=Y")</f>
        <v>#NAME?</v>
      </c>
      <c r="CZ456" s="1" t="e">
        <f ca="1">_xll.BDH($C$453,"INVENT_DAYS","FQ3 2014","FQ3 2014","Currency=INR","Period=FQ","BEST_FPERIOD_OVERRIDE=FQ","FILING_STATUS=OR","EQY_CONSOLIDATED=Y","FA_ADJUSTED=GAAP","Sort=A","Dates=H","DateFormat=P","Fill=—","Direction=H","UseDPDF=Y")</f>
        <v>#NAME?</v>
      </c>
      <c r="DA456" s="3" t="e">
        <f ca="1">_xll.BDH($C$453,"ACCOUNTS_PAYABLE_TURNOVER","FQ3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56" s="1" t="e">
        <f ca="1">_xll.BDH($C$453,"ACCOUNTS_PAYABLE_TURNOVER_DAYS","FQ3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56" s="3" t="e">
        <f ca="1">_xll.BDH($C$453,"CASH_CONVERSION_CYCLE","FQ3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56" s="3" t="e">
        <f ca="1">_xll.BDH($C$453,"INV_TO_CASH_DAYS","FQ3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456" s="4" t="e">
        <f ca="1">_xll.BDH($C$453,"BS_INVENTORIES","FQ3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456" s="2" t="e">
        <f ca="1">_xll.BDH($C$453,"INVTRY_RAW_MATERIALS","FQ3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56" s="2" t="e">
        <f ca="1">_xll.BDH($C$453,"INVTRY_IN_PROGRESS","FQ3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56" s="2" t="e">
        <f ca="1">_xll.BDH($C$453,"INVTRY_FINISHED_GOODS","FQ3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56" s="2" t="e">
        <f ca="1">_xll.BDH($C$453,"BS_OTHER_INV","FQ3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57" spans="1:113" x14ac:dyDescent="0.3">
      <c r="A457" s="6"/>
      <c r="B457" s="6"/>
      <c r="C457" s="6"/>
      <c r="D457" s="6"/>
      <c r="E457" t="s">
        <v>7</v>
      </c>
      <c r="F457" t="e">
        <f ca="1">_xll.BDH($C$453,"RETURN_COM_EQY","FQ4 2014","FQ4 2014","Currency=INR","Period=FQ","BEST_FPERIOD_OVERRIDE=FQ","FILING_STATUS=OR","EQY_CONSOLIDATED=Y","FA_ADJUSTED=GAAP","Sort=A","Dates=H","DateFormat=P","Fill=—","Direction=H","UseDPDF=Y")</f>
        <v>#NAME?</v>
      </c>
      <c r="G457" t="e">
        <f ca="1">_xll.BDH($C$453,"RETURN_ON_ASSET","FQ4 2014","FQ4 2014","Currency=INR","Period=FQ","BEST_FPERIOD_OVERRIDE=FQ","FILING_STATUS=OR","EQY_CONSOLIDATED=Y","FA_ADJUSTED=GAAP","Sort=A","Dates=H","DateFormat=P","Fill=—","Direction=H","UseDPDF=Y")</f>
        <v>#NAME?</v>
      </c>
      <c r="H457" t="e">
        <f ca="1">_xll.BDH($C$453,"RETURN_ON_CAP","FQ4 2014","FQ4 2014","Currency=INR","Period=FQ","BEST_FPERIOD_OVERRIDE=FQ","FILING_STATUS=OR","EQY_CONSOLIDATED=Y","FA_ADJUSTED=GAAP","Sort=A","Dates=H","DateFormat=P","Fill=—","Direction=H","UseDPDF=Y")</f>
        <v>#NAME?</v>
      </c>
      <c r="I457" t="e">
        <f ca="1">_xll.BDH($C$453,"RETURN_ON_INV_CAPITAL","FQ4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57" t="e">
        <f ca="1">_xll.BDH($C$453,"EBITDA_TO_REVENUE","FQ4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457" t="e">
        <f ca="1">_xll.BDH($C$453,"OPER_MARGIN","FQ4 2014","FQ4 2014","Currency=INR","Period=FQ","BEST_FPERIOD_OVERRIDE=FQ","FILING_STATUS=OR","EQY_CONSOLIDATED=Y","FA_ADJUSTED=GAAP","Sort=A","Dates=H","DateFormat=P","Fill=—","Direction=H","UseDPDF=Y")</f>
        <v>#NAME?</v>
      </c>
      <c r="L457" t="e">
        <f ca="1">_xll.BDH($C$453,"INCREMENTAL_OPERATING_MARGIN","FQ4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57" t="e">
        <f ca="1">_xll.BDH($C$453,"PRETAX_INC_TO_NET_SALES","FQ4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57" t="e">
        <f ca="1">_xll.BDH($C$453,"INC_BEF_XO_ITEMS_TO_NET_SALES","FQ4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57" t="e">
        <f ca="1">_xll.BDH($C$453,"PROF_MARGIN","FQ4 2014","FQ4 2014","Currency=INR","Period=FQ","BEST_FPERIOD_OVERRIDE=FQ","FILING_STATUS=OR","EQY_CONSOLIDATED=Y","FA_ADJUSTED=GAAP","Sort=A","Dates=H","DateFormat=P","Fill=—","Direction=H","UseDPDF=Y")</f>
        <v>#NAME?</v>
      </c>
      <c r="P457" t="e">
        <f ca="1">_xll.BDH($C$453,"NET_INCOME_TO_COMMON_MARGIN","FQ4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57" t="e">
        <f ca="1">_xll.BDH($C$453,"EFF_TAX_RATE","FQ4 2014","FQ4 2014","Currency=INR","Period=FQ","BEST_FPERIOD_OVERRIDE=FQ","FILING_STATUS=OR","EQY_CONSOLIDATED=Y","FA_ADJUSTED=GAAP","Sort=A","Dates=H","DateFormat=P","Fill=—","Direction=H","UseDPDF=Y")</f>
        <v>#NAME?</v>
      </c>
      <c r="R457" t="e">
        <f ca="1">_xll.BDH($C$453,"DVD_PAYOUT_RATIO","FQ4 2014","FQ4 2014","Currency=INR","Period=FQ","BEST_FPERIOD_OVERRIDE=FQ","FILING_STATUS=OR","EQY_CONSOLIDATED=Y","FA_ADJUSTED=GAAP","Sort=A","Dates=H","DateFormat=P","Fill=—","Direction=H","UseDPDF=Y")</f>
        <v>#NAME?</v>
      </c>
      <c r="S457" t="e">
        <f ca="1">_xll.BDH($C$453,"SUSTAIN_GROWTH_RT","FQ4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457" s="1" t="e">
        <f ca="1">_xll.BDH($C$453,"SALES_GROWTH","FQ4 2014","FQ4 2014","Currency=INR","Period=FQ","BEST_FPERIOD_OVERRIDE=FQ","FILING_STATUS=OR","EQY_CONSOLIDATED=Y","FA_ADJUSTED=GAAP","Sort=A","Dates=H","DateFormat=P","Fill=—","Direction=H","UseDPDF=Y")</f>
        <v>#NAME?</v>
      </c>
      <c r="U457" s="1" t="e">
        <f ca="1">_xll.BDH($C$453,"EBITDA_GROWTH","FQ4 2014","FQ4 2014","Currency=INR","Period=FQ","BEST_FPERIOD_OVERRIDE=FQ","FILING_STATUS=OR","EQY_CONSOLIDATED=Y","FA_ADJUSTED=GAAP","Sort=A","Dates=H","DateFormat=P","Fill=—","Direction=H","UseDPDF=Y")</f>
        <v>#NAME?</v>
      </c>
      <c r="V457" s="1" t="e">
        <f ca="1">_xll.BDH($C$453,"OPER_INC_GROWTH","FQ4 2014","FQ4 2014","Currency=INR","Period=FQ","BEST_FPERIOD_OVERRIDE=FQ","FILING_STATUS=OR","EQY_CONSOLIDATED=Y","FA_ADJUSTED=GAAP","Sort=A","Dates=H","DateFormat=P","Fill=—","Direction=H","UseDPDF=Y")</f>
        <v>#NAME?</v>
      </c>
      <c r="W457" s="1" t="e">
        <f ca="1">_xll.BDH($C$453,"EARN_FOR_COM_GROWTH","FQ4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57" s="1" t="e">
        <f ca="1">_xll.BDH($C$453,"DILUTED_EPS_AFT_XO_ITEMS_GROWTH","FQ4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57" s="1" t="e">
        <f ca="1">_xll.BDH($C$453,"DIVIDEND_PER_SHARE_1_YEAR_GROWTH","FQ4 2014","FQ4 2014","Currency=INR","Period=FQ","BEST_FPERIOD_OVERRIDE=FQ","FILING_STATUS=OR","EQY_CONSOLIDATED=Y","Sort=A","Dates=H","DateFormat=P","Fill=—","Direction=H","UseDPDF=Y")</f>
        <v>#NAME?</v>
      </c>
      <c r="Z457" s="1" t="e">
        <f ca="1">_xll.BDH($C$453,"ACCOUNTS_RECEIVABLE_GROWTH","FQ4 2014","FQ4 2014","Currency=INR","Period=FQ","BEST_FPERIOD_OVERRIDE=FQ","FILING_STATUS=OR","EQY_CONSOLIDATED=Y","Sort=A","Dates=H","DateFormat=P","Fill=—","Direction=H","UseDPDF=Y")</f>
        <v>#NAME?</v>
      </c>
      <c r="AA457" s="1" t="e">
        <f ca="1">_xll.BDH($C$453,"INVENTORY_GROWTH","FQ4 2014","FQ4 2014","Currency=INR","Period=FQ","BEST_FPERIOD_OVERRIDE=FQ","FILING_STATUS=OR","EQY_CONSOLIDATED=Y","Sort=A","Dates=H","DateFormat=P","Fill=—","Direction=H","UseDPDF=Y")</f>
        <v>#NAME?</v>
      </c>
      <c r="AB457" s="1" t="e">
        <f ca="1">_xll.BDH($C$453,"NET_FIXED_ASSETS_1_YEAR_GROWTH","FQ4 2014","FQ4 2014","Currency=INR","Period=FQ","BEST_FPERIOD_OVERRIDE=FQ","FILING_STATUS=OR","EQY_CONSOLIDATED=Y","Sort=A","Dates=H","DateFormat=P","Fill=—","Direction=H","UseDPDF=Y")</f>
        <v>#NAME?</v>
      </c>
      <c r="AC457" s="1" t="e">
        <f ca="1">_xll.BDH($C$453,"ASSET_GROWTH","FQ4 2014","FQ4 2014","Currency=INR","Period=FQ","BEST_FPERIOD_OVERRIDE=FQ","FILING_STATUS=OR","EQY_CONSOLIDATED=Y","Sort=A","Dates=H","DateFormat=P","Fill=—","Direction=H","UseDPDF=Y")</f>
        <v>#NAME?</v>
      </c>
      <c r="AD457" s="1" t="e">
        <f ca="1">_xll.BDH($C$453,"MODIFIED_WORK_CAP_GROWTH","FQ4 2014","FQ4 2014","Currency=INR","Period=FQ","BEST_FPERIOD_OVERRIDE=FQ","FILING_STATUS=OR","EQY_CONSOLIDATED=Y","Sort=A","Dates=H","DateFormat=P","Fill=—","Direction=H","UseDPDF=Y")</f>
        <v>#NAME?</v>
      </c>
      <c r="AE457" s="1" t="e">
        <f ca="1">_xll.BDH($C$453,"WORK_CAP_GROWTH","FQ4 2014","FQ4 2014","Currency=INR","Period=FQ","BEST_FPERIOD_OVERRIDE=FQ","FILING_STATUS=OR","EQY_CONSOLIDATED=Y","Sort=A","Dates=H","DateFormat=P","Fill=—","Direction=H","UseDPDF=Y")</f>
        <v>#NAME?</v>
      </c>
      <c r="AF457" s="1" t="e">
        <f ca="1">_xll.BDH($C$453,"ACCOUNTS_PAYABLE_GROWTH_1YR","FQ4 2014","FQ4 2014","Currency=INR","Period=FQ","BEST_FPERIOD_OVERRIDE=FQ","FILING_STATUS=OR","EQY_CONSOLIDATED=Y","Sort=A","Dates=H","DateFormat=P","Fill=—","Direction=H","UseDPDF=Y")</f>
        <v>#NAME?</v>
      </c>
      <c r="AG457" s="1" t="e">
        <f ca="1">_xll.BDH($C$453,"SHORT_TERM_DEBT_1_YEAR_GROWTH","FQ4 2014","FQ4 2014","Currency=INR","Period=FQ","BEST_FPERIOD_OVERRIDE=FQ","FILING_STATUS=OR","EQY_CONSOLIDATED=Y","Sort=A","Dates=H","DateFormat=P","Fill=—","Direction=H","UseDPDF=Y")</f>
        <v>#NAME?</v>
      </c>
      <c r="AH457" s="1" t="e">
        <f ca="1">_xll.BDH($C$453,"TOTAL_DEBT_1_YEAR_GROWTH","FQ4 2014","FQ4 2014","Currency=INR","Period=FQ","BEST_FPERIOD_OVERRIDE=FQ","FILING_STATUS=OR","EQY_CONSOLIDATED=Y","Sort=A","Dates=H","DateFormat=P","Fill=—","Direction=H","UseDPDF=Y")</f>
        <v>#NAME?</v>
      </c>
      <c r="AI457" s="1" t="e">
        <f ca="1">_xll.BDH($C$453,"TOTAL_EQUITY_1_YEAR_GROWTH","FQ4 2014","FQ4 2014","Currency=INR","Period=FQ","BEST_FPERIOD_OVERRIDE=FQ","FILING_STATUS=OR","EQY_CONSOLIDATED=Y","Sort=A","Dates=H","DateFormat=P","Fill=—","Direction=H","UseDPDF=Y")</f>
        <v>#NAME?</v>
      </c>
      <c r="AJ457" s="1" t="e">
        <f ca="1">_xll.BDH($C$453,"GROWTH_IN_CAP","FQ4 2014","FQ4 2014","Currency=INR","Period=FQ","BEST_FPERIOD_OVERRIDE=FQ","FILING_STATUS=OR","EQY_CONSOLIDATED=Y","Sort=A","Dates=H","DateFormat=P","Fill=—","Direction=H","UseDPDF=Y")</f>
        <v>#NAME?</v>
      </c>
      <c r="AK457" s="1" t="e">
        <f ca="1">_xll.BDH($C$453,"BVPS_GROWTH","FQ4 2014","FQ4 2014","Currency=INR","Period=FQ","BEST_FPERIOD_OVERRIDE=FQ","FILING_STATUS=OR","EQY_CONSOLIDATED=Y","Sort=A","Dates=H","DateFormat=P","Fill=—","Direction=H","UseDPDF=Y")</f>
        <v>#NAME?</v>
      </c>
      <c r="AL457" s="1" t="e">
        <f ca="1">_xll.BDH($C$453,"CASH_FLOW_GROWTH","FQ4 2014","FQ4 2014","Currency=INR","Period=FQ","BEST_FPERIOD_OVERRIDE=FQ","FILING_STATUS=OR","EQY_CONSOLIDATED=Y","Sort=A","Dates=H","DateFormat=P","Fill=—","Direction=H","UseDPDF=Y")</f>
        <v>#NAME?</v>
      </c>
      <c r="AM457" s="1" t="e">
        <f ca="1">_xll.BDH($C$453,"GEO_GROW_NET_SALES","FQ4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57" s="1" t="e">
        <f ca="1">_xll.BDH($C$453,"GEO_GROW_EBITDA","FQ4 2014","FQ4 2014","Currency=INR","Period=FQ","BEST_FPERIOD_OVERRIDE=FQ","FILING_STATUS=OR","EQY_CONSOLIDATED=Y","FA_ADJUSTED=GAAP","Sort=A","Dates=H","DateFormat=P","Fill=—","Direction=H","UseDPDF=Y")</f>
        <v>#NAME?</v>
      </c>
      <c r="AO457" s="1" t="e">
        <f ca="1">_xll.BDH($C$453,"GEO_GROW_OPER_INC","FQ4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57" s="1" t="e">
        <f ca="1">_xll.BDH($C$453,"NET_INCOME_TO_COMMON_5_YR_GROWTH","FQ4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57" s="1" t="e">
        <f ca="1">_xll.BDH($C$453,"5Y_GEO_GROWTH_DILUTED_EPS","FQ4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57" s="1" t="e">
        <f ca="1">_xll.BDH($C$453,"GEO_GROW_DVD_PER_SH","FQ4 2014","FQ4 2014","Currency=INR","Period=FQ","BEST_FPERIOD_OVERRIDE=FQ","FILING_STATUS=OR","EQY_CONSOLIDATED=Y","Sort=A","Dates=H","DateFormat=P","Fill=—","Direction=H","UseDPDF=Y")</f>
        <v>#NAME?</v>
      </c>
      <c r="AS457" s="1" t="e">
        <f ca="1">_xll.BDH($C$453,"ACCOUNTS_RECEIVABLE_5_YR_GROWTH","FQ4 2014","FQ4 2014","Currency=INR","Period=FQ","BEST_FPERIOD_OVERRIDE=FQ","FILING_STATUS=OR","EQY_CONSOLIDATED=Y","Sort=A","Dates=H","DateFormat=P","Fill=—","Direction=H","UseDPDF=Y")</f>
        <v>#NAME?</v>
      </c>
      <c r="AT457" s="1" t="e">
        <f ca="1">_xll.BDH($C$453,"INVENTORY_5_YEAR_GROWTH","FQ4 2014","FQ4 2014","Currency=INR","Period=FQ","BEST_FPERIOD_OVERRIDE=FQ","FILING_STATUS=OR","EQY_CONSOLIDATED=Y","Sort=A","Dates=H","DateFormat=P","Fill=—","Direction=H","UseDPDF=Y")</f>
        <v>#NAME?</v>
      </c>
      <c r="AU457" s="1" t="e">
        <f ca="1">_xll.BDH($C$453,"NET_FIXED_ASSETS_5_YEAR_GROWTH","FQ4 2014","FQ4 2014","Currency=INR","Period=FQ","BEST_FPERIOD_OVERRIDE=FQ","FILING_STATUS=OR","EQY_CONSOLIDATED=Y","Sort=A","Dates=H","DateFormat=P","Fill=—","Direction=H","UseDPDF=Y")</f>
        <v>#NAME?</v>
      </c>
      <c r="AV457" s="1" t="e">
        <f ca="1">_xll.BDH($C$453,"GEO_GROW_TOT_ASSET","FQ4 2014","FQ4 2014","Currency=INR","Period=FQ","BEST_FPERIOD_OVERRIDE=FQ","FILING_STATUS=OR","EQY_CONSOLIDATED=Y","Sort=A","Dates=H","DateFormat=P","Fill=—","Direction=H","UseDPDF=Y")</f>
        <v>#NAME?</v>
      </c>
      <c r="AW457" s="1" t="e">
        <f ca="1">_xll.BDH($C$453,"MODIFIED_WORKING_CPTL_5YR_GRWTH","FQ4 2014","FQ4 2014","Currency=INR","Period=FQ","BEST_FPERIOD_OVERRIDE=FQ","FILING_STATUS=OR","EQY_CONSOLIDATED=Y","Sort=A","Dates=H","DateFormat=P","Fill=—","Direction=H","UseDPDF=Y")</f>
        <v>#NAME?</v>
      </c>
      <c r="AX457" s="1" t="e">
        <f ca="1">_xll.BDH($C$453,"WORKING_CAPITAL_5_YEAR_GROWTH","FQ4 2014","FQ4 2014","Currency=INR","Period=FQ","BEST_FPERIOD_OVERRIDE=FQ","FILING_STATUS=OR","EQY_CONSOLIDATED=Y","Sort=A","Dates=H","DateFormat=P","Fill=—","Direction=H","UseDPDF=Y")</f>
        <v>#NAME?</v>
      </c>
      <c r="AY457" s="1" t="e">
        <f ca="1">_xll.BDH($C$453,"ACCOUNTS_PAYABLE_5_YEAR_GROWTH","FQ4 2014","FQ4 2014","Currency=INR","Period=FQ","BEST_FPERIOD_OVERRIDE=FQ","FILING_STATUS=OR","EQY_CONSOLIDATED=Y","Sort=A","Dates=H","DateFormat=P","Fill=—","Direction=H","UseDPDF=Y")</f>
        <v>#NAME?</v>
      </c>
      <c r="AZ457" s="1" t="e">
        <f ca="1">_xll.BDH($C$453,"SHORT_TERM_DEBT_5_YEAR_GROWTH","FQ4 2014","FQ4 2014","Currency=INR","Period=FQ","BEST_FPERIOD_OVERRIDE=FQ","FILING_STATUS=OR","EQY_CONSOLIDATED=Y","Sort=A","Dates=H","DateFormat=P","Fill=—","Direction=H","UseDPDF=Y")</f>
        <v>#NAME?</v>
      </c>
      <c r="BA457" s="1" t="e">
        <f ca="1">_xll.BDH($C$453,"TOTAL_DEBT_5_YEAR_GROWTH","FQ4 2014","FQ4 2014","Currency=INR","Period=FQ","BEST_FPERIOD_OVERRIDE=FQ","FILING_STATUS=OR","EQY_CONSOLIDATED=Y","Sort=A","Dates=H","DateFormat=P","Fill=—","Direction=H","UseDPDF=Y")</f>
        <v>#NAME?</v>
      </c>
      <c r="BB457" s="1" t="e">
        <f ca="1">_xll.BDH($C$453,"GEO_GROW_TOT_SHRHLDR_EQY","FQ4 2014","FQ4 2014","Currency=INR","Period=FQ","BEST_FPERIOD_OVERRIDE=FQ","FILING_STATUS=OR","EQY_CONSOLIDATED=Y","Sort=A","Dates=H","DateFormat=P","Fill=—","Direction=H","UseDPDF=Y")</f>
        <v>#NAME?</v>
      </c>
      <c r="BC457" s="1" t="e">
        <f ca="1">_xll.BDH($C$453,"TOTAL_CAPITAL_5_YEAR_GROWTH","FQ4 2014","FQ4 2014","Currency=INR","Period=FQ","BEST_FPERIOD_OVERRIDE=FQ","FILING_STATUS=OR","EQY_CONSOLIDATED=Y","Sort=A","Dates=H","DateFormat=P","Fill=—","Direction=H","UseDPDF=Y")</f>
        <v>#NAME?</v>
      </c>
      <c r="BD457" s="1" t="e">
        <f ca="1">_xll.BDH($C$453,"GEO_GROW_BOOK_VAL","FQ4 2014","FQ4 2014","Currency=INR","Period=FQ","BEST_FPERIOD_OVERRIDE=FQ","FILING_STATUS=OR","EQY_CONSOLIDATED=Y","Sort=A","Dates=H","DateFormat=P","Fill=—","Direction=H","UseDPDF=Y")</f>
        <v>#NAME?</v>
      </c>
      <c r="BE457" s="1" t="e">
        <f ca="1">_xll.BDH($C$453,"GEO_GROW_CASH_OPER_ACT","FQ4 2014","FQ4 2014","Currency=INR","Period=FQ","BEST_FPERIOD_OVERRIDE=FQ","FILING_STATUS=OR","EQY_CONSOLIDATED=Y","Sort=A","Dates=H","DateFormat=P","Fill=—","Direction=H","UseDPDF=Y")</f>
        <v>#NAME?</v>
      </c>
      <c r="BF457" s="1" t="e">
        <f ca="1">_xll.BDH($C$453,"REVENUE_SEQUENTIAL_GROWTH","FQ4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57" s="1" t="e">
        <f ca="1">_xll.BDH($C$453,"EBITDA_SEQUENTIAL_GROWTH","FQ4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57" s="1" t="e">
        <f ca="1">_xll.BDH($C$453,"OPERATING_INCOME_SEQ_GROWTH","FQ4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57" s="1" t="e">
        <f ca="1">_xll.BDH($C$453,"NET_INCOME_TO_COMMON_SEQ_GROWTH","FQ4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57" s="1" t="e">
        <f ca="1">_xll.BDH($C$453,"EPS_DILUTED_SEQUENTIAL_GROWTH","FQ4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57" s="1" t="e">
        <f ca="1">_xll.BDH($C$453,"DPS_SEQUENTIAL_GROWTH","FQ4 2014","FQ4 2014","Currency=INR","Period=FQ","BEST_FPERIOD_OVERRIDE=FQ","FILING_STATUS=OR","EQY_CONSOLIDATED=Y","Sort=A","Dates=H","DateFormat=P","Fill=—","Direction=H","UseDPDF=Y")</f>
        <v>#NAME?</v>
      </c>
      <c r="BL457" s="1" t="e">
        <f ca="1">_xll.BDH($C$453,"ACCOUNTS_RECEIVABLE_SEQ_GROWTH","FQ4 2014","FQ4 2014","Currency=INR","Period=FQ","BEST_FPERIOD_OVERRIDE=FQ","FILING_STATUS=OR","EQY_CONSOLIDATED=Y","Sort=A","Dates=H","DateFormat=P","Fill=—","Direction=H","UseDPDF=Y")</f>
        <v>#NAME?</v>
      </c>
      <c r="BM457" s="1" t="e">
        <f ca="1">_xll.BDH($C$453,"INVENTORY_SEQUENTIAL_GROWTH","FQ4 2014","FQ4 2014","Currency=INR","Period=FQ","BEST_FPERIOD_OVERRIDE=FQ","FILING_STATUS=OR","EQY_CONSOLIDATED=Y","Sort=A","Dates=H","DateFormat=P","Fill=—","Direction=H","UseDPDF=Y")</f>
        <v>#NAME?</v>
      </c>
      <c r="BN457" s="1" t="e">
        <f ca="1">_xll.BDH($C$453,"FIXED_ASSETS_SEQUENTIAL_GROWTH","FQ4 2014","FQ4 2014","Currency=INR","Period=FQ","BEST_FPERIOD_OVERRIDE=FQ","FILING_STATUS=OR","EQY_CONSOLIDATED=Y","Sort=A","Dates=H","DateFormat=P","Fill=—","Direction=H","UseDPDF=Y")</f>
        <v>#NAME?</v>
      </c>
      <c r="BO457" s="1" t="e">
        <f ca="1">_xll.BDH($C$453,"TOTAL_ASSETS_SEQUENTIAL_GROWTH","FQ4 2014","FQ4 2014","Currency=INR","Period=FQ","BEST_FPERIOD_OVERRIDE=FQ","FILING_STATUS=OR","EQY_CONSOLIDATED=Y","Sort=A","Dates=H","DateFormat=P","Fill=—","Direction=H","UseDPDF=Y")</f>
        <v>#NAME?</v>
      </c>
      <c r="BP457" s="1" t="e">
        <f ca="1">_xll.BDH($C$453,"MODIFIED_WORKING_CPTL_SEQ_GRWTH","FQ4 2014","FQ4 2014","Currency=INR","Period=FQ","BEST_FPERIOD_OVERRIDE=FQ","FILING_STATUS=OR","EQY_CONSOLIDATED=Y","Sort=A","Dates=H","DateFormat=P","Fill=—","Direction=H","UseDPDF=Y")</f>
        <v>#NAME?</v>
      </c>
      <c r="BQ457" s="1" t="e">
        <f ca="1">_xll.BDH($C$453,"WORKING_CAPITAL_SEQ_GROWTH","FQ4 2014","FQ4 2014","Currency=INR","Period=FQ","BEST_FPERIOD_OVERRIDE=FQ","FILING_STATUS=OR","EQY_CONSOLIDATED=Y","Sort=A","Dates=H","DateFormat=P","Fill=—","Direction=H","UseDPDF=Y")</f>
        <v>#NAME?</v>
      </c>
      <c r="BR457" s="1" t="e">
        <f ca="1">_xll.BDH($C$453,"ACCOUNTS_PAYABLE_SEQ_GROWTH","FQ4 2014","FQ4 2014","Currency=INR","Period=FQ","BEST_FPERIOD_OVERRIDE=FQ","FILING_STATUS=OR","EQY_CONSOLIDATED=Y","Sort=A","Dates=H","DateFormat=P","Fill=—","Direction=H","UseDPDF=Y")</f>
        <v>#NAME?</v>
      </c>
      <c r="BS457" s="1" t="e">
        <f ca="1">_xll.BDH($C$453,"ST_DEBT_SEQUENTIAL_GROWTH","FQ4 2014","FQ4 2014","Currency=INR","Period=FQ","BEST_FPERIOD_OVERRIDE=FQ","FILING_STATUS=OR","EQY_CONSOLIDATED=Y","Sort=A","Dates=H","DateFormat=P","Fill=—","Direction=H","UseDPDF=Y")</f>
        <v>#NAME?</v>
      </c>
      <c r="BT457" s="1" t="e">
        <f ca="1">_xll.BDH($C$453,"TOTAL_DEBT_SEQUENTIAL_GROWTH","FQ4 2014","FQ4 2014","Currency=INR","Period=FQ","BEST_FPERIOD_OVERRIDE=FQ","FILING_STATUS=OR","EQY_CONSOLIDATED=Y","Sort=A","Dates=H","DateFormat=P","Fill=—","Direction=H","UseDPDF=Y")</f>
        <v>#NAME?</v>
      </c>
      <c r="BU457" s="1" t="e">
        <f ca="1">_xll.BDH($C$453,"TOTAL_EQUITY_SEQUENTIAL_GROWTH","FQ4 2014","FQ4 2014","Currency=INR","Period=FQ","BEST_FPERIOD_OVERRIDE=FQ","FILING_STATUS=OR","EQY_CONSOLIDATED=Y","Sort=A","Dates=H","DateFormat=P","Fill=—","Direction=H","UseDPDF=Y")</f>
        <v>#NAME?</v>
      </c>
      <c r="BV457" s="1" t="e">
        <f ca="1">_xll.BDH($C$453,"TOTAL_CAPITAL_SEQUENTIAL_GROWTH","FQ4 2014","FQ4 2014","Currency=INR","Period=FQ","BEST_FPERIOD_OVERRIDE=FQ","FILING_STATUS=OR","EQY_CONSOLIDATED=Y","Sort=A","Dates=H","DateFormat=P","Fill=—","Direction=H","UseDPDF=Y")</f>
        <v>#NAME?</v>
      </c>
      <c r="BW457" s="1" t="e">
        <f ca="1">_xll.BDH($C$453,"BPS_SEQUENTIAL_GROWTH","FQ4 2014","FQ4 2014","Currency=INR","Period=FQ","BEST_FPERIOD_OVERRIDE=FQ","FILING_STATUS=OR","EQY_CONSOLIDATED=Y","Sort=A","Dates=H","DateFormat=P","Fill=—","Direction=H","UseDPDF=Y")</f>
        <v>#NAME?</v>
      </c>
      <c r="BX457" s="1" t="e">
        <f ca="1">_xll.BDH($C$453,"CFO_SEQUENTIAL_GROWTH","FQ4 2014","FQ4 2014","Currency=INR","Period=FQ","BEST_FPERIOD_OVERRIDE=FQ","FILING_STATUS=OR","EQY_CONSOLIDATED=Y","Sort=A","Dates=H","DateFormat=P","Fill=—","Direction=H","UseDPDF=Y")</f>
        <v>#NAME?</v>
      </c>
      <c r="BY457" s="2" t="e">
        <f ca="1">_xll.BDH($C$453,"SHORT_AND_LONG_TERM_DEBT","FQ4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57" s="2" t="e">
        <f ca="1">_xll.BDH($C$453,"BS_ST_BORROW","FQ4 2014","FQ4 2014","Currency=INR","Period=FQ","BEST_FPERIOD_OVERRIDE=FQ","FILING_STATUS=OR","EQY_CONSOLIDATED=Y","SCALING_FORMAT=MLN","Sort=A","Dates=H","DateFormat=P","Fill=—","Direction=H","UseDPDF=Y")</f>
        <v>#NAME?</v>
      </c>
      <c r="CA457" s="2" t="e">
        <f ca="1">_xll.BDH($C$453,"BS_LT_BORROW","FQ4 2014","FQ4 2014","Currency=INR","Period=FQ","BEST_FPERIOD_OVERRIDE=FQ","FILING_STATUS=OR","EQY_CONSOLIDATED=Y","SCALING_FORMAT=MLN","Sort=A","Dates=H","DateFormat=P","Fill=—","Direction=H","UseDPDF=Y")</f>
        <v>#NAME?</v>
      </c>
      <c r="CB457" s="1" t="e">
        <f ca="1">_xll.BDH($C$453,"TOT_DEBT_TO_EBITDA","FQ4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57" s="1" t="e">
        <f ca="1">_xll.BDH($C$453,"NET_DEBT_TO_EBITDA","FQ4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57" s="1" t="e">
        <f ca="1">_xll.BDH($C$453,"TOTAL_DEBT_TO_EBIT","FQ4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57" s="1" t="e">
        <f ca="1">_xll.BDH($C$453,"NET_DEBT_TO_EBIT","FQ4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457" s="1" t="e">
        <f ca="1">_xll.BDH($C$453,"EBITDA_TO_INTEREST_EXPN","FQ4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57" s="1" t="e">
        <f ca="1">_xll.BDH($C$453,"COM_EQY_TO_TOT_ASSET","FQ4 2014","FQ4 2014","Currency=INR","Period=FQ","BEST_FPERIOD_OVERRIDE=FQ","FILING_STATUS=OR","EQY_CONSOLIDATED=Y","Sort=A","Dates=H","DateFormat=P","Fill=—","Direction=H","UseDPDF=Y")</f>
        <v>#NAME?</v>
      </c>
      <c r="CH457" s="1" t="e">
        <f ca="1">_xll.BDH($C$453,"LT_DEBT_TO_TOT_EQY","FQ4 2014","FQ4 2014","Currency=INR","Period=FQ","BEST_FPERIOD_OVERRIDE=FQ","FILING_STATUS=OR","EQY_CONSOLIDATED=Y","Sort=A","Dates=H","DateFormat=P","Fill=—","Direction=H","UseDPDF=Y")</f>
        <v>#NAME?</v>
      </c>
      <c r="CI457" s="1" t="e">
        <f ca="1">_xll.BDH($C$453,"LT_DEBT_TO_TOT_CAP","FQ4 2014","FQ4 2014","Currency=INR","Period=FQ","BEST_FPERIOD_OVERRIDE=FQ","FILING_STATUS=OR","EQY_CONSOLIDATED=Y","Sort=A","Dates=H","DateFormat=P","Fill=—","Direction=H","UseDPDF=Y")</f>
        <v>#NAME?</v>
      </c>
      <c r="CJ457" s="1" t="e">
        <f ca="1">_xll.BDH($C$453,"LT_DEBT_TO_TOT_ASSET","FQ4 2014","FQ4 2014","Currency=INR","Period=FQ","BEST_FPERIOD_OVERRIDE=FQ","FILING_STATUS=OR","EQY_CONSOLIDATED=Y","Sort=A","Dates=H","DateFormat=P","Fill=—","Direction=H","UseDPDF=Y")</f>
        <v>#NAME?</v>
      </c>
      <c r="CK457" s="1" t="e">
        <f ca="1">_xll.BDH($C$453,"TOT_DEBT_TO_TOT_EQY","FQ4 2014","FQ4 2014","Currency=INR","Period=FQ","BEST_FPERIOD_OVERRIDE=FQ","FILING_STATUS=OR","EQY_CONSOLIDATED=Y","Sort=A","Dates=H","DateFormat=P","Fill=—","Direction=H","UseDPDF=Y")</f>
        <v>#NAME?</v>
      </c>
      <c r="CL457" s="1" t="e">
        <f ca="1">_xll.BDH($C$453,"TOT_DEBT_TO_TOT_CAP","FQ4 2014","FQ4 2014","Currency=INR","Period=FQ","BEST_FPERIOD_OVERRIDE=FQ","FILING_STATUS=OR","EQY_CONSOLIDATED=Y","Sort=A","Dates=H","DateFormat=P","Fill=—","Direction=H","UseDPDF=Y")</f>
        <v>#NAME?</v>
      </c>
      <c r="CM457" s="1" t="e">
        <f ca="1">_xll.BDH($C$453,"TOT_DEBT_TO_TOT_ASSET","FQ4 2014","FQ4 2014","Currency=INR","Period=FQ","BEST_FPERIOD_OVERRIDE=FQ","FILING_STATUS=OR","EQY_CONSOLIDATED=Y","Sort=A","Dates=H","DateFormat=P","Fill=—","Direction=H","UseDPDF=Y")</f>
        <v>#NAME?</v>
      </c>
      <c r="CN457" s="1" t="e">
        <f ca="1">_xll.BDH($C$453,"NET_DEBT_TO_SHRHLDR_EQTY","FQ4 2014","FQ4 2014","Currency=INR","Period=FQ","BEST_FPERIOD_OVERRIDE=FQ","FILING_STATUS=OR","EQY_CONSOLIDATED=Y","Sort=A","Dates=H","DateFormat=P","Fill=—","Direction=H","UseDPDF=Y")</f>
        <v>#NAME?</v>
      </c>
      <c r="CO457" s="1" t="e">
        <f ca="1">_xll.BDH($C$453,"NET_DEBT_%_CAPITAL","FQ4 2014","FQ4 2014","Currency=INR","Period=FQ","BEST_FPERIOD_OVERRIDE=FQ","FILING_STATUS=OR","EQY_CONSOLIDATED=Y","Sort=A","Dates=H","DateFormat=P","Fill=—","Direction=H","UseDPDF=Y")</f>
        <v>#NAME?</v>
      </c>
      <c r="CP457" s="2" t="e">
        <f ca="1">_xll.BDH($C$453,"EBITDA","FQ4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57" s="2" t="e">
        <f ca="1">_xll.BDH($C$453,"EBITDA_AFTER_CAPEX","FQ4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57" s="2" t="e">
        <f ca="1">_xll.BDH($C$453,"IS_OPER_INC","FQ4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57" s="1" t="e">
        <f ca="1">_xll.BDH($C$453,"CASH_RATIO","FQ4 2014","FQ4 2014","Currency=INR","Period=FQ","BEST_FPERIOD_OVERRIDE=FQ","FILING_STATUS=OR","EQY_CONSOLIDATED=Y","Sort=A","Dates=H","DateFormat=P","Fill=—","Direction=H","UseDPDF=Y")</f>
        <v>#NAME?</v>
      </c>
      <c r="CT457" s="1" t="e">
        <f ca="1">_xll.BDH($C$453,"CUR_RATIO","FQ4 2014","FQ4 2014","Currency=INR","Period=FQ","BEST_FPERIOD_OVERRIDE=FQ","FILING_STATUS=OR","EQY_CONSOLIDATED=Y","Sort=A","Dates=H","DateFormat=P","Fill=—","Direction=H","UseDPDF=Y")</f>
        <v>#NAME?</v>
      </c>
      <c r="CU457" s="1" t="e">
        <f ca="1">_xll.BDH($C$453,"QUICK_RATIO","FQ4 2014","FQ4 2014","Currency=INR","Period=FQ","BEST_FPERIOD_OVERRIDE=FQ","FILING_STATUS=OR","EQY_CONSOLIDATED=Y","Sort=A","Dates=H","DateFormat=P","Fill=—","Direction=H","UseDPDF=Y")</f>
        <v>#NAME?</v>
      </c>
      <c r="CV457" s="1" t="e">
        <f ca="1">_xll.BDH($C$453,"ALTMAN_Z_SCORE","FQ4 2014","FQ4 2014","Currency=INR","Period=FQ","BEST_FPERIOD_OVERRIDE=FQ","FILING_STATUS=OR","EQY_CONSOLIDATED=Y","Sort=A","Dates=H","DateFormat=P","Fill=—","Direction=H","UseDPDF=Y")</f>
        <v>#NAME?</v>
      </c>
      <c r="CW457" s="3" t="e">
        <f ca="1">_xll.BDH($C$453,"ACCT_RCV_TURN","FQ4 2014","FQ4 2014","Currency=INR","Period=FQ","BEST_FPERIOD_OVERRIDE=FQ","FILING_STATUS=OR","EQY_CONSOLIDATED=Y","FA_ADJUSTED=GAAP","Sort=A","Dates=H","DateFormat=P","Fill=—","Direction=H","UseDPDF=Y")</f>
        <v>#NAME?</v>
      </c>
      <c r="CX457" s="1" t="e">
        <f ca="1">_xll.BDH($C$453,"ACCT_RCV_DAYS","FQ4 2014","FQ4 2014","Currency=INR","Period=FQ","BEST_FPERIOD_OVERRIDE=FQ","FILING_STATUS=OR","EQY_CONSOLIDATED=Y","FA_ADJUSTED=GAAP","Sort=A","Dates=H","DateFormat=P","Fill=—","Direction=H","UseDPDF=Y")</f>
        <v>#NAME?</v>
      </c>
      <c r="CY457" s="3" t="e">
        <f ca="1">_xll.BDH($C$453,"INVENT_TURN","FQ4 2014","FQ4 2014","Currency=INR","Period=FQ","BEST_FPERIOD_OVERRIDE=FQ","FILING_STATUS=OR","EQY_CONSOLIDATED=Y","FA_ADJUSTED=GAAP","Sort=A","Dates=H","DateFormat=P","Fill=—","Direction=H","UseDPDF=Y")</f>
        <v>#NAME?</v>
      </c>
      <c r="CZ457" s="1" t="e">
        <f ca="1">_xll.BDH($C$453,"INVENT_DAYS","FQ4 2014","FQ4 2014","Currency=INR","Period=FQ","BEST_FPERIOD_OVERRIDE=FQ","FILING_STATUS=OR","EQY_CONSOLIDATED=Y","FA_ADJUSTED=GAAP","Sort=A","Dates=H","DateFormat=P","Fill=—","Direction=H","UseDPDF=Y")</f>
        <v>#NAME?</v>
      </c>
      <c r="DA457" s="3" t="e">
        <f ca="1">_xll.BDH($C$453,"ACCOUNTS_PAYABLE_TURNOVER","FQ4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57" s="1" t="e">
        <f ca="1">_xll.BDH($C$453,"ACCOUNTS_PAYABLE_TURNOVER_DAYS","FQ4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57" s="3" t="e">
        <f ca="1">_xll.BDH($C$453,"CASH_CONVERSION_CYCLE","FQ4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57" s="3" t="e">
        <f ca="1">_xll.BDH($C$453,"INV_TO_CASH_DAYS","FQ4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457" s="4" t="e">
        <f ca="1">_xll.BDH($C$453,"BS_INVENTORIES","FQ4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457" s="2" t="e">
        <f ca="1">_xll.BDH($C$453,"INVTRY_RAW_MATERIALS","FQ4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57" s="2" t="e">
        <f ca="1">_xll.BDH($C$453,"INVTRY_IN_PROGRESS","FQ4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57" s="2" t="e">
        <f ca="1">_xll.BDH($C$453,"INVTRY_FINISHED_GOODS","FQ4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57" s="2" t="e">
        <f ca="1">_xll.BDH($C$453,"BS_OTHER_INV","FQ4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58" spans="1:113" x14ac:dyDescent="0.3">
      <c r="A458" s="6"/>
      <c r="B458" s="6"/>
      <c r="C458" s="6"/>
      <c r="D458" s="6" t="s">
        <v>8</v>
      </c>
      <c r="E458" t="s">
        <v>3</v>
      </c>
      <c r="F458" t="e">
        <f ca="1">_xll.BDH($C$453,"RETURN_COM_EQY","FY 2015","FY 2015","Currency=INR","Period=FY","BEST_FPERIOD_OVERRIDE=FY","FILING_STATUS=OR","EQY_CONSOLIDATED=Y","FA_ADJUSTED=GAAP","Sort=A","Dates=H","DateFormat=P","Fill=—","Direction=H","UseDPDF=Y")</f>
        <v>#NAME?</v>
      </c>
      <c r="G458" t="e">
        <f ca="1">_xll.BDH($C$453,"RETURN_ON_ASSET","FY 2015","FY 2015","Currency=INR","Period=FY","BEST_FPERIOD_OVERRIDE=FY","FILING_STATUS=OR","EQY_CONSOLIDATED=Y","FA_ADJUSTED=GAAP","Sort=A","Dates=H","DateFormat=P","Fill=—","Direction=H","UseDPDF=Y")</f>
        <v>#NAME?</v>
      </c>
      <c r="H458" t="e">
        <f ca="1">_xll.BDH($C$453,"RETURN_ON_CAP","FY 2015","FY 2015","Currency=INR","Period=FY","BEST_FPERIOD_OVERRIDE=FY","FILING_STATUS=OR","EQY_CONSOLIDATED=Y","FA_ADJUSTED=GAAP","Sort=A","Dates=H","DateFormat=P","Fill=—","Direction=H","UseDPDF=Y")</f>
        <v>#NAME?</v>
      </c>
      <c r="I458" t="e">
        <f ca="1">_xll.BDH($C$453,"RETURN_ON_INV_CAPITAL","FY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58" t="e">
        <f ca="1">_xll.BDH($C$453,"EBITDA_TO_REVENUE","FY 2015","FY 2015","Currency=INR","Period=FY","BEST_FPERIOD_OVERRIDE=FY","FILING_STATUS=OR","EQY_CONSOLIDATED=Y","FA_ADJUSTED=GAAP","Sort=A","Dates=H","DateFormat=P","Fill=—","Direction=H","UseDPDF=Y")</f>
        <v>#NAME?</v>
      </c>
      <c r="K458" t="e">
        <f ca="1">_xll.BDH($C$453,"OPER_MARGIN","FY 2015","FY 2015","Currency=INR","Period=FY","BEST_FPERIOD_OVERRIDE=FY","FILING_STATUS=OR","EQY_CONSOLIDATED=Y","FA_ADJUSTED=GAAP","Sort=A","Dates=H","DateFormat=P","Fill=—","Direction=H","UseDPDF=Y")</f>
        <v>#NAME?</v>
      </c>
      <c r="L458" t="e">
        <f ca="1">_xll.BDH($C$453,"INCREMENTAL_OPERATING_MARGIN","FY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58" t="e">
        <f ca="1">_xll.BDH($C$453,"PRETAX_INC_TO_NET_SALES","FY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58" t="e">
        <f ca="1">_xll.BDH($C$453,"INC_BEF_XO_ITEMS_TO_NET_SALES","FY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58" t="e">
        <f ca="1">_xll.BDH($C$453,"PROF_MARGIN","FY 2015","FY 2015","Currency=INR","Period=FY","BEST_FPERIOD_OVERRIDE=FY","FILING_STATUS=OR","EQY_CONSOLIDATED=Y","FA_ADJUSTED=GAAP","Sort=A","Dates=H","DateFormat=P","Fill=—","Direction=H","UseDPDF=Y")</f>
        <v>#NAME?</v>
      </c>
      <c r="P458" t="e">
        <f ca="1">_xll.BDH($C$453,"NET_INCOME_TO_COMMON_MARGIN","FY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58" t="e">
        <f ca="1">_xll.BDH($C$453,"EFF_TAX_RATE","FY 2015","FY 2015","Currency=INR","Period=FY","BEST_FPERIOD_OVERRIDE=FY","FILING_STATUS=OR","EQY_CONSOLIDATED=Y","FA_ADJUSTED=GAAP","Sort=A","Dates=H","DateFormat=P","Fill=—","Direction=H","UseDPDF=Y")</f>
        <v>#NAME?</v>
      </c>
      <c r="R458" t="e">
        <f ca="1">_xll.BDH($C$453,"DVD_PAYOUT_RATIO","FY 2015","FY 2015","Currency=INR","Period=FY","BEST_FPERIOD_OVERRIDE=FY","FILING_STATUS=OR","EQY_CONSOLIDATED=Y","FA_ADJUSTED=GAAP","Sort=A","Dates=H","DateFormat=P","Fill=—","Direction=H","UseDPDF=Y")</f>
        <v>#NAME?</v>
      </c>
      <c r="S458" t="e">
        <f ca="1">_xll.BDH($C$453,"SUSTAIN_GROWTH_RT","FY 2015","FY 2015","Currency=INR","Period=FY","BEST_FPERIOD_OVERRIDE=FY","FILING_STATUS=OR","EQY_CONSOLIDATED=Y","FA_ADJUSTED=GAAP","Sort=A","Dates=H","DateFormat=P","Fill=—","Direction=H","UseDPDF=Y")</f>
        <v>#NAME?</v>
      </c>
      <c r="T458" s="1" t="e">
        <f ca="1">_xll.BDH($C$453,"SALES_GROWTH","FY 2015","FY 2015","Currency=INR","Period=FY","BEST_FPERIOD_OVERRIDE=FY","FILING_STATUS=OR","EQY_CONSOLIDATED=Y","FA_ADJUSTED=GAAP","Sort=A","Dates=H","DateFormat=P","Fill=—","Direction=H","UseDPDF=Y")</f>
        <v>#NAME?</v>
      </c>
      <c r="U458" s="1" t="e">
        <f ca="1">_xll.BDH($C$453,"EBITDA_GROWTH","FY 2015","FY 2015","Currency=INR","Period=FY","BEST_FPERIOD_OVERRIDE=FY","FILING_STATUS=OR","EQY_CONSOLIDATED=Y","FA_ADJUSTED=GAAP","Sort=A","Dates=H","DateFormat=P","Fill=—","Direction=H","UseDPDF=Y")</f>
        <v>#NAME?</v>
      </c>
      <c r="V458" s="1" t="e">
        <f ca="1">_xll.BDH($C$453,"OPER_INC_GROWTH","FY 2015","FY 2015","Currency=INR","Period=FY","BEST_FPERIOD_OVERRIDE=FY","FILING_STATUS=OR","EQY_CONSOLIDATED=Y","FA_ADJUSTED=GAAP","Sort=A","Dates=H","DateFormat=P","Fill=—","Direction=H","UseDPDF=Y")</f>
        <v>#NAME?</v>
      </c>
      <c r="W458" s="1" t="e">
        <f ca="1">_xll.BDH($C$453,"EARN_FOR_COM_GROWTH","FY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458" s="1" t="e">
        <f ca="1">_xll.BDH($C$453,"DILUTED_EPS_AFT_XO_ITEMS_GROWTH","FY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58" s="1" t="e">
        <f ca="1">_xll.BDH($C$453,"DIVIDEND_PER_SHARE_1_YEAR_GROWTH","FY 2015","FY 2015","Currency=INR","Period=FY","BEST_FPERIOD_OVERRIDE=FY","FILING_STATUS=OR","EQY_CONSOLIDATED=Y","Sort=A","Dates=H","DateFormat=P","Fill=—","Direction=H","UseDPDF=Y")</f>
        <v>#NAME?</v>
      </c>
      <c r="Z458" s="1" t="e">
        <f ca="1">_xll.BDH($C$453,"ACCOUNTS_RECEIVABLE_GROWTH","FY 2015","FY 2015","Currency=INR","Period=FY","BEST_FPERIOD_OVERRIDE=FY","FILING_STATUS=OR","EQY_CONSOLIDATED=Y","Sort=A","Dates=H","DateFormat=P","Fill=—","Direction=H","UseDPDF=Y")</f>
        <v>#NAME?</v>
      </c>
      <c r="AA458" s="1" t="e">
        <f ca="1">_xll.BDH($C$453,"INVENTORY_GROWTH","FY 2015","FY 2015","Currency=INR","Period=FY","BEST_FPERIOD_OVERRIDE=FY","FILING_STATUS=OR","EQY_CONSOLIDATED=Y","Sort=A","Dates=H","DateFormat=P","Fill=—","Direction=H","UseDPDF=Y")</f>
        <v>#NAME?</v>
      </c>
      <c r="AB458" s="1" t="e">
        <f ca="1">_xll.BDH($C$453,"NET_FIXED_ASSETS_1_YEAR_GROWTH","FY 2015","FY 2015","Currency=INR","Period=FY","BEST_FPERIOD_OVERRIDE=FY","FILING_STATUS=OR","EQY_CONSOLIDATED=Y","Sort=A","Dates=H","DateFormat=P","Fill=—","Direction=H","UseDPDF=Y")</f>
        <v>#NAME?</v>
      </c>
      <c r="AC458" s="1" t="e">
        <f ca="1">_xll.BDH($C$453,"ASSET_GROWTH","FY 2015","FY 2015","Currency=INR","Period=FY","BEST_FPERIOD_OVERRIDE=FY","FILING_STATUS=OR","EQY_CONSOLIDATED=Y","Sort=A","Dates=H","DateFormat=P","Fill=—","Direction=H","UseDPDF=Y")</f>
        <v>#NAME?</v>
      </c>
      <c r="AD458" s="1" t="e">
        <f ca="1">_xll.BDH($C$453,"MODIFIED_WORK_CAP_GROWTH","FY 2015","FY 2015","Currency=INR","Period=FY","BEST_FPERIOD_OVERRIDE=FY","FILING_STATUS=OR","EQY_CONSOLIDATED=Y","Sort=A","Dates=H","DateFormat=P","Fill=—","Direction=H","UseDPDF=Y")</f>
        <v>#NAME?</v>
      </c>
      <c r="AE458" s="1" t="e">
        <f ca="1">_xll.BDH($C$453,"WORK_CAP_GROWTH","FY 2015","FY 2015","Currency=INR","Period=FY","BEST_FPERIOD_OVERRIDE=FY","FILING_STATUS=OR","EQY_CONSOLIDATED=Y","Sort=A","Dates=H","DateFormat=P","Fill=—","Direction=H","UseDPDF=Y")</f>
        <v>#NAME?</v>
      </c>
      <c r="AF458" s="1" t="e">
        <f ca="1">_xll.BDH($C$453,"ACCOUNTS_PAYABLE_GROWTH_1YR","FY 2015","FY 2015","Currency=INR","Period=FY","BEST_FPERIOD_OVERRIDE=FY","FILING_STATUS=OR","EQY_CONSOLIDATED=Y","Sort=A","Dates=H","DateFormat=P","Fill=—","Direction=H","UseDPDF=Y")</f>
        <v>#NAME?</v>
      </c>
      <c r="AG458" s="1" t="e">
        <f ca="1">_xll.BDH($C$453,"SHORT_TERM_DEBT_1_YEAR_GROWTH","FY 2015","FY 2015","Currency=INR","Period=FY","BEST_FPERIOD_OVERRIDE=FY","FILING_STATUS=OR","EQY_CONSOLIDATED=Y","Sort=A","Dates=H","DateFormat=P","Fill=—","Direction=H","UseDPDF=Y")</f>
        <v>#NAME?</v>
      </c>
      <c r="AH458" s="1" t="e">
        <f ca="1">_xll.BDH($C$453,"TOTAL_DEBT_1_YEAR_GROWTH","FY 2015","FY 2015","Currency=INR","Period=FY","BEST_FPERIOD_OVERRIDE=FY","FILING_STATUS=OR","EQY_CONSOLIDATED=Y","Sort=A","Dates=H","DateFormat=P","Fill=—","Direction=H","UseDPDF=Y")</f>
        <v>#NAME?</v>
      </c>
      <c r="AI458" s="1" t="e">
        <f ca="1">_xll.BDH($C$453,"TOTAL_EQUITY_1_YEAR_GROWTH","FY 2015","FY 2015","Currency=INR","Period=FY","BEST_FPERIOD_OVERRIDE=FY","FILING_STATUS=OR","EQY_CONSOLIDATED=Y","Sort=A","Dates=H","DateFormat=P","Fill=—","Direction=H","UseDPDF=Y")</f>
        <v>#NAME?</v>
      </c>
      <c r="AJ458" s="1" t="e">
        <f ca="1">_xll.BDH($C$453,"GROWTH_IN_CAP","FY 2015","FY 2015","Currency=INR","Period=FY","BEST_FPERIOD_OVERRIDE=FY","FILING_STATUS=OR","EQY_CONSOLIDATED=Y","Sort=A","Dates=H","DateFormat=P","Fill=—","Direction=H","UseDPDF=Y")</f>
        <v>#NAME?</v>
      </c>
      <c r="AK458" s="1" t="e">
        <f ca="1">_xll.BDH($C$453,"BVPS_GROWTH","FY 2015","FY 2015","Currency=INR","Period=FY","BEST_FPERIOD_OVERRIDE=FY","FILING_STATUS=OR","EQY_CONSOLIDATED=Y","Sort=A","Dates=H","DateFormat=P","Fill=—","Direction=H","UseDPDF=Y")</f>
        <v>#NAME?</v>
      </c>
      <c r="AL458" s="1" t="e">
        <f ca="1">_xll.BDH($C$453,"CASH_FLOW_GROWTH","FY 2015","FY 2015","Currency=INR","Period=FY","BEST_FPERIOD_OVERRIDE=FY","FILING_STATUS=OR","EQY_CONSOLIDATED=Y","Sort=A","Dates=H","DateFormat=P","Fill=—","Direction=H","UseDPDF=Y")</f>
        <v>#NAME?</v>
      </c>
      <c r="AM458" s="1" t="e">
        <f ca="1">_xll.BDH($C$453,"GEO_GROW_NET_SALES","FY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458" s="1" t="e">
        <f ca="1">_xll.BDH($C$453,"GEO_GROW_EBITDA","FY 2015","FY 2015","Currency=INR","Period=FY","BEST_FPERIOD_OVERRIDE=FY","FILING_STATUS=OR","EQY_CONSOLIDATED=Y","FA_ADJUSTED=GAAP","Sort=A","Dates=H","DateFormat=P","Fill=—","Direction=H","UseDPDF=Y")</f>
        <v>#NAME?</v>
      </c>
      <c r="AO458" s="1" t="e">
        <f ca="1">_xll.BDH($C$453,"GEO_GROW_OPER_INC","FY 2015","FY 2015","Currency=INR","Period=FY","BEST_FPERIOD_OVERRIDE=FY","FILING_STATUS=OR","EQY_CONSOLIDATED=Y","FA_ADJUSTED=GAAP","Sort=A","Dates=H","DateFormat=P","Fill=—","Direction=H","UseDPDF=Y")</f>
        <v>#NAME?</v>
      </c>
      <c r="AP458" s="1" t="e">
        <f ca="1">_xll.BDH($C$453,"NET_INCOME_TO_COMMON_5_YR_GROWTH","FY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58" s="1" t="e">
        <f ca="1">_xll.BDH($C$453,"5Y_GEO_GROWTH_DILUTED_EPS","FY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58" s="1" t="e">
        <f ca="1">_xll.BDH($C$453,"GEO_GROW_DVD_PER_SH","FY 2015","FY 2015","Currency=INR","Period=FY","BEST_FPERIOD_OVERRIDE=FY","FILING_STATUS=OR","EQY_CONSOLIDATED=Y","Sort=A","Dates=H","DateFormat=P","Fill=—","Direction=H","UseDPDF=Y")</f>
        <v>#NAME?</v>
      </c>
      <c r="AS458" s="1" t="e">
        <f ca="1">_xll.BDH($C$453,"ACCOUNTS_RECEIVABLE_5_YR_GROWTH","FY 2015","FY 2015","Currency=INR","Period=FY","BEST_FPERIOD_OVERRIDE=FY","FILING_STATUS=OR","EQY_CONSOLIDATED=Y","Sort=A","Dates=H","DateFormat=P","Fill=—","Direction=H","UseDPDF=Y")</f>
        <v>#NAME?</v>
      </c>
      <c r="AT458" s="1" t="e">
        <f ca="1">_xll.BDH($C$453,"INVENTORY_5_YEAR_GROWTH","FY 2015","FY 2015","Currency=INR","Period=FY","BEST_FPERIOD_OVERRIDE=FY","FILING_STATUS=OR","EQY_CONSOLIDATED=Y","Sort=A","Dates=H","DateFormat=P","Fill=—","Direction=H","UseDPDF=Y")</f>
        <v>#NAME?</v>
      </c>
      <c r="AU458" s="1" t="e">
        <f ca="1">_xll.BDH($C$453,"NET_FIXED_ASSETS_5_YEAR_GROWTH","FY 2015","FY 2015","Currency=INR","Period=FY","BEST_FPERIOD_OVERRIDE=FY","FILING_STATUS=OR","EQY_CONSOLIDATED=Y","Sort=A","Dates=H","DateFormat=P","Fill=—","Direction=H","UseDPDF=Y")</f>
        <v>#NAME?</v>
      </c>
      <c r="AV458" s="1" t="e">
        <f ca="1">_xll.BDH($C$453,"GEO_GROW_TOT_ASSET","FY 2015","FY 2015","Currency=INR","Period=FY","BEST_FPERIOD_OVERRIDE=FY","FILING_STATUS=OR","EQY_CONSOLIDATED=Y","Sort=A","Dates=H","DateFormat=P","Fill=—","Direction=H","UseDPDF=Y")</f>
        <v>#NAME?</v>
      </c>
      <c r="AW458" s="1" t="e">
        <f ca="1">_xll.BDH($C$453,"MODIFIED_WORKING_CPTL_5YR_GRWTH","FY 2015","FY 2015","Currency=INR","Period=FY","BEST_FPERIOD_OVERRIDE=FY","FILING_STATUS=OR","EQY_CONSOLIDATED=Y","Sort=A","Dates=H","DateFormat=P","Fill=—","Direction=H","UseDPDF=Y")</f>
        <v>#NAME?</v>
      </c>
      <c r="AX458" s="1" t="e">
        <f ca="1">_xll.BDH($C$453,"WORKING_CAPITAL_5_YEAR_GROWTH","FY 2015","FY 2015","Currency=INR","Period=FY","BEST_FPERIOD_OVERRIDE=FY","FILING_STATUS=OR","EQY_CONSOLIDATED=Y","Sort=A","Dates=H","DateFormat=P","Fill=—","Direction=H","UseDPDF=Y")</f>
        <v>#NAME?</v>
      </c>
      <c r="AY458" s="1" t="e">
        <f ca="1">_xll.BDH($C$453,"ACCOUNTS_PAYABLE_5_YEAR_GROWTH","FY 2015","FY 2015","Currency=INR","Period=FY","BEST_FPERIOD_OVERRIDE=FY","FILING_STATUS=OR","EQY_CONSOLIDATED=Y","Sort=A","Dates=H","DateFormat=P","Fill=—","Direction=H","UseDPDF=Y")</f>
        <v>#NAME?</v>
      </c>
      <c r="AZ458" s="1" t="e">
        <f ca="1">_xll.BDH($C$453,"SHORT_TERM_DEBT_5_YEAR_GROWTH","FY 2015","FY 2015","Currency=INR","Period=FY","BEST_FPERIOD_OVERRIDE=FY","FILING_STATUS=OR","EQY_CONSOLIDATED=Y","Sort=A","Dates=H","DateFormat=P","Fill=—","Direction=H","UseDPDF=Y")</f>
        <v>#NAME?</v>
      </c>
      <c r="BA458" s="1" t="e">
        <f ca="1">_xll.BDH($C$453,"TOTAL_DEBT_5_YEAR_GROWTH","FY 2015","FY 2015","Currency=INR","Period=FY","BEST_FPERIOD_OVERRIDE=FY","FILING_STATUS=OR","EQY_CONSOLIDATED=Y","Sort=A","Dates=H","DateFormat=P","Fill=—","Direction=H","UseDPDF=Y")</f>
        <v>#NAME?</v>
      </c>
      <c r="BB458" s="1" t="e">
        <f ca="1">_xll.BDH($C$453,"GEO_GROW_TOT_SHRHLDR_EQY","FY 2015","FY 2015","Currency=INR","Period=FY","BEST_FPERIOD_OVERRIDE=FY","FILING_STATUS=OR","EQY_CONSOLIDATED=Y","Sort=A","Dates=H","DateFormat=P","Fill=—","Direction=H","UseDPDF=Y")</f>
        <v>#NAME?</v>
      </c>
      <c r="BC458" s="1" t="e">
        <f ca="1">_xll.BDH($C$453,"TOTAL_CAPITAL_5_YEAR_GROWTH","FY 2015","FY 2015","Currency=INR","Period=FY","BEST_FPERIOD_OVERRIDE=FY","FILING_STATUS=OR","EQY_CONSOLIDATED=Y","Sort=A","Dates=H","DateFormat=P","Fill=—","Direction=H","UseDPDF=Y")</f>
        <v>#NAME?</v>
      </c>
      <c r="BD458" s="1" t="e">
        <f ca="1">_xll.BDH($C$453,"GEO_GROW_BOOK_VAL","FY 2015","FY 2015","Currency=INR","Period=FY","BEST_FPERIOD_OVERRIDE=FY","FILING_STATUS=OR","EQY_CONSOLIDATED=Y","Sort=A","Dates=H","DateFormat=P","Fill=—","Direction=H","UseDPDF=Y")</f>
        <v>#NAME?</v>
      </c>
      <c r="BE458" s="1" t="e">
        <f ca="1">_xll.BDH($C$453,"GEO_GROW_CASH_OPER_ACT","FY 2015","FY 2015","Currency=INR","Period=FY","BEST_FPERIOD_OVERRIDE=FY","FILING_STATUS=OR","EQY_CONSOLIDATED=Y","Sort=A","Dates=H","DateFormat=P","Fill=—","Direction=H","UseDPDF=Y")</f>
        <v>#NAME?</v>
      </c>
      <c r="BF458" s="1" t="e">
        <f ca="1">_xll.BDH($C$453,"REVENUE_SEQUENTIAL_GROWTH","FY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58" s="1" t="e">
        <f ca="1">_xll.BDH($C$453,"EBITDA_SEQUENTIAL_GROWTH","FY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58" s="1" t="e">
        <f ca="1">_xll.BDH($C$453,"OPERATING_INCOME_SEQ_GROWTH","FY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58" s="1" t="e">
        <f ca="1">_xll.BDH($C$453,"NET_INCOME_TO_COMMON_SEQ_GROWTH","FY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58" s="1" t="e">
        <f ca="1">_xll.BDH($C$453,"EPS_DILUTED_SEQUENTIAL_GROWTH","FY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58" s="1" t="e">
        <f ca="1">_xll.BDH($C$453,"DPS_SEQUENTIAL_GROWTH","FY 2015","FY 2015","Currency=INR","Period=FY","BEST_FPERIOD_OVERRIDE=FY","FILING_STATUS=OR","EQY_CONSOLIDATED=Y","Sort=A","Dates=H","DateFormat=P","Fill=—","Direction=H","UseDPDF=Y")</f>
        <v>#NAME?</v>
      </c>
      <c r="BL458" s="1" t="e">
        <f ca="1">_xll.BDH($C$453,"ACCOUNTS_RECEIVABLE_SEQ_GROWTH","FY 2015","FY 2015","Currency=INR","Period=FY","BEST_FPERIOD_OVERRIDE=FY","FILING_STATUS=OR","EQY_CONSOLIDATED=Y","Sort=A","Dates=H","DateFormat=P","Fill=—","Direction=H","UseDPDF=Y")</f>
        <v>#NAME?</v>
      </c>
      <c r="BM458" s="1" t="e">
        <f ca="1">_xll.BDH($C$453,"INVENTORY_SEQUENTIAL_GROWTH","FY 2015","FY 2015","Currency=INR","Period=FY","BEST_FPERIOD_OVERRIDE=FY","FILING_STATUS=OR","EQY_CONSOLIDATED=Y","Sort=A","Dates=H","DateFormat=P","Fill=—","Direction=H","UseDPDF=Y")</f>
        <v>#NAME?</v>
      </c>
      <c r="BN458" s="1" t="e">
        <f ca="1">_xll.BDH($C$453,"FIXED_ASSETS_SEQUENTIAL_GROWTH","FY 2015","FY 2015","Currency=INR","Period=FY","BEST_FPERIOD_OVERRIDE=FY","FILING_STATUS=OR","EQY_CONSOLIDATED=Y","Sort=A","Dates=H","DateFormat=P","Fill=—","Direction=H","UseDPDF=Y")</f>
        <v>#NAME?</v>
      </c>
      <c r="BO458" s="1" t="e">
        <f ca="1">_xll.BDH($C$453,"TOTAL_ASSETS_SEQUENTIAL_GROWTH","FY 2015","FY 2015","Currency=INR","Period=FY","BEST_FPERIOD_OVERRIDE=FY","FILING_STATUS=OR","EQY_CONSOLIDATED=Y","Sort=A","Dates=H","DateFormat=P","Fill=—","Direction=H","UseDPDF=Y")</f>
        <v>#NAME?</v>
      </c>
      <c r="BP458" s="1" t="e">
        <f ca="1">_xll.BDH($C$453,"MODIFIED_WORKING_CPTL_SEQ_GRWTH","FY 2015","FY 2015","Currency=INR","Period=FY","BEST_FPERIOD_OVERRIDE=FY","FILING_STATUS=OR","EQY_CONSOLIDATED=Y","Sort=A","Dates=H","DateFormat=P","Fill=—","Direction=H","UseDPDF=Y")</f>
        <v>#NAME?</v>
      </c>
      <c r="BQ458" s="1" t="e">
        <f ca="1">_xll.BDH($C$453,"WORKING_CAPITAL_SEQ_GROWTH","FY 2015","FY 2015","Currency=INR","Period=FY","BEST_FPERIOD_OVERRIDE=FY","FILING_STATUS=OR","EQY_CONSOLIDATED=Y","Sort=A","Dates=H","DateFormat=P","Fill=—","Direction=H","UseDPDF=Y")</f>
        <v>#NAME?</v>
      </c>
      <c r="BR458" s="1" t="e">
        <f ca="1">_xll.BDH($C$453,"ACCOUNTS_PAYABLE_SEQ_GROWTH","FY 2015","FY 2015","Currency=INR","Period=FY","BEST_FPERIOD_OVERRIDE=FY","FILING_STATUS=OR","EQY_CONSOLIDATED=Y","Sort=A","Dates=H","DateFormat=P","Fill=—","Direction=H","UseDPDF=Y")</f>
        <v>#NAME?</v>
      </c>
      <c r="BS458" s="1" t="e">
        <f ca="1">_xll.BDH($C$453,"ST_DEBT_SEQUENTIAL_GROWTH","FY 2015","FY 2015","Currency=INR","Period=FY","BEST_FPERIOD_OVERRIDE=FY","FILING_STATUS=OR","EQY_CONSOLIDATED=Y","Sort=A","Dates=H","DateFormat=P","Fill=—","Direction=H","UseDPDF=Y")</f>
        <v>#NAME?</v>
      </c>
      <c r="BT458" s="1" t="e">
        <f ca="1">_xll.BDH($C$453,"TOTAL_DEBT_SEQUENTIAL_GROWTH","FY 2015","FY 2015","Currency=INR","Period=FY","BEST_FPERIOD_OVERRIDE=FY","FILING_STATUS=OR","EQY_CONSOLIDATED=Y","Sort=A","Dates=H","DateFormat=P","Fill=—","Direction=H","UseDPDF=Y")</f>
        <v>#NAME?</v>
      </c>
      <c r="BU458" s="1" t="e">
        <f ca="1">_xll.BDH($C$453,"TOTAL_EQUITY_SEQUENTIAL_GROWTH","FY 2015","FY 2015","Currency=INR","Period=FY","BEST_FPERIOD_OVERRIDE=FY","FILING_STATUS=OR","EQY_CONSOLIDATED=Y","Sort=A","Dates=H","DateFormat=P","Fill=—","Direction=H","UseDPDF=Y")</f>
        <v>#NAME?</v>
      </c>
      <c r="BV458" s="1" t="e">
        <f ca="1">_xll.BDH($C$453,"TOTAL_CAPITAL_SEQUENTIAL_GROWTH","FY 2015","FY 2015","Currency=INR","Period=FY","BEST_FPERIOD_OVERRIDE=FY","FILING_STATUS=OR","EQY_CONSOLIDATED=Y","Sort=A","Dates=H","DateFormat=P","Fill=—","Direction=H","UseDPDF=Y")</f>
        <v>#NAME?</v>
      </c>
      <c r="BW458" s="1" t="e">
        <f ca="1">_xll.BDH($C$453,"BPS_SEQUENTIAL_GROWTH","FY 2015","FY 2015","Currency=INR","Period=FY","BEST_FPERIOD_OVERRIDE=FY","FILING_STATUS=OR","EQY_CONSOLIDATED=Y","Sort=A","Dates=H","DateFormat=P","Fill=—","Direction=H","UseDPDF=Y")</f>
        <v>#NAME?</v>
      </c>
      <c r="BX458" s="1" t="e">
        <f ca="1">_xll.BDH($C$453,"CFO_SEQUENTIAL_GROWTH","FY 2015","FY 2015","Currency=INR","Period=FY","BEST_FPERIOD_OVERRIDE=FY","FILING_STATUS=OR","EQY_CONSOLIDATED=Y","Sort=A","Dates=H","DateFormat=P","Fill=—","Direction=H","UseDPDF=Y")</f>
        <v>#NAME?</v>
      </c>
      <c r="BY458" s="2" t="e">
        <f ca="1">_xll.BDH($C$453,"SHORT_AND_LONG_TERM_DEBT","FY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58" s="2" t="e">
        <f ca="1">_xll.BDH($C$453,"BS_ST_BORROW","FY 2015","FY 2015","Currency=INR","Period=FY","BEST_FPERIOD_OVERRIDE=FY","FILING_STATUS=OR","EQY_CONSOLIDATED=Y","SCALING_FORMAT=MLN","Sort=A","Dates=H","DateFormat=P","Fill=—","Direction=H","UseDPDF=Y")</f>
        <v>#NAME?</v>
      </c>
      <c r="CA458" s="2" t="e">
        <f ca="1">_xll.BDH($C$453,"BS_LT_BORROW","FY 2015","FY 2015","Currency=INR","Period=FY","BEST_FPERIOD_OVERRIDE=FY","FILING_STATUS=OR","EQY_CONSOLIDATED=Y","SCALING_FORMAT=MLN","Sort=A","Dates=H","DateFormat=P","Fill=—","Direction=H","UseDPDF=Y")</f>
        <v>#NAME?</v>
      </c>
      <c r="CB458" s="1" t="e">
        <f ca="1">_xll.BDH($C$453,"TOT_DEBT_TO_EBITDA","FY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458" s="1" t="e">
        <f ca="1">_xll.BDH($C$453,"NET_DEBT_TO_EBITDA","FY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458" s="1" t="e">
        <f ca="1">_xll.BDH($C$453,"TOTAL_DEBT_TO_EBIT","FY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458" s="1" t="e">
        <f ca="1">_xll.BDH($C$453,"NET_DEBT_TO_EBIT","FY 2015","FY 2015","Currency=INR","Period=FY","BEST_FPERIOD_OVERRIDE=FY","FILING_STATUS=OR","EQY_CONSOLIDATED=Y","FA_ADJUSTED=GAAP","Sort=A","Dates=H","DateFormat=P","Fill=—","Direction=H","UseDPDF=Y")</f>
        <v>#NAME?</v>
      </c>
      <c r="CF458" s="1" t="e">
        <f ca="1">_xll.BDH($C$453,"EBITDA_TO_INTEREST_EXPN","FY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58" s="1" t="e">
        <f ca="1">_xll.BDH($C$453,"COM_EQY_TO_TOT_ASSET","FY 2015","FY 2015","Currency=INR","Period=FY","BEST_FPERIOD_OVERRIDE=FY","FILING_STATUS=OR","EQY_CONSOLIDATED=Y","Sort=A","Dates=H","DateFormat=P","Fill=—","Direction=H","UseDPDF=Y")</f>
        <v>#NAME?</v>
      </c>
      <c r="CH458" s="1" t="e">
        <f ca="1">_xll.BDH($C$453,"LT_DEBT_TO_TOT_EQY","FY 2015","FY 2015","Currency=INR","Period=FY","BEST_FPERIOD_OVERRIDE=FY","FILING_STATUS=OR","EQY_CONSOLIDATED=Y","Sort=A","Dates=H","DateFormat=P","Fill=—","Direction=H","UseDPDF=Y")</f>
        <v>#NAME?</v>
      </c>
      <c r="CI458" s="1" t="e">
        <f ca="1">_xll.BDH($C$453,"LT_DEBT_TO_TOT_CAP","FY 2015","FY 2015","Currency=INR","Period=FY","BEST_FPERIOD_OVERRIDE=FY","FILING_STATUS=OR","EQY_CONSOLIDATED=Y","Sort=A","Dates=H","DateFormat=P","Fill=—","Direction=H","UseDPDF=Y")</f>
        <v>#NAME?</v>
      </c>
      <c r="CJ458" s="1" t="e">
        <f ca="1">_xll.BDH($C$453,"LT_DEBT_TO_TOT_ASSET","FY 2015","FY 2015","Currency=INR","Period=FY","BEST_FPERIOD_OVERRIDE=FY","FILING_STATUS=OR","EQY_CONSOLIDATED=Y","Sort=A","Dates=H","DateFormat=P","Fill=—","Direction=H","UseDPDF=Y")</f>
        <v>#NAME?</v>
      </c>
      <c r="CK458" s="1" t="e">
        <f ca="1">_xll.BDH($C$453,"TOT_DEBT_TO_TOT_EQY","FY 2015","FY 2015","Currency=INR","Period=FY","BEST_FPERIOD_OVERRIDE=FY","FILING_STATUS=OR","EQY_CONSOLIDATED=Y","Sort=A","Dates=H","DateFormat=P","Fill=—","Direction=H","UseDPDF=Y")</f>
        <v>#NAME?</v>
      </c>
      <c r="CL458" s="1" t="e">
        <f ca="1">_xll.BDH($C$453,"TOT_DEBT_TO_TOT_CAP","FY 2015","FY 2015","Currency=INR","Period=FY","BEST_FPERIOD_OVERRIDE=FY","FILING_STATUS=OR","EQY_CONSOLIDATED=Y","Sort=A","Dates=H","DateFormat=P","Fill=—","Direction=H","UseDPDF=Y")</f>
        <v>#NAME?</v>
      </c>
      <c r="CM458" s="1" t="e">
        <f ca="1">_xll.BDH($C$453,"TOT_DEBT_TO_TOT_ASSET","FY 2015","FY 2015","Currency=INR","Period=FY","BEST_FPERIOD_OVERRIDE=FY","FILING_STATUS=OR","EQY_CONSOLIDATED=Y","Sort=A","Dates=H","DateFormat=P","Fill=—","Direction=H","UseDPDF=Y")</f>
        <v>#NAME?</v>
      </c>
      <c r="CN458" s="1" t="e">
        <f ca="1">_xll.BDH($C$453,"NET_DEBT_TO_SHRHLDR_EQTY","FY 2015","FY 2015","Currency=INR","Period=FY","BEST_FPERIOD_OVERRIDE=FY","FILING_STATUS=OR","EQY_CONSOLIDATED=Y","Sort=A","Dates=H","DateFormat=P","Fill=—","Direction=H","UseDPDF=Y")</f>
        <v>#NAME?</v>
      </c>
      <c r="CO458" s="1" t="e">
        <f ca="1">_xll.BDH($C$453,"NET_DEBT_%_CAPITAL","FY 2015","FY 2015","Currency=INR","Period=FY","BEST_FPERIOD_OVERRIDE=FY","FILING_STATUS=OR","EQY_CONSOLIDATED=Y","Sort=A","Dates=H","DateFormat=P","Fill=—","Direction=H","UseDPDF=Y")</f>
        <v>#NAME?</v>
      </c>
      <c r="CP458" s="2" t="e">
        <f ca="1">_xll.BDH($C$453,"EBITDA","FY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58" s="2" t="e">
        <f ca="1">_xll.BDH($C$453,"EBITDA_AFTER_CAPEX","FY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58" s="2" t="e">
        <f ca="1">_xll.BDH($C$453,"IS_OPER_INC","FY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58" s="1" t="e">
        <f ca="1">_xll.BDH($C$453,"CASH_RATIO","FY 2015","FY 2015","Currency=INR","Period=FY","BEST_FPERIOD_OVERRIDE=FY","FILING_STATUS=OR","EQY_CONSOLIDATED=Y","Sort=A","Dates=H","DateFormat=P","Fill=—","Direction=H","UseDPDF=Y")</f>
        <v>#NAME?</v>
      </c>
      <c r="CT458" s="1" t="e">
        <f ca="1">_xll.BDH($C$453,"CUR_RATIO","FY 2015","FY 2015","Currency=INR","Period=FY","BEST_FPERIOD_OVERRIDE=FY","FILING_STATUS=OR","EQY_CONSOLIDATED=Y","Sort=A","Dates=H","DateFormat=P","Fill=—","Direction=H","UseDPDF=Y")</f>
        <v>#NAME?</v>
      </c>
      <c r="CU458" s="1" t="e">
        <f ca="1">_xll.BDH($C$453,"QUICK_RATIO","FY 2015","FY 2015","Currency=INR","Period=FY","BEST_FPERIOD_OVERRIDE=FY","FILING_STATUS=OR","EQY_CONSOLIDATED=Y","Sort=A","Dates=H","DateFormat=P","Fill=—","Direction=H","UseDPDF=Y")</f>
        <v>#NAME?</v>
      </c>
      <c r="CV458" s="1" t="e">
        <f ca="1">_xll.BDH($C$453,"ALTMAN_Z_SCORE","FY 2015","FY 2015","Currency=INR","Period=FY","BEST_FPERIOD_OVERRIDE=FY","FILING_STATUS=OR","EQY_CONSOLIDATED=Y","Sort=A","Dates=H","DateFormat=P","Fill=—","Direction=H","UseDPDF=Y")</f>
        <v>#NAME?</v>
      </c>
      <c r="CW458" s="3" t="e">
        <f ca="1">_xll.BDH($C$453,"ACCT_RCV_TURN","FY 2015","FY 2015","Currency=INR","Period=FY","BEST_FPERIOD_OVERRIDE=FY","FILING_STATUS=OR","EQY_CONSOLIDATED=Y","FA_ADJUSTED=GAAP","Sort=A","Dates=H","DateFormat=P","Fill=—","Direction=H","UseDPDF=Y")</f>
        <v>#NAME?</v>
      </c>
      <c r="CX458" s="1" t="e">
        <f ca="1">_xll.BDH($C$453,"ACCT_RCV_DAYS","FY 2015","FY 2015","Currency=INR","Period=FY","BEST_FPERIOD_OVERRIDE=FY","FILING_STATUS=OR","EQY_CONSOLIDATED=Y","FA_ADJUSTED=GAAP","Sort=A","Dates=H","DateFormat=P","Fill=—","Direction=H","UseDPDF=Y")</f>
        <v>#NAME?</v>
      </c>
      <c r="CY458" s="3" t="e">
        <f ca="1">_xll.BDH($C$453,"INVENT_TURN","FY 2015","FY 2015","Currency=INR","Period=FY","BEST_FPERIOD_OVERRIDE=FY","FILING_STATUS=OR","EQY_CONSOLIDATED=Y","FA_ADJUSTED=GAAP","Sort=A","Dates=H","DateFormat=P","Fill=—","Direction=H","UseDPDF=Y")</f>
        <v>#NAME?</v>
      </c>
      <c r="CZ458" s="1" t="e">
        <f ca="1">_xll.BDH($C$453,"INVENT_DAYS","FY 2015","FY 2015","Currency=INR","Period=FY","BEST_FPERIOD_OVERRIDE=FY","FILING_STATUS=OR","EQY_CONSOLIDATED=Y","FA_ADJUSTED=GAAP","Sort=A","Dates=H","DateFormat=P","Fill=—","Direction=H","UseDPDF=Y")</f>
        <v>#NAME?</v>
      </c>
      <c r="DA458" s="3" t="e">
        <f ca="1">_xll.BDH($C$453,"ACCOUNTS_PAYABLE_TURNOVER","FY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58" s="1" t="e">
        <f ca="1">_xll.BDH($C$453,"ACCOUNTS_PAYABLE_TURNOVER_DAYS","FY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58" s="3" t="e">
        <f ca="1">_xll.BDH($C$453,"CASH_CONVERSION_CYCLE","FY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58" s="3" t="e">
        <f ca="1">_xll.BDH($C$453,"INV_TO_CASH_DAYS","FY 2015","FY 2015","Currency=INR","Period=FY","BEST_FPERIOD_OVERRIDE=FY","FILING_STATUS=OR","EQY_CONSOLIDATED=Y","FA_ADJUSTED=GAAP","Sort=A","Dates=H","DateFormat=P","Fill=—","Direction=H","UseDPDF=Y")</f>
        <v>#NAME?</v>
      </c>
      <c r="DE458" s="4" t="e">
        <f ca="1">_xll.BDH($C$453,"BS_INVENTORIES","FY 2015","FY 2015","Currency=INR","Period=FY","BEST_FPERIOD_OVERRIDE=FY","FILING_STATUS=OR","EQY_CONSOLIDATED=Y","SCALING_FORMAT=MLN","Sort=A","Dates=H","DateFormat=P","Fill=—","Direction=H","UseDPDF=Y")</f>
        <v>#NAME?</v>
      </c>
      <c r="DF458" s="2" t="e">
        <f ca="1">_xll.BDH($C$453,"INVTRY_RAW_MATERIALS","FY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58" s="2" t="e">
        <f ca="1">_xll.BDH($C$453,"INVTRY_IN_PROGRESS","FY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58" s="2" t="e">
        <f ca="1">_xll.BDH($C$453,"INVTRY_FINISHED_GOODS","FY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58" s="2" t="e">
        <f ca="1">_xll.BDH($C$453,"BS_OTHER_INV","FY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59" spans="1:113" x14ac:dyDescent="0.3">
      <c r="A459" s="6"/>
      <c r="B459" s="6"/>
      <c r="C459" s="6"/>
      <c r="D459" s="6"/>
      <c r="E459" t="s">
        <v>4</v>
      </c>
      <c r="F459" t="e">
        <f ca="1">_xll.BDH($C$453,"RETURN_COM_EQY","FQ1 2015","FQ1 2015","Currency=INR","Period=FQ","BEST_FPERIOD_OVERRIDE=FQ","FILING_STATUS=OR","EQY_CONSOLIDATED=Y","FA_ADJUSTED=GAAP","Sort=A","Dates=H","DateFormat=P","Fill=—","Direction=H","UseDPDF=Y")</f>
        <v>#NAME?</v>
      </c>
      <c r="G459" t="e">
        <f ca="1">_xll.BDH($C$453,"RETURN_ON_ASSET","FQ1 2015","FQ1 2015","Currency=INR","Period=FQ","BEST_FPERIOD_OVERRIDE=FQ","FILING_STATUS=OR","EQY_CONSOLIDATED=Y","FA_ADJUSTED=GAAP","Sort=A","Dates=H","DateFormat=P","Fill=—","Direction=H","UseDPDF=Y")</f>
        <v>#NAME?</v>
      </c>
      <c r="H459" t="e">
        <f ca="1">_xll.BDH($C$453,"RETURN_ON_CAP","FQ1 2015","FQ1 2015","Currency=INR","Period=FQ","BEST_FPERIOD_OVERRIDE=FQ","FILING_STATUS=OR","EQY_CONSOLIDATED=Y","FA_ADJUSTED=GAAP","Sort=A","Dates=H","DateFormat=P","Fill=—","Direction=H","UseDPDF=Y")</f>
        <v>#NAME?</v>
      </c>
      <c r="I459" t="e">
        <f ca="1">_xll.BDH($C$453,"RETURN_ON_INV_CAPITAL","FQ1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59" t="e">
        <f ca="1">_xll.BDH($C$453,"EBITDA_TO_REVENUE","FQ1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459" t="e">
        <f ca="1">_xll.BDH($C$453,"OPER_MARGIN","FQ1 2015","FQ1 2015","Currency=INR","Period=FQ","BEST_FPERIOD_OVERRIDE=FQ","FILING_STATUS=OR","EQY_CONSOLIDATED=Y","FA_ADJUSTED=GAAP","Sort=A","Dates=H","DateFormat=P","Fill=—","Direction=H","UseDPDF=Y")</f>
        <v>#NAME?</v>
      </c>
      <c r="L459" t="e">
        <f ca="1">_xll.BDH($C$453,"INCREMENTAL_OPERATING_MARGIN","FQ1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59" t="e">
        <f ca="1">_xll.BDH($C$453,"PRETAX_INC_TO_NET_SALES","FQ1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59" t="e">
        <f ca="1">_xll.BDH($C$453,"INC_BEF_XO_ITEMS_TO_NET_SALES","FQ1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59" t="e">
        <f ca="1">_xll.BDH($C$453,"PROF_MARGIN","FQ1 2015","FQ1 2015","Currency=INR","Period=FQ","BEST_FPERIOD_OVERRIDE=FQ","FILING_STATUS=OR","EQY_CONSOLIDATED=Y","FA_ADJUSTED=GAAP","Sort=A","Dates=H","DateFormat=P","Fill=—","Direction=H","UseDPDF=Y")</f>
        <v>#NAME?</v>
      </c>
      <c r="P459" t="e">
        <f ca="1">_xll.BDH($C$453,"NET_INCOME_TO_COMMON_MARGIN","FQ1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59" t="e">
        <f ca="1">_xll.BDH($C$453,"EFF_TAX_RATE","FQ1 2015","FQ1 2015","Currency=INR","Period=FQ","BEST_FPERIOD_OVERRIDE=FQ","FILING_STATUS=OR","EQY_CONSOLIDATED=Y","FA_ADJUSTED=GAAP","Sort=A","Dates=H","DateFormat=P","Fill=—","Direction=H","UseDPDF=Y")</f>
        <v>#NAME?</v>
      </c>
      <c r="R459" t="e">
        <f ca="1">_xll.BDH($C$453,"DVD_PAYOUT_RATIO","FQ1 2015","FQ1 2015","Currency=INR","Period=FQ","BEST_FPERIOD_OVERRIDE=FQ","FILING_STATUS=OR","EQY_CONSOLIDATED=Y","FA_ADJUSTED=GAAP","Sort=A","Dates=H","DateFormat=P","Fill=—","Direction=H","UseDPDF=Y")</f>
        <v>#NAME?</v>
      </c>
      <c r="S459" t="e">
        <f ca="1">_xll.BDH($C$453,"SUSTAIN_GROWTH_RT","FQ1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459" s="1" t="e">
        <f ca="1">_xll.BDH($C$453,"SALES_GROWTH","FQ1 2015","FQ1 2015","Currency=INR","Period=FQ","BEST_FPERIOD_OVERRIDE=FQ","FILING_STATUS=OR","EQY_CONSOLIDATED=Y","FA_ADJUSTED=GAAP","Sort=A","Dates=H","DateFormat=P","Fill=—","Direction=H","UseDPDF=Y")</f>
        <v>#NAME?</v>
      </c>
      <c r="U459" s="1" t="e">
        <f ca="1">_xll.BDH($C$453,"EBITDA_GROWTH","FQ1 2015","FQ1 2015","Currency=INR","Period=FQ","BEST_FPERIOD_OVERRIDE=FQ","FILING_STATUS=OR","EQY_CONSOLIDATED=Y","FA_ADJUSTED=GAAP","Sort=A","Dates=H","DateFormat=P","Fill=—","Direction=H","UseDPDF=Y")</f>
        <v>#NAME?</v>
      </c>
      <c r="V459" s="1" t="e">
        <f ca="1">_xll.BDH($C$453,"OPER_INC_GROWTH","FQ1 2015","FQ1 2015","Currency=INR","Period=FQ","BEST_FPERIOD_OVERRIDE=FQ","FILING_STATUS=OR","EQY_CONSOLIDATED=Y","FA_ADJUSTED=GAAP","Sort=A","Dates=H","DateFormat=P","Fill=—","Direction=H","UseDPDF=Y")</f>
        <v>#NAME?</v>
      </c>
      <c r="W459" s="1" t="e">
        <f ca="1">_xll.BDH($C$453,"EARN_FOR_COM_GROWTH","FQ1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59" s="1" t="e">
        <f ca="1">_xll.BDH($C$453,"DILUTED_EPS_AFT_XO_ITEMS_GROWTH","FQ1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59" s="1" t="e">
        <f ca="1">_xll.BDH($C$453,"DIVIDEND_PER_SHARE_1_YEAR_GROWTH","FQ1 2015","FQ1 2015","Currency=INR","Period=FQ","BEST_FPERIOD_OVERRIDE=FQ","FILING_STATUS=OR","EQY_CONSOLIDATED=Y","Sort=A","Dates=H","DateFormat=P","Fill=—","Direction=H","UseDPDF=Y")</f>
        <v>#NAME?</v>
      </c>
      <c r="Z459" s="1" t="e">
        <f ca="1">_xll.BDH($C$453,"ACCOUNTS_RECEIVABLE_GROWTH","FQ1 2015","FQ1 2015","Currency=INR","Period=FQ","BEST_FPERIOD_OVERRIDE=FQ","FILING_STATUS=OR","EQY_CONSOLIDATED=Y","Sort=A","Dates=H","DateFormat=P","Fill=—","Direction=H","UseDPDF=Y")</f>
        <v>#NAME?</v>
      </c>
      <c r="AA459" s="1" t="e">
        <f ca="1">_xll.BDH($C$453,"INVENTORY_GROWTH","FQ1 2015","FQ1 2015","Currency=INR","Period=FQ","BEST_FPERIOD_OVERRIDE=FQ","FILING_STATUS=OR","EQY_CONSOLIDATED=Y","Sort=A","Dates=H","DateFormat=P","Fill=—","Direction=H","UseDPDF=Y")</f>
        <v>#NAME?</v>
      </c>
      <c r="AB459" s="1" t="e">
        <f ca="1">_xll.BDH($C$453,"NET_FIXED_ASSETS_1_YEAR_GROWTH","FQ1 2015","FQ1 2015","Currency=INR","Period=FQ","BEST_FPERIOD_OVERRIDE=FQ","FILING_STATUS=OR","EQY_CONSOLIDATED=Y","Sort=A","Dates=H","DateFormat=P","Fill=—","Direction=H","UseDPDF=Y")</f>
        <v>#NAME?</v>
      </c>
      <c r="AC459" s="1" t="e">
        <f ca="1">_xll.BDH($C$453,"ASSET_GROWTH","FQ1 2015","FQ1 2015","Currency=INR","Period=FQ","BEST_FPERIOD_OVERRIDE=FQ","FILING_STATUS=OR","EQY_CONSOLIDATED=Y","Sort=A","Dates=H","DateFormat=P","Fill=—","Direction=H","UseDPDF=Y")</f>
        <v>#NAME?</v>
      </c>
      <c r="AD459" s="1" t="e">
        <f ca="1">_xll.BDH($C$453,"MODIFIED_WORK_CAP_GROWTH","FQ1 2015","FQ1 2015","Currency=INR","Period=FQ","BEST_FPERIOD_OVERRIDE=FQ","FILING_STATUS=OR","EQY_CONSOLIDATED=Y","Sort=A","Dates=H","DateFormat=P","Fill=—","Direction=H","UseDPDF=Y")</f>
        <v>#NAME?</v>
      </c>
      <c r="AE459" s="1" t="e">
        <f ca="1">_xll.BDH($C$453,"WORK_CAP_GROWTH","FQ1 2015","FQ1 2015","Currency=INR","Period=FQ","BEST_FPERIOD_OVERRIDE=FQ","FILING_STATUS=OR","EQY_CONSOLIDATED=Y","Sort=A","Dates=H","DateFormat=P","Fill=—","Direction=H","UseDPDF=Y")</f>
        <v>#NAME?</v>
      </c>
      <c r="AF459" s="1" t="e">
        <f ca="1">_xll.BDH($C$453,"ACCOUNTS_PAYABLE_GROWTH_1YR","FQ1 2015","FQ1 2015","Currency=INR","Period=FQ","BEST_FPERIOD_OVERRIDE=FQ","FILING_STATUS=OR","EQY_CONSOLIDATED=Y","Sort=A","Dates=H","DateFormat=P","Fill=—","Direction=H","UseDPDF=Y")</f>
        <v>#NAME?</v>
      </c>
      <c r="AG459" s="1" t="e">
        <f ca="1">_xll.BDH($C$453,"SHORT_TERM_DEBT_1_YEAR_GROWTH","FQ1 2015","FQ1 2015","Currency=INR","Period=FQ","BEST_FPERIOD_OVERRIDE=FQ","FILING_STATUS=OR","EQY_CONSOLIDATED=Y","Sort=A","Dates=H","DateFormat=P","Fill=—","Direction=H","UseDPDF=Y")</f>
        <v>#NAME?</v>
      </c>
      <c r="AH459" s="1" t="e">
        <f ca="1">_xll.BDH($C$453,"TOTAL_DEBT_1_YEAR_GROWTH","FQ1 2015","FQ1 2015","Currency=INR","Period=FQ","BEST_FPERIOD_OVERRIDE=FQ","FILING_STATUS=OR","EQY_CONSOLIDATED=Y","Sort=A","Dates=H","DateFormat=P","Fill=—","Direction=H","UseDPDF=Y")</f>
        <v>#NAME?</v>
      </c>
      <c r="AI459" s="1" t="e">
        <f ca="1">_xll.BDH($C$453,"TOTAL_EQUITY_1_YEAR_GROWTH","FQ1 2015","FQ1 2015","Currency=INR","Period=FQ","BEST_FPERIOD_OVERRIDE=FQ","FILING_STATUS=OR","EQY_CONSOLIDATED=Y","Sort=A","Dates=H","DateFormat=P","Fill=—","Direction=H","UseDPDF=Y")</f>
        <v>#NAME?</v>
      </c>
      <c r="AJ459" s="1" t="e">
        <f ca="1">_xll.BDH($C$453,"GROWTH_IN_CAP","FQ1 2015","FQ1 2015","Currency=INR","Period=FQ","BEST_FPERIOD_OVERRIDE=FQ","FILING_STATUS=OR","EQY_CONSOLIDATED=Y","Sort=A","Dates=H","DateFormat=P","Fill=—","Direction=H","UseDPDF=Y")</f>
        <v>#NAME?</v>
      </c>
      <c r="AK459" s="1" t="e">
        <f ca="1">_xll.BDH($C$453,"BVPS_GROWTH","FQ1 2015","FQ1 2015","Currency=INR","Period=FQ","BEST_FPERIOD_OVERRIDE=FQ","FILING_STATUS=OR","EQY_CONSOLIDATED=Y","Sort=A","Dates=H","DateFormat=P","Fill=—","Direction=H","UseDPDF=Y")</f>
        <v>#NAME?</v>
      </c>
      <c r="AL459" s="1" t="e">
        <f ca="1">_xll.BDH($C$453,"CASH_FLOW_GROWTH","FQ1 2015","FQ1 2015","Currency=INR","Period=FQ","BEST_FPERIOD_OVERRIDE=FQ","FILING_STATUS=OR","EQY_CONSOLIDATED=Y","Sort=A","Dates=H","DateFormat=P","Fill=—","Direction=H","UseDPDF=Y")</f>
        <v>#NAME?</v>
      </c>
      <c r="AM459" s="1" t="e">
        <f ca="1">_xll.BDH($C$453,"GEO_GROW_NET_SALES","FQ1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59" s="1" t="e">
        <f ca="1">_xll.BDH($C$453,"GEO_GROW_EBITDA","FQ1 2015","FQ1 2015","Currency=INR","Period=FQ","BEST_FPERIOD_OVERRIDE=FQ","FILING_STATUS=OR","EQY_CONSOLIDATED=Y","FA_ADJUSTED=GAAP","Sort=A","Dates=H","DateFormat=P","Fill=—","Direction=H","UseDPDF=Y")</f>
        <v>#NAME?</v>
      </c>
      <c r="AO459" s="1" t="e">
        <f ca="1">_xll.BDH($C$453,"GEO_GROW_OPER_INC","FQ1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59" s="1" t="e">
        <f ca="1">_xll.BDH($C$453,"NET_INCOME_TO_COMMON_5_YR_GROWTH","FQ1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59" s="1" t="e">
        <f ca="1">_xll.BDH($C$453,"5Y_GEO_GROWTH_DILUTED_EPS","FQ1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59" s="1" t="e">
        <f ca="1">_xll.BDH($C$453,"GEO_GROW_DVD_PER_SH","FQ1 2015","FQ1 2015","Currency=INR","Period=FQ","BEST_FPERIOD_OVERRIDE=FQ","FILING_STATUS=OR","EQY_CONSOLIDATED=Y","Sort=A","Dates=H","DateFormat=P","Fill=—","Direction=H","UseDPDF=Y")</f>
        <v>#NAME?</v>
      </c>
      <c r="AS459" s="1" t="e">
        <f ca="1">_xll.BDH($C$453,"ACCOUNTS_RECEIVABLE_5_YR_GROWTH","FQ1 2015","FQ1 2015","Currency=INR","Period=FQ","BEST_FPERIOD_OVERRIDE=FQ","FILING_STATUS=OR","EQY_CONSOLIDATED=Y","Sort=A","Dates=H","DateFormat=P","Fill=—","Direction=H","UseDPDF=Y")</f>
        <v>#NAME?</v>
      </c>
      <c r="AT459" s="1" t="e">
        <f ca="1">_xll.BDH($C$453,"INVENTORY_5_YEAR_GROWTH","FQ1 2015","FQ1 2015","Currency=INR","Period=FQ","BEST_FPERIOD_OVERRIDE=FQ","FILING_STATUS=OR","EQY_CONSOLIDATED=Y","Sort=A","Dates=H","DateFormat=P","Fill=—","Direction=H","UseDPDF=Y")</f>
        <v>#NAME?</v>
      </c>
      <c r="AU459" s="1" t="e">
        <f ca="1">_xll.BDH($C$453,"NET_FIXED_ASSETS_5_YEAR_GROWTH","FQ1 2015","FQ1 2015","Currency=INR","Period=FQ","BEST_FPERIOD_OVERRIDE=FQ","FILING_STATUS=OR","EQY_CONSOLIDATED=Y","Sort=A","Dates=H","DateFormat=P","Fill=—","Direction=H","UseDPDF=Y")</f>
        <v>#NAME?</v>
      </c>
      <c r="AV459" s="1" t="e">
        <f ca="1">_xll.BDH($C$453,"GEO_GROW_TOT_ASSET","FQ1 2015","FQ1 2015","Currency=INR","Period=FQ","BEST_FPERIOD_OVERRIDE=FQ","FILING_STATUS=OR","EQY_CONSOLIDATED=Y","Sort=A","Dates=H","DateFormat=P","Fill=—","Direction=H","UseDPDF=Y")</f>
        <v>#NAME?</v>
      </c>
      <c r="AW459" s="1" t="e">
        <f ca="1">_xll.BDH($C$453,"MODIFIED_WORKING_CPTL_5YR_GRWTH","FQ1 2015","FQ1 2015","Currency=INR","Period=FQ","BEST_FPERIOD_OVERRIDE=FQ","FILING_STATUS=OR","EQY_CONSOLIDATED=Y","Sort=A","Dates=H","DateFormat=P","Fill=—","Direction=H","UseDPDF=Y")</f>
        <v>#NAME?</v>
      </c>
      <c r="AX459" s="1" t="e">
        <f ca="1">_xll.BDH($C$453,"WORKING_CAPITAL_5_YEAR_GROWTH","FQ1 2015","FQ1 2015","Currency=INR","Period=FQ","BEST_FPERIOD_OVERRIDE=FQ","FILING_STATUS=OR","EQY_CONSOLIDATED=Y","Sort=A","Dates=H","DateFormat=P","Fill=—","Direction=H","UseDPDF=Y")</f>
        <v>#NAME?</v>
      </c>
      <c r="AY459" s="1" t="e">
        <f ca="1">_xll.BDH($C$453,"ACCOUNTS_PAYABLE_5_YEAR_GROWTH","FQ1 2015","FQ1 2015","Currency=INR","Period=FQ","BEST_FPERIOD_OVERRIDE=FQ","FILING_STATUS=OR","EQY_CONSOLIDATED=Y","Sort=A","Dates=H","DateFormat=P","Fill=—","Direction=H","UseDPDF=Y")</f>
        <v>#NAME?</v>
      </c>
      <c r="AZ459" s="1" t="e">
        <f ca="1">_xll.BDH($C$453,"SHORT_TERM_DEBT_5_YEAR_GROWTH","FQ1 2015","FQ1 2015","Currency=INR","Period=FQ","BEST_FPERIOD_OVERRIDE=FQ","FILING_STATUS=OR","EQY_CONSOLIDATED=Y","Sort=A","Dates=H","DateFormat=P","Fill=—","Direction=H","UseDPDF=Y")</f>
        <v>#NAME?</v>
      </c>
      <c r="BA459" s="1" t="e">
        <f ca="1">_xll.BDH($C$453,"TOTAL_DEBT_5_YEAR_GROWTH","FQ1 2015","FQ1 2015","Currency=INR","Period=FQ","BEST_FPERIOD_OVERRIDE=FQ","FILING_STATUS=OR","EQY_CONSOLIDATED=Y","Sort=A","Dates=H","DateFormat=P","Fill=—","Direction=H","UseDPDF=Y")</f>
        <v>#NAME?</v>
      </c>
      <c r="BB459" s="1" t="e">
        <f ca="1">_xll.BDH($C$453,"GEO_GROW_TOT_SHRHLDR_EQY","FQ1 2015","FQ1 2015","Currency=INR","Period=FQ","BEST_FPERIOD_OVERRIDE=FQ","FILING_STATUS=OR","EQY_CONSOLIDATED=Y","Sort=A","Dates=H","DateFormat=P","Fill=—","Direction=H","UseDPDF=Y")</f>
        <v>#NAME?</v>
      </c>
      <c r="BC459" s="1" t="e">
        <f ca="1">_xll.BDH($C$453,"TOTAL_CAPITAL_5_YEAR_GROWTH","FQ1 2015","FQ1 2015","Currency=INR","Period=FQ","BEST_FPERIOD_OVERRIDE=FQ","FILING_STATUS=OR","EQY_CONSOLIDATED=Y","Sort=A","Dates=H","DateFormat=P","Fill=—","Direction=H","UseDPDF=Y")</f>
        <v>#NAME?</v>
      </c>
      <c r="BD459" s="1" t="e">
        <f ca="1">_xll.BDH($C$453,"GEO_GROW_BOOK_VAL","FQ1 2015","FQ1 2015","Currency=INR","Period=FQ","BEST_FPERIOD_OVERRIDE=FQ","FILING_STATUS=OR","EQY_CONSOLIDATED=Y","Sort=A","Dates=H","DateFormat=P","Fill=—","Direction=H","UseDPDF=Y")</f>
        <v>#NAME?</v>
      </c>
      <c r="BE459" s="1" t="e">
        <f ca="1">_xll.BDH($C$453,"GEO_GROW_CASH_OPER_ACT","FQ1 2015","FQ1 2015","Currency=INR","Period=FQ","BEST_FPERIOD_OVERRIDE=FQ","FILING_STATUS=OR","EQY_CONSOLIDATED=Y","Sort=A","Dates=H","DateFormat=P","Fill=—","Direction=H","UseDPDF=Y")</f>
        <v>#NAME?</v>
      </c>
      <c r="BF459" s="1" t="e">
        <f ca="1">_xll.BDH($C$453,"REVENUE_SEQUENTIAL_GROWTH","FQ1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59" s="1" t="e">
        <f ca="1">_xll.BDH($C$453,"EBITDA_SEQUENTIAL_GROWTH","FQ1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59" s="1" t="e">
        <f ca="1">_xll.BDH($C$453,"OPERATING_INCOME_SEQ_GROWTH","FQ1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59" s="1" t="e">
        <f ca="1">_xll.BDH($C$453,"NET_INCOME_TO_COMMON_SEQ_GROWTH","FQ1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59" s="1" t="e">
        <f ca="1">_xll.BDH($C$453,"EPS_DILUTED_SEQUENTIAL_GROWTH","FQ1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59" s="1" t="e">
        <f ca="1">_xll.BDH($C$453,"DPS_SEQUENTIAL_GROWTH","FQ1 2015","FQ1 2015","Currency=INR","Period=FQ","BEST_FPERIOD_OVERRIDE=FQ","FILING_STATUS=OR","EQY_CONSOLIDATED=Y","Sort=A","Dates=H","DateFormat=P","Fill=—","Direction=H","UseDPDF=Y")</f>
        <v>#NAME?</v>
      </c>
      <c r="BL459" s="1" t="e">
        <f ca="1">_xll.BDH($C$453,"ACCOUNTS_RECEIVABLE_SEQ_GROWTH","FQ1 2015","FQ1 2015","Currency=INR","Period=FQ","BEST_FPERIOD_OVERRIDE=FQ","FILING_STATUS=OR","EQY_CONSOLIDATED=Y","Sort=A","Dates=H","DateFormat=P","Fill=—","Direction=H","UseDPDF=Y")</f>
        <v>#NAME?</v>
      </c>
      <c r="BM459" s="1" t="e">
        <f ca="1">_xll.BDH($C$453,"INVENTORY_SEQUENTIAL_GROWTH","FQ1 2015","FQ1 2015","Currency=INR","Period=FQ","BEST_FPERIOD_OVERRIDE=FQ","FILING_STATUS=OR","EQY_CONSOLIDATED=Y","Sort=A","Dates=H","DateFormat=P","Fill=—","Direction=H","UseDPDF=Y")</f>
        <v>#NAME?</v>
      </c>
      <c r="BN459" s="1" t="e">
        <f ca="1">_xll.BDH($C$453,"FIXED_ASSETS_SEQUENTIAL_GROWTH","FQ1 2015","FQ1 2015","Currency=INR","Period=FQ","BEST_FPERIOD_OVERRIDE=FQ","FILING_STATUS=OR","EQY_CONSOLIDATED=Y","Sort=A","Dates=H","DateFormat=P","Fill=—","Direction=H","UseDPDF=Y")</f>
        <v>#NAME?</v>
      </c>
      <c r="BO459" s="1" t="e">
        <f ca="1">_xll.BDH($C$453,"TOTAL_ASSETS_SEQUENTIAL_GROWTH","FQ1 2015","FQ1 2015","Currency=INR","Period=FQ","BEST_FPERIOD_OVERRIDE=FQ","FILING_STATUS=OR","EQY_CONSOLIDATED=Y","Sort=A","Dates=H","DateFormat=P","Fill=—","Direction=H","UseDPDF=Y")</f>
        <v>#NAME?</v>
      </c>
      <c r="BP459" s="1" t="e">
        <f ca="1">_xll.BDH($C$453,"MODIFIED_WORKING_CPTL_SEQ_GRWTH","FQ1 2015","FQ1 2015","Currency=INR","Period=FQ","BEST_FPERIOD_OVERRIDE=FQ","FILING_STATUS=OR","EQY_CONSOLIDATED=Y","Sort=A","Dates=H","DateFormat=P","Fill=—","Direction=H","UseDPDF=Y")</f>
        <v>#NAME?</v>
      </c>
      <c r="BQ459" s="1" t="e">
        <f ca="1">_xll.BDH($C$453,"WORKING_CAPITAL_SEQ_GROWTH","FQ1 2015","FQ1 2015","Currency=INR","Period=FQ","BEST_FPERIOD_OVERRIDE=FQ","FILING_STATUS=OR","EQY_CONSOLIDATED=Y","Sort=A","Dates=H","DateFormat=P","Fill=—","Direction=H","UseDPDF=Y")</f>
        <v>#NAME?</v>
      </c>
      <c r="BR459" s="1" t="e">
        <f ca="1">_xll.BDH($C$453,"ACCOUNTS_PAYABLE_SEQ_GROWTH","FQ1 2015","FQ1 2015","Currency=INR","Period=FQ","BEST_FPERIOD_OVERRIDE=FQ","FILING_STATUS=OR","EQY_CONSOLIDATED=Y","Sort=A","Dates=H","DateFormat=P","Fill=—","Direction=H","UseDPDF=Y")</f>
        <v>#NAME?</v>
      </c>
      <c r="BS459" s="1" t="e">
        <f ca="1">_xll.BDH($C$453,"ST_DEBT_SEQUENTIAL_GROWTH","FQ1 2015","FQ1 2015","Currency=INR","Period=FQ","BEST_FPERIOD_OVERRIDE=FQ","FILING_STATUS=OR","EQY_CONSOLIDATED=Y","Sort=A","Dates=H","DateFormat=P","Fill=—","Direction=H","UseDPDF=Y")</f>
        <v>#NAME?</v>
      </c>
      <c r="BT459" s="1" t="e">
        <f ca="1">_xll.BDH($C$453,"TOTAL_DEBT_SEQUENTIAL_GROWTH","FQ1 2015","FQ1 2015","Currency=INR","Period=FQ","BEST_FPERIOD_OVERRIDE=FQ","FILING_STATUS=OR","EQY_CONSOLIDATED=Y","Sort=A","Dates=H","DateFormat=P","Fill=—","Direction=H","UseDPDF=Y")</f>
        <v>#NAME?</v>
      </c>
      <c r="BU459" s="1" t="e">
        <f ca="1">_xll.BDH($C$453,"TOTAL_EQUITY_SEQUENTIAL_GROWTH","FQ1 2015","FQ1 2015","Currency=INR","Period=FQ","BEST_FPERIOD_OVERRIDE=FQ","FILING_STATUS=OR","EQY_CONSOLIDATED=Y","Sort=A","Dates=H","DateFormat=P","Fill=—","Direction=H","UseDPDF=Y")</f>
        <v>#NAME?</v>
      </c>
      <c r="BV459" s="1" t="e">
        <f ca="1">_xll.BDH($C$453,"TOTAL_CAPITAL_SEQUENTIAL_GROWTH","FQ1 2015","FQ1 2015","Currency=INR","Period=FQ","BEST_FPERIOD_OVERRIDE=FQ","FILING_STATUS=OR","EQY_CONSOLIDATED=Y","Sort=A","Dates=H","DateFormat=P","Fill=—","Direction=H","UseDPDF=Y")</f>
        <v>#NAME?</v>
      </c>
      <c r="BW459" s="1" t="e">
        <f ca="1">_xll.BDH($C$453,"BPS_SEQUENTIAL_GROWTH","FQ1 2015","FQ1 2015","Currency=INR","Period=FQ","BEST_FPERIOD_OVERRIDE=FQ","FILING_STATUS=OR","EQY_CONSOLIDATED=Y","Sort=A","Dates=H","DateFormat=P","Fill=—","Direction=H","UseDPDF=Y")</f>
        <v>#NAME?</v>
      </c>
      <c r="BX459" s="1" t="e">
        <f ca="1">_xll.BDH($C$453,"CFO_SEQUENTIAL_GROWTH","FQ1 2015","FQ1 2015","Currency=INR","Period=FQ","BEST_FPERIOD_OVERRIDE=FQ","FILING_STATUS=OR","EQY_CONSOLIDATED=Y","Sort=A","Dates=H","DateFormat=P","Fill=—","Direction=H","UseDPDF=Y")</f>
        <v>#NAME?</v>
      </c>
      <c r="BY459" s="2" t="e">
        <f ca="1">_xll.BDH($C$453,"SHORT_AND_LONG_TERM_DEBT","FQ1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59" s="2" t="e">
        <f ca="1">_xll.BDH($C$453,"BS_ST_BORROW","FQ1 2015","FQ1 2015","Currency=INR","Period=FQ","BEST_FPERIOD_OVERRIDE=FQ","FILING_STATUS=OR","EQY_CONSOLIDATED=Y","SCALING_FORMAT=MLN","Sort=A","Dates=H","DateFormat=P","Fill=—","Direction=H","UseDPDF=Y")</f>
        <v>#NAME?</v>
      </c>
      <c r="CA459" s="2" t="e">
        <f ca="1">_xll.BDH($C$453,"BS_LT_BORROW","FQ1 2015","FQ1 2015","Currency=INR","Period=FQ","BEST_FPERIOD_OVERRIDE=FQ","FILING_STATUS=OR","EQY_CONSOLIDATED=Y","SCALING_FORMAT=MLN","Sort=A","Dates=H","DateFormat=P","Fill=—","Direction=H","UseDPDF=Y")</f>
        <v>#NAME?</v>
      </c>
      <c r="CB459" s="1" t="e">
        <f ca="1">_xll.BDH($C$453,"TOT_DEBT_TO_EBITDA","FQ1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59" s="1" t="e">
        <f ca="1">_xll.BDH($C$453,"NET_DEBT_TO_EBITDA","FQ1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59" s="1" t="e">
        <f ca="1">_xll.BDH($C$453,"TOTAL_DEBT_TO_EBIT","FQ1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59" s="1" t="e">
        <f ca="1">_xll.BDH($C$453,"NET_DEBT_TO_EBIT","FQ1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459" s="1" t="e">
        <f ca="1">_xll.BDH($C$453,"EBITDA_TO_INTEREST_EXPN","FQ1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59" s="1" t="e">
        <f ca="1">_xll.BDH($C$453,"COM_EQY_TO_TOT_ASSET","FQ1 2015","FQ1 2015","Currency=INR","Period=FQ","BEST_FPERIOD_OVERRIDE=FQ","FILING_STATUS=OR","EQY_CONSOLIDATED=Y","Sort=A","Dates=H","DateFormat=P","Fill=—","Direction=H","UseDPDF=Y")</f>
        <v>#NAME?</v>
      </c>
      <c r="CH459" s="1" t="e">
        <f ca="1">_xll.BDH($C$453,"LT_DEBT_TO_TOT_EQY","FQ1 2015","FQ1 2015","Currency=INR","Period=FQ","BEST_FPERIOD_OVERRIDE=FQ","FILING_STATUS=OR","EQY_CONSOLIDATED=Y","Sort=A","Dates=H","DateFormat=P","Fill=—","Direction=H","UseDPDF=Y")</f>
        <v>#NAME?</v>
      </c>
      <c r="CI459" s="1" t="e">
        <f ca="1">_xll.BDH($C$453,"LT_DEBT_TO_TOT_CAP","FQ1 2015","FQ1 2015","Currency=INR","Period=FQ","BEST_FPERIOD_OVERRIDE=FQ","FILING_STATUS=OR","EQY_CONSOLIDATED=Y","Sort=A","Dates=H","DateFormat=P","Fill=—","Direction=H","UseDPDF=Y")</f>
        <v>#NAME?</v>
      </c>
      <c r="CJ459" s="1" t="e">
        <f ca="1">_xll.BDH($C$453,"LT_DEBT_TO_TOT_ASSET","FQ1 2015","FQ1 2015","Currency=INR","Period=FQ","BEST_FPERIOD_OVERRIDE=FQ","FILING_STATUS=OR","EQY_CONSOLIDATED=Y","Sort=A","Dates=H","DateFormat=P","Fill=—","Direction=H","UseDPDF=Y")</f>
        <v>#NAME?</v>
      </c>
      <c r="CK459" s="1" t="e">
        <f ca="1">_xll.BDH($C$453,"TOT_DEBT_TO_TOT_EQY","FQ1 2015","FQ1 2015","Currency=INR","Period=FQ","BEST_FPERIOD_OVERRIDE=FQ","FILING_STATUS=OR","EQY_CONSOLIDATED=Y","Sort=A","Dates=H","DateFormat=P","Fill=—","Direction=H","UseDPDF=Y")</f>
        <v>#NAME?</v>
      </c>
      <c r="CL459" s="1" t="e">
        <f ca="1">_xll.BDH($C$453,"TOT_DEBT_TO_TOT_CAP","FQ1 2015","FQ1 2015","Currency=INR","Period=FQ","BEST_FPERIOD_OVERRIDE=FQ","FILING_STATUS=OR","EQY_CONSOLIDATED=Y","Sort=A","Dates=H","DateFormat=P","Fill=—","Direction=H","UseDPDF=Y")</f>
        <v>#NAME?</v>
      </c>
      <c r="CM459" s="1" t="e">
        <f ca="1">_xll.BDH($C$453,"TOT_DEBT_TO_TOT_ASSET","FQ1 2015","FQ1 2015","Currency=INR","Period=FQ","BEST_FPERIOD_OVERRIDE=FQ","FILING_STATUS=OR","EQY_CONSOLIDATED=Y","Sort=A","Dates=H","DateFormat=P","Fill=—","Direction=H","UseDPDF=Y")</f>
        <v>#NAME?</v>
      </c>
      <c r="CN459" s="1" t="e">
        <f ca="1">_xll.BDH($C$453,"NET_DEBT_TO_SHRHLDR_EQTY","FQ1 2015","FQ1 2015","Currency=INR","Period=FQ","BEST_FPERIOD_OVERRIDE=FQ","FILING_STATUS=OR","EQY_CONSOLIDATED=Y","Sort=A","Dates=H","DateFormat=P","Fill=—","Direction=H","UseDPDF=Y")</f>
        <v>#NAME?</v>
      </c>
      <c r="CO459" s="1" t="e">
        <f ca="1">_xll.BDH($C$453,"NET_DEBT_%_CAPITAL","FQ1 2015","FQ1 2015","Currency=INR","Period=FQ","BEST_FPERIOD_OVERRIDE=FQ","FILING_STATUS=OR","EQY_CONSOLIDATED=Y","Sort=A","Dates=H","DateFormat=P","Fill=—","Direction=H","UseDPDF=Y")</f>
        <v>#NAME?</v>
      </c>
      <c r="CP459" s="2" t="e">
        <f ca="1">_xll.BDH($C$453,"EBITDA","FQ1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59" s="2" t="e">
        <f ca="1">_xll.BDH($C$453,"EBITDA_AFTER_CAPEX","FQ1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59" s="2" t="e">
        <f ca="1">_xll.BDH($C$453,"IS_OPER_INC","FQ1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59" s="1" t="e">
        <f ca="1">_xll.BDH($C$453,"CASH_RATIO","FQ1 2015","FQ1 2015","Currency=INR","Period=FQ","BEST_FPERIOD_OVERRIDE=FQ","FILING_STATUS=OR","EQY_CONSOLIDATED=Y","Sort=A","Dates=H","DateFormat=P","Fill=—","Direction=H","UseDPDF=Y")</f>
        <v>#NAME?</v>
      </c>
      <c r="CT459" s="1" t="e">
        <f ca="1">_xll.BDH($C$453,"CUR_RATIO","FQ1 2015","FQ1 2015","Currency=INR","Period=FQ","BEST_FPERIOD_OVERRIDE=FQ","FILING_STATUS=OR","EQY_CONSOLIDATED=Y","Sort=A","Dates=H","DateFormat=P","Fill=—","Direction=H","UseDPDF=Y")</f>
        <v>#NAME?</v>
      </c>
      <c r="CU459" s="1" t="e">
        <f ca="1">_xll.BDH($C$453,"QUICK_RATIO","FQ1 2015","FQ1 2015","Currency=INR","Period=FQ","BEST_FPERIOD_OVERRIDE=FQ","FILING_STATUS=OR","EQY_CONSOLIDATED=Y","Sort=A","Dates=H","DateFormat=P","Fill=—","Direction=H","UseDPDF=Y")</f>
        <v>#NAME?</v>
      </c>
      <c r="CV459" s="1" t="e">
        <f ca="1">_xll.BDH($C$453,"ALTMAN_Z_SCORE","FQ1 2015","FQ1 2015","Currency=INR","Period=FQ","BEST_FPERIOD_OVERRIDE=FQ","FILING_STATUS=OR","EQY_CONSOLIDATED=Y","Sort=A","Dates=H","DateFormat=P","Fill=—","Direction=H","UseDPDF=Y")</f>
        <v>#NAME?</v>
      </c>
      <c r="CW459" s="3" t="e">
        <f ca="1">_xll.BDH($C$453,"ACCT_RCV_TURN","FQ1 2015","FQ1 2015","Currency=INR","Period=FQ","BEST_FPERIOD_OVERRIDE=FQ","FILING_STATUS=OR","EQY_CONSOLIDATED=Y","FA_ADJUSTED=GAAP","Sort=A","Dates=H","DateFormat=P","Fill=—","Direction=H","UseDPDF=Y")</f>
        <v>#NAME?</v>
      </c>
      <c r="CX459" s="1" t="e">
        <f ca="1">_xll.BDH($C$453,"ACCT_RCV_DAYS","FQ1 2015","FQ1 2015","Currency=INR","Period=FQ","BEST_FPERIOD_OVERRIDE=FQ","FILING_STATUS=OR","EQY_CONSOLIDATED=Y","FA_ADJUSTED=GAAP","Sort=A","Dates=H","DateFormat=P","Fill=—","Direction=H","UseDPDF=Y")</f>
        <v>#NAME?</v>
      </c>
      <c r="CY459" s="3" t="e">
        <f ca="1">_xll.BDH($C$453,"INVENT_TURN","FQ1 2015","FQ1 2015","Currency=INR","Period=FQ","BEST_FPERIOD_OVERRIDE=FQ","FILING_STATUS=OR","EQY_CONSOLIDATED=Y","FA_ADJUSTED=GAAP","Sort=A","Dates=H","DateFormat=P","Fill=—","Direction=H","UseDPDF=Y")</f>
        <v>#NAME?</v>
      </c>
      <c r="CZ459" s="1" t="e">
        <f ca="1">_xll.BDH($C$453,"INVENT_DAYS","FQ1 2015","FQ1 2015","Currency=INR","Period=FQ","BEST_FPERIOD_OVERRIDE=FQ","FILING_STATUS=OR","EQY_CONSOLIDATED=Y","FA_ADJUSTED=GAAP","Sort=A","Dates=H","DateFormat=P","Fill=—","Direction=H","UseDPDF=Y")</f>
        <v>#NAME?</v>
      </c>
      <c r="DA459" s="3" t="e">
        <f ca="1">_xll.BDH($C$453,"ACCOUNTS_PAYABLE_TURNOVER","FQ1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59" s="1" t="e">
        <f ca="1">_xll.BDH($C$453,"ACCOUNTS_PAYABLE_TURNOVER_DAYS","FQ1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59" s="3" t="e">
        <f ca="1">_xll.BDH($C$453,"CASH_CONVERSION_CYCLE","FQ1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59" s="3" t="e">
        <f ca="1">_xll.BDH($C$453,"INV_TO_CASH_DAYS","FQ1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459" s="4" t="e">
        <f ca="1">_xll.BDH($C$453,"BS_INVENTORIES","FQ1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459" s="2" t="e">
        <f ca="1">_xll.BDH($C$453,"INVTRY_RAW_MATERIALS","FQ1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59" s="2" t="e">
        <f ca="1">_xll.BDH($C$453,"INVTRY_IN_PROGRESS","FQ1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59" s="2" t="e">
        <f ca="1">_xll.BDH($C$453,"INVTRY_FINISHED_GOODS","FQ1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59" s="2" t="e">
        <f ca="1">_xll.BDH($C$453,"BS_OTHER_INV","FQ1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60" spans="1:113" x14ac:dyDescent="0.3">
      <c r="A460" s="6"/>
      <c r="B460" s="6"/>
      <c r="C460" s="6"/>
      <c r="D460" s="6"/>
      <c r="E460" t="s">
        <v>5</v>
      </c>
      <c r="F460" t="e">
        <f ca="1">_xll.BDH($C$453,"RETURN_COM_EQY","FQ2 2015","FQ2 2015","Currency=INR","Period=FQ","BEST_FPERIOD_OVERRIDE=FQ","FILING_STATUS=OR","EQY_CONSOLIDATED=Y","FA_ADJUSTED=GAAP","Sort=A","Dates=H","DateFormat=P","Fill=—","Direction=H","UseDPDF=Y")</f>
        <v>#NAME?</v>
      </c>
      <c r="G460" t="e">
        <f ca="1">_xll.BDH($C$453,"RETURN_ON_ASSET","FQ2 2015","FQ2 2015","Currency=INR","Period=FQ","BEST_FPERIOD_OVERRIDE=FQ","FILING_STATUS=OR","EQY_CONSOLIDATED=Y","FA_ADJUSTED=GAAP","Sort=A","Dates=H","DateFormat=P","Fill=—","Direction=H","UseDPDF=Y")</f>
        <v>#NAME?</v>
      </c>
      <c r="H460" t="e">
        <f ca="1">_xll.BDH($C$453,"RETURN_ON_CAP","FQ2 2015","FQ2 2015","Currency=INR","Period=FQ","BEST_FPERIOD_OVERRIDE=FQ","FILING_STATUS=OR","EQY_CONSOLIDATED=Y","FA_ADJUSTED=GAAP","Sort=A","Dates=H","DateFormat=P","Fill=—","Direction=H","UseDPDF=Y")</f>
        <v>#NAME?</v>
      </c>
      <c r="I460" t="e">
        <f ca="1">_xll.BDH($C$453,"RETURN_ON_INV_CAPITAL","FQ2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60" t="e">
        <f ca="1">_xll.BDH($C$453,"EBITDA_TO_REVENUE","FQ2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460" t="e">
        <f ca="1">_xll.BDH($C$453,"OPER_MARGIN","FQ2 2015","FQ2 2015","Currency=INR","Period=FQ","BEST_FPERIOD_OVERRIDE=FQ","FILING_STATUS=OR","EQY_CONSOLIDATED=Y","FA_ADJUSTED=GAAP","Sort=A","Dates=H","DateFormat=P","Fill=—","Direction=H","UseDPDF=Y")</f>
        <v>#NAME?</v>
      </c>
      <c r="L460" t="e">
        <f ca="1">_xll.BDH($C$453,"INCREMENTAL_OPERATING_MARGIN","FQ2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60" t="e">
        <f ca="1">_xll.BDH($C$453,"PRETAX_INC_TO_NET_SALES","FQ2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60" t="e">
        <f ca="1">_xll.BDH($C$453,"INC_BEF_XO_ITEMS_TO_NET_SALES","FQ2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60" t="e">
        <f ca="1">_xll.BDH($C$453,"PROF_MARGIN","FQ2 2015","FQ2 2015","Currency=INR","Period=FQ","BEST_FPERIOD_OVERRIDE=FQ","FILING_STATUS=OR","EQY_CONSOLIDATED=Y","FA_ADJUSTED=GAAP","Sort=A","Dates=H","DateFormat=P","Fill=—","Direction=H","UseDPDF=Y")</f>
        <v>#NAME?</v>
      </c>
      <c r="P460" t="e">
        <f ca="1">_xll.BDH($C$453,"NET_INCOME_TO_COMMON_MARGIN","FQ2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60" t="e">
        <f ca="1">_xll.BDH($C$453,"EFF_TAX_RATE","FQ2 2015","FQ2 2015","Currency=INR","Period=FQ","BEST_FPERIOD_OVERRIDE=FQ","FILING_STATUS=OR","EQY_CONSOLIDATED=Y","FA_ADJUSTED=GAAP","Sort=A","Dates=H","DateFormat=P","Fill=—","Direction=H","UseDPDF=Y")</f>
        <v>#NAME?</v>
      </c>
      <c r="R460" t="e">
        <f ca="1">_xll.BDH($C$453,"DVD_PAYOUT_RATIO","FQ2 2015","FQ2 2015","Currency=INR","Period=FQ","BEST_FPERIOD_OVERRIDE=FQ","FILING_STATUS=OR","EQY_CONSOLIDATED=Y","FA_ADJUSTED=GAAP","Sort=A","Dates=H","DateFormat=P","Fill=—","Direction=H","UseDPDF=Y")</f>
        <v>#NAME?</v>
      </c>
      <c r="S460" t="e">
        <f ca="1">_xll.BDH($C$453,"SUSTAIN_GROWTH_RT","FQ2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460" s="1" t="e">
        <f ca="1">_xll.BDH($C$453,"SALES_GROWTH","FQ2 2015","FQ2 2015","Currency=INR","Period=FQ","BEST_FPERIOD_OVERRIDE=FQ","FILING_STATUS=OR","EQY_CONSOLIDATED=Y","FA_ADJUSTED=GAAP","Sort=A","Dates=H","DateFormat=P","Fill=—","Direction=H","UseDPDF=Y")</f>
        <v>#NAME?</v>
      </c>
      <c r="U460" s="1" t="e">
        <f ca="1">_xll.BDH($C$453,"EBITDA_GROWTH","FQ2 2015","FQ2 2015","Currency=INR","Period=FQ","BEST_FPERIOD_OVERRIDE=FQ","FILING_STATUS=OR","EQY_CONSOLIDATED=Y","FA_ADJUSTED=GAAP","Sort=A","Dates=H","DateFormat=P","Fill=—","Direction=H","UseDPDF=Y")</f>
        <v>#NAME?</v>
      </c>
      <c r="V460" s="1" t="e">
        <f ca="1">_xll.BDH($C$453,"OPER_INC_GROWTH","FQ2 2015","FQ2 2015","Currency=INR","Period=FQ","BEST_FPERIOD_OVERRIDE=FQ","FILING_STATUS=OR","EQY_CONSOLIDATED=Y","FA_ADJUSTED=GAAP","Sort=A","Dates=H","DateFormat=P","Fill=—","Direction=H","UseDPDF=Y")</f>
        <v>#NAME?</v>
      </c>
      <c r="W460" s="1" t="e">
        <f ca="1">_xll.BDH($C$453,"EARN_FOR_COM_GROWTH","FQ2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60" s="1" t="e">
        <f ca="1">_xll.BDH($C$453,"DILUTED_EPS_AFT_XO_ITEMS_GROWTH","FQ2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60" s="1" t="e">
        <f ca="1">_xll.BDH($C$453,"DIVIDEND_PER_SHARE_1_YEAR_GROWTH","FQ2 2015","FQ2 2015","Currency=INR","Period=FQ","BEST_FPERIOD_OVERRIDE=FQ","FILING_STATUS=OR","EQY_CONSOLIDATED=Y","Sort=A","Dates=H","DateFormat=P","Fill=—","Direction=H","UseDPDF=Y")</f>
        <v>#NAME?</v>
      </c>
      <c r="Z460" s="1" t="e">
        <f ca="1">_xll.BDH($C$453,"ACCOUNTS_RECEIVABLE_GROWTH","FQ2 2015","FQ2 2015","Currency=INR","Period=FQ","BEST_FPERIOD_OVERRIDE=FQ","FILING_STATUS=OR","EQY_CONSOLIDATED=Y","Sort=A","Dates=H","DateFormat=P","Fill=—","Direction=H","UseDPDF=Y")</f>
        <v>#NAME?</v>
      </c>
      <c r="AA460" s="1" t="e">
        <f ca="1">_xll.BDH($C$453,"INVENTORY_GROWTH","FQ2 2015","FQ2 2015","Currency=INR","Period=FQ","BEST_FPERIOD_OVERRIDE=FQ","FILING_STATUS=OR","EQY_CONSOLIDATED=Y","Sort=A","Dates=H","DateFormat=P","Fill=—","Direction=H","UseDPDF=Y")</f>
        <v>#NAME?</v>
      </c>
      <c r="AB460" s="1" t="e">
        <f ca="1">_xll.BDH($C$453,"NET_FIXED_ASSETS_1_YEAR_GROWTH","FQ2 2015","FQ2 2015","Currency=INR","Period=FQ","BEST_FPERIOD_OVERRIDE=FQ","FILING_STATUS=OR","EQY_CONSOLIDATED=Y","Sort=A","Dates=H","DateFormat=P","Fill=—","Direction=H","UseDPDF=Y")</f>
        <v>#NAME?</v>
      </c>
      <c r="AC460" s="1" t="e">
        <f ca="1">_xll.BDH($C$453,"ASSET_GROWTH","FQ2 2015","FQ2 2015","Currency=INR","Period=FQ","BEST_FPERIOD_OVERRIDE=FQ","FILING_STATUS=OR","EQY_CONSOLIDATED=Y","Sort=A","Dates=H","DateFormat=P","Fill=—","Direction=H","UseDPDF=Y")</f>
        <v>#NAME?</v>
      </c>
      <c r="AD460" s="1" t="e">
        <f ca="1">_xll.BDH($C$453,"MODIFIED_WORK_CAP_GROWTH","FQ2 2015","FQ2 2015","Currency=INR","Period=FQ","BEST_FPERIOD_OVERRIDE=FQ","FILING_STATUS=OR","EQY_CONSOLIDATED=Y","Sort=A","Dates=H","DateFormat=P","Fill=—","Direction=H","UseDPDF=Y")</f>
        <v>#NAME?</v>
      </c>
      <c r="AE460" s="1" t="e">
        <f ca="1">_xll.BDH($C$453,"WORK_CAP_GROWTH","FQ2 2015","FQ2 2015","Currency=INR","Period=FQ","BEST_FPERIOD_OVERRIDE=FQ","FILING_STATUS=OR","EQY_CONSOLIDATED=Y","Sort=A","Dates=H","DateFormat=P","Fill=—","Direction=H","UseDPDF=Y")</f>
        <v>#NAME?</v>
      </c>
      <c r="AF460" s="1" t="e">
        <f ca="1">_xll.BDH($C$453,"ACCOUNTS_PAYABLE_GROWTH_1YR","FQ2 2015","FQ2 2015","Currency=INR","Period=FQ","BEST_FPERIOD_OVERRIDE=FQ","FILING_STATUS=OR","EQY_CONSOLIDATED=Y","Sort=A","Dates=H","DateFormat=P","Fill=—","Direction=H","UseDPDF=Y")</f>
        <v>#NAME?</v>
      </c>
      <c r="AG460" s="1" t="e">
        <f ca="1">_xll.BDH($C$453,"SHORT_TERM_DEBT_1_YEAR_GROWTH","FQ2 2015","FQ2 2015","Currency=INR","Period=FQ","BEST_FPERIOD_OVERRIDE=FQ","FILING_STATUS=OR","EQY_CONSOLIDATED=Y","Sort=A","Dates=H","DateFormat=P","Fill=—","Direction=H","UseDPDF=Y")</f>
        <v>#NAME?</v>
      </c>
      <c r="AH460" s="1" t="e">
        <f ca="1">_xll.BDH($C$453,"TOTAL_DEBT_1_YEAR_GROWTH","FQ2 2015","FQ2 2015","Currency=INR","Period=FQ","BEST_FPERIOD_OVERRIDE=FQ","FILING_STATUS=OR","EQY_CONSOLIDATED=Y","Sort=A","Dates=H","DateFormat=P","Fill=—","Direction=H","UseDPDF=Y")</f>
        <v>#NAME?</v>
      </c>
      <c r="AI460" s="1" t="e">
        <f ca="1">_xll.BDH($C$453,"TOTAL_EQUITY_1_YEAR_GROWTH","FQ2 2015","FQ2 2015","Currency=INR","Period=FQ","BEST_FPERIOD_OVERRIDE=FQ","FILING_STATUS=OR","EQY_CONSOLIDATED=Y","Sort=A","Dates=H","DateFormat=P","Fill=—","Direction=H","UseDPDF=Y")</f>
        <v>#NAME?</v>
      </c>
      <c r="AJ460" s="1" t="e">
        <f ca="1">_xll.BDH($C$453,"GROWTH_IN_CAP","FQ2 2015","FQ2 2015","Currency=INR","Period=FQ","BEST_FPERIOD_OVERRIDE=FQ","FILING_STATUS=OR","EQY_CONSOLIDATED=Y","Sort=A","Dates=H","DateFormat=P","Fill=—","Direction=H","UseDPDF=Y")</f>
        <v>#NAME?</v>
      </c>
      <c r="AK460" s="1" t="e">
        <f ca="1">_xll.BDH($C$453,"BVPS_GROWTH","FQ2 2015","FQ2 2015","Currency=INR","Period=FQ","BEST_FPERIOD_OVERRIDE=FQ","FILING_STATUS=OR","EQY_CONSOLIDATED=Y","Sort=A","Dates=H","DateFormat=P","Fill=—","Direction=H","UseDPDF=Y")</f>
        <v>#NAME?</v>
      </c>
      <c r="AL460" s="1" t="e">
        <f ca="1">_xll.BDH($C$453,"CASH_FLOW_GROWTH","FQ2 2015","FQ2 2015","Currency=INR","Period=FQ","BEST_FPERIOD_OVERRIDE=FQ","FILING_STATUS=OR","EQY_CONSOLIDATED=Y","Sort=A","Dates=H","DateFormat=P","Fill=—","Direction=H","UseDPDF=Y")</f>
        <v>#NAME?</v>
      </c>
      <c r="AM460" s="1" t="e">
        <f ca="1">_xll.BDH($C$453,"GEO_GROW_NET_SALES","FQ2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60" s="1" t="e">
        <f ca="1">_xll.BDH($C$453,"GEO_GROW_EBITDA","FQ2 2015","FQ2 2015","Currency=INR","Period=FQ","BEST_FPERIOD_OVERRIDE=FQ","FILING_STATUS=OR","EQY_CONSOLIDATED=Y","FA_ADJUSTED=GAAP","Sort=A","Dates=H","DateFormat=P","Fill=—","Direction=H","UseDPDF=Y")</f>
        <v>#NAME?</v>
      </c>
      <c r="AO460" s="1" t="e">
        <f ca="1">_xll.BDH($C$453,"GEO_GROW_OPER_INC","FQ2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60" s="1" t="e">
        <f ca="1">_xll.BDH($C$453,"NET_INCOME_TO_COMMON_5_YR_GROWTH","FQ2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60" s="1" t="e">
        <f ca="1">_xll.BDH($C$453,"5Y_GEO_GROWTH_DILUTED_EPS","FQ2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60" s="1" t="e">
        <f ca="1">_xll.BDH($C$453,"GEO_GROW_DVD_PER_SH","FQ2 2015","FQ2 2015","Currency=INR","Period=FQ","BEST_FPERIOD_OVERRIDE=FQ","FILING_STATUS=OR","EQY_CONSOLIDATED=Y","Sort=A","Dates=H","DateFormat=P","Fill=—","Direction=H","UseDPDF=Y")</f>
        <v>#NAME?</v>
      </c>
      <c r="AS460" s="1" t="e">
        <f ca="1">_xll.BDH($C$453,"ACCOUNTS_RECEIVABLE_5_YR_GROWTH","FQ2 2015","FQ2 2015","Currency=INR","Period=FQ","BEST_FPERIOD_OVERRIDE=FQ","FILING_STATUS=OR","EQY_CONSOLIDATED=Y","Sort=A","Dates=H","DateFormat=P","Fill=—","Direction=H","UseDPDF=Y")</f>
        <v>#NAME?</v>
      </c>
      <c r="AT460" s="1" t="e">
        <f ca="1">_xll.BDH($C$453,"INVENTORY_5_YEAR_GROWTH","FQ2 2015","FQ2 2015","Currency=INR","Period=FQ","BEST_FPERIOD_OVERRIDE=FQ","FILING_STATUS=OR","EQY_CONSOLIDATED=Y","Sort=A","Dates=H","DateFormat=P","Fill=—","Direction=H","UseDPDF=Y")</f>
        <v>#NAME?</v>
      </c>
      <c r="AU460" s="1" t="e">
        <f ca="1">_xll.BDH($C$453,"NET_FIXED_ASSETS_5_YEAR_GROWTH","FQ2 2015","FQ2 2015","Currency=INR","Period=FQ","BEST_FPERIOD_OVERRIDE=FQ","FILING_STATUS=OR","EQY_CONSOLIDATED=Y","Sort=A","Dates=H","DateFormat=P","Fill=—","Direction=H","UseDPDF=Y")</f>
        <v>#NAME?</v>
      </c>
      <c r="AV460" s="1" t="e">
        <f ca="1">_xll.BDH($C$453,"GEO_GROW_TOT_ASSET","FQ2 2015","FQ2 2015","Currency=INR","Period=FQ","BEST_FPERIOD_OVERRIDE=FQ","FILING_STATUS=OR","EQY_CONSOLIDATED=Y","Sort=A","Dates=H","DateFormat=P","Fill=—","Direction=H","UseDPDF=Y")</f>
        <v>#NAME?</v>
      </c>
      <c r="AW460" s="1" t="e">
        <f ca="1">_xll.BDH($C$453,"MODIFIED_WORKING_CPTL_5YR_GRWTH","FQ2 2015","FQ2 2015","Currency=INR","Period=FQ","BEST_FPERIOD_OVERRIDE=FQ","FILING_STATUS=OR","EQY_CONSOLIDATED=Y","Sort=A","Dates=H","DateFormat=P","Fill=—","Direction=H","UseDPDF=Y")</f>
        <v>#NAME?</v>
      </c>
      <c r="AX460" s="1" t="e">
        <f ca="1">_xll.BDH($C$453,"WORKING_CAPITAL_5_YEAR_GROWTH","FQ2 2015","FQ2 2015","Currency=INR","Period=FQ","BEST_FPERIOD_OVERRIDE=FQ","FILING_STATUS=OR","EQY_CONSOLIDATED=Y","Sort=A","Dates=H","DateFormat=P","Fill=—","Direction=H","UseDPDF=Y")</f>
        <v>#NAME?</v>
      </c>
      <c r="AY460" s="1" t="e">
        <f ca="1">_xll.BDH($C$453,"ACCOUNTS_PAYABLE_5_YEAR_GROWTH","FQ2 2015","FQ2 2015","Currency=INR","Period=FQ","BEST_FPERIOD_OVERRIDE=FQ","FILING_STATUS=OR","EQY_CONSOLIDATED=Y","Sort=A","Dates=H","DateFormat=P","Fill=—","Direction=H","UseDPDF=Y")</f>
        <v>#NAME?</v>
      </c>
      <c r="AZ460" s="1" t="e">
        <f ca="1">_xll.BDH($C$453,"SHORT_TERM_DEBT_5_YEAR_GROWTH","FQ2 2015","FQ2 2015","Currency=INR","Period=FQ","BEST_FPERIOD_OVERRIDE=FQ","FILING_STATUS=OR","EQY_CONSOLIDATED=Y","Sort=A","Dates=H","DateFormat=P","Fill=—","Direction=H","UseDPDF=Y")</f>
        <v>#NAME?</v>
      </c>
      <c r="BA460" s="1" t="e">
        <f ca="1">_xll.BDH($C$453,"TOTAL_DEBT_5_YEAR_GROWTH","FQ2 2015","FQ2 2015","Currency=INR","Period=FQ","BEST_FPERIOD_OVERRIDE=FQ","FILING_STATUS=OR","EQY_CONSOLIDATED=Y","Sort=A","Dates=H","DateFormat=P","Fill=—","Direction=H","UseDPDF=Y")</f>
        <v>#NAME?</v>
      </c>
      <c r="BB460" s="1" t="e">
        <f ca="1">_xll.BDH($C$453,"GEO_GROW_TOT_SHRHLDR_EQY","FQ2 2015","FQ2 2015","Currency=INR","Period=FQ","BEST_FPERIOD_OVERRIDE=FQ","FILING_STATUS=OR","EQY_CONSOLIDATED=Y","Sort=A","Dates=H","DateFormat=P","Fill=—","Direction=H","UseDPDF=Y")</f>
        <v>#NAME?</v>
      </c>
      <c r="BC460" s="1" t="e">
        <f ca="1">_xll.BDH($C$453,"TOTAL_CAPITAL_5_YEAR_GROWTH","FQ2 2015","FQ2 2015","Currency=INR","Period=FQ","BEST_FPERIOD_OVERRIDE=FQ","FILING_STATUS=OR","EQY_CONSOLIDATED=Y","Sort=A","Dates=H","DateFormat=P","Fill=—","Direction=H","UseDPDF=Y")</f>
        <v>#NAME?</v>
      </c>
      <c r="BD460" s="1" t="e">
        <f ca="1">_xll.BDH($C$453,"GEO_GROW_BOOK_VAL","FQ2 2015","FQ2 2015","Currency=INR","Period=FQ","BEST_FPERIOD_OVERRIDE=FQ","FILING_STATUS=OR","EQY_CONSOLIDATED=Y","Sort=A","Dates=H","DateFormat=P","Fill=—","Direction=H","UseDPDF=Y")</f>
        <v>#NAME?</v>
      </c>
      <c r="BE460" s="1" t="e">
        <f ca="1">_xll.BDH($C$453,"GEO_GROW_CASH_OPER_ACT","FQ2 2015","FQ2 2015","Currency=INR","Period=FQ","BEST_FPERIOD_OVERRIDE=FQ","FILING_STATUS=OR","EQY_CONSOLIDATED=Y","Sort=A","Dates=H","DateFormat=P","Fill=—","Direction=H","UseDPDF=Y")</f>
        <v>#NAME?</v>
      </c>
      <c r="BF460" s="1" t="e">
        <f ca="1">_xll.BDH($C$453,"REVENUE_SEQUENTIAL_GROWTH","FQ2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60" s="1" t="e">
        <f ca="1">_xll.BDH($C$453,"EBITDA_SEQUENTIAL_GROWTH","FQ2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60" s="1" t="e">
        <f ca="1">_xll.BDH($C$453,"OPERATING_INCOME_SEQ_GROWTH","FQ2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60" s="1" t="e">
        <f ca="1">_xll.BDH($C$453,"NET_INCOME_TO_COMMON_SEQ_GROWTH","FQ2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60" s="1" t="e">
        <f ca="1">_xll.BDH($C$453,"EPS_DILUTED_SEQUENTIAL_GROWTH","FQ2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60" s="1" t="e">
        <f ca="1">_xll.BDH($C$453,"DPS_SEQUENTIAL_GROWTH","FQ2 2015","FQ2 2015","Currency=INR","Period=FQ","BEST_FPERIOD_OVERRIDE=FQ","FILING_STATUS=OR","EQY_CONSOLIDATED=Y","Sort=A","Dates=H","DateFormat=P","Fill=—","Direction=H","UseDPDF=Y")</f>
        <v>#NAME?</v>
      </c>
      <c r="BL460" s="1" t="e">
        <f ca="1">_xll.BDH($C$453,"ACCOUNTS_RECEIVABLE_SEQ_GROWTH","FQ2 2015","FQ2 2015","Currency=INR","Period=FQ","BEST_FPERIOD_OVERRIDE=FQ","FILING_STATUS=OR","EQY_CONSOLIDATED=Y","Sort=A","Dates=H","DateFormat=P","Fill=—","Direction=H","UseDPDF=Y")</f>
        <v>#NAME?</v>
      </c>
      <c r="BM460" s="1" t="e">
        <f ca="1">_xll.BDH($C$453,"INVENTORY_SEQUENTIAL_GROWTH","FQ2 2015","FQ2 2015","Currency=INR","Period=FQ","BEST_FPERIOD_OVERRIDE=FQ","FILING_STATUS=OR","EQY_CONSOLIDATED=Y","Sort=A","Dates=H","DateFormat=P","Fill=—","Direction=H","UseDPDF=Y")</f>
        <v>#NAME?</v>
      </c>
      <c r="BN460" s="1" t="e">
        <f ca="1">_xll.BDH($C$453,"FIXED_ASSETS_SEQUENTIAL_GROWTH","FQ2 2015","FQ2 2015","Currency=INR","Period=FQ","BEST_FPERIOD_OVERRIDE=FQ","FILING_STATUS=OR","EQY_CONSOLIDATED=Y","Sort=A","Dates=H","DateFormat=P","Fill=—","Direction=H","UseDPDF=Y")</f>
        <v>#NAME?</v>
      </c>
      <c r="BO460" s="1" t="e">
        <f ca="1">_xll.BDH($C$453,"TOTAL_ASSETS_SEQUENTIAL_GROWTH","FQ2 2015","FQ2 2015","Currency=INR","Period=FQ","BEST_FPERIOD_OVERRIDE=FQ","FILING_STATUS=OR","EQY_CONSOLIDATED=Y","Sort=A","Dates=H","DateFormat=P","Fill=—","Direction=H","UseDPDF=Y")</f>
        <v>#NAME?</v>
      </c>
      <c r="BP460" s="1" t="e">
        <f ca="1">_xll.BDH($C$453,"MODIFIED_WORKING_CPTL_SEQ_GRWTH","FQ2 2015","FQ2 2015","Currency=INR","Period=FQ","BEST_FPERIOD_OVERRIDE=FQ","FILING_STATUS=OR","EQY_CONSOLIDATED=Y","Sort=A","Dates=H","DateFormat=P","Fill=—","Direction=H","UseDPDF=Y")</f>
        <v>#NAME?</v>
      </c>
      <c r="BQ460" s="1" t="e">
        <f ca="1">_xll.BDH($C$453,"WORKING_CAPITAL_SEQ_GROWTH","FQ2 2015","FQ2 2015","Currency=INR","Period=FQ","BEST_FPERIOD_OVERRIDE=FQ","FILING_STATUS=OR","EQY_CONSOLIDATED=Y","Sort=A","Dates=H","DateFormat=P","Fill=—","Direction=H","UseDPDF=Y")</f>
        <v>#NAME?</v>
      </c>
      <c r="BR460" s="1" t="e">
        <f ca="1">_xll.BDH($C$453,"ACCOUNTS_PAYABLE_SEQ_GROWTH","FQ2 2015","FQ2 2015","Currency=INR","Period=FQ","BEST_FPERIOD_OVERRIDE=FQ","FILING_STATUS=OR","EQY_CONSOLIDATED=Y","Sort=A","Dates=H","DateFormat=P","Fill=—","Direction=H","UseDPDF=Y")</f>
        <v>#NAME?</v>
      </c>
      <c r="BS460" s="1" t="e">
        <f ca="1">_xll.BDH($C$453,"ST_DEBT_SEQUENTIAL_GROWTH","FQ2 2015","FQ2 2015","Currency=INR","Period=FQ","BEST_FPERIOD_OVERRIDE=FQ","FILING_STATUS=OR","EQY_CONSOLIDATED=Y","Sort=A","Dates=H","DateFormat=P","Fill=—","Direction=H","UseDPDF=Y")</f>
        <v>#NAME?</v>
      </c>
      <c r="BT460" s="1" t="e">
        <f ca="1">_xll.BDH($C$453,"TOTAL_DEBT_SEQUENTIAL_GROWTH","FQ2 2015","FQ2 2015","Currency=INR","Period=FQ","BEST_FPERIOD_OVERRIDE=FQ","FILING_STATUS=OR","EQY_CONSOLIDATED=Y","Sort=A","Dates=H","DateFormat=P","Fill=—","Direction=H","UseDPDF=Y")</f>
        <v>#NAME?</v>
      </c>
      <c r="BU460" s="1" t="e">
        <f ca="1">_xll.BDH($C$453,"TOTAL_EQUITY_SEQUENTIAL_GROWTH","FQ2 2015","FQ2 2015","Currency=INR","Period=FQ","BEST_FPERIOD_OVERRIDE=FQ","FILING_STATUS=OR","EQY_CONSOLIDATED=Y","Sort=A","Dates=H","DateFormat=P","Fill=—","Direction=H","UseDPDF=Y")</f>
        <v>#NAME?</v>
      </c>
      <c r="BV460" s="1" t="e">
        <f ca="1">_xll.BDH($C$453,"TOTAL_CAPITAL_SEQUENTIAL_GROWTH","FQ2 2015","FQ2 2015","Currency=INR","Period=FQ","BEST_FPERIOD_OVERRIDE=FQ","FILING_STATUS=OR","EQY_CONSOLIDATED=Y","Sort=A","Dates=H","DateFormat=P","Fill=—","Direction=H","UseDPDF=Y")</f>
        <v>#NAME?</v>
      </c>
      <c r="BW460" s="1" t="e">
        <f ca="1">_xll.BDH($C$453,"BPS_SEQUENTIAL_GROWTH","FQ2 2015","FQ2 2015","Currency=INR","Period=FQ","BEST_FPERIOD_OVERRIDE=FQ","FILING_STATUS=OR","EQY_CONSOLIDATED=Y","Sort=A","Dates=H","DateFormat=P","Fill=—","Direction=H","UseDPDF=Y")</f>
        <v>#NAME?</v>
      </c>
      <c r="BX460" s="1" t="e">
        <f ca="1">_xll.BDH($C$453,"CFO_SEQUENTIAL_GROWTH","FQ2 2015","FQ2 2015","Currency=INR","Period=FQ","BEST_FPERIOD_OVERRIDE=FQ","FILING_STATUS=OR","EQY_CONSOLIDATED=Y","Sort=A","Dates=H","DateFormat=P","Fill=—","Direction=H","UseDPDF=Y")</f>
        <v>#NAME?</v>
      </c>
      <c r="BY460" s="2" t="e">
        <f ca="1">_xll.BDH($C$453,"SHORT_AND_LONG_TERM_DEBT","FQ2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60" s="2" t="e">
        <f ca="1">_xll.BDH($C$453,"BS_ST_BORROW","FQ2 2015","FQ2 2015","Currency=INR","Period=FQ","BEST_FPERIOD_OVERRIDE=FQ","FILING_STATUS=OR","EQY_CONSOLIDATED=Y","SCALING_FORMAT=MLN","Sort=A","Dates=H","DateFormat=P","Fill=—","Direction=H","UseDPDF=Y")</f>
        <v>#NAME?</v>
      </c>
      <c r="CA460" s="2" t="e">
        <f ca="1">_xll.BDH($C$453,"BS_LT_BORROW","FQ2 2015","FQ2 2015","Currency=INR","Period=FQ","BEST_FPERIOD_OVERRIDE=FQ","FILING_STATUS=OR","EQY_CONSOLIDATED=Y","SCALING_FORMAT=MLN","Sort=A","Dates=H","DateFormat=P","Fill=—","Direction=H","UseDPDF=Y")</f>
        <v>#NAME?</v>
      </c>
      <c r="CB460" s="1" t="e">
        <f ca="1">_xll.BDH($C$453,"TOT_DEBT_TO_EBITDA","FQ2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60" s="1" t="e">
        <f ca="1">_xll.BDH($C$453,"NET_DEBT_TO_EBITDA","FQ2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60" s="1" t="e">
        <f ca="1">_xll.BDH($C$453,"TOTAL_DEBT_TO_EBIT","FQ2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60" s="1" t="e">
        <f ca="1">_xll.BDH($C$453,"NET_DEBT_TO_EBIT","FQ2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460" s="1" t="e">
        <f ca="1">_xll.BDH($C$453,"EBITDA_TO_INTEREST_EXPN","FQ2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60" s="1" t="e">
        <f ca="1">_xll.BDH($C$453,"COM_EQY_TO_TOT_ASSET","FQ2 2015","FQ2 2015","Currency=INR","Period=FQ","BEST_FPERIOD_OVERRIDE=FQ","FILING_STATUS=OR","EQY_CONSOLIDATED=Y","Sort=A","Dates=H","DateFormat=P","Fill=—","Direction=H","UseDPDF=Y")</f>
        <v>#NAME?</v>
      </c>
      <c r="CH460" s="1" t="e">
        <f ca="1">_xll.BDH($C$453,"LT_DEBT_TO_TOT_EQY","FQ2 2015","FQ2 2015","Currency=INR","Period=FQ","BEST_FPERIOD_OVERRIDE=FQ","FILING_STATUS=OR","EQY_CONSOLIDATED=Y","Sort=A","Dates=H","DateFormat=P","Fill=—","Direction=H","UseDPDF=Y")</f>
        <v>#NAME?</v>
      </c>
      <c r="CI460" s="1" t="e">
        <f ca="1">_xll.BDH($C$453,"LT_DEBT_TO_TOT_CAP","FQ2 2015","FQ2 2015","Currency=INR","Period=FQ","BEST_FPERIOD_OVERRIDE=FQ","FILING_STATUS=OR","EQY_CONSOLIDATED=Y","Sort=A","Dates=H","DateFormat=P","Fill=—","Direction=H","UseDPDF=Y")</f>
        <v>#NAME?</v>
      </c>
      <c r="CJ460" s="1" t="e">
        <f ca="1">_xll.BDH($C$453,"LT_DEBT_TO_TOT_ASSET","FQ2 2015","FQ2 2015","Currency=INR","Period=FQ","BEST_FPERIOD_OVERRIDE=FQ","FILING_STATUS=OR","EQY_CONSOLIDATED=Y","Sort=A","Dates=H","DateFormat=P","Fill=—","Direction=H","UseDPDF=Y")</f>
        <v>#NAME?</v>
      </c>
      <c r="CK460" s="1" t="e">
        <f ca="1">_xll.BDH($C$453,"TOT_DEBT_TO_TOT_EQY","FQ2 2015","FQ2 2015","Currency=INR","Period=FQ","BEST_FPERIOD_OVERRIDE=FQ","FILING_STATUS=OR","EQY_CONSOLIDATED=Y","Sort=A","Dates=H","DateFormat=P","Fill=—","Direction=H","UseDPDF=Y")</f>
        <v>#NAME?</v>
      </c>
      <c r="CL460" s="1" t="e">
        <f ca="1">_xll.BDH($C$453,"TOT_DEBT_TO_TOT_CAP","FQ2 2015","FQ2 2015","Currency=INR","Period=FQ","BEST_FPERIOD_OVERRIDE=FQ","FILING_STATUS=OR","EQY_CONSOLIDATED=Y","Sort=A","Dates=H","DateFormat=P","Fill=—","Direction=H","UseDPDF=Y")</f>
        <v>#NAME?</v>
      </c>
      <c r="CM460" s="1" t="e">
        <f ca="1">_xll.BDH($C$453,"TOT_DEBT_TO_TOT_ASSET","FQ2 2015","FQ2 2015","Currency=INR","Period=FQ","BEST_FPERIOD_OVERRIDE=FQ","FILING_STATUS=OR","EQY_CONSOLIDATED=Y","Sort=A","Dates=H","DateFormat=P","Fill=—","Direction=H","UseDPDF=Y")</f>
        <v>#NAME?</v>
      </c>
      <c r="CN460" s="1" t="e">
        <f ca="1">_xll.BDH($C$453,"NET_DEBT_TO_SHRHLDR_EQTY","FQ2 2015","FQ2 2015","Currency=INR","Period=FQ","BEST_FPERIOD_OVERRIDE=FQ","FILING_STATUS=OR","EQY_CONSOLIDATED=Y","Sort=A","Dates=H","DateFormat=P","Fill=—","Direction=H","UseDPDF=Y")</f>
        <v>#NAME?</v>
      </c>
      <c r="CO460" s="1" t="e">
        <f ca="1">_xll.BDH($C$453,"NET_DEBT_%_CAPITAL","FQ2 2015","FQ2 2015","Currency=INR","Period=FQ","BEST_FPERIOD_OVERRIDE=FQ","FILING_STATUS=OR","EQY_CONSOLIDATED=Y","Sort=A","Dates=H","DateFormat=P","Fill=—","Direction=H","UseDPDF=Y")</f>
        <v>#NAME?</v>
      </c>
      <c r="CP460" s="2" t="e">
        <f ca="1">_xll.BDH($C$453,"EBITDA","FQ2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60" s="2" t="e">
        <f ca="1">_xll.BDH($C$453,"EBITDA_AFTER_CAPEX","FQ2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60" s="2" t="e">
        <f ca="1">_xll.BDH($C$453,"IS_OPER_INC","FQ2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60" s="1" t="e">
        <f ca="1">_xll.BDH($C$453,"CASH_RATIO","FQ2 2015","FQ2 2015","Currency=INR","Period=FQ","BEST_FPERIOD_OVERRIDE=FQ","FILING_STATUS=OR","EQY_CONSOLIDATED=Y","Sort=A","Dates=H","DateFormat=P","Fill=—","Direction=H","UseDPDF=Y")</f>
        <v>#NAME?</v>
      </c>
      <c r="CT460" s="1" t="e">
        <f ca="1">_xll.BDH($C$453,"CUR_RATIO","FQ2 2015","FQ2 2015","Currency=INR","Period=FQ","BEST_FPERIOD_OVERRIDE=FQ","FILING_STATUS=OR","EQY_CONSOLIDATED=Y","Sort=A","Dates=H","DateFormat=P","Fill=—","Direction=H","UseDPDF=Y")</f>
        <v>#NAME?</v>
      </c>
      <c r="CU460" s="1" t="e">
        <f ca="1">_xll.BDH($C$453,"QUICK_RATIO","FQ2 2015","FQ2 2015","Currency=INR","Period=FQ","BEST_FPERIOD_OVERRIDE=FQ","FILING_STATUS=OR","EQY_CONSOLIDATED=Y","Sort=A","Dates=H","DateFormat=P","Fill=—","Direction=H","UseDPDF=Y")</f>
        <v>#NAME?</v>
      </c>
      <c r="CV460" s="1" t="e">
        <f ca="1">_xll.BDH($C$453,"ALTMAN_Z_SCORE","FQ2 2015","FQ2 2015","Currency=INR","Period=FQ","BEST_FPERIOD_OVERRIDE=FQ","FILING_STATUS=OR","EQY_CONSOLIDATED=Y","Sort=A","Dates=H","DateFormat=P","Fill=—","Direction=H","UseDPDF=Y")</f>
        <v>#NAME?</v>
      </c>
      <c r="CW460" s="3" t="e">
        <f ca="1">_xll.BDH($C$453,"ACCT_RCV_TURN","FQ2 2015","FQ2 2015","Currency=INR","Period=FQ","BEST_FPERIOD_OVERRIDE=FQ","FILING_STATUS=OR","EQY_CONSOLIDATED=Y","FA_ADJUSTED=GAAP","Sort=A","Dates=H","DateFormat=P","Fill=—","Direction=H","UseDPDF=Y")</f>
        <v>#NAME?</v>
      </c>
      <c r="CX460" s="1" t="e">
        <f ca="1">_xll.BDH($C$453,"ACCT_RCV_DAYS","FQ2 2015","FQ2 2015","Currency=INR","Period=FQ","BEST_FPERIOD_OVERRIDE=FQ","FILING_STATUS=OR","EQY_CONSOLIDATED=Y","FA_ADJUSTED=GAAP","Sort=A","Dates=H","DateFormat=P","Fill=—","Direction=H","UseDPDF=Y")</f>
        <v>#NAME?</v>
      </c>
      <c r="CY460" s="3" t="e">
        <f ca="1">_xll.BDH($C$453,"INVENT_TURN","FQ2 2015","FQ2 2015","Currency=INR","Period=FQ","BEST_FPERIOD_OVERRIDE=FQ","FILING_STATUS=OR","EQY_CONSOLIDATED=Y","FA_ADJUSTED=GAAP","Sort=A","Dates=H","DateFormat=P","Fill=—","Direction=H","UseDPDF=Y")</f>
        <v>#NAME?</v>
      </c>
      <c r="CZ460" s="1" t="e">
        <f ca="1">_xll.BDH($C$453,"INVENT_DAYS","FQ2 2015","FQ2 2015","Currency=INR","Period=FQ","BEST_FPERIOD_OVERRIDE=FQ","FILING_STATUS=OR","EQY_CONSOLIDATED=Y","FA_ADJUSTED=GAAP","Sort=A","Dates=H","DateFormat=P","Fill=—","Direction=H","UseDPDF=Y")</f>
        <v>#NAME?</v>
      </c>
      <c r="DA460" s="3" t="e">
        <f ca="1">_xll.BDH($C$453,"ACCOUNTS_PAYABLE_TURNOVER","FQ2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60" s="1" t="e">
        <f ca="1">_xll.BDH($C$453,"ACCOUNTS_PAYABLE_TURNOVER_DAYS","FQ2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60" s="3" t="e">
        <f ca="1">_xll.BDH($C$453,"CASH_CONVERSION_CYCLE","FQ2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60" s="3" t="e">
        <f ca="1">_xll.BDH($C$453,"INV_TO_CASH_DAYS","FQ2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460" s="4" t="e">
        <f ca="1">_xll.BDH($C$453,"BS_INVENTORIES","FQ2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460" s="2" t="e">
        <f ca="1">_xll.BDH($C$453,"INVTRY_RAW_MATERIALS","FQ2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60" s="2" t="e">
        <f ca="1">_xll.BDH($C$453,"INVTRY_IN_PROGRESS","FQ2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60" s="2" t="e">
        <f ca="1">_xll.BDH($C$453,"INVTRY_FINISHED_GOODS","FQ2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60" s="2" t="e">
        <f ca="1">_xll.BDH($C$453,"BS_OTHER_INV","FQ2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61" spans="1:113" x14ac:dyDescent="0.3">
      <c r="A461" s="6"/>
      <c r="B461" s="6"/>
      <c r="C461" s="6"/>
      <c r="D461" s="6"/>
      <c r="E461" t="s">
        <v>6</v>
      </c>
      <c r="F461" t="e">
        <f ca="1">_xll.BDH($C$453,"RETURN_COM_EQY","FQ3 2015","FQ3 2015","Currency=INR","Period=FQ","BEST_FPERIOD_OVERRIDE=FQ","FILING_STATUS=OR","EQY_CONSOLIDATED=Y","FA_ADJUSTED=GAAP","Sort=A","Dates=H","DateFormat=P","Fill=—","Direction=H","UseDPDF=Y")</f>
        <v>#NAME?</v>
      </c>
      <c r="G461" t="e">
        <f ca="1">_xll.BDH($C$453,"RETURN_ON_ASSET","FQ3 2015","FQ3 2015","Currency=INR","Period=FQ","BEST_FPERIOD_OVERRIDE=FQ","FILING_STATUS=OR","EQY_CONSOLIDATED=Y","FA_ADJUSTED=GAAP","Sort=A","Dates=H","DateFormat=P","Fill=—","Direction=H","UseDPDF=Y")</f>
        <v>#NAME?</v>
      </c>
      <c r="H461" t="e">
        <f ca="1">_xll.BDH($C$453,"RETURN_ON_CAP","FQ3 2015","FQ3 2015","Currency=INR","Period=FQ","BEST_FPERIOD_OVERRIDE=FQ","FILING_STATUS=OR","EQY_CONSOLIDATED=Y","FA_ADJUSTED=GAAP","Sort=A","Dates=H","DateFormat=P","Fill=—","Direction=H","UseDPDF=Y")</f>
        <v>#NAME?</v>
      </c>
      <c r="I461" t="e">
        <f ca="1">_xll.BDH($C$453,"RETURN_ON_INV_CAPITAL","FQ3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61" t="e">
        <f ca="1">_xll.BDH($C$453,"EBITDA_TO_REVENUE","FQ3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461" t="e">
        <f ca="1">_xll.BDH($C$453,"OPER_MARGIN","FQ3 2015","FQ3 2015","Currency=INR","Period=FQ","BEST_FPERIOD_OVERRIDE=FQ","FILING_STATUS=OR","EQY_CONSOLIDATED=Y","FA_ADJUSTED=GAAP","Sort=A","Dates=H","DateFormat=P","Fill=—","Direction=H","UseDPDF=Y")</f>
        <v>#NAME?</v>
      </c>
      <c r="L461" t="e">
        <f ca="1">_xll.BDH($C$453,"INCREMENTAL_OPERATING_MARGIN","FQ3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61" t="e">
        <f ca="1">_xll.BDH($C$453,"PRETAX_INC_TO_NET_SALES","FQ3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61" t="e">
        <f ca="1">_xll.BDH($C$453,"INC_BEF_XO_ITEMS_TO_NET_SALES","FQ3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61" t="e">
        <f ca="1">_xll.BDH($C$453,"PROF_MARGIN","FQ3 2015","FQ3 2015","Currency=INR","Period=FQ","BEST_FPERIOD_OVERRIDE=FQ","FILING_STATUS=OR","EQY_CONSOLIDATED=Y","FA_ADJUSTED=GAAP","Sort=A","Dates=H","DateFormat=P","Fill=—","Direction=H","UseDPDF=Y")</f>
        <v>#NAME?</v>
      </c>
      <c r="P461" t="e">
        <f ca="1">_xll.BDH($C$453,"NET_INCOME_TO_COMMON_MARGIN","FQ3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61" t="e">
        <f ca="1">_xll.BDH($C$453,"EFF_TAX_RATE","FQ3 2015","FQ3 2015","Currency=INR","Period=FQ","BEST_FPERIOD_OVERRIDE=FQ","FILING_STATUS=OR","EQY_CONSOLIDATED=Y","FA_ADJUSTED=GAAP","Sort=A","Dates=H","DateFormat=P","Fill=—","Direction=H","UseDPDF=Y")</f>
        <v>#NAME?</v>
      </c>
      <c r="R461" t="e">
        <f ca="1">_xll.BDH($C$453,"DVD_PAYOUT_RATIO","FQ3 2015","FQ3 2015","Currency=INR","Period=FQ","BEST_FPERIOD_OVERRIDE=FQ","FILING_STATUS=OR","EQY_CONSOLIDATED=Y","FA_ADJUSTED=GAAP","Sort=A","Dates=H","DateFormat=P","Fill=—","Direction=H","UseDPDF=Y")</f>
        <v>#NAME?</v>
      </c>
      <c r="S461" t="e">
        <f ca="1">_xll.BDH($C$453,"SUSTAIN_GROWTH_RT","FQ3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461" s="1" t="e">
        <f ca="1">_xll.BDH($C$453,"SALES_GROWTH","FQ3 2015","FQ3 2015","Currency=INR","Period=FQ","BEST_FPERIOD_OVERRIDE=FQ","FILING_STATUS=OR","EQY_CONSOLIDATED=Y","FA_ADJUSTED=GAAP","Sort=A","Dates=H","DateFormat=P","Fill=—","Direction=H","UseDPDF=Y")</f>
        <v>#NAME?</v>
      </c>
      <c r="U461" s="1" t="e">
        <f ca="1">_xll.BDH($C$453,"EBITDA_GROWTH","FQ3 2015","FQ3 2015","Currency=INR","Period=FQ","BEST_FPERIOD_OVERRIDE=FQ","FILING_STATUS=OR","EQY_CONSOLIDATED=Y","FA_ADJUSTED=GAAP","Sort=A","Dates=H","DateFormat=P","Fill=—","Direction=H","UseDPDF=Y")</f>
        <v>#NAME?</v>
      </c>
      <c r="V461" s="1" t="e">
        <f ca="1">_xll.BDH($C$453,"OPER_INC_GROWTH","FQ3 2015","FQ3 2015","Currency=INR","Period=FQ","BEST_FPERIOD_OVERRIDE=FQ","FILING_STATUS=OR","EQY_CONSOLIDATED=Y","FA_ADJUSTED=GAAP","Sort=A","Dates=H","DateFormat=P","Fill=—","Direction=H","UseDPDF=Y")</f>
        <v>#NAME?</v>
      </c>
      <c r="W461" s="1" t="e">
        <f ca="1">_xll.BDH($C$453,"EARN_FOR_COM_GROWTH","FQ3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61" s="1" t="e">
        <f ca="1">_xll.BDH($C$453,"DILUTED_EPS_AFT_XO_ITEMS_GROWTH","FQ3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61" s="1" t="e">
        <f ca="1">_xll.BDH($C$453,"DIVIDEND_PER_SHARE_1_YEAR_GROWTH","FQ3 2015","FQ3 2015","Currency=INR","Period=FQ","BEST_FPERIOD_OVERRIDE=FQ","FILING_STATUS=OR","EQY_CONSOLIDATED=Y","Sort=A","Dates=H","DateFormat=P","Fill=—","Direction=H","UseDPDF=Y")</f>
        <v>#NAME?</v>
      </c>
      <c r="Z461" s="1" t="e">
        <f ca="1">_xll.BDH($C$453,"ACCOUNTS_RECEIVABLE_GROWTH","FQ3 2015","FQ3 2015","Currency=INR","Period=FQ","BEST_FPERIOD_OVERRIDE=FQ","FILING_STATUS=OR","EQY_CONSOLIDATED=Y","Sort=A","Dates=H","DateFormat=P","Fill=—","Direction=H","UseDPDF=Y")</f>
        <v>#NAME?</v>
      </c>
      <c r="AA461" s="1" t="e">
        <f ca="1">_xll.BDH($C$453,"INVENTORY_GROWTH","FQ3 2015","FQ3 2015","Currency=INR","Period=FQ","BEST_FPERIOD_OVERRIDE=FQ","FILING_STATUS=OR","EQY_CONSOLIDATED=Y","Sort=A","Dates=H","DateFormat=P","Fill=—","Direction=H","UseDPDF=Y")</f>
        <v>#NAME?</v>
      </c>
      <c r="AB461" s="1" t="e">
        <f ca="1">_xll.BDH($C$453,"NET_FIXED_ASSETS_1_YEAR_GROWTH","FQ3 2015","FQ3 2015","Currency=INR","Period=FQ","BEST_FPERIOD_OVERRIDE=FQ","FILING_STATUS=OR","EQY_CONSOLIDATED=Y","Sort=A","Dates=H","DateFormat=P","Fill=—","Direction=H","UseDPDF=Y")</f>
        <v>#NAME?</v>
      </c>
      <c r="AC461" s="1" t="e">
        <f ca="1">_xll.BDH($C$453,"ASSET_GROWTH","FQ3 2015","FQ3 2015","Currency=INR","Period=FQ","BEST_FPERIOD_OVERRIDE=FQ","FILING_STATUS=OR","EQY_CONSOLIDATED=Y","Sort=A","Dates=H","DateFormat=P","Fill=—","Direction=H","UseDPDF=Y")</f>
        <v>#NAME?</v>
      </c>
      <c r="AD461" s="1" t="e">
        <f ca="1">_xll.BDH($C$453,"MODIFIED_WORK_CAP_GROWTH","FQ3 2015","FQ3 2015","Currency=INR","Period=FQ","BEST_FPERIOD_OVERRIDE=FQ","FILING_STATUS=OR","EQY_CONSOLIDATED=Y","Sort=A","Dates=H","DateFormat=P","Fill=—","Direction=H","UseDPDF=Y")</f>
        <v>#NAME?</v>
      </c>
      <c r="AE461" s="1" t="e">
        <f ca="1">_xll.BDH($C$453,"WORK_CAP_GROWTH","FQ3 2015","FQ3 2015","Currency=INR","Period=FQ","BEST_FPERIOD_OVERRIDE=FQ","FILING_STATUS=OR","EQY_CONSOLIDATED=Y","Sort=A","Dates=H","DateFormat=P","Fill=—","Direction=H","UseDPDF=Y")</f>
        <v>#NAME?</v>
      </c>
      <c r="AF461" s="1" t="e">
        <f ca="1">_xll.BDH($C$453,"ACCOUNTS_PAYABLE_GROWTH_1YR","FQ3 2015","FQ3 2015","Currency=INR","Period=FQ","BEST_FPERIOD_OVERRIDE=FQ","FILING_STATUS=OR","EQY_CONSOLIDATED=Y","Sort=A","Dates=H","DateFormat=P","Fill=—","Direction=H","UseDPDF=Y")</f>
        <v>#NAME?</v>
      </c>
      <c r="AG461" s="1" t="e">
        <f ca="1">_xll.BDH($C$453,"SHORT_TERM_DEBT_1_YEAR_GROWTH","FQ3 2015","FQ3 2015","Currency=INR","Period=FQ","BEST_FPERIOD_OVERRIDE=FQ","FILING_STATUS=OR","EQY_CONSOLIDATED=Y","Sort=A","Dates=H","DateFormat=P","Fill=—","Direction=H","UseDPDF=Y")</f>
        <v>#NAME?</v>
      </c>
      <c r="AH461" s="1" t="e">
        <f ca="1">_xll.BDH($C$453,"TOTAL_DEBT_1_YEAR_GROWTH","FQ3 2015","FQ3 2015","Currency=INR","Period=FQ","BEST_FPERIOD_OVERRIDE=FQ","FILING_STATUS=OR","EQY_CONSOLIDATED=Y","Sort=A","Dates=H","DateFormat=P","Fill=—","Direction=H","UseDPDF=Y")</f>
        <v>#NAME?</v>
      </c>
      <c r="AI461" s="1" t="e">
        <f ca="1">_xll.BDH($C$453,"TOTAL_EQUITY_1_YEAR_GROWTH","FQ3 2015","FQ3 2015","Currency=INR","Period=FQ","BEST_FPERIOD_OVERRIDE=FQ","FILING_STATUS=OR","EQY_CONSOLIDATED=Y","Sort=A","Dates=H","DateFormat=P","Fill=—","Direction=H","UseDPDF=Y")</f>
        <v>#NAME?</v>
      </c>
      <c r="AJ461" s="1" t="e">
        <f ca="1">_xll.BDH($C$453,"GROWTH_IN_CAP","FQ3 2015","FQ3 2015","Currency=INR","Period=FQ","BEST_FPERIOD_OVERRIDE=FQ","FILING_STATUS=OR","EQY_CONSOLIDATED=Y","Sort=A","Dates=H","DateFormat=P","Fill=—","Direction=H","UseDPDF=Y")</f>
        <v>#NAME?</v>
      </c>
      <c r="AK461" s="1" t="e">
        <f ca="1">_xll.BDH($C$453,"BVPS_GROWTH","FQ3 2015","FQ3 2015","Currency=INR","Period=FQ","BEST_FPERIOD_OVERRIDE=FQ","FILING_STATUS=OR","EQY_CONSOLIDATED=Y","Sort=A","Dates=H","DateFormat=P","Fill=—","Direction=H","UseDPDF=Y")</f>
        <v>#NAME?</v>
      </c>
      <c r="AL461" s="1" t="e">
        <f ca="1">_xll.BDH($C$453,"CASH_FLOW_GROWTH","FQ3 2015","FQ3 2015","Currency=INR","Period=FQ","BEST_FPERIOD_OVERRIDE=FQ","FILING_STATUS=OR","EQY_CONSOLIDATED=Y","Sort=A","Dates=H","DateFormat=P","Fill=—","Direction=H","UseDPDF=Y")</f>
        <v>#NAME?</v>
      </c>
      <c r="AM461" s="1" t="e">
        <f ca="1">_xll.BDH($C$453,"GEO_GROW_NET_SALES","FQ3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61" s="1" t="e">
        <f ca="1">_xll.BDH($C$453,"GEO_GROW_EBITDA","FQ3 2015","FQ3 2015","Currency=INR","Period=FQ","BEST_FPERIOD_OVERRIDE=FQ","FILING_STATUS=OR","EQY_CONSOLIDATED=Y","FA_ADJUSTED=GAAP","Sort=A","Dates=H","DateFormat=P","Fill=—","Direction=H","UseDPDF=Y")</f>
        <v>#NAME?</v>
      </c>
      <c r="AO461" s="1" t="e">
        <f ca="1">_xll.BDH($C$453,"GEO_GROW_OPER_INC","FQ3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61" s="1" t="e">
        <f ca="1">_xll.BDH($C$453,"NET_INCOME_TO_COMMON_5_YR_GROWTH","FQ3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61" s="1" t="e">
        <f ca="1">_xll.BDH($C$453,"5Y_GEO_GROWTH_DILUTED_EPS","FQ3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61" s="1" t="e">
        <f ca="1">_xll.BDH($C$453,"GEO_GROW_DVD_PER_SH","FQ3 2015","FQ3 2015","Currency=INR","Period=FQ","BEST_FPERIOD_OVERRIDE=FQ","FILING_STATUS=OR","EQY_CONSOLIDATED=Y","Sort=A","Dates=H","DateFormat=P","Fill=—","Direction=H","UseDPDF=Y")</f>
        <v>#NAME?</v>
      </c>
      <c r="AS461" s="1" t="e">
        <f ca="1">_xll.BDH($C$453,"ACCOUNTS_RECEIVABLE_5_YR_GROWTH","FQ3 2015","FQ3 2015","Currency=INR","Period=FQ","BEST_FPERIOD_OVERRIDE=FQ","FILING_STATUS=OR","EQY_CONSOLIDATED=Y","Sort=A","Dates=H","DateFormat=P","Fill=—","Direction=H","UseDPDF=Y")</f>
        <v>#NAME?</v>
      </c>
      <c r="AT461" s="1" t="e">
        <f ca="1">_xll.BDH($C$453,"INVENTORY_5_YEAR_GROWTH","FQ3 2015","FQ3 2015","Currency=INR","Period=FQ","BEST_FPERIOD_OVERRIDE=FQ","FILING_STATUS=OR","EQY_CONSOLIDATED=Y","Sort=A","Dates=H","DateFormat=P","Fill=—","Direction=H","UseDPDF=Y")</f>
        <v>#NAME?</v>
      </c>
      <c r="AU461" s="1" t="e">
        <f ca="1">_xll.BDH($C$453,"NET_FIXED_ASSETS_5_YEAR_GROWTH","FQ3 2015","FQ3 2015","Currency=INR","Period=FQ","BEST_FPERIOD_OVERRIDE=FQ","FILING_STATUS=OR","EQY_CONSOLIDATED=Y","Sort=A","Dates=H","DateFormat=P","Fill=—","Direction=H","UseDPDF=Y")</f>
        <v>#NAME?</v>
      </c>
      <c r="AV461" s="1" t="e">
        <f ca="1">_xll.BDH($C$453,"GEO_GROW_TOT_ASSET","FQ3 2015","FQ3 2015","Currency=INR","Period=FQ","BEST_FPERIOD_OVERRIDE=FQ","FILING_STATUS=OR","EQY_CONSOLIDATED=Y","Sort=A","Dates=H","DateFormat=P","Fill=—","Direction=H","UseDPDF=Y")</f>
        <v>#NAME?</v>
      </c>
      <c r="AW461" s="1" t="e">
        <f ca="1">_xll.BDH($C$453,"MODIFIED_WORKING_CPTL_5YR_GRWTH","FQ3 2015","FQ3 2015","Currency=INR","Period=FQ","BEST_FPERIOD_OVERRIDE=FQ","FILING_STATUS=OR","EQY_CONSOLIDATED=Y","Sort=A","Dates=H","DateFormat=P","Fill=—","Direction=H","UseDPDF=Y")</f>
        <v>#NAME?</v>
      </c>
      <c r="AX461" s="1" t="e">
        <f ca="1">_xll.BDH($C$453,"WORKING_CAPITAL_5_YEAR_GROWTH","FQ3 2015","FQ3 2015","Currency=INR","Period=FQ","BEST_FPERIOD_OVERRIDE=FQ","FILING_STATUS=OR","EQY_CONSOLIDATED=Y","Sort=A","Dates=H","DateFormat=P","Fill=—","Direction=H","UseDPDF=Y")</f>
        <v>#NAME?</v>
      </c>
      <c r="AY461" s="1" t="e">
        <f ca="1">_xll.BDH($C$453,"ACCOUNTS_PAYABLE_5_YEAR_GROWTH","FQ3 2015","FQ3 2015","Currency=INR","Period=FQ","BEST_FPERIOD_OVERRIDE=FQ","FILING_STATUS=OR","EQY_CONSOLIDATED=Y","Sort=A","Dates=H","DateFormat=P","Fill=—","Direction=H","UseDPDF=Y")</f>
        <v>#NAME?</v>
      </c>
      <c r="AZ461" s="1" t="e">
        <f ca="1">_xll.BDH($C$453,"SHORT_TERM_DEBT_5_YEAR_GROWTH","FQ3 2015","FQ3 2015","Currency=INR","Period=FQ","BEST_FPERIOD_OVERRIDE=FQ","FILING_STATUS=OR","EQY_CONSOLIDATED=Y","Sort=A","Dates=H","DateFormat=P","Fill=—","Direction=H","UseDPDF=Y")</f>
        <v>#NAME?</v>
      </c>
      <c r="BA461" s="1" t="e">
        <f ca="1">_xll.BDH($C$453,"TOTAL_DEBT_5_YEAR_GROWTH","FQ3 2015","FQ3 2015","Currency=INR","Period=FQ","BEST_FPERIOD_OVERRIDE=FQ","FILING_STATUS=OR","EQY_CONSOLIDATED=Y","Sort=A","Dates=H","DateFormat=P","Fill=—","Direction=H","UseDPDF=Y")</f>
        <v>#NAME?</v>
      </c>
      <c r="BB461" s="1" t="e">
        <f ca="1">_xll.BDH($C$453,"GEO_GROW_TOT_SHRHLDR_EQY","FQ3 2015","FQ3 2015","Currency=INR","Period=FQ","BEST_FPERIOD_OVERRIDE=FQ","FILING_STATUS=OR","EQY_CONSOLIDATED=Y","Sort=A","Dates=H","DateFormat=P","Fill=—","Direction=H","UseDPDF=Y")</f>
        <v>#NAME?</v>
      </c>
      <c r="BC461" s="1" t="e">
        <f ca="1">_xll.BDH($C$453,"TOTAL_CAPITAL_5_YEAR_GROWTH","FQ3 2015","FQ3 2015","Currency=INR","Period=FQ","BEST_FPERIOD_OVERRIDE=FQ","FILING_STATUS=OR","EQY_CONSOLIDATED=Y","Sort=A","Dates=H","DateFormat=P","Fill=—","Direction=H","UseDPDF=Y")</f>
        <v>#NAME?</v>
      </c>
      <c r="BD461" s="1" t="e">
        <f ca="1">_xll.BDH($C$453,"GEO_GROW_BOOK_VAL","FQ3 2015","FQ3 2015","Currency=INR","Period=FQ","BEST_FPERIOD_OVERRIDE=FQ","FILING_STATUS=OR","EQY_CONSOLIDATED=Y","Sort=A","Dates=H","DateFormat=P","Fill=—","Direction=H","UseDPDF=Y")</f>
        <v>#NAME?</v>
      </c>
      <c r="BE461" s="1" t="e">
        <f ca="1">_xll.BDH($C$453,"GEO_GROW_CASH_OPER_ACT","FQ3 2015","FQ3 2015","Currency=INR","Period=FQ","BEST_FPERIOD_OVERRIDE=FQ","FILING_STATUS=OR","EQY_CONSOLIDATED=Y","Sort=A","Dates=H","DateFormat=P","Fill=—","Direction=H","UseDPDF=Y")</f>
        <v>#NAME?</v>
      </c>
      <c r="BF461" s="1" t="e">
        <f ca="1">_xll.BDH($C$453,"REVENUE_SEQUENTIAL_GROWTH","FQ3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61" s="1" t="e">
        <f ca="1">_xll.BDH($C$453,"EBITDA_SEQUENTIAL_GROWTH","FQ3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61" s="1" t="e">
        <f ca="1">_xll.BDH($C$453,"OPERATING_INCOME_SEQ_GROWTH","FQ3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61" s="1" t="e">
        <f ca="1">_xll.BDH($C$453,"NET_INCOME_TO_COMMON_SEQ_GROWTH","FQ3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61" s="1" t="e">
        <f ca="1">_xll.BDH($C$453,"EPS_DILUTED_SEQUENTIAL_GROWTH","FQ3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61" s="1" t="e">
        <f ca="1">_xll.BDH($C$453,"DPS_SEQUENTIAL_GROWTH","FQ3 2015","FQ3 2015","Currency=INR","Period=FQ","BEST_FPERIOD_OVERRIDE=FQ","FILING_STATUS=OR","EQY_CONSOLIDATED=Y","Sort=A","Dates=H","DateFormat=P","Fill=—","Direction=H","UseDPDF=Y")</f>
        <v>#NAME?</v>
      </c>
      <c r="BL461" s="1" t="e">
        <f ca="1">_xll.BDH($C$453,"ACCOUNTS_RECEIVABLE_SEQ_GROWTH","FQ3 2015","FQ3 2015","Currency=INR","Period=FQ","BEST_FPERIOD_OVERRIDE=FQ","FILING_STATUS=OR","EQY_CONSOLIDATED=Y","Sort=A","Dates=H","DateFormat=P","Fill=—","Direction=H","UseDPDF=Y")</f>
        <v>#NAME?</v>
      </c>
      <c r="BM461" s="1" t="e">
        <f ca="1">_xll.BDH($C$453,"INVENTORY_SEQUENTIAL_GROWTH","FQ3 2015","FQ3 2015","Currency=INR","Period=FQ","BEST_FPERIOD_OVERRIDE=FQ","FILING_STATUS=OR","EQY_CONSOLIDATED=Y","Sort=A","Dates=H","DateFormat=P","Fill=—","Direction=H","UseDPDF=Y")</f>
        <v>#NAME?</v>
      </c>
      <c r="BN461" s="1" t="e">
        <f ca="1">_xll.BDH($C$453,"FIXED_ASSETS_SEQUENTIAL_GROWTH","FQ3 2015","FQ3 2015","Currency=INR","Period=FQ","BEST_FPERIOD_OVERRIDE=FQ","FILING_STATUS=OR","EQY_CONSOLIDATED=Y","Sort=A","Dates=H","DateFormat=P","Fill=—","Direction=H","UseDPDF=Y")</f>
        <v>#NAME?</v>
      </c>
      <c r="BO461" s="1" t="e">
        <f ca="1">_xll.BDH($C$453,"TOTAL_ASSETS_SEQUENTIAL_GROWTH","FQ3 2015","FQ3 2015","Currency=INR","Period=FQ","BEST_FPERIOD_OVERRIDE=FQ","FILING_STATUS=OR","EQY_CONSOLIDATED=Y","Sort=A","Dates=H","DateFormat=P","Fill=—","Direction=H","UseDPDF=Y")</f>
        <v>#NAME?</v>
      </c>
      <c r="BP461" s="1" t="e">
        <f ca="1">_xll.BDH($C$453,"MODIFIED_WORKING_CPTL_SEQ_GRWTH","FQ3 2015","FQ3 2015","Currency=INR","Period=FQ","BEST_FPERIOD_OVERRIDE=FQ","FILING_STATUS=OR","EQY_CONSOLIDATED=Y","Sort=A","Dates=H","DateFormat=P","Fill=—","Direction=H","UseDPDF=Y")</f>
        <v>#NAME?</v>
      </c>
      <c r="BQ461" s="1" t="e">
        <f ca="1">_xll.BDH($C$453,"WORKING_CAPITAL_SEQ_GROWTH","FQ3 2015","FQ3 2015","Currency=INR","Period=FQ","BEST_FPERIOD_OVERRIDE=FQ","FILING_STATUS=OR","EQY_CONSOLIDATED=Y","Sort=A","Dates=H","DateFormat=P","Fill=—","Direction=H","UseDPDF=Y")</f>
        <v>#NAME?</v>
      </c>
      <c r="BR461" s="1" t="e">
        <f ca="1">_xll.BDH($C$453,"ACCOUNTS_PAYABLE_SEQ_GROWTH","FQ3 2015","FQ3 2015","Currency=INR","Period=FQ","BEST_FPERIOD_OVERRIDE=FQ","FILING_STATUS=OR","EQY_CONSOLIDATED=Y","Sort=A","Dates=H","DateFormat=P","Fill=—","Direction=H","UseDPDF=Y")</f>
        <v>#NAME?</v>
      </c>
      <c r="BS461" s="1" t="e">
        <f ca="1">_xll.BDH($C$453,"ST_DEBT_SEQUENTIAL_GROWTH","FQ3 2015","FQ3 2015","Currency=INR","Period=FQ","BEST_FPERIOD_OVERRIDE=FQ","FILING_STATUS=OR","EQY_CONSOLIDATED=Y","Sort=A","Dates=H","DateFormat=P","Fill=—","Direction=H","UseDPDF=Y")</f>
        <v>#NAME?</v>
      </c>
      <c r="BT461" s="1" t="e">
        <f ca="1">_xll.BDH($C$453,"TOTAL_DEBT_SEQUENTIAL_GROWTH","FQ3 2015","FQ3 2015","Currency=INR","Period=FQ","BEST_FPERIOD_OVERRIDE=FQ","FILING_STATUS=OR","EQY_CONSOLIDATED=Y","Sort=A","Dates=H","DateFormat=P","Fill=—","Direction=H","UseDPDF=Y")</f>
        <v>#NAME?</v>
      </c>
      <c r="BU461" s="1" t="e">
        <f ca="1">_xll.BDH($C$453,"TOTAL_EQUITY_SEQUENTIAL_GROWTH","FQ3 2015","FQ3 2015","Currency=INR","Period=FQ","BEST_FPERIOD_OVERRIDE=FQ","FILING_STATUS=OR","EQY_CONSOLIDATED=Y","Sort=A","Dates=H","DateFormat=P","Fill=—","Direction=H","UseDPDF=Y")</f>
        <v>#NAME?</v>
      </c>
      <c r="BV461" s="1" t="e">
        <f ca="1">_xll.BDH($C$453,"TOTAL_CAPITAL_SEQUENTIAL_GROWTH","FQ3 2015","FQ3 2015","Currency=INR","Period=FQ","BEST_FPERIOD_OVERRIDE=FQ","FILING_STATUS=OR","EQY_CONSOLIDATED=Y","Sort=A","Dates=H","DateFormat=P","Fill=—","Direction=H","UseDPDF=Y")</f>
        <v>#NAME?</v>
      </c>
      <c r="BW461" s="1" t="e">
        <f ca="1">_xll.BDH($C$453,"BPS_SEQUENTIAL_GROWTH","FQ3 2015","FQ3 2015","Currency=INR","Period=FQ","BEST_FPERIOD_OVERRIDE=FQ","FILING_STATUS=OR","EQY_CONSOLIDATED=Y","Sort=A","Dates=H","DateFormat=P","Fill=—","Direction=H","UseDPDF=Y")</f>
        <v>#NAME?</v>
      </c>
      <c r="BX461" s="1" t="e">
        <f ca="1">_xll.BDH($C$453,"CFO_SEQUENTIAL_GROWTH","FQ3 2015","FQ3 2015","Currency=INR","Period=FQ","BEST_FPERIOD_OVERRIDE=FQ","FILING_STATUS=OR","EQY_CONSOLIDATED=Y","Sort=A","Dates=H","DateFormat=P","Fill=—","Direction=H","UseDPDF=Y")</f>
        <v>#NAME?</v>
      </c>
      <c r="BY461" s="2" t="e">
        <f ca="1">_xll.BDH($C$453,"SHORT_AND_LONG_TERM_DEBT","FQ3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61" s="2" t="e">
        <f ca="1">_xll.BDH($C$453,"BS_ST_BORROW","FQ3 2015","FQ3 2015","Currency=INR","Period=FQ","BEST_FPERIOD_OVERRIDE=FQ","FILING_STATUS=OR","EQY_CONSOLIDATED=Y","SCALING_FORMAT=MLN","Sort=A","Dates=H","DateFormat=P","Fill=—","Direction=H","UseDPDF=Y")</f>
        <v>#NAME?</v>
      </c>
      <c r="CA461" s="2" t="e">
        <f ca="1">_xll.BDH($C$453,"BS_LT_BORROW","FQ3 2015","FQ3 2015","Currency=INR","Period=FQ","BEST_FPERIOD_OVERRIDE=FQ","FILING_STATUS=OR","EQY_CONSOLIDATED=Y","SCALING_FORMAT=MLN","Sort=A","Dates=H","DateFormat=P","Fill=—","Direction=H","UseDPDF=Y")</f>
        <v>#NAME?</v>
      </c>
      <c r="CB461" s="1" t="e">
        <f ca="1">_xll.BDH($C$453,"TOT_DEBT_TO_EBITDA","FQ3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61" s="1" t="e">
        <f ca="1">_xll.BDH($C$453,"NET_DEBT_TO_EBITDA","FQ3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61" s="1" t="e">
        <f ca="1">_xll.BDH($C$453,"TOTAL_DEBT_TO_EBIT","FQ3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61" s="1" t="e">
        <f ca="1">_xll.BDH($C$453,"NET_DEBT_TO_EBIT","FQ3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461" s="1" t="e">
        <f ca="1">_xll.BDH($C$453,"EBITDA_TO_INTEREST_EXPN","FQ3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61" s="1" t="e">
        <f ca="1">_xll.BDH($C$453,"COM_EQY_TO_TOT_ASSET","FQ3 2015","FQ3 2015","Currency=INR","Period=FQ","BEST_FPERIOD_OVERRIDE=FQ","FILING_STATUS=OR","EQY_CONSOLIDATED=Y","Sort=A","Dates=H","DateFormat=P","Fill=—","Direction=H","UseDPDF=Y")</f>
        <v>#NAME?</v>
      </c>
      <c r="CH461" s="1" t="e">
        <f ca="1">_xll.BDH($C$453,"LT_DEBT_TO_TOT_EQY","FQ3 2015","FQ3 2015","Currency=INR","Period=FQ","BEST_FPERIOD_OVERRIDE=FQ","FILING_STATUS=OR","EQY_CONSOLIDATED=Y","Sort=A","Dates=H","DateFormat=P","Fill=—","Direction=H","UseDPDF=Y")</f>
        <v>#NAME?</v>
      </c>
      <c r="CI461" s="1" t="e">
        <f ca="1">_xll.BDH($C$453,"LT_DEBT_TO_TOT_CAP","FQ3 2015","FQ3 2015","Currency=INR","Period=FQ","BEST_FPERIOD_OVERRIDE=FQ","FILING_STATUS=OR","EQY_CONSOLIDATED=Y","Sort=A","Dates=H","DateFormat=P","Fill=—","Direction=H","UseDPDF=Y")</f>
        <v>#NAME?</v>
      </c>
      <c r="CJ461" s="1" t="e">
        <f ca="1">_xll.BDH($C$453,"LT_DEBT_TO_TOT_ASSET","FQ3 2015","FQ3 2015","Currency=INR","Period=FQ","BEST_FPERIOD_OVERRIDE=FQ","FILING_STATUS=OR","EQY_CONSOLIDATED=Y","Sort=A","Dates=H","DateFormat=P","Fill=—","Direction=H","UseDPDF=Y")</f>
        <v>#NAME?</v>
      </c>
      <c r="CK461" s="1" t="e">
        <f ca="1">_xll.BDH($C$453,"TOT_DEBT_TO_TOT_EQY","FQ3 2015","FQ3 2015","Currency=INR","Period=FQ","BEST_FPERIOD_OVERRIDE=FQ","FILING_STATUS=OR","EQY_CONSOLIDATED=Y","Sort=A","Dates=H","DateFormat=P","Fill=—","Direction=H","UseDPDF=Y")</f>
        <v>#NAME?</v>
      </c>
      <c r="CL461" s="1" t="e">
        <f ca="1">_xll.BDH($C$453,"TOT_DEBT_TO_TOT_CAP","FQ3 2015","FQ3 2015","Currency=INR","Period=FQ","BEST_FPERIOD_OVERRIDE=FQ","FILING_STATUS=OR","EQY_CONSOLIDATED=Y","Sort=A","Dates=H","DateFormat=P","Fill=—","Direction=H","UseDPDF=Y")</f>
        <v>#NAME?</v>
      </c>
      <c r="CM461" s="1" t="e">
        <f ca="1">_xll.BDH($C$453,"TOT_DEBT_TO_TOT_ASSET","FQ3 2015","FQ3 2015","Currency=INR","Period=FQ","BEST_FPERIOD_OVERRIDE=FQ","FILING_STATUS=OR","EQY_CONSOLIDATED=Y","Sort=A","Dates=H","DateFormat=P","Fill=—","Direction=H","UseDPDF=Y")</f>
        <v>#NAME?</v>
      </c>
      <c r="CN461" s="1" t="e">
        <f ca="1">_xll.BDH($C$453,"NET_DEBT_TO_SHRHLDR_EQTY","FQ3 2015","FQ3 2015","Currency=INR","Period=FQ","BEST_FPERIOD_OVERRIDE=FQ","FILING_STATUS=OR","EQY_CONSOLIDATED=Y","Sort=A","Dates=H","DateFormat=P","Fill=—","Direction=H","UseDPDF=Y")</f>
        <v>#NAME?</v>
      </c>
      <c r="CO461" s="1" t="e">
        <f ca="1">_xll.BDH($C$453,"NET_DEBT_%_CAPITAL","FQ3 2015","FQ3 2015","Currency=INR","Period=FQ","BEST_FPERIOD_OVERRIDE=FQ","FILING_STATUS=OR","EQY_CONSOLIDATED=Y","Sort=A","Dates=H","DateFormat=P","Fill=—","Direction=H","UseDPDF=Y")</f>
        <v>#NAME?</v>
      </c>
      <c r="CP461" s="2" t="e">
        <f ca="1">_xll.BDH($C$453,"EBITDA","FQ3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61" s="2" t="e">
        <f ca="1">_xll.BDH($C$453,"EBITDA_AFTER_CAPEX","FQ3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61" s="2" t="e">
        <f ca="1">_xll.BDH($C$453,"IS_OPER_INC","FQ3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61" s="1" t="e">
        <f ca="1">_xll.BDH($C$453,"CASH_RATIO","FQ3 2015","FQ3 2015","Currency=INR","Period=FQ","BEST_FPERIOD_OVERRIDE=FQ","FILING_STATUS=OR","EQY_CONSOLIDATED=Y","Sort=A","Dates=H","DateFormat=P","Fill=—","Direction=H","UseDPDF=Y")</f>
        <v>#NAME?</v>
      </c>
      <c r="CT461" s="1" t="e">
        <f ca="1">_xll.BDH($C$453,"CUR_RATIO","FQ3 2015","FQ3 2015","Currency=INR","Period=FQ","BEST_FPERIOD_OVERRIDE=FQ","FILING_STATUS=OR","EQY_CONSOLIDATED=Y","Sort=A","Dates=H","DateFormat=P","Fill=—","Direction=H","UseDPDF=Y")</f>
        <v>#NAME?</v>
      </c>
      <c r="CU461" s="1" t="e">
        <f ca="1">_xll.BDH($C$453,"QUICK_RATIO","FQ3 2015","FQ3 2015","Currency=INR","Period=FQ","BEST_FPERIOD_OVERRIDE=FQ","FILING_STATUS=OR","EQY_CONSOLIDATED=Y","Sort=A","Dates=H","DateFormat=P","Fill=—","Direction=H","UseDPDF=Y")</f>
        <v>#NAME?</v>
      </c>
      <c r="CV461" s="1" t="e">
        <f ca="1">_xll.BDH($C$453,"ALTMAN_Z_SCORE","FQ3 2015","FQ3 2015","Currency=INR","Period=FQ","BEST_FPERIOD_OVERRIDE=FQ","FILING_STATUS=OR","EQY_CONSOLIDATED=Y","Sort=A","Dates=H","DateFormat=P","Fill=—","Direction=H","UseDPDF=Y")</f>
        <v>#NAME?</v>
      </c>
      <c r="CW461" s="3" t="e">
        <f ca="1">_xll.BDH($C$453,"ACCT_RCV_TURN","FQ3 2015","FQ3 2015","Currency=INR","Period=FQ","BEST_FPERIOD_OVERRIDE=FQ","FILING_STATUS=OR","EQY_CONSOLIDATED=Y","FA_ADJUSTED=GAAP","Sort=A","Dates=H","DateFormat=P","Fill=—","Direction=H","UseDPDF=Y")</f>
        <v>#NAME?</v>
      </c>
      <c r="CX461" s="1" t="e">
        <f ca="1">_xll.BDH($C$453,"ACCT_RCV_DAYS","FQ3 2015","FQ3 2015","Currency=INR","Period=FQ","BEST_FPERIOD_OVERRIDE=FQ","FILING_STATUS=OR","EQY_CONSOLIDATED=Y","FA_ADJUSTED=GAAP","Sort=A","Dates=H","DateFormat=P","Fill=—","Direction=H","UseDPDF=Y")</f>
        <v>#NAME?</v>
      </c>
      <c r="CY461" s="3" t="e">
        <f ca="1">_xll.BDH($C$453,"INVENT_TURN","FQ3 2015","FQ3 2015","Currency=INR","Period=FQ","BEST_FPERIOD_OVERRIDE=FQ","FILING_STATUS=OR","EQY_CONSOLIDATED=Y","FA_ADJUSTED=GAAP","Sort=A","Dates=H","DateFormat=P","Fill=—","Direction=H","UseDPDF=Y")</f>
        <v>#NAME?</v>
      </c>
      <c r="CZ461" s="1" t="e">
        <f ca="1">_xll.BDH($C$453,"INVENT_DAYS","FQ3 2015","FQ3 2015","Currency=INR","Period=FQ","BEST_FPERIOD_OVERRIDE=FQ","FILING_STATUS=OR","EQY_CONSOLIDATED=Y","FA_ADJUSTED=GAAP","Sort=A","Dates=H","DateFormat=P","Fill=—","Direction=H","UseDPDF=Y")</f>
        <v>#NAME?</v>
      </c>
      <c r="DA461" s="3" t="e">
        <f ca="1">_xll.BDH($C$453,"ACCOUNTS_PAYABLE_TURNOVER","FQ3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61" s="1" t="e">
        <f ca="1">_xll.BDH($C$453,"ACCOUNTS_PAYABLE_TURNOVER_DAYS","FQ3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61" s="3" t="e">
        <f ca="1">_xll.BDH($C$453,"CASH_CONVERSION_CYCLE","FQ3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61" s="3" t="e">
        <f ca="1">_xll.BDH($C$453,"INV_TO_CASH_DAYS","FQ3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461" s="4" t="e">
        <f ca="1">_xll.BDH($C$453,"BS_INVENTORIES","FQ3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461" s="2" t="e">
        <f ca="1">_xll.BDH($C$453,"INVTRY_RAW_MATERIALS","FQ3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61" s="2" t="e">
        <f ca="1">_xll.BDH($C$453,"INVTRY_IN_PROGRESS","FQ3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61" s="2" t="e">
        <f ca="1">_xll.BDH($C$453,"INVTRY_FINISHED_GOODS","FQ3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61" s="2" t="e">
        <f ca="1">_xll.BDH($C$453,"BS_OTHER_INV","FQ3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62" spans="1:113" x14ac:dyDescent="0.3">
      <c r="A462" s="6"/>
      <c r="B462" s="6"/>
      <c r="C462" s="6"/>
      <c r="D462" s="6"/>
      <c r="E462" t="s">
        <v>7</v>
      </c>
      <c r="F462" t="e">
        <f ca="1">_xll.BDH($C$453,"RETURN_COM_EQY","FQ4 2015","FQ4 2015","Currency=INR","Period=FQ","BEST_FPERIOD_OVERRIDE=FQ","FILING_STATUS=OR","EQY_CONSOLIDATED=Y","FA_ADJUSTED=GAAP","Sort=A","Dates=H","DateFormat=P","Fill=—","Direction=H","UseDPDF=Y")</f>
        <v>#NAME?</v>
      </c>
      <c r="G462" t="e">
        <f ca="1">_xll.BDH($C$453,"RETURN_ON_ASSET","FQ4 2015","FQ4 2015","Currency=INR","Period=FQ","BEST_FPERIOD_OVERRIDE=FQ","FILING_STATUS=OR","EQY_CONSOLIDATED=Y","FA_ADJUSTED=GAAP","Sort=A","Dates=H","DateFormat=P","Fill=—","Direction=H","UseDPDF=Y")</f>
        <v>#NAME?</v>
      </c>
      <c r="H462" t="e">
        <f ca="1">_xll.BDH($C$453,"RETURN_ON_CAP","FQ4 2015","FQ4 2015","Currency=INR","Period=FQ","BEST_FPERIOD_OVERRIDE=FQ","FILING_STATUS=OR","EQY_CONSOLIDATED=Y","FA_ADJUSTED=GAAP","Sort=A","Dates=H","DateFormat=P","Fill=—","Direction=H","UseDPDF=Y")</f>
        <v>#NAME?</v>
      </c>
      <c r="I462" t="e">
        <f ca="1">_xll.BDH($C$453,"RETURN_ON_INV_CAPITAL","FQ4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62" t="e">
        <f ca="1">_xll.BDH($C$453,"EBITDA_TO_REVENUE","FQ4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462" t="e">
        <f ca="1">_xll.BDH($C$453,"OPER_MARGIN","FQ4 2015","FQ4 2015","Currency=INR","Period=FQ","BEST_FPERIOD_OVERRIDE=FQ","FILING_STATUS=OR","EQY_CONSOLIDATED=Y","FA_ADJUSTED=GAAP","Sort=A","Dates=H","DateFormat=P","Fill=—","Direction=H","UseDPDF=Y")</f>
        <v>#NAME?</v>
      </c>
      <c r="L462" t="e">
        <f ca="1">_xll.BDH($C$453,"INCREMENTAL_OPERATING_MARGIN","FQ4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62" t="e">
        <f ca="1">_xll.BDH($C$453,"PRETAX_INC_TO_NET_SALES","FQ4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62" t="e">
        <f ca="1">_xll.BDH($C$453,"INC_BEF_XO_ITEMS_TO_NET_SALES","FQ4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62" t="e">
        <f ca="1">_xll.BDH($C$453,"PROF_MARGIN","FQ4 2015","FQ4 2015","Currency=INR","Period=FQ","BEST_FPERIOD_OVERRIDE=FQ","FILING_STATUS=OR","EQY_CONSOLIDATED=Y","FA_ADJUSTED=GAAP","Sort=A","Dates=H","DateFormat=P","Fill=—","Direction=H","UseDPDF=Y")</f>
        <v>#NAME?</v>
      </c>
      <c r="P462" t="e">
        <f ca="1">_xll.BDH($C$453,"NET_INCOME_TO_COMMON_MARGIN","FQ4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62" t="e">
        <f ca="1">_xll.BDH($C$453,"EFF_TAX_RATE","FQ4 2015","FQ4 2015","Currency=INR","Period=FQ","BEST_FPERIOD_OVERRIDE=FQ","FILING_STATUS=OR","EQY_CONSOLIDATED=Y","FA_ADJUSTED=GAAP","Sort=A","Dates=H","DateFormat=P","Fill=—","Direction=H","UseDPDF=Y")</f>
        <v>#NAME?</v>
      </c>
      <c r="R462" t="e">
        <f ca="1">_xll.BDH($C$453,"DVD_PAYOUT_RATIO","FQ4 2015","FQ4 2015","Currency=INR","Period=FQ","BEST_FPERIOD_OVERRIDE=FQ","FILING_STATUS=OR","EQY_CONSOLIDATED=Y","FA_ADJUSTED=GAAP","Sort=A","Dates=H","DateFormat=P","Fill=—","Direction=H","UseDPDF=Y")</f>
        <v>#NAME?</v>
      </c>
      <c r="S462" t="e">
        <f ca="1">_xll.BDH($C$453,"SUSTAIN_GROWTH_RT","FQ4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462" s="1" t="e">
        <f ca="1">_xll.BDH($C$453,"SALES_GROWTH","FQ4 2015","FQ4 2015","Currency=INR","Period=FQ","BEST_FPERIOD_OVERRIDE=FQ","FILING_STATUS=OR","EQY_CONSOLIDATED=Y","FA_ADJUSTED=GAAP","Sort=A","Dates=H","DateFormat=P","Fill=—","Direction=H","UseDPDF=Y")</f>
        <v>#NAME?</v>
      </c>
      <c r="U462" s="1" t="e">
        <f ca="1">_xll.BDH($C$453,"EBITDA_GROWTH","FQ4 2015","FQ4 2015","Currency=INR","Period=FQ","BEST_FPERIOD_OVERRIDE=FQ","FILING_STATUS=OR","EQY_CONSOLIDATED=Y","FA_ADJUSTED=GAAP","Sort=A","Dates=H","DateFormat=P","Fill=—","Direction=H","UseDPDF=Y")</f>
        <v>#NAME?</v>
      </c>
      <c r="V462" s="1" t="e">
        <f ca="1">_xll.BDH($C$453,"OPER_INC_GROWTH","FQ4 2015","FQ4 2015","Currency=INR","Period=FQ","BEST_FPERIOD_OVERRIDE=FQ","FILING_STATUS=OR","EQY_CONSOLIDATED=Y","FA_ADJUSTED=GAAP","Sort=A","Dates=H","DateFormat=P","Fill=—","Direction=H","UseDPDF=Y")</f>
        <v>#NAME?</v>
      </c>
      <c r="W462" s="1" t="e">
        <f ca="1">_xll.BDH($C$453,"EARN_FOR_COM_GROWTH","FQ4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62" s="1" t="e">
        <f ca="1">_xll.BDH($C$453,"DILUTED_EPS_AFT_XO_ITEMS_GROWTH","FQ4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62" s="1" t="e">
        <f ca="1">_xll.BDH($C$453,"DIVIDEND_PER_SHARE_1_YEAR_GROWTH","FQ4 2015","FQ4 2015","Currency=INR","Period=FQ","BEST_FPERIOD_OVERRIDE=FQ","FILING_STATUS=OR","EQY_CONSOLIDATED=Y","Sort=A","Dates=H","DateFormat=P","Fill=—","Direction=H","UseDPDF=Y")</f>
        <v>#NAME?</v>
      </c>
      <c r="Z462" s="1" t="e">
        <f ca="1">_xll.BDH($C$453,"ACCOUNTS_RECEIVABLE_GROWTH","FQ4 2015","FQ4 2015","Currency=INR","Period=FQ","BEST_FPERIOD_OVERRIDE=FQ","FILING_STATUS=OR","EQY_CONSOLIDATED=Y","Sort=A","Dates=H","DateFormat=P","Fill=—","Direction=H","UseDPDF=Y")</f>
        <v>#NAME?</v>
      </c>
      <c r="AA462" s="1" t="e">
        <f ca="1">_xll.BDH($C$453,"INVENTORY_GROWTH","FQ4 2015","FQ4 2015","Currency=INR","Period=FQ","BEST_FPERIOD_OVERRIDE=FQ","FILING_STATUS=OR","EQY_CONSOLIDATED=Y","Sort=A","Dates=H","DateFormat=P","Fill=—","Direction=H","UseDPDF=Y")</f>
        <v>#NAME?</v>
      </c>
      <c r="AB462" s="1" t="e">
        <f ca="1">_xll.BDH($C$453,"NET_FIXED_ASSETS_1_YEAR_GROWTH","FQ4 2015","FQ4 2015","Currency=INR","Period=FQ","BEST_FPERIOD_OVERRIDE=FQ","FILING_STATUS=OR","EQY_CONSOLIDATED=Y","Sort=A","Dates=H","DateFormat=P","Fill=—","Direction=H","UseDPDF=Y")</f>
        <v>#NAME?</v>
      </c>
      <c r="AC462" s="1" t="e">
        <f ca="1">_xll.BDH($C$453,"ASSET_GROWTH","FQ4 2015","FQ4 2015","Currency=INR","Period=FQ","BEST_FPERIOD_OVERRIDE=FQ","FILING_STATUS=OR","EQY_CONSOLIDATED=Y","Sort=A","Dates=H","DateFormat=P","Fill=—","Direction=H","UseDPDF=Y")</f>
        <v>#NAME?</v>
      </c>
      <c r="AD462" s="1" t="e">
        <f ca="1">_xll.BDH($C$453,"MODIFIED_WORK_CAP_GROWTH","FQ4 2015","FQ4 2015","Currency=INR","Period=FQ","BEST_FPERIOD_OVERRIDE=FQ","FILING_STATUS=OR","EQY_CONSOLIDATED=Y","Sort=A","Dates=H","DateFormat=P","Fill=—","Direction=H","UseDPDF=Y")</f>
        <v>#NAME?</v>
      </c>
      <c r="AE462" s="1" t="e">
        <f ca="1">_xll.BDH($C$453,"WORK_CAP_GROWTH","FQ4 2015","FQ4 2015","Currency=INR","Period=FQ","BEST_FPERIOD_OVERRIDE=FQ","FILING_STATUS=OR","EQY_CONSOLIDATED=Y","Sort=A","Dates=H","DateFormat=P","Fill=—","Direction=H","UseDPDF=Y")</f>
        <v>#NAME?</v>
      </c>
      <c r="AF462" s="1" t="e">
        <f ca="1">_xll.BDH($C$453,"ACCOUNTS_PAYABLE_GROWTH_1YR","FQ4 2015","FQ4 2015","Currency=INR","Period=FQ","BEST_FPERIOD_OVERRIDE=FQ","FILING_STATUS=OR","EQY_CONSOLIDATED=Y","Sort=A","Dates=H","DateFormat=P","Fill=—","Direction=H","UseDPDF=Y")</f>
        <v>#NAME?</v>
      </c>
      <c r="AG462" s="1" t="e">
        <f ca="1">_xll.BDH($C$453,"SHORT_TERM_DEBT_1_YEAR_GROWTH","FQ4 2015","FQ4 2015","Currency=INR","Period=FQ","BEST_FPERIOD_OVERRIDE=FQ","FILING_STATUS=OR","EQY_CONSOLIDATED=Y","Sort=A","Dates=H","DateFormat=P","Fill=—","Direction=H","UseDPDF=Y")</f>
        <v>#NAME?</v>
      </c>
      <c r="AH462" s="1" t="e">
        <f ca="1">_xll.BDH($C$453,"TOTAL_DEBT_1_YEAR_GROWTH","FQ4 2015","FQ4 2015","Currency=INR","Period=FQ","BEST_FPERIOD_OVERRIDE=FQ","FILING_STATUS=OR","EQY_CONSOLIDATED=Y","Sort=A","Dates=H","DateFormat=P","Fill=—","Direction=H","UseDPDF=Y")</f>
        <v>#NAME?</v>
      </c>
      <c r="AI462" s="1" t="e">
        <f ca="1">_xll.BDH($C$453,"TOTAL_EQUITY_1_YEAR_GROWTH","FQ4 2015","FQ4 2015","Currency=INR","Period=FQ","BEST_FPERIOD_OVERRIDE=FQ","FILING_STATUS=OR","EQY_CONSOLIDATED=Y","Sort=A","Dates=H","DateFormat=P","Fill=—","Direction=H","UseDPDF=Y")</f>
        <v>#NAME?</v>
      </c>
      <c r="AJ462" s="1" t="e">
        <f ca="1">_xll.BDH($C$453,"GROWTH_IN_CAP","FQ4 2015","FQ4 2015","Currency=INR","Period=FQ","BEST_FPERIOD_OVERRIDE=FQ","FILING_STATUS=OR","EQY_CONSOLIDATED=Y","Sort=A","Dates=H","DateFormat=P","Fill=—","Direction=H","UseDPDF=Y")</f>
        <v>#NAME?</v>
      </c>
      <c r="AK462" s="1" t="e">
        <f ca="1">_xll.BDH($C$453,"BVPS_GROWTH","FQ4 2015","FQ4 2015","Currency=INR","Period=FQ","BEST_FPERIOD_OVERRIDE=FQ","FILING_STATUS=OR","EQY_CONSOLIDATED=Y","Sort=A","Dates=H","DateFormat=P","Fill=—","Direction=H","UseDPDF=Y")</f>
        <v>#NAME?</v>
      </c>
      <c r="AL462" s="1" t="e">
        <f ca="1">_xll.BDH($C$453,"CASH_FLOW_GROWTH","FQ4 2015","FQ4 2015","Currency=INR","Period=FQ","BEST_FPERIOD_OVERRIDE=FQ","FILING_STATUS=OR","EQY_CONSOLIDATED=Y","Sort=A","Dates=H","DateFormat=P","Fill=—","Direction=H","UseDPDF=Y")</f>
        <v>#NAME?</v>
      </c>
      <c r="AM462" s="1" t="e">
        <f ca="1">_xll.BDH($C$453,"GEO_GROW_NET_SALES","FQ4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62" s="1" t="e">
        <f ca="1">_xll.BDH($C$453,"GEO_GROW_EBITDA","FQ4 2015","FQ4 2015","Currency=INR","Period=FQ","BEST_FPERIOD_OVERRIDE=FQ","FILING_STATUS=OR","EQY_CONSOLIDATED=Y","FA_ADJUSTED=GAAP","Sort=A","Dates=H","DateFormat=P","Fill=—","Direction=H","UseDPDF=Y")</f>
        <v>#NAME?</v>
      </c>
      <c r="AO462" s="1" t="e">
        <f ca="1">_xll.BDH($C$453,"GEO_GROW_OPER_INC","FQ4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62" s="1" t="e">
        <f ca="1">_xll.BDH($C$453,"NET_INCOME_TO_COMMON_5_YR_GROWTH","FQ4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62" s="1" t="e">
        <f ca="1">_xll.BDH($C$453,"5Y_GEO_GROWTH_DILUTED_EPS","FQ4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62" s="1" t="e">
        <f ca="1">_xll.BDH($C$453,"GEO_GROW_DVD_PER_SH","FQ4 2015","FQ4 2015","Currency=INR","Period=FQ","BEST_FPERIOD_OVERRIDE=FQ","FILING_STATUS=OR","EQY_CONSOLIDATED=Y","Sort=A","Dates=H","DateFormat=P","Fill=—","Direction=H","UseDPDF=Y")</f>
        <v>#NAME?</v>
      </c>
      <c r="AS462" s="1" t="e">
        <f ca="1">_xll.BDH($C$453,"ACCOUNTS_RECEIVABLE_5_YR_GROWTH","FQ4 2015","FQ4 2015","Currency=INR","Period=FQ","BEST_FPERIOD_OVERRIDE=FQ","FILING_STATUS=OR","EQY_CONSOLIDATED=Y","Sort=A","Dates=H","DateFormat=P","Fill=—","Direction=H","UseDPDF=Y")</f>
        <v>#NAME?</v>
      </c>
      <c r="AT462" s="1" t="e">
        <f ca="1">_xll.BDH($C$453,"INVENTORY_5_YEAR_GROWTH","FQ4 2015","FQ4 2015","Currency=INR","Period=FQ","BEST_FPERIOD_OVERRIDE=FQ","FILING_STATUS=OR","EQY_CONSOLIDATED=Y","Sort=A","Dates=H","DateFormat=P","Fill=—","Direction=H","UseDPDF=Y")</f>
        <v>#NAME?</v>
      </c>
      <c r="AU462" s="1" t="e">
        <f ca="1">_xll.BDH($C$453,"NET_FIXED_ASSETS_5_YEAR_GROWTH","FQ4 2015","FQ4 2015","Currency=INR","Period=FQ","BEST_FPERIOD_OVERRIDE=FQ","FILING_STATUS=OR","EQY_CONSOLIDATED=Y","Sort=A","Dates=H","DateFormat=P","Fill=—","Direction=H","UseDPDF=Y")</f>
        <v>#NAME?</v>
      </c>
      <c r="AV462" s="1" t="e">
        <f ca="1">_xll.BDH($C$453,"GEO_GROW_TOT_ASSET","FQ4 2015","FQ4 2015","Currency=INR","Period=FQ","BEST_FPERIOD_OVERRIDE=FQ","FILING_STATUS=OR","EQY_CONSOLIDATED=Y","Sort=A","Dates=H","DateFormat=P","Fill=—","Direction=H","UseDPDF=Y")</f>
        <v>#NAME?</v>
      </c>
      <c r="AW462" s="1" t="e">
        <f ca="1">_xll.BDH($C$453,"MODIFIED_WORKING_CPTL_5YR_GRWTH","FQ4 2015","FQ4 2015","Currency=INR","Period=FQ","BEST_FPERIOD_OVERRIDE=FQ","FILING_STATUS=OR","EQY_CONSOLIDATED=Y","Sort=A","Dates=H","DateFormat=P","Fill=—","Direction=H","UseDPDF=Y")</f>
        <v>#NAME?</v>
      </c>
      <c r="AX462" s="1" t="e">
        <f ca="1">_xll.BDH($C$453,"WORKING_CAPITAL_5_YEAR_GROWTH","FQ4 2015","FQ4 2015","Currency=INR","Period=FQ","BEST_FPERIOD_OVERRIDE=FQ","FILING_STATUS=OR","EQY_CONSOLIDATED=Y","Sort=A","Dates=H","DateFormat=P","Fill=—","Direction=H","UseDPDF=Y")</f>
        <v>#NAME?</v>
      </c>
      <c r="AY462" s="1" t="e">
        <f ca="1">_xll.BDH($C$453,"ACCOUNTS_PAYABLE_5_YEAR_GROWTH","FQ4 2015","FQ4 2015","Currency=INR","Period=FQ","BEST_FPERIOD_OVERRIDE=FQ","FILING_STATUS=OR","EQY_CONSOLIDATED=Y","Sort=A","Dates=H","DateFormat=P","Fill=—","Direction=H","UseDPDF=Y")</f>
        <v>#NAME?</v>
      </c>
      <c r="AZ462" s="1" t="e">
        <f ca="1">_xll.BDH($C$453,"SHORT_TERM_DEBT_5_YEAR_GROWTH","FQ4 2015","FQ4 2015","Currency=INR","Period=FQ","BEST_FPERIOD_OVERRIDE=FQ","FILING_STATUS=OR","EQY_CONSOLIDATED=Y","Sort=A","Dates=H","DateFormat=P","Fill=—","Direction=H","UseDPDF=Y")</f>
        <v>#NAME?</v>
      </c>
      <c r="BA462" s="1" t="e">
        <f ca="1">_xll.BDH($C$453,"TOTAL_DEBT_5_YEAR_GROWTH","FQ4 2015","FQ4 2015","Currency=INR","Period=FQ","BEST_FPERIOD_OVERRIDE=FQ","FILING_STATUS=OR","EQY_CONSOLIDATED=Y","Sort=A","Dates=H","DateFormat=P","Fill=—","Direction=H","UseDPDF=Y")</f>
        <v>#NAME?</v>
      </c>
      <c r="BB462" s="1" t="e">
        <f ca="1">_xll.BDH($C$453,"GEO_GROW_TOT_SHRHLDR_EQY","FQ4 2015","FQ4 2015","Currency=INR","Period=FQ","BEST_FPERIOD_OVERRIDE=FQ","FILING_STATUS=OR","EQY_CONSOLIDATED=Y","Sort=A","Dates=H","DateFormat=P","Fill=—","Direction=H","UseDPDF=Y")</f>
        <v>#NAME?</v>
      </c>
      <c r="BC462" s="1" t="e">
        <f ca="1">_xll.BDH($C$453,"TOTAL_CAPITAL_5_YEAR_GROWTH","FQ4 2015","FQ4 2015","Currency=INR","Period=FQ","BEST_FPERIOD_OVERRIDE=FQ","FILING_STATUS=OR","EQY_CONSOLIDATED=Y","Sort=A","Dates=H","DateFormat=P","Fill=—","Direction=H","UseDPDF=Y")</f>
        <v>#NAME?</v>
      </c>
      <c r="BD462" s="1" t="e">
        <f ca="1">_xll.BDH($C$453,"GEO_GROW_BOOK_VAL","FQ4 2015","FQ4 2015","Currency=INR","Period=FQ","BEST_FPERIOD_OVERRIDE=FQ","FILING_STATUS=OR","EQY_CONSOLIDATED=Y","Sort=A","Dates=H","DateFormat=P","Fill=—","Direction=H","UseDPDF=Y")</f>
        <v>#NAME?</v>
      </c>
      <c r="BE462" s="1" t="e">
        <f ca="1">_xll.BDH($C$453,"GEO_GROW_CASH_OPER_ACT","FQ4 2015","FQ4 2015","Currency=INR","Period=FQ","BEST_FPERIOD_OVERRIDE=FQ","FILING_STATUS=OR","EQY_CONSOLIDATED=Y","Sort=A","Dates=H","DateFormat=P","Fill=—","Direction=H","UseDPDF=Y")</f>
        <v>#NAME?</v>
      </c>
      <c r="BF462" s="1" t="e">
        <f ca="1">_xll.BDH($C$453,"REVENUE_SEQUENTIAL_GROWTH","FQ4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62" s="1" t="e">
        <f ca="1">_xll.BDH($C$453,"EBITDA_SEQUENTIAL_GROWTH","FQ4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62" s="1" t="e">
        <f ca="1">_xll.BDH($C$453,"OPERATING_INCOME_SEQ_GROWTH","FQ4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62" s="1" t="e">
        <f ca="1">_xll.BDH($C$453,"NET_INCOME_TO_COMMON_SEQ_GROWTH","FQ4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62" s="1" t="e">
        <f ca="1">_xll.BDH($C$453,"EPS_DILUTED_SEQUENTIAL_GROWTH","FQ4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62" s="1" t="e">
        <f ca="1">_xll.BDH($C$453,"DPS_SEQUENTIAL_GROWTH","FQ4 2015","FQ4 2015","Currency=INR","Period=FQ","BEST_FPERIOD_OVERRIDE=FQ","FILING_STATUS=OR","EQY_CONSOLIDATED=Y","Sort=A","Dates=H","DateFormat=P","Fill=—","Direction=H","UseDPDF=Y")</f>
        <v>#NAME?</v>
      </c>
      <c r="BL462" s="1" t="e">
        <f ca="1">_xll.BDH($C$453,"ACCOUNTS_RECEIVABLE_SEQ_GROWTH","FQ4 2015","FQ4 2015","Currency=INR","Period=FQ","BEST_FPERIOD_OVERRIDE=FQ","FILING_STATUS=OR","EQY_CONSOLIDATED=Y","Sort=A","Dates=H","DateFormat=P","Fill=—","Direction=H","UseDPDF=Y")</f>
        <v>#NAME?</v>
      </c>
      <c r="BM462" s="1" t="e">
        <f ca="1">_xll.BDH($C$453,"INVENTORY_SEQUENTIAL_GROWTH","FQ4 2015","FQ4 2015","Currency=INR","Period=FQ","BEST_FPERIOD_OVERRIDE=FQ","FILING_STATUS=OR","EQY_CONSOLIDATED=Y","Sort=A","Dates=H","DateFormat=P","Fill=—","Direction=H","UseDPDF=Y")</f>
        <v>#NAME?</v>
      </c>
      <c r="BN462" s="1" t="e">
        <f ca="1">_xll.BDH($C$453,"FIXED_ASSETS_SEQUENTIAL_GROWTH","FQ4 2015","FQ4 2015","Currency=INR","Period=FQ","BEST_FPERIOD_OVERRIDE=FQ","FILING_STATUS=OR","EQY_CONSOLIDATED=Y","Sort=A","Dates=H","DateFormat=P","Fill=—","Direction=H","UseDPDF=Y")</f>
        <v>#NAME?</v>
      </c>
      <c r="BO462" s="1" t="e">
        <f ca="1">_xll.BDH($C$453,"TOTAL_ASSETS_SEQUENTIAL_GROWTH","FQ4 2015","FQ4 2015","Currency=INR","Period=FQ","BEST_FPERIOD_OVERRIDE=FQ","FILING_STATUS=OR","EQY_CONSOLIDATED=Y","Sort=A","Dates=H","DateFormat=P","Fill=—","Direction=H","UseDPDF=Y")</f>
        <v>#NAME?</v>
      </c>
      <c r="BP462" s="1" t="e">
        <f ca="1">_xll.BDH($C$453,"MODIFIED_WORKING_CPTL_SEQ_GRWTH","FQ4 2015","FQ4 2015","Currency=INR","Period=FQ","BEST_FPERIOD_OVERRIDE=FQ","FILING_STATUS=OR","EQY_CONSOLIDATED=Y","Sort=A","Dates=H","DateFormat=P","Fill=—","Direction=H","UseDPDF=Y")</f>
        <v>#NAME?</v>
      </c>
      <c r="BQ462" s="1" t="e">
        <f ca="1">_xll.BDH($C$453,"WORKING_CAPITAL_SEQ_GROWTH","FQ4 2015","FQ4 2015","Currency=INR","Period=FQ","BEST_FPERIOD_OVERRIDE=FQ","FILING_STATUS=OR","EQY_CONSOLIDATED=Y","Sort=A","Dates=H","DateFormat=P","Fill=—","Direction=H","UseDPDF=Y")</f>
        <v>#NAME?</v>
      </c>
      <c r="BR462" s="1" t="e">
        <f ca="1">_xll.BDH($C$453,"ACCOUNTS_PAYABLE_SEQ_GROWTH","FQ4 2015","FQ4 2015","Currency=INR","Period=FQ","BEST_FPERIOD_OVERRIDE=FQ","FILING_STATUS=OR","EQY_CONSOLIDATED=Y","Sort=A","Dates=H","DateFormat=P","Fill=—","Direction=H","UseDPDF=Y")</f>
        <v>#NAME?</v>
      </c>
      <c r="BS462" s="1" t="e">
        <f ca="1">_xll.BDH($C$453,"ST_DEBT_SEQUENTIAL_GROWTH","FQ4 2015","FQ4 2015","Currency=INR","Period=FQ","BEST_FPERIOD_OVERRIDE=FQ","FILING_STATUS=OR","EQY_CONSOLIDATED=Y","Sort=A","Dates=H","DateFormat=P","Fill=—","Direction=H","UseDPDF=Y")</f>
        <v>#NAME?</v>
      </c>
      <c r="BT462" s="1" t="e">
        <f ca="1">_xll.BDH($C$453,"TOTAL_DEBT_SEQUENTIAL_GROWTH","FQ4 2015","FQ4 2015","Currency=INR","Period=FQ","BEST_FPERIOD_OVERRIDE=FQ","FILING_STATUS=OR","EQY_CONSOLIDATED=Y","Sort=A","Dates=H","DateFormat=P","Fill=—","Direction=H","UseDPDF=Y")</f>
        <v>#NAME?</v>
      </c>
      <c r="BU462" s="1" t="e">
        <f ca="1">_xll.BDH($C$453,"TOTAL_EQUITY_SEQUENTIAL_GROWTH","FQ4 2015","FQ4 2015","Currency=INR","Period=FQ","BEST_FPERIOD_OVERRIDE=FQ","FILING_STATUS=OR","EQY_CONSOLIDATED=Y","Sort=A","Dates=H","DateFormat=P","Fill=—","Direction=H","UseDPDF=Y")</f>
        <v>#NAME?</v>
      </c>
      <c r="BV462" s="1" t="e">
        <f ca="1">_xll.BDH($C$453,"TOTAL_CAPITAL_SEQUENTIAL_GROWTH","FQ4 2015","FQ4 2015","Currency=INR","Period=FQ","BEST_FPERIOD_OVERRIDE=FQ","FILING_STATUS=OR","EQY_CONSOLIDATED=Y","Sort=A","Dates=H","DateFormat=P","Fill=—","Direction=H","UseDPDF=Y")</f>
        <v>#NAME?</v>
      </c>
      <c r="BW462" s="1" t="e">
        <f ca="1">_xll.BDH($C$453,"BPS_SEQUENTIAL_GROWTH","FQ4 2015","FQ4 2015","Currency=INR","Period=FQ","BEST_FPERIOD_OVERRIDE=FQ","FILING_STATUS=OR","EQY_CONSOLIDATED=Y","Sort=A","Dates=H","DateFormat=P","Fill=—","Direction=H","UseDPDF=Y")</f>
        <v>#NAME?</v>
      </c>
      <c r="BX462" s="1" t="e">
        <f ca="1">_xll.BDH($C$453,"CFO_SEQUENTIAL_GROWTH","FQ4 2015","FQ4 2015","Currency=INR","Period=FQ","BEST_FPERIOD_OVERRIDE=FQ","FILING_STATUS=OR","EQY_CONSOLIDATED=Y","Sort=A","Dates=H","DateFormat=P","Fill=—","Direction=H","UseDPDF=Y")</f>
        <v>#NAME?</v>
      </c>
      <c r="BY462" s="2" t="e">
        <f ca="1">_xll.BDH($C$453,"SHORT_AND_LONG_TERM_DEBT","FQ4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62" s="2" t="e">
        <f ca="1">_xll.BDH($C$453,"BS_ST_BORROW","FQ4 2015","FQ4 2015","Currency=INR","Period=FQ","BEST_FPERIOD_OVERRIDE=FQ","FILING_STATUS=OR","EQY_CONSOLIDATED=Y","SCALING_FORMAT=MLN","Sort=A","Dates=H","DateFormat=P","Fill=—","Direction=H","UseDPDF=Y")</f>
        <v>#NAME?</v>
      </c>
      <c r="CA462" s="2" t="e">
        <f ca="1">_xll.BDH($C$453,"BS_LT_BORROW","FQ4 2015","FQ4 2015","Currency=INR","Period=FQ","BEST_FPERIOD_OVERRIDE=FQ","FILING_STATUS=OR","EQY_CONSOLIDATED=Y","SCALING_FORMAT=MLN","Sort=A","Dates=H","DateFormat=P","Fill=—","Direction=H","UseDPDF=Y")</f>
        <v>#NAME?</v>
      </c>
      <c r="CB462" s="1" t="e">
        <f ca="1">_xll.BDH($C$453,"TOT_DEBT_TO_EBITDA","FQ4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62" s="1" t="e">
        <f ca="1">_xll.BDH($C$453,"NET_DEBT_TO_EBITDA","FQ4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62" s="1" t="e">
        <f ca="1">_xll.BDH($C$453,"TOTAL_DEBT_TO_EBIT","FQ4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62" s="1" t="e">
        <f ca="1">_xll.BDH($C$453,"NET_DEBT_TO_EBIT","FQ4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462" s="1" t="e">
        <f ca="1">_xll.BDH($C$453,"EBITDA_TO_INTEREST_EXPN","FQ4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62" s="1" t="e">
        <f ca="1">_xll.BDH($C$453,"COM_EQY_TO_TOT_ASSET","FQ4 2015","FQ4 2015","Currency=INR","Period=FQ","BEST_FPERIOD_OVERRIDE=FQ","FILING_STATUS=OR","EQY_CONSOLIDATED=Y","Sort=A","Dates=H","DateFormat=P","Fill=—","Direction=H","UseDPDF=Y")</f>
        <v>#NAME?</v>
      </c>
      <c r="CH462" s="1" t="e">
        <f ca="1">_xll.BDH($C$453,"LT_DEBT_TO_TOT_EQY","FQ4 2015","FQ4 2015","Currency=INR","Period=FQ","BEST_FPERIOD_OVERRIDE=FQ","FILING_STATUS=OR","EQY_CONSOLIDATED=Y","Sort=A","Dates=H","DateFormat=P","Fill=—","Direction=H","UseDPDF=Y")</f>
        <v>#NAME?</v>
      </c>
      <c r="CI462" s="1" t="e">
        <f ca="1">_xll.BDH($C$453,"LT_DEBT_TO_TOT_CAP","FQ4 2015","FQ4 2015","Currency=INR","Period=FQ","BEST_FPERIOD_OVERRIDE=FQ","FILING_STATUS=OR","EQY_CONSOLIDATED=Y","Sort=A","Dates=H","DateFormat=P","Fill=—","Direction=H","UseDPDF=Y")</f>
        <v>#NAME?</v>
      </c>
      <c r="CJ462" s="1" t="e">
        <f ca="1">_xll.BDH($C$453,"LT_DEBT_TO_TOT_ASSET","FQ4 2015","FQ4 2015","Currency=INR","Period=FQ","BEST_FPERIOD_OVERRIDE=FQ","FILING_STATUS=OR","EQY_CONSOLIDATED=Y","Sort=A","Dates=H","DateFormat=P","Fill=—","Direction=H","UseDPDF=Y")</f>
        <v>#NAME?</v>
      </c>
      <c r="CK462" s="1" t="e">
        <f ca="1">_xll.BDH($C$453,"TOT_DEBT_TO_TOT_EQY","FQ4 2015","FQ4 2015","Currency=INR","Period=FQ","BEST_FPERIOD_OVERRIDE=FQ","FILING_STATUS=OR","EQY_CONSOLIDATED=Y","Sort=A","Dates=H","DateFormat=P","Fill=—","Direction=H","UseDPDF=Y")</f>
        <v>#NAME?</v>
      </c>
      <c r="CL462" s="1" t="e">
        <f ca="1">_xll.BDH($C$453,"TOT_DEBT_TO_TOT_CAP","FQ4 2015","FQ4 2015","Currency=INR","Period=FQ","BEST_FPERIOD_OVERRIDE=FQ","FILING_STATUS=OR","EQY_CONSOLIDATED=Y","Sort=A","Dates=H","DateFormat=P","Fill=—","Direction=H","UseDPDF=Y")</f>
        <v>#NAME?</v>
      </c>
      <c r="CM462" s="1" t="e">
        <f ca="1">_xll.BDH($C$453,"TOT_DEBT_TO_TOT_ASSET","FQ4 2015","FQ4 2015","Currency=INR","Period=FQ","BEST_FPERIOD_OVERRIDE=FQ","FILING_STATUS=OR","EQY_CONSOLIDATED=Y","Sort=A","Dates=H","DateFormat=P","Fill=—","Direction=H","UseDPDF=Y")</f>
        <v>#NAME?</v>
      </c>
      <c r="CN462" s="1" t="e">
        <f ca="1">_xll.BDH($C$453,"NET_DEBT_TO_SHRHLDR_EQTY","FQ4 2015","FQ4 2015","Currency=INR","Period=FQ","BEST_FPERIOD_OVERRIDE=FQ","FILING_STATUS=OR","EQY_CONSOLIDATED=Y","Sort=A","Dates=H","DateFormat=P","Fill=—","Direction=H","UseDPDF=Y")</f>
        <v>#NAME?</v>
      </c>
      <c r="CO462" s="1" t="e">
        <f ca="1">_xll.BDH($C$453,"NET_DEBT_%_CAPITAL","FQ4 2015","FQ4 2015","Currency=INR","Period=FQ","BEST_FPERIOD_OVERRIDE=FQ","FILING_STATUS=OR","EQY_CONSOLIDATED=Y","Sort=A","Dates=H","DateFormat=P","Fill=—","Direction=H","UseDPDF=Y")</f>
        <v>#NAME?</v>
      </c>
      <c r="CP462" s="2" t="e">
        <f ca="1">_xll.BDH($C$453,"EBITDA","FQ4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62" s="2" t="e">
        <f ca="1">_xll.BDH($C$453,"EBITDA_AFTER_CAPEX","FQ4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62" s="2" t="e">
        <f ca="1">_xll.BDH($C$453,"IS_OPER_INC","FQ4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62" s="1" t="e">
        <f ca="1">_xll.BDH($C$453,"CASH_RATIO","FQ4 2015","FQ4 2015","Currency=INR","Period=FQ","BEST_FPERIOD_OVERRIDE=FQ","FILING_STATUS=OR","EQY_CONSOLIDATED=Y","Sort=A","Dates=H","DateFormat=P","Fill=—","Direction=H","UseDPDF=Y")</f>
        <v>#NAME?</v>
      </c>
      <c r="CT462" s="1" t="e">
        <f ca="1">_xll.BDH($C$453,"CUR_RATIO","FQ4 2015","FQ4 2015","Currency=INR","Period=FQ","BEST_FPERIOD_OVERRIDE=FQ","FILING_STATUS=OR","EQY_CONSOLIDATED=Y","Sort=A","Dates=H","DateFormat=P","Fill=—","Direction=H","UseDPDF=Y")</f>
        <v>#NAME?</v>
      </c>
      <c r="CU462" s="1" t="e">
        <f ca="1">_xll.BDH($C$453,"QUICK_RATIO","FQ4 2015","FQ4 2015","Currency=INR","Period=FQ","BEST_FPERIOD_OVERRIDE=FQ","FILING_STATUS=OR","EQY_CONSOLIDATED=Y","Sort=A","Dates=H","DateFormat=P","Fill=—","Direction=H","UseDPDF=Y")</f>
        <v>#NAME?</v>
      </c>
      <c r="CV462" s="1" t="e">
        <f ca="1">_xll.BDH($C$453,"ALTMAN_Z_SCORE","FQ4 2015","FQ4 2015","Currency=INR","Period=FQ","BEST_FPERIOD_OVERRIDE=FQ","FILING_STATUS=OR","EQY_CONSOLIDATED=Y","Sort=A","Dates=H","DateFormat=P","Fill=—","Direction=H","UseDPDF=Y")</f>
        <v>#NAME?</v>
      </c>
      <c r="CW462" s="3" t="e">
        <f ca="1">_xll.BDH($C$453,"ACCT_RCV_TURN","FQ4 2015","FQ4 2015","Currency=INR","Period=FQ","BEST_FPERIOD_OVERRIDE=FQ","FILING_STATUS=OR","EQY_CONSOLIDATED=Y","FA_ADJUSTED=GAAP","Sort=A","Dates=H","DateFormat=P","Fill=—","Direction=H","UseDPDF=Y")</f>
        <v>#NAME?</v>
      </c>
      <c r="CX462" s="1" t="e">
        <f ca="1">_xll.BDH($C$453,"ACCT_RCV_DAYS","FQ4 2015","FQ4 2015","Currency=INR","Period=FQ","BEST_FPERIOD_OVERRIDE=FQ","FILING_STATUS=OR","EQY_CONSOLIDATED=Y","FA_ADJUSTED=GAAP","Sort=A","Dates=H","DateFormat=P","Fill=—","Direction=H","UseDPDF=Y")</f>
        <v>#NAME?</v>
      </c>
      <c r="CY462" s="3" t="e">
        <f ca="1">_xll.BDH($C$453,"INVENT_TURN","FQ4 2015","FQ4 2015","Currency=INR","Period=FQ","BEST_FPERIOD_OVERRIDE=FQ","FILING_STATUS=OR","EQY_CONSOLIDATED=Y","FA_ADJUSTED=GAAP","Sort=A","Dates=H","DateFormat=P","Fill=—","Direction=H","UseDPDF=Y")</f>
        <v>#NAME?</v>
      </c>
      <c r="CZ462" s="1" t="e">
        <f ca="1">_xll.BDH($C$453,"INVENT_DAYS","FQ4 2015","FQ4 2015","Currency=INR","Period=FQ","BEST_FPERIOD_OVERRIDE=FQ","FILING_STATUS=OR","EQY_CONSOLIDATED=Y","FA_ADJUSTED=GAAP","Sort=A","Dates=H","DateFormat=P","Fill=—","Direction=H","UseDPDF=Y")</f>
        <v>#NAME?</v>
      </c>
      <c r="DA462" s="3" t="e">
        <f ca="1">_xll.BDH($C$453,"ACCOUNTS_PAYABLE_TURNOVER","FQ4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62" s="1" t="e">
        <f ca="1">_xll.BDH($C$453,"ACCOUNTS_PAYABLE_TURNOVER_DAYS","FQ4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62" s="3" t="e">
        <f ca="1">_xll.BDH($C$453,"CASH_CONVERSION_CYCLE","FQ4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62" s="3" t="e">
        <f ca="1">_xll.BDH($C$453,"INV_TO_CASH_DAYS","FQ4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462" s="4" t="e">
        <f ca="1">_xll.BDH($C$453,"BS_INVENTORIES","FQ4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462" s="2" t="e">
        <f ca="1">_xll.BDH($C$453,"INVTRY_RAW_MATERIALS","FQ4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62" s="2" t="e">
        <f ca="1">_xll.BDH($C$453,"INVTRY_IN_PROGRESS","FQ4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62" s="2" t="e">
        <f ca="1">_xll.BDH($C$453,"INVTRY_FINISHED_GOODS","FQ4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62" s="2" t="e">
        <f ca="1">_xll.BDH($C$453,"BS_OTHER_INV","FQ4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63" spans="1:113" x14ac:dyDescent="0.3">
      <c r="A463" s="6"/>
      <c r="B463" s="6"/>
      <c r="C463" s="6"/>
      <c r="D463" s="6" t="s">
        <v>9</v>
      </c>
      <c r="E463" t="s">
        <v>3</v>
      </c>
      <c r="F463" t="e">
        <f ca="1">_xll.BDH($C$453,"RETURN_COM_EQY","FY 2016","FY 2016","Currency=INR","Period=FY","BEST_FPERIOD_OVERRIDE=FY","FILING_STATUS=OR","EQY_CONSOLIDATED=Y","FA_ADJUSTED=GAAP","Sort=A","Dates=H","DateFormat=P","Fill=—","Direction=H","UseDPDF=Y")</f>
        <v>#NAME?</v>
      </c>
      <c r="G463" t="e">
        <f ca="1">_xll.BDH($C$453,"RETURN_ON_ASSET","FY 2016","FY 2016","Currency=INR","Period=FY","BEST_FPERIOD_OVERRIDE=FY","FILING_STATUS=OR","EQY_CONSOLIDATED=Y","FA_ADJUSTED=GAAP","Sort=A","Dates=H","DateFormat=P","Fill=—","Direction=H","UseDPDF=Y")</f>
        <v>#NAME?</v>
      </c>
      <c r="H463" t="e">
        <f ca="1">_xll.BDH($C$453,"RETURN_ON_CAP","FY 2016","FY 2016","Currency=INR","Period=FY","BEST_FPERIOD_OVERRIDE=FY","FILING_STATUS=OR","EQY_CONSOLIDATED=Y","FA_ADJUSTED=GAAP","Sort=A","Dates=H","DateFormat=P","Fill=—","Direction=H","UseDPDF=Y")</f>
        <v>#NAME?</v>
      </c>
      <c r="I463" t="e">
        <f ca="1">_xll.BDH($C$453,"RETURN_ON_INV_CAPITAL","FY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63" t="e">
        <f ca="1">_xll.BDH($C$453,"EBITDA_TO_REVENUE","FY 2016","FY 2016","Currency=INR","Period=FY","BEST_FPERIOD_OVERRIDE=FY","FILING_STATUS=OR","EQY_CONSOLIDATED=Y","FA_ADJUSTED=GAAP","Sort=A","Dates=H","DateFormat=P","Fill=—","Direction=H","UseDPDF=Y")</f>
        <v>#NAME?</v>
      </c>
      <c r="K463" t="e">
        <f ca="1">_xll.BDH($C$453,"OPER_MARGIN","FY 2016","FY 2016","Currency=INR","Period=FY","BEST_FPERIOD_OVERRIDE=FY","FILING_STATUS=OR","EQY_CONSOLIDATED=Y","FA_ADJUSTED=GAAP","Sort=A","Dates=H","DateFormat=P","Fill=—","Direction=H","UseDPDF=Y")</f>
        <v>#NAME?</v>
      </c>
      <c r="L463" t="e">
        <f ca="1">_xll.BDH($C$453,"INCREMENTAL_OPERATING_MARGIN","FY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63" t="e">
        <f ca="1">_xll.BDH($C$453,"PRETAX_INC_TO_NET_SALES","FY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63" t="e">
        <f ca="1">_xll.BDH($C$453,"INC_BEF_XO_ITEMS_TO_NET_SALES","FY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63" t="e">
        <f ca="1">_xll.BDH($C$453,"PROF_MARGIN","FY 2016","FY 2016","Currency=INR","Period=FY","BEST_FPERIOD_OVERRIDE=FY","FILING_STATUS=OR","EQY_CONSOLIDATED=Y","FA_ADJUSTED=GAAP","Sort=A","Dates=H","DateFormat=P","Fill=—","Direction=H","UseDPDF=Y")</f>
        <v>#NAME?</v>
      </c>
      <c r="P463" t="e">
        <f ca="1">_xll.BDH($C$453,"NET_INCOME_TO_COMMON_MARGIN","FY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63" t="e">
        <f ca="1">_xll.BDH($C$453,"EFF_TAX_RATE","FY 2016","FY 2016","Currency=INR","Period=FY","BEST_FPERIOD_OVERRIDE=FY","FILING_STATUS=OR","EQY_CONSOLIDATED=Y","FA_ADJUSTED=GAAP","Sort=A","Dates=H","DateFormat=P","Fill=—","Direction=H","UseDPDF=Y")</f>
        <v>#NAME?</v>
      </c>
      <c r="R463" t="e">
        <f ca="1">_xll.BDH($C$453,"DVD_PAYOUT_RATIO","FY 2016","FY 2016","Currency=INR","Period=FY","BEST_FPERIOD_OVERRIDE=FY","FILING_STATUS=OR","EQY_CONSOLIDATED=Y","FA_ADJUSTED=GAAP","Sort=A","Dates=H","DateFormat=P","Fill=—","Direction=H","UseDPDF=Y")</f>
        <v>#NAME?</v>
      </c>
      <c r="S463" t="e">
        <f ca="1">_xll.BDH($C$453,"SUSTAIN_GROWTH_RT","FY 2016","FY 2016","Currency=INR","Period=FY","BEST_FPERIOD_OVERRIDE=FY","FILING_STATUS=OR","EQY_CONSOLIDATED=Y","FA_ADJUSTED=GAAP","Sort=A","Dates=H","DateFormat=P","Fill=—","Direction=H","UseDPDF=Y")</f>
        <v>#NAME?</v>
      </c>
      <c r="T463" s="1" t="e">
        <f ca="1">_xll.BDH($C$453,"SALES_GROWTH","FY 2016","FY 2016","Currency=INR","Period=FY","BEST_FPERIOD_OVERRIDE=FY","FILING_STATUS=OR","EQY_CONSOLIDATED=Y","FA_ADJUSTED=GAAP","Sort=A","Dates=H","DateFormat=P","Fill=—","Direction=H","UseDPDF=Y")</f>
        <v>#NAME?</v>
      </c>
      <c r="U463" s="1" t="e">
        <f ca="1">_xll.BDH($C$453,"EBITDA_GROWTH","FY 2016","FY 2016","Currency=INR","Period=FY","BEST_FPERIOD_OVERRIDE=FY","FILING_STATUS=OR","EQY_CONSOLIDATED=Y","FA_ADJUSTED=GAAP","Sort=A","Dates=H","DateFormat=P","Fill=—","Direction=H","UseDPDF=Y")</f>
        <v>#NAME?</v>
      </c>
      <c r="V463" s="1" t="e">
        <f ca="1">_xll.BDH($C$453,"OPER_INC_GROWTH","FY 2016","FY 2016","Currency=INR","Period=FY","BEST_FPERIOD_OVERRIDE=FY","FILING_STATUS=OR","EQY_CONSOLIDATED=Y","FA_ADJUSTED=GAAP","Sort=A","Dates=H","DateFormat=P","Fill=—","Direction=H","UseDPDF=Y")</f>
        <v>#NAME?</v>
      </c>
      <c r="W463" s="1" t="e">
        <f ca="1">_xll.BDH($C$453,"EARN_FOR_COM_GROWTH","FY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463" s="1" t="e">
        <f ca="1">_xll.BDH($C$453,"DILUTED_EPS_AFT_XO_ITEMS_GROWTH","FY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63" s="1" t="e">
        <f ca="1">_xll.BDH($C$453,"DIVIDEND_PER_SHARE_1_YEAR_GROWTH","FY 2016","FY 2016","Currency=INR","Period=FY","BEST_FPERIOD_OVERRIDE=FY","FILING_STATUS=OR","EQY_CONSOLIDATED=Y","Sort=A","Dates=H","DateFormat=P","Fill=—","Direction=H","UseDPDF=Y")</f>
        <v>#NAME?</v>
      </c>
      <c r="Z463" s="1" t="e">
        <f ca="1">_xll.BDH($C$453,"ACCOUNTS_RECEIVABLE_GROWTH","FY 2016","FY 2016","Currency=INR","Period=FY","BEST_FPERIOD_OVERRIDE=FY","FILING_STATUS=OR","EQY_CONSOLIDATED=Y","Sort=A","Dates=H","DateFormat=P","Fill=—","Direction=H","UseDPDF=Y")</f>
        <v>#NAME?</v>
      </c>
      <c r="AA463" s="1" t="e">
        <f ca="1">_xll.BDH($C$453,"INVENTORY_GROWTH","FY 2016","FY 2016","Currency=INR","Period=FY","BEST_FPERIOD_OVERRIDE=FY","FILING_STATUS=OR","EQY_CONSOLIDATED=Y","Sort=A","Dates=H","DateFormat=P","Fill=—","Direction=H","UseDPDF=Y")</f>
        <v>#NAME?</v>
      </c>
      <c r="AB463" s="1" t="e">
        <f ca="1">_xll.BDH($C$453,"NET_FIXED_ASSETS_1_YEAR_GROWTH","FY 2016","FY 2016","Currency=INR","Period=FY","BEST_FPERIOD_OVERRIDE=FY","FILING_STATUS=OR","EQY_CONSOLIDATED=Y","Sort=A","Dates=H","DateFormat=P","Fill=—","Direction=H","UseDPDF=Y")</f>
        <v>#NAME?</v>
      </c>
      <c r="AC463" s="1" t="e">
        <f ca="1">_xll.BDH($C$453,"ASSET_GROWTH","FY 2016","FY 2016","Currency=INR","Period=FY","BEST_FPERIOD_OVERRIDE=FY","FILING_STATUS=OR","EQY_CONSOLIDATED=Y","Sort=A","Dates=H","DateFormat=P","Fill=—","Direction=H","UseDPDF=Y")</f>
        <v>#NAME?</v>
      </c>
      <c r="AD463" s="1" t="e">
        <f ca="1">_xll.BDH($C$453,"MODIFIED_WORK_CAP_GROWTH","FY 2016","FY 2016","Currency=INR","Period=FY","BEST_FPERIOD_OVERRIDE=FY","FILING_STATUS=OR","EQY_CONSOLIDATED=Y","Sort=A","Dates=H","DateFormat=P","Fill=—","Direction=H","UseDPDF=Y")</f>
        <v>#NAME?</v>
      </c>
      <c r="AE463" s="1" t="e">
        <f ca="1">_xll.BDH($C$453,"WORK_CAP_GROWTH","FY 2016","FY 2016","Currency=INR","Period=FY","BEST_FPERIOD_OVERRIDE=FY","FILING_STATUS=OR","EQY_CONSOLIDATED=Y","Sort=A","Dates=H","DateFormat=P","Fill=—","Direction=H","UseDPDF=Y")</f>
        <v>#NAME?</v>
      </c>
      <c r="AF463" s="1" t="e">
        <f ca="1">_xll.BDH($C$453,"ACCOUNTS_PAYABLE_GROWTH_1YR","FY 2016","FY 2016","Currency=INR","Period=FY","BEST_FPERIOD_OVERRIDE=FY","FILING_STATUS=OR","EQY_CONSOLIDATED=Y","Sort=A","Dates=H","DateFormat=P","Fill=—","Direction=H","UseDPDF=Y")</f>
        <v>#NAME?</v>
      </c>
      <c r="AG463" s="1" t="e">
        <f ca="1">_xll.BDH($C$453,"SHORT_TERM_DEBT_1_YEAR_GROWTH","FY 2016","FY 2016","Currency=INR","Period=FY","BEST_FPERIOD_OVERRIDE=FY","FILING_STATUS=OR","EQY_CONSOLIDATED=Y","Sort=A","Dates=H","DateFormat=P","Fill=—","Direction=H","UseDPDF=Y")</f>
        <v>#NAME?</v>
      </c>
      <c r="AH463" s="1" t="e">
        <f ca="1">_xll.BDH($C$453,"TOTAL_DEBT_1_YEAR_GROWTH","FY 2016","FY 2016","Currency=INR","Period=FY","BEST_FPERIOD_OVERRIDE=FY","FILING_STATUS=OR","EQY_CONSOLIDATED=Y","Sort=A","Dates=H","DateFormat=P","Fill=—","Direction=H","UseDPDF=Y")</f>
        <v>#NAME?</v>
      </c>
      <c r="AI463" s="1" t="e">
        <f ca="1">_xll.BDH($C$453,"TOTAL_EQUITY_1_YEAR_GROWTH","FY 2016","FY 2016","Currency=INR","Period=FY","BEST_FPERIOD_OVERRIDE=FY","FILING_STATUS=OR","EQY_CONSOLIDATED=Y","Sort=A","Dates=H","DateFormat=P","Fill=—","Direction=H","UseDPDF=Y")</f>
        <v>#NAME?</v>
      </c>
      <c r="AJ463" s="1" t="e">
        <f ca="1">_xll.BDH($C$453,"GROWTH_IN_CAP","FY 2016","FY 2016","Currency=INR","Period=FY","BEST_FPERIOD_OVERRIDE=FY","FILING_STATUS=OR","EQY_CONSOLIDATED=Y","Sort=A","Dates=H","DateFormat=P","Fill=—","Direction=H","UseDPDF=Y")</f>
        <v>#NAME?</v>
      </c>
      <c r="AK463" s="1" t="e">
        <f ca="1">_xll.BDH($C$453,"BVPS_GROWTH","FY 2016","FY 2016","Currency=INR","Period=FY","BEST_FPERIOD_OVERRIDE=FY","FILING_STATUS=OR","EQY_CONSOLIDATED=Y","Sort=A","Dates=H","DateFormat=P","Fill=—","Direction=H","UseDPDF=Y")</f>
        <v>#NAME?</v>
      </c>
      <c r="AL463" s="1" t="e">
        <f ca="1">_xll.BDH($C$453,"CASH_FLOW_GROWTH","FY 2016","FY 2016","Currency=INR","Period=FY","BEST_FPERIOD_OVERRIDE=FY","FILING_STATUS=OR","EQY_CONSOLIDATED=Y","Sort=A","Dates=H","DateFormat=P","Fill=—","Direction=H","UseDPDF=Y")</f>
        <v>#NAME?</v>
      </c>
      <c r="AM463" s="1" t="e">
        <f ca="1">_xll.BDH($C$453,"GEO_GROW_NET_SALES","FY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463" s="1" t="e">
        <f ca="1">_xll.BDH($C$453,"GEO_GROW_EBITDA","FY 2016","FY 2016","Currency=INR","Period=FY","BEST_FPERIOD_OVERRIDE=FY","FILING_STATUS=OR","EQY_CONSOLIDATED=Y","FA_ADJUSTED=GAAP","Sort=A","Dates=H","DateFormat=P","Fill=—","Direction=H","UseDPDF=Y")</f>
        <v>#NAME?</v>
      </c>
      <c r="AO463" s="1" t="e">
        <f ca="1">_xll.BDH($C$453,"GEO_GROW_OPER_INC","FY 2016","FY 2016","Currency=INR","Period=FY","BEST_FPERIOD_OVERRIDE=FY","FILING_STATUS=OR","EQY_CONSOLIDATED=Y","FA_ADJUSTED=GAAP","Sort=A","Dates=H","DateFormat=P","Fill=—","Direction=H","UseDPDF=Y")</f>
        <v>#NAME?</v>
      </c>
      <c r="AP463" s="1" t="e">
        <f ca="1">_xll.BDH($C$453,"NET_INCOME_TO_COMMON_5_YR_GROWTH","FY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63" s="1" t="e">
        <f ca="1">_xll.BDH($C$453,"5Y_GEO_GROWTH_DILUTED_EPS","FY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63" s="1" t="e">
        <f ca="1">_xll.BDH($C$453,"GEO_GROW_DVD_PER_SH","FY 2016","FY 2016","Currency=INR","Period=FY","BEST_FPERIOD_OVERRIDE=FY","FILING_STATUS=OR","EQY_CONSOLIDATED=Y","Sort=A","Dates=H","DateFormat=P","Fill=—","Direction=H","UseDPDF=Y")</f>
        <v>#NAME?</v>
      </c>
      <c r="AS463" s="1" t="e">
        <f ca="1">_xll.BDH($C$453,"ACCOUNTS_RECEIVABLE_5_YR_GROWTH","FY 2016","FY 2016","Currency=INR","Period=FY","BEST_FPERIOD_OVERRIDE=FY","FILING_STATUS=OR","EQY_CONSOLIDATED=Y","Sort=A","Dates=H","DateFormat=P","Fill=—","Direction=H","UseDPDF=Y")</f>
        <v>#NAME?</v>
      </c>
      <c r="AT463" s="1" t="e">
        <f ca="1">_xll.BDH($C$453,"INVENTORY_5_YEAR_GROWTH","FY 2016","FY 2016","Currency=INR","Period=FY","BEST_FPERIOD_OVERRIDE=FY","FILING_STATUS=OR","EQY_CONSOLIDATED=Y","Sort=A","Dates=H","DateFormat=P","Fill=—","Direction=H","UseDPDF=Y")</f>
        <v>#NAME?</v>
      </c>
      <c r="AU463" s="1" t="e">
        <f ca="1">_xll.BDH($C$453,"NET_FIXED_ASSETS_5_YEAR_GROWTH","FY 2016","FY 2016","Currency=INR","Period=FY","BEST_FPERIOD_OVERRIDE=FY","FILING_STATUS=OR","EQY_CONSOLIDATED=Y","Sort=A","Dates=H","DateFormat=P","Fill=—","Direction=H","UseDPDF=Y")</f>
        <v>#NAME?</v>
      </c>
      <c r="AV463" s="1" t="e">
        <f ca="1">_xll.BDH($C$453,"GEO_GROW_TOT_ASSET","FY 2016","FY 2016","Currency=INR","Period=FY","BEST_FPERIOD_OVERRIDE=FY","FILING_STATUS=OR","EQY_CONSOLIDATED=Y","Sort=A","Dates=H","DateFormat=P","Fill=—","Direction=H","UseDPDF=Y")</f>
        <v>#NAME?</v>
      </c>
      <c r="AW463" s="1" t="e">
        <f ca="1">_xll.BDH($C$453,"MODIFIED_WORKING_CPTL_5YR_GRWTH","FY 2016","FY 2016","Currency=INR","Period=FY","BEST_FPERIOD_OVERRIDE=FY","FILING_STATUS=OR","EQY_CONSOLIDATED=Y","Sort=A","Dates=H","DateFormat=P","Fill=—","Direction=H","UseDPDF=Y")</f>
        <v>#NAME?</v>
      </c>
      <c r="AX463" s="1" t="e">
        <f ca="1">_xll.BDH($C$453,"WORKING_CAPITAL_5_YEAR_GROWTH","FY 2016","FY 2016","Currency=INR","Period=FY","BEST_FPERIOD_OVERRIDE=FY","FILING_STATUS=OR","EQY_CONSOLIDATED=Y","Sort=A","Dates=H","DateFormat=P","Fill=—","Direction=H","UseDPDF=Y")</f>
        <v>#NAME?</v>
      </c>
      <c r="AY463" s="1" t="e">
        <f ca="1">_xll.BDH($C$453,"ACCOUNTS_PAYABLE_5_YEAR_GROWTH","FY 2016","FY 2016","Currency=INR","Period=FY","BEST_FPERIOD_OVERRIDE=FY","FILING_STATUS=OR","EQY_CONSOLIDATED=Y","Sort=A","Dates=H","DateFormat=P","Fill=—","Direction=H","UseDPDF=Y")</f>
        <v>#NAME?</v>
      </c>
      <c r="AZ463" s="1" t="e">
        <f ca="1">_xll.BDH($C$453,"SHORT_TERM_DEBT_5_YEAR_GROWTH","FY 2016","FY 2016","Currency=INR","Period=FY","BEST_FPERIOD_OVERRIDE=FY","FILING_STATUS=OR","EQY_CONSOLIDATED=Y","Sort=A","Dates=H","DateFormat=P","Fill=—","Direction=H","UseDPDF=Y")</f>
        <v>#NAME?</v>
      </c>
      <c r="BA463" s="1" t="e">
        <f ca="1">_xll.BDH($C$453,"TOTAL_DEBT_5_YEAR_GROWTH","FY 2016","FY 2016","Currency=INR","Period=FY","BEST_FPERIOD_OVERRIDE=FY","FILING_STATUS=OR","EQY_CONSOLIDATED=Y","Sort=A","Dates=H","DateFormat=P","Fill=—","Direction=H","UseDPDF=Y")</f>
        <v>#NAME?</v>
      </c>
      <c r="BB463" s="1" t="e">
        <f ca="1">_xll.BDH($C$453,"GEO_GROW_TOT_SHRHLDR_EQY","FY 2016","FY 2016","Currency=INR","Period=FY","BEST_FPERIOD_OVERRIDE=FY","FILING_STATUS=OR","EQY_CONSOLIDATED=Y","Sort=A","Dates=H","DateFormat=P","Fill=—","Direction=H","UseDPDF=Y")</f>
        <v>#NAME?</v>
      </c>
      <c r="BC463" s="1" t="e">
        <f ca="1">_xll.BDH($C$453,"TOTAL_CAPITAL_5_YEAR_GROWTH","FY 2016","FY 2016","Currency=INR","Period=FY","BEST_FPERIOD_OVERRIDE=FY","FILING_STATUS=OR","EQY_CONSOLIDATED=Y","Sort=A","Dates=H","DateFormat=P","Fill=—","Direction=H","UseDPDF=Y")</f>
        <v>#NAME?</v>
      </c>
      <c r="BD463" s="1" t="e">
        <f ca="1">_xll.BDH($C$453,"GEO_GROW_BOOK_VAL","FY 2016","FY 2016","Currency=INR","Period=FY","BEST_FPERIOD_OVERRIDE=FY","FILING_STATUS=OR","EQY_CONSOLIDATED=Y","Sort=A","Dates=H","DateFormat=P","Fill=—","Direction=H","UseDPDF=Y")</f>
        <v>#NAME?</v>
      </c>
      <c r="BE463" s="1" t="e">
        <f ca="1">_xll.BDH($C$453,"GEO_GROW_CASH_OPER_ACT","FY 2016","FY 2016","Currency=INR","Period=FY","BEST_FPERIOD_OVERRIDE=FY","FILING_STATUS=OR","EQY_CONSOLIDATED=Y","Sort=A","Dates=H","DateFormat=P","Fill=—","Direction=H","UseDPDF=Y")</f>
        <v>#NAME?</v>
      </c>
      <c r="BF463" s="1" t="e">
        <f ca="1">_xll.BDH($C$453,"REVENUE_SEQUENTIAL_GROWTH","FY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63" s="1" t="e">
        <f ca="1">_xll.BDH($C$453,"EBITDA_SEQUENTIAL_GROWTH","FY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63" s="1" t="e">
        <f ca="1">_xll.BDH($C$453,"OPERATING_INCOME_SEQ_GROWTH","FY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63" s="1" t="e">
        <f ca="1">_xll.BDH($C$453,"NET_INCOME_TO_COMMON_SEQ_GROWTH","FY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63" s="1" t="e">
        <f ca="1">_xll.BDH($C$453,"EPS_DILUTED_SEQUENTIAL_GROWTH","FY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63" s="1" t="e">
        <f ca="1">_xll.BDH($C$453,"DPS_SEQUENTIAL_GROWTH","FY 2016","FY 2016","Currency=INR","Period=FY","BEST_FPERIOD_OVERRIDE=FY","FILING_STATUS=OR","EQY_CONSOLIDATED=Y","Sort=A","Dates=H","DateFormat=P","Fill=—","Direction=H","UseDPDF=Y")</f>
        <v>#NAME?</v>
      </c>
      <c r="BL463" s="1" t="e">
        <f ca="1">_xll.BDH($C$453,"ACCOUNTS_RECEIVABLE_SEQ_GROWTH","FY 2016","FY 2016","Currency=INR","Period=FY","BEST_FPERIOD_OVERRIDE=FY","FILING_STATUS=OR","EQY_CONSOLIDATED=Y","Sort=A","Dates=H","DateFormat=P","Fill=—","Direction=H","UseDPDF=Y")</f>
        <v>#NAME?</v>
      </c>
      <c r="BM463" s="1" t="e">
        <f ca="1">_xll.BDH($C$453,"INVENTORY_SEQUENTIAL_GROWTH","FY 2016","FY 2016","Currency=INR","Period=FY","BEST_FPERIOD_OVERRIDE=FY","FILING_STATUS=OR","EQY_CONSOLIDATED=Y","Sort=A","Dates=H","DateFormat=P","Fill=—","Direction=H","UseDPDF=Y")</f>
        <v>#NAME?</v>
      </c>
      <c r="BN463" s="1" t="e">
        <f ca="1">_xll.BDH($C$453,"FIXED_ASSETS_SEQUENTIAL_GROWTH","FY 2016","FY 2016","Currency=INR","Period=FY","BEST_FPERIOD_OVERRIDE=FY","FILING_STATUS=OR","EQY_CONSOLIDATED=Y","Sort=A","Dates=H","DateFormat=P","Fill=—","Direction=H","UseDPDF=Y")</f>
        <v>#NAME?</v>
      </c>
      <c r="BO463" s="1" t="e">
        <f ca="1">_xll.BDH($C$453,"TOTAL_ASSETS_SEQUENTIAL_GROWTH","FY 2016","FY 2016","Currency=INR","Period=FY","BEST_FPERIOD_OVERRIDE=FY","FILING_STATUS=OR","EQY_CONSOLIDATED=Y","Sort=A","Dates=H","DateFormat=P","Fill=—","Direction=H","UseDPDF=Y")</f>
        <v>#NAME?</v>
      </c>
      <c r="BP463" s="1" t="e">
        <f ca="1">_xll.BDH($C$453,"MODIFIED_WORKING_CPTL_SEQ_GRWTH","FY 2016","FY 2016","Currency=INR","Period=FY","BEST_FPERIOD_OVERRIDE=FY","FILING_STATUS=OR","EQY_CONSOLIDATED=Y","Sort=A","Dates=H","DateFormat=P","Fill=—","Direction=H","UseDPDF=Y")</f>
        <v>#NAME?</v>
      </c>
      <c r="BQ463" s="1" t="e">
        <f ca="1">_xll.BDH($C$453,"WORKING_CAPITAL_SEQ_GROWTH","FY 2016","FY 2016","Currency=INR","Period=FY","BEST_FPERIOD_OVERRIDE=FY","FILING_STATUS=OR","EQY_CONSOLIDATED=Y","Sort=A","Dates=H","DateFormat=P","Fill=—","Direction=H","UseDPDF=Y")</f>
        <v>#NAME?</v>
      </c>
      <c r="BR463" s="1" t="e">
        <f ca="1">_xll.BDH($C$453,"ACCOUNTS_PAYABLE_SEQ_GROWTH","FY 2016","FY 2016","Currency=INR","Period=FY","BEST_FPERIOD_OVERRIDE=FY","FILING_STATUS=OR","EQY_CONSOLIDATED=Y","Sort=A","Dates=H","DateFormat=P","Fill=—","Direction=H","UseDPDF=Y")</f>
        <v>#NAME?</v>
      </c>
      <c r="BS463" s="1" t="e">
        <f ca="1">_xll.BDH($C$453,"ST_DEBT_SEQUENTIAL_GROWTH","FY 2016","FY 2016","Currency=INR","Period=FY","BEST_FPERIOD_OVERRIDE=FY","FILING_STATUS=OR","EQY_CONSOLIDATED=Y","Sort=A","Dates=H","DateFormat=P","Fill=—","Direction=H","UseDPDF=Y")</f>
        <v>#NAME?</v>
      </c>
      <c r="BT463" s="1" t="e">
        <f ca="1">_xll.BDH($C$453,"TOTAL_DEBT_SEQUENTIAL_GROWTH","FY 2016","FY 2016","Currency=INR","Period=FY","BEST_FPERIOD_OVERRIDE=FY","FILING_STATUS=OR","EQY_CONSOLIDATED=Y","Sort=A","Dates=H","DateFormat=P","Fill=—","Direction=H","UseDPDF=Y")</f>
        <v>#NAME?</v>
      </c>
      <c r="BU463" s="1" t="e">
        <f ca="1">_xll.BDH($C$453,"TOTAL_EQUITY_SEQUENTIAL_GROWTH","FY 2016","FY 2016","Currency=INR","Period=FY","BEST_FPERIOD_OVERRIDE=FY","FILING_STATUS=OR","EQY_CONSOLIDATED=Y","Sort=A","Dates=H","DateFormat=P","Fill=—","Direction=H","UseDPDF=Y")</f>
        <v>#NAME?</v>
      </c>
      <c r="BV463" s="1" t="e">
        <f ca="1">_xll.BDH($C$453,"TOTAL_CAPITAL_SEQUENTIAL_GROWTH","FY 2016","FY 2016","Currency=INR","Period=FY","BEST_FPERIOD_OVERRIDE=FY","FILING_STATUS=OR","EQY_CONSOLIDATED=Y","Sort=A","Dates=H","DateFormat=P","Fill=—","Direction=H","UseDPDF=Y")</f>
        <v>#NAME?</v>
      </c>
      <c r="BW463" s="1" t="e">
        <f ca="1">_xll.BDH($C$453,"BPS_SEQUENTIAL_GROWTH","FY 2016","FY 2016","Currency=INR","Period=FY","BEST_FPERIOD_OVERRIDE=FY","FILING_STATUS=OR","EQY_CONSOLIDATED=Y","Sort=A","Dates=H","DateFormat=P","Fill=—","Direction=H","UseDPDF=Y")</f>
        <v>#NAME?</v>
      </c>
      <c r="BX463" s="1" t="e">
        <f ca="1">_xll.BDH($C$453,"CFO_SEQUENTIAL_GROWTH","FY 2016","FY 2016","Currency=INR","Period=FY","BEST_FPERIOD_OVERRIDE=FY","FILING_STATUS=OR","EQY_CONSOLIDATED=Y","Sort=A","Dates=H","DateFormat=P","Fill=—","Direction=H","UseDPDF=Y")</f>
        <v>#NAME?</v>
      </c>
      <c r="BY463" s="2" t="e">
        <f ca="1">_xll.BDH($C$453,"SHORT_AND_LONG_TERM_DEBT","FY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63" s="2" t="e">
        <f ca="1">_xll.BDH($C$453,"BS_ST_BORROW","FY 2016","FY 2016","Currency=INR","Period=FY","BEST_FPERIOD_OVERRIDE=FY","FILING_STATUS=OR","EQY_CONSOLIDATED=Y","SCALING_FORMAT=MLN","Sort=A","Dates=H","DateFormat=P","Fill=—","Direction=H","UseDPDF=Y")</f>
        <v>#NAME?</v>
      </c>
      <c r="CA463" s="2" t="e">
        <f ca="1">_xll.BDH($C$453,"BS_LT_BORROW","FY 2016","FY 2016","Currency=INR","Period=FY","BEST_FPERIOD_OVERRIDE=FY","FILING_STATUS=OR","EQY_CONSOLIDATED=Y","SCALING_FORMAT=MLN","Sort=A","Dates=H","DateFormat=P","Fill=—","Direction=H","UseDPDF=Y")</f>
        <v>#NAME?</v>
      </c>
      <c r="CB463" s="1" t="e">
        <f ca="1">_xll.BDH($C$453,"TOT_DEBT_TO_EBITDA","FY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463" s="1" t="e">
        <f ca="1">_xll.BDH($C$453,"NET_DEBT_TO_EBITDA","FY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463" s="1" t="e">
        <f ca="1">_xll.BDH($C$453,"TOTAL_DEBT_TO_EBIT","FY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463" s="1" t="e">
        <f ca="1">_xll.BDH($C$453,"NET_DEBT_TO_EBIT","FY 2016","FY 2016","Currency=INR","Period=FY","BEST_FPERIOD_OVERRIDE=FY","FILING_STATUS=OR","EQY_CONSOLIDATED=Y","FA_ADJUSTED=GAAP","Sort=A","Dates=H","DateFormat=P","Fill=—","Direction=H","UseDPDF=Y")</f>
        <v>#NAME?</v>
      </c>
      <c r="CF463" s="1" t="e">
        <f ca="1">_xll.BDH($C$453,"EBITDA_TO_INTEREST_EXPN","FY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63" s="1" t="e">
        <f ca="1">_xll.BDH($C$453,"COM_EQY_TO_TOT_ASSET","FY 2016","FY 2016","Currency=INR","Period=FY","BEST_FPERIOD_OVERRIDE=FY","FILING_STATUS=OR","EQY_CONSOLIDATED=Y","Sort=A","Dates=H","DateFormat=P","Fill=—","Direction=H","UseDPDF=Y")</f>
        <v>#NAME?</v>
      </c>
      <c r="CH463" s="1" t="e">
        <f ca="1">_xll.BDH($C$453,"LT_DEBT_TO_TOT_EQY","FY 2016","FY 2016","Currency=INR","Period=FY","BEST_FPERIOD_OVERRIDE=FY","FILING_STATUS=OR","EQY_CONSOLIDATED=Y","Sort=A","Dates=H","DateFormat=P","Fill=—","Direction=H","UseDPDF=Y")</f>
        <v>#NAME?</v>
      </c>
      <c r="CI463" s="1" t="e">
        <f ca="1">_xll.BDH($C$453,"LT_DEBT_TO_TOT_CAP","FY 2016","FY 2016","Currency=INR","Period=FY","BEST_FPERIOD_OVERRIDE=FY","FILING_STATUS=OR","EQY_CONSOLIDATED=Y","Sort=A","Dates=H","DateFormat=P","Fill=—","Direction=H","UseDPDF=Y")</f>
        <v>#NAME?</v>
      </c>
      <c r="CJ463" s="1" t="e">
        <f ca="1">_xll.BDH($C$453,"LT_DEBT_TO_TOT_ASSET","FY 2016","FY 2016","Currency=INR","Period=FY","BEST_FPERIOD_OVERRIDE=FY","FILING_STATUS=OR","EQY_CONSOLIDATED=Y","Sort=A","Dates=H","DateFormat=P","Fill=—","Direction=H","UseDPDF=Y")</f>
        <v>#NAME?</v>
      </c>
      <c r="CK463" s="1" t="e">
        <f ca="1">_xll.BDH($C$453,"TOT_DEBT_TO_TOT_EQY","FY 2016","FY 2016","Currency=INR","Period=FY","BEST_FPERIOD_OVERRIDE=FY","FILING_STATUS=OR","EQY_CONSOLIDATED=Y","Sort=A","Dates=H","DateFormat=P","Fill=—","Direction=H","UseDPDF=Y")</f>
        <v>#NAME?</v>
      </c>
      <c r="CL463" s="1" t="e">
        <f ca="1">_xll.BDH($C$453,"TOT_DEBT_TO_TOT_CAP","FY 2016","FY 2016","Currency=INR","Period=FY","BEST_FPERIOD_OVERRIDE=FY","FILING_STATUS=OR","EQY_CONSOLIDATED=Y","Sort=A","Dates=H","DateFormat=P","Fill=—","Direction=H","UseDPDF=Y")</f>
        <v>#NAME?</v>
      </c>
      <c r="CM463" s="1" t="e">
        <f ca="1">_xll.BDH($C$453,"TOT_DEBT_TO_TOT_ASSET","FY 2016","FY 2016","Currency=INR","Period=FY","BEST_FPERIOD_OVERRIDE=FY","FILING_STATUS=OR","EQY_CONSOLIDATED=Y","Sort=A","Dates=H","DateFormat=P","Fill=—","Direction=H","UseDPDF=Y")</f>
        <v>#NAME?</v>
      </c>
      <c r="CN463" s="1" t="e">
        <f ca="1">_xll.BDH($C$453,"NET_DEBT_TO_SHRHLDR_EQTY","FY 2016","FY 2016","Currency=INR","Period=FY","BEST_FPERIOD_OVERRIDE=FY","FILING_STATUS=OR","EQY_CONSOLIDATED=Y","Sort=A","Dates=H","DateFormat=P","Fill=—","Direction=H","UseDPDF=Y")</f>
        <v>#NAME?</v>
      </c>
      <c r="CO463" s="1" t="e">
        <f ca="1">_xll.BDH($C$453,"NET_DEBT_%_CAPITAL","FY 2016","FY 2016","Currency=INR","Period=FY","BEST_FPERIOD_OVERRIDE=FY","FILING_STATUS=OR","EQY_CONSOLIDATED=Y","Sort=A","Dates=H","DateFormat=P","Fill=—","Direction=H","UseDPDF=Y")</f>
        <v>#NAME?</v>
      </c>
      <c r="CP463" s="2" t="e">
        <f ca="1">_xll.BDH($C$453,"EBITDA","FY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63" s="2" t="e">
        <f ca="1">_xll.BDH($C$453,"EBITDA_AFTER_CAPEX","FY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63" s="2" t="e">
        <f ca="1">_xll.BDH($C$453,"IS_OPER_INC","FY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63" s="1" t="e">
        <f ca="1">_xll.BDH($C$453,"CASH_RATIO","FY 2016","FY 2016","Currency=INR","Period=FY","BEST_FPERIOD_OVERRIDE=FY","FILING_STATUS=OR","EQY_CONSOLIDATED=Y","Sort=A","Dates=H","DateFormat=P","Fill=—","Direction=H","UseDPDF=Y")</f>
        <v>#NAME?</v>
      </c>
      <c r="CT463" s="1" t="e">
        <f ca="1">_xll.BDH($C$453,"CUR_RATIO","FY 2016","FY 2016","Currency=INR","Period=FY","BEST_FPERIOD_OVERRIDE=FY","FILING_STATUS=OR","EQY_CONSOLIDATED=Y","Sort=A","Dates=H","DateFormat=P","Fill=—","Direction=H","UseDPDF=Y")</f>
        <v>#NAME?</v>
      </c>
      <c r="CU463" s="1" t="e">
        <f ca="1">_xll.BDH($C$453,"QUICK_RATIO","FY 2016","FY 2016","Currency=INR","Period=FY","BEST_FPERIOD_OVERRIDE=FY","FILING_STATUS=OR","EQY_CONSOLIDATED=Y","Sort=A","Dates=H","DateFormat=P","Fill=—","Direction=H","UseDPDF=Y")</f>
        <v>#NAME?</v>
      </c>
      <c r="CV463" s="1" t="e">
        <f ca="1">_xll.BDH($C$453,"ALTMAN_Z_SCORE","FY 2016","FY 2016","Currency=INR","Period=FY","BEST_FPERIOD_OVERRIDE=FY","FILING_STATUS=OR","EQY_CONSOLIDATED=Y","Sort=A","Dates=H","DateFormat=P","Fill=—","Direction=H","UseDPDF=Y")</f>
        <v>#NAME?</v>
      </c>
      <c r="CW463" s="3" t="e">
        <f ca="1">_xll.BDH($C$453,"ACCT_RCV_TURN","FY 2016","FY 2016","Currency=INR","Period=FY","BEST_FPERIOD_OVERRIDE=FY","FILING_STATUS=OR","EQY_CONSOLIDATED=Y","FA_ADJUSTED=GAAP","Sort=A","Dates=H","DateFormat=P","Fill=—","Direction=H","UseDPDF=Y")</f>
        <v>#NAME?</v>
      </c>
      <c r="CX463" s="1" t="e">
        <f ca="1">_xll.BDH($C$453,"ACCT_RCV_DAYS","FY 2016","FY 2016","Currency=INR","Period=FY","BEST_FPERIOD_OVERRIDE=FY","FILING_STATUS=OR","EQY_CONSOLIDATED=Y","FA_ADJUSTED=GAAP","Sort=A","Dates=H","DateFormat=P","Fill=—","Direction=H","UseDPDF=Y")</f>
        <v>#NAME?</v>
      </c>
      <c r="CY463" s="3" t="e">
        <f ca="1">_xll.BDH($C$453,"INVENT_TURN","FY 2016","FY 2016","Currency=INR","Period=FY","BEST_FPERIOD_OVERRIDE=FY","FILING_STATUS=OR","EQY_CONSOLIDATED=Y","FA_ADJUSTED=GAAP","Sort=A","Dates=H","DateFormat=P","Fill=—","Direction=H","UseDPDF=Y")</f>
        <v>#NAME?</v>
      </c>
      <c r="CZ463" s="1" t="e">
        <f ca="1">_xll.BDH($C$453,"INVENT_DAYS","FY 2016","FY 2016","Currency=INR","Period=FY","BEST_FPERIOD_OVERRIDE=FY","FILING_STATUS=OR","EQY_CONSOLIDATED=Y","FA_ADJUSTED=GAAP","Sort=A","Dates=H","DateFormat=P","Fill=—","Direction=H","UseDPDF=Y")</f>
        <v>#NAME?</v>
      </c>
      <c r="DA463" s="3" t="e">
        <f ca="1">_xll.BDH($C$453,"ACCOUNTS_PAYABLE_TURNOVER","FY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63" s="1" t="e">
        <f ca="1">_xll.BDH($C$453,"ACCOUNTS_PAYABLE_TURNOVER_DAYS","FY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63" s="3" t="e">
        <f ca="1">_xll.BDH($C$453,"CASH_CONVERSION_CYCLE","FY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63" s="3" t="e">
        <f ca="1">_xll.BDH($C$453,"INV_TO_CASH_DAYS","FY 2016","FY 2016","Currency=INR","Period=FY","BEST_FPERIOD_OVERRIDE=FY","FILING_STATUS=OR","EQY_CONSOLIDATED=Y","FA_ADJUSTED=GAAP","Sort=A","Dates=H","DateFormat=P","Fill=—","Direction=H","UseDPDF=Y")</f>
        <v>#NAME?</v>
      </c>
      <c r="DE463" s="4" t="e">
        <f ca="1">_xll.BDH($C$453,"BS_INVENTORIES","FY 2016","FY 2016","Currency=INR","Period=FY","BEST_FPERIOD_OVERRIDE=FY","FILING_STATUS=OR","EQY_CONSOLIDATED=Y","SCALING_FORMAT=MLN","Sort=A","Dates=H","DateFormat=P","Fill=—","Direction=H","UseDPDF=Y")</f>
        <v>#NAME?</v>
      </c>
      <c r="DF463" s="2" t="e">
        <f ca="1">_xll.BDH($C$453,"INVTRY_RAW_MATERIALS","FY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63" s="2" t="e">
        <f ca="1">_xll.BDH($C$453,"INVTRY_IN_PROGRESS","FY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63" s="2" t="e">
        <f ca="1">_xll.BDH($C$453,"INVTRY_FINISHED_GOODS","FY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63" s="2" t="e">
        <f ca="1">_xll.BDH($C$453,"BS_OTHER_INV","FY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64" spans="1:113" x14ac:dyDescent="0.3">
      <c r="A464" s="6"/>
      <c r="B464" s="6"/>
      <c r="C464" s="6"/>
      <c r="D464" s="6"/>
      <c r="E464" t="s">
        <v>4</v>
      </c>
      <c r="F464" t="e">
        <f ca="1">_xll.BDH($C$453,"RETURN_COM_EQY","FQ1 2016","FQ1 2016","Currency=INR","Period=FQ","BEST_FPERIOD_OVERRIDE=FQ","FILING_STATUS=OR","EQY_CONSOLIDATED=Y","FA_ADJUSTED=GAAP","Sort=A","Dates=H","DateFormat=P","Fill=—","Direction=H","UseDPDF=Y")</f>
        <v>#NAME?</v>
      </c>
      <c r="G464" t="e">
        <f ca="1">_xll.BDH($C$453,"RETURN_ON_ASSET","FQ1 2016","FQ1 2016","Currency=INR","Period=FQ","BEST_FPERIOD_OVERRIDE=FQ","FILING_STATUS=OR","EQY_CONSOLIDATED=Y","FA_ADJUSTED=GAAP","Sort=A","Dates=H","DateFormat=P","Fill=—","Direction=H","UseDPDF=Y")</f>
        <v>#NAME?</v>
      </c>
      <c r="H464" t="e">
        <f ca="1">_xll.BDH($C$453,"RETURN_ON_CAP","FQ1 2016","FQ1 2016","Currency=INR","Period=FQ","BEST_FPERIOD_OVERRIDE=FQ","FILING_STATUS=OR","EQY_CONSOLIDATED=Y","FA_ADJUSTED=GAAP","Sort=A","Dates=H","DateFormat=P","Fill=—","Direction=H","UseDPDF=Y")</f>
        <v>#NAME?</v>
      </c>
      <c r="I464" t="e">
        <f ca="1">_xll.BDH($C$453,"RETURN_ON_INV_CAPITAL","FQ1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64" t="e">
        <f ca="1">_xll.BDH($C$453,"EBITDA_TO_REVENUE","FQ1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464" t="e">
        <f ca="1">_xll.BDH($C$453,"OPER_MARGIN","FQ1 2016","FQ1 2016","Currency=INR","Period=FQ","BEST_FPERIOD_OVERRIDE=FQ","FILING_STATUS=OR","EQY_CONSOLIDATED=Y","FA_ADJUSTED=GAAP","Sort=A","Dates=H","DateFormat=P","Fill=—","Direction=H","UseDPDF=Y")</f>
        <v>#NAME?</v>
      </c>
      <c r="L464" t="e">
        <f ca="1">_xll.BDH($C$453,"INCREMENTAL_OPERATING_MARGIN","FQ1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64" t="e">
        <f ca="1">_xll.BDH($C$453,"PRETAX_INC_TO_NET_SALES","FQ1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64" t="e">
        <f ca="1">_xll.BDH($C$453,"INC_BEF_XO_ITEMS_TO_NET_SALES","FQ1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64" t="e">
        <f ca="1">_xll.BDH($C$453,"PROF_MARGIN","FQ1 2016","FQ1 2016","Currency=INR","Period=FQ","BEST_FPERIOD_OVERRIDE=FQ","FILING_STATUS=OR","EQY_CONSOLIDATED=Y","FA_ADJUSTED=GAAP","Sort=A","Dates=H","DateFormat=P","Fill=—","Direction=H","UseDPDF=Y")</f>
        <v>#NAME?</v>
      </c>
      <c r="P464" t="e">
        <f ca="1">_xll.BDH($C$453,"NET_INCOME_TO_COMMON_MARGIN","FQ1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64" t="e">
        <f ca="1">_xll.BDH($C$453,"EFF_TAX_RATE","FQ1 2016","FQ1 2016","Currency=INR","Period=FQ","BEST_FPERIOD_OVERRIDE=FQ","FILING_STATUS=OR","EQY_CONSOLIDATED=Y","FA_ADJUSTED=GAAP","Sort=A","Dates=H","DateFormat=P","Fill=—","Direction=H","UseDPDF=Y")</f>
        <v>#NAME?</v>
      </c>
      <c r="R464" t="e">
        <f ca="1">_xll.BDH($C$453,"DVD_PAYOUT_RATIO","FQ1 2016","FQ1 2016","Currency=INR","Period=FQ","BEST_FPERIOD_OVERRIDE=FQ","FILING_STATUS=OR","EQY_CONSOLIDATED=Y","FA_ADJUSTED=GAAP","Sort=A","Dates=H","DateFormat=P","Fill=—","Direction=H","UseDPDF=Y")</f>
        <v>#NAME?</v>
      </c>
      <c r="S464" t="e">
        <f ca="1">_xll.BDH($C$453,"SUSTAIN_GROWTH_RT","FQ1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464" s="1" t="e">
        <f ca="1">_xll.BDH($C$453,"SALES_GROWTH","FQ1 2016","FQ1 2016","Currency=INR","Period=FQ","BEST_FPERIOD_OVERRIDE=FQ","FILING_STATUS=OR","EQY_CONSOLIDATED=Y","FA_ADJUSTED=GAAP","Sort=A","Dates=H","DateFormat=P","Fill=—","Direction=H","UseDPDF=Y")</f>
        <v>#NAME?</v>
      </c>
      <c r="U464" s="1" t="e">
        <f ca="1">_xll.BDH($C$453,"EBITDA_GROWTH","FQ1 2016","FQ1 2016","Currency=INR","Period=FQ","BEST_FPERIOD_OVERRIDE=FQ","FILING_STATUS=OR","EQY_CONSOLIDATED=Y","FA_ADJUSTED=GAAP","Sort=A","Dates=H","DateFormat=P","Fill=—","Direction=H","UseDPDF=Y")</f>
        <v>#NAME?</v>
      </c>
      <c r="V464" s="1" t="e">
        <f ca="1">_xll.BDH($C$453,"OPER_INC_GROWTH","FQ1 2016","FQ1 2016","Currency=INR","Period=FQ","BEST_FPERIOD_OVERRIDE=FQ","FILING_STATUS=OR","EQY_CONSOLIDATED=Y","FA_ADJUSTED=GAAP","Sort=A","Dates=H","DateFormat=P","Fill=—","Direction=H","UseDPDF=Y")</f>
        <v>#NAME?</v>
      </c>
      <c r="W464" s="1" t="e">
        <f ca="1">_xll.BDH($C$453,"EARN_FOR_COM_GROWTH","FQ1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64" s="1" t="e">
        <f ca="1">_xll.BDH($C$453,"DILUTED_EPS_AFT_XO_ITEMS_GROWTH","FQ1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64" s="1" t="e">
        <f ca="1">_xll.BDH($C$453,"DIVIDEND_PER_SHARE_1_YEAR_GROWTH","FQ1 2016","FQ1 2016","Currency=INR","Period=FQ","BEST_FPERIOD_OVERRIDE=FQ","FILING_STATUS=OR","EQY_CONSOLIDATED=Y","Sort=A","Dates=H","DateFormat=P","Fill=—","Direction=H","UseDPDF=Y")</f>
        <v>#NAME?</v>
      </c>
      <c r="Z464" s="1" t="e">
        <f ca="1">_xll.BDH($C$453,"ACCOUNTS_RECEIVABLE_GROWTH","FQ1 2016","FQ1 2016","Currency=INR","Period=FQ","BEST_FPERIOD_OVERRIDE=FQ","FILING_STATUS=OR","EQY_CONSOLIDATED=Y","Sort=A","Dates=H","DateFormat=P","Fill=—","Direction=H","UseDPDF=Y")</f>
        <v>#NAME?</v>
      </c>
      <c r="AA464" s="1" t="e">
        <f ca="1">_xll.BDH($C$453,"INVENTORY_GROWTH","FQ1 2016","FQ1 2016","Currency=INR","Period=FQ","BEST_FPERIOD_OVERRIDE=FQ","FILING_STATUS=OR","EQY_CONSOLIDATED=Y","Sort=A","Dates=H","DateFormat=P","Fill=—","Direction=H","UseDPDF=Y")</f>
        <v>#NAME?</v>
      </c>
      <c r="AB464" s="1" t="e">
        <f ca="1">_xll.BDH($C$453,"NET_FIXED_ASSETS_1_YEAR_GROWTH","FQ1 2016","FQ1 2016","Currency=INR","Period=FQ","BEST_FPERIOD_OVERRIDE=FQ","FILING_STATUS=OR","EQY_CONSOLIDATED=Y","Sort=A","Dates=H","DateFormat=P","Fill=—","Direction=H","UseDPDF=Y")</f>
        <v>#NAME?</v>
      </c>
      <c r="AC464" s="1" t="e">
        <f ca="1">_xll.BDH($C$453,"ASSET_GROWTH","FQ1 2016","FQ1 2016","Currency=INR","Period=FQ","BEST_FPERIOD_OVERRIDE=FQ","FILING_STATUS=OR","EQY_CONSOLIDATED=Y","Sort=A","Dates=H","DateFormat=P","Fill=—","Direction=H","UseDPDF=Y")</f>
        <v>#NAME?</v>
      </c>
      <c r="AD464" s="1" t="e">
        <f ca="1">_xll.BDH($C$453,"MODIFIED_WORK_CAP_GROWTH","FQ1 2016","FQ1 2016","Currency=INR","Period=FQ","BEST_FPERIOD_OVERRIDE=FQ","FILING_STATUS=OR","EQY_CONSOLIDATED=Y","Sort=A","Dates=H","DateFormat=P","Fill=—","Direction=H","UseDPDF=Y")</f>
        <v>#NAME?</v>
      </c>
      <c r="AE464" s="1" t="e">
        <f ca="1">_xll.BDH($C$453,"WORK_CAP_GROWTH","FQ1 2016","FQ1 2016","Currency=INR","Period=FQ","BEST_FPERIOD_OVERRIDE=FQ","FILING_STATUS=OR","EQY_CONSOLIDATED=Y","Sort=A","Dates=H","DateFormat=P","Fill=—","Direction=H","UseDPDF=Y")</f>
        <v>#NAME?</v>
      </c>
      <c r="AF464" s="1" t="e">
        <f ca="1">_xll.BDH($C$453,"ACCOUNTS_PAYABLE_GROWTH_1YR","FQ1 2016","FQ1 2016","Currency=INR","Period=FQ","BEST_FPERIOD_OVERRIDE=FQ","FILING_STATUS=OR","EQY_CONSOLIDATED=Y","Sort=A","Dates=H","DateFormat=P","Fill=—","Direction=H","UseDPDF=Y")</f>
        <v>#NAME?</v>
      </c>
      <c r="AG464" s="1" t="e">
        <f ca="1">_xll.BDH($C$453,"SHORT_TERM_DEBT_1_YEAR_GROWTH","FQ1 2016","FQ1 2016","Currency=INR","Period=FQ","BEST_FPERIOD_OVERRIDE=FQ","FILING_STATUS=OR","EQY_CONSOLIDATED=Y","Sort=A","Dates=H","DateFormat=P","Fill=—","Direction=H","UseDPDF=Y")</f>
        <v>#NAME?</v>
      </c>
      <c r="AH464" s="1" t="e">
        <f ca="1">_xll.BDH($C$453,"TOTAL_DEBT_1_YEAR_GROWTH","FQ1 2016","FQ1 2016","Currency=INR","Period=FQ","BEST_FPERIOD_OVERRIDE=FQ","FILING_STATUS=OR","EQY_CONSOLIDATED=Y","Sort=A","Dates=H","DateFormat=P","Fill=—","Direction=H","UseDPDF=Y")</f>
        <v>#NAME?</v>
      </c>
      <c r="AI464" s="1" t="e">
        <f ca="1">_xll.BDH($C$453,"TOTAL_EQUITY_1_YEAR_GROWTH","FQ1 2016","FQ1 2016","Currency=INR","Period=FQ","BEST_FPERIOD_OVERRIDE=FQ","FILING_STATUS=OR","EQY_CONSOLIDATED=Y","Sort=A","Dates=H","DateFormat=P","Fill=—","Direction=H","UseDPDF=Y")</f>
        <v>#NAME?</v>
      </c>
      <c r="AJ464" s="1" t="e">
        <f ca="1">_xll.BDH($C$453,"GROWTH_IN_CAP","FQ1 2016","FQ1 2016","Currency=INR","Period=FQ","BEST_FPERIOD_OVERRIDE=FQ","FILING_STATUS=OR","EQY_CONSOLIDATED=Y","Sort=A","Dates=H","DateFormat=P","Fill=—","Direction=H","UseDPDF=Y")</f>
        <v>#NAME?</v>
      </c>
      <c r="AK464" s="1" t="e">
        <f ca="1">_xll.BDH($C$453,"BVPS_GROWTH","FQ1 2016","FQ1 2016","Currency=INR","Period=FQ","BEST_FPERIOD_OVERRIDE=FQ","FILING_STATUS=OR","EQY_CONSOLIDATED=Y","Sort=A","Dates=H","DateFormat=P","Fill=—","Direction=H","UseDPDF=Y")</f>
        <v>#NAME?</v>
      </c>
      <c r="AL464" s="1" t="e">
        <f ca="1">_xll.BDH($C$453,"CASH_FLOW_GROWTH","FQ1 2016","FQ1 2016","Currency=INR","Period=FQ","BEST_FPERIOD_OVERRIDE=FQ","FILING_STATUS=OR","EQY_CONSOLIDATED=Y","Sort=A","Dates=H","DateFormat=P","Fill=—","Direction=H","UseDPDF=Y")</f>
        <v>#NAME?</v>
      </c>
      <c r="AM464" s="1" t="e">
        <f ca="1">_xll.BDH($C$453,"GEO_GROW_NET_SALES","FQ1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64" s="1" t="e">
        <f ca="1">_xll.BDH($C$453,"GEO_GROW_EBITDA","FQ1 2016","FQ1 2016","Currency=INR","Period=FQ","BEST_FPERIOD_OVERRIDE=FQ","FILING_STATUS=OR","EQY_CONSOLIDATED=Y","FA_ADJUSTED=GAAP","Sort=A","Dates=H","DateFormat=P","Fill=—","Direction=H","UseDPDF=Y")</f>
        <v>#NAME?</v>
      </c>
      <c r="AO464" s="1" t="e">
        <f ca="1">_xll.BDH($C$453,"GEO_GROW_OPER_INC","FQ1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64" s="1" t="e">
        <f ca="1">_xll.BDH($C$453,"NET_INCOME_TO_COMMON_5_YR_GROWTH","FQ1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64" s="1" t="e">
        <f ca="1">_xll.BDH($C$453,"5Y_GEO_GROWTH_DILUTED_EPS","FQ1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64" s="1" t="e">
        <f ca="1">_xll.BDH($C$453,"GEO_GROW_DVD_PER_SH","FQ1 2016","FQ1 2016","Currency=INR","Period=FQ","BEST_FPERIOD_OVERRIDE=FQ","FILING_STATUS=OR","EQY_CONSOLIDATED=Y","Sort=A","Dates=H","DateFormat=P","Fill=—","Direction=H","UseDPDF=Y")</f>
        <v>#NAME?</v>
      </c>
      <c r="AS464" s="1" t="e">
        <f ca="1">_xll.BDH($C$453,"ACCOUNTS_RECEIVABLE_5_YR_GROWTH","FQ1 2016","FQ1 2016","Currency=INR","Period=FQ","BEST_FPERIOD_OVERRIDE=FQ","FILING_STATUS=OR","EQY_CONSOLIDATED=Y","Sort=A","Dates=H","DateFormat=P","Fill=—","Direction=H","UseDPDF=Y")</f>
        <v>#NAME?</v>
      </c>
      <c r="AT464" s="1" t="e">
        <f ca="1">_xll.BDH($C$453,"INVENTORY_5_YEAR_GROWTH","FQ1 2016","FQ1 2016","Currency=INR","Period=FQ","BEST_FPERIOD_OVERRIDE=FQ","FILING_STATUS=OR","EQY_CONSOLIDATED=Y","Sort=A","Dates=H","DateFormat=P","Fill=—","Direction=H","UseDPDF=Y")</f>
        <v>#NAME?</v>
      </c>
      <c r="AU464" s="1" t="e">
        <f ca="1">_xll.BDH($C$453,"NET_FIXED_ASSETS_5_YEAR_GROWTH","FQ1 2016","FQ1 2016","Currency=INR","Period=FQ","BEST_FPERIOD_OVERRIDE=FQ","FILING_STATUS=OR","EQY_CONSOLIDATED=Y","Sort=A","Dates=H","DateFormat=P","Fill=—","Direction=H","UseDPDF=Y")</f>
        <v>#NAME?</v>
      </c>
      <c r="AV464" s="1" t="e">
        <f ca="1">_xll.BDH($C$453,"GEO_GROW_TOT_ASSET","FQ1 2016","FQ1 2016","Currency=INR","Period=FQ","BEST_FPERIOD_OVERRIDE=FQ","FILING_STATUS=OR","EQY_CONSOLIDATED=Y","Sort=A","Dates=H","DateFormat=P","Fill=—","Direction=H","UseDPDF=Y")</f>
        <v>#NAME?</v>
      </c>
      <c r="AW464" s="1" t="e">
        <f ca="1">_xll.BDH($C$453,"MODIFIED_WORKING_CPTL_5YR_GRWTH","FQ1 2016","FQ1 2016","Currency=INR","Period=FQ","BEST_FPERIOD_OVERRIDE=FQ","FILING_STATUS=OR","EQY_CONSOLIDATED=Y","Sort=A","Dates=H","DateFormat=P","Fill=—","Direction=H","UseDPDF=Y")</f>
        <v>#NAME?</v>
      </c>
      <c r="AX464" s="1" t="e">
        <f ca="1">_xll.BDH($C$453,"WORKING_CAPITAL_5_YEAR_GROWTH","FQ1 2016","FQ1 2016","Currency=INR","Period=FQ","BEST_FPERIOD_OVERRIDE=FQ","FILING_STATUS=OR","EQY_CONSOLIDATED=Y","Sort=A","Dates=H","DateFormat=P","Fill=—","Direction=H","UseDPDF=Y")</f>
        <v>#NAME?</v>
      </c>
      <c r="AY464" s="1" t="e">
        <f ca="1">_xll.BDH($C$453,"ACCOUNTS_PAYABLE_5_YEAR_GROWTH","FQ1 2016","FQ1 2016","Currency=INR","Period=FQ","BEST_FPERIOD_OVERRIDE=FQ","FILING_STATUS=OR","EQY_CONSOLIDATED=Y","Sort=A","Dates=H","DateFormat=P","Fill=—","Direction=H","UseDPDF=Y")</f>
        <v>#NAME?</v>
      </c>
      <c r="AZ464" s="1" t="e">
        <f ca="1">_xll.BDH($C$453,"SHORT_TERM_DEBT_5_YEAR_GROWTH","FQ1 2016","FQ1 2016","Currency=INR","Period=FQ","BEST_FPERIOD_OVERRIDE=FQ","FILING_STATUS=OR","EQY_CONSOLIDATED=Y","Sort=A","Dates=H","DateFormat=P","Fill=—","Direction=H","UseDPDF=Y")</f>
        <v>#NAME?</v>
      </c>
      <c r="BA464" s="1" t="e">
        <f ca="1">_xll.BDH($C$453,"TOTAL_DEBT_5_YEAR_GROWTH","FQ1 2016","FQ1 2016","Currency=INR","Period=FQ","BEST_FPERIOD_OVERRIDE=FQ","FILING_STATUS=OR","EQY_CONSOLIDATED=Y","Sort=A","Dates=H","DateFormat=P","Fill=—","Direction=H","UseDPDF=Y")</f>
        <v>#NAME?</v>
      </c>
      <c r="BB464" s="1" t="e">
        <f ca="1">_xll.BDH($C$453,"GEO_GROW_TOT_SHRHLDR_EQY","FQ1 2016","FQ1 2016","Currency=INR","Period=FQ","BEST_FPERIOD_OVERRIDE=FQ","FILING_STATUS=OR","EQY_CONSOLIDATED=Y","Sort=A","Dates=H","DateFormat=P","Fill=—","Direction=H","UseDPDF=Y")</f>
        <v>#NAME?</v>
      </c>
      <c r="BC464" s="1" t="e">
        <f ca="1">_xll.BDH($C$453,"TOTAL_CAPITAL_5_YEAR_GROWTH","FQ1 2016","FQ1 2016","Currency=INR","Period=FQ","BEST_FPERIOD_OVERRIDE=FQ","FILING_STATUS=OR","EQY_CONSOLIDATED=Y","Sort=A","Dates=H","DateFormat=P","Fill=—","Direction=H","UseDPDF=Y")</f>
        <v>#NAME?</v>
      </c>
      <c r="BD464" s="1" t="e">
        <f ca="1">_xll.BDH($C$453,"GEO_GROW_BOOK_VAL","FQ1 2016","FQ1 2016","Currency=INR","Period=FQ","BEST_FPERIOD_OVERRIDE=FQ","FILING_STATUS=OR","EQY_CONSOLIDATED=Y","Sort=A","Dates=H","DateFormat=P","Fill=—","Direction=H","UseDPDF=Y")</f>
        <v>#NAME?</v>
      </c>
      <c r="BE464" s="1" t="e">
        <f ca="1">_xll.BDH($C$453,"GEO_GROW_CASH_OPER_ACT","FQ1 2016","FQ1 2016","Currency=INR","Period=FQ","BEST_FPERIOD_OVERRIDE=FQ","FILING_STATUS=OR","EQY_CONSOLIDATED=Y","Sort=A","Dates=H","DateFormat=P","Fill=—","Direction=H","UseDPDF=Y")</f>
        <v>#NAME?</v>
      </c>
      <c r="BF464" s="1" t="e">
        <f ca="1">_xll.BDH($C$453,"REVENUE_SEQUENTIAL_GROWTH","FQ1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64" s="1" t="e">
        <f ca="1">_xll.BDH($C$453,"EBITDA_SEQUENTIAL_GROWTH","FQ1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64" s="1" t="e">
        <f ca="1">_xll.BDH($C$453,"OPERATING_INCOME_SEQ_GROWTH","FQ1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64" s="1" t="e">
        <f ca="1">_xll.BDH($C$453,"NET_INCOME_TO_COMMON_SEQ_GROWTH","FQ1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64" s="1" t="e">
        <f ca="1">_xll.BDH($C$453,"EPS_DILUTED_SEQUENTIAL_GROWTH","FQ1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64" s="1" t="e">
        <f ca="1">_xll.BDH($C$453,"DPS_SEQUENTIAL_GROWTH","FQ1 2016","FQ1 2016","Currency=INR","Period=FQ","BEST_FPERIOD_OVERRIDE=FQ","FILING_STATUS=OR","EQY_CONSOLIDATED=Y","Sort=A","Dates=H","DateFormat=P","Fill=—","Direction=H","UseDPDF=Y")</f>
        <v>#NAME?</v>
      </c>
      <c r="BL464" s="1" t="e">
        <f ca="1">_xll.BDH($C$453,"ACCOUNTS_RECEIVABLE_SEQ_GROWTH","FQ1 2016","FQ1 2016","Currency=INR","Period=FQ","BEST_FPERIOD_OVERRIDE=FQ","FILING_STATUS=OR","EQY_CONSOLIDATED=Y","Sort=A","Dates=H","DateFormat=P","Fill=—","Direction=H","UseDPDF=Y")</f>
        <v>#NAME?</v>
      </c>
      <c r="BM464" s="1" t="e">
        <f ca="1">_xll.BDH($C$453,"INVENTORY_SEQUENTIAL_GROWTH","FQ1 2016","FQ1 2016","Currency=INR","Period=FQ","BEST_FPERIOD_OVERRIDE=FQ","FILING_STATUS=OR","EQY_CONSOLIDATED=Y","Sort=A","Dates=H","DateFormat=P","Fill=—","Direction=H","UseDPDF=Y")</f>
        <v>#NAME?</v>
      </c>
      <c r="BN464" s="1" t="e">
        <f ca="1">_xll.BDH($C$453,"FIXED_ASSETS_SEQUENTIAL_GROWTH","FQ1 2016","FQ1 2016","Currency=INR","Period=FQ","BEST_FPERIOD_OVERRIDE=FQ","FILING_STATUS=OR","EQY_CONSOLIDATED=Y","Sort=A","Dates=H","DateFormat=P","Fill=—","Direction=H","UseDPDF=Y")</f>
        <v>#NAME?</v>
      </c>
      <c r="BO464" s="1" t="e">
        <f ca="1">_xll.BDH($C$453,"TOTAL_ASSETS_SEQUENTIAL_GROWTH","FQ1 2016","FQ1 2016","Currency=INR","Period=FQ","BEST_FPERIOD_OVERRIDE=FQ","FILING_STATUS=OR","EQY_CONSOLIDATED=Y","Sort=A","Dates=H","DateFormat=P","Fill=—","Direction=H","UseDPDF=Y")</f>
        <v>#NAME?</v>
      </c>
      <c r="BP464" s="1" t="e">
        <f ca="1">_xll.BDH($C$453,"MODIFIED_WORKING_CPTL_SEQ_GRWTH","FQ1 2016","FQ1 2016","Currency=INR","Period=FQ","BEST_FPERIOD_OVERRIDE=FQ","FILING_STATUS=OR","EQY_CONSOLIDATED=Y","Sort=A","Dates=H","DateFormat=P","Fill=—","Direction=H","UseDPDF=Y")</f>
        <v>#NAME?</v>
      </c>
      <c r="BQ464" s="1" t="e">
        <f ca="1">_xll.BDH($C$453,"WORKING_CAPITAL_SEQ_GROWTH","FQ1 2016","FQ1 2016","Currency=INR","Period=FQ","BEST_FPERIOD_OVERRIDE=FQ","FILING_STATUS=OR","EQY_CONSOLIDATED=Y","Sort=A","Dates=H","DateFormat=P","Fill=—","Direction=H","UseDPDF=Y")</f>
        <v>#NAME?</v>
      </c>
      <c r="BR464" s="1" t="e">
        <f ca="1">_xll.BDH($C$453,"ACCOUNTS_PAYABLE_SEQ_GROWTH","FQ1 2016","FQ1 2016","Currency=INR","Period=FQ","BEST_FPERIOD_OVERRIDE=FQ","FILING_STATUS=OR","EQY_CONSOLIDATED=Y","Sort=A","Dates=H","DateFormat=P","Fill=—","Direction=H","UseDPDF=Y")</f>
        <v>#NAME?</v>
      </c>
      <c r="BS464" s="1" t="e">
        <f ca="1">_xll.BDH($C$453,"ST_DEBT_SEQUENTIAL_GROWTH","FQ1 2016","FQ1 2016","Currency=INR","Period=FQ","BEST_FPERIOD_OVERRIDE=FQ","FILING_STATUS=OR","EQY_CONSOLIDATED=Y","Sort=A","Dates=H","DateFormat=P","Fill=—","Direction=H","UseDPDF=Y")</f>
        <v>#NAME?</v>
      </c>
      <c r="BT464" s="1" t="e">
        <f ca="1">_xll.BDH($C$453,"TOTAL_DEBT_SEQUENTIAL_GROWTH","FQ1 2016","FQ1 2016","Currency=INR","Period=FQ","BEST_FPERIOD_OVERRIDE=FQ","FILING_STATUS=OR","EQY_CONSOLIDATED=Y","Sort=A","Dates=H","DateFormat=P","Fill=—","Direction=H","UseDPDF=Y")</f>
        <v>#NAME?</v>
      </c>
      <c r="BU464" s="1" t="e">
        <f ca="1">_xll.BDH($C$453,"TOTAL_EQUITY_SEQUENTIAL_GROWTH","FQ1 2016","FQ1 2016","Currency=INR","Period=FQ","BEST_FPERIOD_OVERRIDE=FQ","FILING_STATUS=OR","EQY_CONSOLIDATED=Y","Sort=A","Dates=H","DateFormat=P","Fill=—","Direction=H","UseDPDF=Y")</f>
        <v>#NAME?</v>
      </c>
      <c r="BV464" s="1" t="e">
        <f ca="1">_xll.BDH($C$453,"TOTAL_CAPITAL_SEQUENTIAL_GROWTH","FQ1 2016","FQ1 2016","Currency=INR","Period=FQ","BEST_FPERIOD_OVERRIDE=FQ","FILING_STATUS=OR","EQY_CONSOLIDATED=Y","Sort=A","Dates=H","DateFormat=P","Fill=—","Direction=H","UseDPDF=Y")</f>
        <v>#NAME?</v>
      </c>
      <c r="BW464" s="1" t="e">
        <f ca="1">_xll.BDH($C$453,"BPS_SEQUENTIAL_GROWTH","FQ1 2016","FQ1 2016","Currency=INR","Period=FQ","BEST_FPERIOD_OVERRIDE=FQ","FILING_STATUS=OR","EQY_CONSOLIDATED=Y","Sort=A","Dates=H","DateFormat=P","Fill=—","Direction=H","UseDPDF=Y")</f>
        <v>#NAME?</v>
      </c>
      <c r="BX464" s="1" t="e">
        <f ca="1">_xll.BDH($C$453,"CFO_SEQUENTIAL_GROWTH","FQ1 2016","FQ1 2016","Currency=INR","Period=FQ","BEST_FPERIOD_OVERRIDE=FQ","FILING_STATUS=OR","EQY_CONSOLIDATED=Y","Sort=A","Dates=H","DateFormat=P","Fill=—","Direction=H","UseDPDF=Y")</f>
        <v>#NAME?</v>
      </c>
      <c r="BY464" s="2" t="e">
        <f ca="1">_xll.BDH($C$453,"SHORT_AND_LONG_TERM_DEBT","FQ1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64" s="2" t="e">
        <f ca="1">_xll.BDH($C$453,"BS_ST_BORROW","FQ1 2016","FQ1 2016","Currency=INR","Period=FQ","BEST_FPERIOD_OVERRIDE=FQ","FILING_STATUS=OR","EQY_CONSOLIDATED=Y","SCALING_FORMAT=MLN","Sort=A","Dates=H","DateFormat=P","Fill=—","Direction=H","UseDPDF=Y")</f>
        <v>#NAME?</v>
      </c>
      <c r="CA464" s="2" t="e">
        <f ca="1">_xll.BDH($C$453,"BS_LT_BORROW","FQ1 2016","FQ1 2016","Currency=INR","Period=FQ","BEST_FPERIOD_OVERRIDE=FQ","FILING_STATUS=OR","EQY_CONSOLIDATED=Y","SCALING_FORMAT=MLN","Sort=A","Dates=H","DateFormat=P","Fill=—","Direction=H","UseDPDF=Y")</f>
        <v>#NAME?</v>
      </c>
      <c r="CB464" s="1" t="e">
        <f ca="1">_xll.BDH($C$453,"TOT_DEBT_TO_EBITDA","FQ1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64" s="1" t="e">
        <f ca="1">_xll.BDH($C$453,"NET_DEBT_TO_EBITDA","FQ1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64" s="1" t="e">
        <f ca="1">_xll.BDH($C$453,"TOTAL_DEBT_TO_EBIT","FQ1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64" s="1" t="e">
        <f ca="1">_xll.BDH($C$453,"NET_DEBT_TO_EBIT","FQ1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464" s="1" t="e">
        <f ca="1">_xll.BDH($C$453,"EBITDA_TO_INTEREST_EXPN","FQ1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64" s="1" t="e">
        <f ca="1">_xll.BDH($C$453,"COM_EQY_TO_TOT_ASSET","FQ1 2016","FQ1 2016","Currency=INR","Period=FQ","BEST_FPERIOD_OVERRIDE=FQ","FILING_STATUS=OR","EQY_CONSOLIDATED=Y","Sort=A","Dates=H","DateFormat=P","Fill=—","Direction=H","UseDPDF=Y")</f>
        <v>#NAME?</v>
      </c>
      <c r="CH464" s="1" t="e">
        <f ca="1">_xll.BDH($C$453,"LT_DEBT_TO_TOT_EQY","FQ1 2016","FQ1 2016","Currency=INR","Period=FQ","BEST_FPERIOD_OVERRIDE=FQ","FILING_STATUS=OR","EQY_CONSOLIDATED=Y","Sort=A","Dates=H","DateFormat=P","Fill=—","Direction=H","UseDPDF=Y")</f>
        <v>#NAME?</v>
      </c>
      <c r="CI464" s="1" t="e">
        <f ca="1">_xll.BDH($C$453,"LT_DEBT_TO_TOT_CAP","FQ1 2016","FQ1 2016","Currency=INR","Period=FQ","BEST_FPERIOD_OVERRIDE=FQ","FILING_STATUS=OR","EQY_CONSOLIDATED=Y","Sort=A","Dates=H","DateFormat=P","Fill=—","Direction=H","UseDPDF=Y")</f>
        <v>#NAME?</v>
      </c>
      <c r="CJ464" s="1" t="e">
        <f ca="1">_xll.BDH($C$453,"LT_DEBT_TO_TOT_ASSET","FQ1 2016","FQ1 2016","Currency=INR","Period=FQ","BEST_FPERIOD_OVERRIDE=FQ","FILING_STATUS=OR","EQY_CONSOLIDATED=Y","Sort=A","Dates=H","DateFormat=P","Fill=—","Direction=H","UseDPDF=Y")</f>
        <v>#NAME?</v>
      </c>
      <c r="CK464" s="1" t="e">
        <f ca="1">_xll.BDH($C$453,"TOT_DEBT_TO_TOT_EQY","FQ1 2016","FQ1 2016","Currency=INR","Period=FQ","BEST_FPERIOD_OVERRIDE=FQ","FILING_STATUS=OR","EQY_CONSOLIDATED=Y","Sort=A","Dates=H","DateFormat=P","Fill=—","Direction=H","UseDPDF=Y")</f>
        <v>#NAME?</v>
      </c>
      <c r="CL464" s="1" t="e">
        <f ca="1">_xll.BDH($C$453,"TOT_DEBT_TO_TOT_CAP","FQ1 2016","FQ1 2016","Currency=INR","Period=FQ","BEST_FPERIOD_OVERRIDE=FQ","FILING_STATUS=OR","EQY_CONSOLIDATED=Y","Sort=A","Dates=H","DateFormat=P","Fill=—","Direction=H","UseDPDF=Y")</f>
        <v>#NAME?</v>
      </c>
      <c r="CM464" s="1" t="e">
        <f ca="1">_xll.BDH($C$453,"TOT_DEBT_TO_TOT_ASSET","FQ1 2016","FQ1 2016","Currency=INR","Period=FQ","BEST_FPERIOD_OVERRIDE=FQ","FILING_STATUS=OR","EQY_CONSOLIDATED=Y","Sort=A","Dates=H","DateFormat=P","Fill=—","Direction=H","UseDPDF=Y")</f>
        <v>#NAME?</v>
      </c>
      <c r="CN464" s="1" t="e">
        <f ca="1">_xll.BDH($C$453,"NET_DEBT_TO_SHRHLDR_EQTY","FQ1 2016","FQ1 2016","Currency=INR","Period=FQ","BEST_FPERIOD_OVERRIDE=FQ","FILING_STATUS=OR","EQY_CONSOLIDATED=Y","Sort=A","Dates=H","DateFormat=P","Fill=—","Direction=H","UseDPDF=Y")</f>
        <v>#NAME?</v>
      </c>
      <c r="CO464" s="1" t="e">
        <f ca="1">_xll.BDH($C$453,"NET_DEBT_%_CAPITAL","FQ1 2016","FQ1 2016","Currency=INR","Period=FQ","BEST_FPERIOD_OVERRIDE=FQ","FILING_STATUS=OR","EQY_CONSOLIDATED=Y","Sort=A","Dates=H","DateFormat=P","Fill=—","Direction=H","UseDPDF=Y")</f>
        <v>#NAME?</v>
      </c>
      <c r="CP464" s="2" t="e">
        <f ca="1">_xll.BDH($C$453,"EBITDA","FQ1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64" s="2" t="e">
        <f ca="1">_xll.BDH($C$453,"EBITDA_AFTER_CAPEX","FQ1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64" s="2" t="e">
        <f ca="1">_xll.BDH($C$453,"IS_OPER_INC","FQ1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64" s="1" t="e">
        <f ca="1">_xll.BDH($C$453,"CASH_RATIO","FQ1 2016","FQ1 2016","Currency=INR","Period=FQ","BEST_FPERIOD_OVERRIDE=FQ","FILING_STATUS=OR","EQY_CONSOLIDATED=Y","Sort=A","Dates=H","DateFormat=P","Fill=—","Direction=H","UseDPDF=Y")</f>
        <v>#NAME?</v>
      </c>
      <c r="CT464" s="1" t="e">
        <f ca="1">_xll.BDH($C$453,"CUR_RATIO","FQ1 2016","FQ1 2016","Currency=INR","Period=FQ","BEST_FPERIOD_OVERRIDE=FQ","FILING_STATUS=OR","EQY_CONSOLIDATED=Y","Sort=A","Dates=H","DateFormat=P","Fill=—","Direction=H","UseDPDF=Y")</f>
        <v>#NAME?</v>
      </c>
      <c r="CU464" s="1" t="e">
        <f ca="1">_xll.BDH($C$453,"QUICK_RATIO","FQ1 2016","FQ1 2016","Currency=INR","Period=FQ","BEST_FPERIOD_OVERRIDE=FQ","FILING_STATUS=OR","EQY_CONSOLIDATED=Y","Sort=A","Dates=H","DateFormat=P","Fill=—","Direction=H","UseDPDF=Y")</f>
        <v>#NAME?</v>
      </c>
      <c r="CV464" s="1" t="e">
        <f ca="1">_xll.BDH($C$453,"ALTMAN_Z_SCORE","FQ1 2016","FQ1 2016","Currency=INR","Period=FQ","BEST_FPERIOD_OVERRIDE=FQ","FILING_STATUS=OR","EQY_CONSOLIDATED=Y","Sort=A","Dates=H","DateFormat=P","Fill=—","Direction=H","UseDPDF=Y")</f>
        <v>#NAME?</v>
      </c>
      <c r="CW464" s="3" t="e">
        <f ca="1">_xll.BDH($C$453,"ACCT_RCV_TURN","FQ1 2016","FQ1 2016","Currency=INR","Period=FQ","BEST_FPERIOD_OVERRIDE=FQ","FILING_STATUS=OR","EQY_CONSOLIDATED=Y","FA_ADJUSTED=GAAP","Sort=A","Dates=H","DateFormat=P","Fill=—","Direction=H","UseDPDF=Y")</f>
        <v>#NAME?</v>
      </c>
      <c r="CX464" s="1" t="e">
        <f ca="1">_xll.BDH($C$453,"ACCT_RCV_DAYS","FQ1 2016","FQ1 2016","Currency=INR","Period=FQ","BEST_FPERIOD_OVERRIDE=FQ","FILING_STATUS=OR","EQY_CONSOLIDATED=Y","FA_ADJUSTED=GAAP","Sort=A","Dates=H","DateFormat=P","Fill=—","Direction=H","UseDPDF=Y")</f>
        <v>#NAME?</v>
      </c>
      <c r="CY464" s="3" t="e">
        <f ca="1">_xll.BDH($C$453,"INVENT_TURN","FQ1 2016","FQ1 2016","Currency=INR","Period=FQ","BEST_FPERIOD_OVERRIDE=FQ","FILING_STATUS=OR","EQY_CONSOLIDATED=Y","FA_ADJUSTED=GAAP","Sort=A","Dates=H","DateFormat=P","Fill=—","Direction=H","UseDPDF=Y")</f>
        <v>#NAME?</v>
      </c>
      <c r="CZ464" s="1" t="e">
        <f ca="1">_xll.BDH($C$453,"INVENT_DAYS","FQ1 2016","FQ1 2016","Currency=INR","Period=FQ","BEST_FPERIOD_OVERRIDE=FQ","FILING_STATUS=OR","EQY_CONSOLIDATED=Y","FA_ADJUSTED=GAAP","Sort=A","Dates=H","DateFormat=P","Fill=—","Direction=H","UseDPDF=Y")</f>
        <v>#NAME?</v>
      </c>
      <c r="DA464" s="3" t="e">
        <f ca="1">_xll.BDH($C$453,"ACCOUNTS_PAYABLE_TURNOVER","FQ1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64" s="1" t="e">
        <f ca="1">_xll.BDH($C$453,"ACCOUNTS_PAYABLE_TURNOVER_DAYS","FQ1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64" s="3" t="e">
        <f ca="1">_xll.BDH($C$453,"CASH_CONVERSION_CYCLE","FQ1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64" s="3" t="e">
        <f ca="1">_xll.BDH($C$453,"INV_TO_CASH_DAYS","FQ1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464" s="4" t="e">
        <f ca="1">_xll.BDH($C$453,"BS_INVENTORIES","FQ1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464" s="2" t="e">
        <f ca="1">_xll.BDH($C$453,"INVTRY_RAW_MATERIALS","FQ1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64" s="2" t="e">
        <f ca="1">_xll.BDH($C$453,"INVTRY_IN_PROGRESS","FQ1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64" s="2" t="e">
        <f ca="1">_xll.BDH($C$453,"INVTRY_FINISHED_GOODS","FQ1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64" s="2" t="e">
        <f ca="1">_xll.BDH($C$453,"BS_OTHER_INV","FQ1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65" spans="1:113" x14ac:dyDescent="0.3">
      <c r="A465" s="6"/>
      <c r="B465" s="6"/>
      <c r="C465" s="6"/>
      <c r="D465" s="6"/>
      <c r="E465" t="s">
        <v>5</v>
      </c>
      <c r="F465" t="e">
        <f ca="1">_xll.BDH($C$453,"RETURN_COM_EQY","FQ2 2016","FQ2 2016","Currency=INR","Period=FQ","BEST_FPERIOD_OVERRIDE=FQ","FILING_STATUS=OR","EQY_CONSOLIDATED=Y","FA_ADJUSTED=GAAP","Sort=A","Dates=H","DateFormat=P","Fill=—","Direction=H","UseDPDF=Y")</f>
        <v>#NAME?</v>
      </c>
      <c r="G465" t="e">
        <f ca="1">_xll.BDH($C$453,"RETURN_ON_ASSET","FQ2 2016","FQ2 2016","Currency=INR","Period=FQ","BEST_FPERIOD_OVERRIDE=FQ","FILING_STATUS=OR","EQY_CONSOLIDATED=Y","FA_ADJUSTED=GAAP","Sort=A","Dates=H","DateFormat=P","Fill=—","Direction=H","UseDPDF=Y")</f>
        <v>#NAME?</v>
      </c>
      <c r="H465" t="e">
        <f ca="1">_xll.BDH($C$453,"RETURN_ON_CAP","FQ2 2016","FQ2 2016","Currency=INR","Period=FQ","BEST_FPERIOD_OVERRIDE=FQ","FILING_STATUS=OR","EQY_CONSOLIDATED=Y","FA_ADJUSTED=GAAP","Sort=A","Dates=H","DateFormat=P","Fill=—","Direction=H","UseDPDF=Y")</f>
        <v>#NAME?</v>
      </c>
      <c r="I465" t="e">
        <f ca="1">_xll.BDH($C$453,"RETURN_ON_INV_CAPITAL","FQ2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65" t="e">
        <f ca="1">_xll.BDH($C$453,"EBITDA_TO_REVENUE","FQ2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465" t="e">
        <f ca="1">_xll.BDH($C$453,"OPER_MARGIN","FQ2 2016","FQ2 2016","Currency=INR","Period=FQ","BEST_FPERIOD_OVERRIDE=FQ","FILING_STATUS=OR","EQY_CONSOLIDATED=Y","FA_ADJUSTED=GAAP","Sort=A","Dates=H","DateFormat=P","Fill=—","Direction=H","UseDPDF=Y")</f>
        <v>#NAME?</v>
      </c>
      <c r="L465" t="e">
        <f ca="1">_xll.BDH($C$453,"INCREMENTAL_OPERATING_MARGIN","FQ2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65" t="e">
        <f ca="1">_xll.BDH($C$453,"PRETAX_INC_TO_NET_SALES","FQ2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65" t="e">
        <f ca="1">_xll.BDH($C$453,"INC_BEF_XO_ITEMS_TO_NET_SALES","FQ2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65" t="e">
        <f ca="1">_xll.BDH($C$453,"PROF_MARGIN","FQ2 2016","FQ2 2016","Currency=INR","Period=FQ","BEST_FPERIOD_OVERRIDE=FQ","FILING_STATUS=OR","EQY_CONSOLIDATED=Y","FA_ADJUSTED=GAAP","Sort=A","Dates=H","DateFormat=P","Fill=—","Direction=H","UseDPDF=Y")</f>
        <v>#NAME?</v>
      </c>
      <c r="P465" t="e">
        <f ca="1">_xll.BDH($C$453,"NET_INCOME_TO_COMMON_MARGIN","FQ2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65" t="e">
        <f ca="1">_xll.BDH($C$453,"EFF_TAX_RATE","FQ2 2016","FQ2 2016","Currency=INR","Period=FQ","BEST_FPERIOD_OVERRIDE=FQ","FILING_STATUS=OR","EQY_CONSOLIDATED=Y","FA_ADJUSTED=GAAP","Sort=A","Dates=H","DateFormat=P","Fill=—","Direction=H","UseDPDF=Y")</f>
        <v>#NAME?</v>
      </c>
      <c r="R465" t="e">
        <f ca="1">_xll.BDH($C$453,"DVD_PAYOUT_RATIO","FQ2 2016","FQ2 2016","Currency=INR","Period=FQ","BEST_FPERIOD_OVERRIDE=FQ","FILING_STATUS=OR","EQY_CONSOLIDATED=Y","FA_ADJUSTED=GAAP","Sort=A","Dates=H","DateFormat=P","Fill=—","Direction=H","UseDPDF=Y")</f>
        <v>#NAME?</v>
      </c>
      <c r="S465" t="e">
        <f ca="1">_xll.BDH($C$453,"SUSTAIN_GROWTH_RT","FQ2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465" s="1" t="e">
        <f ca="1">_xll.BDH($C$453,"SALES_GROWTH","FQ2 2016","FQ2 2016","Currency=INR","Period=FQ","BEST_FPERIOD_OVERRIDE=FQ","FILING_STATUS=OR","EQY_CONSOLIDATED=Y","FA_ADJUSTED=GAAP","Sort=A","Dates=H","DateFormat=P","Fill=—","Direction=H","UseDPDF=Y")</f>
        <v>#NAME?</v>
      </c>
      <c r="U465" s="1" t="e">
        <f ca="1">_xll.BDH($C$453,"EBITDA_GROWTH","FQ2 2016","FQ2 2016","Currency=INR","Period=FQ","BEST_FPERIOD_OVERRIDE=FQ","FILING_STATUS=OR","EQY_CONSOLIDATED=Y","FA_ADJUSTED=GAAP","Sort=A","Dates=H","DateFormat=P","Fill=—","Direction=H","UseDPDF=Y")</f>
        <v>#NAME?</v>
      </c>
      <c r="V465" s="1" t="e">
        <f ca="1">_xll.BDH($C$453,"OPER_INC_GROWTH","FQ2 2016","FQ2 2016","Currency=INR","Period=FQ","BEST_FPERIOD_OVERRIDE=FQ","FILING_STATUS=OR","EQY_CONSOLIDATED=Y","FA_ADJUSTED=GAAP","Sort=A","Dates=H","DateFormat=P","Fill=—","Direction=H","UseDPDF=Y")</f>
        <v>#NAME?</v>
      </c>
      <c r="W465" s="1" t="e">
        <f ca="1">_xll.BDH($C$453,"EARN_FOR_COM_GROWTH","FQ2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65" s="1" t="e">
        <f ca="1">_xll.BDH($C$453,"DILUTED_EPS_AFT_XO_ITEMS_GROWTH","FQ2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65" s="1" t="e">
        <f ca="1">_xll.BDH($C$453,"DIVIDEND_PER_SHARE_1_YEAR_GROWTH","FQ2 2016","FQ2 2016","Currency=INR","Period=FQ","BEST_FPERIOD_OVERRIDE=FQ","FILING_STATUS=OR","EQY_CONSOLIDATED=Y","Sort=A","Dates=H","DateFormat=P","Fill=—","Direction=H","UseDPDF=Y")</f>
        <v>#NAME?</v>
      </c>
      <c r="Z465" s="1" t="e">
        <f ca="1">_xll.BDH($C$453,"ACCOUNTS_RECEIVABLE_GROWTH","FQ2 2016","FQ2 2016","Currency=INR","Period=FQ","BEST_FPERIOD_OVERRIDE=FQ","FILING_STATUS=OR","EQY_CONSOLIDATED=Y","Sort=A","Dates=H","DateFormat=P","Fill=—","Direction=H","UseDPDF=Y")</f>
        <v>#NAME?</v>
      </c>
      <c r="AA465" s="1" t="e">
        <f ca="1">_xll.BDH($C$453,"INVENTORY_GROWTH","FQ2 2016","FQ2 2016","Currency=INR","Period=FQ","BEST_FPERIOD_OVERRIDE=FQ","FILING_STATUS=OR","EQY_CONSOLIDATED=Y","Sort=A","Dates=H","DateFormat=P","Fill=—","Direction=H","UseDPDF=Y")</f>
        <v>#NAME?</v>
      </c>
      <c r="AB465" s="1" t="e">
        <f ca="1">_xll.BDH($C$453,"NET_FIXED_ASSETS_1_YEAR_GROWTH","FQ2 2016","FQ2 2016","Currency=INR","Period=FQ","BEST_FPERIOD_OVERRIDE=FQ","FILING_STATUS=OR","EQY_CONSOLIDATED=Y","Sort=A","Dates=H","DateFormat=P","Fill=—","Direction=H","UseDPDF=Y")</f>
        <v>#NAME?</v>
      </c>
      <c r="AC465" s="1" t="e">
        <f ca="1">_xll.BDH($C$453,"ASSET_GROWTH","FQ2 2016","FQ2 2016","Currency=INR","Period=FQ","BEST_FPERIOD_OVERRIDE=FQ","FILING_STATUS=OR","EQY_CONSOLIDATED=Y","Sort=A","Dates=H","DateFormat=P","Fill=—","Direction=H","UseDPDF=Y")</f>
        <v>#NAME?</v>
      </c>
      <c r="AD465" s="1" t="e">
        <f ca="1">_xll.BDH($C$453,"MODIFIED_WORK_CAP_GROWTH","FQ2 2016","FQ2 2016","Currency=INR","Period=FQ","BEST_FPERIOD_OVERRIDE=FQ","FILING_STATUS=OR","EQY_CONSOLIDATED=Y","Sort=A","Dates=H","DateFormat=P","Fill=—","Direction=H","UseDPDF=Y")</f>
        <v>#NAME?</v>
      </c>
      <c r="AE465" s="1" t="e">
        <f ca="1">_xll.BDH($C$453,"WORK_CAP_GROWTH","FQ2 2016","FQ2 2016","Currency=INR","Period=FQ","BEST_FPERIOD_OVERRIDE=FQ","FILING_STATUS=OR","EQY_CONSOLIDATED=Y","Sort=A","Dates=H","DateFormat=P","Fill=—","Direction=H","UseDPDF=Y")</f>
        <v>#NAME?</v>
      </c>
      <c r="AF465" s="1" t="e">
        <f ca="1">_xll.BDH($C$453,"ACCOUNTS_PAYABLE_GROWTH_1YR","FQ2 2016","FQ2 2016","Currency=INR","Period=FQ","BEST_FPERIOD_OVERRIDE=FQ","FILING_STATUS=OR","EQY_CONSOLIDATED=Y","Sort=A","Dates=H","DateFormat=P","Fill=—","Direction=H","UseDPDF=Y")</f>
        <v>#NAME?</v>
      </c>
      <c r="AG465" s="1" t="e">
        <f ca="1">_xll.BDH($C$453,"SHORT_TERM_DEBT_1_YEAR_GROWTH","FQ2 2016","FQ2 2016","Currency=INR","Period=FQ","BEST_FPERIOD_OVERRIDE=FQ","FILING_STATUS=OR","EQY_CONSOLIDATED=Y","Sort=A","Dates=H","DateFormat=P","Fill=—","Direction=H","UseDPDF=Y")</f>
        <v>#NAME?</v>
      </c>
      <c r="AH465" s="1" t="e">
        <f ca="1">_xll.BDH($C$453,"TOTAL_DEBT_1_YEAR_GROWTH","FQ2 2016","FQ2 2016","Currency=INR","Period=FQ","BEST_FPERIOD_OVERRIDE=FQ","FILING_STATUS=OR","EQY_CONSOLIDATED=Y","Sort=A","Dates=H","DateFormat=P","Fill=—","Direction=H","UseDPDF=Y")</f>
        <v>#NAME?</v>
      </c>
      <c r="AI465" s="1" t="e">
        <f ca="1">_xll.BDH($C$453,"TOTAL_EQUITY_1_YEAR_GROWTH","FQ2 2016","FQ2 2016","Currency=INR","Period=FQ","BEST_FPERIOD_OVERRIDE=FQ","FILING_STATUS=OR","EQY_CONSOLIDATED=Y","Sort=A","Dates=H","DateFormat=P","Fill=—","Direction=H","UseDPDF=Y")</f>
        <v>#NAME?</v>
      </c>
      <c r="AJ465" s="1" t="e">
        <f ca="1">_xll.BDH($C$453,"GROWTH_IN_CAP","FQ2 2016","FQ2 2016","Currency=INR","Period=FQ","BEST_FPERIOD_OVERRIDE=FQ","FILING_STATUS=OR","EQY_CONSOLIDATED=Y","Sort=A","Dates=H","DateFormat=P","Fill=—","Direction=H","UseDPDF=Y")</f>
        <v>#NAME?</v>
      </c>
      <c r="AK465" s="1" t="e">
        <f ca="1">_xll.BDH($C$453,"BVPS_GROWTH","FQ2 2016","FQ2 2016","Currency=INR","Period=FQ","BEST_FPERIOD_OVERRIDE=FQ","FILING_STATUS=OR","EQY_CONSOLIDATED=Y","Sort=A","Dates=H","DateFormat=P","Fill=—","Direction=H","UseDPDF=Y")</f>
        <v>#NAME?</v>
      </c>
      <c r="AL465" s="1" t="e">
        <f ca="1">_xll.BDH($C$453,"CASH_FLOW_GROWTH","FQ2 2016","FQ2 2016","Currency=INR","Period=FQ","BEST_FPERIOD_OVERRIDE=FQ","FILING_STATUS=OR","EQY_CONSOLIDATED=Y","Sort=A","Dates=H","DateFormat=P","Fill=—","Direction=H","UseDPDF=Y")</f>
        <v>#NAME?</v>
      </c>
      <c r="AM465" s="1" t="e">
        <f ca="1">_xll.BDH($C$453,"GEO_GROW_NET_SALES","FQ2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65" s="1" t="e">
        <f ca="1">_xll.BDH($C$453,"GEO_GROW_EBITDA","FQ2 2016","FQ2 2016","Currency=INR","Period=FQ","BEST_FPERIOD_OVERRIDE=FQ","FILING_STATUS=OR","EQY_CONSOLIDATED=Y","FA_ADJUSTED=GAAP","Sort=A","Dates=H","DateFormat=P","Fill=—","Direction=H","UseDPDF=Y")</f>
        <v>#NAME?</v>
      </c>
      <c r="AO465" s="1" t="e">
        <f ca="1">_xll.BDH($C$453,"GEO_GROW_OPER_INC","FQ2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65" s="1" t="e">
        <f ca="1">_xll.BDH($C$453,"NET_INCOME_TO_COMMON_5_YR_GROWTH","FQ2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65" s="1" t="e">
        <f ca="1">_xll.BDH($C$453,"5Y_GEO_GROWTH_DILUTED_EPS","FQ2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65" s="1" t="e">
        <f ca="1">_xll.BDH($C$453,"GEO_GROW_DVD_PER_SH","FQ2 2016","FQ2 2016","Currency=INR","Period=FQ","BEST_FPERIOD_OVERRIDE=FQ","FILING_STATUS=OR","EQY_CONSOLIDATED=Y","Sort=A","Dates=H","DateFormat=P","Fill=—","Direction=H","UseDPDF=Y")</f>
        <v>#NAME?</v>
      </c>
      <c r="AS465" s="1" t="e">
        <f ca="1">_xll.BDH($C$453,"ACCOUNTS_RECEIVABLE_5_YR_GROWTH","FQ2 2016","FQ2 2016","Currency=INR","Period=FQ","BEST_FPERIOD_OVERRIDE=FQ","FILING_STATUS=OR","EQY_CONSOLIDATED=Y","Sort=A","Dates=H","DateFormat=P","Fill=—","Direction=H","UseDPDF=Y")</f>
        <v>#NAME?</v>
      </c>
      <c r="AT465" s="1" t="e">
        <f ca="1">_xll.BDH($C$453,"INVENTORY_5_YEAR_GROWTH","FQ2 2016","FQ2 2016","Currency=INR","Period=FQ","BEST_FPERIOD_OVERRIDE=FQ","FILING_STATUS=OR","EQY_CONSOLIDATED=Y","Sort=A","Dates=H","DateFormat=P","Fill=—","Direction=H","UseDPDF=Y")</f>
        <v>#NAME?</v>
      </c>
      <c r="AU465" s="1" t="e">
        <f ca="1">_xll.BDH($C$453,"NET_FIXED_ASSETS_5_YEAR_GROWTH","FQ2 2016","FQ2 2016","Currency=INR","Period=FQ","BEST_FPERIOD_OVERRIDE=FQ","FILING_STATUS=OR","EQY_CONSOLIDATED=Y","Sort=A","Dates=H","DateFormat=P","Fill=—","Direction=H","UseDPDF=Y")</f>
        <v>#NAME?</v>
      </c>
      <c r="AV465" s="1" t="e">
        <f ca="1">_xll.BDH($C$453,"GEO_GROW_TOT_ASSET","FQ2 2016","FQ2 2016","Currency=INR","Period=FQ","BEST_FPERIOD_OVERRIDE=FQ","FILING_STATUS=OR","EQY_CONSOLIDATED=Y","Sort=A","Dates=H","DateFormat=P","Fill=—","Direction=H","UseDPDF=Y")</f>
        <v>#NAME?</v>
      </c>
      <c r="AW465" s="1" t="e">
        <f ca="1">_xll.BDH($C$453,"MODIFIED_WORKING_CPTL_5YR_GRWTH","FQ2 2016","FQ2 2016","Currency=INR","Period=FQ","BEST_FPERIOD_OVERRIDE=FQ","FILING_STATUS=OR","EQY_CONSOLIDATED=Y","Sort=A","Dates=H","DateFormat=P","Fill=—","Direction=H","UseDPDF=Y")</f>
        <v>#NAME?</v>
      </c>
      <c r="AX465" s="1" t="e">
        <f ca="1">_xll.BDH($C$453,"WORKING_CAPITAL_5_YEAR_GROWTH","FQ2 2016","FQ2 2016","Currency=INR","Period=FQ","BEST_FPERIOD_OVERRIDE=FQ","FILING_STATUS=OR","EQY_CONSOLIDATED=Y","Sort=A","Dates=H","DateFormat=P","Fill=—","Direction=H","UseDPDF=Y")</f>
        <v>#NAME?</v>
      </c>
      <c r="AY465" s="1" t="e">
        <f ca="1">_xll.BDH($C$453,"ACCOUNTS_PAYABLE_5_YEAR_GROWTH","FQ2 2016","FQ2 2016","Currency=INR","Period=FQ","BEST_FPERIOD_OVERRIDE=FQ","FILING_STATUS=OR","EQY_CONSOLIDATED=Y","Sort=A","Dates=H","DateFormat=P","Fill=—","Direction=H","UseDPDF=Y")</f>
        <v>#NAME?</v>
      </c>
      <c r="AZ465" s="1" t="e">
        <f ca="1">_xll.BDH($C$453,"SHORT_TERM_DEBT_5_YEAR_GROWTH","FQ2 2016","FQ2 2016","Currency=INR","Period=FQ","BEST_FPERIOD_OVERRIDE=FQ","FILING_STATUS=OR","EQY_CONSOLIDATED=Y","Sort=A","Dates=H","DateFormat=P","Fill=—","Direction=H","UseDPDF=Y")</f>
        <v>#NAME?</v>
      </c>
      <c r="BA465" s="1" t="e">
        <f ca="1">_xll.BDH($C$453,"TOTAL_DEBT_5_YEAR_GROWTH","FQ2 2016","FQ2 2016","Currency=INR","Period=FQ","BEST_FPERIOD_OVERRIDE=FQ","FILING_STATUS=OR","EQY_CONSOLIDATED=Y","Sort=A","Dates=H","DateFormat=P","Fill=—","Direction=H","UseDPDF=Y")</f>
        <v>#NAME?</v>
      </c>
      <c r="BB465" s="1" t="e">
        <f ca="1">_xll.BDH($C$453,"GEO_GROW_TOT_SHRHLDR_EQY","FQ2 2016","FQ2 2016","Currency=INR","Period=FQ","BEST_FPERIOD_OVERRIDE=FQ","FILING_STATUS=OR","EQY_CONSOLIDATED=Y","Sort=A","Dates=H","DateFormat=P","Fill=—","Direction=H","UseDPDF=Y")</f>
        <v>#NAME?</v>
      </c>
      <c r="BC465" s="1" t="e">
        <f ca="1">_xll.BDH($C$453,"TOTAL_CAPITAL_5_YEAR_GROWTH","FQ2 2016","FQ2 2016","Currency=INR","Period=FQ","BEST_FPERIOD_OVERRIDE=FQ","FILING_STATUS=OR","EQY_CONSOLIDATED=Y","Sort=A","Dates=H","DateFormat=P","Fill=—","Direction=H","UseDPDF=Y")</f>
        <v>#NAME?</v>
      </c>
      <c r="BD465" s="1" t="e">
        <f ca="1">_xll.BDH($C$453,"GEO_GROW_BOOK_VAL","FQ2 2016","FQ2 2016","Currency=INR","Period=FQ","BEST_FPERIOD_OVERRIDE=FQ","FILING_STATUS=OR","EQY_CONSOLIDATED=Y","Sort=A","Dates=H","DateFormat=P","Fill=—","Direction=H","UseDPDF=Y")</f>
        <v>#NAME?</v>
      </c>
      <c r="BE465" s="1" t="e">
        <f ca="1">_xll.BDH($C$453,"GEO_GROW_CASH_OPER_ACT","FQ2 2016","FQ2 2016","Currency=INR","Period=FQ","BEST_FPERIOD_OVERRIDE=FQ","FILING_STATUS=OR","EQY_CONSOLIDATED=Y","Sort=A","Dates=H","DateFormat=P","Fill=—","Direction=H","UseDPDF=Y")</f>
        <v>#NAME?</v>
      </c>
      <c r="BF465" s="1" t="e">
        <f ca="1">_xll.BDH($C$453,"REVENUE_SEQUENTIAL_GROWTH","FQ2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65" s="1" t="e">
        <f ca="1">_xll.BDH($C$453,"EBITDA_SEQUENTIAL_GROWTH","FQ2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65" s="1" t="e">
        <f ca="1">_xll.BDH($C$453,"OPERATING_INCOME_SEQ_GROWTH","FQ2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65" s="1" t="e">
        <f ca="1">_xll.BDH($C$453,"NET_INCOME_TO_COMMON_SEQ_GROWTH","FQ2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65" s="1" t="e">
        <f ca="1">_xll.BDH($C$453,"EPS_DILUTED_SEQUENTIAL_GROWTH","FQ2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65" s="1" t="e">
        <f ca="1">_xll.BDH($C$453,"DPS_SEQUENTIAL_GROWTH","FQ2 2016","FQ2 2016","Currency=INR","Period=FQ","BEST_FPERIOD_OVERRIDE=FQ","FILING_STATUS=OR","EQY_CONSOLIDATED=Y","Sort=A","Dates=H","DateFormat=P","Fill=—","Direction=H","UseDPDF=Y")</f>
        <v>#NAME?</v>
      </c>
      <c r="BL465" s="1" t="e">
        <f ca="1">_xll.BDH($C$453,"ACCOUNTS_RECEIVABLE_SEQ_GROWTH","FQ2 2016","FQ2 2016","Currency=INR","Period=FQ","BEST_FPERIOD_OVERRIDE=FQ","FILING_STATUS=OR","EQY_CONSOLIDATED=Y","Sort=A","Dates=H","DateFormat=P","Fill=—","Direction=H","UseDPDF=Y")</f>
        <v>#NAME?</v>
      </c>
      <c r="BM465" s="1" t="e">
        <f ca="1">_xll.BDH($C$453,"INVENTORY_SEQUENTIAL_GROWTH","FQ2 2016","FQ2 2016","Currency=INR","Period=FQ","BEST_FPERIOD_OVERRIDE=FQ","FILING_STATUS=OR","EQY_CONSOLIDATED=Y","Sort=A","Dates=H","DateFormat=P","Fill=—","Direction=H","UseDPDF=Y")</f>
        <v>#NAME?</v>
      </c>
      <c r="BN465" s="1" t="e">
        <f ca="1">_xll.BDH($C$453,"FIXED_ASSETS_SEQUENTIAL_GROWTH","FQ2 2016","FQ2 2016","Currency=INR","Period=FQ","BEST_FPERIOD_OVERRIDE=FQ","FILING_STATUS=OR","EQY_CONSOLIDATED=Y","Sort=A","Dates=H","DateFormat=P","Fill=—","Direction=H","UseDPDF=Y")</f>
        <v>#NAME?</v>
      </c>
      <c r="BO465" s="1" t="e">
        <f ca="1">_xll.BDH($C$453,"TOTAL_ASSETS_SEQUENTIAL_GROWTH","FQ2 2016","FQ2 2016","Currency=INR","Period=FQ","BEST_FPERIOD_OVERRIDE=FQ","FILING_STATUS=OR","EQY_CONSOLIDATED=Y","Sort=A","Dates=H","DateFormat=P","Fill=—","Direction=H","UseDPDF=Y")</f>
        <v>#NAME?</v>
      </c>
      <c r="BP465" s="1" t="e">
        <f ca="1">_xll.BDH($C$453,"MODIFIED_WORKING_CPTL_SEQ_GRWTH","FQ2 2016","FQ2 2016","Currency=INR","Period=FQ","BEST_FPERIOD_OVERRIDE=FQ","FILING_STATUS=OR","EQY_CONSOLIDATED=Y","Sort=A","Dates=H","DateFormat=P","Fill=—","Direction=H","UseDPDF=Y")</f>
        <v>#NAME?</v>
      </c>
      <c r="BQ465" s="1" t="e">
        <f ca="1">_xll.BDH($C$453,"WORKING_CAPITAL_SEQ_GROWTH","FQ2 2016","FQ2 2016","Currency=INR","Period=FQ","BEST_FPERIOD_OVERRIDE=FQ","FILING_STATUS=OR","EQY_CONSOLIDATED=Y","Sort=A","Dates=H","DateFormat=P","Fill=—","Direction=H","UseDPDF=Y")</f>
        <v>#NAME?</v>
      </c>
      <c r="BR465" s="1" t="e">
        <f ca="1">_xll.BDH($C$453,"ACCOUNTS_PAYABLE_SEQ_GROWTH","FQ2 2016","FQ2 2016","Currency=INR","Period=FQ","BEST_FPERIOD_OVERRIDE=FQ","FILING_STATUS=OR","EQY_CONSOLIDATED=Y","Sort=A","Dates=H","DateFormat=P","Fill=—","Direction=H","UseDPDF=Y")</f>
        <v>#NAME?</v>
      </c>
      <c r="BS465" s="1" t="e">
        <f ca="1">_xll.BDH($C$453,"ST_DEBT_SEQUENTIAL_GROWTH","FQ2 2016","FQ2 2016","Currency=INR","Period=FQ","BEST_FPERIOD_OVERRIDE=FQ","FILING_STATUS=OR","EQY_CONSOLIDATED=Y","Sort=A","Dates=H","DateFormat=P","Fill=—","Direction=H","UseDPDF=Y")</f>
        <v>#NAME?</v>
      </c>
      <c r="BT465" s="1" t="e">
        <f ca="1">_xll.BDH($C$453,"TOTAL_DEBT_SEQUENTIAL_GROWTH","FQ2 2016","FQ2 2016","Currency=INR","Period=FQ","BEST_FPERIOD_OVERRIDE=FQ","FILING_STATUS=OR","EQY_CONSOLIDATED=Y","Sort=A","Dates=H","DateFormat=P","Fill=—","Direction=H","UseDPDF=Y")</f>
        <v>#NAME?</v>
      </c>
      <c r="BU465" s="1" t="e">
        <f ca="1">_xll.BDH($C$453,"TOTAL_EQUITY_SEQUENTIAL_GROWTH","FQ2 2016","FQ2 2016","Currency=INR","Period=FQ","BEST_FPERIOD_OVERRIDE=FQ","FILING_STATUS=OR","EQY_CONSOLIDATED=Y","Sort=A","Dates=H","DateFormat=P","Fill=—","Direction=H","UseDPDF=Y")</f>
        <v>#NAME?</v>
      </c>
      <c r="BV465" s="1" t="e">
        <f ca="1">_xll.BDH($C$453,"TOTAL_CAPITAL_SEQUENTIAL_GROWTH","FQ2 2016","FQ2 2016","Currency=INR","Period=FQ","BEST_FPERIOD_OVERRIDE=FQ","FILING_STATUS=OR","EQY_CONSOLIDATED=Y","Sort=A","Dates=H","DateFormat=P","Fill=—","Direction=H","UseDPDF=Y")</f>
        <v>#NAME?</v>
      </c>
      <c r="BW465" s="1" t="e">
        <f ca="1">_xll.BDH($C$453,"BPS_SEQUENTIAL_GROWTH","FQ2 2016","FQ2 2016","Currency=INR","Period=FQ","BEST_FPERIOD_OVERRIDE=FQ","FILING_STATUS=OR","EQY_CONSOLIDATED=Y","Sort=A","Dates=H","DateFormat=P","Fill=—","Direction=H","UseDPDF=Y")</f>
        <v>#NAME?</v>
      </c>
      <c r="BX465" s="1" t="e">
        <f ca="1">_xll.BDH($C$453,"CFO_SEQUENTIAL_GROWTH","FQ2 2016","FQ2 2016","Currency=INR","Period=FQ","BEST_FPERIOD_OVERRIDE=FQ","FILING_STATUS=OR","EQY_CONSOLIDATED=Y","Sort=A","Dates=H","DateFormat=P","Fill=—","Direction=H","UseDPDF=Y")</f>
        <v>#NAME?</v>
      </c>
      <c r="BY465" s="2" t="e">
        <f ca="1">_xll.BDH($C$453,"SHORT_AND_LONG_TERM_DEBT","FQ2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65" s="2" t="e">
        <f ca="1">_xll.BDH($C$453,"BS_ST_BORROW","FQ2 2016","FQ2 2016","Currency=INR","Period=FQ","BEST_FPERIOD_OVERRIDE=FQ","FILING_STATUS=OR","EQY_CONSOLIDATED=Y","SCALING_FORMAT=MLN","Sort=A","Dates=H","DateFormat=P","Fill=—","Direction=H","UseDPDF=Y")</f>
        <v>#NAME?</v>
      </c>
      <c r="CA465" s="2" t="e">
        <f ca="1">_xll.BDH($C$453,"BS_LT_BORROW","FQ2 2016","FQ2 2016","Currency=INR","Period=FQ","BEST_FPERIOD_OVERRIDE=FQ","FILING_STATUS=OR","EQY_CONSOLIDATED=Y","SCALING_FORMAT=MLN","Sort=A","Dates=H","DateFormat=P","Fill=—","Direction=H","UseDPDF=Y")</f>
        <v>#NAME?</v>
      </c>
      <c r="CB465" s="1" t="e">
        <f ca="1">_xll.BDH($C$453,"TOT_DEBT_TO_EBITDA","FQ2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65" s="1" t="e">
        <f ca="1">_xll.BDH($C$453,"NET_DEBT_TO_EBITDA","FQ2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65" s="1" t="e">
        <f ca="1">_xll.BDH($C$453,"TOTAL_DEBT_TO_EBIT","FQ2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65" s="1" t="e">
        <f ca="1">_xll.BDH($C$453,"NET_DEBT_TO_EBIT","FQ2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465" s="1" t="e">
        <f ca="1">_xll.BDH($C$453,"EBITDA_TO_INTEREST_EXPN","FQ2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65" s="1" t="e">
        <f ca="1">_xll.BDH($C$453,"COM_EQY_TO_TOT_ASSET","FQ2 2016","FQ2 2016","Currency=INR","Period=FQ","BEST_FPERIOD_OVERRIDE=FQ","FILING_STATUS=OR","EQY_CONSOLIDATED=Y","Sort=A","Dates=H","DateFormat=P","Fill=—","Direction=H","UseDPDF=Y")</f>
        <v>#NAME?</v>
      </c>
      <c r="CH465" s="1" t="e">
        <f ca="1">_xll.BDH($C$453,"LT_DEBT_TO_TOT_EQY","FQ2 2016","FQ2 2016","Currency=INR","Period=FQ","BEST_FPERIOD_OVERRIDE=FQ","FILING_STATUS=OR","EQY_CONSOLIDATED=Y","Sort=A","Dates=H","DateFormat=P","Fill=—","Direction=H","UseDPDF=Y")</f>
        <v>#NAME?</v>
      </c>
      <c r="CI465" s="1" t="e">
        <f ca="1">_xll.BDH($C$453,"LT_DEBT_TO_TOT_CAP","FQ2 2016","FQ2 2016","Currency=INR","Period=FQ","BEST_FPERIOD_OVERRIDE=FQ","FILING_STATUS=OR","EQY_CONSOLIDATED=Y","Sort=A","Dates=H","DateFormat=P","Fill=—","Direction=H","UseDPDF=Y")</f>
        <v>#NAME?</v>
      </c>
      <c r="CJ465" s="1" t="e">
        <f ca="1">_xll.BDH($C$453,"LT_DEBT_TO_TOT_ASSET","FQ2 2016","FQ2 2016","Currency=INR","Period=FQ","BEST_FPERIOD_OVERRIDE=FQ","FILING_STATUS=OR","EQY_CONSOLIDATED=Y","Sort=A","Dates=H","DateFormat=P","Fill=—","Direction=H","UseDPDF=Y")</f>
        <v>#NAME?</v>
      </c>
      <c r="CK465" s="1" t="e">
        <f ca="1">_xll.BDH($C$453,"TOT_DEBT_TO_TOT_EQY","FQ2 2016","FQ2 2016","Currency=INR","Period=FQ","BEST_FPERIOD_OVERRIDE=FQ","FILING_STATUS=OR","EQY_CONSOLIDATED=Y","Sort=A","Dates=H","DateFormat=P","Fill=—","Direction=H","UseDPDF=Y")</f>
        <v>#NAME?</v>
      </c>
      <c r="CL465" s="1" t="e">
        <f ca="1">_xll.BDH($C$453,"TOT_DEBT_TO_TOT_CAP","FQ2 2016","FQ2 2016","Currency=INR","Period=FQ","BEST_FPERIOD_OVERRIDE=FQ","FILING_STATUS=OR","EQY_CONSOLIDATED=Y","Sort=A","Dates=H","DateFormat=P","Fill=—","Direction=H","UseDPDF=Y")</f>
        <v>#NAME?</v>
      </c>
      <c r="CM465" s="1" t="e">
        <f ca="1">_xll.BDH($C$453,"TOT_DEBT_TO_TOT_ASSET","FQ2 2016","FQ2 2016","Currency=INR","Period=FQ","BEST_FPERIOD_OVERRIDE=FQ","FILING_STATUS=OR","EQY_CONSOLIDATED=Y","Sort=A","Dates=H","DateFormat=P","Fill=—","Direction=H","UseDPDF=Y")</f>
        <v>#NAME?</v>
      </c>
      <c r="CN465" s="1" t="e">
        <f ca="1">_xll.BDH($C$453,"NET_DEBT_TO_SHRHLDR_EQTY","FQ2 2016","FQ2 2016","Currency=INR","Period=FQ","BEST_FPERIOD_OVERRIDE=FQ","FILING_STATUS=OR","EQY_CONSOLIDATED=Y","Sort=A","Dates=H","DateFormat=P","Fill=—","Direction=H","UseDPDF=Y")</f>
        <v>#NAME?</v>
      </c>
      <c r="CO465" s="1" t="e">
        <f ca="1">_xll.BDH($C$453,"NET_DEBT_%_CAPITAL","FQ2 2016","FQ2 2016","Currency=INR","Period=FQ","BEST_FPERIOD_OVERRIDE=FQ","FILING_STATUS=OR","EQY_CONSOLIDATED=Y","Sort=A","Dates=H","DateFormat=P","Fill=—","Direction=H","UseDPDF=Y")</f>
        <v>#NAME?</v>
      </c>
      <c r="CP465" s="2" t="e">
        <f ca="1">_xll.BDH($C$453,"EBITDA","FQ2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65" s="2" t="e">
        <f ca="1">_xll.BDH($C$453,"EBITDA_AFTER_CAPEX","FQ2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65" s="2" t="e">
        <f ca="1">_xll.BDH($C$453,"IS_OPER_INC","FQ2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65" s="1" t="e">
        <f ca="1">_xll.BDH($C$453,"CASH_RATIO","FQ2 2016","FQ2 2016","Currency=INR","Period=FQ","BEST_FPERIOD_OVERRIDE=FQ","FILING_STATUS=OR","EQY_CONSOLIDATED=Y","Sort=A","Dates=H","DateFormat=P","Fill=—","Direction=H","UseDPDF=Y")</f>
        <v>#NAME?</v>
      </c>
      <c r="CT465" s="1" t="e">
        <f ca="1">_xll.BDH($C$453,"CUR_RATIO","FQ2 2016","FQ2 2016","Currency=INR","Period=FQ","BEST_FPERIOD_OVERRIDE=FQ","FILING_STATUS=OR","EQY_CONSOLIDATED=Y","Sort=A","Dates=H","DateFormat=P","Fill=—","Direction=H","UseDPDF=Y")</f>
        <v>#NAME?</v>
      </c>
      <c r="CU465" s="1" t="e">
        <f ca="1">_xll.BDH($C$453,"QUICK_RATIO","FQ2 2016","FQ2 2016","Currency=INR","Period=FQ","BEST_FPERIOD_OVERRIDE=FQ","FILING_STATUS=OR","EQY_CONSOLIDATED=Y","Sort=A","Dates=H","DateFormat=P","Fill=—","Direction=H","UseDPDF=Y")</f>
        <v>#NAME?</v>
      </c>
      <c r="CV465" s="1" t="e">
        <f ca="1">_xll.BDH($C$453,"ALTMAN_Z_SCORE","FQ2 2016","FQ2 2016","Currency=INR","Period=FQ","BEST_FPERIOD_OVERRIDE=FQ","FILING_STATUS=OR","EQY_CONSOLIDATED=Y","Sort=A","Dates=H","DateFormat=P","Fill=—","Direction=H","UseDPDF=Y")</f>
        <v>#NAME?</v>
      </c>
      <c r="CW465" s="3" t="e">
        <f ca="1">_xll.BDH($C$453,"ACCT_RCV_TURN","FQ2 2016","FQ2 2016","Currency=INR","Period=FQ","BEST_FPERIOD_OVERRIDE=FQ","FILING_STATUS=OR","EQY_CONSOLIDATED=Y","FA_ADJUSTED=GAAP","Sort=A","Dates=H","DateFormat=P","Fill=—","Direction=H","UseDPDF=Y")</f>
        <v>#NAME?</v>
      </c>
      <c r="CX465" s="1" t="e">
        <f ca="1">_xll.BDH($C$453,"ACCT_RCV_DAYS","FQ2 2016","FQ2 2016","Currency=INR","Period=FQ","BEST_FPERIOD_OVERRIDE=FQ","FILING_STATUS=OR","EQY_CONSOLIDATED=Y","FA_ADJUSTED=GAAP","Sort=A","Dates=H","DateFormat=P","Fill=—","Direction=H","UseDPDF=Y")</f>
        <v>#NAME?</v>
      </c>
      <c r="CY465" s="3" t="e">
        <f ca="1">_xll.BDH($C$453,"INVENT_TURN","FQ2 2016","FQ2 2016","Currency=INR","Period=FQ","BEST_FPERIOD_OVERRIDE=FQ","FILING_STATUS=OR","EQY_CONSOLIDATED=Y","FA_ADJUSTED=GAAP","Sort=A","Dates=H","DateFormat=P","Fill=—","Direction=H","UseDPDF=Y")</f>
        <v>#NAME?</v>
      </c>
      <c r="CZ465" s="1" t="e">
        <f ca="1">_xll.BDH($C$453,"INVENT_DAYS","FQ2 2016","FQ2 2016","Currency=INR","Period=FQ","BEST_FPERIOD_OVERRIDE=FQ","FILING_STATUS=OR","EQY_CONSOLIDATED=Y","FA_ADJUSTED=GAAP","Sort=A","Dates=H","DateFormat=P","Fill=—","Direction=H","UseDPDF=Y")</f>
        <v>#NAME?</v>
      </c>
      <c r="DA465" s="3" t="e">
        <f ca="1">_xll.BDH($C$453,"ACCOUNTS_PAYABLE_TURNOVER","FQ2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65" s="1" t="e">
        <f ca="1">_xll.BDH($C$453,"ACCOUNTS_PAYABLE_TURNOVER_DAYS","FQ2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65" s="3" t="e">
        <f ca="1">_xll.BDH($C$453,"CASH_CONVERSION_CYCLE","FQ2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65" s="3" t="e">
        <f ca="1">_xll.BDH($C$453,"INV_TO_CASH_DAYS","FQ2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465" s="4" t="e">
        <f ca="1">_xll.BDH($C$453,"BS_INVENTORIES","FQ2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465" s="2" t="e">
        <f ca="1">_xll.BDH($C$453,"INVTRY_RAW_MATERIALS","FQ2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65" s="2" t="e">
        <f ca="1">_xll.BDH($C$453,"INVTRY_IN_PROGRESS","FQ2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65" s="2" t="e">
        <f ca="1">_xll.BDH($C$453,"INVTRY_FINISHED_GOODS","FQ2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65" s="2" t="e">
        <f ca="1">_xll.BDH($C$453,"BS_OTHER_INV","FQ2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66" spans="1:113" x14ac:dyDescent="0.3">
      <c r="A466" s="6"/>
      <c r="B466" s="6"/>
      <c r="C466" s="6"/>
      <c r="D466" s="6"/>
      <c r="E466" t="s">
        <v>6</v>
      </c>
      <c r="F466" t="e">
        <f ca="1">_xll.BDH($C$453,"RETURN_COM_EQY","FQ3 2016","FQ3 2016","Currency=INR","Period=FQ","BEST_FPERIOD_OVERRIDE=FQ","FILING_STATUS=OR","EQY_CONSOLIDATED=Y","FA_ADJUSTED=GAAP","Sort=A","Dates=H","DateFormat=P","Fill=—","Direction=H","UseDPDF=Y")</f>
        <v>#NAME?</v>
      </c>
      <c r="G466" t="e">
        <f ca="1">_xll.BDH($C$453,"RETURN_ON_ASSET","FQ3 2016","FQ3 2016","Currency=INR","Period=FQ","BEST_FPERIOD_OVERRIDE=FQ","FILING_STATUS=OR","EQY_CONSOLIDATED=Y","FA_ADJUSTED=GAAP","Sort=A","Dates=H","DateFormat=P","Fill=—","Direction=H","UseDPDF=Y")</f>
        <v>#NAME?</v>
      </c>
      <c r="H466" t="e">
        <f ca="1">_xll.BDH($C$453,"RETURN_ON_CAP","FQ3 2016","FQ3 2016","Currency=INR","Period=FQ","BEST_FPERIOD_OVERRIDE=FQ","FILING_STATUS=OR","EQY_CONSOLIDATED=Y","FA_ADJUSTED=GAAP","Sort=A","Dates=H","DateFormat=P","Fill=—","Direction=H","UseDPDF=Y")</f>
        <v>#NAME?</v>
      </c>
      <c r="I466" t="e">
        <f ca="1">_xll.BDH($C$453,"RETURN_ON_INV_CAPITAL","FQ3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66" t="e">
        <f ca="1">_xll.BDH($C$453,"EBITDA_TO_REVENUE","FQ3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466" t="e">
        <f ca="1">_xll.BDH($C$453,"OPER_MARGIN","FQ3 2016","FQ3 2016","Currency=INR","Period=FQ","BEST_FPERIOD_OVERRIDE=FQ","FILING_STATUS=OR","EQY_CONSOLIDATED=Y","FA_ADJUSTED=GAAP","Sort=A","Dates=H","DateFormat=P","Fill=—","Direction=H","UseDPDF=Y")</f>
        <v>#NAME?</v>
      </c>
      <c r="L466" t="e">
        <f ca="1">_xll.BDH($C$453,"INCREMENTAL_OPERATING_MARGIN","FQ3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66" t="e">
        <f ca="1">_xll.BDH($C$453,"PRETAX_INC_TO_NET_SALES","FQ3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66" t="e">
        <f ca="1">_xll.BDH($C$453,"INC_BEF_XO_ITEMS_TO_NET_SALES","FQ3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66" t="e">
        <f ca="1">_xll.BDH($C$453,"PROF_MARGIN","FQ3 2016","FQ3 2016","Currency=INR","Period=FQ","BEST_FPERIOD_OVERRIDE=FQ","FILING_STATUS=OR","EQY_CONSOLIDATED=Y","FA_ADJUSTED=GAAP","Sort=A","Dates=H","DateFormat=P","Fill=—","Direction=H","UseDPDF=Y")</f>
        <v>#NAME?</v>
      </c>
      <c r="P466" t="e">
        <f ca="1">_xll.BDH($C$453,"NET_INCOME_TO_COMMON_MARGIN","FQ3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66" t="e">
        <f ca="1">_xll.BDH($C$453,"EFF_TAX_RATE","FQ3 2016","FQ3 2016","Currency=INR","Period=FQ","BEST_FPERIOD_OVERRIDE=FQ","FILING_STATUS=OR","EQY_CONSOLIDATED=Y","FA_ADJUSTED=GAAP","Sort=A","Dates=H","DateFormat=P","Fill=—","Direction=H","UseDPDF=Y")</f>
        <v>#NAME?</v>
      </c>
      <c r="R466" t="e">
        <f ca="1">_xll.BDH($C$453,"DVD_PAYOUT_RATIO","FQ3 2016","FQ3 2016","Currency=INR","Period=FQ","BEST_FPERIOD_OVERRIDE=FQ","FILING_STATUS=OR","EQY_CONSOLIDATED=Y","FA_ADJUSTED=GAAP","Sort=A","Dates=H","DateFormat=P","Fill=—","Direction=H","UseDPDF=Y")</f>
        <v>#NAME?</v>
      </c>
      <c r="S466" t="e">
        <f ca="1">_xll.BDH($C$453,"SUSTAIN_GROWTH_RT","FQ3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466" s="1" t="e">
        <f ca="1">_xll.BDH($C$453,"SALES_GROWTH","FQ3 2016","FQ3 2016","Currency=INR","Period=FQ","BEST_FPERIOD_OVERRIDE=FQ","FILING_STATUS=OR","EQY_CONSOLIDATED=Y","FA_ADJUSTED=GAAP","Sort=A","Dates=H","DateFormat=P","Fill=—","Direction=H","UseDPDF=Y")</f>
        <v>#NAME?</v>
      </c>
      <c r="U466" s="1" t="e">
        <f ca="1">_xll.BDH($C$453,"EBITDA_GROWTH","FQ3 2016","FQ3 2016","Currency=INR","Period=FQ","BEST_FPERIOD_OVERRIDE=FQ","FILING_STATUS=OR","EQY_CONSOLIDATED=Y","FA_ADJUSTED=GAAP","Sort=A","Dates=H","DateFormat=P","Fill=—","Direction=H","UseDPDF=Y")</f>
        <v>#NAME?</v>
      </c>
      <c r="V466" s="1" t="e">
        <f ca="1">_xll.BDH($C$453,"OPER_INC_GROWTH","FQ3 2016","FQ3 2016","Currency=INR","Period=FQ","BEST_FPERIOD_OVERRIDE=FQ","FILING_STATUS=OR","EQY_CONSOLIDATED=Y","FA_ADJUSTED=GAAP","Sort=A","Dates=H","DateFormat=P","Fill=—","Direction=H","UseDPDF=Y")</f>
        <v>#NAME?</v>
      </c>
      <c r="W466" s="1" t="e">
        <f ca="1">_xll.BDH($C$453,"EARN_FOR_COM_GROWTH","FQ3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66" s="1" t="e">
        <f ca="1">_xll.BDH($C$453,"DILUTED_EPS_AFT_XO_ITEMS_GROWTH","FQ3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66" s="1" t="e">
        <f ca="1">_xll.BDH($C$453,"DIVIDEND_PER_SHARE_1_YEAR_GROWTH","FQ3 2016","FQ3 2016","Currency=INR","Period=FQ","BEST_FPERIOD_OVERRIDE=FQ","FILING_STATUS=OR","EQY_CONSOLIDATED=Y","Sort=A","Dates=H","DateFormat=P","Fill=—","Direction=H","UseDPDF=Y")</f>
        <v>#NAME?</v>
      </c>
      <c r="Z466" s="1" t="e">
        <f ca="1">_xll.BDH($C$453,"ACCOUNTS_RECEIVABLE_GROWTH","FQ3 2016","FQ3 2016","Currency=INR","Period=FQ","BEST_FPERIOD_OVERRIDE=FQ","FILING_STATUS=OR","EQY_CONSOLIDATED=Y","Sort=A","Dates=H","DateFormat=P","Fill=—","Direction=H","UseDPDF=Y")</f>
        <v>#NAME?</v>
      </c>
      <c r="AA466" s="1" t="e">
        <f ca="1">_xll.BDH($C$453,"INVENTORY_GROWTH","FQ3 2016","FQ3 2016","Currency=INR","Period=FQ","BEST_FPERIOD_OVERRIDE=FQ","FILING_STATUS=OR","EQY_CONSOLIDATED=Y","Sort=A","Dates=H","DateFormat=P","Fill=—","Direction=H","UseDPDF=Y")</f>
        <v>#NAME?</v>
      </c>
      <c r="AB466" s="1" t="e">
        <f ca="1">_xll.BDH($C$453,"NET_FIXED_ASSETS_1_YEAR_GROWTH","FQ3 2016","FQ3 2016","Currency=INR","Period=FQ","BEST_FPERIOD_OVERRIDE=FQ","FILING_STATUS=OR","EQY_CONSOLIDATED=Y","Sort=A","Dates=H","DateFormat=P","Fill=—","Direction=H","UseDPDF=Y")</f>
        <v>#NAME?</v>
      </c>
      <c r="AC466" s="1" t="e">
        <f ca="1">_xll.BDH($C$453,"ASSET_GROWTH","FQ3 2016","FQ3 2016","Currency=INR","Period=FQ","BEST_FPERIOD_OVERRIDE=FQ","FILING_STATUS=OR","EQY_CONSOLIDATED=Y","Sort=A","Dates=H","DateFormat=P","Fill=—","Direction=H","UseDPDF=Y")</f>
        <v>#NAME?</v>
      </c>
      <c r="AD466" s="1" t="e">
        <f ca="1">_xll.BDH($C$453,"MODIFIED_WORK_CAP_GROWTH","FQ3 2016","FQ3 2016","Currency=INR","Period=FQ","BEST_FPERIOD_OVERRIDE=FQ","FILING_STATUS=OR","EQY_CONSOLIDATED=Y","Sort=A","Dates=H","DateFormat=P","Fill=—","Direction=H","UseDPDF=Y")</f>
        <v>#NAME?</v>
      </c>
      <c r="AE466" s="1" t="e">
        <f ca="1">_xll.BDH($C$453,"WORK_CAP_GROWTH","FQ3 2016","FQ3 2016","Currency=INR","Period=FQ","BEST_FPERIOD_OVERRIDE=FQ","FILING_STATUS=OR","EQY_CONSOLIDATED=Y","Sort=A","Dates=H","DateFormat=P","Fill=—","Direction=H","UseDPDF=Y")</f>
        <v>#NAME?</v>
      </c>
      <c r="AF466" s="1" t="e">
        <f ca="1">_xll.BDH($C$453,"ACCOUNTS_PAYABLE_GROWTH_1YR","FQ3 2016","FQ3 2016","Currency=INR","Period=FQ","BEST_FPERIOD_OVERRIDE=FQ","FILING_STATUS=OR","EQY_CONSOLIDATED=Y","Sort=A","Dates=H","DateFormat=P","Fill=—","Direction=H","UseDPDF=Y")</f>
        <v>#NAME?</v>
      </c>
      <c r="AG466" s="1" t="e">
        <f ca="1">_xll.BDH($C$453,"SHORT_TERM_DEBT_1_YEAR_GROWTH","FQ3 2016","FQ3 2016","Currency=INR","Period=FQ","BEST_FPERIOD_OVERRIDE=FQ","FILING_STATUS=OR","EQY_CONSOLIDATED=Y","Sort=A","Dates=H","DateFormat=P","Fill=—","Direction=H","UseDPDF=Y")</f>
        <v>#NAME?</v>
      </c>
      <c r="AH466" s="1" t="e">
        <f ca="1">_xll.BDH($C$453,"TOTAL_DEBT_1_YEAR_GROWTH","FQ3 2016","FQ3 2016","Currency=INR","Period=FQ","BEST_FPERIOD_OVERRIDE=FQ","FILING_STATUS=OR","EQY_CONSOLIDATED=Y","Sort=A","Dates=H","DateFormat=P","Fill=—","Direction=H","UseDPDF=Y")</f>
        <v>#NAME?</v>
      </c>
      <c r="AI466" s="1" t="e">
        <f ca="1">_xll.BDH($C$453,"TOTAL_EQUITY_1_YEAR_GROWTH","FQ3 2016","FQ3 2016","Currency=INR","Period=FQ","BEST_FPERIOD_OVERRIDE=FQ","FILING_STATUS=OR","EQY_CONSOLIDATED=Y","Sort=A","Dates=H","DateFormat=P","Fill=—","Direction=H","UseDPDF=Y")</f>
        <v>#NAME?</v>
      </c>
      <c r="AJ466" s="1" t="e">
        <f ca="1">_xll.BDH($C$453,"GROWTH_IN_CAP","FQ3 2016","FQ3 2016","Currency=INR","Period=FQ","BEST_FPERIOD_OVERRIDE=FQ","FILING_STATUS=OR","EQY_CONSOLIDATED=Y","Sort=A","Dates=H","DateFormat=P","Fill=—","Direction=H","UseDPDF=Y")</f>
        <v>#NAME?</v>
      </c>
      <c r="AK466" s="1" t="e">
        <f ca="1">_xll.BDH($C$453,"BVPS_GROWTH","FQ3 2016","FQ3 2016","Currency=INR","Period=FQ","BEST_FPERIOD_OVERRIDE=FQ","FILING_STATUS=OR","EQY_CONSOLIDATED=Y","Sort=A","Dates=H","DateFormat=P","Fill=—","Direction=H","UseDPDF=Y")</f>
        <v>#NAME?</v>
      </c>
      <c r="AL466" s="1" t="e">
        <f ca="1">_xll.BDH($C$453,"CASH_FLOW_GROWTH","FQ3 2016","FQ3 2016","Currency=INR","Period=FQ","BEST_FPERIOD_OVERRIDE=FQ","FILING_STATUS=OR","EQY_CONSOLIDATED=Y","Sort=A","Dates=H","DateFormat=P","Fill=—","Direction=H","UseDPDF=Y")</f>
        <v>#NAME?</v>
      </c>
      <c r="AM466" s="1" t="e">
        <f ca="1">_xll.BDH($C$453,"GEO_GROW_NET_SALES","FQ3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66" s="1" t="e">
        <f ca="1">_xll.BDH($C$453,"GEO_GROW_EBITDA","FQ3 2016","FQ3 2016","Currency=INR","Period=FQ","BEST_FPERIOD_OVERRIDE=FQ","FILING_STATUS=OR","EQY_CONSOLIDATED=Y","FA_ADJUSTED=GAAP","Sort=A","Dates=H","DateFormat=P","Fill=—","Direction=H","UseDPDF=Y")</f>
        <v>#NAME?</v>
      </c>
      <c r="AO466" s="1" t="e">
        <f ca="1">_xll.BDH($C$453,"GEO_GROW_OPER_INC","FQ3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66" s="1" t="e">
        <f ca="1">_xll.BDH($C$453,"NET_INCOME_TO_COMMON_5_YR_GROWTH","FQ3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66" s="1" t="e">
        <f ca="1">_xll.BDH($C$453,"5Y_GEO_GROWTH_DILUTED_EPS","FQ3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66" s="1" t="e">
        <f ca="1">_xll.BDH($C$453,"GEO_GROW_DVD_PER_SH","FQ3 2016","FQ3 2016","Currency=INR","Period=FQ","BEST_FPERIOD_OVERRIDE=FQ","FILING_STATUS=OR","EQY_CONSOLIDATED=Y","Sort=A","Dates=H","DateFormat=P","Fill=—","Direction=H","UseDPDF=Y")</f>
        <v>#NAME?</v>
      </c>
      <c r="AS466" s="1" t="e">
        <f ca="1">_xll.BDH($C$453,"ACCOUNTS_RECEIVABLE_5_YR_GROWTH","FQ3 2016","FQ3 2016","Currency=INR","Period=FQ","BEST_FPERIOD_OVERRIDE=FQ","FILING_STATUS=OR","EQY_CONSOLIDATED=Y","Sort=A","Dates=H","DateFormat=P","Fill=—","Direction=H","UseDPDF=Y")</f>
        <v>#NAME?</v>
      </c>
      <c r="AT466" s="1" t="e">
        <f ca="1">_xll.BDH($C$453,"INVENTORY_5_YEAR_GROWTH","FQ3 2016","FQ3 2016","Currency=INR","Period=FQ","BEST_FPERIOD_OVERRIDE=FQ","FILING_STATUS=OR","EQY_CONSOLIDATED=Y","Sort=A","Dates=H","DateFormat=P","Fill=—","Direction=H","UseDPDF=Y")</f>
        <v>#NAME?</v>
      </c>
      <c r="AU466" s="1" t="e">
        <f ca="1">_xll.BDH($C$453,"NET_FIXED_ASSETS_5_YEAR_GROWTH","FQ3 2016","FQ3 2016","Currency=INR","Period=FQ","BEST_FPERIOD_OVERRIDE=FQ","FILING_STATUS=OR","EQY_CONSOLIDATED=Y","Sort=A","Dates=H","DateFormat=P","Fill=—","Direction=H","UseDPDF=Y")</f>
        <v>#NAME?</v>
      </c>
      <c r="AV466" s="1" t="e">
        <f ca="1">_xll.BDH($C$453,"GEO_GROW_TOT_ASSET","FQ3 2016","FQ3 2016","Currency=INR","Period=FQ","BEST_FPERIOD_OVERRIDE=FQ","FILING_STATUS=OR","EQY_CONSOLIDATED=Y","Sort=A","Dates=H","DateFormat=P","Fill=—","Direction=H","UseDPDF=Y")</f>
        <v>#NAME?</v>
      </c>
      <c r="AW466" s="1" t="e">
        <f ca="1">_xll.BDH($C$453,"MODIFIED_WORKING_CPTL_5YR_GRWTH","FQ3 2016","FQ3 2016","Currency=INR","Period=FQ","BEST_FPERIOD_OVERRIDE=FQ","FILING_STATUS=OR","EQY_CONSOLIDATED=Y","Sort=A","Dates=H","DateFormat=P","Fill=—","Direction=H","UseDPDF=Y")</f>
        <v>#NAME?</v>
      </c>
      <c r="AX466" s="1" t="e">
        <f ca="1">_xll.BDH($C$453,"WORKING_CAPITAL_5_YEAR_GROWTH","FQ3 2016","FQ3 2016","Currency=INR","Period=FQ","BEST_FPERIOD_OVERRIDE=FQ","FILING_STATUS=OR","EQY_CONSOLIDATED=Y","Sort=A","Dates=H","DateFormat=P","Fill=—","Direction=H","UseDPDF=Y")</f>
        <v>#NAME?</v>
      </c>
      <c r="AY466" s="1" t="e">
        <f ca="1">_xll.BDH($C$453,"ACCOUNTS_PAYABLE_5_YEAR_GROWTH","FQ3 2016","FQ3 2016","Currency=INR","Period=FQ","BEST_FPERIOD_OVERRIDE=FQ","FILING_STATUS=OR","EQY_CONSOLIDATED=Y","Sort=A","Dates=H","DateFormat=P","Fill=—","Direction=H","UseDPDF=Y")</f>
        <v>#NAME?</v>
      </c>
      <c r="AZ466" s="1" t="e">
        <f ca="1">_xll.BDH($C$453,"SHORT_TERM_DEBT_5_YEAR_GROWTH","FQ3 2016","FQ3 2016","Currency=INR","Period=FQ","BEST_FPERIOD_OVERRIDE=FQ","FILING_STATUS=OR","EQY_CONSOLIDATED=Y","Sort=A","Dates=H","DateFormat=P","Fill=—","Direction=H","UseDPDF=Y")</f>
        <v>#NAME?</v>
      </c>
      <c r="BA466" s="1" t="e">
        <f ca="1">_xll.BDH($C$453,"TOTAL_DEBT_5_YEAR_GROWTH","FQ3 2016","FQ3 2016","Currency=INR","Period=FQ","BEST_FPERIOD_OVERRIDE=FQ","FILING_STATUS=OR","EQY_CONSOLIDATED=Y","Sort=A","Dates=H","DateFormat=P","Fill=—","Direction=H","UseDPDF=Y")</f>
        <v>#NAME?</v>
      </c>
      <c r="BB466" s="1" t="e">
        <f ca="1">_xll.BDH($C$453,"GEO_GROW_TOT_SHRHLDR_EQY","FQ3 2016","FQ3 2016","Currency=INR","Period=FQ","BEST_FPERIOD_OVERRIDE=FQ","FILING_STATUS=OR","EQY_CONSOLIDATED=Y","Sort=A","Dates=H","DateFormat=P","Fill=—","Direction=H","UseDPDF=Y")</f>
        <v>#NAME?</v>
      </c>
      <c r="BC466" s="1" t="e">
        <f ca="1">_xll.BDH($C$453,"TOTAL_CAPITAL_5_YEAR_GROWTH","FQ3 2016","FQ3 2016","Currency=INR","Period=FQ","BEST_FPERIOD_OVERRIDE=FQ","FILING_STATUS=OR","EQY_CONSOLIDATED=Y","Sort=A","Dates=H","DateFormat=P","Fill=—","Direction=H","UseDPDF=Y")</f>
        <v>#NAME?</v>
      </c>
      <c r="BD466" s="1" t="e">
        <f ca="1">_xll.BDH($C$453,"GEO_GROW_BOOK_VAL","FQ3 2016","FQ3 2016","Currency=INR","Period=FQ","BEST_FPERIOD_OVERRIDE=FQ","FILING_STATUS=OR","EQY_CONSOLIDATED=Y","Sort=A","Dates=H","DateFormat=P","Fill=—","Direction=H","UseDPDF=Y")</f>
        <v>#NAME?</v>
      </c>
      <c r="BE466" s="1" t="e">
        <f ca="1">_xll.BDH($C$453,"GEO_GROW_CASH_OPER_ACT","FQ3 2016","FQ3 2016","Currency=INR","Period=FQ","BEST_FPERIOD_OVERRIDE=FQ","FILING_STATUS=OR","EQY_CONSOLIDATED=Y","Sort=A","Dates=H","DateFormat=P","Fill=—","Direction=H","UseDPDF=Y")</f>
        <v>#NAME?</v>
      </c>
      <c r="BF466" s="1" t="e">
        <f ca="1">_xll.BDH($C$453,"REVENUE_SEQUENTIAL_GROWTH","FQ3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66" s="1" t="e">
        <f ca="1">_xll.BDH($C$453,"EBITDA_SEQUENTIAL_GROWTH","FQ3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66" s="1" t="e">
        <f ca="1">_xll.BDH($C$453,"OPERATING_INCOME_SEQ_GROWTH","FQ3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66" s="1" t="e">
        <f ca="1">_xll.BDH($C$453,"NET_INCOME_TO_COMMON_SEQ_GROWTH","FQ3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66" s="1" t="e">
        <f ca="1">_xll.BDH($C$453,"EPS_DILUTED_SEQUENTIAL_GROWTH","FQ3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66" s="1" t="e">
        <f ca="1">_xll.BDH($C$453,"DPS_SEQUENTIAL_GROWTH","FQ3 2016","FQ3 2016","Currency=INR","Period=FQ","BEST_FPERIOD_OVERRIDE=FQ","FILING_STATUS=OR","EQY_CONSOLIDATED=Y","Sort=A","Dates=H","DateFormat=P","Fill=—","Direction=H","UseDPDF=Y")</f>
        <v>#NAME?</v>
      </c>
      <c r="BL466" s="1" t="e">
        <f ca="1">_xll.BDH($C$453,"ACCOUNTS_RECEIVABLE_SEQ_GROWTH","FQ3 2016","FQ3 2016","Currency=INR","Period=FQ","BEST_FPERIOD_OVERRIDE=FQ","FILING_STATUS=OR","EQY_CONSOLIDATED=Y","Sort=A","Dates=H","DateFormat=P","Fill=—","Direction=H","UseDPDF=Y")</f>
        <v>#NAME?</v>
      </c>
      <c r="BM466" s="1" t="e">
        <f ca="1">_xll.BDH($C$453,"INVENTORY_SEQUENTIAL_GROWTH","FQ3 2016","FQ3 2016","Currency=INR","Period=FQ","BEST_FPERIOD_OVERRIDE=FQ","FILING_STATUS=OR","EQY_CONSOLIDATED=Y","Sort=A","Dates=H","DateFormat=P","Fill=—","Direction=H","UseDPDF=Y")</f>
        <v>#NAME?</v>
      </c>
      <c r="BN466" s="1" t="e">
        <f ca="1">_xll.BDH($C$453,"FIXED_ASSETS_SEQUENTIAL_GROWTH","FQ3 2016","FQ3 2016","Currency=INR","Period=FQ","BEST_FPERIOD_OVERRIDE=FQ","FILING_STATUS=OR","EQY_CONSOLIDATED=Y","Sort=A","Dates=H","DateFormat=P","Fill=—","Direction=H","UseDPDF=Y")</f>
        <v>#NAME?</v>
      </c>
      <c r="BO466" s="1" t="e">
        <f ca="1">_xll.BDH($C$453,"TOTAL_ASSETS_SEQUENTIAL_GROWTH","FQ3 2016","FQ3 2016","Currency=INR","Period=FQ","BEST_FPERIOD_OVERRIDE=FQ","FILING_STATUS=OR","EQY_CONSOLIDATED=Y","Sort=A","Dates=H","DateFormat=P","Fill=—","Direction=H","UseDPDF=Y")</f>
        <v>#NAME?</v>
      </c>
      <c r="BP466" s="1" t="e">
        <f ca="1">_xll.BDH($C$453,"MODIFIED_WORKING_CPTL_SEQ_GRWTH","FQ3 2016","FQ3 2016","Currency=INR","Period=FQ","BEST_FPERIOD_OVERRIDE=FQ","FILING_STATUS=OR","EQY_CONSOLIDATED=Y","Sort=A","Dates=H","DateFormat=P","Fill=—","Direction=H","UseDPDF=Y")</f>
        <v>#NAME?</v>
      </c>
      <c r="BQ466" s="1" t="e">
        <f ca="1">_xll.BDH($C$453,"WORKING_CAPITAL_SEQ_GROWTH","FQ3 2016","FQ3 2016","Currency=INR","Period=FQ","BEST_FPERIOD_OVERRIDE=FQ","FILING_STATUS=OR","EQY_CONSOLIDATED=Y","Sort=A","Dates=H","DateFormat=P","Fill=—","Direction=H","UseDPDF=Y")</f>
        <v>#NAME?</v>
      </c>
      <c r="BR466" s="1" t="e">
        <f ca="1">_xll.BDH($C$453,"ACCOUNTS_PAYABLE_SEQ_GROWTH","FQ3 2016","FQ3 2016","Currency=INR","Period=FQ","BEST_FPERIOD_OVERRIDE=FQ","FILING_STATUS=OR","EQY_CONSOLIDATED=Y","Sort=A","Dates=H","DateFormat=P","Fill=—","Direction=H","UseDPDF=Y")</f>
        <v>#NAME?</v>
      </c>
      <c r="BS466" s="1" t="e">
        <f ca="1">_xll.BDH($C$453,"ST_DEBT_SEQUENTIAL_GROWTH","FQ3 2016","FQ3 2016","Currency=INR","Period=FQ","BEST_FPERIOD_OVERRIDE=FQ","FILING_STATUS=OR","EQY_CONSOLIDATED=Y","Sort=A","Dates=H","DateFormat=P","Fill=—","Direction=H","UseDPDF=Y")</f>
        <v>#NAME?</v>
      </c>
      <c r="BT466" s="1" t="e">
        <f ca="1">_xll.BDH($C$453,"TOTAL_DEBT_SEQUENTIAL_GROWTH","FQ3 2016","FQ3 2016","Currency=INR","Period=FQ","BEST_FPERIOD_OVERRIDE=FQ","FILING_STATUS=OR","EQY_CONSOLIDATED=Y","Sort=A","Dates=H","DateFormat=P","Fill=—","Direction=H","UseDPDF=Y")</f>
        <v>#NAME?</v>
      </c>
      <c r="BU466" s="1" t="e">
        <f ca="1">_xll.BDH($C$453,"TOTAL_EQUITY_SEQUENTIAL_GROWTH","FQ3 2016","FQ3 2016","Currency=INR","Period=FQ","BEST_FPERIOD_OVERRIDE=FQ","FILING_STATUS=OR","EQY_CONSOLIDATED=Y","Sort=A","Dates=H","DateFormat=P","Fill=—","Direction=H","UseDPDF=Y")</f>
        <v>#NAME?</v>
      </c>
      <c r="BV466" s="1" t="e">
        <f ca="1">_xll.BDH($C$453,"TOTAL_CAPITAL_SEQUENTIAL_GROWTH","FQ3 2016","FQ3 2016","Currency=INR","Period=FQ","BEST_FPERIOD_OVERRIDE=FQ","FILING_STATUS=OR","EQY_CONSOLIDATED=Y","Sort=A","Dates=H","DateFormat=P","Fill=—","Direction=H","UseDPDF=Y")</f>
        <v>#NAME?</v>
      </c>
      <c r="BW466" s="1" t="e">
        <f ca="1">_xll.BDH($C$453,"BPS_SEQUENTIAL_GROWTH","FQ3 2016","FQ3 2016","Currency=INR","Period=FQ","BEST_FPERIOD_OVERRIDE=FQ","FILING_STATUS=OR","EQY_CONSOLIDATED=Y","Sort=A","Dates=H","DateFormat=P","Fill=—","Direction=H","UseDPDF=Y")</f>
        <v>#NAME?</v>
      </c>
      <c r="BX466" s="1" t="e">
        <f ca="1">_xll.BDH($C$453,"CFO_SEQUENTIAL_GROWTH","FQ3 2016","FQ3 2016","Currency=INR","Period=FQ","BEST_FPERIOD_OVERRIDE=FQ","FILING_STATUS=OR","EQY_CONSOLIDATED=Y","Sort=A","Dates=H","DateFormat=P","Fill=—","Direction=H","UseDPDF=Y")</f>
        <v>#NAME?</v>
      </c>
      <c r="BY466" s="2" t="e">
        <f ca="1">_xll.BDH($C$453,"SHORT_AND_LONG_TERM_DEBT","FQ3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66" s="2" t="e">
        <f ca="1">_xll.BDH($C$453,"BS_ST_BORROW","FQ3 2016","FQ3 2016","Currency=INR","Period=FQ","BEST_FPERIOD_OVERRIDE=FQ","FILING_STATUS=OR","EQY_CONSOLIDATED=Y","SCALING_FORMAT=MLN","Sort=A","Dates=H","DateFormat=P","Fill=—","Direction=H","UseDPDF=Y")</f>
        <v>#NAME?</v>
      </c>
      <c r="CA466" s="2" t="e">
        <f ca="1">_xll.BDH($C$453,"BS_LT_BORROW","FQ3 2016","FQ3 2016","Currency=INR","Period=FQ","BEST_FPERIOD_OVERRIDE=FQ","FILING_STATUS=OR","EQY_CONSOLIDATED=Y","SCALING_FORMAT=MLN","Sort=A","Dates=H","DateFormat=P","Fill=—","Direction=H","UseDPDF=Y")</f>
        <v>#NAME?</v>
      </c>
      <c r="CB466" s="1" t="e">
        <f ca="1">_xll.BDH($C$453,"TOT_DEBT_TO_EBITDA","FQ3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66" s="1" t="e">
        <f ca="1">_xll.BDH($C$453,"NET_DEBT_TO_EBITDA","FQ3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66" s="1" t="e">
        <f ca="1">_xll.BDH($C$453,"TOTAL_DEBT_TO_EBIT","FQ3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66" s="1" t="e">
        <f ca="1">_xll.BDH($C$453,"NET_DEBT_TO_EBIT","FQ3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466" s="1" t="e">
        <f ca="1">_xll.BDH($C$453,"EBITDA_TO_INTEREST_EXPN","FQ3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66" s="1" t="e">
        <f ca="1">_xll.BDH($C$453,"COM_EQY_TO_TOT_ASSET","FQ3 2016","FQ3 2016","Currency=INR","Period=FQ","BEST_FPERIOD_OVERRIDE=FQ","FILING_STATUS=OR","EQY_CONSOLIDATED=Y","Sort=A","Dates=H","DateFormat=P","Fill=—","Direction=H","UseDPDF=Y")</f>
        <v>#NAME?</v>
      </c>
      <c r="CH466" s="1" t="e">
        <f ca="1">_xll.BDH($C$453,"LT_DEBT_TO_TOT_EQY","FQ3 2016","FQ3 2016","Currency=INR","Period=FQ","BEST_FPERIOD_OVERRIDE=FQ","FILING_STATUS=OR","EQY_CONSOLIDATED=Y","Sort=A","Dates=H","DateFormat=P","Fill=—","Direction=H","UseDPDF=Y")</f>
        <v>#NAME?</v>
      </c>
      <c r="CI466" s="1" t="e">
        <f ca="1">_xll.BDH($C$453,"LT_DEBT_TO_TOT_CAP","FQ3 2016","FQ3 2016","Currency=INR","Period=FQ","BEST_FPERIOD_OVERRIDE=FQ","FILING_STATUS=OR","EQY_CONSOLIDATED=Y","Sort=A","Dates=H","DateFormat=P","Fill=—","Direction=H","UseDPDF=Y")</f>
        <v>#NAME?</v>
      </c>
      <c r="CJ466" s="1" t="e">
        <f ca="1">_xll.BDH($C$453,"LT_DEBT_TO_TOT_ASSET","FQ3 2016","FQ3 2016","Currency=INR","Period=FQ","BEST_FPERIOD_OVERRIDE=FQ","FILING_STATUS=OR","EQY_CONSOLIDATED=Y","Sort=A","Dates=H","DateFormat=P","Fill=—","Direction=H","UseDPDF=Y")</f>
        <v>#NAME?</v>
      </c>
      <c r="CK466" s="1" t="e">
        <f ca="1">_xll.BDH($C$453,"TOT_DEBT_TO_TOT_EQY","FQ3 2016","FQ3 2016","Currency=INR","Period=FQ","BEST_FPERIOD_OVERRIDE=FQ","FILING_STATUS=OR","EQY_CONSOLIDATED=Y","Sort=A","Dates=H","DateFormat=P","Fill=—","Direction=H","UseDPDF=Y")</f>
        <v>#NAME?</v>
      </c>
      <c r="CL466" s="1" t="e">
        <f ca="1">_xll.BDH($C$453,"TOT_DEBT_TO_TOT_CAP","FQ3 2016","FQ3 2016","Currency=INR","Period=FQ","BEST_FPERIOD_OVERRIDE=FQ","FILING_STATUS=OR","EQY_CONSOLIDATED=Y","Sort=A","Dates=H","DateFormat=P","Fill=—","Direction=H","UseDPDF=Y")</f>
        <v>#NAME?</v>
      </c>
      <c r="CM466" s="1" t="e">
        <f ca="1">_xll.BDH($C$453,"TOT_DEBT_TO_TOT_ASSET","FQ3 2016","FQ3 2016","Currency=INR","Period=FQ","BEST_FPERIOD_OVERRIDE=FQ","FILING_STATUS=OR","EQY_CONSOLIDATED=Y","Sort=A","Dates=H","DateFormat=P","Fill=—","Direction=H","UseDPDF=Y")</f>
        <v>#NAME?</v>
      </c>
      <c r="CN466" s="1" t="e">
        <f ca="1">_xll.BDH($C$453,"NET_DEBT_TO_SHRHLDR_EQTY","FQ3 2016","FQ3 2016","Currency=INR","Period=FQ","BEST_FPERIOD_OVERRIDE=FQ","FILING_STATUS=OR","EQY_CONSOLIDATED=Y","Sort=A","Dates=H","DateFormat=P","Fill=—","Direction=H","UseDPDF=Y")</f>
        <v>#NAME?</v>
      </c>
      <c r="CO466" s="1" t="e">
        <f ca="1">_xll.BDH($C$453,"NET_DEBT_%_CAPITAL","FQ3 2016","FQ3 2016","Currency=INR","Period=FQ","BEST_FPERIOD_OVERRIDE=FQ","FILING_STATUS=OR","EQY_CONSOLIDATED=Y","Sort=A","Dates=H","DateFormat=P","Fill=—","Direction=H","UseDPDF=Y")</f>
        <v>#NAME?</v>
      </c>
      <c r="CP466" s="2" t="e">
        <f ca="1">_xll.BDH($C$453,"EBITDA","FQ3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66" s="2" t="e">
        <f ca="1">_xll.BDH($C$453,"EBITDA_AFTER_CAPEX","FQ3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66" s="2" t="e">
        <f ca="1">_xll.BDH($C$453,"IS_OPER_INC","FQ3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66" s="1" t="e">
        <f ca="1">_xll.BDH($C$453,"CASH_RATIO","FQ3 2016","FQ3 2016","Currency=INR","Period=FQ","BEST_FPERIOD_OVERRIDE=FQ","FILING_STATUS=OR","EQY_CONSOLIDATED=Y","Sort=A","Dates=H","DateFormat=P","Fill=—","Direction=H","UseDPDF=Y")</f>
        <v>#NAME?</v>
      </c>
      <c r="CT466" s="1" t="e">
        <f ca="1">_xll.BDH($C$453,"CUR_RATIO","FQ3 2016","FQ3 2016","Currency=INR","Period=FQ","BEST_FPERIOD_OVERRIDE=FQ","FILING_STATUS=OR","EQY_CONSOLIDATED=Y","Sort=A","Dates=H","DateFormat=P","Fill=—","Direction=H","UseDPDF=Y")</f>
        <v>#NAME?</v>
      </c>
      <c r="CU466" s="1" t="e">
        <f ca="1">_xll.BDH($C$453,"QUICK_RATIO","FQ3 2016","FQ3 2016","Currency=INR","Period=FQ","BEST_FPERIOD_OVERRIDE=FQ","FILING_STATUS=OR","EQY_CONSOLIDATED=Y","Sort=A","Dates=H","DateFormat=P","Fill=—","Direction=H","UseDPDF=Y")</f>
        <v>#NAME?</v>
      </c>
      <c r="CV466" s="1" t="e">
        <f ca="1">_xll.BDH($C$453,"ALTMAN_Z_SCORE","FQ3 2016","FQ3 2016","Currency=INR","Period=FQ","BEST_FPERIOD_OVERRIDE=FQ","FILING_STATUS=OR","EQY_CONSOLIDATED=Y","Sort=A","Dates=H","DateFormat=P","Fill=—","Direction=H","UseDPDF=Y")</f>
        <v>#NAME?</v>
      </c>
      <c r="CW466" s="3" t="e">
        <f ca="1">_xll.BDH($C$453,"ACCT_RCV_TURN","FQ3 2016","FQ3 2016","Currency=INR","Period=FQ","BEST_FPERIOD_OVERRIDE=FQ","FILING_STATUS=OR","EQY_CONSOLIDATED=Y","FA_ADJUSTED=GAAP","Sort=A","Dates=H","DateFormat=P","Fill=—","Direction=H","UseDPDF=Y")</f>
        <v>#NAME?</v>
      </c>
      <c r="CX466" s="1" t="e">
        <f ca="1">_xll.BDH($C$453,"ACCT_RCV_DAYS","FQ3 2016","FQ3 2016","Currency=INR","Period=FQ","BEST_FPERIOD_OVERRIDE=FQ","FILING_STATUS=OR","EQY_CONSOLIDATED=Y","FA_ADJUSTED=GAAP","Sort=A","Dates=H","DateFormat=P","Fill=—","Direction=H","UseDPDF=Y")</f>
        <v>#NAME?</v>
      </c>
      <c r="CY466" s="3" t="e">
        <f ca="1">_xll.BDH($C$453,"INVENT_TURN","FQ3 2016","FQ3 2016","Currency=INR","Period=FQ","BEST_FPERIOD_OVERRIDE=FQ","FILING_STATUS=OR","EQY_CONSOLIDATED=Y","FA_ADJUSTED=GAAP","Sort=A","Dates=H","DateFormat=P","Fill=—","Direction=H","UseDPDF=Y")</f>
        <v>#NAME?</v>
      </c>
      <c r="CZ466" s="1" t="e">
        <f ca="1">_xll.BDH($C$453,"INVENT_DAYS","FQ3 2016","FQ3 2016","Currency=INR","Period=FQ","BEST_FPERIOD_OVERRIDE=FQ","FILING_STATUS=OR","EQY_CONSOLIDATED=Y","FA_ADJUSTED=GAAP","Sort=A","Dates=H","DateFormat=P","Fill=—","Direction=H","UseDPDF=Y")</f>
        <v>#NAME?</v>
      </c>
      <c r="DA466" s="3" t="e">
        <f ca="1">_xll.BDH($C$453,"ACCOUNTS_PAYABLE_TURNOVER","FQ3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66" s="1" t="e">
        <f ca="1">_xll.BDH($C$453,"ACCOUNTS_PAYABLE_TURNOVER_DAYS","FQ3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66" s="3" t="e">
        <f ca="1">_xll.BDH($C$453,"CASH_CONVERSION_CYCLE","FQ3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66" s="3" t="e">
        <f ca="1">_xll.BDH($C$453,"INV_TO_CASH_DAYS","FQ3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466" s="4" t="e">
        <f ca="1">_xll.BDH($C$453,"BS_INVENTORIES","FQ3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466" s="2" t="e">
        <f ca="1">_xll.BDH($C$453,"INVTRY_RAW_MATERIALS","FQ3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66" s="2" t="e">
        <f ca="1">_xll.BDH($C$453,"INVTRY_IN_PROGRESS","FQ3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66" s="2" t="e">
        <f ca="1">_xll.BDH($C$453,"INVTRY_FINISHED_GOODS","FQ3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66" s="2" t="e">
        <f ca="1">_xll.BDH($C$453,"BS_OTHER_INV","FQ3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67" spans="1:113" x14ac:dyDescent="0.3">
      <c r="A467" s="6"/>
      <c r="B467" s="6"/>
      <c r="C467" s="6"/>
      <c r="D467" s="6"/>
      <c r="E467" t="s">
        <v>7</v>
      </c>
      <c r="F467" t="e">
        <f ca="1">_xll.BDH($C$453,"RETURN_COM_EQY","FQ4 2016","FQ4 2016","Currency=INR","Period=FQ","BEST_FPERIOD_OVERRIDE=FQ","FILING_STATUS=OR","EQY_CONSOLIDATED=Y","FA_ADJUSTED=GAAP","Sort=A","Dates=H","DateFormat=P","Fill=—","Direction=H","UseDPDF=Y")</f>
        <v>#NAME?</v>
      </c>
      <c r="G467" t="e">
        <f ca="1">_xll.BDH($C$453,"RETURN_ON_ASSET","FQ4 2016","FQ4 2016","Currency=INR","Period=FQ","BEST_FPERIOD_OVERRIDE=FQ","FILING_STATUS=OR","EQY_CONSOLIDATED=Y","FA_ADJUSTED=GAAP","Sort=A","Dates=H","DateFormat=P","Fill=—","Direction=H","UseDPDF=Y")</f>
        <v>#NAME?</v>
      </c>
      <c r="H467" t="e">
        <f ca="1">_xll.BDH($C$453,"RETURN_ON_CAP","FQ4 2016","FQ4 2016","Currency=INR","Period=FQ","BEST_FPERIOD_OVERRIDE=FQ","FILING_STATUS=OR","EQY_CONSOLIDATED=Y","FA_ADJUSTED=GAAP","Sort=A","Dates=H","DateFormat=P","Fill=—","Direction=H","UseDPDF=Y")</f>
        <v>#NAME?</v>
      </c>
      <c r="I467" t="e">
        <f ca="1">_xll.BDH($C$453,"RETURN_ON_INV_CAPITAL","FQ4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67" t="e">
        <f ca="1">_xll.BDH($C$453,"EBITDA_TO_REVENUE","FQ4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467" t="e">
        <f ca="1">_xll.BDH($C$453,"OPER_MARGIN","FQ4 2016","FQ4 2016","Currency=INR","Period=FQ","BEST_FPERIOD_OVERRIDE=FQ","FILING_STATUS=OR","EQY_CONSOLIDATED=Y","FA_ADJUSTED=GAAP","Sort=A","Dates=H","DateFormat=P","Fill=—","Direction=H","UseDPDF=Y")</f>
        <v>#NAME?</v>
      </c>
      <c r="L467" t="e">
        <f ca="1">_xll.BDH($C$453,"INCREMENTAL_OPERATING_MARGIN","FQ4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67" t="e">
        <f ca="1">_xll.BDH($C$453,"PRETAX_INC_TO_NET_SALES","FQ4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67" t="e">
        <f ca="1">_xll.BDH($C$453,"INC_BEF_XO_ITEMS_TO_NET_SALES","FQ4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67" t="e">
        <f ca="1">_xll.BDH($C$453,"PROF_MARGIN","FQ4 2016","FQ4 2016","Currency=INR","Period=FQ","BEST_FPERIOD_OVERRIDE=FQ","FILING_STATUS=OR","EQY_CONSOLIDATED=Y","FA_ADJUSTED=GAAP","Sort=A","Dates=H","DateFormat=P","Fill=—","Direction=H","UseDPDF=Y")</f>
        <v>#NAME?</v>
      </c>
      <c r="P467" t="e">
        <f ca="1">_xll.BDH($C$453,"NET_INCOME_TO_COMMON_MARGIN","FQ4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67" t="e">
        <f ca="1">_xll.BDH($C$453,"EFF_TAX_RATE","FQ4 2016","FQ4 2016","Currency=INR","Period=FQ","BEST_FPERIOD_OVERRIDE=FQ","FILING_STATUS=OR","EQY_CONSOLIDATED=Y","FA_ADJUSTED=GAAP","Sort=A","Dates=H","DateFormat=P","Fill=—","Direction=H","UseDPDF=Y")</f>
        <v>#NAME?</v>
      </c>
      <c r="R467" t="e">
        <f ca="1">_xll.BDH($C$453,"DVD_PAYOUT_RATIO","FQ4 2016","FQ4 2016","Currency=INR","Period=FQ","BEST_FPERIOD_OVERRIDE=FQ","FILING_STATUS=OR","EQY_CONSOLIDATED=Y","FA_ADJUSTED=GAAP","Sort=A","Dates=H","DateFormat=P","Fill=—","Direction=H","UseDPDF=Y")</f>
        <v>#NAME?</v>
      </c>
      <c r="S467" t="e">
        <f ca="1">_xll.BDH($C$453,"SUSTAIN_GROWTH_RT","FQ4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467" s="1" t="e">
        <f ca="1">_xll.BDH($C$453,"SALES_GROWTH","FQ4 2016","FQ4 2016","Currency=INR","Period=FQ","BEST_FPERIOD_OVERRIDE=FQ","FILING_STATUS=OR","EQY_CONSOLIDATED=Y","FA_ADJUSTED=GAAP","Sort=A","Dates=H","DateFormat=P","Fill=—","Direction=H","UseDPDF=Y")</f>
        <v>#NAME?</v>
      </c>
      <c r="U467" s="1" t="e">
        <f ca="1">_xll.BDH($C$453,"EBITDA_GROWTH","FQ4 2016","FQ4 2016","Currency=INR","Period=FQ","BEST_FPERIOD_OVERRIDE=FQ","FILING_STATUS=OR","EQY_CONSOLIDATED=Y","FA_ADJUSTED=GAAP","Sort=A","Dates=H","DateFormat=P","Fill=—","Direction=H","UseDPDF=Y")</f>
        <v>#NAME?</v>
      </c>
      <c r="V467" s="1" t="e">
        <f ca="1">_xll.BDH($C$453,"OPER_INC_GROWTH","FQ4 2016","FQ4 2016","Currency=INR","Period=FQ","BEST_FPERIOD_OVERRIDE=FQ","FILING_STATUS=OR","EQY_CONSOLIDATED=Y","FA_ADJUSTED=GAAP","Sort=A","Dates=H","DateFormat=P","Fill=—","Direction=H","UseDPDF=Y")</f>
        <v>#NAME?</v>
      </c>
      <c r="W467" s="1" t="e">
        <f ca="1">_xll.BDH($C$453,"EARN_FOR_COM_GROWTH","FQ4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67" s="1" t="e">
        <f ca="1">_xll.BDH($C$453,"DILUTED_EPS_AFT_XO_ITEMS_GROWTH","FQ4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67" s="1" t="e">
        <f ca="1">_xll.BDH($C$453,"DIVIDEND_PER_SHARE_1_YEAR_GROWTH","FQ4 2016","FQ4 2016","Currency=INR","Period=FQ","BEST_FPERIOD_OVERRIDE=FQ","FILING_STATUS=OR","EQY_CONSOLIDATED=Y","Sort=A","Dates=H","DateFormat=P","Fill=—","Direction=H","UseDPDF=Y")</f>
        <v>#NAME?</v>
      </c>
      <c r="Z467" s="1" t="e">
        <f ca="1">_xll.BDH($C$453,"ACCOUNTS_RECEIVABLE_GROWTH","FQ4 2016","FQ4 2016","Currency=INR","Period=FQ","BEST_FPERIOD_OVERRIDE=FQ","FILING_STATUS=OR","EQY_CONSOLIDATED=Y","Sort=A","Dates=H","DateFormat=P","Fill=—","Direction=H","UseDPDF=Y")</f>
        <v>#NAME?</v>
      </c>
      <c r="AA467" s="1" t="e">
        <f ca="1">_xll.BDH($C$453,"INVENTORY_GROWTH","FQ4 2016","FQ4 2016","Currency=INR","Period=FQ","BEST_FPERIOD_OVERRIDE=FQ","FILING_STATUS=OR","EQY_CONSOLIDATED=Y","Sort=A","Dates=H","DateFormat=P","Fill=—","Direction=H","UseDPDF=Y")</f>
        <v>#NAME?</v>
      </c>
      <c r="AB467" s="1" t="e">
        <f ca="1">_xll.BDH($C$453,"NET_FIXED_ASSETS_1_YEAR_GROWTH","FQ4 2016","FQ4 2016","Currency=INR","Period=FQ","BEST_FPERIOD_OVERRIDE=FQ","FILING_STATUS=OR","EQY_CONSOLIDATED=Y","Sort=A","Dates=H","DateFormat=P","Fill=—","Direction=H","UseDPDF=Y")</f>
        <v>#NAME?</v>
      </c>
      <c r="AC467" s="1" t="e">
        <f ca="1">_xll.BDH($C$453,"ASSET_GROWTH","FQ4 2016","FQ4 2016","Currency=INR","Period=FQ","BEST_FPERIOD_OVERRIDE=FQ","FILING_STATUS=OR","EQY_CONSOLIDATED=Y","Sort=A","Dates=H","DateFormat=P","Fill=—","Direction=H","UseDPDF=Y")</f>
        <v>#NAME?</v>
      </c>
      <c r="AD467" s="1" t="e">
        <f ca="1">_xll.BDH($C$453,"MODIFIED_WORK_CAP_GROWTH","FQ4 2016","FQ4 2016","Currency=INR","Period=FQ","BEST_FPERIOD_OVERRIDE=FQ","FILING_STATUS=OR","EQY_CONSOLIDATED=Y","Sort=A","Dates=H","DateFormat=P","Fill=—","Direction=H","UseDPDF=Y")</f>
        <v>#NAME?</v>
      </c>
      <c r="AE467" s="1" t="e">
        <f ca="1">_xll.BDH($C$453,"WORK_CAP_GROWTH","FQ4 2016","FQ4 2016","Currency=INR","Period=FQ","BEST_FPERIOD_OVERRIDE=FQ","FILING_STATUS=OR","EQY_CONSOLIDATED=Y","Sort=A","Dates=H","DateFormat=P","Fill=—","Direction=H","UseDPDF=Y")</f>
        <v>#NAME?</v>
      </c>
      <c r="AF467" s="1" t="e">
        <f ca="1">_xll.BDH($C$453,"ACCOUNTS_PAYABLE_GROWTH_1YR","FQ4 2016","FQ4 2016","Currency=INR","Period=FQ","BEST_FPERIOD_OVERRIDE=FQ","FILING_STATUS=OR","EQY_CONSOLIDATED=Y","Sort=A","Dates=H","DateFormat=P","Fill=—","Direction=H","UseDPDF=Y")</f>
        <v>#NAME?</v>
      </c>
      <c r="AG467" s="1" t="e">
        <f ca="1">_xll.BDH($C$453,"SHORT_TERM_DEBT_1_YEAR_GROWTH","FQ4 2016","FQ4 2016","Currency=INR","Period=FQ","BEST_FPERIOD_OVERRIDE=FQ","FILING_STATUS=OR","EQY_CONSOLIDATED=Y","Sort=A","Dates=H","DateFormat=P","Fill=—","Direction=H","UseDPDF=Y")</f>
        <v>#NAME?</v>
      </c>
      <c r="AH467" s="1" t="e">
        <f ca="1">_xll.BDH($C$453,"TOTAL_DEBT_1_YEAR_GROWTH","FQ4 2016","FQ4 2016","Currency=INR","Period=FQ","BEST_FPERIOD_OVERRIDE=FQ","FILING_STATUS=OR","EQY_CONSOLIDATED=Y","Sort=A","Dates=H","DateFormat=P","Fill=—","Direction=H","UseDPDF=Y")</f>
        <v>#NAME?</v>
      </c>
      <c r="AI467" s="1" t="e">
        <f ca="1">_xll.BDH($C$453,"TOTAL_EQUITY_1_YEAR_GROWTH","FQ4 2016","FQ4 2016","Currency=INR","Period=FQ","BEST_FPERIOD_OVERRIDE=FQ","FILING_STATUS=OR","EQY_CONSOLIDATED=Y","Sort=A","Dates=H","DateFormat=P","Fill=—","Direction=H","UseDPDF=Y")</f>
        <v>#NAME?</v>
      </c>
      <c r="AJ467" s="1" t="e">
        <f ca="1">_xll.BDH($C$453,"GROWTH_IN_CAP","FQ4 2016","FQ4 2016","Currency=INR","Period=FQ","BEST_FPERIOD_OVERRIDE=FQ","FILING_STATUS=OR","EQY_CONSOLIDATED=Y","Sort=A","Dates=H","DateFormat=P","Fill=—","Direction=H","UseDPDF=Y")</f>
        <v>#NAME?</v>
      </c>
      <c r="AK467" s="1" t="e">
        <f ca="1">_xll.BDH($C$453,"BVPS_GROWTH","FQ4 2016","FQ4 2016","Currency=INR","Period=FQ","BEST_FPERIOD_OVERRIDE=FQ","FILING_STATUS=OR","EQY_CONSOLIDATED=Y","Sort=A","Dates=H","DateFormat=P","Fill=—","Direction=H","UseDPDF=Y")</f>
        <v>#NAME?</v>
      </c>
      <c r="AL467" s="1" t="e">
        <f ca="1">_xll.BDH($C$453,"CASH_FLOW_GROWTH","FQ4 2016","FQ4 2016","Currency=INR","Period=FQ","BEST_FPERIOD_OVERRIDE=FQ","FILING_STATUS=OR","EQY_CONSOLIDATED=Y","Sort=A","Dates=H","DateFormat=P","Fill=—","Direction=H","UseDPDF=Y")</f>
        <v>#NAME?</v>
      </c>
      <c r="AM467" s="1" t="e">
        <f ca="1">_xll.BDH($C$453,"GEO_GROW_NET_SALES","FQ4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67" s="1" t="e">
        <f ca="1">_xll.BDH($C$453,"GEO_GROW_EBITDA","FQ4 2016","FQ4 2016","Currency=INR","Period=FQ","BEST_FPERIOD_OVERRIDE=FQ","FILING_STATUS=OR","EQY_CONSOLIDATED=Y","FA_ADJUSTED=GAAP","Sort=A","Dates=H","DateFormat=P","Fill=—","Direction=H","UseDPDF=Y")</f>
        <v>#NAME?</v>
      </c>
      <c r="AO467" s="1" t="e">
        <f ca="1">_xll.BDH($C$453,"GEO_GROW_OPER_INC","FQ4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67" s="1" t="e">
        <f ca="1">_xll.BDH($C$453,"NET_INCOME_TO_COMMON_5_YR_GROWTH","FQ4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67" s="1" t="e">
        <f ca="1">_xll.BDH($C$453,"5Y_GEO_GROWTH_DILUTED_EPS","FQ4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67" s="1" t="e">
        <f ca="1">_xll.BDH($C$453,"GEO_GROW_DVD_PER_SH","FQ4 2016","FQ4 2016","Currency=INR","Period=FQ","BEST_FPERIOD_OVERRIDE=FQ","FILING_STATUS=OR","EQY_CONSOLIDATED=Y","Sort=A","Dates=H","DateFormat=P","Fill=—","Direction=H","UseDPDF=Y")</f>
        <v>#NAME?</v>
      </c>
      <c r="AS467" s="1" t="e">
        <f ca="1">_xll.BDH($C$453,"ACCOUNTS_RECEIVABLE_5_YR_GROWTH","FQ4 2016","FQ4 2016","Currency=INR","Period=FQ","BEST_FPERIOD_OVERRIDE=FQ","FILING_STATUS=OR","EQY_CONSOLIDATED=Y","Sort=A","Dates=H","DateFormat=P","Fill=—","Direction=H","UseDPDF=Y")</f>
        <v>#NAME?</v>
      </c>
      <c r="AT467" s="1" t="e">
        <f ca="1">_xll.BDH($C$453,"INVENTORY_5_YEAR_GROWTH","FQ4 2016","FQ4 2016","Currency=INR","Period=FQ","BEST_FPERIOD_OVERRIDE=FQ","FILING_STATUS=OR","EQY_CONSOLIDATED=Y","Sort=A","Dates=H","DateFormat=P","Fill=—","Direction=H","UseDPDF=Y")</f>
        <v>#NAME?</v>
      </c>
      <c r="AU467" s="1" t="e">
        <f ca="1">_xll.BDH($C$453,"NET_FIXED_ASSETS_5_YEAR_GROWTH","FQ4 2016","FQ4 2016","Currency=INR","Period=FQ","BEST_FPERIOD_OVERRIDE=FQ","FILING_STATUS=OR","EQY_CONSOLIDATED=Y","Sort=A","Dates=H","DateFormat=P","Fill=—","Direction=H","UseDPDF=Y")</f>
        <v>#NAME?</v>
      </c>
      <c r="AV467" s="1" t="e">
        <f ca="1">_xll.BDH($C$453,"GEO_GROW_TOT_ASSET","FQ4 2016","FQ4 2016","Currency=INR","Period=FQ","BEST_FPERIOD_OVERRIDE=FQ","FILING_STATUS=OR","EQY_CONSOLIDATED=Y","Sort=A","Dates=H","DateFormat=P","Fill=—","Direction=H","UseDPDF=Y")</f>
        <v>#NAME?</v>
      </c>
      <c r="AW467" s="1" t="e">
        <f ca="1">_xll.BDH($C$453,"MODIFIED_WORKING_CPTL_5YR_GRWTH","FQ4 2016","FQ4 2016","Currency=INR","Period=FQ","BEST_FPERIOD_OVERRIDE=FQ","FILING_STATUS=OR","EQY_CONSOLIDATED=Y","Sort=A","Dates=H","DateFormat=P","Fill=—","Direction=H","UseDPDF=Y")</f>
        <v>#NAME?</v>
      </c>
      <c r="AX467" s="1" t="e">
        <f ca="1">_xll.BDH($C$453,"WORKING_CAPITAL_5_YEAR_GROWTH","FQ4 2016","FQ4 2016","Currency=INR","Period=FQ","BEST_FPERIOD_OVERRIDE=FQ","FILING_STATUS=OR","EQY_CONSOLIDATED=Y","Sort=A","Dates=H","DateFormat=P","Fill=—","Direction=H","UseDPDF=Y")</f>
        <v>#NAME?</v>
      </c>
      <c r="AY467" s="1" t="e">
        <f ca="1">_xll.BDH($C$453,"ACCOUNTS_PAYABLE_5_YEAR_GROWTH","FQ4 2016","FQ4 2016","Currency=INR","Period=FQ","BEST_FPERIOD_OVERRIDE=FQ","FILING_STATUS=OR","EQY_CONSOLIDATED=Y","Sort=A","Dates=H","DateFormat=P","Fill=—","Direction=H","UseDPDF=Y")</f>
        <v>#NAME?</v>
      </c>
      <c r="AZ467" s="1" t="e">
        <f ca="1">_xll.BDH($C$453,"SHORT_TERM_DEBT_5_YEAR_GROWTH","FQ4 2016","FQ4 2016","Currency=INR","Period=FQ","BEST_FPERIOD_OVERRIDE=FQ","FILING_STATUS=OR","EQY_CONSOLIDATED=Y","Sort=A","Dates=H","DateFormat=P","Fill=—","Direction=H","UseDPDF=Y")</f>
        <v>#NAME?</v>
      </c>
      <c r="BA467" s="1" t="e">
        <f ca="1">_xll.BDH($C$453,"TOTAL_DEBT_5_YEAR_GROWTH","FQ4 2016","FQ4 2016","Currency=INR","Period=FQ","BEST_FPERIOD_OVERRIDE=FQ","FILING_STATUS=OR","EQY_CONSOLIDATED=Y","Sort=A","Dates=H","DateFormat=P","Fill=—","Direction=H","UseDPDF=Y")</f>
        <v>#NAME?</v>
      </c>
      <c r="BB467" s="1" t="e">
        <f ca="1">_xll.BDH($C$453,"GEO_GROW_TOT_SHRHLDR_EQY","FQ4 2016","FQ4 2016","Currency=INR","Period=FQ","BEST_FPERIOD_OVERRIDE=FQ","FILING_STATUS=OR","EQY_CONSOLIDATED=Y","Sort=A","Dates=H","DateFormat=P","Fill=—","Direction=H","UseDPDF=Y")</f>
        <v>#NAME?</v>
      </c>
      <c r="BC467" s="1" t="e">
        <f ca="1">_xll.BDH($C$453,"TOTAL_CAPITAL_5_YEAR_GROWTH","FQ4 2016","FQ4 2016","Currency=INR","Period=FQ","BEST_FPERIOD_OVERRIDE=FQ","FILING_STATUS=OR","EQY_CONSOLIDATED=Y","Sort=A","Dates=H","DateFormat=P","Fill=—","Direction=H","UseDPDF=Y")</f>
        <v>#NAME?</v>
      </c>
      <c r="BD467" s="1" t="e">
        <f ca="1">_xll.BDH($C$453,"GEO_GROW_BOOK_VAL","FQ4 2016","FQ4 2016","Currency=INR","Period=FQ","BEST_FPERIOD_OVERRIDE=FQ","FILING_STATUS=OR","EQY_CONSOLIDATED=Y","Sort=A","Dates=H","DateFormat=P","Fill=—","Direction=H","UseDPDF=Y")</f>
        <v>#NAME?</v>
      </c>
      <c r="BE467" s="1" t="e">
        <f ca="1">_xll.BDH($C$453,"GEO_GROW_CASH_OPER_ACT","FQ4 2016","FQ4 2016","Currency=INR","Period=FQ","BEST_FPERIOD_OVERRIDE=FQ","FILING_STATUS=OR","EQY_CONSOLIDATED=Y","Sort=A","Dates=H","DateFormat=P","Fill=—","Direction=H","UseDPDF=Y")</f>
        <v>#NAME?</v>
      </c>
      <c r="BF467" s="1" t="e">
        <f ca="1">_xll.BDH($C$453,"REVENUE_SEQUENTIAL_GROWTH","FQ4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67" s="1" t="e">
        <f ca="1">_xll.BDH($C$453,"EBITDA_SEQUENTIAL_GROWTH","FQ4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67" s="1" t="e">
        <f ca="1">_xll.BDH($C$453,"OPERATING_INCOME_SEQ_GROWTH","FQ4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67" s="1" t="e">
        <f ca="1">_xll.BDH($C$453,"NET_INCOME_TO_COMMON_SEQ_GROWTH","FQ4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67" s="1" t="e">
        <f ca="1">_xll.BDH($C$453,"EPS_DILUTED_SEQUENTIAL_GROWTH","FQ4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67" s="1" t="e">
        <f ca="1">_xll.BDH($C$453,"DPS_SEQUENTIAL_GROWTH","FQ4 2016","FQ4 2016","Currency=INR","Period=FQ","BEST_FPERIOD_OVERRIDE=FQ","FILING_STATUS=OR","EQY_CONSOLIDATED=Y","Sort=A","Dates=H","DateFormat=P","Fill=—","Direction=H","UseDPDF=Y")</f>
        <v>#NAME?</v>
      </c>
      <c r="BL467" s="1" t="e">
        <f ca="1">_xll.BDH($C$453,"ACCOUNTS_RECEIVABLE_SEQ_GROWTH","FQ4 2016","FQ4 2016","Currency=INR","Period=FQ","BEST_FPERIOD_OVERRIDE=FQ","FILING_STATUS=OR","EQY_CONSOLIDATED=Y","Sort=A","Dates=H","DateFormat=P","Fill=—","Direction=H","UseDPDF=Y")</f>
        <v>#NAME?</v>
      </c>
      <c r="BM467" s="1" t="e">
        <f ca="1">_xll.BDH($C$453,"INVENTORY_SEQUENTIAL_GROWTH","FQ4 2016","FQ4 2016","Currency=INR","Period=FQ","BEST_FPERIOD_OVERRIDE=FQ","FILING_STATUS=OR","EQY_CONSOLIDATED=Y","Sort=A","Dates=H","DateFormat=P","Fill=—","Direction=H","UseDPDF=Y")</f>
        <v>#NAME?</v>
      </c>
      <c r="BN467" s="1" t="e">
        <f ca="1">_xll.BDH($C$453,"FIXED_ASSETS_SEQUENTIAL_GROWTH","FQ4 2016","FQ4 2016","Currency=INR","Period=FQ","BEST_FPERIOD_OVERRIDE=FQ","FILING_STATUS=OR","EQY_CONSOLIDATED=Y","Sort=A","Dates=H","DateFormat=P","Fill=—","Direction=H","UseDPDF=Y")</f>
        <v>#NAME?</v>
      </c>
      <c r="BO467" s="1" t="e">
        <f ca="1">_xll.BDH($C$453,"TOTAL_ASSETS_SEQUENTIAL_GROWTH","FQ4 2016","FQ4 2016","Currency=INR","Period=FQ","BEST_FPERIOD_OVERRIDE=FQ","FILING_STATUS=OR","EQY_CONSOLIDATED=Y","Sort=A","Dates=H","DateFormat=P","Fill=—","Direction=H","UseDPDF=Y")</f>
        <v>#NAME?</v>
      </c>
      <c r="BP467" s="1" t="e">
        <f ca="1">_xll.BDH($C$453,"MODIFIED_WORKING_CPTL_SEQ_GRWTH","FQ4 2016","FQ4 2016","Currency=INR","Period=FQ","BEST_FPERIOD_OVERRIDE=FQ","FILING_STATUS=OR","EQY_CONSOLIDATED=Y","Sort=A","Dates=H","DateFormat=P","Fill=—","Direction=H","UseDPDF=Y")</f>
        <v>#NAME?</v>
      </c>
      <c r="BQ467" s="1" t="e">
        <f ca="1">_xll.BDH($C$453,"WORKING_CAPITAL_SEQ_GROWTH","FQ4 2016","FQ4 2016","Currency=INR","Period=FQ","BEST_FPERIOD_OVERRIDE=FQ","FILING_STATUS=OR","EQY_CONSOLIDATED=Y","Sort=A","Dates=H","DateFormat=P","Fill=—","Direction=H","UseDPDF=Y")</f>
        <v>#NAME?</v>
      </c>
      <c r="BR467" s="1" t="e">
        <f ca="1">_xll.BDH($C$453,"ACCOUNTS_PAYABLE_SEQ_GROWTH","FQ4 2016","FQ4 2016","Currency=INR","Period=FQ","BEST_FPERIOD_OVERRIDE=FQ","FILING_STATUS=OR","EQY_CONSOLIDATED=Y","Sort=A","Dates=H","DateFormat=P","Fill=—","Direction=H","UseDPDF=Y")</f>
        <v>#NAME?</v>
      </c>
      <c r="BS467" s="1" t="e">
        <f ca="1">_xll.BDH($C$453,"ST_DEBT_SEQUENTIAL_GROWTH","FQ4 2016","FQ4 2016","Currency=INR","Period=FQ","BEST_FPERIOD_OVERRIDE=FQ","FILING_STATUS=OR","EQY_CONSOLIDATED=Y","Sort=A","Dates=H","DateFormat=P","Fill=—","Direction=H","UseDPDF=Y")</f>
        <v>#NAME?</v>
      </c>
      <c r="BT467" s="1" t="e">
        <f ca="1">_xll.BDH($C$453,"TOTAL_DEBT_SEQUENTIAL_GROWTH","FQ4 2016","FQ4 2016","Currency=INR","Period=FQ","BEST_FPERIOD_OVERRIDE=FQ","FILING_STATUS=OR","EQY_CONSOLIDATED=Y","Sort=A","Dates=H","DateFormat=P","Fill=—","Direction=H","UseDPDF=Y")</f>
        <v>#NAME?</v>
      </c>
      <c r="BU467" s="1" t="e">
        <f ca="1">_xll.BDH($C$453,"TOTAL_EQUITY_SEQUENTIAL_GROWTH","FQ4 2016","FQ4 2016","Currency=INR","Period=FQ","BEST_FPERIOD_OVERRIDE=FQ","FILING_STATUS=OR","EQY_CONSOLIDATED=Y","Sort=A","Dates=H","DateFormat=P","Fill=—","Direction=H","UseDPDF=Y")</f>
        <v>#NAME?</v>
      </c>
      <c r="BV467" s="1" t="e">
        <f ca="1">_xll.BDH($C$453,"TOTAL_CAPITAL_SEQUENTIAL_GROWTH","FQ4 2016","FQ4 2016","Currency=INR","Period=FQ","BEST_FPERIOD_OVERRIDE=FQ","FILING_STATUS=OR","EQY_CONSOLIDATED=Y","Sort=A","Dates=H","DateFormat=P","Fill=—","Direction=H","UseDPDF=Y")</f>
        <v>#NAME?</v>
      </c>
      <c r="BW467" s="1" t="e">
        <f ca="1">_xll.BDH($C$453,"BPS_SEQUENTIAL_GROWTH","FQ4 2016","FQ4 2016","Currency=INR","Period=FQ","BEST_FPERIOD_OVERRIDE=FQ","FILING_STATUS=OR","EQY_CONSOLIDATED=Y","Sort=A","Dates=H","DateFormat=P","Fill=—","Direction=H","UseDPDF=Y")</f>
        <v>#NAME?</v>
      </c>
      <c r="BX467" s="1" t="e">
        <f ca="1">_xll.BDH($C$453,"CFO_SEQUENTIAL_GROWTH","FQ4 2016","FQ4 2016","Currency=INR","Period=FQ","BEST_FPERIOD_OVERRIDE=FQ","FILING_STATUS=OR","EQY_CONSOLIDATED=Y","Sort=A","Dates=H","DateFormat=P","Fill=—","Direction=H","UseDPDF=Y")</f>
        <v>#NAME?</v>
      </c>
      <c r="BY467" s="2" t="e">
        <f ca="1">_xll.BDH($C$453,"SHORT_AND_LONG_TERM_DEBT","FQ4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67" s="2" t="e">
        <f ca="1">_xll.BDH($C$453,"BS_ST_BORROW","FQ4 2016","FQ4 2016","Currency=INR","Period=FQ","BEST_FPERIOD_OVERRIDE=FQ","FILING_STATUS=OR","EQY_CONSOLIDATED=Y","SCALING_FORMAT=MLN","Sort=A","Dates=H","DateFormat=P","Fill=—","Direction=H","UseDPDF=Y")</f>
        <v>#NAME?</v>
      </c>
      <c r="CA467" s="2" t="e">
        <f ca="1">_xll.BDH($C$453,"BS_LT_BORROW","FQ4 2016","FQ4 2016","Currency=INR","Period=FQ","BEST_FPERIOD_OVERRIDE=FQ","FILING_STATUS=OR","EQY_CONSOLIDATED=Y","SCALING_FORMAT=MLN","Sort=A","Dates=H","DateFormat=P","Fill=—","Direction=H","UseDPDF=Y")</f>
        <v>#NAME?</v>
      </c>
      <c r="CB467" s="1" t="e">
        <f ca="1">_xll.BDH($C$453,"TOT_DEBT_TO_EBITDA","FQ4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67" s="1" t="e">
        <f ca="1">_xll.BDH($C$453,"NET_DEBT_TO_EBITDA","FQ4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67" s="1" t="e">
        <f ca="1">_xll.BDH($C$453,"TOTAL_DEBT_TO_EBIT","FQ4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67" s="1" t="e">
        <f ca="1">_xll.BDH($C$453,"NET_DEBT_TO_EBIT","FQ4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467" s="1" t="e">
        <f ca="1">_xll.BDH($C$453,"EBITDA_TO_INTEREST_EXPN","FQ4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67" s="1" t="e">
        <f ca="1">_xll.BDH($C$453,"COM_EQY_TO_TOT_ASSET","FQ4 2016","FQ4 2016","Currency=INR","Period=FQ","BEST_FPERIOD_OVERRIDE=FQ","FILING_STATUS=OR","EQY_CONSOLIDATED=Y","Sort=A","Dates=H","DateFormat=P","Fill=—","Direction=H","UseDPDF=Y")</f>
        <v>#NAME?</v>
      </c>
      <c r="CH467" s="1" t="e">
        <f ca="1">_xll.BDH($C$453,"LT_DEBT_TO_TOT_EQY","FQ4 2016","FQ4 2016","Currency=INR","Period=FQ","BEST_FPERIOD_OVERRIDE=FQ","FILING_STATUS=OR","EQY_CONSOLIDATED=Y","Sort=A","Dates=H","DateFormat=P","Fill=—","Direction=H","UseDPDF=Y")</f>
        <v>#NAME?</v>
      </c>
      <c r="CI467" s="1" t="e">
        <f ca="1">_xll.BDH($C$453,"LT_DEBT_TO_TOT_CAP","FQ4 2016","FQ4 2016","Currency=INR","Period=FQ","BEST_FPERIOD_OVERRIDE=FQ","FILING_STATUS=OR","EQY_CONSOLIDATED=Y","Sort=A","Dates=H","DateFormat=P","Fill=—","Direction=H","UseDPDF=Y")</f>
        <v>#NAME?</v>
      </c>
      <c r="CJ467" s="1" t="e">
        <f ca="1">_xll.BDH($C$453,"LT_DEBT_TO_TOT_ASSET","FQ4 2016","FQ4 2016","Currency=INR","Period=FQ","BEST_FPERIOD_OVERRIDE=FQ","FILING_STATUS=OR","EQY_CONSOLIDATED=Y","Sort=A","Dates=H","DateFormat=P","Fill=—","Direction=H","UseDPDF=Y")</f>
        <v>#NAME?</v>
      </c>
      <c r="CK467" s="1" t="e">
        <f ca="1">_xll.BDH($C$453,"TOT_DEBT_TO_TOT_EQY","FQ4 2016","FQ4 2016","Currency=INR","Period=FQ","BEST_FPERIOD_OVERRIDE=FQ","FILING_STATUS=OR","EQY_CONSOLIDATED=Y","Sort=A","Dates=H","DateFormat=P","Fill=—","Direction=H","UseDPDF=Y")</f>
        <v>#NAME?</v>
      </c>
      <c r="CL467" s="1" t="e">
        <f ca="1">_xll.BDH($C$453,"TOT_DEBT_TO_TOT_CAP","FQ4 2016","FQ4 2016","Currency=INR","Period=FQ","BEST_FPERIOD_OVERRIDE=FQ","FILING_STATUS=OR","EQY_CONSOLIDATED=Y","Sort=A","Dates=H","DateFormat=P","Fill=—","Direction=H","UseDPDF=Y")</f>
        <v>#NAME?</v>
      </c>
      <c r="CM467" s="1" t="e">
        <f ca="1">_xll.BDH($C$453,"TOT_DEBT_TO_TOT_ASSET","FQ4 2016","FQ4 2016","Currency=INR","Period=FQ","BEST_FPERIOD_OVERRIDE=FQ","FILING_STATUS=OR","EQY_CONSOLIDATED=Y","Sort=A","Dates=H","DateFormat=P","Fill=—","Direction=H","UseDPDF=Y")</f>
        <v>#NAME?</v>
      </c>
      <c r="CN467" s="1" t="e">
        <f ca="1">_xll.BDH($C$453,"NET_DEBT_TO_SHRHLDR_EQTY","FQ4 2016","FQ4 2016","Currency=INR","Period=FQ","BEST_FPERIOD_OVERRIDE=FQ","FILING_STATUS=OR","EQY_CONSOLIDATED=Y","Sort=A","Dates=H","DateFormat=P","Fill=—","Direction=H","UseDPDF=Y")</f>
        <v>#NAME?</v>
      </c>
      <c r="CO467" s="1" t="e">
        <f ca="1">_xll.BDH($C$453,"NET_DEBT_%_CAPITAL","FQ4 2016","FQ4 2016","Currency=INR","Period=FQ","BEST_FPERIOD_OVERRIDE=FQ","FILING_STATUS=OR","EQY_CONSOLIDATED=Y","Sort=A","Dates=H","DateFormat=P","Fill=—","Direction=H","UseDPDF=Y")</f>
        <v>#NAME?</v>
      </c>
      <c r="CP467" s="2" t="e">
        <f ca="1">_xll.BDH($C$453,"EBITDA","FQ4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67" s="2" t="e">
        <f ca="1">_xll.BDH($C$453,"EBITDA_AFTER_CAPEX","FQ4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67" s="2" t="e">
        <f ca="1">_xll.BDH($C$453,"IS_OPER_INC","FQ4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67" s="1" t="e">
        <f ca="1">_xll.BDH($C$453,"CASH_RATIO","FQ4 2016","FQ4 2016","Currency=INR","Period=FQ","BEST_FPERIOD_OVERRIDE=FQ","FILING_STATUS=OR","EQY_CONSOLIDATED=Y","Sort=A","Dates=H","DateFormat=P","Fill=—","Direction=H","UseDPDF=Y")</f>
        <v>#NAME?</v>
      </c>
      <c r="CT467" s="1" t="e">
        <f ca="1">_xll.BDH($C$453,"CUR_RATIO","FQ4 2016","FQ4 2016","Currency=INR","Period=FQ","BEST_FPERIOD_OVERRIDE=FQ","FILING_STATUS=OR","EQY_CONSOLIDATED=Y","Sort=A","Dates=H","DateFormat=P","Fill=—","Direction=H","UseDPDF=Y")</f>
        <v>#NAME?</v>
      </c>
      <c r="CU467" s="1" t="e">
        <f ca="1">_xll.BDH($C$453,"QUICK_RATIO","FQ4 2016","FQ4 2016","Currency=INR","Period=FQ","BEST_FPERIOD_OVERRIDE=FQ","FILING_STATUS=OR","EQY_CONSOLIDATED=Y","Sort=A","Dates=H","DateFormat=P","Fill=—","Direction=H","UseDPDF=Y")</f>
        <v>#NAME?</v>
      </c>
      <c r="CV467" s="1" t="e">
        <f ca="1">_xll.BDH($C$453,"ALTMAN_Z_SCORE","FQ4 2016","FQ4 2016","Currency=INR","Period=FQ","BEST_FPERIOD_OVERRIDE=FQ","FILING_STATUS=OR","EQY_CONSOLIDATED=Y","Sort=A","Dates=H","DateFormat=P","Fill=—","Direction=H","UseDPDF=Y")</f>
        <v>#NAME?</v>
      </c>
      <c r="CW467" s="3" t="e">
        <f ca="1">_xll.BDH($C$453,"ACCT_RCV_TURN","FQ4 2016","FQ4 2016","Currency=INR","Period=FQ","BEST_FPERIOD_OVERRIDE=FQ","FILING_STATUS=OR","EQY_CONSOLIDATED=Y","FA_ADJUSTED=GAAP","Sort=A","Dates=H","DateFormat=P","Fill=—","Direction=H","UseDPDF=Y")</f>
        <v>#NAME?</v>
      </c>
      <c r="CX467" s="1" t="e">
        <f ca="1">_xll.BDH($C$453,"ACCT_RCV_DAYS","FQ4 2016","FQ4 2016","Currency=INR","Period=FQ","BEST_FPERIOD_OVERRIDE=FQ","FILING_STATUS=OR","EQY_CONSOLIDATED=Y","FA_ADJUSTED=GAAP","Sort=A","Dates=H","DateFormat=P","Fill=—","Direction=H","UseDPDF=Y")</f>
        <v>#NAME?</v>
      </c>
      <c r="CY467" s="3" t="e">
        <f ca="1">_xll.BDH($C$453,"INVENT_TURN","FQ4 2016","FQ4 2016","Currency=INR","Period=FQ","BEST_FPERIOD_OVERRIDE=FQ","FILING_STATUS=OR","EQY_CONSOLIDATED=Y","FA_ADJUSTED=GAAP","Sort=A","Dates=H","DateFormat=P","Fill=—","Direction=H","UseDPDF=Y")</f>
        <v>#NAME?</v>
      </c>
      <c r="CZ467" s="1" t="e">
        <f ca="1">_xll.BDH($C$453,"INVENT_DAYS","FQ4 2016","FQ4 2016","Currency=INR","Period=FQ","BEST_FPERIOD_OVERRIDE=FQ","FILING_STATUS=OR","EQY_CONSOLIDATED=Y","FA_ADJUSTED=GAAP","Sort=A","Dates=H","DateFormat=P","Fill=—","Direction=H","UseDPDF=Y")</f>
        <v>#NAME?</v>
      </c>
      <c r="DA467" s="3" t="e">
        <f ca="1">_xll.BDH($C$453,"ACCOUNTS_PAYABLE_TURNOVER","FQ4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67" s="1" t="e">
        <f ca="1">_xll.BDH($C$453,"ACCOUNTS_PAYABLE_TURNOVER_DAYS","FQ4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67" s="3" t="e">
        <f ca="1">_xll.BDH($C$453,"CASH_CONVERSION_CYCLE","FQ4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67" s="3" t="e">
        <f ca="1">_xll.BDH($C$453,"INV_TO_CASH_DAYS","FQ4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467" s="4" t="e">
        <f ca="1">_xll.BDH($C$453,"BS_INVENTORIES","FQ4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467" s="2" t="e">
        <f ca="1">_xll.BDH($C$453,"INVTRY_RAW_MATERIALS","FQ4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67" s="2" t="e">
        <f ca="1">_xll.BDH($C$453,"INVTRY_IN_PROGRESS","FQ4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67" s="2" t="e">
        <f ca="1">_xll.BDH($C$453,"INVTRY_FINISHED_GOODS","FQ4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67" s="2" t="e">
        <f ca="1">_xll.BDH($C$453,"BS_OTHER_INV","FQ4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68" spans="1:113" x14ac:dyDescent="0.3">
      <c r="A468" s="6"/>
      <c r="B468" s="6"/>
      <c r="C468" s="6"/>
      <c r="D468" s="6" t="s">
        <v>10</v>
      </c>
      <c r="E468" t="s">
        <v>3</v>
      </c>
      <c r="F468" t="e">
        <f ca="1">_xll.BDH($C$453,"RETURN_COM_EQY","FY 2017","FY 2017","Currency=INR","Period=FY","BEST_FPERIOD_OVERRIDE=FY","FILING_STATUS=OR","EQY_CONSOLIDATED=Y","FA_ADJUSTED=GAAP","Sort=A","Dates=H","DateFormat=P","Fill=—","Direction=H","UseDPDF=Y")</f>
        <v>#NAME?</v>
      </c>
      <c r="G468" t="e">
        <f ca="1">_xll.BDH($C$453,"RETURN_ON_ASSET","FY 2017","FY 2017","Currency=INR","Period=FY","BEST_FPERIOD_OVERRIDE=FY","FILING_STATUS=OR","EQY_CONSOLIDATED=Y","FA_ADJUSTED=GAAP","Sort=A","Dates=H","DateFormat=P","Fill=—","Direction=H","UseDPDF=Y")</f>
        <v>#NAME?</v>
      </c>
      <c r="H468" t="e">
        <f ca="1">_xll.BDH($C$453,"RETURN_ON_CAP","FY 2017","FY 2017","Currency=INR","Period=FY","BEST_FPERIOD_OVERRIDE=FY","FILING_STATUS=OR","EQY_CONSOLIDATED=Y","FA_ADJUSTED=GAAP","Sort=A","Dates=H","DateFormat=P","Fill=—","Direction=H","UseDPDF=Y")</f>
        <v>#NAME?</v>
      </c>
      <c r="I468" t="e">
        <f ca="1">_xll.BDH($C$453,"RETURN_ON_INV_CAPITAL","FY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68" t="e">
        <f ca="1">_xll.BDH($C$453,"EBITDA_TO_REVENUE","FY 2017","FY 2017","Currency=INR","Period=FY","BEST_FPERIOD_OVERRIDE=FY","FILING_STATUS=OR","EQY_CONSOLIDATED=Y","FA_ADJUSTED=GAAP","Sort=A","Dates=H","DateFormat=P","Fill=—","Direction=H","UseDPDF=Y")</f>
        <v>#NAME?</v>
      </c>
      <c r="K468" t="e">
        <f ca="1">_xll.BDH($C$453,"OPER_MARGIN","FY 2017","FY 2017","Currency=INR","Period=FY","BEST_FPERIOD_OVERRIDE=FY","FILING_STATUS=OR","EQY_CONSOLIDATED=Y","FA_ADJUSTED=GAAP","Sort=A","Dates=H","DateFormat=P","Fill=—","Direction=H","UseDPDF=Y")</f>
        <v>#NAME?</v>
      </c>
      <c r="L468" t="e">
        <f ca="1">_xll.BDH($C$453,"INCREMENTAL_OPERATING_MARGIN","FY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68" t="e">
        <f ca="1">_xll.BDH($C$453,"PRETAX_INC_TO_NET_SALES","FY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68" t="e">
        <f ca="1">_xll.BDH($C$453,"INC_BEF_XO_ITEMS_TO_NET_SALES","FY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68" t="e">
        <f ca="1">_xll.BDH($C$453,"PROF_MARGIN","FY 2017","FY 2017","Currency=INR","Period=FY","BEST_FPERIOD_OVERRIDE=FY","FILING_STATUS=OR","EQY_CONSOLIDATED=Y","FA_ADJUSTED=GAAP","Sort=A","Dates=H","DateFormat=P","Fill=—","Direction=H","UseDPDF=Y")</f>
        <v>#NAME?</v>
      </c>
      <c r="P468" t="e">
        <f ca="1">_xll.BDH($C$453,"NET_INCOME_TO_COMMON_MARGIN","FY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68" t="e">
        <f ca="1">_xll.BDH($C$453,"EFF_TAX_RATE","FY 2017","FY 2017","Currency=INR","Period=FY","BEST_FPERIOD_OVERRIDE=FY","FILING_STATUS=OR","EQY_CONSOLIDATED=Y","FA_ADJUSTED=GAAP","Sort=A","Dates=H","DateFormat=P","Fill=—","Direction=H","UseDPDF=Y")</f>
        <v>#NAME?</v>
      </c>
      <c r="R468" t="e">
        <f ca="1">_xll.BDH($C$453,"DVD_PAYOUT_RATIO","FY 2017","FY 2017","Currency=INR","Period=FY","BEST_FPERIOD_OVERRIDE=FY","FILING_STATUS=OR","EQY_CONSOLIDATED=Y","FA_ADJUSTED=GAAP","Sort=A","Dates=H","DateFormat=P","Fill=—","Direction=H","UseDPDF=Y")</f>
        <v>#NAME?</v>
      </c>
      <c r="S468" t="e">
        <f ca="1">_xll.BDH($C$453,"SUSTAIN_GROWTH_RT","FY 2017","FY 2017","Currency=INR","Period=FY","BEST_FPERIOD_OVERRIDE=FY","FILING_STATUS=OR","EQY_CONSOLIDATED=Y","FA_ADJUSTED=GAAP","Sort=A","Dates=H","DateFormat=P","Fill=—","Direction=H","UseDPDF=Y")</f>
        <v>#NAME?</v>
      </c>
      <c r="T468" s="1" t="e">
        <f ca="1">_xll.BDH($C$453,"SALES_GROWTH","FY 2017","FY 2017","Currency=INR","Period=FY","BEST_FPERIOD_OVERRIDE=FY","FILING_STATUS=OR","EQY_CONSOLIDATED=Y","FA_ADJUSTED=GAAP","Sort=A","Dates=H","DateFormat=P","Fill=—","Direction=H","UseDPDF=Y")</f>
        <v>#NAME?</v>
      </c>
      <c r="U468" s="1" t="e">
        <f ca="1">_xll.BDH($C$453,"EBITDA_GROWTH","FY 2017","FY 2017","Currency=INR","Period=FY","BEST_FPERIOD_OVERRIDE=FY","FILING_STATUS=OR","EQY_CONSOLIDATED=Y","FA_ADJUSTED=GAAP","Sort=A","Dates=H","DateFormat=P","Fill=—","Direction=H","UseDPDF=Y")</f>
        <v>#NAME?</v>
      </c>
      <c r="V468" s="1" t="e">
        <f ca="1">_xll.BDH($C$453,"OPER_INC_GROWTH","FY 2017","FY 2017","Currency=INR","Period=FY","BEST_FPERIOD_OVERRIDE=FY","FILING_STATUS=OR","EQY_CONSOLIDATED=Y","FA_ADJUSTED=GAAP","Sort=A","Dates=H","DateFormat=P","Fill=—","Direction=H","UseDPDF=Y")</f>
        <v>#NAME?</v>
      </c>
      <c r="W468" s="1" t="e">
        <f ca="1">_xll.BDH($C$453,"EARN_FOR_COM_GROWTH","FY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468" s="1" t="e">
        <f ca="1">_xll.BDH($C$453,"DILUTED_EPS_AFT_XO_ITEMS_GROWTH","FY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68" s="1" t="e">
        <f ca="1">_xll.BDH($C$453,"DIVIDEND_PER_SHARE_1_YEAR_GROWTH","FY 2017","FY 2017","Currency=INR","Period=FY","BEST_FPERIOD_OVERRIDE=FY","FILING_STATUS=OR","EQY_CONSOLIDATED=Y","Sort=A","Dates=H","DateFormat=P","Fill=—","Direction=H","UseDPDF=Y")</f>
        <v>#NAME?</v>
      </c>
      <c r="Z468" s="1" t="e">
        <f ca="1">_xll.BDH($C$453,"ACCOUNTS_RECEIVABLE_GROWTH","FY 2017","FY 2017","Currency=INR","Period=FY","BEST_FPERIOD_OVERRIDE=FY","FILING_STATUS=OR","EQY_CONSOLIDATED=Y","Sort=A","Dates=H","DateFormat=P","Fill=—","Direction=H","UseDPDF=Y")</f>
        <v>#NAME?</v>
      </c>
      <c r="AA468" s="1" t="e">
        <f ca="1">_xll.BDH($C$453,"INVENTORY_GROWTH","FY 2017","FY 2017","Currency=INR","Period=FY","BEST_FPERIOD_OVERRIDE=FY","FILING_STATUS=OR","EQY_CONSOLIDATED=Y","Sort=A","Dates=H","DateFormat=P","Fill=—","Direction=H","UseDPDF=Y")</f>
        <v>#NAME?</v>
      </c>
      <c r="AB468" s="1" t="e">
        <f ca="1">_xll.BDH($C$453,"NET_FIXED_ASSETS_1_YEAR_GROWTH","FY 2017","FY 2017","Currency=INR","Period=FY","BEST_FPERIOD_OVERRIDE=FY","FILING_STATUS=OR","EQY_CONSOLIDATED=Y","Sort=A","Dates=H","DateFormat=P","Fill=—","Direction=H","UseDPDF=Y")</f>
        <v>#NAME?</v>
      </c>
      <c r="AC468" s="1" t="e">
        <f ca="1">_xll.BDH($C$453,"ASSET_GROWTH","FY 2017","FY 2017","Currency=INR","Period=FY","BEST_FPERIOD_OVERRIDE=FY","FILING_STATUS=OR","EQY_CONSOLIDATED=Y","Sort=A","Dates=H","DateFormat=P","Fill=—","Direction=H","UseDPDF=Y")</f>
        <v>#NAME?</v>
      </c>
      <c r="AD468" s="1" t="e">
        <f ca="1">_xll.BDH($C$453,"MODIFIED_WORK_CAP_GROWTH","FY 2017","FY 2017","Currency=INR","Period=FY","BEST_FPERIOD_OVERRIDE=FY","FILING_STATUS=OR","EQY_CONSOLIDATED=Y","Sort=A","Dates=H","DateFormat=P","Fill=—","Direction=H","UseDPDF=Y")</f>
        <v>#NAME?</v>
      </c>
      <c r="AE468" s="1" t="e">
        <f ca="1">_xll.BDH($C$453,"WORK_CAP_GROWTH","FY 2017","FY 2017","Currency=INR","Period=FY","BEST_FPERIOD_OVERRIDE=FY","FILING_STATUS=OR","EQY_CONSOLIDATED=Y","Sort=A","Dates=H","DateFormat=P","Fill=—","Direction=H","UseDPDF=Y")</f>
        <v>#NAME?</v>
      </c>
      <c r="AF468" s="1" t="e">
        <f ca="1">_xll.BDH($C$453,"ACCOUNTS_PAYABLE_GROWTH_1YR","FY 2017","FY 2017","Currency=INR","Period=FY","BEST_FPERIOD_OVERRIDE=FY","FILING_STATUS=OR","EQY_CONSOLIDATED=Y","Sort=A","Dates=H","DateFormat=P","Fill=—","Direction=H","UseDPDF=Y")</f>
        <v>#NAME?</v>
      </c>
      <c r="AG468" s="1" t="e">
        <f ca="1">_xll.BDH($C$453,"SHORT_TERM_DEBT_1_YEAR_GROWTH","FY 2017","FY 2017","Currency=INR","Period=FY","BEST_FPERIOD_OVERRIDE=FY","FILING_STATUS=OR","EQY_CONSOLIDATED=Y","Sort=A","Dates=H","DateFormat=P","Fill=—","Direction=H","UseDPDF=Y")</f>
        <v>#NAME?</v>
      </c>
      <c r="AH468" s="1" t="e">
        <f ca="1">_xll.BDH($C$453,"TOTAL_DEBT_1_YEAR_GROWTH","FY 2017","FY 2017","Currency=INR","Period=FY","BEST_FPERIOD_OVERRIDE=FY","FILING_STATUS=OR","EQY_CONSOLIDATED=Y","Sort=A","Dates=H","DateFormat=P","Fill=—","Direction=H","UseDPDF=Y")</f>
        <v>#NAME?</v>
      </c>
      <c r="AI468" s="1" t="e">
        <f ca="1">_xll.BDH($C$453,"TOTAL_EQUITY_1_YEAR_GROWTH","FY 2017","FY 2017","Currency=INR","Period=FY","BEST_FPERIOD_OVERRIDE=FY","FILING_STATUS=OR","EQY_CONSOLIDATED=Y","Sort=A","Dates=H","DateFormat=P","Fill=—","Direction=H","UseDPDF=Y")</f>
        <v>#NAME?</v>
      </c>
      <c r="AJ468" s="1" t="e">
        <f ca="1">_xll.BDH($C$453,"GROWTH_IN_CAP","FY 2017","FY 2017","Currency=INR","Period=FY","BEST_FPERIOD_OVERRIDE=FY","FILING_STATUS=OR","EQY_CONSOLIDATED=Y","Sort=A","Dates=H","DateFormat=P","Fill=—","Direction=H","UseDPDF=Y")</f>
        <v>#NAME?</v>
      </c>
      <c r="AK468" s="1" t="e">
        <f ca="1">_xll.BDH($C$453,"BVPS_GROWTH","FY 2017","FY 2017","Currency=INR","Period=FY","BEST_FPERIOD_OVERRIDE=FY","FILING_STATUS=OR","EQY_CONSOLIDATED=Y","Sort=A","Dates=H","DateFormat=P","Fill=—","Direction=H","UseDPDF=Y")</f>
        <v>#NAME?</v>
      </c>
      <c r="AL468" s="1" t="e">
        <f ca="1">_xll.BDH($C$453,"CASH_FLOW_GROWTH","FY 2017","FY 2017","Currency=INR","Period=FY","BEST_FPERIOD_OVERRIDE=FY","FILING_STATUS=OR","EQY_CONSOLIDATED=Y","Sort=A","Dates=H","DateFormat=P","Fill=—","Direction=H","UseDPDF=Y")</f>
        <v>#NAME?</v>
      </c>
      <c r="AM468" s="1" t="e">
        <f ca="1">_xll.BDH($C$453,"GEO_GROW_NET_SALES","FY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468" s="1" t="e">
        <f ca="1">_xll.BDH($C$453,"GEO_GROW_EBITDA","FY 2017","FY 2017","Currency=INR","Period=FY","BEST_FPERIOD_OVERRIDE=FY","FILING_STATUS=OR","EQY_CONSOLIDATED=Y","FA_ADJUSTED=GAAP","Sort=A","Dates=H","DateFormat=P","Fill=—","Direction=H","UseDPDF=Y")</f>
        <v>#NAME?</v>
      </c>
      <c r="AO468" s="1" t="e">
        <f ca="1">_xll.BDH($C$453,"GEO_GROW_OPER_INC","FY 2017","FY 2017","Currency=INR","Period=FY","BEST_FPERIOD_OVERRIDE=FY","FILING_STATUS=OR","EQY_CONSOLIDATED=Y","FA_ADJUSTED=GAAP","Sort=A","Dates=H","DateFormat=P","Fill=—","Direction=H","UseDPDF=Y")</f>
        <v>#NAME?</v>
      </c>
      <c r="AP468" s="1" t="e">
        <f ca="1">_xll.BDH($C$453,"NET_INCOME_TO_COMMON_5_YR_GROWTH","FY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68" s="1" t="e">
        <f ca="1">_xll.BDH($C$453,"5Y_GEO_GROWTH_DILUTED_EPS","FY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68" s="1" t="e">
        <f ca="1">_xll.BDH($C$453,"GEO_GROW_DVD_PER_SH","FY 2017","FY 2017","Currency=INR","Period=FY","BEST_FPERIOD_OVERRIDE=FY","FILING_STATUS=OR","EQY_CONSOLIDATED=Y","Sort=A","Dates=H","DateFormat=P","Fill=—","Direction=H","UseDPDF=Y")</f>
        <v>#NAME?</v>
      </c>
      <c r="AS468" s="1" t="e">
        <f ca="1">_xll.BDH($C$453,"ACCOUNTS_RECEIVABLE_5_YR_GROWTH","FY 2017","FY 2017","Currency=INR","Period=FY","BEST_FPERIOD_OVERRIDE=FY","FILING_STATUS=OR","EQY_CONSOLIDATED=Y","Sort=A","Dates=H","DateFormat=P","Fill=—","Direction=H","UseDPDF=Y")</f>
        <v>#NAME?</v>
      </c>
      <c r="AT468" s="1" t="e">
        <f ca="1">_xll.BDH($C$453,"INVENTORY_5_YEAR_GROWTH","FY 2017","FY 2017","Currency=INR","Period=FY","BEST_FPERIOD_OVERRIDE=FY","FILING_STATUS=OR","EQY_CONSOLIDATED=Y","Sort=A","Dates=H","DateFormat=P","Fill=—","Direction=H","UseDPDF=Y")</f>
        <v>#NAME?</v>
      </c>
      <c r="AU468" s="1" t="e">
        <f ca="1">_xll.BDH($C$453,"NET_FIXED_ASSETS_5_YEAR_GROWTH","FY 2017","FY 2017","Currency=INR","Period=FY","BEST_FPERIOD_OVERRIDE=FY","FILING_STATUS=OR","EQY_CONSOLIDATED=Y","Sort=A","Dates=H","DateFormat=P","Fill=—","Direction=H","UseDPDF=Y")</f>
        <v>#NAME?</v>
      </c>
      <c r="AV468" s="1" t="e">
        <f ca="1">_xll.BDH($C$453,"GEO_GROW_TOT_ASSET","FY 2017","FY 2017","Currency=INR","Period=FY","BEST_FPERIOD_OVERRIDE=FY","FILING_STATUS=OR","EQY_CONSOLIDATED=Y","Sort=A","Dates=H","DateFormat=P","Fill=—","Direction=H","UseDPDF=Y")</f>
        <v>#NAME?</v>
      </c>
      <c r="AW468" s="1" t="e">
        <f ca="1">_xll.BDH($C$453,"MODIFIED_WORKING_CPTL_5YR_GRWTH","FY 2017","FY 2017","Currency=INR","Period=FY","BEST_FPERIOD_OVERRIDE=FY","FILING_STATUS=OR","EQY_CONSOLIDATED=Y","Sort=A","Dates=H","DateFormat=P","Fill=—","Direction=H","UseDPDF=Y")</f>
        <v>#NAME?</v>
      </c>
      <c r="AX468" s="1" t="e">
        <f ca="1">_xll.BDH($C$453,"WORKING_CAPITAL_5_YEAR_GROWTH","FY 2017","FY 2017","Currency=INR","Period=FY","BEST_FPERIOD_OVERRIDE=FY","FILING_STATUS=OR","EQY_CONSOLIDATED=Y","Sort=A","Dates=H","DateFormat=P","Fill=—","Direction=H","UseDPDF=Y")</f>
        <v>#NAME?</v>
      </c>
      <c r="AY468" s="1" t="e">
        <f ca="1">_xll.BDH($C$453,"ACCOUNTS_PAYABLE_5_YEAR_GROWTH","FY 2017","FY 2017","Currency=INR","Period=FY","BEST_FPERIOD_OVERRIDE=FY","FILING_STATUS=OR","EQY_CONSOLIDATED=Y","Sort=A","Dates=H","DateFormat=P","Fill=—","Direction=H","UseDPDF=Y")</f>
        <v>#NAME?</v>
      </c>
      <c r="AZ468" s="1" t="e">
        <f ca="1">_xll.BDH($C$453,"SHORT_TERM_DEBT_5_YEAR_GROWTH","FY 2017","FY 2017","Currency=INR","Period=FY","BEST_FPERIOD_OVERRIDE=FY","FILING_STATUS=OR","EQY_CONSOLIDATED=Y","Sort=A","Dates=H","DateFormat=P","Fill=—","Direction=H","UseDPDF=Y")</f>
        <v>#NAME?</v>
      </c>
      <c r="BA468" s="1" t="e">
        <f ca="1">_xll.BDH($C$453,"TOTAL_DEBT_5_YEAR_GROWTH","FY 2017","FY 2017","Currency=INR","Period=FY","BEST_FPERIOD_OVERRIDE=FY","FILING_STATUS=OR","EQY_CONSOLIDATED=Y","Sort=A","Dates=H","DateFormat=P","Fill=—","Direction=H","UseDPDF=Y")</f>
        <v>#NAME?</v>
      </c>
      <c r="BB468" s="1" t="e">
        <f ca="1">_xll.BDH($C$453,"GEO_GROW_TOT_SHRHLDR_EQY","FY 2017","FY 2017","Currency=INR","Period=FY","BEST_FPERIOD_OVERRIDE=FY","FILING_STATUS=OR","EQY_CONSOLIDATED=Y","Sort=A","Dates=H","DateFormat=P","Fill=—","Direction=H","UseDPDF=Y")</f>
        <v>#NAME?</v>
      </c>
      <c r="BC468" s="1" t="e">
        <f ca="1">_xll.BDH($C$453,"TOTAL_CAPITAL_5_YEAR_GROWTH","FY 2017","FY 2017","Currency=INR","Period=FY","BEST_FPERIOD_OVERRIDE=FY","FILING_STATUS=OR","EQY_CONSOLIDATED=Y","Sort=A","Dates=H","DateFormat=P","Fill=—","Direction=H","UseDPDF=Y")</f>
        <v>#NAME?</v>
      </c>
      <c r="BD468" s="1" t="e">
        <f ca="1">_xll.BDH($C$453,"GEO_GROW_BOOK_VAL","FY 2017","FY 2017","Currency=INR","Period=FY","BEST_FPERIOD_OVERRIDE=FY","FILING_STATUS=OR","EQY_CONSOLIDATED=Y","Sort=A","Dates=H","DateFormat=P","Fill=—","Direction=H","UseDPDF=Y")</f>
        <v>#NAME?</v>
      </c>
      <c r="BE468" s="1" t="e">
        <f ca="1">_xll.BDH($C$453,"GEO_GROW_CASH_OPER_ACT","FY 2017","FY 2017","Currency=INR","Period=FY","BEST_FPERIOD_OVERRIDE=FY","FILING_STATUS=OR","EQY_CONSOLIDATED=Y","Sort=A","Dates=H","DateFormat=P","Fill=—","Direction=H","UseDPDF=Y")</f>
        <v>#NAME?</v>
      </c>
      <c r="BF468" s="1" t="e">
        <f ca="1">_xll.BDH($C$453,"REVENUE_SEQUENTIAL_GROWTH","FY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68" s="1" t="e">
        <f ca="1">_xll.BDH($C$453,"EBITDA_SEQUENTIAL_GROWTH","FY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68" s="1" t="e">
        <f ca="1">_xll.BDH($C$453,"OPERATING_INCOME_SEQ_GROWTH","FY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68" s="1" t="e">
        <f ca="1">_xll.BDH($C$453,"NET_INCOME_TO_COMMON_SEQ_GROWTH","FY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68" s="1" t="e">
        <f ca="1">_xll.BDH($C$453,"EPS_DILUTED_SEQUENTIAL_GROWTH","FY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68" s="1" t="e">
        <f ca="1">_xll.BDH($C$453,"DPS_SEQUENTIAL_GROWTH","FY 2017","FY 2017","Currency=INR","Period=FY","BEST_FPERIOD_OVERRIDE=FY","FILING_STATUS=OR","EQY_CONSOLIDATED=Y","Sort=A","Dates=H","DateFormat=P","Fill=—","Direction=H","UseDPDF=Y")</f>
        <v>#NAME?</v>
      </c>
      <c r="BL468" s="1" t="e">
        <f ca="1">_xll.BDH($C$453,"ACCOUNTS_RECEIVABLE_SEQ_GROWTH","FY 2017","FY 2017","Currency=INR","Period=FY","BEST_FPERIOD_OVERRIDE=FY","FILING_STATUS=OR","EQY_CONSOLIDATED=Y","Sort=A","Dates=H","DateFormat=P","Fill=—","Direction=H","UseDPDF=Y")</f>
        <v>#NAME?</v>
      </c>
      <c r="BM468" s="1" t="e">
        <f ca="1">_xll.BDH($C$453,"INVENTORY_SEQUENTIAL_GROWTH","FY 2017","FY 2017","Currency=INR","Period=FY","BEST_FPERIOD_OVERRIDE=FY","FILING_STATUS=OR","EQY_CONSOLIDATED=Y","Sort=A","Dates=H","DateFormat=P","Fill=—","Direction=H","UseDPDF=Y")</f>
        <v>#NAME?</v>
      </c>
      <c r="BN468" s="1" t="e">
        <f ca="1">_xll.BDH($C$453,"FIXED_ASSETS_SEQUENTIAL_GROWTH","FY 2017","FY 2017","Currency=INR","Period=FY","BEST_FPERIOD_OVERRIDE=FY","FILING_STATUS=OR","EQY_CONSOLIDATED=Y","Sort=A","Dates=H","DateFormat=P","Fill=—","Direction=H","UseDPDF=Y")</f>
        <v>#NAME?</v>
      </c>
      <c r="BO468" s="1" t="e">
        <f ca="1">_xll.BDH($C$453,"TOTAL_ASSETS_SEQUENTIAL_GROWTH","FY 2017","FY 2017","Currency=INR","Period=FY","BEST_FPERIOD_OVERRIDE=FY","FILING_STATUS=OR","EQY_CONSOLIDATED=Y","Sort=A","Dates=H","DateFormat=P","Fill=—","Direction=H","UseDPDF=Y")</f>
        <v>#NAME?</v>
      </c>
      <c r="BP468" s="1" t="e">
        <f ca="1">_xll.BDH($C$453,"MODIFIED_WORKING_CPTL_SEQ_GRWTH","FY 2017","FY 2017","Currency=INR","Period=FY","BEST_FPERIOD_OVERRIDE=FY","FILING_STATUS=OR","EQY_CONSOLIDATED=Y","Sort=A","Dates=H","DateFormat=P","Fill=—","Direction=H","UseDPDF=Y")</f>
        <v>#NAME?</v>
      </c>
      <c r="BQ468" s="1" t="e">
        <f ca="1">_xll.BDH($C$453,"WORKING_CAPITAL_SEQ_GROWTH","FY 2017","FY 2017","Currency=INR","Period=FY","BEST_FPERIOD_OVERRIDE=FY","FILING_STATUS=OR","EQY_CONSOLIDATED=Y","Sort=A","Dates=H","DateFormat=P","Fill=—","Direction=H","UseDPDF=Y")</f>
        <v>#NAME?</v>
      </c>
      <c r="BR468" s="1" t="e">
        <f ca="1">_xll.BDH($C$453,"ACCOUNTS_PAYABLE_SEQ_GROWTH","FY 2017","FY 2017","Currency=INR","Period=FY","BEST_FPERIOD_OVERRIDE=FY","FILING_STATUS=OR","EQY_CONSOLIDATED=Y","Sort=A","Dates=H","DateFormat=P","Fill=—","Direction=H","UseDPDF=Y")</f>
        <v>#NAME?</v>
      </c>
      <c r="BS468" s="1" t="e">
        <f ca="1">_xll.BDH($C$453,"ST_DEBT_SEQUENTIAL_GROWTH","FY 2017","FY 2017","Currency=INR","Period=FY","BEST_FPERIOD_OVERRIDE=FY","FILING_STATUS=OR","EQY_CONSOLIDATED=Y","Sort=A","Dates=H","DateFormat=P","Fill=—","Direction=H","UseDPDF=Y")</f>
        <v>#NAME?</v>
      </c>
      <c r="BT468" s="1" t="e">
        <f ca="1">_xll.BDH($C$453,"TOTAL_DEBT_SEQUENTIAL_GROWTH","FY 2017","FY 2017","Currency=INR","Period=FY","BEST_FPERIOD_OVERRIDE=FY","FILING_STATUS=OR","EQY_CONSOLIDATED=Y","Sort=A","Dates=H","DateFormat=P","Fill=—","Direction=H","UseDPDF=Y")</f>
        <v>#NAME?</v>
      </c>
      <c r="BU468" s="1" t="e">
        <f ca="1">_xll.BDH($C$453,"TOTAL_EQUITY_SEQUENTIAL_GROWTH","FY 2017","FY 2017","Currency=INR","Period=FY","BEST_FPERIOD_OVERRIDE=FY","FILING_STATUS=OR","EQY_CONSOLIDATED=Y","Sort=A","Dates=H","DateFormat=P","Fill=—","Direction=H","UseDPDF=Y")</f>
        <v>#NAME?</v>
      </c>
      <c r="BV468" s="1" t="e">
        <f ca="1">_xll.BDH($C$453,"TOTAL_CAPITAL_SEQUENTIAL_GROWTH","FY 2017","FY 2017","Currency=INR","Period=FY","BEST_FPERIOD_OVERRIDE=FY","FILING_STATUS=OR","EQY_CONSOLIDATED=Y","Sort=A","Dates=H","DateFormat=P","Fill=—","Direction=H","UseDPDF=Y")</f>
        <v>#NAME?</v>
      </c>
      <c r="BW468" s="1" t="e">
        <f ca="1">_xll.BDH($C$453,"BPS_SEQUENTIAL_GROWTH","FY 2017","FY 2017","Currency=INR","Period=FY","BEST_FPERIOD_OVERRIDE=FY","FILING_STATUS=OR","EQY_CONSOLIDATED=Y","Sort=A","Dates=H","DateFormat=P","Fill=—","Direction=H","UseDPDF=Y")</f>
        <v>#NAME?</v>
      </c>
      <c r="BX468" s="1" t="e">
        <f ca="1">_xll.BDH($C$453,"CFO_SEQUENTIAL_GROWTH","FY 2017","FY 2017","Currency=INR","Period=FY","BEST_FPERIOD_OVERRIDE=FY","FILING_STATUS=OR","EQY_CONSOLIDATED=Y","Sort=A","Dates=H","DateFormat=P","Fill=—","Direction=H","UseDPDF=Y")</f>
        <v>#NAME?</v>
      </c>
      <c r="BY468" s="2" t="e">
        <f ca="1">_xll.BDH($C$453,"SHORT_AND_LONG_TERM_DEBT","FY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68" s="2" t="e">
        <f ca="1">_xll.BDH($C$453,"BS_ST_BORROW","FY 2017","FY 2017","Currency=INR","Period=FY","BEST_FPERIOD_OVERRIDE=FY","FILING_STATUS=OR","EQY_CONSOLIDATED=Y","SCALING_FORMAT=MLN","Sort=A","Dates=H","DateFormat=P","Fill=—","Direction=H","UseDPDF=Y")</f>
        <v>#NAME?</v>
      </c>
      <c r="CA468" s="2" t="e">
        <f ca="1">_xll.BDH($C$453,"BS_LT_BORROW","FY 2017","FY 2017","Currency=INR","Period=FY","BEST_FPERIOD_OVERRIDE=FY","FILING_STATUS=OR","EQY_CONSOLIDATED=Y","SCALING_FORMAT=MLN","Sort=A","Dates=H","DateFormat=P","Fill=—","Direction=H","UseDPDF=Y")</f>
        <v>#NAME?</v>
      </c>
      <c r="CB468" s="1" t="e">
        <f ca="1">_xll.BDH($C$453,"TOT_DEBT_TO_EBITDA","FY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468" s="1" t="e">
        <f ca="1">_xll.BDH($C$453,"NET_DEBT_TO_EBITDA","FY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468" s="1" t="e">
        <f ca="1">_xll.BDH($C$453,"TOTAL_DEBT_TO_EBIT","FY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468" s="1" t="e">
        <f ca="1">_xll.BDH($C$453,"NET_DEBT_TO_EBIT","FY 2017","FY 2017","Currency=INR","Period=FY","BEST_FPERIOD_OVERRIDE=FY","FILING_STATUS=OR","EQY_CONSOLIDATED=Y","FA_ADJUSTED=GAAP","Sort=A","Dates=H","DateFormat=P","Fill=—","Direction=H","UseDPDF=Y")</f>
        <v>#NAME?</v>
      </c>
      <c r="CF468" s="1" t="e">
        <f ca="1">_xll.BDH($C$453,"EBITDA_TO_INTEREST_EXPN","FY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68" s="1" t="e">
        <f ca="1">_xll.BDH($C$453,"COM_EQY_TO_TOT_ASSET","FY 2017","FY 2017","Currency=INR","Period=FY","BEST_FPERIOD_OVERRIDE=FY","FILING_STATUS=OR","EQY_CONSOLIDATED=Y","Sort=A","Dates=H","DateFormat=P","Fill=—","Direction=H","UseDPDF=Y")</f>
        <v>#NAME?</v>
      </c>
      <c r="CH468" s="1" t="e">
        <f ca="1">_xll.BDH($C$453,"LT_DEBT_TO_TOT_EQY","FY 2017","FY 2017","Currency=INR","Period=FY","BEST_FPERIOD_OVERRIDE=FY","FILING_STATUS=OR","EQY_CONSOLIDATED=Y","Sort=A","Dates=H","DateFormat=P","Fill=—","Direction=H","UseDPDF=Y")</f>
        <v>#NAME?</v>
      </c>
      <c r="CI468" s="1" t="e">
        <f ca="1">_xll.BDH($C$453,"LT_DEBT_TO_TOT_CAP","FY 2017","FY 2017","Currency=INR","Period=FY","BEST_FPERIOD_OVERRIDE=FY","FILING_STATUS=OR","EQY_CONSOLIDATED=Y","Sort=A","Dates=H","DateFormat=P","Fill=—","Direction=H","UseDPDF=Y")</f>
        <v>#NAME?</v>
      </c>
      <c r="CJ468" s="1" t="e">
        <f ca="1">_xll.BDH($C$453,"LT_DEBT_TO_TOT_ASSET","FY 2017","FY 2017","Currency=INR","Period=FY","BEST_FPERIOD_OVERRIDE=FY","FILING_STATUS=OR","EQY_CONSOLIDATED=Y","Sort=A","Dates=H","DateFormat=P","Fill=—","Direction=H","UseDPDF=Y")</f>
        <v>#NAME?</v>
      </c>
      <c r="CK468" s="1" t="e">
        <f ca="1">_xll.BDH($C$453,"TOT_DEBT_TO_TOT_EQY","FY 2017","FY 2017","Currency=INR","Period=FY","BEST_FPERIOD_OVERRIDE=FY","FILING_STATUS=OR","EQY_CONSOLIDATED=Y","Sort=A","Dates=H","DateFormat=P","Fill=—","Direction=H","UseDPDF=Y")</f>
        <v>#NAME?</v>
      </c>
      <c r="CL468" s="1" t="e">
        <f ca="1">_xll.BDH($C$453,"TOT_DEBT_TO_TOT_CAP","FY 2017","FY 2017","Currency=INR","Period=FY","BEST_FPERIOD_OVERRIDE=FY","FILING_STATUS=OR","EQY_CONSOLIDATED=Y","Sort=A","Dates=H","DateFormat=P","Fill=—","Direction=H","UseDPDF=Y")</f>
        <v>#NAME?</v>
      </c>
      <c r="CM468" s="1" t="e">
        <f ca="1">_xll.BDH($C$453,"TOT_DEBT_TO_TOT_ASSET","FY 2017","FY 2017","Currency=INR","Period=FY","BEST_FPERIOD_OVERRIDE=FY","FILING_STATUS=OR","EQY_CONSOLIDATED=Y","Sort=A","Dates=H","DateFormat=P","Fill=—","Direction=H","UseDPDF=Y")</f>
        <v>#NAME?</v>
      </c>
      <c r="CN468" s="1" t="e">
        <f ca="1">_xll.BDH($C$453,"NET_DEBT_TO_SHRHLDR_EQTY","FY 2017","FY 2017","Currency=INR","Period=FY","BEST_FPERIOD_OVERRIDE=FY","FILING_STATUS=OR","EQY_CONSOLIDATED=Y","Sort=A","Dates=H","DateFormat=P","Fill=—","Direction=H","UseDPDF=Y")</f>
        <v>#NAME?</v>
      </c>
      <c r="CO468" s="1" t="e">
        <f ca="1">_xll.BDH($C$453,"NET_DEBT_%_CAPITAL","FY 2017","FY 2017","Currency=INR","Period=FY","BEST_FPERIOD_OVERRIDE=FY","FILING_STATUS=OR","EQY_CONSOLIDATED=Y","Sort=A","Dates=H","DateFormat=P","Fill=—","Direction=H","UseDPDF=Y")</f>
        <v>#NAME?</v>
      </c>
      <c r="CP468" s="2" t="e">
        <f ca="1">_xll.BDH($C$453,"EBITDA","FY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68" s="2" t="e">
        <f ca="1">_xll.BDH($C$453,"EBITDA_AFTER_CAPEX","FY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68" s="2" t="e">
        <f ca="1">_xll.BDH($C$453,"IS_OPER_INC","FY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68" s="1" t="e">
        <f ca="1">_xll.BDH($C$453,"CASH_RATIO","FY 2017","FY 2017","Currency=INR","Period=FY","BEST_FPERIOD_OVERRIDE=FY","FILING_STATUS=OR","EQY_CONSOLIDATED=Y","Sort=A","Dates=H","DateFormat=P","Fill=—","Direction=H","UseDPDF=Y")</f>
        <v>#NAME?</v>
      </c>
      <c r="CT468" s="1" t="e">
        <f ca="1">_xll.BDH($C$453,"CUR_RATIO","FY 2017","FY 2017","Currency=INR","Period=FY","BEST_FPERIOD_OVERRIDE=FY","FILING_STATUS=OR","EQY_CONSOLIDATED=Y","Sort=A","Dates=H","DateFormat=P","Fill=—","Direction=H","UseDPDF=Y")</f>
        <v>#NAME?</v>
      </c>
      <c r="CU468" s="1" t="e">
        <f ca="1">_xll.BDH($C$453,"QUICK_RATIO","FY 2017","FY 2017","Currency=INR","Period=FY","BEST_FPERIOD_OVERRIDE=FY","FILING_STATUS=OR","EQY_CONSOLIDATED=Y","Sort=A","Dates=H","DateFormat=P","Fill=—","Direction=H","UseDPDF=Y")</f>
        <v>#NAME?</v>
      </c>
      <c r="CV468" s="1" t="e">
        <f ca="1">_xll.BDH($C$453,"ALTMAN_Z_SCORE","FY 2017","FY 2017","Currency=INR","Period=FY","BEST_FPERIOD_OVERRIDE=FY","FILING_STATUS=OR","EQY_CONSOLIDATED=Y","Sort=A","Dates=H","DateFormat=P","Fill=—","Direction=H","UseDPDF=Y")</f>
        <v>#NAME?</v>
      </c>
      <c r="CW468" s="3" t="e">
        <f ca="1">_xll.BDH($C$453,"ACCT_RCV_TURN","FY 2017","FY 2017","Currency=INR","Period=FY","BEST_FPERIOD_OVERRIDE=FY","FILING_STATUS=OR","EQY_CONSOLIDATED=Y","FA_ADJUSTED=GAAP","Sort=A","Dates=H","DateFormat=P","Fill=—","Direction=H","UseDPDF=Y")</f>
        <v>#NAME?</v>
      </c>
      <c r="CX468" s="1" t="e">
        <f ca="1">_xll.BDH($C$453,"ACCT_RCV_DAYS","FY 2017","FY 2017","Currency=INR","Period=FY","BEST_FPERIOD_OVERRIDE=FY","FILING_STATUS=OR","EQY_CONSOLIDATED=Y","FA_ADJUSTED=GAAP","Sort=A","Dates=H","DateFormat=P","Fill=—","Direction=H","UseDPDF=Y")</f>
        <v>#NAME?</v>
      </c>
      <c r="CY468" s="3" t="e">
        <f ca="1">_xll.BDH($C$453,"INVENT_TURN","FY 2017","FY 2017","Currency=INR","Period=FY","BEST_FPERIOD_OVERRIDE=FY","FILING_STATUS=OR","EQY_CONSOLIDATED=Y","FA_ADJUSTED=GAAP","Sort=A","Dates=H","DateFormat=P","Fill=—","Direction=H","UseDPDF=Y")</f>
        <v>#NAME?</v>
      </c>
      <c r="CZ468" s="1" t="e">
        <f ca="1">_xll.BDH($C$453,"INVENT_DAYS","FY 2017","FY 2017","Currency=INR","Period=FY","BEST_FPERIOD_OVERRIDE=FY","FILING_STATUS=OR","EQY_CONSOLIDATED=Y","FA_ADJUSTED=GAAP","Sort=A","Dates=H","DateFormat=P","Fill=—","Direction=H","UseDPDF=Y")</f>
        <v>#NAME?</v>
      </c>
      <c r="DA468" s="3" t="e">
        <f ca="1">_xll.BDH($C$453,"ACCOUNTS_PAYABLE_TURNOVER","FY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68" s="1" t="e">
        <f ca="1">_xll.BDH($C$453,"ACCOUNTS_PAYABLE_TURNOVER_DAYS","FY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68" s="3" t="e">
        <f ca="1">_xll.BDH($C$453,"CASH_CONVERSION_CYCLE","FY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68" s="3" t="e">
        <f ca="1">_xll.BDH($C$453,"INV_TO_CASH_DAYS","FY 2017","FY 2017","Currency=INR","Period=FY","BEST_FPERIOD_OVERRIDE=FY","FILING_STATUS=OR","EQY_CONSOLIDATED=Y","FA_ADJUSTED=GAAP","Sort=A","Dates=H","DateFormat=P","Fill=—","Direction=H","UseDPDF=Y")</f>
        <v>#NAME?</v>
      </c>
      <c r="DE468" s="4" t="e">
        <f ca="1">_xll.BDH($C$453,"BS_INVENTORIES","FY 2017","FY 2017","Currency=INR","Period=FY","BEST_FPERIOD_OVERRIDE=FY","FILING_STATUS=OR","EQY_CONSOLIDATED=Y","SCALING_FORMAT=MLN","Sort=A","Dates=H","DateFormat=P","Fill=—","Direction=H","UseDPDF=Y")</f>
        <v>#NAME?</v>
      </c>
      <c r="DF468" s="2" t="e">
        <f ca="1">_xll.BDH($C$453,"INVTRY_RAW_MATERIALS","FY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68" s="2" t="e">
        <f ca="1">_xll.BDH($C$453,"INVTRY_IN_PROGRESS","FY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68" s="2" t="e">
        <f ca="1">_xll.BDH($C$453,"INVTRY_FINISHED_GOODS","FY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68" s="2" t="e">
        <f ca="1">_xll.BDH($C$453,"BS_OTHER_INV","FY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69" spans="1:113" x14ac:dyDescent="0.3">
      <c r="A469" s="6"/>
      <c r="B469" s="6"/>
      <c r="C469" s="6"/>
      <c r="D469" s="6"/>
      <c r="E469" t="s">
        <v>4</v>
      </c>
      <c r="F469" t="e">
        <f ca="1">_xll.BDH($C$453,"RETURN_COM_EQY","FQ1 2017","FQ1 2017","Currency=INR","Period=FQ","BEST_FPERIOD_OVERRIDE=FQ","FILING_STATUS=OR","EQY_CONSOLIDATED=Y","FA_ADJUSTED=GAAP","Sort=A","Dates=H","DateFormat=P","Fill=—","Direction=H","UseDPDF=Y")</f>
        <v>#NAME?</v>
      </c>
      <c r="G469" t="e">
        <f ca="1">_xll.BDH($C$453,"RETURN_ON_ASSET","FQ1 2017","FQ1 2017","Currency=INR","Period=FQ","BEST_FPERIOD_OVERRIDE=FQ","FILING_STATUS=OR","EQY_CONSOLIDATED=Y","FA_ADJUSTED=GAAP","Sort=A","Dates=H","DateFormat=P","Fill=—","Direction=H","UseDPDF=Y")</f>
        <v>#NAME?</v>
      </c>
      <c r="H469" t="e">
        <f ca="1">_xll.BDH($C$453,"RETURN_ON_CAP","FQ1 2017","FQ1 2017","Currency=INR","Period=FQ","BEST_FPERIOD_OVERRIDE=FQ","FILING_STATUS=OR","EQY_CONSOLIDATED=Y","FA_ADJUSTED=GAAP","Sort=A","Dates=H","DateFormat=P","Fill=—","Direction=H","UseDPDF=Y")</f>
        <v>#NAME?</v>
      </c>
      <c r="I469" t="e">
        <f ca="1">_xll.BDH($C$453,"RETURN_ON_INV_CAPITAL","FQ1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69" t="e">
        <f ca="1">_xll.BDH($C$453,"EBITDA_TO_REVENUE","FQ1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469" t="e">
        <f ca="1">_xll.BDH($C$453,"OPER_MARGIN","FQ1 2017","FQ1 2017","Currency=INR","Period=FQ","BEST_FPERIOD_OVERRIDE=FQ","FILING_STATUS=OR","EQY_CONSOLIDATED=Y","FA_ADJUSTED=GAAP","Sort=A","Dates=H","DateFormat=P","Fill=—","Direction=H","UseDPDF=Y")</f>
        <v>#NAME?</v>
      </c>
      <c r="L469" t="e">
        <f ca="1">_xll.BDH($C$453,"INCREMENTAL_OPERATING_MARGIN","FQ1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69" t="e">
        <f ca="1">_xll.BDH($C$453,"PRETAX_INC_TO_NET_SALES","FQ1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69" t="e">
        <f ca="1">_xll.BDH($C$453,"INC_BEF_XO_ITEMS_TO_NET_SALES","FQ1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69" t="e">
        <f ca="1">_xll.BDH($C$453,"PROF_MARGIN","FQ1 2017","FQ1 2017","Currency=INR","Period=FQ","BEST_FPERIOD_OVERRIDE=FQ","FILING_STATUS=OR","EQY_CONSOLIDATED=Y","FA_ADJUSTED=GAAP","Sort=A","Dates=H","DateFormat=P","Fill=—","Direction=H","UseDPDF=Y")</f>
        <v>#NAME?</v>
      </c>
      <c r="P469" t="e">
        <f ca="1">_xll.BDH($C$453,"NET_INCOME_TO_COMMON_MARGIN","FQ1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69" t="e">
        <f ca="1">_xll.BDH($C$453,"EFF_TAX_RATE","FQ1 2017","FQ1 2017","Currency=INR","Period=FQ","BEST_FPERIOD_OVERRIDE=FQ","FILING_STATUS=OR","EQY_CONSOLIDATED=Y","FA_ADJUSTED=GAAP","Sort=A","Dates=H","DateFormat=P","Fill=—","Direction=H","UseDPDF=Y")</f>
        <v>#NAME?</v>
      </c>
      <c r="R469" t="e">
        <f ca="1">_xll.BDH($C$453,"DVD_PAYOUT_RATIO","FQ1 2017","FQ1 2017","Currency=INR","Period=FQ","BEST_FPERIOD_OVERRIDE=FQ","FILING_STATUS=OR","EQY_CONSOLIDATED=Y","FA_ADJUSTED=GAAP","Sort=A","Dates=H","DateFormat=P","Fill=—","Direction=H","UseDPDF=Y")</f>
        <v>#NAME?</v>
      </c>
      <c r="S469" t="e">
        <f ca="1">_xll.BDH($C$453,"SUSTAIN_GROWTH_RT","FQ1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469" s="1" t="e">
        <f ca="1">_xll.BDH($C$453,"SALES_GROWTH","FQ1 2017","FQ1 2017","Currency=INR","Period=FQ","BEST_FPERIOD_OVERRIDE=FQ","FILING_STATUS=OR","EQY_CONSOLIDATED=Y","FA_ADJUSTED=GAAP","Sort=A","Dates=H","DateFormat=P","Fill=—","Direction=H","UseDPDF=Y")</f>
        <v>#NAME?</v>
      </c>
      <c r="U469" s="1" t="e">
        <f ca="1">_xll.BDH($C$453,"EBITDA_GROWTH","FQ1 2017","FQ1 2017","Currency=INR","Period=FQ","BEST_FPERIOD_OVERRIDE=FQ","FILING_STATUS=OR","EQY_CONSOLIDATED=Y","FA_ADJUSTED=GAAP","Sort=A","Dates=H","DateFormat=P","Fill=—","Direction=H","UseDPDF=Y")</f>
        <v>#NAME?</v>
      </c>
      <c r="V469" s="1" t="e">
        <f ca="1">_xll.BDH($C$453,"OPER_INC_GROWTH","FQ1 2017","FQ1 2017","Currency=INR","Period=FQ","BEST_FPERIOD_OVERRIDE=FQ","FILING_STATUS=OR","EQY_CONSOLIDATED=Y","FA_ADJUSTED=GAAP","Sort=A","Dates=H","DateFormat=P","Fill=—","Direction=H","UseDPDF=Y")</f>
        <v>#NAME?</v>
      </c>
      <c r="W469" s="1" t="e">
        <f ca="1">_xll.BDH($C$453,"EARN_FOR_COM_GROWTH","FQ1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69" s="1" t="e">
        <f ca="1">_xll.BDH($C$453,"DILUTED_EPS_AFT_XO_ITEMS_GROWTH","FQ1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69" s="1" t="e">
        <f ca="1">_xll.BDH($C$453,"DIVIDEND_PER_SHARE_1_YEAR_GROWTH","FQ1 2017","FQ1 2017","Currency=INR","Period=FQ","BEST_FPERIOD_OVERRIDE=FQ","FILING_STATUS=OR","EQY_CONSOLIDATED=Y","Sort=A","Dates=H","DateFormat=P","Fill=—","Direction=H","UseDPDF=Y")</f>
        <v>#NAME?</v>
      </c>
      <c r="Z469" s="1" t="e">
        <f ca="1">_xll.BDH($C$453,"ACCOUNTS_RECEIVABLE_GROWTH","FQ1 2017","FQ1 2017","Currency=INR","Period=FQ","BEST_FPERIOD_OVERRIDE=FQ","FILING_STATUS=OR","EQY_CONSOLIDATED=Y","Sort=A","Dates=H","DateFormat=P","Fill=—","Direction=H","UseDPDF=Y")</f>
        <v>#NAME?</v>
      </c>
      <c r="AA469" s="1" t="e">
        <f ca="1">_xll.BDH($C$453,"INVENTORY_GROWTH","FQ1 2017","FQ1 2017","Currency=INR","Period=FQ","BEST_FPERIOD_OVERRIDE=FQ","FILING_STATUS=OR","EQY_CONSOLIDATED=Y","Sort=A","Dates=H","DateFormat=P","Fill=—","Direction=H","UseDPDF=Y")</f>
        <v>#NAME?</v>
      </c>
      <c r="AB469" s="1" t="e">
        <f ca="1">_xll.BDH($C$453,"NET_FIXED_ASSETS_1_YEAR_GROWTH","FQ1 2017","FQ1 2017","Currency=INR","Period=FQ","BEST_FPERIOD_OVERRIDE=FQ","FILING_STATUS=OR","EQY_CONSOLIDATED=Y","Sort=A","Dates=H","DateFormat=P","Fill=—","Direction=H","UseDPDF=Y")</f>
        <v>#NAME?</v>
      </c>
      <c r="AC469" s="1" t="e">
        <f ca="1">_xll.BDH($C$453,"ASSET_GROWTH","FQ1 2017","FQ1 2017","Currency=INR","Period=FQ","BEST_FPERIOD_OVERRIDE=FQ","FILING_STATUS=OR","EQY_CONSOLIDATED=Y","Sort=A","Dates=H","DateFormat=P","Fill=—","Direction=H","UseDPDF=Y")</f>
        <v>#NAME?</v>
      </c>
      <c r="AD469" s="1" t="e">
        <f ca="1">_xll.BDH($C$453,"MODIFIED_WORK_CAP_GROWTH","FQ1 2017","FQ1 2017","Currency=INR","Period=FQ","BEST_FPERIOD_OVERRIDE=FQ","FILING_STATUS=OR","EQY_CONSOLIDATED=Y","Sort=A","Dates=H","DateFormat=P","Fill=—","Direction=H","UseDPDF=Y")</f>
        <v>#NAME?</v>
      </c>
      <c r="AE469" s="1" t="e">
        <f ca="1">_xll.BDH($C$453,"WORK_CAP_GROWTH","FQ1 2017","FQ1 2017","Currency=INR","Period=FQ","BEST_FPERIOD_OVERRIDE=FQ","FILING_STATUS=OR","EQY_CONSOLIDATED=Y","Sort=A","Dates=H","DateFormat=P","Fill=—","Direction=H","UseDPDF=Y")</f>
        <v>#NAME?</v>
      </c>
      <c r="AF469" s="1" t="e">
        <f ca="1">_xll.BDH($C$453,"ACCOUNTS_PAYABLE_GROWTH_1YR","FQ1 2017","FQ1 2017","Currency=INR","Period=FQ","BEST_FPERIOD_OVERRIDE=FQ","FILING_STATUS=OR","EQY_CONSOLIDATED=Y","Sort=A","Dates=H","DateFormat=P","Fill=—","Direction=H","UseDPDF=Y")</f>
        <v>#NAME?</v>
      </c>
      <c r="AG469" s="1" t="e">
        <f ca="1">_xll.BDH($C$453,"SHORT_TERM_DEBT_1_YEAR_GROWTH","FQ1 2017","FQ1 2017","Currency=INR","Period=FQ","BEST_FPERIOD_OVERRIDE=FQ","FILING_STATUS=OR","EQY_CONSOLIDATED=Y","Sort=A","Dates=H","DateFormat=P","Fill=—","Direction=H","UseDPDF=Y")</f>
        <v>#NAME?</v>
      </c>
      <c r="AH469" s="1" t="e">
        <f ca="1">_xll.BDH($C$453,"TOTAL_DEBT_1_YEAR_GROWTH","FQ1 2017","FQ1 2017","Currency=INR","Period=FQ","BEST_FPERIOD_OVERRIDE=FQ","FILING_STATUS=OR","EQY_CONSOLIDATED=Y","Sort=A","Dates=H","DateFormat=P","Fill=—","Direction=H","UseDPDF=Y")</f>
        <v>#NAME?</v>
      </c>
      <c r="AI469" s="1" t="e">
        <f ca="1">_xll.BDH($C$453,"TOTAL_EQUITY_1_YEAR_GROWTH","FQ1 2017","FQ1 2017","Currency=INR","Period=FQ","BEST_FPERIOD_OVERRIDE=FQ","FILING_STATUS=OR","EQY_CONSOLIDATED=Y","Sort=A","Dates=H","DateFormat=P","Fill=—","Direction=H","UseDPDF=Y")</f>
        <v>#NAME?</v>
      </c>
      <c r="AJ469" s="1" t="e">
        <f ca="1">_xll.BDH($C$453,"GROWTH_IN_CAP","FQ1 2017","FQ1 2017","Currency=INR","Period=FQ","BEST_FPERIOD_OVERRIDE=FQ","FILING_STATUS=OR","EQY_CONSOLIDATED=Y","Sort=A","Dates=H","DateFormat=P","Fill=—","Direction=H","UseDPDF=Y")</f>
        <v>#NAME?</v>
      </c>
      <c r="AK469" s="1" t="e">
        <f ca="1">_xll.BDH($C$453,"BVPS_GROWTH","FQ1 2017","FQ1 2017","Currency=INR","Period=FQ","BEST_FPERIOD_OVERRIDE=FQ","FILING_STATUS=OR","EQY_CONSOLIDATED=Y","Sort=A","Dates=H","DateFormat=P","Fill=—","Direction=H","UseDPDF=Y")</f>
        <v>#NAME?</v>
      </c>
      <c r="AL469" s="1" t="e">
        <f ca="1">_xll.BDH($C$453,"CASH_FLOW_GROWTH","FQ1 2017","FQ1 2017","Currency=INR","Period=FQ","BEST_FPERIOD_OVERRIDE=FQ","FILING_STATUS=OR","EQY_CONSOLIDATED=Y","Sort=A","Dates=H","DateFormat=P","Fill=—","Direction=H","UseDPDF=Y")</f>
        <v>#NAME?</v>
      </c>
      <c r="AM469" s="1" t="e">
        <f ca="1">_xll.BDH($C$453,"GEO_GROW_NET_SALES","FQ1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69" s="1" t="e">
        <f ca="1">_xll.BDH($C$453,"GEO_GROW_EBITDA","FQ1 2017","FQ1 2017","Currency=INR","Period=FQ","BEST_FPERIOD_OVERRIDE=FQ","FILING_STATUS=OR","EQY_CONSOLIDATED=Y","FA_ADJUSTED=GAAP","Sort=A","Dates=H","DateFormat=P","Fill=—","Direction=H","UseDPDF=Y")</f>
        <v>#NAME?</v>
      </c>
      <c r="AO469" s="1" t="e">
        <f ca="1">_xll.BDH($C$453,"GEO_GROW_OPER_INC","FQ1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69" s="1" t="e">
        <f ca="1">_xll.BDH($C$453,"NET_INCOME_TO_COMMON_5_YR_GROWTH","FQ1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69" s="1" t="e">
        <f ca="1">_xll.BDH($C$453,"5Y_GEO_GROWTH_DILUTED_EPS","FQ1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69" s="1" t="e">
        <f ca="1">_xll.BDH($C$453,"GEO_GROW_DVD_PER_SH","FQ1 2017","FQ1 2017","Currency=INR","Period=FQ","BEST_FPERIOD_OVERRIDE=FQ","FILING_STATUS=OR","EQY_CONSOLIDATED=Y","Sort=A","Dates=H","DateFormat=P","Fill=—","Direction=H","UseDPDF=Y")</f>
        <v>#NAME?</v>
      </c>
      <c r="AS469" s="1" t="e">
        <f ca="1">_xll.BDH($C$453,"ACCOUNTS_RECEIVABLE_5_YR_GROWTH","FQ1 2017","FQ1 2017","Currency=INR","Period=FQ","BEST_FPERIOD_OVERRIDE=FQ","FILING_STATUS=OR","EQY_CONSOLIDATED=Y","Sort=A","Dates=H","DateFormat=P","Fill=—","Direction=H","UseDPDF=Y")</f>
        <v>#NAME?</v>
      </c>
      <c r="AT469" s="1" t="e">
        <f ca="1">_xll.BDH($C$453,"INVENTORY_5_YEAR_GROWTH","FQ1 2017","FQ1 2017","Currency=INR","Period=FQ","BEST_FPERIOD_OVERRIDE=FQ","FILING_STATUS=OR","EQY_CONSOLIDATED=Y","Sort=A","Dates=H","DateFormat=P","Fill=—","Direction=H","UseDPDF=Y")</f>
        <v>#NAME?</v>
      </c>
      <c r="AU469" s="1" t="e">
        <f ca="1">_xll.BDH($C$453,"NET_FIXED_ASSETS_5_YEAR_GROWTH","FQ1 2017","FQ1 2017","Currency=INR","Period=FQ","BEST_FPERIOD_OVERRIDE=FQ","FILING_STATUS=OR","EQY_CONSOLIDATED=Y","Sort=A","Dates=H","DateFormat=P","Fill=—","Direction=H","UseDPDF=Y")</f>
        <v>#NAME?</v>
      </c>
      <c r="AV469" s="1" t="e">
        <f ca="1">_xll.BDH($C$453,"GEO_GROW_TOT_ASSET","FQ1 2017","FQ1 2017","Currency=INR","Period=FQ","BEST_FPERIOD_OVERRIDE=FQ","FILING_STATUS=OR","EQY_CONSOLIDATED=Y","Sort=A","Dates=H","DateFormat=P","Fill=—","Direction=H","UseDPDF=Y")</f>
        <v>#NAME?</v>
      </c>
      <c r="AW469" s="1" t="e">
        <f ca="1">_xll.BDH($C$453,"MODIFIED_WORKING_CPTL_5YR_GRWTH","FQ1 2017","FQ1 2017","Currency=INR","Period=FQ","BEST_FPERIOD_OVERRIDE=FQ","FILING_STATUS=OR","EQY_CONSOLIDATED=Y","Sort=A","Dates=H","DateFormat=P","Fill=—","Direction=H","UseDPDF=Y")</f>
        <v>#NAME?</v>
      </c>
      <c r="AX469" s="1" t="e">
        <f ca="1">_xll.BDH($C$453,"WORKING_CAPITAL_5_YEAR_GROWTH","FQ1 2017","FQ1 2017","Currency=INR","Period=FQ","BEST_FPERIOD_OVERRIDE=FQ","FILING_STATUS=OR","EQY_CONSOLIDATED=Y","Sort=A","Dates=H","DateFormat=P","Fill=—","Direction=H","UseDPDF=Y")</f>
        <v>#NAME?</v>
      </c>
      <c r="AY469" s="1" t="e">
        <f ca="1">_xll.BDH($C$453,"ACCOUNTS_PAYABLE_5_YEAR_GROWTH","FQ1 2017","FQ1 2017","Currency=INR","Period=FQ","BEST_FPERIOD_OVERRIDE=FQ","FILING_STATUS=OR","EQY_CONSOLIDATED=Y","Sort=A","Dates=H","DateFormat=P","Fill=—","Direction=H","UseDPDF=Y")</f>
        <v>#NAME?</v>
      </c>
      <c r="AZ469" s="1" t="e">
        <f ca="1">_xll.BDH($C$453,"SHORT_TERM_DEBT_5_YEAR_GROWTH","FQ1 2017","FQ1 2017","Currency=INR","Period=FQ","BEST_FPERIOD_OVERRIDE=FQ","FILING_STATUS=OR","EQY_CONSOLIDATED=Y","Sort=A","Dates=H","DateFormat=P","Fill=—","Direction=H","UseDPDF=Y")</f>
        <v>#NAME?</v>
      </c>
      <c r="BA469" s="1" t="e">
        <f ca="1">_xll.BDH($C$453,"TOTAL_DEBT_5_YEAR_GROWTH","FQ1 2017","FQ1 2017","Currency=INR","Period=FQ","BEST_FPERIOD_OVERRIDE=FQ","FILING_STATUS=OR","EQY_CONSOLIDATED=Y","Sort=A","Dates=H","DateFormat=P","Fill=—","Direction=H","UseDPDF=Y")</f>
        <v>#NAME?</v>
      </c>
      <c r="BB469" s="1" t="e">
        <f ca="1">_xll.BDH($C$453,"GEO_GROW_TOT_SHRHLDR_EQY","FQ1 2017","FQ1 2017","Currency=INR","Period=FQ","BEST_FPERIOD_OVERRIDE=FQ","FILING_STATUS=OR","EQY_CONSOLIDATED=Y","Sort=A","Dates=H","DateFormat=P","Fill=—","Direction=H","UseDPDF=Y")</f>
        <v>#NAME?</v>
      </c>
      <c r="BC469" s="1" t="e">
        <f ca="1">_xll.BDH($C$453,"TOTAL_CAPITAL_5_YEAR_GROWTH","FQ1 2017","FQ1 2017","Currency=INR","Period=FQ","BEST_FPERIOD_OVERRIDE=FQ","FILING_STATUS=OR","EQY_CONSOLIDATED=Y","Sort=A","Dates=H","DateFormat=P","Fill=—","Direction=H","UseDPDF=Y")</f>
        <v>#NAME?</v>
      </c>
      <c r="BD469" s="1" t="e">
        <f ca="1">_xll.BDH($C$453,"GEO_GROW_BOOK_VAL","FQ1 2017","FQ1 2017","Currency=INR","Period=FQ","BEST_FPERIOD_OVERRIDE=FQ","FILING_STATUS=OR","EQY_CONSOLIDATED=Y","Sort=A","Dates=H","DateFormat=P","Fill=—","Direction=H","UseDPDF=Y")</f>
        <v>#NAME?</v>
      </c>
      <c r="BE469" s="1" t="e">
        <f ca="1">_xll.BDH($C$453,"GEO_GROW_CASH_OPER_ACT","FQ1 2017","FQ1 2017","Currency=INR","Period=FQ","BEST_FPERIOD_OVERRIDE=FQ","FILING_STATUS=OR","EQY_CONSOLIDATED=Y","Sort=A","Dates=H","DateFormat=P","Fill=—","Direction=H","UseDPDF=Y")</f>
        <v>#NAME?</v>
      </c>
      <c r="BF469" s="1" t="e">
        <f ca="1">_xll.BDH($C$453,"REVENUE_SEQUENTIAL_GROWTH","FQ1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69" s="1" t="e">
        <f ca="1">_xll.BDH($C$453,"EBITDA_SEQUENTIAL_GROWTH","FQ1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69" s="1" t="e">
        <f ca="1">_xll.BDH($C$453,"OPERATING_INCOME_SEQ_GROWTH","FQ1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69" s="1" t="e">
        <f ca="1">_xll.BDH($C$453,"NET_INCOME_TO_COMMON_SEQ_GROWTH","FQ1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69" s="1" t="e">
        <f ca="1">_xll.BDH($C$453,"EPS_DILUTED_SEQUENTIAL_GROWTH","FQ1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69" s="1" t="e">
        <f ca="1">_xll.BDH($C$453,"DPS_SEQUENTIAL_GROWTH","FQ1 2017","FQ1 2017","Currency=INR","Period=FQ","BEST_FPERIOD_OVERRIDE=FQ","FILING_STATUS=OR","EQY_CONSOLIDATED=Y","Sort=A","Dates=H","DateFormat=P","Fill=—","Direction=H","UseDPDF=Y")</f>
        <v>#NAME?</v>
      </c>
      <c r="BL469" s="1" t="e">
        <f ca="1">_xll.BDH($C$453,"ACCOUNTS_RECEIVABLE_SEQ_GROWTH","FQ1 2017","FQ1 2017","Currency=INR","Period=FQ","BEST_FPERIOD_OVERRIDE=FQ","FILING_STATUS=OR","EQY_CONSOLIDATED=Y","Sort=A","Dates=H","DateFormat=P","Fill=—","Direction=H","UseDPDF=Y")</f>
        <v>#NAME?</v>
      </c>
      <c r="BM469" s="1" t="e">
        <f ca="1">_xll.BDH($C$453,"INVENTORY_SEQUENTIAL_GROWTH","FQ1 2017","FQ1 2017","Currency=INR","Period=FQ","BEST_FPERIOD_OVERRIDE=FQ","FILING_STATUS=OR","EQY_CONSOLIDATED=Y","Sort=A","Dates=H","DateFormat=P","Fill=—","Direction=H","UseDPDF=Y")</f>
        <v>#NAME?</v>
      </c>
      <c r="BN469" s="1" t="e">
        <f ca="1">_xll.BDH($C$453,"FIXED_ASSETS_SEQUENTIAL_GROWTH","FQ1 2017","FQ1 2017","Currency=INR","Period=FQ","BEST_FPERIOD_OVERRIDE=FQ","FILING_STATUS=OR","EQY_CONSOLIDATED=Y","Sort=A","Dates=H","DateFormat=P","Fill=—","Direction=H","UseDPDF=Y")</f>
        <v>#NAME?</v>
      </c>
      <c r="BO469" s="1" t="e">
        <f ca="1">_xll.BDH($C$453,"TOTAL_ASSETS_SEQUENTIAL_GROWTH","FQ1 2017","FQ1 2017","Currency=INR","Period=FQ","BEST_FPERIOD_OVERRIDE=FQ","FILING_STATUS=OR","EQY_CONSOLIDATED=Y","Sort=A","Dates=H","DateFormat=P","Fill=—","Direction=H","UseDPDF=Y")</f>
        <v>#NAME?</v>
      </c>
      <c r="BP469" s="1" t="e">
        <f ca="1">_xll.BDH($C$453,"MODIFIED_WORKING_CPTL_SEQ_GRWTH","FQ1 2017","FQ1 2017","Currency=INR","Period=FQ","BEST_FPERIOD_OVERRIDE=FQ","FILING_STATUS=OR","EQY_CONSOLIDATED=Y","Sort=A","Dates=H","DateFormat=P","Fill=—","Direction=H","UseDPDF=Y")</f>
        <v>#NAME?</v>
      </c>
      <c r="BQ469" s="1" t="e">
        <f ca="1">_xll.BDH($C$453,"WORKING_CAPITAL_SEQ_GROWTH","FQ1 2017","FQ1 2017","Currency=INR","Period=FQ","BEST_FPERIOD_OVERRIDE=FQ","FILING_STATUS=OR","EQY_CONSOLIDATED=Y","Sort=A","Dates=H","DateFormat=P","Fill=—","Direction=H","UseDPDF=Y")</f>
        <v>#NAME?</v>
      </c>
      <c r="BR469" s="1" t="e">
        <f ca="1">_xll.BDH($C$453,"ACCOUNTS_PAYABLE_SEQ_GROWTH","FQ1 2017","FQ1 2017","Currency=INR","Period=FQ","BEST_FPERIOD_OVERRIDE=FQ","FILING_STATUS=OR","EQY_CONSOLIDATED=Y","Sort=A","Dates=H","DateFormat=P","Fill=—","Direction=H","UseDPDF=Y")</f>
        <v>#NAME?</v>
      </c>
      <c r="BS469" s="1" t="e">
        <f ca="1">_xll.BDH($C$453,"ST_DEBT_SEQUENTIAL_GROWTH","FQ1 2017","FQ1 2017","Currency=INR","Period=FQ","BEST_FPERIOD_OVERRIDE=FQ","FILING_STATUS=OR","EQY_CONSOLIDATED=Y","Sort=A","Dates=H","DateFormat=P","Fill=—","Direction=H","UseDPDF=Y")</f>
        <v>#NAME?</v>
      </c>
      <c r="BT469" s="1" t="e">
        <f ca="1">_xll.BDH($C$453,"TOTAL_DEBT_SEQUENTIAL_GROWTH","FQ1 2017","FQ1 2017","Currency=INR","Period=FQ","BEST_FPERIOD_OVERRIDE=FQ","FILING_STATUS=OR","EQY_CONSOLIDATED=Y","Sort=A","Dates=H","DateFormat=P","Fill=—","Direction=H","UseDPDF=Y")</f>
        <v>#NAME?</v>
      </c>
      <c r="BU469" s="1" t="e">
        <f ca="1">_xll.BDH($C$453,"TOTAL_EQUITY_SEQUENTIAL_GROWTH","FQ1 2017","FQ1 2017","Currency=INR","Period=FQ","BEST_FPERIOD_OVERRIDE=FQ","FILING_STATUS=OR","EQY_CONSOLIDATED=Y","Sort=A","Dates=H","DateFormat=P","Fill=—","Direction=H","UseDPDF=Y")</f>
        <v>#NAME?</v>
      </c>
      <c r="BV469" s="1" t="e">
        <f ca="1">_xll.BDH($C$453,"TOTAL_CAPITAL_SEQUENTIAL_GROWTH","FQ1 2017","FQ1 2017","Currency=INR","Period=FQ","BEST_FPERIOD_OVERRIDE=FQ","FILING_STATUS=OR","EQY_CONSOLIDATED=Y","Sort=A","Dates=H","DateFormat=P","Fill=—","Direction=H","UseDPDF=Y")</f>
        <v>#NAME?</v>
      </c>
      <c r="BW469" s="1" t="e">
        <f ca="1">_xll.BDH($C$453,"BPS_SEQUENTIAL_GROWTH","FQ1 2017","FQ1 2017","Currency=INR","Period=FQ","BEST_FPERIOD_OVERRIDE=FQ","FILING_STATUS=OR","EQY_CONSOLIDATED=Y","Sort=A","Dates=H","DateFormat=P","Fill=—","Direction=H","UseDPDF=Y")</f>
        <v>#NAME?</v>
      </c>
      <c r="BX469" s="1" t="e">
        <f ca="1">_xll.BDH($C$453,"CFO_SEQUENTIAL_GROWTH","FQ1 2017","FQ1 2017","Currency=INR","Period=FQ","BEST_FPERIOD_OVERRIDE=FQ","FILING_STATUS=OR","EQY_CONSOLIDATED=Y","Sort=A","Dates=H","DateFormat=P","Fill=—","Direction=H","UseDPDF=Y")</f>
        <v>#NAME?</v>
      </c>
      <c r="BY469" s="2" t="e">
        <f ca="1">_xll.BDH($C$453,"SHORT_AND_LONG_TERM_DEBT","FQ1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69" s="2" t="e">
        <f ca="1">_xll.BDH($C$453,"BS_ST_BORROW","FQ1 2017","FQ1 2017","Currency=INR","Period=FQ","BEST_FPERIOD_OVERRIDE=FQ","FILING_STATUS=OR","EQY_CONSOLIDATED=Y","SCALING_FORMAT=MLN","Sort=A","Dates=H","DateFormat=P","Fill=—","Direction=H","UseDPDF=Y")</f>
        <v>#NAME?</v>
      </c>
      <c r="CA469" s="2" t="e">
        <f ca="1">_xll.BDH($C$453,"BS_LT_BORROW","FQ1 2017","FQ1 2017","Currency=INR","Period=FQ","BEST_FPERIOD_OVERRIDE=FQ","FILING_STATUS=OR","EQY_CONSOLIDATED=Y","SCALING_FORMAT=MLN","Sort=A","Dates=H","DateFormat=P","Fill=—","Direction=H","UseDPDF=Y")</f>
        <v>#NAME?</v>
      </c>
      <c r="CB469" s="1" t="e">
        <f ca="1">_xll.BDH($C$453,"TOT_DEBT_TO_EBITDA","FQ1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69" s="1" t="e">
        <f ca="1">_xll.BDH($C$453,"NET_DEBT_TO_EBITDA","FQ1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69" s="1" t="e">
        <f ca="1">_xll.BDH($C$453,"TOTAL_DEBT_TO_EBIT","FQ1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69" s="1" t="e">
        <f ca="1">_xll.BDH($C$453,"NET_DEBT_TO_EBIT","FQ1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469" s="1" t="e">
        <f ca="1">_xll.BDH($C$453,"EBITDA_TO_INTEREST_EXPN","FQ1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69" s="1" t="e">
        <f ca="1">_xll.BDH($C$453,"COM_EQY_TO_TOT_ASSET","FQ1 2017","FQ1 2017","Currency=INR","Period=FQ","BEST_FPERIOD_OVERRIDE=FQ","FILING_STATUS=OR","EQY_CONSOLIDATED=Y","Sort=A","Dates=H","DateFormat=P","Fill=—","Direction=H","UseDPDF=Y")</f>
        <v>#NAME?</v>
      </c>
      <c r="CH469" s="1" t="e">
        <f ca="1">_xll.BDH($C$453,"LT_DEBT_TO_TOT_EQY","FQ1 2017","FQ1 2017","Currency=INR","Period=FQ","BEST_FPERIOD_OVERRIDE=FQ","FILING_STATUS=OR","EQY_CONSOLIDATED=Y","Sort=A","Dates=H","DateFormat=P","Fill=—","Direction=H","UseDPDF=Y")</f>
        <v>#NAME?</v>
      </c>
      <c r="CI469" s="1" t="e">
        <f ca="1">_xll.BDH($C$453,"LT_DEBT_TO_TOT_CAP","FQ1 2017","FQ1 2017","Currency=INR","Period=FQ","BEST_FPERIOD_OVERRIDE=FQ","FILING_STATUS=OR","EQY_CONSOLIDATED=Y","Sort=A","Dates=H","DateFormat=P","Fill=—","Direction=H","UseDPDF=Y")</f>
        <v>#NAME?</v>
      </c>
      <c r="CJ469" s="1" t="e">
        <f ca="1">_xll.BDH($C$453,"LT_DEBT_TO_TOT_ASSET","FQ1 2017","FQ1 2017","Currency=INR","Period=FQ","BEST_FPERIOD_OVERRIDE=FQ","FILING_STATUS=OR","EQY_CONSOLIDATED=Y","Sort=A","Dates=H","DateFormat=P","Fill=—","Direction=H","UseDPDF=Y")</f>
        <v>#NAME?</v>
      </c>
      <c r="CK469" s="1" t="e">
        <f ca="1">_xll.BDH($C$453,"TOT_DEBT_TO_TOT_EQY","FQ1 2017","FQ1 2017","Currency=INR","Period=FQ","BEST_FPERIOD_OVERRIDE=FQ","FILING_STATUS=OR","EQY_CONSOLIDATED=Y","Sort=A","Dates=H","DateFormat=P","Fill=—","Direction=H","UseDPDF=Y")</f>
        <v>#NAME?</v>
      </c>
      <c r="CL469" s="1" t="e">
        <f ca="1">_xll.BDH($C$453,"TOT_DEBT_TO_TOT_CAP","FQ1 2017","FQ1 2017","Currency=INR","Period=FQ","BEST_FPERIOD_OVERRIDE=FQ","FILING_STATUS=OR","EQY_CONSOLIDATED=Y","Sort=A","Dates=H","DateFormat=P","Fill=—","Direction=H","UseDPDF=Y")</f>
        <v>#NAME?</v>
      </c>
      <c r="CM469" s="1" t="e">
        <f ca="1">_xll.BDH($C$453,"TOT_DEBT_TO_TOT_ASSET","FQ1 2017","FQ1 2017","Currency=INR","Period=FQ","BEST_FPERIOD_OVERRIDE=FQ","FILING_STATUS=OR","EQY_CONSOLIDATED=Y","Sort=A","Dates=H","DateFormat=P","Fill=—","Direction=H","UseDPDF=Y")</f>
        <v>#NAME?</v>
      </c>
      <c r="CN469" s="1" t="e">
        <f ca="1">_xll.BDH($C$453,"NET_DEBT_TO_SHRHLDR_EQTY","FQ1 2017","FQ1 2017","Currency=INR","Period=FQ","BEST_FPERIOD_OVERRIDE=FQ","FILING_STATUS=OR","EQY_CONSOLIDATED=Y","Sort=A","Dates=H","DateFormat=P","Fill=—","Direction=H","UseDPDF=Y")</f>
        <v>#NAME?</v>
      </c>
      <c r="CO469" s="1" t="e">
        <f ca="1">_xll.BDH($C$453,"NET_DEBT_%_CAPITAL","FQ1 2017","FQ1 2017","Currency=INR","Period=FQ","BEST_FPERIOD_OVERRIDE=FQ","FILING_STATUS=OR","EQY_CONSOLIDATED=Y","Sort=A","Dates=H","DateFormat=P","Fill=—","Direction=H","UseDPDF=Y")</f>
        <v>#NAME?</v>
      </c>
      <c r="CP469" s="2" t="e">
        <f ca="1">_xll.BDH($C$453,"EBITDA","FQ1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69" s="2" t="e">
        <f ca="1">_xll.BDH($C$453,"EBITDA_AFTER_CAPEX","FQ1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69" s="2" t="e">
        <f ca="1">_xll.BDH($C$453,"IS_OPER_INC","FQ1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69" s="1" t="e">
        <f ca="1">_xll.BDH($C$453,"CASH_RATIO","FQ1 2017","FQ1 2017","Currency=INR","Period=FQ","BEST_FPERIOD_OVERRIDE=FQ","FILING_STATUS=OR","EQY_CONSOLIDATED=Y","Sort=A","Dates=H","DateFormat=P","Fill=—","Direction=H","UseDPDF=Y")</f>
        <v>#NAME?</v>
      </c>
      <c r="CT469" s="1" t="e">
        <f ca="1">_xll.BDH($C$453,"CUR_RATIO","FQ1 2017","FQ1 2017","Currency=INR","Period=FQ","BEST_FPERIOD_OVERRIDE=FQ","FILING_STATUS=OR","EQY_CONSOLIDATED=Y","Sort=A","Dates=H","DateFormat=P","Fill=—","Direction=H","UseDPDF=Y")</f>
        <v>#NAME?</v>
      </c>
      <c r="CU469" s="1" t="e">
        <f ca="1">_xll.BDH($C$453,"QUICK_RATIO","FQ1 2017","FQ1 2017","Currency=INR","Period=FQ","BEST_FPERIOD_OVERRIDE=FQ","FILING_STATUS=OR","EQY_CONSOLIDATED=Y","Sort=A","Dates=H","DateFormat=P","Fill=—","Direction=H","UseDPDF=Y")</f>
        <v>#NAME?</v>
      </c>
      <c r="CV469" s="1" t="e">
        <f ca="1">_xll.BDH($C$453,"ALTMAN_Z_SCORE","FQ1 2017","FQ1 2017","Currency=INR","Period=FQ","BEST_FPERIOD_OVERRIDE=FQ","FILING_STATUS=OR","EQY_CONSOLIDATED=Y","Sort=A","Dates=H","DateFormat=P","Fill=—","Direction=H","UseDPDF=Y")</f>
        <v>#NAME?</v>
      </c>
      <c r="CW469" s="3" t="e">
        <f ca="1">_xll.BDH($C$453,"ACCT_RCV_TURN","FQ1 2017","FQ1 2017","Currency=INR","Period=FQ","BEST_FPERIOD_OVERRIDE=FQ","FILING_STATUS=OR","EQY_CONSOLIDATED=Y","FA_ADJUSTED=GAAP","Sort=A","Dates=H","DateFormat=P","Fill=—","Direction=H","UseDPDF=Y")</f>
        <v>#NAME?</v>
      </c>
      <c r="CX469" s="1" t="e">
        <f ca="1">_xll.BDH($C$453,"ACCT_RCV_DAYS","FQ1 2017","FQ1 2017","Currency=INR","Period=FQ","BEST_FPERIOD_OVERRIDE=FQ","FILING_STATUS=OR","EQY_CONSOLIDATED=Y","FA_ADJUSTED=GAAP","Sort=A","Dates=H","DateFormat=P","Fill=—","Direction=H","UseDPDF=Y")</f>
        <v>#NAME?</v>
      </c>
      <c r="CY469" s="3" t="e">
        <f ca="1">_xll.BDH($C$453,"INVENT_TURN","FQ1 2017","FQ1 2017","Currency=INR","Period=FQ","BEST_FPERIOD_OVERRIDE=FQ","FILING_STATUS=OR","EQY_CONSOLIDATED=Y","FA_ADJUSTED=GAAP","Sort=A","Dates=H","DateFormat=P","Fill=—","Direction=H","UseDPDF=Y")</f>
        <v>#NAME?</v>
      </c>
      <c r="CZ469" s="1" t="e">
        <f ca="1">_xll.BDH($C$453,"INVENT_DAYS","FQ1 2017","FQ1 2017","Currency=INR","Period=FQ","BEST_FPERIOD_OVERRIDE=FQ","FILING_STATUS=OR","EQY_CONSOLIDATED=Y","FA_ADJUSTED=GAAP","Sort=A","Dates=H","DateFormat=P","Fill=—","Direction=H","UseDPDF=Y")</f>
        <v>#NAME?</v>
      </c>
      <c r="DA469" s="3" t="e">
        <f ca="1">_xll.BDH($C$453,"ACCOUNTS_PAYABLE_TURNOVER","FQ1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69" s="1" t="e">
        <f ca="1">_xll.BDH($C$453,"ACCOUNTS_PAYABLE_TURNOVER_DAYS","FQ1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69" s="3" t="e">
        <f ca="1">_xll.BDH($C$453,"CASH_CONVERSION_CYCLE","FQ1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69" s="3" t="e">
        <f ca="1">_xll.BDH($C$453,"INV_TO_CASH_DAYS","FQ1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469" s="4" t="e">
        <f ca="1">_xll.BDH($C$453,"BS_INVENTORIES","FQ1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469" s="2" t="e">
        <f ca="1">_xll.BDH($C$453,"INVTRY_RAW_MATERIALS","FQ1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69" s="2" t="e">
        <f ca="1">_xll.BDH($C$453,"INVTRY_IN_PROGRESS","FQ1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69" s="2" t="e">
        <f ca="1">_xll.BDH($C$453,"INVTRY_FINISHED_GOODS","FQ1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69" s="2" t="e">
        <f ca="1">_xll.BDH($C$453,"BS_OTHER_INV","FQ1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70" spans="1:113" x14ac:dyDescent="0.3">
      <c r="A470" s="6"/>
      <c r="B470" s="6"/>
      <c r="C470" s="6"/>
      <c r="D470" s="6"/>
      <c r="E470" t="s">
        <v>5</v>
      </c>
      <c r="F470" t="e">
        <f ca="1">_xll.BDH($C$453,"RETURN_COM_EQY","FQ2 2017","FQ2 2017","Currency=INR","Period=FQ","BEST_FPERIOD_OVERRIDE=FQ","FILING_STATUS=OR","EQY_CONSOLIDATED=Y","FA_ADJUSTED=GAAP","Sort=A","Dates=H","DateFormat=P","Fill=—","Direction=H","UseDPDF=Y")</f>
        <v>#NAME?</v>
      </c>
      <c r="G470" t="e">
        <f ca="1">_xll.BDH($C$453,"RETURN_ON_ASSET","FQ2 2017","FQ2 2017","Currency=INR","Period=FQ","BEST_FPERIOD_OVERRIDE=FQ","FILING_STATUS=OR","EQY_CONSOLIDATED=Y","FA_ADJUSTED=GAAP","Sort=A","Dates=H","DateFormat=P","Fill=—","Direction=H","UseDPDF=Y")</f>
        <v>#NAME?</v>
      </c>
      <c r="H470" t="e">
        <f ca="1">_xll.BDH($C$453,"RETURN_ON_CAP","FQ2 2017","FQ2 2017","Currency=INR","Period=FQ","BEST_FPERIOD_OVERRIDE=FQ","FILING_STATUS=OR","EQY_CONSOLIDATED=Y","FA_ADJUSTED=GAAP","Sort=A","Dates=H","DateFormat=P","Fill=—","Direction=H","UseDPDF=Y")</f>
        <v>#NAME?</v>
      </c>
      <c r="I470" t="e">
        <f ca="1">_xll.BDH($C$453,"RETURN_ON_INV_CAPITAL","FQ2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70" t="e">
        <f ca="1">_xll.BDH($C$453,"EBITDA_TO_REVENUE","FQ2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470" t="e">
        <f ca="1">_xll.BDH($C$453,"OPER_MARGIN","FQ2 2017","FQ2 2017","Currency=INR","Period=FQ","BEST_FPERIOD_OVERRIDE=FQ","FILING_STATUS=OR","EQY_CONSOLIDATED=Y","FA_ADJUSTED=GAAP","Sort=A","Dates=H","DateFormat=P","Fill=—","Direction=H","UseDPDF=Y")</f>
        <v>#NAME?</v>
      </c>
      <c r="L470" t="e">
        <f ca="1">_xll.BDH($C$453,"INCREMENTAL_OPERATING_MARGIN","FQ2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70" t="e">
        <f ca="1">_xll.BDH($C$453,"PRETAX_INC_TO_NET_SALES","FQ2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70" t="e">
        <f ca="1">_xll.BDH($C$453,"INC_BEF_XO_ITEMS_TO_NET_SALES","FQ2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70" t="e">
        <f ca="1">_xll.BDH($C$453,"PROF_MARGIN","FQ2 2017","FQ2 2017","Currency=INR","Period=FQ","BEST_FPERIOD_OVERRIDE=FQ","FILING_STATUS=OR","EQY_CONSOLIDATED=Y","FA_ADJUSTED=GAAP","Sort=A","Dates=H","DateFormat=P","Fill=—","Direction=H","UseDPDF=Y")</f>
        <v>#NAME?</v>
      </c>
      <c r="P470" t="e">
        <f ca="1">_xll.BDH($C$453,"NET_INCOME_TO_COMMON_MARGIN","FQ2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70" t="e">
        <f ca="1">_xll.BDH($C$453,"EFF_TAX_RATE","FQ2 2017","FQ2 2017","Currency=INR","Period=FQ","BEST_FPERIOD_OVERRIDE=FQ","FILING_STATUS=OR","EQY_CONSOLIDATED=Y","FA_ADJUSTED=GAAP","Sort=A","Dates=H","DateFormat=P","Fill=—","Direction=H","UseDPDF=Y")</f>
        <v>#NAME?</v>
      </c>
      <c r="R470" t="e">
        <f ca="1">_xll.BDH($C$453,"DVD_PAYOUT_RATIO","FQ2 2017","FQ2 2017","Currency=INR","Period=FQ","BEST_FPERIOD_OVERRIDE=FQ","FILING_STATUS=OR","EQY_CONSOLIDATED=Y","FA_ADJUSTED=GAAP","Sort=A","Dates=H","DateFormat=P","Fill=—","Direction=H","UseDPDF=Y")</f>
        <v>#NAME?</v>
      </c>
      <c r="S470" t="e">
        <f ca="1">_xll.BDH($C$453,"SUSTAIN_GROWTH_RT","FQ2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470" s="1" t="e">
        <f ca="1">_xll.BDH($C$453,"SALES_GROWTH","FQ2 2017","FQ2 2017","Currency=INR","Period=FQ","BEST_FPERIOD_OVERRIDE=FQ","FILING_STATUS=OR","EQY_CONSOLIDATED=Y","FA_ADJUSTED=GAAP","Sort=A","Dates=H","DateFormat=P","Fill=—","Direction=H","UseDPDF=Y")</f>
        <v>#NAME?</v>
      </c>
      <c r="U470" s="1" t="e">
        <f ca="1">_xll.BDH($C$453,"EBITDA_GROWTH","FQ2 2017","FQ2 2017","Currency=INR","Period=FQ","BEST_FPERIOD_OVERRIDE=FQ","FILING_STATUS=OR","EQY_CONSOLIDATED=Y","FA_ADJUSTED=GAAP","Sort=A","Dates=H","DateFormat=P","Fill=—","Direction=H","UseDPDF=Y")</f>
        <v>#NAME?</v>
      </c>
      <c r="V470" s="1" t="e">
        <f ca="1">_xll.BDH($C$453,"OPER_INC_GROWTH","FQ2 2017","FQ2 2017","Currency=INR","Period=FQ","BEST_FPERIOD_OVERRIDE=FQ","FILING_STATUS=OR","EQY_CONSOLIDATED=Y","FA_ADJUSTED=GAAP","Sort=A","Dates=H","DateFormat=P","Fill=—","Direction=H","UseDPDF=Y")</f>
        <v>#NAME?</v>
      </c>
      <c r="W470" s="1" t="e">
        <f ca="1">_xll.BDH($C$453,"EARN_FOR_COM_GROWTH","FQ2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70" s="1" t="e">
        <f ca="1">_xll.BDH($C$453,"DILUTED_EPS_AFT_XO_ITEMS_GROWTH","FQ2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70" s="1" t="e">
        <f ca="1">_xll.BDH($C$453,"DIVIDEND_PER_SHARE_1_YEAR_GROWTH","FQ2 2017","FQ2 2017","Currency=INR","Period=FQ","BEST_FPERIOD_OVERRIDE=FQ","FILING_STATUS=OR","EQY_CONSOLIDATED=Y","Sort=A","Dates=H","DateFormat=P","Fill=—","Direction=H","UseDPDF=Y")</f>
        <v>#NAME?</v>
      </c>
      <c r="Z470" s="1" t="e">
        <f ca="1">_xll.BDH($C$453,"ACCOUNTS_RECEIVABLE_GROWTH","FQ2 2017","FQ2 2017","Currency=INR","Period=FQ","BEST_FPERIOD_OVERRIDE=FQ","FILING_STATUS=OR","EQY_CONSOLIDATED=Y","Sort=A","Dates=H","DateFormat=P","Fill=—","Direction=H","UseDPDF=Y")</f>
        <v>#NAME?</v>
      </c>
      <c r="AA470" s="1" t="e">
        <f ca="1">_xll.BDH($C$453,"INVENTORY_GROWTH","FQ2 2017","FQ2 2017","Currency=INR","Period=FQ","BEST_FPERIOD_OVERRIDE=FQ","FILING_STATUS=OR","EQY_CONSOLIDATED=Y","Sort=A","Dates=H","DateFormat=P","Fill=—","Direction=H","UseDPDF=Y")</f>
        <v>#NAME?</v>
      </c>
      <c r="AB470" s="1" t="e">
        <f ca="1">_xll.BDH($C$453,"NET_FIXED_ASSETS_1_YEAR_GROWTH","FQ2 2017","FQ2 2017","Currency=INR","Period=FQ","BEST_FPERIOD_OVERRIDE=FQ","FILING_STATUS=OR","EQY_CONSOLIDATED=Y","Sort=A","Dates=H","DateFormat=P","Fill=—","Direction=H","UseDPDF=Y")</f>
        <v>#NAME?</v>
      </c>
      <c r="AC470" s="1" t="e">
        <f ca="1">_xll.BDH($C$453,"ASSET_GROWTH","FQ2 2017","FQ2 2017","Currency=INR","Period=FQ","BEST_FPERIOD_OVERRIDE=FQ","FILING_STATUS=OR","EQY_CONSOLIDATED=Y","Sort=A","Dates=H","DateFormat=P","Fill=—","Direction=H","UseDPDF=Y")</f>
        <v>#NAME?</v>
      </c>
      <c r="AD470" s="1" t="e">
        <f ca="1">_xll.BDH($C$453,"MODIFIED_WORK_CAP_GROWTH","FQ2 2017","FQ2 2017","Currency=INR","Period=FQ","BEST_FPERIOD_OVERRIDE=FQ","FILING_STATUS=OR","EQY_CONSOLIDATED=Y","Sort=A","Dates=H","DateFormat=P","Fill=—","Direction=H","UseDPDF=Y")</f>
        <v>#NAME?</v>
      </c>
      <c r="AE470" s="1" t="e">
        <f ca="1">_xll.BDH($C$453,"WORK_CAP_GROWTH","FQ2 2017","FQ2 2017","Currency=INR","Period=FQ","BEST_FPERIOD_OVERRIDE=FQ","FILING_STATUS=OR","EQY_CONSOLIDATED=Y","Sort=A","Dates=H","DateFormat=P","Fill=—","Direction=H","UseDPDF=Y")</f>
        <v>#NAME?</v>
      </c>
      <c r="AF470" s="1" t="e">
        <f ca="1">_xll.BDH($C$453,"ACCOUNTS_PAYABLE_GROWTH_1YR","FQ2 2017","FQ2 2017","Currency=INR","Period=FQ","BEST_FPERIOD_OVERRIDE=FQ","FILING_STATUS=OR","EQY_CONSOLIDATED=Y","Sort=A","Dates=H","DateFormat=P","Fill=—","Direction=H","UseDPDF=Y")</f>
        <v>#NAME?</v>
      </c>
      <c r="AG470" s="1" t="e">
        <f ca="1">_xll.BDH($C$453,"SHORT_TERM_DEBT_1_YEAR_GROWTH","FQ2 2017","FQ2 2017","Currency=INR","Period=FQ","BEST_FPERIOD_OVERRIDE=FQ","FILING_STATUS=OR","EQY_CONSOLIDATED=Y","Sort=A","Dates=H","DateFormat=P","Fill=—","Direction=H","UseDPDF=Y")</f>
        <v>#NAME?</v>
      </c>
      <c r="AH470" s="1" t="e">
        <f ca="1">_xll.BDH($C$453,"TOTAL_DEBT_1_YEAR_GROWTH","FQ2 2017","FQ2 2017","Currency=INR","Period=FQ","BEST_FPERIOD_OVERRIDE=FQ","FILING_STATUS=OR","EQY_CONSOLIDATED=Y","Sort=A","Dates=H","DateFormat=P","Fill=—","Direction=H","UseDPDF=Y")</f>
        <v>#NAME?</v>
      </c>
      <c r="AI470" s="1" t="e">
        <f ca="1">_xll.BDH($C$453,"TOTAL_EQUITY_1_YEAR_GROWTH","FQ2 2017","FQ2 2017","Currency=INR","Period=FQ","BEST_FPERIOD_OVERRIDE=FQ","FILING_STATUS=OR","EQY_CONSOLIDATED=Y","Sort=A","Dates=H","DateFormat=P","Fill=—","Direction=H","UseDPDF=Y")</f>
        <v>#NAME?</v>
      </c>
      <c r="AJ470" s="1" t="e">
        <f ca="1">_xll.BDH($C$453,"GROWTH_IN_CAP","FQ2 2017","FQ2 2017","Currency=INR","Period=FQ","BEST_FPERIOD_OVERRIDE=FQ","FILING_STATUS=OR","EQY_CONSOLIDATED=Y","Sort=A","Dates=H","DateFormat=P","Fill=—","Direction=H","UseDPDF=Y")</f>
        <v>#NAME?</v>
      </c>
      <c r="AK470" s="1" t="e">
        <f ca="1">_xll.BDH($C$453,"BVPS_GROWTH","FQ2 2017","FQ2 2017","Currency=INR","Period=FQ","BEST_FPERIOD_OVERRIDE=FQ","FILING_STATUS=OR","EQY_CONSOLIDATED=Y","Sort=A","Dates=H","DateFormat=P","Fill=—","Direction=H","UseDPDF=Y")</f>
        <v>#NAME?</v>
      </c>
      <c r="AL470" s="1" t="e">
        <f ca="1">_xll.BDH($C$453,"CASH_FLOW_GROWTH","FQ2 2017","FQ2 2017","Currency=INR","Period=FQ","BEST_FPERIOD_OVERRIDE=FQ","FILING_STATUS=OR","EQY_CONSOLIDATED=Y","Sort=A","Dates=H","DateFormat=P","Fill=—","Direction=H","UseDPDF=Y")</f>
        <v>#NAME?</v>
      </c>
      <c r="AM470" s="1" t="e">
        <f ca="1">_xll.BDH($C$453,"GEO_GROW_NET_SALES","FQ2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70" s="1" t="e">
        <f ca="1">_xll.BDH($C$453,"GEO_GROW_EBITDA","FQ2 2017","FQ2 2017","Currency=INR","Period=FQ","BEST_FPERIOD_OVERRIDE=FQ","FILING_STATUS=OR","EQY_CONSOLIDATED=Y","FA_ADJUSTED=GAAP","Sort=A","Dates=H","DateFormat=P","Fill=—","Direction=H","UseDPDF=Y")</f>
        <v>#NAME?</v>
      </c>
      <c r="AO470" s="1" t="e">
        <f ca="1">_xll.BDH($C$453,"GEO_GROW_OPER_INC","FQ2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70" s="1" t="e">
        <f ca="1">_xll.BDH($C$453,"NET_INCOME_TO_COMMON_5_YR_GROWTH","FQ2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70" s="1" t="e">
        <f ca="1">_xll.BDH($C$453,"5Y_GEO_GROWTH_DILUTED_EPS","FQ2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70" s="1" t="e">
        <f ca="1">_xll.BDH($C$453,"GEO_GROW_DVD_PER_SH","FQ2 2017","FQ2 2017","Currency=INR","Period=FQ","BEST_FPERIOD_OVERRIDE=FQ","FILING_STATUS=OR","EQY_CONSOLIDATED=Y","Sort=A","Dates=H","DateFormat=P","Fill=—","Direction=H","UseDPDF=Y")</f>
        <v>#NAME?</v>
      </c>
      <c r="AS470" s="1" t="e">
        <f ca="1">_xll.BDH($C$453,"ACCOUNTS_RECEIVABLE_5_YR_GROWTH","FQ2 2017","FQ2 2017","Currency=INR","Period=FQ","BEST_FPERIOD_OVERRIDE=FQ","FILING_STATUS=OR","EQY_CONSOLIDATED=Y","Sort=A","Dates=H","DateFormat=P","Fill=—","Direction=H","UseDPDF=Y")</f>
        <v>#NAME?</v>
      </c>
      <c r="AT470" s="1" t="e">
        <f ca="1">_xll.BDH($C$453,"INVENTORY_5_YEAR_GROWTH","FQ2 2017","FQ2 2017","Currency=INR","Period=FQ","BEST_FPERIOD_OVERRIDE=FQ","FILING_STATUS=OR","EQY_CONSOLIDATED=Y","Sort=A","Dates=H","DateFormat=P","Fill=—","Direction=H","UseDPDF=Y")</f>
        <v>#NAME?</v>
      </c>
      <c r="AU470" s="1" t="e">
        <f ca="1">_xll.BDH($C$453,"NET_FIXED_ASSETS_5_YEAR_GROWTH","FQ2 2017","FQ2 2017","Currency=INR","Period=FQ","BEST_FPERIOD_OVERRIDE=FQ","FILING_STATUS=OR","EQY_CONSOLIDATED=Y","Sort=A","Dates=H","DateFormat=P","Fill=—","Direction=H","UseDPDF=Y")</f>
        <v>#NAME?</v>
      </c>
      <c r="AV470" s="1" t="e">
        <f ca="1">_xll.BDH($C$453,"GEO_GROW_TOT_ASSET","FQ2 2017","FQ2 2017","Currency=INR","Period=FQ","BEST_FPERIOD_OVERRIDE=FQ","FILING_STATUS=OR","EQY_CONSOLIDATED=Y","Sort=A","Dates=H","DateFormat=P","Fill=—","Direction=H","UseDPDF=Y")</f>
        <v>#NAME?</v>
      </c>
      <c r="AW470" s="1" t="e">
        <f ca="1">_xll.BDH($C$453,"MODIFIED_WORKING_CPTL_5YR_GRWTH","FQ2 2017","FQ2 2017","Currency=INR","Period=FQ","BEST_FPERIOD_OVERRIDE=FQ","FILING_STATUS=OR","EQY_CONSOLIDATED=Y","Sort=A","Dates=H","DateFormat=P","Fill=—","Direction=H","UseDPDF=Y")</f>
        <v>#NAME?</v>
      </c>
      <c r="AX470" s="1" t="e">
        <f ca="1">_xll.BDH($C$453,"WORKING_CAPITAL_5_YEAR_GROWTH","FQ2 2017","FQ2 2017","Currency=INR","Period=FQ","BEST_FPERIOD_OVERRIDE=FQ","FILING_STATUS=OR","EQY_CONSOLIDATED=Y","Sort=A","Dates=H","DateFormat=P","Fill=—","Direction=H","UseDPDF=Y")</f>
        <v>#NAME?</v>
      </c>
      <c r="AY470" s="1" t="e">
        <f ca="1">_xll.BDH($C$453,"ACCOUNTS_PAYABLE_5_YEAR_GROWTH","FQ2 2017","FQ2 2017","Currency=INR","Period=FQ","BEST_FPERIOD_OVERRIDE=FQ","FILING_STATUS=OR","EQY_CONSOLIDATED=Y","Sort=A","Dates=H","DateFormat=P","Fill=—","Direction=H","UseDPDF=Y")</f>
        <v>#NAME?</v>
      </c>
      <c r="AZ470" s="1" t="e">
        <f ca="1">_xll.BDH($C$453,"SHORT_TERM_DEBT_5_YEAR_GROWTH","FQ2 2017","FQ2 2017","Currency=INR","Period=FQ","BEST_FPERIOD_OVERRIDE=FQ","FILING_STATUS=OR","EQY_CONSOLIDATED=Y","Sort=A","Dates=H","DateFormat=P","Fill=—","Direction=H","UseDPDF=Y")</f>
        <v>#NAME?</v>
      </c>
      <c r="BA470" s="1" t="e">
        <f ca="1">_xll.BDH($C$453,"TOTAL_DEBT_5_YEAR_GROWTH","FQ2 2017","FQ2 2017","Currency=INR","Period=FQ","BEST_FPERIOD_OVERRIDE=FQ","FILING_STATUS=OR","EQY_CONSOLIDATED=Y","Sort=A","Dates=H","DateFormat=P","Fill=—","Direction=H","UseDPDF=Y")</f>
        <v>#NAME?</v>
      </c>
      <c r="BB470" s="1" t="e">
        <f ca="1">_xll.BDH($C$453,"GEO_GROW_TOT_SHRHLDR_EQY","FQ2 2017","FQ2 2017","Currency=INR","Period=FQ","BEST_FPERIOD_OVERRIDE=FQ","FILING_STATUS=OR","EQY_CONSOLIDATED=Y","Sort=A","Dates=H","DateFormat=P","Fill=—","Direction=H","UseDPDF=Y")</f>
        <v>#NAME?</v>
      </c>
      <c r="BC470" s="1" t="e">
        <f ca="1">_xll.BDH($C$453,"TOTAL_CAPITAL_5_YEAR_GROWTH","FQ2 2017","FQ2 2017","Currency=INR","Period=FQ","BEST_FPERIOD_OVERRIDE=FQ","FILING_STATUS=OR","EQY_CONSOLIDATED=Y","Sort=A","Dates=H","DateFormat=P","Fill=—","Direction=H","UseDPDF=Y")</f>
        <v>#NAME?</v>
      </c>
      <c r="BD470" s="1" t="e">
        <f ca="1">_xll.BDH($C$453,"GEO_GROW_BOOK_VAL","FQ2 2017","FQ2 2017","Currency=INR","Period=FQ","BEST_FPERIOD_OVERRIDE=FQ","FILING_STATUS=OR","EQY_CONSOLIDATED=Y","Sort=A","Dates=H","DateFormat=P","Fill=—","Direction=H","UseDPDF=Y")</f>
        <v>#NAME?</v>
      </c>
      <c r="BE470" s="1" t="e">
        <f ca="1">_xll.BDH($C$453,"GEO_GROW_CASH_OPER_ACT","FQ2 2017","FQ2 2017","Currency=INR","Period=FQ","BEST_FPERIOD_OVERRIDE=FQ","FILING_STATUS=OR","EQY_CONSOLIDATED=Y","Sort=A","Dates=H","DateFormat=P","Fill=—","Direction=H","UseDPDF=Y")</f>
        <v>#NAME?</v>
      </c>
      <c r="BF470" s="1" t="e">
        <f ca="1">_xll.BDH($C$453,"REVENUE_SEQUENTIAL_GROWTH","FQ2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70" s="1" t="e">
        <f ca="1">_xll.BDH($C$453,"EBITDA_SEQUENTIAL_GROWTH","FQ2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70" s="1" t="e">
        <f ca="1">_xll.BDH($C$453,"OPERATING_INCOME_SEQ_GROWTH","FQ2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70" s="1" t="e">
        <f ca="1">_xll.BDH($C$453,"NET_INCOME_TO_COMMON_SEQ_GROWTH","FQ2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70" s="1" t="e">
        <f ca="1">_xll.BDH($C$453,"EPS_DILUTED_SEQUENTIAL_GROWTH","FQ2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70" s="1" t="e">
        <f ca="1">_xll.BDH($C$453,"DPS_SEQUENTIAL_GROWTH","FQ2 2017","FQ2 2017","Currency=INR","Period=FQ","BEST_FPERIOD_OVERRIDE=FQ","FILING_STATUS=OR","EQY_CONSOLIDATED=Y","Sort=A","Dates=H","DateFormat=P","Fill=—","Direction=H","UseDPDF=Y")</f>
        <v>#NAME?</v>
      </c>
      <c r="BL470" s="1" t="e">
        <f ca="1">_xll.BDH($C$453,"ACCOUNTS_RECEIVABLE_SEQ_GROWTH","FQ2 2017","FQ2 2017","Currency=INR","Period=FQ","BEST_FPERIOD_OVERRIDE=FQ","FILING_STATUS=OR","EQY_CONSOLIDATED=Y","Sort=A","Dates=H","DateFormat=P","Fill=—","Direction=H","UseDPDF=Y")</f>
        <v>#NAME?</v>
      </c>
      <c r="BM470" s="1" t="e">
        <f ca="1">_xll.BDH($C$453,"INVENTORY_SEQUENTIAL_GROWTH","FQ2 2017","FQ2 2017","Currency=INR","Period=FQ","BEST_FPERIOD_OVERRIDE=FQ","FILING_STATUS=OR","EQY_CONSOLIDATED=Y","Sort=A","Dates=H","DateFormat=P","Fill=—","Direction=H","UseDPDF=Y")</f>
        <v>#NAME?</v>
      </c>
      <c r="BN470" s="1" t="e">
        <f ca="1">_xll.BDH($C$453,"FIXED_ASSETS_SEQUENTIAL_GROWTH","FQ2 2017","FQ2 2017","Currency=INR","Period=FQ","BEST_FPERIOD_OVERRIDE=FQ","FILING_STATUS=OR","EQY_CONSOLIDATED=Y","Sort=A","Dates=H","DateFormat=P","Fill=—","Direction=H","UseDPDF=Y")</f>
        <v>#NAME?</v>
      </c>
      <c r="BO470" s="1" t="e">
        <f ca="1">_xll.BDH($C$453,"TOTAL_ASSETS_SEQUENTIAL_GROWTH","FQ2 2017","FQ2 2017","Currency=INR","Period=FQ","BEST_FPERIOD_OVERRIDE=FQ","FILING_STATUS=OR","EQY_CONSOLIDATED=Y","Sort=A","Dates=H","DateFormat=P","Fill=—","Direction=H","UseDPDF=Y")</f>
        <v>#NAME?</v>
      </c>
      <c r="BP470" s="1" t="e">
        <f ca="1">_xll.BDH($C$453,"MODIFIED_WORKING_CPTL_SEQ_GRWTH","FQ2 2017","FQ2 2017","Currency=INR","Period=FQ","BEST_FPERIOD_OVERRIDE=FQ","FILING_STATUS=OR","EQY_CONSOLIDATED=Y","Sort=A","Dates=H","DateFormat=P","Fill=—","Direction=H","UseDPDF=Y")</f>
        <v>#NAME?</v>
      </c>
      <c r="BQ470" s="1" t="e">
        <f ca="1">_xll.BDH($C$453,"WORKING_CAPITAL_SEQ_GROWTH","FQ2 2017","FQ2 2017","Currency=INR","Period=FQ","BEST_FPERIOD_OVERRIDE=FQ","FILING_STATUS=OR","EQY_CONSOLIDATED=Y","Sort=A","Dates=H","DateFormat=P","Fill=—","Direction=H","UseDPDF=Y")</f>
        <v>#NAME?</v>
      </c>
      <c r="BR470" s="1" t="e">
        <f ca="1">_xll.BDH($C$453,"ACCOUNTS_PAYABLE_SEQ_GROWTH","FQ2 2017","FQ2 2017","Currency=INR","Period=FQ","BEST_FPERIOD_OVERRIDE=FQ","FILING_STATUS=OR","EQY_CONSOLIDATED=Y","Sort=A","Dates=H","DateFormat=P","Fill=—","Direction=H","UseDPDF=Y")</f>
        <v>#NAME?</v>
      </c>
      <c r="BS470" s="1" t="e">
        <f ca="1">_xll.BDH($C$453,"ST_DEBT_SEQUENTIAL_GROWTH","FQ2 2017","FQ2 2017","Currency=INR","Period=FQ","BEST_FPERIOD_OVERRIDE=FQ","FILING_STATUS=OR","EQY_CONSOLIDATED=Y","Sort=A","Dates=H","DateFormat=P","Fill=—","Direction=H","UseDPDF=Y")</f>
        <v>#NAME?</v>
      </c>
      <c r="BT470" s="1" t="e">
        <f ca="1">_xll.BDH($C$453,"TOTAL_DEBT_SEQUENTIAL_GROWTH","FQ2 2017","FQ2 2017","Currency=INR","Period=FQ","BEST_FPERIOD_OVERRIDE=FQ","FILING_STATUS=OR","EQY_CONSOLIDATED=Y","Sort=A","Dates=H","DateFormat=P","Fill=—","Direction=H","UseDPDF=Y")</f>
        <v>#NAME?</v>
      </c>
      <c r="BU470" s="1" t="e">
        <f ca="1">_xll.BDH($C$453,"TOTAL_EQUITY_SEQUENTIAL_GROWTH","FQ2 2017","FQ2 2017","Currency=INR","Period=FQ","BEST_FPERIOD_OVERRIDE=FQ","FILING_STATUS=OR","EQY_CONSOLIDATED=Y","Sort=A","Dates=H","DateFormat=P","Fill=—","Direction=H","UseDPDF=Y")</f>
        <v>#NAME?</v>
      </c>
      <c r="BV470" s="1" t="e">
        <f ca="1">_xll.BDH($C$453,"TOTAL_CAPITAL_SEQUENTIAL_GROWTH","FQ2 2017","FQ2 2017","Currency=INR","Period=FQ","BEST_FPERIOD_OVERRIDE=FQ","FILING_STATUS=OR","EQY_CONSOLIDATED=Y","Sort=A","Dates=H","DateFormat=P","Fill=—","Direction=H","UseDPDF=Y")</f>
        <v>#NAME?</v>
      </c>
      <c r="BW470" s="1" t="e">
        <f ca="1">_xll.BDH($C$453,"BPS_SEQUENTIAL_GROWTH","FQ2 2017","FQ2 2017","Currency=INR","Period=FQ","BEST_FPERIOD_OVERRIDE=FQ","FILING_STATUS=OR","EQY_CONSOLIDATED=Y","Sort=A","Dates=H","DateFormat=P","Fill=—","Direction=H","UseDPDF=Y")</f>
        <v>#NAME?</v>
      </c>
      <c r="BX470" s="1" t="e">
        <f ca="1">_xll.BDH($C$453,"CFO_SEQUENTIAL_GROWTH","FQ2 2017","FQ2 2017","Currency=INR","Period=FQ","BEST_FPERIOD_OVERRIDE=FQ","FILING_STATUS=OR","EQY_CONSOLIDATED=Y","Sort=A","Dates=H","DateFormat=P","Fill=—","Direction=H","UseDPDF=Y")</f>
        <v>#NAME?</v>
      </c>
      <c r="BY470" s="2" t="e">
        <f ca="1">_xll.BDH($C$453,"SHORT_AND_LONG_TERM_DEBT","FQ2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70" s="2" t="e">
        <f ca="1">_xll.BDH($C$453,"BS_ST_BORROW","FQ2 2017","FQ2 2017","Currency=INR","Period=FQ","BEST_FPERIOD_OVERRIDE=FQ","FILING_STATUS=OR","EQY_CONSOLIDATED=Y","SCALING_FORMAT=MLN","Sort=A","Dates=H","DateFormat=P","Fill=—","Direction=H","UseDPDF=Y")</f>
        <v>#NAME?</v>
      </c>
      <c r="CA470" s="2" t="e">
        <f ca="1">_xll.BDH($C$453,"BS_LT_BORROW","FQ2 2017","FQ2 2017","Currency=INR","Period=FQ","BEST_FPERIOD_OVERRIDE=FQ","FILING_STATUS=OR","EQY_CONSOLIDATED=Y","SCALING_FORMAT=MLN","Sort=A","Dates=H","DateFormat=P","Fill=—","Direction=H","UseDPDF=Y")</f>
        <v>#NAME?</v>
      </c>
      <c r="CB470" s="1" t="e">
        <f ca="1">_xll.BDH($C$453,"TOT_DEBT_TO_EBITDA","FQ2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70" s="1" t="e">
        <f ca="1">_xll.BDH($C$453,"NET_DEBT_TO_EBITDA","FQ2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70" s="1" t="e">
        <f ca="1">_xll.BDH($C$453,"TOTAL_DEBT_TO_EBIT","FQ2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70" s="1" t="e">
        <f ca="1">_xll.BDH($C$453,"NET_DEBT_TO_EBIT","FQ2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470" s="1" t="e">
        <f ca="1">_xll.BDH($C$453,"EBITDA_TO_INTEREST_EXPN","FQ2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70" s="1" t="e">
        <f ca="1">_xll.BDH($C$453,"COM_EQY_TO_TOT_ASSET","FQ2 2017","FQ2 2017","Currency=INR","Period=FQ","BEST_FPERIOD_OVERRIDE=FQ","FILING_STATUS=OR","EQY_CONSOLIDATED=Y","Sort=A","Dates=H","DateFormat=P","Fill=—","Direction=H","UseDPDF=Y")</f>
        <v>#NAME?</v>
      </c>
      <c r="CH470" s="1" t="e">
        <f ca="1">_xll.BDH($C$453,"LT_DEBT_TO_TOT_EQY","FQ2 2017","FQ2 2017","Currency=INR","Period=FQ","BEST_FPERIOD_OVERRIDE=FQ","FILING_STATUS=OR","EQY_CONSOLIDATED=Y","Sort=A","Dates=H","DateFormat=P","Fill=—","Direction=H","UseDPDF=Y")</f>
        <v>#NAME?</v>
      </c>
      <c r="CI470" s="1" t="e">
        <f ca="1">_xll.BDH($C$453,"LT_DEBT_TO_TOT_CAP","FQ2 2017","FQ2 2017","Currency=INR","Period=FQ","BEST_FPERIOD_OVERRIDE=FQ","FILING_STATUS=OR","EQY_CONSOLIDATED=Y","Sort=A","Dates=H","DateFormat=P","Fill=—","Direction=H","UseDPDF=Y")</f>
        <v>#NAME?</v>
      </c>
      <c r="CJ470" s="1" t="e">
        <f ca="1">_xll.BDH($C$453,"LT_DEBT_TO_TOT_ASSET","FQ2 2017","FQ2 2017","Currency=INR","Period=FQ","BEST_FPERIOD_OVERRIDE=FQ","FILING_STATUS=OR","EQY_CONSOLIDATED=Y","Sort=A","Dates=H","DateFormat=P","Fill=—","Direction=H","UseDPDF=Y")</f>
        <v>#NAME?</v>
      </c>
      <c r="CK470" s="1" t="e">
        <f ca="1">_xll.BDH($C$453,"TOT_DEBT_TO_TOT_EQY","FQ2 2017","FQ2 2017","Currency=INR","Period=FQ","BEST_FPERIOD_OVERRIDE=FQ","FILING_STATUS=OR","EQY_CONSOLIDATED=Y","Sort=A","Dates=H","DateFormat=P","Fill=—","Direction=H","UseDPDF=Y")</f>
        <v>#NAME?</v>
      </c>
      <c r="CL470" s="1" t="e">
        <f ca="1">_xll.BDH($C$453,"TOT_DEBT_TO_TOT_CAP","FQ2 2017","FQ2 2017","Currency=INR","Period=FQ","BEST_FPERIOD_OVERRIDE=FQ","FILING_STATUS=OR","EQY_CONSOLIDATED=Y","Sort=A","Dates=H","DateFormat=P","Fill=—","Direction=H","UseDPDF=Y")</f>
        <v>#NAME?</v>
      </c>
      <c r="CM470" s="1" t="e">
        <f ca="1">_xll.BDH($C$453,"TOT_DEBT_TO_TOT_ASSET","FQ2 2017","FQ2 2017","Currency=INR","Period=FQ","BEST_FPERIOD_OVERRIDE=FQ","FILING_STATUS=OR","EQY_CONSOLIDATED=Y","Sort=A","Dates=H","DateFormat=P","Fill=—","Direction=H","UseDPDF=Y")</f>
        <v>#NAME?</v>
      </c>
      <c r="CN470" s="1" t="e">
        <f ca="1">_xll.BDH($C$453,"NET_DEBT_TO_SHRHLDR_EQTY","FQ2 2017","FQ2 2017","Currency=INR","Period=FQ","BEST_FPERIOD_OVERRIDE=FQ","FILING_STATUS=OR","EQY_CONSOLIDATED=Y","Sort=A","Dates=H","DateFormat=P","Fill=—","Direction=H","UseDPDF=Y")</f>
        <v>#NAME?</v>
      </c>
      <c r="CO470" s="1" t="e">
        <f ca="1">_xll.BDH($C$453,"NET_DEBT_%_CAPITAL","FQ2 2017","FQ2 2017","Currency=INR","Period=FQ","BEST_FPERIOD_OVERRIDE=FQ","FILING_STATUS=OR","EQY_CONSOLIDATED=Y","Sort=A","Dates=H","DateFormat=P","Fill=—","Direction=H","UseDPDF=Y")</f>
        <v>#NAME?</v>
      </c>
      <c r="CP470" s="2" t="e">
        <f ca="1">_xll.BDH($C$453,"EBITDA","FQ2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70" s="2" t="e">
        <f ca="1">_xll.BDH($C$453,"EBITDA_AFTER_CAPEX","FQ2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70" s="2" t="e">
        <f ca="1">_xll.BDH($C$453,"IS_OPER_INC","FQ2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70" s="1" t="e">
        <f ca="1">_xll.BDH($C$453,"CASH_RATIO","FQ2 2017","FQ2 2017","Currency=INR","Period=FQ","BEST_FPERIOD_OVERRIDE=FQ","FILING_STATUS=OR","EQY_CONSOLIDATED=Y","Sort=A","Dates=H","DateFormat=P","Fill=—","Direction=H","UseDPDF=Y")</f>
        <v>#NAME?</v>
      </c>
      <c r="CT470" s="1" t="e">
        <f ca="1">_xll.BDH($C$453,"CUR_RATIO","FQ2 2017","FQ2 2017","Currency=INR","Period=FQ","BEST_FPERIOD_OVERRIDE=FQ","FILING_STATUS=OR","EQY_CONSOLIDATED=Y","Sort=A","Dates=H","DateFormat=P","Fill=—","Direction=H","UseDPDF=Y")</f>
        <v>#NAME?</v>
      </c>
      <c r="CU470" s="1" t="e">
        <f ca="1">_xll.BDH($C$453,"QUICK_RATIO","FQ2 2017","FQ2 2017","Currency=INR","Period=FQ","BEST_FPERIOD_OVERRIDE=FQ","FILING_STATUS=OR","EQY_CONSOLIDATED=Y","Sort=A","Dates=H","DateFormat=P","Fill=—","Direction=H","UseDPDF=Y")</f>
        <v>#NAME?</v>
      </c>
      <c r="CV470" s="1" t="e">
        <f ca="1">_xll.BDH($C$453,"ALTMAN_Z_SCORE","FQ2 2017","FQ2 2017","Currency=INR","Period=FQ","BEST_FPERIOD_OVERRIDE=FQ","FILING_STATUS=OR","EQY_CONSOLIDATED=Y","Sort=A","Dates=H","DateFormat=P","Fill=—","Direction=H","UseDPDF=Y")</f>
        <v>#NAME?</v>
      </c>
      <c r="CW470" s="3" t="e">
        <f ca="1">_xll.BDH($C$453,"ACCT_RCV_TURN","FQ2 2017","FQ2 2017","Currency=INR","Period=FQ","BEST_FPERIOD_OVERRIDE=FQ","FILING_STATUS=OR","EQY_CONSOLIDATED=Y","FA_ADJUSTED=GAAP","Sort=A","Dates=H","DateFormat=P","Fill=—","Direction=H","UseDPDF=Y")</f>
        <v>#NAME?</v>
      </c>
      <c r="CX470" s="1" t="e">
        <f ca="1">_xll.BDH($C$453,"ACCT_RCV_DAYS","FQ2 2017","FQ2 2017","Currency=INR","Period=FQ","BEST_FPERIOD_OVERRIDE=FQ","FILING_STATUS=OR","EQY_CONSOLIDATED=Y","FA_ADJUSTED=GAAP","Sort=A","Dates=H","DateFormat=P","Fill=—","Direction=H","UseDPDF=Y")</f>
        <v>#NAME?</v>
      </c>
      <c r="CY470" s="3" t="e">
        <f ca="1">_xll.BDH($C$453,"INVENT_TURN","FQ2 2017","FQ2 2017","Currency=INR","Period=FQ","BEST_FPERIOD_OVERRIDE=FQ","FILING_STATUS=OR","EQY_CONSOLIDATED=Y","FA_ADJUSTED=GAAP","Sort=A","Dates=H","DateFormat=P","Fill=—","Direction=H","UseDPDF=Y")</f>
        <v>#NAME?</v>
      </c>
      <c r="CZ470" s="1" t="e">
        <f ca="1">_xll.BDH($C$453,"INVENT_DAYS","FQ2 2017","FQ2 2017","Currency=INR","Period=FQ","BEST_FPERIOD_OVERRIDE=FQ","FILING_STATUS=OR","EQY_CONSOLIDATED=Y","FA_ADJUSTED=GAAP","Sort=A","Dates=H","DateFormat=P","Fill=—","Direction=H","UseDPDF=Y")</f>
        <v>#NAME?</v>
      </c>
      <c r="DA470" s="3" t="e">
        <f ca="1">_xll.BDH($C$453,"ACCOUNTS_PAYABLE_TURNOVER","FQ2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70" s="1" t="e">
        <f ca="1">_xll.BDH($C$453,"ACCOUNTS_PAYABLE_TURNOVER_DAYS","FQ2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70" s="3" t="e">
        <f ca="1">_xll.BDH($C$453,"CASH_CONVERSION_CYCLE","FQ2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70" s="3" t="e">
        <f ca="1">_xll.BDH($C$453,"INV_TO_CASH_DAYS","FQ2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470" s="4" t="e">
        <f ca="1">_xll.BDH($C$453,"BS_INVENTORIES","FQ2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470" s="2" t="e">
        <f ca="1">_xll.BDH($C$453,"INVTRY_RAW_MATERIALS","FQ2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70" s="2" t="e">
        <f ca="1">_xll.BDH($C$453,"INVTRY_IN_PROGRESS","FQ2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70" s="2" t="e">
        <f ca="1">_xll.BDH($C$453,"INVTRY_FINISHED_GOODS","FQ2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70" s="2" t="e">
        <f ca="1">_xll.BDH($C$453,"BS_OTHER_INV","FQ2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71" spans="1:113" x14ac:dyDescent="0.3">
      <c r="A471" s="6"/>
      <c r="B471" s="6"/>
      <c r="C471" s="6"/>
      <c r="D471" s="6"/>
      <c r="E471" t="s">
        <v>6</v>
      </c>
      <c r="F471" t="e">
        <f ca="1">_xll.BDH($C$453,"RETURN_COM_EQY","FQ3 2017","FQ3 2017","Currency=INR","Period=FQ","BEST_FPERIOD_OVERRIDE=FQ","FILING_STATUS=OR","EQY_CONSOLIDATED=Y","FA_ADJUSTED=GAAP","Sort=A","Dates=H","DateFormat=P","Fill=—","Direction=H","UseDPDF=Y")</f>
        <v>#NAME?</v>
      </c>
      <c r="G471" t="e">
        <f ca="1">_xll.BDH($C$453,"RETURN_ON_ASSET","FQ3 2017","FQ3 2017","Currency=INR","Period=FQ","BEST_FPERIOD_OVERRIDE=FQ","FILING_STATUS=OR","EQY_CONSOLIDATED=Y","FA_ADJUSTED=GAAP","Sort=A","Dates=H","DateFormat=P","Fill=—","Direction=H","UseDPDF=Y")</f>
        <v>#NAME?</v>
      </c>
      <c r="H471" t="e">
        <f ca="1">_xll.BDH($C$453,"RETURN_ON_CAP","FQ3 2017","FQ3 2017","Currency=INR","Period=FQ","BEST_FPERIOD_OVERRIDE=FQ","FILING_STATUS=OR","EQY_CONSOLIDATED=Y","FA_ADJUSTED=GAAP","Sort=A","Dates=H","DateFormat=P","Fill=—","Direction=H","UseDPDF=Y")</f>
        <v>#NAME?</v>
      </c>
      <c r="I471" t="e">
        <f ca="1">_xll.BDH($C$453,"RETURN_ON_INV_CAPITAL","FQ3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71" t="e">
        <f ca="1">_xll.BDH($C$453,"EBITDA_TO_REVENUE","FQ3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471" t="e">
        <f ca="1">_xll.BDH($C$453,"OPER_MARGIN","FQ3 2017","FQ3 2017","Currency=INR","Period=FQ","BEST_FPERIOD_OVERRIDE=FQ","FILING_STATUS=OR","EQY_CONSOLIDATED=Y","FA_ADJUSTED=GAAP","Sort=A","Dates=H","DateFormat=P","Fill=—","Direction=H","UseDPDF=Y")</f>
        <v>#NAME?</v>
      </c>
      <c r="L471" t="e">
        <f ca="1">_xll.BDH($C$453,"INCREMENTAL_OPERATING_MARGIN","FQ3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71" t="e">
        <f ca="1">_xll.BDH($C$453,"PRETAX_INC_TO_NET_SALES","FQ3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71" t="e">
        <f ca="1">_xll.BDH($C$453,"INC_BEF_XO_ITEMS_TO_NET_SALES","FQ3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71" t="e">
        <f ca="1">_xll.BDH($C$453,"PROF_MARGIN","FQ3 2017","FQ3 2017","Currency=INR","Period=FQ","BEST_FPERIOD_OVERRIDE=FQ","FILING_STATUS=OR","EQY_CONSOLIDATED=Y","FA_ADJUSTED=GAAP","Sort=A","Dates=H","DateFormat=P","Fill=—","Direction=H","UseDPDF=Y")</f>
        <v>#NAME?</v>
      </c>
      <c r="P471" t="e">
        <f ca="1">_xll.BDH($C$453,"NET_INCOME_TO_COMMON_MARGIN","FQ3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71" t="e">
        <f ca="1">_xll.BDH($C$453,"EFF_TAX_RATE","FQ3 2017","FQ3 2017","Currency=INR","Period=FQ","BEST_FPERIOD_OVERRIDE=FQ","FILING_STATUS=OR","EQY_CONSOLIDATED=Y","FA_ADJUSTED=GAAP","Sort=A","Dates=H","DateFormat=P","Fill=—","Direction=H","UseDPDF=Y")</f>
        <v>#NAME?</v>
      </c>
      <c r="R471" t="e">
        <f ca="1">_xll.BDH($C$453,"DVD_PAYOUT_RATIO","FQ3 2017","FQ3 2017","Currency=INR","Period=FQ","BEST_FPERIOD_OVERRIDE=FQ","FILING_STATUS=OR","EQY_CONSOLIDATED=Y","FA_ADJUSTED=GAAP","Sort=A","Dates=H","DateFormat=P","Fill=—","Direction=H","UseDPDF=Y")</f>
        <v>#NAME?</v>
      </c>
      <c r="S471" t="e">
        <f ca="1">_xll.BDH($C$453,"SUSTAIN_GROWTH_RT","FQ3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471" s="1" t="e">
        <f ca="1">_xll.BDH($C$453,"SALES_GROWTH","FQ3 2017","FQ3 2017","Currency=INR","Period=FQ","BEST_FPERIOD_OVERRIDE=FQ","FILING_STATUS=OR","EQY_CONSOLIDATED=Y","FA_ADJUSTED=GAAP","Sort=A","Dates=H","DateFormat=P","Fill=—","Direction=H","UseDPDF=Y")</f>
        <v>#NAME?</v>
      </c>
      <c r="U471" s="1" t="e">
        <f ca="1">_xll.BDH($C$453,"EBITDA_GROWTH","FQ3 2017","FQ3 2017","Currency=INR","Period=FQ","BEST_FPERIOD_OVERRIDE=FQ","FILING_STATUS=OR","EQY_CONSOLIDATED=Y","FA_ADJUSTED=GAAP","Sort=A","Dates=H","DateFormat=P","Fill=—","Direction=H","UseDPDF=Y")</f>
        <v>#NAME?</v>
      </c>
      <c r="V471" s="1" t="e">
        <f ca="1">_xll.BDH($C$453,"OPER_INC_GROWTH","FQ3 2017","FQ3 2017","Currency=INR","Period=FQ","BEST_FPERIOD_OVERRIDE=FQ","FILING_STATUS=OR","EQY_CONSOLIDATED=Y","FA_ADJUSTED=GAAP","Sort=A","Dates=H","DateFormat=P","Fill=—","Direction=H","UseDPDF=Y")</f>
        <v>#NAME?</v>
      </c>
      <c r="W471" s="1" t="e">
        <f ca="1">_xll.BDH($C$453,"EARN_FOR_COM_GROWTH","FQ3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71" s="1" t="e">
        <f ca="1">_xll.BDH($C$453,"DILUTED_EPS_AFT_XO_ITEMS_GROWTH","FQ3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71" s="1" t="e">
        <f ca="1">_xll.BDH($C$453,"DIVIDEND_PER_SHARE_1_YEAR_GROWTH","FQ3 2017","FQ3 2017","Currency=INR","Period=FQ","BEST_FPERIOD_OVERRIDE=FQ","FILING_STATUS=OR","EQY_CONSOLIDATED=Y","Sort=A","Dates=H","DateFormat=P","Fill=—","Direction=H","UseDPDF=Y")</f>
        <v>#NAME?</v>
      </c>
      <c r="Z471" s="1" t="e">
        <f ca="1">_xll.BDH($C$453,"ACCOUNTS_RECEIVABLE_GROWTH","FQ3 2017","FQ3 2017","Currency=INR","Period=FQ","BEST_FPERIOD_OVERRIDE=FQ","FILING_STATUS=OR","EQY_CONSOLIDATED=Y","Sort=A","Dates=H","DateFormat=P","Fill=—","Direction=H","UseDPDF=Y")</f>
        <v>#NAME?</v>
      </c>
      <c r="AA471" s="1" t="e">
        <f ca="1">_xll.BDH($C$453,"INVENTORY_GROWTH","FQ3 2017","FQ3 2017","Currency=INR","Period=FQ","BEST_FPERIOD_OVERRIDE=FQ","FILING_STATUS=OR","EQY_CONSOLIDATED=Y","Sort=A","Dates=H","DateFormat=P","Fill=—","Direction=H","UseDPDF=Y")</f>
        <v>#NAME?</v>
      </c>
      <c r="AB471" s="1" t="e">
        <f ca="1">_xll.BDH($C$453,"NET_FIXED_ASSETS_1_YEAR_GROWTH","FQ3 2017","FQ3 2017","Currency=INR","Period=FQ","BEST_FPERIOD_OVERRIDE=FQ","FILING_STATUS=OR","EQY_CONSOLIDATED=Y","Sort=A","Dates=H","DateFormat=P","Fill=—","Direction=H","UseDPDF=Y")</f>
        <v>#NAME?</v>
      </c>
      <c r="AC471" s="1" t="e">
        <f ca="1">_xll.BDH($C$453,"ASSET_GROWTH","FQ3 2017","FQ3 2017","Currency=INR","Period=FQ","BEST_FPERIOD_OVERRIDE=FQ","FILING_STATUS=OR","EQY_CONSOLIDATED=Y","Sort=A","Dates=H","DateFormat=P","Fill=—","Direction=H","UseDPDF=Y")</f>
        <v>#NAME?</v>
      </c>
      <c r="AD471" s="1" t="e">
        <f ca="1">_xll.BDH($C$453,"MODIFIED_WORK_CAP_GROWTH","FQ3 2017","FQ3 2017","Currency=INR","Period=FQ","BEST_FPERIOD_OVERRIDE=FQ","FILING_STATUS=OR","EQY_CONSOLIDATED=Y","Sort=A","Dates=H","DateFormat=P","Fill=—","Direction=H","UseDPDF=Y")</f>
        <v>#NAME?</v>
      </c>
      <c r="AE471" s="1" t="e">
        <f ca="1">_xll.BDH($C$453,"WORK_CAP_GROWTH","FQ3 2017","FQ3 2017","Currency=INR","Period=FQ","BEST_FPERIOD_OVERRIDE=FQ","FILING_STATUS=OR","EQY_CONSOLIDATED=Y","Sort=A","Dates=H","DateFormat=P","Fill=—","Direction=H","UseDPDF=Y")</f>
        <v>#NAME?</v>
      </c>
      <c r="AF471" s="1" t="e">
        <f ca="1">_xll.BDH($C$453,"ACCOUNTS_PAYABLE_GROWTH_1YR","FQ3 2017","FQ3 2017","Currency=INR","Period=FQ","BEST_FPERIOD_OVERRIDE=FQ","FILING_STATUS=OR","EQY_CONSOLIDATED=Y","Sort=A","Dates=H","DateFormat=P","Fill=—","Direction=H","UseDPDF=Y")</f>
        <v>#NAME?</v>
      </c>
      <c r="AG471" s="1" t="e">
        <f ca="1">_xll.BDH($C$453,"SHORT_TERM_DEBT_1_YEAR_GROWTH","FQ3 2017","FQ3 2017","Currency=INR","Period=FQ","BEST_FPERIOD_OVERRIDE=FQ","FILING_STATUS=OR","EQY_CONSOLIDATED=Y","Sort=A","Dates=H","DateFormat=P","Fill=—","Direction=H","UseDPDF=Y")</f>
        <v>#NAME?</v>
      </c>
      <c r="AH471" s="1" t="e">
        <f ca="1">_xll.BDH($C$453,"TOTAL_DEBT_1_YEAR_GROWTH","FQ3 2017","FQ3 2017","Currency=INR","Period=FQ","BEST_FPERIOD_OVERRIDE=FQ","FILING_STATUS=OR","EQY_CONSOLIDATED=Y","Sort=A","Dates=H","DateFormat=P","Fill=—","Direction=H","UseDPDF=Y")</f>
        <v>#NAME?</v>
      </c>
      <c r="AI471" s="1" t="e">
        <f ca="1">_xll.BDH($C$453,"TOTAL_EQUITY_1_YEAR_GROWTH","FQ3 2017","FQ3 2017","Currency=INR","Period=FQ","BEST_FPERIOD_OVERRIDE=FQ","FILING_STATUS=OR","EQY_CONSOLIDATED=Y","Sort=A","Dates=H","DateFormat=P","Fill=—","Direction=H","UseDPDF=Y")</f>
        <v>#NAME?</v>
      </c>
      <c r="AJ471" s="1" t="e">
        <f ca="1">_xll.BDH($C$453,"GROWTH_IN_CAP","FQ3 2017","FQ3 2017","Currency=INR","Period=FQ","BEST_FPERIOD_OVERRIDE=FQ","FILING_STATUS=OR","EQY_CONSOLIDATED=Y","Sort=A","Dates=H","DateFormat=P","Fill=—","Direction=H","UseDPDF=Y")</f>
        <v>#NAME?</v>
      </c>
      <c r="AK471" s="1" t="e">
        <f ca="1">_xll.BDH($C$453,"BVPS_GROWTH","FQ3 2017","FQ3 2017","Currency=INR","Period=FQ","BEST_FPERIOD_OVERRIDE=FQ","FILING_STATUS=OR","EQY_CONSOLIDATED=Y","Sort=A","Dates=H","DateFormat=P","Fill=—","Direction=H","UseDPDF=Y")</f>
        <v>#NAME?</v>
      </c>
      <c r="AL471" s="1" t="e">
        <f ca="1">_xll.BDH($C$453,"CASH_FLOW_GROWTH","FQ3 2017","FQ3 2017","Currency=INR","Period=FQ","BEST_FPERIOD_OVERRIDE=FQ","FILING_STATUS=OR","EQY_CONSOLIDATED=Y","Sort=A","Dates=H","DateFormat=P","Fill=—","Direction=H","UseDPDF=Y")</f>
        <v>#NAME?</v>
      </c>
      <c r="AM471" s="1" t="e">
        <f ca="1">_xll.BDH($C$453,"GEO_GROW_NET_SALES","FQ3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71" s="1" t="e">
        <f ca="1">_xll.BDH($C$453,"GEO_GROW_EBITDA","FQ3 2017","FQ3 2017","Currency=INR","Period=FQ","BEST_FPERIOD_OVERRIDE=FQ","FILING_STATUS=OR","EQY_CONSOLIDATED=Y","FA_ADJUSTED=GAAP","Sort=A","Dates=H","DateFormat=P","Fill=—","Direction=H","UseDPDF=Y")</f>
        <v>#NAME?</v>
      </c>
      <c r="AO471" s="1" t="e">
        <f ca="1">_xll.BDH($C$453,"GEO_GROW_OPER_INC","FQ3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71" s="1" t="e">
        <f ca="1">_xll.BDH($C$453,"NET_INCOME_TO_COMMON_5_YR_GROWTH","FQ3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71" s="1" t="e">
        <f ca="1">_xll.BDH($C$453,"5Y_GEO_GROWTH_DILUTED_EPS","FQ3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71" s="1" t="e">
        <f ca="1">_xll.BDH($C$453,"GEO_GROW_DVD_PER_SH","FQ3 2017","FQ3 2017","Currency=INR","Period=FQ","BEST_FPERIOD_OVERRIDE=FQ","FILING_STATUS=OR","EQY_CONSOLIDATED=Y","Sort=A","Dates=H","DateFormat=P","Fill=—","Direction=H","UseDPDF=Y")</f>
        <v>#NAME?</v>
      </c>
      <c r="AS471" s="1" t="e">
        <f ca="1">_xll.BDH($C$453,"ACCOUNTS_RECEIVABLE_5_YR_GROWTH","FQ3 2017","FQ3 2017","Currency=INR","Period=FQ","BEST_FPERIOD_OVERRIDE=FQ","FILING_STATUS=OR","EQY_CONSOLIDATED=Y","Sort=A","Dates=H","DateFormat=P","Fill=—","Direction=H","UseDPDF=Y")</f>
        <v>#NAME?</v>
      </c>
      <c r="AT471" s="1" t="e">
        <f ca="1">_xll.BDH($C$453,"INVENTORY_5_YEAR_GROWTH","FQ3 2017","FQ3 2017","Currency=INR","Period=FQ","BEST_FPERIOD_OVERRIDE=FQ","FILING_STATUS=OR","EQY_CONSOLIDATED=Y","Sort=A","Dates=H","DateFormat=P","Fill=—","Direction=H","UseDPDF=Y")</f>
        <v>#NAME?</v>
      </c>
      <c r="AU471" s="1" t="e">
        <f ca="1">_xll.BDH($C$453,"NET_FIXED_ASSETS_5_YEAR_GROWTH","FQ3 2017","FQ3 2017","Currency=INR","Period=FQ","BEST_FPERIOD_OVERRIDE=FQ","FILING_STATUS=OR","EQY_CONSOLIDATED=Y","Sort=A","Dates=H","DateFormat=P","Fill=—","Direction=H","UseDPDF=Y")</f>
        <v>#NAME?</v>
      </c>
      <c r="AV471" s="1" t="e">
        <f ca="1">_xll.BDH($C$453,"GEO_GROW_TOT_ASSET","FQ3 2017","FQ3 2017","Currency=INR","Period=FQ","BEST_FPERIOD_OVERRIDE=FQ","FILING_STATUS=OR","EQY_CONSOLIDATED=Y","Sort=A","Dates=H","DateFormat=P","Fill=—","Direction=H","UseDPDF=Y")</f>
        <v>#NAME?</v>
      </c>
      <c r="AW471" s="1" t="e">
        <f ca="1">_xll.BDH($C$453,"MODIFIED_WORKING_CPTL_5YR_GRWTH","FQ3 2017","FQ3 2017","Currency=INR","Period=FQ","BEST_FPERIOD_OVERRIDE=FQ","FILING_STATUS=OR","EQY_CONSOLIDATED=Y","Sort=A","Dates=H","DateFormat=P","Fill=—","Direction=H","UseDPDF=Y")</f>
        <v>#NAME?</v>
      </c>
      <c r="AX471" s="1" t="e">
        <f ca="1">_xll.BDH($C$453,"WORKING_CAPITAL_5_YEAR_GROWTH","FQ3 2017","FQ3 2017","Currency=INR","Period=FQ","BEST_FPERIOD_OVERRIDE=FQ","FILING_STATUS=OR","EQY_CONSOLIDATED=Y","Sort=A","Dates=H","DateFormat=P","Fill=—","Direction=H","UseDPDF=Y")</f>
        <v>#NAME?</v>
      </c>
      <c r="AY471" s="1" t="e">
        <f ca="1">_xll.BDH($C$453,"ACCOUNTS_PAYABLE_5_YEAR_GROWTH","FQ3 2017","FQ3 2017","Currency=INR","Period=FQ","BEST_FPERIOD_OVERRIDE=FQ","FILING_STATUS=OR","EQY_CONSOLIDATED=Y","Sort=A","Dates=H","DateFormat=P","Fill=—","Direction=H","UseDPDF=Y")</f>
        <v>#NAME?</v>
      </c>
      <c r="AZ471" s="1" t="e">
        <f ca="1">_xll.BDH($C$453,"SHORT_TERM_DEBT_5_YEAR_GROWTH","FQ3 2017","FQ3 2017","Currency=INR","Period=FQ","BEST_FPERIOD_OVERRIDE=FQ","FILING_STATUS=OR","EQY_CONSOLIDATED=Y","Sort=A","Dates=H","DateFormat=P","Fill=—","Direction=H","UseDPDF=Y")</f>
        <v>#NAME?</v>
      </c>
      <c r="BA471" s="1" t="e">
        <f ca="1">_xll.BDH($C$453,"TOTAL_DEBT_5_YEAR_GROWTH","FQ3 2017","FQ3 2017","Currency=INR","Period=FQ","BEST_FPERIOD_OVERRIDE=FQ","FILING_STATUS=OR","EQY_CONSOLIDATED=Y","Sort=A","Dates=H","DateFormat=P","Fill=—","Direction=H","UseDPDF=Y")</f>
        <v>#NAME?</v>
      </c>
      <c r="BB471" s="1" t="e">
        <f ca="1">_xll.BDH($C$453,"GEO_GROW_TOT_SHRHLDR_EQY","FQ3 2017","FQ3 2017","Currency=INR","Period=FQ","BEST_FPERIOD_OVERRIDE=FQ","FILING_STATUS=OR","EQY_CONSOLIDATED=Y","Sort=A","Dates=H","DateFormat=P","Fill=—","Direction=H","UseDPDF=Y")</f>
        <v>#NAME?</v>
      </c>
      <c r="BC471" s="1" t="e">
        <f ca="1">_xll.BDH($C$453,"TOTAL_CAPITAL_5_YEAR_GROWTH","FQ3 2017","FQ3 2017","Currency=INR","Period=FQ","BEST_FPERIOD_OVERRIDE=FQ","FILING_STATUS=OR","EQY_CONSOLIDATED=Y","Sort=A","Dates=H","DateFormat=P","Fill=—","Direction=H","UseDPDF=Y")</f>
        <v>#NAME?</v>
      </c>
      <c r="BD471" s="1" t="e">
        <f ca="1">_xll.BDH($C$453,"GEO_GROW_BOOK_VAL","FQ3 2017","FQ3 2017","Currency=INR","Period=FQ","BEST_FPERIOD_OVERRIDE=FQ","FILING_STATUS=OR","EQY_CONSOLIDATED=Y","Sort=A","Dates=H","DateFormat=P","Fill=—","Direction=H","UseDPDF=Y")</f>
        <v>#NAME?</v>
      </c>
      <c r="BE471" s="1" t="e">
        <f ca="1">_xll.BDH($C$453,"GEO_GROW_CASH_OPER_ACT","FQ3 2017","FQ3 2017","Currency=INR","Period=FQ","BEST_FPERIOD_OVERRIDE=FQ","FILING_STATUS=OR","EQY_CONSOLIDATED=Y","Sort=A","Dates=H","DateFormat=P","Fill=—","Direction=H","UseDPDF=Y")</f>
        <v>#NAME?</v>
      </c>
      <c r="BF471" s="1" t="e">
        <f ca="1">_xll.BDH($C$453,"REVENUE_SEQUENTIAL_GROWTH","FQ3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71" s="1" t="e">
        <f ca="1">_xll.BDH($C$453,"EBITDA_SEQUENTIAL_GROWTH","FQ3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71" s="1" t="e">
        <f ca="1">_xll.BDH($C$453,"OPERATING_INCOME_SEQ_GROWTH","FQ3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71" s="1" t="e">
        <f ca="1">_xll.BDH($C$453,"NET_INCOME_TO_COMMON_SEQ_GROWTH","FQ3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71" s="1" t="e">
        <f ca="1">_xll.BDH($C$453,"EPS_DILUTED_SEQUENTIAL_GROWTH","FQ3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71" s="1" t="e">
        <f ca="1">_xll.BDH($C$453,"DPS_SEQUENTIAL_GROWTH","FQ3 2017","FQ3 2017","Currency=INR","Period=FQ","BEST_FPERIOD_OVERRIDE=FQ","FILING_STATUS=OR","EQY_CONSOLIDATED=Y","Sort=A","Dates=H","DateFormat=P","Fill=—","Direction=H","UseDPDF=Y")</f>
        <v>#NAME?</v>
      </c>
      <c r="BL471" s="1" t="e">
        <f ca="1">_xll.BDH($C$453,"ACCOUNTS_RECEIVABLE_SEQ_GROWTH","FQ3 2017","FQ3 2017","Currency=INR","Period=FQ","BEST_FPERIOD_OVERRIDE=FQ","FILING_STATUS=OR","EQY_CONSOLIDATED=Y","Sort=A","Dates=H","DateFormat=P","Fill=—","Direction=H","UseDPDF=Y")</f>
        <v>#NAME?</v>
      </c>
      <c r="BM471" s="1" t="e">
        <f ca="1">_xll.BDH($C$453,"INVENTORY_SEQUENTIAL_GROWTH","FQ3 2017","FQ3 2017","Currency=INR","Period=FQ","BEST_FPERIOD_OVERRIDE=FQ","FILING_STATUS=OR","EQY_CONSOLIDATED=Y","Sort=A","Dates=H","DateFormat=P","Fill=—","Direction=H","UseDPDF=Y")</f>
        <v>#NAME?</v>
      </c>
      <c r="BN471" s="1" t="e">
        <f ca="1">_xll.BDH($C$453,"FIXED_ASSETS_SEQUENTIAL_GROWTH","FQ3 2017","FQ3 2017","Currency=INR","Period=FQ","BEST_FPERIOD_OVERRIDE=FQ","FILING_STATUS=OR","EQY_CONSOLIDATED=Y","Sort=A","Dates=H","DateFormat=P","Fill=—","Direction=H","UseDPDF=Y")</f>
        <v>#NAME?</v>
      </c>
      <c r="BO471" s="1" t="e">
        <f ca="1">_xll.BDH($C$453,"TOTAL_ASSETS_SEQUENTIAL_GROWTH","FQ3 2017","FQ3 2017","Currency=INR","Period=FQ","BEST_FPERIOD_OVERRIDE=FQ","FILING_STATUS=OR","EQY_CONSOLIDATED=Y","Sort=A","Dates=H","DateFormat=P","Fill=—","Direction=H","UseDPDF=Y")</f>
        <v>#NAME?</v>
      </c>
      <c r="BP471" s="1" t="e">
        <f ca="1">_xll.BDH($C$453,"MODIFIED_WORKING_CPTL_SEQ_GRWTH","FQ3 2017","FQ3 2017","Currency=INR","Period=FQ","BEST_FPERIOD_OVERRIDE=FQ","FILING_STATUS=OR","EQY_CONSOLIDATED=Y","Sort=A","Dates=H","DateFormat=P","Fill=—","Direction=H","UseDPDF=Y")</f>
        <v>#NAME?</v>
      </c>
      <c r="BQ471" s="1" t="e">
        <f ca="1">_xll.BDH($C$453,"WORKING_CAPITAL_SEQ_GROWTH","FQ3 2017","FQ3 2017","Currency=INR","Period=FQ","BEST_FPERIOD_OVERRIDE=FQ","FILING_STATUS=OR","EQY_CONSOLIDATED=Y","Sort=A","Dates=H","DateFormat=P","Fill=—","Direction=H","UseDPDF=Y")</f>
        <v>#NAME?</v>
      </c>
      <c r="BR471" s="1" t="e">
        <f ca="1">_xll.BDH($C$453,"ACCOUNTS_PAYABLE_SEQ_GROWTH","FQ3 2017","FQ3 2017","Currency=INR","Period=FQ","BEST_FPERIOD_OVERRIDE=FQ","FILING_STATUS=OR","EQY_CONSOLIDATED=Y","Sort=A","Dates=H","DateFormat=P","Fill=—","Direction=H","UseDPDF=Y")</f>
        <v>#NAME?</v>
      </c>
      <c r="BS471" s="1" t="e">
        <f ca="1">_xll.BDH($C$453,"ST_DEBT_SEQUENTIAL_GROWTH","FQ3 2017","FQ3 2017","Currency=INR","Period=FQ","BEST_FPERIOD_OVERRIDE=FQ","FILING_STATUS=OR","EQY_CONSOLIDATED=Y","Sort=A","Dates=H","DateFormat=P","Fill=—","Direction=H","UseDPDF=Y")</f>
        <v>#NAME?</v>
      </c>
      <c r="BT471" s="1" t="e">
        <f ca="1">_xll.BDH($C$453,"TOTAL_DEBT_SEQUENTIAL_GROWTH","FQ3 2017","FQ3 2017","Currency=INR","Period=FQ","BEST_FPERIOD_OVERRIDE=FQ","FILING_STATUS=OR","EQY_CONSOLIDATED=Y","Sort=A","Dates=H","DateFormat=P","Fill=—","Direction=H","UseDPDF=Y")</f>
        <v>#NAME?</v>
      </c>
      <c r="BU471" s="1" t="e">
        <f ca="1">_xll.BDH($C$453,"TOTAL_EQUITY_SEQUENTIAL_GROWTH","FQ3 2017","FQ3 2017","Currency=INR","Period=FQ","BEST_FPERIOD_OVERRIDE=FQ","FILING_STATUS=OR","EQY_CONSOLIDATED=Y","Sort=A","Dates=H","DateFormat=P","Fill=—","Direction=H","UseDPDF=Y")</f>
        <v>#NAME?</v>
      </c>
      <c r="BV471" s="1" t="e">
        <f ca="1">_xll.BDH($C$453,"TOTAL_CAPITAL_SEQUENTIAL_GROWTH","FQ3 2017","FQ3 2017","Currency=INR","Period=FQ","BEST_FPERIOD_OVERRIDE=FQ","FILING_STATUS=OR","EQY_CONSOLIDATED=Y","Sort=A","Dates=H","DateFormat=P","Fill=—","Direction=H","UseDPDF=Y")</f>
        <v>#NAME?</v>
      </c>
      <c r="BW471" s="1" t="e">
        <f ca="1">_xll.BDH($C$453,"BPS_SEQUENTIAL_GROWTH","FQ3 2017","FQ3 2017","Currency=INR","Period=FQ","BEST_FPERIOD_OVERRIDE=FQ","FILING_STATUS=OR","EQY_CONSOLIDATED=Y","Sort=A","Dates=H","DateFormat=P","Fill=—","Direction=H","UseDPDF=Y")</f>
        <v>#NAME?</v>
      </c>
      <c r="BX471" s="1" t="e">
        <f ca="1">_xll.BDH($C$453,"CFO_SEQUENTIAL_GROWTH","FQ3 2017","FQ3 2017","Currency=INR","Period=FQ","BEST_FPERIOD_OVERRIDE=FQ","FILING_STATUS=OR","EQY_CONSOLIDATED=Y","Sort=A","Dates=H","DateFormat=P","Fill=—","Direction=H","UseDPDF=Y")</f>
        <v>#NAME?</v>
      </c>
      <c r="BY471" s="2" t="e">
        <f ca="1">_xll.BDH($C$453,"SHORT_AND_LONG_TERM_DEBT","FQ3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71" s="2" t="e">
        <f ca="1">_xll.BDH($C$453,"BS_ST_BORROW","FQ3 2017","FQ3 2017","Currency=INR","Period=FQ","BEST_FPERIOD_OVERRIDE=FQ","FILING_STATUS=OR","EQY_CONSOLIDATED=Y","SCALING_FORMAT=MLN","Sort=A","Dates=H","DateFormat=P","Fill=—","Direction=H","UseDPDF=Y")</f>
        <v>#NAME?</v>
      </c>
      <c r="CA471" s="2" t="e">
        <f ca="1">_xll.BDH($C$453,"BS_LT_BORROW","FQ3 2017","FQ3 2017","Currency=INR","Period=FQ","BEST_FPERIOD_OVERRIDE=FQ","FILING_STATUS=OR","EQY_CONSOLIDATED=Y","SCALING_FORMAT=MLN","Sort=A","Dates=H","DateFormat=P","Fill=—","Direction=H","UseDPDF=Y")</f>
        <v>#NAME?</v>
      </c>
      <c r="CB471" s="1" t="e">
        <f ca="1">_xll.BDH($C$453,"TOT_DEBT_TO_EBITDA","FQ3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71" s="1" t="e">
        <f ca="1">_xll.BDH($C$453,"NET_DEBT_TO_EBITDA","FQ3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71" s="1" t="e">
        <f ca="1">_xll.BDH($C$453,"TOTAL_DEBT_TO_EBIT","FQ3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71" s="1" t="e">
        <f ca="1">_xll.BDH($C$453,"NET_DEBT_TO_EBIT","FQ3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471" s="1" t="e">
        <f ca="1">_xll.BDH($C$453,"EBITDA_TO_INTEREST_EXPN","FQ3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71" s="1" t="e">
        <f ca="1">_xll.BDH($C$453,"COM_EQY_TO_TOT_ASSET","FQ3 2017","FQ3 2017","Currency=INR","Period=FQ","BEST_FPERIOD_OVERRIDE=FQ","FILING_STATUS=OR","EQY_CONSOLIDATED=Y","Sort=A","Dates=H","DateFormat=P","Fill=—","Direction=H","UseDPDF=Y")</f>
        <v>#NAME?</v>
      </c>
      <c r="CH471" s="1" t="e">
        <f ca="1">_xll.BDH($C$453,"LT_DEBT_TO_TOT_EQY","FQ3 2017","FQ3 2017","Currency=INR","Period=FQ","BEST_FPERIOD_OVERRIDE=FQ","FILING_STATUS=OR","EQY_CONSOLIDATED=Y","Sort=A","Dates=H","DateFormat=P","Fill=—","Direction=H","UseDPDF=Y")</f>
        <v>#NAME?</v>
      </c>
      <c r="CI471" s="1" t="e">
        <f ca="1">_xll.BDH($C$453,"LT_DEBT_TO_TOT_CAP","FQ3 2017","FQ3 2017","Currency=INR","Period=FQ","BEST_FPERIOD_OVERRIDE=FQ","FILING_STATUS=OR","EQY_CONSOLIDATED=Y","Sort=A","Dates=H","DateFormat=P","Fill=—","Direction=H","UseDPDF=Y")</f>
        <v>#NAME?</v>
      </c>
      <c r="CJ471" s="1" t="e">
        <f ca="1">_xll.BDH($C$453,"LT_DEBT_TO_TOT_ASSET","FQ3 2017","FQ3 2017","Currency=INR","Period=FQ","BEST_FPERIOD_OVERRIDE=FQ","FILING_STATUS=OR","EQY_CONSOLIDATED=Y","Sort=A","Dates=H","DateFormat=P","Fill=—","Direction=H","UseDPDF=Y")</f>
        <v>#NAME?</v>
      </c>
      <c r="CK471" s="1" t="e">
        <f ca="1">_xll.BDH($C$453,"TOT_DEBT_TO_TOT_EQY","FQ3 2017","FQ3 2017","Currency=INR","Period=FQ","BEST_FPERIOD_OVERRIDE=FQ","FILING_STATUS=OR","EQY_CONSOLIDATED=Y","Sort=A","Dates=H","DateFormat=P","Fill=—","Direction=H","UseDPDF=Y")</f>
        <v>#NAME?</v>
      </c>
      <c r="CL471" s="1" t="e">
        <f ca="1">_xll.BDH($C$453,"TOT_DEBT_TO_TOT_CAP","FQ3 2017","FQ3 2017","Currency=INR","Period=FQ","BEST_FPERIOD_OVERRIDE=FQ","FILING_STATUS=OR","EQY_CONSOLIDATED=Y","Sort=A","Dates=H","DateFormat=P","Fill=—","Direction=H","UseDPDF=Y")</f>
        <v>#NAME?</v>
      </c>
      <c r="CM471" s="1" t="e">
        <f ca="1">_xll.BDH($C$453,"TOT_DEBT_TO_TOT_ASSET","FQ3 2017","FQ3 2017","Currency=INR","Period=FQ","BEST_FPERIOD_OVERRIDE=FQ","FILING_STATUS=OR","EQY_CONSOLIDATED=Y","Sort=A","Dates=H","DateFormat=P","Fill=—","Direction=H","UseDPDF=Y")</f>
        <v>#NAME?</v>
      </c>
      <c r="CN471" s="1" t="e">
        <f ca="1">_xll.BDH($C$453,"NET_DEBT_TO_SHRHLDR_EQTY","FQ3 2017","FQ3 2017","Currency=INR","Period=FQ","BEST_FPERIOD_OVERRIDE=FQ","FILING_STATUS=OR","EQY_CONSOLIDATED=Y","Sort=A","Dates=H","DateFormat=P","Fill=—","Direction=H","UseDPDF=Y")</f>
        <v>#NAME?</v>
      </c>
      <c r="CO471" s="1" t="e">
        <f ca="1">_xll.BDH($C$453,"NET_DEBT_%_CAPITAL","FQ3 2017","FQ3 2017","Currency=INR","Period=FQ","BEST_FPERIOD_OVERRIDE=FQ","FILING_STATUS=OR","EQY_CONSOLIDATED=Y","Sort=A","Dates=H","DateFormat=P","Fill=—","Direction=H","UseDPDF=Y")</f>
        <v>#NAME?</v>
      </c>
      <c r="CP471" s="2" t="e">
        <f ca="1">_xll.BDH($C$453,"EBITDA","FQ3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71" s="2" t="e">
        <f ca="1">_xll.BDH($C$453,"EBITDA_AFTER_CAPEX","FQ3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71" s="2" t="e">
        <f ca="1">_xll.BDH($C$453,"IS_OPER_INC","FQ3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71" s="1" t="e">
        <f ca="1">_xll.BDH($C$453,"CASH_RATIO","FQ3 2017","FQ3 2017","Currency=INR","Period=FQ","BEST_FPERIOD_OVERRIDE=FQ","FILING_STATUS=OR","EQY_CONSOLIDATED=Y","Sort=A","Dates=H","DateFormat=P","Fill=—","Direction=H","UseDPDF=Y")</f>
        <v>#NAME?</v>
      </c>
      <c r="CT471" s="1" t="e">
        <f ca="1">_xll.BDH($C$453,"CUR_RATIO","FQ3 2017","FQ3 2017","Currency=INR","Period=FQ","BEST_FPERIOD_OVERRIDE=FQ","FILING_STATUS=OR","EQY_CONSOLIDATED=Y","Sort=A","Dates=H","DateFormat=P","Fill=—","Direction=H","UseDPDF=Y")</f>
        <v>#NAME?</v>
      </c>
      <c r="CU471" s="1" t="e">
        <f ca="1">_xll.BDH($C$453,"QUICK_RATIO","FQ3 2017","FQ3 2017","Currency=INR","Period=FQ","BEST_FPERIOD_OVERRIDE=FQ","FILING_STATUS=OR","EQY_CONSOLIDATED=Y","Sort=A","Dates=H","DateFormat=P","Fill=—","Direction=H","UseDPDF=Y")</f>
        <v>#NAME?</v>
      </c>
      <c r="CV471" s="1" t="e">
        <f ca="1">_xll.BDH($C$453,"ALTMAN_Z_SCORE","FQ3 2017","FQ3 2017","Currency=INR","Period=FQ","BEST_FPERIOD_OVERRIDE=FQ","FILING_STATUS=OR","EQY_CONSOLIDATED=Y","Sort=A","Dates=H","DateFormat=P","Fill=—","Direction=H","UseDPDF=Y")</f>
        <v>#NAME?</v>
      </c>
      <c r="CW471" s="3" t="e">
        <f ca="1">_xll.BDH($C$453,"ACCT_RCV_TURN","FQ3 2017","FQ3 2017","Currency=INR","Period=FQ","BEST_FPERIOD_OVERRIDE=FQ","FILING_STATUS=OR","EQY_CONSOLIDATED=Y","FA_ADJUSTED=GAAP","Sort=A","Dates=H","DateFormat=P","Fill=—","Direction=H","UseDPDF=Y")</f>
        <v>#NAME?</v>
      </c>
      <c r="CX471" s="1" t="e">
        <f ca="1">_xll.BDH($C$453,"ACCT_RCV_DAYS","FQ3 2017","FQ3 2017","Currency=INR","Period=FQ","BEST_FPERIOD_OVERRIDE=FQ","FILING_STATUS=OR","EQY_CONSOLIDATED=Y","FA_ADJUSTED=GAAP","Sort=A","Dates=H","DateFormat=P","Fill=—","Direction=H","UseDPDF=Y")</f>
        <v>#NAME?</v>
      </c>
      <c r="CY471" s="3" t="e">
        <f ca="1">_xll.BDH($C$453,"INVENT_TURN","FQ3 2017","FQ3 2017","Currency=INR","Period=FQ","BEST_FPERIOD_OVERRIDE=FQ","FILING_STATUS=OR","EQY_CONSOLIDATED=Y","FA_ADJUSTED=GAAP","Sort=A","Dates=H","DateFormat=P","Fill=—","Direction=H","UseDPDF=Y")</f>
        <v>#NAME?</v>
      </c>
      <c r="CZ471" s="1" t="e">
        <f ca="1">_xll.BDH($C$453,"INVENT_DAYS","FQ3 2017","FQ3 2017","Currency=INR","Period=FQ","BEST_FPERIOD_OVERRIDE=FQ","FILING_STATUS=OR","EQY_CONSOLIDATED=Y","FA_ADJUSTED=GAAP","Sort=A","Dates=H","DateFormat=P","Fill=—","Direction=H","UseDPDF=Y")</f>
        <v>#NAME?</v>
      </c>
      <c r="DA471" s="3" t="e">
        <f ca="1">_xll.BDH($C$453,"ACCOUNTS_PAYABLE_TURNOVER","FQ3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71" s="1" t="e">
        <f ca="1">_xll.BDH($C$453,"ACCOUNTS_PAYABLE_TURNOVER_DAYS","FQ3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71" s="3" t="e">
        <f ca="1">_xll.BDH($C$453,"CASH_CONVERSION_CYCLE","FQ3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71" s="3" t="e">
        <f ca="1">_xll.BDH($C$453,"INV_TO_CASH_DAYS","FQ3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471" s="4" t="e">
        <f ca="1">_xll.BDH($C$453,"BS_INVENTORIES","FQ3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471" s="2" t="e">
        <f ca="1">_xll.BDH($C$453,"INVTRY_RAW_MATERIALS","FQ3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71" s="2" t="e">
        <f ca="1">_xll.BDH($C$453,"INVTRY_IN_PROGRESS","FQ3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71" s="2" t="e">
        <f ca="1">_xll.BDH($C$453,"INVTRY_FINISHED_GOODS","FQ3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71" s="2" t="e">
        <f ca="1">_xll.BDH($C$453,"BS_OTHER_INV","FQ3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72" spans="1:113" x14ac:dyDescent="0.3">
      <c r="A472" s="6"/>
      <c r="B472" s="6"/>
      <c r="C472" s="6"/>
      <c r="D472" s="6"/>
      <c r="E472" t="s">
        <v>7</v>
      </c>
      <c r="F472" t="e">
        <f ca="1">_xll.BDH($C$453,"RETURN_COM_EQY","FQ4 2017","FQ4 2017","Currency=INR","Period=FQ","BEST_FPERIOD_OVERRIDE=FQ","FILING_STATUS=OR","EQY_CONSOLIDATED=Y","FA_ADJUSTED=GAAP","Sort=A","Dates=H","DateFormat=P","Fill=—","Direction=H","UseDPDF=Y")</f>
        <v>#NAME?</v>
      </c>
      <c r="G472" t="e">
        <f ca="1">_xll.BDH($C$453,"RETURN_ON_ASSET","FQ4 2017","FQ4 2017","Currency=INR","Period=FQ","BEST_FPERIOD_OVERRIDE=FQ","FILING_STATUS=OR","EQY_CONSOLIDATED=Y","FA_ADJUSTED=GAAP","Sort=A","Dates=H","DateFormat=P","Fill=—","Direction=H","UseDPDF=Y")</f>
        <v>#NAME?</v>
      </c>
      <c r="H472" t="e">
        <f ca="1">_xll.BDH($C$453,"RETURN_ON_CAP","FQ4 2017","FQ4 2017","Currency=INR","Period=FQ","BEST_FPERIOD_OVERRIDE=FQ","FILING_STATUS=OR","EQY_CONSOLIDATED=Y","FA_ADJUSTED=GAAP","Sort=A","Dates=H","DateFormat=P","Fill=—","Direction=H","UseDPDF=Y")</f>
        <v>#NAME?</v>
      </c>
      <c r="I472" t="e">
        <f ca="1">_xll.BDH($C$453,"RETURN_ON_INV_CAPITAL","FQ4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72" t="e">
        <f ca="1">_xll.BDH($C$453,"EBITDA_TO_REVENUE","FQ4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472" t="e">
        <f ca="1">_xll.BDH($C$453,"OPER_MARGIN","FQ4 2017","FQ4 2017","Currency=INR","Period=FQ","BEST_FPERIOD_OVERRIDE=FQ","FILING_STATUS=OR","EQY_CONSOLIDATED=Y","FA_ADJUSTED=GAAP","Sort=A","Dates=H","DateFormat=P","Fill=—","Direction=H","UseDPDF=Y")</f>
        <v>#NAME?</v>
      </c>
      <c r="L472" t="e">
        <f ca="1">_xll.BDH($C$453,"INCREMENTAL_OPERATING_MARGIN","FQ4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72" t="e">
        <f ca="1">_xll.BDH($C$453,"PRETAX_INC_TO_NET_SALES","FQ4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72" t="e">
        <f ca="1">_xll.BDH($C$453,"INC_BEF_XO_ITEMS_TO_NET_SALES","FQ4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72" t="e">
        <f ca="1">_xll.BDH($C$453,"PROF_MARGIN","FQ4 2017","FQ4 2017","Currency=INR","Period=FQ","BEST_FPERIOD_OVERRIDE=FQ","FILING_STATUS=OR","EQY_CONSOLIDATED=Y","FA_ADJUSTED=GAAP","Sort=A","Dates=H","DateFormat=P","Fill=—","Direction=H","UseDPDF=Y")</f>
        <v>#NAME?</v>
      </c>
      <c r="P472" t="e">
        <f ca="1">_xll.BDH($C$453,"NET_INCOME_TO_COMMON_MARGIN","FQ4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72" t="e">
        <f ca="1">_xll.BDH($C$453,"EFF_TAX_RATE","FQ4 2017","FQ4 2017","Currency=INR","Period=FQ","BEST_FPERIOD_OVERRIDE=FQ","FILING_STATUS=OR","EQY_CONSOLIDATED=Y","FA_ADJUSTED=GAAP","Sort=A","Dates=H","DateFormat=P","Fill=—","Direction=H","UseDPDF=Y")</f>
        <v>#NAME?</v>
      </c>
      <c r="R472" t="e">
        <f ca="1">_xll.BDH($C$453,"DVD_PAYOUT_RATIO","FQ4 2017","FQ4 2017","Currency=INR","Period=FQ","BEST_FPERIOD_OVERRIDE=FQ","FILING_STATUS=OR","EQY_CONSOLIDATED=Y","FA_ADJUSTED=GAAP","Sort=A","Dates=H","DateFormat=P","Fill=—","Direction=H","UseDPDF=Y")</f>
        <v>#NAME?</v>
      </c>
      <c r="S472" t="e">
        <f ca="1">_xll.BDH($C$453,"SUSTAIN_GROWTH_RT","FQ4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472" s="1" t="e">
        <f ca="1">_xll.BDH($C$453,"SALES_GROWTH","FQ4 2017","FQ4 2017","Currency=INR","Period=FQ","BEST_FPERIOD_OVERRIDE=FQ","FILING_STATUS=OR","EQY_CONSOLIDATED=Y","FA_ADJUSTED=GAAP","Sort=A","Dates=H","DateFormat=P","Fill=—","Direction=H","UseDPDF=Y")</f>
        <v>#NAME?</v>
      </c>
      <c r="U472" s="1" t="e">
        <f ca="1">_xll.BDH($C$453,"EBITDA_GROWTH","FQ4 2017","FQ4 2017","Currency=INR","Period=FQ","BEST_FPERIOD_OVERRIDE=FQ","FILING_STATUS=OR","EQY_CONSOLIDATED=Y","FA_ADJUSTED=GAAP","Sort=A","Dates=H","DateFormat=P","Fill=—","Direction=H","UseDPDF=Y")</f>
        <v>#NAME?</v>
      </c>
      <c r="V472" s="1" t="e">
        <f ca="1">_xll.BDH($C$453,"OPER_INC_GROWTH","FQ4 2017","FQ4 2017","Currency=INR","Period=FQ","BEST_FPERIOD_OVERRIDE=FQ","FILING_STATUS=OR","EQY_CONSOLIDATED=Y","FA_ADJUSTED=GAAP","Sort=A","Dates=H","DateFormat=P","Fill=—","Direction=H","UseDPDF=Y")</f>
        <v>#NAME?</v>
      </c>
      <c r="W472" s="1" t="e">
        <f ca="1">_xll.BDH($C$453,"EARN_FOR_COM_GROWTH","FQ4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72" s="1" t="e">
        <f ca="1">_xll.BDH($C$453,"DILUTED_EPS_AFT_XO_ITEMS_GROWTH","FQ4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72" s="1" t="e">
        <f ca="1">_xll.BDH($C$453,"DIVIDEND_PER_SHARE_1_YEAR_GROWTH","FQ4 2017","FQ4 2017","Currency=INR","Period=FQ","BEST_FPERIOD_OVERRIDE=FQ","FILING_STATUS=OR","EQY_CONSOLIDATED=Y","Sort=A","Dates=H","DateFormat=P","Fill=—","Direction=H","UseDPDF=Y")</f>
        <v>#NAME?</v>
      </c>
      <c r="Z472" s="1" t="e">
        <f ca="1">_xll.BDH($C$453,"ACCOUNTS_RECEIVABLE_GROWTH","FQ4 2017","FQ4 2017","Currency=INR","Period=FQ","BEST_FPERIOD_OVERRIDE=FQ","FILING_STATUS=OR","EQY_CONSOLIDATED=Y","Sort=A","Dates=H","DateFormat=P","Fill=—","Direction=H","UseDPDF=Y")</f>
        <v>#NAME?</v>
      </c>
      <c r="AA472" s="1" t="e">
        <f ca="1">_xll.BDH($C$453,"INVENTORY_GROWTH","FQ4 2017","FQ4 2017","Currency=INR","Period=FQ","BEST_FPERIOD_OVERRIDE=FQ","FILING_STATUS=OR","EQY_CONSOLIDATED=Y","Sort=A","Dates=H","DateFormat=P","Fill=—","Direction=H","UseDPDF=Y")</f>
        <v>#NAME?</v>
      </c>
      <c r="AB472" s="1" t="e">
        <f ca="1">_xll.BDH($C$453,"NET_FIXED_ASSETS_1_YEAR_GROWTH","FQ4 2017","FQ4 2017","Currency=INR","Period=FQ","BEST_FPERIOD_OVERRIDE=FQ","FILING_STATUS=OR","EQY_CONSOLIDATED=Y","Sort=A","Dates=H","DateFormat=P","Fill=—","Direction=H","UseDPDF=Y")</f>
        <v>#NAME?</v>
      </c>
      <c r="AC472" s="1" t="e">
        <f ca="1">_xll.BDH($C$453,"ASSET_GROWTH","FQ4 2017","FQ4 2017","Currency=INR","Period=FQ","BEST_FPERIOD_OVERRIDE=FQ","FILING_STATUS=OR","EQY_CONSOLIDATED=Y","Sort=A","Dates=H","DateFormat=P","Fill=—","Direction=H","UseDPDF=Y")</f>
        <v>#NAME?</v>
      </c>
      <c r="AD472" s="1" t="e">
        <f ca="1">_xll.BDH($C$453,"MODIFIED_WORK_CAP_GROWTH","FQ4 2017","FQ4 2017","Currency=INR","Period=FQ","BEST_FPERIOD_OVERRIDE=FQ","FILING_STATUS=OR","EQY_CONSOLIDATED=Y","Sort=A","Dates=H","DateFormat=P","Fill=—","Direction=H","UseDPDF=Y")</f>
        <v>#NAME?</v>
      </c>
      <c r="AE472" s="1" t="e">
        <f ca="1">_xll.BDH($C$453,"WORK_CAP_GROWTH","FQ4 2017","FQ4 2017","Currency=INR","Period=FQ","BEST_FPERIOD_OVERRIDE=FQ","FILING_STATUS=OR","EQY_CONSOLIDATED=Y","Sort=A","Dates=H","DateFormat=P","Fill=—","Direction=H","UseDPDF=Y")</f>
        <v>#NAME?</v>
      </c>
      <c r="AF472" s="1" t="e">
        <f ca="1">_xll.BDH($C$453,"ACCOUNTS_PAYABLE_GROWTH_1YR","FQ4 2017","FQ4 2017","Currency=INR","Period=FQ","BEST_FPERIOD_OVERRIDE=FQ","FILING_STATUS=OR","EQY_CONSOLIDATED=Y","Sort=A","Dates=H","DateFormat=P","Fill=—","Direction=H","UseDPDF=Y")</f>
        <v>#NAME?</v>
      </c>
      <c r="AG472" s="1" t="e">
        <f ca="1">_xll.BDH($C$453,"SHORT_TERM_DEBT_1_YEAR_GROWTH","FQ4 2017","FQ4 2017","Currency=INR","Period=FQ","BEST_FPERIOD_OVERRIDE=FQ","FILING_STATUS=OR","EQY_CONSOLIDATED=Y","Sort=A","Dates=H","DateFormat=P","Fill=—","Direction=H","UseDPDF=Y")</f>
        <v>#NAME?</v>
      </c>
      <c r="AH472" s="1" t="e">
        <f ca="1">_xll.BDH($C$453,"TOTAL_DEBT_1_YEAR_GROWTH","FQ4 2017","FQ4 2017","Currency=INR","Period=FQ","BEST_FPERIOD_OVERRIDE=FQ","FILING_STATUS=OR","EQY_CONSOLIDATED=Y","Sort=A","Dates=H","DateFormat=P","Fill=—","Direction=H","UseDPDF=Y")</f>
        <v>#NAME?</v>
      </c>
      <c r="AI472" s="1" t="e">
        <f ca="1">_xll.BDH($C$453,"TOTAL_EQUITY_1_YEAR_GROWTH","FQ4 2017","FQ4 2017","Currency=INR","Period=FQ","BEST_FPERIOD_OVERRIDE=FQ","FILING_STATUS=OR","EQY_CONSOLIDATED=Y","Sort=A","Dates=H","DateFormat=P","Fill=—","Direction=H","UseDPDF=Y")</f>
        <v>#NAME?</v>
      </c>
      <c r="AJ472" s="1" t="e">
        <f ca="1">_xll.BDH($C$453,"GROWTH_IN_CAP","FQ4 2017","FQ4 2017","Currency=INR","Period=FQ","BEST_FPERIOD_OVERRIDE=FQ","FILING_STATUS=OR","EQY_CONSOLIDATED=Y","Sort=A","Dates=H","DateFormat=P","Fill=—","Direction=H","UseDPDF=Y")</f>
        <v>#NAME?</v>
      </c>
      <c r="AK472" s="1" t="e">
        <f ca="1">_xll.BDH($C$453,"BVPS_GROWTH","FQ4 2017","FQ4 2017","Currency=INR","Period=FQ","BEST_FPERIOD_OVERRIDE=FQ","FILING_STATUS=OR","EQY_CONSOLIDATED=Y","Sort=A","Dates=H","DateFormat=P","Fill=—","Direction=H","UseDPDF=Y")</f>
        <v>#NAME?</v>
      </c>
      <c r="AL472" s="1" t="e">
        <f ca="1">_xll.BDH($C$453,"CASH_FLOW_GROWTH","FQ4 2017","FQ4 2017","Currency=INR","Period=FQ","BEST_FPERIOD_OVERRIDE=FQ","FILING_STATUS=OR","EQY_CONSOLIDATED=Y","Sort=A","Dates=H","DateFormat=P","Fill=—","Direction=H","UseDPDF=Y")</f>
        <v>#NAME?</v>
      </c>
      <c r="AM472" s="1" t="e">
        <f ca="1">_xll.BDH($C$453,"GEO_GROW_NET_SALES","FQ4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72" s="1" t="e">
        <f ca="1">_xll.BDH($C$453,"GEO_GROW_EBITDA","FQ4 2017","FQ4 2017","Currency=INR","Period=FQ","BEST_FPERIOD_OVERRIDE=FQ","FILING_STATUS=OR","EQY_CONSOLIDATED=Y","FA_ADJUSTED=GAAP","Sort=A","Dates=H","DateFormat=P","Fill=—","Direction=H","UseDPDF=Y")</f>
        <v>#NAME?</v>
      </c>
      <c r="AO472" s="1" t="e">
        <f ca="1">_xll.BDH($C$453,"GEO_GROW_OPER_INC","FQ4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72" s="1" t="e">
        <f ca="1">_xll.BDH($C$453,"NET_INCOME_TO_COMMON_5_YR_GROWTH","FQ4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72" s="1" t="e">
        <f ca="1">_xll.BDH($C$453,"5Y_GEO_GROWTH_DILUTED_EPS","FQ4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72" s="1" t="e">
        <f ca="1">_xll.BDH($C$453,"GEO_GROW_DVD_PER_SH","FQ4 2017","FQ4 2017","Currency=INR","Period=FQ","BEST_FPERIOD_OVERRIDE=FQ","FILING_STATUS=OR","EQY_CONSOLIDATED=Y","Sort=A","Dates=H","DateFormat=P","Fill=—","Direction=H","UseDPDF=Y")</f>
        <v>#NAME?</v>
      </c>
      <c r="AS472" s="1" t="e">
        <f ca="1">_xll.BDH($C$453,"ACCOUNTS_RECEIVABLE_5_YR_GROWTH","FQ4 2017","FQ4 2017","Currency=INR","Period=FQ","BEST_FPERIOD_OVERRIDE=FQ","FILING_STATUS=OR","EQY_CONSOLIDATED=Y","Sort=A","Dates=H","DateFormat=P","Fill=—","Direction=H","UseDPDF=Y")</f>
        <v>#NAME?</v>
      </c>
      <c r="AT472" s="1" t="e">
        <f ca="1">_xll.BDH($C$453,"INVENTORY_5_YEAR_GROWTH","FQ4 2017","FQ4 2017","Currency=INR","Period=FQ","BEST_FPERIOD_OVERRIDE=FQ","FILING_STATUS=OR","EQY_CONSOLIDATED=Y","Sort=A","Dates=H","DateFormat=P","Fill=—","Direction=H","UseDPDF=Y")</f>
        <v>#NAME?</v>
      </c>
      <c r="AU472" s="1" t="e">
        <f ca="1">_xll.BDH($C$453,"NET_FIXED_ASSETS_5_YEAR_GROWTH","FQ4 2017","FQ4 2017","Currency=INR","Period=FQ","BEST_FPERIOD_OVERRIDE=FQ","FILING_STATUS=OR","EQY_CONSOLIDATED=Y","Sort=A","Dates=H","DateFormat=P","Fill=—","Direction=H","UseDPDF=Y")</f>
        <v>#NAME?</v>
      </c>
      <c r="AV472" s="1" t="e">
        <f ca="1">_xll.BDH($C$453,"GEO_GROW_TOT_ASSET","FQ4 2017","FQ4 2017","Currency=INR","Period=FQ","BEST_FPERIOD_OVERRIDE=FQ","FILING_STATUS=OR","EQY_CONSOLIDATED=Y","Sort=A","Dates=H","DateFormat=P","Fill=—","Direction=H","UseDPDF=Y")</f>
        <v>#NAME?</v>
      </c>
      <c r="AW472" s="1" t="e">
        <f ca="1">_xll.BDH($C$453,"MODIFIED_WORKING_CPTL_5YR_GRWTH","FQ4 2017","FQ4 2017","Currency=INR","Period=FQ","BEST_FPERIOD_OVERRIDE=FQ","FILING_STATUS=OR","EQY_CONSOLIDATED=Y","Sort=A","Dates=H","DateFormat=P","Fill=—","Direction=H","UseDPDF=Y")</f>
        <v>#NAME?</v>
      </c>
      <c r="AX472" s="1" t="e">
        <f ca="1">_xll.BDH($C$453,"WORKING_CAPITAL_5_YEAR_GROWTH","FQ4 2017","FQ4 2017","Currency=INR","Period=FQ","BEST_FPERIOD_OVERRIDE=FQ","FILING_STATUS=OR","EQY_CONSOLIDATED=Y","Sort=A","Dates=H","DateFormat=P","Fill=—","Direction=H","UseDPDF=Y")</f>
        <v>#NAME?</v>
      </c>
      <c r="AY472" s="1" t="e">
        <f ca="1">_xll.BDH($C$453,"ACCOUNTS_PAYABLE_5_YEAR_GROWTH","FQ4 2017","FQ4 2017","Currency=INR","Period=FQ","BEST_FPERIOD_OVERRIDE=FQ","FILING_STATUS=OR","EQY_CONSOLIDATED=Y","Sort=A","Dates=H","DateFormat=P","Fill=—","Direction=H","UseDPDF=Y")</f>
        <v>#NAME?</v>
      </c>
      <c r="AZ472" s="1" t="e">
        <f ca="1">_xll.BDH($C$453,"SHORT_TERM_DEBT_5_YEAR_GROWTH","FQ4 2017","FQ4 2017","Currency=INR","Period=FQ","BEST_FPERIOD_OVERRIDE=FQ","FILING_STATUS=OR","EQY_CONSOLIDATED=Y","Sort=A","Dates=H","DateFormat=P","Fill=—","Direction=H","UseDPDF=Y")</f>
        <v>#NAME?</v>
      </c>
      <c r="BA472" s="1" t="e">
        <f ca="1">_xll.BDH($C$453,"TOTAL_DEBT_5_YEAR_GROWTH","FQ4 2017","FQ4 2017","Currency=INR","Period=FQ","BEST_FPERIOD_OVERRIDE=FQ","FILING_STATUS=OR","EQY_CONSOLIDATED=Y","Sort=A","Dates=H","DateFormat=P","Fill=—","Direction=H","UseDPDF=Y")</f>
        <v>#NAME?</v>
      </c>
      <c r="BB472" s="1" t="e">
        <f ca="1">_xll.BDH($C$453,"GEO_GROW_TOT_SHRHLDR_EQY","FQ4 2017","FQ4 2017","Currency=INR","Period=FQ","BEST_FPERIOD_OVERRIDE=FQ","FILING_STATUS=OR","EQY_CONSOLIDATED=Y","Sort=A","Dates=H","DateFormat=P","Fill=—","Direction=H","UseDPDF=Y")</f>
        <v>#NAME?</v>
      </c>
      <c r="BC472" s="1" t="e">
        <f ca="1">_xll.BDH($C$453,"TOTAL_CAPITAL_5_YEAR_GROWTH","FQ4 2017","FQ4 2017","Currency=INR","Period=FQ","BEST_FPERIOD_OVERRIDE=FQ","FILING_STATUS=OR","EQY_CONSOLIDATED=Y","Sort=A","Dates=H","DateFormat=P","Fill=—","Direction=H","UseDPDF=Y")</f>
        <v>#NAME?</v>
      </c>
      <c r="BD472" s="1" t="e">
        <f ca="1">_xll.BDH($C$453,"GEO_GROW_BOOK_VAL","FQ4 2017","FQ4 2017","Currency=INR","Period=FQ","BEST_FPERIOD_OVERRIDE=FQ","FILING_STATUS=OR","EQY_CONSOLIDATED=Y","Sort=A","Dates=H","DateFormat=P","Fill=—","Direction=H","UseDPDF=Y")</f>
        <v>#NAME?</v>
      </c>
      <c r="BE472" s="1" t="e">
        <f ca="1">_xll.BDH($C$453,"GEO_GROW_CASH_OPER_ACT","FQ4 2017","FQ4 2017","Currency=INR","Period=FQ","BEST_FPERIOD_OVERRIDE=FQ","FILING_STATUS=OR","EQY_CONSOLIDATED=Y","Sort=A","Dates=H","DateFormat=P","Fill=—","Direction=H","UseDPDF=Y")</f>
        <v>#NAME?</v>
      </c>
      <c r="BF472" s="1" t="e">
        <f ca="1">_xll.BDH($C$453,"REVENUE_SEQUENTIAL_GROWTH","FQ4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72" s="1" t="e">
        <f ca="1">_xll.BDH($C$453,"EBITDA_SEQUENTIAL_GROWTH","FQ4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72" s="1" t="e">
        <f ca="1">_xll.BDH($C$453,"OPERATING_INCOME_SEQ_GROWTH","FQ4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72" s="1" t="e">
        <f ca="1">_xll.BDH($C$453,"NET_INCOME_TO_COMMON_SEQ_GROWTH","FQ4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72" s="1" t="e">
        <f ca="1">_xll.BDH($C$453,"EPS_DILUTED_SEQUENTIAL_GROWTH","FQ4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72" s="1" t="e">
        <f ca="1">_xll.BDH($C$453,"DPS_SEQUENTIAL_GROWTH","FQ4 2017","FQ4 2017","Currency=INR","Period=FQ","BEST_FPERIOD_OVERRIDE=FQ","FILING_STATUS=OR","EQY_CONSOLIDATED=Y","Sort=A","Dates=H","DateFormat=P","Fill=—","Direction=H","UseDPDF=Y")</f>
        <v>#NAME?</v>
      </c>
      <c r="BL472" s="1" t="e">
        <f ca="1">_xll.BDH($C$453,"ACCOUNTS_RECEIVABLE_SEQ_GROWTH","FQ4 2017","FQ4 2017","Currency=INR","Period=FQ","BEST_FPERIOD_OVERRIDE=FQ","FILING_STATUS=OR","EQY_CONSOLIDATED=Y","Sort=A","Dates=H","DateFormat=P","Fill=—","Direction=H","UseDPDF=Y")</f>
        <v>#NAME?</v>
      </c>
      <c r="BM472" s="1" t="e">
        <f ca="1">_xll.BDH($C$453,"INVENTORY_SEQUENTIAL_GROWTH","FQ4 2017","FQ4 2017","Currency=INR","Period=FQ","BEST_FPERIOD_OVERRIDE=FQ","FILING_STATUS=OR","EQY_CONSOLIDATED=Y","Sort=A","Dates=H","DateFormat=P","Fill=—","Direction=H","UseDPDF=Y")</f>
        <v>#NAME?</v>
      </c>
      <c r="BN472" s="1" t="e">
        <f ca="1">_xll.BDH($C$453,"FIXED_ASSETS_SEQUENTIAL_GROWTH","FQ4 2017","FQ4 2017","Currency=INR","Period=FQ","BEST_FPERIOD_OVERRIDE=FQ","FILING_STATUS=OR","EQY_CONSOLIDATED=Y","Sort=A","Dates=H","DateFormat=P","Fill=—","Direction=H","UseDPDF=Y")</f>
        <v>#NAME?</v>
      </c>
      <c r="BO472" s="1" t="e">
        <f ca="1">_xll.BDH($C$453,"TOTAL_ASSETS_SEQUENTIAL_GROWTH","FQ4 2017","FQ4 2017","Currency=INR","Period=FQ","BEST_FPERIOD_OVERRIDE=FQ","FILING_STATUS=OR","EQY_CONSOLIDATED=Y","Sort=A","Dates=H","DateFormat=P","Fill=—","Direction=H","UseDPDF=Y")</f>
        <v>#NAME?</v>
      </c>
      <c r="BP472" s="1" t="e">
        <f ca="1">_xll.BDH($C$453,"MODIFIED_WORKING_CPTL_SEQ_GRWTH","FQ4 2017","FQ4 2017","Currency=INR","Period=FQ","BEST_FPERIOD_OVERRIDE=FQ","FILING_STATUS=OR","EQY_CONSOLIDATED=Y","Sort=A","Dates=H","DateFormat=P","Fill=—","Direction=H","UseDPDF=Y")</f>
        <v>#NAME?</v>
      </c>
      <c r="BQ472" s="1" t="e">
        <f ca="1">_xll.BDH($C$453,"WORKING_CAPITAL_SEQ_GROWTH","FQ4 2017","FQ4 2017","Currency=INR","Period=FQ","BEST_FPERIOD_OVERRIDE=FQ","FILING_STATUS=OR","EQY_CONSOLIDATED=Y","Sort=A","Dates=H","DateFormat=P","Fill=—","Direction=H","UseDPDF=Y")</f>
        <v>#NAME?</v>
      </c>
      <c r="BR472" s="1" t="e">
        <f ca="1">_xll.BDH($C$453,"ACCOUNTS_PAYABLE_SEQ_GROWTH","FQ4 2017","FQ4 2017","Currency=INR","Period=FQ","BEST_FPERIOD_OVERRIDE=FQ","FILING_STATUS=OR","EQY_CONSOLIDATED=Y","Sort=A","Dates=H","DateFormat=P","Fill=—","Direction=H","UseDPDF=Y")</f>
        <v>#NAME?</v>
      </c>
      <c r="BS472" s="1" t="e">
        <f ca="1">_xll.BDH($C$453,"ST_DEBT_SEQUENTIAL_GROWTH","FQ4 2017","FQ4 2017","Currency=INR","Period=FQ","BEST_FPERIOD_OVERRIDE=FQ","FILING_STATUS=OR","EQY_CONSOLIDATED=Y","Sort=A","Dates=H","DateFormat=P","Fill=—","Direction=H","UseDPDF=Y")</f>
        <v>#NAME?</v>
      </c>
      <c r="BT472" s="1" t="e">
        <f ca="1">_xll.BDH($C$453,"TOTAL_DEBT_SEQUENTIAL_GROWTH","FQ4 2017","FQ4 2017","Currency=INR","Period=FQ","BEST_FPERIOD_OVERRIDE=FQ","FILING_STATUS=OR","EQY_CONSOLIDATED=Y","Sort=A","Dates=H","DateFormat=P","Fill=—","Direction=H","UseDPDF=Y")</f>
        <v>#NAME?</v>
      </c>
      <c r="BU472" s="1" t="e">
        <f ca="1">_xll.BDH($C$453,"TOTAL_EQUITY_SEQUENTIAL_GROWTH","FQ4 2017","FQ4 2017","Currency=INR","Period=FQ","BEST_FPERIOD_OVERRIDE=FQ","FILING_STATUS=OR","EQY_CONSOLIDATED=Y","Sort=A","Dates=H","DateFormat=P","Fill=—","Direction=H","UseDPDF=Y")</f>
        <v>#NAME?</v>
      </c>
      <c r="BV472" s="1" t="e">
        <f ca="1">_xll.BDH($C$453,"TOTAL_CAPITAL_SEQUENTIAL_GROWTH","FQ4 2017","FQ4 2017","Currency=INR","Period=FQ","BEST_FPERIOD_OVERRIDE=FQ","FILING_STATUS=OR","EQY_CONSOLIDATED=Y","Sort=A","Dates=H","DateFormat=P","Fill=—","Direction=H","UseDPDF=Y")</f>
        <v>#NAME?</v>
      </c>
      <c r="BW472" s="1" t="e">
        <f ca="1">_xll.BDH($C$453,"BPS_SEQUENTIAL_GROWTH","FQ4 2017","FQ4 2017","Currency=INR","Period=FQ","BEST_FPERIOD_OVERRIDE=FQ","FILING_STATUS=OR","EQY_CONSOLIDATED=Y","Sort=A","Dates=H","DateFormat=P","Fill=—","Direction=H","UseDPDF=Y")</f>
        <v>#NAME?</v>
      </c>
      <c r="BX472" s="1" t="e">
        <f ca="1">_xll.BDH($C$453,"CFO_SEQUENTIAL_GROWTH","FQ4 2017","FQ4 2017","Currency=INR","Period=FQ","BEST_FPERIOD_OVERRIDE=FQ","FILING_STATUS=OR","EQY_CONSOLIDATED=Y","Sort=A","Dates=H","DateFormat=P","Fill=—","Direction=H","UseDPDF=Y")</f>
        <v>#NAME?</v>
      </c>
      <c r="BY472" s="2" t="e">
        <f ca="1">_xll.BDH($C$453,"SHORT_AND_LONG_TERM_DEBT","FQ4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72" s="2" t="e">
        <f ca="1">_xll.BDH($C$453,"BS_ST_BORROW","FQ4 2017","FQ4 2017","Currency=INR","Period=FQ","BEST_FPERIOD_OVERRIDE=FQ","FILING_STATUS=OR","EQY_CONSOLIDATED=Y","SCALING_FORMAT=MLN","Sort=A","Dates=H","DateFormat=P","Fill=—","Direction=H","UseDPDF=Y")</f>
        <v>#NAME?</v>
      </c>
      <c r="CA472" s="2" t="e">
        <f ca="1">_xll.BDH($C$453,"BS_LT_BORROW","FQ4 2017","FQ4 2017","Currency=INR","Period=FQ","BEST_FPERIOD_OVERRIDE=FQ","FILING_STATUS=OR","EQY_CONSOLIDATED=Y","SCALING_FORMAT=MLN","Sort=A","Dates=H","DateFormat=P","Fill=—","Direction=H","UseDPDF=Y")</f>
        <v>#NAME?</v>
      </c>
      <c r="CB472" s="1" t="e">
        <f ca="1">_xll.BDH($C$453,"TOT_DEBT_TO_EBITDA","FQ4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72" s="1" t="e">
        <f ca="1">_xll.BDH($C$453,"NET_DEBT_TO_EBITDA","FQ4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72" s="1" t="e">
        <f ca="1">_xll.BDH($C$453,"TOTAL_DEBT_TO_EBIT","FQ4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72" s="1" t="e">
        <f ca="1">_xll.BDH($C$453,"NET_DEBT_TO_EBIT","FQ4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472" s="1" t="e">
        <f ca="1">_xll.BDH($C$453,"EBITDA_TO_INTEREST_EXPN","FQ4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72" s="1" t="e">
        <f ca="1">_xll.BDH($C$453,"COM_EQY_TO_TOT_ASSET","FQ4 2017","FQ4 2017","Currency=INR","Period=FQ","BEST_FPERIOD_OVERRIDE=FQ","FILING_STATUS=OR","EQY_CONSOLIDATED=Y","Sort=A","Dates=H","DateFormat=P","Fill=—","Direction=H","UseDPDF=Y")</f>
        <v>#NAME?</v>
      </c>
      <c r="CH472" s="1" t="e">
        <f ca="1">_xll.BDH($C$453,"LT_DEBT_TO_TOT_EQY","FQ4 2017","FQ4 2017","Currency=INR","Period=FQ","BEST_FPERIOD_OVERRIDE=FQ","FILING_STATUS=OR","EQY_CONSOLIDATED=Y","Sort=A","Dates=H","DateFormat=P","Fill=—","Direction=H","UseDPDF=Y")</f>
        <v>#NAME?</v>
      </c>
      <c r="CI472" s="1" t="e">
        <f ca="1">_xll.BDH($C$453,"LT_DEBT_TO_TOT_CAP","FQ4 2017","FQ4 2017","Currency=INR","Period=FQ","BEST_FPERIOD_OVERRIDE=FQ","FILING_STATUS=OR","EQY_CONSOLIDATED=Y","Sort=A","Dates=H","DateFormat=P","Fill=—","Direction=H","UseDPDF=Y")</f>
        <v>#NAME?</v>
      </c>
      <c r="CJ472" s="1" t="e">
        <f ca="1">_xll.BDH($C$453,"LT_DEBT_TO_TOT_ASSET","FQ4 2017","FQ4 2017","Currency=INR","Period=FQ","BEST_FPERIOD_OVERRIDE=FQ","FILING_STATUS=OR","EQY_CONSOLIDATED=Y","Sort=A","Dates=H","DateFormat=P","Fill=—","Direction=H","UseDPDF=Y")</f>
        <v>#NAME?</v>
      </c>
      <c r="CK472" s="1" t="e">
        <f ca="1">_xll.BDH($C$453,"TOT_DEBT_TO_TOT_EQY","FQ4 2017","FQ4 2017","Currency=INR","Period=FQ","BEST_FPERIOD_OVERRIDE=FQ","FILING_STATUS=OR","EQY_CONSOLIDATED=Y","Sort=A","Dates=H","DateFormat=P","Fill=—","Direction=H","UseDPDF=Y")</f>
        <v>#NAME?</v>
      </c>
      <c r="CL472" s="1" t="e">
        <f ca="1">_xll.BDH($C$453,"TOT_DEBT_TO_TOT_CAP","FQ4 2017","FQ4 2017","Currency=INR","Period=FQ","BEST_FPERIOD_OVERRIDE=FQ","FILING_STATUS=OR","EQY_CONSOLIDATED=Y","Sort=A","Dates=H","DateFormat=P","Fill=—","Direction=H","UseDPDF=Y")</f>
        <v>#NAME?</v>
      </c>
      <c r="CM472" s="1" t="e">
        <f ca="1">_xll.BDH($C$453,"TOT_DEBT_TO_TOT_ASSET","FQ4 2017","FQ4 2017","Currency=INR","Period=FQ","BEST_FPERIOD_OVERRIDE=FQ","FILING_STATUS=OR","EQY_CONSOLIDATED=Y","Sort=A","Dates=H","DateFormat=P","Fill=—","Direction=H","UseDPDF=Y")</f>
        <v>#NAME?</v>
      </c>
      <c r="CN472" s="1" t="e">
        <f ca="1">_xll.BDH($C$453,"NET_DEBT_TO_SHRHLDR_EQTY","FQ4 2017","FQ4 2017","Currency=INR","Period=FQ","BEST_FPERIOD_OVERRIDE=FQ","FILING_STATUS=OR","EQY_CONSOLIDATED=Y","Sort=A","Dates=H","DateFormat=P","Fill=—","Direction=H","UseDPDF=Y")</f>
        <v>#NAME?</v>
      </c>
      <c r="CO472" s="1" t="e">
        <f ca="1">_xll.BDH($C$453,"NET_DEBT_%_CAPITAL","FQ4 2017","FQ4 2017","Currency=INR","Period=FQ","BEST_FPERIOD_OVERRIDE=FQ","FILING_STATUS=OR","EQY_CONSOLIDATED=Y","Sort=A","Dates=H","DateFormat=P","Fill=—","Direction=H","UseDPDF=Y")</f>
        <v>#NAME?</v>
      </c>
      <c r="CP472" s="2" t="e">
        <f ca="1">_xll.BDH($C$453,"EBITDA","FQ4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72" s="2" t="e">
        <f ca="1">_xll.BDH($C$453,"EBITDA_AFTER_CAPEX","FQ4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72" s="2" t="e">
        <f ca="1">_xll.BDH($C$453,"IS_OPER_INC","FQ4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72" s="1" t="e">
        <f ca="1">_xll.BDH($C$453,"CASH_RATIO","FQ4 2017","FQ4 2017","Currency=INR","Period=FQ","BEST_FPERIOD_OVERRIDE=FQ","FILING_STATUS=OR","EQY_CONSOLIDATED=Y","Sort=A","Dates=H","DateFormat=P","Fill=—","Direction=H","UseDPDF=Y")</f>
        <v>#NAME?</v>
      </c>
      <c r="CT472" s="1" t="e">
        <f ca="1">_xll.BDH($C$453,"CUR_RATIO","FQ4 2017","FQ4 2017","Currency=INR","Period=FQ","BEST_FPERIOD_OVERRIDE=FQ","FILING_STATUS=OR","EQY_CONSOLIDATED=Y","Sort=A","Dates=H","DateFormat=P","Fill=—","Direction=H","UseDPDF=Y")</f>
        <v>#NAME?</v>
      </c>
      <c r="CU472" s="1" t="e">
        <f ca="1">_xll.BDH($C$453,"QUICK_RATIO","FQ4 2017","FQ4 2017","Currency=INR","Period=FQ","BEST_FPERIOD_OVERRIDE=FQ","FILING_STATUS=OR","EQY_CONSOLIDATED=Y","Sort=A","Dates=H","DateFormat=P","Fill=—","Direction=H","UseDPDF=Y")</f>
        <v>#NAME?</v>
      </c>
      <c r="CV472" s="1" t="e">
        <f ca="1">_xll.BDH($C$453,"ALTMAN_Z_SCORE","FQ4 2017","FQ4 2017","Currency=INR","Period=FQ","BEST_FPERIOD_OVERRIDE=FQ","FILING_STATUS=OR","EQY_CONSOLIDATED=Y","Sort=A","Dates=H","DateFormat=P","Fill=—","Direction=H","UseDPDF=Y")</f>
        <v>#NAME?</v>
      </c>
      <c r="CW472" s="3" t="e">
        <f ca="1">_xll.BDH($C$453,"ACCT_RCV_TURN","FQ4 2017","FQ4 2017","Currency=INR","Period=FQ","BEST_FPERIOD_OVERRIDE=FQ","FILING_STATUS=OR","EQY_CONSOLIDATED=Y","FA_ADJUSTED=GAAP","Sort=A","Dates=H","DateFormat=P","Fill=—","Direction=H","UseDPDF=Y")</f>
        <v>#NAME?</v>
      </c>
      <c r="CX472" s="1" t="e">
        <f ca="1">_xll.BDH($C$453,"ACCT_RCV_DAYS","FQ4 2017","FQ4 2017","Currency=INR","Period=FQ","BEST_FPERIOD_OVERRIDE=FQ","FILING_STATUS=OR","EQY_CONSOLIDATED=Y","FA_ADJUSTED=GAAP","Sort=A","Dates=H","DateFormat=P","Fill=—","Direction=H","UseDPDF=Y")</f>
        <v>#NAME?</v>
      </c>
      <c r="CY472" s="3" t="e">
        <f ca="1">_xll.BDH($C$453,"INVENT_TURN","FQ4 2017","FQ4 2017","Currency=INR","Period=FQ","BEST_FPERIOD_OVERRIDE=FQ","FILING_STATUS=OR","EQY_CONSOLIDATED=Y","FA_ADJUSTED=GAAP","Sort=A","Dates=H","DateFormat=P","Fill=—","Direction=H","UseDPDF=Y")</f>
        <v>#NAME?</v>
      </c>
      <c r="CZ472" s="1" t="e">
        <f ca="1">_xll.BDH($C$453,"INVENT_DAYS","FQ4 2017","FQ4 2017","Currency=INR","Period=FQ","BEST_FPERIOD_OVERRIDE=FQ","FILING_STATUS=OR","EQY_CONSOLIDATED=Y","FA_ADJUSTED=GAAP","Sort=A","Dates=H","DateFormat=P","Fill=—","Direction=H","UseDPDF=Y")</f>
        <v>#NAME?</v>
      </c>
      <c r="DA472" s="3" t="e">
        <f ca="1">_xll.BDH($C$453,"ACCOUNTS_PAYABLE_TURNOVER","FQ4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72" s="1" t="e">
        <f ca="1">_xll.BDH($C$453,"ACCOUNTS_PAYABLE_TURNOVER_DAYS","FQ4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72" s="3" t="e">
        <f ca="1">_xll.BDH($C$453,"CASH_CONVERSION_CYCLE","FQ4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72" s="3" t="e">
        <f ca="1">_xll.BDH($C$453,"INV_TO_CASH_DAYS","FQ4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472" s="4" t="e">
        <f ca="1">_xll.BDH($C$453,"BS_INVENTORIES","FQ4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472" s="2" t="e">
        <f ca="1">_xll.BDH($C$453,"INVTRY_RAW_MATERIALS","FQ4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72" s="2" t="e">
        <f ca="1">_xll.BDH($C$453,"INVTRY_IN_PROGRESS","FQ4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72" s="2" t="e">
        <f ca="1">_xll.BDH($C$453,"INVTRY_FINISHED_GOODS","FQ4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72" s="2" t="e">
        <f ca="1">_xll.BDH($C$453,"BS_OTHER_INV","FQ4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73" spans="1:113" x14ac:dyDescent="0.3">
      <c r="A473" s="6"/>
      <c r="B473" s="6"/>
      <c r="C473" s="6"/>
      <c r="D473" s="6" t="s">
        <v>11</v>
      </c>
      <c r="E473" t="s">
        <v>3</v>
      </c>
      <c r="F473" t="e">
        <f ca="1">_xll.BDH($C$453,"RETURN_COM_EQY","FY 2018","FY 2018","Currency=INR","Period=FY","BEST_FPERIOD_OVERRIDE=FY","FILING_STATUS=OR","EQY_CONSOLIDATED=Y","FA_ADJUSTED=GAAP","Sort=A","Dates=H","DateFormat=P","Fill=—","Direction=H","UseDPDF=Y")</f>
        <v>#NAME?</v>
      </c>
      <c r="G473" t="e">
        <f ca="1">_xll.BDH($C$453,"RETURN_ON_ASSET","FY 2018","FY 2018","Currency=INR","Period=FY","BEST_FPERIOD_OVERRIDE=FY","FILING_STATUS=OR","EQY_CONSOLIDATED=Y","FA_ADJUSTED=GAAP","Sort=A","Dates=H","DateFormat=P","Fill=—","Direction=H","UseDPDF=Y")</f>
        <v>#NAME?</v>
      </c>
      <c r="H473" t="e">
        <f ca="1">_xll.BDH($C$453,"RETURN_ON_CAP","FY 2018","FY 2018","Currency=INR","Period=FY","BEST_FPERIOD_OVERRIDE=FY","FILING_STATUS=OR","EQY_CONSOLIDATED=Y","FA_ADJUSTED=GAAP","Sort=A","Dates=H","DateFormat=P","Fill=—","Direction=H","UseDPDF=Y")</f>
        <v>#NAME?</v>
      </c>
      <c r="I473" t="e">
        <f ca="1">_xll.BDH($C$453,"RETURN_ON_INV_CAPITAL","FY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73" t="e">
        <f ca="1">_xll.BDH($C$453,"EBITDA_TO_REVENUE","FY 2018","FY 2018","Currency=INR","Period=FY","BEST_FPERIOD_OVERRIDE=FY","FILING_STATUS=OR","EQY_CONSOLIDATED=Y","FA_ADJUSTED=GAAP","Sort=A","Dates=H","DateFormat=P","Fill=—","Direction=H","UseDPDF=Y")</f>
        <v>#NAME?</v>
      </c>
      <c r="K473" t="e">
        <f ca="1">_xll.BDH($C$453,"OPER_MARGIN","FY 2018","FY 2018","Currency=INR","Period=FY","BEST_FPERIOD_OVERRIDE=FY","FILING_STATUS=OR","EQY_CONSOLIDATED=Y","FA_ADJUSTED=GAAP","Sort=A","Dates=H","DateFormat=P","Fill=—","Direction=H","UseDPDF=Y")</f>
        <v>#NAME?</v>
      </c>
      <c r="L473" t="e">
        <f ca="1">_xll.BDH($C$453,"INCREMENTAL_OPERATING_MARGIN","FY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73" t="e">
        <f ca="1">_xll.BDH($C$453,"PRETAX_INC_TO_NET_SALES","FY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73" t="e">
        <f ca="1">_xll.BDH($C$453,"INC_BEF_XO_ITEMS_TO_NET_SALES","FY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73" t="e">
        <f ca="1">_xll.BDH($C$453,"PROF_MARGIN","FY 2018","FY 2018","Currency=INR","Period=FY","BEST_FPERIOD_OVERRIDE=FY","FILING_STATUS=OR","EQY_CONSOLIDATED=Y","FA_ADJUSTED=GAAP","Sort=A","Dates=H","DateFormat=P","Fill=—","Direction=H","UseDPDF=Y")</f>
        <v>#NAME?</v>
      </c>
      <c r="P473" t="e">
        <f ca="1">_xll.BDH($C$453,"NET_INCOME_TO_COMMON_MARGIN","FY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73" t="e">
        <f ca="1">_xll.BDH($C$453,"EFF_TAX_RATE","FY 2018","FY 2018","Currency=INR","Period=FY","BEST_FPERIOD_OVERRIDE=FY","FILING_STATUS=OR","EQY_CONSOLIDATED=Y","FA_ADJUSTED=GAAP","Sort=A","Dates=H","DateFormat=P","Fill=—","Direction=H","UseDPDF=Y")</f>
        <v>#NAME?</v>
      </c>
      <c r="R473" t="e">
        <f ca="1">_xll.BDH($C$453,"DVD_PAYOUT_RATIO","FY 2018","FY 2018","Currency=INR","Period=FY","BEST_FPERIOD_OVERRIDE=FY","FILING_STATUS=OR","EQY_CONSOLIDATED=Y","FA_ADJUSTED=GAAP","Sort=A","Dates=H","DateFormat=P","Fill=—","Direction=H","UseDPDF=Y")</f>
        <v>#NAME?</v>
      </c>
      <c r="S473" t="e">
        <f ca="1">_xll.BDH($C$453,"SUSTAIN_GROWTH_RT","FY 2018","FY 2018","Currency=INR","Period=FY","BEST_FPERIOD_OVERRIDE=FY","FILING_STATUS=OR","EQY_CONSOLIDATED=Y","FA_ADJUSTED=GAAP","Sort=A","Dates=H","DateFormat=P","Fill=—","Direction=H","UseDPDF=Y")</f>
        <v>#NAME?</v>
      </c>
      <c r="T473" s="1" t="e">
        <f ca="1">_xll.BDH($C$453,"SALES_GROWTH","FY 2018","FY 2018","Currency=INR","Period=FY","BEST_FPERIOD_OVERRIDE=FY","FILING_STATUS=OR","EQY_CONSOLIDATED=Y","FA_ADJUSTED=GAAP","Sort=A","Dates=H","DateFormat=P","Fill=—","Direction=H","UseDPDF=Y")</f>
        <v>#NAME?</v>
      </c>
      <c r="U473" s="1" t="e">
        <f ca="1">_xll.BDH($C$453,"EBITDA_GROWTH","FY 2018","FY 2018","Currency=INR","Period=FY","BEST_FPERIOD_OVERRIDE=FY","FILING_STATUS=OR","EQY_CONSOLIDATED=Y","FA_ADJUSTED=GAAP","Sort=A","Dates=H","DateFormat=P","Fill=—","Direction=H","UseDPDF=Y")</f>
        <v>#NAME?</v>
      </c>
      <c r="V473" s="1" t="e">
        <f ca="1">_xll.BDH($C$453,"OPER_INC_GROWTH","FY 2018","FY 2018","Currency=INR","Period=FY","BEST_FPERIOD_OVERRIDE=FY","FILING_STATUS=OR","EQY_CONSOLIDATED=Y","FA_ADJUSTED=GAAP","Sort=A","Dates=H","DateFormat=P","Fill=—","Direction=H","UseDPDF=Y")</f>
        <v>#NAME?</v>
      </c>
      <c r="W473" s="1" t="e">
        <f ca="1">_xll.BDH($C$453,"EARN_FOR_COM_GROWTH","FY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473" s="1" t="e">
        <f ca="1">_xll.BDH($C$453,"DILUTED_EPS_AFT_XO_ITEMS_GROWTH","FY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73" s="1" t="e">
        <f ca="1">_xll.BDH($C$453,"DIVIDEND_PER_SHARE_1_YEAR_GROWTH","FY 2018","FY 2018","Currency=INR","Period=FY","BEST_FPERIOD_OVERRIDE=FY","FILING_STATUS=OR","EQY_CONSOLIDATED=Y","Sort=A","Dates=H","DateFormat=P","Fill=—","Direction=H","UseDPDF=Y")</f>
        <v>#NAME?</v>
      </c>
      <c r="Z473" s="1" t="e">
        <f ca="1">_xll.BDH($C$453,"ACCOUNTS_RECEIVABLE_GROWTH","FY 2018","FY 2018","Currency=INR","Period=FY","BEST_FPERIOD_OVERRIDE=FY","FILING_STATUS=OR","EQY_CONSOLIDATED=Y","Sort=A","Dates=H","DateFormat=P","Fill=—","Direction=H","UseDPDF=Y")</f>
        <v>#NAME?</v>
      </c>
      <c r="AA473" s="1" t="e">
        <f ca="1">_xll.BDH($C$453,"INVENTORY_GROWTH","FY 2018","FY 2018","Currency=INR","Period=FY","BEST_FPERIOD_OVERRIDE=FY","FILING_STATUS=OR","EQY_CONSOLIDATED=Y","Sort=A","Dates=H","DateFormat=P","Fill=—","Direction=H","UseDPDF=Y")</f>
        <v>#NAME?</v>
      </c>
      <c r="AB473" s="1" t="e">
        <f ca="1">_xll.BDH($C$453,"NET_FIXED_ASSETS_1_YEAR_GROWTH","FY 2018","FY 2018","Currency=INR","Period=FY","BEST_FPERIOD_OVERRIDE=FY","FILING_STATUS=OR","EQY_CONSOLIDATED=Y","Sort=A","Dates=H","DateFormat=P","Fill=—","Direction=H","UseDPDF=Y")</f>
        <v>#NAME?</v>
      </c>
      <c r="AC473" s="1" t="e">
        <f ca="1">_xll.BDH($C$453,"ASSET_GROWTH","FY 2018","FY 2018","Currency=INR","Period=FY","BEST_FPERIOD_OVERRIDE=FY","FILING_STATUS=OR","EQY_CONSOLIDATED=Y","Sort=A","Dates=H","DateFormat=P","Fill=—","Direction=H","UseDPDF=Y")</f>
        <v>#NAME?</v>
      </c>
      <c r="AD473" s="1" t="e">
        <f ca="1">_xll.BDH($C$453,"MODIFIED_WORK_CAP_GROWTH","FY 2018","FY 2018","Currency=INR","Period=FY","BEST_FPERIOD_OVERRIDE=FY","FILING_STATUS=OR","EQY_CONSOLIDATED=Y","Sort=A","Dates=H","DateFormat=P","Fill=—","Direction=H","UseDPDF=Y")</f>
        <v>#NAME?</v>
      </c>
      <c r="AE473" s="1" t="e">
        <f ca="1">_xll.BDH($C$453,"WORK_CAP_GROWTH","FY 2018","FY 2018","Currency=INR","Period=FY","BEST_FPERIOD_OVERRIDE=FY","FILING_STATUS=OR","EQY_CONSOLIDATED=Y","Sort=A","Dates=H","DateFormat=P","Fill=—","Direction=H","UseDPDF=Y")</f>
        <v>#NAME?</v>
      </c>
      <c r="AF473" s="1" t="e">
        <f ca="1">_xll.BDH($C$453,"ACCOUNTS_PAYABLE_GROWTH_1YR","FY 2018","FY 2018","Currency=INR","Period=FY","BEST_FPERIOD_OVERRIDE=FY","FILING_STATUS=OR","EQY_CONSOLIDATED=Y","Sort=A","Dates=H","DateFormat=P","Fill=—","Direction=H","UseDPDF=Y")</f>
        <v>#NAME?</v>
      </c>
      <c r="AG473" s="1" t="e">
        <f ca="1">_xll.BDH($C$453,"SHORT_TERM_DEBT_1_YEAR_GROWTH","FY 2018","FY 2018","Currency=INR","Period=FY","BEST_FPERIOD_OVERRIDE=FY","FILING_STATUS=OR","EQY_CONSOLIDATED=Y","Sort=A","Dates=H","DateFormat=P","Fill=—","Direction=H","UseDPDF=Y")</f>
        <v>#NAME?</v>
      </c>
      <c r="AH473" s="1" t="e">
        <f ca="1">_xll.BDH($C$453,"TOTAL_DEBT_1_YEAR_GROWTH","FY 2018","FY 2018","Currency=INR","Period=FY","BEST_FPERIOD_OVERRIDE=FY","FILING_STATUS=OR","EQY_CONSOLIDATED=Y","Sort=A","Dates=H","DateFormat=P","Fill=—","Direction=H","UseDPDF=Y")</f>
        <v>#NAME?</v>
      </c>
      <c r="AI473" s="1" t="e">
        <f ca="1">_xll.BDH($C$453,"TOTAL_EQUITY_1_YEAR_GROWTH","FY 2018","FY 2018","Currency=INR","Period=FY","BEST_FPERIOD_OVERRIDE=FY","FILING_STATUS=OR","EQY_CONSOLIDATED=Y","Sort=A","Dates=H","DateFormat=P","Fill=—","Direction=H","UseDPDF=Y")</f>
        <v>#NAME?</v>
      </c>
      <c r="AJ473" s="1" t="e">
        <f ca="1">_xll.BDH($C$453,"GROWTH_IN_CAP","FY 2018","FY 2018","Currency=INR","Period=FY","BEST_FPERIOD_OVERRIDE=FY","FILING_STATUS=OR","EQY_CONSOLIDATED=Y","Sort=A","Dates=H","DateFormat=P","Fill=—","Direction=H","UseDPDF=Y")</f>
        <v>#NAME?</v>
      </c>
      <c r="AK473" s="1" t="e">
        <f ca="1">_xll.BDH($C$453,"BVPS_GROWTH","FY 2018","FY 2018","Currency=INR","Period=FY","BEST_FPERIOD_OVERRIDE=FY","FILING_STATUS=OR","EQY_CONSOLIDATED=Y","Sort=A","Dates=H","DateFormat=P","Fill=—","Direction=H","UseDPDF=Y")</f>
        <v>#NAME?</v>
      </c>
      <c r="AL473" s="1" t="e">
        <f ca="1">_xll.BDH($C$453,"CASH_FLOW_GROWTH","FY 2018","FY 2018","Currency=INR","Period=FY","BEST_FPERIOD_OVERRIDE=FY","FILING_STATUS=OR","EQY_CONSOLIDATED=Y","Sort=A","Dates=H","DateFormat=P","Fill=—","Direction=H","UseDPDF=Y")</f>
        <v>#NAME?</v>
      </c>
      <c r="AM473" s="1" t="e">
        <f ca="1">_xll.BDH($C$453,"GEO_GROW_NET_SALES","FY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473" s="1" t="e">
        <f ca="1">_xll.BDH($C$453,"GEO_GROW_EBITDA","FY 2018","FY 2018","Currency=INR","Period=FY","BEST_FPERIOD_OVERRIDE=FY","FILING_STATUS=OR","EQY_CONSOLIDATED=Y","FA_ADJUSTED=GAAP","Sort=A","Dates=H","DateFormat=P","Fill=—","Direction=H","UseDPDF=Y")</f>
        <v>#NAME?</v>
      </c>
      <c r="AO473" s="1" t="e">
        <f ca="1">_xll.BDH($C$453,"GEO_GROW_OPER_INC","FY 2018","FY 2018","Currency=INR","Period=FY","BEST_FPERIOD_OVERRIDE=FY","FILING_STATUS=OR","EQY_CONSOLIDATED=Y","FA_ADJUSTED=GAAP","Sort=A","Dates=H","DateFormat=P","Fill=—","Direction=H","UseDPDF=Y")</f>
        <v>#NAME?</v>
      </c>
      <c r="AP473" s="1" t="e">
        <f ca="1">_xll.BDH($C$453,"NET_INCOME_TO_COMMON_5_YR_GROWTH","FY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73" s="1" t="e">
        <f ca="1">_xll.BDH($C$453,"5Y_GEO_GROWTH_DILUTED_EPS","FY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73" s="1" t="e">
        <f ca="1">_xll.BDH($C$453,"GEO_GROW_DVD_PER_SH","FY 2018","FY 2018","Currency=INR","Period=FY","BEST_FPERIOD_OVERRIDE=FY","FILING_STATUS=OR","EQY_CONSOLIDATED=Y","Sort=A","Dates=H","DateFormat=P","Fill=—","Direction=H","UseDPDF=Y")</f>
        <v>#NAME?</v>
      </c>
      <c r="AS473" s="1" t="e">
        <f ca="1">_xll.BDH($C$453,"ACCOUNTS_RECEIVABLE_5_YR_GROWTH","FY 2018","FY 2018","Currency=INR","Period=FY","BEST_FPERIOD_OVERRIDE=FY","FILING_STATUS=OR","EQY_CONSOLIDATED=Y","Sort=A","Dates=H","DateFormat=P","Fill=—","Direction=H","UseDPDF=Y")</f>
        <v>#NAME?</v>
      </c>
      <c r="AT473" s="1" t="e">
        <f ca="1">_xll.BDH($C$453,"INVENTORY_5_YEAR_GROWTH","FY 2018","FY 2018","Currency=INR","Period=FY","BEST_FPERIOD_OVERRIDE=FY","FILING_STATUS=OR","EQY_CONSOLIDATED=Y","Sort=A","Dates=H","DateFormat=P","Fill=—","Direction=H","UseDPDF=Y")</f>
        <v>#NAME?</v>
      </c>
      <c r="AU473" s="1" t="e">
        <f ca="1">_xll.BDH($C$453,"NET_FIXED_ASSETS_5_YEAR_GROWTH","FY 2018","FY 2018","Currency=INR","Period=FY","BEST_FPERIOD_OVERRIDE=FY","FILING_STATUS=OR","EQY_CONSOLIDATED=Y","Sort=A","Dates=H","DateFormat=P","Fill=—","Direction=H","UseDPDF=Y")</f>
        <v>#NAME?</v>
      </c>
      <c r="AV473" s="1" t="e">
        <f ca="1">_xll.BDH($C$453,"GEO_GROW_TOT_ASSET","FY 2018","FY 2018","Currency=INR","Period=FY","BEST_FPERIOD_OVERRIDE=FY","FILING_STATUS=OR","EQY_CONSOLIDATED=Y","Sort=A","Dates=H","DateFormat=P","Fill=—","Direction=H","UseDPDF=Y")</f>
        <v>#NAME?</v>
      </c>
      <c r="AW473" s="1" t="e">
        <f ca="1">_xll.BDH($C$453,"MODIFIED_WORKING_CPTL_5YR_GRWTH","FY 2018","FY 2018","Currency=INR","Period=FY","BEST_FPERIOD_OVERRIDE=FY","FILING_STATUS=OR","EQY_CONSOLIDATED=Y","Sort=A","Dates=H","DateFormat=P","Fill=—","Direction=H","UseDPDF=Y")</f>
        <v>#NAME?</v>
      </c>
      <c r="AX473" s="1" t="e">
        <f ca="1">_xll.BDH($C$453,"WORKING_CAPITAL_5_YEAR_GROWTH","FY 2018","FY 2018","Currency=INR","Period=FY","BEST_FPERIOD_OVERRIDE=FY","FILING_STATUS=OR","EQY_CONSOLIDATED=Y","Sort=A","Dates=H","DateFormat=P","Fill=—","Direction=H","UseDPDF=Y")</f>
        <v>#NAME?</v>
      </c>
      <c r="AY473" s="1" t="e">
        <f ca="1">_xll.BDH($C$453,"ACCOUNTS_PAYABLE_5_YEAR_GROWTH","FY 2018","FY 2018","Currency=INR","Period=FY","BEST_FPERIOD_OVERRIDE=FY","FILING_STATUS=OR","EQY_CONSOLIDATED=Y","Sort=A","Dates=H","DateFormat=P","Fill=—","Direction=H","UseDPDF=Y")</f>
        <v>#NAME?</v>
      </c>
      <c r="AZ473" s="1" t="e">
        <f ca="1">_xll.BDH($C$453,"SHORT_TERM_DEBT_5_YEAR_GROWTH","FY 2018","FY 2018","Currency=INR","Period=FY","BEST_FPERIOD_OVERRIDE=FY","FILING_STATUS=OR","EQY_CONSOLIDATED=Y","Sort=A","Dates=H","DateFormat=P","Fill=—","Direction=H","UseDPDF=Y")</f>
        <v>#NAME?</v>
      </c>
      <c r="BA473" s="1" t="e">
        <f ca="1">_xll.BDH($C$453,"TOTAL_DEBT_5_YEAR_GROWTH","FY 2018","FY 2018","Currency=INR","Period=FY","BEST_FPERIOD_OVERRIDE=FY","FILING_STATUS=OR","EQY_CONSOLIDATED=Y","Sort=A","Dates=H","DateFormat=P","Fill=—","Direction=H","UseDPDF=Y")</f>
        <v>#NAME?</v>
      </c>
      <c r="BB473" s="1" t="e">
        <f ca="1">_xll.BDH($C$453,"GEO_GROW_TOT_SHRHLDR_EQY","FY 2018","FY 2018","Currency=INR","Period=FY","BEST_FPERIOD_OVERRIDE=FY","FILING_STATUS=OR","EQY_CONSOLIDATED=Y","Sort=A","Dates=H","DateFormat=P","Fill=—","Direction=H","UseDPDF=Y")</f>
        <v>#NAME?</v>
      </c>
      <c r="BC473" s="1" t="e">
        <f ca="1">_xll.BDH($C$453,"TOTAL_CAPITAL_5_YEAR_GROWTH","FY 2018","FY 2018","Currency=INR","Period=FY","BEST_FPERIOD_OVERRIDE=FY","FILING_STATUS=OR","EQY_CONSOLIDATED=Y","Sort=A","Dates=H","DateFormat=P","Fill=—","Direction=H","UseDPDF=Y")</f>
        <v>#NAME?</v>
      </c>
      <c r="BD473" s="1" t="e">
        <f ca="1">_xll.BDH($C$453,"GEO_GROW_BOOK_VAL","FY 2018","FY 2018","Currency=INR","Period=FY","BEST_FPERIOD_OVERRIDE=FY","FILING_STATUS=OR","EQY_CONSOLIDATED=Y","Sort=A","Dates=H","DateFormat=P","Fill=—","Direction=H","UseDPDF=Y")</f>
        <v>#NAME?</v>
      </c>
      <c r="BE473" s="1" t="e">
        <f ca="1">_xll.BDH($C$453,"GEO_GROW_CASH_OPER_ACT","FY 2018","FY 2018","Currency=INR","Period=FY","BEST_FPERIOD_OVERRIDE=FY","FILING_STATUS=OR","EQY_CONSOLIDATED=Y","Sort=A","Dates=H","DateFormat=P","Fill=—","Direction=H","UseDPDF=Y")</f>
        <v>#NAME?</v>
      </c>
      <c r="BF473" s="1" t="e">
        <f ca="1">_xll.BDH($C$453,"REVENUE_SEQUENTIAL_GROWTH","FY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73" s="1" t="e">
        <f ca="1">_xll.BDH($C$453,"EBITDA_SEQUENTIAL_GROWTH","FY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73" s="1" t="e">
        <f ca="1">_xll.BDH($C$453,"OPERATING_INCOME_SEQ_GROWTH","FY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73" s="1" t="e">
        <f ca="1">_xll.BDH($C$453,"NET_INCOME_TO_COMMON_SEQ_GROWTH","FY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73" s="1" t="e">
        <f ca="1">_xll.BDH($C$453,"EPS_DILUTED_SEQUENTIAL_GROWTH","FY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73" s="1" t="e">
        <f ca="1">_xll.BDH($C$453,"DPS_SEQUENTIAL_GROWTH","FY 2018","FY 2018","Currency=INR","Period=FY","BEST_FPERIOD_OVERRIDE=FY","FILING_STATUS=OR","EQY_CONSOLIDATED=Y","Sort=A","Dates=H","DateFormat=P","Fill=—","Direction=H","UseDPDF=Y")</f>
        <v>#NAME?</v>
      </c>
      <c r="BL473" s="1" t="e">
        <f ca="1">_xll.BDH($C$453,"ACCOUNTS_RECEIVABLE_SEQ_GROWTH","FY 2018","FY 2018","Currency=INR","Period=FY","BEST_FPERIOD_OVERRIDE=FY","FILING_STATUS=OR","EQY_CONSOLIDATED=Y","Sort=A","Dates=H","DateFormat=P","Fill=—","Direction=H","UseDPDF=Y")</f>
        <v>#NAME?</v>
      </c>
      <c r="BM473" s="1" t="e">
        <f ca="1">_xll.BDH($C$453,"INVENTORY_SEQUENTIAL_GROWTH","FY 2018","FY 2018","Currency=INR","Period=FY","BEST_FPERIOD_OVERRIDE=FY","FILING_STATUS=OR","EQY_CONSOLIDATED=Y","Sort=A","Dates=H","DateFormat=P","Fill=—","Direction=H","UseDPDF=Y")</f>
        <v>#NAME?</v>
      </c>
      <c r="BN473" s="1" t="e">
        <f ca="1">_xll.BDH($C$453,"FIXED_ASSETS_SEQUENTIAL_GROWTH","FY 2018","FY 2018","Currency=INR","Period=FY","BEST_FPERIOD_OVERRIDE=FY","FILING_STATUS=OR","EQY_CONSOLIDATED=Y","Sort=A","Dates=H","DateFormat=P","Fill=—","Direction=H","UseDPDF=Y")</f>
        <v>#NAME?</v>
      </c>
      <c r="BO473" s="1" t="e">
        <f ca="1">_xll.BDH($C$453,"TOTAL_ASSETS_SEQUENTIAL_GROWTH","FY 2018","FY 2018","Currency=INR","Period=FY","BEST_FPERIOD_OVERRIDE=FY","FILING_STATUS=OR","EQY_CONSOLIDATED=Y","Sort=A","Dates=H","DateFormat=P","Fill=—","Direction=H","UseDPDF=Y")</f>
        <v>#NAME?</v>
      </c>
      <c r="BP473" s="1" t="e">
        <f ca="1">_xll.BDH($C$453,"MODIFIED_WORKING_CPTL_SEQ_GRWTH","FY 2018","FY 2018","Currency=INR","Period=FY","BEST_FPERIOD_OVERRIDE=FY","FILING_STATUS=OR","EQY_CONSOLIDATED=Y","Sort=A","Dates=H","DateFormat=P","Fill=—","Direction=H","UseDPDF=Y")</f>
        <v>#NAME?</v>
      </c>
      <c r="BQ473" s="1" t="e">
        <f ca="1">_xll.BDH($C$453,"WORKING_CAPITAL_SEQ_GROWTH","FY 2018","FY 2018","Currency=INR","Period=FY","BEST_FPERIOD_OVERRIDE=FY","FILING_STATUS=OR","EQY_CONSOLIDATED=Y","Sort=A","Dates=H","DateFormat=P","Fill=—","Direction=H","UseDPDF=Y")</f>
        <v>#NAME?</v>
      </c>
      <c r="BR473" s="1" t="e">
        <f ca="1">_xll.BDH($C$453,"ACCOUNTS_PAYABLE_SEQ_GROWTH","FY 2018","FY 2018","Currency=INR","Period=FY","BEST_FPERIOD_OVERRIDE=FY","FILING_STATUS=OR","EQY_CONSOLIDATED=Y","Sort=A","Dates=H","DateFormat=P","Fill=—","Direction=H","UseDPDF=Y")</f>
        <v>#NAME?</v>
      </c>
      <c r="BS473" s="1" t="e">
        <f ca="1">_xll.BDH($C$453,"ST_DEBT_SEQUENTIAL_GROWTH","FY 2018","FY 2018","Currency=INR","Period=FY","BEST_FPERIOD_OVERRIDE=FY","FILING_STATUS=OR","EQY_CONSOLIDATED=Y","Sort=A","Dates=H","DateFormat=P","Fill=—","Direction=H","UseDPDF=Y")</f>
        <v>#NAME?</v>
      </c>
      <c r="BT473" s="1" t="e">
        <f ca="1">_xll.BDH($C$453,"TOTAL_DEBT_SEQUENTIAL_GROWTH","FY 2018","FY 2018","Currency=INR","Period=FY","BEST_FPERIOD_OVERRIDE=FY","FILING_STATUS=OR","EQY_CONSOLIDATED=Y","Sort=A","Dates=H","DateFormat=P","Fill=—","Direction=H","UseDPDF=Y")</f>
        <v>#NAME?</v>
      </c>
      <c r="BU473" s="1" t="e">
        <f ca="1">_xll.BDH($C$453,"TOTAL_EQUITY_SEQUENTIAL_GROWTH","FY 2018","FY 2018","Currency=INR","Period=FY","BEST_FPERIOD_OVERRIDE=FY","FILING_STATUS=OR","EQY_CONSOLIDATED=Y","Sort=A","Dates=H","DateFormat=P","Fill=—","Direction=H","UseDPDF=Y")</f>
        <v>#NAME?</v>
      </c>
      <c r="BV473" s="1" t="e">
        <f ca="1">_xll.BDH($C$453,"TOTAL_CAPITAL_SEQUENTIAL_GROWTH","FY 2018","FY 2018","Currency=INR","Period=FY","BEST_FPERIOD_OVERRIDE=FY","FILING_STATUS=OR","EQY_CONSOLIDATED=Y","Sort=A","Dates=H","DateFormat=P","Fill=—","Direction=H","UseDPDF=Y")</f>
        <v>#NAME?</v>
      </c>
      <c r="BW473" s="1" t="e">
        <f ca="1">_xll.BDH($C$453,"BPS_SEQUENTIAL_GROWTH","FY 2018","FY 2018","Currency=INR","Period=FY","BEST_FPERIOD_OVERRIDE=FY","FILING_STATUS=OR","EQY_CONSOLIDATED=Y","Sort=A","Dates=H","DateFormat=P","Fill=—","Direction=H","UseDPDF=Y")</f>
        <v>#NAME?</v>
      </c>
      <c r="BX473" s="1" t="e">
        <f ca="1">_xll.BDH($C$453,"CFO_SEQUENTIAL_GROWTH","FY 2018","FY 2018","Currency=INR","Period=FY","BEST_FPERIOD_OVERRIDE=FY","FILING_STATUS=OR","EQY_CONSOLIDATED=Y","Sort=A","Dates=H","DateFormat=P","Fill=—","Direction=H","UseDPDF=Y")</f>
        <v>#NAME?</v>
      </c>
      <c r="BY473" s="2" t="e">
        <f ca="1">_xll.BDH($C$453,"SHORT_AND_LONG_TERM_DEBT","FY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73" s="2" t="e">
        <f ca="1">_xll.BDH($C$453,"BS_ST_BORROW","FY 2018","FY 2018","Currency=INR","Period=FY","BEST_FPERIOD_OVERRIDE=FY","FILING_STATUS=OR","EQY_CONSOLIDATED=Y","SCALING_FORMAT=MLN","Sort=A","Dates=H","DateFormat=P","Fill=—","Direction=H","UseDPDF=Y")</f>
        <v>#NAME?</v>
      </c>
      <c r="CA473" s="2" t="e">
        <f ca="1">_xll.BDH($C$453,"BS_LT_BORROW","FY 2018","FY 2018","Currency=INR","Period=FY","BEST_FPERIOD_OVERRIDE=FY","FILING_STATUS=OR","EQY_CONSOLIDATED=Y","SCALING_FORMAT=MLN","Sort=A","Dates=H","DateFormat=P","Fill=—","Direction=H","UseDPDF=Y")</f>
        <v>#NAME?</v>
      </c>
      <c r="CB473" s="1" t="e">
        <f ca="1">_xll.BDH($C$453,"TOT_DEBT_TO_EBITDA","FY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473" s="1" t="e">
        <f ca="1">_xll.BDH($C$453,"NET_DEBT_TO_EBITDA","FY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473" s="1" t="e">
        <f ca="1">_xll.BDH($C$453,"TOTAL_DEBT_TO_EBIT","FY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473" s="1" t="e">
        <f ca="1">_xll.BDH($C$453,"NET_DEBT_TO_EBIT","FY 2018","FY 2018","Currency=INR","Period=FY","BEST_FPERIOD_OVERRIDE=FY","FILING_STATUS=OR","EQY_CONSOLIDATED=Y","FA_ADJUSTED=GAAP","Sort=A","Dates=H","DateFormat=P","Fill=—","Direction=H","UseDPDF=Y")</f>
        <v>#NAME?</v>
      </c>
      <c r="CF473" s="1" t="e">
        <f ca="1">_xll.BDH($C$453,"EBITDA_TO_INTEREST_EXPN","FY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73" s="1" t="e">
        <f ca="1">_xll.BDH($C$453,"COM_EQY_TO_TOT_ASSET","FY 2018","FY 2018","Currency=INR","Period=FY","BEST_FPERIOD_OVERRIDE=FY","FILING_STATUS=OR","EQY_CONSOLIDATED=Y","Sort=A","Dates=H","DateFormat=P","Fill=—","Direction=H","UseDPDF=Y")</f>
        <v>#NAME?</v>
      </c>
      <c r="CH473" s="1" t="e">
        <f ca="1">_xll.BDH($C$453,"LT_DEBT_TO_TOT_EQY","FY 2018","FY 2018","Currency=INR","Period=FY","BEST_FPERIOD_OVERRIDE=FY","FILING_STATUS=OR","EQY_CONSOLIDATED=Y","Sort=A","Dates=H","DateFormat=P","Fill=—","Direction=H","UseDPDF=Y")</f>
        <v>#NAME?</v>
      </c>
      <c r="CI473" s="1" t="e">
        <f ca="1">_xll.BDH($C$453,"LT_DEBT_TO_TOT_CAP","FY 2018","FY 2018","Currency=INR","Period=FY","BEST_FPERIOD_OVERRIDE=FY","FILING_STATUS=OR","EQY_CONSOLIDATED=Y","Sort=A","Dates=H","DateFormat=P","Fill=—","Direction=H","UseDPDF=Y")</f>
        <v>#NAME?</v>
      </c>
      <c r="CJ473" s="1" t="e">
        <f ca="1">_xll.BDH($C$453,"LT_DEBT_TO_TOT_ASSET","FY 2018","FY 2018","Currency=INR","Period=FY","BEST_FPERIOD_OVERRIDE=FY","FILING_STATUS=OR","EQY_CONSOLIDATED=Y","Sort=A","Dates=H","DateFormat=P","Fill=—","Direction=H","UseDPDF=Y")</f>
        <v>#NAME?</v>
      </c>
      <c r="CK473" s="1" t="e">
        <f ca="1">_xll.BDH($C$453,"TOT_DEBT_TO_TOT_EQY","FY 2018","FY 2018","Currency=INR","Period=FY","BEST_FPERIOD_OVERRIDE=FY","FILING_STATUS=OR","EQY_CONSOLIDATED=Y","Sort=A","Dates=H","DateFormat=P","Fill=—","Direction=H","UseDPDF=Y")</f>
        <v>#NAME?</v>
      </c>
      <c r="CL473" s="1" t="e">
        <f ca="1">_xll.BDH($C$453,"TOT_DEBT_TO_TOT_CAP","FY 2018","FY 2018","Currency=INR","Period=FY","BEST_FPERIOD_OVERRIDE=FY","FILING_STATUS=OR","EQY_CONSOLIDATED=Y","Sort=A","Dates=H","DateFormat=P","Fill=—","Direction=H","UseDPDF=Y")</f>
        <v>#NAME?</v>
      </c>
      <c r="CM473" s="1" t="e">
        <f ca="1">_xll.BDH($C$453,"TOT_DEBT_TO_TOT_ASSET","FY 2018","FY 2018","Currency=INR","Period=FY","BEST_FPERIOD_OVERRIDE=FY","FILING_STATUS=OR","EQY_CONSOLIDATED=Y","Sort=A","Dates=H","DateFormat=P","Fill=—","Direction=H","UseDPDF=Y")</f>
        <v>#NAME?</v>
      </c>
      <c r="CN473" s="1" t="e">
        <f ca="1">_xll.BDH($C$453,"NET_DEBT_TO_SHRHLDR_EQTY","FY 2018","FY 2018","Currency=INR","Period=FY","BEST_FPERIOD_OVERRIDE=FY","FILING_STATUS=OR","EQY_CONSOLIDATED=Y","Sort=A","Dates=H","DateFormat=P","Fill=—","Direction=H","UseDPDF=Y")</f>
        <v>#NAME?</v>
      </c>
      <c r="CO473" s="1" t="e">
        <f ca="1">_xll.BDH($C$453,"NET_DEBT_%_CAPITAL","FY 2018","FY 2018","Currency=INR","Period=FY","BEST_FPERIOD_OVERRIDE=FY","FILING_STATUS=OR","EQY_CONSOLIDATED=Y","Sort=A","Dates=H","DateFormat=P","Fill=—","Direction=H","UseDPDF=Y")</f>
        <v>#NAME?</v>
      </c>
      <c r="CP473" s="2" t="e">
        <f ca="1">_xll.BDH($C$453,"EBITDA","FY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73" s="2" t="e">
        <f ca="1">_xll.BDH($C$453,"EBITDA_AFTER_CAPEX","FY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73" s="2" t="e">
        <f ca="1">_xll.BDH($C$453,"IS_OPER_INC","FY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73" s="1" t="e">
        <f ca="1">_xll.BDH($C$453,"CASH_RATIO","FY 2018","FY 2018","Currency=INR","Period=FY","BEST_FPERIOD_OVERRIDE=FY","FILING_STATUS=OR","EQY_CONSOLIDATED=Y","Sort=A","Dates=H","DateFormat=P","Fill=—","Direction=H","UseDPDF=Y")</f>
        <v>#NAME?</v>
      </c>
      <c r="CT473" s="1" t="e">
        <f ca="1">_xll.BDH($C$453,"CUR_RATIO","FY 2018","FY 2018","Currency=INR","Period=FY","BEST_FPERIOD_OVERRIDE=FY","FILING_STATUS=OR","EQY_CONSOLIDATED=Y","Sort=A","Dates=H","DateFormat=P","Fill=—","Direction=H","UseDPDF=Y")</f>
        <v>#NAME?</v>
      </c>
      <c r="CU473" s="1" t="e">
        <f ca="1">_xll.BDH($C$453,"QUICK_RATIO","FY 2018","FY 2018","Currency=INR","Period=FY","BEST_FPERIOD_OVERRIDE=FY","FILING_STATUS=OR","EQY_CONSOLIDATED=Y","Sort=A","Dates=H","DateFormat=P","Fill=—","Direction=H","UseDPDF=Y")</f>
        <v>#NAME?</v>
      </c>
      <c r="CV473" s="1" t="e">
        <f ca="1">_xll.BDH($C$453,"ALTMAN_Z_SCORE","FY 2018","FY 2018","Currency=INR","Period=FY","BEST_FPERIOD_OVERRIDE=FY","FILING_STATUS=OR","EQY_CONSOLIDATED=Y","Sort=A","Dates=H","DateFormat=P","Fill=—","Direction=H","UseDPDF=Y")</f>
        <v>#NAME?</v>
      </c>
      <c r="CW473" s="3" t="e">
        <f ca="1">_xll.BDH($C$453,"ACCT_RCV_TURN","FY 2018","FY 2018","Currency=INR","Period=FY","BEST_FPERIOD_OVERRIDE=FY","FILING_STATUS=OR","EQY_CONSOLIDATED=Y","FA_ADJUSTED=GAAP","Sort=A","Dates=H","DateFormat=P","Fill=—","Direction=H","UseDPDF=Y")</f>
        <v>#NAME?</v>
      </c>
      <c r="CX473" s="1" t="e">
        <f ca="1">_xll.BDH($C$453,"ACCT_RCV_DAYS","FY 2018","FY 2018","Currency=INR","Period=FY","BEST_FPERIOD_OVERRIDE=FY","FILING_STATUS=OR","EQY_CONSOLIDATED=Y","FA_ADJUSTED=GAAP","Sort=A","Dates=H","DateFormat=P","Fill=—","Direction=H","UseDPDF=Y")</f>
        <v>#NAME?</v>
      </c>
      <c r="CY473" s="3" t="e">
        <f ca="1">_xll.BDH($C$453,"INVENT_TURN","FY 2018","FY 2018","Currency=INR","Period=FY","BEST_FPERIOD_OVERRIDE=FY","FILING_STATUS=OR","EQY_CONSOLIDATED=Y","FA_ADJUSTED=GAAP","Sort=A","Dates=H","DateFormat=P","Fill=—","Direction=H","UseDPDF=Y")</f>
        <v>#NAME?</v>
      </c>
      <c r="CZ473" s="1" t="e">
        <f ca="1">_xll.BDH($C$453,"INVENT_DAYS","FY 2018","FY 2018","Currency=INR","Period=FY","BEST_FPERIOD_OVERRIDE=FY","FILING_STATUS=OR","EQY_CONSOLIDATED=Y","FA_ADJUSTED=GAAP","Sort=A","Dates=H","DateFormat=P","Fill=—","Direction=H","UseDPDF=Y")</f>
        <v>#NAME?</v>
      </c>
      <c r="DA473" s="3" t="e">
        <f ca="1">_xll.BDH($C$453,"ACCOUNTS_PAYABLE_TURNOVER","FY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73" s="1" t="e">
        <f ca="1">_xll.BDH($C$453,"ACCOUNTS_PAYABLE_TURNOVER_DAYS","FY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73" s="3" t="e">
        <f ca="1">_xll.BDH($C$453,"CASH_CONVERSION_CYCLE","FY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73" s="3" t="e">
        <f ca="1">_xll.BDH($C$453,"INV_TO_CASH_DAYS","FY 2018","FY 2018","Currency=INR","Period=FY","BEST_FPERIOD_OVERRIDE=FY","FILING_STATUS=OR","EQY_CONSOLIDATED=Y","FA_ADJUSTED=GAAP","Sort=A","Dates=H","DateFormat=P","Fill=—","Direction=H","UseDPDF=Y")</f>
        <v>#NAME?</v>
      </c>
      <c r="DE473" s="4" t="e">
        <f ca="1">_xll.BDH($C$453,"BS_INVENTORIES","FY 2018","FY 2018","Currency=INR","Period=FY","BEST_FPERIOD_OVERRIDE=FY","FILING_STATUS=OR","EQY_CONSOLIDATED=Y","SCALING_FORMAT=MLN","Sort=A","Dates=H","DateFormat=P","Fill=—","Direction=H","UseDPDF=Y")</f>
        <v>#NAME?</v>
      </c>
      <c r="DF473" s="2" t="e">
        <f ca="1">_xll.BDH($C$453,"INVTRY_RAW_MATERIALS","FY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73" s="2" t="e">
        <f ca="1">_xll.BDH($C$453,"INVTRY_IN_PROGRESS","FY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73" s="2" t="e">
        <f ca="1">_xll.BDH($C$453,"INVTRY_FINISHED_GOODS","FY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73" s="2" t="e">
        <f ca="1">_xll.BDH($C$453,"BS_OTHER_INV","FY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74" spans="1:113" x14ac:dyDescent="0.3">
      <c r="A474" s="6"/>
      <c r="B474" s="6"/>
      <c r="C474" s="6"/>
      <c r="D474" s="6"/>
      <c r="E474" t="s">
        <v>4</v>
      </c>
      <c r="F474" t="e">
        <f ca="1">_xll.BDH($C$453,"RETURN_COM_EQY","FQ1 2018","FQ1 2018","Currency=INR","Period=FQ","BEST_FPERIOD_OVERRIDE=FQ","FILING_STATUS=OR","EQY_CONSOLIDATED=Y","FA_ADJUSTED=GAAP","Sort=A","Dates=H","DateFormat=P","Fill=—","Direction=H","UseDPDF=Y")</f>
        <v>#NAME?</v>
      </c>
      <c r="G474" t="e">
        <f ca="1">_xll.BDH($C$453,"RETURN_ON_ASSET","FQ1 2018","FQ1 2018","Currency=INR","Period=FQ","BEST_FPERIOD_OVERRIDE=FQ","FILING_STATUS=OR","EQY_CONSOLIDATED=Y","FA_ADJUSTED=GAAP","Sort=A","Dates=H","DateFormat=P","Fill=—","Direction=H","UseDPDF=Y")</f>
        <v>#NAME?</v>
      </c>
      <c r="H474" t="e">
        <f ca="1">_xll.BDH($C$453,"RETURN_ON_CAP","FQ1 2018","FQ1 2018","Currency=INR","Period=FQ","BEST_FPERIOD_OVERRIDE=FQ","FILING_STATUS=OR","EQY_CONSOLIDATED=Y","FA_ADJUSTED=GAAP","Sort=A","Dates=H","DateFormat=P","Fill=—","Direction=H","UseDPDF=Y")</f>
        <v>#NAME?</v>
      </c>
      <c r="I474" t="e">
        <f ca="1">_xll.BDH($C$453,"RETURN_ON_INV_CAPITAL","FQ1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74" t="e">
        <f ca="1">_xll.BDH($C$453,"EBITDA_TO_REVENUE","FQ1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474" t="e">
        <f ca="1">_xll.BDH($C$453,"OPER_MARGIN","FQ1 2018","FQ1 2018","Currency=INR","Period=FQ","BEST_FPERIOD_OVERRIDE=FQ","FILING_STATUS=OR","EQY_CONSOLIDATED=Y","FA_ADJUSTED=GAAP","Sort=A","Dates=H","DateFormat=P","Fill=—","Direction=H","UseDPDF=Y")</f>
        <v>#NAME?</v>
      </c>
      <c r="L474" t="e">
        <f ca="1">_xll.BDH($C$453,"INCREMENTAL_OPERATING_MARGIN","FQ1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74" t="e">
        <f ca="1">_xll.BDH($C$453,"PRETAX_INC_TO_NET_SALES","FQ1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74" t="e">
        <f ca="1">_xll.BDH($C$453,"INC_BEF_XO_ITEMS_TO_NET_SALES","FQ1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74" t="e">
        <f ca="1">_xll.BDH($C$453,"PROF_MARGIN","FQ1 2018","FQ1 2018","Currency=INR","Period=FQ","BEST_FPERIOD_OVERRIDE=FQ","FILING_STATUS=OR","EQY_CONSOLIDATED=Y","FA_ADJUSTED=GAAP","Sort=A","Dates=H","DateFormat=P","Fill=—","Direction=H","UseDPDF=Y")</f>
        <v>#NAME?</v>
      </c>
      <c r="P474" t="e">
        <f ca="1">_xll.BDH($C$453,"NET_INCOME_TO_COMMON_MARGIN","FQ1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74" t="e">
        <f ca="1">_xll.BDH($C$453,"EFF_TAX_RATE","FQ1 2018","FQ1 2018","Currency=INR","Period=FQ","BEST_FPERIOD_OVERRIDE=FQ","FILING_STATUS=OR","EQY_CONSOLIDATED=Y","FA_ADJUSTED=GAAP","Sort=A","Dates=H","DateFormat=P","Fill=—","Direction=H","UseDPDF=Y")</f>
        <v>#NAME?</v>
      </c>
      <c r="R474" t="e">
        <f ca="1">_xll.BDH($C$453,"DVD_PAYOUT_RATIO","FQ1 2018","FQ1 2018","Currency=INR","Period=FQ","BEST_FPERIOD_OVERRIDE=FQ","FILING_STATUS=OR","EQY_CONSOLIDATED=Y","FA_ADJUSTED=GAAP","Sort=A","Dates=H","DateFormat=P","Fill=—","Direction=H","UseDPDF=Y")</f>
        <v>#NAME?</v>
      </c>
      <c r="S474" t="e">
        <f ca="1">_xll.BDH($C$453,"SUSTAIN_GROWTH_RT","FQ1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474" s="1" t="e">
        <f ca="1">_xll.BDH($C$453,"SALES_GROWTH","FQ1 2018","FQ1 2018","Currency=INR","Period=FQ","BEST_FPERIOD_OVERRIDE=FQ","FILING_STATUS=OR","EQY_CONSOLIDATED=Y","FA_ADJUSTED=GAAP","Sort=A","Dates=H","DateFormat=P","Fill=—","Direction=H","UseDPDF=Y")</f>
        <v>#NAME?</v>
      </c>
      <c r="U474" s="1" t="e">
        <f ca="1">_xll.BDH($C$453,"EBITDA_GROWTH","FQ1 2018","FQ1 2018","Currency=INR","Period=FQ","BEST_FPERIOD_OVERRIDE=FQ","FILING_STATUS=OR","EQY_CONSOLIDATED=Y","FA_ADJUSTED=GAAP","Sort=A","Dates=H","DateFormat=P","Fill=—","Direction=H","UseDPDF=Y")</f>
        <v>#NAME?</v>
      </c>
      <c r="V474" s="1" t="e">
        <f ca="1">_xll.BDH($C$453,"OPER_INC_GROWTH","FQ1 2018","FQ1 2018","Currency=INR","Period=FQ","BEST_FPERIOD_OVERRIDE=FQ","FILING_STATUS=OR","EQY_CONSOLIDATED=Y","FA_ADJUSTED=GAAP","Sort=A","Dates=H","DateFormat=P","Fill=—","Direction=H","UseDPDF=Y")</f>
        <v>#NAME?</v>
      </c>
      <c r="W474" s="1" t="e">
        <f ca="1">_xll.BDH($C$453,"EARN_FOR_COM_GROWTH","FQ1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74" s="1" t="e">
        <f ca="1">_xll.BDH($C$453,"DILUTED_EPS_AFT_XO_ITEMS_GROWTH","FQ1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74" s="1" t="e">
        <f ca="1">_xll.BDH($C$453,"DIVIDEND_PER_SHARE_1_YEAR_GROWTH","FQ1 2018","FQ1 2018","Currency=INR","Period=FQ","BEST_FPERIOD_OVERRIDE=FQ","FILING_STATUS=OR","EQY_CONSOLIDATED=Y","Sort=A","Dates=H","DateFormat=P","Fill=—","Direction=H","UseDPDF=Y")</f>
        <v>#NAME?</v>
      </c>
      <c r="Z474" s="1" t="e">
        <f ca="1">_xll.BDH($C$453,"ACCOUNTS_RECEIVABLE_GROWTH","FQ1 2018","FQ1 2018","Currency=INR","Period=FQ","BEST_FPERIOD_OVERRIDE=FQ","FILING_STATUS=OR","EQY_CONSOLIDATED=Y","Sort=A","Dates=H","DateFormat=P","Fill=—","Direction=H","UseDPDF=Y")</f>
        <v>#NAME?</v>
      </c>
      <c r="AA474" s="1" t="e">
        <f ca="1">_xll.BDH($C$453,"INVENTORY_GROWTH","FQ1 2018","FQ1 2018","Currency=INR","Period=FQ","BEST_FPERIOD_OVERRIDE=FQ","FILING_STATUS=OR","EQY_CONSOLIDATED=Y","Sort=A","Dates=H","DateFormat=P","Fill=—","Direction=H","UseDPDF=Y")</f>
        <v>#NAME?</v>
      </c>
      <c r="AB474" s="1" t="e">
        <f ca="1">_xll.BDH($C$453,"NET_FIXED_ASSETS_1_YEAR_GROWTH","FQ1 2018","FQ1 2018","Currency=INR","Period=FQ","BEST_FPERIOD_OVERRIDE=FQ","FILING_STATUS=OR","EQY_CONSOLIDATED=Y","Sort=A","Dates=H","DateFormat=P","Fill=—","Direction=H","UseDPDF=Y")</f>
        <v>#NAME?</v>
      </c>
      <c r="AC474" s="1" t="e">
        <f ca="1">_xll.BDH($C$453,"ASSET_GROWTH","FQ1 2018","FQ1 2018","Currency=INR","Period=FQ","BEST_FPERIOD_OVERRIDE=FQ","FILING_STATUS=OR","EQY_CONSOLIDATED=Y","Sort=A","Dates=H","DateFormat=P","Fill=—","Direction=H","UseDPDF=Y")</f>
        <v>#NAME?</v>
      </c>
      <c r="AD474" s="1" t="e">
        <f ca="1">_xll.BDH($C$453,"MODIFIED_WORK_CAP_GROWTH","FQ1 2018","FQ1 2018","Currency=INR","Period=FQ","BEST_FPERIOD_OVERRIDE=FQ","FILING_STATUS=OR","EQY_CONSOLIDATED=Y","Sort=A","Dates=H","DateFormat=P","Fill=—","Direction=H","UseDPDF=Y")</f>
        <v>#NAME?</v>
      </c>
      <c r="AE474" s="1" t="e">
        <f ca="1">_xll.BDH($C$453,"WORK_CAP_GROWTH","FQ1 2018","FQ1 2018","Currency=INR","Period=FQ","BEST_FPERIOD_OVERRIDE=FQ","FILING_STATUS=OR","EQY_CONSOLIDATED=Y","Sort=A","Dates=H","DateFormat=P","Fill=—","Direction=H","UseDPDF=Y")</f>
        <v>#NAME?</v>
      </c>
      <c r="AF474" s="1" t="e">
        <f ca="1">_xll.BDH($C$453,"ACCOUNTS_PAYABLE_GROWTH_1YR","FQ1 2018","FQ1 2018","Currency=INR","Period=FQ","BEST_FPERIOD_OVERRIDE=FQ","FILING_STATUS=OR","EQY_CONSOLIDATED=Y","Sort=A","Dates=H","DateFormat=P","Fill=—","Direction=H","UseDPDF=Y")</f>
        <v>#NAME?</v>
      </c>
      <c r="AG474" s="1" t="e">
        <f ca="1">_xll.BDH($C$453,"SHORT_TERM_DEBT_1_YEAR_GROWTH","FQ1 2018","FQ1 2018","Currency=INR","Period=FQ","BEST_FPERIOD_OVERRIDE=FQ","FILING_STATUS=OR","EQY_CONSOLIDATED=Y","Sort=A","Dates=H","DateFormat=P","Fill=—","Direction=H","UseDPDF=Y")</f>
        <v>#NAME?</v>
      </c>
      <c r="AH474" s="1" t="e">
        <f ca="1">_xll.BDH($C$453,"TOTAL_DEBT_1_YEAR_GROWTH","FQ1 2018","FQ1 2018","Currency=INR","Period=FQ","BEST_FPERIOD_OVERRIDE=FQ","FILING_STATUS=OR","EQY_CONSOLIDATED=Y","Sort=A","Dates=H","DateFormat=P","Fill=—","Direction=H","UseDPDF=Y")</f>
        <v>#NAME?</v>
      </c>
      <c r="AI474" s="1" t="e">
        <f ca="1">_xll.BDH($C$453,"TOTAL_EQUITY_1_YEAR_GROWTH","FQ1 2018","FQ1 2018","Currency=INR","Period=FQ","BEST_FPERIOD_OVERRIDE=FQ","FILING_STATUS=OR","EQY_CONSOLIDATED=Y","Sort=A","Dates=H","DateFormat=P","Fill=—","Direction=H","UseDPDF=Y")</f>
        <v>#NAME?</v>
      </c>
      <c r="AJ474" s="1" t="e">
        <f ca="1">_xll.BDH($C$453,"GROWTH_IN_CAP","FQ1 2018","FQ1 2018","Currency=INR","Period=FQ","BEST_FPERIOD_OVERRIDE=FQ","FILING_STATUS=OR","EQY_CONSOLIDATED=Y","Sort=A","Dates=H","DateFormat=P","Fill=—","Direction=H","UseDPDF=Y")</f>
        <v>#NAME?</v>
      </c>
      <c r="AK474" s="1" t="e">
        <f ca="1">_xll.BDH($C$453,"BVPS_GROWTH","FQ1 2018","FQ1 2018","Currency=INR","Period=FQ","BEST_FPERIOD_OVERRIDE=FQ","FILING_STATUS=OR","EQY_CONSOLIDATED=Y","Sort=A","Dates=H","DateFormat=P","Fill=—","Direction=H","UseDPDF=Y")</f>
        <v>#NAME?</v>
      </c>
      <c r="AL474" s="1" t="e">
        <f ca="1">_xll.BDH($C$453,"CASH_FLOW_GROWTH","FQ1 2018","FQ1 2018","Currency=INR","Period=FQ","BEST_FPERIOD_OVERRIDE=FQ","FILING_STATUS=OR","EQY_CONSOLIDATED=Y","Sort=A","Dates=H","DateFormat=P","Fill=—","Direction=H","UseDPDF=Y")</f>
        <v>#NAME?</v>
      </c>
      <c r="AM474" s="1" t="e">
        <f ca="1">_xll.BDH($C$453,"GEO_GROW_NET_SALES","FQ1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74" s="1" t="e">
        <f ca="1">_xll.BDH($C$453,"GEO_GROW_EBITDA","FQ1 2018","FQ1 2018","Currency=INR","Period=FQ","BEST_FPERIOD_OVERRIDE=FQ","FILING_STATUS=OR","EQY_CONSOLIDATED=Y","FA_ADJUSTED=GAAP","Sort=A","Dates=H","DateFormat=P","Fill=—","Direction=H","UseDPDF=Y")</f>
        <v>#NAME?</v>
      </c>
      <c r="AO474" s="1" t="e">
        <f ca="1">_xll.BDH($C$453,"GEO_GROW_OPER_INC","FQ1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74" s="1" t="e">
        <f ca="1">_xll.BDH($C$453,"NET_INCOME_TO_COMMON_5_YR_GROWTH","FQ1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74" s="1" t="e">
        <f ca="1">_xll.BDH($C$453,"5Y_GEO_GROWTH_DILUTED_EPS","FQ1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74" s="1" t="e">
        <f ca="1">_xll.BDH($C$453,"GEO_GROW_DVD_PER_SH","FQ1 2018","FQ1 2018","Currency=INR","Period=FQ","BEST_FPERIOD_OVERRIDE=FQ","FILING_STATUS=OR","EQY_CONSOLIDATED=Y","Sort=A","Dates=H","DateFormat=P","Fill=—","Direction=H","UseDPDF=Y")</f>
        <v>#NAME?</v>
      </c>
      <c r="AS474" s="1" t="e">
        <f ca="1">_xll.BDH($C$453,"ACCOUNTS_RECEIVABLE_5_YR_GROWTH","FQ1 2018","FQ1 2018","Currency=INR","Period=FQ","BEST_FPERIOD_OVERRIDE=FQ","FILING_STATUS=OR","EQY_CONSOLIDATED=Y","Sort=A","Dates=H","DateFormat=P","Fill=—","Direction=H","UseDPDF=Y")</f>
        <v>#NAME?</v>
      </c>
      <c r="AT474" s="1" t="e">
        <f ca="1">_xll.BDH($C$453,"INVENTORY_5_YEAR_GROWTH","FQ1 2018","FQ1 2018","Currency=INR","Period=FQ","BEST_FPERIOD_OVERRIDE=FQ","FILING_STATUS=OR","EQY_CONSOLIDATED=Y","Sort=A","Dates=H","DateFormat=P","Fill=—","Direction=H","UseDPDF=Y")</f>
        <v>#NAME?</v>
      </c>
      <c r="AU474" s="1" t="e">
        <f ca="1">_xll.BDH($C$453,"NET_FIXED_ASSETS_5_YEAR_GROWTH","FQ1 2018","FQ1 2018","Currency=INR","Period=FQ","BEST_FPERIOD_OVERRIDE=FQ","FILING_STATUS=OR","EQY_CONSOLIDATED=Y","Sort=A","Dates=H","DateFormat=P","Fill=—","Direction=H","UseDPDF=Y")</f>
        <v>#NAME?</v>
      </c>
      <c r="AV474" s="1" t="e">
        <f ca="1">_xll.BDH($C$453,"GEO_GROW_TOT_ASSET","FQ1 2018","FQ1 2018","Currency=INR","Period=FQ","BEST_FPERIOD_OVERRIDE=FQ","FILING_STATUS=OR","EQY_CONSOLIDATED=Y","Sort=A","Dates=H","DateFormat=P","Fill=—","Direction=H","UseDPDF=Y")</f>
        <v>#NAME?</v>
      </c>
      <c r="AW474" s="1" t="e">
        <f ca="1">_xll.BDH($C$453,"MODIFIED_WORKING_CPTL_5YR_GRWTH","FQ1 2018","FQ1 2018","Currency=INR","Period=FQ","BEST_FPERIOD_OVERRIDE=FQ","FILING_STATUS=OR","EQY_CONSOLIDATED=Y","Sort=A","Dates=H","DateFormat=P","Fill=—","Direction=H","UseDPDF=Y")</f>
        <v>#NAME?</v>
      </c>
      <c r="AX474" s="1" t="e">
        <f ca="1">_xll.BDH($C$453,"WORKING_CAPITAL_5_YEAR_GROWTH","FQ1 2018","FQ1 2018","Currency=INR","Period=FQ","BEST_FPERIOD_OVERRIDE=FQ","FILING_STATUS=OR","EQY_CONSOLIDATED=Y","Sort=A","Dates=H","DateFormat=P","Fill=—","Direction=H","UseDPDF=Y")</f>
        <v>#NAME?</v>
      </c>
      <c r="AY474" s="1" t="e">
        <f ca="1">_xll.BDH($C$453,"ACCOUNTS_PAYABLE_5_YEAR_GROWTH","FQ1 2018","FQ1 2018","Currency=INR","Period=FQ","BEST_FPERIOD_OVERRIDE=FQ","FILING_STATUS=OR","EQY_CONSOLIDATED=Y","Sort=A","Dates=H","DateFormat=P","Fill=—","Direction=H","UseDPDF=Y")</f>
        <v>#NAME?</v>
      </c>
      <c r="AZ474" s="1" t="e">
        <f ca="1">_xll.BDH($C$453,"SHORT_TERM_DEBT_5_YEAR_GROWTH","FQ1 2018","FQ1 2018","Currency=INR","Period=FQ","BEST_FPERIOD_OVERRIDE=FQ","FILING_STATUS=OR","EQY_CONSOLIDATED=Y","Sort=A","Dates=H","DateFormat=P","Fill=—","Direction=H","UseDPDF=Y")</f>
        <v>#NAME?</v>
      </c>
      <c r="BA474" s="1" t="e">
        <f ca="1">_xll.BDH($C$453,"TOTAL_DEBT_5_YEAR_GROWTH","FQ1 2018","FQ1 2018","Currency=INR","Period=FQ","BEST_FPERIOD_OVERRIDE=FQ","FILING_STATUS=OR","EQY_CONSOLIDATED=Y","Sort=A","Dates=H","DateFormat=P","Fill=—","Direction=H","UseDPDF=Y")</f>
        <v>#NAME?</v>
      </c>
      <c r="BB474" s="1" t="e">
        <f ca="1">_xll.BDH($C$453,"GEO_GROW_TOT_SHRHLDR_EQY","FQ1 2018","FQ1 2018","Currency=INR","Period=FQ","BEST_FPERIOD_OVERRIDE=FQ","FILING_STATUS=OR","EQY_CONSOLIDATED=Y","Sort=A","Dates=H","DateFormat=P","Fill=—","Direction=H","UseDPDF=Y")</f>
        <v>#NAME?</v>
      </c>
      <c r="BC474" s="1" t="e">
        <f ca="1">_xll.BDH($C$453,"TOTAL_CAPITAL_5_YEAR_GROWTH","FQ1 2018","FQ1 2018","Currency=INR","Period=FQ","BEST_FPERIOD_OVERRIDE=FQ","FILING_STATUS=OR","EQY_CONSOLIDATED=Y","Sort=A","Dates=H","DateFormat=P","Fill=—","Direction=H","UseDPDF=Y")</f>
        <v>#NAME?</v>
      </c>
      <c r="BD474" s="1" t="e">
        <f ca="1">_xll.BDH($C$453,"GEO_GROW_BOOK_VAL","FQ1 2018","FQ1 2018","Currency=INR","Period=FQ","BEST_FPERIOD_OVERRIDE=FQ","FILING_STATUS=OR","EQY_CONSOLIDATED=Y","Sort=A","Dates=H","DateFormat=P","Fill=—","Direction=H","UseDPDF=Y")</f>
        <v>#NAME?</v>
      </c>
      <c r="BE474" s="1" t="e">
        <f ca="1">_xll.BDH($C$453,"GEO_GROW_CASH_OPER_ACT","FQ1 2018","FQ1 2018","Currency=INR","Period=FQ","BEST_FPERIOD_OVERRIDE=FQ","FILING_STATUS=OR","EQY_CONSOLIDATED=Y","Sort=A","Dates=H","DateFormat=P","Fill=—","Direction=H","UseDPDF=Y")</f>
        <v>#NAME?</v>
      </c>
      <c r="BF474" s="1" t="e">
        <f ca="1">_xll.BDH($C$453,"REVENUE_SEQUENTIAL_GROWTH","FQ1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74" s="1" t="e">
        <f ca="1">_xll.BDH($C$453,"EBITDA_SEQUENTIAL_GROWTH","FQ1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74" s="1" t="e">
        <f ca="1">_xll.BDH($C$453,"OPERATING_INCOME_SEQ_GROWTH","FQ1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74" s="1" t="e">
        <f ca="1">_xll.BDH($C$453,"NET_INCOME_TO_COMMON_SEQ_GROWTH","FQ1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74" s="1" t="e">
        <f ca="1">_xll.BDH($C$453,"EPS_DILUTED_SEQUENTIAL_GROWTH","FQ1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74" s="1" t="e">
        <f ca="1">_xll.BDH($C$453,"DPS_SEQUENTIAL_GROWTH","FQ1 2018","FQ1 2018","Currency=INR","Period=FQ","BEST_FPERIOD_OVERRIDE=FQ","FILING_STATUS=OR","EQY_CONSOLIDATED=Y","Sort=A","Dates=H","DateFormat=P","Fill=—","Direction=H","UseDPDF=Y")</f>
        <v>#NAME?</v>
      </c>
      <c r="BL474" s="1" t="e">
        <f ca="1">_xll.BDH($C$453,"ACCOUNTS_RECEIVABLE_SEQ_GROWTH","FQ1 2018","FQ1 2018","Currency=INR","Period=FQ","BEST_FPERIOD_OVERRIDE=FQ","FILING_STATUS=OR","EQY_CONSOLIDATED=Y","Sort=A","Dates=H","DateFormat=P","Fill=—","Direction=H","UseDPDF=Y")</f>
        <v>#NAME?</v>
      </c>
      <c r="BM474" s="1" t="e">
        <f ca="1">_xll.BDH($C$453,"INVENTORY_SEQUENTIAL_GROWTH","FQ1 2018","FQ1 2018","Currency=INR","Period=FQ","BEST_FPERIOD_OVERRIDE=FQ","FILING_STATUS=OR","EQY_CONSOLIDATED=Y","Sort=A","Dates=H","DateFormat=P","Fill=—","Direction=H","UseDPDF=Y")</f>
        <v>#NAME?</v>
      </c>
      <c r="BN474" s="1" t="e">
        <f ca="1">_xll.BDH($C$453,"FIXED_ASSETS_SEQUENTIAL_GROWTH","FQ1 2018","FQ1 2018","Currency=INR","Period=FQ","BEST_FPERIOD_OVERRIDE=FQ","FILING_STATUS=OR","EQY_CONSOLIDATED=Y","Sort=A","Dates=H","DateFormat=P","Fill=—","Direction=H","UseDPDF=Y")</f>
        <v>#NAME?</v>
      </c>
      <c r="BO474" s="1" t="e">
        <f ca="1">_xll.BDH($C$453,"TOTAL_ASSETS_SEQUENTIAL_GROWTH","FQ1 2018","FQ1 2018","Currency=INR","Period=FQ","BEST_FPERIOD_OVERRIDE=FQ","FILING_STATUS=OR","EQY_CONSOLIDATED=Y","Sort=A","Dates=H","DateFormat=P","Fill=—","Direction=H","UseDPDF=Y")</f>
        <v>#NAME?</v>
      </c>
      <c r="BP474" s="1" t="e">
        <f ca="1">_xll.BDH($C$453,"MODIFIED_WORKING_CPTL_SEQ_GRWTH","FQ1 2018","FQ1 2018","Currency=INR","Period=FQ","BEST_FPERIOD_OVERRIDE=FQ","FILING_STATUS=OR","EQY_CONSOLIDATED=Y","Sort=A","Dates=H","DateFormat=P","Fill=—","Direction=H","UseDPDF=Y")</f>
        <v>#NAME?</v>
      </c>
      <c r="BQ474" s="1" t="e">
        <f ca="1">_xll.BDH($C$453,"WORKING_CAPITAL_SEQ_GROWTH","FQ1 2018","FQ1 2018","Currency=INR","Period=FQ","BEST_FPERIOD_OVERRIDE=FQ","FILING_STATUS=OR","EQY_CONSOLIDATED=Y","Sort=A","Dates=H","DateFormat=P","Fill=—","Direction=H","UseDPDF=Y")</f>
        <v>#NAME?</v>
      </c>
      <c r="BR474" s="1" t="e">
        <f ca="1">_xll.BDH($C$453,"ACCOUNTS_PAYABLE_SEQ_GROWTH","FQ1 2018","FQ1 2018","Currency=INR","Period=FQ","BEST_FPERIOD_OVERRIDE=FQ","FILING_STATUS=OR","EQY_CONSOLIDATED=Y","Sort=A","Dates=H","DateFormat=P","Fill=—","Direction=H","UseDPDF=Y")</f>
        <v>#NAME?</v>
      </c>
      <c r="BS474" s="1" t="e">
        <f ca="1">_xll.BDH($C$453,"ST_DEBT_SEQUENTIAL_GROWTH","FQ1 2018","FQ1 2018","Currency=INR","Period=FQ","BEST_FPERIOD_OVERRIDE=FQ","FILING_STATUS=OR","EQY_CONSOLIDATED=Y","Sort=A","Dates=H","DateFormat=P","Fill=—","Direction=H","UseDPDF=Y")</f>
        <v>#NAME?</v>
      </c>
      <c r="BT474" s="1" t="e">
        <f ca="1">_xll.BDH($C$453,"TOTAL_DEBT_SEQUENTIAL_GROWTH","FQ1 2018","FQ1 2018","Currency=INR","Period=FQ","BEST_FPERIOD_OVERRIDE=FQ","FILING_STATUS=OR","EQY_CONSOLIDATED=Y","Sort=A","Dates=H","DateFormat=P","Fill=—","Direction=H","UseDPDF=Y")</f>
        <v>#NAME?</v>
      </c>
      <c r="BU474" s="1" t="e">
        <f ca="1">_xll.BDH($C$453,"TOTAL_EQUITY_SEQUENTIAL_GROWTH","FQ1 2018","FQ1 2018","Currency=INR","Period=FQ","BEST_FPERIOD_OVERRIDE=FQ","FILING_STATUS=OR","EQY_CONSOLIDATED=Y","Sort=A","Dates=H","DateFormat=P","Fill=—","Direction=H","UseDPDF=Y")</f>
        <v>#NAME?</v>
      </c>
      <c r="BV474" s="1" t="e">
        <f ca="1">_xll.BDH($C$453,"TOTAL_CAPITAL_SEQUENTIAL_GROWTH","FQ1 2018","FQ1 2018","Currency=INR","Period=FQ","BEST_FPERIOD_OVERRIDE=FQ","FILING_STATUS=OR","EQY_CONSOLIDATED=Y","Sort=A","Dates=H","DateFormat=P","Fill=—","Direction=H","UseDPDF=Y")</f>
        <v>#NAME?</v>
      </c>
      <c r="BW474" s="1" t="e">
        <f ca="1">_xll.BDH($C$453,"BPS_SEQUENTIAL_GROWTH","FQ1 2018","FQ1 2018","Currency=INR","Period=FQ","BEST_FPERIOD_OVERRIDE=FQ","FILING_STATUS=OR","EQY_CONSOLIDATED=Y","Sort=A","Dates=H","DateFormat=P","Fill=—","Direction=H","UseDPDF=Y")</f>
        <v>#NAME?</v>
      </c>
      <c r="BX474" s="1" t="e">
        <f ca="1">_xll.BDH($C$453,"CFO_SEQUENTIAL_GROWTH","FQ1 2018","FQ1 2018","Currency=INR","Period=FQ","BEST_FPERIOD_OVERRIDE=FQ","FILING_STATUS=OR","EQY_CONSOLIDATED=Y","Sort=A","Dates=H","DateFormat=P","Fill=—","Direction=H","UseDPDF=Y")</f>
        <v>#NAME?</v>
      </c>
      <c r="BY474" s="2" t="e">
        <f ca="1">_xll.BDH($C$453,"SHORT_AND_LONG_TERM_DEBT","FQ1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74" s="2" t="e">
        <f ca="1">_xll.BDH($C$453,"BS_ST_BORROW","FQ1 2018","FQ1 2018","Currency=INR","Period=FQ","BEST_FPERIOD_OVERRIDE=FQ","FILING_STATUS=OR","EQY_CONSOLIDATED=Y","SCALING_FORMAT=MLN","Sort=A","Dates=H","DateFormat=P","Fill=—","Direction=H","UseDPDF=Y")</f>
        <v>#NAME?</v>
      </c>
      <c r="CA474" s="2" t="e">
        <f ca="1">_xll.BDH($C$453,"BS_LT_BORROW","FQ1 2018","FQ1 2018","Currency=INR","Period=FQ","BEST_FPERIOD_OVERRIDE=FQ","FILING_STATUS=OR","EQY_CONSOLIDATED=Y","SCALING_FORMAT=MLN","Sort=A","Dates=H","DateFormat=P","Fill=—","Direction=H","UseDPDF=Y")</f>
        <v>#NAME?</v>
      </c>
      <c r="CB474" s="1" t="e">
        <f ca="1">_xll.BDH($C$453,"TOT_DEBT_TO_EBITDA","FQ1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74" s="1" t="e">
        <f ca="1">_xll.BDH($C$453,"NET_DEBT_TO_EBITDA","FQ1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74" s="1" t="e">
        <f ca="1">_xll.BDH($C$453,"TOTAL_DEBT_TO_EBIT","FQ1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74" s="1" t="e">
        <f ca="1">_xll.BDH($C$453,"NET_DEBT_TO_EBIT","FQ1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474" s="1" t="e">
        <f ca="1">_xll.BDH($C$453,"EBITDA_TO_INTEREST_EXPN","FQ1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74" s="1" t="e">
        <f ca="1">_xll.BDH($C$453,"COM_EQY_TO_TOT_ASSET","FQ1 2018","FQ1 2018","Currency=INR","Period=FQ","BEST_FPERIOD_OVERRIDE=FQ","FILING_STATUS=OR","EQY_CONSOLIDATED=Y","Sort=A","Dates=H","DateFormat=P","Fill=—","Direction=H","UseDPDF=Y")</f>
        <v>#NAME?</v>
      </c>
      <c r="CH474" s="1" t="e">
        <f ca="1">_xll.BDH($C$453,"LT_DEBT_TO_TOT_EQY","FQ1 2018","FQ1 2018","Currency=INR","Period=FQ","BEST_FPERIOD_OVERRIDE=FQ","FILING_STATUS=OR","EQY_CONSOLIDATED=Y","Sort=A","Dates=H","DateFormat=P","Fill=—","Direction=H","UseDPDF=Y")</f>
        <v>#NAME?</v>
      </c>
      <c r="CI474" s="1" t="e">
        <f ca="1">_xll.BDH($C$453,"LT_DEBT_TO_TOT_CAP","FQ1 2018","FQ1 2018","Currency=INR","Period=FQ","BEST_FPERIOD_OVERRIDE=FQ","FILING_STATUS=OR","EQY_CONSOLIDATED=Y","Sort=A","Dates=H","DateFormat=P","Fill=—","Direction=H","UseDPDF=Y")</f>
        <v>#NAME?</v>
      </c>
      <c r="CJ474" s="1" t="e">
        <f ca="1">_xll.BDH($C$453,"LT_DEBT_TO_TOT_ASSET","FQ1 2018","FQ1 2018","Currency=INR","Period=FQ","BEST_FPERIOD_OVERRIDE=FQ","FILING_STATUS=OR","EQY_CONSOLIDATED=Y","Sort=A","Dates=H","DateFormat=P","Fill=—","Direction=H","UseDPDF=Y")</f>
        <v>#NAME?</v>
      </c>
      <c r="CK474" s="1" t="e">
        <f ca="1">_xll.BDH($C$453,"TOT_DEBT_TO_TOT_EQY","FQ1 2018","FQ1 2018","Currency=INR","Period=FQ","BEST_FPERIOD_OVERRIDE=FQ","FILING_STATUS=OR","EQY_CONSOLIDATED=Y","Sort=A","Dates=H","DateFormat=P","Fill=—","Direction=H","UseDPDF=Y")</f>
        <v>#NAME?</v>
      </c>
      <c r="CL474" s="1" t="e">
        <f ca="1">_xll.BDH($C$453,"TOT_DEBT_TO_TOT_CAP","FQ1 2018","FQ1 2018","Currency=INR","Period=FQ","BEST_FPERIOD_OVERRIDE=FQ","FILING_STATUS=OR","EQY_CONSOLIDATED=Y","Sort=A","Dates=H","DateFormat=P","Fill=—","Direction=H","UseDPDF=Y")</f>
        <v>#NAME?</v>
      </c>
      <c r="CM474" s="1" t="e">
        <f ca="1">_xll.BDH($C$453,"TOT_DEBT_TO_TOT_ASSET","FQ1 2018","FQ1 2018","Currency=INR","Period=FQ","BEST_FPERIOD_OVERRIDE=FQ","FILING_STATUS=OR","EQY_CONSOLIDATED=Y","Sort=A","Dates=H","DateFormat=P","Fill=—","Direction=H","UseDPDF=Y")</f>
        <v>#NAME?</v>
      </c>
      <c r="CN474" s="1" t="e">
        <f ca="1">_xll.BDH($C$453,"NET_DEBT_TO_SHRHLDR_EQTY","FQ1 2018","FQ1 2018","Currency=INR","Period=FQ","BEST_FPERIOD_OVERRIDE=FQ","FILING_STATUS=OR","EQY_CONSOLIDATED=Y","Sort=A","Dates=H","DateFormat=P","Fill=—","Direction=H","UseDPDF=Y")</f>
        <v>#NAME?</v>
      </c>
      <c r="CO474" s="1" t="e">
        <f ca="1">_xll.BDH($C$453,"NET_DEBT_%_CAPITAL","FQ1 2018","FQ1 2018","Currency=INR","Period=FQ","BEST_FPERIOD_OVERRIDE=FQ","FILING_STATUS=OR","EQY_CONSOLIDATED=Y","Sort=A","Dates=H","DateFormat=P","Fill=—","Direction=H","UseDPDF=Y")</f>
        <v>#NAME?</v>
      </c>
      <c r="CP474" s="2" t="e">
        <f ca="1">_xll.BDH($C$453,"EBITDA","FQ1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74" s="2" t="e">
        <f ca="1">_xll.BDH($C$453,"EBITDA_AFTER_CAPEX","FQ1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74" s="2" t="e">
        <f ca="1">_xll.BDH($C$453,"IS_OPER_INC","FQ1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74" s="1" t="e">
        <f ca="1">_xll.BDH($C$453,"CASH_RATIO","FQ1 2018","FQ1 2018","Currency=INR","Period=FQ","BEST_FPERIOD_OVERRIDE=FQ","FILING_STATUS=OR","EQY_CONSOLIDATED=Y","Sort=A","Dates=H","DateFormat=P","Fill=—","Direction=H","UseDPDF=Y")</f>
        <v>#NAME?</v>
      </c>
      <c r="CT474" s="1" t="e">
        <f ca="1">_xll.BDH($C$453,"CUR_RATIO","FQ1 2018","FQ1 2018","Currency=INR","Period=FQ","BEST_FPERIOD_OVERRIDE=FQ","FILING_STATUS=OR","EQY_CONSOLIDATED=Y","Sort=A","Dates=H","DateFormat=P","Fill=—","Direction=H","UseDPDF=Y")</f>
        <v>#NAME?</v>
      </c>
      <c r="CU474" s="1" t="e">
        <f ca="1">_xll.BDH($C$453,"QUICK_RATIO","FQ1 2018","FQ1 2018","Currency=INR","Period=FQ","BEST_FPERIOD_OVERRIDE=FQ","FILING_STATUS=OR","EQY_CONSOLIDATED=Y","Sort=A","Dates=H","DateFormat=P","Fill=—","Direction=H","UseDPDF=Y")</f>
        <v>#NAME?</v>
      </c>
      <c r="CV474" s="1" t="e">
        <f ca="1">_xll.BDH($C$453,"ALTMAN_Z_SCORE","FQ1 2018","FQ1 2018","Currency=INR","Period=FQ","BEST_FPERIOD_OVERRIDE=FQ","FILING_STATUS=OR","EQY_CONSOLIDATED=Y","Sort=A","Dates=H","DateFormat=P","Fill=—","Direction=H","UseDPDF=Y")</f>
        <v>#NAME?</v>
      </c>
      <c r="CW474" s="3" t="e">
        <f ca="1">_xll.BDH($C$453,"ACCT_RCV_TURN","FQ1 2018","FQ1 2018","Currency=INR","Period=FQ","BEST_FPERIOD_OVERRIDE=FQ","FILING_STATUS=OR","EQY_CONSOLIDATED=Y","FA_ADJUSTED=GAAP","Sort=A","Dates=H","DateFormat=P","Fill=—","Direction=H","UseDPDF=Y")</f>
        <v>#NAME?</v>
      </c>
      <c r="CX474" s="1" t="e">
        <f ca="1">_xll.BDH($C$453,"ACCT_RCV_DAYS","FQ1 2018","FQ1 2018","Currency=INR","Period=FQ","BEST_FPERIOD_OVERRIDE=FQ","FILING_STATUS=OR","EQY_CONSOLIDATED=Y","FA_ADJUSTED=GAAP","Sort=A","Dates=H","DateFormat=P","Fill=—","Direction=H","UseDPDF=Y")</f>
        <v>#NAME?</v>
      </c>
      <c r="CY474" s="3" t="e">
        <f ca="1">_xll.BDH($C$453,"INVENT_TURN","FQ1 2018","FQ1 2018","Currency=INR","Period=FQ","BEST_FPERIOD_OVERRIDE=FQ","FILING_STATUS=OR","EQY_CONSOLIDATED=Y","FA_ADJUSTED=GAAP","Sort=A","Dates=H","DateFormat=P","Fill=—","Direction=H","UseDPDF=Y")</f>
        <v>#NAME?</v>
      </c>
      <c r="CZ474" s="1" t="e">
        <f ca="1">_xll.BDH($C$453,"INVENT_DAYS","FQ1 2018","FQ1 2018","Currency=INR","Period=FQ","BEST_FPERIOD_OVERRIDE=FQ","FILING_STATUS=OR","EQY_CONSOLIDATED=Y","FA_ADJUSTED=GAAP","Sort=A","Dates=H","DateFormat=P","Fill=—","Direction=H","UseDPDF=Y")</f>
        <v>#NAME?</v>
      </c>
      <c r="DA474" s="3" t="e">
        <f ca="1">_xll.BDH($C$453,"ACCOUNTS_PAYABLE_TURNOVER","FQ1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74" s="1" t="e">
        <f ca="1">_xll.BDH($C$453,"ACCOUNTS_PAYABLE_TURNOVER_DAYS","FQ1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74" s="3" t="e">
        <f ca="1">_xll.BDH($C$453,"CASH_CONVERSION_CYCLE","FQ1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74" s="3" t="e">
        <f ca="1">_xll.BDH($C$453,"INV_TO_CASH_DAYS","FQ1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474" s="4" t="e">
        <f ca="1">_xll.BDH($C$453,"BS_INVENTORIES","FQ1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474" s="2" t="e">
        <f ca="1">_xll.BDH($C$453,"INVTRY_RAW_MATERIALS","FQ1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74" s="2" t="e">
        <f ca="1">_xll.BDH($C$453,"INVTRY_IN_PROGRESS","FQ1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74" s="2" t="e">
        <f ca="1">_xll.BDH($C$453,"INVTRY_FINISHED_GOODS","FQ1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74" s="2" t="e">
        <f ca="1">_xll.BDH($C$453,"BS_OTHER_INV","FQ1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75" spans="1:113" x14ac:dyDescent="0.3">
      <c r="A475" s="6"/>
      <c r="B475" s="6"/>
      <c r="C475" s="6"/>
      <c r="D475" s="6"/>
      <c r="E475" t="s">
        <v>5</v>
      </c>
      <c r="F475" t="e">
        <f ca="1">_xll.BDH($C$453,"RETURN_COM_EQY","FQ2 2018","FQ2 2018","Currency=INR","Period=FQ","BEST_FPERIOD_OVERRIDE=FQ","FILING_STATUS=OR","EQY_CONSOLIDATED=Y","FA_ADJUSTED=GAAP","Sort=A","Dates=H","DateFormat=P","Fill=—","Direction=H","UseDPDF=Y")</f>
        <v>#NAME?</v>
      </c>
      <c r="G475" t="e">
        <f ca="1">_xll.BDH($C$453,"RETURN_ON_ASSET","FQ2 2018","FQ2 2018","Currency=INR","Period=FQ","BEST_FPERIOD_OVERRIDE=FQ","FILING_STATUS=OR","EQY_CONSOLIDATED=Y","FA_ADJUSTED=GAAP","Sort=A","Dates=H","DateFormat=P","Fill=—","Direction=H","UseDPDF=Y")</f>
        <v>#NAME?</v>
      </c>
      <c r="H475" t="e">
        <f ca="1">_xll.BDH($C$453,"RETURN_ON_CAP","FQ2 2018","FQ2 2018","Currency=INR","Period=FQ","BEST_FPERIOD_OVERRIDE=FQ","FILING_STATUS=OR","EQY_CONSOLIDATED=Y","FA_ADJUSTED=GAAP","Sort=A","Dates=H","DateFormat=P","Fill=—","Direction=H","UseDPDF=Y")</f>
        <v>#NAME?</v>
      </c>
      <c r="I475" t="e">
        <f ca="1">_xll.BDH($C$453,"RETURN_ON_INV_CAPITAL","FQ2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75" t="e">
        <f ca="1">_xll.BDH($C$453,"EBITDA_TO_REVENUE","FQ2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475" t="e">
        <f ca="1">_xll.BDH($C$453,"OPER_MARGIN","FQ2 2018","FQ2 2018","Currency=INR","Period=FQ","BEST_FPERIOD_OVERRIDE=FQ","FILING_STATUS=OR","EQY_CONSOLIDATED=Y","FA_ADJUSTED=GAAP","Sort=A","Dates=H","DateFormat=P","Fill=—","Direction=H","UseDPDF=Y")</f>
        <v>#NAME?</v>
      </c>
      <c r="L475" t="e">
        <f ca="1">_xll.BDH($C$453,"INCREMENTAL_OPERATING_MARGIN","FQ2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75" t="e">
        <f ca="1">_xll.BDH($C$453,"PRETAX_INC_TO_NET_SALES","FQ2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75" t="e">
        <f ca="1">_xll.BDH($C$453,"INC_BEF_XO_ITEMS_TO_NET_SALES","FQ2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75" t="e">
        <f ca="1">_xll.BDH($C$453,"PROF_MARGIN","FQ2 2018","FQ2 2018","Currency=INR","Period=FQ","BEST_FPERIOD_OVERRIDE=FQ","FILING_STATUS=OR","EQY_CONSOLIDATED=Y","FA_ADJUSTED=GAAP","Sort=A","Dates=H","DateFormat=P","Fill=—","Direction=H","UseDPDF=Y")</f>
        <v>#NAME?</v>
      </c>
      <c r="P475" t="e">
        <f ca="1">_xll.BDH($C$453,"NET_INCOME_TO_COMMON_MARGIN","FQ2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75" t="e">
        <f ca="1">_xll.BDH($C$453,"EFF_TAX_RATE","FQ2 2018","FQ2 2018","Currency=INR","Period=FQ","BEST_FPERIOD_OVERRIDE=FQ","FILING_STATUS=OR","EQY_CONSOLIDATED=Y","FA_ADJUSTED=GAAP","Sort=A","Dates=H","DateFormat=P","Fill=—","Direction=H","UseDPDF=Y")</f>
        <v>#NAME?</v>
      </c>
      <c r="R475" t="e">
        <f ca="1">_xll.BDH($C$453,"DVD_PAYOUT_RATIO","FQ2 2018","FQ2 2018","Currency=INR","Period=FQ","BEST_FPERIOD_OVERRIDE=FQ","FILING_STATUS=OR","EQY_CONSOLIDATED=Y","FA_ADJUSTED=GAAP","Sort=A","Dates=H","DateFormat=P","Fill=—","Direction=H","UseDPDF=Y")</f>
        <v>#NAME?</v>
      </c>
      <c r="S475" t="e">
        <f ca="1">_xll.BDH($C$453,"SUSTAIN_GROWTH_RT","FQ2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475" s="1" t="e">
        <f ca="1">_xll.BDH($C$453,"SALES_GROWTH","FQ2 2018","FQ2 2018","Currency=INR","Period=FQ","BEST_FPERIOD_OVERRIDE=FQ","FILING_STATUS=OR","EQY_CONSOLIDATED=Y","FA_ADJUSTED=GAAP","Sort=A","Dates=H","DateFormat=P","Fill=—","Direction=H","UseDPDF=Y")</f>
        <v>#NAME?</v>
      </c>
      <c r="U475" s="1" t="e">
        <f ca="1">_xll.BDH($C$453,"EBITDA_GROWTH","FQ2 2018","FQ2 2018","Currency=INR","Period=FQ","BEST_FPERIOD_OVERRIDE=FQ","FILING_STATUS=OR","EQY_CONSOLIDATED=Y","FA_ADJUSTED=GAAP","Sort=A","Dates=H","DateFormat=P","Fill=—","Direction=H","UseDPDF=Y")</f>
        <v>#NAME?</v>
      </c>
      <c r="V475" s="1" t="e">
        <f ca="1">_xll.BDH($C$453,"OPER_INC_GROWTH","FQ2 2018","FQ2 2018","Currency=INR","Period=FQ","BEST_FPERIOD_OVERRIDE=FQ","FILING_STATUS=OR","EQY_CONSOLIDATED=Y","FA_ADJUSTED=GAAP","Sort=A","Dates=H","DateFormat=P","Fill=—","Direction=H","UseDPDF=Y")</f>
        <v>#NAME?</v>
      </c>
      <c r="W475" s="1" t="e">
        <f ca="1">_xll.BDH($C$453,"EARN_FOR_COM_GROWTH","FQ2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75" s="1" t="e">
        <f ca="1">_xll.BDH($C$453,"DILUTED_EPS_AFT_XO_ITEMS_GROWTH","FQ2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75" s="1" t="e">
        <f ca="1">_xll.BDH($C$453,"DIVIDEND_PER_SHARE_1_YEAR_GROWTH","FQ2 2018","FQ2 2018","Currency=INR","Period=FQ","BEST_FPERIOD_OVERRIDE=FQ","FILING_STATUS=OR","EQY_CONSOLIDATED=Y","Sort=A","Dates=H","DateFormat=P","Fill=—","Direction=H","UseDPDF=Y")</f>
        <v>#NAME?</v>
      </c>
      <c r="Z475" s="1" t="e">
        <f ca="1">_xll.BDH($C$453,"ACCOUNTS_RECEIVABLE_GROWTH","FQ2 2018","FQ2 2018","Currency=INR","Period=FQ","BEST_FPERIOD_OVERRIDE=FQ","FILING_STATUS=OR","EQY_CONSOLIDATED=Y","Sort=A","Dates=H","DateFormat=P","Fill=—","Direction=H","UseDPDF=Y")</f>
        <v>#NAME?</v>
      </c>
      <c r="AA475" s="1" t="e">
        <f ca="1">_xll.BDH($C$453,"INVENTORY_GROWTH","FQ2 2018","FQ2 2018","Currency=INR","Period=FQ","BEST_FPERIOD_OVERRIDE=FQ","FILING_STATUS=OR","EQY_CONSOLIDATED=Y","Sort=A","Dates=H","DateFormat=P","Fill=—","Direction=H","UseDPDF=Y")</f>
        <v>#NAME?</v>
      </c>
      <c r="AB475" s="1" t="e">
        <f ca="1">_xll.BDH($C$453,"NET_FIXED_ASSETS_1_YEAR_GROWTH","FQ2 2018","FQ2 2018","Currency=INR","Period=FQ","BEST_FPERIOD_OVERRIDE=FQ","FILING_STATUS=OR","EQY_CONSOLIDATED=Y","Sort=A","Dates=H","DateFormat=P","Fill=—","Direction=H","UseDPDF=Y")</f>
        <v>#NAME?</v>
      </c>
      <c r="AC475" s="1" t="e">
        <f ca="1">_xll.BDH($C$453,"ASSET_GROWTH","FQ2 2018","FQ2 2018","Currency=INR","Period=FQ","BEST_FPERIOD_OVERRIDE=FQ","FILING_STATUS=OR","EQY_CONSOLIDATED=Y","Sort=A","Dates=H","DateFormat=P","Fill=—","Direction=H","UseDPDF=Y")</f>
        <v>#NAME?</v>
      </c>
      <c r="AD475" s="1" t="e">
        <f ca="1">_xll.BDH($C$453,"MODIFIED_WORK_CAP_GROWTH","FQ2 2018","FQ2 2018","Currency=INR","Period=FQ","BEST_FPERIOD_OVERRIDE=FQ","FILING_STATUS=OR","EQY_CONSOLIDATED=Y","Sort=A","Dates=H","DateFormat=P","Fill=—","Direction=H","UseDPDF=Y")</f>
        <v>#NAME?</v>
      </c>
      <c r="AE475" s="1" t="e">
        <f ca="1">_xll.BDH($C$453,"WORK_CAP_GROWTH","FQ2 2018","FQ2 2018","Currency=INR","Period=FQ","BEST_FPERIOD_OVERRIDE=FQ","FILING_STATUS=OR","EQY_CONSOLIDATED=Y","Sort=A","Dates=H","DateFormat=P","Fill=—","Direction=H","UseDPDF=Y")</f>
        <v>#NAME?</v>
      </c>
      <c r="AF475" s="1" t="e">
        <f ca="1">_xll.BDH($C$453,"ACCOUNTS_PAYABLE_GROWTH_1YR","FQ2 2018","FQ2 2018","Currency=INR","Period=FQ","BEST_FPERIOD_OVERRIDE=FQ","FILING_STATUS=OR","EQY_CONSOLIDATED=Y","Sort=A","Dates=H","DateFormat=P","Fill=—","Direction=H","UseDPDF=Y")</f>
        <v>#NAME?</v>
      </c>
      <c r="AG475" s="1" t="e">
        <f ca="1">_xll.BDH($C$453,"SHORT_TERM_DEBT_1_YEAR_GROWTH","FQ2 2018","FQ2 2018","Currency=INR","Period=FQ","BEST_FPERIOD_OVERRIDE=FQ","FILING_STATUS=OR","EQY_CONSOLIDATED=Y","Sort=A","Dates=H","DateFormat=P","Fill=—","Direction=H","UseDPDF=Y")</f>
        <v>#NAME?</v>
      </c>
      <c r="AH475" s="1" t="e">
        <f ca="1">_xll.BDH($C$453,"TOTAL_DEBT_1_YEAR_GROWTH","FQ2 2018","FQ2 2018","Currency=INR","Period=FQ","BEST_FPERIOD_OVERRIDE=FQ","FILING_STATUS=OR","EQY_CONSOLIDATED=Y","Sort=A","Dates=H","DateFormat=P","Fill=—","Direction=H","UseDPDF=Y")</f>
        <v>#NAME?</v>
      </c>
      <c r="AI475" s="1" t="e">
        <f ca="1">_xll.BDH($C$453,"TOTAL_EQUITY_1_YEAR_GROWTH","FQ2 2018","FQ2 2018","Currency=INR","Period=FQ","BEST_FPERIOD_OVERRIDE=FQ","FILING_STATUS=OR","EQY_CONSOLIDATED=Y","Sort=A","Dates=H","DateFormat=P","Fill=—","Direction=H","UseDPDF=Y")</f>
        <v>#NAME?</v>
      </c>
      <c r="AJ475" s="1" t="e">
        <f ca="1">_xll.BDH($C$453,"GROWTH_IN_CAP","FQ2 2018","FQ2 2018","Currency=INR","Period=FQ","BEST_FPERIOD_OVERRIDE=FQ","FILING_STATUS=OR","EQY_CONSOLIDATED=Y","Sort=A","Dates=H","DateFormat=P","Fill=—","Direction=H","UseDPDF=Y")</f>
        <v>#NAME?</v>
      </c>
      <c r="AK475" s="1" t="e">
        <f ca="1">_xll.BDH($C$453,"BVPS_GROWTH","FQ2 2018","FQ2 2018","Currency=INR","Period=FQ","BEST_FPERIOD_OVERRIDE=FQ","FILING_STATUS=OR","EQY_CONSOLIDATED=Y","Sort=A","Dates=H","DateFormat=P","Fill=—","Direction=H","UseDPDF=Y")</f>
        <v>#NAME?</v>
      </c>
      <c r="AL475" s="1" t="e">
        <f ca="1">_xll.BDH($C$453,"CASH_FLOW_GROWTH","FQ2 2018","FQ2 2018","Currency=INR","Period=FQ","BEST_FPERIOD_OVERRIDE=FQ","FILING_STATUS=OR","EQY_CONSOLIDATED=Y","Sort=A","Dates=H","DateFormat=P","Fill=—","Direction=H","UseDPDF=Y")</f>
        <v>#NAME?</v>
      </c>
      <c r="AM475" s="1" t="e">
        <f ca="1">_xll.BDH($C$453,"GEO_GROW_NET_SALES","FQ2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75" s="1" t="e">
        <f ca="1">_xll.BDH($C$453,"GEO_GROW_EBITDA","FQ2 2018","FQ2 2018","Currency=INR","Period=FQ","BEST_FPERIOD_OVERRIDE=FQ","FILING_STATUS=OR","EQY_CONSOLIDATED=Y","FA_ADJUSTED=GAAP","Sort=A","Dates=H","DateFormat=P","Fill=—","Direction=H","UseDPDF=Y")</f>
        <v>#NAME?</v>
      </c>
      <c r="AO475" s="1" t="e">
        <f ca="1">_xll.BDH($C$453,"GEO_GROW_OPER_INC","FQ2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75" s="1" t="e">
        <f ca="1">_xll.BDH($C$453,"NET_INCOME_TO_COMMON_5_YR_GROWTH","FQ2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75" s="1" t="e">
        <f ca="1">_xll.BDH($C$453,"5Y_GEO_GROWTH_DILUTED_EPS","FQ2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75" s="1" t="e">
        <f ca="1">_xll.BDH($C$453,"GEO_GROW_DVD_PER_SH","FQ2 2018","FQ2 2018","Currency=INR","Period=FQ","BEST_FPERIOD_OVERRIDE=FQ","FILING_STATUS=OR","EQY_CONSOLIDATED=Y","Sort=A","Dates=H","DateFormat=P","Fill=—","Direction=H","UseDPDF=Y")</f>
        <v>#NAME?</v>
      </c>
      <c r="AS475" s="1" t="e">
        <f ca="1">_xll.BDH($C$453,"ACCOUNTS_RECEIVABLE_5_YR_GROWTH","FQ2 2018","FQ2 2018","Currency=INR","Period=FQ","BEST_FPERIOD_OVERRIDE=FQ","FILING_STATUS=OR","EQY_CONSOLIDATED=Y","Sort=A","Dates=H","DateFormat=P","Fill=—","Direction=H","UseDPDF=Y")</f>
        <v>#NAME?</v>
      </c>
      <c r="AT475" s="1" t="e">
        <f ca="1">_xll.BDH($C$453,"INVENTORY_5_YEAR_GROWTH","FQ2 2018","FQ2 2018","Currency=INR","Period=FQ","BEST_FPERIOD_OVERRIDE=FQ","FILING_STATUS=OR","EQY_CONSOLIDATED=Y","Sort=A","Dates=H","DateFormat=P","Fill=—","Direction=H","UseDPDF=Y")</f>
        <v>#NAME?</v>
      </c>
      <c r="AU475" s="1" t="e">
        <f ca="1">_xll.BDH($C$453,"NET_FIXED_ASSETS_5_YEAR_GROWTH","FQ2 2018","FQ2 2018","Currency=INR","Period=FQ","BEST_FPERIOD_OVERRIDE=FQ","FILING_STATUS=OR","EQY_CONSOLIDATED=Y","Sort=A","Dates=H","DateFormat=P","Fill=—","Direction=H","UseDPDF=Y")</f>
        <v>#NAME?</v>
      </c>
      <c r="AV475" s="1" t="e">
        <f ca="1">_xll.BDH($C$453,"GEO_GROW_TOT_ASSET","FQ2 2018","FQ2 2018","Currency=INR","Period=FQ","BEST_FPERIOD_OVERRIDE=FQ","FILING_STATUS=OR","EQY_CONSOLIDATED=Y","Sort=A","Dates=H","DateFormat=P","Fill=—","Direction=H","UseDPDF=Y")</f>
        <v>#NAME?</v>
      </c>
      <c r="AW475" s="1" t="e">
        <f ca="1">_xll.BDH($C$453,"MODIFIED_WORKING_CPTL_5YR_GRWTH","FQ2 2018","FQ2 2018","Currency=INR","Period=FQ","BEST_FPERIOD_OVERRIDE=FQ","FILING_STATUS=OR","EQY_CONSOLIDATED=Y","Sort=A","Dates=H","DateFormat=P","Fill=—","Direction=H","UseDPDF=Y")</f>
        <v>#NAME?</v>
      </c>
      <c r="AX475" s="1" t="e">
        <f ca="1">_xll.BDH($C$453,"WORKING_CAPITAL_5_YEAR_GROWTH","FQ2 2018","FQ2 2018","Currency=INR","Period=FQ","BEST_FPERIOD_OVERRIDE=FQ","FILING_STATUS=OR","EQY_CONSOLIDATED=Y","Sort=A","Dates=H","DateFormat=P","Fill=—","Direction=H","UseDPDF=Y")</f>
        <v>#NAME?</v>
      </c>
      <c r="AY475" s="1" t="e">
        <f ca="1">_xll.BDH($C$453,"ACCOUNTS_PAYABLE_5_YEAR_GROWTH","FQ2 2018","FQ2 2018","Currency=INR","Period=FQ","BEST_FPERIOD_OVERRIDE=FQ","FILING_STATUS=OR","EQY_CONSOLIDATED=Y","Sort=A","Dates=H","DateFormat=P","Fill=—","Direction=H","UseDPDF=Y")</f>
        <v>#NAME?</v>
      </c>
      <c r="AZ475" s="1" t="e">
        <f ca="1">_xll.BDH($C$453,"SHORT_TERM_DEBT_5_YEAR_GROWTH","FQ2 2018","FQ2 2018","Currency=INR","Period=FQ","BEST_FPERIOD_OVERRIDE=FQ","FILING_STATUS=OR","EQY_CONSOLIDATED=Y","Sort=A","Dates=H","DateFormat=P","Fill=—","Direction=H","UseDPDF=Y")</f>
        <v>#NAME?</v>
      </c>
      <c r="BA475" s="1" t="e">
        <f ca="1">_xll.BDH($C$453,"TOTAL_DEBT_5_YEAR_GROWTH","FQ2 2018","FQ2 2018","Currency=INR","Period=FQ","BEST_FPERIOD_OVERRIDE=FQ","FILING_STATUS=OR","EQY_CONSOLIDATED=Y","Sort=A","Dates=H","DateFormat=P","Fill=—","Direction=H","UseDPDF=Y")</f>
        <v>#NAME?</v>
      </c>
      <c r="BB475" s="1" t="e">
        <f ca="1">_xll.BDH($C$453,"GEO_GROW_TOT_SHRHLDR_EQY","FQ2 2018","FQ2 2018","Currency=INR","Period=FQ","BEST_FPERIOD_OVERRIDE=FQ","FILING_STATUS=OR","EQY_CONSOLIDATED=Y","Sort=A","Dates=H","DateFormat=P","Fill=—","Direction=H","UseDPDF=Y")</f>
        <v>#NAME?</v>
      </c>
      <c r="BC475" s="1" t="e">
        <f ca="1">_xll.BDH($C$453,"TOTAL_CAPITAL_5_YEAR_GROWTH","FQ2 2018","FQ2 2018","Currency=INR","Period=FQ","BEST_FPERIOD_OVERRIDE=FQ","FILING_STATUS=OR","EQY_CONSOLIDATED=Y","Sort=A","Dates=H","DateFormat=P","Fill=—","Direction=H","UseDPDF=Y")</f>
        <v>#NAME?</v>
      </c>
      <c r="BD475" s="1" t="e">
        <f ca="1">_xll.BDH($C$453,"GEO_GROW_BOOK_VAL","FQ2 2018","FQ2 2018","Currency=INR","Period=FQ","BEST_FPERIOD_OVERRIDE=FQ","FILING_STATUS=OR","EQY_CONSOLIDATED=Y","Sort=A","Dates=H","DateFormat=P","Fill=—","Direction=H","UseDPDF=Y")</f>
        <v>#NAME?</v>
      </c>
      <c r="BE475" s="1" t="e">
        <f ca="1">_xll.BDH($C$453,"GEO_GROW_CASH_OPER_ACT","FQ2 2018","FQ2 2018","Currency=INR","Period=FQ","BEST_FPERIOD_OVERRIDE=FQ","FILING_STATUS=OR","EQY_CONSOLIDATED=Y","Sort=A","Dates=H","DateFormat=P","Fill=—","Direction=H","UseDPDF=Y")</f>
        <v>#NAME?</v>
      </c>
      <c r="BF475" s="1" t="e">
        <f ca="1">_xll.BDH($C$453,"REVENUE_SEQUENTIAL_GROWTH","FQ2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75" s="1" t="e">
        <f ca="1">_xll.BDH($C$453,"EBITDA_SEQUENTIAL_GROWTH","FQ2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75" s="1" t="e">
        <f ca="1">_xll.BDH($C$453,"OPERATING_INCOME_SEQ_GROWTH","FQ2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75" s="1" t="e">
        <f ca="1">_xll.BDH($C$453,"NET_INCOME_TO_COMMON_SEQ_GROWTH","FQ2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75" s="1" t="e">
        <f ca="1">_xll.BDH($C$453,"EPS_DILUTED_SEQUENTIAL_GROWTH","FQ2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75" s="1" t="e">
        <f ca="1">_xll.BDH($C$453,"DPS_SEQUENTIAL_GROWTH","FQ2 2018","FQ2 2018","Currency=INR","Period=FQ","BEST_FPERIOD_OVERRIDE=FQ","FILING_STATUS=OR","EQY_CONSOLIDATED=Y","Sort=A","Dates=H","DateFormat=P","Fill=—","Direction=H","UseDPDF=Y")</f>
        <v>#NAME?</v>
      </c>
      <c r="BL475" s="1" t="e">
        <f ca="1">_xll.BDH($C$453,"ACCOUNTS_RECEIVABLE_SEQ_GROWTH","FQ2 2018","FQ2 2018","Currency=INR","Period=FQ","BEST_FPERIOD_OVERRIDE=FQ","FILING_STATUS=OR","EQY_CONSOLIDATED=Y","Sort=A","Dates=H","DateFormat=P","Fill=—","Direction=H","UseDPDF=Y")</f>
        <v>#NAME?</v>
      </c>
      <c r="BM475" s="1" t="e">
        <f ca="1">_xll.BDH($C$453,"INVENTORY_SEQUENTIAL_GROWTH","FQ2 2018","FQ2 2018","Currency=INR","Period=FQ","BEST_FPERIOD_OVERRIDE=FQ","FILING_STATUS=OR","EQY_CONSOLIDATED=Y","Sort=A","Dates=H","DateFormat=P","Fill=—","Direction=H","UseDPDF=Y")</f>
        <v>#NAME?</v>
      </c>
      <c r="BN475" s="1" t="e">
        <f ca="1">_xll.BDH($C$453,"FIXED_ASSETS_SEQUENTIAL_GROWTH","FQ2 2018","FQ2 2018","Currency=INR","Period=FQ","BEST_FPERIOD_OVERRIDE=FQ","FILING_STATUS=OR","EQY_CONSOLIDATED=Y","Sort=A","Dates=H","DateFormat=P","Fill=—","Direction=H","UseDPDF=Y")</f>
        <v>#NAME?</v>
      </c>
      <c r="BO475" s="1" t="e">
        <f ca="1">_xll.BDH($C$453,"TOTAL_ASSETS_SEQUENTIAL_GROWTH","FQ2 2018","FQ2 2018","Currency=INR","Period=FQ","BEST_FPERIOD_OVERRIDE=FQ","FILING_STATUS=OR","EQY_CONSOLIDATED=Y","Sort=A","Dates=H","DateFormat=P","Fill=—","Direction=H","UseDPDF=Y")</f>
        <v>#NAME?</v>
      </c>
      <c r="BP475" s="1" t="e">
        <f ca="1">_xll.BDH($C$453,"MODIFIED_WORKING_CPTL_SEQ_GRWTH","FQ2 2018","FQ2 2018","Currency=INR","Period=FQ","BEST_FPERIOD_OVERRIDE=FQ","FILING_STATUS=OR","EQY_CONSOLIDATED=Y","Sort=A","Dates=H","DateFormat=P","Fill=—","Direction=H","UseDPDF=Y")</f>
        <v>#NAME?</v>
      </c>
      <c r="BQ475" s="1" t="e">
        <f ca="1">_xll.BDH($C$453,"WORKING_CAPITAL_SEQ_GROWTH","FQ2 2018","FQ2 2018","Currency=INR","Period=FQ","BEST_FPERIOD_OVERRIDE=FQ","FILING_STATUS=OR","EQY_CONSOLIDATED=Y","Sort=A","Dates=H","DateFormat=P","Fill=—","Direction=H","UseDPDF=Y")</f>
        <v>#NAME?</v>
      </c>
      <c r="BR475" s="1" t="e">
        <f ca="1">_xll.BDH($C$453,"ACCOUNTS_PAYABLE_SEQ_GROWTH","FQ2 2018","FQ2 2018","Currency=INR","Period=FQ","BEST_FPERIOD_OVERRIDE=FQ","FILING_STATUS=OR","EQY_CONSOLIDATED=Y","Sort=A","Dates=H","DateFormat=P","Fill=—","Direction=H","UseDPDF=Y")</f>
        <v>#NAME?</v>
      </c>
      <c r="BS475" s="1" t="e">
        <f ca="1">_xll.BDH($C$453,"ST_DEBT_SEQUENTIAL_GROWTH","FQ2 2018","FQ2 2018","Currency=INR","Period=FQ","BEST_FPERIOD_OVERRIDE=FQ","FILING_STATUS=OR","EQY_CONSOLIDATED=Y","Sort=A","Dates=H","DateFormat=P","Fill=—","Direction=H","UseDPDF=Y")</f>
        <v>#NAME?</v>
      </c>
      <c r="BT475" s="1" t="e">
        <f ca="1">_xll.BDH($C$453,"TOTAL_DEBT_SEQUENTIAL_GROWTH","FQ2 2018","FQ2 2018","Currency=INR","Period=FQ","BEST_FPERIOD_OVERRIDE=FQ","FILING_STATUS=OR","EQY_CONSOLIDATED=Y","Sort=A","Dates=H","DateFormat=P","Fill=—","Direction=H","UseDPDF=Y")</f>
        <v>#NAME?</v>
      </c>
      <c r="BU475" s="1" t="e">
        <f ca="1">_xll.BDH($C$453,"TOTAL_EQUITY_SEQUENTIAL_GROWTH","FQ2 2018","FQ2 2018","Currency=INR","Period=FQ","BEST_FPERIOD_OVERRIDE=FQ","FILING_STATUS=OR","EQY_CONSOLIDATED=Y","Sort=A","Dates=H","DateFormat=P","Fill=—","Direction=H","UseDPDF=Y")</f>
        <v>#NAME?</v>
      </c>
      <c r="BV475" s="1" t="e">
        <f ca="1">_xll.BDH($C$453,"TOTAL_CAPITAL_SEQUENTIAL_GROWTH","FQ2 2018","FQ2 2018","Currency=INR","Period=FQ","BEST_FPERIOD_OVERRIDE=FQ","FILING_STATUS=OR","EQY_CONSOLIDATED=Y","Sort=A","Dates=H","DateFormat=P","Fill=—","Direction=H","UseDPDF=Y")</f>
        <v>#NAME?</v>
      </c>
      <c r="BW475" s="1" t="e">
        <f ca="1">_xll.BDH($C$453,"BPS_SEQUENTIAL_GROWTH","FQ2 2018","FQ2 2018","Currency=INR","Period=FQ","BEST_FPERIOD_OVERRIDE=FQ","FILING_STATUS=OR","EQY_CONSOLIDATED=Y","Sort=A","Dates=H","DateFormat=P","Fill=—","Direction=H","UseDPDF=Y")</f>
        <v>#NAME?</v>
      </c>
      <c r="BX475" s="1" t="e">
        <f ca="1">_xll.BDH($C$453,"CFO_SEQUENTIAL_GROWTH","FQ2 2018","FQ2 2018","Currency=INR","Period=FQ","BEST_FPERIOD_OVERRIDE=FQ","FILING_STATUS=OR","EQY_CONSOLIDATED=Y","Sort=A","Dates=H","DateFormat=P","Fill=—","Direction=H","UseDPDF=Y")</f>
        <v>#NAME?</v>
      </c>
      <c r="BY475" s="2" t="e">
        <f ca="1">_xll.BDH($C$453,"SHORT_AND_LONG_TERM_DEBT","FQ2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75" s="2" t="e">
        <f ca="1">_xll.BDH($C$453,"BS_ST_BORROW","FQ2 2018","FQ2 2018","Currency=INR","Period=FQ","BEST_FPERIOD_OVERRIDE=FQ","FILING_STATUS=OR","EQY_CONSOLIDATED=Y","SCALING_FORMAT=MLN","Sort=A","Dates=H","DateFormat=P","Fill=—","Direction=H","UseDPDF=Y")</f>
        <v>#NAME?</v>
      </c>
      <c r="CA475" s="2" t="e">
        <f ca="1">_xll.BDH($C$453,"BS_LT_BORROW","FQ2 2018","FQ2 2018","Currency=INR","Period=FQ","BEST_FPERIOD_OVERRIDE=FQ","FILING_STATUS=OR","EQY_CONSOLIDATED=Y","SCALING_FORMAT=MLN","Sort=A","Dates=H","DateFormat=P","Fill=—","Direction=H","UseDPDF=Y")</f>
        <v>#NAME?</v>
      </c>
      <c r="CB475" s="1" t="e">
        <f ca="1">_xll.BDH($C$453,"TOT_DEBT_TO_EBITDA","FQ2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75" s="1" t="e">
        <f ca="1">_xll.BDH($C$453,"NET_DEBT_TO_EBITDA","FQ2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75" s="1" t="e">
        <f ca="1">_xll.BDH($C$453,"TOTAL_DEBT_TO_EBIT","FQ2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75" s="1" t="e">
        <f ca="1">_xll.BDH($C$453,"NET_DEBT_TO_EBIT","FQ2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475" s="1" t="e">
        <f ca="1">_xll.BDH($C$453,"EBITDA_TO_INTEREST_EXPN","FQ2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75" s="1" t="e">
        <f ca="1">_xll.BDH($C$453,"COM_EQY_TO_TOT_ASSET","FQ2 2018","FQ2 2018","Currency=INR","Period=FQ","BEST_FPERIOD_OVERRIDE=FQ","FILING_STATUS=OR","EQY_CONSOLIDATED=Y","Sort=A","Dates=H","DateFormat=P","Fill=—","Direction=H","UseDPDF=Y")</f>
        <v>#NAME?</v>
      </c>
      <c r="CH475" s="1" t="e">
        <f ca="1">_xll.BDH($C$453,"LT_DEBT_TO_TOT_EQY","FQ2 2018","FQ2 2018","Currency=INR","Period=FQ","BEST_FPERIOD_OVERRIDE=FQ","FILING_STATUS=OR","EQY_CONSOLIDATED=Y","Sort=A","Dates=H","DateFormat=P","Fill=—","Direction=H","UseDPDF=Y")</f>
        <v>#NAME?</v>
      </c>
      <c r="CI475" s="1" t="e">
        <f ca="1">_xll.BDH($C$453,"LT_DEBT_TO_TOT_CAP","FQ2 2018","FQ2 2018","Currency=INR","Period=FQ","BEST_FPERIOD_OVERRIDE=FQ","FILING_STATUS=OR","EQY_CONSOLIDATED=Y","Sort=A","Dates=H","DateFormat=P","Fill=—","Direction=H","UseDPDF=Y")</f>
        <v>#NAME?</v>
      </c>
      <c r="CJ475" s="1" t="e">
        <f ca="1">_xll.BDH($C$453,"LT_DEBT_TO_TOT_ASSET","FQ2 2018","FQ2 2018","Currency=INR","Period=FQ","BEST_FPERIOD_OVERRIDE=FQ","FILING_STATUS=OR","EQY_CONSOLIDATED=Y","Sort=A","Dates=H","DateFormat=P","Fill=—","Direction=H","UseDPDF=Y")</f>
        <v>#NAME?</v>
      </c>
      <c r="CK475" s="1" t="e">
        <f ca="1">_xll.BDH($C$453,"TOT_DEBT_TO_TOT_EQY","FQ2 2018","FQ2 2018","Currency=INR","Period=FQ","BEST_FPERIOD_OVERRIDE=FQ","FILING_STATUS=OR","EQY_CONSOLIDATED=Y","Sort=A","Dates=H","DateFormat=P","Fill=—","Direction=H","UseDPDF=Y")</f>
        <v>#NAME?</v>
      </c>
      <c r="CL475" s="1" t="e">
        <f ca="1">_xll.BDH($C$453,"TOT_DEBT_TO_TOT_CAP","FQ2 2018","FQ2 2018","Currency=INR","Period=FQ","BEST_FPERIOD_OVERRIDE=FQ","FILING_STATUS=OR","EQY_CONSOLIDATED=Y","Sort=A","Dates=H","DateFormat=P","Fill=—","Direction=H","UseDPDF=Y")</f>
        <v>#NAME?</v>
      </c>
      <c r="CM475" s="1" t="e">
        <f ca="1">_xll.BDH($C$453,"TOT_DEBT_TO_TOT_ASSET","FQ2 2018","FQ2 2018","Currency=INR","Period=FQ","BEST_FPERIOD_OVERRIDE=FQ","FILING_STATUS=OR","EQY_CONSOLIDATED=Y","Sort=A","Dates=H","DateFormat=P","Fill=—","Direction=H","UseDPDF=Y")</f>
        <v>#NAME?</v>
      </c>
      <c r="CN475" s="1" t="e">
        <f ca="1">_xll.BDH($C$453,"NET_DEBT_TO_SHRHLDR_EQTY","FQ2 2018","FQ2 2018","Currency=INR","Period=FQ","BEST_FPERIOD_OVERRIDE=FQ","FILING_STATUS=OR","EQY_CONSOLIDATED=Y","Sort=A","Dates=H","DateFormat=P","Fill=—","Direction=H","UseDPDF=Y")</f>
        <v>#NAME?</v>
      </c>
      <c r="CO475" s="1" t="e">
        <f ca="1">_xll.BDH($C$453,"NET_DEBT_%_CAPITAL","FQ2 2018","FQ2 2018","Currency=INR","Period=FQ","BEST_FPERIOD_OVERRIDE=FQ","FILING_STATUS=OR","EQY_CONSOLIDATED=Y","Sort=A","Dates=H","DateFormat=P","Fill=—","Direction=H","UseDPDF=Y")</f>
        <v>#NAME?</v>
      </c>
      <c r="CP475" s="2" t="e">
        <f ca="1">_xll.BDH($C$453,"EBITDA","FQ2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75" s="2" t="e">
        <f ca="1">_xll.BDH($C$453,"EBITDA_AFTER_CAPEX","FQ2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75" s="2" t="e">
        <f ca="1">_xll.BDH($C$453,"IS_OPER_INC","FQ2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75" s="1" t="e">
        <f ca="1">_xll.BDH($C$453,"CASH_RATIO","FQ2 2018","FQ2 2018","Currency=INR","Period=FQ","BEST_FPERIOD_OVERRIDE=FQ","FILING_STATUS=OR","EQY_CONSOLIDATED=Y","Sort=A","Dates=H","DateFormat=P","Fill=—","Direction=H","UseDPDF=Y")</f>
        <v>#NAME?</v>
      </c>
      <c r="CT475" s="1" t="e">
        <f ca="1">_xll.BDH($C$453,"CUR_RATIO","FQ2 2018","FQ2 2018","Currency=INR","Period=FQ","BEST_FPERIOD_OVERRIDE=FQ","FILING_STATUS=OR","EQY_CONSOLIDATED=Y","Sort=A","Dates=H","DateFormat=P","Fill=—","Direction=H","UseDPDF=Y")</f>
        <v>#NAME?</v>
      </c>
      <c r="CU475" s="1" t="e">
        <f ca="1">_xll.BDH($C$453,"QUICK_RATIO","FQ2 2018","FQ2 2018","Currency=INR","Period=FQ","BEST_FPERIOD_OVERRIDE=FQ","FILING_STATUS=OR","EQY_CONSOLIDATED=Y","Sort=A","Dates=H","DateFormat=P","Fill=—","Direction=H","UseDPDF=Y")</f>
        <v>#NAME?</v>
      </c>
      <c r="CV475" s="1" t="e">
        <f ca="1">_xll.BDH($C$453,"ALTMAN_Z_SCORE","FQ2 2018","FQ2 2018","Currency=INR","Period=FQ","BEST_FPERIOD_OVERRIDE=FQ","FILING_STATUS=OR","EQY_CONSOLIDATED=Y","Sort=A","Dates=H","DateFormat=P","Fill=—","Direction=H","UseDPDF=Y")</f>
        <v>#NAME?</v>
      </c>
      <c r="CW475" s="3" t="e">
        <f ca="1">_xll.BDH($C$453,"ACCT_RCV_TURN","FQ2 2018","FQ2 2018","Currency=INR","Period=FQ","BEST_FPERIOD_OVERRIDE=FQ","FILING_STATUS=OR","EQY_CONSOLIDATED=Y","FA_ADJUSTED=GAAP","Sort=A","Dates=H","DateFormat=P","Fill=—","Direction=H","UseDPDF=Y")</f>
        <v>#NAME?</v>
      </c>
      <c r="CX475" s="1" t="e">
        <f ca="1">_xll.BDH($C$453,"ACCT_RCV_DAYS","FQ2 2018","FQ2 2018","Currency=INR","Period=FQ","BEST_FPERIOD_OVERRIDE=FQ","FILING_STATUS=OR","EQY_CONSOLIDATED=Y","FA_ADJUSTED=GAAP","Sort=A","Dates=H","DateFormat=P","Fill=—","Direction=H","UseDPDF=Y")</f>
        <v>#NAME?</v>
      </c>
      <c r="CY475" s="3" t="e">
        <f ca="1">_xll.BDH($C$453,"INVENT_TURN","FQ2 2018","FQ2 2018","Currency=INR","Period=FQ","BEST_FPERIOD_OVERRIDE=FQ","FILING_STATUS=OR","EQY_CONSOLIDATED=Y","FA_ADJUSTED=GAAP","Sort=A","Dates=H","DateFormat=P","Fill=—","Direction=H","UseDPDF=Y")</f>
        <v>#NAME?</v>
      </c>
      <c r="CZ475" s="1" t="e">
        <f ca="1">_xll.BDH($C$453,"INVENT_DAYS","FQ2 2018","FQ2 2018","Currency=INR","Period=FQ","BEST_FPERIOD_OVERRIDE=FQ","FILING_STATUS=OR","EQY_CONSOLIDATED=Y","FA_ADJUSTED=GAAP","Sort=A","Dates=H","DateFormat=P","Fill=—","Direction=H","UseDPDF=Y")</f>
        <v>#NAME?</v>
      </c>
      <c r="DA475" s="3" t="e">
        <f ca="1">_xll.BDH($C$453,"ACCOUNTS_PAYABLE_TURNOVER","FQ2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75" s="1" t="e">
        <f ca="1">_xll.BDH($C$453,"ACCOUNTS_PAYABLE_TURNOVER_DAYS","FQ2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75" s="3" t="e">
        <f ca="1">_xll.BDH($C$453,"CASH_CONVERSION_CYCLE","FQ2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75" s="3" t="e">
        <f ca="1">_xll.BDH($C$453,"INV_TO_CASH_DAYS","FQ2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475" s="4" t="e">
        <f ca="1">_xll.BDH($C$453,"BS_INVENTORIES","FQ2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475" s="2" t="e">
        <f ca="1">_xll.BDH($C$453,"INVTRY_RAW_MATERIALS","FQ2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75" s="2" t="e">
        <f ca="1">_xll.BDH($C$453,"INVTRY_IN_PROGRESS","FQ2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75" s="2" t="e">
        <f ca="1">_xll.BDH($C$453,"INVTRY_FINISHED_GOODS","FQ2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75" s="2" t="e">
        <f ca="1">_xll.BDH($C$453,"BS_OTHER_INV","FQ2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76" spans="1:113" x14ac:dyDescent="0.3">
      <c r="A476" s="6"/>
      <c r="B476" s="6"/>
      <c r="C476" s="6"/>
      <c r="D476" s="6"/>
      <c r="E476" t="s">
        <v>6</v>
      </c>
      <c r="F476" t="e">
        <f ca="1">_xll.BDH($C$453,"RETURN_COM_EQY","FQ3 2018","FQ3 2018","Currency=INR","Period=FQ","BEST_FPERIOD_OVERRIDE=FQ","FILING_STATUS=OR","EQY_CONSOLIDATED=Y","FA_ADJUSTED=GAAP","Sort=A","Dates=H","DateFormat=P","Fill=—","Direction=H","UseDPDF=Y")</f>
        <v>#NAME?</v>
      </c>
      <c r="G476" t="e">
        <f ca="1">_xll.BDH($C$453,"RETURN_ON_ASSET","FQ3 2018","FQ3 2018","Currency=INR","Period=FQ","BEST_FPERIOD_OVERRIDE=FQ","FILING_STATUS=OR","EQY_CONSOLIDATED=Y","FA_ADJUSTED=GAAP","Sort=A","Dates=H","DateFormat=P","Fill=—","Direction=H","UseDPDF=Y")</f>
        <v>#NAME?</v>
      </c>
      <c r="H476" t="e">
        <f ca="1">_xll.BDH($C$453,"RETURN_ON_CAP","FQ3 2018","FQ3 2018","Currency=INR","Period=FQ","BEST_FPERIOD_OVERRIDE=FQ","FILING_STATUS=OR","EQY_CONSOLIDATED=Y","FA_ADJUSTED=GAAP","Sort=A","Dates=H","DateFormat=P","Fill=—","Direction=H","UseDPDF=Y")</f>
        <v>#NAME?</v>
      </c>
      <c r="I476" t="e">
        <f ca="1">_xll.BDH($C$453,"RETURN_ON_INV_CAPITAL","FQ3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76" t="e">
        <f ca="1">_xll.BDH($C$453,"EBITDA_TO_REVENUE","FQ3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476" t="e">
        <f ca="1">_xll.BDH($C$453,"OPER_MARGIN","FQ3 2018","FQ3 2018","Currency=INR","Period=FQ","BEST_FPERIOD_OVERRIDE=FQ","FILING_STATUS=OR","EQY_CONSOLIDATED=Y","FA_ADJUSTED=GAAP","Sort=A","Dates=H","DateFormat=P","Fill=—","Direction=H","UseDPDF=Y")</f>
        <v>#NAME?</v>
      </c>
      <c r="L476" t="e">
        <f ca="1">_xll.BDH($C$453,"INCREMENTAL_OPERATING_MARGIN","FQ3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76" t="e">
        <f ca="1">_xll.BDH($C$453,"PRETAX_INC_TO_NET_SALES","FQ3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76" t="e">
        <f ca="1">_xll.BDH($C$453,"INC_BEF_XO_ITEMS_TO_NET_SALES","FQ3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76" t="e">
        <f ca="1">_xll.BDH($C$453,"PROF_MARGIN","FQ3 2018","FQ3 2018","Currency=INR","Period=FQ","BEST_FPERIOD_OVERRIDE=FQ","FILING_STATUS=OR","EQY_CONSOLIDATED=Y","FA_ADJUSTED=GAAP","Sort=A","Dates=H","DateFormat=P","Fill=—","Direction=H","UseDPDF=Y")</f>
        <v>#NAME?</v>
      </c>
      <c r="P476" t="e">
        <f ca="1">_xll.BDH($C$453,"NET_INCOME_TO_COMMON_MARGIN","FQ3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76" t="e">
        <f ca="1">_xll.BDH($C$453,"EFF_TAX_RATE","FQ3 2018","FQ3 2018","Currency=INR","Period=FQ","BEST_FPERIOD_OVERRIDE=FQ","FILING_STATUS=OR","EQY_CONSOLIDATED=Y","FA_ADJUSTED=GAAP","Sort=A","Dates=H","DateFormat=P","Fill=—","Direction=H","UseDPDF=Y")</f>
        <v>#NAME?</v>
      </c>
      <c r="R476" t="e">
        <f ca="1">_xll.BDH($C$453,"DVD_PAYOUT_RATIO","FQ3 2018","FQ3 2018","Currency=INR","Period=FQ","BEST_FPERIOD_OVERRIDE=FQ","FILING_STATUS=OR","EQY_CONSOLIDATED=Y","FA_ADJUSTED=GAAP","Sort=A","Dates=H","DateFormat=P","Fill=—","Direction=H","UseDPDF=Y")</f>
        <v>#NAME?</v>
      </c>
      <c r="S476" t="e">
        <f ca="1">_xll.BDH($C$453,"SUSTAIN_GROWTH_RT","FQ3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476" s="1" t="e">
        <f ca="1">_xll.BDH($C$453,"SALES_GROWTH","FQ3 2018","FQ3 2018","Currency=INR","Period=FQ","BEST_FPERIOD_OVERRIDE=FQ","FILING_STATUS=OR","EQY_CONSOLIDATED=Y","FA_ADJUSTED=GAAP","Sort=A","Dates=H","DateFormat=P","Fill=—","Direction=H","UseDPDF=Y")</f>
        <v>#NAME?</v>
      </c>
      <c r="U476" s="1" t="e">
        <f ca="1">_xll.BDH($C$453,"EBITDA_GROWTH","FQ3 2018","FQ3 2018","Currency=INR","Period=FQ","BEST_FPERIOD_OVERRIDE=FQ","FILING_STATUS=OR","EQY_CONSOLIDATED=Y","FA_ADJUSTED=GAAP","Sort=A","Dates=H","DateFormat=P","Fill=—","Direction=H","UseDPDF=Y")</f>
        <v>#NAME?</v>
      </c>
      <c r="V476" s="1" t="e">
        <f ca="1">_xll.BDH($C$453,"OPER_INC_GROWTH","FQ3 2018","FQ3 2018","Currency=INR","Period=FQ","BEST_FPERIOD_OVERRIDE=FQ","FILING_STATUS=OR","EQY_CONSOLIDATED=Y","FA_ADJUSTED=GAAP","Sort=A","Dates=H","DateFormat=P","Fill=—","Direction=H","UseDPDF=Y")</f>
        <v>#NAME?</v>
      </c>
      <c r="W476" s="1" t="e">
        <f ca="1">_xll.BDH($C$453,"EARN_FOR_COM_GROWTH","FQ3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76" s="1" t="e">
        <f ca="1">_xll.BDH($C$453,"DILUTED_EPS_AFT_XO_ITEMS_GROWTH","FQ3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76" s="1" t="e">
        <f ca="1">_xll.BDH($C$453,"DIVIDEND_PER_SHARE_1_YEAR_GROWTH","FQ3 2018","FQ3 2018","Currency=INR","Period=FQ","BEST_FPERIOD_OVERRIDE=FQ","FILING_STATUS=OR","EQY_CONSOLIDATED=Y","Sort=A","Dates=H","DateFormat=P","Fill=—","Direction=H","UseDPDF=Y")</f>
        <v>#NAME?</v>
      </c>
      <c r="Z476" s="1" t="e">
        <f ca="1">_xll.BDH($C$453,"ACCOUNTS_RECEIVABLE_GROWTH","FQ3 2018","FQ3 2018","Currency=INR","Period=FQ","BEST_FPERIOD_OVERRIDE=FQ","FILING_STATUS=OR","EQY_CONSOLIDATED=Y","Sort=A","Dates=H","DateFormat=P","Fill=—","Direction=H","UseDPDF=Y")</f>
        <v>#NAME?</v>
      </c>
      <c r="AA476" s="1" t="e">
        <f ca="1">_xll.BDH($C$453,"INVENTORY_GROWTH","FQ3 2018","FQ3 2018","Currency=INR","Period=FQ","BEST_FPERIOD_OVERRIDE=FQ","FILING_STATUS=OR","EQY_CONSOLIDATED=Y","Sort=A","Dates=H","DateFormat=P","Fill=—","Direction=H","UseDPDF=Y")</f>
        <v>#NAME?</v>
      </c>
      <c r="AB476" s="1" t="e">
        <f ca="1">_xll.BDH($C$453,"NET_FIXED_ASSETS_1_YEAR_GROWTH","FQ3 2018","FQ3 2018","Currency=INR","Period=FQ","BEST_FPERIOD_OVERRIDE=FQ","FILING_STATUS=OR","EQY_CONSOLIDATED=Y","Sort=A","Dates=H","DateFormat=P","Fill=—","Direction=H","UseDPDF=Y")</f>
        <v>#NAME?</v>
      </c>
      <c r="AC476" s="1" t="e">
        <f ca="1">_xll.BDH($C$453,"ASSET_GROWTH","FQ3 2018","FQ3 2018","Currency=INR","Period=FQ","BEST_FPERIOD_OVERRIDE=FQ","FILING_STATUS=OR","EQY_CONSOLIDATED=Y","Sort=A","Dates=H","DateFormat=P","Fill=—","Direction=H","UseDPDF=Y")</f>
        <v>#NAME?</v>
      </c>
      <c r="AD476" s="1" t="e">
        <f ca="1">_xll.BDH($C$453,"MODIFIED_WORK_CAP_GROWTH","FQ3 2018","FQ3 2018","Currency=INR","Period=FQ","BEST_FPERIOD_OVERRIDE=FQ","FILING_STATUS=OR","EQY_CONSOLIDATED=Y","Sort=A","Dates=H","DateFormat=P","Fill=—","Direction=H","UseDPDF=Y")</f>
        <v>#NAME?</v>
      </c>
      <c r="AE476" s="1" t="e">
        <f ca="1">_xll.BDH($C$453,"WORK_CAP_GROWTH","FQ3 2018","FQ3 2018","Currency=INR","Period=FQ","BEST_FPERIOD_OVERRIDE=FQ","FILING_STATUS=OR","EQY_CONSOLIDATED=Y","Sort=A","Dates=H","DateFormat=P","Fill=—","Direction=H","UseDPDF=Y")</f>
        <v>#NAME?</v>
      </c>
      <c r="AF476" s="1" t="e">
        <f ca="1">_xll.BDH($C$453,"ACCOUNTS_PAYABLE_GROWTH_1YR","FQ3 2018","FQ3 2018","Currency=INR","Period=FQ","BEST_FPERIOD_OVERRIDE=FQ","FILING_STATUS=OR","EQY_CONSOLIDATED=Y","Sort=A","Dates=H","DateFormat=P","Fill=—","Direction=H","UseDPDF=Y")</f>
        <v>#NAME?</v>
      </c>
      <c r="AG476" s="1" t="e">
        <f ca="1">_xll.BDH($C$453,"SHORT_TERM_DEBT_1_YEAR_GROWTH","FQ3 2018","FQ3 2018","Currency=INR","Period=FQ","BEST_FPERIOD_OVERRIDE=FQ","FILING_STATUS=OR","EQY_CONSOLIDATED=Y","Sort=A","Dates=H","DateFormat=P","Fill=—","Direction=H","UseDPDF=Y")</f>
        <v>#NAME?</v>
      </c>
      <c r="AH476" s="1" t="e">
        <f ca="1">_xll.BDH($C$453,"TOTAL_DEBT_1_YEAR_GROWTH","FQ3 2018","FQ3 2018","Currency=INR","Period=FQ","BEST_FPERIOD_OVERRIDE=FQ","FILING_STATUS=OR","EQY_CONSOLIDATED=Y","Sort=A","Dates=H","DateFormat=P","Fill=—","Direction=H","UseDPDF=Y")</f>
        <v>#NAME?</v>
      </c>
      <c r="AI476" s="1" t="e">
        <f ca="1">_xll.BDH($C$453,"TOTAL_EQUITY_1_YEAR_GROWTH","FQ3 2018","FQ3 2018","Currency=INR","Period=FQ","BEST_FPERIOD_OVERRIDE=FQ","FILING_STATUS=OR","EQY_CONSOLIDATED=Y","Sort=A","Dates=H","DateFormat=P","Fill=—","Direction=H","UseDPDF=Y")</f>
        <v>#NAME?</v>
      </c>
      <c r="AJ476" s="1" t="e">
        <f ca="1">_xll.BDH($C$453,"GROWTH_IN_CAP","FQ3 2018","FQ3 2018","Currency=INR","Period=FQ","BEST_FPERIOD_OVERRIDE=FQ","FILING_STATUS=OR","EQY_CONSOLIDATED=Y","Sort=A","Dates=H","DateFormat=P","Fill=—","Direction=H","UseDPDF=Y")</f>
        <v>#NAME?</v>
      </c>
      <c r="AK476" s="1" t="e">
        <f ca="1">_xll.BDH($C$453,"BVPS_GROWTH","FQ3 2018","FQ3 2018","Currency=INR","Period=FQ","BEST_FPERIOD_OVERRIDE=FQ","FILING_STATUS=OR","EQY_CONSOLIDATED=Y","Sort=A","Dates=H","DateFormat=P","Fill=—","Direction=H","UseDPDF=Y")</f>
        <v>#NAME?</v>
      </c>
      <c r="AL476" s="1" t="e">
        <f ca="1">_xll.BDH($C$453,"CASH_FLOW_GROWTH","FQ3 2018","FQ3 2018","Currency=INR","Period=FQ","BEST_FPERIOD_OVERRIDE=FQ","FILING_STATUS=OR","EQY_CONSOLIDATED=Y","Sort=A","Dates=H","DateFormat=P","Fill=—","Direction=H","UseDPDF=Y")</f>
        <v>#NAME?</v>
      </c>
      <c r="AM476" s="1" t="e">
        <f ca="1">_xll.BDH($C$453,"GEO_GROW_NET_SALES","FQ3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76" s="1" t="e">
        <f ca="1">_xll.BDH($C$453,"GEO_GROW_EBITDA","FQ3 2018","FQ3 2018","Currency=INR","Period=FQ","BEST_FPERIOD_OVERRIDE=FQ","FILING_STATUS=OR","EQY_CONSOLIDATED=Y","FA_ADJUSTED=GAAP","Sort=A","Dates=H","DateFormat=P","Fill=—","Direction=H","UseDPDF=Y")</f>
        <v>#NAME?</v>
      </c>
      <c r="AO476" s="1" t="e">
        <f ca="1">_xll.BDH($C$453,"GEO_GROW_OPER_INC","FQ3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76" s="1" t="e">
        <f ca="1">_xll.BDH($C$453,"NET_INCOME_TO_COMMON_5_YR_GROWTH","FQ3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76" s="1" t="e">
        <f ca="1">_xll.BDH($C$453,"5Y_GEO_GROWTH_DILUTED_EPS","FQ3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76" s="1" t="e">
        <f ca="1">_xll.BDH($C$453,"GEO_GROW_DVD_PER_SH","FQ3 2018","FQ3 2018","Currency=INR","Period=FQ","BEST_FPERIOD_OVERRIDE=FQ","FILING_STATUS=OR","EQY_CONSOLIDATED=Y","Sort=A","Dates=H","DateFormat=P","Fill=—","Direction=H","UseDPDF=Y")</f>
        <v>#NAME?</v>
      </c>
      <c r="AS476" s="1" t="e">
        <f ca="1">_xll.BDH($C$453,"ACCOUNTS_RECEIVABLE_5_YR_GROWTH","FQ3 2018","FQ3 2018","Currency=INR","Period=FQ","BEST_FPERIOD_OVERRIDE=FQ","FILING_STATUS=OR","EQY_CONSOLIDATED=Y","Sort=A","Dates=H","DateFormat=P","Fill=—","Direction=H","UseDPDF=Y")</f>
        <v>#NAME?</v>
      </c>
      <c r="AT476" s="1" t="e">
        <f ca="1">_xll.BDH($C$453,"INVENTORY_5_YEAR_GROWTH","FQ3 2018","FQ3 2018","Currency=INR","Period=FQ","BEST_FPERIOD_OVERRIDE=FQ","FILING_STATUS=OR","EQY_CONSOLIDATED=Y","Sort=A","Dates=H","DateFormat=P","Fill=—","Direction=H","UseDPDF=Y")</f>
        <v>#NAME?</v>
      </c>
      <c r="AU476" s="1" t="e">
        <f ca="1">_xll.BDH($C$453,"NET_FIXED_ASSETS_5_YEAR_GROWTH","FQ3 2018","FQ3 2018","Currency=INR","Period=FQ","BEST_FPERIOD_OVERRIDE=FQ","FILING_STATUS=OR","EQY_CONSOLIDATED=Y","Sort=A","Dates=H","DateFormat=P","Fill=—","Direction=H","UseDPDF=Y")</f>
        <v>#NAME?</v>
      </c>
      <c r="AV476" s="1" t="e">
        <f ca="1">_xll.BDH($C$453,"GEO_GROW_TOT_ASSET","FQ3 2018","FQ3 2018","Currency=INR","Period=FQ","BEST_FPERIOD_OVERRIDE=FQ","FILING_STATUS=OR","EQY_CONSOLIDATED=Y","Sort=A","Dates=H","DateFormat=P","Fill=—","Direction=H","UseDPDF=Y")</f>
        <v>#NAME?</v>
      </c>
      <c r="AW476" s="1" t="e">
        <f ca="1">_xll.BDH($C$453,"MODIFIED_WORKING_CPTL_5YR_GRWTH","FQ3 2018","FQ3 2018","Currency=INR","Period=FQ","BEST_FPERIOD_OVERRIDE=FQ","FILING_STATUS=OR","EQY_CONSOLIDATED=Y","Sort=A","Dates=H","DateFormat=P","Fill=—","Direction=H","UseDPDF=Y")</f>
        <v>#NAME?</v>
      </c>
      <c r="AX476" s="1" t="e">
        <f ca="1">_xll.BDH($C$453,"WORKING_CAPITAL_5_YEAR_GROWTH","FQ3 2018","FQ3 2018","Currency=INR","Period=FQ","BEST_FPERIOD_OVERRIDE=FQ","FILING_STATUS=OR","EQY_CONSOLIDATED=Y","Sort=A","Dates=H","DateFormat=P","Fill=—","Direction=H","UseDPDF=Y")</f>
        <v>#NAME?</v>
      </c>
      <c r="AY476" s="1" t="e">
        <f ca="1">_xll.BDH($C$453,"ACCOUNTS_PAYABLE_5_YEAR_GROWTH","FQ3 2018","FQ3 2018","Currency=INR","Period=FQ","BEST_FPERIOD_OVERRIDE=FQ","FILING_STATUS=OR","EQY_CONSOLIDATED=Y","Sort=A","Dates=H","DateFormat=P","Fill=—","Direction=H","UseDPDF=Y")</f>
        <v>#NAME?</v>
      </c>
      <c r="AZ476" s="1" t="e">
        <f ca="1">_xll.BDH($C$453,"SHORT_TERM_DEBT_5_YEAR_GROWTH","FQ3 2018","FQ3 2018","Currency=INR","Period=FQ","BEST_FPERIOD_OVERRIDE=FQ","FILING_STATUS=OR","EQY_CONSOLIDATED=Y","Sort=A","Dates=H","DateFormat=P","Fill=—","Direction=H","UseDPDF=Y")</f>
        <v>#NAME?</v>
      </c>
      <c r="BA476" s="1" t="e">
        <f ca="1">_xll.BDH($C$453,"TOTAL_DEBT_5_YEAR_GROWTH","FQ3 2018","FQ3 2018","Currency=INR","Period=FQ","BEST_FPERIOD_OVERRIDE=FQ","FILING_STATUS=OR","EQY_CONSOLIDATED=Y","Sort=A","Dates=H","DateFormat=P","Fill=—","Direction=H","UseDPDF=Y")</f>
        <v>#NAME?</v>
      </c>
      <c r="BB476" s="1" t="e">
        <f ca="1">_xll.BDH($C$453,"GEO_GROW_TOT_SHRHLDR_EQY","FQ3 2018","FQ3 2018","Currency=INR","Period=FQ","BEST_FPERIOD_OVERRIDE=FQ","FILING_STATUS=OR","EQY_CONSOLIDATED=Y","Sort=A","Dates=H","DateFormat=P","Fill=—","Direction=H","UseDPDF=Y")</f>
        <v>#NAME?</v>
      </c>
      <c r="BC476" s="1" t="e">
        <f ca="1">_xll.BDH($C$453,"TOTAL_CAPITAL_5_YEAR_GROWTH","FQ3 2018","FQ3 2018","Currency=INR","Period=FQ","BEST_FPERIOD_OVERRIDE=FQ","FILING_STATUS=OR","EQY_CONSOLIDATED=Y","Sort=A","Dates=H","DateFormat=P","Fill=—","Direction=H","UseDPDF=Y")</f>
        <v>#NAME?</v>
      </c>
      <c r="BD476" s="1" t="e">
        <f ca="1">_xll.BDH($C$453,"GEO_GROW_BOOK_VAL","FQ3 2018","FQ3 2018","Currency=INR","Period=FQ","BEST_FPERIOD_OVERRIDE=FQ","FILING_STATUS=OR","EQY_CONSOLIDATED=Y","Sort=A","Dates=H","DateFormat=P","Fill=—","Direction=H","UseDPDF=Y")</f>
        <v>#NAME?</v>
      </c>
      <c r="BE476" s="1" t="e">
        <f ca="1">_xll.BDH($C$453,"GEO_GROW_CASH_OPER_ACT","FQ3 2018","FQ3 2018","Currency=INR","Period=FQ","BEST_FPERIOD_OVERRIDE=FQ","FILING_STATUS=OR","EQY_CONSOLIDATED=Y","Sort=A","Dates=H","DateFormat=P","Fill=—","Direction=H","UseDPDF=Y")</f>
        <v>#NAME?</v>
      </c>
      <c r="BF476" s="1" t="e">
        <f ca="1">_xll.BDH($C$453,"REVENUE_SEQUENTIAL_GROWTH","FQ3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76" s="1" t="e">
        <f ca="1">_xll.BDH($C$453,"EBITDA_SEQUENTIAL_GROWTH","FQ3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76" s="1" t="e">
        <f ca="1">_xll.BDH($C$453,"OPERATING_INCOME_SEQ_GROWTH","FQ3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76" s="1" t="e">
        <f ca="1">_xll.BDH($C$453,"NET_INCOME_TO_COMMON_SEQ_GROWTH","FQ3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76" s="1" t="e">
        <f ca="1">_xll.BDH($C$453,"EPS_DILUTED_SEQUENTIAL_GROWTH","FQ3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76" s="1" t="e">
        <f ca="1">_xll.BDH($C$453,"DPS_SEQUENTIAL_GROWTH","FQ3 2018","FQ3 2018","Currency=INR","Period=FQ","BEST_FPERIOD_OVERRIDE=FQ","FILING_STATUS=OR","EQY_CONSOLIDATED=Y","Sort=A","Dates=H","DateFormat=P","Fill=—","Direction=H","UseDPDF=Y")</f>
        <v>#NAME?</v>
      </c>
      <c r="BL476" s="1" t="e">
        <f ca="1">_xll.BDH($C$453,"ACCOUNTS_RECEIVABLE_SEQ_GROWTH","FQ3 2018","FQ3 2018","Currency=INR","Period=FQ","BEST_FPERIOD_OVERRIDE=FQ","FILING_STATUS=OR","EQY_CONSOLIDATED=Y","Sort=A","Dates=H","DateFormat=P","Fill=—","Direction=H","UseDPDF=Y")</f>
        <v>#NAME?</v>
      </c>
      <c r="BM476" s="1" t="e">
        <f ca="1">_xll.BDH($C$453,"INVENTORY_SEQUENTIAL_GROWTH","FQ3 2018","FQ3 2018","Currency=INR","Period=FQ","BEST_FPERIOD_OVERRIDE=FQ","FILING_STATUS=OR","EQY_CONSOLIDATED=Y","Sort=A","Dates=H","DateFormat=P","Fill=—","Direction=H","UseDPDF=Y")</f>
        <v>#NAME?</v>
      </c>
      <c r="BN476" s="1" t="e">
        <f ca="1">_xll.BDH($C$453,"FIXED_ASSETS_SEQUENTIAL_GROWTH","FQ3 2018","FQ3 2018","Currency=INR","Period=FQ","BEST_FPERIOD_OVERRIDE=FQ","FILING_STATUS=OR","EQY_CONSOLIDATED=Y","Sort=A","Dates=H","DateFormat=P","Fill=—","Direction=H","UseDPDF=Y")</f>
        <v>#NAME?</v>
      </c>
      <c r="BO476" s="1" t="e">
        <f ca="1">_xll.BDH($C$453,"TOTAL_ASSETS_SEQUENTIAL_GROWTH","FQ3 2018","FQ3 2018","Currency=INR","Period=FQ","BEST_FPERIOD_OVERRIDE=FQ","FILING_STATUS=OR","EQY_CONSOLIDATED=Y","Sort=A","Dates=H","DateFormat=P","Fill=—","Direction=H","UseDPDF=Y")</f>
        <v>#NAME?</v>
      </c>
      <c r="BP476" s="1" t="e">
        <f ca="1">_xll.BDH($C$453,"MODIFIED_WORKING_CPTL_SEQ_GRWTH","FQ3 2018","FQ3 2018","Currency=INR","Period=FQ","BEST_FPERIOD_OVERRIDE=FQ","FILING_STATUS=OR","EQY_CONSOLIDATED=Y","Sort=A","Dates=H","DateFormat=P","Fill=—","Direction=H","UseDPDF=Y")</f>
        <v>#NAME?</v>
      </c>
      <c r="BQ476" s="1" t="e">
        <f ca="1">_xll.BDH($C$453,"WORKING_CAPITAL_SEQ_GROWTH","FQ3 2018","FQ3 2018","Currency=INR","Period=FQ","BEST_FPERIOD_OVERRIDE=FQ","FILING_STATUS=OR","EQY_CONSOLIDATED=Y","Sort=A","Dates=H","DateFormat=P","Fill=—","Direction=H","UseDPDF=Y")</f>
        <v>#NAME?</v>
      </c>
      <c r="BR476" s="1" t="e">
        <f ca="1">_xll.BDH($C$453,"ACCOUNTS_PAYABLE_SEQ_GROWTH","FQ3 2018","FQ3 2018","Currency=INR","Period=FQ","BEST_FPERIOD_OVERRIDE=FQ","FILING_STATUS=OR","EQY_CONSOLIDATED=Y","Sort=A","Dates=H","DateFormat=P","Fill=—","Direction=H","UseDPDF=Y")</f>
        <v>#NAME?</v>
      </c>
      <c r="BS476" s="1" t="e">
        <f ca="1">_xll.BDH($C$453,"ST_DEBT_SEQUENTIAL_GROWTH","FQ3 2018","FQ3 2018","Currency=INR","Period=FQ","BEST_FPERIOD_OVERRIDE=FQ","FILING_STATUS=OR","EQY_CONSOLIDATED=Y","Sort=A","Dates=H","DateFormat=P","Fill=—","Direction=H","UseDPDF=Y")</f>
        <v>#NAME?</v>
      </c>
      <c r="BT476" s="1" t="e">
        <f ca="1">_xll.BDH($C$453,"TOTAL_DEBT_SEQUENTIAL_GROWTH","FQ3 2018","FQ3 2018","Currency=INR","Period=FQ","BEST_FPERIOD_OVERRIDE=FQ","FILING_STATUS=OR","EQY_CONSOLIDATED=Y","Sort=A","Dates=H","DateFormat=P","Fill=—","Direction=H","UseDPDF=Y")</f>
        <v>#NAME?</v>
      </c>
      <c r="BU476" s="1" t="e">
        <f ca="1">_xll.BDH($C$453,"TOTAL_EQUITY_SEQUENTIAL_GROWTH","FQ3 2018","FQ3 2018","Currency=INR","Period=FQ","BEST_FPERIOD_OVERRIDE=FQ","FILING_STATUS=OR","EQY_CONSOLIDATED=Y","Sort=A","Dates=H","DateFormat=P","Fill=—","Direction=H","UseDPDF=Y")</f>
        <v>#NAME?</v>
      </c>
      <c r="BV476" s="1" t="e">
        <f ca="1">_xll.BDH($C$453,"TOTAL_CAPITAL_SEQUENTIAL_GROWTH","FQ3 2018","FQ3 2018","Currency=INR","Period=FQ","BEST_FPERIOD_OVERRIDE=FQ","FILING_STATUS=OR","EQY_CONSOLIDATED=Y","Sort=A","Dates=H","DateFormat=P","Fill=—","Direction=H","UseDPDF=Y")</f>
        <v>#NAME?</v>
      </c>
      <c r="BW476" s="1" t="e">
        <f ca="1">_xll.BDH($C$453,"BPS_SEQUENTIAL_GROWTH","FQ3 2018","FQ3 2018","Currency=INR","Period=FQ","BEST_FPERIOD_OVERRIDE=FQ","FILING_STATUS=OR","EQY_CONSOLIDATED=Y","Sort=A","Dates=H","DateFormat=P","Fill=—","Direction=H","UseDPDF=Y")</f>
        <v>#NAME?</v>
      </c>
      <c r="BX476" s="1" t="e">
        <f ca="1">_xll.BDH($C$453,"CFO_SEQUENTIAL_GROWTH","FQ3 2018","FQ3 2018","Currency=INR","Period=FQ","BEST_FPERIOD_OVERRIDE=FQ","FILING_STATUS=OR","EQY_CONSOLIDATED=Y","Sort=A","Dates=H","DateFormat=P","Fill=—","Direction=H","UseDPDF=Y")</f>
        <v>#NAME?</v>
      </c>
      <c r="BY476" s="2" t="e">
        <f ca="1">_xll.BDH($C$453,"SHORT_AND_LONG_TERM_DEBT","FQ3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76" s="2" t="e">
        <f ca="1">_xll.BDH($C$453,"BS_ST_BORROW","FQ3 2018","FQ3 2018","Currency=INR","Period=FQ","BEST_FPERIOD_OVERRIDE=FQ","FILING_STATUS=OR","EQY_CONSOLIDATED=Y","SCALING_FORMAT=MLN","Sort=A","Dates=H","DateFormat=P","Fill=—","Direction=H","UseDPDF=Y")</f>
        <v>#NAME?</v>
      </c>
      <c r="CA476" s="2" t="e">
        <f ca="1">_xll.BDH($C$453,"BS_LT_BORROW","FQ3 2018","FQ3 2018","Currency=INR","Period=FQ","BEST_FPERIOD_OVERRIDE=FQ","FILING_STATUS=OR","EQY_CONSOLIDATED=Y","SCALING_FORMAT=MLN","Sort=A","Dates=H","DateFormat=P","Fill=—","Direction=H","UseDPDF=Y")</f>
        <v>#NAME?</v>
      </c>
      <c r="CB476" s="1" t="e">
        <f ca="1">_xll.BDH($C$453,"TOT_DEBT_TO_EBITDA","FQ3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76" s="1" t="e">
        <f ca="1">_xll.BDH($C$453,"NET_DEBT_TO_EBITDA","FQ3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76" s="1" t="e">
        <f ca="1">_xll.BDH($C$453,"TOTAL_DEBT_TO_EBIT","FQ3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76" s="1" t="e">
        <f ca="1">_xll.BDH($C$453,"NET_DEBT_TO_EBIT","FQ3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476" s="1" t="e">
        <f ca="1">_xll.BDH($C$453,"EBITDA_TO_INTEREST_EXPN","FQ3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76" s="1" t="e">
        <f ca="1">_xll.BDH($C$453,"COM_EQY_TO_TOT_ASSET","FQ3 2018","FQ3 2018","Currency=INR","Period=FQ","BEST_FPERIOD_OVERRIDE=FQ","FILING_STATUS=OR","EQY_CONSOLIDATED=Y","Sort=A","Dates=H","DateFormat=P","Fill=—","Direction=H","UseDPDF=Y")</f>
        <v>#NAME?</v>
      </c>
      <c r="CH476" s="1" t="e">
        <f ca="1">_xll.BDH($C$453,"LT_DEBT_TO_TOT_EQY","FQ3 2018","FQ3 2018","Currency=INR","Period=FQ","BEST_FPERIOD_OVERRIDE=FQ","FILING_STATUS=OR","EQY_CONSOLIDATED=Y","Sort=A","Dates=H","DateFormat=P","Fill=—","Direction=H","UseDPDF=Y")</f>
        <v>#NAME?</v>
      </c>
      <c r="CI476" s="1" t="e">
        <f ca="1">_xll.BDH($C$453,"LT_DEBT_TO_TOT_CAP","FQ3 2018","FQ3 2018","Currency=INR","Period=FQ","BEST_FPERIOD_OVERRIDE=FQ","FILING_STATUS=OR","EQY_CONSOLIDATED=Y","Sort=A","Dates=H","DateFormat=P","Fill=—","Direction=H","UseDPDF=Y")</f>
        <v>#NAME?</v>
      </c>
      <c r="CJ476" s="1" t="e">
        <f ca="1">_xll.BDH($C$453,"LT_DEBT_TO_TOT_ASSET","FQ3 2018","FQ3 2018","Currency=INR","Period=FQ","BEST_FPERIOD_OVERRIDE=FQ","FILING_STATUS=OR","EQY_CONSOLIDATED=Y","Sort=A","Dates=H","DateFormat=P","Fill=—","Direction=H","UseDPDF=Y")</f>
        <v>#NAME?</v>
      </c>
      <c r="CK476" s="1" t="e">
        <f ca="1">_xll.BDH($C$453,"TOT_DEBT_TO_TOT_EQY","FQ3 2018","FQ3 2018","Currency=INR","Period=FQ","BEST_FPERIOD_OVERRIDE=FQ","FILING_STATUS=OR","EQY_CONSOLIDATED=Y","Sort=A","Dates=H","DateFormat=P","Fill=—","Direction=H","UseDPDF=Y")</f>
        <v>#NAME?</v>
      </c>
      <c r="CL476" s="1" t="e">
        <f ca="1">_xll.BDH($C$453,"TOT_DEBT_TO_TOT_CAP","FQ3 2018","FQ3 2018","Currency=INR","Period=FQ","BEST_FPERIOD_OVERRIDE=FQ","FILING_STATUS=OR","EQY_CONSOLIDATED=Y","Sort=A","Dates=H","DateFormat=P","Fill=—","Direction=H","UseDPDF=Y")</f>
        <v>#NAME?</v>
      </c>
      <c r="CM476" s="1" t="e">
        <f ca="1">_xll.BDH($C$453,"TOT_DEBT_TO_TOT_ASSET","FQ3 2018","FQ3 2018","Currency=INR","Period=FQ","BEST_FPERIOD_OVERRIDE=FQ","FILING_STATUS=OR","EQY_CONSOLIDATED=Y","Sort=A","Dates=H","DateFormat=P","Fill=—","Direction=H","UseDPDF=Y")</f>
        <v>#NAME?</v>
      </c>
      <c r="CN476" s="1" t="e">
        <f ca="1">_xll.BDH($C$453,"NET_DEBT_TO_SHRHLDR_EQTY","FQ3 2018","FQ3 2018","Currency=INR","Period=FQ","BEST_FPERIOD_OVERRIDE=FQ","FILING_STATUS=OR","EQY_CONSOLIDATED=Y","Sort=A","Dates=H","DateFormat=P","Fill=—","Direction=H","UseDPDF=Y")</f>
        <v>#NAME?</v>
      </c>
      <c r="CO476" s="1" t="e">
        <f ca="1">_xll.BDH($C$453,"NET_DEBT_%_CAPITAL","FQ3 2018","FQ3 2018","Currency=INR","Period=FQ","BEST_FPERIOD_OVERRIDE=FQ","FILING_STATUS=OR","EQY_CONSOLIDATED=Y","Sort=A","Dates=H","DateFormat=P","Fill=—","Direction=H","UseDPDF=Y")</f>
        <v>#NAME?</v>
      </c>
      <c r="CP476" s="2" t="e">
        <f ca="1">_xll.BDH($C$453,"EBITDA","FQ3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76" s="2" t="e">
        <f ca="1">_xll.BDH($C$453,"EBITDA_AFTER_CAPEX","FQ3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76" s="2" t="e">
        <f ca="1">_xll.BDH($C$453,"IS_OPER_INC","FQ3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76" s="1" t="e">
        <f ca="1">_xll.BDH($C$453,"CASH_RATIO","FQ3 2018","FQ3 2018","Currency=INR","Period=FQ","BEST_FPERIOD_OVERRIDE=FQ","FILING_STATUS=OR","EQY_CONSOLIDATED=Y","Sort=A","Dates=H","DateFormat=P","Fill=—","Direction=H","UseDPDF=Y")</f>
        <v>#NAME?</v>
      </c>
      <c r="CT476" s="1" t="e">
        <f ca="1">_xll.BDH($C$453,"CUR_RATIO","FQ3 2018","FQ3 2018","Currency=INR","Period=FQ","BEST_FPERIOD_OVERRIDE=FQ","FILING_STATUS=OR","EQY_CONSOLIDATED=Y","Sort=A","Dates=H","DateFormat=P","Fill=—","Direction=H","UseDPDF=Y")</f>
        <v>#NAME?</v>
      </c>
      <c r="CU476" s="1" t="e">
        <f ca="1">_xll.BDH($C$453,"QUICK_RATIO","FQ3 2018","FQ3 2018","Currency=INR","Period=FQ","BEST_FPERIOD_OVERRIDE=FQ","FILING_STATUS=OR","EQY_CONSOLIDATED=Y","Sort=A","Dates=H","DateFormat=P","Fill=—","Direction=H","UseDPDF=Y")</f>
        <v>#NAME?</v>
      </c>
      <c r="CV476" s="1" t="e">
        <f ca="1">_xll.BDH($C$453,"ALTMAN_Z_SCORE","FQ3 2018","FQ3 2018","Currency=INR","Period=FQ","BEST_FPERIOD_OVERRIDE=FQ","FILING_STATUS=OR","EQY_CONSOLIDATED=Y","Sort=A","Dates=H","DateFormat=P","Fill=—","Direction=H","UseDPDF=Y")</f>
        <v>#NAME?</v>
      </c>
      <c r="CW476" s="3" t="e">
        <f ca="1">_xll.BDH($C$453,"ACCT_RCV_TURN","FQ3 2018","FQ3 2018","Currency=INR","Period=FQ","BEST_FPERIOD_OVERRIDE=FQ","FILING_STATUS=OR","EQY_CONSOLIDATED=Y","FA_ADJUSTED=GAAP","Sort=A","Dates=H","DateFormat=P","Fill=—","Direction=H","UseDPDF=Y")</f>
        <v>#NAME?</v>
      </c>
      <c r="CX476" s="1" t="e">
        <f ca="1">_xll.BDH($C$453,"ACCT_RCV_DAYS","FQ3 2018","FQ3 2018","Currency=INR","Period=FQ","BEST_FPERIOD_OVERRIDE=FQ","FILING_STATUS=OR","EQY_CONSOLIDATED=Y","FA_ADJUSTED=GAAP","Sort=A","Dates=H","DateFormat=P","Fill=—","Direction=H","UseDPDF=Y")</f>
        <v>#NAME?</v>
      </c>
      <c r="CY476" s="3" t="e">
        <f ca="1">_xll.BDH($C$453,"INVENT_TURN","FQ3 2018","FQ3 2018","Currency=INR","Period=FQ","BEST_FPERIOD_OVERRIDE=FQ","FILING_STATUS=OR","EQY_CONSOLIDATED=Y","FA_ADJUSTED=GAAP","Sort=A","Dates=H","DateFormat=P","Fill=—","Direction=H","UseDPDF=Y")</f>
        <v>#NAME?</v>
      </c>
      <c r="CZ476" s="1" t="e">
        <f ca="1">_xll.BDH($C$453,"INVENT_DAYS","FQ3 2018","FQ3 2018","Currency=INR","Period=FQ","BEST_FPERIOD_OVERRIDE=FQ","FILING_STATUS=OR","EQY_CONSOLIDATED=Y","FA_ADJUSTED=GAAP","Sort=A","Dates=H","DateFormat=P","Fill=—","Direction=H","UseDPDF=Y")</f>
        <v>#NAME?</v>
      </c>
      <c r="DA476" s="3" t="e">
        <f ca="1">_xll.BDH($C$453,"ACCOUNTS_PAYABLE_TURNOVER","FQ3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76" s="1" t="e">
        <f ca="1">_xll.BDH($C$453,"ACCOUNTS_PAYABLE_TURNOVER_DAYS","FQ3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76" s="3" t="e">
        <f ca="1">_xll.BDH($C$453,"CASH_CONVERSION_CYCLE","FQ3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76" s="3" t="e">
        <f ca="1">_xll.BDH($C$453,"INV_TO_CASH_DAYS","FQ3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476" s="4" t="e">
        <f ca="1">_xll.BDH($C$453,"BS_INVENTORIES","FQ3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476" s="2" t="e">
        <f ca="1">_xll.BDH($C$453,"INVTRY_RAW_MATERIALS","FQ3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76" s="2" t="e">
        <f ca="1">_xll.BDH($C$453,"INVTRY_IN_PROGRESS","FQ3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76" s="2" t="e">
        <f ca="1">_xll.BDH($C$453,"INVTRY_FINISHED_GOODS","FQ3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76" s="2" t="e">
        <f ca="1">_xll.BDH($C$453,"BS_OTHER_INV","FQ3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77" spans="1:113" x14ac:dyDescent="0.3">
      <c r="A477" s="6"/>
      <c r="B477" s="6"/>
      <c r="C477" s="6"/>
      <c r="D477" s="6"/>
      <c r="E477" t="s">
        <v>7</v>
      </c>
      <c r="F477" t="e">
        <f ca="1">_xll.BDH($C$453,"RETURN_COM_EQY","FQ4 2018","FQ4 2018","Currency=INR","Period=FQ","BEST_FPERIOD_OVERRIDE=FQ","FILING_STATUS=OR","EQY_CONSOLIDATED=Y","FA_ADJUSTED=GAAP","Sort=A","Dates=H","DateFormat=P","Fill=—","Direction=H","UseDPDF=Y")</f>
        <v>#NAME?</v>
      </c>
      <c r="G477" t="e">
        <f ca="1">_xll.BDH($C$453,"RETURN_ON_ASSET","FQ4 2018","FQ4 2018","Currency=INR","Period=FQ","BEST_FPERIOD_OVERRIDE=FQ","FILING_STATUS=OR","EQY_CONSOLIDATED=Y","FA_ADJUSTED=GAAP","Sort=A","Dates=H","DateFormat=P","Fill=—","Direction=H","UseDPDF=Y")</f>
        <v>#NAME?</v>
      </c>
      <c r="H477" t="e">
        <f ca="1">_xll.BDH($C$453,"RETURN_ON_CAP","FQ4 2018","FQ4 2018","Currency=INR","Period=FQ","BEST_FPERIOD_OVERRIDE=FQ","FILING_STATUS=OR","EQY_CONSOLIDATED=Y","FA_ADJUSTED=GAAP","Sort=A","Dates=H","DateFormat=P","Fill=—","Direction=H","UseDPDF=Y")</f>
        <v>#NAME?</v>
      </c>
      <c r="I477" t="e">
        <f ca="1">_xll.BDH($C$453,"RETURN_ON_INV_CAPITAL","FQ4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77" t="e">
        <f ca="1">_xll.BDH($C$453,"EBITDA_TO_REVENUE","FQ4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477" t="e">
        <f ca="1">_xll.BDH($C$453,"OPER_MARGIN","FQ4 2018","FQ4 2018","Currency=INR","Period=FQ","BEST_FPERIOD_OVERRIDE=FQ","FILING_STATUS=OR","EQY_CONSOLIDATED=Y","FA_ADJUSTED=GAAP","Sort=A","Dates=H","DateFormat=P","Fill=—","Direction=H","UseDPDF=Y")</f>
        <v>#NAME?</v>
      </c>
      <c r="L477" t="e">
        <f ca="1">_xll.BDH($C$453,"INCREMENTAL_OPERATING_MARGIN","FQ4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77" t="e">
        <f ca="1">_xll.BDH($C$453,"PRETAX_INC_TO_NET_SALES","FQ4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77" t="e">
        <f ca="1">_xll.BDH($C$453,"INC_BEF_XO_ITEMS_TO_NET_SALES","FQ4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77" t="e">
        <f ca="1">_xll.BDH($C$453,"PROF_MARGIN","FQ4 2018","FQ4 2018","Currency=INR","Period=FQ","BEST_FPERIOD_OVERRIDE=FQ","FILING_STATUS=OR","EQY_CONSOLIDATED=Y","FA_ADJUSTED=GAAP","Sort=A","Dates=H","DateFormat=P","Fill=—","Direction=H","UseDPDF=Y")</f>
        <v>#NAME?</v>
      </c>
      <c r="P477" t="e">
        <f ca="1">_xll.BDH($C$453,"NET_INCOME_TO_COMMON_MARGIN","FQ4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77" t="e">
        <f ca="1">_xll.BDH($C$453,"EFF_TAX_RATE","FQ4 2018","FQ4 2018","Currency=INR","Period=FQ","BEST_FPERIOD_OVERRIDE=FQ","FILING_STATUS=OR","EQY_CONSOLIDATED=Y","FA_ADJUSTED=GAAP","Sort=A","Dates=H","DateFormat=P","Fill=—","Direction=H","UseDPDF=Y")</f>
        <v>#NAME?</v>
      </c>
      <c r="R477" t="e">
        <f ca="1">_xll.BDH($C$453,"DVD_PAYOUT_RATIO","FQ4 2018","FQ4 2018","Currency=INR","Period=FQ","BEST_FPERIOD_OVERRIDE=FQ","FILING_STATUS=OR","EQY_CONSOLIDATED=Y","FA_ADJUSTED=GAAP","Sort=A","Dates=H","DateFormat=P","Fill=—","Direction=H","UseDPDF=Y")</f>
        <v>#NAME?</v>
      </c>
      <c r="S477" t="e">
        <f ca="1">_xll.BDH($C$453,"SUSTAIN_GROWTH_RT","FQ4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477" s="1" t="e">
        <f ca="1">_xll.BDH($C$453,"SALES_GROWTH","FQ4 2018","FQ4 2018","Currency=INR","Period=FQ","BEST_FPERIOD_OVERRIDE=FQ","FILING_STATUS=OR","EQY_CONSOLIDATED=Y","FA_ADJUSTED=GAAP","Sort=A","Dates=H","DateFormat=P","Fill=—","Direction=H","UseDPDF=Y")</f>
        <v>#NAME?</v>
      </c>
      <c r="U477" s="1" t="e">
        <f ca="1">_xll.BDH($C$453,"EBITDA_GROWTH","FQ4 2018","FQ4 2018","Currency=INR","Period=FQ","BEST_FPERIOD_OVERRIDE=FQ","FILING_STATUS=OR","EQY_CONSOLIDATED=Y","FA_ADJUSTED=GAAP","Sort=A","Dates=H","DateFormat=P","Fill=—","Direction=H","UseDPDF=Y")</f>
        <v>#NAME?</v>
      </c>
      <c r="V477" s="1" t="e">
        <f ca="1">_xll.BDH($C$453,"OPER_INC_GROWTH","FQ4 2018","FQ4 2018","Currency=INR","Period=FQ","BEST_FPERIOD_OVERRIDE=FQ","FILING_STATUS=OR","EQY_CONSOLIDATED=Y","FA_ADJUSTED=GAAP","Sort=A","Dates=H","DateFormat=P","Fill=—","Direction=H","UseDPDF=Y")</f>
        <v>#NAME?</v>
      </c>
      <c r="W477" s="1" t="e">
        <f ca="1">_xll.BDH($C$453,"EARN_FOR_COM_GROWTH","FQ4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77" s="1" t="e">
        <f ca="1">_xll.BDH($C$453,"DILUTED_EPS_AFT_XO_ITEMS_GROWTH","FQ4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77" s="1" t="e">
        <f ca="1">_xll.BDH($C$453,"DIVIDEND_PER_SHARE_1_YEAR_GROWTH","FQ4 2018","FQ4 2018","Currency=INR","Period=FQ","BEST_FPERIOD_OVERRIDE=FQ","FILING_STATUS=OR","EQY_CONSOLIDATED=Y","Sort=A","Dates=H","DateFormat=P","Fill=—","Direction=H","UseDPDF=Y")</f>
        <v>#NAME?</v>
      </c>
      <c r="Z477" s="1" t="e">
        <f ca="1">_xll.BDH($C$453,"ACCOUNTS_RECEIVABLE_GROWTH","FQ4 2018","FQ4 2018","Currency=INR","Period=FQ","BEST_FPERIOD_OVERRIDE=FQ","FILING_STATUS=OR","EQY_CONSOLIDATED=Y","Sort=A","Dates=H","DateFormat=P","Fill=—","Direction=H","UseDPDF=Y")</f>
        <v>#NAME?</v>
      </c>
      <c r="AA477" s="1" t="e">
        <f ca="1">_xll.BDH($C$453,"INVENTORY_GROWTH","FQ4 2018","FQ4 2018","Currency=INR","Period=FQ","BEST_FPERIOD_OVERRIDE=FQ","FILING_STATUS=OR","EQY_CONSOLIDATED=Y","Sort=A","Dates=H","DateFormat=P","Fill=—","Direction=H","UseDPDF=Y")</f>
        <v>#NAME?</v>
      </c>
      <c r="AB477" s="1" t="e">
        <f ca="1">_xll.BDH($C$453,"NET_FIXED_ASSETS_1_YEAR_GROWTH","FQ4 2018","FQ4 2018","Currency=INR","Period=FQ","BEST_FPERIOD_OVERRIDE=FQ","FILING_STATUS=OR","EQY_CONSOLIDATED=Y","Sort=A","Dates=H","DateFormat=P","Fill=—","Direction=H","UseDPDF=Y")</f>
        <v>#NAME?</v>
      </c>
      <c r="AC477" s="1" t="e">
        <f ca="1">_xll.BDH($C$453,"ASSET_GROWTH","FQ4 2018","FQ4 2018","Currency=INR","Period=FQ","BEST_FPERIOD_OVERRIDE=FQ","FILING_STATUS=OR","EQY_CONSOLIDATED=Y","Sort=A","Dates=H","DateFormat=P","Fill=—","Direction=H","UseDPDF=Y")</f>
        <v>#NAME?</v>
      </c>
      <c r="AD477" s="1" t="e">
        <f ca="1">_xll.BDH($C$453,"MODIFIED_WORK_CAP_GROWTH","FQ4 2018","FQ4 2018","Currency=INR","Period=FQ","BEST_FPERIOD_OVERRIDE=FQ","FILING_STATUS=OR","EQY_CONSOLIDATED=Y","Sort=A","Dates=H","DateFormat=P","Fill=—","Direction=H","UseDPDF=Y")</f>
        <v>#NAME?</v>
      </c>
      <c r="AE477" s="1" t="e">
        <f ca="1">_xll.BDH($C$453,"WORK_CAP_GROWTH","FQ4 2018","FQ4 2018","Currency=INR","Period=FQ","BEST_FPERIOD_OVERRIDE=FQ","FILING_STATUS=OR","EQY_CONSOLIDATED=Y","Sort=A","Dates=H","DateFormat=P","Fill=—","Direction=H","UseDPDF=Y")</f>
        <v>#NAME?</v>
      </c>
      <c r="AF477" s="1" t="e">
        <f ca="1">_xll.BDH($C$453,"ACCOUNTS_PAYABLE_GROWTH_1YR","FQ4 2018","FQ4 2018","Currency=INR","Period=FQ","BEST_FPERIOD_OVERRIDE=FQ","FILING_STATUS=OR","EQY_CONSOLIDATED=Y","Sort=A","Dates=H","DateFormat=P","Fill=—","Direction=H","UseDPDF=Y")</f>
        <v>#NAME?</v>
      </c>
      <c r="AG477" s="1" t="e">
        <f ca="1">_xll.BDH($C$453,"SHORT_TERM_DEBT_1_YEAR_GROWTH","FQ4 2018","FQ4 2018","Currency=INR","Period=FQ","BEST_FPERIOD_OVERRIDE=FQ","FILING_STATUS=OR","EQY_CONSOLIDATED=Y","Sort=A","Dates=H","DateFormat=P","Fill=—","Direction=H","UseDPDF=Y")</f>
        <v>#NAME?</v>
      </c>
      <c r="AH477" s="1" t="e">
        <f ca="1">_xll.BDH($C$453,"TOTAL_DEBT_1_YEAR_GROWTH","FQ4 2018","FQ4 2018","Currency=INR","Period=FQ","BEST_FPERIOD_OVERRIDE=FQ","FILING_STATUS=OR","EQY_CONSOLIDATED=Y","Sort=A","Dates=H","DateFormat=P","Fill=—","Direction=H","UseDPDF=Y")</f>
        <v>#NAME?</v>
      </c>
      <c r="AI477" s="1" t="e">
        <f ca="1">_xll.BDH($C$453,"TOTAL_EQUITY_1_YEAR_GROWTH","FQ4 2018","FQ4 2018","Currency=INR","Period=FQ","BEST_FPERIOD_OVERRIDE=FQ","FILING_STATUS=OR","EQY_CONSOLIDATED=Y","Sort=A","Dates=H","DateFormat=P","Fill=—","Direction=H","UseDPDF=Y")</f>
        <v>#NAME?</v>
      </c>
      <c r="AJ477" s="1" t="e">
        <f ca="1">_xll.BDH($C$453,"GROWTH_IN_CAP","FQ4 2018","FQ4 2018","Currency=INR","Period=FQ","BEST_FPERIOD_OVERRIDE=FQ","FILING_STATUS=OR","EQY_CONSOLIDATED=Y","Sort=A","Dates=H","DateFormat=P","Fill=—","Direction=H","UseDPDF=Y")</f>
        <v>#NAME?</v>
      </c>
      <c r="AK477" s="1" t="e">
        <f ca="1">_xll.BDH($C$453,"BVPS_GROWTH","FQ4 2018","FQ4 2018","Currency=INR","Period=FQ","BEST_FPERIOD_OVERRIDE=FQ","FILING_STATUS=OR","EQY_CONSOLIDATED=Y","Sort=A","Dates=H","DateFormat=P","Fill=—","Direction=H","UseDPDF=Y")</f>
        <v>#NAME?</v>
      </c>
      <c r="AL477" s="1" t="e">
        <f ca="1">_xll.BDH($C$453,"CASH_FLOW_GROWTH","FQ4 2018","FQ4 2018","Currency=INR","Period=FQ","BEST_FPERIOD_OVERRIDE=FQ","FILING_STATUS=OR","EQY_CONSOLIDATED=Y","Sort=A","Dates=H","DateFormat=P","Fill=—","Direction=H","UseDPDF=Y")</f>
        <v>#NAME?</v>
      </c>
      <c r="AM477" s="1" t="e">
        <f ca="1">_xll.BDH($C$453,"GEO_GROW_NET_SALES","FQ4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77" s="1" t="e">
        <f ca="1">_xll.BDH($C$453,"GEO_GROW_EBITDA","FQ4 2018","FQ4 2018","Currency=INR","Period=FQ","BEST_FPERIOD_OVERRIDE=FQ","FILING_STATUS=OR","EQY_CONSOLIDATED=Y","FA_ADJUSTED=GAAP","Sort=A","Dates=H","DateFormat=P","Fill=—","Direction=H","UseDPDF=Y")</f>
        <v>#NAME?</v>
      </c>
      <c r="AO477" s="1" t="e">
        <f ca="1">_xll.BDH($C$453,"GEO_GROW_OPER_INC","FQ4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77" s="1" t="e">
        <f ca="1">_xll.BDH($C$453,"NET_INCOME_TO_COMMON_5_YR_GROWTH","FQ4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77" s="1" t="e">
        <f ca="1">_xll.BDH($C$453,"5Y_GEO_GROWTH_DILUTED_EPS","FQ4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77" s="1" t="e">
        <f ca="1">_xll.BDH($C$453,"GEO_GROW_DVD_PER_SH","FQ4 2018","FQ4 2018","Currency=INR","Period=FQ","BEST_FPERIOD_OVERRIDE=FQ","FILING_STATUS=OR","EQY_CONSOLIDATED=Y","Sort=A","Dates=H","DateFormat=P","Fill=—","Direction=H","UseDPDF=Y")</f>
        <v>#NAME?</v>
      </c>
      <c r="AS477" s="1" t="e">
        <f ca="1">_xll.BDH($C$453,"ACCOUNTS_RECEIVABLE_5_YR_GROWTH","FQ4 2018","FQ4 2018","Currency=INR","Period=FQ","BEST_FPERIOD_OVERRIDE=FQ","FILING_STATUS=OR","EQY_CONSOLIDATED=Y","Sort=A","Dates=H","DateFormat=P","Fill=—","Direction=H","UseDPDF=Y")</f>
        <v>#NAME?</v>
      </c>
      <c r="AT477" s="1" t="e">
        <f ca="1">_xll.BDH($C$453,"INVENTORY_5_YEAR_GROWTH","FQ4 2018","FQ4 2018","Currency=INR","Period=FQ","BEST_FPERIOD_OVERRIDE=FQ","FILING_STATUS=OR","EQY_CONSOLIDATED=Y","Sort=A","Dates=H","DateFormat=P","Fill=—","Direction=H","UseDPDF=Y")</f>
        <v>#NAME?</v>
      </c>
      <c r="AU477" s="1" t="e">
        <f ca="1">_xll.BDH($C$453,"NET_FIXED_ASSETS_5_YEAR_GROWTH","FQ4 2018","FQ4 2018","Currency=INR","Period=FQ","BEST_FPERIOD_OVERRIDE=FQ","FILING_STATUS=OR","EQY_CONSOLIDATED=Y","Sort=A","Dates=H","DateFormat=P","Fill=—","Direction=H","UseDPDF=Y")</f>
        <v>#NAME?</v>
      </c>
      <c r="AV477" s="1" t="e">
        <f ca="1">_xll.BDH($C$453,"GEO_GROW_TOT_ASSET","FQ4 2018","FQ4 2018","Currency=INR","Period=FQ","BEST_FPERIOD_OVERRIDE=FQ","FILING_STATUS=OR","EQY_CONSOLIDATED=Y","Sort=A","Dates=H","DateFormat=P","Fill=—","Direction=H","UseDPDF=Y")</f>
        <v>#NAME?</v>
      </c>
      <c r="AW477" s="1" t="e">
        <f ca="1">_xll.BDH($C$453,"MODIFIED_WORKING_CPTL_5YR_GRWTH","FQ4 2018","FQ4 2018","Currency=INR","Period=FQ","BEST_FPERIOD_OVERRIDE=FQ","FILING_STATUS=OR","EQY_CONSOLIDATED=Y","Sort=A","Dates=H","DateFormat=P","Fill=—","Direction=H","UseDPDF=Y")</f>
        <v>#NAME?</v>
      </c>
      <c r="AX477" s="1" t="e">
        <f ca="1">_xll.BDH($C$453,"WORKING_CAPITAL_5_YEAR_GROWTH","FQ4 2018","FQ4 2018","Currency=INR","Period=FQ","BEST_FPERIOD_OVERRIDE=FQ","FILING_STATUS=OR","EQY_CONSOLIDATED=Y","Sort=A","Dates=H","DateFormat=P","Fill=—","Direction=H","UseDPDF=Y")</f>
        <v>#NAME?</v>
      </c>
      <c r="AY477" s="1" t="e">
        <f ca="1">_xll.BDH($C$453,"ACCOUNTS_PAYABLE_5_YEAR_GROWTH","FQ4 2018","FQ4 2018","Currency=INR","Period=FQ","BEST_FPERIOD_OVERRIDE=FQ","FILING_STATUS=OR","EQY_CONSOLIDATED=Y","Sort=A","Dates=H","DateFormat=P","Fill=—","Direction=H","UseDPDF=Y")</f>
        <v>#NAME?</v>
      </c>
      <c r="AZ477" s="1" t="e">
        <f ca="1">_xll.BDH($C$453,"SHORT_TERM_DEBT_5_YEAR_GROWTH","FQ4 2018","FQ4 2018","Currency=INR","Period=FQ","BEST_FPERIOD_OVERRIDE=FQ","FILING_STATUS=OR","EQY_CONSOLIDATED=Y","Sort=A","Dates=H","DateFormat=P","Fill=—","Direction=H","UseDPDF=Y")</f>
        <v>#NAME?</v>
      </c>
      <c r="BA477" s="1" t="e">
        <f ca="1">_xll.BDH($C$453,"TOTAL_DEBT_5_YEAR_GROWTH","FQ4 2018","FQ4 2018","Currency=INR","Period=FQ","BEST_FPERIOD_OVERRIDE=FQ","FILING_STATUS=OR","EQY_CONSOLIDATED=Y","Sort=A","Dates=H","DateFormat=P","Fill=—","Direction=H","UseDPDF=Y")</f>
        <v>#NAME?</v>
      </c>
      <c r="BB477" s="1" t="e">
        <f ca="1">_xll.BDH($C$453,"GEO_GROW_TOT_SHRHLDR_EQY","FQ4 2018","FQ4 2018","Currency=INR","Period=FQ","BEST_FPERIOD_OVERRIDE=FQ","FILING_STATUS=OR","EQY_CONSOLIDATED=Y","Sort=A","Dates=H","DateFormat=P","Fill=—","Direction=H","UseDPDF=Y")</f>
        <v>#NAME?</v>
      </c>
      <c r="BC477" s="1" t="e">
        <f ca="1">_xll.BDH($C$453,"TOTAL_CAPITAL_5_YEAR_GROWTH","FQ4 2018","FQ4 2018","Currency=INR","Period=FQ","BEST_FPERIOD_OVERRIDE=FQ","FILING_STATUS=OR","EQY_CONSOLIDATED=Y","Sort=A","Dates=H","DateFormat=P","Fill=—","Direction=H","UseDPDF=Y")</f>
        <v>#NAME?</v>
      </c>
      <c r="BD477" s="1" t="e">
        <f ca="1">_xll.BDH($C$453,"GEO_GROW_BOOK_VAL","FQ4 2018","FQ4 2018","Currency=INR","Period=FQ","BEST_FPERIOD_OVERRIDE=FQ","FILING_STATUS=OR","EQY_CONSOLIDATED=Y","Sort=A","Dates=H","DateFormat=P","Fill=—","Direction=H","UseDPDF=Y")</f>
        <v>#NAME?</v>
      </c>
      <c r="BE477" s="1" t="e">
        <f ca="1">_xll.BDH($C$453,"GEO_GROW_CASH_OPER_ACT","FQ4 2018","FQ4 2018","Currency=INR","Period=FQ","BEST_FPERIOD_OVERRIDE=FQ","FILING_STATUS=OR","EQY_CONSOLIDATED=Y","Sort=A","Dates=H","DateFormat=P","Fill=—","Direction=H","UseDPDF=Y")</f>
        <v>#NAME?</v>
      </c>
      <c r="BF477" s="1" t="e">
        <f ca="1">_xll.BDH($C$453,"REVENUE_SEQUENTIAL_GROWTH","FQ4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77" s="1" t="e">
        <f ca="1">_xll.BDH($C$453,"EBITDA_SEQUENTIAL_GROWTH","FQ4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77" s="1" t="e">
        <f ca="1">_xll.BDH($C$453,"OPERATING_INCOME_SEQ_GROWTH","FQ4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77" s="1" t="e">
        <f ca="1">_xll.BDH($C$453,"NET_INCOME_TO_COMMON_SEQ_GROWTH","FQ4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77" s="1" t="e">
        <f ca="1">_xll.BDH($C$453,"EPS_DILUTED_SEQUENTIAL_GROWTH","FQ4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77" s="1" t="e">
        <f ca="1">_xll.BDH($C$453,"DPS_SEQUENTIAL_GROWTH","FQ4 2018","FQ4 2018","Currency=INR","Period=FQ","BEST_FPERIOD_OVERRIDE=FQ","FILING_STATUS=OR","EQY_CONSOLIDATED=Y","Sort=A","Dates=H","DateFormat=P","Fill=—","Direction=H","UseDPDF=Y")</f>
        <v>#NAME?</v>
      </c>
      <c r="BL477" s="1" t="e">
        <f ca="1">_xll.BDH($C$453,"ACCOUNTS_RECEIVABLE_SEQ_GROWTH","FQ4 2018","FQ4 2018","Currency=INR","Period=FQ","BEST_FPERIOD_OVERRIDE=FQ","FILING_STATUS=OR","EQY_CONSOLIDATED=Y","Sort=A","Dates=H","DateFormat=P","Fill=—","Direction=H","UseDPDF=Y")</f>
        <v>#NAME?</v>
      </c>
      <c r="BM477" s="1" t="e">
        <f ca="1">_xll.BDH($C$453,"INVENTORY_SEQUENTIAL_GROWTH","FQ4 2018","FQ4 2018","Currency=INR","Period=FQ","BEST_FPERIOD_OVERRIDE=FQ","FILING_STATUS=OR","EQY_CONSOLIDATED=Y","Sort=A","Dates=H","DateFormat=P","Fill=—","Direction=H","UseDPDF=Y")</f>
        <v>#NAME?</v>
      </c>
      <c r="BN477" s="1" t="e">
        <f ca="1">_xll.BDH($C$453,"FIXED_ASSETS_SEQUENTIAL_GROWTH","FQ4 2018","FQ4 2018","Currency=INR","Period=FQ","BEST_FPERIOD_OVERRIDE=FQ","FILING_STATUS=OR","EQY_CONSOLIDATED=Y","Sort=A","Dates=H","DateFormat=P","Fill=—","Direction=H","UseDPDF=Y")</f>
        <v>#NAME?</v>
      </c>
      <c r="BO477" s="1" t="e">
        <f ca="1">_xll.BDH($C$453,"TOTAL_ASSETS_SEQUENTIAL_GROWTH","FQ4 2018","FQ4 2018","Currency=INR","Period=FQ","BEST_FPERIOD_OVERRIDE=FQ","FILING_STATUS=OR","EQY_CONSOLIDATED=Y","Sort=A","Dates=H","DateFormat=P","Fill=—","Direction=H","UseDPDF=Y")</f>
        <v>#NAME?</v>
      </c>
      <c r="BP477" s="1" t="e">
        <f ca="1">_xll.BDH($C$453,"MODIFIED_WORKING_CPTL_SEQ_GRWTH","FQ4 2018","FQ4 2018","Currency=INR","Period=FQ","BEST_FPERIOD_OVERRIDE=FQ","FILING_STATUS=OR","EQY_CONSOLIDATED=Y","Sort=A","Dates=H","DateFormat=P","Fill=—","Direction=H","UseDPDF=Y")</f>
        <v>#NAME?</v>
      </c>
      <c r="BQ477" s="1" t="e">
        <f ca="1">_xll.BDH($C$453,"WORKING_CAPITAL_SEQ_GROWTH","FQ4 2018","FQ4 2018","Currency=INR","Period=FQ","BEST_FPERIOD_OVERRIDE=FQ","FILING_STATUS=OR","EQY_CONSOLIDATED=Y","Sort=A","Dates=H","DateFormat=P","Fill=—","Direction=H","UseDPDF=Y")</f>
        <v>#NAME?</v>
      </c>
      <c r="BR477" s="1" t="e">
        <f ca="1">_xll.BDH($C$453,"ACCOUNTS_PAYABLE_SEQ_GROWTH","FQ4 2018","FQ4 2018","Currency=INR","Period=FQ","BEST_FPERIOD_OVERRIDE=FQ","FILING_STATUS=OR","EQY_CONSOLIDATED=Y","Sort=A","Dates=H","DateFormat=P","Fill=—","Direction=H","UseDPDF=Y")</f>
        <v>#NAME?</v>
      </c>
      <c r="BS477" s="1" t="e">
        <f ca="1">_xll.BDH($C$453,"ST_DEBT_SEQUENTIAL_GROWTH","FQ4 2018","FQ4 2018","Currency=INR","Period=FQ","BEST_FPERIOD_OVERRIDE=FQ","FILING_STATUS=OR","EQY_CONSOLIDATED=Y","Sort=A","Dates=H","DateFormat=P","Fill=—","Direction=H","UseDPDF=Y")</f>
        <v>#NAME?</v>
      </c>
      <c r="BT477" s="1" t="e">
        <f ca="1">_xll.BDH($C$453,"TOTAL_DEBT_SEQUENTIAL_GROWTH","FQ4 2018","FQ4 2018","Currency=INR","Period=FQ","BEST_FPERIOD_OVERRIDE=FQ","FILING_STATUS=OR","EQY_CONSOLIDATED=Y","Sort=A","Dates=H","DateFormat=P","Fill=—","Direction=H","UseDPDF=Y")</f>
        <v>#NAME?</v>
      </c>
      <c r="BU477" s="1" t="e">
        <f ca="1">_xll.BDH($C$453,"TOTAL_EQUITY_SEQUENTIAL_GROWTH","FQ4 2018","FQ4 2018","Currency=INR","Period=FQ","BEST_FPERIOD_OVERRIDE=FQ","FILING_STATUS=OR","EQY_CONSOLIDATED=Y","Sort=A","Dates=H","DateFormat=P","Fill=—","Direction=H","UseDPDF=Y")</f>
        <v>#NAME?</v>
      </c>
      <c r="BV477" s="1" t="e">
        <f ca="1">_xll.BDH($C$453,"TOTAL_CAPITAL_SEQUENTIAL_GROWTH","FQ4 2018","FQ4 2018","Currency=INR","Period=FQ","BEST_FPERIOD_OVERRIDE=FQ","FILING_STATUS=OR","EQY_CONSOLIDATED=Y","Sort=A","Dates=H","DateFormat=P","Fill=—","Direction=H","UseDPDF=Y")</f>
        <v>#NAME?</v>
      </c>
      <c r="BW477" s="1" t="e">
        <f ca="1">_xll.BDH($C$453,"BPS_SEQUENTIAL_GROWTH","FQ4 2018","FQ4 2018","Currency=INR","Period=FQ","BEST_FPERIOD_OVERRIDE=FQ","FILING_STATUS=OR","EQY_CONSOLIDATED=Y","Sort=A","Dates=H","DateFormat=P","Fill=—","Direction=H","UseDPDF=Y")</f>
        <v>#NAME?</v>
      </c>
      <c r="BX477" s="1" t="e">
        <f ca="1">_xll.BDH($C$453,"CFO_SEQUENTIAL_GROWTH","FQ4 2018","FQ4 2018","Currency=INR","Period=FQ","BEST_FPERIOD_OVERRIDE=FQ","FILING_STATUS=OR","EQY_CONSOLIDATED=Y","Sort=A","Dates=H","DateFormat=P","Fill=—","Direction=H","UseDPDF=Y")</f>
        <v>#NAME?</v>
      </c>
      <c r="BY477" s="2" t="e">
        <f ca="1">_xll.BDH($C$453,"SHORT_AND_LONG_TERM_DEBT","FQ4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77" s="2" t="e">
        <f ca="1">_xll.BDH($C$453,"BS_ST_BORROW","FQ4 2018","FQ4 2018","Currency=INR","Period=FQ","BEST_FPERIOD_OVERRIDE=FQ","FILING_STATUS=OR","EQY_CONSOLIDATED=Y","SCALING_FORMAT=MLN","Sort=A","Dates=H","DateFormat=P","Fill=—","Direction=H","UseDPDF=Y")</f>
        <v>#NAME?</v>
      </c>
      <c r="CA477" s="2" t="e">
        <f ca="1">_xll.BDH($C$453,"BS_LT_BORROW","FQ4 2018","FQ4 2018","Currency=INR","Period=FQ","BEST_FPERIOD_OVERRIDE=FQ","FILING_STATUS=OR","EQY_CONSOLIDATED=Y","SCALING_FORMAT=MLN","Sort=A","Dates=H","DateFormat=P","Fill=—","Direction=H","UseDPDF=Y")</f>
        <v>#NAME?</v>
      </c>
      <c r="CB477" s="1" t="e">
        <f ca="1">_xll.BDH($C$453,"TOT_DEBT_TO_EBITDA","FQ4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77" s="1" t="e">
        <f ca="1">_xll.BDH($C$453,"NET_DEBT_TO_EBITDA","FQ4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77" s="1" t="e">
        <f ca="1">_xll.BDH($C$453,"TOTAL_DEBT_TO_EBIT","FQ4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77" s="1" t="e">
        <f ca="1">_xll.BDH($C$453,"NET_DEBT_TO_EBIT","FQ4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477" s="1" t="e">
        <f ca="1">_xll.BDH($C$453,"EBITDA_TO_INTEREST_EXPN","FQ4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77" s="1" t="e">
        <f ca="1">_xll.BDH($C$453,"COM_EQY_TO_TOT_ASSET","FQ4 2018","FQ4 2018","Currency=INR","Period=FQ","BEST_FPERIOD_OVERRIDE=FQ","FILING_STATUS=OR","EQY_CONSOLIDATED=Y","Sort=A","Dates=H","DateFormat=P","Fill=—","Direction=H","UseDPDF=Y")</f>
        <v>#NAME?</v>
      </c>
      <c r="CH477" s="1" t="e">
        <f ca="1">_xll.BDH($C$453,"LT_DEBT_TO_TOT_EQY","FQ4 2018","FQ4 2018","Currency=INR","Period=FQ","BEST_FPERIOD_OVERRIDE=FQ","FILING_STATUS=OR","EQY_CONSOLIDATED=Y","Sort=A","Dates=H","DateFormat=P","Fill=—","Direction=H","UseDPDF=Y")</f>
        <v>#NAME?</v>
      </c>
      <c r="CI477" s="1" t="e">
        <f ca="1">_xll.BDH($C$453,"LT_DEBT_TO_TOT_CAP","FQ4 2018","FQ4 2018","Currency=INR","Period=FQ","BEST_FPERIOD_OVERRIDE=FQ","FILING_STATUS=OR","EQY_CONSOLIDATED=Y","Sort=A","Dates=H","DateFormat=P","Fill=—","Direction=H","UseDPDF=Y")</f>
        <v>#NAME?</v>
      </c>
      <c r="CJ477" s="1" t="e">
        <f ca="1">_xll.BDH($C$453,"LT_DEBT_TO_TOT_ASSET","FQ4 2018","FQ4 2018","Currency=INR","Period=FQ","BEST_FPERIOD_OVERRIDE=FQ","FILING_STATUS=OR","EQY_CONSOLIDATED=Y","Sort=A","Dates=H","DateFormat=P","Fill=—","Direction=H","UseDPDF=Y")</f>
        <v>#NAME?</v>
      </c>
      <c r="CK477" s="1" t="e">
        <f ca="1">_xll.BDH($C$453,"TOT_DEBT_TO_TOT_EQY","FQ4 2018","FQ4 2018","Currency=INR","Period=FQ","BEST_FPERIOD_OVERRIDE=FQ","FILING_STATUS=OR","EQY_CONSOLIDATED=Y","Sort=A","Dates=H","DateFormat=P","Fill=—","Direction=H","UseDPDF=Y")</f>
        <v>#NAME?</v>
      </c>
      <c r="CL477" s="1" t="e">
        <f ca="1">_xll.BDH($C$453,"TOT_DEBT_TO_TOT_CAP","FQ4 2018","FQ4 2018","Currency=INR","Period=FQ","BEST_FPERIOD_OVERRIDE=FQ","FILING_STATUS=OR","EQY_CONSOLIDATED=Y","Sort=A","Dates=H","DateFormat=P","Fill=—","Direction=H","UseDPDF=Y")</f>
        <v>#NAME?</v>
      </c>
      <c r="CM477" s="1" t="e">
        <f ca="1">_xll.BDH($C$453,"TOT_DEBT_TO_TOT_ASSET","FQ4 2018","FQ4 2018","Currency=INR","Period=FQ","BEST_FPERIOD_OVERRIDE=FQ","FILING_STATUS=OR","EQY_CONSOLIDATED=Y","Sort=A","Dates=H","DateFormat=P","Fill=—","Direction=H","UseDPDF=Y")</f>
        <v>#NAME?</v>
      </c>
      <c r="CN477" s="1" t="e">
        <f ca="1">_xll.BDH($C$453,"NET_DEBT_TO_SHRHLDR_EQTY","FQ4 2018","FQ4 2018","Currency=INR","Period=FQ","BEST_FPERIOD_OVERRIDE=FQ","FILING_STATUS=OR","EQY_CONSOLIDATED=Y","Sort=A","Dates=H","DateFormat=P","Fill=—","Direction=H","UseDPDF=Y")</f>
        <v>#NAME?</v>
      </c>
      <c r="CO477" s="1" t="e">
        <f ca="1">_xll.BDH($C$453,"NET_DEBT_%_CAPITAL","FQ4 2018","FQ4 2018","Currency=INR","Period=FQ","BEST_FPERIOD_OVERRIDE=FQ","FILING_STATUS=OR","EQY_CONSOLIDATED=Y","Sort=A","Dates=H","DateFormat=P","Fill=—","Direction=H","UseDPDF=Y")</f>
        <v>#NAME?</v>
      </c>
      <c r="CP477" s="2" t="e">
        <f ca="1">_xll.BDH($C$453,"EBITDA","FQ4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77" s="2" t="e">
        <f ca="1">_xll.BDH($C$453,"EBITDA_AFTER_CAPEX","FQ4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77" s="2" t="e">
        <f ca="1">_xll.BDH($C$453,"IS_OPER_INC","FQ4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77" s="1" t="e">
        <f ca="1">_xll.BDH($C$453,"CASH_RATIO","FQ4 2018","FQ4 2018","Currency=INR","Period=FQ","BEST_FPERIOD_OVERRIDE=FQ","FILING_STATUS=OR","EQY_CONSOLIDATED=Y","Sort=A","Dates=H","DateFormat=P","Fill=—","Direction=H","UseDPDF=Y")</f>
        <v>#NAME?</v>
      </c>
      <c r="CT477" s="1" t="e">
        <f ca="1">_xll.BDH($C$453,"CUR_RATIO","FQ4 2018","FQ4 2018","Currency=INR","Period=FQ","BEST_FPERIOD_OVERRIDE=FQ","FILING_STATUS=OR","EQY_CONSOLIDATED=Y","Sort=A","Dates=H","DateFormat=P","Fill=—","Direction=H","UseDPDF=Y")</f>
        <v>#NAME?</v>
      </c>
      <c r="CU477" s="1" t="e">
        <f ca="1">_xll.BDH($C$453,"QUICK_RATIO","FQ4 2018","FQ4 2018","Currency=INR","Period=FQ","BEST_FPERIOD_OVERRIDE=FQ","FILING_STATUS=OR","EQY_CONSOLIDATED=Y","Sort=A","Dates=H","DateFormat=P","Fill=—","Direction=H","UseDPDF=Y")</f>
        <v>#NAME?</v>
      </c>
      <c r="CV477" s="1" t="e">
        <f ca="1">_xll.BDH($C$453,"ALTMAN_Z_SCORE","FQ4 2018","FQ4 2018","Currency=INR","Period=FQ","BEST_FPERIOD_OVERRIDE=FQ","FILING_STATUS=OR","EQY_CONSOLIDATED=Y","Sort=A","Dates=H","DateFormat=P","Fill=—","Direction=H","UseDPDF=Y")</f>
        <v>#NAME?</v>
      </c>
      <c r="CW477" s="3" t="e">
        <f ca="1">_xll.BDH($C$453,"ACCT_RCV_TURN","FQ4 2018","FQ4 2018","Currency=INR","Period=FQ","BEST_FPERIOD_OVERRIDE=FQ","FILING_STATUS=OR","EQY_CONSOLIDATED=Y","FA_ADJUSTED=GAAP","Sort=A","Dates=H","DateFormat=P","Fill=—","Direction=H","UseDPDF=Y")</f>
        <v>#NAME?</v>
      </c>
      <c r="CX477" s="1" t="e">
        <f ca="1">_xll.BDH($C$453,"ACCT_RCV_DAYS","FQ4 2018","FQ4 2018","Currency=INR","Period=FQ","BEST_FPERIOD_OVERRIDE=FQ","FILING_STATUS=OR","EQY_CONSOLIDATED=Y","FA_ADJUSTED=GAAP","Sort=A","Dates=H","DateFormat=P","Fill=—","Direction=H","UseDPDF=Y")</f>
        <v>#NAME?</v>
      </c>
      <c r="CY477" s="3" t="e">
        <f ca="1">_xll.BDH($C$453,"INVENT_TURN","FQ4 2018","FQ4 2018","Currency=INR","Period=FQ","BEST_FPERIOD_OVERRIDE=FQ","FILING_STATUS=OR","EQY_CONSOLIDATED=Y","FA_ADJUSTED=GAAP","Sort=A","Dates=H","DateFormat=P","Fill=—","Direction=H","UseDPDF=Y")</f>
        <v>#NAME?</v>
      </c>
      <c r="CZ477" s="1" t="e">
        <f ca="1">_xll.BDH($C$453,"INVENT_DAYS","FQ4 2018","FQ4 2018","Currency=INR","Period=FQ","BEST_FPERIOD_OVERRIDE=FQ","FILING_STATUS=OR","EQY_CONSOLIDATED=Y","FA_ADJUSTED=GAAP","Sort=A","Dates=H","DateFormat=P","Fill=—","Direction=H","UseDPDF=Y")</f>
        <v>#NAME?</v>
      </c>
      <c r="DA477" s="3" t="e">
        <f ca="1">_xll.BDH($C$453,"ACCOUNTS_PAYABLE_TURNOVER","FQ4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77" s="1" t="e">
        <f ca="1">_xll.BDH($C$453,"ACCOUNTS_PAYABLE_TURNOVER_DAYS","FQ4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77" s="3" t="e">
        <f ca="1">_xll.BDH($C$453,"CASH_CONVERSION_CYCLE","FQ4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77" s="3" t="e">
        <f ca="1">_xll.BDH($C$453,"INV_TO_CASH_DAYS","FQ4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477" s="4" t="e">
        <f ca="1">_xll.BDH($C$453,"BS_INVENTORIES","FQ4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477" s="2" t="e">
        <f ca="1">_xll.BDH($C$453,"INVTRY_RAW_MATERIALS","FQ4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77" s="2" t="e">
        <f ca="1">_xll.BDH($C$453,"INVTRY_IN_PROGRESS","FQ4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77" s="2" t="e">
        <f ca="1">_xll.BDH($C$453,"INVTRY_FINISHED_GOODS","FQ4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77" s="2" t="e">
        <f ca="1">_xll.BDH($C$453,"BS_OTHER_INV","FQ4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78" spans="1:113" x14ac:dyDescent="0.3">
      <c r="A478" s="6">
        <v>70</v>
      </c>
      <c r="B478" s="6" t="s">
        <v>48</v>
      </c>
      <c r="C478" s="6" t="s">
        <v>49</v>
      </c>
      <c r="D478" s="6" t="s">
        <v>2</v>
      </c>
      <c r="E478" t="s">
        <v>3</v>
      </c>
      <c r="F478" t="e">
        <f ca="1">_xll.BDH($C$478,"RETURN_COM_EQY","FY 2014","FY 2014","Currency=INR","Period=FY","BEST_FPERIOD_OVERRIDE=FY","FILING_STATUS=OR","EQY_CONSOLIDATED=Y","FA_ADJUSTED=GAAP","Sort=A","Dates=H","DateFormat=P","Fill=—","Direction=H","UseDPDF=Y")</f>
        <v>#NAME?</v>
      </c>
      <c r="G478" t="e">
        <f ca="1">_xll.BDH($C$478,"RETURN_ON_ASSET","FY 2014","FY 2014","Currency=INR","Period=FY","BEST_FPERIOD_OVERRIDE=FY","FILING_STATUS=OR","EQY_CONSOLIDATED=Y","FA_ADJUSTED=GAAP","Sort=A","Dates=H","DateFormat=P","Fill=—","Direction=H","UseDPDF=Y")</f>
        <v>#NAME?</v>
      </c>
      <c r="H478" t="e">
        <f ca="1">_xll.BDH($C$478,"RETURN_ON_CAP","FY 2014","FY 2014","Currency=INR","Period=FY","BEST_FPERIOD_OVERRIDE=FY","FILING_STATUS=OR","EQY_CONSOLIDATED=Y","FA_ADJUSTED=GAAP","Sort=A","Dates=H","DateFormat=P","Fill=—","Direction=H","UseDPDF=Y")</f>
        <v>#NAME?</v>
      </c>
      <c r="I478" t="e">
        <f ca="1">_xll.BDH($C$478,"RETURN_ON_INV_CAPITAL","FY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78" t="e">
        <f ca="1">_xll.BDH($C$478,"EBITDA_TO_REVENUE","FY 2014","FY 2014","Currency=INR","Period=FY","BEST_FPERIOD_OVERRIDE=FY","FILING_STATUS=OR","EQY_CONSOLIDATED=Y","FA_ADJUSTED=GAAP","Sort=A","Dates=H","DateFormat=P","Fill=—","Direction=H","UseDPDF=Y")</f>
        <v>#NAME?</v>
      </c>
      <c r="K478" t="e">
        <f ca="1">_xll.BDH($C$478,"OPER_MARGIN","FY 2014","FY 2014","Currency=INR","Period=FY","BEST_FPERIOD_OVERRIDE=FY","FILING_STATUS=OR","EQY_CONSOLIDATED=Y","FA_ADJUSTED=GAAP","Sort=A","Dates=H","DateFormat=P","Fill=—","Direction=H","UseDPDF=Y")</f>
        <v>#NAME?</v>
      </c>
      <c r="L478" t="e">
        <f ca="1">_xll.BDH($C$478,"INCREMENTAL_OPERATING_MARGIN","FY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78" t="e">
        <f ca="1">_xll.BDH($C$478,"PRETAX_INC_TO_NET_SALES","FY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78" t="e">
        <f ca="1">_xll.BDH($C$478,"INC_BEF_XO_ITEMS_TO_NET_SALES","FY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78" t="e">
        <f ca="1">_xll.BDH($C$478,"PROF_MARGIN","FY 2014","FY 2014","Currency=INR","Period=FY","BEST_FPERIOD_OVERRIDE=FY","FILING_STATUS=OR","EQY_CONSOLIDATED=Y","FA_ADJUSTED=GAAP","Sort=A","Dates=H","DateFormat=P","Fill=—","Direction=H","UseDPDF=Y")</f>
        <v>#NAME?</v>
      </c>
      <c r="P478" t="e">
        <f ca="1">_xll.BDH($C$478,"NET_INCOME_TO_COMMON_MARGIN","FY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78" t="e">
        <f ca="1">_xll.BDH($C$478,"EFF_TAX_RATE","FY 2014","FY 2014","Currency=INR","Period=FY","BEST_FPERIOD_OVERRIDE=FY","FILING_STATUS=OR","EQY_CONSOLIDATED=Y","FA_ADJUSTED=GAAP","Sort=A","Dates=H","DateFormat=P","Fill=—","Direction=H","UseDPDF=Y")</f>
        <v>#NAME?</v>
      </c>
      <c r="R478" t="e">
        <f ca="1">_xll.BDH($C$478,"DVD_PAYOUT_RATIO","FY 2014","FY 2014","Currency=INR","Period=FY","BEST_FPERIOD_OVERRIDE=FY","FILING_STATUS=OR","EQY_CONSOLIDATED=Y","FA_ADJUSTED=GAAP","Sort=A","Dates=H","DateFormat=P","Fill=—","Direction=H","UseDPDF=Y")</f>
        <v>#NAME?</v>
      </c>
      <c r="S478" t="e">
        <f ca="1">_xll.BDH($C$478,"SUSTAIN_GROWTH_RT","FY 2014","FY 2014","Currency=INR","Period=FY","BEST_FPERIOD_OVERRIDE=FY","FILING_STATUS=OR","EQY_CONSOLIDATED=Y","FA_ADJUSTED=GAAP","Sort=A","Dates=H","DateFormat=P","Fill=—","Direction=H","UseDPDF=Y")</f>
        <v>#NAME?</v>
      </c>
      <c r="T478" s="1" t="e">
        <f ca="1">_xll.BDH($C$478,"SALES_GROWTH","FY 2014","FY 2014","Currency=INR","Period=FY","BEST_FPERIOD_OVERRIDE=FY","FILING_STATUS=OR","EQY_CONSOLIDATED=Y","FA_ADJUSTED=GAAP","Sort=A","Dates=H","DateFormat=P","Fill=—","Direction=H","UseDPDF=Y")</f>
        <v>#NAME?</v>
      </c>
      <c r="U478" s="1" t="e">
        <f ca="1">_xll.BDH($C$478,"EBITDA_GROWTH","FY 2014","FY 2014","Currency=INR","Period=FY","BEST_FPERIOD_OVERRIDE=FY","FILING_STATUS=OR","EQY_CONSOLIDATED=Y","FA_ADJUSTED=GAAP","Sort=A","Dates=H","DateFormat=P","Fill=—","Direction=H","UseDPDF=Y")</f>
        <v>#NAME?</v>
      </c>
      <c r="V478" s="1" t="e">
        <f ca="1">_xll.BDH($C$478,"OPER_INC_GROWTH","FY 2014","FY 2014","Currency=INR","Period=FY","BEST_FPERIOD_OVERRIDE=FY","FILING_STATUS=OR","EQY_CONSOLIDATED=Y","FA_ADJUSTED=GAAP","Sort=A","Dates=H","DateFormat=P","Fill=—","Direction=H","UseDPDF=Y")</f>
        <v>#NAME?</v>
      </c>
      <c r="W478" s="1" t="e">
        <f ca="1">_xll.BDH($C$478,"EARN_FOR_COM_GROWTH","FY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478" s="1" t="e">
        <f ca="1">_xll.BDH($C$478,"DILUTED_EPS_AFT_XO_ITEMS_GROWTH","FY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78" s="1" t="e">
        <f ca="1">_xll.BDH($C$478,"DIVIDEND_PER_SHARE_1_YEAR_GROWTH","FY 2014","FY 2014","Currency=INR","Period=FY","BEST_FPERIOD_OVERRIDE=FY","FILING_STATUS=OR","EQY_CONSOLIDATED=Y","Sort=A","Dates=H","DateFormat=P","Fill=—","Direction=H","UseDPDF=Y")</f>
        <v>#NAME?</v>
      </c>
      <c r="Z478" s="1" t="e">
        <f ca="1">_xll.BDH($C$478,"ACCOUNTS_RECEIVABLE_GROWTH","FY 2014","FY 2014","Currency=INR","Period=FY","BEST_FPERIOD_OVERRIDE=FY","FILING_STATUS=OR","EQY_CONSOLIDATED=Y","Sort=A","Dates=H","DateFormat=P","Fill=—","Direction=H","UseDPDF=Y")</f>
        <v>#NAME?</v>
      </c>
      <c r="AA478" s="1" t="e">
        <f ca="1">_xll.BDH($C$478,"INVENTORY_GROWTH","FY 2014","FY 2014","Currency=INR","Period=FY","BEST_FPERIOD_OVERRIDE=FY","FILING_STATUS=OR","EQY_CONSOLIDATED=Y","Sort=A","Dates=H","DateFormat=P","Fill=—","Direction=H","UseDPDF=Y")</f>
        <v>#NAME?</v>
      </c>
      <c r="AB478" s="1" t="e">
        <f ca="1">_xll.BDH($C$478,"NET_FIXED_ASSETS_1_YEAR_GROWTH","FY 2014","FY 2014","Currency=INR","Period=FY","BEST_FPERIOD_OVERRIDE=FY","FILING_STATUS=OR","EQY_CONSOLIDATED=Y","Sort=A","Dates=H","DateFormat=P","Fill=—","Direction=H","UseDPDF=Y")</f>
        <v>#NAME?</v>
      </c>
      <c r="AC478" s="1" t="e">
        <f ca="1">_xll.BDH($C$478,"ASSET_GROWTH","FY 2014","FY 2014","Currency=INR","Period=FY","BEST_FPERIOD_OVERRIDE=FY","FILING_STATUS=OR","EQY_CONSOLIDATED=Y","Sort=A","Dates=H","DateFormat=P","Fill=—","Direction=H","UseDPDF=Y")</f>
        <v>#NAME?</v>
      </c>
      <c r="AD478" s="1" t="e">
        <f ca="1">_xll.BDH($C$478,"MODIFIED_WORK_CAP_GROWTH","FY 2014","FY 2014","Currency=INR","Period=FY","BEST_FPERIOD_OVERRIDE=FY","FILING_STATUS=OR","EQY_CONSOLIDATED=Y","Sort=A","Dates=H","DateFormat=P","Fill=—","Direction=H","UseDPDF=Y")</f>
        <v>#NAME?</v>
      </c>
      <c r="AE478" s="1" t="e">
        <f ca="1">_xll.BDH($C$478,"WORK_CAP_GROWTH","FY 2014","FY 2014","Currency=INR","Period=FY","BEST_FPERIOD_OVERRIDE=FY","FILING_STATUS=OR","EQY_CONSOLIDATED=Y","Sort=A","Dates=H","DateFormat=P","Fill=—","Direction=H","UseDPDF=Y")</f>
        <v>#NAME?</v>
      </c>
      <c r="AF478" s="1" t="e">
        <f ca="1">_xll.BDH($C$478,"ACCOUNTS_PAYABLE_GROWTH_1YR","FY 2014","FY 2014","Currency=INR","Period=FY","BEST_FPERIOD_OVERRIDE=FY","FILING_STATUS=OR","EQY_CONSOLIDATED=Y","Sort=A","Dates=H","DateFormat=P","Fill=—","Direction=H","UseDPDF=Y")</f>
        <v>#NAME?</v>
      </c>
      <c r="AG478" s="1" t="e">
        <f ca="1">_xll.BDH($C$478,"SHORT_TERM_DEBT_1_YEAR_GROWTH","FY 2014","FY 2014","Currency=INR","Period=FY","BEST_FPERIOD_OVERRIDE=FY","FILING_STATUS=OR","EQY_CONSOLIDATED=Y","Sort=A","Dates=H","DateFormat=P","Fill=—","Direction=H","UseDPDF=Y")</f>
        <v>#NAME?</v>
      </c>
      <c r="AH478" s="1" t="e">
        <f ca="1">_xll.BDH($C$478,"TOTAL_DEBT_1_YEAR_GROWTH","FY 2014","FY 2014","Currency=INR","Period=FY","BEST_FPERIOD_OVERRIDE=FY","FILING_STATUS=OR","EQY_CONSOLIDATED=Y","Sort=A","Dates=H","DateFormat=P","Fill=—","Direction=H","UseDPDF=Y")</f>
        <v>#NAME?</v>
      </c>
      <c r="AI478" s="1" t="e">
        <f ca="1">_xll.BDH($C$478,"TOTAL_EQUITY_1_YEAR_GROWTH","FY 2014","FY 2014","Currency=INR","Period=FY","BEST_FPERIOD_OVERRIDE=FY","FILING_STATUS=OR","EQY_CONSOLIDATED=Y","Sort=A","Dates=H","DateFormat=P","Fill=—","Direction=H","UseDPDF=Y")</f>
        <v>#NAME?</v>
      </c>
      <c r="AJ478" s="1" t="e">
        <f ca="1">_xll.BDH($C$478,"GROWTH_IN_CAP","FY 2014","FY 2014","Currency=INR","Period=FY","BEST_FPERIOD_OVERRIDE=FY","FILING_STATUS=OR","EQY_CONSOLIDATED=Y","Sort=A","Dates=H","DateFormat=P","Fill=—","Direction=H","UseDPDF=Y")</f>
        <v>#NAME?</v>
      </c>
      <c r="AK478" s="1" t="e">
        <f ca="1">_xll.BDH($C$478,"BVPS_GROWTH","FY 2014","FY 2014","Currency=INR","Period=FY","BEST_FPERIOD_OVERRIDE=FY","FILING_STATUS=OR","EQY_CONSOLIDATED=Y","Sort=A","Dates=H","DateFormat=P","Fill=—","Direction=H","UseDPDF=Y")</f>
        <v>#NAME?</v>
      </c>
      <c r="AL478" s="1" t="e">
        <f ca="1">_xll.BDH($C$478,"CASH_FLOW_GROWTH","FY 2014","FY 2014","Currency=INR","Period=FY","BEST_FPERIOD_OVERRIDE=FY","FILING_STATUS=OR","EQY_CONSOLIDATED=Y","Sort=A","Dates=H","DateFormat=P","Fill=—","Direction=H","UseDPDF=Y")</f>
        <v>#NAME?</v>
      </c>
      <c r="AM478" s="1" t="e">
        <f ca="1">_xll.BDH($C$478,"GEO_GROW_NET_SALES","FY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478" s="1" t="e">
        <f ca="1">_xll.BDH($C$478,"GEO_GROW_EBITDA","FY 2014","FY 2014","Currency=INR","Period=FY","BEST_FPERIOD_OVERRIDE=FY","FILING_STATUS=OR","EQY_CONSOLIDATED=Y","FA_ADJUSTED=GAAP","Sort=A","Dates=H","DateFormat=P","Fill=—","Direction=H","UseDPDF=Y")</f>
        <v>#NAME?</v>
      </c>
      <c r="AO478" s="1" t="e">
        <f ca="1">_xll.BDH($C$478,"GEO_GROW_OPER_INC","FY 2014","FY 2014","Currency=INR","Period=FY","BEST_FPERIOD_OVERRIDE=FY","FILING_STATUS=OR","EQY_CONSOLIDATED=Y","FA_ADJUSTED=GAAP","Sort=A","Dates=H","DateFormat=P","Fill=—","Direction=H","UseDPDF=Y")</f>
        <v>#NAME?</v>
      </c>
      <c r="AP478" s="1" t="e">
        <f ca="1">_xll.BDH($C$478,"NET_INCOME_TO_COMMON_5_YR_GROWTH","FY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78" s="1" t="e">
        <f ca="1">_xll.BDH($C$478,"5Y_GEO_GROWTH_DILUTED_EPS","FY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78" s="1" t="e">
        <f ca="1">_xll.BDH($C$478,"GEO_GROW_DVD_PER_SH","FY 2014","FY 2014","Currency=INR","Period=FY","BEST_FPERIOD_OVERRIDE=FY","FILING_STATUS=OR","EQY_CONSOLIDATED=Y","Sort=A","Dates=H","DateFormat=P","Fill=—","Direction=H","UseDPDF=Y")</f>
        <v>#NAME?</v>
      </c>
      <c r="AS478" s="1" t="e">
        <f ca="1">_xll.BDH($C$478,"ACCOUNTS_RECEIVABLE_5_YR_GROWTH","FY 2014","FY 2014","Currency=INR","Period=FY","BEST_FPERIOD_OVERRIDE=FY","FILING_STATUS=OR","EQY_CONSOLIDATED=Y","Sort=A","Dates=H","DateFormat=P","Fill=—","Direction=H","UseDPDF=Y")</f>
        <v>#NAME?</v>
      </c>
      <c r="AT478" s="1" t="e">
        <f ca="1">_xll.BDH($C$478,"INVENTORY_5_YEAR_GROWTH","FY 2014","FY 2014","Currency=INR","Period=FY","BEST_FPERIOD_OVERRIDE=FY","FILING_STATUS=OR","EQY_CONSOLIDATED=Y","Sort=A","Dates=H","DateFormat=P","Fill=—","Direction=H","UseDPDF=Y")</f>
        <v>#NAME?</v>
      </c>
      <c r="AU478" s="1" t="e">
        <f ca="1">_xll.BDH($C$478,"NET_FIXED_ASSETS_5_YEAR_GROWTH","FY 2014","FY 2014","Currency=INR","Period=FY","BEST_FPERIOD_OVERRIDE=FY","FILING_STATUS=OR","EQY_CONSOLIDATED=Y","Sort=A","Dates=H","DateFormat=P","Fill=—","Direction=H","UseDPDF=Y")</f>
        <v>#NAME?</v>
      </c>
      <c r="AV478" s="1" t="e">
        <f ca="1">_xll.BDH($C$478,"GEO_GROW_TOT_ASSET","FY 2014","FY 2014","Currency=INR","Period=FY","BEST_FPERIOD_OVERRIDE=FY","FILING_STATUS=OR","EQY_CONSOLIDATED=Y","Sort=A","Dates=H","DateFormat=P","Fill=—","Direction=H","UseDPDF=Y")</f>
        <v>#NAME?</v>
      </c>
      <c r="AW478" s="1" t="e">
        <f ca="1">_xll.BDH($C$478,"MODIFIED_WORKING_CPTL_5YR_GRWTH","FY 2014","FY 2014","Currency=INR","Period=FY","BEST_FPERIOD_OVERRIDE=FY","FILING_STATUS=OR","EQY_CONSOLIDATED=Y","Sort=A","Dates=H","DateFormat=P","Fill=—","Direction=H","UseDPDF=Y")</f>
        <v>#NAME?</v>
      </c>
      <c r="AX478" s="1" t="e">
        <f ca="1">_xll.BDH($C$478,"WORKING_CAPITAL_5_YEAR_GROWTH","FY 2014","FY 2014","Currency=INR","Period=FY","BEST_FPERIOD_OVERRIDE=FY","FILING_STATUS=OR","EQY_CONSOLIDATED=Y","Sort=A","Dates=H","DateFormat=P","Fill=—","Direction=H","UseDPDF=Y")</f>
        <v>#NAME?</v>
      </c>
      <c r="AY478" s="1" t="e">
        <f ca="1">_xll.BDH($C$478,"ACCOUNTS_PAYABLE_5_YEAR_GROWTH","FY 2014","FY 2014","Currency=INR","Period=FY","BEST_FPERIOD_OVERRIDE=FY","FILING_STATUS=OR","EQY_CONSOLIDATED=Y","Sort=A","Dates=H","DateFormat=P","Fill=—","Direction=H","UseDPDF=Y")</f>
        <v>#NAME?</v>
      </c>
      <c r="AZ478" s="1" t="e">
        <f ca="1">_xll.BDH($C$478,"SHORT_TERM_DEBT_5_YEAR_GROWTH","FY 2014","FY 2014","Currency=INR","Period=FY","BEST_FPERIOD_OVERRIDE=FY","FILING_STATUS=OR","EQY_CONSOLIDATED=Y","Sort=A","Dates=H","DateFormat=P","Fill=—","Direction=H","UseDPDF=Y")</f>
        <v>#NAME?</v>
      </c>
      <c r="BA478" s="1" t="e">
        <f ca="1">_xll.BDH($C$478,"TOTAL_DEBT_5_YEAR_GROWTH","FY 2014","FY 2014","Currency=INR","Period=FY","BEST_FPERIOD_OVERRIDE=FY","FILING_STATUS=OR","EQY_CONSOLIDATED=Y","Sort=A","Dates=H","DateFormat=P","Fill=—","Direction=H","UseDPDF=Y")</f>
        <v>#NAME?</v>
      </c>
      <c r="BB478" s="1" t="e">
        <f ca="1">_xll.BDH($C$478,"GEO_GROW_TOT_SHRHLDR_EQY","FY 2014","FY 2014","Currency=INR","Period=FY","BEST_FPERIOD_OVERRIDE=FY","FILING_STATUS=OR","EQY_CONSOLIDATED=Y","Sort=A","Dates=H","DateFormat=P","Fill=—","Direction=H","UseDPDF=Y")</f>
        <v>#NAME?</v>
      </c>
      <c r="BC478" s="1" t="e">
        <f ca="1">_xll.BDH($C$478,"TOTAL_CAPITAL_5_YEAR_GROWTH","FY 2014","FY 2014","Currency=INR","Period=FY","BEST_FPERIOD_OVERRIDE=FY","FILING_STATUS=OR","EQY_CONSOLIDATED=Y","Sort=A","Dates=H","DateFormat=P","Fill=—","Direction=H","UseDPDF=Y")</f>
        <v>#NAME?</v>
      </c>
      <c r="BD478" s="1" t="e">
        <f ca="1">_xll.BDH($C$478,"GEO_GROW_BOOK_VAL","FY 2014","FY 2014","Currency=INR","Period=FY","BEST_FPERIOD_OVERRIDE=FY","FILING_STATUS=OR","EQY_CONSOLIDATED=Y","Sort=A","Dates=H","DateFormat=P","Fill=—","Direction=H","UseDPDF=Y")</f>
        <v>#NAME?</v>
      </c>
      <c r="BE478" s="1" t="e">
        <f ca="1">_xll.BDH($C$478,"GEO_GROW_CASH_OPER_ACT","FY 2014","FY 2014","Currency=INR","Period=FY","BEST_FPERIOD_OVERRIDE=FY","FILING_STATUS=OR","EQY_CONSOLIDATED=Y","Sort=A","Dates=H","DateFormat=P","Fill=—","Direction=H","UseDPDF=Y")</f>
        <v>#NAME?</v>
      </c>
      <c r="BF478" s="1" t="e">
        <f ca="1">_xll.BDH($C$478,"REVENUE_SEQUENTIAL_GROWTH","FY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78" s="1" t="e">
        <f ca="1">_xll.BDH($C$478,"EBITDA_SEQUENTIAL_GROWTH","FY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78" s="1" t="e">
        <f ca="1">_xll.BDH($C$478,"OPERATING_INCOME_SEQ_GROWTH","FY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78" s="1" t="e">
        <f ca="1">_xll.BDH($C$478,"NET_INCOME_TO_COMMON_SEQ_GROWTH","FY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78" s="1" t="e">
        <f ca="1">_xll.BDH($C$478,"EPS_DILUTED_SEQUENTIAL_GROWTH","FY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78" s="1" t="e">
        <f ca="1">_xll.BDH($C$478,"DPS_SEQUENTIAL_GROWTH","FY 2014","FY 2014","Currency=INR","Period=FY","BEST_FPERIOD_OVERRIDE=FY","FILING_STATUS=OR","EQY_CONSOLIDATED=Y","Sort=A","Dates=H","DateFormat=P","Fill=—","Direction=H","UseDPDF=Y")</f>
        <v>#NAME?</v>
      </c>
      <c r="BL478" s="1" t="e">
        <f ca="1">_xll.BDH($C$478,"ACCOUNTS_RECEIVABLE_SEQ_GROWTH","FY 2014","FY 2014","Currency=INR","Period=FY","BEST_FPERIOD_OVERRIDE=FY","FILING_STATUS=OR","EQY_CONSOLIDATED=Y","Sort=A","Dates=H","DateFormat=P","Fill=—","Direction=H","UseDPDF=Y")</f>
        <v>#NAME?</v>
      </c>
      <c r="BM478" s="1" t="e">
        <f ca="1">_xll.BDH($C$478,"INVENTORY_SEQUENTIAL_GROWTH","FY 2014","FY 2014","Currency=INR","Period=FY","BEST_FPERIOD_OVERRIDE=FY","FILING_STATUS=OR","EQY_CONSOLIDATED=Y","Sort=A","Dates=H","DateFormat=P","Fill=—","Direction=H","UseDPDF=Y")</f>
        <v>#NAME?</v>
      </c>
      <c r="BN478" s="1" t="e">
        <f ca="1">_xll.BDH($C$478,"FIXED_ASSETS_SEQUENTIAL_GROWTH","FY 2014","FY 2014","Currency=INR","Period=FY","BEST_FPERIOD_OVERRIDE=FY","FILING_STATUS=OR","EQY_CONSOLIDATED=Y","Sort=A","Dates=H","DateFormat=P","Fill=—","Direction=H","UseDPDF=Y")</f>
        <v>#NAME?</v>
      </c>
      <c r="BO478" s="1" t="e">
        <f ca="1">_xll.BDH($C$478,"TOTAL_ASSETS_SEQUENTIAL_GROWTH","FY 2014","FY 2014","Currency=INR","Period=FY","BEST_FPERIOD_OVERRIDE=FY","FILING_STATUS=OR","EQY_CONSOLIDATED=Y","Sort=A","Dates=H","DateFormat=P","Fill=—","Direction=H","UseDPDF=Y")</f>
        <v>#NAME?</v>
      </c>
      <c r="BP478" s="1" t="e">
        <f ca="1">_xll.BDH($C$478,"MODIFIED_WORKING_CPTL_SEQ_GRWTH","FY 2014","FY 2014","Currency=INR","Period=FY","BEST_FPERIOD_OVERRIDE=FY","FILING_STATUS=OR","EQY_CONSOLIDATED=Y","Sort=A","Dates=H","DateFormat=P","Fill=—","Direction=H","UseDPDF=Y")</f>
        <v>#NAME?</v>
      </c>
      <c r="BQ478" s="1" t="e">
        <f ca="1">_xll.BDH($C$478,"WORKING_CAPITAL_SEQ_GROWTH","FY 2014","FY 2014","Currency=INR","Period=FY","BEST_FPERIOD_OVERRIDE=FY","FILING_STATUS=OR","EQY_CONSOLIDATED=Y","Sort=A","Dates=H","DateFormat=P","Fill=—","Direction=H","UseDPDF=Y")</f>
        <v>#NAME?</v>
      </c>
      <c r="BR478" s="1" t="e">
        <f ca="1">_xll.BDH($C$478,"ACCOUNTS_PAYABLE_SEQ_GROWTH","FY 2014","FY 2014","Currency=INR","Period=FY","BEST_FPERIOD_OVERRIDE=FY","FILING_STATUS=OR","EQY_CONSOLIDATED=Y","Sort=A","Dates=H","DateFormat=P","Fill=—","Direction=H","UseDPDF=Y")</f>
        <v>#NAME?</v>
      </c>
      <c r="BS478" s="1" t="e">
        <f ca="1">_xll.BDH($C$478,"ST_DEBT_SEQUENTIAL_GROWTH","FY 2014","FY 2014","Currency=INR","Period=FY","BEST_FPERIOD_OVERRIDE=FY","FILING_STATUS=OR","EQY_CONSOLIDATED=Y","Sort=A","Dates=H","DateFormat=P","Fill=—","Direction=H","UseDPDF=Y")</f>
        <v>#NAME?</v>
      </c>
      <c r="BT478" s="1" t="e">
        <f ca="1">_xll.BDH($C$478,"TOTAL_DEBT_SEQUENTIAL_GROWTH","FY 2014","FY 2014","Currency=INR","Period=FY","BEST_FPERIOD_OVERRIDE=FY","FILING_STATUS=OR","EQY_CONSOLIDATED=Y","Sort=A","Dates=H","DateFormat=P","Fill=—","Direction=H","UseDPDF=Y")</f>
        <v>#NAME?</v>
      </c>
      <c r="BU478" s="1" t="e">
        <f ca="1">_xll.BDH($C$478,"TOTAL_EQUITY_SEQUENTIAL_GROWTH","FY 2014","FY 2014","Currency=INR","Period=FY","BEST_FPERIOD_OVERRIDE=FY","FILING_STATUS=OR","EQY_CONSOLIDATED=Y","Sort=A","Dates=H","DateFormat=P","Fill=—","Direction=H","UseDPDF=Y")</f>
        <v>#NAME?</v>
      </c>
      <c r="BV478" s="1" t="e">
        <f ca="1">_xll.BDH($C$478,"TOTAL_CAPITAL_SEQUENTIAL_GROWTH","FY 2014","FY 2014","Currency=INR","Period=FY","BEST_FPERIOD_OVERRIDE=FY","FILING_STATUS=OR","EQY_CONSOLIDATED=Y","Sort=A","Dates=H","DateFormat=P","Fill=—","Direction=H","UseDPDF=Y")</f>
        <v>#NAME?</v>
      </c>
      <c r="BW478" s="1" t="e">
        <f ca="1">_xll.BDH($C$478,"BPS_SEQUENTIAL_GROWTH","FY 2014","FY 2014","Currency=INR","Period=FY","BEST_FPERIOD_OVERRIDE=FY","FILING_STATUS=OR","EQY_CONSOLIDATED=Y","Sort=A","Dates=H","DateFormat=P","Fill=—","Direction=H","UseDPDF=Y")</f>
        <v>#NAME?</v>
      </c>
      <c r="BX478" s="1" t="e">
        <f ca="1">_xll.BDH($C$478,"CFO_SEQUENTIAL_GROWTH","FY 2014","FY 2014","Currency=INR","Period=FY","BEST_FPERIOD_OVERRIDE=FY","FILING_STATUS=OR","EQY_CONSOLIDATED=Y","Sort=A","Dates=H","DateFormat=P","Fill=—","Direction=H","UseDPDF=Y")</f>
        <v>#NAME?</v>
      </c>
      <c r="BY478" s="2" t="e">
        <f ca="1">_xll.BDH($C$478,"SHORT_AND_LONG_TERM_DEBT","FY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78" s="2" t="e">
        <f ca="1">_xll.BDH($C$478,"BS_ST_BORROW","FY 2014","FY 2014","Currency=INR","Period=FY","BEST_FPERIOD_OVERRIDE=FY","FILING_STATUS=OR","EQY_CONSOLIDATED=Y","SCALING_FORMAT=MLN","Sort=A","Dates=H","DateFormat=P","Fill=—","Direction=H","UseDPDF=Y")</f>
        <v>#NAME?</v>
      </c>
      <c r="CA478" s="2" t="e">
        <f ca="1">_xll.BDH($C$478,"BS_LT_BORROW","FY 2014","FY 2014","Currency=INR","Period=FY","BEST_FPERIOD_OVERRIDE=FY","FILING_STATUS=OR","EQY_CONSOLIDATED=Y","SCALING_FORMAT=MLN","Sort=A","Dates=H","DateFormat=P","Fill=—","Direction=H","UseDPDF=Y")</f>
        <v>#NAME?</v>
      </c>
      <c r="CB478" s="1" t="e">
        <f ca="1">_xll.BDH($C$478,"TOT_DEBT_TO_EBITDA","FY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478" s="1" t="e">
        <f ca="1">_xll.BDH($C$478,"NET_DEBT_TO_EBITDA","FY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478" s="1" t="e">
        <f ca="1">_xll.BDH($C$478,"TOTAL_DEBT_TO_EBIT","FY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478" s="1" t="e">
        <f ca="1">_xll.BDH($C$478,"NET_DEBT_TO_EBIT","FY 2014","FY 2014","Currency=INR","Period=FY","BEST_FPERIOD_OVERRIDE=FY","FILING_STATUS=OR","EQY_CONSOLIDATED=Y","FA_ADJUSTED=GAAP","Sort=A","Dates=H","DateFormat=P","Fill=—","Direction=H","UseDPDF=Y")</f>
        <v>#NAME?</v>
      </c>
      <c r="CF478" s="1" t="e">
        <f ca="1">_xll.BDH($C$478,"EBITDA_TO_INTEREST_EXPN","FY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78" s="1" t="e">
        <f ca="1">_xll.BDH($C$478,"COM_EQY_TO_TOT_ASSET","FY 2014","FY 2014","Currency=INR","Period=FY","BEST_FPERIOD_OVERRIDE=FY","FILING_STATUS=OR","EQY_CONSOLIDATED=Y","Sort=A","Dates=H","DateFormat=P","Fill=—","Direction=H","UseDPDF=Y")</f>
        <v>#NAME?</v>
      </c>
      <c r="CH478" s="1" t="e">
        <f ca="1">_xll.BDH($C$478,"LT_DEBT_TO_TOT_EQY","FY 2014","FY 2014","Currency=INR","Period=FY","BEST_FPERIOD_OVERRIDE=FY","FILING_STATUS=OR","EQY_CONSOLIDATED=Y","Sort=A","Dates=H","DateFormat=P","Fill=—","Direction=H","UseDPDF=Y")</f>
        <v>#NAME?</v>
      </c>
      <c r="CI478" s="1" t="e">
        <f ca="1">_xll.BDH($C$478,"LT_DEBT_TO_TOT_CAP","FY 2014","FY 2014","Currency=INR","Period=FY","BEST_FPERIOD_OVERRIDE=FY","FILING_STATUS=OR","EQY_CONSOLIDATED=Y","Sort=A","Dates=H","DateFormat=P","Fill=—","Direction=H","UseDPDF=Y")</f>
        <v>#NAME?</v>
      </c>
      <c r="CJ478" s="1" t="e">
        <f ca="1">_xll.BDH($C$478,"LT_DEBT_TO_TOT_ASSET","FY 2014","FY 2014","Currency=INR","Period=FY","BEST_FPERIOD_OVERRIDE=FY","FILING_STATUS=OR","EQY_CONSOLIDATED=Y","Sort=A","Dates=H","DateFormat=P","Fill=—","Direction=H","UseDPDF=Y")</f>
        <v>#NAME?</v>
      </c>
      <c r="CK478" s="1" t="e">
        <f ca="1">_xll.BDH($C$478,"TOT_DEBT_TO_TOT_EQY","FY 2014","FY 2014","Currency=INR","Period=FY","BEST_FPERIOD_OVERRIDE=FY","FILING_STATUS=OR","EQY_CONSOLIDATED=Y","Sort=A","Dates=H","DateFormat=P","Fill=—","Direction=H","UseDPDF=Y")</f>
        <v>#NAME?</v>
      </c>
      <c r="CL478" s="1" t="e">
        <f ca="1">_xll.BDH($C$478,"TOT_DEBT_TO_TOT_CAP","FY 2014","FY 2014","Currency=INR","Period=FY","BEST_FPERIOD_OVERRIDE=FY","FILING_STATUS=OR","EQY_CONSOLIDATED=Y","Sort=A","Dates=H","DateFormat=P","Fill=—","Direction=H","UseDPDF=Y")</f>
        <v>#NAME?</v>
      </c>
      <c r="CM478" s="1" t="e">
        <f ca="1">_xll.BDH($C$478,"TOT_DEBT_TO_TOT_ASSET","FY 2014","FY 2014","Currency=INR","Period=FY","BEST_FPERIOD_OVERRIDE=FY","FILING_STATUS=OR","EQY_CONSOLIDATED=Y","Sort=A","Dates=H","DateFormat=P","Fill=—","Direction=H","UseDPDF=Y")</f>
        <v>#NAME?</v>
      </c>
      <c r="CN478" s="1" t="e">
        <f ca="1">_xll.BDH($C$478,"NET_DEBT_TO_SHRHLDR_EQTY","FY 2014","FY 2014","Currency=INR","Period=FY","BEST_FPERIOD_OVERRIDE=FY","FILING_STATUS=OR","EQY_CONSOLIDATED=Y","Sort=A","Dates=H","DateFormat=P","Fill=—","Direction=H","UseDPDF=Y")</f>
        <v>#NAME?</v>
      </c>
      <c r="CO478" s="1" t="e">
        <f ca="1">_xll.BDH($C$478,"NET_DEBT_%_CAPITAL","FY 2014","FY 2014","Currency=INR","Period=FY","BEST_FPERIOD_OVERRIDE=FY","FILING_STATUS=OR","EQY_CONSOLIDATED=Y","Sort=A","Dates=H","DateFormat=P","Fill=—","Direction=H","UseDPDF=Y")</f>
        <v>#NAME?</v>
      </c>
      <c r="CP478" s="2" t="e">
        <f ca="1">_xll.BDH($C$478,"EBITDA","FY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78" s="2" t="e">
        <f ca="1">_xll.BDH($C$478,"EBITDA_AFTER_CAPEX","FY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78" s="2" t="e">
        <f ca="1">_xll.BDH($C$478,"IS_OPER_INC","FY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78" s="1" t="e">
        <f ca="1">_xll.BDH($C$478,"CASH_RATIO","FY 2014","FY 2014","Currency=INR","Period=FY","BEST_FPERIOD_OVERRIDE=FY","FILING_STATUS=OR","EQY_CONSOLIDATED=Y","Sort=A","Dates=H","DateFormat=P","Fill=—","Direction=H","UseDPDF=Y")</f>
        <v>#NAME?</v>
      </c>
      <c r="CT478" s="1" t="e">
        <f ca="1">_xll.BDH($C$478,"CUR_RATIO","FY 2014","FY 2014","Currency=INR","Period=FY","BEST_FPERIOD_OVERRIDE=FY","FILING_STATUS=OR","EQY_CONSOLIDATED=Y","Sort=A","Dates=H","DateFormat=P","Fill=—","Direction=H","UseDPDF=Y")</f>
        <v>#NAME?</v>
      </c>
      <c r="CU478" s="1" t="e">
        <f ca="1">_xll.BDH($C$478,"QUICK_RATIO","FY 2014","FY 2014","Currency=INR","Period=FY","BEST_FPERIOD_OVERRIDE=FY","FILING_STATUS=OR","EQY_CONSOLIDATED=Y","Sort=A","Dates=H","DateFormat=P","Fill=—","Direction=H","UseDPDF=Y")</f>
        <v>#NAME?</v>
      </c>
      <c r="CV478" s="1" t="e">
        <f ca="1">_xll.BDH($C$478,"ALTMAN_Z_SCORE","FY 2014","FY 2014","Currency=INR","Period=FY","BEST_FPERIOD_OVERRIDE=FY","FILING_STATUS=OR","EQY_CONSOLIDATED=Y","Sort=A","Dates=H","DateFormat=P","Fill=—","Direction=H","UseDPDF=Y")</f>
        <v>#NAME?</v>
      </c>
      <c r="CW478" s="3" t="e">
        <f ca="1">_xll.BDH($C$478,"ACCT_RCV_TURN","FY 2014","FY 2014","Currency=INR","Period=FY","BEST_FPERIOD_OVERRIDE=FY","FILING_STATUS=OR","EQY_CONSOLIDATED=Y","FA_ADJUSTED=GAAP","Sort=A","Dates=H","DateFormat=P","Fill=—","Direction=H","UseDPDF=Y")</f>
        <v>#NAME?</v>
      </c>
      <c r="CX478" s="1" t="e">
        <f ca="1">_xll.BDH($C$478,"ACCT_RCV_DAYS","FY 2014","FY 2014","Currency=INR","Period=FY","BEST_FPERIOD_OVERRIDE=FY","FILING_STATUS=OR","EQY_CONSOLIDATED=Y","FA_ADJUSTED=GAAP","Sort=A","Dates=H","DateFormat=P","Fill=—","Direction=H","UseDPDF=Y")</f>
        <v>#NAME?</v>
      </c>
      <c r="CY478" s="3" t="e">
        <f ca="1">_xll.BDH($C$478,"INVENT_TURN","FY 2014","FY 2014","Currency=INR","Period=FY","BEST_FPERIOD_OVERRIDE=FY","FILING_STATUS=OR","EQY_CONSOLIDATED=Y","FA_ADJUSTED=GAAP","Sort=A","Dates=H","DateFormat=P","Fill=—","Direction=H","UseDPDF=Y")</f>
        <v>#NAME?</v>
      </c>
      <c r="CZ478" s="1" t="e">
        <f ca="1">_xll.BDH($C$478,"INVENT_DAYS","FY 2014","FY 2014","Currency=INR","Period=FY","BEST_FPERIOD_OVERRIDE=FY","FILING_STATUS=OR","EQY_CONSOLIDATED=Y","FA_ADJUSTED=GAAP","Sort=A","Dates=H","DateFormat=P","Fill=—","Direction=H","UseDPDF=Y")</f>
        <v>#NAME?</v>
      </c>
      <c r="DA478" s="3" t="e">
        <f ca="1">_xll.BDH($C$478,"ACCOUNTS_PAYABLE_TURNOVER","FY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78" s="1" t="e">
        <f ca="1">_xll.BDH($C$478,"ACCOUNTS_PAYABLE_TURNOVER_DAYS","FY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78" s="3" t="e">
        <f ca="1">_xll.BDH($C$478,"CASH_CONVERSION_CYCLE","FY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78" s="3" t="e">
        <f ca="1">_xll.BDH($C$478,"INV_TO_CASH_DAYS","FY 2014","FY 2014","Currency=INR","Period=FY","BEST_FPERIOD_OVERRIDE=FY","FILING_STATUS=OR","EQY_CONSOLIDATED=Y","FA_ADJUSTED=GAAP","Sort=A","Dates=H","DateFormat=P","Fill=—","Direction=H","UseDPDF=Y")</f>
        <v>#NAME?</v>
      </c>
      <c r="DE478" s="4" t="e">
        <f ca="1">_xll.BDH($C$478,"BS_INVENTORIES","FY 2014","FY 2014","Currency=INR","Period=FY","BEST_FPERIOD_OVERRIDE=FY","FILING_STATUS=OR","EQY_CONSOLIDATED=Y","SCALING_FORMAT=MLN","Sort=A","Dates=H","DateFormat=P","Fill=—","Direction=H","UseDPDF=Y")</f>
        <v>#NAME?</v>
      </c>
      <c r="DF478" s="2" t="e">
        <f ca="1">_xll.BDH($C$478,"INVTRY_RAW_MATERIALS","FY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78" s="2" t="e">
        <f ca="1">_xll.BDH($C$478,"INVTRY_IN_PROGRESS","FY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78" s="2" t="e">
        <f ca="1">_xll.BDH($C$478,"INVTRY_FINISHED_GOODS","FY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78" s="2" t="e">
        <f ca="1">_xll.BDH($C$478,"BS_OTHER_INV","FY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79" spans="1:113" x14ac:dyDescent="0.3">
      <c r="A479" s="6"/>
      <c r="B479" s="6"/>
      <c r="C479" s="6"/>
      <c r="D479" s="6"/>
      <c r="E479" t="s">
        <v>4</v>
      </c>
      <c r="F479" t="e">
        <f ca="1">_xll.BDH($C$478,"RETURN_COM_EQY","FQ1 2014","FQ1 2014","Currency=INR","Period=FQ","BEST_FPERIOD_OVERRIDE=FQ","FILING_STATUS=OR","EQY_CONSOLIDATED=Y","FA_ADJUSTED=GAAP","Sort=A","Dates=H","DateFormat=P","Fill=—","Direction=H","UseDPDF=Y")</f>
        <v>#NAME?</v>
      </c>
      <c r="G479" t="e">
        <f ca="1">_xll.BDH($C$478,"RETURN_ON_ASSET","FQ1 2014","FQ1 2014","Currency=INR","Period=FQ","BEST_FPERIOD_OVERRIDE=FQ","FILING_STATUS=OR","EQY_CONSOLIDATED=Y","FA_ADJUSTED=GAAP","Sort=A","Dates=H","DateFormat=P","Fill=—","Direction=H","UseDPDF=Y")</f>
        <v>#NAME?</v>
      </c>
      <c r="H479" t="e">
        <f ca="1">_xll.BDH($C$478,"RETURN_ON_CAP","FQ1 2014","FQ1 2014","Currency=INR","Period=FQ","BEST_FPERIOD_OVERRIDE=FQ","FILING_STATUS=OR","EQY_CONSOLIDATED=Y","FA_ADJUSTED=GAAP","Sort=A","Dates=H","DateFormat=P","Fill=—","Direction=H","UseDPDF=Y")</f>
        <v>#NAME?</v>
      </c>
      <c r="I479" t="e">
        <f ca="1">_xll.BDH($C$478,"RETURN_ON_INV_CAPITAL","FQ1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79" t="e">
        <f ca="1">_xll.BDH($C$478,"EBITDA_TO_REVENUE","FQ1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479" t="e">
        <f ca="1">_xll.BDH($C$478,"OPER_MARGIN","FQ1 2014","FQ1 2014","Currency=INR","Period=FQ","BEST_FPERIOD_OVERRIDE=FQ","FILING_STATUS=OR","EQY_CONSOLIDATED=Y","FA_ADJUSTED=GAAP","Sort=A","Dates=H","DateFormat=P","Fill=—","Direction=H","UseDPDF=Y")</f>
        <v>#NAME?</v>
      </c>
      <c r="L479" t="e">
        <f ca="1">_xll.BDH($C$478,"INCREMENTAL_OPERATING_MARGIN","FQ1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79" t="e">
        <f ca="1">_xll.BDH($C$478,"PRETAX_INC_TO_NET_SALES","FQ1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79" t="e">
        <f ca="1">_xll.BDH($C$478,"INC_BEF_XO_ITEMS_TO_NET_SALES","FQ1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79" t="e">
        <f ca="1">_xll.BDH($C$478,"PROF_MARGIN","FQ1 2014","FQ1 2014","Currency=INR","Period=FQ","BEST_FPERIOD_OVERRIDE=FQ","FILING_STATUS=OR","EQY_CONSOLIDATED=Y","FA_ADJUSTED=GAAP","Sort=A","Dates=H","DateFormat=P","Fill=—","Direction=H","UseDPDF=Y")</f>
        <v>#NAME?</v>
      </c>
      <c r="P479" t="e">
        <f ca="1">_xll.BDH($C$478,"NET_INCOME_TO_COMMON_MARGIN","FQ1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79" t="e">
        <f ca="1">_xll.BDH($C$478,"EFF_TAX_RATE","FQ1 2014","FQ1 2014","Currency=INR","Period=FQ","BEST_FPERIOD_OVERRIDE=FQ","FILING_STATUS=OR","EQY_CONSOLIDATED=Y","FA_ADJUSTED=GAAP","Sort=A","Dates=H","DateFormat=P","Fill=—","Direction=H","UseDPDF=Y")</f>
        <v>#NAME?</v>
      </c>
      <c r="R479" t="e">
        <f ca="1">_xll.BDH($C$478,"DVD_PAYOUT_RATIO","FQ1 2014","FQ1 2014","Currency=INR","Period=FQ","BEST_FPERIOD_OVERRIDE=FQ","FILING_STATUS=OR","EQY_CONSOLIDATED=Y","FA_ADJUSTED=GAAP","Sort=A","Dates=H","DateFormat=P","Fill=—","Direction=H","UseDPDF=Y")</f>
        <v>#NAME?</v>
      </c>
      <c r="S479" t="e">
        <f ca="1">_xll.BDH($C$478,"SUSTAIN_GROWTH_RT","FQ1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479" s="1" t="e">
        <f ca="1">_xll.BDH($C$478,"SALES_GROWTH","FQ1 2014","FQ1 2014","Currency=INR","Period=FQ","BEST_FPERIOD_OVERRIDE=FQ","FILING_STATUS=OR","EQY_CONSOLIDATED=Y","FA_ADJUSTED=GAAP","Sort=A","Dates=H","DateFormat=P","Fill=—","Direction=H","UseDPDF=Y")</f>
        <v>#NAME?</v>
      </c>
      <c r="U479" s="1" t="e">
        <f ca="1">_xll.BDH($C$478,"EBITDA_GROWTH","FQ1 2014","FQ1 2014","Currency=INR","Period=FQ","BEST_FPERIOD_OVERRIDE=FQ","FILING_STATUS=OR","EQY_CONSOLIDATED=Y","FA_ADJUSTED=GAAP","Sort=A","Dates=H","DateFormat=P","Fill=—","Direction=H","UseDPDF=Y")</f>
        <v>#NAME?</v>
      </c>
      <c r="V479" s="1" t="e">
        <f ca="1">_xll.BDH($C$478,"OPER_INC_GROWTH","FQ1 2014","FQ1 2014","Currency=INR","Period=FQ","BEST_FPERIOD_OVERRIDE=FQ","FILING_STATUS=OR","EQY_CONSOLIDATED=Y","FA_ADJUSTED=GAAP","Sort=A","Dates=H","DateFormat=P","Fill=—","Direction=H","UseDPDF=Y")</f>
        <v>#NAME?</v>
      </c>
      <c r="W479" s="1" t="e">
        <f ca="1">_xll.BDH($C$478,"EARN_FOR_COM_GROWTH","FQ1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79" s="1" t="e">
        <f ca="1">_xll.BDH($C$478,"DILUTED_EPS_AFT_XO_ITEMS_GROWTH","FQ1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79" s="1" t="e">
        <f ca="1">_xll.BDH($C$478,"DIVIDEND_PER_SHARE_1_YEAR_GROWTH","FQ1 2014","FQ1 2014","Currency=INR","Period=FQ","BEST_FPERIOD_OVERRIDE=FQ","FILING_STATUS=OR","EQY_CONSOLIDATED=Y","Sort=A","Dates=H","DateFormat=P","Fill=—","Direction=H","UseDPDF=Y")</f>
        <v>#NAME?</v>
      </c>
      <c r="Z479" s="1" t="e">
        <f ca="1">_xll.BDH($C$478,"ACCOUNTS_RECEIVABLE_GROWTH","FQ1 2014","FQ1 2014","Currency=INR","Period=FQ","BEST_FPERIOD_OVERRIDE=FQ","FILING_STATUS=OR","EQY_CONSOLIDATED=Y","Sort=A","Dates=H","DateFormat=P","Fill=—","Direction=H","UseDPDF=Y")</f>
        <v>#NAME?</v>
      </c>
      <c r="AA479" s="1" t="e">
        <f ca="1">_xll.BDH($C$478,"INVENTORY_GROWTH","FQ1 2014","FQ1 2014","Currency=INR","Period=FQ","BEST_FPERIOD_OVERRIDE=FQ","FILING_STATUS=OR","EQY_CONSOLIDATED=Y","Sort=A","Dates=H","DateFormat=P","Fill=—","Direction=H","UseDPDF=Y")</f>
        <v>#NAME?</v>
      </c>
      <c r="AB479" s="1" t="e">
        <f ca="1">_xll.BDH($C$478,"NET_FIXED_ASSETS_1_YEAR_GROWTH","FQ1 2014","FQ1 2014","Currency=INR","Period=FQ","BEST_FPERIOD_OVERRIDE=FQ","FILING_STATUS=OR","EQY_CONSOLIDATED=Y","Sort=A","Dates=H","DateFormat=P","Fill=—","Direction=H","UseDPDF=Y")</f>
        <v>#NAME?</v>
      </c>
      <c r="AC479" s="1" t="e">
        <f ca="1">_xll.BDH($C$478,"ASSET_GROWTH","FQ1 2014","FQ1 2014","Currency=INR","Period=FQ","BEST_FPERIOD_OVERRIDE=FQ","FILING_STATUS=OR","EQY_CONSOLIDATED=Y","Sort=A","Dates=H","DateFormat=P","Fill=—","Direction=H","UseDPDF=Y")</f>
        <v>#NAME?</v>
      </c>
      <c r="AD479" s="1" t="e">
        <f ca="1">_xll.BDH($C$478,"MODIFIED_WORK_CAP_GROWTH","FQ1 2014","FQ1 2014","Currency=INR","Period=FQ","BEST_FPERIOD_OVERRIDE=FQ","FILING_STATUS=OR","EQY_CONSOLIDATED=Y","Sort=A","Dates=H","DateFormat=P","Fill=—","Direction=H","UseDPDF=Y")</f>
        <v>#NAME?</v>
      </c>
      <c r="AE479" s="1" t="e">
        <f ca="1">_xll.BDH($C$478,"WORK_CAP_GROWTH","FQ1 2014","FQ1 2014","Currency=INR","Period=FQ","BEST_FPERIOD_OVERRIDE=FQ","FILING_STATUS=OR","EQY_CONSOLIDATED=Y","Sort=A","Dates=H","DateFormat=P","Fill=—","Direction=H","UseDPDF=Y")</f>
        <v>#NAME?</v>
      </c>
      <c r="AF479" s="1" t="e">
        <f ca="1">_xll.BDH($C$478,"ACCOUNTS_PAYABLE_GROWTH_1YR","FQ1 2014","FQ1 2014","Currency=INR","Period=FQ","BEST_FPERIOD_OVERRIDE=FQ","FILING_STATUS=OR","EQY_CONSOLIDATED=Y","Sort=A","Dates=H","DateFormat=P","Fill=—","Direction=H","UseDPDF=Y")</f>
        <v>#NAME?</v>
      </c>
      <c r="AG479" s="1" t="e">
        <f ca="1">_xll.BDH($C$478,"SHORT_TERM_DEBT_1_YEAR_GROWTH","FQ1 2014","FQ1 2014","Currency=INR","Period=FQ","BEST_FPERIOD_OVERRIDE=FQ","FILING_STATUS=OR","EQY_CONSOLIDATED=Y","Sort=A","Dates=H","DateFormat=P","Fill=—","Direction=H","UseDPDF=Y")</f>
        <v>#NAME?</v>
      </c>
      <c r="AH479" s="1" t="e">
        <f ca="1">_xll.BDH($C$478,"TOTAL_DEBT_1_YEAR_GROWTH","FQ1 2014","FQ1 2014","Currency=INR","Period=FQ","BEST_FPERIOD_OVERRIDE=FQ","FILING_STATUS=OR","EQY_CONSOLIDATED=Y","Sort=A","Dates=H","DateFormat=P","Fill=—","Direction=H","UseDPDF=Y")</f>
        <v>#NAME?</v>
      </c>
      <c r="AI479" s="1" t="e">
        <f ca="1">_xll.BDH($C$478,"TOTAL_EQUITY_1_YEAR_GROWTH","FQ1 2014","FQ1 2014","Currency=INR","Period=FQ","BEST_FPERIOD_OVERRIDE=FQ","FILING_STATUS=OR","EQY_CONSOLIDATED=Y","Sort=A","Dates=H","DateFormat=P","Fill=—","Direction=H","UseDPDF=Y")</f>
        <v>#NAME?</v>
      </c>
      <c r="AJ479" s="1" t="e">
        <f ca="1">_xll.BDH($C$478,"GROWTH_IN_CAP","FQ1 2014","FQ1 2014","Currency=INR","Period=FQ","BEST_FPERIOD_OVERRIDE=FQ","FILING_STATUS=OR","EQY_CONSOLIDATED=Y","Sort=A","Dates=H","DateFormat=P","Fill=—","Direction=H","UseDPDF=Y")</f>
        <v>#NAME?</v>
      </c>
      <c r="AK479" s="1" t="e">
        <f ca="1">_xll.BDH($C$478,"BVPS_GROWTH","FQ1 2014","FQ1 2014","Currency=INR","Period=FQ","BEST_FPERIOD_OVERRIDE=FQ","FILING_STATUS=OR","EQY_CONSOLIDATED=Y","Sort=A","Dates=H","DateFormat=P","Fill=—","Direction=H","UseDPDF=Y")</f>
        <v>#NAME?</v>
      </c>
      <c r="AL479" s="1" t="e">
        <f ca="1">_xll.BDH($C$478,"CASH_FLOW_GROWTH","FQ1 2014","FQ1 2014","Currency=INR","Period=FQ","BEST_FPERIOD_OVERRIDE=FQ","FILING_STATUS=OR","EQY_CONSOLIDATED=Y","Sort=A","Dates=H","DateFormat=P","Fill=—","Direction=H","UseDPDF=Y")</f>
        <v>#NAME?</v>
      </c>
      <c r="AM479" s="1" t="e">
        <f ca="1">_xll.BDH($C$478,"GEO_GROW_NET_SALES","FQ1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79" s="1" t="e">
        <f ca="1">_xll.BDH($C$478,"GEO_GROW_EBITDA","FQ1 2014","FQ1 2014","Currency=INR","Period=FQ","BEST_FPERIOD_OVERRIDE=FQ","FILING_STATUS=OR","EQY_CONSOLIDATED=Y","FA_ADJUSTED=GAAP","Sort=A","Dates=H","DateFormat=P","Fill=—","Direction=H","UseDPDF=Y")</f>
        <v>#NAME?</v>
      </c>
      <c r="AO479" s="1" t="e">
        <f ca="1">_xll.BDH($C$478,"GEO_GROW_OPER_INC","FQ1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79" s="1" t="e">
        <f ca="1">_xll.BDH($C$478,"NET_INCOME_TO_COMMON_5_YR_GROWTH","FQ1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79" s="1" t="e">
        <f ca="1">_xll.BDH($C$478,"5Y_GEO_GROWTH_DILUTED_EPS","FQ1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79" s="1" t="e">
        <f ca="1">_xll.BDH($C$478,"GEO_GROW_DVD_PER_SH","FQ1 2014","FQ1 2014","Currency=INR","Period=FQ","BEST_FPERIOD_OVERRIDE=FQ","FILING_STATUS=OR","EQY_CONSOLIDATED=Y","Sort=A","Dates=H","DateFormat=P","Fill=—","Direction=H","UseDPDF=Y")</f>
        <v>#NAME?</v>
      </c>
      <c r="AS479" s="1" t="e">
        <f ca="1">_xll.BDH($C$478,"ACCOUNTS_RECEIVABLE_5_YR_GROWTH","FQ1 2014","FQ1 2014","Currency=INR","Period=FQ","BEST_FPERIOD_OVERRIDE=FQ","FILING_STATUS=OR","EQY_CONSOLIDATED=Y","Sort=A","Dates=H","DateFormat=P","Fill=—","Direction=H","UseDPDF=Y")</f>
        <v>#NAME?</v>
      </c>
      <c r="AT479" s="1" t="e">
        <f ca="1">_xll.BDH($C$478,"INVENTORY_5_YEAR_GROWTH","FQ1 2014","FQ1 2014","Currency=INR","Period=FQ","BEST_FPERIOD_OVERRIDE=FQ","FILING_STATUS=OR","EQY_CONSOLIDATED=Y","Sort=A","Dates=H","DateFormat=P","Fill=—","Direction=H","UseDPDF=Y")</f>
        <v>#NAME?</v>
      </c>
      <c r="AU479" s="1" t="e">
        <f ca="1">_xll.BDH($C$478,"NET_FIXED_ASSETS_5_YEAR_GROWTH","FQ1 2014","FQ1 2014","Currency=INR","Period=FQ","BEST_FPERIOD_OVERRIDE=FQ","FILING_STATUS=OR","EQY_CONSOLIDATED=Y","Sort=A","Dates=H","DateFormat=P","Fill=—","Direction=H","UseDPDF=Y")</f>
        <v>#NAME?</v>
      </c>
      <c r="AV479" s="1" t="e">
        <f ca="1">_xll.BDH($C$478,"GEO_GROW_TOT_ASSET","FQ1 2014","FQ1 2014","Currency=INR","Period=FQ","BEST_FPERIOD_OVERRIDE=FQ","FILING_STATUS=OR","EQY_CONSOLIDATED=Y","Sort=A","Dates=H","DateFormat=P","Fill=—","Direction=H","UseDPDF=Y")</f>
        <v>#NAME?</v>
      </c>
      <c r="AW479" s="1" t="e">
        <f ca="1">_xll.BDH($C$478,"MODIFIED_WORKING_CPTL_5YR_GRWTH","FQ1 2014","FQ1 2014","Currency=INR","Period=FQ","BEST_FPERIOD_OVERRIDE=FQ","FILING_STATUS=OR","EQY_CONSOLIDATED=Y","Sort=A","Dates=H","DateFormat=P","Fill=—","Direction=H","UseDPDF=Y")</f>
        <v>#NAME?</v>
      </c>
      <c r="AX479" s="1" t="e">
        <f ca="1">_xll.BDH($C$478,"WORKING_CAPITAL_5_YEAR_GROWTH","FQ1 2014","FQ1 2014","Currency=INR","Period=FQ","BEST_FPERIOD_OVERRIDE=FQ","FILING_STATUS=OR","EQY_CONSOLIDATED=Y","Sort=A","Dates=H","DateFormat=P","Fill=—","Direction=H","UseDPDF=Y")</f>
        <v>#NAME?</v>
      </c>
      <c r="AY479" s="1" t="e">
        <f ca="1">_xll.BDH($C$478,"ACCOUNTS_PAYABLE_5_YEAR_GROWTH","FQ1 2014","FQ1 2014","Currency=INR","Period=FQ","BEST_FPERIOD_OVERRIDE=FQ","FILING_STATUS=OR","EQY_CONSOLIDATED=Y","Sort=A","Dates=H","DateFormat=P","Fill=—","Direction=H","UseDPDF=Y")</f>
        <v>#NAME?</v>
      </c>
      <c r="AZ479" s="1" t="e">
        <f ca="1">_xll.BDH($C$478,"SHORT_TERM_DEBT_5_YEAR_GROWTH","FQ1 2014","FQ1 2014","Currency=INR","Period=FQ","BEST_FPERIOD_OVERRIDE=FQ","FILING_STATUS=OR","EQY_CONSOLIDATED=Y","Sort=A","Dates=H","DateFormat=P","Fill=—","Direction=H","UseDPDF=Y")</f>
        <v>#NAME?</v>
      </c>
      <c r="BA479" s="1" t="e">
        <f ca="1">_xll.BDH($C$478,"TOTAL_DEBT_5_YEAR_GROWTH","FQ1 2014","FQ1 2014","Currency=INR","Period=FQ","BEST_FPERIOD_OVERRIDE=FQ","FILING_STATUS=OR","EQY_CONSOLIDATED=Y","Sort=A","Dates=H","DateFormat=P","Fill=—","Direction=H","UseDPDF=Y")</f>
        <v>#NAME?</v>
      </c>
      <c r="BB479" s="1" t="e">
        <f ca="1">_xll.BDH($C$478,"GEO_GROW_TOT_SHRHLDR_EQY","FQ1 2014","FQ1 2014","Currency=INR","Period=FQ","BEST_FPERIOD_OVERRIDE=FQ","FILING_STATUS=OR","EQY_CONSOLIDATED=Y","Sort=A","Dates=H","DateFormat=P","Fill=—","Direction=H","UseDPDF=Y")</f>
        <v>#NAME?</v>
      </c>
      <c r="BC479" s="1" t="e">
        <f ca="1">_xll.BDH($C$478,"TOTAL_CAPITAL_5_YEAR_GROWTH","FQ1 2014","FQ1 2014","Currency=INR","Period=FQ","BEST_FPERIOD_OVERRIDE=FQ","FILING_STATUS=OR","EQY_CONSOLIDATED=Y","Sort=A","Dates=H","DateFormat=P","Fill=—","Direction=H","UseDPDF=Y")</f>
        <v>#NAME?</v>
      </c>
      <c r="BD479" s="1" t="e">
        <f ca="1">_xll.BDH($C$478,"GEO_GROW_BOOK_VAL","FQ1 2014","FQ1 2014","Currency=INR","Period=FQ","BEST_FPERIOD_OVERRIDE=FQ","FILING_STATUS=OR","EQY_CONSOLIDATED=Y","Sort=A","Dates=H","DateFormat=P","Fill=—","Direction=H","UseDPDF=Y")</f>
        <v>#NAME?</v>
      </c>
      <c r="BE479" s="1" t="e">
        <f ca="1">_xll.BDH($C$478,"GEO_GROW_CASH_OPER_ACT","FQ1 2014","FQ1 2014","Currency=INR","Period=FQ","BEST_FPERIOD_OVERRIDE=FQ","FILING_STATUS=OR","EQY_CONSOLIDATED=Y","Sort=A","Dates=H","DateFormat=P","Fill=—","Direction=H","UseDPDF=Y")</f>
        <v>#NAME?</v>
      </c>
      <c r="BF479" s="1" t="e">
        <f ca="1">_xll.BDH($C$478,"REVENUE_SEQUENTIAL_GROWTH","FQ1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79" s="1" t="e">
        <f ca="1">_xll.BDH($C$478,"EBITDA_SEQUENTIAL_GROWTH","FQ1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79" s="1" t="e">
        <f ca="1">_xll.BDH($C$478,"OPERATING_INCOME_SEQ_GROWTH","FQ1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79" s="1" t="e">
        <f ca="1">_xll.BDH($C$478,"NET_INCOME_TO_COMMON_SEQ_GROWTH","FQ1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79" s="1" t="e">
        <f ca="1">_xll.BDH($C$478,"EPS_DILUTED_SEQUENTIAL_GROWTH","FQ1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79" s="1" t="e">
        <f ca="1">_xll.BDH($C$478,"DPS_SEQUENTIAL_GROWTH","FQ1 2014","FQ1 2014","Currency=INR","Period=FQ","BEST_FPERIOD_OVERRIDE=FQ","FILING_STATUS=OR","EQY_CONSOLIDATED=Y","Sort=A","Dates=H","DateFormat=P","Fill=—","Direction=H","UseDPDF=Y")</f>
        <v>#NAME?</v>
      </c>
      <c r="BL479" s="1" t="e">
        <f ca="1">_xll.BDH($C$478,"ACCOUNTS_RECEIVABLE_SEQ_GROWTH","FQ1 2014","FQ1 2014","Currency=INR","Period=FQ","BEST_FPERIOD_OVERRIDE=FQ","FILING_STATUS=OR","EQY_CONSOLIDATED=Y","Sort=A","Dates=H","DateFormat=P","Fill=—","Direction=H","UseDPDF=Y")</f>
        <v>#NAME?</v>
      </c>
      <c r="BM479" s="1" t="e">
        <f ca="1">_xll.BDH($C$478,"INVENTORY_SEQUENTIAL_GROWTH","FQ1 2014","FQ1 2014","Currency=INR","Period=FQ","BEST_FPERIOD_OVERRIDE=FQ","FILING_STATUS=OR","EQY_CONSOLIDATED=Y","Sort=A","Dates=H","DateFormat=P","Fill=—","Direction=H","UseDPDF=Y")</f>
        <v>#NAME?</v>
      </c>
      <c r="BN479" s="1" t="e">
        <f ca="1">_xll.BDH($C$478,"FIXED_ASSETS_SEQUENTIAL_GROWTH","FQ1 2014","FQ1 2014","Currency=INR","Period=FQ","BEST_FPERIOD_OVERRIDE=FQ","FILING_STATUS=OR","EQY_CONSOLIDATED=Y","Sort=A","Dates=H","DateFormat=P","Fill=—","Direction=H","UseDPDF=Y")</f>
        <v>#NAME?</v>
      </c>
      <c r="BO479" s="1" t="e">
        <f ca="1">_xll.BDH($C$478,"TOTAL_ASSETS_SEQUENTIAL_GROWTH","FQ1 2014","FQ1 2014","Currency=INR","Period=FQ","BEST_FPERIOD_OVERRIDE=FQ","FILING_STATUS=OR","EQY_CONSOLIDATED=Y","Sort=A","Dates=H","DateFormat=P","Fill=—","Direction=H","UseDPDF=Y")</f>
        <v>#NAME?</v>
      </c>
      <c r="BP479" s="1" t="e">
        <f ca="1">_xll.BDH($C$478,"MODIFIED_WORKING_CPTL_SEQ_GRWTH","FQ1 2014","FQ1 2014","Currency=INR","Period=FQ","BEST_FPERIOD_OVERRIDE=FQ","FILING_STATUS=OR","EQY_CONSOLIDATED=Y","Sort=A","Dates=H","DateFormat=P","Fill=—","Direction=H","UseDPDF=Y")</f>
        <v>#NAME?</v>
      </c>
      <c r="BQ479" s="1" t="e">
        <f ca="1">_xll.BDH($C$478,"WORKING_CAPITAL_SEQ_GROWTH","FQ1 2014","FQ1 2014","Currency=INR","Period=FQ","BEST_FPERIOD_OVERRIDE=FQ","FILING_STATUS=OR","EQY_CONSOLIDATED=Y","Sort=A","Dates=H","DateFormat=P","Fill=—","Direction=H","UseDPDF=Y")</f>
        <v>#NAME?</v>
      </c>
      <c r="BR479" s="1" t="e">
        <f ca="1">_xll.BDH($C$478,"ACCOUNTS_PAYABLE_SEQ_GROWTH","FQ1 2014","FQ1 2014","Currency=INR","Period=FQ","BEST_FPERIOD_OVERRIDE=FQ","FILING_STATUS=OR","EQY_CONSOLIDATED=Y","Sort=A","Dates=H","DateFormat=P","Fill=—","Direction=H","UseDPDF=Y")</f>
        <v>#NAME?</v>
      </c>
      <c r="BS479" s="1" t="e">
        <f ca="1">_xll.BDH($C$478,"ST_DEBT_SEQUENTIAL_GROWTH","FQ1 2014","FQ1 2014","Currency=INR","Period=FQ","BEST_FPERIOD_OVERRIDE=FQ","FILING_STATUS=OR","EQY_CONSOLIDATED=Y","Sort=A","Dates=H","DateFormat=P","Fill=—","Direction=H","UseDPDF=Y")</f>
        <v>#NAME?</v>
      </c>
      <c r="BT479" s="1" t="e">
        <f ca="1">_xll.BDH($C$478,"TOTAL_DEBT_SEQUENTIAL_GROWTH","FQ1 2014","FQ1 2014","Currency=INR","Period=FQ","BEST_FPERIOD_OVERRIDE=FQ","FILING_STATUS=OR","EQY_CONSOLIDATED=Y","Sort=A","Dates=H","DateFormat=P","Fill=—","Direction=H","UseDPDF=Y")</f>
        <v>#NAME?</v>
      </c>
      <c r="BU479" s="1" t="e">
        <f ca="1">_xll.BDH($C$478,"TOTAL_EQUITY_SEQUENTIAL_GROWTH","FQ1 2014","FQ1 2014","Currency=INR","Period=FQ","BEST_FPERIOD_OVERRIDE=FQ","FILING_STATUS=OR","EQY_CONSOLIDATED=Y","Sort=A","Dates=H","DateFormat=P","Fill=—","Direction=H","UseDPDF=Y")</f>
        <v>#NAME?</v>
      </c>
      <c r="BV479" s="1" t="e">
        <f ca="1">_xll.BDH($C$478,"TOTAL_CAPITAL_SEQUENTIAL_GROWTH","FQ1 2014","FQ1 2014","Currency=INR","Period=FQ","BEST_FPERIOD_OVERRIDE=FQ","FILING_STATUS=OR","EQY_CONSOLIDATED=Y","Sort=A","Dates=H","DateFormat=P","Fill=—","Direction=H","UseDPDF=Y")</f>
        <v>#NAME?</v>
      </c>
      <c r="BW479" s="1" t="e">
        <f ca="1">_xll.BDH($C$478,"BPS_SEQUENTIAL_GROWTH","FQ1 2014","FQ1 2014","Currency=INR","Period=FQ","BEST_FPERIOD_OVERRIDE=FQ","FILING_STATUS=OR","EQY_CONSOLIDATED=Y","Sort=A","Dates=H","DateFormat=P","Fill=—","Direction=H","UseDPDF=Y")</f>
        <v>#NAME?</v>
      </c>
      <c r="BX479" s="1" t="e">
        <f ca="1">_xll.BDH($C$478,"CFO_SEQUENTIAL_GROWTH","FQ1 2014","FQ1 2014","Currency=INR","Period=FQ","BEST_FPERIOD_OVERRIDE=FQ","FILING_STATUS=OR","EQY_CONSOLIDATED=Y","Sort=A","Dates=H","DateFormat=P","Fill=—","Direction=H","UseDPDF=Y")</f>
        <v>#NAME?</v>
      </c>
      <c r="BY479" s="2" t="e">
        <f ca="1">_xll.BDH($C$478,"SHORT_AND_LONG_TERM_DEBT","FQ1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79" s="2" t="e">
        <f ca="1">_xll.BDH($C$478,"BS_ST_BORROW","FQ1 2014","FQ1 2014","Currency=INR","Period=FQ","BEST_FPERIOD_OVERRIDE=FQ","FILING_STATUS=OR","EQY_CONSOLIDATED=Y","SCALING_FORMAT=MLN","Sort=A","Dates=H","DateFormat=P","Fill=—","Direction=H","UseDPDF=Y")</f>
        <v>#NAME?</v>
      </c>
      <c r="CA479" s="2" t="e">
        <f ca="1">_xll.BDH($C$478,"BS_LT_BORROW","FQ1 2014","FQ1 2014","Currency=INR","Period=FQ","BEST_FPERIOD_OVERRIDE=FQ","FILING_STATUS=OR","EQY_CONSOLIDATED=Y","SCALING_FORMAT=MLN","Sort=A","Dates=H","DateFormat=P","Fill=—","Direction=H","UseDPDF=Y")</f>
        <v>#NAME?</v>
      </c>
      <c r="CB479" s="1" t="e">
        <f ca="1">_xll.BDH($C$478,"TOT_DEBT_TO_EBITDA","FQ1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79" s="1" t="e">
        <f ca="1">_xll.BDH($C$478,"NET_DEBT_TO_EBITDA","FQ1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79" s="1" t="e">
        <f ca="1">_xll.BDH($C$478,"TOTAL_DEBT_TO_EBIT","FQ1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79" s="1" t="e">
        <f ca="1">_xll.BDH($C$478,"NET_DEBT_TO_EBIT","FQ1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479" s="1" t="e">
        <f ca="1">_xll.BDH($C$478,"EBITDA_TO_INTEREST_EXPN","FQ1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79" s="1" t="e">
        <f ca="1">_xll.BDH($C$478,"COM_EQY_TO_TOT_ASSET","FQ1 2014","FQ1 2014","Currency=INR","Period=FQ","BEST_FPERIOD_OVERRIDE=FQ","FILING_STATUS=OR","EQY_CONSOLIDATED=Y","Sort=A","Dates=H","DateFormat=P","Fill=—","Direction=H","UseDPDF=Y")</f>
        <v>#NAME?</v>
      </c>
      <c r="CH479" s="1" t="e">
        <f ca="1">_xll.BDH($C$478,"LT_DEBT_TO_TOT_EQY","FQ1 2014","FQ1 2014","Currency=INR","Period=FQ","BEST_FPERIOD_OVERRIDE=FQ","FILING_STATUS=OR","EQY_CONSOLIDATED=Y","Sort=A","Dates=H","DateFormat=P","Fill=—","Direction=H","UseDPDF=Y")</f>
        <v>#NAME?</v>
      </c>
      <c r="CI479" s="1" t="e">
        <f ca="1">_xll.BDH($C$478,"LT_DEBT_TO_TOT_CAP","FQ1 2014","FQ1 2014","Currency=INR","Period=FQ","BEST_FPERIOD_OVERRIDE=FQ","FILING_STATUS=OR","EQY_CONSOLIDATED=Y","Sort=A","Dates=H","DateFormat=P","Fill=—","Direction=H","UseDPDF=Y")</f>
        <v>#NAME?</v>
      </c>
      <c r="CJ479" s="1" t="e">
        <f ca="1">_xll.BDH($C$478,"LT_DEBT_TO_TOT_ASSET","FQ1 2014","FQ1 2014","Currency=INR","Period=FQ","BEST_FPERIOD_OVERRIDE=FQ","FILING_STATUS=OR","EQY_CONSOLIDATED=Y","Sort=A","Dates=H","DateFormat=P","Fill=—","Direction=H","UseDPDF=Y")</f>
        <v>#NAME?</v>
      </c>
      <c r="CK479" s="1" t="e">
        <f ca="1">_xll.BDH($C$478,"TOT_DEBT_TO_TOT_EQY","FQ1 2014","FQ1 2014","Currency=INR","Period=FQ","BEST_FPERIOD_OVERRIDE=FQ","FILING_STATUS=OR","EQY_CONSOLIDATED=Y","Sort=A","Dates=H","DateFormat=P","Fill=—","Direction=H","UseDPDF=Y")</f>
        <v>#NAME?</v>
      </c>
      <c r="CL479" s="1" t="e">
        <f ca="1">_xll.BDH($C$478,"TOT_DEBT_TO_TOT_CAP","FQ1 2014","FQ1 2014","Currency=INR","Period=FQ","BEST_FPERIOD_OVERRIDE=FQ","FILING_STATUS=OR","EQY_CONSOLIDATED=Y","Sort=A","Dates=H","DateFormat=P","Fill=—","Direction=H","UseDPDF=Y")</f>
        <v>#NAME?</v>
      </c>
      <c r="CM479" s="1" t="e">
        <f ca="1">_xll.BDH($C$478,"TOT_DEBT_TO_TOT_ASSET","FQ1 2014","FQ1 2014","Currency=INR","Period=FQ","BEST_FPERIOD_OVERRIDE=FQ","FILING_STATUS=OR","EQY_CONSOLIDATED=Y","Sort=A","Dates=H","DateFormat=P","Fill=—","Direction=H","UseDPDF=Y")</f>
        <v>#NAME?</v>
      </c>
      <c r="CN479" s="1" t="e">
        <f ca="1">_xll.BDH($C$478,"NET_DEBT_TO_SHRHLDR_EQTY","FQ1 2014","FQ1 2014","Currency=INR","Period=FQ","BEST_FPERIOD_OVERRIDE=FQ","FILING_STATUS=OR","EQY_CONSOLIDATED=Y","Sort=A","Dates=H","DateFormat=P","Fill=—","Direction=H","UseDPDF=Y")</f>
        <v>#NAME?</v>
      </c>
      <c r="CO479" s="1" t="e">
        <f ca="1">_xll.BDH($C$478,"NET_DEBT_%_CAPITAL","FQ1 2014","FQ1 2014","Currency=INR","Period=FQ","BEST_FPERIOD_OVERRIDE=FQ","FILING_STATUS=OR","EQY_CONSOLIDATED=Y","Sort=A","Dates=H","DateFormat=P","Fill=—","Direction=H","UseDPDF=Y")</f>
        <v>#NAME?</v>
      </c>
      <c r="CP479" s="2" t="e">
        <f ca="1">_xll.BDH($C$478,"EBITDA","FQ1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79" s="2" t="e">
        <f ca="1">_xll.BDH($C$478,"EBITDA_AFTER_CAPEX","FQ1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79" s="2" t="e">
        <f ca="1">_xll.BDH($C$478,"IS_OPER_INC","FQ1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79" s="1" t="e">
        <f ca="1">_xll.BDH($C$478,"CASH_RATIO","FQ1 2014","FQ1 2014","Currency=INR","Period=FQ","BEST_FPERIOD_OVERRIDE=FQ","FILING_STATUS=OR","EQY_CONSOLIDATED=Y","Sort=A","Dates=H","DateFormat=P","Fill=—","Direction=H","UseDPDF=Y")</f>
        <v>#NAME?</v>
      </c>
      <c r="CT479" s="1" t="e">
        <f ca="1">_xll.BDH($C$478,"CUR_RATIO","FQ1 2014","FQ1 2014","Currency=INR","Period=FQ","BEST_FPERIOD_OVERRIDE=FQ","FILING_STATUS=OR","EQY_CONSOLIDATED=Y","Sort=A","Dates=H","DateFormat=P","Fill=—","Direction=H","UseDPDF=Y")</f>
        <v>#NAME?</v>
      </c>
      <c r="CU479" s="1" t="e">
        <f ca="1">_xll.BDH($C$478,"QUICK_RATIO","FQ1 2014","FQ1 2014","Currency=INR","Period=FQ","BEST_FPERIOD_OVERRIDE=FQ","FILING_STATUS=OR","EQY_CONSOLIDATED=Y","Sort=A","Dates=H","DateFormat=P","Fill=—","Direction=H","UseDPDF=Y")</f>
        <v>#NAME?</v>
      </c>
      <c r="CV479" s="1" t="e">
        <f ca="1">_xll.BDH($C$478,"ALTMAN_Z_SCORE","FQ1 2014","FQ1 2014","Currency=INR","Period=FQ","BEST_FPERIOD_OVERRIDE=FQ","FILING_STATUS=OR","EQY_CONSOLIDATED=Y","Sort=A","Dates=H","DateFormat=P","Fill=—","Direction=H","UseDPDF=Y")</f>
        <v>#NAME?</v>
      </c>
      <c r="CW479" s="3" t="e">
        <f ca="1">_xll.BDH($C$478,"ACCT_RCV_TURN","FQ1 2014","FQ1 2014","Currency=INR","Period=FQ","BEST_FPERIOD_OVERRIDE=FQ","FILING_STATUS=OR","EQY_CONSOLIDATED=Y","FA_ADJUSTED=GAAP","Sort=A","Dates=H","DateFormat=P","Fill=—","Direction=H","UseDPDF=Y")</f>
        <v>#NAME?</v>
      </c>
      <c r="CX479" s="1" t="e">
        <f ca="1">_xll.BDH($C$478,"ACCT_RCV_DAYS","FQ1 2014","FQ1 2014","Currency=INR","Period=FQ","BEST_FPERIOD_OVERRIDE=FQ","FILING_STATUS=OR","EQY_CONSOLIDATED=Y","FA_ADJUSTED=GAAP","Sort=A","Dates=H","DateFormat=P","Fill=—","Direction=H","UseDPDF=Y")</f>
        <v>#NAME?</v>
      </c>
      <c r="CY479" s="3" t="e">
        <f ca="1">_xll.BDH($C$478,"INVENT_TURN","FQ1 2014","FQ1 2014","Currency=INR","Period=FQ","BEST_FPERIOD_OVERRIDE=FQ","FILING_STATUS=OR","EQY_CONSOLIDATED=Y","FA_ADJUSTED=GAAP","Sort=A","Dates=H","DateFormat=P","Fill=—","Direction=H","UseDPDF=Y")</f>
        <v>#NAME?</v>
      </c>
      <c r="CZ479" s="1" t="e">
        <f ca="1">_xll.BDH($C$478,"INVENT_DAYS","FQ1 2014","FQ1 2014","Currency=INR","Period=FQ","BEST_FPERIOD_OVERRIDE=FQ","FILING_STATUS=OR","EQY_CONSOLIDATED=Y","FA_ADJUSTED=GAAP","Sort=A","Dates=H","DateFormat=P","Fill=—","Direction=H","UseDPDF=Y")</f>
        <v>#NAME?</v>
      </c>
      <c r="DA479" s="3" t="e">
        <f ca="1">_xll.BDH($C$478,"ACCOUNTS_PAYABLE_TURNOVER","FQ1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79" s="1" t="e">
        <f ca="1">_xll.BDH($C$478,"ACCOUNTS_PAYABLE_TURNOVER_DAYS","FQ1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79" s="3" t="e">
        <f ca="1">_xll.BDH($C$478,"CASH_CONVERSION_CYCLE","FQ1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79" s="3" t="e">
        <f ca="1">_xll.BDH($C$478,"INV_TO_CASH_DAYS","FQ1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479" s="4" t="e">
        <f ca="1">_xll.BDH($C$478,"BS_INVENTORIES","FQ1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479" s="2" t="e">
        <f ca="1">_xll.BDH($C$478,"INVTRY_RAW_MATERIALS","FQ1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79" s="2" t="e">
        <f ca="1">_xll.BDH($C$478,"INVTRY_IN_PROGRESS","FQ1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79" s="2" t="e">
        <f ca="1">_xll.BDH($C$478,"INVTRY_FINISHED_GOODS","FQ1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79" s="2" t="e">
        <f ca="1">_xll.BDH($C$478,"BS_OTHER_INV","FQ1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80" spans="1:113" x14ac:dyDescent="0.3">
      <c r="A480" s="6"/>
      <c r="B480" s="6"/>
      <c r="C480" s="6"/>
      <c r="D480" s="6"/>
      <c r="E480" t="s">
        <v>5</v>
      </c>
      <c r="F480" t="e">
        <f ca="1">_xll.BDH($C$478,"RETURN_COM_EQY","FQ2 2014","FQ2 2014","Currency=INR","Period=FQ","BEST_FPERIOD_OVERRIDE=FQ","FILING_STATUS=OR","EQY_CONSOLIDATED=Y","FA_ADJUSTED=GAAP","Sort=A","Dates=H","DateFormat=P","Fill=—","Direction=H","UseDPDF=Y")</f>
        <v>#NAME?</v>
      </c>
      <c r="G480" t="e">
        <f ca="1">_xll.BDH($C$478,"RETURN_ON_ASSET","FQ2 2014","FQ2 2014","Currency=INR","Period=FQ","BEST_FPERIOD_OVERRIDE=FQ","FILING_STATUS=OR","EQY_CONSOLIDATED=Y","FA_ADJUSTED=GAAP","Sort=A","Dates=H","DateFormat=P","Fill=—","Direction=H","UseDPDF=Y")</f>
        <v>#NAME?</v>
      </c>
      <c r="H480" t="e">
        <f ca="1">_xll.BDH($C$478,"RETURN_ON_CAP","FQ2 2014","FQ2 2014","Currency=INR","Period=FQ","BEST_FPERIOD_OVERRIDE=FQ","FILING_STATUS=OR","EQY_CONSOLIDATED=Y","FA_ADJUSTED=GAAP","Sort=A","Dates=H","DateFormat=P","Fill=—","Direction=H","UseDPDF=Y")</f>
        <v>#NAME?</v>
      </c>
      <c r="I480" t="e">
        <f ca="1">_xll.BDH($C$478,"RETURN_ON_INV_CAPITAL","FQ2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80" t="e">
        <f ca="1">_xll.BDH($C$478,"EBITDA_TO_REVENUE","FQ2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480" t="e">
        <f ca="1">_xll.BDH($C$478,"OPER_MARGIN","FQ2 2014","FQ2 2014","Currency=INR","Period=FQ","BEST_FPERIOD_OVERRIDE=FQ","FILING_STATUS=OR","EQY_CONSOLIDATED=Y","FA_ADJUSTED=GAAP","Sort=A","Dates=H","DateFormat=P","Fill=—","Direction=H","UseDPDF=Y")</f>
        <v>#NAME?</v>
      </c>
      <c r="L480" t="e">
        <f ca="1">_xll.BDH($C$478,"INCREMENTAL_OPERATING_MARGIN","FQ2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80" t="e">
        <f ca="1">_xll.BDH($C$478,"PRETAX_INC_TO_NET_SALES","FQ2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80" t="e">
        <f ca="1">_xll.BDH($C$478,"INC_BEF_XO_ITEMS_TO_NET_SALES","FQ2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80" t="e">
        <f ca="1">_xll.BDH($C$478,"PROF_MARGIN","FQ2 2014","FQ2 2014","Currency=INR","Period=FQ","BEST_FPERIOD_OVERRIDE=FQ","FILING_STATUS=OR","EQY_CONSOLIDATED=Y","FA_ADJUSTED=GAAP","Sort=A","Dates=H","DateFormat=P","Fill=—","Direction=H","UseDPDF=Y")</f>
        <v>#NAME?</v>
      </c>
      <c r="P480" t="e">
        <f ca="1">_xll.BDH($C$478,"NET_INCOME_TO_COMMON_MARGIN","FQ2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80" t="e">
        <f ca="1">_xll.BDH($C$478,"EFF_TAX_RATE","FQ2 2014","FQ2 2014","Currency=INR","Period=FQ","BEST_FPERIOD_OVERRIDE=FQ","FILING_STATUS=OR","EQY_CONSOLIDATED=Y","FA_ADJUSTED=GAAP","Sort=A","Dates=H","DateFormat=P","Fill=—","Direction=H","UseDPDF=Y")</f>
        <v>#NAME?</v>
      </c>
      <c r="R480" t="e">
        <f ca="1">_xll.BDH($C$478,"DVD_PAYOUT_RATIO","FQ2 2014","FQ2 2014","Currency=INR","Period=FQ","BEST_FPERIOD_OVERRIDE=FQ","FILING_STATUS=OR","EQY_CONSOLIDATED=Y","FA_ADJUSTED=GAAP","Sort=A","Dates=H","DateFormat=P","Fill=—","Direction=H","UseDPDF=Y")</f>
        <v>#NAME?</v>
      </c>
      <c r="S480" t="e">
        <f ca="1">_xll.BDH($C$478,"SUSTAIN_GROWTH_RT","FQ2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480" s="1" t="e">
        <f ca="1">_xll.BDH($C$478,"SALES_GROWTH","FQ2 2014","FQ2 2014","Currency=INR","Period=FQ","BEST_FPERIOD_OVERRIDE=FQ","FILING_STATUS=OR","EQY_CONSOLIDATED=Y","FA_ADJUSTED=GAAP","Sort=A","Dates=H","DateFormat=P","Fill=—","Direction=H","UseDPDF=Y")</f>
        <v>#NAME?</v>
      </c>
      <c r="U480" s="1" t="e">
        <f ca="1">_xll.BDH($C$478,"EBITDA_GROWTH","FQ2 2014","FQ2 2014","Currency=INR","Period=FQ","BEST_FPERIOD_OVERRIDE=FQ","FILING_STATUS=OR","EQY_CONSOLIDATED=Y","FA_ADJUSTED=GAAP","Sort=A","Dates=H","DateFormat=P","Fill=—","Direction=H","UseDPDF=Y")</f>
        <v>#NAME?</v>
      </c>
      <c r="V480" s="1" t="e">
        <f ca="1">_xll.BDH($C$478,"OPER_INC_GROWTH","FQ2 2014","FQ2 2014","Currency=INR","Period=FQ","BEST_FPERIOD_OVERRIDE=FQ","FILING_STATUS=OR","EQY_CONSOLIDATED=Y","FA_ADJUSTED=GAAP","Sort=A","Dates=H","DateFormat=P","Fill=—","Direction=H","UseDPDF=Y")</f>
        <v>#NAME?</v>
      </c>
      <c r="W480" s="1" t="e">
        <f ca="1">_xll.BDH($C$478,"EARN_FOR_COM_GROWTH","FQ2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80" s="1" t="e">
        <f ca="1">_xll.BDH($C$478,"DILUTED_EPS_AFT_XO_ITEMS_GROWTH","FQ2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80" s="1" t="e">
        <f ca="1">_xll.BDH($C$478,"DIVIDEND_PER_SHARE_1_YEAR_GROWTH","FQ2 2014","FQ2 2014","Currency=INR","Period=FQ","BEST_FPERIOD_OVERRIDE=FQ","FILING_STATUS=OR","EQY_CONSOLIDATED=Y","Sort=A","Dates=H","DateFormat=P","Fill=—","Direction=H","UseDPDF=Y")</f>
        <v>#NAME?</v>
      </c>
      <c r="Z480" s="1" t="e">
        <f ca="1">_xll.BDH($C$478,"ACCOUNTS_RECEIVABLE_GROWTH","FQ2 2014","FQ2 2014","Currency=INR","Period=FQ","BEST_FPERIOD_OVERRIDE=FQ","FILING_STATUS=OR","EQY_CONSOLIDATED=Y","Sort=A","Dates=H","DateFormat=P","Fill=—","Direction=H","UseDPDF=Y")</f>
        <v>#NAME?</v>
      </c>
      <c r="AA480" s="1" t="e">
        <f ca="1">_xll.BDH($C$478,"INVENTORY_GROWTH","FQ2 2014","FQ2 2014","Currency=INR","Period=FQ","BEST_FPERIOD_OVERRIDE=FQ","FILING_STATUS=OR","EQY_CONSOLIDATED=Y","Sort=A","Dates=H","DateFormat=P","Fill=—","Direction=H","UseDPDF=Y")</f>
        <v>#NAME?</v>
      </c>
      <c r="AB480" s="1" t="e">
        <f ca="1">_xll.BDH($C$478,"NET_FIXED_ASSETS_1_YEAR_GROWTH","FQ2 2014","FQ2 2014","Currency=INR","Period=FQ","BEST_FPERIOD_OVERRIDE=FQ","FILING_STATUS=OR","EQY_CONSOLIDATED=Y","Sort=A","Dates=H","DateFormat=P","Fill=—","Direction=H","UseDPDF=Y")</f>
        <v>#NAME?</v>
      </c>
      <c r="AC480" s="1" t="e">
        <f ca="1">_xll.BDH($C$478,"ASSET_GROWTH","FQ2 2014","FQ2 2014","Currency=INR","Period=FQ","BEST_FPERIOD_OVERRIDE=FQ","FILING_STATUS=OR","EQY_CONSOLIDATED=Y","Sort=A","Dates=H","DateFormat=P","Fill=—","Direction=H","UseDPDF=Y")</f>
        <v>#NAME?</v>
      </c>
      <c r="AD480" s="1" t="e">
        <f ca="1">_xll.BDH($C$478,"MODIFIED_WORK_CAP_GROWTH","FQ2 2014","FQ2 2014","Currency=INR","Period=FQ","BEST_FPERIOD_OVERRIDE=FQ","FILING_STATUS=OR","EQY_CONSOLIDATED=Y","Sort=A","Dates=H","DateFormat=P","Fill=—","Direction=H","UseDPDF=Y")</f>
        <v>#NAME?</v>
      </c>
      <c r="AE480" s="1" t="e">
        <f ca="1">_xll.BDH($C$478,"WORK_CAP_GROWTH","FQ2 2014","FQ2 2014","Currency=INR","Period=FQ","BEST_FPERIOD_OVERRIDE=FQ","FILING_STATUS=OR","EQY_CONSOLIDATED=Y","Sort=A","Dates=H","DateFormat=P","Fill=—","Direction=H","UseDPDF=Y")</f>
        <v>#NAME?</v>
      </c>
      <c r="AF480" s="1" t="e">
        <f ca="1">_xll.BDH($C$478,"ACCOUNTS_PAYABLE_GROWTH_1YR","FQ2 2014","FQ2 2014","Currency=INR","Period=FQ","BEST_FPERIOD_OVERRIDE=FQ","FILING_STATUS=OR","EQY_CONSOLIDATED=Y","Sort=A","Dates=H","DateFormat=P","Fill=—","Direction=H","UseDPDF=Y")</f>
        <v>#NAME?</v>
      </c>
      <c r="AG480" s="1" t="e">
        <f ca="1">_xll.BDH($C$478,"SHORT_TERM_DEBT_1_YEAR_GROWTH","FQ2 2014","FQ2 2014","Currency=INR","Period=FQ","BEST_FPERIOD_OVERRIDE=FQ","FILING_STATUS=OR","EQY_CONSOLIDATED=Y","Sort=A","Dates=H","DateFormat=P","Fill=—","Direction=H","UseDPDF=Y")</f>
        <v>#NAME?</v>
      </c>
      <c r="AH480" s="1" t="e">
        <f ca="1">_xll.BDH($C$478,"TOTAL_DEBT_1_YEAR_GROWTH","FQ2 2014","FQ2 2014","Currency=INR","Period=FQ","BEST_FPERIOD_OVERRIDE=FQ","FILING_STATUS=OR","EQY_CONSOLIDATED=Y","Sort=A","Dates=H","DateFormat=P","Fill=—","Direction=H","UseDPDF=Y")</f>
        <v>#NAME?</v>
      </c>
      <c r="AI480" s="1" t="e">
        <f ca="1">_xll.BDH($C$478,"TOTAL_EQUITY_1_YEAR_GROWTH","FQ2 2014","FQ2 2014","Currency=INR","Period=FQ","BEST_FPERIOD_OVERRIDE=FQ","FILING_STATUS=OR","EQY_CONSOLIDATED=Y","Sort=A","Dates=H","DateFormat=P","Fill=—","Direction=H","UseDPDF=Y")</f>
        <v>#NAME?</v>
      </c>
      <c r="AJ480" s="1" t="e">
        <f ca="1">_xll.BDH($C$478,"GROWTH_IN_CAP","FQ2 2014","FQ2 2014","Currency=INR","Period=FQ","BEST_FPERIOD_OVERRIDE=FQ","FILING_STATUS=OR","EQY_CONSOLIDATED=Y","Sort=A","Dates=H","DateFormat=P","Fill=—","Direction=H","UseDPDF=Y")</f>
        <v>#NAME?</v>
      </c>
      <c r="AK480" s="1" t="e">
        <f ca="1">_xll.BDH($C$478,"BVPS_GROWTH","FQ2 2014","FQ2 2014","Currency=INR","Period=FQ","BEST_FPERIOD_OVERRIDE=FQ","FILING_STATUS=OR","EQY_CONSOLIDATED=Y","Sort=A","Dates=H","DateFormat=P","Fill=—","Direction=H","UseDPDF=Y")</f>
        <v>#NAME?</v>
      </c>
      <c r="AL480" s="1" t="e">
        <f ca="1">_xll.BDH($C$478,"CASH_FLOW_GROWTH","FQ2 2014","FQ2 2014","Currency=INR","Period=FQ","BEST_FPERIOD_OVERRIDE=FQ","FILING_STATUS=OR","EQY_CONSOLIDATED=Y","Sort=A","Dates=H","DateFormat=P","Fill=—","Direction=H","UseDPDF=Y")</f>
        <v>#NAME?</v>
      </c>
      <c r="AM480" s="1" t="e">
        <f ca="1">_xll.BDH($C$478,"GEO_GROW_NET_SALES","FQ2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80" s="1" t="e">
        <f ca="1">_xll.BDH($C$478,"GEO_GROW_EBITDA","FQ2 2014","FQ2 2014","Currency=INR","Period=FQ","BEST_FPERIOD_OVERRIDE=FQ","FILING_STATUS=OR","EQY_CONSOLIDATED=Y","FA_ADJUSTED=GAAP","Sort=A","Dates=H","DateFormat=P","Fill=—","Direction=H","UseDPDF=Y")</f>
        <v>#NAME?</v>
      </c>
      <c r="AO480" s="1" t="e">
        <f ca="1">_xll.BDH($C$478,"GEO_GROW_OPER_INC","FQ2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80" s="1" t="e">
        <f ca="1">_xll.BDH($C$478,"NET_INCOME_TO_COMMON_5_YR_GROWTH","FQ2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80" s="1" t="e">
        <f ca="1">_xll.BDH($C$478,"5Y_GEO_GROWTH_DILUTED_EPS","FQ2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80" s="1" t="e">
        <f ca="1">_xll.BDH($C$478,"GEO_GROW_DVD_PER_SH","FQ2 2014","FQ2 2014","Currency=INR","Period=FQ","BEST_FPERIOD_OVERRIDE=FQ","FILING_STATUS=OR","EQY_CONSOLIDATED=Y","Sort=A","Dates=H","DateFormat=P","Fill=—","Direction=H","UseDPDF=Y")</f>
        <v>#NAME?</v>
      </c>
      <c r="AS480" s="1" t="e">
        <f ca="1">_xll.BDH($C$478,"ACCOUNTS_RECEIVABLE_5_YR_GROWTH","FQ2 2014","FQ2 2014","Currency=INR","Period=FQ","BEST_FPERIOD_OVERRIDE=FQ","FILING_STATUS=OR","EQY_CONSOLIDATED=Y","Sort=A","Dates=H","DateFormat=P","Fill=—","Direction=H","UseDPDF=Y")</f>
        <v>#NAME?</v>
      </c>
      <c r="AT480" s="1" t="e">
        <f ca="1">_xll.BDH($C$478,"INVENTORY_5_YEAR_GROWTH","FQ2 2014","FQ2 2014","Currency=INR","Period=FQ","BEST_FPERIOD_OVERRIDE=FQ","FILING_STATUS=OR","EQY_CONSOLIDATED=Y","Sort=A","Dates=H","DateFormat=P","Fill=—","Direction=H","UseDPDF=Y")</f>
        <v>#NAME?</v>
      </c>
      <c r="AU480" s="1" t="e">
        <f ca="1">_xll.BDH($C$478,"NET_FIXED_ASSETS_5_YEAR_GROWTH","FQ2 2014","FQ2 2014","Currency=INR","Period=FQ","BEST_FPERIOD_OVERRIDE=FQ","FILING_STATUS=OR","EQY_CONSOLIDATED=Y","Sort=A","Dates=H","DateFormat=P","Fill=—","Direction=H","UseDPDF=Y")</f>
        <v>#NAME?</v>
      </c>
      <c r="AV480" s="1" t="e">
        <f ca="1">_xll.BDH($C$478,"GEO_GROW_TOT_ASSET","FQ2 2014","FQ2 2014","Currency=INR","Period=FQ","BEST_FPERIOD_OVERRIDE=FQ","FILING_STATUS=OR","EQY_CONSOLIDATED=Y","Sort=A","Dates=H","DateFormat=P","Fill=—","Direction=H","UseDPDF=Y")</f>
        <v>#NAME?</v>
      </c>
      <c r="AW480" s="1" t="e">
        <f ca="1">_xll.BDH($C$478,"MODIFIED_WORKING_CPTL_5YR_GRWTH","FQ2 2014","FQ2 2014","Currency=INR","Period=FQ","BEST_FPERIOD_OVERRIDE=FQ","FILING_STATUS=OR","EQY_CONSOLIDATED=Y","Sort=A","Dates=H","DateFormat=P","Fill=—","Direction=H","UseDPDF=Y")</f>
        <v>#NAME?</v>
      </c>
      <c r="AX480" s="1" t="e">
        <f ca="1">_xll.BDH($C$478,"WORKING_CAPITAL_5_YEAR_GROWTH","FQ2 2014","FQ2 2014","Currency=INR","Period=FQ","BEST_FPERIOD_OVERRIDE=FQ","FILING_STATUS=OR","EQY_CONSOLIDATED=Y","Sort=A","Dates=H","DateFormat=P","Fill=—","Direction=H","UseDPDF=Y")</f>
        <v>#NAME?</v>
      </c>
      <c r="AY480" s="1" t="e">
        <f ca="1">_xll.BDH($C$478,"ACCOUNTS_PAYABLE_5_YEAR_GROWTH","FQ2 2014","FQ2 2014","Currency=INR","Period=FQ","BEST_FPERIOD_OVERRIDE=FQ","FILING_STATUS=OR","EQY_CONSOLIDATED=Y","Sort=A","Dates=H","DateFormat=P","Fill=—","Direction=H","UseDPDF=Y")</f>
        <v>#NAME?</v>
      </c>
      <c r="AZ480" s="1" t="e">
        <f ca="1">_xll.BDH($C$478,"SHORT_TERM_DEBT_5_YEAR_GROWTH","FQ2 2014","FQ2 2014","Currency=INR","Period=FQ","BEST_FPERIOD_OVERRIDE=FQ","FILING_STATUS=OR","EQY_CONSOLIDATED=Y","Sort=A","Dates=H","DateFormat=P","Fill=—","Direction=H","UseDPDF=Y")</f>
        <v>#NAME?</v>
      </c>
      <c r="BA480" s="1" t="e">
        <f ca="1">_xll.BDH($C$478,"TOTAL_DEBT_5_YEAR_GROWTH","FQ2 2014","FQ2 2014","Currency=INR","Period=FQ","BEST_FPERIOD_OVERRIDE=FQ","FILING_STATUS=OR","EQY_CONSOLIDATED=Y","Sort=A","Dates=H","DateFormat=P","Fill=—","Direction=H","UseDPDF=Y")</f>
        <v>#NAME?</v>
      </c>
      <c r="BB480" s="1" t="e">
        <f ca="1">_xll.BDH($C$478,"GEO_GROW_TOT_SHRHLDR_EQY","FQ2 2014","FQ2 2014","Currency=INR","Period=FQ","BEST_FPERIOD_OVERRIDE=FQ","FILING_STATUS=OR","EQY_CONSOLIDATED=Y","Sort=A","Dates=H","DateFormat=P","Fill=—","Direction=H","UseDPDF=Y")</f>
        <v>#NAME?</v>
      </c>
      <c r="BC480" s="1" t="e">
        <f ca="1">_xll.BDH($C$478,"TOTAL_CAPITAL_5_YEAR_GROWTH","FQ2 2014","FQ2 2014","Currency=INR","Period=FQ","BEST_FPERIOD_OVERRIDE=FQ","FILING_STATUS=OR","EQY_CONSOLIDATED=Y","Sort=A","Dates=H","DateFormat=P","Fill=—","Direction=H","UseDPDF=Y")</f>
        <v>#NAME?</v>
      </c>
      <c r="BD480" s="1" t="e">
        <f ca="1">_xll.BDH($C$478,"GEO_GROW_BOOK_VAL","FQ2 2014","FQ2 2014","Currency=INR","Period=FQ","BEST_FPERIOD_OVERRIDE=FQ","FILING_STATUS=OR","EQY_CONSOLIDATED=Y","Sort=A","Dates=H","DateFormat=P","Fill=—","Direction=H","UseDPDF=Y")</f>
        <v>#NAME?</v>
      </c>
      <c r="BE480" s="1" t="e">
        <f ca="1">_xll.BDH($C$478,"GEO_GROW_CASH_OPER_ACT","FQ2 2014","FQ2 2014","Currency=INR","Period=FQ","BEST_FPERIOD_OVERRIDE=FQ","FILING_STATUS=OR","EQY_CONSOLIDATED=Y","Sort=A","Dates=H","DateFormat=P","Fill=—","Direction=H","UseDPDF=Y")</f>
        <v>#NAME?</v>
      </c>
      <c r="BF480" s="1" t="e">
        <f ca="1">_xll.BDH($C$478,"REVENUE_SEQUENTIAL_GROWTH","FQ2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80" s="1" t="e">
        <f ca="1">_xll.BDH($C$478,"EBITDA_SEQUENTIAL_GROWTH","FQ2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80" s="1" t="e">
        <f ca="1">_xll.BDH($C$478,"OPERATING_INCOME_SEQ_GROWTH","FQ2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80" s="1" t="e">
        <f ca="1">_xll.BDH($C$478,"NET_INCOME_TO_COMMON_SEQ_GROWTH","FQ2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80" s="1" t="e">
        <f ca="1">_xll.BDH($C$478,"EPS_DILUTED_SEQUENTIAL_GROWTH","FQ2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80" s="1" t="e">
        <f ca="1">_xll.BDH($C$478,"DPS_SEQUENTIAL_GROWTH","FQ2 2014","FQ2 2014","Currency=INR","Period=FQ","BEST_FPERIOD_OVERRIDE=FQ","FILING_STATUS=OR","EQY_CONSOLIDATED=Y","Sort=A","Dates=H","DateFormat=P","Fill=—","Direction=H","UseDPDF=Y")</f>
        <v>#NAME?</v>
      </c>
      <c r="BL480" s="1" t="e">
        <f ca="1">_xll.BDH($C$478,"ACCOUNTS_RECEIVABLE_SEQ_GROWTH","FQ2 2014","FQ2 2014","Currency=INR","Period=FQ","BEST_FPERIOD_OVERRIDE=FQ","FILING_STATUS=OR","EQY_CONSOLIDATED=Y","Sort=A","Dates=H","DateFormat=P","Fill=—","Direction=H","UseDPDF=Y")</f>
        <v>#NAME?</v>
      </c>
      <c r="BM480" s="1" t="e">
        <f ca="1">_xll.BDH($C$478,"INVENTORY_SEQUENTIAL_GROWTH","FQ2 2014","FQ2 2014","Currency=INR","Period=FQ","BEST_FPERIOD_OVERRIDE=FQ","FILING_STATUS=OR","EQY_CONSOLIDATED=Y","Sort=A","Dates=H","DateFormat=P","Fill=—","Direction=H","UseDPDF=Y")</f>
        <v>#NAME?</v>
      </c>
      <c r="BN480" s="1" t="e">
        <f ca="1">_xll.BDH($C$478,"FIXED_ASSETS_SEQUENTIAL_GROWTH","FQ2 2014","FQ2 2014","Currency=INR","Period=FQ","BEST_FPERIOD_OVERRIDE=FQ","FILING_STATUS=OR","EQY_CONSOLIDATED=Y","Sort=A","Dates=H","DateFormat=P","Fill=—","Direction=H","UseDPDF=Y")</f>
        <v>#NAME?</v>
      </c>
      <c r="BO480" s="1" t="e">
        <f ca="1">_xll.BDH($C$478,"TOTAL_ASSETS_SEQUENTIAL_GROWTH","FQ2 2014","FQ2 2014","Currency=INR","Period=FQ","BEST_FPERIOD_OVERRIDE=FQ","FILING_STATUS=OR","EQY_CONSOLIDATED=Y","Sort=A","Dates=H","DateFormat=P","Fill=—","Direction=H","UseDPDF=Y")</f>
        <v>#NAME?</v>
      </c>
      <c r="BP480" s="1" t="e">
        <f ca="1">_xll.BDH($C$478,"MODIFIED_WORKING_CPTL_SEQ_GRWTH","FQ2 2014","FQ2 2014","Currency=INR","Period=FQ","BEST_FPERIOD_OVERRIDE=FQ","FILING_STATUS=OR","EQY_CONSOLIDATED=Y","Sort=A","Dates=H","DateFormat=P","Fill=—","Direction=H","UseDPDF=Y")</f>
        <v>#NAME?</v>
      </c>
      <c r="BQ480" s="1" t="e">
        <f ca="1">_xll.BDH($C$478,"WORKING_CAPITAL_SEQ_GROWTH","FQ2 2014","FQ2 2014","Currency=INR","Period=FQ","BEST_FPERIOD_OVERRIDE=FQ","FILING_STATUS=OR","EQY_CONSOLIDATED=Y","Sort=A","Dates=H","DateFormat=P","Fill=—","Direction=H","UseDPDF=Y")</f>
        <v>#NAME?</v>
      </c>
      <c r="BR480" s="1" t="e">
        <f ca="1">_xll.BDH($C$478,"ACCOUNTS_PAYABLE_SEQ_GROWTH","FQ2 2014","FQ2 2014","Currency=INR","Period=FQ","BEST_FPERIOD_OVERRIDE=FQ","FILING_STATUS=OR","EQY_CONSOLIDATED=Y","Sort=A","Dates=H","DateFormat=P","Fill=—","Direction=H","UseDPDF=Y")</f>
        <v>#NAME?</v>
      </c>
      <c r="BS480" s="1" t="e">
        <f ca="1">_xll.BDH($C$478,"ST_DEBT_SEQUENTIAL_GROWTH","FQ2 2014","FQ2 2014","Currency=INR","Period=FQ","BEST_FPERIOD_OVERRIDE=FQ","FILING_STATUS=OR","EQY_CONSOLIDATED=Y","Sort=A","Dates=H","DateFormat=P","Fill=—","Direction=H","UseDPDF=Y")</f>
        <v>#NAME?</v>
      </c>
      <c r="BT480" s="1" t="e">
        <f ca="1">_xll.BDH($C$478,"TOTAL_DEBT_SEQUENTIAL_GROWTH","FQ2 2014","FQ2 2014","Currency=INR","Period=FQ","BEST_FPERIOD_OVERRIDE=FQ","FILING_STATUS=OR","EQY_CONSOLIDATED=Y","Sort=A","Dates=H","DateFormat=P","Fill=—","Direction=H","UseDPDF=Y")</f>
        <v>#NAME?</v>
      </c>
      <c r="BU480" s="1" t="e">
        <f ca="1">_xll.BDH($C$478,"TOTAL_EQUITY_SEQUENTIAL_GROWTH","FQ2 2014","FQ2 2014","Currency=INR","Period=FQ","BEST_FPERIOD_OVERRIDE=FQ","FILING_STATUS=OR","EQY_CONSOLIDATED=Y","Sort=A","Dates=H","DateFormat=P","Fill=—","Direction=H","UseDPDF=Y")</f>
        <v>#NAME?</v>
      </c>
      <c r="BV480" s="1" t="e">
        <f ca="1">_xll.BDH($C$478,"TOTAL_CAPITAL_SEQUENTIAL_GROWTH","FQ2 2014","FQ2 2014","Currency=INR","Period=FQ","BEST_FPERIOD_OVERRIDE=FQ","FILING_STATUS=OR","EQY_CONSOLIDATED=Y","Sort=A","Dates=H","DateFormat=P","Fill=—","Direction=H","UseDPDF=Y")</f>
        <v>#NAME?</v>
      </c>
      <c r="BW480" s="1" t="e">
        <f ca="1">_xll.BDH($C$478,"BPS_SEQUENTIAL_GROWTH","FQ2 2014","FQ2 2014","Currency=INR","Period=FQ","BEST_FPERIOD_OVERRIDE=FQ","FILING_STATUS=OR","EQY_CONSOLIDATED=Y","Sort=A","Dates=H","DateFormat=P","Fill=—","Direction=H","UseDPDF=Y")</f>
        <v>#NAME?</v>
      </c>
      <c r="BX480" s="1" t="e">
        <f ca="1">_xll.BDH($C$478,"CFO_SEQUENTIAL_GROWTH","FQ2 2014","FQ2 2014","Currency=INR","Period=FQ","BEST_FPERIOD_OVERRIDE=FQ","FILING_STATUS=OR","EQY_CONSOLIDATED=Y","Sort=A","Dates=H","DateFormat=P","Fill=—","Direction=H","UseDPDF=Y")</f>
        <v>#NAME?</v>
      </c>
      <c r="BY480" s="2" t="e">
        <f ca="1">_xll.BDH($C$478,"SHORT_AND_LONG_TERM_DEBT","FQ2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80" s="2" t="e">
        <f ca="1">_xll.BDH($C$478,"BS_ST_BORROW","FQ2 2014","FQ2 2014","Currency=INR","Period=FQ","BEST_FPERIOD_OVERRIDE=FQ","FILING_STATUS=OR","EQY_CONSOLIDATED=Y","SCALING_FORMAT=MLN","Sort=A","Dates=H","DateFormat=P","Fill=—","Direction=H","UseDPDF=Y")</f>
        <v>#NAME?</v>
      </c>
      <c r="CA480" s="2" t="e">
        <f ca="1">_xll.BDH($C$478,"BS_LT_BORROW","FQ2 2014","FQ2 2014","Currency=INR","Period=FQ","BEST_FPERIOD_OVERRIDE=FQ","FILING_STATUS=OR","EQY_CONSOLIDATED=Y","SCALING_FORMAT=MLN","Sort=A","Dates=H","DateFormat=P","Fill=—","Direction=H","UseDPDF=Y")</f>
        <v>#NAME?</v>
      </c>
      <c r="CB480" s="1" t="e">
        <f ca="1">_xll.BDH($C$478,"TOT_DEBT_TO_EBITDA","FQ2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80" s="1" t="e">
        <f ca="1">_xll.BDH($C$478,"NET_DEBT_TO_EBITDA","FQ2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80" s="1" t="e">
        <f ca="1">_xll.BDH($C$478,"TOTAL_DEBT_TO_EBIT","FQ2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80" s="1" t="e">
        <f ca="1">_xll.BDH($C$478,"NET_DEBT_TO_EBIT","FQ2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480" s="1" t="e">
        <f ca="1">_xll.BDH($C$478,"EBITDA_TO_INTEREST_EXPN","FQ2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80" s="1" t="e">
        <f ca="1">_xll.BDH($C$478,"COM_EQY_TO_TOT_ASSET","FQ2 2014","FQ2 2014","Currency=INR","Period=FQ","BEST_FPERIOD_OVERRIDE=FQ","FILING_STATUS=OR","EQY_CONSOLIDATED=Y","Sort=A","Dates=H","DateFormat=P","Fill=—","Direction=H","UseDPDF=Y")</f>
        <v>#NAME?</v>
      </c>
      <c r="CH480" s="1" t="e">
        <f ca="1">_xll.BDH($C$478,"LT_DEBT_TO_TOT_EQY","FQ2 2014","FQ2 2014","Currency=INR","Period=FQ","BEST_FPERIOD_OVERRIDE=FQ","FILING_STATUS=OR","EQY_CONSOLIDATED=Y","Sort=A","Dates=H","DateFormat=P","Fill=—","Direction=H","UseDPDF=Y")</f>
        <v>#NAME?</v>
      </c>
      <c r="CI480" s="1" t="e">
        <f ca="1">_xll.BDH($C$478,"LT_DEBT_TO_TOT_CAP","FQ2 2014","FQ2 2014","Currency=INR","Period=FQ","BEST_FPERIOD_OVERRIDE=FQ","FILING_STATUS=OR","EQY_CONSOLIDATED=Y","Sort=A","Dates=H","DateFormat=P","Fill=—","Direction=H","UseDPDF=Y")</f>
        <v>#NAME?</v>
      </c>
      <c r="CJ480" s="1" t="e">
        <f ca="1">_xll.BDH($C$478,"LT_DEBT_TO_TOT_ASSET","FQ2 2014","FQ2 2014","Currency=INR","Period=FQ","BEST_FPERIOD_OVERRIDE=FQ","FILING_STATUS=OR","EQY_CONSOLIDATED=Y","Sort=A","Dates=H","DateFormat=P","Fill=—","Direction=H","UseDPDF=Y")</f>
        <v>#NAME?</v>
      </c>
      <c r="CK480" s="1" t="e">
        <f ca="1">_xll.BDH($C$478,"TOT_DEBT_TO_TOT_EQY","FQ2 2014","FQ2 2014","Currency=INR","Period=FQ","BEST_FPERIOD_OVERRIDE=FQ","FILING_STATUS=OR","EQY_CONSOLIDATED=Y","Sort=A","Dates=H","DateFormat=P","Fill=—","Direction=H","UseDPDF=Y")</f>
        <v>#NAME?</v>
      </c>
      <c r="CL480" s="1" t="e">
        <f ca="1">_xll.BDH($C$478,"TOT_DEBT_TO_TOT_CAP","FQ2 2014","FQ2 2014","Currency=INR","Period=FQ","BEST_FPERIOD_OVERRIDE=FQ","FILING_STATUS=OR","EQY_CONSOLIDATED=Y","Sort=A","Dates=H","DateFormat=P","Fill=—","Direction=H","UseDPDF=Y")</f>
        <v>#NAME?</v>
      </c>
      <c r="CM480" s="1" t="e">
        <f ca="1">_xll.BDH($C$478,"TOT_DEBT_TO_TOT_ASSET","FQ2 2014","FQ2 2014","Currency=INR","Period=FQ","BEST_FPERIOD_OVERRIDE=FQ","FILING_STATUS=OR","EQY_CONSOLIDATED=Y","Sort=A","Dates=H","DateFormat=P","Fill=—","Direction=H","UseDPDF=Y")</f>
        <v>#NAME?</v>
      </c>
      <c r="CN480" s="1" t="e">
        <f ca="1">_xll.BDH($C$478,"NET_DEBT_TO_SHRHLDR_EQTY","FQ2 2014","FQ2 2014","Currency=INR","Period=FQ","BEST_FPERIOD_OVERRIDE=FQ","FILING_STATUS=OR","EQY_CONSOLIDATED=Y","Sort=A","Dates=H","DateFormat=P","Fill=—","Direction=H","UseDPDF=Y")</f>
        <v>#NAME?</v>
      </c>
      <c r="CO480" s="1" t="e">
        <f ca="1">_xll.BDH($C$478,"NET_DEBT_%_CAPITAL","FQ2 2014","FQ2 2014","Currency=INR","Period=FQ","BEST_FPERIOD_OVERRIDE=FQ","FILING_STATUS=OR","EQY_CONSOLIDATED=Y","Sort=A","Dates=H","DateFormat=P","Fill=—","Direction=H","UseDPDF=Y")</f>
        <v>#NAME?</v>
      </c>
      <c r="CP480" s="2" t="e">
        <f ca="1">_xll.BDH($C$478,"EBITDA","FQ2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80" s="2" t="e">
        <f ca="1">_xll.BDH($C$478,"EBITDA_AFTER_CAPEX","FQ2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80" s="2" t="e">
        <f ca="1">_xll.BDH($C$478,"IS_OPER_INC","FQ2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80" s="1" t="e">
        <f ca="1">_xll.BDH($C$478,"CASH_RATIO","FQ2 2014","FQ2 2014","Currency=INR","Period=FQ","BEST_FPERIOD_OVERRIDE=FQ","FILING_STATUS=OR","EQY_CONSOLIDATED=Y","Sort=A","Dates=H","DateFormat=P","Fill=—","Direction=H","UseDPDF=Y")</f>
        <v>#NAME?</v>
      </c>
      <c r="CT480" s="1" t="e">
        <f ca="1">_xll.BDH($C$478,"CUR_RATIO","FQ2 2014","FQ2 2014","Currency=INR","Period=FQ","BEST_FPERIOD_OVERRIDE=FQ","FILING_STATUS=OR","EQY_CONSOLIDATED=Y","Sort=A","Dates=H","DateFormat=P","Fill=—","Direction=H","UseDPDF=Y")</f>
        <v>#NAME?</v>
      </c>
      <c r="CU480" s="1" t="e">
        <f ca="1">_xll.BDH($C$478,"QUICK_RATIO","FQ2 2014","FQ2 2014","Currency=INR","Period=FQ","BEST_FPERIOD_OVERRIDE=FQ","FILING_STATUS=OR","EQY_CONSOLIDATED=Y","Sort=A","Dates=H","DateFormat=P","Fill=—","Direction=H","UseDPDF=Y")</f>
        <v>#NAME?</v>
      </c>
      <c r="CV480" s="1" t="e">
        <f ca="1">_xll.BDH($C$478,"ALTMAN_Z_SCORE","FQ2 2014","FQ2 2014","Currency=INR","Period=FQ","BEST_FPERIOD_OVERRIDE=FQ","FILING_STATUS=OR","EQY_CONSOLIDATED=Y","Sort=A","Dates=H","DateFormat=P","Fill=—","Direction=H","UseDPDF=Y")</f>
        <v>#NAME?</v>
      </c>
      <c r="CW480" s="3" t="e">
        <f ca="1">_xll.BDH($C$478,"ACCT_RCV_TURN","FQ2 2014","FQ2 2014","Currency=INR","Period=FQ","BEST_FPERIOD_OVERRIDE=FQ","FILING_STATUS=OR","EQY_CONSOLIDATED=Y","FA_ADJUSTED=GAAP","Sort=A","Dates=H","DateFormat=P","Fill=—","Direction=H","UseDPDF=Y")</f>
        <v>#NAME?</v>
      </c>
      <c r="CX480" s="1" t="e">
        <f ca="1">_xll.BDH($C$478,"ACCT_RCV_DAYS","FQ2 2014","FQ2 2014","Currency=INR","Period=FQ","BEST_FPERIOD_OVERRIDE=FQ","FILING_STATUS=OR","EQY_CONSOLIDATED=Y","FA_ADJUSTED=GAAP","Sort=A","Dates=H","DateFormat=P","Fill=—","Direction=H","UseDPDF=Y")</f>
        <v>#NAME?</v>
      </c>
      <c r="CY480" s="3" t="e">
        <f ca="1">_xll.BDH($C$478,"INVENT_TURN","FQ2 2014","FQ2 2014","Currency=INR","Period=FQ","BEST_FPERIOD_OVERRIDE=FQ","FILING_STATUS=OR","EQY_CONSOLIDATED=Y","FA_ADJUSTED=GAAP","Sort=A","Dates=H","DateFormat=P","Fill=—","Direction=H","UseDPDF=Y")</f>
        <v>#NAME?</v>
      </c>
      <c r="CZ480" s="1" t="e">
        <f ca="1">_xll.BDH($C$478,"INVENT_DAYS","FQ2 2014","FQ2 2014","Currency=INR","Period=FQ","BEST_FPERIOD_OVERRIDE=FQ","FILING_STATUS=OR","EQY_CONSOLIDATED=Y","FA_ADJUSTED=GAAP","Sort=A","Dates=H","DateFormat=P","Fill=—","Direction=H","UseDPDF=Y")</f>
        <v>#NAME?</v>
      </c>
      <c r="DA480" s="3" t="e">
        <f ca="1">_xll.BDH($C$478,"ACCOUNTS_PAYABLE_TURNOVER","FQ2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80" s="1" t="e">
        <f ca="1">_xll.BDH($C$478,"ACCOUNTS_PAYABLE_TURNOVER_DAYS","FQ2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80" s="3" t="e">
        <f ca="1">_xll.BDH($C$478,"CASH_CONVERSION_CYCLE","FQ2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80" s="3" t="e">
        <f ca="1">_xll.BDH($C$478,"INV_TO_CASH_DAYS","FQ2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480" s="4" t="e">
        <f ca="1">_xll.BDH($C$478,"BS_INVENTORIES","FQ2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480" s="2" t="e">
        <f ca="1">_xll.BDH($C$478,"INVTRY_RAW_MATERIALS","FQ2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80" s="2" t="e">
        <f ca="1">_xll.BDH($C$478,"INVTRY_IN_PROGRESS","FQ2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80" s="2" t="e">
        <f ca="1">_xll.BDH($C$478,"INVTRY_FINISHED_GOODS","FQ2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80" s="2" t="e">
        <f ca="1">_xll.BDH($C$478,"BS_OTHER_INV","FQ2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81" spans="1:113" x14ac:dyDescent="0.3">
      <c r="A481" s="6"/>
      <c r="B481" s="6"/>
      <c r="C481" s="6"/>
      <c r="D481" s="6"/>
      <c r="E481" t="s">
        <v>6</v>
      </c>
      <c r="F481" t="e">
        <f ca="1">_xll.BDH($C$478,"RETURN_COM_EQY","FQ3 2014","FQ3 2014","Currency=INR","Period=FQ","BEST_FPERIOD_OVERRIDE=FQ","FILING_STATUS=OR","EQY_CONSOLIDATED=Y","FA_ADJUSTED=GAAP","Sort=A","Dates=H","DateFormat=P","Fill=—","Direction=H","UseDPDF=Y")</f>
        <v>#NAME?</v>
      </c>
      <c r="G481" t="e">
        <f ca="1">_xll.BDH($C$478,"RETURN_ON_ASSET","FQ3 2014","FQ3 2014","Currency=INR","Period=FQ","BEST_FPERIOD_OVERRIDE=FQ","FILING_STATUS=OR","EQY_CONSOLIDATED=Y","FA_ADJUSTED=GAAP","Sort=A","Dates=H","DateFormat=P","Fill=—","Direction=H","UseDPDF=Y")</f>
        <v>#NAME?</v>
      </c>
      <c r="H481" t="e">
        <f ca="1">_xll.BDH($C$478,"RETURN_ON_CAP","FQ3 2014","FQ3 2014","Currency=INR","Period=FQ","BEST_FPERIOD_OVERRIDE=FQ","FILING_STATUS=OR","EQY_CONSOLIDATED=Y","FA_ADJUSTED=GAAP","Sort=A","Dates=H","DateFormat=P","Fill=—","Direction=H","UseDPDF=Y")</f>
        <v>#NAME?</v>
      </c>
      <c r="I481" t="e">
        <f ca="1">_xll.BDH($C$478,"RETURN_ON_INV_CAPITAL","FQ3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81" t="e">
        <f ca="1">_xll.BDH($C$478,"EBITDA_TO_REVENUE","FQ3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481" t="e">
        <f ca="1">_xll.BDH($C$478,"OPER_MARGIN","FQ3 2014","FQ3 2014","Currency=INR","Period=FQ","BEST_FPERIOD_OVERRIDE=FQ","FILING_STATUS=OR","EQY_CONSOLIDATED=Y","FA_ADJUSTED=GAAP","Sort=A","Dates=H","DateFormat=P","Fill=—","Direction=H","UseDPDF=Y")</f>
        <v>#NAME?</v>
      </c>
      <c r="L481" t="e">
        <f ca="1">_xll.BDH($C$478,"INCREMENTAL_OPERATING_MARGIN","FQ3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81" t="e">
        <f ca="1">_xll.BDH($C$478,"PRETAX_INC_TO_NET_SALES","FQ3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81" t="e">
        <f ca="1">_xll.BDH($C$478,"INC_BEF_XO_ITEMS_TO_NET_SALES","FQ3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81" t="e">
        <f ca="1">_xll.BDH($C$478,"PROF_MARGIN","FQ3 2014","FQ3 2014","Currency=INR","Period=FQ","BEST_FPERIOD_OVERRIDE=FQ","FILING_STATUS=OR","EQY_CONSOLIDATED=Y","FA_ADJUSTED=GAAP","Sort=A","Dates=H","DateFormat=P","Fill=—","Direction=H","UseDPDF=Y")</f>
        <v>#NAME?</v>
      </c>
      <c r="P481" t="e">
        <f ca="1">_xll.BDH($C$478,"NET_INCOME_TO_COMMON_MARGIN","FQ3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81" t="e">
        <f ca="1">_xll.BDH($C$478,"EFF_TAX_RATE","FQ3 2014","FQ3 2014","Currency=INR","Period=FQ","BEST_FPERIOD_OVERRIDE=FQ","FILING_STATUS=OR","EQY_CONSOLIDATED=Y","FA_ADJUSTED=GAAP","Sort=A","Dates=H","DateFormat=P","Fill=—","Direction=H","UseDPDF=Y")</f>
        <v>#NAME?</v>
      </c>
      <c r="R481" t="e">
        <f ca="1">_xll.BDH($C$478,"DVD_PAYOUT_RATIO","FQ3 2014","FQ3 2014","Currency=INR","Period=FQ","BEST_FPERIOD_OVERRIDE=FQ","FILING_STATUS=OR","EQY_CONSOLIDATED=Y","FA_ADJUSTED=GAAP","Sort=A","Dates=H","DateFormat=P","Fill=—","Direction=H","UseDPDF=Y")</f>
        <v>#NAME?</v>
      </c>
      <c r="S481" t="e">
        <f ca="1">_xll.BDH($C$478,"SUSTAIN_GROWTH_RT","FQ3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481" s="1" t="e">
        <f ca="1">_xll.BDH($C$478,"SALES_GROWTH","FQ3 2014","FQ3 2014","Currency=INR","Period=FQ","BEST_FPERIOD_OVERRIDE=FQ","FILING_STATUS=OR","EQY_CONSOLIDATED=Y","FA_ADJUSTED=GAAP","Sort=A","Dates=H","DateFormat=P","Fill=—","Direction=H","UseDPDF=Y")</f>
        <v>#NAME?</v>
      </c>
      <c r="U481" s="1" t="e">
        <f ca="1">_xll.BDH($C$478,"EBITDA_GROWTH","FQ3 2014","FQ3 2014","Currency=INR","Period=FQ","BEST_FPERIOD_OVERRIDE=FQ","FILING_STATUS=OR","EQY_CONSOLIDATED=Y","FA_ADJUSTED=GAAP","Sort=A","Dates=H","DateFormat=P","Fill=—","Direction=H","UseDPDF=Y")</f>
        <v>#NAME?</v>
      </c>
      <c r="V481" s="1" t="e">
        <f ca="1">_xll.BDH($C$478,"OPER_INC_GROWTH","FQ3 2014","FQ3 2014","Currency=INR","Period=FQ","BEST_FPERIOD_OVERRIDE=FQ","FILING_STATUS=OR","EQY_CONSOLIDATED=Y","FA_ADJUSTED=GAAP","Sort=A","Dates=H","DateFormat=P","Fill=—","Direction=H","UseDPDF=Y")</f>
        <v>#NAME?</v>
      </c>
      <c r="W481" s="1" t="e">
        <f ca="1">_xll.BDH($C$478,"EARN_FOR_COM_GROWTH","FQ3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81" s="1" t="e">
        <f ca="1">_xll.BDH($C$478,"DILUTED_EPS_AFT_XO_ITEMS_GROWTH","FQ3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81" s="1" t="e">
        <f ca="1">_xll.BDH($C$478,"DIVIDEND_PER_SHARE_1_YEAR_GROWTH","FQ3 2014","FQ3 2014","Currency=INR","Period=FQ","BEST_FPERIOD_OVERRIDE=FQ","FILING_STATUS=OR","EQY_CONSOLIDATED=Y","Sort=A","Dates=H","DateFormat=P","Fill=—","Direction=H","UseDPDF=Y")</f>
        <v>#NAME?</v>
      </c>
      <c r="Z481" s="1" t="e">
        <f ca="1">_xll.BDH($C$478,"ACCOUNTS_RECEIVABLE_GROWTH","FQ3 2014","FQ3 2014","Currency=INR","Period=FQ","BEST_FPERIOD_OVERRIDE=FQ","FILING_STATUS=OR","EQY_CONSOLIDATED=Y","Sort=A","Dates=H","DateFormat=P","Fill=—","Direction=H","UseDPDF=Y")</f>
        <v>#NAME?</v>
      </c>
      <c r="AA481" s="1" t="e">
        <f ca="1">_xll.BDH($C$478,"INVENTORY_GROWTH","FQ3 2014","FQ3 2014","Currency=INR","Period=FQ","BEST_FPERIOD_OVERRIDE=FQ","FILING_STATUS=OR","EQY_CONSOLIDATED=Y","Sort=A","Dates=H","DateFormat=P","Fill=—","Direction=H","UseDPDF=Y")</f>
        <v>#NAME?</v>
      </c>
      <c r="AB481" s="1" t="e">
        <f ca="1">_xll.BDH($C$478,"NET_FIXED_ASSETS_1_YEAR_GROWTH","FQ3 2014","FQ3 2014","Currency=INR","Period=FQ","BEST_FPERIOD_OVERRIDE=FQ","FILING_STATUS=OR","EQY_CONSOLIDATED=Y","Sort=A","Dates=H","DateFormat=P","Fill=—","Direction=H","UseDPDF=Y")</f>
        <v>#NAME?</v>
      </c>
      <c r="AC481" s="1" t="e">
        <f ca="1">_xll.BDH($C$478,"ASSET_GROWTH","FQ3 2014","FQ3 2014","Currency=INR","Period=FQ","BEST_FPERIOD_OVERRIDE=FQ","FILING_STATUS=OR","EQY_CONSOLIDATED=Y","Sort=A","Dates=H","DateFormat=P","Fill=—","Direction=H","UseDPDF=Y")</f>
        <v>#NAME?</v>
      </c>
      <c r="AD481" s="1" t="e">
        <f ca="1">_xll.BDH($C$478,"MODIFIED_WORK_CAP_GROWTH","FQ3 2014","FQ3 2014","Currency=INR","Period=FQ","BEST_FPERIOD_OVERRIDE=FQ","FILING_STATUS=OR","EQY_CONSOLIDATED=Y","Sort=A","Dates=H","DateFormat=P","Fill=—","Direction=H","UseDPDF=Y")</f>
        <v>#NAME?</v>
      </c>
      <c r="AE481" s="1" t="e">
        <f ca="1">_xll.BDH($C$478,"WORK_CAP_GROWTH","FQ3 2014","FQ3 2014","Currency=INR","Period=FQ","BEST_FPERIOD_OVERRIDE=FQ","FILING_STATUS=OR","EQY_CONSOLIDATED=Y","Sort=A","Dates=H","DateFormat=P","Fill=—","Direction=H","UseDPDF=Y")</f>
        <v>#NAME?</v>
      </c>
      <c r="AF481" s="1" t="e">
        <f ca="1">_xll.BDH($C$478,"ACCOUNTS_PAYABLE_GROWTH_1YR","FQ3 2014","FQ3 2014","Currency=INR","Period=FQ","BEST_FPERIOD_OVERRIDE=FQ","FILING_STATUS=OR","EQY_CONSOLIDATED=Y","Sort=A","Dates=H","DateFormat=P","Fill=—","Direction=H","UseDPDF=Y")</f>
        <v>#NAME?</v>
      </c>
      <c r="AG481" s="1" t="e">
        <f ca="1">_xll.BDH($C$478,"SHORT_TERM_DEBT_1_YEAR_GROWTH","FQ3 2014","FQ3 2014","Currency=INR","Period=FQ","BEST_FPERIOD_OVERRIDE=FQ","FILING_STATUS=OR","EQY_CONSOLIDATED=Y","Sort=A","Dates=H","DateFormat=P","Fill=—","Direction=H","UseDPDF=Y")</f>
        <v>#NAME?</v>
      </c>
      <c r="AH481" s="1" t="e">
        <f ca="1">_xll.BDH($C$478,"TOTAL_DEBT_1_YEAR_GROWTH","FQ3 2014","FQ3 2014","Currency=INR","Period=FQ","BEST_FPERIOD_OVERRIDE=FQ","FILING_STATUS=OR","EQY_CONSOLIDATED=Y","Sort=A","Dates=H","DateFormat=P","Fill=—","Direction=H","UseDPDF=Y")</f>
        <v>#NAME?</v>
      </c>
      <c r="AI481" s="1" t="e">
        <f ca="1">_xll.BDH($C$478,"TOTAL_EQUITY_1_YEAR_GROWTH","FQ3 2014","FQ3 2014","Currency=INR","Period=FQ","BEST_FPERIOD_OVERRIDE=FQ","FILING_STATUS=OR","EQY_CONSOLIDATED=Y","Sort=A","Dates=H","DateFormat=P","Fill=—","Direction=H","UseDPDF=Y")</f>
        <v>#NAME?</v>
      </c>
      <c r="AJ481" s="1" t="e">
        <f ca="1">_xll.BDH($C$478,"GROWTH_IN_CAP","FQ3 2014","FQ3 2014","Currency=INR","Period=FQ","BEST_FPERIOD_OVERRIDE=FQ","FILING_STATUS=OR","EQY_CONSOLIDATED=Y","Sort=A","Dates=H","DateFormat=P","Fill=—","Direction=H","UseDPDF=Y")</f>
        <v>#NAME?</v>
      </c>
      <c r="AK481" s="1" t="e">
        <f ca="1">_xll.BDH($C$478,"BVPS_GROWTH","FQ3 2014","FQ3 2014","Currency=INR","Period=FQ","BEST_FPERIOD_OVERRIDE=FQ","FILING_STATUS=OR","EQY_CONSOLIDATED=Y","Sort=A","Dates=H","DateFormat=P","Fill=—","Direction=H","UseDPDF=Y")</f>
        <v>#NAME?</v>
      </c>
      <c r="AL481" s="1" t="e">
        <f ca="1">_xll.BDH($C$478,"CASH_FLOW_GROWTH","FQ3 2014","FQ3 2014","Currency=INR","Period=FQ","BEST_FPERIOD_OVERRIDE=FQ","FILING_STATUS=OR","EQY_CONSOLIDATED=Y","Sort=A","Dates=H","DateFormat=P","Fill=—","Direction=H","UseDPDF=Y")</f>
        <v>#NAME?</v>
      </c>
      <c r="AM481" s="1" t="e">
        <f ca="1">_xll.BDH($C$478,"GEO_GROW_NET_SALES","FQ3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81" s="1" t="e">
        <f ca="1">_xll.BDH($C$478,"GEO_GROW_EBITDA","FQ3 2014","FQ3 2014","Currency=INR","Period=FQ","BEST_FPERIOD_OVERRIDE=FQ","FILING_STATUS=OR","EQY_CONSOLIDATED=Y","FA_ADJUSTED=GAAP","Sort=A","Dates=H","DateFormat=P","Fill=—","Direction=H","UseDPDF=Y")</f>
        <v>#NAME?</v>
      </c>
      <c r="AO481" s="1" t="e">
        <f ca="1">_xll.BDH($C$478,"GEO_GROW_OPER_INC","FQ3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81" s="1" t="e">
        <f ca="1">_xll.BDH($C$478,"NET_INCOME_TO_COMMON_5_YR_GROWTH","FQ3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81" s="1" t="e">
        <f ca="1">_xll.BDH($C$478,"5Y_GEO_GROWTH_DILUTED_EPS","FQ3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81" s="1" t="e">
        <f ca="1">_xll.BDH($C$478,"GEO_GROW_DVD_PER_SH","FQ3 2014","FQ3 2014","Currency=INR","Period=FQ","BEST_FPERIOD_OVERRIDE=FQ","FILING_STATUS=OR","EQY_CONSOLIDATED=Y","Sort=A","Dates=H","DateFormat=P","Fill=—","Direction=H","UseDPDF=Y")</f>
        <v>#NAME?</v>
      </c>
      <c r="AS481" s="1" t="e">
        <f ca="1">_xll.BDH($C$478,"ACCOUNTS_RECEIVABLE_5_YR_GROWTH","FQ3 2014","FQ3 2014","Currency=INR","Period=FQ","BEST_FPERIOD_OVERRIDE=FQ","FILING_STATUS=OR","EQY_CONSOLIDATED=Y","Sort=A","Dates=H","DateFormat=P","Fill=—","Direction=H","UseDPDF=Y")</f>
        <v>#NAME?</v>
      </c>
      <c r="AT481" s="1" t="e">
        <f ca="1">_xll.BDH($C$478,"INVENTORY_5_YEAR_GROWTH","FQ3 2014","FQ3 2014","Currency=INR","Period=FQ","BEST_FPERIOD_OVERRIDE=FQ","FILING_STATUS=OR","EQY_CONSOLIDATED=Y","Sort=A","Dates=H","DateFormat=P","Fill=—","Direction=H","UseDPDF=Y")</f>
        <v>#NAME?</v>
      </c>
      <c r="AU481" s="1" t="e">
        <f ca="1">_xll.BDH($C$478,"NET_FIXED_ASSETS_5_YEAR_GROWTH","FQ3 2014","FQ3 2014","Currency=INR","Period=FQ","BEST_FPERIOD_OVERRIDE=FQ","FILING_STATUS=OR","EQY_CONSOLIDATED=Y","Sort=A","Dates=H","DateFormat=P","Fill=—","Direction=H","UseDPDF=Y")</f>
        <v>#NAME?</v>
      </c>
      <c r="AV481" s="1" t="e">
        <f ca="1">_xll.BDH($C$478,"GEO_GROW_TOT_ASSET","FQ3 2014","FQ3 2014","Currency=INR","Period=FQ","BEST_FPERIOD_OVERRIDE=FQ","FILING_STATUS=OR","EQY_CONSOLIDATED=Y","Sort=A","Dates=H","DateFormat=P","Fill=—","Direction=H","UseDPDF=Y")</f>
        <v>#NAME?</v>
      </c>
      <c r="AW481" s="1" t="e">
        <f ca="1">_xll.BDH($C$478,"MODIFIED_WORKING_CPTL_5YR_GRWTH","FQ3 2014","FQ3 2014","Currency=INR","Period=FQ","BEST_FPERIOD_OVERRIDE=FQ","FILING_STATUS=OR","EQY_CONSOLIDATED=Y","Sort=A","Dates=H","DateFormat=P","Fill=—","Direction=H","UseDPDF=Y")</f>
        <v>#NAME?</v>
      </c>
      <c r="AX481" s="1" t="e">
        <f ca="1">_xll.BDH($C$478,"WORKING_CAPITAL_5_YEAR_GROWTH","FQ3 2014","FQ3 2014","Currency=INR","Period=FQ","BEST_FPERIOD_OVERRIDE=FQ","FILING_STATUS=OR","EQY_CONSOLIDATED=Y","Sort=A","Dates=H","DateFormat=P","Fill=—","Direction=H","UseDPDF=Y")</f>
        <v>#NAME?</v>
      </c>
      <c r="AY481" s="1" t="e">
        <f ca="1">_xll.BDH($C$478,"ACCOUNTS_PAYABLE_5_YEAR_GROWTH","FQ3 2014","FQ3 2014","Currency=INR","Period=FQ","BEST_FPERIOD_OVERRIDE=FQ","FILING_STATUS=OR","EQY_CONSOLIDATED=Y","Sort=A","Dates=H","DateFormat=P","Fill=—","Direction=H","UseDPDF=Y")</f>
        <v>#NAME?</v>
      </c>
      <c r="AZ481" s="1" t="e">
        <f ca="1">_xll.BDH($C$478,"SHORT_TERM_DEBT_5_YEAR_GROWTH","FQ3 2014","FQ3 2014","Currency=INR","Period=FQ","BEST_FPERIOD_OVERRIDE=FQ","FILING_STATUS=OR","EQY_CONSOLIDATED=Y","Sort=A","Dates=H","DateFormat=P","Fill=—","Direction=H","UseDPDF=Y")</f>
        <v>#NAME?</v>
      </c>
      <c r="BA481" s="1" t="e">
        <f ca="1">_xll.BDH($C$478,"TOTAL_DEBT_5_YEAR_GROWTH","FQ3 2014","FQ3 2014","Currency=INR","Period=FQ","BEST_FPERIOD_OVERRIDE=FQ","FILING_STATUS=OR","EQY_CONSOLIDATED=Y","Sort=A","Dates=H","DateFormat=P","Fill=—","Direction=H","UseDPDF=Y")</f>
        <v>#NAME?</v>
      </c>
      <c r="BB481" s="1" t="e">
        <f ca="1">_xll.BDH($C$478,"GEO_GROW_TOT_SHRHLDR_EQY","FQ3 2014","FQ3 2014","Currency=INR","Period=FQ","BEST_FPERIOD_OVERRIDE=FQ","FILING_STATUS=OR","EQY_CONSOLIDATED=Y","Sort=A","Dates=H","DateFormat=P","Fill=—","Direction=H","UseDPDF=Y")</f>
        <v>#NAME?</v>
      </c>
      <c r="BC481" s="1" t="e">
        <f ca="1">_xll.BDH($C$478,"TOTAL_CAPITAL_5_YEAR_GROWTH","FQ3 2014","FQ3 2014","Currency=INR","Period=FQ","BEST_FPERIOD_OVERRIDE=FQ","FILING_STATUS=OR","EQY_CONSOLIDATED=Y","Sort=A","Dates=H","DateFormat=P","Fill=—","Direction=H","UseDPDF=Y")</f>
        <v>#NAME?</v>
      </c>
      <c r="BD481" s="1" t="e">
        <f ca="1">_xll.BDH($C$478,"GEO_GROW_BOOK_VAL","FQ3 2014","FQ3 2014","Currency=INR","Period=FQ","BEST_FPERIOD_OVERRIDE=FQ","FILING_STATUS=OR","EQY_CONSOLIDATED=Y","Sort=A","Dates=H","DateFormat=P","Fill=—","Direction=H","UseDPDF=Y")</f>
        <v>#NAME?</v>
      </c>
      <c r="BE481" s="1" t="e">
        <f ca="1">_xll.BDH($C$478,"GEO_GROW_CASH_OPER_ACT","FQ3 2014","FQ3 2014","Currency=INR","Period=FQ","BEST_FPERIOD_OVERRIDE=FQ","FILING_STATUS=OR","EQY_CONSOLIDATED=Y","Sort=A","Dates=H","DateFormat=P","Fill=—","Direction=H","UseDPDF=Y")</f>
        <v>#NAME?</v>
      </c>
      <c r="BF481" s="1" t="e">
        <f ca="1">_xll.BDH($C$478,"REVENUE_SEQUENTIAL_GROWTH","FQ3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81" s="1" t="e">
        <f ca="1">_xll.BDH($C$478,"EBITDA_SEQUENTIAL_GROWTH","FQ3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81" s="1" t="e">
        <f ca="1">_xll.BDH($C$478,"OPERATING_INCOME_SEQ_GROWTH","FQ3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81" s="1" t="e">
        <f ca="1">_xll.BDH($C$478,"NET_INCOME_TO_COMMON_SEQ_GROWTH","FQ3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81" s="1" t="e">
        <f ca="1">_xll.BDH($C$478,"EPS_DILUTED_SEQUENTIAL_GROWTH","FQ3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81" s="1" t="e">
        <f ca="1">_xll.BDH($C$478,"DPS_SEQUENTIAL_GROWTH","FQ3 2014","FQ3 2014","Currency=INR","Period=FQ","BEST_FPERIOD_OVERRIDE=FQ","FILING_STATUS=OR","EQY_CONSOLIDATED=Y","Sort=A","Dates=H","DateFormat=P","Fill=—","Direction=H","UseDPDF=Y")</f>
        <v>#NAME?</v>
      </c>
      <c r="BL481" s="1" t="e">
        <f ca="1">_xll.BDH($C$478,"ACCOUNTS_RECEIVABLE_SEQ_GROWTH","FQ3 2014","FQ3 2014","Currency=INR","Period=FQ","BEST_FPERIOD_OVERRIDE=FQ","FILING_STATUS=OR","EQY_CONSOLIDATED=Y","Sort=A","Dates=H","DateFormat=P","Fill=—","Direction=H","UseDPDF=Y")</f>
        <v>#NAME?</v>
      </c>
      <c r="BM481" s="1" t="e">
        <f ca="1">_xll.BDH($C$478,"INVENTORY_SEQUENTIAL_GROWTH","FQ3 2014","FQ3 2014","Currency=INR","Period=FQ","BEST_FPERIOD_OVERRIDE=FQ","FILING_STATUS=OR","EQY_CONSOLIDATED=Y","Sort=A","Dates=H","DateFormat=P","Fill=—","Direction=H","UseDPDF=Y")</f>
        <v>#NAME?</v>
      </c>
      <c r="BN481" s="1" t="e">
        <f ca="1">_xll.BDH($C$478,"FIXED_ASSETS_SEQUENTIAL_GROWTH","FQ3 2014","FQ3 2014","Currency=INR","Period=FQ","BEST_FPERIOD_OVERRIDE=FQ","FILING_STATUS=OR","EQY_CONSOLIDATED=Y","Sort=A","Dates=H","DateFormat=P","Fill=—","Direction=H","UseDPDF=Y")</f>
        <v>#NAME?</v>
      </c>
      <c r="BO481" s="1" t="e">
        <f ca="1">_xll.BDH($C$478,"TOTAL_ASSETS_SEQUENTIAL_GROWTH","FQ3 2014","FQ3 2014","Currency=INR","Period=FQ","BEST_FPERIOD_OVERRIDE=FQ","FILING_STATUS=OR","EQY_CONSOLIDATED=Y","Sort=A","Dates=H","DateFormat=P","Fill=—","Direction=H","UseDPDF=Y")</f>
        <v>#NAME?</v>
      </c>
      <c r="BP481" s="1" t="e">
        <f ca="1">_xll.BDH($C$478,"MODIFIED_WORKING_CPTL_SEQ_GRWTH","FQ3 2014","FQ3 2014","Currency=INR","Period=FQ","BEST_FPERIOD_OVERRIDE=FQ","FILING_STATUS=OR","EQY_CONSOLIDATED=Y","Sort=A","Dates=H","DateFormat=P","Fill=—","Direction=H","UseDPDF=Y")</f>
        <v>#NAME?</v>
      </c>
      <c r="BQ481" s="1" t="e">
        <f ca="1">_xll.BDH($C$478,"WORKING_CAPITAL_SEQ_GROWTH","FQ3 2014","FQ3 2014","Currency=INR","Period=FQ","BEST_FPERIOD_OVERRIDE=FQ","FILING_STATUS=OR","EQY_CONSOLIDATED=Y","Sort=A","Dates=H","DateFormat=P","Fill=—","Direction=H","UseDPDF=Y")</f>
        <v>#NAME?</v>
      </c>
      <c r="BR481" s="1" t="e">
        <f ca="1">_xll.BDH($C$478,"ACCOUNTS_PAYABLE_SEQ_GROWTH","FQ3 2014","FQ3 2014","Currency=INR","Period=FQ","BEST_FPERIOD_OVERRIDE=FQ","FILING_STATUS=OR","EQY_CONSOLIDATED=Y","Sort=A","Dates=H","DateFormat=P","Fill=—","Direction=H","UseDPDF=Y")</f>
        <v>#NAME?</v>
      </c>
      <c r="BS481" s="1" t="e">
        <f ca="1">_xll.BDH($C$478,"ST_DEBT_SEQUENTIAL_GROWTH","FQ3 2014","FQ3 2014","Currency=INR","Period=FQ","BEST_FPERIOD_OVERRIDE=FQ","FILING_STATUS=OR","EQY_CONSOLIDATED=Y","Sort=A","Dates=H","DateFormat=P","Fill=—","Direction=H","UseDPDF=Y")</f>
        <v>#NAME?</v>
      </c>
      <c r="BT481" s="1" t="e">
        <f ca="1">_xll.BDH($C$478,"TOTAL_DEBT_SEQUENTIAL_GROWTH","FQ3 2014","FQ3 2014","Currency=INR","Period=FQ","BEST_FPERIOD_OVERRIDE=FQ","FILING_STATUS=OR","EQY_CONSOLIDATED=Y","Sort=A","Dates=H","DateFormat=P","Fill=—","Direction=H","UseDPDF=Y")</f>
        <v>#NAME?</v>
      </c>
      <c r="BU481" s="1" t="e">
        <f ca="1">_xll.BDH($C$478,"TOTAL_EQUITY_SEQUENTIAL_GROWTH","FQ3 2014","FQ3 2014","Currency=INR","Period=FQ","BEST_FPERIOD_OVERRIDE=FQ","FILING_STATUS=OR","EQY_CONSOLIDATED=Y","Sort=A","Dates=H","DateFormat=P","Fill=—","Direction=H","UseDPDF=Y")</f>
        <v>#NAME?</v>
      </c>
      <c r="BV481" s="1" t="e">
        <f ca="1">_xll.BDH($C$478,"TOTAL_CAPITAL_SEQUENTIAL_GROWTH","FQ3 2014","FQ3 2014","Currency=INR","Period=FQ","BEST_FPERIOD_OVERRIDE=FQ","FILING_STATUS=OR","EQY_CONSOLIDATED=Y","Sort=A","Dates=H","DateFormat=P","Fill=—","Direction=H","UseDPDF=Y")</f>
        <v>#NAME?</v>
      </c>
      <c r="BW481" s="1" t="e">
        <f ca="1">_xll.BDH($C$478,"BPS_SEQUENTIAL_GROWTH","FQ3 2014","FQ3 2014","Currency=INR","Period=FQ","BEST_FPERIOD_OVERRIDE=FQ","FILING_STATUS=OR","EQY_CONSOLIDATED=Y","Sort=A","Dates=H","DateFormat=P","Fill=—","Direction=H","UseDPDF=Y")</f>
        <v>#NAME?</v>
      </c>
      <c r="BX481" s="1" t="e">
        <f ca="1">_xll.BDH($C$478,"CFO_SEQUENTIAL_GROWTH","FQ3 2014","FQ3 2014","Currency=INR","Period=FQ","BEST_FPERIOD_OVERRIDE=FQ","FILING_STATUS=OR","EQY_CONSOLIDATED=Y","Sort=A","Dates=H","DateFormat=P","Fill=—","Direction=H","UseDPDF=Y")</f>
        <v>#NAME?</v>
      </c>
      <c r="BY481" s="2" t="e">
        <f ca="1">_xll.BDH($C$478,"SHORT_AND_LONG_TERM_DEBT","FQ3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81" s="2" t="e">
        <f ca="1">_xll.BDH($C$478,"BS_ST_BORROW","FQ3 2014","FQ3 2014","Currency=INR","Period=FQ","BEST_FPERIOD_OVERRIDE=FQ","FILING_STATUS=OR","EQY_CONSOLIDATED=Y","SCALING_FORMAT=MLN","Sort=A","Dates=H","DateFormat=P","Fill=—","Direction=H","UseDPDF=Y")</f>
        <v>#NAME?</v>
      </c>
      <c r="CA481" s="2" t="e">
        <f ca="1">_xll.BDH($C$478,"BS_LT_BORROW","FQ3 2014","FQ3 2014","Currency=INR","Period=FQ","BEST_FPERIOD_OVERRIDE=FQ","FILING_STATUS=OR","EQY_CONSOLIDATED=Y","SCALING_FORMAT=MLN","Sort=A","Dates=H","DateFormat=P","Fill=—","Direction=H","UseDPDF=Y")</f>
        <v>#NAME?</v>
      </c>
      <c r="CB481" s="1" t="e">
        <f ca="1">_xll.BDH($C$478,"TOT_DEBT_TO_EBITDA","FQ3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81" s="1" t="e">
        <f ca="1">_xll.BDH($C$478,"NET_DEBT_TO_EBITDA","FQ3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81" s="1" t="e">
        <f ca="1">_xll.BDH($C$478,"TOTAL_DEBT_TO_EBIT","FQ3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81" s="1" t="e">
        <f ca="1">_xll.BDH($C$478,"NET_DEBT_TO_EBIT","FQ3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481" s="1" t="e">
        <f ca="1">_xll.BDH($C$478,"EBITDA_TO_INTEREST_EXPN","FQ3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81" s="1" t="e">
        <f ca="1">_xll.BDH($C$478,"COM_EQY_TO_TOT_ASSET","FQ3 2014","FQ3 2014","Currency=INR","Period=FQ","BEST_FPERIOD_OVERRIDE=FQ","FILING_STATUS=OR","EQY_CONSOLIDATED=Y","Sort=A","Dates=H","DateFormat=P","Fill=—","Direction=H","UseDPDF=Y")</f>
        <v>#NAME?</v>
      </c>
      <c r="CH481" s="1" t="e">
        <f ca="1">_xll.BDH($C$478,"LT_DEBT_TO_TOT_EQY","FQ3 2014","FQ3 2014","Currency=INR","Period=FQ","BEST_FPERIOD_OVERRIDE=FQ","FILING_STATUS=OR","EQY_CONSOLIDATED=Y","Sort=A","Dates=H","DateFormat=P","Fill=—","Direction=H","UseDPDF=Y")</f>
        <v>#NAME?</v>
      </c>
      <c r="CI481" s="1" t="e">
        <f ca="1">_xll.BDH($C$478,"LT_DEBT_TO_TOT_CAP","FQ3 2014","FQ3 2014","Currency=INR","Period=FQ","BEST_FPERIOD_OVERRIDE=FQ","FILING_STATUS=OR","EQY_CONSOLIDATED=Y","Sort=A","Dates=H","DateFormat=P","Fill=—","Direction=H","UseDPDF=Y")</f>
        <v>#NAME?</v>
      </c>
      <c r="CJ481" s="1" t="e">
        <f ca="1">_xll.BDH($C$478,"LT_DEBT_TO_TOT_ASSET","FQ3 2014","FQ3 2014","Currency=INR","Period=FQ","BEST_FPERIOD_OVERRIDE=FQ","FILING_STATUS=OR","EQY_CONSOLIDATED=Y","Sort=A","Dates=H","DateFormat=P","Fill=—","Direction=H","UseDPDF=Y")</f>
        <v>#NAME?</v>
      </c>
      <c r="CK481" s="1" t="e">
        <f ca="1">_xll.BDH($C$478,"TOT_DEBT_TO_TOT_EQY","FQ3 2014","FQ3 2014","Currency=INR","Period=FQ","BEST_FPERIOD_OVERRIDE=FQ","FILING_STATUS=OR","EQY_CONSOLIDATED=Y","Sort=A","Dates=H","DateFormat=P","Fill=—","Direction=H","UseDPDF=Y")</f>
        <v>#NAME?</v>
      </c>
      <c r="CL481" s="1" t="e">
        <f ca="1">_xll.BDH($C$478,"TOT_DEBT_TO_TOT_CAP","FQ3 2014","FQ3 2014","Currency=INR","Period=FQ","BEST_FPERIOD_OVERRIDE=FQ","FILING_STATUS=OR","EQY_CONSOLIDATED=Y","Sort=A","Dates=H","DateFormat=P","Fill=—","Direction=H","UseDPDF=Y")</f>
        <v>#NAME?</v>
      </c>
      <c r="CM481" s="1" t="e">
        <f ca="1">_xll.BDH($C$478,"TOT_DEBT_TO_TOT_ASSET","FQ3 2014","FQ3 2014","Currency=INR","Period=FQ","BEST_FPERIOD_OVERRIDE=FQ","FILING_STATUS=OR","EQY_CONSOLIDATED=Y","Sort=A","Dates=H","DateFormat=P","Fill=—","Direction=H","UseDPDF=Y")</f>
        <v>#NAME?</v>
      </c>
      <c r="CN481" s="1" t="e">
        <f ca="1">_xll.BDH($C$478,"NET_DEBT_TO_SHRHLDR_EQTY","FQ3 2014","FQ3 2014","Currency=INR","Period=FQ","BEST_FPERIOD_OVERRIDE=FQ","FILING_STATUS=OR","EQY_CONSOLIDATED=Y","Sort=A","Dates=H","DateFormat=P","Fill=—","Direction=H","UseDPDF=Y")</f>
        <v>#NAME?</v>
      </c>
      <c r="CO481" s="1" t="e">
        <f ca="1">_xll.BDH($C$478,"NET_DEBT_%_CAPITAL","FQ3 2014","FQ3 2014","Currency=INR","Period=FQ","BEST_FPERIOD_OVERRIDE=FQ","FILING_STATUS=OR","EQY_CONSOLIDATED=Y","Sort=A","Dates=H","DateFormat=P","Fill=—","Direction=H","UseDPDF=Y")</f>
        <v>#NAME?</v>
      </c>
      <c r="CP481" s="2" t="e">
        <f ca="1">_xll.BDH($C$478,"EBITDA","FQ3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81" s="2" t="e">
        <f ca="1">_xll.BDH($C$478,"EBITDA_AFTER_CAPEX","FQ3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81" s="2" t="e">
        <f ca="1">_xll.BDH($C$478,"IS_OPER_INC","FQ3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81" s="1" t="e">
        <f ca="1">_xll.BDH($C$478,"CASH_RATIO","FQ3 2014","FQ3 2014","Currency=INR","Period=FQ","BEST_FPERIOD_OVERRIDE=FQ","FILING_STATUS=OR","EQY_CONSOLIDATED=Y","Sort=A","Dates=H","DateFormat=P","Fill=—","Direction=H","UseDPDF=Y")</f>
        <v>#NAME?</v>
      </c>
      <c r="CT481" s="1" t="e">
        <f ca="1">_xll.BDH($C$478,"CUR_RATIO","FQ3 2014","FQ3 2014","Currency=INR","Period=FQ","BEST_FPERIOD_OVERRIDE=FQ","FILING_STATUS=OR","EQY_CONSOLIDATED=Y","Sort=A","Dates=H","DateFormat=P","Fill=—","Direction=H","UseDPDF=Y")</f>
        <v>#NAME?</v>
      </c>
      <c r="CU481" s="1" t="e">
        <f ca="1">_xll.BDH($C$478,"QUICK_RATIO","FQ3 2014","FQ3 2014","Currency=INR","Period=FQ","BEST_FPERIOD_OVERRIDE=FQ","FILING_STATUS=OR","EQY_CONSOLIDATED=Y","Sort=A","Dates=H","DateFormat=P","Fill=—","Direction=H","UseDPDF=Y")</f>
        <v>#NAME?</v>
      </c>
      <c r="CV481" s="1" t="e">
        <f ca="1">_xll.BDH($C$478,"ALTMAN_Z_SCORE","FQ3 2014","FQ3 2014","Currency=INR","Period=FQ","BEST_FPERIOD_OVERRIDE=FQ","FILING_STATUS=OR","EQY_CONSOLIDATED=Y","Sort=A","Dates=H","DateFormat=P","Fill=—","Direction=H","UseDPDF=Y")</f>
        <v>#NAME?</v>
      </c>
      <c r="CW481" s="3" t="e">
        <f ca="1">_xll.BDH($C$478,"ACCT_RCV_TURN","FQ3 2014","FQ3 2014","Currency=INR","Period=FQ","BEST_FPERIOD_OVERRIDE=FQ","FILING_STATUS=OR","EQY_CONSOLIDATED=Y","FA_ADJUSTED=GAAP","Sort=A","Dates=H","DateFormat=P","Fill=—","Direction=H","UseDPDF=Y")</f>
        <v>#NAME?</v>
      </c>
      <c r="CX481" s="1" t="e">
        <f ca="1">_xll.BDH($C$478,"ACCT_RCV_DAYS","FQ3 2014","FQ3 2014","Currency=INR","Period=FQ","BEST_FPERIOD_OVERRIDE=FQ","FILING_STATUS=OR","EQY_CONSOLIDATED=Y","FA_ADJUSTED=GAAP","Sort=A","Dates=H","DateFormat=P","Fill=—","Direction=H","UseDPDF=Y")</f>
        <v>#NAME?</v>
      </c>
      <c r="CY481" s="3" t="e">
        <f ca="1">_xll.BDH($C$478,"INVENT_TURN","FQ3 2014","FQ3 2014","Currency=INR","Period=FQ","BEST_FPERIOD_OVERRIDE=FQ","FILING_STATUS=OR","EQY_CONSOLIDATED=Y","FA_ADJUSTED=GAAP","Sort=A","Dates=H","DateFormat=P","Fill=—","Direction=H","UseDPDF=Y")</f>
        <v>#NAME?</v>
      </c>
      <c r="CZ481" s="1" t="e">
        <f ca="1">_xll.BDH($C$478,"INVENT_DAYS","FQ3 2014","FQ3 2014","Currency=INR","Period=FQ","BEST_FPERIOD_OVERRIDE=FQ","FILING_STATUS=OR","EQY_CONSOLIDATED=Y","FA_ADJUSTED=GAAP","Sort=A","Dates=H","DateFormat=P","Fill=—","Direction=H","UseDPDF=Y")</f>
        <v>#NAME?</v>
      </c>
      <c r="DA481" s="3" t="e">
        <f ca="1">_xll.BDH($C$478,"ACCOUNTS_PAYABLE_TURNOVER","FQ3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81" s="1" t="e">
        <f ca="1">_xll.BDH($C$478,"ACCOUNTS_PAYABLE_TURNOVER_DAYS","FQ3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81" s="3" t="e">
        <f ca="1">_xll.BDH($C$478,"CASH_CONVERSION_CYCLE","FQ3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81" s="3" t="e">
        <f ca="1">_xll.BDH($C$478,"INV_TO_CASH_DAYS","FQ3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481" s="4" t="e">
        <f ca="1">_xll.BDH($C$478,"BS_INVENTORIES","FQ3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481" s="2" t="e">
        <f ca="1">_xll.BDH($C$478,"INVTRY_RAW_MATERIALS","FQ3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81" s="2" t="e">
        <f ca="1">_xll.BDH($C$478,"INVTRY_IN_PROGRESS","FQ3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81" s="2" t="e">
        <f ca="1">_xll.BDH($C$478,"INVTRY_FINISHED_GOODS","FQ3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81" s="2" t="e">
        <f ca="1">_xll.BDH($C$478,"BS_OTHER_INV","FQ3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82" spans="1:113" x14ac:dyDescent="0.3">
      <c r="A482" s="6"/>
      <c r="B482" s="6"/>
      <c r="C482" s="6"/>
      <c r="D482" s="6"/>
      <c r="E482" t="s">
        <v>7</v>
      </c>
      <c r="F482" t="e">
        <f ca="1">_xll.BDH($C$478,"RETURN_COM_EQY","FQ4 2014","FQ4 2014","Currency=INR","Period=FQ","BEST_FPERIOD_OVERRIDE=FQ","FILING_STATUS=OR","EQY_CONSOLIDATED=Y","FA_ADJUSTED=GAAP","Sort=A","Dates=H","DateFormat=P","Fill=—","Direction=H","UseDPDF=Y")</f>
        <v>#NAME?</v>
      </c>
      <c r="G482" t="e">
        <f ca="1">_xll.BDH($C$478,"RETURN_ON_ASSET","FQ4 2014","FQ4 2014","Currency=INR","Period=FQ","BEST_FPERIOD_OVERRIDE=FQ","FILING_STATUS=OR","EQY_CONSOLIDATED=Y","FA_ADJUSTED=GAAP","Sort=A","Dates=H","DateFormat=P","Fill=—","Direction=H","UseDPDF=Y")</f>
        <v>#NAME?</v>
      </c>
      <c r="H482" t="e">
        <f ca="1">_xll.BDH($C$478,"RETURN_ON_CAP","FQ4 2014","FQ4 2014","Currency=INR","Period=FQ","BEST_FPERIOD_OVERRIDE=FQ","FILING_STATUS=OR","EQY_CONSOLIDATED=Y","FA_ADJUSTED=GAAP","Sort=A","Dates=H","DateFormat=P","Fill=—","Direction=H","UseDPDF=Y")</f>
        <v>#NAME?</v>
      </c>
      <c r="I482" t="e">
        <f ca="1">_xll.BDH($C$478,"RETURN_ON_INV_CAPITAL","FQ4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82" t="e">
        <f ca="1">_xll.BDH($C$478,"EBITDA_TO_REVENUE","FQ4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482" t="e">
        <f ca="1">_xll.BDH($C$478,"OPER_MARGIN","FQ4 2014","FQ4 2014","Currency=INR","Period=FQ","BEST_FPERIOD_OVERRIDE=FQ","FILING_STATUS=OR","EQY_CONSOLIDATED=Y","FA_ADJUSTED=GAAP","Sort=A","Dates=H","DateFormat=P","Fill=—","Direction=H","UseDPDF=Y")</f>
        <v>#NAME?</v>
      </c>
      <c r="L482" t="e">
        <f ca="1">_xll.BDH($C$478,"INCREMENTAL_OPERATING_MARGIN","FQ4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82" t="e">
        <f ca="1">_xll.BDH($C$478,"PRETAX_INC_TO_NET_SALES","FQ4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82" t="e">
        <f ca="1">_xll.BDH($C$478,"INC_BEF_XO_ITEMS_TO_NET_SALES","FQ4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82" t="e">
        <f ca="1">_xll.BDH($C$478,"PROF_MARGIN","FQ4 2014","FQ4 2014","Currency=INR","Period=FQ","BEST_FPERIOD_OVERRIDE=FQ","FILING_STATUS=OR","EQY_CONSOLIDATED=Y","FA_ADJUSTED=GAAP","Sort=A","Dates=H","DateFormat=P","Fill=—","Direction=H","UseDPDF=Y")</f>
        <v>#NAME?</v>
      </c>
      <c r="P482" t="e">
        <f ca="1">_xll.BDH($C$478,"NET_INCOME_TO_COMMON_MARGIN","FQ4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82" t="e">
        <f ca="1">_xll.BDH($C$478,"EFF_TAX_RATE","FQ4 2014","FQ4 2014","Currency=INR","Period=FQ","BEST_FPERIOD_OVERRIDE=FQ","FILING_STATUS=OR","EQY_CONSOLIDATED=Y","FA_ADJUSTED=GAAP","Sort=A","Dates=H","DateFormat=P","Fill=—","Direction=H","UseDPDF=Y")</f>
        <v>#NAME?</v>
      </c>
      <c r="R482" t="e">
        <f ca="1">_xll.BDH($C$478,"DVD_PAYOUT_RATIO","FQ4 2014","FQ4 2014","Currency=INR","Period=FQ","BEST_FPERIOD_OVERRIDE=FQ","FILING_STATUS=OR","EQY_CONSOLIDATED=Y","FA_ADJUSTED=GAAP","Sort=A","Dates=H","DateFormat=P","Fill=—","Direction=H","UseDPDF=Y")</f>
        <v>#NAME?</v>
      </c>
      <c r="S482" t="e">
        <f ca="1">_xll.BDH($C$478,"SUSTAIN_GROWTH_RT","FQ4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482" s="1" t="e">
        <f ca="1">_xll.BDH($C$478,"SALES_GROWTH","FQ4 2014","FQ4 2014","Currency=INR","Period=FQ","BEST_FPERIOD_OVERRIDE=FQ","FILING_STATUS=OR","EQY_CONSOLIDATED=Y","FA_ADJUSTED=GAAP","Sort=A","Dates=H","DateFormat=P","Fill=—","Direction=H","UseDPDF=Y")</f>
        <v>#NAME?</v>
      </c>
      <c r="U482" s="1" t="e">
        <f ca="1">_xll.BDH($C$478,"EBITDA_GROWTH","FQ4 2014","FQ4 2014","Currency=INR","Period=FQ","BEST_FPERIOD_OVERRIDE=FQ","FILING_STATUS=OR","EQY_CONSOLIDATED=Y","FA_ADJUSTED=GAAP","Sort=A","Dates=H","DateFormat=P","Fill=—","Direction=H","UseDPDF=Y")</f>
        <v>#NAME?</v>
      </c>
      <c r="V482" s="1" t="e">
        <f ca="1">_xll.BDH($C$478,"OPER_INC_GROWTH","FQ4 2014","FQ4 2014","Currency=INR","Period=FQ","BEST_FPERIOD_OVERRIDE=FQ","FILING_STATUS=OR","EQY_CONSOLIDATED=Y","FA_ADJUSTED=GAAP","Sort=A","Dates=H","DateFormat=P","Fill=—","Direction=H","UseDPDF=Y")</f>
        <v>#NAME?</v>
      </c>
      <c r="W482" s="1" t="e">
        <f ca="1">_xll.BDH($C$478,"EARN_FOR_COM_GROWTH","FQ4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82" s="1" t="e">
        <f ca="1">_xll.BDH($C$478,"DILUTED_EPS_AFT_XO_ITEMS_GROWTH","FQ4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82" s="1" t="e">
        <f ca="1">_xll.BDH($C$478,"DIVIDEND_PER_SHARE_1_YEAR_GROWTH","FQ4 2014","FQ4 2014","Currency=INR","Period=FQ","BEST_FPERIOD_OVERRIDE=FQ","FILING_STATUS=OR","EQY_CONSOLIDATED=Y","Sort=A","Dates=H","DateFormat=P","Fill=—","Direction=H","UseDPDF=Y")</f>
        <v>#NAME?</v>
      </c>
      <c r="Z482" s="1" t="e">
        <f ca="1">_xll.BDH($C$478,"ACCOUNTS_RECEIVABLE_GROWTH","FQ4 2014","FQ4 2014","Currency=INR","Period=FQ","BEST_FPERIOD_OVERRIDE=FQ","FILING_STATUS=OR","EQY_CONSOLIDATED=Y","Sort=A","Dates=H","DateFormat=P","Fill=—","Direction=H","UseDPDF=Y")</f>
        <v>#NAME?</v>
      </c>
      <c r="AA482" s="1" t="e">
        <f ca="1">_xll.BDH($C$478,"INVENTORY_GROWTH","FQ4 2014","FQ4 2014","Currency=INR","Period=FQ","BEST_FPERIOD_OVERRIDE=FQ","FILING_STATUS=OR","EQY_CONSOLIDATED=Y","Sort=A","Dates=H","DateFormat=P","Fill=—","Direction=H","UseDPDF=Y")</f>
        <v>#NAME?</v>
      </c>
      <c r="AB482" s="1" t="e">
        <f ca="1">_xll.BDH($C$478,"NET_FIXED_ASSETS_1_YEAR_GROWTH","FQ4 2014","FQ4 2014","Currency=INR","Period=FQ","BEST_FPERIOD_OVERRIDE=FQ","FILING_STATUS=OR","EQY_CONSOLIDATED=Y","Sort=A","Dates=H","DateFormat=P","Fill=—","Direction=H","UseDPDF=Y")</f>
        <v>#NAME?</v>
      </c>
      <c r="AC482" s="1" t="e">
        <f ca="1">_xll.BDH($C$478,"ASSET_GROWTH","FQ4 2014","FQ4 2014","Currency=INR","Period=FQ","BEST_FPERIOD_OVERRIDE=FQ","FILING_STATUS=OR","EQY_CONSOLIDATED=Y","Sort=A","Dates=H","DateFormat=P","Fill=—","Direction=H","UseDPDF=Y")</f>
        <v>#NAME?</v>
      </c>
      <c r="AD482" s="1" t="e">
        <f ca="1">_xll.BDH($C$478,"MODIFIED_WORK_CAP_GROWTH","FQ4 2014","FQ4 2014","Currency=INR","Period=FQ","BEST_FPERIOD_OVERRIDE=FQ","FILING_STATUS=OR","EQY_CONSOLIDATED=Y","Sort=A","Dates=H","DateFormat=P","Fill=—","Direction=H","UseDPDF=Y")</f>
        <v>#NAME?</v>
      </c>
      <c r="AE482" s="1" t="e">
        <f ca="1">_xll.BDH($C$478,"WORK_CAP_GROWTH","FQ4 2014","FQ4 2014","Currency=INR","Period=FQ","BEST_FPERIOD_OVERRIDE=FQ","FILING_STATUS=OR","EQY_CONSOLIDATED=Y","Sort=A","Dates=H","DateFormat=P","Fill=—","Direction=H","UseDPDF=Y")</f>
        <v>#NAME?</v>
      </c>
      <c r="AF482" s="1" t="e">
        <f ca="1">_xll.BDH($C$478,"ACCOUNTS_PAYABLE_GROWTH_1YR","FQ4 2014","FQ4 2014","Currency=INR","Period=FQ","BEST_FPERIOD_OVERRIDE=FQ","FILING_STATUS=OR","EQY_CONSOLIDATED=Y","Sort=A","Dates=H","DateFormat=P","Fill=—","Direction=H","UseDPDF=Y")</f>
        <v>#NAME?</v>
      </c>
      <c r="AG482" s="1" t="e">
        <f ca="1">_xll.BDH($C$478,"SHORT_TERM_DEBT_1_YEAR_GROWTH","FQ4 2014","FQ4 2014","Currency=INR","Period=FQ","BEST_FPERIOD_OVERRIDE=FQ","FILING_STATUS=OR","EQY_CONSOLIDATED=Y","Sort=A","Dates=H","DateFormat=P","Fill=—","Direction=H","UseDPDF=Y")</f>
        <v>#NAME?</v>
      </c>
      <c r="AH482" s="1" t="e">
        <f ca="1">_xll.BDH($C$478,"TOTAL_DEBT_1_YEAR_GROWTH","FQ4 2014","FQ4 2014","Currency=INR","Period=FQ","BEST_FPERIOD_OVERRIDE=FQ","FILING_STATUS=OR","EQY_CONSOLIDATED=Y","Sort=A","Dates=H","DateFormat=P","Fill=—","Direction=H","UseDPDF=Y")</f>
        <v>#NAME?</v>
      </c>
      <c r="AI482" s="1" t="e">
        <f ca="1">_xll.BDH($C$478,"TOTAL_EQUITY_1_YEAR_GROWTH","FQ4 2014","FQ4 2014","Currency=INR","Period=FQ","BEST_FPERIOD_OVERRIDE=FQ","FILING_STATUS=OR","EQY_CONSOLIDATED=Y","Sort=A","Dates=H","DateFormat=P","Fill=—","Direction=H","UseDPDF=Y")</f>
        <v>#NAME?</v>
      </c>
      <c r="AJ482" s="1" t="e">
        <f ca="1">_xll.BDH($C$478,"GROWTH_IN_CAP","FQ4 2014","FQ4 2014","Currency=INR","Period=FQ","BEST_FPERIOD_OVERRIDE=FQ","FILING_STATUS=OR","EQY_CONSOLIDATED=Y","Sort=A","Dates=H","DateFormat=P","Fill=—","Direction=H","UseDPDF=Y")</f>
        <v>#NAME?</v>
      </c>
      <c r="AK482" s="1" t="e">
        <f ca="1">_xll.BDH($C$478,"BVPS_GROWTH","FQ4 2014","FQ4 2014","Currency=INR","Period=FQ","BEST_FPERIOD_OVERRIDE=FQ","FILING_STATUS=OR","EQY_CONSOLIDATED=Y","Sort=A","Dates=H","DateFormat=P","Fill=—","Direction=H","UseDPDF=Y")</f>
        <v>#NAME?</v>
      </c>
      <c r="AL482" s="1" t="e">
        <f ca="1">_xll.BDH($C$478,"CASH_FLOW_GROWTH","FQ4 2014","FQ4 2014","Currency=INR","Period=FQ","BEST_FPERIOD_OVERRIDE=FQ","FILING_STATUS=OR","EQY_CONSOLIDATED=Y","Sort=A","Dates=H","DateFormat=P","Fill=—","Direction=H","UseDPDF=Y")</f>
        <v>#NAME?</v>
      </c>
      <c r="AM482" s="1" t="e">
        <f ca="1">_xll.BDH($C$478,"GEO_GROW_NET_SALES","FQ4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82" s="1" t="e">
        <f ca="1">_xll.BDH($C$478,"GEO_GROW_EBITDA","FQ4 2014","FQ4 2014","Currency=INR","Period=FQ","BEST_FPERIOD_OVERRIDE=FQ","FILING_STATUS=OR","EQY_CONSOLIDATED=Y","FA_ADJUSTED=GAAP","Sort=A","Dates=H","DateFormat=P","Fill=—","Direction=H","UseDPDF=Y")</f>
        <v>#NAME?</v>
      </c>
      <c r="AO482" s="1" t="e">
        <f ca="1">_xll.BDH($C$478,"GEO_GROW_OPER_INC","FQ4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82" s="1" t="e">
        <f ca="1">_xll.BDH($C$478,"NET_INCOME_TO_COMMON_5_YR_GROWTH","FQ4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82" s="1" t="e">
        <f ca="1">_xll.BDH($C$478,"5Y_GEO_GROWTH_DILUTED_EPS","FQ4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82" s="1" t="e">
        <f ca="1">_xll.BDH($C$478,"GEO_GROW_DVD_PER_SH","FQ4 2014","FQ4 2014","Currency=INR","Period=FQ","BEST_FPERIOD_OVERRIDE=FQ","FILING_STATUS=OR","EQY_CONSOLIDATED=Y","Sort=A","Dates=H","DateFormat=P","Fill=—","Direction=H","UseDPDF=Y")</f>
        <v>#NAME?</v>
      </c>
      <c r="AS482" s="1" t="e">
        <f ca="1">_xll.BDH($C$478,"ACCOUNTS_RECEIVABLE_5_YR_GROWTH","FQ4 2014","FQ4 2014","Currency=INR","Period=FQ","BEST_FPERIOD_OVERRIDE=FQ","FILING_STATUS=OR","EQY_CONSOLIDATED=Y","Sort=A","Dates=H","DateFormat=P","Fill=—","Direction=H","UseDPDF=Y")</f>
        <v>#NAME?</v>
      </c>
      <c r="AT482" s="1" t="e">
        <f ca="1">_xll.BDH($C$478,"INVENTORY_5_YEAR_GROWTH","FQ4 2014","FQ4 2014","Currency=INR","Period=FQ","BEST_FPERIOD_OVERRIDE=FQ","FILING_STATUS=OR","EQY_CONSOLIDATED=Y","Sort=A","Dates=H","DateFormat=P","Fill=—","Direction=H","UseDPDF=Y")</f>
        <v>#NAME?</v>
      </c>
      <c r="AU482" s="1" t="e">
        <f ca="1">_xll.BDH($C$478,"NET_FIXED_ASSETS_5_YEAR_GROWTH","FQ4 2014","FQ4 2014","Currency=INR","Period=FQ","BEST_FPERIOD_OVERRIDE=FQ","FILING_STATUS=OR","EQY_CONSOLIDATED=Y","Sort=A","Dates=H","DateFormat=P","Fill=—","Direction=H","UseDPDF=Y")</f>
        <v>#NAME?</v>
      </c>
      <c r="AV482" s="1" t="e">
        <f ca="1">_xll.BDH($C$478,"GEO_GROW_TOT_ASSET","FQ4 2014","FQ4 2014","Currency=INR","Period=FQ","BEST_FPERIOD_OVERRIDE=FQ","FILING_STATUS=OR","EQY_CONSOLIDATED=Y","Sort=A","Dates=H","DateFormat=P","Fill=—","Direction=H","UseDPDF=Y")</f>
        <v>#NAME?</v>
      </c>
      <c r="AW482" s="1" t="e">
        <f ca="1">_xll.BDH($C$478,"MODIFIED_WORKING_CPTL_5YR_GRWTH","FQ4 2014","FQ4 2014","Currency=INR","Period=FQ","BEST_FPERIOD_OVERRIDE=FQ","FILING_STATUS=OR","EQY_CONSOLIDATED=Y","Sort=A","Dates=H","DateFormat=P","Fill=—","Direction=H","UseDPDF=Y")</f>
        <v>#NAME?</v>
      </c>
      <c r="AX482" s="1" t="e">
        <f ca="1">_xll.BDH($C$478,"WORKING_CAPITAL_5_YEAR_GROWTH","FQ4 2014","FQ4 2014","Currency=INR","Period=FQ","BEST_FPERIOD_OVERRIDE=FQ","FILING_STATUS=OR","EQY_CONSOLIDATED=Y","Sort=A","Dates=H","DateFormat=P","Fill=—","Direction=H","UseDPDF=Y")</f>
        <v>#NAME?</v>
      </c>
      <c r="AY482" s="1" t="e">
        <f ca="1">_xll.BDH($C$478,"ACCOUNTS_PAYABLE_5_YEAR_GROWTH","FQ4 2014","FQ4 2014","Currency=INR","Period=FQ","BEST_FPERIOD_OVERRIDE=FQ","FILING_STATUS=OR","EQY_CONSOLIDATED=Y","Sort=A","Dates=H","DateFormat=P","Fill=—","Direction=H","UseDPDF=Y")</f>
        <v>#NAME?</v>
      </c>
      <c r="AZ482" s="1" t="e">
        <f ca="1">_xll.BDH($C$478,"SHORT_TERM_DEBT_5_YEAR_GROWTH","FQ4 2014","FQ4 2014","Currency=INR","Period=FQ","BEST_FPERIOD_OVERRIDE=FQ","FILING_STATUS=OR","EQY_CONSOLIDATED=Y","Sort=A","Dates=H","DateFormat=P","Fill=—","Direction=H","UseDPDF=Y")</f>
        <v>#NAME?</v>
      </c>
      <c r="BA482" s="1" t="e">
        <f ca="1">_xll.BDH($C$478,"TOTAL_DEBT_5_YEAR_GROWTH","FQ4 2014","FQ4 2014","Currency=INR","Period=FQ","BEST_FPERIOD_OVERRIDE=FQ","FILING_STATUS=OR","EQY_CONSOLIDATED=Y","Sort=A","Dates=H","DateFormat=P","Fill=—","Direction=H","UseDPDF=Y")</f>
        <v>#NAME?</v>
      </c>
      <c r="BB482" s="1" t="e">
        <f ca="1">_xll.BDH($C$478,"GEO_GROW_TOT_SHRHLDR_EQY","FQ4 2014","FQ4 2014","Currency=INR","Period=FQ","BEST_FPERIOD_OVERRIDE=FQ","FILING_STATUS=OR","EQY_CONSOLIDATED=Y","Sort=A","Dates=H","DateFormat=P","Fill=—","Direction=H","UseDPDF=Y")</f>
        <v>#NAME?</v>
      </c>
      <c r="BC482" s="1" t="e">
        <f ca="1">_xll.BDH($C$478,"TOTAL_CAPITAL_5_YEAR_GROWTH","FQ4 2014","FQ4 2014","Currency=INR","Period=FQ","BEST_FPERIOD_OVERRIDE=FQ","FILING_STATUS=OR","EQY_CONSOLIDATED=Y","Sort=A","Dates=H","DateFormat=P","Fill=—","Direction=H","UseDPDF=Y")</f>
        <v>#NAME?</v>
      </c>
      <c r="BD482" s="1" t="e">
        <f ca="1">_xll.BDH($C$478,"GEO_GROW_BOOK_VAL","FQ4 2014","FQ4 2014","Currency=INR","Period=FQ","BEST_FPERIOD_OVERRIDE=FQ","FILING_STATUS=OR","EQY_CONSOLIDATED=Y","Sort=A","Dates=H","DateFormat=P","Fill=—","Direction=H","UseDPDF=Y")</f>
        <v>#NAME?</v>
      </c>
      <c r="BE482" s="1" t="e">
        <f ca="1">_xll.BDH($C$478,"GEO_GROW_CASH_OPER_ACT","FQ4 2014","FQ4 2014","Currency=INR","Period=FQ","BEST_FPERIOD_OVERRIDE=FQ","FILING_STATUS=OR","EQY_CONSOLIDATED=Y","Sort=A","Dates=H","DateFormat=P","Fill=—","Direction=H","UseDPDF=Y")</f>
        <v>#NAME?</v>
      </c>
      <c r="BF482" s="1" t="e">
        <f ca="1">_xll.BDH($C$478,"REVENUE_SEQUENTIAL_GROWTH","FQ4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82" s="1" t="e">
        <f ca="1">_xll.BDH($C$478,"EBITDA_SEQUENTIAL_GROWTH","FQ4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82" s="1" t="e">
        <f ca="1">_xll.BDH($C$478,"OPERATING_INCOME_SEQ_GROWTH","FQ4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82" s="1" t="e">
        <f ca="1">_xll.BDH($C$478,"NET_INCOME_TO_COMMON_SEQ_GROWTH","FQ4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82" s="1" t="e">
        <f ca="1">_xll.BDH($C$478,"EPS_DILUTED_SEQUENTIAL_GROWTH","FQ4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82" s="1" t="e">
        <f ca="1">_xll.BDH($C$478,"DPS_SEQUENTIAL_GROWTH","FQ4 2014","FQ4 2014","Currency=INR","Period=FQ","BEST_FPERIOD_OVERRIDE=FQ","FILING_STATUS=OR","EQY_CONSOLIDATED=Y","Sort=A","Dates=H","DateFormat=P","Fill=—","Direction=H","UseDPDF=Y")</f>
        <v>#NAME?</v>
      </c>
      <c r="BL482" s="1" t="e">
        <f ca="1">_xll.BDH($C$478,"ACCOUNTS_RECEIVABLE_SEQ_GROWTH","FQ4 2014","FQ4 2014","Currency=INR","Period=FQ","BEST_FPERIOD_OVERRIDE=FQ","FILING_STATUS=OR","EQY_CONSOLIDATED=Y","Sort=A","Dates=H","DateFormat=P","Fill=—","Direction=H","UseDPDF=Y")</f>
        <v>#NAME?</v>
      </c>
      <c r="BM482" s="1" t="e">
        <f ca="1">_xll.BDH($C$478,"INVENTORY_SEQUENTIAL_GROWTH","FQ4 2014","FQ4 2014","Currency=INR","Period=FQ","BEST_FPERIOD_OVERRIDE=FQ","FILING_STATUS=OR","EQY_CONSOLIDATED=Y","Sort=A","Dates=H","DateFormat=P","Fill=—","Direction=H","UseDPDF=Y")</f>
        <v>#NAME?</v>
      </c>
      <c r="BN482" s="1" t="e">
        <f ca="1">_xll.BDH($C$478,"FIXED_ASSETS_SEQUENTIAL_GROWTH","FQ4 2014","FQ4 2014","Currency=INR","Period=FQ","BEST_FPERIOD_OVERRIDE=FQ","FILING_STATUS=OR","EQY_CONSOLIDATED=Y","Sort=A","Dates=H","DateFormat=P","Fill=—","Direction=H","UseDPDF=Y")</f>
        <v>#NAME?</v>
      </c>
      <c r="BO482" s="1" t="e">
        <f ca="1">_xll.BDH($C$478,"TOTAL_ASSETS_SEQUENTIAL_GROWTH","FQ4 2014","FQ4 2014","Currency=INR","Period=FQ","BEST_FPERIOD_OVERRIDE=FQ","FILING_STATUS=OR","EQY_CONSOLIDATED=Y","Sort=A","Dates=H","DateFormat=P","Fill=—","Direction=H","UseDPDF=Y")</f>
        <v>#NAME?</v>
      </c>
      <c r="BP482" s="1" t="e">
        <f ca="1">_xll.BDH($C$478,"MODIFIED_WORKING_CPTL_SEQ_GRWTH","FQ4 2014","FQ4 2014","Currency=INR","Period=FQ","BEST_FPERIOD_OVERRIDE=FQ","FILING_STATUS=OR","EQY_CONSOLIDATED=Y","Sort=A","Dates=H","DateFormat=P","Fill=—","Direction=H","UseDPDF=Y")</f>
        <v>#NAME?</v>
      </c>
      <c r="BQ482" s="1" t="e">
        <f ca="1">_xll.BDH($C$478,"WORKING_CAPITAL_SEQ_GROWTH","FQ4 2014","FQ4 2014","Currency=INR","Period=FQ","BEST_FPERIOD_OVERRIDE=FQ","FILING_STATUS=OR","EQY_CONSOLIDATED=Y","Sort=A","Dates=H","DateFormat=P","Fill=—","Direction=H","UseDPDF=Y")</f>
        <v>#NAME?</v>
      </c>
      <c r="BR482" s="1" t="e">
        <f ca="1">_xll.BDH($C$478,"ACCOUNTS_PAYABLE_SEQ_GROWTH","FQ4 2014","FQ4 2014","Currency=INR","Period=FQ","BEST_FPERIOD_OVERRIDE=FQ","FILING_STATUS=OR","EQY_CONSOLIDATED=Y","Sort=A","Dates=H","DateFormat=P","Fill=—","Direction=H","UseDPDF=Y")</f>
        <v>#NAME?</v>
      </c>
      <c r="BS482" s="1" t="e">
        <f ca="1">_xll.BDH($C$478,"ST_DEBT_SEQUENTIAL_GROWTH","FQ4 2014","FQ4 2014","Currency=INR","Period=FQ","BEST_FPERIOD_OVERRIDE=FQ","FILING_STATUS=OR","EQY_CONSOLIDATED=Y","Sort=A","Dates=H","DateFormat=P","Fill=—","Direction=H","UseDPDF=Y")</f>
        <v>#NAME?</v>
      </c>
      <c r="BT482" s="1" t="e">
        <f ca="1">_xll.BDH($C$478,"TOTAL_DEBT_SEQUENTIAL_GROWTH","FQ4 2014","FQ4 2014","Currency=INR","Period=FQ","BEST_FPERIOD_OVERRIDE=FQ","FILING_STATUS=OR","EQY_CONSOLIDATED=Y","Sort=A","Dates=H","DateFormat=P","Fill=—","Direction=H","UseDPDF=Y")</f>
        <v>#NAME?</v>
      </c>
      <c r="BU482" s="1" t="e">
        <f ca="1">_xll.BDH($C$478,"TOTAL_EQUITY_SEQUENTIAL_GROWTH","FQ4 2014","FQ4 2014","Currency=INR","Period=FQ","BEST_FPERIOD_OVERRIDE=FQ","FILING_STATUS=OR","EQY_CONSOLIDATED=Y","Sort=A","Dates=H","DateFormat=P","Fill=—","Direction=H","UseDPDF=Y")</f>
        <v>#NAME?</v>
      </c>
      <c r="BV482" s="1" t="e">
        <f ca="1">_xll.BDH($C$478,"TOTAL_CAPITAL_SEQUENTIAL_GROWTH","FQ4 2014","FQ4 2014","Currency=INR","Period=FQ","BEST_FPERIOD_OVERRIDE=FQ","FILING_STATUS=OR","EQY_CONSOLIDATED=Y","Sort=A","Dates=H","DateFormat=P","Fill=—","Direction=H","UseDPDF=Y")</f>
        <v>#NAME?</v>
      </c>
      <c r="BW482" s="1" t="e">
        <f ca="1">_xll.BDH($C$478,"BPS_SEQUENTIAL_GROWTH","FQ4 2014","FQ4 2014","Currency=INR","Period=FQ","BEST_FPERIOD_OVERRIDE=FQ","FILING_STATUS=OR","EQY_CONSOLIDATED=Y","Sort=A","Dates=H","DateFormat=P","Fill=—","Direction=H","UseDPDF=Y")</f>
        <v>#NAME?</v>
      </c>
      <c r="BX482" s="1" t="e">
        <f ca="1">_xll.BDH($C$478,"CFO_SEQUENTIAL_GROWTH","FQ4 2014","FQ4 2014","Currency=INR","Period=FQ","BEST_FPERIOD_OVERRIDE=FQ","FILING_STATUS=OR","EQY_CONSOLIDATED=Y","Sort=A","Dates=H","DateFormat=P","Fill=—","Direction=H","UseDPDF=Y")</f>
        <v>#NAME?</v>
      </c>
      <c r="BY482" s="2" t="e">
        <f ca="1">_xll.BDH($C$478,"SHORT_AND_LONG_TERM_DEBT","FQ4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82" s="2" t="e">
        <f ca="1">_xll.BDH($C$478,"BS_ST_BORROW","FQ4 2014","FQ4 2014","Currency=INR","Period=FQ","BEST_FPERIOD_OVERRIDE=FQ","FILING_STATUS=OR","EQY_CONSOLIDATED=Y","SCALING_FORMAT=MLN","Sort=A","Dates=H","DateFormat=P","Fill=—","Direction=H","UseDPDF=Y")</f>
        <v>#NAME?</v>
      </c>
      <c r="CA482" s="2" t="e">
        <f ca="1">_xll.BDH($C$478,"BS_LT_BORROW","FQ4 2014","FQ4 2014","Currency=INR","Period=FQ","BEST_FPERIOD_OVERRIDE=FQ","FILING_STATUS=OR","EQY_CONSOLIDATED=Y","SCALING_FORMAT=MLN","Sort=A","Dates=H","DateFormat=P","Fill=—","Direction=H","UseDPDF=Y")</f>
        <v>#NAME?</v>
      </c>
      <c r="CB482" s="1" t="e">
        <f ca="1">_xll.BDH($C$478,"TOT_DEBT_TO_EBITDA","FQ4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82" s="1" t="e">
        <f ca="1">_xll.BDH($C$478,"NET_DEBT_TO_EBITDA","FQ4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82" s="1" t="e">
        <f ca="1">_xll.BDH($C$478,"TOTAL_DEBT_TO_EBIT","FQ4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82" s="1" t="e">
        <f ca="1">_xll.BDH($C$478,"NET_DEBT_TO_EBIT","FQ4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482" s="1" t="e">
        <f ca="1">_xll.BDH($C$478,"EBITDA_TO_INTEREST_EXPN","FQ4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82" s="1" t="e">
        <f ca="1">_xll.BDH($C$478,"COM_EQY_TO_TOT_ASSET","FQ4 2014","FQ4 2014","Currency=INR","Period=FQ","BEST_FPERIOD_OVERRIDE=FQ","FILING_STATUS=OR","EQY_CONSOLIDATED=Y","Sort=A","Dates=H","DateFormat=P","Fill=—","Direction=H","UseDPDF=Y")</f>
        <v>#NAME?</v>
      </c>
      <c r="CH482" s="1" t="e">
        <f ca="1">_xll.BDH($C$478,"LT_DEBT_TO_TOT_EQY","FQ4 2014","FQ4 2014","Currency=INR","Period=FQ","BEST_FPERIOD_OVERRIDE=FQ","FILING_STATUS=OR","EQY_CONSOLIDATED=Y","Sort=A","Dates=H","DateFormat=P","Fill=—","Direction=H","UseDPDF=Y")</f>
        <v>#NAME?</v>
      </c>
      <c r="CI482" s="1" t="e">
        <f ca="1">_xll.BDH($C$478,"LT_DEBT_TO_TOT_CAP","FQ4 2014","FQ4 2014","Currency=INR","Period=FQ","BEST_FPERIOD_OVERRIDE=FQ","FILING_STATUS=OR","EQY_CONSOLIDATED=Y","Sort=A","Dates=H","DateFormat=P","Fill=—","Direction=H","UseDPDF=Y")</f>
        <v>#NAME?</v>
      </c>
      <c r="CJ482" s="1" t="e">
        <f ca="1">_xll.BDH($C$478,"LT_DEBT_TO_TOT_ASSET","FQ4 2014","FQ4 2014","Currency=INR","Period=FQ","BEST_FPERIOD_OVERRIDE=FQ","FILING_STATUS=OR","EQY_CONSOLIDATED=Y","Sort=A","Dates=H","DateFormat=P","Fill=—","Direction=H","UseDPDF=Y")</f>
        <v>#NAME?</v>
      </c>
      <c r="CK482" s="1" t="e">
        <f ca="1">_xll.BDH($C$478,"TOT_DEBT_TO_TOT_EQY","FQ4 2014","FQ4 2014","Currency=INR","Period=FQ","BEST_FPERIOD_OVERRIDE=FQ","FILING_STATUS=OR","EQY_CONSOLIDATED=Y","Sort=A","Dates=H","DateFormat=P","Fill=—","Direction=H","UseDPDF=Y")</f>
        <v>#NAME?</v>
      </c>
      <c r="CL482" s="1" t="e">
        <f ca="1">_xll.BDH($C$478,"TOT_DEBT_TO_TOT_CAP","FQ4 2014","FQ4 2014","Currency=INR","Period=FQ","BEST_FPERIOD_OVERRIDE=FQ","FILING_STATUS=OR","EQY_CONSOLIDATED=Y","Sort=A","Dates=H","DateFormat=P","Fill=—","Direction=H","UseDPDF=Y")</f>
        <v>#NAME?</v>
      </c>
      <c r="CM482" s="1" t="e">
        <f ca="1">_xll.BDH($C$478,"TOT_DEBT_TO_TOT_ASSET","FQ4 2014","FQ4 2014","Currency=INR","Period=FQ","BEST_FPERIOD_OVERRIDE=FQ","FILING_STATUS=OR","EQY_CONSOLIDATED=Y","Sort=A","Dates=H","DateFormat=P","Fill=—","Direction=H","UseDPDF=Y")</f>
        <v>#NAME?</v>
      </c>
      <c r="CN482" s="1" t="e">
        <f ca="1">_xll.BDH($C$478,"NET_DEBT_TO_SHRHLDR_EQTY","FQ4 2014","FQ4 2014","Currency=INR","Period=FQ","BEST_FPERIOD_OVERRIDE=FQ","FILING_STATUS=OR","EQY_CONSOLIDATED=Y","Sort=A","Dates=H","DateFormat=P","Fill=—","Direction=H","UseDPDF=Y")</f>
        <v>#NAME?</v>
      </c>
      <c r="CO482" s="1" t="e">
        <f ca="1">_xll.BDH($C$478,"NET_DEBT_%_CAPITAL","FQ4 2014","FQ4 2014","Currency=INR","Period=FQ","BEST_FPERIOD_OVERRIDE=FQ","FILING_STATUS=OR","EQY_CONSOLIDATED=Y","Sort=A","Dates=H","DateFormat=P","Fill=—","Direction=H","UseDPDF=Y")</f>
        <v>#NAME?</v>
      </c>
      <c r="CP482" s="2" t="e">
        <f ca="1">_xll.BDH($C$478,"EBITDA","FQ4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82" s="2" t="e">
        <f ca="1">_xll.BDH($C$478,"EBITDA_AFTER_CAPEX","FQ4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82" s="2" t="e">
        <f ca="1">_xll.BDH($C$478,"IS_OPER_INC","FQ4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82" s="1" t="e">
        <f ca="1">_xll.BDH($C$478,"CASH_RATIO","FQ4 2014","FQ4 2014","Currency=INR","Period=FQ","BEST_FPERIOD_OVERRIDE=FQ","FILING_STATUS=OR","EQY_CONSOLIDATED=Y","Sort=A","Dates=H","DateFormat=P","Fill=—","Direction=H","UseDPDF=Y")</f>
        <v>#NAME?</v>
      </c>
      <c r="CT482" s="1" t="e">
        <f ca="1">_xll.BDH($C$478,"CUR_RATIO","FQ4 2014","FQ4 2014","Currency=INR","Period=FQ","BEST_FPERIOD_OVERRIDE=FQ","FILING_STATUS=OR","EQY_CONSOLIDATED=Y","Sort=A","Dates=H","DateFormat=P","Fill=—","Direction=H","UseDPDF=Y")</f>
        <v>#NAME?</v>
      </c>
      <c r="CU482" s="1" t="e">
        <f ca="1">_xll.BDH($C$478,"QUICK_RATIO","FQ4 2014","FQ4 2014","Currency=INR","Period=FQ","BEST_FPERIOD_OVERRIDE=FQ","FILING_STATUS=OR","EQY_CONSOLIDATED=Y","Sort=A","Dates=H","DateFormat=P","Fill=—","Direction=H","UseDPDF=Y")</f>
        <v>#NAME?</v>
      </c>
      <c r="CV482" s="1" t="e">
        <f ca="1">_xll.BDH($C$478,"ALTMAN_Z_SCORE","FQ4 2014","FQ4 2014","Currency=INR","Period=FQ","BEST_FPERIOD_OVERRIDE=FQ","FILING_STATUS=OR","EQY_CONSOLIDATED=Y","Sort=A","Dates=H","DateFormat=P","Fill=—","Direction=H","UseDPDF=Y")</f>
        <v>#NAME?</v>
      </c>
      <c r="CW482" s="3" t="e">
        <f ca="1">_xll.BDH($C$478,"ACCT_RCV_TURN","FQ4 2014","FQ4 2014","Currency=INR","Period=FQ","BEST_FPERIOD_OVERRIDE=FQ","FILING_STATUS=OR","EQY_CONSOLIDATED=Y","FA_ADJUSTED=GAAP","Sort=A","Dates=H","DateFormat=P","Fill=—","Direction=H","UseDPDF=Y")</f>
        <v>#NAME?</v>
      </c>
      <c r="CX482" s="1" t="e">
        <f ca="1">_xll.BDH($C$478,"ACCT_RCV_DAYS","FQ4 2014","FQ4 2014","Currency=INR","Period=FQ","BEST_FPERIOD_OVERRIDE=FQ","FILING_STATUS=OR","EQY_CONSOLIDATED=Y","FA_ADJUSTED=GAAP","Sort=A","Dates=H","DateFormat=P","Fill=—","Direction=H","UseDPDF=Y")</f>
        <v>#NAME?</v>
      </c>
      <c r="CY482" s="3" t="e">
        <f ca="1">_xll.BDH($C$478,"INVENT_TURN","FQ4 2014","FQ4 2014","Currency=INR","Period=FQ","BEST_FPERIOD_OVERRIDE=FQ","FILING_STATUS=OR","EQY_CONSOLIDATED=Y","FA_ADJUSTED=GAAP","Sort=A","Dates=H","DateFormat=P","Fill=—","Direction=H","UseDPDF=Y")</f>
        <v>#NAME?</v>
      </c>
      <c r="CZ482" s="1" t="e">
        <f ca="1">_xll.BDH($C$478,"INVENT_DAYS","FQ4 2014","FQ4 2014","Currency=INR","Period=FQ","BEST_FPERIOD_OVERRIDE=FQ","FILING_STATUS=OR","EQY_CONSOLIDATED=Y","FA_ADJUSTED=GAAP","Sort=A","Dates=H","DateFormat=P","Fill=—","Direction=H","UseDPDF=Y")</f>
        <v>#NAME?</v>
      </c>
      <c r="DA482" s="3" t="e">
        <f ca="1">_xll.BDH($C$478,"ACCOUNTS_PAYABLE_TURNOVER","FQ4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82" s="1" t="e">
        <f ca="1">_xll.BDH($C$478,"ACCOUNTS_PAYABLE_TURNOVER_DAYS","FQ4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82" s="3" t="e">
        <f ca="1">_xll.BDH($C$478,"CASH_CONVERSION_CYCLE","FQ4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82" s="3" t="e">
        <f ca="1">_xll.BDH($C$478,"INV_TO_CASH_DAYS","FQ4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482" s="4" t="e">
        <f ca="1">_xll.BDH($C$478,"BS_INVENTORIES","FQ4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482" s="2" t="e">
        <f ca="1">_xll.BDH($C$478,"INVTRY_RAW_MATERIALS","FQ4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82" s="2" t="e">
        <f ca="1">_xll.BDH($C$478,"INVTRY_IN_PROGRESS","FQ4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82" s="2" t="e">
        <f ca="1">_xll.BDH($C$478,"INVTRY_FINISHED_GOODS","FQ4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82" s="2" t="e">
        <f ca="1">_xll.BDH($C$478,"BS_OTHER_INV","FQ4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83" spans="1:113" x14ac:dyDescent="0.3">
      <c r="A483" s="6"/>
      <c r="B483" s="6"/>
      <c r="C483" s="6"/>
      <c r="D483" s="6" t="s">
        <v>8</v>
      </c>
      <c r="E483" t="s">
        <v>3</v>
      </c>
      <c r="F483" t="e">
        <f ca="1">_xll.BDH($C$478,"RETURN_COM_EQY","FY 2015","FY 2015","Currency=INR","Period=FY","BEST_FPERIOD_OVERRIDE=FY","FILING_STATUS=OR","EQY_CONSOLIDATED=Y","FA_ADJUSTED=GAAP","Sort=A","Dates=H","DateFormat=P","Fill=—","Direction=H","UseDPDF=Y")</f>
        <v>#NAME?</v>
      </c>
      <c r="G483" t="e">
        <f ca="1">_xll.BDH($C$478,"RETURN_ON_ASSET","FY 2015","FY 2015","Currency=INR","Period=FY","BEST_FPERIOD_OVERRIDE=FY","FILING_STATUS=OR","EQY_CONSOLIDATED=Y","FA_ADJUSTED=GAAP","Sort=A","Dates=H","DateFormat=P","Fill=—","Direction=H","UseDPDF=Y")</f>
        <v>#NAME?</v>
      </c>
      <c r="H483" t="e">
        <f ca="1">_xll.BDH($C$478,"RETURN_ON_CAP","FY 2015","FY 2015","Currency=INR","Period=FY","BEST_FPERIOD_OVERRIDE=FY","FILING_STATUS=OR","EQY_CONSOLIDATED=Y","FA_ADJUSTED=GAAP","Sort=A","Dates=H","DateFormat=P","Fill=—","Direction=H","UseDPDF=Y")</f>
        <v>#NAME?</v>
      </c>
      <c r="I483" t="e">
        <f ca="1">_xll.BDH($C$478,"RETURN_ON_INV_CAPITAL","FY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83" t="e">
        <f ca="1">_xll.BDH($C$478,"EBITDA_TO_REVENUE","FY 2015","FY 2015","Currency=INR","Period=FY","BEST_FPERIOD_OVERRIDE=FY","FILING_STATUS=OR","EQY_CONSOLIDATED=Y","FA_ADJUSTED=GAAP","Sort=A","Dates=H","DateFormat=P","Fill=—","Direction=H","UseDPDF=Y")</f>
        <v>#NAME?</v>
      </c>
      <c r="K483" t="e">
        <f ca="1">_xll.BDH($C$478,"OPER_MARGIN","FY 2015","FY 2015","Currency=INR","Period=FY","BEST_FPERIOD_OVERRIDE=FY","FILING_STATUS=OR","EQY_CONSOLIDATED=Y","FA_ADJUSTED=GAAP","Sort=A","Dates=H","DateFormat=P","Fill=—","Direction=H","UseDPDF=Y")</f>
        <v>#NAME?</v>
      </c>
      <c r="L483" t="e">
        <f ca="1">_xll.BDH($C$478,"INCREMENTAL_OPERATING_MARGIN","FY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83" t="e">
        <f ca="1">_xll.BDH($C$478,"PRETAX_INC_TO_NET_SALES","FY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83" t="e">
        <f ca="1">_xll.BDH($C$478,"INC_BEF_XO_ITEMS_TO_NET_SALES","FY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83" t="e">
        <f ca="1">_xll.BDH($C$478,"PROF_MARGIN","FY 2015","FY 2015","Currency=INR","Period=FY","BEST_FPERIOD_OVERRIDE=FY","FILING_STATUS=OR","EQY_CONSOLIDATED=Y","FA_ADJUSTED=GAAP","Sort=A","Dates=H","DateFormat=P","Fill=—","Direction=H","UseDPDF=Y")</f>
        <v>#NAME?</v>
      </c>
      <c r="P483" t="e">
        <f ca="1">_xll.BDH($C$478,"NET_INCOME_TO_COMMON_MARGIN","FY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83" t="e">
        <f ca="1">_xll.BDH($C$478,"EFF_TAX_RATE","FY 2015","FY 2015","Currency=INR","Period=FY","BEST_FPERIOD_OVERRIDE=FY","FILING_STATUS=OR","EQY_CONSOLIDATED=Y","FA_ADJUSTED=GAAP","Sort=A","Dates=H","DateFormat=P","Fill=—","Direction=H","UseDPDF=Y")</f>
        <v>#NAME?</v>
      </c>
      <c r="R483" t="e">
        <f ca="1">_xll.BDH($C$478,"DVD_PAYOUT_RATIO","FY 2015","FY 2015","Currency=INR","Period=FY","BEST_FPERIOD_OVERRIDE=FY","FILING_STATUS=OR","EQY_CONSOLIDATED=Y","FA_ADJUSTED=GAAP","Sort=A","Dates=H","DateFormat=P","Fill=—","Direction=H","UseDPDF=Y")</f>
        <v>#NAME?</v>
      </c>
      <c r="S483" t="e">
        <f ca="1">_xll.BDH($C$478,"SUSTAIN_GROWTH_RT","FY 2015","FY 2015","Currency=INR","Period=FY","BEST_FPERIOD_OVERRIDE=FY","FILING_STATUS=OR","EQY_CONSOLIDATED=Y","FA_ADJUSTED=GAAP","Sort=A","Dates=H","DateFormat=P","Fill=—","Direction=H","UseDPDF=Y")</f>
        <v>#NAME?</v>
      </c>
      <c r="T483" s="1" t="e">
        <f ca="1">_xll.BDH($C$478,"SALES_GROWTH","FY 2015","FY 2015","Currency=INR","Period=FY","BEST_FPERIOD_OVERRIDE=FY","FILING_STATUS=OR","EQY_CONSOLIDATED=Y","FA_ADJUSTED=GAAP","Sort=A","Dates=H","DateFormat=P","Fill=—","Direction=H","UseDPDF=Y")</f>
        <v>#NAME?</v>
      </c>
      <c r="U483" s="1" t="e">
        <f ca="1">_xll.BDH($C$478,"EBITDA_GROWTH","FY 2015","FY 2015","Currency=INR","Period=FY","BEST_FPERIOD_OVERRIDE=FY","FILING_STATUS=OR","EQY_CONSOLIDATED=Y","FA_ADJUSTED=GAAP","Sort=A","Dates=H","DateFormat=P","Fill=—","Direction=H","UseDPDF=Y")</f>
        <v>#NAME?</v>
      </c>
      <c r="V483" s="1" t="e">
        <f ca="1">_xll.BDH($C$478,"OPER_INC_GROWTH","FY 2015","FY 2015","Currency=INR","Period=FY","BEST_FPERIOD_OVERRIDE=FY","FILING_STATUS=OR","EQY_CONSOLIDATED=Y","FA_ADJUSTED=GAAP","Sort=A","Dates=H","DateFormat=P","Fill=—","Direction=H","UseDPDF=Y")</f>
        <v>#NAME?</v>
      </c>
      <c r="W483" s="1" t="e">
        <f ca="1">_xll.BDH($C$478,"EARN_FOR_COM_GROWTH","FY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483" s="1" t="e">
        <f ca="1">_xll.BDH($C$478,"DILUTED_EPS_AFT_XO_ITEMS_GROWTH","FY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83" s="1" t="e">
        <f ca="1">_xll.BDH($C$478,"DIVIDEND_PER_SHARE_1_YEAR_GROWTH","FY 2015","FY 2015","Currency=INR","Period=FY","BEST_FPERIOD_OVERRIDE=FY","FILING_STATUS=OR","EQY_CONSOLIDATED=Y","Sort=A","Dates=H","DateFormat=P","Fill=—","Direction=H","UseDPDF=Y")</f>
        <v>#NAME?</v>
      </c>
      <c r="Z483" s="1" t="e">
        <f ca="1">_xll.BDH($C$478,"ACCOUNTS_RECEIVABLE_GROWTH","FY 2015","FY 2015","Currency=INR","Period=FY","BEST_FPERIOD_OVERRIDE=FY","FILING_STATUS=OR","EQY_CONSOLIDATED=Y","Sort=A","Dates=H","DateFormat=P","Fill=—","Direction=H","UseDPDF=Y")</f>
        <v>#NAME?</v>
      </c>
      <c r="AA483" s="1" t="e">
        <f ca="1">_xll.BDH($C$478,"INVENTORY_GROWTH","FY 2015","FY 2015","Currency=INR","Period=FY","BEST_FPERIOD_OVERRIDE=FY","FILING_STATUS=OR","EQY_CONSOLIDATED=Y","Sort=A","Dates=H","DateFormat=P","Fill=—","Direction=H","UseDPDF=Y")</f>
        <v>#NAME?</v>
      </c>
      <c r="AB483" s="1" t="e">
        <f ca="1">_xll.BDH($C$478,"NET_FIXED_ASSETS_1_YEAR_GROWTH","FY 2015","FY 2015","Currency=INR","Period=FY","BEST_FPERIOD_OVERRIDE=FY","FILING_STATUS=OR","EQY_CONSOLIDATED=Y","Sort=A","Dates=H","DateFormat=P","Fill=—","Direction=H","UseDPDF=Y")</f>
        <v>#NAME?</v>
      </c>
      <c r="AC483" s="1" t="e">
        <f ca="1">_xll.BDH($C$478,"ASSET_GROWTH","FY 2015","FY 2015","Currency=INR","Period=FY","BEST_FPERIOD_OVERRIDE=FY","FILING_STATUS=OR","EQY_CONSOLIDATED=Y","Sort=A","Dates=H","DateFormat=P","Fill=—","Direction=H","UseDPDF=Y")</f>
        <v>#NAME?</v>
      </c>
      <c r="AD483" s="1" t="e">
        <f ca="1">_xll.BDH($C$478,"MODIFIED_WORK_CAP_GROWTH","FY 2015","FY 2015","Currency=INR","Period=FY","BEST_FPERIOD_OVERRIDE=FY","FILING_STATUS=OR","EQY_CONSOLIDATED=Y","Sort=A","Dates=H","DateFormat=P","Fill=—","Direction=H","UseDPDF=Y")</f>
        <v>#NAME?</v>
      </c>
      <c r="AE483" s="1" t="e">
        <f ca="1">_xll.BDH($C$478,"WORK_CAP_GROWTH","FY 2015","FY 2015","Currency=INR","Period=FY","BEST_FPERIOD_OVERRIDE=FY","FILING_STATUS=OR","EQY_CONSOLIDATED=Y","Sort=A","Dates=H","DateFormat=P","Fill=—","Direction=H","UseDPDF=Y")</f>
        <v>#NAME?</v>
      </c>
      <c r="AF483" s="1" t="e">
        <f ca="1">_xll.BDH($C$478,"ACCOUNTS_PAYABLE_GROWTH_1YR","FY 2015","FY 2015","Currency=INR","Period=FY","BEST_FPERIOD_OVERRIDE=FY","FILING_STATUS=OR","EQY_CONSOLIDATED=Y","Sort=A","Dates=H","DateFormat=P","Fill=—","Direction=H","UseDPDF=Y")</f>
        <v>#NAME?</v>
      </c>
      <c r="AG483" s="1" t="e">
        <f ca="1">_xll.BDH($C$478,"SHORT_TERM_DEBT_1_YEAR_GROWTH","FY 2015","FY 2015","Currency=INR","Period=FY","BEST_FPERIOD_OVERRIDE=FY","FILING_STATUS=OR","EQY_CONSOLIDATED=Y","Sort=A","Dates=H","DateFormat=P","Fill=—","Direction=H","UseDPDF=Y")</f>
        <v>#NAME?</v>
      </c>
      <c r="AH483" s="1" t="e">
        <f ca="1">_xll.BDH($C$478,"TOTAL_DEBT_1_YEAR_GROWTH","FY 2015","FY 2015","Currency=INR","Period=FY","BEST_FPERIOD_OVERRIDE=FY","FILING_STATUS=OR","EQY_CONSOLIDATED=Y","Sort=A","Dates=H","DateFormat=P","Fill=—","Direction=H","UseDPDF=Y")</f>
        <v>#NAME?</v>
      </c>
      <c r="AI483" s="1" t="e">
        <f ca="1">_xll.BDH($C$478,"TOTAL_EQUITY_1_YEAR_GROWTH","FY 2015","FY 2015","Currency=INR","Period=FY","BEST_FPERIOD_OVERRIDE=FY","FILING_STATUS=OR","EQY_CONSOLIDATED=Y","Sort=A","Dates=H","DateFormat=P","Fill=—","Direction=H","UseDPDF=Y")</f>
        <v>#NAME?</v>
      </c>
      <c r="AJ483" s="1" t="e">
        <f ca="1">_xll.BDH($C$478,"GROWTH_IN_CAP","FY 2015","FY 2015","Currency=INR","Period=FY","BEST_FPERIOD_OVERRIDE=FY","FILING_STATUS=OR","EQY_CONSOLIDATED=Y","Sort=A","Dates=H","DateFormat=P","Fill=—","Direction=H","UseDPDF=Y")</f>
        <v>#NAME?</v>
      </c>
      <c r="AK483" s="1" t="e">
        <f ca="1">_xll.BDH($C$478,"BVPS_GROWTH","FY 2015","FY 2015","Currency=INR","Period=FY","BEST_FPERIOD_OVERRIDE=FY","FILING_STATUS=OR","EQY_CONSOLIDATED=Y","Sort=A","Dates=H","DateFormat=P","Fill=—","Direction=H","UseDPDF=Y")</f>
        <v>#NAME?</v>
      </c>
      <c r="AL483" s="1" t="e">
        <f ca="1">_xll.BDH($C$478,"CASH_FLOW_GROWTH","FY 2015","FY 2015","Currency=INR","Period=FY","BEST_FPERIOD_OVERRIDE=FY","FILING_STATUS=OR","EQY_CONSOLIDATED=Y","Sort=A","Dates=H","DateFormat=P","Fill=—","Direction=H","UseDPDF=Y")</f>
        <v>#NAME?</v>
      </c>
      <c r="AM483" s="1" t="e">
        <f ca="1">_xll.BDH($C$478,"GEO_GROW_NET_SALES","FY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483" s="1" t="e">
        <f ca="1">_xll.BDH($C$478,"GEO_GROW_EBITDA","FY 2015","FY 2015","Currency=INR","Period=FY","BEST_FPERIOD_OVERRIDE=FY","FILING_STATUS=OR","EQY_CONSOLIDATED=Y","FA_ADJUSTED=GAAP","Sort=A","Dates=H","DateFormat=P","Fill=—","Direction=H","UseDPDF=Y")</f>
        <v>#NAME?</v>
      </c>
      <c r="AO483" s="1" t="e">
        <f ca="1">_xll.BDH($C$478,"GEO_GROW_OPER_INC","FY 2015","FY 2015","Currency=INR","Period=FY","BEST_FPERIOD_OVERRIDE=FY","FILING_STATUS=OR","EQY_CONSOLIDATED=Y","FA_ADJUSTED=GAAP","Sort=A","Dates=H","DateFormat=P","Fill=—","Direction=H","UseDPDF=Y")</f>
        <v>#NAME?</v>
      </c>
      <c r="AP483" s="1" t="e">
        <f ca="1">_xll.BDH($C$478,"NET_INCOME_TO_COMMON_5_YR_GROWTH","FY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83" s="1" t="e">
        <f ca="1">_xll.BDH($C$478,"5Y_GEO_GROWTH_DILUTED_EPS","FY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83" s="1" t="e">
        <f ca="1">_xll.BDH($C$478,"GEO_GROW_DVD_PER_SH","FY 2015","FY 2015","Currency=INR","Period=FY","BEST_FPERIOD_OVERRIDE=FY","FILING_STATUS=OR","EQY_CONSOLIDATED=Y","Sort=A","Dates=H","DateFormat=P","Fill=—","Direction=H","UseDPDF=Y")</f>
        <v>#NAME?</v>
      </c>
      <c r="AS483" s="1" t="e">
        <f ca="1">_xll.BDH($C$478,"ACCOUNTS_RECEIVABLE_5_YR_GROWTH","FY 2015","FY 2015","Currency=INR","Period=FY","BEST_FPERIOD_OVERRIDE=FY","FILING_STATUS=OR","EQY_CONSOLIDATED=Y","Sort=A","Dates=H","DateFormat=P","Fill=—","Direction=H","UseDPDF=Y")</f>
        <v>#NAME?</v>
      </c>
      <c r="AT483" s="1" t="e">
        <f ca="1">_xll.BDH($C$478,"INVENTORY_5_YEAR_GROWTH","FY 2015","FY 2015","Currency=INR","Period=FY","BEST_FPERIOD_OVERRIDE=FY","FILING_STATUS=OR","EQY_CONSOLIDATED=Y","Sort=A","Dates=H","DateFormat=P","Fill=—","Direction=H","UseDPDF=Y")</f>
        <v>#NAME?</v>
      </c>
      <c r="AU483" s="1" t="e">
        <f ca="1">_xll.BDH($C$478,"NET_FIXED_ASSETS_5_YEAR_GROWTH","FY 2015","FY 2015","Currency=INR","Period=FY","BEST_FPERIOD_OVERRIDE=FY","FILING_STATUS=OR","EQY_CONSOLIDATED=Y","Sort=A","Dates=H","DateFormat=P","Fill=—","Direction=H","UseDPDF=Y")</f>
        <v>#NAME?</v>
      </c>
      <c r="AV483" s="1" t="e">
        <f ca="1">_xll.BDH($C$478,"GEO_GROW_TOT_ASSET","FY 2015","FY 2015","Currency=INR","Period=FY","BEST_FPERIOD_OVERRIDE=FY","FILING_STATUS=OR","EQY_CONSOLIDATED=Y","Sort=A","Dates=H","DateFormat=P","Fill=—","Direction=H","UseDPDF=Y")</f>
        <v>#NAME?</v>
      </c>
      <c r="AW483" s="1" t="e">
        <f ca="1">_xll.BDH($C$478,"MODIFIED_WORKING_CPTL_5YR_GRWTH","FY 2015","FY 2015","Currency=INR","Period=FY","BEST_FPERIOD_OVERRIDE=FY","FILING_STATUS=OR","EQY_CONSOLIDATED=Y","Sort=A","Dates=H","DateFormat=P","Fill=—","Direction=H","UseDPDF=Y")</f>
        <v>#NAME?</v>
      </c>
      <c r="AX483" s="1" t="e">
        <f ca="1">_xll.BDH($C$478,"WORKING_CAPITAL_5_YEAR_GROWTH","FY 2015","FY 2015","Currency=INR","Period=FY","BEST_FPERIOD_OVERRIDE=FY","FILING_STATUS=OR","EQY_CONSOLIDATED=Y","Sort=A","Dates=H","DateFormat=P","Fill=—","Direction=H","UseDPDF=Y")</f>
        <v>#NAME?</v>
      </c>
      <c r="AY483" s="1" t="e">
        <f ca="1">_xll.BDH($C$478,"ACCOUNTS_PAYABLE_5_YEAR_GROWTH","FY 2015","FY 2015","Currency=INR","Period=FY","BEST_FPERIOD_OVERRIDE=FY","FILING_STATUS=OR","EQY_CONSOLIDATED=Y","Sort=A","Dates=H","DateFormat=P","Fill=—","Direction=H","UseDPDF=Y")</f>
        <v>#NAME?</v>
      </c>
      <c r="AZ483" s="1" t="e">
        <f ca="1">_xll.BDH($C$478,"SHORT_TERM_DEBT_5_YEAR_GROWTH","FY 2015","FY 2015","Currency=INR","Period=FY","BEST_FPERIOD_OVERRIDE=FY","FILING_STATUS=OR","EQY_CONSOLIDATED=Y","Sort=A","Dates=H","DateFormat=P","Fill=—","Direction=H","UseDPDF=Y")</f>
        <v>#NAME?</v>
      </c>
      <c r="BA483" s="1" t="e">
        <f ca="1">_xll.BDH($C$478,"TOTAL_DEBT_5_YEAR_GROWTH","FY 2015","FY 2015","Currency=INR","Period=FY","BEST_FPERIOD_OVERRIDE=FY","FILING_STATUS=OR","EQY_CONSOLIDATED=Y","Sort=A","Dates=H","DateFormat=P","Fill=—","Direction=H","UseDPDF=Y")</f>
        <v>#NAME?</v>
      </c>
      <c r="BB483" s="1" t="e">
        <f ca="1">_xll.BDH($C$478,"GEO_GROW_TOT_SHRHLDR_EQY","FY 2015","FY 2015","Currency=INR","Period=FY","BEST_FPERIOD_OVERRIDE=FY","FILING_STATUS=OR","EQY_CONSOLIDATED=Y","Sort=A","Dates=H","DateFormat=P","Fill=—","Direction=H","UseDPDF=Y")</f>
        <v>#NAME?</v>
      </c>
      <c r="BC483" s="1" t="e">
        <f ca="1">_xll.BDH($C$478,"TOTAL_CAPITAL_5_YEAR_GROWTH","FY 2015","FY 2015","Currency=INR","Period=FY","BEST_FPERIOD_OVERRIDE=FY","FILING_STATUS=OR","EQY_CONSOLIDATED=Y","Sort=A","Dates=H","DateFormat=P","Fill=—","Direction=H","UseDPDF=Y")</f>
        <v>#NAME?</v>
      </c>
      <c r="BD483" s="1" t="e">
        <f ca="1">_xll.BDH($C$478,"GEO_GROW_BOOK_VAL","FY 2015","FY 2015","Currency=INR","Period=FY","BEST_FPERIOD_OVERRIDE=FY","FILING_STATUS=OR","EQY_CONSOLIDATED=Y","Sort=A","Dates=H","DateFormat=P","Fill=—","Direction=H","UseDPDF=Y")</f>
        <v>#NAME?</v>
      </c>
      <c r="BE483" s="1" t="e">
        <f ca="1">_xll.BDH($C$478,"GEO_GROW_CASH_OPER_ACT","FY 2015","FY 2015","Currency=INR","Period=FY","BEST_FPERIOD_OVERRIDE=FY","FILING_STATUS=OR","EQY_CONSOLIDATED=Y","Sort=A","Dates=H","DateFormat=P","Fill=—","Direction=H","UseDPDF=Y")</f>
        <v>#NAME?</v>
      </c>
      <c r="BF483" s="1" t="e">
        <f ca="1">_xll.BDH($C$478,"REVENUE_SEQUENTIAL_GROWTH","FY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83" s="1" t="e">
        <f ca="1">_xll.BDH($C$478,"EBITDA_SEQUENTIAL_GROWTH","FY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83" s="1" t="e">
        <f ca="1">_xll.BDH($C$478,"OPERATING_INCOME_SEQ_GROWTH","FY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83" s="1" t="e">
        <f ca="1">_xll.BDH($C$478,"NET_INCOME_TO_COMMON_SEQ_GROWTH","FY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83" s="1" t="e">
        <f ca="1">_xll.BDH($C$478,"EPS_DILUTED_SEQUENTIAL_GROWTH","FY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83" s="1" t="e">
        <f ca="1">_xll.BDH($C$478,"DPS_SEQUENTIAL_GROWTH","FY 2015","FY 2015","Currency=INR","Period=FY","BEST_FPERIOD_OVERRIDE=FY","FILING_STATUS=OR","EQY_CONSOLIDATED=Y","Sort=A","Dates=H","DateFormat=P","Fill=—","Direction=H","UseDPDF=Y")</f>
        <v>#NAME?</v>
      </c>
      <c r="BL483" s="1" t="e">
        <f ca="1">_xll.BDH($C$478,"ACCOUNTS_RECEIVABLE_SEQ_GROWTH","FY 2015","FY 2015","Currency=INR","Period=FY","BEST_FPERIOD_OVERRIDE=FY","FILING_STATUS=OR","EQY_CONSOLIDATED=Y","Sort=A","Dates=H","DateFormat=P","Fill=—","Direction=H","UseDPDF=Y")</f>
        <v>#NAME?</v>
      </c>
      <c r="BM483" s="1" t="e">
        <f ca="1">_xll.BDH($C$478,"INVENTORY_SEQUENTIAL_GROWTH","FY 2015","FY 2015","Currency=INR","Period=FY","BEST_FPERIOD_OVERRIDE=FY","FILING_STATUS=OR","EQY_CONSOLIDATED=Y","Sort=A","Dates=H","DateFormat=P","Fill=—","Direction=H","UseDPDF=Y")</f>
        <v>#NAME?</v>
      </c>
      <c r="BN483" s="1" t="e">
        <f ca="1">_xll.BDH($C$478,"FIXED_ASSETS_SEQUENTIAL_GROWTH","FY 2015","FY 2015","Currency=INR","Period=FY","BEST_FPERIOD_OVERRIDE=FY","FILING_STATUS=OR","EQY_CONSOLIDATED=Y","Sort=A","Dates=H","DateFormat=P","Fill=—","Direction=H","UseDPDF=Y")</f>
        <v>#NAME?</v>
      </c>
      <c r="BO483" s="1" t="e">
        <f ca="1">_xll.BDH($C$478,"TOTAL_ASSETS_SEQUENTIAL_GROWTH","FY 2015","FY 2015","Currency=INR","Period=FY","BEST_FPERIOD_OVERRIDE=FY","FILING_STATUS=OR","EQY_CONSOLIDATED=Y","Sort=A","Dates=H","DateFormat=P","Fill=—","Direction=H","UseDPDF=Y")</f>
        <v>#NAME?</v>
      </c>
      <c r="BP483" s="1" t="e">
        <f ca="1">_xll.BDH($C$478,"MODIFIED_WORKING_CPTL_SEQ_GRWTH","FY 2015","FY 2015","Currency=INR","Period=FY","BEST_FPERIOD_OVERRIDE=FY","FILING_STATUS=OR","EQY_CONSOLIDATED=Y","Sort=A","Dates=H","DateFormat=P","Fill=—","Direction=H","UseDPDF=Y")</f>
        <v>#NAME?</v>
      </c>
      <c r="BQ483" s="1" t="e">
        <f ca="1">_xll.BDH($C$478,"WORKING_CAPITAL_SEQ_GROWTH","FY 2015","FY 2015","Currency=INR","Period=FY","BEST_FPERIOD_OVERRIDE=FY","FILING_STATUS=OR","EQY_CONSOLIDATED=Y","Sort=A","Dates=H","DateFormat=P","Fill=—","Direction=H","UseDPDF=Y")</f>
        <v>#NAME?</v>
      </c>
      <c r="BR483" s="1" t="e">
        <f ca="1">_xll.BDH($C$478,"ACCOUNTS_PAYABLE_SEQ_GROWTH","FY 2015","FY 2015","Currency=INR","Period=FY","BEST_FPERIOD_OVERRIDE=FY","FILING_STATUS=OR","EQY_CONSOLIDATED=Y","Sort=A","Dates=H","DateFormat=P","Fill=—","Direction=H","UseDPDF=Y")</f>
        <v>#NAME?</v>
      </c>
      <c r="BS483" s="1" t="e">
        <f ca="1">_xll.BDH($C$478,"ST_DEBT_SEQUENTIAL_GROWTH","FY 2015","FY 2015","Currency=INR","Period=FY","BEST_FPERIOD_OVERRIDE=FY","FILING_STATUS=OR","EQY_CONSOLIDATED=Y","Sort=A","Dates=H","DateFormat=P","Fill=—","Direction=H","UseDPDF=Y")</f>
        <v>#NAME?</v>
      </c>
      <c r="BT483" s="1" t="e">
        <f ca="1">_xll.BDH($C$478,"TOTAL_DEBT_SEQUENTIAL_GROWTH","FY 2015","FY 2015","Currency=INR","Period=FY","BEST_FPERIOD_OVERRIDE=FY","FILING_STATUS=OR","EQY_CONSOLIDATED=Y","Sort=A","Dates=H","DateFormat=P","Fill=—","Direction=H","UseDPDF=Y")</f>
        <v>#NAME?</v>
      </c>
      <c r="BU483" s="1" t="e">
        <f ca="1">_xll.BDH($C$478,"TOTAL_EQUITY_SEQUENTIAL_GROWTH","FY 2015","FY 2015","Currency=INR","Period=FY","BEST_FPERIOD_OVERRIDE=FY","FILING_STATUS=OR","EQY_CONSOLIDATED=Y","Sort=A","Dates=H","DateFormat=P","Fill=—","Direction=H","UseDPDF=Y")</f>
        <v>#NAME?</v>
      </c>
      <c r="BV483" s="1" t="e">
        <f ca="1">_xll.BDH($C$478,"TOTAL_CAPITAL_SEQUENTIAL_GROWTH","FY 2015","FY 2015","Currency=INR","Period=FY","BEST_FPERIOD_OVERRIDE=FY","FILING_STATUS=OR","EQY_CONSOLIDATED=Y","Sort=A","Dates=H","DateFormat=P","Fill=—","Direction=H","UseDPDF=Y")</f>
        <v>#NAME?</v>
      </c>
      <c r="BW483" s="1" t="e">
        <f ca="1">_xll.BDH($C$478,"BPS_SEQUENTIAL_GROWTH","FY 2015","FY 2015","Currency=INR","Period=FY","BEST_FPERIOD_OVERRIDE=FY","FILING_STATUS=OR","EQY_CONSOLIDATED=Y","Sort=A","Dates=H","DateFormat=P","Fill=—","Direction=H","UseDPDF=Y")</f>
        <v>#NAME?</v>
      </c>
      <c r="BX483" s="1" t="e">
        <f ca="1">_xll.BDH($C$478,"CFO_SEQUENTIAL_GROWTH","FY 2015","FY 2015","Currency=INR","Period=FY","BEST_FPERIOD_OVERRIDE=FY","FILING_STATUS=OR","EQY_CONSOLIDATED=Y","Sort=A","Dates=H","DateFormat=P","Fill=—","Direction=H","UseDPDF=Y")</f>
        <v>#NAME?</v>
      </c>
      <c r="BY483" s="2" t="e">
        <f ca="1">_xll.BDH($C$478,"SHORT_AND_LONG_TERM_DEBT","FY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83" s="2" t="e">
        <f ca="1">_xll.BDH($C$478,"BS_ST_BORROW","FY 2015","FY 2015","Currency=INR","Period=FY","BEST_FPERIOD_OVERRIDE=FY","FILING_STATUS=OR","EQY_CONSOLIDATED=Y","SCALING_FORMAT=MLN","Sort=A","Dates=H","DateFormat=P","Fill=—","Direction=H","UseDPDF=Y")</f>
        <v>#NAME?</v>
      </c>
      <c r="CA483" s="2" t="e">
        <f ca="1">_xll.BDH($C$478,"BS_LT_BORROW","FY 2015","FY 2015","Currency=INR","Period=FY","BEST_FPERIOD_OVERRIDE=FY","FILING_STATUS=OR","EQY_CONSOLIDATED=Y","SCALING_FORMAT=MLN","Sort=A","Dates=H","DateFormat=P","Fill=—","Direction=H","UseDPDF=Y")</f>
        <v>#NAME?</v>
      </c>
      <c r="CB483" s="1" t="e">
        <f ca="1">_xll.BDH($C$478,"TOT_DEBT_TO_EBITDA","FY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483" s="1" t="e">
        <f ca="1">_xll.BDH($C$478,"NET_DEBT_TO_EBITDA","FY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483" s="1" t="e">
        <f ca="1">_xll.BDH($C$478,"TOTAL_DEBT_TO_EBIT","FY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483" s="1" t="e">
        <f ca="1">_xll.BDH($C$478,"NET_DEBT_TO_EBIT","FY 2015","FY 2015","Currency=INR","Period=FY","BEST_FPERIOD_OVERRIDE=FY","FILING_STATUS=OR","EQY_CONSOLIDATED=Y","FA_ADJUSTED=GAAP","Sort=A","Dates=H","DateFormat=P","Fill=—","Direction=H","UseDPDF=Y")</f>
        <v>#NAME?</v>
      </c>
      <c r="CF483" s="1" t="e">
        <f ca="1">_xll.BDH($C$478,"EBITDA_TO_INTEREST_EXPN","FY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83" s="1" t="e">
        <f ca="1">_xll.BDH($C$478,"COM_EQY_TO_TOT_ASSET","FY 2015","FY 2015","Currency=INR","Period=FY","BEST_FPERIOD_OVERRIDE=FY","FILING_STATUS=OR","EQY_CONSOLIDATED=Y","Sort=A","Dates=H","DateFormat=P","Fill=—","Direction=H","UseDPDF=Y")</f>
        <v>#NAME?</v>
      </c>
      <c r="CH483" s="1" t="e">
        <f ca="1">_xll.BDH($C$478,"LT_DEBT_TO_TOT_EQY","FY 2015","FY 2015","Currency=INR","Period=FY","BEST_FPERIOD_OVERRIDE=FY","FILING_STATUS=OR","EQY_CONSOLIDATED=Y","Sort=A","Dates=H","DateFormat=P","Fill=—","Direction=H","UseDPDF=Y")</f>
        <v>#NAME?</v>
      </c>
      <c r="CI483" s="1" t="e">
        <f ca="1">_xll.BDH($C$478,"LT_DEBT_TO_TOT_CAP","FY 2015","FY 2015","Currency=INR","Period=FY","BEST_FPERIOD_OVERRIDE=FY","FILING_STATUS=OR","EQY_CONSOLIDATED=Y","Sort=A","Dates=H","DateFormat=P","Fill=—","Direction=H","UseDPDF=Y")</f>
        <v>#NAME?</v>
      </c>
      <c r="CJ483" s="1" t="e">
        <f ca="1">_xll.BDH($C$478,"LT_DEBT_TO_TOT_ASSET","FY 2015","FY 2015","Currency=INR","Period=FY","BEST_FPERIOD_OVERRIDE=FY","FILING_STATUS=OR","EQY_CONSOLIDATED=Y","Sort=A","Dates=H","DateFormat=P","Fill=—","Direction=H","UseDPDF=Y")</f>
        <v>#NAME?</v>
      </c>
      <c r="CK483" s="1" t="e">
        <f ca="1">_xll.BDH($C$478,"TOT_DEBT_TO_TOT_EQY","FY 2015","FY 2015","Currency=INR","Period=FY","BEST_FPERIOD_OVERRIDE=FY","FILING_STATUS=OR","EQY_CONSOLIDATED=Y","Sort=A","Dates=H","DateFormat=P","Fill=—","Direction=H","UseDPDF=Y")</f>
        <v>#NAME?</v>
      </c>
      <c r="CL483" s="1" t="e">
        <f ca="1">_xll.BDH($C$478,"TOT_DEBT_TO_TOT_CAP","FY 2015","FY 2015","Currency=INR","Period=FY","BEST_FPERIOD_OVERRIDE=FY","FILING_STATUS=OR","EQY_CONSOLIDATED=Y","Sort=A","Dates=H","DateFormat=P","Fill=—","Direction=H","UseDPDF=Y")</f>
        <v>#NAME?</v>
      </c>
      <c r="CM483" s="1" t="e">
        <f ca="1">_xll.BDH($C$478,"TOT_DEBT_TO_TOT_ASSET","FY 2015","FY 2015","Currency=INR","Period=FY","BEST_FPERIOD_OVERRIDE=FY","FILING_STATUS=OR","EQY_CONSOLIDATED=Y","Sort=A","Dates=H","DateFormat=P","Fill=—","Direction=H","UseDPDF=Y")</f>
        <v>#NAME?</v>
      </c>
      <c r="CN483" s="1" t="e">
        <f ca="1">_xll.BDH($C$478,"NET_DEBT_TO_SHRHLDR_EQTY","FY 2015","FY 2015","Currency=INR","Period=FY","BEST_FPERIOD_OVERRIDE=FY","FILING_STATUS=OR","EQY_CONSOLIDATED=Y","Sort=A","Dates=H","DateFormat=P","Fill=—","Direction=H","UseDPDF=Y")</f>
        <v>#NAME?</v>
      </c>
      <c r="CO483" s="1" t="e">
        <f ca="1">_xll.BDH($C$478,"NET_DEBT_%_CAPITAL","FY 2015","FY 2015","Currency=INR","Period=FY","BEST_FPERIOD_OVERRIDE=FY","FILING_STATUS=OR","EQY_CONSOLIDATED=Y","Sort=A","Dates=H","DateFormat=P","Fill=—","Direction=H","UseDPDF=Y")</f>
        <v>#NAME?</v>
      </c>
      <c r="CP483" s="2" t="e">
        <f ca="1">_xll.BDH($C$478,"EBITDA","FY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83" s="2" t="e">
        <f ca="1">_xll.BDH($C$478,"EBITDA_AFTER_CAPEX","FY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83" s="2" t="e">
        <f ca="1">_xll.BDH($C$478,"IS_OPER_INC","FY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83" s="1" t="e">
        <f ca="1">_xll.BDH($C$478,"CASH_RATIO","FY 2015","FY 2015","Currency=INR","Period=FY","BEST_FPERIOD_OVERRIDE=FY","FILING_STATUS=OR","EQY_CONSOLIDATED=Y","Sort=A","Dates=H","DateFormat=P","Fill=—","Direction=H","UseDPDF=Y")</f>
        <v>#NAME?</v>
      </c>
      <c r="CT483" s="1" t="e">
        <f ca="1">_xll.BDH($C$478,"CUR_RATIO","FY 2015","FY 2015","Currency=INR","Period=FY","BEST_FPERIOD_OVERRIDE=FY","FILING_STATUS=OR","EQY_CONSOLIDATED=Y","Sort=A","Dates=H","DateFormat=P","Fill=—","Direction=H","UseDPDF=Y")</f>
        <v>#NAME?</v>
      </c>
      <c r="CU483" s="1" t="e">
        <f ca="1">_xll.BDH($C$478,"QUICK_RATIO","FY 2015","FY 2015","Currency=INR","Period=FY","BEST_FPERIOD_OVERRIDE=FY","FILING_STATUS=OR","EQY_CONSOLIDATED=Y","Sort=A","Dates=H","DateFormat=P","Fill=—","Direction=H","UseDPDF=Y")</f>
        <v>#NAME?</v>
      </c>
      <c r="CV483" s="1" t="e">
        <f ca="1">_xll.BDH($C$478,"ALTMAN_Z_SCORE","FY 2015","FY 2015","Currency=INR","Period=FY","BEST_FPERIOD_OVERRIDE=FY","FILING_STATUS=OR","EQY_CONSOLIDATED=Y","Sort=A","Dates=H","DateFormat=P","Fill=—","Direction=H","UseDPDF=Y")</f>
        <v>#NAME?</v>
      </c>
      <c r="CW483" s="3" t="e">
        <f ca="1">_xll.BDH($C$478,"ACCT_RCV_TURN","FY 2015","FY 2015","Currency=INR","Period=FY","BEST_FPERIOD_OVERRIDE=FY","FILING_STATUS=OR","EQY_CONSOLIDATED=Y","FA_ADJUSTED=GAAP","Sort=A","Dates=H","DateFormat=P","Fill=—","Direction=H","UseDPDF=Y")</f>
        <v>#NAME?</v>
      </c>
      <c r="CX483" s="1" t="e">
        <f ca="1">_xll.BDH($C$478,"ACCT_RCV_DAYS","FY 2015","FY 2015","Currency=INR","Period=FY","BEST_FPERIOD_OVERRIDE=FY","FILING_STATUS=OR","EQY_CONSOLIDATED=Y","FA_ADJUSTED=GAAP","Sort=A","Dates=H","DateFormat=P","Fill=—","Direction=H","UseDPDF=Y")</f>
        <v>#NAME?</v>
      </c>
      <c r="CY483" s="3" t="e">
        <f ca="1">_xll.BDH($C$478,"INVENT_TURN","FY 2015","FY 2015","Currency=INR","Period=FY","BEST_FPERIOD_OVERRIDE=FY","FILING_STATUS=OR","EQY_CONSOLIDATED=Y","FA_ADJUSTED=GAAP","Sort=A","Dates=H","DateFormat=P","Fill=—","Direction=H","UseDPDF=Y")</f>
        <v>#NAME?</v>
      </c>
      <c r="CZ483" s="1" t="e">
        <f ca="1">_xll.BDH($C$478,"INVENT_DAYS","FY 2015","FY 2015","Currency=INR","Period=FY","BEST_FPERIOD_OVERRIDE=FY","FILING_STATUS=OR","EQY_CONSOLIDATED=Y","FA_ADJUSTED=GAAP","Sort=A","Dates=H","DateFormat=P","Fill=—","Direction=H","UseDPDF=Y")</f>
        <v>#NAME?</v>
      </c>
      <c r="DA483" s="3" t="e">
        <f ca="1">_xll.BDH($C$478,"ACCOUNTS_PAYABLE_TURNOVER","FY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83" s="1" t="e">
        <f ca="1">_xll.BDH($C$478,"ACCOUNTS_PAYABLE_TURNOVER_DAYS","FY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83" s="3" t="e">
        <f ca="1">_xll.BDH($C$478,"CASH_CONVERSION_CYCLE","FY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83" s="3" t="e">
        <f ca="1">_xll.BDH($C$478,"INV_TO_CASH_DAYS","FY 2015","FY 2015","Currency=INR","Period=FY","BEST_FPERIOD_OVERRIDE=FY","FILING_STATUS=OR","EQY_CONSOLIDATED=Y","FA_ADJUSTED=GAAP","Sort=A","Dates=H","DateFormat=P","Fill=—","Direction=H","UseDPDF=Y")</f>
        <v>#NAME?</v>
      </c>
      <c r="DE483" s="4" t="e">
        <f ca="1">_xll.BDH($C$478,"BS_INVENTORIES","FY 2015","FY 2015","Currency=INR","Period=FY","BEST_FPERIOD_OVERRIDE=FY","FILING_STATUS=OR","EQY_CONSOLIDATED=Y","SCALING_FORMAT=MLN","Sort=A","Dates=H","DateFormat=P","Fill=—","Direction=H","UseDPDF=Y")</f>
        <v>#NAME?</v>
      </c>
      <c r="DF483" s="2" t="e">
        <f ca="1">_xll.BDH($C$478,"INVTRY_RAW_MATERIALS","FY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83" s="2" t="e">
        <f ca="1">_xll.BDH($C$478,"INVTRY_IN_PROGRESS","FY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83" s="2" t="e">
        <f ca="1">_xll.BDH($C$478,"INVTRY_FINISHED_GOODS","FY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83" s="2" t="e">
        <f ca="1">_xll.BDH($C$478,"BS_OTHER_INV","FY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84" spans="1:113" x14ac:dyDescent="0.3">
      <c r="A484" s="6"/>
      <c r="B484" s="6"/>
      <c r="C484" s="6"/>
      <c r="D484" s="6"/>
      <c r="E484" t="s">
        <v>4</v>
      </c>
      <c r="F484" t="e">
        <f ca="1">_xll.BDH($C$478,"RETURN_COM_EQY","FQ1 2015","FQ1 2015","Currency=INR","Period=FQ","BEST_FPERIOD_OVERRIDE=FQ","FILING_STATUS=OR","EQY_CONSOLIDATED=Y","FA_ADJUSTED=GAAP","Sort=A","Dates=H","DateFormat=P","Fill=—","Direction=H","UseDPDF=Y")</f>
        <v>#NAME?</v>
      </c>
      <c r="G484" t="e">
        <f ca="1">_xll.BDH($C$478,"RETURN_ON_ASSET","FQ1 2015","FQ1 2015","Currency=INR","Period=FQ","BEST_FPERIOD_OVERRIDE=FQ","FILING_STATUS=OR","EQY_CONSOLIDATED=Y","FA_ADJUSTED=GAAP","Sort=A","Dates=H","DateFormat=P","Fill=—","Direction=H","UseDPDF=Y")</f>
        <v>#NAME?</v>
      </c>
      <c r="H484" t="e">
        <f ca="1">_xll.BDH($C$478,"RETURN_ON_CAP","FQ1 2015","FQ1 2015","Currency=INR","Period=FQ","BEST_FPERIOD_OVERRIDE=FQ","FILING_STATUS=OR","EQY_CONSOLIDATED=Y","FA_ADJUSTED=GAAP","Sort=A","Dates=H","DateFormat=P","Fill=—","Direction=H","UseDPDF=Y")</f>
        <v>#NAME?</v>
      </c>
      <c r="I484" t="e">
        <f ca="1">_xll.BDH($C$478,"RETURN_ON_INV_CAPITAL","FQ1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84" t="e">
        <f ca="1">_xll.BDH($C$478,"EBITDA_TO_REVENUE","FQ1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484" t="e">
        <f ca="1">_xll.BDH($C$478,"OPER_MARGIN","FQ1 2015","FQ1 2015","Currency=INR","Period=FQ","BEST_FPERIOD_OVERRIDE=FQ","FILING_STATUS=OR","EQY_CONSOLIDATED=Y","FA_ADJUSTED=GAAP","Sort=A","Dates=H","DateFormat=P","Fill=—","Direction=H","UseDPDF=Y")</f>
        <v>#NAME?</v>
      </c>
      <c r="L484" t="e">
        <f ca="1">_xll.BDH($C$478,"INCREMENTAL_OPERATING_MARGIN","FQ1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84" t="e">
        <f ca="1">_xll.BDH($C$478,"PRETAX_INC_TO_NET_SALES","FQ1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84" t="e">
        <f ca="1">_xll.BDH($C$478,"INC_BEF_XO_ITEMS_TO_NET_SALES","FQ1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84" t="e">
        <f ca="1">_xll.BDH($C$478,"PROF_MARGIN","FQ1 2015","FQ1 2015","Currency=INR","Period=FQ","BEST_FPERIOD_OVERRIDE=FQ","FILING_STATUS=OR","EQY_CONSOLIDATED=Y","FA_ADJUSTED=GAAP","Sort=A","Dates=H","DateFormat=P","Fill=—","Direction=H","UseDPDF=Y")</f>
        <v>#NAME?</v>
      </c>
      <c r="P484" t="e">
        <f ca="1">_xll.BDH($C$478,"NET_INCOME_TO_COMMON_MARGIN","FQ1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84" t="e">
        <f ca="1">_xll.BDH($C$478,"EFF_TAX_RATE","FQ1 2015","FQ1 2015","Currency=INR","Period=FQ","BEST_FPERIOD_OVERRIDE=FQ","FILING_STATUS=OR","EQY_CONSOLIDATED=Y","FA_ADJUSTED=GAAP","Sort=A","Dates=H","DateFormat=P","Fill=—","Direction=H","UseDPDF=Y")</f>
        <v>#NAME?</v>
      </c>
      <c r="R484" t="e">
        <f ca="1">_xll.BDH($C$478,"DVD_PAYOUT_RATIO","FQ1 2015","FQ1 2015","Currency=INR","Period=FQ","BEST_FPERIOD_OVERRIDE=FQ","FILING_STATUS=OR","EQY_CONSOLIDATED=Y","FA_ADJUSTED=GAAP","Sort=A","Dates=H","DateFormat=P","Fill=—","Direction=H","UseDPDF=Y")</f>
        <v>#NAME?</v>
      </c>
      <c r="S484" t="e">
        <f ca="1">_xll.BDH($C$478,"SUSTAIN_GROWTH_RT","FQ1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484" s="1" t="e">
        <f ca="1">_xll.BDH($C$478,"SALES_GROWTH","FQ1 2015","FQ1 2015","Currency=INR","Period=FQ","BEST_FPERIOD_OVERRIDE=FQ","FILING_STATUS=OR","EQY_CONSOLIDATED=Y","FA_ADJUSTED=GAAP","Sort=A","Dates=H","DateFormat=P","Fill=—","Direction=H","UseDPDF=Y")</f>
        <v>#NAME?</v>
      </c>
      <c r="U484" s="1" t="e">
        <f ca="1">_xll.BDH($C$478,"EBITDA_GROWTH","FQ1 2015","FQ1 2015","Currency=INR","Period=FQ","BEST_FPERIOD_OVERRIDE=FQ","FILING_STATUS=OR","EQY_CONSOLIDATED=Y","FA_ADJUSTED=GAAP","Sort=A","Dates=H","DateFormat=P","Fill=—","Direction=H","UseDPDF=Y")</f>
        <v>#NAME?</v>
      </c>
      <c r="V484" s="1" t="e">
        <f ca="1">_xll.BDH($C$478,"OPER_INC_GROWTH","FQ1 2015","FQ1 2015","Currency=INR","Period=FQ","BEST_FPERIOD_OVERRIDE=FQ","FILING_STATUS=OR","EQY_CONSOLIDATED=Y","FA_ADJUSTED=GAAP","Sort=A","Dates=H","DateFormat=P","Fill=—","Direction=H","UseDPDF=Y")</f>
        <v>#NAME?</v>
      </c>
      <c r="W484" s="1" t="e">
        <f ca="1">_xll.BDH($C$478,"EARN_FOR_COM_GROWTH","FQ1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84" s="1" t="e">
        <f ca="1">_xll.BDH($C$478,"DILUTED_EPS_AFT_XO_ITEMS_GROWTH","FQ1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84" s="1" t="e">
        <f ca="1">_xll.BDH($C$478,"DIVIDEND_PER_SHARE_1_YEAR_GROWTH","FQ1 2015","FQ1 2015","Currency=INR","Period=FQ","BEST_FPERIOD_OVERRIDE=FQ","FILING_STATUS=OR","EQY_CONSOLIDATED=Y","Sort=A","Dates=H","DateFormat=P","Fill=—","Direction=H","UseDPDF=Y")</f>
        <v>#NAME?</v>
      </c>
      <c r="Z484" s="1" t="e">
        <f ca="1">_xll.BDH($C$478,"ACCOUNTS_RECEIVABLE_GROWTH","FQ1 2015","FQ1 2015","Currency=INR","Period=FQ","BEST_FPERIOD_OVERRIDE=FQ","FILING_STATUS=OR","EQY_CONSOLIDATED=Y","Sort=A","Dates=H","DateFormat=P","Fill=—","Direction=H","UseDPDF=Y")</f>
        <v>#NAME?</v>
      </c>
      <c r="AA484" s="1" t="e">
        <f ca="1">_xll.BDH($C$478,"INVENTORY_GROWTH","FQ1 2015","FQ1 2015","Currency=INR","Period=FQ","BEST_FPERIOD_OVERRIDE=FQ","FILING_STATUS=OR","EQY_CONSOLIDATED=Y","Sort=A","Dates=H","DateFormat=P","Fill=—","Direction=H","UseDPDF=Y")</f>
        <v>#NAME?</v>
      </c>
      <c r="AB484" s="1" t="e">
        <f ca="1">_xll.BDH($C$478,"NET_FIXED_ASSETS_1_YEAR_GROWTH","FQ1 2015","FQ1 2015","Currency=INR","Period=FQ","BEST_FPERIOD_OVERRIDE=FQ","FILING_STATUS=OR","EQY_CONSOLIDATED=Y","Sort=A","Dates=H","DateFormat=P","Fill=—","Direction=H","UseDPDF=Y")</f>
        <v>#NAME?</v>
      </c>
      <c r="AC484" s="1" t="e">
        <f ca="1">_xll.BDH($C$478,"ASSET_GROWTH","FQ1 2015","FQ1 2015","Currency=INR","Period=FQ","BEST_FPERIOD_OVERRIDE=FQ","FILING_STATUS=OR","EQY_CONSOLIDATED=Y","Sort=A","Dates=H","DateFormat=P","Fill=—","Direction=H","UseDPDF=Y")</f>
        <v>#NAME?</v>
      </c>
      <c r="AD484" s="1" t="e">
        <f ca="1">_xll.BDH($C$478,"MODIFIED_WORK_CAP_GROWTH","FQ1 2015","FQ1 2015","Currency=INR","Period=FQ","BEST_FPERIOD_OVERRIDE=FQ","FILING_STATUS=OR","EQY_CONSOLIDATED=Y","Sort=A","Dates=H","DateFormat=P","Fill=—","Direction=H","UseDPDF=Y")</f>
        <v>#NAME?</v>
      </c>
      <c r="AE484" s="1" t="e">
        <f ca="1">_xll.BDH($C$478,"WORK_CAP_GROWTH","FQ1 2015","FQ1 2015","Currency=INR","Period=FQ","BEST_FPERIOD_OVERRIDE=FQ","FILING_STATUS=OR","EQY_CONSOLIDATED=Y","Sort=A","Dates=H","DateFormat=P","Fill=—","Direction=H","UseDPDF=Y")</f>
        <v>#NAME?</v>
      </c>
      <c r="AF484" s="1" t="e">
        <f ca="1">_xll.BDH($C$478,"ACCOUNTS_PAYABLE_GROWTH_1YR","FQ1 2015","FQ1 2015","Currency=INR","Period=FQ","BEST_FPERIOD_OVERRIDE=FQ","FILING_STATUS=OR","EQY_CONSOLIDATED=Y","Sort=A","Dates=H","DateFormat=P","Fill=—","Direction=H","UseDPDF=Y")</f>
        <v>#NAME?</v>
      </c>
      <c r="AG484" s="1" t="e">
        <f ca="1">_xll.BDH($C$478,"SHORT_TERM_DEBT_1_YEAR_GROWTH","FQ1 2015","FQ1 2015","Currency=INR","Period=FQ","BEST_FPERIOD_OVERRIDE=FQ","FILING_STATUS=OR","EQY_CONSOLIDATED=Y","Sort=A","Dates=H","DateFormat=P","Fill=—","Direction=H","UseDPDF=Y")</f>
        <v>#NAME?</v>
      </c>
      <c r="AH484" s="1" t="e">
        <f ca="1">_xll.BDH($C$478,"TOTAL_DEBT_1_YEAR_GROWTH","FQ1 2015","FQ1 2015","Currency=INR","Period=FQ","BEST_FPERIOD_OVERRIDE=FQ","FILING_STATUS=OR","EQY_CONSOLIDATED=Y","Sort=A","Dates=H","DateFormat=P","Fill=—","Direction=H","UseDPDF=Y")</f>
        <v>#NAME?</v>
      </c>
      <c r="AI484" s="1" t="e">
        <f ca="1">_xll.BDH($C$478,"TOTAL_EQUITY_1_YEAR_GROWTH","FQ1 2015","FQ1 2015","Currency=INR","Period=FQ","BEST_FPERIOD_OVERRIDE=FQ","FILING_STATUS=OR","EQY_CONSOLIDATED=Y","Sort=A","Dates=H","DateFormat=P","Fill=—","Direction=H","UseDPDF=Y")</f>
        <v>#NAME?</v>
      </c>
      <c r="AJ484" s="1" t="e">
        <f ca="1">_xll.BDH($C$478,"GROWTH_IN_CAP","FQ1 2015","FQ1 2015","Currency=INR","Period=FQ","BEST_FPERIOD_OVERRIDE=FQ","FILING_STATUS=OR","EQY_CONSOLIDATED=Y","Sort=A","Dates=H","DateFormat=P","Fill=—","Direction=H","UseDPDF=Y")</f>
        <v>#NAME?</v>
      </c>
      <c r="AK484" s="1" t="e">
        <f ca="1">_xll.BDH($C$478,"BVPS_GROWTH","FQ1 2015","FQ1 2015","Currency=INR","Period=FQ","BEST_FPERIOD_OVERRIDE=FQ","FILING_STATUS=OR","EQY_CONSOLIDATED=Y","Sort=A","Dates=H","DateFormat=P","Fill=—","Direction=H","UseDPDF=Y")</f>
        <v>#NAME?</v>
      </c>
      <c r="AL484" s="1" t="e">
        <f ca="1">_xll.BDH($C$478,"CASH_FLOW_GROWTH","FQ1 2015","FQ1 2015","Currency=INR","Period=FQ","BEST_FPERIOD_OVERRIDE=FQ","FILING_STATUS=OR","EQY_CONSOLIDATED=Y","Sort=A","Dates=H","DateFormat=P","Fill=—","Direction=H","UseDPDF=Y")</f>
        <v>#NAME?</v>
      </c>
      <c r="AM484" s="1" t="e">
        <f ca="1">_xll.BDH($C$478,"GEO_GROW_NET_SALES","FQ1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84" s="1" t="e">
        <f ca="1">_xll.BDH($C$478,"GEO_GROW_EBITDA","FQ1 2015","FQ1 2015","Currency=INR","Period=FQ","BEST_FPERIOD_OVERRIDE=FQ","FILING_STATUS=OR","EQY_CONSOLIDATED=Y","FA_ADJUSTED=GAAP","Sort=A","Dates=H","DateFormat=P","Fill=—","Direction=H","UseDPDF=Y")</f>
        <v>#NAME?</v>
      </c>
      <c r="AO484" s="1" t="e">
        <f ca="1">_xll.BDH($C$478,"GEO_GROW_OPER_INC","FQ1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84" s="1" t="e">
        <f ca="1">_xll.BDH($C$478,"NET_INCOME_TO_COMMON_5_YR_GROWTH","FQ1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84" s="1" t="e">
        <f ca="1">_xll.BDH($C$478,"5Y_GEO_GROWTH_DILUTED_EPS","FQ1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84" s="1" t="e">
        <f ca="1">_xll.BDH($C$478,"GEO_GROW_DVD_PER_SH","FQ1 2015","FQ1 2015","Currency=INR","Period=FQ","BEST_FPERIOD_OVERRIDE=FQ","FILING_STATUS=OR","EQY_CONSOLIDATED=Y","Sort=A","Dates=H","DateFormat=P","Fill=—","Direction=H","UseDPDF=Y")</f>
        <v>#NAME?</v>
      </c>
      <c r="AS484" s="1" t="e">
        <f ca="1">_xll.BDH($C$478,"ACCOUNTS_RECEIVABLE_5_YR_GROWTH","FQ1 2015","FQ1 2015","Currency=INR","Period=FQ","BEST_FPERIOD_OVERRIDE=FQ","FILING_STATUS=OR","EQY_CONSOLIDATED=Y","Sort=A","Dates=H","DateFormat=P","Fill=—","Direction=H","UseDPDF=Y")</f>
        <v>#NAME?</v>
      </c>
      <c r="AT484" s="1" t="e">
        <f ca="1">_xll.BDH($C$478,"INVENTORY_5_YEAR_GROWTH","FQ1 2015","FQ1 2015","Currency=INR","Period=FQ","BEST_FPERIOD_OVERRIDE=FQ","FILING_STATUS=OR","EQY_CONSOLIDATED=Y","Sort=A","Dates=H","DateFormat=P","Fill=—","Direction=H","UseDPDF=Y")</f>
        <v>#NAME?</v>
      </c>
      <c r="AU484" s="1" t="e">
        <f ca="1">_xll.BDH($C$478,"NET_FIXED_ASSETS_5_YEAR_GROWTH","FQ1 2015","FQ1 2015","Currency=INR","Period=FQ","BEST_FPERIOD_OVERRIDE=FQ","FILING_STATUS=OR","EQY_CONSOLIDATED=Y","Sort=A","Dates=H","DateFormat=P","Fill=—","Direction=H","UseDPDF=Y")</f>
        <v>#NAME?</v>
      </c>
      <c r="AV484" s="1" t="e">
        <f ca="1">_xll.BDH($C$478,"GEO_GROW_TOT_ASSET","FQ1 2015","FQ1 2015","Currency=INR","Period=FQ","BEST_FPERIOD_OVERRIDE=FQ","FILING_STATUS=OR","EQY_CONSOLIDATED=Y","Sort=A","Dates=H","DateFormat=P","Fill=—","Direction=H","UseDPDF=Y")</f>
        <v>#NAME?</v>
      </c>
      <c r="AW484" s="1" t="e">
        <f ca="1">_xll.BDH($C$478,"MODIFIED_WORKING_CPTL_5YR_GRWTH","FQ1 2015","FQ1 2015","Currency=INR","Period=FQ","BEST_FPERIOD_OVERRIDE=FQ","FILING_STATUS=OR","EQY_CONSOLIDATED=Y","Sort=A","Dates=H","DateFormat=P","Fill=—","Direction=H","UseDPDF=Y")</f>
        <v>#NAME?</v>
      </c>
      <c r="AX484" s="1" t="e">
        <f ca="1">_xll.BDH($C$478,"WORKING_CAPITAL_5_YEAR_GROWTH","FQ1 2015","FQ1 2015","Currency=INR","Period=FQ","BEST_FPERIOD_OVERRIDE=FQ","FILING_STATUS=OR","EQY_CONSOLIDATED=Y","Sort=A","Dates=H","DateFormat=P","Fill=—","Direction=H","UseDPDF=Y")</f>
        <v>#NAME?</v>
      </c>
      <c r="AY484" s="1" t="e">
        <f ca="1">_xll.BDH($C$478,"ACCOUNTS_PAYABLE_5_YEAR_GROWTH","FQ1 2015","FQ1 2015","Currency=INR","Period=FQ","BEST_FPERIOD_OVERRIDE=FQ","FILING_STATUS=OR","EQY_CONSOLIDATED=Y","Sort=A","Dates=H","DateFormat=P","Fill=—","Direction=H","UseDPDF=Y")</f>
        <v>#NAME?</v>
      </c>
      <c r="AZ484" s="1" t="e">
        <f ca="1">_xll.BDH($C$478,"SHORT_TERM_DEBT_5_YEAR_GROWTH","FQ1 2015","FQ1 2015","Currency=INR","Period=FQ","BEST_FPERIOD_OVERRIDE=FQ","FILING_STATUS=OR","EQY_CONSOLIDATED=Y","Sort=A","Dates=H","DateFormat=P","Fill=—","Direction=H","UseDPDF=Y")</f>
        <v>#NAME?</v>
      </c>
      <c r="BA484" s="1" t="e">
        <f ca="1">_xll.BDH($C$478,"TOTAL_DEBT_5_YEAR_GROWTH","FQ1 2015","FQ1 2015","Currency=INR","Period=FQ","BEST_FPERIOD_OVERRIDE=FQ","FILING_STATUS=OR","EQY_CONSOLIDATED=Y","Sort=A","Dates=H","DateFormat=P","Fill=—","Direction=H","UseDPDF=Y")</f>
        <v>#NAME?</v>
      </c>
      <c r="BB484" s="1" t="e">
        <f ca="1">_xll.BDH($C$478,"GEO_GROW_TOT_SHRHLDR_EQY","FQ1 2015","FQ1 2015","Currency=INR","Period=FQ","BEST_FPERIOD_OVERRIDE=FQ","FILING_STATUS=OR","EQY_CONSOLIDATED=Y","Sort=A","Dates=H","DateFormat=P","Fill=—","Direction=H","UseDPDF=Y")</f>
        <v>#NAME?</v>
      </c>
      <c r="BC484" s="1" t="e">
        <f ca="1">_xll.BDH($C$478,"TOTAL_CAPITAL_5_YEAR_GROWTH","FQ1 2015","FQ1 2015","Currency=INR","Period=FQ","BEST_FPERIOD_OVERRIDE=FQ","FILING_STATUS=OR","EQY_CONSOLIDATED=Y","Sort=A","Dates=H","DateFormat=P","Fill=—","Direction=H","UseDPDF=Y")</f>
        <v>#NAME?</v>
      </c>
      <c r="BD484" s="1" t="e">
        <f ca="1">_xll.BDH($C$478,"GEO_GROW_BOOK_VAL","FQ1 2015","FQ1 2015","Currency=INR","Period=FQ","BEST_FPERIOD_OVERRIDE=FQ","FILING_STATUS=OR","EQY_CONSOLIDATED=Y","Sort=A","Dates=H","DateFormat=P","Fill=—","Direction=H","UseDPDF=Y")</f>
        <v>#NAME?</v>
      </c>
      <c r="BE484" s="1" t="e">
        <f ca="1">_xll.BDH($C$478,"GEO_GROW_CASH_OPER_ACT","FQ1 2015","FQ1 2015","Currency=INR","Period=FQ","BEST_FPERIOD_OVERRIDE=FQ","FILING_STATUS=OR","EQY_CONSOLIDATED=Y","Sort=A","Dates=H","DateFormat=P","Fill=—","Direction=H","UseDPDF=Y")</f>
        <v>#NAME?</v>
      </c>
      <c r="BF484" s="1" t="e">
        <f ca="1">_xll.BDH($C$478,"REVENUE_SEQUENTIAL_GROWTH","FQ1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84" s="1" t="e">
        <f ca="1">_xll.BDH($C$478,"EBITDA_SEQUENTIAL_GROWTH","FQ1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84" s="1" t="e">
        <f ca="1">_xll.BDH($C$478,"OPERATING_INCOME_SEQ_GROWTH","FQ1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84" s="1" t="e">
        <f ca="1">_xll.BDH($C$478,"NET_INCOME_TO_COMMON_SEQ_GROWTH","FQ1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84" s="1" t="e">
        <f ca="1">_xll.BDH($C$478,"EPS_DILUTED_SEQUENTIAL_GROWTH","FQ1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84" s="1" t="e">
        <f ca="1">_xll.BDH($C$478,"DPS_SEQUENTIAL_GROWTH","FQ1 2015","FQ1 2015","Currency=INR","Period=FQ","BEST_FPERIOD_OVERRIDE=FQ","FILING_STATUS=OR","EQY_CONSOLIDATED=Y","Sort=A","Dates=H","DateFormat=P","Fill=—","Direction=H","UseDPDF=Y")</f>
        <v>#NAME?</v>
      </c>
      <c r="BL484" s="1" t="e">
        <f ca="1">_xll.BDH($C$478,"ACCOUNTS_RECEIVABLE_SEQ_GROWTH","FQ1 2015","FQ1 2015","Currency=INR","Period=FQ","BEST_FPERIOD_OVERRIDE=FQ","FILING_STATUS=OR","EQY_CONSOLIDATED=Y","Sort=A","Dates=H","DateFormat=P","Fill=—","Direction=H","UseDPDF=Y")</f>
        <v>#NAME?</v>
      </c>
      <c r="BM484" s="1" t="e">
        <f ca="1">_xll.BDH($C$478,"INVENTORY_SEQUENTIAL_GROWTH","FQ1 2015","FQ1 2015","Currency=INR","Period=FQ","BEST_FPERIOD_OVERRIDE=FQ","FILING_STATUS=OR","EQY_CONSOLIDATED=Y","Sort=A","Dates=H","DateFormat=P","Fill=—","Direction=H","UseDPDF=Y")</f>
        <v>#NAME?</v>
      </c>
      <c r="BN484" s="1" t="e">
        <f ca="1">_xll.BDH($C$478,"FIXED_ASSETS_SEQUENTIAL_GROWTH","FQ1 2015","FQ1 2015","Currency=INR","Period=FQ","BEST_FPERIOD_OVERRIDE=FQ","FILING_STATUS=OR","EQY_CONSOLIDATED=Y","Sort=A","Dates=H","DateFormat=P","Fill=—","Direction=H","UseDPDF=Y")</f>
        <v>#NAME?</v>
      </c>
      <c r="BO484" s="1" t="e">
        <f ca="1">_xll.BDH($C$478,"TOTAL_ASSETS_SEQUENTIAL_GROWTH","FQ1 2015","FQ1 2015","Currency=INR","Period=FQ","BEST_FPERIOD_OVERRIDE=FQ","FILING_STATUS=OR","EQY_CONSOLIDATED=Y","Sort=A","Dates=H","DateFormat=P","Fill=—","Direction=H","UseDPDF=Y")</f>
        <v>#NAME?</v>
      </c>
      <c r="BP484" s="1" t="e">
        <f ca="1">_xll.BDH($C$478,"MODIFIED_WORKING_CPTL_SEQ_GRWTH","FQ1 2015","FQ1 2015","Currency=INR","Period=FQ","BEST_FPERIOD_OVERRIDE=FQ","FILING_STATUS=OR","EQY_CONSOLIDATED=Y","Sort=A","Dates=H","DateFormat=P","Fill=—","Direction=H","UseDPDF=Y")</f>
        <v>#NAME?</v>
      </c>
      <c r="BQ484" s="1" t="e">
        <f ca="1">_xll.BDH($C$478,"WORKING_CAPITAL_SEQ_GROWTH","FQ1 2015","FQ1 2015","Currency=INR","Period=FQ","BEST_FPERIOD_OVERRIDE=FQ","FILING_STATUS=OR","EQY_CONSOLIDATED=Y","Sort=A","Dates=H","DateFormat=P","Fill=—","Direction=H","UseDPDF=Y")</f>
        <v>#NAME?</v>
      </c>
      <c r="BR484" s="1" t="e">
        <f ca="1">_xll.BDH($C$478,"ACCOUNTS_PAYABLE_SEQ_GROWTH","FQ1 2015","FQ1 2015","Currency=INR","Period=FQ","BEST_FPERIOD_OVERRIDE=FQ","FILING_STATUS=OR","EQY_CONSOLIDATED=Y","Sort=A","Dates=H","DateFormat=P","Fill=—","Direction=H","UseDPDF=Y")</f>
        <v>#NAME?</v>
      </c>
      <c r="BS484" s="1" t="e">
        <f ca="1">_xll.BDH($C$478,"ST_DEBT_SEQUENTIAL_GROWTH","FQ1 2015","FQ1 2015","Currency=INR","Period=FQ","BEST_FPERIOD_OVERRIDE=FQ","FILING_STATUS=OR","EQY_CONSOLIDATED=Y","Sort=A","Dates=H","DateFormat=P","Fill=—","Direction=H","UseDPDF=Y")</f>
        <v>#NAME?</v>
      </c>
      <c r="BT484" s="1" t="e">
        <f ca="1">_xll.BDH($C$478,"TOTAL_DEBT_SEQUENTIAL_GROWTH","FQ1 2015","FQ1 2015","Currency=INR","Period=FQ","BEST_FPERIOD_OVERRIDE=FQ","FILING_STATUS=OR","EQY_CONSOLIDATED=Y","Sort=A","Dates=H","DateFormat=P","Fill=—","Direction=H","UseDPDF=Y")</f>
        <v>#NAME?</v>
      </c>
      <c r="BU484" s="1" t="e">
        <f ca="1">_xll.BDH($C$478,"TOTAL_EQUITY_SEQUENTIAL_GROWTH","FQ1 2015","FQ1 2015","Currency=INR","Period=FQ","BEST_FPERIOD_OVERRIDE=FQ","FILING_STATUS=OR","EQY_CONSOLIDATED=Y","Sort=A","Dates=H","DateFormat=P","Fill=—","Direction=H","UseDPDF=Y")</f>
        <v>#NAME?</v>
      </c>
      <c r="BV484" s="1" t="e">
        <f ca="1">_xll.BDH($C$478,"TOTAL_CAPITAL_SEQUENTIAL_GROWTH","FQ1 2015","FQ1 2015","Currency=INR","Period=FQ","BEST_FPERIOD_OVERRIDE=FQ","FILING_STATUS=OR","EQY_CONSOLIDATED=Y","Sort=A","Dates=H","DateFormat=P","Fill=—","Direction=H","UseDPDF=Y")</f>
        <v>#NAME?</v>
      </c>
      <c r="BW484" s="1" t="e">
        <f ca="1">_xll.BDH($C$478,"BPS_SEQUENTIAL_GROWTH","FQ1 2015","FQ1 2015","Currency=INR","Period=FQ","BEST_FPERIOD_OVERRIDE=FQ","FILING_STATUS=OR","EQY_CONSOLIDATED=Y","Sort=A","Dates=H","DateFormat=P","Fill=—","Direction=H","UseDPDF=Y")</f>
        <v>#NAME?</v>
      </c>
      <c r="BX484" s="1" t="e">
        <f ca="1">_xll.BDH($C$478,"CFO_SEQUENTIAL_GROWTH","FQ1 2015","FQ1 2015","Currency=INR","Period=FQ","BEST_FPERIOD_OVERRIDE=FQ","FILING_STATUS=OR","EQY_CONSOLIDATED=Y","Sort=A","Dates=H","DateFormat=P","Fill=—","Direction=H","UseDPDF=Y")</f>
        <v>#NAME?</v>
      </c>
      <c r="BY484" s="2" t="e">
        <f ca="1">_xll.BDH($C$478,"SHORT_AND_LONG_TERM_DEBT","FQ1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84" s="2" t="e">
        <f ca="1">_xll.BDH($C$478,"BS_ST_BORROW","FQ1 2015","FQ1 2015","Currency=INR","Period=FQ","BEST_FPERIOD_OVERRIDE=FQ","FILING_STATUS=OR","EQY_CONSOLIDATED=Y","SCALING_FORMAT=MLN","Sort=A","Dates=H","DateFormat=P","Fill=—","Direction=H","UseDPDF=Y")</f>
        <v>#NAME?</v>
      </c>
      <c r="CA484" s="2" t="e">
        <f ca="1">_xll.BDH($C$478,"BS_LT_BORROW","FQ1 2015","FQ1 2015","Currency=INR","Period=FQ","BEST_FPERIOD_OVERRIDE=FQ","FILING_STATUS=OR","EQY_CONSOLIDATED=Y","SCALING_FORMAT=MLN","Sort=A","Dates=H","DateFormat=P","Fill=—","Direction=H","UseDPDF=Y")</f>
        <v>#NAME?</v>
      </c>
      <c r="CB484" s="1" t="e">
        <f ca="1">_xll.BDH($C$478,"TOT_DEBT_TO_EBITDA","FQ1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84" s="1" t="e">
        <f ca="1">_xll.BDH($C$478,"NET_DEBT_TO_EBITDA","FQ1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84" s="1" t="e">
        <f ca="1">_xll.BDH($C$478,"TOTAL_DEBT_TO_EBIT","FQ1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84" s="1" t="e">
        <f ca="1">_xll.BDH($C$478,"NET_DEBT_TO_EBIT","FQ1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484" s="1" t="e">
        <f ca="1">_xll.BDH($C$478,"EBITDA_TO_INTEREST_EXPN","FQ1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84" s="1" t="e">
        <f ca="1">_xll.BDH($C$478,"COM_EQY_TO_TOT_ASSET","FQ1 2015","FQ1 2015","Currency=INR","Period=FQ","BEST_FPERIOD_OVERRIDE=FQ","FILING_STATUS=OR","EQY_CONSOLIDATED=Y","Sort=A","Dates=H","DateFormat=P","Fill=—","Direction=H","UseDPDF=Y")</f>
        <v>#NAME?</v>
      </c>
      <c r="CH484" s="1" t="e">
        <f ca="1">_xll.BDH($C$478,"LT_DEBT_TO_TOT_EQY","FQ1 2015","FQ1 2015","Currency=INR","Period=FQ","BEST_FPERIOD_OVERRIDE=FQ","FILING_STATUS=OR","EQY_CONSOLIDATED=Y","Sort=A","Dates=H","DateFormat=P","Fill=—","Direction=H","UseDPDF=Y")</f>
        <v>#NAME?</v>
      </c>
      <c r="CI484" s="1" t="e">
        <f ca="1">_xll.BDH($C$478,"LT_DEBT_TO_TOT_CAP","FQ1 2015","FQ1 2015","Currency=INR","Period=FQ","BEST_FPERIOD_OVERRIDE=FQ","FILING_STATUS=OR","EQY_CONSOLIDATED=Y","Sort=A","Dates=H","DateFormat=P","Fill=—","Direction=H","UseDPDF=Y")</f>
        <v>#NAME?</v>
      </c>
      <c r="CJ484" s="1" t="e">
        <f ca="1">_xll.BDH($C$478,"LT_DEBT_TO_TOT_ASSET","FQ1 2015","FQ1 2015","Currency=INR","Period=FQ","BEST_FPERIOD_OVERRIDE=FQ","FILING_STATUS=OR","EQY_CONSOLIDATED=Y","Sort=A","Dates=H","DateFormat=P","Fill=—","Direction=H","UseDPDF=Y")</f>
        <v>#NAME?</v>
      </c>
      <c r="CK484" s="1" t="e">
        <f ca="1">_xll.BDH($C$478,"TOT_DEBT_TO_TOT_EQY","FQ1 2015","FQ1 2015","Currency=INR","Period=FQ","BEST_FPERIOD_OVERRIDE=FQ","FILING_STATUS=OR","EQY_CONSOLIDATED=Y","Sort=A","Dates=H","DateFormat=P","Fill=—","Direction=H","UseDPDF=Y")</f>
        <v>#NAME?</v>
      </c>
      <c r="CL484" s="1" t="e">
        <f ca="1">_xll.BDH($C$478,"TOT_DEBT_TO_TOT_CAP","FQ1 2015","FQ1 2015","Currency=INR","Period=FQ","BEST_FPERIOD_OVERRIDE=FQ","FILING_STATUS=OR","EQY_CONSOLIDATED=Y","Sort=A","Dates=H","DateFormat=P","Fill=—","Direction=H","UseDPDF=Y")</f>
        <v>#NAME?</v>
      </c>
      <c r="CM484" s="1" t="e">
        <f ca="1">_xll.BDH($C$478,"TOT_DEBT_TO_TOT_ASSET","FQ1 2015","FQ1 2015","Currency=INR","Period=FQ","BEST_FPERIOD_OVERRIDE=FQ","FILING_STATUS=OR","EQY_CONSOLIDATED=Y","Sort=A","Dates=H","DateFormat=P","Fill=—","Direction=H","UseDPDF=Y")</f>
        <v>#NAME?</v>
      </c>
      <c r="CN484" s="1" t="e">
        <f ca="1">_xll.BDH($C$478,"NET_DEBT_TO_SHRHLDR_EQTY","FQ1 2015","FQ1 2015","Currency=INR","Period=FQ","BEST_FPERIOD_OVERRIDE=FQ","FILING_STATUS=OR","EQY_CONSOLIDATED=Y","Sort=A","Dates=H","DateFormat=P","Fill=—","Direction=H","UseDPDF=Y")</f>
        <v>#NAME?</v>
      </c>
      <c r="CO484" s="1" t="e">
        <f ca="1">_xll.BDH($C$478,"NET_DEBT_%_CAPITAL","FQ1 2015","FQ1 2015","Currency=INR","Period=FQ","BEST_FPERIOD_OVERRIDE=FQ","FILING_STATUS=OR","EQY_CONSOLIDATED=Y","Sort=A","Dates=H","DateFormat=P","Fill=—","Direction=H","UseDPDF=Y")</f>
        <v>#NAME?</v>
      </c>
      <c r="CP484" s="2" t="e">
        <f ca="1">_xll.BDH($C$478,"EBITDA","FQ1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84" s="2" t="e">
        <f ca="1">_xll.BDH($C$478,"EBITDA_AFTER_CAPEX","FQ1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84" s="2" t="e">
        <f ca="1">_xll.BDH($C$478,"IS_OPER_INC","FQ1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84" s="1" t="e">
        <f ca="1">_xll.BDH($C$478,"CASH_RATIO","FQ1 2015","FQ1 2015","Currency=INR","Period=FQ","BEST_FPERIOD_OVERRIDE=FQ","FILING_STATUS=OR","EQY_CONSOLIDATED=Y","Sort=A","Dates=H","DateFormat=P","Fill=—","Direction=H","UseDPDF=Y")</f>
        <v>#NAME?</v>
      </c>
      <c r="CT484" s="1" t="e">
        <f ca="1">_xll.BDH($C$478,"CUR_RATIO","FQ1 2015","FQ1 2015","Currency=INR","Period=FQ","BEST_FPERIOD_OVERRIDE=FQ","FILING_STATUS=OR","EQY_CONSOLIDATED=Y","Sort=A","Dates=H","DateFormat=P","Fill=—","Direction=H","UseDPDF=Y")</f>
        <v>#NAME?</v>
      </c>
      <c r="CU484" s="1" t="e">
        <f ca="1">_xll.BDH($C$478,"QUICK_RATIO","FQ1 2015","FQ1 2015","Currency=INR","Period=FQ","BEST_FPERIOD_OVERRIDE=FQ","FILING_STATUS=OR","EQY_CONSOLIDATED=Y","Sort=A","Dates=H","DateFormat=P","Fill=—","Direction=H","UseDPDF=Y")</f>
        <v>#NAME?</v>
      </c>
      <c r="CV484" s="1" t="e">
        <f ca="1">_xll.BDH($C$478,"ALTMAN_Z_SCORE","FQ1 2015","FQ1 2015","Currency=INR","Period=FQ","BEST_FPERIOD_OVERRIDE=FQ","FILING_STATUS=OR","EQY_CONSOLIDATED=Y","Sort=A","Dates=H","DateFormat=P","Fill=—","Direction=H","UseDPDF=Y")</f>
        <v>#NAME?</v>
      </c>
      <c r="CW484" s="3" t="e">
        <f ca="1">_xll.BDH($C$478,"ACCT_RCV_TURN","FQ1 2015","FQ1 2015","Currency=INR","Period=FQ","BEST_FPERIOD_OVERRIDE=FQ","FILING_STATUS=OR","EQY_CONSOLIDATED=Y","FA_ADJUSTED=GAAP","Sort=A","Dates=H","DateFormat=P","Fill=—","Direction=H","UseDPDF=Y")</f>
        <v>#NAME?</v>
      </c>
      <c r="CX484" s="1" t="e">
        <f ca="1">_xll.BDH($C$478,"ACCT_RCV_DAYS","FQ1 2015","FQ1 2015","Currency=INR","Period=FQ","BEST_FPERIOD_OVERRIDE=FQ","FILING_STATUS=OR","EQY_CONSOLIDATED=Y","FA_ADJUSTED=GAAP","Sort=A","Dates=H","DateFormat=P","Fill=—","Direction=H","UseDPDF=Y")</f>
        <v>#NAME?</v>
      </c>
      <c r="CY484" s="3" t="e">
        <f ca="1">_xll.BDH($C$478,"INVENT_TURN","FQ1 2015","FQ1 2015","Currency=INR","Period=FQ","BEST_FPERIOD_OVERRIDE=FQ","FILING_STATUS=OR","EQY_CONSOLIDATED=Y","FA_ADJUSTED=GAAP","Sort=A","Dates=H","DateFormat=P","Fill=—","Direction=H","UseDPDF=Y")</f>
        <v>#NAME?</v>
      </c>
      <c r="CZ484" s="1" t="e">
        <f ca="1">_xll.BDH($C$478,"INVENT_DAYS","FQ1 2015","FQ1 2015","Currency=INR","Period=FQ","BEST_FPERIOD_OVERRIDE=FQ","FILING_STATUS=OR","EQY_CONSOLIDATED=Y","FA_ADJUSTED=GAAP","Sort=A","Dates=H","DateFormat=P","Fill=—","Direction=H","UseDPDF=Y")</f>
        <v>#NAME?</v>
      </c>
      <c r="DA484" s="3" t="e">
        <f ca="1">_xll.BDH($C$478,"ACCOUNTS_PAYABLE_TURNOVER","FQ1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84" s="1" t="e">
        <f ca="1">_xll.BDH($C$478,"ACCOUNTS_PAYABLE_TURNOVER_DAYS","FQ1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84" s="3" t="e">
        <f ca="1">_xll.BDH($C$478,"CASH_CONVERSION_CYCLE","FQ1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84" s="3" t="e">
        <f ca="1">_xll.BDH($C$478,"INV_TO_CASH_DAYS","FQ1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484" s="4" t="e">
        <f ca="1">_xll.BDH($C$478,"BS_INVENTORIES","FQ1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484" s="2" t="e">
        <f ca="1">_xll.BDH($C$478,"INVTRY_RAW_MATERIALS","FQ1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84" s="2" t="e">
        <f ca="1">_xll.BDH($C$478,"INVTRY_IN_PROGRESS","FQ1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84" s="2" t="e">
        <f ca="1">_xll.BDH($C$478,"INVTRY_FINISHED_GOODS","FQ1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84" s="2" t="e">
        <f ca="1">_xll.BDH($C$478,"BS_OTHER_INV","FQ1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85" spans="1:113" x14ac:dyDescent="0.3">
      <c r="A485" s="6"/>
      <c r="B485" s="6"/>
      <c r="C485" s="6"/>
      <c r="D485" s="6"/>
      <c r="E485" t="s">
        <v>5</v>
      </c>
      <c r="F485" t="e">
        <f ca="1">_xll.BDH($C$478,"RETURN_COM_EQY","FQ2 2015","FQ2 2015","Currency=INR","Period=FQ","BEST_FPERIOD_OVERRIDE=FQ","FILING_STATUS=OR","EQY_CONSOLIDATED=Y","FA_ADJUSTED=GAAP","Sort=A","Dates=H","DateFormat=P","Fill=—","Direction=H","UseDPDF=Y")</f>
        <v>#NAME?</v>
      </c>
      <c r="G485" t="e">
        <f ca="1">_xll.BDH($C$478,"RETURN_ON_ASSET","FQ2 2015","FQ2 2015","Currency=INR","Period=FQ","BEST_FPERIOD_OVERRIDE=FQ","FILING_STATUS=OR","EQY_CONSOLIDATED=Y","FA_ADJUSTED=GAAP","Sort=A","Dates=H","DateFormat=P","Fill=—","Direction=H","UseDPDF=Y")</f>
        <v>#NAME?</v>
      </c>
      <c r="H485" t="e">
        <f ca="1">_xll.BDH($C$478,"RETURN_ON_CAP","FQ2 2015","FQ2 2015","Currency=INR","Period=FQ","BEST_FPERIOD_OVERRIDE=FQ","FILING_STATUS=OR","EQY_CONSOLIDATED=Y","FA_ADJUSTED=GAAP","Sort=A","Dates=H","DateFormat=P","Fill=—","Direction=H","UseDPDF=Y")</f>
        <v>#NAME?</v>
      </c>
      <c r="I485" t="e">
        <f ca="1">_xll.BDH($C$478,"RETURN_ON_INV_CAPITAL","FQ2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85" t="e">
        <f ca="1">_xll.BDH($C$478,"EBITDA_TO_REVENUE","FQ2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485" t="e">
        <f ca="1">_xll.BDH($C$478,"OPER_MARGIN","FQ2 2015","FQ2 2015","Currency=INR","Period=FQ","BEST_FPERIOD_OVERRIDE=FQ","FILING_STATUS=OR","EQY_CONSOLIDATED=Y","FA_ADJUSTED=GAAP","Sort=A","Dates=H","DateFormat=P","Fill=—","Direction=H","UseDPDF=Y")</f>
        <v>#NAME?</v>
      </c>
      <c r="L485" t="e">
        <f ca="1">_xll.BDH($C$478,"INCREMENTAL_OPERATING_MARGIN","FQ2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85" t="e">
        <f ca="1">_xll.BDH($C$478,"PRETAX_INC_TO_NET_SALES","FQ2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85" t="e">
        <f ca="1">_xll.BDH($C$478,"INC_BEF_XO_ITEMS_TO_NET_SALES","FQ2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85" t="e">
        <f ca="1">_xll.BDH($C$478,"PROF_MARGIN","FQ2 2015","FQ2 2015","Currency=INR","Period=FQ","BEST_FPERIOD_OVERRIDE=FQ","FILING_STATUS=OR","EQY_CONSOLIDATED=Y","FA_ADJUSTED=GAAP","Sort=A","Dates=H","DateFormat=P","Fill=—","Direction=H","UseDPDF=Y")</f>
        <v>#NAME?</v>
      </c>
      <c r="P485" t="e">
        <f ca="1">_xll.BDH($C$478,"NET_INCOME_TO_COMMON_MARGIN","FQ2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85" t="e">
        <f ca="1">_xll.BDH($C$478,"EFF_TAX_RATE","FQ2 2015","FQ2 2015","Currency=INR","Period=FQ","BEST_FPERIOD_OVERRIDE=FQ","FILING_STATUS=OR","EQY_CONSOLIDATED=Y","FA_ADJUSTED=GAAP","Sort=A","Dates=H","DateFormat=P","Fill=—","Direction=H","UseDPDF=Y")</f>
        <v>#NAME?</v>
      </c>
      <c r="R485" t="e">
        <f ca="1">_xll.BDH($C$478,"DVD_PAYOUT_RATIO","FQ2 2015","FQ2 2015","Currency=INR","Period=FQ","BEST_FPERIOD_OVERRIDE=FQ","FILING_STATUS=OR","EQY_CONSOLIDATED=Y","FA_ADJUSTED=GAAP","Sort=A","Dates=H","DateFormat=P","Fill=—","Direction=H","UseDPDF=Y")</f>
        <v>#NAME?</v>
      </c>
      <c r="S485" t="e">
        <f ca="1">_xll.BDH($C$478,"SUSTAIN_GROWTH_RT","FQ2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485" s="1" t="e">
        <f ca="1">_xll.BDH($C$478,"SALES_GROWTH","FQ2 2015","FQ2 2015","Currency=INR","Period=FQ","BEST_FPERIOD_OVERRIDE=FQ","FILING_STATUS=OR","EQY_CONSOLIDATED=Y","FA_ADJUSTED=GAAP","Sort=A","Dates=H","DateFormat=P","Fill=—","Direction=H","UseDPDF=Y")</f>
        <v>#NAME?</v>
      </c>
      <c r="U485" s="1" t="e">
        <f ca="1">_xll.BDH($C$478,"EBITDA_GROWTH","FQ2 2015","FQ2 2015","Currency=INR","Period=FQ","BEST_FPERIOD_OVERRIDE=FQ","FILING_STATUS=OR","EQY_CONSOLIDATED=Y","FA_ADJUSTED=GAAP","Sort=A","Dates=H","DateFormat=P","Fill=—","Direction=H","UseDPDF=Y")</f>
        <v>#NAME?</v>
      </c>
      <c r="V485" s="1" t="e">
        <f ca="1">_xll.BDH($C$478,"OPER_INC_GROWTH","FQ2 2015","FQ2 2015","Currency=INR","Period=FQ","BEST_FPERIOD_OVERRIDE=FQ","FILING_STATUS=OR","EQY_CONSOLIDATED=Y","FA_ADJUSTED=GAAP","Sort=A","Dates=H","DateFormat=P","Fill=—","Direction=H","UseDPDF=Y")</f>
        <v>#NAME?</v>
      </c>
      <c r="W485" s="1" t="e">
        <f ca="1">_xll.BDH($C$478,"EARN_FOR_COM_GROWTH","FQ2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85" s="1" t="e">
        <f ca="1">_xll.BDH($C$478,"DILUTED_EPS_AFT_XO_ITEMS_GROWTH","FQ2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85" s="1" t="e">
        <f ca="1">_xll.BDH($C$478,"DIVIDEND_PER_SHARE_1_YEAR_GROWTH","FQ2 2015","FQ2 2015","Currency=INR","Period=FQ","BEST_FPERIOD_OVERRIDE=FQ","FILING_STATUS=OR","EQY_CONSOLIDATED=Y","Sort=A","Dates=H","DateFormat=P","Fill=—","Direction=H","UseDPDF=Y")</f>
        <v>#NAME?</v>
      </c>
      <c r="Z485" s="1" t="e">
        <f ca="1">_xll.BDH($C$478,"ACCOUNTS_RECEIVABLE_GROWTH","FQ2 2015","FQ2 2015","Currency=INR","Period=FQ","BEST_FPERIOD_OVERRIDE=FQ","FILING_STATUS=OR","EQY_CONSOLIDATED=Y","Sort=A","Dates=H","DateFormat=P","Fill=—","Direction=H","UseDPDF=Y")</f>
        <v>#NAME?</v>
      </c>
      <c r="AA485" s="1" t="e">
        <f ca="1">_xll.BDH($C$478,"INVENTORY_GROWTH","FQ2 2015","FQ2 2015","Currency=INR","Period=FQ","BEST_FPERIOD_OVERRIDE=FQ","FILING_STATUS=OR","EQY_CONSOLIDATED=Y","Sort=A","Dates=H","DateFormat=P","Fill=—","Direction=H","UseDPDF=Y")</f>
        <v>#NAME?</v>
      </c>
      <c r="AB485" s="1" t="e">
        <f ca="1">_xll.BDH($C$478,"NET_FIXED_ASSETS_1_YEAR_GROWTH","FQ2 2015","FQ2 2015","Currency=INR","Period=FQ","BEST_FPERIOD_OVERRIDE=FQ","FILING_STATUS=OR","EQY_CONSOLIDATED=Y","Sort=A","Dates=H","DateFormat=P","Fill=—","Direction=H","UseDPDF=Y")</f>
        <v>#NAME?</v>
      </c>
      <c r="AC485" s="1" t="e">
        <f ca="1">_xll.BDH($C$478,"ASSET_GROWTH","FQ2 2015","FQ2 2015","Currency=INR","Period=FQ","BEST_FPERIOD_OVERRIDE=FQ","FILING_STATUS=OR","EQY_CONSOLIDATED=Y","Sort=A","Dates=H","DateFormat=P","Fill=—","Direction=H","UseDPDF=Y")</f>
        <v>#NAME?</v>
      </c>
      <c r="AD485" s="1" t="e">
        <f ca="1">_xll.BDH($C$478,"MODIFIED_WORK_CAP_GROWTH","FQ2 2015","FQ2 2015","Currency=INR","Period=FQ","BEST_FPERIOD_OVERRIDE=FQ","FILING_STATUS=OR","EQY_CONSOLIDATED=Y","Sort=A","Dates=H","DateFormat=P","Fill=—","Direction=H","UseDPDF=Y")</f>
        <v>#NAME?</v>
      </c>
      <c r="AE485" s="1" t="e">
        <f ca="1">_xll.BDH($C$478,"WORK_CAP_GROWTH","FQ2 2015","FQ2 2015","Currency=INR","Period=FQ","BEST_FPERIOD_OVERRIDE=FQ","FILING_STATUS=OR","EQY_CONSOLIDATED=Y","Sort=A","Dates=H","DateFormat=P","Fill=—","Direction=H","UseDPDF=Y")</f>
        <v>#NAME?</v>
      </c>
      <c r="AF485" s="1" t="e">
        <f ca="1">_xll.BDH($C$478,"ACCOUNTS_PAYABLE_GROWTH_1YR","FQ2 2015","FQ2 2015","Currency=INR","Period=FQ","BEST_FPERIOD_OVERRIDE=FQ","FILING_STATUS=OR","EQY_CONSOLIDATED=Y","Sort=A","Dates=H","DateFormat=P","Fill=—","Direction=H","UseDPDF=Y")</f>
        <v>#NAME?</v>
      </c>
      <c r="AG485" s="1" t="e">
        <f ca="1">_xll.BDH($C$478,"SHORT_TERM_DEBT_1_YEAR_GROWTH","FQ2 2015","FQ2 2015","Currency=INR","Period=FQ","BEST_FPERIOD_OVERRIDE=FQ","FILING_STATUS=OR","EQY_CONSOLIDATED=Y","Sort=A","Dates=H","DateFormat=P","Fill=—","Direction=H","UseDPDF=Y")</f>
        <v>#NAME?</v>
      </c>
      <c r="AH485" s="1" t="e">
        <f ca="1">_xll.BDH($C$478,"TOTAL_DEBT_1_YEAR_GROWTH","FQ2 2015","FQ2 2015","Currency=INR","Period=FQ","BEST_FPERIOD_OVERRIDE=FQ","FILING_STATUS=OR","EQY_CONSOLIDATED=Y","Sort=A","Dates=H","DateFormat=P","Fill=—","Direction=H","UseDPDF=Y")</f>
        <v>#NAME?</v>
      </c>
      <c r="AI485" s="1" t="e">
        <f ca="1">_xll.BDH($C$478,"TOTAL_EQUITY_1_YEAR_GROWTH","FQ2 2015","FQ2 2015","Currency=INR","Period=FQ","BEST_FPERIOD_OVERRIDE=FQ","FILING_STATUS=OR","EQY_CONSOLIDATED=Y","Sort=A","Dates=H","DateFormat=P","Fill=—","Direction=H","UseDPDF=Y")</f>
        <v>#NAME?</v>
      </c>
      <c r="AJ485" s="1" t="e">
        <f ca="1">_xll.BDH($C$478,"GROWTH_IN_CAP","FQ2 2015","FQ2 2015","Currency=INR","Period=FQ","BEST_FPERIOD_OVERRIDE=FQ","FILING_STATUS=OR","EQY_CONSOLIDATED=Y","Sort=A","Dates=H","DateFormat=P","Fill=—","Direction=H","UseDPDF=Y")</f>
        <v>#NAME?</v>
      </c>
      <c r="AK485" s="1" t="e">
        <f ca="1">_xll.BDH($C$478,"BVPS_GROWTH","FQ2 2015","FQ2 2015","Currency=INR","Period=FQ","BEST_FPERIOD_OVERRIDE=FQ","FILING_STATUS=OR","EQY_CONSOLIDATED=Y","Sort=A","Dates=H","DateFormat=P","Fill=—","Direction=H","UseDPDF=Y")</f>
        <v>#NAME?</v>
      </c>
      <c r="AL485" s="1" t="e">
        <f ca="1">_xll.BDH($C$478,"CASH_FLOW_GROWTH","FQ2 2015","FQ2 2015","Currency=INR","Period=FQ","BEST_FPERIOD_OVERRIDE=FQ","FILING_STATUS=OR","EQY_CONSOLIDATED=Y","Sort=A","Dates=H","DateFormat=P","Fill=—","Direction=H","UseDPDF=Y")</f>
        <v>#NAME?</v>
      </c>
      <c r="AM485" s="1" t="e">
        <f ca="1">_xll.BDH($C$478,"GEO_GROW_NET_SALES","FQ2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85" s="1" t="e">
        <f ca="1">_xll.BDH($C$478,"GEO_GROW_EBITDA","FQ2 2015","FQ2 2015","Currency=INR","Period=FQ","BEST_FPERIOD_OVERRIDE=FQ","FILING_STATUS=OR","EQY_CONSOLIDATED=Y","FA_ADJUSTED=GAAP","Sort=A","Dates=H","DateFormat=P","Fill=—","Direction=H","UseDPDF=Y")</f>
        <v>#NAME?</v>
      </c>
      <c r="AO485" s="1" t="e">
        <f ca="1">_xll.BDH($C$478,"GEO_GROW_OPER_INC","FQ2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85" s="1" t="e">
        <f ca="1">_xll.BDH($C$478,"NET_INCOME_TO_COMMON_5_YR_GROWTH","FQ2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85" s="1" t="e">
        <f ca="1">_xll.BDH($C$478,"5Y_GEO_GROWTH_DILUTED_EPS","FQ2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85" s="1" t="e">
        <f ca="1">_xll.BDH($C$478,"GEO_GROW_DVD_PER_SH","FQ2 2015","FQ2 2015","Currency=INR","Period=FQ","BEST_FPERIOD_OVERRIDE=FQ","FILING_STATUS=OR","EQY_CONSOLIDATED=Y","Sort=A","Dates=H","DateFormat=P","Fill=—","Direction=H","UseDPDF=Y")</f>
        <v>#NAME?</v>
      </c>
      <c r="AS485" s="1" t="e">
        <f ca="1">_xll.BDH($C$478,"ACCOUNTS_RECEIVABLE_5_YR_GROWTH","FQ2 2015","FQ2 2015","Currency=INR","Period=FQ","BEST_FPERIOD_OVERRIDE=FQ","FILING_STATUS=OR","EQY_CONSOLIDATED=Y","Sort=A","Dates=H","DateFormat=P","Fill=—","Direction=H","UseDPDF=Y")</f>
        <v>#NAME?</v>
      </c>
      <c r="AT485" s="1" t="e">
        <f ca="1">_xll.BDH($C$478,"INVENTORY_5_YEAR_GROWTH","FQ2 2015","FQ2 2015","Currency=INR","Period=FQ","BEST_FPERIOD_OVERRIDE=FQ","FILING_STATUS=OR","EQY_CONSOLIDATED=Y","Sort=A","Dates=H","DateFormat=P","Fill=—","Direction=H","UseDPDF=Y")</f>
        <v>#NAME?</v>
      </c>
      <c r="AU485" s="1" t="e">
        <f ca="1">_xll.BDH($C$478,"NET_FIXED_ASSETS_5_YEAR_GROWTH","FQ2 2015","FQ2 2015","Currency=INR","Period=FQ","BEST_FPERIOD_OVERRIDE=FQ","FILING_STATUS=OR","EQY_CONSOLIDATED=Y","Sort=A","Dates=H","DateFormat=P","Fill=—","Direction=H","UseDPDF=Y")</f>
        <v>#NAME?</v>
      </c>
      <c r="AV485" s="1" t="e">
        <f ca="1">_xll.BDH($C$478,"GEO_GROW_TOT_ASSET","FQ2 2015","FQ2 2015","Currency=INR","Period=FQ","BEST_FPERIOD_OVERRIDE=FQ","FILING_STATUS=OR","EQY_CONSOLIDATED=Y","Sort=A","Dates=H","DateFormat=P","Fill=—","Direction=H","UseDPDF=Y")</f>
        <v>#NAME?</v>
      </c>
      <c r="AW485" s="1" t="e">
        <f ca="1">_xll.BDH($C$478,"MODIFIED_WORKING_CPTL_5YR_GRWTH","FQ2 2015","FQ2 2015","Currency=INR","Period=FQ","BEST_FPERIOD_OVERRIDE=FQ","FILING_STATUS=OR","EQY_CONSOLIDATED=Y","Sort=A","Dates=H","DateFormat=P","Fill=—","Direction=H","UseDPDF=Y")</f>
        <v>#NAME?</v>
      </c>
      <c r="AX485" s="1" t="e">
        <f ca="1">_xll.BDH($C$478,"WORKING_CAPITAL_5_YEAR_GROWTH","FQ2 2015","FQ2 2015","Currency=INR","Period=FQ","BEST_FPERIOD_OVERRIDE=FQ","FILING_STATUS=OR","EQY_CONSOLIDATED=Y","Sort=A","Dates=H","DateFormat=P","Fill=—","Direction=H","UseDPDF=Y")</f>
        <v>#NAME?</v>
      </c>
      <c r="AY485" s="1" t="e">
        <f ca="1">_xll.BDH($C$478,"ACCOUNTS_PAYABLE_5_YEAR_GROWTH","FQ2 2015","FQ2 2015","Currency=INR","Period=FQ","BEST_FPERIOD_OVERRIDE=FQ","FILING_STATUS=OR","EQY_CONSOLIDATED=Y","Sort=A","Dates=H","DateFormat=P","Fill=—","Direction=H","UseDPDF=Y")</f>
        <v>#NAME?</v>
      </c>
      <c r="AZ485" s="1" t="e">
        <f ca="1">_xll.BDH($C$478,"SHORT_TERM_DEBT_5_YEAR_GROWTH","FQ2 2015","FQ2 2015","Currency=INR","Period=FQ","BEST_FPERIOD_OVERRIDE=FQ","FILING_STATUS=OR","EQY_CONSOLIDATED=Y","Sort=A","Dates=H","DateFormat=P","Fill=—","Direction=H","UseDPDF=Y")</f>
        <v>#NAME?</v>
      </c>
      <c r="BA485" s="1" t="e">
        <f ca="1">_xll.BDH($C$478,"TOTAL_DEBT_5_YEAR_GROWTH","FQ2 2015","FQ2 2015","Currency=INR","Period=FQ","BEST_FPERIOD_OVERRIDE=FQ","FILING_STATUS=OR","EQY_CONSOLIDATED=Y","Sort=A","Dates=H","DateFormat=P","Fill=—","Direction=H","UseDPDF=Y")</f>
        <v>#NAME?</v>
      </c>
      <c r="BB485" s="1" t="e">
        <f ca="1">_xll.BDH($C$478,"GEO_GROW_TOT_SHRHLDR_EQY","FQ2 2015","FQ2 2015","Currency=INR","Period=FQ","BEST_FPERIOD_OVERRIDE=FQ","FILING_STATUS=OR","EQY_CONSOLIDATED=Y","Sort=A","Dates=H","DateFormat=P","Fill=—","Direction=H","UseDPDF=Y")</f>
        <v>#NAME?</v>
      </c>
      <c r="BC485" s="1" t="e">
        <f ca="1">_xll.BDH($C$478,"TOTAL_CAPITAL_5_YEAR_GROWTH","FQ2 2015","FQ2 2015","Currency=INR","Period=FQ","BEST_FPERIOD_OVERRIDE=FQ","FILING_STATUS=OR","EQY_CONSOLIDATED=Y","Sort=A","Dates=H","DateFormat=P","Fill=—","Direction=H","UseDPDF=Y")</f>
        <v>#NAME?</v>
      </c>
      <c r="BD485" s="1" t="e">
        <f ca="1">_xll.BDH($C$478,"GEO_GROW_BOOK_VAL","FQ2 2015","FQ2 2015","Currency=INR","Period=FQ","BEST_FPERIOD_OVERRIDE=FQ","FILING_STATUS=OR","EQY_CONSOLIDATED=Y","Sort=A","Dates=H","DateFormat=P","Fill=—","Direction=H","UseDPDF=Y")</f>
        <v>#NAME?</v>
      </c>
      <c r="BE485" s="1" t="e">
        <f ca="1">_xll.BDH($C$478,"GEO_GROW_CASH_OPER_ACT","FQ2 2015","FQ2 2015","Currency=INR","Period=FQ","BEST_FPERIOD_OVERRIDE=FQ","FILING_STATUS=OR","EQY_CONSOLIDATED=Y","Sort=A","Dates=H","DateFormat=P","Fill=—","Direction=H","UseDPDF=Y")</f>
        <v>#NAME?</v>
      </c>
      <c r="BF485" s="1" t="e">
        <f ca="1">_xll.BDH($C$478,"REVENUE_SEQUENTIAL_GROWTH","FQ2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85" s="1" t="e">
        <f ca="1">_xll.BDH($C$478,"EBITDA_SEQUENTIAL_GROWTH","FQ2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85" s="1" t="e">
        <f ca="1">_xll.BDH($C$478,"OPERATING_INCOME_SEQ_GROWTH","FQ2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85" s="1" t="e">
        <f ca="1">_xll.BDH($C$478,"NET_INCOME_TO_COMMON_SEQ_GROWTH","FQ2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85" s="1" t="e">
        <f ca="1">_xll.BDH($C$478,"EPS_DILUTED_SEQUENTIAL_GROWTH","FQ2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85" s="1" t="e">
        <f ca="1">_xll.BDH($C$478,"DPS_SEQUENTIAL_GROWTH","FQ2 2015","FQ2 2015","Currency=INR","Period=FQ","BEST_FPERIOD_OVERRIDE=FQ","FILING_STATUS=OR","EQY_CONSOLIDATED=Y","Sort=A","Dates=H","DateFormat=P","Fill=—","Direction=H","UseDPDF=Y")</f>
        <v>#NAME?</v>
      </c>
      <c r="BL485" s="1" t="e">
        <f ca="1">_xll.BDH($C$478,"ACCOUNTS_RECEIVABLE_SEQ_GROWTH","FQ2 2015","FQ2 2015","Currency=INR","Period=FQ","BEST_FPERIOD_OVERRIDE=FQ","FILING_STATUS=OR","EQY_CONSOLIDATED=Y","Sort=A","Dates=H","DateFormat=P","Fill=—","Direction=H","UseDPDF=Y")</f>
        <v>#NAME?</v>
      </c>
      <c r="BM485" s="1" t="e">
        <f ca="1">_xll.BDH($C$478,"INVENTORY_SEQUENTIAL_GROWTH","FQ2 2015","FQ2 2015","Currency=INR","Period=FQ","BEST_FPERIOD_OVERRIDE=FQ","FILING_STATUS=OR","EQY_CONSOLIDATED=Y","Sort=A","Dates=H","DateFormat=P","Fill=—","Direction=H","UseDPDF=Y")</f>
        <v>#NAME?</v>
      </c>
      <c r="BN485" s="1" t="e">
        <f ca="1">_xll.BDH($C$478,"FIXED_ASSETS_SEQUENTIAL_GROWTH","FQ2 2015","FQ2 2015","Currency=INR","Period=FQ","BEST_FPERIOD_OVERRIDE=FQ","FILING_STATUS=OR","EQY_CONSOLIDATED=Y","Sort=A","Dates=H","DateFormat=P","Fill=—","Direction=H","UseDPDF=Y")</f>
        <v>#NAME?</v>
      </c>
      <c r="BO485" s="1" t="e">
        <f ca="1">_xll.BDH($C$478,"TOTAL_ASSETS_SEQUENTIAL_GROWTH","FQ2 2015","FQ2 2015","Currency=INR","Period=FQ","BEST_FPERIOD_OVERRIDE=FQ","FILING_STATUS=OR","EQY_CONSOLIDATED=Y","Sort=A","Dates=H","DateFormat=P","Fill=—","Direction=H","UseDPDF=Y")</f>
        <v>#NAME?</v>
      </c>
      <c r="BP485" s="1" t="e">
        <f ca="1">_xll.BDH($C$478,"MODIFIED_WORKING_CPTL_SEQ_GRWTH","FQ2 2015","FQ2 2015","Currency=INR","Period=FQ","BEST_FPERIOD_OVERRIDE=FQ","FILING_STATUS=OR","EQY_CONSOLIDATED=Y","Sort=A","Dates=H","DateFormat=P","Fill=—","Direction=H","UseDPDF=Y")</f>
        <v>#NAME?</v>
      </c>
      <c r="BQ485" s="1" t="e">
        <f ca="1">_xll.BDH($C$478,"WORKING_CAPITAL_SEQ_GROWTH","FQ2 2015","FQ2 2015","Currency=INR","Period=FQ","BEST_FPERIOD_OVERRIDE=FQ","FILING_STATUS=OR","EQY_CONSOLIDATED=Y","Sort=A","Dates=H","DateFormat=P","Fill=—","Direction=H","UseDPDF=Y")</f>
        <v>#NAME?</v>
      </c>
      <c r="BR485" s="1" t="e">
        <f ca="1">_xll.BDH($C$478,"ACCOUNTS_PAYABLE_SEQ_GROWTH","FQ2 2015","FQ2 2015","Currency=INR","Period=FQ","BEST_FPERIOD_OVERRIDE=FQ","FILING_STATUS=OR","EQY_CONSOLIDATED=Y","Sort=A","Dates=H","DateFormat=P","Fill=—","Direction=H","UseDPDF=Y")</f>
        <v>#NAME?</v>
      </c>
      <c r="BS485" s="1" t="e">
        <f ca="1">_xll.BDH($C$478,"ST_DEBT_SEQUENTIAL_GROWTH","FQ2 2015","FQ2 2015","Currency=INR","Period=FQ","BEST_FPERIOD_OVERRIDE=FQ","FILING_STATUS=OR","EQY_CONSOLIDATED=Y","Sort=A","Dates=H","DateFormat=P","Fill=—","Direction=H","UseDPDF=Y")</f>
        <v>#NAME?</v>
      </c>
      <c r="BT485" s="1" t="e">
        <f ca="1">_xll.BDH($C$478,"TOTAL_DEBT_SEQUENTIAL_GROWTH","FQ2 2015","FQ2 2015","Currency=INR","Period=FQ","BEST_FPERIOD_OVERRIDE=FQ","FILING_STATUS=OR","EQY_CONSOLIDATED=Y","Sort=A","Dates=H","DateFormat=P","Fill=—","Direction=H","UseDPDF=Y")</f>
        <v>#NAME?</v>
      </c>
      <c r="BU485" s="1" t="e">
        <f ca="1">_xll.BDH($C$478,"TOTAL_EQUITY_SEQUENTIAL_GROWTH","FQ2 2015","FQ2 2015","Currency=INR","Period=FQ","BEST_FPERIOD_OVERRIDE=FQ","FILING_STATUS=OR","EQY_CONSOLIDATED=Y","Sort=A","Dates=H","DateFormat=P","Fill=—","Direction=H","UseDPDF=Y")</f>
        <v>#NAME?</v>
      </c>
      <c r="BV485" s="1" t="e">
        <f ca="1">_xll.BDH($C$478,"TOTAL_CAPITAL_SEQUENTIAL_GROWTH","FQ2 2015","FQ2 2015","Currency=INR","Period=FQ","BEST_FPERIOD_OVERRIDE=FQ","FILING_STATUS=OR","EQY_CONSOLIDATED=Y","Sort=A","Dates=H","DateFormat=P","Fill=—","Direction=H","UseDPDF=Y")</f>
        <v>#NAME?</v>
      </c>
      <c r="BW485" s="1" t="e">
        <f ca="1">_xll.BDH($C$478,"BPS_SEQUENTIAL_GROWTH","FQ2 2015","FQ2 2015","Currency=INR","Period=FQ","BEST_FPERIOD_OVERRIDE=FQ","FILING_STATUS=OR","EQY_CONSOLIDATED=Y","Sort=A","Dates=H","DateFormat=P","Fill=—","Direction=H","UseDPDF=Y")</f>
        <v>#NAME?</v>
      </c>
      <c r="BX485" s="1" t="e">
        <f ca="1">_xll.BDH($C$478,"CFO_SEQUENTIAL_GROWTH","FQ2 2015","FQ2 2015","Currency=INR","Period=FQ","BEST_FPERIOD_OVERRIDE=FQ","FILING_STATUS=OR","EQY_CONSOLIDATED=Y","Sort=A","Dates=H","DateFormat=P","Fill=—","Direction=H","UseDPDF=Y")</f>
        <v>#NAME?</v>
      </c>
      <c r="BY485" s="2" t="e">
        <f ca="1">_xll.BDH($C$478,"SHORT_AND_LONG_TERM_DEBT","FQ2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85" s="2" t="e">
        <f ca="1">_xll.BDH($C$478,"BS_ST_BORROW","FQ2 2015","FQ2 2015","Currency=INR","Period=FQ","BEST_FPERIOD_OVERRIDE=FQ","FILING_STATUS=OR","EQY_CONSOLIDATED=Y","SCALING_FORMAT=MLN","Sort=A","Dates=H","DateFormat=P","Fill=—","Direction=H","UseDPDF=Y")</f>
        <v>#NAME?</v>
      </c>
      <c r="CA485" s="2" t="e">
        <f ca="1">_xll.BDH($C$478,"BS_LT_BORROW","FQ2 2015","FQ2 2015","Currency=INR","Period=FQ","BEST_FPERIOD_OVERRIDE=FQ","FILING_STATUS=OR","EQY_CONSOLIDATED=Y","SCALING_FORMAT=MLN","Sort=A","Dates=H","DateFormat=P","Fill=—","Direction=H","UseDPDF=Y")</f>
        <v>#NAME?</v>
      </c>
      <c r="CB485" s="1" t="e">
        <f ca="1">_xll.BDH($C$478,"TOT_DEBT_TO_EBITDA","FQ2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85" s="1" t="e">
        <f ca="1">_xll.BDH($C$478,"NET_DEBT_TO_EBITDA","FQ2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85" s="1" t="e">
        <f ca="1">_xll.BDH($C$478,"TOTAL_DEBT_TO_EBIT","FQ2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85" s="1" t="e">
        <f ca="1">_xll.BDH($C$478,"NET_DEBT_TO_EBIT","FQ2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485" s="1" t="e">
        <f ca="1">_xll.BDH($C$478,"EBITDA_TO_INTEREST_EXPN","FQ2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85" s="1" t="e">
        <f ca="1">_xll.BDH($C$478,"COM_EQY_TO_TOT_ASSET","FQ2 2015","FQ2 2015","Currency=INR","Period=FQ","BEST_FPERIOD_OVERRIDE=FQ","FILING_STATUS=OR","EQY_CONSOLIDATED=Y","Sort=A","Dates=H","DateFormat=P","Fill=—","Direction=H","UseDPDF=Y")</f>
        <v>#NAME?</v>
      </c>
      <c r="CH485" s="1" t="e">
        <f ca="1">_xll.BDH($C$478,"LT_DEBT_TO_TOT_EQY","FQ2 2015","FQ2 2015","Currency=INR","Period=FQ","BEST_FPERIOD_OVERRIDE=FQ","FILING_STATUS=OR","EQY_CONSOLIDATED=Y","Sort=A","Dates=H","DateFormat=P","Fill=—","Direction=H","UseDPDF=Y")</f>
        <v>#NAME?</v>
      </c>
      <c r="CI485" s="1" t="e">
        <f ca="1">_xll.BDH($C$478,"LT_DEBT_TO_TOT_CAP","FQ2 2015","FQ2 2015","Currency=INR","Period=FQ","BEST_FPERIOD_OVERRIDE=FQ","FILING_STATUS=OR","EQY_CONSOLIDATED=Y","Sort=A","Dates=H","DateFormat=P","Fill=—","Direction=H","UseDPDF=Y")</f>
        <v>#NAME?</v>
      </c>
      <c r="CJ485" s="1" t="e">
        <f ca="1">_xll.BDH($C$478,"LT_DEBT_TO_TOT_ASSET","FQ2 2015","FQ2 2015","Currency=INR","Period=FQ","BEST_FPERIOD_OVERRIDE=FQ","FILING_STATUS=OR","EQY_CONSOLIDATED=Y","Sort=A","Dates=H","DateFormat=P","Fill=—","Direction=H","UseDPDF=Y")</f>
        <v>#NAME?</v>
      </c>
      <c r="CK485" s="1" t="e">
        <f ca="1">_xll.BDH($C$478,"TOT_DEBT_TO_TOT_EQY","FQ2 2015","FQ2 2015","Currency=INR","Period=FQ","BEST_FPERIOD_OVERRIDE=FQ","FILING_STATUS=OR","EQY_CONSOLIDATED=Y","Sort=A","Dates=H","DateFormat=P","Fill=—","Direction=H","UseDPDF=Y")</f>
        <v>#NAME?</v>
      </c>
      <c r="CL485" s="1" t="e">
        <f ca="1">_xll.BDH($C$478,"TOT_DEBT_TO_TOT_CAP","FQ2 2015","FQ2 2015","Currency=INR","Period=FQ","BEST_FPERIOD_OVERRIDE=FQ","FILING_STATUS=OR","EQY_CONSOLIDATED=Y","Sort=A","Dates=H","DateFormat=P","Fill=—","Direction=H","UseDPDF=Y")</f>
        <v>#NAME?</v>
      </c>
      <c r="CM485" s="1" t="e">
        <f ca="1">_xll.BDH($C$478,"TOT_DEBT_TO_TOT_ASSET","FQ2 2015","FQ2 2015","Currency=INR","Period=FQ","BEST_FPERIOD_OVERRIDE=FQ","FILING_STATUS=OR","EQY_CONSOLIDATED=Y","Sort=A","Dates=H","DateFormat=P","Fill=—","Direction=H","UseDPDF=Y")</f>
        <v>#NAME?</v>
      </c>
      <c r="CN485" s="1" t="e">
        <f ca="1">_xll.BDH($C$478,"NET_DEBT_TO_SHRHLDR_EQTY","FQ2 2015","FQ2 2015","Currency=INR","Period=FQ","BEST_FPERIOD_OVERRIDE=FQ","FILING_STATUS=OR","EQY_CONSOLIDATED=Y","Sort=A","Dates=H","DateFormat=P","Fill=—","Direction=H","UseDPDF=Y")</f>
        <v>#NAME?</v>
      </c>
      <c r="CO485" s="1" t="e">
        <f ca="1">_xll.BDH($C$478,"NET_DEBT_%_CAPITAL","FQ2 2015","FQ2 2015","Currency=INR","Period=FQ","BEST_FPERIOD_OVERRIDE=FQ","FILING_STATUS=OR","EQY_CONSOLIDATED=Y","Sort=A","Dates=H","DateFormat=P","Fill=—","Direction=H","UseDPDF=Y")</f>
        <v>#NAME?</v>
      </c>
      <c r="CP485" s="2" t="e">
        <f ca="1">_xll.BDH($C$478,"EBITDA","FQ2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85" s="2" t="e">
        <f ca="1">_xll.BDH($C$478,"EBITDA_AFTER_CAPEX","FQ2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85" s="2" t="e">
        <f ca="1">_xll.BDH($C$478,"IS_OPER_INC","FQ2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85" s="1" t="e">
        <f ca="1">_xll.BDH($C$478,"CASH_RATIO","FQ2 2015","FQ2 2015","Currency=INR","Period=FQ","BEST_FPERIOD_OVERRIDE=FQ","FILING_STATUS=OR","EQY_CONSOLIDATED=Y","Sort=A","Dates=H","DateFormat=P","Fill=—","Direction=H","UseDPDF=Y")</f>
        <v>#NAME?</v>
      </c>
      <c r="CT485" s="1" t="e">
        <f ca="1">_xll.BDH($C$478,"CUR_RATIO","FQ2 2015","FQ2 2015","Currency=INR","Period=FQ","BEST_FPERIOD_OVERRIDE=FQ","FILING_STATUS=OR","EQY_CONSOLIDATED=Y","Sort=A","Dates=H","DateFormat=P","Fill=—","Direction=H","UseDPDF=Y")</f>
        <v>#NAME?</v>
      </c>
      <c r="CU485" s="1" t="e">
        <f ca="1">_xll.BDH($C$478,"QUICK_RATIO","FQ2 2015","FQ2 2015","Currency=INR","Period=FQ","BEST_FPERIOD_OVERRIDE=FQ","FILING_STATUS=OR","EQY_CONSOLIDATED=Y","Sort=A","Dates=H","DateFormat=P","Fill=—","Direction=H","UseDPDF=Y")</f>
        <v>#NAME?</v>
      </c>
      <c r="CV485" s="1" t="e">
        <f ca="1">_xll.BDH($C$478,"ALTMAN_Z_SCORE","FQ2 2015","FQ2 2015","Currency=INR","Period=FQ","BEST_FPERIOD_OVERRIDE=FQ","FILING_STATUS=OR","EQY_CONSOLIDATED=Y","Sort=A","Dates=H","DateFormat=P","Fill=—","Direction=H","UseDPDF=Y")</f>
        <v>#NAME?</v>
      </c>
      <c r="CW485" s="3" t="e">
        <f ca="1">_xll.BDH($C$478,"ACCT_RCV_TURN","FQ2 2015","FQ2 2015","Currency=INR","Period=FQ","BEST_FPERIOD_OVERRIDE=FQ","FILING_STATUS=OR","EQY_CONSOLIDATED=Y","FA_ADJUSTED=GAAP","Sort=A","Dates=H","DateFormat=P","Fill=—","Direction=H","UseDPDF=Y")</f>
        <v>#NAME?</v>
      </c>
      <c r="CX485" s="1" t="e">
        <f ca="1">_xll.BDH($C$478,"ACCT_RCV_DAYS","FQ2 2015","FQ2 2015","Currency=INR","Period=FQ","BEST_FPERIOD_OVERRIDE=FQ","FILING_STATUS=OR","EQY_CONSOLIDATED=Y","FA_ADJUSTED=GAAP","Sort=A","Dates=H","DateFormat=P","Fill=—","Direction=H","UseDPDF=Y")</f>
        <v>#NAME?</v>
      </c>
      <c r="CY485" s="3" t="e">
        <f ca="1">_xll.BDH($C$478,"INVENT_TURN","FQ2 2015","FQ2 2015","Currency=INR","Period=FQ","BEST_FPERIOD_OVERRIDE=FQ","FILING_STATUS=OR","EQY_CONSOLIDATED=Y","FA_ADJUSTED=GAAP","Sort=A","Dates=H","DateFormat=P","Fill=—","Direction=H","UseDPDF=Y")</f>
        <v>#NAME?</v>
      </c>
      <c r="CZ485" s="1" t="e">
        <f ca="1">_xll.BDH($C$478,"INVENT_DAYS","FQ2 2015","FQ2 2015","Currency=INR","Period=FQ","BEST_FPERIOD_OVERRIDE=FQ","FILING_STATUS=OR","EQY_CONSOLIDATED=Y","FA_ADJUSTED=GAAP","Sort=A","Dates=H","DateFormat=P","Fill=—","Direction=H","UseDPDF=Y")</f>
        <v>#NAME?</v>
      </c>
      <c r="DA485" s="3" t="e">
        <f ca="1">_xll.BDH($C$478,"ACCOUNTS_PAYABLE_TURNOVER","FQ2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85" s="1" t="e">
        <f ca="1">_xll.BDH($C$478,"ACCOUNTS_PAYABLE_TURNOVER_DAYS","FQ2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85" s="3" t="e">
        <f ca="1">_xll.BDH($C$478,"CASH_CONVERSION_CYCLE","FQ2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85" s="3" t="e">
        <f ca="1">_xll.BDH($C$478,"INV_TO_CASH_DAYS","FQ2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485" s="4" t="e">
        <f ca="1">_xll.BDH($C$478,"BS_INVENTORIES","FQ2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485" s="2" t="e">
        <f ca="1">_xll.BDH($C$478,"INVTRY_RAW_MATERIALS","FQ2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85" s="2" t="e">
        <f ca="1">_xll.BDH($C$478,"INVTRY_IN_PROGRESS","FQ2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85" s="2" t="e">
        <f ca="1">_xll.BDH($C$478,"INVTRY_FINISHED_GOODS","FQ2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85" s="2" t="e">
        <f ca="1">_xll.BDH($C$478,"BS_OTHER_INV","FQ2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86" spans="1:113" x14ac:dyDescent="0.3">
      <c r="A486" s="6"/>
      <c r="B486" s="6"/>
      <c r="C486" s="6"/>
      <c r="D486" s="6"/>
      <c r="E486" t="s">
        <v>6</v>
      </c>
      <c r="F486" t="e">
        <f ca="1">_xll.BDH($C$478,"RETURN_COM_EQY","FQ3 2015","FQ3 2015","Currency=INR","Period=FQ","BEST_FPERIOD_OVERRIDE=FQ","FILING_STATUS=OR","EQY_CONSOLIDATED=Y","FA_ADJUSTED=GAAP","Sort=A","Dates=H","DateFormat=P","Fill=—","Direction=H","UseDPDF=Y")</f>
        <v>#NAME?</v>
      </c>
      <c r="G486" t="e">
        <f ca="1">_xll.BDH($C$478,"RETURN_ON_ASSET","FQ3 2015","FQ3 2015","Currency=INR","Period=FQ","BEST_FPERIOD_OVERRIDE=FQ","FILING_STATUS=OR","EQY_CONSOLIDATED=Y","FA_ADJUSTED=GAAP","Sort=A","Dates=H","DateFormat=P","Fill=—","Direction=H","UseDPDF=Y")</f>
        <v>#NAME?</v>
      </c>
      <c r="H486" t="e">
        <f ca="1">_xll.BDH($C$478,"RETURN_ON_CAP","FQ3 2015","FQ3 2015","Currency=INR","Period=FQ","BEST_FPERIOD_OVERRIDE=FQ","FILING_STATUS=OR","EQY_CONSOLIDATED=Y","FA_ADJUSTED=GAAP","Sort=A","Dates=H","DateFormat=P","Fill=—","Direction=H","UseDPDF=Y")</f>
        <v>#NAME?</v>
      </c>
      <c r="I486" t="e">
        <f ca="1">_xll.BDH($C$478,"RETURN_ON_INV_CAPITAL","FQ3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86" t="e">
        <f ca="1">_xll.BDH($C$478,"EBITDA_TO_REVENUE","FQ3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486" t="e">
        <f ca="1">_xll.BDH($C$478,"OPER_MARGIN","FQ3 2015","FQ3 2015","Currency=INR","Period=FQ","BEST_FPERIOD_OVERRIDE=FQ","FILING_STATUS=OR","EQY_CONSOLIDATED=Y","FA_ADJUSTED=GAAP","Sort=A","Dates=H","DateFormat=P","Fill=—","Direction=H","UseDPDF=Y")</f>
        <v>#NAME?</v>
      </c>
      <c r="L486" t="e">
        <f ca="1">_xll.BDH($C$478,"INCREMENTAL_OPERATING_MARGIN","FQ3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86" t="e">
        <f ca="1">_xll.BDH($C$478,"PRETAX_INC_TO_NET_SALES","FQ3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86" t="e">
        <f ca="1">_xll.BDH($C$478,"INC_BEF_XO_ITEMS_TO_NET_SALES","FQ3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86" t="e">
        <f ca="1">_xll.BDH($C$478,"PROF_MARGIN","FQ3 2015","FQ3 2015","Currency=INR","Period=FQ","BEST_FPERIOD_OVERRIDE=FQ","FILING_STATUS=OR","EQY_CONSOLIDATED=Y","FA_ADJUSTED=GAAP","Sort=A","Dates=H","DateFormat=P","Fill=—","Direction=H","UseDPDF=Y")</f>
        <v>#NAME?</v>
      </c>
      <c r="P486" t="e">
        <f ca="1">_xll.BDH($C$478,"NET_INCOME_TO_COMMON_MARGIN","FQ3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86" t="e">
        <f ca="1">_xll.BDH($C$478,"EFF_TAX_RATE","FQ3 2015","FQ3 2015","Currency=INR","Period=FQ","BEST_FPERIOD_OVERRIDE=FQ","FILING_STATUS=OR","EQY_CONSOLIDATED=Y","FA_ADJUSTED=GAAP","Sort=A","Dates=H","DateFormat=P","Fill=—","Direction=H","UseDPDF=Y")</f>
        <v>#NAME?</v>
      </c>
      <c r="R486" t="e">
        <f ca="1">_xll.BDH($C$478,"DVD_PAYOUT_RATIO","FQ3 2015","FQ3 2015","Currency=INR","Period=FQ","BEST_FPERIOD_OVERRIDE=FQ","FILING_STATUS=OR","EQY_CONSOLIDATED=Y","FA_ADJUSTED=GAAP","Sort=A","Dates=H","DateFormat=P","Fill=—","Direction=H","UseDPDF=Y")</f>
        <v>#NAME?</v>
      </c>
      <c r="S486" t="e">
        <f ca="1">_xll.BDH($C$478,"SUSTAIN_GROWTH_RT","FQ3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486" s="1" t="e">
        <f ca="1">_xll.BDH($C$478,"SALES_GROWTH","FQ3 2015","FQ3 2015","Currency=INR","Period=FQ","BEST_FPERIOD_OVERRIDE=FQ","FILING_STATUS=OR","EQY_CONSOLIDATED=Y","FA_ADJUSTED=GAAP","Sort=A","Dates=H","DateFormat=P","Fill=—","Direction=H","UseDPDF=Y")</f>
        <v>#NAME?</v>
      </c>
      <c r="U486" s="1" t="e">
        <f ca="1">_xll.BDH($C$478,"EBITDA_GROWTH","FQ3 2015","FQ3 2015","Currency=INR","Period=FQ","BEST_FPERIOD_OVERRIDE=FQ","FILING_STATUS=OR","EQY_CONSOLIDATED=Y","FA_ADJUSTED=GAAP","Sort=A","Dates=H","DateFormat=P","Fill=—","Direction=H","UseDPDF=Y")</f>
        <v>#NAME?</v>
      </c>
      <c r="V486" s="1" t="e">
        <f ca="1">_xll.BDH($C$478,"OPER_INC_GROWTH","FQ3 2015","FQ3 2015","Currency=INR","Period=FQ","BEST_FPERIOD_OVERRIDE=FQ","FILING_STATUS=OR","EQY_CONSOLIDATED=Y","FA_ADJUSTED=GAAP","Sort=A","Dates=H","DateFormat=P","Fill=—","Direction=H","UseDPDF=Y")</f>
        <v>#NAME?</v>
      </c>
      <c r="W486" s="1" t="e">
        <f ca="1">_xll.BDH($C$478,"EARN_FOR_COM_GROWTH","FQ3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86" s="1" t="e">
        <f ca="1">_xll.BDH($C$478,"DILUTED_EPS_AFT_XO_ITEMS_GROWTH","FQ3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86" s="1" t="e">
        <f ca="1">_xll.BDH($C$478,"DIVIDEND_PER_SHARE_1_YEAR_GROWTH","FQ3 2015","FQ3 2015","Currency=INR","Period=FQ","BEST_FPERIOD_OVERRIDE=FQ","FILING_STATUS=OR","EQY_CONSOLIDATED=Y","Sort=A","Dates=H","DateFormat=P","Fill=—","Direction=H","UseDPDF=Y")</f>
        <v>#NAME?</v>
      </c>
      <c r="Z486" s="1" t="e">
        <f ca="1">_xll.BDH($C$478,"ACCOUNTS_RECEIVABLE_GROWTH","FQ3 2015","FQ3 2015","Currency=INR","Period=FQ","BEST_FPERIOD_OVERRIDE=FQ","FILING_STATUS=OR","EQY_CONSOLIDATED=Y","Sort=A","Dates=H","DateFormat=P","Fill=—","Direction=H","UseDPDF=Y")</f>
        <v>#NAME?</v>
      </c>
      <c r="AA486" s="1" t="e">
        <f ca="1">_xll.BDH($C$478,"INVENTORY_GROWTH","FQ3 2015","FQ3 2015","Currency=INR","Period=FQ","BEST_FPERIOD_OVERRIDE=FQ","FILING_STATUS=OR","EQY_CONSOLIDATED=Y","Sort=A","Dates=H","DateFormat=P","Fill=—","Direction=H","UseDPDF=Y")</f>
        <v>#NAME?</v>
      </c>
      <c r="AB486" s="1" t="e">
        <f ca="1">_xll.BDH($C$478,"NET_FIXED_ASSETS_1_YEAR_GROWTH","FQ3 2015","FQ3 2015","Currency=INR","Period=FQ","BEST_FPERIOD_OVERRIDE=FQ","FILING_STATUS=OR","EQY_CONSOLIDATED=Y","Sort=A","Dates=H","DateFormat=P","Fill=—","Direction=H","UseDPDF=Y")</f>
        <v>#NAME?</v>
      </c>
      <c r="AC486" s="1" t="e">
        <f ca="1">_xll.BDH($C$478,"ASSET_GROWTH","FQ3 2015","FQ3 2015","Currency=INR","Period=FQ","BEST_FPERIOD_OVERRIDE=FQ","FILING_STATUS=OR","EQY_CONSOLIDATED=Y","Sort=A","Dates=H","DateFormat=P","Fill=—","Direction=H","UseDPDF=Y")</f>
        <v>#NAME?</v>
      </c>
      <c r="AD486" s="1" t="e">
        <f ca="1">_xll.BDH($C$478,"MODIFIED_WORK_CAP_GROWTH","FQ3 2015","FQ3 2015","Currency=INR","Period=FQ","BEST_FPERIOD_OVERRIDE=FQ","FILING_STATUS=OR","EQY_CONSOLIDATED=Y","Sort=A","Dates=H","DateFormat=P","Fill=—","Direction=H","UseDPDF=Y")</f>
        <v>#NAME?</v>
      </c>
      <c r="AE486" s="1" t="e">
        <f ca="1">_xll.BDH($C$478,"WORK_CAP_GROWTH","FQ3 2015","FQ3 2015","Currency=INR","Period=FQ","BEST_FPERIOD_OVERRIDE=FQ","FILING_STATUS=OR","EQY_CONSOLIDATED=Y","Sort=A","Dates=H","DateFormat=P","Fill=—","Direction=H","UseDPDF=Y")</f>
        <v>#NAME?</v>
      </c>
      <c r="AF486" s="1" t="e">
        <f ca="1">_xll.BDH($C$478,"ACCOUNTS_PAYABLE_GROWTH_1YR","FQ3 2015","FQ3 2015","Currency=INR","Period=FQ","BEST_FPERIOD_OVERRIDE=FQ","FILING_STATUS=OR","EQY_CONSOLIDATED=Y","Sort=A","Dates=H","DateFormat=P","Fill=—","Direction=H","UseDPDF=Y")</f>
        <v>#NAME?</v>
      </c>
      <c r="AG486" s="1" t="e">
        <f ca="1">_xll.BDH($C$478,"SHORT_TERM_DEBT_1_YEAR_GROWTH","FQ3 2015","FQ3 2015","Currency=INR","Period=FQ","BEST_FPERIOD_OVERRIDE=FQ","FILING_STATUS=OR","EQY_CONSOLIDATED=Y","Sort=A","Dates=H","DateFormat=P","Fill=—","Direction=H","UseDPDF=Y")</f>
        <v>#NAME?</v>
      </c>
      <c r="AH486" s="1" t="e">
        <f ca="1">_xll.BDH($C$478,"TOTAL_DEBT_1_YEAR_GROWTH","FQ3 2015","FQ3 2015","Currency=INR","Period=FQ","BEST_FPERIOD_OVERRIDE=FQ","FILING_STATUS=OR","EQY_CONSOLIDATED=Y","Sort=A","Dates=H","DateFormat=P","Fill=—","Direction=H","UseDPDF=Y")</f>
        <v>#NAME?</v>
      </c>
      <c r="AI486" s="1" t="e">
        <f ca="1">_xll.BDH($C$478,"TOTAL_EQUITY_1_YEAR_GROWTH","FQ3 2015","FQ3 2015","Currency=INR","Period=FQ","BEST_FPERIOD_OVERRIDE=FQ","FILING_STATUS=OR","EQY_CONSOLIDATED=Y","Sort=A","Dates=H","DateFormat=P","Fill=—","Direction=H","UseDPDF=Y")</f>
        <v>#NAME?</v>
      </c>
      <c r="AJ486" s="1" t="e">
        <f ca="1">_xll.BDH($C$478,"GROWTH_IN_CAP","FQ3 2015","FQ3 2015","Currency=INR","Period=FQ","BEST_FPERIOD_OVERRIDE=FQ","FILING_STATUS=OR","EQY_CONSOLIDATED=Y","Sort=A","Dates=H","DateFormat=P","Fill=—","Direction=H","UseDPDF=Y")</f>
        <v>#NAME?</v>
      </c>
      <c r="AK486" s="1" t="e">
        <f ca="1">_xll.BDH($C$478,"BVPS_GROWTH","FQ3 2015","FQ3 2015","Currency=INR","Period=FQ","BEST_FPERIOD_OVERRIDE=FQ","FILING_STATUS=OR","EQY_CONSOLIDATED=Y","Sort=A","Dates=H","DateFormat=P","Fill=—","Direction=H","UseDPDF=Y")</f>
        <v>#NAME?</v>
      </c>
      <c r="AL486" s="1" t="e">
        <f ca="1">_xll.BDH($C$478,"CASH_FLOW_GROWTH","FQ3 2015","FQ3 2015","Currency=INR","Period=FQ","BEST_FPERIOD_OVERRIDE=FQ","FILING_STATUS=OR","EQY_CONSOLIDATED=Y","Sort=A","Dates=H","DateFormat=P","Fill=—","Direction=H","UseDPDF=Y")</f>
        <v>#NAME?</v>
      </c>
      <c r="AM486" s="1" t="e">
        <f ca="1">_xll.BDH($C$478,"GEO_GROW_NET_SALES","FQ3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86" s="1" t="e">
        <f ca="1">_xll.BDH($C$478,"GEO_GROW_EBITDA","FQ3 2015","FQ3 2015","Currency=INR","Period=FQ","BEST_FPERIOD_OVERRIDE=FQ","FILING_STATUS=OR","EQY_CONSOLIDATED=Y","FA_ADJUSTED=GAAP","Sort=A","Dates=H","DateFormat=P","Fill=—","Direction=H","UseDPDF=Y")</f>
        <v>#NAME?</v>
      </c>
      <c r="AO486" s="1" t="e">
        <f ca="1">_xll.BDH($C$478,"GEO_GROW_OPER_INC","FQ3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86" s="1" t="e">
        <f ca="1">_xll.BDH($C$478,"NET_INCOME_TO_COMMON_5_YR_GROWTH","FQ3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86" s="1" t="e">
        <f ca="1">_xll.BDH($C$478,"5Y_GEO_GROWTH_DILUTED_EPS","FQ3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86" s="1" t="e">
        <f ca="1">_xll.BDH($C$478,"GEO_GROW_DVD_PER_SH","FQ3 2015","FQ3 2015","Currency=INR","Period=FQ","BEST_FPERIOD_OVERRIDE=FQ","FILING_STATUS=OR","EQY_CONSOLIDATED=Y","Sort=A","Dates=H","DateFormat=P","Fill=—","Direction=H","UseDPDF=Y")</f>
        <v>#NAME?</v>
      </c>
      <c r="AS486" s="1" t="e">
        <f ca="1">_xll.BDH($C$478,"ACCOUNTS_RECEIVABLE_5_YR_GROWTH","FQ3 2015","FQ3 2015","Currency=INR","Period=FQ","BEST_FPERIOD_OVERRIDE=FQ","FILING_STATUS=OR","EQY_CONSOLIDATED=Y","Sort=A","Dates=H","DateFormat=P","Fill=—","Direction=H","UseDPDF=Y")</f>
        <v>#NAME?</v>
      </c>
      <c r="AT486" s="1" t="e">
        <f ca="1">_xll.BDH($C$478,"INVENTORY_5_YEAR_GROWTH","FQ3 2015","FQ3 2015","Currency=INR","Period=FQ","BEST_FPERIOD_OVERRIDE=FQ","FILING_STATUS=OR","EQY_CONSOLIDATED=Y","Sort=A","Dates=H","DateFormat=P","Fill=—","Direction=H","UseDPDF=Y")</f>
        <v>#NAME?</v>
      </c>
      <c r="AU486" s="1" t="e">
        <f ca="1">_xll.BDH($C$478,"NET_FIXED_ASSETS_5_YEAR_GROWTH","FQ3 2015","FQ3 2015","Currency=INR","Period=FQ","BEST_FPERIOD_OVERRIDE=FQ","FILING_STATUS=OR","EQY_CONSOLIDATED=Y","Sort=A","Dates=H","DateFormat=P","Fill=—","Direction=H","UseDPDF=Y")</f>
        <v>#NAME?</v>
      </c>
      <c r="AV486" s="1" t="e">
        <f ca="1">_xll.BDH($C$478,"GEO_GROW_TOT_ASSET","FQ3 2015","FQ3 2015","Currency=INR","Period=FQ","BEST_FPERIOD_OVERRIDE=FQ","FILING_STATUS=OR","EQY_CONSOLIDATED=Y","Sort=A","Dates=H","DateFormat=P","Fill=—","Direction=H","UseDPDF=Y")</f>
        <v>#NAME?</v>
      </c>
      <c r="AW486" s="1" t="e">
        <f ca="1">_xll.BDH($C$478,"MODIFIED_WORKING_CPTL_5YR_GRWTH","FQ3 2015","FQ3 2015","Currency=INR","Period=FQ","BEST_FPERIOD_OVERRIDE=FQ","FILING_STATUS=OR","EQY_CONSOLIDATED=Y","Sort=A","Dates=H","DateFormat=P","Fill=—","Direction=H","UseDPDF=Y")</f>
        <v>#NAME?</v>
      </c>
      <c r="AX486" s="1" t="e">
        <f ca="1">_xll.BDH($C$478,"WORKING_CAPITAL_5_YEAR_GROWTH","FQ3 2015","FQ3 2015","Currency=INR","Period=FQ","BEST_FPERIOD_OVERRIDE=FQ","FILING_STATUS=OR","EQY_CONSOLIDATED=Y","Sort=A","Dates=H","DateFormat=P","Fill=—","Direction=H","UseDPDF=Y")</f>
        <v>#NAME?</v>
      </c>
      <c r="AY486" s="1" t="e">
        <f ca="1">_xll.BDH($C$478,"ACCOUNTS_PAYABLE_5_YEAR_GROWTH","FQ3 2015","FQ3 2015","Currency=INR","Period=FQ","BEST_FPERIOD_OVERRIDE=FQ","FILING_STATUS=OR","EQY_CONSOLIDATED=Y","Sort=A","Dates=H","DateFormat=P","Fill=—","Direction=H","UseDPDF=Y")</f>
        <v>#NAME?</v>
      </c>
      <c r="AZ486" s="1" t="e">
        <f ca="1">_xll.BDH($C$478,"SHORT_TERM_DEBT_5_YEAR_GROWTH","FQ3 2015","FQ3 2015","Currency=INR","Period=FQ","BEST_FPERIOD_OVERRIDE=FQ","FILING_STATUS=OR","EQY_CONSOLIDATED=Y","Sort=A","Dates=H","DateFormat=P","Fill=—","Direction=H","UseDPDF=Y")</f>
        <v>#NAME?</v>
      </c>
      <c r="BA486" s="1" t="e">
        <f ca="1">_xll.BDH($C$478,"TOTAL_DEBT_5_YEAR_GROWTH","FQ3 2015","FQ3 2015","Currency=INR","Period=FQ","BEST_FPERIOD_OVERRIDE=FQ","FILING_STATUS=OR","EQY_CONSOLIDATED=Y","Sort=A","Dates=H","DateFormat=P","Fill=—","Direction=H","UseDPDF=Y")</f>
        <v>#NAME?</v>
      </c>
      <c r="BB486" s="1" t="e">
        <f ca="1">_xll.BDH($C$478,"GEO_GROW_TOT_SHRHLDR_EQY","FQ3 2015","FQ3 2015","Currency=INR","Period=FQ","BEST_FPERIOD_OVERRIDE=FQ","FILING_STATUS=OR","EQY_CONSOLIDATED=Y","Sort=A","Dates=H","DateFormat=P","Fill=—","Direction=H","UseDPDF=Y")</f>
        <v>#NAME?</v>
      </c>
      <c r="BC486" s="1" t="e">
        <f ca="1">_xll.BDH($C$478,"TOTAL_CAPITAL_5_YEAR_GROWTH","FQ3 2015","FQ3 2015","Currency=INR","Period=FQ","BEST_FPERIOD_OVERRIDE=FQ","FILING_STATUS=OR","EQY_CONSOLIDATED=Y","Sort=A","Dates=H","DateFormat=P","Fill=—","Direction=H","UseDPDF=Y")</f>
        <v>#NAME?</v>
      </c>
      <c r="BD486" s="1" t="e">
        <f ca="1">_xll.BDH($C$478,"GEO_GROW_BOOK_VAL","FQ3 2015","FQ3 2015","Currency=INR","Period=FQ","BEST_FPERIOD_OVERRIDE=FQ","FILING_STATUS=OR","EQY_CONSOLIDATED=Y","Sort=A","Dates=H","DateFormat=P","Fill=—","Direction=H","UseDPDF=Y")</f>
        <v>#NAME?</v>
      </c>
      <c r="BE486" s="1" t="e">
        <f ca="1">_xll.BDH($C$478,"GEO_GROW_CASH_OPER_ACT","FQ3 2015","FQ3 2015","Currency=INR","Period=FQ","BEST_FPERIOD_OVERRIDE=FQ","FILING_STATUS=OR","EQY_CONSOLIDATED=Y","Sort=A","Dates=H","DateFormat=P","Fill=—","Direction=H","UseDPDF=Y")</f>
        <v>#NAME?</v>
      </c>
      <c r="BF486" s="1" t="e">
        <f ca="1">_xll.BDH($C$478,"REVENUE_SEQUENTIAL_GROWTH","FQ3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86" s="1" t="e">
        <f ca="1">_xll.BDH($C$478,"EBITDA_SEQUENTIAL_GROWTH","FQ3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86" s="1" t="e">
        <f ca="1">_xll.BDH($C$478,"OPERATING_INCOME_SEQ_GROWTH","FQ3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86" s="1" t="e">
        <f ca="1">_xll.BDH($C$478,"NET_INCOME_TO_COMMON_SEQ_GROWTH","FQ3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86" s="1" t="e">
        <f ca="1">_xll.BDH($C$478,"EPS_DILUTED_SEQUENTIAL_GROWTH","FQ3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86" s="1" t="e">
        <f ca="1">_xll.BDH($C$478,"DPS_SEQUENTIAL_GROWTH","FQ3 2015","FQ3 2015","Currency=INR","Period=FQ","BEST_FPERIOD_OVERRIDE=FQ","FILING_STATUS=OR","EQY_CONSOLIDATED=Y","Sort=A","Dates=H","DateFormat=P","Fill=—","Direction=H","UseDPDF=Y")</f>
        <v>#NAME?</v>
      </c>
      <c r="BL486" s="1" t="e">
        <f ca="1">_xll.BDH($C$478,"ACCOUNTS_RECEIVABLE_SEQ_GROWTH","FQ3 2015","FQ3 2015","Currency=INR","Period=FQ","BEST_FPERIOD_OVERRIDE=FQ","FILING_STATUS=OR","EQY_CONSOLIDATED=Y","Sort=A","Dates=H","DateFormat=P","Fill=—","Direction=H","UseDPDF=Y")</f>
        <v>#NAME?</v>
      </c>
      <c r="BM486" s="1" t="e">
        <f ca="1">_xll.BDH($C$478,"INVENTORY_SEQUENTIAL_GROWTH","FQ3 2015","FQ3 2015","Currency=INR","Period=FQ","BEST_FPERIOD_OVERRIDE=FQ","FILING_STATUS=OR","EQY_CONSOLIDATED=Y","Sort=A","Dates=H","DateFormat=P","Fill=—","Direction=H","UseDPDF=Y")</f>
        <v>#NAME?</v>
      </c>
      <c r="BN486" s="1" t="e">
        <f ca="1">_xll.BDH($C$478,"FIXED_ASSETS_SEQUENTIAL_GROWTH","FQ3 2015","FQ3 2015","Currency=INR","Period=FQ","BEST_FPERIOD_OVERRIDE=FQ","FILING_STATUS=OR","EQY_CONSOLIDATED=Y","Sort=A","Dates=H","DateFormat=P","Fill=—","Direction=H","UseDPDF=Y")</f>
        <v>#NAME?</v>
      </c>
      <c r="BO486" s="1" t="e">
        <f ca="1">_xll.BDH($C$478,"TOTAL_ASSETS_SEQUENTIAL_GROWTH","FQ3 2015","FQ3 2015","Currency=INR","Period=FQ","BEST_FPERIOD_OVERRIDE=FQ","FILING_STATUS=OR","EQY_CONSOLIDATED=Y","Sort=A","Dates=H","DateFormat=P","Fill=—","Direction=H","UseDPDF=Y")</f>
        <v>#NAME?</v>
      </c>
      <c r="BP486" s="1" t="e">
        <f ca="1">_xll.BDH($C$478,"MODIFIED_WORKING_CPTL_SEQ_GRWTH","FQ3 2015","FQ3 2015","Currency=INR","Period=FQ","BEST_FPERIOD_OVERRIDE=FQ","FILING_STATUS=OR","EQY_CONSOLIDATED=Y","Sort=A","Dates=H","DateFormat=P","Fill=—","Direction=H","UseDPDF=Y")</f>
        <v>#NAME?</v>
      </c>
      <c r="BQ486" s="1" t="e">
        <f ca="1">_xll.BDH($C$478,"WORKING_CAPITAL_SEQ_GROWTH","FQ3 2015","FQ3 2015","Currency=INR","Period=FQ","BEST_FPERIOD_OVERRIDE=FQ","FILING_STATUS=OR","EQY_CONSOLIDATED=Y","Sort=A","Dates=H","DateFormat=P","Fill=—","Direction=H","UseDPDF=Y")</f>
        <v>#NAME?</v>
      </c>
      <c r="BR486" s="1" t="e">
        <f ca="1">_xll.BDH($C$478,"ACCOUNTS_PAYABLE_SEQ_GROWTH","FQ3 2015","FQ3 2015","Currency=INR","Period=FQ","BEST_FPERIOD_OVERRIDE=FQ","FILING_STATUS=OR","EQY_CONSOLIDATED=Y","Sort=A","Dates=H","DateFormat=P","Fill=—","Direction=H","UseDPDF=Y")</f>
        <v>#NAME?</v>
      </c>
      <c r="BS486" s="1" t="e">
        <f ca="1">_xll.BDH($C$478,"ST_DEBT_SEQUENTIAL_GROWTH","FQ3 2015","FQ3 2015","Currency=INR","Period=FQ","BEST_FPERIOD_OVERRIDE=FQ","FILING_STATUS=OR","EQY_CONSOLIDATED=Y","Sort=A","Dates=H","DateFormat=P","Fill=—","Direction=H","UseDPDF=Y")</f>
        <v>#NAME?</v>
      </c>
      <c r="BT486" s="1" t="e">
        <f ca="1">_xll.BDH($C$478,"TOTAL_DEBT_SEQUENTIAL_GROWTH","FQ3 2015","FQ3 2015","Currency=INR","Period=FQ","BEST_FPERIOD_OVERRIDE=FQ","FILING_STATUS=OR","EQY_CONSOLIDATED=Y","Sort=A","Dates=H","DateFormat=P","Fill=—","Direction=H","UseDPDF=Y")</f>
        <v>#NAME?</v>
      </c>
      <c r="BU486" s="1" t="e">
        <f ca="1">_xll.BDH($C$478,"TOTAL_EQUITY_SEQUENTIAL_GROWTH","FQ3 2015","FQ3 2015","Currency=INR","Period=FQ","BEST_FPERIOD_OVERRIDE=FQ","FILING_STATUS=OR","EQY_CONSOLIDATED=Y","Sort=A","Dates=H","DateFormat=P","Fill=—","Direction=H","UseDPDF=Y")</f>
        <v>#NAME?</v>
      </c>
      <c r="BV486" s="1" t="e">
        <f ca="1">_xll.BDH($C$478,"TOTAL_CAPITAL_SEQUENTIAL_GROWTH","FQ3 2015","FQ3 2015","Currency=INR","Period=FQ","BEST_FPERIOD_OVERRIDE=FQ","FILING_STATUS=OR","EQY_CONSOLIDATED=Y","Sort=A","Dates=H","DateFormat=P","Fill=—","Direction=H","UseDPDF=Y")</f>
        <v>#NAME?</v>
      </c>
      <c r="BW486" s="1" t="e">
        <f ca="1">_xll.BDH($C$478,"BPS_SEQUENTIAL_GROWTH","FQ3 2015","FQ3 2015","Currency=INR","Period=FQ","BEST_FPERIOD_OVERRIDE=FQ","FILING_STATUS=OR","EQY_CONSOLIDATED=Y","Sort=A","Dates=H","DateFormat=P","Fill=—","Direction=H","UseDPDF=Y")</f>
        <v>#NAME?</v>
      </c>
      <c r="BX486" s="1" t="e">
        <f ca="1">_xll.BDH($C$478,"CFO_SEQUENTIAL_GROWTH","FQ3 2015","FQ3 2015","Currency=INR","Period=FQ","BEST_FPERIOD_OVERRIDE=FQ","FILING_STATUS=OR","EQY_CONSOLIDATED=Y","Sort=A","Dates=H","DateFormat=P","Fill=—","Direction=H","UseDPDF=Y")</f>
        <v>#NAME?</v>
      </c>
      <c r="BY486" s="2" t="e">
        <f ca="1">_xll.BDH($C$478,"SHORT_AND_LONG_TERM_DEBT","FQ3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86" s="2" t="e">
        <f ca="1">_xll.BDH($C$478,"BS_ST_BORROW","FQ3 2015","FQ3 2015","Currency=INR","Period=FQ","BEST_FPERIOD_OVERRIDE=FQ","FILING_STATUS=OR","EQY_CONSOLIDATED=Y","SCALING_FORMAT=MLN","Sort=A","Dates=H","DateFormat=P","Fill=—","Direction=H","UseDPDF=Y")</f>
        <v>#NAME?</v>
      </c>
      <c r="CA486" s="2" t="e">
        <f ca="1">_xll.BDH($C$478,"BS_LT_BORROW","FQ3 2015","FQ3 2015","Currency=INR","Period=FQ","BEST_FPERIOD_OVERRIDE=FQ","FILING_STATUS=OR","EQY_CONSOLIDATED=Y","SCALING_FORMAT=MLN","Sort=A","Dates=H","DateFormat=P","Fill=—","Direction=H","UseDPDF=Y")</f>
        <v>#NAME?</v>
      </c>
      <c r="CB486" s="1" t="e">
        <f ca="1">_xll.BDH($C$478,"TOT_DEBT_TO_EBITDA","FQ3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86" s="1" t="e">
        <f ca="1">_xll.BDH($C$478,"NET_DEBT_TO_EBITDA","FQ3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86" s="1" t="e">
        <f ca="1">_xll.BDH($C$478,"TOTAL_DEBT_TO_EBIT","FQ3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86" s="1" t="e">
        <f ca="1">_xll.BDH($C$478,"NET_DEBT_TO_EBIT","FQ3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486" s="1" t="e">
        <f ca="1">_xll.BDH($C$478,"EBITDA_TO_INTEREST_EXPN","FQ3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86" s="1" t="e">
        <f ca="1">_xll.BDH($C$478,"COM_EQY_TO_TOT_ASSET","FQ3 2015","FQ3 2015","Currency=INR","Period=FQ","BEST_FPERIOD_OVERRIDE=FQ","FILING_STATUS=OR","EQY_CONSOLIDATED=Y","Sort=A","Dates=H","DateFormat=P","Fill=—","Direction=H","UseDPDF=Y")</f>
        <v>#NAME?</v>
      </c>
      <c r="CH486" s="1" t="e">
        <f ca="1">_xll.BDH($C$478,"LT_DEBT_TO_TOT_EQY","FQ3 2015","FQ3 2015","Currency=INR","Period=FQ","BEST_FPERIOD_OVERRIDE=FQ","FILING_STATUS=OR","EQY_CONSOLIDATED=Y","Sort=A","Dates=H","DateFormat=P","Fill=—","Direction=H","UseDPDF=Y")</f>
        <v>#NAME?</v>
      </c>
      <c r="CI486" s="1" t="e">
        <f ca="1">_xll.BDH($C$478,"LT_DEBT_TO_TOT_CAP","FQ3 2015","FQ3 2015","Currency=INR","Period=FQ","BEST_FPERIOD_OVERRIDE=FQ","FILING_STATUS=OR","EQY_CONSOLIDATED=Y","Sort=A","Dates=H","DateFormat=P","Fill=—","Direction=H","UseDPDF=Y")</f>
        <v>#NAME?</v>
      </c>
      <c r="CJ486" s="1" t="e">
        <f ca="1">_xll.BDH($C$478,"LT_DEBT_TO_TOT_ASSET","FQ3 2015","FQ3 2015","Currency=INR","Period=FQ","BEST_FPERIOD_OVERRIDE=FQ","FILING_STATUS=OR","EQY_CONSOLIDATED=Y","Sort=A","Dates=H","DateFormat=P","Fill=—","Direction=H","UseDPDF=Y")</f>
        <v>#NAME?</v>
      </c>
      <c r="CK486" s="1" t="e">
        <f ca="1">_xll.BDH($C$478,"TOT_DEBT_TO_TOT_EQY","FQ3 2015","FQ3 2015","Currency=INR","Period=FQ","BEST_FPERIOD_OVERRIDE=FQ","FILING_STATUS=OR","EQY_CONSOLIDATED=Y","Sort=A","Dates=H","DateFormat=P","Fill=—","Direction=H","UseDPDF=Y")</f>
        <v>#NAME?</v>
      </c>
      <c r="CL486" s="1" t="e">
        <f ca="1">_xll.BDH($C$478,"TOT_DEBT_TO_TOT_CAP","FQ3 2015","FQ3 2015","Currency=INR","Period=FQ","BEST_FPERIOD_OVERRIDE=FQ","FILING_STATUS=OR","EQY_CONSOLIDATED=Y","Sort=A","Dates=H","DateFormat=P","Fill=—","Direction=H","UseDPDF=Y")</f>
        <v>#NAME?</v>
      </c>
      <c r="CM486" s="1" t="e">
        <f ca="1">_xll.BDH($C$478,"TOT_DEBT_TO_TOT_ASSET","FQ3 2015","FQ3 2015","Currency=INR","Period=FQ","BEST_FPERIOD_OVERRIDE=FQ","FILING_STATUS=OR","EQY_CONSOLIDATED=Y","Sort=A","Dates=H","DateFormat=P","Fill=—","Direction=H","UseDPDF=Y")</f>
        <v>#NAME?</v>
      </c>
      <c r="CN486" s="1" t="e">
        <f ca="1">_xll.BDH($C$478,"NET_DEBT_TO_SHRHLDR_EQTY","FQ3 2015","FQ3 2015","Currency=INR","Period=FQ","BEST_FPERIOD_OVERRIDE=FQ","FILING_STATUS=OR","EQY_CONSOLIDATED=Y","Sort=A","Dates=H","DateFormat=P","Fill=—","Direction=H","UseDPDF=Y")</f>
        <v>#NAME?</v>
      </c>
      <c r="CO486" s="1" t="e">
        <f ca="1">_xll.BDH($C$478,"NET_DEBT_%_CAPITAL","FQ3 2015","FQ3 2015","Currency=INR","Period=FQ","BEST_FPERIOD_OVERRIDE=FQ","FILING_STATUS=OR","EQY_CONSOLIDATED=Y","Sort=A","Dates=H","DateFormat=P","Fill=—","Direction=H","UseDPDF=Y")</f>
        <v>#NAME?</v>
      </c>
      <c r="CP486" s="2" t="e">
        <f ca="1">_xll.BDH($C$478,"EBITDA","FQ3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86" s="2" t="e">
        <f ca="1">_xll.BDH($C$478,"EBITDA_AFTER_CAPEX","FQ3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86" s="2" t="e">
        <f ca="1">_xll.BDH($C$478,"IS_OPER_INC","FQ3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86" s="1" t="e">
        <f ca="1">_xll.BDH($C$478,"CASH_RATIO","FQ3 2015","FQ3 2015","Currency=INR","Period=FQ","BEST_FPERIOD_OVERRIDE=FQ","FILING_STATUS=OR","EQY_CONSOLIDATED=Y","Sort=A","Dates=H","DateFormat=P","Fill=—","Direction=H","UseDPDF=Y")</f>
        <v>#NAME?</v>
      </c>
      <c r="CT486" s="1" t="e">
        <f ca="1">_xll.BDH($C$478,"CUR_RATIO","FQ3 2015","FQ3 2015","Currency=INR","Period=FQ","BEST_FPERIOD_OVERRIDE=FQ","FILING_STATUS=OR","EQY_CONSOLIDATED=Y","Sort=A","Dates=H","DateFormat=P","Fill=—","Direction=H","UseDPDF=Y")</f>
        <v>#NAME?</v>
      </c>
      <c r="CU486" s="1" t="e">
        <f ca="1">_xll.BDH($C$478,"QUICK_RATIO","FQ3 2015","FQ3 2015","Currency=INR","Period=FQ","BEST_FPERIOD_OVERRIDE=FQ","FILING_STATUS=OR","EQY_CONSOLIDATED=Y","Sort=A","Dates=H","DateFormat=P","Fill=—","Direction=H","UseDPDF=Y")</f>
        <v>#NAME?</v>
      </c>
      <c r="CV486" s="1" t="e">
        <f ca="1">_xll.BDH($C$478,"ALTMAN_Z_SCORE","FQ3 2015","FQ3 2015","Currency=INR","Period=FQ","BEST_FPERIOD_OVERRIDE=FQ","FILING_STATUS=OR","EQY_CONSOLIDATED=Y","Sort=A","Dates=H","DateFormat=P","Fill=—","Direction=H","UseDPDF=Y")</f>
        <v>#NAME?</v>
      </c>
      <c r="CW486" s="3" t="e">
        <f ca="1">_xll.BDH($C$478,"ACCT_RCV_TURN","FQ3 2015","FQ3 2015","Currency=INR","Period=FQ","BEST_FPERIOD_OVERRIDE=FQ","FILING_STATUS=OR","EQY_CONSOLIDATED=Y","FA_ADJUSTED=GAAP","Sort=A","Dates=H","DateFormat=P","Fill=—","Direction=H","UseDPDF=Y")</f>
        <v>#NAME?</v>
      </c>
      <c r="CX486" s="1" t="e">
        <f ca="1">_xll.BDH($C$478,"ACCT_RCV_DAYS","FQ3 2015","FQ3 2015","Currency=INR","Period=FQ","BEST_FPERIOD_OVERRIDE=FQ","FILING_STATUS=OR","EQY_CONSOLIDATED=Y","FA_ADJUSTED=GAAP","Sort=A","Dates=H","DateFormat=P","Fill=—","Direction=H","UseDPDF=Y")</f>
        <v>#NAME?</v>
      </c>
      <c r="CY486" s="3" t="e">
        <f ca="1">_xll.BDH($C$478,"INVENT_TURN","FQ3 2015","FQ3 2015","Currency=INR","Period=FQ","BEST_FPERIOD_OVERRIDE=FQ","FILING_STATUS=OR","EQY_CONSOLIDATED=Y","FA_ADJUSTED=GAAP","Sort=A","Dates=H","DateFormat=P","Fill=—","Direction=H","UseDPDF=Y")</f>
        <v>#NAME?</v>
      </c>
      <c r="CZ486" s="1" t="e">
        <f ca="1">_xll.BDH($C$478,"INVENT_DAYS","FQ3 2015","FQ3 2015","Currency=INR","Period=FQ","BEST_FPERIOD_OVERRIDE=FQ","FILING_STATUS=OR","EQY_CONSOLIDATED=Y","FA_ADJUSTED=GAAP","Sort=A","Dates=H","DateFormat=P","Fill=—","Direction=H","UseDPDF=Y")</f>
        <v>#NAME?</v>
      </c>
      <c r="DA486" s="3" t="e">
        <f ca="1">_xll.BDH($C$478,"ACCOUNTS_PAYABLE_TURNOVER","FQ3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86" s="1" t="e">
        <f ca="1">_xll.BDH($C$478,"ACCOUNTS_PAYABLE_TURNOVER_DAYS","FQ3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86" s="3" t="e">
        <f ca="1">_xll.BDH($C$478,"CASH_CONVERSION_CYCLE","FQ3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86" s="3" t="e">
        <f ca="1">_xll.BDH($C$478,"INV_TO_CASH_DAYS","FQ3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486" s="4" t="e">
        <f ca="1">_xll.BDH($C$478,"BS_INVENTORIES","FQ3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486" s="2" t="e">
        <f ca="1">_xll.BDH($C$478,"INVTRY_RAW_MATERIALS","FQ3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86" s="2" t="e">
        <f ca="1">_xll.BDH($C$478,"INVTRY_IN_PROGRESS","FQ3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86" s="2" t="e">
        <f ca="1">_xll.BDH($C$478,"INVTRY_FINISHED_GOODS","FQ3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86" s="2" t="e">
        <f ca="1">_xll.BDH($C$478,"BS_OTHER_INV","FQ3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87" spans="1:113" x14ac:dyDescent="0.3">
      <c r="A487" s="6"/>
      <c r="B487" s="6"/>
      <c r="C487" s="6"/>
      <c r="D487" s="6"/>
      <c r="E487" t="s">
        <v>7</v>
      </c>
      <c r="F487" t="e">
        <f ca="1">_xll.BDH($C$478,"RETURN_COM_EQY","FQ4 2015","FQ4 2015","Currency=INR","Period=FQ","BEST_FPERIOD_OVERRIDE=FQ","FILING_STATUS=OR","EQY_CONSOLIDATED=Y","FA_ADJUSTED=GAAP","Sort=A","Dates=H","DateFormat=P","Fill=—","Direction=H","UseDPDF=Y")</f>
        <v>#NAME?</v>
      </c>
      <c r="G487" t="e">
        <f ca="1">_xll.BDH($C$478,"RETURN_ON_ASSET","FQ4 2015","FQ4 2015","Currency=INR","Period=FQ","BEST_FPERIOD_OVERRIDE=FQ","FILING_STATUS=OR","EQY_CONSOLIDATED=Y","FA_ADJUSTED=GAAP","Sort=A","Dates=H","DateFormat=P","Fill=—","Direction=H","UseDPDF=Y")</f>
        <v>#NAME?</v>
      </c>
      <c r="H487" t="e">
        <f ca="1">_xll.BDH($C$478,"RETURN_ON_CAP","FQ4 2015","FQ4 2015","Currency=INR","Period=FQ","BEST_FPERIOD_OVERRIDE=FQ","FILING_STATUS=OR","EQY_CONSOLIDATED=Y","FA_ADJUSTED=GAAP","Sort=A","Dates=H","DateFormat=P","Fill=—","Direction=H","UseDPDF=Y")</f>
        <v>#NAME?</v>
      </c>
      <c r="I487" t="e">
        <f ca="1">_xll.BDH($C$478,"RETURN_ON_INV_CAPITAL","FQ4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87" t="e">
        <f ca="1">_xll.BDH($C$478,"EBITDA_TO_REVENUE","FQ4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487" t="e">
        <f ca="1">_xll.BDH($C$478,"OPER_MARGIN","FQ4 2015","FQ4 2015","Currency=INR","Period=FQ","BEST_FPERIOD_OVERRIDE=FQ","FILING_STATUS=OR","EQY_CONSOLIDATED=Y","FA_ADJUSTED=GAAP","Sort=A","Dates=H","DateFormat=P","Fill=—","Direction=H","UseDPDF=Y")</f>
        <v>#NAME?</v>
      </c>
      <c r="L487" t="e">
        <f ca="1">_xll.BDH($C$478,"INCREMENTAL_OPERATING_MARGIN","FQ4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87" t="e">
        <f ca="1">_xll.BDH($C$478,"PRETAX_INC_TO_NET_SALES","FQ4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87" t="e">
        <f ca="1">_xll.BDH($C$478,"INC_BEF_XO_ITEMS_TO_NET_SALES","FQ4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87" t="e">
        <f ca="1">_xll.BDH($C$478,"PROF_MARGIN","FQ4 2015","FQ4 2015","Currency=INR","Period=FQ","BEST_FPERIOD_OVERRIDE=FQ","FILING_STATUS=OR","EQY_CONSOLIDATED=Y","FA_ADJUSTED=GAAP","Sort=A","Dates=H","DateFormat=P","Fill=—","Direction=H","UseDPDF=Y")</f>
        <v>#NAME?</v>
      </c>
      <c r="P487" t="e">
        <f ca="1">_xll.BDH($C$478,"NET_INCOME_TO_COMMON_MARGIN","FQ4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87" t="e">
        <f ca="1">_xll.BDH($C$478,"EFF_TAX_RATE","FQ4 2015","FQ4 2015","Currency=INR","Period=FQ","BEST_FPERIOD_OVERRIDE=FQ","FILING_STATUS=OR","EQY_CONSOLIDATED=Y","FA_ADJUSTED=GAAP","Sort=A","Dates=H","DateFormat=P","Fill=—","Direction=H","UseDPDF=Y")</f>
        <v>#NAME?</v>
      </c>
      <c r="R487" t="e">
        <f ca="1">_xll.BDH($C$478,"DVD_PAYOUT_RATIO","FQ4 2015","FQ4 2015","Currency=INR","Period=FQ","BEST_FPERIOD_OVERRIDE=FQ","FILING_STATUS=OR","EQY_CONSOLIDATED=Y","FA_ADJUSTED=GAAP","Sort=A","Dates=H","DateFormat=P","Fill=—","Direction=H","UseDPDF=Y")</f>
        <v>#NAME?</v>
      </c>
      <c r="S487" t="e">
        <f ca="1">_xll.BDH($C$478,"SUSTAIN_GROWTH_RT","FQ4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487" s="1" t="e">
        <f ca="1">_xll.BDH($C$478,"SALES_GROWTH","FQ4 2015","FQ4 2015","Currency=INR","Period=FQ","BEST_FPERIOD_OVERRIDE=FQ","FILING_STATUS=OR","EQY_CONSOLIDATED=Y","FA_ADJUSTED=GAAP","Sort=A","Dates=H","DateFormat=P","Fill=—","Direction=H","UseDPDF=Y")</f>
        <v>#NAME?</v>
      </c>
      <c r="U487" s="1" t="e">
        <f ca="1">_xll.BDH($C$478,"EBITDA_GROWTH","FQ4 2015","FQ4 2015","Currency=INR","Period=FQ","BEST_FPERIOD_OVERRIDE=FQ","FILING_STATUS=OR","EQY_CONSOLIDATED=Y","FA_ADJUSTED=GAAP","Sort=A","Dates=H","DateFormat=P","Fill=—","Direction=H","UseDPDF=Y")</f>
        <v>#NAME?</v>
      </c>
      <c r="V487" s="1" t="e">
        <f ca="1">_xll.BDH($C$478,"OPER_INC_GROWTH","FQ4 2015","FQ4 2015","Currency=INR","Period=FQ","BEST_FPERIOD_OVERRIDE=FQ","FILING_STATUS=OR","EQY_CONSOLIDATED=Y","FA_ADJUSTED=GAAP","Sort=A","Dates=H","DateFormat=P","Fill=—","Direction=H","UseDPDF=Y")</f>
        <v>#NAME?</v>
      </c>
      <c r="W487" s="1" t="e">
        <f ca="1">_xll.BDH($C$478,"EARN_FOR_COM_GROWTH","FQ4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87" s="1" t="e">
        <f ca="1">_xll.BDH($C$478,"DILUTED_EPS_AFT_XO_ITEMS_GROWTH","FQ4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87" s="1" t="e">
        <f ca="1">_xll.BDH($C$478,"DIVIDEND_PER_SHARE_1_YEAR_GROWTH","FQ4 2015","FQ4 2015","Currency=INR","Period=FQ","BEST_FPERIOD_OVERRIDE=FQ","FILING_STATUS=OR","EQY_CONSOLIDATED=Y","Sort=A","Dates=H","DateFormat=P","Fill=—","Direction=H","UseDPDF=Y")</f>
        <v>#NAME?</v>
      </c>
      <c r="Z487" s="1" t="e">
        <f ca="1">_xll.BDH($C$478,"ACCOUNTS_RECEIVABLE_GROWTH","FQ4 2015","FQ4 2015","Currency=INR","Period=FQ","BEST_FPERIOD_OVERRIDE=FQ","FILING_STATUS=OR","EQY_CONSOLIDATED=Y","Sort=A","Dates=H","DateFormat=P","Fill=—","Direction=H","UseDPDF=Y")</f>
        <v>#NAME?</v>
      </c>
      <c r="AA487" s="1" t="e">
        <f ca="1">_xll.BDH($C$478,"INVENTORY_GROWTH","FQ4 2015","FQ4 2015","Currency=INR","Period=FQ","BEST_FPERIOD_OVERRIDE=FQ","FILING_STATUS=OR","EQY_CONSOLIDATED=Y","Sort=A","Dates=H","DateFormat=P","Fill=—","Direction=H","UseDPDF=Y")</f>
        <v>#NAME?</v>
      </c>
      <c r="AB487" s="1" t="e">
        <f ca="1">_xll.BDH($C$478,"NET_FIXED_ASSETS_1_YEAR_GROWTH","FQ4 2015","FQ4 2015","Currency=INR","Period=FQ","BEST_FPERIOD_OVERRIDE=FQ","FILING_STATUS=OR","EQY_CONSOLIDATED=Y","Sort=A","Dates=H","DateFormat=P","Fill=—","Direction=H","UseDPDF=Y")</f>
        <v>#NAME?</v>
      </c>
      <c r="AC487" s="1" t="e">
        <f ca="1">_xll.BDH($C$478,"ASSET_GROWTH","FQ4 2015","FQ4 2015","Currency=INR","Period=FQ","BEST_FPERIOD_OVERRIDE=FQ","FILING_STATUS=OR","EQY_CONSOLIDATED=Y","Sort=A","Dates=H","DateFormat=P","Fill=—","Direction=H","UseDPDF=Y")</f>
        <v>#NAME?</v>
      </c>
      <c r="AD487" s="1" t="e">
        <f ca="1">_xll.BDH($C$478,"MODIFIED_WORK_CAP_GROWTH","FQ4 2015","FQ4 2015","Currency=INR","Period=FQ","BEST_FPERIOD_OVERRIDE=FQ","FILING_STATUS=OR","EQY_CONSOLIDATED=Y","Sort=A","Dates=H","DateFormat=P","Fill=—","Direction=H","UseDPDF=Y")</f>
        <v>#NAME?</v>
      </c>
      <c r="AE487" s="1" t="e">
        <f ca="1">_xll.BDH($C$478,"WORK_CAP_GROWTH","FQ4 2015","FQ4 2015","Currency=INR","Period=FQ","BEST_FPERIOD_OVERRIDE=FQ","FILING_STATUS=OR","EQY_CONSOLIDATED=Y","Sort=A","Dates=H","DateFormat=P","Fill=—","Direction=H","UseDPDF=Y")</f>
        <v>#NAME?</v>
      </c>
      <c r="AF487" s="1" t="e">
        <f ca="1">_xll.BDH($C$478,"ACCOUNTS_PAYABLE_GROWTH_1YR","FQ4 2015","FQ4 2015","Currency=INR","Period=FQ","BEST_FPERIOD_OVERRIDE=FQ","FILING_STATUS=OR","EQY_CONSOLIDATED=Y","Sort=A","Dates=H","DateFormat=P","Fill=—","Direction=H","UseDPDF=Y")</f>
        <v>#NAME?</v>
      </c>
      <c r="AG487" s="1" t="e">
        <f ca="1">_xll.BDH($C$478,"SHORT_TERM_DEBT_1_YEAR_GROWTH","FQ4 2015","FQ4 2015","Currency=INR","Period=FQ","BEST_FPERIOD_OVERRIDE=FQ","FILING_STATUS=OR","EQY_CONSOLIDATED=Y","Sort=A","Dates=H","DateFormat=P","Fill=—","Direction=H","UseDPDF=Y")</f>
        <v>#NAME?</v>
      </c>
      <c r="AH487" s="1" t="e">
        <f ca="1">_xll.BDH($C$478,"TOTAL_DEBT_1_YEAR_GROWTH","FQ4 2015","FQ4 2015","Currency=INR","Period=FQ","BEST_FPERIOD_OVERRIDE=FQ","FILING_STATUS=OR","EQY_CONSOLIDATED=Y","Sort=A","Dates=H","DateFormat=P","Fill=—","Direction=H","UseDPDF=Y")</f>
        <v>#NAME?</v>
      </c>
      <c r="AI487" s="1" t="e">
        <f ca="1">_xll.BDH($C$478,"TOTAL_EQUITY_1_YEAR_GROWTH","FQ4 2015","FQ4 2015","Currency=INR","Period=FQ","BEST_FPERIOD_OVERRIDE=FQ","FILING_STATUS=OR","EQY_CONSOLIDATED=Y","Sort=A","Dates=H","DateFormat=P","Fill=—","Direction=H","UseDPDF=Y")</f>
        <v>#NAME?</v>
      </c>
      <c r="AJ487" s="1" t="e">
        <f ca="1">_xll.BDH($C$478,"GROWTH_IN_CAP","FQ4 2015","FQ4 2015","Currency=INR","Period=FQ","BEST_FPERIOD_OVERRIDE=FQ","FILING_STATUS=OR","EQY_CONSOLIDATED=Y","Sort=A","Dates=H","DateFormat=P","Fill=—","Direction=H","UseDPDF=Y")</f>
        <v>#NAME?</v>
      </c>
      <c r="AK487" s="1" t="e">
        <f ca="1">_xll.BDH($C$478,"BVPS_GROWTH","FQ4 2015","FQ4 2015","Currency=INR","Period=FQ","BEST_FPERIOD_OVERRIDE=FQ","FILING_STATUS=OR","EQY_CONSOLIDATED=Y","Sort=A","Dates=H","DateFormat=P","Fill=—","Direction=H","UseDPDF=Y")</f>
        <v>#NAME?</v>
      </c>
      <c r="AL487" s="1" t="e">
        <f ca="1">_xll.BDH($C$478,"CASH_FLOW_GROWTH","FQ4 2015","FQ4 2015","Currency=INR","Period=FQ","BEST_FPERIOD_OVERRIDE=FQ","FILING_STATUS=OR","EQY_CONSOLIDATED=Y","Sort=A","Dates=H","DateFormat=P","Fill=—","Direction=H","UseDPDF=Y")</f>
        <v>#NAME?</v>
      </c>
      <c r="AM487" s="1" t="e">
        <f ca="1">_xll.BDH($C$478,"GEO_GROW_NET_SALES","FQ4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87" s="1" t="e">
        <f ca="1">_xll.BDH($C$478,"GEO_GROW_EBITDA","FQ4 2015","FQ4 2015","Currency=INR","Period=FQ","BEST_FPERIOD_OVERRIDE=FQ","FILING_STATUS=OR","EQY_CONSOLIDATED=Y","FA_ADJUSTED=GAAP","Sort=A","Dates=H","DateFormat=P","Fill=—","Direction=H","UseDPDF=Y")</f>
        <v>#NAME?</v>
      </c>
      <c r="AO487" s="1" t="e">
        <f ca="1">_xll.BDH($C$478,"GEO_GROW_OPER_INC","FQ4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87" s="1" t="e">
        <f ca="1">_xll.BDH($C$478,"NET_INCOME_TO_COMMON_5_YR_GROWTH","FQ4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87" s="1" t="e">
        <f ca="1">_xll.BDH($C$478,"5Y_GEO_GROWTH_DILUTED_EPS","FQ4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87" s="1" t="e">
        <f ca="1">_xll.BDH($C$478,"GEO_GROW_DVD_PER_SH","FQ4 2015","FQ4 2015","Currency=INR","Period=FQ","BEST_FPERIOD_OVERRIDE=FQ","FILING_STATUS=OR","EQY_CONSOLIDATED=Y","Sort=A","Dates=H","DateFormat=P","Fill=—","Direction=H","UseDPDF=Y")</f>
        <v>#NAME?</v>
      </c>
      <c r="AS487" s="1" t="e">
        <f ca="1">_xll.BDH($C$478,"ACCOUNTS_RECEIVABLE_5_YR_GROWTH","FQ4 2015","FQ4 2015","Currency=INR","Period=FQ","BEST_FPERIOD_OVERRIDE=FQ","FILING_STATUS=OR","EQY_CONSOLIDATED=Y","Sort=A","Dates=H","DateFormat=P","Fill=—","Direction=H","UseDPDF=Y")</f>
        <v>#NAME?</v>
      </c>
      <c r="AT487" s="1" t="e">
        <f ca="1">_xll.BDH($C$478,"INVENTORY_5_YEAR_GROWTH","FQ4 2015","FQ4 2015","Currency=INR","Period=FQ","BEST_FPERIOD_OVERRIDE=FQ","FILING_STATUS=OR","EQY_CONSOLIDATED=Y","Sort=A","Dates=H","DateFormat=P","Fill=—","Direction=H","UseDPDF=Y")</f>
        <v>#NAME?</v>
      </c>
      <c r="AU487" s="1" t="e">
        <f ca="1">_xll.BDH($C$478,"NET_FIXED_ASSETS_5_YEAR_GROWTH","FQ4 2015","FQ4 2015","Currency=INR","Period=FQ","BEST_FPERIOD_OVERRIDE=FQ","FILING_STATUS=OR","EQY_CONSOLIDATED=Y","Sort=A","Dates=H","DateFormat=P","Fill=—","Direction=H","UseDPDF=Y")</f>
        <v>#NAME?</v>
      </c>
      <c r="AV487" s="1" t="e">
        <f ca="1">_xll.BDH($C$478,"GEO_GROW_TOT_ASSET","FQ4 2015","FQ4 2015","Currency=INR","Period=FQ","BEST_FPERIOD_OVERRIDE=FQ","FILING_STATUS=OR","EQY_CONSOLIDATED=Y","Sort=A","Dates=H","DateFormat=P","Fill=—","Direction=H","UseDPDF=Y")</f>
        <v>#NAME?</v>
      </c>
      <c r="AW487" s="1" t="e">
        <f ca="1">_xll.BDH($C$478,"MODIFIED_WORKING_CPTL_5YR_GRWTH","FQ4 2015","FQ4 2015","Currency=INR","Period=FQ","BEST_FPERIOD_OVERRIDE=FQ","FILING_STATUS=OR","EQY_CONSOLIDATED=Y","Sort=A","Dates=H","DateFormat=P","Fill=—","Direction=H","UseDPDF=Y")</f>
        <v>#NAME?</v>
      </c>
      <c r="AX487" s="1" t="e">
        <f ca="1">_xll.BDH($C$478,"WORKING_CAPITAL_5_YEAR_GROWTH","FQ4 2015","FQ4 2015","Currency=INR","Period=FQ","BEST_FPERIOD_OVERRIDE=FQ","FILING_STATUS=OR","EQY_CONSOLIDATED=Y","Sort=A","Dates=H","DateFormat=P","Fill=—","Direction=H","UseDPDF=Y")</f>
        <v>#NAME?</v>
      </c>
      <c r="AY487" s="1" t="e">
        <f ca="1">_xll.BDH($C$478,"ACCOUNTS_PAYABLE_5_YEAR_GROWTH","FQ4 2015","FQ4 2015","Currency=INR","Period=FQ","BEST_FPERIOD_OVERRIDE=FQ","FILING_STATUS=OR","EQY_CONSOLIDATED=Y","Sort=A","Dates=H","DateFormat=P","Fill=—","Direction=H","UseDPDF=Y")</f>
        <v>#NAME?</v>
      </c>
      <c r="AZ487" s="1" t="e">
        <f ca="1">_xll.BDH($C$478,"SHORT_TERM_DEBT_5_YEAR_GROWTH","FQ4 2015","FQ4 2015","Currency=INR","Period=FQ","BEST_FPERIOD_OVERRIDE=FQ","FILING_STATUS=OR","EQY_CONSOLIDATED=Y","Sort=A","Dates=H","DateFormat=P","Fill=—","Direction=H","UseDPDF=Y")</f>
        <v>#NAME?</v>
      </c>
      <c r="BA487" s="1" t="e">
        <f ca="1">_xll.BDH($C$478,"TOTAL_DEBT_5_YEAR_GROWTH","FQ4 2015","FQ4 2015","Currency=INR","Period=FQ","BEST_FPERIOD_OVERRIDE=FQ","FILING_STATUS=OR","EQY_CONSOLIDATED=Y","Sort=A","Dates=H","DateFormat=P","Fill=—","Direction=H","UseDPDF=Y")</f>
        <v>#NAME?</v>
      </c>
      <c r="BB487" s="1" t="e">
        <f ca="1">_xll.BDH($C$478,"GEO_GROW_TOT_SHRHLDR_EQY","FQ4 2015","FQ4 2015","Currency=INR","Period=FQ","BEST_FPERIOD_OVERRIDE=FQ","FILING_STATUS=OR","EQY_CONSOLIDATED=Y","Sort=A","Dates=H","DateFormat=P","Fill=—","Direction=H","UseDPDF=Y")</f>
        <v>#NAME?</v>
      </c>
      <c r="BC487" s="1" t="e">
        <f ca="1">_xll.BDH($C$478,"TOTAL_CAPITAL_5_YEAR_GROWTH","FQ4 2015","FQ4 2015","Currency=INR","Period=FQ","BEST_FPERIOD_OVERRIDE=FQ","FILING_STATUS=OR","EQY_CONSOLIDATED=Y","Sort=A","Dates=H","DateFormat=P","Fill=—","Direction=H","UseDPDF=Y")</f>
        <v>#NAME?</v>
      </c>
      <c r="BD487" s="1" t="e">
        <f ca="1">_xll.BDH($C$478,"GEO_GROW_BOOK_VAL","FQ4 2015","FQ4 2015","Currency=INR","Period=FQ","BEST_FPERIOD_OVERRIDE=FQ","FILING_STATUS=OR","EQY_CONSOLIDATED=Y","Sort=A","Dates=H","DateFormat=P","Fill=—","Direction=H","UseDPDF=Y")</f>
        <v>#NAME?</v>
      </c>
      <c r="BE487" s="1" t="e">
        <f ca="1">_xll.BDH($C$478,"GEO_GROW_CASH_OPER_ACT","FQ4 2015","FQ4 2015","Currency=INR","Period=FQ","BEST_FPERIOD_OVERRIDE=FQ","FILING_STATUS=OR","EQY_CONSOLIDATED=Y","Sort=A","Dates=H","DateFormat=P","Fill=—","Direction=H","UseDPDF=Y")</f>
        <v>#NAME?</v>
      </c>
      <c r="BF487" s="1" t="e">
        <f ca="1">_xll.BDH($C$478,"REVENUE_SEQUENTIAL_GROWTH","FQ4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87" s="1" t="e">
        <f ca="1">_xll.BDH($C$478,"EBITDA_SEQUENTIAL_GROWTH","FQ4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87" s="1" t="e">
        <f ca="1">_xll.BDH($C$478,"OPERATING_INCOME_SEQ_GROWTH","FQ4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87" s="1" t="e">
        <f ca="1">_xll.BDH($C$478,"NET_INCOME_TO_COMMON_SEQ_GROWTH","FQ4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87" s="1" t="e">
        <f ca="1">_xll.BDH($C$478,"EPS_DILUTED_SEQUENTIAL_GROWTH","FQ4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87" s="1" t="e">
        <f ca="1">_xll.BDH($C$478,"DPS_SEQUENTIAL_GROWTH","FQ4 2015","FQ4 2015","Currency=INR","Period=FQ","BEST_FPERIOD_OVERRIDE=FQ","FILING_STATUS=OR","EQY_CONSOLIDATED=Y","Sort=A","Dates=H","DateFormat=P","Fill=—","Direction=H","UseDPDF=Y")</f>
        <v>#NAME?</v>
      </c>
      <c r="BL487" s="1" t="e">
        <f ca="1">_xll.BDH($C$478,"ACCOUNTS_RECEIVABLE_SEQ_GROWTH","FQ4 2015","FQ4 2015","Currency=INR","Period=FQ","BEST_FPERIOD_OVERRIDE=FQ","FILING_STATUS=OR","EQY_CONSOLIDATED=Y","Sort=A","Dates=H","DateFormat=P","Fill=—","Direction=H","UseDPDF=Y")</f>
        <v>#NAME?</v>
      </c>
      <c r="BM487" s="1" t="e">
        <f ca="1">_xll.BDH($C$478,"INVENTORY_SEQUENTIAL_GROWTH","FQ4 2015","FQ4 2015","Currency=INR","Period=FQ","BEST_FPERIOD_OVERRIDE=FQ","FILING_STATUS=OR","EQY_CONSOLIDATED=Y","Sort=A","Dates=H","DateFormat=P","Fill=—","Direction=H","UseDPDF=Y")</f>
        <v>#NAME?</v>
      </c>
      <c r="BN487" s="1" t="e">
        <f ca="1">_xll.BDH($C$478,"FIXED_ASSETS_SEQUENTIAL_GROWTH","FQ4 2015","FQ4 2015","Currency=INR","Period=FQ","BEST_FPERIOD_OVERRIDE=FQ","FILING_STATUS=OR","EQY_CONSOLIDATED=Y","Sort=A","Dates=H","DateFormat=P","Fill=—","Direction=H","UseDPDF=Y")</f>
        <v>#NAME?</v>
      </c>
      <c r="BO487" s="1" t="e">
        <f ca="1">_xll.BDH($C$478,"TOTAL_ASSETS_SEQUENTIAL_GROWTH","FQ4 2015","FQ4 2015","Currency=INR","Period=FQ","BEST_FPERIOD_OVERRIDE=FQ","FILING_STATUS=OR","EQY_CONSOLIDATED=Y","Sort=A","Dates=H","DateFormat=P","Fill=—","Direction=H","UseDPDF=Y")</f>
        <v>#NAME?</v>
      </c>
      <c r="BP487" s="1" t="e">
        <f ca="1">_xll.BDH($C$478,"MODIFIED_WORKING_CPTL_SEQ_GRWTH","FQ4 2015","FQ4 2015","Currency=INR","Period=FQ","BEST_FPERIOD_OVERRIDE=FQ","FILING_STATUS=OR","EQY_CONSOLIDATED=Y","Sort=A","Dates=H","DateFormat=P","Fill=—","Direction=H","UseDPDF=Y")</f>
        <v>#NAME?</v>
      </c>
      <c r="BQ487" s="1" t="e">
        <f ca="1">_xll.BDH($C$478,"WORKING_CAPITAL_SEQ_GROWTH","FQ4 2015","FQ4 2015","Currency=INR","Period=FQ","BEST_FPERIOD_OVERRIDE=FQ","FILING_STATUS=OR","EQY_CONSOLIDATED=Y","Sort=A","Dates=H","DateFormat=P","Fill=—","Direction=H","UseDPDF=Y")</f>
        <v>#NAME?</v>
      </c>
      <c r="BR487" s="1" t="e">
        <f ca="1">_xll.BDH($C$478,"ACCOUNTS_PAYABLE_SEQ_GROWTH","FQ4 2015","FQ4 2015","Currency=INR","Period=FQ","BEST_FPERIOD_OVERRIDE=FQ","FILING_STATUS=OR","EQY_CONSOLIDATED=Y","Sort=A","Dates=H","DateFormat=P","Fill=—","Direction=H","UseDPDF=Y")</f>
        <v>#NAME?</v>
      </c>
      <c r="BS487" s="1" t="e">
        <f ca="1">_xll.BDH($C$478,"ST_DEBT_SEQUENTIAL_GROWTH","FQ4 2015","FQ4 2015","Currency=INR","Period=FQ","BEST_FPERIOD_OVERRIDE=FQ","FILING_STATUS=OR","EQY_CONSOLIDATED=Y","Sort=A","Dates=H","DateFormat=P","Fill=—","Direction=H","UseDPDF=Y")</f>
        <v>#NAME?</v>
      </c>
      <c r="BT487" s="1" t="e">
        <f ca="1">_xll.BDH($C$478,"TOTAL_DEBT_SEQUENTIAL_GROWTH","FQ4 2015","FQ4 2015","Currency=INR","Period=FQ","BEST_FPERIOD_OVERRIDE=FQ","FILING_STATUS=OR","EQY_CONSOLIDATED=Y","Sort=A","Dates=H","DateFormat=P","Fill=—","Direction=H","UseDPDF=Y")</f>
        <v>#NAME?</v>
      </c>
      <c r="BU487" s="1" t="e">
        <f ca="1">_xll.BDH($C$478,"TOTAL_EQUITY_SEQUENTIAL_GROWTH","FQ4 2015","FQ4 2015","Currency=INR","Period=FQ","BEST_FPERIOD_OVERRIDE=FQ","FILING_STATUS=OR","EQY_CONSOLIDATED=Y","Sort=A","Dates=H","DateFormat=P","Fill=—","Direction=H","UseDPDF=Y")</f>
        <v>#NAME?</v>
      </c>
      <c r="BV487" s="1" t="e">
        <f ca="1">_xll.BDH($C$478,"TOTAL_CAPITAL_SEQUENTIAL_GROWTH","FQ4 2015","FQ4 2015","Currency=INR","Period=FQ","BEST_FPERIOD_OVERRIDE=FQ","FILING_STATUS=OR","EQY_CONSOLIDATED=Y","Sort=A","Dates=H","DateFormat=P","Fill=—","Direction=H","UseDPDF=Y")</f>
        <v>#NAME?</v>
      </c>
      <c r="BW487" s="1" t="e">
        <f ca="1">_xll.BDH($C$478,"BPS_SEQUENTIAL_GROWTH","FQ4 2015","FQ4 2015","Currency=INR","Period=FQ","BEST_FPERIOD_OVERRIDE=FQ","FILING_STATUS=OR","EQY_CONSOLIDATED=Y","Sort=A","Dates=H","DateFormat=P","Fill=—","Direction=H","UseDPDF=Y")</f>
        <v>#NAME?</v>
      </c>
      <c r="BX487" s="1" t="e">
        <f ca="1">_xll.BDH($C$478,"CFO_SEQUENTIAL_GROWTH","FQ4 2015","FQ4 2015","Currency=INR","Period=FQ","BEST_FPERIOD_OVERRIDE=FQ","FILING_STATUS=OR","EQY_CONSOLIDATED=Y","Sort=A","Dates=H","DateFormat=P","Fill=—","Direction=H","UseDPDF=Y")</f>
        <v>#NAME?</v>
      </c>
      <c r="BY487" s="2" t="e">
        <f ca="1">_xll.BDH($C$478,"SHORT_AND_LONG_TERM_DEBT","FQ4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87" s="2" t="e">
        <f ca="1">_xll.BDH($C$478,"BS_ST_BORROW","FQ4 2015","FQ4 2015","Currency=INR","Period=FQ","BEST_FPERIOD_OVERRIDE=FQ","FILING_STATUS=OR","EQY_CONSOLIDATED=Y","SCALING_FORMAT=MLN","Sort=A","Dates=H","DateFormat=P","Fill=—","Direction=H","UseDPDF=Y")</f>
        <v>#NAME?</v>
      </c>
      <c r="CA487" s="2" t="e">
        <f ca="1">_xll.BDH($C$478,"BS_LT_BORROW","FQ4 2015","FQ4 2015","Currency=INR","Period=FQ","BEST_FPERIOD_OVERRIDE=FQ","FILING_STATUS=OR","EQY_CONSOLIDATED=Y","SCALING_FORMAT=MLN","Sort=A","Dates=H","DateFormat=P","Fill=—","Direction=H","UseDPDF=Y")</f>
        <v>#NAME?</v>
      </c>
      <c r="CB487" s="1" t="e">
        <f ca="1">_xll.BDH($C$478,"TOT_DEBT_TO_EBITDA","FQ4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87" s="1" t="e">
        <f ca="1">_xll.BDH($C$478,"NET_DEBT_TO_EBITDA","FQ4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87" s="1" t="e">
        <f ca="1">_xll.BDH($C$478,"TOTAL_DEBT_TO_EBIT","FQ4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87" s="1" t="e">
        <f ca="1">_xll.BDH($C$478,"NET_DEBT_TO_EBIT","FQ4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487" s="1" t="e">
        <f ca="1">_xll.BDH($C$478,"EBITDA_TO_INTEREST_EXPN","FQ4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87" s="1" t="e">
        <f ca="1">_xll.BDH($C$478,"COM_EQY_TO_TOT_ASSET","FQ4 2015","FQ4 2015","Currency=INR","Period=FQ","BEST_FPERIOD_OVERRIDE=FQ","FILING_STATUS=OR","EQY_CONSOLIDATED=Y","Sort=A","Dates=H","DateFormat=P","Fill=—","Direction=H","UseDPDF=Y")</f>
        <v>#NAME?</v>
      </c>
      <c r="CH487" s="1" t="e">
        <f ca="1">_xll.BDH($C$478,"LT_DEBT_TO_TOT_EQY","FQ4 2015","FQ4 2015","Currency=INR","Period=FQ","BEST_FPERIOD_OVERRIDE=FQ","FILING_STATUS=OR","EQY_CONSOLIDATED=Y","Sort=A","Dates=H","DateFormat=P","Fill=—","Direction=H","UseDPDF=Y")</f>
        <v>#NAME?</v>
      </c>
      <c r="CI487" s="1" t="e">
        <f ca="1">_xll.BDH($C$478,"LT_DEBT_TO_TOT_CAP","FQ4 2015","FQ4 2015","Currency=INR","Period=FQ","BEST_FPERIOD_OVERRIDE=FQ","FILING_STATUS=OR","EQY_CONSOLIDATED=Y","Sort=A","Dates=H","DateFormat=P","Fill=—","Direction=H","UseDPDF=Y")</f>
        <v>#NAME?</v>
      </c>
      <c r="CJ487" s="1" t="e">
        <f ca="1">_xll.BDH($C$478,"LT_DEBT_TO_TOT_ASSET","FQ4 2015","FQ4 2015","Currency=INR","Period=FQ","BEST_FPERIOD_OVERRIDE=FQ","FILING_STATUS=OR","EQY_CONSOLIDATED=Y","Sort=A","Dates=H","DateFormat=P","Fill=—","Direction=H","UseDPDF=Y")</f>
        <v>#NAME?</v>
      </c>
      <c r="CK487" s="1" t="e">
        <f ca="1">_xll.BDH($C$478,"TOT_DEBT_TO_TOT_EQY","FQ4 2015","FQ4 2015","Currency=INR","Period=FQ","BEST_FPERIOD_OVERRIDE=FQ","FILING_STATUS=OR","EQY_CONSOLIDATED=Y","Sort=A","Dates=H","DateFormat=P","Fill=—","Direction=H","UseDPDF=Y")</f>
        <v>#NAME?</v>
      </c>
      <c r="CL487" s="1" t="e">
        <f ca="1">_xll.BDH($C$478,"TOT_DEBT_TO_TOT_CAP","FQ4 2015","FQ4 2015","Currency=INR","Period=FQ","BEST_FPERIOD_OVERRIDE=FQ","FILING_STATUS=OR","EQY_CONSOLIDATED=Y","Sort=A","Dates=H","DateFormat=P","Fill=—","Direction=H","UseDPDF=Y")</f>
        <v>#NAME?</v>
      </c>
      <c r="CM487" s="1" t="e">
        <f ca="1">_xll.BDH($C$478,"TOT_DEBT_TO_TOT_ASSET","FQ4 2015","FQ4 2015","Currency=INR","Period=FQ","BEST_FPERIOD_OVERRIDE=FQ","FILING_STATUS=OR","EQY_CONSOLIDATED=Y","Sort=A","Dates=H","DateFormat=P","Fill=—","Direction=H","UseDPDF=Y")</f>
        <v>#NAME?</v>
      </c>
      <c r="CN487" s="1" t="e">
        <f ca="1">_xll.BDH($C$478,"NET_DEBT_TO_SHRHLDR_EQTY","FQ4 2015","FQ4 2015","Currency=INR","Period=FQ","BEST_FPERIOD_OVERRIDE=FQ","FILING_STATUS=OR","EQY_CONSOLIDATED=Y","Sort=A","Dates=H","DateFormat=P","Fill=—","Direction=H","UseDPDF=Y")</f>
        <v>#NAME?</v>
      </c>
      <c r="CO487" s="1" t="e">
        <f ca="1">_xll.BDH($C$478,"NET_DEBT_%_CAPITAL","FQ4 2015","FQ4 2015","Currency=INR","Period=FQ","BEST_FPERIOD_OVERRIDE=FQ","FILING_STATUS=OR","EQY_CONSOLIDATED=Y","Sort=A","Dates=H","DateFormat=P","Fill=—","Direction=H","UseDPDF=Y")</f>
        <v>#NAME?</v>
      </c>
      <c r="CP487" s="2" t="e">
        <f ca="1">_xll.BDH($C$478,"EBITDA","FQ4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87" s="2" t="e">
        <f ca="1">_xll.BDH($C$478,"EBITDA_AFTER_CAPEX","FQ4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87" s="2" t="e">
        <f ca="1">_xll.BDH($C$478,"IS_OPER_INC","FQ4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87" s="1" t="e">
        <f ca="1">_xll.BDH($C$478,"CASH_RATIO","FQ4 2015","FQ4 2015","Currency=INR","Period=FQ","BEST_FPERIOD_OVERRIDE=FQ","FILING_STATUS=OR","EQY_CONSOLIDATED=Y","Sort=A","Dates=H","DateFormat=P","Fill=—","Direction=H","UseDPDF=Y")</f>
        <v>#NAME?</v>
      </c>
      <c r="CT487" s="1" t="e">
        <f ca="1">_xll.BDH($C$478,"CUR_RATIO","FQ4 2015","FQ4 2015","Currency=INR","Period=FQ","BEST_FPERIOD_OVERRIDE=FQ","FILING_STATUS=OR","EQY_CONSOLIDATED=Y","Sort=A","Dates=H","DateFormat=P","Fill=—","Direction=H","UseDPDF=Y")</f>
        <v>#NAME?</v>
      </c>
      <c r="CU487" s="1" t="e">
        <f ca="1">_xll.BDH($C$478,"QUICK_RATIO","FQ4 2015","FQ4 2015","Currency=INR","Period=FQ","BEST_FPERIOD_OVERRIDE=FQ","FILING_STATUS=OR","EQY_CONSOLIDATED=Y","Sort=A","Dates=H","DateFormat=P","Fill=—","Direction=H","UseDPDF=Y")</f>
        <v>#NAME?</v>
      </c>
      <c r="CV487" s="1" t="e">
        <f ca="1">_xll.BDH($C$478,"ALTMAN_Z_SCORE","FQ4 2015","FQ4 2015","Currency=INR","Period=FQ","BEST_FPERIOD_OVERRIDE=FQ","FILING_STATUS=OR","EQY_CONSOLIDATED=Y","Sort=A","Dates=H","DateFormat=P","Fill=—","Direction=H","UseDPDF=Y")</f>
        <v>#NAME?</v>
      </c>
      <c r="CW487" s="3" t="e">
        <f ca="1">_xll.BDH($C$478,"ACCT_RCV_TURN","FQ4 2015","FQ4 2015","Currency=INR","Period=FQ","BEST_FPERIOD_OVERRIDE=FQ","FILING_STATUS=OR","EQY_CONSOLIDATED=Y","FA_ADJUSTED=GAAP","Sort=A","Dates=H","DateFormat=P","Fill=—","Direction=H","UseDPDF=Y")</f>
        <v>#NAME?</v>
      </c>
      <c r="CX487" s="1" t="e">
        <f ca="1">_xll.BDH($C$478,"ACCT_RCV_DAYS","FQ4 2015","FQ4 2015","Currency=INR","Period=FQ","BEST_FPERIOD_OVERRIDE=FQ","FILING_STATUS=OR","EQY_CONSOLIDATED=Y","FA_ADJUSTED=GAAP","Sort=A","Dates=H","DateFormat=P","Fill=—","Direction=H","UseDPDF=Y")</f>
        <v>#NAME?</v>
      </c>
      <c r="CY487" s="3" t="e">
        <f ca="1">_xll.BDH($C$478,"INVENT_TURN","FQ4 2015","FQ4 2015","Currency=INR","Period=FQ","BEST_FPERIOD_OVERRIDE=FQ","FILING_STATUS=OR","EQY_CONSOLIDATED=Y","FA_ADJUSTED=GAAP","Sort=A","Dates=H","DateFormat=P","Fill=—","Direction=H","UseDPDF=Y")</f>
        <v>#NAME?</v>
      </c>
      <c r="CZ487" s="1" t="e">
        <f ca="1">_xll.BDH($C$478,"INVENT_DAYS","FQ4 2015","FQ4 2015","Currency=INR","Period=FQ","BEST_FPERIOD_OVERRIDE=FQ","FILING_STATUS=OR","EQY_CONSOLIDATED=Y","FA_ADJUSTED=GAAP","Sort=A","Dates=H","DateFormat=P","Fill=—","Direction=H","UseDPDF=Y")</f>
        <v>#NAME?</v>
      </c>
      <c r="DA487" s="3" t="e">
        <f ca="1">_xll.BDH($C$478,"ACCOUNTS_PAYABLE_TURNOVER","FQ4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87" s="1" t="e">
        <f ca="1">_xll.BDH($C$478,"ACCOUNTS_PAYABLE_TURNOVER_DAYS","FQ4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87" s="3" t="e">
        <f ca="1">_xll.BDH($C$478,"CASH_CONVERSION_CYCLE","FQ4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87" s="3" t="e">
        <f ca="1">_xll.BDH($C$478,"INV_TO_CASH_DAYS","FQ4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487" s="4" t="e">
        <f ca="1">_xll.BDH($C$478,"BS_INVENTORIES","FQ4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487" s="2" t="e">
        <f ca="1">_xll.BDH($C$478,"INVTRY_RAW_MATERIALS","FQ4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87" s="2" t="e">
        <f ca="1">_xll.BDH($C$478,"INVTRY_IN_PROGRESS","FQ4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87" s="2" t="e">
        <f ca="1">_xll.BDH($C$478,"INVTRY_FINISHED_GOODS","FQ4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87" s="2" t="e">
        <f ca="1">_xll.BDH($C$478,"BS_OTHER_INV","FQ4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88" spans="1:113" x14ac:dyDescent="0.3">
      <c r="A488" s="6"/>
      <c r="B488" s="6"/>
      <c r="C488" s="6"/>
      <c r="D488" s="6" t="s">
        <v>9</v>
      </c>
      <c r="E488" t="s">
        <v>3</v>
      </c>
      <c r="F488" t="e">
        <f ca="1">_xll.BDH($C$478,"RETURN_COM_EQY","FY 2016","FY 2016","Currency=INR","Period=FY","BEST_FPERIOD_OVERRIDE=FY","FILING_STATUS=OR","EQY_CONSOLIDATED=Y","FA_ADJUSTED=GAAP","Sort=A","Dates=H","DateFormat=P","Fill=—","Direction=H","UseDPDF=Y")</f>
        <v>#NAME?</v>
      </c>
      <c r="G488" t="e">
        <f ca="1">_xll.BDH($C$478,"RETURN_ON_ASSET","FY 2016","FY 2016","Currency=INR","Period=FY","BEST_FPERIOD_OVERRIDE=FY","FILING_STATUS=OR","EQY_CONSOLIDATED=Y","FA_ADJUSTED=GAAP","Sort=A","Dates=H","DateFormat=P","Fill=—","Direction=H","UseDPDF=Y")</f>
        <v>#NAME?</v>
      </c>
      <c r="H488" t="e">
        <f ca="1">_xll.BDH($C$478,"RETURN_ON_CAP","FY 2016","FY 2016","Currency=INR","Period=FY","BEST_FPERIOD_OVERRIDE=FY","FILING_STATUS=OR","EQY_CONSOLIDATED=Y","FA_ADJUSTED=GAAP","Sort=A","Dates=H","DateFormat=P","Fill=—","Direction=H","UseDPDF=Y")</f>
        <v>#NAME?</v>
      </c>
      <c r="I488" t="e">
        <f ca="1">_xll.BDH($C$478,"RETURN_ON_INV_CAPITAL","FY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88" t="e">
        <f ca="1">_xll.BDH($C$478,"EBITDA_TO_REVENUE","FY 2016","FY 2016","Currency=INR","Period=FY","BEST_FPERIOD_OVERRIDE=FY","FILING_STATUS=OR","EQY_CONSOLIDATED=Y","FA_ADJUSTED=GAAP","Sort=A","Dates=H","DateFormat=P","Fill=—","Direction=H","UseDPDF=Y")</f>
        <v>#NAME?</v>
      </c>
      <c r="K488" t="e">
        <f ca="1">_xll.BDH($C$478,"OPER_MARGIN","FY 2016","FY 2016","Currency=INR","Period=FY","BEST_FPERIOD_OVERRIDE=FY","FILING_STATUS=OR","EQY_CONSOLIDATED=Y","FA_ADJUSTED=GAAP","Sort=A","Dates=H","DateFormat=P","Fill=—","Direction=H","UseDPDF=Y")</f>
        <v>#NAME?</v>
      </c>
      <c r="L488" t="e">
        <f ca="1">_xll.BDH($C$478,"INCREMENTAL_OPERATING_MARGIN","FY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88" t="e">
        <f ca="1">_xll.BDH($C$478,"PRETAX_INC_TO_NET_SALES","FY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88" t="e">
        <f ca="1">_xll.BDH($C$478,"INC_BEF_XO_ITEMS_TO_NET_SALES","FY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88" t="e">
        <f ca="1">_xll.BDH($C$478,"PROF_MARGIN","FY 2016","FY 2016","Currency=INR","Period=FY","BEST_FPERIOD_OVERRIDE=FY","FILING_STATUS=OR","EQY_CONSOLIDATED=Y","FA_ADJUSTED=GAAP","Sort=A","Dates=H","DateFormat=P","Fill=—","Direction=H","UseDPDF=Y")</f>
        <v>#NAME?</v>
      </c>
      <c r="P488" t="e">
        <f ca="1">_xll.BDH($C$478,"NET_INCOME_TO_COMMON_MARGIN","FY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88" t="e">
        <f ca="1">_xll.BDH($C$478,"EFF_TAX_RATE","FY 2016","FY 2016","Currency=INR","Period=FY","BEST_FPERIOD_OVERRIDE=FY","FILING_STATUS=OR","EQY_CONSOLIDATED=Y","FA_ADJUSTED=GAAP","Sort=A","Dates=H","DateFormat=P","Fill=—","Direction=H","UseDPDF=Y")</f>
        <v>#NAME?</v>
      </c>
      <c r="R488" t="e">
        <f ca="1">_xll.BDH($C$478,"DVD_PAYOUT_RATIO","FY 2016","FY 2016","Currency=INR","Period=FY","BEST_FPERIOD_OVERRIDE=FY","FILING_STATUS=OR","EQY_CONSOLIDATED=Y","FA_ADJUSTED=GAAP","Sort=A","Dates=H","DateFormat=P","Fill=—","Direction=H","UseDPDF=Y")</f>
        <v>#NAME?</v>
      </c>
      <c r="S488" t="e">
        <f ca="1">_xll.BDH($C$478,"SUSTAIN_GROWTH_RT","FY 2016","FY 2016","Currency=INR","Period=FY","BEST_FPERIOD_OVERRIDE=FY","FILING_STATUS=OR","EQY_CONSOLIDATED=Y","FA_ADJUSTED=GAAP","Sort=A","Dates=H","DateFormat=P","Fill=—","Direction=H","UseDPDF=Y")</f>
        <v>#NAME?</v>
      </c>
      <c r="T488" s="1" t="e">
        <f ca="1">_xll.BDH($C$478,"SALES_GROWTH","FY 2016","FY 2016","Currency=INR","Period=FY","BEST_FPERIOD_OVERRIDE=FY","FILING_STATUS=OR","EQY_CONSOLIDATED=Y","FA_ADJUSTED=GAAP","Sort=A","Dates=H","DateFormat=P","Fill=—","Direction=H","UseDPDF=Y")</f>
        <v>#NAME?</v>
      </c>
      <c r="U488" s="1" t="e">
        <f ca="1">_xll.BDH($C$478,"EBITDA_GROWTH","FY 2016","FY 2016","Currency=INR","Period=FY","BEST_FPERIOD_OVERRIDE=FY","FILING_STATUS=OR","EQY_CONSOLIDATED=Y","FA_ADJUSTED=GAAP","Sort=A","Dates=H","DateFormat=P","Fill=—","Direction=H","UseDPDF=Y")</f>
        <v>#NAME?</v>
      </c>
      <c r="V488" s="1" t="e">
        <f ca="1">_xll.BDH($C$478,"OPER_INC_GROWTH","FY 2016","FY 2016","Currency=INR","Period=FY","BEST_FPERIOD_OVERRIDE=FY","FILING_STATUS=OR","EQY_CONSOLIDATED=Y","FA_ADJUSTED=GAAP","Sort=A","Dates=H","DateFormat=P","Fill=—","Direction=H","UseDPDF=Y")</f>
        <v>#NAME?</v>
      </c>
      <c r="W488" s="1" t="e">
        <f ca="1">_xll.BDH($C$478,"EARN_FOR_COM_GROWTH","FY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488" s="1" t="e">
        <f ca="1">_xll.BDH($C$478,"DILUTED_EPS_AFT_XO_ITEMS_GROWTH","FY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88" s="1" t="e">
        <f ca="1">_xll.BDH($C$478,"DIVIDEND_PER_SHARE_1_YEAR_GROWTH","FY 2016","FY 2016","Currency=INR","Period=FY","BEST_FPERIOD_OVERRIDE=FY","FILING_STATUS=OR","EQY_CONSOLIDATED=Y","Sort=A","Dates=H","DateFormat=P","Fill=—","Direction=H","UseDPDF=Y")</f>
        <v>#NAME?</v>
      </c>
      <c r="Z488" s="1" t="e">
        <f ca="1">_xll.BDH($C$478,"ACCOUNTS_RECEIVABLE_GROWTH","FY 2016","FY 2016","Currency=INR","Period=FY","BEST_FPERIOD_OVERRIDE=FY","FILING_STATUS=OR","EQY_CONSOLIDATED=Y","Sort=A","Dates=H","DateFormat=P","Fill=—","Direction=H","UseDPDF=Y")</f>
        <v>#NAME?</v>
      </c>
      <c r="AA488" s="1" t="e">
        <f ca="1">_xll.BDH($C$478,"INVENTORY_GROWTH","FY 2016","FY 2016","Currency=INR","Period=FY","BEST_FPERIOD_OVERRIDE=FY","FILING_STATUS=OR","EQY_CONSOLIDATED=Y","Sort=A","Dates=H","DateFormat=P","Fill=—","Direction=H","UseDPDF=Y")</f>
        <v>#NAME?</v>
      </c>
      <c r="AB488" s="1" t="e">
        <f ca="1">_xll.BDH($C$478,"NET_FIXED_ASSETS_1_YEAR_GROWTH","FY 2016","FY 2016","Currency=INR","Period=FY","BEST_FPERIOD_OVERRIDE=FY","FILING_STATUS=OR","EQY_CONSOLIDATED=Y","Sort=A","Dates=H","DateFormat=P","Fill=—","Direction=H","UseDPDF=Y")</f>
        <v>#NAME?</v>
      </c>
      <c r="AC488" s="1" t="e">
        <f ca="1">_xll.BDH($C$478,"ASSET_GROWTH","FY 2016","FY 2016","Currency=INR","Period=FY","BEST_FPERIOD_OVERRIDE=FY","FILING_STATUS=OR","EQY_CONSOLIDATED=Y","Sort=A","Dates=H","DateFormat=P","Fill=—","Direction=H","UseDPDF=Y")</f>
        <v>#NAME?</v>
      </c>
      <c r="AD488" s="1" t="e">
        <f ca="1">_xll.BDH($C$478,"MODIFIED_WORK_CAP_GROWTH","FY 2016","FY 2016","Currency=INR","Period=FY","BEST_FPERIOD_OVERRIDE=FY","FILING_STATUS=OR","EQY_CONSOLIDATED=Y","Sort=A","Dates=H","DateFormat=P","Fill=—","Direction=H","UseDPDF=Y")</f>
        <v>#NAME?</v>
      </c>
      <c r="AE488" s="1" t="e">
        <f ca="1">_xll.BDH($C$478,"WORK_CAP_GROWTH","FY 2016","FY 2016","Currency=INR","Period=FY","BEST_FPERIOD_OVERRIDE=FY","FILING_STATUS=OR","EQY_CONSOLIDATED=Y","Sort=A","Dates=H","DateFormat=P","Fill=—","Direction=H","UseDPDF=Y")</f>
        <v>#NAME?</v>
      </c>
      <c r="AF488" s="1" t="e">
        <f ca="1">_xll.BDH($C$478,"ACCOUNTS_PAYABLE_GROWTH_1YR","FY 2016","FY 2016","Currency=INR","Period=FY","BEST_FPERIOD_OVERRIDE=FY","FILING_STATUS=OR","EQY_CONSOLIDATED=Y","Sort=A","Dates=H","DateFormat=P","Fill=—","Direction=H","UseDPDF=Y")</f>
        <v>#NAME?</v>
      </c>
      <c r="AG488" s="1" t="e">
        <f ca="1">_xll.BDH($C$478,"SHORT_TERM_DEBT_1_YEAR_GROWTH","FY 2016","FY 2016","Currency=INR","Period=FY","BEST_FPERIOD_OVERRIDE=FY","FILING_STATUS=OR","EQY_CONSOLIDATED=Y","Sort=A","Dates=H","DateFormat=P","Fill=—","Direction=H","UseDPDF=Y")</f>
        <v>#NAME?</v>
      </c>
      <c r="AH488" s="1" t="e">
        <f ca="1">_xll.BDH($C$478,"TOTAL_DEBT_1_YEAR_GROWTH","FY 2016","FY 2016","Currency=INR","Period=FY","BEST_FPERIOD_OVERRIDE=FY","FILING_STATUS=OR","EQY_CONSOLIDATED=Y","Sort=A","Dates=H","DateFormat=P","Fill=—","Direction=H","UseDPDF=Y")</f>
        <v>#NAME?</v>
      </c>
      <c r="AI488" s="1" t="e">
        <f ca="1">_xll.BDH($C$478,"TOTAL_EQUITY_1_YEAR_GROWTH","FY 2016","FY 2016","Currency=INR","Period=FY","BEST_FPERIOD_OVERRIDE=FY","FILING_STATUS=OR","EQY_CONSOLIDATED=Y","Sort=A","Dates=H","DateFormat=P","Fill=—","Direction=H","UseDPDF=Y")</f>
        <v>#NAME?</v>
      </c>
      <c r="AJ488" s="1" t="e">
        <f ca="1">_xll.BDH($C$478,"GROWTH_IN_CAP","FY 2016","FY 2016","Currency=INR","Period=FY","BEST_FPERIOD_OVERRIDE=FY","FILING_STATUS=OR","EQY_CONSOLIDATED=Y","Sort=A","Dates=H","DateFormat=P","Fill=—","Direction=H","UseDPDF=Y")</f>
        <v>#NAME?</v>
      </c>
      <c r="AK488" s="1" t="e">
        <f ca="1">_xll.BDH($C$478,"BVPS_GROWTH","FY 2016","FY 2016","Currency=INR","Period=FY","BEST_FPERIOD_OVERRIDE=FY","FILING_STATUS=OR","EQY_CONSOLIDATED=Y","Sort=A","Dates=H","DateFormat=P","Fill=—","Direction=H","UseDPDF=Y")</f>
        <v>#NAME?</v>
      </c>
      <c r="AL488" s="1" t="e">
        <f ca="1">_xll.BDH($C$478,"CASH_FLOW_GROWTH","FY 2016","FY 2016","Currency=INR","Period=FY","BEST_FPERIOD_OVERRIDE=FY","FILING_STATUS=OR","EQY_CONSOLIDATED=Y","Sort=A","Dates=H","DateFormat=P","Fill=—","Direction=H","UseDPDF=Y")</f>
        <v>#NAME?</v>
      </c>
      <c r="AM488" s="1" t="e">
        <f ca="1">_xll.BDH($C$478,"GEO_GROW_NET_SALES","FY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488" s="1" t="e">
        <f ca="1">_xll.BDH($C$478,"GEO_GROW_EBITDA","FY 2016","FY 2016","Currency=INR","Period=FY","BEST_FPERIOD_OVERRIDE=FY","FILING_STATUS=OR","EQY_CONSOLIDATED=Y","FA_ADJUSTED=GAAP","Sort=A","Dates=H","DateFormat=P","Fill=—","Direction=H","UseDPDF=Y")</f>
        <v>#NAME?</v>
      </c>
      <c r="AO488" s="1" t="e">
        <f ca="1">_xll.BDH($C$478,"GEO_GROW_OPER_INC","FY 2016","FY 2016","Currency=INR","Period=FY","BEST_FPERIOD_OVERRIDE=FY","FILING_STATUS=OR","EQY_CONSOLIDATED=Y","FA_ADJUSTED=GAAP","Sort=A","Dates=H","DateFormat=P","Fill=—","Direction=H","UseDPDF=Y")</f>
        <v>#NAME?</v>
      </c>
      <c r="AP488" s="1" t="e">
        <f ca="1">_xll.BDH($C$478,"NET_INCOME_TO_COMMON_5_YR_GROWTH","FY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88" s="1" t="e">
        <f ca="1">_xll.BDH($C$478,"5Y_GEO_GROWTH_DILUTED_EPS","FY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88" s="1" t="e">
        <f ca="1">_xll.BDH($C$478,"GEO_GROW_DVD_PER_SH","FY 2016","FY 2016","Currency=INR","Period=FY","BEST_FPERIOD_OVERRIDE=FY","FILING_STATUS=OR","EQY_CONSOLIDATED=Y","Sort=A","Dates=H","DateFormat=P","Fill=—","Direction=H","UseDPDF=Y")</f>
        <v>#NAME?</v>
      </c>
      <c r="AS488" s="1" t="e">
        <f ca="1">_xll.BDH($C$478,"ACCOUNTS_RECEIVABLE_5_YR_GROWTH","FY 2016","FY 2016","Currency=INR","Period=FY","BEST_FPERIOD_OVERRIDE=FY","FILING_STATUS=OR","EQY_CONSOLIDATED=Y","Sort=A","Dates=H","DateFormat=P","Fill=—","Direction=H","UseDPDF=Y")</f>
        <v>#NAME?</v>
      </c>
      <c r="AT488" s="1" t="e">
        <f ca="1">_xll.BDH($C$478,"INVENTORY_5_YEAR_GROWTH","FY 2016","FY 2016","Currency=INR","Period=FY","BEST_FPERIOD_OVERRIDE=FY","FILING_STATUS=OR","EQY_CONSOLIDATED=Y","Sort=A","Dates=H","DateFormat=P","Fill=—","Direction=H","UseDPDF=Y")</f>
        <v>#NAME?</v>
      </c>
      <c r="AU488" s="1" t="e">
        <f ca="1">_xll.BDH($C$478,"NET_FIXED_ASSETS_5_YEAR_GROWTH","FY 2016","FY 2016","Currency=INR","Period=FY","BEST_FPERIOD_OVERRIDE=FY","FILING_STATUS=OR","EQY_CONSOLIDATED=Y","Sort=A","Dates=H","DateFormat=P","Fill=—","Direction=H","UseDPDF=Y")</f>
        <v>#NAME?</v>
      </c>
      <c r="AV488" s="1" t="e">
        <f ca="1">_xll.BDH($C$478,"GEO_GROW_TOT_ASSET","FY 2016","FY 2016","Currency=INR","Period=FY","BEST_FPERIOD_OVERRIDE=FY","FILING_STATUS=OR","EQY_CONSOLIDATED=Y","Sort=A","Dates=H","DateFormat=P","Fill=—","Direction=H","UseDPDF=Y")</f>
        <v>#NAME?</v>
      </c>
      <c r="AW488" s="1" t="e">
        <f ca="1">_xll.BDH($C$478,"MODIFIED_WORKING_CPTL_5YR_GRWTH","FY 2016","FY 2016","Currency=INR","Period=FY","BEST_FPERIOD_OVERRIDE=FY","FILING_STATUS=OR","EQY_CONSOLIDATED=Y","Sort=A","Dates=H","DateFormat=P","Fill=—","Direction=H","UseDPDF=Y")</f>
        <v>#NAME?</v>
      </c>
      <c r="AX488" s="1" t="e">
        <f ca="1">_xll.BDH($C$478,"WORKING_CAPITAL_5_YEAR_GROWTH","FY 2016","FY 2016","Currency=INR","Period=FY","BEST_FPERIOD_OVERRIDE=FY","FILING_STATUS=OR","EQY_CONSOLIDATED=Y","Sort=A","Dates=H","DateFormat=P","Fill=—","Direction=H","UseDPDF=Y")</f>
        <v>#NAME?</v>
      </c>
      <c r="AY488" s="1" t="e">
        <f ca="1">_xll.BDH($C$478,"ACCOUNTS_PAYABLE_5_YEAR_GROWTH","FY 2016","FY 2016","Currency=INR","Period=FY","BEST_FPERIOD_OVERRIDE=FY","FILING_STATUS=OR","EQY_CONSOLIDATED=Y","Sort=A","Dates=H","DateFormat=P","Fill=—","Direction=H","UseDPDF=Y")</f>
        <v>#NAME?</v>
      </c>
      <c r="AZ488" s="1" t="e">
        <f ca="1">_xll.BDH($C$478,"SHORT_TERM_DEBT_5_YEAR_GROWTH","FY 2016","FY 2016","Currency=INR","Period=FY","BEST_FPERIOD_OVERRIDE=FY","FILING_STATUS=OR","EQY_CONSOLIDATED=Y","Sort=A","Dates=H","DateFormat=P","Fill=—","Direction=H","UseDPDF=Y")</f>
        <v>#NAME?</v>
      </c>
      <c r="BA488" s="1" t="e">
        <f ca="1">_xll.BDH($C$478,"TOTAL_DEBT_5_YEAR_GROWTH","FY 2016","FY 2016","Currency=INR","Period=FY","BEST_FPERIOD_OVERRIDE=FY","FILING_STATUS=OR","EQY_CONSOLIDATED=Y","Sort=A","Dates=H","DateFormat=P","Fill=—","Direction=H","UseDPDF=Y")</f>
        <v>#NAME?</v>
      </c>
      <c r="BB488" s="1" t="e">
        <f ca="1">_xll.BDH($C$478,"GEO_GROW_TOT_SHRHLDR_EQY","FY 2016","FY 2016","Currency=INR","Period=FY","BEST_FPERIOD_OVERRIDE=FY","FILING_STATUS=OR","EQY_CONSOLIDATED=Y","Sort=A","Dates=H","DateFormat=P","Fill=—","Direction=H","UseDPDF=Y")</f>
        <v>#NAME?</v>
      </c>
      <c r="BC488" s="1" t="e">
        <f ca="1">_xll.BDH($C$478,"TOTAL_CAPITAL_5_YEAR_GROWTH","FY 2016","FY 2016","Currency=INR","Period=FY","BEST_FPERIOD_OVERRIDE=FY","FILING_STATUS=OR","EQY_CONSOLIDATED=Y","Sort=A","Dates=H","DateFormat=P","Fill=—","Direction=H","UseDPDF=Y")</f>
        <v>#NAME?</v>
      </c>
      <c r="BD488" s="1" t="e">
        <f ca="1">_xll.BDH($C$478,"GEO_GROW_BOOK_VAL","FY 2016","FY 2016","Currency=INR","Period=FY","BEST_FPERIOD_OVERRIDE=FY","FILING_STATUS=OR","EQY_CONSOLIDATED=Y","Sort=A","Dates=H","DateFormat=P","Fill=—","Direction=H","UseDPDF=Y")</f>
        <v>#NAME?</v>
      </c>
      <c r="BE488" s="1" t="e">
        <f ca="1">_xll.BDH($C$478,"GEO_GROW_CASH_OPER_ACT","FY 2016","FY 2016","Currency=INR","Period=FY","BEST_FPERIOD_OVERRIDE=FY","FILING_STATUS=OR","EQY_CONSOLIDATED=Y","Sort=A","Dates=H","DateFormat=P","Fill=—","Direction=H","UseDPDF=Y")</f>
        <v>#NAME?</v>
      </c>
      <c r="BF488" s="1" t="e">
        <f ca="1">_xll.BDH($C$478,"REVENUE_SEQUENTIAL_GROWTH","FY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88" s="1" t="e">
        <f ca="1">_xll.BDH($C$478,"EBITDA_SEQUENTIAL_GROWTH","FY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88" s="1" t="e">
        <f ca="1">_xll.BDH($C$478,"OPERATING_INCOME_SEQ_GROWTH","FY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88" s="1" t="e">
        <f ca="1">_xll.BDH($C$478,"NET_INCOME_TO_COMMON_SEQ_GROWTH","FY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88" s="1" t="e">
        <f ca="1">_xll.BDH($C$478,"EPS_DILUTED_SEQUENTIAL_GROWTH","FY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88" s="1" t="e">
        <f ca="1">_xll.BDH($C$478,"DPS_SEQUENTIAL_GROWTH","FY 2016","FY 2016","Currency=INR","Period=FY","BEST_FPERIOD_OVERRIDE=FY","FILING_STATUS=OR","EQY_CONSOLIDATED=Y","Sort=A","Dates=H","DateFormat=P","Fill=—","Direction=H","UseDPDF=Y")</f>
        <v>#NAME?</v>
      </c>
      <c r="BL488" s="1" t="e">
        <f ca="1">_xll.BDH($C$478,"ACCOUNTS_RECEIVABLE_SEQ_GROWTH","FY 2016","FY 2016","Currency=INR","Period=FY","BEST_FPERIOD_OVERRIDE=FY","FILING_STATUS=OR","EQY_CONSOLIDATED=Y","Sort=A","Dates=H","DateFormat=P","Fill=—","Direction=H","UseDPDF=Y")</f>
        <v>#NAME?</v>
      </c>
      <c r="BM488" s="1" t="e">
        <f ca="1">_xll.BDH($C$478,"INVENTORY_SEQUENTIAL_GROWTH","FY 2016","FY 2016","Currency=INR","Period=FY","BEST_FPERIOD_OVERRIDE=FY","FILING_STATUS=OR","EQY_CONSOLIDATED=Y","Sort=A","Dates=H","DateFormat=P","Fill=—","Direction=H","UseDPDF=Y")</f>
        <v>#NAME?</v>
      </c>
      <c r="BN488" s="1" t="e">
        <f ca="1">_xll.BDH($C$478,"FIXED_ASSETS_SEQUENTIAL_GROWTH","FY 2016","FY 2016","Currency=INR","Period=FY","BEST_FPERIOD_OVERRIDE=FY","FILING_STATUS=OR","EQY_CONSOLIDATED=Y","Sort=A","Dates=H","DateFormat=P","Fill=—","Direction=H","UseDPDF=Y")</f>
        <v>#NAME?</v>
      </c>
      <c r="BO488" s="1" t="e">
        <f ca="1">_xll.BDH($C$478,"TOTAL_ASSETS_SEQUENTIAL_GROWTH","FY 2016","FY 2016","Currency=INR","Period=FY","BEST_FPERIOD_OVERRIDE=FY","FILING_STATUS=OR","EQY_CONSOLIDATED=Y","Sort=A","Dates=H","DateFormat=P","Fill=—","Direction=H","UseDPDF=Y")</f>
        <v>#NAME?</v>
      </c>
      <c r="BP488" s="1" t="e">
        <f ca="1">_xll.BDH($C$478,"MODIFIED_WORKING_CPTL_SEQ_GRWTH","FY 2016","FY 2016","Currency=INR","Period=FY","BEST_FPERIOD_OVERRIDE=FY","FILING_STATUS=OR","EQY_CONSOLIDATED=Y","Sort=A","Dates=H","DateFormat=P","Fill=—","Direction=H","UseDPDF=Y")</f>
        <v>#NAME?</v>
      </c>
      <c r="BQ488" s="1" t="e">
        <f ca="1">_xll.BDH($C$478,"WORKING_CAPITAL_SEQ_GROWTH","FY 2016","FY 2016","Currency=INR","Period=FY","BEST_FPERIOD_OVERRIDE=FY","FILING_STATUS=OR","EQY_CONSOLIDATED=Y","Sort=A","Dates=H","DateFormat=P","Fill=—","Direction=H","UseDPDF=Y")</f>
        <v>#NAME?</v>
      </c>
      <c r="BR488" s="1" t="e">
        <f ca="1">_xll.BDH($C$478,"ACCOUNTS_PAYABLE_SEQ_GROWTH","FY 2016","FY 2016","Currency=INR","Period=FY","BEST_FPERIOD_OVERRIDE=FY","FILING_STATUS=OR","EQY_CONSOLIDATED=Y","Sort=A","Dates=H","DateFormat=P","Fill=—","Direction=H","UseDPDF=Y")</f>
        <v>#NAME?</v>
      </c>
      <c r="BS488" s="1" t="e">
        <f ca="1">_xll.BDH($C$478,"ST_DEBT_SEQUENTIAL_GROWTH","FY 2016","FY 2016","Currency=INR","Period=FY","BEST_FPERIOD_OVERRIDE=FY","FILING_STATUS=OR","EQY_CONSOLIDATED=Y","Sort=A","Dates=H","DateFormat=P","Fill=—","Direction=H","UseDPDF=Y")</f>
        <v>#NAME?</v>
      </c>
      <c r="BT488" s="1" t="e">
        <f ca="1">_xll.BDH($C$478,"TOTAL_DEBT_SEQUENTIAL_GROWTH","FY 2016","FY 2016","Currency=INR","Period=FY","BEST_FPERIOD_OVERRIDE=FY","FILING_STATUS=OR","EQY_CONSOLIDATED=Y","Sort=A","Dates=H","DateFormat=P","Fill=—","Direction=H","UseDPDF=Y")</f>
        <v>#NAME?</v>
      </c>
      <c r="BU488" s="1" t="e">
        <f ca="1">_xll.BDH($C$478,"TOTAL_EQUITY_SEQUENTIAL_GROWTH","FY 2016","FY 2016","Currency=INR","Period=FY","BEST_FPERIOD_OVERRIDE=FY","FILING_STATUS=OR","EQY_CONSOLIDATED=Y","Sort=A","Dates=H","DateFormat=P","Fill=—","Direction=H","UseDPDF=Y")</f>
        <v>#NAME?</v>
      </c>
      <c r="BV488" s="1" t="e">
        <f ca="1">_xll.BDH($C$478,"TOTAL_CAPITAL_SEQUENTIAL_GROWTH","FY 2016","FY 2016","Currency=INR","Period=FY","BEST_FPERIOD_OVERRIDE=FY","FILING_STATUS=OR","EQY_CONSOLIDATED=Y","Sort=A","Dates=H","DateFormat=P","Fill=—","Direction=H","UseDPDF=Y")</f>
        <v>#NAME?</v>
      </c>
      <c r="BW488" s="1" t="e">
        <f ca="1">_xll.BDH($C$478,"BPS_SEQUENTIAL_GROWTH","FY 2016","FY 2016","Currency=INR","Period=FY","BEST_FPERIOD_OVERRIDE=FY","FILING_STATUS=OR","EQY_CONSOLIDATED=Y","Sort=A","Dates=H","DateFormat=P","Fill=—","Direction=H","UseDPDF=Y")</f>
        <v>#NAME?</v>
      </c>
      <c r="BX488" s="1" t="e">
        <f ca="1">_xll.BDH($C$478,"CFO_SEQUENTIAL_GROWTH","FY 2016","FY 2016","Currency=INR","Period=FY","BEST_FPERIOD_OVERRIDE=FY","FILING_STATUS=OR","EQY_CONSOLIDATED=Y","Sort=A","Dates=H","DateFormat=P","Fill=—","Direction=H","UseDPDF=Y")</f>
        <v>#NAME?</v>
      </c>
      <c r="BY488" s="2" t="e">
        <f ca="1">_xll.BDH($C$478,"SHORT_AND_LONG_TERM_DEBT","FY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88" s="2" t="e">
        <f ca="1">_xll.BDH($C$478,"BS_ST_BORROW","FY 2016","FY 2016","Currency=INR","Period=FY","BEST_FPERIOD_OVERRIDE=FY","FILING_STATUS=OR","EQY_CONSOLIDATED=Y","SCALING_FORMAT=MLN","Sort=A","Dates=H","DateFormat=P","Fill=—","Direction=H","UseDPDF=Y")</f>
        <v>#NAME?</v>
      </c>
      <c r="CA488" s="2" t="e">
        <f ca="1">_xll.BDH($C$478,"BS_LT_BORROW","FY 2016","FY 2016","Currency=INR","Period=FY","BEST_FPERIOD_OVERRIDE=FY","FILING_STATUS=OR","EQY_CONSOLIDATED=Y","SCALING_FORMAT=MLN","Sort=A","Dates=H","DateFormat=P","Fill=—","Direction=H","UseDPDF=Y")</f>
        <v>#NAME?</v>
      </c>
      <c r="CB488" s="1" t="e">
        <f ca="1">_xll.BDH($C$478,"TOT_DEBT_TO_EBITDA","FY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488" s="1" t="e">
        <f ca="1">_xll.BDH($C$478,"NET_DEBT_TO_EBITDA","FY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488" s="1" t="e">
        <f ca="1">_xll.BDH($C$478,"TOTAL_DEBT_TO_EBIT","FY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488" s="1" t="e">
        <f ca="1">_xll.BDH($C$478,"NET_DEBT_TO_EBIT","FY 2016","FY 2016","Currency=INR","Period=FY","BEST_FPERIOD_OVERRIDE=FY","FILING_STATUS=OR","EQY_CONSOLIDATED=Y","FA_ADJUSTED=GAAP","Sort=A","Dates=H","DateFormat=P","Fill=—","Direction=H","UseDPDF=Y")</f>
        <v>#NAME?</v>
      </c>
      <c r="CF488" s="1" t="e">
        <f ca="1">_xll.BDH($C$478,"EBITDA_TO_INTEREST_EXPN","FY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88" s="1" t="e">
        <f ca="1">_xll.BDH($C$478,"COM_EQY_TO_TOT_ASSET","FY 2016","FY 2016","Currency=INR","Period=FY","BEST_FPERIOD_OVERRIDE=FY","FILING_STATUS=OR","EQY_CONSOLIDATED=Y","Sort=A","Dates=H","DateFormat=P","Fill=—","Direction=H","UseDPDF=Y")</f>
        <v>#NAME?</v>
      </c>
      <c r="CH488" s="1" t="e">
        <f ca="1">_xll.BDH($C$478,"LT_DEBT_TO_TOT_EQY","FY 2016","FY 2016","Currency=INR","Period=FY","BEST_FPERIOD_OVERRIDE=FY","FILING_STATUS=OR","EQY_CONSOLIDATED=Y","Sort=A","Dates=H","DateFormat=P","Fill=—","Direction=H","UseDPDF=Y")</f>
        <v>#NAME?</v>
      </c>
      <c r="CI488" s="1" t="e">
        <f ca="1">_xll.BDH($C$478,"LT_DEBT_TO_TOT_CAP","FY 2016","FY 2016","Currency=INR","Period=FY","BEST_FPERIOD_OVERRIDE=FY","FILING_STATUS=OR","EQY_CONSOLIDATED=Y","Sort=A","Dates=H","DateFormat=P","Fill=—","Direction=H","UseDPDF=Y")</f>
        <v>#NAME?</v>
      </c>
      <c r="CJ488" s="1" t="e">
        <f ca="1">_xll.BDH($C$478,"LT_DEBT_TO_TOT_ASSET","FY 2016","FY 2016","Currency=INR","Period=FY","BEST_FPERIOD_OVERRIDE=FY","FILING_STATUS=OR","EQY_CONSOLIDATED=Y","Sort=A","Dates=H","DateFormat=P","Fill=—","Direction=H","UseDPDF=Y")</f>
        <v>#NAME?</v>
      </c>
      <c r="CK488" s="1" t="e">
        <f ca="1">_xll.BDH($C$478,"TOT_DEBT_TO_TOT_EQY","FY 2016","FY 2016","Currency=INR","Period=FY","BEST_FPERIOD_OVERRIDE=FY","FILING_STATUS=OR","EQY_CONSOLIDATED=Y","Sort=A","Dates=H","DateFormat=P","Fill=—","Direction=H","UseDPDF=Y")</f>
        <v>#NAME?</v>
      </c>
      <c r="CL488" s="1" t="e">
        <f ca="1">_xll.BDH($C$478,"TOT_DEBT_TO_TOT_CAP","FY 2016","FY 2016","Currency=INR","Period=FY","BEST_FPERIOD_OVERRIDE=FY","FILING_STATUS=OR","EQY_CONSOLIDATED=Y","Sort=A","Dates=H","DateFormat=P","Fill=—","Direction=H","UseDPDF=Y")</f>
        <v>#NAME?</v>
      </c>
      <c r="CM488" s="1" t="e">
        <f ca="1">_xll.BDH($C$478,"TOT_DEBT_TO_TOT_ASSET","FY 2016","FY 2016","Currency=INR","Period=FY","BEST_FPERIOD_OVERRIDE=FY","FILING_STATUS=OR","EQY_CONSOLIDATED=Y","Sort=A","Dates=H","DateFormat=P","Fill=—","Direction=H","UseDPDF=Y")</f>
        <v>#NAME?</v>
      </c>
      <c r="CN488" s="1" t="e">
        <f ca="1">_xll.BDH($C$478,"NET_DEBT_TO_SHRHLDR_EQTY","FY 2016","FY 2016","Currency=INR","Period=FY","BEST_FPERIOD_OVERRIDE=FY","FILING_STATUS=OR","EQY_CONSOLIDATED=Y","Sort=A","Dates=H","DateFormat=P","Fill=—","Direction=H","UseDPDF=Y")</f>
        <v>#NAME?</v>
      </c>
      <c r="CO488" s="1" t="e">
        <f ca="1">_xll.BDH($C$478,"NET_DEBT_%_CAPITAL","FY 2016","FY 2016","Currency=INR","Period=FY","BEST_FPERIOD_OVERRIDE=FY","FILING_STATUS=OR","EQY_CONSOLIDATED=Y","Sort=A","Dates=H","DateFormat=P","Fill=—","Direction=H","UseDPDF=Y")</f>
        <v>#NAME?</v>
      </c>
      <c r="CP488" s="2" t="e">
        <f ca="1">_xll.BDH($C$478,"EBITDA","FY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88" s="2" t="e">
        <f ca="1">_xll.BDH($C$478,"EBITDA_AFTER_CAPEX","FY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88" s="2" t="e">
        <f ca="1">_xll.BDH($C$478,"IS_OPER_INC","FY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88" s="1" t="e">
        <f ca="1">_xll.BDH($C$478,"CASH_RATIO","FY 2016","FY 2016","Currency=INR","Period=FY","BEST_FPERIOD_OVERRIDE=FY","FILING_STATUS=OR","EQY_CONSOLIDATED=Y","Sort=A","Dates=H","DateFormat=P","Fill=—","Direction=H","UseDPDF=Y")</f>
        <v>#NAME?</v>
      </c>
      <c r="CT488" s="1" t="e">
        <f ca="1">_xll.BDH($C$478,"CUR_RATIO","FY 2016","FY 2016","Currency=INR","Period=FY","BEST_FPERIOD_OVERRIDE=FY","FILING_STATUS=OR","EQY_CONSOLIDATED=Y","Sort=A","Dates=H","DateFormat=P","Fill=—","Direction=H","UseDPDF=Y")</f>
        <v>#NAME?</v>
      </c>
      <c r="CU488" s="1" t="e">
        <f ca="1">_xll.BDH($C$478,"QUICK_RATIO","FY 2016","FY 2016","Currency=INR","Period=FY","BEST_FPERIOD_OVERRIDE=FY","FILING_STATUS=OR","EQY_CONSOLIDATED=Y","Sort=A","Dates=H","DateFormat=P","Fill=—","Direction=H","UseDPDF=Y")</f>
        <v>#NAME?</v>
      </c>
      <c r="CV488" s="1" t="e">
        <f ca="1">_xll.BDH($C$478,"ALTMAN_Z_SCORE","FY 2016","FY 2016","Currency=INR","Period=FY","BEST_FPERIOD_OVERRIDE=FY","FILING_STATUS=OR","EQY_CONSOLIDATED=Y","Sort=A","Dates=H","DateFormat=P","Fill=—","Direction=H","UseDPDF=Y")</f>
        <v>#NAME?</v>
      </c>
      <c r="CW488" s="3" t="e">
        <f ca="1">_xll.BDH($C$478,"ACCT_RCV_TURN","FY 2016","FY 2016","Currency=INR","Period=FY","BEST_FPERIOD_OVERRIDE=FY","FILING_STATUS=OR","EQY_CONSOLIDATED=Y","FA_ADJUSTED=GAAP","Sort=A","Dates=H","DateFormat=P","Fill=—","Direction=H","UseDPDF=Y")</f>
        <v>#NAME?</v>
      </c>
      <c r="CX488" s="1" t="e">
        <f ca="1">_xll.BDH($C$478,"ACCT_RCV_DAYS","FY 2016","FY 2016","Currency=INR","Period=FY","BEST_FPERIOD_OVERRIDE=FY","FILING_STATUS=OR","EQY_CONSOLIDATED=Y","FA_ADJUSTED=GAAP","Sort=A","Dates=H","DateFormat=P","Fill=—","Direction=H","UseDPDF=Y")</f>
        <v>#NAME?</v>
      </c>
      <c r="CY488" s="3" t="e">
        <f ca="1">_xll.BDH($C$478,"INVENT_TURN","FY 2016","FY 2016","Currency=INR","Period=FY","BEST_FPERIOD_OVERRIDE=FY","FILING_STATUS=OR","EQY_CONSOLIDATED=Y","FA_ADJUSTED=GAAP","Sort=A","Dates=H","DateFormat=P","Fill=—","Direction=H","UseDPDF=Y")</f>
        <v>#NAME?</v>
      </c>
      <c r="CZ488" s="1" t="e">
        <f ca="1">_xll.BDH($C$478,"INVENT_DAYS","FY 2016","FY 2016","Currency=INR","Period=FY","BEST_FPERIOD_OVERRIDE=FY","FILING_STATUS=OR","EQY_CONSOLIDATED=Y","FA_ADJUSTED=GAAP","Sort=A","Dates=H","DateFormat=P","Fill=—","Direction=H","UseDPDF=Y")</f>
        <v>#NAME?</v>
      </c>
      <c r="DA488" s="3" t="e">
        <f ca="1">_xll.BDH($C$478,"ACCOUNTS_PAYABLE_TURNOVER","FY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88" s="1" t="e">
        <f ca="1">_xll.BDH($C$478,"ACCOUNTS_PAYABLE_TURNOVER_DAYS","FY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88" s="3" t="e">
        <f ca="1">_xll.BDH($C$478,"CASH_CONVERSION_CYCLE","FY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88" s="3" t="e">
        <f ca="1">_xll.BDH($C$478,"INV_TO_CASH_DAYS","FY 2016","FY 2016","Currency=INR","Period=FY","BEST_FPERIOD_OVERRIDE=FY","FILING_STATUS=OR","EQY_CONSOLIDATED=Y","FA_ADJUSTED=GAAP","Sort=A","Dates=H","DateFormat=P","Fill=—","Direction=H","UseDPDF=Y")</f>
        <v>#NAME?</v>
      </c>
      <c r="DE488" s="4" t="e">
        <f ca="1">_xll.BDH($C$478,"BS_INVENTORIES","FY 2016","FY 2016","Currency=INR","Period=FY","BEST_FPERIOD_OVERRIDE=FY","FILING_STATUS=OR","EQY_CONSOLIDATED=Y","SCALING_FORMAT=MLN","Sort=A","Dates=H","DateFormat=P","Fill=—","Direction=H","UseDPDF=Y")</f>
        <v>#NAME?</v>
      </c>
      <c r="DF488" s="2" t="e">
        <f ca="1">_xll.BDH($C$478,"INVTRY_RAW_MATERIALS","FY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88" s="2" t="e">
        <f ca="1">_xll.BDH($C$478,"INVTRY_IN_PROGRESS","FY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88" s="2" t="e">
        <f ca="1">_xll.BDH($C$478,"INVTRY_FINISHED_GOODS","FY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88" s="2" t="e">
        <f ca="1">_xll.BDH($C$478,"BS_OTHER_INV","FY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89" spans="1:113" x14ac:dyDescent="0.3">
      <c r="A489" s="6"/>
      <c r="B489" s="6"/>
      <c r="C489" s="6"/>
      <c r="D489" s="6"/>
      <c r="E489" t="s">
        <v>4</v>
      </c>
      <c r="F489" t="e">
        <f ca="1">_xll.BDH($C$478,"RETURN_COM_EQY","FQ1 2016","FQ1 2016","Currency=INR","Period=FQ","BEST_FPERIOD_OVERRIDE=FQ","FILING_STATUS=OR","EQY_CONSOLIDATED=Y","FA_ADJUSTED=GAAP","Sort=A","Dates=H","DateFormat=P","Fill=—","Direction=H","UseDPDF=Y")</f>
        <v>#NAME?</v>
      </c>
      <c r="G489" t="e">
        <f ca="1">_xll.BDH($C$478,"RETURN_ON_ASSET","FQ1 2016","FQ1 2016","Currency=INR","Period=FQ","BEST_FPERIOD_OVERRIDE=FQ","FILING_STATUS=OR","EQY_CONSOLIDATED=Y","FA_ADJUSTED=GAAP","Sort=A","Dates=H","DateFormat=P","Fill=—","Direction=H","UseDPDF=Y")</f>
        <v>#NAME?</v>
      </c>
      <c r="H489" t="e">
        <f ca="1">_xll.BDH($C$478,"RETURN_ON_CAP","FQ1 2016","FQ1 2016","Currency=INR","Period=FQ","BEST_FPERIOD_OVERRIDE=FQ","FILING_STATUS=OR","EQY_CONSOLIDATED=Y","FA_ADJUSTED=GAAP","Sort=A","Dates=H","DateFormat=P","Fill=—","Direction=H","UseDPDF=Y")</f>
        <v>#NAME?</v>
      </c>
      <c r="I489" t="e">
        <f ca="1">_xll.BDH($C$478,"RETURN_ON_INV_CAPITAL","FQ1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89" t="e">
        <f ca="1">_xll.BDH($C$478,"EBITDA_TO_REVENUE","FQ1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489" t="e">
        <f ca="1">_xll.BDH($C$478,"OPER_MARGIN","FQ1 2016","FQ1 2016","Currency=INR","Period=FQ","BEST_FPERIOD_OVERRIDE=FQ","FILING_STATUS=OR","EQY_CONSOLIDATED=Y","FA_ADJUSTED=GAAP","Sort=A","Dates=H","DateFormat=P","Fill=—","Direction=H","UseDPDF=Y")</f>
        <v>#NAME?</v>
      </c>
      <c r="L489" t="e">
        <f ca="1">_xll.BDH($C$478,"INCREMENTAL_OPERATING_MARGIN","FQ1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89" t="e">
        <f ca="1">_xll.BDH($C$478,"PRETAX_INC_TO_NET_SALES","FQ1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89" t="e">
        <f ca="1">_xll.BDH($C$478,"INC_BEF_XO_ITEMS_TO_NET_SALES","FQ1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89" t="e">
        <f ca="1">_xll.BDH($C$478,"PROF_MARGIN","FQ1 2016","FQ1 2016","Currency=INR","Period=FQ","BEST_FPERIOD_OVERRIDE=FQ","FILING_STATUS=OR","EQY_CONSOLIDATED=Y","FA_ADJUSTED=GAAP","Sort=A","Dates=H","DateFormat=P","Fill=—","Direction=H","UseDPDF=Y")</f>
        <v>#NAME?</v>
      </c>
      <c r="P489" t="e">
        <f ca="1">_xll.BDH($C$478,"NET_INCOME_TO_COMMON_MARGIN","FQ1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89" t="e">
        <f ca="1">_xll.BDH($C$478,"EFF_TAX_RATE","FQ1 2016","FQ1 2016","Currency=INR","Period=FQ","BEST_FPERIOD_OVERRIDE=FQ","FILING_STATUS=OR","EQY_CONSOLIDATED=Y","FA_ADJUSTED=GAAP","Sort=A","Dates=H","DateFormat=P","Fill=—","Direction=H","UseDPDF=Y")</f>
        <v>#NAME?</v>
      </c>
      <c r="R489" t="e">
        <f ca="1">_xll.BDH($C$478,"DVD_PAYOUT_RATIO","FQ1 2016","FQ1 2016","Currency=INR","Period=FQ","BEST_FPERIOD_OVERRIDE=FQ","FILING_STATUS=OR","EQY_CONSOLIDATED=Y","FA_ADJUSTED=GAAP","Sort=A","Dates=H","DateFormat=P","Fill=—","Direction=H","UseDPDF=Y")</f>
        <v>#NAME?</v>
      </c>
      <c r="S489" t="e">
        <f ca="1">_xll.BDH($C$478,"SUSTAIN_GROWTH_RT","FQ1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489" s="1" t="e">
        <f ca="1">_xll.BDH($C$478,"SALES_GROWTH","FQ1 2016","FQ1 2016","Currency=INR","Period=FQ","BEST_FPERIOD_OVERRIDE=FQ","FILING_STATUS=OR","EQY_CONSOLIDATED=Y","FA_ADJUSTED=GAAP","Sort=A","Dates=H","DateFormat=P","Fill=—","Direction=H","UseDPDF=Y")</f>
        <v>#NAME?</v>
      </c>
      <c r="U489" s="1" t="e">
        <f ca="1">_xll.BDH($C$478,"EBITDA_GROWTH","FQ1 2016","FQ1 2016","Currency=INR","Period=FQ","BEST_FPERIOD_OVERRIDE=FQ","FILING_STATUS=OR","EQY_CONSOLIDATED=Y","FA_ADJUSTED=GAAP","Sort=A","Dates=H","DateFormat=P","Fill=—","Direction=H","UseDPDF=Y")</f>
        <v>#NAME?</v>
      </c>
      <c r="V489" s="1" t="e">
        <f ca="1">_xll.BDH($C$478,"OPER_INC_GROWTH","FQ1 2016","FQ1 2016","Currency=INR","Period=FQ","BEST_FPERIOD_OVERRIDE=FQ","FILING_STATUS=OR","EQY_CONSOLIDATED=Y","FA_ADJUSTED=GAAP","Sort=A","Dates=H","DateFormat=P","Fill=—","Direction=H","UseDPDF=Y")</f>
        <v>#NAME?</v>
      </c>
      <c r="W489" s="1" t="e">
        <f ca="1">_xll.BDH($C$478,"EARN_FOR_COM_GROWTH","FQ1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89" s="1" t="e">
        <f ca="1">_xll.BDH($C$478,"DILUTED_EPS_AFT_XO_ITEMS_GROWTH","FQ1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89" s="1" t="e">
        <f ca="1">_xll.BDH($C$478,"DIVIDEND_PER_SHARE_1_YEAR_GROWTH","FQ1 2016","FQ1 2016","Currency=INR","Period=FQ","BEST_FPERIOD_OVERRIDE=FQ","FILING_STATUS=OR","EQY_CONSOLIDATED=Y","Sort=A","Dates=H","DateFormat=P","Fill=—","Direction=H","UseDPDF=Y")</f>
        <v>#NAME?</v>
      </c>
      <c r="Z489" s="1" t="e">
        <f ca="1">_xll.BDH($C$478,"ACCOUNTS_RECEIVABLE_GROWTH","FQ1 2016","FQ1 2016","Currency=INR","Period=FQ","BEST_FPERIOD_OVERRIDE=FQ","FILING_STATUS=OR","EQY_CONSOLIDATED=Y","Sort=A","Dates=H","DateFormat=P","Fill=—","Direction=H","UseDPDF=Y")</f>
        <v>#NAME?</v>
      </c>
      <c r="AA489" s="1" t="e">
        <f ca="1">_xll.BDH($C$478,"INVENTORY_GROWTH","FQ1 2016","FQ1 2016","Currency=INR","Period=FQ","BEST_FPERIOD_OVERRIDE=FQ","FILING_STATUS=OR","EQY_CONSOLIDATED=Y","Sort=A","Dates=H","DateFormat=P","Fill=—","Direction=H","UseDPDF=Y")</f>
        <v>#NAME?</v>
      </c>
      <c r="AB489" s="1" t="e">
        <f ca="1">_xll.BDH($C$478,"NET_FIXED_ASSETS_1_YEAR_GROWTH","FQ1 2016","FQ1 2016","Currency=INR","Period=FQ","BEST_FPERIOD_OVERRIDE=FQ","FILING_STATUS=OR","EQY_CONSOLIDATED=Y","Sort=A","Dates=H","DateFormat=P","Fill=—","Direction=H","UseDPDF=Y")</f>
        <v>#NAME?</v>
      </c>
      <c r="AC489" s="1" t="e">
        <f ca="1">_xll.BDH($C$478,"ASSET_GROWTH","FQ1 2016","FQ1 2016","Currency=INR","Period=FQ","BEST_FPERIOD_OVERRIDE=FQ","FILING_STATUS=OR","EQY_CONSOLIDATED=Y","Sort=A","Dates=H","DateFormat=P","Fill=—","Direction=H","UseDPDF=Y")</f>
        <v>#NAME?</v>
      </c>
      <c r="AD489" s="1" t="e">
        <f ca="1">_xll.BDH($C$478,"MODIFIED_WORK_CAP_GROWTH","FQ1 2016","FQ1 2016","Currency=INR","Period=FQ","BEST_FPERIOD_OVERRIDE=FQ","FILING_STATUS=OR","EQY_CONSOLIDATED=Y","Sort=A","Dates=H","DateFormat=P","Fill=—","Direction=H","UseDPDF=Y")</f>
        <v>#NAME?</v>
      </c>
      <c r="AE489" s="1" t="e">
        <f ca="1">_xll.BDH($C$478,"WORK_CAP_GROWTH","FQ1 2016","FQ1 2016","Currency=INR","Period=FQ","BEST_FPERIOD_OVERRIDE=FQ","FILING_STATUS=OR","EQY_CONSOLIDATED=Y","Sort=A","Dates=H","DateFormat=P","Fill=—","Direction=H","UseDPDF=Y")</f>
        <v>#NAME?</v>
      </c>
      <c r="AF489" s="1" t="e">
        <f ca="1">_xll.BDH($C$478,"ACCOUNTS_PAYABLE_GROWTH_1YR","FQ1 2016","FQ1 2016","Currency=INR","Period=FQ","BEST_FPERIOD_OVERRIDE=FQ","FILING_STATUS=OR","EQY_CONSOLIDATED=Y","Sort=A","Dates=H","DateFormat=P","Fill=—","Direction=H","UseDPDF=Y")</f>
        <v>#NAME?</v>
      </c>
      <c r="AG489" s="1" t="e">
        <f ca="1">_xll.BDH($C$478,"SHORT_TERM_DEBT_1_YEAR_GROWTH","FQ1 2016","FQ1 2016","Currency=INR","Period=FQ","BEST_FPERIOD_OVERRIDE=FQ","FILING_STATUS=OR","EQY_CONSOLIDATED=Y","Sort=A","Dates=H","DateFormat=P","Fill=—","Direction=H","UseDPDF=Y")</f>
        <v>#NAME?</v>
      </c>
      <c r="AH489" s="1" t="e">
        <f ca="1">_xll.BDH($C$478,"TOTAL_DEBT_1_YEAR_GROWTH","FQ1 2016","FQ1 2016","Currency=INR","Period=FQ","BEST_FPERIOD_OVERRIDE=FQ","FILING_STATUS=OR","EQY_CONSOLIDATED=Y","Sort=A","Dates=H","DateFormat=P","Fill=—","Direction=H","UseDPDF=Y")</f>
        <v>#NAME?</v>
      </c>
      <c r="AI489" s="1" t="e">
        <f ca="1">_xll.BDH($C$478,"TOTAL_EQUITY_1_YEAR_GROWTH","FQ1 2016","FQ1 2016","Currency=INR","Period=FQ","BEST_FPERIOD_OVERRIDE=FQ","FILING_STATUS=OR","EQY_CONSOLIDATED=Y","Sort=A","Dates=H","DateFormat=P","Fill=—","Direction=H","UseDPDF=Y")</f>
        <v>#NAME?</v>
      </c>
      <c r="AJ489" s="1" t="e">
        <f ca="1">_xll.BDH($C$478,"GROWTH_IN_CAP","FQ1 2016","FQ1 2016","Currency=INR","Period=FQ","BEST_FPERIOD_OVERRIDE=FQ","FILING_STATUS=OR","EQY_CONSOLIDATED=Y","Sort=A","Dates=H","DateFormat=P","Fill=—","Direction=H","UseDPDF=Y")</f>
        <v>#NAME?</v>
      </c>
      <c r="AK489" s="1" t="e">
        <f ca="1">_xll.BDH($C$478,"BVPS_GROWTH","FQ1 2016","FQ1 2016","Currency=INR","Period=FQ","BEST_FPERIOD_OVERRIDE=FQ","FILING_STATUS=OR","EQY_CONSOLIDATED=Y","Sort=A","Dates=H","DateFormat=P","Fill=—","Direction=H","UseDPDF=Y")</f>
        <v>#NAME?</v>
      </c>
      <c r="AL489" s="1" t="e">
        <f ca="1">_xll.BDH($C$478,"CASH_FLOW_GROWTH","FQ1 2016","FQ1 2016","Currency=INR","Period=FQ","BEST_FPERIOD_OVERRIDE=FQ","FILING_STATUS=OR","EQY_CONSOLIDATED=Y","Sort=A","Dates=H","DateFormat=P","Fill=—","Direction=H","UseDPDF=Y")</f>
        <v>#NAME?</v>
      </c>
      <c r="AM489" s="1" t="e">
        <f ca="1">_xll.BDH($C$478,"GEO_GROW_NET_SALES","FQ1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89" s="1" t="e">
        <f ca="1">_xll.BDH($C$478,"GEO_GROW_EBITDA","FQ1 2016","FQ1 2016","Currency=INR","Period=FQ","BEST_FPERIOD_OVERRIDE=FQ","FILING_STATUS=OR","EQY_CONSOLIDATED=Y","FA_ADJUSTED=GAAP","Sort=A","Dates=H","DateFormat=P","Fill=—","Direction=H","UseDPDF=Y")</f>
        <v>#NAME?</v>
      </c>
      <c r="AO489" s="1" t="e">
        <f ca="1">_xll.BDH($C$478,"GEO_GROW_OPER_INC","FQ1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89" s="1" t="e">
        <f ca="1">_xll.BDH($C$478,"NET_INCOME_TO_COMMON_5_YR_GROWTH","FQ1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89" s="1" t="e">
        <f ca="1">_xll.BDH($C$478,"5Y_GEO_GROWTH_DILUTED_EPS","FQ1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89" s="1" t="e">
        <f ca="1">_xll.BDH($C$478,"GEO_GROW_DVD_PER_SH","FQ1 2016","FQ1 2016","Currency=INR","Period=FQ","BEST_FPERIOD_OVERRIDE=FQ","FILING_STATUS=OR","EQY_CONSOLIDATED=Y","Sort=A","Dates=H","DateFormat=P","Fill=—","Direction=H","UseDPDF=Y")</f>
        <v>#NAME?</v>
      </c>
      <c r="AS489" s="1" t="e">
        <f ca="1">_xll.BDH($C$478,"ACCOUNTS_RECEIVABLE_5_YR_GROWTH","FQ1 2016","FQ1 2016","Currency=INR","Period=FQ","BEST_FPERIOD_OVERRIDE=FQ","FILING_STATUS=OR","EQY_CONSOLIDATED=Y","Sort=A","Dates=H","DateFormat=P","Fill=—","Direction=H","UseDPDF=Y")</f>
        <v>#NAME?</v>
      </c>
      <c r="AT489" s="1" t="e">
        <f ca="1">_xll.BDH($C$478,"INVENTORY_5_YEAR_GROWTH","FQ1 2016","FQ1 2016","Currency=INR","Period=FQ","BEST_FPERIOD_OVERRIDE=FQ","FILING_STATUS=OR","EQY_CONSOLIDATED=Y","Sort=A","Dates=H","DateFormat=P","Fill=—","Direction=H","UseDPDF=Y")</f>
        <v>#NAME?</v>
      </c>
      <c r="AU489" s="1" t="e">
        <f ca="1">_xll.BDH($C$478,"NET_FIXED_ASSETS_5_YEAR_GROWTH","FQ1 2016","FQ1 2016","Currency=INR","Period=FQ","BEST_FPERIOD_OVERRIDE=FQ","FILING_STATUS=OR","EQY_CONSOLIDATED=Y","Sort=A","Dates=H","DateFormat=P","Fill=—","Direction=H","UseDPDF=Y")</f>
        <v>#NAME?</v>
      </c>
      <c r="AV489" s="1" t="e">
        <f ca="1">_xll.BDH($C$478,"GEO_GROW_TOT_ASSET","FQ1 2016","FQ1 2016","Currency=INR","Period=FQ","BEST_FPERIOD_OVERRIDE=FQ","FILING_STATUS=OR","EQY_CONSOLIDATED=Y","Sort=A","Dates=H","DateFormat=P","Fill=—","Direction=H","UseDPDF=Y")</f>
        <v>#NAME?</v>
      </c>
      <c r="AW489" s="1" t="e">
        <f ca="1">_xll.BDH($C$478,"MODIFIED_WORKING_CPTL_5YR_GRWTH","FQ1 2016","FQ1 2016","Currency=INR","Period=FQ","BEST_FPERIOD_OVERRIDE=FQ","FILING_STATUS=OR","EQY_CONSOLIDATED=Y","Sort=A","Dates=H","DateFormat=P","Fill=—","Direction=H","UseDPDF=Y")</f>
        <v>#NAME?</v>
      </c>
      <c r="AX489" s="1" t="e">
        <f ca="1">_xll.BDH($C$478,"WORKING_CAPITAL_5_YEAR_GROWTH","FQ1 2016","FQ1 2016","Currency=INR","Period=FQ","BEST_FPERIOD_OVERRIDE=FQ","FILING_STATUS=OR","EQY_CONSOLIDATED=Y","Sort=A","Dates=H","DateFormat=P","Fill=—","Direction=H","UseDPDF=Y")</f>
        <v>#NAME?</v>
      </c>
      <c r="AY489" s="1" t="e">
        <f ca="1">_xll.BDH($C$478,"ACCOUNTS_PAYABLE_5_YEAR_GROWTH","FQ1 2016","FQ1 2016","Currency=INR","Period=FQ","BEST_FPERIOD_OVERRIDE=FQ","FILING_STATUS=OR","EQY_CONSOLIDATED=Y","Sort=A","Dates=H","DateFormat=P","Fill=—","Direction=H","UseDPDF=Y")</f>
        <v>#NAME?</v>
      </c>
      <c r="AZ489" s="1" t="e">
        <f ca="1">_xll.BDH($C$478,"SHORT_TERM_DEBT_5_YEAR_GROWTH","FQ1 2016","FQ1 2016","Currency=INR","Period=FQ","BEST_FPERIOD_OVERRIDE=FQ","FILING_STATUS=OR","EQY_CONSOLIDATED=Y","Sort=A","Dates=H","DateFormat=P","Fill=—","Direction=H","UseDPDF=Y")</f>
        <v>#NAME?</v>
      </c>
      <c r="BA489" s="1" t="e">
        <f ca="1">_xll.BDH($C$478,"TOTAL_DEBT_5_YEAR_GROWTH","FQ1 2016","FQ1 2016","Currency=INR","Period=FQ","BEST_FPERIOD_OVERRIDE=FQ","FILING_STATUS=OR","EQY_CONSOLIDATED=Y","Sort=A","Dates=H","DateFormat=P","Fill=—","Direction=H","UseDPDF=Y")</f>
        <v>#NAME?</v>
      </c>
      <c r="BB489" s="1" t="e">
        <f ca="1">_xll.BDH($C$478,"GEO_GROW_TOT_SHRHLDR_EQY","FQ1 2016","FQ1 2016","Currency=INR","Period=FQ","BEST_FPERIOD_OVERRIDE=FQ","FILING_STATUS=OR","EQY_CONSOLIDATED=Y","Sort=A","Dates=H","DateFormat=P","Fill=—","Direction=H","UseDPDF=Y")</f>
        <v>#NAME?</v>
      </c>
      <c r="BC489" s="1" t="e">
        <f ca="1">_xll.BDH($C$478,"TOTAL_CAPITAL_5_YEAR_GROWTH","FQ1 2016","FQ1 2016","Currency=INR","Period=FQ","BEST_FPERIOD_OVERRIDE=FQ","FILING_STATUS=OR","EQY_CONSOLIDATED=Y","Sort=A","Dates=H","DateFormat=P","Fill=—","Direction=H","UseDPDF=Y")</f>
        <v>#NAME?</v>
      </c>
      <c r="BD489" s="1" t="e">
        <f ca="1">_xll.BDH($C$478,"GEO_GROW_BOOK_VAL","FQ1 2016","FQ1 2016","Currency=INR","Period=FQ","BEST_FPERIOD_OVERRIDE=FQ","FILING_STATUS=OR","EQY_CONSOLIDATED=Y","Sort=A","Dates=H","DateFormat=P","Fill=—","Direction=H","UseDPDF=Y")</f>
        <v>#NAME?</v>
      </c>
      <c r="BE489" s="1" t="e">
        <f ca="1">_xll.BDH($C$478,"GEO_GROW_CASH_OPER_ACT","FQ1 2016","FQ1 2016","Currency=INR","Period=FQ","BEST_FPERIOD_OVERRIDE=FQ","FILING_STATUS=OR","EQY_CONSOLIDATED=Y","Sort=A","Dates=H","DateFormat=P","Fill=—","Direction=H","UseDPDF=Y")</f>
        <v>#NAME?</v>
      </c>
      <c r="BF489" s="1" t="e">
        <f ca="1">_xll.BDH($C$478,"REVENUE_SEQUENTIAL_GROWTH","FQ1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89" s="1" t="e">
        <f ca="1">_xll.BDH($C$478,"EBITDA_SEQUENTIAL_GROWTH","FQ1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89" s="1" t="e">
        <f ca="1">_xll.BDH($C$478,"OPERATING_INCOME_SEQ_GROWTH","FQ1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89" s="1" t="e">
        <f ca="1">_xll.BDH($C$478,"NET_INCOME_TO_COMMON_SEQ_GROWTH","FQ1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89" s="1" t="e">
        <f ca="1">_xll.BDH($C$478,"EPS_DILUTED_SEQUENTIAL_GROWTH","FQ1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89" s="1" t="e">
        <f ca="1">_xll.BDH($C$478,"DPS_SEQUENTIAL_GROWTH","FQ1 2016","FQ1 2016","Currency=INR","Period=FQ","BEST_FPERIOD_OVERRIDE=FQ","FILING_STATUS=OR","EQY_CONSOLIDATED=Y","Sort=A","Dates=H","DateFormat=P","Fill=—","Direction=H","UseDPDF=Y")</f>
        <v>#NAME?</v>
      </c>
      <c r="BL489" s="1" t="e">
        <f ca="1">_xll.BDH($C$478,"ACCOUNTS_RECEIVABLE_SEQ_GROWTH","FQ1 2016","FQ1 2016","Currency=INR","Period=FQ","BEST_FPERIOD_OVERRIDE=FQ","FILING_STATUS=OR","EQY_CONSOLIDATED=Y","Sort=A","Dates=H","DateFormat=P","Fill=—","Direction=H","UseDPDF=Y")</f>
        <v>#NAME?</v>
      </c>
      <c r="BM489" s="1" t="e">
        <f ca="1">_xll.BDH($C$478,"INVENTORY_SEQUENTIAL_GROWTH","FQ1 2016","FQ1 2016","Currency=INR","Period=FQ","BEST_FPERIOD_OVERRIDE=FQ","FILING_STATUS=OR","EQY_CONSOLIDATED=Y","Sort=A","Dates=H","DateFormat=P","Fill=—","Direction=H","UseDPDF=Y")</f>
        <v>#NAME?</v>
      </c>
      <c r="BN489" s="1" t="e">
        <f ca="1">_xll.BDH($C$478,"FIXED_ASSETS_SEQUENTIAL_GROWTH","FQ1 2016","FQ1 2016","Currency=INR","Period=FQ","BEST_FPERIOD_OVERRIDE=FQ","FILING_STATUS=OR","EQY_CONSOLIDATED=Y","Sort=A","Dates=H","DateFormat=P","Fill=—","Direction=H","UseDPDF=Y")</f>
        <v>#NAME?</v>
      </c>
      <c r="BO489" s="1" t="e">
        <f ca="1">_xll.BDH($C$478,"TOTAL_ASSETS_SEQUENTIAL_GROWTH","FQ1 2016","FQ1 2016","Currency=INR","Period=FQ","BEST_FPERIOD_OVERRIDE=FQ","FILING_STATUS=OR","EQY_CONSOLIDATED=Y","Sort=A","Dates=H","DateFormat=P","Fill=—","Direction=H","UseDPDF=Y")</f>
        <v>#NAME?</v>
      </c>
      <c r="BP489" s="1" t="e">
        <f ca="1">_xll.BDH($C$478,"MODIFIED_WORKING_CPTL_SEQ_GRWTH","FQ1 2016","FQ1 2016","Currency=INR","Period=FQ","BEST_FPERIOD_OVERRIDE=FQ","FILING_STATUS=OR","EQY_CONSOLIDATED=Y","Sort=A","Dates=H","DateFormat=P","Fill=—","Direction=H","UseDPDF=Y")</f>
        <v>#NAME?</v>
      </c>
      <c r="BQ489" s="1" t="e">
        <f ca="1">_xll.BDH($C$478,"WORKING_CAPITAL_SEQ_GROWTH","FQ1 2016","FQ1 2016","Currency=INR","Period=FQ","BEST_FPERIOD_OVERRIDE=FQ","FILING_STATUS=OR","EQY_CONSOLIDATED=Y","Sort=A","Dates=H","DateFormat=P","Fill=—","Direction=H","UseDPDF=Y")</f>
        <v>#NAME?</v>
      </c>
      <c r="BR489" s="1" t="e">
        <f ca="1">_xll.BDH($C$478,"ACCOUNTS_PAYABLE_SEQ_GROWTH","FQ1 2016","FQ1 2016","Currency=INR","Period=FQ","BEST_FPERIOD_OVERRIDE=FQ","FILING_STATUS=OR","EQY_CONSOLIDATED=Y","Sort=A","Dates=H","DateFormat=P","Fill=—","Direction=H","UseDPDF=Y")</f>
        <v>#NAME?</v>
      </c>
      <c r="BS489" s="1" t="e">
        <f ca="1">_xll.BDH($C$478,"ST_DEBT_SEQUENTIAL_GROWTH","FQ1 2016","FQ1 2016","Currency=INR","Period=FQ","BEST_FPERIOD_OVERRIDE=FQ","FILING_STATUS=OR","EQY_CONSOLIDATED=Y","Sort=A","Dates=H","DateFormat=P","Fill=—","Direction=H","UseDPDF=Y")</f>
        <v>#NAME?</v>
      </c>
      <c r="BT489" s="1" t="e">
        <f ca="1">_xll.BDH($C$478,"TOTAL_DEBT_SEQUENTIAL_GROWTH","FQ1 2016","FQ1 2016","Currency=INR","Period=FQ","BEST_FPERIOD_OVERRIDE=FQ","FILING_STATUS=OR","EQY_CONSOLIDATED=Y","Sort=A","Dates=H","DateFormat=P","Fill=—","Direction=H","UseDPDF=Y")</f>
        <v>#NAME?</v>
      </c>
      <c r="BU489" s="1" t="e">
        <f ca="1">_xll.BDH($C$478,"TOTAL_EQUITY_SEQUENTIAL_GROWTH","FQ1 2016","FQ1 2016","Currency=INR","Period=FQ","BEST_FPERIOD_OVERRIDE=FQ","FILING_STATUS=OR","EQY_CONSOLIDATED=Y","Sort=A","Dates=H","DateFormat=P","Fill=—","Direction=H","UseDPDF=Y")</f>
        <v>#NAME?</v>
      </c>
      <c r="BV489" s="1" t="e">
        <f ca="1">_xll.BDH($C$478,"TOTAL_CAPITAL_SEQUENTIAL_GROWTH","FQ1 2016","FQ1 2016","Currency=INR","Period=FQ","BEST_FPERIOD_OVERRIDE=FQ","FILING_STATUS=OR","EQY_CONSOLIDATED=Y","Sort=A","Dates=H","DateFormat=P","Fill=—","Direction=H","UseDPDF=Y")</f>
        <v>#NAME?</v>
      </c>
      <c r="BW489" s="1" t="e">
        <f ca="1">_xll.BDH($C$478,"BPS_SEQUENTIAL_GROWTH","FQ1 2016","FQ1 2016","Currency=INR","Period=FQ","BEST_FPERIOD_OVERRIDE=FQ","FILING_STATUS=OR","EQY_CONSOLIDATED=Y","Sort=A","Dates=H","DateFormat=P","Fill=—","Direction=H","UseDPDF=Y")</f>
        <v>#NAME?</v>
      </c>
      <c r="BX489" s="1" t="e">
        <f ca="1">_xll.BDH($C$478,"CFO_SEQUENTIAL_GROWTH","FQ1 2016","FQ1 2016","Currency=INR","Period=FQ","BEST_FPERIOD_OVERRIDE=FQ","FILING_STATUS=OR","EQY_CONSOLIDATED=Y","Sort=A","Dates=H","DateFormat=P","Fill=—","Direction=H","UseDPDF=Y")</f>
        <v>#NAME?</v>
      </c>
      <c r="BY489" s="2" t="e">
        <f ca="1">_xll.BDH($C$478,"SHORT_AND_LONG_TERM_DEBT","FQ1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89" s="2" t="e">
        <f ca="1">_xll.BDH($C$478,"BS_ST_BORROW","FQ1 2016","FQ1 2016","Currency=INR","Period=FQ","BEST_FPERIOD_OVERRIDE=FQ","FILING_STATUS=OR","EQY_CONSOLIDATED=Y","SCALING_FORMAT=MLN","Sort=A","Dates=H","DateFormat=P","Fill=—","Direction=H","UseDPDF=Y")</f>
        <v>#NAME?</v>
      </c>
      <c r="CA489" s="2" t="e">
        <f ca="1">_xll.BDH($C$478,"BS_LT_BORROW","FQ1 2016","FQ1 2016","Currency=INR","Period=FQ","BEST_FPERIOD_OVERRIDE=FQ","FILING_STATUS=OR","EQY_CONSOLIDATED=Y","SCALING_FORMAT=MLN","Sort=A","Dates=H","DateFormat=P","Fill=—","Direction=H","UseDPDF=Y")</f>
        <v>#NAME?</v>
      </c>
      <c r="CB489" s="1" t="e">
        <f ca="1">_xll.BDH($C$478,"TOT_DEBT_TO_EBITDA","FQ1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89" s="1" t="e">
        <f ca="1">_xll.BDH($C$478,"NET_DEBT_TO_EBITDA","FQ1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89" s="1" t="e">
        <f ca="1">_xll.BDH($C$478,"TOTAL_DEBT_TO_EBIT","FQ1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89" s="1" t="e">
        <f ca="1">_xll.BDH($C$478,"NET_DEBT_TO_EBIT","FQ1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489" s="1" t="e">
        <f ca="1">_xll.BDH($C$478,"EBITDA_TO_INTEREST_EXPN","FQ1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89" s="1" t="e">
        <f ca="1">_xll.BDH($C$478,"COM_EQY_TO_TOT_ASSET","FQ1 2016","FQ1 2016","Currency=INR","Period=FQ","BEST_FPERIOD_OVERRIDE=FQ","FILING_STATUS=OR","EQY_CONSOLIDATED=Y","Sort=A","Dates=H","DateFormat=P","Fill=—","Direction=H","UseDPDF=Y")</f>
        <v>#NAME?</v>
      </c>
      <c r="CH489" s="1" t="e">
        <f ca="1">_xll.BDH($C$478,"LT_DEBT_TO_TOT_EQY","FQ1 2016","FQ1 2016","Currency=INR","Period=FQ","BEST_FPERIOD_OVERRIDE=FQ","FILING_STATUS=OR","EQY_CONSOLIDATED=Y","Sort=A","Dates=H","DateFormat=P","Fill=—","Direction=H","UseDPDF=Y")</f>
        <v>#NAME?</v>
      </c>
      <c r="CI489" s="1" t="e">
        <f ca="1">_xll.BDH($C$478,"LT_DEBT_TO_TOT_CAP","FQ1 2016","FQ1 2016","Currency=INR","Period=FQ","BEST_FPERIOD_OVERRIDE=FQ","FILING_STATUS=OR","EQY_CONSOLIDATED=Y","Sort=A","Dates=H","DateFormat=P","Fill=—","Direction=H","UseDPDF=Y")</f>
        <v>#NAME?</v>
      </c>
      <c r="CJ489" s="1" t="e">
        <f ca="1">_xll.BDH($C$478,"LT_DEBT_TO_TOT_ASSET","FQ1 2016","FQ1 2016","Currency=INR","Period=FQ","BEST_FPERIOD_OVERRIDE=FQ","FILING_STATUS=OR","EQY_CONSOLIDATED=Y","Sort=A","Dates=H","DateFormat=P","Fill=—","Direction=H","UseDPDF=Y")</f>
        <v>#NAME?</v>
      </c>
      <c r="CK489" s="1" t="e">
        <f ca="1">_xll.BDH($C$478,"TOT_DEBT_TO_TOT_EQY","FQ1 2016","FQ1 2016","Currency=INR","Period=FQ","BEST_FPERIOD_OVERRIDE=FQ","FILING_STATUS=OR","EQY_CONSOLIDATED=Y","Sort=A","Dates=H","DateFormat=P","Fill=—","Direction=H","UseDPDF=Y")</f>
        <v>#NAME?</v>
      </c>
      <c r="CL489" s="1" t="e">
        <f ca="1">_xll.BDH($C$478,"TOT_DEBT_TO_TOT_CAP","FQ1 2016","FQ1 2016","Currency=INR","Period=FQ","BEST_FPERIOD_OVERRIDE=FQ","FILING_STATUS=OR","EQY_CONSOLIDATED=Y","Sort=A","Dates=H","DateFormat=P","Fill=—","Direction=H","UseDPDF=Y")</f>
        <v>#NAME?</v>
      </c>
      <c r="CM489" s="1" t="e">
        <f ca="1">_xll.BDH($C$478,"TOT_DEBT_TO_TOT_ASSET","FQ1 2016","FQ1 2016","Currency=INR","Period=FQ","BEST_FPERIOD_OVERRIDE=FQ","FILING_STATUS=OR","EQY_CONSOLIDATED=Y","Sort=A","Dates=H","DateFormat=P","Fill=—","Direction=H","UseDPDF=Y")</f>
        <v>#NAME?</v>
      </c>
      <c r="CN489" s="1" t="e">
        <f ca="1">_xll.BDH($C$478,"NET_DEBT_TO_SHRHLDR_EQTY","FQ1 2016","FQ1 2016","Currency=INR","Period=FQ","BEST_FPERIOD_OVERRIDE=FQ","FILING_STATUS=OR","EQY_CONSOLIDATED=Y","Sort=A","Dates=H","DateFormat=P","Fill=—","Direction=H","UseDPDF=Y")</f>
        <v>#NAME?</v>
      </c>
      <c r="CO489" s="1" t="e">
        <f ca="1">_xll.BDH($C$478,"NET_DEBT_%_CAPITAL","FQ1 2016","FQ1 2016","Currency=INR","Period=FQ","BEST_FPERIOD_OVERRIDE=FQ","FILING_STATUS=OR","EQY_CONSOLIDATED=Y","Sort=A","Dates=H","DateFormat=P","Fill=—","Direction=H","UseDPDF=Y")</f>
        <v>#NAME?</v>
      </c>
      <c r="CP489" s="2" t="e">
        <f ca="1">_xll.BDH($C$478,"EBITDA","FQ1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89" s="2" t="e">
        <f ca="1">_xll.BDH($C$478,"EBITDA_AFTER_CAPEX","FQ1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89" s="2" t="e">
        <f ca="1">_xll.BDH($C$478,"IS_OPER_INC","FQ1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89" s="1" t="e">
        <f ca="1">_xll.BDH($C$478,"CASH_RATIO","FQ1 2016","FQ1 2016","Currency=INR","Period=FQ","BEST_FPERIOD_OVERRIDE=FQ","FILING_STATUS=OR","EQY_CONSOLIDATED=Y","Sort=A","Dates=H","DateFormat=P","Fill=—","Direction=H","UseDPDF=Y")</f>
        <v>#NAME?</v>
      </c>
      <c r="CT489" s="1" t="e">
        <f ca="1">_xll.BDH($C$478,"CUR_RATIO","FQ1 2016","FQ1 2016","Currency=INR","Period=FQ","BEST_FPERIOD_OVERRIDE=FQ","FILING_STATUS=OR","EQY_CONSOLIDATED=Y","Sort=A","Dates=H","DateFormat=P","Fill=—","Direction=H","UseDPDF=Y")</f>
        <v>#NAME?</v>
      </c>
      <c r="CU489" s="1" t="e">
        <f ca="1">_xll.BDH($C$478,"QUICK_RATIO","FQ1 2016","FQ1 2016","Currency=INR","Period=FQ","BEST_FPERIOD_OVERRIDE=FQ","FILING_STATUS=OR","EQY_CONSOLIDATED=Y","Sort=A","Dates=H","DateFormat=P","Fill=—","Direction=H","UseDPDF=Y")</f>
        <v>#NAME?</v>
      </c>
      <c r="CV489" s="1" t="e">
        <f ca="1">_xll.BDH($C$478,"ALTMAN_Z_SCORE","FQ1 2016","FQ1 2016","Currency=INR","Period=FQ","BEST_FPERIOD_OVERRIDE=FQ","FILING_STATUS=OR","EQY_CONSOLIDATED=Y","Sort=A","Dates=H","DateFormat=P","Fill=—","Direction=H","UseDPDF=Y")</f>
        <v>#NAME?</v>
      </c>
      <c r="CW489" s="3" t="e">
        <f ca="1">_xll.BDH($C$478,"ACCT_RCV_TURN","FQ1 2016","FQ1 2016","Currency=INR","Period=FQ","BEST_FPERIOD_OVERRIDE=FQ","FILING_STATUS=OR","EQY_CONSOLIDATED=Y","FA_ADJUSTED=GAAP","Sort=A","Dates=H","DateFormat=P","Fill=—","Direction=H","UseDPDF=Y")</f>
        <v>#NAME?</v>
      </c>
      <c r="CX489" s="1" t="e">
        <f ca="1">_xll.BDH($C$478,"ACCT_RCV_DAYS","FQ1 2016","FQ1 2016","Currency=INR","Period=FQ","BEST_FPERIOD_OVERRIDE=FQ","FILING_STATUS=OR","EQY_CONSOLIDATED=Y","FA_ADJUSTED=GAAP","Sort=A","Dates=H","DateFormat=P","Fill=—","Direction=H","UseDPDF=Y")</f>
        <v>#NAME?</v>
      </c>
      <c r="CY489" s="3" t="e">
        <f ca="1">_xll.BDH($C$478,"INVENT_TURN","FQ1 2016","FQ1 2016","Currency=INR","Period=FQ","BEST_FPERIOD_OVERRIDE=FQ","FILING_STATUS=OR","EQY_CONSOLIDATED=Y","FA_ADJUSTED=GAAP","Sort=A","Dates=H","DateFormat=P","Fill=—","Direction=H","UseDPDF=Y")</f>
        <v>#NAME?</v>
      </c>
      <c r="CZ489" s="1" t="e">
        <f ca="1">_xll.BDH($C$478,"INVENT_DAYS","FQ1 2016","FQ1 2016","Currency=INR","Period=FQ","BEST_FPERIOD_OVERRIDE=FQ","FILING_STATUS=OR","EQY_CONSOLIDATED=Y","FA_ADJUSTED=GAAP","Sort=A","Dates=H","DateFormat=P","Fill=—","Direction=H","UseDPDF=Y")</f>
        <v>#NAME?</v>
      </c>
      <c r="DA489" s="3" t="e">
        <f ca="1">_xll.BDH($C$478,"ACCOUNTS_PAYABLE_TURNOVER","FQ1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89" s="1" t="e">
        <f ca="1">_xll.BDH($C$478,"ACCOUNTS_PAYABLE_TURNOVER_DAYS","FQ1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89" s="3" t="e">
        <f ca="1">_xll.BDH($C$478,"CASH_CONVERSION_CYCLE","FQ1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89" s="3" t="e">
        <f ca="1">_xll.BDH($C$478,"INV_TO_CASH_DAYS","FQ1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489" s="4" t="e">
        <f ca="1">_xll.BDH($C$478,"BS_INVENTORIES","FQ1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489" s="2" t="e">
        <f ca="1">_xll.BDH($C$478,"INVTRY_RAW_MATERIALS","FQ1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89" s="2" t="e">
        <f ca="1">_xll.BDH($C$478,"INVTRY_IN_PROGRESS","FQ1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89" s="2" t="e">
        <f ca="1">_xll.BDH($C$478,"INVTRY_FINISHED_GOODS","FQ1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89" s="2" t="e">
        <f ca="1">_xll.BDH($C$478,"BS_OTHER_INV","FQ1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90" spans="1:113" x14ac:dyDescent="0.3">
      <c r="A490" s="6"/>
      <c r="B490" s="6"/>
      <c r="C490" s="6"/>
      <c r="D490" s="6"/>
      <c r="E490" t="s">
        <v>5</v>
      </c>
      <c r="F490" t="e">
        <f ca="1">_xll.BDH($C$478,"RETURN_COM_EQY","FQ2 2016","FQ2 2016","Currency=INR","Period=FQ","BEST_FPERIOD_OVERRIDE=FQ","FILING_STATUS=OR","EQY_CONSOLIDATED=Y","FA_ADJUSTED=GAAP","Sort=A","Dates=H","DateFormat=P","Fill=—","Direction=H","UseDPDF=Y")</f>
        <v>#NAME?</v>
      </c>
      <c r="G490" t="e">
        <f ca="1">_xll.BDH($C$478,"RETURN_ON_ASSET","FQ2 2016","FQ2 2016","Currency=INR","Period=FQ","BEST_FPERIOD_OVERRIDE=FQ","FILING_STATUS=OR","EQY_CONSOLIDATED=Y","FA_ADJUSTED=GAAP","Sort=A","Dates=H","DateFormat=P","Fill=—","Direction=H","UseDPDF=Y")</f>
        <v>#NAME?</v>
      </c>
      <c r="H490" t="e">
        <f ca="1">_xll.BDH($C$478,"RETURN_ON_CAP","FQ2 2016","FQ2 2016","Currency=INR","Period=FQ","BEST_FPERIOD_OVERRIDE=FQ","FILING_STATUS=OR","EQY_CONSOLIDATED=Y","FA_ADJUSTED=GAAP","Sort=A","Dates=H","DateFormat=P","Fill=—","Direction=H","UseDPDF=Y")</f>
        <v>#NAME?</v>
      </c>
      <c r="I490" t="e">
        <f ca="1">_xll.BDH($C$478,"RETURN_ON_INV_CAPITAL","FQ2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90" t="e">
        <f ca="1">_xll.BDH($C$478,"EBITDA_TO_REVENUE","FQ2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490" t="e">
        <f ca="1">_xll.BDH($C$478,"OPER_MARGIN","FQ2 2016","FQ2 2016","Currency=INR","Period=FQ","BEST_FPERIOD_OVERRIDE=FQ","FILING_STATUS=OR","EQY_CONSOLIDATED=Y","FA_ADJUSTED=GAAP","Sort=A","Dates=H","DateFormat=P","Fill=—","Direction=H","UseDPDF=Y")</f>
        <v>#NAME?</v>
      </c>
      <c r="L490" t="e">
        <f ca="1">_xll.BDH($C$478,"INCREMENTAL_OPERATING_MARGIN","FQ2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90" t="e">
        <f ca="1">_xll.BDH($C$478,"PRETAX_INC_TO_NET_SALES","FQ2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90" t="e">
        <f ca="1">_xll.BDH($C$478,"INC_BEF_XO_ITEMS_TO_NET_SALES","FQ2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90" t="e">
        <f ca="1">_xll.BDH($C$478,"PROF_MARGIN","FQ2 2016","FQ2 2016","Currency=INR","Period=FQ","BEST_FPERIOD_OVERRIDE=FQ","FILING_STATUS=OR","EQY_CONSOLIDATED=Y","FA_ADJUSTED=GAAP","Sort=A","Dates=H","DateFormat=P","Fill=—","Direction=H","UseDPDF=Y")</f>
        <v>#NAME?</v>
      </c>
      <c r="P490" t="e">
        <f ca="1">_xll.BDH($C$478,"NET_INCOME_TO_COMMON_MARGIN","FQ2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90" t="e">
        <f ca="1">_xll.BDH($C$478,"EFF_TAX_RATE","FQ2 2016","FQ2 2016","Currency=INR","Period=FQ","BEST_FPERIOD_OVERRIDE=FQ","FILING_STATUS=OR","EQY_CONSOLIDATED=Y","FA_ADJUSTED=GAAP","Sort=A","Dates=H","DateFormat=P","Fill=—","Direction=H","UseDPDF=Y")</f>
        <v>#NAME?</v>
      </c>
      <c r="R490" t="e">
        <f ca="1">_xll.BDH($C$478,"DVD_PAYOUT_RATIO","FQ2 2016","FQ2 2016","Currency=INR","Period=FQ","BEST_FPERIOD_OVERRIDE=FQ","FILING_STATUS=OR","EQY_CONSOLIDATED=Y","FA_ADJUSTED=GAAP","Sort=A","Dates=H","DateFormat=P","Fill=—","Direction=H","UseDPDF=Y")</f>
        <v>#NAME?</v>
      </c>
      <c r="S490" t="e">
        <f ca="1">_xll.BDH($C$478,"SUSTAIN_GROWTH_RT","FQ2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490" s="1" t="e">
        <f ca="1">_xll.BDH($C$478,"SALES_GROWTH","FQ2 2016","FQ2 2016","Currency=INR","Period=FQ","BEST_FPERIOD_OVERRIDE=FQ","FILING_STATUS=OR","EQY_CONSOLIDATED=Y","FA_ADJUSTED=GAAP","Sort=A","Dates=H","DateFormat=P","Fill=—","Direction=H","UseDPDF=Y")</f>
        <v>#NAME?</v>
      </c>
      <c r="U490" s="1" t="e">
        <f ca="1">_xll.BDH($C$478,"EBITDA_GROWTH","FQ2 2016","FQ2 2016","Currency=INR","Period=FQ","BEST_FPERIOD_OVERRIDE=FQ","FILING_STATUS=OR","EQY_CONSOLIDATED=Y","FA_ADJUSTED=GAAP","Sort=A","Dates=H","DateFormat=P","Fill=—","Direction=H","UseDPDF=Y")</f>
        <v>#NAME?</v>
      </c>
      <c r="V490" s="1" t="e">
        <f ca="1">_xll.BDH($C$478,"OPER_INC_GROWTH","FQ2 2016","FQ2 2016","Currency=INR","Period=FQ","BEST_FPERIOD_OVERRIDE=FQ","FILING_STATUS=OR","EQY_CONSOLIDATED=Y","FA_ADJUSTED=GAAP","Sort=A","Dates=H","DateFormat=P","Fill=—","Direction=H","UseDPDF=Y")</f>
        <v>#NAME?</v>
      </c>
      <c r="W490" s="1" t="e">
        <f ca="1">_xll.BDH($C$478,"EARN_FOR_COM_GROWTH","FQ2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90" s="1" t="e">
        <f ca="1">_xll.BDH($C$478,"DILUTED_EPS_AFT_XO_ITEMS_GROWTH","FQ2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90" s="1" t="e">
        <f ca="1">_xll.BDH($C$478,"DIVIDEND_PER_SHARE_1_YEAR_GROWTH","FQ2 2016","FQ2 2016","Currency=INR","Period=FQ","BEST_FPERIOD_OVERRIDE=FQ","FILING_STATUS=OR","EQY_CONSOLIDATED=Y","Sort=A","Dates=H","DateFormat=P","Fill=—","Direction=H","UseDPDF=Y")</f>
        <v>#NAME?</v>
      </c>
      <c r="Z490" s="1" t="e">
        <f ca="1">_xll.BDH($C$478,"ACCOUNTS_RECEIVABLE_GROWTH","FQ2 2016","FQ2 2016","Currency=INR","Period=FQ","BEST_FPERIOD_OVERRIDE=FQ","FILING_STATUS=OR","EQY_CONSOLIDATED=Y","Sort=A","Dates=H","DateFormat=P","Fill=—","Direction=H","UseDPDF=Y")</f>
        <v>#NAME?</v>
      </c>
      <c r="AA490" s="1" t="e">
        <f ca="1">_xll.BDH($C$478,"INVENTORY_GROWTH","FQ2 2016","FQ2 2016","Currency=INR","Period=FQ","BEST_FPERIOD_OVERRIDE=FQ","FILING_STATUS=OR","EQY_CONSOLIDATED=Y","Sort=A","Dates=H","DateFormat=P","Fill=—","Direction=H","UseDPDF=Y")</f>
        <v>#NAME?</v>
      </c>
      <c r="AB490" s="1" t="e">
        <f ca="1">_xll.BDH($C$478,"NET_FIXED_ASSETS_1_YEAR_GROWTH","FQ2 2016","FQ2 2016","Currency=INR","Period=FQ","BEST_FPERIOD_OVERRIDE=FQ","FILING_STATUS=OR","EQY_CONSOLIDATED=Y","Sort=A","Dates=H","DateFormat=P","Fill=—","Direction=H","UseDPDF=Y")</f>
        <v>#NAME?</v>
      </c>
      <c r="AC490" s="1" t="e">
        <f ca="1">_xll.BDH($C$478,"ASSET_GROWTH","FQ2 2016","FQ2 2016","Currency=INR","Period=FQ","BEST_FPERIOD_OVERRIDE=FQ","FILING_STATUS=OR","EQY_CONSOLIDATED=Y","Sort=A","Dates=H","DateFormat=P","Fill=—","Direction=H","UseDPDF=Y")</f>
        <v>#NAME?</v>
      </c>
      <c r="AD490" s="1" t="e">
        <f ca="1">_xll.BDH($C$478,"MODIFIED_WORK_CAP_GROWTH","FQ2 2016","FQ2 2016","Currency=INR","Period=FQ","BEST_FPERIOD_OVERRIDE=FQ","FILING_STATUS=OR","EQY_CONSOLIDATED=Y","Sort=A","Dates=H","DateFormat=P","Fill=—","Direction=H","UseDPDF=Y")</f>
        <v>#NAME?</v>
      </c>
      <c r="AE490" s="1" t="e">
        <f ca="1">_xll.BDH($C$478,"WORK_CAP_GROWTH","FQ2 2016","FQ2 2016","Currency=INR","Period=FQ","BEST_FPERIOD_OVERRIDE=FQ","FILING_STATUS=OR","EQY_CONSOLIDATED=Y","Sort=A","Dates=H","DateFormat=P","Fill=—","Direction=H","UseDPDF=Y")</f>
        <v>#NAME?</v>
      </c>
      <c r="AF490" s="1" t="e">
        <f ca="1">_xll.BDH($C$478,"ACCOUNTS_PAYABLE_GROWTH_1YR","FQ2 2016","FQ2 2016","Currency=INR","Period=FQ","BEST_FPERIOD_OVERRIDE=FQ","FILING_STATUS=OR","EQY_CONSOLIDATED=Y","Sort=A","Dates=H","DateFormat=P","Fill=—","Direction=H","UseDPDF=Y")</f>
        <v>#NAME?</v>
      </c>
      <c r="AG490" s="1" t="e">
        <f ca="1">_xll.BDH($C$478,"SHORT_TERM_DEBT_1_YEAR_GROWTH","FQ2 2016","FQ2 2016","Currency=INR","Period=FQ","BEST_FPERIOD_OVERRIDE=FQ","FILING_STATUS=OR","EQY_CONSOLIDATED=Y","Sort=A","Dates=H","DateFormat=P","Fill=—","Direction=H","UseDPDF=Y")</f>
        <v>#NAME?</v>
      </c>
      <c r="AH490" s="1" t="e">
        <f ca="1">_xll.BDH($C$478,"TOTAL_DEBT_1_YEAR_GROWTH","FQ2 2016","FQ2 2016","Currency=INR","Period=FQ","BEST_FPERIOD_OVERRIDE=FQ","FILING_STATUS=OR","EQY_CONSOLIDATED=Y","Sort=A","Dates=H","DateFormat=P","Fill=—","Direction=H","UseDPDF=Y")</f>
        <v>#NAME?</v>
      </c>
      <c r="AI490" s="1" t="e">
        <f ca="1">_xll.BDH($C$478,"TOTAL_EQUITY_1_YEAR_GROWTH","FQ2 2016","FQ2 2016","Currency=INR","Period=FQ","BEST_FPERIOD_OVERRIDE=FQ","FILING_STATUS=OR","EQY_CONSOLIDATED=Y","Sort=A","Dates=H","DateFormat=P","Fill=—","Direction=H","UseDPDF=Y")</f>
        <v>#NAME?</v>
      </c>
      <c r="AJ490" s="1" t="e">
        <f ca="1">_xll.BDH($C$478,"GROWTH_IN_CAP","FQ2 2016","FQ2 2016","Currency=INR","Period=FQ","BEST_FPERIOD_OVERRIDE=FQ","FILING_STATUS=OR","EQY_CONSOLIDATED=Y","Sort=A","Dates=H","DateFormat=P","Fill=—","Direction=H","UseDPDF=Y")</f>
        <v>#NAME?</v>
      </c>
      <c r="AK490" s="1" t="e">
        <f ca="1">_xll.BDH($C$478,"BVPS_GROWTH","FQ2 2016","FQ2 2016","Currency=INR","Period=FQ","BEST_FPERIOD_OVERRIDE=FQ","FILING_STATUS=OR","EQY_CONSOLIDATED=Y","Sort=A","Dates=H","DateFormat=P","Fill=—","Direction=H","UseDPDF=Y")</f>
        <v>#NAME?</v>
      </c>
      <c r="AL490" s="1" t="e">
        <f ca="1">_xll.BDH($C$478,"CASH_FLOW_GROWTH","FQ2 2016","FQ2 2016","Currency=INR","Period=FQ","BEST_FPERIOD_OVERRIDE=FQ","FILING_STATUS=OR","EQY_CONSOLIDATED=Y","Sort=A","Dates=H","DateFormat=P","Fill=—","Direction=H","UseDPDF=Y")</f>
        <v>#NAME?</v>
      </c>
      <c r="AM490" s="1" t="e">
        <f ca="1">_xll.BDH($C$478,"GEO_GROW_NET_SALES","FQ2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90" s="1" t="e">
        <f ca="1">_xll.BDH($C$478,"GEO_GROW_EBITDA","FQ2 2016","FQ2 2016","Currency=INR","Period=FQ","BEST_FPERIOD_OVERRIDE=FQ","FILING_STATUS=OR","EQY_CONSOLIDATED=Y","FA_ADJUSTED=GAAP","Sort=A","Dates=H","DateFormat=P","Fill=—","Direction=H","UseDPDF=Y")</f>
        <v>#NAME?</v>
      </c>
      <c r="AO490" s="1" t="e">
        <f ca="1">_xll.BDH($C$478,"GEO_GROW_OPER_INC","FQ2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90" s="1" t="e">
        <f ca="1">_xll.BDH($C$478,"NET_INCOME_TO_COMMON_5_YR_GROWTH","FQ2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90" s="1" t="e">
        <f ca="1">_xll.BDH($C$478,"5Y_GEO_GROWTH_DILUTED_EPS","FQ2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90" s="1" t="e">
        <f ca="1">_xll.BDH($C$478,"GEO_GROW_DVD_PER_SH","FQ2 2016","FQ2 2016","Currency=INR","Period=FQ","BEST_FPERIOD_OVERRIDE=FQ","FILING_STATUS=OR","EQY_CONSOLIDATED=Y","Sort=A","Dates=H","DateFormat=P","Fill=—","Direction=H","UseDPDF=Y")</f>
        <v>#NAME?</v>
      </c>
      <c r="AS490" s="1" t="e">
        <f ca="1">_xll.BDH($C$478,"ACCOUNTS_RECEIVABLE_5_YR_GROWTH","FQ2 2016","FQ2 2016","Currency=INR","Period=FQ","BEST_FPERIOD_OVERRIDE=FQ","FILING_STATUS=OR","EQY_CONSOLIDATED=Y","Sort=A","Dates=H","DateFormat=P","Fill=—","Direction=H","UseDPDF=Y")</f>
        <v>#NAME?</v>
      </c>
      <c r="AT490" s="1" t="e">
        <f ca="1">_xll.BDH($C$478,"INVENTORY_5_YEAR_GROWTH","FQ2 2016","FQ2 2016","Currency=INR","Period=FQ","BEST_FPERIOD_OVERRIDE=FQ","FILING_STATUS=OR","EQY_CONSOLIDATED=Y","Sort=A","Dates=H","DateFormat=P","Fill=—","Direction=H","UseDPDF=Y")</f>
        <v>#NAME?</v>
      </c>
      <c r="AU490" s="1" t="e">
        <f ca="1">_xll.BDH($C$478,"NET_FIXED_ASSETS_5_YEAR_GROWTH","FQ2 2016","FQ2 2016","Currency=INR","Period=FQ","BEST_FPERIOD_OVERRIDE=FQ","FILING_STATUS=OR","EQY_CONSOLIDATED=Y","Sort=A","Dates=H","DateFormat=P","Fill=—","Direction=H","UseDPDF=Y")</f>
        <v>#NAME?</v>
      </c>
      <c r="AV490" s="1" t="e">
        <f ca="1">_xll.BDH($C$478,"GEO_GROW_TOT_ASSET","FQ2 2016","FQ2 2016","Currency=INR","Period=FQ","BEST_FPERIOD_OVERRIDE=FQ","FILING_STATUS=OR","EQY_CONSOLIDATED=Y","Sort=A","Dates=H","DateFormat=P","Fill=—","Direction=H","UseDPDF=Y")</f>
        <v>#NAME?</v>
      </c>
      <c r="AW490" s="1" t="e">
        <f ca="1">_xll.BDH($C$478,"MODIFIED_WORKING_CPTL_5YR_GRWTH","FQ2 2016","FQ2 2016","Currency=INR","Period=FQ","BEST_FPERIOD_OVERRIDE=FQ","FILING_STATUS=OR","EQY_CONSOLIDATED=Y","Sort=A","Dates=H","DateFormat=P","Fill=—","Direction=H","UseDPDF=Y")</f>
        <v>#NAME?</v>
      </c>
      <c r="AX490" s="1" t="e">
        <f ca="1">_xll.BDH($C$478,"WORKING_CAPITAL_5_YEAR_GROWTH","FQ2 2016","FQ2 2016","Currency=INR","Period=FQ","BEST_FPERIOD_OVERRIDE=FQ","FILING_STATUS=OR","EQY_CONSOLIDATED=Y","Sort=A","Dates=H","DateFormat=P","Fill=—","Direction=H","UseDPDF=Y")</f>
        <v>#NAME?</v>
      </c>
      <c r="AY490" s="1" t="e">
        <f ca="1">_xll.BDH($C$478,"ACCOUNTS_PAYABLE_5_YEAR_GROWTH","FQ2 2016","FQ2 2016","Currency=INR","Period=FQ","BEST_FPERIOD_OVERRIDE=FQ","FILING_STATUS=OR","EQY_CONSOLIDATED=Y","Sort=A","Dates=H","DateFormat=P","Fill=—","Direction=H","UseDPDF=Y")</f>
        <v>#NAME?</v>
      </c>
      <c r="AZ490" s="1" t="e">
        <f ca="1">_xll.BDH($C$478,"SHORT_TERM_DEBT_5_YEAR_GROWTH","FQ2 2016","FQ2 2016","Currency=INR","Period=FQ","BEST_FPERIOD_OVERRIDE=FQ","FILING_STATUS=OR","EQY_CONSOLIDATED=Y","Sort=A","Dates=H","DateFormat=P","Fill=—","Direction=H","UseDPDF=Y")</f>
        <v>#NAME?</v>
      </c>
      <c r="BA490" s="1" t="e">
        <f ca="1">_xll.BDH($C$478,"TOTAL_DEBT_5_YEAR_GROWTH","FQ2 2016","FQ2 2016","Currency=INR","Period=FQ","BEST_FPERIOD_OVERRIDE=FQ","FILING_STATUS=OR","EQY_CONSOLIDATED=Y","Sort=A","Dates=H","DateFormat=P","Fill=—","Direction=H","UseDPDF=Y")</f>
        <v>#NAME?</v>
      </c>
      <c r="BB490" s="1" t="e">
        <f ca="1">_xll.BDH($C$478,"GEO_GROW_TOT_SHRHLDR_EQY","FQ2 2016","FQ2 2016","Currency=INR","Period=FQ","BEST_FPERIOD_OVERRIDE=FQ","FILING_STATUS=OR","EQY_CONSOLIDATED=Y","Sort=A","Dates=H","DateFormat=P","Fill=—","Direction=H","UseDPDF=Y")</f>
        <v>#NAME?</v>
      </c>
      <c r="BC490" s="1" t="e">
        <f ca="1">_xll.BDH($C$478,"TOTAL_CAPITAL_5_YEAR_GROWTH","FQ2 2016","FQ2 2016","Currency=INR","Period=FQ","BEST_FPERIOD_OVERRIDE=FQ","FILING_STATUS=OR","EQY_CONSOLIDATED=Y","Sort=A","Dates=H","DateFormat=P","Fill=—","Direction=H","UseDPDF=Y")</f>
        <v>#NAME?</v>
      </c>
      <c r="BD490" s="1" t="e">
        <f ca="1">_xll.BDH($C$478,"GEO_GROW_BOOK_VAL","FQ2 2016","FQ2 2016","Currency=INR","Period=FQ","BEST_FPERIOD_OVERRIDE=FQ","FILING_STATUS=OR","EQY_CONSOLIDATED=Y","Sort=A","Dates=H","DateFormat=P","Fill=—","Direction=H","UseDPDF=Y")</f>
        <v>#NAME?</v>
      </c>
      <c r="BE490" s="1" t="e">
        <f ca="1">_xll.BDH($C$478,"GEO_GROW_CASH_OPER_ACT","FQ2 2016","FQ2 2016","Currency=INR","Period=FQ","BEST_FPERIOD_OVERRIDE=FQ","FILING_STATUS=OR","EQY_CONSOLIDATED=Y","Sort=A","Dates=H","DateFormat=P","Fill=—","Direction=H","UseDPDF=Y")</f>
        <v>#NAME?</v>
      </c>
      <c r="BF490" s="1" t="e">
        <f ca="1">_xll.BDH($C$478,"REVENUE_SEQUENTIAL_GROWTH","FQ2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90" s="1" t="e">
        <f ca="1">_xll.BDH($C$478,"EBITDA_SEQUENTIAL_GROWTH","FQ2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90" s="1" t="e">
        <f ca="1">_xll.BDH($C$478,"OPERATING_INCOME_SEQ_GROWTH","FQ2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90" s="1" t="e">
        <f ca="1">_xll.BDH($C$478,"NET_INCOME_TO_COMMON_SEQ_GROWTH","FQ2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90" s="1" t="e">
        <f ca="1">_xll.BDH($C$478,"EPS_DILUTED_SEQUENTIAL_GROWTH","FQ2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90" s="1" t="e">
        <f ca="1">_xll.BDH($C$478,"DPS_SEQUENTIAL_GROWTH","FQ2 2016","FQ2 2016","Currency=INR","Period=FQ","BEST_FPERIOD_OVERRIDE=FQ","FILING_STATUS=OR","EQY_CONSOLIDATED=Y","Sort=A","Dates=H","DateFormat=P","Fill=—","Direction=H","UseDPDF=Y")</f>
        <v>#NAME?</v>
      </c>
      <c r="BL490" s="1" t="e">
        <f ca="1">_xll.BDH($C$478,"ACCOUNTS_RECEIVABLE_SEQ_GROWTH","FQ2 2016","FQ2 2016","Currency=INR","Period=FQ","BEST_FPERIOD_OVERRIDE=FQ","FILING_STATUS=OR","EQY_CONSOLIDATED=Y","Sort=A","Dates=H","DateFormat=P","Fill=—","Direction=H","UseDPDF=Y")</f>
        <v>#NAME?</v>
      </c>
      <c r="BM490" s="1" t="e">
        <f ca="1">_xll.BDH($C$478,"INVENTORY_SEQUENTIAL_GROWTH","FQ2 2016","FQ2 2016","Currency=INR","Period=FQ","BEST_FPERIOD_OVERRIDE=FQ","FILING_STATUS=OR","EQY_CONSOLIDATED=Y","Sort=A","Dates=H","DateFormat=P","Fill=—","Direction=H","UseDPDF=Y")</f>
        <v>#NAME?</v>
      </c>
      <c r="BN490" s="1" t="e">
        <f ca="1">_xll.BDH($C$478,"FIXED_ASSETS_SEQUENTIAL_GROWTH","FQ2 2016","FQ2 2016","Currency=INR","Period=FQ","BEST_FPERIOD_OVERRIDE=FQ","FILING_STATUS=OR","EQY_CONSOLIDATED=Y","Sort=A","Dates=H","DateFormat=P","Fill=—","Direction=H","UseDPDF=Y")</f>
        <v>#NAME?</v>
      </c>
      <c r="BO490" s="1" t="e">
        <f ca="1">_xll.BDH($C$478,"TOTAL_ASSETS_SEQUENTIAL_GROWTH","FQ2 2016","FQ2 2016","Currency=INR","Period=FQ","BEST_FPERIOD_OVERRIDE=FQ","FILING_STATUS=OR","EQY_CONSOLIDATED=Y","Sort=A","Dates=H","DateFormat=P","Fill=—","Direction=H","UseDPDF=Y")</f>
        <v>#NAME?</v>
      </c>
      <c r="BP490" s="1" t="e">
        <f ca="1">_xll.BDH($C$478,"MODIFIED_WORKING_CPTL_SEQ_GRWTH","FQ2 2016","FQ2 2016","Currency=INR","Period=FQ","BEST_FPERIOD_OVERRIDE=FQ","FILING_STATUS=OR","EQY_CONSOLIDATED=Y","Sort=A","Dates=H","DateFormat=P","Fill=—","Direction=H","UseDPDF=Y")</f>
        <v>#NAME?</v>
      </c>
      <c r="BQ490" s="1" t="e">
        <f ca="1">_xll.BDH($C$478,"WORKING_CAPITAL_SEQ_GROWTH","FQ2 2016","FQ2 2016","Currency=INR","Period=FQ","BEST_FPERIOD_OVERRIDE=FQ","FILING_STATUS=OR","EQY_CONSOLIDATED=Y","Sort=A","Dates=H","DateFormat=P","Fill=—","Direction=H","UseDPDF=Y")</f>
        <v>#NAME?</v>
      </c>
      <c r="BR490" s="1" t="e">
        <f ca="1">_xll.BDH($C$478,"ACCOUNTS_PAYABLE_SEQ_GROWTH","FQ2 2016","FQ2 2016","Currency=INR","Period=FQ","BEST_FPERIOD_OVERRIDE=FQ","FILING_STATUS=OR","EQY_CONSOLIDATED=Y","Sort=A","Dates=H","DateFormat=P","Fill=—","Direction=H","UseDPDF=Y")</f>
        <v>#NAME?</v>
      </c>
      <c r="BS490" s="1" t="e">
        <f ca="1">_xll.BDH($C$478,"ST_DEBT_SEQUENTIAL_GROWTH","FQ2 2016","FQ2 2016","Currency=INR","Period=FQ","BEST_FPERIOD_OVERRIDE=FQ","FILING_STATUS=OR","EQY_CONSOLIDATED=Y","Sort=A","Dates=H","DateFormat=P","Fill=—","Direction=H","UseDPDF=Y")</f>
        <v>#NAME?</v>
      </c>
      <c r="BT490" s="1" t="e">
        <f ca="1">_xll.BDH($C$478,"TOTAL_DEBT_SEQUENTIAL_GROWTH","FQ2 2016","FQ2 2016","Currency=INR","Period=FQ","BEST_FPERIOD_OVERRIDE=FQ","FILING_STATUS=OR","EQY_CONSOLIDATED=Y","Sort=A","Dates=H","DateFormat=P","Fill=—","Direction=H","UseDPDF=Y")</f>
        <v>#NAME?</v>
      </c>
      <c r="BU490" s="1" t="e">
        <f ca="1">_xll.BDH($C$478,"TOTAL_EQUITY_SEQUENTIAL_GROWTH","FQ2 2016","FQ2 2016","Currency=INR","Period=FQ","BEST_FPERIOD_OVERRIDE=FQ","FILING_STATUS=OR","EQY_CONSOLIDATED=Y","Sort=A","Dates=H","DateFormat=P","Fill=—","Direction=H","UseDPDF=Y")</f>
        <v>#NAME?</v>
      </c>
      <c r="BV490" s="1" t="e">
        <f ca="1">_xll.BDH($C$478,"TOTAL_CAPITAL_SEQUENTIAL_GROWTH","FQ2 2016","FQ2 2016","Currency=INR","Period=FQ","BEST_FPERIOD_OVERRIDE=FQ","FILING_STATUS=OR","EQY_CONSOLIDATED=Y","Sort=A","Dates=H","DateFormat=P","Fill=—","Direction=H","UseDPDF=Y")</f>
        <v>#NAME?</v>
      </c>
      <c r="BW490" s="1" t="e">
        <f ca="1">_xll.BDH($C$478,"BPS_SEQUENTIAL_GROWTH","FQ2 2016","FQ2 2016","Currency=INR","Period=FQ","BEST_FPERIOD_OVERRIDE=FQ","FILING_STATUS=OR","EQY_CONSOLIDATED=Y","Sort=A","Dates=H","DateFormat=P","Fill=—","Direction=H","UseDPDF=Y")</f>
        <v>#NAME?</v>
      </c>
      <c r="BX490" s="1" t="e">
        <f ca="1">_xll.BDH($C$478,"CFO_SEQUENTIAL_GROWTH","FQ2 2016","FQ2 2016","Currency=INR","Period=FQ","BEST_FPERIOD_OVERRIDE=FQ","FILING_STATUS=OR","EQY_CONSOLIDATED=Y","Sort=A","Dates=H","DateFormat=P","Fill=—","Direction=H","UseDPDF=Y")</f>
        <v>#NAME?</v>
      </c>
      <c r="BY490" s="2" t="e">
        <f ca="1">_xll.BDH($C$478,"SHORT_AND_LONG_TERM_DEBT","FQ2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90" s="2" t="e">
        <f ca="1">_xll.BDH($C$478,"BS_ST_BORROW","FQ2 2016","FQ2 2016","Currency=INR","Period=FQ","BEST_FPERIOD_OVERRIDE=FQ","FILING_STATUS=OR","EQY_CONSOLIDATED=Y","SCALING_FORMAT=MLN","Sort=A","Dates=H","DateFormat=P","Fill=—","Direction=H","UseDPDF=Y")</f>
        <v>#NAME?</v>
      </c>
      <c r="CA490" s="2" t="e">
        <f ca="1">_xll.BDH($C$478,"BS_LT_BORROW","FQ2 2016","FQ2 2016","Currency=INR","Period=FQ","BEST_FPERIOD_OVERRIDE=FQ","FILING_STATUS=OR","EQY_CONSOLIDATED=Y","SCALING_FORMAT=MLN","Sort=A","Dates=H","DateFormat=P","Fill=—","Direction=H","UseDPDF=Y")</f>
        <v>#NAME?</v>
      </c>
      <c r="CB490" s="1" t="e">
        <f ca="1">_xll.BDH($C$478,"TOT_DEBT_TO_EBITDA","FQ2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90" s="1" t="e">
        <f ca="1">_xll.BDH($C$478,"NET_DEBT_TO_EBITDA","FQ2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90" s="1" t="e">
        <f ca="1">_xll.BDH($C$478,"TOTAL_DEBT_TO_EBIT","FQ2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90" s="1" t="e">
        <f ca="1">_xll.BDH($C$478,"NET_DEBT_TO_EBIT","FQ2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490" s="1" t="e">
        <f ca="1">_xll.BDH($C$478,"EBITDA_TO_INTEREST_EXPN","FQ2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90" s="1" t="e">
        <f ca="1">_xll.BDH($C$478,"COM_EQY_TO_TOT_ASSET","FQ2 2016","FQ2 2016","Currency=INR","Period=FQ","BEST_FPERIOD_OVERRIDE=FQ","FILING_STATUS=OR","EQY_CONSOLIDATED=Y","Sort=A","Dates=H","DateFormat=P","Fill=—","Direction=H","UseDPDF=Y")</f>
        <v>#NAME?</v>
      </c>
      <c r="CH490" s="1" t="e">
        <f ca="1">_xll.BDH($C$478,"LT_DEBT_TO_TOT_EQY","FQ2 2016","FQ2 2016","Currency=INR","Period=FQ","BEST_FPERIOD_OVERRIDE=FQ","FILING_STATUS=OR","EQY_CONSOLIDATED=Y","Sort=A","Dates=H","DateFormat=P","Fill=—","Direction=H","UseDPDF=Y")</f>
        <v>#NAME?</v>
      </c>
      <c r="CI490" s="1" t="e">
        <f ca="1">_xll.BDH($C$478,"LT_DEBT_TO_TOT_CAP","FQ2 2016","FQ2 2016","Currency=INR","Period=FQ","BEST_FPERIOD_OVERRIDE=FQ","FILING_STATUS=OR","EQY_CONSOLIDATED=Y","Sort=A","Dates=H","DateFormat=P","Fill=—","Direction=H","UseDPDF=Y")</f>
        <v>#NAME?</v>
      </c>
      <c r="CJ490" s="1" t="e">
        <f ca="1">_xll.BDH($C$478,"LT_DEBT_TO_TOT_ASSET","FQ2 2016","FQ2 2016","Currency=INR","Period=FQ","BEST_FPERIOD_OVERRIDE=FQ","FILING_STATUS=OR","EQY_CONSOLIDATED=Y","Sort=A","Dates=H","DateFormat=P","Fill=—","Direction=H","UseDPDF=Y")</f>
        <v>#NAME?</v>
      </c>
      <c r="CK490" s="1" t="e">
        <f ca="1">_xll.BDH($C$478,"TOT_DEBT_TO_TOT_EQY","FQ2 2016","FQ2 2016","Currency=INR","Period=FQ","BEST_FPERIOD_OVERRIDE=FQ","FILING_STATUS=OR","EQY_CONSOLIDATED=Y","Sort=A","Dates=H","DateFormat=P","Fill=—","Direction=H","UseDPDF=Y")</f>
        <v>#NAME?</v>
      </c>
      <c r="CL490" s="1" t="e">
        <f ca="1">_xll.BDH($C$478,"TOT_DEBT_TO_TOT_CAP","FQ2 2016","FQ2 2016","Currency=INR","Period=FQ","BEST_FPERIOD_OVERRIDE=FQ","FILING_STATUS=OR","EQY_CONSOLIDATED=Y","Sort=A","Dates=H","DateFormat=P","Fill=—","Direction=H","UseDPDF=Y")</f>
        <v>#NAME?</v>
      </c>
      <c r="CM490" s="1" t="e">
        <f ca="1">_xll.BDH($C$478,"TOT_DEBT_TO_TOT_ASSET","FQ2 2016","FQ2 2016","Currency=INR","Period=FQ","BEST_FPERIOD_OVERRIDE=FQ","FILING_STATUS=OR","EQY_CONSOLIDATED=Y","Sort=A","Dates=H","DateFormat=P","Fill=—","Direction=H","UseDPDF=Y")</f>
        <v>#NAME?</v>
      </c>
      <c r="CN490" s="1" t="e">
        <f ca="1">_xll.BDH($C$478,"NET_DEBT_TO_SHRHLDR_EQTY","FQ2 2016","FQ2 2016","Currency=INR","Period=FQ","BEST_FPERIOD_OVERRIDE=FQ","FILING_STATUS=OR","EQY_CONSOLIDATED=Y","Sort=A","Dates=H","DateFormat=P","Fill=—","Direction=H","UseDPDF=Y")</f>
        <v>#NAME?</v>
      </c>
      <c r="CO490" s="1" t="e">
        <f ca="1">_xll.BDH($C$478,"NET_DEBT_%_CAPITAL","FQ2 2016","FQ2 2016","Currency=INR","Period=FQ","BEST_FPERIOD_OVERRIDE=FQ","FILING_STATUS=OR","EQY_CONSOLIDATED=Y","Sort=A","Dates=H","DateFormat=P","Fill=—","Direction=H","UseDPDF=Y")</f>
        <v>#NAME?</v>
      </c>
      <c r="CP490" s="2" t="e">
        <f ca="1">_xll.BDH($C$478,"EBITDA","FQ2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90" s="2" t="e">
        <f ca="1">_xll.BDH($C$478,"EBITDA_AFTER_CAPEX","FQ2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90" s="2" t="e">
        <f ca="1">_xll.BDH($C$478,"IS_OPER_INC","FQ2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90" s="1" t="e">
        <f ca="1">_xll.BDH($C$478,"CASH_RATIO","FQ2 2016","FQ2 2016","Currency=INR","Period=FQ","BEST_FPERIOD_OVERRIDE=FQ","FILING_STATUS=OR","EQY_CONSOLIDATED=Y","Sort=A","Dates=H","DateFormat=P","Fill=—","Direction=H","UseDPDF=Y")</f>
        <v>#NAME?</v>
      </c>
      <c r="CT490" s="1" t="e">
        <f ca="1">_xll.BDH($C$478,"CUR_RATIO","FQ2 2016","FQ2 2016","Currency=INR","Period=FQ","BEST_FPERIOD_OVERRIDE=FQ","FILING_STATUS=OR","EQY_CONSOLIDATED=Y","Sort=A","Dates=H","DateFormat=P","Fill=—","Direction=H","UseDPDF=Y")</f>
        <v>#NAME?</v>
      </c>
      <c r="CU490" s="1" t="e">
        <f ca="1">_xll.BDH($C$478,"QUICK_RATIO","FQ2 2016","FQ2 2016","Currency=INR","Period=FQ","BEST_FPERIOD_OVERRIDE=FQ","FILING_STATUS=OR","EQY_CONSOLIDATED=Y","Sort=A","Dates=H","DateFormat=P","Fill=—","Direction=H","UseDPDF=Y")</f>
        <v>#NAME?</v>
      </c>
      <c r="CV490" s="1" t="e">
        <f ca="1">_xll.BDH($C$478,"ALTMAN_Z_SCORE","FQ2 2016","FQ2 2016","Currency=INR","Period=FQ","BEST_FPERIOD_OVERRIDE=FQ","FILING_STATUS=OR","EQY_CONSOLIDATED=Y","Sort=A","Dates=H","DateFormat=P","Fill=—","Direction=H","UseDPDF=Y")</f>
        <v>#NAME?</v>
      </c>
      <c r="CW490" s="3" t="e">
        <f ca="1">_xll.BDH($C$478,"ACCT_RCV_TURN","FQ2 2016","FQ2 2016","Currency=INR","Period=FQ","BEST_FPERIOD_OVERRIDE=FQ","FILING_STATUS=OR","EQY_CONSOLIDATED=Y","FA_ADJUSTED=GAAP","Sort=A","Dates=H","DateFormat=P","Fill=—","Direction=H","UseDPDF=Y")</f>
        <v>#NAME?</v>
      </c>
      <c r="CX490" s="1" t="e">
        <f ca="1">_xll.BDH($C$478,"ACCT_RCV_DAYS","FQ2 2016","FQ2 2016","Currency=INR","Period=FQ","BEST_FPERIOD_OVERRIDE=FQ","FILING_STATUS=OR","EQY_CONSOLIDATED=Y","FA_ADJUSTED=GAAP","Sort=A","Dates=H","DateFormat=P","Fill=—","Direction=H","UseDPDF=Y")</f>
        <v>#NAME?</v>
      </c>
      <c r="CY490" s="3" t="e">
        <f ca="1">_xll.BDH($C$478,"INVENT_TURN","FQ2 2016","FQ2 2016","Currency=INR","Period=FQ","BEST_FPERIOD_OVERRIDE=FQ","FILING_STATUS=OR","EQY_CONSOLIDATED=Y","FA_ADJUSTED=GAAP","Sort=A","Dates=H","DateFormat=P","Fill=—","Direction=H","UseDPDF=Y")</f>
        <v>#NAME?</v>
      </c>
      <c r="CZ490" s="1" t="e">
        <f ca="1">_xll.BDH($C$478,"INVENT_DAYS","FQ2 2016","FQ2 2016","Currency=INR","Period=FQ","BEST_FPERIOD_OVERRIDE=FQ","FILING_STATUS=OR","EQY_CONSOLIDATED=Y","FA_ADJUSTED=GAAP","Sort=A","Dates=H","DateFormat=P","Fill=—","Direction=H","UseDPDF=Y")</f>
        <v>#NAME?</v>
      </c>
      <c r="DA490" s="3" t="e">
        <f ca="1">_xll.BDH($C$478,"ACCOUNTS_PAYABLE_TURNOVER","FQ2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90" s="1" t="e">
        <f ca="1">_xll.BDH($C$478,"ACCOUNTS_PAYABLE_TURNOVER_DAYS","FQ2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90" s="3" t="e">
        <f ca="1">_xll.BDH($C$478,"CASH_CONVERSION_CYCLE","FQ2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90" s="3" t="e">
        <f ca="1">_xll.BDH($C$478,"INV_TO_CASH_DAYS","FQ2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490" s="4" t="e">
        <f ca="1">_xll.BDH($C$478,"BS_INVENTORIES","FQ2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490" s="2" t="e">
        <f ca="1">_xll.BDH($C$478,"INVTRY_RAW_MATERIALS","FQ2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90" s="2" t="e">
        <f ca="1">_xll.BDH($C$478,"INVTRY_IN_PROGRESS","FQ2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90" s="2" t="e">
        <f ca="1">_xll.BDH($C$478,"INVTRY_FINISHED_GOODS","FQ2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90" s="2" t="e">
        <f ca="1">_xll.BDH($C$478,"BS_OTHER_INV","FQ2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91" spans="1:113" x14ac:dyDescent="0.3">
      <c r="A491" s="6"/>
      <c r="B491" s="6"/>
      <c r="C491" s="6"/>
      <c r="D491" s="6"/>
      <c r="E491" t="s">
        <v>6</v>
      </c>
      <c r="F491" t="e">
        <f ca="1">_xll.BDH($C$478,"RETURN_COM_EQY","FQ3 2016","FQ3 2016","Currency=INR","Period=FQ","BEST_FPERIOD_OVERRIDE=FQ","FILING_STATUS=OR","EQY_CONSOLIDATED=Y","FA_ADJUSTED=GAAP","Sort=A","Dates=H","DateFormat=P","Fill=—","Direction=H","UseDPDF=Y")</f>
        <v>#NAME?</v>
      </c>
      <c r="G491" t="e">
        <f ca="1">_xll.BDH($C$478,"RETURN_ON_ASSET","FQ3 2016","FQ3 2016","Currency=INR","Period=FQ","BEST_FPERIOD_OVERRIDE=FQ","FILING_STATUS=OR","EQY_CONSOLIDATED=Y","FA_ADJUSTED=GAAP","Sort=A","Dates=H","DateFormat=P","Fill=—","Direction=H","UseDPDF=Y")</f>
        <v>#NAME?</v>
      </c>
      <c r="H491" t="e">
        <f ca="1">_xll.BDH($C$478,"RETURN_ON_CAP","FQ3 2016","FQ3 2016","Currency=INR","Period=FQ","BEST_FPERIOD_OVERRIDE=FQ","FILING_STATUS=OR","EQY_CONSOLIDATED=Y","FA_ADJUSTED=GAAP","Sort=A","Dates=H","DateFormat=P","Fill=—","Direction=H","UseDPDF=Y")</f>
        <v>#NAME?</v>
      </c>
      <c r="I491" t="e">
        <f ca="1">_xll.BDH($C$478,"RETURN_ON_INV_CAPITAL","FQ3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91" t="e">
        <f ca="1">_xll.BDH($C$478,"EBITDA_TO_REVENUE","FQ3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491" t="e">
        <f ca="1">_xll.BDH($C$478,"OPER_MARGIN","FQ3 2016","FQ3 2016","Currency=INR","Period=FQ","BEST_FPERIOD_OVERRIDE=FQ","FILING_STATUS=OR","EQY_CONSOLIDATED=Y","FA_ADJUSTED=GAAP","Sort=A","Dates=H","DateFormat=P","Fill=—","Direction=H","UseDPDF=Y")</f>
        <v>#NAME?</v>
      </c>
      <c r="L491" t="e">
        <f ca="1">_xll.BDH($C$478,"INCREMENTAL_OPERATING_MARGIN","FQ3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91" t="e">
        <f ca="1">_xll.BDH($C$478,"PRETAX_INC_TO_NET_SALES","FQ3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91" t="e">
        <f ca="1">_xll.BDH($C$478,"INC_BEF_XO_ITEMS_TO_NET_SALES","FQ3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91" t="e">
        <f ca="1">_xll.BDH($C$478,"PROF_MARGIN","FQ3 2016","FQ3 2016","Currency=INR","Period=FQ","BEST_FPERIOD_OVERRIDE=FQ","FILING_STATUS=OR","EQY_CONSOLIDATED=Y","FA_ADJUSTED=GAAP","Sort=A","Dates=H","DateFormat=P","Fill=—","Direction=H","UseDPDF=Y")</f>
        <v>#NAME?</v>
      </c>
      <c r="P491" t="e">
        <f ca="1">_xll.BDH($C$478,"NET_INCOME_TO_COMMON_MARGIN","FQ3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91" t="e">
        <f ca="1">_xll.BDH($C$478,"EFF_TAX_RATE","FQ3 2016","FQ3 2016","Currency=INR","Period=FQ","BEST_FPERIOD_OVERRIDE=FQ","FILING_STATUS=OR","EQY_CONSOLIDATED=Y","FA_ADJUSTED=GAAP","Sort=A","Dates=H","DateFormat=P","Fill=—","Direction=H","UseDPDF=Y")</f>
        <v>#NAME?</v>
      </c>
      <c r="R491" t="e">
        <f ca="1">_xll.BDH($C$478,"DVD_PAYOUT_RATIO","FQ3 2016","FQ3 2016","Currency=INR","Period=FQ","BEST_FPERIOD_OVERRIDE=FQ","FILING_STATUS=OR","EQY_CONSOLIDATED=Y","FA_ADJUSTED=GAAP","Sort=A","Dates=H","DateFormat=P","Fill=—","Direction=H","UseDPDF=Y")</f>
        <v>#NAME?</v>
      </c>
      <c r="S491" t="e">
        <f ca="1">_xll.BDH($C$478,"SUSTAIN_GROWTH_RT","FQ3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491" s="1" t="e">
        <f ca="1">_xll.BDH($C$478,"SALES_GROWTH","FQ3 2016","FQ3 2016","Currency=INR","Period=FQ","BEST_FPERIOD_OVERRIDE=FQ","FILING_STATUS=OR","EQY_CONSOLIDATED=Y","FA_ADJUSTED=GAAP","Sort=A","Dates=H","DateFormat=P","Fill=—","Direction=H","UseDPDF=Y")</f>
        <v>#NAME?</v>
      </c>
      <c r="U491" s="1" t="e">
        <f ca="1">_xll.BDH($C$478,"EBITDA_GROWTH","FQ3 2016","FQ3 2016","Currency=INR","Period=FQ","BEST_FPERIOD_OVERRIDE=FQ","FILING_STATUS=OR","EQY_CONSOLIDATED=Y","FA_ADJUSTED=GAAP","Sort=A","Dates=H","DateFormat=P","Fill=—","Direction=H","UseDPDF=Y")</f>
        <v>#NAME?</v>
      </c>
      <c r="V491" s="1" t="e">
        <f ca="1">_xll.BDH($C$478,"OPER_INC_GROWTH","FQ3 2016","FQ3 2016","Currency=INR","Period=FQ","BEST_FPERIOD_OVERRIDE=FQ","FILING_STATUS=OR","EQY_CONSOLIDATED=Y","FA_ADJUSTED=GAAP","Sort=A","Dates=H","DateFormat=P","Fill=—","Direction=H","UseDPDF=Y")</f>
        <v>#NAME?</v>
      </c>
      <c r="W491" s="1" t="e">
        <f ca="1">_xll.BDH($C$478,"EARN_FOR_COM_GROWTH","FQ3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91" s="1" t="e">
        <f ca="1">_xll.BDH($C$478,"DILUTED_EPS_AFT_XO_ITEMS_GROWTH","FQ3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91" s="1" t="e">
        <f ca="1">_xll.BDH($C$478,"DIVIDEND_PER_SHARE_1_YEAR_GROWTH","FQ3 2016","FQ3 2016","Currency=INR","Period=FQ","BEST_FPERIOD_OVERRIDE=FQ","FILING_STATUS=OR","EQY_CONSOLIDATED=Y","Sort=A","Dates=H","DateFormat=P","Fill=—","Direction=H","UseDPDF=Y")</f>
        <v>#NAME?</v>
      </c>
      <c r="Z491" s="1" t="e">
        <f ca="1">_xll.BDH($C$478,"ACCOUNTS_RECEIVABLE_GROWTH","FQ3 2016","FQ3 2016","Currency=INR","Period=FQ","BEST_FPERIOD_OVERRIDE=FQ","FILING_STATUS=OR","EQY_CONSOLIDATED=Y","Sort=A","Dates=H","DateFormat=P","Fill=—","Direction=H","UseDPDF=Y")</f>
        <v>#NAME?</v>
      </c>
      <c r="AA491" s="1" t="e">
        <f ca="1">_xll.BDH($C$478,"INVENTORY_GROWTH","FQ3 2016","FQ3 2016","Currency=INR","Period=FQ","BEST_FPERIOD_OVERRIDE=FQ","FILING_STATUS=OR","EQY_CONSOLIDATED=Y","Sort=A","Dates=H","DateFormat=P","Fill=—","Direction=H","UseDPDF=Y")</f>
        <v>#NAME?</v>
      </c>
      <c r="AB491" s="1" t="e">
        <f ca="1">_xll.BDH($C$478,"NET_FIXED_ASSETS_1_YEAR_GROWTH","FQ3 2016","FQ3 2016","Currency=INR","Period=FQ","BEST_FPERIOD_OVERRIDE=FQ","FILING_STATUS=OR","EQY_CONSOLIDATED=Y","Sort=A","Dates=H","DateFormat=P","Fill=—","Direction=H","UseDPDF=Y")</f>
        <v>#NAME?</v>
      </c>
      <c r="AC491" s="1" t="e">
        <f ca="1">_xll.BDH($C$478,"ASSET_GROWTH","FQ3 2016","FQ3 2016","Currency=INR","Period=FQ","BEST_FPERIOD_OVERRIDE=FQ","FILING_STATUS=OR","EQY_CONSOLIDATED=Y","Sort=A","Dates=H","DateFormat=P","Fill=—","Direction=H","UseDPDF=Y")</f>
        <v>#NAME?</v>
      </c>
      <c r="AD491" s="1" t="e">
        <f ca="1">_xll.BDH($C$478,"MODIFIED_WORK_CAP_GROWTH","FQ3 2016","FQ3 2016","Currency=INR","Period=FQ","BEST_FPERIOD_OVERRIDE=FQ","FILING_STATUS=OR","EQY_CONSOLIDATED=Y","Sort=A","Dates=H","DateFormat=P","Fill=—","Direction=H","UseDPDF=Y")</f>
        <v>#NAME?</v>
      </c>
      <c r="AE491" s="1" t="e">
        <f ca="1">_xll.BDH($C$478,"WORK_CAP_GROWTH","FQ3 2016","FQ3 2016","Currency=INR","Period=FQ","BEST_FPERIOD_OVERRIDE=FQ","FILING_STATUS=OR","EQY_CONSOLIDATED=Y","Sort=A","Dates=H","DateFormat=P","Fill=—","Direction=H","UseDPDF=Y")</f>
        <v>#NAME?</v>
      </c>
      <c r="AF491" s="1" t="e">
        <f ca="1">_xll.BDH($C$478,"ACCOUNTS_PAYABLE_GROWTH_1YR","FQ3 2016","FQ3 2016","Currency=INR","Period=FQ","BEST_FPERIOD_OVERRIDE=FQ","FILING_STATUS=OR","EQY_CONSOLIDATED=Y","Sort=A","Dates=H","DateFormat=P","Fill=—","Direction=H","UseDPDF=Y")</f>
        <v>#NAME?</v>
      </c>
      <c r="AG491" s="1" t="e">
        <f ca="1">_xll.BDH($C$478,"SHORT_TERM_DEBT_1_YEAR_GROWTH","FQ3 2016","FQ3 2016","Currency=INR","Period=FQ","BEST_FPERIOD_OVERRIDE=FQ","FILING_STATUS=OR","EQY_CONSOLIDATED=Y","Sort=A","Dates=H","DateFormat=P","Fill=—","Direction=H","UseDPDF=Y")</f>
        <v>#NAME?</v>
      </c>
      <c r="AH491" s="1" t="e">
        <f ca="1">_xll.BDH($C$478,"TOTAL_DEBT_1_YEAR_GROWTH","FQ3 2016","FQ3 2016","Currency=INR","Period=FQ","BEST_FPERIOD_OVERRIDE=FQ","FILING_STATUS=OR","EQY_CONSOLIDATED=Y","Sort=A","Dates=H","DateFormat=P","Fill=—","Direction=H","UseDPDF=Y")</f>
        <v>#NAME?</v>
      </c>
      <c r="AI491" s="1" t="e">
        <f ca="1">_xll.BDH($C$478,"TOTAL_EQUITY_1_YEAR_GROWTH","FQ3 2016","FQ3 2016","Currency=INR","Period=FQ","BEST_FPERIOD_OVERRIDE=FQ","FILING_STATUS=OR","EQY_CONSOLIDATED=Y","Sort=A","Dates=H","DateFormat=P","Fill=—","Direction=H","UseDPDF=Y")</f>
        <v>#NAME?</v>
      </c>
      <c r="AJ491" s="1" t="e">
        <f ca="1">_xll.BDH($C$478,"GROWTH_IN_CAP","FQ3 2016","FQ3 2016","Currency=INR","Period=FQ","BEST_FPERIOD_OVERRIDE=FQ","FILING_STATUS=OR","EQY_CONSOLIDATED=Y","Sort=A","Dates=H","DateFormat=P","Fill=—","Direction=H","UseDPDF=Y")</f>
        <v>#NAME?</v>
      </c>
      <c r="AK491" s="1" t="e">
        <f ca="1">_xll.BDH($C$478,"BVPS_GROWTH","FQ3 2016","FQ3 2016","Currency=INR","Period=FQ","BEST_FPERIOD_OVERRIDE=FQ","FILING_STATUS=OR","EQY_CONSOLIDATED=Y","Sort=A","Dates=H","DateFormat=P","Fill=—","Direction=H","UseDPDF=Y")</f>
        <v>#NAME?</v>
      </c>
      <c r="AL491" s="1" t="e">
        <f ca="1">_xll.BDH($C$478,"CASH_FLOW_GROWTH","FQ3 2016","FQ3 2016","Currency=INR","Period=FQ","BEST_FPERIOD_OVERRIDE=FQ","FILING_STATUS=OR","EQY_CONSOLIDATED=Y","Sort=A","Dates=H","DateFormat=P","Fill=—","Direction=H","UseDPDF=Y")</f>
        <v>#NAME?</v>
      </c>
      <c r="AM491" s="1" t="e">
        <f ca="1">_xll.BDH($C$478,"GEO_GROW_NET_SALES","FQ3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91" s="1" t="e">
        <f ca="1">_xll.BDH($C$478,"GEO_GROW_EBITDA","FQ3 2016","FQ3 2016","Currency=INR","Period=FQ","BEST_FPERIOD_OVERRIDE=FQ","FILING_STATUS=OR","EQY_CONSOLIDATED=Y","FA_ADJUSTED=GAAP","Sort=A","Dates=H","DateFormat=P","Fill=—","Direction=H","UseDPDF=Y")</f>
        <v>#NAME?</v>
      </c>
      <c r="AO491" s="1" t="e">
        <f ca="1">_xll.BDH($C$478,"GEO_GROW_OPER_INC","FQ3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91" s="1" t="e">
        <f ca="1">_xll.BDH($C$478,"NET_INCOME_TO_COMMON_5_YR_GROWTH","FQ3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91" s="1" t="e">
        <f ca="1">_xll.BDH($C$478,"5Y_GEO_GROWTH_DILUTED_EPS","FQ3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91" s="1" t="e">
        <f ca="1">_xll.BDH($C$478,"GEO_GROW_DVD_PER_SH","FQ3 2016","FQ3 2016","Currency=INR","Period=FQ","BEST_FPERIOD_OVERRIDE=FQ","FILING_STATUS=OR","EQY_CONSOLIDATED=Y","Sort=A","Dates=H","DateFormat=P","Fill=—","Direction=H","UseDPDF=Y")</f>
        <v>#NAME?</v>
      </c>
      <c r="AS491" s="1" t="e">
        <f ca="1">_xll.BDH($C$478,"ACCOUNTS_RECEIVABLE_5_YR_GROWTH","FQ3 2016","FQ3 2016","Currency=INR","Period=FQ","BEST_FPERIOD_OVERRIDE=FQ","FILING_STATUS=OR","EQY_CONSOLIDATED=Y","Sort=A","Dates=H","DateFormat=P","Fill=—","Direction=H","UseDPDF=Y")</f>
        <v>#NAME?</v>
      </c>
      <c r="AT491" s="1" t="e">
        <f ca="1">_xll.BDH($C$478,"INVENTORY_5_YEAR_GROWTH","FQ3 2016","FQ3 2016","Currency=INR","Period=FQ","BEST_FPERIOD_OVERRIDE=FQ","FILING_STATUS=OR","EQY_CONSOLIDATED=Y","Sort=A","Dates=H","DateFormat=P","Fill=—","Direction=H","UseDPDF=Y")</f>
        <v>#NAME?</v>
      </c>
      <c r="AU491" s="1" t="e">
        <f ca="1">_xll.BDH($C$478,"NET_FIXED_ASSETS_5_YEAR_GROWTH","FQ3 2016","FQ3 2016","Currency=INR","Period=FQ","BEST_FPERIOD_OVERRIDE=FQ","FILING_STATUS=OR","EQY_CONSOLIDATED=Y","Sort=A","Dates=H","DateFormat=P","Fill=—","Direction=H","UseDPDF=Y")</f>
        <v>#NAME?</v>
      </c>
      <c r="AV491" s="1" t="e">
        <f ca="1">_xll.BDH($C$478,"GEO_GROW_TOT_ASSET","FQ3 2016","FQ3 2016","Currency=INR","Period=FQ","BEST_FPERIOD_OVERRIDE=FQ","FILING_STATUS=OR","EQY_CONSOLIDATED=Y","Sort=A","Dates=H","DateFormat=P","Fill=—","Direction=H","UseDPDF=Y")</f>
        <v>#NAME?</v>
      </c>
      <c r="AW491" s="1" t="e">
        <f ca="1">_xll.BDH($C$478,"MODIFIED_WORKING_CPTL_5YR_GRWTH","FQ3 2016","FQ3 2016","Currency=INR","Period=FQ","BEST_FPERIOD_OVERRIDE=FQ","FILING_STATUS=OR","EQY_CONSOLIDATED=Y","Sort=A","Dates=H","DateFormat=P","Fill=—","Direction=H","UseDPDF=Y")</f>
        <v>#NAME?</v>
      </c>
      <c r="AX491" s="1" t="e">
        <f ca="1">_xll.BDH($C$478,"WORKING_CAPITAL_5_YEAR_GROWTH","FQ3 2016","FQ3 2016","Currency=INR","Period=FQ","BEST_FPERIOD_OVERRIDE=FQ","FILING_STATUS=OR","EQY_CONSOLIDATED=Y","Sort=A","Dates=H","DateFormat=P","Fill=—","Direction=H","UseDPDF=Y")</f>
        <v>#NAME?</v>
      </c>
      <c r="AY491" s="1" t="e">
        <f ca="1">_xll.BDH($C$478,"ACCOUNTS_PAYABLE_5_YEAR_GROWTH","FQ3 2016","FQ3 2016","Currency=INR","Period=FQ","BEST_FPERIOD_OVERRIDE=FQ","FILING_STATUS=OR","EQY_CONSOLIDATED=Y","Sort=A","Dates=H","DateFormat=P","Fill=—","Direction=H","UseDPDF=Y")</f>
        <v>#NAME?</v>
      </c>
      <c r="AZ491" s="1" t="e">
        <f ca="1">_xll.BDH($C$478,"SHORT_TERM_DEBT_5_YEAR_GROWTH","FQ3 2016","FQ3 2016","Currency=INR","Period=FQ","BEST_FPERIOD_OVERRIDE=FQ","FILING_STATUS=OR","EQY_CONSOLIDATED=Y","Sort=A","Dates=H","DateFormat=P","Fill=—","Direction=H","UseDPDF=Y")</f>
        <v>#NAME?</v>
      </c>
      <c r="BA491" s="1" t="e">
        <f ca="1">_xll.BDH($C$478,"TOTAL_DEBT_5_YEAR_GROWTH","FQ3 2016","FQ3 2016","Currency=INR","Period=FQ","BEST_FPERIOD_OVERRIDE=FQ","FILING_STATUS=OR","EQY_CONSOLIDATED=Y","Sort=A","Dates=H","DateFormat=P","Fill=—","Direction=H","UseDPDF=Y")</f>
        <v>#NAME?</v>
      </c>
      <c r="BB491" s="1" t="e">
        <f ca="1">_xll.BDH($C$478,"GEO_GROW_TOT_SHRHLDR_EQY","FQ3 2016","FQ3 2016","Currency=INR","Period=FQ","BEST_FPERIOD_OVERRIDE=FQ","FILING_STATUS=OR","EQY_CONSOLIDATED=Y","Sort=A","Dates=H","DateFormat=P","Fill=—","Direction=H","UseDPDF=Y")</f>
        <v>#NAME?</v>
      </c>
      <c r="BC491" s="1" t="e">
        <f ca="1">_xll.BDH($C$478,"TOTAL_CAPITAL_5_YEAR_GROWTH","FQ3 2016","FQ3 2016","Currency=INR","Period=FQ","BEST_FPERIOD_OVERRIDE=FQ","FILING_STATUS=OR","EQY_CONSOLIDATED=Y","Sort=A","Dates=H","DateFormat=P","Fill=—","Direction=H","UseDPDF=Y")</f>
        <v>#NAME?</v>
      </c>
      <c r="BD491" s="1" t="e">
        <f ca="1">_xll.BDH($C$478,"GEO_GROW_BOOK_VAL","FQ3 2016","FQ3 2016","Currency=INR","Period=FQ","BEST_FPERIOD_OVERRIDE=FQ","FILING_STATUS=OR","EQY_CONSOLIDATED=Y","Sort=A","Dates=H","DateFormat=P","Fill=—","Direction=H","UseDPDF=Y")</f>
        <v>#NAME?</v>
      </c>
      <c r="BE491" s="1" t="e">
        <f ca="1">_xll.BDH($C$478,"GEO_GROW_CASH_OPER_ACT","FQ3 2016","FQ3 2016","Currency=INR","Period=FQ","BEST_FPERIOD_OVERRIDE=FQ","FILING_STATUS=OR","EQY_CONSOLIDATED=Y","Sort=A","Dates=H","DateFormat=P","Fill=—","Direction=H","UseDPDF=Y")</f>
        <v>#NAME?</v>
      </c>
      <c r="BF491" s="1" t="e">
        <f ca="1">_xll.BDH($C$478,"REVENUE_SEQUENTIAL_GROWTH","FQ3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91" s="1" t="e">
        <f ca="1">_xll.BDH($C$478,"EBITDA_SEQUENTIAL_GROWTH","FQ3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91" s="1" t="e">
        <f ca="1">_xll.BDH($C$478,"OPERATING_INCOME_SEQ_GROWTH","FQ3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91" s="1" t="e">
        <f ca="1">_xll.BDH($C$478,"NET_INCOME_TO_COMMON_SEQ_GROWTH","FQ3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91" s="1" t="e">
        <f ca="1">_xll.BDH($C$478,"EPS_DILUTED_SEQUENTIAL_GROWTH","FQ3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91" s="1" t="e">
        <f ca="1">_xll.BDH($C$478,"DPS_SEQUENTIAL_GROWTH","FQ3 2016","FQ3 2016","Currency=INR","Period=FQ","BEST_FPERIOD_OVERRIDE=FQ","FILING_STATUS=OR","EQY_CONSOLIDATED=Y","Sort=A","Dates=H","DateFormat=P","Fill=—","Direction=H","UseDPDF=Y")</f>
        <v>#NAME?</v>
      </c>
      <c r="BL491" s="1" t="e">
        <f ca="1">_xll.BDH($C$478,"ACCOUNTS_RECEIVABLE_SEQ_GROWTH","FQ3 2016","FQ3 2016","Currency=INR","Period=FQ","BEST_FPERIOD_OVERRIDE=FQ","FILING_STATUS=OR","EQY_CONSOLIDATED=Y","Sort=A","Dates=H","DateFormat=P","Fill=—","Direction=H","UseDPDF=Y")</f>
        <v>#NAME?</v>
      </c>
      <c r="BM491" s="1" t="e">
        <f ca="1">_xll.BDH($C$478,"INVENTORY_SEQUENTIAL_GROWTH","FQ3 2016","FQ3 2016","Currency=INR","Period=FQ","BEST_FPERIOD_OVERRIDE=FQ","FILING_STATUS=OR","EQY_CONSOLIDATED=Y","Sort=A","Dates=H","DateFormat=P","Fill=—","Direction=H","UseDPDF=Y")</f>
        <v>#NAME?</v>
      </c>
      <c r="BN491" s="1" t="e">
        <f ca="1">_xll.BDH($C$478,"FIXED_ASSETS_SEQUENTIAL_GROWTH","FQ3 2016","FQ3 2016","Currency=INR","Period=FQ","BEST_FPERIOD_OVERRIDE=FQ","FILING_STATUS=OR","EQY_CONSOLIDATED=Y","Sort=A","Dates=H","DateFormat=P","Fill=—","Direction=H","UseDPDF=Y")</f>
        <v>#NAME?</v>
      </c>
      <c r="BO491" s="1" t="e">
        <f ca="1">_xll.BDH($C$478,"TOTAL_ASSETS_SEQUENTIAL_GROWTH","FQ3 2016","FQ3 2016","Currency=INR","Period=FQ","BEST_FPERIOD_OVERRIDE=FQ","FILING_STATUS=OR","EQY_CONSOLIDATED=Y","Sort=A","Dates=H","DateFormat=P","Fill=—","Direction=H","UseDPDF=Y")</f>
        <v>#NAME?</v>
      </c>
      <c r="BP491" s="1" t="e">
        <f ca="1">_xll.BDH($C$478,"MODIFIED_WORKING_CPTL_SEQ_GRWTH","FQ3 2016","FQ3 2016","Currency=INR","Period=FQ","BEST_FPERIOD_OVERRIDE=FQ","FILING_STATUS=OR","EQY_CONSOLIDATED=Y","Sort=A","Dates=H","DateFormat=P","Fill=—","Direction=H","UseDPDF=Y")</f>
        <v>#NAME?</v>
      </c>
      <c r="BQ491" s="1" t="e">
        <f ca="1">_xll.BDH($C$478,"WORKING_CAPITAL_SEQ_GROWTH","FQ3 2016","FQ3 2016","Currency=INR","Period=FQ","BEST_FPERIOD_OVERRIDE=FQ","FILING_STATUS=OR","EQY_CONSOLIDATED=Y","Sort=A","Dates=H","DateFormat=P","Fill=—","Direction=H","UseDPDF=Y")</f>
        <v>#NAME?</v>
      </c>
      <c r="BR491" s="1" t="e">
        <f ca="1">_xll.BDH($C$478,"ACCOUNTS_PAYABLE_SEQ_GROWTH","FQ3 2016","FQ3 2016","Currency=INR","Period=FQ","BEST_FPERIOD_OVERRIDE=FQ","FILING_STATUS=OR","EQY_CONSOLIDATED=Y","Sort=A","Dates=H","DateFormat=P","Fill=—","Direction=H","UseDPDF=Y")</f>
        <v>#NAME?</v>
      </c>
      <c r="BS491" s="1" t="e">
        <f ca="1">_xll.BDH($C$478,"ST_DEBT_SEQUENTIAL_GROWTH","FQ3 2016","FQ3 2016","Currency=INR","Period=FQ","BEST_FPERIOD_OVERRIDE=FQ","FILING_STATUS=OR","EQY_CONSOLIDATED=Y","Sort=A","Dates=H","DateFormat=P","Fill=—","Direction=H","UseDPDF=Y")</f>
        <v>#NAME?</v>
      </c>
      <c r="BT491" s="1" t="e">
        <f ca="1">_xll.BDH($C$478,"TOTAL_DEBT_SEQUENTIAL_GROWTH","FQ3 2016","FQ3 2016","Currency=INR","Period=FQ","BEST_FPERIOD_OVERRIDE=FQ","FILING_STATUS=OR","EQY_CONSOLIDATED=Y","Sort=A","Dates=H","DateFormat=P","Fill=—","Direction=H","UseDPDF=Y")</f>
        <v>#NAME?</v>
      </c>
      <c r="BU491" s="1" t="e">
        <f ca="1">_xll.BDH($C$478,"TOTAL_EQUITY_SEQUENTIAL_GROWTH","FQ3 2016","FQ3 2016","Currency=INR","Period=FQ","BEST_FPERIOD_OVERRIDE=FQ","FILING_STATUS=OR","EQY_CONSOLIDATED=Y","Sort=A","Dates=H","DateFormat=P","Fill=—","Direction=H","UseDPDF=Y")</f>
        <v>#NAME?</v>
      </c>
      <c r="BV491" s="1" t="e">
        <f ca="1">_xll.BDH($C$478,"TOTAL_CAPITAL_SEQUENTIAL_GROWTH","FQ3 2016","FQ3 2016","Currency=INR","Period=FQ","BEST_FPERIOD_OVERRIDE=FQ","FILING_STATUS=OR","EQY_CONSOLIDATED=Y","Sort=A","Dates=H","DateFormat=P","Fill=—","Direction=H","UseDPDF=Y")</f>
        <v>#NAME?</v>
      </c>
      <c r="BW491" s="1" t="e">
        <f ca="1">_xll.BDH($C$478,"BPS_SEQUENTIAL_GROWTH","FQ3 2016","FQ3 2016","Currency=INR","Period=FQ","BEST_FPERIOD_OVERRIDE=FQ","FILING_STATUS=OR","EQY_CONSOLIDATED=Y","Sort=A","Dates=H","DateFormat=P","Fill=—","Direction=H","UseDPDF=Y")</f>
        <v>#NAME?</v>
      </c>
      <c r="BX491" s="1" t="e">
        <f ca="1">_xll.BDH($C$478,"CFO_SEQUENTIAL_GROWTH","FQ3 2016","FQ3 2016","Currency=INR","Period=FQ","BEST_FPERIOD_OVERRIDE=FQ","FILING_STATUS=OR","EQY_CONSOLIDATED=Y","Sort=A","Dates=H","DateFormat=P","Fill=—","Direction=H","UseDPDF=Y")</f>
        <v>#NAME?</v>
      </c>
      <c r="BY491" s="2" t="e">
        <f ca="1">_xll.BDH($C$478,"SHORT_AND_LONG_TERM_DEBT","FQ3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91" s="2" t="e">
        <f ca="1">_xll.BDH($C$478,"BS_ST_BORROW","FQ3 2016","FQ3 2016","Currency=INR","Period=FQ","BEST_FPERIOD_OVERRIDE=FQ","FILING_STATUS=OR","EQY_CONSOLIDATED=Y","SCALING_FORMAT=MLN","Sort=A","Dates=H","DateFormat=P","Fill=—","Direction=H","UseDPDF=Y")</f>
        <v>#NAME?</v>
      </c>
      <c r="CA491" s="2" t="e">
        <f ca="1">_xll.BDH($C$478,"BS_LT_BORROW","FQ3 2016","FQ3 2016","Currency=INR","Period=FQ","BEST_FPERIOD_OVERRIDE=FQ","FILING_STATUS=OR","EQY_CONSOLIDATED=Y","SCALING_FORMAT=MLN","Sort=A","Dates=H","DateFormat=P","Fill=—","Direction=H","UseDPDF=Y")</f>
        <v>#NAME?</v>
      </c>
      <c r="CB491" s="1" t="e">
        <f ca="1">_xll.BDH($C$478,"TOT_DEBT_TO_EBITDA","FQ3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91" s="1" t="e">
        <f ca="1">_xll.BDH($C$478,"NET_DEBT_TO_EBITDA","FQ3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91" s="1" t="e">
        <f ca="1">_xll.BDH($C$478,"TOTAL_DEBT_TO_EBIT","FQ3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91" s="1" t="e">
        <f ca="1">_xll.BDH($C$478,"NET_DEBT_TO_EBIT","FQ3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491" s="1" t="e">
        <f ca="1">_xll.BDH($C$478,"EBITDA_TO_INTEREST_EXPN","FQ3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91" s="1" t="e">
        <f ca="1">_xll.BDH($C$478,"COM_EQY_TO_TOT_ASSET","FQ3 2016","FQ3 2016","Currency=INR","Period=FQ","BEST_FPERIOD_OVERRIDE=FQ","FILING_STATUS=OR","EQY_CONSOLIDATED=Y","Sort=A","Dates=H","DateFormat=P","Fill=—","Direction=H","UseDPDF=Y")</f>
        <v>#NAME?</v>
      </c>
      <c r="CH491" s="1" t="e">
        <f ca="1">_xll.BDH($C$478,"LT_DEBT_TO_TOT_EQY","FQ3 2016","FQ3 2016","Currency=INR","Period=FQ","BEST_FPERIOD_OVERRIDE=FQ","FILING_STATUS=OR","EQY_CONSOLIDATED=Y","Sort=A","Dates=H","DateFormat=P","Fill=—","Direction=H","UseDPDF=Y")</f>
        <v>#NAME?</v>
      </c>
      <c r="CI491" s="1" t="e">
        <f ca="1">_xll.BDH($C$478,"LT_DEBT_TO_TOT_CAP","FQ3 2016","FQ3 2016","Currency=INR","Period=FQ","BEST_FPERIOD_OVERRIDE=FQ","FILING_STATUS=OR","EQY_CONSOLIDATED=Y","Sort=A","Dates=H","DateFormat=P","Fill=—","Direction=H","UseDPDF=Y")</f>
        <v>#NAME?</v>
      </c>
      <c r="CJ491" s="1" t="e">
        <f ca="1">_xll.BDH($C$478,"LT_DEBT_TO_TOT_ASSET","FQ3 2016","FQ3 2016","Currency=INR","Period=FQ","BEST_FPERIOD_OVERRIDE=FQ","FILING_STATUS=OR","EQY_CONSOLIDATED=Y","Sort=A","Dates=H","DateFormat=P","Fill=—","Direction=H","UseDPDF=Y")</f>
        <v>#NAME?</v>
      </c>
      <c r="CK491" s="1" t="e">
        <f ca="1">_xll.BDH($C$478,"TOT_DEBT_TO_TOT_EQY","FQ3 2016","FQ3 2016","Currency=INR","Period=FQ","BEST_FPERIOD_OVERRIDE=FQ","FILING_STATUS=OR","EQY_CONSOLIDATED=Y","Sort=A","Dates=H","DateFormat=P","Fill=—","Direction=H","UseDPDF=Y")</f>
        <v>#NAME?</v>
      </c>
      <c r="CL491" s="1" t="e">
        <f ca="1">_xll.BDH($C$478,"TOT_DEBT_TO_TOT_CAP","FQ3 2016","FQ3 2016","Currency=INR","Period=FQ","BEST_FPERIOD_OVERRIDE=FQ","FILING_STATUS=OR","EQY_CONSOLIDATED=Y","Sort=A","Dates=H","DateFormat=P","Fill=—","Direction=H","UseDPDF=Y")</f>
        <v>#NAME?</v>
      </c>
      <c r="CM491" s="1" t="e">
        <f ca="1">_xll.BDH($C$478,"TOT_DEBT_TO_TOT_ASSET","FQ3 2016","FQ3 2016","Currency=INR","Period=FQ","BEST_FPERIOD_OVERRIDE=FQ","FILING_STATUS=OR","EQY_CONSOLIDATED=Y","Sort=A","Dates=H","DateFormat=P","Fill=—","Direction=H","UseDPDF=Y")</f>
        <v>#NAME?</v>
      </c>
      <c r="CN491" s="1" t="e">
        <f ca="1">_xll.BDH($C$478,"NET_DEBT_TO_SHRHLDR_EQTY","FQ3 2016","FQ3 2016","Currency=INR","Period=FQ","BEST_FPERIOD_OVERRIDE=FQ","FILING_STATUS=OR","EQY_CONSOLIDATED=Y","Sort=A","Dates=H","DateFormat=P","Fill=—","Direction=H","UseDPDF=Y")</f>
        <v>#NAME?</v>
      </c>
      <c r="CO491" s="1" t="e">
        <f ca="1">_xll.BDH($C$478,"NET_DEBT_%_CAPITAL","FQ3 2016","FQ3 2016","Currency=INR","Period=FQ","BEST_FPERIOD_OVERRIDE=FQ","FILING_STATUS=OR","EQY_CONSOLIDATED=Y","Sort=A","Dates=H","DateFormat=P","Fill=—","Direction=H","UseDPDF=Y")</f>
        <v>#NAME?</v>
      </c>
      <c r="CP491" s="2" t="e">
        <f ca="1">_xll.BDH($C$478,"EBITDA","FQ3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91" s="2" t="e">
        <f ca="1">_xll.BDH($C$478,"EBITDA_AFTER_CAPEX","FQ3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91" s="2" t="e">
        <f ca="1">_xll.BDH($C$478,"IS_OPER_INC","FQ3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91" s="1" t="e">
        <f ca="1">_xll.BDH($C$478,"CASH_RATIO","FQ3 2016","FQ3 2016","Currency=INR","Period=FQ","BEST_FPERIOD_OVERRIDE=FQ","FILING_STATUS=OR","EQY_CONSOLIDATED=Y","Sort=A","Dates=H","DateFormat=P","Fill=—","Direction=H","UseDPDF=Y")</f>
        <v>#NAME?</v>
      </c>
      <c r="CT491" s="1" t="e">
        <f ca="1">_xll.BDH($C$478,"CUR_RATIO","FQ3 2016","FQ3 2016","Currency=INR","Period=FQ","BEST_FPERIOD_OVERRIDE=FQ","FILING_STATUS=OR","EQY_CONSOLIDATED=Y","Sort=A","Dates=H","DateFormat=P","Fill=—","Direction=H","UseDPDF=Y")</f>
        <v>#NAME?</v>
      </c>
      <c r="CU491" s="1" t="e">
        <f ca="1">_xll.BDH($C$478,"QUICK_RATIO","FQ3 2016","FQ3 2016","Currency=INR","Period=FQ","BEST_FPERIOD_OVERRIDE=FQ","FILING_STATUS=OR","EQY_CONSOLIDATED=Y","Sort=A","Dates=H","DateFormat=P","Fill=—","Direction=H","UseDPDF=Y")</f>
        <v>#NAME?</v>
      </c>
      <c r="CV491" s="1" t="e">
        <f ca="1">_xll.BDH($C$478,"ALTMAN_Z_SCORE","FQ3 2016","FQ3 2016","Currency=INR","Period=FQ","BEST_FPERIOD_OVERRIDE=FQ","FILING_STATUS=OR","EQY_CONSOLIDATED=Y","Sort=A","Dates=H","DateFormat=P","Fill=—","Direction=H","UseDPDF=Y")</f>
        <v>#NAME?</v>
      </c>
      <c r="CW491" s="3" t="e">
        <f ca="1">_xll.BDH($C$478,"ACCT_RCV_TURN","FQ3 2016","FQ3 2016","Currency=INR","Period=FQ","BEST_FPERIOD_OVERRIDE=FQ","FILING_STATUS=OR","EQY_CONSOLIDATED=Y","FA_ADJUSTED=GAAP","Sort=A","Dates=H","DateFormat=P","Fill=—","Direction=H","UseDPDF=Y")</f>
        <v>#NAME?</v>
      </c>
      <c r="CX491" s="1" t="e">
        <f ca="1">_xll.BDH($C$478,"ACCT_RCV_DAYS","FQ3 2016","FQ3 2016","Currency=INR","Period=FQ","BEST_FPERIOD_OVERRIDE=FQ","FILING_STATUS=OR","EQY_CONSOLIDATED=Y","FA_ADJUSTED=GAAP","Sort=A","Dates=H","DateFormat=P","Fill=—","Direction=H","UseDPDF=Y")</f>
        <v>#NAME?</v>
      </c>
      <c r="CY491" s="3" t="e">
        <f ca="1">_xll.BDH($C$478,"INVENT_TURN","FQ3 2016","FQ3 2016","Currency=INR","Period=FQ","BEST_FPERIOD_OVERRIDE=FQ","FILING_STATUS=OR","EQY_CONSOLIDATED=Y","FA_ADJUSTED=GAAP","Sort=A","Dates=H","DateFormat=P","Fill=—","Direction=H","UseDPDF=Y")</f>
        <v>#NAME?</v>
      </c>
      <c r="CZ491" s="1" t="e">
        <f ca="1">_xll.BDH($C$478,"INVENT_DAYS","FQ3 2016","FQ3 2016","Currency=INR","Period=FQ","BEST_FPERIOD_OVERRIDE=FQ","FILING_STATUS=OR","EQY_CONSOLIDATED=Y","FA_ADJUSTED=GAAP","Sort=A","Dates=H","DateFormat=P","Fill=—","Direction=H","UseDPDF=Y")</f>
        <v>#NAME?</v>
      </c>
      <c r="DA491" s="3" t="e">
        <f ca="1">_xll.BDH($C$478,"ACCOUNTS_PAYABLE_TURNOVER","FQ3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91" s="1" t="e">
        <f ca="1">_xll.BDH($C$478,"ACCOUNTS_PAYABLE_TURNOVER_DAYS","FQ3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91" s="3" t="e">
        <f ca="1">_xll.BDH($C$478,"CASH_CONVERSION_CYCLE","FQ3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91" s="3" t="e">
        <f ca="1">_xll.BDH($C$478,"INV_TO_CASH_DAYS","FQ3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491" s="4" t="e">
        <f ca="1">_xll.BDH($C$478,"BS_INVENTORIES","FQ3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491" s="2" t="e">
        <f ca="1">_xll.BDH($C$478,"INVTRY_RAW_MATERIALS","FQ3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91" s="2" t="e">
        <f ca="1">_xll.BDH($C$478,"INVTRY_IN_PROGRESS","FQ3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91" s="2" t="e">
        <f ca="1">_xll.BDH($C$478,"INVTRY_FINISHED_GOODS","FQ3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91" s="2" t="e">
        <f ca="1">_xll.BDH($C$478,"BS_OTHER_INV","FQ3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92" spans="1:113" x14ac:dyDescent="0.3">
      <c r="A492" s="6"/>
      <c r="B492" s="6"/>
      <c r="C492" s="6"/>
      <c r="D492" s="6"/>
      <c r="E492" t="s">
        <v>7</v>
      </c>
      <c r="F492" t="e">
        <f ca="1">_xll.BDH($C$478,"RETURN_COM_EQY","FQ4 2016","FQ4 2016","Currency=INR","Period=FQ","BEST_FPERIOD_OVERRIDE=FQ","FILING_STATUS=OR","EQY_CONSOLIDATED=Y","FA_ADJUSTED=GAAP","Sort=A","Dates=H","DateFormat=P","Fill=—","Direction=H","UseDPDF=Y")</f>
        <v>#NAME?</v>
      </c>
      <c r="G492" t="e">
        <f ca="1">_xll.BDH($C$478,"RETURN_ON_ASSET","FQ4 2016","FQ4 2016","Currency=INR","Period=FQ","BEST_FPERIOD_OVERRIDE=FQ","FILING_STATUS=OR","EQY_CONSOLIDATED=Y","FA_ADJUSTED=GAAP","Sort=A","Dates=H","DateFormat=P","Fill=—","Direction=H","UseDPDF=Y")</f>
        <v>#NAME?</v>
      </c>
      <c r="H492" t="e">
        <f ca="1">_xll.BDH($C$478,"RETURN_ON_CAP","FQ4 2016","FQ4 2016","Currency=INR","Period=FQ","BEST_FPERIOD_OVERRIDE=FQ","FILING_STATUS=OR","EQY_CONSOLIDATED=Y","FA_ADJUSTED=GAAP","Sort=A","Dates=H","DateFormat=P","Fill=—","Direction=H","UseDPDF=Y")</f>
        <v>#NAME?</v>
      </c>
      <c r="I492" t="e">
        <f ca="1">_xll.BDH($C$478,"RETURN_ON_INV_CAPITAL","FQ4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92" t="e">
        <f ca="1">_xll.BDH($C$478,"EBITDA_TO_REVENUE","FQ4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492" t="e">
        <f ca="1">_xll.BDH($C$478,"OPER_MARGIN","FQ4 2016","FQ4 2016","Currency=INR","Period=FQ","BEST_FPERIOD_OVERRIDE=FQ","FILING_STATUS=OR","EQY_CONSOLIDATED=Y","FA_ADJUSTED=GAAP","Sort=A","Dates=H","DateFormat=P","Fill=—","Direction=H","UseDPDF=Y")</f>
        <v>#NAME?</v>
      </c>
      <c r="L492" t="e">
        <f ca="1">_xll.BDH($C$478,"INCREMENTAL_OPERATING_MARGIN","FQ4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92" t="e">
        <f ca="1">_xll.BDH($C$478,"PRETAX_INC_TO_NET_SALES","FQ4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92" t="e">
        <f ca="1">_xll.BDH($C$478,"INC_BEF_XO_ITEMS_TO_NET_SALES","FQ4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92" t="e">
        <f ca="1">_xll.BDH($C$478,"PROF_MARGIN","FQ4 2016","FQ4 2016","Currency=INR","Period=FQ","BEST_FPERIOD_OVERRIDE=FQ","FILING_STATUS=OR","EQY_CONSOLIDATED=Y","FA_ADJUSTED=GAAP","Sort=A","Dates=H","DateFormat=P","Fill=—","Direction=H","UseDPDF=Y")</f>
        <v>#NAME?</v>
      </c>
      <c r="P492" t="e">
        <f ca="1">_xll.BDH($C$478,"NET_INCOME_TO_COMMON_MARGIN","FQ4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92" t="e">
        <f ca="1">_xll.BDH($C$478,"EFF_TAX_RATE","FQ4 2016","FQ4 2016","Currency=INR","Period=FQ","BEST_FPERIOD_OVERRIDE=FQ","FILING_STATUS=OR","EQY_CONSOLIDATED=Y","FA_ADJUSTED=GAAP","Sort=A","Dates=H","DateFormat=P","Fill=—","Direction=H","UseDPDF=Y")</f>
        <v>#NAME?</v>
      </c>
      <c r="R492" t="e">
        <f ca="1">_xll.BDH($C$478,"DVD_PAYOUT_RATIO","FQ4 2016","FQ4 2016","Currency=INR","Period=FQ","BEST_FPERIOD_OVERRIDE=FQ","FILING_STATUS=OR","EQY_CONSOLIDATED=Y","FA_ADJUSTED=GAAP","Sort=A","Dates=H","DateFormat=P","Fill=—","Direction=H","UseDPDF=Y")</f>
        <v>#NAME?</v>
      </c>
      <c r="S492" t="e">
        <f ca="1">_xll.BDH($C$478,"SUSTAIN_GROWTH_RT","FQ4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492" s="1" t="e">
        <f ca="1">_xll.BDH($C$478,"SALES_GROWTH","FQ4 2016","FQ4 2016","Currency=INR","Period=FQ","BEST_FPERIOD_OVERRIDE=FQ","FILING_STATUS=OR","EQY_CONSOLIDATED=Y","FA_ADJUSTED=GAAP","Sort=A","Dates=H","DateFormat=P","Fill=—","Direction=H","UseDPDF=Y")</f>
        <v>#NAME?</v>
      </c>
      <c r="U492" s="1" t="e">
        <f ca="1">_xll.BDH($C$478,"EBITDA_GROWTH","FQ4 2016","FQ4 2016","Currency=INR","Period=FQ","BEST_FPERIOD_OVERRIDE=FQ","FILING_STATUS=OR","EQY_CONSOLIDATED=Y","FA_ADJUSTED=GAAP","Sort=A","Dates=H","DateFormat=P","Fill=—","Direction=H","UseDPDF=Y")</f>
        <v>#NAME?</v>
      </c>
      <c r="V492" s="1" t="e">
        <f ca="1">_xll.BDH($C$478,"OPER_INC_GROWTH","FQ4 2016","FQ4 2016","Currency=INR","Period=FQ","BEST_FPERIOD_OVERRIDE=FQ","FILING_STATUS=OR","EQY_CONSOLIDATED=Y","FA_ADJUSTED=GAAP","Sort=A","Dates=H","DateFormat=P","Fill=—","Direction=H","UseDPDF=Y")</f>
        <v>#NAME?</v>
      </c>
      <c r="W492" s="1" t="e">
        <f ca="1">_xll.BDH($C$478,"EARN_FOR_COM_GROWTH","FQ4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92" s="1" t="e">
        <f ca="1">_xll.BDH($C$478,"DILUTED_EPS_AFT_XO_ITEMS_GROWTH","FQ4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92" s="1" t="e">
        <f ca="1">_xll.BDH($C$478,"DIVIDEND_PER_SHARE_1_YEAR_GROWTH","FQ4 2016","FQ4 2016","Currency=INR","Period=FQ","BEST_FPERIOD_OVERRIDE=FQ","FILING_STATUS=OR","EQY_CONSOLIDATED=Y","Sort=A","Dates=H","DateFormat=P","Fill=—","Direction=H","UseDPDF=Y")</f>
        <v>#NAME?</v>
      </c>
      <c r="Z492" s="1" t="e">
        <f ca="1">_xll.BDH($C$478,"ACCOUNTS_RECEIVABLE_GROWTH","FQ4 2016","FQ4 2016","Currency=INR","Period=FQ","BEST_FPERIOD_OVERRIDE=FQ","FILING_STATUS=OR","EQY_CONSOLIDATED=Y","Sort=A","Dates=H","DateFormat=P","Fill=—","Direction=H","UseDPDF=Y")</f>
        <v>#NAME?</v>
      </c>
      <c r="AA492" s="1" t="e">
        <f ca="1">_xll.BDH($C$478,"INVENTORY_GROWTH","FQ4 2016","FQ4 2016","Currency=INR","Period=FQ","BEST_FPERIOD_OVERRIDE=FQ","FILING_STATUS=OR","EQY_CONSOLIDATED=Y","Sort=A","Dates=H","DateFormat=P","Fill=—","Direction=H","UseDPDF=Y")</f>
        <v>#NAME?</v>
      </c>
      <c r="AB492" s="1" t="e">
        <f ca="1">_xll.BDH($C$478,"NET_FIXED_ASSETS_1_YEAR_GROWTH","FQ4 2016","FQ4 2016","Currency=INR","Period=FQ","BEST_FPERIOD_OVERRIDE=FQ","FILING_STATUS=OR","EQY_CONSOLIDATED=Y","Sort=A","Dates=H","DateFormat=P","Fill=—","Direction=H","UseDPDF=Y")</f>
        <v>#NAME?</v>
      </c>
      <c r="AC492" s="1" t="e">
        <f ca="1">_xll.BDH($C$478,"ASSET_GROWTH","FQ4 2016","FQ4 2016","Currency=INR","Period=FQ","BEST_FPERIOD_OVERRIDE=FQ","FILING_STATUS=OR","EQY_CONSOLIDATED=Y","Sort=A","Dates=H","DateFormat=P","Fill=—","Direction=H","UseDPDF=Y")</f>
        <v>#NAME?</v>
      </c>
      <c r="AD492" s="1" t="e">
        <f ca="1">_xll.BDH($C$478,"MODIFIED_WORK_CAP_GROWTH","FQ4 2016","FQ4 2016","Currency=INR","Period=FQ","BEST_FPERIOD_OVERRIDE=FQ","FILING_STATUS=OR","EQY_CONSOLIDATED=Y","Sort=A","Dates=H","DateFormat=P","Fill=—","Direction=H","UseDPDF=Y")</f>
        <v>#NAME?</v>
      </c>
      <c r="AE492" s="1" t="e">
        <f ca="1">_xll.BDH($C$478,"WORK_CAP_GROWTH","FQ4 2016","FQ4 2016","Currency=INR","Period=FQ","BEST_FPERIOD_OVERRIDE=FQ","FILING_STATUS=OR","EQY_CONSOLIDATED=Y","Sort=A","Dates=H","DateFormat=P","Fill=—","Direction=H","UseDPDF=Y")</f>
        <v>#NAME?</v>
      </c>
      <c r="AF492" s="1" t="e">
        <f ca="1">_xll.BDH($C$478,"ACCOUNTS_PAYABLE_GROWTH_1YR","FQ4 2016","FQ4 2016","Currency=INR","Period=FQ","BEST_FPERIOD_OVERRIDE=FQ","FILING_STATUS=OR","EQY_CONSOLIDATED=Y","Sort=A","Dates=H","DateFormat=P","Fill=—","Direction=H","UseDPDF=Y")</f>
        <v>#NAME?</v>
      </c>
      <c r="AG492" s="1" t="e">
        <f ca="1">_xll.BDH($C$478,"SHORT_TERM_DEBT_1_YEAR_GROWTH","FQ4 2016","FQ4 2016","Currency=INR","Period=FQ","BEST_FPERIOD_OVERRIDE=FQ","FILING_STATUS=OR","EQY_CONSOLIDATED=Y","Sort=A","Dates=H","DateFormat=P","Fill=—","Direction=H","UseDPDF=Y")</f>
        <v>#NAME?</v>
      </c>
      <c r="AH492" s="1" t="e">
        <f ca="1">_xll.BDH($C$478,"TOTAL_DEBT_1_YEAR_GROWTH","FQ4 2016","FQ4 2016","Currency=INR","Period=FQ","BEST_FPERIOD_OVERRIDE=FQ","FILING_STATUS=OR","EQY_CONSOLIDATED=Y","Sort=A","Dates=H","DateFormat=P","Fill=—","Direction=H","UseDPDF=Y")</f>
        <v>#NAME?</v>
      </c>
      <c r="AI492" s="1" t="e">
        <f ca="1">_xll.BDH($C$478,"TOTAL_EQUITY_1_YEAR_GROWTH","FQ4 2016","FQ4 2016","Currency=INR","Period=FQ","BEST_FPERIOD_OVERRIDE=FQ","FILING_STATUS=OR","EQY_CONSOLIDATED=Y","Sort=A","Dates=H","DateFormat=P","Fill=—","Direction=H","UseDPDF=Y")</f>
        <v>#NAME?</v>
      </c>
      <c r="AJ492" s="1" t="e">
        <f ca="1">_xll.BDH($C$478,"GROWTH_IN_CAP","FQ4 2016","FQ4 2016","Currency=INR","Period=FQ","BEST_FPERIOD_OVERRIDE=FQ","FILING_STATUS=OR","EQY_CONSOLIDATED=Y","Sort=A","Dates=H","DateFormat=P","Fill=—","Direction=H","UseDPDF=Y")</f>
        <v>#NAME?</v>
      </c>
      <c r="AK492" s="1" t="e">
        <f ca="1">_xll.BDH($C$478,"BVPS_GROWTH","FQ4 2016","FQ4 2016","Currency=INR","Period=FQ","BEST_FPERIOD_OVERRIDE=FQ","FILING_STATUS=OR","EQY_CONSOLIDATED=Y","Sort=A","Dates=H","DateFormat=P","Fill=—","Direction=H","UseDPDF=Y")</f>
        <v>#NAME?</v>
      </c>
      <c r="AL492" s="1" t="e">
        <f ca="1">_xll.BDH($C$478,"CASH_FLOW_GROWTH","FQ4 2016","FQ4 2016","Currency=INR","Period=FQ","BEST_FPERIOD_OVERRIDE=FQ","FILING_STATUS=OR","EQY_CONSOLIDATED=Y","Sort=A","Dates=H","DateFormat=P","Fill=—","Direction=H","UseDPDF=Y")</f>
        <v>#NAME?</v>
      </c>
      <c r="AM492" s="1" t="e">
        <f ca="1">_xll.BDH($C$478,"GEO_GROW_NET_SALES","FQ4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92" s="1" t="e">
        <f ca="1">_xll.BDH($C$478,"GEO_GROW_EBITDA","FQ4 2016","FQ4 2016","Currency=INR","Period=FQ","BEST_FPERIOD_OVERRIDE=FQ","FILING_STATUS=OR","EQY_CONSOLIDATED=Y","FA_ADJUSTED=GAAP","Sort=A","Dates=H","DateFormat=P","Fill=—","Direction=H","UseDPDF=Y")</f>
        <v>#NAME?</v>
      </c>
      <c r="AO492" s="1" t="e">
        <f ca="1">_xll.BDH($C$478,"GEO_GROW_OPER_INC","FQ4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92" s="1" t="e">
        <f ca="1">_xll.BDH($C$478,"NET_INCOME_TO_COMMON_5_YR_GROWTH","FQ4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92" s="1" t="e">
        <f ca="1">_xll.BDH($C$478,"5Y_GEO_GROWTH_DILUTED_EPS","FQ4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92" s="1" t="e">
        <f ca="1">_xll.BDH($C$478,"GEO_GROW_DVD_PER_SH","FQ4 2016","FQ4 2016","Currency=INR","Period=FQ","BEST_FPERIOD_OVERRIDE=FQ","FILING_STATUS=OR","EQY_CONSOLIDATED=Y","Sort=A","Dates=H","DateFormat=P","Fill=—","Direction=H","UseDPDF=Y")</f>
        <v>#NAME?</v>
      </c>
      <c r="AS492" s="1" t="e">
        <f ca="1">_xll.BDH($C$478,"ACCOUNTS_RECEIVABLE_5_YR_GROWTH","FQ4 2016","FQ4 2016","Currency=INR","Period=FQ","BEST_FPERIOD_OVERRIDE=FQ","FILING_STATUS=OR","EQY_CONSOLIDATED=Y","Sort=A","Dates=H","DateFormat=P","Fill=—","Direction=H","UseDPDF=Y")</f>
        <v>#NAME?</v>
      </c>
      <c r="AT492" s="1" t="e">
        <f ca="1">_xll.BDH($C$478,"INVENTORY_5_YEAR_GROWTH","FQ4 2016","FQ4 2016","Currency=INR","Period=FQ","BEST_FPERIOD_OVERRIDE=FQ","FILING_STATUS=OR","EQY_CONSOLIDATED=Y","Sort=A","Dates=H","DateFormat=P","Fill=—","Direction=H","UseDPDF=Y")</f>
        <v>#NAME?</v>
      </c>
      <c r="AU492" s="1" t="e">
        <f ca="1">_xll.BDH($C$478,"NET_FIXED_ASSETS_5_YEAR_GROWTH","FQ4 2016","FQ4 2016","Currency=INR","Period=FQ","BEST_FPERIOD_OVERRIDE=FQ","FILING_STATUS=OR","EQY_CONSOLIDATED=Y","Sort=A","Dates=H","DateFormat=P","Fill=—","Direction=H","UseDPDF=Y")</f>
        <v>#NAME?</v>
      </c>
      <c r="AV492" s="1" t="e">
        <f ca="1">_xll.BDH($C$478,"GEO_GROW_TOT_ASSET","FQ4 2016","FQ4 2016","Currency=INR","Period=FQ","BEST_FPERIOD_OVERRIDE=FQ","FILING_STATUS=OR","EQY_CONSOLIDATED=Y","Sort=A","Dates=H","DateFormat=P","Fill=—","Direction=H","UseDPDF=Y")</f>
        <v>#NAME?</v>
      </c>
      <c r="AW492" s="1" t="e">
        <f ca="1">_xll.BDH($C$478,"MODIFIED_WORKING_CPTL_5YR_GRWTH","FQ4 2016","FQ4 2016","Currency=INR","Period=FQ","BEST_FPERIOD_OVERRIDE=FQ","FILING_STATUS=OR","EQY_CONSOLIDATED=Y","Sort=A","Dates=H","DateFormat=P","Fill=—","Direction=H","UseDPDF=Y")</f>
        <v>#NAME?</v>
      </c>
      <c r="AX492" s="1" t="e">
        <f ca="1">_xll.BDH($C$478,"WORKING_CAPITAL_5_YEAR_GROWTH","FQ4 2016","FQ4 2016","Currency=INR","Period=FQ","BEST_FPERIOD_OVERRIDE=FQ","FILING_STATUS=OR","EQY_CONSOLIDATED=Y","Sort=A","Dates=H","DateFormat=P","Fill=—","Direction=H","UseDPDF=Y")</f>
        <v>#NAME?</v>
      </c>
      <c r="AY492" s="1" t="e">
        <f ca="1">_xll.BDH($C$478,"ACCOUNTS_PAYABLE_5_YEAR_GROWTH","FQ4 2016","FQ4 2016","Currency=INR","Period=FQ","BEST_FPERIOD_OVERRIDE=FQ","FILING_STATUS=OR","EQY_CONSOLIDATED=Y","Sort=A","Dates=H","DateFormat=P","Fill=—","Direction=H","UseDPDF=Y")</f>
        <v>#NAME?</v>
      </c>
      <c r="AZ492" s="1" t="e">
        <f ca="1">_xll.BDH($C$478,"SHORT_TERM_DEBT_5_YEAR_GROWTH","FQ4 2016","FQ4 2016","Currency=INR","Period=FQ","BEST_FPERIOD_OVERRIDE=FQ","FILING_STATUS=OR","EQY_CONSOLIDATED=Y","Sort=A","Dates=H","DateFormat=P","Fill=—","Direction=H","UseDPDF=Y")</f>
        <v>#NAME?</v>
      </c>
      <c r="BA492" s="1" t="e">
        <f ca="1">_xll.BDH($C$478,"TOTAL_DEBT_5_YEAR_GROWTH","FQ4 2016","FQ4 2016","Currency=INR","Period=FQ","BEST_FPERIOD_OVERRIDE=FQ","FILING_STATUS=OR","EQY_CONSOLIDATED=Y","Sort=A","Dates=H","DateFormat=P","Fill=—","Direction=H","UseDPDF=Y")</f>
        <v>#NAME?</v>
      </c>
      <c r="BB492" s="1" t="e">
        <f ca="1">_xll.BDH($C$478,"GEO_GROW_TOT_SHRHLDR_EQY","FQ4 2016","FQ4 2016","Currency=INR","Period=FQ","BEST_FPERIOD_OVERRIDE=FQ","FILING_STATUS=OR","EQY_CONSOLIDATED=Y","Sort=A","Dates=H","DateFormat=P","Fill=—","Direction=H","UseDPDF=Y")</f>
        <v>#NAME?</v>
      </c>
      <c r="BC492" s="1" t="e">
        <f ca="1">_xll.BDH($C$478,"TOTAL_CAPITAL_5_YEAR_GROWTH","FQ4 2016","FQ4 2016","Currency=INR","Period=FQ","BEST_FPERIOD_OVERRIDE=FQ","FILING_STATUS=OR","EQY_CONSOLIDATED=Y","Sort=A","Dates=H","DateFormat=P","Fill=—","Direction=H","UseDPDF=Y")</f>
        <v>#NAME?</v>
      </c>
      <c r="BD492" s="1" t="e">
        <f ca="1">_xll.BDH($C$478,"GEO_GROW_BOOK_VAL","FQ4 2016","FQ4 2016","Currency=INR","Period=FQ","BEST_FPERIOD_OVERRIDE=FQ","FILING_STATUS=OR","EQY_CONSOLIDATED=Y","Sort=A","Dates=H","DateFormat=P","Fill=—","Direction=H","UseDPDF=Y")</f>
        <v>#NAME?</v>
      </c>
      <c r="BE492" s="1" t="e">
        <f ca="1">_xll.BDH($C$478,"GEO_GROW_CASH_OPER_ACT","FQ4 2016","FQ4 2016","Currency=INR","Period=FQ","BEST_FPERIOD_OVERRIDE=FQ","FILING_STATUS=OR","EQY_CONSOLIDATED=Y","Sort=A","Dates=H","DateFormat=P","Fill=—","Direction=H","UseDPDF=Y")</f>
        <v>#NAME?</v>
      </c>
      <c r="BF492" s="1" t="e">
        <f ca="1">_xll.BDH($C$478,"REVENUE_SEQUENTIAL_GROWTH","FQ4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92" s="1" t="e">
        <f ca="1">_xll.BDH($C$478,"EBITDA_SEQUENTIAL_GROWTH","FQ4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92" s="1" t="e">
        <f ca="1">_xll.BDH($C$478,"OPERATING_INCOME_SEQ_GROWTH","FQ4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92" s="1" t="e">
        <f ca="1">_xll.BDH($C$478,"NET_INCOME_TO_COMMON_SEQ_GROWTH","FQ4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92" s="1" t="e">
        <f ca="1">_xll.BDH($C$478,"EPS_DILUTED_SEQUENTIAL_GROWTH","FQ4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92" s="1" t="e">
        <f ca="1">_xll.BDH($C$478,"DPS_SEQUENTIAL_GROWTH","FQ4 2016","FQ4 2016","Currency=INR","Period=FQ","BEST_FPERIOD_OVERRIDE=FQ","FILING_STATUS=OR","EQY_CONSOLIDATED=Y","Sort=A","Dates=H","DateFormat=P","Fill=—","Direction=H","UseDPDF=Y")</f>
        <v>#NAME?</v>
      </c>
      <c r="BL492" s="1" t="e">
        <f ca="1">_xll.BDH($C$478,"ACCOUNTS_RECEIVABLE_SEQ_GROWTH","FQ4 2016","FQ4 2016","Currency=INR","Period=FQ","BEST_FPERIOD_OVERRIDE=FQ","FILING_STATUS=OR","EQY_CONSOLIDATED=Y","Sort=A","Dates=H","DateFormat=P","Fill=—","Direction=H","UseDPDF=Y")</f>
        <v>#NAME?</v>
      </c>
      <c r="BM492" s="1" t="e">
        <f ca="1">_xll.BDH($C$478,"INVENTORY_SEQUENTIAL_GROWTH","FQ4 2016","FQ4 2016","Currency=INR","Period=FQ","BEST_FPERIOD_OVERRIDE=FQ","FILING_STATUS=OR","EQY_CONSOLIDATED=Y","Sort=A","Dates=H","DateFormat=P","Fill=—","Direction=H","UseDPDF=Y")</f>
        <v>#NAME?</v>
      </c>
      <c r="BN492" s="1" t="e">
        <f ca="1">_xll.BDH($C$478,"FIXED_ASSETS_SEQUENTIAL_GROWTH","FQ4 2016","FQ4 2016","Currency=INR","Period=FQ","BEST_FPERIOD_OVERRIDE=FQ","FILING_STATUS=OR","EQY_CONSOLIDATED=Y","Sort=A","Dates=H","DateFormat=P","Fill=—","Direction=H","UseDPDF=Y")</f>
        <v>#NAME?</v>
      </c>
      <c r="BO492" s="1" t="e">
        <f ca="1">_xll.BDH($C$478,"TOTAL_ASSETS_SEQUENTIAL_GROWTH","FQ4 2016","FQ4 2016","Currency=INR","Period=FQ","BEST_FPERIOD_OVERRIDE=FQ","FILING_STATUS=OR","EQY_CONSOLIDATED=Y","Sort=A","Dates=H","DateFormat=P","Fill=—","Direction=H","UseDPDF=Y")</f>
        <v>#NAME?</v>
      </c>
      <c r="BP492" s="1" t="e">
        <f ca="1">_xll.BDH($C$478,"MODIFIED_WORKING_CPTL_SEQ_GRWTH","FQ4 2016","FQ4 2016","Currency=INR","Period=FQ","BEST_FPERIOD_OVERRIDE=FQ","FILING_STATUS=OR","EQY_CONSOLIDATED=Y","Sort=A","Dates=H","DateFormat=P","Fill=—","Direction=H","UseDPDF=Y")</f>
        <v>#NAME?</v>
      </c>
      <c r="BQ492" s="1" t="e">
        <f ca="1">_xll.BDH($C$478,"WORKING_CAPITAL_SEQ_GROWTH","FQ4 2016","FQ4 2016","Currency=INR","Period=FQ","BEST_FPERIOD_OVERRIDE=FQ","FILING_STATUS=OR","EQY_CONSOLIDATED=Y","Sort=A","Dates=H","DateFormat=P","Fill=—","Direction=H","UseDPDF=Y")</f>
        <v>#NAME?</v>
      </c>
      <c r="BR492" s="1" t="e">
        <f ca="1">_xll.BDH($C$478,"ACCOUNTS_PAYABLE_SEQ_GROWTH","FQ4 2016","FQ4 2016","Currency=INR","Period=FQ","BEST_FPERIOD_OVERRIDE=FQ","FILING_STATUS=OR","EQY_CONSOLIDATED=Y","Sort=A","Dates=H","DateFormat=P","Fill=—","Direction=H","UseDPDF=Y")</f>
        <v>#NAME?</v>
      </c>
      <c r="BS492" s="1" t="e">
        <f ca="1">_xll.BDH($C$478,"ST_DEBT_SEQUENTIAL_GROWTH","FQ4 2016","FQ4 2016","Currency=INR","Period=FQ","BEST_FPERIOD_OVERRIDE=FQ","FILING_STATUS=OR","EQY_CONSOLIDATED=Y","Sort=A","Dates=H","DateFormat=P","Fill=—","Direction=H","UseDPDF=Y")</f>
        <v>#NAME?</v>
      </c>
      <c r="BT492" s="1" t="e">
        <f ca="1">_xll.BDH($C$478,"TOTAL_DEBT_SEQUENTIAL_GROWTH","FQ4 2016","FQ4 2016","Currency=INR","Period=FQ","BEST_FPERIOD_OVERRIDE=FQ","FILING_STATUS=OR","EQY_CONSOLIDATED=Y","Sort=A","Dates=H","DateFormat=P","Fill=—","Direction=H","UseDPDF=Y")</f>
        <v>#NAME?</v>
      </c>
      <c r="BU492" s="1" t="e">
        <f ca="1">_xll.BDH($C$478,"TOTAL_EQUITY_SEQUENTIAL_GROWTH","FQ4 2016","FQ4 2016","Currency=INR","Period=FQ","BEST_FPERIOD_OVERRIDE=FQ","FILING_STATUS=OR","EQY_CONSOLIDATED=Y","Sort=A","Dates=H","DateFormat=P","Fill=—","Direction=H","UseDPDF=Y")</f>
        <v>#NAME?</v>
      </c>
      <c r="BV492" s="1" t="e">
        <f ca="1">_xll.BDH($C$478,"TOTAL_CAPITAL_SEQUENTIAL_GROWTH","FQ4 2016","FQ4 2016","Currency=INR","Period=FQ","BEST_FPERIOD_OVERRIDE=FQ","FILING_STATUS=OR","EQY_CONSOLIDATED=Y","Sort=A","Dates=H","DateFormat=P","Fill=—","Direction=H","UseDPDF=Y")</f>
        <v>#NAME?</v>
      </c>
      <c r="BW492" s="1" t="e">
        <f ca="1">_xll.BDH($C$478,"BPS_SEQUENTIAL_GROWTH","FQ4 2016","FQ4 2016","Currency=INR","Period=FQ","BEST_FPERIOD_OVERRIDE=FQ","FILING_STATUS=OR","EQY_CONSOLIDATED=Y","Sort=A","Dates=H","DateFormat=P","Fill=—","Direction=H","UseDPDF=Y")</f>
        <v>#NAME?</v>
      </c>
      <c r="BX492" s="1" t="e">
        <f ca="1">_xll.BDH($C$478,"CFO_SEQUENTIAL_GROWTH","FQ4 2016","FQ4 2016","Currency=INR","Period=FQ","BEST_FPERIOD_OVERRIDE=FQ","FILING_STATUS=OR","EQY_CONSOLIDATED=Y","Sort=A","Dates=H","DateFormat=P","Fill=—","Direction=H","UseDPDF=Y")</f>
        <v>#NAME?</v>
      </c>
      <c r="BY492" s="2" t="e">
        <f ca="1">_xll.BDH($C$478,"SHORT_AND_LONG_TERM_DEBT","FQ4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92" s="2" t="e">
        <f ca="1">_xll.BDH($C$478,"BS_ST_BORROW","FQ4 2016","FQ4 2016","Currency=INR","Period=FQ","BEST_FPERIOD_OVERRIDE=FQ","FILING_STATUS=OR","EQY_CONSOLIDATED=Y","SCALING_FORMAT=MLN","Sort=A","Dates=H","DateFormat=P","Fill=—","Direction=H","UseDPDF=Y")</f>
        <v>#NAME?</v>
      </c>
      <c r="CA492" s="2" t="e">
        <f ca="1">_xll.BDH($C$478,"BS_LT_BORROW","FQ4 2016","FQ4 2016","Currency=INR","Period=FQ","BEST_FPERIOD_OVERRIDE=FQ","FILING_STATUS=OR","EQY_CONSOLIDATED=Y","SCALING_FORMAT=MLN","Sort=A","Dates=H","DateFormat=P","Fill=—","Direction=H","UseDPDF=Y")</f>
        <v>#NAME?</v>
      </c>
      <c r="CB492" s="1" t="e">
        <f ca="1">_xll.BDH($C$478,"TOT_DEBT_TO_EBITDA","FQ4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92" s="1" t="e">
        <f ca="1">_xll.BDH($C$478,"NET_DEBT_TO_EBITDA","FQ4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92" s="1" t="e">
        <f ca="1">_xll.BDH($C$478,"TOTAL_DEBT_TO_EBIT","FQ4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92" s="1" t="e">
        <f ca="1">_xll.BDH($C$478,"NET_DEBT_TO_EBIT","FQ4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492" s="1" t="e">
        <f ca="1">_xll.BDH($C$478,"EBITDA_TO_INTEREST_EXPN","FQ4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92" s="1" t="e">
        <f ca="1">_xll.BDH($C$478,"COM_EQY_TO_TOT_ASSET","FQ4 2016","FQ4 2016","Currency=INR","Period=FQ","BEST_FPERIOD_OVERRIDE=FQ","FILING_STATUS=OR","EQY_CONSOLIDATED=Y","Sort=A","Dates=H","DateFormat=P","Fill=—","Direction=H","UseDPDF=Y")</f>
        <v>#NAME?</v>
      </c>
      <c r="CH492" s="1" t="e">
        <f ca="1">_xll.BDH($C$478,"LT_DEBT_TO_TOT_EQY","FQ4 2016","FQ4 2016","Currency=INR","Period=FQ","BEST_FPERIOD_OVERRIDE=FQ","FILING_STATUS=OR","EQY_CONSOLIDATED=Y","Sort=A","Dates=H","DateFormat=P","Fill=—","Direction=H","UseDPDF=Y")</f>
        <v>#NAME?</v>
      </c>
      <c r="CI492" s="1" t="e">
        <f ca="1">_xll.BDH($C$478,"LT_DEBT_TO_TOT_CAP","FQ4 2016","FQ4 2016","Currency=INR","Period=FQ","BEST_FPERIOD_OVERRIDE=FQ","FILING_STATUS=OR","EQY_CONSOLIDATED=Y","Sort=A","Dates=H","DateFormat=P","Fill=—","Direction=H","UseDPDF=Y")</f>
        <v>#NAME?</v>
      </c>
      <c r="CJ492" s="1" t="e">
        <f ca="1">_xll.BDH($C$478,"LT_DEBT_TO_TOT_ASSET","FQ4 2016","FQ4 2016","Currency=INR","Period=FQ","BEST_FPERIOD_OVERRIDE=FQ","FILING_STATUS=OR","EQY_CONSOLIDATED=Y","Sort=A","Dates=H","DateFormat=P","Fill=—","Direction=H","UseDPDF=Y")</f>
        <v>#NAME?</v>
      </c>
      <c r="CK492" s="1" t="e">
        <f ca="1">_xll.BDH($C$478,"TOT_DEBT_TO_TOT_EQY","FQ4 2016","FQ4 2016","Currency=INR","Period=FQ","BEST_FPERIOD_OVERRIDE=FQ","FILING_STATUS=OR","EQY_CONSOLIDATED=Y","Sort=A","Dates=H","DateFormat=P","Fill=—","Direction=H","UseDPDF=Y")</f>
        <v>#NAME?</v>
      </c>
      <c r="CL492" s="1" t="e">
        <f ca="1">_xll.BDH($C$478,"TOT_DEBT_TO_TOT_CAP","FQ4 2016","FQ4 2016","Currency=INR","Period=FQ","BEST_FPERIOD_OVERRIDE=FQ","FILING_STATUS=OR","EQY_CONSOLIDATED=Y","Sort=A","Dates=H","DateFormat=P","Fill=—","Direction=H","UseDPDF=Y")</f>
        <v>#NAME?</v>
      </c>
      <c r="CM492" s="1" t="e">
        <f ca="1">_xll.BDH($C$478,"TOT_DEBT_TO_TOT_ASSET","FQ4 2016","FQ4 2016","Currency=INR","Period=FQ","BEST_FPERIOD_OVERRIDE=FQ","FILING_STATUS=OR","EQY_CONSOLIDATED=Y","Sort=A","Dates=H","DateFormat=P","Fill=—","Direction=H","UseDPDF=Y")</f>
        <v>#NAME?</v>
      </c>
      <c r="CN492" s="1" t="e">
        <f ca="1">_xll.BDH($C$478,"NET_DEBT_TO_SHRHLDR_EQTY","FQ4 2016","FQ4 2016","Currency=INR","Period=FQ","BEST_FPERIOD_OVERRIDE=FQ","FILING_STATUS=OR","EQY_CONSOLIDATED=Y","Sort=A","Dates=H","DateFormat=P","Fill=—","Direction=H","UseDPDF=Y")</f>
        <v>#NAME?</v>
      </c>
      <c r="CO492" s="1" t="e">
        <f ca="1">_xll.BDH($C$478,"NET_DEBT_%_CAPITAL","FQ4 2016","FQ4 2016","Currency=INR","Period=FQ","BEST_FPERIOD_OVERRIDE=FQ","FILING_STATUS=OR","EQY_CONSOLIDATED=Y","Sort=A","Dates=H","DateFormat=P","Fill=—","Direction=H","UseDPDF=Y")</f>
        <v>#NAME?</v>
      </c>
      <c r="CP492" s="2" t="e">
        <f ca="1">_xll.BDH($C$478,"EBITDA","FQ4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92" s="2" t="e">
        <f ca="1">_xll.BDH($C$478,"EBITDA_AFTER_CAPEX","FQ4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92" s="2" t="e">
        <f ca="1">_xll.BDH($C$478,"IS_OPER_INC","FQ4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92" s="1" t="e">
        <f ca="1">_xll.BDH($C$478,"CASH_RATIO","FQ4 2016","FQ4 2016","Currency=INR","Period=FQ","BEST_FPERIOD_OVERRIDE=FQ","FILING_STATUS=OR","EQY_CONSOLIDATED=Y","Sort=A","Dates=H","DateFormat=P","Fill=—","Direction=H","UseDPDF=Y")</f>
        <v>#NAME?</v>
      </c>
      <c r="CT492" s="1" t="e">
        <f ca="1">_xll.BDH($C$478,"CUR_RATIO","FQ4 2016","FQ4 2016","Currency=INR","Period=FQ","BEST_FPERIOD_OVERRIDE=FQ","FILING_STATUS=OR","EQY_CONSOLIDATED=Y","Sort=A","Dates=H","DateFormat=P","Fill=—","Direction=H","UseDPDF=Y")</f>
        <v>#NAME?</v>
      </c>
      <c r="CU492" s="1" t="e">
        <f ca="1">_xll.BDH($C$478,"QUICK_RATIO","FQ4 2016","FQ4 2016","Currency=INR","Period=FQ","BEST_FPERIOD_OVERRIDE=FQ","FILING_STATUS=OR","EQY_CONSOLIDATED=Y","Sort=A","Dates=H","DateFormat=P","Fill=—","Direction=H","UseDPDF=Y")</f>
        <v>#NAME?</v>
      </c>
      <c r="CV492" s="1" t="e">
        <f ca="1">_xll.BDH($C$478,"ALTMAN_Z_SCORE","FQ4 2016","FQ4 2016","Currency=INR","Period=FQ","BEST_FPERIOD_OVERRIDE=FQ","FILING_STATUS=OR","EQY_CONSOLIDATED=Y","Sort=A","Dates=H","DateFormat=P","Fill=—","Direction=H","UseDPDF=Y")</f>
        <v>#NAME?</v>
      </c>
      <c r="CW492" s="3" t="e">
        <f ca="1">_xll.BDH($C$478,"ACCT_RCV_TURN","FQ4 2016","FQ4 2016","Currency=INR","Period=FQ","BEST_FPERIOD_OVERRIDE=FQ","FILING_STATUS=OR","EQY_CONSOLIDATED=Y","FA_ADJUSTED=GAAP","Sort=A","Dates=H","DateFormat=P","Fill=—","Direction=H","UseDPDF=Y")</f>
        <v>#NAME?</v>
      </c>
      <c r="CX492" s="1" t="e">
        <f ca="1">_xll.BDH($C$478,"ACCT_RCV_DAYS","FQ4 2016","FQ4 2016","Currency=INR","Period=FQ","BEST_FPERIOD_OVERRIDE=FQ","FILING_STATUS=OR","EQY_CONSOLIDATED=Y","FA_ADJUSTED=GAAP","Sort=A","Dates=H","DateFormat=P","Fill=—","Direction=H","UseDPDF=Y")</f>
        <v>#NAME?</v>
      </c>
      <c r="CY492" s="3" t="e">
        <f ca="1">_xll.BDH($C$478,"INVENT_TURN","FQ4 2016","FQ4 2016","Currency=INR","Period=FQ","BEST_FPERIOD_OVERRIDE=FQ","FILING_STATUS=OR","EQY_CONSOLIDATED=Y","FA_ADJUSTED=GAAP","Sort=A","Dates=H","DateFormat=P","Fill=—","Direction=H","UseDPDF=Y")</f>
        <v>#NAME?</v>
      </c>
      <c r="CZ492" s="1" t="e">
        <f ca="1">_xll.BDH($C$478,"INVENT_DAYS","FQ4 2016","FQ4 2016","Currency=INR","Period=FQ","BEST_FPERIOD_OVERRIDE=FQ","FILING_STATUS=OR","EQY_CONSOLIDATED=Y","FA_ADJUSTED=GAAP","Sort=A","Dates=H","DateFormat=P","Fill=—","Direction=H","UseDPDF=Y")</f>
        <v>#NAME?</v>
      </c>
      <c r="DA492" s="3" t="e">
        <f ca="1">_xll.BDH($C$478,"ACCOUNTS_PAYABLE_TURNOVER","FQ4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92" s="1" t="e">
        <f ca="1">_xll.BDH($C$478,"ACCOUNTS_PAYABLE_TURNOVER_DAYS","FQ4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92" s="3" t="e">
        <f ca="1">_xll.BDH($C$478,"CASH_CONVERSION_CYCLE","FQ4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92" s="3" t="e">
        <f ca="1">_xll.BDH($C$478,"INV_TO_CASH_DAYS","FQ4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492" s="4" t="e">
        <f ca="1">_xll.BDH($C$478,"BS_INVENTORIES","FQ4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492" s="2" t="e">
        <f ca="1">_xll.BDH($C$478,"INVTRY_RAW_MATERIALS","FQ4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92" s="2" t="e">
        <f ca="1">_xll.BDH($C$478,"INVTRY_IN_PROGRESS","FQ4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92" s="2" t="e">
        <f ca="1">_xll.BDH($C$478,"INVTRY_FINISHED_GOODS","FQ4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92" s="2" t="e">
        <f ca="1">_xll.BDH($C$478,"BS_OTHER_INV","FQ4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93" spans="1:113" x14ac:dyDescent="0.3">
      <c r="A493" s="6"/>
      <c r="B493" s="6"/>
      <c r="C493" s="6"/>
      <c r="D493" s="6" t="s">
        <v>10</v>
      </c>
      <c r="E493" t="s">
        <v>3</v>
      </c>
      <c r="F493" t="e">
        <f ca="1">_xll.BDH($C$478,"RETURN_COM_EQY","FY 2017","FY 2017","Currency=INR","Period=FY","BEST_FPERIOD_OVERRIDE=FY","FILING_STATUS=OR","EQY_CONSOLIDATED=Y","FA_ADJUSTED=GAAP","Sort=A","Dates=H","DateFormat=P","Fill=—","Direction=H","UseDPDF=Y")</f>
        <v>#NAME?</v>
      </c>
      <c r="G493" t="e">
        <f ca="1">_xll.BDH($C$478,"RETURN_ON_ASSET","FY 2017","FY 2017","Currency=INR","Period=FY","BEST_FPERIOD_OVERRIDE=FY","FILING_STATUS=OR","EQY_CONSOLIDATED=Y","FA_ADJUSTED=GAAP","Sort=A","Dates=H","DateFormat=P","Fill=—","Direction=H","UseDPDF=Y")</f>
        <v>#NAME?</v>
      </c>
      <c r="H493" t="e">
        <f ca="1">_xll.BDH($C$478,"RETURN_ON_CAP","FY 2017","FY 2017","Currency=INR","Period=FY","BEST_FPERIOD_OVERRIDE=FY","FILING_STATUS=OR","EQY_CONSOLIDATED=Y","FA_ADJUSTED=GAAP","Sort=A","Dates=H","DateFormat=P","Fill=—","Direction=H","UseDPDF=Y")</f>
        <v>#NAME?</v>
      </c>
      <c r="I493" t="e">
        <f ca="1">_xll.BDH($C$478,"RETURN_ON_INV_CAPITAL","FY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93" t="e">
        <f ca="1">_xll.BDH($C$478,"EBITDA_TO_REVENUE","FY 2017","FY 2017","Currency=INR","Period=FY","BEST_FPERIOD_OVERRIDE=FY","FILING_STATUS=OR","EQY_CONSOLIDATED=Y","FA_ADJUSTED=GAAP","Sort=A","Dates=H","DateFormat=P","Fill=—","Direction=H","UseDPDF=Y")</f>
        <v>#NAME?</v>
      </c>
      <c r="K493" t="e">
        <f ca="1">_xll.BDH($C$478,"OPER_MARGIN","FY 2017","FY 2017","Currency=INR","Period=FY","BEST_FPERIOD_OVERRIDE=FY","FILING_STATUS=OR","EQY_CONSOLIDATED=Y","FA_ADJUSTED=GAAP","Sort=A","Dates=H","DateFormat=P","Fill=—","Direction=H","UseDPDF=Y")</f>
        <v>#NAME?</v>
      </c>
      <c r="L493" t="e">
        <f ca="1">_xll.BDH($C$478,"INCREMENTAL_OPERATING_MARGIN","FY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93" t="e">
        <f ca="1">_xll.BDH($C$478,"PRETAX_INC_TO_NET_SALES","FY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93" t="e">
        <f ca="1">_xll.BDH($C$478,"INC_BEF_XO_ITEMS_TO_NET_SALES","FY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93" t="e">
        <f ca="1">_xll.BDH($C$478,"PROF_MARGIN","FY 2017","FY 2017","Currency=INR","Period=FY","BEST_FPERIOD_OVERRIDE=FY","FILING_STATUS=OR","EQY_CONSOLIDATED=Y","FA_ADJUSTED=GAAP","Sort=A","Dates=H","DateFormat=P","Fill=—","Direction=H","UseDPDF=Y")</f>
        <v>#NAME?</v>
      </c>
      <c r="P493" t="e">
        <f ca="1">_xll.BDH($C$478,"NET_INCOME_TO_COMMON_MARGIN","FY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93" t="e">
        <f ca="1">_xll.BDH($C$478,"EFF_TAX_RATE","FY 2017","FY 2017","Currency=INR","Period=FY","BEST_FPERIOD_OVERRIDE=FY","FILING_STATUS=OR","EQY_CONSOLIDATED=Y","FA_ADJUSTED=GAAP","Sort=A","Dates=H","DateFormat=P","Fill=—","Direction=H","UseDPDF=Y")</f>
        <v>#NAME?</v>
      </c>
      <c r="R493" t="e">
        <f ca="1">_xll.BDH($C$478,"DVD_PAYOUT_RATIO","FY 2017","FY 2017","Currency=INR","Period=FY","BEST_FPERIOD_OVERRIDE=FY","FILING_STATUS=OR","EQY_CONSOLIDATED=Y","FA_ADJUSTED=GAAP","Sort=A","Dates=H","DateFormat=P","Fill=—","Direction=H","UseDPDF=Y")</f>
        <v>#NAME?</v>
      </c>
      <c r="S493" t="e">
        <f ca="1">_xll.BDH($C$478,"SUSTAIN_GROWTH_RT","FY 2017","FY 2017","Currency=INR","Period=FY","BEST_FPERIOD_OVERRIDE=FY","FILING_STATUS=OR","EQY_CONSOLIDATED=Y","FA_ADJUSTED=GAAP","Sort=A","Dates=H","DateFormat=P","Fill=—","Direction=H","UseDPDF=Y")</f>
        <v>#NAME?</v>
      </c>
      <c r="T493" s="1" t="e">
        <f ca="1">_xll.BDH($C$478,"SALES_GROWTH","FY 2017","FY 2017","Currency=INR","Period=FY","BEST_FPERIOD_OVERRIDE=FY","FILING_STATUS=OR","EQY_CONSOLIDATED=Y","FA_ADJUSTED=GAAP","Sort=A","Dates=H","DateFormat=P","Fill=—","Direction=H","UseDPDF=Y")</f>
        <v>#NAME?</v>
      </c>
      <c r="U493" s="1" t="e">
        <f ca="1">_xll.BDH($C$478,"EBITDA_GROWTH","FY 2017","FY 2017","Currency=INR","Period=FY","BEST_FPERIOD_OVERRIDE=FY","FILING_STATUS=OR","EQY_CONSOLIDATED=Y","FA_ADJUSTED=GAAP","Sort=A","Dates=H","DateFormat=P","Fill=—","Direction=H","UseDPDF=Y")</f>
        <v>#NAME?</v>
      </c>
      <c r="V493" s="1" t="e">
        <f ca="1">_xll.BDH($C$478,"OPER_INC_GROWTH","FY 2017","FY 2017","Currency=INR","Period=FY","BEST_FPERIOD_OVERRIDE=FY","FILING_STATUS=OR","EQY_CONSOLIDATED=Y","FA_ADJUSTED=GAAP","Sort=A","Dates=H","DateFormat=P","Fill=—","Direction=H","UseDPDF=Y")</f>
        <v>#NAME?</v>
      </c>
      <c r="W493" s="1" t="e">
        <f ca="1">_xll.BDH($C$478,"EARN_FOR_COM_GROWTH","FY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493" s="1" t="e">
        <f ca="1">_xll.BDH($C$478,"DILUTED_EPS_AFT_XO_ITEMS_GROWTH","FY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93" s="1" t="e">
        <f ca="1">_xll.BDH($C$478,"DIVIDEND_PER_SHARE_1_YEAR_GROWTH","FY 2017","FY 2017","Currency=INR","Period=FY","BEST_FPERIOD_OVERRIDE=FY","FILING_STATUS=OR","EQY_CONSOLIDATED=Y","Sort=A","Dates=H","DateFormat=P","Fill=—","Direction=H","UseDPDF=Y")</f>
        <v>#NAME?</v>
      </c>
      <c r="Z493" s="1" t="e">
        <f ca="1">_xll.BDH($C$478,"ACCOUNTS_RECEIVABLE_GROWTH","FY 2017","FY 2017","Currency=INR","Period=FY","BEST_FPERIOD_OVERRIDE=FY","FILING_STATUS=OR","EQY_CONSOLIDATED=Y","Sort=A","Dates=H","DateFormat=P","Fill=—","Direction=H","UseDPDF=Y")</f>
        <v>#NAME?</v>
      </c>
      <c r="AA493" s="1" t="e">
        <f ca="1">_xll.BDH($C$478,"INVENTORY_GROWTH","FY 2017","FY 2017","Currency=INR","Period=FY","BEST_FPERIOD_OVERRIDE=FY","FILING_STATUS=OR","EQY_CONSOLIDATED=Y","Sort=A","Dates=H","DateFormat=P","Fill=—","Direction=H","UseDPDF=Y")</f>
        <v>#NAME?</v>
      </c>
      <c r="AB493" s="1" t="e">
        <f ca="1">_xll.BDH($C$478,"NET_FIXED_ASSETS_1_YEAR_GROWTH","FY 2017","FY 2017","Currency=INR","Period=FY","BEST_FPERIOD_OVERRIDE=FY","FILING_STATUS=OR","EQY_CONSOLIDATED=Y","Sort=A","Dates=H","DateFormat=P","Fill=—","Direction=H","UseDPDF=Y")</f>
        <v>#NAME?</v>
      </c>
      <c r="AC493" s="1" t="e">
        <f ca="1">_xll.BDH($C$478,"ASSET_GROWTH","FY 2017","FY 2017","Currency=INR","Period=FY","BEST_FPERIOD_OVERRIDE=FY","FILING_STATUS=OR","EQY_CONSOLIDATED=Y","Sort=A","Dates=H","DateFormat=P","Fill=—","Direction=H","UseDPDF=Y")</f>
        <v>#NAME?</v>
      </c>
      <c r="AD493" s="1" t="e">
        <f ca="1">_xll.BDH($C$478,"MODIFIED_WORK_CAP_GROWTH","FY 2017","FY 2017","Currency=INR","Period=FY","BEST_FPERIOD_OVERRIDE=FY","FILING_STATUS=OR","EQY_CONSOLIDATED=Y","Sort=A","Dates=H","DateFormat=P","Fill=—","Direction=H","UseDPDF=Y")</f>
        <v>#NAME?</v>
      </c>
      <c r="AE493" s="1" t="e">
        <f ca="1">_xll.BDH($C$478,"WORK_CAP_GROWTH","FY 2017","FY 2017","Currency=INR","Period=FY","BEST_FPERIOD_OVERRIDE=FY","FILING_STATUS=OR","EQY_CONSOLIDATED=Y","Sort=A","Dates=H","DateFormat=P","Fill=—","Direction=H","UseDPDF=Y")</f>
        <v>#NAME?</v>
      </c>
      <c r="AF493" s="1" t="e">
        <f ca="1">_xll.BDH($C$478,"ACCOUNTS_PAYABLE_GROWTH_1YR","FY 2017","FY 2017","Currency=INR","Period=FY","BEST_FPERIOD_OVERRIDE=FY","FILING_STATUS=OR","EQY_CONSOLIDATED=Y","Sort=A","Dates=H","DateFormat=P","Fill=—","Direction=H","UseDPDF=Y")</f>
        <v>#NAME?</v>
      </c>
      <c r="AG493" s="1" t="e">
        <f ca="1">_xll.BDH($C$478,"SHORT_TERM_DEBT_1_YEAR_GROWTH","FY 2017","FY 2017","Currency=INR","Period=FY","BEST_FPERIOD_OVERRIDE=FY","FILING_STATUS=OR","EQY_CONSOLIDATED=Y","Sort=A","Dates=H","DateFormat=P","Fill=—","Direction=H","UseDPDF=Y")</f>
        <v>#NAME?</v>
      </c>
      <c r="AH493" s="1" t="e">
        <f ca="1">_xll.BDH($C$478,"TOTAL_DEBT_1_YEAR_GROWTH","FY 2017","FY 2017","Currency=INR","Period=FY","BEST_FPERIOD_OVERRIDE=FY","FILING_STATUS=OR","EQY_CONSOLIDATED=Y","Sort=A","Dates=H","DateFormat=P","Fill=—","Direction=H","UseDPDF=Y")</f>
        <v>#NAME?</v>
      </c>
      <c r="AI493" s="1" t="e">
        <f ca="1">_xll.BDH($C$478,"TOTAL_EQUITY_1_YEAR_GROWTH","FY 2017","FY 2017","Currency=INR","Period=FY","BEST_FPERIOD_OVERRIDE=FY","FILING_STATUS=OR","EQY_CONSOLIDATED=Y","Sort=A","Dates=H","DateFormat=P","Fill=—","Direction=H","UseDPDF=Y")</f>
        <v>#NAME?</v>
      </c>
      <c r="AJ493" s="1" t="e">
        <f ca="1">_xll.BDH($C$478,"GROWTH_IN_CAP","FY 2017","FY 2017","Currency=INR","Period=FY","BEST_FPERIOD_OVERRIDE=FY","FILING_STATUS=OR","EQY_CONSOLIDATED=Y","Sort=A","Dates=H","DateFormat=P","Fill=—","Direction=H","UseDPDF=Y")</f>
        <v>#NAME?</v>
      </c>
      <c r="AK493" s="1" t="e">
        <f ca="1">_xll.BDH($C$478,"BVPS_GROWTH","FY 2017","FY 2017","Currency=INR","Period=FY","BEST_FPERIOD_OVERRIDE=FY","FILING_STATUS=OR","EQY_CONSOLIDATED=Y","Sort=A","Dates=H","DateFormat=P","Fill=—","Direction=H","UseDPDF=Y")</f>
        <v>#NAME?</v>
      </c>
      <c r="AL493" s="1" t="e">
        <f ca="1">_xll.BDH($C$478,"CASH_FLOW_GROWTH","FY 2017","FY 2017","Currency=INR","Period=FY","BEST_FPERIOD_OVERRIDE=FY","FILING_STATUS=OR","EQY_CONSOLIDATED=Y","Sort=A","Dates=H","DateFormat=P","Fill=—","Direction=H","UseDPDF=Y")</f>
        <v>#NAME?</v>
      </c>
      <c r="AM493" s="1" t="e">
        <f ca="1">_xll.BDH($C$478,"GEO_GROW_NET_SALES","FY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493" s="1" t="e">
        <f ca="1">_xll.BDH($C$478,"GEO_GROW_EBITDA","FY 2017","FY 2017","Currency=INR","Period=FY","BEST_FPERIOD_OVERRIDE=FY","FILING_STATUS=OR","EQY_CONSOLIDATED=Y","FA_ADJUSTED=GAAP","Sort=A","Dates=H","DateFormat=P","Fill=—","Direction=H","UseDPDF=Y")</f>
        <v>#NAME?</v>
      </c>
      <c r="AO493" s="1" t="e">
        <f ca="1">_xll.BDH($C$478,"GEO_GROW_OPER_INC","FY 2017","FY 2017","Currency=INR","Period=FY","BEST_FPERIOD_OVERRIDE=FY","FILING_STATUS=OR","EQY_CONSOLIDATED=Y","FA_ADJUSTED=GAAP","Sort=A","Dates=H","DateFormat=P","Fill=—","Direction=H","UseDPDF=Y")</f>
        <v>#NAME?</v>
      </c>
      <c r="AP493" s="1" t="e">
        <f ca="1">_xll.BDH($C$478,"NET_INCOME_TO_COMMON_5_YR_GROWTH","FY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93" s="1" t="e">
        <f ca="1">_xll.BDH($C$478,"5Y_GEO_GROWTH_DILUTED_EPS","FY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93" s="1" t="e">
        <f ca="1">_xll.BDH($C$478,"GEO_GROW_DVD_PER_SH","FY 2017","FY 2017","Currency=INR","Period=FY","BEST_FPERIOD_OVERRIDE=FY","FILING_STATUS=OR","EQY_CONSOLIDATED=Y","Sort=A","Dates=H","DateFormat=P","Fill=—","Direction=H","UseDPDF=Y")</f>
        <v>#NAME?</v>
      </c>
      <c r="AS493" s="1" t="e">
        <f ca="1">_xll.BDH($C$478,"ACCOUNTS_RECEIVABLE_5_YR_GROWTH","FY 2017","FY 2017","Currency=INR","Period=FY","BEST_FPERIOD_OVERRIDE=FY","FILING_STATUS=OR","EQY_CONSOLIDATED=Y","Sort=A","Dates=H","DateFormat=P","Fill=—","Direction=H","UseDPDF=Y")</f>
        <v>#NAME?</v>
      </c>
      <c r="AT493" s="1" t="e">
        <f ca="1">_xll.BDH($C$478,"INVENTORY_5_YEAR_GROWTH","FY 2017","FY 2017","Currency=INR","Period=FY","BEST_FPERIOD_OVERRIDE=FY","FILING_STATUS=OR","EQY_CONSOLIDATED=Y","Sort=A","Dates=H","DateFormat=P","Fill=—","Direction=H","UseDPDF=Y")</f>
        <v>#NAME?</v>
      </c>
      <c r="AU493" s="1" t="e">
        <f ca="1">_xll.BDH($C$478,"NET_FIXED_ASSETS_5_YEAR_GROWTH","FY 2017","FY 2017","Currency=INR","Period=FY","BEST_FPERIOD_OVERRIDE=FY","FILING_STATUS=OR","EQY_CONSOLIDATED=Y","Sort=A","Dates=H","DateFormat=P","Fill=—","Direction=H","UseDPDF=Y")</f>
        <v>#NAME?</v>
      </c>
      <c r="AV493" s="1" t="e">
        <f ca="1">_xll.BDH($C$478,"GEO_GROW_TOT_ASSET","FY 2017","FY 2017","Currency=INR","Period=FY","BEST_FPERIOD_OVERRIDE=FY","FILING_STATUS=OR","EQY_CONSOLIDATED=Y","Sort=A","Dates=H","DateFormat=P","Fill=—","Direction=H","UseDPDF=Y")</f>
        <v>#NAME?</v>
      </c>
      <c r="AW493" s="1" t="e">
        <f ca="1">_xll.BDH($C$478,"MODIFIED_WORKING_CPTL_5YR_GRWTH","FY 2017","FY 2017","Currency=INR","Period=FY","BEST_FPERIOD_OVERRIDE=FY","FILING_STATUS=OR","EQY_CONSOLIDATED=Y","Sort=A","Dates=H","DateFormat=P","Fill=—","Direction=H","UseDPDF=Y")</f>
        <v>#NAME?</v>
      </c>
      <c r="AX493" s="1" t="e">
        <f ca="1">_xll.BDH($C$478,"WORKING_CAPITAL_5_YEAR_GROWTH","FY 2017","FY 2017","Currency=INR","Period=FY","BEST_FPERIOD_OVERRIDE=FY","FILING_STATUS=OR","EQY_CONSOLIDATED=Y","Sort=A","Dates=H","DateFormat=P","Fill=—","Direction=H","UseDPDF=Y")</f>
        <v>#NAME?</v>
      </c>
      <c r="AY493" s="1" t="e">
        <f ca="1">_xll.BDH($C$478,"ACCOUNTS_PAYABLE_5_YEAR_GROWTH","FY 2017","FY 2017","Currency=INR","Period=FY","BEST_FPERIOD_OVERRIDE=FY","FILING_STATUS=OR","EQY_CONSOLIDATED=Y","Sort=A","Dates=H","DateFormat=P","Fill=—","Direction=H","UseDPDF=Y")</f>
        <v>#NAME?</v>
      </c>
      <c r="AZ493" s="1" t="e">
        <f ca="1">_xll.BDH($C$478,"SHORT_TERM_DEBT_5_YEAR_GROWTH","FY 2017","FY 2017","Currency=INR","Period=FY","BEST_FPERIOD_OVERRIDE=FY","FILING_STATUS=OR","EQY_CONSOLIDATED=Y","Sort=A","Dates=H","DateFormat=P","Fill=—","Direction=H","UseDPDF=Y")</f>
        <v>#NAME?</v>
      </c>
      <c r="BA493" s="1" t="e">
        <f ca="1">_xll.BDH($C$478,"TOTAL_DEBT_5_YEAR_GROWTH","FY 2017","FY 2017","Currency=INR","Period=FY","BEST_FPERIOD_OVERRIDE=FY","FILING_STATUS=OR","EQY_CONSOLIDATED=Y","Sort=A","Dates=H","DateFormat=P","Fill=—","Direction=H","UseDPDF=Y")</f>
        <v>#NAME?</v>
      </c>
      <c r="BB493" s="1" t="e">
        <f ca="1">_xll.BDH($C$478,"GEO_GROW_TOT_SHRHLDR_EQY","FY 2017","FY 2017","Currency=INR","Period=FY","BEST_FPERIOD_OVERRIDE=FY","FILING_STATUS=OR","EQY_CONSOLIDATED=Y","Sort=A","Dates=H","DateFormat=P","Fill=—","Direction=H","UseDPDF=Y")</f>
        <v>#NAME?</v>
      </c>
      <c r="BC493" s="1" t="e">
        <f ca="1">_xll.BDH($C$478,"TOTAL_CAPITAL_5_YEAR_GROWTH","FY 2017","FY 2017","Currency=INR","Period=FY","BEST_FPERIOD_OVERRIDE=FY","FILING_STATUS=OR","EQY_CONSOLIDATED=Y","Sort=A","Dates=H","DateFormat=P","Fill=—","Direction=H","UseDPDF=Y")</f>
        <v>#NAME?</v>
      </c>
      <c r="BD493" s="1" t="e">
        <f ca="1">_xll.BDH($C$478,"GEO_GROW_BOOK_VAL","FY 2017","FY 2017","Currency=INR","Period=FY","BEST_FPERIOD_OVERRIDE=FY","FILING_STATUS=OR","EQY_CONSOLIDATED=Y","Sort=A","Dates=H","DateFormat=P","Fill=—","Direction=H","UseDPDF=Y")</f>
        <v>#NAME?</v>
      </c>
      <c r="BE493" s="1" t="e">
        <f ca="1">_xll.BDH($C$478,"GEO_GROW_CASH_OPER_ACT","FY 2017","FY 2017","Currency=INR","Period=FY","BEST_FPERIOD_OVERRIDE=FY","FILING_STATUS=OR","EQY_CONSOLIDATED=Y","Sort=A","Dates=H","DateFormat=P","Fill=—","Direction=H","UseDPDF=Y")</f>
        <v>#NAME?</v>
      </c>
      <c r="BF493" s="1" t="e">
        <f ca="1">_xll.BDH($C$478,"REVENUE_SEQUENTIAL_GROWTH","FY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93" s="1" t="e">
        <f ca="1">_xll.BDH($C$478,"EBITDA_SEQUENTIAL_GROWTH","FY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93" s="1" t="e">
        <f ca="1">_xll.BDH($C$478,"OPERATING_INCOME_SEQ_GROWTH","FY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93" s="1" t="e">
        <f ca="1">_xll.BDH($C$478,"NET_INCOME_TO_COMMON_SEQ_GROWTH","FY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93" s="1" t="e">
        <f ca="1">_xll.BDH($C$478,"EPS_DILUTED_SEQUENTIAL_GROWTH","FY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93" s="1" t="e">
        <f ca="1">_xll.BDH($C$478,"DPS_SEQUENTIAL_GROWTH","FY 2017","FY 2017","Currency=INR","Period=FY","BEST_FPERIOD_OVERRIDE=FY","FILING_STATUS=OR","EQY_CONSOLIDATED=Y","Sort=A","Dates=H","DateFormat=P","Fill=—","Direction=H","UseDPDF=Y")</f>
        <v>#NAME?</v>
      </c>
      <c r="BL493" s="1" t="e">
        <f ca="1">_xll.BDH($C$478,"ACCOUNTS_RECEIVABLE_SEQ_GROWTH","FY 2017","FY 2017","Currency=INR","Period=FY","BEST_FPERIOD_OVERRIDE=FY","FILING_STATUS=OR","EQY_CONSOLIDATED=Y","Sort=A","Dates=H","DateFormat=P","Fill=—","Direction=H","UseDPDF=Y")</f>
        <v>#NAME?</v>
      </c>
      <c r="BM493" s="1" t="e">
        <f ca="1">_xll.BDH($C$478,"INVENTORY_SEQUENTIAL_GROWTH","FY 2017","FY 2017","Currency=INR","Period=FY","BEST_FPERIOD_OVERRIDE=FY","FILING_STATUS=OR","EQY_CONSOLIDATED=Y","Sort=A","Dates=H","DateFormat=P","Fill=—","Direction=H","UseDPDF=Y")</f>
        <v>#NAME?</v>
      </c>
      <c r="BN493" s="1" t="e">
        <f ca="1">_xll.BDH($C$478,"FIXED_ASSETS_SEQUENTIAL_GROWTH","FY 2017","FY 2017","Currency=INR","Period=FY","BEST_FPERIOD_OVERRIDE=FY","FILING_STATUS=OR","EQY_CONSOLIDATED=Y","Sort=A","Dates=H","DateFormat=P","Fill=—","Direction=H","UseDPDF=Y")</f>
        <v>#NAME?</v>
      </c>
      <c r="BO493" s="1" t="e">
        <f ca="1">_xll.BDH($C$478,"TOTAL_ASSETS_SEQUENTIAL_GROWTH","FY 2017","FY 2017","Currency=INR","Period=FY","BEST_FPERIOD_OVERRIDE=FY","FILING_STATUS=OR","EQY_CONSOLIDATED=Y","Sort=A","Dates=H","DateFormat=P","Fill=—","Direction=H","UseDPDF=Y")</f>
        <v>#NAME?</v>
      </c>
      <c r="BP493" s="1" t="e">
        <f ca="1">_xll.BDH($C$478,"MODIFIED_WORKING_CPTL_SEQ_GRWTH","FY 2017","FY 2017","Currency=INR","Period=FY","BEST_FPERIOD_OVERRIDE=FY","FILING_STATUS=OR","EQY_CONSOLIDATED=Y","Sort=A","Dates=H","DateFormat=P","Fill=—","Direction=H","UseDPDF=Y")</f>
        <v>#NAME?</v>
      </c>
      <c r="BQ493" s="1" t="e">
        <f ca="1">_xll.BDH($C$478,"WORKING_CAPITAL_SEQ_GROWTH","FY 2017","FY 2017","Currency=INR","Period=FY","BEST_FPERIOD_OVERRIDE=FY","FILING_STATUS=OR","EQY_CONSOLIDATED=Y","Sort=A","Dates=H","DateFormat=P","Fill=—","Direction=H","UseDPDF=Y")</f>
        <v>#NAME?</v>
      </c>
      <c r="BR493" s="1" t="e">
        <f ca="1">_xll.BDH($C$478,"ACCOUNTS_PAYABLE_SEQ_GROWTH","FY 2017","FY 2017","Currency=INR","Period=FY","BEST_FPERIOD_OVERRIDE=FY","FILING_STATUS=OR","EQY_CONSOLIDATED=Y","Sort=A","Dates=H","DateFormat=P","Fill=—","Direction=H","UseDPDF=Y")</f>
        <v>#NAME?</v>
      </c>
      <c r="BS493" s="1" t="e">
        <f ca="1">_xll.BDH($C$478,"ST_DEBT_SEQUENTIAL_GROWTH","FY 2017","FY 2017","Currency=INR","Period=FY","BEST_FPERIOD_OVERRIDE=FY","FILING_STATUS=OR","EQY_CONSOLIDATED=Y","Sort=A","Dates=H","DateFormat=P","Fill=—","Direction=H","UseDPDF=Y")</f>
        <v>#NAME?</v>
      </c>
      <c r="BT493" s="1" t="e">
        <f ca="1">_xll.BDH($C$478,"TOTAL_DEBT_SEQUENTIAL_GROWTH","FY 2017","FY 2017","Currency=INR","Period=FY","BEST_FPERIOD_OVERRIDE=FY","FILING_STATUS=OR","EQY_CONSOLIDATED=Y","Sort=A","Dates=H","DateFormat=P","Fill=—","Direction=H","UseDPDF=Y")</f>
        <v>#NAME?</v>
      </c>
      <c r="BU493" s="1" t="e">
        <f ca="1">_xll.BDH($C$478,"TOTAL_EQUITY_SEQUENTIAL_GROWTH","FY 2017","FY 2017","Currency=INR","Period=FY","BEST_FPERIOD_OVERRIDE=FY","FILING_STATUS=OR","EQY_CONSOLIDATED=Y","Sort=A","Dates=H","DateFormat=P","Fill=—","Direction=H","UseDPDF=Y")</f>
        <v>#NAME?</v>
      </c>
      <c r="BV493" s="1" t="e">
        <f ca="1">_xll.BDH($C$478,"TOTAL_CAPITAL_SEQUENTIAL_GROWTH","FY 2017","FY 2017","Currency=INR","Period=FY","BEST_FPERIOD_OVERRIDE=FY","FILING_STATUS=OR","EQY_CONSOLIDATED=Y","Sort=A","Dates=H","DateFormat=P","Fill=—","Direction=H","UseDPDF=Y")</f>
        <v>#NAME?</v>
      </c>
      <c r="BW493" s="1" t="e">
        <f ca="1">_xll.BDH($C$478,"BPS_SEQUENTIAL_GROWTH","FY 2017","FY 2017","Currency=INR","Period=FY","BEST_FPERIOD_OVERRIDE=FY","FILING_STATUS=OR","EQY_CONSOLIDATED=Y","Sort=A","Dates=H","DateFormat=P","Fill=—","Direction=H","UseDPDF=Y")</f>
        <v>#NAME?</v>
      </c>
      <c r="BX493" s="1" t="e">
        <f ca="1">_xll.BDH($C$478,"CFO_SEQUENTIAL_GROWTH","FY 2017","FY 2017","Currency=INR","Period=FY","BEST_FPERIOD_OVERRIDE=FY","FILING_STATUS=OR","EQY_CONSOLIDATED=Y","Sort=A","Dates=H","DateFormat=P","Fill=—","Direction=H","UseDPDF=Y")</f>
        <v>#NAME?</v>
      </c>
      <c r="BY493" s="2" t="e">
        <f ca="1">_xll.BDH($C$478,"SHORT_AND_LONG_TERM_DEBT","FY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93" s="2" t="e">
        <f ca="1">_xll.BDH($C$478,"BS_ST_BORROW","FY 2017","FY 2017","Currency=INR","Period=FY","BEST_FPERIOD_OVERRIDE=FY","FILING_STATUS=OR","EQY_CONSOLIDATED=Y","SCALING_FORMAT=MLN","Sort=A","Dates=H","DateFormat=P","Fill=—","Direction=H","UseDPDF=Y")</f>
        <v>#NAME?</v>
      </c>
      <c r="CA493" s="2" t="e">
        <f ca="1">_xll.BDH($C$478,"BS_LT_BORROW","FY 2017","FY 2017","Currency=INR","Period=FY","BEST_FPERIOD_OVERRIDE=FY","FILING_STATUS=OR","EQY_CONSOLIDATED=Y","SCALING_FORMAT=MLN","Sort=A","Dates=H","DateFormat=P","Fill=—","Direction=H","UseDPDF=Y")</f>
        <v>#NAME?</v>
      </c>
      <c r="CB493" s="1" t="e">
        <f ca="1">_xll.BDH($C$478,"TOT_DEBT_TO_EBITDA","FY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493" s="1" t="e">
        <f ca="1">_xll.BDH($C$478,"NET_DEBT_TO_EBITDA","FY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493" s="1" t="e">
        <f ca="1">_xll.BDH($C$478,"TOTAL_DEBT_TO_EBIT","FY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493" s="1" t="e">
        <f ca="1">_xll.BDH($C$478,"NET_DEBT_TO_EBIT","FY 2017","FY 2017","Currency=INR","Period=FY","BEST_FPERIOD_OVERRIDE=FY","FILING_STATUS=OR","EQY_CONSOLIDATED=Y","FA_ADJUSTED=GAAP","Sort=A","Dates=H","DateFormat=P","Fill=—","Direction=H","UseDPDF=Y")</f>
        <v>#NAME?</v>
      </c>
      <c r="CF493" s="1" t="e">
        <f ca="1">_xll.BDH($C$478,"EBITDA_TO_INTEREST_EXPN","FY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93" s="1" t="e">
        <f ca="1">_xll.BDH($C$478,"COM_EQY_TO_TOT_ASSET","FY 2017","FY 2017","Currency=INR","Period=FY","BEST_FPERIOD_OVERRIDE=FY","FILING_STATUS=OR","EQY_CONSOLIDATED=Y","Sort=A","Dates=H","DateFormat=P","Fill=—","Direction=H","UseDPDF=Y")</f>
        <v>#NAME?</v>
      </c>
      <c r="CH493" s="1" t="e">
        <f ca="1">_xll.BDH($C$478,"LT_DEBT_TO_TOT_EQY","FY 2017","FY 2017","Currency=INR","Period=FY","BEST_FPERIOD_OVERRIDE=FY","FILING_STATUS=OR","EQY_CONSOLIDATED=Y","Sort=A","Dates=H","DateFormat=P","Fill=—","Direction=H","UseDPDF=Y")</f>
        <v>#NAME?</v>
      </c>
      <c r="CI493" s="1" t="e">
        <f ca="1">_xll.BDH($C$478,"LT_DEBT_TO_TOT_CAP","FY 2017","FY 2017","Currency=INR","Period=FY","BEST_FPERIOD_OVERRIDE=FY","FILING_STATUS=OR","EQY_CONSOLIDATED=Y","Sort=A","Dates=H","DateFormat=P","Fill=—","Direction=H","UseDPDF=Y")</f>
        <v>#NAME?</v>
      </c>
      <c r="CJ493" s="1" t="e">
        <f ca="1">_xll.BDH($C$478,"LT_DEBT_TO_TOT_ASSET","FY 2017","FY 2017","Currency=INR","Period=FY","BEST_FPERIOD_OVERRIDE=FY","FILING_STATUS=OR","EQY_CONSOLIDATED=Y","Sort=A","Dates=H","DateFormat=P","Fill=—","Direction=H","UseDPDF=Y")</f>
        <v>#NAME?</v>
      </c>
      <c r="CK493" s="1" t="e">
        <f ca="1">_xll.BDH($C$478,"TOT_DEBT_TO_TOT_EQY","FY 2017","FY 2017","Currency=INR","Period=FY","BEST_FPERIOD_OVERRIDE=FY","FILING_STATUS=OR","EQY_CONSOLIDATED=Y","Sort=A","Dates=H","DateFormat=P","Fill=—","Direction=H","UseDPDF=Y")</f>
        <v>#NAME?</v>
      </c>
      <c r="CL493" s="1" t="e">
        <f ca="1">_xll.BDH($C$478,"TOT_DEBT_TO_TOT_CAP","FY 2017","FY 2017","Currency=INR","Period=FY","BEST_FPERIOD_OVERRIDE=FY","FILING_STATUS=OR","EQY_CONSOLIDATED=Y","Sort=A","Dates=H","DateFormat=P","Fill=—","Direction=H","UseDPDF=Y")</f>
        <v>#NAME?</v>
      </c>
      <c r="CM493" s="1" t="e">
        <f ca="1">_xll.BDH($C$478,"TOT_DEBT_TO_TOT_ASSET","FY 2017","FY 2017","Currency=INR","Period=FY","BEST_FPERIOD_OVERRIDE=FY","FILING_STATUS=OR","EQY_CONSOLIDATED=Y","Sort=A","Dates=H","DateFormat=P","Fill=—","Direction=H","UseDPDF=Y")</f>
        <v>#NAME?</v>
      </c>
      <c r="CN493" s="1" t="e">
        <f ca="1">_xll.BDH($C$478,"NET_DEBT_TO_SHRHLDR_EQTY","FY 2017","FY 2017","Currency=INR","Period=FY","BEST_FPERIOD_OVERRIDE=FY","FILING_STATUS=OR","EQY_CONSOLIDATED=Y","Sort=A","Dates=H","DateFormat=P","Fill=—","Direction=H","UseDPDF=Y")</f>
        <v>#NAME?</v>
      </c>
      <c r="CO493" s="1" t="e">
        <f ca="1">_xll.BDH($C$478,"NET_DEBT_%_CAPITAL","FY 2017","FY 2017","Currency=INR","Period=FY","BEST_FPERIOD_OVERRIDE=FY","FILING_STATUS=OR","EQY_CONSOLIDATED=Y","Sort=A","Dates=H","DateFormat=P","Fill=—","Direction=H","UseDPDF=Y")</f>
        <v>#NAME?</v>
      </c>
      <c r="CP493" s="2" t="e">
        <f ca="1">_xll.BDH($C$478,"EBITDA","FY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93" s="2" t="e">
        <f ca="1">_xll.BDH($C$478,"EBITDA_AFTER_CAPEX","FY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93" s="2" t="e">
        <f ca="1">_xll.BDH($C$478,"IS_OPER_INC","FY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93" s="1" t="e">
        <f ca="1">_xll.BDH($C$478,"CASH_RATIO","FY 2017","FY 2017","Currency=INR","Period=FY","BEST_FPERIOD_OVERRIDE=FY","FILING_STATUS=OR","EQY_CONSOLIDATED=Y","Sort=A","Dates=H","DateFormat=P","Fill=—","Direction=H","UseDPDF=Y")</f>
        <v>#NAME?</v>
      </c>
      <c r="CT493" s="1" t="e">
        <f ca="1">_xll.BDH($C$478,"CUR_RATIO","FY 2017","FY 2017","Currency=INR","Period=FY","BEST_FPERIOD_OVERRIDE=FY","FILING_STATUS=OR","EQY_CONSOLIDATED=Y","Sort=A","Dates=H","DateFormat=P","Fill=—","Direction=H","UseDPDF=Y")</f>
        <v>#NAME?</v>
      </c>
      <c r="CU493" s="1" t="e">
        <f ca="1">_xll.BDH($C$478,"QUICK_RATIO","FY 2017","FY 2017","Currency=INR","Period=FY","BEST_FPERIOD_OVERRIDE=FY","FILING_STATUS=OR","EQY_CONSOLIDATED=Y","Sort=A","Dates=H","DateFormat=P","Fill=—","Direction=H","UseDPDF=Y")</f>
        <v>#NAME?</v>
      </c>
      <c r="CV493" s="1" t="e">
        <f ca="1">_xll.BDH($C$478,"ALTMAN_Z_SCORE","FY 2017","FY 2017","Currency=INR","Period=FY","BEST_FPERIOD_OVERRIDE=FY","FILING_STATUS=OR","EQY_CONSOLIDATED=Y","Sort=A","Dates=H","DateFormat=P","Fill=—","Direction=H","UseDPDF=Y")</f>
        <v>#NAME?</v>
      </c>
      <c r="CW493" s="3" t="e">
        <f ca="1">_xll.BDH($C$478,"ACCT_RCV_TURN","FY 2017","FY 2017","Currency=INR","Period=FY","BEST_FPERIOD_OVERRIDE=FY","FILING_STATUS=OR","EQY_CONSOLIDATED=Y","FA_ADJUSTED=GAAP","Sort=A","Dates=H","DateFormat=P","Fill=—","Direction=H","UseDPDF=Y")</f>
        <v>#NAME?</v>
      </c>
      <c r="CX493" s="1" t="e">
        <f ca="1">_xll.BDH($C$478,"ACCT_RCV_DAYS","FY 2017","FY 2017","Currency=INR","Period=FY","BEST_FPERIOD_OVERRIDE=FY","FILING_STATUS=OR","EQY_CONSOLIDATED=Y","FA_ADJUSTED=GAAP","Sort=A","Dates=H","DateFormat=P","Fill=—","Direction=H","UseDPDF=Y")</f>
        <v>#NAME?</v>
      </c>
      <c r="CY493" s="3" t="e">
        <f ca="1">_xll.BDH($C$478,"INVENT_TURN","FY 2017","FY 2017","Currency=INR","Period=FY","BEST_FPERIOD_OVERRIDE=FY","FILING_STATUS=OR","EQY_CONSOLIDATED=Y","FA_ADJUSTED=GAAP","Sort=A","Dates=H","DateFormat=P","Fill=—","Direction=H","UseDPDF=Y")</f>
        <v>#NAME?</v>
      </c>
      <c r="CZ493" s="1" t="e">
        <f ca="1">_xll.BDH($C$478,"INVENT_DAYS","FY 2017","FY 2017","Currency=INR","Period=FY","BEST_FPERIOD_OVERRIDE=FY","FILING_STATUS=OR","EQY_CONSOLIDATED=Y","FA_ADJUSTED=GAAP","Sort=A","Dates=H","DateFormat=P","Fill=—","Direction=H","UseDPDF=Y")</f>
        <v>#NAME?</v>
      </c>
      <c r="DA493" s="3" t="e">
        <f ca="1">_xll.BDH($C$478,"ACCOUNTS_PAYABLE_TURNOVER","FY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93" s="1" t="e">
        <f ca="1">_xll.BDH($C$478,"ACCOUNTS_PAYABLE_TURNOVER_DAYS","FY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93" s="3" t="e">
        <f ca="1">_xll.BDH($C$478,"CASH_CONVERSION_CYCLE","FY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93" s="3" t="e">
        <f ca="1">_xll.BDH($C$478,"INV_TO_CASH_DAYS","FY 2017","FY 2017","Currency=INR","Period=FY","BEST_FPERIOD_OVERRIDE=FY","FILING_STATUS=OR","EQY_CONSOLIDATED=Y","FA_ADJUSTED=GAAP","Sort=A","Dates=H","DateFormat=P","Fill=—","Direction=H","UseDPDF=Y")</f>
        <v>#NAME?</v>
      </c>
      <c r="DE493" s="4" t="e">
        <f ca="1">_xll.BDH($C$478,"BS_INVENTORIES","FY 2017","FY 2017","Currency=INR","Period=FY","BEST_FPERIOD_OVERRIDE=FY","FILING_STATUS=OR","EQY_CONSOLIDATED=Y","SCALING_FORMAT=MLN","Sort=A","Dates=H","DateFormat=P","Fill=—","Direction=H","UseDPDF=Y")</f>
        <v>#NAME?</v>
      </c>
      <c r="DF493" s="2" t="e">
        <f ca="1">_xll.BDH($C$478,"INVTRY_RAW_MATERIALS","FY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93" s="2" t="e">
        <f ca="1">_xll.BDH($C$478,"INVTRY_IN_PROGRESS","FY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93" s="2" t="e">
        <f ca="1">_xll.BDH($C$478,"INVTRY_FINISHED_GOODS","FY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93" s="2" t="e">
        <f ca="1">_xll.BDH($C$478,"BS_OTHER_INV","FY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94" spans="1:113" x14ac:dyDescent="0.3">
      <c r="A494" s="6"/>
      <c r="B494" s="6"/>
      <c r="C494" s="6"/>
      <c r="D494" s="6"/>
      <c r="E494" t="s">
        <v>4</v>
      </c>
      <c r="F494" t="e">
        <f ca="1">_xll.BDH($C$478,"RETURN_COM_EQY","FQ1 2017","FQ1 2017","Currency=INR","Period=FQ","BEST_FPERIOD_OVERRIDE=FQ","FILING_STATUS=OR","EQY_CONSOLIDATED=Y","FA_ADJUSTED=GAAP","Sort=A","Dates=H","DateFormat=P","Fill=—","Direction=H","UseDPDF=Y")</f>
        <v>#NAME?</v>
      </c>
      <c r="G494" t="e">
        <f ca="1">_xll.BDH($C$478,"RETURN_ON_ASSET","FQ1 2017","FQ1 2017","Currency=INR","Period=FQ","BEST_FPERIOD_OVERRIDE=FQ","FILING_STATUS=OR","EQY_CONSOLIDATED=Y","FA_ADJUSTED=GAAP","Sort=A","Dates=H","DateFormat=P","Fill=—","Direction=H","UseDPDF=Y")</f>
        <v>#NAME?</v>
      </c>
      <c r="H494" t="e">
        <f ca="1">_xll.BDH($C$478,"RETURN_ON_CAP","FQ1 2017","FQ1 2017","Currency=INR","Period=FQ","BEST_FPERIOD_OVERRIDE=FQ","FILING_STATUS=OR","EQY_CONSOLIDATED=Y","FA_ADJUSTED=GAAP","Sort=A","Dates=H","DateFormat=P","Fill=—","Direction=H","UseDPDF=Y")</f>
        <v>#NAME?</v>
      </c>
      <c r="I494" t="e">
        <f ca="1">_xll.BDH($C$478,"RETURN_ON_INV_CAPITAL","FQ1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94" t="e">
        <f ca="1">_xll.BDH($C$478,"EBITDA_TO_REVENUE","FQ1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494" t="e">
        <f ca="1">_xll.BDH($C$478,"OPER_MARGIN","FQ1 2017","FQ1 2017","Currency=INR","Period=FQ","BEST_FPERIOD_OVERRIDE=FQ","FILING_STATUS=OR","EQY_CONSOLIDATED=Y","FA_ADJUSTED=GAAP","Sort=A","Dates=H","DateFormat=P","Fill=—","Direction=H","UseDPDF=Y")</f>
        <v>#NAME?</v>
      </c>
      <c r="L494" t="e">
        <f ca="1">_xll.BDH($C$478,"INCREMENTAL_OPERATING_MARGIN","FQ1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94" t="e">
        <f ca="1">_xll.BDH($C$478,"PRETAX_INC_TO_NET_SALES","FQ1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94" t="e">
        <f ca="1">_xll.BDH($C$478,"INC_BEF_XO_ITEMS_TO_NET_SALES","FQ1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94" t="e">
        <f ca="1">_xll.BDH($C$478,"PROF_MARGIN","FQ1 2017","FQ1 2017","Currency=INR","Period=FQ","BEST_FPERIOD_OVERRIDE=FQ","FILING_STATUS=OR","EQY_CONSOLIDATED=Y","FA_ADJUSTED=GAAP","Sort=A","Dates=H","DateFormat=P","Fill=—","Direction=H","UseDPDF=Y")</f>
        <v>#NAME?</v>
      </c>
      <c r="P494" t="e">
        <f ca="1">_xll.BDH($C$478,"NET_INCOME_TO_COMMON_MARGIN","FQ1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94" t="e">
        <f ca="1">_xll.BDH($C$478,"EFF_TAX_RATE","FQ1 2017","FQ1 2017","Currency=INR","Period=FQ","BEST_FPERIOD_OVERRIDE=FQ","FILING_STATUS=OR","EQY_CONSOLIDATED=Y","FA_ADJUSTED=GAAP","Sort=A","Dates=H","DateFormat=P","Fill=—","Direction=H","UseDPDF=Y")</f>
        <v>#NAME?</v>
      </c>
      <c r="R494" t="e">
        <f ca="1">_xll.BDH($C$478,"DVD_PAYOUT_RATIO","FQ1 2017","FQ1 2017","Currency=INR","Period=FQ","BEST_FPERIOD_OVERRIDE=FQ","FILING_STATUS=OR","EQY_CONSOLIDATED=Y","FA_ADJUSTED=GAAP","Sort=A","Dates=H","DateFormat=P","Fill=—","Direction=H","UseDPDF=Y")</f>
        <v>#NAME?</v>
      </c>
      <c r="S494" t="e">
        <f ca="1">_xll.BDH($C$478,"SUSTAIN_GROWTH_RT","FQ1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494" s="1" t="e">
        <f ca="1">_xll.BDH($C$478,"SALES_GROWTH","FQ1 2017","FQ1 2017","Currency=INR","Period=FQ","BEST_FPERIOD_OVERRIDE=FQ","FILING_STATUS=OR","EQY_CONSOLIDATED=Y","FA_ADJUSTED=GAAP","Sort=A","Dates=H","DateFormat=P","Fill=—","Direction=H","UseDPDF=Y")</f>
        <v>#NAME?</v>
      </c>
      <c r="U494" s="1" t="e">
        <f ca="1">_xll.BDH($C$478,"EBITDA_GROWTH","FQ1 2017","FQ1 2017","Currency=INR","Period=FQ","BEST_FPERIOD_OVERRIDE=FQ","FILING_STATUS=OR","EQY_CONSOLIDATED=Y","FA_ADJUSTED=GAAP","Sort=A","Dates=H","DateFormat=P","Fill=—","Direction=H","UseDPDF=Y")</f>
        <v>#NAME?</v>
      </c>
      <c r="V494" s="1" t="e">
        <f ca="1">_xll.BDH($C$478,"OPER_INC_GROWTH","FQ1 2017","FQ1 2017","Currency=INR","Period=FQ","BEST_FPERIOD_OVERRIDE=FQ","FILING_STATUS=OR","EQY_CONSOLIDATED=Y","FA_ADJUSTED=GAAP","Sort=A","Dates=H","DateFormat=P","Fill=—","Direction=H","UseDPDF=Y")</f>
        <v>#NAME?</v>
      </c>
      <c r="W494" s="1" t="e">
        <f ca="1">_xll.BDH($C$478,"EARN_FOR_COM_GROWTH","FQ1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94" s="1" t="e">
        <f ca="1">_xll.BDH($C$478,"DILUTED_EPS_AFT_XO_ITEMS_GROWTH","FQ1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94" s="1" t="e">
        <f ca="1">_xll.BDH($C$478,"DIVIDEND_PER_SHARE_1_YEAR_GROWTH","FQ1 2017","FQ1 2017","Currency=INR","Period=FQ","BEST_FPERIOD_OVERRIDE=FQ","FILING_STATUS=OR","EQY_CONSOLIDATED=Y","Sort=A","Dates=H","DateFormat=P","Fill=—","Direction=H","UseDPDF=Y")</f>
        <v>#NAME?</v>
      </c>
      <c r="Z494" s="1" t="e">
        <f ca="1">_xll.BDH($C$478,"ACCOUNTS_RECEIVABLE_GROWTH","FQ1 2017","FQ1 2017","Currency=INR","Period=FQ","BEST_FPERIOD_OVERRIDE=FQ","FILING_STATUS=OR","EQY_CONSOLIDATED=Y","Sort=A","Dates=H","DateFormat=P","Fill=—","Direction=H","UseDPDF=Y")</f>
        <v>#NAME?</v>
      </c>
      <c r="AA494" s="1" t="e">
        <f ca="1">_xll.BDH($C$478,"INVENTORY_GROWTH","FQ1 2017","FQ1 2017","Currency=INR","Period=FQ","BEST_FPERIOD_OVERRIDE=FQ","FILING_STATUS=OR","EQY_CONSOLIDATED=Y","Sort=A","Dates=H","DateFormat=P","Fill=—","Direction=H","UseDPDF=Y")</f>
        <v>#NAME?</v>
      </c>
      <c r="AB494" s="1" t="e">
        <f ca="1">_xll.BDH($C$478,"NET_FIXED_ASSETS_1_YEAR_GROWTH","FQ1 2017","FQ1 2017","Currency=INR","Period=FQ","BEST_FPERIOD_OVERRIDE=FQ","FILING_STATUS=OR","EQY_CONSOLIDATED=Y","Sort=A","Dates=H","DateFormat=P","Fill=—","Direction=H","UseDPDF=Y")</f>
        <v>#NAME?</v>
      </c>
      <c r="AC494" s="1" t="e">
        <f ca="1">_xll.BDH($C$478,"ASSET_GROWTH","FQ1 2017","FQ1 2017","Currency=INR","Period=FQ","BEST_FPERIOD_OVERRIDE=FQ","FILING_STATUS=OR","EQY_CONSOLIDATED=Y","Sort=A","Dates=H","DateFormat=P","Fill=—","Direction=H","UseDPDF=Y")</f>
        <v>#NAME?</v>
      </c>
      <c r="AD494" s="1" t="e">
        <f ca="1">_xll.BDH($C$478,"MODIFIED_WORK_CAP_GROWTH","FQ1 2017","FQ1 2017","Currency=INR","Period=FQ","BEST_FPERIOD_OVERRIDE=FQ","FILING_STATUS=OR","EQY_CONSOLIDATED=Y","Sort=A","Dates=H","DateFormat=P","Fill=—","Direction=H","UseDPDF=Y")</f>
        <v>#NAME?</v>
      </c>
      <c r="AE494" s="1" t="e">
        <f ca="1">_xll.BDH($C$478,"WORK_CAP_GROWTH","FQ1 2017","FQ1 2017","Currency=INR","Period=FQ","BEST_FPERIOD_OVERRIDE=FQ","FILING_STATUS=OR","EQY_CONSOLIDATED=Y","Sort=A","Dates=H","DateFormat=P","Fill=—","Direction=H","UseDPDF=Y")</f>
        <v>#NAME?</v>
      </c>
      <c r="AF494" s="1" t="e">
        <f ca="1">_xll.BDH($C$478,"ACCOUNTS_PAYABLE_GROWTH_1YR","FQ1 2017","FQ1 2017","Currency=INR","Period=FQ","BEST_FPERIOD_OVERRIDE=FQ","FILING_STATUS=OR","EQY_CONSOLIDATED=Y","Sort=A","Dates=H","DateFormat=P","Fill=—","Direction=H","UseDPDF=Y")</f>
        <v>#NAME?</v>
      </c>
      <c r="AG494" s="1" t="e">
        <f ca="1">_xll.BDH($C$478,"SHORT_TERM_DEBT_1_YEAR_GROWTH","FQ1 2017","FQ1 2017","Currency=INR","Period=FQ","BEST_FPERIOD_OVERRIDE=FQ","FILING_STATUS=OR","EQY_CONSOLIDATED=Y","Sort=A","Dates=H","DateFormat=P","Fill=—","Direction=H","UseDPDF=Y")</f>
        <v>#NAME?</v>
      </c>
      <c r="AH494" s="1" t="e">
        <f ca="1">_xll.BDH($C$478,"TOTAL_DEBT_1_YEAR_GROWTH","FQ1 2017","FQ1 2017","Currency=INR","Period=FQ","BEST_FPERIOD_OVERRIDE=FQ","FILING_STATUS=OR","EQY_CONSOLIDATED=Y","Sort=A","Dates=H","DateFormat=P","Fill=—","Direction=H","UseDPDF=Y")</f>
        <v>#NAME?</v>
      </c>
      <c r="AI494" s="1" t="e">
        <f ca="1">_xll.BDH($C$478,"TOTAL_EQUITY_1_YEAR_GROWTH","FQ1 2017","FQ1 2017","Currency=INR","Period=FQ","BEST_FPERIOD_OVERRIDE=FQ","FILING_STATUS=OR","EQY_CONSOLIDATED=Y","Sort=A","Dates=H","DateFormat=P","Fill=—","Direction=H","UseDPDF=Y")</f>
        <v>#NAME?</v>
      </c>
      <c r="AJ494" s="1" t="e">
        <f ca="1">_xll.BDH($C$478,"GROWTH_IN_CAP","FQ1 2017","FQ1 2017","Currency=INR","Period=FQ","BEST_FPERIOD_OVERRIDE=FQ","FILING_STATUS=OR","EQY_CONSOLIDATED=Y","Sort=A","Dates=H","DateFormat=P","Fill=—","Direction=H","UseDPDF=Y")</f>
        <v>#NAME?</v>
      </c>
      <c r="AK494" s="1" t="e">
        <f ca="1">_xll.BDH($C$478,"BVPS_GROWTH","FQ1 2017","FQ1 2017","Currency=INR","Period=FQ","BEST_FPERIOD_OVERRIDE=FQ","FILING_STATUS=OR","EQY_CONSOLIDATED=Y","Sort=A","Dates=H","DateFormat=P","Fill=—","Direction=H","UseDPDF=Y")</f>
        <v>#NAME?</v>
      </c>
      <c r="AL494" s="1" t="e">
        <f ca="1">_xll.BDH($C$478,"CASH_FLOW_GROWTH","FQ1 2017","FQ1 2017","Currency=INR","Period=FQ","BEST_FPERIOD_OVERRIDE=FQ","FILING_STATUS=OR","EQY_CONSOLIDATED=Y","Sort=A","Dates=H","DateFormat=P","Fill=—","Direction=H","UseDPDF=Y")</f>
        <v>#NAME?</v>
      </c>
      <c r="AM494" s="1" t="e">
        <f ca="1">_xll.BDH($C$478,"GEO_GROW_NET_SALES","FQ1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94" s="1" t="e">
        <f ca="1">_xll.BDH($C$478,"GEO_GROW_EBITDA","FQ1 2017","FQ1 2017","Currency=INR","Period=FQ","BEST_FPERIOD_OVERRIDE=FQ","FILING_STATUS=OR","EQY_CONSOLIDATED=Y","FA_ADJUSTED=GAAP","Sort=A","Dates=H","DateFormat=P","Fill=—","Direction=H","UseDPDF=Y")</f>
        <v>#NAME?</v>
      </c>
      <c r="AO494" s="1" t="e">
        <f ca="1">_xll.BDH($C$478,"GEO_GROW_OPER_INC","FQ1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94" s="1" t="e">
        <f ca="1">_xll.BDH($C$478,"NET_INCOME_TO_COMMON_5_YR_GROWTH","FQ1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94" s="1" t="e">
        <f ca="1">_xll.BDH($C$478,"5Y_GEO_GROWTH_DILUTED_EPS","FQ1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94" s="1" t="e">
        <f ca="1">_xll.BDH($C$478,"GEO_GROW_DVD_PER_SH","FQ1 2017","FQ1 2017","Currency=INR","Period=FQ","BEST_FPERIOD_OVERRIDE=FQ","FILING_STATUS=OR","EQY_CONSOLIDATED=Y","Sort=A","Dates=H","DateFormat=P","Fill=—","Direction=H","UseDPDF=Y")</f>
        <v>#NAME?</v>
      </c>
      <c r="AS494" s="1" t="e">
        <f ca="1">_xll.BDH($C$478,"ACCOUNTS_RECEIVABLE_5_YR_GROWTH","FQ1 2017","FQ1 2017","Currency=INR","Period=FQ","BEST_FPERIOD_OVERRIDE=FQ","FILING_STATUS=OR","EQY_CONSOLIDATED=Y","Sort=A","Dates=H","DateFormat=P","Fill=—","Direction=H","UseDPDF=Y")</f>
        <v>#NAME?</v>
      </c>
      <c r="AT494" s="1" t="e">
        <f ca="1">_xll.BDH($C$478,"INVENTORY_5_YEAR_GROWTH","FQ1 2017","FQ1 2017","Currency=INR","Period=FQ","BEST_FPERIOD_OVERRIDE=FQ","FILING_STATUS=OR","EQY_CONSOLIDATED=Y","Sort=A","Dates=H","DateFormat=P","Fill=—","Direction=H","UseDPDF=Y")</f>
        <v>#NAME?</v>
      </c>
      <c r="AU494" s="1" t="e">
        <f ca="1">_xll.BDH($C$478,"NET_FIXED_ASSETS_5_YEAR_GROWTH","FQ1 2017","FQ1 2017","Currency=INR","Period=FQ","BEST_FPERIOD_OVERRIDE=FQ","FILING_STATUS=OR","EQY_CONSOLIDATED=Y","Sort=A","Dates=H","DateFormat=P","Fill=—","Direction=H","UseDPDF=Y")</f>
        <v>#NAME?</v>
      </c>
      <c r="AV494" s="1" t="e">
        <f ca="1">_xll.BDH($C$478,"GEO_GROW_TOT_ASSET","FQ1 2017","FQ1 2017","Currency=INR","Period=FQ","BEST_FPERIOD_OVERRIDE=FQ","FILING_STATUS=OR","EQY_CONSOLIDATED=Y","Sort=A","Dates=H","DateFormat=P","Fill=—","Direction=H","UseDPDF=Y")</f>
        <v>#NAME?</v>
      </c>
      <c r="AW494" s="1" t="e">
        <f ca="1">_xll.BDH($C$478,"MODIFIED_WORKING_CPTL_5YR_GRWTH","FQ1 2017","FQ1 2017","Currency=INR","Period=FQ","BEST_FPERIOD_OVERRIDE=FQ","FILING_STATUS=OR","EQY_CONSOLIDATED=Y","Sort=A","Dates=H","DateFormat=P","Fill=—","Direction=H","UseDPDF=Y")</f>
        <v>#NAME?</v>
      </c>
      <c r="AX494" s="1" t="e">
        <f ca="1">_xll.BDH($C$478,"WORKING_CAPITAL_5_YEAR_GROWTH","FQ1 2017","FQ1 2017","Currency=INR","Period=FQ","BEST_FPERIOD_OVERRIDE=FQ","FILING_STATUS=OR","EQY_CONSOLIDATED=Y","Sort=A","Dates=H","DateFormat=P","Fill=—","Direction=H","UseDPDF=Y")</f>
        <v>#NAME?</v>
      </c>
      <c r="AY494" s="1" t="e">
        <f ca="1">_xll.BDH($C$478,"ACCOUNTS_PAYABLE_5_YEAR_GROWTH","FQ1 2017","FQ1 2017","Currency=INR","Period=FQ","BEST_FPERIOD_OVERRIDE=FQ","FILING_STATUS=OR","EQY_CONSOLIDATED=Y","Sort=A","Dates=H","DateFormat=P","Fill=—","Direction=H","UseDPDF=Y")</f>
        <v>#NAME?</v>
      </c>
      <c r="AZ494" s="1" t="e">
        <f ca="1">_xll.BDH($C$478,"SHORT_TERM_DEBT_5_YEAR_GROWTH","FQ1 2017","FQ1 2017","Currency=INR","Period=FQ","BEST_FPERIOD_OVERRIDE=FQ","FILING_STATUS=OR","EQY_CONSOLIDATED=Y","Sort=A","Dates=H","DateFormat=P","Fill=—","Direction=H","UseDPDF=Y")</f>
        <v>#NAME?</v>
      </c>
      <c r="BA494" s="1" t="e">
        <f ca="1">_xll.BDH($C$478,"TOTAL_DEBT_5_YEAR_GROWTH","FQ1 2017","FQ1 2017","Currency=INR","Period=FQ","BEST_FPERIOD_OVERRIDE=FQ","FILING_STATUS=OR","EQY_CONSOLIDATED=Y","Sort=A","Dates=H","DateFormat=P","Fill=—","Direction=H","UseDPDF=Y")</f>
        <v>#NAME?</v>
      </c>
      <c r="BB494" s="1" t="e">
        <f ca="1">_xll.BDH($C$478,"GEO_GROW_TOT_SHRHLDR_EQY","FQ1 2017","FQ1 2017","Currency=INR","Period=FQ","BEST_FPERIOD_OVERRIDE=FQ","FILING_STATUS=OR","EQY_CONSOLIDATED=Y","Sort=A","Dates=H","DateFormat=P","Fill=—","Direction=H","UseDPDF=Y")</f>
        <v>#NAME?</v>
      </c>
      <c r="BC494" s="1" t="e">
        <f ca="1">_xll.BDH($C$478,"TOTAL_CAPITAL_5_YEAR_GROWTH","FQ1 2017","FQ1 2017","Currency=INR","Period=FQ","BEST_FPERIOD_OVERRIDE=FQ","FILING_STATUS=OR","EQY_CONSOLIDATED=Y","Sort=A","Dates=H","DateFormat=P","Fill=—","Direction=H","UseDPDF=Y")</f>
        <v>#NAME?</v>
      </c>
      <c r="BD494" s="1" t="e">
        <f ca="1">_xll.BDH($C$478,"GEO_GROW_BOOK_VAL","FQ1 2017","FQ1 2017","Currency=INR","Period=FQ","BEST_FPERIOD_OVERRIDE=FQ","FILING_STATUS=OR","EQY_CONSOLIDATED=Y","Sort=A","Dates=H","DateFormat=P","Fill=—","Direction=H","UseDPDF=Y")</f>
        <v>#NAME?</v>
      </c>
      <c r="BE494" s="1" t="e">
        <f ca="1">_xll.BDH($C$478,"GEO_GROW_CASH_OPER_ACT","FQ1 2017","FQ1 2017","Currency=INR","Period=FQ","BEST_FPERIOD_OVERRIDE=FQ","FILING_STATUS=OR","EQY_CONSOLIDATED=Y","Sort=A","Dates=H","DateFormat=P","Fill=—","Direction=H","UseDPDF=Y")</f>
        <v>#NAME?</v>
      </c>
      <c r="BF494" s="1" t="e">
        <f ca="1">_xll.BDH($C$478,"REVENUE_SEQUENTIAL_GROWTH","FQ1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94" s="1" t="e">
        <f ca="1">_xll.BDH($C$478,"EBITDA_SEQUENTIAL_GROWTH","FQ1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94" s="1" t="e">
        <f ca="1">_xll.BDH($C$478,"OPERATING_INCOME_SEQ_GROWTH","FQ1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94" s="1" t="e">
        <f ca="1">_xll.BDH($C$478,"NET_INCOME_TO_COMMON_SEQ_GROWTH","FQ1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94" s="1" t="e">
        <f ca="1">_xll.BDH($C$478,"EPS_DILUTED_SEQUENTIAL_GROWTH","FQ1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94" s="1" t="e">
        <f ca="1">_xll.BDH($C$478,"DPS_SEQUENTIAL_GROWTH","FQ1 2017","FQ1 2017","Currency=INR","Period=FQ","BEST_FPERIOD_OVERRIDE=FQ","FILING_STATUS=OR","EQY_CONSOLIDATED=Y","Sort=A","Dates=H","DateFormat=P","Fill=—","Direction=H","UseDPDF=Y")</f>
        <v>#NAME?</v>
      </c>
      <c r="BL494" s="1" t="e">
        <f ca="1">_xll.BDH($C$478,"ACCOUNTS_RECEIVABLE_SEQ_GROWTH","FQ1 2017","FQ1 2017","Currency=INR","Period=FQ","BEST_FPERIOD_OVERRIDE=FQ","FILING_STATUS=OR","EQY_CONSOLIDATED=Y","Sort=A","Dates=H","DateFormat=P","Fill=—","Direction=H","UseDPDF=Y")</f>
        <v>#NAME?</v>
      </c>
      <c r="BM494" s="1" t="e">
        <f ca="1">_xll.BDH($C$478,"INVENTORY_SEQUENTIAL_GROWTH","FQ1 2017","FQ1 2017","Currency=INR","Period=FQ","BEST_FPERIOD_OVERRIDE=FQ","FILING_STATUS=OR","EQY_CONSOLIDATED=Y","Sort=A","Dates=H","DateFormat=P","Fill=—","Direction=H","UseDPDF=Y")</f>
        <v>#NAME?</v>
      </c>
      <c r="BN494" s="1" t="e">
        <f ca="1">_xll.BDH($C$478,"FIXED_ASSETS_SEQUENTIAL_GROWTH","FQ1 2017","FQ1 2017","Currency=INR","Period=FQ","BEST_FPERIOD_OVERRIDE=FQ","FILING_STATUS=OR","EQY_CONSOLIDATED=Y","Sort=A","Dates=H","DateFormat=P","Fill=—","Direction=H","UseDPDF=Y")</f>
        <v>#NAME?</v>
      </c>
      <c r="BO494" s="1" t="e">
        <f ca="1">_xll.BDH($C$478,"TOTAL_ASSETS_SEQUENTIAL_GROWTH","FQ1 2017","FQ1 2017","Currency=INR","Period=FQ","BEST_FPERIOD_OVERRIDE=FQ","FILING_STATUS=OR","EQY_CONSOLIDATED=Y","Sort=A","Dates=H","DateFormat=P","Fill=—","Direction=H","UseDPDF=Y")</f>
        <v>#NAME?</v>
      </c>
      <c r="BP494" s="1" t="e">
        <f ca="1">_xll.BDH($C$478,"MODIFIED_WORKING_CPTL_SEQ_GRWTH","FQ1 2017","FQ1 2017","Currency=INR","Period=FQ","BEST_FPERIOD_OVERRIDE=FQ","FILING_STATUS=OR","EQY_CONSOLIDATED=Y","Sort=A","Dates=H","DateFormat=P","Fill=—","Direction=H","UseDPDF=Y")</f>
        <v>#NAME?</v>
      </c>
      <c r="BQ494" s="1" t="e">
        <f ca="1">_xll.BDH($C$478,"WORKING_CAPITAL_SEQ_GROWTH","FQ1 2017","FQ1 2017","Currency=INR","Period=FQ","BEST_FPERIOD_OVERRIDE=FQ","FILING_STATUS=OR","EQY_CONSOLIDATED=Y","Sort=A","Dates=H","DateFormat=P","Fill=—","Direction=H","UseDPDF=Y")</f>
        <v>#NAME?</v>
      </c>
      <c r="BR494" s="1" t="e">
        <f ca="1">_xll.BDH($C$478,"ACCOUNTS_PAYABLE_SEQ_GROWTH","FQ1 2017","FQ1 2017","Currency=INR","Period=FQ","BEST_FPERIOD_OVERRIDE=FQ","FILING_STATUS=OR","EQY_CONSOLIDATED=Y","Sort=A","Dates=H","DateFormat=P","Fill=—","Direction=H","UseDPDF=Y")</f>
        <v>#NAME?</v>
      </c>
      <c r="BS494" s="1" t="e">
        <f ca="1">_xll.BDH($C$478,"ST_DEBT_SEQUENTIAL_GROWTH","FQ1 2017","FQ1 2017","Currency=INR","Period=FQ","BEST_FPERIOD_OVERRIDE=FQ","FILING_STATUS=OR","EQY_CONSOLIDATED=Y","Sort=A","Dates=H","DateFormat=P","Fill=—","Direction=H","UseDPDF=Y")</f>
        <v>#NAME?</v>
      </c>
      <c r="BT494" s="1" t="e">
        <f ca="1">_xll.BDH($C$478,"TOTAL_DEBT_SEQUENTIAL_GROWTH","FQ1 2017","FQ1 2017","Currency=INR","Period=FQ","BEST_FPERIOD_OVERRIDE=FQ","FILING_STATUS=OR","EQY_CONSOLIDATED=Y","Sort=A","Dates=H","DateFormat=P","Fill=—","Direction=H","UseDPDF=Y")</f>
        <v>#NAME?</v>
      </c>
      <c r="BU494" s="1" t="e">
        <f ca="1">_xll.BDH($C$478,"TOTAL_EQUITY_SEQUENTIAL_GROWTH","FQ1 2017","FQ1 2017","Currency=INR","Period=FQ","BEST_FPERIOD_OVERRIDE=FQ","FILING_STATUS=OR","EQY_CONSOLIDATED=Y","Sort=A","Dates=H","DateFormat=P","Fill=—","Direction=H","UseDPDF=Y")</f>
        <v>#NAME?</v>
      </c>
      <c r="BV494" s="1" t="e">
        <f ca="1">_xll.BDH($C$478,"TOTAL_CAPITAL_SEQUENTIAL_GROWTH","FQ1 2017","FQ1 2017","Currency=INR","Period=FQ","BEST_FPERIOD_OVERRIDE=FQ","FILING_STATUS=OR","EQY_CONSOLIDATED=Y","Sort=A","Dates=H","DateFormat=P","Fill=—","Direction=H","UseDPDF=Y")</f>
        <v>#NAME?</v>
      </c>
      <c r="BW494" s="1" t="e">
        <f ca="1">_xll.BDH($C$478,"BPS_SEQUENTIAL_GROWTH","FQ1 2017","FQ1 2017","Currency=INR","Period=FQ","BEST_FPERIOD_OVERRIDE=FQ","FILING_STATUS=OR","EQY_CONSOLIDATED=Y","Sort=A","Dates=H","DateFormat=P","Fill=—","Direction=H","UseDPDF=Y")</f>
        <v>#NAME?</v>
      </c>
      <c r="BX494" s="1" t="e">
        <f ca="1">_xll.BDH($C$478,"CFO_SEQUENTIAL_GROWTH","FQ1 2017","FQ1 2017","Currency=INR","Period=FQ","BEST_FPERIOD_OVERRIDE=FQ","FILING_STATUS=OR","EQY_CONSOLIDATED=Y","Sort=A","Dates=H","DateFormat=P","Fill=—","Direction=H","UseDPDF=Y")</f>
        <v>#NAME?</v>
      </c>
      <c r="BY494" s="2" t="e">
        <f ca="1">_xll.BDH($C$478,"SHORT_AND_LONG_TERM_DEBT","FQ1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94" s="2" t="e">
        <f ca="1">_xll.BDH($C$478,"BS_ST_BORROW","FQ1 2017","FQ1 2017","Currency=INR","Period=FQ","BEST_FPERIOD_OVERRIDE=FQ","FILING_STATUS=OR","EQY_CONSOLIDATED=Y","SCALING_FORMAT=MLN","Sort=A","Dates=H","DateFormat=P","Fill=—","Direction=H","UseDPDF=Y")</f>
        <v>#NAME?</v>
      </c>
      <c r="CA494" s="2" t="e">
        <f ca="1">_xll.BDH($C$478,"BS_LT_BORROW","FQ1 2017","FQ1 2017","Currency=INR","Period=FQ","BEST_FPERIOD_OVERRIDE=FQ","FILING_STATUS=OR","EQY_CONSOLIDATED=Y","SCALING_FORMAT=MLN","Sort=A","Dates=H","DateFormat=P","Fill=—","Direction=H","UseDPDF=Y")</f>
        <v>#NAME?</v>
      </c>
      <c r="CB494" s="1" t="e">
        <f ca="1">_xll.BDH($C$478,"TOT_DEBT_TO_EBITDA","FQ1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94" s="1" t="e">
        <f ca="1">_xll.BDH($C$478,"NET_DEBT_TO_EBITDA","FQ1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94" s="1" t="e">
        <f ca="1">_xll.BDH($C$478,"TOTAL_DEBT_TO_EBIT","FQ1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94" s="1" t="e">
        <f ca="1">_xll.BDH($C$478,"NET_DEBT_TO_EBIT","FQ1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494" s="1" t="e">
        <f ca="1">_xll.BDH($C$478,"EBITDA_TO_INTEREST_EXPN","FQ1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94" s="1" t="e">
        <f ca="1">_xll.BDH($C$478,"COM_EQY_TO_TOT_ASSET","FQ1 2017","FQ1 2017","Currency=INR","Period=FQ","BEST_FPERIOD_OVERRIDE=FQ","FILING_STATUS=OR","EQY_CONSOLIDATED=Y","Sort=A","Dates=H","DateFormat=P","Fill=—","Direction=H","UseDPDF=Y")</f>
        <v>#NAME?</v>
      </c>
      <c r="CH494" s="1" t="e">
        <f ca="1">_xll.BDH($C$478,"LT_DEBT_TO_TOT_EQY","FQ1 2017","FQ1 2017","Currency=INR","Period=FQ","BEST_FPERIOD_OVERRIDE=FQ","FILING_STATUS=OR","EQY_CONSOLIDATED=Y","Sort=A","Dates=H","DateFormat=P","Fill=—","Direction=H","UseDPDF=Y")</f>
        <v>#NAME?</v>
      </c>
      <c r="CI494" s="1" t="e">
        <f ca="1">_xll.BDH($C$478,"LT_DEBT_TO_TOT_CAP","FQ1 2017","FQ1 2017","Currency=INR","Period=FQ","BEST_FPERIOD_OVERRIDE=FQ","FILING_STATUS=OR","EQY_CONSOLIDATED=Y","Sort=A","Dates=H","DateFormat=P","Fill=—","Direction=H","UseDPDF=Y")</f>
        <v>#NAME?</v>
      </c>
      <c r="CJ494" s="1" t="e">
        <f ca="1">_xll.BDH($C$478,"LT_DEBT_TO_TOT_ASSET","FQ1 2017","FQ1 2017","Currency=INR","Period=FQ","BEST_FPERIOD_OVERRIDE=FQ","FILING_STATUS=OR","EQY_CONSOLIDATED=Y","Sort=A","Dates=H","DateFormat=P","Fill=—","Direction=H","UseDPDF=Y")</f>
        <v>#NAME?</v>
      </c>
      <c r="CK494" s="1" t="e">
        <f ca="1">_xll.BDH($C$478,"TOT_DEBT_TO_TOT_EQY","FQ1 2017","FQ1 2017","Currency=INR","Period=FQ","BEST_FPERIOD_OVERRIDE=FQ","FILING_STATUS=OR","EQY_CONSOLIDATED=Y","Sort=A","Dates=H","DateFormat=P","Fill=—","Direction=H","UseDPDF=Y")</f>
        <v>#NAME?</v>
      </c>
      <c r="CL494" s="1" t="e">
        <f ca="1">_xll.BDH($C$478,"TOT_DEBT_TO_TOT_CAP","FQ1 2017","FQ1 2017","Currency=INR","Period=FQ","BEST_FPERIOD_OVERRIDE=FQ","FILING_STATUS=OR","EQY_CONSOLIDATED=Y","Sort=A","Dates=H","DateFormat=P","Fill=—","Direction=H","UseDPDF=Y")</f>
        <v>#NAME?</v>
      </c>
      <c r="CM494" s="1" t="e">
        <f ca="1">_xll.BDH($C$478,"TOT_DEBT_TO_TOT_ASSET","FQ1 2017","FQ1 2017","Currency=INR","Period=FQ","BEST_FPERIOD_OVERRIDE=FQ","FILING_STATUS=OR","EQY_CONSOLIDATED=Y","Sort=A","Dates=H","DateFormat=P","Fill=—","Direction=H","UseDPDF=Y")</f>
        <v>#NAME?</v>
      </c>
      <c r="CN494" s="1" t="e">
        <f ca="1">_xll.BDH($C$478,"NET_DEBT_TO_SHRHLDR_EQTY","FQ1 2017","FQ1 2017","Currency=INR","Period=FQ","BEST_FPERIOD_OVERRIDE=FQ","FILING_STATUS=OR","EQY_CONSOLIDATED=Y","Sort=A","Dates=H","DateFormat=P","Fill=—","Direction=H","UseDPDF=Y")</f>
        <v>#NAME?</v>
      </c>
      <c r="CO494" s="1" t="e">
        <f ca="1">_xll.BDH($C$478,"NET_DEBT_%_CAPITAL","FQ1 2017","FQ1 2017","Currency=INR","Period=FQ","BEST_FPERIOD_OVERRIDE=FQ","FILING_STATUS=OR","EQY_CONSOLIDATED=Y","Sort=A","Dates=H","DateFormat=P","Fill=—","Direction=H","UseDPDF=Y")</f>
        <v>#NAME?</v>
      </c>
      <c r="CP494" s="2" t="e">
        <f ca="1">_xll.BDH($C$478,"EBITDA","FQ1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94" s="2" t="e">
        <f ca="1">_xll.BDH($C$478,"EBITDA_AFTER_CAPEX","FQ1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94" s="2" t="e">
        <f ca="1">_xll.BDH($C$478,"IS_OPER_INC","FQ1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94" s="1" t="e">
        <f ca="1">_xll.BDH($C$478,"CASH_RATIO","FQ1 2017","FQ1 2017","Currency=INR","Period=FQ","BEST_FPERIOD_OVERRIDE=FQ","FILING_STATUS=OR","EQY_CONSOLIDATED=Y","Sort=A","Dates=H","DateFormat=P","Fill=—","Direction=H","UseDPDF=Y")</f>
        <v>#NAME?</v>
      </c>
      <c r="CT494" s="1" t="e">
        <f ca="1">_xll.BDH($C$478,"CUR_RATIO","FQ1 2017","FQ1 2017","Currency=INR","Period=FQ","BEST_FPERIOD_OVERRIDE=FQ","FILING_STATUS=OR","EQY_CONSOLIDATED=Y","Sort=A","Dates=H","DateFormat=P","Fill=—","Direction=H","UseDPDF=Y")</f>
        <v>#NAME?</v>
      </c>
      <c r="CU494" s="1" t="e">
        <f ca="1">_xll.BDH($C$478,"QUICK_RATIO","FQ1 2017","FQ1 2017","Currency=INR","Period=FQ","BEST_FPERIOD_OVERRIDE=FQ","FILING_STATUS=OR","EQY_CONSOLIDATED=Y","Sort=A","Dates=H","DateFormat=P","Fill=—","Direction=H","UseDPDF=Y")</f>
        <v>#NAME?</v>
      </c>
      <c r="CV494" s="1" t="e">
        <f ca="1">_xll.BDH($C$478,"ALTMAN_Z_SCORE","FQ1 2017","FQ1 2017","Currency=INR","Period=FQ","BEST_FPERIOD_OVERRIDE=FQ","FILING_STATUS=OR","EQY_CONSOLIDATED=Y","Sort=A","Dates=H","DateFormat=P","Fill=—","Direction=H","UseDPDF=Y")</f>
        <v>#NAME?</v>
      </c>
      <c r="CW494" s="3" t="e">
        <f ca="1">_xll.BDH($C$478,"ACCT_RCV_TURN","FQ1 2017","FQ1 2017","Currency=INR","Period=FQ","BEST_FPERIOD_OVERRIDE=FQ","FILING_STATUS=OR","EQY_CONSOLIDATED=Y","FA_ADJUSTED=GAAP","Sort=A","Dates=H","DateFormat=P","Fill=—","Direction=H","UseDPDF=Y")</f>
        <v>#NAME?</v>
      </c>
      <c r="CX494" s="1" t="e">
        <f ca="1">_xll.BDH($C$478,"ACCT_RCV_DAYS","FQ1 2017","FQ1 2017","Currency=INR","Period=FQ","BEST_FPERIOD_OVERRIDE=FQ","FILING_STATUS=OR","EQY_CONSOLIDATED=Y","FA_ADJUSTED=GAAP","Sort=A","Dates=H","DateFormat=P","Fill=—","Direction=H","UseDPDF=Y")</f>
        <v>#NAME?</v>
      </c>
      <c r="CY494" s="3" t="e">
        <f ca="1">_xll.BDH($C$478,"INVENT_TURN","FQ1 2017","FQ1 2017","Currency=INR","Period=FQ","BEST_FPERIOD_OVERRIDE=FQ","FILING_STATUS=OR","EQY_CONSOLIDATED=Y","FA_ADJUSTED=GAAP","Sort=A","Dates=H","DateFormat=P","Fill=—","Direction=H","UseDPDF=Y")</f>
        <v>#NAME?</v>
      </c>
      <c r="CZ494" s="1" t="e">
        <f ca="1">_xll.BDH($C$478,"INVENT_DAYS","FQ1 2017","FQ1 2017","Currency=INR","Period=FQ","BEST_FPERIOD_OVERRIDE=FQ","FILING_STATUS=OR","EQY_CONSOLIDATED=Y","FA_ADJUSTED=GAAP","Sort=A","Dates=H","DateFormat=P","Fill=—","Direction=H","UseDPDF=Y")</f>
        <v>#NAME?</v>
      </c>
      <c r="DA494" s="3" t="e">
        <f ca="1">_xll.BDH($C$478,"ACCOUNTS_PAYABLE_TURNOVER","FQ1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94" s="1" t="e">
        <f ca="1">_xll.BDH($C$478,"ACCOUNTS_PAYABLE_TURNOVER_DAYS","FQ1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94" s="3" t="e">
        <f ca="1">_xll.BDH($C$478,"CASH_CONVERSION_CYCLE","FQ1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94" s="3" t="e">
        <f ca="1">_xll.BDH($C$478,"INV_TO_CASH_DAYS","FQ1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494" s="4" t="e">
        <f ca="1">_xll.BDH($C$478,"BS_INVENTORIES","FQ1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494" s="2" t="e">
        <f ca="1">_xll.BDH($C$478,"INVTRY_RAW_MATERIALS","FQ1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94" s="2" t="e">
        <f ca="1">_xll.BDH($C$478,"INVTRY_IN_PROGRESS","FQ1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94" s="2" t="e">
        <f ca="1">_xll.BDH($C$478,"INVTRY_FINISHED_GOODS","FQ1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94" s="2" t="e">
        <f ca="1">_xll.BDH($C$478,"BS_OTHER_INV","FQ1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95" spans="1:113" x14ac:dyDescent="0.3">
      <c r="A495" s="6"/>
      <c r="B495" s="6"/>
      <c r="C495" s="6"/>
      <c r="D495" s="6"/>
      <c r="E495" t="s">
        <v>5</v>
      </c>
      <c r="F495" t="e">
        <f ca="1">_xll.BDH($C$478,"RETURN_COM_EQY","FQ2 2017","FQ2 2017","Currency=INR","Period=FQ","BEST_FPERIOD_OVERRIDE=FQ","FILING_STATUS=OR","EQY_CONSOLIDATED=Y","FA_ADJUSTED=GAAP","Sort=A","Dates=H","DateFormat=P","Fill=—","Direction=H","UseDPDF=Y")</f>
        <v>#NAME?</v>
      </c>
      <c r="G495" t="e">
        <f ca="1">_xll.BDH($C$478,"RETURN_ON_ASSET","FQ2 2017","FQ2 2017","Currency=INR","Period=FQ","BEST_FPERIOD_OVERRIDE=FQ","FILING_STATUS=OR","EQY_CONSOLIDATED=Y","FA_ADJUSTED=GAAP","Sort=A","Dates=H","DateFormat=P","Fill=—","Direction=H","UseDPDF=Y")</f>
        <v>#NAME?</v>
      </c>
      <c r="H495" t="e">
        <f ca="1">_xll.BDH($C$478,"RETURN_ON_CAP","FQ2 2017","FQ2 2017","Currency=INR","Period=FQ","BEST_FPERIOD_OVERRIDE=FQ","FILING_STATUS=OR","EQY_CONSOLIDATED=Y","FA_ADJUSTED=GAAP","Sort=A","Dates=H","DateFormat=P","Fill=—","Direction=H","UseDPDF=Y")</f>
        <v>#NAME?</v>
      </c>
      <c r="I495" t="e">
        <f ca="1">_xll.BDH($C$478,"RETURN_ON_INV_CAPITAL","FQ2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95" t="e">
        <f ca="1">_xll.BDH($C$478,"EBITDA_TO_REVENUE","FQ2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495" t="e">
        <f ca="1">_xll.BDH($C$478,"OPER_MARGIN","FQ2 2017","FQ2 2017","Currency=INR","Period=FQ","BEST_FPERIOD_OVERRIDE=FQ","FILING_STATUS=OR","EQY_CONSOLIDATED=Y","FA_ADJUSTED=GAAP","Sort=A","Dates=H","DateFormat=P","Fill=—","Direction=H","UseDPDF=Y")</f>
        <v>#NAME?</v>
      </c>
      <c r="L495" t="e">
        <f ca="1">_xll.BDH($C$478,"INCREMENTAL_OPERATING_MARGIN","FQ2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95" t="e">
        <f ca="1">_xll.BDH($C$478,"PRETAX_INC_TO_NET_SALES","FQ2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95" t="e">
        <f ca="1">_xll.BDH($C$478,"INC_BEF_XO_ITEMS_TO_NET_SALES","FQ2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95" t="e">
        <f ca="1">_xll.BDH($C$478,"PROF_MARGIN","FQ2 2017","FQ2 2017","Currency=INR","Period=FQ","BEST_FPERIOD_OVERRIDE=FQ","FILING_STATUS=OR","EQY_CONSOLIDATED=Y","FA_ADJUSTED=GAAP","Sort=A","Dates=H","DateFormat=P","Fill=—","Direction=H","UseDPDF=Y")</f>
        <v>#NAME?</v>
      </c>
      <c r="P495" t="e">
        <f ca="1">_xll.BDH($C$478,"NET_INCOME_TO_COMMON_MARGIN","FQ2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95" t="e">
        <f ca="1">_xll.BDH($C$478,"EFF_TAX_RATE","FQ2 2017","FQ2 2017","Currency=INR","Period=FQ","BEST_FPERIOD_OVERRIDE=FQ","FILING_STATUS=OR","EQY_CONSOLIDATED=Y","FA_ADJUSTED=GAAP","Sort=A","Dates=H","DateFormat=P","Fill=—","Direction=H","UseDPDF=Y")</f>
        <v>#NAME?</v>
      </c>
      <c r="R495" t="e">
        <f ca="1">_xll.BDH($C$478,"DVD_PAYOUT_RATIO","FQ2 2017","FQ2 2017","Currency=INR","Period=FQ","BEST_FPERIOD_OVERRIDE=FQ","FILING_STATUS=OR","EQY_CONSOLIDATED=Y","FA_ADJUSTED=GAAP","Sort=A","Dates=H","DateFormat=P","Fill=—","Direction=H","UseDPDF=Y")</f>
        <v>#NAME?</v>
      </c>
      <c r="S495" t="e">
        <f ca="1">_xll.BDH($C$478,"SUSTAIN_GROWTH_RT","FQ2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495" s="1" t="e">
        <f ca="1">_xll.BDH($C$478,"SALES_GROWTH","FQ2 2017","FQ2 2017","Currency=INR","Period=FQ","BEST_FPERIOD_OVERRIDE=FQ","FILING_STATUS=OR","EQY_CONSOLIDATED=Y","FA_ADJUSTED=GAAP","Sort=A","Dates=H","DateFormat=P","Fill=—","Direction=H","UseDPDF=Y")</f>
        <v>#NAME?</v>
      </c>
      <c r="U495" s="1" t="e">
        <f ca="1">_xll.BDH($C$478,"EBITDA_GROWTH","FQ2 2017","FQ2 2017","Currency=INR","Period=FQ","BEST_FPERIOD_OVERRIDE=FQ","FILING_STATUS=OR","EQY_CONSOLIDATED=Y","FA_ADJUSTED=GAAP","Sort=A","Dates=H","DateFormat=P","Fill=—","Direction=H","UseDPDF=Y")</f>
        <v>#NAME?</v>
      </c>
      <c r="V495" s="1" t="e">
        <f ca="1">_xll.BDH($C$478,"OPER_INC_GROWTH","FQ2 2017","FQ2 2017","Currency=INR","Period=FQ","BEST_FPERIOD_OVERRIDE=FQ","FILING_STATUS=OR","EQY_CONSOLIDATED=Y","FA_ADJUSTED=GAAP","Sort=A","Dates=H","DateFormat=P","Fill=—","Direction=H","UseDPDF=Y")</f>
        <v>#NAME?</v>
      </c>
      <c r="W495" s="1" t="e">
        <f ca="1">_xll.BDH($C$478,"EARN_FOR_COM_GROWTH","FQ2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95" s="1" t="e">
        <f ca="1">_xll.BDH($C$478,"DILUTED_EPS_AFT_XO_ITEMS_GROWTH","FQ2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95" s="1" t="e">
        <f ca="1">_xll.BDH($C$478,"DIVIDEND_PER_SHARE_1_YEAR_GROWTH","FQ2 2017","FQ2 2017","Currency=INR","Period=FQ","BEST_FPERIOD_OVERRIDE=FQ","FILING_STATUS=OR","EQY_CONSOLIDATED=Y","Sort=A","Dates=H","DateFormat=P","Fill=—","Direction=H","UseDPDF=Y")</f>
        <v>#NAME?</v>
      </c>
      <c r="Z495" s="1" t="e">
        <f ca="1">_xll.BDH($C$478,"ACCOUNTS_RECEIVABLE_GROWTH","FQ2 2017","FQ2 2017","Currency=INR","Period=FQ","BEST_FPERIOD_OVERRIDE=FQ","FILING_STATUS=OR","EQY_CONSOLIDATED=Y","Sort=A","Dates=H","DateFormat=P","Fill=—","Direction=H","UseDPDF=Y")</f>
        <v>#NAME?</v>
      </c>
      <c r="AA495" s="1" t="e">
        <f ca="1">_xll.BDH($C$478,"INVENTORY_GROWTH","FQ2 2017","FQ2 2017","Currency=INR","Period=FQ","BEST_FPERIOD_OVERRIDE=FQ","FILING_STATUS=OR","EQY_CONSOLIDATED=Y","Sort=A","Dates=H","DateFormat=P","Fill=—","Direction=H","UseDPDF=Y")</f>
        <v>#NAME?</v>
      </c>
      <c r="AB495" s="1" t="e">
        <f ca="1">_xll.BDH($C$478,"NET_FIXED_ASSETS_1_YEAR_GROWTH","FQ2 2017","FQ2 2017","Currency=INR","Period=FQ","BEST_FPERIOD_OVERRIDE=FQ","FILING_STATUS=OR","EQY_CONSOLIDATED=Y","Sort=A","Dates=H","DateFormat=P","Fill=—","Direction=H","UseDPDF=Y")</f>
        <v>#NAME?</v>
      </c>
      <c r="AC495" s="1" t="e">
        <f ca="1">_xll.BDH($C$478,"ASSET_GROWTH","FQ2 2017","FQ2 2017","Currency=INR","Period=FQ","BEST_FPERIOD_OVERRIDE=FQ","FILING_STATUS=OR","EQY_CONSOLIDATED=Y","Sort=A","Dates=H","DateFormat=P","Fill=—","Direction=H","UseDPDF=Y")</f>
        <v>#NAME?</v>
      </c>
      <c r="AD495" s="1" t="e">
        <f ca="1">_xll.BDH($C$478,"MODIFIED_WORK_CAP_GROWTH","FQ2 2017","FQ2 2017","Currency=INR","Period=FQ","BEST_FPERIOD_OVERRIDE=FQ","FILING_STATUS=OR","EQY_CONSOLIDATED=Y","Sort=A","Dates=H","DateFormat=P","Fill=—","Direction=H","UseDPDF=Y")</f>
        <v>#NAME?</v>
      </c>
      <c r="AE495" s="1" t="e">
        <f ca="1">_xll.BDH($C$478,"WORK_CAP_GROWTH","FQ2 2017","FQ2 2017","Currency=INR","Period=FQ","BEST_FPERIOD_OVERRIDE=FQ","FILING_STATUS=OR","EQY_CONSOLIDATED=Y","Sort=A","Dates=H","DateFormat=P","Fill=—","Direction=H","UseDPDF=Y")</f>
        <v>#NAME?</v>
      </c>
      <c r="AF495" s="1" t="e">
        <f ca="1">_xll.BDH($C$478,"ACCOUNTS_PAYABLE_GROWTH_1YR","FQ2 2017","FQ2 2017","Currency=INR","Period=FQ","BEST_FPERIOD_OVERRIDE=FQ","FILING_STATUS=OR","EQY_CONSOLIDATED=Y","Sort=A","Dates=H","DateFormat=P","Fill=—","Direction=H","UseDPDF=Y")</f>
        <v>#NAME?</v>
      </c>
      <c r="AG495" s="1" t="e">
        <f ca="1">_xll.BDH($C$478,"SHORT_TERM_DEBT_1_YEAR_GROWTH","FQ2 2017","FQ2 2017","Currency=INR","Period=FQ","BEST_FPERIOD_OVERRIDE=FQ","FILING_STATUS=OR","EQY_CONSOLIDATED=Y","Sort=A","Dates=H","DateFormat=P","Fill=—","Direction=H","UseDPDF=Y")</f>
        <v>#NAME?</v>
      </c>
      <c r="AH495" s="1" t="e">
        <f ca="1">_xll.BDH($C$478,"TOTAL_DEBT_1_YEAR_GROWTH","FQ2 2017","FQ2 2017","Currency=INR","Period=FQ","BEST_FPERIOD_OVERRIDE=FQ","FILING_STATUS=OR","EQY_CONSOLIDATED=Y","Sort=A","Dates=H","DateFormat=P","Fill=—","Direction=H","UseDPDF=Y")</f>
        <v>#NAME?</v>
      </c>
      <c r="AI495" s="1" t="e">
        <f ca="1">_xll.BDH($C$478,"TOTAL_EQUITY_1_YEAR_GROWTH","FQ2 2017","FQ2 2017","Currency=INR","Period=FQ","BEST_FPERIOD_OVERRIDE=FQ","FILING_STATUS=OR","EQY_CONSOLIDATED=Y","Sort=A","Dates=H","DateFormat=P","Fill=—","Direction=H","UseDPDF=Y")</f>
        <v>#NAME?</v>
      </c>
      <c r="AJ495" s="1" t="e">
        <f ca="1">_xll.BDH($C$478,"GROWTH_IN_CAP","FQ2 2017","FQ2 2017","Currency=INR","Period=FQ","BEST_FPERIOD_OVERRIDE=FQ","FILING_STATUS=OR","EQY_CONSOLIDATED=Y","Sort=A","Dates=H","DateFormat=P","Fill=—","Direction=H","UseDPDF=Y")</f>
        <v>#NAME?</v>
      </c>
      <c r="AK495" s="1" t="e">
        <f ca="1">_xll.BDH($C$478,"BVPS_GROWTH","FQ2 2017","FQ2 2017","Currency=INR","Period=FQ","BEST_FPERIOD_OVERRIDE=FQ","FILING_STATUS=OR","EQY_CONSOLIDATED=Y","Sort=A","Dates=H","DateFormat=P","Fill=—","Direction=H","UseDPDF=Y")</f>
        <v>#NAME?</v>
      </c>
      <c r="AL495" s="1" t="e">
        <f ca="1">_xll.BDH($C$478,"CASH_FLOW_GROWTH","FQ2 2017","FQ2 2017","Currency=INR","Period=FQ","BEST_FPERIOD_OVERRIDE=FQ","FILING_STATUS=OR","EQY_CONSOLIDATED=Y","Sort=A","Dates=H","DateFormat=P","Fill=—","Direction=H","UseDPDF=Y")</f>
        <v>#NAME?</v>
      </c>
      <c r="AM495" s="1" t="e">
        <f ca="1">_xll.BDH($C$478,"GEO_GROW_NET_SALES","FQ2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95" s="1" t="e">
        <f ca="1">_xll.BDH($C$478,"GEO_GROW_EBITDA","FQ2 2017","FQ2 2017","Currency=INR","Period=FQ","BEST_FPERIOD_OVERRIDE=FQ","FILING_STATUS=OR","EQY_CONSOLIDATED=Y","FA_ADJUSTED=GAAP","Sort=A","Dates=H","DateFormat=P","Fill=—","Direction=H","UseDPDF=Y")</f>
        <v>#NAME?</v>
      </c>
      <c r="AO495" s="1" t="e">
        <f ca="1">_xll.BDH($C$478,"GEO_GROW_OPER_INC","FQ2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95" s="1" t="e">
        <f ca="1">_xll.BDH($C$478,"NET_INCOME_TO_COMMON_5_YR_GROWTH","FQ2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95" s="1" t="e">
        <f ca="1">_xll.BDH($C$478,"5Y_GEO_GROWTH_DILUTED_EPS","FQ2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95" s="1" t="e">
        <f ca="1">_xll.BDH($C$478,"GEO_GROW_DVD_PER_SH","FQ2 2017","FQ2 2017","Currency=INR","Period=FQ","BEST_FPERIOD_OVERRIDE=FQ","FILING_STATUS=OR","EQY_CONSOLIDATED=Y","Sort=A","Dates=H","DateFormat=P","Fill=—","Direction=H","UseDPDF=Y")</f>
        <v>#NAME?</v>
      </c>
      <c r="AS495" s="1" t="e">
        <f ca="1">_xll.BDH($C$478,"ACCOUNTS_RECEIVABLE_5_YR_GROWTH","FQ2 2017","FQ2 2017","Currency=INR","Period=FQ","BEST_FPERIOD_OVERRIDE=FQ","FILING_STATUS=OR","EQY_CONSOLIDATED=Y","Sort=A","Dates=H","DateFormat=P","Fill=—","Direction=H","UseDPDF=Y")</f>
        <v>#NAME?</v>
      </c>
      <c r="AT495" s="1" t="e">
        <f ca="1">_xll.BDH($C$478,"INVENTORY_5_YEAR_GROWTH","FQ2 2017","FQ2 2017","Currency=INR","Period=FQ","BEST_FPERIOD_OVERRIDE=FQ","FILING_STATUS=OR","EQY_CONSOLIDATED=Y","Sort=A","Dates=H","DateFormat=P","Fill=—","Direction=H","UseDPDF=Y")</f>
        <v>#NAME?</v>
      </c>
      <c r="AU495" s="1" t="e">
        <f ca="1">_xll.BDH($C$478,"NET_FIXED_ASSETS_5_YEAR_GROWTH","FQ2 2017","FQ2 2017","Currency=INR","Period=FQ","BEST_FPERIOD_OVERRIDE=FQ","FILING_STATUS=OR","EQY_CONSOLIDATED=Y","Sort=A","Dates=H","DateFormat=P","Fill=—","Direction=H","UseDPDF=Y")</f>
        <v>#NAME?</v>
      </c>
      <c r="AV495" s="1" t="e">
        <f ca="1">_xll.BDH($C$478,"GEO_GROW_TOT_ASSET","FQ2 2017","FQ2 2017","Currency=INR","Period=FQ","BEST_FPERIOD_OVERRIDE=FQ","FILING_STATUS=OR","EQY_CONSOLIDATED=Y","Sort=A","Dates=H","DateFormat=P","Fill=—","Direction=H","UseDPDF=Y")</f>
        <v>#NAME?</v>
      </c>
      <c r="AW495" s="1" t="e">
        <f ca="1">_xll.BDH($C$478,"MODIFIED_WORKING_CPTL_5YR_GRWTH","FQ2 2017","FQ2 2017","Currency=INR","Period=FQ","BEST_FPERIOD_OVERRIDE=FQ","FILING_STATUS=OR","EQY_CONSOLIDATED=Y","Sort=A","Dates=H","DateFormat=P","Fill=—","Direction=H","UseDPDF=Y")</f>
        <v>#NAME?</v>
      </c>
      <c r="AX495" s="1" t="e">
        <f ca="1">_xll.BDH($C$478,"WORKING_CAPITAL_5_YEAR_GROWTH","FQ2 2017","FQ2 2017","Currency=INR","Period=FQ","BEST_FPERIOD_OVERRIDE=FQ","FILING_STATUS=OR","EQY_CONSOLIDATED=Y","Sort=A","Dates=H","DateFormat=P","Fill=—","Direction=H","UseDPDF=Y")</f>
        <v>#NAME?</v>
      </c>
      <c r="AY495" s="1" t="e">
        <f ca="1">_xll.BDH($C$478,"ACCOUNTS_PAYABLE_5_YEAR_GROWTH","FQ2 2017","FQ2 2017","Currency=INR","Period=FQ","BEST_FPERIOD_OVERRIDE=FQ","FILING_STATUS=OR","EQY_CONSOLIDATED=Y","Sort=A","Dates=H","DateFormat=P","Fill=—","Direction=H","UseDPDF=Y")</f>
        <v>#NAME?</v>
      </c>
      <c r="AZ495" s="1" t="e">
        <f ca="1">_xll.BDH($C$478,"SHORT_TERM_DEBT_5_YEAR_GROWTH","FQ2 2017","FQ2 2017","Currency=INR","Period=FQ","BEST_FPERIOD_OVERRIDE=FQ","FILING_STATUS=OR","EQY_CONSOLIDATED=Y","Sort=A","Dates=H","DateFormat=P","Fill=—","Direction=H","UseDPDF=Y")</f>
        <v>#NAME?</v>
      </c>
      <c r="BA495" s="1" t="e">
        <f ca="1">_xll.BDH($C$478,"TOTAL_DEBT_5_YEAR_GROWTH","FQ2 2017","FQ2 2017","Currency=INR","Period=FQ","BEST_FPERIOD_OVERRIDE=FQ","FILING_STATUS=OR","EQY_CONSOLIDATED=Y","Sort=A","Dates=H","DateFormat=P","Fill=—","Direction=H","UseDPDF=Y")</f>
        <v>#NAME?</v>
      </c>
      <c r="BB495" s="1" t="e">
        <f ca="1">_xll.BDH($C$478,"GEO_GROW_TOT_SHRHLDR_EQY","FQ2 2017","FQ2 2017","Currency=INR","Period=FQ","BEST_FPERIOD_OVERRIDE=FQ","FILING_STATUS=OR","EQY_CONSOLIDATED=Y","Sort=A","Dates=H","DateFormat=P","Fill=—","Direction=H","UseDPDF=Y")</f>
        <v>#NAME?</v>
      </c>
      <c r="BC495" s="1" t="e">
        <f ca="1">_xll.BDH($C$478,"TOTAL_CAPITAL_5_YEAR_GROWTH","FQ2 2017","FQ2 2017","Currency=INR","Period=FQ","BEST_FPERIOD_OVERRIDE=FQ","FILING_STATUS=OR","EQY_CONSOLIDATED=Y","Sort=A","Dates=H","DateFormat=P","Fill=—","Direction=H","UseDPDF=Y")</f>
        <v>#NAME?</v>
      </c>
      <c r="BD495" s="1" t="e">
        <f ca="1">_xll.BDH($C$478,"GEO_GROW_BOOK_VAL","FQ2 2017","FQ2 2017","Currency=INR","Period=FQ","BEST_FPERIOD_OVERRIDE=FQ","FILING_STATUS=OR","EQY_CONSOLIDATED=Y","Sort=A","Dates=H","DateFormat=P","Fill=—","Direction=H","UseDPDF=Y")</f>
        <v>#NAME?</v>
      </c>
      <c r="BE495" s="1" t="e">
        <f ca="1">_xll.BDH($C$478,"GEO_GROW_CASH_OPER_ACT","FQ2 2017","FQ2 2017","Currency=INR","Period=FQ","BEST_FPERIOD_OVERRIDE=FQ","FILING_STATUS=OR","EQY_CONSOLIDATED=Y","Sort=A","Dates=H","DateFormat=P","Fill=—","Direction=H","UseDPDF=Y")</f>
        <v>#NAME?</v>
      </c>
      <c r="BF495" s="1" t="e">
        <f ca="1">_xll.BDH($C$478,"REVENUE_SEQUENTIAL_GROWTH","FQ2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95" s="1" t="e">
        <f ca="1">_xll.BDH($C$478,"EBITDA_SEQUENTIAL_GROWTH","FQ2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95" s="1" t="e">
        <f ca="1">_xll.BDH($C$478,"OPERATING_INCOME_SEQ_GROWTH","FQ2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95" s="1" t="e">
        <f ca="1">_xll.BDH($C$478,"NET_INCOME_TO_COMMON_SEQ_GROWTH","FQ2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95" s="1" t="e">
        <f ca="1">_xll.BDH($C$478,"EPS_DILUTED_SEQUENTIAL_GROWTH","FQ2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95" s="1" t="e">
        <f ca="1">_xll.BDH($C$478,"DPS_SEQUENTIAL_GROWTH","FQ2 2017","FQ2 2017","Currency=INR","Period=FQ","BEST_FPERIOD_OVERRIDE=FQ","FILING_STATUS=OR","EQY_CONSOLIDATED=Y","Sort=A","Dates=H","DateFormat=P","Fill=—","Direction=H","UseDPDF=Y")</f>
        <v>#NAME?</v>
      </c>
      <c r="BL495" s="1" t="e">
        <f ca="1">_xll.BDH($C$478,"ACCOUNTS_RECEIVABLE_SEQ_GROWTH","FQ2 2017","FQ2 2017","Currency=INR","Period=FQ","BEST_FPERIOD_OVERRIDE=FQ","FILING_STATUS=OR","EQY_CONSOLIDATED=Y","Sort=A","Dates=H","DateFormat=P","Fill=—","Direction=H","UseDPDF=Y")</f>
        <v>#NAME?</v>
      </c>
      <c r="BM495" s="1" t="e">
        <f ca="1">_xll.BDH($C$478,"INVENTORY_SEQUENTIAL_GROWTH","FQ2 2017","FQ2 2017","Currency=INR","Period=FQ","BEST_FPERIOD_OVERRIDE=FQ","FILING_STATUS=OR","EQY_CONSOLIDATED=Y","Sort=A","Dates=H","DateFormat=P","Fill=—","Direction=H","UseDPDF=Y")</f>
        <v>#NAME?</v>
      </c>
      <c r="BN495" s="1" t="e">
        <f ca="1">_xll.BDH($C$478,"FIXED_ASSETS_SEQUENTIAL_GROWTH","FQ2 2017","FQ2 2017","Currency=INR","Period=FQ","BEST_FPERIOD_OVERRIDE=FQ","FILING_STATUS=OR","EQY_CONSOLIDATED=Y","Sort=A","Dates=H","DateFormat=P","Fill=—","Direction=H","UseDPDF=Y")</f>
        <v>#NAME?</v>
      </c>
      <c r="BO495" s="1" t="e">
        <f ca="1">_xll.BDH($C$478,"TOTAL_ASSETS_SEQUENTIAL_GROWTH","FQ2 2017","FQ2 2017","Currency=INR","Period=FQ","BEST_FPERIOD_OVERRIDE=FQ","FILING_STATUS=OR","EQY_CONSOLIDATED=Y","Sort=A","Dates=H","DateFormat=P","Fill=—","Direction=H","UseDPDF=Y")</f>
        <v>#NAME?</v>
      </c>
      <c r="BP495" s="1" t="e">
        <f ca="1">_xll.BDH($C$478,"MODIFIED_WORKING_CPTL_SEQ_GRWTH","FQ2 2017","FQ2 2017","Currency=INR","Period=FQ","BEST_FPERIOD_OVERRIDE=FQ","FILING_STATUS=OR","EQY_CONSOLIDATED=Y","Sort=A","Dates=H","DateFormat=P","Fill=—","Direction=H","UseDPDF=Y")</f>
        <v>#NAME?</v>
      </c>
      <c r="BQ495" s="1" t="e">
        <f ca="1">_xll.BDH($C$478,"WORKING_CAPITAL_SEQ_GROWTH","FQ2 2017","FQ2 2017","Currency=INR","Period=FQ","BEST_FPERIOD_OVERRIDE=FQ","FILING_STATUS=OR","EQY_CONSOLIDATED=Y","Sort=A","Dates=H","DateFormat=P","Fill=—","Direction=H","UseDPDF=Y")</f>
        <v>#NAME?</v>
      </c>
      <c r="BR495" s="1" t="e">
        <f ca="1">_xll.BDH($C$478,"ACCOUNTS_PAYABLE_SEQ_GROWTH","FQ2 2017","FQ2 2017","Currency=INR","Period=FQ","BEST_FPERIOD_OVERRIDE=FQ","FILING_STATUS=OR","EQY_CONSOLIDATED=Y","Sort=A","Dates=H","DateFormat=P","Fill=—","Direction=H","UseDPDF=Y")</f>
        <v>#NAME?</v>
      </c>
      <c r="BS495" s="1" t="e">
        <f ca="1">_xll.BDH($C$478,"ST_DEBT_SEQUENTIAL_GROWTH","FQ2 2017","FQ2 2017","Currency=INR","Period=FQ","BEST_FPERIOD_OVERRIDE=FQ","FILING_STATUS=OR","EQY_CONSOLIDATED=Y","Sort=A","Dates=H","DateFormat=P","Fill=—","Direction=H","UseDPDF=Y")</f>
        <v>#NAME?</v>
      </c>
      <c r="BT495" s="1" t="e">
        <f ca="1">_xll.BDH($C$478,"TOTAL_DEBT_SEQUENTIAL_GROWTH","FQ2 2017","FQ2 2017","Currency=INR","Period=FQ","BEST_FPERIOD_OVERRIDE=FQ","FILING_STATUS=OR","EQY_CONSOLIDATED=Y","Sort=A","Dates=H","DateFormat=P","Fill=—","Direction=H","UseDPDF=Y")</f>
        <v>#NAME?</v>
      </c>
      <c r="BU495" s="1" t="e">
        <f ca="1">_xll.BDH($C$478,"TOTAL_EQUITY_SEQUENTIAL_GROWTH","FQ2 2017","FQ2 2017","Currency=INR","Period=FQ","BEST_FPERIOD_OVERRIDE=FQ","FILING_STATUS=OR","EQY_CONSOLIDATED=Y","Sort=A","Dates=H","DateFormat=P","Fill=—","Direction=H","UseDPDF=Y")</f>
        <v>#NAME?</v>
      </c>
      <c r="BV495" s="1" t="e">
        <f ca="1">_xll.BDH($C$478,"TOTAL_CAPITAL_SEQUENTIAL_GROWTH","FQ2 2017","FQ2 2017","Currency=INR","Period=FQ","BEST_FPERIOD_OVERRIDE=FQ","FILING_STATUS=OR","EQY_CONSOLIDATED=Y","Sort=A","Dates=H","DateFormat=P","Fill=—","Direction=H","UseDPDF=Y")</f>
        <v>#NAME?</v>
      </c>
      <c r="BW495" s="1" t="e">
        <f ca="1">_xll.BDH($C$478,"BPS_SEQUENTIAL_GROWTH","FQ2 2017","FQ2 2017","Currency=INR","Period=FQ","BEST_FPERIOD_OVERRIDE=FQ","FILING_STATUS=OR","EQY_CONSOLIDATED=Y","Sort=A","Dates=H","DateFormat=P","Fill=—","Direction=H","UseDPDF=Y")</f>
        <v>#NAME?</v>
      </c>
      <c r="BX495" s="1" t="e">
        <f ca="1">_xll.BDH($C$478,"CFO_SEQUENTIAL_GROWTH","FQ2 2017","FQ2 2017","Currency=INR","Period=FQ","BEST_FPERIOD_OVERRIDE=FQ","FILING_STATUS=OR","EQY_CONSOLIDATED=Y","Sort=A","Dates=H","DateFormat=P","Fill=—","Direction=H","UseDPDF=Y")</f>
        <v>#NAME?</v>
      </c>
      <c r="BY495" s="2" t="e">
        <f ca="1">_xll.BDH($C$478,"SHORT_AND_LONG_TERM_DEBT","FQ2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95" s="2" t="e">
        <f ca="1">_xll.BDH($C$478,"BS_ST_BORROW","FQ2 2017","FQ2 2017","Currency=INR","Period=FQ","BEST_FPERIOD_OVERRIDE=FQ","FILING_STATUS=OR","EQY_CONSOLIDATED=Y","SCALING_FORMAT=MLN","Sort=A","Dates=H","DateFormat=P","Fill=—","Direction=H","UseDPDF=Y")</f>
        <v>#NAME?</v>
      </c>
      <c r="CA495" s="2" t="e">
        <f ca="1">_xll.BDH($C$478,"BS_LT_BORROW","FQ2 2017","FQ2 2017","Currency=INR","Period=FQ","BEST_FPERIOD_OVERRIDE=FQ","FILING_STATUS=OR","EQY_CONSOLIDATED=Y","SCALING_FORMAT=MLN","Sort=A","Dates=H","DateFormat=P","Fill=—","Direction=H","UseDPDF=Y")</f>
        <v>#NAME?</v>
      </c>
      <c r="CB495" s="1" t="e">
        <f ca="1">_xll.BDH($C$478,"TOT_DEBT_TO_EBITDA","FQ2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95" s="1" t="e">
        <f ca="1">_xll.BDH($C$478,"NET_DEBT_TO_EBITDA","FQ2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95" s="1" t="e">
        <f ca="1">_xll.BDH($C$478,"TOTAL_DEBT_TO_EBIT","FQ2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95" s="1" t="e">
        <f ca="1">_xll.BDH($C$478,"NET_DEBT_TO_EBIT","FQ2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495" s="1" t="e">
        <f ca="1">_xll.BDH($C$478,"EBITDA_TO_INTEREST_EXPN","FQ2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95" s="1" t="e">
        <f ca="1">_xll.BDH($C$478,"COM_EQY_TO_TOT_ASSET","FQ2 2017","FQ2 2017","Currency=INR","Period=FQ","BEST_FPERIOD_OVERRIDE=FQ","FILING_STATUS=OR","EQY_CONSOLIDATED=Y","Sort=A","Dates=H","DateFormat=P","Fill=—","Direction=H","UseDPDF=Y")</f>
        <v>#NAME?</v>
      </c>
      <c r="CH495" s="1" t="e">
        <f ca="1">_xll.BDH($C$478,"LT_DEBT_TO_TOT_EQY","FQ2 2017","FQ2 2017","Currency=INR","Period=FQ","BEST_FPERIOD_OVERRIDE=FQ","FILING_STATUS=OR","EQY_CONSOLIDATED=Y","Sort=A","Dates=H","DateFormat=P","Fill=—","Direction=H","UseDPDF=Y")</f>
        <v>#NAME?</v>
      </c>
      <c r="CI495" s="1" t="e">
        <f ca="1">_xll.BDH($C$478,"LT_DEBT_TO_TOT_CAP","FQ2 2017","FQ2 2017","Currency=INR","Period=FQ","BEST_FPERIOD_OVERRIDE=FQ","FILING_STATUS=OR","EQY_CONSOLIDATED=Y","Sort=A","Dates=H","DateFormat=P","Fill=—","Direction=H","UseDPDF=Y")</f>
        <v>#NAME?</v>
      </c>
      <c r="CJ495" s="1" t="e">
        <f ca="1">_xll.BDH($C$478,"LT_DEBT_TO_TOT_ASSET","FQ2 2017","FQ2 2017","Currency=INR","Period=FQ","BEST_FPERIOD_OVERRIDE=FQ","FILING_STATUS=OR","EQY_CONSOLIDATED=Y","Sort=A","Dates=H","DateFormat=P","Fill=—","Direction=H","UseDPDF=Y")</f>
        <v>#NAME?</v>
      </c>
      <c r="CK495" s="1" t="e">
        <f ca="1">_xll.BDH($C$478,"TOT_DEBT_TO_TOT_EQY","FQ2 2017","FQ2 2017","Currency=INR","Period=FQ","BEST_FPERIOD_OVERRIDE=FQ","FILING_STATUS=OR","EQY_CONSOLIDATED=Y","Sort=A","Dates=H","DateFormat=P","Fill=—","Direction=H","UseDPDF=Y")</f>
        <v>#NAME?</v>
      </c>
      <c r="CL495" s="1" t="e">
        <f ca="1">_xll.BDH($C$478,"TOT_DEBT_TO_TOT_CAP","FQ2 2017","FQ2 2017","Currency=INR","Period=FQ","BEST_FPERIOD_OVERRIDE=FQ","FILING_STATUS=OR","EQY_CONSOLIDATED=Y","Sort=A","Dates=H","DateFormat=P","Fill=—","Direction=H","UseDPDF=Y")</f>
        <v>#NAME?</v>
      </c>
      <c r="CM495" s="1" t="e">
        <f ca="1">_xll.BDH($C$478,"TOT_DEBT_TO_TOT_ASSET","FQ2 2017","FQ2 2017","Currency=INR","Period=FQ","BEST_FPERIOD_OVERRIDE=FQ","FILING_STATUS=OR","EQY_CONSOLIDATED=Y","Sort=A","Dates=H","DateFormat=P","Fill=—","Direction=H","UseDPDF=Y")</f>
        <v>#NAME?</v>
      </c>
      <c r="CN495" s="1" t="e">
        <f ca="1">_xll.BDH($C$478,"NET_DEBT_TO_SHRHLDR_EQTY","FQ2 2017","FQ2 2017","Currency=INR","Period=FQ","BEST_FPERIOD_OVERRIDE=FQ","FILING_STATUS=OR","EQY_CONSOLIDATED=Y","Sort=A","Dates=H","DateFormat=P","Fill=—","Direction=H","UseDPDF=Y")</f>
        <v>#NAME?</v>
      </c>
      <c r="CO495" s="1" t="e">
        <f ca="1">_xll.BDH($C$478,"NET_DEBT_%_CAPITAL","FQ2 2017","FQ2 2017","Currency=INR","Period=FQ","BEST_FPERIOD_OVERRIDE=FQ","FILING_STATUS=OR","EQY_CONSOLIDATED=Y","Sort=A","Dates=H","DateFormat=P","Fill=—","Direction=H","UseDPDF=Y")</f>
        <v>#NAME?</v>
      </c>
      <c r="CP495" s="2" t="e">
        <f ca="1">_xll.BDH($C$478,"EBITDA","FQ2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95" s="2" t="e">
        <f ca="1">_xll.BDH($C$478,"EBITDA_AFTER_CAPEX","FQ2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95" s="2" t="e">
        <f ca="1">_xll.BDH($C$478,"IS_OPER_INC","FQ2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95" s="1" t="e">
        <f ca="1">_xll.BDH($C$478,"CASH_RATIO","FQ2 2017","FQ2 2017","Currency=INR","Period=FQ","BEST_FPERIOD_OVERRIDE=FQ","FILING_STATUS=OR","EQY_CONSOLIDATED=Y","Sort=A","Dates=H","DateFormat=P","Fill=—","Direction=H","UseDPDF=Y")</f>
        <v>#NAME?</v>
      </c>
      <c r="CT495" s="1" t="e">
        <f ca="1">_xll.BDH($C$478,"CUR_RATIO","FQ2 2017","FQ2 2017","Currency=INR","Period=FQ","BEST_FPERIOD_OVERRIDE=FQ","FILING_STATUS=OR","EQY_CONSOLIDATED=Y","Sort=A","Dates=H","DateFormat=P","Fill=—","Direction=H","UseDPDF=Y")</f>
        <v>#NAME?</v>
      </c>
      <c r="CU495" s="1" t="e">
        <f ca="1">_xll.BDH($C$478,"QUICK_RATIO","FQ2 2017","FQ2 2017","Currency=INR","Period=FQ","BEST_FPERIOD_OVERRIDE=FQ","FILING_STATUS=OR","EQY_CONSOLIDATED=Y","Sort=A","Dates=H","DateFormat=P","Fill=—","Direction=H","UseDPDF=Y")</f>
        <v>#NAME?</v>
      </c>
      <c r="CV495" s="1" t="e">
        <f ca="1">_xll.BDH($C$478,"ALTMAN_Z_SCORE","FQ2 2017","FQ2 2017","Currency=INR","Period=FQ","BEST_FPERIOD_OVERRIDE=FQ","FILING_STATUS=OR","EQY_CONSOLIDATED=Y","Sort=A","Dates=H","DateFormat=P","Fill=—","Direction=H","UseDPDF=Y")</f>
        <v>#NAME?</v>
      </c>
      <c r="CW495" s="3" t="e">
        <f ca="1">_xll.BDH($C$478,"ACCT_RCV_TURN","FQ2 2017","FQ2 2017","Currency=INR","Period=FQ","BEST_FPERIOD_OVERRIDE=FQ","FILING_STATUS=OR","EQY_CONSOLIDATED=Y","FA_ADJUSTED=GAAP","Sort=A","Dates=H","DateFormat=P","Fill=—","Direction=H","UseDPDF=Y")</f>
        <v>#NAME?</v>
      </c>
      <c r="CX495" s="1" t="e">
        <f ca="1">_xll.BDH($C$478,"ACCT_RCV_DAYS","FQ2 2017","FQ2 2017","Currency=INR","Period=FQ","BEST_FPERIOD_OVERRIDE=FQ","FILING_STATUS=OR","EQY_CONSOLIDATED=Y","FA_ADJUSTED=GAAP","Sort=A","Dates=H","DateFormat=P","Fill=—","Direction=H","UseDPDF=Y")</f>
        <v>#NAME?</v>
      </c>
      <c r="CY495" s="3" t="e">
        <f ca="1">_xll.BDH($C$478,"INVENT_TURN","FQ2 2017","FQ2 2017","Currency=INR","Period=FQ","BEST_FPERIOD_OVERRIDE=FQ","FILING_STATUS=OR","EQY_CONSOLIDATED=Y","FA_ADJUSTED=GAAP","Sort=A","Dates=H","DateFormat=P","Fill=—","Direction=H","UseDPDF=Y")</f>
        <v>#NAME?</v>
      </c>
      <c r="CZ495" s="1" t="e">
        <f ca="1">_xll.BDH($C$478,"INVENT_DAYS","FQ2 2017","FQ2 2017","Currency=INR","Period=FQ","BEST_FPERIOD_OVERRIDE=FQ","FILING_STATUS=OR","EQY_CONSOLIDATED=Y","FA_ADJUSTED=GAAP","Sort=A","Dates=H","DateFormat=P","Fill=—","Direction=H","UseDPDF=Y")</f>
        <v>#NAME?</v>
      </c>
      <c r="DA495" s="3" t="e">
        <f ca="1">_xll.BDH($C$478,"ACCOUNTS_PAYABLE_TURNOVER","FQ2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95" s="1" t="e">
        <f ca="1">_xll.BDH($C$478,"ACCOUNTS_PAYABLE_TURNOVER_DAYS","FQ2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95" s="3" t="e">
        <f ca="1">_xll.BDH($C$478,"CASH_CONVERSION_CYCLE","FQ2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95" s="3" t="e">
        <f ca="1">_xll.BDH($C$478,"INV_TO_CASH_DAYS","FQ2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495" s="4" t="e">
        <f ca="1">_xll.BDH($C$478,"BS_INVENTORIES","FQ2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495" s="2" t="e">
        <f ca="1">_xll.BDH($C$478,"INVTRY_RAW_MATERIALS","FQ2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95" s="2" t="e">
        <f ca="1">_xll.BDH($C$478,"INVTRY_IN_PROGRESS","FQ2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95" s="2" t="e">
        <f ca="1">_xll.BDH($C$478,"INVTRY_FINISHED_GOODS","FQ2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95" s="2" t="e">
        <f ca="1">_xll.BDH($C$478,"BS_OTHER_INV","FQ2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96" spans="1:113" x14ac:dyDescent="0.3">
      <c r="A496" s="6"/>
      <c r="B496" s="6"/>
      <c r="C496" s="6"/>
      <c r="D496" s="6"/>
      <c r="E496" t="s">
        <v>6</v>
      </c>
      <c r="F496" t="e">
        <f ca="1">_xll.BDH($C$478,"RETURN_COM_EQY","FQ3 2017","FQ3 2017","Currency=INR","Period=FQ","BEST_FPERIOD_OVERRIDE=FQ","FILING_STATUS=OR","EQY_CONSOLIDATED=Y","FA_ADJUSTED=GAAP","Sort=A","Dates=H","DateFormat=P","Fill=—","Direction=H","UseDPDF=Y")</f>
        <v>#NAME?</v>
      </c>
      <c r="G496" t="e">
        <f ca="1">_xll.BDH($C$478,"RETURN_ON_ASSET","FQ3 2017","FQ3 2017","Currency=INR","Period=FQ","BEST_FPERIOD_OVERRIDE=FQ","FILING_STATUS=OR","EQY_CONSOLIDATED=Y","FA_ADJUSTED=GAAP","Sort=A","Dates=H","DateFormat=P","Fill=—","Direction=H","UseDPDF=Y")</f>
        <v>#NAME?</v>
      </c>
      <c r="H496" t="e">
        <f ca="1">_xll.BDH($C$478,"RETURN_ON_CAP","FQ3 2017","FQ3 2017","Currency=INR","Period=FQ","BEST_FPERIOD_OVERRIDE=FQ","FILING_STATUS=OR","EQY_CONSOLIDATED=Y","FA_ADJUSTED=GAAP","Sort=A","Dates=H","DateFormat=P","Fill=—","Direction=H","UseDPDF=Y")</f>
        <v>#NAME?</v>
      </c>
      <c r="I496" t="e">
        <f ca="1">_xll.BDH($C$478,"RETURN_ON_INV_CAPITAL","FQ3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96" t="e">
        <f ca="1">_xll.BDH($C$478,"EBITDA_TO_REVENUE","FQ3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496" t="e">
        <f ca="1">_xll.BDH($C$478,"OPER_MARGIN","FQ3 2017","FQ3 2017","Currency=INR","Period=FQ","BEST_FPERIOD_OVERRIDE=FQ","FILING_STATUS=OR","EQY_CONSOLIDATED=Y","FA_ADJUSTED=GAAP","Sort=A","Dates=H","DateFormat=P","Fill=—","Direction=H","UseDPDF=Y")</f>
        <v>#NAME?</v>
      </c>
      <c r="L496" t="e">
        <f ca="1">_xll.BDH($C$478,"INCREMENTAL_OPERATING_MARGIN","FQ3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96" t="e">
        <f ca="1">_xll.BDH($C$478,"PRETAX_INC_TO_NET_SALES","FQ3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96" t="e">
        <f ca="1">_xll.BDH($C$478,"INC_BEF_XO_ITEMS_TO_NET_SALES","FQ3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96" t="e">
        <f ca="1">_xll.BDH($C$478,"PROF_MARGIN","FQ3 2017","FQ3 2017","Currency=INR","Period=FQ","BEST_FPERIOD_OVERRIDE=FQ","FILING_STATUS=OR","EQY_CONSOLIDATED=Y","FA_ADJUSTED=GAAP","Sort=A","Dates=H","DateFormat=P","Fill=—","Direction=H","UseDPDF=Y")</f>
        <v>#NAME?</v>
      </c>
      <c r="P496" t="e">
        <f ca="1">_xll.BDH($C$478,"NET_INCOME_TO_COMMON_MARGIN","FQ3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96" t="e">
        <f ca="1">_xll.BDH($C$478,"EFF_TAX_RATE","FQ3 2017","FQ3 2017","Currency=INR","Period=FQ","BEST_FPERIOD_OVERRIDE=FQ","FILING_STATUS=OR","EQY_CONSOLIDATED=Y","FA_ADJUSTED=GAAP","Sort=A","Dates=H","DateFormat=P","Fill=—","Direction=H","UseDPDF=Y")</f>
        <v>#NAME?</v>
      </c>
      <c r="R496" t="e">
        <f ca="1">_xll.BDH($C$478,"DVD_PAYOUT_RATIO","FQ3 2017","FQ3 2017","Currency=INR","Period=FQ","BEST_FPERIOD_OVERRIDE=FQ","FILING_STATUS=OR","EQY_CONSOLIDATED=Y","FA_ADJUSTED=GAAP","Sort=A","Dates=H","DateFormat=P","Fill=—","Direction=H","UseDPDF=Y")</f>
        <v>#NAME?</v>
      </c>
      <c r="S496" t="e">
        <f ca="1">_xll.BDH($C$478,"SUSTAIN_GROWTH_RT","FQ3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496" s="1" t="e">
        <f ca="1">_xll.BDH($C$478,"SALES_GROWTH","FQ3 2017","FQ3 2017","Currency=INR","Period=FQ","BEST_FPERIOD_OVERRIDE=FQ","FILING_STATUS=OR","EQY_CONSOLIDATED=Y","FA_ADJUSTED=GAAP","Sort=A","Dates=H","DateFormat=P","Fill=—","Direction=H","UseDPDF=Y")</f>
        <v>#NAME?</v>
      </c>
      <c r="U496" s="1" t="e">
        <f ca="1">_xll.BDH($C$478,"EBITDA_GROWTH","FQ3 2017","FQ3 2017","Currency=INR","Period=FQ","BEST_FPERIOD_OVERRIDE=FQ","FILING_STATUS=OR","EQY_CONSOLIDATED=Y","FA_ADJUSTED=GAAP","Sort=A","Dates=H","DateFormat=P","Fill=—","Direction=H","UseDPDF=Y")</f>
        <v>#NAME?</v>
      </c>
      <c r="V496" s="1" t="e">
        <f ca="1">_xll.BDH($C$478,"OPER_INC_GROWTH","FQ3 2017","FQ3 2017","Currency=INR","Period=FQ","BEST_FPERIOD_OVERRIDE=FQ","FILING_STATUS=OR","EQY_CONSOLIDATED=Y","FA_ADJUSTED=GAAP","Sort=A","Dates=H","DateFormat=P","Fill=—","Direction=H","UseDPDF=Y")</f>
        <v>#NAME?</v>
      </c>
      <c r="W496" s="1" t="e">
        <f ca="1">_xll.BDH($C$478,"EARN_FOR_COM_GROWTH","FQ3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96" s="1" t="e">
        <f ca="1">_xll.BDH($C$478,"DILUTED_EPS_AFT_XO_ITEMS_GROWTH","FQ3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96" s="1" t="e">
        <f ca="1">_xll.BDH($C$478,"DIVIDEND_PER_SHARE_1_YEAR_GROWTH","FQ3 2017","FQ3 2017","Currency=INR","Period=FQ","BEST_FPERIOD_OVERRIDE=FQ","FILING_STATUS=OR","EQY_CONSOLIDATED=Y","Sort=A","Dates=H","DateFormat=P","Fill=—","Direction=H","UseDPDF=Y")</f>
        <v>#NAME?</v>
      </c>
      <c r="Z496" s="1" t="e">
        <f ca="1">_xll.BDH($C$478,"ACCOUNTS_RECEIVABLE_GROWTH","FQ3 2017","FQ3 2017","Currency=INR","Period=FQ","BEST_FPERIOD_OVERRIDE=FQ","FILING_STATUS=OR","EQY_CONSOLIDATED=Y","Sort=A","Dates=H","DateFormat=P","Fill=—","Direction=H","UseDPDF=Y")</f>
        <v>#NAME?</v>
      </c>
      <c r="AA496" s="1" t="e">
        <f ca="1">_xll.BDH($C$478,"INVENTORY_GROWTH","FQ3 2017","FQ3 2017","Currency=INR","Period=FQ","BEST_FPERIOD_OVERRIDE=FQ","FILING_STATUS=OR","EQY_CONSOLIDATED=Y","Sort=A","Dates=H","DateFormat=P","Fill=—","Direction=H","UseDPDF=Y")</f>
        <v>#NAME?</v>
      </c>
      <c r="AB496" s="1" t="e">
        <f ca="1">_xll.BDH($C$478,"NET_FIXED_ASSETS_1_YEAR_GROWTH","FQ3 2017","FQ3 2017","Currency=INR","Period=FQ","BEST_FPERIOD_OVERRIDE=FQ","FILING_STATUS=OR","EQY_CONSOLIDATED=Y","Sort=A","Dates=H","DateFormat=P","Fill=—","Direction=H","UseDPDF=Y")</f>
        <v>#NAME?</v>
      </c>
      <c r="AC496" s="1" t="e">
        <f ca="1">_xll.BDH($C$478,"ASSET_GROWTH","FQ3 2017","FQ3 2017","Currency=INR","Period=FQ","BEST_FPERIOD_OVERRIDE=FQ","FILING_STATUS=OR","EQY_CONSOLIDATED=Y","Sort=A","Dates=H","DateFormat=P","Fill=—","Direction=H","UseDPDF=Y")</f>
        <v>#NAME?</v>
      </c>
      <c r="AD496" s="1" t="e">
        <f ca="1">_xll.BDH($C$478,"MODIFIED_WORK_CAP_GROWTH","FQ3 2017","FQ3 2017","Currency=INR","Period=FQ","BEST_FPERIOD_OVERRIDE=FQ","FILING_STATUS=OR","EQY_CONSOLIDATED=Y","Sort=A","Dates=H","DateFormat=P","Fill=—","Direction=H","UseDPDF=Y")</f>
        <v>#NAME?</v>
      </c>
      <c r="AE496" s="1" t="e">
        <f ca="1">_xll.BDH($C$478,"WORK_CAP_GROWTH","FQ3 2017","FQ3 2017","Currency=INR","Period=FQ","BEST_FPERIOD_OVERRIDE=FQ","FILING_STATUS=OR","EQY_CONSOLIDATED=Y","Sort=A","Dates=H","DateFormat=P","Fill=—","Direction=H","UseDPDF=Y")</f>
        <v>#NAME?</v>
      </c>
      <c r="AF496" s="1" t="e">
        <f ca="1">_xll.BDH($C$478,"ACCOUNTS_PAYABLE_GROWTH_1YR","FQ3 2017","FQ3 2017","Currency=INR","Period=FQ","BEST_FPERIOD_OVERRIDE=FQ","FILING_STATUS=OR","EQY_CONSOLIDATED=Y","Sort=A","Dates=H","DateFormat=P","Fill=—","Direction=H","UseDPDF=Y")</f>
        <v>#NAME?</v>
      </c>
      <c r="AG496" s="1" t="e">
        <f ca="1">_xll.BDH($C$478,"SHORT_TERM_DEBT_1_YEAR_GROWTH","FQ3 2017","FQ3 2017","Currency=INR","Period=FQ","BEST_FPERIOD_OVERRIDE=FQ","FILING_STATUS=OR","EQY_CONSOLIDATED=Y","Sort=A","Dates=H","DateFormat=P","Fill=—","Direction=H","UseDPDF=Y")</f>
        <v>#NAME?</v>
      </c>
      <c r="AH496" s="1" t="e">
        <f ca="1">_xll.BDH($C$478,"TOTAL_DEBT_1_YEAR_GROWTH","FQ3 2017","FQ3 2017","Currency=INR","Period=FQ","BEST_FPERIOD_OVERRIDE=FQ","FILING_STATUS=OR","EQY_CONSOLIDATED=Y","Sort=A","Dates=H","DateFormat=P","Fill=—","Direction=H","UseDPDF=Y")</f>
        <v>#NAME?</v>
      </c>
      <c r="AI496" s="1" t="e">
        <f ca="1">_xll.BDH($C$478,"TOTAL_EQUITY_1_YEAR_GROWTH","FQ3 2017","FQ3 2017","Currency=INR","Period=FQ","BEST_FPERIOD_OVERRIDE=FQ","FILING_STATUS=OR","EQY_CONSOLIDATED=Y","Sort=A","Dates=H","DateFormat=P","Fill=—","Direction=H","UseDPDF=Y")</f>
        <v>#NAME?</v>
      </c>
      <c r="AJ496" s="1" t="e">
        <f ca="1">_xll.BDH($C$478,"GROWTH_IN_CAP","FQ3 2017","FQ3 2017","Currency=INR","Period=FQ","BEST_FPERIOD_OVERRIDE=FQ","FILING_STATUS=OR","EQY_CONSOLIDATED=Y","Sort=A","Dates=H","DateFormat=P","Fill=—","Direction=H","UseDPDF=Y")</f>
        <v>#NAME?</v>
      </c>
      <c r="AK496" s="1" t="e">
        <f ca="1">_xll.BDH($C$478,"BVPS_GROWTH","FQ3 2017","FQ3 2017","Currency=INR","Period=FQ","BEST_FPERIOD_OVERRIDE=FQ","FILING_STATUS=OR","EQY_CONSOLIDATED=Y","Sort=A","Dates=H","DateFormat=P","Fill=—","Direction=H","UseDPDF=Y")</f>
        <v>#NAME?</v>
      </c>
      <c r="AL496" s="1" t="e">
        <f ca="1">_xll.BDH($C$478,"CASH_FLOW_GROWTH","FQ3 2017","FQ3 2017","Currency=INR","Period=FQ","BEST_FPERIOD_OVERRIDE=FQ","FILING_STATUS=OR","EQY_CONSOLIDATED=Y","Sort=A","Dates=H","DateFormat=P","Fill=—","Direction=H","UseDPDF=Y")</f>
        <v>#NAME?</v>
      </c>
      <c r="AM496" s="1" t="e">
        <f ca="1">_xll.BDH($C$478,"GEO_GROW_NET_SALES","FQ3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96" s="1" t="e">
        <f ca="1">_xll.BDH($C$478,"GEO_GROW_EBITDA","FQ3 2017","FQ3 2017","Currency=INR","Period=FQ","BEST_FPERIOD_OVERRIDE=FQ","FILING_STATUS=OR","EQY_CONSOLIDATED=Y","FA_ADJUSTED=GAAP","Sort=A","Dates=H","DateFormat=P","Fill=—","Direction=H","UseDPDF=Y")</f>
        <v>#NAME?</v>
      </c>
      <c r="AO496" s="1" t="e">
        <f ca="1">_xll.BDH($C$478,"GEO_GROW_OPER_INC","FQ3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96" s="1" t="e">
        <f ca="1">_xll.BDH($C$478,"NET_INCOME_TO_COMMON_5_YR_GROWTH","FQ3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96" s="1" t="e">
        <f ca="1">_xll.BDH($C$478,"5Y_GEO_GROWTH_DILUTED_EPS","FQ3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96" s="1" t="e">
        <f ca="1">_xll.BDH($C$478,"GEO_GROW_DVD_PER_SH","FQ3 2017","FQ3 2017","Currency=INR","Period=FQ","BEST_FPERIOD_OVERRIDE=FQ","FILING_STATUS=OR","EQY_CONSOLIDATED=Y","Sort=A","Dates=H","DateFormat=P","Fill=—","Direction=H","UseDPDF=Y")</f>
        <v>#NAME?</v>
      </c>
      <c r="AS496" s="1" t="e">
        <f ca="1">_xll.BDH($C$478,"ACCOUNTS_RECEIVABLE_5_YR_GROWTH","FQ3 2017","FQ3 2017","Currency=INR","Period=FQ","BEST_FPERIOD_OVERRIDE=FQ","FILING_STATUS=OR","EQY_CONSOLIDATED=Y","Sort=A","Dates=H","DateFormat=P","Fill=—","Direction=H","UseDPDF=Y")</f>
        <v>#NAME?</v>
      </c>
      <c r="AT496" s="1" t="e">
        <f ca="1">_xll.BDH($C$478,"INVENTORY_5_YEAR_GROWTH","FQ3 2017","FQ3 2017","Currency=INR","Period=FQ","BEST_FPERIOD_OVERRIDE=FQ","FILING_STATUS=OR","EQY_CONSOLIDATED=Y","Sort=A","Dates=H","DateFormat=P","Fill=—","Direction=H","UseDPDF=Y")</f>
        <v>#NAME?</v>
      </c>
      <c r="AU496" s="1" t="e">
        <f ca="1">_xll.BDH($C$478,"NET_FIXED_ASSETS_5_YEAR_GROWTH","FQ3 2017","FQ3 2017","Currency=INR","Period=FQ","BEST_FPERIOD_OVERRIDE=FQ","FILING_STATUS=OR","EQY_CONSOLIDATED=Y","Sort=A","Dates=H","DateFormat=P","Fill=—","Direction=H","UseDPDF=Y")</f>
        <v>#NAME?</v>
      </c>
      <c r="AV496" s="1" t="e">
        <f ca="1">_xll.BDH($C$478,"GEO_GROW_TOT_ASSET","FQ3 2017","FQ3 2017","Currency=INR","Period=FQ","BEST_FPERIOD_OVERRIDE=FQ","FILING_STATUS=OR","EQY_CONSOLIDATED=Y","Sort=A","Dates=H","DateFormat=P","Fill=—","Direction=H","UseDPDF=Y")</f>
        <v>#NAME?</v>
      </c>
      <c r="AW496" s="1" t="e">
        <f ca="1">_xll.BDH($C$478,"MODIFIED_WORKING_CPTL_5YR_GRWTH","FQ3 2017","FQ3 2017","Currency=INR","Period=FQ","BEST_FPERIOD_OVERRIDE=FQ","FILING_STATUS=OR","EQY_CONSOLIDATED=Y","Sort=A","Dates=H","DateFormat=P","Fill=—","Direction=H","UseDPDF=Y")</f>
        <v>#NAME?</v>
      </c>
      <c r="AX496" s="1" t="e">
        <f ca="1">_xll.BDH($C$478,"WORKING_CAPITAL_5_YEAR_GROWTH","FQ3 2017","FQ3 2017","Currency=INR","Period=FQ","BEST_FPERIOD_OVERRIDE=FQ","FILING_STATUS=OR","EQY_CONSOLIDATED=Y","Sort=A","Dates=H","DateFormat=P","Fill=—","Direction=H","UseDPDF=Y")</f>
        <v>#NAME?</v>
      </c>
      <c r="AY496" s="1" t="e">
        <f ca="1">_xll.BDH($C$478,"ACCOUNTS_PAYABLE_5_YEAR_GROWTH","FQ3 2017","FQ3 2017","Currency=INR","Period=FQ","BEST_FPERIOD_OVERRIDE=FQ","FILING_STATUS=OR","EQY_CONSOLIDATED=Y","Sort=A","Dates=H","DateFormat=P","Fill=—","Direction=H","UseDPDF=Y")</f>
        <v>#NAME?</v>
      </c>
      <c r="AZ496" s="1" t="e">
        <f ca="1">_xll.BDH($C$478,"SHORT_TERM_DEBT_5_YEAR_GROWTH","FQ3 2017","FQ3 2017","Currency=INR","Period=FQ","BEST_FPERIOD_OVERRIDE=FQ","FILING_STATUS=OR","EQY_CONSOLIDATED=Y","Sort=A","Dates=H","DateFormat=P","Fill=—","Direction=H","UseDPDF=Y")</f>
        <v>#NAME?</v>
      </c>
      <c r="BA496" s="1" t="e">
        <f ca="1">_xll.BDH($C$478,"TOTAL_DEBT_5_YEAR_GROWTH","FQ3 2017","FQ3 2017","Currency=INR","Period=FQ","BEST_FPERIOD_OVERRIDE=FQ","FILING_STATUS=OR","EQY_CONSOLIDATED=Y","Sort=A","Dates=H","DateFormat=P","Fill=—","Direction=H","UseDPDF=Y")</f>
        <v>#NAME?</v>
      </c>
      <c r="BB496" s="1" t="e">
        <f ca="1">_xll.BDH($C$478,"GEO_GROW_TOT_SHRHLDR_EQY","FQ3 2017","FQ3 2017","Currency=INR","Period=FQ","BEST_FPERIOD_OVERRIDE=FQ","FILING_STATUS=OR","EQY_CONSOLIDATED=Y","Sort=A","Dates=H","DateFormat=P","Fill=—","Direction=H","UseDPDF=Y")</f>
        <v>#NAME?</v>
      </c>
      <c r="BC496" s="1" t="e">
        <f ca="1">_xll.BDH($C$478,"TOTAL_CAPITAL_5_YEAR_GROWTH","FQ3 2017","FQ3 2017","Currency=INR","Period=FQ","BEST_FPERIOD_OVERRIDE=FQ","FILING_STATUS=OR","EQY_CONSOLIDATED=Y","Sort=A","Dates=H","DateFormat=P","Fill=—","Direction=H","UseDPDF=Y")</f>
        <v>#NAME?</v>
      </c>
      <c r="BD496" s="1" t="e">
        <f ca="1">_xll.BDH($C$478,"GEO_GROW_BOOK_VAL","FQ3 2017","FQ3 2017","Currency=INR","Period=FQ","BEST_FPERIOD_OVERRIDE=FQ","FILING_STATUS=OR","EQY_CONSOLIDATED=Y","Sort=A","Dates=H","DateFormat=P","Fill=—","Direction=H","UseDPDF=Y")</f>
        <v>#NAME?</v>
      </c>
      <c r="BE496" s="1" t="e">
        <f ca="1">_xll.BDH($C$478,"GEO_GROW_CASH_OPER_ACT","FQ3 2017","FQ3 2017","Currency=INR","Period=FQ","BEST_FPERIOD_OVERRIDE=FQ","FILING_STATUS=OR","EQY_CONSOLIDATED=Y","Sort=A","Dates=H","DateFormat=P","Fill=—","Direction=H","UseDPDF=Y")</f>
        <v>#NAME?</v>
      </c>
      <c r="BF496" s="1" t="e">
        <f ca="1">_xll.BDH($C$478,"REVENUE_SEQUENTIAL_GROWTH","FQ3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96" s="1" t="e">
        <f ca="1">_xll.BDH($C$478,"EBITDA_SEQUENTIAL_GROWTH","FQ3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96" s="1" t="e">
        <f ca="1">_xll.BDH($C$478,"OPERATING_INCOME_SEQ_GROWTH","FQ3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96" s="1" t="e">
        <f ca="1">_xll.BDH($C$478,"NET_INCOME_TO_COMMON_SEQ_GROWTH","FQ3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96" s="1" t="e">
        <f ca="1">_xll.BDH($C$478,"EPS_DILUTED_SEQUENTIAL_GROWTH","FQ3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96" s="1" t="e">
        <f ca="1">_xll.BDH($C$478,"DPS_SEQUENTIAL_GROWTH","FQ3 2017","FQ3 2017","Currency=INR","Period=FQ","BEST_FPERIOD_OVERRIDE=FQ","FILING_STATUS=OR","EQY_CONSOLIDATED=Y","Sort=A","Dates=H","DateFormat=P","Fill=—","Direction=H","UseDPDF=Y")</f>
        <v>#NAME?</v>
      </c>
      <c r="BL496" s="1" t="e">
        <f ca="1">_xll.BDH($C$478,"ACCOUNTS_RECEIVABLE_SEQ_GROWTH","FQ3 2017","FQ3 2017","Currency=INR","Period=FQ","BEST_FPERIOD_OVERRIDE=FQ","FILING_STATUS=OR","EQY_CONSOLIDATED=Y","Sort=A","Dates=H","DateFormat=P","Fill=—","Direction=H","UseDPDF=Y")</f>
        <v>#NAME?</v>
      </c>
      <c r="BM496" s="1" t="e">
        <f ca="1">_xll.BDH($C$478,"INVENTORY_SEQUENTIAL_GROWTH","FQ3 2017","FQ3 2017","Currency=INR","Period=FQ","BEST_FPERIOD_OVERRIDE=FQ","FILING_STATUS=OR","EQY_CONSOLIDATED=Y","Sort=A","Dates=H","DateFormat=P","Fill=—","Direction=H","UseDPDF=Y")</f>
        <v>#NAME?</v>
      </c>
      <c r="BN496" s="1" t="e">
        <f ca="1">_xll.BDH($C$478,"FIXED_ASSETS_SEQUENTIAL_GROWTH","FQ3 2017","FQ3 2017","Currency=INR","Period=FQ","BEST_FPERIOD_OVERRIDE=FQ","FILING_STATUS=OR","EQY_CONSOLIDATED=Y","Sort=A","Dates=H","DateFormat=P","Fill=—","Direction=H","UseDPDF=Y")</f>
        <v>#NAME?</v>
      </c>
      <c r="BO496" s="1" t="e">
        <f ca="1">_xll.BDH($C$478,"TOTAL_ASSETS_SEQUENTIAL_GROWTH","FQ3 2017","FQ3 2017","Currency=INR","Period=FQ","BEST_FPERIOD_OVERRIDE=FQ","FILING_STATUS=OR","EQY_CONSOLIDATED=Y","Sort=A","Dates=H","DateFormat=P","Fill=—","Direction=H","UseDPDF=Y")</f>
        <v>#NAME?</v>
      </c>
      <c r="BP496" s="1" t="e">
        <f ca="1">_xll.BDH($C$478,"MODIFIED_WORKING_CPTL_SEQ_GRWTH","FQ3 2017","FQ3 2017","Currency=INR","Period=FQ","BEST_FPERIOD_OVERRIDE=FQ","FILING_STATUS=OR","EQY_CONSOLIDATED=Y","Sort=A","Dates=H","DateFormat=P","Fill=—","Direction=H","UseDPDF=Y")</f>
        <v>#NAME?</v>
      </c>
      <c r="BQ496" s="1" t="e">
        <f ca="1">_xll.BDH($C$478,"WORKING_CAPITAL_SEQ_GROWTH","FQ3 2017","FQ3 2017","Currency=INR","Period=FQ","BEST_FPERIOD_OVERRIDE=FQ","FILING_STATUS=OR","EQY_CONSOLIDATED=Y","Sort=A","Dates=H","DateFormat=P","Fill=—","Direction=H","UseDPDF=Y")</f>
        <v>#NAME?</v>
      </c>
      <c r="BR496" s="1" t="e">
        <f ca="1">_xll.BDH($C$478,"ACCOUNTS_PAYABLE_SEQ_GROWTH","FQ3 2017","FQ3 2017","Currency=INR","Period=FQ","BEST_FPERIOD_OVERRIDE=FQ","FILING_STATUS=OR","EQY_CONSOLIDATED=Y","Sort=A","Dates=H","DateFormat=P","Fill=—","Direction=H","UseDPDF=Y")</f>
        <v>#NAME?</v>
      </c>
      <c r="BS496" s="1" t="e">
        <f ca="1">_xll.BDH($C$478,"ST_DEBT_SEQUENTIAL_GROWTH","FQ3 2017","FQ3 2017","Currency=INR","Period=FQ","BEST_FPERIOD_OVERRIDE=FQ","FILING_STATUS=OR","EQY_CONSOLIDATED=Y","Sort=A","Dates=H","DateFormat=P","Fill=—","Direction=H","UseDPDF=Y")</f>
        <v>#NAME?</v>
      </c>
      <c r="BT496" s="1" t="e">
        <f ca="1">_xll.BDH($C$478,"TOTAL_DEBT_SEQUENTIAL_GROWTH","FQ3 2017","FQ3 2017","Currency=INR","Period=FQ","BEST_FPERIOD_OVERRIDE=FQ","FILING_STATUS=OR","EQY_CONSOLIDATED=Y","Sort=A","Dates=H","DateFormat=P","Fill=—","Direction=H","UseDPDF=Y")</f>
        <v>#NAME?</v>
      </c>
      <c r="BU496" s="1" t="e">
        <f ca="1">_xll.BDH($C$478,"TOTAL_EQUITY_SEQUENTIAL_GROWTH","FQ3 2017","FQ3 2017","Currency=INR","Period=FQ","BEST_FPERIOD_OVERRIDE=FQ","FILING_STATUS=OR","EQY_CONSOLIDATED=Y","Sort=A","Dates=H","DateFormat=P","Fill=—","Direction=H","UseDPDF=Y")</f>
        <v>#NAME?</v>
      </c>
      <c r="BV496" s="1" t="e">
        <f ca="1">_xll.BDH($C$478,"TOTAL_CAPITAL_SEQUENTIAL_GROWTH","FQ3 2017","FQ3 2017","Currency=INR","Period=FQ","BEST_FPERIOD_OVERRIDE=FQ","FILING_STATUS=OR","EQY_CONSOLIDATED=Y","Sort=A","Dates=H","DateFormat=P","Fill=—","Direction=H","UseDPDF=Y")</f>
        <v>#NAME?</v>
      </c>
      <c r="BW496" s="1" t="e">
        <f ca="1">_xll.BDH($C$478,"BPS_SEQUENTIAL_GROWTH","FQ3 2017","FQ3 2017","Currency=INR","Period=FQ","BEST_FPERIOD_OVERRIDE=FQ","FILING_STATUS=OR","EQY_CONSOLIDATED=Y","Sort=A","Dates=H","DateFormat=P","Fill=—","Direction=H","UseDPDF=Y")</f>
        <v>#NAME?</v>
      </c>
      <c r="BX496" s="1" t="e">
        <f ca="1">_xll.BDH($C$478,"CFO_SEQUENTIAL_GROWTH","FQ3 2017","FQ3 2017","Currency=INR","Period=FQ","BEST_FPERIOD_OVERRIDE=FQ","FILING_STATUS=OR","EQY_CONSOLIDATED=Y","Sort=A","Dates=H","DateFormat=P","Fill=—","Direction=H","UseDPDF=Y")</f>
        <v>#NAME?</v>
      </c>
      <c r="BY496" s="2" t="e">
        <f ca="1">_xll.BDH($C$478,"SHORT_AND_LONG_TERM_DEBT","FQ3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96" s="2" t="e">
        <f ca="1">_xll.BDH($C$478,"BS_ST_BORROW","FQ3 2017","FQ3 2017","Currency=INR","Period=FQ","BEST_FPERIOD_OVERRIDE=FQ","FILING_STATUS=OR","EQY_CONSOLIDATED=Y","SCALING_FORMAT=MLN","Sort=A","Dates=H","DateFormat=P","Fill=—","Direction=H","UseDPDF=Y")</f>
        <v>#NAME?</v>
      </c>
      <c r="CA496" s="2" t="e">
        <f ca="1">_xll.BDH($C$478,"BS_LT_BORROW","FQ3 2017","FQ3 2017","Currency=INR","Period=FQ","BEST_FPERIOD_OVERRIDE=FQ","FILING_STATUS=OR","EQY_CONSOLIDATED=Y","SCALING_FORMAT=MLN","Sort=A","Dates=H","DateFormat=P","Fill=—","Direction=H","UseDPDF=Y")</f>
        <v>#NAME?</v>
      </c>
      <c r="CB496" s="1" t="e">
        <f ca="1">_xll.BDH($C$478,"TOT_DEBT_TO_EBITDA","FQ3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96" s="1" t="e">
        <f ca="1">_xll.BDH($C$478,"NET_DEBT_TO_EBITDA","FQ3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96" s="1" t="e">
        <f ca="1">_xll.BDH($C$478,"TOTAL_DEBT_TO_EBIT","FQ3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96" s="1" t="e">
        <f ca="1">_xll.BDH($C$478,"NET_DEBT_TO_EBIT","FQ3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496" s="1" t="e">
        <f ca="1">_xll.BDH($C$478,"EBITDA_TO_INTEREST_EXPN","FQ3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96" s="1" t="e">
        <f ca="1">_xll.BDH($C$478,"COM_EQY_TO_TOT_ASSET","FQ3 2017","FQ3 2017","Currency=INR","Period=FQ","BEST_FPERIOD_OVERRIDE=FQ","FILING_STATUS=OR","EQY_CONSOLIDATED=Y","Sort=A","Dates=H","DateFormat=P","Fill=—","Direction=H","UseDPDF=Y")</f>
        <v>#NAME?</v>
      </c>
      <c r="CH496" s="1" t="e">
        <f ca="1">_xll.BDH($C$478,"LT_DEBT_TO_TOT_EQY","FQ3 2017","FQ3 2017","Currency=INR","Period=FQ","BEST_FPERIOD_OVERRIDE=FQ","FILING_STATUS=OR","EQY_CONSOLIDATED=Y","Sort=A","Dates=H","DateFormat=P","Fill=—","Direction=H","UseDPDF=Y")</f>
        <v>#NAME?</v>
      </c>
      <c r="CI496" s="1" t="e">
        <f ca="1">_xll.BDH($C$478,"LT_DEBT_TO_TOT_CAP","FQ3 2017","FQ3 2017","Currency=INR","Period=FQ","BEST_FPERIOD_OVERRIDE=FQ","FILING_STATUS=OR","EQY_CONSOLIDATED=Y","Sort=A","Dates=H","DateFormat=P","Fill=—","Direction=H","UseDPDF=Y")</f>
        <v>#NAME?</v>
      </c>
      <c r="CJ496" s="1" t="e">
        <f ca="1">_xll.BDH($C$478,"LT_DEBT_TO_TOT_ASSET","FQ3 2017","FQ3 2017","Currency=INR","Period=FQ","BEST_FPERIOD_OVERRIDE=FQ","FILING_STATUS=OR","EQY_CONSOLIDATED=Y","Sort=A","Dates=H","DateFormat=P","Fill=—","Direction=H","UseDPDF=Y")</f>
        <v>#NAME?</v>
      </c>
      <c r="CK496" s="1" t="e">
        <f ca="1">_xll.BDH($C$478,"TOT_DEBT_TO_TOT_EQY","FQ3 2017","FQ3 2017","Currency=INR","Period=FQ","BEST_FPERIOD_OVERRIDE=FQ","FILING_STATUS=OR","EQY_CONSOLIDATED=Y","Sort=A","Dates=H","DateFormat=P","Fill=—","Direction=H","UseDPDF=Y")</f>
        <v>#NAME?</v>
      </c>
      <c r="CL496" s="1" t="e">
        <f ca="1">_xll.BDH($C$478,"TOT_DEBT_TO_TOT_CAP","FQ3 2017","FQ3 2017","Currency=INR","Period=FQ","BEST_FPERIOD_OVERRIDE=FQ","FILING_STATUS=OR","EQY_CONSOLIDATED=Y","Sort=A","Dates=H","DateFormat=P","Fill=—","Direction=H","UseDPDF=Y")</f>
        <v>#NAME?</v>
      </c>
      <c r="CM496" s="1" t="e">
        <f ca="1">_xll.BDH($C$478,"TOT_DEBT_TO_TOT_ASSET","FQ3 2017","FQ3 2017","Currency=INR","Period=FQ","BEST_FPERIOD_OVERRIDE=FQ","FILING_STATUS=OR","EQY_CONSOLIDATED=Y","Sort=A","Dates=H","DateFormat=P","Fill=—","Direction=H","UseDPDF=Y")</f>
        <v>#NAME?</v>
      </c>
      <c r="CN496" s="1" t="e">
        <f ca="1">_xll.BDH($C$478,"NET_DEBT_TO_SHRHLDR_EQTY","FQ3 2017","FQ3 2017","Currency=INR","Period=FQ","BEST_FPERIOD_OVERRIDE=FQ","FILING_STATUS=OR","EQY_CONSOLIDATED=Y","Sort=A","Dates=H","DateFormat=P","Fill=—","Direction=H","UseDPDF=Y")</f>
        <v>#NAME?</v>
      </c>
      <c r="CO496" s="1" t="e">
        <f ca="1">_xll.BDH($C$478,"NET_DEBT_%_CAPITAL","FQ3 2017","FQ3 2017","Currency=INR","Period=FQ","BEST_FPERIOD_OVERRIDE=FQ","FILING_STATUS=OR","EQY_CONSOLIDATED=Y","Sort=A","Dates=H","DateFormat=P","Fill=—","Direction=H","UseDPDF=Y")</f>
        <v>#NAME?</v>
      </c>
      <c r="CP496" s="2" t="e">
        <f ca="1">_xll.BDH($C$478,"EBITDA","FQ3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96" s="2" t="e">
        <f ca="1">_xll.BDH($C$478,"EBITDA_AFTER_CAPEX","FQ3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96" s="2" t="e">
        <f ca="1">_xll.BDH($C$478,"IS_OPER_INC","FQ3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96" s="1" t="e">
        <f ca="1">_xll.BDH($C$478,"CASH_RATIO","FQ3 2017","FQ3 2017","Currency=INR","Period=FQ","BEST_FPERIOD_OVERRIDE=FQ","FILING_STATUS=OR","EQY_CONSOLIDATED=Y","Sort=A","Dates=H","DateFormat=P","Fill=—","Direction=H","UseDPDF=Y")</f>
        <v>#NAME?</v>
      </c>
      <c r="CT496" s="1" t="e">
        <f ca="1">_xll.BDH($C$478,"CUR_RATIO","FQ3 2017","FQ3 2017","Currency=INR","Period=FQ","BEST_FPERIOD_OVERRIDE=FQ","FILING_STATUS=OR","EQY_CONSOLIDATED=Y","Sort=A","Dates=H","DateFormat=P","Fill=—","Direction=H","UseDPDF=Y")</f>
        <v>#NAME?</v>
      </c>
      <c r="CU496" s="1" t="e">
        <f ca="1">_xll.BDH($C$478,"QUICK_RATIO","FQ3 2017","FQ3 2017","Currency=INR","Period=FQ","BEST_FPERIOD_OVERRIDE=FQ","FILING_STATUS=OR","EQY_CONSOLIDATED=Y","Sort=A","Dates=H","DateFormat=P","Fill=—","Direction=H","UseDPDF=Y")</f>
        <v>#NAME?</v>
      </c>
      <c r="CV496" s="1" t="e">
        <f ca="1">_xll.BDH($C$478,"ALTMAN_Z_SCORE","FQ3 2017","FQ3 2017","Currency=INR","Period=FQ","BEST_FPERIOD_OVERRIDE=FQ","FILING_STATUS=OR","EQY_CONSOLIDATED=Y","Sort=A","Dates=H","DateFormat=P","Fill=—","Direction=H","UseDPDF=Y")</f>
        <v>#NAME?</v>
      </c>
      <c r="CW496" s="3" t="e">
        <f ca="1">_xll.BDH($C$478,"ACCT_RCV_TURN","FQ3 2017","FQ3 2017","Currency=INR","Period=FQ","BEST_FPERIOD_OVERRIDE=FQ","FILING_STATUS=OR","EQY_CONSOLIDATED=Y","FA_ADJUSTED=GAAP","Sort=A","Dates=H","DateFormat=P","Fill=—","Direction=H","UseDPDF=Y")</f>
        <v>#NAME?</v>
      </c>
      <c r="CX496" s="1" t="e">
        <f ca="1">_xll.BDH($C$478,"ACCT_RCV_DAYS","FQ3 2017","FQ3 2017","Currency=INR","Period=FQ","BEST_FPERIOD_OVERRIDE=FQ","FILING_STATUS=OR","EQY_CONSOLIDATED=Y","FA_ADJUSTED=GAAP","Sort=A","Dates=H","DateFormat=P","Fill=—","Direction=H","UseDPDF=Y")</f>
        <v>#NAME?</v>
      </c>
      <c r="CY496" s="3" t="e">
        <f ca="1">_xll.BDH($C$478,"INVENT_TURN","FQ3 2017","FQ3 2017","Currency=INR","Period=FQ","BEST_FPERIOD_OVERRIDE=FQ","FILING_STATUS=OR","EQY_CONSOLIDATED=Y","FA_ADJUSTED=GAAP","Sort=A","Dates=H","DateFormat=P","Fill=—","Direction=H","UseDPDF=Y")</f>
        <v>#NAME?</v>
      </c>
      <c r="CZ496" s="1" t="e">
        <f ca="1">_xll.BDH($C$478,"INVENT_DAYS","FQ3 2017","FQ3 2017","Currency=INR","Period=FQ","BEST_FPERIOD_OVERRIDE=FQ","FILING_STATUS=OR","EQY_CONSOLIDATED=Y","FA_ADJUSTED=GAAP","Sort=A","Dates=H","DateFormat=P","Fill=—","Direction=H","UseDPDF=Y")</f>
        <v>#NAME?</v>
      </c>
      <c r="DA496" s="3" t="e">
        <f ca="1">_xll.BDH($C$478,"ACCOUNTS_PAYABLE_TURNOVER","FQ3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96" s="1" t="e">
        <f ca="1">_xll.BDH($C$478,"ACCOUNTS_PAYABLE_TURNOVER_DAYS","FQ3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96" s="3" t="e">
        <f ca="1">_xll.BDH($C$478,"CASH_CONVERSION_CYCLE","FQ3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96" s="3" t="e">
        <f ca="1">_xll.BDH($C$478,"INV_TO_CASH_DAYS","FQ3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496" s="4" t="e">
        <f ca="1">_xll.BDH($C$478,"BS_INVENTORIES","FQ3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496" s="2" t="e">
        <f ca="1">_xll.BDH($C$478,"INVTRY_RAW_MATERIALS","FQ3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96" s="2" t="e">
        <f ca="1">_xll.BDH($C$478,"INVTRY_IN_PROGRESS","FQ3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96" s="2" t="e">
        <f ca="1">_xll.BDH($C$478,"INVTRY_FINISHED_GOODS","FQ3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96" s="2" t="e">
        <f ca="1">_xll.BDH($C$478,"BS_OTHER_INV","FQ3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97" spans="1:113" x14ac:dyDescent="0.3">
      <c r="A497" s="6"/>
      <c r="B497" s="6"/>
      <c r="C497" s="6"/>
      <c r="D497" s="6"/>
      <c r="E497" t="s">
        <v>7</v>
      </c>
      <c r="F497" t="e">
        <f ca="1">_xll.BDH($C$478,"RETURN_COM_EQY","FQ4 2017","FQ4 2017","Currency=INR","Period=FQ","BEST_FPERIOD_OVERRIDE=FQ","FILING_STATUS=OR","EQY_CONSOLIDATED=Y","FA_ADJUSTED=GAAP","Sort=A","Dates=H","DateFormat=P","Fill=—","Direction=H","UseDPDF=Y")</f>
        <v>#NAME?</v>
      </c>
      <c r="G497" t="e">
        <f ca="1">_xll.BDH($C$478,"RETURN_ON_ASSET","FQ4 2017","FQ4 2017","Currency=INR","Period=FQ","BEST_FPERIOD_OVERRIDE=FQ","FILING_STATUS=OR","EQY_CONSOLIDATED=Y","FA_ADJUSTED=GAAP","Sort=A","Dates=H","DateFormat=P","Fill=—","Direction=H","UseDPDF=Y")</f>
        <v>#NAME?</v>
      </c>
      <c r="H497" t="e">
        <f ca="1">_xll.BDH($C$478,"RETURN_ON_CAP","FQ4 2017","FQ4 2017","Currency=INR","Period=FQ","BEST_FPERIOD_OVERRIDE=FQ","FILING_STATUS=OR","EQY_CONSOLIDATED=Y","FA_ADJUSTED=GAAP","Sort=A","Dates=H","DateFormat=P","Fill=—","Direction=H","UseDPDF=Y")</f>
        <v>#NAME?</v>
      </c>
      <c r="I497" t="e">
        <f ca="1">_xll.BDH($C$478,"RETURN_ON_INV_CAPITAL","FQ4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97" t="e">
        <f ca="1">_xll.BDH($C$478,"EBITDA_TO_REVENUE","FQ4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497" t="e">
        <f ca="1">_xll.BDH($C$478,"OPER_MARGIN","FQ4 2017","FQ4 2017","Currency=INR","Period=FQ","BEST_FPERIOD_OVERRIDE=FQ","FILING_STATUS=OR","EQY_CONSOLIDATED=Y","FA_ADJUSTED=GAAP","Sort=A","Dates=H","DateFormat=P","Fill=—","Direction=H","UseDPDF=Y")</f>
        <v>#NAME?</v>
      </c>
      <c r="L497" t="e">
        <f ca="1">_xll.BDH($C$478,"INCREMENTAL_OPERATING_MARGIN","FQ4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97" t="e">
        <f ca="1">_xll.BDH($C$478,"PRETAX_INC_TO_NET_SALES","FQ4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97" t="e">
        <f ca="1">_xll.BDH($C$478,"INC_BEF_XO_ITEMS_TO_NET_SALES","FQ4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97" t="e">
        <f ca="1">_xll.BDH($C$478,"PROF_MARGIN","FQ4 2017","FQ4 2017","Currency=INR","Period=FQ","BEST_FPERIOD_OVERRIDE=FQ","FILING_STATUS=OR","EQY_CONSOLIDATED=Y","FA_ADJUSTED=GAAP","Sort=A","Dates=H","DateFormat=P","Fill=—","Direction=H","UseDPDF=Y")</f>
        <v>#NAME?</v>
      </c>
      <c r="P497" t="e">
        <f ca="1">_xll.BDH($C$478,"NET_INCOME_TO_COMMON_MARGIN","FQ4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97" t="e">
        <f ca="1">_xll.BDH($C$478,"EFF_TAX_RATE","FQ4 2017","FQ4 2017","Currency=INR","Period=FQ","BEST_FPERIOD_OVERRIDE=FQ","FILING_STATUS=OR","EQY_CONSOLIDATED=Y","FA_ADJUSTED=GAAP","Sort=A","Dates=H","DateFormat=P","Fill=—","Direction=H","UseDPDF=Y")</f>
        <v>#NAME?</v>
      </c>
      <c r="R497" t="e">
        <f ca="1">_xll.BDH($C$478,"DVD_PAYOUT_RATIO","FQ4 2017","FQ4 2017","Currency=INR","Period=FQ","BEST_FPERIOD_OVERRIDE=FQ","FILING_STATUS=OR","EQY_CONSOLIDATED=Y","FA_ADJUSTED=GAAP","Sort=A","Dates=H","DateFormat=P","Fill=—","Direction=H","UseDPDF=Y")</f>
        <v>#NAME?</v>
      </c>
      <c r="S497" t="e">
        <f ca="1">_xll.BDH($C$478,"SUSTAIN_GROWTH_RT","FQ4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497" s="1" t="e">
        <f ca="1">_xll.BDH($C$478,"SALES_GROWTH","FQ4 2017","FQ4 2017","Currency=INR","Period=FQ","BEST_FPERIOD_OVERRIDE=FQ","FILING_STATUS=OR","EQY_CONSOLIDATED=Y","FA_ADJUSTED=GAAP","Sort=A","Dates=H","DateFormat=P","Fill=—","Direction=H","UseDPDF=Y")</f>
        <v>#NAME?</v>
      </c>
      <c r="U497" s="1" t="e">
        <f ca="1">_xll.BDH($C$478,"EBITDA_GROWTH","FQ4 2017","FQ4 2017","Currency=INR","Period=FQ","BEST_FPERIOD_OVERRIDE=FQ","FILING_STATUS=OR","EQY_CONSOLIDATED=Y","FA_ADJUSTED=GAAP","Sort=A","Dates=H","DateFormat=P","Fill=—","Direction=H","UseDPDF=Y")</f>
        <v>#NAME?</v>
      </c>
      <c r="V497" s="1" t="e">
        <f ca="1">_xll.BDH($C$478,"OPER_INC_GROWTH","FQ4 2017","FQ4 2017","Currency=INR","Period=FQ","BEST_FPERIOD_OVERRIDE=FQ","FILING_STATUS=OR","EQY_CONSOLIDATED=Y","FA_ADJUSTED=GAAP","Sort=A","Dates=H","DateFormat=P","Fill=—","Direction=H","UseDPDF=Y")</f>
        <v>#NAME?</v>
      </c>
      <c r="W497" s="1" t="e">
        <f ca="1">_xll.BDH($C$478,"EARN_FOR_COM_GROWTH","FQ4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97" s="1" t="e">
        <f ca="1">_xll.BDH($C$478,"DILUTED_EPS_AFT_XO_ITEMS_GROWTH","FQ4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97" s="1" t="e">
        <f ca="1">_xll.BDH($C$478,"DIVIDEND_PER_SHARE_1_YEAR_GROWTH","FQ4 2017","FQ4 2017","Currency=INR","Period=FQ","BEST_FPERIOD_OVERRIDE=FQ","FILING_STATUS=OR","EQY_CONSOLIDATED=Y","Sort=A","Dates=H","DateFormat=P","Fill=—","Direction=H","UseDPDF=Y")</f>
        <v>#NAME?</v>
      </c>
      <c r="Z497" s="1" t="e">
        <f ca="1">_xll.BDH($C$478,"ACCOUNTS_RECEIVABLE_GROWTH","FQ4 2017","FQ4 2017","Currency=INR","Period=FQ","BEST_FPERIOD_OVERRIDE=FQ","FILING_STATUS=OR","EQY_CONSOLIDATED=Y","Sort=A","Dates=H","DateFormat=P","Fill=—","Direction=H","UseDPDF=Y")</f>
        <v>#NAME?</v>
      </c>
      <c r="AA497" s="1" t="e">
        <f ca="1">_xll.BDH($C$478,"INVENTORY_GROWTH","FQ4 2017","FQ4 2017","Currency=INR","Period=FQ","BEST_FPERIOD_OVERRIDE=FQ","FILING_STATUS=OR","EQY_CONSOLIDATED=Y","Sort=A","Dates=H","DateFormat=P","Fill=—","Direction=H","UseDPDF=Y")</f>
        <v>#NAME?</v>
      </c>
      <c r="AB497" s="1" t="e">
        <f ca="1">_xll.BDH($C$478,"NET_FIXED_ASSETS_1_YEAR_GROWTH","FQ4 2017","FQ4 2017","Currency=INR","Period=FQ","BEST_FPERIOD_OVERRIDE=FQ","FILING_STATUS=OR","EQY_CONSOLIDATED=Y","Sort=A","Dates=H","DateFormat=P","Fill=—","Direction=H","UseDPDF=Y")</f>
        <v>#NAME?</v>
      </c>
      <c r="AC497" s="1" t="e">
        <f ca="1">_xll.BDH($C$478,"ASSET_GROWTH","FQ4 2017","FQ4 2017","Currency=INR","Period=FQ","BEST_FPERIOD_OVERRIDE=FQ","FILING_STATUS=OR","EQY_CONSOLIDATED=Y","Sort=A","Dates=H","DateFormat=P","Fill=—","Direction=H","UseDPDF=Y")</f>
        <v>#NAME?</v>
      </c>
      <c r="AD497" s="1" t="e">
        <f ca="1">_xll.BDH($C$478,"MODIFIED_WORK_CAP_GROWTH","FQ4 2017","FQ4 2017","Currency=INR","Period=FQ","BEST_FPERIOD_OVERRIDE=FQ","FILING_STATUS=OR","EQY_CONSOLIDATED=Y","Sort=A","Dates=H","DateFormat=P","Fill=—","Direction=H","UseDPDF=Y")</f>
        <v>#NAME?</v>
      </c>
      <c r="AE497" s="1" t="e">
        <f ca="1">_xll.BDH($C$478,"WORK_CAP_GROWTH","FQ4 2017","FQ4 2017","Currency=INR","Period=FQ","BEST_FPERIOD_OVERRIDE=FQ","FILING_STATUS=OR","EQY_CONSOLIDATED=Y","Sort=A","Dates=H","DateFormat=P","Fill=—","Direction=H","UseDPDF=Y")</f>
        <v>#NAME?</v>
      </c>
      <c r="AF497" s="1" t="e">
        <f ca="1">_xll.BDH($C$478,"ACCOUNTS_PAYABLE_GROWTH_1YR","FQ4 2017","FQ4 2017","Currency=INR","Period=FQ","BEST_FPERIOD_OVERRIDE=FQ","FILING_STATUS=OR","EQY_CONSOLIDATED=Y","Sort=A","Dates=H","DateFormat=P","Fill=—","Direction=H","UseDPDF=Y")</f>
        <v>#NAME?</v>
      </c>
      <c r="AG497" s="1" t="e">
        <f ca="1">_xll.BDH($C$478,"SHORT_TERM_DEBT_1_YEAR_GROWTH","FQ4 2017","FQ4 2017","Currency=INR","Period=FQ","BEST_FPERIOD_OVERRIDE=FQ","FILING_STATUS=OR","EQY_CONSOLIDATED=Y","Sort=A","Dates=H","DateFormat=P","Fill=—","Direction=H","UseDPDF=Y")</f>
        <v>#NAME?</v>
      </c>
      <c r="AH497" s="1" t="e">
        <f ca="1">_xll.BDH($C$478,"TOTAL_DEBT_1_YEAR_GROWTH","FQ4 2017","FQ4 2017","Currency=INR","Period=FQ","BEST_FPERIOD_OVERRIDE=FQ","FILING_STATUS=OR","EQY_CONSOLIDATED=Y","Sort=A","Dates=H","DateFormat=P","Fill=—","Direction=H","UseDPDF=Y")</f>
        <v>#NAME?</v>
      </c>
      <c r="AI497" s="1" t="e">
        <f ca="1">_xll.BDH($C$478,"TOTAL_EQUITY_1_YEAR_GROWTH","FQ4 2017","FQ4 2017","Currency=INR","Period=FQ","BEST_FPERIOD_OVERRIDE=FQ","FILING_STATUS=OR","EQY_CONSOLIDATED=Y","Sort=A","Dates=H","DateFormat=P","Fill=—","Direction=H","UseDPDF=Y")</f>
        <v>#NAME?</v>
      </c>
      <c r="AJ497" s="1" t="e">
        <f ca="1">_xll.BDH($C$478,"GROWTH_IN_CAP","FQ4 2017","FQ4 2017","Currency=INR","Period=FQ","BEST_FPERIOD_OVERRIDE=FQ","FILING_STATUS=OR","EQY_CONSOLIDATED=Y","Sort=A","Dates=H","DateFormat=P","Fill=—","Direction=H","UseDPDF=Y")</f>
        <v>#NAME?</v>
      </c>
      <c r="AK497" s="1" t="e">
        <f ca="1">_xll.BDH($C$478,"BVPS_GROWTH","FQ4 2017","FQ4 2017","Currency=INR","Period=FQ","BEST_FPERIOD_OVERRIDE=FQ","FILING_STATUS=OR","EQY_CONSOLIDATED=Y","Sort=A","Dates=H","DateFormat=P","Fill=—","Direction=H","UseDPDF=Y")</f>
        <v>#NAME?</v>
      </c>
      <c r="AL497" s="1" t="e">
        <f ca="1">_xll.BDH($C$478,"CASH_FLOW_GROWTH","FQ4 2017","FQ4 2017","Currency=INR","Period=FQ","BEST_FPERIOD_OVERRIDE=FQ","FILING_STATUS=OR","EQY_CONSOLIDATED=Y","Sort=A","Dates=H","DateFormat=P","Fill=—","Direction=H","UseDPDF=Y")</f>
        <v>#NAME?</v>
      </c>
      <c r="AM497" s="1" t="e">
        <f ca="1">_xll.BDH($C$478,"GEO_GROW_NET_SALES","FQ4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97" s="1" t="e">
        <f ca="1">_xll.BDH($C$478,"GEO_GROW_EBITDA","FQ4 2017","FQ4 2017","Currency=INR","Period=FQ","BEST_FPERIOD_OVERRIDE=FQ","FILING_STATUS=OR","EQY_CONSOLIDATED=Y","FA_ADJUSTED=GAAP","Sort=A","Dates=H","DateFormat=P","Fill=—","Direction=H","UseDPDF=Y")</f>
        <v>#NAME?</v>
      </c>
      <c r="AO497" s="1" t="e">
        <f ca="1">_xll.BDH($C$478,"GEO_GROW_OPER_INC","FQ4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97" s="1" t="e">
        <f ca="1">_xll.BDH($C$478,"NET_INCOME_TO_COMMON_5_YR_GROWTH","FQ4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97" s="1" t="e">
        <f ca="1">_xll.BDH($C$478,"5Y_GEO_GROWTH_DILUTED_EPS","FQ4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97" s="1" t="e">
        <f ca="1">_xll.BDH($C$478,"GEO_GROW_DVD_PER_SH","FQ4 2017","FQ4 2017","Currency=INR","Period=FQ","BEST_FPERIOD_OVERRIDE=FQ","FILING_STATUS=OR","EQY_CONSOLIDATED=Y","Sort=A","Dates=H","DateFormat=P","Fill=—","Direction=H","UseDPDF=Y")</f>
        <v>#NAME?</v>
      </c>
      <c r="AS497" s="1" t="e">
        <f ca="1">_xll.BDH($C$478,"ACCOUNTS_RECEIVABLE_5_YR_GROWTH","FQ4 2017","FQ4 2017","Currency=INR","Period=FQ","BEST_FPERIOD_OVERRIDE=FQ","FILING_STATUS=OR","EQY_CONSOLIDATED=Y","Sort=A","Dates=H","DateFormat=P","Fill=—","Direction=H","UseDPDF=Y")</f>
        <v>#NAME?</v>
      </c>
      <c r="AT497" s="1" t="e">
        <f ca="1">_xll.BDH($C$478,"INVENTORY_5_YEAR_GROWTH","FQ4 2017","FQ4 2017","Currency=INR","Period=FQ","BEST_FPERIOD_OVERRIDE=FQ","FILING_STATUS=OR","EQY_CONSOLIDATED=Y","Sort=A","Dates=H","DateFormat=P","Fill=—","Direction=H","UseDPDF=Y")</f>
        <v>#NAME?</v>
      </c>
      <c r="AU497" s="1" t="e">
        <f ca="1">_xll.BDH($C$478,"NET_FIXED_ASSETS_5_YEAR_GROWTH","FQ4 2017","FQ4 2017","Currency=INR","Period=FQ","BEST_FPERIOD_OVERRIDE=FQ","FILING_STATUS=OR","EQY_CONSOLIDATED=Y","Sort=A","Dates=H","DateFormat=P","Fill=—","Direction=H","UseDPDF=Y")</f>
        <v>#NAME?</v>
      </c>
      <c r="AV497" s="1" t="e">
        <f ca="1">_xll.BDH($C$478,"GEO_GROW_TOT_ASSET","FQ4 2017","FQ4 2017","Currency=INR","Period=FQ","BEST_FPERIOD_OVERRIDE=FQ","FILING_STATUS=OR","EQY_CONSOLIDATED=Y","Sort=A","Dates=H","DateFormat=P","Fill=—","Direction=H","UseDPDF=Y")</f>
        <v>#NAME?</v>
      </c>
      <c r="AW497" s="1" t="e">
        <f ca="1">_xll.BDH($C$478,"MODIFIED_WORKING_CPTL_5YR_GRWTH","FQ4 2017","FQ4 2017","Currency=INR","Period=FQ","BEST_FPERIOD_OVERRIDE=FQ","FILING_STATUS=OR","EQY_CONSOLIDATED=Y","Sort=A","Dates=H","DateFormat=P","Fill=—","Direction=H","UseDPDF=Y")</f>
        <v>#NAME?</v>
      </c>
      <c r="AX497" s="1" t="e">
        <f ca="1">_xll.BDH($C$478,"WORKING_CAPITAL_5_YEAR_GROWTH","FQ4 2017","FQ4 2017","Currency=INR","Period=FQ","BEST_FPERIOD_OVERRIDE=FQ","FILING_STATUS=OR","EQY_CONSOLIDATED=Y","Sort=A","Dates=H","DateFormat=P","Fill=—","Direction=H","UseDPDF=Y")</f>
        <v>#NAME?</v>
      </c>
      <c r="AY497" s="1" t="e">
        <f ca="1">_xll.BDH($C$478,"ACCOUNTS_PAYABLE_5_YEAR_GROWTH","FQ4 2017","FQ4 2017","Currency=INR","Period=FQ","BEST_FPERIOD_OVERRIDE=FQ","FILING_STATUS=OR","EQY_CONSOLIDATED=Y","Sort=A","Dates=H","DateFormat=P","Fill=—","Direction=H","UseDPDF=Y")</f>
        <v>#NAME?</v>
      </c>
      <c r="AZ497" s="1" t="e">
        <f ca="1">_xll.BDH($C$478,"SHORT_TERM_DEBT_5_YEAR_GROWTH","FQ4 2017","FQ4 2017","Currency=INR","Period=FQ","BEST_FPERIOD_OVERRIDE=FQ","FILING_STATUS=OR","EQY_CONSOLIDATED=Y","Sort=A","Dates=H","DateFormat=P","Fill=—","Direction=H","UseDPDF=Y")</f>
        <v>#NAME?</v>
      </c>
      <c r="BA497" s="1" t="e">
        <f ca="1">_xll.BDH($C$478,"TOTAL_DEBT_5_YEAR_GROWTH","FQ4 2017","FQ4 2017","Currency=INR","Period=FQ","BEST_FPERIOD_OVERRIDE=FQ","FILING_STATUS=OR","EQY_CONSOLIDATED=Y","Sort=A","Dates=H","DateFormat=P","Fill=—","Direction=H","UseDPDF=Y")</f>
        <v>#NAME?</v>
      </c>
      <c r="BB497" s="1" t="e">
        <f ca="1">_xll.BDH($C$478,"GEO_GROW_TOT_SHRHLDR_EQY","FQ4 2017","FQ4 2017","Currency=INR","Period=FQ","BEST_FPERIOD_OVERRIDE=FQ","FILING_STATUS=OR","EQY_CONSOLIDATED=Y","Sort=A","Dates=H","DateFormat=P","Fill=—","Direction=H","UseDPDF=Y")</f>
        <v>#NAME?</v>
      </c>
      <c r="BC497" s="1" t="e">
        <f ca="1">_xll.BDH($C$478,"TOTAL_CAPITAL_5_YEAR_GROWTH","FQ4 2017","FQ4 2017","Currency=INR","Period=FQ","BEST_FPERIOD_OVERRIDE=FQ","FILING_STATUS=OR","EQY_CONSOLIDATED=Y","Sort=A","Dates=H","DateFormat=P","Fill=—","Direction=H","UseDPDF=Y")</f>
        <v>#NAME?</v>
      </c>
      <c r="BD497" s="1" t="e">
        <f ca="1">_xll.BDH($C$478,"GEO_GROW_BOOK_VAL","FQ4 2017","FQ4 2017","Currency=INR","Period=FQ","BEST_FPERIOD_OVERRIDE=FQ","FILING_STATUS=OR","EQY_CONSOLIDATED=Y","Sort=A","Dates=H","DateFormat=P","Fill=—","Direction=H","UseDPDF=Y")</f>
        <v>#NAME?</v>
      </c>
      <c r="BE497" s="1" t="e">
        <f ca="1">_xll.BDH($C$478,"GEO_GROW_CASH_OPER_ACT","FQ4 2017","FQ4 2017","Currency=INR","Period=FQ","BEST_FPERIOD_OVERRIDE=FQ","FILING_STATUS=OR","EQY_CONSOLIDATED=Y","Sort=A","Dates=H","DateFormat=P","Fill=—","Direction=H","UseDPDF=Y")</f>
        <v>#NAME?</v>
      </c>
      <c r="BF497" s="1" t="e">
        <f ca="1">_xll.BDH($C$478,"REVENUE_SEQUENTIAL_GROWTH","FQ4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97" s="1" t="e">
        <f ca="1">_xll.BDH($C$478,"EBITDA_SEQUENTIAL_GROWTH","FQ4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97" s="1" t="e">
        <f ca="1">_xll.BDH($C$478,"OPERATING_INCOME_SEQ_GROWTH","FQ4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97" s="1" t="e">
        <f ca="1">_xll.BDH($C$478,"NET_INCOME_TO_COMMON_SEQ_GROWTH","FQ4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97" s="1" t="e">
        <f ca="1">_xll.BDH($C$478,"EPS_DILUTED_SEQUENTIAL_GROWTH","FQ4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97" s="1" t="e">
        <f ca="1">_xll.BDH($C$478,"DPS_SEQUENTIAL_GROWTH","FQ4 2017","FQ4 2017","Currency=INR","Period=FQ","BEST_FPERIOD_OVERRIDE=FQ","FILING_STATUS=OR","EQY_CONSOLIDATED=Y","Sort=A","Dates=H","DateFormat=P","Fill=—","Direction=H","UseDPDF=Y")</f>
        <v>#NAME?</v>
      </c>
      <c r="BL497" s="1" t="e">
        <f ca="1">_xll.BDH($C$478,"ACCOUNTS_RECEIVABLE_SEQ_GROWTH","FQ4 2017","FQ4 2017","Currency=INR","Period=FQ","BEST_FPERIOD_OVERRIDE=FQ","FILING_STATUS=OR","EQY_CONSOLIDATED=Y","Sort=A","Dates=H","DateFormat=P","Fill=—","Direction=H","UseDPDF=Y")</f>
        <v>#NAME?</v>
      </c>
      <c r="BM497" s="1" t="e">
        <f ca="1">_xll.BDH($C$478,"INVENTORY_SEQUENTIAL_GROWTH","FQ4 2017","FQ4 2017","Currency=INR","Period=FQ","BEST_FPERIOD_OVERRIDE=FQ","FILING_STATUS=OR","EQY_CONSOLIDATED=Y","Sort=A","Dates=H","DateFormat=P","Fill=—","Direction=H","UseDPDF=Y")</f>
        <v>#NAME?</v>
      </c>
      <c r="BN497" s="1" t="e">
        <f ca="1">_xll.BDH($C$478,"FIXED_ASSETS_SEQUENTIAL_GROWTH","FQ4 2017","FQ4 2017","Currency=INR","Period=FQ","BEST_FPERIOD_OVERRIDE=FQ","FILING_STATUS=OR","EQY_CONSOLIDATED=Y","Sort=A","Dates=H","DateFormat=P","Fill=—","Direction=H","UseDPDF=Y")</f>
        <v>#NAME?</v>
      </c>
      <c r="BO497" s="1" t="e">
        <f ca="1">_xll.BDH($C$478,"TOTAL_ASSETS_SEQUENTIAL_GROWTH","FQ4 2017","FQ4 2017","Currency=INR","Period=FQ","BEST_FPERIOD_OVERRIDE=FQ","FILING_STATUS=OR","EQY_CONSOLIDATED=Y","Sort=A","Dates=H","DateFormat=P","Fill=—","Direction=H","UseDPDF=Y")</f>
        <v>#NAME?</v>
      </c>
      <c r="BP497" s="1" t="e">
        <f ca="1">_xll.BDH($C$478,"MODIFIED_WORKING_CPTL_SEQ_GRWTH","FQ4 2017","FQ4 2017","Currency=INR","Period=FQ","BEST_FPERIOD_OVERRIDE=FQ","FILING_STATUS=OR","EQY_CONSOLIDATED=Y","Sort=A","Dates=H","DateFormat=P","Fill=—","Direction=H","UseDPDF=Y")</f>
        <v>#NAME?</v>
      </c>
      <c r="BQ497" s="1" t="e">
        <f ca="1">_xll.BDH($C$478,"WORKING_CAPITAL_SEQ_GROWTH","FQ4 2017","FQ4 2017","Currency=INR","Period=FQ","BEST_FPERIOD_OVERRIDE=FQ","FILING_STATUS=OR","EQY_CONSOLIDATED=Y","Sort=A","Dates=H","DateFormat=P","Fill=—","Direction=H","UseDPDF=Y")</f>
        <v>#NAME?</v>
      </c>
      <c r="BR497" s="1" t="e">
        <f ca="1">_xll.BDH($C$478,"ACCOUNTS_PAYABLE_SEQ_GROWTH","FQ4 2017","FQ4 2017","Currency=INR","Period=FQ","BEST_FPERIOD_OVERRIDE=FQ","FILING_STATUS=OR","EQY_CONSOLIDATED=Y","Sort=A","Dates=H","DateFormat=P","Fill=—","Direction=H","UseDPDF=Y")</f>
        <v>#NAME?</v>
      </c>
      <c r="BS497" s="1" t="e">
        <f ca="1">_xll.BDH($C$478,"ST_DEBT_SEQUENTIAL_GROWTH","FQ4 2017","FQ4 2017","Currency=INR","Period=FQ","BEST_FPERIOD_OVERRIDE=FQ","FILING_STATUS=OR","EQY_CONSOLIDATED=Y","Sort=A","Dates=H","DateFormat=P","Fill=—","Direction=H","UseDPDF=Y")</f>
        <v>#NAME?</v>
      </c>
      <c r="BT497" s="1" t="e">
        <f ca="1">_xll.BDH($C$478,"TOTAL_DEBT_SEQUENTIAL_GROWTH","FQ4 2017","FQ4 2017","Currency=INR","Period=FQ","BEST_FPERIOD_OVERRIDE=FQ","FILING_STATUS=OR","EQY_CONSOLIDATED=Y","Sort=A","Dates=H","DateFormat=P","Fill=—","Direction=H","UseDPDF=Y")</f>
        <v>#NAME?</v>
      </c>
      <c r="BU497" s="1" t="e">
        <f ca="1">_xll.BDH($C$478,"TOTAL_EQUITY_SEQUENTIAL_GROWTH","FQ4 2017","FQ4 2017","Currency=INR","Period=FQ","BEST_FPERIOD_OVERRIDE=FQ","FILING_STATUS=OR","EQY_CONSOLIDATED=Y","Sort=A","Dates=H","DateFormat=P","Fill=—","Direction=H","UseDPDF=Y")</f>
        <v>#NAME?</v>
      </c>
      <c r="BV497" s="1" t="e">
        <f ca="1">_xll.BDH($C$478,"TOTAL_CAPITAL_SEQUENTIAL_GROWTH","FQ4 2017","FQ4 2017","Currency=INR","Period=FQ","BEST_FPERIOD_OVERRIDE=FQ","FILING_STATUS=OR","EQY_CONSOLIDATED=Y","Sort=A","Dates=H","DateFormat=P","Fill=—","Direction=H","UseDPDF=Y")</f>
        <v>#NAME?</v>
      </c>
      <c r="BW497" s="1" t="e">
        <f ca="1">_xll.BDH($C$478,"BPS_SEQUENTIAL_GROWTH","FQ4 2017","FQ4 2017","Currency=INR","Period=FQ","BEST_FPERIOD_OVERRIDE=FQ","FILING_STATUS=OR","EQY_CONSOLIDATED=Y","Sort=A","Dates=H","DateFormat=P","Fill=—","Direction=H","UseDPDF=Y")</f>
        <v>#NAME?</v>
      </c>
      <c r="BX497" s="1" t="e">
        <f ca="1">_xll.BDH($C$478,"CFO_SEQUENTIAL_GROWTH","FQ4 2017","FQ4 2017","Currency=INR","Period=FQ","BEST_FPERIOD_OVERRIDE=FQ","FILING_STATUS=OR","EQY_CONSOLIDATED=Y","Sort=A","Dates=H","DateFormat=P","Fill=—","Direction=H","UseDPDF=Y")</f>
        <v>#NAME?</v>
      </c>
      <c r="BY497" s="2" t="e">
        <f ca="1">_xll.BDH($C$478,"SHORT_AND_LONG_TERM_DEBT","FQ4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97" s="2" t="e">
        <f ca="1">_xll.BDH($C$478,"BS_ST_BORROW","FQ4 2017","FQ4 2017","Currency=INR","Period=FQ","BEST_FPERIOD_OVERRIDE=FQ","FILING_STATUS=OR","EQY_CONSOLIDATED=Y","SCALING_FORMAT=MLN","Sort=A","Dates=H","DateFormat=P","Fill=—","Direction=H","UseDPDF=Y")</f>
        <v>#NAME?</v>
      </c>
      <c r="CA497" s="2" t="e">
        <f ca="1">_xll.BDH($C$478,"BS_LT_BORROW","FQ4 2017","FQ4 2017","Currency=INR","Period=FQ","BEST_FPERIOD_OVERRIDE=FQ","FILING_STATUS=OR","EQY_CONSOLIDATED=Y","SCALING_FORMAT=MLN","Sort=A","Dates=H","DateFormat=P","Fill=—","Direction=H","UseDPDF=Y")</f>
        <v>#NAME?</v>
      </c>
      <c r="CB497" s="1" t="e">
        <f ca="1">_xll.BDH($C$478,"TOT_DEBT_TO_EBITDA","FQ4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97" s="1" t="e">
        <f ca="1">_xll.BDH($C$478,"NET_DEBT_TO_EBITDA","FQ4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97" s="1" t="e">
        <f ca="1">_xll.BDH($C$478,"TOTAL_DEBT_TO_EBIT","FQ4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97" s="1" t="e">
        <f ca="1">_xll.BDH($C$478,"NET_DEBT_TO_EBIT","FQ4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497" s="1" t="e">
        <f ca="1">_xll.BDH($C$478,"EBITDA_TO_INTEREST_EXPN","FQ4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97" s="1" t="e">
        <f ca="1">_xll.BDH($C$478,"COM_EQY_TO_TOT_ASSET","FQ4 2017","FQ4 2017","Currency=INR","Period=FQ","BEST_FPERIOD_OVERRIDE=FQ","FILING_STATUS=OR","EQY_CONSOLIDATED=Y","Sort=A","Dates=H","DateFormat=P","Fill=—","Direction=H","UseDPDF=Y")</f>
        <v>#NAME?</v>
      </c>
      <c r="CH497" s="1" t="e">
        <f ca="1">_xll.BDH($C$478,"LT_DEBT_TO_TOT_EQY","FQ4 2017","FQ4 2017","Currency=INR","Period=FQ","BEST_FPERIOD_OVERRIDE=FQ","FILING_STATUS=OR","EQY_CONSOLIDATED=Y","Sort=A","Dates=H","DateFormat=P","Fill=—","Direction=H","UseDPDF=Y")</f>
        <v>#NAME?</v>
      </c>
      <c r="CI497" s="1" t="e">
        <f ca="1">_xll.BDH($C$478,"LT_DEBT_TO_TOT_CAP","FQ4 2017","FQ4 2017","Currency=INR","Period=FQ","BEST_FPERIOD_OVERRIDE=FQ","FILING_STATUS=OR","EQY_CONSOLIDATED=Y","Sort=A","Dates=H","DateFormat=P","Fill=—","Direction=H","UseDPDF=Y")</f>
        <v>#NAME?</v>
      </c>
      <c r="CJ497" s="1" t="e">
        <f ca="1">_xll.BDH($C$478,"LT_DEBT_TO_TOT_ASSET","FQ4 2017","FQ4 2017","Currency=INR","Period=FQ","BEST_FPERIOD_OVERRIDE=FQ","FILING_STATUS=OR","EQY_CONSOLIDATED=Y","Sort=A","Dates=H","DateFormat=P","Fill=—","Direction=H","UseDPDF=Y")</f>
        <v>#NAME?</v>
      </c>
      <c r="CK497" s="1" t="e">
        <f ca="1">_xll.BDH($C$478,"TOT_DEBT_TO_TOT_EQY","FQ4 2017","FQ4 2017","Currency=INR","Period=FQ","BEST_FPERIOD_OVERRIDE=FQ","FILING_STATUS=OR","EQY_CONSOLIDATED=Y","Sort=A","Dates=H","DateFormat=P","Fill=—","Direction=H","UseDPDF=Y")</f>
        <v>#NAME?</v>
      </c>
      <c r="CL497" s="1" t="e">
        <f ca="1">_xll.BDH($C$478,"TOT_DEBT_TO_TOT_CAP","FQ4 2017","FQ4 2017","Currency=INR","Period=FQ","BEST_FPERIOD_OVERRIDE=FQ","FILING_STATUS=OR","EQY_CONSOLIDATED=Y","Sort=A","Dates=H","DateFormat=P","Fill=—","Direction=H","UseDPDF=Y")</f>
        <v>#NAME?</v>
      </c>
      <c r="CM497" s="1" t="e">
        <f ca="1">_xll.BDH($C$478,"TOT_DEBT_TO_TOT_ASSET","FQ4 2017","FQ4 2017","Currency=INR","Period=FQ","BEST_FPERIOD_OVERRIDE=FQ","FILING_STATUS=OR","EQY_CONSOLIDATED=Y","Sort=A","Dates=H","DateFormat=P","Fill=—","Direction=H","UseDPDF=Y")</f>
        <v>#NAME?</v>
      </c>
      <c r="CN497" s="1" t="e">
        <f ca="1">_xll.BDH($C$478,"NET_DEBT_TO_SHRHLDR_EQTY","FQ4 2017","FQ4 2017","Currency=INR","Period=FQ","BEST_FPERIOD_OVERRIDE=FQ","FILING_STATUS=OR","EQY_CONSOLIDATED=Y","Sort=A","Dates=H","DateFormat=P","Fill=—","Direction=H","UseDPDF=Y")</f>
        <v>#NAME?</v>
      </c>
      <c r="CO497" s="1" t="e">
        <f ca="1">_xll.BDH($C$478,"NET_DEBT_%_CAPITAL","FQ4 2017","FQ4 2017","Currency=INR","Period=FQ","BEST_FPERIOD_OVERRIDE=FQ","FILING_STATUS=OR","EQY_CONSOLIDATED=Y","Sort=A","Dates=H","DateFormat=P","Fill=—","Direction=H","UseDPDF=Y")</f>
        <v>#NAME?</v>
      </c>
      <c r="CP497" s="2" t="e">
        <f ca="1">_xll.BDH($C$478,"EBITDA","FQ4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97" s="2" t="e">
        <f ca="1">_xll.BDH($C$478,"EBITDA_AFTER_CAPEX","FQ4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97" s="2" t="e">
        <f ca="1">_xll.BDH($C$478,"IS_OPER_INC","FQ4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97" s="1" t="e">
        <f ca="1">_xll.BDH($C$478,"CASH_RATIO","FQ4 2017","FQ4 2017","Currency=INR","Period=FQ","BEST_FPERIOD_OVERRIDE=FQ","FILING_STATUS=OR","EQY_CONSOLIDATED=Y","Sort=A","Dates=H","DateFormat=P","Fill=—","Direction=H","UseDPDF=Y")</f>
        <v>#NAME?</v>
      </c>
      <c r="CT497" s="1" t="e">
        <f ca="1">_xll.BDH($C$478,"CUR_RATIO","FQ4 2017","FQ4 2017","Currency=INR","Period=FQ","BEST_FPERIOD_OVERRIDE=FQ","FILING_STATUS=OR","EQY_CONSOLIDATED=Y","Sort=A","Dates=H","DateFormat=P","Fill=—","Direction=H","UseDPDF=Y")</f>
        <v>#NAME?</v>
      </c>
      <c r="CU497" s="1" t="e">
        <f ca="1">_xll.BDH($C$478,"QUICK_RATIO","FQ4 2017","FQ4 2017","Currency=INR","Period=FQ","BEST_FPERIOD_OVERRIDE=FQ","FILING_STATUS=OR","EQY_CONSOLIDATED=Y","Sort=A","Dates=H","DateFormat=P","Fill=—","Direction=H","UseDPDF=Y")</f>
        <v>#NAME?</v>
      </c>
      <c r="CV497" s="1" t="e">
        <f ca="1">_xll.BDH($C$478,"ALTMAN_Z_SCORE","FQ4 2017","FQ4 2017","Currency=INR","Period=FQ","BEST_FPERIOD_OVERRIDE=FQ","FILING_STATUS=OR","EQY_CONSOLIDATED=Y","Sort=A","Dates=H","DateFormat=P","Fill=—","Direction=H","UseDPDF=Y")</f>
        <v>#NAME?</v>
      </c>
      <c r="CW497" s="3" t="e">
        <f ca="1">_xll.BDH($C$478,"ACCT_RCV_TURN","FQ4 2017","FQ4 2017","Currency=INR","Period=FQ","BEST_FPERIOD_OVERRIDE=FQ","FILING_STATUS=OR","EQY_CONSOLIDATED=Y","FA_ADJUSTED=GAAP","Sort=A","Dates=H","DateFormat=P","Fill=—","Direction=H","UseDPDF=Y")</f>
        <v>#NAME?</v>
      </c>
      <c r="CX497" s="1" t="e">
        <f ca="1">_xll.BDH($C$478,"ACCT_RCV_DAYS","FQ4 2017","FQ4 2017","Currency=INR","Period=FQ","BEST_FPERIOD_OVERRIDE=FQ","FILING_STATUS=OR","EQY_CONSOLIDATED=Y","FA_ADJUSTED=GAAP","Sort=A","Dates=H","DateFormat=P","Fill=—","Direction=H","UseDPDF=Y")</f>
        <v>#NAME?</v>
      </c>
      <c r="CY497" s="3" t="e">
        <f ca="1">_xll.BDH($C$478,"INVENT_TURN","FQ4 2017","FQ4 2017","Currency=INR","Period=FQ","BEST_FPERIOD_OVERRIDE=FQ","FILING_STATUS=OR","EQY_CONSOLIDATED=Y","FA_ADJUSTED=GAAP","Sort=A","Dates=H","DateFormat=P","Fill=—","Direction=H","UseDPDF=Y")</f>
        <v>#NAME?</v>
      </c>
      <c r="CZ497" s="1" t="e">
        <f ca="1">_xll.BDH($C$478,"INVENT_DAYS","FQ4 2017","FQ4 2017","Currency=INR","Period=FQ","BEST_FPERIOD_OVERRIDE=FQ","FILING_STATUS=OR","EQY_CONSOLIDATED=Y","FA_ADJUSTED=GAAP","Sort=A","Dates=H","DateFormat=P","Fill=—","Direction=H","UseDPDF=Y")</f>
        <v>#NAME?</v>
      </c>
      <c r="DA497" s="3" t="e">
        <f ca="1">_xll.BDH($C$478,"ACCOUNTS_PAYABLE_TURNOVER","FQ4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97" s="1" t="e">
        <f ca="1">_xll.BDH($C$478,"ACCOUNTS_PAYABLE_TURNOVER_DAYS","FQ4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97" s="3" t="e">
        <f ca="1">_xll.BDH($C$478,"CASH_CONVERSION_CYCLE","FQ4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97" s="3" t="e">
        <f ca="1">_xll.BDH($C$478,"INV_TO_CASH_DAYS","FQ4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497" s="4" t="e">
        <f ca="1">_xll.BDH($C$478,"BS_INVENTORIES","FQ4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497" s="2" t="e">
        <f ca="1">_xll.BDH($C$478,"INVTRY_RAW_MATERIALS","FQ4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97" s="2" t="e">
        <f ca="1">_xll.BDH($C$478,"INVTRY_IN_PROGRESS","FQ4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97" s="2" t="e">
        <f ca="1">_xll.BDH($C$478,"INVTRY_FINISHED_GOODS","FQ4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97" s="2" t="e">
        <f ca="1">_xll.BDH($C$478,"BS_OTHER_INV","FQ4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98" spans="1:113" x14ac:dyDescent="0.3">
      <c r="A498" s="6"/>
      <c r="B498" s="6"/>
      <c r="C498" s="6"/>
      <c r="D498" s="6" t="s">
        <v>11</v>
      </c>
      <c r="E498" t="s">
        <v>3</v>
      </c>
      <c r="F498" t="e">
        <f ca="1">_xll.BDH($C$478,"RETURN_COM_EQY","FY 2018","FY 2018","Currency=INR","Period=FY","BEST_FPERIOD_OVERRIDE=FY","FILING_STATUS=OR","EQY_CONSOLIDATED=Y","FA_ADJUSTED=GAAP","Sort=A","Dates=H","DateFormat=P","Fill=—","Direction=H","UseDPDF=Y")</f>
        <v>#NAME?</v>
      </c>
      <c r="G498" t="e">
        <f ca="1">_xll.BDH($C$478,"RETURN_ON_ASSET","FY 2018","FY 2018","Currency=INR","Period=FY","BEST_FPERIOD_OVERRIDE=FY","FILING_STATUS=OR","EQY_CONSOLIDATED=Y","FA_ADJUSTED=GAAP","Sort=A","Dates=H","DateFormat=P","Fill=—","Direction=H","UseDPDF=Y")</f>
        <v>#NAME?</v>
      </c>
      <c r="H498" t="e">
        <f ca="1">_xll.BDH($C$478,"RETURN_ON_CAP","FY 2018","FY 2018","Currency=INR","Period=FY","BEST_FPERIOD_OVERRIDE=FY","FILING_STATUS=OR","EQY_CONSOLIDATED=Y","FA_ADJUSTED=GAAP","Sort=A","Dates=H","DateFormat=P","Fill=—","Direction=H","UseDPDF=Y")</f>
        <v>#NAME?</v>
      </c>
      <c r="I498" t="e">
        <f ca="1">_xll.BDH($C$478,"RETURN_ON_INV_CAPITAL","FY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98" t="e">
        <f ca="1">_xll.BDH($C$478,"EBITDA_TO_REVENUE","FY 2018","FY 2018","Currency=INR","Period=FY","BEST_FPERIOD_OVERRIDE=FY","FILING_STATUS=OR","EQY_CONSOLIDATED=Y","FA_ADJUSTED=GAAP","Sort=A","Dates=H","DateFormat=P","Fill=—","Direction=H","UseDPDF=Y")</f>
        <v>#NAME?</v>
      </c>
      <c r="K498" t="e">
        <f ca="1">_xll.BDH($C$478,"OPER_MARGIN","FY 2018","FY 2018","Currency=INR","Period=FY","BEST_FPERIOD_OVERRIDE=FY","FILING_STATUS=OR","EQY_CONSOLIDATED=Y","FA_ADJUSTED=GAAP","Sort=A","Dates=H","DateFormat=P","Fill=—","Direction=H","UseDPDF=Y")</f>
        <v>#NAME?</v>
      </c>
      <c r="L498" t="e">
        <f ca="1">_xll.BDH($C$478,"INCREMENTAL_OPERATING_MARGIN","FY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98" t="e">
        <f ca="1">_xll.BDH($C$478,"PRETAX_INC_TO_NET_SALES","FY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98" t="e">
        <f ca="1">_xll.BDH($C$478,"INC_BEF_XO_ITEMS_TO_NET_SALES","FY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98" t="e">
        <f ca="1">_xll.BDH($C$478,"PROF_MARGIN","FY 2018","FY 2018","Currency=INR","Period=FY","BEST_FPERIOD_OVERRIDE=FY","FILING_STATUS=OR","EQY_CONSOLIDATED=Y","FA_ADJUSTED=GAAP","Sort=A","Dates=H","DateFormat=P","Fill=—","Direction=H","UseDPDF=Y")</f>
        <v>#NAME?</v>
      </c>
      <c r="P498" t="e">
        <f ca="1">_xll.BDH($C$478,"NET_INCOME_TO_COMMON_MARGIN","FY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98" t="e">
        <f ca="1">_xll.BDH($C$478,"EFF_TAX_RATE","FY 2018","FY 2018","Currency=INR","Period=FY","BEST_FPERIOD_OVERRIDE=FY","FILING_STATUS=OR","EQY_CONSOLIDATED=Y","FA_ADJUSTED=GAAP","Sort=A","Dates=H","DateFormat=P","Fill=—","Direction=H","UseDPDF=Y")</f>
        <v>#NAME?</v>
      </c>
      <c r="R498" t="e">
        <f ca="1">_xll.BDH($C$478,"DVD_PAYOUT_RATIO","FY 2018","FY 2018","Currency=INR","Period=FY","BEST_FPERIOD_OVERRIDE=FY","FILING_STATUS=OR","EQY_CONSOLIDATED=Y","FA_ADJUSTED=GAAP","Sort=A","Dates=H","DateFormat=P","Fill=—","Direction=H","UseDPDF=Y")</f>
        <v>#NAME?</v>
      </c>
      <c r="S498" t="e">
        <f ca="1">_xll.BDH($C$478,"SUSTAIN_GROWTH_RT","FY 2018","FY 2018","Currency=INR","Period=FY","BEST_FPERIOD_OVERRIDE=FY","FILING_STATUS=OR","EQY_CONSOLIDATED=Y","FA_ADJUSTED=GAAP","Sort=A","Dates=H","DateFormat=P","Fill=—","Direction=H","UseDPDF=Y")</f>
        <v>#NAME?</v>
      </c>
      <c r="T498" s="1" t="e">
        <f ca="1">_xll.BDH($C$478,"SALES_GROWTH","FY 2018","FY 2018","Currency=INR","Period=FY","BEST_FPERIOD_OVERRIDE=FY","FILING_STATUS=OR","EQY_CONSOLIDATED=Y","FA_ADJUSTED=GAAP","Sort=A","Dates=H","DateFormat=P","Fill=—","Direction=H","UseDPDF=Y")</f>
        <v>#NAME?</v>
      </c>
      <c r="U498" s="1" t="e">
        <f ca="1">_xll.BDH($C$478,"EBITDA_GROWTH","FY 2018","FY 2018","Currency=INR","Period=FY","BEST_FPERIOD_OVERRIDE=FY","FILING_STATUS=OR","EQY_CONSOLIDATED=Y","FA_ADJUSTED=GAAP","Sort=A","Dates=H","DateFormat=P","Fill=—","Direction=H","UseDPDF=Y")</f>
        <v>#NAME?</v>
      </c>
      <c r="V498" s="1" t="e">
        <f ca="1">_xll.BDH($C$478,"OPER_INC_GROWTH","FY 2018","FY 2018","Currency=INR","Period=FY","BEST_FPERIOD_OVERRIDE=FY","FILING_STATUS=OR","EQY_CONSOLIDATED=Y","FA_ADJUSTED=GAAP","Sort=A","Dates=H","DateFormat=P","Fill=—","Direction=H","UseDPDF=Y")</f>
        <v>#NAME?</v>
      </c>
      <c r="W498" s="1" t="e">
        <f ca="1">_xll.BDH($C$478,"EARN_FOR_COM_GROWTH","FY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498" s="1" t="e">
        <f ca="1">_xll.BDH($C$478,"DILUTED_EPS_AFT_XO_ITEMS_GROWTH","FY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98" s="1" t="e">
        <f ca="1">_xll.BDH($C$478,"DIVIDEND_PER_SHARE_1_YEAR_GROWTH","FY 2018","FY 2018","Currency=INR","Period=FY","BEST_FPERIOD_OVERRIDE=FY","FILING_STATUS=OR","EQY_CONSOLIDATED=Y","Sort=A","Dates=H","DateFormat=P","Fill=—","Direction=H","UseDPDF=Y")</f>
        <v>#NAME?</v>
      </c>
      <c r="Z498" s="1" t="e">
        <f ca="1">_xll.BDH($C$478,"ACCOUNTS_RECEIVABLE_GROWTH","FY 2018","FY 2018","Currency=INR","Period=FY","BEST_FPERIOD_OVERRIDE=FY","FILING_STATUS=OR","EQY_CONSOLIDATED=Y","Sort=A","Dates=H","DateFormat=P","Fill=—","Direction=H","UseDPDF=Y")</f>
        <v>#NAME?</v>
      </c>
      <c r="AA498" s="1" t="e">
        <f ca="1">_xll.BDH($C$478,"INVENTORY_GROWTH","FY 2018","FY 2018","Currency=INR","Period=FY","BEST_FPERIOD_OVERRIDE=FY","FILING_STATUS=OR","EQY_CONSOLIDATED=Y","Sort=A","Dates=H","DateFormat=P","Fill=—","Direction=H","UseDPDF=Y")</f>
        <v>#NAME?</v>
      </c>
      <c r="AB498" s="1" t="e">
        <f ca="1">_xll.BDH($C$478,"NET_FIXED_ASSETS_1_YEAR_GROWTH","FY 2018","FY 2018","Currency=INR","Period=FY","BEST_FPERIOD_OVERRIDE=FY","FILING_STATUS=OR","EQY_CONSOLIDATED=Y","Sort=A","Dates=H","DateFormat=P","Fill=—","Direction=H","UseDPDF=Y")</f>
        <v>#NAME?</v>
      </c>
      <c r="AC498" s="1" t="e">
        <f ca="1">_xll.BDH($C$478,"ASSET_GROWTH","FY 2018","FY 2018","Currency=INR","Period=FY","BEST_FPERIOD_OVERRIDE=FY","FILING_STATUS=OR","EQY_CONSOLIDATED=Y","Sort=A","Dates=H","DateFormat=P","Fill=—","Direction=H","UseDPDF=Y")</f>
        <v>#NAME?</v>
      </c>
      <c r="AD498" s="1" t="e">
        <f ca="1">_xll.BDH($C$478,"MODIFIED_WORK_CAP_GROWTH","FY 2018","FY 2018","Currency=INR","Period=FY","BEST_FPERIOD_OVERRIDE=FY","FILING_STATUS=OR","EQY_CONSOLIDATED=Y","Sort=A","Dates=H","DateFormat=P","Fill=—","Direction=H","UseDPDF=Y")</f>
        <v>#NAME?</v>
      </c>
      <c r="AE498" s="1" t="e">
        <f ca="1">_xll.BDH($C$478,"WORK_CAP_GROWTH","FY 2018","FY 2018","Currency=INR","Period=FY","BEST_FPERIOD_OVERRIDE=FY","FILING_STATUS=OR","EQY_CONSOLIDATED=Y","Sort=A","Dates=H","DateFormat=P","Fill=—","Direction=H","UseDPDF=Y")</f>
        <v>#NAME?</v>
      </c>
      <c r="AF498" s="1" t="e">
        <f ca="1">_xll.BDH($C$478,"ACCOUNTS_PAYABLE_GROWTH_1YR","FY 2018","FY 2018","Currency=INR","Period=FY","BEST_FPERIOD_OVERRIDE=FY","FILING_STATUS=OR","EQY_CONSOLIDATED=Y","Sort=A","Dates=H","DateFormat=P","Fill=—","Direction=H","UseDPDF=Y")</f>
        <v>#NAME?</v>
      </c>
      <c r="AG498" s="1" t="e">
        <f ca="1">_xll.BDH($C$478,"SHORT_TERM_DEBT_1_YEAR_GROWTH","FY 2018","FY 2018","Currency=INR","Period=FY","BEST_FPERIOD_OVERRIDE=FY","FILING_STATUS=OR","EQY_CONSOLIDATED=Y","Sort=A","Dates=H","DateFormat=P","Fill=—","Direction=H","UseDPDF=Y")</f>
        <v>#NAME?</v>
      </c>
      <c r="AH498" s="1" t="e">
        <f ca="1">_xll.BDH($C$478,"TOTAL_DEBT_1_YEAR_GROWTH","FY 2018","FY 2018","Currency=INR","Period=FY","BEST_FPERIOD_OVERRIDE=FY","FILING_STATUS=OR","EQY_CONSOLIDATED=Y","Sort=A","Dates=H","DateFormat=P","Fill=—","Direction=H","UseDPDF=Y")</f>
        <v>#NAME?</v>
      </c>
      <c r="AI498" s="1" t="e">
        <f ca="1">_xll.BDH($C$478,"TOTAL_EQUITY_1_YEAR_GROWTH","FY 2018","FY 2018","Currency=INR","Period=FY","BEST_FPERIOD_OVERRIDE=FY","FILING_STATUS=OR","EQY_CONSOLIDATED=Y","Sort=A","Dates=H","DateFormat=P","Fill=—","Direction=H","UseDPDF=Y")</f>
        <v>#NAME?</v>
      </c>
      <c r="AJ498" s="1" t="e">
        <f ca="1">_xll.BDH($C$478,"GROWTH_IN_CAP","FY 2018","FY 2018","Currency=INR","Period=FY","BEST_FPERIOD_OVERRIDE=FY","FILING_STATUS=OR","EQY_CONSOLIDATED=Y","Sort=A","Dates=H","DateFormat=P","Fill=—","Direction=H","UseDPDF=Y")</f>
        <v>#NAME?</v>
      </c>
      <c r="AK498" s="1" t="e">
        <f ca="1">_xll.BDH($C$478,"BVPS_GROWTH","FY 2018","FY 2018","Currency=INR","Period=FY","BEST_FPERIOD_OVERRIDE=FY","FILING_STATUS=OR","EQY_CONSOLIDATED=Y","Sort=A","Dates=H","DateFormat=P","Fill=—","Direction=H","UseDPDF=Y")</f>
        <v>#NAME?</v>
      </c>
      <c r="AL498" s="1" t="e">
        <f ca="1">_xll.BDH($C$478,"CASH_FLOW_GROWTH","FY 2018","FY 2018","Currency=INR","Period=FY","BEST_FPERIOD_OVERRIDE=FY","FILING_STATUS=OR","EQY_CONSOLIDATED=Y","Sort=A","Dates=H","DateFormat=P","Fill=—","Direction=H","UseDPDF=Y")</f>
        <v>#NAME?</v>
      </c>
      <c r="AM498" s="1" t="e">
        <f ca="1">_xll.BDH($C$478,"GEO_GROW_NET_SALES","FY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498" s="1" t="e">
        <f ca="1">_xll.BDH($C$478,"GEO_GROW_EBITDA","FY 2018","FY 2018","Currency=INR","Period=FY","BEST_FPERIOD_OVERRIDE=FY","FILING_STATUS=OR","EQY_CONSOLIDATED=Y","FA_ADJUSTED=GAAP","Sort=A","Dates=H","DateFormat=P","Fill=—","Direction=H","UseDPDF=Y")</f>
        <v>#NAME?</v>
      </c>
      <c r="AO498" s="1" t="e">
        <f ca="1">_xll.BDH($C$478,"GEO_GROW_OPER_INC","FY 2018","FY 2018","Currency=INR","Period=FY","BEST_FPERIOD_OVERRIDE=FY","FILING_STATUS=OR","EQY_CONSOLIDATED=Y","FA_ADJUSTED=GAAP","Sort=A","Dates=H","DateFormat=P","Fill=—","Direction=H","UseDPDF=Y")</f>
        <v>#NAME?</v>
      </c>
      <c r="AP498" s="1" t="e">
        <f ca="1">_xll.BDH($C$478,"NET_INCOME_TO_COMMON_5_YR_GROWTH","FY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98" s="1" t="e">
        <f ca="1">_xll.BDH($C$478,"5Y_GEO_GROWTH_DILUTED_EPS","FY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98" s="1" t="e">
        <f ca="1">_xll.BDH($C$478,"GEO_GROW_DVD_PER_SH","FY 2018","FY 2018","Currency=INR","Period=FY","BEST_FPERIOD_OVERRIDE=FY","FILING_STATUS=OR","EQY_CONSOLIDATED=Y","Sort=A","Dates=H","DateFormat=P","Fill=—","Direction=H","UseDPDF=Y")</f>
        <v>#NAME?</v>
      </c>
      <c r="AS498" s="1" t="e">
        <f ca="1">_xll.BDH($C$478,"ACCOUNTS_RECEIVABLE_5_YR_GROWTH","FY 2018","FY 2018","Currency=INR","Period=FY","BEST_FPERIOD_OVERRIDE=FY","FILING_STATUS=OR","EQY_CONSOLIDATED=Y","Sort=A","Dates=H","DateFormat=P","Fill=—","Direction=H","UseDPDF=Y")</f>
        <v>#NAME?</v>
      </c>
      <c r="AT498" s="1" t="e">
        <f ca="1">_xll.BDH($C$478,"INVENTORY_5_YEAR_GROWTH","FY 2018","FY 2018","Currency=INR","Period=FY","BEST_FPERIOD_OVERRIDE=FY","FILING_STATUS=OR","EQY_CONSOLIDATED=Y","Sort=A","Dates=H","DateFormat=P","Fill=—","Direction=H","UseDPDF=Y")</f>
        <v>#NAME?</v>
      </c>
      <c r="AU498" s="1" t="e">
        <f ca="1">_xll.BDH($C$478,"NET_FIXED_ASSETS_5_YEAR_GROWTH","FY 2018","FY 2018","Currency=INR","Period=FY","BEST_FPERIOD_OVERRIDE=FY","FILING_STATUS=OR","EQY_CONSOLIDATED=Y","Sort=A","Dates=H","DateFormat=P","Fill=—","Direction=H","UseDPDF=Y")</f>
        <v>#NAME?</v>
      </c>
      <c r="AV498" s="1" t="e">
        <f ca="1">_xll.BDH($C$478,"GEO_GROW_TOT_ASSET","FY 2018","FY 2018","Currency=INR","Period=FY","BEST_FPERIOD_OVERRIDE=FY","FILING_STATUS=OR","EQY_CONSOLIDATED=Y","Sort=A","Dates=H","DateFormat=P","Fill=—","Direction=H","UseDPDF=Y")</f>
        <v>#NAME?</v>
      </c>
      <c r="AW498" s="1" t="e">
        <f ca="1">_xll.BDH($C$478,"MODIFIED_WORKING_CPTL_5YR_GRWTH","FY 2018","FY 2018","Currency=INR","Period=FY","BEST_FPERIOD_OVERRIDE=FY","FILING_STATUS=OR","EQY_CONSOLIDATED=Y","Sort=A","Dates=H","DateFormat=P","Fill=—","Direction=H","UseDPDF=Y")</f>
        <v>#NAME?</v>
      </c>
      <c r="AX498" s="1" t="e">
        <f ca="1">_xll.BDH($C$478,"WORKING_CAPITAL_5_YEAR_GROWTH","FY 2018","FY 2018","Currency=INR","Period=FY","BEST_FPERIOD_OVERRIDE=FY","FILING_STATUS=OR","EQY_CONSOLIDATED=Y","Sort=A","Dates=H","DateFormat=P","Fill=—","Direction=H","UseDPDF=Y")</f>
        <v>#NAME?</v>
      </c>
      <c r="AY498" s="1" t="e">
        <f ca="1">_xll.BDH($C$478,"ACCOUNTS_PAYABLE_5_YEAR_GROWTH","FY 2018","FY 2018","Currency=INR","Period=FY","BEST_FPERIOD_OVERRIDE=FY","FILING_STATUS=OR","EQY_CONSOLIDATED=Y","Sort=A","Dates=H","DateFormat=P","Fill=—","Direction=H","UseDPDF=Y")</f>
        <v>#NAME?</v>
      </c>
      <c r="AZ498" s="1" t="e">
        <f ca="1">_xll.BDH($C$478,"SHORT_TERM_DEBT_5_YEAR_GROWTH","FY 2018","FY 2018","Currency=INR","Period=FY","BEST_FPERIOD_OVERRIDE=FY","FILING_STATUS=OR","EQY_CONSOLIDATED=Y","Sort=A","Dates=H","DateFormat=P","Fill=—","Direction=H","UseDPDF=Y")</f>
        <v>#NAME?</v>
      </c>
      <c r="BA498" s="1" t="e">
        <f ca="1">_xll.BDH($C$478,"TOTAL_DEBT_5_YEAR_GROWTH","FY 2018","FY 2018","Currency=INR","Period=FY","BEST_FPERIOD_OVERRIDE=FY","FILING_STATUS=OR","EQY_CONSOLIDATED=Y","Sort=A","Dates=H","DateFormat=P","Fill=—","Direction=H","UseDPDF=Y")</f>
        <v>#NAME?</v>
      </c>
      <c r="BB498" s="1" t="e">
        <f ca="1">_xll.BDH($C$478,"GEO_GROW_TOT_SHRHLDR_EQY","FY 2018","FY 2018","Currency=INR","Period=FY","BEST_FPERIOD_OVERRIDE=FY","FILING_STATUS=OR","EQY_CONSOLIDATED=Y","Sort=A","Dates=H","DateFormat=P","Fill=—","Direction=H","UseDPDF=Y")</f>
        <v>#NAME?</v>
      </c>
      <c r="BC498" s="1" t="e">
        <f ca="1">_xll.BDH($C$478,"TOTAL_CAPITAL_5_YEAR_GROWTH","FY 2018","FY 2018","Currency=INR","Period=FY","BEST_FPERIOD_OVERRIDE=FY","FILING_STATUS=OR","EQY_CONSOLIDATED=Y","Sort=A","Dates=H","DateFormat=P","Fill=—","Direction=H","UseDPDF=Y")</f>
        <v>#NAME?</v>
      </c>
      <c r="BD498" s="1" t="e">
        <f ca="1">_xll.BDH($C$478,"GEO_GROW_BOOK_VAL","FY 2018","FY 2018","Currency=INR","Period=FY","BEST_FPERIOD_OVERRIDE=FY","FILING_STATUS=OR","EQY_CONSOLIDATED=Y","Sort=A","Dates=H","DateFormat=P","Fill=—","Direction=H","UseDPDF=Y")</f>
        <v>#NAME?</v>
      </c>
      <c r="BE498" s="1" t="e">
        <f ca="1">_xll.BDH($C$478,"GEO_GROW_CASH_OPER_ACT","FY 2018","FY 2018","Currency=INR","Period=FY","BEST_FPERIOD_OVERRIDE=FY","FILING_STATUS=OR","EQY_CONSOLIDATED=Y","Sort=A","Dates=H","DateFormat=P","Fill=—","Direction=H","UseDPDF=Y")</f>
        <v>#NAME?</v>
      </c>
      <c r="BF498" s="1" t="e">
        <f ca="1">_xll.BDH($C$478,"REVENUE_SEQUENTIAL_GROWTH","FY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98" s="1" t="e">
        <f ca="1">_xll.BDH($C$478,"EBITDA_SEQUENTIAL_GROWTH","FY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98" s="1" t="e">
        <f ca="1">_xll.BDH($C$478,"OPERATING_INCOME_SEQ_GROWTH","FY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98" s="1" t="e">
        <f ca="1">_xll.BDH($C$478,"NET_INCOME_TO_COMMON_SEQ_GROWTH","FY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98" s="1" t="e">
        <f ca="1">_xll.BDH($C$478,"EPS_DILUTED_SEQUENTIAL_GROWTH","FY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98" s="1" t="e">
        <f ca="1">_xll.BDH($C$478,"DPS_SEQUENTIAL_GROWTH","FY 2018","FY 2018","Currency=INR","Period=FY","BEST_FPERIOD_OVERRIDE=FY","FILING_STATUS=OR","EQY_CONSOLIDATED=Y","Sort=A","Dates=H","DateFormat=P","Fill=—","Direction=H","UseDPDF=Y")</f>
        <v>#NAME?</v>
      </c>
      <c r="BL498" s="1" t="e">
        <f ca="1">_xll.BDH($C$478,"ACCOUNTS_RECEIVABLE_SEQ_GROWTH","FY 2018","FY 2018","Currency=INR","Period=FY","BEST_FPERIOD_OVERRIDE=FY","FILING_STATUS=OR","EQY_CONSOLIDATED=Y","Sort=A","Dates=H","DateFormat=P","Fill=—","Direction=H","UseDPDF=Y")</f>
        <v>#NAME?</v>
      </c>
      <c r="BM498" s="1" t="e">
        <f ca="1">_xll.BDH($C$478,"INVENTORY_SEQUENTIAL_GROWTH","FY 2018","FY 2018","Currency=INR","Period=FY","BEST_FPERIOD_OVERRIDE=FY","FILING_STATUS=OR","EQY_CONSOLIDATED=Y","Sort=A","Dates=H","DateFormat=P","Fill=—","Direction=H","UseDPDF=Y")</f>
        <v>#NAME?</v>
      </c>
      <c r="BN498" s="1" t="e">
        <f ca="1">_xll.BDH($C$478,"FIXED_ASSETS_SEQUENTIAL_GROWTH","FY 2018","FY 2018","Currency=INR","Period=FY","BEST_FPERIOD_OVERRIDE=FY","FILING_STATUS=OR","EQY_CONSOLIDATED=Y","Sort=A","Dates=H","DateFormat=P","Fill=—","Direction=H","UseDPDF=Y")</f>
        <v>#NAME?</v>
      </c>
      <c r="BO498" s="1" t="e">
        <f ca="1">_xll.BDH($C$478,"TOTAL_ASSETS_SEQUENTIAL_GROWTH","FY 2018","FY 2018","Currency=INR","Period=FY","BEST_FPERIOD_OVERRIDE=FY","FILING_STATUS=OR","EQY_CONSOLIDATED=Y","Sort=A","Dates=H","DateFormat=P","Fill=—","Direction=H","UseDPDF=Y")</f>
        <v>#NAME?</v>
      </c>
      <c r="BP498" s="1" t="e">
        <f ca="1">_xll.BDH($C$478,"MODIFIED_WORKING_CPTL_SEQ_GRWTH","FY 2018","FY 2018","Currency=INR","Period=FY","BEST_FPERIOD_OVERRIDE=FY","FILING_STATUS=OR","EQY_CONSOLIDATED=Y","Sort=A","Dates=H","DateFormat=P","Fill=—","Direction=H","UseDPDF=Y")</f>
        <v>#NAME?</v>
      </c>
      <c r="BQ498" s="1" t="e">
        <f ca="1">_xll.BDH($C$478,"WORKING_CAPITAL_SEQ_GROWTH","FY 2018","FY 2018","Currency=INR","Period=FY","BEST_FPERIOD_OVERRIDE=FY","FILING_STATUS=OR","EQY_CONSOLIDATED=Y","Sort=A","Dates=H","DateFormat=P","Fill=—","Direction=H","UseDPDF=Y")</f>
        <v>#NAME?</v>
      </c>
      <c r="BR498" s="1" t="e">
        <f ca="1">_xll.BDH($C$478,"ACCOUNTS_PAYABLE_SEQ_GROWTH","FY 2018","FY 2018","Currency=INR","Period=FY","BEST_FPERIOD_OVERRIDE=FY","FILING_STATUS=OR","EQY_CONSOLIDATED=Y","Sort=A","Dates=H","DateFormat=P","Fill=—","Direction=H","UseDPDF=Y")</f>
        <v>#NAME?</v>
      </c>
      <c r="BS498" s="1" t="e">
        <f ca="1">_xll.BDH($C$478,"ST_DEBT_SEQUENTIAL_GROWTH","FY 2018","FY 2018","Currency=INR","Period=FY","BEST_FPERIOD_OVERRIDE=FY","FILING_STATUS=OR","EQY_CONSOLIDATED=Y","Sort=A","Dates=H","DateFormat=P","Fill=—","Direction=H","UseDPDF=Y")</f>
        <v>#NAME?</v>
      </c>
      <c r="BT498" s="1" t="e">
        <f ca="1">_xll.BDH($C$478,"TOTAL_DEBT_SEQUENTIAL_GROWTH","FY 2018","FY 2018","Currency=INR","Period=FY","BEST_FPERIOD_OVERRIDE=FY","FILING_STATUS=OR","EQY_CONSOLIDATED=Y","Sort=A","Dates=H","DateFormat=P","Fill=—","Direction=H","UseDPDF=Y")</f>
        <v>#NAME?</v>
      </c>
      <c r="BU498" s="1" t="e">
        <f ca="1">_xll.BDH($C$478,"TOTAL_EQUITY_SEQUENTIAL_GROWTH","FY 2018","FY 2018","Currency=INR","Period=FY","BEST_FPERIOD_OVERRIDE=FY","FILING_STATUS=OR","EQY_CONSOLIDATED=Y","Sort=A","Dates=H","DateFormat=P","Fill=—","Direction=H","UseDPDF=Y")</f>
        <v>#NAME?</v>
      </c>
      <c r="BV498" s="1" t="e">
        <f ca="1">_xll.BDH($C$478,"TOTAL_CAPITAL_SEQUENTIAL_GROWTH","FY 2018","FY 2018","Currency=INR","Period=FY","BEST_FPERIOD_OVERRIDE=FY","FILING_STATUS=OR","EQY_CONSOLIDATED=Y","Sort=A","Dates=H","DateFormat=P","Fill=—","Direction=H","UseDPDF=Y")</f>
        <v>#NAME?</v>
      </c>
      <c r="BW498" s="1" t="e">
        <f ca="1">_xll.BDH($C$478,"BPS_SEQUENTIAL_GROWTH","FY 2018","FY 2018","Currency=INR","Period=FY","BEST_FPERIOD_OVERRIDE=FY","FILING_STATUS=OR","EQY_CONSOLIDATED=Y","Sort=A","Dates=H","DateFormat=P","Fill=—","Direction=H","UseDPDF=Y")</f>
        <v>#NAME?</v>
      </c>
      <c r="BX498" s="1" t="e">
        <f ca="1">_xll.BDH($C$478,"CFO_SEQUENTIAL_GROWTH","FY 2018","FY 2018","Currency=INR","Period=FY","BEST_FPERIOD_OVERRIDE=FY","FILING_STATUS=OR","EQY_CONSOLIDATED=Y","Sort=A","Dates=H","DateFormat=P","Fill=—","Direction=H","UseDPDF=Y")</f>
        <v>#NAME?</v>
      </c>
      <c r="BY498" s="2" t="e">
        <f ca="1">_xll.BDH($C$478,"SHORT_AND_LONG_TERM_DEBT","FY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98" s="2" t="e">
        <f ca="1">_xll.BDH($C$478,"BS_ST_BORROW","FY 2018","FY 2018","Currency=INR","Period=FY","BEST_FPERIOD_OVERRIDE=FY","FILING_STATUS=OR","EQY_CONSOLIDATED=Y","SCALING_FORMAT=MLN","Sort=A","Dates=H","DateFormat=P","Fill=—","Direction=H","UseDPDF=Y")</f>
        <v>#NAME?</v>
      </c>
      <c r="CA498" s="2" t="e">
        <f ca="1">_xll.BDH($C$478,"BS_LT_BORROW","FY 2018","FY 2018","Currency=INR","Period=FY","BEST_FPERIOD_OVERRIDE=FY","FILING_STATUS=OR","EQY_CONSOLIDATED=Y","SCALING_FORMAT=MLN","Sort=A","Dates=H","DateFormat=P","Fill=—","Direction=H","UseDPDF=Y")</f>
        <v>#NAME?</v>
      </c>
      <c r="CB498" s="1" t="e">
        <f ca="1">_xll.BDH($C$478,"TOT_DEBT_TO_EBITDA","FY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498" s="1" t="e">
        <f ca="1">_xll.BDH($C$478,"NET_DEBT_TO_EBITDA","FY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498" s="1" t="e">
        <f ca="1">_xll.BDH($C$478,"TOTAL_DEBT_TO_EBIT","FY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498" s="1" t="e">
        <f ca="1">_xll.BDH($C$478,"NET_DEBT_TO_EBIT","FY 2018","FY 2018","Currency=INR","Period=FY","BEST_FPERIOD_OVERRIDE=FY","FILING_STATUS=OR","EQY_CONSOLIDATED=Y","FA_ADJUSTED=GAAP","Sort=A","Dates=H","DateFormat=P","Fill=—","Direction=H","UseDPDF=Y")</f>
        <v>#NAME?</v>
      </c>
      <c r="CF498" s="1" t="e">
        <f ca="1">_xll.BDH($C$478,"EBITDA_TO_INTEREST_EXPN","FY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98" s="1" t="e">
        <f ca="1">_xll.BDH($C$478,"COM_EQY_TO_TOT_ASSET","FY 2018","FY 2018","Currency=INR","Period=FY","BEST_FPERIOD_OVERRIDE=FY","FILING_STATUS=OR","EQY_CONSOLIDATED=Y","Sort=A","Dates=H","DateFormat=P","Fill=—","Direction=H","UseDPDF=Y")</f>
        <v>#NAME?</v>
      </c>
      <c r="CH498" s="1" t="e">
        <f ca="1">_xll.BDH($C$478,"LT_DEBT_TO_TOT_EQY","FY 2018","FY 2018","Currency=INR","Period=FY","BEST_FPERIOD_OVERRIDE=FY","FILING_STATUS=OR","EQY_CONSOLIDATED=Y","Sort=A","Dates=H","DateFormat=P","Fill=—","Direction=H","UseDPDF=Y")</f>
        <v>#NAME?</v>
      </c>
      <c r="CI498" s="1" t="e">
        <f ca="1">_xll.BDH($C$478,"LT_DEBT_TO_TOT_CAP","FY 2018","FY 2018","Currency=INR","Period=FY","BEST_FPERIOD_OVERRIDE=FY","FILING_STATUS=OR","EQY_CONSOLIDATED=Y","Sort=A","Dates=H","DateFormat=P","Fill=—","Direction=H","UseDPDF=Y")</f>
        <v>#NAME?</v>
      </c>
      <c r="CJ498" s="1" t="e">
        <f ca="1">_xll.BDH($C$478,"LT_DEBT_TO_TOT_ASSET","FY 2018","FY 2018","Currency=INR","Period=FY","BEST_FPERIOD_OVERRIDE=FY","FILING_STATUS=OR","EQY_CONSOLIDATED=Y","Sort=A","Dates=H","DateFormat=P","Fill=—","Direction=H","UseDPDF=Y")</f>
        <v>#NAME?</v>
      </c>
      <c r="CK498" s="1" t="e">
        <f ca="1">_xll.BDH($C$478,"TOT_DEBT_TO_TOT_EQY","FY 2018","FY 2018","Currency=INR","Period=FY","BEST_FPERIOD_OVERRIDE=FY","FILING_STATUS=OR","EQY_CONSOLIDATED=Y","Sort=A","Dates=H","DateFormat=P","Fill=—","Direction=H","UseDPDF=Y")</f>
        <v>#NAME?</v>
      </c>
      <c r="CL498" s="1" t="e">
        <f ca="1">_xll.BDH($C$478,"TOT_DEBT_TO_TOT_CAP","FY 2018","FY 2018","Currency=INR","Period=FY","BEST_FPERIOD_OVERRIDE=FY","FILING_STATUS=OR","EQY_CONSOLIDATED=Y","Sort=A","Dates=H","DateFormat=P","Fill=—","Direction=H","UseDPDF=Y")</f>
        <v>#NAME?</v>
      </c>
      <c r="CM498" s="1" t="e">
        <f ca="1">_xll.BDH($C$478,"TOT_DEBT_TO_TOT_ASSET","FY 2018","FY 2018","Currency=INR","Period=FY","BEST_FPERIOD_OVERRIDE=FY","FILING_STATUS=OR","EQY_CONSOLIDATED=Y","Sort=A","Dates=H","DateFormat=P","Fill=—","Direction=H","UseDPDF=Y")</f>
        <v>#NAME?</v>
      </c>
      <c r="CN498" s="1" t="e">
        <f ca="1">_xll.BDH($C$478,"NET_DEBT_TO_SHRHLDR_EQTY","FY 2018","FY 2018","Currency=INR","Period=FY","BEST_FPERIOD_OVERRIDE=FY","FILING_STATUS=OR","EQY_CONSOLIDATED=Y","Sort=A","Dates=H","DateFormat=P","Fill=—","Direction=H","UseDPDF=Y")</f>
        <v>#NAME?</v>
      </c>
      <c r="CO498" s="1" t="e">
        <f ca="1">_xll.BDH($C$478,"NET_DEBT_%_CAPITAL","FY 2018","FY 2018","Currency=INR","Period=FY","BEST_FPERIOD_OVERRIDE=FY","FILING_STATUS=OR","EQY_CONSOLIDATED=Y","Sort=A","Dates=H","DateFormat=P","Fill=—","Direction=H","UseDPDF=Y")</f>
        <v>#NAME?</v>
      </c>
      <c r="CP498" s="2" t="e">
        <f ca="1">_xll.BDH($C$478,"EBITDA","FY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98" s="2" t="e">
        <f ca="1">_xll.BDH($C$478,"EBITDA_AFTER_CAPEX","FY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98" s="2" t="e">
        <f ca="1">_xll.BDH($C$478,"IS_OPER_INC","FY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98" s="1" t="e">
        <f ca="1">_xll.BDH($C$478,"CASH_RATIO","FY 2018","FY 2018","Currency=INR","Period=FY","BEST_FPERIOD_OVERRIDE=FY","FILING_STATUS=OR","EQY_CONSOLIDATED=Y","Sort=A","Dates=H","DateFormat=P","Fill=—","Direction=H","UseDPDF=Y")</f>
        <v>#NAME?</v>
      </c>
      <c r="CT498" s="1" t="e">
        <f ca="1">_xll.BDH($C$478,"CUR_RATIO","FY 2018","FY 2018","Currency=INR","Period=FY","BEST_FPERIOD_OVERRIDE=FY","FILING_STATUS=OR","EQY_CONSOLIDATED=Y","Sort=A","Dates=H","DateFormat=P","Fill=—","Direction=H","UseDPDF=Y")</f>
        <v>#NAME?</v>
      </c>
      <c r="CU498" s="1" t="e">
        <f ca="1">_xll.BDH($C$478,"QUICK_RATIO","FY 2018","FY 2018","Currency=INR","Period=FY","BEST_FPERIOD_OVERRIDE=FY","FILING_STATUS=OR","EQY_CONSOLIDATED=Y","Sort=A","Dates=H","DateFormat=P","Fill=—","Direction=H","UseDPDF=Y")</f>
        <v>#NAME?</v>
      </c>
      <c r="CV498" s="1" t="e">
        <f ca="1">_xll.BDH($C$478,"ALTMAN_Z_SCORE","FY 2018","FY 2018","Currency=INR","Period=FY","BEST_FPERIOD_OVERRIDE=FY","FILING_STATUS=OR","EQY_CONSOLIDATED=Y","Sort=A","Dates=H","DateFormat=P","Fill=—","Direction=H","UseDPDF=Y")</f>
        <v>#NAME?</v>
      </c>
      <c r="CW498" s="3" t="e">
        <f ca="1">_xll.BDH($C$478,"ACCT_RCV_TURN","FY 2018","FY 2018","Currency=INR","Period=FY","BEST_FPERIOD_OVERRIDE=FY","FILING_STATUS=OR","EQY_CONSOLIDATED=Y","FA_ADJUSTED=GAAP","Sort=A","Dates=H","DateFormat=P","Fill=—","Direction=H","UseDPDF=Y")</f>
        <v>#NAME?</v>
      </c>
      <c r="CX498" s="1" t="e">
        <f ca="1">_xll.BDH($C$478,"ACCT_RCV_DAYS","FY 2018","FY 2018","Currency=INR","Period=FY","BEST_FPERIOD_OVERRIDE=FY","FILING_STATUS=OR","EQY_CONSOLIDATED=Y","FA_ADJUSTED=GAAP","Sort=A","Dates=H","DateFormat=P","Fill=—","Direction=H","UseDPDF=Y")</f>
        <v>#NAME?</v>
      </c>
      <c r="CY498" s="3" t="e">
        <f ca="1">_xll.BDH($C$478,"INVENT_TURN","FY 2018","FY 2018","Currency=INR","Period=FY","BEST_FPERIOD_OVERRIDE=FY","FILING_STATUS=OR","EQY_CONSOLIDATED=Y","FA_ADJUSTED=GAAP","Sort=A","Dates=H","DateFormat=P","Fill=—","Direction=H","UseDPDF=Y")</f>
        <v>#NAME?</v>
      </c>
      <c r="CZ498" s="1" t="e">
        <f ca="1">_xll.BDH($C$478,"INVENT_DAYS","FY 2018","FY 2018","Currency=INR","Period=FY","BEST_FPERIOD_OVERRIDE=FY","FILING_STATUS=OR","EQY_CONSOLIDATED=Y","FA_ADJUSTED=GAAP","Sort=A","Dates=H","DateFormat=P","Fill=—","Direction=H","UseDPDF=Y")</f>
        <v>#NAME?</v>
      </c>
      <c r="DA498" s="3" t="e">
        <f ca="1">_xll.BDH($C$478,"ACCOUNTS_PAYABLE_TURNOVER","FY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98" s="1" t="e">
        <f ca="1">_xll.BDH($C$478,"ACCOUNTS_PAYABLE_TURNOVER_DAYS","FY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98" s="3" t="e">
        <f ca="1">_xll.BDH($C$478,"CASH_CONVERSION_CYCLE","FY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98" s="3" t="e">
        <f ca="1">_xll.BDH($C$478,"INV_TO_CASH_DAYS","FY 2018","FY 2018","Currency=INR","Period=FY","BEST_FPERIOD_OVERRIDE=FY","FILING_STATUS=OR","EQY_CONSOLIDATED=Y","FA_ADJUSTED=GAAP","Sort=A","Dates=H","DateFormat=P","Fill=—","Direction=H","UseDPDF=Y")</f>
        <v>#NAME?</v>
      </c>
      <c r="DE498" s="4" t="e">
        <f ca="1">_xll.BDH($C$478,"BS_INVENTORIES","FY 2018","FY 2018","Currency=INR","Period=FY","BEST_FPERIOD_OVERRIDE=FY","FILING_STATUS=OR","EQY_CONSOLIDATED=Y","SCALING_FORMAT=MLN","Sort=A","Dates=H","DateFormat=P","Fill=—","Direction=H","UseDPDF=Y")</f>
        <v>#NAME?</v>
      </c>
      <c r="DF498" s="2" t="e">
        <f ca="1">_xll.BDH($C$478,"INVTRY_RAW_MATERIALS","FY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98" s="2" t="e">
        <f ca="1">_xll.BDH($C$478,"INVTRY_IN_PROGRESS","FY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98" s="2" t="e">
        <f ca="1">_xll.BDH($C$478,"INVTRY_FINISHED_GOODS","FY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98" s="2" t="e">
        <f ca="1">_xll.BDH($C$478,"BS_OTHER_INV","FY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99" spans="1:113" x14ac:dyDescent="0.3">
      <c r="A499" s="6"/>
      <c r="B499" s="6"/>
      <c r="C499" s="6"/>
      <c r="D499" s="6"/>
      <c r="E499" t="s">
        <v>4</v>
      </c>
      <c r="F499" t="e">
        <f ca="1">_xll.BDH($C$478,"RETURN_COM_EQY","FQ1 2018","FQ1 2018","Currency=INR","Period=FQ","BEST_FPERIOD_OVERRIDE=FQ","FILING_STATUS=OR","EQY_CONSOLIDATED=Y","FA_ADJUSTED=GAAP","Sort=A","Dates=H","DateFormat=P","Fill=—","Direction=H","UseDPDF=Y")</f>
        <v>#NAME?</v>
      </c>
      <c r="G499" t="e">
        <f ca="1">_xll.BDH($C$478,"RETURN_ON_ASSET","FQ1 2018","FQ1 2018","Currency=INR","Period=FQ","BEST_FPERIOD_OVERRIDE=FQ","FILING_STATUS=OR","EQY_CONSOLIDATED=Y","FA_ADJUSTED=GAAP","Sort=A","Dates=H","DateFormat=P","Fill=—","Direction=H","UseDPDF=Y")</f>
        <v>#NAME?</v>
      </c>
      <c r="H499" t="e">
        <f ca="1">_xll.BDH($C$478,"RETURN_ON_CAP","FQ1 2018","FQ1 2018","Currency=INR","Period=FQ","BEST_FPERIOD_OVERRIDE=FQ","FILING_STATUS=OR","EQY_CONSOLIDATED=Y","FA_ADJUSTED=GAAP","Sort=A","Dates=H","DateFormat=P","Fill=—","Direction=H","UseDPDF=Y")</f>
        <v>#NAME?</v>
      </c>
      <c r="I499" t="e">
        <f ca="1">_xll.BDH($C$478,"RETURN_ON_INV_CAPITAL","FQ1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99" t="e">
        <f ca="1">_xll.BDH($C$478,"EBITDA_TO_REVENUE","FQ1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499" t="e">
        <f ca="1">_xll.BDH($C$478,"OPER_MARGIN","FQ1 2018","FQ1 2018","Currency=INR","Period=FQ","BEST_FPERIOD_OVERRIDE=FQ","FILING_STATUS=OR","EQY_CONSOLIDATED=Y","FA_ADJUSTED=GAAP","Sort=A","Dates=H","DateFormat=P","Fill=—","Direction=H","UseDPDF=Y")</f>
        <v>#NAME?</v>
      </c>
      <c r="L499" t="e">
        <f ca="1">_xll.BDH($C$478,"INCREMENTAL_OPERATING_MARGIN","FQ1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99" t="e">
        <f ca="1">_xll.BDH($C$478,"PRETAX_INC_TO_NET_SALES","FQ1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99" t="e">
        <f ca="1">_xll.BDH($C$478,"INC_BEF_XO_ITEMS_TO_NET_SALES","FQ1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99" t="e">
        <f ca="1">_xll.BDH($C$478,"PROF_MARGIN","FQ1 2018","FQ1 2018","Currency=INR","Period=FQ","BEST_FPERIOD_OVERRIDE=FQ","FILING_STATUS=OR","EQY_CONSOLIDATED=Y","FA_ADJUSTED=GAAP","Sort=A","Dates=H","DateFormat=P","Fill=—","Direction=H","UseDPDF=Y")</f>
        <v>#NAME?</v>
      </c>
      <c r="P499" t="e">
        <f ca="1">_xll.BDH($C$478,"NET_INCOME_TO_COMMON_MARGIN","FQ1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99" t="e">
        <f ca="1">_xll.BDH($C$478,"EFF_TAX_RATE","FQ1 2018","FQ1 2018","Currency=INR","Period=FQ","BEST_FPERIOD_OVERRIDE=FQ","FILING_STATUS=OR","EQY_CONSOLIDATED=Y","FA_ADJUSTED=GAAP","Sort=A","Dates=H","DateFormat=P","Fill=—","Direction=H","UseDPDF=Y")</f>
        <v>#NAME?</v>
      </c>
      <c r="R499" t="e">
        <f ca="1">_xll.BDH($C$478,"DVD_PAYOUT_RATIO","FQ1 2018","FQ1 2018","Currency=INR","Period=FQ","BEST_FPERIOD_OVERRIDE=FQ","FILING_STATUS=OR","EQY_CONSOLIDATED=Y","FA_ADJUSTED=GAAP","Sort=A","Dates=H","DateFormat=P","Fill=—","Direction=H","UseDPDF=Y")</f>
        <v>#NAME?</v>
      </c>
      <c r="S499" t="e">
        <f ca="1">_xll.BDH($C$478,"SUSTAIN_GROWTH_RT","FQ1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499" s="1" t="e">
        <f ca="1">_xll.BDH($C$478,"SALES_GROWTH","FQ1 2018","FQ1 2018","Currency=INR","Period=FQ","BEST_FPERIOD_OVERRIDE=FQ","FILING_STATUS=OR","EQY_CONSOLIDATED=Y","FA_ADJUSTED=GAAP","Sort=A","Dates=H","DateFormat=P","Fill=—","Direction=H","UseDPDF=Y")</f>
        <v>#NAME?</v>
      </c>
      <c r="U499" s="1" t="e">
        <f ca="1">_xll.BDH($C$478,"EBITDA_GROWTH","FQ1 2018","FQ1 2018","Currency=INR","Period=FQ","BEST_FPERIOD_OVERRIDE=FQ","FILING_STATUS=OR","EQY_CONSOLIDATED=Y","FA_ADJUSTED=GAAP","Sort=A","Dates=H","DateFormat=P","Fill=—","Direction=H","UseDPDF=Y")</f>
        <v>#NAME?</v>
      </c>
      <c r="V499" s="1" t="e">
        <f ca="1">_xll.BDH($C$478,"OPER_INC_GROWTH","FQ1 2018","FQ1 2018","Currency=INR","Period=FQ","BEST_FPERIOD_OVERRIDE=FQ","FILING_STATUS=OR","EQY_CONSOLIDATED=Y","FA_ADJUSTED=GAAP","Sort=A","Dates=H","DateFormat=P","Fill=—","Direction=H","UseDPDF=Y")</f>
        <v>#NAME?</v>
      </c>
      <c r="W499" s="1" t="e">
        <f ca="1">_xll.BDH($C$478,"EARN_FOR_COM_GROWTH","FQ1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99" s="1" t="e">
        <f ca="1">_xll.BDH($C$478,"DILUTED_EPS_AFT_XO_ITEMS_GROWTH","FQ1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99" s="1" t="e">
        <f ca="1">_xll.BDH($C$478,"DIVIDEND_PER_SHARE_1_YEAR_GROWTH","FQ1 2018","FQ1 2018","Currency=INR","Period=FQ","BEST_FPERIOD_OVERRIDE=FQ","FILING_STATUS=OR","EQY_CONSOLIDATED=Y","Sort=A","Dates=H","DateFormat=P","Fill=—","Direction=H","UseDPDF=Y")</f>
        <v>#NAME?</v>
      </c>
      <c r="Z499" s="1" t="e">
        <f ca="1">_xll.BDH($C$478,"ACCOUNTS_RECEIVABLE_GROWTH","FQ1 2018","FQ1 2018","Currency=INR","Period=FQ","BEST_FPERIOD_OVERRIDE=FQ","FILING_STATUS=OR","EQY_CONSOLIDATED=Y","Sort=A","Dates=H","DateFormat=P","Fill=—","Direction=H","UseDPDF=Y")</f>
        <v>#NAME?</v>
      </c>
      <c r="AA499" s="1" t="e">
        <f ca="1">_xll.BDH($C$478,"INVENTORY_GROWTH","FQ1 2018","FQ1 2018","Currency=INR","Period=FQ","BEST_FPERIOD_OVERRIDE=FQ","FILING_STATUS=OR","EQY_CONSOLIDATED=Y","Sort=A","Dates=H","DateFormat=P","Fill=—","Direction=H","UseDPDF=Y")</f>
        <v>#NAME?</v>
      </c>
      <c r="AB499" s="1" t="e">
        <f ca="1">_xll.BDH($C$478,"NET_FIXED_ASSETS_1_YEAR_GROWTH","FQ1 2018","FQ1 2018","Currency=INR","Period=FQ","BEST_FPERIOD_OVERRIDE=FQ","FILING_STATUS=OR","EQY_CONSOLIDATED=Y","Sort=A","Dates=H","DateFormat=P","Fill=—","Direction=H","UseDPDF=Y")</f>
        <v>#NAME?</v>
      </c>
      <c r="AC499" s="1" t="e">
        <f ca="1">_xll.BDH($C$478,"ASSET_GROWTH","FQ1 2018","FQ1 2018","Currency=INR","Period=FQ","BEST_FPERIOD_OVERRIDE=FQ","FILING_STATUS=OR","EQY_CONSOLIDATED=Y","Sort=A","Dates=H","DateFormat=P","Fill=—","Direction=H","UseDPDF=Y")</f>
        <v>#NAME?</v>
      </c>
      <c r="AD499" s="1" t="e">
        <f ca="1">_xll.BDH($C$478,"MODIFIED_WORK_CAP_GROWTH","FQ1 2018","FQ1 2018","Currency=INR","Period=FQ","BEST_FPERIOD_OVERRIDE=FQ","FILING_STATUS=OR","EQY_CONSOLIDATED=Y","Sort=A","Dates=H","DateFormat=P","Fill=—","Direction=H","UseDPDF=Y")</f>
        <v>#NAME?</v>
      </c>
      <c r="AE499" s="1" t="e">
        <f ca="1">_xll.BDH($C$478,"WORK_CAP_GROWTH","FQ1 2018","FQ1 2018","Currency=INR","Period=FQ","BEST_FPERIOD_OVERRIDE=FQ","FILING_STATUS=OR","EQY_CONSOLIDATED=Y","Sort=A","Dates=H","DateFormat=P","Fill=—","Direction=H","UseDPDF=Y")</f>
        <v>#NAME?</v>
      </c>
      <c r="AF499" s="1" t="e">
        <f ca="1">_xll.BDH($C$478,"ACCOUNTS_PAYABLE_GROWTH_1YR","FQ1 2018","FQ1 2018","Currency=INR","Period=FQ","BEST_FPERIOD_OVERRIDE=FQ","FILING_STATUS=OR","EQY_CONSOLIDATED=Y","Sort=A","Dates=H","DateFormat=P","Fill=—","Direction=H","UseDPDF=Y")</f>
        <v>#NAME?</v>
      </c>
      <c r="AG499" s="1" t="e">
        <f ca="1">_xll.BDH($C$478,"SHORT_TERM_DEBT_1_YEAR_GROWTH","FQ1 2018","FQ1 2018","Currency=INR","Period=FQ","BEST_FPERIOD_OVERRIDE=FQ","FILING_STATUS=OR","EQY_CONSOLIDATED=Y","Sort=A","Dates=H","DateFormat=P","Fill=—","Direction=H","UseDPDF=Y")</f>
        <v>#NAME?</v>
      </c>
      <c r="AH499" s="1" t="e">
        <f ca="1">_xll.BDH($C$478,"TOTAL_DEBT_1_YEAR_GROWTH","FQ1 2018","FQ1 2018","Currency=INR","Period=FQ","BEST_FPERIOD_OVERRIDE=FQ","FILING_STATUS=OR","EQY_CONSOLIDATED=Y","Sort=A","Dates=H","DateFormat=P","Fill=—","Direction=H","UseDPDF=Y")</f>
        <v>#NAME?</v>
      </c>
      <c r="AI499" s="1" t="e">
        <f ca="1">_xll.BDH($C$478,"TOTAL_EQUITY_1_YEAR_GROWTH","FQ1 2018","FQ1 2018","Currency=INR","Period=FQ","BEST_FPERIOD_OVERRIDE=FQ","FILING_STATUS=OR","EQY_CONSOLIDATED=Y","Sort=A","Dates=H","DateFormat=P","Fill=—","Direction=H","UseDPDF=Y")</f>
        <v>#NAME?</v>
      </c>
      <c r="AJ499" s="1" t="e">
        <f ca="1">_xll.BDH($C$478,"GROWTH_IN_CAP","FQ1 2018","FQ1 2018","Currency=INR","Period=FQ","BEST_FPERIOD_OVERRIDE=FQ","FILING_STATUS=OR","EQY_CONSOLIDATED=Y","Sort=A","Dates=H","DateFormat=P","Fill=—","Direction=H","UseDPDF=Y")</f>
        <v>#NAME?</v>
      </c>
      <c r="AK499" s="1" t="e">
        <f ca="1">_xll.BDH($C$478,"BVPS_GROWTH","FQ1 2018","FQ1 2018","Currency=INR","Period=FQ","BEST_FPERIOD_OVERRIDE=FQ","FILING_STATUS=OR","EQY_CONSOLIDATED=Y","Sort=A","Dates=H","DateFormat=P","Fill=—","Direction=H","UseDPDF=Y")</f>
        <v>#NAME?</v>
      </c>
      <c r="AL499" s="1" t="e">
        <f ca="1">_xll.BDH($C$478,"CASH_FLOW_GROWTH","FQ1 2018","FQ1 2018","Currency=INR","Period=FQ","BEST_FPERIOD_OVERRIDE=FQ","FILING_STATUS=OR","EQY_CONSOLIDATED=Y","Sort=A","Dates=H","DateFormat=P","Fill=—","Direction=H","UseDPDF=Y")</f>
        <v>#NAME?</v>
      </c>
      <c r="AM499" s="1" t="e">
        <f ca="1">_xll.BDH($C$478,"GEO_GROW_NET_SALES","FQ1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99" s="1" t="e">
        <f ca="1">_xll.BDH($C$478,"GEO_GROW_EBITDA","FQ1 2018","FQ1 2018","Currency=INR","Period=FQ","BEST_FPERIOD_OVERRIDE=FQ","FILING_STATUS=OR","EQY_CONSOLIDATED=Y","FA_ADJUSTED=GAAP","Sort=A","Dates=H","DateFormat=P","Fill=—","Direction=H","UseDPDF=Y")</f>
        <v>#NAME?</v>
      </c>
      <c r="AO499" s="1" t="e">
        <f ca="1">_xll.BDH($C$478,"GEO_GROW_OPER_INC","FQ1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99" s="1" t="e">
        <f ca="1">_xll.BDH($C$478,"NET_INCOME_TO_COMMON_5_YR_GROWTH","FQ1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99" s="1" t="e">
        <f ca="1">_xll.BDH($C$478,"5Y_GEO_GROWTH_DILUTED_EPS","FQ1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99" s="1" t="e">
        <f ca="1">_xll.BDH($C$478,"GEO_GROW_DVD_PER_SH","FQ1 2018","FQ1 2018","Currency=INR","Period=FQ","BEST_FPERIOD_OVERRIDE=FQ","FILING_STATUS=OR","EQY_CONSOLIDATED=Y","Sort=A","Dates=H","DateFormat=P","Fill=—","Direction=H","UseDPDF=Y")</f>
        <v>#NAME?</v>
      </c>
      <c r="AS499" s="1" t="e">
        <f ca="1">_xll.BDH($C$478,"ACCOUNTS_RECEIVABLE_5_YR_GROWTH","FQ1 2018","FQ1 2018","Currency=INR","Period=FQ","BEST_FPERIOD_OVERRIDE=FQ","FILING_STATUS=OR","EQY_CONSOLIDATED=Y","Sort=A","Dates=H","DateFormat=P","Fill=—","Direction=H","UseDPDF=Y")</f>
        <v>#NAME?</v>
      </c>
      <c r="AT499" s="1" t="e">
        <f ca="1">_xll.BDH($C$478,"INVENTORY_5_YEAR_GROWTH","FQ1 2018","FQ1 2018","Currency=INR","Period=FQ","BEST_FPERIOD_OVERRIDE=FQ","FILING_STATUS=OR","EQY_CONSOLIDATED=Y","Sort=A","Dates=H","DateFormat=P","Fill=—","Direction=H","UseDPDF=Y")</f>
        <v>#NAME?</v>
      </c>
      <c r="AU499" s="1" t="e">
        <f ca="1">_xll.BDH($C$478,"NET_FIXED_ASSETS_5_YEAR_GROWTH","FQ1 2018","FQ1 2018","Currency=INR","Period=FQ","BEST_FPERIOD_OVERRIDE=FQ","FILING_STATUS=OR","EQY_CONSOLIDATED=Y","Sort=A","Dates=H","DateFormat=P","Fill=—","Direction=H","UseDPDF=Y")</f>
        <v>#NAME?</v>
      </c>
      <c r="AV499" s="1" t="e">
        <f ca="1">_xll.BDH($C$478,"GEO_GROW_TOT_ASSET","FQ1 2018","FQ1 2018","Currency=INR","Period=FQ","BEST_FPERIOD_OVERRIDE=FQ","FILING_STATUS=OR","EQY_CONSOLIDATED=Y","Sort=A","Dates=H","DateFormat=P","Fill=—","Direction=H","UseDPDF=Y")</f>
        <v>#NAME?</v>
      </c>
      <c r="AW499" s="1" t="e">
        <f ca="1">_xll.BDH($C$478,"MODIFIED_WORKING_CPTL_5YR_GRWTH","FQ1 2018","FQ1 2018","Currency=INR","Period=FQ","BEST_FPERIOD_OVERRIDE=FQ","FILING_STATUS=OR","EQY_CONSOLIDATED=Y","Sort=A","Dates=H","DateFormat=P","Fill=—","Direction=H","UseDPDF=Y")</f>
        <v>#NAME?</v>
      </c>
      <c r="AX499" s="1" t="e">
        <f ca="1">_xll.BDH($C$478,"WORKING_CAPITAL_5_YEAR_GROWTH","FQ1 2018","FQ1 2018","Currency=INR","Period=FQ","BEST_FPERIOD_OVERRIDE=FQ","FILING_STATUS=OR","EQY_CONSOLIDATED=Y","Sort=A","Dates=H","DateFormat=P","Fill=—","Direction=H","UseDPDF=Y")</f>
        <v>#NAME?</v>
      </c>
      <c r="AY499" s="1" t="e">
        <f ca="1">_xll.BDH($C$478,"ACCOUNTS_PAYABLE_5_YEAR_GROWTH","FQ1 2018","FQ1 2018","Currency=INR","Period=FQ","BEST_FPERIOD_OVERRIDE=FQ","FILING_STATUS=OR","EQY_CONSOLIDATED=Y","Sort=A","Dates=H","DateFormat=P","Fill=—","Direction=H","UseDPDF=Y")</f>
        <v>#NAME?</v>
      </c>
      <c r="AZ499" s="1" t="e">
        <f ca="1">_xll.BDH($C$478,"SHORT_TERM_DEBT_5_YEAR_GROWTH","FQ1 2018","FQ1 2018","Currency=INR","Period=FQ","BEST_FPERIOD_OVERRIDE=FQ","FILING_STATUS=OR","EQY_CONSOLIDATED=Y","Sort=A","Dates=H","DateFormat=P","Fill=—","Direction=H","UseDPDF=Y")</f>
        <v>#NAME?</v>
      </c>
      <c r="BA499" s="1" t="e">
        <f ca="1">_xll.BDH($C$478,"TOTAL_DEBT_5_YEAR_GROWTH","FQ1 2018","FQ1 2018","Currency=INR","Period=FQ","BEST_FPERIOD_OVERRIDE=FQ","FILING_STATUS=OR","EQY_CONSOLIDATED=Y","Sort=A","Dates=H","DateFormat=P","Fill=—","Direction=H","UseDPDF=Y")</f>
        <v>#NAME?</v>
      </c>
      <c r="BB499" s="1" t="e">
        <f ca="1">_xll.BDH($C$478,"GEO_GROW_TOT_SHRHLDR_EQY","FQ1 2018","FQ1 2018","Currency=INR","Period=FQ","BEST_FPERIOD_OVERRIDE=FQ","FILING_STATUS=OR","EQY_CONSOLIDATED=Y","Sort=A","Dates=H","DateFormat=P","Fill=—","Direction=H","UseDPDF=Y")</f>
        <v>#NAME?</v>
      </c>
      <c r="BC499" s="1" t="e">
        <f ca="1">_xll.BDH($C$478,"TOTAL_CAPITAL_5_YEAR_GROWTH","FQ1 2018","FQ1 2018","Currency=INR","Period=FQ","BEST_FPERIOD_OVERRIDE=FQ","FILING_STATUS=OR","EQY_CONSOLIDATED=Y","Sort=A","Dates=H","DateFormat=P","Fill=—","Direction=H","UseDPDF=Y")</f>
        <v>#NAME?</v>
      </c>
      <c r="BD499" s="1" t="e">
        <f ca="1">_xll.BDH($C$478,"GEO_GROW_BOOK_VAL","FQ1 2018","FQ1 2018","Currency=INR","Period=FQ","BEST_FPERIOD_OVERRIDE=FQ","FILING_STATUS=OR","EQY_CONSOLIDATED=Y","Sort=A","Dates=H","DateFormat=P","Fill=—","Direction=H","UseDPDF=Y")</f>
        <v>#NAME?</v>
      </c>
      <c r="BE499" s="1" t="e">
        <f ca="1">_xll.BDH($C$478,"GEO_GROW_CASH_OPER_ACT","FQ1 2018","FQ1 2018","Currency=INR","Period=FQ","BEST_FPERIOD_OVERRIDE=FQ","FILING_STATUS=OR","EQY_CONSOLIDATED=Y","Sort=A","Dates=H","DateFormat=P","Fill=—","Direction=H","UseDPDF=Y")</f>
        <v>#NAME?</v>
      </c>
      <c r="BF499" s="1" t="e">
        <f ca="1">_xll.BDH($C$478,"REVENUE_SEQUENTIAL_GROWTH","FQ1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99" s="1" t="e">
        <f ca="1">_xll.BDH($C$478,"EBITDA_SEQUENTIAL_GROWTH","FQ1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99" s="1" t="e">
        <f ca="1">_xll.BDH($C$478,"OPERATING_INCOME_SEQ_GROWTH","FQ1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99" s="1" t="e">
        <f ca="1">_xll.BDH($C$478,"NET_INCOME_TO_COMMON_SEQ_GROWTH","FQ1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99" s="1" t="e">
        <f ca="1">_xll.BDH($C$478,"EPS_DILUTED_SEQUENTIAL_GROWTH","FQ1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99" s="1" t="e">
        <f ca="1">_xll.BDH($C$478,"DPS_SEQUENTIAL_GROWTH","FQ1 2018","FQ1 2018","Currency=INR","Period=FQ","BEST_FPERIOD_OVERRIDE=FQ","FILING_STATUS=OR","EQY_CONSOLIDATED=Y","Sort=A","Dates=H","DateFormat=P","Fill=—","Direction=H","UseDPDF=Y")</f>
        <v>#NAME?</v>
      </c>
      <c r="BL499" s="1" t="e">
        <f ca="1">_xll.BDH($C$478,"ACCOUNTS_RECEIVABLE_SEQ_GROWTH","FQ1 2018","FQ1 2018","Currency=INR","Period=FQ","BEST_FPERIOD_OVERRIDE=FQ","FILING_STATUS=OR","EQY_CONSOLIDATED=Y","Sort=A","Dates=H","DateFormat=P","Fill=—","Direction=H","UseDPDF=Y")</f>
        <v>#NAME?</v>
      </c>
      <c r="BM499" s="1" t="e">
        <f ca="1">_xll.BDH($C$478,"INVENTORY_SEQUENTIAL_GROWTH","FQ1 2018","FQ1 2018","Currency=INR","Period=FQ","BEST_FPERIOD_OVERRIDE=FQ","FILING_STATUS=OR","EQY_CONSOLIDATED=Y","Sort=A","Dates=H","DateFormat=P","Fill=—","Direction=H","UseDPDF=Y")</f>
        <v>#NAME?</v>
      </c>
      <c r="BN499" s="1" t="e">
        <f ca="1">_xll.BDH($C$478,"FIXED_ASSETS_SEQUENTIAL_GROWTH","FQ1 2018","FQ1 2018","Currency=INR","Period=FQ","BEST_FPERIOD_OVERRIDE=FQ","FILING_STATUS=OR","EQY_CONSOLIDATED=Y","Sort=A","Dates=H","DateFormat=P","Fill=—","Direction=H","UseDPDF=Y")</f>
        <v>#NAME?</v>
      </c>
      <c r="BO499" s="1" t="e">
        <f ca="1">_xll.BDH($C$478,"TOTAL_ASSETS_SEQUENTIAL_GROWTH","FQ1 2018","FQ1 2018","Currency=INR","Period=FQ","BEST_FPERIOD_OVERRIDE=FQ","FILING_STATUS=OR","EQY_CONSOLIDATED=Y","Sort=A","Dates=H","DateFormat=P","Fill=—","Direction=H","UseDPDF=Y")</f>
        <v>#NAME?</v>
      </c>
      <c r="BP499" s="1" t="e">
        <f ca="1">_xll.BDH($C$478,"MODIFIED_WORKING_CPTL_SEQ_GRWTH","FQ1 2018","FQ1 2018","Currency=INR","Period=FQ","BEST_FPERIOD_OVERRIDE=FQ","FILING_STATUS=OR","EQY_CONSOLIDATED=Y","Sort=A","Dates=H","DateFormat=P","Fill=—","Direction=H","UseDPDF=Y")</f>
        <v>#NAME?</v>
      </c>
      <c r="BQ499" s="1" t="e">
        <f ca="1">_xll.BDH($C$478,"WORKING_CAPITAL_SEQ_GROWTH","FQ1 2018","FQ1 2018","Currency=INR","Period=FQ","BEST_FPERIOD_OVERRIDE=FQ","FILING_STATUS=OR","EQY_CONSOLIDATED=Y","Sort=A","Dates=H","DateFormat=P","Fill=—","Direction=H","UseDPDF=Y")</f>
        <v>#NAME?</v>
      </c>
      <c r="BR499" s="1" t="e">
        <f ca="1">_xll.BDH($C$478,"ACCOUNTS_PAYABLE_SEQ_GROWTH","FQ1 2018","FQ1 2018","Currency=INR","Period=FQ","BEST_FPERIOD_OVERRIDE=FQ","FILING_STATUS=OR","EQY_CONSOLIDATED=Y","Sort=A","Dates=H","DateFormat=P","Fill=—","Direction=H","UseDPDF=Y")</f>
        <v>#NAME?</v>
      </c>
      <c r="BS499" s="1" t="e">
        <f ca="1">_xll.BDH($C$478,"ST_DEBT_SEQUENTIAL_GROWTH","FQ1 2018","FQ1 2018","Currency=INR","Period=FQ","BEST_FPERIOD_OVERRIDE=FQ","FILING_STATUS=OR","EQY_CONSOLIDATED=Y","Sort=A","Dates=H","DateFormat=P","Fill=—","Direction=H","UseDPDF=Y")</f>
        <v>#NAME?</v>
      </c>
      <c r="BT499" s="1" t="e">
        <f ca="1">_xll.BDH($C$478,"TOTAL_DEBT_SEQUENTIAL_GROWTH","FQ1 2018","FQ1 2018","Currency=INR","Period=FQ","BEST_FPERIOD_OVERRIDE=FQ","FILING_STATUS=OR","EQY_CONSOLIDATED=Y","Sort=A","Dates=H","DateFormat=P","Fill=—","Direction=H","UseDPDF=Y")</f>
        <v>#NAME?</v>
      </c>
      <c r="BU499" s="1" t="e">
        <f ca="1">_xll.BDH($C$478,"TOTAL_EQUITY_SEQUENTIAL_GROWTH","FQ1 2018","FQ1 2018","Currency=INR","Period=FQ","BEST_FPERIOD_OVERRIDE=FQ","FILING_STATUS=OR","EQY_CONSOLIDATED=Y","Sort=A","Dates=H","DateFormat=P","Fill=—","Direction=H","UseDPDF=Y")</f>
        <v>#NAME?</v>
      </c>
      <c r="BV499" s="1" t="e">
        <f ca="1">_xll.BDH($C$478,"TOTAL_CAPITAL_SEQUENTIAL_GROWTH","FQ1 2018","FQ1 2018","Currency=INR","Period=FQ","BEST_FPERIOD_OVERRIDE=FQ","FILING_STATUS=OR","EQY_CONSOLIDATED=Y","Sort=A","Dates=H","DateFormat=P","Fill=—","Direction=H","UseDPDF=Y")</f>
        <v>#NAME?</v>
      </c>
      <c r="BW499" s="1" t="e">
        <f ca="1">_xll.BDH($C$478,"BPS_SEQUENTIAL_GROWTH","FQ1 2018","FQ1 2018","Currency=INR","Period=FQ","BEST_FPERIOD_OVERRIDE=FQ","FILING_STATUS=OR","EQY_CONSOLIDATED=Y","Sort=A","Dates=H","DateFormat=P","Fill=—","Direction=H","UseDPDF=Y")</f>
        <v>#NAME?</v>
      </c>
      <c r="BX499" s="1" t="e">
        <f ca="1">_xll.BDH($C$478,"CFO_SEQUENTIAL_GROWTH","FQ1 2018","FQ1 2018","Currency=INR","Period=FQ","BEST_FPERIOD_OVERRIDE=FQ","FILING_STATUS=OR","EQY_CONSOLIDATED=Y","Sort=A","Dates=H","DateFormat=P","Fill=—","Direction=H","UseDPDF=Y")</f>
        <v>#NAME?</v>
      </c>
      <c r="BY499" s="2" t="e">
        <f ca="1">_xll.BDH($C$478,"SHORT_AND_LONG_TERM_DEBT","FQ1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99" s="2" t="e">
        <f ca="1">_xll.BDH($C$478,"BS_ST_BORROW","FQ1 2018","FQ1 2018","Currency=INR","Period=FQ","BEST_FPERIOD_OVERRIDE=FQ","FILING_STATUS=OR","EQY_CONSOLIDATED=Y","SCALING_FORMAT=MLN","Sort=A","Dates=H","DateFormat=P","Fill=—","Direction=H","UseDPDF=Y")</f>
        <v>#NAME?</v>
      </c>
      <c r="CA499" s="2" t="e">
        <f ca="1">_xll.BDH($C$478,"BS_LT_BORROW","FQ1 2018","FQ1 2018","Currency=INR","Period=FQ","BEST_FPERIOD_OVERRIDE=FQ","FILING_STATUS=OR","EQY_CONSOLIDATED=Y","SCALING_FORMAT=MLN","Sort=A","Dates=H","DateFormat=P","Fill=—","Direction=H","UseDPDF=Y")</f>
        <v>#NAME?</v>
      </c>
      <c r="CB499" s="1" t="e">
        <f ca="1">_xll.BDH($C$478,"TOT_DEBT_TO_EBITDA","FQ1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99" s="1" t="e">
        <f ca="1">_xll.BDH($C$478,"NET_DEBT_TO_EBITDA","FQ1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99" s="1" t="e">
        <f ca="1">_xll.BDH($C$478,"TOTAL_DEBT_TO_EBIT","FQ1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99" s="1" t="e">
        <f ca="1">_xll.BDH($C$478,"NET_DEBT_TO_EBIT","FQ1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499" s="1" t="e">
        <f ca="1">_xll.BDH($C$478,"EBITDA_TO_INTEREST_EXPN","FQ1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99" s="1" t="e">
        <f ca="1">_xll.BDH($C$478,"COM_EQY_TO_TOT_ASSET","FQ1 2018","FQ1 2018","Currency=INR","Period=FQ","BEST_FPERIOD_OVERRIDE=FQ","FILING_STATUS=OR","EQY_CONSOLIDATED=Y","Sort=A","Dates=H","DateFormat=P","Fill=—","Direction=H","UseDPDF=Y")</f>
        <v>#NAME?</v>
      </c>
      <c r="CH499" s="1" t="e">
        <f ca="1">_xll.BDH($C$478,"LT_DEBT_TO_TOT_EQY","FQ1 2018","FQ1 2018","Currency=INR","Period=FQ","BEST_FPERIOD_OVERRIDE=FQ","FILING_STATUS=OR","EQY_CONSOLIDATED=Y","Sort=A","Dates=H","DateFormat=P","Fill=—","Direction=H","UseDPDF=Y")</f>
        <v>#NAME?</v>
      </c>
      <c r="CI499" s="1" t="e">
        <f ca="1">_xll.BDH($C$478,"LT_DEBT_TO_TOT_CAP","FQ1 2018","FQ1 2018","Currency=INR","Period=FQ","BEST_FPERIOD_OVERRIDE=FQ","FILING_STATUS=OR","EQY_CONSOLIDATED=Y","Sort=A","Dates=H","DateFormat=P","Fill=—","Direction=H","UseDPDF=Y")</f>
        <v>#NAME?</v>
      </c>
      <c r="CJ499" s="1" t="e">
        <f ca="1">_xll.BDH($C$478,"LT_DEBT_TO_TOT_ASSET","FQ1 2018","FQ1 2018","Currency=INR","Period=FQ","BEST_FPERIOD_OVERRIDE=FQ","FILING_STATUS=OR","EQY_CONSOLIDATED=Y","Sort=A","Dates=H","DateFormat=P","Fill=—","Direction=H","UseDPDF=Y")</f>
        <v>#NAME?</v>
      </c>
      <c r="CK499" s="1" t="e">
        <f ca="1">_xll.BDH($C$478,"TOT_DEBT_TO_TOT_EQY","FQ1 2018","FQ1 2018","Currency=INR","Period=FQ","BEST_FPERIOD_OVERRIDE=FQ","FILING_STATUS=OR","EQY_CONSOLIDATED=Y","Sort=A","Dates=H","DateFormat=P","Fill=—","Direction=H","UseDPDF=Y")</f>
        <v>#NAME?</v>
      </c>
      <c r="CL499" s="1" t="e">
        <f ca="1">_xll.BDH($C$478,"TOT_DEBT_TO_TOT_CAP","FQ1 2018","FQ1 2018","Currency=INR","Period=FQ","BEST_FPERIOD_OVERRIDE=FQ","FILING_STATUS=OR","EQY_CONSOLIDATED=Y","Sort=A","Dates=H","DateFormat=P","Fill=—","Direction=H","UseDPDF=Y")</f>
        <v>#NAME?</v>
      </c>
      <c r="CM499" s="1" t="e">
        <f ca="1">_xll.BDH($C$478,"TOT_DEBT_TO_TOT_ASSET","FQ1 2018","FQ1 2018","Currency=INR","Period=FQ","BEST_FPERIOD_OVERRIDE=FQ","FILING_STATUS=OR","EQY_CONSOLIDATED=Y","Sort=A","Dates=H","DateFormat=P","Fill=—","Direction=H","UseDPDF=Y")</f>
        <v>#NAME?</v>
      </c>
      <c r="CN499" s="1" t="e">
        <f ca="1">_xll.BDH($C$478,"NET_DEBT_TO_SHRHLDR_EQTY","FQ1 2018","FQ1 2018","Currency=INR","Period=FQ","BEST_FPERIOD_OVERRIDE=FQ","FILING_STATUS=OR","EQY_CONSOLIDATED=Y","Sort=A","Dates=H","DateFormat=P","Fill=—","Direction=H","UseDPDF=Y")</f>
        <v>#NAME?</v>
      </c>
      <c r="CO499" s="1" t="e">
        <f ca="1">_xll.BDH($C$478,"NET_DEBT_%_CAPITAL","FQ1 2018","FQ1 2018","Currency=INR","Period=FQ","BEST_FPERIOD_OVERRIDE=FQ","FILING_STATUS=OR","EQY_CONSOLIDATED=Y","Sort=A","Dates=H","DateFormat=P","Fill=—","Direction=H","UseDPDF=Y")</f>
        <v>#NAME?</v>
      </c>
      <c r="CP499" s="2" t="e">
        <f ca="1">_xll.BDH($C$478,"EBITDA","FQ1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99" s="2" t="e">
        <f ca="1">_xll.BDH($C$478,"EBITDA_AFTER_CAPEX","FQ1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99" s="2" t="e">
        <f ca="1">_xll.BDH($C$478,"IS_OPER_INC","FQ1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99" s="1" t="e">
        <f ca="1">_xll.BDH($C$478,"CASH_RATIO","FQ1 2018","FQ1 2018","Currency=INR","Period=FQ","BEST_FPERIOD_OVERRIDE=FQ","FILING_STATUS=OR","EQY_CONSOLIDATED=Y","Sort=A","Dates=H","DateFormat=P","Fill=—","Direction=H","UseDPDF=Y")</f>
        <v>#NAME?</v>
      </c>
      <c r="CT499" s="1" t="e">
        <f ca="1">_xll.BDH($C$478,"CUR_RATIO","FQ1 2018","FQ1 2018","Currency=INR","Period=FQ","BEST_FPERIOD_OVERRIDE=FQ","FILING_STATUS=OR","EQY_CONSOLIDATED=Y","Sort=A","Dates=H","DateFormat=P","Fill=—","Direction=H","UseDPDF=Y")</f>
        <v>#NAME?</v>
      </c>
      <c r="CU499" s="1" t="e">
        <f ca="1">_xll.BDH($C$478,"QUICK_RATIO","FQ1 2018","FQ1 2018","Currency=INR","Period=FQ","BEST_FPERIOD_OVERRIDE=FQ","FILING_STATUS=OR","EQY_CONSOLIDATED=Y","Sort=A","Dates=H","DateFormat=P","Fill=—","Direction=H","UseDPDF=Y")</f>
        <v>#NAME?</v>
      </c>
      <c r="CV499" s="1" t="e">
        <f ca="1">_xll.BDH($C$478,"ALTMAN_Z_SCORE","FQ1 2018","FQ1 2018","Currency=INR","Period=FQ","BEST_FPERIOD_OVERRIDE=FQ","FILING_STATUS=OR","EQY_CONSOLIDATED=Y","Sort=A","Dates=H","DateFormat=P","Fill=—","Direction=H","UseDPDF=Y")</f>
        <v>#NAME?</v>
      </c>
      <c r="CW499" s="3" t="e">
        <f ca="1">_xll.BDH($C$478,"ACCT_RCV_TURN","FQ1 2018","FQ1 2018","Currency=INR","Period=FQ","BEST_FPERIOD_OVERRIDE=FQ","FILING_STATUS=OR","EQY_CONSOLIDATED=Y","FA_ADJUSTED=GAAP","Sort=A","Dates=H","DateFormat=P","Fill=—","Direction=H","UseDPDF=Y")</f>
        <v>#NAME?</v>
      </c>
      <c r="CX499" s="1" t="e">
        <f ca="1">_xll.BDH($C$478,"ACCT_RCV_DAYS","FQ1 2018","FQ1 2018","Currency=INR","Period=FQ","BEST_FPERIOD_OVERRIDE=FQ","FILING_STATUS=OR","EQY_CONSOLIDATED=Y","FA_ADJUSTED=GAAP","Sort=A","Dates=H","DateFormat=P","Fill=—","Direction=H","UseDPDF=Y")</f>
        <v>#NAME?</v>
      </c>
      <c r="CY499" s="3" t="e">
        <f ca="1">_xll.BDH($C$478,"INVENT_TURN","FQ1 2018","FQ1 2018","Currency=INR","Period=FQ","BEST_FPERIOD_OVERRIDE=FQ","FILING_STATUS=OR","EQY_CONSOLIDATED=Y","FA_ADJUSTED=GAAP","Sort=A","Dates=H","DateFormat=P","Fill=—","Direction=H","UseDPDF=Y")</f>
        <v>#NAME?</v>
      </c>
      <c r="CZ499" s="1" t="e">
        <f ca="1">_xll.BDH($C$478,"INVENT_DAYS","FQ1 2018","FQ1 2018","Currency=INR","Period=FQ","BEST_FPERIOD_OVERRIDE=FQ","FILING_STATUS=OR","EQY_CONSOLIDATED=Y","FA_ADJUSTED=GAAP","Sort=A","Dates=H","DateFormat=P","Fill=—","Direction=H","UseDPDF=Y")</f>
        <v>#NAME?</v>
      </c>
      <c r="DA499" s="3" t="e">
        <f ca="1">_xll.BDH($C$478,"ACCOUNTS_PAYABLE_TURNOVER","FQ1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99" s="1" t="e">
        <f ca="1">_xll.BDH($C$478,"ACCOUNTS_PAYABLE_TURNOVER_DAYS","FQ1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99" s="3" t="e">
        <f ca="1">_xll.BDH($C$478,"CASH_CONVERSION_CYCLE","FQ1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99" s="3" t="e">
        <f ca="1">_xll.BDH($C$478,"INV_TO_CASH_DAYS","FQ1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499" s="4" t="e">
        <f ca="1">_xll.BDH($C$478,"BS_INVENTORIES","FQ1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499" s="2" t="e">
        <f ca="1">_xll.BDH($C$478,"INVTRY_RAW_MATERIALS","FQ1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99" s="2" t="e">
        <f ca="1">_xll.BDH($C$478,"INVTRY_IN_PROGRESS","FQ1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99" s="2" t="e">
        <f ca="1">_xll.BDH($C$478,"INVTRY_FINISHED_GOODS","FQ1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99" s="2" t="e">
        <f ca="1">_xll.BDH($C$478,"BS_OTHER_INV","FQ1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00" spans="1:113" x14ac:dyDescent="0.3">
      <c r="A500" s="6"/>
      <c r="B500" s="6"/>
      <c r="C500" s="6"/>
      <c r="D500" s="6"/>
      <c r="E500" t="s">
        <v>5</v>
      </c>
      <c r="F500" t="e">
        <f ca="1">_xll.BDH($C$478,"RETURN_COM_EQY","FQ2 2018","FQ2 2018","Currency=INR","Period=FQ","BEST_FPERIOD_OVERRIDE=FQ","FILING_STATUS=OR","EQY_CONSOLIDATED=Y","FA_ADJUSTED=GAAP","Sort=A","Dates=H","DateFormat=P","Fill=—","Direction=H","UseDPDF=Y")</f>
        <v>#NAME?</v>
      </c>
      <c r="G500" t="e">
        <f ca="1">_xll.BDH($C$478,"RETURN_ON_ASSET","FQ2 2018","FQ2 2018","Currency=INR","Period=FQ","BEST_FPERIOD_OVERRIDE=FQ","FILING_STATUS=OR","EQY_CONSOLIDATED=Y","FA_ADJUSTED=GAAP","Sort=A","Dates=H","DateFormat=P","Fill=—","Direction=H","UseDPDF=Y")</f>
        <v>#NAME?</v>
      </c>
      <c r="H500" t="e">
        <f ca="1">_xll.BDH($C$478,"RETURN_ON_CAP","FQ2 2018","FQ2 2018","Currency=INR","Period=FQ","BEST_FPERIOD_OVERRIDE=FQ","FILING_STATUS=OR","EQY_CONSOLIDATED=Y","FA_ADJUSTED=GAAP","Sort=A","Dates=H","DateFormat=P","Fill=—","Direction=H","UseDPDF=Y")</f>
        <v>#NAME?</v>
      </c>
      <c r="I500" t="e">
        <f ca="1">_xll.BDH($C$478,"RETURN_ON_INV_CAPITAL","FQ2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00" t="e">
        <f ca="1">_xll.BDH($C$478,"EBITDA_TO_REVENUE","FQ2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500" t="e">
        <f ca="1">_xll.BDH($C$478,"OPER_MARGIN","FQ2 2018","FQ2 2018","Currency=INR","Period=FQ","BEST_FPERIOD_OVERRIDE=FQ","FILING_STATUS=OR","EQY_CONSOLIDATED=Y","FA_ADJUSTED=GAAP","Sort=A","Dates=H","DateFormat=P","Fill=—","Direction=H","UseDPDF=Y")</f>
        <v>#NAME?</v>
      </c>
      <c r="L500" t="e">
        <f ca="1">_xll.BDH($C$478,"INCREMENTAL_OPERATING_MARGIN","FQ2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00" t="e">
        <f ca="1">_xll.BDH($C$478,"PRETAX_INC_TO_NET_SALES","FQ2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00" t="e">
        <f ca="1">_xll.BDH($C$478,"INC_BEF_XO_ITEMS_TO_NET_SALES","FQ2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00" t="e">
        <f ca="1">_xll.BDH($C$478,"PROF_MARGIN","FQ2 2018","FQ2 2018","Currency=INR","Period=FQ","BEST_FPERIOD_OVERRIDE=FQ","FILING_STATUS=OR","EQY_CONSOLIDATED=Y","FA_ADJUSTED=GAAP","Sort=A","Dates=H","DateFormat=P","Fill=—","Direction=H","UseDPDF=Y")</f>
        <v>#NAME?</v>
      </c>
      <c r="P500" t="e">
        <f ca="1">_xll.BDH($C$478,"NET_INCOME_TO_COMMON_MARGIN","FQ2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00" t="e">
        <f ca="1">_xll.BDH($C$478,"EFF_TAX_RATE","FQ2 2018","FQ2 2018","Currency=INR","Period=FQ","BEST_FPERIOD_OVERRIDE=FQ","FILING_STATUS=OR","EQY_CONSOLIDATED=Y","FA_ADJUSTED=GAAP","Sort=A","Dates=H","DateFormat=P","Fill=—","Direction=H","UseDPDF=Y")</f>
        <v>#NAME?</v>
      </c>
      <c r="R500" t="e">
        <f ca="1">_xll.BDH($C$478,"DVD_PAYOUT_RATIO","FQ2 2018","FQ2 2018","Currency=INR","Period=FQ","BEST_FPERIOD_OVERRIDE=FQ","FILING_STATUS=OR","EQY_CONSOLIDATED=Y","FA_ADJUSTED=GAAP","Sort=A","Dates=H","DateFormat=P","Fill=—","Direction=H","UseDPDF=Y")</f>
        <v>#NAME?</v>
      </c>
      <c r="S500" t="e">
        <f ca="1">_xll.BDH($C$478,"SUSTAIN_GROWTH_RT","FQ2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500" s="1" t="e">
        <f ca="1">_xll.BDH($C$478,"SALES_GROWTH","FQ2 2018","FQ2 2018","Currency=INR","Period=FQ","BEST_FPERIOD_OVERRIDE=FQ","FILING_STATUS=OR","EQY_CONSOLIDATED=Y","FA_ADJUSTED=GAAP","Sort=A","Dates=H","DateFormat=P","Fill=—","Direction=H","UseDPDF=Y")</f>
        <v>#NAME?</v>
      </c>
      <c r="U500" s="1" t="e">
        <f ca="1">_xll.BDH($C$478,"EBITDA_GROWTH","FQ2 2018","FQ2 2018","Currency=INR","Period=FQ","BEST_FPERIOD_OVERRIDE=FQ","FILING_STATUS=OR","EQY_CONSOLIDATED=Y","FA_ADJUSTED=GAAP","Sort=A","Dates=H","DateFormat=P","Fill=—","Direction=H","UseDPDF=Y")</f>
        <v>#NAME?</v>
      </c>
      <c r="V500" s="1" t="e">
        <f ca="1">_xll.BDH($C$478,"OPER_INC_GROWTH","FQ2 2018","FQ2 2018","Currency=INR","Period=FQ","BEST_FPERIOD_OVERRIDE=FQ","FILING_STATUS=OR","EQY_CONSOLIDATED=Y","FA_ADJUSTED=GAAP","Sort=A","Dates=H","DateFormat=P","Fill=—","Direction=H","UseDPDF=Y")</f>
        <v>#NAME?</v>
      </c>
      <c r="W500" s="1" t="e">
        <f ca="1">_xll.BDH($C$478,"EARN_FOR_COM_GROWTH","FQ2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00" s="1" t="e">
        <f ca="1">_xll.BDH($C$478,"DILUTED_EPS_AFT_XO_ITEMS_GROWTH","FQ2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00" s="1" t="e">
        <f ca="1">_xll.BDH($C$478,"DIVIDEND_PER_SHARE_1_YEAR_GROWTH","FQ2 2018","FQ2 2018","Currency=INR","Period=FQ","BEST_FPERIOD_OVERRIDE=FQ","FILING_STATUS=OR","EQY_CONSOLIDATED=Y","Sort=A","Dates=H","DateFormat=P","Fill=—","Direction=H","UseDPDF=Y")</f>
        <v>#NAME?</v>
      </c>
      <c r="Z500" s="1" t="e">
        <f ca="1">_xll.BDH($C$478,"ACCOUNTS_RECEIVABLE_GROWTH","FQ2 2018","FQ2 2018","Currency=INR","Period=FQ","BEST_FPERIOD_OVERRIDE=FQ","FILING_STATUS=OR","EQY_CONSOLIDATED=Y","Sort=A","Dates=H","DateFormat=P","Fill=—","Direction=H","UseDPDF=Y")</f>
        <v>#NAME?</v>
      </c>
      <c r="AA500" s="1" t="e">
        <f ca="1">_xll.BDH($C$478,"INVENTORY_GROWTH","FQ2 2018","FQ2 2018","Currency=INR","Period=FQ","BEST_FPERIOD_OVERRIDE=FQ","FILING_STATUS=OR","EQY_CONSOLIDATED=Y","Sort=A","Dates=H","DateFormat=P","Fill=—","Direction=H","UseDPDF=Y")</f>
        <v>#NAME?</v>
      </c>
      <c r="AB500" s="1" t="e">
        <f ca="1">_xll.BDH($C$478,"NET_FIXED_ASSETS_1_YEAR_GROWTH","FQ2 2018","FQ2 2018","Currency=INR","Period=FQ","BEST_FPERIOD_OVERRIDE=FQ","FILING_STATUS=OR","EQY_CONSOLIDATED=Y","Sort=A","Dates=H","DateFormat=P","Fill=—","Direction=H","UseDPDF=Y")</f>
        <v>#NAME?</v>
      </c>
      <c r="AC500" s="1" t="e">
        <f ca="1">_xll.BDH($C$478,"ASSET_GROWTH","FQ2 2018","FQ2 2018","Currency=INR","Period=FQ","BEST_FPERIOD_OVERRIDE=FQ","FILING_STATUS=OR","EQY_CONSOLIDATED=Y","Sort=A","Dates=H","DateFormat=P","Fill=—","Direction=H","UseDPDF=Y")</f>
        <v>#NAME?</v>
      </c>
      <c r="AD500" s="1" t="e">
        <f ca="1">_xll.BDH($C$478,"MODIFIED_WORK_CAP_GROWTH","FQ2 2018","FQ2 2018","Currency=INR","Period=FQ","BEST_FPERIOD_OVERRIDE=FQ","FILING_STATUS=OR","EQY_CONSOLIDATED=Y","Sort=A","Dates=H","DateFormat=P","Fill=—","Direction=H","UseDPDF=Y")</f>
        <v>#NAME?</v>
      </c>
      <c r="AE500" s="1" t="e">
        <f ca="1">_xll.BDH($C$478,"WORK_CAP_GROWTH","FQ2 2018","FQ2 2018","Currency=INR","Period=FQ","BEST_FPERIOD_OVERRIDE=FQ","FILING_STATUS=OR","EQY_CONSOLIDATED=Y","Sort=A","Dates=H","DateFormat=P","Fill=—","Direction=H","UseDPDF=Y")</f>
        <v>#NAME?</v>
      </c>
      <c r="AF500" s="1" t="e">
        <f ca="1">_xll.BDH($C$478,"ACCOUNTS_PAYABLE_GROWTH_1YR","FQ2 2018","FQ2 2018","Currency=INR","Period=FQ","BEST_FPERIOD_OVERRIDE=FQ","FILING_STATUS=OR","EQY_CONSOLIDATED=Y","Sort=A","Dates=H","DateFormat=P","Fill=—","Direction=H","UseDPDF=Y")</f>
        <v>#NAME?</v>
      </c>
      <c r="AG500" s="1" t="e">
        <f ca="1">_xll.BDH($C$478,"SHORT_TERM_DEBT_1_YEAR_GROWTH","FQ2 2018","FQ2 2018","Currency=INR","Period=FQ","BEST_FPERIOD_OVERRIDE=FQ","FILING_STATUS=OR","EQY_CONSOLIDATED=Y","Sort=A","Dates=H","DateFormat=P","Fill=—","Direction=H","UseDPDF=Y")</f>
        <v>#NAME?</v>
      </c>
      <c r="AH500" s="1" t="e">
        <f ca="1">_xll.BDH($C$478,"TOTAL_DEBT_1_YEAR_GROWTH","FQ2 2018","FQ2 2018","Currency=INR","Period=FQ","BEST_FPERIOD_OVERRIDE=FQ","FILING_STATUS=OR","EQY_CONSOLIDATED=Y","Sort=A","Dates=H","DateFormat=P","Fill=—","Direction=H","UseDPDF=Y")</f>
        <v>#NAME?</v>
      </c>
      <c r="AI500" s="1" t="e">
        <f ca="1">_xll.BDH($C$478,"TOTAL_EQUITY_1_YEAR_GROWTH","FQ2 2018","FQ2 2018","Currency=INR","Period=FQ","BEST_FPERIOD_OVERRIDE=FQ","FILING_STATUS=OR","EQY_CONSOLIDATED=Y","Sort=A","Dates=H","DateFormat=P","Fill=—","Direction=H","UseDPDF=Y")</f>
        <v>#NAME?</v>
      </c>
      <c r="AJ500" s="1" t="e">
        <f ca="1">_xll.BDH($C$478,"GROWTH_IN_CAP","FQ2 2018","FQ2 2018","Currency=INR","Period=FQ","BEST_FPERIOD_OVERRIDE=FQ","FILING_STATUS=OR","EQY_CONSOLIDATED=Y","Sort=A","Dates=H","DateFormat=P","Fill=—","Direction=H","UseDPDF=Y")</f>
        <v>#NAME?</v>
      </c>
      <c r="AK500" s="1" t="e">
        <f ca="1">_xll.BDH($C$478,"BVPS_GROWTH","FQ2 2018","FQ2 2018","Currency=INR","Period=FQ","BEST_FPERIOD_OVERRIDE=FQ","FILING_STATUS=OR","EQY_CONSOLIDATED=Y","Sort=A","Dates=H","DateFormat=P","Fill=—","Direction=H","UseDPDF=Y")</f>
        <v>#NAME?</v>
      </c>
      <c r="AL500" s="1" t="e">
        <f ca="1">_xll.BDH($C$478,"CASH_FLOW_GROWTH","FQ2 2018","FQ2 2018","Currency=INR","Period=FQ","BEST_FPERIOD_OVERRIDE=FQ","FILING_STATUS=OR","EQY_CONSOLIDATED=Y","Sort=A","Dates=H","DateFormat=P","Fill=—","Direction=H","UseDPDF=Y")</f>
        <v>#NAME?</v>
      </c>
      <c r="AM500" s="1" t="e">
        <f ca="1">_xll.BDH($C$478,"GEO_GROW_NET_SALES","FQ2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00" s="1" t="e">
        <f ca="1">_xll.BDH($C$478,"GEO_GROW_EBITDA","FQ2 2018","FQ2 2018","Currency=INR","Period=FQ","BEST_FPERIOD_OVERRIDE=FQ","FILING_STATUS=OR","EQY_CONSOLIDATED=Y","FA_ADJUSTED=GAAP","Sort=A","Dates=H","DateFormat=P","Fill=—","Direction=H","UseDPDF=Y")</f>
        <v>#NAME?</v>
      </c>
      <c r="AO500" s="1" t="e">
        <f ca="1">_xll.BDH($C$478,"GEO_GROW_OPER_INC","FQ2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00" s="1" t="e">
        <f ca="1">_xll.BDH($C$478,"NET_INCOME_TO_COMMON_5_YR_GROWTH","FQ2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00" s="1" t="e">
        <f ca="1">_xll.BDH($C$478,"5Y_GEO_GROWTH_DILUTED_EPS","FQ2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00" s="1" t="e">
        <f ca="1">_xll.BDH($C$478,"GEO_GROW_DVD_PER_SH","FQ2 2018","FQ2 2018","Currency=INR","Period=FQ","BEST_FPERIOD_OVERRIDE=FQ","FILING_STATUS=OR","EQY_CONSOLIDATED=Y","Sort=A","Dates=H","DateFormat=P","Fill=—","Direction=H","UseDPDF=Y")</f>
        <v>#NAME?</v>
      </c>
      <c r="AS500" s="1" t="e">
        <f ca="1">_xll.BDH($C$478,"ACCOUNTS_RECEIVABLE_5_YR_GROWTH","FQ2 2018","FQ2 2018","Currency=INR","Period=FQ","BEST_FPERIOD_OVERRIDE=FQ","FILING_STATUS=OR","EQY_CONSOLIDATED=Y","Sort=A","Dates=H","DateFormat=P","Fill=—","Direction=H","UseDPDF=Y")</f>
        <v>#NAME?</v>
      </c>
      <c r="AT500" s="1" t="e">
        <f ca="1">_xll.BDH($C$478,"INVENTORY_5_YEAR_GROWTH","FQ2 2018","FQ2 2018","Currency=INR","Period=FQ","BEST_FPERIOD_OVERRIDE=FQ","FILING_STATUS=OR","EQY_CONSOLIDATED=Y","Sort=A","Dates=H","DateFormat=P","Fill=—","Direction=H","UseDPDF=Y")</f>
        <v>#NAME?</v>
      </c>
      <c r="AU500" s="1" t="e">
        <f ca="1">_xll.BDH($C$478,"NET_FIXED_ASSETS_5_YEAR_GROWTH","FQ2 2018","FQ2 2018","Currency=INR","Period=FQ","BEST_FPERIOD_OVERRIDE=FQ","FILING_STATUS=OR","EQY_CONSOLIDATED=Y","Sort=A","Dates=H","DateFormat=P","Fill=—","Direction=H","UseDPDF=Y")</f>
        <v>#NAME?</v>
      </c>
      <c r="AV500" s="1" t="e">
        <f ca="1">_xll.BDH($C$478,"GEO_GROW_TOT_ASSET","FQ2 2018","FQ2 2018","Currency=INR","Period=FQ","BEST_FPERIOD_OVERRIDE=FQ","FILING_STATUS=OR","EQY_CONSOLIDATED=Y","Sort=A","Dates=H","DateFormat=P","Fill=—","Direction=H","UseDPDF=Y")</f>
        <v>#NAME?</v>
      </c>
      <c r="AW500" s="1" t="e">
        <f ca="1">_xll.BDH($C$478,"MODIFIED_WORKING_CPTL_5YR_GRWTH","FQ2 2018","FQ2 2018","Currency=INR","Period=FQ","BEST_FPERIOD_OVERRIDE=FQ","FILING_STATUS=OR","EQY_CONSOLIDATED=Y","Sort=A","Dates=H","DateFormat=P","Fill=—","Direction=H","UseDPDF=Y")</f>
        <v>#NAME?</v>
      </c>
      <c r="AX500" s="1" t="e">
        <f ca="1">_xll.BDH($C$478,"WORKING_CAPITAL_5_YEAR_GROWTH","FQ2 2018","FQ2 2018","Currency=INR","Period=FQ","BEST_FPERIOD_OVERRIDE=FQ","FILING_STATUS=OR","EQY_CONSOLIDATED=Y","Sort=A","Dates=H","DateFormat=P","Fill=—","Direction=H","UseDPDF=Y")</f>
        <v>#NAME?</v>
      </c>
      <c r="AY500" s="1" t="e">
        <f ca="1">_xll.BDH($C$478,"ACCOUNTS_PAYABLE_5_YEAR_GROWTH","FQ2 2018","FQ2 2018","Currency=INR","Period=FQ","BEST_FPERIOD_OVERRIDE=FQ","FILING_STATUS=OR","EQY_CONSOLIDATED=Y","Sort=A","Dates=H","DateFormat=P","Fill=—","Direction=H","UseDPDF=Y")</f>
        <v>#NAME?</v>
      </c>
      <c r="AZ500" s="1" t="e">
        <f ca="1">_xll.BDH($C$478,"SHORT_TERM_DEBT_5_YEAR_GROWTH","FQ2 2018","FQ2 2018","Currency=INR","Period=FQ","BEST_FPERIOD_OVERRIDE=FQ","FILING_STATUS=OR","EQY_CONSOLIDATED=Y","Sort=A","Dates=H","DateFormat=P","Fill=—","Direction=H","UseDPDF=Y")</f>
        <v>#NAME?</v>
      </c>
      <c r="BA500" s="1" t="e">
        <f ca="1">_xll.BDH($C$478,"TOTAL_DEBT_5_YEAR_GROWTH","FQ2 2018","FQ2 2018","Currency=INR","Period=FQ","BEST_FPERIOD_OVERRIDE=FQ","FILING_STATUS=OR","EQY_CONSOLIDATED=Y","Sort=A","Dates=H","DateFormat=P","Fill=—","Direction=H","UseDPDF=Y")</f>
        <v>#NAME?</v>
      </c>
      <c r="BB500" s="1" t="e">
        <f ca="1">_xll.BDH($C$478,"GEO_GROW_TOT_SHRHLDR_EQY","FQ2 2018","FQ2 2018","Currency=INR","Period=FQ","BEST_FPERIOD_OVERRIDE=FQ","FILING_STATUS=OR","EQY_CONSOLIDATED=Y","Sort=A","Dates=H","DateFormat=P","Fill=—","Direction=H","UseDPDF=Y")</f>
        <v>#NAME?</v>
      </c>
      <c r="BC500" s="1" t="e">
        <f ca="1">_xll.BDH($C$478,"TOTAL_CAPITAL_5_YEAR_GROWTH","FQ2 2018","FQ2 2018","Currency=INR","Period=FQ","BEST_FPERIOD_OVERRIDE=FQ","FILING_STATUS=OR","EQY_CONSOLIDATED=Y","Sort=A","Dates=H","DateFormat=P","Fill=—","Direction=H","UseDPDF=Y")</f>
        <v>#NAME?</v>
      </c>
      <c r="BD500" s="1" t="e">
        <f ca="1">_xll.BDH($C$478,"GEO_GROW_BOOK_VAL","FQ2 2018","FQ2 2018","Currency=INR","Period=FQ","BEST_FPERIOD_OVERRIDE=FQ","FILING_STATUS=OR","EQY_CONSOLIDATED=Y","Sort=A","Dates=H","DateFormat=P","Fill=—","Direction=H","UseDPDF=Y")</f>
        <v>#NAME?</v>
      </c>
      <c r="BE500" s="1" t="e">
        <f ca="1">_xll.BDH($C$478,"GEO_GROW_CASH_OPER_ACT","FQ2 2018","FQ2 2018","Currency=INR","Period=FQ","BEST_FPERIOD_OVERRIDE=FQ","FILING_STATUS=OR","EQY_CONSOLIDATED=Y","Sort=A","Dates=H","DateFormat=P","Fill=—","Direction=H","UseDPDF=Y")</f>
        <v>#NAME?</v>
      </c>
      <c r="BF500" s="1" t="e">
        <f ca="1">_xll.BDH($C$478,"REVENUE_SEQUENTIAL_GROWTH","FQ2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00" s="1" t="e">
        <f ca="1">_xll.BDH($C$478,"EBITDA_SEQUENTIAL_GROWTH","FQ2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00" s="1" t="e">
        <f ca="1">_xll.BDH($C$478,"OPERATING_INCOME_SEQ_GROWTH","FQ2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00" s="1" t="e">
        <f ca="1">_xll.BDH($C$478,"NET_INCOME_TO_COMMON_SEQ_GROWTH","FQ2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00" s="1" t="e">
        <f ca="1">_xll.BDH($C$478,"EPS_DILUTED_SEQUENTIAL_GROWTH","FQ2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00" s="1" t="e">
        <f ca="1">_xll.BDH($C$478,"DPS_SEQUENTIAL_GROWTH","FQ2 2018","FQ2 2018","Currency=INR","Period=FQ","BEST_FPERIOD_OVERRIDE=FQ","FILING_STATUS=OR","EQY_CONSOLIDATED=Y","Sort=A","Dates=H","DateFormat=P","Fill=—","Direction=H","UseDPDF=Y")</f>
        <v>#NAME?</v>
      </c>
      <c r="BL500" s="1" t="e">
        <f ca="1">_xll.BDH($C$478,"ACCOUNTS_RECEIVABLE_SEQ_GROWTH","FQ2 2018","FQ2 2018","Currency=INR","Period=FQ","BEST_FPERIOD_OVERRIDE=FQ","FILING_STATUS=OR","EQY_CONSOLIDATED=Y","Sort=A","Dates=H","DateFormat=P","Fill=—","Direction=H","UseDPDF=Y")</f>
        <v>#NAME?</v>
      </c>
      <c r="BM500" s="1" t="e">
        <f ca="1">_xll.BDH($C$478,"INVENTORY_SEQUENTIAL_GROWTH","FQ2 2018","FQ2 2018","Currency=INR","Period=FQ","BEST_FPERIOD_OVERRIDE=FQ","FILING_STATUS=OR","EQY_CONSOLIDATED=Y","Sort=A","Dates=H","DateFormat=P","Fill=—","Direction=H","UseDPDF=Y")</f>
        <v>#NAME?</v>
      </c>
      <c r="BN500" s="1" t="e">
        <f ca="1">_xll.BDH($C$478,"FIXED_ASSETS_SEQUENTIAL_GROWTH","FQ2 2018","FQ2 2018","Currency=INR","Period=FQ","BEST_FPERIOD_OVERRIDE=FQ","FILING_STATUS=OR","EQY_CONSOLIDATED=Y","Sort=A","Dates=H","DateFormat=P","Fill=—","Direction=H","UseDPDF=Y")</f>
        <v>#NAME?</v>
      </c>
      <c r="BO500" s="1" t="e">
        <f ca="1">_xll.BDH($C$478,"TOTAL_ASSETS_SEQUENTIAL_GROWTH","FQ2 2018","FQ2 2018","Currency=INR","Period=FQ","BEST_FPERIOD_OVERRIDE=FQ","FILING_STATUS=OR","EQY_CONSOLIDATED=Y","Sort=A","Dates=H","DateFormat=P","Fill=—","Direction=H","UseDPDF=Y")</f>
        <v>#NAME?</v>
      </c>
      <c r="BP500" s="1" t="e">
        <f ca="1">_xll.BDH($C$478,"MODIFIED_WORKING_CPTL_SEQ_GRWTH","FQ2 2018","FQ2 2018","Currency=INR","Period=FQ","BEST_FPERIOD_OVERRIDE=FQ","FILING_STATUS=OR","EQY_CONSOLIDATED=Y","Sort=A","Dates=H","DateFormat=P","Fill=—","Direction=H","UseDPDF=Y")</f>
        <v>#NAME?</v>
      </c>
      <c r="BQ500" s="1" t="e">
        <f ca="1">_xll.BDH($C$478,"WORKING_CAPITAL_SEQ_GROWTH","FQ2 2018","FQ2 2018","Currency=INR","Period=FQ","BEST_FPERIOD_OVERRIDE=FQ","FILING_STATUS=OR","EQY_CONSOLIDATED=Y","Sort=A","Dates=H","DateFormat=P","Fill=—","Direction=H","UseDPDF=Y")</f>
        <v>#NAME?</v>
      </c>
      <c r="BR500" s="1" t="e">
        <f ca="1">_xll.BDH($C$478,"ACCOUNTS_PAYABLE_SEQ_GROWTH","FQ2 2018","FQ2 2018","Currency=INR","Period=FQ","BEST_FPERIOD_OVERRIDE=FQ","FILING_STATUS=OR","EQY_CONSOLIDATED=Y","Sort=A","Dates=H","DateFormat=P","Fill=—","Direction=H","UseDPDF=Y")</f>
        <v>#NAME?</v>
      </c>
      <c r="BS500" s="1" t="e">
        <f ca="1">_xll.BDH($C$478,"ST_DEBT_SEQUENTIAL_GROWTH","FQ2 2018","FQ2 2018","Currency=INR","Period=FQ","BEST_FPERIOD_OVERRIDE=FQ","FILING_STATUS=OR","EQY_CONSOLIDATED=Y","Sort=A","Dates=H","DateFormat=P","Fill=—","Direction=H","UseDPDF=Y")</f>
        <v>#NAME?</v>
      </c>
      <c r="BT500" s="1" t="e">
        <f ca="1">_xll.BDH($C$478,"TOTAL_DEBT_SEQUENTIAL_GROWTH","FQ2 2018","FQ2 2018","Currency=INR","Period=FQ","BEST_FPERIOD_OVERRIDE=FQ","FILING_STATUS=OR","EQY_CONSOLIDATED=Y","Sort=A","Dates=H","DateFormat=P","Fill=—","Direction=H","UseDPDF=Y")</f>
        <v>#NAME?</v>
      </c>
      <c r="BU500" s="1" t="e">
        <f ca="1">_xll.BDH($C$478,"TOTAL_EQUITY_SEQUENTIAL_GROWTH","FQ2 2018","FQ2 2018","Currency=INR","Period=FQ","BEST_FPERIOD_OVERRIDE=FQ","FILING_STATUS=OR","EQY_CONSOLIDATED=Y","Sort=A","Dates=H","DateFormat=P","Fill=—","Direction=H","UseDPDF=Y")</f>
        <v>#NAME?</v>
      </c>
      <c r="BV500" s="1" t="e">
        <f ca="1">_xll.BDH($C$478,"TOTAL_CAPITAL_SEQUENTIAL_GROWTH","FQ2 2018","FQ2 2018","Currency=INR","Period=FQ","BEST_FPERIOD_OVERRIDE=FQ","FILING_STATUS=OR","EQY_CONSOLIDATED=Y","Sort=A","Dates=H","DateFormat=P","Fill=—","Direction=H","UseDPDF=Y")</f>
        <v>#NAME?</v>
      </c>
      <c r="BW500" s="1" t="e">
        <f ca="1">_xll.BDH($C$478,"BPS_SEQUENTIAL_GROWTH","FQ2 2018","FQ2 2018","Currency=INR","Period=FQ","BEST_FPERIOD_OVERRIDE=FQ","FILING_STATUS=OR","EQY_CONSOLIDATED=Y","Sort=A","Dates=H","DateFormat=P","Fill=—","Direction=H","UseDPDF=Y")</f>
        <v>#NAME?</v>
      </c>
      <c r="BX500" s="1" t="e">
        <f ca="1">_xll.BDH($C$478,"CFO_SEQUENTIAL_GROWTH","FQ2 2018","FQ2 2018","Currency=INR","Period=FQ","BEST_FPERIOD_OVERRIDE=FQ","FILING_STATUS=OR","EQY_CONSOLIDATED=Y","Sort=A","Dates=H","DateFormat=P","Fill=—","Direction=H","UseDPDF=Y")</f>
        <v>#NAME?</v>
      </c>
      <c r="BY500" s="2" t="e">
        <f ca="1">_xll.BDH($C$478,"SHORT_AND_LONG_TERM_DEBT","FQ2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00" s="2" t="e">
        <f ca="1">_xll.BDH($C$478,"BS_ST_BORROW","FQ2 2018","FQ2 2018","Currency=INR","Period=FQ","BEST_FPERIOD_OVERRIDE=FQ","FILING_STATUS=OR","EQY_CONSOLIDATED=Y","SCALING_FORMAT=MLN","Sort=A","Dates=H","DateFormat=P","Fill=—","Direction=H","UseDPDF=Y")</f>
        <v>#NAME?</v>
      </c>
      <c r="CA500" s="2" t="e">
        <f ca="1">_xll.BDH($C$478,"BS_LT_BORROW","FQ2 2018","FQ2 2018","Currency=INR","Period=FQ","BEST_FPERIOD_OVERRIDE=FQ","FILING_STATUS=OR","EQY_CONSOLIDATED=Y","SCALING_FORMAT=MLN","Sort=A","Dates=H","DateFormat=P","Fill=—","Direction=H","UseDPDF=Y")</f>
        <v>#NAME?</v>
      </c>
      <c r="CB500" s="1" t="e">
        <f ca="1">_xll.BDH($C$478,"TOT_DEBT_TO_EBITDA","FQ2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00" s="1" t="e">
        <f ca="1">_xll.BDH($C$478,"NET_DEBT_TO_EBITDA","FQ2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00" s="1" t="e">
        <f ca="1">_xll.BDH($C$478,"TOTAL_DEBT_TO_EBIT","FQ2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00" s="1" t="e">
        <f ca="1">_xll.BDH($C$478,"NET_DEBT_TO_EBIT","FQ2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500" s="1" t="e">
        <f ca="1">_xll.BDH($C$478,"EBITDA_TO_INTEREST_EXPN","FQ2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00" s="1" t="e">
        <f ca="1">_xll.BDH($C$478,"COM_EQY_TO_TOT_ASSET","FQ2 2018","FQ2 2018","Currency=INR","Period=FQ","BEST_FPERIOD_OVERRIDE=FQ","FILING_STATUS=OR","EQY_CONSOLIDATED=Y","Sort=A","Dates=H","DateFormat=P","Fill=—","Direction=H","UseDPDF=Y")</f>
        <v>#NAME?</v>
      </c>
      <c r="CH500" s="1" t="e">
        <f ca="1">_xll.BDH($C$478,"LT_DEBT_TO_TOT_EQY","FQ2 2018","FQ2 2018","Currency=INR","Period=FQ","BEST_FPERIOD_OVERRIDE=FQ","FILING_STATUS=OR","EQY_CONSOLIDATED=Y","Sort=A","Dates=H","DateFormat=P","Fill=—","Direction=H","UseDPDF=Y")</f>
        <v>#NAME?</v>
      </c>
      <c r="CI500" s="1" t="e">
        <f ca="1">_xll.BDH($C$478,"LT_DEBT_TO_TOT_CAP","FQ2 2018","FQ2 2018","Currency=INR","Period=FQ","BEST_FPERIOD_OVERRIDE=FQ","FILING_STATUS=OR","EQY_CONSOLIDATED=Y","Sort=A","Dates=H","DateFormat=P","Fill=—","Direction=H","UseDPDF=Y")</f>
        <v>#NAME?</v>
      </c>
      <c r="CJ500" s="1" t="e">
        <f ca="1">_xll.BDH($C$478,"LT_DEBT_TO_TOT_ASSET","FQ2 2018","FQ2 2018","Currency=INR","Period=FQ","BEST_FPERIOD_OVERRIDE=FQ","FILING_STATUS=OR","EQY_CONSOLIDATED=Y","Sort=A","Dates=H","DateFormat=P","Fill=—","Direction=H","UseDPDF=Y")</f>
        <v>#NAME?</v>
      </c>
      <c r="CK500" s="1" t="e">
        <f ca="1">_xll.BDH($C$478,"TOT_DEBT_TO_TOT_EQY","FQ2 2018","FQ2 2018","Currency=INR","Period=FQ","BEST_FPERIOD_OVERRIDE=FQ","FILING_STATUS=OR","EQY_CONSOLIDATED=Y","Sort=A","Dates=H","DateFormat=P","Fill=—","Direction=H","UseDPDF=Y")</f>
        <v>#NAME?</v>
      </c>
      <c r="CL500" s="1" t="e">
        <f ca="1">_xll.BDH($C$478,"TOT_DEBT_TO_TOT_CAP","FQ2 2018","FQ2 2018","Currency=INR","Period=FQ","BEST_FPERIOD_OVERRIDE=FQ","FILING_STATUS=OR","EQY_CONSOLIDATED=Y","Sort=A","Dates=H","DateFormat=P","Fill=—","Direction=H","UseDPDF=Y")</f>
        <v>#NAME?</v>
      </c>
      <c r="CM500" s="1" t="e">
        <f ca="1">_xll.BDH($C$478,"TOT_DEBT_TO_TOT_ASSET","FQ2 2018","FQ2 2018","Currency=INR","Period=FQ","BEST_FPERIOD_OVERRIDE=FQ","FILING_STATUS=OR","EQY_CONSOLIDATED=Y","Sort=A","Dates=H","DateFormat=P","Fill=—","Direction=H","UseDPDF=Y")</f>
        <v>#NAME?</v>
      </c>
      <c r="CN500" s="1" t="e">
        <f ca="1">_xll.BDH($C$478,"NET_DEBT_TO_SHRHLDR_EQTY","FQ2 2018","FQ2 2018","Currency=INR","Period=FQ","BEST_FPERIOD_OVERRIDE=FQ","FILING_STATUS=OR","EQY_CONSOLIDATED=Y","Sort=A","Dates=H","DateFormat=P","Fill=—","Direction=H","UseDPDF=Y")</f>
        <v>#NAME?</v>
      </c>
      <c r="CO500" s="1" t="e">
        <f ca="1">_xll.BDH($C$478,"NET_DEBT_%_CAPITAL","FQ2 2018","FQ2 2018","Currency=INR","Period=FQ","BEST_FPERIOD_OVERRIDE=FQ","FILING_STATUS=OR","EQY_CONSOLIDATED=Y","Sort=A","Dates=H","DateFormat=P","Fill=—","Direction=H","UseDPDF=Y")</f>
        <v>#NAME?</v>
      </c>
      <c r="CP500" s="2" t="e">
        <f ca="1">_xll.BDH($C$478,"EBITDA","FQ2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00" s="2" t="e">
        <f ca="1">_xll.BDH($C$478,"EBITDA_AFTER_CAPEX","FQ2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00" s="2" t="e">
        <f ca="1">_xll.BDH($C$478,"IS_OPER_INC","FQ2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00" s="1" t="e">
        <f ca="1">_xll.BDH($C$478,"CASH_RATIO","FQ2 2018","FQ2 2018","Currency=INR","Period=FQ","BEST_FPERIOD_OVERRIDE=FQ","FILING_STATUS=OR","EQY_CONSOLIDATED=Y","Sort=A","Dates=H","DateFormat=P","Fill=—","Direction=H","UseDPDF=Y")</f>
        <v>#NAME?</v>
      </c>
      <c r="CT500" s="1" t="e">
        <f ca="1">_xll.BDH($C$478,"CUR_RATIO","FQ2 2018","FQ2 2018","Currency=INR","Period=FQ","BEST_FPERIOD_OVERRIDE=FQ","FILING_STATUS=OR","EQY_CONSOLIDATED=Y","Sort=A","Dates=H","DateFormat=P","Fill=—","Direction=H","UseDPDF=Y")</f>
        <v>#NAME?</v>
      </c>
      <c r="CU500" s="1" t="e">
        <f ca="1">_xll.BDH($C$478,"QUICK_RATIO","FQ2 2018","FQ2 2018","Currency=INR","Period=FQ","BEST_FPERIOD_OVERRIDE=FQ","FILING_STATUS=OR","EQY_CONSOLIDATED=Y","Sort=A","Dates=H","DateFormat=P","Fill=—","Direction=H","UseDPDF=Y")</f>
        <v>#NAME?</v>
      </c>
      <c r="CV500" s="1" t="e">
        <f ca="1">_xll.BDH($C$478,"ALTMAN_Z_SCORE","FQ2 2018","FQ2 2018","Currency=INR","Period=FQ","BEST_FPERIOD_OVERRIDE=FQ","FILING_STATUS=OR","EQY_CONSOLIDATED=Y","Sort=A","Dates=H","DateFormat=P","Fill=—","Direction=H","UseDPDF=Y")</f>
        <v>#NAME?</v>
      </c>
      <c r="CW500" s="3" t="e">
        <f ca="1">_xll.BDH($C$478,"ACCT_RCV_TURN","FQ2 2018","FQ2 2018","Currency=INR","Period=FQ","BEST_FPERIOD_OVERRIDE=FQ","FILING_STATUS=OR","EQY_CONSOLIDATED=Y","FA_ADJUSTED=GAAP","Sort=A","Dates=H","DateFormat=P","Fill=—","Direction=H","UseDPDF=Y")</f>
        <v>#NAME?</v>
      </c>
      <c r="CX500" s="1" t="e">
        <f ca="1">_xll.BDH($C$478,"ACCT_RCV_DAYS","FQ2 2018","FQ2 2018","Currency=INR","Period=FQ","BEST_FPERIOD_OVERRIDE=FQ","FILING_STATUS=OR","EQY_CONSOLIDATED=Y","FA_ADJUSTED=GAAP","Sort=A","Dates=H","DateFormat=P","Fill=—","Direction=H","UseDPDF=Y")</f>
        <v>#NAME?</v>
      </c>
      <c r="CY500" s="3" t="e">
        <f ca="1">_xll.BDH($C$478,"INVENT_TURN","FQ2 2018","FQ2 2018","Currency=INR","Period=FQ","BEST_FPERIOD_OVERRIDE=FQ","FILING_STATUS=OR","EQY_CONSOLIDATED=Y","FA_ADJUSTED=GAAP","Sort=A","Dates=H","DateFormat=P","Fill=—","Direction=H","UseDPDF=Y")</f>
        <v>#NAME?</v>
      </c>
      <c r="CZ500" s="1" t="e">
        <f ca="1">_xll.BDH($C$478,"INVENT_DAYS","FQ2 2018","FQ2 2018","Currency=INR","Period=FQ","BEST_FPERIOD_OVERRIDE=FQ","FILING_STATUS=OR","EQY_CONSOLIDATED=Y","FA_ADJUSTED=GAAP","Sort=A","Dates=H","DateFormat=P","Fill=—","Direction=H","UseDPDF=Y")</f>
        <v>#NAME?</v>
      </c>
      <c r="DA500" s="3" t="e">
        <f ca="1">_xll.BDH($C$478,"ACCOUNTS_PAYABLE_TURNOVER","FQ2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00" s="1" t="e">
        <f ca="1">_xll.BDH($C$478,"ACCOUNTS_PAYABLE_TURNOVER_DAYS","FQ2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00" s="3" t="e">
        <f ca="1">_xll.BDH($C$478,"CASH_CONVERSION_CYCLE","FQ2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00" s="3" t="e">
        <f ca="1">_xll.BDH($C$478,"INV_TO_CASH_DAYS","FQ2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500" s="4" t="e">
        <f ca="1">_xll.BDH($C$478,"BS_INVENTORIES","FQ2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500" s="2" t="e">
        <f ca="1">_xll.BDH($C$478,"INVTRY_RAW_MATERIALS","FQ2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00" s="2" t="e">
        <f ca="1">_xll.BDH($C$478,"INVTRY_IN_PROGRESS","FQ2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00" s="2" t="e">
        <f ca="1">_xll.BDH($C$478,"INVTRY_FINISHED_GOODS","FQ2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00" s="2" t="e">
        <f ca="1">_xll.BDH($C$478,"BS_OTHER_INV","FQ2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01" spans="1:113" x14ac:dyDescent="0.3">
      <c r="A501" s="6"/>
      <c r="B501" s="6"/>
      <c r="C501" s="6"/>
      <c r="D501" s="6"/>
      <c r="E501" t="s">
        <v>6</v>
      </c>
      <c r="F501" t="e">
        <f ca="1">_xll.BDH($C$478,"RETURN_COM_EQY","FQ3 2018","FQ3 2018","Currency=INR","Period=FQ","BEST_FPERIOD_OVERRIDE=FQ","FILING_STATUS=OR","EQY_CONSOLIDATED=Y","FA_ADJUSTED=GAAP","Sort=A","Dates=H","DateFormat=P","Fill=—","Direction=H","UseDPDF=Y")</f>
        <v>#NAME?</v>
      </c>
      <c r="G501" t="e">
        <f ca="1">_xll.BDH($C$478,"RETURN_ON_ASSET","FQ3 2018","FQ3 2018","Currency=INR","Period=FQ","BEST_FPERIOD_OVERRIDE=FQ","FILING_STATUS=OR","EQY_CONSOLIDATED=Y","FA_ADJUSTED=GAAP","Sort=A","Dates=H","DateFormat=P","Fill=—","Direction=H","UseDPDF=Y")</f>
        <v>#NAME?</v>
      </c>
      <c r="H501" t="e">
        <f ca="1">_xll.BDH($C$478,"RETURN_ON_CAP","FQ3 2018","FQ3 2018","Currency=INR","Period=FQ","BEST_FPERIOD_OVERRIDE=FQ","FILING_STATUS=OR","EQY_CONSOLIDATED=Y","FA_ADJUSTED=GAAP","Sort=A","Dates=H","DateFormat=P","Fill=—","Direction=H","UseDPDF=Y")</f>
        <v>#NAME?</v>
      </c>
      <c r="I501" t="e">
        <f ca="1">_xll.BDH($C$478,"RETURN_ON_INV_CAPITAL","FQ3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01" t="e">
        <f ca="1">_xll.BDH($C$478,"EBITDA_TO_REVENUE","FQ3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501" t="e">
        <f ca="1">_xll.BDH($C$478,"OPER_MARGIN","FQ3 2018","FQ3 2018","Currency=INR","Period=FQ","BEST_FPERIOD_OVERRIDE=FQ","FILING_STATUS=OR","EQY_CONSOLIDATED=Y","FA_ADJUSTED=GAAP","Sort=A","Dates=H","DateFormat=P","Fill=—","Direction=H","UseDPDF=Y")</f>
        <v>#NAME?</v>
      </c>
      <c r="L501" t="e">
        <f ca="1">_xll.BDH($C$478,"INCREMENTAL_OPERATING_MARGIN","FQ3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01" t="e">
        <f ca="1">_xll.BDH($C$478,"PRETAX_INC_TO_NET_SALES","FQ3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01" t="e">
        <f ca="1">_xll.BDH($C$478,"INC_BEF_XO_ITEMS_TO_NET_SALES","FQ3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01" t="e">
        <f ca="1">_xll.BDH($C$478,"PROF_MARGIN","FQ3 2018","FQ3 2018","Currency=INR","Period=FQ","BEST_FPERIOD_OVERRIDE=FQ","FILING_STATUS=OR","EQY_CONSOLIDATED=Y","FA_ADJUSTED=GAAP","Sort=A","Dates=H","DateFormat=P","Fill=—","Direction=H","UseDPDF=Y")</f>
        <v>#NAME?</v>
      </c>
      <c r="P501" t="e">
        <f ca="1">_xll.BDH($C$478,"NET_INCOME_TO_COMMON_MARGIN","FQ3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01" t="e">
        <f ca="1">_xll.BDH($C$478,"EFF_TAX_RATE","FQ3 2018","FQ3 2018","Currency=INR","Period=FQ","BEST_FPERIOD_OVERRIDE=FQ","FILING_STATUS=OR","EQY_CONSOLIDATED=Y","FA_ADJUSTED=GAAP","Sort=A","Dates=H","DateFormat=P","Fill=—","Direction=H","UseDPDF=Y")</f>
        <v>#NAME?</v>
      </c>
      <c r="R501" t="e">
        <f ca="1">_xll.BDH($C$478,"DVD_PAYOUT_RATIO","FQ3 2018","FQ3 2018","Currency=INR","Period=FQ","BEST_FPERIOD_OVERRIDE=FQ","FILING_STATUS=OR","EQY_CONSOLIDATED=Y","FA_ADJUSTED=GAAP","Sort=A","Dates=H","DateFormat=P","Fill=—","Direction=H","UseDPDF=Y")</f>
        <v>#NAME?</v>
      </c>
      <c r="S501" t="e">
        <f ca="1">_xll.BDH($C$478,"SUSTAIN_GROWTH_RT","FQ3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501" s="1" t="e">
        <f ca="1">_xll.BDH($C$478,"SALES_GROWTH","FQ3 2018","FQ3 2018","Currency=INR","Period=FQ","BEST_FPERIOD_OVERRIDE=FQ","FILING_STATUS=OR","EQY_CONSOLIDATED=Y","FA_ADJUSTED=GAAP","Sort=A","Dates=H","DateFormat=P","Fill=—","Direction=H","UseDPDF=Y")</f>
        <v>#NAME?</v>
      </c>
      <c r="U501" s="1" t="e">
        <f ca="1">_xll.BDH($C$478,"EBITDA_GROWTH","FQ3 2018","FQ3 2018","Currency=INR","Period=FQ","BEST_FPERIOD_OVERRIDE=FQ","FILING_STATUS=OR","EQY_CONSOLIDATED=Y","FA_ADJUSTED=GAAP","Sort=A","Dates=H","DateFormat=P","Fill=—","Direction=H","UseDPDF=Y")</f>
        <v>#NAME?</v>
      </c>
      <c r="V501" s="1" t="e">
        <f ca="1">_xll.BDH($C$478,"OPER_INC_GROWTH","FQ3 2018","FQ3 2018","Currency=INR","Period=FQ","BEST_FPERIOD_OVERRIDE=FQ","FILING_STATUS=OR","EQY_CONSOLIDATED=Y","FA_ADJUSTED=GAAP","Sort=A","Dates=H","DateFormat=P","Fill=—","Direction=H","UseDPDF=Y")</f>
        <v>#NAME?</v>
      </c>
      <c r="W501" s="1" t="e">
        <f ca="1">_xll.BDH($C$478,"EARN_FOR_COM_GROWTH","FQ3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01" s="1" t="e">
        <f ca="1">_xll.BDH($C$478,"DILUTED_EPS_AFT_XO_ITEMS_GROWTH","FQ3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01" s="1" t="e">
        <f ca="1">_xll.BDH($C$478,"DIVIDEND_PER_SHARE_1_YEAR_GROWTH","FQ3 2018","FQ3 2018","Currency=INR","Period=FQ","BEST_FPERIOD_OVERRIDE=FQ","FILING_STATUS=OR","EQY_CONSOLIDATED=Y","Sort=A","Dates=H","DateFormat=P","Fill=—","Direction=H","UseDPDF=Y")</f>
        <v>#NAME?</v>
      </c>
      <c r="Z501" s="1" t="e">
        <f ca="1">_xll.BDH($C$478,"ACCOUNTS_RECEIVABLE_GROWTH","FQ3 2018","FQ3 2018","Currency=INR","Period=FQ","BEST_FPERIOD_OVERRIDE=FQ","FILING_STATUS=OR","EQY_CONSOLIDATED=Y","Sort=A","Dates=H","DateFormat=P","Fill=—","Direction=H","UseDPDF=Y")</f>
        <v>#NAME?</v>
      </c>
      <c r="AA501" s="1" t="e">
        <f ca="1">_xll.BDH($C$478,"INVENTORY_GROWTH","FQ3 2018","FQ3 2018","Currency=INR","Period=FQ","BEST_FPERIOD_OVERRIDE=FQ","FILING_STATUS=OR","EQY_CONSOLIDATED=Y","Sort=A","Dates=H","DateFormat=P","Fill=—","Direction=H","UseDPDF=Y")</f>
        <v>#NAME?</v>
      </c>
      <c r="AB501" s="1" t="e">
        <f ca="1">_xll.BDH($C$478,"NET_FIXED_ASSETS_1_YEAR_GROWTH","FQ3 2018","FQ3 2018","Currency=INR","Period=FQ","BEST_FPERIOD_OVERRIDE=FQ","FILING_STATUS=OR","EQY_CONSOLIDATED=Y","Sort=A","Dates=H","DateFormat=P","Fill=—","Direction=H","UseDPDF=Y")</f>
        <v>#NAME?</v>
      </c>
      <c r="AC501" s="1" t="e">
        <f ca="1">_xll.BDH($C$478,"ASSET_GROWTH","FQ3 2018","FQ3 2018","Currency=INR","Period=FQ","BEST_FPERIOD_OVERRIDE=FQ","FILING_STATUS=OR","EQY_CONSOLIDATED=Y","Sort=A","Dates=H","DateFormat=P","Fill=—","Direction=H","UseDPDF=Y")</f>
        <v>#NAME?</v>
      </c>
      <c r="AD501" s="1" t="e">
        <f ca="1">_xll.BDH($C$478,"MODIFIED_WORK_CAP_GROWTH","FQ3 2018","FQ3 2018","Currency=INR","Period=FQ","BEST_FPERIOD_OVERRIDE=FQ","FILING_STATUS=OR","EQY_CONSOLIDATED=Y","Sort=A","Dates=H","DateFormat=P","Fill=—","Direction=H","UseDPDF=Y")</f>
        <v>#NAME?</v>
      </c>
      <c r="AE501" s="1" t="e">
        <f ca="1">_xll.BDH($C$478,"WORK_CAP_GROWTH","FQ3 2018","FQ3 2018","Currency=INR","Period=FQ","BEST_FPERIOD_OVERRIDE=FQ","FILING_STATUS=OR","EQY_CONSOLIDATED=Y","Sort=A","Dates=H","DateFormat=P","Fill=—","Direction=H","UseDPDF=Y")</f>
        <v>#NAME?</v>
      </c>
      <c r="AF501" s="1" t="e">
        <f ca="1">_xll.BDH($C$478,"ACCOUNTS_PAYABLE_GROWTH_1YR","FQ3 2018","FQ3 2018","Currency=INR","Period=FQ","BEST_FPERIOD_OVERRIDE=FQ","FILING_STATUS=OR","EQY_CONSOLIDATED=Y","Sort=A","Dates=H","DateFormat=P","Fill=—","Direction=H","UseDPDF=Y")</f>
        <v>#NAME?</v>
      </c>
      <c r="AG501" s="1" t="e">
        <f ca="1">_xll.BDH($C$478,"SHORT_TERM_DEBT_1_YEAR_GROWTH","FQ3 2018","FQ3 2018","Currency=INR","Period=FQ","BEST_FPERIOD_OVERRIDE=FQ","FILING_STATUS=OR","EQY_CONSOLIDATED=Y","Sort=A","Dates=H","DateFormat=P","Fill=—","Direction=H","UseDPDF=Y")</f>
        <v>#NAME?</v>
      </c>
      <c r="AH501" s="1" t="e">
        <f ca="1">_xll.BDH($C$478,"TOTAL_DEBT_1_YEAR_GROWTH","FQ3 2018","FQ3 2018","Currency=INR","Period=FQ","BEST_FPERIOD_OVERRIDE=FQ","FILING_STATUS=OR","EQY_CONSOLIDATED=Y","Sort=A","Dates=H","DateFormat=P","Fill=—","Direction=H","UseDPDF=Y")</f>
        <v>#NAME?</v>
      </c>
      <c r="AI501" s="1" t="e">
        <f ca="1">_xll.BDH($C$478,"TOTAL_EQUITY_1_YEAR_GROWTH","FQ3 2018","FQ3 2018","Currency=INR","Period=FQ","BEST_FPERIOD_OVERRIDE=FQ","FILING_STATUS=OR","EQY_CONSOLIDATED=Y","Sort=A","Dates=H","DateFormat=P","Fill=—","Direction=H","UseDPDF=Y")</f>
        <v>#NAME?</v>
      </c>
      <c r="AJ501" s="1" t="e">
        <f ca="1">_xll.BDH($C$478,"GROWTH_IN_CAP","FQ3 2018","FQ3 2018","Currency=INR","Period=FQ","BEST_FPERIOD_OVERRIDE=FQ","FILING_STATUS=OR","EQY_CONSOLIDATED=Y","Sort=A","Dates=H","DateFormat=P","Fill=—","Direction=H","UseDPDF=Y")</f>
        <v>#NAME?</v>
      </c>
      <c r="AK501" s="1" t="e">
        <f ca="1">_xll.BDH($C$478,"BVPS_GROWTH","FQ3 2018","FQ3 2018","Currency=INR","Period=FQ","BEST_FPERIOD_OVERRIDE=FQ","FILING_STATUS=OR","EQY_CONSOLIDATED=Y","Sort=A","Dates=H","DateFormat=P","Fill=—","Direction=H","UseDPDF=Y")</f>
        <v>#NAME?</v>
      </c>
      <c r="AL501" s="1" t="e">
        <f ca="1">_xll.BDH($C$478,"CASH_FLOW_GROWTH","FQ3 2018","FQ3 2018","Currency=INR","Period=FQ","BEST_FPERIOD_OVERRIDE=FQ","FILING_STATUS=OR","EQY_CONSOLIDATED=Y","Sort=A","Dates=H","DateFormat=P","Fill=—","Direction=H","UseDPDF=Y")</f>
        <v>#NAME?</v>
      </c>
      <c r="AM501" s="1" t="e">
        <f ca="1">_xll.BDH($C$478,"GEO_GROW_NET_SALES","FQ3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01" s="1" t="e">
        <f ca="1">_xll.BDH($C$478,"GEO_GROW_EBITDA","FQ3 2018","FQ3 2018","Currency=INR","Period=FQ","BEST_FPERIOD_OVERRIDE=FQ","FILING_STATUS=OR","EQY_CONSOLIDATED=Y","FA_ADJUSTED=GAAP","Sort=A","Dates=H","DateFormat=P","Fill=—","Direction=H","UseDPDF=Y")</f>
        <v>#NAME?</v>
      </c>
      <c r="AO501" s="1" t="e">
        <f ca="1">_xll.BDH($C$478,"GEO_GROW_OPER_INC","FQ3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01" s="1" t="e">
        <f ca="1">_xll.BDH($C$478,"NET_INCOME_TO_COMMON_5_YR_GROWTH","FQ3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01" s="1" t="e">
        <f ca="1">_xll.BDH($C$478,"5Y_GEO_GROWTH_DILUTED_EPS","FQ3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01" s="1" t="e">
        <f ca="1">_xll.BDH($C$478,"GEO_GROW_DVD_PER_SH","FQ3 2018","FQ3 2018","Currency=INR","Period=FQ","BEST_FPERIOD_OVERRIDE=FQ","FILING_STATUS=OR","EQY_CONSOLIDATED=Y","Sort=A","Dates=H","DateFormat=P","Fill=—","Direction=H","UseDPDF=Y")</f>
        <v>#NAME?</v>
      </c>
      <c r="AS501" s="1" t="e">
        <f ca="1">_xll.BDH($C$478,"ACCOUNTS_RECEIVABLE_5_YR_GROWTH","FQ3 2018","FQ3 2018","Currency=INR","Period=FQ","BEST_FPERIOD_OVERRIDE=FQ","FILING_STATUS=OR","EQY_CONSOLIDATED=Y","Sort=A","Dates=H","DateFormat=P","Fill=—","Direction=H","UseDPDF=Y")</f>
        <v>#NAME?</v>
      </c>
      <c r="AT501" s="1" t="e">
        <f ca="1">_xll.BDH($C$478,"INVENTORY_5_YEAR_GROWTH","FQ3 2018","FQ3 2018","Currency=INR","Period=FQ","BEST_FPERIOD_OVERRIDE=FQ","FILING_STATUS=OR","EQY_CONSOLIDATED=Y","Sort=A","Dates=H","DateFormat=P","Fill=—","Direction=H","UseDPDF=Y")</f>
        <v>#NAME?</v>
      </c>
      <c r="AU501" s="1" t="e">
        <f ca="1">_xll.BDH($C$478,"NET_FIXED_ASSETS_5_YEAR_GROWTH","FQ3 2018","FQ3 2018","Currency=INR","Period=FQ","BEST_FPERIOD_OVERRIDE=FQ","FILING_STATUS=OR","EQY_CONSOLIDATED=Y","Sort=A","Dates=H","DateFormat=P","Fill=—","Direction=H","UseDPDF=Y")</f>
        <v>#NAME?</v>
      </c>
      <c r="AV501" s="1" t="e">
        <f ca="1">_xll.BDH($C$478,"GEO_GROW_TOT_ASSET","FQ3 2018","FQ3 2018","Currency=INR","Period=FQ","BEST_FPERIOD_OVERRIDE=FQ","FILING_STATUS=OR","EQY_CONSOLIDATED=Y","Sort=A","Dates=H","DateFormat=P","Fill=—","Direction=H","UseDPDF=Y")</f>
        <v>#NAME?</v>
      </c>
      <c r="AW501" s="1" t="e">
        <f ca="1">_xll.BDH($C$478,"MODIFIED_WORKING_CPTL_5YR_GRWTH","FQ3 2018","FQ3 2018","Currency=INR","Period=FQ","BEST_FPERIOD_OVERRIDE=FQ","FILING_STATUS=OR","EQY_CONSOLIDATED=Y","Sort=A","Dates=H","DateFormat=P","Fill=—","Direction=H","UseDPDF=Y")</f>
        <v>#NAME?</v>
      </c>
      <c r="AX501" s="1" t="e">
        <f ca="1">_xll.BDH($C$478,"WORKING_CAPITAL_5_YEAR_GROWTH","FQ3 2018","FQ3 2018","Currency=INR","Period=FQ","BEST_FPERIOD_OVERRIDE=FQ","FILING_STATUS=OR","EQY_CONSOLIDATED=Y","Sort=A","Dates=H","DateFormat=P","Fill=—","Direction=H","UseDPDF=Y")</f>
        <v>#NAME?</v>
      </c>
      <c r="AY501" s="1" t="e">
        <f ca="1">_xll.BDH($C$478,"ACCOUNTS_PAYABLE_5_YEAR_GROWTH","FQ3 2018","FQ3 2018","Currency=INR","Period=FQ","BEST_FPERIOD_OVERRIDE=FQ","FILING_STATUS=OR","EQY_CONSOLIDATED=Y","Sort=A","Dates=H","DateFormat=P","Fill=—","Direction=H","UseDPDF=Y")</f>
        <v>#NAME?</v>
      </c>
      <c r="AZ501" s="1" t="e">
        <f ca="1">_xll.BDH($C$478,"SHORT_TERM_DEBT_5_YEAR_GROWTH","FQ3 2018","FQ3 2018","Currency=INR","Period=FQ","BEST_FPERIOD_OVERRIDE=FQ","FILING_STATUS=OR","EQY_CONSOLIDATED=Y","Sort=A","Dates=H","DateFormat=P","Fill=—","Direction=H","UseDPDF=Y")</f>
        <v>#NAME?</v>
      </c>
      <c r="BA501" s="1" t="e">
        <f ca="1">_xll.BDH($C$478,"TOTAL_DEBT_5_YEAR_GROWTH","FQ3 2018","FQ3 2018","Currency=INR","Period=FQ","BEST_FPERIOD_OVERRIDE=FQ","FILING_STATUS=OR","EQY_CONSOLIDATED=Y","Sort=A","Dates=H","DateFormat=P","Fill=—","Direction=H","UseDPDF=Y")</f>
        <v>#NAME?</v>
      </c>
      <c r="BB501" s="1" t="e">
        <f ca="1">_xll.BDH($C$478,"GEO_GROW_TOT_SHRHLDR_EQY","FQ3 2018","FQ3 2018","Currency=INR","Period=FQ","BEST_FPERIOD_OVERRIDE=FQ","FILING_STATUS=OR","EQY_CONSOLIDATED=Y","Sort=A","Dates=H","DateFormat=P","Fill=—","Direction=H","UseDPDF=Y")</f>
        <v>#NAME?</v>
      </c>
      <c r="BC501" s="1" t="e">
        <f ca="1">_xll.BDH($C$478,"TOTAL_CAPITAL_5_YEAR_GROWTH","FQ3 2018","FQ3 2018","Currency=INR","Period=FQ","BEST_FPERIOD_OVERRIDE=FQ","FILING_STATUS=OR","EQY_CONSOLIDATED=Y","Sort=A","Dates=H","DateFormat=P","Fill=—","Direction=H","UseDPDF=Y")</f>
        <v>#NAME?</v>
      </c>
      <c r="BD501" s="1" t="e">
        <f ca="1">_xll.BDH($C$478,"GEO_GROW_BOOK_VAL","FQ3 2018","FQ3 2018","Currency=INR","Period=FQ","BEST_FPERIOD_OVERRIDE=FQ","FILING_STATUS=OR","EQY_CONSOLIDATED=Y","Sort=A","Dates=H","DateFormat=P","Fill=—","Direction=H","UseDPDF=Y")</f>
        <v>#NAME?</v>
      </c>
      <c r="BE501" s="1" t="e">
        <f ca="1">_xll.BDH($C$478,"GEO_GROW_CASH_OPER_ACT","FQ3 2018","FQ3 2018","Currency=INR","Period=FQ","BEST_FPERIOD_OVERRIDE=FQ","FILING_STATUS=OR","EQY_CONSOLIDATED=Y","Sort=A","Dates=H","DateFormat=P","Fill=—","Direction=H","UseDPDF=Y")</f>
        <v>#NAME?</v>
      </c>
      <c r="BF501" s="1" t="e">
        <f ca="1">_xll.BDH($C$478,"REVENUE_SEQUENTIAL_GROWTH","FQ3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01" s="1" t="e">
        <f ca="1">_xll.BDH($C$478,"EBITDA_SEQUENTIAL_GROWTH","FQ3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01" s="1" t="e">
        <f ca="1">_xll.BDH($C$478,"OPERATING_INCOME_SEQ_GROWTH","FQ3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01" s="1" t="e">
        <f ca="1">_xll.BDH($C$478,"NET_INCOME_TO_COMMON_SEQ_GROWTH","FQ3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01" s="1" t="e">
        <f ca="1">_xll.BDH($C$478,"EPS_DILUTED_SEQUENTIAL_GROWTH","FQ3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01" s="1" t="e">
        <f ca="1">_xll.BDH($C$478,"DPS_SEQUENTIAL_GROWTH","FQ3 2018","FQ3 2018","Currency=INR","Period=FQ","BEST_FPERIOD_OVERRIDE=FQ","FILING_STATUS=OR","EQY_CONSOLIDATED=Y","Sort=A","Dates=H","DateFormat=P","Fill=—","Direction=H","UseDPDF=Y")</f>
        <v>#NAME?</v>
      </c>
      <c r="BL501" s="1" t="e">
        <f ca="1">_xll.BDH($C$478,"ACCOUNTS_RECEIVABLE_SEQ_GROWTH","FQ3 2018","FQ3 2018","Currency=INR","Period=FQ","BEST_FPERIOD_OVERRIDE=FQ","FILING_STATUS=OR","EQY_CONSOLIDATED=Y","Sort=A","Dates=H","DateFormat=P","Fill=—","Direction=H","UseDPDF=Y")</f>
        <v>#NAME?</v>
      </c>
      <c r="BM501" s="1" t="e">
        <f ca="1">_xll.BDH($C$478,"INVENTORY_SEQUENTIAL_GROWTH","FQ3 2018","FQ3 2018","Currency=INR","Period=FQ","BEST_FPERIOD_OVERRIDE=FQ","FILING_STATUS=OR","EQY_CONSOLIDATED=Y","Sort=A","Dates=H","DateFormat=P","Fill=—","Direction=H","UseDPDF=Y")</f>
        <v>#NAME?</v>
      </c>
      <c r="BN501" s="1" t="e">
        <f ca="1">_xll.BDH($C$478,"FIXED_ASSETS_SEQUENTIAL_GROWTH","FQ3 2018","FQ3 2018","Currency=INR","Period=FQ","BEST_FPERIOD_OVERRIDE=FQ","FILING_STATUS=OR","EQY_CONSOLIDATED=Y","Sort=A","Dates=H","DateFormat=P","Fill=—","Direction=H","UseDPDF=Y")</f>
        <v>#NAME?</v>
      </c>
      <c r="BO501" s="1" t="e">
        <f ca="1">_xll.BDH($C$478,"TOTAL_ASSETS_SEQUENTIAL_GROWTH","FQ3 2018","FQ3 2018","Currency=INR","Period=FQ","BEST_FPERIOD_OVERRIDE=FQ","FILING_STATUS=OR","EQY_CONSOLIDATED=Y","Sort=A","Dates=H","DateFormat=P","Fill=—","Direction=H","UseDPDF=Y")</f>
        <v>#NAME?</v>
      </c>
      <c r="BP501" s="1" t="e">
        <f ca="1">_xll.BDH($C$478,"MODIFIED_WORKING_CPTL_SEQ_GRWTH","FQ3 2018","FQ3 2018","Currency=INR","Period=FQ","BEST_FPERIOD_OVERRIDE=FQ","FILING_STATUS=OR","EQY_CONSOLIDATED=Y","Sort=A","Dates=H","DateFormat=P","Fill=—","Direction=H","UseDPDF=Y")</f>
        <v>#NAME?</v>
      </c>
      <c r="BQ501" s="1" t="e">
        <f ca="1">_xll.BDH($C$478,"WORKING_CAPITAL_SEQ_GROWTH","FQ3 2018","FQ3 2018","Currency=INR","Period=FQ","BEST_FPERIOD_OVERRIDE=FQ","FILING_STATUS=OR","EQY_CONSOLIDATED=Y","Sort=A","Dates=H","DateFormat=P","Fill=—","Direction=H","UseDPDF=Y")</f>
        <v>#NAME?</v>
      </c>
      <c r="BR501" s="1" t="e">
        <f ca="1">_xll.BDH($C$478,"ACCOUNTS_PAYABLE_SEQ_GROWTH","FQ3 2018","FQ3 2018","Currency=INR","Period=FQ","BEST_FPERIOD_OVERRIDE=FQ","FILING_STATUS=OR","EQY_CONSOLIDATED=Y","Sort=A","Dates=H","DateFormat=P","Fill=—","Direction=H","UseDPDF=Y")</f>
        <v>#NAME?</v>
      </c>
      <c r="BS501" s="1" t="e">
        <f ca="1">_xll.BDH($C$478,"ST_DEBT_SEQUENTIAL_GROWTH","FQ3 2018","FQ3 2018","Currency=INR","Period=FQ","BEST_FPERIOD_OVERRIDE=FQ","FILING_STATUS=OR","EQY_CONSOLIDATED=Y","Sort=A","Dates=H","DateFormat=P","Fill=—","Direction=H","UseDPDF=Y")</f>
        <v>#NAME?</v>
      </c>
      <c r="BT501" s="1" t="e">
        <f ca="1">_xll.BDH($C$478,"TOTAL_DEBT_SEQUENTIAL_GROWTH","FQ3 2018","FQ3 2018","Currency=INR","Period=FQ","BEST_FPERIOD_OVERRIDE=FQ","FILING_STATUS=OR","EQY_CONSOLIDATED=Y","Sort=A","Dates=H","DateFormat=P","Fill=—","Direction=H","UseDPDF=Y")</f>
        <v>#NAME?</v>
      </c>
      <c r="BU501" s="1" t="e">
        <f ca="1">_xll.BDH($C$478,"TOTAL_EQUITY_SEQUENTIAL_GROWTH","FQ3 2018","FQ3 2018","Currency=INR","Period=FQ","BEST_FPERIOD_OVERRIDE=FQ","FILING_STATUS=OR","EQY_CONSOLIDATED=Y","Sort=A","Dates=H","DateFormat=P","Fill=—","Direction=H","UseDPDF=Y")</f>
        <v>#NAME?</v>
      </c>
      <c r="BV501" s="1" t="e">
        <f ca="1">_xll.BDH($C$478,"TOTAL_CAPITAL_SEQUENTIAL_GROWTH","FQ3 2018","FQ3 2018","Currency=INR","Period=FQ","BEST_FPERIOD_OVERRIDE=FQ","FILING_STATUS=OR","EQY_CONSOLIDATED=Y","Sort=A","Dates=H","DateFormat=P","Fill=—","Direction=H","UseDPDF=Y")</f>
        <v>#NAME?</v>
      </c>
      <c r="BW501" s="1" t="e">
        <f ca="1">_xll.BDH($C$478,"BPS_SEQUENTIAL_GROWTH","FQ3 2018","FQ3 2018","Currency=INR","Period=FQ","BEST_FPERIOD_OVERRIDE=FQ","FILING_STATUS=OR","EQY_CONSOLIDATED=Y","Sort=A","Dates=H","DateFormat=P","Fill=—","Direction=H","UseDPDF=Y")</f>
        <v>#NAME?</v>
      </c>
      <c r="BX501" s="1" t="e">
        <f ca="1">_xll.BDH($C$478,"CFO_SEQUENTIAL_GROWTH","FQ3 2018","FQ3 2018","Currency=INR","Period=FQ","BEST_FPERIOD_OVERRIDE=FQ","FILING_STATUS=OR","EQY_CONSOLIDATED=Y","Sort=A","Dates=H","DateFormat=P","Fill=—","Direction=H","UseDPDF=Y")</f>
        <v>#NAME?</v>
      </c>
      <c r="BY501" s="2" t="e">
        <f ca="1">_xll.BDH($C$478,"SHORT_AND_LONG_TERM_DEBT","FQ3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01" s="2" t="e">
        <f ca="1">_xll.BDH($C$478,"BS_ST_BORROW","FQ3 2018","FQ3 2018","Currency=INR","Period=FQ","BEST_FPERIOD_OVERRIDE=FQ","FILING_STATUS=OR","EQY_CONSOLIDATED=Y","SCALING_FORMAT=MLN","Sort=A","Dates=H","DateFormat=P","Fill=—","Direction=H","UseDPDF=Y")</f>
        <v>#NAME?</v>
      </c>
      <c r="CA501" s="2" t="e">
        <f ca="1">_xll.BDH($C$478,"BS_LT_BORROW","FQ3 2018","FQ3 2018","Currency=INR","Period=FQ","BEST_FPERIOD_OVERRIDE=FQ","FILING_STATUS=OR","EQY_CONSOLIDATED=Y","SCALING_FORMAT=MLN","Sort=A","Dates=H","DateFormat=P","Fill=—","Direction=H","UseDPDF=Y")</f>
        <v>#NAME?</v>
      </c>
      <c r="CB501" s="1" t="e">
        <f ca="1">_xll.BDH($C$478,"TOT_DEBT_TO_EBITDA","FQ3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01" s="1" t="e">
        <f ca="1">_xll.BDH($C$478,"NET_DEBT_TO_EBITDA","FQ3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01" s="1" t="e">
        <f ca="1">_xll.BDH($C$478,"TOTAL_DEBT_TO_EBIT","FQ3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01" s="1" t="e">
        <f ca="1">_xll.BDH($C$478,"NET_DEBT_TO_EBIT","FQ3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501" s="1" t="e">
        <f ca="1">_xll.BDH($C$478,"EBITDA_TO_INTEREST_EXPN","FQ3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01" s="1" t="e">
        <f ca="1">_xll.BDH($C$478,"COM_EQY_TO_TOT_ASSET","FQ3 2018","FQ3 2018","Currency=INR","Period=FQ","BEST_FPERIOD_OVERRIDE=FQ","FILING_STATUS=OR","EQY_CONSOLIDATED=Y","Sort=A","Dates=H","DateFormat=P","Fill=—","Direction=H","UseDPDF=Y")</f>
        <v>#NAME?</v>
      </c>
      <c r="CH501" s="1" t="e">
        <f ca="1">_xll.BDH($C$478,"LT_DEBT_TO_TOT_EQY","FQ3 2018","FQ3 2018","Currency=INR","Period=FQ","BEST_FPERIOD_OVERRIDE=FQ","FILING_STATUS=OR","EQY_CONSOLIDATED=Y","Sort=A","Dates=H","DateFormat=P","Fill=—","Direction=H","UseDPDF=Y")</f>
        <v>#NAME?</v>
      </c>
      <c r="CI501" s="1" t="e">
        <f ca="1">_xll.BDH($C$478,"LT_DEBT_TO_TOT_CAP","FQ3 2018","FQ3 2018","Currency=INR","Period=FQ","BEST_FPERIOD_OVERRIDE=FQ","FILING_STATUS=OR","EQY_CONSOLIDATED=Y","Sort=A","Dates=H","DateFormat=P","Fill=—","Direction=H","UseDPDF=Y")</f>
        <v>#NAME?</v>
      </c>
      <c r="CJ501" s="1" t="e">
        <f ca="1">_xll.BDH($C$478,"LT_DEBT_TO_TOT_ASSET","FQ3 2018","FQ3 2018","Currency=INR","Period=FQ","BEST_FPERIOD_OVERRIDE=FQ","FILING_STATUS=OR","EQY_CONSOLIDATED=Y","Sort=A","Dates=H","DateFormat=P","Fill=—","Direction=H","UseDPDF=Y")</f>
        <v>#NAME?</v>
      </c>
      <c r="CK501" s="1" t="e">
        <f ca="1">_xll.BDH($C$478,"TOT_DEBT_TO_TOT_EQY","FQ3 2018","FQ3 2018","Currency=INR","Period=FQ","BEST_FPERIOD_OVERRIDE=FQ","FILING_STATUS=OR","EQY_CONSOLIDATED=Y","Sort=A","Dates=H","DateFormat=P","Fill=—","Direction=H","UseDPDF=Y")</f>
        <v>#NAME?</v>
      </c>
      <c r="CL501" s="1" t="e">
        <f ca="1">_xll.BDH($C$478,"TOT_DEBT_TO_TOT_CAP","FQ3 2018","FQ3 2018","Currency=INR","Period=FQ","BEST_FPERIOD_OVERRIDE=FQ","FILING_STATUS=OR","EQY_CONSOLIDATED=Y","Sort=A","Dates=H","DateFormat=P","Fill=—","Direction=H","UseDPDF=Y")</f>
        <v>#NAME?</v>
      </c>
      <c r="CM501" s="1" t="e">
        <f ca="1">_xll.BDH($C$478,"TOT_DEBT_TO_TOT_ASSET","FQ3 2018","FQ3 2018","Currency=INR","Period=FQ","BEST_FPERIOD_OVERRIDE=FQ","FILING_STATUS=OR","EQY_CONSOLIDATED=Y","Sort=A","Dates=H","DateFormat=P","Fill=—","Direction=H","UseDPDF=Y")</f>
        <v>#NAME?</v>
      </c>
      <c r="CN501" s="1" t="e">
        <f ca="1">_xll.BDH($C$478,"NET_DEBT_TO_SHRHLDR_EQTY","FQ3 2018","FQ3 2018","Currency=INR","Period=FQ","BEST_FPERIOD_OVERRIDE=FQ","FILING_STATUS=OR","EQY_CONSOLIDATED=Y","Sort=A","Dates=H","DateFormat=P","Fill=—","Direction=H","UseDPDF=Y")</f>
        <v>#NAME?</v>
      </c>
      <c r="CO501" s="1" t="e">
        <f ca="1">_xll.BDH($C$478,"NET_DEBT_%_CAPITAL","FQ3 2018","FQ3 2018","Currency=INR","Period=FQ","BEST_FPERIOD_OVERRIDE=FQ","FILING_STATUS=OR","EQY_CONSOLIDATED=Y","Sort=A","Dates=H","DateFormat=P","Fill=—","Direction=H","UseDPDF=Y")</f>
        <v>#NAME?</v>
      </c>
      <c r="CP501" s="2" t="e">
        <f ca="1">_xll.BDH($C$478,"EBITDA","FQ3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01" s="2" t="e">
        <f ca="1">_xll.BDH($C$478,"EBITDA_AFTER_CAPEX","FQ3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01" s="2" t="e">
        <f ca="1">_xll.BDH($C$478,"IS_OPER_INC","FQ3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01" s="1" t="e">
        <f ca="1">_xll.BDH($C$478,"CASH_RATIO","FQ3 2018","FQ3 2018","Currency=INR","Period=FQ","BEST_FPERIOD_OVERRIDE=FQ","FILING_STATUS=OR","EQY_CONSOLIDATED=Y","Sort=A","Dates=H","DateFormat=P","Fill=—","Direction=H","UseDPDF=Y")</f>
        <v>#NAME?</v>
      </c>
      <c r="CT501" s="1" t="e">
        <f ca="1">_xll.BDH($C$478,"CUR_RATIO","FQ3 2018","FQ3 2018","Currency=INR","Period=FQ","BEST_FPERIOD_OVERRIDE=FQ","FILING_STATUS=OR","EQY_CONSOLIDATED=Y","Sort=A","Dates=H","DateFormat=P","Fill=—","Direction=H","UseDPDF=Y")</f>
        <v>#NAME?</v>
      </c>
      <c r="CU501" s="1" t="e">
        <f ca="1">_xll.BDH($C$478,"QUICK_RATIO","FQ3 2018","FQ3 2018","Currency=INR","Period=FQ","BEST_FPERIOD_OVERRIDE=FQ","FILING_STATUS=OR","EQY_CONSOLIDATED=Y","Sort=A","Dates=H","DateFormat=P","Fill=—","Direction=H","UseDPDF=Y")</f>
        <v>#NAME?</v>
      </c>
      <c r="CV501" s="1" t="e">
        <f ca="1">_xll.BDH($C$478,"ALTMAN_Z_SCORE","FQ3 2018","FQ3 2018","Currency=INR","Period=FQ","BEST_FPERIOD_OVERRIDE=FQ","FILING_STATUS=OR","EQY_CONSOLIDATED=Y","Sort=A","Dates=H","DateFormat=P","Fill=—","Direction=H","UseDPDF=Y")</f>
        <v>#NAME?</v>
      </c>
      <c r="CW501" s="3" t="e">
        <f ca="1">_xll.BDH($C$478,"ACCT_RCV_TURN","FQ3 2018","FQ3 2018","Currency=INR","Period=FQ","BEST_FPERIOD_OVERRIDE=FQ","FILING_STATUS=OR","EQY_CONSOLIDATED=Y","FA_ADJUSTED=GAAP","Sort=A","Dates=H","DateFormat=P","Fill=—","Direction=H","UseDPDF=Y")</f>
        <v>#NAME?</v>
      </c>
      <c r="CX501" s="1" t="e">
        <f ca="1">_xll.BDH($C$478,"ACCT_RCV_DAYS","FQ3 2018","FQ3 2018","Currency=INR","Period=FQ","BEST_FPERIOD_OVERRIDE=FQ","FILING_STATUS=OR","EQY_CONSOLIDATED=Y","FA_ADJUSTED=GAAP","Sort=A","Dates=H","DateFormat=P","Fill=—","Direction=H","UseDPDF=Y")</f>
        <v>#NAME?</v>
      </c>
      <c r="CY501" s="3" t="e">
        <f ca="1">_xll.BDH($C$478,"INVENT_TURN","FQ3 2018","FQ3 2018","Currency=INR","Period=FQ","BEST_FPERIOD_OVERRIDE=FQ","FILING_STATUS=OR","EQY_CONSOLIDATED=Y","FA_ADJUSTED=GAAP","Sort=A","Dates=H","DateFormat=P","Fill=—","Direction=H","UseDPDF=Y")</f>
        <v>#NAME?</v>
      </c>
      <c r="CZ501" s="1" t="e">
        <f ca="1">_xll.BDH($C$478,"INVENT_DAYS","FQ3 2018","FQ3 2018","Currency=INR","Period=FQ","BEST_FPERIOD_OVERRIDE=FQ","FILING_STATUS=OR","EQY_CONSOLIDATED=Y","FA_ADJUSTED=GAAP","Sort=A","Dates=H","DateFormat=P","Fill=—","Direction=H","UseDPDF=Y")</f>
        <v>#NAME?</v>
      </c>
      <c r="DA501" s="3" t="e">
        <f ca="1">_xll.BDH($C$478,"ACCOUNTS_PAYABLE_TURNOVER","FQ3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01" s="1" t="e">
        <f ca="1">_xll.BDH($C$478,"ACCOUNTS_PAYABLE_TURNOVER_DAYS","FQ3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01" s="3" t="e">
        <f ca="1">_xll.BDH($C$478,"CASH_CONVERSION_CYCLE","FQ3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01" s="3" t="e">
        <f ca="1">_xll.BDH($C$478,"INV_TO_CASH_DAYS","FQ3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501" s="4" t="e">
        <f ca="1">_xll.BDH($C$478,"BS_INVENTORIES","FQ3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501" s="2" t="e">
        <f ca="1">_xll.BDH($C$478,"INVTRY_RAW_MATERIALS","FQ3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01" s="2" t="e">
        <f ca="1">_xll.BDH($C$478,"INVTRY_IN_PROGRESS","FQ3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01" s="2" t="e">
        <f ca="1">_xll.BDH($C$478,"INVTRY_FINISHED_GOODS","FQ3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01" s="2" t="e">
        <f ca="1">_xll.BDH($C$478,"BS_OTHER_INV","FQ3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02" spans="1:113" x14ac:dyDescent="0.3">
      <c r="A502" s="6"/>
      <c r="B502" s="6"/>
      <c r="C502" s="6"/>
      <c r="D502" s="6"/>
      <c r="E502" t="s">
        <v>7</v>
      </c>
      <c r="F502" t="e">
        <f ca="1">_xll.BDH($C$478,"RETURN_COM_EQY","FQ4 2018","FQ4 2018","Currency=INR","Period=FQ","BEST_FPERIOD_OVERRIDE=FQ","FILING_STATUS=OR","EQY_CONSOLIDATED=Y","FA_ADJUSTED=GAAP","Sort=A","Dates=H","DateFormat=P","Fill=—","Direction=H","UseDPDF=Y")</f>
        <v>#NAME?</v>
      </c>
      <c r="G502" t="e">
        <f ca="1">_xll.BDH($C$478,"RETURN_ON_ASSET","FQ4 2018","FQ4 2018","Currency=INR","Period=FQ","BEST_FPERIOD_OVERRIDE=FQ","FILING_STATUS=OR","EQY_CONSOLIDATED=Y","FA_ADJUSTED=GAAP","Sort=A","Dates=H","DateFormat=P","Fill=—","Direction=H","UseDPDF=Y")</f>
        <v>#NAME?</v>
      </c>
      <c r="H502" t="e">
        <f ca="1">_xll.BDH($C$478,"RETURN_ON_CAP","FQ4 2018","FQ4 2018","Currency=INR","Period=FQ","BEST_FPERIOD_OVERRIDE=FQ","FILING_STATUS=OR","EQY_CONSOLIDATED=Y","FA_ADJUSTED=GAAP","Sort=A","Dates=H","DateFormat=P","Fill=—","Direction=H","UseDPDF=Y")</f>
        <v>#NAME?</v>
      </c>
      <c r="I502" t="e">
        <f ca="1">_xll.BDH($C$478,"RETURN_ON_INV_CAPITAL","FQ4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02" t="e">
        <f ca="1">_xll.BDH($C$478,"EBITDA_TO_REVENUE","FQ4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502" t="e">
        <f ca="1">_xll.BDH($C$478,"OPER_MARGIN","FQ4 2018","FQ4 2018","Currency=INR","Period=FQ","BEST_FPERIOD_OVERRIDE=FQ","FILING_STATUS=OR","EQY_CONSOLIDATED=Y","FA_ADJUSTED=GAAP","Sort=A","Dates=H","DateFormat=P","Fill=—","Direction=H","UseDPDF=Y")</f>
        <v>#NAME?</v>
      </c>
      <c r="L502" t="e">
        <f ca="1">_xll.BDH($C$478,"INCREMENTAL_OPERATING_MARGIN","FQ4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02" t="e">
        <f ca="1">_xll.BDH($C$478,"PRETAX_INC_TO_NET_SALES","FQ4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02" t="e">
        <f ca="1">_xll.BDH($C$478,"INC_BEF_XO_ITEMS_TO_NET_SALES","FQ4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02" t="e">
        <f ca="1">_xll.BDH($C$478,"PROF_MARGIN","FQ4 2018","FQ4 2018","Currency=INR","Period=FQ","BEST_FPERIOD_OVERRIDE=FQ","FILING_STATUS=OR","EQY_CONSOLIDATED=Y","FA_ADJUSTED=GAAP","Sort=A","Dates=H","DateFormat=P","Fill=—","Direction=H","UseDPDF=Y")</f>
        <v>#NAME?</v>
      </c>
      <c r="P502" t="e">
        <f ca="1">_xll.BDH($C$478,"NET_INCOME_TO_COMMON_MARGIN","FQ4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02" t="e">
        <f ca="1">_xll.BDH($C$478,"EFF_TAX_RATE","FQ4 2018","FQ4 2018","Currency=INR","Period=FQ","BEST_FPERIOD_OVERRIDE=FQ","FILING_STATUS=OR","EQY_CONSOLIDATED=Y","FA_ADJUSTED=GAAP","Sort=A","Dates=H","DateFormat=P","Fill=—","Direction=H","UseDPDF=Y")</f>
        <v>#NAME?</v>
      </c>
      <c r="R502" t="e">
        <f ca="1">_xll.BDH($C$478,"DVD_PAYOUT_RATIO","FQ4 2018","FQ4 2018","Currency=INR","Period=FQ","BEST_FPERIOD_OVERRIDE=FQ","FILING_STATUS=OR","EQY_CONSOLIDATED=Y","FA_ADJUSTED=GAAP","Sort=A","Dates=H","DateFormat=P","Fill=—","Direction=H","UseDPDF=Y")</f>
        <v>#NAME?</v>
      </c>
      <c r="S502" t="e">
        <f ca="1">_xll.BDH($C$478,"SUSTAIN_GROWTH_RT","FQ4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502" s="1" t="e">
        <f ca="1">_xll.BDH($C$478,"SALES_GROWTH","FQ4 2018","FQ4 2018","Currency=INR","Period=FQ","BEST_FPERIOD_OVERRIDE=FQ","FILING_STATUS=OR","EQY_CONSOLIDATED=Y","FA_ADJUSTED=GAAP","Sort=A","Dates=H","DateFormat=P","Fill=—","Direction=H","UseDPDF=Y")</f>
        <v>#NAME?</v>
      </c>
      <c r="U502" s="1" t="e">
        <f ca="1">_xll.BDH($C$478,"EBITDA_GROWTH","FQ4 2018","FQ4 2018","Currency=INR","Period=FQ","BEST_FPERIOD_OVERRIDE=FQ","FILING_STATUS=OR","EQY_CONSOLIDATED=Y","FA_ADJUSTED=GAAP","Sort=A","Dates=H","DateFormat=P","Fill=—","Direction=H","UseDPDF=Y")</f>
        <v>#NAME?</v>
      </c>
      <c r="V502" s="1" t="e">
        <f ca="1">_xll.BDH($C$478,"OPER_INC_GROWTH","FQ4 2018","FQ4 2018","Currency=INR","Period=FQ","BEST_FPERIOD_OVERRIDE=FQ","FILING_STATUS=OR","EQY_CONSOLIDATED=Y","FA_ADJUSTED=GAAP","Sort=A","Dates=H","DateFormat=P","Fill=—","Direction=H","UseDPDF=Y")</f>
        <v>#NAME?</v>
      </c>
      <c r="W502" s="1" t="e">
        <f ca="1">_xll.BDH($C$478,"EARN_FOR_COM_GROWTH","FQ4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02" s="1" t="e">
        <f ca="1">_xll.BDH($C$478,"DILUTED_EPS_AFT_XO_ITEMS_GROWTH","FQ4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02" s="1" t="e">
        <f ca="1">_xll.BDH($C$478,"DIVIDEND_PER_SHARE_1_YEAR_GROWTH","FQ4 2018","FQ4 2018","Currency=INR","Period=FQ","BEST_FPERIOD_OVERRIDE=FQ","FILING_STATUS=OR","EQY_CONSOLIDATED=Y","Sort=A","Dates=H","DateFormat=P","Fill=—","Direction=H","UseDPDF=Y")</f>
        <v>#NAME?</v>
      </c>
      <c r="Z502" s="1" t="e">
        <f ca="1">_xll.BDH($C$478,"ACCOUNTS_RECEIVABLE_GROWTH","FQ4 2018","FQ4 2018","Currency=INR","Period=FQ","BEST_FPERIOD_OVERRIDE=FQ","FILING_STATUS=OR","EQY_CONSOLIDATED=Y","Sort=A","Dates=H","DateFormat=P","Fill=—","Direction=H","UseDPDF=Y")</f>
        <v>#NAME?</v>
      </c>
      <c r="AA502" s="1" t="e">
        <f ca="1">_xll.BDH($C$478,"INVENTORY_GROWTH","FQ4 2018","FQ4 2018","Currency=INR","Period=FQ","BEST_FPERIOD_OVERRIDE=FQ","FILING_STATUS=OR","EQY_CONSOLIDATED=Y","Sort=A","Dates=H","DateFormat=P","Fill=—","Direction=H","UseDPDF=Y")</f>
        <v>#NAME?</v>
      </c>
      <c r="AB502" s="1" t="e">
        <f ca="1">_xll.BDH($C$478,"NET_FIXED_ASSETS_1_YEAR_GROWTH","FQ4 2018","FQ4 2018","Currency=INR","Period=FQ","BEST_FPERIOD_OVERRIDE=FQ","FILING_STATUS=OR","EQY_CONSOLIDATED=Y","Sort=A","Dates=H","DateFormat=P","Fill=—","Direction=H","UseDPDF=Y")</f>
        <v>#NAME?</v>
      </c>
      <c r="AC502" s="1" t="e">
        <f ca="1">_xll.BDH($C$478,"ASSET_GROWTH","FQ4 2018","FQ4 2018","Currency=INR","Period=FQ","BEST_FPERIOD_OVERRIDE=FQ","FILING_STATUS=OR","EQY_CONSOLIDATED=Y","Sort=A","Dates=H","DateFormat=P","Fill=—","Direction=H","UseDPDF=Y")</f>
        <v>#NAME?</v>
      </c>
      <c r="AD502" s="1" t="e">
        <f ca="1">_xll.BDH($C$478,"MODIFIED_WORK_CAP_GROWTH","FQ4 2018","FQ4 2018","Currency=INR","Period=FQ","BEST_FPERIOD_OVERRIDE=FQ","FILING_STATUS=OR","EQY_CONSOLIDATED=Y","Sort=A","Dates=H","DateFormat=P","Fill=—","Direction=H","UseDPDF=Y")</f>
        <v>#NAME?</v>
      </c>
      <c r="AE502" s="1" t="e">
        <f ca="1">_xll.BDH($C$478,"WORK_CAP_GROWTH","FQ4 2018","FQ4 2018","Currency=INR","Period=FQ","BEST_FPERIOD_OVERRIDE=FQ","FILING_STATUS=OR","EQY_CONSOLIDATED=Y","Sort=A","Dates=H","DateFormat=P","Fill=—","Direction=H","UseDPDF=Y")</f>
        <v>#NAME?</v>
      </c>
      <c r="AF502" s="1" t="e">
        <f ca="1">_xll.BDH($C$478,"ACCOUNTS_PAYABLE_GROWTH_1YR","FQ4 2018","FQ4 2018","Currency=INR","Period=FQ","BEST_FPERIOD_OVERRIDE=FQ","FILING_STATUS=OR","EQY_CONSOLIDATED=Y","Sort=A","Dates=H","DateFormat=P","Fill=—","Direction=H","UseDPDF=Y")</f>
        <v>#NAME?</v>
      </c>
      <c r="AG502" s="1" t="e">
        <f ca="1">_xll.BDH($C$478,"SHORT_TERM_DEBT_1_YEAR_GROWTH","FQ4 2018","FQ4 2018","Currency=INR","Period=FQ","BEST_FPERIOD_OVERRIDE=FQ","FILING_STATUS=OR","EQY_CONSOLIDATED=Y","Sort=A","Dates=H","DateFormat=P","Fill=—","Direction=H","UseDPDF=Y")</f>
        <v>#NAME?</v>
      </c>
      <c r="AH502" s="1" t="e">
        <f ca="1">_xll.BDH($C$478,"TOTAL_DEBT_1_YEAR_GROWTH","FQ4 2018","FQ4 2018","Currency=INR","Period=FQ","BEST_FPERIOD_OVERRIDE=FQ","FILING_STATUS=OR","EQY_CONSOLIDATED=Y","Sort=A","Dates=H","DateFormat=P","Fill=—","Direction=H","UseDPDF=Y")</f>
        <v>#NAME?</v>
      </c>
      <c r="AI502" s="1" t="e">
        <f ca="1">_xll.BDH($C$478,"TOTAL_EQUITY_1_YEAR_GROWTH","FQ4 2018","FQ4 2018","Currency=INR","Period=FQ","BEST_FPERIOD_OVERRIDE=FQ","FILING_STATUS=OR","EQY_CONSOLIDATED=Y","Sort=A","Dates=H","DateFormat=P","Fill=—","Direction=H","UseDPDF=Y")</f>
        <v>#NAME?</v>
      </c>
      <c r="AJ502" s="1" t="e">
        <f ca="1">_xll.BDH($C$478,"GROWTH_IN_CAP","FQ4 2018","FQ4 2018","Currency=INR","Period=FQ","BEST_FPERIOD_OVERRIDE=FQ","FILING_STATUS=OR","EQY_CONSOLIDATED=Y","Sort=A","Dates=H","DateFormat=P","Fill=—","Direction=H","UseDPDF=Y")</f>
        <v>#NAME?</v>
      </c>
      <c r="AK502" s="1" t="e">
        <f ca="1">_xll.BDH($C$478,"BVPS_GROWTH","FQ4 2018","FQ4 2018","Currency=INR","Period=FQ","BEST_FPERIOD_OVERRIDE=FQ","FILING_STATUS=OR","EQY_CONSOLIDATED=Y","Sort=A","Dates=H","DateFormat=P","Fill=—","Direction=H","UseDPDF=Y")</f>
        <v>#NAME?</v>
      </c>
      <c r="AL502" s="1" t="e">
        <f ca="1">_xll.BDH($C$478,"CASH_FLOW_GROWTH","FQ4 2018","FQ4 2018","Currency=INR","Period=FQ","BEST_FPERIOD_OVERRIDE=FQ","FILING_STATUS=OR","EQY_CONSOLIDATED=Y","Sort=A","Dates=H","DateFormat=P","Fill=—","Direction=H","UseDPDF=Y")</f>
        <v>#NAME?</v>
      </c>
      <c r="AM502" s="1" t="e">
        <f ca="1">_xll.BDH($C$478,"GEO_GROW_NET_SALES","FQ4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02" s="1" t="e">
        <f ca="1">_xll.BDH($C$478,"GEO_GROW_EBITDA","FQ4 2018","FQ4 2018","Currency=INR","Period=FQ","BEST_FPERIOD_OVERRIDE=FQ","FILING_STATUS=OR","EQY_CONSOLIDATED=Y","FA_ADJUSTED=GAAP","Sort=A","Dates=H","DateFormat=P","Fill=—","Direction=H","UseDPDF=Y")</f>
        <v>#NAME?</v>
      </c>
      <c r="AO502" s="1" t="e">
        <f ca="1">_xll.BDH($C$478,"GEO_GROW_OPER_INC","FQ4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02" s="1" t="e">
        <f ca="1">_xll.BDH($C$478,"NET_INCOME_TO_COMMON_5_YR_GROWTH","FQ4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02" s="1" t="e">
        <f ca="1">_xll.BDH($C$478,"5Y_GEO_GROWTH_DILUTED_EPS","FQ4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02" s="1" t="e">
        <f ca="1">_xll.BDH($C$478,"GEO_GROW_DVD_PER_SH","FQ4 2018","FQ4 2018","Currency=INR","Period=FQ","BEST_FPERIOD_OVERRIDE=FQ","FILING_STATUS=OR","EQY_CONSOLIDATED=Y","Sort=A","Dates=H","DateFormat=P","Fill=—","Direction=H","UseDPDF=Y")</f>
        <v>#NAME?</v>
      </c>
      <c r="AS502" s="1" t="e">
        <f ca="1">_xll.BDH($C$478,"ACCOUNTS_RECEIVABLE_5_YR_GROWTH","FQ4 2018","FQ4 2018","Currency=INR","Period=FQ","BEST_FPERIOD_OVERRIDE=FQ","FILING_STATUS=OR","EQY_CONSOLIDATED=Y","Sort=A","Dates=H","DateFormat=P","Fill=—","Direction=H","UseDPDF=Y")</f>
        <v>#NAME?</v>
      </c>
      <c r="AT502" s="1" t="e">
        <f ca="1">_xll.BDH($C$478,"INVENTORY_5_YEAR_GROWTH","FQ4 2018","FQ4 2018","Currency=INR","Period=FQ","BEST_FPERIOD_OVERRIDE=FQ","FILING_STATUS=OR","EQY_CONSOLIDATED=Y","Sort=A","Dates=H","DateFormat=P","Fill=—","Direction=H","UseDPDF=Y")</f>
        <v>#NAME?</v>
      </c>
      <c r="AU502" s="1" t="e">
        <f ca="1">_xll.BDH($C$478,"NET_FIXED_ASSETS_5_YEAR_GROWTH","FQ4 2018","FQ4 2018","Currency=INR","Period=FQ","BEST_FPERIOD_OVERRIDE=FQ","FILING_STATUS=OR","EQY_CONSOLIDATED=Y","Sort=A","Dates=H","DateFormat=P","Fill=—","Direction=H","UseDPDF=Y")</f>
        <v>#NAME?</v>
      </c>
      <c r="AV502" s="1" t="e">
        <f ca="1">_xll.BDH($C$478,"GEO_GROW_TOT_ASSET","FQ4 2018","FQ4 2018","Currency=INR","Period=FQ","BEST_FPERIOD_OVERRIDE=FQ","FILING_STATUS=OR","EQY_CONSOLIDATED=Y","Sort=A","Dates=H","DateFormat=P","Fill=—","Direction=H","UseDPDF=Y")</f>
        <v>#NAME?</v>
      </c>
      <c r="AW502" s="1" t="e">
        <f ca="1">_xll.BDH($C$478,"MODIFIED_WORKING_CPTL_5YR_GRWTH","FQ4 2018","FQ4 2018","Currency=INR","Period=FQ","BEST_FPERIOD_OVERRIDE=FQ","FILING_STATUS=OR","EQY_CONSOLIDATED=Y","Sort=A","Dates=H","DateFormat=P","Fill=—","Direction=H","UseDPDF=Y")</f>
        <v>#NAME?</v>
      </c>
      <c r="AX502" s="1" t="e">
        <f ca="1">_xll.BDH($C$478,"WORKING_CAPITAL_5_YEAR_GROWTH","FQ4 2018","FQ4 2018","Currency=INR","Period=FQ","BEST_FPERIOD_OVERRIDE=FQ","FILING_STATUS=OR","EQY_CONSOLIDATED=Y","Sort=A","Dates=H","DateFormat=P","Fill=—","Direction=H","UseDPDF=Y")</f>
        <v>#NAME?</v>
      </c>
      <c r="AY502" s="1" t="e">
        <f ca="1">_xll.BDH($C$478,"ACCOUNTS_PAYABLE_5_YEAR_GROWTH","FQ4 2018","FQ4 2018","Currency=INR","Period=FQ","BEST_FPERIOD_OVERRIDE=FQ","FILING_STATUS=OR","EQY_CONSOLIDATED=Y","Sort=A","Dates=H","DateFormat=P","Fill=—","Direction=H","UseDPDF=Y")</f>
        <v>#NAME?</v>
      </c>
      <c r="AZ502" s="1" t="e">
        <f ca="1">_xll.BDH($C$478,"SHORT_TERM_DEBT_5_YEAR_GROWTH","FQ4 2018","FQ4 2018","Currency=INR","Period=FQ","BEST_FPERIOD_OVERRIDE=FQ","FILING_STATUS=OR","EQY_CONSOLIDATED=Y","Sort=A","Dates=H","DateFormat=P","Fill=—","Direction=H","UseDPDF=Y")</f>
        <v>#NAME?</v>
      </c>
      <c r="BA502" s="1" t="e">
        <f ca="1">_xll.BDH($C$478,"TOTAL_DEBT_5_YEAR_GROWTH","FQ4 2018","FQ4 2018","Currency=INR","Period=FQ","BEST_FPERIOD_OVERRIDE=FQ","FILING_STATUS=OR","EQY_CONSOLIDATED=Y","Sort=A","Dates=H","DateFormat=P","Fill=—","Direction=H","UseDPDF=Y")</f>
        <v>#NAME?</v>
      </c>
      <c r="BB502" s="1" t="e">
        <f ca="1">_xll.BDH($C$478,"GEO_GROW_TOT_SHRHLDR_EQY","FQ4 2018","FQ4 2018","Currency=INR","Period=FQ","BEST_FPERIOD_OVERRIDE=FQ","FILING_STATUS=OR","EQY_CONSOLIDATED=Y","Sort=A","Dates=H","DateFormat=P","Fill=—","Direction=H","UseDPDF=Y")</f>
        <v>#NAME?</v>
      </c>
      <c r="BC502" s="1" t="e">
        <f ca="1">_xll.BDH($C$478,"TOTAL_CAPITAL_5_YEAR_GROWTH","FQ4 2018","FQ4 2018","Currency=INR","Period=FQ","BEST_FPERIOD_OVERRIDE=FQ","FILING_STATUS=OR","EQY_CONSOLIDATED=Y","Sort=A","Dates=H","DateFormat=P","Fill=—","Direction=H","UseDPDF=Y")</f>
        <v>#NAME?</v>
      </c>
      <c r="BD502" s="1" t="e">
        <f ca="1">_xll.BDH($C$478,"GEO_GROW_BOOK_VAL","FQ4 2018","FQ4 2018","Currency=INR","Period=FQ","BEST_FPERIOD_OVERRIDE=FQ","FILING_STATUS=OR","EQY_CONSOLIDATED=Y","Sort=A","Dates=H","DateFormat=P","Fill=—","Direction=H","UseDPDF=Y")</f>
        <v>#NAME?</v>
      </c>
      <c r="BE502" s="1" t="e">
        <f ca="1">_xll.BDH($C$478,"GEO_GROW_CASH_OPER_ACT","FQ4 2018","FQ4 2018","Currency=INR","Period=FQ","BEST_FPERIOD_OVERRIDE=FQ","FILING_STATUS=OR","EQY_CONSOLIDATED=Y","Sort=A","Dates=H","DateFormat=P","Fill=—","Direction=H","UseDPDF=Y")</f>
        <v>#NAME?</v>
      </c>
      <c r="BF502" s="1" t="e">
        <f ca="1">_xll.BDH($C$478,"REVENUE_SEQUENTIAL_GROWTH","FQ4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02" s="1" t="e">
        <f ca="1">_xll.BDH($C$478,"EBITDA_SEQUENTIAL_GROWTH","FQ4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02" s="1" t="e">
        <f ca="1">_xll.BDH($C$478,"OPERATING_INCOME_SEQ_GROWTH","FQ4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02" s="1" t="e">
        <f ca="1">_xll.BDH($C$478,"NET_INCOME_TO_COMMON_SEQ_GROWTH","FQ4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02" s="1" t="e">
        <f ca="1">_xll.BDH($C$478,"EPS_DILUTED_SEQUENTIAL_GROWTH","FQ4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02" s="1" t="e">
        <f ca="1">_xll.BDH($C$478,"DPS_SEQUENTIAL_GROWTH","FQ4 2018","FQ4 2018","Currency=INR","Period=FQ","BEST_FPERIOD_OVERRIDE=FQ","FILING_STATUS=OR","EQY_CONSOLIDATED=Y","Sort=A","Dates=H","DateFormat=P","Fill=—","Direction=H","UseDPDF=Y")</f>
        <v>#NAME?</v>
      </c>
      <c r="BL502" s="1" t="e">
        <f ca="1">_xll.BDH($C$478,"ACCOUNTS_RECEIVABLE_SEQ_GROWTH","FQ4 2018","FQ4 2018","Currency=INR","Period=FQ","BEST_FPERIOD_OVERRIDE=FQ","FILING_STATUS=OR","EQY_CONSOLIDATED=Y","Sort=A","Dates=H","DateFormat=P","Fill=—","Direction=H","UseDPDF=Y")</f>
        <v>#NAME?</v>
      </c>
      <c r="BM502" s="1" t="e">
        <f ca="1">_xll.BDH($C$478,"INVENTORY_SEQUENTIAL_GROWTH","FQ4 2018","FQ4 2018","Currency=INR","Period=FQ","BEST_FPERIOD_OVERRIDE=FQ","FILING_STATUS=OR","EQY_CONSOLIDATED=Y","Sort=A","Dates=H","DateFormat=P","Fill=—","Direction=H","UseDPDF=Y")</f>
        <v>#NAME?</v>
      </c>
      <c r="BN502" s="1" t="e">
        <f ca="1">_xll.BDH($C$478,"FIXED_ASSETS_SEQUENTIAL_GROWTH","FQ4 2018","FQ4 2018","Currency=INR","Period=FQ","BEST_FPERIOD_OVERRIDE=FQ","FILING_STATUS=OR","EQY_CONSOLIDATED=Y","Sort=A","Dates=H","DateFormat=P","Fill=—","Direction=H","UseDPDF=Y")</f>
        <v>#NAME?</v>
      </c>
      <c r="BO502" s="1" t="e">
        <f ca="1">_xll.BDH($C$478,"TOTAL_ASSETS_SEQUENTIAL_GROWTH","FQ4 2018","FQ4 2018","Currency=INR","Period=FQ","BEST_FPERIOD_OVERRIDE=FQ","FILING_STATUS=OR","EQY_CONSOLIDATED=Y","Sort=A","Dates=H","DateFormat=P","Fill=—","Direction=H","UseDPDF=Y")</f>
        <v>#NAME?</v>
      </c>
      <c r="BP502" s="1" t="e">
        <f ca="1">_xll.BDH($C$478,"MODIFIED_WORKING_CPTL_SEQ_GRWTH","FQ4 2018","FQ4 2018","Currency=INR","Period=FQ","BEST_FPERIOD_OVERRIDE=FQ","FILING_STATUS=OR","EQY_CONSOLIDATED=Y","Sort=A","Dates=H","DateFormat=P","Fill=—","Direction=H","UseDPDF=Y")</f>
        <v>#NAME?</v>
      </c>
      <c r="BQ502" s="1" t="e">
        <f ca="1">_xll.BDH($C$478,"WORKING_CAPITAL_SEQ_GROWTH","FQ4 2018","FQ4 2018","Currency=INR","Period=FQ","BEST_FPERIOD_OVERRIDE=FQ","FILING_STATUS=OR","EQY_CONSOLIDATED=Y","Sort=A","Dates=H","DateFormat=P","Fill=—","Direction=H","UseDPDF=Y")</f>
        <v>#NAME?</v>
      </c>
      <c r="BR502" s="1" t="e">
        <f ca="1">_xll.BDH($C$478,"ACCOUNTS_PAYABLE_SEQ_GROWTH","FQ4 2018","FQ4 2018","Currency=INR","Period=FQ","BEST_FPERIOD_OVERRIDE=FQ","FILING_STATUS=OR","EQY_CONSOLIDATED=Y","Sort=A","Dates=H","DateFormat=P","Fill=—","Direction=H","UseDPDF=Y")</f>
        <v>#NAME?</v>
      </c>
      <c r="BS502" s="1" t="e">
        <f ca="1">_xll.BDH($C$478,"ST_DEBT_SEQUENTIAL_GROWTH","FQ4 2018","FQ4 2018","Currency=INR","Period=FQ","BEST_FPERIOD_OVERRIDE=FQ","FILING_STATUS=OR","EQY_CONSOLIDATED=Y","Sort=A","Dates=H","DateFormat=P","Fill=—","Direction=H","UseDPDF=Y")</f>
        <v>#NAME?</v>
      </c>
      <c r="BT502" s="1" t="e">
        <f ca="1">_xll.BDH($C$478,"TOTAL_DEBT_SEQUENTIAL_GROWTH","FQ4 2018","FQ4 2018","Currency=INR","Period=FQ","BEST_FPERIOD_OVERRIDE=FQ","FILING_STATUS=OR","EQY_CONSOLIDATED=Y","Sort=A","Dates=H","DateFormat=P","Fill=—","Direction=H","UseDPDF=Y")</f>
        <v>#NAME?</v>
      </c>
      <c r="BU502" s="1" t="e">
        <f ca="1">_xll.BDH($C$478,"TOTAL_EQUITY_SEQUENTIAL_GROWTH","FQ4 2018","FQ4 2018","Currency=INR","Period=FQ","BEST_FPERIOD_OVERRIDE=FQ","FILING_STATUS=OR","EQY_CONSOLIDATED=Y","Sort=A","Dates=H","DateFormat=P","Fill=—","Direction=H","UseDPDF=Y")</f>
        <v>#NAME?</v>
      </c>
      <c r="BV502" s="1" t="e">
        <f ca="1">_xll.BDH($C$478,"TOTAL_CAPITAL_SEQUENTIAL_GROWTH","FQ4 2018","FQ4 2018","Currency=INR","Period=FQ","BEST_FPERIOD_OVERRIDE=FQ","FILING_STATUS=OR","EQY_CONSOLIDATED=Y","Sort=A","Dates=H","DateFormat=P","Fill=—","Direction=H","UseDPDF=Y")</f>
        <v>#NAME?</v>
      </c>
      <c r="BW502" s="1" t="e">
        <f ca="1">_xll.BDH($C$478,"BPS_SEQUENTIAL_GROWTH","FQ4 2018","FQ4 2018","Currency=INR","Period=FQ","BEST_FPERIOD_OVERRIDE=FQ","FILING_STATUS=OR","EQY_CONSOLIDATED=Y","Sort=A","Dates=H","DateFormat=P","Fill=—","Direction=H","UseDPDF=Y")</f>
        <v>#NAME?</v>
      </c>
      <c r="BX502" s="1" t="e">
        <f ca="1">_xll.BDH($C$478,"CFO_SEQUENTIAL_GROWTH","FQ4 2018","FQ4 2018","Currency=INR","Period=FQ","BEST_FPERIOD_OVERRIDE=FQ","FILING_STATUS=OR","EQY_CONSOLIDATED=Y","Sort=A","Dates=H","DateFormat=P","Fill=—","Direction=H","UseDPDF=Y")</f>
        <v>#NAME?</v>
      </c>
      <c r="BY502" s="2" t="e">
        <f ca="1">_xll.BDH($C$478,"SHORT_AND_LONG_TERM_DEBT","FQ4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02" s="2" t="e">
        <f ca="1">_xll.BDH($C$478,"BS_ST_BORROW","FQ4 2018","FQ4 2018","Currency=INR","Period=FQ","BEST_FPERIOD_OVERRIDE=FQ","FILING_STATUS=OR","EQY_CONSOLIDATED=Y","SCALING_FORMAT=MLN","Sort=A","Dates=H","DateFormat=P","Fill=—","Direction=H","UseDPDF=Y")</f>
        <v>#NAME?</v>
      </c>
      <c r="CA502" s="2" t="e">
        <f ca="1">_xll.BDH($C$478,"BS_LT_BORROW","FQ4 2018","FQ4 2018","Currency=INR","Period=FQ","BEST_FPERIOD_OVERRIDE=FQ","FILING_STATUS=OR","EQY_CONSOLIDATED=Y","SCALING_FORMAT=MLN","Sort=A","Dates=H","DateFormat=P","Fill=—","Direction=H","UseDPDF=Y")</f>
        <v>#NAME?</v>
      </c>
      <c r="CB502" s="1" t="e">
        <f ca="1">_xll.BDH($C$478,"TOT_DEBT_TO_EBITDA","FQ4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02" s="1" t="e">
        <f ca="1">_xll.BDH($C$478,"NET_DEBT_TO_EBITDA","FQ4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02" s="1" t="e">
        <f ca="1">_xll.BDH($C$478,"TOTAL_DEBT_TO_EBIT","FQ4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02" s="1" t="e">
        <f ca="1">_xll.BDH($C$478,"NET_DEBT_TO_EBIT","FQ4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502" s="1" t="e">
        <f ca="1">_xll.BDH($C$478,"EBITDA_TO_INTEREST_EXPN","FQ4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02" s="1" t="e">
        <f ca="1">_xll.BDH($C$478,"COM_EQY_TO_TOT_ASSET","FQ4 2018","FQ4 2018","Currency=INR","Period=FQ","BEST_FPERIOD_OVERRIDE=FQ","FILING_STATUS=OR","EQY_CONSOLIDATED=Y","Sort=A","Dates=H","DateFormat=P","Fill=—","Direction=H","UseDPDF=Y")</f>
        <v>#NAME?</v>
      </c>
      <c r="CH502" s="1" t="e">
        <f ca="1">_xll.BDH($C$478,"LT_DEBT_TO_TOT_EQY","FQ4 2018","FQ4 2018","Currency=INR","Period=FQ","BEST_FPERIOD_OVERRIDE=FQ","FILING_STATUS=OR","EQY_CONSOLIDATED=Y","Sort=A","Dates=H","DateFormat=P","Fill=—","Direction=H","UseDPDF=Y")</f>
        <v>#NAME?</v>
      </c>
      <c r="CI502" s="1" t="e">
        <f ca="1">_xll.BDH($C$478,"LT_DEBT_TO_TOT_CAP","FQ4 2018","FQ4 2018","Currency=INR","Period=FQ","BEST_FPERIOD_OVERRIDE=FQ","FILING_STATUS=OR","EQY_CONSOLIDATED=Y","Sort=A","Dates=H","DateFormat=P","Fill=—","Direction=H","UseDPDF=Y")</f>
        <v>#NAME?</v>
      </c>
      <c r="CJ502" s="1" t="e">
        <f ca="1">_xll.BDH($C$478,"LT_DEBT_TO_TOT_ASSET","FQ4 2018","FQ4 2018","Currency=INR","Period=FQ","BEST_FPERIOD_OVERRIDE=FQ","FILING_STATUS=OR","EQY_CONSOLIDATED=Y","Sort=A","Dates=H","DateFormat=P","Fill=—","Direction=H","UseDPDF=Y")</f>
        <v>#NAME?</v>
      </c>
      <c r="CK502" s="1" t="e">
        <f ca="1">_xll.BDH($C$478,"TOT_DEBT_TO_TOT_EQY","FQ4 2018","FQ4 2018","Currency=INR","Period=FQ","BEST_FPERIOD_OVERRIDE=FQ","FILING_STATUS=OR","EQY_CONSOLIDATED=Y","Sort=A","Dates=H","DateFormat=P","Fill=—","Direction=H","UseDPDF=Y")</f>
        <v>#NAME?</v>
      </c>
      <c r="CL502" s="1" t="e">
        <f ca="1">_xll.BDH($C$478,"TOT_DEBT_TO_TOT_CAP","FQ4 2018","FQ4 2018","Currency=INR","Period=FQ","BEST_FPERIOD_OVERRIDE=FQ","FILING_STATUS=OR","EQY_CONSOLIDATED=Y","Sort=A","Dates=H","DateFormat=P","Fill=—","Direction=H","UseDPDF=Y")</f>
        <v>#NAME?</v>
      </c>
      <c r="CM502" s="1" t="e">
        <f ca="1">_xll.BDH($C$478,"TOT_DEBT_TO_TOT_ASSET","FQ4 2018","FQ4 2018","Currency=INR","Period=FQ","BEST_FPERIOD_OVERRIDE=FQ","FILING_STATUS=OR","EQY_CONSOLIDATED=Y","Sort=A","Dates=H","DateFormat=P","Fill=—","Direction=H","UseDPDF=Y")</f>
        <v>#NAME?</v>
      </c>
      <c r="CN502" s="1" t="e">
        <f ca="1">_xll.BDH($C$478,"NET_DEBT_TO_SHRHLDR_EQTY","FQ4 2018","FQ4 2018","Currency=INR","Period=FQ","BEST_FPERIOD_OVERRIDE=FQ","FILING_STATUS=OR","EQY_CONSOLIDATED=Y","Sort=A","Dates=H","DateFormat=P","Fill=—","Direction=H","UseDPDF=Y")</f>
        <v>#NAME?</v>
      </c>
      <c r="CO502" s="1" t="e">
        <f ca="1">_xll.BDH($C$478,"NET_DEBT_%_CAPITAL","FQ4 2018","FQ4 2018","Currency=INR","Period=FQ","BEST_FPERIOD_OVERRIDE=FQ","FILING_STATUS=OR","EQY_CONSOLIDATED=Y","Sort=A","Dates=H","DateFormat=P","Fill=—","Direction=H","UseDPDF=Y")</f>
        <v>#NAME?</v>
      </c>
      <c r="CP502" s="2" t="e">
        <f ca="1">_xll.BDH($C$478,"EBITDA","FQ4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02" s="2" t="e">
        <f ca="1">_xll.BDH($C$478,"EBITDA_AFTER_CAPEX","FQ4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02" s="2" t="e">
        <f ca="1">_xll.BDH($C$478,"IS_OPER_INC","FQ4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02" s="1" t="e">
        <f ca="1">_xll.BDH($C$478,"CASH_RATIO","FQ4 2018","FQ4 2018","Currency=INR","Period=FQ","BEST_FPERIOD_OVERRIDE=FQ","FILING_STATUS=OR","EQY_CONSOLIDATED=Y","Sort=A","Dates=H","DateFormat=P","Fill=—","Direction=H","UseDPDF=Y")</f>
        <v>#NAME?</v>
      </c>
      <c r="CT502" s="1" t="e">
        <f ca="1">_xll.BDH($C$478,"CUR_RATIO","FQ4 2018","FQ4 2018","Currency=INR","Period=FQ","BEST_FPERIOD_OVERRIDE=FQ","FILING_STATUS=OR","EQY_CONSOLIDATED=Y","Sort=A","Dates=H","DateFormat=P","Fill=—","Direction=H","UseDPDF=Y")</f>
        <v>#NAME?</v>
      </c>
      <c r="CU502" s="1" t="e">
        <f ca="1">_xll.BDH($C$478,"QUICK_RATIO","FQ4 2018","FQ4 2018","Currency=INR","Period=FQ","BEST_FPERIOD_OVERRIDE=FQ","FILING_STATUS=OR","EQY_CONSOLIDATED=Y","Sort=A","Dates=H","DateFormat=P","Fill=—","Direction=H","UseDPDF=Y")</f>
        <v>#NAME?</v>
      </c>
      <c r="CV502" s="1" t="e">
        <f ca="1">_xll.BDH($C$478,"ALTMAN_Z_SCORE","FQ4 2018","FQ4 2018","Currency=INR","Period=FQ","BEST_FPERIOD_OVERRIDE=FQ","FILING_STATUS=OR","EQY_CONSOLIDATED=Y","Sort=A","Dates=H","DateFormat=P","Fill=—","Direction=H","UseDPDF=Y")</f>
        <v>#NAME?</v>
      </c>
      <c r="CW502" s="3" t="e">
        <f ca="1">_xll.BDH($C$478,"ACCT_RCV_TURN","FQ4 2018","FQ4 2018","Currency=INR","Period=FQ","BEST_FPERIOD_OVERRIDE=FQ","FILING_STATUS=OR","EQY_CONSOLIDATED=Y","FA_ADJUSTED=GAAP","Sort=A","Dates=H","DateFormat=P","Fill=—","Direction=H","UseDPDF=Y")</f>
        <v>#NAME?</v>
      </c>
      <c r="CX502" s="1" t="e">
        <f ca="1">_xll.BDH($C$478,"ACCT_RCV_DAYS","FQ4 2018","FQ4 2018","Currency=INR","Period=FQ","BEST_FPERIOD_OVERRIDE=FQ","FILING_STATUS=OR","EQY_CONSOLIDATED=Y","FA_ADJUSTED=GAAP","Sort=A","Dates=H","DateFormat=P","Fill=—","Direction=H","UseDPDF=Y")</f>
        <v>#NAME?</v>
      </c>
      <c r="CY502" s="3" t="e">
        <f ca="1">_xll.BDH($C$478,"INVENT_TURN","FQ4 2018","FQ4 2018","Currency=INR","Period=FQ","BEST_FPERIOD_OVERRIDE=FQ","FILING_STATUS=OR","EQY_CONSOLIDATED=Y","FA_ADJUSTED=GAAP","Sort=A","Dates=H","DateFormat=P","Fill=—","Direction=H","UseDPDF=Y")</f>
        <v>#NAME?</v>
      </c>
      <c r="CZ502" s="1" t="e">
        <f ca="1">_xll.BDH($C$478,"INVENT_DAYS","FQ4 2018","FQ4 2018","Currency=INR","Period=FQ","BEST_FPERIOD_OVERRIDE=FQ","FILING_STATUS=OR","EQY_CONSOLIDATED=Y","FA_ADJUSTED=GAAP","Sort=A","Dates=H","DateFormat=P","Fill=—","Direction=H","UseDPDF=Y")</f>
        <v>#NAME?</v>
      </c>
      <c r="DA502" s="3" t="e">
        <f ca="1">_xll.BDH($C$478,"ACCOUNTS_PAYABLE_TURNOVER","FQ4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02" s="1" t="e">
        <f ca="1">_xll.BDH($C$478,"ACCOUNTS_PAYABLE_TURNOVER_DAYS","FQ4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02" s="3" t="e">
        <f ca="1">_xll.BDH($C$478,"CASH_CONVERSION_CYCLE","FQ4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02" s="3" t="e">
        <f ca="1">_xll.BDH($C$478,"INV_TO_CASH_DAYS","FQ4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502" s="4" t="e">
        <f ca="1">_xll.BDH($C$478,"BS_INVENTORIES","FQ4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502" s="2" t="e">
        <f ca="1">_xll.BDH($C$478,"INVTRY_RAW_MATERIALS","FQ4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02" s="2" t="e">
        <f ca="1">_xll.BDH($C$478,"INVTRY_IN_PROGRESS","FQ4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02" s="2" t="e">
        <f ca="1">_xll.BDH($C$478,"INVTRY_FINISHED_GOODS","FQ4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02" s="2" t="e">
        <f ca="1">_xll.BDH($C$478,"BS_OTHER_INV","FQ4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03" spans="1:113" x14ac:dyDescent="0.3">
      <c r="A503" s="6">
        <v>71</v>
      </c>
      <c r="B503" s="6" t="s">
        <v>50</v>
      </c>
      <c r="C503" s="6" t="s">
        <v>51</v>
      </c>
      <c r="D503" s="6" t="s">
        <v>2</v>
      </c>
      <c r="E503" t="s">
        <v>3</v>
      </c>
      <c r="F503" t="e">
        <f ca="1">_xll.BDH($C$503,"RETURN_COM_EQY","FY 2014","FY 2014","Currency=INR","Period=FY","BEST_FPERIOD_OVERRIDE=FY","FILING_STATUS=OR","EQY_CONSOLIDATED=Y","FA_ADJUSTED=GAAP","Sort=A","Dates=H","DateFormat=P","Fill=—","Direction=H","UseDPDF=Y")</f>
        <v>#NAME?</v>
      </c>
      <c r="G503" t="e">
        <f ca="1">_xll.BDH($C$503,"RETURN_ON_ASSET","FY 2014","FY 2014","Currency=INR","Period=FY","BEST_FPERIOD_OVERRIDE=FY","FILING_STATUS=OR","EQY_CONSOLIDATED=Y","FA_ADJUSTED=GAAP","Sort=A","Dates=H","DateFormat=P","Fill=—","Direction=H","UseDPDF=Y")</f>
        <v>#NAME?</v>
      </c>
      <c r="H503" t="e">
        <f ca="1">_xll.BDH($C$503,"RETURN_ON_CAP","FY 2014","FY 2014","Currency=INR","Period=FY","BEST_FPERIOD_OVERRIDE=FY","FILING_STATUS=OR","EQY_CONSOLIDATED=Y","FA_ADJUSTED=GAAP","Sort=A","Dates=H","DateFormat=P","Fill=—","Direction=H","UseDPDF=Y")</f>
        <v>#NAME?</v>
      </c>
      <c r="I503" t="e">
        <f ca="1">_xll.BDH($C$503,"RETURN_ON_INV_CAPITAL","FY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03" t="e">
        <f ca="1">_xll.BDH($C$503,"EBITDA_TO_REVENUE","FY 2014","FY 2014","Currency=INR","Period=FY","BEST_FPERIOD_OVERRIDE=FY","FILING_STATUS=OR","EQY_CONSOLIDATED=Y","FA_ADJUSTED=GAAP","Sort=A","Dates=H","DateFormat=P","Fill=—","Direction=H","UseDPDF=Y")</f>
        <v>#NAME?</v>
      </c>
      <c r="K503" t="e">
        <f ca="1">_xll.BDH($C$503,"OPER_MARGIN","FY 2014","FY 2014","Currency=INR","Period=FY","BEST_FPERIOD_OVERRIDE=FY","FILING_STATUS=OR","EQY_CONSOLIDATED=Y","FA_ADJUSTED=GAAP","Sort=A","Dates=H","DateFormat=P","Fill=—","Direction=H","UseDPDF=Y")</f>
        <v>#NAME?</v>
      </c>
      <c r="L503" t="e">
        <f ca="1">_xll.BDH($C$503,"INCREMENTAL_OPERATING_MARGIN","FY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03" t="e">
        <f ca="1">_xll.BDH($C$503,"PRETAX_INC_TO_NET_SALES","FY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03" t="e">
        <f ca="1">_xll.BDH($C$503,"INC_BEF_XO_ITEMS_TO_NET_SALES","FY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03" t="e">
        <f ca="1">_xll.BDH($C$503,"PROF_MARGIN","FY 2014","FY 2014","Currency=INR","Period=FY","BEST_FPERIOD_OVERRIDE=FY","FILING_STATUS=OR","EQY_CONSOLIDATED=Y","FA_ADJUSTED=GAAP","Sort=A","Dates=H","DateFormat=P","Fill=—","Direction=H","UseDPDF=Y")</f>
        <v>#NAME?</v>
      </c>
      <c r="P503" t="e">
        <f ca="1">_xll.BDH($C$503,"NET_INCOME_TO_COMMON_MARGIN","FY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03" t="e">
        <f ca="1">_xll.BDH($C$503,"EFF_TAX_RATE","FY 2014","FY 2014","Currency=INR","Period=FY","BEST_FPERIOD_OVERRIDE=FY","FILING_STATUS=OR","EQY_CONSOLIDATED=Y","FA_ADJUSTED=GAAP","Sort=A","Dates=H","DateFormat=P","Fill=—","Direction=H","UseDPDF=Y")</f>
        <v>#NAME?</v>
      </c>
      <c r="R503" t="e">
        <f ca="1">_xll.BDH($C$503,"DVD_PAYOUT_RATIO","FY 2014","FY 2014","Currency=INR","Period=FY","BEST_FPERIOD_OVERRIDE=FY","FILING_STATUS=OR","EQY_CONSOLIDATED=Y","FA_ADJUSTED=GAAP","Sort=A","Dates=H","DateFormat=P","Fill=—","Direction=H","UseDPDF=Y")</f>
        <v>#NAME?</v>
      </c>
      <c r="S503" t="e">
        <f ca="1">_xll.BDH($C$503,"SUSTAIN_GROWTH_RT","FY 2014","FY 2014","Currency=INR","Period=FY","BEST_FPERIOD_OVERRIDE=FY","FILING_STATUS=OR","EQY_CONSOLIDATED=Y","FA_ADJUSTED=GAAP","Sort=A","Dates=H","DateFormat=P","Fill=—","Direction=H","UseDPDF=Y")</f>
        <v>#NAME?</v>
      </c>
      <c r="T503" s="1" t="e">
        <f ca="1">_xll.BDH($C$503,"SALES_GROWTH","FY 2014","FY 2014","Currency=INR","Period=FY","BEST_FPERIOD_OVERRIDE=FY","FILING_STATUS=OR","EQY_CONSOLIDATED=Y","FA_ADJUSTED=GAAP","Sort=A","Dates=H","DateFormat=P","Fill=—","Direction=H","UseDPDF=Y")</f>
        <v>#NAME?</v>
      </c>
      <c r="U503" s="1" t="e">
        <f ca="1">_xll.BDH($C$503,"EBITDA_GROWTH","FY 2014","FY 2014","Currency=INR","Period=FY","BEST_FPERIOD_OVERRIDE=FY","FILING_STATUS=OR","EQY_CONSOLIDATED=Y","FA_ADJUSTED=GAAP","Sort=A","Dates=H","DateFormat=P","Fill=—","Direction=H","UseDPDF=Y")</f>
        <v>#NAME?</v>
      </c>
      <c r="V503" s="1" t="e">
        <f ca="1">_xll.BDH($C$503,"OPER_INC_GROWTH","FY 2014","FY 2014","Currency=INR","Period=FY","BEST_FPERIOD_OVERRIDE=FY","FILING_STATUS=OR","EQY_CONSOLIDATED=Y","FA_ADJUSTED=GAAP","Sort=A","Dates=H","DateFormat=P","Fill=—","Direction=H","UseDPDF=Y")</f>
        <v>#NAME?</v>
      </c>
      <c r="W503" s="1" t="e">
        <f ca="1">_xll.BDH($C$503,"EARN_FOR_COM_GROWTH","FY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503" s="1" t="e">
        <f ca="1">_xll.BDH($C$503,"DILUTED_EPS_AFT_XO_ITEMS_GROWTH","FY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03" s="1" t="e">
        <f ca="1">_xll.BDH($C$503,"DIVIDEND_PER_SHARE_1_YEAR_GROWTH","FY 2014","FY 2014","Currency=INR","Period=FY","BEST_FPERIOD_OVERRIDE=FY","FILING_STATUS=OR","EQY_CONSOLIDATED=Y","Sort=A","Dates=H","DateFormat=P","Fill=—","Direction=H","UseDPDF=Y")</f>
        <v>#NAME?</v>
      </c>
      <c r="Z503" s="1" t="e">
        <f ca="1">_xll.BDH($C$503,"ACCOUNTS_RECEIVABLE_GROWTH","FY 2014","FY 2014","Currency=INR","Period=FY","BEST_FPERIOD_OVERRIDE=FY","FILING_STATUS=OR","EQY_CONSOLIDATED=Y","Sort=A","Dates=H","DateFormat=P","Fill=—","Direction=H","UseDPDF=Y")</f>
        <v>#NAME?</v>
      </c>
      <c r="AA503" s="1" t="e">
        <f ca="1">_xll.BDH($C$503,"INVENTORY_GROWTH","FY 2014","FY 2014","Currency=INR","Period=FY","BEST_FPERIOD_OVERRIDE=FY","FILING_STATUS=OR","EQY_CONSOLIDATED=Y","Sort=A","Dates=H","DateFormat=P","Fill=—","Direction=H","UseDPDF=Y")</f>
        <v>#NAME?</v>
      </c>
      <c r="AB503" s="1" t="e">
        <f ca="1">_xll.BDH($C$503,"NET_FIXED_ASSETS_1_YEAR_GROWTH","FY 2014","FY 2014","Currency=INR","Period=FY","BEST_FPERIOD_OVERRIDE=FY","FILING_STATUS=OR","EQY_CONSOLIDATED=Y","Sort=A","Dates=H","DateFormat=P","Fill=—","Direction=H","UseDPDF=Y")</f>
        <v>#NAME?</v>
      </c>
      <c r="AC503" s="1" t="e">
        <f ca="1">_xll.BDH($C$503,"ASSET_GROWTH","FY 2014","FY 2014","Currency=INR","Period=FY","BEST_FPERIOD_OVERRIDE=FY","FILING_STATUS=OR","EQY_CONSOLIDATED=Y","Sort=A","Dates=H","DateFormat=P","Fill=—","Direction=H","UseDPDF=Y")</f>
        <v>#NAME?</v>
      </c>
      <c r="AD503" s="1" t="e">
        <f ca="1">_xll.BDH($C$503,"MODIFIED_WORK_CAP_GROWTH","FY 2014","FY 2014","Currency=INR","Period=FY","BEST_FPERIOD_OVERRIDE=FY","FILING_STATUS=OR","EQY_CONSOLIDATED=Y","Sort=A","Dates=H","DateFormat=P","Fill=—","Direction=H","UseDPDF=Y")</f>
        <v>#NAME?</v>
      </c>
      <c r="AE503" s="1" t="e">
        <f ca="1">_xll.BDH($C$503,"WORK_CAP_GROWTH","FY 2014","FY 2014","Currency=INR","Period=FY","BEST_FPERIOD_OVERRIDE=FY","FILING_STATUS=OR","EQY_CONSOLIDATED=Y","Sort=A","Dates=H","DateFormat=P","Fill=—","Direction=H","UseDPDF=Y")</f>
        <v>#NAME?</v>
      </c>
      <c r="AF503" s="1" t="e">
        <f ca="1">_xll.BDH($C$503,"ACCOUNTS_PAYABLE_GROWTH_1YR","FY 2014","FY 2014","Currency=INR","Period=FY","BEST_FPERIOD_OVERRIDE=FY","FILING_STATUS=OR","EQY_CONSOLIDATED=Y","Sort=A","Dates=H","DateFormat=P","Fill=—","Direction=H","UseDPDF=Y")</f>
        <v>#NAME?</v>
      </c>
      <c r="AG503" s="1" t="e">
        <f ca="1">_xll.BDH($C$503,"SHORT_TERM_DEBT_1_YEAR_GROWTH","FY 2014","FY 2014","Currency=INR","Period=FY","BEST_FPERIOD_OVERRIDE=FY","FILING_STATUS=OR","EQY_CONSOLIDATED=Y","Sort=A","Dates=H","DateFormat=P","Fill=—","Direction=H","UseDPDF=Y")</f>
        <v>#NAME?</v>
      </c>
      <c r="AH503" s="1" t="e">
        <f ca="1">_xll.BDH($C$503,"TOTAL_DEBT_1_YEAR_GROWTH","FY 2014","FY 2014","Currency=INR","Period=FY","BEST_FPERIOD_OVERRIDE=FY","FILING_STATUS=OR","EQY_CONSOLIDATED=Y","Sort=A","Dates=H","DateFormat=P","Fill=—","Direction=H","UseDPDF=Y")</f>
        <v>#NAME?</v>
      </c>
      <c r="AI503" s="1" t="e">
        <f ca="1">_xll.BDH($C$503,"TOTAL_EQUITY_1_YEAR_GROWTH","FY 2014","FY 2014","Currency=INR","Period=FY","BEST_FPERIOD_OVERRIDE=FY","FILING_STATUS=OR","EQY_CONSOLIDATED=Y","Sort=A","Dates=H","DateFormat=P","Fill=—","Direction=H","UseDPDF=Y")</f>
        <v>#NAME?</v>
      </c>
      <c r="AJ503" s="1" t="e">
        <f ca="1">_xll.BDH($C$503,"GROWTH_IN_CAP","FY 2014","FY 2014","Currency=INR","Period=FY","BEST_FPERIOD_OVERRIDE=FY","FILING_STATUS=OR","EQY_CONSOLIDATED=Y","Sort=A","Dates=H","DateFormat=P","Fill=—","Direction=H","UseDPDF=Y")</f>
        <v>#NAME?</v>
      </c>
      <c r="AK503" s="1" t="e">
        <f ca="1">_xll.BDH($C$503,"BVPS_GROWTH","FY 2014","FY 2014","Currency=INR","Period=FY","BEST_FPERIOD_OVERRIDE=FY","FILING_STATUS=OR","EQY_CONSOLIDATED=Y","Sort=A","Dates=H","DateFormat=P","Fill=—","Direction=H","UseDPDF=Y")</f>
        <v>#NAME?</v>
      </c>
      <c r="AL503" s="1" t="e">
        <f ca="1">_xll.BDH($C$503,"CASH_FLOW_GROWTH","FY 2014","FY 2014","Currency=INR","Period=FY","BEST_FPERIOD_OVERRIDE=FY","FILING_STATUS=OR","EQY_CONSOLIDATED=Y","Sort=A","Dates=H","DateFormat=P","Fill=—","Direction=H","UseDPDF=Y")</f>
        <v>#NAME?</v>
      </c>
      <c r="AM503" s="1" t="e">
        <f ca="1">_xll.BDH($C$503,"GEO_GROW_NET_SALES","FY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503" s="1" t="e">
        <f ca="1">_xll.BDH($C$503,"GEO_GROW_EBITDA","FY 2014","FY 2014","Currency=INR","Period=FY","BEST_FPERIOD_OVERRIDE=FY","FILING_STATUS=OR","EQY_CONSOLIDATED=Y","FA_ADJUSTED=GAAP","Sort=A","Dates=H","DateFormat=P","Fill=—","Direction=H","UseDPDF=Y")</f>
        <v>#NAME?</v>
      </c>
      <c r="AO503" s="1" t="e">
        <f ca="1">_xll.BDH($C$503,"GEO_GROW_OPER_INC","FY 2014","FY 2014","Currency=INR","Period=FY","BEST_FPERIOD_OVERRIDE=FY","FILING_STATUS=OR","EQY_CONSOLIDATED=Y","FA_ADJUSTED=GAAP","Sort=A","Dates=H","DateFormat=P","Fill=—","Direction=H","UseDPDF=Y")</f>
        <v>#NAME?</v>
      </c>
      <c r="AP503" s="1" t="e">
        <f ca="1">_xll.BDH($C$503,"NET_INCOME_TO_COMMON_5_YR_GROWTH","FY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03" s="1" t="e">
        <f ca="1">_xll.BDH($C$503,"5Y_GEO_GROWTH_DILUTED_EPS","FY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03" s="1" t="e">
        <f ca="1">_xll.BDH($C$503,"GEO_GROW_DVD_PER_SH","FY 2014","FY 2014","Currency=INR","Period=FY","BEST_FPERIOD_OVERRIDE=FY","FILING_STATUS=OR","EQY_CONSOLIDATED=Y","Sort=A","Dates=H","DateFormat=P","Fill=—","Direction=H","UseDPDF=Y")</f>
        <v>#NAME?</v>
      </c>
      <c r="AS503" s="1" t="e">
        <f ca="1">_xll.BDH($C$503,"ACCOUNTS_RECEIVABLE_5_YR_GROWTH","FY 2014","FY 2014","Currency=INR","Period=FY","BEST_FPERIOD_OVERRIDE=FY","FILING_STATUS=OR","EQY_CONSOLIDATED=Y","Sort=A","Dates=H","DateFormat=P","Fill=—","Direction=H","UseDPDF=Y")</f>
        <v>#NAME?</v>
      </c>
      <c r="AT503" s="1" t="e">
        <f ca="1">_xll.BDH($C$503,"INVENTORY_5_YEAR_GROWTH","FY 2014","FY 2014","Currency=INR","Period=FY","BEST_FPERIOD_OVERRIDE=FY","FILING_STATUS=OR","EQY_CONSOLIDATED=Y","Sort=A","Dates=H","DateFormat=P","Fill=—","Direction=H","UseDPDF=Y")</f>
        <v>#NAME?</v>
      </c>
      <c r="AU503" s="1" t="e">
        <f ca="1">_xll.BDH($C$503,"NET_FIXED_ASSETS_5_YEAR_GROWTH","FY 2014","FY 2014","Currency=INR","Period=FY","BEST_FPERIOD_OVERRIDE=FY","FILING_STATUS=OR","EQY_CONSOLIDATED=Y","Sort=A","Dates=H","DateFormat=P","Fill=—","Direction=H","UseDPDF=Y")</f>
        <v>#NAME?</v>
      </c>
      <c r="AV503" s="1" t="e">
        <f ca="1">_xll.BDH($C$503,"GEO_GROW_TOT_ASSET","FY 2014","FY 2014","Currency=INR","Period=FY","BEST_FPERIOD_OVERRIDE=FY","FILING_STATUS=OR","EQY_CONSOLIDATED=Y","Sort=A","Dates=H","DateFormat=P","Fill=—","Direction=H","UseDPDF=Y")</f>
        <v>#NAME?</v>
      </c>
      <c r="AW503" s="1" t="e">
        <f ca="1">_xll.BDH($C$503,"MODIFIED_WORKING_CPTL_5YR_GRWTH","FY 2014","FY 2014","Currency=INR","Period=FY","BEST_FPERIOD_OVERRIDE=FY","FILING_STATUS=OR","EQY_CONSOLIDATED=Y","Sort=A","Dates=H","DateFormat=P","Fill=—","Direction=H","UseDPDF=Y")</f>
        <v>#NAME?</v>
      </c>
      <c r="AX503" s="1" t="e">
        <f ca="1">_xll.BDH($C$503,"WORKING_CAPITAL_5_YEAR_GROWTH","FY 2014","FY 2014","Currency=INR","Period=FY","BEST_FPERIOD_OVERRIDE=FY","FILING_STATUS=OR","EQY_CONSOLIDATED=Y","Sort=A","Dates=H","DateFormat=P","Fill=—","Direction=H","UseDPDF=Y")</f>
        <v>#NAME?</v>
      </c>
      <c r="AY503" s="1" t="e">
        <f ca="1">_xll.BDH($C$503,"ACCOUNTS_PAYABLE_5_YEAR_GROWTH","FY 2014","FY 2014","Currency=INR","Period=FY","BEST_FPERIOD_OVERRIDE=FY","FILING_STATUS=OR","EQY_CONSOLIDATED=Y","Sort=A","Dates=H","DateFormat=P","Fill=—","Direction=H","UseDPDF=Y")</f>
        <v>#NAME?</v>
      </c>
      <c r="AZ503" s="1" t="e">
        <f ca="1">_xll.BDH($C$503,"SHORT_TERM_DEBT_5_YEAR_GROWTH","FY 2014","FY 2014","Currency=INR","Period=FY","BEST_FPERIOD_OVERRIDE=FY","FILING_STATUS=OR","EQY_CONSOLIDATED=Y","Sort=A","Dates=H","DateFormat=P","Fill=—","Direction=H","UseDPDF=Y")</f>
        <v>#NAME?</v>
      </c>
      <c r="BA503" s="1" t="e">
        <f ca="1">_xll.BDH($C$503,"TOTAL_DEBT_5_YEAR_GROWTH","FY 2014","FY 2014","Currency=INR","Period=FY","BEST_FPERIOD_OVERRIDE=FY","FILING_STATUS=OR","EQY_CONSOLIDATED=Y","Sort=A","Dates=H","DateFormat=P","Fill=—","Direction=H","UseDPDF=Y")</f>
        <v>#NAME?</v>
      </c>
      <c r="BB503" s="1" t="e">
        <f ca="1">_xll.BDH($C$503,"GEO_GROW_TOT_SHRHLDR_EQY","FY 2014","FY 2014","Currency=INR","Period=FY","BEST_FPERIOD_OVERRIDE=FY","FILING_STATUS=OR","EQY_CONSOLIDATED=Y","Sort=A","Dates=H","DateFormat=P","Fill=—","Direction=H","UseDPDF=Y")</f>
        <v>#NAME?</v>
      </c>
      <c r="BC503" s="1" t="e">
        <f ca="1">_xll.BDH($C$503,"TOTAL_CAPITAL_5_YEAR_GROWTH","FY 2014","FY 2014","Currency=INR","Period=FY","BEST_FPERIOD_OVERRIDE=FY","FILING_STATUS=OR","EQY_CONSOLIDATED=Y","Sort=A","Dates=H","DateFormat=P","Fill=—","Direction=H","UseDPDF=Y")</f>
        <v>#NAME?</v>
      </c>
      <c r="BD503" s="1" t="e">
        <f ca="1">_xll.BDH($C$503,"GEO_GROW_BOOK_VAL","FY 2014","FY 2014","Currency=INR","Period=FY","BEST_FPERIOD_OVERRIDE=FY","FILING_STATUS=OR","EQY_CONSOLIDATED=Y","Sort=A","Dates=H","DateFormat=P","Fill=—","Direction=H","UseDPDF=Y")</f>
        <v>#NAME?</v>
      </c>
      <c r="BE503" s="1" t="e">
        <f ca="1">_xll.BDH($C$503,"GEO_GROW_CASH_OPER_ACT","FY 2014","FY 2014","Currency=INR","Period=FY","BEST_FPERIOD_OVERRIDE=FY","FILING_STATUS=OR","EQY_CONSOLIDATED=Y","Sort=A","Dates=H","DateFormat=P","Fill=—","Direction=H","UseDPDF=Y")</f>
        <v>#NAME?</v>
      </c>
      <c r="BF503" s="1" t="e">
        <f ca="1">_xll.BDH($C$503,"REVENUE_SEQUENTIAL_GROWTH","FY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03" s="1" t="e">
        <f ca="1">_xll.BDH($C$503,"EBITDA_SEQUENTIAL_GROWTH","FY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03" s="1" t="e">
        <f ca="1">_xll.BDH($C$503,"OPERATING_INCOME_SEQ_GROWTH","FY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03" s="1" t="e">
        <f ca="1">_xll.BDH($C$503,"NET_INCOME_TO_COMMON_SEQ_GROWTH","FY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03" s="1" t="e">
        <f ca="1">_xll.BDH($C$503,"EPS_DILUTED_SEQUENTIAL_GROWTH","FY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03" s="1" t="e">
        <f ca="1">_xll.BDH($C$503,"DPS_SEQUENTIAL_GROWTH","FY 2014","FY 2014","Currency=INR","Period=FY","BEST_FPERIOD_OVERRIDE=FY","FILING_STATUS=OR","EQY_CONSOLIDATED=Y","Sort=A","Dates=H","DateFormat=P","Fill=—","Direction=H","UseDPDF=Y")</f>
        <v>#NAME?</v>
      </c>
      <c r="BL503" s="1" t="e">
        <f ca="1">_xll.BDH($C$503,"ACCOUNTS_RECEIVABLE_SEQ_GROWTH","FY 2014","FY 2014","Currency=INR","Period=FY","BEST_FPERIOD_OVERRIDE=FY","FILING_STATUS=OR","EQY_CONSOLIDATED=Y","Sort=A","Dates=H","DateFormat=P","Fill=—","Direction=H","UseDPDF=Y")</f>
        <v>#NAME?</v>
      </c>
      <c r="BM503" s="1" t="e">
        <f ca="1">_xll.BDH($C$503,"INVENTORY_SEQUENTIAL_GROWTH","FY 2014","FY 2014","Currency=INR","Period=FY","BEST_FPERIOD_OVERRIDE=FY","FILING_STATUS=OR","EQY_CONSOLIDATED=Y","Sort=A","Dates=H","DateFormat=P","Fill=—","Direction=H","UseDPDF=Y")</f>
        <v>#NAME?</v>
      </c>
      <c r="BN503" s="1" t="e">
        <f ca="1">_xll.BDH($C$503,"FIXED_ASSETS_SEQUENTIAL_GROWTH","FY 2014","FY 2014","Currency=INR","Period=FY","BEST_FPERIOD_OVERRIDE=FY","FILING_STATUS=OR","EQY_CONSOLIDATED=Y","Sort=A","Dates=H","DateFormat=P","Fill=—","Direction=H","UseDPDF=Y")</f>
        <v>#NAME?</v>
      </c>
      <c r="BO503" s="1" t="e">
        <f ca="1">_xll.BDH($C$503,"TOTAL_ASSETS_SEQUENTIAL_GROWTH","FY 2014","FY 2014","Currency=INR","Period=FY","BEST_FPERIOD_OVERRIDE=FY","FILING_STATUS=OR","EQY_CONSOLIDATED=Y","Sort=A","Dates=H","DateFormat=P","Fill=—","Direction=H","UseDPDF=Y")</f>
        <v>#NAME?</v>
      </c>
      <c r="BP503" s="1" t="e">
        <f ca="1">_xll.BDH($C$503,"MODIFIED_WORKING_CPTL_SEQ_GRWTH","FY 2014","FY 2014","Currency=INR","Period=FY","BEST_FPERIOD_OVERRIDE=FY","FILING_STATUS=OR","EQY_CONSOLIDATED=Y","Sort=A","Dates=H","DateFormat=P","Fill=—","Direction=H","UseDPDF=Y")</f>
        <v>#NAME?</v>
      </c>
      <c r="BQ503" s="1" t="e">
        <f ca="1">_xll.BDH($C$503,"WORKING_CAPITAL_SEQ_GROWTH","FY 2014","FY 2014","Currency=INR","Period=FY","BEST_FPERIOD_OVERRIDE=FY","FILING_STATUS=OR","EQY_CONSOLIDATED=Y","Sort=A","Dates=H","DateFormat=P","Fill=—","Direction=H","UseDPDF=Y")</f>
        <v>#NAME?</v>
      </c>
      <c r="BR503" s="1" t="e">
        <f ca="1">_xll.BDH($C$503,"ACCOUNTS_PAYABLE_SEQ_GROWTH","FY 2014","FY 2014","Currency=INR","Period=FY","BEST_FPERIOD_OVERRIDE=FY","FILING_STATUS=OR","EQY_CONSOLIDATED=Y","Sort=A","Dates=H","DateFormat=P","Fill=—","Direction=H","UseDPDF=Y")</f>
        <v>#NAME?</v>
      </c>
      <c r="BS503" s="1" t="e">
        <f ca="1">_xll.BDH($C$503,"ST_DEBT_SEQUENTIAL_GROWTH","FY 2014","FY 2014","Currency=INR","Period=FY","BEST_FPERIOD_OVERRIDE=FY","FILING_STATUS=OR","EQY_CONSOLIDATED=Y","Sort=A","Dates=H","DateFormat=P","Fill=—","Direction=H","UseDPDF=Y")</f>
        <v>#NAME?</v>
      </c>
      <c r="BT503" s="1" t="e">
        <f ca="1">_xll.BDH($C$503,"TOTAL_DEBT_SEQUENTIAL_GROWTH","FY 2014","FY 2014","Currency=INR","Period=FY","BEST_FPERIOD_OVERRIDE=FY","FILING_STATUS=OR","EQY_CONSOLIDATED=Y","Sort=A","Dates=H","DateFormat=P","Fill=—","Direction=H","UseDPDF=Y")</f>
        <v>#NAME?</v>
      </c>
      <c r="BU503" s="1" t="e">
        <f ca="1">_xll.BDH($C$503,"TOTAL_EQUITY_SEQUENTIAL_GROWTH","FY 2014","FY 2014","Currency=INR","Period=FY","BEST_FPERIOD_OVERRIDE=FY","FILING_STATUS=OR","EQY_CONSOLIDATED=Y","Sort=A","Dates=H","DateFormat=P","Fill=—","Direction=H","UseDPDF=Y")</f>
        <v>#NAME?</v>
      </c>
      <c r="BV503" s="1" t="e">
        <f ca="1">_xll.BDH($C$503,"TOTAL_CAPITAL_SEQUENTIAL_GROWTH","FY 2014","FY 2014","Currency=INR","Period=FY","BEST_FPERIOD_OVERRIDE=FY","FILING_STATUS=OR","EQY_CONSOLIDATED=Y","Sort=A","Dates=H","DateFormat=P","Fill=—","Direction=H","UseDPDF=Y")</f>
        <v>#NAME?</v>
      </c>
      <c r="BW503" s="1" t="e">
        <f ca="1">_xll.BDH($C$503,"BPS_SEQUENTIAL_GROWTH","FY 2014","FY 2014","Currency=INR","Period=FY","BEST_FPERIOD_OVERRIDE=FY","FILING_STATUS=OR","EQY_CONSOLIDATED=Y","Sort=A","Dates=H","DateFormat=P","Fill=—","Direction=H","UseDPDF=Y")</f>
        <v>#NAME?</v>
      </c>
      <c r="BX503" s="1" t="e">
        <f ca="1">_xll.BDH($C$503,"CFO_SEQUENTIAL_GROWTH","FY 2014","FY 2014","Currency=INR","Period=FY","BEST_FPERIOD_OVERRIDE=FY","FILING_STATUS=OR","EQY_CONSOLIDATED=Y","Sort=A","Dates=H","DateFormat=P","Fill=—","Direction=H","UseDPDF=Y")</f>
        <v>#NAME?</v>
      </c>
      <c r="BY503" s="2" t="e">
        <f ca="1">_xll.BDH($C$503,"SHORT_AND_LONG_TERM_DEBT","FY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03" s="2" t="e">
        <f ca="1">_xll.BDH($C$503,"BS_ST_BORROW","FY 2014","FY 2014","Currency=INR","Period=FY","BEST_FPERIOD_OVERRIDE=FY","FILING_STATUS=OR","EQY_CONSOLIDATED=Y","SCALING_FORMAT=MLN","Sort=A","Dates=H","DateFormat=P","Fill=—","Direction=H","UseDPDF=Y")</f>
        <v>#NAME?</v>
      </c>
      <c r="CA503" s="2" t="e">
        <f ca="1">_xll.BDH($C$503,"BS_LT_BORROW","FY 2014","FY 2014","Currency=INR","Period=FY","BEST_FPERIOD_OVERRIDE=FY","FILING_STATUS=OR","EQY_CONSOLIDATED=Y","SCALING_FORMAT=MLN","Sort=A","Dates=H","DateFormat=P","Fill=—","Direction=H","UseDPDF=Y")</f>
        <v>#NAME?</v>
      </c>
      <c r="CB503" s="1" t="e">
        <f ca="1">_xll.BDH($C$503,"TOT_DEBT_TO_EBITDA","FY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503" s="1" t="e">
        <f ca="1">_xll.BDH($C$503,"NET_DEBT_TO_EBITDA","FY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503" s="1" t="e">
        <f ca="1">_xll.BDH($C$503,"TOTAL_DEBT_TO_EBIT","FY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503" s="1" t="e">
        <f ca="1">_xll.BDH($C$503,"NET_DEBT_TO_EBIT","FY 2014","FY 2014","Currency=INR","Period=FY","BEST_FPERIOD_OVERRIDE=FY","FILING_STATUS=OR","EQY_CONSOLIDATED=Y","FA_ADJUSTED=GAAP","Sort=A","Dates=H","DateFormat=P","Fill=—","Direction=H","UseDPDF=Y")</f>
        <v>#NAME?</v>
      </c>
      <c r="CF503" s="1" t="e">
        <f ca="1">_xll.BDH($C$503,"EBITDA_TO_INTEREST_EXPN","FY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03" s="1" t="e">
        <f ca="1">_xll.BDH($C$503,"COM_EQY_TO_TOT_ASSET","FY 2014","FY 2014","Currency=INR","Period=FY","BEST_FPERIOD_OVERRIDE=FY","FILING_STATUS=OR","EQY_CONSOLIDATED=Y","Sort=A","Dates=H","DateFormat=P","Fill=—","Direction=H","UseDPDF=Y")</f>
        <v>#NAME?</v>
      </c>
      <c r="CH503" s="1" t="e">
        <f ca="1">_xll.BDH($C$503,"LT_DEBT_TO_TOT_EQY","FY 2014","FY 2014","Currency=INR","Period=FY","BEST_FPERIOD_OVERRIDE=FY","FILING_STATUS=OR","EQY_CONSOLIDATED=Y","Sort=A","Dates=H","DateFormat=P","Fill=—","Direction=H","UseDPDF=Y")</f>
        <v>#NAME?</v>
      </c>
      <c r="CI503" s="1" t="e">
        <f ca="1">_xll.BDH($C$503,"LT_DEBT_TO_TOT_CAP","FY 2014","FY 2014","Currency=INR","Period=FY","BEST_FPERIOD_OVERRIDE=FY","FILING_STATUS=OR","EQY_CONSOLIDATED=Y","Sort=A","Dates=H","DateFormat=P","Fill=—","Direction=H","UseDPDF=Y")</f>
        <v>#NAME?</v>
      </c>
      <c r="CJ503" s="1" t="e">
        <f ca="1">_xll.BDH($C$503,"LT_DEBT_TO_TOT_ASSET","FY 2014","FY 2014","Currency=INR","Period=FY","BEST_FPERIOD_OVERRIDE=FY","FILING_STATUS=OR","EQY_CONSOLIDATED=Y","Sort=A","Dates=H","DateFormat=P","Fill=—","Direction=H","UseDPDF=Y")</f>
        <v>#NAME?</v>
      </c>
      <c r="CK503" s="1" t="e">
        <f ca="1">_xll.BDH($C$503,"TOT_DEBT_TO_TOT_EQY","FY 2014","FY 2014","Currency=INR","Period=FY","BEST_FPERIOD_OVERRIDE=FY","FILING_STATUS=OR","EQY_CONSOLIDATED=Y","Sort=A","Dates=H","DateFormat=P","Fill=—","Direction=H","UseDPDF=Y")</f>
        <v>#NAME?</v>
      </c>
      <c r="CL503" s="1" t="e">
        <f ca="1">_xll.BDH($C$503,"TOT_DEBT_TO_TOT_CAP","FY 2014","FY 2014","Currency=INR","Period=FY","BEST_FPERIOD_OVERRIDE=FY","FILING_STATUS=OR","EQY_CONSOLIDATED=Y","Sort=A","Dates=H","DateFormat=P","Fill=—","Direction=H","UseDPDF=Y")</f>
        <v>#NAME?</v>
      </c>
      <c r="CM503" s="1" t="e">
        <f ca="1">_xll.BDH($C$503,"TOT_DEBT_TO_TOT_ASSET","FY 2014","FY 2014","Currency=INR","Period=FY","BEST_FPERIOD_OVERRIDE=FY","FILING_STATUS=OR","EQY_CONSOLIDATED=Y","Sort=A","Dates=H","DateFormat=P","Fill=—","Direction=H","UseDPDF=Y")</f>
        <v>#NAME?</v>
      </c>
      <c r="CN503" s="1" t="e">
        <f ca="1">_xll.BDH($C$503,"NET_DEBT_TO_SHRHLDR_EQTY","FY 2014","FY 2014","Currency=INR","Period=FY","BEST_FPERIOD_OVERRIDE=FY","FILING_STATUS=OR","EQY_CONSOLIDATED=Y","Sort=A","Dates=H","DateFormat=P","Fill=—","Direction=H","UseDPDF=Y")</f>
        <v>#NAME?</v>
      </c>
      <c r="CO503" s="1" t="e">
        <f ca="1">_xll.BDH($C$503,"NET_DEBT_%_CAPITAL","FY 2014","FY 2014","Currency=INR","Period=FY","BEST_FPERIOD_OVERRIDE=FY","FILING_STATUS=OR","EQY_CONSOLIDATED=Y","Sort=A","Dates=H","DateFormat=P","Fill=—","Direction=H","UseDPDF=Y")</f>
        <v>#NAME?</v>
      </c>
      <c r="CP503" s="2" t="e">
        <f ca="1">_xll.BDH($C$503,"EBITDA","FY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03" s="2" t="e">
        <f ca="1">_xll.BDH($C$503,"EBITDA_AFTER_CAPEX","FY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03" s="2" t="e">
        <f ca="1">_xll.BDH($C$503,"IS_OPER_INC","FY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03" s="1" t="e">
        <f ca="1">_xll.BDH($C$503,"CASH_RATIO","FY 2014","FY 2014","Currency=INR","Period=FY","BEST_FPERIOD_OVERRIDE=FY","FILING_STATUS=OR","EQY_CONSOLIDATED=Y","Sort=A","Dates=H","DateFormat=P","Fill=—","Direction=H","UseDPDF=Y")</f>
        <v>#NAME?</v>
      </c>
      <c r="CT503" s="1" t="e">
        <f ca="1">_xll.BDH($C$503,"CUR_RATIO","FY 2014","FY 2014","Currency=INR","Period=FY","BEST_FPERIOD_OVERRIDE=FY","FILING_STATUS=OR","EQY_CONSOLIDATED=Y","Sort=A","Dates=H","DateFormat=P","Fill=—","Direction=H","UseDPDF=Y")</f>
        <v>#NAME?</v>
      </c>
      <c r="CU503" s="1" t="e">
        <f ca="1">_xll.BDH($C$503,"QUICK_RATIO","FY 2014","FY 2014","Currency=INR","Period=FY","BEST_FPERIOD_OVERRIDE=FY","FILING_STATUS=OR","EQY_CONSOLIDATED=Y","Sort=A","Dates=H","DateFormat=P","Fill=—","Direction=H","UseDPDF=Y")</f>
        <v>#NAME?</v>
      </c>
      <c r="CV503" s="1" t="e">
        <f ca="1">_xll.BDH($C$503,"ALTMAN_Z_SCORE","FY 2014","FY 2014","Currency=INR","Period=FY","BEST_FPERIOD_OVERRIDE=FY","FILING_STATUS=OR","EQY_CONSOLIDATED=Y","Sort=A","Dates=H","DateFormat=P","Fill=—","Direction=H","UseDPDF=Y")</f>
        <v>#NAME?</v>
      </c>
      <c r="CW503" s="3" t="e">
        <f ca="1">_xll.BDH($C$503,"ACCT_RCV_TURN","FY 2014","FY 2014","Currency=INR","Period=FY","BEST_FPERIOD_OVERRIDE=FY","FILING_STATUS=OR","EQY_CONSOLIDATED=Y","FA_ADJUSTED=GAAP","Sort=A","Dates=H","DateFormat=P","Fill=—","Direction=H","UseDPDF=Y")</f>
        <v>#NAME?</v>
      </c>
      <c r="CX503" s="1" t="e">
        <f ca="1">_xll.BDH($C$503,"ACCT_RCV_DAYS","FY 2014","FY 2014","Currency=INR","Period=FY","BEST_FPERIOD_OVERRIDE=FY","FILING_STATUS=OR","EQY_CONSOLIDATED=Y","FA_ADJUSTED=GAAP","Sort=A","Dates=H","DateFormat=P","Fill=—","Direction=H","UseDPDF=Y")</f>
        <v>#NAME?</v>
      </c>
      <c r="CY503" s="3" t="e">
        <f ca="1">_xll.BDH($C$503,"INVENT_TURN","FY 2014","FY 2014","Currency=INR","Period=FY","BEST_FPERIOD_OVERRIDE=FY","FILING_STATUS=OR","EQY_CONSOLIDATED=Y","FA_ADJUSTED=GAAP","Sort=A","Dates=H","DateFormat=P","Fill=—","Direction=H","UseDPDF=Y")</f>
        <v>#NAME?</v>
      </c>
      <c r="CZ503" s="1" t="e">
        <f ca="1">_xll.BDH($C$503,"INVENT_DAYS","FY 2014","FY 2014","Currency=INR","Period=FY","BEST_FPERIOD_OVERRIDE=FY","FILING_STATUS=OR","EQY_CONSOLIDATED=Y","FA_ADJUSTED=GAAP","Sort=A","Dates=H","DateFormat=P","Fill=—","Direction=H","UseDPDF=Y")</f>
        <v>#NAME?</v>
      </c>
      <c r="DA503" s="3" t="e">
        <f ca="1">_xll.BDH($C$503,"ACCOUNTS_PAYABLE_TURNOVER","FY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03" s="1" t="e">
        <f ca="1">_xll.BDH($C$503,"ACCOUNTS_PAYABLE_TURNOVER_DAYS","FY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03" s="3" t="e">
        <f ca="1">_xll.BDH($C$503,"CASH_CONVERSION_CYCLE","FY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03" s="3" t="e">
        <f ca="1">_xll.BDH($C$503,"INV_TO_CASH_DAYS","FY 2014","FY 2014","Currency=INR","Period=FY","BEST_FPERIOD_OVERRIDE=FY","FILING_STATUS=OR","EQY_CONSOLIDATED=Y","FA_ADJUSTED=GAAP","Sort=A","Dates=H","DateFormat=P","Fill=—","Direction=H","UseDPDF=Y")</f>
        <v>#NAME?</v>
      </c>
      <c r="DE503" s="4" t="e">
        <f ca="1">_xll.BDH($C$503,"BS_INVENTORIES","FY 2014","FY 2014","Currency=INR","Period=FY","BEST_FPERIOD_OVERRIDE=FY","FILING_STATUS=OR","EQY_CONSOLIDATED=Y","SCALING_FORMAT=MLN","Sort=A","Dates=H","DateFormat=P","Fill=—","Direction=H","UseDPDF=Y")</f>
        <v>#NAME?</v>
      </c>
      <c r="DF503" s="2" t="e">
        <f ca="1">_xll.BDH($C$503,"INVTRY_RAW_MATERIALS","FY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03" s="2" t="e">
        <f ca="1">_xll.BDH($C$503,"INVTRY_IN_PROGRESS","FY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03" s="2" t="e">
        <f ca="1">_xll.BDH($C$503,"INVTRY_FINISHED_GOODS","FY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03" s="2" t="e">
        <f ca="1">_xll.BDH($C$503,"BS_OTHER_INV","FY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04" spans="1:113" x14ac:dyDescent="0.3">
      <c r="A504" s="6"/>
      <c r="B504" s="6"/>
      <c r="C504" s="6"/>
      <c r="D504" s="6"/>
      <c r="E504" t="s">
        <v>4</v>
      </c>
      <c r="F504" t="e">
        <f ca="1">_xll.BDH($C$503,"RETURN_COM_EQY","FQ1 2014","FQ1 2014","Currency=INR","Period=FQ","BEST_FPERIOD_OVERRIDE=FQ","FILING_STATUS=OR","EQY_CONSOLIDATED=Y","FA_ADJUSTED=GAAP","Sort=A","Dates=H","DateFormat=P","Fill=—","Direction=H","UseDPDF=Y")</f>
        <v>#NAME?</v>
      </c>
      <c r="G504" t="e">
        <f ca="1">_xll.BDH($C$503,"RETURN_ON_ASSET","FQ1 2014","FQ1 2014","Currency=INR","Period=FQ","BEST_FPERIOD_OVERRIDE=FQ","FILING_STATUS=OR","EQY_CONSOLIDATED=Y","FA_ADJUSTED=GAAP","Sort=A","Dates=H","DateFormat=P","Fill=—","Direction=H","UseDPDF=Y")</f>
        <v>#NAME?</v>
      </c>
      <c r="H504" t="e">
        <f ca="1">_xll.BDH($C$503,"RETURN_ON_CAP","FQ1 2014","FQ1 2014","Currency=INR","Period=FQ","BEST_FPERIOD_OVERRIDE=FQ","FILING_STATUS=OR","EQY_CONSOLIDATED=Y","FA_ADJUSTED=GAAP","Sort=A","Dates=H","DateFormat=P","Fill=—","Direction=H","UseDPDF=Y")</f>
        <v>#NAME?</v>
      </c>
      <c r="I504" t="e">
        <f ca="1">_xll.BDH($C$503,"RETURN_ON_INV_CAPITAL","FQ1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04" t="e">
        <f ca="1">_xll.BDH($C$503,"EBITDA_TO_REVENUE","FQ1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504" t="e">
        <f ca="1">_xll.BDH($C$503,"OPER_MARGIN","FQ1 2014","FQ1 2014","Currency=INR","Period=FQ","BEST_FPERIOD_OVERRIDE=FQ","FILING_STATUS=OR","EQY_CONSOLIDATED=Y","FA_ADJUSTED=GAAP","Sort=A","Dates=H","DateFormat=P","Fill=—","Direction=H","UseDPDF=Y")</f>
        <v>#NAME?</v>
      </c>
      <c r="L504" t="e">
        <f ca="1">_xll.BDH($C$503,"INCREMENTAL_OPERATING_MARGIN","FQ1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04" t="e">
        <f ca="1">_xll.BDH($C$503,"PRETAX_INC_TO_NET_SALES","FQ1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04" t="e">
        <f ca="1">_xll.BDH($C$503,"INC_BEF_XO_ITEMS_TO_NET_SALES","FQ1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04" t="e">
        <f ca="1">_xll.BDH($C$503,"PROF_MARGIN","FQ1 2014","FQ1 2014","Currency=INR","Period=FQ","BEST_FPERIOD_OVERRIDE=FQ","FILING_STATUS=OR","EQY_CONSOLIDATED=Y","FA_ADJUSTED=GAAP","Sort=A","Dates=H","DateFormat=P","Fill=—","Direction=H","UseDPDF=Y")</f>
        <v>#NAME?</v>
      </c>
      <c r="P504" t="e">
        <f ca="1">_xll.BDH($C$503,"NET_INCOME_TO_COMMON_MARGIN","FQ1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04" t="e">
        <f ca="1">_xll.BDH($C$503,"EFF_TAX_RATE","FQ1 2014","FQ1 2014","Currency=INR","Period=FQ","BEST_FPERIOD_OVERRIDE=FQ","FILING_STATUS=OR","EQY_CONSOLIDATED=Y","FA_ADJUSTED=GAAP","Sort=A","Dates=H","DateFormat=P","Fill=—","Direction=H","UseDPDF=Y")</f>
        <v>#NAME?</v>
      </c>
      <c r="R504" t="e">
        <f ca="1">_xll.BDH($C$503,"DVD_PAYOUT_RATIO","FQ1 2014","FQ1 2014","Currency=INR","Period=FQ","BEST_FPERIOD_OVERRIDE=FQ","FILING_STATUS=OR","EQY_CONSOLIDATED=Y","FA_ADJUSTED=GAAP","Sort=A","Dates=H","DateFormat=P","Fill=—","Direction=H","UseDPDF=Y")</f>
        <v>#NAME?</v>
      </c>
      <c r="S504" t="e">
        <f ca="1">_xll.BDH($C$503,"SUSTAIN_GROWTH_RT","FQ1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504" s="1" t="e">
        <f ca="1">_xll.BDH($C$503,"SALES_GROWTH","FQ1 2014","FQ1 2014","Currency=INR","Period=FQ","BEST_FPERIOD_OVERRIDE=FQ","FILING_STATUS=OR","EQY_CONSOLIDATED=Y","FA_ADJUSTED=GAAP","Sort=A","Dates=H","DateFormat=P","Fill=—","Direction=H","UseDPDF=Y")</f>
        <v>#NAME?</v>
      </c>
      <c r="U504" s="1" t="e">
        <f ca="1">_xll.BDH($C$503,"EBITDA_GROWTH","FQ1 2014","FQ1 2014","Currency=INR","Period=FQ","BEST_FPERIOD_OVERRIDE=FQ","FILING_STATUS=OR","EQY_CONSOLIDATED=Y","FA_ADJUSTED=GAAP","Sort=A","Dates=H","DateFormat=P","Fill=—","Direction=H","UseDPDF=Y")</f>
        <v>#NAME?</v>
      </c>
      <c r="V504" s="1" t="e">
        <f ca="1">_xll.BDH($C$503,"OPER_INC_GROWTH","FQ1 2014","FQ1 2014","Currency=INR","Period=FQ","BEST_FPERIOD_OVERRIDE=FQ","FILING_STATUS=OR","EQY_CONSOLIDATED=Y","FA_ADJUSTED=GAAP","Sort=A","Dates=H","DateFormat=P","Fill=—","Direction=H","UseDPDF=Y")</f>
        <v>#NAME?</v>
      </c>
      <c r="W504" s="1" t="e">
        <f ca="1">_xll.BDH($C$503,"EARN_FOR_COM_GROWTH","FQ1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04" s="1" t="e">
        <f ca="1">_xll.BDH($C$503,"DILUTED_EPS_AFT_XO_ITEMS_GROWTH","FQ1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04" s="1" t="e">
        <f ca="1">_xll.BDH($C$503,"DIVIDEND_PER_SHARE_1_YEAR_GROWTH","FQ1 2014","FQ1 2014","Currency=INR","Period=FQ","BEST_FPERIOD_OVERRIDE=FQ","FILING_STATUS=OR","EQY_CONSOLIDATED=Y","Sort=A","Dates=H","DateFormat=P","Fill=—","Direction=H","UseDPDF=Y")</f>
        <v>#NAME?</v>
      </c>
      <c r="Z504" s="1" t="e">
        <f ca="1">_xll.BDH($C$503,"ACCOUNTS_RECEIVABLE_GROWTH","FQ1 2014","FQ1 2014","Currency=INR","Period=FQ","BEST_FPERIOD_OVERRIDE=FQ","FILING_STATUS=OR","EQY_CONSOLIDATED=Y","Sort=A","Dates=H","DateFormat=P","Fill=—","Direction=H","UseDPDF=Y")</f>
        <v>#NAME?</v>
      </c>
      <c r="AA504" s="1" t="e">
        <f ca="1">_xll.BDH($C$503,"INVENTORY_GROWTH","FQ1 2014","FQ1 2014","Currency=INR","Period=FQ","BEST_FPERIOD_OVERRIDE=FQ","FILING_STATUS=OR","EQY_CONSOLIDATED=Y","Sort=A","Dates=H","DateFormat=P","Fill=—","Direction=H","UseDPDF=Y")</f>
        <v>#NAME?</v>
      </c>
      <c r="AB504" s="1" t="e">
        <f ca="1">_xll.BDH($C$503,"NET_FIXED_ASSETS_1_YEAR_GROWTH","FQ1 2014","FQ1 2014","Currency=INR","Period=FQ","BEST_FPERIOD_OVERRIDE=FQ","FILING_STATUS=OR","EQY_CONSOLIDATED=Y","Sort=A","Dates=H","DateFormat=P","Fill=—","Direction=H","UseDPDF=Y")</f>
        <v>#NAME?</v>
      </c>
      <c r="AC504" s="1" t="e">
        <f ca="1">_xll.BDH($C$503,"ASSET_GROWTH","FQ1 2014","FQ1 2014","Currency=INR","Period=FQ","BEST_FPERIOD_OVERRIDE=FQ","FILING_STATUS=OR","EQY_CONSOLIDATED=Y","Sort=A","Dates=H","DateFormat=P","Fill=—","Direction=H","UseDPDF=Y")</f>
        <v>#NAME?</v>
      </c>
      <c r="AD504" s="1" t="e">
        <f ca="1">_xll.BDH($C$503,"MODIFIED_WORK_CAP_GROWTH","FQ1 2014","FQ1 2014","Currency=INR","Period=FQ","BEST_FPERIOD_OVERRIDE=FQ","FILING_STATUS=OR","EQY_CONSOLIDATED=Y","Sort=A","Dates=H","DateFormat=P","Fill=—","Direction=H","UseDPDF=Y")</f>
        <v>#NAME?</v>
      </c>
      <c r="AE504" s="1" t="e">
        <f ca="1">_xll.BDH($C$503,"WORK_CAP_GROWTH","FQ1 2014","FQ1 2014","Currency=INR","Period=FQ","BEST_FPERIOD_OVERRIDE=FQ","FILING_STATUS=OR","EQY_CONSOLIDATED=Y","Sort=A","Dates=H","DateFormat=P","Fill=—","Direction=H","UseDPDF=Y")</f>
        <v>#NAME?</v>
      </c>
      <c r="AF504" s="1" t="e">
        <f ca="1">_xll.BDH($C$503,"ACCOUNTS_PAYABLE_GROWTH_1YR","FQ1 2014","FQ1 2014","Currency=INR","Period=FQ","BEST_FPERIOD_OVERRIDE=FQ","FILING_STATUS=OR","EQY_CONSOLIDATED=Y","Sort=A","Dates=H","DateFormat=P","Fill=—","Direction=H","UseDPDF=Y")</f>
        <v>#NAME?</v>
      </c>
      <c r="AG504" s="1" t="e">
        <f ca="1">_xll.BDH($C$503,"SHORT_TERM_DEBT_1_YEAR_GROWTH","FQ1 2014","FQ1 2014","Currency=INR","Period=FQ","BEST_FPERIOD_OVERRIDE=FQ","FILING_STATUS=OR","EQY_CONSOLIDATED=Y","Sort=A","Dates=H","DateFormat=P","Fill=—","Direction=H","UseDPDF=Y")</f>
        <v>#NAME?</v>
      </c>
      <c r="AH504" s="1" t="e">
        <f ca="1">_xll.BDH($C$503,"TOTAL_DEBT_1_YEAR_GROWTH","FQ1 2014","FQ1 2014","Currency=INR","Period=FQ","BEST_FPERIOD_OVERRIDE=FQ","FILING_STATUS=OR","EQY_CONSOLIDATED=Y","Sort=A","Dates=H","DateFormat=P","Fill=—","Direction=H","UseDPDF=Y")</f>
        <v>#NAME?</v>
      </c>
      <c r="AI504" s="1" t="e">
        <f ca="1">_xll.BDH($C$503,"TOTAL_EQUITY_1_YEAR_GROWTH","FQ1 2014","FQ1 2014","Currency=INR","Period=FQ","BEST_FPERIOD_OVERRIDE=FQ","FILING_STATUS=OR","EQY_CONSOLIDATED=Y","Sort=A","Dates=H","DateFormat=P","Fill=—","Direction=H","UseDPDF=Y")</f>
        <v>#NAME?</v>
      </c>
      <c r="AJ504" s="1" t="e">
        <f ca="1">_xll.BDH($C$503,"GROWTH_IN_CAP","FQ1 2014","FQ1 2014","Currency=INR","Period=FQ","BEST_FPERIOD_OVERRIDE=FQ","FILING_STATUS=OR","EQY_CONSOLIDATED=Y","Sort=A","Dates=H","DateFormat=P","Fill=—","Direction=H","UseDPDF=Y")</f>
        <v>#NAME?</v>
      </c>
      <c r="AK504" s="1" t="e">
        <f ca="1">_xll.BDH($C$503,"BVPS_GROWTH","FQ1 2014","FQ1 2014","Currency=INR","Period=FQ","BEST_FPERIOD_OVERRIDE=FQ","FILING_STATUS=OR","EQY_CONSOLIDATED=Y","Sort=A","Dates=H","DateFormat=P","Fill=—","Direction=H","UseDPDF=Y")</f>
        <v>#NAME?</v>
      </c>
      <c r="AL504" s="1" t="e">
        <f ca="1">_xll.BDH($C$503,"CASH_FLOW_GROWTH","FQ1 2014","FQ1 2014","Currency=INR","Period=FQ","BEST_FPERIOD_OVERRIDE=FQ","FILING_STATUS=OR","EQY_CONSOLIDATED=Y","Sort=A","Dates=H","DateFormat=P","Fill=—","Direction=H","UseDPDF=Y")</f>
        <v>#NAME?</v>
      </c>
      <c r="AM504" s="1" t="e">
        <f ca="1">_xll.BDH($C$503,"GEO_GROW_NET_SALES","FQ1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04" s="1" t="e">
        <f ca="1">_xll.BDH($C$503,"GEO_GROW_EBITDA","FQ1 2014","FQ1 2014","Currency=INR","Period=FQ","BEST_FPERIOD_OVERRIDE=FQ","FILING_STATUS=OR","EQY_CONSOLIDATED=Y","FA_ADJUSTED=GAAP","Sort=A","Dates=H","DateFormat=P","Fill=—","Direction=H","UseDPDF=Y")</f>
        <v>#NAME?</v>
      </c>
      <c r="AO504" s="1" t="e">
        <f ca="1">_xll.BDH($C$503,"GEO_GROW_OPER_INC","FQ1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04" s="1" t="e">
        <f ca="1">_xll.BDH($C$503,"NET_INCOME_TO_COMMON_5_YR_GROWTH","FQ1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04" s="1" t="e">
        <f ca="1">_xll.BDH($C$503,"5Y_GEO_GROWTH_DILUTED_EPS","FQ1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04" s="1" t="e">
        <f ca="1">_xll.BDH($C$503,"GEO_GROW_DVD_PER_SH","FQ1 2014","FQ1 2014","Currency=INR","Period=FQ","BEST_FPERIOD_OVERRIDE=FQ","FILING_STATUS=OR","EQY_CONSOLIDATED=Y","Sort=A","Dates=H","DateFormat=P","Fill=—","Direction=H","UseDPDF=Y")</f>
        <v>#NAME?</v>
      </c>
      <c r="AS504" s="1" t="e">
        <f ca="1">_xll.BDH($C$503,"ACCOUNTS_RECEIVABLE_5_YR_GROWTH","FQ1 2014","FQ1 2014","Currency=INR","Period=FQ","BEST_FPERIOD_OVERRIDE=FQ","FILING_STATUS=OR","EQY_CONSOLIDATED=Y","Sort=A","Dates=H","DateFormat=P","Fill=—","Direction=H","UseDPDF=Y")</f>
        <v>#NAME?</v>
      </c>
      <c r="AT504" s="1" t="e">
        <f ca="1">_xll.BDH($C$503,"INVENTORY_5_YEAR_GROWTH","FQ1 2014","FQ1 2014","Currency=INR","Period=FQ","BEST_FPERIOD_OVERRIDE=FQ","FILING_STATUS=OR","EQY_CONSOLIDATED=Y","Sort=A","Dates=H","DateFormat=P","Fill=—","Direction=H","UseDPDF=Y")</f>
        <v>#NAME?</v>
      </c>
      <c r="AU504" s="1" t="e">
        <f ca="1">_xll.BDH($C$503,"NET_FIXED_ASSETS_5_YEAR_GROWTH","FQ1 2014","FQ1 2014","Currency=INR","Period=FQ","BEST_FPERIOD_OVERRIDE=FQ","FILING_STATUS=OR","EQY_CONSOLIDATED=Y","Sort=A","Dates=H","DateFormat=P","Fill=—","Direction=H","UseDPDF=Y")</f>
        <v>#NAME?</v>
      </c>
      <c r="AV504" s="1" t="e">
        <f ca="1">_xll.BDH($C$503,"GEO_GROW_TOT_ASSET","FQ1 2014","FQ1 2014","Currency=INR","Period=FQ","BEST_FPERIOD_OVERRIDE=FQ","FILING_STATUS=OR","EQY_CONSOLIDATED=Y","Sort=A","Dates=H","DateFormat=P","Fill=—","Direction=H","UseDPDF=Y")</f>
        <v>#NAME?</v>
      </c>
      <c r="AW504" s="1" t="e">
        <f ca="1">_xll.BDH($C$503,"MODIFIED_WORKING_CPTL_5YR_GRWTH","FQ1 2014","FQ1 2014","Currency=INR","Period=FQ","BEST_FPERIOD_OVERRIDE=FQ","FILING_STATUS=OR","EQY_CONSOLIDATED=Y","Sort=A","Dates=H","DateFormat=P","Fill=—","Direction=H","UseDPDF=Y")</f>
        <v>#NAME?</v>
      </c>
      <c r="AX504" s="1" t="e">
        <f ca="1">_xll.BDH($C$503,"WORKING_CAPITAL_5_YEAR_GROWTH","FQ1 2014","FQ1 2014","Currency=INR","Period=FQ","BEST_FPERIOD_OVERRIDE=FQ","FILING_STATUS=OR","EQY_CONSOLIDATED=Y","Sort=A","Dates=H","DateFormat=P","Fill=—","Direction=H","UseDPDF=Y")</f>
        <v>#NAME?</v>
      </c>
      <c r="AY504" s="1" t="e">
        <f ca="1">_xll.BDH($C$503,"ACCOUNTS_PAYABLE_5_YEAR_GROWTH","FQ1 2014","FQ1 2014","Currency=INR","Period=FQ","BEST_FPERIOD_OVERRIDE=FQ","FILING_STATUS=OR","EQY_CONSOLIDATED=Y","Sort=A","Dates=H","DateFormat=P","Fill=—","Direction=H","UseDPDF=Y")</f>
        <v>#NAME?</v>
      </c>
      <c r="AZ504" s="1" t="e">
        <f ca="1">_xll.BDH($C$503,"SHORT_TERM_DEBT_5_YEAR_GROWTH","FQ1 2014","FQ1 2014","Currency=INR","Period=FQ","BEST_FPERIOD_OVERRIDE=FQ","FILING_STATUS=OR","EQY_CONSOLIDATED=Y","Sort=A","Dates=H","DateFormat=P","Fill=—","Direction=H","UseDPDF=Y")</f>
        <v>#NAME?</v>
      </c>
      <c r="BA504" s="1" t="e">
        <f ca="1">_xll.BDH($C$503,"TOTAL_DEBT_5_YEAR_GROWTH","FQ1 2014","FQ1 2014","Currency=INR","Period=FQ","BEST_FPERIOD_OVERRIDE=FQ","FILING_STATUS=OR","EQY_CONSOLIDATED=Y","Sort=A","Dates=H","DateFormat=P","Fill=—","Direction=H","UseDPDF=Y")</f>
        <v>#NAME?</v>
      </c>
      <c r="BB504" s="1" t="e">
        <f ca="1">_xll.BDH($C$503,"GEO_GROW_TOT_SHRHLDR_EQY","FQ1 2014","FQ1 2014","Currency=INR","Period=FQ","BEST_FPERIOD_OVERRIDE=FQ","FILING_STATUS=OR","EQY_CONSOLIDATED=Y","Sort=A","Dates=H","DateFormat=P","Fill=—","Direction=H","UseDPDF=Y")</f>
        <v>#NAME?</v>
      </c>
      <c r="BC504" s="1" t="e">
        <f ca="1">_xll.BDH($C$503,"TOTAL_CAPITAL_5_YEAR_GROWTH","FQ1 2014","FQ1 2014","Currency=INR","Period=FQ","BEST_FPERIOD_OVERRIDE=FQ","FILING_STATUS=OR","EQY_CONSOLIDATED=Y","Sort=A","Dates=H","DateFormat=P","Fill=—","Direction=H","UseDPDF=Y")</f>
        <v>#NAME?</v>
      </c>
      <c r="BD504" s="1" t="e">
        <f ca="1">_xll.BDH($C$503,"GEO_GROW_BOOK_VAL","FQ1 2014","FQ1 2014","Currency=INR","Period=FQ","BEST_FPERIOD_OVERRIDE=FQ","FILING_STATUS=OR","EQY_CONSOLIDATED=Y","Sort=A","Dates=H","DateFormat=P","Fill=—","Direction=H","UseDPDF=Y")</f>
        <v>#NAME?</v>
      </c>
      <c r="BE504" s="1" t="e">
        <f ca="1">_xll.BDH($C$503,"GEO_GROW_CASH_OPER_ACT","FQ1 2014","FQ1 2014","Currency=INR","Period=FQ","BEST_FPERIOD_OVERRIDE=FQ","FILING_STATUS=OR","EQY_CONSOLIDATED=Y","Sort=A","Dates=H","DateFormat=P","Fill=—","Direction=H","UseDPDF=Y")</f>
        <v>#NAME?</v>
      </c>
      <c r="BF504" s="1" t="e">
        <f ca="1">_xll.BDH($C$503,"REVENUE_SEQUENTIAL_GROWTH","FQ1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04" s="1" t="e">
        <f ca="1">_xll.BDH($C$503,"EBITDA_SEQUENTIAL_GROWTH","FQ1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04" s="1" t="e">
        <f ca="1">_xll.BDH($C$503,"OPERATING_INCOME_SEQ_GROWTH","FQ1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04" s="1" t="e">
        <f ca="1">_xll.BDH($C$503,"NET_INCOME_TO_COMMON_SEQ_GROWTH","FQ1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04" s="1" t="e">
        <f ca="1">_xll.BDH($C$503,"EPS_DILUTED_SEQUENTIAL_GROWTH","FQ1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04" s="1" t="e">
        <f ca="1">_xll.BDH($C$503,"DPS_SEQUENTIAL_GROWTH","FQ1 2014","FQ1 2014","Currency=INR","Period=FQ","BEST_FPERIOD_OVERRIDE=FQ","FILING_STATUS=OR","EQY_CONSOLIDATED=Y","Sort=A","Dates=H","DateFormat=P","Fill=—","Direction=H","UseDPDF=Y")</f>
        <v>#NAME?</v>
      </c>
      <c r="BL504" s="1" t="e">
        <f ca="1">_xll.BDH($C$503,"ACCOUNTS_RECEIVABLE_SEQ_GROWTH","FQ1 2014","FQ1 2014","Currency=INR","Period=FQ","BEST_FPERIOD_OVERRIDE=FQ","FILING_STATUS=OR","EQY_CONSOLIDATED=Y","Sort=A","Dates=H","DateFormat=P","Fill=—","Direction=H","UseDPDF=Y")</f>
        <v>#NAME?</v>
      </c>
      <c r="BM504" s="1" t="e">
        <f ca="1">_xll.BDH($C$503,"INVENTORY_SEQUENTIAL_GROWTH","FQ1 2014","FQ1 2014","Currency=INR","Period=FQ","BEST_FPERIOD_OVERRIDE=FQ","FILING_STATUS=OR","EQY_CONSOLIDATED=Y","Sort=A","Dates=H","DateFormat=P","Fill=—","Direction=H","UseDPDF=Y")</f>
        <v>#NAME?</v>
      </c>
      <c r="BN504" s="1" t="e">
        <f ca="1">_xll.BDH($C$503,"FIXED_ASSETS_SEQUENTIAL_GROWTH","FQ1 2014","FQ1 2014","Currency=INR","Period=FQ","BEST_FPERIOD_OVERRIDE=FQ","FILING_STATUS=OR","EQY_CONSOLIDATED=Y","Sort=A","Dates=H","DateFormat=P","Fill=—","Direction=H","UseDPDF=Y")</f>
        <v>#NAME?</v>
      </c>
      <c r="BO504" s="1" t="e">
        <f ca="1">_xll.BDH($C$503,"TOTAL_ASSETS_SEQUENTIAL_GROWTH","FQ1 2014","FQ1 2014","Currency=INR","Period=FQ","BEST_FPERIOD_OVERRIDE=FQ","FILING_STATUS=OR","EQY_CONSOLIDATED=Y","Sort=A","Dates=H","DateFormat=P","Fill=—","Direction=H","UseDPDF=Y")</f>
        <v>#NAME?</v>
      </c>
      <c r="BP504" s="1" t="e">
        <f ca="1">_xll.BDH($C$503,"MODIFIED_WORKING_CPTL_SEQ_GRWTH","FQ1 2014","FQ1 2014","Currency=INR","Period=FQ","BEST_FPERIOD_OVERRIDE=FQ","FILING_STATUS=OR","EQY_CONSOLIDATED=Y","Sort=A","Dates=H","DateFormat=P","Fill=—","Direction=H","UseDPDF=Y")</f>
        <v>#NAME?</v>
      </c>
      <c r="BQ504" s="1" t="e">
        <f ca="1">_xll.BDH($C$503,"WORKING_CAPITAL_SEQ_GROWTH","FQ1 2014","FQ1 2014","Currency=INR","Period=FQ","BEST_FPERIOD_OVERRIDE=FQ","FILING_STATUS=OR","EQY_CONSOLIDATED=Y","Sort=A","Dates=H","DateFormat=P","Fill=—","Direction=H","UseDPDF=Y")</f>
        <v>#NAME?</v>
      </c>
      <c r="BR504" s="1" t="e">
        <f ca="1">_xll.BDH($C$503,"ACCOUNTS_PAYABLE_SEQ_GROWTH","FQ1 2014","FQ1 2014","Currency=INR","Period=FQ","BEST_FPERIOD_OVERRIDE=FQ","FILING_STATUS=OR","EQY_CONSOLIDATED=Y","Sort=A","Dates=H","DateFormat=P","Fill=—","Direction=H","UseDPDF=Y")</f>
        <v>#NAME?</v>
      </c>
      <c r="BS504" s="1" t="e">
        <f ca="1">_xll.BDH($C$503,"ST_DEBT_SEQUENTIAL_GROWTH","FQ1 2014","FQ1 2014","Currency=INR","Period=FQ","BEST_FPERIOD_OVERRIDE=FQ","FILING_STATUS=OR","EQY_CONSOLIDATED=Y","Sort=A","Dates=H","DateFormat=P","Fill=—","Direction=H","UseDPDF=Y")</f>
        <v>#NAME?</v>
      </c>
      <c r="BT504" s="1" t="e">
        <f ca="1">_xll.BDH($C$503,"TOTAL_DEBT_SEQUENTIAL_GROWTH","FQ1 2014","FQ1 2014","Currency=INR","Period=FQ","BEST_FPERIOD_OVERRIDE=FQ","FILING_STATUS=OR","EQY_CONSOLIDATED=Y","Sort=A","Dates=H","DateFormat=P","Fill=—","Direction=H","UseDPDF=Y")</f>
        <v>#NAME?</v>
      </c>
      <c r="BU504" s="1" t="e">
        <f ca="1">_xll.BDH($C$503,"TOTAL_EQUITY_SEQUENTIAL_GROWTH","FQ1 2014","FQ1 2014","Currency=INR","Period=FQ","BEST_FPERIOD_OVERRIDE=FQ","FILING_STATUS=OR","EQY_CONSOLIDATED=Y","Sort=A","Dates=H","DateFormat=P","Fill=—","Direction=H","UseDPDF=Y")</f>
        <v>#NAME?</v>
      </c>
      <c r="BV504" s="1" t="e">
        <f ca="1">_xll.BDH($C$503,"TOTAL_CAPITAL_SEQUENTIAL_GROWTH","FQ1 2014","FQ1 2014","Currency=INR","Period=FQ","BEST_FPERIOD_OVERRIDE=FQ","FILING_STATUS=OR","EQY_CONSOLIDATED=Y","Sort=A","Dates=H","DateFormat=P","Fill=—","Direction=H","UseDPDF=Y")</f>
        <v>#NAME?</v>
      </c>
      <c r="BW504" s="1" t="e">
        <f ca="1">_xll.BDH($C$503,"BPS_SEQUENTIAL_GROWTH","FQ1 2014","FQ1 2014","Currency=INR","Period=FQ","BEST_FPERIOD_OVERRIDE=FQ","FILING_STATUS=OR","EQY_CONSOLIDATED=Y","Sort=A","Dates=H","DateFormat=P","Fill=—","Direction=H","UseDPDF=Y")</f>
        <v>#NAME?</v>
      </c>
      <c r="BX504" s="1" t="e">
        <f ca="1">_xll.BDH($C$503,"CFO_SEQUENTIAL_GROWTH","FQ1 2014","FQ1 2014","Currency=INR","Period=FQ","BEST_FPERIOD_OVERRIDE=FQ","FILING_STATUS=OR","EQY_CONSOLIDATED=Y","Sort=A","Dates=H","DateFormat=P","Fill=—","Direction=H","UseDPDF=Y")</f>
        <v>#NAME?</v>
      </c>
      <c r="BY504" s="2" t="e">
        <f ca="1">_xll.BDH($C$503,"SHORT_AND_LONG_TERM_DEBT","FQ1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04" s="2" t="e">
        <f ca="1">_xll.BDH($C$503,"BS_ST_BORROW","FQ1 2014","FQ1 2014","Currency=INR","Period=FQ","BEST_FPERIOD_OVERRIDE=FQ","FILING_STATUS=OR","EQY_CONSOLIDATED=Y","SCALING_FORMAT=MLN","Sort=A","Dates=H","DateFormat=P","Fill=—","Direction=H","UseDPDF=Y")</f>
        <v>#NAME?</v>
      </c>
      <c r="CA504" s="2" t="e">
        <f ca="1">_xll.BDH($C$503,"BS_LT_BORROW","FQ1 2014","FQ1 2014","Currency=INR","Period=FQ","BEST_FPERIOD_OVERRIDE=FQ","FILING_STATUS=OR","EQY_CONSOLIDATED=Y","SCALING_FORMAT=MLN","Sort=A","Dates=H","DateFormat=P","Fill=—","Direction=H","UseDPDF=Y")</f>
        <v>#NAME?</v>
      </c>
      <c r="CB504" s="1" t="e">
        <f ca="1">_xll.BDH($C$503,"TOT_DEBT_TO_EBITDA","FQ1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04" s="1" t="e">
        <f ca="1">_xll.BDH($C$503,"NET_DEBT_TO_EBITDA","FQ1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04" s="1" t="e">
        <f ca="1">_xll.BDH($C$503,"TOTAL_DEBT_TO_EBIT","FQ1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04" s="1" t="e">
        <f ca="1">_xll.BDH($C$503,"NET_DEBT_TO_EBIT","FQ1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504" s="1" t="e">
        <f ca="1">_xll.BDH($C$503,"EBITDA_TO_INTEREST_EXPN","FQ1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04" s="1" t="e">
        <f ca="1">_xll.BDH($C$503,"COM_EQY_TO_TOT_ASSET","FQ1 2014","FQ1 2014","Currency=INR","Period=FQ","BEST_FPERIOD_OVERRIDE=FQ","FILING_STATUS=OR","EQY_CONSOLIDATED=Y","Sort=A","Dates=H","DateFormat=P","Fill=—","Direction=H","UseDPDF=Y")</f>
        <v>#NAME?</v>
      </c>
      <c r="CH504" s="1" t="e">
        <f ca="1">_xll.BDH($C$503,"LT_DEBT_TO_TOT_EQY","FQ1 2014","FQ1 2014","Currency=INR","Period=FQ","BEST_FPERIOD_OVERRIDE=FQ","FILING_STATUS=OR","EQY_CONSOLIDATED=Y","Sort=A","Dates=H","DateFormat=P","Fill=—","Direction=H","UseDPDF=Y")</f>
        <v>#NAME?</v>
      </c>
      <c r="CI504" s="1" t="e">
        <f ca="1">_xll.BDH($C$503,"LT_DEBT_TO_TOT_CAP","FQ1 2014","FQ1 2014","Currency=INR","Period=FQ","BEST_FPERIOD_OVERRIDE=FQ","FILING_STATUS=OR","EQY_CONSOLIDATED=Y","Sort=A","Dates=H","DateFormat=P","Fill=—","Direction=H","UseDPDF=Y")</f>
        <v>#NAME?</v>
      </c>
      <c r="CJ504" s="1" t="e">
        <f ca="1">_xll.BDH($C$503,"LT_DEBT_TO_TOT_ASSET","FQ1 2014","FQ1 2014","Currency=INR","Period=FQ","BEST_FPERIOD_OVERRIDE=FQ","FILING_STATUS=OR","EQY_CONSOLIDATED=Y","Sort=A","Dates=H","DateFormat=P","Fill=—","Direction=H","UseDPDF=Y")</f>
        <v>#NAME?</v>
      </c>
      <c r="CK504" s="1" t="e">
        <f ca="1">_xll.BDH($C$503,"TOT_DEBT_TO_TOT_EQY","FQ1 2014","FQ1 2014","Currency=INR","Period=FQ","BEST_FPERIOD_OVERRIDE=FQ","FILING_STATUS=OR","EQY_CONSOLIDATED=Y","Sort=A","Dates=H","DateFormat=P","Fill=—","Direction=H","UseDPDF=Y")</f>
        <v>#NAME?</v>
      </c>
      <c r="CL504" s="1" t="e">
        <f ca="1">_xll.BDH($C$503,"TOT_DEBT_TO_TOT_CAP","FQ1 2014","FQ1 2014","Currency=INR","Period=FQ","BEST_FPERIOD_OVERRIDE=FQ","FILING_STATUS=OR","EQY_CONSOLIDATED=Y","Sort=A","Dates=H","DateFormat=P","Fill=—","Direction=H","UseDPDF=Y")</f>
        <v>#NAME?</v>
      </c>
      <c r="CM504" s="1" t="e">
        <f ca="1">_xll.BDH($C$503,"TOT_DEBT_TO_TOT_ASSET","FQ1 2014","FQ1 2014","Currency=INR","Period=FQ","BEST_FPERIOD_OVERRIDE=FQ","FILING_STATUS=OR","EQY_CONSOLIDATED=Y","Sort=A","Dates=H","DateFormat=P","Fill=—","Direction=H","UseDPDF=Y")</f>
        <v>#NAME?</v>
      </c>
      <c r="CN504" s="1" t="e">
        <f ca="1">_xll.BDH($C$503,"NET_DEBT_TO_SHRHLDR_EQTY","FQ1 2014","FQ1 2014","Currency=INR","Period=FQ","BEST_FPERIOD_OVERRIDE=FQ","FILING_STATUS=OR","EQY_CONSOLIDATED=Y","Sort=A","Dates=H","DateFormat=P","Fill=—","Direction=H","UseDPDF=Y")</f>
        <v>#NAME?</v>
      </c>
      <c r="CO504" s="1" t="e">
        <f ca="1">_xll.BDH($C$503,"NET_DEBT_%_CAPITAL","FQ1 2014","FQ1 2014","Currency=INR","Period=FQ","BEST_FPERIOD_OVERRIDE=FQ","FILING_STATUS=OR","EQY_CONSOLIDATED=Y","Sort=A","Dates=H","DateFormat=P","Fill=—","Direction=H","UseDPDF=Y")</f>
        <v>#NAME?</v>
      </c>
      <c r="CP504" s="2" t="e">
        <f ca="1">_xll.BDH($C$503,"EBITDA","FQ1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04" s="2" t="e">
        <f ca="1">_xll.BDH($C$503,"EBITDA_AFTER_CAPEX","FQ1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04" s="2" t="e">
        <f ca="1">_xll.BDH($C$503,"IS_OPER_INC","FQ1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04" s="1" t="e">
        <f ca="1">_xll.BDH($C$503,"CASH_RATIO","FQ1 2014","FQ1 2014","Currency=INR","Period=FQ","BEST_FPERIOD_OVERRIDE=FQ","FILING_STATUS=OR","EQY_CONSOLIDATED=Y","Sort=A","Dates=H","DateFormat=P","Fill=—","Direction=H","UseDPDF=Y")</f>
        <v>#NAME?</v>
      </c>
      <c r="CT504" s="1" t="e">
        <f ca="1">_xll.BDH($C$503,"CUR_RATIO","FQ1 2014","FQ1 2014","Currency=INR","Period=FQ","BEST_FPERIOD_OVERRIDE=FQ","FILING_STATUS=OR","EQY_CONSOLIDATED=Y","Sort=A","Dates=H","DateFormat=P","Fill=—","Direction=H","UseDPDF=Y")</f>
        <v>#NAME?</v>
      </c>
      <c r="CU504" s="1" t="e">
        <f ca="1">_xll.BDH($C$503,"QUICK_RATIO","FQ1 2014","FQ1 2014","Currency=INR","Period=FQ","BEST_FPERIOD_OVERRIDE=FQ","FILING_STATUS=OR","EQY_CONSOLIDATED=Y","Sort=A","Dates=H","DateFormat=P","Fill=—","Direction=H","UseDPDF=Y")</f>
        <v>#NAME?</v>
      </c>
      <c r="CV504" s="1" t="e">
        <f ca="1">_xll.BDH($C$503,"ALTMAN_Z_SCORE","FQ1 2014","FQ1 2014","Currency=INR","Period=FQ","BEST_FPERIOD_OVERRIDE=FQ","FILING_STATUS=OR","EQY_CONSOLIDATED=Y","Sort=A","Dates=H","DateFormat=P","Fill=—","Direction=H","UseDPDF=Y")</f>
        <v>#NAME?</v>
      </c>
      <c r="CW504" s="3" t="e">
        <f ca="1">_xll.BDH($C$503,"ACCT_RCV_TURN","FQ1 2014","FQ1 2014","Currency=INR","Period=FQ","BEST_FPERIOD_OVERRIDE=FQ","FILING_STATUS=OR","EQY_CONSOLIDATED=Y","FA_ADJUSTED=GAAP","Sort=A","Dates=H","DateFormat=P","Fill=—","Direction=H","UseDPDF=Y")</f>
        <v>#NAME?</v>
      </c>
      <c r="CX504" s="1" t="e">
        <f ca="1">_xll.BDH($C$503,"ACCT_RCV_DAYS","FQ1 2014","FQ1 2014","Currency=INR","Period=FQ","BEST_FPERIOD_OVERRIDE=FQ","FILING_STATUS=OR","EQY_CONSOLIDATED=Y","FA_ADJUSTED=GAAP","Sort=A","Dates=H","DateFormat=P","Fill=—","Direction=H","UseDPDF=Y")</f>
        <v>#NAME?</v>
      </c>
      <c r="CY504" s="3" t="e">
        <f ca="1">_xll.BDH($C$503,"INVENT_TURN","FQ1 2014","FQ1 2014","Currency=INR","Period=FQ","BEST_FPERIOD_OVERRIDE=FQ","FILING_STATUS=OR","EQY_CONSOLIDATED=Y","FA_ADJUSTED=GAAP","Sort=A","Dates=H","DateFormat=P","Fill=—","Direction=H","UseDPDF=Y")</f>
        <v>#NAME?</v>
      </c>
      <c r="CZ504" s="1" t="e">
        <f ca="1">_xll.BDH($C$503,"INVENT_DAYS","FQ1 2014","FQ1 2014","Currency=INR","Period=FQ","BEST_FPERIOD_OVERRIDE=FQ","FILING_STATUS=OR","EQY_CONSOLIDATED=Y","FA_ADJUSTED=GAAP","Sort=A","Dates=H","DateFormat=P","Fill=—","Direction=H","UseDPDF=Y")</f>
        <v>#NAME?</v>
      </c>
      <c r="DA504" s="3" t="e">
        <f ca="1">_xll.BDH($C$503,"ACCOUNTS_PAYABLE_TURNOVER","FQ1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04" s="1" t="e">
        <f ca="1">_xll.BDH($C$503,"ACCOUNTS_PAYABLE_TURNOVER_DAYS","FQ1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04" s="3" t="e">
        <f ca="1">_xll.BDH($C$503,"CASH_CONVERSION_CYCLE","FQ1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04" s="3" t="e">
        <f ca="1">_xll.BDH($C$503,"INV_TO_CASH_DAYS","FQ1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504" s="4" t="e">
        <f ca="1">_xll.BDH($C$503,"BS_INVENTORIES","FQ1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504" s="2" t="e">
        <f ca="1">_xll.BDH($C$503,"INVTRY_RAW_MATERIALS","FQ1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04" s="2" t="e">
        <f ca="1">_xll.BDH($C$503,"INVTRY_IN_PROGRESS","FQ1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04" s="2" t="e">
        <f ca="1">_xll.BDH($C$503,"INVTRY_FINISHED_GOODS","FQ1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04" s="2" t="e">
        <f ca="1">_xll.BDH($C$503,"BS_OTHER_INV","FQ1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05" spans="1:113" x14ac:dyDescent="0.3">
      <c r="A505" s="6"/>
      <c r="B505" s="6"/>
      <c r="C505" s="6"/>
      <c r="D505" s="6"/>
      <c r="E505" t="s">
        <v>5</v>
      </c>
      <c r="F505" t="e">
        <f ca="1">_xll.BDH($C$503,"RETURN_COM_EQY","FQ2 2014","FQ2 2014","Currency=INR","Period=FQ","BEST_FPERIOD_OVERRIDE=FQ","FILING_STATUS=OR","EQY_CONSOLIDATED=Y","FA_ADJUSTED=GAAP","Sort=A","Dates=H","DateFormat=P","Fill=—","Direction=H","UseDPDF=Y")</f>
        <v>#NAME?</v>
      </c>
      <c r="G505" t="e">
        <f ca="1">_xll.BDH($C$503,"RETURN_ON_ASSET","FQ2 2014","FQ2 2014","Currency=INR","Period=FQ","BEST_FPERIOD_OVERRIDE=FQ","FILING_STATUS=OR","EQY_CONSOLIDATED=Y","FA_ADJUSTED=GAAP","Sort=A","Dates=H","DateFormat=P","Fill=—","Direction=H","UseDPDF=Y")</f>
        <v>#NAME?</v>
      </c>
      <c r="H505" t="e">
        <f ca="1">_xll.BDH($C$503,"RETURN_ON_CAP","FQ2 2014","FQ2 2014","Currency=INR","Period=FQ","BEST_FPERIOD_OVERRIDE=FQ","FILING_STATUS=OR","EQY_CONSOLIDATED=Y","FA_ADJUSTED=GAAP","Sort=A","Dates=H","DateFormat=P","Fill=—","Direction=H","UseDPDF=Y")</f>
        <v>#NAME?</v>
      </c>
      <c r="I505" t="e">
        <f ca="1">_xll.BDH($C$503,"RETURN_ON_INV_CAPITAL","FQ2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05" t="e">
        <f ca="1">_xll.BDH($C$503,"EBITDA_TO_REVENUE","FQ2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05" t="e">
        <f ca="1">_xll.BDH($C$503,"OPER_MARGIN","FQ2 2014","FQ2 2014","Currency=INR","Period=FQ","BEST_FPERIOD_OVERRIDE=FQ","FILING_STATUS=OR","EQY_CONSOLIDATED=Y","FA_ADJUSTED=GAAP","Sort=A","Dates=H","DateFormat=P","Fill=—","Direction=H","UseDPDF=Y")</f>
        <v>#NAME?</v>
      </c>
      <c r="L505" t="e">
        <f ca="1">_xll.BDH($C$503,"INCREMENTAL_OPERATING_MARGIN","FQ2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05" t="e">
        <f ca="1">_xll.BDH($C$503,"PRETAX_INC_TO_NET_SALES","FQ2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05" t="e">
        <f ca="1">_xll.BDH($C$503,"INC_BEF_XO_ITEMS_TO_NET_SALES","FQ2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05" t="e">
        <f ca="1">_xll.BDH($C$503,"PROF_MARGIN","FQ2 2014","FQ2 2014","Currency=INR","Period=FQ","BEST_FPERIOD_OVERRIDE=FQ","FILING_STATUS=OR","EQY_CONSOLIDATED=Y","FA_ADJUSTED=GAAP","Sort=A","Dates=H","DateFormat=P","Fill=—","Direction=H","UseDPDF=Y")</f>
        <v>#NAME?</v>
      </c>
      <c r="P505" t="e">
        <f ca="1">_xll.BDH($C$503,"NET_INCOME_TO_COMMON_MARGIN","FQ2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05" t="e">
        <f ca="1">_xll.BDH($C$503,"EFF_TAX_RATE","FQ2 2014","FQ2 2014","Currency=INR","Period=FQ","BEST_FPERIOD_OVERRIDE=FQ","FILING_STATUS=OR","EQY_CONSOLIDATED=Y","FA_ADJUSTED=GAAP","Sort=A","Dates=H","DateFormat=P","Fill=—","Direction=H","UseDPDF=Y")</f>
        <v>#NAME?</v>
      </c>
      <c r="R505" t="e">
        <f ca="1">_xll.BDH($C$503,"DVD_PAYOUT_RATIO","FQ2 2014","FQ2 2014","Currency=INR","Period=FQ","BEST_FPERIOD_OVERRIDE=FQ","FILING_STATUS=OR","EQY_CONSOLIDATED=Y","FA_ADJUSTED=GAAP","Sort=A","Dates=H","DateFormat=P","Fill=—","Direction=H","UseDPDF=Y")</f>
        <v>#NAME?</v>
      </c>
      <c r="S505" t="e">
        <f ca="1">_xll.BDH($C$503,"SUSTAIN_GROWTH_RT","FQ2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05" s="1" t="e">
        <f ca="1">_xll.BDH($C$503,"SALES_GROWTH","FQ2 2014","FQ2 2014","Currency=INR","Period=FQ","BEST_FPERIOD_OVERRIDE=FQ","FILING_STATUS=OR","EQY_CONSOLIDATED=Y","FA_ADJUSTED=GAAP","Sort=A","Dates=H","DateFormat=P","Fill=—","Direction=H","UseDPDF=Y")</f>
        <v>#NAME?</v>
      </c>
      <c r="U505" s="1" t="e">
        <f ca="1">_xll.BDH($C$503,"EBITDA_GROWTH","FQ2 2014","FQ2 2014","Currency=INR","Period=FQ","BEST_FPERIOD_OVERRIDE=FQ","FILING_STATUS=OR","EQY_CONSOLIDATED=Y","FA_ADJUSTED=GAAP","Sort=A","Dates=H","DateFormat=P","Fill=—","Direction=H","UseDPDF=Y")</f>
        <v>#NAME?</v>
      </c>
      <c r="V505" s="1" t="e">
        <f ca="1">_xll.BDH($C$503,"OPER_INC_GROWTH","FQ2 2014","FQ2 2014","Currency=INR","Period=FQ","BEST_FPERIOD_OVERRIDE=FQ","FILING_STATUS=OR","EQY_CONSOLIDATED=Y","FA_ADJUSTED=GAAP","Sort=A","Dates=H","DateFormat=P","Fill=—","Direction=H","UseDPDF=Y")</f>
        <v>#NAME?</v>
      </c>
      <c r="W505" s="1" t="e">
        <f ca="1">_xll.BDH($C$503,"EARN_FOR_COM_GROWTH","FQ2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05" s="1" t="e">
        <f ca="1">_xll.BDH($C$503,"DILUTED_EPS_AFT_XO_ITEMS_GROWTH","FQ2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05" s="1" t="e">
        <f ca="1">_xll.BDH($C$503,"DIVIDEND_PER_SHARE_1_YEAR_GROWTH","FQ2 2014","FQ2 2014","Currency=INR","Period=FQ","BEST_FPERIOD_OVERRIDE=FQ","FILING_STATUS=OR","EQY_CONSOLIDATED=Y","Sort=A","Dates=H","DateFormat=P","Fill=—","Direction=H","UseDPDF=Y")</f>
        <v>#NAME?</v>
      </c>
      <c r="Z505" s="1" t="e">
        <f ca="1">_xll.BDH($C$503,"ACCOUNTS_RECEIVABLE_GROWTH","FQ2 2014","FQ2 2014","Currency=INR","Period=FQ","BEST_FPERIOD_OVERRIDE=FQ","FILING_STATUS=OR","EQY_CONSOLIDATED=Y","Sort=A","Dates=H","DateFormat=P","Fill=—","Direction=H","UseDPDF=Y")</f>
        <v>#NAME?</v>
      </c>
      <c r="AA505" s="1" t="e">
        <f ca="1">_xll.BDH($C$503,"INVENTORY_GROWTH","FQ2 2014","FQ2 2014","Currency=INR","Period=FQ","BEST_FPERIOD_OVERRIDE=FQ","FILING_STATUS=OR","EQY_CONSOLIDATED=Y","Sort=A","Dates=H","DateFormat=P","Fill=—","Direction=H","UseDPDF=Y")</f>
        <v>#NAME?</v>
      </c>
      <c r="AB505" s="1" t="e">
        <f ca="1">_xll.BDH($C$503,"NET_FIXED_ASSETS_1_YEAR_GROWTH","FQ2 2014","FQ2 2014","Currency=INR","Period=FQ","BEST_FPERIOD_OVERRIDE=FQ","FILING_STATUS=OR","EQY_CONSOLIDATED=Y","Sort=A","Dates=H","DateFormat=P","Fill=—","Direction=H","UseDPDF=Y")</f>
        <v>#NAME?</v>
      </c>
      <c r="AC505" s="1" t="e">
        <f ca="1">_xll.BDH($C$503,"ASSET_GROWTH","FQ2 2014","FQ2 2014","Currency=INR","Period=FQ","BEST_FPERIOD_OVERRIDE=FQ","FILING_STATUS=OR","EQY_CONSOLIDATED=Y","Sort=A","Dates=H","DateFormat=P","Fill=—","Direction=H","UseDPDF=Y")</f>
        <v>#NAME?</v>
      </c>
      <c r="AD505" s="1" t="e">
        <f ca="1">_xll.BDH($C$503,"MODIFIED_WORK_CAP_GROWTH","FQ2 2014","FQ2 2014","Currency=INR","Period=FQ","BEST_FPERIOD_OVERRIDE=FQ","FILING_STATUS=OR","EQY_CONSOLIDATED=Y","Sort=A","Dates=H","DateFormat=P","Fill=—","Direction=H","UseDPDF=Y")</f>
        <v>#NAME?</v>
      </c>
      <c r="AE505" s="1" t="e">
        <f ca="1">_xll.BDH($C$503,"WORK_CAP_GROWTH","FQ2 2014","FQ2 2014","Currency=INR","Period=FQ","BEST_FPERIOD_OVERRIDE=FQ","FILING_STATUS=OR","EQY_CONSOLIDATED=Y","Sort=A","Dates=H","DateFormat=P","Fill=—","Direction=H","UseDPDF=Y")</f>
        <v>#NAME?</v>
      </c>
      <c r="AF505" s="1" t="e">
        <f ca="1">_xll.BDH($C$503,"ACCOUNTS_PAYABLE_GROWTH_1YR","FQ2 2014","FQ2 2014","Currency=INR","Period=FQ","BEST_FPERIOD_OVERRIDE=FQ","FILING_STATUS=OR","EQY_CONSOLIDATED=Y","Sort=A","Dates=H","DateFormat=P","Fill=—","Direction=H","UseDPDF=Y")</f>
        <v>#NAME?</v>
      </c>
      <c r="AG505" s="1" t="e">
        <f ca="1">_xll.BDH($C$503,"SHORT_TERM_DEBT_1_YEAR_GROWTH","FQ2 2014","FQ2 2014","Currency=INR","Period=FQ","BEST_FPERIOD_OVERRIDE=FQ","FILING_STATUS=OR","EQY_CONSOLIDATED=Y","Sort=A","Dates=H","DateFormat=P","Fill=—","Direction=H","UseDPDF=Y")</f>
        <v>#NAME?</v>
      </c>
      <c r="AH505" s="1" t="e">
        <f ca="1">_xll.BDH($C$503,"TOTAL_DEBT_1_YEAR_GROWTH","FQ2 2014","FQ2 2014","Currency=INR","Period=FQ","BEST_FPERIOD_OVERRIDE=FQ","FILING_STATUS=OR","EQY_CONSOLIDATED=Y","Sort=A","Dates=H","DateFormat=P","Fill=—","Direction=H","UseDPDF=Y")</f>
        <v>#NAME?</v>
      </c>
      <c r="AI505" s="1" t="e">
        <f ca="1">_xll.BDH($C$503,"TOTAL_EQUITY_1_YEAR_GROWTH","FQ2 2014","FQ2 2014","Currency=INR","Period=FQ","BEST_FPERIOD_OVERRIDE=FQ","FILING_STATUS=OR","EQY_CONSOLIDATED=Y","Sort=A","Dates=H","DateFormat=P","Fill=—","Direction=H","UseDPDF=Y")</f>
        <v>#NAME?</v>
      </c>
      <c r="AJ505" s="1" t="e">
        <f ca="1">_xll.BDH($C$503,"GROWTH_IN_CAP","FQ2 2014","FQ2 2014","Currency=INR","Period=FQ","BEST_FPERIOD_OVERRIDE=FQ","FILING_STATUS=OR","EQY_CONSOLIDATED=Y","Sort=A","Dates=H","DateFormat=P","Fill=—","Direction=H","UseDPDF=Y")</f>
        <v>#NAME?</v>
      </c>
      <c r="AK505" s="1" t="e">
        <f ca="1">_xll.BDH($C$503,"BVPS_GROWTH","FQ2 2014","FQ2 2014","Currency=INR","Period=FQ","BEST_FPERIOD_OVERRIDE=FQ","FILING_STATUS=OR","EQY_CONSOLIDATED=Y","Sort=A","Dates=H","DateFormat=P","Fill=—","Direction=H","UseDPDF=Y")</f>
        <v>#NAME?</v>
      </c>
      <c r="AL505" s="1" t="e">
        <f ca="1">_xll.BDH($C$503,"CASH_FLOW_GROWTH","FQ2 2014","FQ2 2014","Currency=INR","Period=FQ","BEST_FPERIOD_OVERRIDE=FQ","FILING_STATUS=OR","EQY_CONSOLIDATED=Y","Sort=A","Dates=H","DateFormat=P","Fill=—","Direction=H","UseDPDF=Y")</f>
        <v>#NAME?</v>
      </c>
      <c r="AM505" s="1" t="e">
        <f ca="1">_xll.BDH($C$503,"GEO_GROW_NET_SALES","FQ2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05" s="1" t="e">
        <f ca="1">_xll.BDH($C$503,"GEO_GROW_EBITDA","FQ2 2014","FQ2 2014","Currency=INR","Period=FQ","BEST_FPERIOD_OVERRIDE=FQ","FILING_STATUS=OR","EQY_CONSOLIDATED=Y","FA_ADJUSTED=GAAP","Sort=A","Dates=H","DateFormat=P","Fill=—","Direction=H","UseDPDF=Y")</f>
        <v>#NAME?</v>
      </c>
      <c r="AO505" s="1" t="e">
        <f ca="1">_xll.BDH($C$503,"GEO_GROW_OPER_INC","FQ2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05" s="1" t="e">
        <f ca="1">_xll.BDH($C$503,"NET_INCOME_TO_COMMON_5_YR_GROWTH","FQ2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05" s="1" t="e">
        <f ca="1">_xll.BDH($C$503,"5Y_GEO_GROWTH_DILUTED_EPS","FQ2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05" s="1" t="e">
        <f ca="1">_xll.BDH($C$503,"GEO_GROW_DVD_PER_SH","FQ2 2014","FQ2 2014","Currency=INR","Period=FQ","BEST_FPERIOD_OVERRIDE=FQ","FILING_STATUS=OR","EQY_CONSOLIDATED=Y","Sort=A","Dates=H","DateFormat=P","Fill=—","Direction=H","UseDPDF=Y")</f>
        <v>#NAME?</v>
      </c>
      <c r="AS505" s="1" t="e">
        <f ca="1">_xll.BDH($C$503,"ACCOUNTS_RECEIVABLE_5_YR_GROWTH","FQ2 2014","FQ2 2014","Currency=INR","Period=FQ","BEST_FPERIOD_OVERRIDE=FQ","FILING_STATUS=OR","EQY_CONSOLIDATED=Y","Sort=A","Dates=H","DateFormat=P","Fill=—","Direction=H","UseDPDF=Y")</f>
        <v>#NAME?</v>
      </c>
      <c r="AT505" s="1" t="e">
        <f ca="1">_xll.BDH($C$503,"INVENTORY_5_YEAR_GROWTH","FQ2 2014","FQ2 2014","Currency=INR","Period=FQ","BEST_FPERIOD_OVERRIDE=FQ","FILING_STATUS=OR","EQY_CONSOLIDATED=Y","Sort=A","Dates=H","DateFormat=P","Fill=—","Direction=H","UseDPDF=Y")</f>
        <v>#NAME?</v>
      </c>
      <c r="AU505" s="1" t="e">
        <f ca="1">_xll.BDH($C$503,"NET_FIXED_ASSETS_5_YEAR_GROWTH","FQ2 2014","FQ2 2014","Currency=INR","Period=FQ","BEST_FPERIOD_OVERRIDE=FQ","FILING_STATUS=OR","EQY_CONSOLIDATED=Y","Sort=A","Dates=H","DateFormat=P","Fill=—","Direction=H","UseDPDF=Y")</f>
        <v>#NAME?</v>
      </c>
      <c r="AV505" s="1" t="e">
        <f ca="1">_xll.BDH($C$503,"GEO_GROW_TOT_ASSET","FQ2 2014","FQ2 2014","Currency=INR","Period=FQ","BEST_FPERIOD_OVERRIDE=FQ","FILING_STATUS=OR","EQY_CONSOLIDATED=Y","Sort=A","Dates=H","DateFormat=P","Fill=—","Direction=H","UseDPDF=Y")</f>
        <v>#NAME?</v>
      </c>
      <c r="AW505" s="1" t="e">
        <f ca="1">_xll.BDH($C$503,"MODIFIED_WORKING_CPTL_5YR_GRWTH","FQ2 2014","FQ2 2014","Currency=INR","Period=FQ","BEST_FPERIOD_OVERRIDE=FQ","FILING_STATUS=OR","EQY_CONSOLIDATED=Y","Sort=A","Dates=H","DateFormat=P","Fill=—","Direction=H","UseDPDF=Y")</f>
        <v>#NAME?</v>
      </c>
      <c r="AX505" s="1" t="e">
        <f ca="1">_xll.BDH($C$503,"WORKING_CAPITAL_5_YEAR_GROWTH","FQ2 2014","FQ2 2014","Currency=INR","Period=FQ","BEST_FPERIOD_OVERRIDE=FQ","FILING_STATUS=OR","EQY_CONSOLIDATED=Y","Sort=A","Dates=H","DateFormat=P","Fill=—","Direction=H","UseDPDF=Y")</f>
        <v>#NAME?</v>
      </c>
      <c r="AY505" s="1" t="e">
        <f ca="1">_xll.BDH($C$503,"ACCOUNTS_PAYABLE_5_YEAR_GROWTH","FQ2 2014","FQ2 2014","Currency=INR","Period=FQ","BEST_FPERIOD_OVERRIDE=FQ","FILING_STATUS=OR","EQY_CONSOLIDATED=Y","Sort=A","Dates=H","DateFormat=P","Fill=—","Direction=H","UseDPDF=Y")</f>
        <v>#NAME?</v>
      </c>
      <c r="AZ505" s="1" t="e">
        <f ca="1">_xll.BDH($C$503,"SHORT_TERM_DEBT_5_YEAR_GROWTH","FQ2 2014","FQ2 2014","Currency=INR","Period=FQ","BEST_FPERIOD_OVERRIDE=FQ","FILING_STATUS=OR","EQY_CONSOLIDATED=Y","Sort=A","Dates=H","DateFormat=P","Fill=—","Direction=H","UseDPDF=Y")</f>
        <v>#NAME?</v>
      </c>
      <c r="BA505" s="1" t="e">
        <f ca="1">_xll.BDH($C$503,"TOTAL_DEBT_5_YEAR_GROWTH","FQ2 2014","FQ2 2014","Currency=INR","Period=FQ","BEST_FPERIOD_OVERRIDE=FQ","FILING_STATUS=OR","EQY_CONSOLIDATED=Y","Sort=A","Dates=H","DateFormat=P","Fill=—","Direction=H","UseDPDF=Y")</f>
        <v>#NAME?</v>
      </c>
      <c r="BB505" s="1" t="e">
        <f ca="1">_xll.BDH($C$503,"GEO_GROW_TOT_SHRHLDR_EQY","FQ2 2014","FQ2 2014","Currency=INR","Period=FQ","BEST_FPERIOD_OVERRIDE=FQ","FILING_STATUS=OR","EQY_CONSOLIDATED=Y","Sort=A","Dates=H","DateFormat=P","Fill=—","Direction=H","UseDPDF=Y")</f>
        <v>#NAME?</v>
      </c>
      <c r="BC505" s="1" t="e">
        <f ca="1">_xll.BDH($C$503,"TOTAL_CAPITAL_5_YEAR_GROWTH","FQ2 2014","FQ2 2014","Currency=INR","Period=FQ","BEST_FPERIOD_OVERRIDE=FQ","FILING_STATUS=OR","EQY_CONSOLIDATED=Y","Sort=A","Dates=H","DateFormat=P","Fill=—","Direction=H","UseDPDF=Y")</f>
        <v>#NAME?</v>
      </c>
      <c r="BD505" s="1" t="e">
        <f ca="1">_xll.BDH($C$503,"GEO_GROW_BOOK_VAL","FQ2 2014","FQ2 2014","Currency=INR","Period=FQ","BEST_FPERIOD_OVERRIDE=FQ","FILING_STATUS=OR","EQY_CONSOLIDATED=Y","Sort=A","Dates=H","DateFormat=P","Fill=—","Direction=H","UseDPDF=Y")</f>
        <v>#NAME?</v>
      </c>
      <c r="BE505" s="1" t="e">
        <f ca="1">_xll.BDH($C$503,"GEO_GROW_CASH_OPER_ACT","FQ2 2014","FQ2 2014","Currency=INR","Period=FQ","BEST_FPERIOD_OVERRIDE=FQ","FILING_STATUS=OR","EQY_CONSOLIDATED=Y","Sort=A","Dates=H","DateFormat=P","Fill=—","Direction=H","UseDPDF=Y")</f>
        <v>#NAME?</v>
      </c>
      <c r="BF505" s="1" t="e">
        <f ca="1">_xll.BDH($C$503,"REVENUE_SEQUENTIAL_GROWTH","FQ2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05" s="1" t="e">
        <f ca="1">_xll.BDH($C$503,"EBITDA_SEQUENTIAL_GROWTH","FQ2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05" s="1" t="e">
        <f ca="1">_xll.BDH($C$503,"OPERATING_INCOME_SEQ_GROWTH","FQ2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05" s="1" t="e">
        <f ca="1">_xll.BDH($C$503,"NET_INCOME_TO_COMMON_SEQ_GROWTH","FQ2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05" s="1" t="e">
        <f ca="1">_xll.BDH($C$503,"EPS_DILUTED_SEQUENTIAL_GROWTH","FQ2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05" s="1" t="e">
        <f ca="1">_xll.BDH($C$503,"DPS_SEQUENTIAL_GROWTH","FQ2 2014","FQ2 2014","Currency=INR","Period=FQ","BEST_FPERIOD_OVERRIDE=FQ","FILING_STATUS=OR","EQY_CONSOLIDATED=Y","Sort=A","Dates=H","DateFormat=P","Fill=—","Direction=H","UseDPDF=Y")</f>
        <v>#NAME?</v>
      </c>
      <c r="BL505" s="1" t="e">
        <f ca="1">_xll.BDH($C$503,"ACCOUNTS_RECEIVABLE_SEQ_GROWTH","FQ2 2014","FQ2 2014","Currency=INR","Period=FQ","BEST_FPERIOD_OVERRIDE=FQ","FILING_STATUS=OR","EQY_CONSOLIDATED=Y","Sort=A","Dates=H","DateFormat=P","Fill=—","Direction=H","UseDPDF=Y")</f>
        <v>#NAME?</v>
      </c>
      <c r="BM505" s="1" t="e">
        <f ca="1">_xll.BDH($C$503,"INVENTORY_SEQUENTIAL_GROWTH","FQ2 2014","FQ2 2014","Currency=INR","Period=FQ","BEST_FPERIOD_OVERRIDE=FQ","FILING_STATUS=OR","EQY_CONSOLIDATED=Y","Sort=A","Dates=H","DateFormat=P","Fill=—","Direction=H","UseDPDF=Y")</f>
        <v>#NAME?</v>
      </c>
      <c r="BN505" s="1" t="e">
        <f ca="1">_xll.BDH($C$503,"FIXED_ASSETS_SEQUENTIAL_GROWTH","FQ2 2014","FQ2 2014","Currency=INR","Period=FQ","BEST_FPERIOD_OVERRIDE=FQ","FILING_STATUS=OR","EQY_CONSOLIDATED=Y","Sort=A","Dates=H","DateFormat=P","Fill=—","Direction=H","UseDPDF=Y")</f>
        <v>#NAME?</v>
      </c>
      <c r="BO505" s="1" t="e">
        <f ca="1">_xll.BDH($C$503,"TOTAL_ASSETS_SEQUENTIAL_GROWTH","FQ2 2014","FQ2 2014","Currency=INR","Period=FQ","BEST_FPERIOD_OVERRIDE=FQ","FILING_STATUS=OR","EQY_CONSOLIDATED=Y","Sort=A","Dates=H","DateFormat=P","Fill=—","Direction=H","UseDPDF=Y")</f>
        <v>#NAME?</v>
      </c>
      <c r="BP505" s="1" t="e">
        <f ca="1">_xll.BDH($C$503,"MODIFIED_WORKING_CPTL_SEQ_GRWTH","FQ2 2014","FQ2 2014","Currency=INR","Period=FQ","BEST_FPERIOD_OVERRIDE=FQ","FILING_STATUS=OR","EQY_CONSOLIDATED=Y","Sort=A","Dates=H","DateFormat=P","Fill=—","Direction=H","UseDPDF=Y")</f>
        <v>#NAME?</v>
      </c>
      <c r="BQ505" s="1" t="e">
        <f ca="1">_xll.BDH($C$503,"WORKING_CAPITAL_SEQ_GROWTH","FQ2 2014","FQ2 2014","Currency=INR","Period=FQ","BEST_FPERIOD_OVERRIDE=FQ","FILING_STATUS=OR","EQY_CONSOLIDATED=Y","Sort=A","Dates=H","DateFormat=P","Fill=—","Direction=H","UseDPDF=Y")</f>
        <v>#NAME?</v>
      </c>
      <c r="BR505" s="1" t="e">
        <f ca="1">_xll.BDH($C$503,"ACCOUNTS_PAYABLE_SEQ_GROWTH","FQ2 2014","FQ2 2014","Currency=INR","Period=FQ","BEST_FPERIOD_OVERRIDE=FQ","FILING_STATUS=OR","EQY_CONSOLIDATED=Y","Sort=A","Dates=H","DateFormat=P","Fill=—","Direction=H","UseDPDF=Y")</f>
        <v>#NAME?</v>
      </c>
      <c r="BS505" s="1" t="e">
        <f ca="1">_xll.BDH($C$503,"ST_DEBT_SEQUENTIAL_GROWTH","FQ2 2014","FQ2 2014","Currency=INR","Period=FQ","BEST_FPERIOD_OVERRIDE=FQ","FILING_STATUS=OR","EQY_CONSOLIDATED=Y","Sort=A","Dates=H","DateFormat=P","Fill=—","Direction=H","UseDPDF=Y")</f>
        <v>#NAME?</v>
      </c>
      <c r="BT505" s="1" t="e">
        <f ca="1">_xll.BDH($C$503,"TOTAL_DEBT_SEQUENTIAL_GROWTH","FQ2 2014","FQ2 2014","Currency=INR","Period=FQ","BEST_FPERIOD_OVERRIDE=FQ","FILING_STATUS=OR","EQY_CONSOLIDATED=Y","Sort=A","Dates=H","DateFormat=P","Fill=—","Direction=H","UseDPDF=Y")</f>
        <v>#NAME?</v>
      </c>
      <c r="BU505" s="1" t="e">
        <f ca="1">_xll.BDH($C$503,"TOTAL_EQUITY_SEQUENTIAL_GROWTH","FQ2 2014","FQ2 2014","Currency=INR","Period=FQ","BEST_FPERIOD_OVERRIDE=FQ","FILING_STATUS=OR","EQY_CONSOLIDATED=Y","Sort=A","Dates=H","DateFormat=P","Fill=—","Direction=H","UseDPDF=Y")</f>
        <v>#NAME?</v>
      </c>
      <c r="BV505" s="1" t="e">
        <f ca="1">_xll.BDH($C$503,"TOTAL_CAPITAL_SEQUENTIAL_GROWTH","FQ2 2014","FQ2 2014","Currency=INR","Period=FQ","BEST_FPERIOD_OVERRIDE=FQ","FILING_STATUS=OR","EQY_CONSOLIDATED=Y","Sort=A","Dates=H","DateFormat=P","Fill=—","Direction=H","UseDPDF=Y")</f>
        <v>#NAME?</v>
      </c>
      <c r="BW505" s="1" t="e">
        <f ca="1">_xll.BDH($C$503,"BPS_SEQUENTIAL_GROWTH","FQ2 2014","FQ2 2014","Currency=INR","Period=FQ","BEST_FPERIOD_OVERRIDE=FQ","FILING_STATUS=OR","EQY_CONSOLIDATED=Y","Sort=A","Dates=H","DateFormat=P","Fill=—","Direction=H","UseDPDF=Y")</f>
        <v>#NAME?</v>
      </c>
      <c r="BX505" s="1" t="e">
        <f ca="1">_xll.BDH($C$503,"CFO_SEQUENTIAL_GROWTH","FQ2 2014","FQ2 2014","Currency=INR","Period=FQ","BEST_FPERIOD_OVERRIDE=FQ","FILING_STATUS=OR","EQY_CONSOLIDATED=Y","Sort=A","Dates=H","DateFormat=P","Fill=—","Direction=H","UseDPDF=Y")</f>
        <v>#NAME?</v>
      </c>
      <c r="BY505" s="2" t="e">
        <f ca="1">_xll.BDH($C$503,"SHORT_AND_LONG_TERM_DEBT","FQ2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05" s="2" t="e">
        <f ca="1">_xll.BDH($C$503,"BS_ST_BORROW","FQ2 2014","FQ2 2014","Currency=INR","Period=FQ","BEST_FPERIOD_OVERRIDE=FQ","FILING_STATUS=OR","EQY_CONSOLIDATED=Y","SCALING_FORMAT=MLN","Sort=A","Dates=H","DateFormat=P","Fill=—","Direction=H","UseDPDF=Y")</f>
        <v>#NAME?</v>
      </c>
      <c r="CA505" s="2" t="e">
        <f ca="1">_xll.BDH($C$503,"BS_LT_BORROW","FQ2 2014","FQ2 2014","Currency=INR","Period=FQ","BEST_FPERIOD_OVERRIDE=FQ","FILING_STATUS=OR","EQY_CONSOLIDATED=Y","SCALING_FORMAT=MLN","Sort=A","Dates=H","DateFormat=P","Fill=—","Direction=H","UseDPDF=Y")</f>
        <v>#NAME?</v>
      </c>
      <c r="CB505" s="1" t="e">
        <f ca="1">_xll.BDH($C$503,"TOT_DEBT_TO_EBITDA","FQ2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05" s="1" t="e">
        <f ca="1">_xll.BDH($C$503,"NET_DEBT_TO_EBITDA","FQ2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05" s="1" t="e">
        <f ca="1">_xll.BDH($C$503,"TOTAL_DEBT_TO_EBIT","FQ2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05" s="1" t="e">
        <f ca="1">_xll.BDH($C$503,"NET_DEBT_TO_EBIT","FQ2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05" s="1" t="e">
        <f ca="1">_xll.BDH($C$503,"EBITDA_TO_INTEREST_EXPN","FQ2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05" s="1" t="e">
        <f ca="1">_xll.BDH($C$503,"COM_EQY_TO_TOT_ASSET","FQ2 2014","FQ2 2014","Currency=INR","Period=FQ","BEST_FPERIOD_OVERRIDE=FQ","FILING_STATUS=OR","EQY_CONSOLIDATED=Y","Sort=A","Dates=H","DateFormat=P","Fill=—","Direction=H","UseDPDF=Y")</f>
        <v>#NAME?</v>
      </c>
      <c r="CH505" s="1" t="e">
        <f ca="1">_xll.BDH($C$503,"LT_DEBT_TO_TOT_EQY","FQ2 2014","FQ2 2014","Currency=INR","Period=FQ","BEST_FPERIOD_OVERRIDE=FQ","FILING_STATUS=OR","EQY_CONSOLIDATED=Y","Sort=A","Dates=H","DateFormat=P","Fill=—","Direction=H","UseDPDF=Y")</f>
        <v>#NAME?</v>
      </c>
      <c r="CI505" s="1" t="e">
        <f ca="1">_xll.BDH($C$503,"LT_DEBT_TO_TOT_CAP","FQ2 2014","FQ2 2014","Currency=INR","Period=FQ","BEST_FPERIOD_OVERRIDE=FQ","FILING_STATUS=OR","EQY_CONSOLIDATED=Y","Sort=A","Dates=H","DateFormat=P","Fill=—","Direction=H","UseDPDF=Y")</f>
        <v>#NAME?</v>
      </c>
      <c r="CJ505" s="1" t="e">
        <f ca="1">_xll.BDH($C$503,"LT_DEBT_TO_TOT_ASSET","FQ2 2014","FQ2 2014","Currency=INR","Period=FQ","BEST_FPERIOD_OVERRIDE=FQ","FILING_STATUS=OR","EQY_CONSOLIDATED=Y","Sort=A","Dates=H","DateFormat=P","Fill=—","Direction=H","UseDPDF=Y")</f>
        <v>#NAME?</v>
      </c>
      <c r="CK505" s="1" t="e">
        <f ca="1">_xll.BDH($C$503,"TOT_DEBT_TO_TOT_EQY","FQ2 2014","FQ2 2014","Currency=INR","Period=FQ","BEST_FPERIOD_OVERRIDE=FQ","FILING_STATUS=OR","EQY_CONSOLIDATED=Y","Sort=A","Dates=H","DateFormat=P","Fill=—","Direction=H","UseDPDF=Y")</f>
        <v>#NAME?</v>
      </c>
      <c r="CL505" s="1" t="e">
        <f ca="1">_xll.BDH($C$503,"TOT_DEBT_TO_TOT_CAP","FQ2 2014","FQ2 2014","Currency=INR","Period=FQ","BEST_FPERIOD_OVERRIDE=FQ","FILING_STATUS=OR","EQY_CONSOLIDATED=Y","Sort=A","Dates=H","DateFormat=P","Fill=—","Direction=H","UseDPDF=Y")</f>
        <v>#NAME?</v>
      </c>
      <c r="CM505" s="1" t="e">
        <f ca="1">_xll.BDH($C$503,"TOT_DEBT_TO_TOT_ASSET","FQ2 2014","FQ2 2014","Currency=INR","Period=FQ","BEST_FPERIOD_OVERRIDE=FQ","FILING_STATUS=OR","EQY_CONSOLIDATED=Y","Sort=A","Dates=H","DateFormat=P","Fill=—","Direction=H","UseDPDF=Y")</f>
        <v>#NAME?</v>
      </c>
      <c r="CN505" s="1" t="e">
        <f ca="1">_xll.BDH($C$503,"NET_DEBT_TO_SHRHLDR_EQTY","FQ2 2014","FQ2 2014","Currency=INR","Period=FQ","BEST_FPERIOD_OVERRIDE=FQ","FILING_STATUS=OR","EQY_CONSOLIDATED=Y","Sort=A","Dates=H","DateFormat=P","Fill=—","Direction=H","UseDPDF=Y")</f>
        <v>#NAME?</v>
      </c>
      <c r="CO505" s="1" t="e">
        <f ca="1">_xll.BDH($C$503,"NET_DEBT_%_CAPITAL","FQ2 2014","FQ2 2014","Currency=INR","Period=FQ","BEST_FPERIOD_OVERRIDE=FQ","FILING_STATUS=OR","EQY_CONSOLIDATED=Y","Sort=A","Dates=H","DateFormat=P","Fill=—","Direction=H","UseDPDF=Y")</f>
        <v>#NAME?</v>
      </c>
      <c r="CP505" s="2" t="e">
        <f ca="1">_xll.BDH($C$503,"EBITDA","FQ2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05" s="2" t="e">
        <f ca="1">_xll.BDH($C$503,"EBITDA_AFTER_CAPEX","FQ2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05" s="2" t="e">
        <f ca="1">_xll.BDH($C$503,"IS_OPER_INC","FQ2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05" s="1" t="e">
        <f ca="1">_xll.BDH($C$503,"CASH_RATIO","FQ2 2014","FQ2 2014","Currency=INR","Period=FQ","BEST_FPERIOD_OVERRIDE=FQ","FILING_STATUS=OR","EQY_CONSOLIDATED=Y","Sort=A","Dates=H","DateFormat=P","Fill=—","Direction=H","UseDPDF=Y")</f>
        <v>#NAME?</v>
      </c>
      <c r="CT505" s="1" t="e">
        <f ca="1">_xll.BDH($C$503,"CUR_RATIO","FQ2 2014","FQ2 2014","Currency=INR","Period=FQ","BEST_FPERIOD_OVERRIDE=FQ","FILING_STATUS=OR","EQY_CONSOLIDATED=Y","Sort=A","Dates=H","DateFormat=P","Fill=—","Direction=H","UseDPDF=Y")</f>
        <v>#NAME?</v>
      </c>
      <c r="CU505" s="1" t="e">
        <f ca="1">_xll.BDH($C$503,"QUICK_RATIO","FQ2 2014","FQ2 2014","Currency=INR","Period=FQ","BEST_FPERIOD_OVERRIDE=FQ","FILING_STATUS=OR","EQY_CONSOLIDATED=Y","Sort=A","Dates=H","DateFormat=P","Fill=—","Direction=H","UseDPDF=Y")</f>
        <v>#NAME?</v>
      </c>
      <c r="CV505" s="1" t="e">
        <f ca="1">_xll.BDH($C$503,"ALTMAN_Z_SCORE","FQ2 2014","FQ2 2014","Currency=INR","Period=FQ","BEST_FPERIOD_OVERRIDE=FQ","FILING_STATUS=OR","EQY_CONSOLIDATED=Y","Sort=A","Dates=H","DateFormat=P","Fill=—","Direction=H","UseDPDF=Y")</f>
        <v>#NAME?</v>
      </c>
      <c r="CW505" s="3" t="e">
        <f ca="1">_xll.BDH($C$503,"ACCT_RCV_TURN","FQ2 2014","FQ2 2014","Currency=INR","Period=FQ","BEST_FPERIOD_OVERRIDE=FQ","FILING_STATUS=OR","EQY_CONSOLIDATED=Y","FA_ADJUSTED=GAAP","Sort=A","Dates=H","DateFormat=P","Fill=—","Direction=H","UseDPDF=Y")</f>
        <v>#NAME?</v>
      </c>
      <c r="CX505" s="1" t="e">
        <f ca="1">_xll.BDH($C$503,"ACCT_RCV_DAYS","FQ2 2014","FQ2 2014","Currency=INR","Period=FQ","BEST_FPERIOD_OVERRIDE=FQ","FILING_STATUS=OR","EQY_CONSOLIDATED=Y","FA_ADJUSTED=GAAP","Sort=A","Dates=H","DateFormat=P","Fill=—","Direction=H","UseDPDF=Y")</f>
        <v>#NAME?</v>
      </c>
      <c r="CY505" s="3" t="e">
        <f ca="1">_xll.BDH($C$503,"INVENT_TURN","FQ2 2014","FQ2 2014","Currency=INR","Period=FQ","BEST_FPERIOD_OVERRIDE=FQ","FILING_STATUS=OR","EQY_CONSOLIDATED=Y","FA_ADJUSTED=GAAP","Sort=A","Dates=H","DateFormat=P","Fill=—","Direction=H","UseDPDF=Y")</f>
        <v>#NAME?</v>
      </c>
      <c r="CZ505" s="1" t="e">
        <f ca="1">_xll.BDH($C$503,"INVENT_DAYS","FQ2 2014","FQ2 2014","Currency=INR","Period=FQ","BEST_FPERIOD_OVERRIDE=FQ","FILING_STATUS=OR","EQY_CONSOLIDATED=Y","FA_ADJUSTED=GAAP","Sort=A","Dates=H","DateFormat=P","Fill=—","Direction=H","UseDPDF=Y")</f>
        <v>#NAME?</v>
      </c>
      <c r="DA505" s="3" t="e">
        <f ca="1">_xll.BDH($C$503,"ACCOUNTS_PAYABLE_TURNOVER","FQ2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05" s="1" t="e">
        <f ca="1">_xll.BDH($C$503,"ACCOUNTS_PAYABLE_TURNOVER_DAYS","FQ2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05" s="3" t="e">
        <f ca="1">_xll.BDH($C$503,"CASH_CONVERSION_CYCLE","FQ2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05" s="3" t="e">
        <f ca="1">_xll.BDH($C$503,"INV_TO_CASH_DAYS","FQ2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05" s="4" t="e">
        <f ca="1">_xll.BDH($C$503,"BS_INVENTORIES","FQ2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05" s="2" t="e">
        <f ca="1">_xll.BDH($C$503,"INVTRY_RAW_MATERIALS","FQ2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05" s="2" t="e">
        <f ca="1">_xll.BDH($C$503,"INVTRY_IN_PROGRESS","FQ2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05" s="2" t="e">
        <f ca="1">_xll.BDH($C$503,"INVTRY_FINISHED_GOODS","FQ2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05" s="2" t="e">
        <f ca="1">_xll.BDH($C$503,"BS_OTHER_INV","FQ2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06" spans="1:113" x14ac:dyDescent="0.3">
      <c r="A506" s="6"/>
      <c r="B506" s="6"/>
      <c r="C506" s="6"/>
      <c r="D506" s="6"/>
      <c r="E506" t="s">
        <v>6</v>
      </c>
      <c r="F506" t="e">
        <f ca="1">_xll.BDH($C$503,"RETURN_COM_EQY","FQ3 2014","FQ3 2014","Currency=INR","Period=FQ","BEST_FPERIOD_OVERRIDE=FQ","FILING_STATUS=OR","EQY_CONSOLIDATED=Y","FA_ADJUSTED=GAAP","Sort=A","Dates=H","DateFormat=P","Fill=—","Direction=H","UseDPDF=Y")</f>
        <v>#NAME?</v>
      </c>
      <c r="G506" t="e">
        <f ca="1">_xll.BDH($C$503,"RETURN_ON_ASSET","FQ3 2014","FQ3 2014","Currency=INR","Period=FQ","BEST_FPERIOD_OVERRIDE=FQ","FILING_STATUS=OR","EQY_CONSOLIDATED=Y","FA_ADJUSTED=GAAP","Sort=A","Dates=H","DateFormat=P","Fill=—","Direction=H","UseDPDF=Y")</f>
        <v>#NAME?</v>
      </c>
      <c r="H506" t="e">
        <f ca="1">_xll.BDH($C$503,"RETURN_ON_CAP","FQ3 2014","FQ3 2014","Currency=INR","Period=FQ","BEST_FPERIOD_OVERRIDE=FQ","FILING_STATUS=OR","EQY_CONSOLIDATED=Y","FA_ADJUSTED=GAAP","Sort=A","Dates=H","DateFormat=P","Fill=—","Direction=H","UseDPDF=Y")</f>
        <v>#NAME?</v>
      </c>
      <c r="I506" t="e">
        <f ca="1">_xll.BDH($C$503,"RETURN_ON_INV_CAPITAL","FQ3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06" t="e">
        <f ca="1">_xll.BDH($C$503,"EBITDA_TO_REVENUE","FQ3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506" t="e">
        <f ca="1">_xll.BDH($C$503,"OPER_MARGIN","FQ3 2014","FQ3 2014","Currency=INR","Period=FQ","BEST_FPERIOD_OVERRIDE=FQ","FILING_STATUS=OR","EQY_CONSOLIDATED=Y","FA_ADJUSTED=GAAP","Sort=A","Dates=H","DateFormat=P","Fill=—","Direction=H","UseDPDF=Y")</f>
        <v>#NAME?</v>
      </c>
      <c r="L506" t="e">
        <f ca="1">_xll.BDH($C$503,"INCREMENTAL_OPERATING_MARGIN","FQ3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06" t="e">
        <f ca="1">_xll.BDH($C$503,"PRETAX_INC_TO_NET_SALES","FQ3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06" t="e">
        <f ca="1">_xll.BDH($C$503,"INC_BEF_XO_ITEMS_TO_NET_SALES","FQ3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06" t="e">
        <f ca="1">_xll.BDH($C$503,"PROF_MARGIN","FQ3 2014","FQ3 2014","Currency=INR","Period=FQ","BEST_FPERIOD_OVERRIDE=FQ","FILING_STATUS=OR","EQY_CONSOLIDATED=Y","FA_ADJUSTED=GAAP","Sort=A","Dates=H","DateFormat=P","Fill=—","Direction=H","UseDPDF=Y")</f>
        <v>#NAME?</v>
      </c>
      <c r="P506" t="e">
        <f ca="1">_xll.BDH($C$503,"NET_INCOME_TO_COMMON_MARGIN","FQ3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06" t="e">
        <f ca="1">_xll.BDH($C$503,"EFF_TAX_RATE","FQ3 2014","FQ3 2014","Currency=INR","Period=FQ","BEST_FPERIOD_OVERRIDE=FQ","FILING_STATUS=OR","EQY_CONSOLIDATED=Y","FA_ADJUSTED=GAAP","Sort=A","Dates=H","DateFormat=P","Fill=—","Direction=H","UseDPDF=Y")</f>
        <v>#NAME?</v>
      </c>
      <c r="R506" t="e">
        <f ca="1">_xll.BDH($C$503,"DVD_PAYOUT_RATIO","FQ3 2014","FQ3 2014","Currency=INR","Period=FQ","BEST_FPERIOD_OVERRIDE=FQ","FILING_STATUS=OR","EQY_CONSOLIDATED=Y","FA_ADJUSTED=GAAP","Sort=A","Dates=H","DateFormat=P","Fill=—","Direction=H","UseDPDF=Y")</f>
        <v>#NAME?</v>
      </c>
      <c r="S506" t="e">
        <f ca="1">_xll.BDH($C$503,"SUSTAIN_GROWTH_RT","FQ3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506" s="1" t="e">
        <f ca="1">_xll.BDH($C$503,"SALES_GROWTH","FQ3 2014","FQ3 2014","Currency=INR","Period=FQ","BEST_FPERIOD_OVERRIDE=FQ","FILING_STATUS=OR","EQY_CONSOLIDATED=Y","FA_ADJUSTED=GAAP","Sort=A","Dates=H","DateFormat=P","Fill=—","Direction=H","UseDPDF=Y")</f>
        <v>#NAME?</v>
      </c>
      <c r="U506" s="1" t="e">
        <f ca="1">_xll.BDH($C$503,"EBITDA_GROWTH","FQ3 2014","FQ3 2014","Currency=INR","Period=FQ","BEST_FPERIOD_OVERRIDE=FQ","FILING_STATUS=OR","EQY_CONSOLIDATED=Y","FA_ADJUSTED=GAAP","Sort=A","Dates=H","DateFormat=P","Fill=—","Direction=H","UseDPDF=Y")</f>
        <v>#NAME?</v>
      </c>
      <c r="V506" s="1" t="e">
        <f ca="1">_xll.BDH($C$503,"OPER_INC_GROWTH","FQ3 2014","FQ3 2014","Currency=INR","Period=FQ","BEST_FPERIOD_OVERRIDE=FQ","FILING_STATUS=OR","EQY_CONSOLIDATED=Y","FA_ADJUSTED=GAAP","Sort=A","Dates=H","DateFormat=P","Fill=—","Direction=H","UseDPDF=Y")</f>
        <v>#NAME?</v>
      </c>
      <c r="W506" s="1" t="e">
        <f ca="1">_xll.BDH($C$503,"EARN_FOR_COM_GROWTH","FQ3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06" s="1" t="e">
        <f ca="1">_xll.BDH($C$503,"DILUTED_EPS_AFT_XO_ITEMS_GROWTH","FQ3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06" s="1" t="e">
        <f ca="1">_xll.BDH($C$503,"DIVIDEND_PER_SHARE_1_YEAR_GROWTH","FQ3 2014","FQ3 2014","Currency=INR","Period=FQ","BEST_FPERIOD_OVERRIDE=FQ","FILING_STATUS=OR","EQY_CONSOLIDATED=Y","Sort=A","Dates=H","DateFormat=P","Fill=—","Direction=H","UseDPDF=Y")</f>
        <v>#NAME?</v>
      </c>
      <c r="Z506" s="1" t="e">
        <f ca="1">_xll.BDH($C$503,"ACCOUNTS_RECEIVABLE_GROWTH","FQ3 2014","FQ3 2014","Currency=INR","Period=FQ","BEST_FPERIOD_OVERRIDE=FQ","FILING_STATUS=OR","EQY_CONSOLIDATED=Y","Sort=A","Dates=H","DateFormat=P","Fill=—","Direction=H","UseDPDF=Y")</f>
        <v>#NAME?</v>
      </c>
      <c r="AA506" s="1" t="e">
        <f ca="1">_xll.BDH($C$503,"INVENTORY_GROWTH","FQ3 2014","FQ3 2014","Currency=INR","Period=FQ","BEST_FPERIOD_OVERRIDE=FQ","FILING_STATUS=OR","EQY_CONSOLIDATED=Y","Sort=A","Dates=H","DateFormat=P","Fill=—","Direction=H","UseDPDF=Y")</f>
        <v>#NAME?</v>
      </c>
      <c r="AB506" s="1" t="e">
        <f ca="1">_xll.BDH($C$503,"NET_FIXED_ASSETS_1_YEAR_GROWTH","FQ3 2014","FQ3 2014","Currency=INR","Period=FQ","BEST_FPERIOD_OVERRIDE=FQ","FILING_STATUS=OR","EQY_CONSOLIDATED=Y","Sort=A","Dates=H","DateFormat=P","Fill=—","Direction=H","UseDPDF=Y")</f>
        <v>#NAME?</v>
      </c>
      <c r="AC506" s="1" t="e">
        <f ca="1">_xll.BDH($C$503,"ASSET_GROWTH","FQ3 2014","FQ3 2014","Currency=INR","Period=FQ","BEST_FPERIOD_OVERRIDE=FQ","FILING_STATUS=OR","EQY_CONSOLIDATED=Y","Sort=A","Dates=H","DateFormat=P","Fill=—","Direction=H","UseDPDF=Y")</f>
        <v>#NAME?</v>
      </c>
      <c r="AD506" s="1" t="e">
        <f ca="1">_xll.BDH($C$503,"MODIFIED_WORK_CAP_GROWTH","FQ3 2014","FQ3 2014","Currency=INR","Period=FQ","BEST_FPERIOD_OVERRIDE=FQ","FILING_STATUS=OR","EQY_CONSOLIDATED=Y","Sort=A","Dates=H","DateFormat=P","Fill=—","Direction=H","UseDPDF=Y")</f>
        <v>#NAME?</v>
      </c>
      <c r="AE506" s="1" t="e">
        <f ca="1">_xll.BDH($C$503,"WORK_CAP_GROWTH","FQ3 2014","FQ3 2014","Currency=INR","Period=FQ","BEST_FPERIOD_OVERRIDE=FQ","FILING_STATUS=OR","EQY_CONSOLIDATED=Y","Sort=A","Dates=H","DateFormat=P","Fill=—","Direction=H","UseDPDF=Y")</f>
        <v>#NAME?</v>
      </c>
      <c r="AF506" s="1" t="e">
        <f ca="1">_xll.BDH($C$503,"ACCOUNTS_PAYABLE_GROWTH_1YR","FQ3 2014","FQ3 2014","Currency=INR","Period=FQ","BEST_FPERIOD_OVERRIDE=FQ","FILING_STATUS=OR","EQY_CONSOLIDATED=Y","Sort=A","Dates=H","DateFormat=P","Fill=—","Direction=H","UseDPDF=Y")</f>
        <v>#NAME?</v>
      </c>
      <c r="AG506" s="1" t="e">
        <f ca="1">_xll.BDH($C$503,"SHORT_TERM_DEBT_1_YEAR_GROWTH","FQ3 2014","FQ3 2014","Currency=INR","Period=FQ","BEST_FPERIOD_OVERRIDE=FQ","FILING_STATUS=OR","EQY_CONSOLIDATED=Y","Sort=A","Dates=H","DateFormat=P","Fill=—","Direction=H","UseDPDF=Y")</f>
        <v>#NAME?</v>
      </c>
      <c r="AH506" s="1" t="e">
        <f ca="1">_xll.BDH($C$503,"TOTAL_DEBT_1_YEAR_GROWTH","FQ3 2014","FQ3 2014","Currency=INR","Period=FQ","BEST_FPERIOD_OVERRIDE=FQ","FILING_STATUS=OR","EQY_CONSOLIDATED=Y","Sort=A","Dates=H","DateFormat=P","Fill=—","Direction=H","UseDPDF=Y")</f>
        <v>#NAME?</v>
      </c>
      <c r="AI506" s="1" t="e">
        <f ca="1">_xll.BDH($C$503,"TOTAL_EQUITY_1_YEAR_GROWTH","FQ3 2014","FQ3 2014","Currency=INR","Period=FQ","BEST_FPERIOD_OVERRIDE=FQ","FILING_STATUS=OR","EQY_CONSOLIDATED=Y","Sort=A","Dates=H","DateFormat=P","Fill=—","Direction=H","UseDPDF=Y")</f>
        <v>#NAME?</v>
      </c>
      <c r="AJ506" s="1" t="e">
        <f ca="1">_xll.BDH($C$503,"GROWTH_IN_CAP","FQ3 2014","FQ3 2014","Currency=INR","Period=FQ","BEST_FPERIOD_OVERRIDE=FQ","FILING_STATUS=OR","EQY_CONSOLIDATED=Y","Sort=A","Dates=H","DateFormat=P","Fill=—","Direction=H","UseDPDF=Y")</f>
        <v>#NAME?</v>
      </c>
      <c r="AK506" s="1" t="e">
        <f ca="1">_xll.BDH($C$503,"BVPS_GROWTH","FQ3 2014","FQ3 2014","Currency=INR","Period=FQ","BEST_FPERIOD_OVERRIDE=FQ","FILING_STATUS=OR","EQY_CONSOLIDATED=Y","Sort=A","Dates=H","DateFormat=P","Fill=—","Direction=H","UseDPDF=Y")</f>
        <v>#NAME?</v>
      </c>
      <c r="AL506" s="1" t="e">
        <f ca="1">_xll.BDH($C$503,"CASH_FLOW_GROWTH","FQ3 2014","FQ3 2014","Currency=INR","Period=FQ","BEST_FPERIOD_OVERRIDE=FQ","FILING_STATUS=OR","EQY_CONSOLIDATED=Y","Sort=A","Dates=H","DateFormat=P","Fill=—","Direction=H","UseDPDF=Y")</f>
        <v>#NAME?</v>
      </c>
      <c r="AM506" s="1" t="e">
        <f ca="1">_xll.BDH($C$503,"GEO_GROW_NET_SALES","FQ3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06" s="1" t="e">
        <f ca="1">_xll.BDH($C$503,"GEO_GROW_EBITDA","FQ3 2014","FQ3 2014","Currency=INR","Period=FQ","BEST_FPERIOD_OVERRIDE=FQ","FILING_STATUS=OR","EQY_CONSOLIDATED=Y","FA_ADJUSTED=GAAP","Sort=A","Dates=H","DateFormat=P","Fill=—","Direction=H","UseDPDF=Y")</f>
        <v>#NAME?</v>
      </c>
      <c r="AO506" s="1" t="e">
        <f ca="1">_xll.BDH($C$503,"GEO_GROW_OPER_INC","FQ3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06" s="1" t="e">
        <f ca="1">_xll.BDH($C$503,"NET_INCOME_TO_COMMON_5_YR_GROWTH","FQ3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06" s="1" t="e">
        <f ca="1">_xll.BDH($C$503,"5Y_GEO_GROWTH_DILUTED_EPS","FQ3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06" s="1" t="e">
        <f ca="1">_xll.BDH($C$503,"GEO_GROW_DVD_PER_SH","FQ3 2014","FQ3 2014","Currency=INR","Period=FQ","BEST_FPERIOD_OVERRIDE=FQ","FILING_STATUS=OR","EQY_CONSOLIDATED=Y","Sort=A","Dates=H","DateFormat=P","Fill=—","Direction=H","UseDPDF=Y")</f>
        <v>#NAME?</v>
      </c>
      <c r="AS506" s="1" t="e">
        <f ca="1">_xll.BDH($C$503,"ACCOUNTS_RECEIVABLE_5_YR_GROWTH","FQ3 2014","FQ3 2014","Currency=INR","Period=FQ","BEST_FPERIOD_OVERRIDE=FQ","FILING_STATUS=OR","EQY_CONSOLIDATED=Y","Sort=A","Dates=H","DateFormat=P","Fill=—","Direction=H","UseDPDF=Y")</f>
        <v>#NAME?</v>
      </c>
      <c r="AT506" s="1" t="e">
        <f ca="1">_xll.BDH($C$503,"INVENTORY_5_YEAR_GROWTH","FQ3 2014","FQ3 2014","Currency=INR","Period=FQ","BEST_FPERIOD_OVERRIDE=FQ","FILING_STATUS=OR","EQY_CONSOLIDATED=Y","Sort=A","Dates=H","DateFormat=P","Fill=—","Direction=H","UseDPDF=Y")</f>
        <v>#NAME?</v>
      </c>
      <c r="AU506" s="1" t="e">
        <f ca="1">_xll.BDH($C$503,"NET_FIXED_ASSETS_5_YEAR_GROWTH","FQ3 2014","FQ3 2014","Currency=INR","Period=FQ","BEST_FPERIOD_OVERRIDE=FQ","FILING_STATUS=OR","EQY_CONSOLIDATED=Y","Sort=A","Dates=H","DateFormat=P","Fill=—","Direction=H","UseDPDF=Y")</f>
        <v>#NAME?</v>
      </c>
      <c r="AV506" s="1" t="e">
        <f ca="1">_xll.BDH($C$503,"GEO_GROW_TOT_ASSET","FQ3 2014","FQ3 2014","Currency=INR","Period=FQ","BEST_FPERIOD_OVERRIDE=FQ","FILING_STATUS=OR","EQY_CONSOLIDATED=Y","Sort=A","Dates=H","DateFormat=P","Fill=—","Direction=H","UseDPDF=Y")</f>
        <v>#NAME?</v>
      </c>
      <c r="AW506" s="1" t="e">
        <f ca="1">_xll.BDH($C$503,"MODIFIED_WORKING_CPTL_5YR_GRWTH","FQ3 2014","FQ3 2014","Currency=INR","Period=FQ","BEST_FPERIOD_OVERRIDE=FQ","FILING_STATUS=OR","EQY_CONSOLIDATED=Y","Sort=A","Dates=H","DateFormat=P","Fill=—","Direction=H","UseDPDF=Y")</f>
        <v>#NAME?</v>
      </c>
      <c r="AX506" s="1" t="e">
        <f ca="1">_xll.BDH($C$503,"WORKING_CAPITAL_5_YEAR_GROWTH","FQ3 2014","FQ3 2014","Currency=INR","Period=FQ","BEST_FPERIOD_OVERRIDE=FQ","FILING_STATUS=OR","EQY_CONSOLIDATED=Y","Sort=A","Dates=H","DateFormat=P","Fill=—","Direction=H","UseDPDF=Y")</f>
        <v>#NAME?</v>
      </c>
      <c r="AY506" s="1" t="e">
        <f ca="1">_xll.BDH($C$503,"ACCOUNTS_PAYABLE_5_YEAR_GROWTH","FQ3 2014","FQ3 2014","Currency=INR","Period=FQ","BEST_FPERIOD_OVERRIDE=FQ","FILING_STATUS=OR","EQY_CONSOLIDATED=Y","Sort=A","Dates=H","DateFormat=P","Fill=—","Direction=H","UseDPDF=Y")</f>
        <v>#NAME?</v>
      </c>
      <c r="AZ506" s="1" t="e">
        <f ca="1">_xll.BDH($C$503,"SHORT_TERM_DEBT_5_YEAR_GROWTH","FQ3 2014","FQ3 2014","Currency=INR","Period=FQ","BEST_FPERIOD_OVERRIDE=FQ","FILING_STATUS=OR","EQY_CONSOLIDATED=Y","Sort=A","Dates=H","DateFormat=P","Fill=—","Direction=H","UseDPDF=Y")</f>
        <v>#NAME?</v>
      </c>
      <c r="BA506" s="1" t="e">
        <f ca="1">_xll.BDH($C$503,"TOTAL_DEBT_5_YEAR_GROWTH","FQ3 2014","FQ3 2014","Currency=INR","Period=FQ","BEST_FPERIOD_OVERRIDE=FQ","FILING_STATUS=OR","EQY_CONSOLIDATED=Y","Sort=A","Dates=H","DateFormat=P","Fill=—","Direction=H","UseDPDF=Y")</f>
        <v>#NAME?</v>
      </c>
      <c r="BB506" s="1" t="e">
        <f ca="1">_xll.BDH($C$503,"GEO_GROW_TOT_SHRHLDR_EQY","FQ3 2014","FQ3 2014","Currency=INR","Period=FQ","BEST_FPERIOD_OVERRIDE=FQ","FILING_STATUS=OR","EQY_CONSOLIDATED=Y","Sort=A","Dates=H","DateFormat=P","Fill=—","Direction=H","UseDPDF=Y")</f>
        <v>#NAME?</v>
      </c>
      <c r="BC506" s="1" t="e">
        <f ca="1">_xll.BDH($C$503,"TOTAL_CAPITAL_5_YEAR_GROWTH","FQ3 2014","FQ3 2014","Currency=INR","Period=FQ","BEST_FPERIOD_OVERRIDE=FQ","FILING_STATUS=OR","EQY_CONSOLIDATED=Y","Sort=A","Dates=H","DateFormat=P","Fill=—","Direction=H","UseDPDF=Y")</f>
        <v>#NAME?</v>
      </c>
      <c r="BD506" s="1" t="e">
        <f ca="1">_xll.BDH($C$503,"GEO_GROW_BOOK_VAL","FQ3 2014","FQ3 2014","Currency=INR","Period=FQ","BEST_FPERIOD_OVERRIDE=FQ","FILING_STATUS=OR","EQY_CONSOLIDATED=Y","Sort=A","Dates=H","DateFormat=P","Fill=—","Direction=H","UseDPDF=Y")</f>
        <v>#NAME?</v>
      </c>
      <c r="BE506" s="1" t="e">
        <f ca="1">_xll.BDH($C$503,"GEO_GROW_CASH_OPER_ACT","FQ3 2014","FQ3 2014","Currency=INR","Period=FQ","BEST_FPERIOD_OVERRIDE=FQ","FILING_STATUS=OR","EQY_CONSOLIDATED=Y","Sort=A","Dates=H","DateFormat=P","Fill=—","Direction=H","UseDPDF=Y")</f>
        <v>#NAME?</v>
      </c>
      <c r="BF506" s="1" t="e">
        <f ca="1">_xll.BDH($C$503,"REVENUE_SEQUENTIAL_GROWTH","FQ3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06" s="1" t="e">
        <f ca="1">_xll.BDH($C$503,"EBITDA_SEQUENTIAL_GROWTH","FQ3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06" s="1" t="e">
        <f ca="1">_xll.BDH($C$503,"OPERATING_INCOME_SEQ_GROWTH","FQ3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06" s="1" t="e">
        <f ca="1">_xll.BDH($C$503,"NET_INCOME_TO_COMMON_SEQ_GROWTH","FQ3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06" s="1" t="e">
        <f ca="1">_xll.BDH($C$503,"EPS_DILUTED_SEQUENTIAL_GROWTH","FQ3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06" s="1" t="e">
        <f ca="1">_xll.BDH($C$503,"DPS_SEQUENTIAL_GROWTH","FQ3 2014","FQ3 2014","Currency=INR","Period=FQ","BEST_FPERIOD_OVERRIDE=FQ","FILING_STATUS=OR","EQY_CONSOLIDATED=Y","Sort=A","Dates=H","DateFormat=P","Fill=—","Direction=H","UseDPDF=Y")</f>
        <v>#NAME?</v>
      </c>
      <c r="BL506" s="1" t="e">
        <f ca="1">_xll.BDH($C$503,"ACCOUNTS_RECEIVABLE_SEQ_GROWTH","FQ3 2014","FQ3 2014","Currency=INR","Period=FQ","BEST_FPERIOD_OVERRIDE=FQ","FILING_STATUS=OR","EQY_CONSOLIDATED=Y","Sort=A","Dates=H","DateFormat=P","Fill=—","Direction=H","UseDPDF=Y")</f>
        <v>#NAME?</v>
      </c>
      <c r="BM506" s="1" t="e">
        <f ca="1">_xll.BDH($C$503,"INVENTORY_SEQUENTIAL_GROWTH","FQ3 2014","FQ3 2014","Currency=INR","Period=FQ","BEST_FPERIOD_OVERRIDE=FQ","FILING_STATUS=OR","EQY_CONSOLIDATED=Y","Sort=A","Dates=H","DateFormat=P","Fill=—","Direction=H","UseDPDF=Y")</f>
        <v>#NAME?</v>
      </c>
      <c r="BN506" s="1" t="e">
        <f ca="1">_xll.BDH($C$503,"FIXED_ASSETS_SEQUENTIAL_GROWTH","FQ3 2014","FQ3 2014","Currency=INR","Period=FQ","BEST_FPERIOD_OVERRIDE=FQ","FILING_STATUS=OR","EQY_CONSOLIDATED=Y","Sort=A","Dates=H","DateFormat=P","Fill=—","Direction=H","UseDPDF=Y")</f>
        <v>#NAME?</v>
      </c>
      <c r="BO506" s="1" t="e">
        <f ca="1">_xll.BDH($C$503,"TOTAL_ASSETS_SEQUENTIAL_GROWTH","FQ3 2014","FQ3 2014","Currency=INR","Period=FQ","BEST_FPERIOD_OVERRIDE=FQ","FILING_STATUS=OR","EQY_CONSOLIDATED=Y","Sort=A","Dates=H","DateFormat=P","Fill=—","Direction=H","UseDPDF=Y")</f>
        <v>#NAME?</v>
      </c>
      <c r="BP506" s="1" t="e">
        <f ca="1">_xll.BDH($C$503,"MODIFIED_WORKING_CPTL_SEQ_GRWTH","FQ3 2014","FQ3 2014","Currency=INR","Period=FQ","BEST_FPERIOD_OVERRIDE=FQ","FILING_STATUS=OR","EQY_CONSOLIDATED=Y","Sort=A","Dates=H","DateFormat=P","Fill=—","Direction=H","UseDPDF=Y")</f>
        <v>#NAME?</v>
      </c>
      <c r="BQ506" s="1" t="e">
        <f ca="1">_xll.BDH($C$503,"WORKING_CAPITAL_SEQ_GROWTH","FQ3 2014","FQ3 2014","Currency=INR","Period=FQ","BEST_FPERIOD_OVERRIDE=FQ","FILING_STATUS=OR","EQY_CONSOLIDATED=Y","Sort=A","Dates=H","DateFormat=P","Fill=—","Direction=H","UseDPDF=Y")</f>
        <v>#NAME?</v>
      </c>
      <c r="BR506" s="1" t="e">
        <f ca="1">_xll.BDH($C$503,"ACCOUNTS_PAYABLE_SEQ_GROWTH","FQ3 2014","FQ3 2014","Currency=INR","Period=FQ","BEST_FPERIOD_OVERRIDE=FQ","FILING_STATUS=OR","EQY_CONSOLIDATED=Y","Sort=A","Dates=H","DateFormat=P","Fill=—","Direction=H","UseDPDF=Y")</f>
        <v>#NAME?</v>
      </c>
      <c r="BS506" s="1" t="e">
        <f ca="1">_xll.BDH($C$503,"ST_DEBT_SEQUENTIAL_GROWTH","FQ3 2014","FQ3 2014","Currency=INR","Period=FQ","BEST_FPERIOD_OVERRIDE=FQ","FILING_STATUS=OR","EQY_CONSOLIDATED=Y","Sort=A","Dates=H","DateFormat=P","Fill=—","Direction=H","UseDPDF=Y")</f>
        <v>#NAME?</v>
      </c>
      <c r="BT506" s="1" t="e">
        <f ca="1">_xll.BDH($C$503,"TOTAL_DEBT_SEQUENTIAL_GROWTH","FQ3 2014","FQ3 2014","Currency=INR","Period=FQ","BEST_FPERIOD_OVERRIDE=FQ","FILING_STATUS=OR","EQY_CONSOLIDATED=Y","Sort=A","Dates=H","DateFormat=P","Fill=—","Direction=H","UseDPDF=Y")</f>
        <v>#NAME?</v>
      </c>
      <c r="BU506" s="1" t="e">
        <f ca="1">_xll.BDH($C$503,"TOTAL_EQUITY_SEQUENTIAL_GROWTH","FQ3 2014","FQ3 2014","Currency=INR","Period=FQ","BEST_FPERIOD_OVERRIDE=FQ","FILING_STATUS=OR","EQY_CONSOLIDATED=Y","Sort=A","Dates=H","DateFormat=P","Fill=—","Direction=H","UseDPDF=Y")</f>
        <v>#NAME?</v>
      </c>
      <c r="BV506" s="1" t="e">
        <f ca="1">_xll.BDH($C$503,"TOTAL_CAPITAL_SEQUENTIAL_GROWTH","FQ3 2014","FQ3 2014","Currency=INR","Period=FQ","BEST_FPERIOD_OVERRIDE=FQ","FILING_STATUS=OR","EQY_CONSOLIDATED=Y","Sort=A","Dates=H","DateFormat=P","Fill=—","Direction=H","UseDPDF=Y")</f>
        <v>#NAME?</v>
      </c>
      <c r="BW506" s="1" t="e">
        <f ca="1">_xll.BDH($C$503,"BPS_SEQUENTIAL_GROWTH","FQ3 2014","FQ3 2014","Currency=INR","Period=FQ","BEST_FPERIOD_OVERRIDE=FQ","FILING_STATUS=OR","EQY_CONSOLIDATED=Y","Sort=A","Dates=H","DateFormat=P","Fill=—","Direction=H","UseDPDF=Y")</f>
        <v>#NAME?</v>
      </c>
      <c r="BX506" s="1" t="e">
        <f ca="1">_xll.BDH($C$503,"CFO_SEQUENTIAL_GROWTH","FQ3 2014","FQ3 2014","Currency=INR","Period=FQ","BEST_FPERIOD_OVERRIDE=FQ","FILING_STATUS=OR","EQY_CONSOLIDATED=Y","Sort=A","Dates=H","DateFormat=P","Fill=—","Direction=H","UseDPDF=Y")</f>
        <v>#NAME?</v>
      </c>
      <c r="BY506" s="2" t="e">
        <f ca="1">_xll.BDH($C$503,"SHORT_AND_LONG_TERM_DEBT","FQ3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06" s="2" t="e">
        <f ca="1">_xll.BDH($C$503,"BS_ST_BORROW","FQ3 2014","FQ3 2014","Currency=INR","Period=FQ","BEST_FPERIOD_OVERRIDE=FQ","FILING_STATUS=OR","EQY_CONSOLIDATED=Y","SCALING_FORMAT=MLN","Sort=A","Dates=H","DateFormat=P","Fill=—","Direction=H","UseDPDF=Y")</f>
        <v>#NAME?</v>
      </c>
      <c r="CA506" s="2" t="e">
        <f ca="1">_xll.BDH($C$503,"BS_LT_BORROW","FQ3 2014","FQ3 2014","Currency=INR","Period=FQ","BEST_FPERIOD_OVERRIDE=FQ","FILING_STATUS=OR","EQY_CONSOLIDATED=Y","SCALING_FORMAT=MLN","Sort=A","Dates=H","DateFormat=P","Fill=—","Direction=H","UseDPDF=Y")</f>
        <v>#NAME?</v>
      </c>
      <c r="CB506" s="1" t="e">
        <f ca="1">_xll.BDH($C$503,"TOT_DEBT_TO_EBITDA","FQ3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06" s="1" t="e">
        <f ca="1">_xll.BDH($C$503,"NET_DEBT_TO_EBITDA","FQ3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06" s="1" t="e">
        <f ca="1">_xll.BDH($C$503,"TOTAL_DEBT_TO_EBIT","FQ3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06" s="1" t="e">
        <f ca="1">_xll.BDH($C$503,"NET_DEBT_TO_EBIT","FQ3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506" s="1" t="e">
        <f ca="1">_xll.BDH($C$503,"EBITDA_TO_INTEREST_EXPN","FQ3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06" s="1" t="e">
        <f ca="1">_xll.BDH($C$503,"COM_EQY_TO_TOT_ASSET","FQ3 2014","FQ3 2014","Currency=INR","Period=FQ","BEST_FPERIOD_OVERRIDE=FQ","FILING_STATUS=OR","EQY_CONSOLIDATED=Y","Sort=A","Dates=H","DateFormat=P","Fill=—","Direction=H","UseDPDF=Y")</f>
        <v>#NAME?</v>
      </c>
      <c r="CH506" s="1" t="e">
        <f ca="1">_xll.BDH($C$503,"LT_DEBT_TO_TOT_EQY","FQ3 2014","FQ3 2014","Currency=INR","Period=FQ","BEST_FPERIOD_OVERRIDE=FQ","FILING_STATUS=OR","EQY_CONSOLIDATED=Y","Sort=A","Dates=H","DateFormat=P","Fill=—","Direction=H","UseDPDF=Y")</f>
        <v>#NAME?</v>
      </c>
      <c r="CI506" s="1" t="e">
        <f ca="1">_xll.BDH($C$503,"LT_DEBT_TO_TOT_CAP","FQ3 2014","FQ3 2014","Currency=INR","Period=FQ","BEST_FPERIOD_OVERRIDE=FQ","FILING_STATUS=OR","EQY_CONSOLIDATED=Y","Sort=A","Dates=H","DateFormat=P","Fill=—","Direction=H","UseDPDF=Y")</f>
        <v>#NAME?</v>
      </c>
      <c r="CJ506" s="1" t="e">
        <f ca="1">_xll.BDH($C$503,"LT_DEBT_TO_TOT_ASSET","FQ3 2014","FQ3 2014","Currency=INR","Period=FQ","BEST_FPERIOD_OVERRIDE=FQ","FILING_STATUS=OR","EQY_CONSOLIDATED=Y","Sort=A","Dates=H","DateFormat=P","Fill=—","Direction=H","UseDPDF=Y")</f>
        <v>#NAME?</v>
      </c>
      <c r="CK506" s="1" t="e">
        <f ca="1">_xll.BDH($C$503,"TOT_DEBT_TO_TOT_EQY","FQ3 2014","FQ3 2014","Currency=INR","Period=FQ","BEST_FPERIOD_OVERRIDE=FQ","FILING_STATUS=OR","EQY_CONSOLIDATED=Y","Sort=A","Dates=H","DateFormat=P","Fill=—","Direction=H","UseDPDF=Y")</f>
        <v>#NAME?</v>
      </c>
      <c r="CL506" s="1" t="e">
        <f ca="1">_xll.BDH($C$503,"TOT_DEBT_TO_TOT_CAP","FQ3 2014","FQ3 2014","Currency=INR","Period=FQ","BEST_FPERIOD_OVERRIDE=FQ","FILING_STATUS=OR","EQY_CONSOLIDATED=Y","Sort=A","Dates=H","DateFormat=P","Fill=—","Direction=H","UseDPDF=Y")</f>
        <v>#NAME?</v>
      </c>
      <c r="CM506" s="1" t="e">
        <f ca="1">_xll.BDH($C$503,"TOT_DEBT_TO_TOT_ASSET","FQ3 2014","FQ3 2014","Currency=INR","Period=FQ","BEST_FPERIOD_OVERRIDE=FQ","FILING_STATUS=OR","EQY_CONSOLIDATED=Y","Sort=A","Dates=H","DateFormat=P","Fill=—","Direction=H","UseDPDF=Y")</f>
        <v>#NAME?</v>
      </c>
      <c r="CN506" s="1" t="e">
        <f ca="1">_xll.BDH($C$503,"NET_DEBT_TO_SHRHLDR_EQTY","FQ3 2014","FQ3 2014","Currency=INR","Period=FQ","BEST_FPERIOD_OVERRIDE=FQ","FILING_STATUS=OR","EQY_CONSOLIDATED=Y","Sort=A","Dates=H","DateFormat=P","Fill=—","Direction=H","UseDPDF=Y")</f>
        <v>#NAME?</v>
      </c>
      <c r="CO506" s="1" t="e">
        <f ca="1">_xll.BDH($C$503,"NET_DEBT_%_CAPITAL","FQ3 2014","FQ3 2014","Currency=INR","Period=FQ","BEST_FPERIOD_OVERRIDE=FQ","FILING_STATUS=OR","EQY_CONSOLIDATED=Y","Sort=A","Dates=H","DateFormat=P","Fill=—","Direction=H","UseDPDF=Y")</f>
        <v>#NAME?</v>
      </c>
      <c r="CP506" s="2" t="e">
        <f ca="1">_xll.BDH($C$503,"EBITDA","FQ3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06" s="2" t="e">
        <f ca="1">_xll.BDH($C$503,"EBITDA_AFTER_CAPEX","FQ3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06" s="2" t="e">
        <f ca="1">_xll.BDH($C$503,"IS_OPER_INC","FQ3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06" s="1" t="e">
        <f ca="1">_xll.BDH($C$503,"CASH_RATIO","FQ3 2014","FQ3 2014","Currency=INR","Period=FQ","BEST_FPERIOD_OVERRIDE=FQ","FILING_STATUS=OR","EQY_CONSOLIDATED=Y","Sort=A","Dates=H","DateFormat=P","Fill=—","Direction=H","UseDPDF=Y")</f>
        <v>#NAME?</v>
      </c>
      <c r="CT506" s="1" t="e">
        <f ca="1">_xll.BDH($C$503,"CUR_RATIO","FQ3 2014","FQ3 2014","Currency=INR","Period=FQ","BEST_FPERIOD_OVERRIDE=FQ","FILING_STATUS=OR","EQY_CONSOLIDATED=Y","Sort=A","Dates=H","DateFormat=P","Fill=—","Direction=H","UseDPDF=Y")</f>
        <v>#NAME?</v>
      </c>
      <c r="CU506" s="1" t="e">
        <f ca="1">_xll.BDH($C$503,"QUICK_RATIO","FQ3 2014","FQ3 2014","Currency=INR","Period=FQ","BEST_FPERIOD_OVERRIDE=FQ","FILING_STATUS=OR","EQY_CONSOLIDATED=Y","Sort=A","Dates=H","DateFormat=P","Fill=—","Direction=H","UseDPDF=Y")</f>
        <v>#NAME?</v>
      </c>
      <c r="CV506" s="1" t="e">
        <f ca="1">_xll.BDH($C$503,"ALTMAN_Z_SCORE","FQ3 2014","FQ3 2014","Currency=INR","Period=FQ","BEST_FPERIOD_OVERRIDE=FQ","FILING_STATUS=OR","EQY_CONSOLIDATED=Y","Sort=A","Dates=H","DateFormat=P","Fill=—","Direction=H","UseDPDF=Y")</f>
        <v>#NAME?</v>
      </c>
      <c r="CW506" s="3" t="e">
        <f ca="1">_xll.BDH($C$503,"ACCT_RCV_TURN","FQ3 2014","FQ3 2014","Currency=INR","Period=FQ","BEST_FPERIOD_OVERRIDE=FQ","FILING_STATUS=OR","EQY_CONSOLIDATED=Y","FA_ADJUSTED=GAAP","Sort=A","Dates=H","DateFormat=P","Fill=—","Direction=H","UseDPDF=Y")</f>
        <v>#NAME?</v>
      </c>
      <c r="CX506" s="1" t="e">
        <f ca="1">_xll.BDH($C$503,"ACCT_RCV_DAYS","FQ3 2014","FQ3 2014","Currency=INR","Period=FQ","BEST_FPERIOD_OVERRIDE=FQ","FILING_STATUS=OR","EQY_CONSOLIDATED=Y","FA_ADJUSTED=GAAP","Sort=A","Dates=H","DateFormat=P","Fill=—","Direction=H","UseDPDF=Y")</f>
        <v>#NAME?</v>
      </c>
      <c r="CY506" s="3" t="e">
        <f ca="1">_xll.BDH($C$503,"INVENT_TURN","FQ3 2014","FQ3 2014","Currency=INR","Period=FQ","BEST_FPERIOD_OVERRIDE=FQ","FILING_STATUS=OR","EQY_CONSOLIDATED=Y","FA_ADJUSTED=GAAP","Sort=A","Dates=H","DateFormat=P","Fill=—","Direction=H","UseDPDF=Y")</f>
        <v>#NAME?</v>
      </c>
      <c r="CZ506" s="1" t="e">
        <f ca="1">_xll.BDH($C$503,"INVENT_DAYS","FQ3 2014","FQ3 2014","Currency=INR","Period=FQ","BEST_FPERIOD_OVERRIDE=FQ","FILING_STATUS=OR","EQY_CONSOLIDATED=Y","FA_ADJUSTED=GAAP","Sort=A","Dates=H","DateFormat=P","Fill=—","Direction=H","UseDPDF=Y")</f>
        <v>#NAME?</v>
      </c>
      <c r="DA506" s="3" t="e">
        <f ca="1">_xll.BDH($C$503,"ACCOUNTS_PAYABLE_TURNOVER","FQ3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06" s="1" t="e">
        <f ca="1">_xll.BDH($C$503,"ACCOUNTS_PAYABLE_TURNOVER_DAYS","FQ3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06" s="3" t="e">
        <f ca="1">_xll.BDH($C$503,"CASH_CONVERSION_CYCLE","FQ3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06" s="3" t="e">
        <f ca="1">_xll.BDH($C$503,"INV_TO_CASH_DAYS","FQ3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506" s="4" t="e">
        <f ca="1">_xll.BDH($C$503,"BS_INVENTORIES","FQ3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506" s="2" t="e">
        <f ca="1">_xll.BDH($C$503,"INVTRY_RAW_MATERIALS","FQ3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06" s="2" t="e">
        <f ca="1">_xll.BDH($C$503,"INVTRY_IN_PROGRESS","FQ3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06" s="2" t="e">
        <f ca="1">_xll.BDH($C$503,"INVTRY_FINISHED_GOODS","FQ3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06" s="2" t="e">
        <f ca="1">_xll.BDH($C$503,"BS_OTHER_INV","FQ3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07" spans="1:113" x14ac:dyDescent="0.3">
      <c r="A507" s="6"/>
      <c r="B507" s="6"/>
      <c r="C507" s="6"/>
      <c r="D507" s="6"/>
      <c r="E507" t="s">
        <v>7</v>
      </c>
      <c r="F507" t="e">
        <f ca="1">_xll.BDH($C$503,"RETURN_COM_EQY","FQ4 2014","FQ4 2014","Currency=INR","Period=FQ","BEST_FPERIOD_OVERRIDE=FQ","FILING_STATUS=OR","EQY_CONSOLIDATED=Y","FA_ADJUSTED=GAAP","Sort=A","Dates=H","DateFormat=P","Fill=—","Direction=H","UseDPDF=Y")</f>
        <v>#NAME?</v>
      </c>
      <c r="G507" t="e">
        <f ca="1">_xll.BDH($C$503,"RETURN_ON_ASSET","FQ4 2014","FQ4 2014","Currency=INR","Period=FQ","BEST_FPERIOD_OVERRIDE=FQ","FILING_STATUS=OR","EQY_CONSOLIDATED=Y","FA_ADJUSTED=GAAP","Sort=A","Dates=H","DateFormat=P","Fill=—","Direction=H","UseDPDF=Y")</f>
        <v>#NAME?</v>
      </c>
      <c r="H507" t="e">
        <f ca="1">_xll.BDH($C$503,"RETURN_ON_CAP","FQ4 2014","FQ4 2014","Currency=INR","Period=FQ","BEST_FPERIOD_OVERRIDE=FQ","FILING_STATUS=OR","EQY_CONSOLIDATED=Y","FA_ADJUSTED=GAAP","Sort=A","Dates=H","DateFormat=P","Fill=—","Direction=H","UseDPDF=Y")</f>
        <v>#NAME?</v>
      </c>
      <c r="I507" t="e">
        <f ca="1">_xll.BDH($C$503,"RETURN_ON_INV_CAPITAL","FQ4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07" t="e">
        <f ca="1">_xll.BDH($C$503,"EBITDA_TO_REVENUE","FQ4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507" t="e">
        <f ca="1">_xll.BDH($C$503,"OPER_MARGIN","FQ4 2014","FQ4 2014","Currency=INR","Period=FQ","BEST_FPERIOD_OVERRIDE=FQ","FILING_STATUS=OR","EQY_CONSOLIDATED=Y","FA_ADJUSTED=GAAP","Sort=A","Dates=H","DateFormat=P","Fill=—","Direction=H","UseDPDF=Y")</f>
        <v>#NAME?</v>
      </c>
      <c r="L507" t="e">
        <f ca="1">_xll.BDH($C$503,"INCREMENTAL_OPERATING_MARGIN","FQ4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07" t="e">
        <f ca="1">_xll.BDH($C$503,"PRETAX_INC_TO_NET_SALES","FQ4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07" t="e">
        <f ca="1">_xll.BDH($C$503,"INC_BEF_XO_ITEMS_TO_NET_SALES","FQ4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07" t="e">
        <f ca="1">_xll.BDH($C$503,"PROF_MARGIN","FQ4 2014","FQ4 2014","Currency=INR","Period=FQ","BEST_FPERIOD_OVERRIDE=FQ","FILING_STATUS=OR","EQY_CONSOLIDATED=Y","FA_ADJUSTED=GAAP","Sort=A","Dates=H","DateFormat=P","Fill=—","Direction=H","UseDPDF=Y")</f>
        <v>#NAME?</v>
      </c>
      <c r="P507" t="e">
        <f ca="1">_xll.BDH($C$503,"NET_INCOME_TO_COMMON_MARGIN","FQ4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07" t="e">
        <f ca="1">_xll.BDH($C$503,"EFF_TAX_RATE","FQ4 2014","FQ4 2014","Currency=INR","Period=FQ","BEST_FPERIOD_OVERRIDE=FQ","FILING_STATUS=OR","EQY_CONSOLIDATED=Y","FA_ADJUSTED=GAAP","Sort=A","Dates=H","DateFormat=P","Fill=—","Direction=H","UseDPDF=Y")</f>
        <v>#NAME?</v>
      </c>
      <c r="R507" t="e">
        <f ca="1">_xll.BDH($C$503,"DVD_PAYOUT_RATIO","FQ4 2014","FQ4 2014","Currency=INR","Period=FQ","BEST_FPERIOD_OVERRIDE=FQ","FILING_STATUS=OR","EQY_CONSOLIDATED=Y","FA_ADJUSTED=GAAP","Sort=A","Dates=H","DateFormat=P","Fill=—","Direction=H","UseDPDF=Y")</f>
        <v>#NAME?</v>
      </c>
      <c r="S507" t="e">
        <f ca="1">_xll.BDH($C$503,"SUSTAIN_GROWTH_RT","FQ4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507" s="1" t="e">
        <f ca="1">_xll.BDH($C$503,"SALES_GROWTH","FQ4 2014","FQ4 2014","Currency=INR","Period=FQ","BEST_FPERIOD_OVERRIDE=FQ","FILING_STATUS=OR","EQY_CONSOLIDATED=Y","FA_ADJUSTED=GAAP","Sort=A","Dates=H","DateFormat=P","Fill=—","Direction=H","UseDPDF=Y")</f>
        <v>#NAME?</v>
      </c>
      <c r="U507" s="1" t="e">
        <f ca="1">_xll.BDH($C$503,"EBITDA_GROWTH","FQ4 2014","FQ4 2014","Currency=INR","Period=FQ","BEST_FPERIOD_OVERRIDE=FQ","FILING_STATUS=OR","EQY_CONSOLIDATED=Y","FA_ADJUSTED=GAAP","Sort=A","Dates=H","DateFormat=P","Fill=—","Direction=H","UseDPDF=Y")</f>
        <v>#NAME?</v>
      </c>
      <c r="V507" s="1" t="e">
        <f ca="1">_xll.BDH($C$503,"OPER_INC_GROWTH","FQ4 2014","FQ4 2014","Currency=INR","Period=FQ","BEST_FPERIOD_OVERRIDE=FQ","FILING_STATUS=OR","EQY_CONSOLIDATED=Y","FA_ADJUSTED=GAAP","Sort=A","Dates=H","DateFormat=P","Fill=—","Direction=H","UseDPDF=Y")</f>
        <v>#NAME?</v>
      </c>
      <c r="W507" s="1" t="e">
        <f ca="1">_xll.BDH($C$503,"EARN_FOR_COM_GROWTH","FQ4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07" s="1" t="e">
        <f ca="1">_xll.BDH($C$503,"DILUTED_EPS_AFT_XO_ITEMS_GROWTH","FQ4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07" s="1" t="e">
        <f ca="1">_xll.BDH($C$503,"DIVIDEND_PER_SHARE_1_YEAR_GROWTH","FQ4 2014","FQ4 2014","Currency=INR","Period=FQ","BEST_FPERIOD_OVERRIDE=FQ","FILING_STATUS=OR","EQY_CONSOLIDATED=Y","Sort=A","Dates=H","DateFormat=P","Fill=—","Direction=H","UseDPDF=Y")</f>
        <v>#NAME?</v>
      </c>
      <c r="Z507" s="1" t="e">
        <f ca="1">_xll.BDH($C$503,"ACCOUNTS_RECEIVABLE_GROWTH","FQ4 2014","FQ4 2014","Currency=INR","Period=FQ","BEST_FPERIOD_OVERRIDE=FQ","FILING_STATUS=OR","EQY_CONSOLIDATED=Y","Sort=A","Dates=H","DateFormat=P","Fill=—","Direction=H","UseDPDF=Y")</f>
        <v>#NAME?</v>
      </c>
      <c r="AA507" s="1" t="e">
        <f ca="1">_xll.BDH($C$503,"INVENTORY_GROWTH","FQ4 2014","FQ4 2014","Currency=INR","Period=FQ","BEST_FPERIOD_OVERRIDE=FQ","FILING_STATUS=OR","EQY_CONSOLIDATED=Y","Sort=A","Dates=H","DateFormat=P","Fill=—","Direction=H","UseDPDF=Y")</f>
        <v>#NAME?</v>
      </c>
      <c r="AB507" s="1" t="e">
        <f ca="1">_xll.BDH($C$503,"NET_FIXED_ASSETS_1_YEAR_GROWTH","FQ4 2014","FQ4 2014","Currency=INR","Period=FQ","BEST_FPERIOD_OVERRIDE=FQ","FILING_STATUS=OR","EQY_CONSOLIDATED=Y","Sort=A","Dates=H","DateFormat=P","Fill=—","Direction=H","UseDPDF=Y")</f>
        <v>#NAME?</v>
      </c>
      <c r="AC507" s="1" t="e">
        <f ca="1">_xll.BDH($C$503,"ASSET_GROWTH","FQ4 2014","FQ4 2014","Currency=INR","Period=FQ","BEST_FPERIOD_OVERRIDE=FQ","FILING_STATUS=OR","EQY_CONSOLIDATED=Y","Sort=A","Dates=H","DateFormat=P","Fill=—","Direction=H","UseDPDF=Y")</f>
        <v>#NAME?</v>
      </c>
      <c r="AD507" s="1" t="e">
        <f ca="1">_xll.BDH($C$503,"MODIFIED_WORK_CAP_GROWTH","FQ4 2014","FQ4 2014","Currency=INR","Period=FQ","BEST_FPERIOD_OVERRIDE=FQ","FILING_STATUS=OR","EQY_CONSOLIDATED=Y","Sort=A","Dates=H","DateFormat=P","Fill=—","Direction=H","UseDPDF=Y")</f>
        <v>#NAME?</v>
      </c>
      <c r="AE507" s="1" t="e">
        <f ca="1">_xll.BDH($C$503,"WORK_CAP_GROWTH","FQ4 2014","FQ4 2014","Currency=INR","Period=FQ","BEST_FPERIOD_OVERRIDE=FQ","FILING_STATUS=OR","EQY_CONSOLIDATED=Y","Sort=A","Dates=H","DateFormat=P","Fill=—","Direction=H","UseDPDF=Y")</f>
        <v>#NAME?</v>
      </c>
      <c r="AF507" s="1" t="e">
        <f ca="1">_xll.BDH($C$503,"ACCOUNTS_PAYABLE_GROWTH_1YR","FQ4 2014","FQ4 2014","Currency=INR","Period=FQ","BEST_FPERIOD_OVERRIDE=FQ","FILING_STATUS=OR","EQY_CONSOLIDATED=Y","Sort=A","Dates=H","DateFormat=P","Fill=—","Direction=H","UseDPDF=Y")</f>
        <v>#NAME?</v>
      </c>
      <c r="AG507" s="1" t="e">
        <f ca="1">_xll.BDH($C$503,"SHORT_TERM_DEBT_1_YEAR_GROWTH","FQ4 2014","FQ4 2014","Currency=INR","Period=FQ","BEST_FPERIOD_OVERRIDE=FQ","FILING_STATUS=OR","EQY_CONSOLIDATED=Y","Sort=A","Dates=H","DateFormat=P","Fill=—","Direction=H","UseDPDF=Y")</f>
        <v>#NAME?</v>
      </c>
      <c r="AH507" s="1" t="e">
        <f ca="1">_xll.BDH($C$503,"TOTAL_DEBT_1_YEAR_GROWTH","FQ4 2014","FQ4 2014","Currency=INR","Period=FQ","BEST_FPERIOD_OVERRIDE=FQ","FILING_STATUS=OR","EQY_CONSOLIDATED=Y","Sort=A","Dates=H","DateFormat=P","Fill=—","Direction=H","UseDPDF=Y")</f>
        <v>#NAME?</v>
      </c>
      <c r="AI507" s="1" t="e">
        <f ca="1">_xll.BDH($C$503,"TOTAL_EQUITY_1_YEAR_GROWTH","FQ4 2014","FQ4 2014","Currency=INR","Period=FQ","BEST_FPERIOD_OVERRIDE=FQ","FILING_STATUS=OR","EQY_CONSOLIDATED=Y","Sort=A","Dates=H","DateFormat=P","Fill=—","Direction=H","UseDPDF=Y")</f>
        <v>#NAME?</v>
      </c>
      <c r="AJ507" s="1" t="e">
        <f ca="1">_xll.BDH($C$503,"GROWTH_IN_CAP","FQ4 2014","FQ4 2014","Currency=INR","Period=FQ","BEST_FPERIOD_OVERRIDE=FQ","FILING_STATUS=OR","EQY_CONSOLIDATED=Y","Sort=A","Dates=H","DateFormat=P","Fill=—","Direction=H","UseDPDF=Y")</f>
        <v>#NAME?</v>
      </c>
      <c r="AK507" s="1" t="e">
        <f ca="1">_xll.BDH($C$503,"BVPS_GROWTH","FQ4 2014","FQ4 2014","Currency=INR","Period=FQ","BEST_FPERIOD_OVERRIDE=FQ","FILING_STATUS=OR","EQY_CONSOLIDATED=Y","Sort=A","Dates=H","DateFormat=P","Fill=—","Direction=H","UseDPDF=Y")</f>
        <v>#NAME?</v>
      </c>
      <c r="AL507" s="1" t="e">
        <f ca="1">_xll.BDH($C$503,"CASH_FLOW_GROWTH","FQ4 2014","FQ4 2014","Currency=INR","Period=FQ","BEST_FPERIOD_OVERRIDE=FQ","FILING_STATUS=OR","EQY_CONSOLIDATED=Y","Sort=A","Dates=H","DateFormat=P","Fill=—","Direction=H","UseDPDF=Y")</f>
        <v>#NAME?</v>
      </c>
      <c r="AM507" s="1" t="e">
        <f ca="1">_xll.BDH($C$503,"GEO_GROW_NET_SALES","FQ4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07" s="1" t="e">
        <f ca="1">_xll.BDH($C$503,"GEO_GROW_EBITDA","FQ4 2014","FQ4 2014","Currency=INR","Period=FQ","BEST_FPERIOD_OVERRIDE=FQ","FILING_STATUS=OR","EQY_CONSOLIDATED=Y","FA_ADJUSTED=GAAP","Sort=A","Dates=H","DateFormat=P","Fill=—","Direction=H","UseDPDF=Y")</f>
        <v>#NAME?</v>
      </c>
      <c r="AO507" s="1" t="e">
        <f ca="1">_xll.BDH($C$503,"GEO_GROW_OPER_INC","FQ4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07" s="1" t="e">
        <f ca="1">_xll.BDH($C$503,"NET_INCOME_TO_COMMON_5_YR_GROWTH","FQ4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07" s="1" t="e">
        <f ca="1">_xll.BDH($C$503,"5Y_GEO_GROWTH_DILUTED_EPS","FQ4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07" s="1" t="e">
        <f ca="1">_xll.BDH($C$503,"GEO_GROW_DVD_PER_SH","FQ4 2014","FQ4 2014","Currency=INR","Period=FQ","BEST_FPERIOD_OVERRIDE=FQ","FILING_STATUS=OR","EQY_CONSOLIDATED=Y","Sort=A","Dates=H","DateFormat=P","Fill=—","Direction=H","UseDPDF=Y")</f>
        <v>#NAME?</v>
      </c>
      <c r="AS507" s="1" t="e">
        <f ca="1">_xll.BDH($C$503,"ACCOUNTS_RECEIVABLE_5_YR_GROWTH","FQ4 2014","FQ4 2014","Currency=INR","Period=FQ","BEST_FPERIOD_OVERRIDE=FQ","FILING_STATUS=OR","EQY_CONSOLIDATED=Y","Sort=A","Dates=H","DateFormat=P","Fill=—","Direction=H","UseDPDF=Y")</f>
        <v>#NAME?</v>
      </c>
      <c r="AT507" s="1" t="e">
        <f ca="1">_xll.BDH($C$503,"INVENTORY_5_YEAR_GROWTH","FQ4 2014","FQ4 2014","Currency=INR","Period=FQ","BEST_FPERIOD_OVERRIDE=FQ","FILING_STATUS=OR","EQY_CONSOLIDATED=Y","Sort=A","Dates=H","DateFormat=P","Fill=—","Direction=H","UseDPDF=Y")</f>
        <v>#NAME?</v>
      </c>
      <c r="AU507" s="1" t="e">
        <f ca="1">_xll.BDH($C$503,"NET_FIXED_ASSETS_5_YEAR_GROWTH","FQ4 2014","FQ4 2014","Currency=INR","Period=FQ","BEST_FPERIOD_OVERRIDE=FQ","FILING_STATUS=OR","EQY_CONSOLIDATED=Y","Sort=A","Dates=H","DateFormat=P","Fill=—","Direction=H","UseDPDF=Y")</f>
        <v>#NAME?</v>
      </c>
      <c r="AV507" s="1" t="e">
        <f ca="1">_xll.BDH($C$503,"GEO_GROW_TOT_ASSET","FQ4 2014","FQ4 2014","Currency=INR","Period=FQ","BEST_FPERIOD_OVERRIDE=FQ","FILING_STATUS=OR","EQY_CONSOLIDATED=Y","Sort=A","Dates=H","DateFormat=P","Fill=—","Direction=H","UseDPDF=Y")</f>
        <v>#NAME?</v>
      </c>
      <c r="AW507" s="1" t="e">
        <f ca="1">_xll.BDH($C$503,"MODIFIED_WORKING_CPTL_5YR_GRWTH","FQ4 2014","FQ4 2014","Currency=INR","Period=FQ","BEST_FPERIOD_OVERRIDE=FQ","FILING_STATUS=OR","EQY_CONSOLIDATED=Y","Sort=A","Dates=H","DateFormat=P","Fill=—","Direction=H","UseDPDF=Y")</f>
        <v>#NAME?</v>
      </c>
      <c r="AX507" s="1" t="e">
        <f ca="1">_xll.BDH($C$503,"WORKING_CAPITAL_5_YEAR_GROWTH","FQ4 2014","FQ4 2014","Currency=INR","Period=FQ","BEST_FPERIOD_OVERRIDE=FQ","FILING_STATUS=OR","EQY_CONSOLIDATED=Y","Sort=A","Dates=H","DateFormat=P","Fill=—","Direction=H","UseDPDF=Y")</f>
        <v>#NAME?</v>
      </c>
      <c r="AY507" s="1" t="e">
        <f ca="1">_xll.BDH($C$503,"ACCOUNTS_PAYABLE_5_YEAR_GROWTH","FQ4 2014","FQ4 2014","Currency=INR","Period=FQ","BEST_FPERIOD_OVERRIDE=FQ","FILING_STATUS=OR","EQY_CONSOLIDATED=Y","Sort=A","Dates=H","DateFormat=P","Fill=—","Direction=H","UseDPDF=Y")</f>
        <v>#NAME?</v>
      </c>
      <c r="AZ507" s="1" t="e">
        <f ca="1">_xll.BDH($C$503,"SHORT_TERM_DEBT_5_YEAR_GROWTH","FQ4 2014","FQ4 2014","Currency=INR","Period=FQ","BEST_FPERIOD_OVERRIDE=FQ","FILING_STATUS=OR","EQY_CONSOLIDATED=Y","Sort=A","Dates=H","DateFormat=P","Fill=—","Direction=H","UseDPDF=Y")</f>
        <v>#NAME?</v>
      </c>
      <c r="BA507" s="1" t="e">
        <f ca="1">_xll.BDH($C$503,"TOTAL_DEBT_5_YEAR_GROWTH","FQ4 2014","FQ4 2014","Currency=INR","Period=FQ","BEST_FPERIOD_OVERRIDE=FQ","FILING_STATUS=OR","EQY_CONSOLIDATED=Y","Sort=A","Dates=H","DateFormat=P","Fill=—","Direction=H","UseDPDF=Y")</f>
        <v>#NAME?</v>
      </c>
      <c r="BB507" s="1" t="e">
        <f ca="1">_xll.BDH($C$503,"GEO_GROW_TOT_SHRHLDR_EQY","FQ4 2014","FQ4 2014","Currency=INR","Period=FQ","BEST_FPERIOD_OVERRIDE=FQ","FILING_STATUS=OR","EQY_CONSOLIDATED=Y","Sort=A","Dates=H","DateFormat=P","Fill=—","Direction=H","UseDPDF=Y")</f>
        <v>#NAME?</v>
      </c>
      <c r="BC507" s="1" t="e">
        <f ca="1">_xll.BDH($C$503,"TOTAL_CAPITAL_5_YEAR_GROWTH","FQ4 2014","FQ4 2014","Currency=INR","Period=FQ","BEST_FPERIOD_OVERRIDE=FQ","FILING_STATUS=OR","EQY_CONSOLIDATED=Y","Sort=A","Dates=H","DateFormat=P","Fill=—","Direction=H","UseDPDF=Y")</f>
        <v>#NAME?</v>
      </c>
      <c r="BD507" s="1" t="e">
        <f ca="1">_xll.BDH($C$503,"GEO_GROW_BOOK_VAL","FQ4 2014","FQ4 2014","Currency=INR","Period=FQ","BEST_FPERIOD_OVERRIDE=FQ","FILING_STATUS=OR","EQY_CONSOLIDATED=Y","Sort=A","Dates=H","DateFormat=P","Fill=—","Direction=H","UseDPDF=Y")</f>
        <v>#NAME?</v>
      </c>
      <c r="BE507" s="1" t="e">
        <f ca="1">_xll.BDH($C$503,"GEO_GROW_CASH_OPER_ACT","FQ4 2014","FQ4 2014","Currency=INR","Period=FQ","BEST_FPERIOD_OVERRIDE=FQ","FILING_STATUS=OR","EQY_CONSOLIDATED=Y","Sort=A","Dates=H","DateFormat=P","Fill=—","Direction=H","UseDPDF=Y")</f>
        <v>#NAME?</v>
      </c>
      <c r="BF507" s="1" t="e">
        <f ca="1">_xll.BDH($C$503,"REVENUE_SEQUENTIAL_GROWTH","FQ4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07" s="1" t="e">
        <f ca="1">_xll.BDH($C$503,"EBITDA_SEQUENTIAL_GROWTH","FQ4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07" s="1" t="e">
        <f ca="1">_xll.BDH($C$503,"OPERATING_INCOME_SEQ_GROWTH","FQ4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07" s="1" t="e">
        <f ca="1">_xll.BDH($C$503,"NET_INCOME_TO_COMMON_SEQ_GROWTH","FQ4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07" s="1" t="e">
        <f ca="1">_xll.BDH($C$503,"EPS_DILUTED_SEQUENTIAL_GROWTH","FQ4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07" s="1" t="e">
        <f ca="1">_xll.BDH($C$503,"DPS_SEQUENTIAL_GROWTH","FQ4 2014","FQ4 2014","Currency=INR","Period=FQ","BEST_FPERIOD_OVERRIDE=FQ","FILING_STATUS=OR","EQY_CONSOLIDATED=Y","Sort=A","Dates=H","DateFormat=P","Fill=—","Direction=H","UseDPDF=Y")</f>
        <v>#NAME?</v>
      </c>
      <c r="BL507" s="1" t="e">
        <f ca="1">_xll.BDH($C$503,"ACCOUNTS_RECEIVABLE_SEQ_GROWTH","FQ4 2014","FQ4 2014","Currency=INR","Period=FQ","BEST_FPERIOD_OVERRIDE=FQ","FILING_STATUS=OR","EQY_CONSOLIDATED=Y","Sort=A","Dates=H","DateFormat=P","Fill=—","Direction=H","UseDPDF=Y")</f>
        <v>#NAME?</v>
      </c>
      <c r="BM507" s="1" t="e">
        <f ca="1">_xll.BDH($C$503,"INVENTORY_SEQUENTIAL_GROWTH","FQ4 2014","FQ4 2014","Currency=INR","Period=FQ","BEST_FPERIOD_OVERRIDE=FQ","FILING_STATUS=OR","EQY_CONSOLIDATED=Y","Sort=A","Dates=H","DateFormat=P","Fill=—","Direction=H","UseDPDF=Y")</f>
        <v>#NAME?</v>
      </c>
      <c r="BN507" s="1" t="e">
        <f ca="1">_xll.BDH($C$503,"FIXED_ASSETS_SEQUENTIAL_GROWTH","FQ4 2014","FQ4 2014","Currency=INR","Period=FQ","BEST_FPERIOD_OVERRIDE=FQ","FILING_STATUS=OR","EQY_CONSOLIDATED=Y","Sort=A","Dates=H","DateFormat=P","Fill=—","Direction=H","UseDPDF=Y")</f>
        <v>#NAME?</v>
      </c>
      <c r="BO507" s="1" t="e">
        <f ca="1">_xll.BDH($C$503,"TOTAL_ASSETS_SEQUENTIAL_GROWTH","FQ4 2014","FQ4 2014","Currency=INR","Period=FQ","BEST_FPERIOD_OVERRIDE=FQ","FILING_STATUS=OR","EQY_CONSOLIDATED=Y","Sort=A","Dates=H","DateFormat=P","Fill=—","Direction=H","UseDPDF=Y")</f>
        <v>#NAME?</v>
      </c>
      <c r="BP507" s="1" t="e">
        <f ca="1">_xll.BDH($C$503,"MODIFIED_WORKING_CPTL_SEQ_GRWTH","FQ4 2014","FQ4 2014","Currency=INR","Period=FQ","BEST_FPERIOD_OVERRIDE=FQ","FILING_STATUS=OR","EQY_CONSOLIDATED=Y","Sort=A","Dates=H","DateFormat=P","Fill=—","Direction=H","UseDPDF=Y")</f>
        <v>#NAME?</v>
      </c>
      <c r="BQ507" s="1" t="e">
        <f ca="1">_xll.BDH($C$503,"WORKING_CAPITAL_SEQ_GROWTH","FQ4 2014","FQ4 2014","Currency=INR","Period=FQ","BEST_FPERIOD_OVERRIDE=FQ","FILING_STATUS=OR","EQY_CONSOLIDATED=Y","Sort=A","Dates=H","DateFormat=P","Fill=—","Direction=H","UseDPDF=Y")</f>
        <v>#NAME?</v>
      </c>
      <c r="BR507" s="1" t="e">
        <f ca="1">_xll.BDH($C$503,"ACCOUNTS_PAYABLE_SEQ_GROWTH","FQ4 2014","FQ4 2014","Currency=INR","Period=FQ","BEST_FPERIOD_OVERRIDE=FQ","FILING_STATUS=OR","EQY_CONSOLIDATED=Y","Sort=A","Dates=H","DateFormat=P","Fill=—","Direction=H","UseDPDF=Y")</f>
        <v>#NAME?</v>
      </c>
      <c r="BS507" s="1" t="e">
        <f ca="1">_xll.BDH($C$503,"ST_DEBT_SEQUENTIAL_GROWTH","FQ4 2014","FQ4 2014","Currency=INR","Period=FQ","BEST_FPERIOD_OVERRIDE=FQ","FILING_STATUS=OR","EQY_CONSOLIDATED=Y","Sort=A","Dates=H","DateFormat=P","Fill=—","Direction=H","UseDPDF=Y")</f>
        <v>#NAME?</v>
      </c>
      <c r="BT507" s="1" t="e">
        <f ca="1">_xll.BDH($C$503,"TOTAL_DEBT_SEQUENTIAL_GROWTH","FQ4 2014","FQ4 2014","Currency=INR","Period=FQ","BEST_FPERIOD_OVERRIDE=FQ","FILING_STATUS=OR","EQY_CONSOLIDATED=Y","Sort=A","Dates=H","DateFormat=P","Fill=—","Direction=H","UseDPDF=Y")</f>
        <v>#NAME?</v>
      </c>
      <c r="BU507" s="1" t="e">
        <f ca="1">_xll.BDH($C$503,"TOTAL_EQUITY_SEQUENTIAL_GROWTH","FQ4 2014","FQ4 2014","Currency=INR","Period=FQ","BEST_FPERIOD_OVERRIDE=FQ","FILING_STATUS=OR","EQY_CONSOLIDATED=Y","Sort=A","Dates=H","DateFormat=P","Fill=—","Direction=H","UseDPDF=Y")</f>
        <v>#NAME?</v>
      </c>
      <c r="BV507" s="1" t="e">
        <f ca="1">_xll.BDH($C$503,"TOTAL_CAPITAL_SEQUENTIAL_GROWTH","FQ4 2014","FQ4 2014","Currency=INR","Period=FQ","BEST_FPERIOD_OVERRIDE=FQ","FILING_STATUS=OR","EQY_CONSOLIDATED=Y","Sort=A","Dates=H","DateFormat=P","Fill=—","Direction=H","UseDPDF=Y")</f>
        <v>#NAME?</v>
      </c>
      <c r="BW507" s="1" t="e">
        <f ca="1">_xll.BDH($C$503,"BPS_SEQUENTIAL_GROWTH","FQ4 2014","FQ4 2014","Currency=INR","Period=FQ","BEST_FPERIOD_OVERRIDE=FQ","FILING_STATUS=OR","EQY_CONSOLIDATED=Y","Sort=A","Dates=H","DateFormat=P","Fill=—","Direction=H","UseDPDF=Y")</f>
        <v>#NAME?</v>
      </c>
      <c r="BX507" s="1" t="e">
        <f ca="1">_xll.BDH($C$503,"CFO_SEQUENTIAL_GROWTH","FQ4 2014","FQ4 2014","Currency=INR","Period=FQ","BEST_FPERIOD_OVERRIDE=FQ","FILING_STATUS=OR","EQY_CONSOLIDATED=Y","Sort=A","Dates=H","DateFormat=P","Fill=—","Direction=H","UseDPDF=Y")</f>
        <v>#NAME?</v>
      </c>
      <c r="BY507" s="2" t="e">
        <f ca="1">_xll.BDH($C$503,"SHORT_AND_LONG_TERM_DEBT","FQ4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07" s="2" t="e">
        <f ca="1">_xll.BDH($C$503,"BS_ST_BORROW","FQ4 2014","FQ4 2014","Currency=INR","Period=FQ","BEST_FPERIOD_OVERRIDE=FQ","FILING_STATUS=OR","EQY_CONSOLIDATED=Y","SCALING_FORMAT=MLN","Sort=A","Dates=H","DateFormat=P","Fill=—","Direction=H","UseDPDF=Y")</f>
        <v>#NAME?</v>
      </c>
      <c r="CA507" s="2" t="e">
        <f ca="1">_xll.BDH($C$503,"BS_LT_BORROW","FQ4 2014","FQ4 2014","Currency=INR","Period=FQ","BEST_FPERIOD_OVERRIDE=FQ","FILING_STATUS=OR","EQY_CONSOLIDATED=Y","SCALING_FORMAT=MLN","Sort=A","Dates=H","DateFormat=P","Fill=—","Direction=H","UseDPDF=Y")</f>
        <v>#NAME?</v>
      </c>
      <c r="CB507" s="1" t="e">
        <f ca="1">_xll.BDH($C$503,"TOT_DEBT_TO_EBITDA","FQ4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07" s="1" t="e">
        <f ca="1">_xll.BDH($C$503,"NET_DEBT_TO_EBITDA","FQ4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07" s="1" t="e">
        <f ca="1">_xll.BDH($C$503,"TOTAL_DEBT_TO_EBIT","FQ4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07" s="1" t="e">
        <f ca="1">_xll.BDH($C$503,"NET_DEBT_TO_EBIT","FQ4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507" s="1" t="e">
        <f ca="1">_xll.BDH($C$503,"EBITDA_TO_INTEREST_EXPN","FQ4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07" s="1" t="e">
        <f ca="1">_xll.BDH($C$503,"COM_EQY_TO_TOT_ASSET","FQ4 2014","FQ4 2014","Currency=INR","Period=FQ","BEST_FPERIOD_OVERRIDE=FQ","FILING_STATUS=OR","EQY_CONSOLIDATED=Y","Sort=A","Dates=H","DateFormat=P","Fill=—","Direction=H","UseDPDF=Y")</f>
        <v>#NAME?</v>
      </c>
      <c r="CH507" s="1" t="e">
        <f ca="1">_xll.BDH($C$503,"LT_DEBT_TO_TOT_EQY","FQ4 2014","FQ4 2014","Currency=INR","Period=FQ","BEST_FPERIOD_OVERRIDE=FQ","FILING_STATUS=OR","EQY_CONSOLIDATED=Y","Sort=A","Dates=H","DateFormat=P","Fill=—","Direction=H","UseDPDF=Y")</f>
        <v>#NAME?</v>
      </c>
      <c r="CI507" s="1" t="e">
        <f ca="1">_xll.BDH($C$503,"LT_DEBT_TO_TOT_CAP","FQ4 2014","FQ4 2014","Currency=INR","Period=FQ","BEST_FPERIOD_OVERRIDE=FQ","FILING_STATUS=OR","EQY_CONSOLIDATED=Y","Sort=A","Dates=H","DateFormat=P","Fill=—","Direction=H","UseDPDF=Y")</f>
        <v>#NAME?</v>
      </c>
      <c r="CJ507" s="1" t="e">
        <f ca="1">_xll.BDH($C$503,"LT_DEBT_TO_TOT_ASSET","FQ4 2014","FQ4 2014","Currency=INR","Period=FQ","BEST_FPERIOD_OVERRIDE=FQ","FILING_STATUS=OR","EQY_CONSOLIDATED=Y","Sort=A","Dates=H","DateFormat=P","Fill=—","Direction=H","UseDPDF=Y")</f>
        <v>#NAME?</v>
      </c>
      <c r="CK507" s="1" t="e">
        <f ca="1">_xll.BDH($C$503,"TOT_DEBT_TO_TOT_EQY","FQ4 2014","FQ4 2014","Currency=INR","Period=FQ","BEST_FPERIOD_OVERRIDE=FQ","FILING_STATUS=OR","EQY_CONSOLIDATED=Y","Sort=A","Dates=H","DateFormat=P","Fill=—","Direction=H","UseDPDF=Y")</f>
        <v>#NAME?</v>
      </c>
      <c r="CL507" s="1" t="e">
        <f ca="1">_xll.BDH($C$503,"TOT_DEBT_TO_TOT_CAP","FQ4 2014","FQ4 2014","Currency=INR","Period=FQ","BEST_FPERIOD_OVERRIDE=FQ","FILING_STATUS=OR","EQY_CONSOLIDATED=Y","Sort=A","Dates=H","DateFormat=P","Fill=—","Direction=H","UseDPDF=Y")</f>
        <v>#NAME?</v>
      </c>
      <c r="CM507" s="1" t="e">
        <f ca="1">_xll.BDH($C$503,"TOT_DEBT_TO_TOT_ASSET","FQ4 2014","FQ4 2014","Currency=INR","Period=FQ","BEST_FPERIOD_OVERRIDE=FQ","FILING_STATUS=OR","EQY_CONSOLIDATED=Y","Sort=A","Dates=H","DateFormat=P","Fill=—","Direction=H","UseDPDF=Y")</f>
        <v>#NAME?</v>
      </c>
      <c r="CN507" s="1" t="e">
        <f ca="1">_xll.BDH($C$503,"NET_DEBT_TO_SHRHLDR_EQTY","FQ4 2014","FQ4 2014","Currency=INR","Period=FQ","BEST_FPERIOD_OVERRIDE=FQ","FILING_STATUS=OR","EQY_CONSOLIDATED=Y","Sort=A","Dates=H","DateFormat=P","Fill=—","Direction=H","UseDPDF=Y")</f>
        <v>#NAME?</v>
      </c>
      <c r="CO507" s="1" t="e">
        <f ca="1">_xll.BDH($C$503,"NET_DEBT_%_CAPITAL","FQ4 2014","FQ4 2014","Currency=INR","Period=FQ","BEST_FPERIOD_OVERRIDE=FQ","FILING_STATUS=OR","EQY_CONSOLIDATED=Y","Sort=A","Dates=H","DateFormat=P","Fill=—","Direction=H","UseDPDF=Y")</f>
        <v>#NAME?</v>
      </c>
      <c r="CP507" s="2" t="e">
        <f ca="1">_xll.BDH($C$503,"EBITDA","FQ4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07" s="2" t="e">
        <f ca="1">_xll.BDH($C$503,"EBITDA_AFTER_CAPEX","FQ4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07" s="2" t="e">
        <f ca="1">_xll.BDH($C$503,"IS_OPER_INC","FQ4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07" s="1" t="e">
        <f ca="1">_xll.BDH($C$503,"CASH_RATIO","FQ4 2014","FQ4 2014","Currency=INR","Period=FQ","BEST_FPERIOD_OVERRIDE=FQ","FILING_STATUS=OR","EQY_CONSOLIDATED=Y","Sort=A","Dates=H","DateFormat=P","Fill=—","Direction=H","UseDPDF=Y")</f>
        <v>#NAME?</v>
      </c>
      <c r="CT507" s="1" t="e">
        <f ca="1">_xll.BDH($C$503,"CUR_RATIO","FQ4 2014","FQ4 2014","Currency=INR","Period=FQ","BEST_FPERIOD_OVERRIDE=FQ","FILING_STATUS=OR","EQY_CONSOLIDATED=Y","Sort=A","Dates=H","DateFormat=P","Fill=—","Direction=H","UseDPDF=Y")</f>
        <v>#NAME?</v>
      </c>
      <c r="CU507" s="1" t="e">
        <f ca="1">_xll.BDH($C$503,"QUICK_RATIO","FQ4 2014","FQ4 2014","Currency=INR","Period=FQ","BEST_FPERIOD_OVERRIDE=FQ","FILING_STATUS=OR","EQY_CONSOLIDATED=Y","Sort=A","Dates=H","DateFormat=P","Fill=—","Direction=H","UseDPDF=Y")</f>
        <v>#NAME?</v>
      </c>
      <c r="CV507" s="1" t="e">
        <f ca="1">_xll.BDH($C$503,"ALTMAN_Z_SCORE","FQ4 2014","FQ4 2014","Currency=INR","Period=FQ","BEST_FPERIOD_OVERRIDE=FQ","FILING_STATUS=OR","EQY_CONSOLIDATED=Y","Sort=A","Dates=H","DateFormat=P","Fill=—","Direction=H","UseDPDF=Y")</f>
        <v>#NAME?</v>
      </c>
      <c r="CW507" s="3" t="e">
        <f ca="1">_xll.BDH($C$503,"ACCT_RCV_TURN","FQ4 2014","FQ4 2014","Currency=INR","Period=FQ","BEST_FPERIOD_OVERRIDE=FQ","FILING_STATUS=OR","EQY_CONSOLIDATED=Y","FA_ADJUSTED=GAAP","Sort=A","Dates=H","DateFormat=P","Fill=—","Direction=H","UseDPDF=Y")</f>
        <v>#NAME?</v>
      </c>
      <c r="CX507" s="1" t="e">
        <f ca="1">_xll.BDH($C$503,"ACCT_RCV_DAYS","FQ4 2014","FQ4 2014","Currency=INR","Period=FQ","BEST_FPERIOD_OVERRIDE=FQ","FILING_STATUS=OR","EQY_CONSOLIDATED=Y","FA_ADJUSTED=GAAP","Sort=A","Dates=H","DateFormat=P","Fill=—","Direction=H","UseDPDF=Y")</f>
        <v>#NAME?</v>
      </c>
      <c r="CY507" s="3" t="e">
        <f ca="1">_xll.BDH($C$503,"INVENT_TURN","FQ4 2014","FQ4 2014","Currency=INR","Period=FQ","BEST_FPERIOD_OVERRIDE=FQ","FILING_STATUS=OR","EQY_CONSOLIDATED=Y","FA_ADJUSTED=GAAP","Sort=A","Dates=H","DateFormat=P","Fill=—","Direction=H","UseDPDF=Y")</f>
        <v>#NAME?</v>
      </c>
      <c r="CZ507" s="1" t="e">
        <f ca="1">_xll.BDH($C$503,"INVENT_DAYS","FQ4 2014","FQ4 2014","Currency=INR","Period=FQ","BEST_FPERIOD_OVERRIDE=FQ","FILING_STATUS=OR","EQY_CONSOLIDATED=Y","FA_ADJUSTED=GAAP","Sort=A","Dates=H","DateFormat=P","Fill=—","Direction=H","UseDPDF=Y")</f>
        <v>#NAME?</v>
      </c>
      <c r="DA507" s="3" t="e">
        <f ca="1">_xll.BDH($C$503,"ACCOUNTS_PAYABLE_TURNOVER","FQ4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07" s="1" t="e">
        <f ca="1">_xll.BDH($C$503,"ACCOUNTS_PAYABLE_TURNOVER_DAYS","FQ4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07" s="3" t="e">
        <f ca="1">_xll.BDH($C$503,"CASH_CONVERSION_CYCLE","FQ4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07" s="3" t="e">
        <f ca="1">_xll.BDH($C$503,"INV_TO_CASH_DAYS","FQ4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507" s="4" t="e">
        <f ca="1">_xll.BDH($C$503,"BS_INVENTORIES","FQ4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507" s="2" t="e">
        <f ca="1">_xll.BDH($C$503,"INVTRY_RAW_MATERIALS","FQ4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07" s="2" t="e">
        <f ca="1">_xll.BDH($C$503,"INVTRY_IN_PROGRESS","FQ4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07" s="2" t="e">
        <f ca="1">_xll.BDH($C$503,"INVTRY_FINISHED_GOODS","FQ4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07" s="2" t="e">
        <f ca="1">_xll.BDH($C$503,"BS_OTHER_INV","FQ4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08" spans="1:113" x14ac:dyDescent="0.3">
      <c r="A508" s="6"/>
      <c r="B508" s="6"/>
      <c r="C508" s="6"/>
      <c r="D508" s="6" t="s">
        <v>8</v>
      </c>
      <c r="E508" t="s">
        <v>3</v>
      </c>
      <c r="F508" t="e">
        <f ca="1">_xll.BDH($C$503,"RETURN_COM_EQY","FY 2015","FY 2015","Currency=INR","Period=FY","BEST_FPERIOD_OVERRIDE=FY","FILING_STATUS=OR","EQY_CONSOLIDATED=Y","FA_ADJUSTED=GAAP","Sort=A","Dates=H","DateFormat=P","Fill=—","Direction=H","UseDPDF=Y")</f>
        <v>#NAME?</v>
      </c>
      <c r="G508" t="e">
        <f ca="1">_xll.BDH($C$503,"RETURN_ON_ASSET","FY 2015","FY 2015","Currency=INR","Period=FY","BEST_FPERIOD_OVERRIDE=FY","FILING_STATUS=OR","EQY_CONSOLIDATED=Y","FA_ADJUSTED=GAAP","Sort=A","Dates=H","DateFormat=P","Fill=—","Direction=H","UseDPDF=Y")</f>
        <v>#NAME?</v>
      </c>
      <c r="H508" t="e">
        <f ca="1">_xll.BDH($C$503,"RETURN_ON_CAP","FY 2015","FY 2015","Currency=INR","Period=FY","BEST_FPERIOD_OVERRIDE=FY","FILING_STATUS=OR","EQY_CONSOLIDATED=Y","FA_ADJUSTED=GAAP","Sort=A","Dates=H","DateFormat=P","Fill=—","Direction=H","UseDPDF=Y")</f>
        <v>#NAME?</v>
      </c>
      <c r="I508" t="e">
        <f ca="1">_xll.BDH($C$503,"RETURN_ON_INV_CAPITAL","FY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08" t="e">
        <f ca="1">_xll.BDH($C$503,"EBITDA_TO_REVENUE","FY 2015","FY 2015","Currency=INR","Period=FY","BEST_FPERIOD_OVERRIDE=FY","FILING_STATUS=OR","EQY_CONSOLIDATED=Y","FA_ADJUSTED=GAAP","Sort=A","Dates=H","DateFormat=P","Fill=—","Direction=H","UseDPDF=Y")</f>
        <v>#NAME?</v>
      </c>
      <c r="K508" t="e">
        <f ca="1">_xll.BDH($C$503,"OPER_MARGIN","FY 2015","FY 2015","Currency=INR","Period=FY","BEST_FPERIOD_OVERRIDE=FY","FILING_STATUS=OR","EQY_CONSOLIDATED=Y","FA_ADJUSTED=GAAP","Sort=A","Dates=H","DateFormat=P","Fill=—","Direction=H","UseDPDF=Y")</f>
        <v>#NAME?</v>
      </c>
      <c r="L508" t="e">
        <f ca="1">_xll.BDH($C$503,"INCREMENTAL_OPERATING_MARGIN","FY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08" t="e">
        <f ca="1">_xll.BDH($C$503,"PRETAX_INC_TO_NET_SALES","FY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08" t="e">
        <f ca="1">_xll.BDH($C$503,"INC_BEF_XO_ITEMS_TO_NET_SALES","FY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08" t="e">
        <f ca="1">_xll.BDH($C$503,"PROF_MARGIN","FY 2015","FY 2015","Currency=INR","Period=FY","BEST_FPERIOD_OVERRIDE=FY","FILING_STATUS=OR","EQY_CONSOLIDATED=Y","FA_ADJUSTED=GAAP","Sort=A","Dates=H","DateFormat=P","Fill=—","Direction=H","UseDPDF=Y")</f>
        <v>#NAME?</v>
      </c>
      <c r="P508" t="e">
        <f ca="1">_xll.BDH($C$503,"NET_INCOME_TO_COMMON_MARGIN","FY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08" t="e">
        <f ca="1">_xll.BDH($C$503,"EFF_TAX_RATE","FY 2015","FY 2015","Currency=INR","Period=FY","BEST_FPERIOD_OVERRIDE=FY","FILING_STATUS=OR","EQY_CONSOLIDATED=Y","FA_ADJUSTED=GAAP","Sort=A","Dates=H","DateFormat=P","Fill=—","Direction=H","UseDPDF=Y")</f>
        <v>#NAME?</v>
      </c>
      <c r="R508" t="e">
        <f ca="1">_xll.BDH($C$503,"DVD_PAYOUT_RATIO","FY 2015","FY 2015","Currency=INR","Period=FY","BEST_FPERIOD_OVERRIDE=FY","FILING_STATUS=OR","EQY_CONSOLIDATED=Y","FA_ADJUSTED=GAAP","Sort=A","Dates=H","DateFormat=P","Fill=—","Direction=H","UseDPDF=Y")</f>
        <v>#NAME?</v>
      </c>
      <c r="S508" t="e">
        <f ca="1">_xll.BDH($C$503,"SUSTAIN_GROWTH_RT","FY 2015","FY 2015","Currency=INR","Period=FY","BEST_FPERIOD_OVERRIDE=FY","FILING_STATUS=OR","EQY_CONSOLIDATED=Y","FA_ADJUSTED=GAAP","Sort=A","Dates=H","DateFormat=P","Fill=—","Direction=H","UseDPDF=Y")</f>
        <v>#NAME?</v>
      </c>
      <c r="T508" s="1" t="e">
        <f ca="1">_xll.BDH($C$503,"SALES_GROWTH","FY 2015","FY 2015","Currency=INR","Period=FY","BEST_FPERIOD_OVERRIDE=FY","FILING_STATUS=OR","EQY_CONSOLIDATED=Y","FA_ADJUSTED=GAAP","Sort=A","Dates=H","DateFormat=P","Fill=—","Direction=H","UseDPDF=Y")</f>
        <v>#NAME?</v>
      </c>
      <c r="U508" s="1" t="e">
        <f ca="1">_xll.BDH($C$503,"EBITDA_GROWTH","FY 2015","FY 2015","Currency=INR","Period=FY","BEST_FPERIOD_OVERRIDE=FY","FILING_STATUS=OR","EQY_CONSOLIDATED=Y","FA_ADJUSTED=GAAP","Sort=A","Dates=H","DateFormat=P","Fill=—","Direction=H","UseDPDF=Y")</f>
        <v>#NAME?</v>
      </c>
      <c r="V508" s="1" t="e">
        <f ca="1">_xll.BDH($C$503,"OPER_INC_GROWTH","FY 2015","FY 2015","Currency=INR","Period=FY","BEST_FPERIOD_OVERRIDE=FY","FILING_STATUS=OR","EQY_CONSOLIDATED=Y","FA_ADJUSTED=GAAP","Sort=A","Dates=H","DateFormat=P","Fill=—","Direction=H","UseDPDF=Y")</f>
        <v>#NAME?</v>
      </c>
      <c r="W508" s="1" t="e">
        <f ca="1">_xll.BDH($C$503,"EARN_FOR_COM_GROWTH","FY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508" s="1" t="e">
        <f ca="1">_xll.BDH($C$503,"DILUTED_EPS_AFT_XO_ITEMS_GROWTH","FY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08" s="1" t="e">
        <f ca="1">_xll.BDH($C$503,"DIVIDEND_PER_SHARE_1_YEAR_GROWTH","FY 2015","FY 2015","Currency=INR","Period=FY","BEST_FPERIOD_OVERRIDE=FY","FILING_STATUS=OR","EQY_CONSOLIDATED=Y","Sort=A","Dates=H","DateFormat=P","Fill=—","Direction=H","UseDPDF=Y")</f>
        <v>#NAME?</v>
      </c>
      <c r="Z508" s="1" t="e">
        <f ca="1">_xll.BDH($C$503,"ACCOUNTS_RECEIVABLE_GROWTH","FY 2015","FY 2015","Currency=INR","Period=FY","BEST_FPERIOD_OVERRIDE=FY","FILING_STATUS=OR","EQY_CONSOLIDATED=Y","Sort=A","Dates=H","DateFormat=P","Fill=—","Direction=H","UseDPDF=Y")</f>
        <v>#NAME?</v>
      </c>
      <c r="AA508" s="1" t="e">
        <f ca="1">_xll.BDH($C$503,"INVENTORY_GROWTH","FY 2015","FY 2015","Currency=INR","Period=FY","BEST_FPERIOD_OVERRIDE=FY","FILING_STATUS=OR","EQY_CONSOLIDATED=Y","Sort=A","Dates=H","DateFormat=P","Fill=—","Direction=H","UseDPDF=Y")</f>
        <v>#NAME?</v>
      </c>
      <c r="AB508" s="1" t="e">
        <f ca="1">_xll.BDH($C$503,"NET_FIXED_ASSETS_1_YEAR_GROWTH","FY 2015","FY 2015","Currency=INR","Period=FY","BEST_FPERIOD_OVERRIDE=FY","FILING_STATUS=OR","EQY_CONSOLIDATED=Y","Sort=A","Dates=H","DateFormat=P","Fill=—","Direction=H","UseDPDF=Y")</f>
        <v>#NAME?</v>
      </c>
      <c r="AC508" s="1" t="e">
        <f ca="1">_xll.BDH($C$503,"ASSET_GROWTH","FY 2015","FY 2015","Currency=INR","Period=FY","BEST_FPERIOD_OVERRIDE=FY","FILING_STATUS=OR","EQY_CONSOLIDATED=Y","Sort=A","Dates=H","DateFormat=P","Fill=—","Direction=H","UseDPDF=Y")</f>
        <v>#NAME?</v>
      </c>
      <c r="AD508" s="1" t="e">
        <f ca="1">_xll.BDH($C$503,"MODIFIED_WORK_CAP_GROWTH","FY 2015","FY 2015","Currency=INR","Period=FY","BEST_FPERIOD_OVERRIDE=FY","FILING_STATUS=OR","EQY_CONSOLIDATED=Y","Sort=A","Dates=H","DateFormat=P","Fill=—","Direction=H","UseDPDF=Y")</f>
        <v>#NAME?</v>
      </c>
      <c r="AE508" s="1" t="e">
        <f ca="1">_xll.BDH($C$503,"WORK_CAP_GROWTH","FY 2015","FY 2015","Currency=INR","Period=FY","BEST_FPERIOD_OVERRIDE=FY","FILING_STATUS=OR","EQY_CONSOLIDATED=Y","Sort=A","Dates=H","DateFormat=P","Fill=—","Direction=H","UseDPDF=Y")</f>
        <v>#NAME?</v>
      </c>
      <c r="AF508" s="1" t="e">
        <f ca="1">_xll.BDH($C$503,"ACCOUNTS_PAYABLE_GROWTH_1YR","FY 2015","FY 2015","Currency=INR","Period=FY","BEST_FPERIOD_OVERRIDE=FY","FILING_STATUS=OR","EQY_CONSOLIDATED=Y","Sort=A","Dates=H","DateFormat=P","Fill=—","Direction=H","UseDPDF=Y")</f>
        <v>#NAME?</v>
      </c>
      <c r="AG508" s="1" t="e">
        <f ca="1">_xll.BDH($C$503,"SHORT_TERM_DEBT_1_YEAR_GROWTH","FY 2015","FY 2015","Currency=INR","Period=FY","BEST_FPERIOD_OVERRIDE=FY","FILING_STATUS=OR","EQY_CONSOLIDATED=Y","Sort=A","Dates=H","DateFormat=P","Fill=—","Direction=H","UseDPDF=Y")</f>
        <v>#NAME?</v>
      </c>
      <c r="AH508" s="1" t="e">
        <f ca="1">_xll.BDH($C$503,"TOTAL_DEBT_1_YEAR_GROWTH","FY 2015","FY 2015","Currency=INR","Period=FY","BEST_FPERIOD_OVERRIDE=FY","FILING_STATUS=OR","EQY_CONSOLIDATED=Y","Sort=A","Dates=H","DateFormat=P","Fill=—","Direction=H","UseDPDF=Y")</f>
        <v>#NAME?</v>
      </c>
      <c r="AI508" s="1" t="e">
        <f ca="1">_xll.BDH($C$503,"TOTAL_EQUITY_1_YEAR_GROWTH","FY 2015","FY 2015","Currency=INR","Period=FY","BEST_FPERIOD_OVERRIDE=FY","FILING_STATUS=OR","EQY_CONSOLIDATED=Y","Sort=A","Dates=H","DateFormat=P","Fill=—","Direction=H","UseDPDF=Y")</f>
        <v>#NAME?</v>
      </c>
      <c r="AJ508" s="1" t="e">
        <f ca="1">_xll.BDH($C$503,"GROWTH_IN_CAP","FY 2015","FY 2015","Currency=INR","Period=FY","BEST_FPERIOD_OVERRIDE=FY","FILING_STATUS=OR","EQY_CONSOLIDATED=Y","Sort=A","Dates=H","DateFormat=P","Fill=—","Direction=H","UseDPDF=Y")</f>
        <v>#NAME?</v>
      </c>
      <c r="AK508" s="1" t="e">
        <f ca="1">_xll.BDH($C$503,"BVPS_GROWTH","FY 2015","FY 2015","Currency=INR","Period=FY","BEST_FPERIOD_OVERRIDE=FY","FILING_STATUS=OR","EQY_CONSOLIDATED=Y","Sort=A","Dates=H","DateFormat=P","Fill=—","Direction=H","UseDPDF=Y")</f>
        <v>#NAME?</v>
      </c>
      <c r="AL508" s="1" t="e">
        <f ca="1">_xll.BDH($C$503,"CASH_FLOW_GROWTH","FY 2015","FY 2015","Currency=INR","Period=FY","BEST_FPERIOD_OVERRIDE=FY","FILING_STATUS=OR","EQY_CONSOLIDATED=Y","Sort=A","Dates=H","DateFormat=P","Fill=—","Direction=H","UseDPDF=Y")</f>
        <v>#NAME?</v>
      </c>
      <c r="AM508" s="1" t="e">
        <f ca="1">_xll.BDH($C$503,"GEO_GROW_NET_SALES","FY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508" s="1" t="e">
        <f ca="1">_xll.BDH($C$503,"GEO_GROW_EBITDA","FY 2015","FY 2015","Currency=INR","Period=FY","BEST_FPERIOD_OVERRIDE=FY","FILING_STATUS=OR","EQY_CONSOLIDATED=Y","FA_ADJUSTED=GAAP","Sort=A","Dates=H","DateFormat=P","Fill=—","Direction=H","UseDPDF=Y")</f>
        <v>#NAME?</v>
      </c>
      <c r="AO508" s="1" t="e">
        <f ca="1">_xll.BDH($C$503,"GEO_GROW_OPER_INC","FY 2015","FY 2015","Currency=INR","Period=FY","BEST_FPERIOD_OVERRIDE=FY","FILING_STATUS=OR","EQY_CONSOLIDATED=Y","FA_ADJUSTED=GAAP","Sort=A","Dates=H","DateFormat=P","Fill=—","Direction=H","UseDPDF=Y")</f>
        <v>#NAME?</v>
      </c>
      <c r="AP508" s="1" t="e">
        <f ca="1">_xll.BDH($C$503,"NET_INCOME_TO_COMMON_5_YR_GROWTH","FY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08" s="1" t="e">
        <f ca="1">_xll.BDH($C$503,"5Y_GEO_GROWTH_DILUTED_EPS","FY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08" s="1" t="e">
        <f ca="1">_xll.BDH($C$503,"GEO_GROW_DVD_PER_SH","FY 2015","FY 2015","Currency=INR","Period=FY","BEST_FPERIOD_OVERRIDE=FY","FILING_STATUS=OR","EQY_CONSOLIDATED=Y","Sort=A","Dates=H","DateFormat=P","Fill=—","Direction=H","UseDPDF=Y")</f>
        <v>#NAME?</v>
      </c>
      <c r="AS508" s="1" t="e">
        <f ca="1">_xll.BDH($C$503,"ACCOUNTS_RECEIVABLE_5_YR_GROWTH","FY 2015","FY 2015","Currency=INR","Period=FY","BEST_FPERIOD_OVERRIDE=FY","FILING_STATUS=OR","EQY_CONSOLIDATED=Y","Sort=A","Dates=H","DateFormat=P","Fill=—","Direction=H","UseDPDF=Y")</f>
        <v>#NAME?</v>
      </c>
      <c r="AT508" s="1" t="e">
        <f ca="1">_xll.BDH($C$503,"INVENTORY_5_YEAR_GROWTH","FY 2015","FY 2015","Currency=INR","Period=FY","BEST_FPERIOD_OVERRIDE=FY","FILING_STATUS=OR","EQY_CONSOLIDATED=Y","Sort=A","Dates=H","DateFormat=P","Fill=—","Direction=H","UseDPDF=Y")</f>
        <v>#NAME?</v>
      </c>
      <c r="AU508" s="1" t="e">
        <f ca="1">_xll.BDH($C$503,"NET_FIXED_ASSETS_5_YEAR_GROWTH","FY 2015","FY 2015","Currency=INR","Period=FY","BEST_FPERIOD_OVERRIDE=FY","FILING_STATUS=OR","EQY_CONSOLIDATED=Y","Sort=A","Dates=H","DateFormat=P","Fill=—","Direction=H","UseDPDF=Y")</f>
        <v>#NAME?</v>
      </c>
      <c r="AV508" s="1" t="e">
        <f ca="1">_xll.BDH($C$503,"GEO_GROW_TOT_ASSET","FY 2015","FY 2015","Currency=INR","Period=FY","BEST_FPERIOD_OVERRIDE=FY","FILING_STATUS=OR","EQY_CONSOLIDATED=Y","Sort=A","Dates=H","DateFormat=P","Fill=—","Direction=H","UseDPDF=Y")</f>
        <v>#NAME?</v>
      </c>
      <c r="AW508" s="1" t="e">
        <f ca="1">_xll.BDH($C$503,"MODIFIED_WORKING_CPTL_5YR_GRWTH","FY 2015","FY 2015","Currency=INR","Period=FY","BEST_FPERIOD_OVERRIDE=FY","FILING_STATUS=OR","EQY_CONSOLIDATED=Y","Sort=A","Dates=H","DateFormat=P","Fill=—","Direction=H","UseDPDF=Y")</f>
        <v>#NAME?</v>
      </c>
      <c r="AX508" s="1" t="e">
        <f ca="1">_xll.BDH($C$503,"WORKING_CAPITAL_5_YEAR_GROWTH","FY 2015","FY 2015","Currency=INR","Period=FY","BEST_FPERIOD_OVERRIDE=FY","FILING_STATUS=OR","EQY_CONSOLIDATED=Y","Sort=A","Dates=H","DateFormat=P","Fill=—","Direction=H","UseDPDF=Y")</f>
        <v>#NAME?</v>
      </c>
      <c r="AY508" s="1" t="e">
        <f ca="1">_xll.BDH($C$503,"ACCOUNTS_PAYABLE_5_YEAR_GROWTH","FY 2015","FY 2015","Currency=INR","Period=FY","BEST_FPERIOD_OVERRIDE=FY","FILING_STATUS=OR","EQY_CONSOLIDATED=Y","Sort=A","Dates=H","DateFormat=P","Fill=—","Direction=H","UseDPDF=Y")</f>
        <v>#NAME?</v>
      </c>
      <c r="AZ508" s="1" t="e">
        <f ca="1">_xll.BDH($C$503,"SHORT_TERM_DEBT_5_YEAR_GROWTH","FY 2015","FY 2015","Currency=INR","Period=FY","BEST_FPERIOD_OVERRIDE=FY","FILING_STATUS=OR","EQY_CONSOLIDATED=Y","Sort=A","Dates=H","DateFormat=P","Fill=—","Direction=H","UseDPDF=Y")</f>
        <v>#NAME?</v>
      </c>
      <c r="BA508" s="1" t="e">
        <f ca="1">_xll.BDH($C$503,"TOTAL_DEBT_5_YEAR_GROWTH","FY 2015","FY 2015","Currency=INR","Period=FY","BEST_FPERIOD_OVERRIDE=FY","FILING_STATUS=OR","EQY_CONSOLIDATED=Y","Sort=A","Dates=H","DateFormat=P","Fill=—","Direction=H","UseDPDF=Y")</f>
        <v>#NAME?</v>
      </c>
      <c r="BB508" s="1" t="e">
        <f ca="1">_xll.BDH($C$503,"GEO_GROW_TOT_SHRHLDR_EQY","FY 2015","FY 2015","Currency=INR","Period=FY","BEST_FPERIOD_OVERRIDE=FY","FILING_STATUS=OR","EQY_CONSOLIDATED=Y","Sort=A","Dates=H","DateFormat=P","Fill=—","Direction=H","UseDPDF=Y")</f>
        <v>#NAME?</v>
      </c>
      <c r="BC508" s="1" t="e">
        <f ca="1">_xll.BDH($C$503,"TOTAL_CAPITAL_5_YEAR_GROWTH","FY 2015","FY 2015","Currency=INR","Period=FY","BEST_FPERIOD_OVERRIDE=FY","FILING_STATUS=OR","EQY_CONSOLIDATED=Y","Sort=A","Dates=H","DateFormat=P","Fill=—","Direction=H","UseDPDF=Y")</f>
        <v>#NAME?</v>
      </c>
      <c r="BD508" s="1" t="e">
        <f ca="1">_xll.BDH($C$503,"GEO_GROW_BOOK_VAL","FY 2015","FY 2015","Currency=INR","Period=FY","BEST_FPERIOD_OVERRIDE=FY","FILING_STATUS=OR","EQY_CONSOLIDATED=Y","Sort=A","Dates=H","DateFormat=P","Fill=—","Direction=H","UseDPDF=Y")</f>
        <v>#NAME?</v>
      </c>
      <c r="BE508" s="1" t="e">
        <f ca="1">_xll.BDH($C$503,"GEO_GROW_CASH_OPER_ACT","FY 2015","FY 2015","Currency=INR","Period=FY","BEST_FPERIOD_OVERRIDE=FY","FILING_STATUS=OR","EQY_CONSOLIDATED=Y","Sort=A","Dates=H","DateFormat=P","Fill=—","Direction=H","UseDPDF=Y")</f>
        <v>#NAME?</v>
      </c>
      <c r="BF508" s="1" t="e">
        <f ca="1">_xll.BDH($C$503,"REVENUE_SEQUENTIAL_GROWTH","FY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08" s="1" t="e">
        <f ca="1">_xll.BDH($C$503,"EBITDA_SEQUENTIAL_GROWTH","FY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08" s="1" t="e">
        <f ca="1">_xll.BDH($C$503,"OPERATING_INCOME_SEQ_GROWTH","FY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08" s="1" t="e">
        <f ca="1">_xll.BDH($C$503,"NET_INCOME_TO_COMMON_SEQ_GROWTH","FY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08" s="1" t="e">
        <f ca="1">_xll.BDH($C$503,"EPS_DILUTED_SEQUENTIAL_GROWTH","FY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08" s="1" t="e">
        <f ca="1">_xll.BDH($C$503,"DPS_SEQUENTIAL_GROWTH","FY 2015","FY 2015","Currency=INR","Period=FY","BEST_FPERIOD_OVERRIDE=FY","FILING_STATUS=OR","EQY_CONSOLIDATED=Y","Sort=A","Dates=H","DateFormat=P","Fill=—","Direction=H","UseDPDF=Y")</f>
        <v>#NAME?</v>
      </c>
      <c r="BL508" s="1" t="e">
        <f ca="1">_xll.BDH($C$503,"ACCOUNTS_RECEIVABLE_SEQ_GROWTH","FY 2015","FY 2015","Currency=INR","Period=FY","BEST_FPERIOD_OVERRIDE=FY","FILING_STATUS=OR","EQY_CONSOLIDATED=Y","Sort=A","Dates=H","DateFormat=P","Fill=—","Direction=H","UseDPDF=Y")</f>
        <v>#NAME?</v>
      </c>
      <c r="BM508" s="1" t="e">
        <f ca="1">_xll.BDH($C$503,"INVENTORY_SEQUENTIAL_GROWTH","FY 2015","FY 2015","Currency=INR","Period=FY","BEST_FPERIOD_OVERRIDE=FY","FILING_STATUS=OR","EQY_CONSOLIDATED=Y","Sort=A","Dates=H","DateFormat=P","Fill=—","Direction=H","UseDPDF=Y")</f>
        <v>#NAME?</v>
      </c>
      <c r="BN508" s="1" t="e">
        <f ca="1">_xll.BDH($C$503,"FIXED_ASSETS_SEQUENTIAL_GROWTH","FY 2015","FY 2015","Currency=INR","Period=FY","BEST_FPERIOD_OVERRIDE=FY","FILING_STATUS=OR","EQY_CONSOLIDATED=Y","Sort=A","Dates=H","DateFormat=P","Fill=—","Direction=H","UseDPDF=Y")</f>
        <v>#NAME?</v>
      </c>
      <c r="BO508" s="1" t="e">
        <f ca="1">_xll.BDH($C$503,"TOTAL_ASSETS_SEQUENTIAL_GROWTH","FY 2015","FY 2015","Currency=INR","Period=FY","BEST_FPERIOD_OVERRIDE=FY","FILING_STATUS=OR","EQY_CONSOLIDATED=Y","Sort=A","Dates=H","DateFormat=P","Fill=—","Direction=H","UseDPDF=Y")</f>
        <v>#NAME?</v>
      </c>
      <c r="BP508" s="1" t="e">
        <f ca="1">_xll.BDH($C$503,"MODIFIED_WORKING_CPTL_SEQ_GRWTH","FY 2015","FY 2015","Currency=INR","Period=FY","BEST_FPERIOD_OVERRIDE=FY","FILING_STATUS=OR","EQY_CONSOLIDATED=Y","Sort=A","Dates=H","DateFormat=P","Fill=—","Direction=H","UseDPDF=Y")</f>
        <v>#NAME?</v>
      </c>
      <c r="BQ508" s="1" t="e">
        <f ca="1">_xll.BDH($C$503,"WORKING_CAPITAL_SEQ_GROWTH","FY 2015","FY 2015","Currency=INR","Period=FY","BEST_FPERIOD_OVERRIDE=FY","FILING_STATUS=OR","EQY_CONSOLIDATED=Y","Sort=A","Dates=H","DateFormat=P","Fill=—","Direction=H","UseDPDF=Y")</f>
        <v>#NAME?</v>
      </c>
      <c r="BR508" s="1" t="e">
        <f ca="1">_xll.BDH($C$503,"ACCOUNTS_PAYABLE_SEQ_GROWTH","FY 2015","FY 2015","Currency=INR","Period=FY","BEST_FPERIOD_OVERRIDE=FY","FILING_STATUS=OR","EQY_CONSOLIDATED=Y","Sort=A","Dates=H","DateFormat=P","Fill=—","Direction=H","UseDPDF=Y")</f>
        <v>#NAME?</v>
      </c>
      <c r="BS508" s="1" t="e">
        <f ca="1">_xll.BDH($C$503,"ST_DEBT_SEQUENTIAL_GROWTH","FY 2015","FY 2015","Currency=INR","Period=FY","BEST_FPERIOD_OVERRIDE=FY","FILING_STATUS=OR","EQY_CONSOLIDATED=Y","Sort=A","Dates=H","DateFormat=P","Fill=—","Direction=H","UseDPDF=Y")</f>
        <v>#NAME?</v>
      </c>
      <c r="BT508" s="1" t="e">
        <f ca="1">_xll.BDH($C$503,"TOTAL_DEBT_SEQUENTIAL_GROWTH","FY 2015","FY 2015","Currency=INR","Period=FY","BEST_FPERIOD_OVERRIDE=FY","FILING_STATUS=OR","EQY_CONSOLIDATED=Y","Sort=A","Dates=H","DateFormat=P","Fill=—","Direction=H","UseDPDF=Y")</f>
        <v>#NAME?</v>
      </c>
      <c r="BU508" s="1" t="e">
        <f ca="1">_xll.BDH($C$503,"TOTAL_EQUITY_SEQUENTIAL_GROWTH","FY 2015","FY 2015","Currency=INR","Period=FY","BEST_FPERIOD_OVERRIDE=FY","FILING_STATUS=OR","EQY_CONSOLIDATED=Y","Sort=A","Dates=H","DateFormat=P","Fill=—","Direction=H","UseDPDF=Y")</f>
        <v>#NAME?</v>
      </c>
      <c r="BV508" s="1" t="e">
        <f ca="1">_xll.BDH($C$503,"TOTAL_CAPITAL_SEQUENTIAL_GROWTH","FY 2015","FY 2015","Currency=INR","Period=FY","BEST_FPERIOD_OVERRIDE=FY","FILING_STATUS=OR","EQY_CONSOLIDATED=Y","Sort=A","Dates=H","DateFormat=P","Fill=—","Direction=H","UseDPDF=Y")</f>
        <v>#NAME?</v>
      </c>
      <c r="BW508" s="1" t="e">
        <f ca="1">_xll.BDH($C$503,"BPS_SEQUENTIAL_GROWTH","FY 2015","FY 2015","Currency=INR","Period=FY","BEST_FPERIOD_OVERRIDE=FY","FILING_STATUS=OR","EQY_CONSOLIDATED=Y","Sort=A","Dates=H","DateFormat=P","Fill=—","Direction=H","UseDPDF=Y")</f>
        <v>#NAME?</v>
      </c>
      <c r="BX508" s="1" t="e">
        <f ca="1">_xll.BDH($C$503,"CFO_SEQUENTIAL_GROWTH","FY 2015","FY 2015","Currency=INR","Period=FY","BEST_FPERIOD_OVERRIDE=FY","FILING_STATUS=OR","EQY_CONSOLIDATED=Y","Sort=A","Dates=H","DateFormat=P","Fill=—","Direction=H","UseDPDF=Y")</f>
        <v>#NAME?</v>
      </c>
      <c r="BY508" s="2" t="e">
        <f ca="1">_xll.BDH($C$503,"SHORT_AND_LONG_TERM_DEBT","FY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08" s="2" t="e">
        <f ca="1">_xll.BDH($C$503,"BS_ST_BORROW","FY 2015","FY 2015","Currency=INR","Period=FY","BEST_FPERIOD_OVERRIDE=FY","FILING_STATUS=OR","EQY_CONSOLIDATED=Y","SCALING_FORMAT=MLN","Sort=A","Dates=H","DateFormat=P","Fill=—","Direction=H","UseDPDF=Y")</f>
        <v>#NAME?</v>
      </c>
      <c r="CA508" s="2" t="e">
        <f ca="1">_xll.BDH($C$503,"BS_LT_BORROW","FY 2015","FY 2015","Currency=INR","Period=FY","BEST_FPERIOD_OVERRIDE=FY","FILING_STATUS=OR","EQY_CONSOLIDATED=Y","SCALING_FORMAT=MLN","Sort=A","Dates=H","DateFormat=P","Fill=—","Direction=H","UseDPDF=Y")</f>
        <v>#NAME?</v>
      </c>
      <c r="CB508" s="1" t="e">
        <f ca="1">_xll.BDH($C$503,"TOT_DEBT_TO_EBITDA","FY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508" s="1" t="e">
        <f ca="1">_xll.BDH($C$503,"NET_DEBT_TO_EBITDA","FY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508" s="1" t="e">
        <f ca="1">_xll.BDH($C$503,"TOTAL_DEBT_TO_EBIT","FY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508" s="1" t="e">
        <f ca="1">_xll.BDH($C$503,"NET_DEBT_TO_EBIT","FY 2015","FY 2015","Currency=INR","Period=FY","BEST_FPERIOD_OVERRIDE=FY","FILING_STATUS=OR","EQY_CONSOLIDATED=Y","FA_ADJUSTED=GAAP","Sort=A","Dates=H","DateFormat=P","Fill=—","Direction=H","UseDPDF=Y")</f>
        <v>#NAME?</v>
      </c>
      <c r="CF508" s="1" t="e">
        <f ca="1">_xll.BDH($C$503,"EBITDA_TO_INTEREST_EXPN","FY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08" s="1" t="e">
        <f ca="1">_xll.BDH($C$503,"COM_EQY_TO_TOT_ASSET","FY 2015","FY 2015","Currency=INR","Period=FY","BEST_FPERIOD_OVERRIDE=FY","FILING_STATUS=OR","EQY_CONSOLIDATED=Y","Sort=A","Dates=H","DateFormat=P","Fill=—","Direction=H","UseDPDF=Y")</f>
        <v>#NAME?</v>
      </c>
      <c r="CH508" s="1" t="e">
        <f ca="1">_xll.BDH($C$503,"LT_DEBT_TO_TOT_EQY","FY 2015","FY 2015","Currency=INR","Period=FY","BEST_FPERIOD_OVERRIDE=FY","FILING_STATUS=OR","EQY_CONSOLIDATED=Y","Sort=A","Dates=H","DateFormat=P","Fill=—","Direction=H","UseDPDF=Y")</f>
        <v>#NAME?</v>
      </c>
      <c r="CI508" s="1" t="e">
        <f ca="1">_xll.BDH($C$503,"LT_DEBT_TO_TOT_CAP","FY 2015","FY 2015","Currency=INR","Period=FY","BEST_FPERIOD_OVERRIDE=FY","FILING_STATUS=OR","EQY_CONSOLIDATED=Y","Sort=A","Dates=H","DateFormat=P","Fill=—","Direction=H","UseDPDF=Y")</f>
        <v>#NAME?</v>
      </c>
      <c r="CJ508" s="1" t="e">
        <f ca="1">_xll.BDH($C$503,"LT_DEBT_TO_TOT_ASSET","FY 2015","FY 2015","Currency=INR","Period=FY","BEST_FPERIOD_OVERRIDE=FY","FILING_STATUS=OR","EQY_CONSOLIDATED=Y","Sort=A","Dates=H","DateFormat=P","Fill=—","Direction=H","UseDPDF=Y")</f>
        <v>#NAME?</v>
      </c>
      <c r="CK508" s="1" t="e">
        <f ca="1">_xll.BDH($C$503,"TOT_DEBT_TO_TOT_EQY","FY 2015","FY 2015","Currency=INR","Period=FY","BEST_FPERIOD_OVERRIDE=FY","FILING_STATUS=OR","EQY_CONSOLIDATED=Y","Sort=A","Dates=H","DateFormat=P","Fill=—","Direction=H","UseDPDF=Y")</f>
        <v>#NAME?</v>
      </c>
      <c r="CL508" s="1" t="e">
        <f ca="1">_xll.BDH($C$503,"TOT_DEBT_TO_TOT_CAP","FY 2015","FY 2015","Currency=INR","Period=FY","BEST_FPERIOD_OVERRIDE=FY","FILING_STATUS=OR","EQY_CONSOLIDATED=Y","Sort=A","Dates=H","DateFormat=P","Fill=—","Direction=H","UseDPDF=Y")</f>
        <v>#NAME?</v>
      </c>
      <c r="CM508" s="1" t="e">
        <f ca="1">_xll.BDH($C$503,"TOT_DEBT_TO_TOT_ASSET","FY 2015","FY 2015","Currency=INR","Period=FY","BEST_FPERIOD_OVERRIDE=FY","FILING_STATUS=OR","EQY_CONSOLIDATED=Y","Sort=A","Dates=H","DateFormat=P","Fill=—","Direction=H","UseDPDF=Y")</f>
        <v>#NAME?</v>
      </c>
      <c r="CN508" s="1" t="e">
        <f ca="1">_xll.BDH($C$503,"NET_DEBT_TO_SHRHLDR_EQTY","FY 2015","FY 2015","Currency=INR","Period=FY","BEST_FPERIOD_OVERRIDE=FY","FILING_STATUS=OR","EQY_CONSOLIDATED=Y","Sort=A","Dates=H","DateFormat=P","Fill=—","Direction=H","UseDPDF=Y")</f>
        <v>#NAME?</v>
      </c>
      <c r="CO508" s="1" t="e">
        <f ca="1">_xll.BDH($C$503,"NET_DEBT_%_CAPITAL","FY 2015","FY 2015","Currency=INR","Period=FY","BEST_FPERIOD_OVERRIDE=FY","FILING_STATUS=OR","EQY_CONSOLIDATED=Y","Sort=A","Dates=H","DateFormat=P","Fill=—","Direction=H","UseDPDF=Y")</f>
        <v>#NAME?</v>
      </c>
      <c r="CP508" s="2" t="e">
        <f ca="1">_xll.BDH($C$503,"EBITDA","FY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08" s="2" t="e">
        <f ca="1">_xll.BDH($C$503,"EBITDA_AFTER_CAPEX","FY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08" s="2" t="e">
        <f ca="1">_xll.BDH($C$503,"IS_OPER_INC","FY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08" s="1" t="e">
        <f ca="1">_xll.BDH($C$503,"CASH_RATIO","FY 2015","FY 2015","Currency=INR","Period=FY","BEST_FPERIOD_OVERRIDE=FY","FILING_STATUS=OR","EQY_CONSOLIDATED=Y","Sort=A","Dates=H","DateFormat=P","Fill=—","Direction=H","UseDPDF=Y")</f>
        <v>#NAME?</v>
      </c>
      <c r="CT508" s="1" t="e">
        <f ca="1">_xll.BDH($C$503,"CUR_RATIO","FY 2015","FY 2015","Currency=INR","Period=FY","BEST_FPERIOD_OVERRIDE=FY","FILING_STATUS=OR","EQY_CONSOLIDATED=Y","Sort=A","Dates=H","DateFormat=P","Fill=—","Direction=H","UseDPDF=Y")</f>
        <v>#NAME?</v>
      </c>
      <c r="CU508" s="1" t="e">
        <f ca="1">_xll.BDH($C$503,"QUICK_RATIO","FY 2015","FY 2015","Currency=INR","Period=FY","BEST_FPERIOD_OVERRIDE=FY","FILING_STATUS=OR","EQY_CONSOLIDATED=Y","Sort=A","Dates=H","DateFormat=P","Fill=—","Direction=H","UseDPDF=Y")</f>
        <v>#NAME?</v>
      </c>
      <c r="CV508" s="1" t="e">
        <f ca="1">_xll.BDH($C$503,"ALTMAN_Z_SCORE","FY 2015","FY 2015","Currency=INR","Period=FY","BEST_FPERIOD_OVERRIDE=FY","FILING_STATUS=OR","EQY_CONSOLIDATED=Y","Sort=A","Dates=H","DateFormat=P","Fill=—","Direction=H","UseDPDF=Y")</f>
        <v>#NAME?</v>
      </c>
      <c r="CW508" s="3" t="e">
        <f ca="1">_xll.BDH($C$503,"ACCT_RCV_TURN","FY 2015","FY 2015","Currency=INR","Period=FY","BEST_FPERIOD_OVERRIDE=FY","FILING_STATUS=OR","EQY_CONSOLIDATED=Y","FA_ADJUSTED=GAAP","Sort=A","Dates=H","DateFormat=P","Fill=—","Direction=H","UseDPDF=Y")</f>
        <v>#NAME?</v>
      </c>
      <c r="CX508" s="1" t="e">
        <f ca="1">_xll.BDH($C$503,"ACCT_RCV_DAYS","FY 2015","FY 2015","Currency=INR","Period=FY","BEST_FPERIOD_OVERRIDE=FY","FILING_STATUS=OR","EQY_CONSOLIDATED=Y","FA_ADJUSTED=GAAP","Sort=A","Dates=H","DateFormat=P","Fill=—","Direction=H","UseDPDF=Y")</f>
        <v>#NAME?</v>
      </c>
      <c r="CY508" s="3" t="e">
        <f ca="1">_xll.BDH($C$503,"INVENT_TURN","FY 2015","FY 2015","Currency=INR","Period=FY","BEST_FPERIOD_OVERRIDE=FY","FILING_STATUS=OR","EQY_CONSOLIDATED=Y","FA_ADJUSTED=GAAP","Sort=A","Dates=H","DateFormat=P","Fill=—","Direction=H","UseDPDF=Y")</f>
        <v>#NAME?</v>
      </c>
      <c r="CZ508" s="1" t="e">
        <f ca="1">_xll.BDH($C$503,"INVENT_DAYS","FY 2015","FY 2015","Currency=INR","Period=FY","BEST_FPERIOD_OVERRIDE=FY","FILING_STATUS=OR","EQY_CONSOLIDATED=Y","FA_ADJUSTED=GAAP","Sort=A","Dates=H","DateFormat=P","Fill=—","Direction=H","UseDPDF=Y")</f>
        <v>#NAME?</v>
      </c>
      <c r="DA508" s="3" t="e">
        <f ca="1">_xll.BDH($C$503,"ACCOUNTS_PAYABLE_TURNOVER","FY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08" s="1" t="e">
        <f ca="1">_xll.BDH($C$503,"ACCOUNTS_PAYABLE_TURNOVER_DAYS","FY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08" s="3" t="e">
        <f ca="1">_xll.BDH($C$503,"CASH_CONVERSION_CYCLE","FY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08" s="3" t="e">
        <f ca="1">_xll.BDH($C$503,"INV_TO_CASH_DAYS","FY 2015","FY 2015","Currency=INR","Period=FY","BEST_FPERIOD_OVERRIDE=FY","FILING_STATUS=OR","EQY_CONSOLIDATED=Y","FA_ADJUSTED=GAAP","Sort=A","Dates=H","DateFormat=P","Fill=—","Direction=H","UseDPDF=Y")</f>
        <v>#NAME?</v>
      </c>
      <c r="DE508" s="4" t="e">
        <f ca="1">_xll.BDH($C$503,"BS_INVENTORIES","FY 2015","FY 2015","Currency=INR","Period=FY","BEST_FPERIOD_OVERRIDE=FY","FILING_STATUS=OR","EQY_CONSOLIDATED=Y","SCALING_FORMAT=MLN","Sort=A","Dates=H","DateFormat=P","Fill=—","Direction=H","UseDPDF=Y")</f>
        <v>#NAME?</v>
      </c>
      <c r="DF508" s="2" t="e">
        <f ca="1">_xll.BDH($C$503,"INVTRY_RAW_MATERIALS","FY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08" s="2" t="e">
        <f ca="1">_xll.BDH($C$503,"INVTRY_IN_PROGRESS","FY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08" s="2" t="e">
        <f ca="1">_xll.BDH($C$503,"INVTRY_FINISHED_GOODS","FY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08" s="2" t="e">
        <f ca="1">_xll.BDH($C$503,"BS_OTHER_INV","FY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09" spans="1:113" x14ac:dyDescent="0.3">
      <c r="A509" s="6"/>
      <c r="B509" s="6"/>
      <c r="C509" s="6"/>
      <c r="D509" s="6"/>
      <c r="E509" t="s">
        <v>4</v>
      </c>
      <c r="F509" t="e">
        <f ca="1">_xll.BDH($C$503,"RETURN_COM_EQY","FQ1 2015","FQ1 2015","Currency=INR","Period=FQ","BEST_FPERIOD_OVERRIDE=FQ","FILING_STATUS=OR","EQY_CONSOLIDATED=Y","FA_ADJUSTED=GAAP","Sort=A","Dates=H","DateFormat=P","Fill=—","Direction=H","UseDPDF=Y")</f>
        <v>#NAME?</v>
      </c>
      <c r="G509" t="e">
        <f ca="1">_xll.BDH($C$503,"RETURN_ON_ASSET","FQ1 2015","FQ1 2015","Currency=INR","Period=FQ","BEST_FPERIOD_OVERRIDE=FQ","FILING_STATUS=OR","EQY_CONSOLIDATED=Y","FA_ADJUSTED=GAAP","Sort=A","Dates=H","DateFormat=P","Fill=—","Direction=H","UseDPDF=Y")</f>
        <v>#NAME?</v>
      </c>
      <c r="H509" t="e">
        <f ca="1">_xll.BDH($C$503,"RETURN_ON_CAP","FQ1 2015","FQ1 2015","Currency=INR","Period=FQ","BEST_FPERIOD_OVERRIDE=FQ","FILING_STATUS=OR","EQY_CONSOLIDATED=Y","FA_ADJUSTED=GAAP","Sort=A","Dates=H","DateFormat=P","Fill=—","Direction=H","UseDPDF=Y")</f>
        <v>#NAME?</v>
      </c>
      <c r="I509" t="e">
        <f ca="1">_xll.BDH($C$503,"RETURN_ON_INV_CAPITAL","FQ1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09" t="e">
        <f ca="1">_xll.BDH($C$503,"EBITDA_TO_REVENUE","FQ1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509" t="e">
        <f ca="1">_xll.BDH($C$503,"OPER_MARGIN","FQ1 2015","FQ1 2015","Currency=INR","Period=FQ","BEST_FPERIOD_OVERRIDE=FQ","FILING_STATUS=OR","EQY_CONSOLIDATED=Y","FA_ADJUSTED=GAAP","Sort=A","Dates=H","DateFormat=P","Fill=—","Direction=H","UseDPDF=Y")</f>
        <v>#NAME?</v>
      </c>
      <c r="L509" t="e">
        <f ca="1">_xll.BDH($C$503,"INCREMENTAL_OPERATING_MARGIN","FQ1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09" t="e">
        <f ca="1">_xll.BDH($C$503,"PRETAX_INC_TO_NET_SALES","FQ1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09" t="e">
        <f ca="1">_xll.BDH($C$503,"INC_BEF_XO_ITEMS_TO_NET_SALES","FQ1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09" t="e">
        <f ca="1">_xll.BDH($C$503,"PROF_MARGIN","FQ1 2015","FQ1 2015","Currency=INR","Period=FQ","BEST_FPERIOD_OVERRIDE=FQ","FILING_STATUS=OR","EQY_CONSOLIDATED=Y","FA_ADJUSTED=GAAP","Sort=A","Dates=H","DateFormat=P","Fill=—","Direction=H","UseDPDF=Y")</f>
        <v>#NAME?</v>
      </c>
      <c r="P509" t="e">
        <f ca="1">_xll.BDH($C$503,"NET_INCOME_TO_COMMON_MARGIN","FQ1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09" t="e">
        <f ca="1">_xll.BDH($C$503,"EFF_TAX_RATE","FQ1 2015","FQ1 2015","Currency=INR","Period=FQ","BEST_FPERIOD_OVERRIDE=FQ","FILING_STATUS=OR","EQY_CONSOLIDATED=Y","FA_ADJUSTED=GAAP","Sort=A","Dates=H","DateFormat=P","Fill=—","Direction=H","UseDPDF=Y")</f>
        <v>#NAME?</v>
      </c>
      <c r="R509" t="e">
        <f ca="1">_xll.BDH($C$503,"DVD_PAYOUT_RATIO","FQ1 2015","FQ1 2015","Currency=INR","Period=FQ","BEST_FPERIOD_OVERRIDE=FQ","FILING_STATUS=OR","EQY_CONSOLIDATED=Y","FA_ADJUSTED=GAAP","Sort=A","Dates=H","DateFormat=P","Fill=—","Direction=H","UseDPDF=Y")</f>
        <v>#NAME?</v>
      </c>
      <c r="S509" t="e">
        <f ca="1">_xll.BDH($C$503,"SUSTAIN_GROWTH_RT","FQ1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509" s="1" t="e">
        <f ca="1">_xll.BDH($C$503,"SALES_GROWTH","FQ1 2015","FQ1 2015","Currency=INR","Period=FQ","BEST_FPERIOD_OVERRIDE=FQ","FILING_STATUS=OR","EQY_CONSOLIDATED=Y","FA_ADJUSTED=GAAP","Sort=A","Dates=H","DateFormat=P","Fill=—","Direction=H","UseDPDF=Y")</f>
        <v>#NAME?</v>
      </c>
      <c r="U509" s="1" t="e">
        <f ca="1">_xll.BDH($C$503,"EBITDA_GROWTH","FQ1 2015","FQ1 2015","Currency=INR","Period=FQ","BEST_FPERIOD_OVERRIDE=FQ","FILING_STATUS=OR","EQY_CONSOLIDATED=Y","FA_ADJUSTED=GAAP","Sort=A","Dates=H","DateFormat=P","Fill=—","Direction=H","UseDPDF=Y")</f>
        <v>#NAME?</v>
      </c>
      <c r="V509" s="1" t="e">
        <f ca="1">_xll.BDH($C$503,"OPER_INC_GROWTH","FQ1 2015","FQ1 2015","Currency=INR","Period=FQ","BEST_FPERIOD_OVERRIDE=FQ","FILING_STATUS=OR","EQY_CONSOLIDATED=Y","FA_ADJUSTED=GAAP","Sort=A","Dates=H","DateFormat=P","Fill=—","Direction=H","UseDPDF=Y")</f>
        <v>#NAME?</v>
      </c>
      <c r="W509" s="1" t="e">
        <f ca="1">_xll.BDH($C$503,"EARN_FOR_COM_GROWTH","FQ1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09" s="1" t="e">
        <f ca="1">_xll.BDH($C$503,"DILUTED_EPS_AFT_XO_ITEMS_GROWTH","FQ1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09" s="1" t="e">
        <f ca="1">_xll.BDH($C$503,"DIVIDEND_PER_SHARE_1_YEAR_GROWTH","FQ1 2015","FQ1 2015","Currency=INR","Period=FQ","BEST_FPERIOD_OVERRIDE=FQ","FILING_STATUS=OR","EQY_CONSOLIDATED=Y","Sort=A","Dates=H","DateFormat=P","Fill=—","Direction=H","UseDPDF=Y")</f>
        <v>#NAME?</v>
      </c>
      <c r="Z509" s="1" t="e">
        <f ca="1">_xll.BDH($C$503,"ACCOUNTS_RECEIVABLE_GROWTH","FQ1 2015","FQ1 2015","Currency=INR","Period=FQ","BEST_FPERIOD_OVERRIDE=FQ","FILING_STATUS=OR","EQY_CONSOLIDATED=Y","Sort=A","Dates=H","DateFormat=P","Fill=—","Direction=H","UseDPDF=Y")</f>
        <v>#NAME?</v>
      </c>
      <c r="AA509" s="1" t="e">
        <f ca="1">_xll.BDH($C$503,"INVENTORY_GROWTH","FQ1 2015","FQ1 2015","Currency=INR","Period=FQ","BEST_FPERIOD_OVERRIDE=FQ","FILING_STATUS=OR","EQY_CONSOLIDATED=Y","Sort=A","Dates=H","DateFormat=P","Fill=—","Direction=H","UseDPDF=Y")</f>
        <v>#NAME?</v>
      </c>
      <c r="AB509" s="1" t="e">
        <f ca="1">_xll.BDH($C$503,"NET_FIXED_ASSETS_1_YEAR_GROWTH","FQ1 2015","FQ1 2015","Currency=INR","Period=FQ","BEST_FPERIOD_OVERRIDE=FQ","FILING_STATUS=OR","EQY_CONSOLIDATED=Y","Sort=A","Dates=H","DateFormat=P","Fill=—","Direction=H","UseDPDF=Y")</f>
        <v>#NAME?</v>
      </c>
      <c r="AC509" s="1" t="e">
        <f ca="1">_xll.BDH($C$503,"ASSET_GROWTH","FQ1 2015","FQ1 2015","Currency=INR","Period=FQ","BEST_FPERIOD_OVERRIDE=FQ","FILING_STATUS=OR","EQY_CONSOLIDATED=Y","Sort=A","Dates=H","DateFormat=P","Fill=—","Direction=H","UseDPDF=Y")</f>
        <v>#NAME?</v>
      </c>
      <c r="AD509" s="1" t="e">
        <f ca="1">_xll.BDH($C$503,"MODIFIED_WORK_CAP_GROWTH","FQ1 2015","FQ1 2015","Currency=INR","Period=FQ","BEST_FPERIOD_OVERRIDE=FQ","FILING_STATUS=OR","EQY_CONSOLIDATED=Y","Sort=A","Dates=H","DateFormat=P","Fill=—","Direction=H","UseDPDF=Y")</f>
        <v>#NAME?</v>
      </c>
      <c r="AE509" s="1" t="e">
        <f ca="1">_xll.BDH($C$503,"WORK_CAP_GROWTH","FQ1 2015","FQ1 2015","Currency=INR","Period=FQ","BEST_FPERIOD_OVERRIDE=FQ","FILING_STATUS=OR","EQY_CONSOLIDATED=Y","Sort=A","Dates=H","DateFormat=P","Fill=—","Direction=H","UseDPDF=Y")</f>
        <v>#NAME?</v>
      </c>
      <c r="AF509" s="1" t="e">
        <f ca="1">_xll.BDH($C$503,"ACCOUNTS_PAYABLE_GROWTH_1YR","FQ1 2015","FQ1 2015","Currency=INR","Period=FQ","BEST_FPERIOD_OVERRIDE=FQ","FILING_STATUS=OR","EQY_CONSOLIDATED=Y","Sort=A","Dates=H","DateFormat=P","Fill=—","Direction=H","UseDPDF=Y")</f>
        <v>#NAME?</v>
      </c>
      <c r="AG509" s="1" t="e">
        <f ca="1">_xll.BDH($C$503,"SHORT_TERM_DEBT_1_YEAR_GROWTH","FQ1 2015","FQ1 2015","Currency=INR","Period=FQ","BEST_FPERIOD_OVERRIDE=FQ","FILING_STATUS=OR","EQY_CONSOLIDATED=Y","Sort=A","Dates=H","DateFormat=P","Fill=—","Direction=H","UseDPDF=Y")</f>
        <v>#NAME?</v>
      </c>
      <c r="AH509" s="1" t="e">
        <f ca="1">_xll.BDH($C$503,"TOTAL_DEBT_1_YEAR_GROWTH","FQ1 2015","FQ1 2015","Currency=INR","Period=FQ","BEST_FPERIOD_OVERRIDE=FQ","FILING_STATUS=OR","EQY_CONSOLIDATED=Y","Sort=A","Dates=H","DateFormat=P","Fill=—","Direction=H","UseDPDF=Y")</f>
        <v>#NAME?</v>
      </c>
      <c r="AI509" s="1" t="e">
        <f ca="1">_xll.BDH($C$503,"TOTAL_EQUITY_1_YEAR_GROWTH","FQ1 2015","FQ1 2015","Currency=INR","Period=FQ","BEST_FPERIOD_OVERRIDE=FQ","FILING_STATUS=OR","EQY_CONSOLIDATED=Y","Sort=A","Dates=H","DateFormat=P","Fill=—","Direction=H","UseDPDF=Y")</f>
        <v>#NAME?</v>
      </c>
      <c r="AJ509" s="1" t="e">
        <f ca="1">_xll.BDH($C$503,"GROWTH_IN_CAP","FQ1 2015","FQ1 2015","Currency=INR","Period=FQ","BEST_FPERIOD_OVERRIDE=FQ","FILING_STATUS=OR","EQY_CONSOLIDATED=Y","Sort=A","Dates=H","DateFormat=P","Fill=—","Direction=H","UseDPDF=Y")</f>
        <v>#NAME?</v>
      </c>
      <c r="AK509" s="1" t="e">
        <f ca="1">_xll.BDH($C$503,"BVPS_GROWTH","FQ1 2015","FQ1 2015","Currency=INR","Period=FQ","BEST_FPERIOD_OVERRIDE=FQ","FILING_STATUS=OR","EQY_CONSOLIDATED=Y","Sort=A","Dates=H","DateFormat=P","Fill=—","Direction=H","UseDPDF=Y")</f>
        <v>#NAME?</v>
      </c>
      <c r="AL509" s="1" t="e">
        <f ca="1">_xll.BDH($C$503,"CASH_FLOW_GROWTH","FQ1 2015","FQ1 2015","Currency=INR","Period=FQ","BEST_FPERIOD_OVERRIDE=FQ","FILING_STATUS=OR","EQY_CONSOLIDATED=Y","Sort=A","Dates=H","DateFormat=P","Fill=—","Direction=H","UseDPDF=Y")</f>
        <v>#NAME?</v>
      </c>
      <c r="AM509" s="1" t="e">
        <f ca="1">_xll.BDH($C$503,"GEO_GROW_NET_SALES","FQ1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09" s="1" t="e">
        <f ca="1">_xll.BDH($C$503,"GEO_GROW_EBITDA","FQ1 2015","FQ1 2015","Currency=INR","Period=FQ","BEST_FPERIOD_OVERRIDE=FQ","FILING_STATUS=OR","EQY_CONSOLIDATED=Y","FA_ADJUSTED=GAAP","Sort=A","Dates=H","DateFormat=P","Fill=—","Direction=H","UseDPDF=Y")</f>
        <v>#NAME?</v>
      </c>
      <c r="AO509" s="1" t="e">
        <f ca="1">_xll.BDH($C$503,"GEO_GROW_OPER_INC","FQ1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09" s="1" t="e">
        <f ca="1">_xll.BDH($C$503,"NET_INCOME_TO_COMMON_5_YR_GROWTH","FQ1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09" s="1" t="e">
        <f ca="1">_xll.BDH($C$503,"5Y_GEO_GROWTH_DILUTED_EPS","FQ1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09" s="1" t="e">
        <f ca="1">_xll.BDH($C$503,"GEO_GROW_DVD_PER_SH","FQ1 2015","FQ1 2015","Currency=INR","Period=FQ","BEST_FPERIOD_OVERRIDE=FQ","FILING_STATUS=OR","EQY_CONSOLIDATED=Y","Sort=A","Dates=H","DateFormat=P","Fill=—","Direction=H","UseDPDF=Y")</f>
        <v>#NAME?</v>
      </c>
      <c r="AS509" s="1" t="e">
        <f ca="1">_xll.BDH($C$503,"ACCOUNTS_RECEIVABLE_5_YR_GROWTH","FQ1 2015","FQ1 2015","Currency=INR","Period=FQ","BEST_FPERIOD_OVERRIDE=FQ","FILING_STATUS=OR","EQY_CONSOLIDATED=Y","Sort=A","Dates=H","DateFormat=P","Fill=—","Direction=H","UseDPDF=Y")</f>
        <v>#NAME?</v>
      </c>
      <c r="AT509" s="1" t="e">
        <f ca="1">_xll.BDH($C$503,"INVENTORY_5_YEAR_GROWTH","FQ1 2015","FQ1 2015","Currency=INR","Period=FQ","BEST_FPERIOD_OVERRIDE=FQ","FILING_STATUS=OR","EQY_CONSOLIDATED=Y","Sort=A","Dates=H","DateFormat=P","Fill=—","Direction=H","UseDPDF=Y")</f>
        <v>#NAME?</v>
      </c>
      <c r="AU509" s="1" t="e">
        <f ca="1">_xll.BDH($C$503,"NET_FIXED_ASSETS_5_YEAR_GROWTH","FQ1 2015","FQ1 2015","Currency=INR","Period=FQ","BEST_FPERIOD_OVERRIDE=FQ","FILING_STATUS=OR","EQY_CONSOLIDATED=Y","Sort=A","Dates=H","DateFormat=P","Fill=—","Direction=H","UseDPDF=Y")</f>
        <v>#NAME?</v>
      </c>
      <c r="AV509" s="1" t="e">
        <f ca="1">_xll.BDH($C$503,"GEO_GROW_TOT_ASSET","FQ1 2015","FQ1 2015","Currency=INR","Period=FQ","BEST_FPERIOD_OVERRIDE=FQ","FILING_STATUS=OR","EQY_CONSOLIDATED=Y","Sort=A","Dates=H","DateFormat=P","Fill=—","Direction=H","UseDPDF=Y")</f>
        <v>#NAME?</v>
      </c>
      <c r="AW509" s="1" t="e">
        <f ca="1">_xll.BDH($C$503,"MODIFIED_WORKING_CPTL_5YR_GRWTH","FQ1 2015","FQ1 2015","Currency=INR","Period=FQ","BEST_FPERIOD_OVERRIDE=FQ","FILING_STATUS=OR","EQY_CONSOLIDATED=Y","Sort=A","Dates=H","DateFormat=P","Fill=—","Direction=H","UseDPDF=Y")</f>
        <v>#NAME?</v>
      </c>
      <c r="AX509" s="1" t="e">
        <f ca="1">_xll.BDH($C$503,"WORKING_CAPITAL_5_YEAR_GROWTH","FQ1 2015","FQ1 2015","Currency=INR","Period=FQ","BEST_FPERIOD_OVERRIDE=FQ","FILING_STATUS=OR","EQY_CONSOLIDATED=Y","Sort=A","Dates=H","DateFormat=P","Fill=—","Direction=H","UseDPDF=Y")</f>
        <v>#NAME?</v>
      </c>
      <c r="AY509" s="1" t="e">
        <f ca="1">_xll.BDH($C$503,"ACCOUNTS_PAYABLE_5_YEAR_GROWTH","FQ1 2015","FQ1 2015","Currency=INR","Period=FQ","BEST_FPERIOD_OVERRIDE=FQ","FILING_STATUS=OR","EQY_CONSOLIDATED=Y","Sort=A","Dates=H","DateFormat=P","Fill=—","Direction=H","UseDPDF=Y")</f>
        <v>#NAME?</v>
      </c>
      <c r="AZ509" s="1" t="e">
        <f ca="1">_xll.BDH($C$503,"SHORT_TERM_DEBT_5_YEAR_GROWTH","FQ1 2015","FQ1 2015","Currency=INR","Period=FQ","BEST_FPERIOD_OVERRIDE=FQ","FILING_STATUS=OR","EQY_CONSOLIDATED=Y","Sort=A","Dates=H","DateFormat=P","Fill=—","Direction=H","UseDPDF=Y")</f>
        <v>#NAME?</v>
      </c>
      <c r="BA509" s="1" t="e">
        <f ca="1">_xll.BDH($C$503,"TOTAL_DEBT_5_YEAR_GROWTH","FQ1 2015","FQ1 2015","Currency=INR","Period=FQ","BEST_FPERIOD_OVERRIDE=FQ","FILING_STATUS=OR","EQY_CONSOLIDATED=Y","Sort=A","Dates=H","DateFormat=P","Fill=—","Direction=H","UseDPDF=Y")</f>
        <v>#NAME?</v>
      </c>
      <c r="BB509" s="1" t="e">
        <f ca="1">_xll.BDH($C$503,"GEO_GROW_TOT_SHRHLDR_EQY","FQ1 2015","FQ1 2015","Currency=INR","Period=FQ","BEST_FPERIOD_OVERRIDE=FQ","FILING_STATUS=OR","EQY_CONSOLIDATED=Y","Sort=A","Dates=H","DateFormat=P","Fill=—","Direction=H","UseDPDF=Y")</f>
        <v>#NAME?</v>
      </c>
      <c r="BC509" s="1" t="e">
        <f ca="1">_xll.BDH($C$503,"TOTAL_CAPITAL_5_YEAR_GROWTH","FQ1 2015","FQ1 2015","Currency=INR","Period=FQ","BEST_FPERIOD_OVERRIDE=FQ","FILING_STATUS=OR","EQY_CONSOLIDATED=Y","Sort=A","Dates=H","DateFormat=P","Fill=—","Direction=H","UseDPDF=Y")</f>
        <v>#NAME?</v>
      </c>
      <c r="BD509" s="1" t="e">
        <f ca="1">_xll.BDH($C$503,"GEO_GROW_BOOK_VAL","FQ1 2015","FQ1 2015","Currency=INR","Period=FQ","BEST_FPERIOD_OVERRIDE=FQ","FILING_STATUS=OR","EQY_CONSOLIDATED=Y","Sort=A","Dates=H","DateFormat=P","Fill=—","Direction=H","UseDPDF=Y")</f>
        <v>#NAME?</v>
      </c>
      <c r="BE509" s="1" t="e">
        <f ca="1">_xll.BDH($C$503,"GEO_GROW_CASH_OPER_ACT","FQ1 2015","FQ1 2015","Currency=INR","Period=FQ","BEST_FPERIOD_OVERRIDE=FQ","FILING_STATUS=OR","EQY_CONSOLIDATED=Y","Sort=A","Dates=H","DateFormat=P","Fill=—","Direction=H","UseDPDF=Y")</f>
        <v>#NAME?</v>
      </c>
      <c r="BF509" s="1" t="e">
        <f ca="1">_xll.BDH($C$503,"REVENUE_SEQUENTIAL_GROWTH","FQ1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09" s="1" t="e">
        <f ca="1">_xll.BDH($C$503,"EBITDA_SEQUENTIAL_GROWTH","FQ1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09" s="1" t="e">
        <f ca="1">_xll.BDH($C$503,"OPERATING_INCOME_SEQ_GROWTH","FQ1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09" s="1" t="e">
        <f ca="1">_xll.BDH($C$503,"NET_INCOME_TO_COMMON_SEQ_GROWTH","FQ1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09" s="1" t="e">
        <f ca="1">_xll.BDH($C$503,"EPS_DILUTED_SEQUENTIAL_GROWTH","FQ1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09" s="1" t="e">
        <f ca="1">_xll.BDH($C$503,"DPS_SEQUENTIAL_GROWTH","FQ1 2015","FQ1 2015","Currency=INR","Period=FQ","BEST_FPERIOD_OVERRIDE=FQ","FILING_STATUS=OR","EQY_CONSOLIDATED=Y","Sort=A","Dates=H","DateFormat=P","Fill=—","Direction=H","UseDPDF=Y")</f>
        <v>#NAME?</v>
      </c>
      <c r="BL509" s="1" t="e">
        <f ca="1">_xll.BDH($C$503,"ACCOUNTS_RECEIVABLE_SEQ_GROWTH","FQ1 2015","FQ1 2015","Currency=INR","Period=FQ","BEST_FPERIOD_OVERRIDE=FQ","FILING_STATUS=OR","EQY_CONSOLIDATED=Y","Sort=A","Dates=H","DateFormat=P","Fill=—","Direction=H","UseDPDF=Y")</f>
        <v>#NAME?</v>
      </c>
      <c r="BM509" s="1" t="e">
        <f ca="1">_xll.BDH($C$503,"INVENTORY_SEQUENTIAL_GROWTH","FQ1 2015","FQ1 2015","Currency=INR","Period=FQ","BEST_FPERIOD_OVERRIDE=FQ","FILING_STATUS=OR","EQY_CONSOLIDATED=Y","Sort=A","Dates=H","DateFormat=P","Fill=—","Direction=H","UseDPDF=Y")</f>
        <v>#NAME?</v>
      </c>
      <c r="BN509" s="1" t="e">
        <f ca="1">_xll.BDH($C$503,"FIXED_ASSETS_SEQUENTIAL_GROWTH","FQ1 2015","FQ1 2015","Currency=INR","Period=FQ","BEST_FPERIOD_OVERRIDE=FQ","FILING_STATUS=OR","EQY_CONSOLIDATED=Y","Sort=A","Dates=H","DateFormat=P","Fill=—","Direction=H","UseDPDF=Y")</f>
        <v>#NAME?</v>
      </c>
      <c r="BO509" s="1" t="e">
        <f ca="1">_xll.BDH($C$503,"TOTAL_ASSETS_SEQUENTIAL_GROWTH","FQ1 2015","FQ1 2015","Currency=INR","Period=FQ","BEST_FPERIOD_OVERRIDE=FQ","FILING_STATUS=OR","EQY_CONSOLIDATED=Y","Sort=A","Dates=H","DateFormat=P","Fill=—","Direction=H","UseDPDF=Y")</f>
        <v>#NAME?</v>
      </c>
      <c r="BP509" s="1" t="e">
        <f ca="1">_xll.BDH($C$503,"MODIFIED_WORKING_CPTL_SEQ_GRWTH","FQ1 2015","FQ1 2015","Currency=INR","Period=FQ","BEST_FPERIOD_OVERRIDE=FQ","FILING_STATUS=OR","EQY_CONSOLIDATED=Y","Sort=A","Dates=H","DateFormat=P","Fill=—","Direction=H","UseDPDF=Y")</f>
        <v>#NAME?</v>
      </c>
      <c r="BQ509" s="1" t="e">
        <f ca="1">_xll.BDH($C$503,"WORKING_CAPITAL_SEQ_GROWTH","FQ1 2015","FQ1 2015","Currency=INR","Period=FQ","BEST_FPERIOD_OVERRIDE=FQ","FILING_STATUS=OR","EQY_CONSOLIDATED=Y","Sort=A","Dates=H","DateFormat=P","Fill=—","Direction=H","UseDPDF=Y")</f>
        <v>#NAME?</v>
      </c>
      <c r="BR509" s="1" t="e">
        <f ca="1">_xll.BDH($C$503,"ACCOUNTS_PAYABLE_SEQ_GROWTH","FQ1 2015","FQ1 2015","Currency=INR","Period=FQ","BEST_FPERIOD_OVERRIDE=FQ","FILING_STATUS=OR","EQY_CONSOLIDATED=Y","Sort=A","Dates=H","DateFormat=P","Fill=—","Direction=H","UseDPDF=Y")</f>
        <v>#NAME?</v>
      </c>
      <c r="BS509" s="1" t="e">
        <f ca="1">_xll.BDH($C$503,"ST_DEBT_SEQUENTIAL_GROWTH","FQ1 2015","FQ1 2015","Currency=INR","Period=FQ","BEST_FPERIOD_OVERRIDE=FQ","FILING_STATUS=OR","EQY_CONSOLIDATED=Y","Sort=A","Dates=H","DateFormat=P","Fill=—","Direction=H","UseDPDF=Y")</f>
        <v>#NAME?</v>
      </c>
      <c r="BT509" s="1" t="e">
        <f ca="1">_xll.BDH($C$503,"TOTAL_DEBT_SEQUENTIAL_GROWTH","FQ1 2015","FQ1 2015","Currency=INR","Period=FQ","BEST_FPERIOD_OVERRIDE=FQ","FILING_STATUS=OR","EQY_CONSOLIDATED=Y","Sort=A","Dates=H","DateFormat=P","Fill=—","Direction=H","UseDPDF=Y")</f>
        <v>#NAME?</v>
      </c>
      <c r="BU509" s="1" t="e">
        <f ca="1">_xll.BDH($C$503,"TOTAL_EQUITY_SEQUENTIAL_GROWTH","FQ1 2015","FQ1 2015","Currency=INR","Period=FQ","BEST_FPERIOD_OVERRIDE=FQ","FILING_STATUS=OR","EQY_CONSOLIDATED=Y","Sort=A","Dates=H","DateFormat=P","Fill=—","Direction=H","UseDPDF=Y")</f>
        <v>#NAME?</v>
      </c>
      <c r="BV509" s="1" t="e">
        <f ca="1">_xll.BDH($C$503,"TOTAL_CAPITAL_SEQUENTIAL_GROWTH","FQ1 2015","FQ1 2015","Currency=INR","Period=FQ","BEST_FPERIOD_OVERRIDE=FQ","FILING_STATUS=OR","EQY_CONSOLIDATED=Y","Sort=A","Dates=H","DateFormat=P","Fill=—","Direction=H","UseDPDF=Y")</f>
        <v>#NAME?</v>
      </c>
      <c r="BW509" s="1" t="e">
        <f ca="1">_xll.BDH($C$503,"BPS_SEQUENTIAL_GROWTH","FQ1 2015","FQ1 2015","Currency=INR","Period=FQ","BEST_FPERIOD_OVERRIDE=FQ","FILING_STATUS=OR","EQY_CONSOLIDATED=Y","Sort=A","Dates=H","DateFormat=P","Fill=—","Direction=H","UseDPDF=Y")</f>
        <v>#NAME?</v>
      </c>
      <c r="BX509" s="1" t="e">
        <f ca="1">_xll.BDH($C$503,"CFO_SEQUENTIAL_GROWTH","FQ1 2015","FQ1 2015","Currency=INR","Period=FQ","BEST_FPERIOD_OVERRIDE=FQ","FILING_STATUS=OR","EQY_CONSOLIDATED=Y","Sort=A","Dates=H","DateFormat=P","Fill=—","Direction=H","UseDPDF=Y")</f>
        <v>#NAME?</v>
      </c>
      <c r="BY509" s="2" t="e">
        <f ca="1">_xll.BDH($C$503,"SHORT_AND_LONG_TERM_DEBT","FQ1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09" s="2" t="e">
        <f ca="1">_xll.BDH($C$503,"BS_ST_BORROW","FQ1 2015","FQ1 2015","Currency=INR","Period=FQ","BEST_FPERIOD_OVERRIDE=FQ","FILING_STATUS=OR","EQY_CONSOLIDATED=Y","SCALING_FORMAT=MLN","Sort=A","Dates=H","DateFormat=P","Fill=—","Direction=H","UseDPDF=Y")</f>
        <v>#NAME?</v>
      </c>
      <c r="CA509" s="2" t="e">
        <f ca="1">_xll.BDH($C$503,"BS_LT_BORROW","FQ1 2015","FQ1 2015","Currency=INR","Period=FQ","BEST_FPERIOD_OVERRIDE=FQ","FILING_STATUS=OR","EQY_CONSOLIDATED=Y","SCALING_FORMAT=MLN","Sort=A","Dates=H","DateFormat=P","Fill=—","Direction=H","UseDPDF=Y")</f>
        <v>#NAME?</v>
      </c>
      <c r="CB509" s="1" t="e">
        <f ca="1">_xll.BDH($C$503,"TOT_DEBT_TO_EBITDA","FQ1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09" s="1" t="e">
        <f ca="1">_xll.BDH($C$503,"NET_DEBT_TO_EBITDA","FQ1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09" s="1" t="e">
        <f ca="1">_xll.BDH($C$503,"TOTAL_DEBT_TO_EBIT","FQ1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09" s="1" t="e">
        <f ca="1">_xll.BDH($C$503,"NET_DEBT_TO_EBIT","FQ1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509" s="1" t="e">
        <f ca="1">_xll.BDH($C$503,"EBITDA_TO_INTEREST_EXPN","FQ1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09" s="1" t="e">
        <f ca="1">_xll.BDH($C$503,"COM_EQY_TO_TOT_ASSET","FQ1 2015","FQ1 2015","Currency=INR","Period=FQ","BEST_FPERIOD_OVERRIDE=FQ","FILING_STATUS=OR","EQY_CONSOLIDATED=Y","Sort=A","Dates=H","DateFormat=P","Fill=—","Direction=H","UseDPDF=Y")</f>
        <v>#NAME?</v>
      </c>
      <c r="CH509" s="1" t="e">
        <f ca="1">_xll.BDH($C$503,"LT_DEBT_TO_TOT_EQY","FQ1 2015","FQ1 2015","Currency=INR","Period=FQ","BEST_FPERIOD_OVERRIDE=FQ","FILING_STATUS=OR","EQY_CONSOLIDATED=Y","Sort=A","Dates=H","DateFormat=P","Fill=—","Direction=H","UseDPDF=Y")</f>
        <v>#NAME?</v>
      </c>
      <c r="CI509" s="1" t="e">
        <f ca="1">_xll.BDH($C$503,"LT_DEBT_TO_TOT_CAP","FQ1 2015","FQ1 2015","Currency=INR","Period=FQ","BEST_FPERIOD_OVERRIDE=FQ","FILING_STATUS=OR","EQY_CONSOLIDATED=Y","Sort=A","Dates=H","DateFormat=P","Fill=—","Direction=H","UseDPDF=Y")</f>
        <v>#NAME?</v>
      </c>
      <c r="CJ509" s="1" t="e">
        <f ca="1">_xll.BDH($C$503,"LT_DEBT_TO_TOT_ASSET","FQ1 2015","FQ1 2015","Currency=INR","Period=FQ","BEST_FPERIOD_OVERRIDE=FQ","FILING_STATUS=OR","EQY_CONSOLIDATED=Y","Sort=A","Dates=H","DateFormat=P","Fill=—","Direction=H","UseDPDF=Y")</f>
        <v>#NAME?</v>
      </c>
      <c r="CK509" s="1" t="e">
        <f ca="1">_xll.BDH($C$503,"TOT_DEBT_TO_TOT_EQY","FQ1 2015","FQ1 2015","Currency=INR","Period=FQ","BEST_FPERIOD_OVERRIDE=FQ","FILING_STATUS=OR","EQY_CONSOLIDATED=Y","Sort=A","Dates=H","DateFormat=P","Fill=—","Direction=H","UseDPDF=Y")</f>
        <v>#NAME?</v>
      </c>
      <c r="CL509" s="1" t="e">
        <f ca="1">_xll.BDH($C$503,"TOT_DEBT_TO_TOT_CAP","FQ1 2015","FQ1 2015","Currency=INR","Period=FQ","BEST_FPERIOD_OVERRIDE=FQ","FILING_STATUS=OR","EQY_CONSOLIDATED=Y","Sort=A","Dates=H","DateFormat=P","Fill=—","Direction=H","UseDPDF=Y")</f>
        <v>#NAME?</v>
      </c>
      <c r="CM509" s="1" t="e">
        <f ca="1">_xll.BDH($C$503,"TOT_DEBT_TO_TOT_ASSET","FQ1 2015","FQ1 2015","Currency=INR","Period=FQ","BEST_FPERIOD_OVERRIDE=FQ","FILING_STATUS=OR","EQY_CONSOLIDATED=Y","Sort=A","Dates=H","DateFormat=P","Fill=—","Direction=H","UseDPDF=Y")</f>
        <v>#NAME?</v>
      </c>
      <c r="CN509" s="1" t="e">
        <f ca="1">_xll.BDH($C$503,"NET_DEBT_TO_SHRHLDR_EQTY","FQ1 2015","FQ1 2015","Currency=INR","Period=FQ","BEST_FPERIOD_OVERRIDE=FQ","FILING_STATUS=OR","EQY_CONSOLIDATED=Y","Sort=A","Dates=H","DateFormat=P","Fill=—","Direction=H","UseDPDF=Y")</f>
        <v>#NAME?</v>
      </c>
      <c r="CO509" s="1" t="e">
        <f ca="1">_xll.BDH($C$503,"NET_DEBT_%_CAPITAL","FQ1 2015","FQ1 2015","Currency=INR","Period=FQ","BEST_FPERIOD_OVERRIDE=FQ","FILING_STATUS=OR","EQY_CONSOLIDATED=Y","Sort=A","Dates=H","DateFormat=P","Fill=—","Direction=H","UseDPDF=Y")</f>
        <v>#NAME?</v>
      </c>
      <c r="CP509" s="2" t="e">
        <f ca="1">_xll.BDH($C$503,"EBITDA","FQ1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09" s="2" t="e">
        <f ca="1">_xll.BDH($C$503,"EBITDA_AFTER_CAPEX","FQ1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09" s="2" t="e">
        <f ca="1">_xll.BDH($C$503,"IS_OPER_INC","FQ1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09" s="1" t="e">
        <f ca="1">_xll.BDH($C$503,"CASH_RATIO","FQ1 2015","FQ1 2015","Currency=INR","Period=FQ","BEST_FPERIOD_OVERRIDE=FQ","FILING_STATUS=OR","EQY_CONSOLIDATED=Y","Sort=A","Dates=H","DateFormat=P","Fill=—","Direction=H","UseDPDF=Y")</f>
        <v>#NAME?</v>
      </c>
      <c r="CT509" s="1" t="e">
        <f ca="1">_xll.BDH($C$503,"CUR_RATIO","FQ1 2015","FQ1 2015","Currency=INR","Period=FQ","BEST_FPERIOD_OVERRIDE=FQ","FILING_STATUS=OR","EQY_CONSOLIDATED=Y","Sort=A","Dates=H","DateFormat=P","Fill=—","Direction=H","UseDPDF=Y")</f>
        <v>#NAME?</v>
      </c>
      <c r="CU509" s="1" t="e">
        <f ca="1">_xll.BDH($C$503,"QUICK_RATIO","FQ1 2015","FQ1 2015","Currency=INR","Period=FQ","BEST_FPERIOD_OVERRIDE=FQ","FILING_STATUS=OR","EQY_CONSOLIDATED=Y","Sort=A","Dates=H","DateFormat=P","Fill=—","Direction=H","UseDPDF=Y")</f>
        <v>#NAME?</v>
      </c>
      <c r="CV509" s="1" t="e">
        <f ca="1">_xll.BDH($C$503,"ALTMAN_Z_SCORE","FQ1 2015","FQ1 2015","Currency=INR","Period=FQ","BEST_FPERIOD_OVERRIDE=FQ","FILING_STATUS=OR","EQY_CONSOLIDATED=Y","Sort=A","Dates=H","DateFormat=P","Fill=—","Direction=H","UseDPDF=Y")</f>
        <v>#NAME?</v>
      </c>
      <c r="CW509" s="3" t="e">
        <f ca="1">_xll.BDH($C$503,"ACCT_RCV_TURN","FQ1 2015","FQ1 2015","Currency=INR","Period=FQ","BEST_FPERIOD_OVERRIDE=FQ","FILING_STATUS=OR","EQY_CONSOLIDATED=Y","FA_ADJUSTED=GAAP","Sort=A","Dates=H","DateFormat=P","Fill=—","Direction=H","UseDPDF=Y")</f>
        <v>#NAME?</v>
      </c>
      <c r="CX509" s="1" t="e">
        <f ca="1">_xll.BDH($C$503,"ACCT_RCV_DAYS","FQ1 2015","FQ1 2015","Currency=INR","Period=FQ","BEST_FPERIOD_OVERRIDE=FQ","FILING_STATUS=OR","EQY_CONSOLIDATED=Y","FA_ADJUSTED=GAAP","Sort=A","Dates=H","DateFormat=P","Fill=—","Direction=H","UseDPDF=Y")</f>
        <v>#NAME?</v>
      </c>
      <c r="CY509" s="3" t="e">
        <f ca="1">_xll.BDH($C$503,"INVENT_TURN","FQ1 2015","FQ1 2015","Currency=INR","Period=FQ","BEST_FPERIOD_OVERRIDE=FQ","FILING_STATUS=OR","EQY_CONSOLIDATED=Y","FA_ADJUSTED=GAAP","Sort=A","Dates=H","DateFormat=P","Fill=—","Direction=H","UseDPDF=Y")</f>
        <v>#NAME?</v>
      </c>
      <c r="CZ509" s="1" t="e">
        <f ca="1">_xll.BDH($C$503,"INVENT_DAYS","FQ1 2015","FQ1 2015","Currency=INR","Period=FQ","BEST_FPERIOD_OVERRIDE=FQ","FILING_STATUS=OR","EQY_CONSOLIDATED=Y","FA_ADJUSTED=GAAP","Sort=A","Dates=H","DateFormat=P","Fill=—","Direction=H","UseDPDF=Y")</f>
        <v>#NAME?</v>
      </c>
      <c r="DA509" s="3" t="e">
        <f ca="1">_xll.BDH($C$503,"ACCOUNTS_PAYABLE_TURNOVER","FQ1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09" s="1" t="e">
        <f ca="1">_xll.BDH($C$503,"ACCOUNTS_PAYABLE_TURNOVER_DAYS","FQ1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09" s="3" t="e">
        <f ca="1">_xll.BDH($C$503,"CASH_CONVERSION_CYCLE","FQ1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09" s="3" t="e">
        <f ca="1">_xll.BDH($C$503,"INV_TO_CASH_DAYS","FQ1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509" s="4" t="e">
        <f ca="1">_xll.BDH($C$503,"BS_INVENTORIES","FQ1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509" s="2" t="e">
        <f ca="1">_xll.BDH($C$503,"INVTRY_RAW_MATERIALS","FQ1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09" s="2" t="e">
        <f ca="1">_xll.BDH($C$503,"INVTRY_IN_PROGRESS","FQ1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09" s="2" t="e">
        <f ca="1">_xll.BDH($C$503,"INVTRY_FINISHED_GOODS","FQ1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09" s="2" t="e">
        <f ca="1">_xll.BDH($C$503,"BS_OTHER_INV","FQ1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10" spans="1:113" x14ac:dyDescent="0.3">
      <c r="A510" s="6"/>
      <c r="B510" s="6"/>
      <c r="C510" s="6"/>
      <c r="D510" s="6"/>
      <c r="E510" t="s">
        <v>5</v>
      </c>
      <c r="F510" t="e">
        <f ca="1">_xll.BDH($C$503,"RETURN_COM_EQY","FQ2 2015","FQ2 2015","Currency=INR","Period=FQ","BEST_FPERIOD_OVERRIDE=FQ","FILING_STATUS=OR","EQY_CONSOLIDATED=Y","FA_ADJUSTED=GAAP","Sort=A","Dates=H","DateFormat=P","Fill=—","Direction=H","UseDPDF=Y")</f>
        <v>#NAME?</v>
      </c>
      <c r="G510" t="e">
        <f ca="1">_xll.BDH($C$503,"RETURN_ON_ASSET","FQ2 2015","FQ2 2015","Currency=INR","Period=FQ","BEST_FPERIOD_OVERRIDE=FQ","FILING_STATUS=OR","EQY_CONSOLIDATED=Y","FA_ADJUSTED=GAAP","Sort=A","Dates=H","DateFormat=P","Fill=—","Direction=H","UseDPDF=Y")</f>
        <v>#NAME?</v>
      </c>
      <c r="H510" t="e">
        <f ca="1">_xll.BDH($C$503,"RETURN_ON_CAP","FQ2 2015","FQ2 2015","Currency=INR","Period=FQ","BEST_FPERIOD_OVERRIDE=FQ","FILING_STATUS=OR","EQY_CONSOLIDATED=Y","FA_ADJUSTED=GAAP","Sort=A","Dates=H","DateFormat=P","Fill=—","Direction=H","UseDPDF=Y")</f>
        <v>#NAME?</v>
      </c>
      <c r="I510" t="e">
        <f ca="1">_xll.BDH($C$503,"RETURN_ON_INV_CAPITAL","FQ2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10" t="e">
        <f ca="1">_xll.BDH($C$503,"EBITDA_TO_REVENUE","FQ2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510" t="e">
        <f ca="1">_xll.BDH($C$503,"OPER_MARGIN","FQ2 2015","FQ2 2015","Currency=INR","Period=FQ","BEST_FPERIOD_OVERRIDE=FQ","FILING_STATUS=OR","EQY_CONSOLIDATED=Y","FA_ADJUSTED=GAAP","Sort=A","Dates=H","DateFormat=P","Fill=—","Direction=H","UseDPDF=Y")</f>
        <v>#NAME?</v>
      </c>
      <c r="L510" t="e">
        <f ca="1">_xll.BDH($C$503,"INCREMENTAL_OPERATING_MARGIN","FQ2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10" t="e">
        <f ca="1">_xll.BDH($C$503,"PRETAX_INC_TO_NET_SALES","FQ2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10" t="e">
        <f ca="1">_xll.BDH($C$503,"INC_BEF_XO_ITEMS_TO_NET_SALES","FQ2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10" t="e">
        <f ca="1">_xll.BDH($C$503,"PROF_MARGIN","FQ2 2015","FQ2 2015","Currency=INR","Period=FQ","BEST_FPERIOD_OVERRIDE=FQ","FILING_STATUS=OR","EQY_CONSOLIDATED=Y","FA_ADJUSTED=GAAP","Sort=A","Dates=H","DateFormat=P","Fill=—","Direction=H","UseDPDF=Y")</f>
        <v>#NAME?</v>
      </c>
      <c r="P510" t="e">
        <f ca="1">_xll.BDH($C$503,"NET_INCOME_TO_COMMON_MARGIN","FQ2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10" t="e">
        <f ca="1">_xll.BDH($C$503,"EFF_TAX_RATE","FQ2 2015","FQ2 2015","Currency=INR","Period=FQ","BEST_FPERIOD_OVERRIDE=FQ","FILING_STATUS=OR","EQY_CONSOLIDATED=Y","FA_ADJUSTED=GAAP","Sort=A","Dates=H","DateFormat=P","Fill=—","Direction=H","UseDPDF=Y")</f>
        <v>#NAME?</v>
      </c>
      <c r="R510" t="e">
        <f ca="1">_xll.BDH($C$503,"DVD_PAYOUT_RATIO","FQ2 2015","FQ2 2015","Currency=INR","Period=FQ","BEST_FPERIOD_OVERRIDE=FQ","FILING_STATUS=OR","EQY_CONSOLIDATED=Y","FA_ADJUSTED=GAAP","Sort=A","Dates=H","DateFormat=P","Fill=—","Direction=H","UseDPDF=Y")</f>
        <v>#NAME?</v>
      </c>
      <c r="S510" t="e">
        <f ca="1">_xll.BDH($C$503,"SUSTAIN_GROWTH_RT","FQ2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510" s="1" t="e">
        <f ca="1">_xll.BDH($C$503,"SALES_GROWTH","FQ2 2015","FQ2 2015","Currency=INR","Period=FQ","BEST_FPERIOD_OVERRIDE=FQ","FILING_STATUS=OR","EQY_CONSOLIDATED=Y","FA_ADJUSTED=GAAP","Sort=A","Dates=H","DateFormat=P","Fill=—","Direction=H","UseDPDF=Y")</f>
        <v>#NAME?</v>
      </c>
      <c r="U510" s="1" t="e">
        <f ca="1">_xll.BDH($C$503,"EBITDA_GROWTH","FQ2 2015","FQ2 2015","Currency=INR","Period=FQ","BEST_FPERIOD_OVERRIDE=FQ","FILING_STATUS=OR","EQY_CONSOLIDATED=Y","FA_ADJUSTED=GAAP","Sort=A","Dates=H","DateFormat=P","Fill=—","Direction=H","UseDPDF=Y")</f>
        <v>#NAME?</v>
      </c>
      <c r="V510" s="1" t="e">
        <f ca="1">_xll.BDH($C$503,"OPER_INC_GROWTH","FQ2 2015","FQ2 2015","Currency=INR","Period=FQ","BEST_FPERIOD_OVERRIDE=FQ","FILING_STATUS=OR","EQY_CONSOLIDATED=Y","FA_ADJUSTED=GAAP","Sort=A","Dates=H","DateFormat=P","Fill=—","Direction=H","UseDPDF=Y")</f>
        <v>#NAME?</v>
      </c>
      <c r="W510" s="1" t="e">
        <f ca="1">_xll.BDH($C$503,"EARN_FOR_COM_GROWTH","FQ2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10" s="1" t="e">
        <f ca="1">_xll.BDH($C$503,"DILUTED_EPS_AFT_XO_ITEMS_GROWTH","FQ2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10" s="1" t="e">
        <f ca="1">_xll.BDH($C$503,"DIVIDEND_PER_SHARE_1_YEAR_GROWTH","FQ2 2015","FQ2 2015","Currency=INR","Period=FQ","BEST_FPERIOD_OVERRIDE=FQ","FILING_STATUS=OR","EQY_CONSOLIDATED=Y","Sort=A","Dates=H","DateFormat=P","Fill=—","Direction=H","UseDPDF=Y")</f>
        <v>#NAME?</v>
      </c>
      <c r="Z510" s="1" t="e">
        <f ca="1">_xll.BDH($C$503,"ACCOUNTS_RECEIVABLE_GROWTH","FQ2 2015","FQ2 2015","Currency=INR","Period=FQ","BEST_FPERIOD_OVERRIDE=FQ","FILING_STATUS=OR","EQY_CONSOLIDATED=Y","Sort=A","Dates=H","DateFormat=P","Fill=—","Direction=H","UseDPDF=Y")</f>
        <v>#NAME?</v>
      </c>
      <c r="AA510" s="1" t="e">
        <f ca="1">_xll.BDH($C$503,"INVENTORY_GROWTH","FQ2 2015","FQ2 2015","Currency=INR","Period=FQ","BEST_FPERIOD_OVERRIDE=FQ","FILING_STATUS=OR","EQY_CONSOLIDATED=Y","Sort=A","Dates=H","DateFormat=P","Fill=—","Direction=H","UseDPDF=Y")</f>
        <v>#NAME?</v>
      </c>
      <c r="AB510" s="1" t="e">
        <f ca="1">_xll.BDH($C$503,"NET_FIXED_ASSETS_1_YEAR_GROWTH","FQ2 2015","FQ2 2015","Currency=INR","Period=FQ","BEST_FPERIOD_OVERRIDE=FQ","FILING_STATUS=OR","EQY_CONSOLIDATED=Y","Sort=A","Dates=H","DateFormat=P","Fill=—","Direction=H","UseDPDF=Y")</f>
        <v>#NAME?</v>
      </c>
      <c r="AC510" s="1" t="e">
        <f ca="1">_xll.BDH($C$503,"ASSET_GROWTH","FQ2 2015","FQ2 2015","Currency=INR","Period=FQ","BEST_FPERIOD_OVERRIDE=FQ","FILING_STATUS=OR","EQY_CONSOLIDATED=Y","Sort=A","Dates=H","DateFormat=P","Fill=—","Direction=H","UseDPDF=Y")</f>
        <v>#NAME?</v>
      </c>
      <c r="AD510" s="1" t="e">
        <f ca="1">_xll.BDH($C$503,"MODIFIED_WORK_CAP_GROWTH","FQ2 2015","FQ2 2015","Currency=INR","Period=FQ","BEST_FPERIOD_OVERRIDE=FQ","FILING_STATUS=OR","EQY_CONSOLIDATED=Y","Sort=A","Dates=H","DateFormat=P","Fill=—","Direction=H","UseDPDF=Y")</f>
        <v>#NAME?</v>
      </c>
      <c r="AE510" s="1" t="e">
        <f ca="1">_xll.BDH($C$503,"WORK_CAP_GROWTH","FQ2 2015","FQ2 2015","Currency=INR","Period=FQ","BEST_FPERIOD_OVERRIDE=FQ","FILING_STATUS=OR","EQY_CONSOLIDATED=Y","Sort=A","Dates=H","DateFormat=P","Fill=—","Direction=H","UseDPDF=Y")</f>
        <v>#NAME?</v>
      </c>
      <c r="AF510" s="1" t="e">
        <f ca="1">_xll.BDH($C$503,"ACCOUNTS_PAYABLE_GROWTH_1YR","FQ2 2015","FQ2 2015","Currency=INR","Period=FQ","BEST_FPERIOD_OVERRIDE=FQ","FILING_STATUS=OR","EQY_CONSOLIDATED=Y","Sort=A","Dates=H","DateFormat=P","Fill=—","Direction=H","UseDPDF=Y")</f>
        <v>#NAME?</v>
      </c>
      <c r="AG510" s="1" t="e">
        <f ca="1">_xll.BDH($C$503,"SHORT_TERM_DEBT_1_YEAR_GROWTH","FQ2 2015","FQ2 2015","Currency=INR","Period=FQ","BEST_FPERIOD_OVERRIDE=FQ","FILING_STATUS=OR","EQY_CONSOLIDATED=Y","Sort=A","Dates=H","DateFormat=P","Fill=—","Direction=H","UseDPDF=Y")</f>
        <v>#NAME?</v>
      </c>
      <c r="AH510" s="1" t="e">
        <f ca="1">_xll.BDH($C$503,"TOTAL_DEBT_1_YEAR_GROWTH","FQ2 2015","FQ2 2015","Currency=INR","Period=FQ","BEST_FPERIOD_OVERRIDE=FQ","FILING_STATUS=OR","EQY_CONSOLIDATED=Y","Sort=A","Dates=H","DateFormat=P","Fill=—","Direction=H","UseDPDF=Y")</f>
        <v>#NAME?</v>
      </c>
      <c r="AI510" s="1" t="e">
        <f ca="1">_xll.BDH($C$503,"TOTAL_EQUITY_1_YEAR_GROWTH","FQ2 2015","FQ2 2015","Currency=INR","Period=FQ","BEST_FPERIOD_OVERRIDE=FQ","FILING_STATUS=OR","EQY_CONSOLIDATED=Y","Sort=A","Dates=H","DateFormat=P","Fill=—","Direction=H","UseDPDF=Y")</f>
        <v>#NAME?</v>
      </c>
      <c r="AJ510" s="1" t="e">
        <f ca="1">_xll.BDH($C$503,"GROWTH_IN_CAP","FQ2 2015","FQ2 2015","Currency=INR","Period=FQ","BEST_FPERIOD_OVERRIDE=FQ","FILING_STATUS=OR","EQY_CONSOLIDATED=Y","Sort=A","Dates=H","DateFormat=P","Fill=—","Direction=H","UseDPDF=Y")</f>
        <v>#NAME?</v>
      </c>
      <c r="AK510" s="1" t="e">
        <f ca="1">_xll.BDH($C$503,"BVPS_GROWTH","FQ2 2015","FQ2 2015","Currency=INR","Period=FQ","BEST_FPERIOD_OVERRIDE=FQ","FILING_STATUS=OR","EQY_CONSOLIDATED=Y","Sort=A","Dates=H","DateFormat=P","Fill=—","Direction=H","UseDPDF=Y")</f>
        <v>#NAME?</v>
      </c>
      <c r="AL510" s="1" t="e">
        <f ca="1">_xll.BDH($C$503,"CASH_FLOW_GROWTH","FQ2 2015","FQ2 2015","Currency=INR","Period=FQ","BEST_FPERIOD_OVERRIDE=FQ","FILING_STATUS=OR","EQY_CONSOLIDATED=Y","Sort=A","Dates=H","DateFormat=P","Fill=—","Direction=H","UseDPDF=Y")</f>
        <v>#NAME?</v>
      </c>
      <c r="AM510" s="1" t="e">
        <f ca="1">_xll.BDH($C$503,"GEO_GROW_NET_SALES","FQ2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10" s="1" t="e">
        <f ca="1">_xll.BDH($C$503,"GEO_GROW_EBITDA","FQ2 2015","FQ2 2015","Currency=INR","Period=FQ","BEST_FPERIOD_OVERRIDE=FQ","FILING_STATUS=OR","EQY_CONSOLIDATED=Y","FA_ADJUSTED=GAAP","Sort=A","Dates=H","DateFormat=P","Fill=—","Direction=H","UseDPDF=Y")</f>
        <v>#NAME?</v>
      </c>
      <c r="AO510" s="1" t="e">
        <f ca="1">_xll.BDH($C$503,"GEO_GROW_OPER_INC","FQ2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10" s="1" t="e">
        <f ca="1">_xll.BDH($C$503,"NET_INCOME_TO_COMMON_5_YR_GROWTH","FQ2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10" s="1" t="e">
        <f ca="1">_xll.BDH($C$503,"5Y_GEO_GROWTH_DILUTED_EPS","FQ2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10" s="1" t="e">
        <f ca="1">_xll.BDH($C$503,"GEO_GROW_DVD_PER_SH","FQ2 2015","FQ2 2015","Currency=INR","Period=FQ","BEST_FPERIOD_OVERRIDE=FQ","FILING_STATUS=OR","EQY_CONSOLIDATED=Y","Sort=A","Dates=H","DateFormat=P","Fill=—","Direction=H","UseDPDF=Y")</f>
        <v>#NAME?</v>
      </c>
      <c r="AS510" s="1" t="e">
        <f ca="1">_xll.BDH($C$503,"ACCOUNTS_RECEIVABLE_5_YR_GROWTH","FQ2 2015","FQ2 2015","Currency=INR","Period=FQ","BEST_FPERIOD_OVERRIDE=FQ","FILING_STATUS=OR","EQY_CONSOLIDATED=Y","Sort=A","Dates=H","DateFormat=P","Fill=—","Direction=H","UseDPDF=Y")</f>
        <v>#NAME?</v>
      </c>
      <c r="AT510" s="1" t="e">
        <f ca="1">_xll.BDH($C$503,"INVENTORY_5_YEAR_GROWTH","FQ2 2015","FQ2 2015","Currency=INR","Period=FQ","BEST_FPERIOD_OVERRIDE=FQ","FILING_STATUS=OR","EQY_CONSOLIDATED=Y","Sort=A","Dates=H","DateFormat=P","Fill=—","Direction=H","UseDPDF=Y")</f>
        <v>#NAME?</v>
      </c>
      <c r="AU510" s="1" t="e">
        <f ca="1">_xll.BDH($C$503,"NET_FIXED_ASSETS_5_YEAR_GROWTH","FQ2 2015","FQ2 2015","Currency=INR","Period=FQ","BEST_FPERIOD_OVERRIDE=FQ","FILING_STATUS=OR","EQY_CONSOLIDATED=Y","Sort=A","Dates=H","DateFormat=P","Fill=—","Direction=H","UseDPDF=Y")</f>
        <v>#NAME?</v>
      </c>
      <c r="AV510" s="1" t="e">
        <f ca="1">_xll.BDH($C$503,"GEO_GROW_TOT_ASSET","FQ2 2015","FQ2 2015","Currency=INR","Period=FQ","BEST_FPERIOD_OVERRIDE=FQ","FILING_STATUS=OR","EQY_CONSOLIDATED=Y","Sort=A","Dates=H","DateFormat=P","Fill=—","Direction=H","UseDPDF=Y")</f>
        <v>#NAME?</v>
      </c>
      <c r="AW510" s="1" t="e">
        <f ca="1">_xll.BDH($C$503,"MODIFIED_WORKING_CPTL_5YR_GRWTH","FQ2 2015","FQ2 2015","Currency=INR","Period=FQ","BEST_FPERIOD_OVERRIDE=FQ","FILING_STATUS=OR","EQY_CONSOLIDATED=Y","Sort=A","Dates=H","DateFormat=P","Fill=—","Direction=H","UseDPDF=Y")</f>
        <v>#NAME?</v>
      </c>
      <c r="AX510" s="1" t="e">
        <f ca="1">_xll.BDH($C$503,"WORKING_CAPITAL_5_YEAR_GROWTH","FQ2 2015","FQ2 2015","Currency=INR","Period=FQ","BEST_FPERIOD_OVERRIDE=FQ","FILING_STATUS=OR","EQY_CONSOLIDATED=Y","Sort=A","Dates=H","DateFormat=P","Fill=—","Direction=H","UseDPDF=Y")</f>
        <v>#NAME?</v>
      </c>
      <c r="AY510" s="1" t="e">
        <f ca="1">_xll.BDH($C$503,"ACCOUNTS_PAYABLE_5_YEAR_GROWTH","FQ2 2015","FQ2 2015","Currency=INR","Period=FQ","BEST_FPERIOD_OVERRIDE=FQ","FILING_STATUS=OR","EQY_CONSOLIDATED=Y","Sort=A","Dates=H","DateFormat=P","Fill=—","Direction=H","UseDPDF=Y")</f>
        <v>#NAME?</v>
      </c>
      <c r="AZ510" s="1" t="e">
        <f ca="1">_xll.BDH($C$503,"SHORT_TERM_DEBT_5_YEAR_GROWTH","FQ2 2015","FQ2 2015","Currency=INR","Period=FQ","BEST_FPERIOD_OVERRIDE=FQ","FILING_STATUS=OR","EQY_CONSOLIDATED=Y","Sort=A","Dates=H","DateFormat=P","Fill=—","Direction=H","UseDPDF=Y")</f>
        <v>#NAME?</v>
      </c>
      <c r="BA510" s="1" t="e">
        <f ca="1">_xll.BDH($C$503,"TOTAL_DEBT_5_YEAR_GROWTH","FQ2 2015","FQ2 2015","Currency=INR","Period=FQ","BEST_FPERIOD_OVERRIDE=FQ","FILING_STATUS=OR","EQY_CONSOLIDATED=Y","Sort=A","Dates=H","DateFormat=P","Fill=—","Direction=H","UseDPDF=Y")</f>
        <v>#NAME?</v>
      </c>
      <c r="BB510" s="1" t="e">
        <f ca="1">_xll.BDH($C$503,"GEO_GROW_TOT_SHRHLDR_EQY","FQ2 2015","FQ2 2015","Currency=INR","Period=FQ","BEST_FPERIOD_OVERRIDE=FQ","FILING_STATUS=OR","EQY_CONSOLIDATED=Y","Sort=A","Dates=H","DateFormat=P","Fill=—","Direction=H","UseDPDF=Y")</f>
        <v>#NAME?</v>
      </c>
      <c r="BC510" s="1" t="e">
        <f ca="1">_xll.BDH($C$503,"TOTAL_CAPITAL_5_YEAR_GROWTH","FQ2 2015","FQ2 2015","Currency=INR","Period=FQ","BEST_FPERIOD_OVERRIDE=FQ","FILING_STATUS=OR","EQY_CONSOLIDATED=Y","Sort=A","Dates=H","DateFormat=P","Fill=—","Direction=H","UseDPDF=Y")</f>
        <v>#NAME?</v>
      </c>
      <c r="BD510" s="1" t="e">
        <f ca="1">_xll.BDH($C$503,"GEO_GROW_BOOK_VAL","FQ2 2015","FQ2 2015","Currency=INR","Period=FQ","BEST_FPERIOD_OVERRIDE=FQ","FILING_STATUS=OR","EQY_CONSOLIDATED=Y","Sort=A","Dates=H","DateFormat=P","Fill=—","Direction=H","UseDPDF=Y")</f>
        <v>#NAME?</v>
      </c>
      <c r="BE510" s="1" t="e">
        <f ca="1">_xll.BDH($C$503,"GEO_GROW_CASH_OPER_ACT","FQ2 2015","FQ2 2015","Currency=INR","Period=FQ","BEST_FPERIOD_OVERRIDE=FQ","FILING_STATUS=OR","EQY_CONSOLIDATED=Y","Sort=A","Dates=H","DateFormat=P","Fill=—","Direction=H","UseDPDF=Y")</f>
        <v>#NAME?</v>
      </c>
      <c r="BF510" s="1" t="e">
        <f ca="1">_xll.BDH($C$503,"REVENUE_SEQUENTIAL_GROWTH","FQ2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10" s="1" t="e">
        <f ca="1">_xll.BDH($C$503,"EBITDA_SEQUENTIAL_GROWTH","FQ2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10" s="1" t="e">
        <f ca="1">_xll.BDH($C$503,"OPERATING_INCOME_SEQ_GROWTH","FQ2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10" s="1" t="e">
        <f ca="1">_xll.BDH($C$503,"NET_INCOME_TO_COMMON_SEQ_GROWTH","FQ2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10" s="1" t="e">
        <f ca="1">_xll.BDH($C$503,"EPS_DILUTED_SEQUENTIAL_GROWTH","FQ2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10" s="1" t="e">
        <f ca="1">_xll.BDH($C$503,"DPS_SEQUENTIAL_GROWTH","FQ2 2015","FQ2 2015","Currency=INR","Period=FQ","BEST_FPERIOD_OVERRIDE=FQ","FILING_STATUS=OR","EQY_CONSOLIDATED=Y","Sort=A","Dates=H","DateFormat=P","Fill=—","Direction=H","UseDPDF=Y")</f>
        <v>#NAME?</v>
      </c>
      <c r="BL510" s="1" t="e">
        <f ca="1">_xll.BDH($C$503,"ACCOUNTS_RECEIVABLE_SEQ_GROWTH","FQ2 2015","FQ2 2015","Currency=INR","Period=FQ","BEST_FPERIOD_OVERRIDE=FQ","FILING_STATUS=OR","EQY_CONSOLIDATED=Y","Sort=A","Dates=H","DateFormat=P","Fill=—","Direction=H","UseDPDF=Y")</f>
        <v>#NAME?</v>
      </c>
      <c r="BM510" s="1" t="e">
        <f ca="1">_xll.BDH($C$503,"INVENTORY_SEQUENTIAL_GROWTH","FQ2 2015","FQ2 2015","Currency=INR","Period=FQ","BEST_FPERIOD_OVERRIDE=FQ","FILING_STATUS=OR","EQY_CONSOLIDATED=Y","Sort=A","Dates=H","DateFormat=P","Fill=—","Direction=H","UseDPDF=Y")</f>
        <v>#NAME?</v>
      </c>
      <c r="BN510" s="1" t="e">
        <f ca="1">_xll.BDH($C$503,"FIXED_ASSETS_SEQUENTIAL_GROWTH","FQ2 2015","FQ2 2015","Currency=INR","Period=FQ","BEST_FPERIOD_OVERRIDE=FQ","FILING_STATUS=OR","EQY_CONSOLIDATED=Y","Sort=A","Dates=H","DateFormat=P","Fill=—","Direction=H","UseDPDF=Y")</f>
        <v>#NAME?</v>
      </c>
      <c r="BO510" s="1" t="e">
        <f ca="1">_xll.BDH($C$503,"TOTAL_ASSETS_SEQUENTIAL_GROWTH","FQ2 2015","FQ2 2015","Currency=INR","Period=FQ","BEST_FPERIOD_OVERRIDE=FQ","FILING_STATUS=OR","EQY_CONSOLIDATED=Y","Sort=A","Dates=H","DateFormat=P","Fill=—","Direction=H","UseDPDF=Y")</f>
        <v>#NAME?</v>
      </c>
      <c r="BP510" s="1" t="e">
        <f ca="1">_xll.BDH($C$503,"MODIFIED_WORKING_CPTL_SEQ_GRWTH","FQ2 2015","FQ2 2015","Currency=INR","Period=FQ","BEST_FPERIOD_OVERRIDE=FQ","FILING_STATUS=OR","EQY_CONSOLIDATED=Y","Sort=A","Dates=H","DateFormat=P","Fill=—","Direction=H","UseDPDF=Y")</f>
        <v>#NAME?</v>
      </c>
      <c r="BQ510" s="1" t="e">
        <f ca="1">_xll.BDH($C$503,"WORKING_CAPITAL_SEQ_GROWTH","FQ2 2015","FQ2 2015","Currency=INR","Period=FQ","BEST_FPERIOD_OVERRIDE=FQ","FILING_STATUS=OR","EQY_CONSOLIDATED=Y","Sort=A","Dates=H","DateFormat=P","Fill=—","Direction=H","UseDPDF=Y")</f>
        <v>#NAME?</v>
      </c>
      <c r="BR510" s="1" t="e">
        <f ca="1">_xll.BDH($C$503,"ACCOUNTS_PAYABLE_SEQ_GROWTH","FQ2 2015","FQ2 2015","Currency=INR","Period=FQ","BEST_FPERIOD_OVERRIDE=FQ","FILING_STATUS=OR","EQY_CONSOLIDATED=Y","Sort=A","Dates=H","DateFormat=P","Fill=—","Direction=H","UseDPDF=Y")</f>
        <v>#NAME?</v>
      </c>
      <c r="BS510" s="1" t="e">
        <f ca="1">_xll.BDH($C$503,"ST_DEBT_SEQUENTIAL_GROWTH","FQ2 2015","FQ2 2015","Currency=INR","Period=FQ","BEST_FPERIOD_OVERRIDE=FQ","FILING_STATUS=OR","EQY_CONSOLIDATED=Y","Sort=A","Dates=H","DateFormat=P","Fill=—","Direction=H","UseDPDF=Y")</f>
        <v>#NAME?</v>
      </c>
      <c r="BT510" s="1" t="e">
        <f ca="1">_xll.BDH($C$503,"TOTAL_DEBT_SEQUENTIAL_GROWTH","FQ2 2015","FQ2 2015","Currency=INR","Period=FQ","BEST_FPERIOD_OVERRIDE=FQ","FILING_STATUS=OR","EQY_CONSOLIDATED=Y","Sort=A","Dates=H","DateFormat=P","Fill=—","Direction=H","UseDPDF=Y")</f>
        <v>#NAME?</v>
      </c>
      <c r="BU510" s="1" t="e">
        <f ca="1">_xll.BDH($C$503,"TOTAL_EQUITY_SEQUENTIAL_GROWTH","FQ2 2015","FQ2 2015","Currency=INR","Period=FQ","BEST_FPERIOD_OVERRIDE=FQ","FILING_STATUS=OR","EQY_CONSOLIDATED=Y","Sort=A","Dates=H","DateFormat=P","Fill=—","Direction=H","UseDPDF=Y")</f>
        <v>#NAME?</v>
      </c>
      <c r="BV510" s="1" t="e">
        <f ca="1">_xll.BDH($C$503,"TOTAL_CAPITAL_SEQUENTIAL_GROWTH","FQ2 2015","FQ2 2015","Currency=INR","Period=FQ","BEST_FPERIOD_OVERRIDE=FQ","FILING_STATUS=OR","EQY_CONSOLIDATED=Y","Sort=A","Dates=H","DateFormat=P","Fill=—","Direction=H","UseDPDF=Y")</f>
        <v>#NAME?</v>
      </c>
      <c r="BW510" s="1" t="e">
        <f ca="1">_xll.BDH($C$503,"BPS_SEQUENTIAL_GROWTH","FQ2 2015","FQ2 2015","Currency=INR","Period=FQ","BEST_FPERIOD_OVERRIDE=FQ","FILING_STATUS=OR","EQY_CONSOLIDATED=Y","Sort=A","Dates=H","DateFormat=P","Fill=—","Direction=H","UseDPDF=Y")</f>
        <v>#NAME?</v>
      </c>
      <c r="BX510" s="1" t="e">
        <f ca="1">_xll.BDH($C$503,"CFO_SEQUENTIAL_GROWTH","FQ2 2015","FQ2 2015","Currency=INR","Period=FQ","BEST_FPERIOD_OVERRIDE=FQ","FILING_STATUS=OR","EQY_CONSOLIDATED=Y","Sort=A","Dates=H","DateFormat=P","Fill=—","Direction=H","UseDPDF=Y")</f>
        <v>#NAME?</v>
      </c>
      <c r="BY510" s="2" t="e">
        <f ca="1">_xll.BDH($C$503,"SHORT_AND_LONG_TERM_DEBT","FQ2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10" s="2" t="e">
        <f ca="1">_xll.BDH($C$503,"BS_ST_BORROW","FQ2 2015","FQ2 2015","Currency=INR","Period=FQ","BEST_FPERIOD_OVERRIDE=FQ","FILING_STATUS=OR","EQY_CONSOLIDATED=Y","SCALING_FORMAT=MLN","Sort=A","Dates=H","DateFormat=P","Fill=—","Direction=H","UseDPDF=Y")</f>
        <v>#NAME?</v>
      </c>
      <c r="CA510" s="2" t="e">
        <f ca="1">_xll.BDH($C$503,"BS_LT_BORROW","FQ2 2015","FQ2 2015","Currency=INR","Period=FQ","BEST_FPERIOD_OVERRIDE=FQ","FILING_STATUS=OR","EQY_CONSOLIDATED=Y","SCALING_FORMAT=MLN","Sort=A","Dates=H","DateFormat=P","Fill=—","Direction=H","UseDPDF=Y")</f>
        <v>#NAME?</v>
      </c>
      <c r="CB510" s="1" t="e">
        <f ca="1">_xll.BDH($C$503,"TOT_DEBT_TO_EBITDA","FQ2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10" s="1" t="e">
        <f ca="1">_xll.BDH($C$503,"NET_DEBT_TO_EBITDA","FQ2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10" s="1" t="e">
        <f ca="1">_xll.BDH($C$503,"TOTAL_DEBT_TO_EBIT","FQ2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10" s="1" t="e">
        <f ca="1">_xll.BDH($C$503,"NET_DEBT_TO_EBIT","FQ2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510" s="1" t="e">
        <f ca="1">_xll.BDH($C$503,"EBITDA_TO_INTEREST_EXPN","FQ2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10" s="1" t="e">
        <f ca="1">_xll.BDH($C$503,"COM_EQY_TO_TOT_ASSET","FQ2 2015","FQ2 2015","Currency=INR","Period=FQ","BEST_FPERIOD_OVERRIDE=FQ","FILING_STATUS=OR","EQY_CONSOLIDATED=Y","Sort=A","Dates=H","DateFormat=P","Fill=—","Direction=H","UseDPDF=Y")</f>
        <v>#NAME?</v>
      </c>
      <c r="CH510" s="1" t="e">
        <f ca="1">_xll.BDH($C$503,"LT_DEBT_TO_TOT_EQY","FQ2 2015","FQ2 2015","Currency=INR","Period=FQ","BEST_FPERIOD_OVERRIDE=FQ","FILING_STATUS=OR","EQY_CONSOLIDATED=Y","Sort=A","Dates=H","DateFormat=P","Fill=—","Direction=H","UseDPDF=Y")</f>
        <v>#NAME?</v>
      </c>
      <c r="CI510" s="1" t="e">
        <f ca="1">_xll.BDH($C$503,"LT_DEBT_TO_TOT_CAP","FQ2 2015","FQ2 2015","Currency=INR","Period=FQ","BEST_FPERIOD_OVERRIDE=FQ","FILING_STATUS=OR","EQY_CONSOLIDATED=Y","Sort=A","Dates=H","DateFormat=P","Fill=—","Direction=H","UseDPDF=Y")</f>
        <v>#NAME?</v>
      </c>
      <c r="CJ510" s="1" t="e">
        <f ca="1">_xll.BDH($C$503,"LT_DEBT_TO_TOT_ASSET","FQ2 2015","FQ2 2015","Currency=INR","Period=FQ","BEST_FPERIOD_OVERRIDE=FQ","FILING_STATUS=OR","EQY_CONSOLIDATED=Y","Sort=A","Dates=H","DateFormat=P","Fill=—","Direction=H","UseDPDF=Y")</f>
        <v>#NAME?</v>
      </c>
      <c r="CK510" s="1" t="e">
        <f ca="1">_xll.BDH($C$503,"TOT_DEBT_TO_TOT_EQY","FQ2 2015","FQ2 2015","Currency=INR","Period=FQ","BEST_FPERIOD_OVERRIDE=FQ","FILING_STATUS=OR","EQY_CONSOLIDATED=Y","Sort=A","Dates=H","DateFormat=P","Fill=—","Direction=H","UseDPDF=Y")</f>
        <v>#NAME?</v>
      </c>
      <c r="CL510" s="1" t="e">
        <f ca="1">_xll.BDH($C$503,"TOT_DEBT_TO_TOT_CAP","FQ2 2015","FQ2 2015","Currency=INR","Period=FQ","BEST_FPERIOD_OVERRIDE=FQ","FILING_STATUS=OR","EQY_CONSOLIDATED=Y","Sort=A","Dates=H","DateFormat=P","Fill=—","Direction=H","UseDPDF=Y")</f>
        <v>#NAME?</v>
      </c>
      <c r="CM510" s="1" t="e">
        <f ca="1">_xll.BDH($C$503,"TOT_DEBT_TO_TOT_ASSET","FQ2 2015","FQ2 2015","Currency=INR","Period=FQ","BEST_FPERIOD_OVERRIDE=FQ","FILING_STATUS=OR","EQY_CONSOLIDATED=Y","Sort=A","Dates=H","DateFormat=P","Fill=—","Direction=H","UseDPDF=Y")</f>
        <v>#NAME?</v>
      </c>
      <c r="CN510" s="1" t="e">
        <f ca="1">_xll.BDH($C$503,"NET_DEBT_TO_SHRHLDR_EQTY","FQ2 2015","FQ2 2015","Currency=INR","Period=FQ","BEST_FPERIOD_OVERRIDE=FQ","FILING_STATUS=OR","EQY_CONSOLIDATED=Y","Sort=A","Dates=H","DateFormat=P","Fill=—","Direction=H","UseDPDF=Y")</f>
        <v>#NAME?</v>
      </c>
      <c r="CO510" s="1" t="e">
        <f ca="1">_xll.BDH($C$503,"NET_DEBT_%_CAPITAL","FQ2 2015","FQ2 2015","Currency=INR","Period=FQ","BEST_FPERIOD_OVERRIDE=FQ","FILING_STATUS=OR","EQY_CONSOLIDATED=Y","Sort=A","Dates=H","DateFormat=P","Fill=—","Direction=H","UseDPDF=Y")</f>
        <v>#NAME?</v>
      </c>
      <c r="CP510" s="2" t="e">
        <f ca="1">_xll.BDH($C$503,"EBITDA","FQ2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10" s="2" t="e">
        <f ca="1">_xll.BDH($C$503,"EBITDA_AFTER_CAPEX","FQ2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10" s="2" t="e">
        <f ca="1">_xll.BDH($C$503,"IS_OPER_INC","FQ2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10" s="1" t="e">
        <f ca="1">_xll.BDH($C$503,"CASH_RATIO","FQ2 2015","FQ2 2015","Currency=INR","Period=FQ","BEST_FPERIOD_OVERRIDE=FQ","FILING_STATUS=OR","EQY_CONSOLIDATED=Y","Sort=A","Dates=H","DateFormat=P","Fill=—","Direction=H","UseDPDF=Y")</f>
        <v>#NAME?</v>
      </c>
      <c r="CT510" s="1" t="e">
        <f ca="1">_xll.BDH($C$503,"CUR_RATIO","FQ2 2015","FQ2 2015","Currency=INR","Period=FQ","BEST_FPERIOD_OVERRIDE=FQ","FILING_STATUS=OR","EQY_CONSOLIDATED=Y","Sort=A","Dates=H","DateFormat=P","Fill=—","Direction=H","UseDPDF=Y")</f>
        <v>#NAME?</v>
      </c>
      <c r="CU510" s="1" t="e">
        <f ca="1">_xll.BDH($C$503,"QUICK_RATIO","FQ2 2015","FQ2 2015","Currency=INR","Period=FQ","BEST_FPERIOD_OVERRIDE=FQ","FILING_STATUS=OR","EQY_CONSOLIDATED=Y","Sort=A","Dates=H","DateFormat=P","Fill=—","Direction=H","UseDPDF=Y")</f>
        <v>#NAME?</v>
      </c>
      <c r="CV510" s="1" t="e">
        <f ca="1">_xll.BDH($C$503,"ALTMAN_Z_SCORE","FQ2 2015","FQ2 2015","Currency=INR","Period=FQ","BEST_FPERIOD_OVERRIDE=FQ","FILING_STATUS=OR","EQY_CONSOLIDATED=Y","Sort=A","Dates=H","DateFormat=P","Fill=—","Direction=H","UseDPDF=Y")</f>
        <v>#NAME?</v>
      </c>
      <c r="CW510" s="3" t="e">
        <f ca="1">_xll.BDH($C$503,"ACCT_RCV_TURN","FQ2 2015","FQ2 2015","Currency=INR","Period=FQ","BEST_FPERIOD_OVERRIDE=FQ","FILING_STATUS=OR","EQY_CONSOLIDATED=Y","FA_ADJUSTED=GAAP","Sort=A","Dates=H","DateFormat=P","Fill=—","Direction=H","UseDPDF=Y")</f>
        <v>#NAME?</v>
      </c>
      <c r="CX510" s="1" t="e">
        <f ca="1">_xll.BDH($C$503,"ACCT_RCV_DAYS","FQ2 2015","FQ2 2015","Currency=INR","Period=FQ","BEST_FPERIOD_OVERRIDE=FQ","FILING_STATUS=OR","EQY_CONSOLIDATED=Y","FA_ADJUSTED=GAAP","Sort=A","Dates=H","DateFormat=P","Fill=—","Direction=H","UseDPDF=Y")</f>
        <v>#NAME?</v>
      </c>
      <c r="CY510" s="3" t="e">
        <f ca="1">_xll.BDH($C$503,"INVENT_TURN","FQ2 2015","FQ2 2015","Currency=INR","Period=FQ","BEST_FPERIOD_OVERRIDE=FQ","FILING_STATUS=OR","EQY_CONSOLIDATED=Y","FA_ADJUSTED=GAAP","Sort=A","Dates=H","DateFormat=P","Fill=—","Direction=H","UseDPDF=Y")</f>
        <v>#NAME?</v>
      </c>
      <c r="CZ510" s="1" t="e">
        <f ca="1">_xll.BDH($C$503,"INVENT_DAYS","FQ2 2015","FQ2 2015","Currency=INR","Period=FQ","BEST_FPERIOD_OVERRIDE=FQ","FILING_STATUS=OR","EQY_CONSOLIDATED=Y","FA_ADJUSTED=GAAP","Sort=A","Dates=H","DateFormat=P","Fill=—","Direction=H","UseDPDF=Y")</f>
        <v>#NAME?</v>
      </c>
      <c r="DA510" s="3" t="e">
        <f ca="1">_xll.BDH($C$503,"ACCOUNTS_PAYABLE_TURNOVER","FQ2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10" s="1" t="e">
        <f ca="1">_xll.BDH($C$503,"ACCOUNTS_PAYABLE_TURNOVER_DAYS","FQ2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10" s="3" t="e">
        <f ca="1">_xll.BDH($C$503,"CASH_CONVERSION_CYCLE","FQ2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10" s="3" t="e">
        <f ca="1">_xll.BDH($C$503,"INV_TO_CASH_DAYS","FQ2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510" s="4" t="e">
        <f ca="1">_xll.BDH($C$503,"BS_INVENTORIES","FQ2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510" s="2" t="e">
        <f ca="1">_xll.BDH($C$503,"INVTRY_RAW_MATERIALS","FQ2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10" s="2" t="e">
        <f ca="1">_xll.BDH($C$503,"INVTRY_IN_PROGRESS","FQ2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10" s="2" t="e">
        <f ca="1">_xll.BDH($C$503,"INVTRY_FINISHED_GOODS","FQ2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10" s="2" t="e">
        <f ca="1">_xll.BDH($C$503,"BS_OTHER_INV","FQ2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11" spans="1:113" x14ac:dyDescent="0.3">
      <c r="A511" s="6"/>
      <c r="B511" s="6"/>
      <c r="C511" s="6"/>
      <c r="D511" s="6"/>
      <c r="E511" t="s">
        <v>6</v>
      </c>
      <c r="F511" t="e">
        <f ca="1">_xll.BDH($C$503,"RETURN_COM_EQY","FQ3 2015","FQ3 2015","Currency=INR","Period=FQ","BEST_FPERIOD_OVERRIDE=FQ","FILING_STATUS=OR","EQY_CONSOLIDATED=Y","FA_ADJUSTED=GAAP","Sort=A","Dates=H","DateFormat=P","Fill=—","Direction=H","UseDPDF=Y")</f>
        <v>#NAME?</v>
      </c>
      <c r="G511" t="e">
        <f ca="1">_xll.BDH($C$503,"RETURN_ON_ASSET","FQ3 2015","FQ3 2015","Currency=INR","Period=FQ","BEST_FPERIOD_OVERRIDE=FQ","FILING_STATUS=OR","EQY_CONSOLIDATED=Y","FA_ADJUSTED=GAAP","Sort=A","Dates=H","DateFormat=P","Fill=—","Direction=H","UseDPDF=Y")</f>
        <v>#NAME?</v>
      </c>
      <c r="H511" t="e">
        <f ca="1">_xll.BDH($C$503,"RETURN_ON_CAP","FQ3 2015","FQ3 2015","Currency=INR","Period=FQ","BEST_FPERIOD_OVERRIDE=FQ","FILING_STATUS=OR","EQY_CONSOLIDATED=Y","FA_ADJUSTED=GAAP","Sort=A","Dates=H","DateFormat=P","Fill=—","Direction=H","UseDPDF=Y")</f>
        <v>#NAME?</v>
      </c>
      <c r="I511" t="e">
        <f ca="1">_xll.BDH($C$503,"RETURN_ON_INV_CAPITAL","FQ3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11" t="e">
        <f ca="1">_xll.BDH($C$503,"EBITDA_TO_REVENUE","FQ3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511" t="e">
        <f ca="1">_xll.BDH($C$503,"OPER_MARGIN","FQ3 2015","FQ3 2015","Currency=INR","Period=FQ","BEST_FPERIOD_OVERRIDE=FQ","FILING_STATUS=OR","EQY_CONSOLIDATED=Y","FA_ADJUSTED=GAAP","Sort=A","Dates=H","DateFormat=P","Fill=—","Direction=H","UseDPDF=Y")</f>
        <v>#NAME?</v>
      </c>
      <c r="L511" t="e">
        <f ca="1">_xll.BDH($C$503,"INCREMENTAL_OPERATING_MARGIN","FQ3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11" t="e">
        <f ca="1">_xll.BDH($C$503,"PRETAX_INC_TO_NET_SALES","FQ3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11" t="e">
        <f ca="1">_xll.BDH($C$503,"INC_BEF_XO_ITEMS_TO_NET_SALES","FQ3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11" t="e">
        <f ca="1">_xll.BDH($C$503,"PROF_MARGIN","FQ3 2015","FQ3 2015","Currency=INR","Period=FQ","BEST_FPERIOD_OVERRIDE=FQ","FILING_STATUS=OR","EQY_CONSOLIDATED=Y","FA_ADJUSTED=GAAP","Sort=A","Dates=H","DateFormat=P","Fill=—","Direction=H","UseDPDF=Y")</f>
        <v>#NAME?</v>
      </c>
      <c r="P511" t="e">
        <f ca="1">_xll.BDH($C$503,"NET_INCOME_TO_COMMON_MARGIN","FQ3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11" t="e">
        <f ca="1">_xll.BDH($C$503,"EFF_TAX_RATE","FQ3 2015","FQ3 2015","Currency=INR","Period=FQ","BEST_FPERIOD_OVERRIDE=FQ","FILING_STATUS=OR","EQY_CONSOLIDATED=Y","FA_ADJUSTED=GAAP","Sort=A","Dates=H","DateFormat=P","Fill=—","Direction=H","UseDPDF=Y")</f>
        <v>#NAME?</v>
      </c>
      <c r="R511" t="e">
        <f ca="1">_xll.BDH($C$503,"DVD_PAYOUT_RATIO","FQ3 2015","FQ3 2015","Currency=INR","Period=FQ","BEST_FPERIOD_OVERRIDE=FQ","FILING_STATUS=OR","EQY_CONSOLIDATED=Y","FA_ADJUSTED=GAAP","Sort=A","Dates=H","DateFormat=P","Fill=—","Direction=H","UseDPDF=Y")</f>
        <v>#NAME?</v>
      </c>
      <c r="S511" t="e">
        <f ca="1">_xll.BDH($C$503,"SUSTAIN_GROWTH_RT","FQ3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511" s="1" t="e">
        <f ca="1">_xll.BDH($C$503,"SALES_GROWTH","FQ3 2015","FQ3 2015","Currency=INR","Period=FQ","BEST_FPERIOD_OVERRIDE=FQ","FILING_STATUS=OR","EQY_CONSOLIDATED=Y","FA_ADJUSTED=GAAP","Sort=A","Dates=H","DateFormat=P","Fill=—","Direction=H","UseDPDF=Y")</f>
        <v>#NAME?</v>
      </c>
      <c r="U511" s="1" t="e">
        <f ca="1">_xll.BDH($C$503,"EBITDA_GROWTH","FQ3 2015","FQ3 2015","Currency=INR","Period=FQ","BEST_FPERIOD_OVERRIDE=FQ","FILING_STATUS=OR","EQY_CONSOLIDATED=Y","FA_ADJUSTED=GAAP","Sort=A","Dates=H","DateFormat=P","Fill=—","Direction=H","UseDPDF=Y")</f>
        <v>#NAME?</v>
      </c>
      <c r="V511" s="1" t="e">
        <f ca="1">_xll.BDH($C$503,"OPER_INC_GROWTH","FQ3 2015","FQ3 2015","Currency=INR","Period=FQ","BEST_FPERIOD_OVERRIDE=FQ","FILING_STATUS=OR","EQY_CONSOLIDATED=Y","FA_ADJUSTED=GAAP","Sort=A","Dates=H","DateFormat=P","Fill=—","Direction=H","UseDPDF=Y")</f>
        <v>#NAME?</v>
      </c>
      <c r="W511" s="1" t="e">
        <f ca="1">_xll.BDH($C$503,"EARN_FOR_COM_GROWTH","FQ3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11" s="1" t="e">
        <f ca="1">_xll.BDH($C$503,"DILUTED_EPS_AFT_XO_ITEMS_GROWTH","FQ3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11" s="1" t="e">
        <f ca="1">_xll.BDH($C$503,"DIVIDEND_PER_SHARE_1_YEAR_GROWTH","FQ3 2015","FQ3 2015","Currency=INR","Period=FQ","BEST_FPERIOD_OVERRIDE=FQ","FILING_STATUS=OR","EQY_CONSOLIDATED=Y","Sort=A","Dates=H","DateFormat=P","Fill=—","Direction=H","UseDPDF=Y")</f>
        <v>#NAME?</v>
      </c>
      <c r="Z511" s="1" t="e">
        <f ca="1">_xll.BDH($C$503,"ACCOUNTS_RECEIVABLE_GROWTH","FQ3 2015","FQ3 2015","Currency=INR","Period=FQ","BEST_FPERIOD_OVERRIDE=FQ","FILING_STATUS=OR","EQY_CONSOLIDATED=Y","Sort=A","Dates=H","DateFormat=P","Fill=—","Direction=H","UseDPDF=Y")</f>
        <v>#NAME?</v>
      </c>
      <c r="AA511" s="1" t="e">
        <f ca="1">_xll.BDH($C$503,"INVENTORY_GROWTH","FQ3 2015","FQ3 2015","Currency=INR","Period=FQ","BEST_FPERIOD_OVERRIDE=FQ","FILING_STATUS=OR","EQY_CONSOLIDATED=Y","Sort=A","Dates=H","DateFormat=P","Fill=—","Direction=H","UseDPDF=Y")</f>
        <v>#NAME?</v>
      </c>
      <c r="AB511" s="1" t="e">
        <f ca="1">_xll.BDH($C$503,"NET_FIXED_ASSETS_1_YEAR_GROWTH","FQ3 2015","FQ3 2015","Currency=INR","Period=FQ","BEST_FPERIOD_OVERRIDE=FQ","FILING_STATUS=OR","EQY_CONSOLIDATED=Y","Sort=A","Dates=H","DateFormat=P","Fill=—","Direction=H","UseDPDF=Y")</f>
        <v>#NAME?</v>
      </c>
      <c r="AC511" s="1" t="e">
        <f ca="1">_xll.BDH($C$503,"ASSET_GROWTH","FQ3 2015","FQ3 2015","Currency=INR","Period=FQ","BEST_FPERIOD_OVERRIDE=FQ","FILING_STATUS=OR","EQY_CONSOLIDATED=Y","Sort=A","Dates=H","DateFormat=P","Fill=—","Direction=H","UseDPDF=Y")</f>
        <v>#NAME?</v>
      </c>
      <c r="AD511" s="1" t="e">
        <f ca="1">_xll.BDH($C$503,"MODIFIED_WORK_CAP_GROWTH","FQ3 2015","FQ3 2015","Currency=INR","Period=FQ","BEST_FPERIOD_OVERRIDE=FQ","FILING_STATUS=OR","EQY_CONSOLIDATED=Y","Sort=A","Dates=H","DateFormat=P","Fill=—","Direction=H","UseDPDF=Y")</f>
        <v>#NAME?</v>
      </c>
      <c r="AE511" s="1" t="e">
        <f ca="1">_xll.BDH($C$503,"WORK_CAP_GROWTH","FQ3 2015","FQ3 2015","Currency=INR","Period=FQ","BEST_FPERIOD_OVERRIDE=FQ","FILING_STATUS=OR","EQY_CONSOLIDATED=Y","Sort=A","Dates=H","DateFormat=P","Fill=—","Direction=H","UseDPDF=Y")</f>
        <v>#NAME?</v>
      </c>
      <c r="AF511" s="1" t="e">
        <f ca="1">_xll.BDH($C$503,"ACCOUNTS_PAYABLE_GROWTH_1YR","FQ3 2015","FQ3 2015","Currency=INR","Period=FQ","BEST_FPERIOD_OVERRIDE=FQ","FILING_STATUS=OR","EQY_CONSOLIDATED=Y","Sort=A","Dates=H","DateFormat=P","Fill=—","Direction=H","UseDPDF=Y")</f>
        <v>#NAME?</v>
      </c>
      <c r="AG511" s="1" t="e">
        <f ca="1">_xll.BDH($C$503,"SHORT_TERM_DEBT_1_YEAR_GROWTH","FQ3 2015","FQ3 2015","Currency=INR","Period=FQ","BEST_FPERIOD_OVERRIDE=FQ","FILING_STATUS=OR","EQY_CONSOLIDATED=Y","Sort=A","Dates=H","DateFormat=P","Fill=—","Direction=H","UseDPDF=Y")</f>
        <v>#NAME?</v>
      </c>
      <c r="AH511" s="1" t="e">
        <f ca="1">_xll.BDH($C$503,"TOTAL_DEBT_1_YEAR_GROWTH","FQ3 2015","FQ3 2015","Currency=INR","Period=FQ","BEST_FPERIOD_OVERRIDE=FQ","FILING_STATUS=OR","EQY_CONSOLIDATED=Y","Sort=A","Dates=H","DateFormat=P","Fill=—","Direction=H","UseDPDF=Y")</f>
        <v>#NAME?</v>
      </c>
      <c r="AI511" s="1" t="e">
        <f ca="1">_xll.BDH($C$503,"TOTAL_EQUITY_1_YEAR_GROWTH","FQ3 2015","FQ3 2015","Currency=INR","Period=FQ","BEST_FPERIOD_OVERRIDE=FQ","FILING_STATUS=OR","EQY_CONSOLIDATED=Y","Sort=A","Dates=H","DateFormat=P","Fill=—","Direction=H","UseDPDF=Y")</f>
        <v>#NAME?</v>
      </c>
      <c r="AJ511" s="1" t="e">
        <f ca="1">_xll.BDH($C$503,"GROWTH_IN_CAP","FQ3 2015","FQ3 2015","Currency=INR","Period=FQ","BEST_FPERIOD_OVERRIDE=FQ","FILING_STATUS=OR","EQY_CONSOLIDATED=Y","Sort=A","Dates=H","DateFormat=P","Fill=—","Direction=H","UseDPDF=Y")</f>
        <v>#NAME?</v>
      </c>
      <c r="AK511" s="1" t="e">
        <f ca="1">_xll.BDH($C$503,"BVPS_GROWTH","FQ3 2015","FQ3 2015","Currency=INR","Period=FQ","BEST_FPERIOD_OVERRIDE=FQ","FILING_STATUS=OR","EQY_CONSOLIDATED=Y","Sort=A","Dates=H","DateFormat=P","Fill=—","Direction=H","UseDPDF=Y")</f>
        <v>#NAME?</v>
      </c>
      <c r="AL511" s="1" t="e">
        <f ca="1">_xll.BDH($C$503,"CASH_FLOW_GROWTH","FQ3 2015","FQ3 2015","Currency=INR","Period=FQ","BEST_FPERIOD_OVERRIDE=FQ","FILING_STATUS=OR","EQY_CONSOLIDATED=Y","Sort=A","Dates=H","DateFormat=P","Fill=—","Direction=H","UseDPDF=Y")</f>
        <v>#NAME?</v>
      </c>
      <c r="AM511" s="1" t="e">
        <f ca="1">_xll.BDH($C$503,"GEO_GROW_NET_SALES","FQ3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11" s="1" t="e">
        <f ca="1">_xll.BDH($C$503,"GEO_GROW_EBITDA","FQ3 2015","FQ3 2015","Currency=INR","Period=FQ","BEST_FPERIOD_OVERRIDE=FQ","FILING_STATUS=OR","EQY_CONSOLIDATED=Y","FA_ADJUSTED=GAAP","Sort=A","Dates=H","DateFormat=P","Fill=—","Direction=H","UseDPDF=Y")</f>
        <v>#NAME?</v>
      </c>
      <c r="AO511" s="1" t="e">
        <f ca="1">_xll.BDH($C$503,"GEO_GROW_OPER_INC","FQ3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11" s="1" t="e">
        <f ca="1">_xll.BDH($C$503,"NET_INCOME_TO_COMMON_5_YR_GROWTH","FQ3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11" s="1" t="e">
        <f ca="1">_xll.BDH($C$503,"5Y_GEO_GROWTH_DILUTED_EPS","FQ3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11" s="1" t="e">
        <f ca="1">_xll.BDH($C$503,"GEO_GROW_DVD_PER_SH","FQ3 2015","FQ3 2015","Currency=INR","Period=FQ","BEST_FPERIOD_OVERRIDE=FQ","FILING_STATUS=OR","EQY_CONSOLIDATED=Y","Sort=A","Dates=H","DateFormat=P","Fill=—","Direction=H","UseDPDF=Y")</f>
        <v>#NAME?</v>
      </c>
      <c r="AS511" s="1" t="e">
        <f ca="1">_xll.BDH($C$503,"ACCOUNTS_RECEIVABLE_5_YR_GROWTH","FQ3 2015","FQ3 2015","Currency=INR","Period=FQ","BEST_FPERIOD_OVERRIDE=FQ","FILING_STATUS=OR","EQY_CONSOLIDATED=Y","Sort=A","Dates=H","DateFormat=P","Fill=—","Direction=H","UseDPDF=Y")</f>
        <v>#NAME?</v>
      </c>
      <c r="AT511" s="1" t="e">
        <f ca="1">_xll.BDH($C$503,"INVENTORY_5_YEAR_GROWTH","FQ3 2015","FQ3 2015","Currency=INR","Period=FQ","BEST_FPERIOD_OVERRIDE=FQ","FILING_STATUS=OR","EQY_CONSOLIDATED=Y","Sort=A","Dates=H","DateFormat=P","Fill=—","Direction=H","UseDPDF=Y")</f>
        <v>#NAME?</v>
      </c>
      <c r="AU511" s="1" t="e">
        <f ca="1">_xll.BDH($C$503,"NET_FIXED_ASSETS_5_YEAR_GROWTH","FQ3 2015","FQ3 2015","Currency=INR","Period=FQ","BEST_FPERIOD_OVERRIDE=FQ","FILING_STATUS=OR","EQY_CONSOLIDATED=Y","Sort=A","Dates=H","DateFormat=P","Fill=—","Direction=H","UseDPDF=Y")</f>
        <v>#NAME?</v>
      </c>
      <c r="AV511" s="1" t="e">
        <f ca="1">_xll.BDH($C$503,"GEO_GROW_TOT_ASSET","FQ3 2015","FQ3 2015","Currency=INR","Period=FQ","BEST_FPERIOD_OVERRIDE=FQ","FILING_STATUS=OR","EQY_CONSOLIDATED=Y","Sort=A","Dates=H","DateFormat=P","Fill=—","Direction=H","UseDPDF=Y")</f>
        <v>#NAME?</v>
      </c>
      <c r="AW511" s="1" t="e">
        <f ca="1">_xll.BDH($C$503,"MODIFIED_WORKING_CPTL_5YR_GRWTH","FQ3 2015","FQ3 2015","Currency=INR","Period=FQ","BEST_FPERIOD_OVERRIDE=FQ","FILING_STATUS=OR","EQY_CONSOLIDATED=Y","Sort=A","Dates=H","DateFormat=P","Fill=—","Direction=H","UseDPDF=Y")</f>
        <v>#NAME?</v>
      </c>
      <c r="AX511" s="1" t="e">
        <f ca="1">_xll.BDH($C$503,"WORKING_CAPITAL_5_YEAR_GROWTH","FQ3 2015","FQ3 2015","Currency=INR","Period=FQ","BEST_FPERIOD_OVERRIDE=FQ","FILING_STATUS=OR","EQY_CONSOLIDATED=Y","Sort=A","Dates=H","DateFormat=P","Fill=—","Direction=H","UseDPDF=Y")</f>
        <v>#NAME?</v>
      </c>
      <c r="AY511" s="1" t="e">
        <f ca="1">_xll.BDH($C$503,"ACCOUNTS_PAYABLE_5_YEAR_GROWTH","FQ3 2015","FQ3 2015","Currency=INR","Period=FQ","BEST_FPERIOD_OVERRIDE=FQ","FILING_STATUS=OR","EQY_CONSOLIDATED=Y","Sort=A","Dates=H","DateFormat=P","Fill=—","Direction=H","UseDPDF=Y")</f>
        <v>#NAME?</v>
      </c>
      <c r="AZ511" s="1" t="e">
        <f ca="1">_xll.BDH($C$503,"SHORT_TERM_DEBT_5_YEAR_GROWTH","FQ3 2015","FQ3 2015","Currency=INR","Period=FQ","BEST_FPERIOD_OVERRIDE=FQ","FILING_STATUS=OR","EQY_CONSOLIDATED=Y","Sort=A","Dates=H","DateFormat=P","Fill=—","Direction=H","UseDPDF=Y")</f>
        <v>#NAME?</v>
      </c>
      <c r="BA511" s="1" t="e">
        <f ca="1">_xll.BDH($C$503,"TOTAL_DEBT_5_YEAR_GROWTH","FQ3 2015","FQ3 2015","Currency=INR","Period=FQ","BEST_FPERIOD_OVERRIDE=FQ","FILING_STATUS=OR","EQY_CONSOLIDATED=Y","Sort=A","Dates=H","DateFormat=P","Fill=—","Direction=H","UseDPDF=Y")</f>
        <v>#NAME?</v>
      </c>
      <c r="BB511" s="1" t="e">
        <f ca="1">_xll.BDH($C$503,"GEO_GROW_TOT_SHRHLDR_EQY","FQ3 2015","FQ3 2015","Currency=INR","Period=FQ","BEST_FPERIOD_OVERRIDE=FQ","FILING_STATUS=OR","EQY_CONSOLIDATED=Y","Sort=A","Dates=H","DateFormat=P","Fill=—","Direction=H","UseDPDF=Y")</f>
        <v>#NAME?</v>
      </c>
      <c r="BC511" s="1" t="e">
        <f ca="1">_xll.BDH($C$503,"TOTAL_CAPITAL_5_YEAR_GROWTH","FQ3 2015","FQ3 2015","Currency=INR","Period=FQ","BEST_FPERIOD_OVERRIDE=FQ","FILING_STATUS=OR","EQY_CONSOLIDATED=Y","Sort=A","Dates=H","DateFormat=P","Fill=—","Direction=H","UseDPDF=Y")</f>
        <v>#NAME?</v>
      </c>
      <c r="BD511" s="1" t="e">
        <f ca="1">_xll.BDH($C$503,"GEO_GROW_BOOK_VAL","FQ3 2015","FQ3 2015","Currency=INR","Period=FQ","BEST_FPERIOD_OVERRIDE=FQ","FILING_STATUS=OR","EQY_CONSOLIDATED=Y","Sort=A","Dates=H","DateFormat=P","Fill=—","Direction=H","UseDPDF=Y")</f>
        <v>#NAME?</v>
      </c>
      <c r="BE511" s="1" t="e">
        <f ca="1">_xll.BDH($C$503,"GEO_GROW_CASH_OPER_ACT","FQ3 2015","FQ3 2015","Currency=INR","Period=FQ","BEST_FPERIOD_OVERRIDE=FQ","FILING_STATUS=OR","EQY_CONSOLIDATED=Y","Sort=A","Dates=H","DateFormat=P","Fill=—","Direction=H","UseDPDF=Y")</f>
        <v>#NAME?</v>
      </c>
      <c r="BF511" s="1" t="e">
        <f ca="1">_xll.BDH($C$503,"REVENUE_SEQUENTIAL_GROWTH","FQ3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11" s="1" t="e">
        <f ca="1">_xll.BDH($C$503,"EBITDA_SEQUENTIAL_GROWTH","FQ3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11" s="1" t="e">
        <f ca="1">_xll.BDH($C$503,"OPERATING_INCOME_SEQ_GROWTH","FQ3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11" s="1" t="e">
        <f ca="1">_xll.BDH($C$503,"NET_INCOME_TO_COMMON_SEQ_GROWTH","FQ3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11" s="1" t="e">
        <f ca="1">_xll.BDH($C$503,"EPS_DILUTED_SEQUENTIAL_GROWTH","FQ3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11" s="1" t="e">
        <f ca="1">_xll.BDH($C$503,"DPS_SEQUENTIAL_GROWTH","FQ3 2015","FQ3 2015","Currency=INR","Period=FQ","BEST_FPERIOD_OVERRIDE=FQ","FILING_STATUS=OR","EQY_CONSOLIDATED=Y","Sort=A","Dates=H","DateFormat=P","Fill=—","Direction=H","UseDPDF=Y")</f>
        <v>#NAME?</v>
      </c>
      <c r="BL511" s="1" t="e">
        <f ca="1">_xll.BDH($C$503,"ACCOUNTS_RECEIVABLE_SEQ_GROWTH","FQ3 2015","FQ3 2015","Currency=INR","Period=FQ","BEST_FPERIOD_OVERRIDE=FQ","FILING_STATUS=OR","EQY_CONSOLIDATED=Y","Sort=A","Dates=H","DateFormat=P","Fill=—","Direction=H","UseDPDF=Y")</f>
        <v>#NAME?</v>
      </c>
      <c r="BM511" s="1" t="e">
        <f ca="1">_xll.BDH($C$503,"INVENTORY_SEQUENTIAL_GROWTH","FQ3 2015","FQ3 2015","Currency=INR","Period=FQ","BEST_FPERIOD_OVERRIDE=FQ","FILING_STATUS=OR","EQY_CONSOLIDATED=Y","Sort=A","Dates=H","DateFormat=P","Fill=—","Direction=H","UseDPDF=Y")</f>
        <v>#NAME?</v>
      </c>
      <c r="BN511" s="1" t="e">
        <f ca="1">_xll.BDH($C$503,"FIXED_ASSETS_SEQUENTIAL_GROWTH","FQ3 2015","FQ3 2015","Currency=INR","Period=FQ","BEST_FPERIOD_OVERRIDE=FQ","FILING_STATUS=OR","EQY_CONSOLIDATED=Y","Sort=A","Dates=H","DateFormat=P","Fill=—","Direction=H","UseDPDF=Y")</f>
        <v>#NAME?</v>
      </c>
      <c r="BO511" s="1" t="e">
        <f ca="1">_xll.BDH($C$503,"TOTAL_ASSETS_SEQUENTIAL_GROWTH","FQ3 2015","FQ3 2015","Currency=INR","Period=FQ","BEST_FPERIOD_OVERRIDE=FQ","FILING_STATUS=OR","EQY_CONSOLIDATED=Y","Sort=A","Dates=H","DateFormat=P","Fill=—","Direction=H","UseDPDF=Y")</f>
        <v>#NAME?</v>
      </c>
      <c r="BP511" s="1" t="e">
        <f ca="1">_xll.BDH($C$503,"MODIFIED_WORKING_CPTL_SEQ_GRWTH","FQ3 2015","FQ3 2015","Currency=INR","Period=FQ","BEST_FPERIOD_OVERRIDE=FQ","FILING_STATUS=OR","EQY_CONSOLIDATED=Y","Sort=A","Dates=H","DateFormat=P","Fill=—","Direction=H","UseDPDF=Y")</f>
        <v>#NAME?</v>
      </c>
      <c r="BQ511" s="1" t="e">
        <f ca="1">_xll.BDH($C$503,"WORKING_CAPITAL_SEQ_GROWTH","FQ3 2015","FQ3 2015","Currency=INR","Period=FQ","BEST_FPERIOD_OVERRIDE=FQ","FILING_STATUS=OR","EQY_CONSOLIDATED=Y","Sort=A","Dates=H","DateFormat=P","Fill=—","Direction=H","UseDPDF=Y")</f>
        <v>#NAME?</v>
      </c>
      <c r="BR511" s="1" t="e">
        <f ca="1">_xll.BDH($C$503,"ACCOUNTS_PAYABLE_SEQ_GROWTH","FQ3 2015","FQ3 2015","Currency=INR","Period=FQ","BEST_FPERIOD_OVERRIDE=FQ","FILING_STATUS=OR","EQY_CONSOLIDATED=Y","Sort=A","Dates=H","DateFormat=P","Fill=—","Direction=H","UseDPDF=Y")</f>
        <v>#NAME?</v>
      </c>
      <c r="BS511" s="1" t="e">
        <f ca="1">_xll.BDH($C$503,"ST_DEBT_SEQUENTIAL_GROWTH","FQ3 2015","FQ3 2015","Currency=INR","Period=FQ","BEST_FPERIOD_OVERRIDE=FQ","FILING_STATUS=OR","EQY_CONSOLIDATED=Y","Sort=A","Dates=H","DateFormat=P","Fill=—","Direction=H","UseDPDF=Y")</f>
        <v>#NAME?</v>
      </c>
      <c r="BT511" s="1" t="e">
        <f ca="1">_xll.BDH($C$503,"TOTAL_DEBT_SEQUENTIAL_GROWTH","FQ3 2015","FQ3 2015","Currency=INR","Period=FQ","BEST_FPERIOD_OVERRIDE=FQ","FILING_STATUS=OR","EQY_CONSOLIDATED=Y","Sort=A","Dates=H","DateFormat=P","Fill=—","Direction=H","UseDPDF=Y")</f>
        <v>#NAME?</v>
      </c>
      <c r="BU511" s="1" t="e">
        <f ca="1">_xll.BDH($C$503,"TOTAL_EQUITY_SEQUENTIAL_GROWTH","FQ3 2015","FQ3 2015","Currency=INR","Period=FQ","BEST_FPERIOD_OVERRIDE=FQ","FILING_STATUS=OR","EQY_CONSOLIDATED=Y","Sort=A","Dates=H","DateFormat=P","Fill=—","Direction=H","UseDPDF=Y")</f>
        <v>#NAME?</v>
      </c>
      <c r="BV511" s="1" t="e">
        <f ca="1">_xll.BDH($C$503,"TOTAL_CAPITAL_SEQUENTIAL_GROWTH","FQ3 2015","FQ3 2015","Currency=INR","Period=FQ","BEST_FPERIOD_OVERRIDE=FQ","FILING_STATUS=OR","EQY_CONSOLIDATED=Y","Sort=A","Dates=H","DateFormat=P","Fill=—","Direction=H","UseDPDF=Y")</f>
        <v>#NAME?</v>
      </c>
      <c r="BW511" s="1" t="e">
        <f ca="1">_xll.BDH($C$503,"BPS_SEQUENTIAL_GROWTH","FQ3 2015","FQ3 2015","Currency=INR","Period=FQ","BEST_FPERIOD_OVERRIDE=FQ","FILING_STATUS=OR","EQY_CONSOLIDATED=Y","Sort=A","Dates=H","DateFormat=P","Fill=—","Direction=H","UseDPDF=Y")</f>
        <v>#NAME?</v>
      </c>
      <c r="BX511" s="1" t="e">
        <f ca="1">_xll.BDH($C$503,"CFO_SEQUENTIAL_GROWTH","FQ3 2015","FQ3 2015","Currency=INR","Period=FQ","BEST_FPERIOD_OVERRIDE=FQ","FILING_STATUS=OR","EQY_CONSOLIDATED=Y","Sort=A","Dates=H","DateFormat=P","Fill=—","Direction=H","UseDPDF=Y")</f>
        <v>#NAME?</v>
      </c>
      <c r="BY511" s="2" t="e">
        <f ca="1">_xll.BDH($C$503,"SHORT_AND_LONG_TERM_DEBT","FQ3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11" s="2" t="e">
        <f ca="1">_xll.BDH($C$503,"BS_ST_BORROW","FQ3 2015","FQ3 2015","Currency=INR","Period=FQ","BEST_FPERIOD_OVERRIDE=FQ","FILING_STATUS=OR","EQY_CONSOLIDATED=Y","SCALING_FORMAT=MLN","Sort=A","Dates=H","DateFormat=P","Fill=—","Direction=H","UseDPDF=Y")</f>
        <v>#NAME?</v>
      </c>
      <c r="CA511" s="2" t="e">
        <f ca="1">_xll.BDH($C$503,"BS_LT_BORROW","FQ3 2015","FQ3 2015","Currency=INR","Period=FQ","BEST_FPERIOD_OVERRIDE=FQ","FILING_STATUS=OR","EQY_CONSOLIDATED=Y","SCALING_FORMAT=MLN","Sort=A","Dates=H","DateFormat=P","Fill=—","Direction=H","UseDPDF=Y")</f>
        <v>#NAME?</v>
      </c>
      <c r="CB511" s="1" t="e">
        <f ca="1">_xll.BDH($C$503,"TOT_DEBT_TO_EBITDA","FQ3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11" s="1" t="e">
        <f ca="1">_xll.BDH($C$503,"NET_DEBT_TO_EBITDA","FQ3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11" s="1" t="e">
        <f ca="1">_xll.BDH($C$503,"TOTAL_DEBT_TO_EBIT","FQ3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11" s="1" t="e">
        <f ca="1">_xll.BDH($C$503,"NET_DEBT_TO_EBIT","FQ3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511" s="1" t="e">
        <f ca="1">_xll.BDH($C$503,"EBITDA_TO_INTEREST_EXPN","FQ3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11" s="1" t="e">
        <f ca="1">_xll.BDH($C$503,"COM_EQY_TO_TOT_ASSET","FQ3 2015","FQ3 2015","Currency=INR","Period=FQ","BEST_FPERIOD_OVERRIDE=FQ","FILING_STATUS=OR","EQY_CONSOLIDATED=Y","Sort=A","Dates=H","DateFormat=P","Fill=—","Direction=H","UseDPDF=Y")</f>
        <v>#NAME?</v>
      </c>
      <c r="CH511" s="1" t="e">
        <f ca="1">_xll.BDH($C$503,"LT_DEBT_TO_TOT_EQY","FQ3 2015","FQ3 2015","Currency=INR","Period=FQ","BEST_FPERIOD_OVERRIDE=FQ","FILING_STATUS=OR","EQY_CONSOLIDATED=Y","Sort=A","Dates=H","DateFormat=P","Fill=—","Direction=H","UseDPDF=Y")</f>
        <v>#NAME?</v>
      </c>
      <c r="CI511" s="1" t="e">
        <f ca="1">_xll.BDH($C$503,"LT_DEBT_TO_TOT_CAP","FQ3 2015","FQ3 2015","Currency=INR","Period=FQ","BEST_FPERIOD_OVERRIDE=FQ","FILING_STATUS=OR","EQY_CONSOLIDATED=Y","Sort=A","Dates=H","DateFormat=P","Fill=—","Direction=H","UseDPDF=Y")</f>
        <v>#NAME?</v>
      </c>
      <c r="CJ511" s="1" t="e">
        <f ca="1">_xll.BDH($C$503,"LT_DEBT_TO_TOT_ASSET","FQ3 2015","FQ3 2015","Currency=INR","Period=FQ","BEST_FPERIOD_OVERRIDE=FQ","FILING_STATUS=OR","EQY_CONSOLIDATED=Y","Sort=A","Dates=H","DateFormat=P","Fill=—","Direction=H","UseDPDF=Y")</f>
        <v>#NAME?</v>
      </c>
      <c r="CK511" s="1" t="e">
        <f ca="1">_xll.BDH($C$503,"TOT_DEBT_TO_TOT_EQY","FQ3 2015","FQ3 2015","Currency=INR","Period=FQ","BEST_FPERIOD_OVERRIDE=FQ","FILING_STATUS=OR","EQY_CONSOLIDATED=Y","Sort=A","Dates=H","DateFormat=P","Fill=—","Direction=H","UseDPDF=Y")</f>
        <v>#NAME?</v>
      </c>
      <c r="CL511" s="1" t="e">
        <f ca="1">_xll.BDH($C$503,"TOT_DEBT_TO_TOT_CAP","FQ3 2015","FQ3 2015","Currency=INR","Period=FQ","BEST_FPERIOD_OVERRIDE=FQ","FILING_STATUS=OR","EQY_CONSOLIDATED=Y","Sort=A","Dates=H","DateFormat=P","Fill=—","Direction=H","UseDPDF=Y")</f>
        <v>#NAME?</v>
      </c>
      <c r="CM511" s="1" t="e">
        <f ca="1">_xll.BDH($C$503,"TOT_DEBT_TO_TOT_ASSET","FQ3 2015","FQ3 2015","Currency=INR","Period=FQ","BEST_FPERIOD_OVERRIDE=FQ","FILING_STATUS=OR","EQY_CONSOLIDATED=Y","Sort=A","Dates=H","DateFormat=P","Fill=—","Direction=H","UseDPDF=Y")</f>
        <v>#NAME?</v>
      </c>
      <c r="CN511" s="1" t="e">
        <f ca="1">_xll.BDH($C$503,"NET_DEBT_TO_SHRHLDR_EQTY","FQ3 2015","FQ3 2015","Currency=INR","Period=FQ","BEST_FPERIOD_OVERRIDE=FQ","FILING_STATUS=OR","EQY_CONSOLIDATED=Y","Sort=A","Dates=H","DateFormat=P","Fill=—","Direction=H","UseDPDF=Y")</f>
        <v>#NAME?</v>
      </c>
      <c r="CO511" s="1" t="e">
        <f ca="1">_xll.BDH($C$503,"NET_DEBT_%_CAPITAL","FQ3 2015","FQ3 2015","Currency=INR","Period=FQ","BEST_FPERIOD_OVERRIDE=FQ","FILING_STATUS=OR","EQY_CONSOLIDATED=Y","Sort=A","Dates=H","DateFormat=P","Fill=—","Direction=H","UseDPDF=Y")</f>
        <v>#NAME?</v>
      </c>
      <c r="CP511" s="2" t="e">
        <f ca="1">_xll.BDH($C$503,"EBITDA","FQ3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11" s="2" t="e">
        <f ca="1">_xll.BDH($C$503,"EBITDA_AFTER_CAPEX","FQ3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11" s="2" t="e">
        <f ca="1">_xll.BDH($C$503,"IS_OPER_INC","FQ3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11" s="1" t="e">
        <f ca="1">_xll.BDH($C$503,"CASH_RATIO","FQ3 2015","FQ3 2015","Currency=INR","Period=FQ","BEST_FPERIOD_OVERRIDE=FQ","FILING_STATUS=OR","EQY_CONSOLIDATED=Y","Sort=A","Dates=H","DateFormat=P","Fill=—","Direction=H","UseDPDF=Y")</f>
        <v>#NAME?</v>
      </c>
      <c r="CT511" s="1" t="e">
        <f ca="1">_xll.BDH($C$503,"CUR_RATIO","FQ3 2015","FQ3 2015","Currency=INR","Period=FQ","BEST_FPERIOD_OVERRIDE=FQ","FILING_STATUS=OR","EQY_CONSOLIDATED=Y","Sort=A","Dates=H","DateFormat=P","Fill=—","Direction=H","UseDPDF=Y")</f>
        <v>#NAME?</v>
      </c>
      <c r="CU511" s="1" t="e">
        <f ca="1">_xll.BDH($C$503,"QUICK_RATIO","FQ3 2015","FQ3 2015","Currency=INR","Period=FQ","BEST_FPERIOD_OVERRIDE=FQ","FILING_STATUS=OR","EQY_CONSOLIDATED=Y","Sort=A","Dates=H","DateFormat=P","Fill=—","Direction=H","UseDPDF=Y")</f>
        <v>#NAME?</v>
      </c>
      <c r="CV511" s="1" t="e">
        <f ca="1">_xll.BDH($C$503,"ALTMAN_Z_SCORE","FQ3 2015","FQ3 2015","Currency=INR","Period=FQ","BEST_FPERIOD_OVERRIDE=FQ","FILING_STATUS=OR","EQY_CONSOLIDATED=Y","Sort=A","Dates=H","DateFormat=P","Fill=—","Direction=H","UseDPDF=Y")</f>
        <v>#NAME?</v>
      </c>
      <c r="CW511" s="3" t="e">
        <f ca="1">_xll.BDH($C$503,"ACCT_RCV_TURN","FQ3 2015","FQ3 2015","Currency=INR","Period=FQ","BEST_FPERIOD_OVERRIDE=FQ","FILING_STATUS=OR","EQY_CONSOLIDATED=Y","FA_ADJUSTED=GAAP","Sort=A","Dates=H","DateFormat=P","Fill=—","Direction=H","UseDPDF=Y")</f>
        <v>#NAME?</v>
      </c>
      <c r="CX511" s="1" t="e">
        <f ca="1">_xll.BDH($C$503,"ACCT_RCV_DAYS","FQ3 2015","FQ3 2015","Currency=INR","Period=FQ","BEST_FPERIOD_OVERRIDE=FQ","FILING_STATUS=OR","EQY_CONSOLIDATED=Y","FA_ADJUSTED=GAAP","Sort=A","Dates=H","DateFormat=P","Fill=—","Direction=H","UseDPDF=Y")</f>
        <v>#NAME?</v>
      </c>
      <c r="CY511" s="3" t="e">
        <f ca="1">_xll.BDH($C$503,"INVENT_TURN","FQ3 2015","FQ3 2015","Currency=INR","Period=FQ","BEST_FPERIOD_OVERRIDE=FQ","FILING_STATUS=OR","EQY_CONSOLIDATED=Y","FA_ADJUSTED=GAAP","Sort=A","Dates=H","DateFormat=P","Fill=—","Direction=H","UseDPDF=Y")</f>
        <v>#NAME?</v>
      </c>
      <c r="CZ511" s="1" t="e">
        <f ca="1">_xll.BDH($C$503,"INVENT_DAYS","FQ3 2015","FQ3 2015","Currency=INR","Period=FQ","BEST_FPERIOD_OVERRIDE=FQ","FILING_STATUS=OR","EQY_CONSOLIDATED=Y","FA_ADJUSTED=GAAP","Sort=A","Dates=H","DateFormat=P","Fill=—","Direction=H","UseDPDF=Y")</f>
        <v>#NAME?</v>
      </c>
      <c r="DA511" s="3" t="e">
        <f ca="1">_xll.BDH($C$503,"ACCOUNTS_PAYABLE_TURNOVER","FQ3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11" s="1" t="e">
        <f ca="1">_xll.BDH($C$503,"ACCOUNTS_PAYABLE_TURNOVER_DAYS","FQ3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11" s="3" t="e">
        <f ca="1">_xll.BDH($C$503,"CASH_CONVERSION_CYCLE","FQ3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11" s="3" t="e">
        <f ca="1">_xll.BDH($C$503,"INV_TO_CASH_DAYS","FQ3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511" s="4" t="e">
        <f ca="1">_xll.BDH($C$503,"BS_INVENTORIES","FQ3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511" s="2" t="e">
        <f ca="1">_xll.BDH($C$503,"INVTRY_RAW_MATERIALS","FQ3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11" s="2" t="e">
        <f ca="1">_xll.BDH($C$503,"INVTRY_IN_PROGRESS","FQ3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11" s="2" t="e">
        <f ca="1">_xll.BDH($C$503,"INVTRY_FINISHED_GOODS","FQ3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11" s="2" t="e">
        <f ca="1">_xll.BDH($C$503,"BS_OTHER_INV","FQ3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12" spans="1:113" x14ac:dyDescent="0.3">
      <c r="A512" s="6"/>
      <c r="B512" s="6"/>
      <c r="C512" s="6"/>
      <c r="D512" s="6"/>
      <c r="E512" t="s">
        <v>7</v>
      </c>
      <c r="F512" t="e">
        <f ca="1">_xll.BDH($C$503,"RETURN_COM_EQY","FQ4 2015","FQ4 2015","Currency=INR","Period=FQ","BEST_FPERIOD_OVERRIDE=FQ","FILING_STATUS=OR","EQY_CONSOLIDATED=Y","FA_ADJUSTED=GAAP","Sort=A","Dates=H","DateFormat=P","Fill=—","Direction=H","UseDPDF=Y")</f>
        <v>#NAME?</v>
      </c>
      <c r="G512" t="e">
        <f ca="1">_xll.BDH($C$503,"RETURN_ON_ASSET","FQ4 2015","FQ4 2015","Currency=INR","Period=FQ","BEST_FPERIOD_OVERRIDE=FQ","FILING_STATUS=OR","EQY_CONSOLIDATED=Y","FA_ADJUSTED=GAAP","Sort=A","Dates=H","DateFormat=P","Fill=—","Direction=H","UseDPDF=Y")</f>
        <v>#NAME?</v>
      </c>
      <c r="H512" t="e">
        <f ca="1">_xll.BDH($C$503,"RETURN_ON_CAP","FQ4 2015","FQ4 2015","Currency=INR","Period=FQ","BEST_FPERIOD_OVERRIDE=FQ","FILING_STATUS=OR","EQY_CONSOLIDATED=Y","FA_ADJUSTED=GAAP","Sort=A","Dates=H","DateFormat=P","Fill=—","Direction=H","UseDPDF=Y")</f>
        <v>#NAME?</v>
      </c>
      <c r="I512" t="e">
        <f ca="1">_xll.BDH($C$503,"RETURN_ON_INV_CAPITAL","FQ4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12" t="e">
        <f ca="1">_xll.BDH($C$503,"EBITDA_TO_REVENUE","FQ4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512" t="e">
        <f ca="1">_xll.BDH($C$503,"OPER_MARGIN","FQ4 2015","FQ4 2015","Currency=INR","Period=FQ","BEST_FPERIOD_OVERRIDE=FQ","FILING_STATUS=OR","EQY_CONSOLIDATED=Y","FA_ADJUSTED=GAAP","Sort=A","Dates=H","DateFormat=P","Fill=—","Direction=H","UseDPDF=Y")</f>
        <v>#NAME?</v>
      </c>
      <c r="L512" t="e">
        <f ca="1">_xll.BDH($C$503,"INCREMENTAL_OPERATING_MARGIN","FQ4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12" t="e">
        <f ca="1">_xll.BDH($C$503,"PRETAX_INC_TO_NET_SALES","FQ4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12" t="e">
        <f ca="1">_xll.BDH($C$503,"INC_BEF_XO_ITEMS_TO_NET_SALES","FQ4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12" t="e">
        <f ca="1">_xll.BDH($C$503,"PROF_MARGIN","FQ4 2015","FQ4 2015","Currency=INR","Period=FQ","BEST_FPERIOD_OVERRIDE=FQ","FILING_STATUS=OR","EQY_CONSOLIDATED=Y","FA_ADJUSTED=GAAP","Sort=A","Dates=H","DateFormat=P","Fill=—","Direction=H","UseDPDF=Y")</f>
        <v>#NAME?</v>
      </c>
      <c r="P512" t="e">
        <f ca="1">_xll.BDH($C$503,"NET_INCOME_TO_COMMON_MARGIN","FQ4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12" t="e">
        <f ca="1">_xll.BDH($C$503,"EFF_TAX_RATE","FQ4 2015","FQ4 2015","Currency=INR","Period=FQ","BEST_FPERIOD_OVERRIDE=FQ","FILING_STATUS=OR","EQY_CONSOLIDATED=Y","FA_ADJUSTED=GAAP","Sort=A","Dates=H","DateFormat=P","Fill=—","Direction=H","UseDPDF=Y")</f>
        <v>#NAME?</v>
      </c>
      <c r="R512" t="e">
        <f ca="1">_xll.BDH($C$503,"DVD_PAYOUT_RATIO","FQ4 2015","FQ4 2015","Currency=INR","Period=FQ","BEST_FPERIOD_OVERRIDE=FQ","FILING_STATUS=OR","EQY_CONSOLIDATED=Y","FA_ADJUSTED=GAAP","Sort=A","Dates=H","DateFormat=P","Fill=—","Direction=H","UseDPDF=Y")</f>
        <v>#NAME?</v>
      </c>
      <c r="S512" t="e">
        <f ca="1">_xll.BDH($C$503,"SUSTAIN_GROWTH_RT","FQ4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512" s="1" t="e">
        <f ca="1">_xll.BDH($C$503,"SALES_GROWTH","FQ4 2015","FQ4 2015","Currency=INR","Period=FQ","BEST_FPERIOD_OVERRIDE=FQ","FILING_STATUS=OR","EQY_CONSOLIDATED=Y","FA_ADJUSTED=GAAP","Sort=A","Dates=H","DateFormat=P","Fill=—","Direction=H","UseDPDF=Y")</f>
        <v>#NAME?</v>
      </c>
      <c r="U512" s="1" t="e">
        <f ca="1">_xll.BDH($C$503,"EBITDA_GROWTH","FQ4 2015","FQ4 2015","Currency=INR","Period=FQ","BEST_FPERIOD_OVERRIDE=FQ","FILING_STATUS=OR","EQY_CONSOLIDATED=Y","FA_ADJUSTED=GAAP","Sort=A","Dates=H","DateFormat=P","Fill=—","Direction=H","UseDPDF=Y")</f>
        <v>#NAME?</v>
      </c>
      <c r="V512" s="1" t="e">
        <f ca="1">_xll.BDH($C$503,"OPER_INC_GROWTH","FQ4 2015","FQ4 2015","Currency=INR","Period=FQ","BEST_FPERIOD_OVERRIDE=FQ","FILING_STATUS=OR","EQY_CONSOLIDATED=Y","FA_ADJUSTED=GAAP","Sort=A","Dates=H","DateFormat=P","Fill=—","Direction=H","UseDPDF=Y")</f>
        <v>#NAME?</v>
      </c>
      <c r="W512" s="1" t="e">
        <f ca="1">_xll.BDH($C$503,"EARN_FOR_COM_GROWTH","FQ4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12" s="1" t="e">
        <f ca="1">_xll.BDH($C$503,"DILUTED_EPS_AFT_XO_ITEMS_GROWTH","FQ4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12" s="1" t="e">
        <f ca="1">_xll.BDH($C$503,"DIVIDEND_PER_SHARE_1_YEAR_GROWTH","FQ4 2015","FQ4 2015","Currency=INR","Period=FQ","BEST_FPERIOD_OVERRIDE=FQ","FILING_STATUS=OR","EQY_CONSOLIDATED=Y","Sort=A","Dates=H","DateFormat=P","Fill=—","Direction=H","UseDPDF=Y")</f>
        <v>#NAME?</v>
      </c>
      <c r="Z512" s="1" t="e">
        <f ca="1">_xll.BDH($C$503,"ACCOUNTS_RECEIVABLE_GROWTH","FQ4 2015","FQ4 2015","Currency=INR","Period=FQ","BEST_FPERIOD_OVERRIDE=FQ","FILING_STATUS=OR","EQY_CONSOLIDATED=Y","Sort=A","Dates=H","DateFormat=P","Fill=—","Direction=H","UseDPDF=Y")</f>
        <v>#NAME?</v>
      </c>
      <c r="AA512" s="1" t="e">
        <f ca="1">_xll.BDH($C$503,"INVENTORY_GROWTH","FQ4 2015","FQ4 2015","Currency=INR","Period=FQ","BEST_FPERIOD_OVERRIDE=FQ","FILING_STATUS=OR","EQY_CONSOLIDATED=Y","Sort=A","Dates=H","DateFormat=P","Fill=—","Direction=H","UseDPDF=Y")</f>
        <v>#NAME?</v>
      </c>
      <c r="AB512" s="1" t="e">
        <f ca="1">_xll.BDH($C$503,"NET_FIXED_ASSETS_1_YEAR_GROWTH","FQ4 2015","FQ4 2015","Currency=INR","Period=FQ","BEST_FPERIOD_OVERRIDE=FQ","FILING_STATUS=OR","EQY_CONSOLIDATED=Y","Sort=A","Dates=H","DateFormat=P","Fill=—","Direction=H","UseDPDF=Y")</f>
        <v>#NAME?</v>
      </c>
      <c r="AC512" s="1" t="e">
        <f ca="1">_xll.BDH($C$503,"ASSET_GROWTH","FQ4 2015","FQ4 2015","Currency=INR","Period=FQ","BEST_FPERIOD_OVERRIDE=FQ","FILING_STATUS=OR","EQY_CONSOLIDATED=Y","Sort=A","Dates=H","DateFormat=P","Fill=—","Direction=H","UseDPDF=Y")</f>
        <v>#NAME?</v>
      </c>
      <c r="AD512" s="1" t="e">
        <f ca="1">_xll.BDH($C$503,"MODIFIED_WORK_CAP_GROWTH","FQ4 2015","FQ4 2015","Currency=INR","Period=FQ","BEST_FPERIOD_OVERRIDE=FQ","FILING_STATUS=OR","EQY_CONSOLIDATED=Y","Sort=A","Dates=H","DateFormat=P","Fill=—","Direction=H","UseDPDF=Y")</f>
        <v>#NAME?</v>
      </c>
      <c r="AE512" s="1" t="e">
        <f ca="1">_xll.BDH($C$503,"WORK_CAP_GROWTH","FQ4 2015","FQ4 2015","Currency=INR","Period=FQ","BEST_FPERIOD_OVERRIDE=FQ","FILING_STATUS=OR","EQY_CONSOLIDATED=Y","Sort=A","Dates=H","DateFormat=P","Fill=—","Direction=H","UseDPDF=Y")</f>
        <v>#NAME?</v>
      </c>
      <c r="AF512" s="1" t="e">
        <f ca="1">_xll.BDH($C$503,"ACCOUNTS_PAYABLE_GROWTH_1YR","FQ4 2015","FQ4 2015","Currency=INR","Period=FQ","BEST_FPERIOD_OVERRIDE=FQ","FILING_STATUS=OR","EQY_CONSOLIDATED=Y","Sort=A","Dates=H","DateFormat=P","Fill=—","Direction=H","UseDPDF=Y")</f>
        <v>#NAME?</v>
      </c>
      <c r="AG512" s="1" t="e">
        <f ca="1">_xll.BDH($C$503,"SHORT_TERM_DEBT_1_YEAR_GROWTH","FQ4 2015","FQ4 2015","Currency=INR","Period=FQ","BEST_FPERIOD_OVERRIDE=FQ","FILING_STATUS=OR","EQY_CONSOLIDATED=Y","Sort=A","Dates=H","DateFormat=P","Fill=—","Direction=H","UseDPDF=Y")</f>
        <v>#NAME?</v>
      </c>
      <c r="AH512" s="1" t="e">
        <f ca="1">_xll.BDH($C$503,"TOTAL_DEBT_1_YEAR_GROWTH","FQ4 2015","FQ4 2015","Currency=INR","Period=FQ","BEST_FPERIOD_OVERRIDE=FQ","FILING_STATUS=OR","EQY_CONSOLIDATED=Y","Sort=A","Dates=H","DateFormat=P","Fill=—","Direction=H","UseDPDF=Y")</f>
        <v>#NAME?</v>
      </c>
      <c r="AI512" s="1" t="e">
        <f ca="1">_xll.BDH($C$503,"TOTAL_EQUITY_1_YEAR_GROWTH","FQ4 2015","FQ4 2015","Currency=INR","Period=FQ","BEST_FPERIOD_OVERRIDE=FQ","FILING_STATUS=OR","EQY_CONSOLIDATED=Y","Sort=A","Dates=H","DateFormat=P","Fill=—","Direction=H","UseDPDF=Y")</f>
        <v>#NAME?</v>
      </c>
      <c r="AJ512" s="1" t="e">
        <f ca="1">_xll.BDH($C$503,"GROWTH_IN_CAP","FQ4 2015","FQ4 2015","Currency=INR","Period=FQ","BEST_FPERIOD_OVERRIDE=FQ","FILING_STATUS=OR","EQY_CONSOLIDATED=Y","Sort=A","Dates=H","DateFormat=P","Fill=—","Direction=H","UseDPDF=Y")</f>
        <v>#NAME?</v>
      </c>
      <c r="AK512" s="1" t="e">
        <f ca="1">_xll.BDH($C$503,"BVPS_GROWTH","FQ4 2015","FQ4 2015","Currency=INR","Period=FQ","BEST_FPERIOD_OVERRIDE=FQ","FILING_STATUS=OR","EQY_CONSOLIDATED=Y","Sort=A","Dates=H","DateFormat=P","Fill=—","Direction=H","UseDPDF=Y")</f>
        <v>#NAME?</v>
      </c>
      <c r="AL512" s="1" t="e">
        <f ca="1">_xll.BDH($C$503,"CASH_FLOW_GROWTH","FQ4 2015","FQ4 2015","Currency=INR","Period=FQ","BEST_FPERIOD_OVERRIDE=FQ","FILING_STATUS=OR","EQY_CONSOLIDATED=Y","Sort=A","Dates=H","DateFormat=P","Fill=—","Direction=H","UseDPDF=Y")</f>
        <v>#NAME?</v>
      </c>
      <c r="AM512" s="1" t="e">
        <f ca="1">_xll.BDH($C$503,"GEO_GROW_NET_SALES","FQ4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12" s="1" t="e">
        <f ca="1">_xll.BDH($C$503,"GEO_GROW_EBITDA","FQ4 2015","FQ4 2015","Currency=INR","Period=FQ","BEST_FPERIOD_OVERRIDE=FQ","FILING_STATUS=OR","EQY_CONSOLIDATED=Y","FA_ADJUSTED=GAAP","Sort=A","Dates=H","DateFormat=P","Fill=—","Direction=H","UseDPDF=Y")</f>
        <v>#NAME?</v>
      </c>
      <c r="AO512" s="1" t="e">
        <f ca="1">_xll.BDH($C$503,"GEO_GROW_OPER_INC","FQ4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12" s="1" t="e">
        <f ca="1">_xll.BDH($C$503,"NET_INCOME_TO_COMMON_5_YR_GROWTH","FQ4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12" s="1" t="e">
        <f ca="1">_xll.BDH($C$503,"5Y_GEO_GROWTH_DILUTED_EPS","FQ4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12" s="1" t="e">
        <f ca="1">_xll.BDH($C$503,"GEO_GROW_DVD_PER_SH","FQ4 2015","FQ4 2015","Currency=INR","Period=FQ","BEST_FPERIOD_OVERRIDE=FQ","FILING_STATUS=OR","EQY_CONSOLIDATED=Y","Sort=A","Dates=H","DateFormat=P","Fill=—","Direction=H","UseDPDF=Y")</f>
        <v>#NAME?</v>
      </c>
      <c r="AS512" s="1" t="e">
        <f ca="1">_xll.BDH($C$503,"ACCOUNTS_RECEIVABLE_5_YR_GROWTH","FQ4 2015","FQ4 2015","Currency=INR","Period=FQ","BEST_FPERIOD_OVERRIDE=FQ","FILING_STATUS=OR","EQY_CONSOLIDATED=Y","Sort=A","Dates=H","DateFormat=P","Fill=—","Direction=H","UseDPDF=Y")</f>
        <v>#NAME?</v>
      </c>
      <c r="AT512" s="1" t="e">
        <f ca="1">_xll.BDH($C$503,"INVENTORY_5_YEAR_GROWTH","FQ4 2015","FQ4 2015","Currency=INR","Period=FQ","BEST_FPERIOD_OVERRIDE=FQ","FILING_STATUS=OR","EQY_CONSOLIDATED=Y","Sort=A","Dates=H","DateFormat=P","Fill=—","Direction=H","UseDPDF=Y")</f>
        <v>#NAME?</v>
      </c>
      <c r="AU512" s="1" t="e">
        <f ca="1">_xll.BDH($C$503,"NET_FIXED_ASSETS_5_YEAR_GROWTH","FQ4 2015","FQ4 2015","Currency=INR","Period=FQ","BEST_FPERIOD_OVERRIDE=FQ","FILING_STATUS=OR","EQY_CONSOLIDATED=Y","Sort=A","Dates=H","DateFormat=P","Fill=—","Direction=H","UseDPDF=Y")</f>
        <v>#NAME?</v>
      </c>
      <c r="AV512" s="1" t="e">
        <f ca="1">_xll.BDH($C$503,"GEO_GROW_TOT_ASSET","FQ4 2015","FQ4 2015","Currency=INR","Period=FQ","BEST_FPERIOD_OVERRIDE=FQ","FILING_STATUS=OR","EQY_CONSOLIDATED=Y","Sort=A","Dates=H","DateFormat=P","Fill=—","Direction=H","UseDPDF=Y")</f>
        <v>#NAME?</v>
      </c>
      <c r="AW512" s="1" t="e">
        <f ca="1">_xll.BDH($C$503,"MODIFIED_WORKING_CPTL_5YR_GRWTH","FQ4 2015","FQ4 2015","Currency=INR","Period=FQ","BEST_FPERIOD_OVERRIDE=FQ","FILING_STATUS=OR","EQY_CONSOLIDATED=Y","Sort=A","Dates=H","DateFormat=P","Fill=—","Direction=H","UseDPDF=Y")</f>
        <v>#NAME?</v>
      </c>
      <c r="AX512" s="1" t="e">
        <f ca="1">_xll.BDH($C$503,"WORKING_CAPITAL_5_YEAR_GROWTH","FQ4 2015","FQ4 2015","Currency=INR","Period=FQ","BEST_FPERIOD_OVERRIDE=FQ","FILING_STATUS=OR","EQY_CONSOLIDATED=Y","Sort=A","Dates=H","DateFormat=P","Fill=—","Direction=H","UseDPDF=Y")</f>
        <v>#NAME?</v>
      </c>
      <c r="AY512" s="1" t="e">
        <f ca="1">_xll.BDH($C$503,"ACCOUNTS_PAYABLE_5_YEAR_GROWTH","FQ4 2015","FQ4 2015","Currency=INR","Period=FQ","BEST_FPERIOD_OVERRIDE=FQ","FILING_STATUS=OR","EQY_CONSOLIDATED=Y","Sort=A","Dates=H","DateFormat=P","Fill=—","Direction=H","UseDPDF=Y")</f>
        <v>#NAME?</v>
      </c>
      <c r="AZ512" s="1" t="e">
        <f ca="1">_xll.BDH($C$503,"SHORT_TERM_DEBT_5_YEAR_GROWTH","FQ4 2015","FQ4 2015","Currency=INR","Period=FQ","BEST_FPERIOD_OVERRIDE=FQ","FILING_STATUS=OR","EQY_CONSOLIDATED=Y","Sort=A","Dates=H","DateFormat=P","Fill=—","Direction=H","UseDPDF=Y")</f>
        <v>#NAME?</v>
      </c>
      <c r="BA512" s="1" t="e">
        <f ca="1">_xll.BDH($C$503,"TOTAL_DEBT_5_YEAR_GROWTH","FQ4 2015","FQ4 2015","Currency=INR","Period=FQ","BEST_FPERIOD_OVERRIDE=FQ","FILING_STATUS=OR","EQY_CONSOLIDATED=Y","Sort=A","Dates=H","DateFormat=P","Fill=—","Direction=H","UseDPDF=Y")</f>
        <v>#NAME?</v>
      </c>
      <c r="BB512" s="1" t="e">
        <f ca="1">_xll.BDH($C$503,"GEO_GROW_TOT_SHRHLDR_EQY","FQ4 2015","FQ4 2015","Currency=INR","Period=FQ","BEST_FPERIOD_OVERRIDE=FQ","FILING_STATUS=OR","EQY_CONSOLIDATED=Y","Sort=A","Dates=H","DateFormat=P","Fill=—","Direction=H","UseDPDF=Y")</f>
        <v>#NAME?</v>
      </c>
      <c r="BC512" s="1" t="e">
        <f ca="1">_xll.BDH($C$503,"TOTAL_CAPITAL_5_YEAR_GROWTH","FQ4 2015","FQ4 2015","Currency=INR","Period=FQ","BEST_FPERIOD_OVERRIDE=FQ","FILING_STATUS=OR","EQY_CONSOLIDATED=Y","Sort=A","Dates=H","DateFormat=P","Fill=—","Direction=H","UseDPDF=Y")</f>
        <v>#NAME?</v>
      </c>
      <c r="BD512" s="1" t="e">
        <f ca="1">_xll.BDH($C$503,"GEO_GROW_BOOK_VAL","FQ4 2015","FQ4 2015","Currency=INR","Period=FQ","BEST_FPERIOD_OVERRIDE=FQ","FILING_STATUS=OR","EQY_CONSOLIDATED=Y","Sort=A","Dates=H","DateFormat=P","Fill=—","Direction=H","UseDPDF=Y")</f>
        <v>#NAME?</v>
      </c>
      <c r="BE512" s="1" t="e">
        <f ca="1">_xll.BDH($C$503,"GEO_GROW_CASH_OPER_ACT","FQ4 2015","FQ4 2015","Currency=INR","Period=FQ","BEST_FPERIOD_OVERRIDE=FQ","FILING_STATUS=OR","EQY_CONSOLIDATED=Y","Sort=A","Dates=H","DateFormat=P","Fill=—","Direction=H","UseDPDF=Y")</f>
        <v>#NAME?</v>
      </c>
      <c r="BF512" s="1" t="e">
        <f ca="1">_xll.BDH($C$503,"REVENUE_SEQUENTIAL_GROWTH","FQ4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12" s="1" t="e">
        <f ca="1">_xll.BDH($C$503,"EBITDA_SEQUENTIAL_GROWTH","FQ4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12" s="1" t="e">
        <f ca="1">_xll.BDH($C$503,"OPERATING_INCOME_SEQ_GROWTH","FQ4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12" s="1" t="e">
        <f ca="1">_xll.BDH($C$503,"NET_INCOME_TO_COMMON_SEQ_GROWTH","FQ4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12" s="1" t="e">
        <f ca="1">_xll.BDH($C$503,"EPS_DILUTED_SEQUENTIAL_GROWTH","FQ4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12" s="1" t="e">
        <f ca="1">_xll.BDH($C$503,"DPS_SEQUENTIAL_GROWTH","FQ4 2015","FQ4 2015","Currency=INR","Period=FQ","BEST_FPERIOD_OVERRIDE=FQ","FILING_STATUS=OR","EQY_CONSOLIDATED=Y","Sort=A","Dates=H","DateFormat=P","Fill=—","Direction=H","UseDPDF=Y")</f>
        <v>#NAME?</v>
      </c>
      <c r="BL512" s="1" t="e">
        <f ca="1">_xll.BDH($C$503,"ACCOUNTS_RECEIVABLE_SEQ_GROWTH","FQ4 2015","FQ4 2015","Currency=INR","Period=FQ","BEST_FPERIOD_OVERRIDE=FQ","FILING_STATUS=OR","EQY_CONSOLIDATED=Y","Sort=A","Dates=H","DateFormat=P","Fill=—","Direction=H","UseDPDF=Y")</f>
        <v>#NAME?</v>
      </c>
      <c r="BM512" s="1" t="e">
        <f ca="1">_xll.BDH($C$503,"INVENTORY_SEQUENTIAL_GROWTH","FQ4 2015","FQ4 2015","Currency=INR","Period=FQ","BEST_FPERIOD_OVERRIDE=FQ","FILING_STATUS=OR","EQY_CONSOLIDATED=Y","Sort=A","Dates=H","DateFormat=P","Fill=—","Direction=H","UseDPDF=Y")</f>
        <v>#NAME?</v>
      </c>
      <c r="BN512" s="1" t="e">
        <f ca="1">_xll.BDH($C$503,"FIXED_ASSETS_SEQUENTIAL_GROWTH","FQ4 2015","FQ4 2015","Currency=INR","Period=FQ","BEST_FPERIOD_OVERRIDE=FQ","FILING_STATUS=OR","EQY_CONSOLIDATED=Y","Sort=A","Dates=H","DateFormat=P","Fill=—","Direction=H","UseDPDF=Y")</f>
        <v>#NAME?</v>
      </c>
      <c r="BO512" s="1" t="e">
        <f ca="1">_xll.BDH($C$503,"TOTAL_ASSETS_SEQUENTIAL_GROWTH","FQ4 2015","FQ4 2015","Currency=INR","Period=FQ","BEST_FPERIOD_OVERRIDE=FQ","FILING_STATUS=OR","EQY_CONSOLIDATED=Y","Sort=A","Dates=H","DateFormat=P","Fill=—","Direction=H","UseDPDF=Y")</f>
        <v>#NAME?</v>
      </c>
      <c r="BP512" s="1" t="e">
        <f ca="1">_xll.BDH($C$503,"MODIFIED_WORKING_CPTL_SEQ_GRWTH","FQ4 2015","FQ4 2015","Currency=INR","Period=FQ","BEST_FPERIOD_OVERRIDE=FQ","FILING_STATUS=OR","EQY_CONSOLIDATED=Y","Sort=A","Dates=H","DateFormat=P","Fill=—","Direction=H","UseDPDF=Y")</f>
        <v>#NAME?</v>
      </c>
      <c r="BQ512" s="1" t="e">
        <f ca="1">_xll.BDH($C$503,"WORKING_CAPITAL_SEQ_GROWTH","FQ4 2015","FQ4 2015","Currency=INR","Period=FQ","BEST_FPERIOD_OVERRIDE=FQ","FILING_STATUS=OR","EQY_CONSOLIDATED=Y","Sort=A","Dates=H","DateFormat=P","Fill=—","Direction=H","UseDPDF=Y")</f>
        <v>#NAME?</v>
      </c>
      <c r="BR512" s="1" t="e">
        <f ca="1">_xll.BDH($C$503,"ACCOUNTS_PAYABLE_SEQ_GROWTH","FQ4 2015","FQ4 2015","Currency=INR","Period=FQ","BEST_FPERIOD_OVERRIDE=FQ","FILING_STATUS=OR","EQY_CONSOLIDATED=Y","Sort=A","Dates=H","DateFormat=P","Fill=—","Direction=H","UseDPDF=Y")</f>
        <v>#NAME?</v>
      </c>
      <c r="BS512" s="1" t="e">
        <f ca="1">_xll.BDH($C$503,"ST_DEBT_SEQUENTIAL_GROWTH","FQ4 2015","FQ4 2015","Currency=INR","Period=FQ","BEST_FPERIOD_OVERRIDE=FQ","FILING_STATUS=OR","EQY_CONSOLIDATED=Y","Sort=A","Dates=H","DateFormat=P","Fill=—","Direction=H","UseDPDF=Y")</f>
        <v>#NAME?</v>
      </c>
      <c r="BT512" s="1" t="e">
        <f ca="1">_xll.BDH($C$503,"TOTAL_DEBT_SEQUENTIAL_GROWTH","FQ4 2015","FQ4 2015","Currency=INR","Period=FQ","BEST_FPERIOD_OVERRIDE=FQ","FILING_STATUS=OR","EQY_CONSOLIDATED=Y","Sort=A","Dates=H","DateFormat=P","Fill=—","Direction=H","UseDPDF=Y")</f>
        <v>#NAME?</v>
      </c>
      <c r="BU512" s="1" t="e">
        <f ca="1">_xll.BDH($C$503,"TOTAL_EQUITY_SEQUENTIAL_GROWTH","FQ4 2015","FQ4 2015","Currency=INR","Period=FQ","BEST_FPERIOD_OVERRIDE=FQ","FILING_STATUS=OR","EQY_CONSOLIDATED=Y","Sort=A","Dates=H","DateFormat=P","Fill=—","Direction=H","UseDPDF=Y")</f>
        <v>#NAME?</v>
      </c>
      <c r="BV512" s="1" t="e">
        <f ca="1">_xll.BDH($C$503,"TOTAL_CAPITAL_SEQUENTIAL_GROWTH","FQ4 2015","FQ4 2015","Currency=INR","Period=FQ","BEST_FPERIOD_OVERRIDE=FQ","FILING_STATUS=OR","EQY_CONSOLIDATED=Y","Sort=A","Dates=H","DateFormat=P","Fill=—","Direction=H","UseDPDF=Y")</f>
        <v>#NAME?</v>
      </c>
      <c r="BW512" s="1" t="e">
        <f ca="1">_xll.BDH($C$503,"BPS_SEQUENTIAL_GROWTH","FQ4 2015","FQ4 2015","Currency=INR","Period=FQ","BEST_FPERIOD_OVERRIDE=FQ","FILING_STATUS=OR","EQY_CONSOLIDATED=Y","Sort=A","Dates=H","DateFormat=P","Fill=—","Direction=H","UseDPDF=Y")</f>
        <v>#NAME?</v>
      </c>
      <c r="BX512" s="1" t="e">
        <f ca="1">_xll.BDH($C$503,"CFO_SEQUENTIAL_GROWTH","FQ4 2015","FQ4 2015","Currency=INR","Period=FQ","BEST_FPERIOD_OVERRIDE=FQ","FILING_STATUS=OR","EQY_CONSOLIDATED=Y","Sort=A","Dates=H","DateFormat=P","Fill=—","Direction=H","UseDPDF=Y")</f>
        <v>#NAME?</v>
      </c>
      <c r="BY512" s="2" t="e">
        <f ca="1">_xll.BDH($C$503,"SHORT_AND_LONG_TERM_DEBT","FQ4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12" s="2" t="e">
        <f ca="1">_xll.BDH($C$503,"BS_ST_BORROW","FQ4 2015","FQ4 2015","Currency=INR","Period=FQ","BEST_FPERIOD_OVERRIDE=FQ","FILING_STATUS=OR","EQY_CONSOLIDATED=Y","SCALING_FORMAT=MLN","Sort=A","Dates=H","DateFormat=P","Fill=—","Direction=H","UseDPDF=Y")</f>
        <v>#NAME?</v>
      </c>
      <c r="CA512" s="2" t="e">
        <f ca="1">_xll.BDH($C$503,"BS_LT_BORROW","FQ4 2015","FQ4 2015","Currency=INR","Period=FQ","BEST_FPERIOD_OVERRIDE=FQ","FILING_STATUS=OR","EQY_CONSOLIDATED=Y","SCALING_FORMAT=MLN","Sort=A","Dates=H","DateFormat=P","Fill=—","Direction=H","UseDPDF=Y")</f>
        <v>#NAME?</v>
      </c>
      <c r="CB512" s="1" t="e">
        <f ca="1">_xll.BDH($C$503,"TOT_DEBT_TO_EBITDA","FQ4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12" s="1" t="e">
        <f ca="1">_xll.BDH($C$503,"NET_DEBT_TO_EBITDA","FQ4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12" s="1" t="e">
        <f ca="1">_xll.BDH($C$503,"TOTAL_DEBT_TO_EBIT","FQ4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12" s="1" t="e">
        <f ca="1">_xll.BDH($C$503,"NET_DEBT_TO_EBIT","FQ4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512" s="1" t="e">
        <f ca="1">_xll.BDH($C$503,"EBITDA_TO_INTEREST_EXPN","FQ4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12" s="1" t="e">
        <f ca="1">_xll.BDH($C$503,"COM_EQY_TO_TOT_ASSET","FQ4 2015","FQ4 2015","Currency=INR","Period=FQ","BEST_FPERIOD_OVERRIDE=FQ","FILING_STATUS=OR","EQY_CONSOLIDATED=Y","Sort=A","Dates=H","DateFormat=P","Fill=—","Direction=H","UseDPDF=Y")</f>
        <v>#NAME?</v>
      </c>
      <c r="CH512" s="1" t="e">
        <f ca="1">_xll.BDH($C$503,"LT_DEBT_TO_TOT_EQY","FQ4 2015","FQ4 2015","Currency=INR","Period=FQ","BEST_FPERIOD_OVERRIDE=FQ","FILING_STATUS=OR","EQY_CONSOLIDATED=Y","Sort=A","Dates=H","DateFormat=P","Fill=—","Direction=H","UseDPDF=Y")</f>
        <v>#NAME?</v>
      </c>
      <c r="CI512" s="1" t="e">
        <f ca="1">_xll.BDH($C$503,"LT_DEBT_TO_TOT_CAP","FQ4 2015","FQ4 2015","Currency=INR","Period=FQ","BEST_FPERIOD_OVERRIDE=FQ","FILING_STATUS=OR","EQY_CONSOLIDATED=Y","Sort=A","Dates=H","DateFormat=P","Fill=—","Direction=H","UseDPDF=Y")</f>
        <v>#NAME?</v>
      </c>
      <c r="CJ512" s="1" t="e">
        <f ca="1">_xll.BDH($C$503,"LT_DEBT_TO_TOT_ASSET","FQ4 2015","FQ4 2015","Currency=INR","Period=FQ","BEST_FPERIOD_OVERRIDE=FQ","FILING_STATUS=OR","EQY_CONSOLIDATED=Y","Sort=A","Dates=H","DateFormat=P","Fill=—","Direction=H","UseDPDF=Y")</f>
        <v>#NAME?</v>
      </c>
      <c r="CK512" s="1" t="e">
        <f ca="1">_xll.BDH($C$503,"TOT_DEBT_TO_TOT_EQY","FQ4 2015","FQ4 2015","Currency=INR","Period=FQ","BEST_FPERIOD_OVERRIDE=FQ","FILING_STATUS=OR","EQY_CONSOLIDATED=Y","Sort=A","Dates=H","DateFormat=P","Fill=—","Direction=H","UseDPDF=Y")</f>
        <v>#NAME?</v>
      </c>
      <c r="CL512" s="1" t="e">
        <f ca="1">_xll.BDH($C$503,"TOT_DEBT_TO_TOT_CAP","FQ4 2015","FQ4 2015","Currency=INR","Period=FQ","BEST_FPERIOD_OVERRIDE=FQ","FILING_STATUS=OR","EQY_CONSOLIDATED=Y","Sort=A","Dates=H","DateFormat=P","Fill=—","Direction=H","UseDPDF=Y")</f>
        <v>#NAME?</v>
      </c>
      <c r="CM512" s="1" t="e">
        <f ca="1">_xll.BDH($C$503,"TOT_DEBT_TO_TOT_ASSET","FQ4 2015","FQ4 2015","Currency=INR","Period=FQ","BEST_FPERIOD_OVERRIDE=FQ","FILING_STATUS=OR","EQY_CONSOLIDATED=Y","Sort=A","Dates=H","DateFormat=P","Fill=—","Direction=H","UseDPDF=Y")</f>
        <v>#NAME?</v>
      </c>
      <c r="CN512" s="1" t="e">
        <f ca="1">_xll.BDH($C$503,"NET_DEBT_TO_SHRHLDR_EQTY","FQ4 2015","FQ4 2015","Currency=INR","Period=FQ","BEST_FPERIOD_OVERRIDE=FQ","FILING_STATUS=OR","EQY_CONSOLIDATED=Y","Sort=A","Dates=H","DateFormat=P","Fill=—","Direction=H","UseDPDF=Y")</f>
        <v>#NAME?</v>
      </c>
      <c r="CO512" s="1" t="e">
        <f ca="1">_xll.BDH($C$503,"NET_DEBT_%_CAPITAL","FQ4 2015","FQ4 2015","Currency=INR","Period=FQ","BEST_FPERIOD_OVERRIDE=FQ","FILING_STATUS=OR","EQY_CONSOLIDATED=Y","Sort=A","Dates=H","DateFormat=P","Fill=—","Direction=H","UseDPDF=Y")</f>
        <v>#NAME?</v>
      </c>
      <c r="CP512" s="2" t="e">
        <f ca="1">_xll.BDH($C$503,"EBITDA","FQ4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12" s="2" t="e">
        <f ca="1">_xll.BDH($C$503,"EBITDA_AFTER_CAPEX","FQ4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12" s="2" t="e">
        <f ca="1">_xll.BDH($C$503,"IS_OPER_INC","FQ4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12" s="1" t="e">
        <f ca="1">_xll.BDH($C$503,"CASH_RATIO","FQ4 2015","FQ4 2015","Currency=INR","Period=FQ","BEST_FPERIOD_OVERRIDE=FQ","FILING_STATUS=OR","EQY_CONSOLIDATED=Y","Sort=A","Dates=H","DateFormat=P","Fill=—","Direction=H","UseDPDF=Y")</f>
        <v>#NAME?</v>
      </c>
      <c r="CT512" s="1" t="e">
        <f ca="1">_xll.BDH($C$503,"CUR_RATIO","FQ4 2015","FQ4 2015","Currency=INR","Period=FQ","BEST_FPERIOD_OVERRIDE=FQ","FILING_STATUS=OR","EQY_CONSOLIDATED=Y","Sort=A","Dates=H","DateFormat=P","Fill=—","Direction=H","UseDPDF=Y")</f>
        <v>#NAME?</v>
      </c>
      <c r="CU512" s="1" t="e">
        <f ca="1">_xll.BDH($C$503,"QUICK_RATIO","FQ4 2015","FQ4 2015","Currency=INR","Period=FQ","BEST_FPERIOD_OVERRIDE=FQ","FILING_STATUS=OR","EQY_CONSOLIDATED=Y","Sort=A","Dates=H","DateFormat=P","Fill=—","Direction=H","UseDPDF=Y")</f>
        <v>#NAME?</v>
      </c>
      <c r="CV512" s="1" t="e">
        <f ca="1">_xll.BDH($C$503,"ALTMAN_Z_SCORE","FQ4 2015","FQ4 2015","Currency=INR","Period=FQ","BEST_FPERIOD_OVERRIDE=FQ","FILING_STATUS=OR","EQY_CONSOLIDATED=Y","Sort=A","Dates=H","DateFormat=P","Fill=—","Direction=H","UseDPDF=Y")</f>
        <v>#NAME?</v>
      </c>
      <c r="CW512" s="3" t="e">
        <f ca="1">_xll.BDH($C$503,"ACCT_RCV_TURN","FQ4 2015","FQ4 2015","Currency=INR","Period=FQ","BEST_FPERIOD_OVERRIDE=FQ","FILING_STATUS=OR","EQY_CONSOLIDATED=Y","FA_ADJUSTED=GAAP","Sort=A","Dates=H","DateFormat=P","Fill=—","Direction=H","UseDPDF=Y")</f>
        <v>#NAME?</v>
      </c>
      <c r="CX512" s="1" t="e">
        <f ca="1">_xll.BDH($C$503,"ACCT_RCV_DAYS","FQ4 2015","FQ4 2015","Currency=INR","Period=FQ","BEST_FPERIOD_OVERRIDE=FQ","FILING_STATUS=OR","EQY_CONSOLIDATED=Y","FA_ADJUSTED=GAAP","Sort=A","Dates=H","DateFormat=P","Fill=—","Direction=H","UseDPDF=Y")</f>
        <v>#NAME?</v>
      </c>
      <c r="CY512" s="3" t="e">
        <f ca="1">_xll.BDH($C$503,"INVENT_TURN","FQ4 2015","FQ4 2015","Currency=INR","Period=FQ","BEST_FPERIOD_OVERRIDE=FQ","FILING_STATUS=OR","EQY_CONSOLIDATED=Y","FA_ADJUSTED=GAAP","Sort=A","Dates=H","DateFormat=P","Fill=—","Direction=H","UseDPDF=Y")</f>
        <v>#NAME?</v>
      </c>
      <c r="CZ512" s="1" t="e">
        <f ca="1">_xll.BDH($C$503,"INVENT_DAYS","FQ4 2015","FQ4 2015","Currency=INR","Period=FQ","BEST_FPERIOD_OVERRIDE=FQ","FILING_STATUS=OR","EQY_CONSOLIDATED=Y","FA_ADJUSTED=GAAP","Sort=A","Dates=H","DateFormat=P","Fill=—","Direction=H","UseDPDF=Y")</f>
        <v>#NAME?</v>
      </c>
      <c r="DA512" s="3" t="e">
        <f ca="1">_xll.BDH($C$503,"ACCOUNTS_PAYABLE_TURNOVER","FQ4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12" s="1" t="e">
        <f ca="1">_xll.BDH($C$503,"ACCOUNTS_PAYABLE_TURNOVER_DAYS","FQ4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12" s="3" t="e">
        <f ca="1">_xll.BDH($C$503,"CASH_CONVERSION_CYCLE","FQ4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12" s="3" t="e">
        <f ca="1">_xll.BDH($C$503,"INV_TO_CASH_DAYS","FQ4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512" s="4" t="e">
        <f ca="1">_xll.BDH($C$503,"BS_INVENTORIES","FQ4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512" s="2" t="e">
        <f ca="1">_xll.BDH($C$503,"INVTRY_RAW_MATERIALS","FQ4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12" s="2" t="e">
        <f ca="1">_xll.BDH($C$503,"INVTRY_IN_PROGRESS","FQ4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12" s="2" t="e">
        <f ca="1">_xll.BDH($C$503,"INVTRY_FINISHED_GOODS","FQ4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12" s="2" t="e">
        <f ca="1">_xll.BDH($C$503,"BS_OTHER_INV","FQ4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13" spans="1:113" x14ac:dyDescent="0.3">
      <c r="A513" s="6"/>
      <c r="B513" s="6"/>
      <c r="C513" s="6"/>
      <c r="D513" s="6" t="s">
        <v>9</v>
      </c>
      <c r="E513" t="s">
        <v>3</v>
      </c>
      <c r="F513" t="e">
        <f ca="1">_xll.BDH($C$503,"RETURN_COM_EQY","FY 2016","FY 2016","Currency=INR","Period=FY","BEST_FPERIOD_OVERRIDE=FY","FILING_STATUS=OR","EQY_CONSOLIDATED=Y","FA_ADJUSTED=GAAP","Sort=A","Dates=H","DateFormat=P","Fill=—","Direction=H","UseDPDF=Y")</f>
        <v>#NAME?</v>
      </c>
      <c r="G513" t="e">
        <f ca="1">_xll.BDH($C$503,"RETURN_ON_ASSET","FY 2016","FY 2016","Currency=INR","Period=FY","BEST_FPERIOD_OVERRIDE=FY","FILING_STATUS=OR","EQY_CONSOLIDATED=Y","FA_ADJUSTED=GAAP","Sort=A","Dates=H","DateFormat=P","Fill=—","Direction=H","UseDPDF=Y")</f>
        <v>#NAME?</v>
      </c>
      <c r="H513" t="e">
        <f ca="1">_xll.BDH($C$503,"RETURN_ON_CAP","FY 2016","FY 2016","Currency=INR","Period=FY","BEST_FPERIOD_OVERRIDE=FY","FILING_STATUS=OR","EQY_CONSOLIDATED=Y","FA_ADJUSTED=GAAP","Sort=A","Dates=H","DateFormat=P","Fill=—","Direction=H","UseDPDF=Y")</f>
        <v>#NAME?</v>
      </c>
      <c r="I513" t="e">
        <f ca="1">_xll.BDH($C$503,"RETURN_ON_INV_CAPITAL","FY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13" t="e">
        <f ca="1">_xll.BDH($C$503,"EBITDA_TO_REVENUE","FY 2016","FY 2016","Currency=INR","Period=FY","BEST_FPERIOD_OVERRIDE=FY","FILING_STATUS=OR","EQY_CONSOLIDATED=Y","FA_ADJUSTED=GAAP","Sort=A","Dates=H","DateFormat=P","Fill=—","Direction=H","UseDPDF=Y")</f>
        <v>#NAME?</v>
      </c>
      <c r="K513" t="e">
        <f ca="1">_xll.BDH($C$503,"OPER_MARGIN","FY 2016","FY 2016","Currency=INR","Period=FY","BEST_FPERIOD_OVERRIDE=FY","FILING_STATUS=OR","EQY_CONSOLIDATED=Y","FA_ADJUSTED=GAAP","Sort=A","Dates=H","DateFormat=P","Fill=—","Direction=H","UseDPDF=Y")</f>
        <v>#NAME?</v>
      </c>
      <c r="L513" t="e">
        <f ca="1">_xll.BDH($C$503,"INCREMENTAL_OPERATING_MARGIN","FY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13" t="e">
        <f ca="1">_xll.BDH($C$503,"PRETAX_INC_TO_NET_SALES","FY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13" t="e">
        <f ca="1">_xll.BDH($C$503,"INC_BEF_XO_ITEMS_TO_NET_SALES","FY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13" t="e">
        <f ca="1">_xll.BDH($C$503,"PROF_MARGIN","FY 2016","FY 2016","Currency=INR","Period=FY","BEST_FPERIOD_OVERRIDE=FY","FILING_STATUS=OR","EQY_CONSOLIDATED=Y","FA_ADJUSTED=GAAP","Sort=A","Dates=H","DateFormat=P","Fill=—","Direction=H","UseDPDF=Y")</f>
        <v>#NAME?</v>
      </c>
      <c r="P513" t="e">
        <f ca="1">_xll.BDH($C$503,"NET_INCOME_TO_COMMON_MARGIN","FY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13" t="e">
        <f ca="1">_xll.BDH($C$503,"EFF_TAX_RATE","FY 2016","FY 2016","Currency=INR","Period=FY","BEST_FPERIOD_OVERRIDE=FY","FILING_STATUS=OR","EQY_CONSOLIDATED=Y","FA_ADJUSTED=GAAP","Sort=A","Dates=H","DateFormat=P","Fill=—","Direction=H","UseDPDF=Y")</f>
        <v>#NAME?</v>
      </c>
      <c r="R513" t="e">
        <f ca="1">_xll.BDH($C$503,"DVD_PAYOUT_RATIO","FY 2016","FY 2016","Currency=INR","Period=FY","BEST_FPERIOD_OVERRIDE=FY","FILING_STATUS=OR","EQY_CONSOLIDATED=Y","FA_ADJUSTED=GAAP","Sort=A","Dates=H","DateFormat=P","Fill=—","Direction=H","UseDPDF=Y")</f>
        <v>#NAME?</v>
      </c>
      <c r="S513" t="e">
        <f ca="1">_xll.BDH($C$503,"SUSTAIN_GROWTH_RT","FY 2016","FY 2016","Currency=INR","Period=FY","BEST_FPERIOD_OVERRIDE=FY","FILING_STATUS=OR","EQY_CONSOLIDATED=Y","FA_ADJUSTED=GAAP","Sort=A","Dates=H","DateFormat=P","Fill=—","Direction=H","UseDPDF=Y")</f>
        <v>#NAME?</v>
      </c>
      <c r="T513" s="1" t="e">
        <f ca="1">_xll.BDH($C$503,"SALES_GROWTH","FY 2016","FY 2016","Currency=INR","Period=FY","BEST_FPERIOD_OVERRIDE=FY","FILING_STATUS=OR","EQY_CONSOLIDATED=Y","FA_ADJUSTED=GAAP","Sort=A","Dates=H","DateFormat=P","Fill=—","Direction=H","UseDPDF=Y")</f>
        <v>#NAME?</v>
      </c>
      <c r="U513" s="1" t="e">
        <f ca="1">_xll.BDH($C$503,"EBITDA_GROWTH","FY 2016","FY 2016","Currency=INR","Period=FY","BEST_FPERIOD_OVERRIDE=FY","FILING_STATUS=OR","EQY_CONSOLIDATED=Y","FA_ADJUSTED=GAAP","Sort=A","Dates=H","DateFormat=P","Fill=—","Direction=H","UseDPDF=Y")</f>
        <v>#NAME?</v>
      </c>
      <c r="V513" s="1" t="e">
        <f ca="1">_xll.BDH($C$503,"OPER_INC_GROWTH","FY 2016","FY 2016","Currency=INR","Period=FY","BEST_FPERIOD_OVERRIDE=FY","FILING_STATUS=OR","EQY_CONSOLIDATED=Y","FA_ADJUSTED=GAAP","Sort=A","Dates=H","DateFormat=P","Fill=—","Direction=H","UseDPDF=Y")</f>
        <v>#NAME?</v>
      </c>
      <c r="W513" s="1" t="e">
        <f ca="1">_xll.BDH($C$503,"EARN_FOR_COM_GROWTH","FY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513" s="1" t="e">
        <f ca="1">_xll.BDH($C$503,"DILUTED_EPS_AFT_XO_ITEMS_GROWTH","FY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13" s="1" t="e">
        <f ca="1">_xll.BDH($C$503,"DIVIDEND_PER_SHARE_1_YEAR_GROWTH","FY 2016","FY 2016","Currency=INR","Period=FY","BEST_FPERIOD_OVERRIDE=FY","FILING_STATUS=OR","EQY_CONSOLIDATED=Y","Sort=A","Dates=H","DateFormat=P","Fill=—","Direction=H","UseDPDF=Y")</f>
        <v>#NAME?</v>
      </c>
      <c r="Z513" s="1" t="e">
        <f ca="1">_xll.BDH($C$503,"ACCOUNTS_RECEIVABLE_GROWTH","FY 2016","FY 2016","Currency=INR","Period=FY","BEST_FPERIOD_OVERRIDE=FY","FILING_STATUS=OR","EQY_CONSOLIDATED=Y","Sort=A","Dates=H","DateFormat=P","Fill=—","Direction=H","UseDPDF=Y")</f>
        <v>#NAME?</v>
      </c>
      <c r="AA513" s="1" t="e">
        <f ca="1">_xll.BDH($C$503,"INVENTORY_GROWTH","FY 2016","FY 2016","Currency=INR","Period=FY","BEST_FPERIOD_OVERRIDE=FY","FILING_STATUS=OR","EQY_CONSOLIDATED=Y","Sort=A","Dates=H","DateFormat=P","Fill=—","Direction=H","UseDPDF=Y")</f>
        <v>#NAME?</v>
      </c>
      <c r="AB513" s="1" t="e">
        <f ca="1">_xll.BDH($C$503,"NET_FIXED_ASSETS_1_YEAR_GROWTH","FY 2016","FY 2016","Currency=INR","Period=FY","BEST_FPERIOD_OVERRIDE=FY","FILING_STATUS=OR","EQY_CONSOLIDATED=Y","Sort=A","Dates=H","DateFormat=P","Fill=—","Direction=H","UseDPDF=Y")</f>
        <v>#NAME?</v>
      </c>
      <c r="AC513" s="1" t="e">
        <f ca="1">_xll.BDH($C$503,"ASSET_GROWTH","FY 2016","FY 2016","Currency=INR","Period=FY","BEST_FPERIOD_OVERRIDE=FY","FILING_STATUS=OR","EQY_CONSOLIDATED=Y","Sort=A","Dates=H","DateFormat=P","Fill=—","Direction=H","UseDPDF=Y")</f>
        <v>#NAME?</v>
      </c>
      <c r="AD513" s="1" t="e">
        <f ca="1">_xll.BDH($C$503,"MODIFIED_WORK_CAP_GROWTH","FY 2016","FY 2016","Currency=INR","Period=FY","BEST_FPERIOD_OVERRIDE=FY","FILING_STATUS=OR","EQY_CONSOLIDATED=Y","Sort=A","Dates=H","DateFormat=P","Fill=—","Direction=H","UseDPDF=Y")</f>
        <v>#NAME?</v>
      </c>
      <c r="AE513" s="1" t="e">
        <f ca="1">_xll.BDH($C$503,"WORK_CAP_GROWTH","FY 2016","FY 2016","Currency=INR","Period=FY","BEST_FPERIOD_OVERRIDE=FY","FILING_STATUS=OR","EQY_CONSOLIDATED=Y","Sort=A","Dates=H","DateFormat=P","Fill=—","Direction=H","UseDPDF=Y")</f>
        <v>#NAME?</v>
      </c>
      <c r="AF513" s="1" t="e">
        <f ca="1">_xll.BDH($C$503,"ACCOUNTS_PAYABLE_GROWTH_1YR","FY 2016","FY 2016","Currency=INR","Period=FY","BEST_FPERIOD_OVERRIDE=FY","FILING_STATUS=OR","EQY_CONSOLIDATED=Y","Sort=A","Dates=H","DateFormat=P","Fill=—","Direction=H","UseDPDF=Y")</f>
        <v>#NAME?</v>
      </c>
      <c r="AG513" s="1" t="e">
        <f ca="1">_xll.BDH($C$503,"SHORT_TERM_DEBT_1_YEAR_GROWTH","FY 2016","FY 2016","Currency=INR","Period=FY","BEST_FPERIOD_OVERRIDE=FY","FILING_STATUS=OR","EQY_CONSOLIDATED=Y","Sort=A","Dates=H","DateFormat=P","Fill=—","Direction=H","UseDPDF=Y")</f>
        <v>#NAME?</v>
      </c>
      <c r="AH513" s="1" t="e">
        <f ca="1">_xll.BDH($C$503,"TOTAL_DEBT_1_YEAR_GROWTH","FY 2016","FY 2016","Currency=INR","Period=FY","BEST_FPERIOD_OVERRIDE=FY","FILING_STATUS=OR","EQY_CONSOLIDATED=Y","Sort=A","Dates=H","DateFormat=P","Fill=—","Direction=H","UseDPDF=Y")</f>
        <v>#NAME?</v>
      </c>
      <c r="AI513" s="1" t="e">
        <f ca="1">_xll.BDH($C$503,"TOTAL_EQUITY_1_YEAR_GROWTH","FY 2016","FY 2016","Currency=INR","Period=FY","BEST_FPERIOD_OVERRIDE=FY","FILING_STATUS=OR","EQY_CONSOLIDATED=Y","Sort=A","Dates=H","DateFormat=P","Fill=—","Direction=H","UseDPDF=Y")</f>
        <v>#NAME?</v>
      </c>
      <c r="AJ513" s="1" t="e">
        <f ca="1">_xll.BDH($C$503,"GROWTH_IN_CAP","FY 2016","FY 2016","Currency=INR","Period=FY","BEST_FPERIOD_OVERRIDE=FY","FILING_STATUS=OR","EQY_CONSOLIDATED=Y","Sort=A","Dates=H","DateFormat=P","Fill=—","Direction=H","UseDPDF=Y")</f>
        <v>#NAME?</v>
      </c>
      <c r="AK513" s="1" t="e">
        <f ca="1">_xll.BDH($C$503,"BVPS_GROWTH","FY 2016","FY 2016","Currency=INR","Period=FY","BEST_FPERIOD_OVERRIDE=FY","FILING_STATUS=OR","EQY_CONSOLIDATED=Y","Sort=A","Dates=H","DateFormat=P","Fill=—","Direction=H","UseDPDF=Y")</f>
        <v>#NAME?</v>
      </c>
      <c r="AL513" s="1" t="e">
        <f ca="1">_xll.BDH($C$503,"CASH_FLOW_GROWTH","FY 2016","FY 2016","Currency=INR","Period=FY","BEST_FPERIOD_OVERRIDE=FY","FILING_STATUS=OR","EQY_CONSOLIDATED=Y","Sort=A","Dates=H","DateFormat=P","Fill=—","Direction=H","UseDPDF=Y")</f>
        <v>#NAME?</v>
      </c>
      <c r="AM513" s="1" t="e">
        <f ca="1">_xll.BDH($C$503,"GEO_GROW_NET_SALES","FY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513" s="1" t="e">
        <f ca="1">_xll.BDH($C$503,"GEO_GROW_EBITDA","FY 2016","FY 2016","Currency=INR","Period=FY","BEST_FPERIOD_OVERRIDE=FY","FILING_STATUS=OR","EQY_CONSOLIDATED=Y","FA_ADJUSTED=GAAP","Sort=A","Dates=H","DateFormat=P","Fill=—","Direction=H","UseDPDF=Y")</f>
        <v>#NAME?</v>
      </c>
      <c r="AO513" s="1" t="e">
        <f ca="1">_xll.BDH($C$503,"GEO_GROW_OPER_INC","FY 2016","FY 2016","Currency=INR","Period=FY","BEST_FPERIOD_OVERRIDE=FY","FILING_STATUS=OR","EQY_CONSOLIDATED=Y","FA_ADJUSTED=GAAP","Sort=A","Dates=H","DateFormat=P","Fill=—","Direction=H","UseDPDF=Y")</f>
        <v>#NAME?</v>
      </c>
      <c r="AP513" s="1" t="e">
        <f ca="1">_xll.BDH($C$503,"NET_INCOME_TO_COMMON_5_YR_GROWTH","FY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13" s="1" t="e">
        <f ca="1">_xll.BDH($C$503,"5Y_GEO_GROWTH_DILUTED_EPS","FY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13" s="1" t="e">
        <f ca="1">_xll.BDH($C$503,"GEO_GROW_DVD_PER_SH","FY 2016","FY 2016","Currency=INR","Period=FY","BEST_FPERIOD_OVERRIDE=FY","FILING_STATUS=OR","EQY_CONSOLIDATED=Y","Sort=A","Dates=H","DateFormat=P","Fill=—","Direction=H","UseDPDF=Y")</f>
        <v>#NAME?</v>
      </c>
      <c r="AS513" s="1" t="e">
        <f ca="1">_xll.BDH($C$503,"ACCOUNTS_RECEIVABLE_5_YR_GROWTH","FY 2016","FY 2016","Currency=INR","Period=FY","BEST_FPERIOD_OVERRIDE=FY","FILING_STATUS=OR","EQY_CONSOLIDATED=Y","Sort=A","Dates=H","DateFormat=P","Fill=—","Direction=H","UseDPDF=Y")</f>
        <v>#NAME?</v>
      </c>
      <c r="AT513" s="1" t="e">
        <f ca="1">_xll.BDH($C$503,"INVENTORY_5_YEAR_GROWTH","FY 2016","FY 2016","Currency=INR","Period=FY","BEST_FPERIOD_OVERRIDE=FY","FILING_STATUS=OR","EQY_CONSOLIDATED=Y","Sort=A","Dates=H","DateFormat=P","Fill=—","Direction=H","UseDPDF=Y")</f>
        <v>#NAME?</v>
      </c>
      <c r="AU513" s="1" t="e">
        <f ca="1">_xll.BDH($C$503,"NET_FIXED_ASSETS_5_YEAR_GROWTH","FY 2016","FY 2016","Currency=INR","Period=FY","BEST_FPERIOD_OVERRIDE=FY","FILING_STATUS=OR","EQY_CONSOLIDATED=Y","Sort=A","Dates=H","DateFormat=P","Fill=—","Direction=H","UseDPDF=Y")</f>
        <v>#NAME?</v>
      </c>
      <c r="AV513" s="1" t="e">
        <f ca="1">_xll.BDH($C$503,"GEO_GROW_TOT_ASSET","FY 2016","FY 2016","Currency=INR","Period=FY","BEST_FPERIOD_OVERRIDE=FY","FILING_STATUS=OR","EQY_CONSOLIDATED=Y","Sort=A","Dates=H","DateFormat=P","Fill=—","Direction=H","UseDPDF=Y")</f>
        <v>#NAME?</v>
      </c>
      <c r="AW513" s="1" t="e">
        <f ca="1">_xll.BDH($C$503,"MODIFIED_WORKING_CPTL_5YR_GRWTH","FY 2016","FY 2016","Currency=INR","Period=FY","BEST_FPERIOD_OVERRIDE=FY","FILING_STATUS=OR","EQY_CONSOLIDATED=Y","Sort=A","Dates=H","DateFormat=P","Fill=—","Direction=H","UseDPDF=Y")</f>
        <v>#NAME?</v>
      </c>
      <c r="AX513" s="1" t="e">
        <f ca="1">_xll.BDH($C$503,"WORKING_CAPITAL_5_YEAR_GROWTH","FY 2016","FY 2016","Currency=INR","Period=FY","BEST_FPERIOD_OVERRIDE=FY","FILING_STATUS=OR","EQY_CONSOLIDATED=Y","Sort=A","Dates=H","DateFormat=P","Fill=—","Direction=H","UseDPDF=Y")</f>
        <v>#NAME?</v>
      </c>
      <c r="AY513" s="1" t="e">
        <f ca="1">_xll.BDH($C$503,"ACCOUNTS_PAYABLE_5_YEAR_GROWTH","FY 2016","FY 2016","Currency=INR","Period=FY","BEST_FPERIOD_OVERRIDE=FY","FILING_STATUS=OR","EQY_CONSOLIDATED=Y","Sort=A","Dates=H","DateFormat=P","Fill=—","Direction=H","UseDPDF=Y")</f>
        <v>#NAME?</v>
      </c>
      <c r="AZ513" s="1" t="e">
        <f ca="1">_xll.BDH($C$503,"SHORT_TERM_DEBT_5_YEAR_GROWTH","FY 2016","FY 2016","Currency=INR","Period=FY","BEST_FPERIOD_OVERRIDE=FY","FILING_STATUS=OR","EQY_CONSOLIDATED=Y","Sort=A","Dates=H","DateFormat=P","Fill=—","Direction=H","UseDPDF=Y")</f>
        <v>#NAME?</v>
      </c>
      <c r="BA513" s="1" t="e">
        <f ca="1">_xll.BDH($C$503,"TOTAL_DEBT_5_YEAR_GROWTH","FY 2016","FY 2016","Currency=INR","Period=FY","BEST_FPERIOD_OVERRIDE=FY","FILING_STATUS=OR","EQY_CONSOLIDATED=Y","Sort=A","Dates=H","DateFormat=P","Fill=—","Direction=H","UseDPDF=Y")</f>
        <v>#NAME?</v>
      </c>
      <c r="BB513" s="1" t="e">
        <f ca="1">_xll.BDH($C$503,"GEO_GROW_TOT_SHRHLDR_EQY","FY 2016","FY 2016","Currency=INR","Period=FY","BEST_FPERIOD_OVERRIDE=FY","FILING_STATUS=OR","EQY_CONSOLIDATED=Y","Sort=A","Dates=H","DateFormat=P","Fill=—","Direction=H","UseDPDF=Y")</f>
        <v>#NAME?</v>
      </c>
      <c r="BC513" s="1" t="e">
        <f ca="1">_xll.BDH($C$503,"TOTAL_CAPITAL_5_YEAR_GROWTH","FY 2016","FY 2016","Currency=INR","Period=FY","BEST_FPERIOD_OVERRIDE=FY","FILING_STATUS=OR","EQY_CONSOLIDATED=Y","Sort=A","Dates=H","DateFormat=P","Fill=—","Direction=H","UseDPDF=Y")</f>
        <v>#NAME?</v>
      </c>
      <c r="BD513" s="1" t="e">
        <f ca="1">_xll.BDH($C$503,"GEO_GROW_BOOK_VAL","FY 2016","FY 2016","Currency=INR","Period=FY","BEST_FPERIOD_OVERRIDE=FY","FILING_STATUS=OR","EQY_CONSOLIDATED=Y","Sort=A","Dates=H","DateFormat=P","Fill=—","Direction=H","UseDPDF=Y")</f>
        <v>#NAME?</v>
      </c>
      <c r="BE513" s="1" t="e">
        <f ca="1">_xll.BDH($C$503,"GEO_GROW_CASH_OPER_ACT","FY 2016","FY 2016","Currency=INR","Period=FY","BEST_FPERIOD_OVERRIDE=FY","FILING_STATUS=OR","EQY_CONSOLIDATED=Y","Sort=A","Dates=H","DateFormat=P","Fill=—","Direction=H","UseDPDF=Y")</f>
        <v>#NAME?</v>
      </c>
      <c r="BF513" s="1" t="e">
        <f ca="1">_xll.BDH($C$503,"REVENUE_SEQUENTIAL_GROWTH","FY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13" s="1" t="e">
        <f ca="1">_xll.BDH($C$503,"EBITDA_SEQUENTIAL_GROWTH","FY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13" s="1" t="e">
        <f ca="1">_xll.BDH($C$503,"OPERATING_INCOME_SEQ_GROWTH","FY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13" s="1" t="e">
        <f ca="1">_xll.BDH($C$503,"NET_INCOME_TO_COMMON_SEQ_GROWTH","FY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13" s="1" t="e">
        <f ca="1">_xll.BDH($C$503,"EPS_DILUTED_SEQUENTIAL_GROWTH","FY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13" s="1" t="e">
        <f ca="1">_xll.BDH($C$503,"DPS_SEQUENTIAL_GROWTH","FY 2016","FY 2016","Currency=INR","Period=FY","BEST_FPERIOD_OVERRIDE=FY","FILING_STATUS=OR","EQY_CONSOLIDATED=Y","Sort=A","Dates=H","DateFormat=P","Fill=—","Direction=H","UseDPDF=Y")</f>
        <v>#NAME?</v>
      </c>
      <c r="BL513" s="1" t="e">
        <f ca="1">_xll.BDH($C$503,"ACCOUNTS_RECEIVABLE_SEQ_GROWTH","FY 2016","FY 2016","Currency=INR","Period=FY","BEST_FPERIOD_OVERRIDE=FY","FILING_STATUS=OR","EQY_CONSOLIDATED=Y","Sort=A","Dates=H","DateFormat=P","Fill=—","Direction=H","UseDPDF=Y")</f>
        <v>#NAME?</v>
      </c>
      <c r="BM513" s="1" t="e">
        <f ca="1">_xll.BDH($C$503,"INVENTORY_SEQUENTIAL_GROWTH","FY 2016","FY 2016","Currency=INR","Period=FY","BEST_FPERIOD_OVERRIDE=FY","FILING_STATUS=OR","EQY_CONSOLIDATED=Y","Sort=A","Dates=H","DateFormat=P","Fill=—","Direction=H","UseDPDF=Y")</f>
        <v>#NAME?</v>
      </c>
      <c r="BN513" s="1" t="e">
        <f ca="1">_xll.BDH($C$503,"FIXED_ASSETS_SEQUENTIAL_GROWTH","FY 2016","FY 2016","Currency=INR","Period=FY","BEST_FPERIOD_OVERRIDE=FY","FILING_STATUS=OR","EQY_CONSOLIDATED=Y","Sort=A","Dates=H","DateFormat=P","Fill=—","Direction=H","UseDPDF=Y")</f>
        <v>#NAME?</v>
      </c>
      <c r="BO513" s="1" t="e">
        <f ca="1">_xll.BDH($C$503,"TOTAL_ASSETS_SEQUENTIAL_GROWTH","FY 2016","FY 2016","Currency=INR","Period=FY","BEST_FPERIOD_OVERRIDE=FY","FILING_STATUS=OR","EQY_CONSOLIDATED=Y","Sort=A","Dates=H","DateFormat=P","Fill=—","Direction=H","UseDPDF=Y")</f>
        <v>#NAME?</v>
      </c>
      <c r="BP513" s="1" t="e">
        <f ca="1">_xll.BDH($C$503,"MODIFIED_WORKING_CPTL_SEQ_GRWTH","FY 2016","FY 2016","Currency=INR","Period=FY","BEST_FPERIOD_OVERRIDE=FY","FILING_STATUS=OR","EQY_CONSOLIDATED=Y","Sort=A","Dates=H","DateFormat=P","Fill=—","Direction=H","UseDPDF=Y")</f>
        <v>#NAME?</v>
      </c>
      <c r="BQ513" s="1" t="e">
        <f ca="1">_xll.BDH($C$503,"WORKING_CAPITAL_SEQ_GROWTH","FY 2016","FY 2016","Currency=INR","Period=FY","BEST_FPERIOD_OVERRIDE=FY","FILING_STATUS=OR","EQY_CONSOLIDATED=Y","Sort=A","Dates=H","DateFormat=P","Fill=—","Direction=H","UseDPDF=Y")</f>
        <v>#NAME?</v>
      </c>
      <c r="BR513" s="1" t="e">
        <f ca="1">_xll.BDH($C$503,"ACCOUNTS_PAYABLE_SEQ_GROWTH","FY 2016","FY 2016","Currency=INR","Period=FY","BEST_FPERIOD_OVERRIDE=FY","FILING_STATUS=OR","EQY_CONSOLIDATED=Y","Sort=A","Dates=H","DateFormat=P","Fill=—","Direction=H","UseDPDF=Y")</f>
        <v>#NAME?</v>
      </c>
      <c r="BS513" s="1" t="e">
        <f ca="1">_xll.BDH($C$503,"ST_DEBT_SEQUENTIAL_GROWTH","FY 2016","FY 2016","Currency=INR","Period=FY","BEST_FPERIOD_OVERRIDE=FY","FILING_STATUS=OR","EQY_CONSOLIDATED=Y","Sort=A","Dates=H","DateFormat=P","Fill=—","Direction=H","UseDPDF=Y")</f>
        <v>#NAME?</v>
      </c>
      <c r="BT513" s="1" t="e">
        <f ca="1">_xll.BDH($C$503,"TOTAL_DEBT_SEQUENTIAL_GROWTH","FY 2016","FY 2016","Currency=INR","Period=FY","BEST_FPERIOD_OVERRIDE=FY","FILING_STATUS=OR","EQY_CONSOLIDATED=Y","Sort=A","Dates=H","DateFormat=P","Fill=—","Direction=H","UseDPDF=Y")</f>
        <v>#NAME?</v>
      </c>
      <c r="BU513" s="1" t="e">
        <f ca="1">_xll.BDH($C$503,"TOTAL_EQUITY_SEQUENTIAL_GROWTH","FY 2016","FY 2016","Currency=INR","Period=FY","BEST_FPERIOD_OVERRIDE=FY","FILING_STATUS=OR","EQY_CONSOLIDATED=Y","Sort=A","Dates=H","DateFormat=P","Fill=—","Direction=H","UseDPDF=Y")</f>
        <v>#NAME?</v>
      </c>
      <c r="BV513" s="1" t="e">
        <f ca="1">_xll.BDH($C$503,"TOTAL_CAPITAL_SEQUENTIAL_GROWTH","FY 2016","FY 2016","Currency=INR","Period=FY","BEST_FPERIOD_OVERRIDE=FY","FILING_STATUS=OR","EQY_CONSOLIDATED=Y","Sort=A","Dates=H","DateFormat=P","Fill=—","Direction=H","UseDPDF=Y")</f>
        <v>#NAME?</v>
      </c>
      <c r="BW513" s="1" t="e">
        <f ca="1">_xll.BDH($C$503,"BPS_SEQUENTIAL_GROWTH","FY 2016","FY 2016","Currency=INR","Period=FY","BEST_FPERIOD_OVERRIDE=FY","FILING_STATUS=OR","EQY_CONSOLIDATED=Y","Sort=A","Dates=H","DateFormat=P","Fill=—","Direction=H","UseDPDF=Y")</f>
        <v>#NAME?</v>
      </c>
      <c r="BX513" s="1" t="e">
        <f ca="1">_xll.BDH($C$503,"CFO_SEQUENTIAL_GROWTH","FY 2016","FY 2016","Currency=INR","Period=FY","BEST_FPERIOD_OVERRIDE=FY","FILING_STATUS=OR","EQY_CONSOLIDATED=Y","Sort=A","Dates=H","DateFormat=P","Fill=—","Direction=H","UseDPDF=Y")</f>
        <v>#NAME?</v>
      </c>
      <c r="BY513" s="2" t="e">
        <f ca="1">_xll.BDH($C$503,"SHORT_AND_LONG_TERM_DEBT","FY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13" s="2" t="e">
        <f ca="1">_xll.BDH($C$503,"BS_ST_BORROW","FY 2016","FY 2016","Currency=INR","Period=FY","BEST_FPERIOD_OVERRIDE=FY","FILING_STATUS=OR","EQY_CONSOLIDATED=Y","SCALING_FORMAT=MLN","Sort=A","Dates=H","DateFormat=P","Fill=—","Direction=H","UseDPDF=Y")</f>
        <v>#NAME?</v>
      </c>
      <c r="CA513" s="2" t="e">
        <f ca="1">_xll.BDH($C$503,"BS_LT_BORROW","FY 2016","FY 2016","Currency=INR","Period=FY","BEST_FPERIOD_OVERRIDE=FY","FILING_STATUS=OR","EQY_CONSOLIDATED=Y","SCALING_FORMAT=MLN","Sort=A","Dates=H","DateFormat=P","Fill=—","Direction=H","UseDPDF=Y")</f>
        <v>#NAME?</v>
      </c>
      <c r="CB513" s="1" t="e">
        <f ca="1">_xll.BDH($C$503,"TOT_DEBT_TO_EBITDA","FY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513" s="1" t="e">
        <f ca="1">_xll.BDH($C$503,"NET_DEBT_TO_EBITDA","FY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513" s="1" t="e">
        <f ca="1">_xll.BDH($C$503,"TOTAL_DEBT_TO_EBIT","FY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513" s="1" t="e">
        <f ca="1">_xll.BDH($C$503,"NET_DEBT_TO_EBIT","FY 2016","FY 2016","Currency=INR","Period=FY","BEST_FPERIOD_OVERRIDE=FY","FILING_STATUS=OR","EQY_CONSOLIDATED=Y","FA_ADJUSTED=GAAP","Sort=A","Dates=H","DateFormat=P","Fill=—","Direction=H","UseDPDF=Y")</f>
        <v>#NAME?</v>
      </c>
      <c r="CF513" s="1" t="e">
        <f ca="1">_xll.BDH($C$503,"EBITDA_TO_INTEREST_EXPN","FY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13" s="1" t="e">
        <f ca="1">_xll.BDH($C$503,"COM_EQY_TO_TOT_ASSET","FY 2016","FY 2016","Currency=INR","Period=FY","BEST_FPERIOD_OVERRIDE=FY","FILING_STATUS=OR","EQY_CONSOLIDATED=Y","Sort=A","Dates=H","DateFormat=P","Fill=—","Direction=H","UseDPDF=Y")</f>
        <v>#NAME?</v>
      </c>
      <c r="CH513" s="1" t="e">
        <f ca="1">_xll.BDH($C$503,"LT_DEBT_TO_TOT_EQY","FY 2016","FY 2016","Currency=INR","Period=FY","BEST_FPERIOD_OVERRIDE=FY","FILING_STATUS=OR","EQY_CONSOLIDATED=Y","Sort=A","Dates=H","DateFormat=P","Fill=—","Direction=H","UseDPDF=Y")</f>
        <v>#NAME?</v>
      </c>
      <c r="CI513" s="1" t="e">
        <f ca="1">_xll.BDH($C$503,"LT_DEBT_TO_TOT_CAP","FY 2016","FY 2016","Currency=INR","Period=FY","BEST_FPERIOD_OVERRIDE=FY","FILING_STATUS=OR","EQY_CONSOLIDATED=Y","Sort=A","Dates=H","DateFormat=P","Fill=—","Direction=H","UseDPDF=Y")</f>
        <v>#NAME?</v>
      </c>
      <c r="CJ513" s="1" t="e">
        <f ca="1">_xll.BDH($C$503,"LT_DEBT_TO_TOT_ASSET","FY 2016","FY 2016","Currency=INR","Period=FY","BEST_FPERIOD_OVERRIDE=FY","FILING_STATUS=OR","EQY_CONSOLIDATED=Y","Sort=A","Dates=H","DateFormat=P","Fill=—","Direction=H","UseDPDF=Y")</f>
        <v>#NAME?</v>
      </c>
      <c r="CK513" s="1" t="e">
        <f ca="1">_xll.BDH($C$503,"TOT_DEBT_TO_TOT_EQY","FY 2016","FY 2016","Currency=INR","Period=FY","BEST_FPERIOD_OVERRIDE=FY","FILING_STATUS=OR","EQY_CONSOLIDATED=Y","Sort=A","Dates=H","DateFormat=P","Fill=—","Direction=H","UseDPDF=Y")</f>
        <v>#NAME?</v>
      </c>
      <c r="CL513" s="1" t="e">
        <f ca="1">_xll.BDH($C$503,"TOT_DEBT_TO_TOT_CAP","FY 2016","FY 2016","Currency=INR","Period=FY","BEST_FPERIOD_OVERRIDE=FY","FILING_STATUS=OR","EQY_CONSOLIDATED=Y","Sort=A","Dates=H","DateFormat=P","Fill=—","Direction=H","UseDPDF=Y")</f>
        <v>#NAME?</v>
      </c>
      <c r="CM513" s="1" t="e">
        <f ca="1">_xll.BDH($C$503,"TOT_DEBT_TO_TOT_ASSET","FY 2016","FY 2016","Currency=INR","Period=FY","BEST_FPERIOD_OVERRIDE=FY","FILING_STATUS=OR","EQY_CONSOLIDATED=Y","Sort=A","Dates=H","DateFormat=P","Fill=—","Direction=H","UseDPDF=Y")</f>
        <v>#NAME?</v>
      </c>
      <c r="CN513" s="1" t="e">
        <f ca="1">_xll.BDH($C$503,"NET_DEBT_TO_SHRHLDR_EQTY","FY 2016","FY 2016","Currency=INR","Period=FY","BEST_FPERIOD_OVERRIDE=FY","FILING_STATUS=OR","EQY_CONSOLIDATED=Y","Sort=A","Dates=H","DateFormat=P","Fill=—","Direction=H","UseDPDF=Y")</f>
        <v>#NAME?</v>
      </c>
      <c r="CO513" s="1" t="e">
        <f ca="1">_xll.BDH($C$503,"NET_DEBT_%_CAPITAL","FY 2016","FY 2016","Currency=INR","Period=FY","BEST_FPERIOD_OVERRIDE=FY","FILING_STATUS=OR","EQY_CONSOLIDATED=Y","Sort=A","Dates=H","DateFormat=P","Fill=—","Direction=H","UseDPDF=Y")</f>
        <v>#NAME?</v>
      </c>
      <c r="CP513" s="2" t="e">
        <f ca="1">_xll.BDH($C$503,"EBITDA","FY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13" s="2" t="e">
        <f ca="1">_xll.BDH($C$503,"EBITDA_AFTER_CAPEX","FY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13" s="2" t="e">
        <f ca="1">_xll.BDH($C$503,"IS_OPER_INC","FY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13" s="1" t="e">
        <f ca="1">_xll.BDH($C$503,"CASH_RATIO","FY 2016","FY 2016","Currency=INR","Period=FY","BEST_FPERIOD_OVERRIDE=FY","FILING_STATUS=OR","EQY_CONSOLIDATED=Y","Sort=A","Dates=H","DateFormat=P","Fill=—","Direction=H","UseDPDF=Y")</f>
        <v>#NAME?</v>
      </c>
      <c r="CT513" s="1" t="e">
        <f ca="1">_xll.BDH($C$503,"CUR_RATIO","FY 2016","FY 2016","Currency=INR","Period=FY","BEST_FPERIOD_OVERRIDE=FY","FILING_STATUS=OR","EQY_CONSOLIDATED=Y","Sort=A","Dates=H","DateFormat=P","Fill=—","Direction=H","UseDPDF=Y")</f>
        <v>#NAME?</v>
      </c>
      <c r="CU513" s="1" t="e">
        <f ca="1">_xll.BDH($C$503,"QUICK_RATIO","FY 2016","FY 2016","Currency=INR","Period=FY","BEST_FPERIOD_OVERRIDE=FY","FILING_STATUS=OR","EQY_CONSOLIDATED=Y","Sort=A","Dates=H","DateFormat=P","Fill=—","Direction=H","UseDPDF=Y")</f>
        <v>#NAME?</v>
      </c>
      <c r="CV513" s="1" t="e">
        <f ca="1">_xll.BDH($C$503,"ALTMAN_Z_SCORE","FY 2016","FY 2016","Currency=INR","Period=FY","BEST_FPERIOD_OVERRIDE=FY","FILING_STATUS=OR","EQY_CONSOLIDATED=Y","Sort=A","Dates=H","DateFormat=P","Fill=—","Direction=H","UseDPDF=Y")</f>
        <v>#NAME?</v>
      </c>
      <c r="CW513" s="3" t="e">
        <f ca="1">_xll.BDH($C$503,"ACCT_RCV_TURN","FY 2016","FY 2016","Currency=INR","Period=FY","BEST_FPERIOD_OVERRIDE=FY","FILING_STATUS=OR","EQY_CONSOLIDATED=Y","FA_ADJUSTED=GAAP","Sort=A","Dates=H","DateFormat=P","Fill=—","Direction=H","UseDPDF=Y")</f>
        <v>#NAME?</v>
      </c>
      <c r="CX513" s="1" t="e">
        <f ca="1">_xll.BDH($C$503,"ACCT_RCV_DAYS","FY 2016","FY 2016","Currency=INR","Period=FY","BEST_FPERIOD_OVERRIDE=FY","FILING_STATUS=OR","EQY_CONSOLIDATED=Y","FA_ADJUSTED=GAAP","Sort=A","Dates=H","DateFormat=P","Fill=—","Direction=H","UseDPDF=Y")</f>
        <v>#NAME?</v>
      </c>
      <c r="CY513" s="3" t="e">
        <f ca="1">_xll.BDH($C$503,"INVENT_TURN","FY 2016","FY 2016","Currency=INR","Period=FY","BEST_FPERIOD_OVERRIDE=FY","FILING_STATUS=OR","EQY_CONSOLIDATED=Y","FA_ADJUSTED=GAAP","Sort=A","Dates=H","DateFormat=P","Fill=—","Direction=H","UseDPDF=Y")</f>
        <v>#NAME?</v>
      </c>
      <c r="CZ513" s="1" t="e">
        <f ca="1">_xll.BDH($C$503,"INVENT_DAYS","FY 2016","FY 2016","Currency=INR","Period=FY","BEST_FPERIOD_OVERRIDE=FY","FILING_STATUS=OR","EQY_CONSOLIDATED=Y","FA_ADJUSTED=GAAP","Sort=A","Dates=H","DateFormat=P","Fill=—","Direction=H","UseDPDF=Y")</f>
        <v>#NAME?</v>
      </c>
      <c r="DA513" s="3" t="e">
        <f ca="1">_xll.BDH($C$503,"ACCOUNTS_PAYABLE_TURNOVER","FY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13" s="1" t="e">
        <f ca="1">_xll.BDH($C$503,"ACCOUNTS_PAYABLE_TURNOVER_DAYS","FY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13" s="3" t="e">
        <f ca="1">_xll.BDH($C$503,"CASH_CONVERSION_CYCLE","FY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13" s="3" t="e">
        <f ca="1">_xll.BDH($C$503,"INV_TO_CASH_DAYS","FY 2016","FY 2016","Currency=INR","Period=FY","BEST_FPERIOD_OVERRIDE=FY","FILING_STATUS=OR","EQY_CONSOLIDATED=Y","FA_ADJUSTED=GAAP","Sort=A","Dates=H","DateFormat=P","Fill=—","Direction=H","UseDPDF=Y")</f>
        <v>#NAME?</v>
      </c>
      <c r="DE513" s="4" t="e">
        <f ca="1">_xll.BDH($C$503,"BS_INVENTORIES","FY 2016","FY 2016","Currency=INR","Period=FY","BEST_FPERIOD_OVERRIDE=FY","FILING_STATUS=OR","EQY_CONSOLIDATED=Y","SCALING_FORMAT=MLN","Sort=A","Dates=H","DateFormat=P","Fill=—","Direction=H","UseDPDF=Y")</f>
        <v>#NAME?</v>
      </c>
      <c r="DF513" s="2" t="e">
        <f ca="1">_xll.BDH($C$503,"INVTRY_RAW_MATERIALS","FY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13" s="2" t="e">
        <f ca="1">_xll.BDH($C$503,"INVTRY_IN_PROGRESS","FY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13" s="2" t="e">
        <f ca="1">_xll.BDH($C$503,"INVTRY_FINISHED_GOODS","FY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13" s="2" t="e">
        <f ca="1">_xll.BDH($C$503,"BS_OTHER_INV","FY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14" spans="1:113" x14ac:dyDescent="0.3">
      <c r="A514" s="6"/>
      <c r="B514" s="6"/>
      <c r="C514" s="6"/>
      <c r="D514" s="6"/>
      <c r="E514" t="s">
        <v>4</v>
      </c>
      <c r="F514" t="e">
        <f ca="1">_xll.BDH($C$503,"RETURN_COM_EQY","FQ1 2016","FQ1 2016","Currency=INR","Period=FQ","BEST_FPERIOD_OVERRIDE=FQ","FILING_STATUS=OR","EQY_CONSOLIDATED=Y","FA_ADJUSTED=GAAP","Sort=A","Dates=H","DateFormat=P","Fill=—","Direction=H","UseDPDF=Y")</f>
        <v>#NAME?</v>
      </c>
      <c r="G514" t="e">
        <f ca="1">_xll.BDH($C$503,"RETURN_ON_ASSET","FQ1 2016","FQ1 2016","Currency=INR","Period=FQ","BEST_FPERIOD_OVERRIDE=FQ","FILING_STATUS=OR","EQY_CONSOLIDATED=Y","FA_ADJUSTED=GAAP","Sort=A","Dates=H","DateFormat=P","Fill=—","Direction=H","UseDPDF=Y")</f>
        <v>#NAME?</v>
      </c>
      <c r="H514" t="e">
        <f ca="1">_xll.BDH($C$503,"RETURN_ON_CAP","FQ1 2016","FQ1 2016","Currency=INR","Period=FQ","BEST_FPERIOD_OVERRIDE=FQ","FILING_STATUS=OR","EQY_CONSOLIDATED=Y","FA_ADJUSTED=GAAP","Sort=A","Dates=H","DateFormat=P","Fill=—","Direction=H","UseDPDF=Y")</f>
        <v>#NAME?</v>
      </c>
      <c r="I514" t="e">
        <f ca="1">_xll.BDH($C$503,"RETURN_ON_INV_CAPITAL","FQ1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14" t="e">
        <f ca="1">_xll.BDH($C$503,"EBITDA_TO_REVENUE","FQ1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514" t="e">
        <f ca="1">_xll.BDH($C$503,"OPER_MARGIN","FQ1 2016","FQ1 2016","Currency=INR","Period=FQ","BEST_FPERIOD_OVERRIDE=FQ","FILING_STATUS=OR","EQY_CONSOLIDATED=Y","FA_ADJUSTED=GAAP","Sort=A","Dates=H","DateFormat=P","Fill=—","Direction=H","UseDPDF=Y")</f>
        <v>#NAME?</v>
      </c>
      <c r="L514" t="e">
        <f ca="1">_xll.BDH($C$503,"INCREMENTAL_OPERATING_MARGIN","FQ1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14" t="e">
        <f ca="1">_xll.BDH($C$503,"PRETAX_INC_TO_NET_SALES","FQ1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14" t="e">
        <f ca="1">_xll.BDH($C$503,"INC_BEF_XO_ITEMS_TO_NET_SALES","FQ1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14" t="e">
        <f ca="1">_xll.BDH($C$503,"PROF_MARGIN","FQ1 2016","FQ1 2016","Currency=INR","Period=FQ","BEST_FPERIOD_OVERRIDE=FQ","FILING_STATUS=OR","EQY_CONSOLIDATED=Y","FA_ADJUSTED=GAAP","Sort=A","Dates=H","DateFormat=P","Fill=—","Direction=H","UseDPDF=Y")</f>
        <v>#NAME?</v>
      </c>
      <c r="P514" t="e">
        <f ca="1">_xll.BDH($C$503,"NET_INCOME_TO_COMMON_MARGIN","FQ1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14" t="e">
        <f ca="1">_xll.BDH($C$503,"EFF_TAX_RATE","FQ1 2016","FQ1 2016","Currency=INR","Period=FQ","BEST_FPERIOD_OVERRIDE=FQ","FILING_STATUS=OR","EQY_CONSOLIDATED=Y","FA_ADJUSTED=GAAP","Sort=A","Dates=H","DateFormat=P","Fill=—","Direction=H","UseDPDF=Y")</f>
        <v>#NAME?</v>
      </c>
      <c r="R514" t="e">
        <f ca="1">_xll.BDH($C$503,"DVD_PAYOUT_RATIO","FQ1 2016","FQ1 2016","Currency=INR","Period=FQ","BEST_FPERIOD_OVERRIDE=FQ","FILING_STATUS=OR","EQY_CONSOLIDATED=Y","FA_ADJUSTED=GAAP","Sort=A","Dates=H","DateFormat=P","Fill=—","Direction=H","UseDPDF=Y")</f>
        <v>#NAME?</v>
      </c>
      <c r="S514" t="e">
        <f ca="1">_xll.BDH($C$503,"SUSTAIN_GROWTH_RT","FQ1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514" s="1" t="e">
        <f ca="1">_xll.BDH($C$503,"SALES_GROWTH","FQ1 2016","FQ1 2016","Currency=INR","Period=FQ","BEST_FPERIOD_OVERRIDE=FQ","FILING_STATUS=OR","EQY_CONSOLIDATED=Y","FA_ADJUSTED=GAAP","Sort=A","Dates=H","DateFormat=P","Fill=—","Direction=H","UseDPDF=Y")</f>
        <v>#NAME?</v>
      </c>
      <c r="U514" s="1" t="e">
        <f ca="1">_xll.BDH($C$503,"EBITDA_GROWTH","FQ1 2016","FQ1 2016","Currency=INR","Period=FQ","BEST_FPERIOD_OVERRIDE=FQ","FILING_STATUS=OR","EQY_CONSOLIDATED=Y","FA_ADJUSTED=GAAP","Sort=A","Dates=H","DateFormat=P","Fill=—","Direction=H","UseDPDF=Y")</f>
        <v>#NAME?</v>
      </c>
      <c r="V514" s="1" t="e">
        <f ca="1">_xll.BDH($C$503,"OPER_INC_GROWTH","FQ1 2016","FQ1 2016","Currency=INR","Period=FQ","BEST_FPERIOD_OVERRIDE=FQ","FILING_STATUS=OR","EQY_CONSOLIDATED=Y","FA_ADJUSTED=GAAP","Sort=A","Dates=H","DateFormat=P","Fill=—","Direction=H","UseDPDF=Y")</f>
        <v>#NAME?</v>
      </c>
      <c r="W514" s="1" t="e">
        <f ca="1">_xll.BDH($C$503,"EARN_FOR_COM_GROWTH","FQ1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14" s="1" t="e">
        <f ca="1">_xll.BDH($C$503,"DILUTED_EPS_AFT_XO_ITEMS_GROWTH","FQ1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14" s="1" t="e">
        <f ca="1">_xll.BDH($C$503,"DIVIDEND_PER_SHARE_1_YEAR_GROWTH","FQ1 2016","FQ1 2016","Currency=INR","Period=FQ","BEST_FPERIOD_OVERRIDE=FQ","FILING_STATUS=OR","EQY_CONSOLIDATED=Y","Sort=A","Dates=H","DateFormat=P","Fill=—","Direction=H","UseDPDF=Y")</f>
        <v>#NAME?</v>
      </c>
      <c r="Z514" s="1" t="e">
        <f ca="1">_xll.BDH($C$503,"ACCOUNTS_RECEIVABLE_GROWTH","FQ1 2016","FQ1 2016","Currency=INR","Period=FQ","BEST_FPERIOD_OVERRIDE=FQ","FILING_STATUS=OR","EQY_CONSOLIDATED=Y","Sort=A","Dates=H","DateFormat=P","Fill=—","Direction=H","UseDPDF=Y")</f>
        <v>#NAME?</v>
      </c>
      <c r="AA514" s="1" t="e">
        <f ca="1">_xll.BDH($C$503,"INVENTORY_GROWTH","FQ1 2016","FQ1 2016","Currency=INR","Period=FQ","BEST_FPERIOD_OVERRIDE=FQ","FILING_STATUS=OR","EQY_CONSOLIDATED=Y","Sort=A","Dates=H","DateFormat=P","Fill=—","Direction=H","UseDPDF=Y")</f>
        <v>#NAME?</v>
      </c>
      <c r="AB514" s="1" t="e">
        <f ca="1">_xll.BDH($C$503,"NET_FIXED_ASSETS_1_YEAR_GROWTH","FQ1 2016","FQ1 2016","Currency=INR","Period=FQ","BEST_FPERIOD_OVERRIDE=FQ","FILING_STATUS=OR","EQY_CONSOLIDATED=Y","Sort=A","Dates=H","DateFormat=P","Fill=—","Direction=H","UseDPDF=Y")</f>
        <v>#NAME?</v>
      </c>
      <c r="AC514" s="1" t="e">
        <f ca="1">_xll.BDH($C$503,"ASSET_GROWTH","FQ1 2016","FQ1 2016","Currency=INR","Period=FQ","BEST_FPERIOD_OVERRIDE=FQ","FILING_STATUS=OR","EQY_CONSOLIDATED=Y","Sort=A","Dates=H","DateFormat=P","Fill=—","Direction=H","UseDPDF=Y")</f>
        <v>#NAME?</v>
      </c>
      <c r="AD514" s="1" t="e">
        <f ca="1">_xll.BDH($C$503,"MODIFIED_WORK_CAP_GROWTH","FQ1 2016","FQ1 2016","Currency=INR","Period=FQ","BEST_FPERIOD_OVERRIDE=FQ","FILING_STATUS=OR","EQY_CONSOLIDATED=Y","Sort=A","Dates=H","DateFormat=P","Fill=—","Direction=H","UseDPDF=Y")</f>
        <v>#NAME?</v>
      </c>
      <c r="AE514" s="1" t="e">
        <f ca="1">_xll.BDH($C$503,"WORK_CAP_GROWTH","FQ1 2016","FQ1 2016","Currency=INR","Period=FQ","BEST_FPERIOD_OVERRIDE=FQ","FILING_STATUS=OR","EQY_CONSOLIDATED=Y","Sort=A","Dates=H","DateFormat=P","Fill=—","Direction=H","UseDPDF=Y")</f>
        <v>#NAME?</v>
      </c>
      <c r="AF514" s="1" t="e">
        <f ca="1">_xll.BDH($C$503,"ACCOUNTS_PAYABLE_GROWTH_1YR","FQ1 2016","FQ1 2016","Currency=INR","Period=FQ","BEST_FPERIOD_OVERRIDE=FQ","FILING_STATUS=OR","EQY_CONSOLIDATED=Y","Sort=A","Dates=H","DateFormat=P","Fill=—","Direction=H","UseDPDF=Y")</f>
        <v>#NAME?</v>
      </c>
      <c r="AG514" s="1" t="e">
        <f ca="1">_xll.BDH($C$503,"SHORT_TERM_DEBT_1_YEAR_GROWTH","FQ1 2016","FQ1 2016","Currency=INR","Period=FQ","BEST_FPERIOD_OVERRIDE=FQ","FILING_STATUS=OR","EQY_CONSOLIDATED=Y","Sort=A","Dates=H","DateFormat=P","Fill=—","Direction=H","UseDPDF=Y")</f>
        <v>#NAME?</v>
      </c>
      <c r="AH514" s="1" t="e">
        <f ca="1">_xll.BDH($C$503,"TOTAL_DEBT_1_YEAR_GROWTH","FQ1 2016","FQ1 2016","Currency=INR","Period=FQ","BEST_FPERIOD_OVERRIDE=FQ","FILING_STATUS=OR","EQY_CONSOLIDATED=Y","Sort=A","Dates=H","DateFormat=P","Fill=—","Direction=H","UseDPDF=Y")</f>
        <v>#NAME?</v>
      </c>
      <c r="AI514" s="1" t="e">
        <f ca="1">_xll.BDH($C$503,"TOTAL_EQUITY_1_YEAR_GROWTH","FQ1 2016","FQ1 2016","Currency=INR","Period=FQ","BEST_FPERIOD_OVERRIDE=FQ","FILING_STATUS=OR","EQY_CONSOLIDATED=Y","Sort=A","Dates=H","DateFormat=P","Fill=—","Direction=H","UseDPDF=Y")</f>
        <v>#NAME?</v>
      </c>
      <c r="AJ514" s="1" t="e">
        <f ca="1">_xll.BDH($C$503,"GROWTH_IN_CAP","FQ1 2016","FQ1 2016","Currency=INR","Period=FQ","BEST_FPERIOD_OVERRIDE=FQ","FILING_STATUS=OR","EQY_CONSOLIDATED=Y","Sort=A","Dates=H","DateFormat=P","Fill=—","Direction=H","UseDPDF=Y")</f>
        <v>#NAME?</v>
      </c>
      <c r="AK514" s="1" t="e">
        <f ca="1">_xll.BDH($C$503,"BVPS_GROWTH","FQ1 2016","FQ1 2016","Currency=INR","Period=FQ","BEST_FPERIOD_OVERRIDE=FQ","FILING_STATUS=OR","EQY_CONSOLIDATED=Y","Sort=A","Dates=H","DateFormat=P","Fill=—","Direction=H","UseDPDF=Y")</f>
        <v>#NAME?</v>
      </c>
      <c r="AL514" s="1" t="e">
        <f ca="1">_xll.BDH($C$503,"CASH_FLOW_GROWTH","FQ1 2016","FQ1 2016","Currency=INR","Period=FQ","BEST_FPERIOD_OVERRIDE=FQ","FILING_STATUS=OR","EQY_CONSOLIDATED=Y","Sort=A","Dates=H","DateFormat=P","Fill=—","Direction=H","UseDPDF=Y")</f>
        <v>#NAME?</v>
      </c>
      <c r="AM514" s="1" t="e">
        <f ca="1">_xll.BDH($C$503,"GEO_GROW_NET_SALES","FQ1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14" s="1" t="e">
        <f ca="1">_xll.BDH($C$503,"GEO_GROW_EBITDA","FQ1 2016","FQ1 2016","Currency=INR","Period=FQ","BEST_FPERIOD_OVERRIDE=FQ","FILING_STATUS=OR","EQY_CONSOLIDATED=Y","FA_ADJUSTED=GAAP","Sort=A","Dates=H","DateFormat=P","Fill=—","Direction=H","UseDPDF=Y")</f>
        <v>#NAME?</v>
      </c>
      <c r="AO514" s="1" t="e">
        <f ca="1">_xll.BDH($C$503,"GEO_GROW_OPER_INC","FQ1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14" s="1" t="e">
        <f ca="1">_xll.BDH($C$503,"NET_INCOME_TO_COMMON_5_YR_GROWTH","FQ1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14" s="1" t="e">
        <f ca="1">_xll.BDH($C$503,"5Y_GEO_GROWTH_DILUTED_EPS","FQ1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14" s="1" t="e">
        <f ca="1">_xll.BDH($C$503,"GEO_GROW_DVD_PER_SH","FQ1 2016","FQ1 2016","Currency=INR","Period=FQ","BEST_FPERIOD_OVERRIDE=FQ","FILING_STATUS=OR","EQY_CONSOLIDATED=Y","Sort=A","Dates=H","DateFormat=P","Fill=—","Direction=H","UseDPDF=Y")</f>
        <v>#NAME?</v>
      </c>
      <c r="AS514" s="1" t="e">
        <f ca="1">_xll.BDH($C$503,"ACCOUNTS_RECEIVABLE_5_YR_GROWTH","FQ1 2016","FQ1 2016","Currency=INR","Period=FQ","BEST_FPERIOD_OVERRIDE=FQ","FILING_STATUS=OR","EQY_CONSOLIDATED=Y","Sort=A","Dates=H","DateFormat=P","Fill=—","Direction=H","UseDPDF=Y")</f>
        <v>#NAME?</v>
      </c>
      <c r="AT514" s="1" t="e">
        <f ca="1">_xll.BDH($C$503,"INVENTORY_5_YEAR_GROWTH","FQ1 2016","FQ1 2016","Currency=INR","Period=FQ","BEST_FPERIOD_OVERRIDE=FQ","FILING_STATUS=OR","EQY_CONSOLIDATED=Y","Sort=A","Dates=H","DateFormat=P","Fill=—","Direction=H","UseDPDF=Y")</f>
        <v>#NAME?</v>
      </c>
      <c r="AU514" s="1" t="e">
        <f ca="1">_xll.BDH($C$503,"NET_FIXED_ASSETS_5_YEAR_GROWTH","FQ1 2016","FQ1 2016","Currency=INR","Period=FQ","BEST_FPERIOD_OVERRIDE=FQ","FILING_STATUS=OR","EQY_CONSOLIDATED=Y","Sort=A","Dates=H","DateFormat=P","Fill=—","Direction=H","UseDPDF=Y")</f>
        <v>#NAME?</v>
      </c>
      <c r="AV514" s="1" t="e">
        <f ca="1">_xll.BDH($C$503,"GEO_GROW_TOT_ASSET","FQ1 2016","FQ1 2016","Currency=INR","Period=FQ","BEST_FPERIOD_OVERRIDE=FQ","FILING_STATUS=OR","EQY_CONSOLIDATED=Y","Sort=A","Dates=H","DateFormat=P","Fill=—","Direction=H","UseDPDF=Y")</f>
        <v>#NAME?</v>
      </c>
      <c r="AW514" s="1" t="e">
        <f ca="1">_xll.BDH($C$503,"MODIFIED_WORKING_CPTL_5YR_GRWTH","FQ1 2016","FQ1 2016","Currency=INR","Period=FQ","BEST_FPERIOD_OVERRIDE=FQ","FILING_STATUS=OR","EQY_CONSOLIDATED=Y","Sort=A","Dates=H","DateFormat=P","Fill=—","Direction=H","UseDPDF=Y")</f>
        <v>#NAME?</v>
      </c>
      <c r="AX514" s="1" t="e">
        <f ca="1">_xll.BDH($C$503,"WORKING_CAPITAL_5_YEAR_GROWTH","FQ1 2016","FQ1 2016","Currency=INR","Period=FQ","BEST_FPERIOD_OVERRIDE=FQ","FILING_STATUS=OR","EQY_CONSOLIDATED=Y","Sort=A","Dates=H","DateFormat=P","Fill=—","Direction=H","UseDPDF=Y")</f>
        <v>#NAME?</v>
      </c>
      <c r="AY514" s="1" t="e">
        <f ca="1">_xll.BDH($C$503,"ACCOUNTS_PAYABLE_5_YEAR_GROWTH","FQ1 2016","FQ1 2016","Currency=INR","Period=FQ","BEST_FPERIOD_OVERRIDE=FQ","FILING_STATUS=OR","EQY_CONSOLIDATED=Y","Sort=A","Dates=H","DateFormat=P","Fill=—","Direction=H","UseDPDF=Y")</f>
        <v>#NAME?</v>
      </c>
      <c r="AZ514" s="1" t="e">
        <f ca="1">_xll.BDH($C$503,"SHORT_TERM_DEBT_5_YEAR_GROWTH","FQ1 2016","FQ1 2016","Currency=INR","Period=FQ","BEST_FPERIOD_OVERRIDE=FQ","FILING_STATUS=OR","EQY_CONSOLIDATED=Y","Sort=A","Dates=H","DateFormat=P","Fill=—","Direction=H","UseDPDF=Y")</f>
        <v>#NAME?</v>
      </c>
      <c r="BA514" s="1" t="e">
        <f ca="1">_xll.BDH($C$503,"TOTAL_DEBT_5_YEAR_GROWTH","FQ1 2016","FQ1 2016","Currency=INR","Period=FQ","BEST_FPERIOD_OVERRIDE=FQ","FILING_STATUS=OR","EQY_CONSOLIDATED=Y","Sort=A","Dates=H","DateFormat=P","Fill=—","Direction=H","UseDPDF=Y")</f>
        <v>#NAME?</v>
      </c>
      <c r="BB514" s="1" t="e">
        <f ca="1">_xll.BDH($C$503,"GEO_GROW_TOT_SHRHLDR_EQY","FQ1 2016","FQ1 2016","Currency=INR","Period=FQ","BEST_FPERIOD_OVERRIDE=FQ","FILING_STATUS=OR","EQY_CONSOLIDATED=Y","Sort=A","Dates=H","DateFormat=P","Fill=—","Direction=H","UseDPDF=Y")</f>
        <v>#NAME?</v>
      </c>
      <c r="BC514" s="1" t="e">
        <f ca="1">_xll.BDH($C$503,"TOTAL_CAPITAL_5_YEAR_GROWTH","FQ1 2016","FQ1 2016","Currency=INR","Period=FQ","BEST_FPERIOD_OVERRIDE=FQ","FILING_STATUS=OR","EQY_CONSOLIDATED=Y","Sort=A","Dates=H","DateFormat=P","Fill=—","Direction=H","UseDPDF=Y")</f>
        <v>#NAME?</v>
      </c>
      <c r="BD514" s="1" t="e">
        <f ca="1">_xll.BDH($C$503,"GEO_GROW_BOOK_VAL","FQ1 2016","FQ1 2016","Currency=INR","Period=FQ","BEST_FPERIOD_OVERRIDE=FQ","FILING_STATUS=OR","EQY_CONSOLIDATED=Y","Sort=A","Dates=H","DateFormat=P","Fill=—","Direction=H","UseDPDF=Y")</f>
        <v>#NAME?</v>
      </c>
      <c r="BE514" s="1" t="e">
        <f ca="1">_xll.BDH($C$503,"GEO_GROW_CASH_OPER_ACT","FQ1 2016","FQ1 2016","Currency=INR","Period=FQ","BEST_FPERIOD_OVERRIDE=FQ","FILING_STATUS=OR","EQY_CONSOLIDATED=Y","Sort=A","Dates=H","DateFormat=P","Fill=—","Direction=H","UseDPDF=Y")</f>
        <v>#NAME?</v>
      </c>
      <c r="BF514" s="1" t="e">
        <f ca="1">_xll.BDH($C$503,"REVENUE_SEQUENTIAL_GROWTH","FQ1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14" s="1" t="e">
        <f ca="1">_xll.BDH($C$503,"EBITDA_SEQUENTIAL_GROWTH","FQ1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14" s="1" t="e">
        <f ca="1">_xll.BDH($C$503,"OPERATING_INCOME_SEQ_GROWTH","FQ1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14" s="1" t="e">
        <f ca="1">_xll.BDH($C$503,"NET_INCOME_TO_COMMON_SEQ_GROWTH","FQ1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14" s="1" t="e">
        <f ca="1">_xll.BDH($C$503,"EPS_DILUTED_SEQUENTIAL_GROWTH","FQ1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14" s="1" t="e">
        <f ca="1">_xll.BDH($C$503,"DPS_SEQUENTIAL_GROWTH","FQ1 2016","FQ1 2016","Currency=INR","Period=FQ","BEST_FPERIOD_OVERRIDE=FQ","FILING_STATUS=OR","EQY_CONSOLIDATED=Y","Sort=A","Dates=H","DateFormat=P","Fill=—","Direction=H","UseDPDF=Y")</f>
        <v>#NAME?</v>
      </c>
      <c r="BL514" s="1" t="e">
        <f ca="1">_xll.BDH($C$503,"ACCOUNTS_RECEIVABLE_SEQ_GROWTH","FQ1 2016","FQ1 2016","Currency=INR","Period=FQ","BEST_FPERIOD_OVERRIDE=FQ","FILING_STATUS=OR","EQY_CONSOLIDATED=Y","Sort=A","Dates=H","DateFormat=P","Fill=—","Direction=H","UseDPDF=Y")</f>
        <v>#NAME?</v>
      </c>
      <c r="BM514" s="1" t="e">
        <f ca="1">_xll.BDH($C$503,"INVENTORY_SEQUENTIAL_GROWTH","FQ1 2016","FQ1 2016","Currency=INR","Period=FQ","BEST_FPERIOD_OVERRIDE=FQ","FILING_STATUS=OR","EQY_CONSOLIDATED=Y","Sort=A","Dates=H","DateFormat=P","Fill=—","Direction=H","UseDPDF=Y")</f>
        <v>#NAME?</v>
      </c>
      <c r="BN514" s="1" t="e">
        <f ca="1">_xll.BDH($C$503,"FIXED_ASSETS_SEQUENTIAL_GROWTH","FQ1 2016","FQ1 2016","Currency=INR","Period=FQ","BEST_FPERIOD_OVERRIDE=FQ","FILING_STATUS=OR","EQY_CONSOLIDATED=Y","Sort=A","Dates=H","DateFormat=P","Fill=—","Direction=H","UseDPDF=Y")</f>
        <v>#NAME?</v>
      </c>
      <c r="BO514" s="1" t="e">
        <f ca="1">_xll.BDH($C$503,"TOTAL_ASSETS_SEQUENTIAL_GROWTH","FQ1 2016","FQ1 2016","Currency=INR","Period=FQ","BEST_FPERIOD_OVERRIDE=FQ","FILING_STATUS=OR","EQY_CONSOLIDATED=Y","Sort=A","Dates=H","DateFormat=P","Fill=—","Direction=H","UseDPDF=Y")</f>
        <v>#NAME?</v>
      </c>
      <c r="BP514" s="1" t="e">
        <f ca="1">_xll.BDH($C$503,"MODIFIED_WORKING_CPTL_SEQ_GRWTH","FQ1 2016","FQ1 2016","Currency=INR","Period=FQ","BEST_FPERIOD_OVERRIDE=FQ","FILING_STATUS=OR","EQY_CONSOLIDATED=Y","Sort=A","Dates=H","DateFormat=P","Fill=—","Direction=H","UseDPDF=Y")</f>
        <v>#NAME?</v>
      </c>
      <c r="BQ514" s="1" t="e">
        <f ca="1">_xll.BDH($C$503,"WORKING_CAPITAL_SEQ_GROWTH","FQ1 2016","FQ1 2016","Currency=INR","Period=FQ","BEST_FPERIOD_OVERRIDE=FQ","FILING_STATUS=OR","EQY_CONSOLIDATED=Y","Sort=A","Dates=H","DateFormat=P","Fill=—","Direction=H","UseDPDF=Y")</f>
        <v>#NAME?</v>
      </c>
      <c r="BR514" s="1" t="e">
        <f ca="1">_xll.BDH($C$503,"ACCOUNTS_PAYABLE_SEQ_GROWTH","FQ1 2016","FQ1 2016","Currency=INR","Period=FQ","BEST_FPERIOD_OVERRIDE=FQ","FILING_STATUS=OR","EQY_CONSOLIDATED=Y","Sort=A","Dates=H","DateFormat=P","Fill=—","Direction=H","UseDPDF=Y")</f>
        <v>#NAME?</v>
      </c>
      <c r="BS514" s="1" t="e">
        <f ca="1">_xll.BDH($C$503,"ST_DEBT_SEQUENTIAL_GROWTH","FQ1 2016","FQ1 2016","Currency=INR","Period=FQ","BEST_FPERIOD_OVERRIDE=FQ","FILING_STATUS=OR","EQY_CONSOLIDATED=Y","Sort=A","Dates=H","DateFormat=P","Fill=—","Direction=H","UseDPDF=Y")</f>
        <v>#NAME?</v>
      </c>
      <c r="BT514" s="1" t="e">
        <f ca="1">_xll.BDH($C$503,"TOTAL_DEBT_SEQUENTIAL_GROWTH","FQ1 2016","FQ1 2016","Currency=INR","Period=FQ","BEST_FPERIOD_OVERRIDE=FQ","FILING_STATUS=OR","EQY_CONSOLIDATED=Y","Sort=A","Dates=H","DateFormat=P","Fill=—","Direction=H","UseDPDF=Y")</f>
        <v>#NAME?</v>
      </c>
      <c r="BU514" s="1" t="e">
        <f ca="1">_xll.BDH($C$503,"TOTAL_EQUITY_SEQUENTIAL_GROWTH","FQ1 2016","FQ1 2016","Currency=INR","Period=FQ","BEST_FPERIOD_OVERRIDE=FQ","FILING_STATUS=OR","EQY_CONSOLIDATED=Y","Sort=A","Dates=H","DateFormat=P","Fill=—","Direction=H","UseDPDF=Y")</f>
        <v>#NAME?</v>
      </c>
      <c r="BV514" s="1" t="e">
        <f ca="1">_xll.BDH($C$503,"TOTAL_CAPITAL_SEQUENTIAL_GROWTH","FQ1 2016","FQ1 2016","Currency=INR","Period=FQ","BEST_FPERIOD_OVERRIDE=FQ","FILING_STATUS=OR","EQY_CONSOLIDATED=Y","Sort=A","Dates=H","DateFormat=P","Fill=—","Direction=H","UseDPDF=Y")</f>
        <v>#NAME?</v>
      </c>
      <c r="BW514" s="1" t="e">
        <f ca="1">_xll.BDH($C$503,"BPS_SEQUENTIAL_GROWTH","FQ1 2016","FQ1 2016","Currency=INR","Period=FQ","BEST_FPERIOD_OVERRIDE=FQ","FILING_STATUS=OR","EQY_CONSOLIDATED=Y","Sort=A","Dates=H","DateFormat=P","Fill=—","Direction=H","UseDPDF=Y")</f>
        <v>#NAME?</v>
      </c>
      <c r="BX514" s="1" t="e">
        <f ca="1">_xll.BDH($C$503,"CFO_SEQUENTIAL_GROWTH","FQ1 2016","FQ1 2016","Currency=INR","Period=FQ","BEST_FPERIOD_OVERRIDE=FQ","FILING_STATUS=OR","EQY_CONSOLIDATED=Y","Sort=A","Dates=H","DateFormat=P","Fill=—","Direction=H","UseDPDF=Y")</f>
        <v>#NAME?</v>
      </c>
      <c r="BY514" s="2" t="e">
        <f ca="1">_xll.BDH($C$503,"SHORT_AND_LONG_TERM_DEBT","FQ1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14" s="2" t="e">
        <f ca="1">_xll.BDH($C$503,"BS_ST_BORROW","FQ1 2016","FQ1 2016","Currency=INR","Period=FQ","BEST_FPERIOD_OVERRIDE=FQ","FILING_STATUS=OR","EQY_CONSOLIDATED=Y","SCALING_FORMAT=MLN","Sort=A","Dates=H","DateFormat=P","Fill=—","Direction=H","UseDPDF=Y")</f>
        <v>#NAME?</v>
      </c>
      <c r="CA514" s="2" t="e">
        <f ca="1">_xll.BDH($C$503,"BS_LT_BORROW","FQ1 2016","FQ1 2016","Currency=INR","Period=FQ","BEST_FPERIOD_OVERRIDE=FQ","FILING_STATUS=OR","EQY_CONSOLIDATED=Y","SCALING_FORMAT=MLN","Sort=A","Dates=H","DateFormat=P","Fill=—","Direction=H","UseDPDF=Y")</f>
        <v>#NAME?</v>
      </c>
      <c r="CB514" s="1" t="e">
        <f ca="1">_xll.BDH($C$503,"TOT_DEBT_TO_EBITDA","FQ1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14" s="1" t="e">
        <f ca="1">_xll.BDH($C$503,"NET_DEBT_TO_EBITDA","FQ1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14" s="1" t="e">
        <f ca="1">_xll.BDH($C$503,"TOTAL_DEBT_TO_EBIT","FQ1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14" s="1" t="e">
        <f ca="1">_xll.BDH($C$503,"NET_DEBT_TO_EBIT","FQ1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514" s="1" t="e">
        <f ca="1">_xll.BDH($C$503,"EBITDA_TO_INTEREST_EXPN","FQ1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14" s="1" t="e">
        <f ca="1">_xll.BDH($C$503,"COM_EQY_TO_TOT_ASSET","FQ1 2016","FQ1 2016","Currency=INR","Period=FQ","BEST_FPERIOD_OVERRIDE=FQ","FILING_STATUS=OR","EQY_CONSOLIDATED=Y","Sort=A","Dates=H","DateFormat=P","Fill=—","Direction=H","UseDPDF=Y")</f>
        <v>#NAME?</v>
      </c>
      <c r="CH514" s="1" t="e">
        <f ca="1">_xll.BDH($C$503,"LT_DEBT_TO_TOT_EQY","FQ1 2016","FQ1 2016","Currency=INR","Period=FQ","BEST_FPERIOD_OVERRIDE=FQ","FILING_STATUS=OR","EQY_CONSOLIDATED=Y","Sort=A","Dates=H","DateFormat=P","Fill=—","Direction=H","UseDPDF=Y")</f>
        <v>#NAME?</v>
      </c>
      <c r="CI514" s="1" t="e">
        <f ca="1">_xll.BDH($C$503,"LT_DEBT_TO_TOT_CAP","FQ1 2016","FQ1 2016","Currency=INR","Period=FQ","BEST_FPERIOD_OVERRIDE=FQ","FILING_STATUS=OR","EQY_CONSOLIDATED=Y","Sort=A","Dates=H","DateFormat=P","Fill=—","Direction=H","UseDPDF=Y")</f>
        <v>#NAME?</v>
      </c>
      <c r="CJ514" s="1" t="e">
        <f ca="1">_xll.BDH($C$503,"LT_DEBT_TO_TOT_ASSET","FQ1 2016","FQ1 2016","Currency=INR","Period=FQ","BEST_FPERIOD_OVERRIDE=FQ","FILING_STATUS=OR","EQY_CONSOLIDATED=Y","Sort=A","Dates=H","DateFormat=P","Fill=—","Direction=H","UseDPDF=Y")</f>
        <v>#NAME?</v>
      </c>
      <c r="CK514" s="1" t="e">
        <f ca="1">_xll.BDH($C$503,"TOT_DEBT_TO_TOT_EQY","FQ1 2016","FQ1 2016","Currency=INR","Period=FQ","BEST_FPERIOD_OVERRIDE=FQ","FILING_STATUS=OR","EQY_CONSOLIDATED=Y","Sort=A","Dates=H","DateFormat=P","Fill=—","Direction=H","UseDPDF=Y")</f>
        <v>#NAME?</v>
      </c>
      <c r="CL514" s="1" t="e">
        <f ca="1">_xll.BDH($C$503,"TOT_DEBT_TO_TOT_CAP","FQ1 2016","FQ1 2016","Currency=INR","Period=FQ","BEST_FPERIOD_OVERRIDE=FQ","FILING_STATUS=OR","EQY_CONSOLIDATED=Y","Sort=A","Dates=H","DateFormat=P","Fill=—","Direction=H","UseDPDF=Y")</f>
        <v>#NAME?</v>
      </c>
      <c r="CM514" s="1" t="e">
        <f ca="1">_xll.BDH($C$503,"TOT_DEBT_TO_TOT_ASSET","FQ1 2016","FQ1 2016","Currency=INR","Period=FQ","BEST_FPERIOD_OVERRIDE=FQ","FILING_STATUS=OR","EQY_CONSOLIDATED=Y","Sort=A","Dates=H","DateFormat=P","Fill=—","Direction=H","UseDPDF=Y")</f>
        <v>#NAME?</v>
      </c>
      <c r="CN514" s="1" t="e">
        <f ca="1">_xll.BDH($C$503,"NET_DEBT_TO_SHRHLDR_EQTY","FQ1 2016","FQ1 2016","Currency=INR","Period=FQ","BEST_FPERIOD_OVERRIDE=FQ","FILING_STATUS=OR","EQY_CONSOLIDATED=Y","Sort=A","Dates=H","DateFormat=P","Fill=—","Direction=H","UseDPDF=Y")</f>
        <v>#NAME?</v>
      </c>
      <c r="CO514" s="1" t="e">
        <f ca="1">_xll.BDH($C$503,"NET_DEBT_%_CAPITAL","FQ1 2016","FQ1 2016","Currency=INR","Period=FQ","BEST_FPERIOD_OVERRIDE=FQ","FILING_STATUS=OR","EQY_CONSOLIDATED=Y","Sort=A","Dates=H","DateFormat=P","Fill=—","Direction=H","UseDPDF=Y")</f>
        <v>#NAME?</v>
      </c>
      <c r="CP514" s="2" t="e">
        <f ca="1">_xll.BDH($C$503,"EBITDA","FQ1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14" s="2" t="e">
        <f ca="1">_xll.BDH($C$503,"EBITDA_AFTER_CAPEX","FQ1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14" s="2" t="e">
        <f ca="1">_xll.BDH($C$503,"IS_OPER_INC","FQ1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14" s="1" t="e">
        <f ca="1">_xll.BDH($C$503,"CASH_RATIO","FQ1 2016","FQ1 2016","Currency=INR","Period=FQ","BEST_FPERIOD_OVERRIDE=FQ","FILING_STATUS=OR","EQY_CONSOLIDATED=Y","Sort=A","Dates=H","DateFormat=P","Fill=—","Direction=H","UseDPDF=Y")</f>
        <v>#NAME?</v>
      </c>
      <c r="CT514" s="1" t="e">
        <f ca="1">_xll.BDH($C$503,"CUR_RATIO","FQ1 2016","FQ1 2016","Currency=INR","Period=FQ","BEST_FPERIOD_OVERRIDE=FQ","FILING_STATUS=OR","EQY_CONSOLIDATED=Y","Sort=A","Dates=H","DateFormat=P","Fill=—","Direction=H","UseDPDF=Y")</f>
        <v>#NAME?</v>
      </c>
      <c r="CU514" s="1" t="e">
        <f ca="1">_xll.BDH($C$503,"QUICK_RATIO","FQ1 2016","FQ1 2016","Currency=INR","Period=FQ","BEST_FPERIOD_OVERRIDE=FQ","FILING_STATUS=OR","EQY_CONSOLIDATED=Y","Sort=A","Dates=H","DateFormat=P","Fill=—","Direction=H","UseDPDF=Y")</f>
        <v>#NAME?</v>
      </c>
      <c r="CV514" s="1" t="e">
        <f ca="1">_xll.BDH($C$503,"ALTMAN_Z_SCORE","FQ1 2016","FQ1 2016","Currency=INR","Period=FQ","BEST_FPERIOD_OVERRIDE=FQ","FILING_STATUS=OR","EQY_CONSOLIDATED=Y","Sort=A","Dates=H","DateFormat=P","Fill=—","Direction=H","UseDPDF=Y")</f>
        <v>#NAME?</v>
      </c>
      <c r="CW514" s="3" t="e">
        <f ca="1">_xll.BDH($C$503,"ACCT_RCV_TURN","FQ1 2016","FQ1 2016","Currency=INR","Period=FQ","BEST_FPERIOD_OVERRIDE=FQ","FILING_STATUS=OR","EQY_CONSOLIDATED=Y","FA_ADJUSTED=GAAP","Sort=A","Dates=H","DateFormat=P","Fill=—","Direction=H","UseDPDF=Y")</f>
        <v>#NAME?</v>
      </c>
      <c r="CX514" s="1" t="e">
        <f ca="1">_xll.BDH($C$503,"ACCT_RCV_DAYS","FQ1 2016","FQ1 2016","Currency=INR","Period=FQ","BEST_FPERIOD_OVERRIDE=FQ","FILING_STATUS=OR","EQY_CONSOLIDATED=Y","FA_ADJUSTED=GAAP","Sort=A","Dates=H","DateFormat=P","Fill=—","Direction=H","UseDPDF=Y")</f>
        <v>#NAME?</v>
      </c>
      <c r="CY514" s="3" t="e">
        <f ca="1">_xll.BDH($C$503,"INVENT_TURN","FQ1 2016","FQ1 2016","Currency=INR","Period=FQ","BEST_FPERIOD_OVERRIDE=FQ","FILING_STATUS=OR","EQY_CONSOLIDATED=Y","FA_ADJUSTED=GAAP","Sort=A","Dates=H","DateFormat=P","Fill=—","Direction=H","UseDPDF=Y")</f>
        <v>#NAME?</v>
      </c>
      <c r="CZ514" s="1" t="e">
        <f ca="1">_xll.BDH($C$503,"INVENT_DAYS","FQ1 2016","FQ1 2016","Currency=INR","Period=FQ","BEST_FPERIOD_OVERRIDE=FQ","FILING_STATUS=OR","EQY_CONSOLIDATED=Y","FA_ADJUSTED=GAAP","Sort=A","Dates=H","DateFormat=P","Fill=—","Direction=H","UseDPDF=Y")</f>
        <v>#NAME?</v>
      </c>
      <c r="DA514" s="3" t="e">
        <f ca="1">_xll.BDH($C$503,"ACCOUNTS_PAYABLE_TURNOVER","FQ1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14" s="1" t="e">
        <f ca="1">_xll.BDH($C$503,"ACCOUNTS_PAYABLE_TURNOVER_DAYS","FQ1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14" s="3" t="e">
        <f ca="1">_xll.BDH($C$503,"CASH_CONVERSION_CYCLE","FQ1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14" s="3" t="e">
        <f ca="1">_xll.BDH($C$503,"INV_TO_CASH_DAYS","FQ1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514" s="4" t="e">
        <f ca="1">_xll.BDH($C$503,"BS_INVENTORIES","FQ1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514" s="2" t="e">
        <f ca="1">_xll.BDH($C$503,"INVTRY_RAW_MATERIALS","FQ1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14" s="2" t="e">
        <f ca="1">_xll.BDH($C$503,"INVTRY_IN_PROGRESS","FQ1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14" s="2" t="e">
        <f ca="1">_xll.BDH($C$503,"INVTRY_FINISHED_GOODS","FQ1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14" s="2" t="e">
        <f ca="1">_xll.BDH($C$503,"BS_OTHER_INV","FQ1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15" spans="1:113" x14ac:dyDescent="0.3">
      <c r="A515" s="6"/>
      <c r="B515" s="6"/>
      <c r="C515" s="6"/>
      <c r="D515" s="6"/>
      <c r="E515" t="s">
        <v>5</v>
      </c>
      <c r="F515" t="e">
        <f ca="1">_xll.BDH($C$503,"RETURN_COM_EQY","FQ2 2016","FQ2 2016","Currency=INR","Period=FQ","BEST_FPERIOD_OVERRIDE=FQ","FILING_STATUS=OR","EQY_CONSOLIDATED=Y","FA_ADJUSTED=GAAP","Sort=A","Dates=H","DateFormat=P","Fill=—","Direction=H","UseDPDF=Y")</f>
        <v>#NAME?</v>
      </c>
      <c r="G515" t="e">
        <f ca="1">_xll.BDH($C$503,"RETURN_ON_ASSET","FQ2 2016","FQ2 2016","Currency=INR","Period=FQ","BEST_FPERIOD_OVERRIDE=FQ","FILING_STATUS=OR","EQY_CONSOLIDATED=Y","FA_ADJUSTED=GAAP","Sort=A","Dates=H","DateFormat=P","Fill=—","Direction=H","UseDPDF=Y")</f>
        <v>#NAME?</v>
      </c>
      <c r="H515" t="e">
        <f ca="1">_xll.BDH($C$503,"RETURN_ON_CAP","FQ2 2016","FQ2 2016","Currency=INR","Period=FQ","BEST_FPERIOD_OVERRIDE=FQ","FILING_STATUS=OR","EQY_CONSOLIDATED=Y","FA_ADJUSTED=GAAP","Sort=A","Dates=H","DateFormat=P","Fill=—","Direction=H","UseDPDF=Y")</f>
        <v>#NAME?</v>
      </c>
      <c r="I515" t="e">
        <f ca="1">_xll.BDH($C$503,"RETURN_ON_INV_CAPITAL","FQ2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15" t="e">
        <f ca="1">_xll.BDH($C$503,"EBITDA_TO_REVENUE","FQ2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515" t="e">
        <f ca="1">_xll.BDH($C$503,"OPER_MARGIN","FQ2 2016","FQ2 2016","Currency=INR","Period=FQ","BEST_FPERIOD_OVERRIDE=FQ","FILING_STATUS=OR","EQY_CONSOLIDATED=Y","FA_ADJUSTED=GAAP","Sort=A","Dates=H","DateFormat=P","Fill=—","Direction=H","UseDPDF=Y")</f>
        <v>#NAME?</v>
      </c>
      <c r="L515" t="e">
        <f ca="1">_xll.BDH($C$503,"INCREMENTAL_OPERATING_MARGIN","FQ2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15" t="e">
        <f ca="1">_xll.BDH($C$503,"PRETAX_INC_TO_NET_SALES","FQ2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15" t="e">
        <f ca="1">_xll.BDH($C$503,"INC_BEF_XO_ITEMS_TO_NET_SALES","FQ2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15" t="e">
        <f ca="1">_xll.BDH($C$503,"PROF_MARGIN","FQ2 2016","FQ2 2016","Currency=INR","Period=FQ","BEST_FPERIOD_OVERRIDE=FQ","FILING_STATUS=OR","EQY_CONSOLIDATED=Y","FA_ADJUSTED=GAAP","Sort=A","Dates=H","DateFormat=P","Fill=—","Direction=H","UseDPDF=Y")</f>
        <v>#NAME?</v>
      </c>
      <c r="P515" t="e">
        <f ca="1">_xll.BDH($C$503,"NET_INCOME_TO_COMMON_MARGIN","FQ2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15" t="e">
        <f ca="1">_xll.BDH($C$503,"EFF_TAX_RATE","FQ2 2016","FQ2 2016","Currency=INR","Period=FQ","BEST_FPERIOD_OVERRIDE=FQ","FILING_STATUS=OR","EQY_CONSOLIDATED=Y","FA_ADJUSTED=GAAP","Sort=A","Dates=H","DateFormat=P","Fill=—","Direction=H","UseDPDF=Y")</f>
        <v>#NAME?</v>
      </c>
      <c r="R515" t="e">
        <f ca="1">_xll.BDH($C$503,"DVD_PAYOUT_RATIO","FQ2 2016","FQ2 2016","Currency=INR","Period=FQ","BEST_FPERIOD_OVERRIDE=FQ","FILING_STATUS=OR","EQY_CONSOLIDATED=Y","FA_ADJUSTED=GAAP","Sort=A","Dates=H","DateFormat=P","Fill=—","Direction=H","UseDPDF=Y")</f>
        <v>#NAME?</v>
      </c>
      <c r="S515" t="e">
        <f ca="1">_xll.BDH($C$503,"SUSTAIN_GROWTH_RT","FQ2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515" s="1" t="e">
        <f ca="1">_xll.BDH($C$503,"SALES_GROWTH","FQ2 2016","FQ2 2016","Currency=INR","Period=FQ","BEST_FPERIOD_OVERRIDE=FQ","FILING_STATUS=OR","EQY_CONSOLIDATED=Y","FA_ADJUSTED=GAAP","Sort=A","Dates=H","DateFormat=P","Fill=—","Direction=H","UseDPDF=Y")</f>
        <v>#NAME?</v>
      </c>
      <c r="U515" s="1" t="e">
        <f ca="1">_xll.BDH($C$503,"EBITDA_GROWTH","FQ2 2016","FQ2 2016","Currency=INR","Period=FQ","BEST_FPERIOD_OVERRIDE=FQ","FILING_STATUS=OR","EQY_CONSOLIDATED=Y","FA_ADJUSTED=GAAP","Sort=A","Dates=H","DateFormat=P","Fill=—","Direction=H","UseDPDF=Y")</f>
        <v>#NAME?</v>
      </c>
      <c r="V515" s="1" t="e">
        <f ca="1">_xll.BDH($C$503,"OPER_INC_GROWTH","FQ2 2016","FQ2 2016","Currency=INR","Period=FQ","BEST_FPERIOD_OVERRIDE=FQ","FILING_STATUS=OR","EQY_CONSOLIDATED=Y","FA_ADJUSTED=GAAP","Sort=A","Dates=H","DateFormat=P","Fill=—","Direction=H","UseDPDF=Y")</f>
        <v>#NAME?</v>
      </c>
      <c r="W515" s="1" t="e">
        <f ca="1">_xll.BDH($C$503,"EARN_FOR_COM_GROWTH","FQ2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15" s="1" t="e">
        <f ca="1">_xll.BDH($C$503,"DILUTED_EPS_AFT_XO_ITEMS_GROWTH","FQ2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15" s="1" t="e">
        <f ca="1">_xll.BDH($C$503,"DIVIDEND_PER_SHARE_1_YEAR_GROWTH","FQ2 2016","FQ2 2016","Currency=INR","Period=FQ","BEST_FPERIOD_OVERRIDE=FQ","FILING_STATUS=OR","EQY_CONSOLIDATED=Y","Sort=A","Dates=H","DateFormat=P","Fill=—","Direction=H","UseDPDF=Y")</f>
        <v>#NAME?</v>
      </c>
      <c r="Z515" s="1" t="e">
        <f ca="1">_xll.BDH($C$503,"ACCOUNTS_RECEIVABLE_GROWTH","FQ2 2016","FQ2 2016","Currency=INR","Period=FQ","BEST_FPERIOD_OVERRIDE=FQ","FILING_STATUS=OR","EQY_CONSOLIDATED=Y","Sort=A","Dates=H","DateFormat=P","Fill=—","Direction=H","UseDPDF=Y")</f>
        <v>#NAME?</v>
      </c>
      <c r="AA515" s="1" t="e">
        <f ca="1">_xll.BDH($C$503,"INVENTORY_GROWTH","FQ2 2016","FQ2 2016","Currency=INR","Period=FQ","BEST_FPERIOD_OVERRIDE=FQ","FILING_STATUS=OR","EQY_CONSOLIDATED=Y","Sort=A","Dates=H","DateFormat=P","Fill=—","Direction=H","UseDPDF=Y")</f>
        <v>#NAME?</v>
      </c>
      <c r="AB515" s="1" t="e">
        <f ca="1">_xll.BDH($C$503,"NET_FIXED_ASSETS_1_YEAR_GROWTH","FQ2 2016","FQ2 2016","Currency=INR","Period=FQ","BEST_FPERIOD_OVERRIDE=FQ","FILING_STATUS=OR","EQY_CONSOLIDATED=Y","Sort=A","Dates=H","DateFormat=P","Fill=—","Direction=H","UseDPDF=Y")</f>
        <v>#NAME?</v>
      </c>
      <c r="AC515" s="1" t="e">
        <f ca="1">_xll.BDH($C$503,"ASSET_GROWTH","FQ2 2016","FQ2 2016","Currency=INR","Period=FQ","BEST_FPERIOD_OVERRIDE=FQ","FILING_STATUS=OR","EQY_CONSOLIDATED=Y","Sort=A","Dates=H","DateFormat=P","Fill=—","Direction=H","UseDPDF=Y")</f>
        <v>#NAME?</v>
      </c>
      <c r="AD515" s="1" t="e">
        <f ca="1">_xll.BDH($C$503,"MODIFIED_WORK_CAP_GROWTH","FQ2 2016","FQ2 2016","Currency=INR","Period=FQ","BEST_FPERIOD_OVERRIDE=FQ","FILING_STATUS=OR","EQY_CONSOLIDATED=Y","Sort=A","Dates=H","DateFormat=P","Fill=—","Direction=H","UseDPDF=Y")</f>
        <v>#NAME?</v>
      </c>
      <c r="AE515" s="1" t="e">
        <f ca="1">_xll.BDH($C$503,"WORK_CAP_GROWTH","FQ2 2016","FQ2 2016","Currency=INR","Period=FQ","BEST_FPERIOD_OVERRIDE=FQ","FILING_STATUS=OR","EQY_CONSOLIDATED=Y","Sort=A","Dates=H","DateFormat=P","Fill=—","Direction=H","UseDPDF=Y")</f>
        <v>#NAME?</v>
      </c>
      <c r="AF515" s="1" t="e">
        <f ca="1">_xll.BDH($C$503,"ACCOUNTS_PAYABLE_GROWTH_1YR","FQ2 2016","FQ2 2016","Currency=INR","Period=FQ","BEST_FPERIOD_OVERRIDE=FQ","FILING_STATUS=OR","EQY_CONSOLIDATED=Y","Sort=A","Dates=H","DateFormat=P","Fill=—","Direction=H","UseDPDF=Y")</f>
        <v>#NAME?</v>
      </c>
      <c r="AG515" s="1" t="e">
        <f ca="1">_xll.BDH($C$503,"SHORT_TERM_DEBT_1_YEAR_GROWTH","FQ2 2016","FQ2 2016","Currency=INR","Period=FQ","BEST_FPERIOD_OVERRIDE=FQ","FILING_STATUS=OR","EQY_CONSOLIDATED=Y","Sort=A","Dates=H","DateFormat=P","Fill=—","Direction=H","UseDPDF=Y")</f>
        <v>#NAME?</v>
      </c>
      <c r="AH515" s="1" t="e">
        <f ca="1">_xll.BDH($C$503,"TOTAL_DEBT_1_YEAR_GROWTH","FQ2 2016","FQ2 2016","Currency=INR","Period=FQ","BEST_FPERIOD_OVERRIDE=FQ","FILING_STATUS=OR","EQY_CONSOLIDATED=Y","Sort=A","Dates=H","DateFormat=P","Fill=—","Direction=H","UseDPDF=Y")</f>
        <v>#NAME?</v>
      </c>
      <c r="AI515" s="1" t="e">
        <f ca="1">_xll.BDH($C$503,"TOTAL_EQUITY_1_YEAR_GROWTH","FQ2 2016","FQ2 2016","Currency=INR","Period=FQ","BEST_FPERIOD_OVERRIDE=FQ","FILING_STATUS=OR","EQY_CONSOLIDATED=Y","Sort=A","Dates=H","DateFormat=P","Fill=—","Direction=H","UseDPDF=Y")</f>
        <v>#NAME?</v>
      </c>
      <c r="AJ515" s="1" t="e">
        <f ca="1">_xll.BDH($C$503,"GROWTH_IN_CAP","FQ2 2016","FQ2 2016","Currency=INR","Period=FQ","BEST_FPERIOD_OVERRIDE=FQ","FILING_STATUS=OR","EQY_CONSOLIDATED=Y","Sort=A","Dates=H","DateFormat=P","Fill=—","Direction=H","UseDPDF=Y")</f>
        <v>#NAME?</v>
      </c>
      <c r="AK515" s="1" t="e">
        <f ca="1">_xll.BDH($C$503,"BVPS_GROWTH","FQ2 2016","FQ2 2016","Currency=INR","Period=FQ","BEST_FPERIOD_OVERRIDE=FQ","FILING_STATUS=OR","EQY_CONSOLIDATED=Y","Sort=A","Dates=H","DateFormat=P","Fill=—","Direction=H","UseDPDF=Y")</f>
        <v>#NAME?</v>
      </c>
      <c r="AL515" s="1" t="e">
        <f ca="1">_xll.BDH($C$503,"CASH_FLOW_GROWTH","FQ2 2016","FQ2 2016","Currency=INR","Period=FQ","BEST_FPERIOD_OVERRIDE=FQ","FILING_STATUS=OR","EQY_CONSOLIDATED=Y","Sort=A","Dates=H","DateFormat=P","Fill=—","Direction=H","UseDPDF=Y")</f>
        <v>#NAME?</v>
      </c>
      <c r="AM515" s="1" t="e">
        <f ca="1">_xll.BDH($C$503,"GEO_GROW_NET_SALES","FQ2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15" s="1" t="e">
        <f ca="1">_xll.BDH($C$503,"GEO_GROW_EBITDA","FQ2 2016","FQ2 2016","Currency=INR","Period=FQ","BEST_FPERIOD_OVERRIDE=FQ","FILING_STATUS=OR","EQY_CONSOLIDATED=Y","FA_ADJUSTED=GAAP","Sort=A","Dates=H","DateFormat=P","Fill=—","Direction=H","UseDPDF=Y")</f>
        <v>#NAME?</v>
      </c>
      <c r="AO515" s="1" t="e">
        <f ca="1">_xll.BDH($C$503,"GEO_GROW_OPER_INC","FQ2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15" s="1" t="e">
        <f ca="1">_xll.BDH($C$503,"NET_INCOME_TO_COMMON_5_YR_GROWTH","FQ2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15" s="1" t="e">
        <f ca="1">_xll.BDH($C$503,"5Y_GEO_GROWTH_DILUTED_EPS","FQ2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15" s="1" t="e">
        <f ca="1">_xll.BDH($C$503,"GEO_GROW_DVD_PER_SH","FQ2 2016","FQ2 2016","Currency=INR","Period=FQ","BEST_FPERIOD_OVERRIDE=FQ","FILING_STATUS=OR","EQY_CONSOLIDATED=Y","Sort=A","Dates=H","DateFormat=P","Fill=—","Direction=H","UseDPDF=Y")</f>
        <v>#NAME?</v>
      </c>
      <c r="AS515" s="1" t="e">
        <f ca="1">_xll.BDH($C$503,"ACCOUNTS_RECEIVABLE_5_YR_GROWTH","FQ2 2016","FQ2 2016","Currency=INR","Period=FQ","BEST_FPERIOD_OVERRIDE=FQ","FILING_STATUS=OR","EQY_CONSOLIDATED=Y","Sort=A","Dates=H","DateFormat=P","Fill=—","Direction=H","UseDPDF=Y")</f>
        <v>#NAME?</v>
      </c>
      <c r="AT515" s="1" t="e">
        <f ca="1">_xll.BDH($C$503,"INVENTORY_5_YEAR_GROWTH","FQ2 2016","FQ2 2016","Currency=INR","Period=FQ","BEST_FPERIOD_OVERRIDE=FQ","FILING_STATUS=OR","EQY_CONSOLIDATED=Y","Sort=A","Dates=H","DateFormat=P","Fill=—","Direction=H","UseDPDF=Y")</f>
        <v>#NAME?</v>
      </c>
      <c r="AU515" s="1" t="e">
        <f ca="1">_xll.BDH($C$503,"NET_FIXED_ASSETS_5_YEAR_GROWTH","FQ2 2016","FQ2 2016","Currency=INR","Period=FQ","BEST_FPERIOD_OVERRIDE=FQ","FILING_STATUS=OR","EQY_CONSOLIDATED=Y","Sort=A","Dates=H","DateFormat=P","Fill=—","Direction=H","UseDPDF=Y")</f>
        <v>#NAME?</v>
      </c>
      <c r="AV515" s="1" t="e">
        <f ca="1">_xll.BDH($C$503,"GEO_GROW_TOT_ASSET","FQ2 2016","FQ2 2016","Currency=INR","Period=FQ","BEST_FPERIOD_OVERRIDE=FQ","FILING_STATUS=OR","EQY_CONSOLIDATED=Y","Sort=A","Dates=H","DateFormat=P","Fill=—","Direction=H","UseDPDF=Y")</f>
        <v>#NAME?</v>
      </c>
      <c r="AW515" s="1" t="e">
        <f ca="1">_xll.BDH($C$503,"MODIFIED_WORKING_CPTL_5YR_GRWTH","FQ2 2016","FQ2 2016","Currency=INR","Period=FQ","BEST_FPERIOD_OVERRIDE=FQ","FILING_STATUS=OR","EQY_CONSOLIDATED=Y","Sort=A","Dates=H","DateFormat=P","Fill=—","Direction=H","UseDPDF=Y")</f>
        <v>#NAME?</v>
      </c>
      <c r="AX515" s="1" t="e">
        <f ca="1">_xll.BDH($C$503,"WORKING_CAPITAL_5_YEAR_GROWTH","FQ2 2016","FQ2 2016","Currency=INR","Period=FQ","BEST_FPERIOD_OVERRIDE=FQ","FILING_STATUS=OR","EQY_CONSOLIDATED=Y","Sort=A","Dates=H","DateFormat=P","Fill=—","Direction=H","UseDPDF=Y")</f>
        <v>#NAME?</v>
      </c>
      <c r="AY515" s="1" t="e">
        <f ca="1">_xll.BDH($C$503,"ACCOUNTS_PAYABLE_5_YEAR_GROWTH","FQ2 2016","FQ2 2016","Currency=INR","Period=FQ","BEST_FPERIOD_OVERRIDE=FQ","FILING_STATUS=OR","EQY_CONSOLIDATED=Y","Sort=A","Dates=H","DateFormat=P","Fill=—","Direction=H","UseDPDF=Y")</f>
        <v>#NAME?</v>
      </c>
      <c r="AZ515" s="1" t="e">
        <f ca="1">_xll.BDH($C$503,"SHORT_TERM_DEBT_5_YEAR_GROWTH","FQ2 2016","FQ2 2016","Currency=INR","Period=FQ","BEST_FPERIOD_OVERRIDE=FQ","FILING_STATUS=OR","EQY_CONSOLIDATED=Y","Sort=A","Dates=H","DateFormat=P","Fill=—","Direction=H","UseDPDF=Y")</f>
        <v>#NAME?</v>
      </c>
      <c r="BA515" s="1" t="e">
        <f ca="1">_xll.BDH($C$503,"TOTAL_DEBT_5_YEAR_GROWTH","FQ2 2016","FQ2 2016","Currency=INR","Period=FQ","BEST_FPERIOD_OVERRIDE=FQ","FILING_STATUS=OR","EQY_CONSOLIDATED=Y","Sort=A","Dates=H","DateFormat=P","Fill=—","Direction=H","UseDPDF=Y")</f>
        <v>#NAME?</v>
      </c>
      <c r="BB515" s="1" t="e">
        <f ca="1">_xll.BDH($C$503,"GEO_GROW_TOT_SHRHLDR_EQY","FQ2 2016","FQ2 2016","Currency=INR","Period=FQ","BEST_FPERIOD_OVERRIDE=FQ","FILING_STATUS=OR","EQY_CONSOLIDATED=Y","Sort=A","Dates=H","DateFormat=P","Fill=—","Direction=H","UseDPDF=Y")</f>
        <v>#NAME?</v>
      </c>
      <c r="BC515" s="1" t="e">
        <f ca="1">_xll.BDH($C$503,"TOTAL_CAPITAL_5_YEAR_GROWTH","FQ2 2016","FQ2 2016","Currency=INR","Period=FQ","BEST_FPERIOD_OVERRIDE=FQ","FILING_STATUS=OR","EQY_CONSOLIDATED=Y","Sort=A","Dates=H","DateFormat=P","Fill=—","Direction=H","UseDPDF=Y")</f>
        <v>#NAME?</v>
      </c>
      <c r="BD515" s="1" t="e">
        <f ca="1">_xll.BDH($C$503,"GEO_GROW_BOOK_VAL","FQ2 2016","FQ2 2016","Currency=INR","Period=FQ","BEST_FPERIOD_OVERRIDE=FQ","FILING_STATUS=OR","EQY_CONSOLIDATED=Y","Sort=A","Dates=H","DateFormat=P","Fill=—","Direction=H","UseDPDF=Y")</f>
        <v>#NAME?</v>
      </c>
      <c r="BE515" s="1" t="e">
        <f ca="1">_xll.BDH($C$503,"GEO_GROW_CASH_OPER_ACT","FQ2 2016","FQ2 2016","Currency=INR","Period=FQ","BEST_FPERIOD_OVERRIDE=FQ","FILING_STATUS=OR","EQY_CONSOLIDATED=Y","Sort=A","Dates=H","DateFormat=P","Fill=—","Direction=H","UseDPDF=Y")</f>
        <v>#NAME?</v>
      </c>
      <c r="BF515" s="1" t="e">
        <f ca="1">_xll.BDH($C$503,"REVENUE_SEQUENTIAL_GROWTH","FQ2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15" s="1" t="e">
        <f ca="1">_xll.BDH($C$503,"EBITDA_SEQUENTIAL_GROWTH","FQ2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15" s="1" t="e">
        <f ca="1">_xll.BDH($C$503,"OPERATING_INCOME_SEQ_GROWTH","FQ2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15" s="1" t="e">
        <f ca="1">_xll.BDH($C$503,"NET_INCOME_TO_COMMON_SEQ_GROWTH","FQ2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15" s="1" t="e">
        <f ca="1">_xll.BDH($C$503,"EPS_DILUTED_SEQUENTIAL_GROWTH","FQ2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15" s="1" t="e">
        <f ca="1">_xll.BDH($C$503,"DPS_SEQUENTIAL_GROWTH","FQ2 2016","FQ2 2016","Currency=INR","Period=FQ","BEST_FPERIOD_OVERRIDE=FQ","FILING_STATUS=OR","EQY_CONSOLIDATED=Y","Sort=A","Dates=H","DateFormat=P","Fill=—","Direction=H","UseDPDF=Y")</f>
        <v>#NAME?</v>
      </c>
      <c r="BL515" s="1" t="e">
        <f ca="1">_xll.BDH($C$503,"ACCOUNTS_RECEIVABLE_SEQ_GROWTH","FQ2 2016","FQ2 2016","Currency=INR","Period=FQ","BEST_FPERIOD_OVERRIDE=FQ","FILING_STATUS=OR","EQY_CONSOLIDATED=Y","Sort=A","Dates=H","DateFormat=P","Fill=—","Direction=H","UseDPDF=Y")</f>
        <v>#NAME?</v>
      </c>
      <c r="BM515" s="1" t="e">
        <f ca="1">_xll.BDH($C$503,"INVENTORY_SEQUENTIAL_GROWTH","FQ2 2016","FQ2 2016","Currency=INR","Period=FQ","BEST_FPERIOD_OVERRIDE=FQ","FILING_STATUS=OR","EQY_CONSOLIDATED=Y","Sort=A","Dates=H","DateFormat=P","Fill=—","Direction=H","UseDPDF=Y")</f>
        <v>#NAME?</v>
      </c>
      <c r="BN515" s="1" t="e">
        <f ca="1">_xll.BDH($C$503,"FIXED_ASSETS_SEQUENTIAL_GROWTH","FQ2 2016","FQ2 2016","Currency=INR","Period=FQ","BEST_FPERIOD_OVERRIDE=FQ","FILING_STATUS=OR","EQY_CONSOLIDATED=Y","Sort=A","Dates=H","DateFormat=P","Fill=—","Direction=H","UseDPDF=Y")</f>
        <v>#NAME?</v>
      </c>
      <c r="BO515" s="1" t="e">
        <f ca="1">_xll.BDH($C$503,"TOTAL_ASSETS_SEQUENTIAL_GROWTH","FQ2 2016","FQ2 2016","Currency=INR","Period=FQ","BEST_FPERIOD_OVERRIDE=FQ","FILING_STATUS=OR","EQY_CONSOLIDATED=Y","Sort=A","Dates=H","DateFormat=P","Fill=—","Direction=H","UseDPDF=Y")</f>
        <v>#NAME?</v>
      </c>
      <c r="BP515" s="1" t="e">
        <f ca="1">_xll.BDH($C$503,"MODIFIED_WORKING_CPTL_SEQ_GRWTH","FQ2 2016","FQ2 2016","Currency=INR","Period=FQ","BEST_FPERIOD_OVERRIDE=FQ","FILING_STATUS=OR","EQY_CONSOLIDATED=Y","Sort=A","Dates=H","DateFormat=P","Fill=—","Direction=H","UseDPDF=Y")</f>
        <v>#NAME?</v>
      </c>
      <c r="BQ515" s="1" t="e">
        <f ca="1">_xll.BDH($C$503,"WORKING_CAPITAL_SEQ_GROWTH","FQ2 2016","FQ2 2016","Currency=INR","Period=FQ","BEST_FPERIOD_OVERRIDE=FQ","FILING_STATUS=OR","EQY_CONSOLIDATED=Y","Sort=A","Dates=H","DateFormat=P","Fill=—","Direction=H","UseDPDF=Y")</f>
        <v>#NAME?</v>
      </c>
      <c r="BR515" s="1" t="e">
        <f ca="1">_xll.BDH($C$503,"ACCOUNTS_PAYABLE_SEQ_GROWTH","FQ2 2016","FQ2 2016","Currency=INR","Period=FQ","BEST_FPERIOD_OVERRIDE=FQ","FILING_STATUS=OR","EQY_CONSOLIDATED=Y","Sort=A","Dates=H","DateFormat=P","Fill=—","Direction=H","UseDPDF=Y")</f>
        <v>#NAME?</v>
      </c>
      <c r="BS515" s="1" t="e">
        <f ca="1">_xll.BDH($C$503,"ST_DEBT_SEQUENTIAL_GROWTH","FQ2 2016","FQ2 2016","Currency=INR","Period=FQ","BEST_FPERIOD_OVERRIDE=FQ","FILING_STATUS=OR","EQY_CONSOLIDATED=Y","Sort=A","Dates=H","DateFormat=P","Fill=—","Direction=H","UseDPDF=Y")</f>
        <v>#NAME?</v>
      </c>
      <c r="BT515" s="1" t="e">
        <f ca="1">_xll.BDH($C$503,"TOTAL_DEBT_SEQUENTIAL_GROWTH","FQ2 2016","FQ2 2016","Currency=INR","Period=FQ","BEST_FPERIOD_OVERRIDE=FQ","FILING_STATUS=OR","EQY_CONSOLIDATED=Y","Sort=A","Dates=H","DateFormat=P","Fill=—","Direction=H","UseDPDF=Y")</f>
        <v>#NAME?</v>
      </c>
      <c r="BU515" s="1" t="e">
        <f ca="1">_xll.BDH($C$503,"TOTAL_EQUITY_SEQUENTIAL_GROWTH","FQ2 2016","FQ2 2016","Currency=INR","Period=FQ","BEST_FPERIOD_OVERRIDE=FQ","FILING_STATUS=OR","EQY_CONSOLIDATED=Y","Sort=A","Dates=H","DateFormat=P","Fill=—","Direction=H","UseDPDF=Y")</f>
        <v>#NAME?</v>
      </c>
      <c r="BV515" s="1" t="e">
        <f ca="1">_xll.BDH($C$503,"TOTAL_CAPITAL_SEQUENTIAL_GROWTH","FQ2 2016","FQ2 2016","Currency=INR","Period=FQ","BEST_FPERIOD_OVERRIDE=FQ","FILING_STATUS=OR","EQY_CONSOLIDATED=Y","Sort=A","Dates=H","DateFormat=P","Fill=—","Direction=H","UseDPDF=Y")</f>
        <v>#NAME?</v>
      </c>
      <c r="BW515" s="1" t="e">
        <f ca="1">_xll.BDH($C$503,"BPS_SEQUENTIAL_GROWTH","FQ2 2016","FQ2 2016","Currency=INR","Period=FQ","BEST_FPERIOD_OVERRIDE=FQ","FILING_STATUS=OR","EQY_CONSOLIDATED=Y","Sort=A","Dates=H","DateFormat=P","Fill=—","Direction=H","UseDPDF=Y")</f>
        <v>#NAME?</v>
      </c>
      <c r="BX515" s="1" t="e">
        <f ca="1">_xll.BDH($C$503,"CFO_SEQUENTIAL_GROWTH","FQ2 2016","FQ2 2016","Currency=INR","Period=FQ","BEST_FPERIOD_OVERRIDE=FQ","FILING_STATUS=OR","EQY_CONSOLIDATED=Y","Sort=A","Dates=H","DateFormat=P","Fill=—","Direction=H","UseDPDF=Y")</f>
        <v>#NAME?</v>
      </c>
      <c r="BY515" s="2" t="e">
        <f ca="1">_xll.BDH($C$503,"SHORT_AND_LONG_TERM_DEBT","FQ2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15" s="2" t="e">
        <f ca="1">_xll.BDH($C$503,"BS_ST_BORROW","FQ2 2016","FQ2 2016","Currency=INR","Period=FQ","BEST_FPERIOD_OVERRIDE=FQ","FILING_STATUS=OR","EQY_CONSOLIDATED=Y","SCALING_FORMAT=MLN","Sort=A","Dates=H","DateFormat=P","Fill=—","Direction=H","UseDPDF=Y")</f>
        <v>#NAME?</v>
      </c>
      <c r="CA515" s="2" t="e">
        <f ca="1">_xll.BDH($C$503,"BS_LT_BORROW","FQ2 2016","FQ2 2016","Currency=INR","Period=FQ","BEST_FPERIOD_OVERRIDE=FQ","FILING_STATUS=OR","EQY_CONSOLIDATED=Y","SCALING_FORMAT=MLN","Sort=A","Dates=H","DateFormat=P","Fill=—","Direction=H","UseDPDF=Y")</f>
        <v>#NAME?</v>
      </c>
      <c r="CB515" s="1" t="e">
        <f ca="1">_xll.BDH($C$503,"TOT_DEBT_TO_EBITDA","FQ2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15" s="1" t="e">
        <f ca="1">_xll.BDH($C$503,"NET_DEBT_TO_EBITDA","FQ2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15" s="1" t="e">
        <f ca="1">_xll.BDH($C$503,"TOTAL_DEBT_TO_EBIT","FQ2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15" s="1" t="e">
        <f ca="1">_xll.BDH($C$503,"NET_DEBT_TO_EBIT","FQ2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515" s="1" t="e">
        <f ca="1">_xll.BDH($C$503,"EBITDA_TO_INTEREST_EXPN","FQ2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15" s="1" t="e">
        <f ca="1">_xll.BDH($C$503,"COM_EQY_TO_TOT_ASSET","FQ2 2016","FQ2 2016","Currency=INR","Period=FQ","BEST_FPERIOD_OVERRIDE=FQ","FILING_STATUS=OR","EQY_CONSOLIDATED=Y","Sort=A","Dates=H","DateFormat=P","Fill=—","Direction=H","UseDPDF=Y")</f>
        <v>#NAME?</v>
      </c>
      <c r="CH515" s="1" t="e">
        <f ca="1">_xll.BDH($C$503,"LT_DEBT_TO_TOT_EQY","FQ2 2016","FQ2 2016","Currency=INR","Period=FQ","BEST_FPERIOD_OVERRIDE=FQ","FILING_STATUS=OR","EQY_CONSOLIDATED=Y","Sort=A","Dates=H","DateFormat=P","Fill=—","Direction=H","UseDPDF=Y")</f>
        <v>#NAME?</v>
      </c>
      <c r="CI515" s="1" t="e">
        <f ca="1">_xll.BDH($C$503,"LT_DEBT_TO_TOT_CAP","FQ2 2016","FQ2 2016","Currency=INR","Period=FQ","BEST_FPERIOD_OVERRIDE=FQ","FILING_STATUS=OR","EQY_CONSOLIDATED=Y","Sort=A","Dates=H","DateFormat=P","Fill=—","Direction=H","UseDPDF=Y")</f>
        <v>#NAME?</v>
      </c>
      <c r="CJ515" s="1" t="e">
        <f ca="1">_xll.BDH($C$503,"LT_DEBT_TO_TOT_ASSET","FQ2 2016","FQ2 2016","Currency=INR","Period=FQ","BEST_FPERIOD_OVERRIDE=FQ","FILING_STATUS=OR","EQY_CONSOLIDATED=Y","Sort=A","Dates=H","DateFormat=P","Fill=—","Direction=H","UseDPDF=Y")</f>
        <v>#NAME?</v>
      </c>
      <c r="CK515" s="1" t="e">
        <f ca="1">_xll.BDH($C$503,"TOT_DEBT_TO_TOT_EQY","FQ2 2016","FQ2 2016","Currency=INR","Period=FQ","BEST_FPERIOD_OVERRIDE=FQ","FILING_STATUS=OR","EQY_CONSOLIDATED=Y","Sort=A","Dates=H","DateFormat=P","Fill=—","Direction=H","UseDPDF=Y")</f>
        <v>#NAME?</v>
      </c>
      <c r="CL515" s="1" t="e">
        <f ca="1">_xll.BDH($C$503,"TOT_DEBT_TO_TOT_CAP","FQ2 2016","FQ2 2016","Currency=INR","Period=FQ","BEST_FPERIOD_OVERRIDE=FQ","FILING_STATUS=OR","EQY_CONSOLIDATED=Y","Sort=A","Dates=H","DateFormat=P","Fill=—","Direction=H","UseDPDF=Y")</f>
        <v>#NAME?</v>
      </c>
      <c r="CM515" s="1" t="e">
        <f ca="1">_xll.BDH($C$503,"TOT_DEBT_TO_TOT_ASSET","FQ2 2016","FQ2 2016","Currency=INR","Period=FQ","BEST_FPERIOD_OVERRIDE=FQ","FILING_STATUS=OR","EQY_CONSOLIDATED=Y","Sort=A","Dates=H","DateFormat=P","Fill=—","Direction=H","UseDPDF=Y")</f>
        <v>#NAME?</v>
      </c>
      <c r="CN515" s="1" t="e">
        <f ca="1">_xll.BDH($C$503,"NET_DEBT_TO_SHRHLDR_EQTY","FQ2 2016","FQ2 2016","Currency=INR","Period=FQ","BEST_FPERIOD_OVERRIDE=FQ","FILING_STATUS=OR","EQY_CONSOLIDATED=Y","Sort=A","Dates=H","DateFormat=P","Fill=—","Direction=H","UseDPDF=Y")</f>
        <v>#NAME?</v>
      </c>
      <c r="CO515" s="1" t="e">
        <f ca="1">_xll.BDH($C$503,"NET_DEBT_%_CAPITAL","FQ2 2016","FQ2 2016","Currency=INR","Period=FQ","BEST_FPERIOD_OVERRIDE=FQ","FILING_STATUS=OR","EQY_CONSOLIDATED=Y","Sort=A","Dates=H","DateFormat=P","Fill=—","Direction=H","UseDPDF=Y")</f>
        <v>#NAME?</v>
      </c>
      <c r="CP515" s="2" t="e">
        <f ca="1">_xll.BDH($C$503,"EBITDA","FQ2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15" s="2" t="e">
        <f ca="1">_xll.BDH($C$503,"EBITDA_AFTER_CAPEX","FQ2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15" s="2" t="e">
        <f ca="1">_xll.BDH($C$503,"IS_OPER_INC","FQ2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15" s="1" t="e">
        <f ca="1">_xll.BDH($C$503,"CASH_RATIO","FQ2 2016","FQ2 2016","Currency=INR","Period=FQ","BEST_FPERIOD_OVERRIDE=FQ","FILING_STATUS=OR","EQY_CONSOLIDATED=Y","Sort=A","Dates=H","DateFormat=P","Fill=—","Direction=H","UseDPDF=Y")</f>
        <v>#NAME?</v>
      </c>
      <c r="CT515" s="1" t="e">
        <f ca="1">_xll.BDH($C$503,"CUR_RATIO","FQ2 2016","FQ2 2016","Currency=INR","Period=FQ","BEST_FPERIOD_OVERRIDE=FQ","FILING_STATUS=OR","EQY_CONSOLIDATED=Y","Sort=A","Dates=H","DateFormat=P","Fill=—","Direction=H","UseDPDF=Y")</f>
        <v>#NAME?</v>
      </c>
      <c r="CU515" s="1" t="e">
        <f ca="1">_xll.BDH($C$503,"QUICK_RATIO","FQ2 2016","FQ2 2016","Currency=INR","Period=FQ","BEST_FPERIOD_OVERRIDE=FQ","FILING_STATUS=OR","EQY_CONSOLIDATED=Y","Sort=A","Dates=H","DateFormat=P","Fill=—","Direction=H","UseDPDF=Y")</f>
        <v>#NAME?</v>
      </c>
      <c r="CV515" s="1" t="e">
        <f ca="1">_xll.BDH($C$503,"ALTMAN_Z_SCORE","FQ2 2016","FQ2 2016","Currency=INR","Period=FQ","BEST_FPERIOD_OVERRIDE=FQ","FILING_STATUS=OR","EQY_CONSOLIDATED=Y","Sort=A","Dates=H","DateFormat=P","Fill=—","Direction=H","UseDPDF=Y")</f>
        <v>#NAME?</v>
      </c>
      <c r="CW515" s="3" t="e">
        <f ca="1">_xll.BDH($C$503,"ACCT_RCV_TURN","FQ2 2016","FQ2 2016","Currency=INR","Period=FQ","BEST_FPERIOD_OVERRIDE=FQ","FILING_STATUS=OR","EQY_CONSOLIDATED=Y","FA_ADJUSTED=GAAP","Sort=A","Dates=H","DateFormat=P","Fill=—","Direction=H","UseDPDF=Y")</f>
        <v>#NAME?</v>
      </c>
      <c r="CX515" s="1" t="e">
        <f ca="1">_xll.BDH($C$503,"ACCT_RCV_DAYS","FQ2 2016","FQ2 2016","Currency=INR","Period=FQ","BEST_FPERIOD_OVERRIDE=FQ","FILING_STATUS=OR","EQY_CONSOLIDATED=Y","FA_ADJUSTED=GAAP","Sort=A","Dates=H","DateFormat=P","Fill=—","Direction=H","UseDPDF=Y")</f>
        <v>#NAME?</v>
      </c>
      <c r="CY515" s="3" t="e">
        <f ca="1">_xll.BDH($C$503,"INVENT_TURN","FQ2 2016","FQ2 2016","Currency=INR","Period=FQ","BEST_FPERIOD_OVERRIDE=FQ","FILING_STATUS=OR","EQY_CONSOLIDATED=Y","FA_ADJUSTED=GAAP","Sort=A","Dates=H","DateFormat=P","Fill=—","Direction=H","UseDPDF=Y")</f>
        <v>#NAME?</v>
      </c>
      <c r="CZ515" s="1" t="e">
        <f ca="1">_xll.BDH($C$503,"INVENT_DAYS","FQ2 2016","FQ2 2016","Currency=INR","Period=FQ","BEST_FPERIOD_OVERRIDE=FQ","FILING_STATUS=OR","EQY_CONSOLIDATED=Y","FA_ADJUSTED=GAAP","Sort=A","Dates=H","DateFormat=P","Fill=—","Direction=H","UseDPDF=Y")</f>
        <v>#NAME?</v>
      </c>
      <c r="DA515" s="3" t="e">
        <f ca="1">_xll.BDH($C$503,"ACCOUNTS_PAYABLE_TURNOVER","FQ2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15" s="1" t="e">
        <f ca="1">_xll.BDH($C$503,"ACCOUNTS_PAYABLE_TURNOVER_DAYS","FQ2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15" s="3" t="e">
        <f ca="1">_xll.BDH($C$503,"CASH_CONVERSION_CYCLE","FQ2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15" s="3" t="e">
        <f ca="1">_xll.BDH($C$503,"INV_TO_CASH_DAYS","FQ2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515" s="4" t="e">
        <f ca="1">_xll.BDH($C$503,"BS_INVENTORIES","FQ2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515" s="2" t="e">
        <f ca="1">_xll.BDH($C$503,"INVTRY_RAW_MATERIALS","FQ2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15" s="2" t="e">
        <f ca="1">_xll.BDH($C$503,"INVTRY_IN_PROGRESS","FQ2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15" s="2" t="e">
        <f ca="1">_xll.BDH($C$503,"INVTRY_FINISHED_GOODS","FQ2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15" s="2" t="e">
        <f ca="1">_xll.BDH($C$503,"BS_OTHER_INV","FQ2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16" spans="1:113" x14ac:dyDescent="0.3">
      <c r="A516" s="6"/>
      <c r="B516" s="6"/>
      <c r="C516" s="6"/>
      <c r="D516" s="6"/>
      <c r="E516" t="s">
        <v>6</v>
      </c>
      <c r="F516" t="e">
        <f ca="1">_xll.BDH($C$503,"RETURN_COM_EQY","FQ3 2016","FQ3 2016","Currency=INR","Period=FQ","BEST_FPERIOD_OVERRIDE=FQ","FILING_STATUS=OR","EQY_CONSOLIDATED=Y","FA_ADJUSTED=GAAP","Sort=A","Dates=H","DateFormat=P","Fill=—","Direction=H","UseDPDF=Y")</f>
        <v>#NAME?</v>
      </c>
      <c r="G516" t="e">
        <f ca="1">_xll.BDH($C$503,"RETURN_ON_ASSET","FQ3 2016","FQ3 2016","Currency=INR","Period=FQ","BEST_FPERIOD_OVERRIDE=FQ","FILING_STATUS=OR","EQY_CONSOLIDATED=Y","FA_ADJUSTED=GAAP","Sort=A","Dates=H","DateFormat=P","Fill=—","Direction=H","UseDPDF=Y")</f>
        <v>#NAME?</v>
      </c>
      <c r="H516" t="e">
        <f ca="1">_xll.BDH($C$503,"RETURN_ON_CAP","FQ3 2016","FQ3 2016","Currency=INR","Period=FQ","BEST_FPERIOD_OVERRIDE=FQ","FILING_STATUS=OR","EQY_CONSOLIDATED=Y","FA_ADJUSTED=GAAP","Sort=A","Dates=H","DateFormat=P","Fill=—","Direction=H","UseDPDF=Y")</f>
        <v>#NAME?</v>
      </c>
      <c r="I516" t="e">
        <f ca="1">_xll.BDH($C$503,"RETURN_ON_INV_CAPITAL","FQ3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16" t="e">
        <f ca="1">_xll.BDH($C$503,"EBITDA_TO_REVENUE","FQ3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516" t="e">
        <f ca="1">_xll.BDH($C$503,"OPER_MARGIN","FQ3 2016","FQ3 2016","Currency=INR","Period=FQ","BEST_FPERIOD_OVERRIDE=FQ","FILING_STATUS=OR","EQY_CONSOLIDATED=Y","FA_ADJUSTED=GAAP","Sort=A","Dates=H","DateFormat=P","Fill=—","Direction=H","UseDPDF=Y")</f>
        <v>#NAME?</v>
      </c>
      <c r="L516" t="e">
        <f ca="1">_xll.BDH($C$503,"INCREMENTAL_OPERATING_MARGIN","FQ3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16" t="e">
        <f ca="1">_xll.BDH($C$503,"PRETAX_INC_TO_NET_SALES","FQ3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16" t="e">
        <f ca="1">_xll.BDH($C$503,"INC_BEF_XO_ITEMS_TO_NET_SALES","FQ3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16" t="e">
        <f ca="1">_xll.BDH($C$503,"PROF_MARGIN","FQ3 2016","FQ3 2016","Currency=INR","Period=FQ","BEST_FPERIOD_OVERRIDE=FQ","FILING_STATUS=OR","EQY_CONSOLIDATED=Y","FA_ADJUSTED=GAAP","Sort=A","Dates=H","DateFormat=P","Fill=—","Direction=H","UseDPDF=Y")</f>
        <v>#NAME?</v>
      </c>
      <c r="P516" t="e">
        <f ca="1">_xll.BDH($C$503,"NET_INCOME_TO_COMMON_MARGIN","FQ3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16" t="e">
        <f ca="1">_xll.BDH($C$503,"EFF_TAX_RATE","FQ3 2016","FQ3 2016","Currency=INR","Period=FQ","BEST_FPERIOD_OVERRIDE=FQ","FILING_STATUS=OR","EQY_CONSOLIDATED=Y","FA_ADJUSTED=GAAP","Sort=A","Dates=H","DateFormat=P","Fill=—","Direction=H","UseDPDF=Y")</f>
        <v>#NAME?</v>
      </c>
      <c r="R516" t="e">
        <f ca="1">_xll.BDH($C$503,"DVD_PAYOUT_RATIO","FQ3 2016","FQ3 2016","Currency=INR","Period=FQ","BEST_FPERIOD_OVERRIDE=FQ","FILING_STATUS=OR","EQY_CONSOLIDATED=Y","FA_ADJUSTED=GAAP","Sort=A","Dates=H","DateFormat=P","Fill=—","Direction=H","UseDPDF=Y")</f>
        <v>#NAME?</v>
      </c>
      <c r="S516" t="e">
        <f ca="1">_xll.BDH($C$503,"SUSTAIN_GROWTH_RT","FQ3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516" s="1" t="e">
        <f ca="1">_xll.BDH($C$503,"SALES_GROWTH","FQ3 2016","FQ3 2016","Currency=INR","Period=FQ","BEST_FPERIOD_OVERRIDE=FQ","FILING_STATUS=OR","EQY_CONSOLIDATED=Y","FA_ADJUSTED=GAAP","Sort=A","Dates=H","DateFormat=P","Fill=—","Direction=H","UseDPDF=Y")</f>
        <v>#NAME?</v>
      </c>
      <c r="U516" s="1" t="e">
        <f ca="1">_xll.BDH($C$503,"EBITDA_GROWTH","FQ3 2016","FQ3 2016","Currency=INR","Period=FQ","BEST_FPERIOD_OVERRIDE=FQ","FILING_STATUS=OR","EQY_CONSOLIDATED=Y","FA_ADJUSTED=GAAP","Sort=A","Dates=H","DateFormat=P","Fill=—","Direction=H","UseDPDF=Y")</f>
        <v>#NAME?</v>
      </c>
      <c r="V516" s="1" t="e">
        <f ca="1">_xll.BDH($C$503,"OPER_INC_GROWTH","FQ3 2016","FQ3 2016","Currency=INR","Period=FQ","BEST_FPERIOD_OVERRIDE=FQ","FILING_STATUS=OR","EQY_CONSOLIDATED=Y","FA_ADJUSTED=GAAP","Sort=A","Dates=H","DateFormat=P","Fill=—","Direction=H","UseDPDF=Y")</f>
        <v>#NAME?</v>
      </c>
      <c r="W516" s="1" t="e">
        <f ca="1">_xll.BDH($C$503,"EARN_FOR_COM_GROWTH","FQ3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16" s="1" t="e">
        <f ca="1">_xll.BDH($C$503,"DILUTED_EPS_AFT_XO_ITEMS_GROWTH","FQ3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16" s="1" t="e">
        <f ca="1">_xll.BDH($C$503,"DIVIDEND_PER_SHARE_1_YEAR_GROWTH","FQ3 2016","FQ3 2016","Currency=INR","Period=FQ","BEST_FPERIOD_OVERRIDE=FQ","FILING_STATUS=OR","EQY_CONSOLIDATED=Y","Sort=A","Dates=H","DateFormat=P","Fill=—","Direction=H","UseDPDF=Y")</f>
        <v>#NAME?</v>
      </c>
      <c r="Z516" s="1" t="e">
        <f ca="1">_xll.BDH($C$503,"ACCOUNTS_RECEIVABLE_GROWTH","FQ3 2016","FQ3 2016","Currency=INR","Period=FQ","BEST_FPERIOD_OVERRIDE=FQ","FILING_STATUS=OR","EQY_CONSOLIDATED=Y","Sort=A","Dates=H","DateFormat=P","Fill=—","Direction=H","UseDPDF=Y")</f>
        <v>#NAME?</v>
      </c>
      <c r="AA516" s="1" t="e">
        <f ca="1">_xll.BDH($C$503,"INVENTORY_GROWTH","FQ3 2016","FQ3 2016","Currency=INR","Period=FQ","BEST_FPERIOD_OVERRIDE=FQ","FILING_STATUS=OR","EQY_CONSOLIDATED=Y","Sort=A","Dates=H","DateFormat=P","Fill=—","Direction=H","UseDPDF=Y")</f>
        <v>#NAME?</v>
      </c>
      <c r="AB516" s="1" t="e">
        <f ca="1">_xll.BDH($C$503,"NET_FIXED_ASSETS_1_YEAR_GROWTH","FQ3 2016","FQ3 2016","Currency=INR","Period=FQ","BEST_FPERIOD_OVERRIDE=FQ","FILING_STATUS=OR","EQY_CONSOLIDATED=Y","Sort=A","Dates=H","DateFormat=P","Fill=—","Direction=H","UseDPDF=Y")</f>
        <v>#NAME?</v>
      </c>
      <c r="AC516" s="1" t="e">
        <f ca="1">_xll.BDH($C$503,"ASSET_GROWTH","FQ3 2016","FQ3 2016","Currency=INR","Period=FQ","BEST_FPERIOD_OVERRIDE=FQ","FILING_STATUS=OR","EQY_CONSOLIDATED=Y","Sort=A","Dates=H","DateFormat=P","Fill=—","Direction=H","UseDPDF=Y")</f>
        <v>#NAME?</v>
      </c>
      <c r="AD516" s="1" t="e">
        <f ca="1">_xll.BDH($C$503,"MODIFIED_WORK_CAP_GROWTH","FQ3 2016","FQ3 2016","Currency=INR","Period=FQ","BEST_FPERIOD_OVERRIDE=FQ","FILING_STATUS=OR","EQY_CONSOLIDATED=Y","Sort=A","Dates=H","DateFormat=P","Fill=—","Direction=H","UseDPDF=Y")</f>
        <v>#NAME?</v>
      </c>
      <c r="AE516" s="1" t="e">
        <f ca="1">_xll.BDH($C$503,"WORK_CAP_GROWTH","FQ3 2016","FQ3 2016","Currency=INR","Period=FQ","BEST_FPERIOD_OVERRIDE=FQ","FILING_STATUS=OR","EQY_CONSOLIDATED=Y","Sort=A","Dates=H","DateFormat=P","Fill=—","Direction=H","UseDPDF=Y")</f>
        <v>#NAME?</v>
      </c>
      <c r="AF516" s="1" t="e">
        <f ca="1">_xll.BDH($C$503,"ACCOUNTS_PAYABLE_GROWTH_1YR","FQ3 2016","FQ3 2016","Currency=INR","Period=FQ","BEST_FPERIOD_OVERRIDE=FQ","FILING_STATUS=OR","EQY_CONSOLIDATED=Y","Sort=A","Dates=H","DateFormat=P","Fill=—","Direction=H","UseDPDF=Y")</f>
        <v>#NAME?</v>
      </c>
      <c r="AG516" s="1" t="e">
        <f ca="1">_xll.BDH($C$503,"SHORT_TERM_DEBT_1_YEAR_GROWTH","FQ3 2016","FQ3 2016","Currency=INR","Period=FQ","BEST_FPERIOD_OVERRIDE=FQ","FILING_STATUS=OR","EQY_CONSOLIDATED=Y","Sort=A","Dates=H","DateFormat=P","Fill=—","Direction=H","UseDPDF=Y")</f>
        <v>#NAME?</v>
      </c>
      <c r="AH516" s="1" t="e">
        <f ca="1">_xll.BDH($C$503,"TOTAL_DEBT_1_YEAR_GROWTH","FQ3 2016","FQ3 2016","Currency=INR","Period=FQ","BEST_FPERIOD_OVERRIDE=FQ","FILING_STATUS=OR","EQY_CONSOLIDATED=Y","Sort=A","Dates=H","DateFormat=P","Fill=—","Direction=H","UseDPDF=Y")</f>
        <v>#NAME?</v>
      </c>
      <c r="AI516" s="1" t="e">
        <f ca="1">_xll.BDH($C$503,"TOTAL_EQUITY_1_YEAR_GROWTH","FQ3 2016","FQ3 2016","Currency=INR","Period=FQ","BEST_FPERIOD_OVERRIDE=FQ","FILING_STATUS=OR","EQY_CONSOLIDATED=Y","Sort=A","Dates=H","DateFormat=P","Fill=—","Direction=H","UseDPDF=Y")</f>
        <v>#NAME?</v>
      </c>
      <c r="AJ516" s="1" t="e">
        <f ca="1">_xll.BDH($C$503,"GROWTH_IN_CAP","FQ3 2016","FQ3 2016","Currency=INR","Period=FQ","BEST_FPERIOD_OVERRIDE=FQ","FILING_STATUS=OR","EQY_CONSOLIDATED=Y","Sort=A","Dates=H","DateFormat=P","Fill=—","Direction=H","UseDPDF=Y")</f>
        <v>#NAME?</v>
      </c>
      <c r="AK516" s="1" t="e">
        <f ca="1">_xll.BDH($C$503,"BVPS_GROWTH","FQ3 2016","FQ3 2016","Currency=INR","Period=FQ","BEST_FPERIOD_OVERRIDE=FQ","FILING_STATUS=OR","EQY_CONSOLIDATED=Y","Sort=A","Dates=H","DateFormat=P","Fill=—","Direction=H","UseDPDF=Y")</f>
        <v>#NAME?</v>
      </c>
      <c r="AL516" s="1" t="e">
        <f ca="1">_xll.BDH($C$503,"CASH_FLOW_GROWTH","FQ3 2016","FQ3 2016","Currency=INR","Period=FQ","BEST_FPERIOD_OVERRIDE=FQ","FILING_STATUS=OR","EQY_CONSOLIDATED=Y","Sort=A","Dates=H","DateFormat=P","Fill=—","Direction=H","UseDPDF=Y")</f>
        <v>#NAME?</v>
      </c>
      <c r="AM516" s="1" t="e">
        <f ca="1">_xll.BDH($C$503,"GEO_GROW_NET_SALES","FQ3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16" s="1" t="e">
        <f ca="1">_xll.BDH($C$503,"GEO_GROW_EBITDA","FQ3 2016","FQ3 2016","Currency=INR","Period=FQ","BEST_FPERIOD_OVERRIDE=FQ","FILING_STATUS=OR","EQY_CONSOLIDATED=Y","FA_ADJUSTED=GAAP","Sort=A","Dates=H","DateFormat=P","Fill=—","Direction=H","UseDPDF=Y")</f>
        <v>#NAME?</v>
      </c>
      <c r="AO516" s="1" t="e">
        <f ca="1">_xll.BDH($C$503,"GEO_GROW_OPER_INC","FQ3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16" s="1" t="e">
        <f ca="1">_xll.BDH($C$503,"NET_INCOME_TO_COMMON_5_YR_GROWTH","FQ3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16" s="1" t="e">
        <f ca="1">_xll.BDH($C$503,"5Y_GEO_GROWTH_DILUTED_EPS","FQ3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16" s="1" t="e">
        <f ca="1">_xll.BDH($C$503,"GEO_GROW_DVD_PER_SH","FQ3 2016","FQ3 2016","Currency=INR","Period=FQ","BEST_FPERIOD_OVERRIDE=FQ","FILING_STATUS=OR","EQY_CONSOLIDATED=Y","Sort=A","Dates=H","DateFormat=P","Fill=—","Direction=H","UseDPDF=Y")</f>
        <v>#NAME?</v>
      </c>
      <c r="AS516" s="1" t="e">
        <f ca="1">_xll.BDH($C$503,"ACCOUNTS_RECEIVABLE_5_YR_GROWTH","FQ3 2016","FQ3 2016","Currency=INR","Period=FQ","BEST_FPERIOD_OVERRIDE=FQ","FILING_STATUS=OR","EQY_CONSOLIDATED=Y","Sort=A","Dates=H","DateFormat=P","Fill=—","Direction=H","UseDPDF=Y")</f>
        <v>#NAME?</v>
      </c>
      <c r="AT516" s="1" t="e">
        <f ca="1">_xll.BDH($C$503,"INVENTORY_5_YEAR_GROWTH","FQ3 2016","FQ3 2016","Currency=INR","Period=FQ","BEST_FPERIOD_OVERRIDE=FQ","FILING_STATUS=OR","EQY_CONSOLIDATED=Y","Sort=A","Dates=H","DateFormat=P","Fill=—","Direction=H","UseDPDF=Y")</f>
        <v>#NAME?</v>
      </c>
      <c r="AU516" s="1" t="e">
        <f ca="1">_xll.BDH($C$503,"NET_FIXED_ASSETS_5_YEAR_GROWTH","FQ3 2016","FQ3 2016","Currency=INR","Period=FQ","BEST_FPERIOD_OVERRIDE=FQ","FILING_STATUS=OR","EQY_CONSOLIDATED=Y","Sort=A","Dates=H","DateFormat=P","Fill=—","Direction=H","UseDPDF=Y")</f>
        <v>#NAME?</v>
      </c>
      <c r="AV516" s="1" t="e">
        <f ca="1">_xll.BDH($C$503,"GEO_GROW_TOT_ASSET","FQ3 2016","FQ3 2016","Currency=INR","Period=FQ","BEST_FPERIOD_OVERRIDE=FQ","FILING_STATUS=OR","EQY_CONSOLIDATED=Y","Sort=A","Dates=H","DateFormat=P","Fill=—","Direction=H","UseDPDF=Y")</f>
        <v>#NAME?</v>
      </c>
      <c r="AW516" s="1" t="e">
        <f ca="1">_xll.BDH($C$503,"MODIFIED_WORKING_CPTL_5YR_GRWTH","FQ3 2016","FQ3 2016","Currency=INR","Period=FQ","BEST_FPERIOD_OVERRIDE=FQ","FILING_STATUS=OR","EQY_CONSOLIDATED=Y","Sort=A","Dates=H","DateFormat=P","Fill=—","Direction=H","UseDPDF=Y")</f>
        <v>#NAME?</v>
      </c>
      <c r="AX516" s="1" t="e">
        <f ca="1">_xll.BDH($C$503,"WORKING_CAPITAL_5_YEAR_GROWTH","FQ3 2016","FQ3 2016","Currency=INR","Period=FQ","BEST_FPERIOD_OVERRIDE=FQ","FILING_STATUS=OR","EQY_CONSOLIDATED=Y","Sort=A","Dates=H","DateFormat=P","Fill=—","Direction=H","UseDPDF=Y")</f>
        <v>#NAME?</v>
      </c>
      <c r="AY516" s="1" t="e">
        <f ca="1">_xll.BDH($C$503,"ACCOUNTS_PAYABLE_5_YEAR_GROWTH","FQ3 2016","FQ3 2016","Currency=INR","Period=FQ","BEST_FPERIOD_OVERRIDE=FQ","FILING_STATUS=OR","EQY_CONSOLIDATED=Y","Sort=A","Dates=H","DateFormat=P","Fill=—","Direction=H","UseDPDF=Y")</f>
        <v>#NAME?</v>
      </c>
      <c r="AZ516" s="1" t="e">
        <f ca="1">_xll.BDH($C$503,"SHORT_TERM_DEBT_5_YEAR_GROWTH","FQ3 2016","FQ3 2016","Currency=INR","Period=FQ","BEST_FPERIOD_OVERRIDE=FQ","FILING_STATUS=OR","EQY_CONSOLIDATED=Y","Sort=A","Dates=H","DateFormat=P","Fill=—","Direction=H","UseDPDF=Y")</f>
        <v>#NAME?</v>
      </c>
      <c r="BA516" s="1" t="e">
        <f ca="1">_xll.BDH($C$503,"TOTAL_DEBT_5_YEAR_GROWTH","FQ3 2016","FQ3 2016","Currency=INR","Period=FQ","BEST_FPERIOD_OVERRIDE=FQ","FILING_STATUS=OR","EQY_CONSOLIDATED=Y","Sort=A","Dates=H","DateFormat=P","Fill=—","Direction=H","UseDPDF=Y")</f>
        <v>#NAME?</v>
      </c>
      <c r="BB516" s="1" t="e">
        <f ca="1">_xll.BDH($C$503,"GEO_GROW_TOT_SHRHLDR_EQY","FQ3 2016","FQ3 2016","Currency=INR","Period=FQ","BEST_FPERIOD_OVERRIDE=FQ","FILING_STATUS=OR","EQY_CONSOLIDATED=Y","Sort=A","Dates=H","DateFormat=P","Fill=—","Direction=H","UseDPDF=Y")</f>
        <v>#NAME?</v>
      </c>
      <c r="BC516" s="1" t="e">
        <f ca="1">_xll.BDH($C$503,"TOTAL_CAPITAL_5_YEAR_GROWTH","FQ3 2016","FQ3 2016","Currency=INR","Period=FQ","BEST_FPERIOD_OVERRIDE=FQ","FILING_STATUS=OR","EQY_CONSOLIDATED=Y","Sort=A","Dates=H","DateFormat=P","Fill=—","Direction=H","UseDPDF=Y")</f>
        <v>#NAME?</v>
      </c>
      <c r="BD516" s="1" t="e">
        <f ca="1">_xll.BDH($C$503,"GEO_GROW_BOOK_VAL","FQ3 2016","FQ3 2016","Currency=INR","Period=FQ","BEST_FPERIOD_OVERRIDE=FQ","FILING_STATUS=OR","EQY_CONSOLIDATED=Y","Sort=A","Dates=H","DateFormat=P","Fill=—","Direction=H","UseDPDF=Y")</f>
        <v>#NAME?</v>
      </c>
      <c r="BE516" s="1" t="e">
        <f ca="1">_xll.BDH($C$503,"GEO_GROW_CASH_OPER_ACT","FQ3 2016","FQ3 2016","Currency=INR","Period=FQ","BEST_FPERIOD_OVERRIDE=FQ","FILING_STATUS=OR","EQY_CONSOLIDATED=Y","Sort=A","Dates=H","DateFormat=P","Fill=—","Direction=H","UseDPDF=Y")</f>
        <v>#NAME?</v>
      </c>
      <c r="BF516" s="1" t="e">
        <f ca="1">_xll.BDH($C$503,"REVENUE_SEQUENTIAL_GROWTH","FQ3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16" s="1" t="e">
        <f ca="1">_xll.BDH($C$503,"EBITDA_SEQUENTIAL_GROWTH","FQ3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16" s="1" t="e">
        <f ca="1">_xll.BDH($C$503,"OPERATING_INCOME_SEQ_GROWTH","FQ3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16" s="1" t="e">
        <f ca="1">_xll.BDH($C$503,"NET_INCOME_TO_COMMON_SEQ_GROWTH","FQ3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16" s="1" t="e">
        <f ca="1">_xll.BDH($C$503,"EPS_DILUTED_SEQUENTIAL_GROWTH","FQ3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16" s="1" t="e">
        <f ca="1">_xll.BDH($C$503,"DPS_SEQUENTIAL_GROWTH","FQ3 2016","FQ3 2016","Currency=INR","Period=FQ","BEST_FPERIOD_OVERRIDE=FQ","FILING_STATUS=OR","EQY_CONSOLIDATED=Y","Sort=A","Dates=H","DateFormat=P","Fill=—","Direction=H","UseDPDF=Y")</f>
        <v>#NAME?</v>
      </c>
      <c r="BL516" s="1" t="e">
        <f ca="1">_xll.BDH($C$503,"ACCOUNTS_RECEIVABLE_SEQ_GROWTH","FQ3 2016","FQ3 2016","Currency=INR","Period=FQ","BEST_FPERIOD_OVERRIDE=FQ","FILING_STATUS=OR","EQY_CONSOLIDATED=Y","Sort=A","Dates=H","DateFormat=P","Fill=—","Direction=H","UseDPDF=Y")</f>
        <v>#NAME?</v>
      </c>
      <c r="BM516" s="1" t="e">
        <f ca="1">_xll.BDH($C$503,"INVENTORY_SEQUENTIAL_GROWTH","FQ3 2016","FQ3 2016","Currency=INR","Period=FQ","BEST_FPERIOD_OVERRIDE=FQ","FILING_STATUS=OR","EQY_CONSOLIDATED=Y","Sort=A","Dates=H","DateFormat=P","Fill=—","Direction=H","UseDPDF=Y")</f>
        <v>#NAME?</v>
      </c>
      <c r="BN516" s="1" t="e">
        <f ca="1">_xll.BDH($C$503,"FIXED_ASSETS_SEQUENTIAL_GROWTH","FQ3 2016","FQ3 2016","Currency=INR","Period=FQ","BEST_FPERIOD_OVERRIDE=FQ","FILING_STATUS=OR","EQY_CONSOLIDATED=Y","Sort=A","Dates=H","DateFormat=P","Fill=—","Direction=H","UseDPDF=Y")</f>
        <v>#NAME?</v>
      </c>
      <c r="BO516" s="1" t="e">
        <f ca="1">_xll.BDH($C$503,"TOTAL_ASSETS_SEQUENTIAL_GROWTH","FQ3 2016","FQ3 2016","Currency=INR","Period=FQ","BEST_FPERIOD_OVERRIDE=FQ","FILING_STATUS=OR","EQY_CONSOLIDATED=Y","Sort=A","Dates=H","DateFormat=P","Fill=—","Direction=H","UseDPDF=Y")</f>
        <v>#NAME?</v>
      </c>
      <c r="BP516" s="1" t="e">
        <f ca="1">_xll.BDH($C$503,"MODIFIED_WORKING_CPTL_SEQ_GRWTH","FQ3 2016","FQ3 2016","Currency=INR","Period=FQ","BEST_FPERIOD_OVERRIDE=FQ","FILING_STATUS=OR","EQY_CONSOLIDATED=Y","Sort=A","Dates=H","DateFormat=P","Fill=—","Direction=H","UseDPDF=Y")</f>
        <v>#NAME?</v>
      </c>
      <c r="BQ516" s="1" t="e">
        <f ca="1">_xll.BDH($C$503,"WORKING_CAPITAL_SEQ_GROWTH","FQ3 2016","FQ3 2016","Currency=INR","Period=FQ","BEST_FPERIOD_OVERRIDE=FQ","FILING_STATUS=OR","EQY_CONSOLIDATED=Y","Sort=A","Dates=H","DateFormat=P","Fill=—","Direction=H","UseDPDF=Y")</f>
        <v>#NAME?</v>
      </c>
      <c r="BR516" s="1" t="e">
        <f ca="1">_xll.BDH($C$503,"ACCOUNTS_PAYABLE_SEQ_GROWTH","FQ3 2016","FQ3 2016","Currency=INR","Period=FQ","BEST_FPERIOD_OVERRIDE=FQ","FILING_STATUS=OR","EQY_CONSOLIDATED=Y","Sort=A","Dates=H","DateFormat=P","Fill=—","Direction=H","UseDPDF=Y")</f>
        <v>#NAME?</v>
      </c>
      <c r="BS516" s="1" t="e">
        <f ca="1">_xll.BDH($C$503,"ST_DEBT_SEQUENTIAL_GROWTH","FQ3 2016","FQ3 2016","Currency=INR","Period=FQ","BEST_FPERIOD_OVERRIDE=FQ","FILING_STATUS=OR","EQY_CONSOLIDATED=Y","Sort=A","Dates=H","DateFormat=P","Fill=—","Direction=H","UseDPDF=Y")</f>
        <v>#NAME?</v>
      </c>
      <c r="BT516" s="1" t="e">
        <f ca="1">_xll.BDH($C$503,"TOTAL_DEBT_SEQUENTIAL_GROWTH","FQ3 2016","FQ3 2016","Currency=INR","Period=FQ","BEST_FPERIOD_OVERRIDE=FQ","FILING_STATUS=OR","EQY_CONSOLIDATED=Y","Sort=A","Dates=H","DateFormat=P","Fill=—","Direction=H","UseDPDF=Y")</f>
        <v>#NAME?</v>
      </c>
      <c r="BU516" s="1" t="e">
        <f ca="1">_xll.BDH($C$503,"TOTAL_EQUITY_SEQUENTIAL_GROWTH","FQ3 2016","FQ3 2016","Currency=INR","Period=FQ","BEST_FPERIOD_OVERRIDE=FQ","FILING_STATUS=OR","EQY_CONSOLIDATED=Y","Sort=A","Dates=H","DateFormat=P","Fill=—","Direction=H","UseDPDF=Y")</f>
        <v>#NAME?</v>
      </c>
      <c r="BV516" s="1" t="e">
        <f ca="1">_xll.BDH($C$503,"TOTAL_CAPITAL_SEQUENTIAL_GROWTH","FQ3 2016","FQ3 2016","Currency=INR","Period=FQ","BEST_FPERIOD_OVERRIDE=FQ","FILING_STATUS=OR","EQY_CONSOLIDATED=Y","Sort=A","Dates=H","DateFormat=P","Fill=—","Direction=H","UseDPDF=Y")</f>
        <v>#NAME?</v>
      </c>
      <c r="BW516" s="1" t="e">
        <f ca="1">_xll.BDH($C$503,"BPS_SEQUENTIAL_GROWTH","FQ3 2016","FQ3 2016","Currency=INR","Period=FQ","BEST_FPERIOD_OVERRIDE=FQ","FILING_STATUS=OR","EQY_CONSOLIDATED=Y","Sort=A","Dates=H","DateFormat=P","Fill=—","Direction=H","UseDPDF=Y")</f>
        <v>#NAME?</v>
      </c>
      <c r="BX516" s="1" t="e">
        <f ca="1">_xll.BDH($C$503,"CFO_SEQUENTIAL_GROWTH","FQ3 2016","FQ3 2016","Currency=INR","Period=FQ","BEST_FPERIOD_OVERRIDE=FQ","FILING_STATUS=OR","EQY_CONSOLIDATED=Y","Sort=A","Dates=H","DateFormat=P","Fill=—","Direction=H","UseDPDF=Y")</f>
        <v>#NAME?</v>
      </c>
      <c r="BY516" s="2" t="e">
        <f ca="1">_xll.BDH($C$503,"SHORT_AND_LONG_TERM_DEBT","FQ3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16" s="2" t="e">
        <f ca="1">_xll.BDH($C$503,"BS_ST_BORROW","FQ3 2016","FQ3 2016","Currency=INR","Period=FQ","BEST_FPERIOD_OVERRIDE=FQ","FILING_STATUS=OR","EQY_CONSOLIDATED=Y","SCALING_FORMAT=MLN","Sort=A","Dates=H","DateFormat=P","Fill=—","Direction=H","UseDPDF=Y")</f>
        <v>#NAME?</v>
      </c>
      <c r="CA516" s="2" t="e">
        <f ca="1">_xll.BDH($C$503,"BS_LT_BORROW","FQ3 2016","FQ3 2016","Currency=INR","Period=FQ","BEST_FPERIOD_OVERRIDE=FQ","FILING_STATUS=OR","EQY_CONSOLIDATED=Y","SCALING_FORMAT=MLN","Sort=A","Dates=H","DateFormat=P","Fill=—","Direction=H","UseDPDF=Y")</f>
        <v>#NAME?</v>
      </c>
      <c r="CB516" s="1" t="e">
        <f ca="1">_xll.BDH($C$503,"TOT_DEBT_TO_EBITDA","FQ3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16" s="1" t="e">
        <f ca="1">_xll.BDH($C$503,"NET_DEBT_TO_EBITDA","FQ3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16" s="1" t="e">
        <f ca="1">_xll.BDH($C$503,"TOTAL_DEBT_TO_EBIT","FQ3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16" s="1" t="e">
        <f ca="1">_xll.BDH($C$503,"NET_DEBT_TO_EBIT","FQ3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516" s="1" t="e">
        <f ca="1">_xll.BDH($C$503,"EBITDA_TO_INTEREST_EXPN","FQ3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16" s="1" t="e">
        <f ca="1">_xll.BDH($C$503,"COM_EQY_TO_TOT_ASSET","FQ3 2016","FQ3 2016","Currency=INR","Period=FQ","BEST_FPERIOD_OVERRIDE=FQ","FILING_STATUS=OR","EQY_CONSOLIDATED=Y","Sort=A","Dates=H","DateFormat=P","Fill=—","Direction=H","UseDPDF=Y")</f>
        <v>#NAME?</v>
      </c>
      <c r="CH516" s="1" t="e">
        <f ca="1">_xll.BDH($C$503,"LT_DEBT_TO_TOT_EQY","FQ3 2016","FQ3 2016","Currency=INR","Period=FQ","BEST_FPERIOD_OVERRIDE=FQ","FILING_STATUS=OR","EQY_CONSOLIDATED=Y","Sort=A","Dates=H","DateFormat=P","Fill=—","Direction=H","UseDPDF=Y")</f>
        <v>#NAME?</v>
      </c>
      <c r="CI516" s="1" t="e">
        <f ca="1">_xll.BDH($C$503,"LT_DEBT_TO_TOT_CAP","FQ3 2016","FQ3 2016","Currency=INR","Period=FQ","BEST_FPERIOD_OVERRIDE=FQ","FILING_STATUS=OR","EQY_CONSOLIDATED=Y","Sort=A","Dates=H","DateFormat=P","Fill=—","Direction=H","UseDPDF=Y")</f>
        <v>#NAME?</v>
      </c>
      <c r="CJ516" s="1" t="e">
        <f ca="1">_xll.BDH($C$503,"LT_DEBT_TO_TOT_ASSET","FQ3 2016","FQ3 2016","Currency=INR","Period=FQ","BEST_FPERIOD_OVERRIDE=FQ","FILING_STATUS=OR","EQY_CONSOLIDATED=Y","Sort=A","Dates=H","DateFormat=P","Fill=—","Direction=H","UseDPDF=Y")</f>
        <v>#NAME?</v>
      </c>
      <c r="CK516" s="1" t="e">
        <f ca="1">_xll.BDH($C$503,"TOT_DEBT_TO_TOT_EQY","FQ3 2016","FQ3 2016","Currency=INR","Period=FQ","BEST_FPERIOD_OVERRIDE=FQ","FILING_STATUS=OR","EQY_CONSOLIDATED=Y","Sort=A","Dates=H","DateFormat=P","Fill=—","Direction=H","UseDPDF=Y")</f>
        <v>#NAME?</v>
      </c>
      <c r="CL516" s="1" t="e">
        <f ca="1">_xll.BDH($C$503,"TOT_DEBT_TO_TOT_CAP","FQ3 2016","FQ3 2016","Currency=INR","Period=FQ","BEST_FPERIOD_OVERRIDE=FQ","FILING_STATUS=OR","EQY_CONSOLIDATED=Y","Sort=A","Dates=H","DateFormat=P","Fill=—","Direction=H","UseDPDF=Y")</f>
        <v>#NAME?</v>
      </c>
      <c r="CM516" s="1" t="e">
        <f ca="1">_xll.BDH($C$503,"TOT_DEBT_TO_TOT_ASSET","FQ3 2016","FQ3 2016","Currency=INR","Period=FQ","BEST_FPERIOD_OVERRIDE=FQ","FILING_STATUS=OR","EQY_CONSOLIDATED=Y","Sort=A","Dates=H","DateFormat=P","Fill=—","Direction=H","UseDPDF=Y")</f>
        <v>#NAME?</v>
      </c>
      <c r="CN516" s="1" t="e">
        <f ca="1">_xll.BDH($C$503,"NET_DEBT_TO_SHRHLDR_EQTY","FQ3 2016","FQ3 2016","Currency=INR","Period=FQ","BEST_FPERIOD_OVERRIDE=FQ","FILING_STATUS=OR","EQY_CONSOLIDATED=Y","Sort=A","Dates=H","DateFormat=P","Fill=—","Direction=H","UseDPDF=Y")</f>
        <v>#NAME?</v>
      </c>
      <c r="CO516" s="1" t="e">
        <f ca="1">_xll.BDH($C$503,"NET_DEBT_%_CAPITAL","FQ3 2016","FQ3 2016","Currency=INR","Period=FQ","BEST_FPERIOD_OVERRIDE=FQ","FILING_STATUS=OR","EQY_CONSOLIDATED=Y","Sort=A","Dates=H","DateFormat=P","Fill=—","Direction=H","UseDPDF=Y")</f>
        <v>#NAME?</v>
      </c>
      <c r="CP516" s="2" t="e">
        <f ca="1">_xll.BDH($C$503,"EBITDA","FQ3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16" s="2" t="e">
        <f ca="1">_xll.BDH($C$503,"EBITDA_AFTER_CAPEX","FQ3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16" s="2" t="e">
        <f ca="1">_xll.BDH($C$503,"IS_OPER_INC","FQ3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16" s="1" t="e">
        <f ca="1">_xll.BDH($C$503,"CASH_RATIO","FQ3 2016","FQ3 2016","Currency=INR","Period=FQ","BEST_FPERIOD_OVERRIDE=FQ","FILING_STATUS=OR","EQY_CONSOLIDATED=Y","Sort=A","Dates=H","DateFormat=P","Fill=—","Direction=H","UseDPDF=Y")</f>
        <v>#NAME?</v>
      </c>
      <c r="CT516" s="1" t="e">
        <f ca="1">_xll.BDH($C$503,"CUR_RATIO","FQ3 2016","FQ3 2016","Currency=INR","Period=FQ","BEST_FPERIOD_OVERRIDE=FQ","FILING_STATUS=OR","EQY_CONSOLIDATED=Y","Sort=A","Dates=H","DateFormat=P","Fill=—","Direction=H","UseDPDF=Y")</f>
        <v>#NAME?</v>
      </c>
      <c r="CU516" s="1" t="e">
        <f ca="1">_xll.BDH($C$503,"QUICK_RATIO","FQ3 2016","FQ3 2016","Currency=INR","Period=FQ","BEST_FPERIOD_OVERRIDE=FQ","FILING_STATUS=OR","EQY_CONSOLIDATED=Y","Sort=A","Dates=H","DateFormat=P","Fill=—","Direction=H","UseDPDF=Y")</f>
        <v>#NAME?</v>
      </c>
      <c r="CV516" s="1" t="e">
        <f ca="1">_xll.BDH($C$503,"ALTMAN_Z_SCORE","FQ3 2016","FQ3 2016","Currency=INR","Period=FQ","BEST_FPERIOD_OVERRIDE=FQ","FILING_STATUS=OR","EQY_CONSOLIDATED=Y","Sort=A","Dates=H","DateFormat=P","Fill=—","Direction=H","UseDPDF=Y")</f>
        <v>#NAME?</v>
      </c>
      <c r="CW516" s="3" t="e">
        <f ca="1">_xll.BDH($C$503,"ACCT_RCV_TURN","FQ3 2016","FQ3 2016","Currency=INR","Period=FQ","BEST_FPERIOD_OVERRIDE=FQ","FILING_STATUS=OR","EQY_CONSOLIDATED=Y","FA_ADJUSTED=GAAP","Sort=A","Dates=H","DateFormat=P","Fill=—","Direction=H","UseDPDF=Y")</f>
        <v>#NAME?</v>
      </c>
      <c r="CX516" s="1" t="e">
        <f ca="1">_xll.BDH($C$503,"ACCT_RCV_DAYS","FQ3 2016","FQ3 2016","Currency=INR","Period=FQ","BEST_FPERIOD_OVERRIDE=FQ","FILING_STATUS=OR","EQY_CONSOLIDATED=Y","FA_ADJUSTED=GAAP","Sort=A","Dates=H","DateFormat=P","Fill=—","Direction=H","UseDPDF=Y")</f>
        <v>#NAME?</v>
      </c>
      <c r="CY516" s="3" t="e">
        <f ca="1">_xll.BDH($C$503,"INVENT_TURN","FQ3 2016","FQ3 2016","Currency=INR","Period=FQ","BEST_FPERIOD_OVERRIDE=FQ","FILING_STATUS=OR","EQY_CONSOLIDATED=Y","FA_ADJUSTED=GAAP","Sort=A","Dates=H","DateFormat=P","Fill=—","Direction=H","UseDPDF=Y")</f>
        <v>#NAME?</v>
      </c>
      <c r="CZ516" s="1" t="e">
        <f ca="1">_xll.BDH($C$503,"INVENT_DAYS","FQ3 2016","FQ3 2016","Currency=INR","Period=FQ","BEST_FPERIOD_OVERRIDE=FQ","FILING_STATUS=OR","EQY_CONSOLIDATED=Y","FA_ADJUSTED=GAAP","Sort=A","Dates=H","DateFormat=P","Fill=—","Direction=H","UseDPDF=Y")</f>
        <v>#NAME?</v>
      </c>
      <c r="DA516" s="3" t="e">
        <f ca="1">_xll.BDH($C$503,"ACCOUNTS_PAYABLE_TURNOVER","FQ3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16" s="1" t="e">
        <f ca="1">_xll.BDH($C$503,"ACCOUNTS_PAYABLE_TURNOVER_DAYS","FQ3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16" s="3" t="e">
        <f ca="1">_xll.BDH($C$503,"CASH_CONVERSION_CYCLE","FQ3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16" s="3" t="e">
        <f ca="1">_xll.BDH($C$503,"INV_TO_CASH_DAYS","FQ3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516" s="4" t="e">
        <f ca="1">_xll.BDH($C$503,"BS_INVENTORIES","FQ3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516" s="2" t="e">
        <f ca="1">_xll.BDH($C$503,"INVTRY_RAW_MATERIALS","FQ3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16" s="2" t="e">
        <f ca="1">_xll.BDH($C$503,"INVTRY_IN_PROGRESS","FQ3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16" s="2" t="e">
        <f ca="1">_xll.BDH($C$503,"INVTRY_FINISHED_GOODS","FQ3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16" s="2" t="e">
        <f ca="1">_xll.BDH($C$503,"BS_OTHER_INV","FQ3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17" spans="1:113" x14ac:dyDescent="0.3">
      <c r="A517" s="6"/>
      <c r="B517" s="6"/>
      <c r="C517" s="6"/>
      <c r="D517" s="6"/>
      <c r="E517" t="s">
        <v>7</v>
      </c>
      <c r="F517" t="e">
        <f ca="1">_xll.BDH($C$503,"RETURN_COM_EQY","FQ4 2016","FQ4 2016","Currency=INR","Period=FQ","BEST_FPERIOD_OVERRIDE=FQ","FILING_STATUS=OR","EQY_CONSOLIDATED=Y","FA_ADJUSTED=GAAP","Sort=A","Dates=H","DateFormat=P","Fill=—","Direction=H","UseDPDF=Y")</f>
        <v>#NAME?</v>
      </c>
      <c r="G517" t="e">
        <f ca="1">_xll.BDH($C$503,"RETURN_ON_ASSET","FQ4 2016","FQ4 2016","Currency=INR","Period=FQ","BEST_FPERIOD_OVERRIDE=FQ","FILING_STATUS=OR","EQY_CONSOLIDATED=Y","FA_ADJUSTED=GAAP","Sort=A","Dates=H","DateFormat=P","Fill=—","Direction=H","UseDPDF=Y")</f>
        <v>#NAME?</v>
      </c>
      <c r="H517" t="e">
        <f ca="1">_xll.BDH($C$503,"RETURN_ON_CAP","FQ4 2016","FQ4 2016","Currency=INR","Period=FQ","BEST_FPERIOD_OVERRIDE=FQ","FILING_STATUS=OR","EQY_CONSOLIDATED=Y","FA_ADJUSTED=GAAP","Sort=A","Dates=H","DateFormat=P","Fill=—","Direction=H","UseDPDF=Y")</f>
        <v>#NAME?</v>
      </c>
      <c r="I517" t="e">
        <f ca="1">_xll.BDH($C$503,"RETURN_ON_INV_CAPITAL","FQ4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17" t="e">
        <f ca="1">_xll.BDH($C$503,"EBITDA_TO_REVENUE","FQ4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517" t="e">
        <f ca="1">_xll.BDH($C$503,"OPER_MARGIN","FQ4 2016","FQ4 2016","Currency=INR","Period=FQ","BEST_FPERIOD_OVERRIDE=FQ","FILING_STATUS=OR","EQY_CONSOLIDATED=Y","FA_ADJUSTED=GAAP","Sort=A","Dates=H","DateFormat=P","Fill=—","Direction=H","UseDPDF=Y")</f>
        <v>#NAME?</v>
      </c>
      <c r="L517" t="e">
        <f ca="1">_xll.BDH($C$503,"INCREMENTAL_OPERATING_MARGIN","FQ4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17" t="e">
        <f ca="1">_xll.BDH($C$503,"PRETAX_INC_TO_NET_SALES","FQ4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17" t="e">
        <f ca="1">_xll.BDH($C$503,"INC_BEF_XO_ITEMS_TO_NET_SALES","FQ4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17" t="e">
        <f ca="1">_xll.BDH($C$503,"PROF_MARGIN","FQ4 2016","FQ4 2016","Currency=INR","Period=FQ","BEST_FPERIOD_OVERRIDE=FQ","FILING_STATUS=OR","EQY_CONSOLIDATED=Y","FA_ADJUSTED=GAAP","Sort=A","Dates=H","DateFormat=P","Fill=—","Direction=H","UseDPDF=Y")</f>
        <v>#NAME?</v>
      </c>
      <c r="P517" t="e">
        <f ca="1">_xll.BDH($C$503,"NET_INCOME_TO_COMMON_MARGIN","FQ4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17" t="e">
        <f ca="1">_xll.BDH($C$503,"EFF_TAX_RATE","FQ4 2016","FQ4 2016","Currency=INR","Period=FQ","BEST_FPERIOD_OVERRIDE=FQ","FILING_STATUS=OR","EQY_CONSOLIDATED=Y","FA_ADJUSTED=GAAP","Sort=A","Dates=H","DateFormat=P","Fill=—","Direction=H","UseDPDF=Y")</f>
        <v>#NAME?</v>
      </c>
      <c r="R517" t="e">
        <f ca="1">_xll.BDH($C$503,"DVD_PAYOUT_RATIO","FQ4 2016","FQ4 2016","Currency=INR","Period=FQ","BEST_FPERIOD_OVERRIDE=FQ","FILING_STATUS=OR","EQY_CONSOLIDATED=Y","FA_ADJUSTED=GAAP","Sort=A","Dates=H","DateFormat=P","Fill=—","Direction=H","UseDPDF=Y")</f>
        <v>#NAME?</v>
      </c>
      <c r="S517" t="e">
        <f ca="1">_xll.BDH($C$503,"SUSTAIN_GROWTH_RT","FQ4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517" s="1" t="e">
        <f ca="1">_xll.BDH($C$503,"SALES_GROWTH","FQ4 2016","FQ4 2016","Currency=INR","Period=FQ","BEST_FPERIOD_OVERRIDE=FQ","FILING_STATUS=OR","EQY_CONSOLIDATED=Y","FA_ADJUSTED=GAAP","Sort=A","Dates=H","DateFormat=P","Fill=—","Direction=H","UseDPDF=Y")</f>
        <v>#NAME?</v>
      </c>
      <c r="U517" s="1" t="e">
        <f ca="1">_xll.BDH($C$503,"EBITDA_GROWTH","FQ4 2016","FQ4 2016","Currency=INR","Period=FQ","BEST_FPERIOD_OVERRIDE=FQ","FILING_STATUS=OR","EQY_CONSOLIDATED=Y","FA_ADJUSTED=GAAP","Sort=A","Dates=H","DateFormat=P","Fill=—","Direction=H","UseDPDF=Y")</f>
        <v>#NAME?</v>
      </c>
      <c r="V517" s="1" t="e">
        <f ca="1">_xll.BDH($C$503,"OPER_INC_GROWTH","FQ4 2016","FQ4 2016","Currency=INR","Period=FQ","BEST_FPERIOD_OVERRIDE=FQ","FILING_STATUS=OR","EQY_CONSOLIDATED=Y","FA_ADJUSTED=GAAP","Sort=A","Dates=H","DateFormat=P","Fill=—","Direction=H","UseDPDF=Y")</f>
        <v>#NAME?</v>
      </c>
      <c r="W517" s="1" t="e">
        <f ca="1">_xll.BDH($C$503,"EARN_FOR_COM_GROWTH","FQ4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17" s="1" t="e">
        <f ca="1">_xll.BDH($C$503,"DILUTED_EPS_AFT_XO_ITEMS_GROWTH","FQ4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17" s="1" t="e">
        <f ca="1">_xll.BDH($C$503,"DIVIDEND_PER_SHARE_1_YEAR_GROWTH","FQ4 2016","FQ4 2016","Currency=INR","Period=FQ","BEST_FPERIOD_OVERRIDE=FQ","FILING_STATUS=OR","EQY_CONSOLIDATED=Y","Sort=A","Dates=H","DateFormat=P","Fill=—","Direction=H","UseDPDF=Y")</f>
        <v>#NAME?</v>
      </c>
      <c r="Z517" s="1" t="e">
        <f ca="1">_xll.BDH($C$503,"ACCOUNTS_RECEIVABLE_GROWTH","FQ4 2016","FQ4 2016","Currency=INR","Period=FQ","BEST_FPERIOD_OVERRIDE=FQ","FILING_STATUS=OR","EQY_CONSOLIDATED=Y","Sort=A","Dates=H","DateFormat=P","Fill=—","Direction=H","UseDPDF=Y")</f>
        <v>#NAME?</v>
      </c>
      <c r="AA517" s="1" t="e">
        <f ca="1">_xll.BDH($C$503,"INVENTORY_GROWTH","FQ4 2016","FQ4 2016","Currency=INR","Period=FQ","BEST_FPERIOD_OVERRIDE=FQ","FILING_STATUS=OR","EQY_CONSOLIDATED=Y","Sort=A","Dates=H","DateFormat=P","Fill=—","Direction=H","UseDPDF=Y")</f>
        <v>#NAME?</v>
      </c>
      <c r="AB517" s="1" t="e">
        <f ca="1">_xll.BDH($C$503,"NET_FIXED_ASSETS_1_YEAR_GROWTH","FQ4 2016","FQ4 2016","Currency=INR","Period=FQ","BEST_FPERIOD_OVERRIDE=FQ","FILING_STATUS=OR","EQY_CONSOLIDATED=Y","Sort=A","Dates=H","DateFormat=P","Fill=—","Direction=H","UseDPDF=Y")</f>
        <v>#NAME?</v>
      </c>
      <c r="AC517" s="1" t="e">
        <f ca="1">_xll.BDH($C$503,"ASSET_GROWTH","FQ4 2016","FQ4 2016","Currency=INR","Period=FQ","BEST_FPERIOD_OVERRIDE=FQ","FILING_STATUS=OR","EQY_CONSOLIDATED=Y","Sort=A","Dates=H","DateFormat=P","Fill=—","Direction=H","UseDPDF=Y")</f>
        <v>#NAME?</v>
      </c>
      <c r="AD517" s="1" t="e">
        <f ca="1">_xll.BDH($C$503,"MODIFIED_WORK_CAP_GROWTH","FQ4 2016","FQ4 2016","Currency=INR","Period=FQ","BEST_FPERIOD_OVERRIDE=FQ","FILING_STATUS=OR","EQY_CONSOLIDATED=Y","Sort=A","Dates=H","DateFormat=P","Fill=—","Direction=H","UseDPDF=Y")</f>
        <v>#NAME?</v>
      </c>
      <c r="AE517" s="1" t="e">
        <f ca="1">_xll.BDH($C$503,"WORK_CAP_GROWTH","FQ4 2016","FQ4 2016","Currency=INR","Period=FQ","BEST_FPERIOD_OVERRIDE=FQ","FILING_STATUS=OR","EQY_CONSOLIDATED=Y","Sort=A","Dates=H","DateFormat=P","Fill=—","Direction=H","UseDPDF=Y")</f>
        <v>#NAME?</v>
      </c>
      <c r="AF517" s="1" t="e">
        <f ca="1">_xll.BDH($C$503,"ACCOUNTS_PAYABLE_GROWTH_1YR","FQ4 2016","FQ4 2016","Currency=INR","Period=FQ","BEST_FPERIOD_OVERRIDE=FQ","FILING_STATUS=OR","EQY_CONSOLIDATED=Y","Sort=A","Dates=H","DateFormat=P","Fill=—","Direction=H","UseDPDF=Y")</f>
        <v>#NAME?</v>
      </c>
      <c r="AG517" s="1" t="e">
        <f ca="1">_xll.BDH($C$503,"SHORT_TERM_DEBT_1_YEAR_GROWTH","FQ4 2016","FQ4 2016","Currency=INR","Period=FQ","BEST_FPERIOD_OVERRIDE=FQ","FILING_STATUS=OR","EQY_CONSOLIDATED=Y","Sort=A","Dates=H","DateFormat=P","Fill=—","Direction=H","UseDPDF=Y")</f>
        <v>#NAME?</v>
      </c>
      <c r="AH517" s="1" t="e">
        <f ca="1">_xll.BDH($C$503,"TOTAL_DEBT_1_YEAR_GROWTH","FQ4 2016","FQ4 2016","Currency=INR","Period=FQ","BEST_FPERIOD_OVERRIDE=FQ","FILING_STATUS=OR","EQY_CONSOLIDATED=Y","Sort=A","Dates=H","DateFormat=P","Fill=—","Direction=H","UseDPDF=Y")</f>
        <v>#NAME?</v>
      </c>
      <c r="AI517" s="1" t="e">
        <f ca="1">_xll.BDH($C$503,"TOTAL_EQUITY_1_YEAR_GROWTH","FQ4 2016","FQ4 2016","Currency=INR","Period=FQ","BEST_FPERIOD_OVERRIDE=FQ","FILING_STATUS=OR","EQY_CONSOLIDATED=Y","Sort=A","Dates=H","DateFormat=P","Fill=—","Direction=H","UseDPDF=Y")</f>
        <v>#NAME?</v>
      </c>
      <c r="AJ517" s="1" t="e">
        <f ca="1">_xll.BDH($C$503,"GROWTH_IN_CAP","FQ4 2016","FQ4 2016","Currency=INR","Period=FQ","BEST_FPERIOD_OVERRIDE=FQ","FILING_STATUS=OR","EQY_CONSOLIDATED=Y","Sort=A","Dates=H","DateFormat=P","Fill=—","Direction=H","UseDPDF=Y")</f>
        <v>#NAME?</v>
      </c>
      <c r="AK517" s="1" t="e">
        <f ca="1">_xll.BDH($C$503,"BVPS_GROWTH","FQ4 2016","FQ4 2016","Currency=INR","Period=FQ","BEST_FPERIOD_OVERRIDE=FQ","FILING_STATUS=OR","EQY_CONSOLIDATED=Y","Sort=A","Dates=H","DateFormat=P","Fill=—","Direction=H","UseDPDF=Y")</f>
        <v>#NAME?</v>
      </c>
      <c r="AL517" s="1" t="e">
        <f ca="1">_xll.BDH($C$503,"CASH_FLOW_GROWTH","FQ4 2016","FQ4 2016","Currency=INR","Period=FQ","BEST_FPERIOD_OVERRIDE=FQ","FILING_STATUS=OR","EQY_CONSOLIDATED=Y","Sort=A","Dates=H","DateFormat=P","Fill=—","Direction=H","UseDPDF=Y")</f>
        <v>#NAME?</v>
      </c>
      <c r="AM517" s="1" t="e">
        <f ca="1">_xll.BDH($C$503,"GEO_GROW_NET_SALES","FQ4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17" s="1" t="e">
        <f ca="1">_xll.BDH($C$503,"GEO_GROW_EBITDA","FQ4 2016","FQ4 2016","Currency=INR","Period=FQ","BEST_FPERIOD_OVERRIDE=FQ","FILING_STATUS=OR","EQY_CONSOLIDATED=Y","FA_ADJUSTED=GAAP","Sort=A","Dates=H","DateFormat=P","Fill=—","Direction=H","UseDPDF=Y")</f>
        <v>#NAME?</v>
      </c>
      <c r="AO517" s="1" t="e">
        <f ca="1">_xll.BDH($C$503,"GEO_GROW_OPER_INC","FQ4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17" s="1" t="e">
        <f ca="1">_xll.BDH($C$503,"NET_INCOME_TO_COMMON_5_YR_GROWTH","FQ4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17" s="1" t="e">
        <f ca="1">_xll.BDH($C$503,"5Y_GEO_GROWTH_DILUTED_EPS","FQ4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17" s="1" t="e">
        <f ca="1">_xll.BDH($C$503,"GEO_GROW_DVD_PER_SH","FQ4 2016","FQ4 2016","Currency=INR","Period=FQ","BEST_FPERIOD_OVERRIDE=FQ","FILING_STATUS=OR","EQY_CONSOLIDATED=Y","Sort=A","Dates=H","DateFormat=P","Fill=—","Direction=H","UseDPDF=Y")</f>
        <v>#NAME?</v>
      </c>
      <c r="AS517" s="1" t="e">
        <f ca="1">_xll.BDH($C$503,"ACCOUNTS_RECEIVABLE_5_YR_GROWTH","FQ4 2016","FQ4 2016","Currency=INR","Period=FQ","BEST_FPERIOD_OVERRIDE=FQ","FILING_STATUS=OR","EQY_CONSOLIDATED=Y","Sort=A","Dates=H","DateFormat=P","Fill=—","Direction=H","UseDPDF=Y")</f>
        <v>#NAME?</v>
      </c>
      <c r="AT517" s="1" t="e">
        <f ca="1">_xll.BDH($C$503,"INVENTORY_5_YEAR_GROWTH","FQ4 2016","FQ4 2016","Currency=INR","Period=FQ","BEST_FPERIOD_OVERRIDE=FQ","FILING_STATUS=OR","EQY_CONSOLIDATED=Y","Sort=A","Dates=H","DateFormat=P","Fill=—","Direction=H","UseDPDF=Y")</f>
        <v>#NAME?</v>
      </c>
      <c r="AU517" s="1" t="e">
        <f ca="1">_xll.BDH($C$503,"NET_FIXED_ASSETS_5_YEAR_GROWTH","FQ4 2016","FQ4 2016","Currency=INR","Period=FQ","BEST_FPERIOD_OVERRIDE=FQ","FILING_STATUS=OR","EQY_CONSOLIDATED=Y","Sort=A","Dates=H","DateFormat=P","Fill=—","Direction=H","UseDPDF=Y")</f>
        <v>#NAME?</v>
      </c>
      <c r="AV517" s="1" t="e">
        <f ca="1">_xll.BDH($C$503,"GEO_GROW_TOT_ASSET","FQ4 2016","FQ4 2016","Currency=INR","Period=FQ","BEST_FPERIOD_OVERRIDE=FQ","FILING_STATUS=OR","EQY_CONSOLIDATED=Y","Sort=A","Dates=H","DateFormat=P","Fill=—","Direction=H","UseDPDF=Y")</f>
        <v>#NAME?</v>
      </c>
      <c r="AW517" s="1" t="e">
        <f ca="1">_xll.BDH($C$503,"MODIFIED_WORKING_CPTL_5YR_GRWTH","FQ4 2016","FQ4 2016","Currency=INR","Period=FQ","BEST_FPERIOD_OVERRIDE=FQ","FILING_STATUS=OR","EQY_CONSOLIDATED=Y","Sort=A","Dates=H","DateFormat=P","Fill=—","Direction=H","UseDPDF=Y")</f>
        <v>#NAME?</v>
      </c>
      <c r="AX517" s="1" t="e">
        <f ca="1">_xll.BDH($C$503,"WORKING_CAPITAL_5_YEAR_GROWTH","FQ4 2016","FQ4 2016","Currency=INR","Period=FQ","BEST_FPERIOD_OVERRIDE=FQ","FILING_STATUS=OR","EQY_CONSOLIDATED=Y","Sort=A","Dates=H","DateFormat=P","Fill=—","Direction=H","UseDPDF=Y")</f>
        <v>#NAME?</v>
      </c>
      <c r="AY517" s="1" t="e">
        <f ca="1">_xll.BDH($C$503,"ACCOUNTS_PAYABLE_5_YEAR_GROWTH","FQ4 2016","FQ4 2016","Currency=INR","Period=FQ","BEST_FPERIOD_OVERRIDE=FQ","FILING_STATUS=OR","EQY_CONSOLIDATED=Y","Sort=A","Dates=H","DateFormat=P","Fill=—","Direction=H","UseDPDF=Y")</f>
        <v>#NAME?</v>
      </c>
      <c r="AZ517" s="1" t="e">
        <f ca="1">_xll.BDH($C$503,"SHORT_TERM_DEBT_5_YEAR_GROWTH","FQ4 2016","FQ4 2016","Currency=INR","Period=FQ","BEST_FPERIOD_OVERRIDE=FQ","FILING_STATUS=OR","EQY_CONSOLIDATED=Y","Sort=A","Dates=H","DateFormat=P","Fill=—","Direction=H","UseDPDF=Y")</f>
        <v>#NAME?</v>
      </c>
      <c r="BA517" s="1" t="e">
        <f ca="1">_xll.BDH($C$503,"TOTAL_DEBT_5_YEAR_GROWTH","FQ4 2016","FQ4 2016","Currency=INR","Period=FQ","BEST_FPERIOD_OVERRIDE=FQ","FILING_STATUS=OR","EQY_CONSOLIDATED=Y","Sort=A","Dates=H","DateFormat=P","Fill=—","Direction=H","UseDPDF=Y")</f>
        <v>#NAME?</v>
      </c>
      <c r="BB517" s="1" t="e">
        <f ca="1">_xll.BDH($C$503,"GEO_GROW_TOT_SHRHLDR_EQY","FQ4 2016","FQ4 2016","Currency=INR","Period=FQ","BEST_FPERIOD_OVERRIDE=FQ","FILING_STATUS=OR","EQY_CONSOLIDATED=Y","Sort=A","Dates=H","DateFormat=P","Fill=—","Direction=H","UseDPDF=Y")</f>
        <v>#NAME?</v>
      </c>
      <c r="BC517" s="1" t="e">
        <f ca="1">_xll.BDH($C$503,"TOTAL_CAPITAL_5_YEAR_GROWTH","FQ4 2016","FQ4 2016","Currency=INR","Period=FQ","BEST_FPERIOD_OVERRIDE=FQ","FILING_STATUS=OR","EQY_CONSOLIDATED=Y","Sort=A","Dates=H","DateFormat=P","Fill=—","Direction=H","UseDPDF=Y")</f>
        <v>#NAME?</v>
      </c>
      <c r="BD517" s="1" t="e">
        <f ca="1">_xll.BDH($C$503,"GEO_GROW_BOOK_VAL","FQ4 2016","FQ4 2016","Currency=INR","Period=FQ","BEST_FPERIOD_OVERRIDE=FQ","FILING_STATUS=OR","EQY_CONSOLIDATED=Y","Sort=A","Dates=H","DateFormat=P","Fill=—","Direction=H","UseDPDF=Y")</f>
        <v>#NAME?</v>
      </c>
      <c r="BE517" s="1" t="e">
        <f ca="1">_xll.BDH($C$503,"GEO_GROW_CASH_OPER_ACT","FQ4 2016","FQ4 2016","Currency=INR","Period=FQ","BEST_FPERIOD_OVERRIDE=FQ","FILING_STATUS=OR","EQY_CONSOLIDATED=Y","Sort=A","Dates=H","DateFormat=P","Fill=—","Direction=H","UseDPDF=Y")</f>
        <v>#NAME?</v>
      </c>
      <c r="BF517" s="1" t="e">
        <f ca="1">_xll.BDH($C$503,"REVENUE_SEQUENTIAL_GROWTH","FQ4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17" s="1" t="e">
        <f ca="1">_xll.BDH($C$503,"EBITDA_SEQUENTIAL_GROWTH","FQ4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17" s="1" t="e">
        <f ca="1">_xll.BDH($C$503,"OPERATING_INCOME_SEQ_GROWTH","FQ4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17" s="1" t="e">
        <f ca="1">_xll.BDH($C$503,"NET_INCOME_TO_COMMON_SEQ_GROWTH","FQ4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17" s="1" t="e">
        <f ca="1">_xll.BDH($C$503,"EPS_DILUTED_SEQUENTIAL_GROWTH","FQ4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17" s="1" t="e">
        <f ca="1">_xll.BDH($C$503,"DPS_SEQUENTIAL_GROWTH","FQ4 2016","FQ4 2016","Currency=INR","Period=FQ","BEST_FPERIOD_OVERRIDE=FQ","FILING_STATUS=OR","EQY_CONSOLIDATED=Y","Sort=A","Dates=H","DateFormat=P","Fill=—","Direction=H","UseDPDF=Y")</f>
        <v>#NAME?</v>
      </c>
      <c r="BL517" s="1" t="e">
        <f ca="1">_xll.BDH($C$503,"ACCOUNTS_RECEIVABLE_SEQ_GROWTH","FQ4 2016","FQ4 2016","Currency=INR","Period=FQ","BEST_FPERIOD_OVERRIDE=FQ","FILING_STATUS=OR","EQY_CONSOLIDATED=Y","Sort=A","Dates=H","DateFormat=P","Fill=—","Direction=H","UseDPDF=Y")</f>
        <v>#NAME?</v>
      </c>
      <c r="BM517" s="1" t="e">
        <f ca="1">_xll.BDH($C$503,"INVENTORY_SEQUENTIAL_GROWTH","FQ4 2016","FQ4 2016","Currency=INR","Period=FQ","BEST_FPERIOD_OVERRIDE=FQ","FILING_STATUS=OR","EQY_CONSOLIDATED=Y","Sort=A","Dates=H","DateFormat=P","Fill=—","Direction=H","UseDPDF=Y")</f>
        <v>#NAME?</v>
      </c>
      <c r="BN517" s="1" t="e">
        <f ca="1">_xll.BDH($C$503,"FIXED_ASSETS_SEQUENTIAL_GROWTH","FQ4 2016","FQ4 2016","Currency=INR","Period=FQ","BEST_FPERIOD_OVERRIDE=FQ","FILING_STATUS=OR","EQY_CONSOLIDATED=Y","Sort=A","Dates=H","DateFormat=P","Fill=—","Direction=H","UseDPDF=Y")</f>
        <v>#NAME?</v>
      </c>
      <c r="BO517" s="1" t="e">
        <f ca="1">_xll.BDH($C$503,"TOTAL_ASSETS_SEQUENTIAL_GROWTH","FQ4 2016","FQ4 2016","Currency=INR","Period=FQ","BEST_FPERIOD_OVERRIDE=FQ","FILING_STATUS=OR","EQY_CONSOLIDATED=Y","Sort=A","Dates=H","DateFormat=P","Fill=—","Direction=H","UseDPDF=Y")</f>
        <v>#NAME?</v>
      </c>
      <c r="BP517" s="1" t="e">
        <f ca="1">_xll.BDH($C$503,"MODIFIED_WORKING_CPTL_SEQ_GRWTH","FQ4 2016","FQ4 2016","Currency=INR","Period=FQ","BEST_FPERIOD_OVERRIDE=FQ","FILING_STATUS=OR","EQY_CONSOLIDATED=Y","Sort=A","Dates=H","DateFormat=P","Fill=—","Direction=H","UseDPDF=Y")</f>
        <v>#NAME?</v>
      </c>
      <c r="BQ517" s="1" t="e">
        <f ca="1">_xll.BDH($C$503,"WORKING_CAPITAL_SEQ_GROWTH","FQ4 2016","FQ4 2016","Currency=INR","Period=FQ","BEST_FPERIOD_OVERRIDE=FQ","FILING_STATUS=OR","EQY_CONSOLIDATED=Y","Sort=A","Dates=H","DateFormat=P","Fill=—","Direction=H","UseDPDF=Y")</f>
        <v>#NAME?</v>
      </c>
      <c r="BR517" s="1" t="e">
        <f ca="1">_xll.BDH($C$503,"ACCOUNTS_PAYABLE_SEQ_GROWTH","FQ4 2016","FQ4 2016","Currency=INR","Period=FQ","BEST_FPERIOD_OVERRIDE=FQ","FILING_STATUS=OR","EQY_CONSOLIDATED=Y","Sort=A","Dates=H","DateFormat=P","Fill=—","Direction=H","UseDPDF=Y")</f>
        <v>#NAME?</v>
      </c>
      <c r="BS517" s="1" t="e">
        <f ca="1">_xll.BDH($C$503,"ST_DEBT_SEQUENTIAL_GROWTH","FQ4 2016","FQ4 2016","Currency=INR","Period=FQ","BEST_FPERIOD_OVERRIDE=FQ","FILING_STATUS=OR","EQY_CONSOLIDATED=Y","Sort=A","Dates=H","DateFormat=P","Fill=—","Direction=H","UseDPDF=Y")</f>
        <v>#NAME?</v>
      </c>
      <c r="BT517" s="1" t="e">
        <f ca="1">_xll.BDH($C$503,"TOTAL_DEBT_SEQUENTIAL_GROWTH","FQ4 2016","FQ4 2016","Currency=INR","Period=FQ","BEST_FPERIOD_OVERRIDE=FQ","FILING_STATUS=OR","EQY_CONSOLIDATED=Y","Sort=A","Dates=H","DateFormat=P","Fill=—","Direction=H","UseDPDF=Y")</f>
        <v>#NAME?</v>
      </c>
      <c r="BU517" s="1" t="e">
        <f ca="1">_xll.BDH($C$503,"TOTAL_EQUITY_SEQUENTIAL_GROWTH","FQ4 2016","FQ4 2016","Currency=INR","Period=FQ","BEST_FPERIOD_OVERRIDE=FQ","FILING_STATUS=OR","EQY_CONSOLIDATED=Y","Sort=A","Dates=H","DateFormat=P","Fill=—","Direction=H","UseDPDF=Y")</f>
        <v>#NAME?</v>
      </c>
      <c r="BV517" s="1" t="e">
        <f ca="1">_xll.BDH($C$503,"TOTAL_CAPITAL_SEQUENTIAL_GROWTH","FQ4 2016","FQ4 2016","Currency=INR","Period=FQ","BEST_FPERIOD_OVERRIDE=FQ","FILING_STATUS=OR","EQY_CONSOLIDATED=Y","Sort=A","Dates=H","DateFormat=P","Fill=—","Direction=H","UseDPDF=Y")</f>
        <v>#NAME?</v>
      </c>
      <c r="BW517" s="1" t="e">
        <f ca="1">_xll.BDH($C$503,"BPS_SEQUENTIAL_GROWTH","FQ4 2016","FQ4 2016","Currency=INR","Period=FQ","BEST_FPERIOD_OVERRIDE=FQ","FILING_STATUS=OR","EQY_CONSOLIDATED=Y","Sort=A","Dates=H","DateFormat=P","Fill=—","Direction=H","UseDPDF=Y")</f>
        <v>#NAME?</v>
      </c>
      <c r="BX517" s="1" t="e">
        <f ca="1">_xll.BDH($C$503,"CFO_SEQUENTIAL_GROWTH","FQ4 2016","FQ4 2016","Currency=INR","Period=FQ","BEST_FPERIOD_OVERRIDE=FQ","FILING_STATUS=OR","EQY_CONSOLIDATED=Y","Sort=A","Dates=H","DateFormat=P","Fill=—","Direction=H","UseDPDF=Y")</f>
        <v>#NAME?</v>
      </c>
      <c r="BY517" s="2" t="e">
        <f ca="1">_xll.BDH($C$503,"SHORT_AND_LONG_TERM_DEBT","FQ4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17" s="2" t="e">
        <f ca="1">_xll.BDH($C$503,"BS_ST_BORROW","FQ4 2016","FQ4 2016","Currency=INR","Period=FQ","BEST_FPERIOD_OVERRIDE=FQ","FILING_STATUS=OR","EQY_CONSOLIDATED=Y","SCALING_FORMAT=MLN","Sort=A","Dates=H","DateFormat=P","Fill=—","Direction=H","UseDPDF=Y")</f>
        <v>#NAME?</v>
      </c>
      <c r="CA517" s="2" t="e">
        <f ca="1">_xll.BDH($C$503,"BS_LT_BORROW","FQ4 2016","FQ4 2016","Currency=INR","Period=FQ","BEST_FPERIOD_OVERRIDE=FQ","FILING_STATUS=OR","EQY_CONSOLIDATED=Y","SCALING_FORMAT=MLN","Sort=A","Dates=H","DateFormat=P","Fill=—","Direction=H","UseDPDF=Y")</f>
        <v>#NAME?</v>
      </c>
      <c r="CB517" s="1" t="e">
        <f ca="1">_xll.BDH($C$503,"TOT_DEBT_TO_EBITDA","FQ4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17" s="1" t="e">
        <f ca="1">_xll.BDH($C$503,"NET_DEBT_TO_EBITDA","FQ4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17" s="1" t="e">
        <f ca="1">_xll.BDH($C$503,"TOTAL_DEBT_TO_EBIT","FQ4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17" s="1" t="e">
        <f ca="1">_xll.BDH($C$503,"NET_DEBT_TO_EBIT","FQ4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517" s="1" t="e">
        <f ca="1">_xll.BDH($C$503,"EBITDA_TO_INTEREST_EXPN","FQ4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17" s="1" t="e">
        <f ca="1">_xll.BDH($C$503,"COM_EQY_TO_TOT_ASSET","FQ4 2016","FQ4 2016","Currency=INR","Period=FQ","BEST_FPERIOD_OVERRIDE=FQ","FILING_STATUS=OR","EQY_CONSOLIDATED=Y","Sort=A","Dates=H","DateFormat=P","Fill=—","Direction=H","UseDPDF=Y")</f>
        <v>#NAME?</v>
      </c>
      <c r="CH517" s="1" t="e">
        <f ca="1">_xll.BDH($C$503,"LT_DEBT_TO_TOT_EQY","FQ4 2016","FQ4 2016","Currency=INR","Period=FQ","BEST_FPERIOD_OVERRIDE=FQ","FILING_STATUS=OR","EQY_CONSOLIDATED=Y","Sort=A","Dates=H","DateFormat=P","Fill=—","Direction=H","UseDPDF=Y")</f>
        <v>#NAME?</v>
      </c>
      <c r="CI517" s="1" t="e">
        <f ca="1">_xll.BDH($C$503,"LT_DEBT_TO_TOT_CAP","FQ4 2016","FQ4 2016","Currency=INR","Period=FQ","BEST_FPERIOD_OVERRIDE=FQ","FILING_STATUS=OR","EQY_CONSOLIDATED=Y","Sort=A","Dates=H","DateFormat=P","Fill=—","Direction=H","UseDPDF=Y")</f>
        <v>#NAME?</v>
      </c>
      <c r="CJ517" s="1" t="e">
        <f ca="1">_xll.BDH($C$503,"LT_DEBT_TO_TOT_ASSET","FQ4 2016","FQ4 2016","Currency=INR","Period=FQ","BEST_FPERIOD_OVERRIDE=FQ","FILING_STATUS=OR","EQY_CONSOLIDATED=Y","Sort=A","Dates=H","DateFormat=P","Fill=—","Direction=H","UseDPDF=Y")</f>
        <v>#NAME?</v>
      </c>
      <c r="CK517" s="1" t="e">
        <f ca="1">_xll.BDH($C$503,"TOT_DEBT_TO_TOT_EQY","FQ4 2016","FQ4 2016","Currency=INR","Period=FQ","BEST_FPERIOD_OVERRIDE=FQ","FILING_STATUS=OR","EQY_CONSOLIDATED=Y","Sort=A","Dates=H","DateFormat=P","Fill=—","Direction=H","UseDPDF=Y")</f>
        <v>#NAME?</v>
      </c>
      <c r="CL517" s="1" t="e">
        <f ca="1">_xll.BDH($C$503,"TOT_DEBT_TO_TOT_CAP","FQ4 2016","FQ4 2016","Currency=INR","Period=FQ","BEST_FPERIOD_OVERRIDE=FQ","FILING_STATUS=OR","EQY_CONSOLIDATED=Y","Sort=A","Dates=H","DateFormat=P","Fill=—","Direction=H","UseDPDF=Y")</f>
        <v>#NAME?</v>
      </c>
      <c r="CM517" s="1" t="e">
        <f ca="1">_xll.BDH($C$503,"TOT_DEBT_TO_TOT_ASSET","FQ4 2016","FQ4 2016","Currency=INR","Period=FQ","BEST_FPERIOD_OVERRIDE=FQ","FILING_STATUS=OR","EQY_CONSOLIDATED=Y","Sort=A","Dates=H","DateFormat=P","Fill=—","Direction=H","UseDPDF=Y")</f>
        <v>#NAME?</v>
      </c>
      <c r="CN517" s="1" t="e">
        <f ca="1">_xll.BDH($C$503,"NET_DEBT_TO_SHRHLDR_EQTY","FQ4 2016","FQ4 2016","Currency=INR","Period=FQ","BEST_FPERIOD_OVERRIDE=FQ","FILING_STATUS=OR","EQY_CONSOLIDATED=Y","Sort=A","Dates=H","DateFormat=P","Fill=—","Direction=H","UseDPDF=Y")</f>
        <v>#NAME?</v>
      </c>
      <c r="CO517" s="1" t="e">
        <f ca="1">_xll.BDH($C$503,"NET_DEBT_%_CAPITAL","FQ4 2016","FQ4 2016","Currency=INR","Period=FQ","BEST_FPERIOD_OVERRIDE=FQ","FILING_STATUS=OR","EQY_CONSOLIDATED=Y","Sort=A","Dates=H","DateFormat=P","Fill=—","Direction=H","UseDPDF=Y")</f>
        <v>#NAME?</v>
      </c>
      <c r="CP517" s="2" t="e">
        <f ca="1">_xll.BDH($C$503,"EBITDA","FQ4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17" s="2" t="e">
        <f ca="1">_xll.BDH($C$503,"EBITDA_AFTER_CAPEX","FQ4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17" s="2" t="e">
        <f ca="1">_xll.BDH($C$503,"IS_OPER_INC","FQ4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17" s="1" t="e">
        <f ca="1">_xll.BDH($C$503,"CASH_RATIO","FQ4 2016","FQ4 2016","Currency=INR","Period=FQ","BEST_FPERIOD_OVERRIDE=FQ","FILING_STATUS=OR","EQY_CONSOLIDATED=Y","Sort=A","Dates=H","DateFormat=P","Fill=—","Direction=H","UseDPDF=Y")</f>
        <v>#NAME?</v>
      </c>
      <c r="CT517" s="1" t="e">
        <f ca="1">_xll.BDH($C$503,"CUR_RATIO","FQ4 2016","FQ4 2016","Currency=INR","Period=FQ","BEST_FPERIOD_OVERRIDE=FQ","FILING_STATUS=OR","EQY_CONSOLIDATED=Y","Sort=A","Dates=H","DateFormat=P","Fill=—","Direction=H","UseDPDF=Y")</f>
        <v>#NAME?</v>
      </c>
      <c r="CU517" s="1" t="e">
        <f ca="1">_xll.BDH($C$503,"QUICK_RATIO","FQ4 2016","FQ4 2016","Currency=INR","Period=FQ","BEST_FPERIOD_OVERRIDE=FQ","FILING_STATUS=OR","EQY_CONSOLIDATED=Y","Sort=A","Dates=H","DateFormat=P","Fill=—","Direction=H","UseDPDF=Y")</f>
        <v>#NAME?</v>
      </c>
      <c r="CV517" s="1" t="e">
        <f ca="1">_xll.BDH($C$503,"ALTMAN_Z_SCORE","FQ4 2016","FQ4 2016","Currency=INR","Period=FQ","BEST_FPERIOD_OVERRIDE=FQ","FILING_STATUS=OR","EQY_CONSOLIDATED=Y","Sort=A","Dates=H","DateFormat=P","Fill=—","Direction=H","UseDPDF=Y")</f>
        <v>#NAME?</v>
      </c>
      <c r="CW517" s="3" t="e">
        <f ca="1">_xll.BDH($C$503,"ACCT_RCV_TURN","FQ4 2016","FQ4 2016","Currency=INR","Period=FQ","BEST_FPERIOD_OVERRIDE=FQ","FILING_STATUS=OR","EQY_CONSOLIDATED=Y","FA_ADJUSTED=GAAP","Sort=A","Dates=H","DateFormat=P","Fill=—","Direction=H","UseDPDF=Y")</f>
        <v>#NAME?</v>
      </c>
      <c r="CX517" s="1" t="e">
        <f ca="1">_xll.BDH($C$503,"ACCT_RCV_DAYS","FQ4 2016","FQ4 2016","Currency=INR","Period=FQ","BEST_FPERIOD_OVERRIDE=FQ","FILING_STATUS=OR","EQY_CONSOLIDATED=Y","FA_ADJUSTED=GAAP","Sort=A","Dates=H","DateFormat=P","Fill=—","Direction=H","UseDPDF=Y")</f>
        <v>#NAME?</v>
      </c>
      <c r="CY517" s="3" t="e">
        <f ca="1">_xll.BDH($C$503,"INVENT_TURN","FQ4 2016","FQ4 2016","Currency=INR","Period=FQ","BEST_FPERIOD_OVERRIDE=FQ","FILING_STATUS=OR","EQY_CONSOLIDATED=Y","FA_ADJUSTED=GAAP","Sort=A","Dates=H","DateFormat=P","Fill=—","Direction=H","UseDPDF=Y")</f>
        <v>#NAME?</v>
      </c>
      <c r="CZ517" s="1" t="e">
        <f ca="1">_xll.BDH($C$503,"INVENT_DAYS","FQ4 2016","FQ4 2016","Currency=INR","Period=FQ","BEST_FPERIOD_OVERRIDE=FQ","FILING_STATUS=OR","EQY_CONSOLIDATED=Y","FA_ADJUSTED=GAAP","Sort=A","Dates=H","DateFormat=P","Fill=—","Direction=H","UseDPDF=Y")</f>
        <v>#NAME?</v>
      </c>
      <c r="DA517" s="3" t="e">
        <f ca="1">_xll.BDH($C$503,"ACCOUNTS_PAYABLE_TURNOVER","FQ4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17" s="1" t="e">
        <f ca="1">_xll.BDH($C$503,"ACCOUNTS_PAYABLE_TURNOVER_DAYS","FQ4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17" s="3" t="e">
        <f ca="1">_xll.BDH($C$503,"CASH_CONVERSION_CYCLE","FQ4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17" s="3" t="e">
        <f ca="1">_xll.BDH($C$503,"INV_TO_CASH_DAYS","FQ4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517" s="4" t="e">
        <f ca="1">_xll.BDH($C$503,"BS_INVENTORIES","FQ4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517" s="2" t="e">
        <f ca="1">_xll.BDH($C$503,"INVTRY_RAW_MATERIALS","FQ4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17" s="2" t="e">
        <f ca="1">_xll.BDH($C$503,"INVTRY_IN_PROGRESS","FQ4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17" s="2" t="e">
        <f ca="1">_xll.BDH($C$503,"INVTRY_FINISHED_GOODS","FQ4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17" s="2" t="e">
        <f ca="1">_xll.BDH($C$503,"BS_OTHER_INV","FQ4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18" spans="1:113" x14ac:dyDescent="0.3">
      <c r="A518" s="6"/>
      <c r="B518" s="6"/>
      <c r="C518" s="6"/>
      <c r="D518" s="6" t="s">
        <v>10</v>
      </c>
      <c r="E518" t="s">
        <v>3</v>
      </c>
      <c r="F518" t="e">
        <f ca="1">_xll.BDH($C$503,"RETURN_COM_EQY","FY 2017","FY 2017","Currency=INR","Period=FY","BEST_FPERIOD_OVERRIDE=FY","FILING_STATUS=OR","EQY_CONSOLIDATED=Y","FA_ADJUSTED=GAAP","Sort=A","Dates=H","DateFormat=P","Fill=—","Direction=H","UseDPDF=Y")</f>
        <v>#NAME?</v>
      </c>
      <c r="G518" t="e">
        <f ca="1">_xll.BDH($C$503,"RETURN_ON_ASSET","FY 2017","FY 2017","Currency=INR","Period=FY","BEST_FPERIOD_OVERRIDE=FY","FILING_STATUS=OR","EQY_CONSOLIDATED=Y","FA_ADJUSTED=GAAP","Sort=A","Dates=H","DateFormat=P","Fill=—","Direction=H","UseDPDF=Y")</f>
        <v>#NAME?</v>
      </c>
      <c r="H518" t="e">
        <f ca="1">_xll.BDH($C$503,"RETURN_ON_CAP","FY 2017","FY 2017","Currency=INR","Period=FY","BEST_FPERIOD_OVERRIDE=FY","FILING_STATUS=OR","EQY_CONSOLIDATED=Y","FA_ADJUSTED=GAAP","Sort=A","Dates=H","DateFormat=P","Fill=—","Direction=H","UseDPDF=Y")</f>
        <v>#NAME?</v>
      </c>
      <c r="I518" t="e">
        <f ca="1">_xll.BDH($C$503,"RETURN_ON_INV_CAPITAL","FY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18" t="e">
        <f ca="1">_xll.BDH($C$503,"EBITDA_TO_REVENUE","FY 2017","FY 2017","Currency=INR","Period=FY","BEST_FPERIOD_OVERRIDE=FY","FILING_STATUS=OR","EQY_CONSOLIDATED=Y","FA_ADJUSTED=GAAP","Sort=A","Dates=H","DateFormat=P","Fill=—","Direction=H","UseDPDF=Y")</f>
        <v>#NAME?</v>
      </c>
      <c r="K518" t="e">
        <f ca="1">_xll.BDH($C$503,"OPER_MARGIN","FY 2017","FY 2017","Currency=INR","Period=FY","BEST_FPERIOD_OVERRIDE=FY","FILING_STATUS=OR","EQY_CONSOLIDATED=Y","FA_ADJUSTED=GAAP","Sort=A","Dates=H","DateFormat=P","Fill=—","Direction=H","UseDPDF=Y")</f>
        <v>#NAME?</v>
      </c>
      <c r="L518" t="e">
        <f ca="1">_xll.BDH($C$503,"INCREMENTAL_OPERATING_MARGIN","FY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18" t="e">
        <f ca="1">_xll.BDH($C$503,"PRETAX_INC_TO_NET_SALES","FY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18" t="e">
        <f ca="1">_xll.BDH($C$503,"INC_BEF_XO_ITEMS_TO_NET_SALES","FY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18" t="e">
        <f ca="1">_xll.BDH($C$503,"PROF_MARGIN","FY 2017","FY 2017","Currency=INR","Period=FY","BEST_FPERIOD_OVERRIDE=FY","FILING_STATUS=OR","EQY_CONSOLIDATED=Y","FA_ADJUSTED=GAAP","Sort=A","Dates=H","DateFormat=P","Fill=—","Direction=H","UseDPDF=Y")</f>
        <v>#NAME?</v>
      </c>
      <c r="P518" t="e">
        <f ca="1">_xll.BDH($C$503,"NET_INCOME_TO_COMMON_MARGIN","FY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18" t="e">
        <f ca="1">_xll.BDH($C$503,"EFF_TAX_RATE","FY 2017","FY 2017","Currency=INR","Period=FY","BEST_FPERIOD_OVERRIDE=FY","FILING_STATUS=OR","EQY_CONSOLIDATED=Y","FA_ADJUSTED=GAAP","Sort=A","Dates=H","DateFormat=P","Fill=—","Direction=H","UseDPDF=Y")</f>
        <v>#NAME?</v>
      </c>
      <c r="R518" t="e">
        <f ca="1">_xll.BDH($C$503,"DVD_PAYOUT_RATIO","FY 2017","FY 2017","Currency=INR","Period=FY","BEST_FPERIOD_OVERRIDE=FY","FILING_STATUS=OR","EQY_CONSOLIDATED=Y","FA_ADJUSTED=GAAP","Sort=A","Dates=H","DateFormat=P","Fill=—","Direction=H","UseDPDF=Y")</f>
        <v>#NAME?</v>
      </c>
      <c r="S518" t="e">
        <f ca="1">_xll.BDH($C$503,"SUSTAIN_GROWTH_RT","FY 2017","FY 2017","Currency=INR","Period=FY","BEST_FPERIOD_OVERRIDE=FY","FILING_STATUS=OR","EQY_CONSOLIDATED=Y","FA_ADJUSTED=GAAP","Sort=A","Dates=H","DateFormat=P","Fill=—","Direction=H","UseDPDF=Y")</f>
        <v>#NAME?</v>
      </c>
      <c r="T518" s="1" t="e">
        <f ca="1">_xll.BDH($C$503,"SALES_GROWTH","FY 2017","FY 2017","Currency=INR","Period=FY","BEST_FPERIOD_OVERRIDE=FY","FILING_STATUS=OR","EQY_CONSOLIDATED=Y","FA_ADJUSTED=GAAP","Sort=A","Dates=H","DateFormat=P","Fill=—","Direction=H","UseDPDF=Y")</f>
        <v>#NAME?</v>
      </c>
      <c r="U518" s="1" t="e">
        <f ca="1">_xll.BDH($C$503,"EBITDA_GROWTH","FY 2017","FY 2017","Currency=INR","Period=FY","BEST_FPERIOD_OVERRIDE=FY","FILING_STATUS=OR","EQY_CONSOLIDATED=Y","FA_ADJUSTED=GAAP","Sort=A","Dates=H","DateFormat=P","Fill=—","Direction=H","UseDPDF=Y")</f>
        <v>#NAME?</v>
      </c>
      <c r="V518" s="1" t="e">
        <f ca="1">_xll.BDH($C$503,"OPER_INC_GROWTH","FY 2017","FY 2017","Currency=INR","Period=FY","BEST_FPERIOD_OVERRIDE=FY","FILING_STATUS=OR","EQY_CONSOLIDATED=Y","FA_ADJUSTED=GAAP","Sort=A","Dates=H","DateFormat=P","Fill=—","Direction=H","UseDPDF=Y")</f>
        <v>#NAME?</v>
      </c>
      <c r="W518" s="1" t="e">
        <f ca="1">_xll.BDH($C$503,"EARN_FOR_COM_GROWTH","FY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518" s="1" t="e">
        <f ca="1">_xll.BDH($C$503,"DILUTED_EPS_AFT_XO_ITEMS_GROWTH","FY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18" s="1" t="e">
        <f ca="1">_xll.BDH($C$503,"DIVIDEND_PER_SHARE_1_YEAR_GROWTH","FY 2017","FY 2017","Currency=INR","Period=FY","BEST_FPERIOD_OVERRIDE=FY","FILING_STATUS=OR","EQY_CONSOLIDATED=Y","Sort=A","Dates=H","DateFormat=P","Fill=—","Direction=H","UseDPDF=Y")</f>
        <v>#NAME?</v>
      </c>
      <c r="Z518" s="1" t="e">
        <f ca="1">_xll.BDH($C$503,"ACCOUNTS_RECEIVABLE_GROWTH","FY 2017","FY 2017","Currency=INR","Period=FY","BEST_FPERIOD_OVERRIDE=FY","FILING_STATUS=OR","EQY_CONSOLIDATED=Y","Sort=A","Dates=H","DateFormat=P","Fill=—","Direction=H","UseDPDF=Y")</f>
        <v>#NAME?</v>
      </c>
      <c r="AA518" s="1" t="e">
        <f ca="1">_xll.BDH($C$503,"INVENTORY_GROWTH","FY 2017","FY 2017","Currency=INR","Period=FY","BEST_FPERIOD_OVERRIDE=FY","FILING_STATUS=OR","EQY_CONSOLIDATED=Y","Sort=A","Dates=H","DateFormat=P","Fill=—","Direction=H","UseDPDF=Y")</f>
        <v>#NAME?</v>
      </c>
      <c r="AB518" s="1" t="e">
        <f ca="1">_xll.BDH($C$503,"NET_FIXED_ASSETS_1_YEAR_GROWTH","FY 2017","FY 2017","Currency=INR","Period=FY","BEST_FPERIOD_OVERRIDE=FY","FILING_STATUS=OR","EQY_CONSOLIDATED=Y","Sort=A","Dates=H","DateFormat=P","Fill=—","Direction=H","UseDPDF=Y")</f>
        <v>#NAME?</v>
      </c>
      <c r="AC518" s="1" t="e">
        <f ca="1">_xll.BDH($C$503,"ASSET_GROWTH","FY 2017","FY 2017","Currency=INR","Period=FY","BEST_FPERIOD_OVERRIDE=FY","FILING_STATUS=OR","EQY_CONSOLIDATED=Y","Sort=A","Dates=H","DateFormat=P","Fill=—","Direction=H","UseDPDF=Y")</f>
        <v>#NAME?</v>
      </c>
      <c r="AD518" s="1" t="e">
        <f ca="1">_xll.BDH($C$503,"MODIFIED_WORK_CAP_GROWTH","FY 2017","FY 2017","Currency=INR","Period=FY","BEST_FPERIOD_OVERRIDE=FY","FILING_STATUS=OR","EQY_CONSOLIDATED=Y","Sort=A","Dates=H","DateFormat=P","Fill=—","Direction=H","UseDPDF=Y")</f>
        <v>#NAME?</v>
      </c>
      <c r="AE518" s="1" t="e">
        <f ca="1">_xll.BDH($C$503,"WORK_CAP_GROWTH","FY 2017","FY 2017","Currency=INR","Period=FY","BEST_FPERIOD_OVERRIDE=FY","FILING_STATUS=OR","EQY_CONSOLIDATED=Y","Sort=A","Dates=H","DateFormat=P","Fill=—","Direction=H","UseDPDF=Y")</f>
        <v>#NAME?</v>
      </c>
      <c r="AF518" s="1" t="e">
        <f ca="1">_xll.BDH($C$503,"ACCOUNTS_PAYABLE_GROWTH_1YR","FY 2017","FY 2017","Currency=INR","Period=FY","BEST_FPERIOD_OVERRIDE=FY","FILING_STATUS=OR","EQY_CONSOLIDATED=Y","Sort=A","Dates=H","DateFormat=P","Fill=—","Direction=H","UseDPDF=Y")</f>
        <v>#NAME?</v>
      </c>
      <c r="AG518" s="1" t="e">
        <f ca="1">_xll.BDH($C$503,"SHORT_TERM_DEBT_1_YEAR_GROWTH","FY 2017","FY 2017","Currency=INR","Period=FY","BEST_FPERIOD_OVERRIDE=FY","FILING_STATUS=OR","EQY_CONSOLIDATED=Y","Sort=A","Dates=H","DateFormat=P","Fill=—","Direction=H","UseDPDF=Y")</f>
        <v>#NAME?</v>
      </c>
      <c r="AH518" s="1" t="e">
        <f ca="1">_xll.BDH($C$503,"TOTAL_DEBT_1_YEAR_GROWTH","FY 2017","FY 2017","Currency=INR","Period=FY","BEST_FPERIOD_OVERRIDE=FY","FILING_STATUS=OR","EQY_CONSOLIDATED=Y","Sort=A","Dates=H","DateFormat=P","Fill=—","Direction=H","UseDPDF=Y")</f>
        <v>#NAME?</v>
      </c>
      <c r="AI518" s="1" t="e">
        <f ca="1">_xll.BDH($C$503,"TOTAL_EQUITY_1_YEAR_GROWTH","FY 2017","FY 2017","Currency=INR","Period=FY","BEST_FPERIOD_OVERRIDE=FY","FILING_STATUS=OR","EQY_CONSOLIDATED=Y","Sort=A","Dates=H","DateFormat=P","Fill=—","Direction=H","UseDPDF=Y")</f>
        <v>#NAME?</v>
      </c>
      <c r="AJ518" s="1" t="e">
        <f ca="1">_xll.BDH($C$503,"GROWTH_IN_CAP","FY 2017","FY 2017","Currency=INR","Period=FY","BEST_FPERIOD_OVERRIDE=FY","FILING_STATUS=OR","EQY_CONSOLIDATED=Y","Sort=A","Dates=H","DateFormat=P","Fill=—","Direction=H","UseDPDF=Y")</f>
        <v>#NAME?</v>
      </c>
      <c r="AK518" s="1" t="e">
        <f ca="1">_xll.BDH($C$503,"BVPS_GROWTH","FY 2017","FY 2017","Currency=INR","Period=FY","BEST_FPERIOD_OVERRIDE=FY","FILING_STATUS=OR","EQY_CONSOLIDATED=Y","Sort=A","Dates=H","DateFormat=P","Fill=—","Direction=H","UseDPDF=Y")</f>
        <v>#NAME?</v>
      </c>
      <c r="AL518" s="1" t="e">
        <f ca="1">_xll.BDH($C$503,"CASH_FLOW_GROWTH","FY 2017","FY 2017","Currency=INR","Period=FY","BEST_FPERIOD_OVERRIDE=FY","FILING_STATUS=OR","EQY_CONSOLIDATED=Y","Sort=A","Dates=H","DateFormat=P","Fill=—","Direction=H","UseDPDF=Y")</f>
        <v>#NAME?</v>
      </c>
      <c r="AM518" s="1" t="e">
        <f ca="1">_xll.BDH($C$503,"GEO_GROW_NET_SALES","FY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518" s="1" t="e">
        <f ca="1">_xll.BDH($C$503,"GEO_GROW_EBITDA","FY 2017","FY 2017","Currency=INR","Period=FY","BEST_FPERIOD_OVERRIDE=FY","FILING_STATUS=OR","EQY_CONSOLIDATED=Y","FA_ADJUSTED=GAAP","Sort=A","Dates=H","DateFormat=P","Fill=—","Direction=H","UseDPDF=Y")</f>
        <v>#NAME?</v>
      </c>
      <c r="AO518" s="1" t="e">
        <f ca="1">_xll.BDH($C$503,"GEO_GROW_OPER_INC","FY 2017","FY 2017","Currency=INR","Period=FY","BEST_FPERIOD_OVERRIDE=FY","FILING_STATUS=OR","EQY_CONSOLIDATED=Y","FA_ADJUSTED=GAAP","Sort=A","Dates=H","DateFormat=P","Fill=—","Direction=H","UseDPDF=Y")</f>
        <v>#NAME?</v>
      </c>
      <c r="AP518" s="1" t="e">
        <f ca="1">_xll.BDH($C$503,"NET_INCOME_TO_COMMON_5_YR_GROWTH","FY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18" s="1" t="e">
        <f ca="1">_xll.BDH($C$503,"5Y_GEO_GROWTH_DILUTED_EPS","FY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18" s="1" t="e">
        <f ca="1">_xll.BDH($C$503,"GEO_GROW_DVD_PER_SH","FY 2017","FY 2017","Currency=INR","Period=FY","BEST_FPERIOD_OVERRIDE=FY","FILING_STATUS=OR","EQY_CONSOLIDATED=Y","Sort=A","Dates=H","DateFormat=P","Fill=—","Direction=H","UseDPDF=Y")</f>
        <v>#NAME?</v>
      </c>
      <c r="AS518" s="1" t="e">
        <f ca="1">_xll.BDH($C$503,"ACCOUNTS_RECEIVABLE_5_YR_GROWTH","FY 2017","FY 2017","Currency=INR","Period=FY","BEST_FPERIOD_OVERRIDE=FY","FILING_STATUS=OR","EQY_CONSOLIDATED=Y","Sort=A","Dates=H","DateFormat=P","Fill=—","Direction=H","UseDPDF=Y")</f>
        <v>#NAME?</v>
      </c>
      <c r="AT518" s="1" t="e">
        <f ca="1">_xll.BDH($C$503,"INVENTORY_5_YEAR_GROWTH","FY 2017","FY 2017","Currency=INR","Period=FY","BEST_FPERIOD_OVERRIDE=FY","FILING_STATUS=OR","EQY_CONSOLIDATED=Y","Sort=A","Dates=H","DateFormat=P","Fill=—","Direction=H","UseDPDF=Y")</f>
        <v>#NAME?</v>
      </c>
      <c r="AU518" s="1" t="e">
        <f ca="1">_xll.BDH($C$503,"NET_FIXED_ASSETS_5_YEAR_GROWTH","FY 2017","FY 2017","Currency=INR","Period=FY","BEST_FPERIOD_OVERRIDE=FY","FILING_STATUS=OR","EQY_CONSOLIDATED=Y","Sort=A","Dates=H","DateFormat=P","Fill=—","Direction=H","UseDPDF=Y")</f>
        <v>#NAME?</v>
      </c>
      <c r="AV518" s="1" t="e">
        <f ca="1">_xll.BDH($C$503,"GEO_GROW_TOT_ASSET","FY 2017","FY 2017","Currency=INR","Period=FY","BEST_FPERIOD_OVERRIDE=FY","FILING_STATUS=OR","EQY_CONSOLIDATED=Y","Sort=A","Dates=H","DateFormat=P","Fill=—","Direction=H","UseDPDF=Y")</f>
        <v>#NAME?</v>
      </c>
      <c r="AW518" s="1" t="e">
        <f ca="1">_xll.BDH($C$503,"MODIFIED_WORKING_CPTL_5YR_GRWTH","FY 2017","FY 2017","Currency=INR","Period=FY","BEST_FPERIOD_OVERRIDE=FY","FILING_STATUS=OR","EQY_CONSOLIDATED=Y","Sort=A","Dates=H","DateFormat=P","Fill=—","Direction=H","UseDPDF=Y")</f>
        <v>#NAME?</v>
      </c>
      <c r="AX518" s="1" t="e">
        <f ca="1">_xll.BDH($C$503,"WORKING_CAPITAL_5_YEAR_GROWTH","FY 2017","FY 2017","Currency=INR","Period=FY","BEST_FPERIOD_OVERRIDE=FY","FILING_STATUS=OR","EQY_CONSOLIDATED=Y","Sort=A","Dates=H","DateFormat=P","Fill=—","Direction=H","UseDPDF=Y")</f>
        <v>#NAME?</v>
      </c>
      <c r="AY518" s="1" t="e">
        <f ca="1">_xll.BDH($C$503,"ACCOUNTS_PAYABLE_5_YEAR_GROWTH","FY 2017","FY 2017","Currency=INR","Period=FY","BEST_FPERIOD_OVERRIDE=FY","FILING_STATUS=OR","EQY_CONSOLIDATED=Y","Sort=A","Dates=H","DateFormat=P","Fill=—","Direction=H","UseDPDF=Y")</f>
        <v>#NAME?</v>
      </c>
      <c r="AZ518" s="1" t="e">
        <f ca="1">_xll.BDH($C$503,"SHORT_TERM_DEBT_5_YEAR_GROWTH","FY 2017","FY 2017","Currency=INR","Period=FY","BEST_FPERIOD_OVERRIDE=FY","FILING_STATUS=OR","EQY_CONSOLIDATED=Y","Sort=A","Dates=H","DateFormat=P","Fill=—","Direction=H","UseDPDF=Y")</f>
        <v>#NAME?</v>
      </c>
      <c r="BA518" s="1" t="e">
        <f ca="1">_xll.BDH($C$503,"TOTAL_DEBT_5_YEAR_GROWTH","FY 2017","FY 2017","Currency=INR","Period=FY","BEST_FPERIOD_OVERRIDE=FY","FILING_STATUS=OR","EQY_CONSOLIDATED=Y","Sort=A","Dates=H","DateFormat=P","Fill=—","Direction=H","UseDPDF=Y")</f>
        <v>#NAME?</v>
      </c>
      <c r="BB518" s="1" t="e">
        <f ca="1">_xll.BDH($C$503,"GEO_GROW_TOT_SHRHLDR_EQY","FY 2017","FY 2017","Currency=INR","Period=FY","BEST_FPERIOD_OVERRIDE=FY","FILING_STATUS=OR","EQY_CONSOLIDATED=Y","Sort=A","Dates=H","DateFormat=P","Fill=—","Direction=H","UseDPDF=Y")</f>
        <v>#NAME?</v>
      </c>
      <c r="BC518" s="1" t="e">
        <f ca="1">_xll.BDH($C$503,"TOTAL_CAPITAL_5_YEAR_GROWTH","FY 2017","FY 2017","Currency=INR","Period=FY","BEST_FPERIOD_OVERRIDE=FY","FILING_STATUS=OR","EQY_CONSOLIDATED=Y","Sort=A","Dates=H","DateFormat=P","Fill=—","Direction=H","UseDPDF=Y")</f>
        <v>#NAME?</v>
      </c>
      <c r="BD518" s="1" t="e">
        <f ca="1">_xll.BDH($C$503,"GEO_GROW_BOOK_VAL","FY 2017","FY 2017","Currency=INR","Period=FY","BEST_FPERIOD_OVERRIDE=FY","FILING_STATUS=OR","EQY_CONSOLIDATED=Y","Sort=A","Dates=H","DateFormat=P","Fill=—","Direction=H","UseDPDF=Y")</f>
        <v>#NAME?</v>
      </c>
      <c r="BE518" s="1" t="e">
        <f ca="1">_xll.BDH($C$503,"GEO_GROW_CASH_OPER_ACT","FY 2017","FY 2017","Currency=INR","Period=FY","BEST_FPERIOD_OVERRIDE=FY","FILING_STATUS=OR","EQY_CONSOLIDATED=Y","Sort=A","Dates=H","DateFormat=P","Fill=—","Direction=H","UseDPDF=Y")</f>
        <v>#NAME?</v>
      </c>
      <c r="BF518" s="1" t="e">
        <f ca="1">_xll.BDH($C$503,"REVENUE_SEQUENTIAL_GROWTH","FY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18" s="1" t="e">
        <f ca="1">_xll.BDH($C$503,"EBITDA_SEQUENTIAL_GROWTH","FY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18" s="1" t="e">
        <f ca="1">_xll.BDH($C$503,"OPERATING_INCOME_SEQ_GROWTH","FY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18" s="1" t="e">
        <f ca="1">_xll.BDH($C$503,"NET_INCOME_TO_COMMON_SEQ_GROWTH","FY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18" s="1" t="e">
        <f ca="1">_xll.BDH($C$503,"EPS_DILUTED_SEQUENTIAL_GROWTH","FY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18" s="1" t="e">
        <f ca="1">_xll.BDH($C$503,"DPS_SEQUENTIAL_GROWTH","FY 2017","FY 2017","Currency=INR","Period=FY","BEST_FPERIOD_OVERRIDE=FY","FILING_STATUS=OR","EQY_CONSOLIDATED=Y","Sort=A","Dates=H","DateFormat=P","Fill=—","Direction=H","UseDPDF=Y")</f>
        <v>#NAME?</v>
      </c>
      <c r="BL518" s="1" t="e">
        <f ca="1">_xll.BDH($C$503,"ACCOUNTS_RECEIVABLE_SEQ_GROWTH","FY 2017","FY 2017","Currency=INR","Period=FY","BEST_FPERIOD_OVERRIDE=FY","FILING_STATUS=OR","EQY_CONSOLIDATED=Y","Sort=A","Dates=H","DateFormat=P","Fill=—","Direction=H","UseDPDF=Y")</f>
        <v>#NAME?</v>
      </c>
      <c r="BM518" s="1" t="e">
        <f ca="1">_xll.BDH($C$503,"INVENTORY_SEQUENTIAL_GROWTH","FY 2017","FY 2017","Currency=INR","Period=FY","BEST_FPERIOD_OVERRIDE=FY","FILING_STATUS=OR","EQY_CONSOLIDATED=Y","Sort=A","Dates=H","DateFormat=P","Fill=—","Direction=H","UseDPDF=Y")</f>
        <v>#NAME?</v>
      </c>
      <c r="BN518" s="1" t="e">
        <f ca="1">_xll.BDH($C$503,"FIXED_ASSETS_SEQUENTIAL_GROWTH","FY 2017","FY 2017","Currency=INR","Period=FY","BEST_FPERIOD_OVERRIDE=FY","FILING_STATUS=OR","EQY_CONSOLIDATED=Y","Sort=A","Dates=H","DateFormat=P","Fill=—","Direction=H","UseDPDF=Y")</f>
        <v>#NAME?</v>
      </c>
      <c r="BO518" s="1" t="e">
        <f ca="1">_xll.BDH($C$503,"TOTAL_ASSETS_SEQUENTIAL_GROWTH","FY 2017","FY 2017","Currency=INR","Period=FY","BEST_FPERIOD_OVERRIDE=FY","FILING_STATUS=OR","EQY_CONSOLIDATED=Y","Sort=A","Dates=H","DateFormat=P","Fill=—","Direction=H","UseDPDF=Y")</f>
        <v>#NAME?</v>
      </c>
      <c r="BP518" s="1" t="e">
        <f ca="1">_xll.BDH($C$503,"MODIFIED_WORKING_CPTL_SEQ_GRWTH","FY 2017","FY 2017","Currency=INR","Period=FY","BEST_FPERIOD_OVERRIDE=FY","FILING_STATUS=OR","EQY_CONSOLIDATED=Y","Sort=A","Dates=H","DateFormat=P","Fill=—","Direction=H","UseDPDF=Y")</f>
        <v>#NAME?</v>
      </c>
      <c r="BQ518" s="1" t="e">
        <f ca="1">_xll.BDH($C$503,"WORKING_CAPITAL_SEQ_GROWTH","FY 2017","FY 2017","Currency=INR","Period=FY","BEST_FPERIOD_OVERRIDE=FY","FILING_STATUS=OR","EQY_CONSOLIDATED=Y","Sort=A","Dates=H","DateFormat=P","Fill=—","Direction=H","UseDPDF=Y")</f>
        <v>#NAME?</v>
      </c>
      <c r="BR518" s="1" t="e">
        <f ca="1">_xll.BDH($C$503,"ACCOUNTS_PAYABLE_SEQ_GROWTH","FY 2017","FY 2017","Currency=INR","Period=FY","BEST_FPERIOD_OVERRIDE=FY","FILING_STATUS=OR","EQY_CONSOLIDATED=Y","Sort=A","Dates=H","DateFormat=P","Fill=—","Direction=H","UseDPDF=Y")</f>
        <v>#NAME?</v>
      </c>
      <c r="BS518" s="1" t="e">
        <f ca="1">_xll.BDH($C$503,"ST_DEBT_SEQUENTIAL_GROWTH","FY 2017","FY 2017","Currency=INR","Period=FY","BEST_FPERIOD_OVERRIDE=FY","FILING_STATUS=OR","EQY_CONSOLIDATED=Y","Sort=A","Dates=H","DateFormat=P","Fill=—","Direction=H","UseDPDF=Y")</f>
        <v>#NAME?</v>
      </c>
      <c r="BT518" s="1" t="e">
        <f ca="1">_xll.BDH($C$503,"TOTAL_DEBT_SEQUENTIAL_GROWTH","FY 2017","FY 2017","Currency=INR","Period=FY","BEST_FPERIOD_OVERRIDE=FY","FILING_STATUS=OR","EQY_CONSOLIDATED=Y","Sort=A","Dates=H","DateFormat=P","Fill=—","Direction=H","UseDPDF=Y")</f>
        <v>#NAME?</v>
      </c>
      <c r="BU518" s="1" t="e">
        <f ca="1">_xll.BDH($C$503,"TOTAL_EQUITY_SEQUENTIAL_GROWTH","FY 2017","FY 2017","Currency=INR","Period=FY","BEST_FPERIOD_OVERRIDE=FY","FILING_STATUS=OR","EQY_CONSOLIDATED=Y","Sort=A","Dates=H","DateFormat=P","Fill=—","Direction=H","UseDPDF=Y")</f>
        <v>#NAME?</v>
      </c>
      <c r="BV518" s="1" t="e">
        <f ca="1">_xll.BDH($C$503,"TOTAL_CAPITAL_SEQUENTIAL_GROWTH","FY 2017","FY 2017","Currency=INR","Period=FY","BEST_FPERIOD_OVERRIDE=FY","FILING_STATUS=OR","EQY_CONSOLIDATED=Y","Sort=A","Dates=H","DateFormat=P","Fill=—","Direction=H","UseDPDF=Y")</f>
        <v>#NAME?</v>
      </c>
      <c r="BW518" s="1" t="e">
        <f ca="1">_xll.BDH($C$503,"BPS_SEQUENTIAL_GROWTH","FY 2017","FY 2017","Currency=INR","Period=FY","BEST_FPERIOD_OVERRIDE=FY","FILING_STATUS=OR","EQY_CONSOLIDATED=Y","Sort=A","Dates=H","DateFormat=P","Fill=—","Direction=H","UseDPDF=Y")</f>
        <v>#NAME?</v>
      </c>
      <c r="BX518" s="1" t="e">
        <f ca="1">_xll.BDH($C$503,"CFO_SEQUENTIAL_GROWTH","FY 2017","FY 2017","Currency=INR","Period=FY","BEST_FPERIOD_OVERRIDE=FY","FILING_STATUS=OR","EQY_CONSOLIDATED=Y","Sort=A","Dates=H","DateFormat=P","Fill=—","Direction=H","UseDPDF=Y")</f>
        <v>#NAME?</v>
      </c>
      <c r="BY518" s="2" t="e">
        <f ca="1">_xll.BDH($C$503,"SHORT_AND_LONG_TERM_DEBT","FY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18" s="2" t="e">
        <f ca="1">_xll.BDH($C$503,"BS_ST_BORROW","FY 2017","FY 2017","Currency=INR","Period=FY","BEST_FPERIOD_OVERRIDE=FY","FILING_STATUS=OR","EQY_CONSOLIDATED=Y","SCALING_FORMAT=MLN","Sort=A","Dates=H","DateFormat=P","Fill=—","Direction=H","UseDPDF=Y")</f>
        <v>#NAME?</v>
      </c>
      <c r="CA518" s="2" t="e">
        <f ca="1">_xll.BDH($C$503,"BS_LT_BORROW","FY 2017","FY 2017","Currency=INR","Period=FY","BEST_FPERIOD_OVERRIDE=FY","FILING_STATUS=OR","EQY_CONSOLIDATED=Y","SCALING_FORMAT=MLN","Sort=A","Dates=H","DateFormat=P","Fill=—","Direction=H","UseDPDF=Y")</f>
        <v>#NAME?</v>
      </c>
      <c r="CB518" s="1" t="e">
        <f ca="1">_xll.BDH($C$503,"TOT_DEBT_TO_EBITDA","FY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518" s="1" t="e">
        <f ca="1">_xll.BDH($C$503,"NET_DEBT_TO_EBITDA","FY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518" s="1" t="e">
        <f ca="1">_xll.BDH($C$503,"TOTAL_DEBT_TO_EBIT","FY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518" s="1" t="e">
        <f ca="1">_xll.BDH($C$503,"NET_DEBT_TO_EBIT","FY 2017","FY 2017","Currency=INR","Period=FY","BEST_FPERIOD_OVERRIDE=FY","FILING_STATUS=OR","EQY_CONSOLIDATED=Y","FA_ADJUSTED=GAAP","Sort=A","Dates=H","DateFormat=P","Fill=—","Direction=H","UseDPDF=Y")</f>
        <v>#NAME?</v>
      </c>
      <c r="CF518" s="1" t="e">
        <f ca="1">_xll.BDH($C$503,"EBITDA_TO_INTEREST_EXPN","FY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18" s="1" t="e">
        <f ca="1">_xll.BDH($C$503,"COM_EQY_TO_TOT_ASSET","FY 2017","FY 2017","Currency=INR","Period=FY","BEST_FPERIOD_OVERRIDE=FY","FILING_STATUS=OR","EQY_CONSOLIDATED=Y","Sort=A","Dates=H","DateFormat=P","Fill=—","Direction=H","UseDPDF=Y")</f>
        <v>#NAME?</v>
      </c>
      <c r="CH518" s="1" t="e">
        <f ca="1">_xll.BDH($C$503,"LT_DEBT_TO_TOT_EQY","FY 2017","FY 2017","Currency=INR","Period=FY","BEST_FPERIOD_OVERRIDE=FY","FILING_STATUS=OR","EQY_CONSOLIDATED=Y","Sort=A","Dates=H","DateFormat=P","Fill=—","Direction=H","UseDPDF=Y")</f>
        <v>#NAME?</v>
      </c>
      <c r="CI518" s="1" t="e">
        <f ca="1">_xll.BDH($C$503,"LT_DEBT_TO_TOT_CAP","FY 2017","FY 2017","Currency=INR","Period=FY","BEST_FPERIOD_OVERRIDE=FY","FILING_STATUS=OR","EQY_CONSOLIDATED=Y","Sort=A","Dates=H","DateFormat=P","Fill=—","Direction=H","UseDPDF=Y")</f>
        <v>#NAME?</v>
      </c>
      <c r="CJ518" s="1" t="e">
        <f ca="1">_xll.BDH($C$503,"LT_DEBT_TO_TOT_ASSET","FY 2017","FY 2017","Currency=INR","Period=FY","BEST_FPERIOD_OVERRIDE=FY","FILING_STATUS=OR","EQY_CONSOLIDATED=Y","Sort=A","Dates=H","DateFormat=P","Fill=—","Direction=H","UseDPDF=Y")</f>
        <v>#NAME?</v>
      </c>
      <c r="CK518" s="1" t="e">
        <f ca="1">_xll.BDH($C$503,"TOT_DEBT_TO_TOT_EQY","FY 2017","FY 2017","Currency=INR","Period=FY","BEST_FPERIOD_OVERRIDE=FY","FILING_STATUS=OR","EQY_CONSOLIDATED=Y","Sort=A","Dates=H","DateFormat=P","Fill=—","Direction=H","UseDPDF=Y")</f>
        <v>#NAME?</v>
      </c>
      <c r="CL518" s="1" t="e">
        <f ca="1">_xll.BDH($C$503,"TOT_DEBT_TO_TOT_CAP","FY 2017","FY 2017","Currency=INR","Period=FY","BEST_FPERIOD_OVERRIDE=FY","FILING_STATUS=OR","EQY_CONSOLIDATED=Y","Sort=A","Dates=H","DateFormat=P","Fill=—","Direction=H","UseDPDF=Y")</f>
        <v>#NAME?</v>
      </c>
      <c r="CM518" s="1" t="e">
        <f ca="1">_xll.BDH($C$503,"TOT_DEBT_TO_TOT_ASSET","FY 2017","FY 2017","Currency=INR","Period=FY","BEST_FPERIOD_OVERRIDE=FY","FILING_STATUS=OR","EQY_CONSOLIDATED=Y","Sort=A","Dates=H","DateFormat=P","Fill=—","Direction=H","UseDPDF=Y")</f>
        <v>#NAME?</v>
      </c>
      <c r="CN518" s="1" t="e">
        <f ca="1">_xll.BDH($C$503,"NET_DEBT_TO_SHRHLDR_EQTY","FY 2017","FY 2017","Currency=INR","Period=FY","BEST_FPERIOD_OVERRIDE=FY","FILING_STATUS=OR","EQY_CONSOLIDATED=Y","Sort=A","Dates=H","DateFormat=P","Fill=—","Direction=H","UseDPDF=Y")</f>
        <v>#NAME?</v>
      </c>
      <c r="CO518" s="1" t="e">
        <f ca="1">_xll.BDH($C$503,"NET_DEBT_%_CAPITAL","FY 2017","FY 2017","Currency=INR","Period=FY","BEST_FPERIOD_OVERRIDE=FY","FILING_STATUS=OR","EQY_CONSOLIDATED=Y","Sort=A","Dates=H","DateFormat=P","Fill=—","Direction=H","UseDPDF=Y")</f>
        <v>#NAME?</v>
      </c>
      <c r="CP518" s="2" t="e">
        <f ca="1">_xll.BDH($C$503,"EBITDA","FY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18" s="2" t="e">
        <f ca="1">_xll.BDH($C$503,"EBITDA_AFTER_CAPEX","FY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18" s="2" t="e">
        <f ca="1">_xll.BDH($C$503,"IS_OPER_INC","FY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18" s="1" t="e">
        <f ca="1">_xll.BDH($C$503,"CASH_RATIO","FY 2017","FY 2017","Currency=INR","Period=FY","BEST_FPERIOD_OVERRIDE=FY","FILING_STATUS=OR","EQY_CONSOLIDATED=Y","Sort=A","Dates=H","DateFormat=P","Fill=—","Direction=H","UseDPDF=Y")</f>
        <v>#NAME?</v>
      </c>
      <c r="CT518" s="1" t="e">
        <f ca="1">_xll.BDH($C$503,"CUR_RATIO","FY 2017","FY 2017","Currency=INR","Period=FY","BEST_FPERIOD_OVERRIDE=FY","FILING_STATUS=OR","EQY_CONSOLIDATED=Y","Sort=A","Dates=H","DateFormat=P","Fill=—","Direction=H","UseDPDF=Y")</f>
        <v>#NAME?</v>
      </c>
      <c r="CU518" s="1" t="e">
        <f ca="1">_xll.BDH($C$503,"QUICK_RATIO","FY 2017","FY 2017","Currency=INR","Period=FY","BEST_FPERIOD_OVERRIDE=FY","FILING_STATUS=OR","EQY_CONSOLIDATED=Y","Sort=A","Dates=H","DateFormat=P","Fill=—","Direction=H","UseDPDF=Y")</f>
        <v>#NAME?</v>
      </c>
      <c r="CV518" s="1" t="e">
        <f ca="1">_xll.BDH($C$503,"ALTMAN_Z_SCORE","FY 2017","FY 2017","Currency=INR","Period=FY","BEST_FPERIOD_OVERRIDE=FY","FILING_STATUS=OR","EQY_CONSOLIDATED=Y","Sort=A","Dates=H","DateFormat=P","Fill=—","Direction=H","UseDPDF=Y")</f>
        <v>#NAME?</v>
      </c>
      <c r="CW518" s="3" t="e">
        <f ca="1">_xll.BDH($C$503,"ACCT_RCV_TURN","FY 2017","FY 2017","Currency=INR","Period=FY","BEST_FPERIOD_OVERRIDE=FY","FILING_STATUS=OR","EQY_CONSOLIDATED=Y","FA_ADJUSTED=GAAP","Sort=A","Dates=H","DateFormat=P","Fill=—","Direction=H","UseDPDF=Y")</f>
        <v>#NAME?</v>
      </c>
      <c r="CX518" s="1" t="e">
        <f ca="1">_xll.BDH($C$503,"ACCT_RCV_DAYS","FY 2017","FY 2017","Currency=INR","Period=FY","BEST_FPERIOD_OVERRIDE=FY","FILING_STATUS=OR","EQY_CONSOLIDATED=Y","FA_ADJUSTED=GAAP","Sort=A","Dates=H","DateFormat=P","Fill=—","Direction=H","UseDPDF=Y")</f>
        <v>#NAME?</v>
      </c>
      <c r="CY518" s="3" t="e">
        <f ca="1">_xll.BDH($C$503,"INVENT_TURN","FY 2017","FY 2017","Currency=INR","Period=FY","BEST_FPERIOD_OVERRIDE=FY","FILING_STATUS=OR","EQY_CONSOLIDATED=Y","FA_ADJUSTED=GAAP","Sort=A","Dates=H","DateFormat=P","Fill=—","Direction=H","UseDPDF=Y")</f>
        <v>#NAME?</v>
      </c>
      <c r="CZ518" s="1" t="e">
        <f ca="1">_xll.BDH($C$503,"INVENT_DAYS","FY 2017","FY 2017","Currency=INR","Period=FY","BEST_FPERIOD_OVERRIDE=FY","FILING_STATUS=OR","EQY_CONSOLIDATED=Y","FA_ADJUSTED=GAAP","Sort=A","Dates=H","DateFormat=P","Fill=—","Direction=H","UseDPDF=Y")</f>
        <v>#NAME?</v>
      </c>
      <c r="DA518" s="3" t="e">
        <f ca="1">_xll.BDH($C$503,"ACCOUNTS_PAYABLE_TURNOVER","FY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18" s="1" t="e">
        <f ca="1">_xll.BDH($C$503,"ACCOUNTS_PAYABLE_TURNOVER_DAYS","FY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18" s="3" t="e">
        <f ca="1">_xll.BDH($C$503,"CASH_CONVERSION_CYCLE","FY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18" s="3" t="e">
        <f ca="1">_xll.BDH($C$503,"INV_TO_CASH_DAYS","FY 2017","FY 2017","Currency=INR","Period=FY","BEST_FPERIOD_OVERRIDE=FY","FILING_STATUS=OR","EQY_CONSOLIDATED=Y","FA_ADJUSTED=GAAP","Sort=A","Dates=H","DateFormat=P","Fill=—","Direction=H","UseDPDF=Y")</f>
        <v>#NAME?</v>
      </c>
      <c r="DE518" s="4" t="e">
        <f ca="1">_xll.BDH($C$503,"BS_INVENTORIES","FY 2017","FY 2017","Currency=INR","Period=FY","BEST_FPERIOD_OVERRIDE=FY","FILING_STATUS=OR","EQY_CONSOLIDATED=Y","SCALING_FORMAT=MLN","Sort=A","Dates=H","DateFormat=P","Fill=—","Direction=H","UseDPDF=Y")</f>
        <v>#NAME?</v>
      </c>
      <c r="DF518" s="2" t="e">
        <f ca="1">_xll.BDH($C$503,"INVTRY_RAW_MATERIALS","FY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18" s="2" t="e">
        <f ca="1">_xll.BDH($C$503,"INVTRY_IN_PROGRESS","FY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18" s="2" t="e">
        <f ca="1">_xll.BDH($C$503,"INVTRY_FINISHED_GOODS","FY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18" s="2" t="e">
        <f ca="1">_xll.BDH($C$503,"BS_OTHER_INV","FY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19" spans="1:113" x14ac:dyDescent="0.3">
      <c r="A519" s="6"/>
      <c r="B519" s="6"/>
      <c r="C519" s="6"/>
      <c r="D519" s="6"/>
      <c r="E519" t="s">
        <v>4</v>
      </c>
      <c r="F519" t="e">
        <f ca="1">_xll.BDH($C$503,"RETURN_COM_EQY","FQ1 2017","FQ1 2017","Currency=INR","Period=FQ","BEST_FPERIOD_OVERRIDE=FQ","FILING_STATUS=OR","EQY_CONSOLIDATED=Y","FA_ADJUSTED=GAAP","Sort=A","Dates=H","DateFormat=P","Fill=—","Direction=H","UseDPDF=Y")</f>
        <v>#NAME?</v>
      </c>
      <c r="G519" t="e">
        <f ca="1">_xll.BDH($C$503,"RETURN_ON_ASSET","FQ1 2017","FQ1 2017","Currency=INR","Period=FQ","BEST_FPERIOD_OVERRIDE=FQ","FILING_STATUS=OR","EQY_CONSOLIDATED=Y","FA_ADJUSTED=GAAP","Sort=A","Dates=H","DateFormat=P","Fill=—","Direction=H","UseDPDF=Y")</f>
        <v>#NAME?</v>
      </c>
      <c r="H519" t="e">
        <f ca="1">_xll.BDH($C$503,"RETURN_ON_CAP","FQ1 2017","FQ1 2017","Currency=INR","Period=FQ","BEST_FPERIOD_OVERRIDE=FQ","FILING_STATUS=OR","EQY_CONSOLIDATED=Y","FA_ADJUSTED=GAAP","Sort=A","Dates=H","DateFormat=P","Fill=—","Direction=H","UseDPDF=Y")</f>
        <v>#NAME?</v>
      </c>
      <c r="I519" t="e">
        <f ca="1">_xll.BDH($C$503,"RETURN_ON_INV_CAPITAL","FQ1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19" t="e">
        <f ca="1">_xll.BDH($C$503,"EBITDA_TO_REVENUE","FQ1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519" t="e">
        <f ca="1">_xll.BDH($C$503,"OPER_MARGIN","FQ1 2017","FQ1 2017","Currency=INR","Period=FQ","BEST_FPERIOD_OVERRIDE=FQ","FILING_STATUS=OR","EQY_CONSOLIDATED=Y","FA_ADJUSTED=GAAP","Sort=A","Dates=H","DateFormat=P","Fill=—","Direction=H","UseDPDF=Y")</f>
        <v>#NAME?</v>
      </c>
      <c r="L519" t="e">
        <f ca="1">_xll.BDH($C$503,"INCREMENTAL_OPERATING_MARGIN","FQ1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19" t="e">
        <f ca="1">_xll.BDH($C$503,"PRETAX_INC_TO_NET_SALES","FQ1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19" t="e">
        <f ca="1">_xll.BDH($C$503,"INC_BEF_XO_ITEMS_TO_NET_SALES","FQ1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19" t="e">
        <f ca="1">_xll.BDH($C$503,"PROF_MARGIN","FQ1 2017","FQ1 2017","Currency=INR","Period=FQ","BEST_FPERIOD_OVERRIDE=FQ","FILING_STATUS=OR","EQY_CONSOLIDATED=Y","FA_ADJUSTED=GAAP","Sort=A","Dates=H","DateFormat=P","Fill=—","Direction=H","UseDPDF=Y")</f>
        <v>#NAME?</v>
      </c>
      <c r="P519" t="e">
        <f ca="1">_xll.BDH($C$503,"NET_INCOME_TO_COMMON_MARGIN","FQ1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19" t="e">
        <f ca="1">_xll.BDH($C$503,"EFF_TAX_RATE","FQ1 2017","FQ1 2017","Currency=INR","Period=FQ","BEST_FPERIOD_OVERRIDE=FQ","FILING_STATUS=OR","EQY_CONSOLIDATED=Y","FA_ADJUSTED=GAAP","Sort=A","Dates=H","DateFormat=P","Fill=—","Direction=H","UseDPDF=Y")</f>
        <v>#NAME?</v>
      </c>
      <c r="R519" t="e">
        <f ca="1">_xll.BDH($C$503,"DVD_PAYOUT_RATIO","FQ1 2017","FQ1 2017","Currency=INR","Period=FQ","BEST_FPERIOD_OVERRIDE=FQ","FILING_STATUS=OR","EQY_CONSOLIDATED=Y","FA_ADJUSTED=GAAP","Sort=A","Dates=H","DateFormat=P","Fill=—","Direction=H","UseDPDF=Y")</f>
        <v>#NAME?</v>
      </c>
      <c r="S519" t="e">
        <f ca="1">_xll.BDH($C$503,"SUSTAIN_GROWTH_RT","FQ1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519" s="1" t="e">
        <f ca="1">_xll.BDH($C$503,"SALES_GROWTH","FQ1 2017","FQ1 2017","Currency=INR","Period=FQ","BEST_FPERIOD_OVERRIDE=FQ","FILING_STATUS=OR","EQY_CONSOLIDATED=Y","FA_ADJUSTED=GAAP","Sort=A","Dates=H","DateFormat=P","Fill=—","Direction=H","UseDPDF=Y")</f>
        <v>#NAME?</v>
      </c>
      <c r="U519" s="1" t="e">
        <f ca="1">_xll.BDH($C$503,"EBITDA_GROWTH","FQ1 2017","FQ1 2017","Currency=INR","Period=FQ","BEST_FPERIOD_OVERRIDE=FQ","FILING_STATUS=OR","EQY_CONSOLIDATED=Y","FA_ADJUSTED=GAAP","Sort=A","Dates=H","DateFormat=P","Fill=—","Direction=H","UseDPDF=Y")</f>
        <v>#NAME?</v>
      </c>
      <c r="V519" s="1" t="e">
        <f ca="1">_xll.BDH($C$503,"OPER_INC_GROWTH","FQ1 2017","FQ1 2017","Currency=INR","Period=FQ","BEST_FPERIOD_OVERRIDE=FQ","FILING_STATUS=OR","EQY_CONSOLIDATED=Y","FA_ADJUSTED=GAAP","Sort=A","Dates=H","DateFormat=P","Fill=—","Direction=H","UseDPDF=Y")</f>
        <v>#NAME?</v>
      </c>
      <c r="W519" s="1" t="e">
        <f ca="1">_xll.BDH($C$503,"EARN_FOR_COM_GROWTH","FQ1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19" s="1" t="e">
        <f ca="1">_xll.BDH($C$503,"DILUTED_EPS_AFT_XO_ITEMS_GROWTH","FQ1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19" s="1" t="e">
        <f ca="1">_xll.BDH($C$503,"DIVIDEND_PER_SHARE_1_YEAR_GROWTH","FQ1 2017","FQ1 2017","Currency=INR","Period=FQ","BEST_FPERIOD_OVERRIDE=FQ","FILING_STATUS=OR","EQY_CONSOLIDATED=Y","Sort=A","Dates=H","DateFormat=P","Fill=—","Direction=H","UseDPDF=Y")</f>
        <v>#NAME?</v>
      </c>
      <c r="Z519" s="1" t="e">
        <f ca="1">_xll.BDH($C$503,"ACCOUNTS_RECEIVABLE_GROWTH","FQ1 2017","FQ1 2017","Currency=INR","Period=FQ","BEST_FPERIOD_OVERRIDE=FQ","FILING_STATUS=OR","EQY_CONSOLIDATED=Y","Sort=A","Dates=H","DateFormat=P","Fill=—","Direction=H","UseDPDF=Y")</f>
        <v>#NAME?</v>
      </c>
      <c r="AA519" s="1" t="e">
        <f ca="1">_xll.BDH($C$503,"INVENTORY_GROWTH","FQ1 2017","FQ1 2017","Currency=INR","Period=FQ","BEST_FPERIOD_OVERRIDE=FQ","FILING_STATUS=OR","EQY_CONSOLIDATED=Y","Sort=A","Dates=H","DateFormat=P","Fill=—","Direction=H","UseDPDF=Y")</f>
        <v>#NAME?</v>
      </c>
      <c r="AB519" s="1" t="e">
        <f ca="1">_xll.BDH($C$503,"NET_FIXED_ASSETS_1_YEAR_GROWTH","FQ1 2017","FQ1 2017","Currency=INR","Period=FQ","BEST_FPERIOD_OVERRIDE=FQ","FILING_STATUS=OR","EQY_CONSOLIDATED=Y","Sort=A","Dates=H","DateFormat=P","Fill=—","Direction=H","UseDPDF=Y")</f>
        <v>#NAME?</v>
      </c>
      <c r="AC519" s="1" t="e">
        <f ca="1">_xll.BDH($C$503,"ASSET_GROWTH","FQ1 2017","FQ1 2017","Currency=INR","Period=FQ","BEST_FPERIOD_OVERRIDE=FQ","FILING_STATUS=OR","EQY_CONSOLIDATED=Y","Sort=A","Dates=H","DateFormat=P","Fill=—","Direction=H","UseDPDF=Y")</f>
        <v>#NAME?</v>
      </c>
      <c r="AD519" s="1" t="e">
        <f ca="1">_xll.BDH($C$503,"MODIFIED_WORK_CAP_GROWTH","FQ1 2017","FQ1 2017","Currency=INR","Period=FQ","BEST_FPERIOD_OVERRIDE=FQ","FILING_STATUS=OR","EQY_CONSOLIDATED=Y","Sort=A","Dates=H","DateFormat=P","Fill=—","Direction=H","UseDPDF=Y")</f>
        <v>#NAME?</v>
      </c>
      <c r="AE519" s="1" t="e">
        <f ca="1">_xll.BDH($C$503,"WORK_CAP_GROWTH","FQ1 2017","FQ1 2017","Currency=INR","Period=FQ","BEST_FPERIOD_OVERRIDE=FQ","FILING_STATUS=OR","EQY_CONSOLIDATED=Y","Sort=A","Dates=H","DateFormat=P","Fill=—","Direction=H","UseDPDF=Y")</f>
        <v>#NAME?</v>
      </c>
      <c r="AF519" s="1" t="e">
        <f ca="1">_xll.BDH($C$503,"ACCOUNTS_PAYABLE_GROWTH_1YR","FQ1 2017","FQ1 2017","Currency=INR","Period=FQ","BEST_FPERIOD_OVERRIDE=FQ","FILING_STATUS=OR","EQY_CONSOLIDATED=Y","Sort=A","Dates=H","DateFormat=P","Fill=—","Direction=H","UseDPDF=Y")</f>
        <v>#NAME?</v>
      </c>
      <c r="AG519" s="1" t="e">
        <f ca="1">_xll.BDH($C$503,"SHORT_TERM_DEBT_1_YEAR_GROWTH","FQ1 2017","FQ1 2017","Currency=INR","Period=FQ","BEST_FPERIOD_OVERRIDE=FQ","FILING_STATUS=OR","EQY_CONSOLIDATED=Y","Sort=A","Dates=H","DateFormat=P","Fill=—","Direction=H","UseDPDF=Y")</f>
        <v>#NAME?</v>
      </c>
      <c r="AH519" s="1" t="e">
        <f ca="1">_xll.BDH($C$503,"TOTAL_DEBT_1_YEAR_GROWTH","FQ1 2017","FQ1 2017","Currency=INR","Period=FQ","BEST_FPERIOD_OVERRIDE=FQ","FILING_STATUS=OR","EQY_CONSOLIDATED=Y","Sort=A","Dates=H","DateFormat=P","Fill=—","Direction=H","UseDPDF=Y")</f>
        <v>#NAME?</v>
      </c>
      <c r="AI519" s="1" t="e">
        <f ca="1">_xll.BDH($C$503,"TOTAL_EQUITY_1_YEAR_GROWTH","FQ1 2017","FQ1 2017","Currency=INR","Period=FQ","BEST_FPERIOD_OVERRIDE=FQ","FILING_STATUS=OR","EQY_CONSOLIDATED=Y","Sort=A","Dates=H","DateFormat=P","Fill=—","Direction=H","UseDPDF=Y")</f>
        <v>#NAME?</v>
      </c>
      <c r="AJ519" s="1" t="e">
        <f ca="1">_xll.BDH($C$503,"GROWTH_IN_CAP","FQ1 2017","FQ1 2017","Currency=INR","Period=FQ","BEST_FPERIOD_OVERRIDE=FQ","FILING_STATUS=OR","EQY_CONSOLIDATED=Y","Sort=A","Dates=H","DateFormat=P","Fill=—","Direction=H","UseDPDF=Y")</f>
        <v>#NAME?</v>
      </c>
      <c r="AK519" s="1" t="e">
        <f ca="1">_xll.BDH($C$503,"BVPS_GROWTH","FQ1 2017","FQ1 2017","Currency=INR","Period=FQ","BEST_FPERIOD_OVERRIDE=FQ","FILING_STATUS=OR","EQY_CONSOLIDATED=Y","Sort=A","Dates=H","DateFormat=P","Fill=—","Direction=H","UseDPDF=Y")</f>
        <v>#NAME?</v>
      </c>
      <c r="AL519" s="1" t="e">
        <f ca="1">_xll.BDH($C$503,"CASH_FLOW_GROWTH","FQ1 2017","FQ1 2017","Currency=INR","Period=FQ","BEST_FPERIOD_OVERRIDE=FQ","FILING_STATUS=OR","EQY_CONSOLIDATED=Y","Sort=A","Dates=H","DateFormat=P","Fill=—","Direction=H","UseDPDF=Y")</f>
        <v>#NAME?</v>
      </c>
      <c r="AM519" s="1" t="e">
        <f ca="1">_xll.BDH($C$503,"GEO_GROW_NET_SALES","FQ1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19" s="1" t="e">
        <f ca="1">_xll.BDH($C$503,"GEO_GROW_EBITDA","FQ1 2017","FQ1 2017","Currency=INR","Period=FQ","BEST_FPERIOD_OVERRIDE=FQ","FILING_STATUS=OR","EQY_CONSOLIDATED=Y","FA_ADJUSTED=GAAP","Sort=A","Dates=H","DateFormat=P","Fill=—","Direction=H","UseDPDF=Y")</f>
        <v>#NAME?</v>
      </c>
      <c r="AO519" s="1" t="e">
        <f ca="1">_xll.BDH($C$503,"GEO_GROW_OPER_INC","FQ1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19" s="1" t="e">
        <f ca="1">_xll.BDH($C$503,"NET_INCOME_TO_COMMON_5_YR_GROWTH","FQ1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19" s="1" t="e">
        <f ca="1">_xll.BDH($C$503,"5Y_GEO_GROWTH_DILUTED_EPS","FQ1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19" s="1" t="e">
        <f ca="1">_xll.BDH($C$503,"GEO_GROW_DVD_PER_SH","FQ1 2017","FQ1 2017","Currency=INR","Period=FQ","BEST_FPERIOD_OVERRIDE=FQ","FILING_STATUS=OR","EQY_CONSOLIDATED=Y","Sort=A","Dates=H","DateFormat=P","Fill=—","Direction=H","UseDPDF=Y")</f>
        <v>#NAME?</v>
      </c>
      <c r="AS519" s="1" t="e">
        <f ca="1">_xll.BDH($C$503,"ACCOUNTS_RECEIVABLE_5_YR_GROWTH","FQ1 2017","FQ1 2017","Currency=INR","Period=FQ","BEST_FPERIOD_OVERRIDE=FQ","FILING_STATUS=OR","EQY_CONSOLIDATED=Y","Sort=A","Dates=H","DateFormat=P","Fill=—","Direction=H","UseDPDF=Y")</f>
        <v>#NAME?</v>
      </c>
      <c r="AT519" s="1" t="e">
        <f ca="1">_xll.BDH($C$503,"INVENTORY_5_YEAR_GROWTH","FQ1 2017","FQ1 2017","Currency=INR","Period=FQ","BEST_FPERIOD_OVERRIDE=FQ","FILING_STATUS=OR","EQY_CONSOLIDATED=Y","Sort=A","Dates=H","DateFormat=P","Fill=—","Direction=H","UseDPDF=Y")</f>
        <v>#NAME?</v>
      </c>
      <c r="AU519" s="1" t="e">
        <f ca="1">_xll.BDH($C$503,"NET_FIXED_ASSETS_5_YEAR_GROWTH","FQ1 2017","FQ1 2017","Currency=INR","Period=FQ","BEST_FPERIOD_OVERRIDE=FQ","FILING_STATUS=OR","EQY_CONSOLIDATED=Y","Sort=A","Dates=H","DateFormat=P","Fill=—","Direction=H","UseDPDF=Y")</f>
        <v>#NAME?</v>
      </c>
      <c r="AV519" s="1" t="e">
        <f ca="1">_xll.BDH($C$503,"GEO_GROW_TOT_ASSET","FQ1 2017","FQ1 2017","Currency=INR","Period=FQ","BEST_FPERIOD_OVERRIDE=FQ","FILING_STATUS=OR","EQY_CONSOLIDATED=Y","Sort=A","Dates=H","DateFormat=P","Fill=—","Direction=H","UseDPDF=Y")</f>
        <v>#NAME?</v>
      </c>
      <c r="AW519" s="1" t="e">
        <f ca="1">_xll.BDH($C$503,"MODIFIED_WORKING_CPTL_5YR_GRWTH","FQ1 2017","FQ1 2017","Currency=INR","Period=FQ","BEST_FPERIOD_OVERRIDE=FQ","FILING_STATUS=OR","EQY_CONSOLIDATED=Y","Sort=A","Dates=H","DateFormat=P","Fill=—","Direction=H","UseDPDF=Y")</f>
        <v>#NAME?</v>
      </c>
      <c r="AX519" s="1" t="e">
        <f ca="1">_xll.BDH($C$503,"WORKING_CAPITAL_5_YEAR_GROWTH","FQ1 2017","FQ1 2017","Currency=INR","Period=FQ","BEST_FPERIOD_OVERRIDE=FQ","FILING_STATUS=OR","EQY_CONSOLIDATED=Y","Sort=A","Dates=H","DateFormat=P","Fill=—","Direction=H","UseDPDF=Y")</f>
        <v>#NAME?</v>
      </c>
      <c r="AY519" s="1" t="e">
        <f ca="1">_xll.BDH($C$503,"ACCOUNTS_PAYABLE_5_YEAR_GROWTH","FQ1 2017","FQ1 2017","Currency=INR","Period=FQ","BEST_FPERIOD_OVERRIDE=FQ","FILING_STATUS=OR","EQY_CONSOLIDATED=Y","Sort=A","Dates=H","DateFormat=P","Fill=—","Direction=H","UseDPDF=Y")</f>
        <v>#NAME?</v>
      </c>
      <c r="AZ519" s="1" t="e">
        <f ca="1">_xll.BDH($C$503,"SHORT_TERM_DEBT_5_YEAR_GROWTH","FQ1 2017","FQ1 2017","Currency=INR","Period=FQ","BEST_FPERIOD_OVERRIDE=FQ","FILING_STATUS=OR","EQY_CONSOLIDATED=Y","Sort=A","Dates=H","DateFormat=P","Fill=—","Direction=H","UseDPDF=Y")</f>
        <v>#NAME?</v>
      </c>
      <c r="BA519" s="1" t="e">
        <f ca="1">_xll.BDH($C$503,"TOTAL_DEBT_5_YEAR_GROWTH","FQ1 2017","FQ1 2017","Currency=INR","Period=FQ","BEST_FPERIOD_OVERRIDE=FQ","FILING_STATUS=OR","EQY_CONSOLIDATED=Y","Sort=A","Dates=H","DateFormat=P","Fill=—","Direction=H","UseDPDF=Y")</f>
        <v>#NAME?</v>
      </c>
      <c r="BB519" s="1" t="e">
        <f ca="1">_xll.BDH($C$503,"GEO_GROW_TOT_SHRHLDR_EQY","FQ1 2017","FQ1 2017","Currency=INR","Period=FQ","BEST_FPERIOD_OVERRIDE=FQ","FILING_STATUS=OR","EQY_CONSOLIDATED=Y","Sort=A","Dates=H","DateFormat=P","Fill=—","Direction=H","UseDPDF=Y")</f>
        <v>#NAME?</v>
      </c>
      <c r="BC519" s="1" t="e">
        <f ca="1">_xll.BDH($C$503,"TOTAL_CAPITAL_5_YEAR_GROWTH","FQ1 2017","FQ1 2017","Currency=INR","Period=FQ","BEST_FPERIOD_OVERRIDE=FQ","FILING_STATUS=OR","EQY_CONSOLIDATED=Y","Sort=A","Dates=H","DateFormat=P","Fill=—","Direction=H","UseDPDF=Y")</f>
        <v>#NAME?</v>
      </c>
      <c r="BD519" s="1" t="e">
        <f ca="1">_xll.BDH($C$503,"GEO_GROW_BOOK_VAL","FQ1 2017","FQ1 2017","Currency=INR","Period=FQ","BEST_FPERIOD_OVERRIDE=FQ","FILING_STATUS=OR","EQY_CONSOLIDATED=Y","Sort=A","Dates=H","DateFormat=P","Fill=—","Direction=H","UseDPDF=Y")</f>
        <v>#NAME?</v>
      </c>
      <c r="BE519" s="1" t="e">
        <f ca="1">_xll.BDH($C$503,"GEO_GROW_CASH_OPER_ACT","FQ1 2017","FQ1 2017","Currency=INR","Period=FQ","BEST_FPERIOD_OVERRIDE=FQ","FILING_STATUS=OR","EQY_CONSOLIDATED=Y","Sort=A","Dates=H","DateFormat=P","Fill=—","Direction=H","UseDPDF=Y")</f>
        <v>#NAME?</v>
      </c>
      <c r="BF519" s="1" t="e">
        <f ca="1">_xll.BDH($C$503,"REVENUE_SEQUENTIAL_GROWTH","FQ1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19" s="1" t="e">
        <f ca="1">_xll.BDH($C$503,"EBITDA_SEQUENTIAL_GROWTH","FQ1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19" s="1" t="e">
        <f ca="1">_xll.BDH($C$503,"OPERATING_INCOME_SEQ_GROWTH","FQ1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19" s="1" t="e">
        <f ca="1">_xll.BDH($C$503,"NET_INCOME_TO_COMMON_SEQ_GROWTH","FQ1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19" s="1" t="e">
        <f ca="1">_xll.BDH($C$503,"EPS_DILUTED_SEQUENTIAL_GROWTH","FQ1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19" s="1" t="e">
        <f ca="1">_xll.BDH($C$503,"DPS_SEQUENTIAL_GROWTH","FQ1 2017","FQ1 2017","Currency=INR","Period=FQ","BEST_FPERIOD_OVERRIDE=FQ","FILING_STATUS=OR","EQY_CONSOLIDATED=Y","Sort=A","Dates=H","DateFormat=P","Fill=—","Direction=H","UseDPDF=Y")</f>
        <v>#NAME?</v>
      </c>
      <c r="BL519" s="1" t="e">
        <f ca="1">_xll.BDH($C$503,"ACCOUNTS_RECEIVABLE_SEQ_GROWTH","FQ1 2017","FQ1 2017","Currency=INR","Period=FQ","BEST_FPERIOD_OVERRIDE=FQ","FILING_STATUS=OR","EQY_CONSOLIDATED=Y","Sort=A","Dates=H","DateFormat=P","Fill=—","Direction=H","UseDPDF=Y")</f>
        <v>#NAME?</v>
      </c>
      <c r="BM519" s="1" t="e">
        <f ca="1">_xll.BDH($C$503,"INVENTORY_SEQUENTIAL_GROWTH","FQ1 2017","FQ1 2017","Currency=INR","Period=FQ","BEST_FPERIOD_OVERRIDE=FQ","FILING_STATUS=OR","EQY_CONSOLIDATED=Y","Sort=A","Dates=H","DateFormat=P","Fill=—","Direction=H","UseDPDF=Y")</f>
        <v>#NAME?</v>
      </c>
      <c r="BN519" s="1" t="e">
        <f ca="1">_xll.BDH($C$503,"FIXED_ASSETS_SEQUENTIAL_GROWTH","FQ1 2017","FQ1 2017","Currency=INR","Period=FQ","BEST_FPERIOD_OVERRIDE=FQ","FILING_STATUS=OR","EQY_CONSOLIDATED=Y","Sort=A","Dates=H","DateFormat=P","Fill=—","Direction=H","UseDPDF=Y")</f>
        <v>#NAME?</v>
      </c>
      <c r="BO519" s="1" t="e">
        <f ca="1">_xll.BDH($C$503,"TOTAL_ASSETS_SEQUENTIAL_GROWTH","FQ1 2017","FQ1 2017","Currency=INR","Period=FQ","BEST_FPERIOD_OVERRIDE=FQ","FILING_STATUS=OR","EQY_CONSOLIDATED=Y","Sort=A","Dates=H","DateFormat=P","Fill=—","Direction=H","UseDPDF=Y")</f>
        <v>#NAME?</v>
      </c>
      <c r="BP519" s="1" t="e">
        <f ca="1">_xll.BDH($C$503,"MODIFIED_WORKING_CPTL_SEQ_GRWTH","FQ1 2017","FQ1 2017","Currency=INR","Period=FQ","BEST_FPERIOD_OVERRIDE=FQ","FILING_STATUS=OR","EQY_CONSOLIDATED=Y","Sort=A","Dates=H","DateFormat=P","Fill=—","Direction=H","UseDPDF=Y")</f>
        <v>#NAME?</v>
      </c>
      <c r="BQ519" s="1" t="e">
        <f ca="1">_xll.BDH($C$503,"WORKING_CAPITAL_SEQ_GROWTH","FQ1 2017","FQ1 2017","Currency=INR","Period=FQ","BEST_FPERIOD_OVERRIDE=FQ","FILING_STATUS=OR","EQY_CONSOLIDATED=Y","Sort=A","Dates=H","DateFormat=P","Fill=—","Direction=H","UseDPDF=Y")</f>
        <v>#NAME?</v>
      </c>
      <c r="BR519" s="1" t="e">
        <f ca="1">_xll.BDH($C$503,"ACCOUNTS_PAYABLE_SEQ_GROWTH","FQ1 2017","FQ1 2017","Currency=INR","Period=FQ","BEST_FPERIOD_OVERRIDE=FQ","FILING_STATUS=OR","EQY_CONSOLIDATED=Y","Sort=A","Dates=H","DateFormat=P","Fill=—","Direction=H","UseDPDF=Y")</f>
        <v>#NAME?</v>
      </c>
      <c r="BS519" s="1" t="e">
        <f ca="1">_xll.BDH($C$503,"ST_DEBT_SEQUENTIAL_GROWTH","FQ1 2017","FQ1 2017","Currency=INR","Period=FQ","BEST_FPERIOD_OVERRIDE=FQ","FILING_STATUS=OR","EQY_CONSOLIDATED=Y","Sort=A","Dates=H","DateFormat=P","Fill=—","Direction=H","UseDPDF=Y")</f>
        <v>#NAME?</v>
      </c>
      <c r="BT519" s="1" t="e">
        <f ca="1">_xll.BDH($C$503,"TOTAL_DEBT_SEQUENTIAL_GROWTH","FQ1 2017","FQ1 2017","Currency=INR","Period=FQ","BEST_FPERIOD_OVERRIDE=FQ","FILING_STATUS=OR","EQY_CONSOLIDATED=Y","Sort=A","Dates=H","DateFormat=P","Fill=—","Direction=H","UseDPDF=Y")</f>
        <v>#NAME?</v>
      </c>
      <c r="BU519" s="1" t="e">
        <f ca="1">_xll.BDH($C$503,"TOTAL_EQUITY_SEQUENTIAL_GROWTH","FQ1 2017","FQ1 2017","Currency=INR","Period=FQ","BEST_FPERIOD_OVERRIDE=FQ","FILING_STATUS=OR","EQY_CONSOLIDATED=Y","Sort=A","Dates=H","DateFormat=P","Fill=—","Direction=H","UseDPDF=Y")</f>
        <v>#NAME?</v>
      </c>
      <c r="BV519" s="1" t="e">
        <f ca="1">_xll.BDH($C$503,"TOTAL_CAPITAL_SEQUENTIAL_GROWTH","FQ1 2017","FQ1 2017","Currency=INR","Period=FQ","BEST_FPERIOD_OVERRIDE=FQ","FILING_STATUS=OR","EQY_CONSOLIDATED=Y","Sort=A","Dates=H","DateFormat=P","Fill=—","Direction=H","UseDPDF=Y")</f>
        <v>#NAME?</v>
      </c>
      <c r="BW519" s="1" t="e">
        <f ca="1">_xll.BDH($C$503,"BPS_SEQUENTIAL_GROWTH","FQ1 2017","FQ1 2017","Currency=INR","Period=FQ","BEST_FPERIOD_OVERRIDE=FQ","FILING_STATUS=OR","EQY_CONSOLIDATED=Y","Sort=A","Dates=H","DateFormat=P","Fill=—","Direction=H","UseDPDF=Y")</f>
        <v>#NAME?</v>
      </c>
      <c r="BX519" s="1" t="e">
        <f ca="1">_xll.BDH($C$503,"CFO_SEQUENTIAL_GROWTH","FQ1 2017","FQ1 2017","Currency=INR","Period=FQ","BEST_FPERIOD_OVERRIDE=FQ","FILING_STATUS=OR","EQY_CONSOLIDATED=Y","Sort=A","Dates=H","DateFormat=P","Fill=—","Direction=H","UseDPDF=Y")</f>
        <v>#NAME?</v>
      </c>
      <c r="BY519" s="2" t="e">
        <f ca="1">_xll.BDH($C$503,"SHORT_AND_LONG_TERM_DEBT","FQ1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19" s="2" t="e">
        <f ca="1">_xll.BDH($C$503,"BS_ST_BORROW","FQ1 2017","FQ1 2017","Currency=INR","Period=FQ","BEST_FPERIOD_OVERRIDE=FQ","FILING_STATUS=OR","EQY_CONSOLIDATED=Y","SCALING_FORMAT=MLN","Sort=A","Dates=H","DateFormat=P","Fill=—","Direction=H","UseDPDF=Y")</f>
        <v>#NAME?</v>
      </c>
      <c r="CA519" s="2" t="e">
        <f ca="1">_xll.BDH($C$503,"BS_LT_BORROW","FQ1 2017","FQ1 2017","Currency=INR","Period=FQ","BEST_FPERIOD_OVERRIDE=FQ","FILING_STATUS=OR","EQY_CONSOLIDATED=Y","SCALING_FORMAT=MLN","Sort=A","Dates=H","DateFormat=P","Fill=—","Direction=H","UseDPDF=Y")</f>
        <v>#NAME?</v>
      </c>
      <c r="CB519" s="1" t="e">
        <f ca="1">_xll.BDH($C$503,"TOT_DEBT_TO_EBITDA","FQ1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19" s="1" t="e">
        <f ca="1">_xll.BDH($C$503,"NET_DEBT_TO_EBITDA","FQ1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19" s="1" t="e">
        <f ca="1">_xll.BDH($C$503,"TOTAL_DEBT_TO_EBIT","FQ1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19" s="1" t="e">
        <f ca="1">_xll.BDH($C$503,"NET_DEBT_TO_EBIT","FQ1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519" s="1" t="e">
        <f ca="1">_xll.BDH($C$503,"EBITDA_TO_INTEREST_EXPN","FQ1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19" s="1" t="e">
        <f ca="1">_xll.BDH($C$503,"COM_EQY_TO_TOT_ASSET","FQ1 2017","FQ1 2017","Currency=INR","Period=FQ","BEST_FPERIOD_OVERRIDE=FQ","FILING_STATUS=OR","EQY_CONSOLIDATED=Y","Sort=A","Dates=H","DateFormat=P","Fill=—","Direction=H","UseDPDF=Y")</f>
        <v>#NAME?</v>
      </c>
      <c r="CH519" s="1" t="e">
        <f ca="1">_xll.BDH($C$503,"LT_DEBT_TO_TOT_EQY","FQ1 2017","FQ1 2017","Currency=INR","Period=FQ","BEST_FPERIOD_OVERRIDE=FQ","FILING_STATUS=OR","EQY_CONSOLIDATED=Y","Sort=A","Dates=H","DateFormat=P","Fill=—","Direction=H","UseDPDF=Y")</f>
        <v>#NAME?</v>
      </c>
      <c r="CI519" s="1" t="e">
        <f ca="1">_xll.BDH($C$503,"LT_DEBT_TO_TOT_CAP","FQ1 2017","FQ1 2017","Currency=INR","Period=FQ","BEST_FPERIOD_OVERRIDE=FQ","FILING_STATUS=OR","EQY_CONSOLIDATED=Y","Sort=A","Dates=H","DateFormat=P","Fill=—","Direction=H","UseDPDF=Y")</f>
        <v>#NAME?</v>
      </c>
      <c r="CJ519" s="1" t="e">
        <f ca="1">_xll.BDH($C$503,"LT_DEBT_TO_TOT_ASSET","FQ1 2017","FQ1 2017","Currency=INR","Period=FQ","BEST_FPERIOD_OVERRIDE=FQ","FILING_STATUS=OR","EQY_CONSOLIDATED=Y","Sort=A","Dates=H","DateFormat=P","Fill=—","Direction=H","UseDPDF=Y")</f>
        <v>#NAME?</v>
      </c>
      <c r="CK519" s="1" t="e">
        <f ca="1">_xll.BDH($C$503,"TOT_DEBT_TO_TOT_EQY","FQ1 2017","FQ1 2017","Currency=INR","Period=FQ","BEST_FPERIOD_OVERRIDE=FQ","FILING_STATUS=OR","EQY_CONSOLIDATED=Y","Sort=A","Dates=H","DateFormat=P","Fill=—","Direction=H","UseDPDF=Y")</f>
        <v>#NAME?</v>
      </c>
      <c r="CL519" s="1" t="e">
        <f ca="1">_xll.BDH($C$503,"TOT_DEBT_TO_TOT_CAP","FQ1 2017","FQ1 2017","Currency=INR","Period=FQ","BEST_FPERIOD_OVERRIDE=FQ","FILING_STATUS=OR","EQY_CONSOLIDATED=Y","Sort=A","Dates=H","DateFormat=P","Fill=—","Direction=H","UseDPDF=Y")</f>
        <v>#NAME?</v>
      </c>
      <c r="CM519" s="1" t="e">
        <f ca="1">_xll.BDH($C$503,"TOT_DEBT_TO_TOT_ASSET","FQ1 2017","FQ1 2017","Currency=INR","Period=FQ","BEST_FPERIOD_OVERRIDE=FQ","FILING_STATUS=OR","EQY_CONSOLIDATED=Y","Sort=A","Dates=H","DateFormat=P","Fill=—","Direction=H","UseDPDF=Y")</f>
        <v>#NAME?</v>
      </c>
      <c r="CN519" s="1" t="e">
        <f ca="1">_xll.BDH($C$503,"NET_DEBT_TO_SHRHLDR_EQTY","FQ1 2017","FQ1 2017","Currency=INR","Period=FQ","BEST_FPERIOD_OVERRIDE=FQ","FILING_STATUS=OR","EQY_CONSOLIDATED=Y","Sort=A","Dates=H","DateFormat=P","Fill=—","Direction=H","UseDPDF=Y")</f>
        <v>#NAME?</v>
      </c>
      <c r="CO519" s="1" t="e">
        <f ca="1">_xll.BDH($C$503,"NET_DEBT_%_CAPITAL","FQ1 2017","FQ1 2017","Currency=INR","Period=FQ","BEST_FPERIOD_OVERRIDE=FQ","FILING_STATUS=OR","EQY_CONSOLIDATED=Y","Sort=A","Dates=H","DateFormat=P","Fill=—","Direction=H","UseDPDF=Y")</f>
        <v>#NAME?</v>
      </c>
      <c r="CP519" s="2" t="e">
        <f ca="1">_xll.BDH($C$503,"EBITDA","FQ1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19" s="2" t="e">
        <f ca="1">_xll.BDH($C$503,"EBITDA_AFTER_CAPEX","FQ1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19" s="2" t="e">
        <f ca="1">_xll.BDH($C$503,"IS_OPER_INC","FQ1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19" s="1" t="e">
        <f ca="1">_xll.BDH($C$503,"CASH_RATIO","FQ1 2017","FQ1 2017","Currency=INR","Period=FQ","BEST_FPERIOD_OVERRIDE=FQ","FILING_STATUS=OR","EQY_CONSOLIDATED=Y","Sort=A","Dates=H","DateFormat=P","Fill=—","Direction=H","UseDPDF=Y")</f>
        <v>#NAME?</v>
      </c>
      <c r="CT519" s="1" t="e">
        <f ca="1">_xll.BDH($C$503,"CUR_RATIO","FQ1 2017","FQ1 2017","Currency=INR","Period=FQ","BEST_FPERIOD_OVERRIDE=FQ","FILING_STATUS=OR","EQY_CONSOLIDATED=Y","Sort=A","Dates=H","DateFormat=P","Fill=—","Direction=H","UseDPDF=Y")</f>
        <v>#NAME?</v>
      </c>
      <c r="CU519" s="1" t="e">
        <f ca="1">_xll.BDH($C$503,"QUICK_RATIO","FQ1 2017","FQ1 2017","Currency=INR","Period=FQ","BEST_FPERIOD_OVERRIDE=FQ","FILING_STATUS=OR","EQY_CONSOLIDATED=Y","Sort=A","Dates=H","DateFormat=P","Fill=—","Direction=H","UseDPDF=Y")</f>
        <v>#NAME?</v>
      </c>
      <c r="CV519" s="1" t="e">
        <f ca="1">_xll.BDH($C$503,"ALTMAN_Z_SCORE","FQ1 2017","FQ1 2017","Currency=INR","Period=FQ","BEST_FPERIOD_OVERRIDE=FQ","FILING_STATUS=OR","EQY_CONSOLIDATED=Y","Sort=A","Dates=H","DateFormat=P","Fill=—","Direction=H","UseDPDF=Y")</f>
        <v>#NAME?</v>
      </c>
      <c r="CW519" s="3" t="e">
        <f ca="1">_xll.BDH($C$503,"ACCT_RCV_TURN","FQ1 2017","FQ1 2017","Currency=INR","Period=FQ","BEST_FPERIOD_OVERRIDE=FQ","FILING_STATUS=OR","EQY_CONSOLIDATED=Y","FA_ADJUSTED=GAAP","Sort=A","Dates=H","DateFormat=P","Fill=—","Direction=H","UseDPDF=Y")</f>
        <v>#NAME?</v>
      </c>
      <c r="CX519" s="1" t="e">
        <f ca="1">_xll.BDH($C$503,"ACCT_RCV_DAYS","FQ1 2017","FQ1 2017","Currency=INR","Period=FQ","BEST_FPERIOD_OVERRIDE=FQ","FILING_STATUS=OR","EQY_CONSOLIDATED=Y","FA_ADJUSTED=GAAP","Sort=A","Dates=H","DateFormat=P","Fill=—","Direction=H","UseDPDF=Y")</f>
        <v>#NAME?</v>
      </c>
      <c r="CY519" s="3" t="e">
        <f ca="1">_xll.BDH($C$503,"INVENT_TURN","FQ1 2017","FQ1 2017","Currency=INR","Period=FQ","BEST_FPERIOD_OVERRIDE=FQ","FILING_STATUS=OR","EQY_CONSOLIDATED=Y","FA_ADJUSTED=GAAP","Sort=A","Dates=H","DateFormat=P","Fill=—","Direction=H","UseDPDF=Y")</f>
        <v>#NAME?</v>
      </c>
      <c r="CZ519" s="1" t="e">
        <f ca="1">_xll.BDH($C$503,"INVENT_DAYS","FQ1 2017","FQ1 2017","Currency=INR","Period=FQ","BEST_FPERIOD_OVERRIDE=FQ","FILING_STATUS=OR","EQY_CONSOLIDATED=Y","FA_ADJUSTED=GAAP","Sort=A","Dates=H","DateFormat=P","Fill=—","Direction=H","UseDPDF=Y")</f>
        <v>#NAME?</v>
      </c>
      <c r="DA519" s="3" t="e">
        <f ca="1">_xll.BDH($C$503,"ACCOUNTS_PAYABLE_TURNOVER","FQ1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19" s="1" t="e">
        <f ca="1">_xll.BDH($C$503,"ACCOUNTS_PAYABLE_TURNOVER_DAYS","FQ1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19" s="3" t="e">
        <f ca="1">_xll.BDH($C$503,"CASH_CONVERSION_CYCLE","FQ1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19" s="3" t="e">
        <f ca="1">_xll.BDH($C$503,"INV_TO_CASH_DAYS","FQ1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519" s="4" t="e">
        <f ca="1">_xll.BDH($C$503,"BS_INVENTORIES","FQ1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519" s="2" t="e">
        <f ca="1">_xll.BDH($C$503,"INVTRY_RAW_MATERIALS","FQ1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19" s="2" t="e">
        <f ca="1">_xll.BDH($C$503,"INVTRY_IN_PROGRESS","FQ1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19" s="2" t="e">
        <f ca="1">_xll.BDH($C$503,"INVTRY_FINISHED_GOODS","FQ1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19" s="2" t="e">
        <f ca="1">_xll.BDH($C$503,"BS_OTHER_INV","FQ1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20" spans="1:113" x14ac:dyDescent="0.3">
      <c r="A520" s="6"/>
      <c r="B520" s="6"/>
      <c r="C520" s="6"/>
      <c r="D520" s="6"/>
      <c r="E520" t="s">
        <v>5</v>
      </c>
      <c r="F520" t="e">
        <f ca="1">_xll.BDH($C$503,"RETURN_COM_EQY","FQ2 2017","FQ2 2017","Currency=INR","Period=FQ","BEST_FPERIOD_OVERRIDE=FQ","FILING_STATUS=OR","EQY_CONSOLIDATED=Y","FA_ADJUSTED=GAAP","Sort=A","Dates=H","DateFormat=P","Fill=—","Direction=H","UseDPDF=Y")</f>
        <v>#NAME?</v>
      </c>
      <c r="G520" t="e">
        <f ca="1">_xll.BDH($C$503,"RETURN_ON_ASSET","FQ2 2017","FQ2 2017","Currency=INR","Period=FQ","BEST_FPERIOD_OVERRIDE=FQ","FILING_STATUS=OR","EQY_CONSOLIDATED=Y","FA_ADJUSTED=GAAP","Sort=A","Dates=H","DateFormat=P","Fill=—","Direction=H","UseDPDF=Y")</f>
        <v>#NAME?</v>
      </c>
      <c r="H520" t="e">
        <f ca="1">_xll.BDH($C$503,"RETURN_ON_CAP","FQ2 2017","FQ2 2017","Currency=INR","Period=FQ","BEST_FPERIOD_OVERRIDE=FQ","FILING_STATUS=OR","EQY_CONSOLIDATED=Y","FA_ADJUSTED=GAAP","Sort=A","Dates=H","DateFormat=P","Fill=—","Direction=H","UseDPDF=Y")</f>
        <v>#NAME?</v>
      </c>
      <c r="I520" t="e">
        <f ca="1">_xll.BDH($C$503,"RETURN_ON_INV_CAPITAL","FQ2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20" t="e">
        <f ca="1">_xll.BDH($C$503,"EBITDA_TO_REVENUE","FQ2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520" t="e">
        <f ca="1">_xll.BDH($C$503,"OPER_MARGIN","FQ2 2017","FQ2 2017","Currency=INR","Period=FQ","BEST_FPERIOD_OVERRIDE=FQ","FILING_STATUS=OR","EQY_CONSOLIDATED=Y","FA_ADJUSTED=GAAP","Sort=A","Dates=H","DateFormat=P","Fill=—","Direction=H","UseDPDF=Y")</f>
        <v>#NAME?</v>
      </c>
      <c r="L520" t="e">
        <f ca="1">_xll.BDH($C$503,"INCREMENTAL_OPERATING_MARGIN","FQ2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20" t="e">
        <f ca="1">_xll.BDH($C$503,"PRETAX_INC_TO_NET_SALES","FQ2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20" t="e">
        <f ca="1">_xll.BDH($C$503,"INC_BEF_XO_ITEMS_TO_NET_SALES","FQ2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20" t="e">
        <f ca="1">_xll.BDH($C$503,"PROF_MARGIN","FQ2 2017","FQ2 2017","Currency=INR","Period=FQ","BEST_FPERIOD_OVERRIDE=FQ","FILING_STATUS=OR","EQY_CONSOLIDATED=Y","FA_ADJUSTED=GAAP","Sort=A","Dates=H","DateFormat=P","Fill=—","Direction=H","UseDPDF=Y")</f>
        <v>#NAME?</v>
      </c>
      <c r="P520" t="e">
        <f ca="1">_xll.BDH($C$503,"NET_INCOME_TO_COMMON_MARGIN","FQ2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20" t="e">
        <f ca="1">_xll.BDH($C$503,"EFF_TAX_RATE","FQ2 2017","FQ2 2017","Currency=INR","Period=FQ","BEST_FPERIOD_OVERRIDE=FQ","FILING_STATUS=OR","EQY_CONSOLIDATED=Y","FA_ADJUSTED=GAAP","Sort=A","Dates=H","DateFormat=P","Fill=—","Direction=H","UseDPDF=Y")</f>
        <v>#NAME?</v>
      </c>
      <c r="R520" t="e">
        <f ca="1">_xll.BDH($C$503,"DVD_PAYOUT_RATIO","FQ2 2017","FQ2 2017","Currency=INR","Period=FQ","BEST_FPERIOD_OVERRIDE=FQ","FILING_STATUS=OR","EQY_CONSOLIDATED=Y","FA_ADJUSTED=GAAP","Sort=A","Dates=H","DateFormat=P","Fill=—","Direction=H","UseDPDF=Y")</f>
        <v>#NAME?</v>
      </c>
      <c r="S520" t="e">
        <f ca="1">_xll.BDH($C$503,"SUSTAIN_GROWTH_RT","FQ2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520" s="1" t="e">
        <f ca="1">_xll.BDH($C$503,"SALES_GROWTH","FQ2 2017","FQ2 2017","Currency=INR","Period=FQ","BEST_FPERIOD_OVERRIDE=FQ","FILING_STATUS=OR","EQY_CONSOLIDATED=Y","FA_ADJUSTED=GAAP","Sort=A","Dates=H","DateFormat=P","Fill=—","Direction=H","UseDPDF=Y")</f>
        <v>#NAME?</v>
      </c>
      <c r="U520" s="1" t="e">
        <f ca="1">_xll.BDH($C$503,"EBITDA_GROWTH","FQ2 2017","FQ2 2017","Currency=INR","Period=FQ","BEST_FPERIOD_OVERRIDE=FQ","FILING_STATUS=OR","EQY_CONSOLIDATED=Y","FA_ADJUSTED=GAAP","Sort=A","Dates=H","DateFormat=P","Fill=—","Direction=H","UseDPDF=Y")</f>
        <v>#NAME?</v>
      </c>
      <c r="V520" s="1" t="e">
        <f ca="1">_xll.BDH($C$503,"OPER_INC_GROWTH","FQ2 2017","FQ2 2017","Currency=INR","Period=FQ","BEST_FPERIOD_OVERRIDE=FQ","FILING_STATUS=OR","EQY_CONSOLIDATED=Y","FA_ADJUSTED=GAAP","Sort=A","Dates=H","DateFormat=P","Fill=—","Direction=H","UseDPDF=Y")</f>
        <v>#NAME?</v>
      </c>
      <c r="W520" s="1" t="e">
        <f ca="1">_xll.BDH($C$503,"EARN_FOR_COM_GROWTH","FQ2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20" s="1" t="e">
        <f ca="1">_xll.BDH($C$503,"DILUTED_EPS_AFT_XO_ITEMS_GROWTH","FQ2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20" s="1" t="e">
        <f ca="1">_xll.BDH($C$503,"DIVIDEND_PER_SHARE_1_YEAR_GROWTH","FQ2 2017","FQ2 2017","Currency=INR","Period=FQ","BEST_FPERIOD_OVERRIDE=FQ","FILING_STATUS=OR","EQY_CONSOLIDATED=Y","Sort=A","Dates=H","DateFormat=P","Fill=—","Direction=H","UseDPDF=Y")</f>
        <v>#NAME?</v>
      </c>
      <c r="Z520" s="1" t="e">
        <f ca="1">_xll.BDH($C$503,"ACCOUNTS_RECEIVABLE_GROWTH","FQ2 2017","FQ2 2017","Currency=INR","Period=FQ","BEST_FPERIOD_OVERRIDE=FQ","FILING_STATUS=OR","EQY_CONSOLIDATED=Y","Sort=A","Dates=H","DateFormat=P","Fill=—","Direction=H","UseDPDF=Y")</f>
        <v>#NAME?</v>
      </c>
      <c r="AA520" s="1" t="e">
        <f ca="1">_xll.BDH($C$503,"INVENTORY_GROWTH","FQ2 2017","FQ2 2017","Currency=INR","Period=FQ","BEST_FPERIOD_OVERRIDE=FQ","FILING_STATUS=OR","EQY_CONSOLIDATED=Y","Sort=A","Dates=H","DateFormat=P","Fill=—","Direction=H","UseDPDF=Y")</f>
        <v>#NAME?</v>
      </c>
      <c r="AB520" s="1" t="e">
        <f ca="1">_xll.BDH($C$503,"NET_FIXED_ASSETS_1_YEAR_GROWTH","FQ2 2017","FQ2 2017","Currency=INR","Period=FQ","BEST_FPERIOD_OVERRIDE=FQ","FILING_STATUS=OR","EQY_CONSOLIDATED=Y","Sort=A","Dates=H","DateFormat=P","Fill=—","Direction=H","UseDPDF=Y")</f>
        <v>#NAME?</v>
      </c>
      <c r="AC520" s="1" t="e">
        <f ca="1">_xll.BDH($C$503,"ASSET_GROWTH","FQ2 2017","FQ2 2017","Currency=INR","Period=FQ","BEST_FPERIOD_OVERRIDE=FQ","FILING_STATUS=OR","EQY_CONSOLIDATED=Y","Sort=A","Dates=H","DateFormat=P","Fill=—","Direction=H","UseDPDF=Y")</f>
        <v>#NAME?</v>
      </c>
      <c r="AD520" s="1" t="e">
        <f ca="1">_xll.BDH($C$503,"MODIFIED_WORK_CAP_GROWTH","FQ2 2017","FQ2 2017","Currency=INR","Period=FQ","BEST_FPERIOD_OVERRIDE=FQ","FILING_STATUS=OR","EQY_CONSOLIDATED=Y","Sort=A","Dates=H","DateFormat=P","Fill=—","Direction=H","UseDPDF=Y")</f>
        <v>#NAME?</v>
      </c>
      <c r="AE520" s="1" t="e">
        <f ca="1">_xll.BDH($C$503,"WORK_CAP_GROWTH","FQ2 2017","FQ2 2017","Currency=INR","Period=FQ","BEST_FPERIOD_OVERRIDE=FQ","FILING_STATUS=OR","EQY_CONSOLIDATED=Y","Sort=A","Dates=H","DateFormat=P","Fill=—","Direction=H","UseDPDF=Y")</f>
        <v>#NAME?</v>
      </c>
      <c r="AF520" s="1" t="e">
        <f ca="1">_xll.BDH($C$503,"ACCOUNTS_PAYABLE_GROWTH_1YR","FQ2 2017","FQ2 2017","Currency=INR","Period=FQ","BEST_FPERIOD_OVERRIDE=FQ","FILING_STATUS=OR","EQY_CONSOLIDATED=Y","Sort=A","Dates=H","DateFormat=P","Fill=—","Direction=H","UseDPDF=Y")</f>
        <v>#NAME?</v>
      </c>
      <c r="AG520" s="1" t="e">
        <f ca="1">_xll.BDH($C$503,"SHORT_TERM_DEBT_1_YEAR_GROWTH","FQ2 2017","FQ2 2017","Currency=INR","Period=FQ","BEST_FPERIOD_OVERRIDE=FQ","FILING_STATUS=OR","EQY_CONSOLIDATED=Y","Sort=A","Dates=H","DateFormat=P","Fill=—","Direction=H","UseDPDF=Y")</f>
        <v>#NAME?</v>
      </c>
      <c r="AH520" s="1" t="e">
        <f ca="1">_xll.BDH($C$503,"TOTAL_DEBT_1_YEAR_GROWTH","FQ2 2017","FQ2 2017","Currency=INR","Period=FQ","BEST_FPERIOD_OVERRIDE=FQ","FILING_STATUS=OR","EQY_CONSOLIDATED=Y","Sort=A","Dates=H","DateFormat=P","Fill=—","Direction=H","UseDPDF=Y")</f>
        <v>#NAME?</v>
      </c>
      <c r="AI520" s="1" t="e">
        <f ca="1">_xll.BDH($C$503,"TOTAL_EQUITY_1_YEAR_GROWTH","FQ2 2017","FQ2 2017","Currency=INR","Period=FQ","BEST_FPERIOD_OVERRIDE=FQ","FILING_STATUS=OR","EQY_CONSOLIDATED=Y","Sort=A","Dates=H","DateFormat=P","Fill=—","Direction=H","UseDPDF=Y")</f>
        <v>#NAME?</v>
      </c>
      <c r="AJ520" s="1" t="e">
        <f ca="1">_xll.BDH($C$503,"GROWTH_IN_CAP","FQ2 2017","FQ2 2017","Currency=INR","Period=FQ","BEST_FPERIOD_OVERRIDE=FQ","FILING_STATUS=OR","EQY_CONSOLIDATED=Y","Sort=A","Dates=H","DateFormat=P","Fill=—","Direction=H","UseDPDF=Y")</f>
        <v>#NAME?</v>
      </c>
      <c r="AK520" s="1" t="e">
        <f ca="1">_xll.BDH($C$503,"BVPS_GROWTH","FQ2 2017","FQ2 2017","Currency=INR","Period=FQ","BEST_FPERIOD_OVERRIDE=FQ","FILING_STATUS=OR","EQY_CONSOLIDATED=Y","Sort=A","Dates=H","DateFormat=P","Fill=—","Direction=H","UseDPDF=Y")</f>
        <v>#NAME?</v>
      </c>
      <c r="AL520" s="1" t="e">
        <f ca="1">_xll.BDH($C$503,"CASH_FLOW_GROWTH","FQ2 2017","FQ2 2017","Currency=INR","Period=FQ","BEST_FPERIOD_OVERRIDE=FQ","FILING_STATUS=OR","EQY_CONSOLIDATED=Y","Sort=A","Dates=H","DateFormat=P","Fill=—","Direction=H","UseDPDF=Y")</f>
        <v>#NAME?</v>
      </c>
      <c r="AM520" s="1" t="e">
        <f ca="1">_xll.BDH($C$503,"GEO_GROW_NET_SALES","FQ2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20" s="1" t="e">
        <f ca="1">_xll.BDH($C$503,"GEO_GROW_EBITDA","FQ2 2017","FQ2 2017","Currency=INR","Period=FQ","BEST_FPERIOD_OVERRIDE=FQ","FILING_STATUS=OR","EQY_CONSOLIDATED=Y","FA_ADJUSTED=GAAP","Sort=A","Dates=H","DateFormat=P","Fill=—","Direction=H","UseDPDF=Y")</f>
        <v>#NAME?</v>
      </c>
      <c r="AO520" s="1" t="e">
        <f ca="1">_xll.BDH($C$503,"GEO_GROW_OPER_INC","FQ2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20" s="1" t="e">
        <f ca="1">_xll.BDH($C$503,"NET_INCOME_TO_COMMON_5_YR_GROWTH","FQ2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20" s="1" t="e">
        <f ca="1">_xll.BDH($C$503,"5Y_GEO_GROWTH_DILUTED_EPS","FQ2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20" s="1" t="e">
        <f ca="1">_xll.BDH($C$503,"GEO_GROW_DVD_PER_SH","FQ2 2017","FQ2 2017","Currency=INR","Period=FQ","BEST_FPERIOD_OVERRIDE=FQ","FILING_STATUS=OR","EQY_CONSOLIDATED=Y","Sort=A","Dates=H","DateFormat=P","Fill=—","Direction=H","UseDPDF=Y")</f>
        <v>#NAME?</v>
      </c>
      <c r="AS520" s="1" t="e">
        <f ca="1">_xll.BDH($C$503,"ACCOUNTS_RECEIVABLE_5_YR_GROWTH","FQ2 2017","FQ2 2017","Currency=INR","Period=FQ","BEST_FPERIOD_OVERRIDE=FQ","FILING_STATUS=OR","EQY_CONSOLIDATED=Y","Sort=A","Dates=H","DateFormat=P","Fill=—","Direction=H","UseDPDF=Y")</f>
        <v>#NAME?</v>
      </c>
      <c r="AT520" s="1" t="e">
        <f ca="1">_xll.BDH($C$503,"INVENTORY_5_YEAR_GROWTH","FQ2 2017","FQ2 2017","Currency=INR","Period=FQ","BEST_FPERIOD_OVERRIDE=FQ","FILING_STATUS=OR","EQY_CONSOLIDATED=Y","Sort=A","Dates=H","DateFormat=P","Fill=—","Direction=H","UseDPDF=Y")</f>
        <v>#NAME?</v>
      </c>
      <c r="AU520" s="1" t="e">
        <f ca="1">_xll.BDH($C$503,"NET_FIXED_ASSETS_5_YEAR_GROWTH","FQ2 2017","FQ2 2017","Currency=INR","Period=FQ","BEST_FPERIOD_OVERRIDE=FQ","FILING_STATUS=OR","EQY_CONSOLIDATED=Y","Sort=A","Dates=H","DateFormat=P","Fill=—","Direction=H","UseDPDF=Y")</f>
        <v>#NAME?</v>
      </c>
      <c r="AV520" s="1" t="e">
        <f ca="1">_xll.BDH($C$503,"GEO_GROW_TOT_ASSET","FQ2 2017","FQ2 2017","Currency=INR","Period=FQ","BEST_FPERIOD_OVERRIDE=FQ","FILING_STATUS=OR","EQY_CONSOLIDATED=Y","Sort=A","Dates=H","DateFormat=P","Fill=—","Direction=H","UseDPDF=Y")</f>
        <v>#NAME?</v>
      </c>
      <c r="AW520" s="1" t="e">
        <f ca="1">_xll.BDH($C$503,"MODIFIED_WORKING_CPTL_5YR_GRWTH","FQ2 2017","FQ2 2017","Currency=INR","Period=FQ","BEST_FPERIOD_OVERRIDE=FQ","FILING_STATUS=OR","EQY_CONSOLIDATED=Y","Sort=A","Dates=H","DateFormat=P","Fill=—","Direction=H","UseDPDF=Y")</f>
        <v>#NAME?</v>
      </c>
      <c r="AX520" s="1" t="e">
        <f ca="1">_xll.BDH($C$503,"WORKING_CAPITAL_5_YEAR_GROWTH","FQ2 2017","FQ2 2017","Currency=INR","Period=FQ","BEST_FPERIOD_OVERRIDE=FQ","FILING_STATUS=OR","EQY_CONSOLIDATED=Y","Sort=A","Dates=H","DateFormat=P","Fill=—","Direction=H","UseDPDF=Y")</f>
        <v>#NAME?</v>
      </c>
      <c r="AY520" s="1" t="e">
        <f ca="1">_xll.BDH($C$503,"ACCOUNTS_PAYABLE_5_YEAR_GROWTH","FQ2 2017","FQ2 2017","Currency=INR","Period=FQ","BEST_FPERIOD_OVERRIDE=FQ","FILING_STATUS=OR","EQY_CONSOLIDATED=Y","Sort=A","Dates=H","DateFormat=P","Fill=—","Direction=H","UseDPDF=Y")</f>
        <v>#NAME?</v>
      </c>
      <c r="AZ520" s="1" t="e">
        <f ca="1">_xll.BDH($C$503,"SHORT_TERM_DEBT_5_YEAR_GROWTH","FQ2 2017","FQ2 2017","Currency=INR","Period=FQ","BEST_FPERIOD_OVERRIDE=FQ","FILING_STATUS=OR","EQY_CONSOLIDATED=Y","Sort=A","Dates=H","DateFormat=P","Fill=—","Direction=H","UseDPDF=Y")</f>
        <v>#NAME?</v>
      </c>
      <c r="BA520" s="1" t="e">
        <f ca="1">_xll.BDH($C$503,"TOTAL_DEBT_5_YEAR_GROWTH","FQ2 2017","FQ2 2017","Currency=INR","Period=FQ","BEST_FPERIOD_OVERRIDE=FQ","FILING_STATUS=OR","EQY_CONSOLIDATED=Y","Sort=A","Dates=H","DateFormat=P","Fill=—","Direction=H","UseDPDF=Y")</f>
        <v>#NAME?</v>
      </c>
      <c r="BB520" s="1" t="e">
        <f ca="1">_xll.BDH($C$503,"GEO_GROW_TOT_SHRHLDR_EQY","FQ2 2017","FQ2 2017","Currency=INR","Period=FQ","BEST_FPERIOD_OVERRIDE=FQ","FILING_STATUS=OR","EQY_CONSOLIDATED=Y","Sort=A","Dates=H","DateFormat=P","Fill=—","Direction=H","UseDPDF=Y")</f>
        <v>#NAME?</v>
      </c>
      <c r="BC520" s="1" t="e">
        <f ca="1">_xll.BDH($C$503,"TOTAL_CAPITAL_5_YEAR_GROWTH","FQ2 2017","FQ2 2017","Currency=INR","Period=FQ","BEST_FPERIOD_OVERRIDE=FQ","FILING_STATUS=OR","EQY_CONSOLIDATED=Y","Sort=A","Dates=H","DateFormat=P","Fill=—","Direction=H","UseDPDF=Y")</f>
        <v>#NAME?</v>
      </c>
      <c r="BD520" s="1" t="e">
        <f ca="1">_xll.BDH($C$503,"GEO_GROW_BOOK_VAL","FQ2 2017","FQ2 2017","Currency=INR","Period=FQ","BEST_FPERIOD_OVERRIDE=FQ","FILING_STATUS=OR","EQY_CONSOLIDATED=Y","Sort=A","Dates=H","DateFormat=P","Fill=—","Direction=H","UseDPDF=Y")</f>
        <v>#NAME?</v>
      </c>
      <c r="BE520" s="1" t="e">
        <f ca="1">_xll.BDH($C$503,"GEO_GROW_CASH_OPER_ACT","FQ2 2017","FQ2 2017","Currency=INR","Period=FQ","BEST_FPERIOD_OVERRIDE=FQ","FILING_STATUS=OR","EQY_CONSOLIDATED=Y","Sort=A","Dates=H","DateFormat=P","Fill=—","Direction=H","UseDPDF=Y")</f>
        <v>#NAME?</v>
      </c>
      <c r="BF520" s="1" t="e">
        <f ca="1">_xll.BDH($C$503,"REVENUE_SEQUENTIAL_GROWTH","FQ2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20" s="1" t="e">
        <f ca="1">_xll.BDH($C$503,"EBITDA_SEQUENTIAL_GROWTH","FQ2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20" s="1" t="e">
        <f ca="1">_xll.BDH($C$503,"OPERATING_INCOME_SEQ_GROWTH","FQ2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20" s="1" t="e">
        <f ca="1">_xll.BDH($C$503,"NET_INCOME_TO_COMMON_SEQ_GROWTH","FQ2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20" s="1" t="e">
        <f ca="1">_xll.BDH($C$503,"EPS_DILUTED_SEQUENTIAL_GROWTH","FQ2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20" s="1" t="e">
        <f ca="1">_xll.BDH($C$503,"DPS_SEQUENTIAL_GROWTH","FQ2 2017","FQ2 2017","Currency=INR","Period=FQ","BEST_FPERIOD_OVERRIDE=FQ","FILING_STATUS=OR","EQY_CONSOLIDATED=Y","Sort=A","Dates=H","DateFormat=P","Fill=—","Direction=H","UseDPDF=Y")</f>
        <v>#NAME?</v>
      </c>
      <c r="BL520" s="1" t="e">
        <f ca="1">_xll.BDH($C$503,"ACCOUNTS_RECEIVABLE_SEQ_GROWTH","FQ2 2017","FQ2 2017","Currency=INR","Period=FQ","BEST_FPERIOD_OVERRIDE=FQ","FILING_STATUS=OR","EQY_CONSOLIDATED=Y","Sort=A","Dates=H","DateFormat=P","Fill=—","Direction=H","UseDPDF=Y")</f>
        <v>#NAME?</v>
      </c>
      <c r="BM520" s="1" t="e">
        <f ca="1">_xll.BDH($C$503,"INVENTORY_SEQUENTIAL_GROWTH","FQ2 2017","FQ2 2017","Currency=INR","Period=FQ","BEST_FPERIOD_OVERRIDE=FQ","FILING_STATUS=OR","EQY_CONSOLIDATED=Y","Sort=A","Dates=H","DateFormat=P","Fill=—","Direction=H","UseDPDF=Y")</f>
        <v>#NAME?</v>
      </c>
      <c r="BN520" s="1" t="e">
        <f ca="1">_xll.BDH($C$503,"FIXED_ASSETS_SEQUENTIAL_GROWTH","FQ2 2017","FQ2 2017","Currency=INR","Period=FQ","BEST_FPERIOD_OVERRIDE=FQ","FILING_STATUS=OR","EQY_CONSOLIDATED=Y","Sort=A","Dates=H","DateFormat=P","Fill=—","Direction=H","UseDPDF=Y")</f>
        <v>#NAME?</v>
      </c>
      <c r="BO520" s="1" t="e">
        <f ca="1">_xll.BDH($C$503,"TOTAL_ASSETS_SEQUENTIAL_GROWTH","FQ2 2017","FQ2 2017","Currency=INR","Period=FQ","BEST_FPERIOD_OVERRIDE=FQ","FILING_STATUS=OR","EQY_CONSOLIDATED=Y","Sort=A","Dates=H","DateFormat=P","Fill=—","Direction=H","UseDPDF=Y")</f>
        <v>#NAME?</v>
      </c>
      <c r="BP520" s="1" t="e">
        <f ca="1">_xll.BDH($C$503,"MODIFIED_WORKING_CPTL_SEQ_GRWTH","FQ2 2017","FQ2 2017","Currency=INR","Period=FQ","BEST_FPERIOD_OVERRIDE=FQ","FILING_STATUS=OR","EQY_CONSOLIDATED=Y","Sort=A","Dates=H","DateFormat=P","Fill=—","Direction=H","UseDPDF=Y")</f>
        <v>#NAME?</v>
      </c>
      <c r="BQ520" s="1" t="e">
        <f ca="1">_xll.BDH($C$503,"WORKING_CAPITAL_SEQ_GROWTH","FQ2 2017","FQ2 2017","Currency=INR","Period=FQ","BEST_FPERIOD_OVERRIDE=FQ","FILING_STATUS=OR","EQY_CONSOLIDATED=Y","Sort=A","Dates=H","DateFormat=P","Fill=—","Direction=H","UseDPDF=Y")</f>
        <v>#NAME?</v>
      </c>
      <c r="BR520" s="1" t="e">
        <f ca="1">_xll.BDH($C$503,"ACCOUNTS_PAYABLE_SEQ_GROWTH","FQ2 2017","FQ2 2017","Currency=INR","Period=FQ","BEST_FPERIOD_OVERRIDE=FQ","FILING_STATUS=OR","EQY_CONSOLIDATED=Y","Sort=A","Dates=H","DateFormat=P","Fill=—","Direction=H","UseDPDF=Y")</f>
        <v>#NAME?</v>
      </c>
      <c r="BS520" s="1" t="e">
        <f ca="1">_xll.BDH($C$503,"ST_DEBT_SEQUENTIAL_GROWTH","FQ2 2017","FQ2 2017","Currency=INR","Period=FQ","BEST_FPERIOD_OVERRIDE=FQ","FILING_STATUS=OR","EQY_CONSOLIDATED=Y","Sort=A","Dates=H","DateFormat=P","Fill=—","Direction=H","UseDPDF=Y")</f>
        <v>#NAME?</v>
      </c>
      <c r="BT520" s="1" t="e">
        <f ca="1">_xll.BDH($C$503,"TOTAL_DEBT_SEQUENTIAL_GROWTH","FQ2 2017","FQ2 2017","Currency=INR","Period=FQ","BEST_FPERIOD_OVERRIDE=FQ","FILING_STATUS=OR","EQY_CONSOLIDATED=Y","Sort=A","Dates=H","DateFormat=P","Fill=—","Direction=H","UseDPDF=Y")</f>
        <v>#NAME?</v>
      </c>
      <c r="BU520" s="1" t="e">
        <f ca="1">_xll.BDH($C$503,"TOTAL_EQUITY_SEQUENTIAL_GROWTH","FQ2 2017","FQ2 2017","Currency=INR","Period=FQ","BEST_FPERIOD_OVERRIDE=FQ","FILING_STATUS=OR","EQY_CONSOLIDATED=Y","Sort=A","Dates=H","DateFormat=P","Fill=—","Direction=H","UseDPDF=Y")</f>
        <v>#NAME?</v>
      </c>
      <c r="BV520" s="1" t="e">
        <f ca="1">_xll.BDH($C$503,"TOTAL_CAPITAL_SEQUENTIAL_GROWTH","FQ2 2017","FQ2 2017","Currency=INR","Period=FQ","BEST_FPERIOD_OVERRIDE=FQ","FILING_STATUS=OR","EQY_CONSOLIDATED=Y","Sort=A","Dates=H","DateFormat=P","Fill=—","Direction=H","UseDPDF=Y")</f>
        <v>#NAME?</v>
      </c>
      <c r="BW520" s="1" t="e">
        <f ca="1">_xll.BDH($C$503,"BPS_SEQUENTIAL_GROWTH","FQ2 2017","FQ2 2017","Currency=INR","Period=FQ","BEST_FPERIOD_OVERRIDE=FQ","FILING_STATUS=OR","EQY_CONSOLIDATED=Y","Sort=A","Dates=H","DateFormat=P","Fill=—","Direction=H","UseDPDF=Y")</f>
        <v>#NAME?</v>
      </c>
      <c r="BX520" s="1" t="e">
        <f ca="1">_xll.BDH($C$503,"CFO_SEQUENTIAL_GROWTH","FQ2 2017","FQ2 2017","Currency=INR","Period=FQ","BEST_FPERIOD_OVERRIDE=FQ","FILING_STATUS=OR","EQY_CONSOLIDATED=Y","Sort=A","Dates=H","DateFormat=P","Fill=—","Direction=H","UseDPDF=Y")</f>
        <v>#NAME?</v>
      </c>
      <c r="BY520" s="2" t="e">
        <f ca="1">_xll.BDH($C$503,"SHORT_AND_LONG_TERM_DEBT","FQ2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20" s="2" t="e">
        <f ca="1">_xll.BDH($C$503,"BS_ST_BORROW","FQ2 2017","FQ2 2017","Currency=INR","Period=FQ","BEST_FPERIOD_OVERRIDE=FQ","FILING_STATUS=OR","EQY_CONSOLIDATED=Y","SCALING_FORMAT=MLN","Sort=A","Dates=H","DateFormat=P","Fill=—","Direction=H","UseDPDF=Y")</f>
        <v>#NAME?</v>
      </c>
      <c r="CA520" s="2" t="e">
        <f ca="1">_xll.BDH($C$503,"BS_LT_BORROW","FQ2 2017","FQ2 2017","Currency=INR","Period=FQ","BEST_FPERIOD_OVERRIDE=FQ","FILING_STATUS=OR","EQY_CONSOLIDATED=Y","SCALING_FORMAT=MLN","Sort=A","Dates=H","DateFormat=P","Fill=—","Direction=H","UseDPDF=Y")</f>
        <v>#NAME?</v>
      </c>
      <c r="CB520" s="1" t="e">
        <f ca="1">_xll.BDH($C$503,"TOT_DEBT_TO_EBITDA","FQ2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20" s="1" t="e">
        <f ca="1">_xll.BDH($C$503,"NET_DEBT_TO_EBITDA","FQ2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20" s="1" t="e">
        <f ca="1">_xll.BDH($C$503,"TOTAL_DEBT_TO_EBIT","FQ2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20" s="1" t="e">
        <f ca="1">_xll.BDH($C$503,"NET_DEBT_TO_EBIT","FQ2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520" s="1" t="e">
        <f ca="1">_xll.BDH($C$503,"EBITDA_TO_INTEREST_EXPN","FQ2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20" s="1" t="e">
        <f ca="1">_xll.BDH($C$503,"COM_EQY_TO_TOT_ASSET","FQ2 2017","FQ2 2017","Currency=INR","Period=FQ","BEST_FPERIOD_OVERRIDE=FQ","FILING_STATUS=OR","EQY_CONSOLIDATED=Y","Sort=A","Dates=H","DateFormat=P","Fill=—","Direction=H","UseDPDF=Y")</f>
        <v>#NAME?</v>
      </c>
      <c r="CH520" s="1" t="e">
        <f ca="1">_xll.BDH($C$503,"LT_DEBT_TO_TOT_EQY","FQ2 2017","FQ2 2017","Currency=INR","Period=FQ","BEST_FPERIOD_OVERRIDE=FQ","FILING_STATUS=OR","EQY_CONSOLIDATED=Y","Sort=A","Dates=H","DateFormat=P","Fill=—","Direction=H","UseDPDF=Y")</f>
        <v>#NAME?</v>
      </c>
      <c r="CI520" s="1" t="e">
        <f ca="1">_xll.BDH($C$503,"LT_DEBT_TO_TOT_CAP","FQ2 2017","FQ2 2017","Currency=INR","Period=FQ","BEST_FPERIOD_OVERRIDE=FQ","FILING_STATUS=OR","EQY_CONSOLIDATED=Y","Sort=A","Dates=H","DateFormat=P","Fill=—","Direction=H","UseDPDF=Y")</f>
        <v>#NAME?</v>
      </c>
      <c r="CJ520" s="1" t="e">
        <f ca="1">_xll.BDH($C$503,"LT_DEBT_TO_TOT_ASSET","FQ2 2017","FQ2 2017","Currency=INR","Period=FQ","BEST_FPERIOD_OVERRIDE=FQ","FILING_STATUS=OR","EQY_CONSOLIDATED=Y","Sort=A","Dates=H","DateFormat=P","Fill=—","Direction=H","UseDPDF=Y")</f>
        <v>#NAME?</v>
      </c>
      <c r="CK520" s="1" t="e">
        <f ca="1">_xll.BDH($C$503,"TOT_DEBT_TO_TOT_EQY","FQ2 2017","FQ2 2017","Currency=INR","Period=FQ","BEST_FPERIOD_OVERRIDE=FQ","FILING_STATUS=OR","EQY_CONSOLIDATED=Y","Sort=A","Dates=H","DateFormat=P","Fill=—","Direction=H","UseDPDF=Y")</f>
        <v>#NAME?</v>
      </c>
      <c r="CL520" s="1" t="e">
        <f ca="1">_xll.BDH($C$503,"TOT_DEBT_TO_TOT_CAP","FQ2 2017","FQ2 2017","Currency=INR","Period=FQ","BEST_FPERIOD_OVERRIDE=FQ","FILING_STATUS=OR","EQY_CONSOLIDATED=Y","Sort=A","Dates=H","DateFormat=P","Fill=—","Direction=H","UseDPDF=Y")</f>
        <v>#NAME?</v>
      </c>
      <c r="CM520" s="1" t="e">
        <f ca="1">_xll.BDH($C$503,"TOT_DEBT_TO_TOT_ASSET","FQ2 2017","FQ2 2017","Currency=INR","Period=FQ","BEST_FPERIOD_OVERRIDE=FQ","FILING_STATUS=OR","EQY_CONSOLIDATED=Y","Sort=A","Dates=H","DateFormat=P","Fill=—","Direction=H","UseDPDF=Y")</f>
        <v>#NAME?</v>
      </c>
      <c r="CN520" s="1" t="e">
        <f ca="1">_xll.BDH($C$503,"NET_DEBT_TO_SHRHLDR_EQTY","FQ2 2017","FQ2 2017","Currency=INR","Period=FQ","BEST_FPERIOD_OVERRIDE=FQ","FILING_STATUS=OR","EQY_CONSOLIDATED=Y","Sort=A","Dates=H","DateFormat=P","Fill=—","Direction=H","UseDPDF=Y")</f>
        <v>#NAME?</v>
      </c>
      <c r="CO520" s="1" t="e">
        <f ca="1">_xll.BDH($C$503,"NET_DEBT_%_CAPITAL","FQ2 2017","FQ2 2017","Currency=INR","Period=FQ","BEST_FPERIOD_OVERRIDE=FQ","FILING_STATUS=OR","EQY_CONSOLIDATED=Y","Sort=A","Dates=H","DateFormat=P","Fill=—","Direction=H","UseDPDF=Y")</f>
        <v>#NAME?</v>
      </c>
      <c r="CP520" s="2" t="e">
        <f ca="1">_xll.BDH($C$503,"EBITDA","FQ2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20" s="2" t="e">
        <f ca="1">_xll.BDH($C$503,"EBITDA_AFTER_CAPEX","FQ2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20" s="2" t="e">
        <f ca="1">_xll.BDH($C$503,"IS_OPER_INC","FQ2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20" s="1" t="e">
        <f ca="1">_xll.BDH($C$503,"CASH_RATIO","FQ2 2017","FQ2 2017","Currency=INR","Period=FQ","BEST_FPERIOD_OVERRIDE=FQ","FILING_STATUS=OR","EQY_CONSOLIDATED=Y","Sort=A","Dates=H","DateFormat=P","Fill=—","Direction=H","UseDPDF=Y")</f>
        <v>#NAME?</v>
      </c>
      <c r="CT520" s="1" t="e">
        <f ca="1">_xll.BDH($C$503,"CUR_RATIO","FQ2 2017","FQ2 2017","Currency=INR","Period=FQ","BEST_FPERIOD_OVERRIDE=FQ","FILING_STATUS=OR","EQY_CONSOLIDATED=Y","Sort=A","Dates=H","DateFormat=P","Fill=—","Direction=H","UseDPDF=Y")</f>
        <v>#NAME?</v>
      </c>
      <c r="CU520" s="1" t="e">
        <f ca="1">_xll.BDH($C$503,"QUICK_RATIO","FQ2 2017","FQ2 2017","Currency=INR","Period=FQ","BEST_FPERIOD_OVERRIDE=FQ","FILING_STATUS=OR","EQY_CONSOLIDATED=Y","Sort=A","Dates=H","DateFormat=P","Fill=—","Direction=H","UseDPDF=Y")</f>
        <v>#NAME?</v>
      </c>
      <c r="CV520" s="1" t="e">
        <f ca="1">_xll.BDH($C$503,"ALTMAN_Z_SCORE","FQ2 2017","FQ2 2017","Currency=INR","Period=FQ","BEST_FPERIOD_OVERRIDE=FQ","FILING_STATUS=OR","EQY_CONSOLIDATED=Y","Sort=A","Dates=H","DateFormat=P","Fill=—","Direction=H","UseDPDF=Y")</f>
        <v>#NAME?</v>
      </c>
      <c r="CW520" s="3" t="e">
        <f ca="1">_xll.BDH($C$503,"ACCT_RCV_TURN","FQ2 2017","FQ2 2017","Currency=INR","Period=FQ","BEST_FPERIOD_OVERRIDE=FQ","FILING_STATUS=OR","EQY_CONSOLIDATED=Y","FA_ADJUSTED=GAAP","Sort=A","Dates=H","DateFormat=P","Fill=—","Direction=H","UseDPDF=Y")</f>
        <v>#NAME?</v>
      </c>
      <c r="CX520" s="1" t="e">
        <f ca="1">_xll.BDH($C$503,"ACCT_RCV_DAYS","FQ2 2017","FQ2 2017","Currency=INR","Period=FQ","BEST_FPERIOD_OVERRIDE=FQ","FILING_STATUS=OR","EQY_CONSOLIDATED=Y","FA_ADJUSTED=GAAP","Sort=A","Dates=H","DateFormat=P","Fill=—","Direction=H","UseDPDF=Y")</f>
        <v>#NAME?</v>
      </c>
      <c r="CY520" s="3" t="e">
        <f ca="1">_xll.BDH($C$503,"INVENT_TURN","FQ2 2017","FQ2 2017","Currency=INR","Period=FQ","BEST_FPERIOD_OVERRIDE=FQ","FILING_STATUS=OR","EQY_CONSOLIDATED=Y","FA_ADJUSTED=GAAP","Sort=A","Dates=H","DateFormat=P","Fill=—","Direction=H","UseDPDF=Y")</f>
        <v>#NAME?</v>
      </c>
      <c r="CZ520" s="1" t="e">
        <f ca="1">_xll.BDH($C$503,"INVENT_DAYS","FQ2 2017","FQ2 2017","Currency=INR","Period=FQ","BEST_FPERIOD_OVERRIDE=FQ","FILING_STATUS=OR","EQY_CONSOLIDATED=Y","FA_ADJUSTED=GAAP","Sort=A","Dates=H","DateFormat=P","Fill=—","Direction=H","UseDPDF=Y")</f>
        <v>#NAME?</v>
      </c>
      <c r="DA520" s="3" t="e">
        <f ca="1">_xll.BDH($C$503,"ACCOUNTS_PAYABLE_TURNOVER","FQ2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20" s="1" t="e">
        <f ca="1">_xll.BDH($C$503,"ACCOUNTS_PAYABLE_TURNOVER_DAYS","FQ2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20" s="3" t="e">
        <f ca="1">_xll.BDH($C$503,"CASH_CONVERSION_CYCLE","FQ2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20" s="3" t="e">
        <f ca="1">_xll.BDH($C$503,"INV_TO_CASH_DAYS","FQ2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520" s="4" t="e">
        <f ca="1">_xll.BDH($C$503,"BS_INVENTORIES","FQ2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520" s="2" t="e">
        <f ca="1">_xll.BDH($C$503,"INVTRY_RAW_MATERIALS","FQ2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20" s="2" t="e">
        <f ca="1">_xll.BDH($C$503,"INVTRY_IN_PROGRESS","FQ2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20" s="2" t="e">
        <f ca="1">_xll.BDH($C$503,"INVTRY_FINISHED_GOODS","FQ2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20" s="2" t="e">
        <f ca="1">_xll.BDH($C$503,"BS_OTHER_INV","FQ2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21" spans="1:113" x14ac:dyDescent="0.3">
      <c r="A521" s="6"/>
      <c r="B521" s="6"/>
      <c r="C521" s="6"/>
      <c r="D521" s="6"/>
      <c r="E521" t="s">
        <v>6</v>
      </c>
      <c r="F521" t="e">
        <f ca="1">_xll.BDH($C$503,"RETURN_COM_EQY","FQ3 2017","FQ3 2017","Currency=INR","Period=FQ","BEST_FPERIOD_OVERRIDE=FQ","FILING_STATUS=OR","EQY_CONSOLIDATED=Y","FA_ADJUSTED=GAAP","Sort=A","Dates=H","DateFormat=P","Fill=—","Direction=H","UseDPDF=Y")</f>
        <v>#NAME?</v>
      </c>
      <c r="G521" t="e">
        <f ca="1">_xll.BDH($C$503,"RETURN_ON_ASSET","FQ3 2017","FQ3 2017","Currency=INR","Period=FQ","BEST_FPERIOD_OVERRIDE=FQ","FILING_STATUS=OR","EQY_CONSOLIDATED=Y","FA_ADJUSTED=GAAP","Sort=A","Dates=H","DateFormat=P","Fill=—","Direction=H","UseDPDF=Y")</f>
        <v>#NAME?</v>
      </c>
      <c r="H521" t="e">
        <f ca="1">_xll.BDH($C$503,"RETURN_ON_CAP","FQ3 2017","FQ3 2017","Currency=INR","Period=FQ","BEST_FPERIOD_OVERRIDE=FQ","FILING_STATUS=OR","EQY_CONSOLIDATED=Y","FA_ADJUSTED=GAAP","Sort=A","Dates=H","DateFormat=P","Fill=—","Direction=H","UseDPDF=Y")</f>
        <v>#NAME?</v>
      </c>
      <c r="I521" t="e">
        <f ca="1">_xll.BDH($C$503,"RETURN_ON_INV_CAPITAL","FQ3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21" t="e">
        <f ca="1">_xll.BDH($C$503,"EBITDA_TO_REVENUE","FQ3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521" t="e">
        <f ca="1">_xll.BDH($C$503,"OPER_MARGIN","FQ3 2017","FQ3 2017","Currency=INR","Period=FQ","BEST_FPERIOD_OVERRIDE=FQ","FILING_STATUS=OR","EQY_CONSOLIDATED=Y","FA_ADJUSTED=GAAP","Sort=A","Dates=H","DateFormat=P","Fill=—","Direction=H","UseDPDF=Y")</f>
        <v>#NAME?</v>
      </c>
      <c r="L521" t="e">
        <f ca="1">_xll.BDH($C$503,"INCREMENTAL_OPERATING_MARGIN","FQ3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21" t="e">
        <f ca="1">_xll.BDH($C$503,"PRETAX_INC_TO_NET_SALES","FQ3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21" t="e">
        <f ca="1">_xll.BDH($C$503,"INC_BEF_XO_ITEMS_TO_NET_SALES","FQ3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21" t="e">
        <f ca="1">_xll.BDH($C$503,"PROF_MARGIN","FQ3 2017","FQ3 2017","Currency=INR","Period=FQ","BEST_FPERIOD_OVERRIDE=FQ","FILING_STATUS=OR","EQY_CONSOLIDATED=Y","FA_ADJUSTED=GAAP","Sort=A","Dates=H","DateFormat=P","Fill=—","Direction=H","UseDPDF=Y")</f>
        <v>#NAME?</v>
      </c>
      <c r="P521" t="e">
        <f ca="1">_xll.BDH($C$503,"NET_INCOME_TO_COMMON_MARGIN","FQ3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21" t="e">
        <f ca="1">_xll.BDH($C$503,"EFF_TAX_RATE","FQ3 2017","FQ3 2017","Currency=INR","Period=FQ","BEST_FPERIOD_OVERRIDE=FQ","FILING_STATUS=OR","EQY_CONSOLIDATED=Y","FA_ADJUSTED=GAAP","Sort=A","Dates=H","DateFormat=P","Fill=—","Direction=H","UseDPDF=Y")</f>
        <v>#NAME?</v>
      </c>
      <c r="R521" t="e">
        <f ca="1">_xll.BDH($C$503,"DVD_PAYOUT_RATIO","FQ3 2017","FQ3 2017","Currency=INR","Period=FQ","BEST_FPERIOD_OVERRIDE=FQ","FILING_STATUS=OR","EQY_CONSOLIDATED=Y","FA_ADJUSTED=GAAP","Sort=A","Dates=H","DateFormat=P","Fill=—","Direction=H","UseDPDF=Y")</f>
        <v>#NAME?</v>
      </c>
      <c r="S521" t="e">
        <f ca="1">_xll.BDH($C$503,"SUSTAIN_GROWTH_RT","FQ3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521" s="1" t="e">
        <f ca="1">_xll.BDH($C$503,"SALES_GROWTH","FQ3 2017","FQ3 2017","Currency=INR","Period=FQ","BEST_FPERIOD_OVERRIDE=FQ","FILING_STATUS=OR","EQY_CONSOLIDATED=Y","FA_ADJUSTED=GAAP","Sort=A","Dates=H","DateFormat=P","Fill=—","Direction=H","UseDPDF=Y")</f>
        <v>#NAME?</v>
      </c>
      <c r="U521" s="1" t="e">
        <f ca="1">_xll.BDH($C$503,"EBITDA_GROWTH","FQ3 2017","FQ3 2017","Currency=INR","Period=FQ","BEST_FPERIOD_OVERRIDE=FQ","FILING_STATUS=OR","EQY_CONSOLIDATED=Y","FA_ADJUSTED=GAAP","Sort=A","Dates=H","DateFormat=P","Fill=—","Direction=H","UseDPDF=Y")</f>
        <v>#NAME?</v>
      </c>
      <c r="V521" s="1" t="e">
        <f ca="1">_xll.BDH($C$503,"OPER_INC_GROWTH","FQ3 2017","FQ3 2017","Currency=INR","Period=FQ","BEST_FPERIOD_OVERRIDE=FQ","FILING_STATUS=OR","EQY_CONSOLIDATED=Y","FA_ADJUSTED=GAAP","Sort=A","Dates=H","DateFormat=P","Fill=—","Direction=H","UseDPDF=Y")</f>
        <v>#NAME?</v>
      </c>
      <c r="W521" s="1" t="e">
        <f ca="1">_xll.BDH($C$503,"EARN_FOR_COM_GROWTH","FQ3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21" s="1" t="e">
        <f ca="1">_xll.BDH($C$503,"DILUTED_EPS_AFT_XO_ITEMS_GROWTH","FQ3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21" s="1" t="e">
        <f ca="1">_xll.BDH($C$503,"DIVIDEND_PER_SHARE_1_YEAR_GROWTH","FQ3 2017","FQ3 2017","Currency=INR","Period=FQ","BEST_FPERIOD_OVERRIDE=FQ","FILING_STATUS=OR","EQY_CONSOLIDATED=Y","Sort=A","Dates=H","DateFormat=P","Fill=—","Direction=H","UseDPDF=Y")</f>
        <v>#NAME?</v>
      </c>
      <c r="Z521" s="1" t="e">
        <f ca="1">_xll.BDH($C$503,"ACCOUNTS_RECEIVABLE_GROWTH","FQ3 2017","FQ3 2017","Currency=INR","Period=FQ","BEST_FPERIOD_OVERRIDE=FQ","FILING_STATUS=OR","EQY_CONSOLIDATED=Y","Sort=A","Dates=H","DateFormat=P","Fill=—","Direction=H","UseDPDF=Y")</f>
        <v>#NAME?</v>
      </c>
      <c r="AA521" s="1" t="e">
        <f ca="1">_xll.BDH($C$503,"INVENTORY_GROWTH","FQ3 2017","FQ3 2017","Currency=INR","Period=FQ","BEST_FPERIOD_OVERRIDE=FQ","FILING_STATUS=OR","EQY_CONSOLIDATED=Y","Sort=A","Dates=H","DateFormat=P","Fill=—","Direction=H","UseDPDF=Y")</f>
        <v>#NAME?</v>
      </c>
      <c r="AB521" s="1" t="e">
        <f ca="1">_xll.BDH($C$503,"NET_FIXED_ASSETS_1_YEAR_GROWTH","FQ3 2017","FQ3 2017","Currency=INR","Period=FQ","BEST_FPERIOD_OVERRIDE=FQ","FILING_STATUS=OR","EQY_CONSOLIDATED=Y","Sort=A","Dates=H","DateFormat=P","Fill=—","Direction=H","UseDPDF=Y")</f>
        <v>#NAME?</v>
      </c>
      <c r="AC521" s="1" t="e">
        <f ca="1">_xll.BDH($C$503,"ASSET_GROWTH","FQ3 2017","FQ3 2017","Currency=INR","Period=FQ","BEST_FPERIOD_OVERRIDE=FQ","FILING_STATUS=OR","EQY_CONSOLIDATED=Y","Sort=A","Dates=H","DateFormat=P","Fill=—","Direction=H","UseDPDF=Y")</f>
        <v>#NAME?</v>
      </c>
      <c r="AD521" s="1" t="e">
        <f ca="1">_xll.BDH($C$503,"MODIFIED_WORK_CAP_GROWTH","FQ3 2017","FQ3 2017","Currency=INR","Period=FQ","BEST_FPERIOD_OVERRIDE=FQ","FILING_STATUS=OR","EQY_CONSOLIDATED=Y","Sort=A","Dates=H","DateFormat=P","Fill=—","Direction=H","UseDPDF=Y")</f>
        <v>#NAME?</v>
      </c>
      <c r="AE521" s="1" t="e">
        <f ca="1">_xll.BDH($C$503,"WORK_CAP_GROWTH","FQ3 2017","FQ3 2017","Currency=INR","Period=FQ","BEST_FPERIOD_OVERRIDE=FQ","FILING_STATUS=OR","EQY_CONSOLIDATED=Y","Sort=A","Dates=H","DateFormat=P","Fill=—","Direction=H","UseDPDF=Y")</f>
        <v>#NAME?</v>
      </c>
      <c r="AF521" s="1" t="e">
        <f ca="1">_xll.BDH($C$503,"ACCOUNTS_PAYABLE_GROWTH_1YR","FQ3 2017","FQ3 2017","Currency=INR","Period=FQ","BEST_FPERIOD_OVERRIDE=FQ","FILING_STATUS=OR","EQY_CONSOLIDATED=Y","Sort=A","Dates=H","DateFormat=P","Fill=—","Direction=H","UseDPDF=Y")</f>
        <v>#NAME?</v>
      </c>
      <c r="AG521" s="1" t="e">
        <f ca="1">_xll.BDH($C$503,"SHORT_TERM_DEBT_1_YEAR_GROWTH","FQ3 2017","FQ3 2017","Currency=INR","Period=FQ","BEST_FPERIOD_OVERRIDE=FQ","FILING_STATUS=OR","EQY_CONSOLIDATED=Y","Sort=A","Dates=H","DateFormat=P","Fill=—","Direction=H","UseDPDF=Y")</f>
        <v>#NAME?</v>
      </c>
      <c r="AH521" s="1" t="e">
        <f ca="1">_xll.BDH($C$503,"TOTAL_DEBT_1_YEAR_GROWTH","FQ3 2017","FQ3 2017","Currency=INR","Period=FQ","BEST_FPERIOD_OVERRIDE=FQ","FILING_STATUS=OR","EQY_CONSOLIDATED=Y","Sort=A","Dates=H","DateFormat=P","Fill=—","Direction=H","UseDPDF=Y")</f>
        <v>#NAME?</v>
      </c>
      <c r="AI521" s="1" t="e">
        <f ca="1">_xll.BDH($C$503,"TOTAL_EQUITY_1_YEAR_GROWTH","FQ3 2017","FQ3 2017","Currency=INR","Period=FQ","BEST_FPERIOD_OVERRIDE=FQ","FILING_STATUS=OR","EQY_CONSOLIDATED=Y","Sort=A","Dates=H","DateFormat=P","Fill=—","Direction=H","UseDPDF=Y")</f>
        <v>#NAME?</v>
      </c>
      <c r="AJ521" s="1" t="e">
        <f ca="1">_xll.BDH($C$503,"GROWTH_IN_CAP","FQ3 2017","FQ3 2017","Currency=INR","Period=FQ","BEST_FPERIOD_OVERRIDE=FQ","FILING_STATUS=OR","EQY_CONSOLIDATED=Y","Sort=A","Dates=H","DateFormat=P","Fill=—","Direction=H","UseDPDF=Y")</f>
        <v>#NAME?</v>
      </c>
      <c r="AK521" s="1" t="e">
        <f ca="1">_xll.BDH($C$503,"BVPS_GROWTH","FQ3 2017","FQ3 2017","Currency=INR","Period=FQ","BEST_FPERIOD_OVERRIDE=FQ","FILING_STATUS=OR","EQY_CONSOLIDATED=Y","Sort=A","Dates=H","DateFormat=P","Fill=—","Direction=H","UseDPDF=Y")</f>
        <v>#NAME?</v>
      </c>
      <c r="AL521" s="1" t="e">
        <f ca="1">_xll.BDH($C$503,"CASH_FLOW_GROWTH","FQ3 2017","FQ3 2017","Currency=INR","Period=FQ","BEST_FPERIOD_OVERRIDE=FQ","FILING_STATUS=OR","EQY_CONSOLIDATED=Y","Sort=A","Dates=H","DateFormat=P","Fill=—","Direction=H","UseDPDF=Y")</f>
        <v>#NAME?</v>
      </c>
      <c r="AM521" s="1" t="e">
        <f ca="1">_xll.BDH($C$503,"GEO_GROW_NET_SALES","FQ3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21" s="1" t="e">
        <f ca="1">_xll.BDH($C$503,"GEO_GROW_EBITDA","FQ3 2017","FQ3 2017","Currency=INR","Period=FQ","BEST_FPERIOD_OVERRIDE=FQ","FILING_STATUS=OR","EQY_CONSOLIDATED=Y","FA_ADJUSTED=GAAP","Sort=A","Dates=H","DateFormat=P","Fill=—","Direction=H","UseDPDF=Y")</f>
        <v>#NAME?</v>
      </c>
      <c r="AO521" s="1" t="e">
        <f ca="1">_xll.BDH($C$503,"GEO_GROW_OPER_INC","FQ3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21" s="1" t="e">
        <f ca="1">_xll.BDH($C$503,"NET_INCOME_TO_COMMON_5_YR_GROWTH","FQ3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21" s="1" t="e">
        <f ca="1">_xll.BDH($C$503,"5Y_GEO_GROWTH_DILUTED_EPS","FQ3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21" s="1" t="e">
        <f ca="1">_xll.BDH($C$503,"GEO_GROW_DVD_PER_SH","FQ3 2017","FQ3 2017","Currency=INR","Period=FQ","BEST_FPERIOD_OVERRIDE=FQ","FILING_STATUS=OR","EQY_CONSOLIDATED=Y","Sort=A","Dates=H","DateFormat=P","Fill=—","Direction=H","UseDPDF=Y")</f>
        <v>#NAME?</v>
      </c>
      <c r="AS521" s="1" t="e">
        <f ca="1">_xll.BDH($C$503,"ACCOUNTS_RECEIVABLE_5_YR_GROWTH","FQ3 2017","FQ3 2017","Currency=INR","Period=FQ","BEST_FPERIOD_OVERRIDE=FQ","FILING_STATUS=OR","EQY_CONSOLIDATED=Y","Sort=A","Dates=H","DateFormat=P","Fill=—","Direction=H","UseDPDF=Y")</f>
        <v>#NAME?</v>
      </c>
      <c r="AT521" s="1" t="e">
        <f ca="1">_xll.BDH($C$503,"INVENTORY_5_YEAR_GROWTH","FQ3 2017","FQ3 2017","Currency=INR","Period=FQ","BEST_FPERIOD_OVERRIDE=FQ","FILING_STATUS=OR","EQY_CONSOLIDATED=Y","Sort=A","Dates=H","DateFormat=P","Fill=—","Direction=H","UseDPDF=Y")</f>
        <v>#NAME?</v>
      </c>
      <c r="AU521" s="1" t="e">
        <f ca="1">_xll.BDH($C$503,"NET_FIXED_ASSETS_5_YEAR_GROWTH","FQ3 2017","FQ3 2017","Currency=INR","Period=FQ","BEST_FPERIOD_OVERRIDE=FQ","FILING_STATUS=OR","EQY_CONSOLIDATED=Y","Sort=A","Dates=H","DateFormat=P","Fill=—","Direction=H","UseDPDF=Y")</f>
        <v>#NAME?</v>
      </c>
      <c r="AV521" s="1" t="e">
        <f ca="1">_xll.BDH($C$503,"GEO_GROW_TOT_ASSET","FQ3 2017","FQ3 2017","Currency=INR","Period=FQ","BEST_FPERIOD_OVERRIDE=FQ","FILING_STATUS=OR","EQY_CONSOLIDATED=Y","Sort=A","Dates=H","DateFormat=P","Fill=—","Direction=H","UseDPDF=Y")</f>
        <v>#NAME?</v>
      </c>
      <c r="AW521" s="1" t="e">
        <f ca="1">_xll.BDH($C$503,"MODIFIED_WORKING_CPTL_5YR_GRWTH","FQ3 2017","FQ3 2017","Currency=INR","Period=FQ","BEST_FPERIOD_OVERRIDE=FQ","FILING_STATUS=OR","EQY_CONSOLIDATED=Y","Sort=A","Dates=H","DateFormat=P","Fill=—","Direction=H","UseDPDF=Y")</f>
        <v>#NAME?</v>
      </c>
      <c r="AX521" s="1" t="e">
        <f ca="1">_xll.BDH($C$503,"WORKING_CAPITAL_5_YEAR_GROWTH","FQ3 2017","FQ3 2017","Currency=INR","Period=FQ","BEST_FPERIOD_OVERRIDE=FQ","FILING_STATUS=OR","EQY_CONSOLIDATED=Y","Sort=A","Dates=H","DateFormat=P","Fill=—","Direction=H","UseDPDF=Y")</f>
        <v>#NAME?</v>
      </c>
      <c r="AY521" s="1" t="e">
        <f ca="1">_xll.BDH($C$503,"ACCOUNTS_PAYABLE_5_YEAR_GROWTH","FQ3 2017","FQ3 2017","Currency=INR","Period=FQ","BEST_FPERIOD_OVERRIDE=FQ","FILING_STATUS=OR","EQY_CONSOLIDATED=Y","Sort=A","Dates=H","DateFormat=P","Fill=—","Direction=H","UseDPDF=Y")</f>
        <v>#NAME?</v>
      </c>
      <c r="AZ521" s="1" t="e">
        <f ca="1">_xll.BDH($C$503,"SHORT_TERM_DEBT_5_YEAR_GROWTH","FQ3 2017","FQ3 2017","Currency=INR","Period=FQ","BEST_FPERIOD_OVERRIDE=FQ","FILING_STATUS=OR","EQY_CONSOLIDATED=Y","Sort=A","Dates=H","DateFormat=P","Fill=—","Direction=H","UseDPDF=Y")</f>
        <v>#NAME?</v>
      </c>
      <c r="BA521" s="1" t="e">
        <f ca="1">_xll.BDH($C$503,"TOTAL_DEBT_5_YEAR_GROWTH","FQ3 2017","FQ3 2017","Currency=INR","Period=FQ","BEST_FPERIOD_OVERRIDE=FQ","FILING_STATUS=OR","EQY_CONSOLIDATED=Y","Sort=A","Dates=H","DateFormat=P","Fill=—","Direction=H","UseDPDF=Y")</f>
        <v>#NAME?</v>
      </c>
      <c r="BB521" s="1" t="e">
        <f ca="1">_xll.BDH($C$503,"GEO_GROW_TOT_SHRHLDR_EQY","FQ3 2017","FQ3 2017","Currency=INR","Period=FQ","BEST_FPERIOD_OVERRIDE=FQ","FILING_STATUS=OR","EQY_CONSOLIDATED=Y","Sort=A","Dates=H","DateFormat=P","Fill=—","Direction=H","UseDPDF=Y")</f>
        <v>#NAME?</v>
      </c>
      <c r="BC521" s="1" t="e">
        <f ca="1">_xll.BDH($C$503,"TOTAL_CAPITAL_5_YEAR_GROWTH","FQ3 2017","FQ3 2017","Currency=INR","Period=FQ","BEST_FPERIOD_OVERRIDE=FQ","FILING_STATUS=OR","EQY_CONSOLIDATED=Y","Sort=A","Dates=H","DateFormat=P","Fill=—","Direction=H","UseDPDF=Y")</f>
        <v>#NAME?</v>
      </c>
      <c r="BD521" s="1" t="e">
        <f ca="1">_xll.BDH($C$503,"GEO_GROW_BOOK_VAL","FQ3 2017","FQ3 2017","Currency=INR","Period=FQ","BEST_FPERIOD_OVERRIDE=FQ","FILING_STATUS=OR","EQY_CONSOLIDATED=Y","Sort=A","Dates=H","DateFormat=P","Fill=—","Direction=H","UseDPDF=Y")</f>
        <v>#NAME?</v>
      </c>
      <c r="BE521" s="1" t="e">
        <f ca="1">_xll.BDH($C$503,"GEO_GROW_CASH_OPER_ACT","FQ3 2017","FQ3 2017","Currency=INR","Period=FQ","BEST_FPERIOD_OVERRIDE=FQ","FILING_STATUS=OR","EQY_CONSOLIDATED=Y","Sort=A","Dates=H","DateFormat=P","Fill=—","Direction=H","UseDPDF=Y")</f>
        <v>#NAME?</v>
      </c>
      <c r="BF521" s="1" t="e">
        <f ca="1">_xll.BDH($C$503,"REVENUE_SEQUENTIAL_GROWTH","FQ3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21" s="1" t="e">
        <f ca="1">_xll.BDH($C$503,"EBITDA_SEQUENTIAL_GROWTH","FQ3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21" s="1" t="e">
        <f ca="1">_xll.BDH($C$503,"OPERATING_INCOME_SEQ_GROWTH","FQ3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21" s="1" t="e">
        <f ca="1">_xll.BDH($C$503,"NET_INCOME_TO_COMMON_SEQ_GROWTH","FQ3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21" s="1" t="e">
        <f ca="1">_xll.BDH($C$503,"EPS_DILUTED_SEQUENTIAL_GROWTH","FQ3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21" s="1" t="e">
        <f ca="1">_xll.BDH($C$503,"DPS_SEQUENTIAL_GROWTH","FQ3 2017","FQ3 2017","Currency=INR","Period=FQ","BEST_FPERIOD_OVERRIDE=FQ","FILING_STATUS=OR","EQY_CONSOLIDATED=Y","Sort=A","Dates=H","DateFormat=P","Fill=—","Direction=H","UseDPDF=Y")</f>
        <v>#NAME?</v>
      </c>
      <c r="BL521" s="1" t="e">
        <f ca="1">_xll.BDH($C$503,"ACCOUNTS_RECEIVABLE_SEQ_GROWTH","FQ3 2017","FQ3 2017","Currency=INR","Period=FQ","BEST_FPERIOD_OVERRIDE=FQ","FILING_STATUS=OR","EQY_CONSOLIDATED=Y","Sort=A","Dates=H","DateFormat=P","Fill=—","Direction=H","UseDPDF=Y")</f>
        <v>#NAME?</v>
      </c>
      <c r="BM521" s="1" t="e">
        <f ca="1">_xll.BDH($C$503,"INVENTORY_SEQUENTIAL_GROWTH","FQ3 2017","FQ3 2017","Currency=INR","Period=FQ","BEST_FPERIOD_OVERRIDE=FQ","FILING_STATUS=OR","EQY_CONSOLIDATED=Y","Sort=A","Dates=H","DateFormat=P","Fill=—","Direction=H","UseDPDF=Y")</f>
        <v>#NAME?</v>
      </c>
      <c r="BN521" s="1" t="e">
        <f ca="1">_xll.BDH($C$503,"FIXED_ASSETS_SEQUENTIAL_GROWTH","FQ3 2017","FQ3 2017","Currency=INR","Period=FQ","BEST_FPERIOD_OVERRIDE=FQ","FILING_STATUS=OR","EQY_CONSOLIDATED=Y","Sort=A","Dates=H","DateFormat=P","Fill=—","Direction=H","UseDPDF=Y")</f>
        <v>#NAME?</v>
      </c>
      <c r="BO521" s="1" t="e">
        <f ca="1">_xll.BDH($C$503,"TOTAL_ASSETS_SEQUENTIAL_GROWTH","FQ3 2017","FQ3 2017","Currency=INR","Period=FQ","BEST_FPERIOD_OVERRIDE=FQ","FILING_STATUS=OR","EQY_CONSOLIDATED=Y","Sort=A","Dates=H","DateFormat=P","Fill=—","Direction=H","UseDPDF=Y")</f>
        <v>#NAME?</v>
      </c>
      <c r="BP521" s="1" t="e">
        <f ca="1">_xll.BDH($C$503,"MODIFIED_WORKING_CPTL_SEQ_GRWTH","FQ3 2017","FQ3 2017","Currency=INR","Period=FQ","BEST_FPERIOD_OVERRIDE=FQ","FILING_STATUS=OR","EQY_CONSOLIDATED=Y","Sort=A","Dates=H","DateFormat=P","Fill=—","Direction=H","UseDPDF=Y")</f>
        <v>#NAME?</v>
      </c>
      <c r="BQ521" s="1" t="e">
        <f ca="1">_xll.BDH($C$503,"WORKING_CAPITAL_SEQ_GROWTH","FQ3 2017","FQ3 2017","Currency=INR","Period=FQ","BEST_FPERIOD_OVERRIDE=FQ","FILING_STATUS=OR","EQY_CONSOLIDATED=Y","Sort=A","Dates=H","DateFormat=P","Fill=—","Direction=H","UseDPDF=Y")</f>
        <v>#NAME?</v>
      </c>
      <c r="BR521" s="1" t="e">
        <f ca="1">_xll.BDH($C$503,"ACCOUNTS_PAYABLE_SEQ_GROWTH","FQ3 2017","FQ3 2017","Currency=INR","Period=FQ","BEST_FPERIOD_OVERRIDE=FQ","FILING_STATUS=OR","EQY_CONSOLIDATED=Y","Sort=A","Dates=H","DateFormat=P","Fill=—","Direction=H","UseDPDF=Y")</f>
        <v>#NAME?</v>
      </c>
      <c r="BS521" s="1" t="e">
        <f ca="1">_xll.BDH($C$503,"ST_DEBT_SEQUENTIAL_GROWTH","FQ3 2017","FQ3 2017","Currency=INR","Period=FQ","BEST_FPERIOD_OVERRIDE=FQ","FILING_STATUS=OR","EQY_CONSOLIDATED=Y","Sort=A","Dates=H","DateFormat=P","Fill=—","Direction=H","UseDPDF=Y")</f>
        <v>#NAME?</v>
      </c>
      <c r="BT521" s="1" t="e">
        <f ca="1">_xll.BDH($C$503,"TOTAL_DEBT_SEQUENTIAL_GROWTH","FQ3 2017","FQ3 2017","Currency=INR","Period=FQ","BEST_FPERIOD_OVERRIDE=FQ","FILING_STATUS=OR","EQY_CONSOLIDATED=Y","Sort=A","Dates=H","DateFormat=P","Fill=—","Direction=H","UseDPDF=Y")</f>
        <v>#NAME?</v>
      </c>
      <c r="BU521" s="1" t="e">
        <f ca="1">_xll.BDH($C$503,"TOTAL_EQUITY_SEQUENTIAL_GROWTH","FQ3 2017","FQ3 2017","Currency=INR","Period=FQ","BEST_FPERIOD_OVERRIDE=FQ","FILING_STATUS=OR","EQY_CONSOLIDATED=Y","Sort=A","Dates=H","DateFormat=P","Fill=—","Direction=H","UseDPDF=Y")</f>
        <v>#NAME?</v>
      </c>
      <c r="BV521" s="1" t="e">
        <f ca="1">_xll.BDH($C$503,"TOTAL_CAPITAL_SEQUENTIAL_GROWTH","FQ3 2017","FQ3 2017","Currency=INR","Period=FQ","BEST_FPERIOD_OVERRIDE=FQ","FILING_STATUS=OR","EQY_CONSOLIDATED=Y","Sort=A","Dates=H","DateFormat=P","Fill=—","Direction=H","UseDPDF=Y")</f>
        <v>#NAME?</v>
      </c>
      <c r="BW521" s="1" t="e">
        <f ca="1">_xll.BDH($C$503,"BPS_SEQUENTIAL_GROWTH","FQ3 2017","FQ3 2017","Currency=INR","Period=FQ","BEST_FPERIOD_OVERRIDE=FQ","FILING_STATUS=OR","EQY_CONSOLIDATED=Y","Sort=A","Dates=H","DateFormat=P","Fill=—","Direction=H","UseDPDF=Y")</f>
        <v>#NAME?</v>
      </c>
      <c r="BX521" s="1" t="e">
        <f ca="1">_xll.BDH($C$503,"CFO_SEQUENTIAL_GROWTH","FQ3 2017","FQ3 2017","Currency=INR","Period=FQ","BEST_FPERIOD_OVERRIDE=FQ","FILING_STATUS=OR","EQY_CONSOLIDATED=Y","Sort=A","Dates=H","DateFormat=P","Fill=—","Direction=H","UseDPDF=Y")</f>
        <v>#NAME?</v>
      </c>
      <c r="BY521" s="2" t="e">
        <f ca="1">_xll.BDH($C$503,"SHORT_AND_LONG_TERM_DEBT","FQ3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21" s="2" t="e">
        <f ca="1">_xll.BDH($C$503,"BS_ST_BORROW","FQ3 2017","FQ3 2017","Currency=INR","Period=FQ","BEST_FPERIOD_OVERRIDE=FQ","FILING_STATUS=OR","EQY_CONSOLIDATED=Y","SCALING_FORMAT=MLN","Sort=A","Dates=H","DateFormat=P","Fill=—","Direction=H","UseDPDF=Y")</f>
        <v>#NAME?</v>
      </c>
      <c r="CA521" s="2" t="e">
        <f ca="1">_xll.BDH($C$503,"BS_LT_BORROW","FQ3 2017","FQ3 2017","Currency=INR","Period=FQ","BEST_FPERIOD_OVERRIDE=FQ","FILING_STATUS=OR","EQY_CONSOLIDATED=Y","SCALING_FORMAT=MLN","Sort=A","Dates=H","DateFormat=P","Fill=—","Direction=H","UseDPDF=Y")</f>
        <v>#NAME?</v>
      </c>
      <c r="CB521" s="1" t="e">
        <f ca="1">_xll.BDH($C$503,"TOT_DEBT_TO_EBITDA","FQ3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21" s="1" t="e">
        <f ca="1">_xll.BDH($C$503,"NET_DEBT_TO_EBITDA","FQ3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21" s="1" t="e">
        <f ca="1">_xll.BDH($C$503,"TOTAL_DEBT_TO_EBIT","FQ3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21" s="1" t="e">
        <f ca="1">_xll.BDH($C$503,"NET_DEBT_TO_EBIT","FQ3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521" s="1" t="e">
        <f ca="1">_xll.BDH($C$503,"EBITDA_TO_INTEREST_EXPN","FQ3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21" s="1" t="e">
        <f ca="1">_xll.BDH($C$503,"COM_EQY_TO_TOT_ASSET","FQ3 2017","FQ3 2017","Currency=INR","Period=FQ","BEST_FPERIOD_OVERRIDE=FQ","FILING_STATUS=OR","EQY_CONSOLIDATED=Y","Sort=A","Dates=H","DateFormat=P","Fill=—","Direction=H","UseDPDF=Y")</f>
        <v>#NAME?</v>
      </c>
      <c r="CH521" s="1" t="e">
        <f ca="1">_xll.BDH($C$503,"LT_DEBT_TO_TOT_EQY","FQ3 2017","FQ3 2017","Currency=INR","Period=FQ","BEST_FPERIOD_OVERRIDE=FQ","FILING_STATUS=OR","EQY_CONSOLIDATED=Y","Sort=A","Dates=H","DateFormat=P","Fill=—","Direction=H","UseDPDF=Y")</f>
        <v>#NAME?</v>
      </c>
      <c r="CI521" s="1" t="e">
        <f ca="1">_xll.BDH($C$503,"LT_DEBT_TO_TOT_CAP","FQ3 2017","FQ3 2017","Currency=INR","Period=FQ","BEST_FPERIOD_OVERRIDE=FQ","FILING_STATUS=OR","EQY_CONSOLIDATED=Y","Sort=A","Dates=H","DateFormat=P","Fill=—","Direction=H","UseDPDF=Y")</f>
        <v>#NAME?</v>
      </c>
      <c r="CJ521" s="1" t="e">
        <f ca="1">_xll.BDH($C$503,"LT_DEBT_TO_TOT_ASSET","FQ3 2017","FQ3 2017","Currency=INR","Period=FQ","BEST_FPERIOD_OVERRIDE=FQ","FILING_STATUS=OR","EQY_CONSOLIDATED=Y","Sort=A","Dates=H","DateFormat=P","Fill=—","Direction=H","UseDPDF=Y")</f>
        <v>#NAME?</v>
      </c>
      <c r="CK521" s="1" t="e">
        <f ca="1">_xll.BDH($C$503,"TOT_DEBT_TO_TOT_EQY","FQ3 2017","FQ3 2017","Currency=INR","Period=FQ","BEST_FPERIOD_OVERRIDE=FQ","FILING_STATUS=OR","EQY_CONSOLIDATED=Y","Sort=A","Dates=H","DateFormat=P","Fill=—","Direction=H","UseDPDF=Y")</f>
        <v>#NAME?</v>
      </c>
      <c r="CL521" s="1" t="e">
        <f ca="1">_xll.BDH($C$503,"TOT_DEBT_TO_TOT_CAP","FQ3 2017","FQ3 2017","Currency=INR","Period=FQ","BEST_FPERIOD_OVERRIDE=FQ","FILING_STATUS=OR","EQY_CONSOLIDATED=Y","Sort=A","Dates=H","DateFormat=P","Fill=—","Direction=H","UseDPDF=Y")</f>
        <v>#NAME?</v>
      </c>
      <c r="CM521" s="1" t="e">
        <f ca="1">_xll.BDH($C$503,"TOT_DEBT_TO_TOT_ASSET","FQ3 2017","FQ3 2017","Currency=INR","Period=FQ","BEST_FPERIOD_OVERRIDE=FQ","FILING_STATUS=OR","EQY_CONSOLIDATED=Y","Sort=A","Dates=H","DateFormat=P","Fill=—","Direction=H","UseDPDF=Y")</f>
        <v>#NAME?</v>
      </c>
      <c r="CN521" s="1" t="e">
        <f ca="1">_xll.BDH($C$503,"NET_DEBT_TO_SHRHLDR_EQTY","FQ3 2017","FQ3 2017","Currency=INR","Period=FQ","BEST_FPERIOD_OVERRIDE=FQ","FILING_STATUS=OR","EQY_CONSOLIDATED=Y","Sort=A","Dates=H","DateFormat=P","Fill=—","Direction=H","UseDPDF=Y")</f>
        <v>#NAME?</v>
      </c>
      <c r="CO521" s="1" t="e">
        <f ca="1">_xll.BDH($C$503,"NET_DEBT_%_CAPITAL","FQ3 2017","FQ3 2017","Currency=INR","Period=FQ","BEST_FPERIOD_OVERRIDE=FQ","FILING_STATUS=OR","EQY_CONSOLIDATED=Y","Sort=A","Dates=H","DateFormat=P","Fill=—","Direction=H","UseDPDF=Y")</f>
        <v>#NAME?</v>
      </c>
      <c r="CP521" s="2" t="e">
        <f ca="1">_xll.BDH($C$503,"EBITDA","FQ3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21" s="2" t="e">
        <f ca="1">_xll.BDH($C$503,"EBITDA_AFTER_CAPEX","FQ3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21" s="2" t="e">
        <f ca="1">_xll.BDH($C$503,"IS_OPER_INC","FQ3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21" s="1" t="e">
        <f ca="1">_xll.BDH($C$503,"CASH_RATIO","FQ3 2017","FQ3 2017","Currency=INR","Period=FQ","BEST_FPERIOD_OVERRIDE=FQ","FILING_STATUS=OR","EQY_CONSOLIDATED=Y","Sort=A","Dates=H","DateFormat=P","Fill=—","Direction=H","UseDPDF=Y")</f>
        <v>#NAME?</v>
      </c>
      <c r="CT521" s="1" t="e">
        <f ca="1">_xll.BDH($C$503,"CUR_RATIO","FQ3 2017","FQ3 2017","Currency=INR","Period=FQ","BEST_FPERIOD_OVERRIDE=FQ","FILING_STATUS=OR","EQY_CONSOLIDATED=Y","Sort=A","Dates=H","DateFormat=P","Fill=—","Direction=H","UseDPDF=Y")</f>
        <v>#NAME?</v>
      </c>
      <c r="CU521" s="1" t="e">
        <f ca="1">_xll.BDH($C$503,"QUICK_RATIO","FQ3 2017","FQ3 2017","Currency=INR","Period=FQ","BEST_FPERIOD_OVERRIDE=FQ","FILING_STATUS=OR","EQY_CONSOLIDATED=Y","Sort=A","Dates=H","DateFormat=P","Fill=—","Direction=H","UseDPDF=Y")</f>
        <v>#NAME?</v>
      </c>
      <c r="CV521" s="1" t="e">
        <f ca="1">_xll.BDH($C$503,"ALTMAN_Z_SCORE","FQ3 2017","FQ3 2017","Currency=INR","Period=FQ","BEST_FPERIOD_OVERRIDE=FQ","FILING_STATUS=OR","EQY_CONSOLIDATED=Y","Sort=A","Dates=H","DateFormat=P","Fill=—","Direction=H","UseDPDF=Y")</f>
        <v>#NAME?</v>
      </c>
      <c r="CW521" s="3" t="e">
        <f ca="1">_xll.BDH($C$503,"ACCT_RCV_TURN","FQ3 2017","FQ3 2017","Currency=INR","Period=FQ","BEST_FPERIOD_OVERRIDE=FQ","FILING_STATUS=OR","EQY_CONSOLIDATED=Y","FA_ADJUSTED=GAAP","Sort=A","Dates=H","DateFormat=P","Fill=—","Direction=H","UseDPDF=Y")</f>
        <v>#NAME?</v>
      </c>
      <c r="CX521" s="1" t="e">
        <f ca="1">_xll.BDH($C$503,"ACCT_RCV_DAYS","FQ3 2017","FQ3 2017","Currency=INR","Period=FQ","BEST_FPERIOD_OVERRIDE=FQ","FILING_STATUS=OR","EQY_CONSOLIDATED=Y","FA_ADJUSTED=GAAP","Sort=A","Dates=H","DateFormat=P","Fill=—","Direction=H","UseDPDF=Y")</f>
        <v>#NAME?</v>
      </c>
      <c r="CY521" s="3" t="e">
        <f ca="1">_xll.BDH($C$503,"INVENT_TURN","FQ3 2017","FQ3 2017","Currency=INR","Period=FQ","BEST_FPERIOD_OVERRIDE=FQ","FILING_STATUS=OR","EQY_CONSOLIDATED=Y","FA_ADJUSTED=GAAP","Sort=A","Dates=H","DateFormat=P","Fill=—","Direction=H","UseDPDF=Y")</f>
        <v>#NAME?</v>
      </c>
      <c r="CZ521" s="1" t="e">
        <f ca="1">_xll.BDH($C$503,"INVENT_DAYS","FQ3 2017","FQ3 2017","Currency=INR","Period=FQ","BEST_FPERIOD_OVERRIDE=FQ","FILING_STATUS=OR","EQY_CONSOLIDATED=Y","FA_ADJUSTED=GAAP","Sort=A","Dates=H","DateFormat=P","Fill=—","Direction=H","UseDPDF=Y")</f>
        <v>#NAME?</v>
      </c>
      <c r="DA521" s="3" t="e">
        <f ca="1">_xll.BDH($C$503,"ACCOUNTS_PAYABLE_TURNOVER","FQ3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21" s="1" t="e">
        <f ca="1">_xll.BDH($C$503,"ACCOUNTS_PAYABLE_TURNOVER_DAYS","FQ3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21" s="3" t="e">
        <f ca="1">_xll.BDH($C$503,"CASH_CONVERSION_CYCLE","FQ3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21" s="3" t="e">
        <f ca="1">_xll.BDH($C$503,"INV_TO_CASH_DAYS","FQ3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521" s="4" t="e">
        <f ca="1">_xll.BDH($C$503,"BS_INVENTORIES","FQ3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521" s="2" t="e">
        <f ca="1">_xll.BDH($C$503,"INVTRY_RAW_MATERIALS","FQ3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21" s="2" t="e">
        <f ca="1">_xll.BDH($C$503,"INVTRY_IN_PROGRESS","FQ3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21" s="2" t="e">
        <f ca="1">_xll.BDH($C$503,"INVTRY_FINISHED_GOODS","FQ3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21" s="2" t="e">
        <f ca="1">_xll.BDH($C$503,"BS_OTHER_INV","FQ3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22" spans="1:113" x14ac:dyDescent="0.3">
      <c r="A522" s="6"/>
      <c r="B522" s="6"/>
      <c r="C522" s="6"/>
      <c r="D522" s="6"/>
      <c r="E522" t="s">
        <v>7</v>
      </c>
      <c r="F522" t="e">
        <f ca="1">_xll.BDH($C$503,"RETURN_COM_EQY","FQ4 2017","FQ4 2017","Currency=INR","Period=FQ","BEST_FPERIOD_OVERRIDE=FQ","FILING_STATUS=OR","EQY_CONSOLIDATED=Y","FA_ADJUSTED=GAAP","Sort=A","Dates=H","DateFormat=P","Fill=—","Direction=H","UseDPDF=Y")</f>
        <v>#NAME?</v>
      </c>
      <c r="G522" t="e">
        <f ca="1">_xll.BDH($C$503,"RETURN_ON_ASSET","FQ4 2017","FQ4 2017","Currency=INR","Period=FQ","BEST_FPERIOD_OVERRIDE=FQ","FILING_STATUS=OR","EQY_CONSOLIDATED=Y","FA_ADJUSTED=GAAP","Sort=A","Dates=H","DateFormat=P","Fill=—","Direction=H","UseDPDF=Y")</f>
        <v>#NAME?</v>
      </c>
      <c r="H522" t="e">
        <f ca="1">_xll.BDH($C$503,"RETURN_ON_CAP","FQ4 2017","FQ4 2017","Currency=INR","Period=FQ","BEST_FPERIOD_OVERRIDE=FQ","FILING_STATUS=OR","EQY_CONSOLIDATED=Y","FA_ADJUSTED=GAAP","Sort=A","Dates=H","DateFormat=P","Fill=—","Direction=H","UseDPDF=Y")</f>
        <v>#NAME?</v>
      </c>
      <c r="I522" t="e">
        <f ca="1">_xll.BDH($C$503,"RETURN_ON_INV_CAPITAL","FQ4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22" t="e">
        <f ca="1">_xll.BDH($C$503,"EBITDA_TO_REVENUE","FQ4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522" t="e">
        <f ca="1">_xll.BDH($C$503,"OPER_MARGIN","FQ4 2017","FQ4 2017","Currency=INR","Period=FQ","BEST_FPERIOD_OVERRIDE=FQ","FILING_STATUS=OR","EQY_CONSOLIDATED=Y","FA_ADJUSTED=GAAP","Sort=A","Dates=H","DateFormat=P","Fill=—","Direction=H","UseDPDF=Y")</f>
        <v>#NAME?</v>
      </c>
      <c r="L522" t="e">
        <f ca="1">_xll.BDH($C$503,"INCREMENTAL_OPERATING_MARGIN","FQ4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22" t="e">
        <f ca="1">_xll.BDH($C$503,"PRETAX_INC_TO_NET_SALES","FQ4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22" t="e">
        <f ca="1">_xll.BDH($C$503,"INC_BEF_XO_ITEMS_TO_NET_SALES","FQ4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22" t="e">
        <f ca="1">_xll.BDH($C$503,"PROF_MARGIN","FQ4 2017","FQ4 2017","Currency=INR","Period=FQ","BEST_FPERIOD_OVERRIDE=FQ","FILING_STATUS=OR","EQY_CONSOLIDATED=Y","FA_ADJUSTED=GAAP","Sort=A","Dates=H","DateFormat=P","Fill=—","Direction=H","UseDPDF=Y")</f>
        <v>#NAME?</v>
      </c>
      <c r="P522" t="e">
        <f ca="1">_xll.BDH($C$503,"NET_INCOME_TO_COMMON_MARGIN","FQ4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22" t="e">
        <f ca="1">_xll.BDH($C$503,"EFF_TAX_RATE","FQ4 2017","FQ4 2017","Currency=INR","Period=FQ","BEST_FPERIOD_OVERRIDE=FQ","FILING_STATUS=OR","EQY_CONSOLIDATED=Y","FA_ADJUSTED=GAAP","Sort=A","Dates=H","DateFormat=P","Fill=—","Direction=H","UseDPDF=Y")</f>
        <v>#NAME?</v>
      </c>
      <c r="R522" t="e">
        <f ca="1">_xll.BDH($C$503,"DVD_PAYOUT_RATIO","FQ4 2017","FQ4 2017","Currency=INR","Period=FQ","BEST_FPERIOD_OVERRIDE=FQ","FILING_STATUS=OR","EQY_CONSOLIDATED=Y","FA_ADJUSTED=GAAP","Sort=A","Dates=H","DateFormat=P","Fill=—","Direction=H","UseDPDF=Y")</f>
        <v>#NAME?</v>
      </c>
      <c r="S522" t="e">
        <f ca="1">_xll.BDH($C$503,"SUSTAIN_GROWTH_RT","FQ4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522" s="1" t="e">
        <f ca="1">_xll.BDH($C$503,"SALES_GROWTH","FQ4 2017","FQ4 2017","Currency=INR","Period=FQ","BEST_FPERIOD_OVERRIDE=FQ","FILING_STATUS=OR","EQY_CONSOLIDATED=Y","FA_ADJUSTED=GAAP","Sort=A","Dates=H","DateFormat=P","Fill=—","Direction=H","UseDPDF=Y")</f>
        <v>#NAME?</v>
      </c>
      <c r="U522" s="1" t="e">
        <f ca="1">_xll.BDH($C$503,"EBITDA_GROWTH","FQ4 2017","FQ4 2017","Currency=INR","Period=FQ","BEST_FPERIOD_OVERRIDE=FQ","FILING_STATUS=OR","EQY_CONSOLIDATED=Y","FA_ADJUSTED=GAAP","Sort=A","Dates=H","DateFormat=P","Fill=—","Direction=H","UseDPDF=Y")</f>
        <v>#NAME?</v>
      </c>
      <c r="V522" s="1" t="e">
        <f ca="1">_xll.BDH($C$503,"OPER_INC_GROWTH","FQ4 2017","FQ4 2017","Currency=INR","Period=FQ","BEST_FPERIOD_OVERRIDE=FQ","FILING_STATUS=OR","EQY_CONSOLIDATED=Y","FA_ADJUSTED=GAAP","Sort=A","Dates=H","DateFormat=P","Fill=—","Direction=H","UseDPDF=Y")</f>
        <v>#NAME?</v>
      </c>
      <c r="W522" s="1" t="e">
        <f ca="1">_xll.BDH($C$503,"EARN_FOR_COM_GROWTH","FQ4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22" s="1" t="e">
        <f ca="1">_xll.BDH($C$503,"DILUTED_EPS_AFT_XO_ITEMS_GROWTH","FQ4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22" s="1" t="e">
        <f ca="1">_xll.BDH($C$503,"DIVIDEND_PER_SHARE_1_YEAR_GROWTH","FQ4 2017","FQ4 2017","Currency=INR","Period=FQ","BEST_FPERIOD_OVERRIDE=FQ","FILING_STATUS=OR","EQY_CONSOLIDATED=Y","Sort=A","Dates=H","DateFormat=P","Fill=—","Direction=H","UseDPDF=Y")</f>
        <v>#NAME?</v>
      </c>
      <c r="Z522" s="1" t="e">
        <f ca="1">_xll.BDH($C$503,"ACCOUNTS_RECEIVABLE_GROWTH","FQ4 2017","FQ4 2017","Currency=INR","Period=FQ","BEST_FPERIOD_OVERRIDE=FQ","FILING_STATUS=OR","EQY_CONSOLIDATED=Y","Sort=A","Dates=H","DateFormat=P","Fill=—","Direction=H","UseDPDF=Y")</f>
        <v>#NAME?</v>
      </c>
      <c r="AA522" s="1" t="e">
        <f ca="1">_xll.BDH($C$503,"INVENTORY_GROWTH","FQ4 2017","FQ4 2017","Currency=INR","Period=FQ","BEST_FPERIOD_OVERRIDE=FQ","FILING_STATUS=OR","EQY_CONSOLIDATED=Y","Sort=A","Dates=H","DateFormat=P","Fill=—","Direction=H","UseDPDF=Y")</f>
        <v>#NAME?</v>
      </c>
      <c r="AB522" s="1" t="e">
        <f ca="1">_xll.BDH($C$503,"NET_FIXED_ASSETS_1_YEAR_GROWTH","FQ4 2017","FQ4 2017","Currency=INR","Period=FQ","BEST_FPERIOD_OVERRIDE=FQ","FILING_STATUS=OR","EQY_CONSOLIDATED=Y","Sort=A","Dates=H","DateFormat=P","Fill=—","Direction=H","UseDPDF=Y")</f>
        <v>#NAME?</v>
      </c>
      <c r="AC522" s="1" t="e">
        <f ca="1">_xll.BDH($C$503,"ASSET_GROWTH","FQ4 2017","FQ4 2017","Currency=INR","Period=FQ","BEST_FPERIOD_OVERRIDE=FQ","FILING_STATUS=OR","EQY_CONSOLIDATED=Y","Sort=A","Dates=H","DateFormat=P","Fill=—","Direction=H","UseDPDF=Y")</f>
        <v>#NAME?</v>
      </c>
      <c r="AD522" s="1" t="e">
        <f ca="1">_xll.BDH($C$503,"MODIFIED_WORK_CAP_GROWTH","FQ4 2017","FQ4 2017","Currency=INR","Period=FQ","BEST_FPERIOD_OVERRIDE=FQ","FILING_STATUS=OR","EQY_CONSOLIDATED=Y","Sort=A","Dates=H","DateFormat=P","Fill=—","Direction=H","UseDPDF=Y")</f>
        <v>#NAME?</v>
      </c>
      <c r="AE522" s="1" t="e">
        <f ca="1">_xll.BDH($C$503,"WORK_CAP_GROWTH","FQ4 2017","FQ4 2017","Currency=INR","Period=FQ","BEST_FPERIOD_OVERRIDE=FQ","FILING_STATUS=OR","EQY_CONSOLIDATED=Y","Sort=A","Dates=H","DateFormat=P","Fill=—","Direction=H","UseDPDF=Y")</f>
        <v>#NAME?</v>
      </c>
      <c r="AF522" s="1" t="e">
        <f ca="1">_xll.BDH($C$503,"ACCOUNTS_PAYABLE_GROWTH_1YR","FQ4 2017","FQ4 2017","Currency=INR","Period=FQ","BEST_FPERIOD_OVERRIDE=FQ","FILING_STATUS=OR","EQY_CONSOLIDATED=Y","Sort=A","Dates=H","DateFormat=P","Fill=—","Direction=H","UseDPDF=Y")</f>
        <v>#NAME?</v>
      </c>
      <c r="AG522" s="1" t="e">
        <f ca="1">_xll.BDH($C$503,"SHORT_TERM_DEBT_1_YEAR_GROWTH","FQ4 2017","FQ4 2017","Currency=INR","Period=FQ","BEST_FPERIOD_OVERRIDE=FQ","FILING_STATUS=OR","EQY_CONSOLIDATED=Y","Sort=A","Dates=H","DateFormat=P","Fill=—","Direction=H","UseDPDF=Y")</f>
        <v>#NAME?</v>
      </c>
      <c r="AH522" s="1" t="e">
        <f ca="1">_xll.BDH($C$503,"TOTAL_DEBT_1_YEAR_GROWTH","FQ4 2017","FQ4 2017","Currency=INR","Period=FQ","BEST_FPERIOD_OVERRIDE=FQ","FILING_STATUS=OR","EQY_CONSOLIDATED=Y","Sort=A","Dates=H","DateFormat=P","Fill=—","Direction=H","UseDPDF=Y")</f>
        <v>#NAME?</v>
      </c>
      <c r="AI522" s="1" t="e">
        <f ca="1">_xll.BDH($C$503,"TOTAL_EQUITY_1_YEAR_GROWTH","FQ4 2017","FQ4 2017","Currency=INR","Period=FQ","BEST_FPERIOD_OVERRIDE=FQ","FILING_STATUS=OR","EQY_CONSOLIDATED=Y","Sort=A","Dates=H","DateFormat=P","Fill=—","Direction=H","UseDPDF=Y")</f>
        <v>#NAME?</v>
      </c>
      <c r="AJ522" s="1" t="e">
        <f ca="1">_xll.BDH($C$503,"GROWTH_IN_CAP","FQ4 2017","FQ4 2017","Currency=INR","Period=FQ","BEST_FPERIOD_OVERRIDE=FQ","FILING_STATUS=OR","EQY_CONSOLIDATED=Y","Sort=A","Dates=H","DateFormat=P","Fill=—","Direction=H","UseDPDF=Y")</f>
        <v>#NAME?</v>
      </c>
      <c r="AK522" s="1" t="e">
        <f ca="1">_xll.BDH($C$503,"BVPS_GROWTH","FQ4 2017","FQ4 2017","Currency=INR","Period=FQ","BEST_FPERIOD_OVERRIDE=FQ","FILING_STATUS=OR","EQY_CONSOLIDATED=Y","Sort=A","Dates=H","DateFormat=P","Fill=—","Direction=H","UseDPDF=Y")</f>
        <v>#NAME?</v>
      </c>
      <c r="AL522" s="1" t="e">
        <f ca="1">_xll.BDH($C$503,"CASH_FLOW_GROWTH","FQ4 2017","FQ4 2017","Currency=INR","Period=FQ","BEST_FPERIOD_OVERRIDE=FQ","FILING_STATUS=OR","EQY_CONSOLIDATED=Y","Sort=A","Dates=H","DateFormat=P","Fill=—","Direction=H","UseDPDF=Y")</f>
        <v>#NAME?</v>
      </c>
      <c r="AM522" s="1" t="e">
        <f ca="1">_xll.BDH($C$503,"GEO_GROW_NET_SALES","FQ4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22" s="1" t="e">
        <f ca="1">_xll.BDH($C$503,"GEO_GROW_EBITDA","FQ4 2017","FQ4 2017","Currency=INR","Period=FQ","BEST_FPERIOD_OVERRIDE=FQ","FILING_STATUS=OR","EQY_CONSOLIDATED=Y","FA_ADJUSTED=GAAP","Sort=A","Dates=H","DateFormat=P","Fill=—","Direction=H","UseDPDF=Y")</f>
        <v>#NAME?</v>
      </c>
      <c r="AO522" s="1" t="e">
        <f ca="1">_xll.BDH($C$503,"GEO_GROW_OPER_INC","FQ4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22" s="1" t="e">
        <f ca="1">_xll.BDH($C$503,"NET_INCOME_TO_COMMON_5_YR_GROWTH","FQ4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22" s="1" t="e">
        <f ca="1">_xll.BDH($C$503,"5Y_GEO_GROWTH_DILUTED_EPS","FQ4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22" s="1" t="e">
        <f ca="1">_xll.BDH($C$503,"GEO_GROW_DVD_PER_SH","FQ4 2017","FQ4 2017","Currency=INR","Period=FQ","BEST_FPERIOD_OVERRIDE=FQ","FILING_STATUS=OR","EQY_CONSOLIDATED=Y","Sort=A","Dates=H","DateFormat=P","Fill=—","Direction=H","UseDPDF=Y")</f>
        <v>#NAME?</v>
      </c>
      <c r="AS522" s="1" t="e">
        <f ca="1">_xll.BDH($C$503,"ACCOUNTS_RECEIVABLE_5_YR_GROWTH","FQ4 2017","FQ4 2017","Currency=INR","Period=FQ","BEST_FPERIOD_OVERRIDE=FQ","FILING_STATUS=OR","EQY_CONSOLIDATED=Y","Sort=A","Dates=H","DateFormat=P","Fill=—","Direction=H","UseDPDF=Y")</f>
        <v>#NAME?</v>
      </c>
      <c r="AT522" s="1" t="e">
        <f ca="1">_xll.BDH($C$503,"INVENTORY_5_YEAR_GROWTH","FQ4 2017","FQ4 2017","Currency=INR","Period=FQ","BEST_FPERIOD_OVERRIDE=FQ","FILING_STATUS=OR","EQY_CONSOLIDATED=Y","Sort=A","Dates=H","DateFormat=P","Fill=—","Direction=H","UseDPDF=Y")</f>
        <v>#NAME?</v>
      </c>
      <c r="AU522" s="1" t="e">
        <f ca="1">_xll.BDH($C$503,"NET_FIXED_ASSETS_5_YEAR_GROWTH","FQ4 2017","FQ4 2017","Currency=INR","Period=FQ","BEST_FPERIOD_OVERRIDE=FQ","FILING_STATUS=OR","EQY_CONSOLIDATED=Y","Sort=A","Dates=H","DateFormat=P","Fill=—","Direction=H","UseDPDF=Y")</f>
        <v>#NAME?</v>
      </c>
      <c r="AV522" s="1" t="e">
        <f ca="1">_xll.BDH($C$503,"GEO_GROW_TOT_ASSET","FQ4 2017","FQ4 2017","Currency=INR","Period=FQ","BEST_FPERIOD_OVERRIDE=FQ","FILING_STATUS=OR","EQY_CONSOLIDATED=Y","Sort=A","Dates=H","DateFormat=P","Fill=—","Direction=H","UseDPDF=Y")</f>
        <v>#NAME?</v>
      </c>
      <c r="AW522" s="1" t="e">
        <f ca="1">_xll.BDH($C$503,"MODIFIED_WORKING_CPTL_5YR_GRWTH","FQ4 2017","FQ4 2017","Currency=INR","Period=FQ","BEST_FPERIOD_OVERRIDE=FQ","FILING_STATUS=OR","EQY_CONSOLIDATED=Y","Sort=A","Dates=H","DateFormat=P","Fill=—","Direction=H","UseDPDF=Y")</f>
        <v>#NAME?</v>
      </c>
      <c r="AX522" s="1" t="e">
        <f ca="1">_xll.BDH($C$503,"WORKING_CAPITAL_5_YEAR_GROWTH","FQ4 2017","FQ4 2017","Currency=INR","Period=FQ","BEST_FPERIOD_OVERRIDE=FQ","FILING_STATUS=OR","EQY_CONSOLIDATED=Y","Sort=A","Dates=H","DateFormat=P","Fill=—","Direction=H","UseDPDF=Y")</f>
        <v>#NAME?</v>
      </c>
      <c r="AY522" s="1" t="e">
        <f ca="1">_xll.BDH($C$503,"ACCOUNTS_PAYABLE_5_YEAR_GROWTH","FQ4 2017","FQ4 2017","Currency=INR","Period=FQ","BEST_FPERIOD_OVERRIDE=FQ","FILING_STATUS=OR","EQY_CONSOLIDATED=Y","Sort=A","Dates=H","DateFormat=P","Fill=—","Direction=H","UseDPDF=Y")</f>
        <v>#NAME?</v>
      </c>
      <c r="AZ522" s="1" t="e">
        <f ca="1">_xll.BDH($C$503,"SHORT_TERM_DEBT_5_YEAR_GROWTH","FQ4 2017","FQ4 2017","Currency=INR","Period=FQ","BEST_FPERIOD_OVERRIDE=FQ","FILING_STATUS=OR","EQY_CONSOLIDATED=Y","Sort=A","Dates=H","DateFormat=P","Fill=—","Direction=H","UseDPDF=Y")</f>
        <v>#NAME?</v>
      </c>
      <c r="BA522" s="1" t="e">
        <f ca="1">_xll.BDH($C$503,"TOTAL_DEBT_5_YEAR_GROWTH","FQ4 2017","FQ4 2017","Currency=INR","Period=FQ","BEST_FPERIOD_OVERRIDE=FQ","FILING_STATUS=OR","EQY_CONSOLIDATED=Y","Sort=A","Dates=H","DateFormat=P","Fill=—","Direction=H","UseDPDF=Y")</f>
        <v>#NAME?</v>
      </c>
      <c r="BB522" s="1" t="e">
        <f ca="1">_xll.BDH($C$503,"GEO_GROW_TOT_SHRHLDR_EQY","FQ4 2017","FQ4 2017","Currency=INR","Period=FQ","BEST_FPERIOD_OVERRIDE=FQ","FILING_STATUS=OR","EQY_CONSOLIDATED=Y","Sort=A","Dates=H","DateFormat=P","Fill=—","Direction=H","UseDPDF=Y")</f>
        <v>#NAME?</v>
      </c>
      <c r="BC522" s="1" t="e">
        <f ca="1">_xll.BDH($C$503,"TOTAL_CAPITAL_5_YEAR_GROWTH","FQ4 2017","FQ4 2017","Currency=INR","Period=FQ","BEST_FPERIOD_OVERRIDE=FQ","FILING_STATUS=OR","EQY_CONSOLIDATED=Y","Sort=A","Dates=H","DateFormat=P","Fill=—","Direction=H","UseDPDF=Y")</f>
        <v>#NAME?</v>
      </c>
      <c r="BD522" s="1" t="e">
        <f ca="1">_xll.BDH($C$503,"GEO_GROW_BOOK_VAL","FQ4 2017","FQ4 2017","Currency=INR","Period=FQ","BEST_FPERIOD_OVERRIDE=FQ","FILING_STATUS=OR","EQY_CONSOLIDATED=Y","Sort=A","Dates=H","DateFormat=P","Fill=—","Direction=H","UseDPDF=Y")</f>
        <v>#NAME?</v>
      </c>
      <c r="BE522" s="1" t="e">
        <f ca="1">_xll.BDH($C$503,"GEO_GROW_CASH_OPER_ACT","FQ4 2017","FQ4 2017","Currency=INR","Period=FQ","BEST_FPERIOD_OVERRIDE=FQ","FILING_STATUS=OR","EQY_CONSOLIDATED=Y","Sort=A","Dates=H","DateFormat=P","Fill=—","Direction=H","UseDPDF=Y")</f>
        <v>#NAME?</v>
      </c>
      <c r="BF522" s="1" t="e">
        <f ca="1">_xll.BDH($C$503,"REVENUE_SEQUENTIAL_GROWTH","FQ4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22" s="1" t="e">
        <f ca="1">_xll.BDH($C$503,"EBITDA_SEQUENTIAL_GROWTH","FQ4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22" s="1" t="e">
        <f ca="1">_xll.BDH($C$503,"OPERATING_INCOME_SEQ_GROWTH","FQ4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22" s="1" t="e">
        <f ca="1">_xll.BDH($C$503,"NET_INCOME_TO_COMMON_SEQ_GROWTH","FQ4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22" s="1" t="e">
        <f ca="1">_xll.BDH($C$503,"EPS_DILUTED_SEQUENTIAL_GROWTH","FQ4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22" s="1" t="e">
        <f ca="1">_xll.BDH($C$503,"DPS_SEQUENTIAL_GROWTH","FQ4 2017","FQ4 2017","Currency=INR","Period=FQ","BEST_FPERIOD_OVERRIDE=FQ","FILING_STATUS=OR","EQY_CONSOLIDATED=Y","Sort=A","Dates=H","DateFormat=P","Fill=—","Direction=H","UseDPDF=Y")</f>
        <v>#NAME?</v>
      </c>
      <c r="BL522" s="1" t="e">
        <f ca="1">_xll.BDH($C$503,"ACCOUNTS_RECEIVABLE_SEQ_GROWTH","FQ4 2017","FQ4 2017","Currency=INR","Period=FQ","BEST_FPERIOD_OVERRIDE=FQ","FILING_STATUS=OR","EQY_CONSOLIDATED=Y","Sort=A","Dates=H","DateFormat=P","Fill=—","Direction=H","UseDPDF=Y")</f>
        <v>#NAME?</v>
      </c>
      <c r="BM522" s="1" t="e">
        <f ca="1">_xll.BDH($C$503,"INVENTORY_SEQUENTIAL_GROWTH","FQ4 2017","FQ4 2017","Currency=INR","Period=FQ","BEST_FPERIOD_OVERRIDE=FQ","FILING_STATUS=OR","EQY_CONSOLIDATED=Y","Sort=A","Dates=H","DateFormat=P","Fill=—","Direction=H","UseDPDF=Y")</f>
        <v>#NAME?</v>
      </c>
      <c r="BN522" s="1" t="e">
        <f ca="1">_xll.BDH($C$503,"FIXED_ASSETS_SEQUENTIAL_GROWTH","FQ4 2017","FQ4 2017","Currency=INR","Period=FQ","BEST_FPERIOD_OVERRIDE=FQ","FILING_STATUS=OR","EQY_CONSOLIDATED=Y","Sort=A","Dates=H","DateFormat=P","Fill=—","Direction=H","UseDPDF=Y")</f>
        <v>#NAME?</v>
      </c>
      <c r="BO522" s="1" t="e">
        <f ca="1">_xll.BDH($C$503,"TOTAL_ASSETS_SEQUENTIAL_GROWTH","FQ4 2017","FQ4 2017","Currency=INR","Period=FQ","BEST_FPERIOD_OVERRIDE=FQ","FILING_STATUS=OR","EQY_CONSOLIDATED=Y","Sort=A","Dates=H","DateFormat=P","Fill=—","Direction=H","UseDPDF=Y")</f>
        <v>#NAME?</v>
      </c>
      <c r="BP522" s="1" t="e">
        <f ca="1">_xll.BDH($C$503,"MODIFIED_WORKING_CPTL_SEQ_GRWTH","FQ4 2017","FQ4 2017","Currency=INR","Period=FQ","BEST_FPERIOD_OVERRIDE=FQ","FILING_STATUS=OR","EQY_CONSOLIDATED=Y","Sort=A","Dates=H","DateFormat=P","Fill=—","Direction=H","UseDPDF=Y")</f>
        <v>#NAME?</v>
      </c>
      <c r="BQ522" s="1" t="e">
        <f ca="1">_xll.BDH($C$503,"WORKING_CAPITAL_SEQ_GROWTH","FQ4 2017","FQ4 2017","Currency=INR","Period=FQ","BEST_FPERIOD_OVERRIDE=FQ","FILING_STATUS=OR","EQY_CONSOLIDATED=Y","Sort=A","Dates=H","DateFormat=P","Fill=—","Direction=H","UseDPDF=Y")</f>
        <v>#NAME?</v>
      </c>
      <c r="BR522" s="1" t="e">
        <f ca="1">_xll.BDH($C$503,"ACCOUNTS_PAYABLE_SEQ_GROWTH","FQ4 2017","FQ4 2017","Currency=INR","Period=FQ","BEST_FPERIOD_OVERRIDE=FQ","FILING_STATUS=OR","EQY_CONSOLIDATED=Y","Sort=A","Dates=H","DateFormat=P","Fill=—","Direction=H","UseDPDF=Y")</f>
        <v>#NAME?</v>
      </c>
      <c r="BS522" s="1" t="e">
        <f ca="1">_xll.BDH($C$503,"ST_DEBT_SEQUENTIAL_GROWTH","FQ4 2017","FQ4 2017","Currency=INR","Period=FQ","BEST_FPERIOD_OVERRIDE=FQ","FILING_STATUS=OR","EQY_CONSOLIDATED=Y","Sort=A","Dates=H","DateFormat=P","Fill=—","Direction=H","UseDPDF=Y")</f>
        <v>#NAME?</v>
      </c>
      <c r="BT522" s="1" t="e">
        <f ca="1">_xll.BDH($C$503,"TOTAL_DEBT_SEQUENTIAL_GROWTH","FQ4 2017","FQ4 2017","Currency=INR","Period=FQ","BEST_FPERIOD_OVERRIDE=FQ","FILING_STATUS=OR","EQY_CONSOLIDATED=Y","Sort=A","Dates=H","DateFormat=P","Fill=—","Direction=H","UseDPDF=Y")</f>
        <v>#NAME?</v>
      </c>
      <c r="BU522" s="1" t="e">
        <f ca="1">_xll.BDH($C$503,"TOTAL_EQUITY_SEQUENTIAL_GROWTH","FQ4 2017","FQ4 2017","Currency=INR","Period=FQ","BEST_FPERIOD_OVERRIDE=FQ","FILING_STATUS=OR","EQY_CONSOLIDATED=Y","Sort=A","Dates=H","DateFormat=P","Fill=—","Direction=H","UseDPDF=Y")</f>
        <v>#NAME?</v>
      </c>
      <c r="BV522" s="1" t="e">
        <f ca="1">_xll.BDH($C$503,"TOTAL_CAPITAL_SEQUENTIAL_GROWTH","FQ4 2017","FQ4 2017","Currency=INR","Period=FQ","BEST_FPERIOD_OVERRIDE=FQ","FILING_STATUS=OR","EQY_CONSOLIDATED=Y","Sort=A","Dates=H","DateFormat=P","Fill=—","Direction=H","UseDPDF=Y")</f>
        <v>#NAME?</v>
      </c>
      <c r="BW522" s="1" t="e">
        <f ca="1">_xll.BDH($C$503,"BPS_SEQUENTIAL_GROWTH","FQ4 2017","FQ4 2017","Currency=INR","Period=FQ","BEST_FPERIOD_OVERRIDE=FQ","FILING_STATUS=OR","EQY_CONSOLIDATED=Y","Sort=A","Dates=H","DateFormat=P","Fill=—","Direction=H","UseDPDF=Y")</f>
        <v>#NAME?</v>
      </c>
      <c r="BX522" s="1" t="e">
        <f ca="1">_xll.BDH($C$503,"CFO_SEQUENTIAL_GROWTH","FQ4 2017","FQ4 2017","Currency=INR","Period=FQ","BEST_FPERIOD_OVERRIDE=FQ","FILING_STATUS=OR","EQY_CONSOLIDATED=Y","Sort=A","Dates=H","DateFormat=P","Fill=—","Direction=H","UseDPDF=Y")</f>
        <v>#NAME?</v>
      </c>
      <c r="BY522" s="2" t="e">
        <f ca="1">_xll.BDH($C$503,"SHORT_AND_LONG_TERM_DEBT","FQ4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22" s="2" t="e">
        <f ca="1">_xll.BDH($C$503,"BS_ST_BORROW","FQ4 2017","FQ4 2017","Currency=INR","Period=FQ","BEST_FPERIOD_OVERRIDE=FQ","FILING_STATUS=OR","EQY_CONSOLIDATED=Y","SCALING_FORMAT=MLN","Sort=A","Dates=H","DateFormat=P","Fill=—","Direction=H","UseDPDF=Y")</f>
        <v>#NAME?</v>
      </c>
      <c r="CA522" s="2" t="e">
        <f ca="1">_xll.BDH($C$503,"BS_LT_BORROW","FQ4 2017","FQ4 2017","Currency=INR","Period=FQ","BEST_FPERIOD_OVERRIDE=FQ","FILING_STATUS=OR","EQY_CONSOLIDATED=Y","SCALING_FORMAT=MLN","Sort=A","Dates=H","DateFormat=P","Fill=—","Direction=H","UseDPDF=Y")</f>
        <v>#NAME?</v>
      </c>
      <c r="CB522" s="1" t="e">
        <f ca="1">_xll.BDH($C$503,"TOT_DEBT_TO_EBITDA","FQ4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22" s="1" t="e">
        <f ca="1">_xll.BDH($C$503,"NET_DEBT_TO_EBITDA","FQ4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22" s="1" t="e">
        <f ca="1">_xll.BDH($C$503,"TOTAL_DEBT_TO_EBIT","FQ4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22" s="1" t="e">
        <f ca="1">_xll.BDH($C$503,"NET_DEBT_TO_EBIT","FQ4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522" s="1" t="e">
        <f ca="1">_xll.BDH($C$503,"EBITDA_TO_INTEREST_EXPN","FQ4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22" s="1" t="e">
        <f ca="1">_xll.BDH($C$503,"COM_EQY_TO_TOT_ASSET","FQ4 2017","FQ4 2017","Currency=INR","Period=FQ","BEST_FPERIOD_OVERRIDE=FQ","FILING_STATUS=OR","EQY_CONSOLIDATED=Y","Sort=A","Dates=H","DateFormat=P","Fill=—","Direction=H","UseDPDF=Y")</f>
        <v>#NAME?</v>
      </c>
      <c r="CH522" s="1" t="e">
        <f ca="1">_xll.BDH($C$503,"LT_DEBT_TO_TOT_EQY","FQ4 2017","FQ4 2017","Currency=INR","Period=FQ","BEST_FPERIOD_OVERRIDE=FQ","FILING_STATUS=OR","EQY_CONSOLIDATED=Y","Sort=A","Dates=H","DateFormat=P","Fill=—","Direction=H","UseDPDF=Y")</f>
        <v>#NAME?</v>
      </c>
      <c r="CI522" s="1" t="e">
        <f ca="1">_xll.BDH($C$503,"LT_DEBT_TO_TOT_CAP","FQ4 2017","FQ4 2017","Currency=INR","Period=FQ","BEST_FPERIOD_OVERRIDE=FQ","FILING_STATUS=OR","EQY_CONSOLIDATED=Y","Sort=A","Dates=H","DateFormat=P","Fill=—","Direction=H","UseDPDF=Y")</f>
        <v>#NAME?</v>
      </c>
      <c r="CJ522" s="1" t="e">
        <f ca="1">_xll.BDH($C$503,"LT_DEBT_TO_TOT_ASSET","FQ4 2017","FQ4 2017","Currency=INR","Period=FQ","BEST_FPERIOD_OVERRIDE=FQ","FILING_STATUS=OR","EQY_CONSOLIDATED=Y","Sort=A","Dates=H","DateFormat=P","Fill=—","Direction=H","UseDPDF=Y")</f>
        <v>#NAME?</v>
      </c>
      <c r="CK522" s="1" t="e">
        <f ca="1">_xll.BDH($C$503,"TOT_DEBT_TO_TOT_EQY","FQ4 2017","FQ4 2017","Currency=INR","Period=FQ","BEST_FPERIOD_OVERRIDE=FQ","FILING_STATUS=OR","EQY_CONSOLIDATED=Y","Sort=A","Dates=H","DateFormat=P","Fill=—","Direction=H","UseDPDF=Y")</f>
        <v>#NAME?</v>
      </c>
      <c r="CL522" s="1" t="e">
        <f ca="1">_xll.BDH($C$503,"TOT_DEBT_TO_TOT_CAP","FQ4 2017","FQ4 2017","Currency=INR","Period=FQ","BEST_FPERIOD_OVERRIDE=FQ","FILING_STATUS=OR","EQY_CONSOLIDATED=Y","Sort=A","Dates=H","DateFormat=P","Fill=—","Direction=H","UseDPDF=Y")</f>
        <v>#NAME?</v>
      </c>
      <c r="CM522" s="1" t="e">
        <f ca="1">_xll.BDH($C$503,"TOT_DEBT_TO_TOT_ASSET","FQ4 2017","FQ4 2017","Currency=INR","Period=FQ","BEST_FPERIOD_OVERRIDE=FQ","FILING_STATUS=OR","EQY_CONSOLIDATED=Y","Sort=A","Dates=H","DateFormat=P","Fill=—","Direction=H","UseDPDF=Y")</f>
        <v>#NAME?</v>
      </c>
      <c r="CN522" s="1" t="e">
        <f ca="1">_xll.BDH($C$503,"NET_DEBT_TO_SHRHLDR_EQTY","FQ4 2017","FQ4 2017","Currency=INR","Period=FQ","BEST_FPERIOD_OVERRIDE=FQ","FILING_STATUS=OR","EQY_CONSOLIDATED=Y","Sort=A","Dates=H","DateFormat=P","Fill=—","Direction=H","UseDPDF=Y")</f>
        <v>#NAME?</v>
      </c>
      <c r="CO522" s="1" t="e">
        <f ca="1">_xll.BDH($C$503,"NET_DEBT_%_CAPITAL","FQ4 2017","FQ4 2017","Currency=INR","Period=FQ","BEST_FPERIOD_OVERRIDE=FQ","FILING_STATUS=OR","EQY_CONSOLIDATED=Y","Sort=A","Dates=H","DateFormat=P","Fill=—","Direction=H","UseDPDF=Y")</f>
        <v>#NAME?</v>
      </c>
      <c r="CP522" s="2" t="e">
        <f ca="1">_xll.BDH($C$503,"EBITDA","FQ4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22" s="2" t="e">
        <f ca="1">_xll.BDH($C$503,"EBITDA_AFTER_CAPEX","FQ4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22" s="2" t="e">
        <f ca="1">_xll.BDH($C$503,"IS_OPER_INC","FQ4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22" s="1" t="e">
        <f ca="1">_xll.BDH($C$503,"CASH_RATIO","FQ4 2017","FQ4 2017","Currency=INR","Period=FQ","BEST_FPERIOD_OVERRIDE=FQ","FILING_STATUS=OR","EQY_CONSOLIDATED=Y","Sort=A","Dates=H","DateFormat=P","Fill=—","Direction=H","UseDPDF=Y")</f>
        <v>#NAME?</v>
      </c>
      <c r="CT522" s="1" t="e">
        <f ca="1">_xll.BDH($C$503,"CUR_RATIO","FQ4 2017","FQ4 2017","Currency=INR","Period=FQ","BEST_FPERIOD_OVERRIDE=FQ","FILING_STATUS=OR","EQY_CONSOLIDATED=Y","Sort=A","Dates=H","DateFormat=P","Fill=—","Direction=H","UseDPDF=Y")</f>
        <v>#NAME?</v>
      </c>
      <c r="CU522" s="1" t="e">
        <f ca="1">_xll.BDH($C$503,"QUICK_RATIO","FQ4 2017","FQ4 2017","Currency=INR","Period=FQ","BEST_FPERIOD_OVERRIDE=FQ","FILING_STATUS=OR","EQY_CONSOLIDATED=Y","Sort=A","Dates=H","DateFormat=P","Fill=—","Direction=H","UseDPDF=Y")</f>
        <v>#NAME?</v>
      </c>
      <c r="CV522" s="1" t="e">
        <f ca="1">_xll.BDH($C$503,"ALTMAN_Z_SCORE","FQ4 2017","FQ4 2017","Currency=INR","Period=FQ","BEST_FPERIOD_OVERRIDE=FQ","FILING_STATUS=OR","EQY_CONSOLIDATED=Y","Sort=A","Dates=H","DateFormat=P","Fill=—","Direction=H","UseDPDF=Y")</f>
        <v>#NAME?</v>
      </c>
      <c r="CW522" s="3" t="e">
        <f ca="1">_xll.BDH($C$503,"ACCT_RCV_TURN","FQ4 2017","FQ4 2017","Currency=INR","Period=FQ","BEST_FPERIOD_OVERRIDE=FQ","FILING_STATUS=OR","EQY_CONSOLIDATED=Y","FA_ADJUSTED=GAAP","Sort=A","Dates=H","DateFormat=P","Fill=—","Direction=H","UseDPDF=Y")</f>
        <v>#NAME?</v>
      </c>
      <c r="CX522" s="1" t="e">
        <f ca="1">_xll.BDH($C$503,"ACCT_RCV_DAYS","FQ4 2017","FQ4 2017","Currency=INR","Period=FQ","BEST_FPERIOD_OVERRIDE=FQ","FILING_STATUS=OR","EQY_CONSOLIDATED=Y","FA_ADJUSTED=GAAP","Sort=A","Dates=H","DateFormat=P","Fill=—","Direction=H","UseDPDF=Y")</f>
        <v>#NAME?</v>
      </c>
      <c r="CY522" s="3" t="e">
        <f ca="1">_xll.BDH($C$503,"INVENT_TURN","FQ4 2017","FQ4 2017","Currency=INR","Period=FQ","BEST_FPERIOD_OVERRIDE=FQ","FILING_STATUS=OR","EQY_CONSOLIDATED=Y","FA_ADJUSTED=GAAP","Sort=A","Dates=H","DateFormat=P","Fill=—","Direction=H","UseDPDF=Y")</f>
        <v>#NAME?</v>
      </c>
      <c r="CZ522" s="1" t="e">
        <f ca="1">_xll.BDH($C$503,"INVENT_DAYS","FQ4 2017","FQ4 2017","Currency=INR","Period=FQ","BEST_FPERIOD_OVERRIDE=FQ","FILING_STATUS=OR","EQY_CONSOLIDATED=Y","FA_ADJUSTED=GAAP","Sort=A","Dates=H","DateFormat=P","Fill=—","Direction=H","UseDPDF=Y")</f>
        <v>#NAME?</v>
      </c>
      <c r="DA522" s="3" t="e">
        <f ca="1">_xll.BDH($C$503,"ACCOUNTS_PAYABLE_TURNOVER","FQ4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22" s="1" t="e">
        <f ca="1">_xll.BDH($C$503,"ACCOUNTS_PAYABLE_TURNOVER_DAYS","FQ4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22" s="3" t="e">
        <f ca="1">_xll.BDH($C$503,"CASH_CONVERSION_CYCLE","FQ4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22" s="3" t="e">
        <f ca="1">_xll.BDH($C$503,"INV_TO_CASH_DAYS","FQ4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522" s="4" t="e">
        <f ca="1">_xll.BDH($C$503,"BS_INVENTORIES","FQ4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522" s="2" t="e">
        <f ca="1">_xll.BDH($C$503,"INVTRY_RAW_MATERIALS","FQ4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22" s="2" t="e">
        <f ca="1">_xll.BDH($C$503,"INVTRY_IN_PROGRESS","FQ4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22" s="2" t="e">
        <f ca="1">_xll.BDH($C$503,"INVTRY_FINISHED_GOODS","FQ4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22" s="2" t="e">
        <f ca="1">_xll.BDH($C$503,"BS_OTHER_INV","FQ4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23" spans="1:113" x14ac:dyDescent="0.3">
      <c r="A523" s="6"/>
      <c r="B523" s="6"/>
      <c r="C523" s="6"/>
      <c r="D523" s="6" t="s">
        <v>11</v>
      </c>
      <c r="E523" t="s">
        <v>3</v>
      </c>
      <c r="F523" t="e">
        <f ca="1">_xll.BDH($C$503,"RETURN_COM_EQY","FY 2018","FY 2018","Currency=INR","Period=FY","BEST_FPERIOD_OVERRIDE=FY","FILING_STATUS=OR","EQY_CONSOLIDATED=Y","FA_ADJUSTED=GAAP","Sort=A","Dates=H","DateFormat=P","Fill=—","Direction=H","UseDPDF=Y")</f>
        <v>#NAME?</v>
      </c>
      <c r="G523" t="e">
        <f ca="1">_xll.BDH($C$503,"RETURN_ON_ASSET","FY 2018","FY 2018","Currency=INR","Period=FY","BEST_FPERIOD_OVERRIDE=FY","FILING_STATUS=OR","EQY_CONSOLIDATED=Y","FA_ADJUSTED=GAAP","Sort=A","Dates=H","DateFormat=P","Fill=—","Direction=H","UseDPDF=Y")</f>
        <v>#NAME?</v>
      </c>
      <c r="H523" t="e">
        <f ca="1">_xll.BDH($C$503,"RETURN_ON_CAP","FY 2018","FY 2018","Currency=INR","Period=FY","BEST_FPERIOD_OVERRIDE=FY","FILING_STATUS=OR","EQY_CONSOLIDATED=Y","FA_ADJUSTED=GAAP","Sort=A","Dates=H","DateFormat=P","Fill=—","Direction=H","UseDPDF=Y")</f>
        <v>#NAME?</v>
      </c>
      <c r="I523" t="e">
        <f ca="1">_xll.BDH($C$503,"RETURN_ON_INV_CAPITAL","FY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23" t="e">
        <f ca="1">_xll.BDH($C$503,"EBITDA_TO_REVENUE","FY 2018","FY 2018","Currency=INR","Period=FY","BEST_FPERIOD_OVERRIDE=FY","FILING_STATUS=OR","EQY_CONSOLIDATED=Y","FA_ADJUSTED=GAAP","Sort=A","Dates=H","DateFormat=P","Fill=—","Direction=H","UseDPDF=Y")</f>
        <v>#NAME?</v>
      </c>
      <c r="K523" t="e">
        <f ca="1">_xll.BDH($C$503,"OPER_MARGIN","FY 2018","FY 2018","Currency=INR","Period=FY","BEST_FPERIOD_OVERRIDE=FY","FILING_STATUS=OR","EQY_CONSOLIDATED=Y","FA_ADJUSTED=GAAP","Sort=A","Dates=H","DateFormat=P","Fill=—","Direction=H","UseDPDF=Y")</f>
        <v>#NAME?</v>
      </c>
      <c r="L523" t="e">
        <f ca="1">_xll.BDH($C$503,"INCREMENTAL_OPERATING_MARGIN","FY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23" t="e">
        <f ca="1">_xll.BDH($C$503,"PRETAX_INC_TO_NET_SALES","FY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23" t="e">
        <f ca="1">_xll.BDH($C$503,"INC_BEF_XO_ITEMS_TO_NET_SALES","FY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23" t="e">
        <f ca="1">_xll.BDH($C$503,"PROF_MARGIN","FY 2018","FY 2018","Currency=INR","Period=FY","BEST_FPERIOD_OVERRIDE=FY","FILING_STATUS=OR","EQY_CONSOLIDATED=Y","FA_ADJUSTED=GAAP","Sort=A","Dates=H","DateFormat=P","Fill=—","Direction=H","UseDPDF=Y")</f>
        <v>#NAME?</v>
      </c>
      <c r="P523" t="e">
        <f ca="1">_xll.BDH($C$503,"NET_INCOME_TO_COMMON_MARGIN","FY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23" t="e">
        <f ca="1">_xll.BDH($C$503,"EFF_TAX_RATE","FY 2018","FY 2018","Currency=INR","Period=FY","BEST_FPERIOD_OVERRIDE=FY","FILING_STATUS=OR","EQY_CONSOLIDATED=Y","FA_ADJUSTED=GAAP","Sort=A","Dates=H","DateFormat=P","Fill=—","Direction=H","UseDPDF=Y")</f>
        <v>#NAME?</v>
      </c>
      <c r="R523" t="e">
        <f ca="1">_xll.BDH($C$503,"DVD_PAYOUT_RATIO","FY 2018","FY 2018","Currency=INR","Period=FY","BEST_FPERIOD_OVERRIDE=FY","FILING_STATUS=OR","EQY_CONSOLIDATED=Y","FA_ADJUSTED=GAAP","Sort=A","Dates=H","DateFormat=P","Fill=—","Direction=H","UseDPDF=Y")</f>
        <v>#NAME?</v>
      </c>
      <c r="S523" t="e">
        <f ca="1">_xll.BDH($C$503,"SUSTAIN_GROWTH_RT","FY 2018","FY 2018","Currency=INR","Period=FY","BEST_FPERIOD_OVERRIDE=FY","FILING_STATUS=OR","EQY_CONSOLIDATED=Y","FA_ADJUSTED=GAAP","Sort=A","Dates=H","DateFormat=P","Fill=—","Direction=H","UseDPDF=Y")</f>
        <v>#NAME?</v>
      </c>
      <c r="T523" s="1" t="e">
        <f ca="1">_xll.BDH($C$503,"SALES_GROWTH","FY 2018","FY 2018","Currency=INR","Period=FY","BEST_FPERIOD_OVERRIDE=FY","FILING_STATUS=OR","EQY_CONSOLIDATED=Y","FA_ADJUSTED=GAAP","Sort=A","Dates=H","DateFormat=P","Fill=—","Direction=H","UseDPDF=Y")</f>
        <v>#NAME?</v>
      </c>
      <c r="U523" s="1" t="e">
        <f ca="1">_xll.BDH($C$503,"EBITDA_GROWTH","FY 2018","FY 2018","Currency=INR","Period=FY","BEST_FPERIOD_OVERRIDE=FY","FILING_STATUS=OR","EQY_CONSOLIDATED=Y","FA_ADJUSTED=GAAP","Sort=A","Dates=H","DateFormat=P","Fill=—","Direction=H","UseDPDF=Y")</f>
        <v>#NAME?</v>
      </c>
      <c r="V523" s="1" t="e">
        <f ca="1">_xll.BDH($C$503,"OPER_INC_GROWTH","FY 2018","FY 2018","Currency=INR","Period=FY","BEST_FPERIOD_OVERRIDE=FY","FILING_STATUS=OR","EQY_CONSOLIDATED=Y","FA_ADJUSTED=GAAP","Sort=A","Dates=H","DateFormat=P","Fill=—","Direction=H","UseDPDF=Y")</f>
        <v>#NAME?</v>
      </c>
      <c r="W523" s="1" t="e">
        <f ca="1">_xll.BDH($C$503,"EARN_FOR_COM_GROWTH","FY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523" s="1" t="e">
        <f ca="1">_xll.BDH($C$503,"DILUTED_EPS_AFT_XO_ITEMS_GROWTH","FY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23" s="1" t="e">
        <f ca="1">_xll.BDH($C$503,"DIVIDEND_PER_SHARE_1_YEAR_GROWTH","FY 2018","FY 2018","Currency=INR","Period=FY","BEST_FPERIOD_OVERRIDE=FY","FILING_STATUS=OR","EQY_CONSOLIDATED=Y","Sort=A","Dates=H","DateFormat=P","Fill=—","Direction=H","UseDPDF=Y")</f>
        <v>#NAME?</v>
      </c>
      <c r="Z523" s="1" t="e">
        <f ca="1">_xll.BDH($C$503,"ACCOUNTS_RECEIVABLE_GROWTH","FY 2018","FY 2018","Currency=INR","Period=FY","BEST_FPERIOD_OVERRIDE=FY","FILING_STATUS=OR","EQY_CONSOLIDATED=Y","Sort=A","Dates=H","DateFormat=P","Fill=—","Direction=H","UseDPDF=Y")</f>
        <v>#NAME?</v>
      </c>
      <c r="AA523" s="1" t="e">
        <f ca="1">_xll.BDH($C$503,"INVENTORY_GROWTH","FY 2018","FY 2018","Currency=INR","Period=FY","BEST_FPERIOD_OVERRIDE=FY","FILING_STATUS=OR","EQY_CONSOLIDATED=Y","Sort=A","Dates=H","DateFormat=P","Fill=—","Direction=H","UseDPDF=Y")</f>
        <v>#NAME?</v>
      </c>
      <c r="AB523" s="1" t="e">
        <f ca="1">_xll.BDH($C$503,"NET_FIXED_ASSETS_1_YEAR_GROWTH","FY 2018","FY 2018","Currency=INR","Period=FY","BEST_FPERIOD_OVERRIDE=FY","FILING_STATUS=OR","EQY_CONSOLIDATED=Y","Sort=A","Dates=H","DateFormat=P","Fill=—","Direction=H","UseDPDF=Y")</f>
        <v>#NAME?</v>
      </c>
      <c r="AC523" s="1" t="e">
        <f ca="1">_xll.BDH($C$503,"ASSET_GROWTH","FY 2018","FY 2018","Currency=INR","Period=FY","BEST_FPERIOD_OVERRIDE=FY","FILING_STATUS=OR","EQY_CONSOLIDATED=Y","Sort=A","Dates=H","DateFormat=P","Fill=—","Direction=H","UseDPDF=Y")</f>
        <v>#NAME?</v>
      </c>
      <c r="AD523" s="1" t="e">
        <f ca="1">_xll.BDH($C$503,"MODIFIED_WORK_CAP_GROWTH","FY 2018","FY 2018","Currency=INR","Period=FY","BEST_FPERIOD_OVERRIDE=FY","FILING_STATUS=OR","EQY_CONSOLIDATED=Y","Sort=A","Dates=H","DateFormat=P","Fill=—","Direction=H","UseDPDF=Y")</f>
        <v>#NAME?</v>
      </c>
      <c r="AE523" s="1" t="e">
        <f ca="1">_xll.BDH($C$503,"WORK_CAP_GROWTH","FY 2018","FY 2018","Currency=INR","Period=FY","BEST_FPERIOD_OVERRIDE=FY","FILING_STATUS=OR","EQY_CONSOLIDATED=Y","Sort=A","Dates=H","DateFormat=P","Fill=—","Direction=H","UseDPDF=Y")</f>
        <v>#NAME?</v>
      </c>
      <c r="AF523" s="1" t="e">
        <f ca="1">_xll.BDH($C$503,"ACCOUNTS_PAYABLE_GROWTH_1YR","FY 2018","FY 2018","Currency=INR","Period=FY","BEST_FPERIOD_OVERRIDE=FY","FILING_STATUS=OR","EQY_CONSOLIDATED=Y","Sort=A","Dates=H","DateFormat=P","Fill=—","Direction=H","UseDPDF=Y")</f>
        <v>#NAME?</v>
      </c>
      <c r="AG523" s="1" t="e">
        <f ca="1">_xll.BDH($C$503,"SHORT_TERM_DEBT_1_YEAR_GROWTH","FY 2018","FY 2018","Currency=INR","Period=FY","BEST_FPERIOD_OVERRIDE=FY","FILING_STATUS=OR","EQY_CONSOLIDATED=Y","Sort=A","Dates=H","DateFormat=P","Fill=—","Direction=H","UseDPDF=Y")</f>
        <v>#NAME?</v>
      </c>
      <c r="AH523" s="1" t="e">
        <f ca="1">_xll.BDH($C$503,"TOTAL_DEBT_1_YEAR_GROWTH","FY 2018","FY 2018","Currency=INR","Period=FY","BEST_FPERIOD_OVERRIDE=FY","FILING_STATUS=OR","EQY_CONSOLIDATED=Y","Sort=A","Dates=H","DateFormat=P","Fill=—","Direction=H","UseDPDF=Y")</f>
        <v>#NAME?</v>
      </c>
      <c r="AI523" s="1" t="e">
        <f ca="1">_xll.BDH($C$503,"TOTAL_EQUITY_1_YEAR_GROWTH","FY 2018","FY 2018","Currency=INR","Period=FY","BEST_FPERIOD_OVERRIDE=FY","FILING_STATUS=OR","EQY_CONSOLIDATED=Y","Sort=A","Dates=H","DateFormat=P","Fill=—","Direction=H","UseDPDF=Y")</f>
        <v>#NAME?</v>
      </c>
      <c r="AJ523" s="1" t="e">
        <f ca="1">_xll.BDH($C$503,"GROWTH_IN_CAP","FY 2018","FY 2018","Currency=INR","Period=FY","BEST_FPERIOD_OVERRIDE=FY","FILING_STATUS=OR","EQY_CONSOLIDATED=Y","Sort=A","Dates=H","DateFormat=P","Fill=—","Direction=H","UseDPDF=Y")</f>
        <v>#NAME?</v>
      </c>
      <c r="AK523" s="1" t="e">
        <f ca="1">_xll.BDH($C$503,"BVPS_GROWTH","FY 2018","FY 2018","Currency=INR","Period=FY","BEST_FPERIOD_OVERRIDE=FY","FILING_STATUS=OR","EQY_CONSOLIDATED=Y","Sort=A","Dates=H","DateFormat=P","Fill=—","Direction=H","UseDPDF=Y")</f>
        <v>#NAME?</v>
      </c>
      <c r="AL523" s="1" t="e">
        <f ca="1">_xll.BDH($C$503,"CASH_FLOW_GROWTH","FY 2018","FY 2018","Currency=INR","Period=FY","BEST_FPERIOD_OVERRIDE=FY","FILING_STATUS=OR","EQY_CONSOLIDATED=Y","Sort=A","Dates=H","DateFormat=P","Fill=—","Direction=H","UseDPDF=Y")</f>
        <v>#NAME?</v>
      </c>
      <c r="AM523" s="1" t="e">
        <f ca="1">_xll.BDH($C$503,"GEO_GROW_NET_SALES","FY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523" s="1" t="e">
        <f ca="1">_xll.BDH($C$503,"GEO_GROW_EBITDA","FY 2018","FY 2018","Currency=INR","Period=FY","BEST_FPERIOD_OVERRIDE=FY","FILING_STATUS=OR","EQY_CONSOLIDATED=Y","FA_ADJUSTED=GAAP","Sort=A","Dates=H","DateFormat=P","Fill=—","Direction=H","UseDPDF=Y")</f>
        <v>#NAME?</v>
      </c>
      <c r="AO523" s="1" t="e">
        <f ca="1">_xll.BDH($C$503,"GEO_GROW_OPER_INC","FY 2018","FY 2018","Currency=INR","Period=FY","BEST_FPERIOD_OVERRIDE=FY","FILING_STATUS=OR","EQY_CONSOLIDATED=Y","FA_ADJUSTED=GAAP","Sort=A","Dates=H","DateFormat=P","Fill=—","Direction=H","UseDPDF=Y")</f>
        <v>#NAME?</v>
      </c>
      <c r="AP523" s="1" t="e">
        <f ca="1">_xll.BDH($C$503,"NET_INCOME_TO_COMMON_5_YR_GROWTH","FY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23" s="1" t="e">
        <f ca="1">_xll.BDH($C$503,"5Y_GEO_GROWTH_DILUTED_EPS","FY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23" s="1" t="e">
        <f ca="1">_xll.BDH($C$503,"GEO_GROW_DVD_PER_SH","FY 2018","FY 2018","Currency=INR","Period=FY","BEST_FPERIOD_OVERRIDE=FY","FILING_STATUS=OR","EQY_CONSOLIDATED=Y","Sort=A","Dates=H","DateFormat=P","Fill=—","Direction=H","UseDPDF=Y")</f>
        <v>#NAME?</v>
      </c>
      <c r="AS523" s="1" t="e">
        <f ca="1">_xll.BDH($C$503,"ACCOUNTS_RECEIVABLE_5_YR_GROWTH","FY 2018","FY 2018","Currency=INR","Period=FY","BEST_FPERIOD_OVERRIDE=FY","FILING_STATUS=OR","EQY_CONSOLIDATED=Y","Sort=A","Dates=H","DateFormat=P","Fill=—","Direction=H","UseDPDF=Y")</f>
        <v>#NAME?</v>
      </c>
      <c r="AT523" s="1" t="e">
        <f ca="1">_xll.BDH($C$503,"INVENTORY_5_YEAR_GROWTH","FY 2018","FY 2018","Currency=INR","Period=FY","BEST_FPERIOD_OVERRIDE=FY","FILING_STATUS=OR","EQY_CONSOLIDATED=Y","Sort=A","Dates=H","DateFormat=P","Fill=—","Direction=H","UseDPDF=Y")</f>
        <v>#NAME?</v>
      </c>
      <c r="AU523" s="1" t="e">
        <f ca="1">_xll.BDH($C$503,"NET_FIXED_ASSETS_5_YEAR_GROWTH","FY 2018","FY 2018","Currency=INR","Period=FY","BEST_FPERIOD_OVERRIDE=FY","FILING_STATUS=OR","EQY_CONSOLIDATED=Y","Sort=A","Dates=H","DateFormat=P","Fill=—","Direction=H","UseDPDF=Y")</f>
        <v>#NAME?</v>
      </c>
      <c r="AV523" s="1" t="e">
        <f ca="1">_xll.BDH($C$503,"GEO_GROW_TOT_ASSET","FY 2018","FY 2018","Currency=INR","Period=FY","BEST_FPERIOD_OVERRIDE=FY","FILING_STATUS=OR","EQY_CONSOLIDATED=Y","Sort=A","Dates=H","DateFormat=P","Fill=—","Direction=H","UseDPDF=Y")</f>
        <v>#NAME?</v>
      </c>
      <c r="AW523" s="1" t="e">
        <f ca="1">_xll.BDH($C$503,"MODIFIED_WORKING_CPTL_5YR_GRWTH","FY 2018","FY 2018","Currency=INR","Period=FY","BEST_FPERIOD_OVERRIDE=FY","FILING_STATUS=OR","EQY_CONSOLIDATED=Y","Sort=A","Dates=H","DateFormat=P","Fill=—","Direction=H","UseDPDF=Y")</f>
        <v>#NAME?</v>
      </c>
      <c r="AX523" s="1" t="e">
        <f ca="1">_xll.BDH($C$503,"WORKING_CAPITAL_5_YEAR_GROWTH","FY 2018","FY 2018","Currency=INR","Period=FY","BEST_FPERIOD_OVERRIDE=FY","FILING_STATUS=OR","EQY_CONSOLIDATED=Y","Sort=A","Dates=H","DateFormat=P","Fill=—","Direction=H","UseDPDF=Y")</f>
        <v>#NAME?</v>
      </c>
      <c r="AY523" s="1" t="e">
        <f ca="1">_xll.BDH($C$503,"ACCOUNTS_PAYABLE_5_YEAR_GROWTH","FY 2018","FY 2018","Currency=INR","Period=FY","BEST_FPERIOD_OVERRIDE=FY","FILING_STATUS=OR","EQY_CONSOLIDATED=Y","Sort=A","Dates=H","DateFormat=P","Fill=—","Direction=H","UseDPDF=Y")</f>
        <v>#NAME?</v>
      </c>
      <c r="AZ523" s="1" t="e">
        <f ca="1">_xll.BDH($C$503,"SHORT_TERM_DEBT_5_YEAR_GROWTH","FY 2018","FY 2018","Currency=INR","Period=FY","BEST_FPERIOD_OVERRIDE=FY","FILING_STATUS=OR","EQY_CONSOLIDATED=Y","Sort=A","Dates=H","DateFormat=P","Fill=—","Direction=H","UseDPDF=Y")</f>
        <v>#NAME?</v>
      </c>
      <c r="BA523" s="1" t="e">
        <f ca="1">_xll.BDH($C$503,"TOTAL_DEBT_5_YEAR_GROWTH","FY 2018","FY 2018","Currency=INR","Period=FY","BEST_FPERIOD_OVERRIDE=FY","FILING_STATUS=OR","EQY_CONSOLIDATED=Y","Sort=A","Dates=H","DateFormat=P","Fill=—","Direction=H","UseDPDF=Y")</f>
        <v>#NAME?</v>
      </c>
      <c r="BB523" s="1" t="e">
        <f ca="1">_xll.BDH($C$503,"GEO_GROW_TOT_SHRHLDR_EQY","FY 2018","FY 2018","Currency=INR","Period=FY","BEST_FPERIOD_OVERRIDE=FY","FILING_STATUS=OR","EQY_CONSOLIDATED=Y","Sort=A","Dates=H","DateFormat=P","Fill=—","Direction=H","UseDPDF=Y")</f>
        <v>#NAME?</v>
      </c>
      <c r="BC523" s="1" t="e">
        <f ca="1">_xll.BDH($C$503,"TOTAL_CAPITAL_5_YEAR_GROWTH","FY 2018","FY 2018","Currency=INR","Period=FY","BEST_FPERIOD_OVERRIDE=FY","FILING_STATUS=OR","EQY_CONSOLIDATED=Y","Sort=A","Dates=H","DateFormat=P","Fill=—","Direction=H","UseDPDF=Y")</f>
        <v>#NAME?</v>
      </c>
      <c r="BD523" s="1" t="e">
        <f ca="1">_xll.BDH($C$503,"GEO_GROW_BOOK_VAL","FY 2018","FY 2018","Currency=INR","Period=FY","BEST_FPERIOD_OVERRIDE=FY","FILING_STATUS=OR","EQY_CONSOLIDATED=Y","Sort=A","Dates=H","DateFormat=P","Fill=—","Direction=H","UseDPDF=Y")</f>
        <v>#NAME?</v>
      </c>
      <c r="BE523" s="1" t="e">
        <f ca="1">_xll.BDH($C$503,"GEO_GROW_CASH_OPER_ACT","FY 2018","FY 2018","Currency=INR","Period=FY","BEST_FPERIOD_OVERRIDE=FY","FILING_STATUS=OR","EQY_CONSOLIDATED=Y","Sort=A","Dates=H","DateFormat=P","Fill=—","Direction=H","UseDPDF=Y")</f>
        <v>#NAME?</v>
      </c>
      <c r="BF523" s="1" t="e">
        <f ca="1">_xll.BDH($C$503,"REVENUE_SEQUENTIAL_GROWTH","FY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23" s="1" t="e">
        <f ca="1">_xll.BDH($C$503,"EBITDA_SEQUENTIAL_GROWTH","FY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23" s="1" t="e">
        <f ca="1">_xll.BDH($C$503,"OPERATING_INCOME_SEQ_GROWTH","FY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23" s="1" t="e">
        <f ca="1">_xll.BDH($C$503,"NET_INCOME_TO_COMMON_SEQ_GROWTH","FY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23" s="1" t="e">
        <f ca="1">_xll.BDH($C$503,"EPS_DILUTED_SEQUENTIAL_GROWTH","FY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23" s="1" t="e">
        <f ca="1">_xll.BDH($C$503,"DPS_SEQUENTIAL_GROWTH","FY 2018","FY 2018","Currency=INR","Period=FY","BEST_FPERIOD_OVERRIDE=FY","FILING_STATUS=OR","EQY_CONSOLIDATED=Y","Sort=A","Dates=H","DateFormat=P","Fill=—","Direction=H","UseDPDF=Y")</f>
        <v>#NAME?</v>
      </c>
      <c r="BL523" s="1" t="e">
        <f ca="1">_xll.BDH($C$503,"ACCOUNTS_RECEIVABLE_SEQ_GROWTH","FY 2018","FY 2018","Currency=INR","Period=FY","BEST_FPERIOD_OVERRIDE=FY","FILING_STATUS=OR","EQY_CONSOLIDATED=Y","Sort=A","Dates=H","DateFormat=P","Fill=—","Direction=H","UseDPDF=Y")</f>
        <v>#NAME?</v>
      </c>
      <c r="BM523" s="1" t="e">
        <f ca="1">_xll.BDH($C$503,"INVENTORY_SEQUENTIAL_GROWTH","FY 2018","FY 2018","Currency=INR","Period=FY","BEST_FPERIOD_OVERRIDE=FY","FILING_STATUS=OR","EQY_CONSOLIDATED=Y","Sort=A","Dates=H","DateFormat=P","Fill=—","Direction=H","UseDPDF=Y")</f>
        <v>#NAME?</v>
      </c>
      <c r="BN523" s="1" t="e">
        <f ca="1">_xll.BDH($C$503,"FIXED_ASSETS_SEQUENTIAL_GROWTH","FY 2018","FY 2018","Currency=INR","Period=FY","BEST_FPERIOD_OVERRIDE=FY","FILING_STATUS=OR","EQY_CONSOLIDATED=Y","Sort=A","Dates=H","DateFormat=P","Fill=—","Direction=H","UseDPDF=Y")</f>
        <v>#NAME?</v>
      </c>
      <c r="BO523" s="1" t="e">
        <f ca="1">_xll.BDH($C$503,"TOTAL_ASSETS_SEQUENTIAL_GROWTH","FY 2018","FY 2018","Currency=INR","Period=FY","BEST_FPERIOD_OVERRIDE=FY","FILING_STATUS=OR","EQY_CONSOLIDATED=Y","Sort=A","Dates=H","DateFormat=P","Fill=—","Direction=H","UseDPDF=Y")</f>
        <v>#NAME?</v>
      </c>
      <c r="BP523" s="1" t="e">
        <f ca="1">_xll.BDH($C$503,"MODIFIED_WORKING_CPTL_SEQ_GRWTH","FY 2018","FY 2018","Currency=INR","Period=FY","BEST_FPERIOD_OVERRIDE=FY","FILING_STATUS=OR","EQY_CONSOLIDATED=Y","Sort=A","Dates=H","DateFormat=P","Fill=—","Direction=H","UseDPDF=Y")</f>
        <v>#NAME?</v>
      </c>
      <c r="BQ523" s="1" t="e">
        <f ca="1">_xll.BDH($C$503,"WORKING_CAPITAL_SEQ_GROWTH","FY 2018","FY 2018","Currency=INR","Period=FY","BEST_FPERIOD_OVERRIDE=FY","FILING_STATUS=OR","EQY_CONSOLIDATED=Y","Sort=A","Dates=H","DateFormat=P","Fill=—","Direction=H","UseDPDF=Y")</f>
        <v>#NAME?</v>
      </c>
      <c r="BR523" s="1" t="e">
        <f ca="1">_xll.BDH($C$503,"ACCOUNTS_PAYABLE_SEQ_GROWTH","FY 2018","FY 2018","Currency=INR","Period=FY","BEST_FPERIOD_OVERRIDE=FY","FILING_STATUS=OR","EQY_CONSOLIDATED=Y","Sort=A","Dates=H","DateFormat=P","Fill=—","Direction=H","UseDPDF=Y")</f>
        <v>#NAME?</v>
      </c>
      <c r="BS523" s="1" t="e">
        <f ca="1">_xll.BDH($C$503,"ST_DEBT_SEQUENTIAL_GROWTH","FY 2018","FY 2018","Currency=INR","Period=FY","BEST_FPERIOD_OVERRIDE=FY","FILING_STATUS=OR","EQY_CONSOLIDATED=Y","Sort=A","Dates=H","DateFormat=P","Fill=—","Direction=H","UseDPDF=Y")</f>
        <v>#NAME?</v>
      </c>
      <c r="BT523" s="1" t="e">
        <f ca="1">_xll.BDH($C$503,"TOTAL_DEBT_SEQUENTIAL_GROWTH","FY 2018","FY 2018","Currency=INR","Period=FY","BEST_FPERIOD_OVERRIDE=FY","FILING_STATUS=OR","EQY_CONSOLIDATED=Y","Sort=A","Dates=H","DateFormat=P","Fill=—","Direction=H","UseDPDF=Y")</f>
        <v>#NAME?</v>
      </c>
      <c r="BU523" s="1" t="e">
        <f ca="1">_xll.BDH($C$503,"TOTAL_EQUITY_SEQUENTIAL_GROWTH","FY 2018","FY 2018","Currency=INR","Period=FY","BEST_FPERIOD_OVERRIDE=FY","FILING_STATUS=OR","EQY_CONSOLIDATED=Y","Sort=A","Dates=H","DateFormat=P","Fill=—","Direction=H","UseDPDF=Y")</f>
        <v>#NAME?</v>
      </c>
      <c r="BV523" s="1" t="e">
        <f ca="1">_xll.BDH($C$503,"TOTAL_CAPITAL_SEQUENTIAL_GROWTH","FY 2018","FY 2018","Currency=INR","Period=FY","BEST_FPERIOD_OVERRIDE=FY","FILING_STATUS=OR","EQY_CONSOLIDATED=Y","Sort=A","Dates=H","DateFormat=P","Fill=—","Direction=H","UseDPDF=Y")</f>
        <v>#NAME?</v>
      </c>
      <c r="BW523" s="1" t="e">
        <f ca="1">_xll.BDH($C$503,"BPS_SEQUENTIAL_GROWTH","FY 2018","FY 2018","Currency=INR","Period=FY","BEST_FPERIOD_OVERRIDE=FY","FILING_STATUS=OR","EQY_CONSOLIDATED=Y","Sort=A","Dates=H","DateFormat=P","Fill=—","Direction=H","UseDPDF=Y")</f>
        <v>#NAME?</v>
      </c>
      <c r="BX523" s="1" t="e">
        <f ca="1">_xll.BDH($C$503,"CFO_SEQUENTIAL_GROWTH","FY 2018","FY 2018","Currency=INR","Period=FY","BEST_FPERIOD_OVERRIDE=FY","FILING_STATUS=OR","EQY_CONSOLIDATED=Y","Sort=A","Dates=H","DateFormat=P","Fill=—","Direction=H","UseDPDF=Y")</f>
        <v>#NAME?</v>
      </c>
      <c r="BY523" s="2" t="e">
        <f ca="1">_xll.BDH($C$503,"SHORT_AND_LONG_TERM_DEBT","FY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23" s="2" t="e">
        <f ca="1">_xll.BDH($C$503,"BS_ST_BORROW","FY 2018","FY 2018","Currency=INR","Period=FY","BEST_FPERIOD_OVERRIDE=FY","FILING_STATUS=OR","EQY_CONSOLIDATED=Y","SCALING_FORMAT=MLN","Sort=A","Dates=H","DateFormat=P","Fill=—","Direction=H","UseDPDF=Y")</f>
        <v>#NAME?</v>
      </c>
      <c r="CA523" s="2" t="e">
        <f ca="1">_xll.BDH($C$503,"BS_LT_BORROW","FY 2018","FY 2018","Currency=INR","Period=FY","BEST_FPERIOD_OVERRIDE=FY","FILING_STATUS=OR","EQY_CONSOLIDATED=Y","SCALING_FORMAT=MLN","Sort=A","Dates=H","DateFormat=P","Fill=—","Direction=H","UseDPDF=Y")</f>
        <v>#NAME?</v>
      </c>
      <c r="CB523" s="1" t="e">
        <f ca="1">_xll.BDH($C$503,"TOT_DEBT_TO_EBITDA","FY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523" s="1" t="e">
        <f ca="1">_xll.BDH($C$503,"NET_DEBT_TO_EBITDA","FY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523" s="1" t="e">
        <f ca="1">_xll.BDH($C$503,"TOTAL_DEBT_TO_EBIT","FY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523" s="1" t="e">
        <f ca="1">_xll.BDH($C$503,"NET_DEBT_TO_EBIT","FY 2018","FY 2018","Currency=INR","Period=FY","BEST_FPERIOD_OVERRIDE=FY","FILING_STATUS=OR","EQY_CONSOLIDATED=Y","FA_ADJUSTED=GAAP","Sort=A","Dates=H","DateFormat=P","Fill=—","Direction=H","UseDPDF=Y")</f>
        <v>#NAME?</v>
      </c>
      <c r="CF523" s="1" t="e">
        <f ca="1">_xll.BDH($C$503,"EBITDA_TO_INTEREST_EXPN","FY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23" s="1" t="e">
        <f ca="1">_xll.BDH($C$503,"COM_EQY_TO_TOT_ASSET","FY 2018","FY 2018","Currency=INR","Period=FY","BEST_FPERIOD_OVERRIDE=FY","FILING_STATUS=OR","EQY_CONSOLIDATED=Y","Sort=A","Dates=H","DateFormat=P","Fill=—","Direction=H","UseDPDF=Y")</f>
        <v>#NAME?</v>
      </c>
      <c r="CH523" s="1" t="e">
        <f ca="1">_xll.BDH($C$503,"LT_DEBT_TO_TOT_EQY","FY 2018","FY 2018","Currency=INR","Period=FY","BEST_FPERIOD_OVERRIDE=FY","FILING_STATUS=OR","EQY_CONSOLIDATED=Y","Sort=A","Dates=H","DateFormat=P","Fill=—","Direction=H","UseDPDF=Y")</f>
        <v>#NAME?</v>
      </c>
      <c r="CI523" s="1" t="e">
        <f ca="1">_xll.BDH($C$503,"LT_DEBT_TO_TOT_CAP","FY 2018","FY 2018","Currency=INR","Period=FY","BEST_FPERIOD_OVERRIDE=FY","FILING_STATUS=OR","EQY_CONSOLIDATED=Y","Sort=A","Dates=H","DateFormat=P","Fill=—","Direction=H","UseDPDF=Y")</f>
        <v>#NAME?</v>
      </c>
      <c r="CJ523" s="1" t="e">
        <f ca="1">_xll.BDH($C$503,"LT_DEBT_TO_TOT_ASSET","FY 2018","FY 2018","Currency=INR","Period=FY","BEST_FPERIOD_OVERRIDE=FY","FILING_STATUS=OR","EQY_CONSOLIDATED=Y","Sort=A","Dates=H","DateFormat=P","Fill=—","Direction=H","UseDPDF=Y")</f>
        <v>#NAME?</v>
      </c>
      <c r="CK523" s="1" t="e">
        <f ca="1">_xll.BDH($C$503,"TOT_DEBT_TO_TOT_EQY","FY 2018","FY 2018","Currency=INR","Period=FY","BEST_FPERIOD_OVERRIDE=FY","FILING_STATUS=OR","EQY_CONSOLIDATED=Y","Sort=A","Dates=H","DateFormat=P","Fill=—","Direction=H","UseDPDF=Y")</f>
        <v>#NAME?</v>
      </c>
      <c r="CL523" s="1" t="e">
        <f ca="1">_xll.BDH($C$503,"TOT_DEBT_TO_TOT_CAP","FY 2018","FY 2018","Currency=INR","Period=FY","BEST_FPERIOD_OVERRIDE=FY","FILING_STATUS=OR","EQY_CONSOLIDATED=Y","Sort=A","Dates=H","DateFormat=P","Fill=—","Direction=H","UseDPDF=Y")</f>
        <v>#NAME?</v>
      </c>
      <c r="CM523" s="1" t="e">
        <f ca="1">_xll.BDH($C$503,"TOT_DEBT_TO_TOT_ASSET","FY 2018","FY 2018","Currency=INR","Period=FY","BEST_FPERIOD_OVERRIDE=FY","FILING_STATUS=OR","EQY_CONSOLIDATED=Y","Sort=A","Dates=H","DateFormat=P","Fill=—","Direction=H","UseDPDF=Y")</f>
        <v>#NAME?</v>
      </c>
      <c r="CN523" s="1" t="e">
        <f ca="1">_xll.BDH($C$503,"NET_DEBT_TO_SHRHLDR_EQTY","FY 2018","FY 2018","Currency=INR","Period=FY","BEST_FPERIOD_OVERRIDE=FY","FILING_STATUS=OR","EQY_CONSOLIDATED=Y","Sort=A","Dates=H","DateFormat=P","Fill=—","Direction=H","UseDPDF=Y")</f>
        <v>#NAME?</v>
      </c>
      <c r="CO523" s="1" t="e">
        <f ca="1">_xll.BDH($C$503,"NET_DEBT_%_CAPITAL","FY 2018","FY 2018","Currency=INR","Period=FY","BEST_FPERIOD_OVERRIDE=FY","FILING_STATUS=OR","EQY_CONSOLIDATED=Y","Sort=A","Dates=H","DateFormat=P","Fill=—","Direction=H","UseDPDF=Y")</f>
        <v>#NAME?</v>
      </c>
      <c r="CP523" s="2" t="e">
        <f ca="1">_xll.BDH($C$503,"EBITDA","FY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23" s="2" t="e">
        <f ca="1">_xll.BDH($C$503,"EBITDA_AFTER_CAPEX","FY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23" s="2" t="e">
        <f ca="1">_xll.BDH($C$503,"IS_OPER_INC","FY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23" s="1" t="e">
        <f ca="1">_xll.BDH($C$503,"CASH_RATIO","FY 2018","FY 2018","Currency=INR","Period=FY","BEST_FPERIOD_OVERRIDE=FY","FILING_STATUS=OR","EQY_CONSOLIDATED=Y","Sort=A","Dates=H","DateFormat=P","Fill=—","Direction=H","UseDPDF=Y")</f>
        <v>#NAME?</v>
      </c>
      <c r="CT523" s="1" t="e">
        <f ca="1">_xll.BDH($C$503,"CUR_RATIO","FY 2018","FY 2018","Currency=INR","Period=FY","BEST_FPERIOD_OVERRIDE=FY","FILING_STATUS=OR","EQY_CONSOLIDATED=Y","Sort=A","Dates=H","DateFormat=P","Fill=—","Direction=H","UseDPDF=Y")</f>
        <v>#NAME?</v>
      </c>
      <c r="CU523" s="1" t="e">
        <f ca="1">_xll.BDH($C$503,"QUICK_RATIO","FY 2018","FY 2018","Currency=INR","Period=FY","BEST_FPERIOD_OVERRIDE=FY","FILING_STATUS=OR","EQY_CONSOLIDATED=Y","Sort=A","Dates=H","DateFormat=P","Fill=—","Direction=H","UseDPDF=Y")</f>
        <v>#NAME?</v>
      </c>
      <c r="CV523" s="1" t="e">
        <f ca="1">_xll.BDH($C$503,"ALTMAN_Z_SCORE","FY 2018","FY 2018","Currency=INR","Period=FY","BEST_FPERIOD_OVERRIDE=FY","FILING_STATUS=OR","EQY_CONSOLIDATED=Y","Sort=A","Dates=H","DateFormat=P","Fill=—","Direction=H","UseDPDF=Y")</f>
        <v>#NAME?</v>
      </c>
      <c r="CW523" s="3" t="e">
        <f ca="1">_xll.BDH($C$503,"ACCT_RCV_TURN","FY 2018","FY 2018","Currency=INR","Period=FY","BEST_FPERIOD_OVERRIDE=FY","FILING_STATUS=OR","EQY_CONSOLIDATED=Y","FA_ADJUSTED=GAAP","Sort=A","Dates=H","DateFormat=P","Fill=—","Direction=H","UseDPDF=Y")</f>
        <v>#NAME?</v>
      </c>
      <c r="CX523" s="1" t="e">
        <f ca="1">_xll.BDH($C$503,"ACCT_RCV_DAYS","FY 2018","FY 2018","Currency=INR","Period=FY","BEST_FPERIOD_OVERRIDE=FY","FILING_STATUS=OR","EQY_CONSOLIDATED=Y","FA_ADJUSTED=GAAP","Sort=A","Dates=H","DateFormat=P","Fill=—","Direction=H","UseDPDF=Y")</f>
        <v>#NAME?</v>
      </c>
      <c r="CY523" s="3" t="e">
        <f ca="1">_xll.BDH($C$503,"INVENT_TURN","FY 2018","FY 2018","Currency=INR","Period=FY","BEST_FPERIOD_OVERRIDE=FY","FILING_STATUS=OR","EQY_CONSOLIDATED=Y","FA_ADJUSTED=GAAP","Sort=A","Dates=H","DateFormat=P","Fill=—","Direction=H","UseDPDF=Y")</f>
        <v>#NAME?</v>
      </c>
      <c r="CZ523" s="1" t="e">
        <f ca="1">_xll.BDH($C$503,"INVENT_DAYS","FY 2018","FY 2018","Currency=INR","Period=FY","BEST_FPERIOD_OVERRIDE=FY","FILING_STATUS=OR","EQY_CONSOLIDATED=Y","FA_ADJUSTED=GAAP","Sort=A","Dates=H","DateFormat=P","Fill=—","Direction=H","UseDPDF=Y")</f>
        <v>#NAME?</v>
      </c>
      <c r="DA523" s="3" t="e">
        <f ca="1">_xll.BDH($C$503,"ACCOUNTS_PAYABLE_TURNOVER","FY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23" s="1" t="e">
        <f ca="1">_xll.BDH($C$503,"ACCOUNTS_PAYABLE_TURNOVER_DAYS","FY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23" s="3" t="e">
        <f ca="1">_xll.BDH($C$503,"CASH_CONVERSION_CYCLE","FY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23" s="3" t="e">
        <f ca="1">_xll.BDH($C$503,"INV_TO_CASH_DAYS","FY 2018","FY 2018","Currency=INR","Period=FY","BEST_FPERIOD_OVERRIDE=FY","FILING_STATUS=OR","EQY_CONSOLIDATED=Y","FA_ADJUSTED=GAAP","Sort=A","Dates=H","DateFormat=P","Fill=—","Direction=H","UseDPDF=Y")</f>
        <v>#NAME?</v>
      </c>
      <c r="DE523" s="4" t="e">
        <f ca="1">_xll.BDH($C$503,"BS_INVENTORIES","FY 2018","FY 2018","Currency=INR","Period=FY","BEST_FPERIOD_OVERRIDE=FY","FILING_STATUS=OR","EQY_CONSOLIDATED=Y","SCALING_FORMAT=MLN","Sort=A","Dates=H","DateFormat=P","Fill=—","Direction=H","UseDPDF=Y")</f>
        <v>#NAME?</v>
      </c>
      <c r="DF523" s="2" t="e">
        <f ca="1">_xll.BDH($C$503,"INVTRY_RAW_MATERIALS","FY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23" s="2" t="e">
        <f ca="1">_xll.BDH($C$503,"INVTRY_IN_PROGRESS","FY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23" s="2" t="e">
        <f ca="1">_xll.BDH($C$503,"INVTRY_FINISHED_GOODS","FY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23" s="2" t="e">
        <f ca="1">_xll.BDH($C$503,"BS_OTHER_INV","FY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24" spans="1:113" x14ac:dyDescent="0.3">
      <c r="A524" s="6"/>
      <c r="B524" s="6"/>
      <c r="C524" s="6"/>
      <c r="D524" s="6"/>
      <c r="E524" t="s">
        <v>4</v>
      </c>
      <c r="F524" t="e">
        <f ca="1">_xll.BDH($C$503,"RETURN_COM_EQY","FQ1 2018","FQ1 2018","Currency=INR","Period=FQ","BEST_FPERIOD_OVERRIDE=FQ","FILING_STATUS=OR","EQY_CONSOLIDATED=Y","FA_ADJUSTED=GAAP","Sort=A","Dates=H","DateFormat=P","Fill=—","Direction=H","UseDPDF=Y")</f>
        <v>#NAME?</v>
      </c>
      <c r="G524" t="e">
        <f ca="1">_xll.BDH($C$503,"RETURN_ON_ASSET","FQ1 2018","FQ1 2018","Currency=INR","Period=FQ","BEST_FPERIOD_OVERRIDE=FQ","FILING_STATUS=OR","EQY_CONSOLIDATED=Y","FA_ADJUSTED=GAAP","Sort=A","Dates=H","DateFormat=P","Fill=—","Direction=H","UseDPDF=Y")</f>
        <v>#NAME?</v>
      </c>
      <c r="H524" t="e">
        <f ca="1">_xll.BDH($C$503,"RETURN_ON_CAP","FQ1 2018","FQ1 2018","Currency=INR","Period=FQ","BEST_FPERIOD_OVERRIDE=FQ","FILING_STATUS=OR","EQY_CONSOLIDATED=Y","FA_ADJUSTED=GAAP","Sort=A","Dates=H","DateFormat=P","Fill=—","Direction=H","UseDPDF=Y")</f>
        <v>#NAME?</v>
      </c>
      <c r="I524" t="e">
        <f ca="1">_xll.BDH($C$503,"RETURN_ON_INV_CAPITAL","FQ1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24" t="e">
        <f ca="1">_xll.BDH($C$503,"EBITDA_TO_REVENUE","FQ1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524" t="e">
        <f ca="1">_xll.BDH($C$503,"OPER_MARGIN","FQ1 2018","FQ1 2018","Currency=INR","Period=FQ","BEST_FPERIOD_OVERRIDE=FQ","FILING_STATUS=OR","EQY_CONSOLIDATED=Y","FA_ADJUSTED=GAAP","Sort=A","Dates=H","DateFormat=P","Fill=—","Direction=H","UseDPDF=Y")</f>
        <v>#NAME?</v>
      </c>
      <c r="L524" t="e">
        <f ca="1">_xll.BDH($C$503,"INCREMENTAL_OPERATING_MARGIN","FQ1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24" t="e">
        <f ca="1">_xll.BDH($C$503,"PRETAX_INC_TO_NET_SALES","FQ1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24" t="e">
        <f ca="1">_xll.BDH($C$503,"INC_BEF_XO_ITEMS_TO_NET_SALES","FQ1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24" t="e">
        <f ca="1">_xll.BDH($C$503,"PROF_MARGIN","FQ1 2018","FQ1 2018","Currency=INR","Period=FQ","BEST_FPERIOD_OVERRIDE=FQ","FILING_STATUS=OR","EQY_CONSOLIDATED=Y","FA_ADJUSTED=GAAP","Sort=A","Dates=H","DateFormat=P","Fill=—","Direction=H","UseDPDF=Y")</f>
        <v>#NAME?</v>
      </c>
      <c r="P524" t="e">
        <f ca="1">_xll.BDH($C$503,"NET_INCOME_TO_COMMON_MARGIN","FQ1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24" t="e">
        <f ca="1">_xll.BDH($C$503,"EFF_TAX_RATE","FQ1 2018","FQ1 2018","Currency=INR","Period=FQ","BEST_FPERIOD_OVERRIDE=FQ","FILING_STATUS=OR","EQY_CONSOLIDATED=Y","FA_ADJUSTED=GAAP","Sort=A","Dates=H","DateFormat=P","Fill=—","Direction=H","UseDPDF=Y")</f>
        <v>#NAME?</v>
      </c>
      <c r="R524" t="e">
        <f ca="1">_xll.BDH($C$503,"DVD_PAYOUT_RATIO","FQ1 2018","FQ1 2018","Currency=INR","Period=FQ","BEST_FPERIOD_OVERRIDE=FQ","FILING_STATUS=OR","EQY_CONSOLIDATED=Y","FA_ADJUSTED=GAAP","Sort=A","Dates=H","DateFormat=P","Fill=—","Direction=H","UseDPDF=Y")</f>
        <v>#NAME?</v>
      </c>
      <c r="S524" t="e">
        <f ca="1">_xll.BDH($C$503,"SUSTAIN_GROWTH_RT","FQ1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524" s="1" t="e">
        <f ca="1">_xll.BDH($C$503,"SALES_GROWTH","FQ1 2018","FQ1 2018","Currency=INR","Period=FQ","BEST_FPERIOD_OVERRIDE=FQ","FILING_STATUS=OR","EQY_CONSOLIDATED=Y","FA_ADJUSTED=GAAP","Sort=A","Dates=H","DateFormat=P","Fill=—","Direction=H","UseDPDF=Y")</f>
        <v>#NAME?</v>
      </c>
      <c r="U524" s="1" t="e">
        <f ca="1">_xll.BDH($C$503,"EBITDA_GROWTH","FQ1 2018","FQ1 2018","Currency=INR","Period=FQ","BEST_FPERIOD_OVERRIDE=FQ","FILING_STATUS=OR","EQY_CONSOLIDATED=Y","FA_ADJUSTED=GAAP","Sort=A","Dates=H","DateFormat=P","Fill=—","Direction=H","UseDPDF=Y")</f>
        <v>#NAME?</v>
      </c>
      <c r="V524" s="1" t="e">
        <f ca="1">_xll.BDH($C$503,"OPER_INC_GROWTH","FQ1 2018","FQ1 2018","Currency=INR","Period=FQ","BEST_FPERIOD_OVERRIDE=FQ","FILING_STATUS=OR","EQY_CONSOLIDATED=Y","FA_ADJUSTED=GAAP","Sort=A","Dates=H","DateFormat=P","Fill=—","Direction=H","UseDPDF=Y")</f>
        <v>#NAME?</v>
      </c>
      <c r="W524" s="1" t="e">
        <f ca="1">_xll.BDH($C$503,"EARN_FOR_COM_GROWTH","FQ1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24" s="1" t="e">
        <f ca="1">_xll.BDH($C$503,"DILUTED_EPS_AFT_XO_ITEMS_GROWTH","FQ1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24" s="1" t="e">
        <f ca="1">_xll.BDH($C$503,"DIVIDEND_PER_SHARE_1_YEAR_GROWTH","FQ1 2018","FQ1 2018","Currency=INR","Period=FQ","BEST_FPERIOD_OVERRIDE=FQ","FILING_STATUS=OR","EQY_CONSOLIDATED=Y","Sort=A","Dates=H","DateFormat=P","Fill=—","Direction=H","UseDPDF=Y")</f>
        <v>#NAME?</v>
      </c>
      <c r="Z524" s="1" t="e">
        <f ca="1">_xll.BDH($C$503,"ACCOUNTS_RECEIVABLE_GROWTH","FQ1 2018","FQ1 2018","Currency=INR","Period=FQ","BEST_FPERIOD_OVERRIDE=FQ","FILING_STATUS=OR","EQY_CONSOLIDATED=Y","Sort=A","Dates=H","DateFormat=P","Fill=—","Direction=H","UseDPDF=Y")</f>
        <v>#NAME?</v>
      </c>
      <c r="AA524" s="1" t="e">
        <f ca="1">_xll.BDH($C$503,"INVENTORY_GROWTH","FQ1 2018","FQ1 2018","Currency=INR","Period=FQ","BEST_FPERIOD_OVERRIDE=FQ","FILING_STATUS=OR","EQY_CONSOLIDATED=Y","Sort=A","Dates=H","DateFormat=P","Fill=—","Direction=H","UseDPDF=Y")</f>
        <v>#NAME?</v>
      </c>
      <c r="AB524" s="1" t="e">
        <f ca="1">_xll.BDH($C$503,"NET_FIXED_ASSETS_1_YEAR_GROWTH","FQ1 2018","FQ1 2018","Currency=INR","Period=FQ","BEST_FPERIOD_OVERRIDE=FQ","FILING_STATUS=OR","EQY_CONSOLIDATED=Y","Sort=A","Dates=H","DateFormat=P","Fill=—","Direction=H","UseDPDF=Y")</f>
        <v>#NAME?</v>
      </c>
      <c r="AC524" s="1" t="e">
        <f ca="1">_xll.BDH($C$503,"ASSET_GROWTH","FQ1 2018","FQ1 2018","Currency=INR","Period=FQ","BEST_FPERIOD_OVERRIDE=FQ","FILING_STATUS=OR","EQY_CONSOLIDATED=Y","Sort=A","Dates=H","DateFormat=P","Fill=—","Direction=H","UseDPDF=Y")</f>
        <v>#NAME?</v>
      </c>
      <c r="AD524" s="1" t="e">
        <f ca="1">_xll.BDH($C$503,"MODIFIED_WORK_CAP_GROWTH","FQ1 2018","FQ1 2018","Currency=INR","Period=FQ","BEST_FPERIOD_OVERRIDE=FQ","FILING_STATUS=OR","EQY_CONSOLIDATED=Y","Sort=A","Dates=H","DateFormat=P","Fill=—","Direction=H","UseDPDF=Y")</f>
        <v>#NAME?</v>
      </c>
      <c r="AE524" s="1" t="e">
        <f ca="1">_xll.BDH($C$503,"WORK_CAP_GROWTH","FQ1 2018","FQ1 2018","Currency=INR","Period=FQ","BEST_FPERIOD_OVERRIDE=FQ","FILING_STATUS=OR","EQY_CONSOLIDATED=Y","Sort=A","Dates=H","DateFormat=P","Fill=—","Direction=H","UseDPDF=Y")</f>
        <v>#NAME?</v>
      </c>
      <c r="AF524" s="1" t="e">
        <f ca="1">_xll.BDH($C$503,"ACCOUNTS_PAYABLE_GROWTH_1YR","FQ1 2018","FQ1 2018","Currency=INR","Period=FQ","BEST_FPERIOD_OVERRIDE=FQ","FILING_STATUS=OR","EQY_CONSOLIDATED=Y","Sort=A","Dates=H","DateFormat=P","Fill=—","Direction=H","UseDPDF=Y")</f>
        <v>#NAME?</v>
      </c>
      <c r="AG524" s="1" t="e">
        <f ca="1">_xll.BDH($C$503,"SHORT_TERM_DEBT_1_YEAR_GROWTH","FQ1 2018","FQ1 2018","Currency=INR","Period=FQ","BEST_FPERIOD_OVERRIDE=FQ","FILING_STATUS=OR","EQY_CONSOLIDATED=Y","Sort=A","Dates=H","DateFormat=P","Fill=—","Direction=H","UseDPDF=Y")</f>
        <v>#NAME?</v>
      </c>
      <c r="AH524" s="1" t="e">
        <f ca="1">_xll.BDH($C$503,"TOTAL_DEBT_1_YEAR_GROWTH","FQ1 2018","FQ1 2018","Currency=INR","Period=FQ","BEST_FPERIOD_OVERRIDE=FQ","FILING_STATUS=OR","EQY_CONSOLIDATED=Y","Sort=A","Dates=H","DateFormat=P","Fill=—","Direction=H","UseDPDF=Y")</f>
        <v>#NAME?</v>
      </c>
      <c r="AI524" s="1" t="e">
        <f ca="1">_xll.BDH($C$503,"TOTAL_EQUITY_1_YEAR_GROWTH","FQ1 2018","FQ1 2018","Currency=INR","Period=FQ","BEST_FPERIOD_OVERRIDE=FQ","FILING_STATUS=OR","EQY_CONSOLIDATED=Y","Sort=A","Dates=H","DateFormat=P","Fill=—","Direction=H","UseDPDF=Y")</f>
        <v>#NAME?</v>
      </c>
      <c r="AJ524" s="1" t="e">
        <f ca="1">_xll.BDH($C$503,"GROWTH_IN_CAP","FQ1 2018","FQ1 2018","Currency=INR","Period=FQ","BEST_FPERIOD_OVERRIDE=FQ","FILING_STATUS=OR","EQY_CONSOLIDATED=Y","Sort=A","Dates=H","DateFormat=P","Fill=—","Direction=H","UseDPDF=Y")</f>
        <v>#NAME?</v>
      </c>
      <c r="AK524" s="1" t="e">
        <f ca="1">_xll.BDH($C$503,"BVPS_GROWTH","FQ1 2018","FQ1 2018","Currency=INR","Period=FQ","BEST_FPERIOD_OVERRIDE=FQ","FILING_STATUS=OR","EQY_CONSOLIDATED=Y","Sort=A","Dates=H","DateFormat=P","Fill=—","Direction=H","UseDPDF=Y")</f>
        <v>#NAME?</v>
      </c>
      <c r="AL524" s="1" t="e">
        <f ca="1">_xll.BDH($C$503,"CASH_FLOW_GROWTH","FQ1 2018","FQ1 2018","Currency=INR","Period=FQ","BEST_FPERIOD_OVERRIDE=FQ","FILING_STATUS=OR","EQY_CONSOLIDATED=Y","Sort=A","Dates=H","DateFormat=P","Fill=—","Direction=H","UseDPDF=Y")</f>
        <v>#NAME?</v>
      </c>
      <c r="AM524" s="1" t="e">
        <f ca="1">_xll.BDH($C$503,"GEO_GROW_NET_SALES","FQ1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24" s="1" t="e">
        <f ca="1">_xll.BDH($C$503,"GEO_GROW_EBITDA","FQ1 2018","FQ1 2018","Currency=INR","Period=FQ","BEST_FPERIOD_OVERRIDE=FQ","FILING_STATUS=OR","EQY_CONSOLIDATED=Y","FA_ADJUSTED=GAAP","Sort=A","Dates=H","DateFormat=P","Fill=—","Direction=H","UseDPDF=Y")</f>
        <v>#NAME?</v>
      </c>
      <c r="AO524" s="1" t="e">
        <f ca="1">_xll.BDH($C$503,"GEO_GROW_OPER_INC","FQ1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24" s="1" t="e">
        <f ca="1">_xll.BDH($C$503,"NET_INCOME_TO_COMMON_5_YR_GROWTH","FQ1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24" s="1" t="e">
        <f ca="1">_xll.BDH($C$503,"5Y_GEO_GROWTH_DILUTED_EPS","FQ1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24" s="1" t="e">
        <f ca="1">_xll.BDH($C$503,"GEO_GROW_DVD_PER_SH","FQ1 2018","FQ1 2018","Currency=INR","Period=FQ","BEST_FPERIOD_OVERRIDE=FQ","FILING_STATUS=OR","EQY_CONSOLIDATED=Y","Sort=A","Dates=H","DateFormat=P","Fill=—","Direction=H","UseDPDF=Y")</f>
        <v>#NAME?</v>
      </c>
      <c r="AS524" s="1" t="e">
        <f ca="1">_xll.BDH($C$503,"ACCOUNTS_RECEIVABLE_5_YR_GROWTH","FQ1 2018","FQ1 2018","Currency=INR","Period=FQ","BEST_FPERIOD_OVERRIDE=FQ","FILING_STATUS=OR","EQY_CONSOLIDATED=Y","Sort=A","Dates=H","DateFormat=P","Fill=—","Direction=H","UseDPDF=Y")</f>
        <v>#NAME?</v>
      </c>
      <c r="AT524" s="1" t="e">
        <f ca="1">_xll.BDH($C$503,"INVENTORY_5_YEAR_GROWTH","FQ1 2018","FQ1 2018","Currency=INR","Period=FQ","BEST_FPERIOD_OVERRIDE=FQ","FILING_STATUS=OR","EQY_CONSOLIDATED=Y","Sort=A","Dates=H","DateFormat=P","Fill=—","Direction=H","UseDPDF=Y")</f>
        <v>#NAME?</v>
      </c>
      <c r="AU524" s="1" t="e">
        <f ca="1">_xll.BDH($C$503,"NET_FIXED_ASSETS_5_YEAR_GROWTH","FQ1 2018","FQ1 2018","Currency=INR","Period=FQ","BEST_FPERIOD_OVERRIDE=FQ","FILING_STATUS=OR","EQY_CONSOLIDATED=Y","Sort=A","Dates=H","DateFormat=P","Fill=—","Direction=H","UseDPDF=Y")</f>
        <v>#NAME?</v>
      </c>
      <c r="AV524" s="1" t="e">
        <f ca="1">_xll.BDH($C$503,"GEO_GROW_TOT_ASSET","FQ1 2018","FQ1 2018","Currency=INR","Period=FQ","BEST_FPERIOD_OVERRIDE=FQ","FILING_STATUS=OR","EQY_CONSOLIDATED=Y","Sort=A","Dates=H","DateFormat=P","Fill=—","Direction=H","UseDPDF=Y")</f>
        <v>#NAME?</v>
      </c>
      <c r="AW524" s="1" t="e">
        <f ca="1">_xll.BDH($C$503,"MODIFIED_WORKING_CPTL_5YR_GRWTH","FQ1 2018","FQ1 2018","Currency=INR","Period=FQ","BEST_FPERIOD_OVERRIDE=FQ","FILING_STATUS=OR","EQY_CONSOLIDATED=Y","Sort=A","Dates=H","DateFormat=P","Fill=—","Direction=H","UseDPDF=Y")</f>
        <v>#NAME?</v>
      </c>
      <c r="AX524" s="1" t="e">
        <f ca="1">_xll.BDH($C$503,"WORKING_CAPITAL_5_YEAR_GROWTH","FQ1 2018","FQ1 2018","Currency=INR","Period=FQ","BEST_FPERIOD_OVERRIDE=FQ","FILING_STATUS=OR","EQY_CONSOLIDATED=Y","Sort=A","Dates=H","DateFormat=P","Fill=—","Direction=H","UseDPDF=Y")</f>
        <v>#NAME?</v>
      </c>
      <c r="AY524" s="1" t="e">
        <f ca="1">_xll.BDH($C$503,"ACCOUNTS_PAYABLE_5_YEAR_GROWTH","FQ1 2018","FQ1 2018","Currency=INR","Period=FQ","BEST_FPERIOD_OVERRIDE=FQ","FILING_STATUS=OR","EQY_CONSOLIDATED=Y","Sort=A","Dates=H","DateFormat=P","Fill=—","Direction=H","UseDPDF=Y")</f>
        <v>#NAME?</v>
      </c>
      <c r="AZ524" s="1" t="e">
        <f ca="1">_xll.BDH($C$503,"SHORT_TERM_DEBT_5_YEAR_GROWTH","FQ1 2018","FQ1 2018","Currency=INR","Period=FQ","BEST_FPERIOD_OVERRIDE=FQ","FILING_STATUS=OR","EQY_CONSOLIDATED=Y","Sort=A","Dates=H","DateFormat=P","Fill=—","Direction=H","UseDPDF=Y")</f>
        <v>#NAME?</v>
      </c>
      <c r="BA524" s="1" t="e">
        <f ca="1">_xll.BDH($C$503,"TOTAL_DEBT_5_YEAR_GROWTH","FQ1 2018","FQ1 2018","Currency=INR","Period=FQ","BEST_FPERIOD_OVERRIDE=FQ","FILING_STATUS=OR","EQY_CONSOLIDATED=Y","Sort=A","Dates=H","DateFormat=P","Fill=—","Direction=H","UseDPDF=Y")</f>
        <v>#NAME?</v>
      </c>
      <c r="BB524" s="1" t="e">
        <f ca="1">_xll.BDH($C$503,"GEO_GROW_TOT_SHRHLDR_EQY","FQ1 2018","FQ1 2018","Currency=INR","Period=FQ","BEST_FPERIOD_OVERRIDE=FQ","FILING_STATUS=OR","EQY_CONSOLIDATED=Y","Sort=A","Dates=H","DateFormat=P","Fill=—","Direction=H","UseDPDF=Y")</f>
        <v>#NAME?</v>
      </c>
      <c r="BC524" s="1" t="e">
        <f ca="1">_xll.BDH($C$503,"TOTAL_CAPITAL_5_YEAR_GROWTH","FQ1 2018","FQ1 2018","Currency=INR","Period=FQ","BEST_FPERIOD_OVERRIDE=FQ","FILING_STATUS=OR","EQY_CONSOLIDATED=Y","Sort=A","Dates=H","DateFormat=P","Fill=—","Direction=H","UseDPDF=Y")</f>
        <v>#NAME?</v>
      </c>
      <c r="BD524" s="1" t="e">
        <f ca="1">_xll.BDH($C$503,"GEO_GROW_BOOK_VAL","FQ1 2018","FQ1 2018","Currency=INR","Period=FQ","BEST_FPERIOD_OVERRIDE=FQ","FILING_STATUS=OR","EQY_CONSOLIDATED=Y","Sort=A","Dates=H","DateFormat=P","Fill=—","Direction=H","UseDPDF=Y")</f>
        <v>#NAME?</v>
      </c>
      <c r="BE524" s="1" t="e">
        <f ca="1">_xll.BDH($C$503,"GEO_GROW_CASH_OPER_ACT","FQ1 2018","FQ1 2018","Currency=INR","Period=FQ","BEST_FPERIOD_OVERRIDE=FQ","FILING_STATUS=OR","EQY_CONSOLIDATED=Y","Sort=A","Dates=H","DateFormat=P","Fill=—","Direction=H","UseDPDF=Y")</f>
        <v>#NAME?</v>
      </c>
      <c r="BF524" s="1" t="e">
        <f ca="1">_xll.BDH($C$503,"REVENUE_SEQUENTIAL_GROWTH","FQ1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24" s="1" t="e">
        <f ca="1">_xll.BDH($C$503,"EBITDA_SEQUENTIAL_GROWTH","FQ1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24" s="1" t="e">
        <f ca="1">_xll.BDH($C$503,"OPERATING_INCOME_SEQ_GROWTH","FQ1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24" s="1" t="e">
        <f ca="1">_xll.BDH($C$503,"NET_INCOME_TO_COMMON_SEQ_GROWTH","FQ1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24" s="1" t="e">
        <f ca="1">_xll.BDH($C$503,"EPS_DILUTED_SEQUENTIAL_GROWTH","FQ1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24" s="1" t="e">
        <f ca="1">_xll.BDH($C$503,"DPS_SEQUENTIAL_GROWTH","FQ1 2018","FQ1 2018","Currency=INR","Period=FQ","BEST_FPERIOD_OVERRIDE=FQ","FILING_STATUS=OR","EQY_CONSOLIDATED=Y","Sort=A","Dates=H","DateFormat=P","Fill=—","Direction=H","UseDPDF=Y")</f>
        <v>#NAME?</v>
      </c>
      <c r="BL524" s="1" t="e">
        <f ca="1">_xll.BDH($C$503,"ACCOUNTS_RECEIVABLE_SEQ_GROWTH","FQ1 2018","FQ1 2018","Currency=INR","Period=FQ","BEST_FPERIOD_OVERRIDE=FQ","FILING_STATUS=OR","EQY_CONSOLIDATED=Y","Sort=A","Dates=H","DateFormat=P","Fill=—","Direction=H","UseDPDF=Y")</f>
        <v>#NAME?</v>
      </c>
      <c r="BM524" s="1" t="e">
        <f ca="1">_xll.BDH($C$503,"INVENTORY_SEQUENTIAL_GROWTH","FQ1 2018","FQ1 2018","Currency=INR","Period=FQ","BEST_FPERIOD_OVERRIDE=FQ","FILING_STATUS=OR","EQY_CONSOLIDATED=Y","Sort=A","Dates=H","DateFormat=P","Fill=—","Direction=H","UseDPDF=Y")</f>
        <v>#NAME?</v>
      </c>
      <c r="BN524" s="1" t="e">
        <f ca="1">_xll.BDH($C$503,"FIXED_ASSETS_SEQUENTIAL_GROWTH","FQ1 2018","FQ1 2018","Currency=INR","Period=FQ","BEST_FPERIOD_OVERRIDE=FQ","FILING_STATUS=OR","EQY_CONSOLIDATED=Y","Sort=A","Dates=H","DateFormat=P","Fill=—","Direction=H","UseDPDF=Y")</f>
        <v>#NAME?</v>
      </c>
      <c r="BO524" s="1" t="e">
        <f ca="1">_xll.BDH($C$503,"TOTAL_ASSETS_SEQUENTIAL_GROWTH","FQ1 2018","FQ1 2018","Currency=INR","Period=FQ","BEST_FPERIOD_OVERRIDE=FQ","FILING_STATUS=OR","EQY_CONSOLIDATED=Y","Sort=A","Dates=H","DateFormat=P","Fill=—","Direction=H","UseDPDF=Y")</f>
        <v>#NAME?</v>
      </c>
      <c r="BP524" s="1" t="e">
        <f ca="1">_xll.BDH($C$503,"MODIFIED_WORKING_CPTL_SEQ_GRWTH","FQ1 2018","FQ1 2018","Currency=INR","Period=FQ","BEST_FPERIOD_OVERRIDE=FQ","FILING_STATUS=OR","EQY_CONSOLIDATED=Y","Sort=A","Dates=H","DateFormat=P","Fill=—","Direction=H","UseDPDF=Y")</f>
        <v>#NAME?</v>
      </c>
      <c r="BQ524" s="1" t="e">
        <f ca="1">_xll.BDH($C$503,"WORKING_CAPITAL_SEQ_GROWTH","FQ1 2018","FQ1 2018","Currency=INR","Period=FQ","BEST_FPERIOD_OVERRIDE=FQ","FILING_STATUS=OR","EQY_CONSOLIDATED=Y","Sort=A","Dates=H","DateFormat=P","Fill=—","Direction=H","UseDPDF=Y")</f>
        <v>#NAME?</v>
      </c>
      <c r="BR524" s="1" t="e">
        <f ca="1">_xll.BDH($C$503,"ACCOUNTS_PAYABLE_SEQ_GROWTH","FQ1 2018","FQ1 2018","Currency=INR","Period=FQ","BEST_FPERIOD_OVERRIDE=FQ","FILING_STATUS=OR","EQY_CONSOLIDATED=Y","Sort=A","Dates=H","DateFormat=P","Fill=—","Direction=H","UseDPDF=Y")</f>
        <v>#NAME?</v>
      </c>
      <c r="BS524" s="1" t="e">
        <f ca="1">_xll.BDH($C$503,"ST_DEBT_SEQUENTIAL_GROWTH","FQ1 2018","FQ1 2018","Currency=INR","Period=FQ","BEST_FPERIOD_OVERRIDE=FQ","FILING_STATUS=OR","EQY_CONSOLIDATED=Y","Sort=A","Dates=H","DateFormat=P","Fill=—","Direction=H","UseDPDF=Y")</f>
        <v>#NAME?</v>
      </c>
      <c r="BT524" s="1" t="e">
        <f ca="1">_xll.BDH($C$503,"TOTAL_DEBT_SEQUENTIAL_GROWTH","FQ1 2018","FQ1 2018","Currency=INR","Period=FQ","BEST_FPERIOD_OVERRIDE=FQ","FILING_STATUS=OR","EQY_CONSOLIDATED=Y","Sort=A","Dates=H","DateFormat=P","Fill=—","Direction=H","UseDPDF=Y")</f>
        <v>#NAME?</v>
      </c>
      <c r="BU524" s="1" t="e">
        <f ca="1">_xll.BDH($C$503,"TOTAL_EQUITY_SEQUENTIAL_GROWTH","FQ1 2018","FQ1 2018","Currency=INR","Period=FQ","BEST_FPERIOD_OVERRIDE=FQ","FILING_STATUS=OR","EQY_CONSOLIDATED=Y","Sort=A","Dates=H","DateFormat=P","Fill=—","Direction=H","UseDPDF=Y")</f>
        <v>#NAME?</v>
      </c>
      <c r="BV524" s="1" t="e">
        <f ca="1">_xll.BDH($C$503,"TOTAL_CAPITAL_SEQUENTIAL_GROWTH","FQ1 2018","FQ1 2018","Currency=INR","Period=FQ","BEST_FPERIOD_OVERRIDE=FQ","FILING_STATUS=OR","EQY_CONSOLIDATED=Y","Sort=A","Dates=H","DateFormat=P","Fill=—","Direction=H","UseDPDF=Y")</f>
        <v>#NAME?</v>
      </c>
      <c r="BW524" s="1" t="e">
        <f ca="1">_xll.BDH($C$503,"BPS_SEQUENTIAL_GROWTH","FQ1 2018","FQ1 2018","Currency=INR","Period=FQ","BEST_FPERIOD_OVERRIDE=FQ","FILING_STATUS=OR","EQY_CONSOLIDATED=Y","Sort=A","Dates=H","DateFormat=P","Fill=—","Direction=H","UseDPDF=Y")</f>
        <v>#NAME?</v>
      </c>
      <c r="BX524" s="1" t="e">
        <f ca="1">_xll.BDH($C$503,"CFO_SEQUENTIAL_GROWTH","FQ1 2018","FQ1 2018","Currency=INR","Period=FQ","BEST_FPERIOD_OVERRIDE=FQ","FILING_STATUS=OR","EQY_CONSOLIDATED=Y","Sort=A","Dates=H","DateFormat=P","Fill=—","Direction=H","UseDPDF=Y")</f>
        <v>#NAME?</v>
      </c>
      <c r="BY524" s="2" t="e">
        <f ca="1">_xll.BDH($C$503,"SHORT_AND_LONG_TERM_DEBT","FQ1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24" s="2" t="e">
        <f ca="1">_xll.BDH($C$503,"BS_ST_BORROW","FQ1 2018","FQ1 2018","Currency=INR","Period=FQ","BEST_FPERIOD_OVERRIDE=FQ","FILING_STATUS=OR","EQY_CONSOLIDATED=Y","SCALING_FORMAT=MLN","Sort=A","Dates=H","DateFormat=P","Fill=—","Direction=H","UseDPDF=Y")</f>
        <v>#NAME?</v>
      </c>
      <c r="CA524" s="2" t="e">
        <f ca="1">_xll.BDH($C$503,"BS_LT_BORROW","FQ1 2018","FQ1 2018","Currency=INR","Period=FQ","BEST_FPERIOD_OVERRIDE=FQ","FILING_STATUS=OR","EQY_CONSOLIDATED=Y","SCALING_FORMAT=MLN","Sort=A","Dates=H","DateFormat=P","Fill=—","Direction=H","UseDPDF=Y")</f>
        <v>#NAME?</v>
      </c>
      <c r="CB524" s="1" t="e">
        <f ca="1">_xll.BDH($C$503,"TOT_DEBT_TO_EBITDA","FQ1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24" s="1" t="e">
        <f ca="1">_xll.BDH($C$503,"NET_DEBT_TO_EBITDA","FQ1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24" s="1" t="e">
        <f ca="1">_xll.BDH($C$503,"TOTAL_DEBT_TO_EBIT","FQ1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24" s="1" t="e">
        <f ca="1">_xll.BDH($C$503,"NET_DEBT_TO_EBIT","FQ1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524" s="1" t="e">
        <f ca="1">_xll.BDH($C$503,"EBITDA_TO_INTEREST_EXPN","FQ1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24" s="1" t="e">
        <f ca="1">_xll.BDH($C$503,"COM_EQY_TO_TOT_ASSET","FQ1 2018","FQ1 2018","Currency=INR","Period=FQ","BEST_FPERIOD_OVERRIDE=FQ","FILING_STATUS=OR","EQY_CONSOLIDATED=Y","Sort=A","Dates=H","DateFormat=P","Fill=—","Direction=H","UseDPDF=Y")</f>
        <v>#NAME?</v>
      </c>
      <c r="CH524" s="1" t="e">
        <f ca="1">_xll.BDH($C$503,"LT_DEBT_TO_TOT_EQY","FQ1 2018","FQ1 2018","Currency=INR","Period=FQ","BEST_FPERIOD_OVERRIDE=FQ","FILING_STATUS=OR","EQY_CONSOLIDATED=Y","Sort=A","Dates=H","DateFormat=P","Fill=—","Direction=H","UseDPDF=Y")</f>
        <v>#NAME?</v>
      </c>
      <c r="CI524" s="1" t="e">
        <f ca="1">_xll.BDH($C$503,"LT_DEBT_TO_TOT_CAP","FQ1 2018","FQ1 2018","Currency=INR","Period=FQ","BEST_FPERIOD_OVERRIDE=FQ","FILING_STATUS=OR","EQY_CONSOLIDATED=Y","Sort=A","Dates=H","DateFormat=P","Fill=—","Direction=H","UseDPDF=Y")</f>
        <v>#NAME?</v>
      </c>
      <c r="CJ524" s="1" t="e">
        <f ca="1">_xll.BDH($C$503,"LT_DEBT_TO_TOT_ASSET","FQ1 2018","FQ1 2018","Currency=INR","Period=FQ","BEST_FPERIOD_OVERRIDE=FQ","FILING_STATUS=OR","EQY_CONSOLIDATED=Y","Sort=A","Dates=H","DateFormat=P","Fill=—","Direction=H","UseDPDF=Y")</f>
        <v>#NAME?</v>
      </c>
      <c r="CK524" s="1" t="e">
        <f ca="1">_xll.BDH($C$503,"TOT_DEBT_TO_TOT_EQY","FQ1 2018","FQ1 2018","Currency=INR","Period=FQ","BEST_FPERIOD_OVERRIDE=FQ","FILING_STATUS=OR","EQY_CONSOLIDATED=Y","Sort=A","Dates=H","DateFormat=P","Fill=—","Direction=H","UseDPDF=Y")</f>
        <v>#NAME?</v>
      </c>
      <c r="CL524" s="1" t="e">
        <f ca="1">_xll.BDH($C$503,"TOT_DEBT_TO_TOT_CAP","FQ1 2018","FQ1 2018","Currency=INR","Period=FQ","BEST_FPERIOD_OVERRIDE=FQ","FILING_STATUS=OR","EQY_CONSOLIDATED=Y","Sort=A","Dates=H","DateFormat=P","Fill=—","Direction=H","UseDPDF=Y")</f>
        <v>#NAME?</v>
      </c>
      <c r="CM524" s="1" t="e">
        <f ca="1">_xll.BDH($C$503,"TOT_DEBT_TO_TOT_ASSET","FQ1 2018","FQ1 2018","Currency=INR","Period=FQ","BEST_FPERIOD_OVERRIDE=FQ","FILING_STATUS=OR","EQY_CONSOLIDATED=Y","Sort=A","Dates=H","DateFormat=P","Fill=—","Direction=H","UseDPDF=Y")</f>
        <v>#NAME?</v>
      </c>
      <c r="CN524" s="1" t="e">
        <f ca="1">_xll.BDH($C$503,"NET_DEBT_TO_SHRHLDR_EQTY","FQ1 2018","FQ1 2018","Currency=INR","Period=FQ","BEST_FPERIOD_OVERRIDE=FQ","FILING_STATUS=OR","EQY_CONSOLIDATED=Y","Sort=A","Dates=H","DateFormat=P","Fill=—","Direction=H","UseDPDF=Y")</f>
        <v>#NAME?</v>
      </c>
      <c r="CO524" s="1" t="e">
        <f ca="1">_xll.BDH($C$503,"NET_DEBT_%_CAPITAL","FQ1 2018","FQ1 2018","Currency=INR","Period=FQ","BEST_FPERIOD_OVERRIDE=FQ","FILING_STATUS=OR","EQY_CONSOLIDATED=Y","Sort=A","Dates=H","DateFormat=P","Fill=—","Direction=H","UseDPDF=Y")</f>
        <v>#NAME?</v>
      </c>
      <c r="CP524" s="2" t="e">
        <f ca="1">_xll.BDH($C$503,"EBITDA","FQ1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24" s="2" t="e">
        <f ca="1">_xll.BDH($C$503,"EBITDA_AFTER_CAPEX","FQ1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24" s="2" t="e">
        <f ca="1">_xll.BDH($C$503,"IS_OPER_INC","FQ1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24" s="1" t="e">
        <f ca="1">_xll.BDH($C$503,"CASH_RATIO","FQ1 2018","FQ1 2018","Currency=INR","Period=FQ","BEST_FPERIOD_OVERRIDE=FQ","FILING_STATUS=OR","EQY_CONSOLIDATED=Y","Sort=A","Dates=H","DateFormat=P","Fill=—","Direction=H","UseDPDF=Y")</f>
        <v>#NAME?</v>
      </c>
      <c r="CT524" s="1" t="e">
        <f ca="1">_xll.BDH($C$503,"CUR_RATIO","FQ1 2018","FQ1 2018","Currency=INR","Period=FQ","BEST_FPERIOD_OVERRIDE=FQ","FILING_STATUS=OR","EQY_CONSOLIDATED=Y","Sort=A","Dates=H","DateFormat=P","Fill=—","Direction=H","UseDPDF=Y")</f>
        <v>#NAME?</v>
      </c>
      <c r="CU524" s="1" t="e">
        <f ca="1">_xll.BDH($C$503,"QUICK_RATIO","FQ1 2018","FQ1 2018","Currency=INR","Period=FQ","BEST_FPERIOD_OVERRIDE=FQ","FILING_STATUS=OR","EQY_CONSOLIDATED=Y","Sort=A","Dates=H","DateFormat=P","Fill=—","Direction=H","UseDPDF=Y")</f>
        <v>#NAME?</v>
      </c>
      <c r="CV524" s="1" t="e">
        <f ca="1">_xll.BDH($C$503,"ALTMAN_Z_SCORE","FQ1 2018","FQ1 2018","Currency=INR","Period=FQ","BEST_FPERIOD_OVERRIDE=FQ","FILING_STATUS=OR","EQY_CONSOLIDATED=Y","Sort=A","Dates=H","DateFormat=P","Fill=—","Direction=H","UseDPDF=Y")</f>
        <v>#NAME?</v>
      </c>
      <c r="CW524" s="3" t="e">
        <f ca="1">_xll.BDH($C$503,"ACCT_RCV_TURN","FQ1 2018","FQ1 2018","Currency=INR","Period=FQ","BEST_FPERIOD_OVERRIDE=FQ","FILING_STATUS=OR","EQY_CONSOLIDATED=Y","FA_ADJUSTED=GAAP","Sort=A","Dates=H","DateFormat=P","Fill=—","Direction=H","UseDPDF=Y")</f>
        <v>#NAME?</v>
      </c>
      <c r="CX524" s="1" t="e">
        <f ca="1">_xll.BDH($C$503,"ACCT_RCV_DAYS","FQ1 2018","FQ1 2018","Currency=INR","Period=FQ","BEST_FPERIOD_OVERRIDE=FQ","FILING_STATUS=OR","EQY_CONSOLIDATED=Y","FA_ADJUSTED=GAAP","Sort=A","Dates=H","DateFormat=P","Fill=—","Direction=H","UseDPDF=Y")</f>
        <v>#NAME?</v>
      </c>
      <c r="CY524" s="3" t="e">
        <f ca="1">_xll.BDH($C$503,"INVENT_TURN","FQ1 2018","FQ1 2018","Currency=INR","Period=FQ","BEST_FPERIOD_OVERRIDE=FQ","FILING_STATUS=OR","EQY_CONSOLIDATED=Y","FA_ADJUSTED=GAAP","Sort=A","Dates=H","DateFormat=P","Fill=—","Direction=H","UseDPDF=Y")</f>
        <v>#NAME?</v>
      </c>
      <c r="CZ524" s="1" t="e">
        <f ca="1">_xll.BDH($C$503,"INVENT_DAYS","FQ1 2018","FQ1 2018","Currency=INR","Period=FQ","BEST_FPERIOD_OVERRIDE=FQ","FILING_STATUS=OR","EQY_CONSOLIDATED=Y","FA_ADJUSTED=GAAP","Sort=A","Dates=H","DateFormat=P","Fill=—","Direction=H","UseDPDF=Y")</f>
        <v>#NAME?</v>
      </c>
      <c r="DA524" s="3" t="e">
        <f ca="1">_xll.BDH($C$503,"ACCOUNTS_PAYABLE_TURNOVER","FQ1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24" s="1" t="e">
        <f ca="1">_xll.BDH($C$503,"ACCOUNTS_PAYABLE_TURNOVER_DAYS","FQ1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24" s="3" t="e">
        <f ca="1">_xll.BDH($C$503,"CASH_CONVERSION_CYCLE","FQ1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24" s="3" t="e">
        <f ca="1">_xll.BDH($C$503,"INV_TO_CASH_DAYS","FQ1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524" s="4" t="e">
        <f ca="1">_xll.BDH($C$503,"BS_INVENTORIES","FQ1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524" s="2" t="e">
        <f ca="1">_xll.BDH($C$503,"INVTRY_RAW_MATERIALS","FQ1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24" s="2" t="e">
        <f ca="1">_xll.BDH($C$503,"INVTRY_IN_PROGRESS","FQ1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24" s="2" t="e">
        <f ca="1">_xll.BDH($C$503,"INVTRY_FINISHED_GOODS","FQ1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24" s="2" t="e">
        <f ca="1">_xll.BDH($C$503,"BS_OTHER_INV","FQ1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25" spans="1:113" x14ac:dyDescent="0.3">
      <c r="A525" s="6"/>
      <c r="B525" s="6"/>
      <c r="C525" s="6"/>
      <c r="D525" s="6"/>
      <c r="E525" t="s">
        <v>5</v>
      </c>
      <c r="F525" t="e">
        <f ca="1">_xll.BDH($C$503,"RETURN_COM_EQY","FQ2 2018","FQ2 2018","Currency=INR","Period=FQ","BEST_FPERIOD_OVERRIDE=FQ","FILING_STATUS=OR","EQY_CONSOLIDATED=Y","FA_ADJUSTED=GAAP","Sort=A","Dates=H","DateFormat=P","Fill=—","Direction=H","UseDPDF=Y")</f>
        <v>#NAME?</v>
      </c>
      <c r="G525" t="e">
        <f ca="1">_xll.BDH($C$503,"RETURN_ON_ASSET","FQ2 2018","FQ2 2018","Currency=INR","Period=FQ","BEST_FPERIOD_OVERRIDE=FQ","FILING_STATUS=OR","EQY_CONSOLIDATED=Y","FA_ADJUSTED=GAAP","Sort=A","Dates=H","DateFormat=P","Fill=—","Direction=H","UseDPDF=Y")</f>
        <v>#NAME?</v>
      </c>
      <c r="H525" t="e">
        <f ca="1">_xll.BDH($C$503,"RETURN_ON_CAP","FQ2 2018","FQ2 2018","Currency=INR","Period=FQ","BEST_FPERIOD_OVERRIDE=FQ","FILING_STATUS=OR","EQY_CONSOLIDATED=Y","FA_ADJUSTED=GAAP","Sort=A","Dates=H","DateFormat=P","Fill=—","Direction=H","UseDPDF=Y")</f>
        <v>#NAME?</v>
      </c>
      <c r="I525" t="e">
        <f ca="1">_xll.BDH($C$503,"RETURN_ON_INV_CAPITAL","FQ2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25" t="e">
        <f ca="1">_xll.BDH($C$503,"EBITDA_TO_REVENUE","FQ2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525" t="e">
        <f ca="1">_xll.BDH($C$503,"OPER_MARGIN","FQ2 2018","FQ2 2018","Currency=INR","Period=FQ","BEST_FPERIOD_OVERRIDE=FQ","FILING_STATUS=OR","EQY_CONSOLIDATED=Y","FA_ADJUSTED=GAAP","Sort=A","Dates=H","DateFormat=P","Fill=—","Direction=H","UseDPDF=Y")</f>
        <v>#NAME?</v>
      </c>
      <c r="L525" t="e">
        <f ca="1">_xll.BDH($C$503,"INCREMENTAL_OPERATING_MARGIN","FQ2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25" t="e">
        <f ca="1">_xll.BDH($C$503,"PRETAX_INC_TO_NET_SALES","FQ2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25" t="e">
        <f ca="1">_xll.BDH($C$503,"INC_BEF_XO_ITEMS_TO_NET_SALES","FQ2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25" t="e">
        <f ca="1">_xll.BDH($C$503,"PROF_MARGIN","FQ2 2018","FQ2 2018","Currency=INR","Period=FQ","BEST_FPERIOD_OVERRIDE=FQ","FILING_STATUS=OR","EQY_CONSOLIDATED=Y","FA_ADJUSTED=GAAP","Sort=A","Dates=H","DateFormat=P","Fill=—","Direction=H","UseDPDF=Y")</f>
        <v>#NAME?</v>
      </c>
      <c r="P525" t="e">
        <f ca="1">_xll.BDH($C$503,"NET_INCOME_TO_COMMON_MARGIN","FQ2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25" t="e">
        <f ca="1">_xll.BDH($C$503,"EFF_TAX_RATE","FQ2 2018","FQ2 2018","Currency=INR","Period=FQ","BEST_FPERIOD_OVERRIDE=FQ","FILING_STATUS=OR","EQY_CONSOLIDATED=Y","FA_ADJUSTED=GAAP","Sort=A","Dates=H","DateFormat=P","Fill=—","Direction=H","UseDPDF=Y")</f>
        <v>#NAME?</v>
      </c>
      <c r="R525" t="e">
        <f ca="1">_xll.BDH($C$503,"DVD_PAYOUT_RATIO","FQ2 2018","FQ2 2018","Currency=INR","Period=FQ","BEST_FPERIOD_OVERRIDE=FQ","FILING_STATUS=OR","EQY_CONSOLIDATED=Y","FA_ADJUSTED=GAAP","Sort=A","Dates=H","DateFormat=P","Fill=—","Direction=H","UseDPDF=Y")</f>
        <v>#NAME?</v>
      </c>
      <c r="S525" t="e">
        <f ca="1">_xll.BDH($C$503,"SUSTAIN_GROWTH_RT","FQ2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525" s="1" t="e">
        <f ca="1">_xll.BDH($C$503,"SALES_GROWTH","FQ2 2018","FQ2 2018","Currency=INR","Period=FQ","BEST_FPERIOD_OVERRIDE=FQ","FILING_STATUS=OR","EQY_CONSOLIDATED=Y","FA_ADJUSTED=GAAP","Sort=A","Dates=H","DateFormat=P","Fill=—","Direction=H","UseDPDF=Y")</f>
        <v>#NAME?</v>
      </c>
      <c r="U525" s="1" t="e">
        <f ca="1">_xll.BDH($C$503,"EBITDA_GROWTH","FQ2 2018","FQ2 2018","Currency=INR","Period=FQ","BEST_FPERIOD_OVERRIDE=FQ","FILING_STATUS=OR","EQY_CONSOLIDATED=Y","FA_ADJUSTED=GAAP","Sort=A","Dates=H","DateFormat=P","Fill=—","Direction=H","UseDPDF=Y")</f>
        <v>#NAME?</v>
      </c>
      <c r="V525" s="1" t="e">
        <f ca="1">_xll.BDH($C$503,"OPER_INC_GROWTH","FQ2 2018","FQ2 2018","Currency=INR","Period=FQ","BEST_FPERIOD_OVERRIDE=FQ","FILING_STATUS=OR","EQY_CONSOLIDATED=Y","FA_ADJUSTED=GAAP","Sort=A","Dates=H","DateFormat=P","Fill=—","Direction=H","UseDPDF=Y")</f>
        <v>#NAME?</v>
      </c>
      <c r="W525" s="1" t="e">
        <f ca="1">_xll.BDH($C$503,"EARN_FOR_COM_GROWTH","FQ2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25" s="1" t="e">
        <f ca="1">_xll.BDH($C$503,"DILUTED_EPS_AFT_XO_ITEMS_GROWTH","FQ2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25" s="1" t="e">
        <f ca="1">_xll.BDH($C$503,"DIVIDEND_PER_SHARE_1_YEAR_GROWTH","FQ2 2018","FQ2 2018","Currency=INR","Period=FQ","BEST_FPERIOD_OVERRIDE=FQ","FILING_STATUS=OR","EQY_CONSOLIDATED=Y","Sort=A","Dates=H","DateFormat=P","Fill=—","Direction=H","UseDPDF=Y")</f>
        <v>#NAME?</v>
      </c>
      <c r="Z525" s="1" t="e">
        <f ca="1">_xll.BDH($C$503,"ACCOUNTS_RECEIVABLE_GROWTH","FQ2 2018","FQ2 2018","Currency=INR","Period=FQ","BEST_FPERIOD_OVERRIDE=FQ","FILING_STATUS=OR","EQY_CONSOLIDATED=Y","Sort=A","Dates=H","DateFormat=P","Fill=—","Direction=H","UseDPDF=Y")</f>
        <v>#NAME?</v>
      </c>
      <c r="AA525" s="1" t="e">
        <f ca="1">_xll.BDH($C$503,"INVENTORY_GROWTH","FQ2 2018","FQ2 2018","Currency=INR","Period=FQ","BEST_FPERIOD_OVERRIDE=FQ","FILING_STATUS=OR","EQY_CONSOLIDATED=Y","Sort=A","Dates=H","DateFormat=P","Fill=—","Direction=H","UseDPDF=Y")</f>
        <v>#NAME?</v>
      </c>
      <c r="AB525" s="1" t="e">
        <f ca="1">_xll.BDH($C$503,"NET_FIXED_ASSETS_1_YEAR_GROWTH","FQ2 2018","FQ2 2018","Currency=INR","Period=FQ","BEST_FPERIOD_OVERRIDE=FQ","FILING_STATUS=OR","EQY_CONSOLIDATED=Y","Sort=A","Dates=H","DateFormat=P","Fill=—","Direction=H","UseDPDF=Y")</f>
        <v>#NAME?</v>
      </c>
      <c r="AC525" s="1" t="e">
        <f ca="1">_xll.BDH($C$503,"ASSET_GROWTH","FQ2 2018","FQ2 2018","Currency=INR","Period=FQ","BEST_FPERIOD_OVERRIDE=FQ","FILING_STATUS=OR","EQY_CONSOLIDATED=Y","Sort=A","Dates=H","DateFormat=P","Fill=—","Direction=H","UseDPDF=Y")</f>
        <v>#NAME?</v>
      </c>
      <c r="AD525" s="1" t="e">
        <f ca="1">_xll.BDH($C$503,"MODIFIED_WORK_CAP_GROWTH","FQ2 2018","FQ2 2018","Currency=INR","Period=FQ","BEST_FPERIOD_OVERRIDE=FQ","FILING_STATUS=OR","EQY_CONSOLIDATED=Y","Sort=A","Dates=H","DateFormat=P","Fill=—","Direction=H","UseDPDF=Y")</f>
        <v>#NAME?</v>
      </c>
      <c r="AE525" s="1" t="e">
        <f ca="1">_xll.BDH($C$503,"WORK_CAP_GROWTH","FQ2 2018","FQ2 2018","Currency=INR","Period=FQ","BEST_FPERIOD_OVERRIDE=FQ","FILING_STATUS=OR","EQY_CONSOLIDATED=Y","Sort=A","Dates=H","DateFormat=P","Fill=—","Direction=H","UseDPDF=Y")</f>
        <v>#NAME?</v>
      </c>
      <c r="AF525" s="1" t="e">
        <f ca="1">_xll.BDH($C$503,"ACCOUNTS_PAYABLE_GROWTH_1YR","FQ2 2018","FQ2 2018","Currency=INR","Period=FQ","BEST_FPERIOD_OVERRIDE=FQ","FILING_STATUS=OR","EQY_CONSOLIDATED=Y","Sort=A","Dates=H","DateFormat=P","Fill=—","Direction=H","UseDPDF=Y")</f>
        <v>#NAME?</v>
      </c>
      <c r="AG525" s="1" t="e">
        <f ca="1">_xll.BDH($C$503,"SHORT_TERM_DEBT_1_YEAR_GROWTH","FQ2 2018","FQ2 2018","Currency=INR","Period=FQ","BEST_FPERIOD_OVERRIDE=FQ","FILING_STATUS=OR","EQY_CONSOLIDATED=Y","Sort=A","Dates=H","DateFormat=P","Fill=—","Direction=H","UseDPDF=Y")</f>
        <v>#NAME?</v>
      </c>
      <c r="AH525" s="1" t="e">
        <f ca="1">_xll.BDH($C$503,"TOTAL_DEBT_1_YEAR_GROWTH","FQ2 2018","FQ2 2018","Currency=INR","Period=FQ","BEST_FPERIOD_OVERRIDE=FQ","FILING_STATUS=OR","EQY_CONSOLIDATED=Y","Sort=A","Dates=H","DateFormat=P","Fill=—","Direction=H","UseDPDF=Y")</f>
        <v>#NAME?</v>
      </c>
      <c r="AI525" s="1" t="e">
        <f ca="1">_xll.BDH($C$503,"TOTAL_EQUITY_1_YEAR_GROWTH","FQ2 2018","FQ2 2018","Currency=INR","Period=FQ","BEST_FPERIOD_OVERRIDE=FQ","FILING_STATUS=OR","EQY_CONSOLIDATED=Y","Sort=A","Dates=H","DateFormat=P","Fill=—","Direction=H","UseDPDF=Y")</f>
        <v>#NAME?</v>
      </c>
      <c r="AJ525" s="1" t="e">
        <f ca="1">_xll.BDH($C$503,"GROWTH_IN_CAP","FQ2 2018","FQ2 2018","Currency=INR","Period=FQ","BEST_FPERIOD_OVERRIDE=FQ","FILING_STATUS=OR","EQY_CONSOLIDATED=Y","Sort=A","Dates=H","DateFormat=P","Fill=—","Direction=H","UseDPDF=Y")</f>
        <v>#NAME?</v>
      </c>
      <c r="AK525" s="1" t="e">
        <f ca="1">_xll.BDH($C$503,"BVPS_GROWTH","FQ2 2018","FQ2 2018","Currency=INR","Period=FQ","BEST_FPERIOD_OVERRIDE=FQ","FILING_STATUS=OR","EQY_CONSOLIDATED=Y","Sort=A","Dates=H","DateFormat=P","Fill=—","Direction=H","UseDPDF=Y")</f>
        <v>#NAME?</v>
      </c>
      <c r="AL525" s="1" t="e">
        <f ca="1">_xll.BDH($C$503,"CASH_FLOW_GROWTH","FQ2 2018","FQ2 2018","Currency=INR","Period=FQ","BEST_FPERIOD_OVERRIDE=FQ","FILING_STATUS=OR","EQY_CONSOLIDATED=Y","Sort=A","Dates=H","DateFormat=P","Fill=—","Direction=H","UseDPDF=Y")</f>
        <v>#NAME?</v>
      </c>
      <c r="AM525" s="1" t="e">
        <f ca="1">_xll.BDH($C$503,"GEO_GROW_NET_SALES","FQ2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25" s="1" t="e">
        <f ca="1">_xll.BDH($C$503,"GEO_GROW_EBITDA","FQ2 2018","FQ2 2018","Currency=INR","Period=FQ","BEST_FPERIOD_OVERRIDE=FQ","FILING_STATUS=OR","EQY_CONSOLIDATED=Y","FA_ADJUSTED=GAAP","Sort=A","Dates=H","DateFormat=P","Fill=—","Direction=H","UseDPDF=Y")</f>
        <v>#NAME?</v>
      </c>
      <c r="AO525" s="1" t="e">
        <f ca="1">_xll.BDH($C$503,"GEO_GROW_OPER_INC","FQ2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25" s="1" t="e">
        <f ca="1">_xll.BDH($C$503,"NET_INCOME_TO_COMMON_5_YR_GROWTH","FQ2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25" s="1" t="e">
        <f ca="1">_xll.BDH($C$503,"5Y_GEO_GROWTH_DILUTED_EPS","FQ2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25" s="1" t="e">
        <f ca="1">_xll.BDH($C$503,"GEO_GROW_DVD_PER_SH","FQ2 2018","FQ2 2018","Currency=INR","Period=FQ","BEST_FPERIOD_OVERRIDE=FQ","FILING_STATUS=OR","EQY_CONSOLIDATED=Y","Sort=A","Dates=H","DateFormat=P","Fill=—","Direction=H","UseDPDF=Y")</f>
        <v>#NAME?</v>
      </c>
      <c r="AS525" s="1" t="e">
        <f ca="1">_xll.BDH($C$503,"ACCOUNTS_RECEIVABLE_5_YR_GROWTH","FQ2 2018","FQ2 2018","Currency=INR","Period=FQ","BEST_FPERIOD_OVERRIDE=FQ","FILING_STATUS=OR","EQY_CONSOLIDATED=Y","Sort=A","Dates=H","DateFormat=P","Fill=—","Direction=H","UseDPDF=Y")</f>
        <v>#NAME?</v>
      </c>
      <c r="AT525" s="1" t="e">
        <f ca="1">_xll.BDH($C$503,"INVENTORY_5_YEAR_GROWTH","FQ2 2018","FQ2 2018","Currency=INR","Period=FQ","BEST_FPERIOD_OVERRIDE=FQ","FILING_STATUS=OR","EQY_CONSOLIDATED=Y","Sort=A","Dates=H","DateFormat=P","Fill=—","Direction=H","UseDPDF=Y")</f>
        <v>#NAME?</v>
      </c>
      <c r="AU525" s="1" t="e">
        <f ca="1">_xll.BDH($C$503,"NET_FIXED_ASSETS_5_YEAR_GROWTH","FQ2 2018","FQ2 2018","Currency=INR","Period=FQ","BEST_FPERIOD_OVERRIDE=FQ","FILING_STATUS=OR","EQY_CONSOLIDATED=Y","Sort=A","Dates=H","DateFormat=P","Fill=—","Direction=H","UseDPDF=Y")</f>
        <v>#NAME?</v>
      </c>
      <c r="AV525" s="1" t="e">
        <f ca="1">_xll.BDH($C$503,"GEO_GROW_TOT_ASSET","FQ2 2018","FQ2 2018","Currency=INR","Period=FQ","BEST_FPERIOD_OVERRIDE=FQ","FILING_STATUS=OR","EQY_CONSOLIDATED=Y","Sort=A","Dates=H","DateFormat=P","Fill=—","Direction=H","UseDPDF=Y")</f>
        <v>#NAME?</v>
      </c>
      <c r="AW525" s="1" t="e">
        <f ca="1">_xll.BDH($C$503,"MODIFIED_WORKING_CPTL_5YR_GRWTH","FQ2 2018","FQ2 2018","Currency=INR","Period=FQ","BEST_FPERIOD_OVERRIDE=FQ","FILING_STATUS=OR","EQY_CONSOLIDATED=Y","Sort=A","Dates=H","DateFormat=P","Fill=—","Direction=H","UseDPDF=Y")</f>
        <v>#NAME?</v>
      </c>
      <c r="AX525" s="1" t="e">
        <f ca="1">_xll.BDH($C$503,"WORKING_CAPITAL_5_YEAR_GROWTH","FQ2 2018","FQ2 2018","Currency=INR","Period=FQ","BEST_FPERIOD_OVERRIDE=FQ","FILING_STATUS=OR","EQY_CONSOLIDATED=Y","Sort=A","Dates=H","DateFormat=P","Fill=—","Direction=H","UseDPDF=Y")</f>
        <v>#NAME?</v>
      </c>
      <c r="AY525" s="1" t="e">
        <f ca="1">_xll.BDH($C$503,"ACCOUNTS_PAYABLE_5_YEAR_GROWTH","FQ2 2018","FQ2 2018","Currency=INR","Period=FQ","BEST_FPERIOD_OVERRIDE=FQ","FILING_STATUS=OR","EQY_CONSOLIDATED=Y","Sort=A","Dates=H","DateFormat=P","Fill=—","Direction=H","UseDPDF=Y")</f>
        <v>#NAME?</v>
      </c>
      <c r="AZ525" s="1" t="e">
        <f ca="1">_xll.BDH($C$503,"SHORT_TERM_DEBT_5_YEAR_GROWTH","FQ2 2018","FQ2 2018","Currency=INR","Period=FQ","BEST_FPERIOD_OVERRIDE=FQ","FILING_STATUS=OR","EQY_CONSOLIDATED=Y","Sort=A","Dates=H","DateFormat=P","Fill=—","Direction=H","UseDPDF=Y")</f>
        <v>#NAME?</v>
      </c>
      <c r="BA525" s="1" t="e">
        <f ca="1">_xll.BDH($C$503,"TOTAL_DEBT_5_YEAR_GROWTH","FQ2 2018","FQ2 2018","Currency=INR","Period=FQ","BEST_FPERIOD_OVERRIDE=FQ","FILING_STATUS=OR","EQY_CONSOLIDATED=Y","Sort=A","Dates=H","DateFormat=P","Fill=—","Direction=H","UseDPDF=Y")</f>
        <v>#NAME?</v>
      </c>
      <c r="BB525" s="1" t="e">
        <f ca="1">_xll.BDH($C$503,"GEO_GROW_TOT_SHRHLDR_EQY","FQ2 2018","FQ2 2018","Currency=INR","Period=FQ","BEST_FPERIOD_OVERRIDE=FQ","FILING_STATUS=OR","EQY_CONSOLIDATED=Y","Sort=A","Dates=H","DateFormat=P","Fill=—","Direction=H","UseDPDF=Y")</f>
        <v>#NAME?</v>
      </c>
      <c r="BC525" s="1" t="e">
        <f ca="1">_xll.BDH($C$503,"TOTAL_CAPITAL_5_YEAR_GROWTH","FQ2 2018","FQ2 2018","Currency=INR","Period=FQ","BEST_FPERIOD_OVERRIDE=FQ","FILING_STATUS=OR","EQY_CONSOLIDATED=Y","Sort=A","Dates=H","DateFormat=P","Fill=—","Direction=H","UseDPDF=Y")</f>
        <v>#NAME?</v>
      </c>
      <c r="BD525" s="1" t="e">
        <f ca="1">_xll.BDH($C$503,"GEO_GROW_BOOK_VAL","FQ2 2018","FQ2 2018","Currency=INR","Period=FQ","BEST_FPERIOD_OVERRIDE=FQ","FILING_STATUS=OR","EQY_CONSOLIDATED=Y","Sort=A","Dates=H","DateFormat=P","Fill=—","Direction=H","UseDPDF=Y")</f>
        <v>#NAME?</v>
      </c>
      <c r="BE525" s="1" t="e">
        <f ca="1">_xll.BDH($C$503,"GEO_GROW_CASH_OPER_ACT","FQ2 2018","FQ2 2018","Currency=INR","Period=FQ","BEST_FPERIOD_OVERRIDE=FQ","FILING_STATUS=OR","EQY_CONSOLIDATED=Y","Sort=A","Dates=H","DateFormat=P","Fill=—","Direction=H","UseDPDF=Y")</f>
        <v>#NAME?</v>
      </c>
      <c r="BF525" s="1" t="e">
        <f ca="1">_xll.BDH($C$503,"REVENUE_SEQUENTIAL_GROWTH","FQ2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25" s="1" t="e">
        <f ca="1">_xll.BDH($C$503,"EBITDA_SEQUENTIAL_GROWTH","FQ2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25" s="1" t="e">
        <f ca="1">_xll.BDH($C$503,"OPERATING_INCOME_SEQ_GROWTH","FQ2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25" s="1" t="e">
        <f ca="1">_xll.BDH($C$503,"NET_INCOME_TO_COMMON_SEQ_GROWTH","FQ2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25" s="1" t="e">
        <f ca="1">_xll.BDH($C$503,"EPS_DILUTED_SEQUENTIAL_GROWTH","FQ2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25" s="1" t="e">
        <f ca="1">_xll.BDH($C$503,"DPS_SEQUENTIAL_GROWTH","FQ2 2018","FQ2 2018","Currency=INR","Period=FQ","BEST_FPERIOD_OVERRIDE=FQ","FILING_STATUS=OR","EQY_CONSOLIDATED=Y","Sort=A","Dates=H","DateFormat=P","Fill=—","Direction=H","UseDPDF=Y")</f>
        <v>#NAME?</v>
      </c>
      <c r="BL525" s="1" t="e">
        <f ca="1">_xll.BDH($C$503,"ACCOUNTS_RECEIVABLE_SEQ_GROWTH","FQ2 2018","FQ2 2018","Currency=INR","Period=FQ","BEST_FPERIOD_OVERRIDE=FQ","FILING_STATUS=OR","EQY_CONSOLIDATED=Y","Sort=A","Dates=H","DateFormat=P","Fill=—","Direction=H","UseDPDF=Y")</f>
        <v>#NAME?</v>
      </c>
      <c r="BM525" s="1" t="e">
        <f ca="1">_xll.BDH($C$503,"INVENTORY_SEQUENTIAL_GROWTH","FQ2 2018","FQ2 2018","Currency=INR","Period=FQ","BEST_FPERIOD_OVERRIDE=FQ","FILING_STATUS=OR","EQY_CONSOLIDATED=Y","Sort=A","Dates=H","DateFormat=P","Fill=—","Direction=H","UseDPDF=Y")</f>
        <v>#NAME?</v>
      </c>
      <c r="BN525" s="1" t="e">
        <f ca="1">_xll.BDH($C$503,"FIXED_ASSETS_SEQUENTIAL_GROWTH","FQ2 2018","FQ2 2018","Currency=INR","Period=FQ","BEST_FPERIOD_OVERRIDE=FQ","FILING_STATUS=OR","EQY_CONSOLIDATED=Y","Sort=A","Dates=H","DateFormat=P","Fill=—","Direction=H","UseDPDF=Y")</f>
        <v>#NAME?</v>
      </c>
      <c r="BO525" s="1" t="e">
        <f ca="1">_xll.BDH($C$503,"TOTAL_ASSETS_SEQUENTIAL_GROWTH","FQ2 2018","FQ2 2018","Currency=INR","Period=FQ","BEST_FPERIOD_OVERRIDE=FQ","FILING_STATUS=OR","EQY_CONSOLIDATED=Y","Sort=A","Dates=H","DateFormat=P","Fill=—","Direction=H","UseDPDF=Y")</f>
        <v>#NAME?</v>
      </c>
      <c r="BP525" s="1" t="e">
        <f ca="1">_xll.BDH($C$503,"MODIFIED_WORKING_CPTL_SEQ_GRWTH","FQ2 2018","FQ2 2018","Currency=INR","Period=FQ","BEST_FPERIOD_OVERRIDE=FQ","FILING_STATUS=OR","EQY_CONSOLIDATED=Y","Sort=A","Dates=H","DateFormat=P","Fill=—","Direction=H","UseDPDF=Y")</f>
        <v>#NAME?</v>
      </c>
      <c r="BQ525" s="1" t="e">
        <f ca="1">_xll.BDH($C$503,"WORKING_CAPITAL_SEQ_GROWTH","FQ2 2018","FQ2 2018","Currency=INR","Period=FQ","BEST_FPERIOD_OVERRIDE=FQ","FILING_STATUS=OR","EQY_CONSOLIDATED=Y","Sort=A","Dates=H","DateFormat=P","Fill=—","Direction=H","UseDPDF=Y")</f>
        <v>#NAME?</v>
      </c>
      <c r="BR525" s="1" t="e">
        <f ca="1">_xll.BDH($C$503,"ACCOUNTS_PAYABLE_SEQ_GROWTH","FQ2 2018","FQ2 2018","Currency=INR","Period=FQ","BEST_FPERIOD_OVERRIDE=FQ","FILING_STATUS=OR","EQY_CONSOLIDATED=Y","Sort=A","Dates=H","DateFormat=P","Fill=—","Direction=H","UseDPDF=Y")</f>
        <v>#NAME?</v>
      </c>
      <c r="BS525" s="1" t="e">
        <f ca="1">_xll.BDH($C$503,"ST_DEBT_SEQUENTIAL_GROWTH","FQ2 2018","FQ2 2018","Currency=INR","Period=FQ","BEST_FPERIOD_OVERRIDE=FQ","FILING_STATUS=OR","EQY_CONSOLIDATED=Y","Sort=A","Dates=H","DateFormat=P","Fill=—","Direction=H","UseDPDF=Y")</f>
        <v>#NAME?</v>
      </c>
      <c r="BT525" s="1" t="e">
        <f ca="1">_xll.BDH($C$503,"TOTAL_DEBT_SEQUENTIAL_GROWTH","FQ2 2018","FQ2 2018","Currency=INR","Period=FQ","BEST_FPERIOD_OVERRIDE=FQ","FILING_STATUS=OR","EQY_CONSOLIDATED=Y","Sort=A","Dates=H","DateFormat=P","Fill=—","Direction=H","UseDPDF=Y")</f>
        <v>#NAME?</v>
      </c>
      <c r="BU525" s="1" t="e">
        <f ca="1">_xll.BDH($C$503,"TOTAL_EQUITY_SEQUENTIAL_GROWTH","FQ2 2018","FQ2 2018","Currency=INR","Period=FQ","BEST_FPERIOD_OVERRIDE=FQ","FILING_STATUS=OR","EQY_CONSOLIDATED=Y","Sort=A","Dates=H","DateFormat=P","Fill=—","Direction=H","UseDPDF=Y")</f>
        <v>#NAME?</v>
      </c>
      <c r="BV525" s="1" t="e">
        <f ca="1">_xll.BDH($C$503,"TOTAL_CAPITAL_SEQUENTIAL_GROWTH","FQ2 2018","FQ2 2018","Currency=INR","Period=FQ","BEST_FPERIOD_OVERRIDE=FQ","FILING_STATUS=OR","EQY_CONSOLIDATED=Y","Sort=A","Dates=H","DateFormat=P","Fill=—","Direction=H","UseDPDF=Y")</f>
        <v>#NAME?</v>
      </c>
      <c r="BW525" s="1" t="e">
        <f ca="1">_xll.BDH($C$503,"BPS_SEQUENTIAL_GROWTH","FQ2 2018","FQ2 2018","Currency=INR","Period=FQ","BEST_FPERIOD_OVERRIDE=FQ","FILING_STATUS=OR","EQY_CONSOLIDATED=Y","Sort=A","Dates=H","DateFormat=P","Fill=—","Direction=H","UseDPDF=Y")</f>
        <v>#NAME?</v>
      </c>
      <c r="BX525" s="1" t="e">
        <f ca="1">_xll.BDH($C$503,"CFO_SEQUENTIAL_GROWTH","FQ2 2018","FQ2 2018","Currency=INR","Period=FQ","BEST_FPERIOD_OVERRIDE=FQ","FILING_STATUS=OR","EQY_CONSOLIDATED=Y","Sort=A","Dates=H","DateFormat=P","Fill=—","Direction=H","UseDPDF=Y")</f>
        <v>#NAME?</v>
      </c>
      <c r="BY525" s="2" t="e">
        <f ca="1">_xll.BDH($C$503,"SHORT_AND_LONG_TERM_DEBT","FQ2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25" s="2" t="e">
        <f ca="1">_xll.BDH($C$503,"BS_ST_BORROW","FQ2 2018","FQ2 2018","Currency=INR","Period=FQ","BEST_FPERIOD_OVERRIDE=FQ","FILING_STATUS=OR","EQY_CONSOLIDATED=Y","SCALING_FORMAT=MLN","Sort=A","Dates=H","DateFormat=P","Fill=—","Direction=H","UseDPDF=Y")</f>
        <v>#NAME?</v>
      </c>
      <c r="CA525" s="2" t="e">
        <f ca="1">_xll.BDH($C$503,"BS_LT_BORROW","FQ2 2018","FQ2 2018","Currency=INR","Period=FQ","BEST_FPERIOD_OVERRIDE=FQ","FILING_STATUS=OR","EQY_CONSOLIDATED=Y","SCALING_FORMAT=MLN","Sort=A","Dates=H","DateFormat=P","Fill=—","Direction=H","UseDPDF=Y")</f>
        <v>#NAME?</v>
      </c>
      <c r="CB525" s="1" t="e">
        <f ca="1">_xll.BDH($C$503,"TOT_DEBT_TO_EBITDA","FQ2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25" s="1" t="e">
        <f ca="1">_xll.BDH($C$503,"NET_DEBT_TO_EBITDA","FQ2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25" s="1" t="e">
        <f ca="1">_xll.BDH($C$503,"TOTAL_DEBT_TO_EBIT","FQ2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25" s="1" t="e">
        <f ca="1">_xll.BDH($C$503,"NET_DEBT_TO_EBIT","FQ2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525" s="1" t="e">
        <f ca="1">_xll.BDH($C$503,"EBITDA_TO_INTEREST_EXPN","FQ2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25" s="1" t="e">
        <f ca="1">_xll.BDH($C$503,"COM_EQY_TO_TOT_ASSET","FQ2 2018","FQ2 2018","Currency=INR","Period=FQ","BEST_FPERIOD_OVERRIDE=FQ","FILING_STATUS=OR","EQY_CONSOLIDATED=Y","Sort=A","Dates=H","DateFormat=P","Fill=—","Direction=H","UseDPDF=Y")</f>
        <v>#NAME?</v>
      </c>
      <c r="CH525" s="1" t="e">
        <f ca="1">_xll.BDH($C$503,"LT_DEBT_TO_TOT_EQY","FQ2 2018","FQ2 2018","Currency=INR","Period=FQ","BEST_FPERIOD_OVERRIDE=FQ","FILING_STATUS=OR","EQY_CONSOLIDATED=Y","Sort=A","Dates=H","DateFormat=P","Fill=—","Direction=H","UseDPDF=Y")</f>
        <v>#NAME?</v>
      </c>
      <c r="CI525" s="1" t="e">
        <f ca="1">_xll.BDH($C$503,"LT_DEBT_TO_TOT_CAP","FQ2 2018","FQ2 2018","Currency=INR","Period=FQ","BEST_FPERIOD_OVERRIDE=FQ","FILING_STATUS=OR","EQY_CONSOLIDATED=Y","Sort=A","Dates=H","DateFormat=P","Fill=—","Direction=H","UseDPDF=Y")</f>
        <v>#NAME?</v>
      </c>
      <c r="CJ525" s="1" t="e">
        <f ca="1">_xll.BDH($C$503,"LT_DEBT_TO_TOT_ASSET","FQ2 2018","FQ2 2018","Currency=INR","Period=FQ","BEST_FPERIOD_OVERRIDE=FQ","FILING_STATUS=OR","EQY_CONSOLIDATED=Y","Sort=A","Dates=H","DateFormat=P","Fill=—","Direction=H","UseDPDF=Y")</f>
        <v>#NAME?</v>
      </c>
      <c r="CK525" s="1" t="e">
        <f ca="1">_xll.BDH($C$503,"TOT_DEBT_TO_TOT_EQY","FQ2 2018","FQ2 2018","Currency=INR","Period=FQ","BEST_FPERIOD_OVERRIDE=FQ","FILING_STATUS=OR","EQY_CONSOLIDATED=Y","Sort=A","Dates=H","DateFormat=P","Fill=—","Direction=H","UseDPDF=Y")</f>
        <v>#NAME?</v>
      </c>
      <c r="CL525" s="1" t="e">
        <f ca="1">_xll.BDH($C$503,"TOT_DEBT_TO_TOT_CAP","FQ2 2018","FQ2 2018","Currency=INR","Period=FQ","BEST_FPERIOD_OVERRIDE=FQ","FILING_STATUS=OR","EQY_CONSOLIDATED=Y","Sort=A","Dates=H","DateFormat=P","Fill=—","Direction=H","UseDPDF=Y")</f>
        <v>#NAME?</v>
      </c>
      <c r="CM525" s="1" t="e">
        <f ca="1">_xll.BDH($C$503,"TOT_DEBT_TO_TOT_ASSET","FQ2 2018","FQ2 2018","Currency=INR","Period=FQ","BEST_FPERIOD_OVERRIDE=FQ","FILING_STATUS=OR","EQY_CONSOLIDATED=Y","Sort=A","Dates=H","DateFormat=P","Fill=—","Direction=H","UseDPDF=Y")</f>
        <v>#NAME?</v>
      </c>
      <c r="CN525" s="1" t="e">
        <f ca="1">_xll.BDH($C$503,"NET_DEBT_TO_SHRHLDR_EQTY","FQ2 2018","FQ2 2018","Currency=INR","Period=FQ","BEST_FPERIOD_OVERRIDE=FQ","FILING_STATUS=OR","EQY_CONSOLIDATED=Y","Sort=A","Dates=H","DateFormat=P","Fill=—","Direction=H","UseDPDF=Y")</f>
        <v>#NAME?</v>
      </c>
      <c r="CO525" s="1" t="e">
        <f ca="1">_xll.BDH($C$503,"NET_DEBT_%_CAPITAL","FQ2 2018","FQ2 2018","Currency=INR","Period=FQ","BEST_FPERIOD_OVERRIDE=FQ","FILING_STATUS=OR","EQY_CONSOLIDATED=Y","Sort=A","Dates=H","DateFormat=P","Fill=—","Direction=H","UseDPDF=Y")</f>
        <v>#NAME?</v>
      </c>
      <c r="CP525" s="2" t="e">
        <f ca="1">_xll.BDH($C$503,"EBITDA","FQ2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25" s="2" t="e">
        <f ca="1">_xll.BDH($C$503,"EBITDA_AFTER_CAPEX","FQ2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25" s="2" t="e">
        <f ca="1">_xll.BDH($C$503,"IS_OPER_INC","FQ2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25" s="1" t="e">
        <f ca="1">_xll.BDH($C$503,"CASH_RATIO","FQ2 2018","FQ2 2018","Currency=INR","Period=FQ","BEST_FPERIOD_OVERRIDE=FQ","FILING_STATUS=OR","EQY_CONSOLIDATED=Y","Sort=A","Dates=H","DateFormat=P","Fill=—","Direction=H","UseDPDF=Y")</f>
        <v>#NAME?</v>
      </c>
      <c r="CT525" s="1" t="e">
        <f ca="1">_xll.BDH($C$503,"CUR_RATIO","FQ2 2018","FQ2 2018","Currency=INR","Period=FQ","BEST_FPERIOD_OVERRIDE=FQ","FILING_STATUS=OR","EQY_CONSOLIDATED=Y","Sort=A","Dates=H","DateFormat=P","Fill=—","Direction=H","UseDPDF=Y")</f>
        <v>#NAME?</v>
      </c>
      <c r="CU525" s="1" t="e">
        <f ca="1">_xll.BDH($C$503,"QUICK_RATIO","FQ2 2018","FQ2 2018","Currency=INR","Period=FQ","BEST_FPERIOD_OVERRIDE=FQ","FILING_STATUS=OR","EQY_CONSOLIDATED=Y","Sort=A","Dates=H","DateFormat=P","Fill=—","Direction=H","UseDPDF=Y")</f>
        <v>#NAME?</v>
      </c>
      <c r="CV525" s="1" t="e">
        <f ca="1">_xll.BDH($C$503,"ALTMAN_Z_SCORE","FQ2 2018","FQ2 2018","Currency=INR","Period=FQ","BEST_FPERIOD_OVERRIDE=FQ","FILING_STATUS=OR","EQY_CONSOLIDATED=Y","Sort=A","Dates=H","DateFormat=P","Fill=—","Direction=H","UseDPDF=Y")</f>
        <v>#NAME?</v>
      </c>
      <c r="CW525" s="3" t="e">
        <f ca="1">_xll.BDH($C$503,"ACCT_RCV_TURN","FQ2 2018","FQ2 2018","Currency=INR","Period=FQ","BEST_FPERIOD_OVERRIDE=FQ","FILING_STATUS=OR","EQY_CONSOLIDATED=Y","FA_ADJUSTED=GAAP","Sort=A","Dates=H","DateFormat=P","Fill=—","Direction=H","UseDPDF=Y")</f>
        <v>#NAME?</v>
      </c>
      <c r="CX525" s="1" t="e">
        <f ca="1">_xll.BDH($C$503,"ACCT_RCV_DAYS","FQ2 2018","FQ2 2018","Currency=INR","Period=FQ","BEST_FPERIOD_OVERRIDE=FQ","FILING_STATUS=OR","EQY_CONSOLIDATED=Y","FA_ADJUSTED=GAAP","Sort=A","Dates=H","DateFormat=P","Fill=—","Direction=H","UseDPDF=Y")</f>
        <v>#NAME?</v>
      </c>
      <c r="CY525" s="3" t="e">
        <f ca="1">_xll.BDH($C$503,"INVENT_TURN","FQ2 2018","FQ2 2018","Currency=INR","Period=FQ","BEST_FPERIOD_OVERRIDE=FQ","FILING_STATUS=OR","EQY_CONSOLIDATED=Y","FA_ADJUSTED=GAAP","Sort=A","Dates=H","DateFormat=P","Fill=—","Direction=H","UseDPDF=Y")</f>
        <v>#NAME?</v>
      </c>
      <c r="CZ525" s="1" t="e">
        <f ca="1">_xll.BDH($C$503,"INVENT_DAYS","FQ2 2018","FQ2 2018","Currency=INR","Period=FQ","BEST_FPERIOD_OVERRIDE=FQ","FILING_STATUS=OR","EQY_CONSOLIDATED=Y","FA_ADJUSTED=GAAP","Sort=A","Dates=H","DateFormat=P","Fill=—","Direction=H","UseDPDF=Y")</f>
        <v>#NAME?</v>
      </c>
      <c r="DA525" s="3" t="e">
        <f ca="1">_xll.BDH($C$503,"ACCOUNTS_PAYABLE_TURNOVER","FQ2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25" s="1" t="e">
        <f ca="1">_xll.BDH($C$503,"ACCOUNTS_PAYABLE_TURNOVER_DAYS","FQ2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25" s="3" t="e">
        <f ca="1">_xll.BDH($C$503,"CASH_CONVERSION_CYCLE","FQ2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25" s="3" t="e">
        <f ca="1">_xll.BDH($C$503,"INV_TO_CASH_DAYS","FQ2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525" s="4" t="e">
        <f ca="1">_xll.BDH($C$503,"BS_INVENTORIES","FQ2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525" s="2" t="e">
        <f ca="1">_xll.BDH($C$503,"INVTRY_RAW_MATERIALS","FQ2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25" s="2" t="e">
        <f ca="1">_xll.BDH($C$503,"INVTRY_IN_PROGRESS","FQ2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25" s="2" t="e">
        <f ca="1">_xll.BDH($C$503,"INVTRY_FINISHED_GOODS","FQ2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25" s="2" t="e">
        <f ca="1">_xll.BDH($C$503,"BS_OTHER_INV","FQ2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26" spans="1:113" x14ac:dyDescent="0.3">
      <c r="A526" s="6"/>
      <c r="B526" s="6"/>
      <c r="C526" s="6"/>
      <c r="D526" s="6"/>
      <c r="E526" t="s">
        <v>6</v>
      </c>
      <c r="F526" t="e">
        <f ca="1">_xll.BDH($C$503,"RETURN_COM_EQY","FQ3 2018","FQ3 2018","Currency=INR","Period=FQ","BEST_FPERIOD_OVERRIDE=FQ","FILING_STATUS=OR","EQY_CONSOLIDATED=Y","FA_ADJUSTED=GAAP","Sort=A","Dates=H","DateFormat=P","Fill=—","Direction=H","UseDPDF=Y")</f>
        <v>#NAME?</v>
      </c>
      <c r="G526" t="e">
        <f ca="1">_xll.BDH($C$503,"RETURN_ON_ASSET","FQ3 2018","FQ3 2018","Currency=INR","Period=FQ","BEST_FPERIOD_OVERRIDE=FQ","FILING_STATUS=OR","EQY_CONSOLIDATED=Y","FA_ADJUSTED=GAAP","Sort=A","Dates=H","DateFormat=P","Fill=—","Direction=H","UseDPDF=Y")</f>
        <v>#NAME?</v>
      </c>
      <c r="H526" t="e">
        <f ca="1">_xll.BDH($C$503,"RETURN_ON_CAP","FQ3 2018","FQ3 2018","Currency=INR","Period=FQ","BEST_FPERIOD_OVERRIDE=FQ","FILING_STATUS=OR","EQY_CONSOLIDATED=Y","FA_ADJUSTED=GAAP","Sort=A","Dates=H","DateFormat=P","Fill=—","Direction=H","UseDPDF=Y")</f>
        <v>#NAME?</v>
      </c>
      <c r="I526" t="e">
        <f ca="1">_xll.BDH($C$503,"RETURN_ON_INV_CAPITAL","FQ3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26" t="e">
        <f ca="1">_xll.BDH($C$503,"EBITDA_TO_REVENUE","FQ3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526" t="e">
        <f ca="1">_xll.BDH($C$503,"OPER_MARGIN","FQ3 2018","FQ3 2018","Currency=INR","Period=FQ","BEST_FPERIOD_OVERRIDE=FQ","FILING_STATUS=OR","EQY_CONSOLIDATED=Y","FA_ADJUSTED=GAAP","Sort=A","Dates=H","DateFormat=P","Fill=—","Direction=H","UseDPDF=Y")</f>
        <v>#NAME?</v>
      </c>
      <c r="L526" t="e">
        <f ca="1">_xll.BDH($C$503,"INCREMENTAL_OPERATING_MARGIN","FQ3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26" t="e">
        <f ca="1">_xll.BDH($C$503,"PRETAX_INC_TO_NET_SALES","FQ3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26" t="e">
        <f ca="1">_xll.BDH($C$503,"INC_BEF_XO_ITEMS_TO_NET_SALES","FQ3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26" t="e">
        <f ca="1">_xll.BDH($C$503,"PROF_MARGIN","FQ3 2018","FQ3 2018","Currency=INR","Period=FQ","BEST_FPERIOD_OVERRIDE=FQ","FILING_STATUS=OR","EQY_CONSOLIDATED=Y","FA_ADJUSTED=GAAP","Sort=A","Dates=H","DateFormat=P","Fill=—","Direction=H","UseDPDF=Y")</f>
        <v>#NAME?</v>
      </c>
      <c r="P526" t="e">
        <f ca="1">_xll.BDH($C$503,"NET_INCOME_TO_COMMON_MARGIN","FQ3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26" t="e">
        <f ca="1">_xll.BDH($C$503,"EFF_TAX_RATE","FQ3 2018","FQ3 2018","Currency=INR","Period=FQ","BEST_FPERIOD_OVERRIDE=FQ","FILING_STATUS=OR","EQY_CONSOLIDATED=Y","FA_ADJUSTED=GAAP","Sort=A","Dates=H","DateFormat=P","Fill=—","Direction=H","UseDPDF=Y")</f>
        <v>#NAME?</v>
      </c>
      <c r="R526" t="e">
        <f ca="1">_xll.BDH($C$503,"DVD_PAYOUT_RATIO","FQ3 2018","FQ3 2018","Currency=INR","Period=FQ","BEST_FPERIOD_OVERRIDE=FQ","FILING_STATUS=OR","EQY_CONSOLIDATED=Y","FA_ADJUSTED=GAAP","Sort=A","Dates=H","DateFormat=P","Fill=—","Direction=H","UseDPDF=Y")</f>
        <v>#NAME?</v>
      </c>
      <c r="S526" t="e">
        <f ca="1">_xll.BDH($C$503,"SUSTAIN_GROWTH_RT","FQ3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526" s="1" t="e">
        <f ca="1">_xll.BDH($C$503,"SALES_GROWTH","FQ3 2018","FQ3 2018","Currency=INR","Period=FQ","BEST_FPERIOD_OVERRIDE=FQ","FILING_STATUS=OR","EQY_CONSOLIDATED=Y","FA_ADJUSTED=GAAP","Sort=A","Dates=H","DateFormat=P","Fill=—","Direction=H","UseDPDF=Y")</f>
        <v>#NAME?</v>
      </c>
      <c r="U526" s="1" t="e">
        <f ca="1">_xll.BDH($C$503,"EBITDA_GROWTH","FQ3 2018","FQ3 2018","Currency=INR","Period=FQ","BEST_FPERIOD_OVERRIDE=FQ","FILING_STATUS=OR","EQY_CONSOLIDATED=Y","FA_ADJUSTED=GAAP","Sort=A","Dates=H","DateFormat=P","Fill=—","Direction=H","UseDPDF=Y")</f>
        <v>#NAME?</v>
      </c>
      <c r="V526" s="1" t="e">
        <f ca="1">_xll.BDH($C$503,"OPER_INC_GROWTH","FQ3 2018","FQ3 2018","Currency=INR","Period=FQ","BEST_FPERIOD_OVERRIDE=FQ","FILING_STATUS=OR","EQY_CONSOLIDATED=Y","FA_ADJUSTED=GAAP","Sort=A","Dates=H","DateFormat=P","Fill=—","Direction=H","UseDPDF=Y")</f>
        <v>#NAME?</v>
      </c>
      <c r="W526" s="1" t="e">
        <f ca="1">_xll.BDH($C$503,"EARN_FOR_COM_GROWTH","FQ3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26" s="1" t="e">
        <f ca="1">_xll.BDH($C$503,"DILUTED_EPS_AFT_XO_ITEMS_GROWTH","FQ3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26" s="1" t="e">
        <f ca="1">_xll.BDH($C$503,"DIVIDEND_PER_SHARE_1_YEAR_GROWTH","FQ3 2018","FQ3 2018","Currency=INR","Period=FQ","BEST_FPERIOD_OVERRIDE=FQ","FILING_STATUS=OR","EQY_CONSOLIDATED=Y","Sort=A","Dates=H","DateFormat=P","Fill=—","Direction=H","UseDPDF=Y")</f>
        <v>#NAME?</v>
      </c>
      <c r="Z526" s="1" t="e">
        <f ca="1">_xll.BDH($C$503,"ACCOUNTS_RECEIVABLE_GROWTH","FQ3 2018","FQ3 2018","Currency=INR","Period=FQ","BEST_FPERIOD_OVERRIDE=FQ","FILING_STATUS=OR","EQY_CONSOLIDATED=Y","Sort=A","Dates=H","DateFormat=P","Fill=—","Direction=H","UseDPDF=Y")</f>
        <v>#NAME?</v>
      </c>
      <c r="AA526" s="1" t="e">
        <f ca="1">_xll.BDH($C$503,"INVENTORY_GROWTH","FQ3 2018","FQ3 2018","Currency=INR","Period=FQ","BEST_FPERIOD_OVERRIDE=FQ","FILING_STATUS=OR","EQY_CONSOLIDATED=Y","Sort=A","Dates=H","DateFormat=P","Fill=—","Direction=H","UseDPDF=Y")</f>
        <v>#NAME?</v>
      </c>
      <c r="AB526" s="1" t="e">
        <f ca="1">_xll.BDH($C$503,"NET_FIXED_ASSETS_1_YEAR_GROWTH","FQ3 2018","FQ3 2018","Currency=INR","Period=FQ","BEST_FPERIOD_OVERRIDE=FQ","FILING_STATUS=OR","EQY_CONSOLIDATED=Y","Sort=A","Dates=H","DateFormat=P","Fill=—","Direction=H","UseDPDF=Y")</f>
        <v>#NAME?</v>
      </c>
      <c r="AC526" s="1" t="e">
        <f ca="1">_xll.BDH($C$503,"ASSET_GROWTH","FQ3 2018","FQ3 2018","Currency=INR","Period=FQ","BEST_FPERIOD_OVERRIDE=FQ","FILING_STATUS=OR","EQY_CONSOLIDATED=Y","Sort=A","Dates=H","DateFormat=P","Fill=—","Direction=H","UseDPDF=Y")</f>
        <v>#NAME?</v>
      </c>
      <c r="AD526" s="1" t="e">
        <f ca="1">_xll.BDH($C$503,"MODIFIED_WORK_CAP_GROWTH","FQ3 2018","FQ3 2018","Currency=INR","Period=FQ","BEST_FPERIOD_OVERRIDE=FQ","FILING_STATUS=OR","EQY_CONSOLIDATED=Y","Sort=A","Dates=H","DateFormat=P","Fill=—","Direction=H","UseDPDF=Y")</f>
        <v>#NAME?</v>
      </c>
      <c r="AE526" s="1" t="e">
        <f ca="1">_xll.BDH($C$503,"WORK_CAP_GROWTH","FQ3 2018","FQ3 2018","Currency=INR","Period=FQ","BEST_FPERIOD_OVERRIDE=FQ","FILING_STATUS=OR","EQY_CONSOLIDATED=Y","Sort=A","Dates=H","DateFormat=P","Fill=—","Direction=H","UseDPDF=Y")</f>
        <v>#NAME?</v>
      </c>
      <c r="AF526" s="1" t="e">
        <f ca="1">_xll.BDH($C$503,"ACCOUNTS_PAYABLE_GROWTH_1YR","FQ3 2018","FQ3 2018","Currency=INR","Period=FQ","BEST_FPERIOD_OVERRIDE=FQ","FILING_STATUS=OR","EQY_CONSOLIDATED=Y","Sort=A","Dates=H","DateFormat=P","Fill=—","Direction=H","UseDPDF=Y")</f>
        <v>#NAME?</v>
      </c>
      <c r="AG526" s="1" t="e">
        <f ca="1">_xll.BDH($C$503,"SHORT_TERM_DEBT_1_YEAR_GROWTH","FQ3 2018","FQ3 2018","Currency=INR","Period=FQ","BEST_FPERIOD_OVERRIDE=FQ","FILING_STATUS=OR","EQY_CONSOLIDATED=Y","Sort=A","Dates=H","DateFormat=P","Fill=—","Direction=H","UseDPDF=Y")</f>
        <v>#NAME?</v>
      </c>
      <c r="AH526" s="1" t="e">
        <f ca="1">_xll.BDH($C$503,"TOTAL_DEBT_1_YEAR_GROWTH","FQ3 2018","FQ3 2018","Currency=INR","Period=FQ","BEST_FPERIOD_OVERRIDE=FQ","FILING_STATUS=OR","EQY_CONSOLIDATED=Y","Sort=A","Dates=H","DateFormat=P","Fill=—","Direction=H","UseDPDF=Y")</f>
        <v>#NAME?</v>
      </c>
      <c r="AI526" s="1" t="e">
        <f ca="1">_xll.BDH($C$503,"TOTAL_EQUITY_1_YEAR_GROWTH","FQ3 2018","FQ3 2018","Currency=INR","Period=FQ","BEST_FPERIOD_OVERRIDE=FQ","FILING_STATUS=OR","EQY_CONSOLIDATED=Y","Sort=A","Dates=H","DateFormat=P","Fill=—","Direction=H","UseDPDF=Y")</f>
        <v>#NAME?</v>
      </c>
      <c r="AJ526" s="1" t="e">
        <f ca="1">_xll.BDH($C$503,"GROWTH_IN_CAP","FQ3 2018","FQ3 2018","Currency=INR","Period=FQ","BEST_FPERIOD_OVERRIDE=FQ","FILING_STATUS=OR","EQY_CONSOLIDATED=Y","Sort=A","Dates=H","DateFormat=P","Fill=—","Direction=H","UseDPDF=Y")</f>
        <v>#NAME?</v>
      </c>
      <c r="AK526" s="1" t="e">
        <f ca="1">_xll.BDH($C$503,"BVPS_GROWTH","FQ3 2018","FQ3 2018","Currency=INR","Period=FQ","BEST_FPERIOD_OVERRIDE=FQ","FILING_STATUS=OR","EQY_CONSOLIDATED=Y","Sort=A","Dates=H","DateFormat=P","Fill=—","Direction=H","UseDPDF=Y")</f>
        <v>#NAME?</v>
      </c>
      <c r="AL526" s="1" t="e">
        <f ca="1">_xll.BDH($C$503,"CASH_FLOW_GROWTH","FQ3 2018","FQ3 2018","Currency=INR","Period=FQ","BEST_FPERIOD_OVERRIDE=FQ","FILING_STATUS=OR","EQY_CONSOLIDATED=Y","Sort=A","Dates=H","DateFormat=P","Fill=—","Direction=H","UseDPDF=Y")</f>
        <v>#NAME?</v>
      </c>
      <c r="AM526" s="1" t="e">
        <f ca="1">_xll.BDH($C$503,"GEO_GROW_NET_SALES","FQ3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26" s="1" t="e">
        <f ca="1">_xll.BDH($C$503,"GEO_GROW_EBITDA","FQ3 2018","FQ3 2018","Currency=INR","Period=FQ","BEST_FPERIOD_OVERRIDE=FQ","FILING_STATUS=OR","EQY_CONSOLIDATED=Y","FA_ADJUSTED=GAAP","Sort=A","Dates=H","DateFormat=P","Fill=—","Direction=H","UseDPDF=Y")</f>
        <v>#NAME?</v>
      </c>
      <c r="AO526" s="1" t="e">
        <f ca="1">_xll.BDH($C$503,"GEO_GROW_OPER_INC","FQ3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26" s="1" t="e">
        <f ca="1">_xll.BDH($C$503,"NET_INCOME_TO_COMMON_5_YR_GROWTH","FQ3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26" s="1" t="e">
        <f ca="1">_xll.BDH($C$503,"5Y_GEO_GROWTH_DILUTED_EPS","FQ3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26" s="1" t="e">
        <f ca="1">_xll.BDH($C$503,"GEO_GROW_DVD_PER_SH","FQ3 2018","FQ3 2018","Currency=INR","Period=FQ","BEST_FPERIOD_OVERRIDE=FQ","FILING_STATUS=OR","EQY_CONSOLIDATED=Y","Sort=A","Dates=H","DateFormat=P","Fill=—","Direction=H","UseDPDF=Y")</f>
        <v>#NAME?</v>
      </c>
      <c r="AS526" s="1" t="e">
        <f ca="1">_xll.BDH($C$503,"ACCOUNTS_RECEIVABLE_5_YR_GROWTH","FQ3 2018","FQ3 2018","Currency=INR","Period=FQ","BEST_FPERIOD_OVERRIDE=FQ","FILING_STATUS=OR","EQY_CONSOLIDATED=Y","Sort=A","Dates=H","DateFormat=P","Fill=—","Direction=H","UseDPDF=Y")</f>
        <v>#NAME?</v>
      </c>
      <c r="AT526" s="1" t="e">
        <f ca="1">_xll.BDH($C$503,"INVENTORY_5_YEAR_GROWTH","FQ3 2018","FQ3 2018","Currency=INR","Period=FQ","BEST_FPERIOD_OVERRIDE=FQ","FILING_STATUS=OR","EQY_CONSOLIDATED=Y","Sort=A","Dates=H","DateFormat=P","Fill=—","Direction=H","UseDPDF=Y")</f>
        <v>#NAME?</v>
      </c>
      <c r="AU526" s="1" t="e">
        <f ca="1">_xll.BDH($C$503,"NET_FIXED_ASSETS_5_YEAR_GROWTH","FQ3 2018","FQ3 2018","Currency=INR","Period=FQ","BEST_FPERIOD_OVERRIDE=FQ","FILING_STATUS=OR","EQY_CONSOLIDATED=Y","Sort=A","Dates=H","DateFormat=P","Fill=—","Direction=H","UseDPDF=Y")</f>
        <v>#NAME?</v>
      </c>
      <c r="AV526" s="1" t="e">
        <f ca="1">_xll.BDH($C$503,"GEO_GROW_TOT_ASSET","FQ3 2018","FQ3 2018","Currency=INR","Period=FQ","BEST_FPERIOD_OVERRIDE=FQ","FILING_STATUS=OR","EQY_CONSOLIDATED=Y","Sort=A","Dates=H","DateFormat=P","Fill=—","Direction=H","UseDPDF=Y")</f>
        <v>#NAME?</v>
      </c>
      <c r="AW526" s="1" t="e">
        <f ca="1">_xll.BDH($C$503,"MODIFIED_WORKING_CPTL_5YR_GRWTH","FQ3 2018","FQ3 2018","Currency=INR","Period=FQ","BEST_FPERIOD_OVERRIDE=FQ","FILING_STATUS=OR","EQY_CONSOLIDATED=Y","Sort=A","Dates=H","DateFormat=P","Fill=—","Direction=H","UseDPDF=Y")</f>
        <v>#NAME?</v>
      </c>
      <c r="AX526" s="1" t="e">
        <f ca="1">_xll.BDH($C$503,"WORKING_CAPITAL_5_YEAR_GROWTH","FQ3 2018","FQ3 2018","Currency=INR","Period=FQ","BEST_FPERIOD_OVERRIDE=FQ","FILING_STATUS=OR","EQY_CONSOLIDATED=Y","Sort=A","Dates=H","DateFormat=P","Fill=—","Direction=H","UseDPDF=Y")</f>
        <v>#NAME?</v>
      </c>
      <c r="AY526" s="1" t="e">
        <f ca="1">_xll.BDH($C$503,"ACCOUNTS_PAYABLE_5_YEAR_GROWTH","FQ3 2018","FQ3 2018","Currency=INR","Period=FQ","BEST_FPERIOD_OVERRIDE=FQ","FILING_STATUS=OR","EQY_CONSOLIDATED=Y","Sort=A","Dates=H","DateFormat=P","Fill=—","Direction=H","UseDPDF=Y")</f>
        <v>#NAME?</v>
      </c>
      <c r="AZ526" s="1" t="e">
        <f ca="1">_xll.BDH($C$503,"SHORT_TERM_DEBT_5_YEAR_GROWTH","FQ3 2018","FQ3 2018","Currency=INR","Period=FQ","BEST_FPERIOD_OVERRIDE=FQ","FILING_STATUS=OR","EQY_CONSOLIDATED=Y","Sort=A","Dates=H","DateFormat=P","Fill=—","Direction=H","UseDPDF=Y")</f>
        <v>#NAME?</v>
      </c>
      <c r="BA526" s="1" t="e">
        <f ca="1">_xll.BDH($C$503,"TOTAL_DEBT_5_YEAR_GROWTH","FQ3 2018","FQ3 2018","Currency=INR","Period=FQ","BEST_FPERIOD_OVERRIDE=FQ","FILING_STATUS=OR","EQY_CONSOLIDATED=Y","Sort=A","Dates=H","DateFormat=P","Fill=—","Direction=H","UseDPDF=Y")</f>
        <v>#NAME?</v>
      </c>
      <c r="BB526" s="1" t="e">
        <f ca="1">_xll.BDH($C$503,"GEO_GROW_TOT_SHRHLDR_EQY","FQ3 2018","FQ3 2018","Currency=INR","Period=FQ","BEST_FPERIOD_OVERRIDE=FQ","FILING_STATUS=OR","EQY_CONSOLIDATED=Y","Sort=A","Dates=H","DateFormat=P","Fill=—","Direction=H","UseDPDF=Y")</f>
        <v>#NAME?</v>
      </c>
      <c r="BC526" s="1" t="e">
        <f ca="1">_xll.BDH($C$503,"TOTAL_CAPITAL_5_YEAR_GROWTH","FQ3 2018","FQ3 2018","Currency=INR","Period=FQ","BEST_FPERIOD_OVERRIDE=FQ","FILING_STATUS=OR","EQY_CONSOLIDATED=Y","Sort=A","Dates=H","DateFormat=P","Fill=—","Direction=H","UseDPDF=Y")</f>
        <v>#NAME?</v>
      </c>
      <c r="BD526" s="1" t="e">
        <f ca="1">_xll.BDH($C$503,"GEO_GROW_BOOK_VAL","FQ3 2018","FQ3 2018","Currency=INR","Period=FQ","BEST_FPERIOD_OVERRIDE=FQ","FILING_STATUS=OR","EQY_CONSOLIDATED=Y","Sort=A","Dates=H","DateFormat=P","Fill=—","Direction=H","UseDPDF=Y")</f>
        <v>#NAME?</v>
      </c>
      <c r="BE526" s="1" t="e">
        <f ca="1">_xll.BDH($C$503,"GEO_GROW_CASH_OPER_ACT","FQ3 2018","FQ3 2018","Currency=INR","Period=FQ","BEST_FPERIOD_OVERRIDE=FQ","FILING_STATUS=OR","EQY_CONSOLIDATED=Y","Sort=A","Dates=H","DateFormat=P","Fill=—","Direction=H","UseDPDF=Y")</f>
        <v>#NAME?</v>
      </c>
      <c r="BF526" s="1" t="e">
        <f ca="1">_xll.BDH($C$503,"REVENUE_SEQUENTIAL_GROWTH","FQ3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26" s="1" t="e">
        <f ca="1">_xll.BDH($C$503,"EBITDA_SEQUENTIAL_GROWTH","FQ3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26" s="1" t="e">
        <f ca="1">_xll.BDH($C$503,"OPERATING_INCOME_SEQ_GROWTH","FQ3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26" s="1" t="e">
        <f ca="1">_xll.BDH($C$503,"NET_INCOME_TO_COMMON_SEQ_GROWTH","FQ3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26" s="1" t="e">
        <f ca="1">_xll.BDH($C$503,"EPS_DILUTED_SEQUENTIAL_GROWTH","FQ3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26" s="1" t="e">
        <f ca="1">_xll.BDH($C$503,"DPS_SEQUENTIAL_GROWTH","FQ3 2018","FQ3 2018","Currency=INR","Period=FQ","BEST_FPERIOD_OVERRIDE=FQ","FILING_STATUS=OR","EQY_CONSOLIDATED=Y","Sort=A","Dates=H","DateFormat=P","Fill=—","Direction=H","UseDPDF=Y")</f>
        <v>#NAME?</v>
      </c>
      <c r="BL526" s="1" t="e">
        <f ca="1">_xll.BDH($C$503,"ACCOUNTS_RECEIVABLE_SEQ_GROWTH","FQ3 2018","FQ3 2018","Currency=INR","Period=FQ","BEST_FPERIOD_OVERRIDE=FQ","FILING_STATUS=OR","EQY_CONSOLIDATED=Y","Sort=A","Dates=H","DateFormat=P","Fill=—","Direction=H","UseDPDF=Y")</f>
        <v>#NAME?</v>
      </c>
      <c r="BM526" s="1" t="e">
        <f ca="1">_xll.BDH($C$503,"INVENTORY_SEQUENTIAL_GROWTH","FQ3 2018","FQ3 2018","Currency=INR","Period=FQ","BEST_FPERIOD_OVERRIDE=FQ","FILING_STATUS=OR","EQY_CONSOLIDATED=Y","Sort=A","Dates=H","DateFormat=P","Fill=—","Direction=H","UseDPDF=Y")</f>
        <v>#NAME?</v>
      </c>
      <c r="BN526" s="1" t="e">
        <f ca="1">_xll.BDH($C$503,"FIXED_ASSETS_SEQUENTIAL_GROWTH","FQ3 2018","FQ3 2018","Currency=INR","Period=FQ","BEST_FPERIOD_OVERRIDE=FQ","FILING_STATUS=OR","EQY_CONSOLIDATED=Y","Sort=A","Dates=H","DateFormat=P","Fill=—","Direction=H","UseDPDF=Y")</f>
        <v>#NAME?</v>
      </c>
      <c r="BO526" s="1" t="e">
        <f ca="1">_xll.BDH($C$503,"TOTAL_ASSETS_SEQUENTIAL_GROWTH","FQ3 2018","FQ3 2018","Currency=INR","Period=FQ","BEST_FPERIOD_OVERRIDE=FQ","FILING_STATUS=OR","EQY_CONSOLIDATED=Y","Sort=A","Dates=H","DateFormat=P","Fill=—","Direction=H","UseDPDF=Y")</f>
        <v>#NAME?</v>
      </c>
      <c r="BP526" s="1" t="e">
        <f ca="1">_xll.BDH($C$503,"MODIFIED_WORKING_CPTL_SEQ_GRWTH","FQ3 2018","FQ3 2018","Currency=INR","Period=FQ","BEST_FPERIOD_OVERRIDE=FQ","FILING_STATUS=OR","EQY_CONSOLIDATED=Y","Sort=A","Dates=H","DateFormat=P","Fill=—","Direction=H","UseDPDF=Y")</f>
        <v>#NAME?</v>
      </c>
      <c r="BQ526" s="1" t="e">
        <f ca="1">_xll.BDH($C$503,"WORKING_CAPITAL_SEQ_GROWTH","FQ3 2018","FQ3 2018","Currency=INR","Period=FQ","BEST_FPERIOD_OVERRIDE=FQ","FILING_STATUS=OR","EQY_CONSOLIDATED=Y","Sort=A","Dates=H","DateFormat=P","Fill=—","Direction=H","UseDPDF=Y")</f>
        <v>#NAME?</v>
      </c>
      <c r="BR526" s="1" t="e">
        <f ca="1">_xll.BDH($C$503,"ACCOUNTS_PAYABLE_SEQ_GROWTH","FQ3 2018","FQ3 2018","Currency=INR","Period=FQ","BEST_FPERIOD_OVERRIDE=FQ","FILING_STATUS=OR","EQY_CONSOLIDATED=Y","Sort=A","Dates=H","DateFormat=P","Fill=—","Direction=H","UseDPDF=Y")</f>
        <v>#NAME?</v>
      </c>
      <c r="BS526" s="1" t="e">
        <f ca="1">_xll.BDH($C$503,"ST_DEBT_SEQUENTIAL_GROWTH","FQ3 2018","FQ3 2018","Currency=INR","Period=FQ","BEST_FPERIOD_OVERRIDE=FQ","FILING_STATUS=OR","EQY_CONSOLIDATED=Y","Sort=A","Dates=H","DateFormat=P","Fill=—","Direction=H","UseDPDF=Y")</f>
        <v>#NAME?</v>
      </c>
      <c r="BT526" s="1" t="e">
        <f ca="1">_xll.BDH($C$503,"TOTAL_DEBT_SEQUENTIAL_GROWTH","FQ3 2018","FQ3 2018","Currency=INR","Period=FQ","BEST_FPERIOD_OVERRIDE=FQ","FILING_STATUS=OR","EQY_CONSOLIDATED=Y","Sort=A","Dates=H","DateFormat=P","Fill=—","Direction=H","UseDPDF=Y")</f>
        <v>#NAME?</v>
      </c>
      <c r="BU526" s="1" t="e">
        <f ca="1">_xll.BDH($C$503,"TOTAL_EQUITY_SEQUENTIAL_GROWTH","FQ3 2018","FQ3 2018","Currency=INR","Period=FQ","BEST_FPERIOD_OVERRIDE=FQ","FILING_STATUS=OR","EQY_CONSOLIDATED=Y","Sort=A","Dates=H","DateFormat=P","Fill=—","Direction=H","UseDPDF=Y")</f>
        <v>#NAME?</v>
      </c>
      <c r="BV526" s="1" t="e">
        <f ca="1">_xll.BDH($C$503,"TOTAL_CAPITAL_SEQUENTIAL_GROWTH","FQ3 2018","FQ3 2018","Currency=INR","Period=FQ","BEST_FPERIOD_OVERRIDE=FQ","FILING_STATUS=OR","EQY_CONSOLIDATED=Y","Sort=A","Dates=H","DateFormat=P","Fill=—","Direction=H","UseDPDF=Y")</f>
        <v>#NAME?</v>
      </c>
      <c r="BW526" s="1" t="e">
        <f ca="1">_xll.BDH($C$503,"BPS_SEQUENTIAL_GROWTH","FQ3 2018","FQ3 2018","Currency=INR","Period=FQ","BEST_FPERIOD_OVERRIDE=FQ","FILING_STATUS=OR","EQY_CONSOLIDATED=Y","Sort=A","Dates=H","DateFormat=P","Fill=—","Direction=H","UseDPDF=Y")</f>
        <v>#NAME?</v>
      </c>
      <c r="BX526" s="1" t="e">
        <f ca="1">_xll.BDH($C$503,"CFO_SEQUENTIAL_GROWTH","FQ3 2018","FQ3 2018","Currency=INR","Period=FQ","BEST_FPERIOD_OVERRIDE=FQ","FILING_STATUS=OR","EQY_CONSOLIDATED=Y","Sort=A","Dates=H","DateFormat=P","Fill=—","Direction=H","UseDPDF=Y")</f>
        <v>#NAME?</v>
      </c>
      <c r="BY526" s="2" t="e">
        <f ca="1">_xll.BDH($C$503,"SHORT_AND_LONG_TERM_DEBT","FQ3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26" s="2" t="e">
        <f ca="1">_xll.BDH($C$503,"BS_ST_BORROW","FQ3 2018","FQ3 2018","Currency=INR","Period=FQ","BEST_FPERIOD_OVERRIDE=FQ","FILING_STATUS=OR","EQY_CONSOLIDATED=Y","SCALING_FORMAT=MLN","Sort=A","Dates=H","DateFormat=P","Fill=—","Direction=H","UseDPDF=Y")</f>
        <v>#NAME?</v>
      </c>
      <c r="CA526" s="2" t="e">
        <f ca="1">_xll.BDH($C$503,"BS_LT_BORROW","FQ3 2018","FQ3 2018","Currency=INR","Period=FQ","BEST_FPERIOD_OVERRIDE=FQ","FILING_STATUS=OR","EQY_CONSOLIDATED=Y","SCALING_FORMAT=MLN","Sort=A","Dates=H","DateFormat=P","Fill=—","Direction=H","UseDPDF=Y")</f>
        <v>#NAME?</v>
      </c>
      <c r="CB526" s="1" t="e">
        <f ca="1">_xll.BDH($C$503,"TOT_DEBT_TO_EBITDA","FQ3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26" s="1" t="e">
        <f ca="1">_xll.BDH($C$503,"NET_DEBT_TO_EBITDA","FQ3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26" s="1" t="e">
        <f ca="1">_xll.BDH($C$503,"TOTAL_DEBT_TO_EBIT","FQ3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26" s="1" t="e">
        <f ca="1">_xll.BDH($C$503,"NET_DEBT_TO_EBIT","FQ3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526" s="1" t="e">
        <f ca="1">_xll.BDH($C$503,"EBITDA_TO_INTEREST_EXPN","FQ3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26" s="1" t="e">
        <f ca="1">_xll.BDH($C$503,"COM_EQY_TO_TOT_ASSET","FQ3 2018","FQ3 2018","Currency=INR","Period=FQ","BEST_FPERIOD_OVERRIDE=FQ","FILING_STATUS=OR","EQY_CONSOLIDATED=Y","Sort=A","Dates=H","DateFormat=P","Fill=—","Direction=H","UseDPDF=Y")</f>
        <v>#NAME?</v>
      </c>
      <c r="CH526" s="1" t="e">
        <f ca="1">_xll.BDH($C$503,"LT_DEBT_TO_TOT_EQY","FQ3 2018","FQ3 2018","Currency=INR","Period=FQ","BEST_FPERIOD_OVERRIDE=FQ","FILING_STATUS=OR","EQY_CONSOLIDATED=Y","Sort=A","Dates=H","DateFormat=P","Fill=—","Direction=H","UseDPDF=Y")</f>
        <v>#NAME?</v>
      </c>
      <c r="CI526" s="1" t="e">
        <f ca="1">_xll.BDH($C$503,"LT_DEBT_TO_TOT_CAP","FQ3 2018","FQ3 2018","Currency=INR","Period=FQ","BEST_FPERIOD_OVERRIDE=FQ","FILING_STATUS=OR","EQY_CONSOLIDATED=Y","Sort=A","Dates=H","DateFormat=P","Fill=—","Direction=H","UseDPDF=Y")</f>
        <v>#NAME?</v>
      </c>
      <c r="CJ526" s="1" t="e">
        <f ca="1">_xll.BDH($C$503,"LT_DEBT_TO_TOT_ASSET","FQ3 2018","FQ3 2018","Currency=INR","Period=FQ","BEST_FPERIOD_OVERRIDE=FQ","FILING_STATUS=OR","EQY_CONSOLIDATED=Y","Sort=A","Dates=H","DateFormat=P","Fill=—","Direction=H","UseDPDF=Y")</f>
        <v>#NAME?</v>
      </c>
      <c r="CK526" s="1" t="e">
        <f ca="1">_xll.BDH($C$503,"TOT_DEBT_TO_TOT_EQY","FQ3 2018","FQ3 2018","Currency=INR","Period=FQ","BEST_FPERIOD_OVERRIDE=FQ","FILING_STATUS=OR","EQY_CONSOLIDATED=Y","Sort=A","Dates=H","DateFormat=P","Fill=—","Direction=H","UseDPDF=Y")</f>
        <v>#NAME?</v>
      </c>
      <c r="CL526" s="1" t="e">
        <f ca="1">_xll.BDH($C$503,"TOT_DEBT_TO_TOT_CAP","FQ3 2018","FQ3 2018","Currency=INR","Period=FQ","BEST_FPERIOD_OVERRIDE=FQ","FILING_STATUS=OR","EQY_CONSOLIDATED=Y","Sort=A","Dates=H","DateFormat=P","Fill=—","Direction=H","UseDPDF=Y")</f>
        <v>#NAME?</v>
      </c>
      <c r="CM526" s="1" t="e">
        <f ca="1">_xll.BDH($C$503,"TOT_DEBT_TO_TOT_ASSET","FQ3 2018","FQ3 2018","Currency=INR","Period=FQ","BEST_FPERIOD_OVERRIDE=FQ","FILING_STATUS=OR","EQY_CONSOLIDATED=Y","Sort=A","Dates=H","DateFormat=P","Fill=—","Direction=H","UseDPDF=Y")</f>
        <v>#NAME?</v>
      </c>
      <c r="CN526" s="1" t="e">
        <f ca="1">_xll.BDH($C$503,"NET_DEBT_TO_SHRHLDR_EQTY","FQ3 2018","FQ3 2018","Currency=INR","Period=FQ","BEST_FPERIOD_OVERRIDE=FQ","FILING_STATUS=OR","EQY_CONSOLIDATED=Y","Sort=A","Dates=H","DateFormat=P","Fill=—","Direction=H","UseDPDF=Y")</f>
        <v>#NAME?</v>
      </c>
      <c r="CO526" s="1" t="e">
        <f ca="1">_xll.BDH($C$503,"NET_DEBT_%_CAPITAL","FQ3 2018","FQ3 2018","Currency=INR","Period=FQ","BEST_FPERIOD_OVERRIDE=FQ","FILING_STATUS=OR","EQY_CONSOLIDATED=Y","Sort=A","Dates=H","DateFormat=P","Fill=—","Direction=H","UseDPDF=Y")</f>
        <v>#NAME?</v>
      </c>
      <c r="CP526" s="2" t="e">
        <f ca="1">_xll.BDH($C$503,"EBITDA","FQ3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26" s="2" t="e">
        <f ca="1">_xll.BDH($C$503,"EBITDA_AFTER_CAPEX","FQ3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26" s="2" t="e">
        <f ca="1">_xll.BDH($C$503,"IS_OPER_INC","FQ3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26" s="1" t="e">
        <f ca="1">_xll.BDH($C$503,"CASH_RATIO","FQ3 2018","FQ3 2018","Currency=INR","Period=FQ","BEST_FPERIOD_OVERRIDE=FQ","FILING_STATUS=OR","EQY_CONSOLIDATED=Y","Sort=A","Dates=H","DateFormat=P","Fill=—","Direction=H","UseDPDF=Y")</f>
        <v>#NAME?</v>
      </c>
      <c r="CT526" s="1" t="e">
        <f ca="1">_xll.BDH($C$503,"CUR_RATIO","FQ3 2018","FQ3 2018","Currency=INR","Period=FQ","BEST_FPERIOD_OVERRIDE=FQ","FILING_STATUS=OR","EQY_CONSOLIDATED=Y","Sort=A","Dates=H","DateFormat=P","Fill=—","Direction=H","UseDPDF=Y")</f>
        <v>#NAME?</v>
      </c>
      <c r="CU526" s="1" t="e">
        <f ca="1">_xll.BDH($C$503,"QUICK_RATIO","FQ3 2018","FQ3 2018","Currency=INR","Period=FQ","BEST_FPERIOD_OVERRIDE=FQ","FILING_STATUS=OR","EQY_CONSOLIDATED=Y","Sort=A","Dates=H","DateFormat=P","Fill=—","Direction=H","UseDPDF=Y")</f>
        <v>#NAME?</v>
      </c>
      <c r="CV526" s="1" t="e">
        <f ca="1">_xll.BDH($C$503,"ALTMAN_Z_SCORE","FQ3 2018","FQ3 2018","Currency=INR","Period=FQ","BEST_FPERIOD_OVERRIDE=FQ","FILING_STATUS=OR","EQY_CONSOLIDATED=Y","Sort=A","Dates=H","DateFormat=P","Fill=—","Direction=H","UseDPDF=Y")</f>
        <v>#NAME?</v>
      </c>
      <c r="CW526" s="3" t="e">
        <f ca="1">_xll.BDH($C$503,"ACCT_RCV_TURN","FQ3 2018","FQ3 2018","Currency=INR","Period=FQ","BEST_FPERIOD_OVERRIDE=FQ","FILING_STATUS=OR","EQY_CONSOLIDATED=Y","FA_ADJUSTED=GAAP","Sort=A","Dates=H","DateFormat=P","Fill=—","Direction=H","UseDPDF=Y")</f>
        <v>#NAME?</v>
      </c>
      <c r="CX526" s="1" t="e">
        <f ca="1">_xll.BDH($C$503,"ACCT_RCV_DAYS","FQ3 2018","FQ3 2018","Currency=INR","Period=FQ","BEST_FPERIOD_OVERRIDE=FQ","FILING_STATUS=OR","EQY_CONSOLIDATED=Y","FA_ADJUSTED=GAAP","Sort=A","Dates=H","DateFormat=P","Fill=—","Direction=H","UseDPDF=Y")</f>
        <v>#NAME?</v>
      </c>
      <c r="CY526" s="3" t="e">
        <f ca="1">_xll.BDH($C$503,"INVENT_TURN","FQ3 2018","FQ3 2018","Currency=INR","Period=FQ","BEST_FPERIOD_OVERRIDE=FQ","FILING_STATUS=OR","EQY_CONSOLIDATED=Y","FA_ADJUSTED=GAAP","Sort=A","Dates=H","DateFormat=P","Fill=—","Direction=H","UseDPDF=Y")</f>
        <v>#NAME?</v>
      </c>
      <c r="CZ526" s="1" t="e">
        <f ca="1">_xll.BDH($C$503,"INVENT_DAYS","FQ3 2018","FQ3 2018","Currency=INR","Period=FQ","BEST_FPERIOD_OVERRIDE=FQ","FILING_STATUS=OR","EQY_CONSOLIDATED=Y","FA_ADJUSTED=GAAP","Sort=A","Dates=H","DateFormat=P","Fill=—","Direction=H","UseDPDF=Y")</f>
        <v>#NAME?</v>
      </c>
      <c r="DA526" s="3" t="e">
        <f ca="1">_xll.BDH($C$503,"ACCOUNTS_PAYABLE_TURNOVER","FQ3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26" s="1" t="e">
        <f ca="1">_xll.BDH($C$503,"ACCOUNTS_PAYABLE_TURNOVER_DAYS","FQ3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26" s="3" t="e">
        <f ca="1">_xll.BDH($C$503,"CASH_CONVERSION_CYCLE","FQ3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26" s="3" t="e">
        <f ca="1">_xll.BDH($C$503,"INV_TO_CASH_DAYS","FQ3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526" s="4" t="e">
        <f ca="1">_xll.BDH($C$503,"BS_INVENTORIES","FQ3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526" s="2" t="e">
        <f ca="1">_xll.BDH($C$503,"INVTRY_RAW_MATERIALS","FQ3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26" s="2" t="e">
        <f ca="1">_xll.BDH($C$503,"INVTRY_IN_PROGRESS","FQ3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26" s="2" t="e">
        <f ca="1">_xll.BDH($C$503,"INVTRY_FINISHED_GOODS","FQ3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26" s="2" t="e">
        <f ca="1">_xll.BDH($C$503,"BS_OTHER_INV","FQ3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27" spans="1:113" x14ac:dyDescent="0.3">
      <c r="A527" s="6"/>
      <c r="B527" s="6"/>
      <c r="C527" s="6"/>
      <c r="D527" s="6"/>
      <c r="E527" t="s">
        <v>7</v>
      </c>
      <c r="F527" t="e">
        <f ca="1">_xll.BDH($C$503,"RETURN_COM_EQY","FQ4 2018","FQ4 2018","Currency=INR","Period=FQ","BEST_FPERIOD_OVERRIDE=FQ","FILING_STATUS=OR","EQY_CONSOLIDATED=Y","FA_ADJUSTED=GAAP","Sort=A","Dates=H","DateFormat=P","Fill=—","Direction=H","UseDPDF=Y")</f>
        <v>#NAME?</v>
      </c>
      <c r="G527" t="e">
        <f ca="1">_xll.BDH($C$503,"RETURN_ON_ASSET","FQ4 2018","FQ4 2018","Currency=INR","Period=FQ","BEST_FPERIOD_OVERRIDE=FQ","FILING_STATUS=OR","EQY_CONSOLIDATED=Y","FA_ADJUSTED=GAAP","Sort=A","Dates=H","DateFormat=P","Fill=—","Direction=H","UseDPDF=Y")</f>
        <v>#NAME?</v>
      </c>
      <c r="H527" t="e">
        <f ca="1">_xll.BDH($C$503,"RETURN_ON_CAP","FQ4 2018","FQ4 2018","Currency=INR","Period=FQ","BEST_FPERIOD_OVERRIDE=FQ","FILING_STATUS=OR","EQY_CONSOLIDATED=Y","FA_ADJUSTED=GAAP","Sort=A","Dates=H","DateFormat=P","Fill=—","Direction=H","UseDPDF=Y")</f>
        <v>#NAME?</v>
      </c>
      <c r="I527" t="e">
        <f ca="1">_xll.BDH($C$503,"RETURN_ON_INV_CAPITAL","FQ4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27" t="e">
        <f ca="1">_xll.BDH($C$503,"EBITDA_TO_REVENUE","FQ4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527" t="e">
        <f ca="1">_xll.BDH($C$503,"OPER_MARGIN","FQ4 2018","FQ4 2018","Currency=INR","Period=FQ","BEST_FPERIOD_OVERRIDE=FQ","FILING_STATUS=OR","EQY_CONSOLIDATED=Y","FA_ADJUSTED=GAAP","Sort=A","Dates=H","DateFormat=P","Fill=—","Direction=H","UseDPDF=Y")</f>
        <v>#NAME?</v>
      </c>
      <c r="L527" t="e">
        <f ca="1">_xll.BDH($C$503,"INCREMENTAL_OPERATING_MARGIN","FQ4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27" t="e">
        <f ca="1">_xll.BDH($C$503,"PRETAX_INC_TO_NET_SALES","FQ4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27" t="e">
        <f ca="1">_xll.BDH($C$503,"INC_BEF_XO_ITEMS_TO_NET_SALES","FQ4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27" t="e">
        <f ca="1">_xll.BDH($C$503,"PROF_MARGIN","FQ4 2018","FQ4 2018","Currency=INR","Period=FQ","BEST_FPERIOD_OVERRIDE=FQ","FILING_STATUS=OR","EQY_CONSOLIDATED=Y","FA_ADJUSTED=GAAP","Sort=A","Dates=H","DateFormat=P","Fill=—","Direction=H","UseDPDF=Y")</f>
        <v>#NAME?</v>
      </c>
      <c r="P527" t="e">
        <f ca="1">_xll.BDH($C$503,"NET_INCOME_TO_COMMON_MARGIN","FQ4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27" t="e">
        <f ca="1">_xll.BDH($C$503,"EFF_TAX_RATE","FQ4 2018","FQ4 2018","Currency=INR","Period=FQ","BEST_FPERIOD_OVERRIDE=FQ","FILING_STATUS=OR","EQY_CONSOLIDATED=Y","FA_ADJUSTED=GAAP","Sort=A","Dates=H","DateFormat=P","Fill=—","Direction=H","UseDPDF=Y")</f>
        <v>#NAME?</v>
      </c>
      <c r="R527" t="e">
        <f ca="1">_xll.BDH($C$503,"DVD_PAYOUT_RATIO","FQ4 2018","FQ4 2018","Currency=INR","Period=FQ","BEST_FPERIOD_OVERRIDE=FQ","FILING_STATUS=OR","EQY_CONSOLIDATED=Y","FA_ADJUSTED=GAAP","Sort=A","Dates=H","DateFormat=P","Fill=—","Direction=H","UseDPDF=Y")</f>
        <v>#NAME?</v>
      </c>
      <c r="S527" t="e">
        <f ca="1">_xll.BDH($C$503,"SUSTAIN_GROWTH_RT","FQ4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527" s="1" t="e">
        <f ca="1">_xll.BDH($C$503,"SALES_GROWTH","FQ4 2018","FQ4 2018","Currency=INR","Period=FQ","BEST_FPERIOD_OVERRIDE=FQ","FILING_STATUS=OR","EQY_CONSOLIDATED=Y","FA_ADJUSTED=GAAP","Sort=A","Dates=H","DateFormat=P","Fill=—","Direction=H","UseDPDF=Y")</f>
        <v>#NAME?</v>
      </c>
      <c r="U527" s="1" t="e">
        <f ca="1">_xll.BDH($C$503,"EBITDA_GROWTH","FQ4 2018","FQ4 2018","Currency=INR","Period=FQ","BEST_FPERIOD_OVERRIDE=FQ","FILING_STATUS=OR","EQY_CONSOLIDATED=Y","FA_ADJUSTED=GAAP","Sort=A","Dates=H","DateFormat=P","Fill=—","Direction=H","UseDPDF=Y")</f>
        <v>#NAME?</v>
      </c>
      <c r="V527" s="1" t="e">
        <f ca="1">_xll.BDH($C$503,"OPER_INC_GROWTH","FQ4 2018","FQ4 2018","Currency=INR","Period=FQ","BEST_FPERIOD_OVERRIDE=FQ","FILING_STATUS=OR","EQY_CONSOLIDATED=Y","FA_ADJUSTED=GAAP","Sort=A","Dates=H","DateFormat=P","Fill=—","Direction=H","UseDPDF=Y")</f>
        <v>#NAME?</v>
      </c>
      <c r="W527" s="1" t="e">
        <f ca="1">_xll.BDH($C$503,"EARN_FOR_COM_GROWTH","FQ4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27" s="1" t="e">
        <f ca="1">_xll.BDH($C$503,"DILUTED_EPS_AFT_XO_ITEMS_GROWTH","FQ4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27" s="1" t="e">
        <f ca="1">_xll.BDH($C$503,"DIVIDEND_PER_SHARE_1_YEAR_GROWTH","FQ4 2018","FQ4 2018","Currency=INR","Period=FQ","BEST_FPERIOD_OVERRIDE=FQ","FILING_STATUS=OR","EQY_CONSOLIDATED=Y","Sort=A","Dates=H","DateFormat=P","Fill=—","Direction=H","UseDPDF=Y")</f>
        <v>#NAME?</v>
      </c>
      <c r="Z527" s="1" t="e">
        <f ca="1">_xll.BDH($C$503,"ACCOUNTS_RECEIVABLE_GROWTH","FQ4 2018","FQ4 2018","Currency=INR","Period=FQ","BEST_FPERIOD_OVERRIDE=FQ","FILING_STATUS=OR","EQY_CONSOLIDATED=Y","Sort=A","Dates=H","DateFormat=P","Fill=—","Direction=H","UseDPDF=Y")</f>
        <v>#NAME?</v>
      </c>
      <c r="AA527" s="1" t="e">
        <f ca="1">_xll.BDH($C$503,"INVENTORY_GROWTH","FQ4 2018","FQ4 2018","Currency=INR","Period=FQ","BEST_FPERIOD_OVERRIDE=FQ","FILING_STATUS=OR","EQY_CONSOLIDATED=Y","Sort=A","Dates=H","DateFormat=P","Fill=—","Direction=H","UseDPDF=Y")</f>
        <v>#NAME?</v>
      </c>
      <c r="AB527" s="1" t="e">
        <f ca="1">_xll.BDH($C$503,"NET_FIXED_ASSETS_1_YEAR_GROWTH","FQ4 2018","FQ4 2018","Currency=INR","Period=FQ","BEST_FPERIOD_OVERRIDE=FQ","FILING_STATUS=OR","EQY_CONSOLIDATED=Y","Sort=A","Dates=H","DateFormat=P","Fill=—","Direction=H","UseDPDF=Y")</f>
        <v>#NAME?</v>
      </c>
      <c r="AC527" s="1" t="e">
        <f ca="1">_xll.BDH($C$503,"ASSET_GROWTH","FQ4 2018","FQ4 2018","Currency=INR","Period=FQ","BEST_FPERIOD_OVERRIDE=FQ","FILING_STATUS=OR","EQY_CONSOLIDATED=Y","Sort=A","Dates=H","DateFormat=P","Fill=—","Direction=H","UseDPDF=Y")</f>
        <v>#NAME?</v>
      </c>
      <c r="AD527" s="1" t="e">
        <f ca="1">_xll.BDH($C$503,"MODIFIED_WORK_CAP_GROWTH","FQ4 2018","FQ4 2018","Currency=INR","Period=FQ","BEST_FPERIOD_OVERRIDE=FQ","FILING_STATUS=OR","EQY_CONSOLIDATED=Y","Sort=A","Dates=H","DateFormat=P","Fill=—","Direction=H","UseDPDF=Y")</f>
        <v>#NAME?</v>
      </c>
      <c r="AE527" s="1" t="e">
        <f ca="1">_xll.BDH($C$503,"WORK_CAP_GROWTH","FQ4 2018","FQ4 2018","Currency=INR","Period=FQ","BEST_FPERIOD_OVERRIDE=FQ","FILING_STATUS=OR","EQY_CONSOLIDATED=Y","Sort=A","Dates=H","DateFormat=P","Fill=—","Direction=H","UseDPDF=Y")</f>
        <v>#NAME?</v>
      </c>
      <c r="AF527" s="1" t="e">
        <f ca="1">_xll.BDH($C$503,"ACCOUNTS_PAYABLE_GROWTH_1YR","FQ4 2018","FQ4 2018","Currency=INR","Period=FQ","BEST_FPERIOD_OVERRIDE=FQ","FILING_STATUS=OR","EQY_CONSOLIDATED=Y","Sort=A","Dates=H","DateFormat=P","Fill=—","Direction=H","UseDPDF=Y")</f>
        <v>#NAME?</v>
      </c>
      <c r="AG527" s="1" t="e">
        <f ca="1">_xll.BDH($C$503,"SHORT_TERM_DEBT_1_YEAR_GROWTH","FQ4 2018","FQ4 2018","Currency=INR","Period=FQ","BEST_FPERIOD_OVERRIDE=FQ","FILING_STATUS=OR","EQY_CONSOLIDATED=Y","Sort=A","Dates=H","DateFormat=P","Fill=—","Direction=H","UseDPDF=Y")</f>
        <v>#NAME?</v>
      </c>
      <c r="AH527" s="1" t="e">
        <f ca="1">_xll.BDH($C$503,"TOTAL_DEBT_1_YEAR_GROWTH","FQ4 2018","FQ4 2018","Currency=INR","Period=FQ","BEST_FPERIOD_OVERRIDE=FQ","FILING_STATUS=OR","EQY_CONSOLIDATED=Y","Sort=A","Dates=H","DateFormat=P","Fill=—","Direction=H","UseDPDF=Y")</f>
        <v>#NAME?</v>
      </c>
      <c r="AI527" s="1" t="e">
        <f ca="1">_xll.BDH($C$503,"TOTAL_EQUITY_1_YEAR_GROWTH","FQ4 2018","FQ4 2018","Currency=INR","Period=FQ","BEST_FPERIOD_OVERRIDE=FQ","FILING_STATUS=OR","EQY_CONSOLIDATED=Y","Sort=A","Dates=H","DateFormat=P","Fill=—","Direction=H","UseDPDF=Y")</f>
        <v>#NAME?</v>
      </c>
      <c r="AJ527" s="1" t="e">
        <f ca="1">_xll.BDH($C$503,"GROWTH_IN_CAP","FQ4 2018","FQ4 2018","Currency=INR","Period=FQ","BEST_FPERIOD_OVERRIDE=FQ","FILING_STATUS=OR","EQY_CONSOLIDATED=Y","Sort=A","Dates=H","DateFormat=P","Fill=—","Direction=H","UseDPDF=Y")</f>
        <v>#NAME?</v>
      </c>
      <c r="AK527" s="1" t="e">
        <f ca="1">_xll.BDH($C$503,"BVPS_GROWTH","FQ4 2018","FQ4 2018","Currency=INR","Period=FQ","BEST_FPERIOD_OVERRIDE=FQ","FILING_STATUS=OR","EQY_CONSOLIDATED=Y","Sort=A","Dates=H","DateFormat=P","Fill=—","Direction=H","UseDPDF=Y")</f>
        <v>#NAME?</v>
      </c>
      <c r="AL527" s="1" t="e">
        <f ca="1">_xll.BDH($C$503,"CASH_FLOW_GROWTH","FQ4 2018","FQ4 2018","Currency=INR","Period=FQ","BEST_FPERIOD_OVERRIDE=FQ","FILING_STATUS=OR","EQY_CONSOLIDATED=Y","Sort=A","Dates=H","DateFormat=P","Fill=—","Direction=H","UseDPDF=Y")</f>
        <v>#NAME?</v>
      </c>
      <c r="AM527" s="1" t="e">
        <f ca="1">_xll.BDH($C$503,"GEO_GROW_NET_SALES","FQ4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27" s="1" t="e">
        <f ca="1">_xll.BDH($C$503,"GEO_GROW_EBITDA","FQ4 2018","FQ4 2018","Currency=INR","Period=FQ","BEST_FPERIOD_OVERRIDE=FQ","FILING_STATUS=OR","EQY_CONSOLIDATED=Y","FA_ADJUSTED=GAAP","Sort=A","Dates=H","DateFormat=P","Fill=—","Direction=H","UseDPDF=Y")</f>
        <v>#NAME?</v>
      </c>
      <c r="AO527" s="1" t="e">
        <f ca="1">_xll.BDH($C$503,"GEO_GROW_OPER_INC","FQ4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27" s="1" t="e">
        <f ca="1">_xll.BDH($C$503,"NET_INCOME_TO_COMMON_5_YR_GROWTH","FQ4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27" s="1" t="e">
        <f ca="1">_xll.BDH($C$503,"5Y_GEO_GROWTH_DILUTED_EPS","FQ4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27" s="1" t="e">
        <f ca="1">_xll.BDH($C$503,"GEO_GROW_DVD_PER_SH","FQ4 2018","FQ4 2018","Currency=INR","Period=FQ","BEST_FPERIOD_OVERRIDE=FQ","FILING_STATUS=OR","EQY_CONSOLIDATED=Y","Sort=A","Dates=H","DateFormat=P","Fill=—","Direction=H","UseDPDF=Y")</f>
        <v>#NAME?</v>
      </c>
      <c r="AS527" s="1" t="e">
        <f ca="1">_xll.BDH($C$503,"ACCOUNTS_RECEIVABLE_5_YR_GROWTH","FQ4 2018","FQ4 2018","Currency=INR","Period=FQ","BEST_FPERIOD_OVERRIDE=FQ","FILING_STATUS=OR","EQY_CONSOLIDATED=Y","Sort=A","Dates=H","DateFormat=P","Fill=—","Direction=H","UseDPDF=Y")</f>
        <v>#NAME?</v>
      </c>
      <c r="AT527" s="1" t="e">
        <f ca="1">_xll.BDH($C$503,"INVENTORY_5_YEAR_GROWTH","FQ4 2018","FQ4 2018","Currency=INR","Period=FQ","BEST_FPERIOD_OVERRIDE=FQ","FILING_STATUS=OR","EQY_CONSOLIDATED=Y","Sort=A","Dates=H","DateFormat=P","Fill=—","Direction=H","UseDPDF=Y")</f>
        <v>#NAME?</v>
      </c>
      <c r="AU527" s="1" t="e">
        <f ca="1">_xll.BDH($C$503,"NET_FIXED_ASSETS_5_YEAR_GROWTH","FQ4 2018","FQ4 2018","Currency=INR","Period=FQ","BEST_FPERIOD_OVERRIDE=FQ","FILING_STATUS=OR","EQY_CONSOLIDATED=Y","Sort=A","Dates=H","DateFormat=P","Fill=—","Direction=H","UseDPDF=Y")</f>
        <v>#NAME?</v>
      </c>
      <c r="AV527" s="1" t="e">
        <f ca="1">_xll.BDH($C$503,"GEO_GROW_TOT_ASSET","FQ4 2018","FQ4 2018","Currency=INR","Period=FQ","BEST_FPERIOD_OVERRIDE=FQ","FILING_STATUS=OR","EQY_CONSOLIDATED=Y","Sort=A","Dates=H","DateFormat=P","Fill=—","Direction=H","UseDPDF=Y")</f>
        <v>#NAME?</v>
      </c>
      <c r="AW527" s="1" t="e">
        <f ca="1">_xll.BDH($C$503,"MODIFIED_WORKING_CPTL_5YR_GRWTH","FQ4 2018","FQ4 2018","Currency=INR","Period=FQ","BEST_FPERIOD_OVERRIDE=FQ","FILING_STATUS=OR","EQY_CONSOLIDATED=Y","Sort=A","Dates=H","DateFormat=P","Fill=—","Direction=H","UseDPDF=Y")</f>
        <v>#NAME?</v>
      </c>
      <c r="AX527" s="1" t="e">
        <f ca="1">_xll.BDH($C$503,"WORKING_CAPITAL_5_YEAR_GROWTH","FQ4 2018","FQ4 2018","Currency=INR","Period=FQ","BEST_FPERIOD_OVERRIDE=FQ","FILING_STATUS=OR","EQY_CONSOLIDATED=Y","Sort=A","Dates=H","DateFormat=P","Fill=—","Direction=H","UseDPDF=Y")</f>
        <v>#NAME?</v>
      </c>
      <c r="AY527" s="1" t="e">
        <f ca="1">_xll.BDH($C$503,"ACCOUNTS_PAYABLE_5_YEAR_GROWTH","FQ4 2018","FQ4 2018","Currency=INR","Period=FQ","BEST_FPERIOD_OVERRIDE=FQ","FILING_STATUS=OR","EQY_CONSOLIDATED=Y","Sort=A","Dates=H","DateFormat=P","Fill=—","Direction=H","UseDPDF=Y")</f>
        <v>#NAME?</v>
      </c>
      <c r="AZ527" s="1" t="e">
        <f ca="1">_xll.BDH($C$503,"SHORT_TERM_DEBT_5_YEAR_GROWTH","FQ4 2018","FQ4 2018","Currency=INR","Period=FQ","BEST_FPERIOD_OVERRIDE=FQ","FILING_STATUS=OR","EQY_CONSOLIDATED=Y","Sort=A","Dates=H","DateFormat=P","Fill=—","Direction=H","UseDPDF=Y")</f>
        <v>#NAME?</v>
      </c>
      <c r="BA527" s="1" t="e">
        <f ca="1">_xll.BDH($C$503,"TOTAL_DEBT_5_YEAR_GROWTH","FQ4 2018","FQ4 2018","Currency=INR","Period=FQ","BEST_FPERIOD_OVERRIDE=FQ","FILING_STATUS=OR","EQY_CONSOLIDATED=Y","Sort=A","Dates=H","DateFormat=P","Fill=—","Direction=H","UseDPDF=Y")</f>
        <v>#NAME?</v>
      </c>
      <c r="BB527" s="1" t="e">
        <f ca="1">_xll.BDH($C$503,"GEO_GROW_TOT_SHRHLDR_EQY","FQ4 2018","FQ4 2018","Currency=INR","Period=FQ","BEST_FPERIOD_OVERRIDE=FQ","FILING_STATUS=OR","EQY_CONSOLIDATED=Y","Sort=A","Dates=H","DateFormat=P","Fill=—","Direction=H","UseDPDF=Y")</f>
        <v>#NAME?</v>
      </c>
      <c r="BC527" s="1" t="e">
        <f ca="1">_xll.BDH($C$503,"TOTAL_CAPITAL_5_YEAR_GROWTH","FQ4 2018","FQ4 2018","Currency=INR","Period=FQ","BEST_FPERIOD_OVERRIDE=FQ","FILING_STATUS=OR","EQY_CONSOLIDATED=Y","Sort=A","Dates=H","DateFormat=P","Fill=—","Direction=H","UseDPDF=Y")</f>
        <v>#NAME?</v>
      </c>
      <c r="BD527" s="1" t="e">
        <f ca="1">_xll.BDH($C$503,"GEO_GROW_BOOK_VAL","FQ4 2018","FQ4 2018","Currency=INR","Period=FQ","BEST_FPERIOD_OVERRIDE=FQ","FILING_STATUS=OR","EQY_CONSOLIDATED=Y","Sort=A","Dates=H","DateFormat=P","Fill=—","Direction=H","UseDPDF=Y")</f>
        <v>#NAME?</v>
      </c>
      <c r="BE527" s="1" t="e">
        <f ca="1">_xll.BDH($C$503,"GEO_GROW_CASH_OPER_ACT","FQ4 2018","FQ4 2018","Currency=INR","Period=FQ","BEST_FPERIOD_OVERRIDE=FQ","FILING_STATUS=OR","EQY_CONSOLIDATED=Y","Sort=A","Dates=H","DateFormat=P","Fill=—","Direction=H","UseDPDF=Y")</f>
        <v>#NAME?</v>
      </c>
      <c r="BF527" s="1" t="e">
        <f ca="1">_xll.BDH($C$503,"REVENUE_SEQUENTIAL_GROWTH","FQ4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27" s="1" t="e">
        <f ca="1">_xll.BDH($C$503,"EBITDA_SEQUENTIAL_GROWTH","FQ4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27" s="1" t="e">
        <f ca="1">_xll.BDH($C$503,"OPERATING_INCOME_SEQ_GROWTH","FQ4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27" s="1" t="e">
        <f ca="1">_xll.BDH($C$503,"NET_INCOME_TO_COMMON_SEQ_GROWTH","FQ4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27" s="1" t="e">
        <f ca="1">_xll.BDH($C$503,"EPS_DILUTED_SEQUENTIAL_GROWTH","FQ4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27" s="1" t="e">
        <f ca="1">_xll.BDH($C$503,"DPS_SEQUENTIAL_GROWTH","FQ4 2018","FQ4 2018","Currency=INR","Period=FQ","BEST_FPERIOD_OVERRIDE=FQ","FILING_STATUS=OR","EQY_CONSOLIDATED=Y","Sort=A","Dates=H","DateFormat=P","Fill=—","Direction=H","UseDPDF=Y")</f>
        <v>#NAME?</v>
      </c>
      <c r="BL527" s="1" t="e">
        <f ca="1">_xll.BDH($C$503,"ACCOUNTS_RECEIVABLE_SEQ_GROWTH","FQ4 2018","FQ4 2018","Currency=INR","Period=FQ","BEST_FPERIOD_OVERRIDE=FQ","FILING_STATUS=OR","EQY_CONSOLIDATED=Y","Sort=A","Dates=H","DateFormat=P","Fill=—","Direction=H","UseDPDF=Y")</f>
        <v>#NAME?</v>
      </c>
      <c r="BM527" s="1" t="e">
        <f ca="1">_xll.BDH($C$503,"INVENTORY_SEQUENTIAL_GROWTH","FQ4 2018","FQ4 2018","Currency=INR","Period=FQ","BEST_FPERIOD_OVERRIDE=FQ","FILING_STATUS=OR","EQY_CONSOLIDATED=Y","Sort=A","Dates=H","DateFormat=P","Fill=—","Direction=H","UseDPDF=Y")</f>
        <v>#NAME?</v>
      </c>
      <c r="BN527" s="1" t="e">
        <f ca="1">_xll.BDH($C$503,"FIXED_ASSETS_SEQUENTIAL_GROWTH","FQ4 2018","FQ4 2018","Currency=INR","Period=FQ","BEST_FPERIOD_OVERRIDE=FQ","FILING_STATUS=OR","EQY_CONSOLIDATED=Y","Sort=A","Dates=H","DateFormat=P","Fill=—","Direction=H","UseDPDF=Y")</f>
        <v>#NAME?</v>
      </c>
      <c r="BO527" s="1" t="e">
        <f ca="1">_xll.BDH($C$503,"TOTAL_ASSETS_SEQUENTIAL_GROWTH","FQ4 2018","FQ4 2018","Currency=INR","Period=FQ","BEST_FPERIOD_OVERRIDE=FQ","FILING_STATUS=OR","EQY_CONSOLIDATED=Y","Sort=A","Dates=H","DateFormat=P","Fill=—","Direction=H","UseDPDF=Y")</f>
        <v>#NAME?</v>
      </c>
      <c r="BP527" s="1" t="e">
        <f ca="1">_xll.BDH($C$503,"MODIFIED_WORKING_CPTL_SEQ_GRWTH","FQ4 2018","FQ4 2018","Currency=INR","Period=FQ","BEST_FPERIOD_OVERRIDE=FQ","FILING_STATUS=OR","EQY_CONSOLIDATED=Y","Sort=A","Dates=H","DateFormat=P","Fill=—","Direction=H","UseDPDF=Y")</f>
        <v>#NAME?</v>
      </c>
      <c r="BQ527" s="1" t="e">
        <f ca="1">_xll.BDH($C$503,"WORKING_CAPITAL_SEQ_GROWTH","FQ4 2018","FQ4 2018","Currency=INR","Period=FQ","BEST_FPERIOD_OVERRIDE=FQ","FILING_STATUS=OR","EQY_CONSOLIDATED=Y","Sort=A","Dates=H","DateFormat=P","Fill=—","Direction=H","UseDPDF=Y")</f>
        <v>#NAME?</v>
      </c>
      <c r="BR527" s="1" t="e">
        <f ca="1">_xll.BDH($C$503,"ACCOUNTS_PAYABLE_SEQ_GROWTH","FQ4 2018","FQ4 2018","Currency=INR","Period=FQ","BEST_FPERIOD_OVERRIDE=FQ","FILING_STATUS=OR","EQY_CONSOLIDATED=Y","Sort=A","Dates=H","DateFormat=P","Fill=—","Direction=H","UseDPDF=Y")</f>
        <v>#NAME?</v>
      </c>
      <c r="BS527" s="1" t="e">
        <f ca="1">_xll.BDH($C$503,"ST_DEBT_SEQUENTIAL_GROWTH","FQ4 2018","FQ4 2018","Currency=INR","Period=FQ","BEST_FPERIOD_OVERRIDE=FQ","FILING_STATUS=OR","EQY_CONSOLIDATED=Y","Sort=A","Dates=H","DateFormat=P","Fill=—","Direction=H","UseDPDF=Y")</f>
        <v>#NAME?</v>
      </c>
      <c r="BT527" s="1" t="e">
        <f ca="1">_xll.BDH($C$503,"TOTAL_DEBT_SEQUENTIAL_GROWTH","FQ4 2018","FQ4 2018","Currency=INR","Period=FQ","BEST_FPERIOD_OVERRIDE=FQ","FILING_STATUS=OR","EQY_CONSOLIDATED=Y","Sort=A","Dates=H","DateFormat=P","Fill=—","Direction=H","UseDPDF=Y")</f>
        <v>#NAME?</v>
      </c>
      <c r="BU527" s="1" t="e">
        <f ca="1">_xll.BDH($C$503,"TOTAL_EQUITY_SEQUENTIAL_GROWTH","FQ4 2018","FQ4 2018","Currency=INR","Period=FQ","BEST_FPERIOD_OVERRIDE=FQ","FILING_STATUS=OR","EQY_CONSOLIDATED=Y","Sort=A","Dates=H","DateFormat=P","Fill=—","Direction=H","UseDPDF=Y")</f>
        <v>#NAME?</v>
      </c>
      <c r="BV527" s="1" t="e">
        <f ca="1">_xll.BDH($C$503,"TOTAL_CAPITAL_SEQUENTIAL_GROWTH","FQ4 2018","FQ4 2018","Currency=INR","Period=FQ","BEST_FPERIOD_OVERRIDE=FQ","FILING_STATUS=OR","EQY_CONSOLIDATED=Y","Sort=A","Dates=H","DateFormat=P","Fill=—","Direction=H","UseDPDF=Y")</f>
        <v>#NAME?</v>
      </c>
      <c r="BW527" s="1" t="e">
        <f ca="1">_xll.BDH($C$503,"BPS_SEQUENTIAL_GROWTH","FQ4 2018","FQ4 2018","Currency=INR","Period=FQ","BEST_FPERIOD_OVERRIDE=FQ","FILING_STATUS=OR","EQY_CONSOLIDATED=Y","Sort=A","Dates=H","DateFormat=P","Fill=—","Direction=H","UseDPDF=Y")</f>
        <v>#NAME?</v>
      </c>
      <c r="BX527" s="1" t="e">
        <f ca="1">_xll.BDH($C$503,"CFO_SEQUENTIAL_GROWTH","FQ4 2018","FQ4 2018","Currency=INR","Period=FQ","BEST_FPERIOD_OVERRIDE=FQ","FILING_STATUS=OR","EQY_CONSOLIDATED=Y","Sort=A","Dates=H","DateFormat=P","Fill=—","Direction=H","UseDPDF=Y")</f>
        <v>#NAME?</v>
      </c>
      <c r="BY527" s="2" t="e">
        <f ca="1">_xll.BDH($C$503,"SHORT_AND_LONG_TERM_DEBT","FQ4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27" s="2" t="e">
        <f ca="1">_xll.BDH($C$503,"BS_ST_BORROW","FQ4 2018","FQ4 2018","Currency=INR","Period=FQ","BEST_FPERIOD_OVERRIDE=FQ","FILING_STATUS=OR","EQY_CONSOLIDATED=Y","SCALING_FORMAT=MLN","Sort=A","Dates=H","DateFormat=P","Fill=—","Direction=H","UseDPDF=Y")</f>
        <v>#NAME?</v>
      </c>
      <c r="CA527" s="2" t="e">
        <f ca="1">_xll.BDH($C$503,"BS_LT_BORROW","FQ4 2018","FQ4 2018","Currency=INR","Period=FQ","BEST_FPERIOD_OVERRIDE=FQ","FILING_STATUS=OR","EQY_CONSOLIDATED=Y","SCALING_FORMAT=MLN","Sort=A","Dates=H","DateFormat=P","Fill=—","Direction=H","UseDPDF=Y")</f>
        <v>#NAME?</v>
      </c>
      <c r="CB527" s="1" t="e">
        <f ca="1">_xll.BDH($C$503,"TOT_DEBT_TO_EBITDA","FQ4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27" s="1" t="e">
        <f ca="1">_xll.BDH($C$503,"NET_DEBT_TO_EBITDA","FQ4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27" s="1" t="e">
        <f ca="1">_xll.BDH($C$503,"TOTAL_DEBT_TO_EBIT","FQ4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27" s="1" t="e">
        <f ca="1">_xll.BDH($C$503,"NET_DEBT_TO_EBIT","FQ4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527" s="1" t="e">
        <f ca="1">_xll.BDH($C$503,"EBITDA_TO_INTEREST_EXPN","FQ4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27" s="1" t="e">
        <f ca="1">_xll.BDH($C$503,"COM_EQY_TO_TOT_ASSET","FQ4 2018","FQ4 2018","Currency=INR","Period=FQ","BEST_FPERIOD_OVERRIDE=FQ","FILING_STATUS=OR","EQY_CONSOLIDATED=Y","Sort=A","Dates=H","DateFormat=P","Fill=—","Direction=H","UseDPDF=Y")</f>
        <v>#NAME?</v>
      </c>
      <c r="CH527" s="1" t="e">
        <f ca="1">_xll.BDH($C$503,"LT_DEBT_TO_TOT_EQY","FQ4 2018","FQ4 2018","Currency=INR","Period=FQ","BEST_FPERIOD_OVERRIDE=FQ","FILING_STATUS=OR","EQY_CONSOLIDATED=Y","Sort=A","Dates=H","DateFormat=P","Fill=—","Direction=H","UseDPDF=Y")</f>
        <v>#NAME?</v>
      </c>
      <c r="CI527" s="1" t="e">
        <f ca="1">_xll.BDH($C$503,"LT_DEBT_TO_TOT_CAP","FQ4 2018","FQ4 2018","Currency=INR","Period=FQ","BEST_FPERIOD_OVERRIDE=FQ","FILING_STATUS=OR","EQY_CONSOLIDATED=Y","Sort=A","Dates=H","DateFormat=P","Fill=—","Direction=H","UseDPDF=Y")</f>
        <v>#NAME?</v>
      </c>
      <c r="CJ527" s="1" t="e">
        <f ca="1">_xll.BDH($C$503,"LT_DEBT_TO_TOT_ASSET","FQ4 2018","FQ4 2018","Currency=INR","Period=FQ","BEST_FPERIOD_OVERRIDE=FQ","FILING_STATUS=OR","EQY_CONSOLIDATED=Y","Sort=A","Dates=H","DateFormat=P","Fill=—","Direction=H","UseDPDF=Y")</f>
        <v>#NAME?</v>
      </c>
      <c r="CK527" s="1" t="e">
        <f ca="1">_xll.BDH($C$503,"TOT_DEBT_TO_TOT_EQY","FQ4 2018","FQ4 2018","Currency=INR","Period=FQ","BEST_FPERIOD_OVERRIDE=FQ","FILING_STATUS=OR","EQY_CONSOLIDATED=Y","Sort=A","Dates=H","DateFormat=P","Fill=—","Direction=H","UseDPDF=Y")</f>
        <v>#NAME?</v>
      </c>
      <c r="CL527" s="1" t="e">
        <f ca="1">_xll.BDH($C$503,"TOT_DEBT_TO_TOT_CAP","FQ4 2018","FQ4 2018","Currency=INR","Period=FQ","BEST_FPERIOD_OVERRIDE=FQ","FILING_STATUS=OR","EQY_CONSOLIDATED=Y","Sort=A","Dates=H","DateFormat=P","Fill=—","Direction=H","UseDPDF=Y")</f>
        <v>#NAME?</v>
      </c>
      <c r="CM527" s="1" t="e">
        <f ca="1">_xll.BDH($C$503,"TOT_DEBT_TO_TOT_ASSET","FQ4 2018","FQ4 2018","Currency=INR","Period=FQ","BEST_FPERIOD_OVERRIDE=FQ","FILING_STATUS=OR","EQY_CONSOLIDATED=Y","Sort=A","Dates=H","DateFormat=P","Fill=—","Direction=H","UseDPDF=Y")</f>
        <v>#NAME?</v>
      </c>
      <c r="CN527" s="1" t="e">
        <f ca="1">_xll.BDH($C$503,"NET_DEBT_TO_SHRHLDR_EQTY","FQ4 2018","FQ4 2018","Currency=INR","Period=FQ","BEST_FPERIOD_OVERRIDE=FQ","FILING_STATUS=OR","EQY_CONSOLIDATED=Y","Sort=A","Dates=H","DateFormat=P","Fill=—","Direction=H","UseDPDF=Y")</f>
        <v>#NAME?</v>
      </c>
      <c r="CO527" s="1" t="e">
        <f ca="1">_xll.BDH($C$503,"NET_DEBT_%_CAPITAL","FQ4 2018","FQ4 2018","Currency=INR","Period=FQ","BEST_FPERIOD_OVERRIDE=FQ","FILING_STATUS=OR","EQY_CONSOLIDATED=Y","Sort=A","Dates=H","DateFormat=P","Fill=—","Direction=H","UseDPDF=Y")</f>
        <v>#NAME?</v>
      </c>
      <c r="CP527" s="2" t="e">
        <f ca="1">_xll.BDH($C$503,"EBITDA","FQ4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27" s="2" t="e">
        <f ca="1">_xll.BDH($C$503,"EBITDA_AFTER_CAPEX","FQ4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27" s="2" t="e">
        <f ca="1">_xll.BDH($C$503,"IS_OPER_INC","FQ4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27" s="1" t="e">
        <f ca="1">_xll.BDH($C$503,"CASH_RATIO","FQ4 2018","FQ4 2018","Currency=INR","Period=FQ","BEST_FPERIOD_OVERRIDE=FQ","FILING_STATUS=OR","EQY_CONSOLIDATED=Y","Sort=A","Dates=H","DateFormat=P","Fill=—","Direction=H","UseDPDF=Y")</f>
        <v>#NAME?</v>
      </c>
      <c r="CT527" s="1" t="e">
        <f ca="1">_xll.BDH($C$503,"CUR_RATIO","FQ4 2018","FQ4 2018","Currency=INR","Period=FQ","BEST_FPERIOD_OVERRIDE=FQ","FILING_STATUS=OR","EQY_CONSOLIDATED=Y","Sort=A","Dates=H","DateFormat=P","Fill=—","Direction=H","UseDPDF=Y")</f>
        <v>#NAME?</v>
      </c>
      <c r="CU527" s="1" t="e">
        <f ca="1">_xll.BDH($C$503,"QUICK_RATIO","FQ4 2018","FQ4 2018","Currency=INR","Period=FQ","BEST_FPERIOD_OVERRIDE=FQ","FILING_STATUS=OR","EQY_CONSOLIDATED=Y","Sort=A","Dates=H","DateFormat=P","Fill=—","Direction=H","UseDPDF=Y")</f>
        <v>#NAME?</v>
      </c>
      <c r="CV527" s="1" t="e">
        <f ca="1">_xll.BDH($C$503,"ALTMAN_Z_SCORE","FQ4 2018","FQ4 2018","Currency=INR","Period=FQ","BEST_FPERIOD_OVERRIDE=FQ","FILING_STATUS=OR","EQY_CONSOLIDATED=Y","Sort=A","Dates=H","DateFormat=P","Fill=—","Direction=H","UseDPDF=Y")</f>
        <v>#NAME?</v>
      </c>
      <c r="CW527" s="3" t="e">
        <f ca="1">_xll.BDH($C$503,"ACCT_RCV_TURN","FQ4 2018","FQ4 2018","Currency=INR","Period=FQ","BEST_FPERIOD_OVERRIDE=FQ","FILING_STATUS=OR","EQY_CONSOLIDATED=Y","FA_ADJUSTED=GAAP","Sort=A","Dates=H","DateFormat=P","Fill=—","Direction=H","UseDPDF=Y")</f>
        <v>#NAME?</v>
      </c>
      <c r="CX527" s="1" t="e">
        <f ca="1">_xll.BDH($C$503,"ACCT_RCV_DAYS","FQ4 2018","FQ4 2018","Currency=INR","Period=FQ","BEST_FPERIOD_OVERRIDE=FQ","FILING_STATUS=OR","EQY_CONSOLIDATED=Y","FA_ADJUSTED=GAAP","Sort=A","Dates=H","DateFormat=P","Fill=—","Direction=H","UseDPDF=Y")</f>
        <v>#NAME?</v>
      </c>
      <c r="CY527" s="3" t="e">
        <f ca="1">_xll.BDH($C$503,"INVENT_TURN","FQ4 2018","FQ4 2018","Currency=INR","Period=FQ","BEST_FPERIOD_OVERRIDE=FQ","FILING_STATUS=OR","EQY_CONSOLIDATED=Y","FA_ADJUSTED=GAAP","Sort=A","Dates=H","DateFormat=P","Fill=—","Direction=H","UseDPDF=Y")</f>
        <v>#NAME?</v>
      </c>
      <c r="CZ527" s="1" t="e">
        <f ca="1">_xll.BDH($C$503,"INVENT_DAYS","FQ4 2018","FQ4 2018","Currency=INR","Period=FQ","BEST_FPERIOD_OVERRIDE=FQ","FILING_STATUS=OR","EQY_CONSOLIDATED=Y","FA_ADJUSTED=GAAP","Sort=A","Dates=H","DateFormat=P","Fill=—","Direction=H","UseDPDF=Y")</f>
        <v>#NAME?</v>
      </c>
      <c r="DA527" s="3" t="e">
        <f ca="1">_xll.BDH($C$503,"ACCOUNTS_PAYABLE_TURNOVER","FQ4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27" s="1" t="e">
        <f ca="1">_xll.BDH($C$503,"ACCOUNTS_PAYABLE_TURNOVER_DAYS","FQ4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27" s="3" t="e">
        <f ca="1">_xll.BDH($C$503,"CASH_CONVERSION_CYCLE","FQ4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27" s="3" t="e">
        <f ca="1">_xll.BDH($C$503,"INV_TO_CASH_DAYS","FQ4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527" s="4" t="e">
        <f ca="1">_xll.BDH($C$503,"BS_INVENTORIES","FQ4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527" s="2" t="e">
        <f ca="1">_xll.BDH($C$503,"INVTRY_RAW_MATERIALS","FQ4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27" s="2" t="e">
        <f ca="1">_xll.BDH($C$503,"INVTRY_IN_PROGRESS","FQ4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27" s="2" t="e">
        <f ca="1">_xll.BDH($C$503,"INVTRY_FINISHED_GOODS","FQ4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27" s="2" t="e">
        <f ca="1">_xll.BDH($C$503,"BS_OTHER_INV","FQ4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28" spans="1:113" x14ac:dyDescent="0.3">
      <c r="A528" s="6">
        <v>72</v>
      </c>
      <c r="B528" s="6" t="s">
        <v>52</v>
      </c>
      <c r="C528" s="6" t="s">
        <v>53</v>
      </c>
      <c r="D528" s="6" t="s">
        <v>2</v>
      </c>
      <c r="E528" t="s">
        <v>3</v>
      </c>
      <c r="F528" t="e">
        <f ca="1">_xll.BDH($C$528,"RETURN_COM_EQY","FY 2014","FY 2014","Currency=INR","Period=FY","BEST_FPERIOD_OVERRIDE=FY","FILING_STATUS=OR","EQY_CONSOLIDATED=Y","FA_ADJUSTED=GAAP","Sort=A","Dates=H","DateFormat=P","Fill=—","Direction=H","UseDPDF=Y")</f>
        <v>#NAME?</v>
      </c>
      <c r="G528" t="e">
        <f ca="1">_xll.BDH($C$528,"RETURN_ON_ASSET","FY 2014","FY 2014","Currency=INR","Period=FY","BEST_FPERIOD_OVERRIDE=FY","FILING_STATUS=OR","EQY_CONSOLIDATED=Y","FA_ADJUSTED=GAAP","Sort=A","Dates=H","DateFormat=P","Fill=—","Direction=H","UseDPDF=Y")</f>
        <v>#NAME?</v>
      </c>
      <c r="H528" t="e">
        <f ca="1">_xll.BDH($C$528,"RETURN_ON_CAP","FY 2014","FY 2014","Currency=INR","Period=FY","BEST_FPERIOD_OVERRIDE=FY","FILING_STATUS=OR","EQY_CONSOLIDATED=Y","FA_ADJUSTED=GAAP","Sort=A","Dates=H","DateFormat=P","Fill=—","Direction=H","UseDPDF=Y")</f>
        <v>#NAME?</v>
      </c>
      <c r="I528" t="e">
        <f ca="1">_xll.BDH($C$528,"RETURN_ON_INV_CAPITAL","FY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28" t="e">
        <f ca="1">_xll.BDH($C$528,"EBITDA_TO_REVENUE","FY 2014","FY 2014","Currency=INR","Period=FY","BEST_FPERIOD_OVERRIDE=FY","FILING_STATUS=OR","EQY_CONSOLIDATED=Y","FA_ADJUSTED=GAAP","Sort=A","Dates=H","DateFormat=P","Fill=—","Direction=H","UseDPDF=Y")</f>
        <v>#NAME?</v>
      </c>
      <c r="K528" t="e">
        <f ca="1">_xll.BDH($C$528,"OPER_MARGIN","FY 2014","FY 2014","Currency=INR","Period=FY","BEST_FPERIOD_OVERRIDE=FY","FILING_STATUS=OR","EQY_CONSOLIDATED=Y","FA_ADJUSTED=GAAP","Sort=A","Dates=H","DateFormat=P","Fill=—","Direction=H","UseDPDF=Y")</f>
        <v>#NAME?</v>
      </c>
      <c r="L528" t="e">
        <f ca="1">_xll.BDH($C$528,"INCREMENTAL_OPERATING_MARGIN","FY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28" t="e">
        <f ca="1">_xll.BDH($C$528,"PRETAX_INC_TO_NET_SALES","FY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28" t="e">
        <f ca="1">_xll.BDH($C$528,"INC_BEF_XO_ITEMS_TO_NET_SALES","FY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28" t="e">
        <f ca="1">_xll.BDH($C$528,"PROF_MARGIN","FY 2014","FY 2014","Currency=INR","Period=FY","BEST_FPERIOD_OVERRIDE=FY","FILING_STATUS=OR","EQY_CONSOLIDATED=Y","FA_ADJUSTED=GAAP","Sort=A","Dates=H","DateFormat=P","Fill=—","Direction=H","UseDPDF=Y")</f>
        <v>#NAME?</v>
      </c>
      <c r="P528" t="e">
        <f ca="1">_xll.BDH($C$528,"NET_INCOME_TO_COMMON_MARGIN","FY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28" t="e">
        <f ca="1">_xll.BDH($C$528,"EFF_TAX_RATE","FY 2014","FY 2014","Currency=INR","Period=FY","BEST_FPERIOD_OVERRIDE=FY","FILING_STATUS=OR","EQY_CONSOLIDATED=Y","FA_ADJUSTED=GAAP","Sort=A","Dates=H","DateFormat=P","Fill=—","Direction=H","UseDPDF=Y")</f>
        <v>#NAME?</v>
      </c>
      <c r="R528" t="e">
        <f ca="1">_xll.BDH($C$528,"DVD_PAYOUT_RATIO","FY 2014","FY 2014","Currency=INR","Period=FY","BEST_FPERIOD_OVERRIDE=FY","FILING_STATUS=OR","EQY_CONSOLIDATED=Y","FA_ADJUSTED=GAAP","Sort=A","Dates=H","DateFormat=P","Fill=—","Direction=H","UseDPDF=Y")</f>
        <v>#NAME?</v>
      </c>
      <c r="S528" t="e">
        <f ca="1">_xll.BDH($C$528,"SUSTAIN_GROWTH_RT","FY 2014","FY 2014","Currency=INR","Period=FY","BEST_FPERIOD_OVERRIDE=FY","FILING_STATUS=OR","EQY_CONSOLIDATED=Y","FA_ADJUSTED=GAAP","Sort=A","Dates=H","DateFormat=P","Fill=—","Direction=H","UseDPDF=Y")</f>
        <v>#NAME?</v>
      </c>
      <c r="T528" s="1" t="e">
        <f ca="1">_xll.BDH($C$528,"SALES_GROWTH","FY 2014","FY 2014","Currency=INR","Period=FY","BEST_FPERIOD_OVERRIDE=FY","FILING_STATUS=OR","EQY_CONSOLIDATED=Y","FA_ADJUSTED=GAAP","Sort=A","Dates=H","DateFormat=P","Fill=—","Direction=H","UseDPDF=Y")</f>
        <v>#NAME?</v>
      </c>
      <c r="U528" s="1" t="e">
        <f ca="1">_xll.BDH($C$528,"EBITDA_GROWTH","FY 2014","FY 2014","Currency=INR","Period=FY","BEST_FPERIOD_OVERRIDE=FY","FILING_STATUS=OR","EQY_CONSOLIDATED=Y","FA_ADJUSTED=GAAP","Sort=A","Dates=H","DateFormat=P","Fill=—","Direction=H","UseDPDF=Y")</f>
        <v>#NAME?</v>
      </c>
      <c r="V528" s="1" t="e">
        <f ca="1">_xll.BDH($C$528,"OPER_INC_GROWTH","FY 2014","FY 2014","Currency=INR","Period=FY","BEST_FPERIOD_OVERRIDE=FY","FILING_STATUS=OR","EQY_CONSOLIDATED=Y","FA_ADJUSTED=GAAP","Sort=A","Dates=H","DateFormat=P","Fill=—","Direction=H","UseDPDF=Y")</f>
        <v>#NAME?</v>
      </c>
      <c r="W528" s="1" t="e">
        <f ca="1">_xll.BDH($C$528,"EARN_FOR_COM_GROWTH","FY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528" s="1" t="e">
        <f ca="1">_xll.BDH($C$528,"DILUTED_EPS_AFT_XO_ITEMS_GROWTH","FY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28" s="1" t="e">
        <f ca="1">_xll.BDH($C$528,"DIVIDEND_PER_SHARE_1_YEAR_GROWTH","FY 2014","FY 2014","Currency=INR","Period=FY","BEST_FPERIOD_OVERRIDE=FY","FILING_STATUS=OR","EQY_CONSOLIDATED=Y","Sort=A","Dates=H","DateFormat=P","Fill=—","Direction=H","UseDPDF=Y")</f>
        <v>#NAME?</v>
      </c>
      <c r="Z528" s="1" t="e">
        <f ca="1">_xll.BDH($C$528,"ACCOUNTS_RECEIVABLE_GROWTH","FY 2014","FY 2014","Currency=INR","Period=FY","BEST_FPERIOD_OVERRIDE=FY","FILING_STATUS=OR","EQY_CONSOLIDATED=Y","Sort=A","Dates=H","DateFormat=P","Fill=—","Direction=H","UseDPDF=Y")</f>
        <v>#NAME?</v>
      </c>
      <c r="AA528" s="1" t="e">
        <f ca="1">_xll.BDH($C$528,"INVENTORY_GROWTH","FY 2014","FY 2014","Currency=INR","Period=FY","BEST_FPERIOD_OVERRIDE=FY","FILING_STATUS=OR","EQY_CONSOLIDATED=Y","Sort=A","Dates=H","DateFormat=P","Fill=—","Direction=H","UseDPDF=Y")</f>
        <v>#NAME?</v>
      </c>
      <c r="AB528" s="1" t="e">
        <f ca="1">_xll.BDH($C$528,"NET_FIXED_ASSETS_1_YEAR_GROWTH","FY 2014","FY 2014","Currency=INR","Period=FY","BEST_FPERIOD_OVERRIDE=FY","FILING_STATUS=OR","EQY_CONSOLIDATED=Y","Sort=A","Dates=H","DateFormat=P","Fill=—","Direction=H","UseDPDF=Y")</f>
        <v>#NAME?</v>
      </c>
      <c r="AC528" s="1" t="e">
        <f ca="1">_xll.BDH($C$528,"ASSET_GROWTH","FY 2014","FY 2014","Currency=INR","Period=FY","BEST_FPERIOD_OVERRIDE=FY","FILING_STATUS=OR","EQY_CONSOLIDATED=Y","Sort=A","Dates=H","DateFormat=P","Fill=—","Direction=H","UseDPDF=Y")</f>
        <v>#NAME?</v>
      </c>
      <c r="AD528" s="1" t="e">
        <f ca="1">_xll.BDH($C$528,"MODIFIED_WORK_CAP_GROWTH","FY 2014","FY 2014","Currency=INR","Period=FY","BEST_FPERIOD_OVERRIDE=FY","FILING_STATUS=OR","EQY_CONSOLIDATED=Y","Sort=A","Dates=H","DateFormat=P","Fill=—","Direction=H","UseDPDF=Y")</f>
        <v>#NAME?</v>
      </c>
      <c r="AE528" s="1" t="e">
        <f ca="1">_xll.BDH($C$528,"WORK_CAP_GROWTH","FY 2014","FY 2014","Currency=INR","Period=FY","BEST_FPERIOD_OVERRIDE=FY","FILING_STATUS=OR","EQY_CONSOLIDATED=Y","Sort=A","Dates=H","DateFormat=P","Fill=—","Direction=H","UseDPDF=Y")</f>
        <v>#NAME?</v>
      </c>
      <c r="AF528" s="1" t="e">
        <f ca="1">_xll.BDH($C$528,"ACCOUNTS_PAYABLE_GROWTH_1YR","FY 2014","FY 2014","Currency=INR","Period=FY","BEST_FPERIOD_OVERRIDE=FY","FILING_STATUS=OR","EQY_CONSOLIDATED=Y","Sort=A","Dates=H","DateFormat=P","Fill=—","Direction=H","UseDPDF=Y")</f>
        <v>#NAME?</v>
      </c>
      <c r="AG528" s="1" t="e">
        <f ca="1">_xll.BDH($C$528,"SHORT_TERM_DEBT_1_YEAR_GROWTH","FY 2014","FY 2014","Currency=INR","Period=FY","BEST_FPERIOD_OVERRIDE=FY","FILING_STATUS=OR","EQY_CONSOLIDATED=Y","Sort=A","Dates=H","DateFormat=P","Fill=—","Direction=H","UseDPDF=Y")</f>
        <v>#NAME?</v>
      </c>
      <c r="AH528" s="1" t="e">
        <f ca="1">_xll.BDH($C$528,"TOTAL_DEBT_1_YEAR_GROWTH","FY 2014","FY 2014","Currency=INR","Period=FY","BEST_FPERIOD_OVERRIDE=FY","FILING_STATUS=OR","EQY_CONSOLIDATED=Y","Sort=A","Dates=H","DateFormat=P","Fill=—","Direction=H","UseDPDF=Y")</f>
        <v>#NAME?</v>
      </c>
      <c r="AI528" s="1" t="e">
        <f ca="1">_xll.BDH($C$528,"TOTAL_EQUITY_1_YEAR_GROWTH","FY 2014","FY 2014","Currency=INR","Period=FY","BEST_FPERIOD_OVERRIDE=FY","FILING_STATUS=OR","EQY_CONSOLIDATED=Y","Sort=A","Dates=H","DateFormat=P","Fill=—","Direction=H","UseDPDF=Y")</f>
        <v>#NAME?</v>
      </c>
      <c r="AJ528" s="1" t="e">
        <f ca="1">_xll.BDH($C$528,"GROWTH_IN_CAP","FY 2014","FY 2014","Currency=INR","Period=FY","BEST_FPERIOD_OVERRIDE=FY","FILING_STATUS=OR","EQY_CONSOLIDATED=Y","Sort=A","Dates=H","DateFormat=P","Fill=—","Direction=H","UseDPDF=Y")</f>
        <v>#NAME?</v>
      </c>
      <c r="AK528" s="1" t="e">
        <f ca="1">_xll.BDH($C$528,"BVPS_GROWTH","FY 2014","FY 2014","Currency=INR","Period=FY","BEST_FPERIOD_OVERRIDE=FY","FILING_STATUS=OR","EQY_CONSOLIDATED=Y","Sort=A","Dates=H","DateFormat=P","Fill=—","Direction=H","UseDPDF=Y")</f>
        <v>#NAME?</v>
      </c>
      <c r="AL528" s="1" t="e">
        <f ca="1">_xll.BDH($C$528,"CASH_FLOW_GROWTH","FY 2014","FY 2014","Currency=INR","Period=FY","BEST_FPERIOD_OVERRIDE=FY","FILING_STATUS=OR","EQY_CONSOLIDATED=Y","Sort=A","Dates=H","DateFormat=P","Fill=—","Direction=H","UseDPDF=Y")</f>
        <v>#NAME?</v>
      </c>
      <c r="AM528" s="1" t="e">
        <f ca="1">_xll.BDH($C$528,"GEO_GROW_NET_SALES","FY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528" s="1" t="e">
        <f ca="1">_xll.BDH($C$528,"GEO_GROW_EBITDA","FY 2014","FY 2014","Currency=INR","Period=FY","BEST_FPERIOD_OVERRIDE=FY","FILING_STATUS=OR","EQY_CONSOLIDATED=Y","FA_ADJUSTED=GAAP","Sort=A","Dates=H","DateFormat=P","Fill=—","Direction=H","UseDPDF=Y")</f>
        <v>#NAME?</v>
      </c>
      <c r="AO528" s="1" t="e">
        <f ca="1">_xll.BDH($C$528,"GEO_GROW_OPER_INC","FY 2014","FY 2014","Currency=INR","Period=FY","BEST_FPERIOD_OVERRIDE=FY","FILING_STATUS=OR","EQY_CONSOLIDATED=Y","FA_ADJUSTED=GAAP","Sort=A","Dates=H","DateFormat=P","Fill=—","Direction=H","UseDPDF=Y")</f>
        <v>#NAME?</v>
      </c>
      <c r="AP528" s="1" t="e">
        <f ca="1">_xll.BDH($C$528,"NET_INCOME_TO_COMMON_5_YR_GROWTH","FY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28" s="1" t="e">
        <f ca="1">_xll.BDH($C$528,"5Y_GEO_GROWTH_DILUTED_EPS","FY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28" s="1" t="e">
        <f ca="1">_xll.BDH($C$528,"GEO_GROW_DVD_PER_SH","FY 2014","FY 2014","Currency=INR","Period=FY","BEST_FPERIOD_OVERRIDE=FY","FILING_STATUS=OR","EQY_CONSOLIDATED=Y","Sort=A","Dates=H","DateFormat=P","Fill=—","Direction=H","UseDPDF=Y")</f>
        <v>#NAME?</v>
      </c>
      <c r="AS528" s="1" t="e">
        <f ca="1">_xll.BDH($C$528,"ACCOUNTS_RECEIVABLE_5_YR_GROWTH","FY 2014","FY 2014","Currency=INR","Period=FY","BEST_FPERIOD_OVERRIDE=FY","FILING_STATUS=OR","EQY_CONSOLIDATED=Y","Sort=A","Dates=H","DateFormat=P","Fill=—","Direction=H","UseDPDF=Y")</f>
        <v>#NAME?</v>
      </c>
      <c r="AT528" s="1" t="e">
        <f ca="1">_xll.BDH($C$528,"INVENTORY_5_YEAR_GROWTH","FY 2014","FY 2014","Currency=INR","Period=FY","BEST_FPERIOD_OVERRIDE=FY","FILING_STATUS=OR","EQY_CONSOLIDATED=Y","Sort=A","Dates=H","DateFormat=P","Fill=—","Direction=H","UseDPDF=Y")</f>
        <v>#NAME?</v>
      </c>
      <c r="AU528" s="1" t="e">
        <f ca="1">_xll.BDH($C$528,"NET_FIXED_ASSETS_5_YEAR_GROWTH","FY 2014","FY 2014","Currency=INR","Period=FY","BEST_FPERIOD_OVERRIDE=FY","FILING_STATUS=OR","EQY_CONSOLIDATED=Y","Sort=A","Dates=H","DateFormat=P","Fill=—","Direction=H","UseDPDF=Y")</f>
        <v>#NAME?</v>
      </c>
      <c r="AV528" s="1" t="e">
        <f ca="1">_xll.BDH($C$528,"GEO_GROW_TOT_ASSET","FY 2014","FY 2014","Currency=INR","Period=FY","BEST_FPERIOD_OVERRIDE=FY","FILING_STATUS=OR","EQY_CONSOLIDATED=Y","Sort=A","Dates=H","DateFormat=P","Fill=—","Direction=H","UseDPDF=Y")</f>
        <v>#NAME?</v>
      </c>
      <c r="AW528" s="1" t="e">
        <f ca="1">_xll.BDH($C$528,"MODIFIED_WORKING_CPTL_5YR_GRWTH","FY 2014","FY 2014","Currency=INR","Period=FY","BEST_FPERIOD_OVERRIDE=FY","FILING_STATUS=OR","EQY_CONSOLIDATED=Y","Sort=A","Dates=H","DateFormat=P","Fill=—","Direction=H","UseDPDF=Y")</f>
        <v>#NAME?</v>
      </c>
      <c r="AX528" s="1" t="e">
        <f ca="1">_xll.BDH($C$528,"WORKING_CAPITAL_5_YEAR_GROWTH","FY 2014","FY 2014","Currency=INR","Period=FY","BEST_FPERIOD_OVERRIDE=FY","FILING_STATUS=OR","EQY_CONSOLIDATED=Y","Sort=A","Dates=H","DateFormat=P","Fill=—","Direction=H","UseDPDF=Y")</f>
        <v>#NAME?</v>
      </c>
      <c r="AY528" s="1" t="e">
        <f ca="1">_xll.BDH($C$528,"ACCOUNTS_PAYABLE_5_YEAR_GROWTH","FY 2014","FY 2014","Currency=INR","Period=FY","BEST_FPERIOD_OVERRIDE=FY","FILING_STATUS=OR","EQY_CONSOLIDATED=Y","Sort=A","Dates=H","DateFormat=P","Fill=—","Direction=H","UseDPDF=Y")</f>
        <v>#NAME?</v>
      </c>
      <c r="AZ528" s="1" t="e">
        <f ca="1">_xll.BDH($C$528,"SHORT_TERM_DEBT_5_YEAR_GROWTH","FY 2014","FY 2014","Currency=INR","Period=FY","BEST_FPERIOD_OVERRIDE=FY","FILING_STATUS=OR","EQY_CONSOLIDATED=Y","Sort=A","Dates=H","DateFormat=P","Fill=—","Direction=H","UseDPDF=Y")</f>
        <v>#NAME?</v>
      </c>
      <c r="BA528" s="1" t="e">
        <f ca="1">_xll.BDH($C$528,"TOTAL_DEBT_5_YEAR_GROWTH","FY 2014","FY 2014","Currency=INR","Period=FY","BEST_FPERIOD_OVERRIDE=FY","FILING_STATUS=OR","EQY_CONSOLIDATED=Y","Sort=A","Dates=H","DateFormat=P","Fill=—","Direction=H","UseDPDF=Y")</f>
        <v>#NAME?</v>
      </c>
      <c r="BB528" s="1" t="e">
        <f ca="1">_xll.BDH($C$528,"GEO_GROW_TOT_SHRHLDR_EQY","FY 2014","FY 2014","Currency=INR","Period=FY","BEST_FPERIOD_OVERRIDE=FY","FILING_STATUS=OR","EQY_CONSOLIDATED=Y","Sort=A","Dates=H","DateFormat=P","Fill=—","Direction=H","UseDPDF=Y")</f>
        <v>#NAME?</v>
      </c>
      <c r="BC528" s="1" t="e">
        <f ca="1">_xll.BDH($C$528,"TOTAL_CAPITAL_5_YEAR_GROWTH","FY 2014","FY 2014","Currency=INR","Period=FY","BEST_FPERIOD_OVERRIDE=FY","FILING_STATUS=OR","EQY_CONSOLIDATED=Y","Sort=A","Dates=H","DateFormat=P","Fill=—","Direction=H","UseDPDF=Y")</f>
        <v>#NAME?</v>
      </c>
      <c r="BD528" s="1" t="e">
        <f ca="1">_xll.BDH($C$528,"GEO_GROW_BOOK_VAL","FY 2014","FY 2014","Currency=INR","Period=FY","BEST_FPERIOD_OVERRIDE=FY","FILING_STATUS=OR","EQY_CONSOLIDATED=Y","Sort=A","Dates=H","DateFormat=P","Fill=—","Direction=H","UseDPDF=Y")</f>
        <v>#NAME?</v>
      </c>
      <c r="BE528" s="1" t="e">
        <f ca="1">_xll.BDH($C$528,"GEO_GROW_CASH_OPER_ACT","FY 2014","FY 2014","Currency=INR","Period=FY","BEST_FPERIOD_OVERRIDE=FY","FILING_STATUS=OR","EQY_CONSOLIDATED=Y","Sort=A","Dates=H","DateFormat=P","Fill=—","Direction=H","UseDPDF=Y")</f>
        <v>#NAME?</v>
      </c>
      <c r="BF528" s="1" t="e">
        <f ca="1">_xll.BDH($C$528,"REVENUE_SEQUENTIAL_GROWTH","FY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28" s="1" t="e">
        <f ca="1">_xll.BDH($C$528,"EBITDA_SEQUENTIAL_GROWTH","FY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28" s="1" t="e">
        <f ca="1">_xll.BDH($C$528,"OPERATING_INCOME_SEQ_GROWTH","FY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28" s="1" t="e">
        <f ca="1">_xll.BDH($C$528,"NET_INCOME_TO_COMMON_SEQ_GROWTH","FY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28" s="1" t="e">
        <f ca="1">_xll.BDH($C$528,"EPS_DILUTED_SEQUENTIAL_GROWTH","FY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28" s="1" t="e">
        <f ca="1">_xll.BDH($C$528,"DPS_SEQUENTIAL_GROWTH","FY 2014","FY 2014","Currency=INR","Period=FY","BEST_FPERIOD_OVERRIDE=FY","FILING_STATUS=OR","EQY_CONSOLIDATED=Y","Sort=A","Dates=H","DateFormat=P","Fill=—","Direction=H","UseDPDF=Y")</f>
        <v>#NAME?</v>
      </c>
      <c r="BL528" s="1" t="e">
        <f ca="1">_xll.BDH($C$528,"ACCOUNTS_RECEIVABLE_SEQ_GROWTH","FY 2014","FY 2014","Currency=INR","Period=FY","BEST_FPERIOD_OVERRIDE=FY","FILING_STATUS=OR","EQY_CONSOLIDATED=Y","Sort=A","Dates=H","DateFormat=P","Fill=—","Direction=H","UseDPDF=Y")</f>
        <v>#NAME?</v>
      </c>
      <c r="BM528" s="1" t="e">
        <f ca="1">_xll.BDH($C$528,"INVENTORY_SEQUENTIAL_GROWTH","FY 2014","FY 2014","Currency=INR","Period=FY","BEST_FPERIOD_OVERRIDE=FY","FILING_STATUS=OR","EQY_CONSOLIDATED=Y","Sort=A","Dates=H","DateFormat=P","Fill=—","Direction=H","UseDPDF=Y")</f>
        <v>#NAME?</v>
      </c>
      <c r="BN528" s="1" t="e">
        <f ca="1">_xll.BDH($C$528,"FIXED_ASSETS_SEQUENTIAL_GROWTH","FY 2014","FY 2014","Currency=INR","Period=FY","BEST_FPERIOD_OVERRIDE=FY","FILING_STATUS=OR","EQY_CONSOLIDATED=Y","Sort=A","Dates=H","DateFormat=P","Fill=—","Direction=H","UseDPDF=Y")</f>
        <v>#NAME?</v>
      </c>
      <c r="BO528" s="1" t="e">
        <f ca="1">_xll.BDH($C$528,"TOTAL_ASSETS_SEQUENTIAL_GROWTH","FY 2014","FY 2014","Currency=INR","Period=FY","BEST_FPERIOD_OVERRIDE=FY","FILING_STATUS=OR","EQY_CONSOLIDATED=Y","Sort=A","Dates=H","DateFormat=P","Fill=—","Direction=H","UseDPDF=Y")</f>
        <v>#NAME?</v>
      </c>
      <c r="BP528" s="1" t="e">
        <f ca="1">_xll.BDH($C$528,"MODIFIED_WORKING_CPTL_SEQ_GRWTH","FY 2014","FY 2014","Currency=INR","Period=FY","BEST_FPERIOD_OVERRIDE=FY","FILING_STATUS=OR","EQY_CONSOLIDATED=Y","Sort=A","Dates=H","DateFormat=P","Fill=—","Direction=H","UseDPDF=Y")</f>
        <v>#NAME?</v>
      </c>
      <c r="BQ528" s="1" t="e">
        <f ca="1">_xll.BDH($C$528,"WORKING_CAPITAL_SEQ_GROWTH","FY 2014","FY 2014","Currency=INR","Period=FY","BEST_FPERIOD_OVERRIDE=FY","FILING_STATUS=OR","EQY_CONSOLIDATED=Y","Sort=A","Dates=H","DateFormat=P","Fill=—","Direction=H","UseDPDF=Y")</f>
        <v>#NAME?</v>
      </c>
      <c r="BR528" s="1" t="e">
        <f ca="1">_xll.BDH($C$528,"ACCOUNTS_PAYABLE_SEQ_GROWTH","FY 2014","FY 2014","Currency=INR","Period=FY","BEST_FPERIOD_OVERRIDE=FY","FILING_STATUS=OR","EQY_CONSOLIDATED=Y","Sort=A","Dates=H","DateFormat=P","Fill=—","Direction=H","UseDPDF=Y")</f>
        <v>#NAME?</v>
      </c>
      <c r="BS528" s="1" t="e">
        <f ca="1">_xll.BDH($C$528,"ST_DEBT_SEQUENTIAL_GROWTH","FY 2014","FY 2014","Currency=INR","Period=FY","BEST_FPERIOD_OVERRIDE=FY","FILING_STATUS=OR","EQY_CONSOLIDATED=Y","Sort=A","Dates=H","DateFormat=P","Fill=—","Direction=H","UseDPDF=Y")</f>
        <v>#NAME?</v>
      </c>
      <c r="BT528" s="1" t="e">
        <f ca="1">_xll.BDH($C$528,"TOTAL_DEBT_SEQUENTIAL_GROWTH","FY 2014","FY 2014","Currency=INR","Period=FY","BEST_FPERIOD_OVERRIDE=FY","FILING_STATUS=OR","EQY_CONSOLIDATED=Y","Sort=A","Dates=H","DateFormat=P","Fill=—","Direction=H","UseDPDF=Y")</f>
        <v>#NAME?</v>
      </c>
      <c r="BU528" s="1" t="e">
        <f ca="1">_xll.BDH($C$528,"TOTAL_EQUITY_SEQUENTIAL_GROWTH","FY 2014","FY 2014","Currency=INR","Period=FY","BEST_FPERIOD_OVERRIDE=FY","FILING_STATUS=OR","EQY_CONSOLIDATED=Y","Sort=A","Dates=H","DateFormat=P","Fill=—","Direction=H","UseDPDF=Y")</f>
        <v>#NAME?</v>
      </c>
      <c r="BV528" s="1" t="e">
        <f ca="1">_xll.BDH($C$528,"TOTAL_CAPITAL_SEQUENTIAL_GROWTH","FY 2014","FY 2014","Currency=INR","Period=FY","BEST_FPERIOD_OVERRIDE=FY","FILING_STATUS=OR","EQY_CONSOLIDATED=Y","Sort=A","Dates=H","DateFormat=P","Fill=—","Direction=H","UseDPDF=Y")</f>
        <v>#NAME?</v>
      </c>
      <c r="BW528" s="1" t="e">
        <f ca="1">_xll.BDH($C$528,"BPS_SEQUENTIAL_GROWTH","FY 2014","FY 2014","Currency=INR","Period=FY","BEST_FPERIOD_OVERRIDE=FY","FILING_STATUS=OR","EQY_CONSOLIDATED=Y","Sort=A","Dates=H","DateFormat=P","Fill=—","Direction=H","UseDPDF=Y")</f>
        <v>#NAME?</v>
      </c>
      <c r="BX528" s="1" t="e">
        <f ca="1">_xll.BDH($C$528,"CFO_SEQUENTIAL_GROWTH","FY 2014","FY 2014","Currency=INR","Period=FY","BEST_FPERIOD_OVERRIDE=FY","FILING_STATUS=OR","EQY_CONSOLIDATED=Y","Sort=A","Dates=H","DateFormat=P","Fill=—","Direction=H","UseDPDF=Y")</f>
        <v>#NAME?</v>
      </c>
      <c r="BY528" s="2" t="e">
        <f ca="1">_xll.BDH($C$528,"SHORT_AND_LONG_TERM_DEBT","FY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28" s="2" t="e">
        <f ca="1">_xll.BDH($C$528,"BS_ST_BORROW","FY 2014","FY 2014","Currency=INR","Period=FY","BEST_FPERIOD_OVERRIDE=FY","FILING_STATUS=OR","EQY_CONSOLIDATED=Y","SCALING_FORMAT=MLN","Sort=A","Dates=H","DateFormat=P","Fill=—","Direction=H","UseDPDF=Y")</f>
        <v>#NAME?</v>
      </c>
      <c r="CA528" s="2" t="e">
        <f ca="1">_xll.BDH($C$528,"BS_LT_BORROW","FY 2014","FY 2014","Currency=INR","Period=FY","BEST_FPERIOD_OVERRIDE=FY","FILING_STATUS=OR","EQY_CONSOLIDATED=Y","SCALING_FORMAT=MLN","Sort=A","Dates=H","DateFormat=P","Fill=—","Direction=H","UseDPDF=Y")</f>
        <v>#NAME?</v>
      </c>
      <c r="CB528" s="1" t="e">
        <f ca="1">_xll.BDH($C$528,"TOT_DEBT_TO_EBITDA","FY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528" s="1" t="e">
        <f ca="1">_xll.BDH($C$528,"NET_DEBT_TO_EBITDA","FY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528" s="1" t="e">
        <f ca="1">_xll.BDH($C$528,"TOTAL_DEBT_TO_EBIT","FY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528" s="1" t="e">
        <f ca="1">_xll.BDH($C$528,"NET_DEBT_TO_EBIT","FY 2014","FY 2014","Currency=INR","Period=FY","BEST_FPERIOD_OVERRIDE=FY","FILING_STATUS=OR","EQY_CONSOLIDATED=Y","FA_ADJUSTED=GAAP","Sort=A","Dates=H","DateFormat=P","Fill=—","Direction=H","UseDPDF=Y")</f>
        <v>#NAME?</v>
      </c>
      <c r="CF528" s="1" t="e">
        <f ca="1">_xll.BDH($C$528,"EBITDA_TO_INTEREST_EXPN","FY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28" s="1" t="e">
        <f ca="1">_xll.BDH($C$528,"COM_EQY_TO_TOT_ASSET","FY 2014","FY 2014","Currency=INR","Period=FY","BEST_FPERIOD_OVERRIDE=FY","FILING_STATUS=OR","EQY_CONSOLIDATED=Y","Sort=A","Dates=H","DateFormat=P","Fill=—","Direction=H","UseDPDF=Y")</f>
        <v>#NAME?</v>
      </c>
      <c r="CH528" s="1" t="e">
        <f ca="1">_xll.BDH($C$528,"LT_DEBT_TO_TOT_EQY","FY 2014","FY 2014","Currency=INR","Period=FY","BEST_FPERIOD_OVERRIDE=FY","FILING_STATUS=OR","EQY_CONSOLIDATED=Y","Sort=A","Dates=H","DateFormat=P","Fill=—","Direction=H","UseDPDF=Y")</f>
        <v>#NAME?</v>
      </c>
      <c r="CI528" s="1" t="e">
        <f ca="1">_xll.BDH($C$528,"LT_DEBT_TO_TOT_CAP","FY 2014","FY 2014","Currency=INR","Period=FY","BEST_FPERIOD_OVERRIDE=FY","FILING_STATUS=OR","EQY_CONSOLIDATED=Y","Sort=A","Dates=H","DateFormat=P","Fill=—","Direction=H","UseDPDF=Y")</f>
        <v>#NAME?</v>
      </c>
      <c r="CJ528" s="1" t="e">
        <f ca="1">_xll.BDH($C$528,"LT_DEBT_TO_TOT_ASSET","FY 2014","FY 2014","Currency=INR","Period=FY","BEST_FPERIOD_OVERRIDE=FY","FILING_STATUS=OR","EQY_CONSOLIDATED=Y","Sort=A","Dates=H","DateFormat=P","Fill=—","Direction=H","UseDPDF=Y")</f>
        <v>#NAME?</v>
      </c>
      <c r="CK528" s="1" t="e">
        <f ca="1">_xll.BDH($C$528,"TOT_DEBT_TO_TOT_EQY","FY 2014","FY 2014","Currency=INR","Period=FY","BEST_FPERIOD_OVERRIDE=FY","FILING_STATUS=OR","EQY_CONSOLIDATED=Y","Sort=A","Dates=H","DateFormat=P","Fill=—","Direction=H","UseDPDF=Y")</f>
        <v>#NAME?</v>
      </c>
      <c r="CL528" s="1" t="e">
        <f ca="1">_xll.BDH($C$528,"TOT_DEBT_TO_TOT_CAP","FY 2014","FY 2014","Currency=INR","Period=FY","BEST_FPERIOD_OVERRIDE=FY","FILING_STATUS=OR","EQY_CONSOLIDATED=Y","Sort=A","Dates=H","DateFormat=P","Fill=—","Direction=H","UseDPDF=Y")</f>
        <v>#NAME?</v>
      </c>
      <c r="CM528" s="1" t="e">
        <f ca="1">_xll.BDH($C$528,"TOT_DEBT_TO_TOT_ASSET","FY 2014","FY 2014","Currency=INR","Period=FY","BEST_FPERIOD_OVERRIDE=FY","FILING_STATUS=OR","EQY_CONSOLIDATED=Y","Sort=A","Dates=H","DateFormat=P","Fill=—","Direction=H","UseDPDF=Y")</f>
        <v>#NAME?</v>
      </c>
      <c r="CN528" s="1" t="e">
        <f ca="1">_xll.BDH($C$528,"NET_DEBT_TO_SHRHLDR_EQTY","FY 2014","FY 2014","Currency=INR","Period=FY","BEST_FPERIOD_OVERRIDE=FY","FILING_STATUS=OR","EQY_CONSOLIDATED=Y","Sort=A","Dates=H","DateFormat=P","Fill=—","Direction=H","UseDPDF=Y")</f>
        <v>#NAME?</v>
      </c>
      <c r="CO528" s="1" t="e">
        <f ca="1">_xll.BDH($C$528,"NET_DEBT_%_CAPITAL","FY 2014","FY 2014","Currency=INR","Period=FY","BEST_FPERIOD_OVERRIDE=FY","FILING_STATUS=OR","EQY_CONSOLIDATED=Y","Sort=A","Dates=H","DateFormat=P","Fill=—","Direction=H","UseDPDF=Y")</f>
        <v>#NAME?</v>
      </c>
      <c r="CP528" s="2" t="e">
        <f ca="1">_xll.BDH($C$528,"EBITDA","FY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28" s="2" t="e">
        <f ca="1">_xll.BDH($C$528,"EBITDA_AFTER_CAPEX","FY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28" s="2" t="e">
        <f ca="1">_xll.BDH($C$528,"IS_OPER_INC","FY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28" s="1" t="e">
        <f ca="1">_xll.BDH($C$528,"CASH_RATIO","FY 2014","FY 2014","Currency=INR","Period=FY","BEST_FPERIOD_OVERRIDE=FY","FILING_STATUS=OR","EQY_CONSOLIDATED=Y","Sort=A","Dates=H","DateFormat=P","Fill=—","Direction=H","UseDPDF=Y")</f>
        <v>#NAME?</v>
      </c>
      <c r="CT528" s="1" t="e">
        <f ca="1">_xll.BDH($C$528,"CUR_RATIO","FY 2014","FY 2014","Currency=INR","Period=FY","BEST_FPERIOD_OVERRIDE=FY","FILING_STATUS=OR","EQY_CONSOLIDATED=Y","Sort=A","Dates=H","DateFormat=P","Fill=—","Direction=H","UseDPDF=Y")</f>
        <v>#NAME?</v>
      </c>
      <c r="CU528" s="1" t="e">
        <f ca="1">_xll.BDH($C$528,"QUICK_RATIO","FY 2014","FY 2014","Currency=INR","Period=FY","BEST_FPERIOD_OVERRIDE=FY","FILING_STATUS=OR","EQY_CONSOLIDATED=Y","Sort=A","Dates=H","DateFormat=P","Fill=—","Direction=H","UseDPDF=Y")</f>
        <v>#NAME?</v>
      </c>
      <c r="CV528" s="1" t="e">
        <f ca="1">_xll.BDH($C$528,"ALTMAN_Z_SCORE","FY 2014","FY 2014","Currency=INR","Period=FY","BEST_FPERIOD_OVERRIDE=FY","FILING_STATUS=OR","EQY_CONSOLIDATED=Y","Sort=A","Dates=H","DateFormat=P","Fill=—","Direction=H","UseDPDF=Y")</f>
        <v>#NAME?</v>
      </c>
      <c r="CW528" s="3" t="e">
        <f ca="1">_xll.BDH($C$528,"ACCT_RCV_TURN","FY 2014","FY 2014","Currency=INR","Period=FY","BEST_FPERIOD_OVERRIDE=FY","FILING_STATUS=OR","EQY_CONSOLIDATED=Y","FA_ADJUSTED=GAAP","Sort=A","Dates=H","DateFormat=P","Fill=—","Direction=H","UseDPDF=Y")</f>
        <v>#NAME?</v>
      </c>
      <c r="CX528" s="1" t="e">
        <f ca="1">_xll.BDH($C$528,"ACCT_RCV_DAYS","FY 2014","FY 2014","Currency=INR","Period=FY","BEST_FPERIOD_OVERRIDE=FY","FILING_STATUS=OR","EQY_CONSOLIDATED=Y","FA_ADJUSTED=GAAP","Sort=A","Dates=H","DateFormat=P","Fill=—","Direction=H","UseDPDF=Y")</f>
        <v>#NAME?</v>
      </c>
      <c r="CY528" s="3" t="e">
        <f ca="1">_xll.BDH($C$528,"INVENT_TURN","FY 2014","FY 2014","Currency=INR","Period=FY","BEST_FPERIOD_OVERRIDE=FY","FILING_STATUS=OR","EQY_CONSOLIDATED=Y","FA_ADJUSTED=GAAP","Sort=A","Dates=H","DateFormat=P","Fill=—","Direction=H","UseDPDF=Y")</f>
        <v>#NAME?</v>
      </c>
      <c r="CZ528" s="1" t="e">
        <f ca="1">_xll.BDH($C$528,"INVENT_DAYS","FY 2014","FY 2014","Currency=INR","Period=FY","BEST_FPERIOD_OVERRIDE=FY","FILING_STATUS=OR","EQY_CONSOLIDATED=Y","FA_ADJUSTED=GAAP","Sort=A","Dates=H","DateFormat=P","Fill=—","Direction=H","UseDPDF=Y")</f>
        <v>#NAME?</v>
      </c>
      <c r="DA528" s="3" t="e">
        <f ca="1">_xll.BDH($C$528,"ACCOUNTS_PAYABLE_TURNOVER","FY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28" s="1" t="e">
        <f ca="1">_xll.BDH($C$528,"ACCOUNTS_PAYABLE_TURNOVER_DAYS","FY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28" s="3" t="e">
        <f ca="1">_xll.BDH($C$528,"CASH_CONVERSION_CYCLE","FY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28" s="3" t="e">
        <f ca="1">_xll.BDH($C$528,"INV_TO_CASH_DAYS","FY 2014","FY 2014","Currency=INR","Period=FY","BEST_FPERIOD_OVERRIDE=FY","FILING_STATUS=OR","EQY_CONSOLIDATED=Y","FA_ADJUSTED=GAAP","Sort=A","Dates=H","DateFormat=P","Fill=—","Direction=H","UseDPDF=Y")</f>
        <v>#NAME?</v>
      </c>
      <c r="DE528" s="4" t="e">
        <f ca="1">_xll.BDH($C$528,"BS_INVENTORIES","FY 2014","FY 2014","Currency=INR","Period=FY","BEST_FPERIOD_OVERRIDE=FY","FILING_STATUS=OR","EQY_CONSOLIDATED=Y","SCALING_FORMAT=MLN","Sort=A","Dates=H","DateFormat=P","Fill=—","Direction=H","UseDPDF=Y")</f>
        <v>#NAME?</v>
      </c>
      <c r="DF528" s="2" t="e">
        <f ca="1">_xll.BDH($C$528,"INVTRY_RAW_MATERIALS","FY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28" s="2" t="e">
        <f ca="1">_xll.BDH($C$528,"INVTRY_IN_PROGRESS","FY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28" s="2" t="e">
        <f ca="1">_xll.BDH($C$528,"INVTRY_FINISHED_GOODS","FY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28" s="2" t="e">
        <f ca="1">_xll.BDH($C$528,"BS_OTHER_INV","FY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29" spans="1:113" x14ac:dyDescent="0.3">
      <c r="A529" s="6"/>
      <c r="B529" s="6"/>
      <c r="C529" s="6"/>
      <c r="D529" s="6"/>
      <c r="E529" t="s">
        <v>4</v>
      </c>
      <c r="F529" t="e">
        <f ca="1">_xll.BDH($C$528,"RETURN_COM_EQY","FQ1 2014","FQ1 2014","Currency=INR","Period=FQ","BEST_FPERIOD_OVERRIDE=FQ","FILING_STATUS=OR","EQY_CONSOLIDATED=Y","FA_ADJUSTED=GAAP","Sort=A","Dates=H","DateFormat=P","Fill=—","Direction=H","UseDPDF=Y")</f>
        <v>#NAME?</v>
      </c>
      <c r="G529" t="e">
        <f ca="1">_xll.BDH($C$528,"RETURN_ON_ASSET","FQ1 2014","FQ1 2014","Currency=INR","Period=FQ","BEST_FPERIOD_OVERRIDE=FQ","FILING_STATUS=OR","EQY_CONSOLIDATED=Y","FA_ADJUSTED=GAAP","Sort=A","Dates=H","DateFormat=P","Fill=—","Direction=H","UseDPDF=Y")</f>
        <v>#NAME?</v>
      </c>
      <c r="H529" t="e">
        <f ca="1">_xll.BDH($C$528,"RETURN_ON_CAP","FQ1 2014","FQ1 2014","Currency=INR","Period=FQ","BEST_FPERIOD_OVERRIDE=FQ","FILING_STATUS=OR","EQY_CONSOLIDATED=Y","FA_ADJUSTED=GAAP","Sort=A","Dates=H","DateFormat=P","Fill=—","Direction=H","UseDPDF=Y")</f>
        <v>#NAME?</v>
      </c>
      <c r="I529" t="e">
        <f ca="1">_xll.BDH($C$528,"RETURN_ON_INV_CAPITAL","FQ1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29" t="e">
        <f ca="1">_xll.BDH($C$528,"EBITDA_TO_REVENUE","FQ1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529" t="e">
        <f ca="1">_xll.BDH($C$528,"OPER_MARGIN","FQ1 2014","FQ1 2014","Currency=INR","Period=FQ","BEST_FPERIOD_OVERRIDE=FQ","FILING_STATUS=OR","EQY_CONSOLIDATED=Y","FA_ADJUSTED=GAAP","Sort=A","Dates=H","DateFormat=P","Fill=—","Direction=H","UseDPDF=Y")</f>
        <v>#NAME?</v>
      </c>
      <c r="L529" t="e">
        <f ca="1">_xll.BDH($C$528,"INCREMENTAL_OPERATING_MARGIN","FQ1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29" t="e">
        <f ca="1">_xll.BDH($C$528,"PRETAX_INC_TO_NET_SALES","FQ1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29" t="e">
        <f ca="1">_xll.BDH($C$528,"INC_BEF_XO_ITEMS_TO_NET_SALES","FQ1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29" t="e">
        <f ca="1">_xll.BDH($C$528,"PROF_MARGIN","FQ1 2014","FQ1 2014","Currency=INR","Period=FQ","BEST_FPERIOD_OVERRIDE=FQ","FILING_STATUS=OR","EQY_CONSOLIDATED=Y","FA_ADJUSTED=GAAP","Sort=A","Dates=H","DateFormat=P","Fill=—","Direction=H","UseDPDF=Y")</f>
        <v>#NAME?</v>
      </c>
      <c r="P529" t="e">
        <f ca="1">_xll.BDH($C$528,"NET_INCOME_TO_COMMON_MARGIN","FQ1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29" t="e">
        <f ca="1">_xll.BDH($C$528,"EFF_TAX_RATE","FQ1 2014","FQ1 2014","Currency=INR","Period=FQ","BEST_FPERIOD_OVERRIDE=FQ","FILING_STATUS=OR","EQY_CONSOLIDATED=Y","FA_ADJUSTED=GAAP","Sort=A","Dates=H","DateFormat=P","Fill=—","Direction=H","UseDPDF=Y")</f>
        <v>#NAME?</v>
      </c>
      <c r="R529" t="e">
        <f ca="1">_xll.BDH($C$528,"DVD_PAYOUT_RATIO","FQ1 2014","FQ1 2014","Currency=INR","Period=FQ","BEST_FPERIOD_OVERRIDE=FQ","FILING_STATUS=OR","EQY_CONSOLIDATED=Y","FA_ADJUSTED=GAAP","Sort=A","Dates=H","DateFormat=P","Fill=—","Direction=H","UseDPDF=Y")</f>
        <v>#NAME?</v>
      </c>
      <c r="S529" t="e">
        <f ca="1">_xll.BDH($C$528,"SUSTAIN_GROWTH_RT","FQ1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529" s="1" t="e">
        <f ca="1">_xll.BDH($C$528,"SALES_GROWTH","FQ1 2014","FQ1 2014","Currency=INR","Period=FQ","BEST_FPERIOD_OVERRIDE=FQ","FILING_STATUS=OR","EQY_CONSOLIDATED=Y","FA_ADJUSTED=GAAP","Sort=A","Dates=H","DateFormat=P","Fill=—","Direction=H","UseDPDF=Y")</f>
        <v>#NAME?</v>
      </c>
      <c r="U529" s="1" t="e">
        <f ca="1">_xll.BDH($C$528,"EBITDA_GROWTH","FQ1 2014","FQ1 2014","Currency=INR","Period=FQ","BEST_FPERIOD_OVERRIDE=FQ","FILING_STATUS=OR","EQY_CONSOLIDATED=Y","FA_ADJUSTED=GAAP","Sort=A","Dates=H","DateFormat=P","Fill=—","Direction=H","UseDPDF=Y")</f>
        <v>#NAME?</v>
      </c>
      <c r="V529" s="1" t="e">
        <f ca="1">_xll.BDH($C$528,"OPER_INC_GROWTH","FQ1 2014","FQ1 2014","Currency=INR","Period=FQ","BEST_FPERIOD_OVERRIDE=FQ","FILING_STATUS=OR","EQY_CONSOLIDATED=Y","FA_ADJUSTED=GAAP","Sort=A","Dates=H","DateFormat=P","Fill=—","Direction=H","UseDPDF=Y")</f>
        <v>#NAME?</v>
      </c>
      <c r="W529" s="1" t="e">
        <f ca="1">_xll.BDH($C$528,"EARN_FOR_COM_GROWTH","FQ1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29" s="1" t="e">
        <f ca="1">_xll.BDH($C$528,"DILUTED_EPS_AFT_XO_ITEMS_GROWTH","FQ1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29" s="1" t="e">
        <f ca="1">_xll.BDH($C$528,"DIVIDEND_PER_SHARE_1_YEAR_GROWTH","FQ1 2014","FQ1 2014","Currency=INR","Period=FQ","BEST_FPERIOD_OVERRIDE=FQ","FILING_STATUS=OR","EQY_CONSOLIDATED=Y","Sort=A","Dates=H","DateFormat=P","Fill=—","Direction=H","UseDPDF=Y")</f>
        <v>#NAME?</v>
      </c>
      <c r="Z529" s="1" t="e">
        <f ca="1">_xll.BDH($C$528,"ACCOUNTS_RECEIVABLE_GROWTH","FQ1 2014","FQ1 2014","Currency=INR","Period=FQ","BEST_FPERIOD_OVERRIDE=FQ","FILING_STATUS=OR","EQY_CONSOLIDATED=Y","Sort=A","Dates=H","DateFormat=P","Fill=—","Direction=H","UseDPDF=Y")</f>
        <v>#NAME?</v>
      </c>
      <c r="AA529" s="1" t="e">
        <f ca="1">_xll.BDH($C$528,"INVENTORY_GROWTH","FQ1 2014","FQ1 2014","Currency=INR","Period=FQ","BEST_FPERIOD_OVERRIDE=FQ","FILING_STATUS=OR","EQY_CONSOLIDATED=Y","Sort=A","Dates=H","DateFormat=P","Fill=—","Direction=H","UseDPDF=Y")</f>
        <v>#NAME?</v>
      </c>
      <c r="AB529" s="1" t="e">
        <f ca="1">_xll.BDH($C$528,"NET_FIXED_ASSETS_1_YEAR_GROWTH","FQ1 2014","FQ1 2014","Currency=INR","Period=FQ","BEST_FPERIOD_OVERRIDE=FQ","FILING_STATUS=OR","EQY_CONSOLIDATED=Y","Sort=A","Dates=H","DateFormat=P","Fill=—","Direction=H","UseDPDF=Y")</f>
        <v>#NAME?</v>
      </c>
      <c r="AC529" s="1" t="e">
        <f ca="1">_xll.BDH($C$528,"ASSET_GROWTH","FQ1 2014","FQ1 2014","Currency=INR","Period=FQ","BEST_FPERIOD_OVERRIDE=FQ","FILING_STATUS=OR","EQY_CONSOLIDATED=Y","Sort=A","Dates=H","DateFormat=P","Fill=—","Direction=H","UseDPDF=Y")</f>
        <v>#NAME?</v>
      </c>
      <c r="AD529" s="1" t="e">
        <f ca="1">_xll.BDH($C$528,"MODIFIED_WORK_CAP_GROWTH","FQ1 2014","FQ1 2014","Currency=INR","Period=FQ","BEST_FPERIOD_OVERRIDE=FQ","FILING_STATUS=OR","EQY_CONSOLIDATED=Y","Sort=A","Dates=H","DateFormat=P","Fill=—","Direction=H","UseDPDF=Y")</f>
        <v>#NAME?</v>
      </c>
      <c r="AE529" s="1" t="e">
        <f ca="1">_xll.BDH($C$528,"WORK_CAP_GROWTH","FQ1 2014","FQ1 2014","Currency=INR","Period=FQ","BEST_FPERIOD_OVERRIDE=FQ","FILING_STATUS=OR","EQY_CONSOLIDATED=Y","Sort=A","Dates=H","DateFormat=P","Fill=—","Direction=H","UseDPDF=Y")</f>
        <v>#NAME?</v>
      </c>
      <c r="AF529" s="1" t="e">
        <f ca="1">_xll.BDH($C$528,"ACCOUNTS_PAYABLE_GROWTH_1YR","FQ1 2014","FQ1 2014","Currency=INR","Period=FQ","BEST_FPERIOD_OVERRIDE=FQ","FILING_STATUS=OR","EQY_CONSOLIDATED=Y","Sort=A","Dates=H","DateFormat=P","Fill=—","Direction=H","UseDPDF=Y")</f>
        <v>#NAME?</v>
      </c>
      <c r="AG529" s="1" t="e">
        <f ca="1">_xll.BDH($C$528,"SHORT_TERM_DEBT_1_YEAR_GROWTH","FQ1 2014","FQ1 2014","Currency=INR","Period=FQ","BEST_FPERIOD_OVERRIDE=FQ","FILING_STATUS=OR","EQY_CONSOLIDATED=Y","Sort=A","Dates=H","DateFormat=P","Fill=—","Direction=H","UseDPDF=Y")</f>
        <v>#NAME?</v>
      </c>
      <c r="AH529" s="1" t="e">
        <f ca="1">_xll.BDH($C$528,"TOTAL_DEBT_1_YEAR_GROWTH","FQ1 2014","FQ1 2014","Currency=INR","Period=FQ","BEST_FPERIOD_OVERRIDE=FQ","FILING_STATUS=OR","EQY_CONSOLIDATED=Y","Sort=A","Dates=H","DateFormat=P","Fill=—","Direction=H","UseDPDF=Y")</f>
        <v>#NAME?</v>
      </c>
      <c r="AI529" s="1" t="e">
        <f ca="1">_xll.BDH($C$528,"TOTAL_EQUITY_1_YEAR_GROWTH","FQ1 2014","FQ1 2014","Currency=INR","Period=FQ","BEST_FPERIOD_OVERRIDE=FQ","FILING_STATUS=OR","EQY_CONSOLIDATED=Y","Sort=A","Dates=H","DateFormat=P","Fill=—","Direction=H","UseDPDF=Y")</f>
        <v>#NAME?</v>
      </c>
      <c r="AJ529" s="1" t="e">
        <f ca="1">_xll.BDH($C$528,"GROWTH_IN_CAP","FQ1 2014","FQ1 2014","Currency=INR","Period=FQ","BEST_FPERIOD_OVERRIDE=FQ","FILING_STATUS=OR","EQY_CONSOLIDATED=Y","Sort=A","Dates=H","DateFormat=P","Fill=—","Direction=H","UseDPDF=Y")</f>
        <v>#NAME?</v>
      </c>
      <c r="AK529" s="1" t="e">
        <f ca="1">_xll.BDH($C$528,"BVPS_GROWTH","FQ1 2014","FQ1 2014","Currency=INR","Period=FQ","BEST_FPERIOD_OVERRIDE=FQ","FILING_STATUS=OR","EQY_CONSOLIDATED=Y","Sort=A","Dates=H","DateFormat=P","Fill=—","Direction=H","UseDPDF=Y")</f>
        <v>#NAME?</v>
      </c>
      <c r="AL529" s="1" t="e">
        <f ca="1">_xll.BDH($C$528,"CASH_FLOW_GROWTH","FQ1 2014","FQ1 2014","Currency=INR","Period=FQ","BEST_FPERIOD_OVERRIDE=FQ","FILING_STATUS=OR","EQY_CONSOLIDATED=Y","Sort=A","Dates=H","DateFormat=P","Fill=—","Direction=H","UseDPDF=Y")</f>
        <v>#NAME?</v>
      </c>
      <c r="AM529" s="1" t="e">
        <f ca="1">_xll.BDH($C$528,"GEO_GROW_NET_SALES","FQ1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29" s="1" t="e">
        <f ca="1">_xll.BDH($C$528,"GEO_GROW_EBITDA","FQ1 2014","FQ1 2014","Currency=INR","Period=FQ","BEST_FPERIOD_OVERRIDE=FQ","FILING_STATUS=OR","EQY_CONSOLIDATED=Y","FA_ADJUSTED=GAAP","Sort=A","Dates=H","DateFormat=P","Fill=—","Direction=H","UseDPDF=Y")</f>
        <v>#NAME?</v>
      </c>
      <c r="AO529" s="1" t="e">
        <f ca="1">_xll.BDH($C$528,"GEO_GROW_OPER_INC","FQ1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29" s="1" t="e">
        <f ca="1">_xll.BDH($C$528,"NET_INCOME_TO_COMMON_5_YR_GROWTH","FQ1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29" s="1" t="e">
        <f ca="1">_xll.BDH($C$528,"5Y_GEO_GROWTH_DILUTED_EPS","FQ1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29" s="1" t="e">
        <f ca="1">_xll.BDH($C$528,"GEO_GROW_DVD_PER_SH","FQ1 2014","FQ1 2014","Currency=INR","Period=FQ","BEST_FPERIOD_OVERRIDE=FQ","FILING_STATUS=OR","EQY_CONSOLIDATED=Y","Sort=A","Dates=H","DateFormat=P","Fill=—","Direction=H","UseDPDF=Y")</f>
        <v>#NAME?</v>
      </c>
      <c r="AS529" s="1" t="e">
        <f ca="1">_xll.BDH($C$528,"ACCOUNTS_RECEIVABLE_5_YR_GROWTH","FQ1 2014","FQ1 2014","Currency=INR","Period=FQ","BEST_FPERIOD_OVERRIDE=FQ","FILING_STATUS=OR","EQY_CONSOLIDATED=Y","Sort=A","Dates=H","DateFormat=P","Fill=—","Direction=H","UseDPDF=Y")</f>
        <v>#NAME?</v>
      </c>
      <c r="AT529" s="1" t="e">
        <f ca="1">_xll.BDH($C$528,"INVENTORY_5_YEAR_GROWTH","FQ1 2014","FQ1 2014","Currency=INR","Period=FQ","BEST_FPERIOD_OVERRIDE=FQ","FILING_STATUS=OR","EQY_CONSOLIDATED=Y","Sort=A","Dates=H","DateFormat=P","Fill=—","Direction=H","UseDPDF=Y")</f>
        <v>#NAME?</v>
      </c>
      <c r="AU529" s="1" t="e">
        <f ca="1">_xll.BDH($C$528,"NET_FIXED_ASSETS_5_YEAR_GROWTH","FQ1 2014","FQ1 2014","Currency=INR","Period=FQ","BEST_FPERIOD_OVERRIDE=FQ","FILING_STATUS=OR","EQY_CONSOLIDATED=Y","Sort=A","Dates=H","DateFormat=P","Fill=—","Direction=H","UseDPDF=Y")</f>
        <v>#NAME?</v>
      </c>
      <c r="AV529" s="1" t="e">
        <f ca="1">_xll.BDH($C$528,"GEO_GROW_TOT_ASSET","FQ1 2014","FQ1 2014","Currency=INR","Period=FQ","BEST_FPERIOD_OVERRIDE=FQ","FILING_STATUS=OR","EQY_CONSOLIDATED=Y","Sort=A","Dates=H","DateFormat=P","Fill=—","Direction=H","UseDPDF=Y")</f>
        <v>#NAME?</v>
      </c>
      <c r="AW529" s="1" t="e">
        <f ca="1">_xll.BDH($C$528,"MODIFIED_WORKING_CPTL_5YR_GRWTH","FQ1 2014","FQ1 2014","Currency=INR","Period=FQ","BEST_FPERIOD_OVERRIDE=FQ","FILING_STATUS=OR","EQY_CONSOLIDATED=Y","Sort=A","Dates=H","DateFormat=P","Fill=—","Direction=H","UseDPDF=Y")</f>
        <v>#NAME?</v>
      </c>
      <c r="AX529" s="1" t="e">
        <f ca="1">_xll.BDH($C$528,"WORKING_CAPITAL_5_YEAR_GROWTH","FQ1 2014","FQ1 2014","Currency=INR","Period=FQ","BEST_FPERIOD_OVERRIDE=FQ","FILING_STATUS=OR","EQY_CONSOLIDATED=Y","Sort=A","Dates=H","DateFormat=P","Fill=—","Direction=H","UseDPDF=Y")</f>
        <v>#NAME?</v>
      </c>
      <c r="AY529" s="1" t="e">
        <f ca="1">_xll.BDH($C$528,"ACCOUNTS_PAYABLE_5_YEAR_GROWTH","FQ1 2014","FQ1 2014","Currency=INR","Period=FQ","BEST_FPERIOD_OVERRIDE=FQ","FILING_STATUS=OR","EQY_CONSOLIDATED=Y","Sort=A","Dates=H","DateFormat=P","Fill=—","Direction=H","UseDPDF=Y")</f>
        <v>#NAME?</v>
      </c>
      <c r="AZ529" s="1" t="e">
        <f ca="1">_xll.BDH($C$528,"SHORT_TERM_DEBT_5_YEAR_GROWTH","FQ1 2014","FQ1 2014","Currency=INR","Period=FQ","BEST_FPERIOD_OVERRIDE=FQ","FILING_STATUS=OR","EQY_CONSOLIDATED=Y","Sort=A","Dates=H","DateFormat=P","Fill=—","Direction=H","UseDPDF=Y")</f>
        <v>#NAME?</v>
      </c>
      <c r="BA529" s="1" t="e">
        <f ca="1">_xll.BDH($C$528,"TOTAL_DEBT_5_YEAR_GROWTH","FQ1 2014","FQ1 2014","Currency=INR","Period=FQ","BEST_FPERIOD_OVERRIDE=FQ","FILING_STATUS=OR","EQY_CONSOLIDATED=Y","Sort=A","Dates=H","DateFormat=P","Fill=—","Direction=H","UseDPDF=Y")</f>
        <v>#NAME?</v>
      </c>
      <c r="BB529" s="1" t="e">
        <f ca="1">_xll.BDH($C$528,"GEO_GROW_TOT_SHRHLDR_EQY","FQ1 2014","FQ1 2014","Currency=INR","Period=FQ","BEST_FPERIOD_OVERRIDE=FQ","FILING_STATUS=OR","EQY_CONSOLIDATED=Y","Sort=A","Dates=H","DateFormat=P","Fill=—","Direction=H","UseDPDF=Y")</f>
        <v>#NAME?</v>
      </c>
      <c r="BC529" s="1" t="e">
        <f ca="1">_xll.BDH($C$528,"TOTAL_CAPITAL_5_YEAR_GROWTH","FQ1 2014","FQ1 2014","Currency=INR","Period=FQ","BEST_FPERIOD_OVERRIDE=FQ","FILING_STATUS=OR","EQY_CONSOLIDATED=Y","Sort=A","Dates=H","DateFormat=P","Fill=—","Direction=H","UseDPDF=Y")</f>
        <v>#NAME?</v>
      </c>
      <c r="BD529" s="1" t="e">
        <f ca="1">_xll.BDH($C$528,"GEO_GROW_BOOK_VAL","FQ1 2014","FQ1 2014","Currency=INR","Period=FQ","BEST_FPERIOD_OVERRIDE=FQ","FILING_STATUS=OR","EQY_CONSOLIDATED=Y","Sort=A","Dates=H","DateFormat=P","Fill=—","Direction=H","UseDPDF=Y")</f>
        <v>#NAME?</v>
      </c>
      <c r="BE529" s="1" t="e">
        <f ca="1">_xll.BDH($C$528,"GEO_GROW_CASH_OPER_ACT","FQ1 2014","FQ1 2014","Currency=INR","Period=FQ","BEST_FPERIOD_OVERRIDE=FQ","FILING_STATUS=OR","EQY_CONSOLIDATED=Y","Sort=A","Dates=H","DateFormat=P","Fill=—","Direction=H","UseDPDF=Y")</f>
        <v>#NAME?</v>
      </c>
      <c r="BF529" s="1" t="e">
        <f ca="1">_xll.BDH($C$528,"REVENUE_SEQUENTIAL_GROWTH","FQ1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29" s="1" t="e">
        <f ca="1">_xll.BDH($C$528,"EBITDA_SEQUENTIAL_GROWTH","FQ1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29" s="1" t="e">
        <f ca="1">_xll.BDH($C$528,"OPERATING_INCOME_SEQ_GROWTH","FQ1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29" s="1" t="e">
        <f ca="1">_xll.BDH($C$528,"NET_INCOME_TO_COMMON_SEQ_GROWTH","FQ1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29" s="1" t="e">
        <f ca="1">_xll.BDH($C$528,"EPS_DILUTED_SEQUENTIAL_GROWTH","FQ1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29" s="1" t="e">
        <f ca="1">_xll.BDH($C$528,"DPS_SEQUENTIAL_GROWTH","FQ1 2014","FQ1 2014","Currency=INR","Period=FQ","BEST_FPERIOD_OVERRIDE=FQ","FILING_STATUS=OR","EQY_CONSOLIDATED=Y","Sort=A","Dates=H","DateFormat=P","Fill=—","Direction=H","UseDPDF=Y")</f>
        <v>#NAME?</v>
      </c>
      <c r="BL529" s="1" t="e">
        <f ca="1">_xll.BDH($C$528,"ACCOUNTS_RECEIVABLE_SEQ_GROWTH","FQ1 2014","FQ1 2014","Currency=INR","Period=FQ","BEST_FPERIOD_OVERRIDE=FQ","FILING_STATUS=OR","EQY_CONSOLIDATED=Y","Sort=A","Dates=H","DateFormat=P","Fill=—","Direction=H","UseDPDF=Y")</f>
        <v>#NAME?</v>
      </c>
      <c r="BM529" s="1" t="e">
        <f ca="1">_xll.BDH($C$528,"INVENTORY_SEQUENTIAL_GROWTH","FQ1 2014","FQ1 2014","Currency=INR","Period=FQ","BEST_FPERIOD_OVERRIDE=FQ","FILING_STATUS=OR","EQY_CONSOLIDATED=Y","Sort=A","Dates=H","DateFormat=P","Fill=—","Direction=H","UseDPDF=Y")</f>
        <v>#NAME?</v>
      </c>
      <c r="BN529" s="1" t="e">
        <f ca="1">_xll.BDH($C$528,"FIXED_ASSETS_SEQUENTIAL_GROWTH","FQ1 2014","FQ1 2014","Currency=INR","Period=FQ","BEST_FPERIOD_OVERRIDE=FQ","FILING_STATUS=OR","EQY_CONSOLIDATED=Y","Sort=A","Dates=H","DateFormat=P","Fill=—","Direction=H","UseDPDF=Y")</f>
        <v>#NAME?</v>
      </c>
      <c r="BO529" s="1" t="e">
        <f ca="1">_xll.BDH($C$528,"TOTAL_ASSETS_SEQUENTIAL_GROWTH","FQ1 2014","FQ1 2014","Currency=INR","Period=FQ","BEST_FPERIOD_OVERRIDE=FQ","FILING_STATUS=OR","EQY_CONSOLIDATED=Y","Sort=A","Dates=H","DateFormat=P","Fill=—","Direction=H","UseDPDF=Y")</f>
        <v>#NAME?</v>
      </c>
      <c r="BP529" s="1" t="e">
        <f ca="1">_xll.BDH($C$528,"MODIFIED_WORKING_CPTL_SEQ_GRWTH","FQ1 2014","FQ1 2014","Currency=INR","Period=FQ","BEST_FPERIOD_OVERRIDE=FQ","FILING_STATUS=OR","EQY_CONSOLIDATED=Y","Sort=A","Dates=H","DateFormat=P","Fill=—","Direction=H","UseDPDF=Y")</f>
        <v>#NAME?</v>
      </c>
      <c r="BQ529" s="1" t="e">
        <f ca="1">_xll.BDH($C$528,"WORKING_CAPITAL_SEQ_GROWTH","FQ1 2014","FQ1 2014","Currency=INR","Period=FQ","BEST_FPERIOD_OVERRIDE=FQ","FILING_STATUS=OR","EQY_CONSOLIDATED=Y","Sort=A","Dates=H","DateFormat=P","Fill=—","Direction=H","UseDPDF=Y")</f>
        <v>#NAME?</v>
      </c>
      <c r="BR529" s="1" t="e">
        <f ca="1">_xll.BDH($C$528,"ACCOUNTS_PAYABLE_SEQ_GROWTH","FQ1 2014","FQ1 2014","Currency=INR","Period=FQ","BEST_FPERIOD_OVERRIDE=FQ","FILING_STATUS=OR","EQY_CONSOLIDATED=Y","Sort=A","Dates=H","DateFormat=P","Fill=—","Direction=H","UseDPDF=Y")</f>
        <v>#NAME?</v>
      </c>
      <c r="BS529" s="1" t="e">
        <f ca="1">_xll.BDH($C$528,"ST_DEBT_SEQUENTIAL_GROWTH","FQ1 2014","FQ1 2014","Currency=INR","Period=FQ","BEST_FPERIOD_OVERRIDE=FQ","FILING_STATUS=OR","EQY_CONSOLIDATED=Y","Sort=A","Dates=H","DateFormat=P","Fill=—","Direction=H","UseDPDF=Y")</f>
        <v>#NAME?</v>
      </c>
      <c r="BT529" s="1" t="e">
        <f ca="1">_xll.BDH($C$528,"TOTAL_DEBT_SEQUENTIAL_GROWTH","FQ1 2014","FQ1 2014","Currency=INR","Period=FQ","BEST_FPERIOD_OVERRIDE=FQ","FILING_STATUS=OR","EQY_CONSOLIDATED=Y","Sort=A","Dates=H","DateFormat=P","Fill=—","Direction=H","UseDPDF=Y")</f>
        <v>#NAME?</v>
      </c>
      <c r="BU529" s="1" t="e">
        <f ca="1">_xll.BDH($C$528,"TOTAL_EQUITY_SEQUENTIAL_GROWTH","FQ1 2014","FQ1 2014","Currency=INR","Period=FQ","BEST_FPERIOD_OVERRIDE=FQ","FILING_STATUS=OR","EQY_CONSOLIDATED=Y","Sort=A","Dates=H","DateFormat=P","Fill=—","Direction=H","UseDPDF=Y")</f>
        <v>#NAME?</v>
      </c>
      <c r="BV529" s="1" t="e">
        <f ca="1">_xll.BDH($C$528,"TOTAL_CAPITAL_SEQUENTIAL_GROWTH","FQ1 2014","FQ1 2014","Currency=INR","Period=FQ","BEST_FPERIOD_OVERRIDE=FQ","FILING_STATUS=OR","EQY_CONSOLIDATED=Y","Sort=A","Dates=H","DateFormat=P","Fill=—","Direction=H","UseDPDF=Y")</f>
        <v>#NAME?</v>
      </c>
      <c r="BW529" s="1" t="e">
        <f ca="1">_xll.BDH($C$528,"BPS_SEQUENTIAL_GROWTH","FQ1 2014","FQ1 2014","Currency=INR","Period=FQ","BEST_FPERIOD_OVERRIDE=FQ","FILING_STATUS=OR","EQY_CONSOLIDATED=Y","Sort=A","Dates=H","DateFormat=P","Fill=—","Direction=H","UseDPDF=Y")</f>
        <v>#NAME?</v>
      </c>
      <c r="BX529" s="1" t="e">
        <f ca="1">_xll.BDH($C$528,"CFO_SEQUENTIAL_GROWTH","FQ1 2014","FQ1 2014","Currency=INR","Period=FQ","BEST_FPERIOD_OVERRIDE=FQ","FILING_STATUS=OR","EQY_CONSOLIDATED=Y","Sort=A","Dates=H","DateFormat=P","Fill=—","Direction=H","UseDPDF=Y")</f>
        <v>#NAME?</v>
      </c>
      <c r="BY529" s="2" t="e">
        <f ca="1">_xll.BDH($C$528,"SHORT_AND_LONG_TERM_DEBT","FQ1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29" s="2" t="e">
        <f ca="1">_xll.BDH($C$528,"BS_ST_BORROW","FQ1 2014","FQ1 2014","Currency=INR","Period=FQ","BEST_FPERIOD_OVERRIDE=FQ","FILING_STATUS=OR","EQY_CONSOLIDATED=Y","SCALING_FORMAT=MLN","Sort=A","Dates=H","DateFormat=P","Fill=—","Direction=H","UseDPDF=Y")</f>
        <v>#NAME?</v>
      </c>
      <c r="CA529" s="2" t="e">
        <f ca="1">_xll.BDH($C$528,"BS_LT_BORROW","FQ1 2014","FQ1 2014","Currency=INR","Period=FQ","BEST_FPERIOD_OVERRIDE=FQ","FILING_STATUS=OR","EQY_CONSOLIDATED=Y","SCALING_FORMAT=MLN","Sort=A","Dates=H","DateFormat=P","Fill=—","Direction=H","UseDPDF=Y")</f>
        <v>#NAME?</v>
      </c>
      <c r="CB529" s="1" t="e">
        <f ca="1">_xll.BDH($C$528,"TOT_DEBT_TO_EBITDA","FQ1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29" s="1" t="e">
        <f ca="1">_xll.BDH($C$528,"NET_DEBT_TO_EBITDA","FQ1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29" s="1" t="e">
        <f ca="1">_xll.BDH($C$528,"TOTAL_DEBT_TO_EBIT","FQ1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29" s="1" t="e">
        <f ca="1">_xll.BDH($C$528,"NET_DEBT_TO_EBIT","FQ1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529" s="1" t="e">
        <f ca="1">_xll.BDH($C$528,"EBITDA_TO_INTEREST_EXPN","FQ1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29" s="1" t="e">
        <f ca="1">_xll.BDH($C$528,"COM_EQY_TO_TOT_ASSET","FQ1 2014","FQ1 2014","Currency=INR","Period=FQ","BEST_FPERIOD_OVERRIDE=FQ","FILING_STATUS=OR","EQY_CONSOLIDATED=Y","Sort=A","Dates=H","DateFormat=P","Fill=—","Direction=H","UseDPDF=Y")</f>
        <v>#NAME?</v>
      </c>
      <c r="CH529" s="1" t="e">
        <f ca="1">_xll.BDH($C$528,"LT_DEBT_TO_TOT_EQY","FQ1 2014","FQ1 2014","Currency=INR","Period=FQ","BEST_FPERIOD_OVERRIDE=FQ","FILING_STATUS=OR","EQY_CONSOLIDATED=Y","Sort=A","Dates=H","DateFormat=P","Fill=—","Direction=H","UseDPDF=Y")</f>
        <v>#NAME?</v>
      </c>
      <c r="CI529" s="1" t="e">
        <f ca="1">_xll.BDH($C$528,"LT_DEBT_TO_TOT_CAP","FQ1 2014","FQ1 2014","Currency=INR","Period=FQ","BEST_FPERIOD_OVERRIDE=FQ","FILING_STATUS=OR","EQY_CONSOLIDATED=Y","Sort=A","Dates=H","DateFormat=P","Fill=—","Direction=H","UseDPDF=Y")</f>
        <v>#NAME?</v>
      </c>
      <c r="CJ529" s="1" t="e">
        <f ca="1">_xll.BDH($C$528,"LT_DEBT_TO_TOT_ASSET","FQ1 2014","FQ1 2014","Currency=INR","Period=FQ","BEST_FPERIOD_OVERRIDE=FQ","FILING_STATUS=OR","EQY_CONSOLIDATED=Y","Sort=A","Dates=H","DateFormat=P","Fill=—","Direction=H","UseDPDF=Y")</f>
        <v>#NAME?</v>
      </c>
      <c r="CK529" s="1" t="e">
        <f ca="1">_xll.BDH($C$528,"TOT_DEBT_TO_TOT_EQY","FQ1 2014","FQ1 2014","Currency=INR","Period=FQ","BEST_FPERIOD_OVERRIDE=FQ","FILING_STATUS=OR","EQY_CONSOLIDATED=Y","Sort=A","Dates=H","DateFormat=P","Fill=—","Direction=H","UseDPDF=Y")</f>
        <v>#NAME?</v>
      </c>
      <c r="CL529" s="1" t="e">
        <f ca="1">_xll.BDH($C$528,"TOT_DEBT_TO_TOT_CAP","FQ1 2014","FQ1 2014","Currency=INR","Period=FQ","BEST_FPERIOD_OVERRIDE=FQ","FILING_STATUS=OR","EQY_CONSOLIDATED=Y","Sort=A","Dates=H","DateFormat=P","Fill=—","Direction=H","UseDPDF=Y")</f>
        <v>#NAME?</v>
      </c>
      <c r="CM529" s="1" t="e">
        <f ca="1">_xll.BDH($C$528,"TOT_DEBT_TO_TOT_ASSET","FQ1 2014","FQ1 2014","Currency=INR","Period=FQ","BEST_FPERIOD_OVERRIDE=FQ","FILING_STATUS=OR","EQY_CONSOLIDATED=Y","Sort=A","Dates=H","DateFormat=P","Fill=—","Direction=H","UseDPDF=Y")</f>
        <v>#NAME?</v>
      </c>
      <c r="CN529" s="1" t="e">
        <f ca="1">_xll.BDH($C$528,"NET_DEBT_TO_SHRHLDR_EQTY","FQ1 2014","FQ1 2014","Currency=INR","Period=FQ","BEST_FPERIOD_OVERRIDE=FQ","FILING_STATUS=OR","EQY_CONSOLIDATED=Y","Sort=A","Dates=H","DateFormat=P","Fill=—","Direction=H","UseDPDF=Y")</f>
        <v>#NAME?</v>
      </c>
      <c r="CO529" s="1" t="e">
        <f ca="1">_xll.BDH($C$528,"NET_DEBT_%_CAPITAL","FQ1 2014","FQ1 2014","Currency=INR","Period=FQ","BEST_FPERIOD_OVERRIDE=FQ","FILING_STATUS=OR","EQY_CONSOLIDATED=Y","Sort=A","Dates=H","DateFormat=P","Fill=—","Direction=H","UseDPDF=Y")</f>
        <v>#NAME?</v>
      </c>
      <c r="CP529" s="2" t="e">
        <f ca="1">_xll.BDH($C$528,"EBITDA","FQ1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29" s="2" t="e">
        <f ca="1">_xll.BDH($C$528,"EBITDA_AFTER_CAPEX","FQ1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29" s="2" t="e">
        <f ca="1">_xll.BDH($C$528,"IS_OPER_INC","FQ1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29" s="1" t="e">
        <f ca="1">_xll.BDH($C$528,"CASH_RATIO","FQ1 2014","FQ1 2014","Currency=INR","Period=FQ","BEST_FPERIOD_OVERRIDE=FQ","FILING_STATUS=OR","EQY_CONSOLIDATED=Y","Sort=A","Dates=H","DateFormat=P","Fill=—","Direction=H","UseDPDF=Y")</f>
        <v>#NAME?</v>
      </c>
      <c r="CT529" s="1" t="e">
        <f ca="1">_xll.BDH($C$528,"CUR_RATIO","FQ1 2014","FQ1 2014","Currency=INR","Period=FQ","BEST_FPERIOD_OVERRIDE=FQ","FILING_STATUS=OR","EQY_CONSOLIDATED=Y","Sort=A","Dates=H","DateFormat=P","Fill=—","Direction=H","UseDPDF=Y")</f>
        <v>#NAME?</v>
      </c>
      <c r="CU529" s="1" t="e">
        <f ca="1">_xll.BDH($C$528,"QUICK_RATIO","FQ1 2014","FQ1 2014","Currency=INR","Period=FQ","BEST_FPERIOD_OVERRIDE=FQ","FILING_STATUS=OR","EQY_CONSOLIDATED=Y","Sort=A","Dates=H","DateFormat=P","Fill=—","Direction=H","UseDPDF=Y")</f>
        <v>#NAME?</v>
      </c>
      <c r="CV529" s="1" t="e">
        <f ca="1">_xll.BDH($C$528,"ALTMAN_Z_SCORE","FQ1 2014","FQ1 2014","Currency=INR","Period=FQ","BEST_FPERIOD_OVERRIDE=FQ","FILING_STATUS=OR","EQY_CONSOLIDATED=Y","Sort=A","Dates=H","DateFormat=P","Fill=—","Direction=H","UseDPDF=Y")</f>
        <v>#NAME?</v>
      </c>
      <c r="CW529" s="3" t="e">
        <f ca="1">_xll.BDH($C$528,"ACCT_RCV_TURN","FQ1 2014","FQ1 2014","Currency=INR","Period=FQ","BEST_FPERIOD_OVERRIDE=FQ","FILING_STATUS=OR","EQY_CONSOLIDATED=Y","FA_ADJUSTED=GAAP","Sort=A","Dates=H","DateFormat=P","Fill=—","Direction=H","UseDPDF=Y")</f>
        <v>#NAME?</v>
      </c>
      <c r="CX529" s="1" t="e">
        <f ca="1">_xll.BDH($C$528,"ACCT_RCV_DAYS","FQ1 2014","FQ1 2014","Currency=INR","Period=FQ","BEST_FPERIOD_OVERRIDE=FQ","FILING_STATUS=OR","EQY_CONSOLIDATED=Y","FA_ADJUSTED=GAAP","Sort=A","Dates=H","DateFormat=P","Fill=—","Direction=H","UseDPDF=Y")</f>
        <v>#NAME?</v>
      </c>
      <c r="CY529" s="3" t="e">
        <f ca="1">_xll.BDH($C$528,"INVENT_TURN","FQ1 2014","FQ1 2014","Currency=INR","Period=FQ","BEST_FPERIOD_OVERRIDE=FQ","FILING_STATUS=OR","EQY_CONSOLIDATED=Y","FA_ADJUSTED=GAAP","Sort=A","Dates=H","DateFormat=P","Fill=—","Direction=H","UseDPDF=Y")</f>
        <v>#NAME?</v>
      </c>
      <c r="CZ529" s="1" t="e">
        <f ca="1">_xll.BDH($C$528,"INVENT_DAYS","FQ1 2014","FQ1 2014","Currency=INR","Period=FQ","BEST_FPERIOD_OVERRIDE=FQ","FILING_STATUS=OR","EQY_CONSOLIDATED=Y","FA_ADJUSTED=GAAP","Sort=A","Dates=H","DateFormat=P","Fill=—","Direction=H","UseDPDF=Y")</f>
        <v>#NAME?</v>
      </c>
      <c r="DA529" s="3" t="e">
        <f ca="1">_xll.BDH($C$528,"ACCOUNTS_PAYABLE_TURNOVER","FQ1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29" s="1" t="e">
        <f ca="1">_xll.BDH($C$528,"ACCOUNTS_PAYABLE_TURNOVER_DAYS","FQ1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29" s="3" t="e">
        <f ca="1">_xll.BDH($C$528,"CASH_CONVERSION_CYCLE","FQ1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29" s="3" t="e">
        <f ca="1">_xll.BDH($C$528,"INV_TO_CASH_DAYS","FQ1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529" s="4" t="e">
        <f ca="1">_xll.BDH($C$528,"BS_INVENTORIES","FQ1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529" s="2" t="e">
        <f ca="1">_xll.BDH($C$528,"INVTRY_RAW_MATERIALS","FQ1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29" s="2" t="e">
        <f ca="1">_xll.BDH($C$528,"INVTRY_IN_PROGRESS","FQ1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29" s="2" t="e">
        <f ca="1">_xll.BDH($C$528,"INVTRY_FINISHED_GOODS","FQ1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29" s="2" t="e">
        <f ca="1">_xll.BDH($C$528,"BS_OTHER_INV","FQ1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30" spans="1:113" x14ac:dyDescent="0.3">
      <c r="A530" s="6"/>
      <c r="B530" s="6"/>
      <c r="C530" s="6"/>
      <c r="D530" s="6"/>
      <c r="E530" t="s">
        <v>5</v>
      </c>
      <c r="F530" t="e">
        <f ca="1">_xll.BDH($C$528,"RETURN_COM_EQY","FQ2 2014","FQ2 2014","Currency=INR","Period=FQ","BEST_FPERIOD_OVERRIDE=FQ","FILING_STATUS=OR","EQY_CONSOLIDATED=Y","FA_ADJUSTED=GAAP","Sort=A","Dates=H","DateFormat=P","Fill=—","Direction=H","UseDPDF=Y")</f>
        <v>#NAME?</v>
      </c>
      <c r="G530" t="e">
        <f ca="1">_xll.BDH($C$528,"RETURN_ON_ASSET","FQ2 2014","FQ2 2014","Currency=INR","Period=FQ","BEST_FPERIOD_OVERRIDE=FQ","FILING_STATUS=OR","EQY_CONSOLIDATED=Y","FA_ADJUSTED=GAAP","Sort=A","Dates=H","DateFormat=P","Fill=—","Direction=H","UseDPDF=Y")</f>
        <v>#NAME?</v>
      </c>
      <c r="H530" t="e">
        <f ca="1">_xll.BDH($C$528,"RETURN_ON_CAP","FQ2 2014","FQ2 2014","Currency=INR","Period=FQ","BEST_FPERIOD_OVERRIDE=FQ","FILING_STATUS=OR","EQY_CONSOLIDATED=Y","FA_ADJUSTED=GAAP","Sort=A","Dates=H","DateFormat=P","Fill=—","Direction=H","UseDPDF=Y")</f>
        <v>#NAME?</v>
      </c>
      <c r="I530" t="e">
        <f ca="1">_xll.BDH($C$528,"RETURN_ON_INV_CAPITAL","FQ2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30" t="e">
        <f ca="1">_xll.BDH($C$528,"EBITDA_TO_REVENUE","FQ2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530" t="e">
        <f ca="1">_xll.BDH($C$528,"OPER_MARGIN","FQ2 2014","FQ2 2014","Currency=INR","Period=FQ","BEST_FPERIOD_OVERRIDE=FQ","FILING_STATUS=OR","EQY_CONSOLIDATED=Y","FA_ADJUSTED=GAAP","Sort=A","Dates=H","DateFormat=P","Fill=—","Direction=H","UseDPDF=Y")</f>
        <v>#NAME?</v>
      </c>
      <c r="L530" t="e">
        <f ca="1">_xll.BDH($C$528,"INCREMENTAL_OPERATING_MARGIN","FQ2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30" t="e">
        <f ca="1">_xll.BDH($C$528,"PRETAX_INC_TO_NET_SALES","FQ2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30" t="e">
        <f ca="1">_xll.BDH($C$528,"INC_BEF_XO_ITEMS_TO_NET_SALES","FQ2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30" t="e">
        <f ca="1">_xll.BDH($C$528,"PROF_MARGIN","FQ2 2014","FQ2 2014","Currency=INR","Period=FQ","BEST_FPERIOD_OVERRIDE=FQ","FILING_STATUS=OR","EQY_CONSOLIDATED=Y","FA_ADJUSTED=GAAP","Sort=A","Dates=H","DateFormat=P","Fill=—","Direction=H","UseDPDF=Y")</f>
        <v>#NAME?</v>
      </c>
      <c r="P530" t="e">
        <f ca="1">_xll.BDH($C$528,"NET_INCOME_TO_COMMON_MARGIN","FQ2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30" t="e">
        <f ca="1">_xll.BDH($C$528,"EFF_TAX_RATE","FQ2 2014","FQ2 2014","Currency=INR","Period=FQ","BEST_FPERIOD_OVERRIDE=FQ","FILING_STATUS=OR","EQY_CONSOLIDATED=Y","FA_ADJUSTED=GAAP","Sort=A","Dates=H","DateFormat=P","Fill=—","Direction=H","UseDPDF=Y")</f>
        <v>#NAME?</v>
      </c>
      <c r="R530" t="e">
        <f ca="1">_xll.BDH($C$528,"DVD_PAYOUT_RATIO","FQ2 2014","FQ2 2014","Currency=INR","Period=FQ","BEST_FPERIOD_OVERRIDE=FQ","FILING_STATUS=OR","EQY_CONSOLIDATED=Y","FA_ADJUSTED=GAAP","Sort=A","Dates=H","DateFormat=P","Fill=—","Direction=H","UseDPDF=Y")</f>
        <v>#NAME?</v>
      </c>
      <c r="S530" t="e">
        <f ca="1">_xll.BDH($C$528,"SUSTAIN_GROWTH_RT","FQ2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530" s="1" t="e">
        <f ca="1">_xll.BDH($C$528,"SALES_GROWTH","FQ2 2014","FQ2 2014","Currency=INR","Period=FQ","BEST_FPERIOD_OVERRIDE=FQ","FILING_STATUS=OR","EQY_CONSOLIDATED=Y","FA_ADJUSTED=GAAP","Sort=A","Dates=H","DateFormat=P","Fill=—","Direction=H","UseDPDF=Y")</f>
        <v>#NAME?</v>
      </c>
      <c r="U530" s="1" t="e">
        <f ca="1">_xll.BDH($C$528,"EBITDA_GROWTH","FQ2 2014","FQ2 2014","Currency=INR","Period=FQ","BEST_FPERIOD_OVERRIDE=FQ","FILING_STATUS=OR","EQY_CONSOLIDATED=Y","FA_ADJUSTED=GAAP","Sort=A","Dates=H","DateFormat=P","Fill=—","Direction=H","UseDPDF=Y")</f>
        <v>#NAME?</v>
      </c>
      <c r="V530" s="1" t="e">
        <f ca="1">_xll.BDH($C$528,"OPER_INC_GROWTH","FQ2 2014","FQ2 2014","Currency=INR","Period=FQ","BEST_FPERIOD_OVERRIDE=FQ","FILING_STATUS=OR","EQY_CONSOLIDATED=Y","FA_ADJUSTED=GAAP","Sort=A","Dates=H","DateFormat=P","Fill=—","Direction=H","UseDPDF=Y")</f>
        <v>#NAME?</v>
      </c>
      <c r="W530" s="1" t="e">
        <f ca="1">_xll.BDH($C$528,"EARN_FOR_COM_GROWTH","FQ2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30" s="1" t="e">
        <f ca="1">_xll.BDH($C$528,"DILUTED_EPS_AFT_XO_ITEMS_GROWTH","FQ2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30" s="1" t="e">
        <f ca="1">_xll.BDH($C$528,"DIVIDEND_PER_SHARE_1_YEAR_GROWTH","FQ2 2014","FQ2 2014","Currency=INR","Period=FQ","BEST_FPERIOD_OVERRIDE=FQ","FILING_STATUS=OR","EQY_CONSOLIDATED=Y","Sort=A","Dates=H","DateFormat=P","Fill=—","Direction=H","UseDPDF=Y")</f>
        <v>#NAME?</v>
      </c>
      <c r="Z530" s="1" t="e">
        <f ca="1">_xll.BDH($C$528,"ACCOUNTS_RECEIVABLE_GROWTH","FQ2 2014","FQ2 2014","Currency=INR","Period=FQ","BEST_FPERIOD_OVERRIDE=FQ","FILING_STATUS=OR","EQY_CONSOLIDATED=Y","Sort=A","Dates=H","DateFormat=P","Fill=—","Direction=H","UseDPDF=Y")</f>
        <v>#NAME?</v>
      </c>
      <c r="AA530" s="1" t="e">
        <f ca="1">_xll.BDH($C$528,"INVENTORY_GROWTH","FQ2 2014","FQ2 2014","Currency=INR","Period=FQ","BEST_FPERIOD_OVERRIDE=FQ","FILING_STATUS=OR","EQY_CONSOLIDATED=Y","Sort=A","Dates=H","DateFormat=P","Fill=—","Direction=H","UseDPDF=Y")</f>
        <v>#NAME?</v>
      </c>
      <c r="AB530" s="1" t="e">
        <f ca="1">_xll.BDH($C$528,"NET_FIXED_ASSETS_1_YEAR_GROWTH","FQ2 2014","FQ2 2014","Currency=INR","Period=FQ","BEST_FPERIOD_OVERRIDE=FQ","FILING_STATUS=OR","EQY_CONSOLIDATED=Y","Sort=A","Dates=H","DateFormat=P","Fill=—","Direction=H","UseDPDF=Y")</f>
        <v>#NAME?</v>
      </c>
      <c r="AC530" s="1" t="e">
        <f ca="1">_xll.BDH($C$528,"ASSET_GROWTH","FQ2 2014","FQ2 2014","Currency=INR","Period=FQ","BEST_FPERIOD_OVERRIDE=FQ","FILING_STATUS=OR","EQY_CONSOLIDATED=Y","Sort=A","Dates=H","DateFormat=P","Fill=—","Direction=H","UseDPDF=Y")</f>
        <v>#NAME?</v>
      </c>
      <c r="AD530" s="1" t="e">
        <f ca="1">_xll.BDH($C$528,"MODIFIED_WORK_CAP_GROWTH","FQ2 2014","FQ2 2014","Currency=INR","Period=FQ","BEST_FPERIOD_OVERRIDE=FQ","FILING_STATUS=OR","EQY_CONSOLIDATED=Y","Sort=A","Dates=H","DateFormat=P","Fill=—","Direction=H","UseDPDF=Y")</f>
        <v>#NAME?</v>
      </c>
      <c r="AE530" s="1" t="e">
        <f ca="1">_xll.BDH($C$528,"WORK_CAP_GROWTH","FQ2 2014","FQ2 2014","Currency=INR","Period=FQ","BEST_FPERIOD_OVERRIDE=FQ","FILING_STATUS=OR","EQY_CONSOLIDATED=Y","Sort=A","Dates=H","DateFormat=P","Fill=—","Direction=H","UseDPDF=Y")</f>
        <v>#NAME?</v>
      </c>
      <c r="AF530" s="1" t="e">
        <f ca="1">_xll.BDH($C$528,"ACCOUNTS_PAYABLE_GROWTH_1YR","FQ2 2014","FQ2 2014","Currency=INR","Period=FQ","BEST_FPERIOD_OVERRIDE=FQ","FILING_STATUS=OR","EQY_CONSOLIDATED=Y","Sort=A","Dates=H","DateFormat=P","Fill=—","Direction=H","UseDPDF=Y")</f>
        <v>#NAME?</v>
      </c>
      <c r="AG530" s="1" t="e">
        <f ca="1">_xll.BDH($C$528,"SHORT_TERM_DEBT_1_YEAR_GROWTH","FQ2 2014","FQ2 2014","Currency=INR","Period=FQ","BEST_FPERIOD_OVERRIDE=FQ","FILING_STATUS=OR","EQY_CONSOLIDATED=Y","Sort=A","Dates=H","DateFormat=P","Fill=—","Direction=H","UseDPDF=Y")</f>
        <v>#NAME?</v>
      </c>
      <c r="AH530" s="1" t="e">
        <f ca="1">_xll.BDH($C$528,"TOTAL_DEBT_1_YEAR_GROWTH","FQ2 2014","FQ2 2014","Currency=INR","Period=FQ","BEST_FPERIOD_OVERRIDE=FQ","FILING_STATUS=OR","EQY_CONSOLIDATED=Y","Sort=A","Dates=H","DateFormat=P","Fill=—","Direction=H","UseDPDF=Y")</f>
        <v>#NAME?</v>
      </c>
      <c r="AI530" s="1" t="e">
        <f ca="1">_xll.BDH($C$528,"TOTAL_EQUITY_1_YEAR_GROWTH","FQ2 2014","FQ2 2014","Currency=INR","Period=FQ","BEST_FPERIOD_OVERRIDE=FQ","FILING_STATUS=OR","EQY_CONSOLIDATED=Y","Sort=A","Dates=H","DateFormat=P","Fill=—","Direction=H","UseDPDF=Y")</f>
        <v>#NAME?</v>
      </c>
      <c r="AJ530" s="1" t="e">
        <f ca="1">_xll.BDH($C$528,"GROWTH_IN_CAP","FQ2 2014","FQ2 2014","Currency=INR","Period=FQ","BEST_FPERIOD_OVERRIDE=FQ","FILING_STATUS=OR","EQY_CONSOLIDATED=Y","Sort=A","Dates=H","DateFormat=P","Fill=—","Direction=H","UseDPDF=Y")</f>
        <v>#NAME?</v>
      </c>
      <c r="AK530" s="1" t="e">
        <f ca="1">_xll.BDH($C$528,"BVPS_GROWTH","FQ2 2014","FQ2 2014","Currency=INR","Period=FQ","BEST_FPERIOD_OVERRIDE=FQ","FILING_STATUS=OR","EQY_CONSOLIDATED=Y","Sort=A","Dates=H","DateFormat=P","Fill=—","Direction=H","UseDPDF=Y")</f>
        <v>#NAME?</v>
      </c>
      <c r="AL530" s="1" t="e">
        <f ca="1">_xll.BDH($C$528,"CASH_FLOW_GROWTH","FQ2 2014","FQ2 2014","Currency=INR","Period=FQ","BEST_FPERIOD_OVERRIDE=FQ","FILING_STATUS=OR","EQY_CONSOLIDATED=Y","Sort=A","Dates=H","DateFormat=P","Fill=—","Direction=H","UseDPDF=Y")</f>
        <v>#NAME?</v>
      </c>
      <c r="AM530" s="1" t="e">
        <f ca="1">_xll.BDH($C$528,"GEO_GROW_NET_SALES","FQ2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30" s="1" t="e">
        <f ca="1">_xll.BDH($C$528,"GEO_GROW_EBITDA","FQ2 2014","FQ2 2014","Currency=INR","Period=FQ","BEST_FPERIOD_OVERRIDE=FQ","FILING_STATUS=OR","EQY_CONSOLIDATED=Y","FA_ADJUSTED=GAAP","Sort=A","Dates=H","DateFormat=P","Fill=—","Direction=H","UseDPDF=Y")</f>
        <v>#NAME?</v>
      </c>
      <c r="AO530" s="1" t="e">
        <f ca="1">_xll.BDH($C$528,"GEO_GROW_OPER_INC","FQ2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30" s="1" t="e">
        <f ca="1">_xll.BDH($C$528,"NET_INCOME_TO_COMMON_5_YR_GROWTH","FQ2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30" s="1" t="e">
        <f ca="1">_xll.BDH($C$528,"5Y_GEO_GROWTH_DILUTED_EPS","FQ2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30" s="1" t="e">
        <f ca="1">_xll.BDH($C$528,"GEO_GROW_DVD_PER_SH","FQ2 2014","FQ2 2014","Currency=INR","Period=FQ","BEST_FPERIOD_OVERRIDE=FQ","FILING_STATUS=OR","EQY_CONSOLIDATED=Y","Sort=A","Dates=H","DateFormat=P","Fill=—","Direction=H","UseDPDF=Y")</f>
        <v>#NAME?</v>
      </c>
      <c r="AS530" s="1" t="e">
        <f ca="1">_xll.BDH($C$528,"ACCOUNTS_RECEIVABLE_5_YR_GROWTH","FQ2 2014","FQ2 2014","Currency=INR","Period=FQ","BEST_FPERIOD_OVERRIDE=FQ","FILING_STATUS=OR","EQY_CONSOLIDATED=Y","Sort=A","Dates=H","DateFormat=P","Fill=—","Direction=H","UseDPDF=Y")</f>
        <v>#NAME?</v>
      </c>
      <c r="AT530" s="1" t="e">
        <f ca="1">_xll.BDH($C$528,"INVENTORY_5_YEAR_GROWTH","FQ2 2014","FQ2 2014","Currency=INR","Period=FQ","BEST_FPERIOD_OVERRIDE=FQ","FILING_STATUS=OR","EQY_CONSOLIDATED=Y","Sort=A","Dates=H","DateFormat=P","Fill=—","Direction=H","UseDPDF=Y")</f>
        <v>#NAME?</v>
      </c>
      <c r="AU530" s="1" t="e">
        <f ca="1">_xll.BDH($C$528,"NET_FIXED_ASSETS_5_YEAR_GROWTH","FQ2 2014","FQ2 2014","Currency=INR","Period=FQ","BEST_FPERIOD_OVERRIDE=FQ","FILING_STATUS=OR","EQY_CONSOLIDATED=Y","Sort=A","Dates=H","DateFormat=P","Fill=—","Direction=H","UseDPDF=Y")</f>
        <v>#NAME?</v>
      </c>
      <c r="AV530" s="1" t="e">
        <f ca="1">_xll.BDH($C$528,"GEO_GROW_TOT_ASSET","FQ2 2014","FQ2 2014","Currency=INR","Period=FQ","BEST_FPERIOD_OVERRIDE=FQ","FILING_STATUS=OR","EQY_CONSOLIDATED=Y","Sort=A","Dates=H","DateFormat=P","Fill=—","Direction=H","UseDPDF=Y")</f>
        <v>#NAME?</v>
      </c>
      <c r="AW530" s="1" t="e">
        <f ca="1">_xll.BDH($C$528,"MODIFIED_WORKING_CPTL_5YR_GRWTH","FQ2 2014","FQ2 2014","Currency=INR","Period=FQ","BEST_FPERIOD_OVERRIDE=FQ","FILING_STATUS=OR","EQY_CONSOLIDATED=Y","Sort=A","Dates=H","DateFormat=P","Fill=—","Direction=H","UseDPDF=Y")</f>
        <v>#NAME?</v>
      </c>
      <c r="AX530" s="1" t="e">
        <f ca="1">_xll.BDH($C$528,"WORKING_CAPITAL_5_YEAR_GROWTH","FQ2 2014","FQ2 2014","Currency=INR","Period=FQ","BEST_FPERIOD_OVERRIDE=FQ","FILING_STATUS=OR","EQY_CONSOLIDATED=Y","Sort=A","Dates=H","DateFormat=P","Fill=—","Direction=H","UseDPDF=Y")</f>
        <v>#NAME?</v>
      </c>
      <c r="AY530" s="1" t="e">
        <f ca="1">_xll.BDH($C$528,"ACCOUNTS_PAYABLE_5_YEAR_GROWTH","FQ2 2014","FQ2 2014","Currency=INR","Period=FQ","BEST_FPERIOD_OVERRIDE=FQ","FILING_STATUS=OR","EQY_CONSOLIDATED=Y","Sort=A","Dates=H","DateFormat=P","Fill=—","Direction=H","UseDPDF=Y")</f>
        <v>#NAME?</v>
      </c>
      <c r="AZ530" s="1" t="e">
        <f ca="1">_xll.BDH($C$528,"SHORT_TERM_DEBT_5_YEAR_GROWTH","FQ2 2014","FQ2 2014","Currency=INR","Period=FQ","BEST_FPERIOD_OVERRIDE=FQ","FILING_STATUS=OR","EQY_CONSOLIDATED=Y","Sort=A","Dates=H","DateFormat=P","Fill=—","Direction=H","UseDPDF=Y")</f>
        <v>#NAME?</v>
      </c>
      <c r="BA530" s="1" t="e">
        <f ca="1">_xll.BDH($C$528,"TOTAL_DEBT_5_YEAR_GROWTH","FQ2 2014","FQ2 2014","Currency=INR","Period=FQ","BEST_FPERIOD_OVERRIDE=FQ","FILING_STATUS=OR","EQY_CONSOLIDATED=Y","Sort=A","Dates=H","DateFormat=P","Fill=—","Direction=H","UseDPDF=Y")</f>
        <v>#NAME?</v>
      </c>
      <c r="BB530" s="1" t="e">
        <f ca="1">_xll.BDH($C$528,"GEO_GROW_TOT_SHRHLDR_EQY","FQ2 2014","FQ2 2014","Currency=INR","Period=FQ","BEST_FPERIOD_OVERRIDE=FQ","FILING_STATUS=OR","EQY_CONSOLIDATED=Y","Sort=A","Dates=H","DateFormat=P","Fill=—","Direction=H","UseDPDF=Y")</f>
        <v>#NAME?</v>
      </c>
      <c r="BC530" s="1" t="e">
        <f ca="1">_xll.BDH($C$528,"TOTAL_CAPITAL_5_YEAR_GROWTH","FQ2 2014","FQ2 2014","Currency=INR","Period=FQ","BEST_FPERIOD_OVERRIDE=FQ","FILING_STATUS=OR","EQY_CONSOLIDATED=Y","Sort=A","Dates=H","DateFormat=P","Fill=—","Direction=H","UseDPDF=Y")</f>
        <v>#NAME?</v>
      </c>
      <c r="BD530" s="1" t="e">
        <f ca="1">_xll.BDH($C$528,"GEO_GROW_BOOK_VAL","FQ2 2014","FQ2 2014","Currency=INR","Period=FQ","BEST_FPERIOD_OVERRIDE=FQ","FILING_STATUS=OR","EQY_CONSOLIDATED=Y","Sort=A","Dates=H","DateFormat=P","Fill=—","Direction=H","UseDPDF=Y")</f>
        <v>#NAME?</v>
      </c>
      <c r="BE530" s="1" t="e">
        <f ca="1">_xll.BDH($C$528,"GEO_GROW_CASH_OPER_ACT","FQ2 2014","FQ2 2014","Currency=INR","Period=FQ","BEST_FPERIOD_OVERRIDE=FQ","FILING_STATUS=OR","EQY_CONSOLIDATED=Y","Sort=A","Dates=H","DateFormat=P","Fill=—","Direction=H","UseDPDF=Y")</f>
        <v>#NAME?</v>
      </c>
      <c r="BF530" s="1" t="e">
        <f ca="1">_xll.BDH($C$528,"REVENUE_SEQUENTIAL_GROWTH","FQ2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30" s="1" t="e">
        <f ca="1">_xll.BDH($C$528,"EBITDA_SEQUENTIAL_GROWTH","FQ2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30" s="1" t="e">
        <f ca="1">_xll.BDH($C$528,"OPERATING_INCOME_SEQ_GROWTH","FQ2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30" s="1" t="e">
        <f ca="1">_xll.BDH($C$528,"NET_INCOME_TO_COMMON_SEQ_GROWTH","FQ2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30" s="1" t="e">
        <f ca="1">_xll.BDH($C$528,"EPS_DILUTED_SEQUENTIAL_GROWTH","FQ2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30" s="1" t="e">
        <f ca="1">_xll.BDH($C$528,"DPS_SEQUENTIAL_GROWTH","FQ2 2014","FQ2 2014","Currency=INR","Period=FQ","BEST_FPERIOD_OVERRIDE=FQ","FILING_STATUS=OR","EQY_CONSOLIDATED=Y","Sort=A","Dates=H","DateFormat=P","Fill=—","Direction=H","UseDPDF=Y")</f>
        <v>#NAME?</v>
      </c>
      <c r="BL530" s="1" t="e">
        <f ca="1">_xll.BDH($C$528,"ACCOUNTS_RECEIVABLE_SEQ_GROWTH","FQ2 2014","FQ2 2014","Currency=INR","Period=FQ","BEST_FPERIOD_OVERRIDE=FQ","FILING_STATUS=OR","EQY_CONSOLIDATED=Y","Sort=A","Dates=H","DateFormat=P","Fill=—","Direction=H","UseDPDF=Y")</f>
        <v>#NAME?</v>
      </c>
      <c r="BM530" s="1" t="e">
        <f ca="1">_xll.BDH($C$528,"INVENTORY_SEQUENTIAL_GROWTH","FQ2 2014","FQ2 2014","Currency=INR","Period=FQ","BEST_FPERIOD_OVERRIDE=FQ","FILING_STATUS=OR","EQY_CONSOLIDATED=Y","Sort=A","Dates=H","DateFormat=P","Fill=—","Direction=H","UseDPDF=Y")</f>
        <v>#NAME?</v>
      </c>
      <c r="BN530" s="1" t="e">
        <f ca="1">_xll.BDH($C$528,"FIXED_ASSETS_SEQUENTIAL_GROWTH","FQ2 2014","FQ2 2014","Currency=INR","Period=FQ","BEST_FPERIOD_OVERRIDE=FQ","FILING_STATUS=OR","EQY_CONSOLIDATED=Y","Sort=A","Dates=H","DateFormat=P","Fill=—","Direction=H","UseDPDF=Y")</f>
        <v>#NAME?</v>
      </c>
      <c r="BO530" s="1" t="e">
        <f ca="1">_xll.BDH($C$528,"TOTAL_ASSETS_SEQUENTIAL_GROWTH","FQ2 2014","FQ2 2014","Currency=INR","Period=FQ","BEST_FPERIOD_OVERRIDE=FQ","FILING_STATUS=OR","EQY_CONSOLIDATED=Y","Sort=A","Dates=H","DateFormat=P","Fill=—","Direction=H","UseDPDF=Y")</f>
        <v>#NAME?</v>
      </c>
      <c r="BP530" s="1" t="e">
        <f ca="1">_xll.BDH($C$528,"MODIFIED_WORKING_CPTL_SEQ_GRWTH","FQ2 2014","FQ2 2014","Currency=INR","Period=FQ","BEST_FPERIOD_OVERRIDE=FQ","FILING_STATUS=OR","EQY_CONSOLIDATED=Y","Sort=A","Dates=H","DateFormat=P","Fill=—","Direction=H","UseDPDF=Y")</f>
        <v>#NAME?</v>
      </c>
      <c r="BQ530" s="1" t="e">
        <f ca="1">_xll.BDH($C$528,"WORKING_CAPITAL_SEQ_GROWTH","FQ2 2014","FQ2 2014","Currency=INR","Period=FQ","BEST_FPERIOD_OVERRIDE=FQ","FILING_STATUS=OR","EQY_CONSOLIDATED=Y","Sort=A","Dates=H","DateFormat=P","Fill=—","Direction=H","UseDPDF=Y")</f>
        <v>#NAME?</v>
      </c>
      <c r="BR530" s="1" t="e">
        <f ca="1">_xll.BDH($C$528,"ACCOUNTS_PAYABLE_SEQ_GROWTH","FQ2 2014","FQ2 2014","Currency=INR","Period=FQ","BEST_FPERIOD_OVERRIDE=FQ","FILING_STATUS=OR","EQY_CONSOLIDATED=Y","Sort=A","Dates=H","DateFormat=P","Fill=—","Direction=H","UseDPDF=Y")</f>
        <v>#NAME?</v>
      </c>
      <c r="BS530" s="1" t="e">
        <f ca="1">_xll.BDH($C$528,"ST_DEBT_SEQUENTIAL_GROWTH","FQ2 2014","FQ2 2014","Currency=INR","Period=FQ","BEST_FPERIOD_OVERRIDE=FQ","FILING_STATUS=OR","EQY_CONSOLIDATED=Y","Sort=A","Dates=H","DateFormat=P","Fill=—","Direction=H","UseDPDF=Y")</f>
        <v>#NAME?</v>
      </c>
      <c r="BT530" s="1" t="e">
        <f ca="1">_xll.BDH($C$528,"TOTAL_DEBT_SEQUENTIAL_GROWTH","FQ2 2014","FQ2 2014","Currency=INR","Period=FQ","BEST_FPERIOD_OVERRIDE=FQ","FILING_STATUS=OR","EQY_CONSOLIDATED=Y","Sort=A","Dates=H","DateFormat=P","Fill=—","Direction=H","UseDPDF=Y")</f>
        <v>#NAME?</v>
      </c>
      <c r="BU530" s="1" t="e">
        <f ca="1">_xll.BDH($C$528,"TOTAL_EQUITY_SEQUENTIAL_GROWTH","FQ2 2014","FQ2 2014","Currency=INR","Period=FQ","BEST_FPERIOD_OVERRIDE=FQ","FILING_STATUS=OR","EQY_CONSOLIDATED=Y","Sort=A","Dates=H","DateFormat=P","Fill=—","Direction=H","UseDPDF=Y")</f>
        <v>#NAME?</v>
      </c>
      <c r="BV530" s="1" t="e">
        <f ca="1">_xll.BDH($C$528,"TOTAL_CAPITAL_SEQUENTIAL_GROWTH","FQ2 2014","FQ2 2014","Currency=INR","Period=FQ","BEST_FPERIOD_OVERRIDE=FQ","FILING_STATUS=OR","EQY_CONSOLIDATED=Y","Sort=A","Dates=H","DateFormat=P","Fill=—","Direction=H","UseDPDF=Y")</f>
        <v>#NAME?</v>
      </c>
      <c r="BW530" s="1" t="e">
        <f ca="1">_xll.BDH($C$528,"BPS_SEQUENTIAL_GROWTH","FQ2 2014","FQ2 2014","Currency=INR","Period=FQ","BEST_FPERIOD_OVERRIDE=FQ","FILING_STATUS=OR","EQY_CONSOLIDATED=Y","Sort=A","Dates=H","DateFormat=P","Fill=—","Direction=H","UseDPDF=Y")</f>
        <v>#NAME?</v>
      </c>
      <c r="BX530" s="1" t="e">
        <f ca="1">_xll.BDH($C$528,"CFO_SEQUENTIAL_GROWTH","FQ2 2014","FQ2 2014","Currency=INR","Period=FQ","BEST_FPERIOD_OVERRIDE=FQ","FILING_STATUS=OR","EQY_CONSOLIDATED=Y","Sort=A","Dates=H","DateFormat=P","Fill=—","Direction=H","UseDPDF=Y")</f>
        <v>#NAME?</v>
      </c>
      <c r="BY530" s="2" t="e">
        <f ca="1">_xll.BDH($C$528,"SHORT_AND_LONG_TERM_DEBT","FQ2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30" s="2" t="e">
        <f ca="1">_xll.BDH($C$528,"BS_ST_BORROW","FQ2 2014","FQ2 2014","Currency=INR","Period=FQ","BEST_FPERIOD_OVERRIDE=FQ","FILING_STATUS=OR","EQY_CONSOLIDATED=Y","SCALING_FORMAT=MLN","Sort=A","Dates=H","DateFormat=P","Fill=—","Direction=H","UseDPDF=Y")</f>
        <v>#NAME?</v>
      </c>
      <c r="CA530" s="2" t="e">
        <f ca="1">_xll.BDH($C$528,"BS_LT_BORROW","FQ2 2014","FQ2 2014","Currency=INR","Period=FQ","BEST_FPERIOD_OVERRIDE=FQ","FILING_STATUS=OR","EQY_CONSOLIDATED=Y","SCALING_FORMAT=MLN","Sort=A","Dates=H","DateFormat=P","Fill=—","Direction=H","UseDPDF=Y")</f>
        <v>#NAME?</v>
      </c>
      <c r="CB530" s="1" t="e">
        <f ca="1">_xll.BDH($C$528,"TOT_DEBT_TO_EBITDA","FQ2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30" s="1" t="e">
        <f ca="1">_xll.BDH($C$528,"NET_DEBT_TO_EBITDA","FQ2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30" s="1" t="e">
        <f ca="1">_xll.BDH($C$528,"TOTAL_DEBT_TO_EBIT","FQ2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30" s="1" t="e">
        <f ca="1">_xll.BDH($C$528,"NET_DEBT_TO_EBIT","FQ2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530" s="1" t="e">
        <f ca="1">_xll.BDH($C$528,"EBITDA_TO_INTEREST_EXPN","FQ2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30" s="1" t="e">
        <f ca="1">_xll.BDH($C$528,"COM_EQY_TO_TOT_ASSET","FQ2 2014","FQ2 2014","Currency=INR","Period=FQ","BEST_FPERIOD_OVERRIDE=FQ","FILING_STATUS=OR","EQY_CONSOLIDATED=Y","Sort=A","Dates=H","DateFormat=P","Fill=—","Direction=H","UseDPDF=Y")</f>
        <v>#NAME?</v>
      </c>
      <c r="CH530" s="1" t="e">
        <f ca="1">_xll.BDH($C$528,"LT_DEBT_TO_TOT_EQY","FQ2 2014","FQ2 2014","Currency=INR","Period=FQ","BEST_FPERIOD_OVERRIDE=FQ","FILING_STATUS=OR","EQY_CONSOLIDATED=Y","Sort=A","Dates=H","DateFormat=P","Fill=—","Direction=H","UseDPDF=Y")</f>
        <v>#NAME?</v>
      </c>
      <c r="CI530" s="1" t="e">
        <f ca="1">_xll.BDH($C$528,"LT_DEBT_TO_TOT_CAP","FQ2 2014","FQ2 2014","Currency=INR","Period=FQ","BEST_FPERIOD_OVERRIDE=FQ","FILING_STATUS=OR","EQY_CONSOLIDATED=Y","Sort=A","Dates=H","DateFormat=P","Fill=—","Direction=H","UseDPDF=Y")</f>
        <v>#NAME?</v>
      </c>
      <c r="CJ530" s="1" t="e">
        <f ca="1">_xll.BDH($C$528,"LT_DEBT_TO_TOT_ASSET","FQ2 2014","FQ2 2014","Currency=INR","Period=FQ","BEST_FPERIOD_OVERRIDE=FQ","FILING_STATUS=OR","EQY_CONSOLIDATED=Y","Sort=A","Dates=H","DateFormat=P","Fill=—","Direction=H","UseDPDF=Y")</f>
        <v>#NAME?</v>
      </c>
      <c r="CK530" s="1" t="e">
        <f ca="1">_xll.BDH($C$528,"TOT_DEBT_TO_TOT_EQY","FQ2 2014","FQ2 2014","Currency=INR","Period=FQ","BEST_FPERIOD_OVERRIDE=FQ","FILING_STATUS=OR","EQY_CONSOLIDATED=Y","Sort=A","Dates=H","DateFormat=P","Fill=—","Direction=H","UseDPDF=Y")</f>
        <v>#NAME?</v>
      </c>
      <c r="CL530" s="1" t="e">
        <f ca="1">_xll.BDH($C$528,"TOT_DEBT_TO_TOT_CAP","FQ2 2014","FQ2 2014","Currency=INR","Period=FQ","BEST_FPERIOD_OVERRIDE=FQ","FILING_STATUS=OR","EQY_CONSOLIDATED=Y","Sort=A","Dates=H","DateFormat=P","Fill=—","Direction=H","UseDPDF=Y")</f>
        <v>#NAME?</v>
      </c>
      <c r="CM530" s="1" t="e">
        <f ca="1">_xll.BDH($C$528,"TOT_DEBT_TO_TOT_ASSET","FQ2 2014","FQ2 2014","Currency=INR","Period=FQ","BEST_FPERIOD_OVERRIDE=FQ","FILING_STATUS=OR","EQY_CONSOLIDATED=Y","Sort=A","Dates=H","DateFormat=P","Fill=—","Direction=H","UseDPDF=Y")</f>
        <v>#NAME?</v>
      </c>
      <c r="CN530" s="1" t="e">
        <f ca="1">_xll.BDH($C$528,"NET_DEBT_TO_SHRHLDR_EQTY","FQ2 2014","FQ2 2014","Currency=INR","Period=FQ","BEST_FPERIOD_OVERRIDE=FQ","FILING_STATUS=OR","EQY_CONSOLIDATED=Y","Sort=A","Dates=H","DateFormat=P","Fill=—","Direction=H","UseDPDF=Y")</f>
        <v>#NAME?</v>
      </c>
      <c r="CO530" s="1" t="e">
        <f ca="1">_xll.BDH($C$528,"NET_DEBT_%_CAPITAL","FQ2 2014","FQ2 2014","Currency=INR","Period=FQ","BEST_FPERIOD_OVERRIDE=FQ","FILING_STATUS=OR","EQY_CONSOLIDATED=Y","Sort=A","Dates=H","DateFormat=P","Fill=—","Direction=H","UseDPDF=Y")</f>
        <v>#NAME?</v>
      </c>
      <c r="CP530" s="2" t="e">
        <f ca="1">_xll.BDH($C$528,"EBITDA","FQ2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30" s="2" t="e">
        <f ca="1">_xll.BDH($C$528,"EBITDA_AFTER_CAPEX","FQ2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30" s="2" t="e">
        <f ca="1">_xll.BDH($C$528,"IS_OPER_INC","FQ2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30" s="1" t="e">
        <f ca="1">_xll.BDH($C$528,"CASH_RATIO","FQ2 2014","FQ2 2014","Currency=INR","Period=FQ","BEST_FPERIOD_OVERRIDE=FQ","FILING_STATUS=OR","EQY_CONSOLIDATED=Y","Sort=A","Dates=H","DateFormat=P","Fill=—","Direction=H","UseDPDF=Y")</f>
        <v>#NAME?</v>
      </c>
      <c r="CT530" s="1" t="e">
        <f ca="1">_xll.BDH($C$528,"CUR_RATIO","FQ2 2014","FQ2 2014","Currency=INR","Period=FQ","BEST_FPERIOD_OVERRIDE=FQ","FILING_STATUS=OR","EQY_CONSOLIDATED=Y","Sort=A","Dates=H","DateFormat=P","Fill=—","Direction=H","UseDPDF=Y")</f>
        <v>#NAME?</v>
      </c>
      <c r="CU530" s="1" t="e">
        <f ca="1">_xll.BDH($C$528,"QUICK_RATIO","FQ2 2014","FQ2 2014","Currency=INR","Period=FQ","BEST_FPERIOD_OVERRIDE=FQ","FILING_STATUS=OR","EQY_CONSOLIDATED=Y","Sort=A","Dates=H","DateFormat=P","Fill=—","Direction=H","UseDPDF=Y")</f>
        <v>#NAME?</v>
      </c>
      <c r="CV530" s="1" t="e">
        <f ca="1">_xll.BDH($C$528,"ALTMAN_Z_SCORE","FQ2 2014","FQ2 2014","Currency=INR","Period=FQ","BEST_FPERIOD_OVERRIDE=FQ","FILING_STATUS=OR","EQY_CONSOLIDATED=Y","Sort=A","Dates=H","DateFormat=P","Fill=—","Direction=H","UseDPDF=Y")</f>
        <v>#NAME?</v>
      </c>
      <c r="CW530" s="3" t="e">
        <f ca="1">_xll.BDH($C$528,"ACCT_RCV_TURN","FQ2 2014","FQ2 2014","Currency=INR","Period=FQ","BEST_FPERIOD_OVERRIDE=FQ","FILING_STATUS=OR","EQY_CONSOLIDATED=Y","FA_ADJUSTED=GAAP","Sort=A","Dates=H","DateFormat=P","Fill=—","Direction=H","UseDPDF=Y")</f>
        <v>#NAME?</v>
      </c>
      <c r="CX530" s="1" t="e">
        <f ca="1">_xll.BDH($C$528,"ACCT_RCV_DAYS","FQ2 2014","FQ2 2014","Currency=INR","Period=FQ","BEST_FPERIOD_OVERRIDE=FQ","FILING_STATUS=OR","EQY_CONSOLIDATED=Y","FA_ADJUSTED=GAAP","Sort=A","Dates=H","DateFormat=P","Fill=—","Direction=H","UseDPDF=Y")</f>
        <v>#NAME?</v>
      </c>
      <c r="CY530" s="3" t="e">
        <f ca="1">_xll.BDH($C$528,"INVENT_TURN","FQ2 2014","FQ2 2014","Currency=INR","Period=FQ","BEST_FPERIOD_OVERRIDE=FQ","FILING_STATUS=OR","EQY_CONSOLIDATED=Y","FA_ADJUSTED=GAAP","Sort=A","Dates=H","DateFormat=P","Fill=—","Direction=H","UseDPDF=Y")</f>
        <v>#NAME?</v>
      </c>
      <c r="CZ530" s="1" t="e">
        <f ca="1">_xll.BDH($C$528,"INVENT_DAYS","FQ2 2014","FQ2 2014","Currency=INR","Period=FQ","BEST_FPERIOD_OVERRIDE=FQ","FILING_STATUS=OR","EQY_CONSOLIDATED=Y","FA_ADJUSTED=GAAP","Sort=A","Dates=H","DateFormat=P","Fill=—","Direction=H","UseDPDF=Y")</f>
        <v>#NAME?</v>
      </c>
      <c r="DA530" s="3" t="e">
        <f ca="1">_xll.BDH($C$528,"ACCOUNTS_PAYABLE_TURNOVER","FQ2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30" s="1" t="e">
        <f ca="1">_xll.BDH($C$528,"ACCOUNTS_PAYABLE_TURNOVER_DAYS","FQ2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30" s="3" t="e">
        <f ca="1">_xll.BDH($C$528,"CASH_CONVERSION_CYCLE","FQ2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30" s="3" t="e">
        <f ca="1">_xll.BDH($C$528,"INV_TO_CASH_DAYS","FQ2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530" s="4" t="e">
        <f ca="1">_xll.BDH($C$528,"BS_INVENTORIES","FQ2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530" s="2" t="e">
        <f ca="1">_xll.BDH($C$528,"INVTRY_RAW_MATERIALS","FQ2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30" s="2" t="e">
        <f ca="1">_xll.BDH($C$528,"INVTRY_IN_PROGRESS","FQ2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30" s="2" t="e">
        <f ca="1">_xll.BDH($C$528,"INVTRY_FINISHED_GOODS","FQ2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30" s="2" t="e">
        <f ca="1">_xll.BDH($C$528,"BS_OTHER_INV","FQ2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31" spans="1:113" x14ac:dyDescent="0.3">
      <c r="A531" s="6"/>
      <c r="B531" s="6"/>
      <c r="C531" s="6"/>
      <c r="D531" s="6"/>
      <c r="E531" t="s">
        <v>6</v>
      </c>
      <c r="F531" t="e">
        <f ca="1">_xll.BDH($C$528,"RETURN_COM_EQY","FQ3 2014","FQ3 2014","Currency=INR","Period=FQ","BEST_FPERIOD_OVERRIDE=FQ","FILING_STATUS=OR","EQY_CONSOLIDATED=Y","FA_ADJUSTED=GAAP","Sort=A","Dates=H","DateFormat=P","Fill=—","Direction=H","UseDPDF=Y")</f>
        <v>#NAME?</v>
      </c>
      <c r="G531" t="e">
        <f ca="1">_xll.BDH($C$528,"RETURN_ON_ASSET","FQ3 2014","FQ3 2014","Currency=INR","Period=FQ","BEST_FPERIOD_OVERRIDE=FQ","FILING_STATUS=OR","EQY_CONSOLIDATED=Y","FA_ADJUSTED=GAAP","Sort=A","Dates=H","DateFormat=P","Fill=—","Direction=H","UseDPDF=Y")</f>
        <v>#NAME?</v>
      </c>
      <c r="H531" t="e">
        <f ca="1">_xll.BDH($C$528,"RETURN_ON_CAP","FQ3 2014","FQ3 2014","Currency=INR","Period=FQ","BEST_FPERIOD_OVERRIDE=FQ","FILING_STATUS=OR","EQY_CONSOLIDATED=Y","FA_ADJUSTED=GAAP","Sort=A","Dates=H","DateFormat=P","Fill=—","Direction=H","UseDPDF=Y")</f>
        <v>#NAME?</v>
      </c>
      <c r="I531" t="e">
        <f ca="1">_xll.BDH($C$528,"RETURN_ON_INV_CAPITAL","FQ3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31" t="e">
        <f ca="1">_xll.BDH($C$528,"EBITDA_TO_REVENUE","FQ3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531" t="e">
        <f ca="1">_xll.BDH($C$528,"OPER_MARGIN","FQ3 2014","FQ3 2014","Currency=INR","Period=FQ","BEST_FPERIOD_OVERRIDE=FQ","FILING_STATUS=OR","EQY_CONSOLIDATED=Y","FA_ADJUSTED=GAAP","Sort=A","Dates=H","DateFormat=P","Fill=—","Direction=H","UseDPDF=Y")</f>
        <v>#NAME?</v>
      </c>
      <c r="L531" t="e">
        <f ca="1">_xll.BDH($C$528,"INCREMENTAL_OPERATING_MARGIN","FQ3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31" t="e">
        <f ca="1">_xll.BDH($C$528,"PRETAX_INC_TO_NET_SALES","FQ3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31" t="e">
        <f ca="1">_xll.BDH($C$528,"INC_BEF_XO_ITEMS_TO_NET_SALES","FQ3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31" t="e">
        <f ca="1">_xll.BDH($C$528,"PROF_MARGIN","FQ3 2014","FQ3 2014","Currency=INR","Period=FQ","BEST_FPERIOD_OVERRIDE=FQ","FILING_STATUS=OR","EQY_CONSOLIDATED=Y","FA_ADJUSTED=GAAP","Sort=A","Dates=H","DateFormat=P","Fill=—","Direction=H","UseDPDF=Y")</f>
        <v>#NAME?</v>
      </c>
      <c r="P531" t="e">
        <f ca="1">_xll.BDH($C$528,"NET_INCOME_TO_COMMON_MARGIN","FQ3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31" t="e">
        <f ca="1">_xll.BDH($C$528,"EFF_TAX_RATE","FQ3 2014","FQ3 2014","Currency=INR","Period=FQ","BEST_FPERIOD_OVERRIDE=FQ","FILING_STATUS=OR","EQY_CONSOLIDATED=Y","FA_ADJUSTED=GAAP","Sort=A","Dates=H","DateFormat=P","Fill=—","Direction=H","UseDPDF=Y")</f>
        <v>#NAME?</v>
      </c>
      <c r="R531" t="e">
        <f ca="1">_xll.BDH($C$528,"DVD_PAYOUT_RATIO","FQ3 2014","FQ3 2014","Currency=INR","Period=FQ","BEST_FPERIOD_OVERRIDE=FQ","FILING_STATUS=OR","EQY_CONSOLIDATED=Y","FA_ADJUSTED=GAAP","Sort=A","Dates=H","DateFormat=P","Fill=—","Direction=H","UseDPDF=Y")</f>
        <v>#NAME?</v>
      </c>
      <c r="S531" t="e">
        <f ca="1">_xll.BDH($C$528,"SUSTAIN_GROWTH_RT","FQ3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531" s="1" t="e">
        <f ca="1">_xll.BDH($C$528,"SALES_GROWTH","FQ3 2014","FQ3 2014","Currency=INR","Period=FQ","BEST_FPERIOD_OVERRIDE=FQ","FILING_STATUS=OR","EQY_CONSOLIDATED=Y","FA_ADJUSTED=GAAP","Sort=A","Dates=H","DateFormat=P","Fill=—","Direction=H","UseDPDF=Y")</f>
        <v>#NAME?</v>
      </c>
      <c r="U531" s="1" t="e">
        <f ca="1">_xll.BDH($C$528,"EBITDA_GROWTH","FQ3 2014","FQ3 2014","Currency=INR","Period=FQ","BEST_FPERIOD_OVERRIDE=FQ","FILING_STATUS=OR","EQY_CONSOLIDATED=Y","FA_ADJUSTED=GAAP","Sort=A","Dates=H","DateFormat=P","Fill=—","Direction=H","UseDPDF=Y")</f>
        <v>#NAME?</v>
      </c>
      <c r="V531" s="1" t="e">
        <f ca="1">_xll.BDH($C$528,"OPER_INC_GROWTH","FQ3 2014","FQ3 2014","Currency=INR","Period=FQ","BEST_FPERIOD_OVERRIDE=FQ","FILING_STATUS=OR","EQY_CONSOLIDATED=Y","FA_ADJUSTED=GAAP","Sort=A","Dates=H","DateFormat=P","Fill=—","Direction=H","UseDPDF=Y")</f>
        <v>#NAME?</v>
      </c>
      <c r="W531" s="1" t="e">
        <f ca="1">_xll.BDH($C$528,"EARN_FOR_COM_GROWTH","FQ3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31" s="1" t="e">
        <f ca="1">_xll.BDH($C$528,"DILUTED_EPS_AFT_XO_ITEMS_GROWTH","FQ3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31" s="1" t="e">
        <f ca="1">_xll.BDH($C$528,"DIVIDEND_PER_SHARE_1_YEAR_GROWTH","FQ3 2014","FQ3 2014","Currency=INR","Period=FQ","BEST_FPERIOD_OVERRIDE=FQ","FILING_STATUS=OR","EQY_CONSOLIDATED=Y","Sort=A","Dates=H","DateFormat=P","Fill=—","Direction=H","UseDPDF=Y")</f>
        <v>#NAME?</v>
      </c>
      <c r="Z531" s="1" t="e">
        <f ca="1">_xll.BDH($C$528,"ACCOUNTS_RECEIVABLE_GROWTH","FQ3 2014","FQ3 2014","Currency=INR","Period=FQ","BEST_FPERIOD_OVERRIDE=FQ","FILING_STATUS=OR","EQY_CONSOLIDATED=Y","Sort=A","Dates=H","DateFormat=P","Fill=—","Direction=H","UseDPDF=Y")</f>
        <v>#NAME?</v>
      </c>
      <c r="AA531" s="1" t="e">
        <f ca="1">_xll.BDH($C$528,"INVENTORY_GROWTH","FQ3 2014","FQ3 2014","Currency=INR","Period=FQ","BEST_FPERIOD_OVERRIDE=FQ","FILING_STATUS=OR","EQY_CONSOLIDATED=Y","Sort=A","Dates=H","DateFormat=P","Fill=—","Direction=H","UseDPDF=Y")</f>
        <v>#NAME?</v>
      </c>
      <c r="AB531" s="1" t="e">
        <f ca="1">_xll.BDH($C$528,"NET_FIXED_ASSETS_1_YEAR_GROWTH","FQ3 2014","FQ3 2014","Currency=INR","Period=FQ","BEST_FPERIOD_OVERRIDE=FQ","FILING_STATUS=OR","EQY_CONSOLIDATED=Y","Sort=A","Dates=H","DateFormat=P","Fill=—","Direction=H","UseDPDF=Y")</f>
        <v>#NAME?</v>
      </c>
      <c r="AC531" s="1" t="e">
        <f ca="1">_xll.BDH($C$528,"ASSET_GROWTH","FQ3 2014","FQ3 2014","Currency=INR","Period=FQ","BEST_FPERIOD_OVERRIDE=FQ","FILING_STATUS=OR","EQY_CONSOLIDATED=Y","Sort=A","Dates=H","DateFormat=P","Fill=—","Direction=H","UseDPDF=Y")</f>
        <v>#NAME?</v>
      </c>
      <c r="AD531" s="1" t="e">
        <f ca="1">_xll.BDH($C$528,"MODIFIED_WORK_CAP_GROWTH","FQ3 2014","FQ3 2014","Currency=INR","Period=FQ","BEST_FPERIOD_OVERRIDE=FQ","FILING_STATUS=OR","EQY_CONSOLIDATED=Y","Sort=A","Dates=H","DateFormat=P","Fill=—","Direction=H","UseDPDF=Y")</f>
        <v>#NAME?</v>
      </c>
      <c r="AE531" s="1" t="e">
        <f ca="1">_xll.BDH($C$528,"WORK_CAP_GROWTH","FQ3 2014","FQ3 2014","Currency=INR","Period=FQ","BEST_FPERIOD_OVERRIDE=FQ","FILING_STATUS=OR","EQY_CONSOLIDATED=Y","Sort=A","Dates=H","DateFormat=P","Fill=—","Direction=H","UseDPDF=Y")</f>
        <v>#NAME?</v>
      </c>
      <c r="AF531" s="1" t="e">
        <f ca="1">_xll.BDH($C$528,"ACCOUNTS_PAYABLE_GROWTH_1YR","FQ3 2014","FQ3 2014","Currency=INR","Period=FQ","BEST_FPERIOD_OVERRIDE=FQ","FILING_STATUS=OR","EQY_CONSOLIDATED=Y","Sort=A","Dates=H","DateFormat=P","Fill=—","Direction=H","UseDPDF=Y")</f>
        <v>#NAME?</v>
      </c>
      <c r="AG531" s="1" t="e">
        <f ca="1">_xll.BDH($C$528,"SHORT_TERM_DEBT_1_YEAR_GROWTH","FQ3 2014","FQ3 2014","Currency=INR","Period=FQ","BEST_FPERIOD_OVERRIDE=FQ","FILING_STATUS=OR","EQY_CONSOLIDATED=Y","Sort=A","Dates=H","DateFormat=P","Fill=—","Direction=H","UseDPDF=Y")</f>
        <v>#NAME?</v>
      </c>
      <c r="AH531" s="1" t="e">
        <f ca="1">_xll.BDH($C$528,"TOTAL_DEBT_1_YEAR_GROWTH","FQ3 2014","FQ3 2014","Currency=INR","Period=FQ","BEST_FPERIOD_OVERRIDE=FQ","FILING_STATUS=OR","EQY_CONSOLIDATED=Y","Sort=A","Dates=H","DateFormat=P","Fill=—","Direction=H","UseDPDF=Y")</f>
        <v>#NAME?</v>
      </c>
      <c r="AI531" s="1" t="e">
        <f ca="1">_xll.BDH($C$528,"TOTAL_EQUITY_1_YEAR_GROWTH","FQ3 2014","FQ3 2014","Currency=INR","Period=FQ","BEST_FPERIOD_OVERRIDE=FQ","FILING_STATUS=OR","EQY_CONSOLIDATED=Y","Sort=A","Dates=H","DateFormat=P","Fill=—","Direction=H","UseDPDF=Y")</f>
        <v>#NAME?</v>
      </c>
      <c r="AJ531" s="1" t="e">
        <f ca="1">_xll.BDH($C$528,"GROWTH_IN_CAP","FQ3 2014","FQ3 2014","Currency=INR","Period=FQ","BEST_FPERIOD_OVERRIDE=FQ","FILING_STATUS=OR","EQY_CONSOLIDATED=Y","Sort=A","Dates=H","DateFormat=P","Fill=—","Direction=H","UseDPDF=Y")</f>
        <v>#NAME?</v>
      </c>
      <c r="AK531" s="1" t="e">
        <f ca="1">_xll.BDH($C$528,"BVPS_GROWTH","FQ3 2014","FQ3 2014","Currency=INR","Period=FQ","BEST_FPERIOD_OVERRIDE=FQ","FILING_STATUS=OR","EQY_CONSOLIDATED=Y","Sort=A","Dates=H","DateFormat=P","Fill=—","Direction=H","UseDPDF=Y")</f>
        <v>#NAME?</v>
      </c>
      <c r="AL531" s="1" t="e">
        <f ca="1">_xll.BDH($C$528,"CASH_FLOW_GROWTH","FQ3 2014","FQ3 2014","Currency=INR","Period=FQ","BEST_FPERIOD_OVERRIDE=FQ","FILING_STATUS=OR","EQY_CONSOLIDATED=Y","Sort=A","Dates=H","DateFormat=P","Fill=—","Direction=H","UseDPDF=Y")</f>
        <v>#NAME?</v>
      </c>
      <c r="AM531" s="1" t="e">
        <f ca="1">_xll.BDH($C$528,"GEO_GROW_NET_SALES","FQ3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31" s="1" t="e">
        <f ca="1">_xll.BDH($C$528,"GEO_GROW_EBITDA","FQ3 2014","FQ3 2014","Currency=INR","Period=FQ","BEST_FPERIOD_OVERRIDE=FQ","FILING_STATUS=OR","EQY_CONSOLIDATED=Y","FA_ADJUSTED=GAAP","Sort=A","Dates=H","DateFormat=P","Fill=—","Direction=H","UseDPDF=Y")</f>
        <v>#NAME?</v>
      </c>
      <c r="AO531" s="1" t="e">
        <f ca="1">_xll.BDH($C$528,"GEO_GROW_OPER_INC","FQ3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31" s="1" t="e">
        <f ca="1">_xll.BDH($C$528,"NET_INCOME_TO_COMMON_5_YR_GROWTH","FQ3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31" s="1" t="e">
        <f ca="1">_xll.BDH($C$528,"5Y_GEO_GROWTH_DILUTED_EPS","FQ3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31" s="1" t="e">
        <f ca="1">_xll.BDH($C$528,"GEO_GROW_DVD_PER_SH","FQ3 2014","FQ3 2014","Currency=INR","Period=FQ","BEST_FPERIOD_OVERRIDE=FQ","FILING_STATUS=OR","EQY_CONSOLIDATED=Y","Sort=A","Dates=H","DateFormat=P","Fill=—","Direction=H","UseDPDF=Y")</f>
        <v>#NAME?</v>
      </c>
      <c r="AS531" s="1" t="e">
        <f ca="1">_xll.BDH($C$528,"ACCOUNTS_RECEIVABLE_5_YR_GROWTH","FQ3 2014","FQ3 2014","Currency=INR","Period=FQ","BEST_FPERIOD_OVERRIDE=FQ","FILING_STATUS=OR","EQY_CONSOLIDATED=Y","Sort=A","Dates=H","DateFormat=P","Fill=—","Direction=H","UseDPDF=Y")</f>
        <v>#NAME?</v>
      </c>
      <c r="AT531" s="1" t="e">
        <f ca="1">_xll.BDH($C$528,"INVENTORY_5_YEAR_GROWTH","FQ3 2014","FQ3 2014","Currency=INR","Period=FQ","BEST_FPERIOD_OVERRIDE=FQ","FILING_STATUS=OR","EQY_CONSOLIDATED=Y","Sort=A","Dates=H","DateFormat=P","Fill=—","Direction=H","UseDPDF=Y")</f>
        <v>#NAME?</v>
      </c>
      <c r="AU531" s="1" t="e">
        <f ca="1">_xll.BDH($C$528,"NET_FIXED_ASSETS_5_YEAR_GROWTH","FQ3 2014","FQ3 2014","Currency=INR","Period=FQ","BEST_FPERIOD_OVERRIDE=FQ","FILING_STATUS=OR","EQY_CONSOLIDATED=Y","Sort=A","Dates=H","DateFormat=P","Fill=—","Direction=H","UseDPDF=Y")</f>
        <v>#NAME?</v>
      </c>
      <c r="AV531" s="1" t="e">
        <f ca="1">_xll.BDH($C$528,"GEO_GROW_TOT_ASSET","FQ3 2014","FQ3 2014","Currency=INR","Period=FQ","BEST_FPERIOD_OVERRIDE=FQ","FILING_STATUS=OR","EQY_CONSOLIDATED=Y","Sort=A","Dates=H","DateFormat=P","Fill=—","Direction=H","UseDPDF=Y")</f>
        <v>#NAME?</v>
      </c>
      <c r="AW531" s="1" t="e">
        <f ca="1">_xll.BDH($C$528,"MODIFIED_WORKING_CPTL_5YR_GRWTH","FQ3 2014","FQ3 2014","Currency=INR","Period=FQ","BEST_FPERIOD_OVERRIDE=FQ","FILING_STATUS=OR","EQY_CONSOLIDATED=Y","Sort=A","Dates=H","DateFormat=P","Fill=—","Direction=H","UseDPDF=Y")</f>
        <v>#NAME?</v>
      </c>
      <c r="AX531" s="1" t="e">
        <f ca="1">_xll.BDH($C$528,"WORKING_CAPITAL_5_YEAR_GROWTH","FQ3 2014","FQ3 2014","Currency=INR","Period=FQ","BEST_FPERIOD_OVERRIDE=FQ","FILING_STATUS=OR","EQY_CONSOLIDATED=Y","Sort=A","Dates=H","DateFormat=P","Fill=—","Direction=H","UseDPDF=Y")</f>
        <v>#NAME?</v>
      </c>
      <c r="AY531" s="1" t="e">
        <f ca="1">_xll.BDH($C$528,"ACCOUNTS_PAYABLE_5_YEAR_GROWTH","FQ3 2014","FQ3 2014","Currency=INR","Period=FQ","BEST_FPERIOD_OVERRIDE=FQ","FILING_STATUS=OR","EQY_CONSOLIDATED=Y","Sort=A","Dates=H","DateFormat=P","Fill=—","Direction=H","UseDPDF=Y")</f>
        <v>#NAME?</v>
      </c>
      <c r="AZ531" s="1" t="e">
        <f ca="1">_xll.BDH($C$528,"SHORT_TERM_DEBT_5_YEAR_GROWTH","FQ3 2014","FQ3 2014","Currency=INR","Period=FQ","BEST_FPERIOD_OVERRIDE=FQ","FILING_STATUS=OR","EQY_CONSOLIDATED=Y","Sort=A","Dates=H","DateFormat=P","Fill=—","Direction=H","UseDPDF=Y")</f>
        <v>#NAME?</v>
      </c>
      <c r="BA531" s="1" t="e">
        <f ca="1">_xll.BDH($C$528,"TOTAL_DEBT_5_YEAR_GROWTH","FQ3 2014","FQ3 2014","Currency=INR","Period=FQ","BEST_FPERIOD_OVERRIDE=FQ","FILING_STATUS=OR","EQY_CONSOLIDATED=Y","Sort=A","Dates=H","DateFormat=P","Fill=—","Direction=H","UseDPDF=Y")</f>
        <v>#NAME?</v>
      </c>
      <c r="BB531" s="1" t="e">
        <f ca="1">_xll.BDH($C$528,"GEO_GROW_TOT_SHRHLDR_EQY","FQ3 2014","FQ3 2014","Currency=INR","Period=FQ","BEST_FPERIOD_OVERRIDE=FQ","FILING_STATUS=OR","EQY_CONSOLIDATED=Y","Sort=A","Dates=H","DateFormat=P","Fill=—","Direction=H","UseDPDF=Y")</f>
        <v>#NAME?</v>
      </c>
      <c r="BC531" s="1" t="e">
        <f ca="1">_xll.BDH($C$528,"TOTAL_CAPITAL_5_YEAR_GROWTH","FQ3 2014","FQ3 2014","Currency=INR","Period=FQ","BEST_FPERIOD_OVERRIDE=FQ","FILING_STATUS=OR","EQY_CONSOLIDATED=Y","Sort=A","Dates=H","DateFormat=P","Fill=—","Direction=H","UseDPDF=Y")</f>
        <v>#NAME?</v>
      </c>
      <c r="BD531" s="1" t="e">
        <f ca="1">_xll.BDH($C$528,"GEO_GROW_BOOK_VAL","FQ3 2014","FQ3 2014","Currency=INR","Period=FQ","BEST_FPERIOD_OVERRIDE=FQ","FILING_STATUS=OR","EQY_CONSOLIDATED=Y","Sort=A","Dates=H","DateFormat=P","Fill=—","Direction=H","UseDPDF=Y")</f>
        <v>#NAME?</v>
      </c>
      <c r="BE531" s="1" t="e">
        <f ca="1">_xll.BDH($C$528,"GEO_GROW_CASH_OPER_ACT","FQ3 2014","FQ3 2014","Currency=INR","Period=FQ","BEST_FPERIOD_OVERRIDE=FQ","FILING_STATUS=OR","EQY_CONSOLIDATED=Y","Sort=A","Dates=H","DateFormat=P","Fill=—","Direction=H","UseDPDF=Y")</f>
        <v>#NAME?</v>
      </c>
      <c r="BF531" s="1" t="e">
        <f ca="1">_xll.BDH($C$528,"REVENUE_SEQUENTIAL_GROWTH","FQ3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31" s="1" t="e">
        <f ca="1">_xll.BDH($C$528,"EBITDA_SEQUENTIAL_GROWTH","FQ3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31" s="1" t="e">
        <f ca="1">_xll.BDH($C$528,"OPERATING_INCOME_SEQ_GROWTH","FQ3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31" s="1" t="e">
        <f ca="1">_xll.BDH($C$528,"NET_INCOME_TO_COMMON_SEQ_GROWTH","FQ3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31" s="1" t="e">
        <f ca="1">_xll.BDH($C$528,"EPS_DILUTED_SEQUENTIAL_GROWTH","FQ3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31" s="1" t="e">
        <f ca="1">_xll.BDH($C$528,"DPS_SEQUENTIAL_GROWTH","FQ3 2014","FQ3 2014","Currency=INR","Period=FQ","BEST_FPERIOD_OVERRIDE=FQ","FILING_STATUS=OR","EQY_CONSOLIDATED=Y","Sort=A","Dates=H","DateFormat=P","Fill=—","Direction=H","UseDPDF=Y")</f>
        <v>#NAME?</v>
      </c>
      <c r="BL531" s="1" t="e">
        <f ca="1">_xll.BDH($C$528,"ACCOUNTS_RECEIVABLE_SEQ_GROWTH","FQ3 2014","FQ3 2014","Currency=INR","Period=FQ","BEST_FPERIOD_OVERRIDE=FQ","FILING_STATUS=OR","EQY_CONSOLIDATED=Y","Sort=A","Dates=H","DateFormat=P","Fill=—","Direction=H","UseDPDF=Y")</f>
        <v>#NAME?</v>
      </c>
      <c r="BM531" s="1" t="e">
        <f ca="1">_xll.BDH($C$528,"INVENTORY_SEQUENTIAL_GROWTH","FQ3 2014","FQ3 2014","Currency=INR","Period=FQ","BEST_FPERIOD_OVERRIDE=FQ","FILING_STATUS=OR","EQY_CONSOLIDATED=Y","Sort=A","Dates=H","DateFormat=P","Fill=—","Direction=H","UseDPDF=Y")</f>
        <v>#NAME?</v>
      </c>
      <c r="BN531" s="1" t="e">
        <f ca="1">_xll.BDH($C$528,"FIXED_ASSETS_SEQUENTIAL_GROWTH","FQ3 2014","FQ3 2014","Currency=INR","Period=FQ","BEST_FPERIOD_OVERRIDE=FQ","FILING_STATUS=OR","EQY_CONSOLIDATED=Y","Sort=A","Dates=H","DateFormat=P","Fill=—","Direction=H","UseDPDF=Y")</f>
        <v>#NAME?</v>
      </c>
      <c r="BO531" s="1" t="e">
        <f ca="1">_xll.BDH($C$528,"TOTAL_ASSETS_SEQUENTIAL_GROWTH","FQ3 2014","FQ3 2014","Currency=INR","Period=FQ","BEST_FPERIOD_OVERRIDE=FQ","FILING_STATUS=OR","EQY_CONSOLIDATED=Y","Sort=A","Dates=H","DateFormat=P","Fill=—","Direction=H","UseDPDF=Y")</f>
        <v>#NAME?</v>
      </c>
      <c r="BP531" s="1" t="e">
        <f ca="1">_xll.BDH($C$528,"MODIFIED_WORKING_CPTL_SEQ_GRWTH","FQ3 2014","FQ3 2014","Currency=INR","Period=FQ","BEST_FPERIOD_OVERRIDE=FQ","FILING_STATUS=OR","EQY_CONSOLIDATED=Y","Sort=A","Dates=H","DateFormat=P","Fill=—","Direction=H","UseDPDF=Y")</f>
        <v>#NAME?</v>
      </c>
      <c r="BQ531" s="1" t="e">
        <f ca="1">_xll.BDH($C$528,"WORKING_CAPITAL_SEQ_GROWTH","FQ3 2014","FQ3 2014","Currency=INR","Period=FQ","BEST_FPERIOD_OVERRIDE=FQ","FILING_STATUS=OR","EQY_CONSOLIDATED=Y","Sort=A","Dates=H","DateFormat=P","Fill=—","Direction=H","UseDPDF=Y")</f>
        <v>#NAME?</v>
      </c>
      <c r="BR531" s="1" t="e">
        <f ca="1">_xll.BDH($C$528,"ACCOUNTS_PAYABLE_SEQ_GROWTH","FQ3 2014","FQ3 2014","Currency=INR","Period=FQ","BEST_FPERIOD_OVERRIDE=FQ","FILING_STATUS=OR","EQY_CONSOLIDATED=Y","Sort=A","Dates=H","DateFormat=P","Fill=—","Direction=H","UseDPDF=Y")</f>
        <v>#NAME?</v>
      </c>
      <c r="BS531" s="1" t="e">
        <f ca="1">_xll.BDH($C$528,"ST_DEBT_SEQUENTIAL_GROWTH","FQ3 2014","FQ3 2014","Currency=INR","Period=FQ","BEST_FPERIOD_OVERRIDE=FQ","FILING_STATUS=OR","EQY_CONSOLIDATED=Y","Sort=A","Dates=H","DateFormat=P","Fill=—","Direction=H","UseDPDF=Y")</f>
        <v>#NAME?</v>
      </c>
      <c r="BT531" s="1" t="e">
        <f ca="1">_xll.BDH($C$528,"TOTAL_DEBT_SEQUENTIAL_GROWTH","FQ3 2014","FQ3 2014","Currency=INR","Period=FQ","BEST_FPERIOD_OVERRIDE=FQ","FILING_STATUS=OR","EQY_CONSOLIDATED=Y","Sort=A","Dates=H","DateFormat=P","Fill=—","Direction=H","UseDPDF=Y")</f>
        <v>#NAME?</v>
      </c>
      <c r="BU531" s="1" t="e">
        <f ca="1">_xll.BDH($C$528,"TOTAL_EQUITY_SEQUENTIAL_GROWTH","FQ3 2014","FQ3 2014","Currency=INR","Period=FQ","BEST_FPERIOD_OVERRIDE=FQ","FILING_STATUS=OR","EQY_CONSOLIDATED=Y","Sort=A","Dates=H","DateFormat=P","Fill=—","Direction=H","UseDPDF=Y")</f>
        <v>#NAME?</v>
      </c>
      <c r="BV531" s="1" t="e">
        <f ca="1">_xll.BDH($C$528,"TOTAL_CAPITAL_SEQUENTIAL_GROWTH","FQ3 2014","FQ3 2014","Currency=INR","Period=FQ","BEST_FPERIOD_OVERRIDE=FQ","FILING_STATUS=OR","EQY_CONSOLIDATED=Y","Sort=A","Dates=H","DateFormat=P","Fill=—","Direction=H","UseDPDF=Y")</f>
        <v>#NAME?</v>
      </c>
      <c r="BW531" s="1" t="e">
        <f ca="1">_xll.BDH($C$528,"BPS_SEQUENTIAL_GROWTH","FQ3 2014","FQ3 2014","Currency=INR","Period=FQ","BEST_FPERIOD_OVERRIDE=FQ","FILING_STATUS=OR","EQY_CONSOLIDATED=Y","Sort=A","Dates=H","DateFormat=P","Fill=—","Direction=H","UseDPDF=Y")</f>
        <v>#NAME?</v>
      </c>
      <c r="BX531" s="1" t="e">
        <f ca="1">_xll.BDH($C$528,"CFO_SEQUENTIAL_GROWTH","FQ3 2014","FQ3 2014","Currency=INR","Period=FQ","BEST_FPERIOD_OVERRIDE=FQ","FILING_STATUS=OR","EQY_CONSOLIDATED=Y","Sort=A","Dates=H","DateFormat=P","Fill=—","Direction=H","UseDPDF=Y")</f>
        <v>#NAME?</v>
      </c>
      <c r="BY531" s="2" t="e">
        <f ca="1">_xll.BDH($C$528,"SHORT_AND_LONG_TERM_DEBT","FQ3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31" s="2" t="e">
        <f ca="1">_xll.BDH($C$528,"BS_ST_BORROW","FQ3 2014","FQ3 2014","Currency=INR","Period=FQ","BEST_FPERIOD_OVERRIDE=FQ","FILING_STATUS=OR","EQY_CONSOLIDATED=Y","SCALING_FORMAT=MLN","Sort=A","Dates=H","DateFormat=P","Fill=—","Direction=H","UseDPDF=Y")</f>
        <v>#NAME?</v>
      </c>
      <c r="CA531" s="2" t="e">
        <f ca="1">_xll.BDH($C$528,"BS_LT_BORROW","FQ3 2014","FQ3 2014","Currency=INR","Period=FQ","BEST_FPERIOD_OVERRIDE=FQ","FILING_STATUS=OR","EQY_CONSOLIDATED=Y","SCALING_FORMAT=MLN","Sort=A","Dates=H","DateFormat=P","Fill=—","Direction=H","UseDPDF=Y")</f>
        <v>#NAME?</v>
      </c>
      <c r="CB531" s="1" t="e">
        <f ca="1">_xll.BDH($C$528,"TOT_DEBT_TO_EBITDA","FQ3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31" s="1" t="e">
        <f ca="1">_xll.BDH($C$528,"NET_DEBT_TO_EBITDA","FQ3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31" s="1" t="e">
        <f ca="1">_xll.BDH($C$528,"TOTAL_DEBT_TO_EBIT","FQ3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31" s="1" t="e">
        <f ca="1">_xll.BDH($C$528,"NET_DEBT_TO_EBIT","FQ3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531" s="1" t="e">
        <f ca="1">_xll.BDH($C$528,"EBITDA_TO_INTEREST_EXPN","FQ3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31" s="1" t="e">
        <f ca="1">_xll.BDH($C$528,"COM_EQY_TO_TOT_ASSET","FQ3 2014","FQ3 2014","Currency=INR","Period=FQ","BEST_FPERIOD_OVERRIDE=FQ","FILING_STATUS=OR","EQY_CONSOLIDATED=Y","Sort=A","Dates=H","DateFormat=P","Fill=—","Direction=H","UseDPDF=Y")</f>
        <v>#NAME?</v>
      </c>
      <c r="CH531" s="1" t="e">
        <f ca="1">_xll.BDH($C$528,"LT_DEBT_TO_TOT_EQY","FQ3 2014","FQ3 2014","Currency=INR","Period=FQ","BEST_FPERIOD_OVERRIDE=FQ","FILING_STATUS=OR","EQY_CONSOLIDATED=Y","Sort=A","Dates=H","DateFormat=P","Fill=—","Direction=H","UseDPDF=Y")</f>
        <v>#NAME?</v>
      </c>
      <c r="CI531" s="1" t="e">
        <f ca="1">_xll.BDH($C$528,"LT_DEBT_TO_TOT_CAP","FQ3 2014","FQ3 2014","Currency=INR","Period=FQ","BEST_FPERIOD_OVERRIDE=FQ","FILING_STATUS=OR","EQY_CONSOLIDATED=Y","Sort=A","Dates=H","DateFormat=P","Fill=—","Direction=H","UseDPDF=Y")</f>
        <v>#NAME?</v>
      </c>
      <c r="CJ531" s="1" t="e">
        <f ca="1">_xll.BDH($C$528,"LT_DEBT_TO_TOT_ASSET","FQ3 2014","FQ3 2014","Currency=INR","Period=FQ","BEST_FPERIOD_OVERRIDE=FQ","FILING_STATUS=OR","EQY_CONSOLIDATED=Y","Sort=A","Dates=H","DateFormat=P","Fill=—","Direction=H","UseDPDF=Y")</f>
        <v>#NAME?</v>
      </c>
      <c r="CK531" s="1" t="e">
        <f ca="1">_xll.BDH($C$528,"TOT_DEBT_TO_TOT_EQY","FQ3 2014","FQ3 2014","Currency=INR","Period=FQ","BEST_FPERIOD_OVERRIDE=FQ","FILING_STATUS=OR","EQY_CONSOLIDATED=Y","Sort=A","Dates=H","DateFormat=P","Fill=—","Direction=H","UseDPDF=Y")</f>
        <v>#NAME?</v>
      </c>
      <c r="CL531" s="1" t="e">
        <f ca="1">_xll.BDH($C$528,"TOT_DEBT_TO_TOT_CAP","FQ3 2014","FQ3 2014","Currency=INR","Period=FQ","BEST_FPERIOD_OVERRIDE=FQ","FILING_STATUS=OR","EQY_CONSOLIDATED=Y","Sort=A","Dates=H","DateFormat=P","Fill=—","Direction=H","UseDPDF=Y")</f>
        <v>#NAME?</v>
      </c>
      <c r="CM531" s="1" t="e">
        <f ca="1">_xll.BDH($C$528,"TOT_DEBT_TO_TOT_ASSET","FQ3 2014","FQ3 2014","Currency=INR","Period=FQ","BEST_FPERIOD_OVERRIDE=FQ","FILING_STATUS=OR","EQY_CONSOLIDATED=Y","Sort=A","Dates=H","DateFormat=P","Fill=—","Direction=H","UseDPDF=Y")</f>
        <v>#NAME?</v>
      </c>
      <c r="CN531" s="1" t="e">
        <f ca="1">_xll.BDH($C$528,"NET_DEBT_TO_SHRHLDR_EQTY","FQ3 2014","FQ3 2014","Currency=INR","Period=FQ","BEST_FPERIOD_OVERRIDE=FQ","FILING_STATUS=OR","EQY_CONSOLIDATED=Y","Sort=A","Dates=H","DateFormat=P","Fill=—","Direction=H","UseDPDF=Y")</f>
        <v>#NAME?</v>
      </c>
      <c r="CO531" s="1" t="e">
        <f ca="1">_xll.BDH($C$528,"NET_DEBT_%_CAPITAL","FQ3 2014","FQ3 2014","Currency=INR","Period=FQ","BEST_FPERIOD_OVERRIDE=FQ","FILING_STATUS=OR","EQY_CONSOLIDATED=Y","Sort=A","Dates=H","DateFormat=P","Fill=—","Direction=H","UseDPDF=Y")</f>
        <v>#NAME?</v>
      </c>
      <c r="CP531" s="2" t="e">
        <f ca="1">_xll.BDH($C$528,"EBITDA","FQ3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31" s="2" t="e">
        <f ca="1">_xll.BDH($C$528,"EBITDA_AFTER_CAPEX","FQ3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31" s="2" t="e">
        <f ca="1">_xll.BDH($C$528,"IS_OPER_INC","FQ3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31" s="1" t="e">
        <f ca="1">_xll.BDH($C$528,"CASH_RATIO","FQ3 2014","FQ3 2014","Currency=INR","Period=FQ","BEST_FPERIOD_OVERRIDE=FQ","FILING_STATUS=OR","EQY_CONSOLIDATED=Y","Sort=A","Dates=H","DateFormat=P","Fill=—","Direction=H","UseDPDF=Y")</f>
        <v>#NAME?</v>
      </c>
      <c r="CT531" s="1" t="e">
        <f ca="1">_xll.BDH($C$528,"CUR_RATIO","FQ3 2014","FQ3 2014","Currency=INR","Period=FQ","BEST_FPERIOD_OVERRIDE=FQ","FILING_STATUS=OR","EQY_CONSOLIDATED=Y","Sort=A","Dates=H","DateFormat=P","Fill=—","Direction=H","UseDPDF=Y")</f>
        <v>#NAME?</v>
      </c>
      <c r="CU531" s="1" t="e">
        <f ca="1">_xll.BDH($C$528,"QUICK_RATIO","FQ3 2014","FQ3 2014","Currency=INR","Period=FQ","BEST_FPERIOD_OVERRIDE=FQ","FILING_STATUS=OR","EQY_CONSOLIDATED=Y","Sort=A","Dates=H","DateFormat=P","Fill=—","Direction=H","UseDPDF=Y")</f>
        <v>#NAME?</v>
      </c>
      <c r="CV531" s="1" t="e">
        <f ca="1">_xll.BDH($C$528,"ALTMAN_Z_SCORE","FQ3 2014","FQ3 2014","Currency=INR","Period=FQ","BEST_FPERIOD_OVERRIDE=FQ","FILING_STATUS=OR","EQY_CONSOLIDATED=Y","Sort=A","Dates=H","DateFormat=P","Fill=—","Direction=H","UseDPDF=Y")</f>
        <v>#NAME?</v>
      </c>
      <c r="CW531" s="3" t="e">
        <f ca="1">_xll.BDH($C$528,"ACCT_RCV_TURN","FQ3 2014","FQ3 2014","Currency=INR","Period=FQ","BEST_FPERIOD_OVERRIDE=FQ","FILING_STATUS=OR","EQY_CONSOLIDATED=Y","FA_ADJUSTED=GAAP","Sort=A","Dates=H","DateFormat=P","Fill=—","Direction=H","UseDPDF=Y")</f>
        <v>#NAME?</v>
      </c>
      <c r="CX531" s="1" t="e">
        <f ca="1">_xll.BDH($C$528,"ACCT_RCV_DAYS","FQ3 2014","FQ3 2014","Currency=INR","Period=FQ","BEST_FPERIOD_OVERRIDE=FQ","FILING_STATUS=OR","EQY_CONSOLIDATED=Y","FA_ADJUSTED=GAAP","Sort=A","Dates=H","DateFormat=P","Fill=—","Direction=H","UseDPDF=Y")</f>
        <v>#NAME?</v>
      </c>
      <c r="CY531" s="3" t="e">
        <f ca="1">_xll.BDH($C$528,"INVENT_TURN","FQ3 2014","FQ3 2014","Currency=INR","Period=FQ","BEST_FPERIOD_OVERRIDE=FQ","FILING_STATUS=OR","EQY_CONSOLIDATED=Y","FA_ADJUSTED=GAAP","Sort=A","Dates=H","DateFormat=P","Fill=—","Direction=H","UseDPDF=Y")</f>
        <v>#NAME?</v>
      </c>
      <c r="CZ531" s="1" t="e">
        <f ca="1">_xll.BDH($C$528,"INVENT_DAYS","FQ3 2014","FQ3 2014","Currency=INR","Period=FQ","BEST_FPERIOD_OVERRIDE=FQ","FILING_STATUS=OR","EQY_CONSOLIDATED=Y","FA_ADJUSTED=GAAP","Sort=A","Dates=H","DateFormat=P","Fill=—","Direction=H","UseDPDF=Y")</f>
        <v>#NAME?</v>
      </c>
      <c r="DA531" s="3" t="e">
        <f ca="1">_xll.BDH($C$528,"ACCOUNTS_PAYABLE_TURNOVER","FQ3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31" s="1" t="e">
        <f ca="1">_xll.BDH($C$528,"ACCOUNTS_PAYABLE_TURNOVER_DAYS","FQ3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31" s="3" t="e">
        <f ca="1">_xll.BDH($C$528,"CASH_CONVERSION_CYCLE","FQ3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31" s="3" t="e">
        <f ca="1">_xll.BDH($C$528,"INV_TO_CASH_DAYS","FQ3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531" s="4" t="e">
        <f ca="1">_xll.BDH($C$528,"BS_INVENTORIES","FQ3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531" s="2" t="e">
        <f ca="1">_xll.BDH($C$528,"INVTRY_RAW_MATERIALS","FQ3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31" s="2" t="e">
        <f ca="1">_xll.BDH($C$528,"INVTRY_IN_PROGRESS","FQ3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31" s="2" t="e">
        <f ca="1">_xll.BDH($C$528,"INVTRY_FINISHED_GOODS","FQ3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31" s="2" t="e">
        <f ca="1">_xll.BDH($C$528,"BS_OTHER_INV","FQ3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32" spans="1:113" x14ac:dyDescent="0.3">
      <c r="A532" s="6"/>
      <c r="B532" s="6"/>
      <c r="C532" s="6"/>
      <c r="D532" s="6"/>
      <c r="E532" t="s">
        <v>7</v>
      </c>
      <c r="F532" t="e">
        <f ca="1">_xll.BDH($C$528,"RETURN_COM_EQY","FQ4 2014","FQ4 2014","Currency=INR","Period=FQ","BEST_FPERIOD_OVERRIDE=FQ","FILING_STATUS=OR","EQY_CONSOLIDATED=Y","FA_ADJUSTED=GAAP","Sort=A","Dates=H","DateFormat=P","Fill=—","Direction=H","UseDPDF=Y")</f>
        <v>#NAME?</v>
      </c>
      <c r="G532" t="e">
        <f ca="1">_xll.BDH($C$528,"RETURN_ON_ASSET","FQ4 2014","FQ4 2014","Currency=INR","Period=FQ","BEST_FPERIOD_OVERRIDE=FQ","FILING_STATUS=OR","EQY_CONSOLIDATED=Y","FA_ADJUSTED=GAAP","Sort=A","Dates=H","DateFormat=P","Fill=—","Direction=H","UseDPDF=Y")</f>
        <v>#NAME?</v>
      </c>
      <c r="H532" t="e">
        <f ca="1">_xll.BDH($C$528,"RETURN_ON_CAP","FQ4 2014","FQ4 2014","Currency=INR","Period=FQ","BEST_FPERIOD_OVERRIDE=FQ","FILING_STATUS=OR","EQY_CONSOLIDATED=Y","FA_ADJUSTED=GAAP","Sort=A","Dates=H","DateFormat=P","Fill=—","Direction=H","UseDPDF=Y")</f>
        <v>#NAME?</v>
      </c>
      <c r="I532" t="e">
        <f ca="1">_xll.BDH($C$528,"RETURN_ON_INV_CAPITAL","FQ4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32" t="e">
        <f ca="1">_xll.BDH($C$528,"EBITDA_TO_REVENUE","FQ4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532" t="e">
        <f ca="1">_xll.BDH($C$528,"OPER_MARGIN","FQ4 2014","FQ4 2014","Currency=INR","Period=FQ","BEST_FPERIOD_OVERRIDE=FQ","FILING_STATUS=OR","EQY_CONSOLIDATED=Y","FA_ADJUSTED=GAAP","Sort=A","Dates=H","DateFormat=P","Fill=—","Direction=H","UseDPDF=Y")</f>
        <v>#NAME?</v>
      </c>
      <c r="L532" t="e">
        <f ca="1">_xll.BDH($C$528,"INCREMENTAL_OPERATING_MARGIN","FQ4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32" t="e">
        <f ca="1">_xll.BDH($C$528,"PRETAX_INC_TO_NET_SALES","FQ4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32" t="e">
        <f ca="1">_xll.BDH($C$528,"INC_BEF_XO_ITEMS_TO_NET_SALES","FQ4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32" t="e">
        <f ca="1">_xll.BDH($C$528,"PROF_MARGIN","FQ4 2014","FQ4 2014","Currency=INR","Period=FQ","BEST_FPERIOD_OVERRIDE=FQ","FILING_STATUS=OR","EQY_CONSOLIDATED=Y","FA_ADJUSTED=GAAP","Sort=A","Dates=H","DateFormat=P","Fill=—","Direction=H","UseDPDF=Y")</f>
        <v>#NAME?</v>
      </c>
      <c r="P532" t="e">
        <f ca="1">_xll.BDH($C$528,"NET_INCOME_TO_COMMON_MARGIN","FQ4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32" t="e">
        <f ca="1">_xll.BDH($C$528,"EFF_TAX_RATE","FQ4 2014","FQ4 2014","Currency=INR","Period=FQ","BEST_FPERIOD_OVERRIDE=FQ","FILING_STATUS=OR","EQY_CONSOLIDATED=Y","FA_ADJUSTED=GAAP","Sort=A","Dates=H","DateFormat=P","Fill=—","Direction=H","UseDPDF=Y")</f>
        <v>#NAME?</v>
      </c>
      <c r="R532" t="e">
        <f ca="1">_xll.BDH($C$528,"DVD_PAYOUT_RATIO","FQ4 2014","FQ4 2014","Currency=INR","Period=FQ","BEST_FPERIOD_OVERRIDE=FQ","FILING_STATUS=OR","EQY_CONSOLIDATED=Y","FA_ADJUSTED=GAAP","Sort=A","Dates=H","DateFormat=P","Fill=—","Direction=H","UseDPDF=Y")</f>
        <v>#NAME?</v>
      </c>
      <c r="S532" t="e">
        <f ca="1">_xll.BDH($C$528,"SUSTAIN_GROWTH_RT","FQ4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532" s="1" t="e">
        <f ca="1">_xll.BDH($C$528,"SALES_GROWTH","FQ4 2014","FQ4 2014","Currency=INR","Period=FQ","BEST_FPERIOD_OVERRIDE=FQ","FILING_STATUS=OR","EQY_CONSOLIDATED=Y","FA_ADJUSTED=GAAP","Sort=A","Dates=H","DateFormat=P","Fill=—","Direction=H","UseDPDF=Y")</f>
        <v>#NAME?</v>
      </c>
      <c r="U532" s="1" t="e">
        <f ca="1">_xll.BDH($C$528,"EBITDA_GROWTH","FQ4 2014","FQ4 2014","Currency=INR","Period=FQ","BEST_FPERIOD_OVERRIDE=FQ","FILING_STATUS=OR","EQY_CONSOLIDATED=Y","FA_ADJUSTED=GAAP","Sort=A","Dates=H","DateFormat=P","Fill=—","Direction=H","UseDPDF=Y")</f>
        <v>#NAME?</v>
      </c>
      <c r="V532" s="1" t="e">
        <f ca="1">_xll.BDH($C$528,"OPER_INC_GROWTH","FQ4 2014","FQ4 2014","Currency=INR","Period=FQ","BEST_FPERIOD_OVERRIDE=FQ","FILING_STATUS=OR","EQY_CONSOLIDATED=Y","FA_ADJUSTED=GAAP","Sort=A","Dates=H","DateFormat=P","Fill=—","Direction=H","UseDPDF=Y")</f>
        <v>#NAME?</v>
      </c>
      <c r="W532" s="1" t="e">
        <f ca="1">_xll.BDH($C$528,"EARN_FOR_COM_GROWTH","FQ4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32" s="1" t="e">
        <f ca="1">_xll.BDH($C$528,"DILUTED_EPS_AFT_XO_ITEMS_GROWTH","FQ4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32" s="1" t="e">
        <f ca="1">_xll.BDH($C$528,"DIVIDEND_PER_SHARE_1_YEAR_GROWTH","FQ4 2014","FQ4 2014","Currency=INR","Period=FQ","BEST_FPERIOD_OVERRIDE=FQ","FILING_STATUS=OR","EQY_CONSOLIDATED=Y","Sort=A","Dates=H","DateFormat=P","Fill=—","Direction=H","UseDPDF=Y")</f>
        <v>#NAME?</v>
      </c>
      <c r="Z532" s="1" t="e">
        <f ca="1">_xll.BDH($C$528,"ACCOUNTS_RECEIVABLE_GROWTH","FQ4 2014","FQ4 2014","Currency=INR","Period=FQ","BEST_FPERIOD_OVERRIDE=FQ","FILING_STATUS=OR","EQY_CONSOLIDATED=Y","Sort=A","Dates=H","DateFormat=P","Fill=—","Direction=H","UseDPDF=Y")</f>
        <v>#NAME?</v>
      </c>
      <c r="AA532" s="1" t="e">
        <f ca="1">_xll.BDH($C$528,"INVENTORY_GROWTH","FQ4 2014","FQ4 2014","Currency=INR","Period=FQ","BEST_FPERIOD_OVERRIDE=FQ","FILING_STATUS=OR","EQY_CONSOLIDATED=Y","Sort=A","Dates=H","DateFormat=P","Fill=—","Direction=H","UseDPDF=Y")</f>
        <v>#NAME?</v>
      </c>
      <c r="AB532" s="1" t="e">
        <f ca="1">_xll.BDH($C$528,"NET_FIXED_ASSETS_1_YEAR_GROWTH","FQ4 2014","FQ4 2014","Currency=INR","Period=FQ","BEST_FPERIOD_OVERRIDE=FQ","FILING_STATUS=OR","EQY_CONSOLIDATED=Y","Sort=A","Dates=H","DateFormat=P","Fill=—","Direction=H","UseDPDF=Y")</f>
        <v>#NAME?</v>
      </c>
      <c r="AC532" s="1" t="e">
        <f ca="1">_xll.BDH($C$528,"ASSET_GROWTH","FQ4 2014","FQ4 2014","Currency=INR","Period=FQ","BEST_FPERIOD_OVERRIDE=FQ","FILING_STATUS=OR","EQY_CONSOLIDATED=Y","Sort=A","Dates=H","DateFormat=P","Fill=—","Direction=H","UseDPDF=Y")</f>
        <v>#NAME?</v>
      </c>
      <c r="AD532" s="1" t="e">
        <f ca="1">_xll.BDH($C$528,"MODIFIED_WORK_CAP_GROWTH","FQ4 2014","FQ4 2014","Currency=INR","Period=FQ","BEST_FPERIOD_OVERRIDE=FQ","FILING_STATUS=OR","EQY_CONSOLIDATED=Y","Sort=A","Dates=H","DateFormat=P","Fill=—","Direction=H","UseDPDF=Y")</f>
        <v>#NAME?</v>
      </c>
      <c r="AE532" s="1" t="e">
        <f ca="1">_xll.BDH($C$528,"WORK_CAP_GROWTH","FQ4 2014","FQ4 2014","Currency=INR","Period=FQ","BEST_FPERIOD_OVERRIDE=FQ","FILING_STATUS=OR","EQY_CONSOLIDATED=Y","Sort=A","Dates=H","DateFormat=P","Fill=—","Direction=H","UseDPDF=Y")</f>
        <v>#NAME?</v>
      </c>
      <c r="AF532" s="1" t="e">
        <f ca="1">_xll.BDH($C$528,"ACCOUNTS_PAYABLE_GROWTH_1YR","FQ4 2014","FQ4 2014","Currency=INR","Period=FQ","BEST_FPERIOD_OVERRIDE=FQ","FILING_STATUS=OR","EQY_CONSOLIDATED=Y","Sort=A","Dates=H","DateFormat=P","Fill=—","Direction=H","UseDPDF=Y")</f>
        <v>#NAME?</v>
      </c>
      <c r="AG532" s="1" t="e">
        <f ca="1">_xll.BDH($C$528,"SHORT_TERM_DEBT_1_YEAR_GROWTH","FQ4 2014","FQ4 2014","Currency=INR","Period=FQ","BEST_FPERIOD_OVERRIDE=FQ","FILING_STATUS=OR","EQY_CONSOLIDATED=Y","Sort=A","Dates=H","DateFormat=P","Fill=—","Direction=H","UseDPDF=Y")</f>
        <v>#NAME?</v>
      </c>
      <c r="AH532" s="1" t="e">
        <f ca="1">_xll.BDH($C$528,"TOTAL_DEBT_1_YEAR_GROWTH","FQ4 2014","FQ4 2014","Currency=INR","Period=FQ","BEST_FPERIOD_OVERRIDE=FQ","FILING_STATUS=OR","EQY_CONSOLIDATED=Y","Sort=A","Dates=H","DateFormat=P","Fill=—","Direction=H","UseDPDF=Y")</f>
        <v>#NAME?</v>
      </c>
      <c r="AI532" s="1" t="e">
        <f ca="1">_xll.BDH($C$528,"TOTAL_EQUITY_1_YEAR_GROWTH","FQ4 2014","FQ4 2014","Currency=INR","Period=FQ","BEST_FPERIOD_OVERRIDE=FQ","FILING_STATUS=OR","EQY_CONSOLIDATED=Y","Sort=A","Dates=H","DateFormat=P","Fill=—","Direction=H","UseDPDF=Y")</f>
        <v>#NAME?</v>
      </c>
      <c r="AJ532" s="1" t="e">
        <f ca="1">_xll.BDH($C$528,"GROWTH_IN_CAP","FQ4 2014","FQ4 2014","Currency=INR","Period=FQ","BEST_FPERIOD_OVERRIDE=FQ","FILING_STATUS=OR","EQY_CONSOLIDATED=Y","Sort=A","Dates=H","DateFormat=P","Fill=—","Direction=H","UseDPDF=Y")</f>
        <v>#NAME?</v>
      </c>
      <c r="AK532" s="1" t="e">
        <f ca="1">_xll.BDH($C$528,"BVPS_GROWTH","FQ4 2014","FQ4 2014","Currency=INR","Period=FQ","BEST_FPERIOD_OVERRIDE=FQ","FILING_STATUS=OR","EQY_CONSOLIDATED=Y","Sort=A","Dates=H","DateFormat=P","Fill=—","Direction=H","UseDPDF=Y")</f>
        <v>#NAME?</v>
      </c>
      <c r="AL532" s="1" t="e">
        <f ca="1">_xll.BDH($C$528,"CASH_FLOW_GROWTH","FQ4 2014","FQ4 2014","Currency=INR","Period=FQ","BEST_FPERIOD_OVERRIDE=FQ","FILING_STATUS=OR","EQY_CONSOLIDATED=Y","Sort=A","Dates=H","DateFormat=P","Fill=—","Direction=H","UseDPDF=Y")</f>
        <v>#NAME?</v>
      </c>
      <c r="AM532" s="1" t="e">
        <f ca="1">_xll.BDH($C$528,"GEO_GROW_NET_SALES","FQ4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32" s="1" t="e">
        <f ca="1">_xll.BDH($C$528,"GEO_GROW_EBITDA","FQ4 2014","FQ4 2014","Currency=INR","Period=FQ","BEST_FPERIOD_OVERRIDE=FQ","FILING_STATUS=OR","EQY_CONSOLIDATED=Y","FA_ADJUSTED=GAAP","Sort=A","Dates=H","DateFormat=P","Fill=—","Direction=H","UseDPDF=Y")</f>
        <v>#NAME?</v>
      </c>
      <c r="AO532" s="1" t="e">
        <f ca="1">_xll.BDH($C$528,"GEO_GROW_OPER_INC","FQ4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32" s="1" t="e">
        <f ca="1">_xll.BDH($C$528,"NET_INCOME_TO_COMMON_5_YR_GROWTH","FQ4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32" s="1" t="e">
        <f ca="1">_xll.BDH($C$528,"5Y_GEO_GROWTH_DILUTED_EPS","FQ4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32" s="1" t="e">
        <f ca="1">_xll.BDH($C$528,"GEO_GROW_DVD_PER_SH","FQ4 2014","FQ4 2014","Currency=INR","Period=FQ","BEST_FPERIOD_OVERRIDE=FQ","FILING_STATUS=OR","EQY_CONSOLIDATED=Y","Sort=A","Dates=H","DateFormat=P","Fill=—","Direction=H","UseDPDF=Y")</f>
        <v>#NAME?</v>
      </c>
      <c r="AS532" s="1" t="e">
        <f ca="1">_xll.BDH($C$528,"ACCOUNTS_RECEIVABLE_5_YR_GROWTH","FQ4 2014","FQ4 2014","Currency=INR","Period=FQ","BEST_FPERIOD_OVERRIDE=FQ","FILING_STATUS=OR","EQY_CONSOLIDATED=Y","Sort=A","Dates=H","DateFormat=P","Fill=—","Direction=H","UseDPDF=Y")</f>
        <v>#NAME?</v>
      </c>
      <c r="AT532" s="1" t="e">
        <f ca="1">_xll.BDH($C$528,"INVENTORY_5_YEAR_GROWTH","FQ4 2014","FQ4 2014","Currency=INR","Period=FQ","BEST_FPERIOD_OVERRIDE=FQ","FILING_STATUS=OR","EQY_CONSOLIDATED=Y","Sort=A","Dates=H","DateFormat=P","Fill=—","Direction=H","UseDPDF=Y")</f>
        <v>#NAME?</v>
      </c>
      <c r="AU532" s="1" t="e">
        <f ca="1">_xll.BDH($C$528,"NET_FIXED_ASSETS_5_YEAR_GROWTH","FQ4 2014","FQ4 2014","Currency=INR","Period=FQ","BEST_FPERIOD_OVERRIDE=FQ","FILING_STATUS=OR","EQY_CONSOLIDATED=Y","Sort=A","Dates=H","DateFormat=P","Fill=—","Direction=H","UseDPDF=Y")</f>
        <v>#NAME?</v>
      </c>
      <c r="AV532" s="1" t="e">
        <f ca="1">_xll.BDH($C$528,"GEO_GROW_TOT_ASSET","FQ4 2014","FQ4 2014","Currency=INR","Period=FQ","BEST_FPERIOD_OVERRIDE=FQ","FILING_STATUS=OR","EQY_CONSOLIDATED=Y","Sort=A","Dates=H","DateFormat=P","Fill=—","Direction=H","UseDPDF=Y")</f>
        <v>#NAME?</v>
      </c>
      <c r="AW532" s="1" t="e">
        <f ca="1">_xll.BDH($C$528,"MODIFIED_WORKING_CPTL_5YR_GRWTH","FQ4 2014","FQ4 2014","Currency=INR","Period=FQ","BEST_FPERIOD_OVERRIDE=FQ","FILING_STATUS=OR","EQY_CONSOLIDATED=Y","Sort=A","Dates=H","DateFormat=P","Fill=—","Direction=H","UseDPDF=Y")</f>
        <v>#NAME?</v>
      </c>
      <c r="AX532" s="1" t="e">
        <f ca="1">_xll.BDH($C$528,"WORKING_CAPITAL_5_YEAR_GROWTH","FQ4 2014","FQ4 2014","Currency=INR","Period=FQ","BEST_FPERIOD_OVERRIDE=FQ","FILING_STATUS=OR","EQY_CONSOLIDATED=Y","Sort=A","Dates=H","DateFormat=P","Fill=—","Direction=H","UseDPDF=Y")</f>
        <v>#NAME?</v>
      </c>
      <c r="AY532" s="1" t="e">
        <f ca="1">_xll.BDH($C$528,"ACCOUNTS_PAYABLE_5_YEAR_GROWTH","FQ4 2014","FQ4 2014","Currency=INR","Period=FQ","BEST_FPERIOD_OVERRIDE=FQ","FILING_STATUS=OR","EQY_CONSOLIDATED=Y","Sort=A","Dates=H","DateFormat=P","Fill=—","Direction=H","UseDPDF=Y")</f>
        <v>#NAME?</v>
      </c>
      <c r="AZ532" s="1" t="e">
        <f ca="1">_xll.BDH($C$528,"SHORT_TERM_DEBT_5_YEAR_GROWTH","FQ4 2014","FQ4 2014","Currency=INR","Period=FQ","BEST_FPERIOD_OVERRIDE=FQ","FILING_STATUS=OR","EQY_CONSOLIDATED=Y","Sort=A","Dates=H","DateFormat=P","Fill=—","Direction=H","UseDPDF=Y")</f>
        <v>#NAME?</v>
      </c>
      <c r="BA532" s="1" t="e">
        <f ca="1">_xll.BDH($C$528,"TOTAL_DEBT_5_YEAR_GROWTH","FQ4 2014","FQ4 2014","Currency=INR","Period=FQ","BEST_FPERIOD_OVERRIDE=FQ","FILING_STATUS=OR","EQY_CONSOLIDATED=Y","Sort=A","Dates=H","DateFormat=P","Fill=—","Direction=H","UseDPDF=Y")</f>
        <v>#NAME?</v>
      </c>
      <c r="BB532" s="1" t="e">
        <f ca="1">_xll.BDH($C$528,"GEO_GROW_TOT_SHRHLDR_EQY","FQ4 2014","FQ4 2014","Currency=INR","Period=FQ","BEST_FPERIOD_OVERRIDE=FQ","FILING_STATUS=OR","EQY_CONSOLIDATED=Y","Sort=A","Dates=H","DateFormat=P","Fill=—","Direction=H","UseDPDF=Y")</f>
        <v>#NAME?</v>
      </c>
      <c r="BC532" s="1" t="e">
        <f ca="1">_xll.BDH($C$528,"TOTAL_CAPITAL_5_YEAR_GROWTH","FQ4 2014","FQ4 2014","Currency=INR","Period=FQ","BEST_FPERIOD_OVERRIDE=FQ","FILING_STATUS=OR","EQY_CONSOLIDATED=Y","Sort=A","Dates=H","DateFormat=P","Fill=—","Direction=H","UseDPDF=Y")</f>
        <v>#NAME?</v>
      </c>
      <c r="BD532" s="1" t="e">
        <f ca="1">_xll.BDH($C$528,"GEO_GROW_BOOK_VAL","FQ4 2014","FQ4 2014","Currency=INR","Period=FQ","BEST_FPERIOD_OVERRIDE=FQ","FILING_STATUS=OR","EQY_CONSOLIDATED=Y","Sort=A","Dates=H","DateFormat=P","Fill=—","Direction=H","UseDPDF=Y")</f>
        <v>#NAME?</v>
      </c>
      <c r="BE532" s="1" t="e">
        <f ca="1">_xll.BDH($C$528,"GEO_GROW_CASH_OPER_ACT","FQ4 2014","FQ4 2014","Currency=INR","Period=FQ","BEST_FPERIOD_OVERRIDE=FQ","FILING_STATUS=OR","EQY_CONSOLIDATED=Y","Sort=A","Dates=H","DateFormat=P","Fill=—","Direction=H","UseDPDF=Y")</f>
        <v>#NAME?</v>
      </c>
      <c r="BF532" s="1" t="e">
        <f ca="1">_xll.BDH($C$528,"REVENUE_SEQUENTIAL_GROWTH","FQ4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32" s="1" t="e">
        <f ca="1">_xll.BDH($C$528,"EBITDA_SEQUENTIAL_GROWTH","FQ4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32" s="1" t="e">
        <f ca="1">_xll.BDH($C$528,"OPERATING_INCOME_SEQ_GROWTH","FQ4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32" s="1" t="e">
        <f ca="1">_xll.BDH($C$528,"NET_INCOME_TO_COMMON_SEQ_GROWTH","FQ4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32" s="1" t="e">
        <f ca="1">_xll.BDH($C$528,"EPS_DILUTED_SEQUENTIAL_GROWTH","FQ4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32" s="1" t="e">
        <f ca="1">_xll.BDH($C$528,"DPS_SEQUENTIAL_GROWTH","FQ4 2014","FQ4 2014","Currency=INR","Period=FQ","BEST_FPERIOD_OVERRIDE=FQ","FILING_STATUS=OR","EQY_CONSOLIDATED=Y","Sort=A","Dates=H","DateFormat=P","Fill=—","Direction=H","UseDPDF=Y")</f>
        <v>#NAME?</v>
      </c>
      <c r="BL532" s="1" t="e">
        <f ca="1">_xll.BDH($C$528,"ACCOUNTS_RECEIVABLE_SEQ_GROWTH","FQ4 2014","FQ4 2014","Currency=INR","Period=FQ","BEST_FPERIOD_OVERRIDE=FQ","FILING_STATUS=OR","EQY_CONSOLIDATED=Y","Sort=A","Dates=H","DateFormat=P","Fill=—","Direction=H","UseDPDF=Y")</f>
        <v>#NAME?</v>
      </c>
      <c r="BM532" s="1" t="e">
        <f ca="1">_xll.BDH($C$528,"INVENTORY_SEQUENTIAL_GROWTH","FQ4 2014","FQ4 2014","Currency=INR","Period=FQ","BEST_FPERIOD_OVERRIDE=FQ","FILING_STATUS=OR","EQY_CONSOLIDATED=Y","Sort=A","Dates=H","DateFormat=P","Fill=—","Direction=H","UseDPDF=Y")</f>
        <v>#NAME?</v>
      </c>
      <c r="BN532" s="1" t="e">
        <f ca="1">_xll.BDH($C$528,"FIXED_ASSETS_SEQUENTIAL_GROWTH","FQ4 2014","FQ4 2014","Currency=INR","Period=FQ","BEST_FPERIOD_OVERRIDE=FQ","FILING_STATUS=OR","EQY_CONSOLIDATED=Y","Sort=A","Dates=H","DateFormat=P","Fill=—","Direction=H","UseDPDF=Y")</f>
        <v>#NAME?</v>
      </c>
      <c r="BO532" s="1" t="e">
        <f ca="1">_xll.BDH($C$528,"TOTAL_ASSETS_SEQUENTIAL_GROWTH","FQ4 2014","FQ4 2014","Currency=INR","Period=FQ","BEST_FPERIOD_OVERRIDE=FQ","FILING_STATUS=OR","EQY_CONSOLIDATED=Y","Sort=A","Dates=H","DateFormat=P","Fill=—","Direction=H","UseDPDF=Y")</f>
        <v>#NAME?</v>
      </c>
      <c r="BP532" s="1" t="e">
        <f ca="1">_xll.BDH($C$528,"MODIFIED_WORKING_CPTL_SEQ_GRWTH","FQ4 2014","FQ4 2014","Currency=INR","Period=FQ","BEST_FPERIOD_OVERRIDE=FQ","FILING_STATUS=OR","EQY_CONSOLIDATED=Y","Sort=A","Dates=H","DateFormat=P","Fill=—","Direction=H","UseDPDF=Y")</f>
        <v>#NAME?</v>
      </c>
      <c r="BQ532" s="1" t="e">
        <f ca="1">_xll.BDH($C$528,"WORKING_CAPITAL_SEQ_GROWTH","FQ4 2014","FQ4 2014","Currency=INR","Period=FQ","BEST_FPERIOD_OVERRIDE=FQ","FILING_STATUS=OR","EQY_CONSOLIDATED=Y","Sort=A","Dates=H","DateFormat=P","Fill=—","Direction=H","UseDPDF=Y")</f>
        <v>#NAME?</v>
      </c>
      <c r="BR532" s="1" t="e">
        <f ca="1">_xll.BDH($C$528,"ACCOUNTS_PAYABLE_SEQ_GROWTH","FQ4 2014","FQ4 2014","Currency=INR","Period=FQ","BEST_FPERIOD_OVERRIDE=FQ","FILING_STATUS=OR","EQY_CONSOLIDATED=Y","Sort=A","Dates=H","DateFormat=P","Fill=—","Direction=H","UseDPDF=Y")</f>
        <v>#NAME?</v>
      </c>
      <c r="BS532" s="1" t="e">
        <f ca="1">_xll.BDH($C$528,"ST_DEBT_SEQUENTIAL_GROWTH","FQ4 2014","FQ4 2014","Currency=INR","Period=FQ","BEST_FPERIOD_OVERRIDE=FQ","FILING_STATUS=OR","EQY_CONSOLIDATED=Y","Sort=A","Dates=H","DateFormat=P","Fill=—","Direction=H","UseDPDF=Y")</f>
        <v>#NAME?</v>
      </c>
      <c r="BT532" s="1" t="e">
        <f ca="1">_xll.BDH($C$528,"TOTAL_DEBT_SEQUENTIAL_GROWTH","FQ4 2014","FQ4 2014","Currency=INR","Period=FQ","BEST_FPERIOD_OVERRIDE=FQ","FILING_STATUS=OR","EQY_CONSOLIDATED=Y","Sort=A","Dates=H","DateFormat=P","Fill=—","Direction=H","UseDPDF=Y")</f>
        <v>#NAME?</v>
      </c>
      <c r="BU532" s="1" t="e">
        <f ca="1">_xll.BDH($C$528,"TOTAL_EQUITY_SEQUENTIAL_GROWTH","FQ4 2014","FQ4 2014","Currency=INR","Period=FQ","BEST_FPERIOD_OVERRIDE=FQ","FILING_STATUS=OR","EQY_CONSOLIDATED=Y","Sort=A","Dates=H","DateFormat=P","Fill=—","Direction=H","UseDPDF=Y")</f>
        <v>#NAME?</v>
      </c>
      <c r="BV532" s="1" t="e">
        <f ca="1">_xll.BDH($C$528,"TOTAL_CAPITAL_SEQUENTIAL_GROWTH","FQ4 2014","FQ4 2014","Currency=INR","Period=FQ","BEST_FPERIOD_OVERRIDE=FQ","FILING_STATUS=OR","EQY_CONSOLIDATED=Y","Sort=A","Dates=H","DateFormat=P","Fill=—","Direction=H","UseDPDF=Y")</f>
        <v>#NAME?</v>
      </c>
      <c r="BW532" s="1" t="e">
        <f ca="1">_xll.BDH($C$528,"BPS_SEQUENTIAL_GROWTH","FQ4 2014","FQ4 2014","Currency=INR","Period=FQ","BEST_FPERIOD_OVERRIDE=FQ","FILING_STATUS=OR","EQY_CONSOLIDATED=Y","Sort=A","Dates=H","DateFormat=P","Fill=—","Direction=H","UseDPDF=Y")</f>
        <v>#NAME?</v>
      </c>
      <c r="BX532" s="1" t="e">
        <f ca="1">_xll.BDH($C$528,"CFO_SEQUENTIAL_GROWTH","FQ4 2014","FQ4 2014","Currency=INR","Period=FQ","BEST_FPERIOD_OVERRIDE=FQ","FILING_STATUS=OR","EQY_CONSOLIDATED=Y","Sort=A","Dates=H","DateFormat=P","Fill=—","Direction=H","UseDPDF=Y")</f>
        <v>#NAME?</v>
      </c>
      <c r="BY532" s="2" t="e">
        <f ca="1">_xll.BDH($C$528,"SHORT_AND_LONG_TERM_DEBT","FQ4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32" s="2" t="e">
        <f ca="1">_xll.BDH($C$528,"BS_ST_BORROW","FQ4 2014","FQ4 2014","Currency=INR","Period=FQ","BEST_FPERIOD_OVERRIDE=FQ","FILING_STATUS=OR","EQY_CONSOLIDATED=Y","SCALING_FORMAT=MLN","Sort=A","Dates=H","DateFormat=P","Fill=—","Direction=H","UseDPDF=Y")</f>
        <v>#NAME?</v>
      </c>
      <c r="CA532" s="2" t="e">
        <f ca="1">_xll.BDH($C$528,"BS_LT_BORROW","FQ4 2014","FQ4 2014","Currency=INR","Period=FQ","BEST_FPERIOD_OVERRIDE=FQ","FILING_STATUS=OR","EQY_CONSOLIDATED=Y","SCALING_FORMAT=MLN","Sort=A","Dates=H","DateFormat=P","Fill=—","Direction=H","UseDPDF=Y")</f>
        <v>#NAME?</v>
      </c>
      <c r="CB532" s="1" t="e">
        <f ca="1">_xll.BDH($C$528,"TOT_DEBT_TO_EBITDA","FQ4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32" s="1" t="e">
        <f ca="1">_xll.BDH($C$528,"NET_DEBT_TO_EBITDA","FQ4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32" s="1" t="e">
        <f ca="1">_xll.BDH($C$528,"TOTAL_DEBT_TO_EBIT","FQ4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32" s="1" t="e">
        <f ca="1">_xll.BDH($C$528,"NET_DEBT_TO_EBIT","FQ4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532" s="1" t="e">
        <f ca="1">_xll.BDH($C$528,"EBITDA_TO_INTEREST_EXPN","FQ4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32" s="1" t="e">
        <f ca="1">_xll.BDH($C$528,"COM_EQY_TO_TOT_ASSET","FQ4 2014","FQ4 2014","Currency=INR","Period=FQ","BEST_FPERIOD_OVERRIDE=FQ","FILING_STATUS=OR","EQY_CONSOLIDATED=Y","Sort=A","Dates=H","DateFormat=P","Fill=—","Direction=H","UseDPDF=Y")</f>
        <v>#NAME?</v>
      </c>
      <c r="CH532" s="1" t="e">
        <f ca="1">_xll.BDH($C$528,"LT_DEBT_TO_TOT_EQY","FQ4 2014","FQ4 2014","Currency=INR","Period=FQ","BEST_FPERIOD_OVERRIDE=FQ","FILING_STATUS=OR","EQY_CONSOLIDATED=Y","Sort=A","Dates=H","DateFormat=P","Fill=—","Direction=H","UseDPDF=Y")</f>
        <v>#NAME?</v>
      </c>
      <c r="CI532" s="1" t="e">
        <f ca="1">_xll.BDH($C$528,"LT_DEBT_TO_TOT_CAP","FQ4 2014","FQ4 2014","Currency=INR","Period=FQ","BEST_FPERIOD_OVERRIDE=FQ","FILING_STATUS=OR","EQY_CONSOLIDATED=Y","Sort=A","Dates=H","DateFormat=P","Fill=—","Direction=H","UseDPDF=Y")</f>
        <v>#NAME?</v>
      </c>
      <c r="CJ532" s="1" t="e">
        <f ca="1">_xll.BDH($C$528,"LT_DEBT_TO_TOT_ASSET","FQ4 2014","FQ4 2014","Currency=INR","Period=FQ","BEST_FPERIOD_OVERRIDE=FQ","FILING_STATUS=OR","EQY_CONSOLIDATED=Y","Sort=A","Dates=H","DateFormat=P","Fill=—","Direction=H","UseDPDF=Y")</f>
        <v>#NAME?</v>
      </c>
      <c r="CK532" s="1" t="e">
        <f ca="1">_xll.BDH($C$528,"TOT_DEBT_TO_TOT_EQY","FQ4 2014","FQ4 2014","Currency=INR","Period=FQ","BEST_FPERIOD_OVERRIDE=FQ","FILING_STATUS=OR","EQY_CONSOLIDATED=Y","Sort=A","Dates=H","DateFormat=P","Fill=—","Direction=H","UseDPDF=Y")</f>
        <v>#NAME?</v>
      </c>
      <c r="CL532" s="1" t="e">
        <f ca="1">_xll.BDH($C$528,"TOT_DEBT_TO_TOT_CAP","FQ4 2014","FQ4 2014","Currency=INR","Period=FQ","BEST_FPERIOD_OVERRIDE=FQ","FILING_STATUS=OR","EQY_CONSOLIDATED=Y","Sort=A","Dates=H","DateFormat=P","Fill=—","Direction=H","UseDPDF=Y")</f>
        <v>#NAME?</v>
      </c>
      <c r="CM532" s="1" t="e">
        <f ca="1">_xll.BDH($C$528,"TOT_DEBT_TO_TOT_ASSET","FQ4 2014","FQ4 2014","Currency=INR","Period=FQ","BEST_FPERIOD_OVERRIDE=FQ","FILING_STATUS=OR","EQY_CONSOLIDATED=Y","Sort=A","Dates=H","DateFormat=P","Fill=—","Direction=H","UseDPDF=Y")</f>
        <v>#NAME?</v>
      </c>
      <c r="CN532" s="1" t="e">
        <f ca="1">_xll.BDH($C$528,"NET_DEBT_TO_SHRHLDR_EQTY","FQ4 2014","FQ4 2014","Currency=INR","Period=FQ","BEST_FPERIOD_OVERRIDE=FQ","FILING_STATUS=OR","EQY_CONSOLIDATED=Y","Sort=A","Dates=H","DateFormat=P","Fill=—","Direction=H","UseDPDF=Y")</f>
        <v>#NAME?</v>
      </c>
      <c r="CO532" s="1" t="e">
        <f ca="1">_xll.BDH($C$528,"NET_DEBT_%_CAPITAL","FQ4 2014","FQ4 2014","Currency=INR","Period=FQ","BEST_FPERIOD_OVERRIDE=FQ","FILING_STATUS=OR","EQY_CONSOLIDATED=Y","Sort=A","Dates=H","DateFormat=P","Fill=—","Direction=H","UseDPDF=Y")</f>
        <v>#NAME?</v>
      </c>
      <c r="CP532" s="2" t="e">
        <f ca="1">_xll.BDH($C$528,"EBITDA","FQ4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32" s="2" t="e">
        <f ca="1">_xll.BDH($C$528,"EBITDA_AFTER_CAPEX","FQ4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32" s="2" t="e">
        <f ca="1">_xll.BDH($C$528,"IS_OPER_INC","FQ4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32" s="1" t="e">
        <f ca="1">_xll.BDH($C$528,"CASH_RATIO","FQ4 2014","FQ4 2014","Currency=INR","Period=FQ","BEST_FPERIOD_OVERRIDE=FQ","FILING_STATUS=OR","EQY_CONSOLIDATED=Y","Sort=A","Dates=H","DateFormat=P","Fill=—","Direction=H","UseDPDF=Y")</f>
        <v>#NAME?</v>
      </c>
      <c r="CT532" s="1" t="e">
        <f ca="1">_xll.BDH($C$528,"CUR_RATIO","FQ4 2014","FQ4 2014","Currency=INR","Period=FQ","BEST_FPERIOD_OVERRIDE=FQ","FILING_STATUS=OR","EQY_CONSOLIDATED=Y","Sort=A","Dates=H","DateFormat=P","Fill=—","Direction=H","UseDPDF=Y")</f>
        <v>#NAME?</v>
      </c>
      <c r="CU532" s="1" t="e">
        <f ca="1">_xll.BDH($C$528,"QUICK_RATIO","FQ4 2014","FQ4 2014","Currency=INR","Period=FQ","BEST_FPERIOD_OVERRIDE=FQ","FILING_STATUS=OR","EQY_CONSOLIDATED=Y","Sort=A","Dates=H","DateFormat=P","Fill=—","Direction=H","UseDPDF=Y")</f>
        <v>#NAME?</v>
      </c>
      <c r="CV532" s="1" t="e">
        <f ca="1">_xll.BDH($C$528,"ALTMAN_Z_SCORE","FQ4 2014","FQ4 2014","Currency=INR","Period=FQ","BEST_FPERIOD_OVERRIDE=FQ","FILING_STATUS=OR","EQY_CONSOLIDATED=Y","Sort=A","Dates=H","DateFormat=P","Fill=—","Direction=H","UseDPDF=Y")</f>
        <v>#NAME?</v>
      </c>
      <c r="CW532" s="3" t="e">
        <f ca="1">_xll.BDH($C$528,"ACCT_RCV_TURN","FQ4 2014","FQ4 2014","Currency=INR","Period=FQ","BEST_FPERIOD_OVERRIDE=FQ","FILING_STATUS=OR","EQY_CONSOLIDATED=Y","FA_ADJUSTED=GAAP","Sort=A","Dates=H","DateFormat=P","Fill=—","Direction=H","UseDPDF=Y")</f>
        <v>#NAME?</v>
      </c>
      <c r="CX532" s="1" t="e">
        <f ca="1">_xll.BDH($C$528,"ACCT_RCV_DAYS","FQ4 2014","FQ4 2014","Currency=INR","Period=FQ","BEST_FPERIOD_OVERRIDE=FQ","FILING_STATUS=OR","EQY_CONSOLIDATED=Y","FA_ADJUSTED=GAAP","Sort=A","Dates=H","DateFormat=P","Fill=—","Direction=H","UseDPDF=Y")</f>
        <v>#NAME?</v>
      </c>
      <c r="CY532" s="3" t="e">
        <f ca="1">_xll.BDH($C$528,"INVENT_TURN","FQ4 2014","FQ4 2014","Currency=INR","Period=FQ","BEST_FPERIOD_OVERRIDE=FQ","FILING_STATUS=OR","EQY_CONSOLIDATED=Y","FA_ADJUSTED=GAAP","Sort=A","Dates=H","DateFormat=P","Fill=—","Direction=H","UseDPDF=Y")</f>
        <v>#NAME?</v>
      </c>
      <c r="CZ532" s="1" t="e">
        <f ca="1">_xll.BDH($C$528,"INVENT_DAYS","FQ4 2014","FQ4 2014","Currency=INR","Period=FQ","BEST_FPERIOD_OVERRIDE=FQ","FILING_STATUS=OR","EQY_CONSOLIDATED=Y","FA_ADJUSTED=GAAP","Sort=A","Dates=H","DateFormat=P","Fill=—","Direction=H","UseDPDF=Y")</f>
        <v>#NAME?</v>
      </c>
      <c r="DA532" s="3" t="e">
        <f ca="1">_xll.BDH($C$528,"ACCOUNTS_PAYABLE_TURNOVER","FQ4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32" s="1" t="e">
        <f ca="1">_xll.BDH($C$528,"ACCOUNTS_PAYABLE_TURNOVER_DAYS","FQ4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32" s="3" t="e">
        <f ca="1">_xll.BDH($C$528,"CASH_CONVERSION_CYCLE","FQ4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32" s="3" t="e">
        <f ca="1">_xll.BDH($C$528,"INV_TO_CASH_DAYS","FQ4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532" s="4" t="e">
        <f ca="1">_xll.BDH($C$528,"BS_INVENTORIES","FQ4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532" s="2" t="e">
        <f ca="1">_xll.BDH($C$528,"INVTRY_RAW_MATERIALS","FQ4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32" s="2" t="e">
        <f ca="1">_xll.BDH($C$528,"INVTRY_IN_PROGRESS","FQ4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32" s="2" t="e">
        <f ca="1">_xll.BDH($C$528,"INVTRY_FINISHED_GOODS","FQ4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32" s="2" t="e">
        <f ca="1">_xll.BDH($C$528,"BS_OTHER_INV","FQ4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33" spans="1:113" x14ac:dyDescent="0.3">
      <c r="A533" s="6"/>
      <c r="B533" s="6"/>
      <c r="C533" s="6"/>
      <c r="D533" s="6" t="s">
        <v>8</v>
      </c>
      <c r="E533" t="s">
        <v>3</v>
      </c>
      <c r="F533" t="e">
        <f ca="1">_xll.BDH($C$528,"RETURN_COM_EQY","FY 2015","FY 2015","Currency=INR","Period=FY","BEST_FPERIOD_OVERRIDE=FY","FILING_STATUS=OR","EQY_CONSOLIDATED=Y","FA_ADJUSTED=GAAP","Sort=A","Dates=H","DateFormat=P","Fill=—","Direction=H","UseDPDF=Y")</f>
        <v>#NAME?</v>
      </c>
      <c r="G533" t="e">
        <f ca="1">_xll.BDH($C$528,"RETURN_ON_ASSET","FY 2015","FY 2015","Currency=INR","Period=FY","BEST_FPERIOD_OVERRIDE=FY","FILING_STATUS=OR","EQY_CONSOLIDATED=Y","FA_ADJUSTED=GAAP","Sort=A","Dates=H","DateFormat=P","Fill=—","Direction=H","UseDPDF=Y")</f>
        <v>#NAME?</v>
      </c>
      <c r="H533" t="e">
        <f ca="1">_xll.BDH($C$528,"RETURN_ON_CAP","FY 2015","FY 2015","Currency=INR","Period=FY","BEST_FPERIOD_OVERRIDE=FY","FILING_STATUS=OR","EQY_CONSOLIDATED=Y","FA_ADJUSTED=GAAP","Sort=A","Dates=H","DateFormat=P","Fill=—","Direction=H","UseDPDF=Y")</f>
        <v>#NAME?</v>
      </c>
      <c r="I533" t="e">
        <f ca="1">_xll.BDH($C$528,"RETURN_ON_INV_CAPITAL","FY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33" t="e">
        <f ca="1">_xll.BDH($C$528,"EBITDA_TO_REVENUE","FY 2015","FY 2015","Currency=INR","Period=FY","BEST_FPERIOD_OVERRIDE=FY","FILING_STATUS=OR","EQY_CONSOLIDATED=Y","FA_ADJUSTED=GAAP","Sort=A","Dates=H","DateFormat=P","Fill=—","Direction=H","UseDPDF=Y")</f>
        <v>#NAME?</v>
      </c>
      <c r="K533" t="e">
        <f ca="1">_xll.BDH($C$528,"OPER_MARGIN","FY 2015","FY 2015","Currency=INR","Period=FY","BEST_FPERIOD_OVERRIDE=FY","FILING_STATUS=OR","EQY_CONSOLIDATED=Y","FA_ADJUSTED=GAAP","Sort=A","Dates=H","DateFormat=P","Fill=—","Direction=H","UseDPDF=Y")</f>
        <v>#NAME?</v>
      </c>
      <c r="L533" t="e">
        <f ca="1">_xll.BDH($C$528,"INCREMENTAL_OPERATING_MARGIN","FY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33" t="e">
        <f ca="1">_xll.BDH($C$528,"PRETAX_INC_TO_NET_SALES","FY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33" t="e">
        <f ca="1">_xll.BDH($C$528,"INC_BEF_XO_ITEMS_TO_NET_SALES","FY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33" t="e">
        <f ca="1">_xll.BDH($C$528,"PROF_MARGIN","FY 2015","FY 2015","Currency=INR","Period=FY","BEST_FPERIOD_OVERRIDE=FY","FILING_STATUS=OR","EQY_CONSOLIDATED=Y","FA_ADJUSTED=GAAP","Sort=A","Dates=H","DateFormat=P","Fill=—","Direction=H","UseDPDF=Y")</f>
        <v>#NAME?</v>
      </c>
      <c r="P533" t="e">
        <f ca="1">_xll.BDH($C$528,"NET_INCOME_TO_COMMON_MARGIN","FY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33" t="e">
        <f ca="1">_xll.BDH($C$528,"EFF_TAX_RATE","FY 2015","FY 2015","Currency=INR","Period=FY","BEST_FPERIOD_OVERRIDE=FY","FILING_STATUS=OR","EQY_CONSOLIDATED=Y","FA_ADJUSTED=GAAP","Sort=A","Dates=H","DateFormat=P","Fill=—","Direction=H","UseDPDF=Y")</f>
        <v>#NAME?</v>
      </c>
      <c r="R533" t="e">
        <f ca="1">_xll.BDH($C$528,"DVD_PAYOUT_RATIO","FY 2015","FY 2015","Currency=INR","Period=FY","BEST_FPERIOD_OVERRIDE=FY","FILING_STATUS=OR","EQY_CONSOLIDATED=Y","FA_ADJUSTED=GAAP","Sort=A","Dates=H","DateFormat=P","Fill=—","Direction=H","UseDPDF=Y")</f>
        <v>#NAME?</v>
      </c>
      <c r="S533" t="e">
        <f ca="1">_xll.BDH($C$528,"SUSTAIN_GROWTH_RT","FY 2015","FY 2015","Currency=INR","Period=FY","BEST_FPERIOD_OVERRIDE=FY","FILING_STATUS=OR","EQY_CONSOLIDATED=Y","FA_ADJUSTED=GAAP","Sort=A","Dates=H","DateFormat=P","Fill=—","Direction=H","UseDPDF=Y")</f>
        <v>#NAME?</v>
      </c>
      <c r="T533" s="1" t="e">
        <f ca="1">_xll.BDH($C$528,"SALES_GROWTH","FY 2015","FY 2015","Currency=INR","Period=FY","BEST_FPERIOD_OVERRIDE=FY","FILING_STATUS=OR","EQY_CONSOLIDATED=Y","FA_ADJUSTED=GAAP","Sort=A","Dates=H","DateFormat=P","Fill=—","Direction=H","UseDPDF=Y")</f>
        <v>#NAME?</v>
      </c>
      <c r="U533" s="1" t="e">
        <f ca="1">_xll.BDH($C$528,"EBITDA_GROWTH","FY 2015","FY 2015","Currency=INR","Period=FY","BEST_FPERIOD_OVERRIDE=FY","FILING_STATUS=OR","EQY_CONSOLIDATED=Y","FA_ADJUSTED=GAAP","Sort=A","Dates=H","DateFormat=P","Fill=—","Direction=H","UseDPDF=Y")</f>
        <v>#NAME?</v>
      </c>
      <c r="V533" s="1" t="e">
        <f ca="1">_xll.BDH($C$528,"OPER_INC_GROWTH","FY 2015","FY 2015","Currency=INR","Period=FY","BEST_FPERIOD_OVERRIDE=FY","FILING_STATUS=OR","EQY_CONSOLIDATED=Y","FA_ADJUSTED=GAAP","Sort=A","Dates=H","DateFormat=P","Fill=—","Direction=H","UseDPDF=Y")</f>
        <v>#NAME?</v>
      </c>
      <c r="W533" s="1" t="e">
        <f ca="1">_xll.BDH($C$528,"EARN_FOR_COM_GROWTH","FY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533" s="1" t="e">
        <f ca="1">_xll.BDH($C$528,"DILUTED_EPS_AFT_XO_ITEMS_GROWTH","FY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33" s="1" t="e">
        <f ca="1">_xll.BDH($C$528,"DIVIDEND_PER_SHARE_1_YEAR_GROWTH","FY 2015","FY 2015","Currency=INR","Period=FY","BEST_FPERIOD_OVERRIDE=FY","FILING_STATUS=OR","EQY_CONSOLIDATED=Y","Sort=A","Dates=H","DateFormat=P","Fill=—","Direction=H","UseDPDF=Y")</f>
        <v>#NAME?</v>
      </c>
      <c r="Z533" s="1" t="e">
        <f ca="1">_xll.BDH($C$528,"ACCOUNTS_RECEIVABLE_GROWTH","FY 2015","FY 2015","Currency=INR","Period=FY","BEST_FPERIOD_OVERRIDE=FY","FILING_STATUS=OR","EQY_CONSOLIDATED=Y","Sort=A","Dates=H","DateFormat=P","Fill=—","Direction=H","UseDPDF=Y")</f>
        <v>#NAME?</v>
      </c>
      <c r="AA533" s="1" t="e">
        <f ca="1">_xll.BDH($C$528,"INVENTORY_GROWTH","FY 2015","FY 2015","Currency=INR","Period=FY","BEST_FPERIOD_OVERRIDE=FY","FILING_STATUS=OR","EQY_CONSOLIDATED=Y","Sort=A","Dates=H","DateFormat=P","Fill=—","Direction=H","UseDPDF=Y")</f>
        <v>#NAME?</v>
      </c>
      <c r="AB533" s="1" t="e">
        <f ca="1">_xll.BDH($C$528,"NET_FIXED_ASSETS_1_YEAR_GROWTH","FY 2015","FY 2015","Currency=INR","Period=FY","BEST_FPERIOD_OVERRIDE=FY","FILING_STATUS=OR","EQY_CONSOLIDATED=Y","Sort=A","Dates=H","DateFormat=P","Fill=—","Direction=H","UseDPDF=Y")</f>
        <v>#NAME?</v>
      </c>
      <c r="AC533" s="1" t="e">
        <f ca="1">_xll.BDH($C$528,"ASSET_GROWTH","FY 2015","FY 2015","Currency=INR","Period=FY","BEST_FPERIOD_OVERRIDE=FY","FILING_STATUS=OR","EQY_CONSOLIDATED=Y","Sort=A","Dates=H","DateFormat=P","Fill=—","Direction=H","UseDPDF=Y")</f>
        <v>#NAME?</v>
      </c>
      <c r="AD533" s="1" t="e">
        <f ca="1">_xll.BDH($C$528,"MODIFIED_WORK_CAP_GROWTH","FY 2015","FY 2015","Currency=INR","Period=FY","BEST_FPERIOD_OVERRIDE=FY","FILING_STATUS=OR","EQY_CONSOLIDATED=Y","Sort=A","Dates=H","DateFormat=P","Fill=—","Direction=H","UseDPDF=Y")</f>
        <v>#NAME?</v>
      </c>
      <c r="AE533" s="1" t="e">
        <f ca="1">_xll.BDH($C$528,"WORK_CAP_GROWTH","FY 2015","FY 2015","Currency=INR","Period=FY","BEST_FPERIOD_OVERRIDE=FY","FILING_STATUS=OR","EQY_CONSOLIDATED=Y","Sort=A","Dates=H","DateFormat=P","Fill=—","Direction=H","UseDPDF=Y")</f>
        <v>#NAME?</v>
      </c>
      <c r="AF533" s="1" t="e">
        <f ca="1">_xll.BDH($C$528,"ACCOUNTS_PAYABLE_GROWTH_1YR","FY 2015","FY 2015","Currency=INR","Period=FY","BEST_FPERIOD_OVERRIDE=FY","FILING_STATUS=OR","EQY_CONSOLIDATED=Y","Sort=A","Dates=H","DateFormat=P","Fill=—","Direction=H","UseDPDF=Y")</f>
        <v>#NAME?</v>
      </c>
      <c r="AG533" s="1" t="e">
        <f ca="1">_xll.BDH($C$528,"SHORT_TERM_DEBT_1_YEAR_GROWTH","FY 2015","FY 2015","Currency=INR","Period=FY","BEST_FPERIOD_OVERRIDE=FY","FILING_STATUS=OR","EQY_CONSOLIDATED=Y","Sort=A","Dates=H","DateFormat=P","Fill=—","Direction=H","UseDPDF=Y")</f>
        <v>#NAME?</v>
      </c>
      <c r="AH533" s="1" t="e">
        <f ca="1">_xll.BDH($C$528,"TOTAL_DEBT_1_YEAR_GROWTH","FY 2015","FY 2015","Currency=INR","Period=FY","BEST_FPERIOD_OVERRIDE=FY","FILING_STATUS=OR","EQY_CONSOLIDATED=Y","Sort=A","Dates=H","DateFormat=P","Fill=—","Direction=H","UseDPDF=Y")</f>
        <v>#NAME?</v>
      </c>
      <c r="AI533" s="1" t="e">
        <f ca="1">_xll.BDH($C$528,"TOTAL_EQUITY_1_YEAR_GROWTH","FY 2015","FY 2015","Currency=INR","Period=FY","BEST_FPERIOD_OVERRIDE=FY","FILING_STATUS=OR","EQY_CONSOLIDATED=Y","Sort=A","Dates=H","DateFormat=P","Fill=—","Direction=H","UseDPDF=Y")</f>
        <v>#NAME?</v>
      </c>
      <c r="AJ533" s="1" t="e">
        <f ca="1">_xll.BDH($C$528,"GROWTH_IN_CAP","FY 2015","FY 2015","Currency=INR","Period=FY","BEST_FPERIOD_OVERRIDE=FY","FILING_STATUS=OR","EQY_CONSOLIDATED=Y","Sort=A","Dates=H","DateFormat=P","Fill=—","Direction=H","UseDPDF=Y")</f>
        <v>#NAME?</v>
      </c>
      <c r="AK533" s="1" t="e">
        <f ca="1">_xll.BDH($C$528,"BVPS_GROWTH","FY 2015","FY 2015","Currency=INR","Period=FY","BEST_FPERIOD_OVERRIDE=FY","FILING_STATUS=OR","EQY_CONSOLIDATED=Y","Sort=A","Dates=H","DateFormat=P","Fill=—","Direction=H","UseDPDF=Y")</f>
        <v>#NAME?</v>
      </c>
      <c r="AL533" s="1" t="e">
        <f ca="1">_xll.BDH($C$528,"CASH_FLOW_GROWTH","FY 2015","FY 2015","Currency=INR","Period=FY","BEST_FPERIOD_OVERRIDE=FY","FILING_STATUS=OR","EQY_CONSOLIDATED=Y","Sort=A","Dates=H","DateFormat=P","Fill=—","Direction=H","UseDPDF=Y")</f>
        <v>#NAME?</v>
      </c>
      <c r="AM533" s="1" t="e">
        <f ca="1">_xll.BDH($C$528,"GEO_GROW_NET_SALES","FY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533" s="1" t="e">
        <f ca="1">_xll.BDH($C$528,"GEO_GROW_EBITDA","FY 2015","FY 2015","Currency=INR","Period=FY","BEST_FPERIOD_OVERRIDE=FY","FILING_STATUS=OR","EQY_CONSOLIDATED=Y","FA_ADJUSTED=GAAP","Sort=A","Dates=H","DateFormat=P","Fill=—","Direction=H","UseDPDF=Y")</f>
        <v>#NAME?</v>
      </c>
      <c r="AO533" s="1" t="e">
        <f ca="1">_xll.BDH($C$528,"GEO_GROW_OPER_INC","FY 2015","FY 2015","Currency=INR","Period=FY","BEST_FPERIOD_OVERRIDE=FY","FILING_STATUS=OR","EQY_CONSOLIDATED=Y","FA_ADJUSTED=GAAP","Sort=A","Dates=H","DateFormat=P","Fill=—","Direction=H","UseDPDF=Y")</f>
        <v>#NAME?</v>
      </c>
      <c r="AP533" s="1" t="e">
        <f ca="1">_xll.BDH($C$528,"NET_INCOME_TO_COMMON_5_YR_GROWTH","FY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33" s="1" t="e">
        <f ca="1">_xll.BDH($C$528,"5Y_GEO_GROWTH_DILUTED_EPS","FY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33" s="1" t="e">
        <f ca="1">_xll.BDH($C$528,"GEO_GROW_DVD_PER_SH","FY 2015","FY 2015","Currency=INR","Period=FY","BEST_FPERIOD_OVERRIDE=FY","FILING_STATUS=OR","EQY_CONSOLIDATED=Y","Sort=A","Dates=H","DateFormat=P","Fill=—","Direction=H","UseDPDF=Y")</f>
        <v>#NAME?</v>
      </c>
      <c r="AS533" s="1" t="e">
        <f ca="1">_xll.BDH($C$528,"ACCOUNTS_RECEIVABLE_5_YR_GROWTH","FY 2015","FY 2015","Currency=INR","Period=FY","BEST_FPERIOD_OVERRIDE=FY","FILING_STATUS=OR","EQY_CONSOLIDATED=Y","Sort=A","Dates=H","DateFormat=P","Fill=—","Direction=H","UseDPDF=Y")</f>
        <v>#NAME?</v>
      </c>
      <c r="AT533" s="1" t="e">
        <f ca="1">_xll.BDH($C$528,"INVENTORY_5_YEAR_GROWTH","FY 2015","FY 2015","Currency=INR","Period=FY","BEST_FPERIOD_OVERRIDE=FY","FILING_STATUS=OR","EQY_CONSOLIDATED=Y","Sort=A","Dates=H","DateFormat=P","Fill=—","Direction=H","UseDPDF=Y")</f>
        <v>#NAME?</v>
      </c>
      <c r="AU533" s="1" t="e">
        <f ca="1">_xll.BDH($C$528,"NET_FIXED_ASSETS_5_YEAR_GROWTH","FY 2015","FY 2015","Currency=INR","Period=FY","BEST_FPERIOD_OVERRIDE=FY","FILING_STATUS=OR","EQY_CONSOLIDATED=Y","Sort=A","Dates=H","DateFormat=P","Fill=—","Direction=H","UseDPDF=Y")</f>
        <v>#NAME?</v>
      </c>
      <c r="AV533" s="1" t="e">
        <f ca="1">_xll.BDH($C$528,"GEO_GROW_TOT_ASSET","FY 2015","FY 2015","Currency=INR","Period=FY","BEST_FPERIOD_OVERRIDE=FY","FILING_STATUS=OR","EQY_CONSOLIDATED=Y","Sort=A","Dates=H","DateFormat=P","Fill=—","Direction=H","UseDPDF=Y")</f>
        <v>#NAME?</v>
      </c>
      <c r="AW533" s="1" t="e">
        <f ca="1">_xll.BDH($C$528,"MODIFIED_WORKING_CPTL_5YR_GRWTH","FY 2015","FY 2015","Currency=INR","Period=FY","BEST_FPERIOD_OVERRIDE=FY","FILING_STATUS=OR","EQY_CONSOLIDATED=Y","Sort=A","Dates=H","DateFormat=P","Fill=—","Direction=H","UseDPDF=Y")</f>
        <v>#NAME?</v>
      </c>
      <c r="AX533" s="1" t="e">
        <f ca="1">_xll.BDH($C$528,"WORKING_CAPITAL_5_YEAR_GROWTH","FY 2015","FY 2015","Currency=INR","Period=FY","BEST_FPERIOD_OVERRIDE=FY","FILING_STATUS=OR","EQY_CONSOLIDATED=Y","Sort=A","Dates=H","DateFormat=P","Fill=—","Direction=H","UseDPDF=Y")</f>
        <v>#NAME?</v>
      </c>
      <c r="AY533" s="1" t="e">
        <f ca="1">_xll.BDH($C$528,"ACCOUNTS_PAYABLE_5_YEAR_GROWTH","FY 2015","FY 2015","Currency=INR","Period=FY","BEST_FPERIOD_OVERRIDE=FY","FILING_STATUS=OR","EQY_CONSOLIDATED=Y","Sort=A","Dates=H","DateFormat=P","Fill=—","Direction=H","UseDPDF=Y")</f>
        <v>#NAME?</v>
      </c>
      <c r="AZ533" s="1" t="e">
        <f ca="1">_xll.BDH($C$528,"SHORT_TERM_DEBT_5_YEAR_GROWTH","FY 2015","FY 2015","Currency=INR","Period=FY","BEST_FPERIOD_OVERRIDE=FY","FILING_STATUS=OR","EQY_CONSOLIDATED=Y","Sort=A","Dates=H","DateFormat=P","Fill=—","Direction=H","UseDPDF=Y")</f>
        <v>#NAME?</v>
      </c>
      <c r="BA533" s="1" t="e">
        <f ca="1">_xll.BDH($C$528,"TOTAL_DEBT_5_YEAR_GROWTH","FY 2015","FY 2015","Currency=INR","Period=FY","BEST_FPERIOD_OVERRIDE=FY","FILING_STATUS=OR","EQY_CONSOLIDATED=Y","Sort=A","Dates=H","DateFormat=P","Fill=—","Direction=H","UseDPDF=Y")</f>
        <v>#NAME?</v>
      </c>
      <c r="BB533" s="1" t="e">
        <f ca="1">_xll.BDH($C$528,"GEO_GROW_TOT_SHRHLDR_EQY","FY 2015","FY 2015","Currency=INR","Period=FY","BEST_FPERIOD_OVERRIDE=FY","FILING_STATUS=OR","EQY_CONSOLIDATED=Y","Sort=A","Dates=H","DateFormat=P","Fill=—","Direction=H","UseDPDF=Y")</f>
        <v>#NAME?</v>
      </c>
      <c r="BC533" s="1" t="e">
        <f ca="1">_xll.BDH($C$528,"TOTAL_CAPITAL_5_YEAR_GROWTH","FY 2015","FY 2015","Currency=INR","Period=FY","BEST_FPERIOD_OVERRIDE=FY","FILING_STATUS=OR","EQY_CONSOLIDATED=Y","Sort=A","Dates=H","DateFormat=P","Fill=—","Direction=H","UseDPDF=Y")</f>
        <v>#NAME?</v>
      </c>
      <c r="BD533" s="1" t="e">
        <f ca="1">_xll.BDH($C$528,"GEO_GROW_BOOK_VAL","FY 2015","FY 2015","Currency=INR","Period=FY","BEST_FPERIOD_OVERRIDE=FY","FILING_STATUS=OR","EQY_CONSOLIDATED=Y","Sort=A","Dates=H","DateFormat=P","Fill=—","Direction=H","UseDPDF=Y")</f>
        <v>#NAME?</v>
      </c>
      <c r="BE533" s="1" t="e">
        <f ca="1">_xll.BDH($C$528,"GEO_GROW_CASH_OPER_ACT","FY 2015","FY 2015","Currency=INR","Period=FY","BEST_FPERIOD_OVERRIDE=FY","FILING_STATUS=OR","EQY_CONSOLIDATED=Y","Sort=A","Dates=H","DateFormat=P","Fill=—","Direction=H","UseDPDF=Y")</f>
        <v>#NAME?</v>
      </c>
      <c r="BF533" s="1" t="e">
        <f ca="1">_xll.BDH($C$528,"REVENUE_SEQUENTIAL_GROWTH","FY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33" s="1" t="e">
        <f ca="1">_xll.BDH($C$528,"EBITDA_SEQUENTIAL_GROWTH","FY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33" s="1" t="e">
        <f ca="1">_xll.BDH($C$528,"OPERATING_INCOME_SEQ_GROWTH","FY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33" s="1" t="e">
        <f ca="1">_xll.BDH($C$528,"NET_INCOME_TO_COMMON_SEQ_GROWTH","FY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33" s="1" t="e">
        <f ca="1">_xll.BDH($C$528,"EPS_DILUTED_SEQUENTIAL_GROWTH","FY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33" s="1" t="e">
        <f ca="1">_xll.BDH($C$528,"DPS_SEQUENTIAL_GROWTH","FY 2015","FY 2015","Currency=INR","Period=FY","BEST_FPERIOD_OVERRIDE=FY","FILING_STATUS=OR","EQY_CONSOLIDATED=Y","Sort=A","Dates=H","DateFormat=P","Fill=—","Direction=H","UseDPDF=Y")</f>
        <v>#NAME?</v>
      </c>
      <c r="BL533" s="1" t="e">
        <f ca="1">_xll.BDH($C$528,"ACCOUNTS_RECEIVABLE_SEQ_GROWTH","FY 2015","FY 2015","Currency=INR","Period=FY","BEST_FPERIOD_OVERRIDE=FY","FILING_STATUS=OR","EQY_CONSOLIDATED=Y","Sort=A","Dates=H","DateFormat=P","Fill=—","Direction=H","UseDPDF=Y")</f>
        <v>#NAME?</v>
      </c>
      <c r="BM533" s="1" t="e">
        <f ca="1">_xll.BDH($C$528,"INVENTORY_SEQUENTIAL_GROWTH","FY 2015","FY 2015","Currency=INR","Period=FY","BEST_FPERIOD_OVERRIDE=FY","FILING_STATUS=OR","EQY_CONSOLIDATED=Y","Sort=A","Dates=H","DateFormat=P","Fill=—","Direction=H","UseDPDF=Y")</f>
        <v>#NAME?</v>
      </c>
      <c r="BN533" s="1" t="e">
        <f ca="1">_xll.BDH($C$528,"FIXED_ASSETS_SEQUENTIAL_GROWTH","FY 2015","FY 2015","Currency=INR","Period=FY","BEST_FPERIOD_OVERRIDE=FY","FILING_STATUS=OR","EQY_CONSOLIDATED=Y","Sort=A","Dates=H","DateFormat=P","Fill=—","Direction=H","UseDPDF=Y")</f>
        <v>#NAME?</v>
      </c>
      <c r="BO533" s="1" t="e">
        <f ca="1">_xll.BDH($C$528,"TOTAL_ASSETS_SEQUENTIAL_GROWTH","FY 2015","FY 2015","Currency=INR","Period=FY","BEST_FPERIOD_OVERRIDE=FY","FILING_STATUS=OR","EQY_CONSOLIDATED=Y","Sort=A","Dates=H","DateFormat=P","Fill=—","Direction=H","UseDPDF=Y")</f>
        <v>#NAME?</v>
      </c>
      <c r="BP533" s="1" t="e">
        <f ca="1">_xll.BDH($C$528,"MODIFIED_WORKING_CPTL_SEQ_GRWTH","FY 2015","FY 2015","Currency=INR","Period=FY","BEST_FPERIOD_OVERRIDE=FY","FILING_STATUS=OR","EQY_CONSOLIDATED=Y","Sort=A","Dates=H","DateFormat=P","Fill=—","Direction=H","UseDPDF=Y")</f>
        <v>#NAME?</v>
      </c>
      <c r="BQ533" s="1" t="e">
        <f ca="1">_xll.BDH($C$528,"WORKING_CAPITAL_SEQ_GROWTH","FY 2015","FY 2015","Currency=INR","Period=FY","BEST_FPERIOD_OVERRIDE=FY","FILING_STATUS=OR","EQY_CONSOLIDATED=Y","Sort=A","Dates=H","DateFormat=P","Fill=—","Direction=H","UseDPDF=Y")</f>
        <v>#NAME?</v>
      </c>
      <c r="BR533" s="1" t="e">
        <f ca="1">_xll.BDH($C$528,"ACCOUNTS_PAYABLE_SEQ_GROWTH","FY 2015","FY 2015","Currency=INR","Period=FY","BEST_FPERIOD_OVERRIDE=FY","FILING_STATUS=OR","EQY_CONSOLIDATED=Y","Sort=A","Dates=H","DateFormat=P","Fill=—","Direction=H","UseDPDF=Y")</f>
        <v>#NAME?</v>
      </c>
      <c r="BS533" s="1" t="e">
        <f ca="1">_xll.BDH($C$528,"ST_DEBT_SEQUENTIAL_GROWTH","FY 2015","FY 2015","Currency=INR","Period=FY","BEST_FPERIOD_OVERRIDE=FY","FILING_STATUS=OR","EQY_CONSOLIDATED=Y","Sort=A","Dates=H","DateFormat=P","Fill=—","Direction=H","UseDPDF=Y")</f>
        <v>#NAME?</v>
      </c>
      <c r="BT533" s="1" t="e">
        <f ca="1">_xll.BDH($C$528,"TOTAL_DEBT_SEQUENTIAL_GROWTH","FY 2015","FY 2015","Currency=INR","Period=FY","BEST_FPERIOD_OVERRIDE=FY","FILING_STATUS=OR","EQY_CONSOLIDATED=Y","Sort=A","Dates=H","DateFormat=P","Fill=—","Direction=H","UseDPDF=Y")</f>
        <v>#NAME?</v>
      </c>
      <c r="BU533" s="1" t="e">
        <f ca="1">_xll.BDH($C$528,"TOTAL_EQUITY_SEQUENTIAL_GROWTH","FY 2015","FY 2015","Currency=INR","Period=FY","BEST_FPERIOD_OVERRIDE=FY","FILING_STATUS=OR","EQY_CONSOLIDATED=Y","Sort=A","Dates=H","DateFormat=P","Fill=—","Direction=H","UseDPDF=Y")</f>
        <v>#NAME?</v>
      </c>
      <c r="BV533" s="1" t="e">
        <f ca="1">_xll.BDH($C$528,"TOTAL_CAPITAL_SEQUENTIAL_GROWTH","FY 2015","FY 2015","Currency=INR","Period=FY","BEST_FPERIOD_OVERRIDE=FY","FILING_STATUS=OR","EQY_CONSOLIDATED=Y","Sort=A","Dates=H","DateFormat=P","Fill=—","Direction=H","UseDPDF=Y")</f>
        <v>#NAME?</v>
      </c>
      <c r="BW533" s="1" t="e">
        <f ca="1">_xll.BDH($C$528,"BPS_SEQUENTIAL_GROWTH","FY 2015","FY 2015","Currency=INR","Period=FY","BEST_FPERIOD_OVERRIDE=FY","FILING_STATUS=OR","EQY_CONSOLIDATED=Y","Sort=A","Dates=H","DateFormat=P","Fill=—","Direction=H","UseDPDF=Y")</f>
        <v>#NAME?</v>
      </c>
      <c r="BX533" s="1" t="e">
        <f ca="1">_xll.BDH($C$528,"CFO_SEQUENTIAL_GROWTH","FY 2015","FY 2015","Currency=INR","Period=FY","BEST_FPERIOD_OVERRIDE=FY","FILING_STATUS=OR","EQY_CONSOLIDATED=Y","Sort=A","Dates=H","DateFormat=P","Fill=—","Direction=H","UseDPDF=Y")</f>
        <v>#NAME?</v>
      </c>
      <c r="BY533" s="2" t="e">
        <f ca="1">_xll.BDH($C$528,"SHORT_AND_LONG_TERM_DEBT","FY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33" s="2" t="e">
        <f ca="1">_xll.BDH($C$528,"BS_ST_BORROW","FY 2015","FY 2015","Currency=INR","Period=FY","BEST_FPERIOD_OVERRIDE=FY","FILING_STATUS=OR","EQY_CONSOLIDATED=Y","SCALING_FORMAT=MLN","Sort=A","Dates=H","DateFormat=P","Fill=—","Direction=H","UseDPDF=Y")</f>
        <v>#NAME?</v>
      </c>
      <c r="CA533" s="2" t="e">
        <f ca="1">_xll.BDH($C$528,"BS_LT_BORROW","FY 2015","FY 2015","Currency=INR","Period=FY","BEST_FPERIOD_OVERRIDE=FY","FILING_STATUS=OR","EQY_CONSOLIDATED=Y","SCALING_FORMAT=MLN","Sort=A","Dates=H","DateFormat=P","Fill=—","Direction=H","UseDPDF=Y")</f>
        <v>#NAME?</v>
      </c>
      <c r="CB533" s="1" t="e">
        <f ca="1">_xll.BDH($C$528,"TOT_DEBT_TO_EBITDA","FY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533" s="1" t="e">
        <f ca="1">_xll.BDH($C$528,"NET_DEBT_TO_EBITDA","FY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533" s="1" t="e">
        <f ca="1">_xll.BDH($C$528,"TOTAL_DEBT_TO_EBIT","FY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533" s="1" t="e">
        <f ca="1">_xll.BDH($C$528,"NET_DEBT_TO_EBIT","FY 2015","FY 2015","Currency=INR","Period=FY","BEST_FPERIOD_OVERRIDE=FY","FILING_STATUS=OR","EQY_CONSOLIDATED=Y","FA_ADJUSTED=GAAP","Sort=A","Dates=H","DateFormat=P","Fill=—","Direction=H","UseDPDF=Y")</f>
        <v>#NAME?</v>
      </c>
      <c r="CF533" s="1" t="e">
        <f ca="1">_xll.BDH($C$528,"EBITDA_TO_INTEREST_EXPN","FY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33" s="1" t="e">
        <f ca="1">_xll.BDH($C$528,"COM_EQY_TO_TOT_ASSET","FY 2015","FY 2015","Currency=INR","Period=FY","BEST_FPERIOD_OVERRIDE=FY","FILING_STATUS=OR","EQY_CONSOLIDATED=Y","Sort=A","Dates=H","DateFormat=P","Fill=—","Direction=H","UseDPDF=Y")</f>
        <v>#NAME?</v>
      </c>
      <c r="CH533" s="1" t="e">
        <f ca="1">_xll.BDH($C$528,"LT_DEBT_TO_TOT_EQY","FY 2015","FY 2015","Currency=INR","Period=FY","BEST_FPERIOD_OVERRIDE=FY","FILING_STATUS=OR","EQY_CONSOLIDATED=Y","Sort=A","Dates=H","DateFormat=P","Fill=—","Direction=H","UseDPDF=Y")</f>
        <v>#NAME?</v>
      </c>
      <c r="CI533" s="1" t="e">
        <f ca="1">_xll.BDH($C$528,"LT_DEBT_TO_TOT_CAP","FY 2015","FY 2015","Currency=INR","Period=FY","BEST_FPERIOD_OVERRIDE=FY","FILING_STATUS=OR","EQY_CONSOLIDATED=Y","Sort=A","Dates=H","DateFormat=P","Fill=—","Direction=H","UseDPDF=Y")</f>
        <v>#NAME?</v>
      </c>
      <c r="CJ533" s="1" t="e">
        <f ca="1">_xll.BDH($C$528,"LT_DEBT_TO_TOT_ASSET","FY 2015","FY 2015","Currency=INR","Period=FY","BEST_FPERIOD_OVERRIDE=FY","FILING_STATUS=OR","EQY_CONSOLIDATED=Y","Sort=A","Dates=H","DateFormat=P","Fill=—","Direction=H","UseDPDF=Y")</f>
        <v>#NAME?</v>
      </c>
      <c r="CK533" s="1" t="e">
        <f ca="1">_xll.BDH($C$528,"TOT_DEBT_TO_TOT_EQY","FY 2015","FY 2015","Currency=INR","Period=FY","BEST_FPERIOD_OVERRIDE=FY","FILING_STATUS=OR","EQY_CONSOLIDATED=Y","Sort=A","Dates=H","DateFormat=P","Fill=—","Direction=H","UseDPDF=Y")</f>
        <v>#NAME?</v>
      </c>
      <c r="CL533" s="1" t="e">
        <f ca="1">_xll.BDH($C$528,"TOT_DEBT_TO_TOT_CAP","FY 2015","FY 2015","Currency=INR","Period=FY","BEST_FPERIOD_OVERRIDE=FY","FILING_STATUS=OR","EQY_CONSOLIDATED=Y","Sort=A","Dates=H","DateFormat=P","Fill=—","Direction=H","UseDPDF=Y")</f>
        <v>#NAME?</v>
      </c>
      <c r="CM533" s="1" t="e">
        <f ca="1">_xll.BDH($C$528,"TOT_DEBT_TO_TOT_ASSET","FY 2015","FY 2015","Currency=INR","Period=FY","BEST_FPERIOD_OVERRIDE=FY","FILING_STATUS=OR","EQY_CONSOLIDATED=Y","Sort=A","Dates=H","DateFormat=P","Fill=—","Direction=H","UseDPDF=Y")</f>
        <v>#NAME?</v>
      </c>
      <c r="CN533" s="1" t="e">
        <f ca="1">_xll.BDH($C$528,"NET_DEBT_TO_SHRHLDR_EQTY","FY 2015","FY 2015","Currency=INR","Period=FY","BEST_FPERIOD_OVERRIDE=FY","FILING_STATUS=OR","EQY_CONSOLIDATED=Y","Sort=A","Dates=H","DateFormat=P","Fill=—","Direction=H","UseDPDF=Y")</f>
        <v>#NAME?</v>
      </c>
      <c r="CO533" s="1" t="e">
        <f ca="1">_xll.BDH($C$528,"NET_DEBT_%_CAPITAL","FY 2015","FY 2015","Currency=INR","Period=FY","BEST_FPERIOD_OVERRIDE=FY","FILING_STATUS=OR","EQY_CONSOLIDATED=Y","Sort=A","Dates=H","DateFormat=P","Fill=—","Direction=H","UseDPDF=Y")</f>
        <v>#NAME?</v>
      </c>
      <c r="CP533" s="2" t="e">
        <f ca="1">_xll.BDH($C$528,"EBITDA","FY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33" s="2" t="e">
        <f ca="1">_xll.BDH($C$528,"EBITDA_AFTER_CAPEX","FY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33" s="2" t="e">
        <f ca="1">_xll.BDH($C$528,"IS_OPER_INC","FY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33" s="1" t="e">
        <f ca="1">_xll.BDH($C$528,"CASH_RATIO","FY 2015","FY 2015","Currency=INR","Period=FY","BEST_FPERIOD_OVERRIDE=FY","FILING_STATUS=OR","EQY_CONSOLIDATED=Y","Sort=A","Dates=H","DateFormat=P","Fill=—","Direction=H","UseDPDF=Y")</f>
        <v>#NAME?</v>
      </c>
      <c r="CT533" s="1" t="e">
        <f ca="1">_xll.BDH($C$528,"CUR_RATIO","FY 2015","FY 2015","Currency=INR","Period=FY","BEST_FPERIOD_OVERRIDE=FY","FILING_STATUS=OR","EQY_CONSOLIDATED=Y","Sort=A","Dates=H","DateFormat=P","Fill=—","Direction=H","UseDPDF=Y")</f>
        <v>#NAME?</v>
      </c>
      <c r="CU533" s="1" t="e">
        <f ca="1">_xll.BDH($C$528,"QUICK_RATIO","FY 2015","FY 2015","Currency=INR","Period=FY","BEST_FPERIOD_OVERRIDE=FY","FILING_STATUS=OR","EQY_CONSOLIDATED=Y","Sort=A","Dates=H","DateFormat=P","Fill=—","Direction=H","UseDPDF=Y")</f>
        <v>#NAME?</v>
      </c>
      <c r="CV533" s="1" t="e">
        <f ca="1">_xll.BDH($C$528,"ALTMAN_Z_SCORE","FY 2015","FY 2015","Currency=INR","Period=FY","BEST_FPERIOD_OVERRIDE=FY","FILING_STATUS=OR","EQY_CONSOLIDATED=Y","Sort=A","Dates=H","DateFormat=P","Fill=—","Direction=H","UseDPDF=Y")</f>
        <v>#NAME?</v>
      </c>
      <c r="CW533" s="3" t="e">
        <f ca="1">_xll.BDH($C$528,"ACCT_RCV_TURN","FY 2015","FY 2015","Currency=INR","Period=FY","BEST_FPERIOD_OVERRIDE=FY","FILING_STATUS=OR","EQY_CONSOLIDATED=Y","FA_ADJUSTED=GAAP","Sort=A","Dates=H","DateFormat=P","Fill=—","Direction=H","UseDPDF=Y")</f>
        <v>#NAME?</v>
      </c>
      <c r="CX533" s="1" t="e">
        <f ca="1">_xll.BDH($C$528,"ACCT_RCV_DAYS","FY 2015","FY 2015","Currency=INR","Period=FY","BEST_FPERIOD_OVERRIDE=FY","FILING_STATUS=OR","EQY_CONSOLIDATED=Y","FA_ADJUSTED=GAAP","Sort=A","Dates=H","DateFormat=P","Fill=—","Direction=H","UseDPDF=Y")</f>
        <v>#NAME?</v>
      </c>
      <c r="CY533" s="3" t="e">
        <f ca="1">_xll.BDH($C$528,"INVENT_TURN","FY 2015","FY 2015","Currency=INR","Period=FY","BEST_FPERIOD_OVERRIDE=FY","FILING_STATUS=OR","EQY_CONSOLIDATED=Y","FA_ADJUSTED=GAAP","Sort=A","Dates=H","DateFormat=P","Fill=—","Direction=H","UseDPDF=Y")</f>
        <v>#NAME?</v>
      </c>
      <c r="CZ533" s="1" t="e">
        <f ca="1">_xll.BDH($C$528,"INVENT_DAYS","FY 2015","FY 2015","Currency=INR","Period=FY","BEST_FPERIOD_OVERRIDE=FY","FILING_STATUS=OR","EQY_CONSOLIDATED=Y","FA_ADJUSTED=GAAP","Sort=A","Dates=H","DateFormat=P","Fill=—","Direction=H","UseDPDF=Y")</f>
        <v>#NAME?</v>
      </c>
      <c r="DA533" s="3" t="e">
        <f ca="1">_xll.BDH($C$528,"ACCOUNTS_PAYABLE_TURNOVER","FY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33" s="1" t="e">
        <f ca="1">_xll.BDH($C$528,"ACCOUNTS_PAYABLE_TURNOVER_DAYS","FY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33" s="3" t="e">
        <f ca="1">_xll.BDH($C$528,"CASH_CONVERSION_CYCLE","FY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33" s="3" t="e">
        <f ca="1">_xll.BDH($C$528,"INV_TO_CASH_DAYS","FY 2015","FY 2015","Currency=INR","Period=FY","BEST_FPERIOD_OVERRIDE=FY","FILING_STATUS=OR","EQY_CONSOLIDATED=Y","FA_ADJUSTED=GAAP","Sort=A","Dates=H","DateFormat=P","Fill=—","Direction=H","UseDPDF=Y")</f>
        <v>#NAME?</v>
      </c>
      <c r="DE533" s="4" t="e">
        <f ca="1">_xll.BDH($C$528,"BS_INVENTORIES","FY 2015","FY 2015","Currency=INR","Period=FY","BEST_FPERIOD_OVERRIDE=FY","FILING_STATUS=OR","EQY_CONSOLIDATED=Y","SCALING_FORMAT=MLN","Sort=A","Dates=H","DateFormat=P","Fill=—","Direction=H","UseDPDF=Y")</f>
        <v>#NAME?</v>
      </c>
      <c r="DF533" s="2" t="e">
        <f ca="1">_xll.BDH($C$528,"INVTRY_RAW_MATERIALS","FY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33" s="2" t="e">
        <f ca="1">_xll.BDH($C$528,"INVTRY_IN_PROGRESS","FY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33" s="2" t="e">
        <f ca="1">_xll.BDH($C$528,"INVTRY_FINISHED_GOODS","FY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33" s="2" t="e">
        <f ca="1">_xll.BDH($C$528,"BS_OTHER_INV","FY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34" spans="1:113" x14ac:dyDescent="0.3">
      <c r="A534" s="6"/>
      <c r="B534" s="6"/>
      <c r="C534" s="6"/>
      <c r="D534" s="6"/>
      <c r="E534" t="s">
        <v>4</v>
      </c>
      <c r="F534" t="e">
        <f ca="1">_xll.BDH($C$528,"RETURN_COM_EQY","FQ1 2015","FQ1 2015","Currency=INR","Period=FQ","BEST_FPERIOD_OVERRIDE=FQ","FILING_STATUS=OR","EQY_CONSOLIDATED=Y","FA_ADJUSTED=GAAP","Sort=A","Dates=H","DateFormat=P","Fill=—","Direction=H","UseDPDF=Y")</f>
        <v>#NAME?</v>
      </c>
      <c r="G534" t="e">
        <f ca="1">_xll.BDH($C$528,"RETURN_ON_ASSET","FQ1 2015","FQ1 2015","Currency=INR","Period=FQ","BEST_FPERIOD_OVERRIDE=FQ","FILING_STATUS=OR","EQY_CONSOLIDATED=Y","FA_ADJUSTED=GAAP","Sort=A","Dates=H","DateFormat=P","Fill=—","Direction=H","UseDPDF=Y")</f>
        <v>#NAME?</v>
      </c>
      <c r="H534" t="e">
        <f ca="1">_xll.BDH($C$528,"RETURN_ON_CAP","FQ1 2015","FQ1 2015","Currency=INR","Period=FQ","BEST_FPERIOD_OVERRIDE=FQ","FILING_STATUS=OR","EQY_CONSOLIDATED=Y","FA_ADJUSTED=GAAP","Sort=A","Dates=H","DateFormat=P","Fill=—","Direction=H","UseDPDF=Y")</f>
        <v>#NAME?</v>
      </c>
      <c r="I534" t="e">
        <f ca="1">_xll.BDH($C$528,"RETURN_ON_INV_CAPITAL","FQ1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34" t="e">
        <f ca="1">_xll.BDH($C$528,"EBITDA_TO_REVENUE","FQ1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534" t="e">
        <f ca="1">_xll.BDH($C$528,"OPER_MARGIN","FQ1 2015","FQ1 2015","Currency=INR","Period=FQ","BEST_FPERIOD_OVERRIDE=FQ","FILING_STATUS=OR","EQY_CONSOLIDATED=Y","FA_ADJUSTED=GAAP","Sort=A","Dates=H","DateFormat=P","Fill=—","Direction=H","UseDPDF=Y")</f>
        <v>#NAME?</v>
      </c>
      <c r="L534" t="e">
        <f ca="1">_xll.BDH($C$528,"INCREMENTAL_OPERATING_MARGIN","FQ1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34" t="e">
        <f ca="1">_xll.BDH($C$528,"PRETAX_INC_TO_NET_SALES","FQ1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34" t="e">
        <f ca="1">_xll.BDH($C$528,"INC_BEF_XO_ITEMS_TO_NET_SALES","FQ1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34" t="e">
        <f ca="1">_xll.BDH($C$528,"PROF_MARGIN","FQ1 2015","FQ1 2015","Currency=INR","Period=FQ","BEST_FPERIOD_OVERRIDE=FQ","FILING_STATUS=OR","EQY_CONSOLIDATED=Y","FA_ADJUSTED=GAAP","Sort=A","Dates=H","DateFormat=P","Fill=—","Direction=H","UseDPDF=Y")</f>
        <v>#NAME?</v>
      </c>
      <c r="P534" t="e">
        <f ca="1">_xll.BDH($C$528,"NET_INCOME_TO_COMMON_MARGIN","FQ1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34" t="e">
        <f ca="1">_xll.BDH($C$528,"EFF_TAX_RATE","FQ1 2015","FQ1 2015","Currency=INR","Period=FQ","BEST_FPERIOD_OVERRIDE=FQ","FILING_STATUS=OR","EQY_CONSOLIDATED=Y","FA_ADJUSTED=GAAP","Sort=A","Dates=H","DateFormat=P","Fill=—","Direction=H","UseDPDF=Y")</f>
        <v>#NAME?</v>
      </c>
      <c r="R534" t="e">
        <f ca="1">_xll.BDH($C$528,"DVD_PAYOUT_RATIO","FQ1 2015","FQ1 2015","Currency=INR","Period=FQ","BEST_FPERIOD_OVERRIDE=FQ","FILING_STATUS=OR","EQY_CONSOLIDATED=Y","FA_ADJUSTED=GAAP","Sort=A","Dates=H","DateFormat=P","Fill=—","Direction=H","UseDPDF=Y")</f>
        <v>#NAME?</v>
      </c>
      <c r="S534" t="e">
        <f ca="1">_xll.BDH($C$528,"SUSTAIN_GROWTH_RT","FQ1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534" s="1" t="e">
        <f ca="1">_xll.BDH($C$528,"SALES_GROWTH","FQ1 2015","FQ1 2015","Currency=INR","Period=FQ","BEST_FPERIOD_OVERRIDE=FQ","FILING_STATUS=OR","EQY_CONSOLIDATED=Y","FA_ADJUSTED=GAAP","Sort=A","Dates=H","DateFormat=P","Fill=—","Direction=H","UseDPDF=Y")</f>
        <v>#NAME?</v>
      </c>
      <c r="U534" s="1" t="e">
        <f ca="1">_xll.BDH($C$528,"EBITDA_GROWTH","FQ1 2015","FQ1 2015","Currency=INR","Period=FQ","BEST_FPERIOD_OVERRIDE=FQ","FILING_STATUS=OR","EQY_CONSOLIDATED=Y","FA_ADJUSTED=GAAP","Sort=A","Dates=H","DateFormat=P","Fill=—","Direction=H","UseDPDF=Y")</f>
        <v>#NAME?</v>
      </c>
      <c r="V534" s="1" t="e">
        <f ca="1">_xll.BDH($C$528,"OPER_INC_GROWTH","FQ1 2015","FQ1 2015","Currency=INR","Period=FQ","BEST_FPERIOD_OVERRIDE=FQ","FILING_STATUS=OR","EQY_CONSOLIDATED=Y","FA_ADJUSTED=GAAP","Sort=A","Dates=H","DateFormat=P","Fill=—","Direction=H","UseDPDF=Y")</f>
        <v>#NAME?</v>
      </c>
      <c r="W534" s="1" t="e">
        <f ca="1">_xll.BDH($C$528,"EARN_FOR_COM_GROWTH","FQ1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34" s="1" t="e">
        <f ca="1">_xll.BDH($C$528,"DILUTED_EPS_AFT_XO_ITEMS_GROWTH","FQ1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34" s="1" t="e">
        <f ca="1">_xll.BDH($C$528,"DIVIDEND_PER_SHARE_1_YEAR_GROWTH","FQ1 2015","FQ1 2015","Currency=INR","Period=FQ","BEST_FPERIOD_OVERRIDE=FQ","FILING_STATUS=OR","EQY_CONSOLIDATED=Y","Sort=A","Dates=H","DateFormat=P","Fill=—","Direction=H","UseDPDF=Y")</f>
        <v>#NAME?</v>
      </c>
      <c r="Z534" s="1" t="e">
        <f ca="1">_xll.BDH($C$528,"ACCOUNTS_RECEIVABLE_GROWTH","FQ1 2015","FQ1 2015","Currency=INR","Period=FQ","BEST_FPERIOD_OVERRIDE=FQ","FILING_STATUS=OR","EQY_CONSOLIDATED=Y","Sort=A","Dates=H","DateFormat=P","Fill=—","Direction=H","UseDPDF=Y")</f>
        <v>#NAME?</v>
      </c>
      <c r="AA534" s="1" t="e">
        <f ca="1">_xll.BDH($C$528,"INVENTORY_GROWTH","FQ1 2015","FQ1 2015","Currency=INR","Period=FQ","BEST_FPERIOD_OVERRIDE=FQ","FILING_STATUS=OR","EQY_CONSOLIDATED=Y","Sort=A","Dates=H","DateFormat=P","Fill=—","Direction=H","UseDPDF=Y")</f>
        <v>#NAME?</v>
      </c>
      <c r="AB534" s="1" t="e">
        <f ca="1">_xll.BDH($C$528,"NET_FIXED_ASSETS_1_YEAR_GROWTH","FQ1 2015","FQ1 2015","Currency=INR","Period=FQ","BEST_FPERIOD_OVERRIDE=FQ","FILING_STATUS=OR","EQY_CONSOLIDATED=Y","Sort=A","Dates=H","DateFormat=P","Fill=—","Direction=H","UseDPDF=Y")</f>
        <v>#NAME?</v>
      </c>
      <c r="AC534" s="1" t="e">
        <f ca="1">_xll.BDH($C$528,"ASSET_GROWTH","FQ1 2015","FQ1 2015","Currency=INR","Period=FQ","BEST_FPERIOD_OVERRIDE=FQ","FILING_STATUS=OR","EQY_CONSOLIDATED=Y","Sort=A","Dates=H","DateFormat=P","Fill=—","Direction=H","UseDPDF=Y")</f>
        <v>#NAME?</v>
      </c>
      <c r="AD534" s="1" t="e">
        <f ca="1">_xll.BDH($C$528,"MODIFIED_WORK_CAP_GROWTH","FQ1 2015","FQ1 2015","Currency=INR","Period=FQ","BEST_FPERIOD_OVERRIDE=FQ","FILING_STATUS=OR","EQY_CONSOLIDATED=Y","Sort=A","Dates=H","DateFormat=P","Fill=—","Direction=H","UseDPDF=Y")</f>
        <v>#NAME?</v>
      </c>
      <c r="AE534" s="1" t="e">
        <f ca="1">_xll.BDH($C$528,"WORK_CAP_GROWTH","FQ1 2015","FQ1 2015","Currency=INR","Period=FQ","BEST_FPERIOD_OVERRIDE=FQ","FILING_STATUS=OR","EQY_CONSOLIDATED=Y","Sort=A","Dates=H","DateFormat=P","Fill=—","Direction=H","UseDPDF=Y")</f>
        <v>#NAME?</v>
      </c>
      <c r="AF534" s="1" t="e">
        <f ca="1">_xll.BDH($C$528,"ACCOUNTS_PAYABLE_GROWTH_1YR","FQ1 2015","FQ1 2015","Currency=INR","Period=FQ","BEST_FPERIOD_OVERRIDE=FQ","FILING_STATUS=OR","EQY_CONSOLIDATED=Y","Sort=A","Dates=H","DateFormat=P","Fill=—","Direction=H","UseDPDF=Y")</f>
        <v>#NAME?</v>
      </c>
      <c r="AG534" s="1" t="e">
        <f ca="1">_xll.BDH($C$528,"SHORT_TERM_DEBT_1_YEAR_GROWTH","FQ1 2015","FQ1 2015","Currency=INR","Period=FQ","BEST_FPERIOD_OVERRIDE=FQ","FILING_STATUS=OR","EQY_CONSOLIDATED=Y","Sort=A","Dates=H","DateFormat=P","Fill=—","Direction=H","UseDPDF=Y")</f>
        <v>#NAME?</v>
      </c>
      <c r="AH534" s="1" t="e">
        <f ca="1">_xll.BDH($C$528,"TOTAL_DEBT_1_YEAR_GROWTH","FQ1 2015","FQ1 2015","Currency=INR","Period=FQ","BEST_FPERIOD_OVERRIDE=FQ","FILING_STATUS=OR","EQY_CONSOLIDATED=Y","Sort=A","Dates=H","DateFormat=P","Fill=—","Direction=H","UseDPDF=Y")</f>
        <v>#NAME?</v>
      </c>
      <c r="AI534" s="1" t="e">
        <f ca="1">_xll.BDH($C$528,"TOTAL_EQUITY_1_YEAR_GROWTH","FQ1 2015","FQ1 2015","Currency=INR","Period=FQ","BEST_FPERIOD_OVERRIDE=FQ","FILING_STATUS=OR","EQY_CONSOLIDATED=Y","Sort=A","Dates=H","DateFormat=P","Fill=—","Direction=H","UseDPDF=Y")</f>
        <v>#NAME?</v>
      </c>
      <c r="AJ534" s="1" t="e">
        <f ca="1">_xll.BDH($C$528,"GROWTH_IN_CAP","FQ1 2015","FQ1 2015","Currency=INR","Period=FQ","BEST_FPERIOD_OVERRIDE=FQ","FILING_STATUS=OR","EQY_CONSOLIDATED=Y","Sort=A","Dates=H","DateFormat=P","Fill=—","Direction=H","UseDPDF=Y")</f>
        <v>#NAME?</v>
      </c>
      <c r="AK534" s="1" t="e">
        <f ca="1">_xll.BDH($C$528,"BVPS_GROWTH","FQ1 2015","FQ1 2015","Currency=INR","Period=FQ","BEST_FPERIOD_OVERRIDE=FQ","FILING_STATUS=OR","EQY_CONSOLIDATED=Y","Sort=A","Dates=H","DateFormat=P","Fill=—","Direction=H","UseDPDF=Y")</f>
        <v>#NAME?</v>
      </c>
      <c r="AL534" s="1" t="e">
        <f ca="1">_xll.BDH($C$528,"CASH_FLOW_GROWTH","FQ1 2015","FQ1 2015","Currency=INR","Period=FQ","BEST_FPERIOD_OVERRIDE=FQ","FILING_STATUS=OR","EQY_CONSOLIDATED=Y","Sort=A","Dates=H","DateFormat=P","Fill=—","Direction=H","UseDPDF=Y")</f>
        <v>#NAME?</v>
      </c>
      <c r="AM534" s="1" t="e">
        <f ca="1">_xll.BDH($C$528,"GEO_GROW_NET_SALES","FQ1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34" s="1" t="e">
        <f ca="1">_xll.BDH($C$528,"GEO_GROW_EBITDA","FQ1 2015","FQ1 2015","Currency=INR","Period=FQ","BEST_FPERIOD_OVERRIDE=FQ","FILING_STATUS=OR","EQY_CONSOLIDATED=Y","FA_ADJUSTED=GAAP","Sort=A","Dates=H","DateFormat=P","Fill=—","Direction=H","UseDPDF=Y")</f>
        <v>#NAME?</v>
      </c>
      <c r="AO534" s="1" t="e">
        <f ca="1">_xll.BDH($C$528,"GEO_GROW_OPER_INC","FQ1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34" s="1" t="e">
        <f ca="1">_xll.BDH($C$528,"NET_INCOME_TO_COMMON_5_YR_GROWTH","FQ1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34" s="1" t="e">
        <f ca="1">_xll.BDH($C$528,"5Y_GEO_GROWTH_DILUTED_EPS","FQ1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34" s="1" t="e">
        <f ca="1">_xll.BDH($C$528,"GEO_GROW_DVD_PER_SH","FQ1 2015","FQ1 2015","Currency=INR","Period=FQ","BEST_FPERIOD_OVERRIDE=FQ","FILING_STATUS=OR","EQY_CONSOLIDATED=Y","Sort=A","Dates=H","DateFormat=P","Fill=—","Direction=H","UseDPDF=Y")</f>
        <v>#NAME?</v>
      </c>
      <c r="AS534" s="1" t="e">
        <f ca="1">_xll.BDH($C$528,"ACCOUNTS_RECEIVABLE_5_YR_GROWTH","FQ1 2015","FQ1 2015","Currency=INR","Period=FQ","BEST_FPERIOD_OVERRIDE=FQ","FILING_STATUS=OR","EQY_CONSOLIDATED=Y","Sort=A","Dates=H","DateFormat=P","Fill=—","Direction=H","UseDPDF=Y")</f>
        <v>#NAME?</v>
      </c>
      <c r="AT534" s="1" t="e">
        <f ca="1">_xll.BDH($C$528,"INVENTORY_5_YEAR_GROWTH","FQ1 2015","FQ1 2015","Currency=INR","Period=FQ","BEST_FPERIOD_OVERRIDE=FQ","FILING_STATUS=OR","EQY_CONSOLIDATED=Y","Sort=A","Dates=H","DateFormat=P","Fill=—","Direction=H","UseDPDF=Y")</f>
        <v>#NAME?</v>
      </c>
      <c r="AU534" s="1" t="e">
        <f ca="1">_xll.BDH($C$528,"NET_FIXED_ASSETS_5_YEAR_GROWTH","FQ1 2015","FQ1 2015","Currency=INR","Period=FQ","BEST_FPERIOD_OVERRIDE=FQ","FILING_STATUS=OR","EQY_CONSOLIDATED=Y","Sort=A","Dates=H","DateFormat=P","Fill=—","Direction=H","UseDPDF=Y")</f>
        <v>#NAME?</v>
      </c>
      <c r="AV534" s="1" t="e">
        <f ca="1">_xll.BDH($C$528,"GEO_GROW_TOT_ASSET","FQ1 2015","FQ1 2015","Currency=INR","Period=FQ","BEST_FPERIOD_OVERRIDE=FQ","FILING_STATUS=OR","EQY_CONSOLIDATED=Y","Sort=A","Dates=H","DateFormat=P","Fill=—","Direction=H","UseDPDF=Y")</f>
        <v>#NAME?</v>
      </c>
      <c r="AW534" s="1" t="e">
        <f ca="1">_xll.BDH($C$528,"MODIFIED_WORKING_CPTL_5YR_GRWTH","FQ1 2015","FQ1 2015","Currency=INR","Period=FQ","BEST_FPERIOD_OVERRIDE=FQ","FILING_STATUS=OR","EQY_CONSOLIDATED=Y","Sort=A","Dates=H","DateFormat=P","Fill=—","Direction=H","UseDPDF=Y")</f>
        <v>#NAME?</v>
      </c>
      <c r="AX534" s="1" t="e">
        <f ca="1">_xll.BDH($C$528,"WORKING_CAPITAL_5_YEAR_GROWTH","FQ1 2015","FQ1 2015","Currency=INR","Period=FQ","BEST_FPERIOD_OVERRIDE=FQ","FILING_STATUS=OR","EQY_CONSOLIDATED=Y","Sort=A","Dates=H","DateFormat=P","Fill=—","Direction=H","UseDPDF=Y")</f>
        <v>#NAME?</v>
      </c>
      <c r="AY534" s="1" t="e">
        <f ca="1">_xll.BDH($C$528,"ACCOUNTS_PAYABLE_5_YEAR_GROWTH","FQ1 2015","FQ1 2015","Currency=INR","Period=FQ","BEST_FPERIOD_OVERRIDE=FQ","FILING_STATUS=OR","EQY_CONSOLIDATED=Y","Sort=A","Dates=H","DateFormat=P","Fill=—","Direction=H","UseDPDF=Y")</f>
        <v>#NAME?</v>
      </c>
      <c r="AZ534" s="1" t="e">
        <f ca="1">_xll.BDH($C$528,"SHORT_TERM_DEBT_5_YEAR_GROWTH","FQ1 2015","FQ1 2015","Currency=INR","Period=FQ","BEST_FPERIOD_OVERRIDE=FQ","FILING_STATUS=OR","EQY_CONSOLIDATED=Y","Sort=A","Dates=H","DateFormat=P","Fill=—","Direction=H","UseDPDF=Y")</f>
        <v>#NAME?</v>
      </c>
      <c r="BA534" s="1" t="e">
        <f ca="1">_xll.BDH($C$528,"TOTAL_DEBT_5_YEAR_GROWTH","FQ1 2015","FQ1 2015","Currency=INR","Period=FQ","BEST_FPERIOD_OVERRIDE=FQ","FILING_STATUS=OR","EQY_CONSOLIDATED=Y","Sort=A","Dates=H","DateFormat=P","Fill=—","Direction=H","UseDPDF=Y")</f>
        <v>#NAME?</v>
      </c>
      <c r="BB534" s="1" t="e">
        <f ca="1">_xll.BDH($C$528,"GEO_GROW_TOT_SHRHLDR_EQY","FQ1 2015","FQ1 2015","Currency=INR","Period=FQ","BEST_FPERIOD_OVERRIDE=FQ","FILING_STATUS=OR","EQY_CONSOLIDATED=Y","Sort=A","Dates=H","DateFormat=P","Fill=—","Direction=H","UseDPDF=Y")</f>
        <v>#NAME?</v>
      </c>
      <c r="BC534" s="1" t="e">
        <f ca="1">_xll.BDH($C$528,"TOTAL_CAPITAL_5_YEAR_GROWTH","FQ1 2015","FQ1 2015","Currency=INR","Period=FQ","BEST_FPERIOD_OVERRIDE=FQ","FILING_STATUS=OR","EQY_CONSOLIDATED=Y","Sort=A","Dates=H","DateFormat=P","Fill=—","Direction=H","UseDPDF=Y")</f>
        <v>#NAME?</v>
      </c>
      <c r="BD534" s="1" t="e">
        <f ca="1">_xll.BDH($C$528,"GEO_GROW_BOOK_VAL","FQ1 2015","FQ1 2015","Currency=INR","Period=FQ","BEST_FPERIOD_OVERRIDE=FQ","FILING_STATUS=OR","EQY_CONSOLIDATED=Y","Sort=A","Dates=H","DateFormat=P","Fill=—","Direction=H","UseDPDF=Y")</f>
        <v>#NAME?</v>
      </c>
      <c r="BE534" s="1" t="e">
        <f ca="1">_xll.BDH($C$528,"GEO_GROW_CASH_OPER_ACT","FQ1 2015","FQ1 2015","Currency=INR","Period=FQ","BEST_FPERIOD_OVERRIDE=FQ","FILING_STATUS=OR","EQY_CONSOLIDATED=Y","Sort=A","Dates=H","DateFormat=P","Fill=—","Direction=H","UseDPDF=Y")</f>
        <v>#NAME?</v>
      </c>
      <c r="BF534" s="1" t="e">
        <f ca="1">_xll.BDH($C$528,"REVENUE_SEQUENTIAL_GROWTH","FQ1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34" s="1" t="e">
        <f ca="1">_xll.BDH($C$528,"EBITDA_SEQUENTIAL_GROWTH","FQ1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34" s="1" t="e">
        <f ca="1">_xll.BDH($C$528,"OPERATING_INCOME_SEQ_GROWTH","FQ1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34" s="1" t="e">
        <f ca="1">_xll.BDH($C$528,"NET_INCOME_TO_COMMON_SEQ_GROWTH","FQ1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34" s="1" t="e">
        <f ca="1">_xll.BDH($C$528,"EPS_DILUTED_SEQUENTIAL_GROWTH","FQ1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34" s="1" t="e">
        <f ca="1">_xll.BDH($C$528,"DPS_SEQUENTIAL_GROWTH","FQ1 2015","FQ1 2015","Currency=INR","Period=FQ","BEST_FPERIOD_OVERRIDE=FQ","FILING_STATUS=OR","EQY_CONSOLIDATED=Y","Sort=A","Dates=H","DateFormat=P","Fill=—","Direction=H","UseDPDF=Y")</f>
        <v>#NAME?</v>
      </c>
      <c r="BL534" s="1" t="e">
        <f ca="1">_xll.BDH($C$528,"ACCOUNTS_RECEIVABLE_SEQ_GROWTH","FQ1 2015","FQ1 2015","Currency=INR","Period=FQ","BEST_FPERIOD_OVERRIDE=FQ","FILING_STATUS=OR","EQY_CONSOLIDATED=Y","Sort=A","Dates=H","DateFormat=P","Fill=—","Direction=H","UseDPDF=Y")</f>
        <v>#NAME?</v>
      </c>
      <c r="BM534" s="1" t="e">
        <f ca="1">_xll.BDH($C$528,"INVENTORY_SEQUENTIAL_GROWTH","FQ1 2015","FQ1 2015","Currency=INR","Period=FQ","BEST_FPERIOD_OVERRIDE=FQ","FILING_STATUS=OR","EQY_CONSOLIDATED=Y","Sort=A","Dates=H","DateFormat=P","Fill=—","Direction=H","UseDPDF=Y")</f>
        <v>#NAME?</v>
      </c>
      <c r="BN534" s="1" t="e">
        <f ca="1">_xll.BDH($C$528,"FIXED_ASSETS_SEQUENTIAL_GROWTH","FQ1 2015","FQ1 2015","Currency=INR","Period=FQ","BEST_FPERIOD_OVERRIDE=FQ","FILING_STATUS=OR","EQY_CONSOLIDATED=Y","Sort=A","Dates=H","DateFormat=P","Fill=—","Direction=H","UseDPDF=Y")</f>
        <v>#NAME?</v>
      </c>
      <c r="BO534" s="1" t="e">
        <f ca="1">_xll.BDH($C$528,"TOTAL_ASSETS_SEQUENTIAL_GROWTH","FQ1 2015","FQ1 2015","Currency=INR","Period=FQ","BEST_FPERIOD_OVERRIDE=FQ","FILING_STATUS=OR","EQY_CONSOLIDATED=Y","Sort=A","Dates=H","DateFormat=P","Fill=—","Direction=H","UseDPDF=Y")</f>
        <v>#NAME?</v>
      </c>
      <c r="BP534" s="1" t="e">
        <f ca="1">_xll.BDH($C$528,"MODIFIED_WORKING_CPTL_SEQ_GRWTH","FQ1 2015","FQ1 2015","Currency=INR","Period=FQ","BEST_FPERIOD_OVERRIDE=FQ","FILING_STATUS=OR","EQY_CONSOLIDATED=Y","Sort=A","Dates=H","DateFormat=P","Fill=—","Direction=H","UseDPDF=Y")</f>
        <v>#NAME?</v>
      </c>
      <c r="BQ534" s="1" t="e">
        <f ca="1">_xll.BDH($C$528,"WORKING_CAPITAL_SEQ_GROWTH","FQ1 2015","FQ1 2015","Currency=INR","Period=FQ","BEST_FPERIOD_OVERRIDE=FQ","FILING_STATUS=OR","EQY_CONSOLIDATED=Y","Sort=A","Dates=H","DateFormat=P","Fill=—","Direction=H","UseDPDF=Y")</f>
        <v>#NAME?</v>
      </c>
      <c r="BR534" s="1" t="e">
        <f ca="1">_xll.BDH($C$528,"ACCOUNTS_PAYABLE_SEQ_GROWTH","FQ1 2015","FQ1 2015","Currency=INR","Period=FQ","BEST_FPERIOD_OVERRIDE=FQ","FILING_STATUS=OR","EQY_CONSOLIDATED=Y","Sort=A","Dates=H","DateFormat=P","Fill=—","Direction=H","UseDPDF=Y")</f>
        <v>#NAME?</v>
      </c>
      <c r="BS534" s="1" t="e">
        <f ca="1">_xll.BDH($C$528,"ST_DEBT_SEQUENTIAL_GROWTH","FQ1 2015","FQ1 2015","Currency=INR","Period=FQ","BEST_FPERIOD_OVERRIDE=FQ","FILING_STATUS=OR","EQY_CONSOLIDATED=Y","Sort=A","Dates=H","DateFormat=P","Fill=—","Direction=H","UseDPDF=Y")</f>
        <v>#NAME?</v>
      </c>
      <c r="BT534" s="1" t="e">
        <f ca="1">_xll.BDH($C$528,"TOTAL_DEBT_SEQUENTIAL_GROWTH","FQ1 2015","FQ1 2015","Currency=INR","Period=FQ","BEST_FPERIOD_OVERRIDE=FQ","FILING_STATUS=OR","EQY_CONSOLIDATED=Y","Sort=A","Dates=H","DateFormat=P","Fill=—","Direction=H","UseDPDF=Y")</f>
        <v>#NAME?</v>
      </c>
      <c r="BU534" s="1" t="e">
        <f ca="1">_xll.BDH($C$528,"TOTAL_EQUITY_SEQUENTIAL_GROWTH","FQ1 2015","FQ1 2015","Currency=INR","Period=FQ","BEST_FPERIOD_OVERRIDE=FQ","FILING_STATUS=OR","EQY_CONSOLIDATED=Y","Sort=A","Dates=H","DateFormat=P","Fill=—","Direction=H","UseDPDF=Y")</f>
        <v>#NAME?</v>
      </c>
      <c r="BV534" s="1" t="e">
        <f ca="1">_xll.BDH($C$528,"TOTAL_CAPITAL_SEQUENTIAL_GROWTH","FQ1 2015","FQ1 2015","Currency=INR","Period=FQ","BEST_FPERIOD_OVERRIDE=FQ","FILING_STATUS=OR","EQY_CONSOLIDATED=Y","Sort=A","Dates=H","DateFormat=P","Fill=—","Direction=H","UseDPDF=Y")</f>
        <v>#NAME?</v>
      </c>
      <c r="BW534" s="1" t="e">
        <f ca="1">_xll.BDH($C$528,"BPS_SEQUENTIAL_GROWTH","FQ1 2015","FQ1 2015","Currency=INR","Period=FQ","BEST_FPERIOD_OVERRIDE=FQ","FILING_STATUS=OR","EQY_CONSOLIDATED=Y","Sort=A","Dates=H","DateFormat=P","Fill=—","Direction=H","UseDPDF=Y")</f>
        <v>#NAME?</v>
      </c>
      <c r="BX534" s="1" t="e">
        <f ca="1">_xll.BDH($C$528,"CFO_SEQUENTIAL_GROWTH","FQ1 2015","FQ1 2015","Currency=INR","Period=FQ","BEST_FPERIOD_OVERRIDE=FQ","FILING_STATUS=OR","EQY_CONSOLIDATED=Y","Sort=A","Dates=H","DateFormat=P","Fill=—","Direction=H","UseDPDF=Y")</f>
        <v>#NAME?</v>
      </c>
      <c r="BY534" s="2" t="e">
        <f ca="1">_xll.BDH($C$528,"SHORT_AND_LONG_TERM_DEBT","FQ1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34" s="2" t="e">
        <f ca="1">_xll.BDH($C$528,"BS_ST_BORROW","FQ1 2015","FQ1 2015","Currency=INR","Period=FQ","BEST_FPERIOD_OVERRIDE=FQ","FILING_STATUS=OR","EQY_CONSOLIDATED=Y","SCALING_FORMAT=MLN","Sort=A","Dates=H","DateFormat=P","Fill=—","Direction=H","UseDPDF=Y")</f>
        <v>#NAME?</v>
      </c>
      <c r="CA534" s="2" t="e">
        <f ca="1">_xll.BDH($C$528,"BS_LT_BORROW","FQ1 2015","FQ1 2015","Currency=INR","Period=FQ","BEST_FPERIOD_OVERRIDE=FQ","FILING_STATUS=OR","EQY_CONSOLIDATED=Y","SCALING_FORMAT=MLN","Sort=A","Dates=H","DateFormat=P","Fill=—","Direction=H","UseDPDF=Y")</f>
        <v>#NAME?</v>
      </c>
      <c r="CB534" s="1" t="e">
        <f ca="1">_xll.BDH($C$528,"TOT_DEBT_TO_EBITDA","FQ1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34" s="1" t="e">
        <f ca="1">_xll.BDH($C$528,"NET_DEBT_TO_EBITDA","FQ1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34" s="1" t="e">
        <f ca="1">_xll.BDH($C$528,"TOTAL_DEBT_TO_EBIT","FQ1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34" s="1" t="e">
        <f ca="1">_xll.BDH($C$528,"NET_DEBT_TO_EBIT","FQ1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534" s="1" t="e">
        <f ca="1">_xll.BDH($C$528,"EBITDA_TO_INTEREST_EXPN","FQ1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34" s="1" t="e">
        <f ca="1">_xll.BDH($C$528,"COM_EQY_TO_TOT_ASSET","FQ1 2015","FQ1 2015","Currency=INR","Period=FQ","BEST_FPERIOD_OVERRIDE=FQ","FILING_STATUS=OR","EQY_CONSOLIDATED=Y","Sort=A","Dates=H","DateFormat=P","Fill=—","Direction=H","UseDPDF=Y")</f>
        <v>#NAME?</v>
      </c>
      <c r="CH534" s="1" t="e">
        <f ca="1">_xll.BDH($C$528,"LT_DEBT_TO_TOT_EQY","FQ1 2015","FQ1 2015","Currency=INR","Period=FQ","BEST_FPERIOD_OVERRIDE=FQ","FILING_STATUS=OR","EQY_CONSOLIDATED=Y","Sort=A","Dates=H","DateFormat=P","Fill=—","Direction=H","UseDPDF=Y")</f>
        <v>#NAME?</v>
      </c>
      <c r="CI534" s="1" t="e">
        <f ca="1">_xll.BDH($C$528,"LT_DEBT_TO_TOT_CAP","FQ1 2015","FQ1 2015","Currency=INR","Period=FQ","BEST_FPERIOD_OVERRIDE=FQ","FILING_STATUS=OR","EQY_CONSOLIDATED=Y","Sort=A","Dates=H","DateFormat=P","Fill=—","Direction=H","UseDPDF=Y")</f>
        <v>#NAME?</v>
      </c>
      <c r="CJ534" s="1" t="e">
        <f ca="1">_xll.BDH($C$528,"LT_DEBT_TO_TOT_ASSET","FQ1 2015","FQ1 2015","Currency=INR","Period=FQ","BEST_FPERIOD_OVERRIDE=FQ","FILING_STATUS=OR","EQY_CONSOLIDATED=Y","Sort=A","Dates=H","DateFormat=P","Fill=—","Direction=H","UseDPDF=Y")</f>
        <v>#NAME?</v>
      </c>
      <c r="CK534" s="1" t="e">
        <f ca="1">_xll.BDH($C$528,"TOT_DEBT_TO_TOT_EQY","FQ1 2015","FQ1 2015","Currency=INR","Period=FQ","BEST_FPERIOD_OVERRIDE=FQ","FILING_STATUS=OR","EQY_CONSOLIDATED=Y","Sort=A","Dates=H","DateFormat=P","Fill=—","Direction=H","UseDPDF=Y")</f>
        <v>#NAME?</v>
      </c>
      <c r="CL534" s="1" t="e">
        <f ca="1">_xll.BDH($C$528,"TOT_DEBT_TO_TOT_CAP","FQ1 2015","FQ1 2015","Currency=INR","Period=FQ","BEST_FPERIOD_OVERRIDE=FQ","FILING_STATUS=OR","EQY_CONSOLIDATED=Y","Sort=A","Dates=H","DateFormat=P","Fill=—","Direction=H","UseDPDF=Y")</f>
        <v>#NAME?</v>
      </c>
      <c r="CM534" s="1" t="e">
        <f ca="1">_xll.BDH($C$528,"TOT_DEBT_TO_TOT_ASSET","FQ1 2015","FQ1 2015","Currency=INR","Period=FQ","BEST_FPERIOD_OVERRIDE=FQ","FILING_STATUS=OR","EQY_CONSOLIDATED=Y","Sort=A","Dates=H","DateFormat=P","Fill=—","Direction=H","UseDPDF=Y")</f>
        <v>#NAME?</v>
      </c>
      <c r="CN534" s="1" t="e">
        <f ca="1">_xll.BDH($C$528,"NET_DEBT_TO_SHRHLDR_EQTY","FQ1 2015","FQ1 2015","Currency=INR","Period=FQ","BEST_FPERIOD_OVERRIDE=FQ","FILING_STATUS=OR","EQY_CONSOLIDATED=Y","Sort=A","Dates=H","DateFormat=P","Fill=—","Direction=H","UseDPDF=Y")</f>
        <v>#NAME?</v>
      </c>
      <c r="CO534" s="1" t="e">
        <f ca="1">_xll.BDH($C$528,"NET_DEBT_%_CAPITAL","FQ1 2015","FQ1 2015","Currency=INR","Period=FQ","BEST_FPERIOD_OVERRIDE=FQ","FILING_STATUS=OR","EQY_CONSOLIDATED=Y","Sort=A","Dates=H","DateFormat=P","Fill=—","Direction=H","UseDPDF=Y")</f>
        <v>#NAME?</v>
      </c>
      <c r="CP534" s="2" t="e">
        <f ca="1">_xll.BDH($C$528,"EBITDA","FQ1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34" s="2" t="e">
        <f ca="1">_xll.BDH($C$528,"EBITDA_AFTER_CAPEX","FQ1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34" s="2" t="e">
        <f ca="1">_xll.BDH($C$528,"IS_OPER_INC","FQ1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34" s="1" t="e">
        <f ca="1">_xll.BDH($C$528,"CASH_RATIO","FQ1 2015","FQ1 2015","Currency=INR","Period=FQ","BEST_FPERIOD_OVERRIDE=FQ","FILING_STATUS=OR","EQY_CONSOLIDATED=Y","Sort=A","Dates=H","DateFormat=P","Fill=—","Direction=H","UseDPDF=Y")</f>
        <v>#NAME?</v>
      </c>
      <c r="CT534" s="1" t="e">
        <f ca="1">_xll.BDH($C$528,"CUR_RATIO","FQ1 2015","FQ1 2015","Currency=INR","Period=FQ","BEST_FPERIOD_OVERRIDE=FQ","FILING_STATUS=OR","EQY_CONSOLIDATED=Y","Sort=A","Dates=H","DateFormat=P","Fill=—","Direction=H","UseDPDF=Y")</f>
        <v>#NAME?</v>
      </c>
      <c r="CU534" s="1" t="e">
        <f ca="1">_xll.BDH($C$528,"QUICK_RATIO","FQ1 2015","FQ1 2015","Currency=INR","Period=FQ","BEST_FPERIOD_OVERRIDE=FQ","FILING_STATUS=OR","EQY_CONSOLIDATED=Y","Sort=A","Dates=H","DateFormat=P","Fill=—","Direction=H","UseDPDF=Y")</f>
        <v>#NAME?</v>
      </c>
      <c r="CV534" s="1" t="e">
        <f ca="1">_xll.BDH($C$528,"ALTMAN_Z_SCORE","FQ1 2015","FQ1 2015","Currency=INR","Period=FQ","BEST_FPERIOD_OVERRIDE=FQ","FILING_STATUS=OR","EQY_CONSOLIDATED=Y","Sort=A","Dates=H","DateFormat=P","Fill=—","Direction=H","UseDPDF=Y")</f>
        <v>#NAME?</v>
      </c>
      <c r="CW534" s="3" t="e">
        <f ca="1">_xll.BDH($C$528,"ACCT_RCV_TURN","FQ1 2015","FQ1 2015","Currency=INR","Period=FQ","BEST_FPERIOD_OVERRIDE=FQ","FILING_STATUS=OR","EQY_CONSOLIDATED=Y","FA_ADJUSTED=GAAP","Sort=A","Dates=H","DateFormat=P","Fill=—","Direction=H","UseDPDF=Y")</f>
        <v>#NAME?</v>
      </c>
      <c r="CX534" s="1" t="e">
        <f ca="1">_xll.BDH($C$528,"ACCT_RCV_DAYS","FQ1 2015","FQ1 2015","Currency=INR","Period=FQ","BEST_FPERIOD_OVERRIDE=FQ","FILING_STATUS=OR","EQY_CONSOLIDATED=Y","FA_ADJUSTED=GAAP","Sort=A","Dates=H","DateFormat=P","Fill=—","Direction=H","UseDPDF=Y")</f>
        <v>#NAME?</v>
      </c>
      <c r="CY534" s="3" t="e">
        <f ca="1">_xll.BDH($C$528,"INVENT_TURN","FQ1 2015","FQ1 2015","Currency=INR","Period=FQ","BEST_FPERIOD_OVERRIDE=FQ","FILING_STATUS=OR","EQY_CONSOLIDATED=Y","FA_ADJUSTED=GAAP","Sort=A","Dates=H","DateFormat=P","Fill=—","Direction=H","UseDPDF=Y")</f>
        <v>#NAME?</v>
      </c>
      <c r="CZ534" s="1" t="e">
        <f ca="1">_xll.BDH($C$528,"INVENT_DAYS","FQ1 2015","FQ1 2015","Currency=INR","Period=FQ","BEST_FPERIOD_OVERRIDE=FQ","FILING_STATUS=OR","EQY_CONSOLIDATED=Y","FA_ADJUSTED=GAAP","Sort=A","Dates=H","DateFormat=P","Fill=—","Direction=H","UseDPDF=Y")</f>
        <v>#NAME?</v>
      </c>
      <c r="DA534" s="3" t="e">
        <f ca="1">_xll.BDH($C$528,"ACCOUNTS_PAYABLE_TURNOVER","FQ1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34" s="1" t="e">
        <f ca="1">_xll.BDH($C$528,"ACCOUNTS_PAYABLE_TURNOVER_DAYS","FQ1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34" s="3" t="e">
        <f ca="1">_xll.BDH($C$528,"CASH_CONVERSION_CYCLE","FQ1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34" s="3" t="e">
        <f ca="1">_xll.BDH($C$528,"INV_TO_CASH_DAYS","FQ1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534" s="4" t="e">
        <f ca="1">_xll.BDH($C$528,"BS_INVENTORIES","FQ1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534" s="2" t="e">
        <f ca="1">_xll.BDH($C$528,"INVTRY_RAW_MATERIALS","FQ1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34" s="2" t="e">
        <f ca="1">_xll.BDH($C$528,"INVTRY_IN_PROGRESS","FQ1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34" s="2" t="e">
        <f ca="1">_xll.BDH($C$528,"INVTRY_FINISHED_GOODS","FQ1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34" s="2" t="e">
        <f ca="1">_xll.BDH($C$528,"BS_OTHER_INV","FQ1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35" spans="1:113" x14ac:dyDescent="0.3">
      <c r="A535" s="6"/>
      <c r="B535" s="6"/>
      <c r="C535" s="6"/>
      <c r="D535" s="6"/>
      <c r="E535" t="s">
        <v>5</v>
      </c>
      <c r="F535" t="e">
        <f ca="1">_xll.BDH($C$528,"RETURN_COM_EQY","FQ2 2015","FQ2 2015","Currency=INR","Period=FQ","BEST_FPERIOD_OVERRIDE=FQ","FILING_STATUS=OR","EQY_CONSOLIDATED=Y","FA_ADJUSTED=GAAP","Sort=A","Dates=H","DateFormat=P","Fill=—","Direction=H","UseDPDF=Y")</f>
        <v>#NAME?</v>
      </c>
      <c r="G535" t="e">
        <f ca="1">_xll.BDH($C$528,"RETURN_ON_ASSET","FQ2 2015","FQ2 2015","Currency=INR","Period=FQ","BEST_FPERIOD_OVERRIDE=FQ","FILING_STATUS=OR","EQY_CONSOLIDATED=Y","FA_ADJUSTED=GAAP","Sort=A","Dates=H","DateFormat=P","Fill=—","Direction=H","UseDPDF=Y")</f>
        <v>#NAME?</v>
      </c>
      <c r="H535" t="e">
        <f ca="1">_xll.BDH($C$528,"RETURN_ON_CAP","FQ2 2015","FQ2 2015","Currency=INR","Period=FQ","BEST_FPERIOD_OVERRIDE=FQ","FILING_STATUS=OR","EQY_CONSOLIDATED=Y","FA_ADJUSTED=GAAP","Sort=A","Dates=H","DateFormat=P","Fill=—","Direction=H","UseDPDF=Y")</f>
        <v>#NAME?</v>
      </c>
      <c r="I535" t="e">
        <f ca="1">_xll.BDH($C$528,"RETURN_ON_INV_CAPITAL","FQ2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35" t="e">
        <f ca="1">_xll.BDH($C$528,"EBITDA_TO_REVENUE","FQ2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535" t="e">
        <f ca="1">_xll.BDH($C$528,"OPER_MARGIN","FQ2 2015","FQ2 2015","Currency=INR","Period=FQ","BEST_FPERIOD_OVERRIDE=FQ","FILING_STATUS=OR","EQY_CONSOLIDATED=Y","FA_ADJUSTED=GAAP","Sort=A","Dates=H","DateFormat=P","Fill=—","Direction=H","UseDPDF=Y")</f>
        <v>#NAME?</v>
      </c>
      <c r="L535" t="e">
        <f ca="1">_xll.BDH($C$528,"INCREMENTAL_OPERATING_MARGIN","FQ2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35" t="e">
        <f ca="1">_xll.BDH($C$528,"PRETAX_INC_TO_NET_SALES","FQ2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35" t="e">
        <f ca="1">_xll.BDH($C$528,"INC_BEF_XO_ITEMS_TO_NET_SALES","FQ2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35" t="e">
        <f ca="1">_xll.BDH($C$528,"PROF_MARGIN","FQ2 2015","FQ2 2015","Currency=INR","Period=FQ","BEST_FPERIOD_OVERRIDE=FQ","FILING_STATUS=OR","EQY_CONSOLIDATED=Y","FA_ADJUSTED=GAAP","Sort=A","Dates=H","DateFormat=P","Fill=—","Direction=H","UseDPDF=Y")</f>
        <v>#NAME?</v>
      </c>
      <c r="P535" t="e">
        <f ca="1">_xll.BDH($C$528,"NET_INCOME_TO_COMMON_MARGIN","FQ2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35" t="e">
        <f ca="1">_xll.BDH($C$528,"EFF_TAX_RATE","FQ2 2015","FQ2 2015","Currency=INR","Period=FQ","BEST_FPERIOD_OVERRIDE=FQ","FILING_STATUS=OR","EQY_CONSOLIDATED=Y","FA_ADJUSTED=GAAP","Sort=A","Dates=H","DateFormat=P","Fill=—","Direction=H","UseDPDF=Y")</f>
        <v>#NAME?</v>
      </c>
      <c r="R535" t="e">
        <f ca="1">_xll.BDH($C$528,"DVD_PAYOUT_RATIO","FQ2 2015","FQ2 2015","Currency=INR","Period=FQ","BEST_FPERIOD_OVERRIDE=FQ","FILING_STATUS=OR","EQY_CONSOLIDATED=Y","FA_ADJUSTED=GAAP","Sort=A","Dates=H","DateFormat=P","Fill=—","Direction=H","UseDPDF=Y")</f>
        <v>#NAME?</v>
      </c>
      <c r="S535" t="e">
        <f ca="1">_xll.BDH($C$528,"SUSTAIN_GROWTH_RT","FQ2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535" s="1" t="e">
        <f ca="1">_xll.BDH($C$528,"SALES_GROWTH","FQ2 2015","FQ2 2015","Currency=INR","Period=FQ","BEST_FPERIOD_OVERRIDE=FQ","FILING_STATUS=OR","EQY_CONSOLIDATED=Y","FA_ADJUSTED=GAAP","Sort=A","Dates=H","DateFormat=P","Fill=—","Direction=H","UseDPDF=Y")</f>
        <v>#NAME?</v>
      </c>
      <c r="U535" s="1" t="e">
        <f ca="1">_xll.BDH($C$528,"EBITDA_GROWTH","FQ2 2015","FQ2 2015","Currency=INR","Period=FQ","BEST_FPERIOD_OVERRIDE=FQ","FILING_STATUS=OR","EQY_CONSOLIDATED=Y","FA_ADJUSTED=GAAP","Sort=A","Dates=H","DateFormat=P","Fill=—","Direction=H","UseDPDF=Y")</f>
        <v>#NAME?</v>
      </c>
      <c r="V535" s="1" t="e">
        <f ca="1">_xll.BDH($C$528,"OPER_INC_GROWTH","FQ2 2015","FQ2 2015","Currency=INR","Period=FQ","BEST_FPERIOD_OVERRIDE=FQ","FILING_STATUS=OR","EQY_CONSOLIDATED=Y","FA_ADJUSTED=GAAP","Sort=A","Dates=H","DateFormat=P","Fill=—","Direction=H","UseDPDF=Y")</f>
        <v>#NAME?</v>
      </c>
      <c r="W535" s="1" t="e">
        <f ca="1">_xll.BDH($C$528,"EARN_FOR_COM_GROWTH","FQ2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35" s="1" t="e">
        <f ca="1">_xll.BDH($C$528,"DILUTED_EPS_AFT_XO_ITEMS_GROWTH","FQ2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35" s="1" t="e">
        <f ca="1">_xll.BDH($C$528,"DIVIDEND_PER_SHARE_1_YEAR_GROWTH","FQ2 2015","FQ2 2015","Currency=INR","Period=FQ","BEST_FPERIOD_OVERRIDE=FQ","FILING_STATUS=OR","EQY_CONSOLIDATED=Y","Sort=A","Dates=H","DateFormat=P","Fill=—","Direction=H","UseDPDF=Y")</f>
        <v>#NAME?</v>
      </c>
      <c r="Z535" s="1" t="e">
        <f ca="1">_xll.BDH($C$528,"ACCOUNTS_RECEIVABLE_GROWTH","FQ2 2015","FQ2 2015","Currency=INR","Period=FQ","BEST_FPERIOD_OVERRIDE=FQ","FILING_STATUS=OR","EQY_CONSOLIDATED=Y","Sort=A","Dates=H","DateFormat=P","Fill=—","Direction=H","UseDPDF=Y")</f>
        <v>#NAME?</v>
      </c>
      <c r="AA535" s="1" t="e">
        <f ca="1">_xll.BDH($C$528,"INVENTORY_GROWTH","FQ2 2015","FQ2 2015","Currency=INR","Period=FQ","BEST_FPERIOD_OVERRIDE=FQ","FILING_STATUS=OR","EQY_CONSOLIDATED=Y","Sort=A","Dates=H","DateFormat=P","Fill=—","Direction=H","UseDPDF=Y")</f>
        <v>#NAME?</v>
      </c>
      <c r="AB535" s="1" t="e">
        <f ca="1">_xll.BDH($C$528,"NET_FIXED_ASSETS_1_YEAR_GROWTH","FQ2 2015","FQ2 2015","Currency=INR","Period=FQ","BEST_FPERIOD_OVERRIDE=FQ","FILING_STATUS=OR","EQY_CONSOLIDATED=Y","Sort=A","Dates=H","DateFormat=P","Fill=—","Direction=H","UseDPDF=Y")</f>
        <v>#NAME?</v>
      </c>
      <c r="AC535" s="1" t="e">
        <f ca="1">_xll.BDH($C$528,"ASSET_GROWTH","FQ2 2015","FQ2 2015","Currency=INR","Period=FQ","BEST_FPERIOD_OVERRIDE=FQ","FILING_STATUS=OR","EQY_CONSOLIDATED=Y","Sort=A","Dates=H","DateFormat=P","Fill=—","Direction=H","UseDPDF=Y")</f>
        <v>#NAME?</v>
      </c>
      <c r="AD535" s="1" t="e">
        <f ca="1">_xll.BDH($C$528,"MODIFIED_WORK_CAP_GROWTH","FQ2 2015","FQ2 2015","Currency=INR","Period=FQ","BEST_FPERIOD_OVERRIDE=FQ","FILING_STATUS=OR","EQY_CONSOLIDATED=Y","Sort=A","Dates=H","DateFormat=P","Fill=—","Direction=H","UseDPDF=Y")</f>
        <v>#NAME?</v>
      </c>
      <c r="AE535" s="1" t="e">
        <f ca="1">_xll.BDH($C$528,"WORK_CAP_GROWTH","FQ2 2015","FQ2 2015","Currency=INR","Period=FQ","BEST_FPERIOD_OVERRIDE=FQ","FILING_STATUS=OR","EQY_CONSOLIDATED=Y","Sort=A","Dates=H","DateFormat=P","Fill=—","Direction=H","UseDPDF=Y")</f>
        <v>#NAME?</v>
      </c>
      <c r="AF535" s="1" t="e">
        <f ca="1">_xll.BDH($C$528,"ACCOUNTS_PAYABLE_GROWTH_1YR","FQ2 2015","FQ2 2015","Currency=INR","Period=FQ","BEST_FPERIOD_OVERRIDE=FQ","FILING_STATUS=OR","EQY_CONSOLIDATED=Y","Sort=A","Dates=H","DateFormat=P","Fill=—","Direction=H","UseDPDF=Y")</f>
        <v>#NAME?</v>
      </c>
      <c r="AG535" s="1" t="e">
        <f ca="1">_xll.BDH($C$528,"SHORT_TERM_DEBT_1_YEAR_GROWTH","FQ2 2015","FQ2 2015","Currency=INR","Period=FQ","BEST_FPERIOD_OVERRIDE=FQ","FILING_STATUS=OR","EQY_CONSOLIDATED=Y","Sort=A","Dates=H","DateFormat=P","Fill=—","Direction=H","UseDPDF=Y")</f>
        <v>#NAME?</v>
      </c>
      <c r="AH535" s="1" t="e">
        <f ca="1">_xll.BDH($C$528,"TOTAL_DEBT_1_YEAR_GROWTH","FQ2 2015","FQ2 2015","Currency=INR","Period=FQ","BEST_FPERIOD_OVERRIDE=FQ","FILING_STATUS=OR","EQY_CONSOLIDATED=Y","Sort=A","Dates=H","DateFormat=P","Fill=—","Direction=H","UseDPDF=Y")</f>
        <v>#NAME?</v>
      </c>
      <c r="AI535" s="1" t="e">
        <f ca="1">_xll.BDH($C$528,"TOTAL_EQUITY_1_YEAR_GROWTH","FQ2 2015","FQ2 2015","Currency=INR","Period=FQ","BEST_FPERIOD_OVERRIDE=FQ","FILING_STATUS=OR","EQY_CONSOLIDATED=Y","Sort=A","Dates=H","DateFormat=P","Fill=—","Direction=H","UseDPDF=Y")</f>
        <v>#NAME?</v>
      </c>
      <c r="AJ535" s="1" t="e">
        <f ca="1">_xll.BDH($C$528,"GROWTH_IN_CAP","FQ2 2015","FQ2 2015","Currency=INR","Period=FQ","BEST_FPERIOD_OVERRIDE=FQ","FILING_STATUS=OR","EQY_CONSOLIDATED=Y","Sort=A","Dates=H","DateFormat=P","Fill=—","Direction=H","UseDPDF=Y")</f>
        <v>#NAME?</v>
      </c>
      <c r="AK535" s="1" t="e">
        <f ca="1">_xll.BDH($C$528,"BVPS_GROWTH","FQ2 2015","FQ2 2015","Currency=INR","Period=FQ","BEST_FPERIOD_OVERRIDE=FQ","FILING_STATUS=OR","EQY_CONSOLIDATED=Y","Sort=A","Dates=H","DateFormat=P","Fill=—","Direction=H","UseDPDF=Y")</f>
        <v>#NAME?</v>
      </c>
      <c r="AL535" s="1" t="e">
        <f ca="1">_xll.BDH($C$528,"CASH_FLOW_GROWTH","FQ2 2015","FQ2 2015","Currency=INR","Period=FQ","BEST_FPERIOD_OVERRIDE=FQ","FILING_STATUS=OR","EQY_CONSOLIDATED=Y","Sort=A","Dates=H","DateFormat=P","Fill=—","Direction=H","UseDPDF=Y")</f>
        <v>#NAME?</v>
      </c>
      <c r="AM535" s="1" t="e">
        <f ca="1">_xll.BDH($C$528,"GEO_GROW_NET_SALES","FQ2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35" s="1" t="e">
        <f ca="1">_xll.BDH($C$528,"GEO_GROW_EBITDA","FQ2 2015","FQ2 2015","Currency=INR","Period=FQ","BEST_FPERIOD_OVERRIDE=FQ","FILING_STATUS=OR","EQY_CONSOLIDATED=Y","FA_ADJUSTED=GAAP","Sort=A","Dates=H","DateFormat=P","Fill=—","Direction=H","UseDPDF=Y")</f>
        <v>#NAME?</v>
      </c>
      <c r="AO535" s="1" t="e">
        <f ca="1">_xll.BDH($C$528,"GEO_GROW_OPER_INC","FQ2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35" s="1" t="e">
        <f ca="1">_xll.BDH($C$528,"NET_INCOME_TO_COMMON_5_YR_GROWTH","FQ2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35" s="1" t="e">
        <f ca="1">_xll.BDH($C$528,"5Y_GEO_GROWTH_DILUTED_EPS","FQ2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35" s="1" t="e">
        <f ca="1">_xll.BDH($C$528,"GEO_GROW_DVD_PER_SH","FQ2 2015","FQ2 2015","Currency=INR","Period=FQ","BEST_FPERIOD_OVERRIDE=FQ","FILING_STATUS=OR","EQY_CONSOLIDATED=Y","Sort=A","Dates=H","DateFormat=P","Fill=—","Direction=H","UseDPDF=Y")</f>
        <v>#NAME?</v>
      </c>
      <c r="AS535" s="1" t="e">
        <f ca="1">_xll.BDH($C$528,"ACCOUNTS_RECEIVABLE_5_YR_GROWTH","FQ2 2015","FQ2 2015","Currency=INR","Period=FQ","BEST_FPERIOD_OVERRIDE=FQ","FILING_STATUS=OR","EQY_CONSOLIDATED=Y","Sort=A","Dates=H","DateFormat=P","Fill=—","Direction=H","UseDPDF=Y")</f>
        <v>#NAME?</v>
      </c>
      <c r="AT535" s="1" t="e">
        <f ca="1">_xll.BDH($C$528,"INVENTORY_5_YEAR_GROWTH","FQ2 2015","FQ2 2015","Currency=INR","Period=FQ","BEST_FPERIOD_OVERRIDE=FQ","FILING_STATUS=OR","EQY_CONSOLIDATED=Y","Sort=A","Dates=H","DateFormat=P","Fill=—","Direction=H","UseDPDF=Y")</f>
        <v>#NAME?</v>
      </c>
      <c r="AU535" s="1" t="e">
        <f ca="1">_xll.BDH($C$528,"NET_FIXED_ASSETS_5_YEAR_GROWTH","FQ2 2015","FQ2 2015","Currency=INR","Period=FQ","BEST_FPERIOD_OVERRIDE=FQ","FILING_STATUS=OR","EQY_CONSOLIDATED=Y","Sort=A","Dates=H","DateFormat=P","Fill=—","Direction=H","UseDPDF=Y")</f>
        <v>#NAME?</v>
      </c>
      <c r="AV535" s="1" t="e">
        <f ca="1">_xll.BDH($C$528,"GEO_GROW_TOT_ASSET","FQ2 2015","FQ2 2015","Currency=INR","Period=FQ","BEST_FPERIOD_OVERRIDE=FQ","FILING_STATUS=OR","EQY_CONSOLIDATED=Y","Sort=A","Dates=H","DateFormat=P","Fill=—","Direction=H","UseDPDF=Y")</f>
        <v>#NAME?</v>
      </c>
      <c r="AW535" s="1" t="e">
        <f ca="1">_xll.BDH($C$528,"MODIFIED_WORKING_CPTL_5YR_GRWTH","FQ2 2015","FQ2 2015","Currency=INR","Period=FQ","BEST_FPERIOD_OVERRIDE=FQ","FILING_STATUS=OR","EQY_CONSOLIDATED=Y","Sort=A","Dates=H","DateFormat=P","Fill=—","Direction=H","UseDPDF=Y")</f>
        <v>#NAME?</v>
      </c>
      <c r="AX535" s="1" t="e">
        <f ca="1">_xll.BDH($C$528,"WORKING_CAPITAL_5_YEAR_GROWTH","FQ2 2015","FQ2 2015","Currency=INR","Period=FQ","BEST_FPERIOD_OVERRIDE=FQ","FILING_STATUS=OR","EQY_CONSOLIDATED=Y","Sort=A","Dates=H","DateFormat=P","Fill=—","Direction=H","UseDPDF=Y")</f>
        <v>#NAME?</v>
      </c>
      <c r="AY535" s="1" t="e">
        <f ca="1">_xll.BDH($C$528,"ACCOUNTS_PAYABLE_5_YEAR_GROWTH","FQ2 2015","FQ2 2015","Currency=INR","Period=FQ","BEST_FPERIOD_OVERRIDE=FQ","FILING_STATUS=OR","EQY_CONSOLIDATED=Y","Sort=A","Dates=H","DateFormat=P","Fill=—","Direction=H","UseDPDF=Y")</f>
        <v>#NAME?</v>
      </c>
      <c r="AZ535" s="1" t="e">
        <f ca="1">_xll.BDH($C$528,"SHORT_TERM_DEBT_5_YEAR_GROWTH","FQ2 2015","FQ2 2015","Currency=INR","Period=FQ","BEST_FPERIOD_OVERRIDE=FQ","FILING_STATUS=OR","EQY_CONSOLIDATED=Y","Sort=A","Dates=H","DateFormat=P","Fill=—","Direction=H","UseDPDF=Y")</f>
        <v>#NAME?</v>
      </c>
      <c r="BA535" s="1" t="e">
        <f ca="1">_xll.BDH($C$528,"TOTAL_DEBT_5_YEAR_GROWTH","FQ2 2015","FQ2 2015","Currency=INR","Period=FQ","BEST_FPERIOD_OVERRIDE=FQ","FILING_STATUS=OR","EQY_CONSOLIDATED=Y","Sort=A","Dates=H","DateFormat=P","Fill=—","Direction=H","UseDPDF=Y")</f>
        <v>#NAME?</v>
      </c>
      <c r="BB535" s="1" t="e">
        <f ca="1">_xll.BDH($C$528,"GEO_GROW_TOT_SHRHLDR_EQY","FQ2 2015","FQ2 2015","Currency=INR","Period=FQ","BEST_FPERIOD_OVERRIDE=FQ","FILING_STATUS=OR","EQY_CONSOLIDATED=Y","Sort=A","Dates=H","DateFormat=P","Fill=—","Direction=H","UseDPDF=Y")</f>
        <v>#NAME?</v>
      </c>
      <c r="BC535" s="1" t="e">
        <f ca="1">_xll.BDH($C$528,"TOTAL_CAPITAL_5_YEAR_GROWTH","FQ2 2015","FQ2 2015","Currency=INR","Period=FQ","BEST_FPERIOD_OVERRIDE=FQ","FILING_STATUS=OR","EQY_CONSOLIDATED=Y","Sort=A","Dates=H","DateFormat=P","Fill=—","Direction=H","UseDPDF=Y")</f>
        <v>#NAME?</v>
      </c>
      <c r="BD535" s="1" t="e">
        <f ca="1">_xll.BDH($C$528,"GEO_GROW_BOOK_VAL","FQ2 2015","FQ2 2015","Currency=INR","Period=FQ","BEST_FPERIOD_OVERRIDE=FQ","FILING_STATUS=OR","EQY_CONSOLIDATED=Y","Sort=A","Dates=H","DateFormat=P","Fill=—","Direction=H","UseDPDF=Y")</f>
        <v>#NAME?</v>
      </c>
      <c r="BE535" s="1" t="e">
        <f ca="1">_xll.BDH($C$528,"GEO_GROW_CASH_OPER_ACT","FQ2 2015","FQ2 2015","Currency=INR","Period=FQ","BEST_FPERIOD_OVERRIDE=FQ","FILING_STATUS=OR","EQY_CONSOLIDATED=Y","Sort=A","Dates=H","DateFormat=P","Fill=—","Direction=H","UseDPDF=Y")</f>
        <v>#NAME?</v>
      </c>
      <c r="BF535" s="1" t="e">
        <f ca="1">_xll.BDH($C$528,"REVENUE_SEQUENTIAL_GROWTH","FQ2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35" s="1" t="e">
        <f ca="1">_xll.BDH($C$528,"EBITDA_SEQUENTIAL_GROWTH","FQ2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35" s="1" t="e">
        <f ca="1">_xll.BDH($C$528,"OPERATING_INCOME_SEQ_GROWTH","FQ2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35" s="1" t="e">
        <f ca="1">_xll.BDH($C$528,"NET_INCOME_TO_COMMON_SEQ_GROWTH","FQ2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35" s="1" t="e">
        <f ca="1">_xll.BDH($C$528,"EPS_DILUTED_SEQUENTIAL_GROWTH","FQ2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35" s="1" t="e">
        <f ca="1">_xll.BDH($C$528,"DPS_SEQUENTIAL_GROWTH","FQ2 2015","FQ2 2015","Currency=INR","Period=FQ","BEST_FPERIOD_OVERRIDE=FQ","FILING_STATUS=OR","EQY_CONSOLIDATED=Y","Sort=A","Dates=H","DateFormat=P","Fill=—","Direction=H","UseDPDF=Y")</f>
        <v>#NAME?</v>
      </c>
      <c r="BL535" s="1" t="e">
        <f ca="1">_xll.BDH($C$528,"ACCOUNTS_RECEIVABLE_SEQ_GROWTH","FQ2 2015","FQ2 2015","Currency=INR","Period=FQ","BEST_FPERIOD_OVERRIDE=FQ","FILING_STATUS=OR","EQY_CONSOLIDATED=Y","Sort=A","Dates=H","DateFormat=P","Fill=—","Direction=H","UseDPDF=Y")</f>
        <v>#NAME?</v>
      </c>
      <c r="BM535" s="1" t="e">
        <f ca="1">_xll.BDH($C$528,"INVENTORY_SEQUENTIAL_GROWTH","FQ2 2015","FQ2 2015","Currency=INR","Period=FQ","BEST_FPERIOD_OVERRIDE=FQ","FILING_STATUS=OR","EQY_CONSOLIDATED=Y","Sort=A","Dates=H","DateFormat=P","Fill=—","Direction=H","UseDPDF=Y")</f>
        <v>#NAME?</v>
      </c>
      <c r="BN535" s="1" t="e">
        <f ca="1">_xll.BDH($C$528,"FIXED_ASSETS_SEQUENTIAL_GROWTH","FQ2 2015","FQ2 2015","Currency=INR","Period=FQ","BEST_FPERIOD_OVERRIDE=FQ","FILING_STATUS=OR","EQY_CONSOLIDATED=Y","Sort=A","Dates=H","DateFormat=P","Fill=—","Direction=H","UseDPDF=Y")</f>
        <v>#NAME?</v>
      </c>
      <c r="BO535" s="1" t="e">
        <f ca="1">_xll.BDH($C$528,"TOTAL_ASSETS_SEQUENTIAL_GROWTH","FQ2 2015","FQ2 2015","Currency=INR","Period=FQ","BEST_FPERIOD_OVERRIDE=FQ","FILING_STATUS=OR","EQY_CONSOLIDATED=Y","Sort=A","Dates=H","DateFormat=P","Fill=—","Direction=H","UseDPDF=Y")</f>
        <v>#NAME?</v>
      </c>
      <c r="BP535" s="1" t="e">
        <f ca="1">_xll.BDH($C$528,"MODIFIED_WORKING_CPTL_SEQ_GRWTH","FQ2 2015","FQ2 2015","Currency=INR","Period=FQ","BEST_FPERIOD_OVERRIDE=FQ","FILING_STATUS=OR","EQY_CONSOLIDATED=Y","Sort=A","Dates=H","DateFormat=P","Fill=—","Direction=H","UseDPDF=Y")</f>
        <v>#NAME?</v>
      </c>
      <c r="BQ535" s="1" t="e">
        <f ca="1">_xll.BDH($C$528,"WORKING_CAPITAL_SEQ_GROWTH","FQ2 2015","FQ2 2015","Currency=INR","Period=FQ","BEST_FPERIOD_OVERRIDE=FQ","FILING_STATUS=OR","EQY_CONSOLIDATED=Y","Sort=A","Dates=H","DateFormat=P","Fill=—","Direction=H","UseDPDF=Y")</f>
        <v>#NAME?</v>
      </c>
      <c r="BR535" s="1" t="e">
        <f ca="1">_xll.BDH($C$528,"ACCOUNTS_PAYABLE_SEQ_GROWTH","FQ2 2015","FQ2 2015","Currency=INR","Period=FQ","BEST_FPERIOD_OVERRIDE=FQ","FILING_STATUS=OR","EQY_CONSOLIDATED=Y","Sort=A","Dates=H","DateFormat=P","Fill=—","Direction=H","UseDPDF=Y")</f>
        <v>#NAME?</v>
      </c>
      <c r="BS535" s="1" t="e">
        <f ca="1">_xll.BDH($C$528,"ST_DEBT_SEQUENTIAL_GROWTH","FQ2 2015","FQ2 2015","Currency=INR","Period=FQ","BEST_FPERIOD_OVERRIDE=FQ","FILING_STATUS=OR","EQY_CONSOLIDATED=Y","Sort=A","Dates=H","DateFormat=P","Fill=—","Direction=H","UseDPDF=Y")</f>
        <v>#NAME?</v>
      </c>
      <c r="BT535" s="1" t="e">
        <f ca="1">_xll.BDH($C$528,"TOTAL_DEBT_SEQUENTIAL_GROWTH","FQ2 2015","FQ2 2015","Currency=INR","Period=FQ","BEST_FPERIOD_OVERRIDE=FQ","FILING_STATUS=OR","EQY_CONSOLIDATED=Y","Sort=A","Dates=H","DateFormat=P","Fill=—","Direction=H","UseDPDF=Y")</f>
        <v>#NAME?</v>
      </c>
      <c r="BU535" s="1" t="e">
        <f ca="1">_xll.BDH($C$528,"TOTAL_EQUITY_SEQUENTIAL_GROWTH","FQ2 2015","FQ2 2015","Currency=INR","Period=FQ","BEST_FPERIOD_OVERRIDE=FQ","FILING_STATUS=OR","EQY_CONSOLIDATED=Y","Sort=A","Dates=H","DateFormat=P","Fill=—","Direction=H","UseDPDF=Y")</f>
        <v>#NAME?</v>
      </c>
      <c r="BV535" s="1" t="e">
        <f ca="1">_xll.BDH($C$528,"TOTAL_CAPITAL_SEQUENTIAL_GROWTH","FQ2 2015","FQ2 2015","Currency=INR","Period=FQ","BEST_FPERIOD_OVERRIDE=FQ","FILING_STATUS=OR","EQY_CONSOLIDATED=Y","Sort=A","Dates=H","DateFormat=P","Fill=—","Direction=H","UseDPDF=Y")</f>
        <v>#NAME?</v>
      </c>
      <c r="BW535" s="1" t="e">
        <f ca="1">_xll.BDH($C$528,"BPS_SEQUENTIAL_GROWTH","FQ2 2015","FQ2 2015","Currency=INR","Period=FQ","BEST_FPERIOD_OVERRIDE=FQ","FILING_STATUS=OR","EQY_CONSOLIDATED=Y","Sort=A","Dates=H","DateFormat=P","Fill=—","Direction=H","UseDPDF=Y")</f>
        <v>#NAME?</v>
      </c>
      <c r="BX535" s="1" t="e">
        <f ca="1">_xll.BDH($C$528,"CFO_SEQUENTIAL_GROWTH","FQ2 2015","FQ2 2015","Currency=INR","Period=FQ","BEST_FPERIOD_OVERRIDE=FQ","FILING_STATUS=OR","EQY_CONSOLIDATED=Y","Sort=A","Dates=H","DateFormat=P","Fill=—","Direction=H","UseDPDF=Y")</f>
        <v>#NAME?</v>
      </c>
      <c r="BY535" s="2" t="e">
        <f ca="1">_xll.BDH($C$528,"SHORT_AND_LONG_TERM_DEBT","FQ2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35" s="2" t="e">
        <f ca="1">_xll.BDH($C$528,"BS_ST_BORROW","FQ2 2015","FQ2 2015","Currency=INR","Period=FQ","BEST_FPERIOD_OVERRIDE=FQ","FILING_STATUS=OR","EQY_CONSOLIDATED=Y","SCALING_FORMAT=MLN","Sort=A","Dates=H","DateFormat=P","Fill=—","Direction=H","UseDPDF=Y")</f>
        <v>#NAME?</v>
      </c>
      <c r="CA535" s="2" t="e">
        <f ca="1">_xll.BDH($C$528,"BS_LT_BORROW","FQ2 2015","FQ2 2015","Currency=INR","Period=FQ","BEST_FPERIOD_OVERRIDE=FQ","FILING_STATUS=OR","EQY_CONSOLIDATED=Y","SCALING_FORMAT=MLN","Sort=A","Dates=H","DateFormat=P","Fill=—","Direction=H","UseDPDF=Y")</f>
        <v>#NAME?</v>
      </c>
      <c r="CB535" s="1" t="e">
        <f ca="1">_xll.BDH($C$528,"TOT_DEBT_TO_EBITDA","FQ2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35" s="1" t="e">
        <f ca="1">_xll.BDH($C$528,"NET_DEBT_TO_EBITDA","FQ2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35" s="1" t="e">
        <f ca="1">_xll.BDH($C$528,"TOTAL_DEBT_TO_EBIT","FQ2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35" s="1" t="e">
        <f ca="1">_xll.BDH($C$528,"NET_DEBT_TO_EBIT","FQ2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535" s="1" t="e">
        <f ca="1">_xll.BDH($C$528,"EBITDA_TO_INTEREST_EXPN","FQ2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35" s="1" t="e">
        <f ca="1">_xll.BDH($C$528,"COM_EQY_TO_TOT_ASSET","FQ2 2015","FQ2 2015","Currency=INR","Period=FQ","BEST_FPERIOD_OVERRIDE=FQ","FILING_STATUS=OR","EQY_CONSOLIDATED=Y","Sort=A","Dates=H","DateFormat=P","Fill=—","Direction=H","UseDPDF=Y")</f>
        <v>#NAME?</v>
      </c>
      <c r="CH535" s="1" t="e">
        <f ca="1">_xll.BDH($C$528,"LT_DEBT_TO_TOT_EQY","FQ2 2015","FQ2 2015","Currency=INR","Period=FQ","BEST_FPERIOD_OVERRIDE=FQ","FILING_STATUS=OR","EQY_CONSOLIDATED=Y","Sort=A","Dates=H","DateFormat=P","Fill=—","Direction=H","UseDPDF=Y")</f>
        <v>#NAME?</v>
      </c>
      <c r="CI535" s="1" t="e">
        <f ca="1">_xll.BDH($C$528,"LT_DEBT_TO_TOT_CAP","FQ2 2015","FQ2 2015","Currency=INR","Period=FQ","BEST_FPERIOD_OVERRIDE=FQ","FILING_STATUS=OR","EQY_CONSOLIDATED=Y","Sort=A","Dates=H","DateFormat=P","Fill=—","Direction=H","UseDPDF=Y")</f>
        <v>#NAME?</v>
      </c>
      <c r="CJ535" s="1" t="e">
        <f ca="1">_xll.BDH($C$528,"LT_DEBT_TO_TOT_ASSET","FQ2 2015","FQ2 2015","Currency=INR","Period=FQ","BEST_FPERIOD_OVERRIDE=FQ","FILING_STATUS=OR","EQY_CONSOLIDATED=Y","Sort=A","Dates=H","DateFormat=P","Fill=—","Direction=H","UseDPDF=Y")</f>
        <v>#NAME?</v>
      </c>
      <c r="CK535" s="1" t="e">
        <f ca="1">_xll.BDH($C$528,"TOT_DEBT_TO_TOT_EQY","FQ2 2015","FQ2 2015","Currency=INR","Period=FQ","BEST_FPERIOD_OVERRIDE=FQ","FILING_STATUS=OR","EQY_CONSOLIDATED=Y","Sort=A","Dates=H","DateFormat=P","Fill=—","Direction=H","UseDPDF=Y")</f>
        <v>#NAME?</v>
      </c>
      <c r="CL535" s="1" t="e">
        <f ca="1">_xll.BDH($C$528,"TOT_DEBT_TO_TOT_CAP","FQ2 2015","FQ2 2015","Currency=INR","Period=FQ","BEST_FPERIOD_OVERRIDE=FQ","FILING_STATUS=OR","EQY_CONSOLIDATED=Y","Sort=A","Dates=H","DateFormat=P","Fill=—","Direction=H","UseDPDF=Y")</f>
        <v>#NAME?</v>
      </c>
      <c r="CM535" s="1" t="e">
        <f ca="1">_xll.BDH($C$528,"TOT_DEBT_TO_TOT_ASSET","FQ2 2015","FQ2 2015","Currency=INR","Period=FQ","BEST_FPERIOD_OVERRIDE=FQ","FILING_STATUS=OR","EQY_CONSOLIDATED=Y","Sort=A","Dates=H","DateFormat=P","Fill=—","Direction=H","UseDPDF=Y")</f>
        <v>#NAME?</v>
      </c>
      <c r="CN535" s="1" t="e">
        <f ca="1">_xll.BDH($C$528,"NET_DEBT_TO_SHRHLDR_EQTY","FQ2 2015","FQ2 2015","Currency=INR","Period=FQ","BEST_FPERIOD_OVERRIDE=FQ","FILING_STATUS=OR","EQY_CONSOLIDATED=Y","Sort=A","Dates=H","DateFormat=P","Fill=—","Direction=H","UseDPDF=Y")</f>
        <v>#NAME?</v>
      </c>
      <c r="CO535" s="1" t="e">
        <f ca="1">_xll.BDH($C$528,"NET_DEBT_%_CAPITAL","FQ2 2015","FQ2 2015","Currency=INR","Period=FQ","BEST_FPERIOD_OVERRIDE=FQ","FILING_STATUS=OR","EQY_CONSOLIDATED=Y","Sort=A","Dates=H","DateFormat=P","Fill=—","Direction=H","UseDPDF=Y")</f>
        <v>#NAME?</v>
      </c>
      <c r="CP535" s="2" t="e">
        <f ca="1">_xll.BDH($C$528,"EBITDA","FQ2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35" s="2" t="e">
        <f ca="1">_xll.BDH($C$528,"EBITDA_AFTER_CAPEX","FQ2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35" s="2" t="e">
        <f ca="1">_xll.BDH($C$528,"IS_OPER_INC","FQ2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35" s="1" t="e">
        <f ca="1">_xll.BDH($C$528,"CASH_RATIO","FQ2 2015","FQ2 2015","Currency=INR","Period=FQ","BEST_FPERIOD_OVERRIDE=FQ","FILING_STATUS=OR","EQY_CONSOLIDATED=Y","Sort=A","Dates=H","DateFormat=P","Fill=—","Direction=H","UseDPDF=Y")</f>
        <v>#NAME?</v>
      </c>
      <c r="CT535" s="1" t="e">
        <f ca="1">_xll.BDH($C$528,"CUR_RATIO","FQ2 2015","FQ2 2015","Currency=INR","Period=FQ","BEST_FPERIOD_OVERRIDE=FQ","FILING_STATUS=OR","EQY_CONSOLIDATED=Y","Sort=A","Dates=H","DateFormat=P","Fill=—","Direction=H","UseDPDF=Y")</f>
        <v>#NAME?</v>
      </c>
      <c r="CU535" s="1" t="e">
        <f ca="1">_xll.BDH($C$528,"QUICK_RATIO","FQ2 2015","FQ2 2015","Currency=INR","Period=FQ","BEST_FPERIOD_OVERRIDE=FQ","FILING_STATUS=OR","EQY_CONSOLIDATED=Y","Sort=A","Dates=H","DateFormat=P","Fill=—","Direction=H","UseDPDF=Y")</f>
        <v>#NAME?</v>
      </c>
      <c r="CV535" s="1" t="e">
        <f ca="1">_xll.BDH($C$528,"ALTMAN_Z_SCORE","FQ2 2015","FQ2 2015","Currency=INR","Period=FQ","BEST_FPERIOD_OVERRIDE=FQ","FILING_STATUS=OR","EQY_CONSOLIDATED=Y","Sort=A","Dates=H","DateFormat=P","Fill=—","Direction=H","UseDPDF=Y")</f>
        <v>#NAME?</v>
      </c>
      <c r="CW535" s="3" t="e">
        <f ca="1">_xll.BDH($C$528,"ACCT_RCV_TURN","FQ2 2015","FQ2 2015","Currency=INR","Period=FQ","BEST_FPERIOD_OVERRIDE=FQ","FILING_STATUS=OR","EQY_CONSOLIDATED=Y","FA_ADJUSTED=GAAP","Sort=A","Dates=H","DateFormat=P","Fill=—","Direction=H","UseDPDF=Y")</f>
        <v>#NAME?</v>
      </c>
      <c r="CX535" s="1" t="e">
        <f ca="1">_xll.BDH($C$528,"ACCT_RCV_DAYS","FQ2 2015","FQ2 2015","Currency=INR","Period=FQ","BEST_FPERIOD_OVERRIDE=FQ","FILING_STATUS=OR","EQY_CONSOLIDATED=Y","FA_ADJUSTED=GAAP","Sort=A","Dates=H","DateFormat=P","Fill=—","Direction=H","UseDPDF=Y")</f>
        <v>#NAME?</v>
      </c>
      <c r="CY535" s="3" t="e">
        <f ca="1">_xll.BDH($C$528,"INVENT_TURN","FQ2 2015","FQ2 2015","Currency=INR","Period=FQ","BEST_FPERIOD_OVERRIDE=FQ","FILING_STATUS=OR","EQY_CONSOLIDATED=Y","FA_ADJUSTED=GAAP","Sort=A","Dates=H","DateFormat=P","Fill=—","Direction=H","UseDPDF=Y")</f>
        <v>#NAME?</v>
      </c>
      <c r="CZ535" s="1" t="e">
        <f ca="1">_xll.BDH($C$528,"INVENT_DAYS","FQ2 2015","FQ2 2015","Currency=INR","Period=FQ","BEST_FPERIOD_OVERRIDE=FQ","FILING_STATUS=OR","EQY_CONSOLIDATED=Y","FA_ADJUSTED=GAAP","Sort=A","Dates=H","DateFormat=P","Fill=—","Direction=H","UseDPDF=Y")</f>
        <v>#NAME?</v>
      </c>
      <c r="DA535" s="3" t="e">
        <f ca="1">_xll.BDH($C$528,"ACCOUNTS_PAYABLE_TURNOVER","FQ2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35" s="1" t="e">
        <f ca="1">_xll.BDH($C$528,"ACCOUNTS_PAYABLE_TURNOVER_DAYS","FQ2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35" s="3" t="e">
        <f ca="1">_xll.BDH($C$528,"CASH_CONVERSION_CYCLE","FQ2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35" s="3" t="e">
        <f ca="1">_xll.BDH($C$528,"INV_TO_CASH_DAYS","FQ2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535" s="4" t="e">
        <f ca="1">_xll.BDH($C$528,"BS_INVENTORIES","FQ2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535" s="2" t="e">
        <f ca="1">_xll.BDH($C$528,"INVTRY_RAW_MATERIALS","FQ2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35" s="2" t="e">
        <f ca="1">_xll.BDH($C$528,"INVTRY_IN_PROGRESS","FQ2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35" s="2" t="e">
        <f ca="1">_xll.BDH($C$528,"INVTRY_FINISHED_GOODS","FQ2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35" s="2" t="e">
        <f ca="1">_xll.BDH($C$528,"BS_OTHER_INV","FQ2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36" spans="1:113" x14ac:dyDescent="0.3">
      <c r="A536" s="6"/>
      <c r="B536" s="6"/>
      <c r="C536" s="6"/>
      <c r="D536" s="6"/>
      <c r="E536" t="s">
        <v>6</v>
      </c>
      <c r="F536" t="e">
        <f ca="1">_xll.BDH($C$528,"RETURN_COM_EQY","FQ3 2015","FQ3 2015","Currency=INR","Period=FQ","BEST_FPERIOD_OVERRIDE=FQ","FILING_STATUS=OR","EQY_CONSOLIDATED=Y","FA_ADJUSTED=GAAP","Sort=A","Dates=H","DateFormat=P","Fill=—","Direction=H","UseDPDF=Y")</f>
        <v>#NAME?</v>
      </c>
      <c r="G536" t="e">
        <f ca="1">_xll.BDH($C$528,"RETURN_ON_ASSET","FQ3 2015","FQ3 2015","Currency=INR","Period=FQ","BEST_FPERIOD_OVERRIDE=FQ","FILING_STATUS=OR","EQY_CONSOLIDATED=Y","FA_ADJUSTED=GAAP","Sort=A","Dates=H","DateFormat=P","Fill=—","Direction=H","UseDPDF=Y")</f>
        <v>#NAME?</v>
      </c>
      <c r="H536" t="e">
        <f ca="1">_xll.BDH($C$528,"RETURN_ON_CAP","FQ3 2015","FQ3 2015","Currency=INR","Period=FQ","BEST_FPERIOD_OVERRIDE=FQ","FILING_STATUS=OR","EQY_CONSOLIDATED=Y","FA_ADJUSTED=GAAP","Sort=A","Dates=H","DateFormat=P","Fill=—","Direction=H","UseDPDF=Y")</f>
        <v>#NAME?</v>
      </c>
      <c r="I536" t="e">
        <f ca="1">_xll.BDH($C$528,"RETURN_ON_INV_CAPITAL","FQ3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36" t="e">
        <f ca="1">_xll.BDH($C$528,"EBITDA_TO_REVENUE","FQ3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536" t="e">
        <f ca="1">_xll.BDH($C$528,"OPER_MARGIN","FQ3 2015","FQ3 2015","Currency=INR","Period=FQ","BEST_FPERIOD_OVERRIDE=FQ","FILING_STATUS=OR","EQY_CONSOLIDATED=Y","FA_ADJUSTED=GAAP","Sort=A","Dates=H","DateFormat=P","Fill=—","Direction=H","UseDPDF=Y")</f>
        <v>#NAME?</v>
      </c>
      <c r="L536" t="e">
        <f ca="1">_xll.BDH($C$528,"INCREMENTAL_OPERATING_MARGIN","FQ3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36" t="e">
        <f ca="1">_xll.BDH($C$528,"PRETAX_INC_TO_NET_SALES","FQ3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36" t="e">
        <f ca="1">_xll.BDH($C$528,"INC_BEF_XO_ITEMS_TO_NET_SALES","FQ3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36" t="e">
        <f ca="1">_xll.BDH($C$528,"PROF_MARGIN","FQ3 2015","FQ3 2015","Currency=INR","Period=FQ","BEST_FPERIOD_OVERRIDE=FQ","FILING_STATUS=OR","EQY_CONSOLIDATED=Y","FA_ADJUSTED=GAAP","Sort=A","Dates=H","DateFormat=P","Fill=—","Direction=H","UseDPDF=Y")</f>
        <v>#NAME?</v>
      </c>
      <c r="P536" t="e">
        <f ca="1">_xll.BDH($C$528,"NET_INCOME_TO_COMMON_MARGIN","FQ3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36" t="e">
        <f ca="1">_xll.BDH($C$528,"EFF_TAX_RATE","FQ3 2015","FQ3 2015","Currency=INR","Period=FQ","BEST_FPERIOD_OVERRIDE=FQ","FILING_STATUS=OR","EQY_CONSOLIDATED=Y","FA_ADJUSTED=GAAP","Sort=A","Dates=H","DateFormat=P","Fill=—","Direction=H","UseDPDF=Y")</f>
        <v>#NAME?</v>
      </c>
      <c r="R536" t="e">
        <f ca="1">_xll.BDH($C$528,"DVD_PAYOUT_RATIO","FQ3 2015","FQ3 2015","Currency=INR","Period=FQ","BEST_FPERIOD_OVERRIDE=FQ","FILING_STATUS=OR","EQY_CONSOLIDATED=Y","FA_ADJUSTED=GAAP","Sort=A","Dates=H","DateFormat=P","Fill=—","Direction=H","UseDPDF=Y")</f>
        <v>#NAME?</v>
      </c>
      <c r="S536" t="e">
        <f ca="1">_xll.BDH($C$528,"SUSTAIN_GROWTH_RT","FQ3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536" s="1" t="e">
        <f ca="1">_xll.BDH($C$528,"SALES_GROWTH","FQ3 2015","FQ3 2015","Currency=INR","Period=FQ","BEST_FPERIOD_OVERRIDE=FQ","FILING_STATUS=OR","EQY_CONSOLIDATED=Y","FA_ADJUSTED=GAAP","Sort=A","Dates=H","DateFormat=P","Fill=—","Direction=H","UseDPDF=Y")</f>
        <v>#NAME?</v>
      </c>
      <c r="U536" s="1" t="e">
        <f ca="1">_xll.BDH($C$528,"EBITDA_GROWTH","FQ3 2015","FQ3 2015","Currency=INR","Period=FQ","BEST_FPERIOD_OVERRIDE=FQ","FILING_STATUS=OR","EQY_CONSOLIDATED=Y","FA_ADJUSTED=GAAP","Sort=A","Dates=H","DateFormat=P","Fill=—","Direction=H","UseDPDF=Y")</f>
        <v>#NAME?</v>
      </c>
      <c r="V536" s="1" t="e">
        <f ca="1">_xll.BDH($C$528,"OPER_INC_GROWTH","FQ3 2015","FQ3 2015","Currency=INR","Period=FQ","BEST_FPERIOD_OVERRIDE=FQ","FILING_STATUS=OR","EQY_CONSOLIDATED=Y","FA_ADJUSTED=GAAP","Sort=A","Dates=H","DateFormat=P","Fill=—","Direction=H","UseDPDF=Y")</f>
        <v>#NAME?</v>
      </c>
      <c r="W536" s="1" t="e">
        <f ca="1">_xll.BDH($C$528,"EARN_FOR_COM_GROWTH","FQ3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36" s="1" t="e">
        <f ca="1">_xll.BDH($C$528,"DILUTED_EPS_AFT_XO_ITEMS_GROWTH","FQ3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36" s="1" t="e">
        <f ca="1">_xll.BDH($C$528,"DIVIDEND_PER_SHARE_1_YEAR_GROWTH","FQ3 2015","FQ3 2015","Currency=INR","Period=FQ","BEST_FPERIOD_OVERRIDE=FQ","FILING_STATUS=OR","EQY_CONSOLIDATED=Y","Sort=A","Dates=H","DateFormat=P","Fill=—","Direction=H","UseDPDF=Y")</f>
        <v>#NAME?</v>
      </c>
      <c r="Z536" s="1" t="e">
        <f ca="1">_xll.BDH($C$528,"ACCOUNTS_RECEIVABLE_GROWTH","FQ3 2015","FQ3 2015","Currency=INR","Period=FQ","BEST_FPERIOD_OVERRIDE=FQ","FILING_STATUS=OR","EQY_CONSOLIDATED=Y","Sort=A","Dates=H","DateFormat=P","Fill=—","Direction=H","UseDPDF=Y")</f>
        <v>#NAME?</v>
      </c>
      <c r="AA536" s="1" t="e">
        <f ca="1">_xll.BDH($C$528,"INVENTORY_GROWTH","FQ3 2015","FQ3 2015","Currency=INR","Period=FQ","BEST_FPERIOD_OVERRIDE=FQ","FILING_STATUS=OR","EQY_CONSOLIDATED=Y","Sort=A","Dates=H","DateFormat=P","Fill=—","Direction=H","UseDPDF=Y")</f>
        <v>#NAME?</v>
      </c>
      <c r="AB536" s="1" t="e">
        <f ca="1">_xll.BDH($C$528,"NET_FIXED_ASSETS_1_YEAR_GROWTH","FQ3 2015","FQ3 2015","Currency=INR","Period=FQ","BEST_FPERIOD_OVERRIDE=FQ","FILING_STATUS=OR","EQY_CONSOLIDATED=Y","Sort=A","Dates=H","DateFormat=P","Fill=—","Direction=H","UseDPDF=Y")</f>
        <v>#NAME?</v>
      </c>
      <c r="AC536" s="1" t="e">
        <f ca="1">_xll.BDH($C$528,"ASSET_GROWTH","FQ3 2015","FQ3 2015","Currency=INR","Period=FQ","BEST_FPERIOD_OVERRIDE=FQ","FILING_STATUS=OR","EQY_CONSOLIDATED=Y","Sort=A","Dates=H","DateFormat=P","Fill=—","Direction=H","UseDPDF=Y")</f>
        <v>#NAME?</v>
      </c>
      <c r="AD536" s="1" t="e">
        <f ca="1">_xll.BDH($C$528,"MODIFIED_WORK_CAP_GROWTH","FQ3 2015","FQ3 2015","Currency=INR","Period=FQ","BEST_FPERIOD_OVERRIDE=FQ","FILING_STATUS=OR","EQY_CONSOLIDATED=Y","Sort=A","Dates=H","DateFormat=P","Fill=—","Direction=H","UseDPDF=Y")</f>
        <v>#NAME?</v>
      </c>
      <c r="AE536" s="1" t="e">
        <f ca="1">_xll.BDH($C$528,"WORK_CAP_GROWTH","FQ3 2015","FQ3 2015","Currency=INR","Period=FQ","BEST_FPERIOD_OVERRIDE=FQ","FILING_STATUS=OR","EQY_CONSOLIDATED=Y","Sort=A","Dates=H","DateFormat=P","Fill=—","Direction=H","UseDPDF=Y")</f>
        <v>#NAME?</v>
      </c>
      <c r="AF536" s="1" t="e">
        <f ca="1">_xll.BDH($C$528,"ACCOUNTS_PAYABLE_GROWTH_1YR","FQ3 2015","FQ3 2015","Currency=INR","Period=FQ","BEST_FPERIOD_OVERRIDE=FQ","FILING_STATUS=OR","EQY_CONSOLIDATED=Y","Sort=A","Dates=H","DateFormat=P","Fill=—","Direction=H","UseDPDF=Y")</f>
        <v>#NAME?</v>
      </c>
      <c r="AG536" s="1" t="e">
        <f ca="1">_xll.BDH($C$528,"SHORT_TERM_DEBT_1_YEAR_GROWTH","FQ3 2015","FQ3 2015","Currency=INR","Period=FQ","BEST_FPERIOD_OVERRIDE=FQ","FILING_STATUS=OR","EQY_CONSOLIDATED=Y","Sort=A","Dates=H","DateFormat=P","Fill=—","Direction=H","UseDPDF=Y")</f>
        <v>#NAME?</v>
      </c>
      <c r="AH536" s="1" t="e">
        <f ca="1">_xll.BDH($C$528,"TOTAL_DEBT_1_YEAR_GROWTH","FQ3 2015","FQ3 2015","Currency=INR","Period=FQ","BEST_FPERIOD_OVERRIDE=FQ","FILING_STATUS=OR","EQY_CONSOLIDATED=Y","Sort=A","Dates=H","DateFormat=P","Fill=—","Direction=H","UseDPDF=Y")</f>
        <v>#NAME?</v>
      </c>
      <c r="AI536" s="1" t="e">
        <f ca="1">_xll.BDH($C$528,"TOTAL_EQUITY_1_YEAR_GROWTH","FQ3 2015","FQ3 2015","Currency=INR","Period=FQ","BEST_FPERIOD_OVERRIDE=FQ","FILING_STATUS=OR","EQY_CONSOLIDATED=Y","Sort=A","Dates=H","DateFormat=P","Fill=—","Direction=H","UseDPDF=Y")</f>
        <v>#NAME?</v>
      </c>
      <c r="AJ536" s="1" t="e">
        <f ca="1">_xll.BDH($C$528,"GROWTH_IN_CAP","FQ3 2015","FQ3 2015","Currency=INR","Period=FQ","BEST_FPERIOD_OVERRIDE=FQ","FILING_STATUS=OR","EQY_CONSOLIDATED=Y","Sort=A","Dates=H","DateFormat=P","Fill=—","Direction=H","UseDPDF=Y")</f>
        <v>#NAME?</v>
      </c>
      <c r="AK536" s="1" t="e">
        <f ca="1">_xll.BDH($C$528,"BVPS_GROWTH","FQ3 2015","FQ3 2015","Currency=INR","Period=FQ","BEST_FPERIOD_OVERRIDE=FQ","FILING_STATUS=OR","EQY_CONSOLIDATED=Y","Sort=A","Dates=H","DateFormat=P","Fill=—","Direction=H","UseDPDF=Y")</f>
        <v>#NAME?</v>
      </c>
      <c r="AL536" s="1" t="e">
        <f ca="1">_xll.BDH($C$528,"CASH_FLOW_GROWTH","FQ3 2015","FQ3 2015","Currency=INR","Period=FQ","BEST_FPERIOD_OVERRIDE=FQ","FILING_STATUS=OR","EQY_CONSOLIDATED=Y","Sort=A","Dates=H","DateFormat=P","Fill=—","Direction=H","UseDPDF=Y")</f>
        <v>#NAME?</v>
      </c>
      <c r="AM536" s="1" t="e">
        <f ca="1">_xll.BDH($C$528,"GEO_GROW_NET_SALES","FQ3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36" s="1" t="e">
        <f ca="1">_xll.BDH($C$528,"GEO_GROW_EBITDA","FQ3 2015","FQ3 2015","Currency=INR","Period=FQ","BEST_FPERIOD_OVERRIDE=FQ","FILING_STATUS=OR","EQY_CONSOLIDATED=Y","FA_ADJUSTED=GAAP","Sort=A","Dates=H","DateFormat=P","Fill=—","Direction=H","UseDPDF=Y")</f>
        <v>#NAME?</v>
      </c>
      <c r="AO536" s="1" t="e">
        <f ca="1">_xll.BDH($C$528,"GEO_GROW_OPER_INC","FQ3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36" s="1" t="e">
        <f ca="1">_xll.BDH($C$528,"NET_INCOME_TO_COMMON_5_YR_GROWTH","FQ3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36" s="1" t="e">
        <f ca="1">_xll.BDH($C$528,"5Y_GEO_GROWTH_DILUTED_EPS","FQ3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36" s="1" t="e">
        <f ca="1">_xll.BDH($C$528,"GEO_GROW_DVD_PER_SH","FQ3 2015","FQ3 2015","Currency=INR","Period=FQ","BEST_FPERIOD_OVERRIDE=FQ","FILING_STATUS=OR","EQY_CONSOLIDATED=Y","Sort=A","Dates=H","DateFormat=P","Fill=—","Direction=H","UseDPDF=Y")</f>
        <v>#NAME?</v>
      </c>
      <c r="AS536" s="1" t="e">
        <f ca="1">_xll.BDH($C$528,"ACCOUNTS_RECEIVABLE_5_YR_GROWTH","FQ3 2015","FQ3 2015","Currency=INR","Period=FQ","BEST_FPERIOD_OVERRIDE=FQ","FILING_STATUS=OR","EQY_CONSOLIDATED=Y","Sort=A","Dates=H","DateFormat=P","Fill=—","Direction=H","UseDPDF=Y")</f>
        <v>#NAME?</v>
      </c>
      <c r="AT536" s="1" t="e">
        <f ca="1">_xll.BDH($C$528,"INVENTORY_5_YEAR_GROWTH","FQ3 2015","FQ3 2015","Currency=INR","Period=FQ","BEST_FPERIOD_OVERRIDE=FQ","FILING_STATUS=OR","EQY_CONSOLIDATED=Y","Sort=A","Dates=H","DateFormat=P","Fill=—","Direction=H","UseDPDF=Y")</f>
        <v>#NAME?</v>
      </c>
      <c r="AU536" s="1" t="e">
        <f ca="1">_xll.BDH($C$528,"NET_FIXED_ASSETS_5_YEAR_GROWTH","FQ3 2015","FQ3 2015","Currency=INR","Period=FQ","BEST_FPERIOD_OVERRIDE=FQ","FILING_STATUS=OR","EQY_CONSOLIDATED=Y","Sort=A","Dates=H","DateFormat=P","Fill=—","Direction=H","UseDPDF=Y")</f>
        <v>#NAME?</v>
      </c>
      <c r="AV536" s="1" t="e">
        <f ca="1">_xll.BDH($C$528,"GEO_GROW_TOT_ASSET","FQ3 2015","FQ3 2015","Currency=INR","Period=FQ","BEST_FPERIOD_OVERRIDE=FQ","FILING_STATUS=OR","EQY_CONSOLIDATED=Y","Sort=A","Dates=H","DateFormat=P","Fill=—","Direction=H","UseDPDF=Y")</f>
        <v>#NAME?</v>
      </c>
      <c r="AW536" s="1" t="e">
        <f ca="1">_xll.BDH($C$528,"MODIFIED_WORKING_CPTL_5YR_GRWTH","FQ3 2015","FQ3 2015","Currency=INR","Period=FQ","BEST_FPERIOD_OVERRIDE=FQ","FILING_STATUS=OR","EQY_CONSOLIDATED=Y","Sort=A","Dates=H","DateFormat=P","Fill=—","Direction=H","UseDPDF=Y")</f>
        <v>#NAME?</v>
      </c>
      <c r="AX536" s="1" t="e">
        <f ca="1">_xll.BDH($C$528,"WORKING_CAPITAL_5_YEAR_GROWTH","FQ3 2015","FQ3 2015","Currency=INR","Period=FQ","BEST_FPERIOD_OVERRIDE=FQ","FILING_STATUS=OR","EQY_CONSOLIDATED=Y","Sort=A","Dates=H","DateFormat=P","Fill=—","Direction=H","UseDPDF=Y")</f>
        <v>#NAME?</v>
      </c>
      <c r="AY536" s="1" t="e">
        <f ca="1">_xll.BDH($C$528,"ACCOUNTS_PAYABLE_5_YEAR_GROWTH","FQ3 2015","FQ3 2015","Currency=INR","Period=FQ","BEST_FPERIOD_OVERRIDE=FQ","FILING_STATUS=OR","EQY_CONSOLIDATED=Y","Sort=A","Dates=H","DateFormat=P","Fill=—","Direction=H","UseDPDF=Y")</f>
        <v>#NAME?</v>
      </c>
      <c r="AZ536" s="1" t="e">
        <f ca="1">_xll.BDH($C$528,"SHORT_TERM_DEBT_5_YEAR_GROWTH","FQ3 2015","FQ3 2015","Currency=INR","Period=FQ","BEST_FPERIOD_OVERRIDE=FQ","FILING_STATUS=OR","EQY_CONSOLIDATED=Y","Sort=A","Dates=H","DateFormat=P","Fill=—","Direction=H","UseDPDF=Y")</f>
        <v>#NAME?</v>
      </c>
      <c r="BA536" s="1" t="e">
        <f ca="1">_xll.BDH($C$528,"TOTAL_DEBT_5_YEAR_GROWTH","FQ3 2015","FQ3 2015","Currency=INR","Period=FQ","BEST_FPERIOD_OVERRIDE=FQ","FILING_STATUS=OR","EQY_CONSOLIDATED=Y","Sort=A","Dates=H","DateFormat=P","Fill=—","Direction=H","UseDPDF=Y")</f>
        <v>#NAME?</v>
      </c>
      <c r="BB536" s="1" t="e">
        <f ca="1">_xll.BDH($C$528,"GEO_GROW_TOT_SHRHLDR_EQY","FQ3 2015","FQ3 2015","Currency=INR","Period=FQ","BEST_FPERIOD_OVERRIDE=FQ","FILING_STATUS=OR","EQY_CONSOLIDATED=Y","Sort=A","Dates=H","DateFormat=P","Fill=—","Direction=H","UseDPDF=Y")</f>
        <v>#NAME?</v>
      </c>
      <c r="BC536" s="1" t="e">
        <f ca="1">_xll.BDH($C$528,"TOTAL_CAPITAL_5_YEAR_GROWTH","FQ3 2015","FQ3 2015","Currency=INR","Period=FQ","BEST_FPERIOD_OVERRIDE=FQ","FILING_STATUS=OR","EQY_CONSOLIDATED=Y","Sort=A","Dates=H","DateFormat=P","Fill=—","Direction=H","UseDPDF=Y")</f>
        <v>#NAME?</v>
      </c>
      <c r="BD536" s="1" t="e">
        <f ca="1">_xll.BDH($C$528,"GEO_GROW_BOOK_VAL","FQ3 2015","FQ3 2015","Currency=INR","Period=FQ","BEST_FPERIOD_OVERRIDE=FQ","FILING_STATUS=OR","EQY_CONSOLIDATED=Y","Sort=A","Dates=H","DateFormat=P","Fill=—","Direction=H","UseDPDF=Y")</f>
        <v>#NAME?</v>
      </c>
      <c r="BE536" s="1" t="e">
        <f ca="1">_xll.BDH($C$528,"GEO_GROW_CASH_OPER_ACT","FQ3 2015","FQ3 2015","Currency=INR","Period=FQ","BEST_FPERIOD_OVERRIDE=FQ","FILING_STATUS=OR","EQY_CONSOLIDATED=Y","Sort=A","Dates=H","DateFormat=P","Fill=—","Direction=H","UseDPDF=Y")</f>
        <v>#NAME?</v>
      </c>
      <c r="BF536" s="1" t="e">
        <f ca="1">_xll.BDH($C$528,"REVENUE_SEQUENTIAL_GROWTH","FQ3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36" s="1" t="e">
        <f ca="1">_xll.BDH($C$528,"EBITDA_SEQUENTIAL_GROWTH","FQ3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36" s="1" t="e">
        <f ca="1">_xll.BDH($C$528,"OPERATING_INCOME_SEQ_GROWTH","FQ3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36" s="1" t="e">
        <f ca="1">_xll.BDH($C$528,"NET_INCOME_TO_COMMON_SEQ_GROWTH","FQ3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36" s="1" t="e">
        <f ca="1">_xll.BDH($C$528,"EPS_DILUTED_SEQUENTIAL_GROWTH","FQ3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36" s="1" t="e">
        <f ca="1">_xll.BDH($C$528,"DPS_SEQUENTIAL_GROWTH","FQ3 2015","FQ3 2015","Currency=INR","Period=FQ","BEST_FPERIOD_OVERRIDE=FQ","FILING_STATUS=OR","EQY_CONSOLIDATED=Y","Sort=A","Dates=H","DateFormat=P","Fill=—","Direction=H","UseDPDF=Y")</f>
        <v>#NAME?</v>
      </c>
      <c r="BL536" s="1" t="e">
        <f ca="1">_xll.BDH($C$528,"ACCOUNTS_RECEIVABLE_SEQ_GROWTH","FQ3 2015","FQ3 2015","Currency=INR","Period=FQ","BEST_FPERIOD_OVERRIDE=FQ","FILING_STATUS=OR","EQY_CONSOLIDATED=Y","Sort=A","Dates=H","DateFormat=P","Fill=—","Direction=H","UseDPDF=Y")</f>
        <v>#NAME?</v>
      </c>
      <c r="BM536" s="1" t="e">
        <f ca="1">_xll.BDH($C$528,"INVENTORY_SEQUENTIAL_GROWTH","FQ3 2015","FQ3 2015","Currency=INR","Period=FQ","BEST_FPERIOD_OVERRIDE=FQ","FILING_STATUS=OR","EQY_CONSOLIDATED=Y","Sort=A","Dates=H","DateFormat=P","Fill=—","Direction=H","UseDPDF=Y")</f>
        <v>#NAME?</v>
      </c>
      <c r="BN536" s="1" t="e">
        <f ca="1">_xll.BDH($C$528,"FIXED_ASSETS_SEQUENTIAL_GROWTH","FQ3 2015","FQ3 2015","Currency=INR","Period=FQ","BEST_FPERIOD_OVERRIDE=FQ","FILING_STATUS=OR","EQY_CONSOLIDATED=Y","Sort=A","Dates=H","DateFormat=P","Fill=—","Direction=H","UseDPDF=Y")</f>
        <v>#NAME?</v>
      </c>
      <c r="BO536" s="1" t="e">
        <f ca="1">_xll.BDH($C$528,"TOTAL_ASSETS_SEQUENTIAL_GROWTH","FQ3 2015","FQ3 2015","Currency=INR","Period=FQ","BEST_FPERIOD_OVERRIDE=FQ","FILING_STATUS=OR","EQY_CONSOLIDATED=Y","Sort=A","Dates=H","DateFormat=P","Fill=—","Direction=H","UseDPDF=Y")</f>
        <v>#NAME?</v>
      </c>
      <c r="BP536" s="1" t="e">
        <f ca="1">_xll.BDH($C$528,"MODIFIED_WORKING_CPTL_SEQ_GRWTH","FQ3 2015","FQ3 2015","Currency=INR","Period=FQ","BEST_FPERIOD_OVERRIDE=FQ","FILING_STATUS=OR","EQY_CONSOLIDATED=Y","Sort=A","Dates=H","DateFormat=P","Fill=—","Direction=H","UseDPDF=Y")</f>
        <v>#NAME?</v>
      </c>
      <c r="BQ536" s="1" t="e">
        <f ca="1">_xll.BDH($C$528,"WORKING_CAPITAL_SEQ_GROWTH","FQ3 2015","FQ3 2015","Currency=INR","Period=FQ","BEST_FPERIOD_OVERRIDE=FQ","FILING_STATUS=OR","EQY_CONSOLIDATED=Y","Sort=A","Dates=H","DateFormat=P","Fill=—","Direction=H","UseDPDF=Y")</f>
        <v>#NAME?</v>
      </c>
      <c r="BR536" s="1" t="e">
        <f ca="1">_xll.BDH($C$528,"ACCOUNTS_PAYABLE_SEQ_GROWTH","FQ3 2015","FQ3 2015","Currency=INR","Period=FQ","BEST_FPERIOD_OVERRIDE=FQ","FILING_STATUS=OR","EQY_CONSOLIDATED=Y","Sort=A","Dates=H","DateFormat=P","Fill=—","Direction=H","UseDPDF=Y")</f>
        <v>#NAME?</v>
      </c>
      <c r="BS536" s="1" t="e">
        <f ca="1">_xll.BDH($C$528,"ST_DEBT_SEQUENTIAL_GROWTH","FQ3 2015","FQ3 2015","Currency=INR","Period=FQ","BEST_FPERIOD_OVERRIDE=FQ","FILING_STATUS=OR","EQY_CONSOLIDATED=Y","Sort=A","Dates=H","DateFormat=P","Fill=—","Direction=H","UseDPDF=Y")</f>
        <v>#NAME?</v>
      </c>
      <c r="BT536" s="1" t="e">
        <f ca="1">_xll.BDH($C$528,"TOTAL_DEBT_SEQUENTIAL_GROWTH","FQ3 2015","FQ3 2015","Currency=INR","Period=FQ","BEST_FPERIOD_OVERRIDE=FQ","FILING_STATUS=OR","EQY_CONSOLIDATED=Y","Sort=A","Dates=H","DateFormat=P","Fill=—","Direction=H","UseDPDF=Y")</f>
        <v>#NAME?</v>
      </c>
      <c r="BU536" s="1" t="e">
        <f ca="1">_xll.BDH($C$528,"TOTAL_EQUITY_SEQUENTIAL_GROWTH","FQ3 2015","FQ3 2015","Currency=INR","Period=FQ","BEST_FPERIOD_OVERRIDE=FQ","FILING_STATUS=OR","EQY_CONSOLIDATED=Y","Sort=A","Dates=H","DateFormat=P","Fill=—","Direction=H","UseDPDF=Y")</f>
        <v>#NAME?</v>
      </c>
      <c r="BV536" s="1" t="e">
        <f ca="1">_xll.BDH($C$528,"TOTAL_CAPITAL_SEQUENTIAL_GROWTH","FQ3 2015","FQ3 2015","Currency=INR","Period=FQ","BEST_FPERIOD_OVERRIDE=FQ","FILING_STATUS=OR","EQY_CONSOLIDATED=Y","Sort=A","Dates=H","DateFormat=P","Fill=—","Direction=H","UseDPDF=Y")</f>
        <v>#NAME?</v>
      </c>
      <c r="BW536" s="1" t="e">
        <f ca="1">_xll.BDH($C$528,"BPS_SEQUENTIAL_GROWTH","FQ3 2015","FQ3 2015","Currency=INR","Period=FQ","BEST_FPERIOD_OVERRIDE=FQ","FILING_STATUS=OR","EQY_CONSOLIDATED=Y","Sort=A","Dates=H","DateFormat=P","Fill=—","Direction=H","UseDPDF=Y")</f>
        <v>#NAME?</v>
      </c>
      <c r="BX536" s="1" t="e">
        <f ca="1">_xll.BDH($C$528,"CFO_SEQUENTIAL_GROWTH","FQ3 2015","FQ3 2015","Currency=INR","Period=FQ","BEST_FPERIOD_OVERRIDE=FQ","FILING_STATUS=OR","EQY_CONSOLIDATED=Y","Sort=A","Dates=H","DateFormat=P","Fill=—","Direction=H","UseDPDF=Y")</f>
        <v>#NAME?</v>
      </c>
      <c r="BY536" s="2" t="e">
        <f ca="1">_xll.BDH($C$528,"SHORT_AND_LONG_TERM_DEBT","FQ3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36" s="2" t="e">
        <f ca="1">_xll.BDH($C$528,"BS_ST_BORROW","FQ3 2015","FQ3 2015","Currency=INR","Period=FQ","BEST_FPERIOD_OVERRIDE=FQ","FILING_STATUS=OR","EQY_CONSOLIDATED=Y","SCALING_FORMAT=MLN","Sort=A","Dates=H","DateFormat=P","Fill=—","Direction=H","UseDPDF=Y")</f>
        <v>#NAME?</v>
      </c>
      <c r="CA536" s="2" t="e">
        <f ca="1">_xll.BDH($C$528,"BS_LT_BORROW","FQ3 2015","FQ3 2015","Currency=INR","Period=FQ","BEST_FPERIOD_OVERRIDE=FQ","FILING_STATUS=OR","EQY_CONSOLIDATED=Y","SCALING_FORMAT=MLN","Sort=A","Dates=H","DateFormat=P","Fill=—","Direction=H","UseDPDF=Y")</f>
        <v>#NAME?</v>
      </c>
      <c r="CB536" s="1" t="e">
        <f ca="1">_xll.BDH($C$528,"TOT_DEBT_TO_EBITDA","FQ3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36" s="1" t="e">
        <f ca="1">_xll.BDH($C$528,"NET_DEBT_TO_EBITDA","FQ3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36" s="1" t="e">
        <f ca="1">_xll.BDH($C$528,"TOTAL_DEBT_TO_EBIT","FQ3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36" s="1" t="e">
        <f ca="1">_xll.BDH($C$528,"NET_DEBT_TO_EBIT","FQ3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536" s="1" t="e">
        <f ca="1">_xll.BDH($C$528,"EBITDA_TO_INTEREST_EXPN","FQ3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36" s="1" t="e">
        <f ca="1">_xll.BDH($C$528,"COM_EQY_TO_TOT_ASSET","FQ3 2015","FQ3 2015","Currency=INR","Period=FQ","BEST_FPERIOD_OVERRIDE=FQ","FILING_STATUS=OR","EQY_CONSOLIDATED=Y","Sort=A","Dates=H","DateFormat=P","Fill=—","Direction=H","UseDPDF=Y")</f>
        <v>#NAME?</v>
      </c>
      <c r="CH536" s="1" t="e">
        <f ca="1">_xll.BDH($C$528,"LT_DEBT_TO_TOT_EQY","FQ3 2015","FQ3 2015","Currency=INR","Period=FQ","BEST_FPERIOD_OVERRIDE=FQ","FILING_STATUS=OR","EQY_CONSOLIDATED=Y","Sort=A","Dates=H","DateFormat=P","Fill=—","Direction=H","UseDPDF=Y")</f>
        <v>#NAME?</v>
      </c>
      <c r="CI536" s="1" t="e">
        <f ca="1">_xll.BDH($C$528,"LT_DEBT_TO_TOT_CAP","FQ3 2015","FQ3 2015","Currency=INR","Period=FQ","BEST_FPERIOD_OVERRIDE=FQ","FILING_STATUS=OR","EQY_CONSOLIDATED=Y","Sort=A","Dates=H","DateFormat=P","Fill=—","Direction=H","UseDPDF=Y")</f>
        <v>#NAME?</v>
      </c>
      <c r="CJ536" s="1" t="e">
        <f ca="1">_xll.BDH($C$528,"LT_DEBT_TO_TOT_ASSET","FQ3 2015","FQ3 2015","Currency=INR","Period=FQ","BEST_FPERIOD_OVERRIDE=FQ","FILING_STATUS=OR","EQY_CONSOLIDATED=Y","Sort=A","Dates=H","DateFormat=P","Fill=—","Direction=H","UseDPDF=Y")</f>
        <v>#NAME?</v>
      </c>
      <c r="CK536" s="1" t="e">
        <f ca="1">_xll.BDH($C$528,"TOT_DEBT_TO_TOT_EQY","FQ3 2015","FQ3 2015","Currency=INR","Period=FQ","BEST_FPERIOD_OVERRIDE=FQ","FILING_STATUS=OR","EQY_CONSOLIDATED=Y","Sort=A","Dates=H","DateFormat=P","Fill=—","Direction=H","UseDPDF=Y")</f>
        <v>#NAME?</v>
      </c>
      <c r="CL536" s="1" t="e">
        <f ca="1">_xll.BDH($C$528,"TOT_DEBT_TO_TOT_CAP","FQ3 2015","FQ3 2015","Currency=INR","Period=FQ","BEST_FPERIOD_OVERRIDE=FQ","FILING_STATUS=OR","EQY_CONSOLIDATED=Y","Sort=A","Dates=H","DateFormat=P","Fill=—","Direction=H","UseDPDF=Y")</f>
        <v>#NAME?</v>
      </c>
      <c r="CM536" s="1" t="e">
        <f ca="1">_xll.BDH($C$528,"TOT_DEBT_TO_TOT_ASSET","FQ3 2015","FQ3 2015","Currency=INR","Period=FQ","BEST_FPERIOD_OVERRIDE=FQ","FILING_STATUS=OR","EQY_CONSOLIDATED=Y","Sort=A","Dates=H","DateFormat=P","Fill=—","Direction=H","UseDPDF=Y")</f>
        <v>#NAME?</v>
      </c>
      <c r="CN536" s="1" t="e">
        <f ca="1">_xll.BDH($C$528,"NET_DEBT_TO_SHRHLDR_EQTY","FQ3 2015","FQ3 2015","Currency=INR","Period=FQ","BEST_FPERIOD_OVERRIDE=FQ","FILING_STATUS=OR","EQY_CONSOLIDATED=Y","Sort=A","Dates=H","DateFormat=P","Fill=—","Direction=H","UseDPDF=Y")</f>
        <v>#NAME?</v>
      </c>
      <c r="CO536" s="1" t="e">
        <f ca="1">_xll.BDH($C$528,"NET_DEBT_%_CAPITAL","FQ3 2015","FQ3 2015","Currency=INR","Period=FQ","BEST_FPERIOD_OVERRIDE=FQ","FILING_STATUS=OR","EQY_CONSOLIDATED=Y","Sort=A","Dates=H","DateFormat=P","Fill=—","Direction=H","UseDPDF=Y")</f>
        <v>#NAME?</v>
      </c>
      <c r="CP536" s="2" t="e">
        <f ca="1">_xll.BDH($C$528,"EBITDA","FQ3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36" s="2" t="e">
        <f ca="1">_xll.BDH($C$528,"EBITDA_AFTER_CAPEX","FQ3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36" s="2" t="e">
        <f ca="1">_xll.BDH($C$528,"IS_OPER_INC","FQ3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36" s="1" t="e">
        <f ca="1">_xll.BDH($C$528,"CASH_RATIO","FQ3 2015","FQ3 2015","Currency=INR","Period=FQ","BEST_FPERIOD_OVERRIDE=FQ","FILING_STATUS=OR","EQY_CONSOLIDATED=Y","Sort=A","Dates=H","DateFormat=P","Fill=—","Direction=H","UseDPDF=Y")</f>
        <v>#NAME?</v>
      </c>
      <c r="CT536" s="1" t="e">
        <f ca="1">_xll.BDH($C$528,"CUR_RATIO","FQ3 2015","FQ3 2015","Currency=INR","Period=FQ","BEST_FPERIOD_OVERRIDE=FQ","FILING_STATUS=OR","EQY_CONSOLIDATED=Y","Sort=A","Dates=H","DateFormat=P","Fill=—","Direction=H","UseDPDF=Y")</f>
        <v>#NAME?</v>
      </c>
      <c r="CU536" s="1" t="e">
        <f ca="1">_xll.BDH($C$528,"QUICK_RATIO","FQ3 2015","FQ3 2015","Currency=INR","Period=FQ","BEST_FPERIOD_OVERRIDE=FQ","FILING_STATUS=OR","EQY_CONSOLIDATED=Y","Sort=A","Dates=H","DateFormat=P","Fill=—","Direction=H","UseDPDF=Y")</f>
        <v>#NAME?</v>
      </c>
      <c r="CV536" s="1" t="e">
        <f ca="1">_xll.BDH($C$528,"ALTMAN_Z_SCORE","FQ3 2015","FQ3 2015","Currency=INR","Period=FQ","BEST_FPERIOD_OVERRIDE=FQ","FILING_STATUS=OR","EQY_CONSOLIDATED=Y","Sort=A","Dates=H","DateFormat=P","Fill=—","Direction=H","UseDPDF=Y")</f>
        <v>#NAME?</v>
      </c>
      <c r="CW536" s="3" t="e">
        <f ca="1">_xll.BDH($C$528,"ACCT_RCV_TURN","FQ3 2015","FQ3 2015","Currency=INR","Period=FQ","BEST_FPERIOD_OVERRIDE=FQ","FILING_STATUS=OR","EQY_CONSOLIDATED=Y","FA_ADJUSTED=GAAP","Sort=A","Dates=H","DateFormat=P","Fill=—","Direction=H","UseDPDF=Y")</f>
        <v>#NAME?</v>
      </c>
      <c r="CX536" s="1" t="e">
        <f ca="1">_xll.BDH($C$528,"ACCT_RCV_DAYS","FQ3 2015","FQ3 2015","Currency=INR","Period=FQ","BEST_FPERIOD_OVERRIDE=FQ","FILING_STATUS=OR","EQY_CONSOLIDATED=Y","FA_ADJUSTED=GAAP","Sort=A","Dates=H","DateFormat=P","Fill=—","Direction=H","UseDPDF=Y")</f>
        <v>#NAME?</v>
      </c>
      <c r="CY536" s="3" t="e">
        <f ca="1">_xll.BDH($C$528,"INVENT_TURN","FQ3 2015","FQ3 2015","Currency=INR","Period=FQ","BEST_FPERIOD_OVERRIDE=FQ","FILING_STATUS=OR","EQY_CONSOLIDATED=Y","FA_ADJUSTED=GAAP","Sort=A","Dates=H","DateFormat=P","Fill=—","Direction=H","UseDPDF=Y")</f>
        <v>#NAME?</v>
      </c>
      <c r="CZ536" s="1" t="e">
        <f ca="1">_xll.BDH($C$528,"INVENT_DAYS","FQ3 2015","FQ3 2015","Currency=INR","Period=FQ","BEST_FPERIOD_OVERRIDE=FQ","FILING_STATUS=OR","EQY_CONSOLIDATED=Y","FA_ADJUSTED=GAAP","Sort=A","Dates=H","DateFormat=P","Fill=—","Direction=H","UseDPDF=Y")</f>
        <v>#NAME?</v>
      </c>
      <c r="DA536" s="3" t="e">
        <f ca="1">_xll.BDH($C$528,"ACCOUNTS_PAYABLE_TURNOVER","FQ3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36" s="1" t="e">
        <f ca="1">_xll.BDH($C$528,"ACCOUNTS_PAYABLE_TURNOVER_DAYS","FQ3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36" s="3" t="e">
        <f ca="1">_xll.BDH($C$528,"CASH_CONVERSION_CYCLE","FQ3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36" s="3" t="e">
        <f ca="1">_xll.BDH($C$528,"INV_TO_CASH_DAYS","FQ3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536" s="4" t="e">
        <f ca="1">_xll.BDH($C$528,"BS_INVENTORIES","FQ3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536" s="2" t="e">
        <f ca="1">_xll.BDH($C$528,"INVTRY_RAW_MATERIALS","FQ3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36" s="2" t="e">
        <f ca="1">_xll.BDH($C$528,"INVTRY_IN_PROGRESS","FQ3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36" s="2" t="e">
        <f ca="1">_xll.BDH($C$528,"INVTRY_FINISHED_GOODS","FQ3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36" s="2" t="e">
        <f ca="1">_xll.BDH($C$528,"BS_OTHER_INV","FQ3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37" spans="1:113" x14ac:dyDescent="0.3">
      <c r="A537" s="6"/>
      <c r="B537" s="6"/>
      <c r="C537" s="6"/>
      <c r="D537" s="6"/>
      <c r="E537" t="s">
        <v>7</v>
      </c>
      <c r="F537" t="e">
        <f ca="1">_xll.BDH($C$528,"RETURN_COM_EQY","FQ4 2015","FQ4 2015","Currency=INR","Period=FQ","BEST_FPERIOD_OVERRIDE=FQ","FILING_STATUS=OR","EQY_CONSOLIDATED=Y","FA_ADJUSTED=GAAP","Sort=A","Dates=H","DateFormat=P","Fill=—","Direction=H","UseDPDF=Y")</f>
        <v>#NAME?</v>
      </c>
      <c r="G537" t="e">
        <f ca="1">_xll.BDH($C$528,"RETURN_ON_ASSET","FQ4 2015","FQ4 2015","Currency=INR","Period=FQ","BEST_FPERIOD_OVERRIDE=FQ","FILING_STATUS=OR","EQY_CONSOLIDATED=Y","FA_ADJUSTED=GAAP","Sort=A","Dates=H","DateFormat=P","Fill=—","Direction=H","UseDPDF=Y")</f>
        <v>#NAME?</v>
      </c>
      <c r="H537" t="e">
        <f ca="1">_xll.BDH($C$528,"RETURN_ON_CAP","FQ4 2015","FQ4 2015","Currency=INR","Period=FQ","BEST_FPERIOD_OVERRIDE=FQ","FILING_STATUS=OR","EQY_CONSOLIDATED=Y","FA_ADJUSTED=GAAP","Sort=A","Dates=H","DateFormat=P","Fill=—","Direction=H","UseDPDF=Y")</f>
        <v>#NAME?</v>
      </c>
      <c r="I537" t="e">
        <f ca="1">_xll.BDH($C$528,"RETURN_ON_INV_CAPITAL","FQ4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37" t="e">
        <f ca="1">_xll.BDH($C$528,"EBITDA_TO_REVENUE","FQ4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537" t="e">
        <f ca="1">_xll.BDH($C$528,"OPER_MARGIN","FQ4 2015","FQ4 2015","Currency=INR","Period=FQ","BEST_FPERIOD_OVERRIDE=FQ","FILING_STATUS=OR","EQY_CONSOLIDATED=Y","FA_ADJUSTED=GAAP","Sort=A","Dates=H","DateFormat=P","Fill=—","Direction=H","UseDPDF=Y")</f>
        <v>#NAME?</v>
      </c>
      <c r="L537" t="e">
        <f ca="1">_xll.BDH($C$528,"INCREMENTAL_OPERATING_MARGIN","FQ4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37" t="e">
        <f ca="1">_xll.BDH($C$528,"PRETAX_INC_TO_NET_SALES","FQ4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37" t="e">
        <f ca="1">_xll.BDH($C$528,"INC_BEF_XO_ITEMS_TO_NET_SALES","FQ4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37" t="e">
        <f ca="1">_xll.BDH($C$528,"PROF_MARGIN","FQ4 2015","FQ4 2015","Currency=INR","Period=FQ","BEST_FPERIOD_OVERRIDE=FQ","FILING_STATUS=OR","EQY_CONSOLIDATED=Y","FA_ADJUSTED=GAAP","Sort=A","Dates=H","DateFormat=P","Fill=—","Direction=H","UseDPDF=Y")</f>
        <v>#NAME?</v>
      </c>
      <c r="P537" t="e">
        <f ca="1">_xll.BDH($C$528,"NET_INCOME_TO_COMMON_MARGIN","FQ4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37" t="e">
        <f ca="1">_xll.BDH($C$528,"EFF_TAX_RATE","FQ4 2015","FQ4 2015","Currency=INR","Period=FQ","BEST_FPERIOD_OVERRIDE=FQ","FILING_STATUS=OR","EQY_CONSOLIDATED=Y","FA_ADJUSTED=GAAP","Sort=A","Dates=H","DateFormat=P","Fill=—","Direction=H","UseDPDF=Y")</f>
        <v>#NAME?</v>
      </c>
      <c r="R537" t="e">
        <f ca="1">_xll.BDH($C$528,"DVD_PAYOUT_RATIO","FQ4 2015","FQ4 2015","Currency=INR","Period=FQ","BEST_FPERIOD_OVERRIDE=FQ","FILING_STATUS=OR","EQY_CONSOLIDATED=Y","FA_ADJUSTED=GAAP","Sort=A","Dates=H","DateFormat=P","Fill=—","Direction=H","UseDPDF=Y")</f>
        <v>#NAME?</v>
      </c>
      <c r="S537" t="e">
        <f ca="1">_xll.BDH($C$528,"SUSTAIN_GROWTH_RT","FQ4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537" s="1" t="e">
        <f ca="1">_xll.BDH($C$528,"SALES_GROWTH","FQ4 2015","FQ4 2015","Currency=INR","Period=FQ","BEST_FPERIOD_OVERRIDE=FQ","FILING_STATUS=OR","EQY_CONSOLIDATED=Y","FA_ADJUSTED=GAAP","Sort=A","Dates=H","DateFormat=P","Fill=—","Direction=H","UseDPDF=Y")</f>
        <v>#NAME?</v>
      </c>
      <c r="U537" s="1" t="e">
        <f ca="1">_xll.BDH($C$528,"EBITDA_GROWTH","FQ4 2015","FQ4 2015","Currency=INR","Period=FQ","BEST_FPERIOD_OVERRIDE=FQ","FILING_STATUS=OR","EQY_CONSOLIDATED=Y","FA_ADJUSTED=GAAP","Sort=A","Dates=H","DateFormat=P","Fill=—","Direction=H","UseDPDF=Y")</f>
        <v>#NAME?</v>
      </c>
      <c r="V537" s="1" t="e">
        <f ca="1">_xll.BDH($C$528,"OPER_INC_GROWTH","FQ4 2015","FQ4 2015","Currency=INR","Period=FQ","BEST_FPERIOD_OVERRIDE=FQ","FILING_STATUS=OR","EQY_CONSOLIDATED=Y","FA_ADJUSTED=GAAP","Sort=A","Dates=H","DateFormat=P","Fill=—","Direction=H","UseDPDF=Y")</f>
        <v>#NAME?</v>
      </c>
      <c r="W537" s="1" t="e">
        <f ca="1">_xll.BDH($C$528,"EARN_FOR_COM_GROWTH","FQ4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37" s="1" t="e">
        <f ca="1">_xll.BDH($C$528,"DILUTED_EPS_AFT_XO_ITEMS_GROWTH","FQ4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37" s="1" t="e">
        <f ca="1">_xll.BDH($C$528,"DIVIDEND_PER_SHARE_1_YEAR_GROWTH","FQ4 2015","FQ4 2015","Currency=INR","Period=FQ","BEST_FPERIOD_OVERRIDE=FQ","FILING_STATUS=OR","EQY_CONSOLIDATED=Y","Sort=A","Dates=H","DateFormat=P","Fill=—","Direction=H","UseDPDF=Y")</f>
        <v>#NAME?</v>
      </c>
      <c r="Z537" s="1" t="e">
        <f ca="1">_xll.BDH($C$528,"ACCOUNTS_RECEIVABLE_GROWTH","FQ4 2015","FQ4 2015","Currency=INR","Period=FQ","BEST_FPERIOD_OVERRIDE=FQ","FILING_STATUS=OR","EQY_CONSOLIDATED=Y","Sort=A","Dates=H","DateFormat=P","Fill=—","Direction=H","UseDPDF=Y")</f>
        <v>#NAME?</v>
      </c>
      <c r="AA537" s="1" t="e">
        <f ca="1">_xll.BDH($C$528,"INVENTORY_GROWTH","FQ4 2015","FQ4 2015","Currency=INR","Period=FQ","BEST_FPERIOD_OVERRIDE=FQ","FILING_STATUS=OR","EQY_CONSOLIDATED=Y","Sort=A","Dates=H","DateFormat=P","Fill=—","Direction=H","UseDPDF=Y")</f>
        <v>#NAME?</v>
      </c>
      <c r="AB537" s="1" t="e">
        <f ca="1">_xll.BDH($C$528,"NET_FIXED_ASSETS_1_YEAR_GROWTH","FQ4 2015","FQ4 2015","Currency=INR","Period=FQ","BEST_FPERIOD_OVERRIDE=FQ","FILING_STATUS=OR","EQY_CONSOLIDATED=Y","Sort=A","Dates=H","DateFormat=P","Fill=—","Direction=H","UseDPDF=Y")</f>
        <v>#NAME?</v>
      </c>
      <c r="AC537" s="1" t="e">
        <f ca="1">_xll.BDH($C$528,"ASSET_GROWTH","FQ4 2015","FQ4 2015","Currency=INR","Period=FQ","BEST_FPERIOD_OVERRIDE=FQ","FILING_STATUS=OR","EQY_CONSOLIDATED=Y","Sort=A","Dates=H","DateFormat=P","Fill=—","Direction=H","UseDPDF=Y")</f>
        <v>#NAME?</v>
      </c>
      <c r="AD537" s="1" t="e">
        <f ca="1">_xll.BDH($C$528,"MODIFIED_WORK_CAP_GROWTH","FQ4 2015","FQ4 2015","Currency=INR","Period=FQ","BEST_FPERIOD_OVERRIDE=FQ","FILING_STATUS=OR","EQY_CONSOLIDATED=Y","Sort=A","Dates=H","DateFormat=P","Fill=—","Direction=H","UseDPDF=Y")</f>
        <v>#NAME?</v>
      </c>
      <c r="AE537" s="1" t="e">
        <f ca="1">_xll.BDH($C$528,"WORK_CAP_GROWTH","FQ4 2015","FQ4 2015","Currency=INR","Period=FQ","BEST_FPERIOD_OVERRIDE=FQ","FILING_STATUS=OR","EQY_CONSOLIDATED=Y","Sort=A","Dates=H","DateFormat=P","Fill=—","Direction=H","UseDPDF=Y")</f>
        <v>#NAME?</v>
      </c>
      <c r="AF537" s="1" t="e">
        <f ca="1">_xll.BDH($C$528,"ACCOUNTS_PAYABLE_GROWTH_1YR","FQ4 2015","FQ4 2015","Currency=INR","Period=FQ","BEST_FPERIOD_OVERRIDE=FQ","FILING_STATUS=OR","EQY_CONSOLIDATED=Y","Sort=A","Dates=H","DateFormat=P","Fill=—","Direction=H","UseDPDF=Y")</f>
        <v>#NAME?</v>
      </c>
      <c r="AG537" s="1" t="e">
        <f ca="1">_xll.BDH($C$528,"SHORT_TERM_DEBT_1_YEAR_GROWTH","FQ4 2015","FQ4 2015","Currency=INR","Period=FQ","BEST_FPERIOD_OVERRIDE=FQ","FILING_STATUS=OR","EQY_CONSOLIDATED=Y","Sort=A","Dates=H","DateFormat=P","Fill=—","Direction=H","UseDPDF=Y")</f>
        <v>#NAME?</v>
      </c>
      <c r="AH537" s="1" t="e">
        <f ca="1">_xll.BDH($C$528,"TOTAL_DEBT_1_YEAR_GROWTH","FQ4 2015","FQ4 2015","Currency=INR","Period=FQ","BEST_FPERIOD_OVERRIDE=FQ","FILING_STATUS=OR","EQY_CONSOLIDATED=Y","Sort=A","Dates=H","DateFormat=P","Fill=—","Direction=H","UseDPDF=Y")</f>
        <v>#NAME?</v>
      </c>
      <c r="AI537" s="1" t="e">
        <f ca="1">_xll.BDH($C$528,"TOTAL_EQUITY_1_YEAR_GROWTH","FQ4 2015","FQ4 2015","Currency=INR","Period=FQ","BEST_FPERIOD_OVERRIDE=FQ","FILING_STATUS=OR","EQY_CONSOLIDATED=Y","Sort=A","Dates=H","DateFormat=P","Fill=—","Direction=H","UseDPDF=Y")</f>
        <v>#NAME?</v>
      </c>
      <c r="AJ537" s="1" t="e">
        <f ca="1">_xll.BDH($C$528,"GROWTH_IN_CAP","FQ4 2015","FQ4 2015","Currency=INR","Period=FQ","BEST_FPERIOD_OVERRIDE=FQ","FILING_STATUS=OR","EQY_CONSOLIDATED=Y","Sort=A","Dates=H","DateFormat=P","Fill=—","Direction=H","UseDPDF=Y")</f>
        <v>#NAME?</v>
      </c>
      <c r="AK537" s="1" t="e">
        <f ca="1">_xll.BDH($C$528,"BVPS_GROWTH","FQ4 2015","FQ4 2015","Currency=INR","Period=FQ","BEST_FPERIOD_OVERRIDE=FQ","FILING_STATUS=OR","EQY_CONSOLIDATED=Y","Sort=A","Dates=H","DateFormat=P","Fill=—","Direction=H","UseDPDF=Y")</f>
        <v>#NAME?</v>
      </c>
      <c r="AL537" s="1" t="e">
        <f ca="1">_xll.BDH($C$528,"CASH_FLOW_GROWTH","FQ4 2015","FQ4 2015","Currency=INR","Period=FQ","BEST_FPERIOD_OVERRIDE=FQ","FILING_STATUS=OR","EQY_CONSOLIDATED=Y","Sort=A","Dates=H","DateFormat=P","Fill=—","Direction=H","UseDPDF=Y")</f>
        <v>#NAME?</v>
      </c>
      <c r="AM537" s="1" t="e">
        <f ca="1">_xll.BDH($C$528,"GEO_GROW_NET_SALES","FQ4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37" s="1" t="e">
        <f ca="1">_xll.BDH($C$528,"GEO_GROW_EBITDA","FQ4 2015","FQ4 2015","Currency=INR","Period=FQ","BEST_FPERIOD_OVERRIDE=FQ","FILING_STATUS=OR","EQY_CONSOLIDATED=Y","FA_ADJUSTED=GAAP","Sort=A","Dates=H","DateFormat=P","Fill=—","Direction=H","UseDPDF=Y")</f>
        <v>#NAME?</v>
      </c>
      <c r="AO537" s="1" t="e">
        <f ca="1">_xll.BDH($C$528,"GEO_GROW_OPER_INC","FQ4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37" s="1" t="e">
        <f ca="1">_xll.BDH($C$528,"NET_INCOME_TO_COMMON_5_YR_GROWTH","FQ4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37" s="1" t="e">
        <f ca="1">_xll.BDH($C$528,"5Y_GEO_GROWTH_DILUTED_EPS","FQ4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37" s="1" t="e">
        <f ca="1">_xll.BDH($C$528,"GEO_GROW_DVD_PER_SH","FQ4 2015","FQ4 2015","Currency=INR","Period=FQ","BEST_FPERIOD_OVERRIDE=FQ","FILING_STATUS=OR","EQY_CONSOLIDATED=Y","Sort=A","Dates=H","DateFormat=P","Fill=—","Direction=H","UseDPDF=Y")</f>
        <v>#NAME?</v>
      </c>
      <c r="AS537" s="1" t="e">
        <f ca="1">_xll.BDH($C$528,"ACCOUNTS_RECEIVABLE_5_YR_GROWTH","FQ4 2015","FQ4 2015","Currency=INR","Period=FQ","BEST_FPERIOD_OVERRIDE=FQ","FILING_STATUS=OR","EQY_CONSOLIDATED=Y","Sort=A","Dates=H","DateFormat=P","Fill=—","Direction=H","UseDPDF=Y")</f>
        <v>#NAME?</v>
      </c>
      <c r="AT537" s="1" t="e">
        <f ca="1">_xll.BDH($C$528,"INVENTORY_5_YEAR_GROWTH","FQ4 2015","FQ4 2015","Currency=INR","Period=FQ","BEST_FPERIOD_OVERRIDE=FQ","FILING_STATUS=OR","EQY_CONSOLIDATED=Y","Sort=A","Dates=H","DateFormat=P","Fill=—","Direction=H","UseDPDF=Y")</f>
        <v>#NAME?</v>
      </c>
      <c r="AU537" s="1" t="e">
        <f ca="1">_xll.BDH($C$528,"NET_FIXED_ASSETS_5_YEAR_GROWTH","FQ4 2015","FQ4 2015","Currency=INR","Period=FQ","BEST_FPERIOD_OVERRIDE=FQ","FILING_STATUS=OR","EQY_CONSOLIDATED=Y","Sort=A","Dates=H","DateFormat=P","Fill=—","Direction=H","UseDPDF=Y")</f>
        <v>#NAME?</v>
      </c>
      <c r="AV537" s="1" t="e">
        <f ca="1">_xll.BDH($C$528,"GEO_GROW_TOT_ASSET","FQ4 2015","FQ4 2015","Currency=INR","Period=FQ","BEST_FPERIOD_OVERRIDE=FQ","FILING_STATUS=OR","EQY_CONSOLIDATED=Y","Sort=A","Dates=H","DateFormat=P","Fill=—","Direction=H","UseDPDF=Y")</f>
        <v>#NAME?</v>
      </c>
      <c r="AW537" s="1" t="e">
        <f ca="1">_xll.BDH($C$528,"MODIFIED_WORKING_CPTL_5YR_GRWTH","FQ4 2015","FQ4 2015","Currency=INR","Period=FQ","BEST_FPERIOD_OVERRIDE=FQ","FILING_STATUS=OR","EQY_CONSOLIDATED=Y","Sort=A","Dates=H","DateFormat=P","Fill=—","Direction=H","UseDPDF=Y")</f>
        <v>#NAME?</v>
      </c>
      <c r="AX537" s="1" t="e">
        <f ca="1">_xll.BDH($C$528,"WORKING_CAPITAL_5_YEAR_GROWTH","FQ4 2015","FQ4 2015","Currency=INR","Period=FQ","BEST_FPERIOD_OVERRIDE=FQ","FILING_STATUS=OR","EQY_CONSOLIDATED=Y","Sort=A","Dates=H","DateFormat=P","Fill=—","Direction=H","UseDPDF=Y")</f>
        <v>#NAME?</v>
      </c>
      <c r="AY537" s="1" t="e">
        <f ca="1">_xll.BDH($C$528,"ACCOUNTS_PAYABLE_5_YEAR_GROWTH","FQ4 2015","FQ4 2015","Currency=INR","Period=FQ","BEST_FPERIOD_OVERRIDE=FQ","FILING_STATUS=OR","EQY_CONSOLIDATED=Y","Sort=A","Dates=H","DateFormat=P","Fill=—","Direction=H","UseDPDF=Y")</f>
        <v>#NAME?</v>
      </c>
      <c r="AZ537" s="1" t="e">
        <f ca="1">_xll.BDH($C$528,"SHORT_TERM_DEBT_5_YEAR_GROWTH","FQ4 2015","FQ4 2015","Currency=INR","Period=FQ","BEST_FPERIOD_OVERRIDE=FQ","FILING_STATUS=OR","EQY_CONSOLIDATED=Y","Sort=A","Dates=H","DateFormat=P","Fill=—","Direction=H","UseDPDF=Y")</f>
        <v>#NAME?</v>
      </c>
      <c r="BA537" s="1" t="e">
        <f ca="1">_xll.BDH($C$528,"TOTAL_DEBT_5_YEAR_GROWTH","FQ4 2015","FQ4 2015","Currency=INR","Period=FQ","BEST_FPERIOD_OVERRIDE=FQ","FILING_STATUS=OR","EQY_CONSOLIDATED=Y","Sort=A","Dates=H","DateFormat=P","Fill=—","Direction=H","UseDPDF=Y")</f>
        <v>#NAME?</v>
      </c>
      <c r="BB537" s="1" t="e">
        <f ca="1">_xll.BDH($C$528,"GEO_GROW_TOT_SHRHLDR_EQY","FQ4 2015","FQ4 2015","Currency=INR","Period=FQ","BEST_FPERIOD_OVERRIDE=FQ","FILING_STATUS=OR","EQY_CONSOLIDATED=Y","Sort=A","Dates=H","DateFormat=P","Fill=—","Direction=H","UseDPDF=Y")</f>
        <v>#NAME?</v>
      </c>
      <c r="BC537" s="1" t="e">
        <f ca="1">_xll.BDH($C$528,"TOTAL_CAPITAL_5_YEAR_GROWTH","FQ4 2015","FQ4 2015","Currency=INR","Period=FQ","BEST_FPERIOD_OVERRIDE=FQ","FILING_STATUS=OR","EQY_CONSOLIDATED=Y","Sort=A","Dates=H","DateFormat=P","Fill=—","Direction=H","UseDPDF=Y")</f>
        <v>#NAME?</v>
      </c>
      <c r="BD537" s="1" t="e">
        <f ca="1">_xll.BDH($C$528,"GEO_GROW_BOOK_VAL","FQ4 2015","FQ4 2015","Currency=INR","Period=FQ","BEST_FPERIOD_OVERRIDE=FQ","FILING_STATUS=OR","EQY_CONSOLIDATED=Y","Sort=A","Dates=H","DateFormat=P","Fill=—","Direction=H","UseDPDF=Y")</f>
        <v>#NAME?</v>
      </c>
      <c r="BE537" s="1" t="e">
        <f ca="1">_xll.BDH($C$528,"GEO_GROW_CASH_OPER_ACT","FQ4 2015","FQ4 2015","Currency=INR","Period=FQ","BEST_FPERIOD_OVERRIDE=FQ","FILING_STATUS=OR","EQY_CONSOLIDATED=Y","Sort=A","Dates=H","DateFormat=P","Fill=—","Direction=H","UseDPDF=Y")</f>
        <v>#NAME?</v>
      </c>
      <c r="BF537" s="1" t="e">
        <f ca="1">_xll.BDH($C$528,"REVENUE_SEQUENTIAL_GROWTH","FQ4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37" s="1" t="e">
        <f ca="1">_xll.BDH($C$528,"EBITDA_SEQUENTIAL_GROWTH","FQ4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37" s="1" t="e">
        <f ca="1">_xll.BDH($C$528,"OPERATING_INCOME_SEQ_GROWTH","FQ4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37" s="1" t="e">
        <f ca="1">_xll.BDH($C$528,"NET_INCOME_TO_COMMON_SEQ_GROWTH","FQ4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37" s="1" t="e">
        <f ca="1">_xll.BDH($C$528,"EPS_DILUTED_SEQUENTIAL_GROWTH","FQ4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37" s="1" t="e">
        <f ca="1">_xll.BDH($C$528,"DPS_SEQUENTIAL_GROWTH","FQ4 2015","FQ4 2015","Currency=INR","Period=FQ","BEST_FPERIOD_OVERRIDE=FQ","FILING_STATUS=OR","EQY_CONSOLIDATED=Y","Sort=A","Dates=H","DateFormat=P","Fill=—","Direction=H","UseDPDF=Y")</f>
        <v>#NAME?</v>
      </c>
      <c r="BL537" s="1" t="e">
        <f ca="1">_xll.BDH($C$528,"ACCOUNTS_RECEIVABLE_SEQ_GROWTH","FQ4 2015","FQ4 2015","Currency=INR","Period=FQ","BEST_FPERIOD_OVERRIDE=FQ","FILING_STATUS=OR","EQY_CONSOLIDATED=Y","Sort=A","Dates=H","DateFormat=P","Fill=—","Direction=H","UseDPDF=Y")</f>
        <v>#NAME?</v>
      </c>
      <c r="BM537" s="1" t="e">
        <f ca="1">_xll.BDH($C$528,"INVENTORY_SEQUENTIAL_GROWTH","FQ4 2015","FQ4 2015","Currency=INR","Period=FQ","BEST_FPERIOD_OVERRIDE=FQ","FILING_STATUS=OR","EQY_CONSOLIDATED=Y","Sort=A","Dates=H","DateFormat=P","Fill=—","Direction=H","UseDPDF=Y")</f>
        <v>#NAME?</v>
      </c>
      <c r="BN537" s="1" t="e">
        <f ca="1">_xll.BDH($C$528,"FIXED_ASSETS_SEQUENTIAL_GROWTH","FQ4 2015","FQ4 2015","Currency=INR","Period=FQ","BEST_FPERIOD_OVERRIDE=FQ","FILING_STATUS=OR","EQY_CONSOLIDATED=Y","Sort=A","Dates=H","DateFormat=P","Fill=—","Direction=H","UseDPDF=Y")</f>
        <v>#NAME?</v>
      </c>
      <c r="BO537" s="1" t="e">
        <f ca="1">_xll.BDH($C$528,"TOTAL_ASSETS_SEQUENTIAL_GROWTH","FQ4 2015","FQ4 2015","Currency=INR","Period=FQ","BEST_FPERIOD_OVERRIDE=FQ","FILING_STATUS=OR","EQY_CONSOLIDATED=Y","Sort=A","Dates=H","DateFormat=P","Fill=—","Direction=H","UseDPDF=Y")</f>
        <v>#NAME?</v>
      </c>
      <c r="BP537" s="1" t="e">
        <f ca="1">_xll.BDH($C$528,"MODIFIED_WORKING_CPTL_SEQ_GRWTH","FQ4 2015","FQ4 2015","Currency=INR","Period=FQ","BEST_FPERIOD_OVERRIDE=FQ","FILING_STATUS=OR","EQY_CONSOLIDATED=Y","Sort=A","Dates=H","DateFormat=P","Fill=—","Direction=H","UseDPDF=Y")</f>
        <v>#NAME?</v>
      </c>
      <c r="BQ537" s="1" t="e">
        <f ca="1">_xll.BDH($C$528,"WORKING_CAPITAL_SEQ_GROWTH","FQ4 2015","FQ4 2015","Currency=INR","Period=FQ","BEST_FPERIOD_OVERRIDE=FQ","FILING_STATUS=OR","EQY_CONSOLIDATED=Y","Sort=A","Dates=H","DateFormat=P","Fill=—","Direction=H","UseDPDF=Y")</f>
        <v>#NAME?</v>
      </c>
      <c r="BR537" s="1" t="e">
        <f ca="1">_xll.BDH($C$528,"ACCOUNTS_PAYABLE_SEQ_GROWTH","FQ4 2015","FQ4 2015","Currency=INR","Period=FQ","BEST_FPERIOD_OVERRIDE=FQ","FILING_STATUS=OR","EQY_CONSOLIDATED=Y","Sort=A","Dates=H","DateFormat=P","Fill=—","Direction=H","UseDPDF=Y")</f>
        <v>#NAME?</v>
      </c>
      <c r="BS537" s="1" t="e">
        <f ca="1">_xll.BDH($C$528,"ST_DEBT_SEQUENTIAL_GROWTH","FQ4 2015","FQ4 2015","Currency=INR","Period=FQ","BEST_FPERIOD_OVERRIDE=FQ","FILING_STATUS=OR","EQY_CONSOLIDATED=Y","Sort=A","Dates=H","DateFormat=P","Fill=—","Direction=H","UseDPDF=Y")</f>
        <v>#NAME?</v>
      </c>
      <c r="BT537" s="1" t="e">
        <f ca="1">_xll.BDH($C$528,"TOTAL_DEBT_SEQUENTIAL_GROWTH","FQ4 2015","FQ4 2015","Currency=INR","Period=FQ","BEST_FPERIOD_OVERRIDE=FQ","FILING_STATUS=OR","EQY_CONSOLIDATED=Y","Sort=A","Dates=H","DateFormat=P","Fill=—","Direction=H","UseDPDF=Y")</f>
        <v>#NAME?</v>
      </c>
      <c r="BU537" s="1" t="e">
        <f ca="1">_xll.BDH($C$528,"TOTAL_EQUITY_SEQUENTIAL_GROWTH","FQ4 2015","FQ4 2015","Currency=INR","Period=FQ","BEST_FPERIOD_OVERRIDE=FQ","FILING_STATUS=OR","EQY_CONSOLIDATED=Y","Sort=A","Dates=H","DateFormat=P","Fill=—","Direction=H","UseDPDF=Y")</f>
        <v>#NAME?</v>
      </c>
      <c r="BV537" s="1" t="e">
        <f ca="1">_xll.BDH($C$528,"TOTAL_CAPITAL_SEQUENTIAL_GROWTH","FQ4 2015","FQ4 2015","Currency=INR","Period=FQ","BEST_FPERIOD_OVERRIDE=FQ","FILING_STATUS=OR","EQY_CONSOLIDATED=Y","Sort=A","Dates=H","DateFormat=P","Fill=—","Direction=H","UseDPDF=Y")</f>
        <v>#NAME?</v>
      </c>
      <c r="BW537" s="1" t="e">
        <f ca="1">_xll.BDH($C$528,"BPS_SEQUENTIAL_GROWTH","FQ4 2015","FQ4 2015","Currency=INR","Period=FQ","BEST_FPERIOD_OVERRIDE=FQ","FILING_STATUS=OR","EQY_CONSOLIDATED=Y","Sort=A","Dates=H","DateFormat=P","Fill=—","Direction=H","UseDPDF=Y")</f>
        <v>#NAME?</v>
      </c>
      <c r="BX537" s="1" t="e">
        <f ca="1">_xll.BDH($C$528,"CFO_SEQUENTIAL_GROWTH","FQ4 2015","FQ4 2015","Currency=INR","Period=FQ","BEST_FPERIOD_OVERRIDE=FQ","FILING_STATUS=OR","EQY_CONSOLIDATED=Y","Sort=A","Dates=H","DateFormat=P","Fill=—","Direction=H","UseDPDF=Y")</f>
        <v>#NAME?</v>
      </c>
      <c r="BY537" s="2" t="e">
        <f ca="1">_xll.BDH($C$528,"SHORT_AND_LONG_TERM_DEBT","FQ4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37" s="2" t="e">
        <f ca="1">_xll.BDH($C$528,"BS_ST_BORROW","FQ4 2015","FQ4 2015","Currency=INR","Period=FQ","BEST_FPERIOD_OVERRIDE=FQ","FILING_STATUS=OR","EQY_CONSOLIDATED=Y","SCALING_FORMAT=MLN","Sort=A","Dates=H","DateFormat=P","Fill=—","Direction=H","UseDPDF=Y")</f>
        <v>#NAME?</v>
      </c>
      <c r="CA537" s="2" t="e">
        <f ca="1">_xll.BDH($C$528,"BS_LT_BORROW","FQ4 2015","FQ4 2015","Currency=INR","Period=FQ","BEST_FPERIOD_OVERRIDE=FQ","FILING_STATUS=OR","EQY_CONSOLIDATED=Y","SCALING_FORMAT=MLN","Sort=A","Dates=H","DateFormat=P","Fill=—","Direction=H","UseDPDF=Y")</f>
        <v>#NAME?</v>
      </c>
      <c r="CB537" s="1" t="e">
        <f ca="1">_xll.BDH($C$528,"TOT_DEBT_TO_EBITDA","FQ4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37" s="1" t="e">
        <f ca="1">_xll.BDH($C$528,"NET_DEBT_TO_EBITDA","FQ4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37" s="1" t="e">
        <f ca="1">_xll.BDH($C$528,"TOTAL_DEBT_TO_EBIT","FQ4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37" s="1" t="e">
        <f ca="1">_xll.BDH($C$528,"NET_DEBT_TO_EBIT","FQ4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537" s="1" t="e">
        <f ca="1">_xll.BDH($C$528,"EBITDA_TO_INTEREST_EXPN","FQ4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37" s="1" t="e">
        <f ca="1">_xll.BDH($C$528,"COM_EQY_TO_TOT_ASSET","FQ4 2015","FQ4 2015","Currency=INR","Period=FQ","BEST_FPERIOD_OVERRIDE=FQ","FILING_STATUS=OR","EQY_CONSOLIDATED=Y","Sort=A","Dates=H","DateFormat=P","Fill=—","Direction=H","UseDPDF=Y")</f>
        <v>#NAME?</v>
      </c>
      <c r="CH537" s="1" t="e">
        <f ca="1">_xll.BDH($C$528,"LT_DEBT_TO_TOT_EQY","FQ4 2015","FQ4 2015","Currency=INR","Period=FQ","BEST_FPERIOD_OVERRIDE=FQ","FILING_STATUS=OR","EQY_CONSOLIDATED=Y","Sort=A","Dates=H","DateFormat=P","Fill=—","Direction=H","UseDPDF=Y")</f>
        <v>#NAME?</v>
      </c>
      <c r="CI537" s="1" t="e">
        <f ca="1">_xll.BDH($C$528,"LT_DEBT_TO_TOT_CAP","FQ4 2015","FQ4 2015","Currency=INR","Period=FQ","BEST_FPERIOD_OVERRIDE=FQ","FILING_STATUS=OR","EQY_CONSOLIDATED=Y","Sort=A","Dates=H","DateFormat=P","Fill=—","Direction=H","UseDPDF=Y")</f>
        <v>#NAME?</v>
      </c>
      <c r="CJ537" s="1" t="e">
        <f ca="1">_xll.BDH($C$528,"LT_DEBT_TO_TOT_ASSET","FQ4 2015","FQ4 2015","Currency=INR","Period=FQ","BEST_FPERIOD_OVERRIDE=FQ","FILING_STATUS=OR","EQY_CONSOLIDATED=Y","Sort=A","Dates=H","DateFormat=P","Fill=—","Direction=H","UseDPDF=Y")</f>
        <v>#NAME?</v>
      </c>
      <c r="CK537" s="1" t="e">
        <f ca="1">_xll.BDH($C$528,"TOT_DEBT_TO_TOT_EQY","FQ4 2015","FQ4 2015","Currency=INR","Period=FQ","BEST_FPERIOD_OVERRIDE=FQ","FILING_STATUS=OR","EQY_CONSOLIDATED=Y","Sort=A","Dates=H","DateFormat=P","Fill=—","Direction=H","UseDPDF=Y")</f>
        <v>#NAME?</v>
      </c>
      <c r="CL537" s="1" t="e">
        <f ca="1">_xll.BDH($C$528,"TOT_DEBT_TO_TOT_CAP","FQ4 2015","FQ4 2015","Currency=INR","Period=FQ","BEST_FPERIOD_OVERRIDE=FQ","FILING_STATUS=OR","EQY_CONSOLIDATED=Y","Sort=A","Dates=H","DateFormat=P","Fill=—","Direction=H","UseDPDF=Y")</f>
        <v>#NAME?</v>
      </c>
      <c r="CM537" s="1" t="e">
        <f ca="1">_xll.BDH($C$528,"TOT_DEBT_TO_TOT_ASSET","FQ4 2015","FQ4 2015","Currency=INR","Period=FQ","BEST_FPERIOD_OVERRIDE=FQ","FILING_STATUS=OR","EQY_CONSOLIDATED=Y","Sort=A","Dates=H","DateFormat=P","Fill=—","Direction=H","UseDPDF=Y")</f>
        <v>#NAME?</v>
      </c>
      <c r="CN537" s="1" t="e">
        <f ca="1">_xll.BDH($C$528,"NET_DEBT_TO_SHRHLDR_EQTY","FQ4 2015","FQ4 2015","Currency=INR","Period=FQ","BEST_FPERIOD_OVERRIDE=FQ","FILING_STATUS=OR","EQY_CONSOLIDATED=Y","Sort=A","Dates=H","DateFormat=P","Fill=—","Direction=H","UseDPDF=Y")</f>
        <v>#NAME?</v>
      </c>
      <c r="CO537" s="1" t="e">
        <f ca="1">_xll.BDH($C$528,"NET_DEBT_%_CAPITAL","FQ4 2015","FQ4 2015","Currency=INR","Period=FQ","BEST_FPERIOD_OVERRIDE=FQ","FILING_STATUS=OR","EQY_CONSOLIDATED=Y","Sort=A","Dates=H","DateFormat=P","Fill=—","Direction=H","UseDPDF=Y")</f>
        <v>#NAME?</v>
      </c>
      <c r="CP537" s="2" t="e">
        <f ca="1">_xll.BDH($C$528,"EBITDA","FQ4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37" s="2" t="e">
        <f ca="1">_xll.BDH($C$528,"EBITDA_AFTER_CAPEX","FQ4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37" s="2" t="e">
        <f ca="1">_xll.BDH($C$528,"IS_OPER_INC","FQ4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37" s="1" t="e">
        <f ca="1">_xll.BDH($C$528,"CASH_RATIO","FQ4 2015","FQ4 2015","Currency=INR","Period=FQ","BEST_FPERIOD_OVERRIDE=FQ","FILING_STATUS=OR","EQY_CONSOLIDATED=Y","Sort=A","Dates=H","DateFormat=P","Fill=—","Direction=H","UseDPDF=Y")</f>
        <v>#NAME?</v>
      </c>
      <c r="CT537" s="1" t="e">
        <f ca="1">_xll.BDH($C$528,"CUR_RATIO","FQ4 2015","FQ4 2015","Currency=INR","Period=FQ","BEST_FPERIOD_OVERRIDE=FQ","FILING_STATUS=OR","EQY_CONSOLIDATED=Y","Sort=A","Dates=H","DateFormat=P","Fill=—","Direction=H","UseDPDF=Y")</f>
        <v>#NAME?</v>
      </c>
      <c r="CU537" s="1" t="e">
        <f ca="1">_xll.BDH($C$528,"QUICK_RATIO","FQ4 2015","FQ4 2015","Currency=INR","Period=FQ","BEST_FPERIOD_OVERRIDE=FQ","FILING_STATUS=OR","EQY_CONSOLIDATED=Y","Sort=A","Dates=H","DateFormat=P","Fill=—","Direction=H","UseDPDF=Y")</f>
        <v>#NAME?</v>
      </c>
      <c r="CV537" s="1" t="e">
        <f ca="1">_xll.BDH($C$528,"ALTMAN_Z_SCORE","FQ4 2015","FQ4 2015","Currency=INR","Period=FQ","BEST_FPERIOD_OVERRIDE=FQ","FILING_STATUS=OR","EQY_CONSOLIDATED=Y","Sort=A","Dates=H","DateFormat=P","Fill=—","Direction=H","UseDPDF=Y")</f>
        <v>#NAME?</v>
      </c>
      <c r="CW537" s="3" t="e">
        <f ca="1">_xll.BDH($C$528,"ACCT_RCV_TURN","FQ4 2015","FQ4 2015","Currency=INR","Period=FQ","BEST_FPERIOD_OVERRIDE=FQ","FILING_STATUS=OR","EQY_CONSOLIDATED=Y","FA_ADJUSTED=GAAP","Sort=A","Dates=H","DateFormat=P","Fill=—","Direction=H","UseDPDF=Y")</f>
        <v>#NAME?</v>
      </c>
      <c r="CX537" s="1" t="e">
        <f ca="1">_xll.BDH($C$528,"ACCT_RCV_DAYS","FQ4 2015","FQ4 2015","Currency=INR","Period=FQ","BEST_FPERIOD_OVERRIDE=FQ","FILING_STATUS=OR","EQY_CONSOLIDATED=Y","FA_ADJUSTED=GAAP","Sort=A","Dates=H","DateFormat=P","Fill=—","Direction=H","UseDPDF=Y")</f>
        <v>#NAME?</v>
      </c>
      <c r="CY537" s="3" t="e">
        <f ca="1">_xll.BDH($C$528,"INVENT_TURN","FQ4 2015","FQ4 2015","Currency=INR","Period=FQ","BEST_FPERIOD_OVERRIDE=FQ","FILING_STATUS=OR","EQY_CONSOLIDATED=Y","FA_ADJUSTED=GAAP","Sort=A","Dates=H","DateFormat=P","Fill=—","Direction=H","UseDPDF=Y")</f>
        <v>#NAME?</v>
      </c>
      <c r="CZ537" s="1" t="e">
        <f ca="1">_xll.BDH($C$528,"INVENT_DAYS","FQ4 2015","FQ4 2015","Currency=INR","Period=FQ","BEST_FPERIOD_OVERRIDE=FQ","FILING_STATUS=OR","EQY_CONSOLIDATED=Y","FA_ADJUSTED=GAAP","Sort=A","Dates=H","DateFormat=P","Fill=—","Direction=H","UseDPDF=Y")</f>
        <v>#NAME?</v>
      </c>
      <c r="DA537" s="3" t="e">
        <f ca="1">_xll.BDH($C$528,"ACCOUNTS_PAYABLE_TURNOVER","FQ4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37" s="1" t="e">
        <f ca="1">_xll.BDH($C$528,"ACCOUNTS_PAYABLE_TURNOVER_DAYS","FQ4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37" s="3" t="e">
        <f ca="1">_xll.BDH($C$528,"CASH_CONVERSION_CYCLE","FQ4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37" s="3" t="e">
        <f ca="1">_xll.BDH($C$528,"INV_TO_CASH_DAYS","FQ4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537" s="4" t="e">
        <f ca="1">_xll.BDH($C$528,"BS_INVENTORIES","FQ4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537" s="2" t="e">
        <f ca="1">_xll.BDH($C$528,"INVTRY_RAW_MATERIALS","FQ4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37" s="2" t="e">
        <f ca="1">_xll.BDH($C$528,"INVTRY_IN_PROGRESS","FQ4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37" s="2" t="e">
        <f ca="1">_xll.BDH($C$528,"INVTRY_FINISHED_GOODS","FQ4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37" s="2" t="e">
        <f ca="1">_xll.BDH($C$528,"BS_OTHER_INV","FQ4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38" spans="1:113" x14ac:dyDescent="0.3">
      <c r="A538" s="6"/>
      <c r="B538" s="6"/>
      <c r="C538" s="6"/>
      <c r="D538" s="6" t="s">
        <v>9</v>
      </c>
      <c r="E538" t="s">
        <v>3</v>
      </c>
      <c r="F538" t="e">
        <f ca="1">_xll.BDH($C$528,"RETURN_COM_EQY","FY 2016","FY 2016","Currency=INR","Period=FY","BEST_FPERIOD_OVERRIDE=FY","FILING_STATUS=OR","EQY_CONSOLIDATED=Y","FA_ADJUSTED=GAAP","Sort=A","Dates=H","DateFormat=P","Fill=—","Direction=H","UseDPDF=Y")</f>
        <v>#NAME?</v>
      </c>
      <c r="G538" t="e">
        <f ca="1">_xll.BDH($C$528,"RETURN_ON_ASSET","FY 2016","FY 2016","Currency=INR","Period=FY","BEST_FPERIOD_OVERRIDE=FY","FILING_STATUS=OR","EQY_CONSOLIDATED=Y","FA_ADJUSTED=GAAP","Sort=A","Dates=H","DateFormat=P","Fill=—","Direction=H","UseDPDF=Y")</f>
        <v>#NAME?</v>
      </c>
      <c r="H538" t="e">
        <f ca="1">_xll.BDH($C$528,"RETURN_ON_CAP","FY 2016","FY 2016","Currency=INR","Period=FY","BEST_FPERIOD_OVERRIDE=FY","FILING_STATUS=OR","EQY_CONSOLIDATED=Y","FA_ADJUSTED=GAAP","Sort=A","Dates=H","DateFormat=P","Fill=—","Direction=H","UseDPDF=Y")</f>
        <v>#NAME?</v>
      </c>
      <c r="I538" t="e">
        <f ca="1">_xll.BDH($C$528,"RETURN_ON_INV_CAPITAL","FY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38" t="e">
        <f ca="1">_xll.BDH($C$528,"EBITDA_TO_REVENUE","FY 2016","FY 2016","Currency=INR","Period=FY","BEST_FPERIOD_OVERRIDE=FY","FILING_STATUS=OR","EQY_CONSOLIDATED=Y","FA_ADJUSTED=GAAP","Sort=A","Dates=H","DateFormat=P","Fill=—","Direction=H","UseDPDF=Y")</f>
        <v>#NAME?</v>
      </c>
      <c r="K538" t="e">
        <f ca="1">_xll.BDH($C$528,"OPER_MARGIN","FY 2016","FY 2016","Currency=INR","Period=FY","BEST_FPERIOD_OVERRIDE=FY","FILING_STATUS=OR","EQY_CONSOLIDATED=Y","FA_ADJUSTED=GAAP","Sort=A","Dates=H","DateFormat=P","Fill=—","Direction=H","UseDPDF=Y")</f>
        <v>#NAME?</v>
      </c>
      <c r="L538" t="e">
        <f ca="1">_xll.BDH($C$528,"INCREMENTAL_OPERATING_MARGIN","FY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38" t="e">
        <f ca="1">_xll.BDH($C$528,"PRETAX_INC_TO_NET_SALES","FY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38" t="e">
        <f ca="1">_xll.BDH($C$528,"INC_BEF_XO_ITEMS_TO_NET_SALES","FY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38" t="e">
        <f ca="1">_xll.BDH($C$528,"PROF_MARGIN","FY 2016","FY 2016","Currency=INR","Period=FY","BEST_FPERIOD_OVERRIDE=FY","FILING_STATUS=OR","EQY_CONSOLIDATED=Y","FA_ADJUSTED=GAAP","Sort=A","Dates=H","DateFormat=P","Fill=—","Direction=H","UseDPDF=Y")</f>
        <v>#NAME?</v>
      </c>
      <c r="P538" t="e">
        <f ca="1">_xll.BDH($C$528,"NET_INCOME_TO_COMMON_MARGIN","FY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38" t="e">
        <f ca="1">_xll.BDH($C$528,"EFF_TAX_RATE","FY 2016","FY 2016","Currency=INR","Period=FY","BEST_FPERIOD_OVERRIDE=FY","FILING_STATUS=OR","EQY_CONSOLIDATED=Y","FA_ADJUSTED=GAAP","Sort=A","Dates=H","DateFormat=P","Fill=—","Direction=H","UseDPDF=Y")</f>
        <v>#NAME?</v>
      </c>
      <c r="R538" t="e">
        <f ca="1">_xll.BDH($C$528,"DVD_PAYOUT_RATIO","FY 2016","FY 2016","Currency=INR","Period=FY","BEST_FPERIOD_OVERRIDE=FY","FILING_STATUS=OR","EQY_CONSOLIDATED=Y","FA_ADJUSTED=GAAP","Sort=A","Dates=H","DateFormat=P","Fill=—","Direction=H","UseDPDF=Y")</f>
        <v>#NAME?</v>
      </c>
      <c r="S538" t="e">
        <f ca="1">_xll.BDH($C$528,"SUSTAIN_GROWTH_RT","FY 2016","FY 2016","Currency=INR","Period=FY","BEST_FPERIOD_OVERRIDE=FY","FILING_STATUS=OR","EQY_CONSOLIDATED=Y","FA_ADJUSTED=GAAP","Sort=A","Dates=H","DateFormat=P","Fill=—","Direction=H","UseDPDF=Y")</f>
        <v>#NAME?</v>
      </c>
      <c r="T538" s="1" t="e">
        <f ca="1">_xll.BDH($C$528,"SALES_GROWTH","FY 2016","FY 2016","Currency=INR","Period=FY","BEST_FPERIOD_OVERRIDE=FY","FILING_STATUS=OR","EQY_CONSOLIDATED=Y","FA_ADJUSTED=GAAP","Sort=A","Dates=H","DateFormat=P","Fill=—","Direction=H","UseDPDF=Y")</f>
        <v>#NAME?</v>
      </c>
      <c r="U538" s="1" t="e">
        <f ca="1">_xll.BDH($C$528,"EBITDA_GROWTH","FY 2016","FY 2016","Currency=INR","Period=FY","BEST_FPERIOD_OVERRIDE=FY","FILING_STATUS=OR","EQY_CONSOLIDATED=Y","FA_ADJUSTED=GAAP","Sort=A","Dates=H","DateFormat=P","Fill=—","Direction=H","UseDPDF=Y")</f>
        <v>#NAME?</v>
      </c>
      <c r="V538" s="1" t="e">
        <f ca="1">_xll.BDH($C$528,"OPER_INC_GROWTH","FY 2016","FY 2016","Currency=INR","Period=FY","BEST_FPERIOD_OVERRIDE=FY","FILING_STATUS=OR","EQY_CONSOLIDATED=Y","FA_ADJUSTED=GAAP","Sort=A","Dates=H","DateFormat=P","Fill=—","Direction=H","UseDPDF=Y")</f>
        <v>#NAME?</v>
      </c>
      <c r="W538" s="1" t="e">
        <f ca="1">_xll.BDH($C$528,"EARN_FOR_COM_GROWTH","FY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538" s="1" t="e">
        <f ca="1">_xll.BDH($C$528,"DILUTED_EPS_AFT_XO_ITEMS_GROWTH","FY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38" s="1" t="e">
        <f ca="1">_xll.BDH($C$528,"DIVIDEND_PER_SHARE_1_YEAR_GROWTH","FY 2016","FY 2016","Currency=INR","Period=FY","BEST_FPERIOD_OVERRIDE=FY","FILING_STATUS=OR","EQY_CONSOLIDATED=Y","Sort=A","Dates=H","DateFormat=P","Fill=—","Direction=H","UseDPDF=Y")</f>
        <v>#NAME?</v>
      </c>
      <c r="Z538" s="1" t="e">
        <f ca="1">_xll.BDH($C$528,"ACCOUNTS_RECEIVABLE_GROWTH","FY 2016","FY 2016","Currency=INR","Period=FY","BEST_FPERIOD_OVERRIDE=FY","FILING_STATUS=OR","EQY_CONSOLIDATED=Y","Sort=A","Dates=H","DateFormat=P","Fill=—","Direction=H","UseDPDF=Y")</f>
        <v>#NAME?</v>
      </c>
      <c r="AA538" s="1" t="e">
        <f ca="1">_xll.BDH($C$528,"INVENTORY_GROWTH","FY 2016","FY 2016","Currency=INR","Period=FY","BEST_FPERIOD_OVERRIDE=FY","FILING_STATUS=OR","EQY_CONSOLIDATED=Y","Sort=A","Dates=H","DateFormat=P","Fill=—","Direction=H","UseDPDF=Y")</f>
        <v>#NAME?</v>
      </c>
      <c r="AB538" s="1" t="e">
        <f ca="1">_xll.BDH($C$528,"NET_FIXED_ASSETS_1_YEAR_GROWTH","FY 2016","FY 2016","Currency=INR","Period=FY","BEST_FPERIOD_OVERRIDE=FY","FILING_STATUS=OR","EQY_CONSOLIDATED=Y","Sort=A","Dates=H","DateFormat=P","Fill=—","Direction=H","UseDPDF=Y")</f>
        <v>#NAME?</v>
      </c>
      <c r="AC538" s="1" t="e">
        <f ca="1">_xll.BDH($C$528,"ASSET_GROWTH","FY 2016","FY 2016","Currency=INR","Period=FY","BEST_FPERIOD_OVERRIDE=FY","FILING_STATUS=OR","EQY_CONSOLIDATED=Y","Sort=A","Dates=H","DateFormat=P","Fill=—","Direction=H","UseDPDF=Y")</f>
        <v>#NAME?</v>
      </c>
      <c r="AD538" s="1" t="e">
        <f ca="1">_xll.BDH($C$528,"MODIFIED_WORK_CAP_GROWTH","FY 2016","FY 2016","Currency=INR","Period=FY","BEST_FPERIOD_OVERRIDE=FY","FILING_STATUS=OR","EQY_CONSOLIDATED=Y","Sort=A","Dates=H","DateFormat=P","Fill=—","Direction=H","UseDPDF=Y")</f>
        <v>#NAME?</v>
      </c>
      <c r="AE538" s="1" t="e">
        <f ca="1">_xll.BDH($C$528,"WORK_CAP_GROWTH","FY 2016","FY 2016","Currency=INR","Period=FY","BEST_FPERIOD_OVERRIDE=FY","FILING_STATUS=OR","EQY_CONSOLIDATED=Y","Sort=A","Dates=H","DateFormat=P","Fill=—","Direction=H","UseDPDF=Y")</f>
        <v>#NAME?</v>
      </c>
      <c r="AF538" s="1" t="e">
        <f ca="1">_xll.BDH($C$528,"ACCOUNTS_PAYABLE_GROWTH_1YR","FY 2016","FY 2016","Currency=INR","Period=FY","BEST_FPERIOD_OVERRIDE=FY","FILING_STATUS=OR","EQY_CONSOLIDATED=Y","Sort=A","Dates=H","DateFormat=P","Fill=—","Direction=H","UseDPDF=Y")</f>
        <v>#NAME?</v>
      </c>
      <c r="AG538" s="1" t="e">
        <f ca="1">_xll.BDH($C$528,"SHORT_TERM_DEBT_1_YEAR_GROWTH","FY 2016","FY 2016","Currency=INR","Period=FY","BEST_FPERIOD_OVERRIDE=FY","FILING_STATUS=OR","EQY_CONSOLIDATED=Y","Sort=A","Dates=H","DateFormat=P","Fill=—","Direction=H","UseDPDF=Y")</f>
        <v>#NAME?</v>
      </c>
      <c r="AH538" s="1" t="e">
        <f ca="1">_xll.BDH($C$528,"TOTAL_DEBT_1_YEAR_GROWTH","FY 2016","FY 2016","Currency=INR","Period=FY","BEST_FPERIOD_OVERRIDE=FY","FILING_STATUS=OR","EQY_CONSOLIDATED=Y","Sort=A","Dates=H","DateFormat=P","Fill=—","Direction=H","UseDPDF=Y")</f>
        <v>#NAME?</v>
      </c>
      <c r="AI538" s="1" t="e">
        <f ca="1">_xll.BDH($C$528,"TOTAL_EQUITY_1_YEAR_GROWTH","FY 2016","FY 2016","Currency=INR","Period=FY","BEST_FPERIOD_OVERRIDE=FY","FILING_STATUS=OR","EQY_CONSOLIDATED=Y","Sort=A","Dates=H","DateFormat=P","Fill=—","Direction=H","UseDPDF=Y")</f>
        <v>#NAME?</v>
      </c>
      <c r="AJ538" s="1" t="e">
        <f ca="1">_xll.BDH($C$528,"GROWTH_IN_CAP","FY 2016","FY 2016","Currency=INR","Period=FY","BEST_FPERIOD_OVERRIDE=FY","FILING_STATUS=OR","EQY_CONSOLIDATED=Y","Sort=A","Dates=H","DateFormat=P","Fill=—","Direction=H","UseDPDF=Y")</f>
        <v>#NAME?</v>
      </c>
      <c r="AK538" s="1" t="e">
        <f ca="1">_xll.BDH($C$528,"BVPS_GROWTH","FY 2016","FY 2016","Currency=INR","Period=FY","BEST_FPERIOD_OVERRIDE=FY","FILING_STATUS=OR","EQY_CONSOLIDATED=Y","Sort=A","Dates=H","DateFormat=P","Fill=—","Direction=H","UseDPDF=Y")</f>
        <v>#NAME?</v>
      </c>
      <c r="AL538" s="1" t="e">
        <f ca="1">_xll.BDH($C$528,"CASH_FLOW_GROWTH","FY 2016","FY 2016","Currency=INR","Period=FY","BEST_FPERIOD_OVERRIDE=FY","FILING_STATUS=OR","EQY_CONSOLIDATED=Y","Sort=A","Dates=H","DateFormat=P","Fill=—","Direction=H","UseDPDF=Y")</f>
        <v>#NAME?</v>
      </c>
      <c r="AM538" s="1" t="e">
        <f ca="1">_xll.BDH($C$528,"GEO_GROW_NET_SALES","FY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538" s="1" t="e">
        <f ca="1">_xll.BDH($C$528,"GEO_GROW_EBITDA","FY 2016","FY 2016","Currency=INR","Period=FY","BEST_FPERIOD_OVERRIDE=FY","FILING_STATUS=OR","EQY_CONSOLIDATED=Y","FA_ADJUSTED=GAAP","Sort=A","Dates=H","DateFormat=P","Fill=—","Direction=H","UseDPDF=Y")</f>
        <v>#NAME?</v>
      </c>
      <c r="AO538" s="1" t="e">
        <f ca="1">_xll.BDH($C$528,"GEO_GROW_OPER_INC","FY 2016","FY 2016","Currency=INR","Period=FY","BEST_FPERIOD_OVERRIDE=FY","FILING_STATUS=OR","EQY_CONSOLIDATED=Y","FA_ADJUSTED=GAAP","Sort=A","Dates=H","DateFormat=P","Fill=—","Direction=H","UseDPDF=Y")</f>
        <v>#NAME?</v>
      </c>
      <c r="AP538" s="1" t="e">
        <f ca="1">_xll.BDH($C$528,"NET_INCOME_TO_COMMON_5_YR_GROWTH","FY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38" s="1" t="e">
        <f ca="1">_xll.BDH($C$528,"5Y_GEO_GROWTH_DILUTED_EPS","FY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38" s="1" t="e">
        <f ca="1">_xll.BDH($C$528,"GEO_GROW_DVD_PER_SH","FY 2016","FY 2016","Currency=INR","Period=FY","BEST_FPERIOD_OVERRIDE=FY","FILING_STATUS=OR","EQY_CONSOLIDATED=Y","Sort=A","Dates=H","DateFormat=P","Fill=—","Direction=H","UseDPDF=Y")</f>
        <v>#NAME?</v>
      </c>
      <c r="AS538" s="1" t="e">
        <f ca="1">_xll.BDH($C$528,"ACCOUNTS_RECEIVABLE_5_YR_GROWTH","FY 2016","FY 2016","Currency=INR","Period=FY","BEST_FPERIOD_OVERRIDE=FY","FILING_STATUS=OR","EQY_CONSOLIDATED=Y","Sort=A","Dates=H","DateFormat=P","Fill=—","Direction=H","UseDPDF=Y")</f>
        <v>#NAME?</v>
      </c>
      <c r="AT538" s="1" t="e">
        <f ca="1">_xll.BDH($C$528,"INVENTORY_5_YEAR_GROWTH","FY 2016","FY 2016","Currency=INR","Period=FY","BEST_FPERIOD_OVERRIDE=FY","FILING_STATUS=OR","EQY_CONSOLIDATED=Y","Sort=A","Dates=H","DateFormat=P","Fill=—","Direction=H","UseDPDF=Y")</f>
        <v>#NAME?</v>
      </c>
      <c r="AU538" s="1" t="e">
        <f ca="1">_xll.BDH($C$528,"NET_FIXED_ASSETS_5_YEAR_GROWTH","FY 2016","FY 2016","Currency=INR","Period=FY","BEST_FPERIOD_OVERRIDE=FY","FILING_STATUS=OR","EQY_CONSOLIDATED=Y","Sort=A","Dates=H","DateFormat=P","Fill=—","Direction=H","UseDPDF=Y")</f>
        <v>#NAME?</v>
      </c>
      <c r="AV538" s="1" t="e">
        <f ca="1">_xll.BDH($C$528,"GEO_GROW_TOT_ASSET","FY 2016","FY 2016","Currency=INR","Period=FY","BEST_FPERIOD_OVERRIDE=FY","FILING_STATUS=OR","EQY_CONSOLIDATED=Y","Sort=A","Dates=H","DateFormat=P","Fill=—","Direction=H","UseDPDF=Y")</f>
        <v>#NAME?</v>
      </c>
      <c r="AW538" s="1" t="e">
        <f ca="1">_xll.BDH($C$528,"MODIFIED_WORKING_CPTL_5YR_GRWTH","FY 2016","FY 2016","Currency=INR","Period=FY","BEST_FPERIOD_OVERRIDE=FY","FILING_STATUS=OR","EQY_CONSOLIDATED=Y","Sort=A","Dates=H","DateFormat=P","Fill=—","Direction=H","UseDPDF=Y")</f>
        <v>#NAME?</v>
      </c>
      <c r="AX538" s="1" t="e">
        <f ca="1">_xll.BDH($C$528,"WORKING_CAPITAL_5_YEAR_GROWTH","FY 2016","FY 2016","Currency=INR","Period=FY","BEST_FPERIOD_OVERRIDE=FY","FILING_STATUS=OR","EQY_CONSOLIDATED=Y","Sort=A","Dates=H","DateFormat=P","Fill=—","Direction=H","UseDPDF=Y")</f>
        <v>#NAME?</v>
      </c>
      <c r="AY538" s="1" t="e">
        <f ca="1">_xll.BDH($C$528,"ACCOUNTS_PAYABLE_5_YEAR_GROWTH","FY 2016","FY 2016","Currency=INR","Period=FY","BEST_FPERIOD_OVERRIDE=FY","FILING_STATUS=OR","EQY_CONSOLIDATED=Y","Sort=A","Dates=H","DateFormat=P","Fill=—","Direction=H","UseDPDF=Y")</f>
        <v>#NAME?</v>
      </c>
      <c r="AZ538" s="1" t="e">
        <f ca="1">_xll.BDH($C$528,"SHORT_TERM_DEBT_5_YEAR_GROWTH","FY 2016","FY 2016","Currency=INR","Period=FY","BEST_FPERIOD_OVERRIDE=FY","FILING_STATUS=OR","EQY_CONSOLIDATED=Y","Sort=A","Dates=H","DateFormat=P","Fill=—","Direction=H","UseDPDF=Y")</f>
        <v>#NAME?</v>
      </c>
      <c r="BA538" s="1" t="e">
        <f ca="1">_xll.BDH($C$528,"TOTAL_DEBT_5_YEAR_GROWTH","FY 2016","FY 2016","Currency=INR","Period=FY","BEST_FPERIOD_OVERRIDE=FY","FILING_STATUS=OR","EQY_CONSOLIDATED=Y","Sort=A","Dates=H","DateFormat=P","Fill=—","Direction=H","UseDPDF=Y")</f>
        <v>#NAME?</v>
      </c>
      <c r="BB538" s="1" t="e">
        <f ca="1">_xll.BDH($C$528,"GEO_GROW_TOT_SHRHLDR_EQY","FY 2016","FY 2016","Currency=INR","Period=FY","BEST_FPERIOD_OVERRIDE=FY","FILING_STATUS=OR","EQY_CONSOLIDATED=Y","Sort=A","Dates=H","DateFormat=P","Fill=—","Direction=H","UseDPDF=Y")</f>
        <v>#NAME?</v>
      </c>
      <c r="BC538" s="1" t="e">
        <f ca="1">_xll.BDH($C$528,"TOTAL_CAPITAL_5_YEAR_GROWTH","FY 2016","FY 2016","Currency=INR","Period=FY","BEST_FPERIOD_OVERRIDE=FY","FILING_STATUS=OR","EQY_CONSOLIDATED=Y","Sort=A","Dates=H","DateFormat=P","Fill=—","Direction=H","UseDPDF=Y")</f>
        <v>#NAME?</v>
      </c>
      <c r="BD538" s="1" t="e">
        <f ca="1">_xll.BDH($C$528,"GEO_GROW_BOOK_VAL","FY 2016","FY 2016","Currency=INR","Period=FY","BEST_FPERIOD_OVERRIDE=FY","FILING_STATUS=OR","EQY_CONSOLIDATED=Y","Sort=A","Dates=H","DateFormat=P","Fill=—","Direction=H","UseDPDF=Y")</f>
        <v>#NAME?</v>
      </c>
      <c r="BE538" s="1" t="e">
        <f ca="1">_xll.BDH($C$528,"GEO_GROW_CASH_OPER_ACT","FY 2016","FY 2016","Currency=INR","Period=FY","BEST_FPERIOD_OVERRIDE=FY","FILING_STATUS=OR","EQY_CONSOLIDATED=Y","Sort=A","Dates=H","DateFormat=P","Fill=—","Direction=H","UseDPDF=Y")</f>
        <v>#NAME?</v>
      </c>
      <c r="BF538" s="1" t="e">
        <f ca="1">_xll.BDH($C$528,"REVENUE_SEQUENTIAL_GROWTH","FY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38" s="1" t="e">
        <f ca="1">_xll.BDH($C$528,"EBITDA_SEQUENTIAL_GROWTH","FY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38" s="1" t="e">
        <f ca="1">_xll.BDH($C$528,"OPERATING_INCOME_SEQ_GROWTH","FY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38" s="1" t="e">
        <f ca="1">_xll.BDH($C$528,"NET_INCOME_TO_COMMON_SEQ_GROWTH","FY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38" s="1" t="e">
        <f ca="1">_xll.BDH($C$528,"EPS_DILUTED_SEQUENTIAL_GROWTH","FY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38" s="1" t="e">
        <f ca="1">_xll.BDH($C$528,"DPS_SEQUENTIAL_GROWTH","FY 2016","FY 2016","Currency=INR","Period=FY","BEST_FPERIOD_OVERRIDE=FY","FILING_STATUS=OR","EQY_CONSOLIDATED=Y","Sort=A","Dates=H","DateFormat=P","Fill=—","Direction=H","UseDPDF=Y")</f>
        <v>#NAME?</v>
      </c>
      <c r="BL538" s="1" t="e">
        <f ca="1">_xll.BDH($C$528,"ACCOUNTS_RECEIVABLE_SEQ_GROWTH","FY 2016","FY 2016","Currency=INR","Period=FY","BEST_FPERIOD_OVERRIDE=FY","FILING_STATUS=OR","EQY_CONSOLIDATED=Y","Sort=A","Dates=H","DateFormat=P","Fill=—","Direction=H","UseDPDF=Y")</f>
        <v>#NAME?</v>
      </c>
      <c r="BM538" s="1" t="e">
        <f ca="1">_xll.BDH($C$528,"INVENTORY_SEQUENTIAL_GROWTH","FY 2016","FY 2016","Currency=INR","Period=FY","BEST_FPERIOD_OVERRIDE=FY","FILING_STATUS=OR","EQY_CONSOLIDATED=Y","Sort=A","Dates=H","DateFormat=P","Fill=—","Direction=H","UseDPDF=Y")</f>
        <v>#NAME?</v>
      </c>
      <c r="BN538" s="1" t="e">
        <f ca="1">_xll.BDH($C$528,"FIXED_ASSETS_SEQUENTIAL_GROWTH","FY 2016","FY 2016","Currency=INR","Period=FY","BEST_FPERIOD_OVERRIDE=FY","FILING_STATUS=OR","EQY_CONSOLIDATED=Y","Sort=A","Dates=H","DateFormat=P","Fill=—","Direction=H","UseDPDF=Y")</f>
        <v>#NAME?</v>
      </c>
      <c r="BO538" s="1" t="e">
        <f ca="1">_xll.BDH($C$528,"TOTAL_ASSETS_SEQUENTIAL_GROWTH","FY 2016","FY 2016","Currency=INR","Period=FY","BEST_FPERIOD_OVERRIDE=FY","FILING_STATUS=OR","EQY_CONSOLIDATED=Y","Sort=A","Dates=H","DateFormat=P","Fill=—","Direction=H","UseDPDF=Y")</f>
        <v>#NAME?</v>
      </c>
      <c r="BP538" s="1" t="e">
        <f ca="1">_xll.BDH($C$528,"MODIFIED_WORKING_CPTL_SEQ_GRWTH","FY 2016","FY 2016","Currency=INR","Period=FY","BEST_FPERIOD_OVERRIDE=FY","FILING_STATUS=OR","EQY_CONSOLIDATED=Y","Sort=A","Dates=H","DateFormat=P","Fill=—","Direction=H","UseDPDF=Y")</f>
        <v>#NAME?</v>
      </c>
      <c r="BQ538" s="1" t="e">
        <f ca="1">_xll.BDH($C$528,"WORKING_CAPITAL_SEQ_GROWTH","FY 2016","FY 2016","Currency=INR","Period=FY","BEST_FPERIOD_OVERRIDE=FY","FILING_STATUS=OR","EQY_CONSOLIDATED=Y","Sort=A","Dates=H","DateFormat=P","Fill=—","Direction=H","UseDPDF=Y")</f>
        <v>#NAME?</v>
      </c>
      <c r="BR538" s="1" t="e">
        <f ca="1">_xll.BDH($C$528,"ACCOUNTS_PAYABLE_SEQ_GROWTH","FY 2016","FY 2016","Currency=INR","Period=FY","BEST_FPERIOD_OVERRIDE=FY","FILING_STATUS=OR","EQY_CONSOLIDATED=Y","Sort=A","Dates=H","DateFormat=P","Fill=—","Direction=H","UseDPDF=Y")</f>
        <v>#NAME?</v>
      </c>
      <c r="BS538" s="1" t="e">
        <f ca="1">_xll.BDH($C$528,"ST_DEBT_SEQUENTIAL_GROWTH","FY 2016","FY 2016","Currency=INR","Period=FY","BEST_FPERIOD_OVERRIDE=FY","FILING_STATUS=OR","EQY_CONSOLIDATED=Y","Sort=A","Dates=H","DateFormat=P","Fill=—","Direction=H","UseDPDF=Y")</f>
        <v>#NAME?</v>
      </c>
      <c r="BT538" s="1" t="e">
        <f ca="1">_xll.BDH($C$528,"TOTAL_DEBT_SEQUENTIAL_GROWTH","FY 2016","FY 2016","Currency=INR","Period=FY","BEST_FPERIOD_OVERRIDE=FY","FILING_STATUS=OR","EQY_CONSOLIDATED=Y","Sort=A","Dates=H","DateFormat=P","Fill=—","Direction=H","UseDPDF=Y")</f>
        <v>#NAME?</v>
      </c>
      <c r="BU538" s="1" t="e">
        <f ca="1">_xll.BDH($C$528,"TOTAL_EQUITY_SEQUENTIAL_GROWTH","FY 2016","FY 2016","Currency=INR","Period=FY","BEST_FPERIOD_OVERRIDE=FY","FILING_STATUS=OR","EQY_CONSOLIDATED=Y","Sort=A","Dates=H","DateFormat=P","Fill=—","Direction=H","UseDPDF=Y")</f>
        <v>#NAME?</v>
      </c>
      <c r="BV538" s="1" t="e">
        <f ca="1">_xll.BDH($C$528,"TOTAL_CAPITAL_SEQUENTIAL_GROWTH","FY 2016","FY 2016","Currency=INR","Period=FY","BEST_FPERIOD_OVERRIDE=FY","FILING_STATUS=OR","EQY_CONSOLIDATED=Y","Sort=A","Dates=H","DateFormat=P","Fill=—","Direction=H","UseDPDF=Y")</f>
        <v>#NAME?</v>
      </c>
      <c r="BW538" s="1" t="e">
        <f ca="1">_xll.BDH($C$528,"BPS_SEQUENTIAL_GROWTH","FY 2016","FY 2016","Currency=INR","Period=FY","BEST_FPERIOD_OVERRIDE=FY","FILING_STATUS=OR","EQY_CONSOLIDATED=Y","Sort=A","Dates=H","DateFormat=P","Fill=—","Direction=H","UseDPDF=Y")</f>
        <v>#NAME?</v>
      </c>
      <c r="BX538" s="1" t="e">
        <f ca="1">_xll.BDH($C$528,"CFO_SEQUENTIAL_GROWTH","FY 2016","FY 2016","Currency=INR","Period=FY","BEST_FPERIOD_OVERRIDE=FY","FILING_STATUS=OR","EQY_CONSOLIDATED=Y","Sort=A","Dates=H","DateFormat=P","Fill=—","Direction=H","UseDPDF=Y")</f>
        <v>#NAME?</v>
      </c>
      <c r="BY538" s="2" t="e">
        <f ca="1">_xll.BDH($C$528,"SHORT_AND_LONG_TERM_DEBT","FY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38" s="2" t="e">
        <f ca="1">_xll.BDH($C$528,"BS_ST_BORROW","FY 2016","FY 2016","Currency=INR","Period=FY","BEST_FPERIOD_OVERRIDE=FY","FILING_STATUS=OR","EQY_CONSOLIDATED=Y","SCALING_FORMAT=MLN","Sort=A","Dates=H","DateFormat=P","Fill=—","Direction=H","UseDPDF=Y")</f>
        <v>#NAME?</v>
      </c>
      <c r="CA538" s="2" t="e">
        <f ca="1">_xll.BDH($C$528,"BS_LT_BORROW","FY 2016","FY 2016","Currency=INR","Period=FY","BEST_FPERIOD_OVERRIDE=FY","FILING_STATUS=OR","EQY_CONSOLIDATED=Y","SCALING_FORMAT=MLN","Sort=A","Dates=H","DateFormat=P","Fill=—","Direction=H","UseDPDF=Y")</f>
        <v>#NAME?</v>
      </c>
      <c r="CB538" s="1" t="e">
        <f ca="1">_xll.BDH($C$528,"TOT_DEBT_TO_EBITDA","FY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538" s="1" t="e">
        <f ca="1">_xll.BDH($C$528,"NET_DEBT_TO_EBITDA","FY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538" s="1" t="e">
        <f ca="1">_xll.BDH($C$528,"TOTAL_DEBT_TO_EBIT","FY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538" s="1" t="e">
        <f ca="1">_xll.BDH($C$528,"NET_DEBT_TO_EBIT","FY 2016","FY 2016","Currency=INR","Period=FY","BEST_FPERIOD_OVERRIDE=FY","FILING_STATUS=OR","EQY_CONSOLIDATED=Y","FA_ADJUSTED=GAAP","Sort=A","Dates=H","DateFormat=P","Fill=—","Direction=H","UseDPDF=Y")</f>
        <v>#NAME?</v>
      </c>
      <c r="CF538" s="1" t="e">
        <f ca="1">_xll.BDH($C$528,"EBITDA_TO_INTEREST_EXPN","FY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38" s="1" t="e">
        <f ca="1">_xll.BDH($C$528,"COM_EQY_TO_TOT_ASSET","FY 2016","FY 2016","Currency=INR","Period=FY","BEST_FPERIOD_OVERRIDE=FY","FILING_STATUS=OR","EQY_CONSOLIDATED=Y","Sort=A","Dates=H","DateFormat=P","Fill=—","Direction=H","UseDPDF=Y")</f>
        <v>#NAME?</v>
      </c>
      <c r="CH538" s="1" t="e">
        <f ca="1">_xll.BDH($C$528,"LT_DEBT_TO_TOT_EQY","FY 2016","FY 2016","Currency=INR","Period=FY","BEST_FPERIOD_OVERRIDE=FY","FILING_STATUS=OR","EQY_CONSOLIDATED=Y","Sort=A","Dates=H","DateFormat=P","Fill=—","Direction=H","UseDPDF=Y")</f>
        <v>#NAME?</v>
      </c>
      <c r="CI538" s="1" t="e">
        <f ca="1">_xll.BDH($C$528,"LT_DEBT_TO_TOT_CAP","FY 2016","FY 2016","Currency=INR","Period=FY","BEST_FPERIOD_OVERRIDE=FY","FILING_STATUS=OR","EQY_CONSOLIDATED=Y","Sort=A","Dates=H","DateFormat=P","Fill=—","Direction=H","UseDPDF=Y")</f>
        <v>#NAME?</v>
      </c>
      <c r="CJ538" s="1" t="e">
        <f ca="1">_xll.BDH($C$528,"LT_DEBT_TO_TOT_ASSET","FY 2016","FY 2016","Currency=INR","Period=FY","BEST_FPERIOD_OVERRIDE=FY","FILING_STATUS=OR","EQY_CONSOLIDATED=Y","Sort=A","Dates=H","DateFormat=P","Fill=—","Direction=H","UseDPDF=Y")</f>
        <v>#NAME?</v>
      </c>
      <c r="CK538" s="1" t="e">
        <f ca="1">_xll.BDH($C$528,"TOT_DEBT_TO_TOT_EQY","FY 2016","FY 2016","Currency=INR","Period=FY","BEST_FPERIOD_OVERRIDE=FY","FILING_STATUS=OR","EQY_CONSOLIDATED=Y","Sort=A","Dates=H","DateFormat=P","Fill=—","Direction=H","UseDPDF=Y")</f>
        <v>#NAME?</v>
      </c>
      <c r="CL538" s="1" t="e">
        <f ca="1">_xll.BDH($C$528,"TOT_DEBT_TO_TOT_CAP","FY 2016","FY 2016","Currency=INR","Period=FY","BEST_FPERIOD_OVERRIDE=FY","FILING_STATUS=OR","EQY_CONSOLIDATED=Y","Sort=A","Dates=H","DateFormat=P","Fill=—","Direction=H","UseDPDF=Y")</f>
        <v>#NAME?</v>
      </c>
      <c r="CM538" s="1" t="e">
        <f ca="1">_xll.BDH($C$528,"TOT_DEBT_TO_TOT_ASSET","FY 2016","FY 2016","Currency=INR","Period=FY","BEST_FPERIOD_OVERRIDE=FY","FILING_STATUS=OR","EQY_CONSOLIDATED=Y","Sort=A","Dates=H","DateFormat=P","Fill=—","Direction=H","UseDPDF=Y")</f>
        <v>#NAME?</v>
      </c>
      <c r="CN538" s="1" t="e">
        <f ca="1">_xll.BDH($C$528,"NET_DEBT_TO_SHRHLDR_EQTY","FY 2016","FY 2016","Currency=INR","Period=FY","BEST_FPERIOD_OVERRIDE=FY","FILING_STATUS=OR","EQY_CONSOLIDATED=Y","Sort=A","Dates=H","DateFormat=P","Fill=—","Direction=H","UseDPDF=Y")</f>
        <v>#NAME?</v>
      </c>
      <c r="CO538" s="1" t="e">
        <f ca="1">_xll.BDH($C$528,"NET_DEBT_%_CAPITAL","FY 2016","FY 2016","Currency=INR","Period=FY","BEST_FPERIOD_OVERRIDE=FY","FILING_STATUS=OR","EQY_CONSOLIDATED=Y","Sort=A","Dates=H","DateFormat=P","Fill=—","Direction=H","UseDPDF=Y")</f>
        <v>#NAME?</v>
      </c>
      <c r="CP538" s="2" t="e">
        <f ca="1">_xll.BDH($C$528,"EBITDA","FY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38" s="2" t="e">
        <f ca="1">_xll.BDH($C$528,"EBITDA_AFTER_CAPEX","FY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38" s="2" t="e">
        <f ca="1">_xll.BDH($C$528,"IS_OPER_INC","FY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38" s="1" t="e">
        <f ca="1">_xll.BDH($C$528,"CASH_RATIO","FY 2016","FY 2016","Currency=INR","Period=FY","BEST_FPERIOD_OVERRIDE=FY","FILING_STATUS=OR","EQY_CONSOLIDATED=Y","Sort=A","Dates=H","DateFormat=P","Fill=—","Direction=H","UseDPDF=Y")</f>
        <v>#NAME?</v>
      </c>
      <c r="CT538" s="1" t="e">
        <f ca="1">_xll.BDH($C$528,"CUR_RATIO","FY 2016","FY 2016","Currency=INR","Period=FY","BEST_FPERIOD_OVERRIDE=FY","FILING_STATUS=OR","EQY_CONSOLIDATED=Y","Sort=A","Dates=H","DateFormat=P","Fill=—","Direction=H","UseDPDF=Y")</f>
        <v>#NAME?</v>
      </c>
      <c r="CU538" s="1" t="e">
        <f ca="1">_xll.BDH($C$528,"QUICK_RATIO","FY 2016","FY 2016","Currency=INR","Period=FY","BEST_FPERIOD_OVERRIDE=FY","FILING_STATUS=OR","EQY_CONSOLIDATED=Y","Sort=A","Dates=H","DateFormat=P","Fill=—","Direction=H","UseDPDF=Y")</f>
        <v>#NAME?</v>
      </c>
      <c r="CV538" s="1" t="e">
        <f ca="1">_xll.BDH($C$528,"ALTMAN_Z_SCORE","FY 2016","FY 2016","Currency=INR","Period=FY","BEST_FPERIOD_OVERRIDE=FY","FILING_STATUS=OR","EQY_CONSOLIDATED=Y","Sort=A","Dates=H","DateFormat=P","Fill=—","Direction=H","UseDPDF=Y")</f>
        <v>#NAME?</v>
      </c>
      <c r="CW538" s="3" t="e">
        <f ca="1">_xll.BDH($C$528,"ACCT_RCV_TURN","FY 2016","FY 2016","Currency=INR","Period=FY","BEST_FPERIOD_OVERRIDE=FY","FILING_STATUS=OR","EQY_CONSOLIDATED=Y","FA_ADJUSTED=GAAP","Sort=A","Dates=H","DateFormat=P","Fill=—","Direction=H","UseDPDF=Y")</f>
        <v>#NAME?</v>
      </c>
      <c r="CX538" s="1" t="e">
        <f ca="1">_xll.BDH($C$528,"ACCT_RCV_DAYS","FY 2016","FY 2016","Currency=INR","Period=FY","BEST_FPERIOD_OVERRIDE=FY","FILING_STATUS=OR","EQY_CONSOLIDATED=Y","FA_ADJUSTED=GAAP","Sort=A","Dates=H","DateFormat=P","Fill=—","Direction=H","UseDPDF=Y")</f>
        <v>#NAME?</v>
      </c>
      <c r="CY538" s="3" t="e">
        <f ca="1">_xll.BDH($C$528,"INVENT_TURN","FY 2016","FY 2016","Currency=INR","Period=FY","BEST_FPERIOD_OVERRIDE=FY","FILING_STATUS=OR","EQY_CONSOLIDATED=Y","FA_ADJUSTED=GAAP","Sort=A","Dates=H","DateFormat=P","Fill=—","Direction=H","UseDPDF=Y")</f>
        <v>#NAME?</v>
      </c>
      <c r="CZ538" s="1" t="e">
        <f ca="1">_xll.BDH($C$528,"INVENT_DAYS","FY 2016","FY 2016","Currency=INR","Period=FY","BEST_FPERIOD_OVERRIDE=FY","FILING_STATUS=OR","EQY_CONSOLIDATED=Y","FA_ADJUSTED=GAAP","Sort=A","Dates=H","DateFormat=P","Fill=—","Direction=H","UseDPDF=Y")</f>
        <v>#NAME?</v>
      </c>
      <c r="DA538" s="3" t="e">
        <f ca="1">_xll.BDH($C$528,"ACCOUNTS_PAYABLE_TURNOVER","FY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38" s="1" t="e">
        <f ca="1">_xll.BDH($C$528,"ACCOUNTS_PAYABLE_TURNOVER_DAYS","FY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38" s="3" t="e">
        <f ca="1">_xll.BDH($C$528,"CASH_CONVERSION_CYCLE","FY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38" s="3" t="e">
        <f ca="1">_xll.BDH($C$528,"INV_TO_CASH_DAYS","FY 2016","FY 2016","Currency=INR","Period=FY","BEST_FPERIOD_OVERRIDE=FY","FILING_STATUS=OR","EQY_CONSOLIDATED=Y","FA_ADJUSTED=GAAP","Sort=A","Dates=H","DateFormat=P","Fill=—","Direction=H","UseDPDF=Y")</f>
        <v>#NAME?</v>
      </c>
      <c r="DE538" s="4" t="e">
        <f ca="1">_xll.BDH($C$528,"BS_INVENTORIES","FY 2016","FY 2016","Currency=INR","Period=FY","BEST_FPERIOD_OVERRIDE=FY","FILING_STATUS=OR","EQY_CONSOLIDATED=Y","SCALING_FORMAT=MLN","Sort=A","Dates=H","DateFormat=P","Fill=—","Direction=H","UseDPDF=Y")</f>
        <v>#NAME?</v>
      </c>
      <c r="DF538" s="2" t="e">
        <f ca="1">_xll.BDH($C$528,"INVTRY_RAW_MATERIALS","FY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38" s="2" t="e">
        <f ca="1">_xll.BDH($C$528,"INVTRY_IN_PROGRESS","FY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38" s="2" t="e">
        <f ca="1">_xll.BDH($C$528,"INVTRY_FINISHED_GOODS","FY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38" s="2" t="e">
        <f ca="1">_xll.BDH($C$528,"BS_OTHER_INV","FY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39" spans="1:113" x14ac:dyDescent="0.3">
      <c r="A539" s="6"/>
      <c r="B539" s="6"/>
      <c r="C539" s="6"/>
      <c r="D539" s="6"/>
      <c r="E539" t="s">
        <v>4</v>
      </c>
      <c r="F539" t="e">
        <f ca="1">_xll.BDH($C$528,"RETURN_COM_EQY","FQ1 2016","FQ1 2016","Currency=INR","Period=FQ","BEST_FPERIOD_OVERRIDE=FQ","FILING_STATUS=OR","EQY_CONSOLIDATED=Y","FA_ADJUSTED=GAAP","Sort=A","Dates=H","DateFormat=P","Fill=—","Direction=H","UseDPDF=Y")</f>
        <v>#NAME?</v>
      </c>
      <c r="G539" t="e">
        <f ca="1">_xll.BDH($C$528,"RETURN_ON_ASSET","FQ1 2016","FQ1 2016","Currency=INR","Period=FQ","BEST_FPERIOD_OVERRIDE=FQ","FILING_STATUS=OR","EQY_CONSOLIDATED=Y","FA_ADJUSTED=GAAP","Sort=A","Dates=H","DateFormat=P","Fill=—","Direction=H","UseDPDF=Y")</f>
        <v>#NAME?</v>
      </c>
      <c r="H539" t="e">
        <f ca="1">_xll.BDH($C$528,"RETURN_ON_CAP","FQ1 2016","FQ1 2016","Currency=INR","Period=FQ","BEST_FPERIOD_OVERRIDE=FQ","FILING_STATUS=OR","EQY_CONSOLIDATED=Y","FA_ADJUSTED=GAAP","Sort=A","Dates=H","DateFormat=P","Fill=—","Direction=H","UseDPDF=Y")</f>
        <v>#NAME?</v>
      </c>
      <c r="I539" t="e">
        <f ca="1">_xll.BDH($C$528,"RETURN_ON_INV_CAPITAL","FQ1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39" t="e">
        <f ca="1">_xll.BDH($C$528,"EBITDA_TO_REVENUE","FQ1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539" t="e">
        <f ca="1">_xll.BDH($C$528,"OPER_MARGIN","FQ1 2016","FQ1 2016","Currency=INR","Period=FQ","BEST_FPERIOD_OVERRIDE=FQ","FILING_STATUS=OR","EQY_CONSOLIDATED=Y","FA_ADJUSTED=GAAP","Sort=A","Dates=H","DateFormat=P","Fill=—","Direction=H","UseDPDF=Y")</f>
        <v>#NAME?</v>
      </c>
      <c r="L539" t="e">
        <f ca="1">_xll.BDH($C$528,"INCREMENTAL_OPERATING_MARGIN","FQ1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39" t="e">
        <f ca="1">_xll.BDH($C$528,"PRETAX_INC_TO_NET_SALES","FQ1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39" t="e">
        <f ca="1">_xll.BDH($C$528,"INC_BEF_XO_ITEMS_TO_NET_SALES","FQ1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39" t="e">
        <f ca="1">_xll.BDH($C$528,"PROF_MARGIN","FQ1 2016","FQ1 2016","Currency=INR","Period=FQ","BEST_FPERIOD_OVERRIDE=FQ","FILING_STATUS=OR","EQY_CONSOLIDATED=Y","FA_ADJUSTED=GAAP","Sort=A","Dates=H","DateFormat=P","Fill=—","Direction=H","UseDPDF=Y")</f>
        <v>#NAME?</v>
      </c>
      <c r="P539" t="e">
        <f ca="1">_xll.BDH($C$528,"NET_INCOME_TO_COMMON_MARGIN","FQ1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39" t="e">
        <f ca="1">_xll.BDH($C$528,"EFF_TAX_RATE","FQ1 2016","FQ1 2016","Currency=INR","Period=FQ","BEST_FPERIOD_OVERRIDE=FQ","FILING_STATUS=OR","EQY_CONSOLIDATED=Y","FA_ADJUSTED=GAAP","Sort=A","Dates=H","DateFormat=P","Fill=—","Direction=H","UseDPDF=Y")</f>
        <v>#NAME?</v>
      </c>
      <c r="R539" t="e">
        <f ca="1">_xll.BDH($C$528,"DVD_PAYOUT_RATIO","FQ1 2016","FQ1 2016","Currency=INR","Period=FQ","BEST_FPERIOD_OVERRIDE=FQ","FILING_STATUS=OR","EQY_CONSOLIDATED=Y","FA_ADJUSTED=GAAP","Sort=A","Dates=H","DateFormat=P","Fill=—","Direction=H","UseDPDF=Y")</f>
        <v>#NAME?</v>
      </c>
      <c r="S539" t="e">
        <f ca="1">_xll.BDH($C$528,"SUSTAIN_GROWTH_RT","FQ1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539" s="1" t="e">
        <f ca="1">_xll.BDH($C$528,"SALES_GROWTH","FQ1 2016","FQ1 2016","Currency=INR","Period=FQ","BEST_FPERIOD_OVERRIDE=FQ","FILING_STATUS=OR","EQY_CONSOLIDATED=Y","FA_ADJUSTED=GAAP","Sort=A","Dates=H","DateFormat=P","Fill=—","Direction=H","UseDPDF=Y")</f>
        <v>#NAME?</v>
      </c>
      <c r="U539" s="1" t="e">
        <f ca="1">_xll.BDH($C$528,"EBITDA_GROWTH","FQ1 2016","FQ1 2016","Currency=INR","Period=FQ","BEST_FPERIOD_OVERRIDE=FQ","FILING_STATUS=OR","EQY_CONSOLIDATED=Y","FA_ADJUSTED=GAAP","Sort=A","Dates=H","DateFormat=P","Fill=—","Direction=H","UseDPDF=Y")</f>
        <v>#NAME?</v>
      </c>
      <c r="V539" s="1" t="e">
        <f ca="1">_xll.BDH($C$528,"OPER_INC_GROWTH","FQ1 2016","FQ1 2016","Currency=INR","Period=FQ","BEST_FPERIOD_OVERRIDE=FQ","FILING_STATUS=OR","EQY_CONSOLIDATED=Y","FA_ADJUSTED=GAAP","Sort=A","Dates=H","DateFormat=P","Fill=—","Direction=H","UseDPDF=Y")</f>
        <v>#NAME?</v>
      </c>
      <c r="W539" s="1" t="e">
        <f ca="1">_xll.BDH($C$528,"EARN_FOR_COM_GROWTH","FQ1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39" s="1" t="e">
        <f ca="1">_xll.BDH($C$528,"DILUTED_EPS_AFT_XO_ITEMS_GROWTH","FQ1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39" s="1" t="e">
        <f ca="1">_xll.BDH($C$528,"DIVIDEND_PER_SHARE_1_YEAR_GROWTH","FQ1 2016","FQ1 2016","Currency=INR","Period=FQ","BEST_FPERIOD_OVERRIDE=FQ","FILING_STATUS=OR","EQY_CONSOLIDATED=Y","Sort=A","Dates=H","DateFormat=P","Fill=—","Direction=H","UseDPDF=Y")</f>
        <v>#NAME?</v>
      </c>
      <c r="Z539" s="1" t="e">
        <f ca="1">_xll.BDH($C$528,"ACCOUNTS_RECEIVABLE_GROWTH","FQ1 2016","FQ1 2016","Currency=INR","Period=FQ","BEST_FPERIOD_OVERRIDE=FQ","FILING_STATUS=OR","EQY_CONSOLIDATED=Y","Sort=A","Dates=H","DateFormat=P","Fill=—","Direction=H","UseDPDF=Y")</f>
        <v>#NAME?</v>
      </c>
      <c r="AA539" s="1" t="e">
        <f ca="1">_xll.BDH($C$528,"INVENTORY_GROWTH","FQ1 2016","FQ1 2016","Currency=INR","Period=FQ","BEST_FPERIOD_OVERRIDE=FQ","FILING_STATUS=OR","EQY_CONSOLIDATED=Y","Sort=A","Dates=H","DateFormat=P","Fill=—","Direction=H","UseDPDF=Y")</f>
        <v>#NAME?</v>
      </c>
      <c r="AB539" s="1" t="e">
        <f ca="1">_xll.BDH($C$528,"NET_FIXED_ASSETS_1_YEAR_GROWTH","FQ1 2016","FQ1 2016","Currency=INR","Period=FQ","BEST_FPERIOD_OVERRIDE=FQ","FILING_STATUS=OR","EQY_CONSOLIDATED=Y","Sort=A","Dates=H","DateFormat=P","Fill=—","Direction=H","UseDPDF=Y")</f>
        <v>#NAME?</v>
      </c>
      <c r="AC539" s="1" t="e">
        <f ca="1">_xll.BDH($C$528,"ASSET_GROWTH","FQ1 2016","FQ1 2016","Currency=INR","Period=FQ","BEST_FPERIOD_OVERRIDE=FQ","FILING_STATUS=OR","EQY_CONSOLIDATED=Y","Sort=A","Dates=H","DateFormat=P","Fill=—","Direction=H","UseDPDF=Y")</f>
        <v>#NAME?</v>
      </c>
      <c r="AD539" s="1" t="e">
        <f ca="1">_xll.BDH($C$528,"MODIFIED_WORK_CAP_GROWTH","FQ1 2016","FQ1 2016","Currency=INR","Period=FQ","BEST_FPERIOD_OVERRIDE=FQ","FILING_STATUS=OR","EQY_CONSOLIDATED=Y","Sort=A","Dates=H","DateFormat=P","Fill=—","Direction=H","UseDPDF=Y")</f>
        <v>#NAME?</v>
      </c>
      <c r="AE539" s="1" t="e">
        <f ca="1">_xll.BDH($C$528,"WORK_CAP_GROWTH","FQ1 2016","FQ1 2016","Currency=INR","Period=FQ","BEST_FPERIOD_OVERRIDE=FQ","FILING_STATUS=OR","EQY_CONSOLIDATED=Y","Sort=A","Dates=H","DateFormat=P","Fill=—","Direction=H","UseDPDF=Y")</f>
        <v>#NAME?</v>
      </c>
      <c r="AF539" s="1" t="e">
        <f ca="1">_xll.BDH($C$528,"ACCOUNTS_PAYABLE_GROWTH_1YR","FQ1 2016","FQ1 2016","Currency=INR","Period=FQ","BEST_FPERIOD_OVERRIDE=FQ","FILING_STATUS=OR","EQY_CONSOLIDATED=Y","Sort=A","Dates=H","DateFormat=P","Fill=—","Direction=H","UseDPDF=Y")</f>
        <v>#NAME?</v>
      </c>
      <c r="AG539" s="1" t="e">
        <f ca="1">_xll.BDH($C$528,"SHORT_TERM_DEBT_1_YEAR_GROWTH","FQ1 2016","FQ1 2016","Currency=INR","Period=FQ","BEST_FPERIOD_OVERRIDE=FQ","FILING_STATUS=OR","EQY_CONSOLIDATED=Y","Sort=A","Dates=H","DateFormat=P","Fill=—","Direction=H","UseDPDF=Y")</f>
        <v>#NAME?</v>
      </c>
      <c r="AH539" s="1" t="e">
        <f ca="1">_xll.BDH($C$528,"TOTAL_DEBT_1_YEAR_GROWTH","FQ1 2016","FQ1 2016","Currency=INR","Period=FQ","BEST_FPERIOD_OVERRIDE=FQ","FILING_STATUS=OR","EQY_CONSOLIDATED=Y","Sort=A","Dates=H","DateFormat=P","Fill=—","Direction=H","UseDPDF=Y")</f>
        <v>#NAME?</v>
      </c>
      <c r="AI539" s="1" t="e">
        <f ca="1">_xll.BDH($C$528,"TOTAL_EQUITY_1_YEAR_GROWTH","FQ1 2016","FQ1 2016","Currency=INR","Period=FQ","BEST_FPERIOD_OVERRIDE=FQ","FILING_STATUS=OR","EQY_CONSOLIDATED=Y","Sort=A","Dates=H","DateFormat=P","Fill=—","Direction=H","UseDPDF=Y")</f>
        <v>#NAME?</v>
      </c>
      <c r="AJ539" s="1" t="e">
        <f ca="1">_xll.BDH($C$528,"GROWTH_IN_CAP","FQ1 2016","FQ1 2016","Currency=INR","Period=FQ","BEST_FPERIOD_OVERRIDE=FQ","FILING_STATUS=OR","EQY_CONSOLIDATED=Y","Sort=A","Dates=H","DateFormat=P","Fill=—","Direction=H","UseDPDF=Y")</f>
        <v>#NAME?</v>
      </c>
      <c r="AK539" s="1" t="e">
        <f ca="1">_xll.BDH($C$528,"BVPS_GROWTH","FQ1 2016","FQ1 2016","Currency=INR","Period=FQ","BEST_FPERIOD_OVERRIDE=FQ","FILING_STATUS=OR","EQY_CONSOLIDATED=Y","Sort=A","Dates=H","DateFormat=P","Fill=—","Direction=H","UseDPDF=Y")</f>
        <v>#NAME?</v>
      </c>
      <c r="AL539" s="1" t="e">
        <f ca="1">_xll.BDH($C$528,"CASH_FLOW_GROWTH","FQ1 2016","FQ1 2016","Currency=INR","Period=FQ","BEST_FPERIOD_OVERRIDE=FQ","FILING_STATUS=OR","EQY_CONSOLIDATED=Y","Sort=A","Dates=H","DateFormat=P","Fill=—","Direction=H","UseDPDF=Y")</f>
        <v>#NAME?</v>
      </c>
      <c r="AM539" s="1" t="e">
        <f ca="1">_xll.BDH($C$528,"GEO_GROW_NET_SALES","FQ1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39" s="1" t="e">
        <f ca="1">_xll.BDH($C$528,"GEO_GROW_EBITDA","FQ1 2016","FQ1 2016","Currency=INR","Period=FQ","BEST_FPERIOD_OVERRIDE=FQ","FILING_STATUS=OR","EQY_CONSOLIDATED=Y","FA_ADJUSTED=GAAP","Sort=A","Dates=H","DateFormat=P","Fill=—","Direction=H","UseDPDF=Y")</f>
        <v>#NAME?</v>
      </c>
      <c r="AO539" s="1" t="e">
        <f ca="1">_xll.BDH($C$528,"GEO_GROW_OPER_INC","FQ1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39" s="1" t="e">
        <f ca="1">_xll.BDH($C$528,"NET_INCOME_TO_COMMON_5_YR_GROWTH","FQ1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39" s="1" t="e">
        <f ca="1">_xll.BDH($C$528,"5Y_GEO_GROWTH_DILUTED_EPS","FQ1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39" s="1" t="e">
        <f ca="1">_xll.BDH($C$528,"GEO_GROW_DVD_PER_SH","FQ1 2016","FQ1 2016","Currency=INR","Period=FQ","BEST_FPERIOD_OVERRIDE=FQ","FILING_STATUS=OR","EQY_CONSOLIDATED=Y","Sort=A","Dates=H","DateFormat=P","Fill=—","Direction=H","UseDPDF=Y")</f>
        <v>#NAME?</v>
      </c>
      <c r="AS539" s="1" t="e">
        <f ca="1">_xll.BDH($C$528,"ACCOUNTS_RECEIVABLE_5_YR_GROWTH","FQ1 2016","FQ1 2016","Currency=INR","Period=FQ","BEST_FPERIOD_OVERRIDE=FQ","FILING_STATUS=OR","EQY_CONSOLIDATED=Y","Sort=A","Dates=H","DateFormat=P","Fill=—","Direction=H","UseDPDF=Y")</f>
        <v>#NAME?</v>
      </c>
      <c r="AT539" s="1" t="e">
        <f ca="1">_xll.BDH($C$528,"INVENTORY_5_YEAR_GROWTH","FQ1 2016","FQ1 2016","Currency=INR","Period=FQ","BEST_FPERIOD_OVERRIDE=FQ","FILING_STATUS=OR","EQY_CONSOLIDATED=Y","Sort=A","Dates=H","DateFormat=P","Fill=—","Direction=H","UseDPDF=Y")</f>
        <v>#NAME?</v>
      </c>
      <c r="AU539" s="1" t="e">
        <f ca="1">_xll.BDH($C$528,"NET_FIXED_ASSETS_5_YEAR_GROWTH","FQ1 2016","FQ1 2016","Currency=INR","Period=FQ","BEST_FPERIOD_OVERRIDE=FQ","FILING_STATUS=OR","EQY_CONSOLIDATED=Y","Sort=A","Dates=H","DateFormat=P","Fill=—","Direction=H","UseDPDF=Y")</f>
        <v>#NAME?</v>
      </c>
      <c r="AV539" s="1" t="e">
        <f ca="1">_xll.BDH($C$528,"GEO_GROW_TOT_ASSET","FQ1 2016","FQ1 2016","Currency=INR","Period=FQ","BEST_FPERIOD_OVERRIDE=FQ","FILING_STATUS=OR","EQY_CONSOLIDATED=Y","Sort=A","Dates=H","DateFormat=P","Fill=—","Direction=H","UseDPDF=Y")</f>
        <v>#NAME?</v>
      </c>
      <c r="AW539" s="1" t="e">
        <f ca="1">_xll.BDH($C$528,"MODIFIED_WORKING_CPTL_5YR_GRWTH","FQ1 2016","FQ1 2016","Currency=INR","Period=FQ","BEST_FPERIOD_OVERRIDE=FQ","FILING_STATUS=OR","EQY_CONSOLIDATED=Y","Sort=A","Dates=H","DateFormat=P","Fill=—","Direction=H","UseDPDF=Y")</f>
        <v>#NAME?</v>
      </c>
      <c r="AX539" s="1" t="e">
        <f ca="1">_xll.BDH($C$528,"WORKING_CAPITAL_5_YEAR_GROWTH","FQ1 2016","FQ1 2016","Currency=INR","Period=FQ","BEST_FPERIOD_OVERRIDE=FQ","FILING_STATUS=OR","EQY_CONSOLIDATED=Y","Sort=A","Dates=H","DateFormat=P","Fill=—","Direction=H","UseDPDF=Y")</f>
        <v>#NAME?</v>
      </c>
      <c r="AY539" s="1" t="e">
        <f ca="1">_xll.BDH($C$528,"ACCOUNTS_PAYABLE_5_YEAR_GROWTH","FQ1 2016","FQ1 2016","Currency=INR","Period=FQ","BEST_FPERIOD_OVERRIDE=FQ","FILING_STATUS=OR","EQY_CONSOLIDATED=Y","Sort=A","Dates=H","DateFormat=P","Fill=—","Direction=H","UseDPDF=Y")</f>
        <v>#NAME?</v>
      </c>
      <c r="AZ539" s="1" t="e">
        <f ca="1">_xll.BDH($C$528,"SHORT_TERM_DEBT_5_YEAR_GROWTH","FQ1 2016","FQ1 2016","Currency=INR","Period=FQ","BEST_FPERIOD_OVERRIDE=FQ","FILING_STATUS=OR","EQY_CONSOLIDATED=Y","Sort=A","Dates=H","DateFormat=P","Fill=—","Direction=H","UseDPDF=Y")</f>
        <v>#NAME?</v>
      </c>
      <c r="BA539" s="1" t="e">
        <f ca="1">_xll.BDH($C$528,"TOTAL_DEBT_5_YEAR_GROWTH","FQ1 2016","FQ1 2016","Currency=INR","Period=FQ","BEST_FPERIOD_OVERRIDE=FQ","FILING_STATUS=OR","EQY_CONSOLIDATED=Y","Sort=A","Dates=H","DateFormat=P","Fill=—","Direction=H","UseDPDF=Y")</f>
        <v>#NAME?</v>
      </c>
      <c r="BB539" s="1" t="e">
        <f ca="1">_xll.BDH($C$528,"GEO_GROW_TOT_SHRHLDR_EQY","FQ1 2016","FQ1 2016","Currency=INR","Period=FQ","BEST_FPERIOD_OVERRIDE=FQ","FILING_STATUS=OR","EQY_CONSOLIDATED=Y","Sort=A","Dates=H","DateFormat=P","Fill=—","Direction=H","UseDPDF=Y")</f>
        <v>#NAME?</v>
      </c>
      <c r="BC539" s="1" t="e">
        <f ca="1">_xll.BDH($C$528,"TOTAL_CAPITAL_5_YEAR_GROWTH","FQ1 2016","FQ1 2016","Currency=INR","Period=FQ","BEST_FPERIOD_OVERRIDE=FQ","FILING_STATUS=OR","EQY_CONSOLIDATED=Y","Sort=A","Dates=H","DateFormat=P","Fill=—","Direction=H","UseDPDF=Y")</f>
        <v>#NAME?</v>
      </c>
      <c r="BD539" s="1" t="e">
        <f ca="1">_xll.BDH($C$528,"GEO_GROW_BOOK_VAL","FQ1 2016","FQ1 2016","Currency=INR","Period=FQ","BEST_FPERIOD_OVERRIDE=FQ","FILING_STATUS=OR","EQY_CONSOLIDATED=Y","Sort=A","Dates=H","DateFormat=P","Fill=—","Direction=H","UseDPDF=Y")</f>
        <v>#NAME?</v>
      </c>
      <c r="BE539" s="1" t="e">
        <f ca="1">_xll.BDH($C$528,"GEO_GROW_CASH_OPER_ACT","FQ1 2016","FQ1 2016","Currency=INR","Period=FQ","BEST_FPERIOD_OVERRIDE=FQ","FILING_STATUS=OR","EQY_CONSOLIDATED=Y","Sort=A","Dates=H","DateFormat=P","Fill=—","Direction=H","UseDPDF=Y")</f>
        <v>#NAME?</v>
      </c>
      <c r="BF539" s="1" t="e">
        <f ca="1">_xll.BDH($C$528,"REVENUE_SEQUENTIAL_GROWTH","FQ1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39" s="1" t="e">
        <f ca="1">_xll.BDH($C$528,"EBITDA_SEQUENTIAL_GROWTH","FQ1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39" s="1" t="e">
        <f ca="1">_xll.BDH($C$528,"OPERATING_INCOME_SEQ_GROWTH","FQ1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39" s="1" t="e">
        <f ca="1">_xll.BDH($C$528,"NET_INCOME_TO_COMMON_SEQ_GROWTH","FQ1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39" s="1" t="e">
        <f ca="1">_xll.BDH($C$528,"EPS_DILUTED_SEQUENTIAL_GROWTH","FQ1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39" s="1" t="e">
        <f ca="1">_xll.BDH($C$528,"DPS_SEQUENTIAL_GROWTH","FQ1 2016","FQ1 2016","Currency=INR","Period=FQ","BEST_FPERIOD_OVERRIDE=FQ","FILING_STATUS=OR","EQY_CONSOLIDATED=Y","Sort=A","Dates=H","DateFormat=P","Fill=—","Direction=H","UseDPDF=Y")</f>
        <v>#NAME?</v>
      </c>
      <c r="BL539" s="1" t="e">
        <f ca="1">_xll.BDH($C$528,"ACCOUNTS_RECEIVABLE_SEQ_GROWTH","FQ1 2016","FQ1 2016","Currency=INR","Period=FQ","BEST_FPERIOD_OVERRIDE=FQ","FILING_STATUS=OR","EQY_CONSOLIDATED=Y","Sort=A","Dates=H","DateFormat=P","Fill=—","Direction=H","UseDPDF=Y")</f>
        <v>#NAME?</v>
      </c>
      <c r="BM539" s="1" t="e">
        <f ca="1">_xll.BDH($C$528,"INVENTORY_SEQUENTIAL_GROWTH","FQ1 2016","FQ1 2016","Currency=INR","Period=FQ","BEST_FPERIOD_OVERRIDE=FQ","FILING_STATUS=OR","EQY_CONSOLIDATED=Y","Sort=A","Dates=H","DateFormat=P","Fill=—","Direction=H","UseDPDF=Y")</f>
        <v>#NAME?</v>
      </c>
      <c r="BN539" s="1" t="e">
        <f ca="1">_xll.BDH($C$528,"FIXED_ASSETS_SEQUENTIAL_GROWTH","FQ1 2016","FQ1 2016","Currency=INR","Period=FQ","BEST_FPERIOD_OVERRIDE=FQ","FILING_STATUS=OR","EQY_CONSOLIDATED=Y","Sort=A","Dates=H","DateFormat=P","Fill=—","Direction=H","UseDPDF=Y")</f>
        <v>#NAME?</v>
      </c>
      <c r="BO539" s="1" t="e">
        <f ca="1">_xll.BDH($C$528,"TOTAL_ASSETS_SEQUENTIAL_GROWTH","FQ1 2016","FQ1 2016","Currency=INR","Period=FQ","BEST_FPERIOD_OVERRIDE=FQ","FILING_STATUS=OR","EQY_CONSOLIDATED=Y","Sort=A","Dates=H","DateFormat=P","Fill=—","Direction=H","UseDPDF=Y")</f>
        <v>#NAME?</v>
      </c>
      <c r="BP539" s="1" t="e">
        <f ca="1">_xll.BDH($C$528,"MODIFIED_WORKING_CPTL_SEQ_GRWTH","FQ1 2016","FQ1 2016","Currency=INR","Period=FQ","BEST_FPERIOD_OVERRIDE=FQ","FILING_STATUS=OR","EQY_CONSOLIDATED=Y","Sort=A","Dates=H","DateFormat=P","Fill=—","Direction=H","UseDPDF=Y")</f>
        <v>#NAME?</v>
      </c>
      <c r="BQ539" s="1" t="e">
        <f ca="1">_xll.BDH($C$528,"WORKING_CAPITAL_SEQ_GROWTH","FQ1 2016","FQ1 2016","Currency=INR","Period=FQ","BEST_FPERIOD_OVERRIDE=FQ","FILING_STATUS=OR","EQY_CONSOLIDATED=Y","Sort=A","Dates=H","DateFormat=P","Fill=—","Direction=H","UseDPDF=Y")</f>
        <v>#NAME?</v>
      </c>
      <c r="BR539" s="1" t="e">
        <f ca="1">_xll.BDH($C$528,"ACCOUNTS_PAYABLE_SEQ_GROWTH","FQ1 2016","FQ1 2016","Currency=INR","Period=FQ","BEST_FPERIOD_OVERRIDE=FQ","FILING_STATUS=OR","EQY_CONSOLIDATED=Y","Sort=A","Dates=H","DateFormat=P","Fill=—","Direction=H","UseDPDF=Y")</f>
        <v>#NAME?</v>
      </c>
      <c r="BS539" s="1" t="e">
        <f ca="1">_xll.BDH($C$528,"ST_DEBT_SEQUENTIAL_GROWTH","FQ1 2016","FQ1 2016","Currency=INR","Period=FQ","BEST_FPERIOD_OVERRIDE=FQ","FILING_STATUS=OR","EQY_CONSOLIDATED=Y","Sort=A","Dates=H","DateFormat=P","Fill=—","Direction=H","UseDPDF=Y")</f>
        <v>#NAME?</v>
      </c>
      <c r="BT539" s="1" t="e">
        <f ca="1">_xll.BDH($C$528,"TOTAL_DEBT_SEQUENTIAL_GROWTH","FQ1 2016","FQ1 2016","Currency=INR","Period=FQ","BEST_FPERIOD_OVERRIDE=FQ","FILING_STATUS=OR","EQY_CONSOLIDATED=Y","Sort=A","Dates=H","DateFormat=P","Fill=—","Direction=H","UseDPDF=Y")</f>
        <v>#NAME?</v>
      </c>
      <c r="BU539" s="1" t="e">
        <f ca="1">_xll.BDH($C$528,"TOTAL_EQUITY_SEQUENTIAL_GROWTH","FQ1 2016","FQ1 2016","Currency=INR","Period=FQ","BEST_FPERIOD_OVERRIDE=FQ","FILING_STATUS=OR","EQY_CONSOLIDATED=Y","Sort=A","Dates=H","DateFormat=P","Fill=—","Direction=H","UseDPDF=Y")</f>
        <v>#NAME?</v>
      </c>
      <c r="BV539" s="1" t="e">
        <f ca="1">_xll.BDH($C$528,"TOTAL_CAPITAL_SEQUENTIAL_GROWTH","FQ1 2016","FQ1 2016","Currency=INR","Period=FQ","BEST_FPERIOD_OVERRIDE=FQ","FILING_STATUS=OR","EQY_CONSOLIDATED=Y","Sort=A","Dates=H","DateFormat=P","Fill=—","Direction=H","UseDPDF=Y")</f>
        <v>#NAME?</v>
      </c>
      <c r="BW539" s="1" t="e">
        <f ca="1">_xll.BDH($C$528,"BPS_SEQUENTIAL_GROWTH","FQ1 2016","FQ1 2016","Currency=INR","Period=FQ","BEST_FPERIOD_OVERRIDE=FQ","FILING_STATUS=OR","EQY_CONSOLIDATED=Y","Sort=A","Dates=H","DateFormat=P","Fill=—","Direction=H","UseDPDF=Y")</f>
        <v>#NAME?</v>
      </c>
      <c r="BX539" s="1" t="e">
        <f ca="1">_xll.BDH($C$528,"CFO_SEQUENTIAL_GROWTH","FQ1 2016","FQ1 2016","Currency=INR","Period=FQ","BEST_FPERIOD_OVERRIDE=FQ","FILING_STATUS=OR","EQY_CONSOLIDATED=Y","Sort=A","Dates=H","DateFormat=P","Fill=—","Direction=H","UseDPDF=Y")</f>
        <v>#NAME?</v>
      </c>
      <c r="BY539" s="2" t="e">
        <f ca="1">_xll.BDH($C$528,"SHORT_AND_LONG_TERM_DEBT","FQ1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39" s="2" t="e">
        <f ca="1">_xll.BDH($C$528,"BS_ST_BORROW","FQ1 2016","FQ1 2016","Currency=INR","Period=FQ","BEST_FPERIOD_OVERRIDE=FQ","FILING_STATUS=OR","EQY_CONSOLIDATED=Y","SCALING_FORMAT=MLN","Sort=A","Dates=H","DateFormat=P","Fill=—","Direction=H","UseDPDF=Y")</f>
        <v>#NAME?</v>
      </c>
      <c r="CA539" s="2" t="e">
        <f ca="1">_xll.BDH($C$528,"BS_LT_BORROW","FQ1 2016","FQ1 2016","Currency=INR","Period=FQ","BEST_FPERIOD_OVERRIDE=FQ","FILING_STATUS=OR","EQY_CONSOLIDATED=Y","SCALING_FORMAT=MLN","Sort=A","Dates=H","DateFormat=P","Fill=—","Direction=H","UseDPDF=Y")</f>
        <v>#NAME?</v>
      </c>
      <c r="CB539" s="1" t="e">
        <f ca="1">_xll.BDH($C$528,"TOT_DEBT_TO_EBITDA","FQ1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39" s="1" t="e">
        <f ca="1">_xll.BDH($C$528,"NET_DEBT_TO_EBITDA","FQ1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39" s="1" t="e">
        <f ca="1">_xll.BDH($C$528,"TOTAL_DEBT_TO_EBIT","FQ1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39" s="1" t="e">
        <f ca="1">_xll.BDH($C$528,"NET_DEBT_TO_EBIT","FQ1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539" s="1" t="e">
        <f ca="1">_xll.BDH($C$528,"EBITDA_TO_INTEREST_EXPN","FQ1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39" s="1" t="e">
        <f ca="1">_xll.BDH($C$528,"COM_EQY_TO_TOT_ASSET","FQ1 2016","FQ1 2016","Currency=INR","Period=FQ","BEST_FPERIOD_OVERRIDE=FQ","FILING_STATUS=OR","EQY_CONSOLIDATED=Y","Sort=A","Dates=H","DateFormat=P","Fill=—","Direction=H","UseDPDF=Y")</f>
        <v>#NAME?</v>
      </c>
      <c r="CH539" s="1" t="e">
        <f ca="1">_xll.BDH($C$528,"LT_DEBT_TO_TOT_EQY","FQ1 2016","FQ1 2016","Currency=INR","Period=FQ","BEST_FPERIOD_OVERRIDE=FQ","FILING_STATUS=OR","EQY_CONSOLIDATED=Y","Sort=A","Dates=H","DateFormat=P","Fill=—","Direction=H","UseDPDF=Y")</f>
        <v>#NAME?</v>
      </c>
      <c r="CI539" s="1" t="e">
        <f ca="1">_xll.BDH($C$528,"LT_DEBT_TO_TOT_CAP","FQ1 2016","FQ1 2016","Currency=INR","Period=FQ","BEST_FPERIOD_OVERRIDE=FQ","FILING_STATUS=OR","EQY_CONSOLIDATED=Y","Sort=A","Dates=H","DateFormat=P","Fill=—","Direction=H","UseDPDF=Y")</f>
        <v>#NAME?</v>
      </c>
      <c r="CJ539" s="1" t="e">
        <f ca="1">_xll.BDH($C$528,"LT_DEBT_TO_TOT_ASSET","FQ1 2016","FQ1 2016","Currency=INR","Period=FQ","BEST_FPERIOD_OVERRIDE=FQ","FILING_STATUS=OR","EQY_CONSOLIDATED=Y","Sort=A","Dates=H","DateFormat=P","Fill=—","Direction=H","UseDPDF=Y")</f>
        <v>#NAME?</v>
      </c>
      <c r="CK539" s="1" t="e">
        <f ca="1">_xll.BDH($C$528,"TOT_DEBT_TO_TOT_EQY","FQ1 2016","FQ1 2016","Currency=INR","Period=FQ","BEST_FPERIOD_OVERRIDE=FQ","FILING_STATUS=OR","EQY_CONSOLIDATED=Y","Sort=A","Dates=H","DateFormat=P","Fill=—","Direction=H","UseDPDF=Y")</f>
        <v>#NAME?</v>
      </c>
      <c r="CL539" s="1" t="e">
        <f ca="1">_xll.BDH($C$528,"TOT_DEBT_TO_TOT_CAP","FQ1 2016","FQ1 2016","Currency=INR","Period=FQ","BEST_FPERIOD_OVERRIDE=FQ","FILING_STATUS=OR","EQY_CONSOLIDATED=Y","Sort=A","Dates=H","DateFormat=P","Fill=—","Direction=H","UseDPDF=Y")</f>
        <v>#NAME?</v>
      </c>
      <c r="CM539" s="1" t="e">
        <f ca="1">_xll.BDH($C$528,"TOT_DEBT_TO_TOT_ASSET","FQ1 2016","FQ1 2016","Currency=INR","Period=FQ","BEST_FPERIOD_OVERRIDE=FQ","FILING_STATUS=OR","EQY_CONSOLIDATED=Y","Sort=A","Dates=H","DateFormat=P","Fill=—","Direction=H","UseDPDF=Y")</f>
        <v>#NAME?</v>
      </c>
      <c r="CN539" s="1" t="e">
        <f ca="1">_xll.BDH($C$528,"NET_DEBT_TO_SHRHLDR_EQTY","FQ1 2016","FQ1 2016","Currency=INR","Period=FQ","BEST_FPERIOD_OVERRIDE=FQ","FILING_STATUS=OR","EQY_CONSOLIDATED=Y","Sort=A","Dates=H","DateFormat=P","Fill=—","Direction=H","UseDPDF=Y")</f>
        <v>#NAME?</v>
      </c>
      <c r="CO539" s="1" t="e">
        <f ca="1">_xll.BDH($C$528,"NET_DEBT_%_CAPITAL","FQ1 2016","FQ1 2016","Currency=INR","Period=FQ","BEST_FPERIOD_OVERRIDE=FQ","FILING_STATUS=OR","EQY_CONSOLIDATED=Y","Sort=A","Dates=H","DateFormat=P","Fill=—","Direction=H","UseDPDF=Y")</f>
        <v>#NAME?</v>
      </c>
      <c r="CP539" s="2" t="e">
        <f ca="1">_xll.BDH($C$528,"EBITDA","FQ1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39" s="2" t="e">
        <f ca="1">_xll.BDH($C$528,"EBITDA_AFTER_CAPEX","FQ1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39" s="2" t="e">
        <f ca="1">_xll.BDH($C$528,"IS_OPER_INC","FQ1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39" s="1" t="e">
        <f ca="1">_xll.BDH($C$528,"CASH_RATIO","FQ1 2016","FQ1 2016","Currency=INR","Period=FQ","BEST_FPERIOD_OVERRIDE=FQ","FILING_STATUS=OR","EQY_CONSOLIDATED=Y","Sort=A","Dates=H","DateFormat=P","Fill=—","Direction=H","UseDPDF=Y")</f>
        <v>#NAME?</v>
      </c>
      <c r="CT539" s="1" t="e">
        <f ca="1">_xll.BDH($C$528,"CUR_RATIO","FQ1 2016","FQ1 2016","Currency=INR","Period=FQ","BEST_FPERIOD_OVERRIDE=FQ","FILING_STATUS=OR","EQY_CONSOLIDATED=Y","Sort=A","Dates=H","DateFormat=P","Fill=—","Direction=H","UseDPDF=Y")</f>
        <v>#NAME?</v>
      </c>
      <c r="CU539" s="1" t="e">
        <f ca="1">_xll.BDH($C$528,"QUICK_RATIO","FQ1 2016","FQ1 2016","Currency=INR","Period=FQ","BEST_FPERIOD_OVERRIDE=FQ","FILING_STATUS=OR","EQY_CONSOLIDATED=Y","Sort=A","Dates=H","DateFormat=P","Fill=—","Direction=H","UseDPDF=Y")</f>
        <v>#NAME?</v>
      </c>
      <c r="CV539" s="1" t="e">
        <f ca="1">_xll.BDH($C$528,"ALTMAN_Z_SCORE","FQ1 2016","FQ1 2016","Currency=INR","Period=FQ","BEST_FPERIOD_OVERRIDE=FQ","FILING_STATUS=OR","EQY_CONSOLIDATED=Y","Sort=A","Dates=H","DateFormat=P","Fill=—","Direction=H","UseDPDF=Y")</f>
        <v>#NAME?</v>
      </c>
      <c r="CW539" s="3" t="e">
        <f ca="1">_xll.BDH($C$528,"ACCT_RCV_TURN","FQ1 2016","FQ1 2016","Currency=INR","Period=FQ","BEST_FPERIOD_OVERRIDE=FQ","FILING_STATUS=OR","EQY_CONSOLIDATED=Y","FA_ADJUSTED=GAAP","Sort=A","Dates=H","DateFormat=P","Fill=—","Direction=H","UseDPDF=Y")</f>
        <v>#NAME?</v>
      </c>
      <c r="CX539" s="1" t="e">
        <f ca="1">_xll.BDH($C$528,"ACCT_RCV_DAYS","FQ1 2016","FQ1 2016","Currency=INR","Period=FQ","BEST_FPERIOD_OVERRIDE=FQ","FILING_STATUS=OR","EQY_CONSOLIDATED=Y","FA_ADJUSTED=GAAP","Sort=A","Dates=H","DateFormat=P","Fill=—","Direction=H","UseDPDF=Y")</f>
        <v>#NAME?</v>
      </c>
      <c r="CY539" s="3" t="e">
        <f ca="1">_xll.BDH($C$528,"INVENT_TURN","FQ1 2016","FQ1 2016","Currency=INR","Period=FQ","BEST_FPERIOD_OVERRIDE=FQ","FILING_STATUS=OR","EQY_CONSOLIDATED=Y","FA_ADJUSTED=GAAP","Sort=A","Dates=H","DateFormat=P","Fill=—","Direction=H","UseDPDF=Y")</f>
        <v>#NAME?</v>
      </c>
      <c r="CZ539" s="1" t="e">
        <f ca="1">_xll.BDH($C$528,"INVENT_DAYS","FQ1 2016","FQ1 2016","Currency=INR","Period=FQ","BEST_FPERIOD_OVERRIDE=FQ","FILING_STATUS=OR","EQY_CONSOLIDATED=Y","FA_ADJUSTED=GAAP","Sort=A","Dates=H","DateFormat=P","Fill=—","Direction=H","UseDPDF=Y")</f>
        <v>#NAME?</v>
      </c>
      <c r="DA539" s="3" t="e">
        <f ca="1">_xll.BDH($C$528,"ACCOUNTS_PAYABLE_TURNOVER","FQ1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39" s="1" t="e">
        <f ca="1">_xll.BDH($C$528,"ACCOUNTS_PAYABLE_TURNOVER_DAYS","FQ1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39" s="3" t="e">
        <f ca="1">_xll.BDH($C$528,"CASH_CONVERSION_CYCLE","FQ1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39" s="3" t="e">
        <f ca="1">_xll.BDH($C$528,"INV_TO_CASH_DAYS","FQ1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539" s="4" t="e">
        <f ca="1">_xll.BDH($C$528,"BS_INVENTORIES","FQ1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539" s="2" t="e">
        <f ca="1">_xll.BDH($C$528,"INVTRY_RAW_MATERIALS","FQ1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39" s="2" t="e">
        <f ca="1">_xll.BDH($C$528,"INVTRY_IN_PROGRESS","FQ1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39" s="2" t="e">
        <f ca="1">_xll.BDH($C$528,"INVTRY_FINISHED_GOODS","FQ1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39" s="2" t="e">
        <f ca="1">_xll.BDH($C$528,"BS_OTHER_INV","FQ1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40" spans="1:113" x14ac:dyDescent="0.3">
      <c r="A540" s="6"/>
      <c r="B540" s="6"/>
      <c r="C540" s="6"/>
      <c r="D540" s="6"/>
      <c r="E540" t="s">
        <v>5</v>
      </c>
      <c r="F540" t="e">
        <f ca="1">_xll.BDH($C$528,"RETURN_COM_EQY","FQ2 2016","FQ2 2016","Currency=INR","Period=FQ","BEST_FPERIOD_OVERRIDE=FQ","FILING_STATUS=OR","EQY_CONSOLIDATED=Y","FA_ADJUSTED=GAAP","Sort=A","Dates=H","DateFormat=P","Fill=—","Direction=H","UseDPDF=Y")</f>
        <v>#NAME?</v>
      </c>
      <c r="G540" t="e">
        <f ca="1">_xll.BDH($C$528,"RETURN_ON_ASSET","FQ2 2016","FQ2 2016","Currency=INR","Period=FQ","BEST_FPERIOD_OVERRIDE=FQ","FILING_STATUS=OR","EQY_CONSOLIDATED=Y","FA_ADJUSTED=GAAP","Sort=A","Dates=H","DateFormat=P","Fill=—","Direction=H","UseDPDF=Y")</f>
        <v>#NAME?</v>
      </c>
      <c r="H540" t="e">
        <f ca="1">_xll.BDH($C$528,"RETURN_ON_CAP","FQ2 2016","FQ2 2016","Currency=INR","Period=FQ","BEST_FPERIOD_OVERRIDE=FQ","FILING_STATUS=OR","EQY_CONSOLIDATED=Y","FA_ADJUSTED=GAAP","Sort=A","Dates=H","DateFormat=P","Fill=—","Direction=H","UseDPDF=Y")</f>
        <v>#NAME?</v>
      </c>
      <c r="I540" t="e">
        <f ca="1">_xll.BDH($C$528,"RETURN_ON_INV_CAPITAL","FQ2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40" t="e">
        <f ca="1">_xll.BDH($C$528,"EBITDA_TO_REVENUE","FQ2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540" t="e">
        <f ca="1">_xll.BDH($C$528,"OPER_MARGIN","FQ2 2016","FQ2 2016","Currency=INR","Period=FQ","BEST_FPERIOD_OVERRIDE=FQ","FILING_STATUS=OR","EQY_CONSOLIDATED=Y","FA_ADJUSTED=GAAP","Sort=A","Dates=H","DateFormat=P","Fill=—","Direction=H","UseDPDF=Y")</f>
        <v>#NAME?</v>
      </c>
      <c r="L540" t="e">
        <f ca="1">_xll.BDH($C$528,"INCREMENTAL_OPERATING_MARGIN","FQ2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40" t="e">
        <f ca="1">_xll.BDH($C$528,"PRETAX_INC_TO_NET_SALES","FQ2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40" t="e">
        <f ca="1">_xll.BDH($C$528,"INC_BEF_XO_ITEMS_TO_NET_SALES","FQ2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40" t="e">
        <f ca="1">_xll.BDH($C$528,"PROF_MARGIN","FQ2 2016","FQ2 2016","Currency=INR","Period=FQ","BEST_FPERIOD_OVERRIDE=FQ","FILING_STATUS=OR","EQY_CONSOLIDATED=Y","FA_ADJUSTED=GAAP","Sort=A","Dates=H","DateFormat=P","Fill=—","Direction=H","UseDPDF=Y")</f>
        <v>#NAME?</v>
      </c>
      <c r="P540" t="e">
        <f ca="1">_xll.BDH($C$528,"NET_INCOME_TO_COMMON_MARGIN","FQ2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40" t="e">
        <f ca="1">_xll.BDH($C$528,"EFF_TAX_RATE","FQ2 2016","FQ2 2016","Currency=INR","Period=FQ","BEST_FPERIOD_OVERRIDE=FQ","FILING_STATUS=OR","EQY_CONSOLIDATED=Y","FA_ADJUSTED=GAAP","Sort=A","Dates=H","DateFormat=P","Fill=—","Direction=H","UseDPDF=Y")</f>
        <v>#NAME?</v>
      </c>
      <c r="R540" t="e">
        <f ca="1">_xll.BDH($C$528,"DVD_PAYOUT_RATIO","FQ2 2016","FQ2 2016","Currency=INR","Period=FQ","BEST_FPERIOD_OVERRIDE=FQ","FILING_STATUS=OR","EQY_CONSOLIDATED=Y","FA_ADJUSTED=GAAP","Sort=A","Dates=H","DateFormat=P","Fill=—","Direction=H","UseDPDF=Y")</f>
        <v>#NAME?</v>
      </c>
      <c r="S540" t="e">
        <f ca="1">_xll.BDH($C$528,"SUSTAIN_GROWTH_RT","FQ2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540" s="1" t="e">
        <f ca="1">_xll.BDH($C$528,"SALES_GROWTH","FQ2 2016","FQ2 2016","Currency=INR","Period=FQ","BEST_FPERIOD_OVERRIDE=FQ","FILING_STATUS=OR","EQY_CONSOLIDATED=Y","FA_ADJUSTED=GAAP","Sort=A","Dates=H","DateFormat=P","Fill=—","Direction=H","UseDPDF=Y")</f>
        <v>#NAME?</v>
      </c>
      <c r="U540" s="1" t="e">
        <f ca="1">_xll.BDH($C$528,"EBITDA_GROWTH","FQ2 2016","FQ2 2016","Currency=INR","Period=FQ","BEST_FPERIOD_OVERRIDE=FQ","FILING_STATUS=OR","EQY_CONSOLIDATED=Y","FA_ADJUSTED=GAAP","Sort=A","Dates=H","DateFormat=P","Fill=—","Direction=H","UseDPDF=Y")</f>
        <v>#NAME?</v>
      </c>
      <c r="V540" s="1" t="e">
        <f ca="1">_xll.BDH($C$528,"OPER_INC_GROWTH","FQ2 2016","FQ2 2016","Currency=INR","Period=FQ","BEST_FPERIOD_OVERRIDE=FQ","FILING_STATUS=OR","EQY_CONSOLIDATED=Y","FA_ADJUSTED=GAAP","Sort=A","Dates=H","DateFormat=P","Fill=—","Direction=H","UseDPDF=Y")</f>
        <v>#NAME?</v>
      </c>
      <c r="W540" s="1" t="e">
        <f ca="1">_xll.BDH($C$528,"EARN_FOR_COM_GROWTH","FQ2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40" s="1" t="e">
        <f ca="1">_xll.BDH($C$528,"DILUTED_EPS_AFT_XO_ITEMS_GROWTH","FQ2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40" s="1" t="e">
        <f ca="1">_xll.BDH($C$528,"DIVIDEND_PER_SHARE_1_YEAR_GROWTH","FQ2 2016","FQ2 2016","Currency=INR","Period=FQ","BEST_FPERIOD_OVERRIDE=FQ","FILING_STATUS=OR","EQY_CONSOLIDATED=Y","Sort=A","Dates=H","DateFormat=P","Fill=—","Direction=H","UseDPDF=Y")</f>
        <v>#NAME?</v>
      </c>
      <c r="Z540" s="1" t="e">
        <f ca="1">_xll.BDH($C$528,"ACCOUNTS_RECEIVABLE_GROWTH","FQ2 2016","FQ2 2016","Currency=INR","Period=FQ","BEST_FPERIOD_OVERRIDE=FQ","FILING_STATUS=OR","EQY_CONSOLIDATED=Y","Sort=A","Dates=H","DateFormat=P","Fill=—","Direction=H","UseDPDF=Y")</f>
        <v>#NAME?</v>
      </c>
      <c r="AA540" s="1" t="e">
        <f ca="1">_xll.BDH($C$528,"INVENTORY_GROWTH","FQ2 2016","FQ2 2016","Currency=INR","Period=FQ","BEST_FPERIOD_OVERRIDE=FQ","FILING_STATUS=OR","EQY_CONSOLIDATED=Y","Sort=A","Dates=H","DateFormat=P","Fill=—","Direction=H","UseDPDF=Y")</f>
        <v>#NAME?</v>
      </c>
      <c r="AB540" s="1" t="e">
        <f ca="1">_xll.BDH($C$528,"NET_FIXED_ASSETS_1_YEAR_GROWTH","FQ2 2016","FQ2 2016","Currency=INR","Period=FQ","BEST_FPERIOD_OVERRIDE=FQ","FILING_STATUS=OR","EQY_CONSOLIDATED=Y","Sort=A","Dates=H","DateFormat=P","Fill=—","Direction=H","UseDPDF=Y")</f>
        <v>#NAME?</v>
      </c>
      <c r="AC540" s="1" t="e">
        <f ca="1">_xll.BDH($C$528,"ASSET_GROWTH","FQ2 2016","FQ2 2016","Currency=INR","Period=FQ","BEST_FPERIOD_OVERRIDE=FQ","FILING_STATUS=OR","EQY_CONSOLIDATED=Y","Sort=A","Dates=H","DateFormat=P","Fill=—","Direction=H","UseDPDF=Y")</f>
        <v>#NAME?</v>
      </c>
      <c r="AD540" s="1" t="e">
        <f ca="1">_xll.BDH($C$528,"MODIFIED_WORK_CAP_GROWTH","FQ2 2016","FQ2 2016","Currency=INR","Period=FQ","BEST_FPERIOD_OVERRIDE=FQ","FILING_STATUS=OR","EQY_CONSOLIDATED=Y","Sort=A","Dates=H","DateFormat=P","Fill=—","Direction=H","UseDPDF=Y")</f>
        <v>#NAME?</v>
      </c>
      <c r="AE540" s="1" t="e">
        <f ca="1">_xll.BDH($C$528,"WORK_CAP_GROWTH","FQ2 2016","FQ2 2016","Currency=INR","Period=FQ","BEST_FPERIOD_OVERRIDE=FQ","FILING_STATUS=OR","EQY_CONSOLIDATED=Y","Sort=A","Dates=H","DateFormat=P","Fill=—","Direction=H","UseDPDF=Y")</f>
        <v>#NAME?</v>
      </c>
      <c r="AF540" s="1" t="e">
        <f ca="1">_xll.BDH($C$528,"ACCOUNTS_PAYABLE_GROWTH_1YR","FQ2 2016","FQ2 2016","Currency=INR","Period=FQ","BEST_FPERIOD_OVERRIDE=FQ","FILING_STATUS=OR","EQY_CONSOLIDATED=Y","Sort=A","Dates=H","DateFormat=P","Fill=—","Direction=H","UseDPDF=Y")</f>
        <v>#NAME?</v>
      </c>
      <c r="AG540" s="1" t="e">
        <f ca="1">_xll.BDH($C$528,"SHORT_TERM_DEBT_1_YEAR_GROWTH","FQ2 2016","FQ2 2016","Currency=INR","Period=FQ","BEST_FPERIOD_OVERRIDE=FQ","FILING_STATUS=OR","EQY_CONSOLIDATED=Y","Sort=A","Dates=H","DateFormat=P","Fill=—","Direction=H","UseDPDF=Y")</f>
        <v>#NAME?</v>
      </c>
      <c r="AH540" s="1" t="e">
        <f ca="1">_xll.BDH($C$528,"TOTAL_DEBT_1_YEAR_GROWTH","FQ2 2016","FQ2 2016","Currency=INR","Period=FQ","BEST_FPERIOD_OVERRIDE=FQ","FILING_STATUS=OR","EQY_CONSOLIDATED=Y","Sort=A","Dates=H","DateFormat=P","Fill=—","Direction=H","UseDPDF=Y")</f>
        <v>#NAME?</v>
      </c>
      <c r="AI540" s="1" t="e">
        <f ca="1">_xll.BDH($C$528,"TOTAL_EQUITY_1_YEAR_GROWTH","FQ2 2016","FQ2 2016","Currency=INR","Period=FQ","BEST_FPERIOD_OVERRIDE=FQ","FILING_STATUS=OR","EQY_CONSOLIDATED=Y","Sort=A","Dates=H","DateFormat=P","Fill=—","Direction=H","UseDPDF=Y")</f>
        <v>#NAME?</v>
      </c>
      <c r="AJ540" s="1" t="e">
        <f ca="1">_xll.BDH($C$528,"GROWTH_IN_CAP","FQ2 2016","FQ2 2016","Currency=INR","Period=FQ","BEST_FPERIOD_OVERRIDE=FQ","FILING_STATUS=OR","EQY_CONSOLIDATED=Y","Sort=A","Dates=H","DateFormat=P","Fill=—","Direction=H","UseDPDF=Y")</f>
        <v>#NAME?</v>
      </c>
      <c r="AK540" s="1" t="e">
        <f ca="1">_xll.BDH($C$528,"BVPS_GROWTH","FQ2 2016","FQ2 2016","Currency=INR","Period=FQ","BEST_FPERIOD_OVERRIDE=FQ","FILING_STATUS=OR","EQY_CONSOLIDATED=Y","Sort=A","Dates=H","DateFormat=P","Fill=—","Direction=H","UseDPDF=Y")</f>
        <v>#NAME?</v>
      </c>
      <c r="AL540" s="1" t="e">
        <f ca="1">_xll.BDH($C$528,"CASH_FLOW_GROWTH","FQ2 2016","FQ2 2016","Currency=INR","Period=FQ","BEST_FPERIOD_OVERRIDE=FQ","FILING_STATUS=OR","EQY_CONSOLIDATED=Y","Sort=A","Dates=H","DateFormat=P","Fill=—","Direction=H","UseDPDF=Y")</f>
        <v>#NAME?</v>
      </c>
      <c r="AM540" s="1" t="e">
        <f ca="1">_xll.BDH($C$528,"GEO_GROW_NET_SALES","FQ2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40" s="1" t="e">
        <f ca="1">_xll.BDH($C$528,"GEO_GROW_EBITDA","FQ2 2016","FQ2 2016","Currency=INR","Period=FQ","BEST_FPERIOD_OVERRIDE=FQ","FILING_STATUS=OR","EQY_CONSOLIDATED=Y","FA_ADJUSTED=GAAP","Sort=A","Dates=H","DateFormat=P","Fill=—","Direction=H","UseDPDF=Y")</f>
        <v>#NAME?</v>
      </c>
      <c r="AO540" s="1" t="e">
        <f ca="1">_xll.BDH($C$528,"GEO_GROW_OPER_INC","FQ2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40" s="1" t="e">
        <f ca="1">_xll.BDH($C$528,"NET_INCOME_TO_COMMON_5_YR_GROWTH","FQ2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40" s="1" t="e">
        <f ca="1">_xll.BDH($C$528,"5Y_GEO_GROWTH_DILUTED_EPS","FQ2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40" s="1" t="e">
        <f ca="1">_xll.BDH($C$528,"GEO_GROW_DVD_PER_SH","FQ2 2016","FQ2 2016","Currency=INR","Period=FQ","BEST_FPERIOD_OVERRIDE=FQ","FILING_STATUS=OR","EQY_CONSOLIDATED=Y","Sort=A","Dates=H","DateFormat=P","Fill=—","Direction=H","UseDPDF=Y")</f>
        <v>#NAME?</v>
      </c>
      <c r="AS540" s="1" t="e">
        <f ca="1">_xll.BDH($C$528,"ACCOUNTS_RECEIVABLE_5_YR_GROWTH","FQ2 2016","FQ2 2016","Currency=INR","Period=FQ","BEST_FPERIOD_OVERRIDE=FQ","FILING_STATUS=OR","EQY_CONSOLIDATED=Y","Sort=A","Dates=H","DateFormat=P","Fill=—","Direction=H","UseDPDF=Y")</f>
        <v>#NAME?</v>
      </c>
      <c r="AT540" s="1" t="e">
        <f ca="1">_xll.BDH($C$528,"INVENTORY_5_YEAR_GROWTH","FQ2 2016","FQ2 2016","Currency=INR","Period=FQ","BEST_FPERIOD_OVERRIDE=FQ","FILING_STATUS=OR","EQY_CONSOLIDATED=Y","Sort=A","Dates=H","DateFormat=P","Fill=—","Direction=H","UseDPDF=Y")</f>
        <v>#NAME?</v>
      </c>
      <c r="AU540" s="1" t="e">
        <f ca="1">_xll.BDH($C$528,"NET_FIXED_ASSETS_5_YEAR_GROWTH","FQ2 2016","FQ2 2016","Currency=INR","Period=FQ","BEST_FPERIOD_OVERRIDE=FQ","FILING_STATUS=OR","EQY_CONSOLIDATED=Y","Sort=A","Dates=H","DateFormat=P","Fill=—","Direction=H","UseDPDF=Y")</f>
        <v>#NAME?</v>
      </c>
      <c r="AV540" s="1" t="e">
        <f ca="1">_xll.BDH($C$528,"GEO_GROW_TOT_ASSET","FQ2 2016","FQ2 2016","Currency=INR","Period=FQ","BEST_FPERIOD_OVERRIDE=FQ","FILING_STATUS=OR","EQY_CONSOLIDATED=Y","Sort=A","Dates=H","DateFormat=P","Fill=—","Direction=H","UseDPDF=Y")</f>
        <v>#NAME?</v>
      </c>
      <c r="AW540" s="1" t="e">
        <f ca="1">_xll.BDH($C$528,"MODIFIED_WORKING_CPTL_5YR_GRWTH","FQ2 2016","FQ2 2016","Currency=INR","Period=FQ","BEST_FPERIOD_OVERRIDE=FQ","FILING_STATUS=OR","EQY_CONSOLIDATED=Y","Sort=A","Dates=H","DateFormat=P","Fill=—","Direction=H","UseDPDF=Y")</f>
        <v>#NAME?</v>
      </c>
      <c r="AX540" s="1" t="e">
        <f ca="1">_xll.BDH($C$528,"WORKING_CAPITAL_5_YEAR_GROWTH","FQ2 2016","FQ2 2016","Currency=INR","Period=FQ","BEST_FPERIOD_OVERRIDE=FQ","FILING_STATUS=OR","EQY_CONSOLIDATED=Y","Sort=A","Dates=H","DateFormat=P","Fill=—","Direction=H","UseDPDF=Y")</f>
        <v>#NAME?</v>
      </c>
      <c r="AY540" s="1" t="e">
        <f ca="1">_xll.BDH($C$528,"ACCOUNTS_PAYABLE_5_YEAR_GROWTH","FQ2 2016","FQ2 2016","Currency=INR","Period=FQ","BEST_FPERIOD_OVERRIDE=FQ","FILING_STATUS=OR","EQY_CONSOLIDATED=Y","Sort=A","Dates=H","DateFormat=P","Fill=—","Direction=H","UseDPDF=Y")</f>
        <v>#NAME?</v>
      </c>
      <c r="AZ540" s="1" t="e">
        <f ca="1">_xll.BDH($C$528,"SHORT_TERM_DEBT_5_YEAR_GROWTH","FQ2 2016","FQ2 2016","Currency=INR","Period=FQ","BEST_FPERIOD_OVERRIDE=FQ","FILING_STATUS=OR","EQY_CONSOLIDATED=Y","Sort=A","Dates=H","DateFormat=P","Fill=—","Direction=H","UseDPDF=Y")</f>
        <v>#NAME?</v>
      </c>
      <c r="BA540" s="1" t="e">
        <f ca="1">_xll.BDH($C$528,"TOTAL_DEBT_5_YEAR_GROWTH","FQ2 2016","FQ2 2016","Currency=INR","Period=FQ","BEST_FPERIOD_OVERRIDE=FQ","FILING_STATUS=OR","EQY_CONSOLIDATED=Y","Sort=A","Dates=H","DateFormat=P","Fill=—","Direction=H","UseDPDF=Y")</f>
        <v>#NAME?</v>
      </c>
      <c r="BB540" s="1" t="e">
        <f ca="1">_xll.BDH($C$528,"GEO_GROW_TOT_SHRHLDR_EQY","FQ2 2016","FQ2 2016","Currency=INR","Period=FQ","BEST_FPERIOD_OVERRIDE=FQ","FILING_STATUS=OR","EQY_CONSOLIDATED=Y","Sort=A","Dates=H","DateFormat=P","Fill=—","Direction=H","UseDPDF=Y")</f>
        <v>#NAME?</v>
      </c>
      <c r="BC540" s="1" t="e">
        <f ca="1">_xll.BDH($C$528,"TOTAL_CAPITAL_5_YEAR_GROWTH","FQ2 2016","FQ2 2016","Currency=INR","Period=FQ","BEST_FPERIOD_OVERRIDE=FQ","FILING_STATUS=OR","EQY_CONSOLIDATED=Y","Sort=A","Dates=H","DateFormat=P","Fill=—","Direction=H","UseDPDF=Y")</f>
        <v>#NAME?</v>
      </c>
      <c r="BD540" s="1" t="e">
        <f ca="1">_xll.BDH($C$528,"GEO_GROW_BOOK_VAL","FQ2 2016","FQ2 2016","Currency=INR","Period=FQ","BEST_FPERIOD_OVERRIDE=FQ","FILING_STATUS=OR","EQY_CONSOLIDATED=Y","Sort=A","Dates=H","DateFormat=P","Fill=—","Direction=H","UseDPDF=Y")</f>
        <v>#NAME?</v>
      </c>
      <c r="BE540" s="1" t="e">
        <f ca="1">_xll.BDH($C$528,"GEO_GROW_CASH_OPER_ACT","FQ2 2016","FQ2 2016","Currency=INR","Period=FQ","BEST_FPERIOD_OVERRIDE=FQ","FILING_STATUS=OR","EQY_CONSOLIDATED=Y","Sort=A","Dates=H","DateFormat=P","Fill=—","Direction=H","UseDPDF=Y")</f>
        <v>#NAME?</v>
      </c>
      <c r="BF540" s="1" t="e">
        <f ca="1">_xll.BDH($C$528,"REVENUE_SEQUENTIAL_GROWTH","FQ2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40" s="1" t="e">
        <f ca="1">_xll.BDH($C$528,"EBITDA_SEQUENTIAL_GROWTH","FQ2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40" s="1" t="e">
        <f ca="1">_xll.BDH($C$528,"OPERATING_INCOME_SEQ_GROWTH","FQ2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40" s="1" t="e">
        <f ca="1">_xll.BDH($C$528,"NET_INCOME_TO_COMMON_SEQ_GROWTH","FQ2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40" s="1" t="e">
        <f ca="1">_xll.BDH($C$528,"EPS_DILUTED_SEQUENTIAL_GROWTH","FQ2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40" s="1" t="e">
        <f ca="1">_xll.BDH($C$528,"DPS_SEQUENTIAL_GROWTH","FQ2 2016","FQ2 2016","Currency=INR","Period=FQ","BEST_FPERIOD_OVERRIDE=FQ","FILING_STATUS=OR","EQY_CONSOLIDATED=Y","Sort=A","Dates=H","DateFormat=P","Fill=—","Direction=H","UseDPDF=Y")</f>
        <v>#NAME?</v>
      </c>
      <c r="BL540" s="1" t="e">
        <f ca="1">_xll.BDH($C$528,"ACCOUNTS_RECEIVABLE_SEQ_GROWTH","FQ2 2016","FQ2 2016","Currency=INR","Period=FQ","BEST_FPERIOD_OVERRIDE=FQ","FILING_STATUS=OR","EQY_CONSOLIDATED=Y","Sort=A","Dates=H","DateFormat=P","Fill=—","Direction=H","UseDPDF=Y")</f>
        <v>#NAME?</v>
      </c>
      <c r="BM540" s="1" t="e">
        <f ca="1">_xll.BDH($C$528,"INVENTORY_SEQUENTIAL_GROWTH","FQ2 2016","FQ2 2016","Currency=INR","Period=FQ","BEST_FPERIOD_OVERRIDE=FQ","FILING_STATUS=OR","EQY_CONSOLIDATED=Y","Sort=A","Dates=H","DateFormat=P","Fill=—","Direction=H","UseDPDF=Y")</f>
        <v>#NAME?</v>
      </c>
      <c r="BN540" s="1" t="e">
        <f ca="1">_xll.BDH($C$528,"FIXED_ASSETS_SEQUENTIAL_GROWTH","FQ2 2016","FQ2 2016","Currency=INR","Period=FQ","BEST_FPERIOD_OVERRIDE=FQ","FILING_STATUS=OR","EQY_CONSOLIDATED=Y","Sort=A","Dates=H","DateFormat=P","Fill=—","Direction=H","UseDPDF=Y")</f>
        <v>#NAME?</v>
      </c>
      <c r="BO540" s="1" t="e">
        <f ca="1">_xll.BDH($C$528,"TOTAL_ASSETS_SEQUENTIAL_GROWTH","FQ2 2016","FQ2 2016","Currency=INR","Period=FQ","BEST_FPERIOD_OVERRIDE=FQ","FILING_STATUS=OR","EQY_CONSOLIDATED=Y","Sort=A","Dates=H","DateFormat=P","Fill=—","Direction=H","UseDPDF=Y")</f>
        <v>#NAME?</v>
      </c>
      <c r="BP540" s="1" t="e">
        <f ca="1">_xll.BDH($C$528,"MODIFIED_WORKING_CPTL_SEQ_GRWTH","FQ2 2016","FQ2 2016","Currency=INR","Period=FQ","BEST_FPERIOD_OVERRIDE=FQ","FILING_STATUS=OR","EQY_CONSOLIDATED=Y","Sort=A","Dates=H","DateFormat=P","Fill=—","Direction=H","UseDPDF=Y")</f>
        <v>#NAME?</v>
      </c>
      <c r="BQ540" s="1" t="e">
        <f ca="1">_xll.BDH($C$528,"WORKING_CAPITAL_SEQ_GROWTH","FQ2 2016","FQ2 2016","Currency=INR","Period=FQ","BEST_FPERIOD_OVERRIDE=FQ","FILING_STATUS=OR","EQY_CONSOLIDATED=Y","Sort=A","Dates=H","DateFormat=P","Fill=—","Direction=H","UseDPDF=Y")</f>
        <v>#NAME?</v>
      </c>
      <c r="BR540" s="1" t="e">
        <f ca="1">_xll.BDH($C$528,"ACCOUNTS_PAYABLE_SEQ_GROWTH","FQ2 2016","FQ2 2016","Currency=INR","Period=FQ","BEST_FPERIOD_OVERRIDE=FQ","FILING_STATUS=OR","EQY_CONSOLIDATED=Y","Sort=A","Dates=H","DateFormat=P","Fill=—","Direction=H","UseDPDF=Y")</f>
        <v>#NAME?</v>
      </c>
      <c r="BS540" s="1" t="e">
        <f ca="1">_xll.BDH($C$528,"ST_DEBT_SEQUENTIAL_GROWTH","FQ2 2016","FQ2 2016","Currency=INR","Period=FQ","BEST_FPERIOD_OVERRIDE=FQ","FILING_STATUS=OR","EQY_CONSOLIDATED=Y","Sort=A","Dates=H","DateFormat=P","Fill=—","Direction=H","UseDPDF=Y")</f>
        <v>#NAME?</v>
      </c>
      <c r="BT540" s="1" t="e">
        <f ca="1">_xll.BDH($C$528,"TOTAL_DEBT_SEQUENTIAL_GROWTH","FQ2 2016","FQ2 2016","Currency=INR","Period=FQ","BEST_FPERIOD_OVERRIDE=FQ","FILING_STATUS=OR","EQY_CONSOLIDATED=Y","Sort=A","Dates=H","DateFormat=P","Fill=—","Direction=H","UseDPDF=Y")</f>
        <v>#NAME?</v>
      </c>
      <c r="BU540" s="1" t="e">
        <f ca="1">_xll.BDH($C$528,"TOTAL_EQUITY_SEQUENTIAL_GROWTH","FQ2 2016","FQ2 2016","Currency=INR","Period=FQ","BEST_FPERIOD_OVERRIDE=FQ","FILING_STATUS=OR","EQY_CONSOLIDATED=Y","Sort=A","Dates=H","DateFormat=P","Fill=—","Direction=H","UseDPDF=Y")</f>
        <v>#NAME?</v>
      </c>
      <c r="BV540" s="1" t="e">
        <f ca="1">_xll.BDH($C$528,"TOTAL_CAPITAL_SEQUENTIAL_GROWTH","FQ2 2016","FQ2 2016","Currency=INR","Period=FQ","BEST_FPERIOD_OVERRIDE=FQ","FILING_STATUS=OR","EQY_CONSOLIDATED=Y","Sort=A","Dates=H","DateFormat=P","Fill=—","Direction=H","UseDPDF=Y")</f>
        <v>#NAME?</v>
      </c>
      <c r="BW540" s="1" t="e">
        <f ca="1">_xll.BDH($C$528,"BPS_SEQUENTIAL_GROWTH","FQ2 2016","FQ2 2016","Currency=INR","Period=FQ","BEST_FPERIOD_OVERRIDE=FQ","FILING_STATUS=OR","EQY_CONSOLIDATED=Y","Sort=A","Dates=H","DateFormat=P","Fill=—","Direction=H","UseDPDF=Y")</f>
        <v>#NAME?</v>
      </c>
      <c r="BX540" s="1" t="e">
        <f ca="1">_xll.BDH($C$528,"CFO_SEQUENTIAL_GROWTH","FQ2 2016","FQ2 2016","Currency=INR","Period=FQ","BEST_FPERIOD_OVERRIDE=FQ","FILING_STATUS=OR","EQY_CONSOLIDATED=Y","Sort=A","Dates=H","DateFormat=P","Fill=—","Direction=H","UseDPDF=Y")</f>
        <v>#NAME?</v>
      </c>
      <c r="BY540" s="2" t="e">
        <f ca="1">_xll.BDH($C$528,"SHORT_AND_LONG_TERM_DEBT","FQ2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40" s="2" t="e">
        <f ca="1">_xll.BDH($C$528,"BS_ST_BORROW","FQ2 2016","FQ2 2016","Currency=INR","Period=FQ","BEST_FPERIOD_OVERRIDE=FQ","FILING_STATUS=OR","EQY_CONSOLIDATED=Y","SCALING_FORMAT=MLN","Sort=A","Dates=H","DateFormat=P","Fill=—","Direction=H","UseDPDF=Y")</f>
        <v>#NAME?</v>
      </c>
      <c r="CA540" s="2" t="e">
        <f ca="1">_xll.BDH($C$528,"BS_LT_BORROW","FQ2 2016","FQ2 2016","Currency=INR","Period=FQ","BEST_FPERIOD_OVERRIDE=FQ","FILING_STATUS=OR","EQY_CONSOLIDATED=Y","SCALING_FORMAT=MLN","Sort=A","Dates=H","DateFormat=P","Fill=—","Direction=H","UseDPDF=Y")</f>
        <v>#NAME?</v>
      </c>
      <c r="CB540" s="1" t="e">
        <f ca="1">_xll.BDH($C$528,"TOT_DEBT_TO_EBITDA","FQ2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40" s="1" t="e">
        <f ca="1">_xll.BDH($C$528,"NET_DEBT_TO_EBITDA","FQ2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40" s="1" t="e">
        <f ca="1">_xll.BDH($C$528,"TOTAL_DEBT_TO_EBIT","FQ2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40" s="1" t="e">
        <f ca="1">_xll.BDH($C$528,"NET_DEBT_TO_EBIT","FQ2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540" s="1" t="e">
        <f ca="1">_xll.BDH($C$528,"EBITDA_TO_INTEREST_EXPN","FQ2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40" s="1" t="e">
        <f ca="1">_xll.BDH($C$528,"COM_EQY_TO_TOT_ASSET","FQ2 2016","FQ2 2016","Currency=INR","Period=FQ","BEST_FPERIOD_OVERRIDE=FQ","FILING_STATUS=OR","EQY_CONSOLIDATED=Y","Sort=A","Dates=H","DateFormat=P","Fill=—","Direction=H","UseDPDF=Y")</f>
        <v>#NAME?</v>
      </c>
      <c r="CH540" s="1" t="e">
        <f ca="1">_xll.BDH($C$528,"LT_DEBT_TO_TOT_EQY","FQ2 2016","FQ2 2016","Currency=INR","Period=FQ","BEST_FPERIOD_OVERRIDE=FQ","FILING_STATUS=OR","EQY_CONSOLIDATED=Y","Sort=A","Dates=H","DateFormat=P","Fill=—","Direction=H","UseDPDF=Y")</f>
        <v>#NAME?</v>
      </c>
      <c r="CI540" s="1" t="e">
        <f ca="1">_xll.BDH($C$528,"LT_DEBT_TO_TOT_CAP","FQ2 2016","FQ2 2016","Currency=INR","Period=FQ","BEST_FPERIOD_OVERRIDE=FQ","FILING_STATUS=OR","EQY_CONSOLIDATED=Y","Sort=A","Dates=H","DateFormat=P","Fill=—","Direction=H","UseDPDF=Y")</f>
        <v>#NAME?</v>
      </c>
      <c r="CJ540" s="1" t="e">
        <f ca="1">_xll.BDH($C$528,"LT_DEBT_TO_TOT_ASSET","FQ2 2016","FQ2 2016","Currency=INR","Period=FQ","BEST_FPERIOD_OVERRIDE=FQ","FILING_STATUS=OR","EQY_CONSOLIDATED=Y","Sort=A","Dates=H","DateFormat=P","Fill=—","Direction=H","UseDPDF=Y")</f>
        <v>#NAME?</v>
      </c>
      <c r="CK540" s="1" t="e">
        <f ca="1">_xll.BDH($C$528,"TOT_DEBT_TO_TOT_EQY","FQ2 2016","FQ2 2016","Currency=INR","Period=FQ","BEST_FPERIOD_OVERRIDE=FQ","FILING_STATUS=OR","EQY_CONSOLIDATED=Y","Sort=A","Dates=H","DateFormat=P","Fill=—","Direction=H","UseDPDF=Y")</f>
        <v>#NAME?</v>
      </c>
      <c r="CL540" s="1" t="e">
        <f ca="1">_xll.BDH($C$528,"TOT_DEBT_TO_TOT_CAP","FQ2 2016","FQ2 2016","Currency=INR","Period=FQ","BEST_FPERIOD_OVERRIDE=FQ","FILING_STATUS=OR","EQY_CONSOLIDATED=Y","Sort=A","Dates=H","DateFormat=P","Fill=—","Direction=H","UseDPDF=Y")</f>
        <v>#NAME?</v>
      </c>
      <c r="CM540" s="1" t="e">
        <f ca="1">_xll.BDH($C$528,"TOT_DEBT_TO_TOT_ASSET","FQ2 2016","FQ2 2016","Currency=INR","Period=FQ","BEST_FPERIOD_OVERRIDE=FQ","FILING_STATUS=OR","EQY_CONSOLIDATED=Y","Sort=A","Dates=H","DateFormat=P","Fill=—","Direction=H","UseDPDF=Y")</f>
        <v>#NAME?</v>
      </c>
      <c r="CN540" s="1" t="e">
        <f ca="1">_xll.BDH($C$528,"NET_DEBT_TO_SHRHLDR_EQTY","FQ2 2016","FQ2 2016","Currency=INR","Period=FQ","BEST_FPERIOD_OVERRIDE=FQ","FILING_STATUS=OR","EQY_CONSOLIDATED=Y","Sort=A","Dates=H","DateFormat=P","Fill=—","Direction=H","UseDPDF=Y")</f>
        <v>#NAME?</v>
      </c>
      <c r="CO540" s="1" t="e">
        <f ca="1">_xll.BDH($C$528,"NET_DEBT_%_CAPITAL","FQ2 2016","FQ2 2016","Currency=INR","Period=FQ","BEST_FPERIOD_OVERRIDE=FQ","FILING_STATUS=OR","EQY_CONSOLIDATED=Y","Sort=A","Dates=H","DateFormat=P","Fill=—","Direction=H","UseDPDF=Y")</f>
        <v>#NAME?</v>
      </c>
      <c r="CP540" s="2" t="e">
        <f ca="1">_xll.BDH($C$528,"EBITDA","FQ2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40" s="2" t="e">
        <f ca="1">_xll.BDH($C$528,"EBITDA_AFTER_CAPEX","FQ2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40" s="2" t="e">
        <f ca="1">_xll.BDH($C$528,"IS_OPER_INC","FQ2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40" s="1" t="e">
        <f ca="1">_xll.BDH($C$528,"CASH_RATIO","FQ2 2016","FQ2 2016","Currency=INR","Period=FQ","BEST_FPERIOD_OVERRIDE=FQ","FILING_STATUS=OR","EQY_CONSOLIDATED=Y","Sort=A","Dates=H","DateFormat=P","Fill=—","Direction=H","UseDPDF=Y")</f>
        <v>#NAME?</v>
      </c>
      <c r="CT540" s="1" t="e">
        <f ca="1">_xll.BDH($C$528,"CUR_RATIO","FQ2 2016","FQ2 2016","Currency=INR","Period=FQ","BEST_FPERIOD_OVERRIDE=FQ","FILING_STATUS=OR","EQY_CONSOLIDATED=Y","Sort=A","Dates=H","DateFormat=P","Fill=—","Direction=H","UseDPDF=Y")</f>
        <v>#NAME?</v>
      </c>
      <c r="CU540" s="1" t="e">
        <f ca="1">_xll.BDH($C$528,"QUICK_RATIO","FQ2 2016","FQ2 2016","Currency=INR","Period=FQ","BEST_FPERIOD_OVERRIDE=FQ","FILING_STATUS=OR","EQY_CONSOLIDATED=Y","Sort=A","Dates=H","DateFormat=P","Fill=—","Direction=H","UseDPDF=Y")</f>
        <v>#NAME?</v>
      </c>
      <c r="CV540" s="1" t="e">
        <f ca="1">_xll.BDH($C$528,"ALTMAN_Z_SCORE","FQ2 2016","FQ2 2016","Currency=INR","Period=FQ","BEST_FPERIOD_OVERRIDE=FQ","FILING_STATUS=OR","EQY_CONSOLIDATED=Y","Sort=A","Dates=H","DateFormat=P","Fill=—","Direction=H","UseDPDF=Y")</f>
        <v>#NAME?</v>
      </c>
      <c r="CW540" s="3" t="e">
        <f ca="1">_xll.BDH($C$528,"ACCT_RCV_TURN","FQ2 2016","FQ2 2016","Currency=INR","Period=FQ","BEST_FPERIOD_OVERRIDE=FQ","FILING_STATUS=OR","EQY_CONSOLIDATED=Y","FA_ADJUSTED=GAAP","Sort=A","Dates=H","DateFormat=P","Fill=—","Direction=H","UseDPDF=Y")</f>
        <v>#NAME?</v>
      </c>
      <c r="CX540" s="1" t="e">
        <f ca="1">_xll.BDH($C$528,"ACCT_RCV_DAYS","FQ2 2016","FQ2 2016","Currency=INR","Period=FQ","BEST_FPERIOD_OVERRIDE=FQ","FILING_STATUS=OR","EQY_CONSOLIDATED=Y","FA_ADJUSTED=GAAP","Sort=A","Dates=H","DateFormat=P","Fill=—","Direction=H","UseDPDF=Y")</f>
        <v>#NAME?</v>
      </c>
      <c r="CY540" s="3" t="e">
        <f ca="1">_xll.BDH($C$528,"INVENT_TURN","FQ2 2016","FQ2 2016","Currency=INR","Period=FQ","BEST_FPERIOD_OVERRIDE=FQ","FILING_STATUS=OR","EQY_CONSOLIDATED=Y","FA_ADJUSTED=GAAP","Sort=A","Dates=H","DateFormat=P","Fill=—","Direction=H","UseDPDF=Y")</f>
        <v>#NAME?</v>
      </c>
      <c r="CZ540" s="1" t="e">
        <f ca="1">_xll.BDH($C$528,"INVENT_DAYS","FQ2 2016","FQ2 2016","Currency=INR","Period=FQ","BEST_FPERIOD_OVERRIDE=FQ","FILING_STATUS=OR","EQY_CONSOLIDATED=Y","FA_ADJUSTED=GAAP","Sort=A","Dates=H","DateFormat=P","Fill=—","Direction=H","UseDPDF=Y")</f>
        <v>#NAME?</v>
      </c>
      <c r="DA540" s="3" t="e">
        <f ca="1">_xll.BDH($C$528,"ACCOUNTS_PAYABLE_TURNOVER","FQ2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40" s="1" t="e">
        <f ca="1">_xll.BDH($C$528,"ACCOUNTS_PAYABLE_TURNOVER_DAYS","FQ2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40" s="3" t="e">
        <f ca="1">_xll.BDH($C$528,"CASH_CONVERSION_CYCLE","FQ2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40" s="3" t="e">
        <f ca="1">_xll.BDH($C$528,"INV_TO_CASH_DAYS","FQ2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540" s="4" t="e">
        <f ca="1">_xll.BDH($C$528,"BS_INVENTORIES","FQ2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540" s="2" t="e">
        <f ca="1">_xll.BDH($C$528,"INVTRY_RAW_MATERIALS","FQ2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40" s="2" t="e">
        <f ca="1">_xll.BDH($C$528,"INVTRY_IN_PROGRESS","FQ2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40" s="2" t="e">
        <f ca="1">_xll.BDH($C$528,"INVTRY_FINISHED_GOODS","FQ2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40" s="2" t="e">
        <f ca="1">_xll.BDH($C$528,"BS_OTHER_INV","FQ2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41" spans="1:113" x14ac:dyDescent="0.3">
      <c r="A541" s="6"/>
      <c r="B541" s="6"/>
      <c r="C541" s="6"/>
      <c r="D541" s="6"/>
      <c r="E541" t="s">
        <v>6</v>
      </c>
      <c r="F541" t="e">
        <f ca="1">_xll.BDH($C$528,"RETURN_COM_EQY","FQ3 2016","FQ3 2016","Currency=INR","Period=FQ","BEST_FPERIOD_OVERRIDE=FQ","FILING_STATUS=OR","EQY_CONSOLIDATED=Y","FA_ADJUSTED=GAAP","Sort=A","Dates=H","DateFormat=P","Fill=—","Direction=H","UseDPDF=Y")</f>
        <v>#NAME?</v>
      </c>
      <c r="G541" t="e">
        <f ca="1">_xll.BDH($C$528,"RETURN_ON_ASSET","FQ3 2016","FQ3 2016","Currency=INR","Period=FQ","BEST_FPERIOD_OVERRIDE=FQ","FILING_STATUS=OR","EQY_CONSOLIDATED=Y","FA_ADJUSTED=GAAP","Sort=A","Dates=H","DateFormat=P","Fill=—","Direction=H","UseDPDF=Y")</f>
        <v>#NAME?</v>
      </c>
      <c r="H541" t="e">
        <f ca="1">_xll.BDH($C$528,"RETURN_ON_CAP","FQ3 2016","FQ3 2016","Currency=INR","Period=FQ","BEST_FPERIOD_OVERRIDE=FQ","FILING_STATUS=OR","EQY_CONSOLIDATED=Y","FA_ADJUSTED=GAAP","Sort=A","Dates=H","DateFormat=P","Fill=—","Direction=H","UseDPDF=Y")</f>
        <v>#NAME?</v>
      </c>
      <c r="I541" t="e">
        <f ca="1">_xll.BDH($C$528,"RETURN_ON_INV_CAPITAL","FQ3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41" t="e">
        <f ca="1">_xll.BDH($C$528,"EBITDA_TO_REVENUE","FQ3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541" t="e">
        <f ca="1">_xll.BDH($C$528,"OPER_MARGIN","FQ3 2016","FQ3 2016","Currency=INR","Period=FQ","BEST_FPERIOD_OVERRIDE=FQ","FILING_STATUS=OR","EQY_CONSOLIDATED=Y","FA_ADJUSTED=GAAP","Sort=A","Dates=H","DateFormat=P","Fill=—","Direction=H","UseDPDF=Y")</f>
        <v>#NAME?</v>
      </c>
      <c r="L541" t="e">
        <f ca="1">_xll.BDH($C$528,"INCREMENTAL_OPERATING_MARGIN","FQ3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41" t="e">
        <f ca="1">_xll.BDH($C$528,"PRETAX_INC_TO_NET_SALES","FQ3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41" t="e">
        <f ca="1">_xll.BDH($C$528,"INC_BEF_XO_ITEMS_TO_NET_SALES","FQ3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41" t="e">
        <f ca="1">_xll.BDH($C$528,"PROF_MARGIN","FQ3 2016","FQ3 2016","Currency=INR","Period=FQ","BEST_FPERIOD_OVERRIDE=FQ","FILING_STATUS=OR","EQY_CONSOLIDATED=Y","FA_ADJUSTED=GAAP","Sort=A","Dates=H","DateFormat=P","Fill=—","Direction=H","UseDPDF=Y")</f>
        <v>#NAME?</v>
      </c>
      <c r="P541" t="e">
        <f ca="1">_xll.BDH($C$528,"NET_INCOME_TO_COMMON_MARGIN","FQ3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41" t="e">
        <f ca="1">_xll.BDH($C$528,"EFF_TAX_RATE","FQ3 2016","FQ3 2016","Currency=INR","Period=FQ","BEST_FPERIOD_OVERRIDE=FQ","FILING_STATUS=OR","EQY_CONSOLIDATED=Y","FA_ADJUSTED=GAAP","Sort=A","Dates=H","DateFormat=P","Fill=—","Direction=H","UseDPDF=Y")</f>
        <v>#NAME?</v>
      </c>
      <c r="R541" t="e">
        <f ca="1">_xll.BDH($C$528,"DVD_PAYOUT_RATIO","FQ3 2016","FQ3 2016","Currency=INR","Period=FQ","BEST_FPERIOD_OVERRIDE=FQ","FILING_STATUS=OR","EQY_CONSOLIDATED=Y","FA_ADJUSTED=GAAP","Sort=A","Dates=H","DateFormat=P","Fill=—","Direction=H","UseDPDF=Y")</f>
        <v>#NAME?</v>
      </c>
      <c r="S541" t="e">
        <f ca="1">_xll.BDH($C$528,"SUSTAIN_GROWTH_RT","FQ3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541" s="1" t="e">
        <f ca="1">_xll.BDH($C$528,"SALES_GROWTH","FQ3 2016","FQ3 2016","Currency=INR","Period=FQ","BEST_FPERIOD_OVERRIDE=FQ","FILING_STATUS=OR","EQY_CONSOLIDATED=Y","FA_ADJUSTED=GAAP","Sort=A","Dates=H","DateFormat=P","Fill=—","Direction=H","UseDPDF=Y")</f>
        <v>#NAME?</v>
      </c>
      <c r="U541" s="1" t="e">
        <f ca="1">_xll.BDH($C$528,"EBITDA_GROWTH","FQ3 2016","FQ3 2016","Currency=INR","Period=FQ","BEST_FPERIOD_OVERRIDE=FQ","FILING_STATUS=OR","EQY_CONSOLIDATED=Y","FA_ADJUSTED=GAAP","Sort=A","Dates=H","DateFormat=P","Fill=—","Direction=H","UseDPDF=Y")</f>
        <v>#NAME?</v>
      </c>
      <c r="V541" s="1" t="e">
        <f ca="1">_xll.BDH($C$528,"OPER_INC_GROWTH","FQ3 2016","FQ3 2016","Currency=INR","Period=FQ","BEST_FPERIOD_OVERRIDE=FQ","FILING_STATUS=OR","EQY_CONSOLIDATED=Y","FA_ADJUSTED=GAAP","Sort=A","Dates=H","DateFormat=P","Fill=—","Direction=H","UseDPDF=Y")</f>
        <v>#NAME?</v>
      </c>
      <c r="W541" s="1" t="e">
        <f ca="1">_xll.BDH($C$528,"EARN_FOR_COM_GROWTH","FQ3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41" s="1" t="e">
        <f ca="1">_xll.BDH($C$528,"DILUTED_EPS_AFT_XO_ITEMS_GROWTH","FQ3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41" s="1" t="e">
        <f ca="1">_xll.BDH($C$528,"DIVIDEND_PER_SHARE_1_YEAR_GROWTH","FQ3 2016","FQ3 2016","Currency=INR","Period=FQ","BEST_FPERIOD_OVERRIDE=FQ","FILING_STATUS=OR","EQY_CONSOLIDATED=Y","Sort=A","Dates=H","DateFormat=P","Fill=—","Direction=H","UseDPDF=Y")</f>
        <v>#NAME?</v>
      </c>
      <c r="Z541" s="1" t="e">
        <f ca="1">_xll.BDH($C$528,"ACCOUNTS_RECEIVABLE_GROWTH","FQ3 2016","FQ3 2016","Currency=INR","Period=FQ","BEST_FPERIOD_OVERRIDE=FQ","FILING_STATUS=OR","EQY_CONSOLIDATED=Y","Sort=A","Dates=H","DateFormat=P","Fill=—","Direction=H","UseDPDF=Y")</f>
        <v>#NAME?</v>
      </c>
      <c r="AA541" s="1" t="e">
        <f ca="1">_xll.BDH($C$528,"INVENTORY_GROWTH","FQ3 2016","FQ3 2016","Currency=INR","Period=FQ","BEST_FPERIOD_OVERRIDE=FQ","FILING_STATUS=OR","EQY_CONSOLIDATED=Y","Sort=A","Dates=H","DateFormat=P","Fill=—","Direction=H","UseDPDF=Y")</f>
        <v>#NAME?</v>
      </c>
      <c r="AB541" s="1" t="e">
        <f ca="1">_xll.BDH($C$528,"NET_FIXED_ASSETS_1_YEAR_GROWTH","FQ3 2016","FQ3 2016","Currency=INR","Period=FQ","BEST_FPERIOD_OVERRIDE=FQ","FILING_STATUS=OR","EQY_CONSOLIDATED=Y","Sort=A","Dates=H","DateFormat=P","Fill=—","Direction=H","UseDPDF=Y")</f>
        <v>#NAME?</v>
      </c>
      <c r="AC541" s="1" t="e">
        <f ca="1">_xll.BDH($C$528,"ASSET_GROWTH","FQ3 2016","FQ3 2016","Currency=INR","Period=FQ","BEST_FPERIOD_OVERRIDE=FQ","FILING_STATUS=OR","EQY_CONSOLIDATED=Y","Sort=A","Dates=H","DateFormat=P","Fill=—","Direction=H","UseDPDF=Y")</f>
        <v>#NAME?</v>
      </c>
      <c r="AD541" s="1" t="e">
        <f ca="1">_xll.BDH($C$528,"MODIFIED_WORK_CAP_GROWTH","FQ3 2016","FQ3 2016","Currency=INR","Period=FQ","BEST_FPERIOD_OVERRIDE=FQ","FILING_STATUS=OR","EQY_CONSOLIDATED=Y","Sort=A","Dates=H","DateFormat=P","Fill=—","Direction=H","UseDPDF=Y")</f>
        <v>#NAME?</v>
      </c>
      <c r="AE541" s="1" t="e">
        <f ca="1">_xll.BDH($C$528,"WORK_CAP_GROWTH","FQ3 2016","FQ3 2016","Currency=INR","Period=FQ","BEST_FPERIOD_OVERRIDE=FQ","FILING_STATUS=OR","EQY_CONSOLIDATED=Y","Sort=A","Dates=H","DateFormat=P","Fill=—","Direction=H","UseDPDF=Y")</f>
        <v>#NAME?</v>
      </c>
      <c r="AF541" s="1" t="e">
        <f ca="1">_xll.BDH($C$528,"ACCOUNTS_PAYABLE_GROWTH_1YR","FQ3 2016","FQ3 2016","Currency=INR","Period=FQ","BEST_FPERIOD_OVERRIDE=FQ","FILING_STATUS=OR","EQY_CONSOLIDATED=Y","Sort=A","Dates=H","DateFormat=P","Fill=—","Direction=H","UseDPDF=Y")</f>
        <v>#NAME?</v>
      </c>
      <c r="AG541" s="1" t="e">
        <f ca="1">_xll.BDH($C$528,"SHORT_TERM_DEBT_1_YEAR_GROWTH","FQ3 2016","FQ3 2016","Currency=INR","Period=FQ","BEST_FPERIOD_OVERRIDE=FQ","FILING_STATUS=OR","EQY_CONSOLIDATED=Y","Sort=A","Dates=H","DateFormat=P","Fill=—","Direction=H","UseDPDF=Y")</f>
        <v>#NAME?</v>
      </c>
      <c r="AH541" s="1" t="e">
        <f ca="1">_xll.BDH($C$528,"TOTAL_DEBT_1_YEAR_GROWTH","FQ3 2016","FQ3 2016","Currency=INR","Period=FQ","BEST_FPERIOD_OVERRIDE=FQ","FILING_STATUS=OR","EQY_CONSOLIDATED=Y","Sort=A","Dates=H","DateFormat=P","Fill=—","Direction=H","UseDPDF=Y")</f>
        <v>#NAME?</v>
      </c>
      <c r="AI541" s="1" t="e">
        <f ca="1">_xll.BDH($C$528,"TOTAL_EQUITY_1_YEAR_GROWTH","FQ3 2016","FQ3 2016","Currency=INR","Period=FQ","BEST_FPERIOD_OVERRIDE=FQ","FILING_STATUS=OR","EQY_CONSOLIDATED=Y","Sort=A","Dates=H","DateFormat=P","Fill=—","Direction=H","UseDPDF=Y")</f>
        <v>#NAME?</v>
      </c>
      <c r="AJ541" s="1" t="e">
        <f ca="1">_xll.BDH($C$528,"GROWTH_IN_CAP","FQ3 2016","FQ3 2016","Currency=INR","Period=FQ","BEST_FPERIOD_OVERRIDE=FQ","FILING_STATUS=OR","EQY_CONSOLIDATED=Y","Sort=A","Dates=H","DateFormat=P","Fill=—","Direction=H","UseDPDF=Y")</f>
        <v>#NAME?</v>
      </c>
      <c r="AK541" s="1" t="e">
        <f ca="1">_xll.BDH($C$528,"BVPS_GROWTH","FQ3 2016","FQ3 2016","Currency=INR","Period=FQ","BEST_FPERIOD_OVERRIDE=FQ","FILING_STATUS=OR","EQY_CONSOLIDATED=Y","Sort=A","Dates=H","DateFormat=P","Fill=—","Direction=H","UseDPDF=Y")</f>
        <v>#NAME?</v>
      </c>
      <c r="AL541" s="1" t="e">
        <f ca="1">_xll.BDH($C$528,"CASH_FLOW_GROWTH","FQ3 2016","FQ3 2016","Currency=INR","Period=FQ","BEST_FPERIOD_OVERRIDE=FQ","FILING_STATUS=OR","EQY_CONSOLIDATED=Y","Sort=A","Dates=H","DateFormat=P","Fill=—","Direction=H","UseDPDF=Y")</f>
        <v>#NAME?</v>
      </c>
      <c r="AM541" s="1" t="e">
        <f ca="1">_xll.BDH($C$528,"GEO_GROW_NET_SALES","FQ3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41" s="1" t="e">
        <f ca="1">_xll.BDH($C$528,"GEO_GROW_EBITDA","FQ3 2016","FQ3 2016","Currency=INR","Period=FQ","BEST_FPERIOD_OVERRIDE=FQ","FILING_STATUS=OR","EQY_CONSOLIDATED=Y","FA_ADJUSTED=GAAP","Sort=A","Dates=H","DateFormat=P","Fill=—","Direction=H","UseDPDF=Y")</f>
        <v>#NAME?</v>
      </c>
      <c r="AO541" s="1" t="e">
        <f ca="1">_xll.BDH($C$528,"GEO_GROW_OPER_INC","FQ3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41" s="1" t="e">
        <f ca="1">_xll.BDH($C$528,"NET_INCOME_TO_COMMON_5_YR_GROWTH","FQ3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41" s="1" t="e">
        <f ca="1">_xll.BDH($C$528,"5Y_GEO_GROWTH_DILUTED_EPS","FQ3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41" s="1" t="e">
        <f ca="1">_xll.BDH($C$528,"GEO_GROW_DVD_PER_SH","FQ3 2016","FQ3 2016","Currency=INR","Period=FQ","BEST_FPERIOD_OVERRIDE=FQ","FILING_STATUS=OR","EQY_CONSOLIDATED=Y","Sort=A","Dates=H","DateFormat=P","Fill=—","Direction=H","UseDPDF=Y")</f>
        <v>#NAME?</v>
      </c>
      <c r="AS541" s="1" t="e">
        <f ca="1">_xll.BDH($C$528,"ACCOUNTS_RECEIVABLE_5_YR_GROWTH","FQ3 2016","FQ3 2016","Currency=INR","Period=FQ","BEST_FPERIOD_OVERRIDE=FQ","FILING_STATUS=OR","EQY_CONSOLIDATED=Y","Sort=A","Dates=H","DateFormat=P","Fill=—","Direction=H","UseDPDF=Y")</f>
        <v>#NAME?</v>
      </c>
      <c r="AT541" s="1" t="e">
        <f ca="1">_xll.BDH($C$528,"INVENTORY_5_YEAR_GROWTH","FQ3 2016","FQ3 2016","Currency=INR","Period=FQ","BEST_FPERIOD_OVERRIDE=FQ","FILING_STATUS=OR","EQY_CONSOLIDATED=Y","Sort=A","Dates=H","DateFormat=P","Fill=—","Direction=H","UseDPDF=Y")</f>
        <v>#NAME?</v>
      </c>
      <c r="AU541" s="1" t="e">
        <f ca="1">_xll.BDH($C$528,"NET_FIXED_ASSETS_5_YEAR_GROWTH","FQ3 2016","FQ3 2016","Currency=INR","Period=FQ","BEST_FPERIOD_OVERRIDE=FQ","FILING_STATUS=OR","EQY_CONSOLIDATED=Y","Sort=A","Dates=H","DateFormat=P","Fill=—","Direction=H","UseDPDF=Y")</f>
        <v>#NAME?</v>
      </c>
      <c r="AV541" s="1" t="e">
        <f ca="1">_xll.BDH($C$528,"GEO_GROW_TOT_ASSET","FQ3 2016","FQ3 2016","Currency=INR","Period=FQ","BEST_FPERIOD_OVERRIDE=FQ","FILING_STATUS=OR","EQY_CONSOLIDATED=Y","Sort=A","Dates=H","DateFormat=P","Fill=—","Direction=H","UseDPDF=Y")</f>
        <v>#NAME?</v>
      </c>
      <c r="AW541" s="1" t="e">
        <f ca="1">_xll.BDH($C$528,"MODIFIED_WORKING_CPTL_5YR_GRWTH","FQ3 2016","FQ3 2016","Currency=INR","Period=FQ","BEST_FPERIOD_OVERRIDE=FQ","FILING_STATUS=OR","EQY_CONSOLIDATED=Y","Sort=A","Dates=H","DateFormat=P","Fill=—","Direction=H","UseDPDF=Y")</f>
        <v>#NAME?</v>
      </c>
      <c r="AX541" s="1" t="e">
        <f ca="1">_xll.BDH($C$528,"WORKING_CAPITAL_5_YEAR_GROWTH","FQ3 2016","FQ3 2016","Currency=INR","Period=FQ","BEST_FPERIOD_OVERRIDE=FQ","FILING_STATUS=OR","EQY_CONSOLIDATED=Y","Sort=A","Dates=H","DateFormat=P","Fill=—","Direction=H","UseDPDF=Y")</f>
        <v>#NAME?</v>
      </c>
      <c r="AY541" s="1" t="e">
        <f ca="1">_xll.BDH($C$528,"ACCOUNTS_PAYABLE_5_YEAR_GROWTH","FQ3 2016","FQ3 2016","Currency=INR","Period=FQ","BEST_FPERIOD_OVERRIDE=FQ","FILING_STATUS=OR","EQY_CONSOLIDATED=Y","Sort=A","Dates=H","DateFormat=P","Fill=—","Direction=H","UseDPDF=Y")</f>
        <v>#NAME?</v>
      </c>
      <c r="AZ541" s="1" t="e">
        <f ca="1">_xll.BDH($C$528,"SHORT_TERM_DEBT_5_YEAR_GROWTH","FQ3 2016","FQ3 2016","Currency=INR","Period=FQ","BEST_FPERIOD_OVERRIDE=FQ","FILING_STATUS=OR","EQY_CONSOLIDATED=Y","Sort=A","Dates=H","DateFormat=P","Fill=—","Direction=H","UseDPDF=Y")</f>
        <v>#NAME?</v>
      </c>
      <c r="BA541" s="1" t="e">
        <f ca="1">_xll.BDH($C$528,"TOTAL_DEBT_5_YEAR_GROWTH","FQ3 2016","FQ3 2016","Currency=INR","Period=FQ","BEST_FPERIOD_OVERRIDE=FQ","FILING_STATUS=OR","EQY_CONSOLIDATED=Y","Sort=A","Dates=H","DateFormat=P","Fill=—","Direction=H","UseDPDF=Y")</f>
        <v>#NAME?</v>
      </c>
      <c r="BB541" s="1" t="e">
        <f ca="1">_xll.BDH($C$528,"GEO_GROW_TOT_SHRHLDR_EQY","FQ3 2016","FQ3 2016","Currency=INR","Period=FQ","BEST_FPERIOD_OVERRIDE=FQ","FILING_STATUS=OR","EQY_CONSOLIDATED=Y","Sort=A","Dates=H","DateFormat=P","Fill=—","Direction=H","UseDPDF=Y")</f>
        <v>#NAME?</v>
      </c>
      <c r="BC541" s="1" t="e">
        <f ca="1">_xll.BDH($C$528,"TOTAL_CAPITAL_5_YEAR_GROWTH","FQ3 2016","FQ3 2016","Currency=INR","Period=FQ","BEST_FPERIOD_OVERRIDE=FQ","FILING_STATUS=OR","EQY_CONSOLIDATED=Y","Sort=A","Dates=H","DateFormat=P","Fill=—","Direction=H","UseDPDF=Y")</f>
        <v>#NAME?</v>
      </c>
      <c r="BD541" s="1" t="e">
        <f ca="1">_xll.BDH($C$528,"GEO_GROW_BOOK_VAL","FQ3 2016","FQ3 2016","Currency=INR","Period=FQ","BEST_FPERIOD_OVERRIDE=FQ","FILING_STATUS=OR","EQY_CONSOLIDATED=Y","Sort=A","Dates=H","DateFormat=P","Fill=—","Direction=H","UseDPDF=Y")</f>
        <v>#NAME?</v>
      </c>
      <c r="BE541" s="1" t="e">
        <f ca="1">_xll.BDH($C$528,"GEO_GROW_CASH_OPER_ACT","FQ3 2016","FQ3 2016","Currency=INR","Period=FQ","BEST_FPERIOD_OVERRIDE=FQ","FILING_STATUS=OR","EQY_CONSOLIDATED=Y","Sort=A","Dates=H","DateFormat=P","Fill=—","Direction=H","UseDPDF=Y")</f>
        <v>#NAME?</v>
      </c>
      <c r="BF541" s="1" t="e">
        <f ca="1">_xll.BDH($C$528,"REVENUE_SEQUENTIAL_GROWTH","FQ3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41" s="1" t="e">
        <f ca="1">_xll.BDH($C$528,"EBITDA_SEQUENTIAL_GROWTH","FQ3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41" s="1" t="e">
        <f ca="1">_xll.BDH($C$528,"OPERATING_INCOME_SEQ_GROWTH","FQ3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41" s="1" t="e">
        <f ca="1">_xll.BDH($C$528,"NET_INCOME_TO_COMMON_SEQ_GROWTH","FQ3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41" s="1" t="e">
        <f ca="1">_xll.BDH($C$528,"EPS_DILUTED_SEQUENTIAL_GROWTH","FQ3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41" s="1" t="e">
        <f ca="1">_xll.BDH($C$528,"DPS_SEQUENTIAL_GROWTH","FQ3 2016","FQ3 2016","Currency=INR","Period=FQ","BEST_FPERIOD_OVERRIDE=FQ","FILING_STATUS=OR","EQY_CONSOLIDATED=Y","Sort=A","Dates=H","DateFormat=P","Fill=—","Direction=H","UseDPDF=Y")</f>
        <v>#NAME?</v>
      </c>
      <c r="BL541" s="1" t="e">
        <f ca="1">_xll.BDH($C$528,"ACCOUNTS_RECEIVABLE_SEQ_GROWTH","FQ3 2016","FQ3 2016","Currency=INR","Period=FQ","BEST_FPERIOD_OVERRIDE=FQ","FILING_STATUS=OR","EQY_CONSOLIDATED=Y","Sort=A","Dates=H","DateFormat=P","Fill=—","Direction=H","UseDPDF=Y")</f>
        <v>#NAME?</v>
      </c>
      <c r="BM541" s="1" t="e">
        <f ca="1">_xll.BDH($C$528,"INVENTORY_SEQUENTIAL_GROWTH","FQ3 2016","FQ3 2016","Currency=INR","Period=FQ","BEST_FPERIOD_OVERRIDE=FQ","FILING_STATUS=OR","EQY_CONSOLIDATED=Y","Sort=A","Dates=H","DateFormat=P","Fill=—","Direction=H","UseDPDF=Y")</f>
        <v>#NAME?</v>
      </c>
      <c r="BN541" s="1" t="e">
        <f ca="1">_xll.BDH($C$528,"FIXED_ASSETS_SEQUENTIAL_GROWTH","FQ3 2016","FQ3 2016","Currency=INR","Period=FQ","BEST_FPERIOD_OVERRIDE=FQ","FILING_STATUS=OR","EQY_CONSOLIDATED=Y","Sort=A","Dates=H","DateFormat=P","Fill=—","Direction=H","UseDPDF=Y")</f>
        <v>#NAME?</v>
      </c>
      <c r="BO541" s="1" t="e">
        <f ca="1">_xll.BDH($C$528,"TOTAL_ASSETS_SEQUENTIAL_GROWTH","FQ3 2016","FQ3 2016","Currency=INR","Period=FQ","BEST_FPERIOD_OVERRIDE=FQ","FILING_STATUS=OR","EQY_CONSOLIDATED=Y","Sort=A","Dates=H","DateFormat=P","Fill=—","Direction=H","UseDPDF=Y")</f>
        <v>#NAME?</v>
      </c>
      <c r="BP541" s="1" t="e">
        <f ca="1">_xll.BDH($C$528,"MODIFIED_WORKING_CPTL_SEQ_GRWTH","FQ3 2016","FQ3 2016","Currency=INR","Period=FQ","BEST_FPERIOD_OVERRIDE=FQ","FILING_STATUS=OR","EQY_CONSOLIDATED=Y","Sort=A","Dates=H","DateFormat=P","Fill=—","Direction=H","UseDPDF=Y")</f>
        <v>#NAME?</v>
      </c>
      <c r="BQ541" s="1" t="e">
        <f ca="1">_xll.BDH($C$528,"WORKING_CAPITAL_SEQ_GROWTH","FQ3 2016","FQ3 2016","Currency=INR","Period=FQ","BEST_FPERIOD_OVERRIDE=FQ","FILING_STATUS=OR","EQY_CONSOLIDATED=Y","Sort=A","Dates=H","DateFormat=P","Fill=—","Direction=H","UseDPDF=Y")</f>
        <v>#NAME?</v>
      </c>
      <c r="BR541" s="1" t="e">
        <f ca="1">_xll.BDH($C$528,"ACCOUNTS_PAYABLE_SEQ_GROWTH","FQ3 2016","FQ3 2016","Currency=INR","Period=FQ","BEST_FPERIOD_OVERRIDE=FQ","FILING_STATUS=OR","EQY_CONSOLIDATED=Y","Sort=A","Dates=H","DateFormat=P","Fill=—","Direction=H","UseDPDF=Y")</f>
        <v>#NAME?</v>
      </c>
      <c r="BS541" s="1" t="e">
        <f ca="1">_xll.BDH($C$528,"ST_DEBT_SEQUENTIAL_GROWTH","FQ3 2016","FQ3 2016","Currency=INR","Period=FQ","BEST_FPERIOD_OVERRIDE=FQ","FILING_STATUS=OR","EQY_CONSOLIDATED=Y","Sort=A","Dates=H","DateFormat=P","Fill=—","Direction=H","UseDPDF=Y")</f>
        <v>#NAME?</v>
      </c>
      <c r="BT541" s="1" t="e">
        <f ca="1">_xll.BDH($C$528,"TOTAL_DEBT_SEQUENTIAL_GROWTH","FQ3 2016","FQ3 2016","Currency=INR","Period=FQ","BEST_FPERIOD_OVERRIDE=FQ","FILING_STATUS=OR","EQY_CONSOLIDATED=Y","Sort=A","Dates=H","DateFormat=P","Fill=—","Direction=H","UseDPDF=Y")</f>
        <v>#NAME?</v>
      </c>
      <c r="BU541" s="1" t="e">
        <f ca="1">_xll.BDH($C$528,"TOTAL_EQUITY_SEQUENTIAL_GROWTH","FQ3 2016","FQ3 2016","Currency=INR","Period=FQ","BEST_FPERIOD_OVERRIDE=FQ","FILING_STATUS=OR","EQY_CONSOLIDATED=Y","Sort=A","Dates=H","DateFormat=P","Fill=—","Direction=H","UseDPDF=Y")</f>
        <v>#NAME?</v>
      </c>
      <c r="BV541" s="1" t="e">
        <f ca="1">_xll.BDH($C$528,"TOTAL_CAPITAL_SEQUENTIAL_GROWTH","FQ3 2016","FQ3 2016","Currency=INR","Period=FQ","BEST_FPERIOD_OVERRIDE=FQ","FILING_STATUS=OR","EQY_CONSOLIDATED=Y","Sort=A","Dates=H","DateFormat=P","Fill=—","Direction=H","UseDPDF=Y")</f>
        <v>#NAME?</v>
      </c>
      <c r="BW541" s="1" t="e">
        <f ca="1">_xll.BDH($C$528,"BPS_SEQUENTIAL_GROWTH","FQ3 2016","FQ3 2016","Currency=INR","Period=FQ","BEST_FPERIOD_OVERRIDE=FQ","FILING_STATUS=OR","EQY_CONSOLIDATED=Y","Sort=A","Dates=H","DateFormat=P","Fill=—","Direction=H","UseDPDF=Y")</f>
        <v>#NAME?</v>
      </c>
      <c r="BX541" s="1" t="e">
        <f ca="1">_xll.BDH($C$528,"CFO_SEQUENTIAL_GROWTH","FQ3 2016","FQ3 2016","Currency=INR","Period=FQ","BEST_FPERIOD_OVERRIDE=FQ","FILING_STATUS=OR","EQY_CONSOLIDATED=Y","Sort=A","Dates=H","DateFormat=P","Fill=—","Direction=H","UseDPDF=Y")</f>
        <v>#NAME?</v>
      </c>
      <c r="BY541" s="2" t="e">
        <f ca="1">_xll.BDH($C$528,"SHORT_AND_LONG_TERM_DEBT","FQ3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41" s="2" t="e">
        <f ca="1">_xll.BDH($C$528,"BS_ST_BORROW","FQ3 2016","FQ3 2016","Currency=INR","Period=FQ","BEST_FPERIOD_OVERRIDE=FQ","FILING_STATUS=OR","EQY_CONSOLIDATED=Y","SCALING_FORMAT=MLN","Sort=A","Dates=H","DateFormat=P","Fill=—","Direction=H","UseDPDF=Y")</f>
        <v>#NAME?</v>
      </c>
      <c r="CA541" s="2" t="e">
        <f ca="1">_xll.BDH($C$528,"BS_LT_BORROW","FQ3 2016","FQ3 2016","Currency=INR","Period=FQ","BEST_FPERIOD_OVERRIDE=FQ","FILING_STATUS=OR","EQY_CONSOLIDATED=Y","SCALING_FORMAT=MLN","Sort=A","Dates=H","DateFormat=P","Fill=—","Direction=H","UseDPDF=Y")</f>
        <v>#NAME?</v>
      </c>
      <c r="CB541" s="1" t="e">
        <f ca="1">_xll.BDH($C$528,"TOT_DEBT_TO_EBITDA","FQ3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41" s="1" t="e">
        <f ca="1">_xll.BDH($C$528,"NET_DEBT_TO_EBITDA","FQ3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41" s="1" t="e">
        <f ca="1">_xll.BDH($C$528,"TOTAL_DEBT_TO_EBIT","FQ3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41" s="1" t="e">
        <f ca="1">_xll.BDH($C$528,"NET_DEBT_TO_EBIT","FQ3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541" s="1" t="e">
        <f ca="1">_xll.BDH($C$528,"EBITDA_TO_INTEREST_EXPN","FQ3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41" s="1" t="e">
        <f ca="1">_xll.BDH($C$528,"COM_EQY_TO_TOT_ASSET","FQ3 2016","FQ3 2016","Currency=INR","Period=FQ","BEST_FPERIOD_OVERRIDE=FQ","FILING_STATUS=OR","EQY_CONSOLIDATED=Y","Sort=A","Dates=H","DateFormat=P","Fill=—","Direction=H","UseDPDF=Y")</f>
        <v>#NAME?</v>
      </c>
      <c r="CH541" s="1" t="e">
        <f ca="1">_xll.BDH($C$528,"LT_DEBT_TO_TOT_EQY","FQ3 2016","FQ3 2016","Currency=INR","Period=FQ","BEST_FPERIOD_OVERRIDE=FQ","FILING_STATUS=OR","EQY_CONSOLIDATED=Y","Sort=A","Dates=H","DateFormat=P","Fill=—","Direction=H","UseDPDF=Y")</f>
        <v>#NAME?</v>
      </c>
      <c r="CI541" s="1" t="e">
        <f ca="1">_xll.BDH($C$528,"LT_DEBT_TO_TOT_CAP","FQ3 2016","FQ3 2016","Currency=INR","Period=FQ","BEST_FPERIOD_OVERRIDE=FQ","FILING_STATUS=OR","EQY_CONSOLIDATED=Y","Sort=A","Dates=H","DateFormat=P","Fill=—","Direction=H","UseDPDF=Y")</f>
        <v>#NAME?</v>
      </c>
      <c r="CJ541" s="1" t="e">
        <f ca="1">_xll.BDH($C$528,"LT_DEBT_TO_TOT_ASSET","FQ3 2016","FQ3 2016","Currency=INR","Period=FQ","BEST_FPERIOD_OVERRIDE=FQ","FILING_STATUS=OR","EQY_CONSOLIDATED=Y","Sort=A","Dates=H","DateFormat=P","Fill=—","Direction=H","UseDPDF=Y")</f>
        <v>#NAME?</v>
      </c>
      <c r="CK541" s="1" t="e">
        <f ca="1">_xll.BDH($C$528,"TOT_DEBT_TO_TOT_EQY","FQ3 2016","FQ3 2016","Currency=INR","Period=FQ","BEST_FPERIOD_OVERRIDE=FQ","FILING_STATUS=OR","EQY_CONSOLIDATED=Y","Sort=A","Dates=H","DateFormat=P","Fill=—","Direction=H","UseDPDF=Y")</f>
        <v>#NAME?</v>
      </c>
      <c r="CL541" s="1" t="e">
        <f ca="1">_xll.BDH($C$528,"TOT_DEBT_TO_TOT_CAP","FQ3 2016","FQ3 2016","Currency=INR","Period=FQ","BEST_FPERIOD_OVERRIDE=FQ","FILING_STATUS=OR","EQY_CONSOLIDATED=Y","Sort=A","Dates=H","DateFormat=P","Fill=—","Direction=H","UseDPDF=Y")</f>
        <v>#NAME?</v>
      </c>
      <c r="CM541" s="1" t="e">
        <f ca="1">_xll.BDH($C$528,"TOT_DEBT_TO_TOT_ASSET","FQ3 2016","FQ3 2016","Currency=INR","Period=FQ","BEST_FPERIOD_OVERRIDE=FQ","FILING_STATUS=OR","EQY_CONSOLIDATED=Y","Sort=A","Dates=H","DateFormat=P","Fill=—","Direction=H","UseDPDF=Y")</f>
        <v>#NAME?</v>
      </c>
      <c r="CN541" s="1" t="e">
        <f ca="1">_xll.BDH($C$528,"NET_DEBT_TO_SHRHLDR_EQTY","FQ3 2016","FQ3 2016","Currency=INR","Period=FQ","BEST_FPERIOD_OVERRIDE=FQ","FILING_STATUS=OR","EQY_CONSOLIDATED=Y","Sort=A","Dates=H","DateFormat=P","Fill=—","Direction=H","UseDPDF=Y")</f>
        <v>#NAME?</v>
      </c>
      <c r="CO541" s="1" t="e">
        <f ca="1">_xll.BDH($C$528,"NET_DEBT_%_CAPITAL","FQ3 2016","FQ3 2016","Currency=INR","Period=FQ","BEST_FPERIOD_OVERRIDE=FQ","FILING_STATUS=OR","EQY_CONSOLIDATED=Y","Sort=A","Dates=H","DateFormat=P","Fill=—","Direction=H","UseDPDF=Y")</f>
        <v>#NAME?</v>
      </c>
      <c r="CP541" s="2" t="e">
        <f ca="1">_xll.BDH($C$528,"EBITDA","FQ3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41" s="2" t="e">
        <f ca="1">_xll.BDH($C$528,"EBITDA_AFTER_CAPEX","FQ3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41" s="2" t="e">
        <f ca="1">_xll.BDH($C$528,"IS_OPER_INC","FQ3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41" s="1" t="e">
        <f ca="1">_xll.BDH($C$528,"CASH_RATIO","FQ3 2016","FQ3 2016","Currency=INR","Period=FQ","BEST_FPERIOD_OVERRIDE=FQ","FILING_STATUS=OR","EQY_CONSOLIDATED=Y","Sort=A","Dates=H","DateFormat=P","Fill=—","Direction=H","UseDPDF=Y")</f>
        <v>#NAME?</v>
      </c>
      <c r="CT541" s="1" t="e">
        <f ca="1">_xll.BDH($C$528,"CUR_RATIO","FQ3 2016","FQ3 2016","Currency=INR","Period=FQ","BEST_FPERIOD_OVERRIDE=FQ","FILING_STATUS=OR","EQY_CONSOLIDATED=Y","Sort=A","Dates=H","DateFormat=P","Fill=—","Direction=H","UseDPDF=Y")</f>
        <v>#NAME?</v>
      </c>
      <c r="CU541" s="1" t="e">
        <f ca="1">_xll.BDH($C$528,"QUICK_RATIO","FQ3 2016","FQ3 2016","Currency=INR","Period=FQ","BEST_FPERIOD_OVERRIDE=FQ","FILING_STATUS=OR","EQY_CONSOLIDATED=Y","Sort=A","Dates=H","DateFormat=P","Fill=—","Direction=H","UseDPDF=Y")</f>
        <v>#NAME?</v>
      </c>
      <c r="CV541" s="1" t="e">
        <f ca="1">_xll.BDH($C$528,"ALTMAN_Z_SCORE","FQ3 2016","FQ3 2016","Currency=INR","Period=FQ","BEST_FPERIOD_OVERRIDE=FQ","FILING_STATUS=OR","EQY_CONSOLIDATED=Y","Sort=A","Dates=H","DateFormat=P","Fill=—","Direction=H","UseDPDF=Y")</f>
        <v>#NAME?</v>
      </c>
      <c r="CW541" s="3" t="e">
        <f ca="1">_xll.BDH($C$528,"ACCT_RCV_TURN","FQ3 2016","FQ3 2016","Currency=INR","Period=FQ","BEST_FPERIOD_OVERRIDE=FQ","FILING_STATUS=OR","EQY_CONSOLIDATED=Y","FA_ADJUSTED=GAAP","Sort=A","Dates=H","DateFormat=P","Fill=—","Direction=H","UseDPDF=Y")</f>
        <v>#NAME?</v>
      </c>
      <c r="CX541" s="1" t="e">
        <f ca="1">_xll.BDH($C$528,"ACCT_RCV_DAYS","FQ3 2016","FQ3 2016","Currency=INR","Period=FQ","BEST_FPERIOD_OVERRIDE=FQ","FILING_STATUS=OR","EQY_CONSOLIDATED=Y","FA_ADJUSTED=GAAP","Sort=A","Dates=H","DateFormat=P","Fill=—","Direction=H","UseDPDF=Y")</f>
        <v>#NAME?</v>
      </c>
      <c r="CY541" s="3" t="e">
        <f ca="1">_xll.BDH($C$528,"INVENT_TURN","FQ3 2016","FQ3 2016","Currency=INR","Period=FQ","BEST_FPERIOD_OVERRIDE=FQ","FILING_STATUS=OR","EQY_CONSOLIDATED=Y","FA_ADJUSTED=GAAP","Sort=A","Dates=H","DateFormat=P","Fill=—","Direction=H","UseDPDF=Y")</f>
        <v>#NAME?</v>
      </c>
      <c r="CZ541" s="1" t="e">
        <f ca="1">_xll.BDH($C$528,"INVENT_DAYS","FQ3 2016","FQ3 2016","Currency=INR","Period=FQ","BEST_FPERIOD_OVERRIDE=FQ","FILING_STATUS=OR","EQY_CONSOLIDATED=Y","FA_ADJUSTED=GAAP","Sort=A","Dates=H","DateFormat=P","Fill=—","Direction=H","UseDPDF=Y")</f>
        <v>#NAME?</v>
      </c>
      <c r="DA541" s="3" t="e">
        <f ca="1">_xll.BDH($C$528,"ACCOUNTS_PAYABLE_TURNOVER","FQ3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41" s="1" t="e">
        <f ca="1">_xll.BDH($C$528,"ACCOUNTS_PAYABLE_TURNOVER_DAYS","FQ3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41" s="3" t="e">
        <f ca="1">_xll.BDH($C$528,"CASH_CONVERSION_CYCLE","FQ3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41" s="3" t="e">
        <f ca="1">_xll.BDH($C$528,"INV_TO_CASH_DAYS","FQ3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541" s="4" t="e">
        <f ca="1">_xll.BDH($C$528,"BS_INVENTORIES","FQ3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541" s="2" t="e">
        <f ca="1">_xll.BDH($C$528,"INVTRY_RAW_MATERIALS","FQ3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41" s="2" t="e">
        <f ca="1">_xll.BDH($C$528,"INVTRY_IN_PROGRESS","FQ3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41" s="2" t="e">
        <f ca="1">_xll.BDH($C$528,"INVTRY_FINISHED_GOODS","FQ3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41" s="2" t="e">
        <f ca="1">_xll.BDH($C$528,"BS_OTHER_INV","FQ3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42" spans="1:113" x14ac:dyDescent="0.3">
      <c r="A542" s="6"/>
      <c r="B542" s="6"/>
      <c r="C542" s="6"/>
      <c r="D542" s="6"/>
      <c r="E542" t="s">
        <v>7</v>
      </c>
      <c r="F542" t="e">
        <f ca="1">_xll.BDH($C$528,"RETURN_COM_EQY","FQ4 2016","FQ4 2016","Currency=INR","Period=FQ","BEST_FPERIOD_OVERRIDE=FQ","FILING_STATUS=OR","EQY_CONSOLIDATED=Y","FA_ADJUSTED=GAAP","Sort=A","Dates=H","DateFormat=P","Fill=—","Direction=H","UseDPDF=Y")</f>
        <v>#NAME?</v>
      </c>
      <c r="G542" t="e">
        <f ca="1">_xll.BDH($C$528,"RETURN_ON_ASSET","FQ4 2016","FQ4 2016","Currency=INR","Period=FQ","BEST_FPERIOD_OVERRIDE=FQ","FILING_STATUS=OR","EQY_CONSOLIDATED=Y","FA_ADJUSTED=GAAP","Sort=A","Dates=H","DateFormat=P","Fill=—","Direction=H","UseDPDF=Y")</f>
        <v>#NAME?</v>
      </c>
      <c r="H542" t="e">
        <f ca="1">_xll.BDH($C$528,"RETURN_ON_CAP","FQ4 2016","FQ4 2016","Currency=INR","Period=FQ","BEST_FPERIOD_OVERRIDE=FQ","FILING_STATUS=OR","EQY_CONSOLIDATED=Y","FA_ADJUSTED=GAAP","Sort=A","Dates=H","DateFormat=P","Fill=—","Direction=H","UseDPDF=Y")</f>
        <v>#NAME?</v>
      </c>
      <c r="I542" t="e">
        <f ca="1">_xll.BDH($C$528,"RETURN_ON_INV_CAPITAL","FQ4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42" t="e">
        <f ca="1">_xll.BDH($C$528,"EBITDA_TO_REVENUE","FQ4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542" t="e">
        <f ca="1">_xll.BDH($C$528,"OPER_MARGIN","FQ4 2016","FQ4 2016","Currency=INR","Period=FQ","BEST_FPERIOD_OVERRIDE=FQ","FILING_STATUS=OR","EQY_CONSOLIDATED=Y","FA_ADJUSTED=GAAP","Sort=A","Dates=H","DateFormat=P","Fill=—","Direction=H","UseDPDF=Y")</f>
        <v>#NAME?</v>
      </c>
      <c r="L542" t="e">
        <f ca="1">_xll.BDH($C$528,"INCREMENTAL_OPERATING_MARGIN","FQ4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42" t="e">
        <f ca="1">_xll.BDH($C$528,"PRETAX_INC_TO_NET_SALES","FQ4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42" t="e">
        <f ca="1">_xll.BDH($C$528,"INC_BEF_XO_ITEMS_TO_NET_SALES","FQ4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42" t="e">
        <f ca="1">_xll.BDH($C$528,"PROF_MARGIN","FQ4 2016","FQ4 2016","Currency=INR","Period=FQ","BEST_FPERIOD_OVERRIDE=FQ","FILING_STATUS=OR","EQY_CONSOLIDATED=Y","FA_ADJUSTED=GAAP","Sort=A","Dates=H","DateFormat=P","Fill=—","Direction=H","UseDPDF=Y")</f>
        <v>#NAME?</v>
      </c>
      <c r="P542" t="e">
        <f ca="1">_xll.BDH($C$528,"NET_INCOME_TO_COMMON_MARGIN","FQ4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42" t="e">
        <f ca="1">_xll.BDH($C$528,"EFF_TAX_RATE","FQ4 2016","FQ4 2016","Currency=INR","Period=FQ","BEST_FPERIOD_OVERRIDE=FQ","FILING_STATUS=OR","EQY_CONSOLIDATED=Y","FA_ADJUSTED=GAAP","Sort=A","Dates=H","DateFormat=P","Fill=—","Direction=H","UseDPDF=Y")</f>
        <v>#NAME?</v>
      </c>
      <c r="R542" t="e">
        <f ca="1">_xll.BDH($C$528,"DVD_PAYOUT_RATIO","FQ4 2016","FQ4 2016","Currency=INR","Period=FQ","BEST_FPERIOD_OVERRIDE=FQ","FILING_STATUS=OR","EQY_CONSOLIDATED=Y","FA_ADJUSTED=GAAP","Sort=A","Dates=H","DateFormat=P","Fill=—","Direction=H","UseDPDF=Y")</f>
        <v>#NAME?</v>
      </c>
      <c r="S542" t="e">
        <f ca="1">_xll.BDH($C$528,"SUSTAIN_GROWTH_RT","FQ4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542" s="1" t="e">
        <f ca="1">_xll.BDH($C$528,"SALES_GROWTH","FQ4 2016","FQ4 2016","Currency=INR","Period=FQ","BEST_FPERIOD_OVERRIDE=FQ","FILING_STATUS=OR","EQY_CONSOLIDATED=Y","FA_ADJUSTED=GAAP","Sort=A","Dates=H","DateFormat=P","Fill=—","Direction=H","UseDPDF=Y")</f>
        <v>#NAME?</v>
      </c>
      <c r="U542" s="1" t="e">
        <f ca="1">_xll.BDH($C$528,"EBITDA_GROWTH","FQ4 2016","FQ4 2016","Currency=INR","Period=FQ","BEST_FPERIOD_OVERRIDE=FQ","FILING_STATUS=OR","EQY_CONSOLIDATED=Y","FA_ADJUSTED=GAAP","Sort=A","Dates=H","DateFormat=P","Fill=—","Direction=H","UseDPDF=Y")</f>
        <v>#NAME?</v>
      </c>
      <c r="V542" s="1" t="e">
        <f ca="1">_xll.BDH($C$528,"OPER_INC_GROWTH","FQ4 2016","FQ4 2016","Currency=INR","Period=FQ","BEST_FPERIOD_OVERRIDE=FQ","FILING_STATUS=OR","EQY_CONSOLIDATED=Y","FA_ADJUSTED=GAAP","Sort=A","Dates=H","DateFormat=P","Fill=—","Direction=H","UseDPDF=Y")</f>
        <v>#NAME?</v>
      </c>
      <c r="W542" s="1" t="e">
        <f ca="1">_xll.BDH($C$528,"EARN_FOR_COM_GROWTH","FQ4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42" s="1" t="e">
        <f ca="1">_xll.BDH($C$528,"DILUTED_EPS_AFT_XO_ITEMS_GROWTH","FQ4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42" s="1" t="e">
        <f ca="1">_xll.BDH($C$528,"DIVIDEND_PER_SHARE_1_YEAR_GROWTH","FQ4 2016","FQ4 2016","Currency=INR","Period=FQ","BEST_FPERIOD_OVERRIDE=FQ","FILING_STATUS=OR","EQY_CONSOLIDATED=Y","Sort=A","Dates=H","DateFormat=P","Fill=—","Direction=H","UseDPDF=Y")</f>
        <v>#NAME?</v>
      </c>
      <c r="Z542" s="1" t="e">
        <f ca="1">_xll.BDH($C$528,"ACCOUNTS_RECEIVABLE_GROWTH","FQ4 2016","FQ4 2016","Currency=INR","Period=FQ","BEST_FPERIOD_OVERRIDE=FQ","FILING_STATUS=OR","EQY_CONSOLIDATED=Y","Sort=A","Dates=H","DateFormat=P","Fill=—","Direction=H","UseDPDF=Y")</f>
        <v>#NAME?</v>
      </c>
      <c r="AA542" s="1" t="e">
        <f ca="1">_xll.BDH($C$528,"INVENTORY_GROWTH","FQ4 2016","FQ4 2016","Currency=INR","Period=FQ","BEST_FPERIOD_OVERRIDE=FQ","FILING_STATUS=OR","EQY_CONSOLIDATED=Y","Sort=A","Dates=H","DateFormat=P","Fill=—","Direction=H","UseDPDF=Y")</f>
        <v>#NAME?</v>
      </c>
      <c r="AB542" s="1" t="e">
        <f ca="1">_xll.BDH($C$528,"NET_FIXED_ASSETS_1_YEAR_GROWTH","FQ4 2016","FQ4 2016","Currency=INR","Period=FQ","BEST_FPERIOD_OVERRIDE=FQ","FILING_STATUS=OR","EQY_CONSOLIDATED=Y","Sort=A","Dates=H","DateFormat=P","Fill=—","Direction=H","UseDPDF=Y")</f>
        <v>#NAME?</v>
      </c>
      <c r="AC542" s="1" t="e">
        <f ca="1">_xll.BDH($C$528,"ASSET_GROWTH","FQ4 2016","FQ4 2016","Currency=INR","Period=FQ","BEST_FPERIOD_OVERRIDE=FQ","FILING_STATUS=OR","EQY_CONSOLIDATED=Y","Sort=A","Dates=H","DateFormat=P","Fill=—","Direction=H","UseDPDF=Y")</f>
        <v>#NAME?</v>
      </c>
      <c r="AD542" s="1" t="e">
        <f ca="1">_xll.BDH($C$528,"MODIFIED_WORK_CAP_GROWTH","FQ4 2016","FQ4 2016","Currency=INR","Period=FQ","BEST_FPERIOD_OVERRIDE=FQ","FILING_STATUS=OR","EQY_CONSOLIDATED=Y","Sort=A","Dates=H","DateFormat=P","Fill=—","Direction=H","UseDPDF=Y")</f>
        <v>#NAME?</v>
      </c>
      <c r="AE542" s="1" t="e">
        <f ca="1">_xll.BDH($C$528,"WORK_CAP_GROWTH","FQ4 2016","FQ4 2016","Currency=INR","Period=FQ","BEST_FPERIOD_OVERRIDE=FQ","FILING_STATUS=OR","EQY_CONSOLIDATED=Y","Sort=A","Dates=H","DateFormat=P","Fill=—","Direction=H","UseDPDF=Y")</f>
        <v>#NAME?</v>
      </c>
      <c r="AF542" s="1" t="e">
        <f ca="1">_xll.BDH($C$528,"ACCOUNTS_PAYABLE_GROWTH_1YR","FQ4 2016","FQ4 2016","Currency=INR","Period=FQ","BEST_FPERIOD_OVERRIDE=FQ","FILING_STATUS=OR","EQY_CONSOLIDATED=Y","Sort=A","Dates=H","DateFormat=P","Fill=—","Direction=H","UseDPDF=Y")</f>
        <v>#NAME?</v>
      </c>
      <c r="AG542" s="1" t="e">
        <f ca="1">_xll.BDH($C$528,"SHORT_TERM_DEBT_1_YEAR_GROWTH","FQ4 2016","FQ4 2016","Currency=INR","Period=FQ","BEST_FPERIOD_OVERRIDE=FQ","FILING_STATUS=OR","EQY_CONSOLIDATED=Y","Sort=A","Dates=H","DateFormat=P","Fill=—","Direction=H","UseDPDF=Y")</f>
        <v>#NAME?</v>
      </c>
      <c r="AH542" s="1" t="e">
        <f ca="1">_xll.BDH($C$528,"TOTAL_DEBT_1_YEAR_GROWTH","FQ4 2016","FQ4 2016","Currency=INR","Period=FQ","BEST_FPERIOD_OVERRIDE=FQ","FILING_STATUS=OR","EQY_CONSOLIDATED=Y","Sort=A","Dates=H","DateFormat=P","Fill=—","Direction=H","UseDPDF=Y")</f>
        <v>#NAME?</v>
      </c>
      <c r="AI542" s="1" t="e">
        <f ca="1">_xll.BDH($C$528,"TOTAL_EQUITY_1_YEAR_GROWTH","FQ4 2016","FQ4 2016","Currency=INR","Period=FQ","BEST_FPERIOD_OVERRIDE=FQ","FILING_STATUS=OR","EQY_CONSOLIDATED=Y","Sort=A","Dates=H","DateFormat=P","Fill=—","Direction=H","UseDPDF=Y")</f>
        <v>#NAME?</v>
      </c>
      <c r="AJ542" s="1" t="e">
        <f ca="1">_xll.BDH($C$528,"GROWTH_IN_CAP","FQ4 2016","FQ4 2016","Currency=INR","Period=FQ","BEST_FPERIOD_OVERRIDE=FQ","FILING_STATUS=OR","EQY_CONSOLIDATED=Y","Sort=A","Dates=H","DateFormat=P","Fill=—","Direction=H","UseDPDF=Y")</f>
        <v>#NAME?</v>
      </c>
      <c r="AK542" s="1" t="e">
        <f ca="1">_xll.BDH($C$528,"BVPS_GROWTH","FQ4 2016","FQ4 2016","Currency=INR","Period=FQ","BEST_FPERIOD_OVERRIDE=FQ","FILING_STATUS=OR","EQY_CONSOLIDATED=Y","Sort=A","Dates=H","DateFormat=P","Fill=—","Direction=H","UseDPDF=Y")</f>
        <v>#NAME?</v>
      </c>
      <c r="AL542" s="1" t="e">
        <f ca="1">_xll.BDH($C$528,"CASH_FLOW_GROWTH","FQ4 2016","FQ4 2016","Currency=INR","Period=FQ","BEST_FPERIOD_OVERRIDE=FQ","FILING_STATUS=OR","EQY_CONSOLIDATED=Y","Sort=A","Dates=H","DateFormat=P","Fill=—","Direction=H","UseDPDF=Y")</f>
        <v>#NAME?</v>
      </c>
      <c r="AM542" s="1" t="e">
        <f ca="1">_xll.BDH($C$528,"GEO_GROW_NET_SALES","FQ4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42" s="1" t="e">
        <f ca="1">_xll.BDH($C$528,"GEO_GROW_EBITDA","FQ4 2016","FQ4 2016","Currency=INR","Period=FQ","BEST_FPERIOD_OVERRIDE=FQ","FILING_STATUS=OR","EQY_CONSOLIDATED=Y","FA_ADJUSTED=GAAP","Sort=A","Dates=H","DateFormat=P","Fill=—","Direction=H","UseDPDF=Y")</f>
        <v>#NAME?</v>
      </c>
      <c r="AO542" s="1" t="e">
        <f ca="1">_xll.BDH($C$528,"GEO_GROW_OPER_INC","FQ4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42" s="1" t="e">
        <f ca="1">_xll.BDH($C$528,"NET_INCOME_TO_COMMON_5_YR_GROWTH","FQ4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42" s="1" t="e">
        <f ca="1">_xll.BDH($C$528,"5Y_GEO_GROWTH_DILUTED_EPS","FQ4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42" s="1" t="e">
        <f ca="1">_xll.BDH($C$528,"GEO_GROW_DVD_PER_SH","FQ4 2016","FQ4 2016","Currency=INR","Period=FQ","BEST_FPERIOD_OVERRIDE=FQ","FILING_STATUS=OR","EQY_CONSOLIDATED=Y","Sort=A","Dates=H","DateFormat=P","Fill=—","Direction=H","UseDPDF=Y")</f>
        <v>#NAME?</v>
      </c>
      <c r="AS542" s="1" t="e">
        <f ca="1">_xll.BDH($C$528,"ACCOUNTS_RECEIVABLE_5_YR_GROWTH","FQ4 2016","FQ4 2016","Currency=INR","Period=FQ","BEST_FPERIOD_OVERRIDE=FQ","FILING_STATUS=OR","EQY_CONSOLIDATED=Y","Sort=A","Dates=H","DateFormat=P","Fill=—","Direction=H","UseDPDF=Y")</f>
        <v>#NAME?</v>
      </c>
      <c r="AT542" s="1" t="e">
        <f ca="1">_xll.BDH($C$528,"INVENTORY_5_YEAR_GROWTH","FQ4 2016","FQ4 2016","Currency=INR","Period=FQ","BEST_FPERIOD_OVERRIDE=FQ","FILING_STATUS=OR","EQY_CONSOLIDATED=Y","Sort=A","Dates=H","DateFormat=P","Fill=—","Direction=H","UseDPDF=Y")</f>
        <v>#NAME?</v>
      </c>
      <c r="AU542" s="1" t="e">
        <f ca="1">_xll.BDH($C$528,"NET_FIXED_ASSETS_5_YEAR_GROWTH","FQ4 2016","FQ4 2016","Currency=INR","Period=FQ","BEST_FPERIOD_OVERRIDE=FQ","FILING_STATUS=OR","EQY_CONSOLIDATED=Y","Sort=A","Dates=H","DateFormat=P","Fill=—","Direction=H","UseDPDF=Y")</f>
        <v>#NAME?</v>
      </c>
      <c r="AV542" s="1" t="e">
        <f ca="1">_xll.BDH($C$528,"GEO_GROW_TOT_ASSET","FQ4 2016","FQ4 2016","Currency=INR","Period=FQ","BEST_FPERIOD_OVERRIDE=FQ","FILING_STATUS=OR","EQY_CONSOLIDATED=Y","Sort=A","Dates=H","DateFormat=P","Fill=—","Direction=H","UseDPDF=Y")</f>
        <v>#NAME?</v>
      </c>
      <c r="AW542" s="1" t="e">
        <f ca="1">_xll.BDH($C$528,"MODIFIED_WORKING_CPTL_5YR_GRWTH","FQ4 2016","FQ4 2016","Currency=INR","Period=FQ","BEST_FPERIOD_OVERRIDE=FQ","FILING_STATUS=OR","EQY_CONSOLIDATED=Y","Sort=A","Dates=H","DateFormat=P","Fill=—","Direction=H","UseDPDF=Y")</f>
        <v>#NAME?</v>
      </c>
      <c r="AX542" s="1" t="e">
        <f ca="1">_xll.BDH($C$528,"WORKING_CAPITAL_5_YEAR_GROWTH","FQ4 2016","FQ4 2016","Currency=INR","Period=FQ","BEST_FPERIOD_OVERRIDE=FQ","FILING_STATUS=OR","EQY_CONSOLIDATED=Y","Sort=A","Dates=H","DateFormat=P","Fill=—","Direction=H","UseDPDF=Y")</f>
        <v>#NAME?</v>
      </c>
      <c r="AY542" s="1" t="e">
        <f ca="1">_xll.BDH($C$528,"ACCOUNTS_PAYABLE_5_YEAR_GROWTH","FQ4 2016","FQ4 2016","Currency=INR","Period=FQ","BEST_FPERIOD_OVERRIDE=FQ","FILING_STATUS=OR","EQY_CONSOLIDATED=Y","Sort=A","Dates=H","DateFormat=P","Fill=—","Direction=H","UseDPDF=Y")</f>
        <v>#NAME?</v>
      </c>
      <c r="AZ542" s="1" t="e">
        <f ca="1">_xll.BDH($C$528,"SHORT_TERM_DEBT_5_YEAR_GROWTH","FQ4 2016","FQ4 2016","Currency=INR","Period=FQ","BEST_FPERIOD_OVERRIDE=FQ","FILING_STATUS=OR","EQY_CONSOLIDATED=Y","Sort=A","Dates=H","DateFormat=P","Fill=—","Direction=H","UseDPDF=Y")</f>
        <v>#NAME?</v>
      </c>
      <c r="BA542" s="1" t="e">
        <f ca="1">_xll.BDH($C$528,"TOTAL_DEBT_5_YEAR_GROWTH","FQ4 2016","FQ4 2016","Currency=INR","Period=FQ","BEST_FPERIOD_OVERRIDE=FQ","FILING_STATUS=OR","EQY_CONSOLIDATED=Y","Sort=A","Dates=H","DateFormat=P","Fill=—","Direction=H","UseDPDF=Y")</f>
        <v>#NAME?</v>
      </c>
      <c r="BB542" s="1" t="e">
        <f ca="1">_xll.BDH($C$528,"GEO_GROW_TOT_SHRHLDR_EQY","FQ4 2016","FQ4 2016","Currency=INR","Period=FQ","BEST_FPERIOD_OVERRIDE=FQ","FILING_STATUS=OR","EQY_CONSOLIDATED=Y","Sort=A","Dates=H","DateFormat=P","Fill=—","Direction=H","UseDPDF=Y")</f>
        <v>#NAME?</v>
      </c>
      <c r="BC542" s="1" t="e">
        <f ca="1">_xll.BDH($C$528,"TOTAL_CAPITAL_5_YEAR_GROWTH","FQ4 2016","FQ4 2016","Currency=INR","Period=FQ","BEST_FPERIOD_OVERRIDE=FQ","FILING_STATUS=OR","EQY_CONSOLIDATED=Y","Sort=A","Dates=H","DateFormat=P","Fill=—","Direction=H","UseDPDF=Y")</f>
        <v>#NAME?</v>
      </c>
      <c r="BD542" s="1" t="e">
        <f ca="1">_xll.BDH($C$528,"GEO_GROW_BOOK_VAL","FQ4 2016","FQ4 2016","Currency=INR","Period=FQ","BEST_FPERIOD_OVERRIDE=FQ","FILING_STATUS=OR","EQY_CONSOLIDATED=Y","Sort=A","Dates=H","DateFormat=P","Fill=—","Direction=H","UseDPDF=Y")</f>
        <v>#NAME?</v>
      </c>
      <c r="BE542" s="1" t="e">
        <f ca="1">_xll.BDH($C$528,"GEO_GROW_CASH_OPER_ACT","FQ4 2016","FQ4 2016","Currency=INR","Period=FQ","BEST_FPERIOD_OVERRIDE=FQ","FILING_STATUS=OR","EQY_CONSOLIDATED=Y","Sort=A","Dates=H","DateFormat=P","Fill=—","Direction=H","UseDPDF=Y")</f>
        <v>#NAME?</v>
      </c>
      <c r="BF542" s="1" t="e">
        <f ca="1">_xll.BDH($C$528,"REVENUE_SEQUENTIAL_GROWTH","FQ4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42" s="1" t="e">
        <f ca="1">_xll.BDH($C$528,"EBITDA_SEQUENTIAL_GROWTH","FQ4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42" s="1" t="e">
        <f ca="1">_xll.BDH($C$528,"OPERATING_INCOME_SEQ_GROWTH","FQ4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42" s="1" t="e">
        <f ca="1">_xll.BDH($C$528,"NET_INCOME_TO_COMMON_SEQ_GROWTH","FQ4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42" s="1" t="e">
        <f ca="1">_xll.BDH($C$528,"EPS_DILUTED_SEQUENTIAL_GROWTH","FQ4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42" s="1" t="e">
        <f ca="1">_xll.BDH($C$528,"DPS_SEQUENTIAL_GROWTH","FQ4 2016","FQ4 2016","Currency=INR","Period=FQ","BEST_FPERIOD_OVERRIDE=FQ","FILING_STATUS=OR","EQY_CONSOLIDATED=Y","Sort=A","Dates=H","DateFormat=P","Fill=—","Direction=H","UseDPDF=Y")</f>
        <v>#NAME?</v>
      </c>
      <c r="BL542" s="1" t="e">
        <f ca="1">_xll.BDH($C$528,"ACCOUNTS_RECEIVABLE_SEQ_GROWTH","FQ4 2016","FQ4 2016","Currency=INR","Period=FQ","BEST_FPERIOD_OVERRIDE=FQ","FILING_STATUS=OR","EQY_CONSOLIDATED=Y","Sort=A","Dates=H","DateFormat=P","Fill=—","Direction=H","UseDPDF=Y")</f>
        <v>#NAME?</v>
      </c>
      <c r="BM542" s="1" t="e">
        <f ca="1">_xll.BDH($C$528,"INVENTORY_SEQUENTIAL_GROWTH","FQ4 2016","FQ4 2016","Currency=INR","Period=FQ","BEST_FPERIOD_OVERRIDE=FQ","FILING_STATUS=OR","EQY_CONSOLIDATED=Y","Sort=A","Dates=H","DateFormat=P","Fill=—","Direction=H","UseDPDF=Y")</f>
        <v>#NAME?</v>
      </c>
      <c r="BN542" s="1" t="e">
        <f ca="1">_xll.BDH($C$528,"FIXED_ASSETS_SEQUENTIAL_GROWTH","FQ4 2016","FQ4 2016","Currency=INR","Period=FQ","BEST_FPERIOD_OVERRIDE=FQ","FILING_STATUS=OR","EQY_CONSOLIDATED=Y","Sort=A","Dates=H","DateFormat=P","Fill=—","Direction=H","UseDPDF=Y")</f>
        <v>#NAME?</v>
      </c>
      <c r="BO542" s="1" t="e">
        <f ca="1">_xll.BDH($C$528,"TOTAL_ASSETS_SEQUENTIAL_GROWTH","FQ4 2016","FQ4 2016","Currency=INR","Period=FQ","BEST_FPERIOD_OVERRIDE=FQ","FILING_STATUS=OR","EQY_CONSOLIDATED=Y","Sort=A","Dates=H","DateFormat=P","Fill=—","Direction=H","UseDPDF=Y")</f>
        <v>#NAME?</v>
      </c>
      <c r="BP542" s="1" t="e">
        <f ca="1">_xll.BDH($C$528,"MODIFIED_WORKING_CPTL_SEQ_GRWTH","FQ4 2016","FQ4 2016","Currency=INR","Period=FQ","BEST_FPERIOD_OVERRIDE=FQ","FILING_STATUS=OR","EQY_CONSOLIDATED=Y","Sort=A","Dates=H","DateFormat=P","Fill=—","Direction=H","UseDPDF=Y")</f>
        <v>#NAME?</v>
      </c>
      <c r="BQ542" s="1" t="e">
        <f ca="1">_xll.BDH($C$528,"WORKING_CAPITAL_SEQ_GROWTH","FQ4 2016","FQ4 2016","Currency=INR","Period=FQ","BEST_FPERIOD_OVERRIDE=FQ","FILING_STATUS=OR","EQY_CONSOLIDATED=Y","Sort=A","Dates=H","DateFormat=P","Fill=—","Direction=H","UseDPDF=Y")</f>
        <v>#NAME?</v>
      </c>
      <c r="BR542" s="1" t="e">
        <f ca="1">_xll.BDH($C$528,"ACCOUNTS_PAYABLE_SEQ_GROWTH","FQ4 2016","FQ4 2016","Currency=INR","Period=FQ","BEST_FPERIOD_OVERRIDE=FQ","FILING_STATUS=OR","EQY_CONSOLIDATED=Y","Sort=A","Dates=H","DateFormat=P","Fill=—","Direction=H","UseDPDF=Y")</f>
        <v>#NAME?</v>
      </c>
      <c r="BS542" s="1" t="e">
        <f ca="1">_xll.BDH($C$528,"ST_DEBT_SEQUENTIAL_GROWTH","FQ4 2016","FQ4 2016","Currency=INR","Period=FQ","BEST_FPERIOD_OVERRIDE=FQ","FILING_STATUS=OR","EQY_CONSOLIDATED=Y","Sort=A","Dates=H","DateFormat=P","Fill=—","Direction=H","UseDPDF=Y")</f>
        <v>#NAME?</v>
      </c>
      <c r="BT542" s="1" t="e">
        <f ca="1">_xll.BDH($C$528,"TOTAL_DEBT_SEQUENTIAL_GROWTH","FQ4 2016","FQ4 2016","Currency=INR","Period=FQ","BEST_FPERIOD_OVERRIDE=FQ","FILING_STATUS=OR","EQY_CONSOLIDATED=Y","Sort=A","Dates=H","DateFormat=P","Fill=—","Direction=H","UseDPDF=Y")</f>
        <v>#NAME?</v>
      </c>
      <c r="BU542" s="1" t="e">
        <f ca="1">_xll.BDH($C$528,"TOTAL_EQUITY_SEQUENTIAL_GROWTH","FQ4 2016","FQ4 2016","Currency=INR","Period=FQ","BEST_FPERIOD_OVERRIDE=FQ","FILING_STATUS=OR","EQY_CONSOLIDATED=Y","Sort=A","Dates=H","DateFormat=P","Fill=—","Direction=H","UseDPDF=Y")</f>
        <v>#NAME?</v>
      </c>
      <c r="BV542" s="1" t="e">
        <f ca="1">_xll.BDH($C$528,"TOTAL_CAPITAL_SEQUENTIAL_GROWTH","FQ4 2016","FQ4 2016","Currency=INR","Period=FQ","BEST_FPERIOD_OVERRIDE=FQ","FILING_STATUS=OR","EQY_CONSOLIDATED=Y","Sort=A","Dates=H","DateFormat=P","Fill=—","Direction=H","UseDPDF=Y")</f>
        <v>#NAME?</v>
      </c>
      <c r="BW542" s="1" t="e">
        <f ca="1">_xll.BDH($C$528,"BPS_SEQUENTIAL_GROWTH","FQ4 2016","FQ4 2016","Currency=INR","Period=FQ","BEST_FPERIOD_OVERRIDE=FQ","FILING_STATUS=OR","EQY_CONSOLIDATED=Y","Sort=A","Dates=H","DateFormat=P","Fill=—","Direction=H","UseDPDF=Y")</f>
        <v>#NAME?</v>
      </c>
      <c r="BX542" s="1" t="e">
        <f ca="1">_xll.BDH($C$528,"CFO_SEQUENTIAL_GROWTH","FQ4 2016","FQ4 2016","Currency=INR","Period=FQ","BEST_FPERIOD_OVERRIDE=FQ","FILING_STATUS=OR","EQY_CONSOLIDATED=Y","Sort=A","Dates=H","DateFormat=P","Fill=—","Direction=H","UseDPDF=Y")</f>
        <v>#NAME?</v>
      </c>
      <c r="BY542" s="2" t="e">
        <f ca="1">_xll.BDH($C$528,"SHORT_AND_LONG_TERM_DEBT","FQ4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42" s="2" t="e">
        <f ca="1">_xll.BDH($C$528,"BS_ST_BORROW","FQ4 2016","FQ4 2016","Currency=INR","Period=FQ","BEST_FPERIOD_OVERRIDE=FQ","FILING_STATUS=OR","EQY_CONSOLIDATED=Y","SCALING_FORMAT=MLN","Sort=A","Dates=H","DateFormat=P","Fill=—","Direction=H","UseDPDF=Y")</f>
        <v>#NAME?</v>
      </c>
      <c r="CA542" s="2" t="e">
        <f ca="1">_xll.BDH($C$528,"BS_LT_BORROW","FQ4 2016","FQ4 2016","Currency=INR","Period=FQ","BEST_FPERIOD_OVERRIDE=FQ","FILING_STATUS=OR","EQY_CONSOLIDATED=Y","SCALING_FORMAT=MLN","Sort=A","Dates=H","DateFormat=P","Fill=—","Direction=H","UseDPDF=Y")</f>
        <v>#NAME?</v>
      </c>
      <c r="CB542" s="1" t="e">
        <f ca="1">_xll.BDH($C$528,"TOT_DEBT_TO_EBITDA","FQ4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42" s="1" t="e">
        <f ca="1">_xll.BDH($C$528,"NET_DEBT_TO_EBITDA","FQ4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42" s="1" t="e">
        <f ca="1">_xll.BDH($C$528,"TOTAL_DEBT_TO_EBIT","FQ4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42" s="1" t="e">
        <f ca="1">_xll.BDH($C$528,"NET_DEBT_TO_EBIT","FQ4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542" s="1" t="e">
        <f ca="1">_xll.BDH($C$528,"EBITDA_TO_INTEREST_EXPN","FQ4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42" s="1" t="e">
        <f ca="1">_xll.BDH($C$528,"COM_EQY_TO_TOT_ASSET","FQ4 2016","FQ4 2016","Currency=INR","Period=FQ","BEST_FPERIOD_OVERRIDE=FQ","FILING_STATUS=OR","EQY_CONSOLIDATED=Y","Sort=A","Dates=H","DateFormat=P","Fill=—","Direction=H","UseDPDF=Y")</f>
        <v>#NAME?</v>
      </c>
      <c r="CH542" s="1" t="e">
        <f ca="1">_xll.BDH($C$528,"LT_DEBT_TO_TOT_EQY","FQ4 2016","FQ4 2016","Currency=INR","Period=FQ","BEST_FPERIOD_OVERRIDE=FQ","FILING_STATUS=OR","EQY_CONSOLIDATED=Y","Sort=A","Dates=H","DateFormat=P","Fill=—","Direction=H","UseDPDF=Y")</f>
        <v>#NAME?</v>
      </c>
      <c r="CI542" s="1" t="e">
        <f ca="1">_xll.BDH($C$528,"LT_DEBT_TO_TOT_CAP","FQ4 2016","FQ4 2016","Currency=INR","Period=FQ","BEST_FPERIOD_OVERRIDE=FQ","FILING_STATUS=OR","EQY_CONSOLIDATED=Y","Sort=A","Dates=H","DateFormat=P","Fill=—","Direction=H","UseDPDF=Y")</f>
        <v>#NAME?</v>
      </c>
      <c r="CJ542" s="1" t="e">
        <f ca="1">_xll.BDH($C$528,"LT_DEBT_TO_TOT_ASSET","FQ4 2016","FQ4 2016","Currency=INR","Period=FQ","BEST_FPERIOD_OVERRIDE=FQ","FILING_STATUS=OR","EQY_CONSOLIDATED=Y","Sort=A","Dates=H","DateFormat=P","Fill=—","Direction=H","UseDPDF=Y")</f>
        <v>#NAME?</v>
      </c>
      <c r="CK542" s="1" t="e">
        <f ca="1">_xll.BDH($C$528,"TOT_DEBT_TO_TOT_EQY","FQ4 2016","FQ4 2016","Currency=INR","Period=FQ","BEST_FPERIOD_OVERRIDE=FQ","FILING_STATUS=OR","EQY_CONSOLIDATED=Y","Sort=A","Dates=H","DateFormat=P","Fill=—","Direction=H","UseDPDF=Y")</f>
        <v>#NAME?</v>
      </c>
      <c r="CL542" s="1" t="e">
        <f ca="1">_xll.BDH($C$528,"TOT_DEBT_TO_TOT_CAP","FQ4 2016","FQ4 2016","Currency=INR","Period=FQ","BEST_FPERIOD_OVERRIDE=FQ","FILING_STATUS=OR","EQY_CONSOLIDATED=Y","Sort=A","Dates=H","DateFormat=P","Fill=—","Direction=H","UseDPDF=Y")</f>
        <v>#NAME?</v>
      </c>
      <c r="CM542" s="1" t="e">
        <f ca="1">_xll.BDH($C$528,"TOT_DEBT_TO_TOT_ASSET","FQ4 2016","FQ4 2016","Currency=INR","Period=FQ","BEST_FPERIOD_OVERRIDE=FQ","FILING_STATUS=OR","EQY_CONSOLIDATED=Y","Sort=A","Dates=H","DateFormat=P","Fill=—","Direction=H","UseDPDF=Y")</f>
        <v>#NAME?</v>
      </c>
      <c r="CN542" s="1" t="e">
        <f ca="1">_xll.BDH($C$528,"NET_DEBT_TO_SHRHLDR_EQTY","FQ4 2016","FQ4 2016","Currency=INR","Period=FQ","BEST_FPERIOD_OVERRIDE=FQ","FILING_STATUS=OR","EQY_CONSOLIDATED=Y","Sort=A","Dates=H","DateFormat=P","Fill=—","Direction=H","UseDPDF=Y")</f>
        <v>#NAME?</v>
      </c>
      <c r="CO542" s="1" t="e">
        <f ca="1">_xll.BDH($C$528,"NET_DEBT_%_CAPITAL","FQ4 2016","FQ4 2016","Currency=INR","Period=FQ","BEST_FPERIOD_OVERRIDE=FQ","FILING_STATUS=OR","EQY_CONSOLIDATED=Y","Sort=A","Dates=H","DateFormat=P","Fill=—","Direction=H","UseDPDF=Y")</f>
        <v>#NAME?</v>
      </c>
      <c r="CP542" s="2" t="e">
        <f ca="1">_xll.BDH($C$528,"EBITDA","FQ4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42" s="2" t="e">
        <f ca="1">_xll.BDH($C$528,"EBITDA_AFTER_CAPEX","FQ4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42" s="2" t="e">
        <f ca="1">_xll.BDH($C$528,"IS_OPER_INC","FQ4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42" s="1" t="e">
        <f ca="1">_xll.BDH($C$528,"CASH_RATIO","FQ4 2016","FQ4 2016","Currency=INR","Period=FQ","BEST_FPERIOD_OVERRIDE=FQ","FILING_STATUS=OR","EQY_CONSOLIDATED=Y","Sort=A","Dates=H","DateFormat=P","Fill=—","Direction=H","UseDPDF=Y")</f>
        <v>#NAME?</v>
      </c>
      <c r="CT542" s="1" t="e">
        <f ca="1">_xll.BDH($C$528,"CUR_RATIO","FQ4 2016","FQ4 2016","Currency=INR","Period=FQ","BEST_FPERIOD_OVERRIDE=FQ","FILING_STATUS=OR","EQY_CONSOLIDATED=Y","Sort=A","Dates=H","DateFormat=P","Fill=—","Direction=H","UseDPDF=Y")</f>
        <v>#NAME?</v>
      </c>
      <c r="CU542" s="1" t="e">
        <f ca="1">_xll.BDH($C$528,"QUICK_RATIO","FQ4 2016","FQ4 2016","Currency=INR","Period=FQ","BEST_FPERIOD_OVERRIDE=FQ","FILING_STATUS=OR","EQY_CONSOLIDATED=Y","Sort=A","Dates=H","DateFormat=P","Fill=—","Direction=H","UseDPDF=Y")</f>
        <v>#NAME?</v>
      </c>
      <c r="CV542" s="1" t="e">
        <f ca="1">_xll.BDH($C$528,"ALTMAN_Z_SCORE","FQ4 2016","FQ4 2016","Currency=INR","Period=FQ","BEST_FPERIOD_OVERRIDE=FQ","FILING_STATUS=OR","EQY_CONSOLIDATED=Y","Sort=A","Dates=H","DateFormat=P","Fill=—","Direction=H","UseDPDF=Y")</f>
        <v>#NAME?</v>
      </c>
      <c r="CW542" s="3" t="e">
        <f ca="1">_xll.BDH($C$528,"ACCT_RCV_TURN","FQ4 2016","FQ4 2016","Currency=INR","Period=FQ","BEST_FPERIOD_OVERRIDE=FQ","FILING_STATUS=OR","EQY_CONSOLIDATED=Y","FA_ADJUSTED=GAAP","Sort=A","Dates=H","DateFormat=P","Fill=—","Direction=H","UseDPDF=Y")</f>
        <v>#NAME?</v>
      </c>
      <c r="CX542" s="1" t="e">
        <f ca="1">_xll.BDH($C$528,"ACCT_RCV_DAYS","FQ4 2016","FQ4 2016","Currency=INR","Period=FQ","BEST_FPERIOD_OVERRIDE=FQ","FILING_STATUS=OR","EQY_CONSOLIDATED=Y","FA_ADJUSTED=GAAP","Sort=A","Dates=H","DateFormat=P","Fill=—","Direction=H","UseDPDF=Y")</f>
        <v>#NAME?</v>
      </c>
      <c r="CY542" s="3" t="e">
        <f ca="1">_xll.BDH($C$528,"INVENT_TURN","FQ4 2016","FQ4 2016","Currency=INR","Period=FQ","BEST_FPERIOD_OVERRIDE=FQ","FILING_STATUS=OR","EQY_CONSOLIDATED=Y","FA_ADJUSTED=GAAP","Sort=A","Dates=H","DateFormat=P","Fill=—","Direction=H","UseDPDF=Y")</f>
        <v>#NAME?</v>
      </c>
      <c r="CZ542" s="1" t="e">
        <f ca="1">_xll.BDH($C$528,"INVENT_DAYS","FQ4 2016","FQ4 2016","Currency=INR","Period=FQ","BEST_FPERIOD_OVERRIDE=FQ","FILING_STATUS=OR","EQY_CONSOLIDATED=Y","FA_ADJUSTED=GAAP","Sort=A","Dates=H","DateFormat=P","Fill=—","Direction=H","UseDPDF=Y")</f>
        <v>#NAME?</v>
      </c>
      <c r="DA542" s="3" t="e">
        <f ca="1">_xll.BDH($C$528,"ACCOUNTS_PAYABLE_TURNOVER","FQ4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42" s="1" t="e">
        <f ca="1">_xll.BDH($C$528,"ACCOUNTS_PAYABLE_TURNOVER_DAYS","FQ4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42" s="3" t="e">
        <f ca="1">_xll.BDH($C$528,"CASH_CONVERSION_CYCLE","FQ4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42" s="3" t="e">
        <f ca="1">_xll.BDH($C$528,"INV_TO_CASH_DAYS","FQ4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542" s="4" t="e">
        <f ca="1">_xll.BDH($C$528,"BS_INVENTORIES","FQ4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542" s="2" t="e">
        <f ca="1">_xll.BDH($C$528,"INVTRY_RAW_MATERIALS","FQ4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42" s="2" t="e">
        <f ca="1">_xll.BDH($C$528,"INVTRY_IN_PROGRESS","FQ4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42" s="2" t="e">
        <f ca="1">_xll.BDH($C$528,"INVTRY_FINISHED_GOODS","FQ4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42" s="2" t="e">
        <f ca="1">_xll.BDH($C$528,"BS_OTHER_INV","FQ4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43" spans="1:113" x14ac:dyDescent="0.3">
      <c r="A543" s="6"/>
      <c r="B543" s="6"/>
      <c r="C543" s="6"/>
      <c r="D543" s="6" t="s">
        <v>10</v>
      </c>
      <c r="E543" t="s">
        <v>3</v>
      </c>
      <c r="F543" t="e">
        <f ca="1">_xll.BDH($C$528,"RETURN_COM_EQY","FY 2017","FY 2017","Currency=INR","Period=FY","BEST_FPERIOD_OVERRIDE=FY","FILING_STATUS=OR","EQY_CONSOLIDATED=Y","FA_ADJUSTED=GAAP","Sort=A","Dates=H","DateFormat=P","Fill=—","Direction=H","UseDPDF=Y")</f>
        <v>#NAME?</v>
      </c>
      <c r="G543" t="e">
        <f ca="1">_xll.BDH($C$528,"RETURN_ON_ASSET","FY 2017","FY 2017","Currency=INR","Period=FY","BEST_FPERIOD_OVERRIDE=FY","FILING_STATUS=OR","EQY_CONSOLIDATED=Y","FA_ADJUSTED=GAAP","Sort=A","Dates=H","DateFormat=P","Fill=—","Direction=H","UseDPDF=Y")</f>
        <v>#NAME?</v>
      </c>
      <c r="H543" t="e">
        <f ca="1">_xll.BDH($C$528,"RETURN_ON_CAP","FY 2017","FY 2017","Currency=INR","Period=FY","BEST_FPERIOD_OVERRIDE=FY","FILING_STATUS=OR","EQY_CONSOLIDATED=Y","FA_ADJUSTED=GAAP","Sort=A","Dates=H","DateFormat=P","Fill=—","Direction=H","UseDPDF=Y")</f>
        <v>#NAME?</v>
      </c>
      <c r="I543" t="e">
        <f ca="1">_xll.BDH($C$528,"RETURN_ON_INV_CAPITAL","FY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43" t="e">
        <f ca="1">_xll.BDH($C$528,"EBITDA_TO_REVENUE","FY 2017","FY 2017","Currency=INR","Period=FY","BEST_FPERIOD_OVERRIDE=FY","FILING_STATUS=OR","EQY_CONSOLIDATED=Y","FA_ADJUSTED=GAAP","Sort=A","Dates=H","DateFormat=P","Fill=—","Direction=H","UseDPDF=Y")</f>
        <v>#NAME?</v>
      </c>
      <c r="K543" t="e">
        <f ca="1">_xll.BDH($C$528,"OPER_MARGIN","FY 2017","FY 2017","Currency=INR","Period=FY","BEST_FPERIOD_OVERRIDE=FY","FILING_STATUS=OR","EQY_CONSOLIDATED=Y","FA_ADJUSTED=GAAP","Sort=A","Dates=H","DateFormat=P","Fill=—","Direction=H","UseDPDF=Y")</f>
        <v>#NAME?</v>
      </c>
      <c r="L543" t="e">
        <f ca="1">_xll.BDH($C$528,"INCREMENTAL_OPERATING_MARGIN","FY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43" t="e">
        <f ca="1">_xll.BDH($C$528,"PRETAX_INC_TO_NET_SALES","FY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43" t="e">
        <f ca="1">_xll.BDH($C$528,"INC_BEF_XO_ITEMS_TO_NET_SALES","FY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43" t="e">
        <f ca="1">_xll.BDH($C$528,"PROF_MARGIN","FY 2017","FY 2017","Currency=INR","Period=FY","BEST_FPERIOD_OVERRIDE=FY","FILING_STATUS=OR","EQY_CONSOLIDATED=Y","FA_ADJUSTED=GAAP","Sort=A","Dates=H","DateFormat=P","Fill=—","Direction=H","UseDPDF=Y")</f>
        <v>#NAME?</v>
      </c>
      <c r="P543" t="e">
        <f ca="1">_xll.BDH($C$528,"NET_INCOME_TO_COMMON_MARGIN","FY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43" t="e">
        <f ca="1">_xll.BDH($C$528,"EFF_TAX_RATE","FY 2017","FY 2017","Currency=INR","Period=FY","BEST_FPERIOD_OVERRIDE=FY","FILING_STATUS=OR","EQY_CONSOLIDATED=Y","FA_ADJUSTED=GAAP","Sort=A","Dates=H","DateFormat=P","Fill=—","Direction=H","UseDPDF=Y")</f>
        <v>#NAME?</v>
      </c>
      <c r="R543" t="e">
        <f ca="1">_xll.BDH($C$528,"DVD_PAYOUT_RATIO","FY 2017","FY 2017","Currency=INR","Period=FY","BEST_FPERIOD_OVERRIDE=FY","FILING_STATUS=OR","EQY_CONSOLIDATED=Y","FA_ADJUSTED=GAAP","Sort=A","Dates=H","DateFormat=P","Fill=—","Direction=H","UseDPDF=Y")</f>
        <v>#NAME?</v>
      </c>
      <c r="S543" t="e">
        <f ca="1">_xll.BDH($C$528,"SUSTAIN_GROWTH_RT","FY 2017","FY 2017","Currency=INR","Period=FY","BEST_FPERIOD_OVERRIDE=FY","FILING_STATUS=OR","EQY_CONSOLIDATED=Y","FA_ADJUSTED=GAAP","Sort=A","Dates=H","DateFormat=P","Fill=—","Direction=H","UseDPDF=Y")</f>
        <v>#NAME?</v>
      </c>
      <c r="T543" s="1" t="e">
        <f ca="1">_xll.BDH($C$528,"SALES_GROWTH","FY 2017","FY 2017","Currency=INR","Period=FY","BEST_FPERIOD_OVERRIDE=FY","FILING_STATUS=OR","EQY_CONSOLIDATED=Y","FA_ADJUSTED=GAAP","Sort=A","Dates=H","DateFormat=P","Fill=—","Direction=H","UseDPDF=Y")</f>
        <v>#NAME?</v>
      </c>
      <c r="U543" s="1" t="e">
        <f ca="1">_xll.BDH($C$528,"EBITDA_GROWTH","FY 2017","FY 2017","Currency=INR","Period=FY","BEST_FPERIOD_OVERRIDE=FY","FILING_STATUS=OR","EQY_CONSOLIDATED=Y","FA_ADJUSTED=GAAP","Sort=A","Dates=H","DateFormat=P","Fill=—","Direction=H","UseDPDF=Y")</f>
        <v>#NAME?</v>
      </c>
      <c r="V543" s="1" t="e">
        <f ca="1">_xll.BDH($C$528,"OPER_INC_GROWTH","FY 2017","FY 2017","Currency=INR","Period=FY","BEST_FPERIOD_OVERRIDE=FY","FILING_STATUS=OR","EQY_CONSOLIDATED=Y","FA_ADJUSTED=GAAP","Sort=A","Dates=H","DateFormat=P","Fill=—","Direction=H","UseDPDF=Y")</f>
        <v>#NAME?</v>
      </c>
      <c r="W543" s="1" t="e">
        <f ca="1">_xll.BDH($C$528,"EARN_FOR_COM_GROWTH","FY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543" s="1" t="e">
        <f ca="1">_xll.BDH($C$528,"DILUTED_EPS_AFT_XO_ITEMS_GROWTH","FY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43" s="1" t="e">
        <f ca="1">_xll.BDH($C$528,"DIVIDEND_PER_SHARE_1_YEAR_GROWTH","FY 2017","FY 2017","Currency=INR","Period=FY","BEST_FPERIOD_OVERRIDE=FY","FILING_STATUS=OR","EQY_CONSOLIDATED=Y","Sort=A","Dates=H","DateFormat=P","Fill=—","Direction=H","UseDPDF=Y")</f>
        <v>#NAME?</v>
      </c>
      <c r="Z543" s="1" t="e">
        <f ca="1">_xll.BDH($C$528,"ACCOUNTS_RECEIVABLE_GROWTH","FY 2017","FY 2017","Currency=INR","Period=FY","BEST_FPERIOD_OVERRIDE=FY","FILING_STATUS=OR","EQY_CONSOLIDATED=Y","Sort=A","Dates=H","DateFormat=P","Fill=—","Direction=H","UseDPDF=Y")</f>
        <v>#NAME?</v>
      </c>
      <c r="AA543" s="1" t="e">
        <f ca="1">_xll.BDH($C$528,"INVENTORY_GROWTH","FY 2017","FY 2017","Currency=INR","Period=FY","BEST_FPERIOD_OVERRIDE=FY","FILING_STATUS=OR","EQY_CONSOLIDATED=Y","Sort=A","Dates=H","DateFormat=P","Fill=—","Direction=H","UseDPDF=Y")</f>
        <v>#NAME?</v>
      </c>
      <c r="AB543" s="1" t="e">
        <f ca="1">_xll.BDH($C$528,"NET_FIXED_ASSETS_1_YEAR_GROWTH","FY 2017","FY 2017","Currency=INR","Period=FY","BEST_FPERIOD_OVERRIDE=FY","FILING_STATUS=OR","EQY_CONSOLIDATED=Y","Sort=A","Dates=H","DateFormat=P","Fill=—","Direction=H","UseDPDF=Y")</f>
        <v>#NAME?</v>
      </c>
      <c r="AC543" s="1" t="e">
        <f ca="1">_xll.BDH($C$528,"ASSET_GROWTH","FY 2017","FY 2017","Currency=INR","Period=FY","BEST_FPERIOD_OVERRIDE=FY","FILING_STATUS=OR","EQY_CONSOLIDATED=Y","Sort=A","Dates=H","DateFormat=P","Fill=—","Direction=H","UseDPDF=Y")</f>
        <v>#NAME?</v>
      </c>
      <c r="AD543" s="1" t="e">
        <f ca="1">_xll.BDH($C$528,"MODIFIED_WORK_CAP_GROWTH","FY 2017","FY 2017","Currency=INR","Period=FY","BEST_FPERIOD_OVERRIDE=FY","FILING_STATUS=OR","EQY_CONSOLIDATED=Y","Sort=A","Dates=H","DateFormat=P","Fill=—","Direction=H","UseDPDF=Y")</f>
        <v>#NAME?</v>
      </c>
      <c r="AE543" s="1" t="e">
        <f ca="1">_xll.BDH($C$528,"WORK_CAP_GROWTH","FY 2017","FY 2017","Currency=INR","Period=FY","BEST_FPERIOD_OVERRIDE=FY","FILING_STATUS=OR","EQY_CONSOLIDATED=Y","Sort=A","Dates=H","DateFormat=P","Fill=—","Direction=H","UseDPDF=Y")</f>
        <v>#NAME?</v>
      </c>
      <c r="AF543" s="1" t="e">
        <f ca="1">_xll.BDH($C$528,"ACCOUNTS_PAYABLE_GROWTH_1YR","FY 2017","FY 2017","Currency=INR","Period=FY","BEST_FPERIOD_OVERRIDE=FY","FILING_STATUS=OR","EQY_CONSOLIDATED=Y","Sort=A","Dates=H","DateFormat=P","Fill=—","Direction=H","UseDPDF=Y")</f>
        <v>#NAME?</v>
      </c>
      <c r="AG543" s="1" t="e">
        <f ca="1">_xll.BDH($C$528,"SHORT_TERM_DEBT_1_YEAR_GROWTH","FY 2017","FY 2017","Currency=INR","Period=FY","BEST_FPERIOD_OVERRIDE=FY","FILING_STATUS=OR","EQY_CONSOLIDATED=Y","Sort=A","Dates=H","DateFormat=P","Fill=—","Direction=H","UseDPDF=Y")</f>
        <v>#NAME?</v>
      </c>
      <c r="AH543" s="1" t="e">
        <f ca="1">_xll.BDH($C$528,"TOTAL_DEBT_1_YEAR_GROWTH","FY 2017","FY 2017","Currency=INR","Period=FY","BEST_FPERIOD_OVERRIDE=FY","FILING_STATUS=OR","EQY_CONSOLIDATED=Y","Sort=A","Dates=H","DateFormat=P","Fill=—","Direction=H","UseDPDF=Y")</f>
        <v>#NAME?</v>
      </c>
      <c r="AI543" s="1" t="e">
        <f ca="1">_xll.BDH($C$528,"TOTAL_EQUITY_1_YEAR_GROWTH","FY 2017","FY 2017","Currency=INR","Period=FY","BEST_FPERIOD_OVERRIDE=FY","FILING_STATUS=OR","EQY_CONSOLIDATED=Y","Sort=A","Dates=H","DateFormat=P","Fill=—","Direction=H","UseDPDF=Y")</f>
        <v>#NAME?</v>
      </c>
      <c r="AJ543" s="1" t="e">
        <f ca="1">_xll.BDH($C$528,"GROWTH_IN_CAP","FY 2017","FY 2017","Currency=INR","Period=FY","BEST_FPERIOD_OVERRIDE=FY","FILING_STATUS=OR","EQY_CONSOLIDATED=Y","Sort=A","Dates=H","DateFormat=P","Fill=—","Direction=H","UseDPDF=Y")</f>
        <v>#NAME?</v>
      </c>
      <c r="AK543" s="1" t="e">
        <f ca="1">_xll.BDH($C$528,"BVPS_GROWTH","FY 2017","FY 2017","Currency=INR","Period=FY","BEST_FPERIOD_OVERRIDE=FY","FILING_STATUS=OR","EQY_CONSOLIDATED=Y","Sort=A","Dates=H","DateFormat=P","Fill=—","Direction=H","UseDPDF=Y")</f>
        <v>#NAME?</v>
      </c>
      <c r="AL543" s="1" t="e">
        <f ca="1">_xll.BDH($C$528,"CASH_FLOW_GROWTH","FY 2017","FY 2017","Currency=INR","Period=FY","BEST_FPERIOD_OVERRIDE=FY","FILING_STATUS=OR","EQY_CONSOLIDATED=Y","Sort=A","Dates=H","DateFormat=P","Fill=—","Direction=H","UseDPDF=Y")</f>
        <v>#NAME?</v>
      </c>
      <c r="AM543" s="1" t="e">
        <f ca="1">_xll.BDH($C$528,"GEO_GROW_NET_SALES","FY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543" s="1" t="e">
        <f ca="1">_xll.BDH($C$528,"GEO_GROW_EBITDA","FY 2017","FY 2017","Currency=INR","Period=FY","BEST_FPERIOD_OVERRIDE=FY","FILING_STATUS=OR","EQY_CONSOLIDATED=Y","FA_ADJUSTED=GAAP","Sort=A","Dates=H","DateFormat=P","Fill=—","Direction=H","UseDPDF=Y")</f>
        <v>#NAME?</v>
      </c>
      <c r="AO543" s="1" t="e">
        <f ca="1">_xll.BDH($C$528,"GEO_GROW_OPER_INC","FY 2017","FY 2017","Currency=INR","Period=FY","BEST_FPERIOD_OVERRIDE=FY","FILING_STATUS=OR","EQY_CONSOLIDATED=Y","FA_ADJUSTED=GAAP","Sort=A","Dates=H","DateFormat=P","Fill=—","Direction=H","UseDPDF=Y")</f>
        <v>#NAME?</v>
      </c>
      <c r="AP543" s="1" t="e">
        <f ca="1">_xll.BDH($C$528,"NET_INCOME_TO_COMMON_5_YR_GROWTH","FY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43" s="1" t="e">
        <f ca="1">_xll.BDH($C$528,"5Y_GEO_GROWTH_DILUTED_EPS","FY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43" s="1" t="e">
        <f ca="1">_xll.BDH($C$528,"GEO_GROW_DVD_PER_SH","FY 2017","FY 2017","Currency=INR","Period=FY","BEST_FPERIOD_OVERRIDE=FY","FILING_STATUS=OR","EQY_CONSOLIDATED=Y","Sort=A","Dates=H","DateFormat=P","Fill=—","Direction=H","UseDPDF=Y")</f>
        <v>#NAME?</v>
      </c>
      <c r="AS543" s="1" t="e">
        <f ca="1">_xll.BDH($C$528,"ACCOUNTS_RECEIVABLE_5_YR_GROWTH","FY 2017","FY 2017","Currency=INR","Period=FY","BEST_FPERIOD_OVERRIDE=FY","FILING_STATUS=OR","EQY_CONSOLIDATED=Y","Sort=A","Dates=H","DateFormat=P","Fill=—","Direction=H","UseDPDF=Y")</f>
        <v>#NAME?</v>
      </c>
      <c r="AT543" s="1" t="e">
        <f ca="1">_xll.BDH($C$528,"INVENTORY_5_YEAR_GROWTH","FY 2017","FY 2017","Currency=INR","Period=FY","BEST_FPERIOD_OVERRIDE=FY","FILING_STATUS=OR","EQY_CONSOLIDATED=Y","Sort=A","Dates=H","DateFormat=P","Fill=—","Direction=H","UseDPDF=Y")</f>
        <v>#NAME?</v>
      </c>
      <c r="AU543" s="1" t="e">
        <f ca="1">_xll.BDH($C$528,"NET_FIXED_ASSETS_5_YEAR_GROWTH","FY 2017","FY 2017","Currency=INR","Period=FY","BEST_FPERIOD_OVERRIDE=FY","FILING_STATUS=OR","EQY_CONSOLIDATED=Y","Sort=A","Dates=H","DateFormat=P","Fill=—","Direction=H","UseDPDF=Y")</f>
        <v>#NAME?</v>
      </c>
      <c r="AV543" s="1" t="e">
        <f ca="1">_xll.BDH($C$528,"GEO_GROW_TOT_ASSET","FY 2017","FY 2017","Currency=INR","Period=FY","BEST_FPERIOD_OVERRIDE=FY","FILING_STATUS=OR","EQY_CONSOLIDATED=Y","Sort=A","Dates=H","DateFormat=P","Fill=—","Direction=H","UseDPDF=Y")</f>
        <v>#NAME?</v>
      </c>
      <c r="AW543" s="1" t="e">
        <f ca="1">_xll.BDH($C$528,"MODIFIED_WORKING_CPTL_5YR_GRWTH","FY 2017","FY 2017","Currency=INR","Period=FY","BEST_FPERIOD_OVERRIDE=FY","FILING_STATUS=OR","EQY_CONSOLIDATED=Y","Sort=A","Dates=H","DateFormat=P","Fill=—","Direction=H","UseDPDF=Y")</f>
        <v>#NAME?</v>
      </c>
      <c r="AX543" s="1" t="e">
        <f ca="1">_xll.BDH($C$528,"WORKING_CAPITAL_5_YEAR_GROWTH","FY 2017","FY 2017","Currency=INR","Period=FY","BEST_FPERIOD_OVERRIDE=FY","FILING_STATUS=OR","EQY_CONSOLIDATED=Y","Sort=A","Dates=H","DateFormat=P","Fill=—","Direction=H","UseDPDF=Y")</f>
        <v>#NAME?</v>
      </c>
      <c r="AY543" s="1" t="e">
        <f ca="1">_xll.BDH($C$528,"ACCOUNTS_PAYABLE_5_YEAR_GROWTH","FY 2017","FY 2017","Currency=INR","Period=FY","BEST_FPERIOD_OVERRIDE=FY","FILING_STATUS=OR","EQY_CONSOLIDATED=Y","Sort=A","Dates=H","DateFormat=P","Fill=—","Direction=H","UseDPDF=Y")</f>
        <v>#NAME?</v>
      </c>
      <c r="AZ543" s="1" t="e">
        <f ca="1">_xll.BDH($C$528,"SHORT_TERM_DEBT_5_YEAR_GROWTH","FY 2017","FY 2017","Currency=INR","Period=FY","BEST_FPERIOD_OVERRIDE=FY","FILING_STATUS=OR","EQY_CONSOLIDATED=Y","Sort=A","Dates=H","DateFormat=P","Fill=—","Direction=H","UseDPDF=Y")</f>
        <v>#NAME?</v>
      </c>
      <c r="BA543" s="1" t="e">
        <f ca="1">_xll.BDH($C$528,"TOTAL_DEBT_5_YEAR_GROWTH","FY 2017","FY 2017","Currency=INR","Period=FY","BEST_FPERIOD_OVERRIDE=FY","FILING_STATUS=OR","EQY_CONSOLIDATED=Y","Sort=A","Dates=H","DateFormat=P","Fill=—","Direction=H","UseDPDF=Y")</f>
        <v>#NAME?</v>
      </c>
      <c r="BB543" s="1" t="e">
        <f ca="1">_xll.BDH($C$528,"GEO_GROW_TOT_SHRHLDR_EQY","FY 2017","FY 2017","Currency=INR","Period=FY","BEST_FPERIOD_OVERRIDE=FY","FILING_STATUS=OR","EQY_CONSOLIDATED=Y","Sort=A","Dates=H","DateFormat=P","Fill=—","Direction=H","UseDPDF=Y")</f>
        <v>#NAME?</v>
      </c>
      <c r="BC543" s="1" t="e">
        <f ca="1">_xll.BDH($C$528,"TOTAL_CAPITAL_5_YEAR_GROWTH","FY 2017","FY 2017","Currency=INR","Period=FY","BEST_FPERIOD_OVERRIDE=FY","FILING_STATUS=OR","EQY_CONSOLIDATED=Y","Sort=A","Dates=H","DateFormat=P","Fill=—","Direction=H","UseDPDF=Y")</f>
        <v>#NAME?</v>
      </c>
      <c r="BD543" s="1" t="e">
        <f ca="1">_xll.BDH($C$528,"GEO_GROW_BOOK_VAL","FY 2017","FY 2017","Currency=INR","Period=FY","BEST_FPERIOD_OVERRIDE=FY","FILING_STATUS=OR","EQY_CONSOLIDATED=Y","Sort=A","Dates=H","DateFormat=P","Fill=—","Direction=H","UseDPDF=Y")</f>
        <v>#NAME?</v>
      </c>
      <c r="BE543" s="1" t="e">
        <f ca="1">_xll.BDH($C$528,"GEO_GROW_CASH_OPER_ACT","FY 2017","FY 2017","Currency=INR","Period=FY","BEST_FPERIOD_OVERRIDE=FY","FILING_STATUS=OR","EQY_CONSOLIDATED=Y","Sort=A","Dates=H","DateFormat=P","Fill=—","Direction=H","UseDPDF=Y")</f>
        <v>#NAME?</v>
      </c>
      <c r="BF543" s="1" t="e">
        <f ca="1">_xll.BDH($C$528,"REVENUE_SEQUENTIAL_GROWTH","FY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43" s="1" t="e">
        <f ca="1">_xll.BDH($C$528,"EBITDA_SEQUENTIAL_GROWTH","FY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43" s="1" t="e">
        <f ca="1">_xll.BDH($C$528,"OPERATING_INCOME_SEQ_GROWTH","FY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43" s="1" t="e">
        <f ca="1">_xll.BDH($C$528,"NET_INCOME_TO_COMMON_SEQ_GROWTH","FY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43" s="1" t="e">
        <f ca="1">_xll.BDH($C$528,"EPS_DILUTED_SEQUENTIAL_GROWTH","FY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43" s="1" t="e">
        <f ca="1">_xll.BDH($C$528,"DPS_SEQUENTIAL_GROWTH","FY 2017","FY 2017","Currency=INR","Period=FY","BEST_FPERIOD_OVERRIDE=FY","FILING_STATUS=OR","EQY_CONSOLIDATED=Y","Sort=A","Dates=H","DateFormat=P","Fill=—","Direction=H","UseDPDF=Y")</f>
        <v>#NAME?</v>
      </c>
      <c r="BL543" s="1" t="e">
        <f ca="1">_xll.BDH($C$528,"ACCOUNTS_RECEIVABLE_SEQ_GROWTH","FY 2017","FY 2017","Currency=INR","Period=FY","BEST_FPERIOD_OVERRIDE=FY","FILING_STATUS=OR","EQY_CONSOLIDATED=Y","Sort=A","Dates=H","DateFormat=P","Fill=—","Direction=H","UseDPDF=Y")</f>
        <v>#NAME?</v>
      </c>
      <c r="BM543" s="1" t="e">
        <f ca="1">_xll.BDH($C$528,"INVENTORY_SEQUENTIAL_GROWTH","FY 2017","FY 2017","Currency=INR","Period=FY","BEST_FPERIOD_OVERRIDE=FY","FILING_STATUS=OR","EQY_CONSOLIDATED=Y","Sort=A","Dates=H","DateFormat=P","Fill=—","Direction=H","UseDPDF=Y")</f>
        <v>#NAME?</v>
      </c>
      <c r="BN543" s="1" t="e">
        <f ca="1">_xll.BDH($C$528,"FIXED_ASSETS_SEQUENTIAL_GROWTH","FY 2017","FY 2017","Currency=INR","Period=FY","BEST_FPERIOD_OVERRIDE=FY","FILING_STATUS=OR","EQY_CONSOLIDATED=Y","Sort=A","Dates=H","DateFormat=P","Fill=—","Direction=H","UseDPDF=Y")</f>
        <v>#NAME?</v>
      </c>
      <c r="BO543" s="1" t="e">
        <f ca="1">_xll.BDH($C$528,"TOTAL_ASSETS_SEQUENTIAL_GROWTH","FY 2017","FY 2017","Currency=INR","Period=FY","BEST_FPERIOD_OVERRIDE=FY","FILING_STATUS=OR","EQY_CONSOLIDATED=Y","Sort=A","Dates=H","DateFormat=P","Fill=—","Direction=H","UseDPDF=Y")</f>
        <v>#NAME?</v>
      </c>
      <c r="BP543" s="1" t="e">
        <f ca="1">_xll.BDH($C$528,"MODIFIED_WORKING_CPTL_SEQ_GRWTH","FY 2017","FY 2017","Currency=INR","Period=FY","BEST_FPERIOD_OVERRIDE=FY","FILING_STATUS=OR","EQY_CONSOLIDATED=Y","Sort=A","Dates=H","DateFormat=P","Fill=—","Direction=H","UseDPDF=Y")</f>
        <v>#NAME?</v>
      </c>
      <c r="BQ543" s="1" t="e">
        <f ca="1">_xll.BDH($C$528,"WORKING_CAPITAL_SEQ_GROWTH","FY 2017","FY 2017","Currency=INR","Period=FY","BEST_FPERIOD_OVERRIDE=FY","FILING_STATUS=OR","EQY_CONSOLIDATED=Y","Sort=A","Dates=H","DateFormat=P","Fill=—","Direction=H","UseDPDF=Y")</f>
        <v>#NAME?</v>
      </c>
      <c r="BR543" s="1" t="e">
        <f ca="1">_xll.BDH($C$528,"ACCOUNTS_PAYABLE_SEQ_GROWTH","FY 2017","FY 2017","Currency=INR","Period=FY","BEST_FPERIOD_OVERRIDE=FY","FILING_STATUS=OR","EQY_CONSOLIDATED=Y","Sort=A","Dates=H","DateFormat=P","Fill=—","Direction=H","UseDPDF=Y")</f>
        <v>#NAME?</v>
      </c>
      <c r="BS543" s="1" t="e">
        <f ca="1">_xll.BDH($C$528,"ST_DEBT_SEQUENTIAL_GROWTH","FY 2017","FY 2017","Currency=INR","Period=FY","BEST_FPERIOD_OVERRIDE=FY","FILING_STATUS=OR","EQY_CONSOLIDATED=Y","Sort=A","Dates=H","DateFormat=P","Fill=—","Direction=H","UseDPDF=Y")</f>
        <v>#NAME?</v>
      </c>
      <c r="BT543" s="1" t="e">
        <f ca="1">_xll.BDH($C$528,"TOTAL_DEBT_SEQUENTIAL_GROWTH","FY 2017","FY 2017","Currency=INR","Period=FY","BEST_FPERIOD_OVERRIDE=FY","FILING_STATUS=OR","EQY_CONSOLIDATED=Y","Sort=A","Dates=H","DateFormat=P","Fill=—","Direction=H","UseDPDF=Y")</f>
        <v>#NAME?</v>
      </c>
      <c r="BU543" s="1" t="e">
        <f ca="1">_xll.BDH($C$528,"TOTAL_EQUITY_SEQUENTIAL_GROWTH","FY 2017","FY 2017","Currency=INR","Period=FY","BEST_FPERIOD_OVERRIDE=FY","FILING_STATUS=OR","EQY_CONSOLIDATED=Y","Sort=A","Dates=H","DateFormat=P","Fill=—","Direction=H","UseDPDF=Y")</f>
        <v>#NAME?</v>
      </c>
      <c r="BV543" s="1" t="e">
        <f ca="1">_xll.BDH($C$528,"TOTAL_CAPITAL_SEQUENTIAL_GROWTH","FY 2017","FY 2017","Currency=INR","Period=FY","BEST_FPERIOD_OVERRIDE=FY","FILING_STATUS=OR","EQY_CONSOLIDATED=Y","Sort=A","Dates=H","DateFormat=P","Fill=—","Direction=H","UseDPDF=Y")</f>
        <v>#NAME?</v>
      </c>
      <c r="BW543" s="1" t="e">
        <f ca="1">_xll.BDH($C$528,"BPS_SEQUENTIAL_GROWTH","FY 2017","FY 2017","Currency=INR","Period=FY","BEST_FPERIOD_OVERRIDE=FY","FILING_STATUS=OR","EQY_CONSOLIDATED=Y","Sort=A","Dates=H","DateFormat=P","Fill=—","Direction=H","UseDPDF=Y")</f>
        <v>#NAME?</v>
      </c>
      <c r="BX543" s="1" t="e">
        <f ca="1">_xll.BDH($C$528,"CFO_SEQUENTIAL_GROWTH","FY 2017","FY 2017","Currency=INR","Period=FY","BEST_FPERIOD_OVERRIDE=FY","FILING_STATUS=OR","EQY_CONSOLIDATED=Y","Sort=A","Dates=H","DateFormat=P","Fill=—","Direction=H","UseDPDF=Y")</f>
        <v>#NAME?</v>
      </c>
      <c r="BY543" s="2" t="e">
        <f ca="1">_xll.BDH($C$528,"SHORT_AND_LONG_TERM_DEBT","FY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43" s="2" t="e">
        <f ca="1">_xll.BDH($C$528,"BS_ST_BORROW","FY 2017","FY 2017","Currency=INR","Period=FY","BEST_FPERIOD_OVERRIDE=FY","FILING_STATUS=OR","EQY_CONSOLIDATED=Y","SCALING_FORMAT=MLN","Sort=A","Dates=H","DateFormat=P","Fill=—","Direction=H","UseDPDF=Y")</f>
        <v>#NAME?</v>
      </c>
      <c r="CA543" s="2" t="e">
        <f ca="1">_xll.BDH($C$528,"BS_LT_BORROW","FY 2017","FY 2017","Currency=INR","Period=FY","BEST_FPERIOD_OVERRIDE=FY","FILING_STATUS=OR","EQY_CONSOLIDATED=Y","SCALING_FORMAT=MLN","Sort=A","Dates=H","DateFormat=P","Fill=—","Direction=H","UseDPDF=Y")</f>
        <v>#NAME?</v>
      </c>
      <c r="CB543" s="1" t="e">
        <f ca="1">_xll.BDH($C$528,"TOT_DEBT_TO_EBITDA","FY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543" s="1" t="e">
        <f ca="1">_xll.BDH($C$528,"NET_DEBT_TO_EBITDA","FY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543" s="1" t="e">
        <f ca="1">_xll.BDH($C$528,"TOTAL_DEBT_TO_EBIT","FY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543" s="1" t="e">
        <f ca="1">_xll.BDH($C$528,"NET_DEBT_TO_EBIT","FY 2017","FY 2017","Currency=INR","Period=FY","BEST_FPERIOD_OVERRIDE=FY","FILING_STATUS=OR","EQY_CONSOLIDATED=Y","FA_ADJUSTED=GAAP","Sort=A","Dates=H","DateFormat=P","Fill=—","Direction=H","UseDPDF=Y")</f>
        <v>#NAME?</v>
      </c>
      <c r="CF543" s="1" t="e">
        <f ca="1">_xll.BDH($C$528,"EBITDA_TO_INTEREST_EXPN","FY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43" s="1" t="e">
        <f ca="1">_xll.BDH($C$528,"COM_EQY_TO_TOT_ASSET","FY 2017","FY 2017","Currency=INR","Period=FY","BEST_FPERIOD_OVERRIDE=FY","FILING_STATUS=OR","EQY_CONSOLIDATED=Y","Sort=A","Dates=H","DateFormat=P","Fill=—","Direction=H","UseDPDF=Y")</f>
        <v>#NAME?</v>
      </c>
      <c r="CH543" s="1" t="e">
        <f ca="1">_xll.BDH($C$528,"LT_DEBT_TO_TOT_EQY","FY 2017","FY 2017","Currency=INR","Period=FY","BEST_FPERIOD_OVERRIDE=FY","FILING_STATUS=OR","EQY_CONSOLIDATED=Y","Sort=A","Dates=H","DateFormat=P","Fill=—","Direction=H","UseDPDF=Y")</f>
        <v>#NAME?</v>
      </c>
      <c r="CI543" s="1" t="e">
        <f ca="1">_xll.BDH($C$528,"LT_DEBT_TO_TOT_CAP","FY 2017","FY 2017","Currency=INR","Period=FY","BEST_FPERIOD_OVERRIDE=FY","FILING_STATUS=OR","EQY_CONSOLIDATED=Y","Sort=A","Dates=H","DateFormat=P","Fill=—","Direction=H","UseDPDF=Y")</f>
        <v>#NAME?</v>
      </c>
      <c r="CJ543" s="1" t="e">
        <f ca="1">_xll.BDH($C$528,"LT_DEBT_TO_TOT_ASSET","FY 2017","FY 2017","Currency=INR","Period=FY","BEST_FPERIOD_OVERRIDE=FY","FILING_STATUS=OR","EQY_CONSOLIDATED=Y","Sort=A","Dates=H","DateFormat=P","Fill=—","Direction=H","UseDPDF=Y")</f>
        <v>#NAME?</v>
      </c>
      <c r="CK543" s="1" t="e">
        <f ca="1">_xll.BDH($C$528,"TOT_DEBT_TO_TOT_EQY","FY 2017","FY 2017","Currency=INR","Period=FY","BEST_FPERIOD_OVERRIDE=FY","FILING_STATUS=OR","EQY_CONSOLIDATED=Y","Sort=A","Dates=H","DateFormat=P","Fill=—","Direction=H","UseDPDF=Y")</f>
        <v>#NAME?</v>
      </c>
      <c r="CL543" s="1" t="e">
        <f ca="1">_xll.BDH($C$528,"TOT_DEBT_TO_TOT_CAP","FY 2017","FY 2017","Currency=INR","Period=FY","BEST_FPERIOD_OVERRIDE=FY","FILING_STATUS=OR","EQY_CONSOLIDATED=Y","Sort=A","Dates=H","DateFormat=P","Fill=—","Direction=H","UseDPDF=Y")</f>
        <v>#NAME?</v>
      </c>
      <c r="CM543" s="1" t="e">
        <f ca="1">_xll.BDH($C$528,"TOT_DEBT_TO_TOT_ASSET","FY 2017","FY 2017","Currency=INR","Period=FY","BEST_FPERIOD_OVERRIDE=FY","FILING_STATUS=OR","EQY_CONSOLIDATED=Y","Sort=A","Dates=H","DateFormat=P","Fill=—","Direction=H","UseDPDF=Y")</f>
        <v>#NAME?</v>
      </c>
      <c r="CN543" s="1" t="e">
        <f ca="1">_xll.BDH($C$528,"NET_DEBT_TO_SHRHLDR_EQTY","FY 2017","FY 2017","Currency=INR","Period=FY","BEST_FPERIOD_OVERRIDE=FY","FILING_STATUS=OR","EQY_CONSOLIDATED=Y","Sort=A","Dates=H","DateFormat=P","Fill=—","Direction=H","UseDPDF=Y")</f>
        <v>#NAME?</v>
      </c>
      <c r="CO543" s="1" t="e">
        <f ca="1">_xll.BDH($C$528,"NET_DEBT_%_CAPITAL","FY 2017","FY 2017","Currency=INR","Period=FY","BEST_FPERIOD_OVERRIDE=FY","FILING_STATUS=OR","EQY_CONSOLIDATED=Y","Sort=A","Dates=H","DateFormat=P","Fill=—","Direction=H","UseDPDF=Y")</f>
        <v>#NAME?</v>
      </c>
      <c r="CP543" s="2" t="e">
        <f ca="1">_xll.BDH($C$528,"EBITDA","FY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43" s="2" t="e">
        <f ca="1">_xll.BDH($C$528,"EBITDA_AFTER_CAPEX","FY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43" s="2" t="e">
        <f ca="1">_xll.BDH($C$528,"IS_OPER_INC","FY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43" s="1" t="e">
        <f ca="1">_xll.BDH($C$528,"CASH_RATIO","FY 2017","FY 2017","Currency=INR","Period=FY","BEST_FPERIOD_OVERRIDE=FY","FILING_STATUS=OR","EQY_CONSOLIDATED=Y","Sort=A","Dates=H","DateFormat=P","Fill=—","Direction=H","UseDPDF=Y")</f>
        <v>#NAME?</v>
      </c>
      <c r="CT543" s="1" t="e">
        <f ca="1">_xll.BDH($C$528,"CUR_RATIO","FY 2017","FY 2017","Currency=INR","Period=FY","BEST_FPERIOD_OVERRIDE=FY","FILING_STATUS=OR","EQY_CONSOLIDATED=Y","Sort=A","Dates=H","DateFormat=P","Fill=—","Direction=H","UseDPDF=Y")</f>
        <v>#NAME?</v>
      </c>
      <c r="CU543" s="1" t="e">
        <f ca="1">_xll.BDH($C$528,"QUICK_RATIO","FY 2017","FY 2017","Currency=INR","Period=FY","BEST_FPERIOD_OVERRIDE=FY","FILING_STATUS=OR","EQY_CONSOLIDATED=Y","Sort=A","Dates=H","DateFormat=P","Fill=—","Direction=H","UseDPDF=Y")</f>
        <v>#NAME?</v>
      </c>
      <c r="CV543" s="1" t="e">
        <f ca="1">_xll.BDH($C$528,"ALTMAN_Z_SCORE","FY 2017","FY 2017","Currency=INR","Period=FY","BEST_FPERIOD_OVERRIDE=FY","FILING_STATUS=OR","EQY_CONSOLIDATED=Y","Sort=A","Dates=H","DateFormat=P","Fill=—","Direction=H","UseDPDF=Y")</f>
        <v>#NAME?</v>
      </c>
      <c r="CW543" s="3" t="e">
        <f ca="1">_xll.BDH($C$528,"ACCT_RCV_TURN","FY 2017","FY 2017","Currency=INR","Period=FY","BEST_FPERIOD_OVERRIDE=FY","FILING_STATUS=OR","EQY_CONSOLIDATED=Y","FA_ADJUSTED=GAAP","Sort=A","Dates=H","DateFormat=P","Fill=—","Direction=H","UseDPDF=Y")</f>
        <v>#NAME?</v>
      </c>
      <c r="CX543" s="1" t="e">
        <f ca="1">_xll.BDH($C$528,"ACCT_RCV_DAYS","FY 2017","FY 2017","Currency=INR","Period=FY","BEST_FPERIOD_OVERRIDE=FY","FILING_STATUS=OR","EQY_CONSOLIDATED=Y","FA_ADJUSTED=GAAP","Sort=A","Dates=H","DateFormat=P","Fill=—","Direction=H","UseDPDF=Y")</f>
        <v>#NAME?</v>
      </c>
      <c r="CY543" s="3" t="e">
        <f ca="1">_xll.BDH($C$528,"INVENT_TURN","FY 2017","FY 2017","Currency=INR","Period=FY","BEST_FPERIOD_OVERRIDE=FY","FILING_STATUS=OR","EQY_CONSOLIDATED=Y","FA_ADJUSTED=GAAP","Sort=A","Dates=H","DateFormat=P","Fill=—","Direction=H","UseDPDF=Y")</f>
        <v>#NAME?</v>
      </c>
      <c r="CZ543" s="1" t="e">
        <f ca="1">_xll.BDH($C$528,"INVENT_DAYS","FY 2017","FY 2017","Currency=INR","Period=FY","BEST_FPERIOD_OVERRIDE=FY","FILING_STATUS=OR","EQY_CONSOLIDATED=Y","FA_ADJUSTED=GAAP","Sort=A","Dates=H","DateFormat=P","Fill=—","Direction=H","UseDPDF=Y")</f>
        <v>#NAME?</v>
      </c>
      <c r="DA543" s="3" t="e">
        <f ca="1">_xll.BDH($C$528,"ACCOUNTS_PAYABLE_TURNOVER","FY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43" s="1" t="e">
        <f ca="1">_xll.BDH($C$528,"ACCOUNTS_PAYABLE_TURNOVER_DAYS","FY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43" s="3" t="e">
        <f ca="1">_xll.BDH($C$528,"CASH_CONVERSION_CYCLE","FY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43" s="3" t="e">
        <f ca="1">_xll.BDH($C$528,"INV_TO_CASH_DAYS","FY 2017","FY 2017","Currency=INR","Period=FY","BEST_FPERIOD_OVERRIDE=FY","FILING_STATUS=OR","EQY_CONSOLIDATED=Y","FA_ADJUSTED=GAAP","Sort=A","Dates=H","DateFormat=P","Fill=—","Direction=H","UseDPDF=Y")</f>
        <v>#NAME?</v>
      </c>
      <c r="DE543" s="4" t="e">
        <f ca="1">_xll.BDH($C$528,"BS_INVENTORIES","FY 2017","FY 2017","Currency=INR","Period=FY","BEST_FPERIOD_OVERRIDE=FY","FILING_STATUS=OR","EQY_CONSOLIDATED=Y","SCALING_FORMAT=MLN","Sort=A","Dates=H","DateFormat=P","Fill=—","Direction=H","UseDPDF=Y")</f>
        <v>#NAME?</v>
      </c>
      <c r="DF543" s="2" t="e">
        <f ca="1">_xll.BDH($C$528,"INVTRY_RAW_MATERIALS","FY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43" s="2" t="e">
        <f ca="1">_xll.BDH($C$528,"INVTRY_IN_PROGRESS","FY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43" s="2" t="e">
        <f ca="1">_xll.BDH($C$528,"INVTRY_FINISHED_GOODS","FY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43" s="2" t="e">
        <f ca="1">_xll.BDH($C$528,"BS_OTHER_INV","FY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44" spans="1:113" x14ac:dyDescent="0.3">
      <c r="A544" s="6"/>
      <c r="B544" s="6"/>
      <c r="C544" s="6"/>
      <c r="D544" s="6"/>
      <c r="E544" t="s">
        <v>4</v>
      </c>
      <c r="F544" t="e">
        <f ca="1">_xll.BDH($C$528,"RETURN_COM_EQY","FQ1 2017","FQ1 2017","Currency=INR","Period=FQ","BEST_FPERIOD_OVERRIDE=FQ","FILING_STATUS=OR","EQY_CONSOLIDATED=Y","FA_ADJUSTED=GAAP","Sort=A","Dates=H","DateFormat=P","Fill=—","Direction=H","UseDPDF=Y")</f>
        <v>#NAME?</v>
      </c>
      <c r="G544" t="e">
        <f ca="1">_xll.BDH($C$528,"RETURN_ON_ASSET","FQ1 2017","FQ1 2017","Currency=INR","Period=FQ","BEST_FPERIOD_OVERRIDE=FQ","FILING_STATUS=OR","EQY_CONSOLIDATED=Y","FA_ADJUSTED=GAAP","Sort=A","Dates=H","DateFormat=P","Fill=—","Direction=H","UseDPDF=Y")</f>
        <v>#NAME?</v>
      </c>
      <c r="H544" t="e">
        <f ca="1">_xll.BDH($C$528,"RETURN_ON_CAP","FQ1 2017","FQ1 2017","Currency=INR","Period=FQ","BEST_FPERIOD_OVERRIDE=FQ","FILING_STATUS=OR","EQY_CONSOLIDATED=Y","FA_ADJUSTED=GAAP","Sort=A","Dates=H","DateFormat=P","Fill=—","Direction=H","UseDPDF=Y")</f>
        <v>#NAME?</v>
      </c>
      <c r="I544" t="e">
        <f ca="1">_xll.BDH($C$528,"RETURN_ON_INV_CAPITAL","FQ1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44" t="e">
        <f ca="1">_xll.BDH($C$528,"EBITDA_TO_REVENUE","FQ1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544" t="e">
        <f ca="1">_xll.BDH($C$528,"OPER_MARGIN","FQ1 2017","FQ1 2017","Currency=INR","Period=FQ","BEST_FPERIOD_OVERRIDE=FQ","FILING_STATUS=OR","EQY_CONSOLIDATED=Y","FA_ADJUSTED=GAAP","Sort=A","Dates=H","DateFormat=P","Fill=—","Direction=H","UseDPDF=Y")</f>
        <v>#NAME?</v>
      </c>
      <c r="L544" t="e">
        <f ca="1">_xll.BDH($C$528,"INCREMENTAL_OPERATING_MARGIN","FQ1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44" t="e">
        <f ca="1">_xll.BDH($C$528,"PRETAX_INC_TO_NET_SALES","FQ1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44" t="e">
        <f ca="1">_xll.BDH($C$528,"INC_BEF_XO_ITEMS_TO_NET_SALES","FQ1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44" t="e">
        <f ca="1">_xll.BDH($C$528,"PROF_MARGIN","FQ1 2017","FQ1 2017","Currency=INR","Period=FQ","BEST_FPERIOD_OVERRIDE=FQ","FILING_STATUS=OR","EQY_CONSOLIDATED=Y","FA_ADJUSTED=GAAP","Sort=A","Dates=H","DateFormat=P","Fill=—","Direction=H","UseDPDF=Y")</f>
        <v>#NAME?</v>
      </c>
      <c r="P544" t="e">
        <f ca="1">_xll.BDH($C$528,"NET_INCOME_TO_COMMON_MARGIN","FQ1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44" t="e">
        <f ca="1">_xll.BDH($C$528,"EFF_TAX_RATE","FQ1 2017","FQ1 2017","Currency=INR","Period=FQ","BEST_FPERIOD_OVERRIDE=FQ","FILING_STATUS=OR","EQY_CONSOLIDATED=Y","FA_ADJUSTED=GAAP","Sort=A","Dates=H","DateFormat=P","Fill=—","Direction=H","UseDPDF=Y")</f>
        <v>#NAME?</v>
      </c>
      <c r="R544" t="e">
        <f ca="1">_xll.BDH($C$528,"DVD_PAYOUT_RATIO","FQ1 2017","FQ1 2017","Currency=INR","Period=FQ","BEST_FPERIOD_OVERRIDE=FQ","FILING_STATUS=OR","EQY_CONSOLIDATED=Y","FA_ADJUSTED=GAAP","Sort=A","Dates=H","DateFormat=P","Fill=—","Direction=H","UseDPDF=Y")</f>
        <v>#NAME?</v>
      </c>
      <c r="S544" t="e">
        <f ca="1">_xll.BDH($C$528,"SUSTAIN_GROWTH_RT","FQ1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544" s="1" t="e">
        <f ca="1">_xll.BDH($C$528,"SALES_GROWTH","FQ1 2017","FQ1 2017","Currency=INR","Period=FQ","BEST_FPERIOD_OVERRIDE=FQ","FILING_STATUS=OR","EQY_CONSOLIDATED=Y","FA_ADJUSTED=GAAP","Sort=A","Dates=H","DateFormat=P","Fill=—","Direction=H","UseDPDF=Y")</f>
        <v>#NAME?</v>
      </c>
      <c r="U544" s="1" t="e">
        <f ca="1">_xll.BDH($C$528,"EBITDA_GROWTH","FQ1 2017","FQ1 2017","Currency=INR","Period=FQ","BEST_FPERIOD_OVERRIDE=FQ","FILING_STATUS=OR","EQY_CONSOLIDATED=Y","FA_ADJUSTED=GAAP","Sort=A","Dates=H","DateFormat=P","Fill=—","Direction=H","UseDPDF=Y")</f>
        <v>#NAME?</v>
      </c>
      <c r="V544" s="1" t="e">
        <f ca="1">_xll.BDH($C$528,"OPER_INC_GROWTH","FQ1 2017","FQ1 2017","Currency=INR","Period=FQ","BEST_FPERIOD_OVERRIDE=FQ","FILING_STATUS=OR","EQY_CONSOLIDATED=Y","FA_ADJUSTED=GAAP","Sort=A","Dates=H","DateFormat=P","Fill=—","Direction=H","UseDPDF=Y")</f>
        <v>#NAME?</v>
      </c>
      <c r="W544" s="1" t="e">
        <f ca="1">_xll.BDH($C$528,"EARN_FOR_COM_GROWTH","FQ1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44" s="1" t="e">
        <f ca="1">_xll.BDH($C$528,"DILUTED_EPS_AFT_XO_ITEMS_GROWTH","FQ1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44" s="1" t="e">
        <f ca="1">_xll.BDH($C$528,"DIVIDEND_PER_SHARE_1_YEAR_GROWTH","FQ1 2017","FQ1 2017","Currency=INR","Period=FQ","BEST_FPERIOD_OVERRIDE=FQ","FILING_STATUS=OR","EQY_CONSOLIDATED=Y","Sort=A","Dates=H","DateFormat=P","Fill=—","Direction=H","UseDPDF=Y")</f>
        <v>#NAME?</v>
      </c>
      <c r="Z544" s="1" t="e">
        <f ca="1">_xll.BDH($C$528,"ACCOUNTS_RECEIVABLE_GROWTH","FQ1 2017","FQ1 2017","Currency=INR","Period=FQ","BEST_FPERIOD_OVERRIDE=FQ","FILING_STATUS=OR","EQY_CONSOLIDATED=Y","Sort=A","Dates=H","DateFormat=P","Fill=—","Direction=H","UseDPDF=Y")</f>
        <v>#NAME?</v>
      </c>
      <c r="AA544" s="1" t="e">
        <f ca="1">_xll.BDH($C$528,"INVENTORY_GROWTH","FQ1 2017","FQ1 2017","Currency=INR","Period=FQ","BEST_FPERIOD_OVERRIDE=FQ","FILING_STATUS=OR","EQY_CONSOLIDATED=Y","Sort=A","Dates=H","DateFormat=P","Fill=—","Direction=H","UseDPDF=Y")</f>
        <v>#NAME?</v>
      </c>
      <c r="AB544" s="1" t="e">
        <f ca="1">_xll.BDH($C$528,"NET_FIXED_ASSETS_1_YEAR_GROWTH","FQ1 2017","FQ1 2017","Currency=INR","Period=FQ","BEST_FPERIOD_OVERRIDE=FQ","FILING_STATUS=OR","EQY_CONSOLIDATED=Y","Sort=A","Dates=H","DateFormat=P","Fill=—","Direction=H","UseDPDF=Y")</f>
        <v>#NAME?</v>
      </c>
      <c r="AC544" s="1" t="e">
        <f ca="1">_xll.BDH($C$528,"ASSET_GROWTH","FQ1 2017","FQ1 2017","Currency=INR","Period=FQ","BEST_FPERIOD_OVERRIDE=FQ","FILING_STATUS=OR","EQY_CONSOLIDATED=Y","Sort=A","Dates=H","DateFormat=P","Fill=—","Direction=H","UseDPDF=Y")</f>
        <v>#NAME?</v>
      </c>
      <c r="AD544" s="1" t="e">
        <f ca="1">_xll.BDH($C$528,"MODIFIED_WORK_CAP_GROWTH","FQ1 2017","FQ1 2017","Currency=INR","Period=FQ","BEST_FPERIOD_OVERRIDE=FQ","FILING_STATUS=OR","EQY_CONSOLIDATED=Y","Sort=A","Dates=H","DateFormat=P","Fill=—","Direction=H","UseDPDF=Y")</f>
        <v>#NAME?</v>
      </c>
      <c r="AE544" s="1" t="e">
        <f ca="1">_xll.BDH($C$528,"WORK_CAP_GROWTH","FQ1 2017","FQ1 2017","Currency=INR","Period=FQ","BEST_FPERIOD_OVERRIDE=FQ","FILING_STATUS=OR","EQY_CONSOLIDATED=Y","Sort=A","Dates=H","DateFormat=P","Fill=—","Direction=H","UseDPDF=Y")</f>
        <v>#NAME?</v>
      </c>
      <c r="AF544" s="1" t="e">
        <f ca="1">_xll.BDH($C$528,"ACCOUNTS_PAYABLE_GROWTH_1YR","FQ1 2017","FQ1 2017","Currency=INR","Period=FQ","BEST_FPERIOD_OVERRIDE=FQ","FILING_STATUS=OR","EQY_CONSOLIDATED=Y","Sort=A","Dates=H","DateFormat=P","Fill=—","Direction=H","UseDPDF=Y")</f>
        <v>#NAME?</v>
      </c>
      <c r="AG544" s="1" t="e">
        <f ca="1">_xll.BDH($C$528,"SHORT_TERM_DEBT_1_YEAR_GROWTH","FQ1 2017","FQ1 2017","Currency=INR","Period=FQ","BEST_FPERIOD_OVERRIDE=FQ","FILING_STATUS=OR","EQY_CONSOLIDATED=Y","Sort=A","Dates=H","DateFormat=P","Fill=—","Direction=H","UseDPDF=Y")</f>
        <v>#NAME?</v>
      </c>
      <c r="AH544" s="1" t="e">
        <f ca="1">_xll.BDH($C$528,"TOTAL_DEBT_1_YEAR_GROWTH","FQ1 2017","FQ1 2017","Currency=INR","Period=FQ","BEST_FPERIOD_OVERRIDE=FQ","FILING_STATUS=OR","EQY_CONSOLIDATED=Y","Sort=A","Dates=H","DateFormat=P","Fill=—","Direction=H","UseDPDF=Y")</f>
        <v>#NAME?</v>
      </c>
      <c r="AI544" s="1" t="e">
        <f ca="1">_xll.BDH($C$528,"TOTAL_EQUITY_1_YEAR_GROWTH","FQ1 2017","FQ1 2017","Currency=INR","Period=FQ","BEST_FPERIOD_OVERRIDE=FQ","FILING_STATUS=OR","EQY_CONSOLIDATED=Y","Sort=A","Dates=H","DateFormat=P","Fill=—","Direction=H","UseDPDF=Y")</f>
        <v>#NAME?</v>
      </c>
      <c r="AJ544" s="1" t="e">
        <f ca="1">_xll.BDH($C$528,"GROWTH_IN_CAP","FQ1 2017","FQ1 2017","Currency=INR","Period=FQ","BEST_FPERIOD_OVERRIDE=FQ","FILING_STATUS=OR","EQY_CONSOLIDATED=Y","Sort=A","Dates=H","DateFormat=P","Fill=—","Direction=H","UseDPDF=Y")</f>
        <v>#NAME?</v>
      </c>
      <c r="AK544" s="1" t="e">
        <f ca="1">_xll.BDH($C$528,"BVPS_GROWTH","FQ1 2017","FQ1 2017","Currency=INR","Period=FQ","BEST_FPERIOD_OVERRIDE=FQ","FILING_STATUS=OR","EQY_CONSOLIDATED=Y","Sort=A","Dates=H","DateFormat=P","Fill=—","Direction=H","UseDPDF=Y")</f>
        <v>#NAME?</v>
      </c>
      <c r="AL544" s="1" t="e">
        <f ca="1">_xll.BDH($C$528,"CASH_FLOW_GROWTH","FQ1 2017","FQ1 2017","Currency=INR","Period=FQ","BEST_FPERIOD_OVERRIDE=FQ","FILING_STATUS=OR","EQY_CONSOLIDATED=Y","Sort=A","Dates=H","DateFormat=P","Fill=—","Direction=H","UseDPDF=Y")</f>
        <v>#NAME?</v>
      </c>
      <c r="AM544" s="1" t="e">
        <f ca="1">_xll.BDH($C$528,"GEO_GROW_NET_SALES","FQ1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44" s="1" t="e">
        <f ca="1">_xll.BDH($C$528,"GEO_GROW_EBITDA","FQ1 2017","FQ1 2017","Currency=INR","Period=FQ","BEST_FPERIOD_OVERRIDE=FQ","FILING_STATUS=OR","EQY_CONSOLIDATED=Y","FA_ADJUSTED=GAAP","Sort=A","Dates=H","DateFormat=P","Fill=—","Direction=H","UseDPDF=Y")</f>
        <v>#NAME?</v>
      </c>
      <c r="AO544" s="1" t="e">
        <f ca="1">_xll.BDH($C$528,"GEO_GROW_OPER_INC","FQ1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44" s="1" t="e">
        <f ca="1">_xll.BDH($C$528,"NET_INCOME_TO_COMMON_5_YR_GROWTH","FQ1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44" s="1" t="e">
        <f ca="1">_xll.BDH($C$528,"5Y_GEO_GROWTH_DILUTED_EPS","FQ1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44" s="1" t="e">
        <f ca="1">_xll.BDH($C$528,"GEO_GROW_DVD_PER_SH","FQ1 2017","FQ1 2017","Currency=INR","Period=FQ","BEST_FPERIOD_OVERRIDE=FQ","FILING_STATUS=OR","EQY_CONSOLIDATED=Y","Sort=A","Dates=H","DateFormat=P","Fill=—","Direction=H","UseDPDF=Y")</f>
        <v>#NAME?</v>
      </c>
      <c r="AS544" s="1" t="e">
        <f ca="1">_xll.BDH($C$528,"ACCOUNTS_RECEIVABLE_5_YR_GROWTH","FQ1 2017","FQ1 2017","Currency=INR","Period=FQ","BEST_FPERIOD_OVERRIDE=FQ","FILING_STATUS=OR","EQY_CONSOLIDATED=Y","Sort=A","Dates=H","DateFormat=P","Fill=—","Direction=H","UseDPDF=Y")</f>
        <v>#NAME?</v>
      </c>
      <c r="AT544" s="1" t="e">
        <f ca="1">_xll.BDH($C$528,"INVENTORY_5_YEAR_GROWTH","FQ1 2017","FQ1 2017","Currency=INR","Period=FQ","BEST_FPERIOD_OVERRIDE=FQ","FILING_STATUS=OR","EQY_CONSOLIDATED=Y","Sort=A","Dates=H","DateFormat=P","Fill=—","Direction=H","UseDPDF=Y")</f>
        <v>#NAME?</v>
      </c>
      <c r="AU544" s="1" t="e">
        <f ca="1">_xll.BDH($C$528,"NET_FIXED_ASSETS_5_YEAR_GROWTH","FQ1 2017","FQ1 2017","Currency=INR","Period=FQ","BEST_FPERIOD_OVERRIDE=FQ","FILING_STATUS=OR","EQY_CONSOLIDATED=Y","Sort=A","Dates=H","DateFormat=P","Fill=—","Direction=H","UseDPDF=Y")</f>
        <v>#NAME?</v>
      </c>
      <c r="AV544" s="1" t="e">
        <f ca="1">_xll.BDH($C$528,"GEO_GROW_TOT_ASSET","FQ1 2017","FQ1 2017","Currency=INR","Period=FQ","BEST_FPERIOD_OVERRIDE=FQ","FILING_STATUS=OR","EQY_CONSOLIDATED=Y","Sort=A","Dates=H","DateFormat=P","Fill=—","Direction=H","UseDPDF=Y")</f>
        <v>#NAME?</v>
      </c>
      <c r="AW544" s="1" t="e">
        <f ca="1">_xll.BDH($C$528,"MODIFIED_WORKING_CPTL_5YR_GRWTH","FQ1 2017","FQ1 2017","Currency=INR","Period=FQ","BEST_FPERIOD_OVERRIDE=FQ","FILING_STATUS=OR","EQY_CONSOLIDATED=Y","Sort=A","Dates=H","DateFormat=P","Fill=—","Direction=H","UseDPDF=Y")</f>
        <v>#NAME?</v>
      </c>
      <c r="AX544" s="1" t="e">
        <f ca="1">_xll.BDH($C$528,"WORKING_CAPITAL_5_YEAR_GROWTH","FQ1 2017","FQ1 2017","Currency=INR","Period=FQ","BEST_FPERIOD_OVERRIDE=FQ","FILING_STATUS=OR","EQY_CONSOLIDATED=Y","Sort=A","Dates=H","DateFormat=P","Fill=—","Direction=H","UseDPDF=Y")</f>
        <v>#NAME?</v>
      </c>
      <c r="AY544" s="1" t="e">
        <f ca="1">_xll.BDH($C$528,"ACCOUNTS_PAYABLE_5_YEAR_GROWTH","FQ1 2017","FQ1 2017","Currency=INR","Period=FQ","BEST_FPERIOD_OVERRIDE=FQ","FILING_STATUS=OR","EQY_CONSOLIDATED=Y","Sort=A","Dates=H","DateFormat=P","Fill=—","Direction=H","UseDPDF=Y")</f>
        <v>#NAME?</v>
      </c>
      <c r="AZ544" s="1" t="e">
        <f ca="1">_xll.BDH($C$528,"SHORT_TERM_DEBT_5_YEAR_GROWTH","FQ1 2017","FQ1 2017","Currency=INR","Period=FQ","BEST_FPERIOD_OVERRIDE=FQ","FILING_STATUS=OR","EQY_CONSOLIDATED=Y","Sort=A","Dates=H","DateFormat=P","Fill=—","Direction=H","UseDPDF=Y")</f>
        <v>#NAME?</v>
      </c>
      <c r="BA544" s="1" t="e">
        <f ca="1">_xll.BDH($C$528,"TOTAL_DEBT_5_YEAR_GROWTH","FQ1 2017","FQ1 2017","Currency=INR","Period=FQ","BEST_FPERIOD_OVERRIDE=FQ","FILING_STATUS=OR","EQY_CONSOLIDATED=Y","Sort=A","Dates=H","DateFormat=P","Fill=—","Direction=H","UseDPDF=Y")</f>
        <v>#NAME?</v>
      </c>
      <c r="BB544" s="1" t="e">
        <f ca="1">_xll.BDH($C$528,"GEO_GROW_TOT_SHRHLDR_EQY","FQ1 2017","FQ1 2017","Currency=INR","Period=FQ","BEST_FPERIOD_OVERRIDE=FQ","FILING_STATUS=OR","EQY_CONSOLIDATED=Y","Sort=A","Dates=H","DateFormat=P","Fill=—","Direction=H","UseDPDF=Y")</f>
        <v>#NAME?</v>
      </c>
      <c r="BC544" s="1" t="e">
        <f ca="1">_xll.BDH($C$528,"TOTAL_CAPITAL_5_YEAR_GROWTH","FQ1 2017","FQ1 2017","Currency=INR","Period=FQ","BEST_FPERIOD_OVERRIDE=FQ","FILING_STATUS=OR","EQY_CONSOLIDATED=Y","Sort=A","Dates=H","DateFormat=P","Fill=—","Direction=H","UseDPDF=Y")</f>
        <v>#NAME?</v>
      </c>
      <c r="BD544" s="1" t="e">
        <f ca="1">_xll.BDH($C$528,"GEO_GROW_BOOK_VAL","FQ1 2017","FQ1 2017","Currency=INR","Period=FQ","BEST_FPERIOD_OVERRIDE=FQ","FILING_STATUS=OR","EQY_CONSOLIDATED=Y","Sort=A","Dates=H","DateFormat=P","Fill=—","Direction=H","UseDPDF=Y")</f>
        <v>#NAME?</v>
      </c>
      <c r="BE544" s="1" t="e">
        <f ca="1">_xll.BDH($C$528,"GEO_GROW_CASH_OPER_ACT","FQ1 2017","FQ1 2017","Currency=INR","Period=FQ","BEST_FPERIOD_OVERRIDE=FQ","FILING_STATUS=OR","EQY_CONSOLIDATED=Y","Sort=A","Dates=H","DateFormat=P","Fill=—","Direction=H","UseDPDF=Y")</f>
        <v>#NAME?</v>
      </c>
      <c r="BF544" s="1" t="e">
        <f ca="1">_xll.BDH($C$528,"REVENUE_SEQUENTIAL_GROWTH","FQ1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44" s="1" t="e">
        <f ca="1">_xll.BDH($C$528,"EBITDA_SEQUENTIAL_GROWTH","FQ1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44" s="1" t="e">
        <f ca="1">_xll.BDH($C$528,"OPERATING_INCOME_SEQ_GROWTH","FQ1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44" s="1" t="e">
        <f ca="1">_xll.BDH($C$528,"NET_INCOME_TO_COMMON_SEQ_GROWTH","FQ1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44" s="1" t="e">
        <f ca="1">_xll.BDH($C$528,"EPS_DILUTED_SEQUENTIAL_GROWTH","FQ1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44" s="1" t="e">
        <f ca="1">_xll.BDH($C$528,"DPS_SEQUENTIAL_GROWTH","FQ1 2017","FQ1 2017","Currency=INR","Period=FQ","BEST_FPERIOD_OVERRIDE=FQ","FILING_STATUS=OR","EQY_CONSOLIDATED=Y","Sort=A","Dates=H","DateFormat=P","Fill=—","Direction=H","UseDPDF=Y")</f>
        <v>#NAME?</v>
      </c>
      <c r="BL544" s="1" t="e">
        <f ca="1">_xll.BDH($C$528,"ACCOUNTS_RECEIVABLE_SEQ_GROWTH","FQ1 2017","FQ1 2017","Currency=INR","Period=FQ","BEST_FPERIOD_OVERRIDE=FQ","FILING_STATUS=OR","EQY_CONSOLIDATED=Y","Sort=A","Dates=H","DateFormat=P","Fill=—","Direction=H","UseDPDF=Y")</f>
        <v>#NAME?</v>
      </c>
      <c r="BM544" s="1" t="e">
        <f ca="1">_xll.BDH($C$528,"INVENTORY_SEQUENTIAL_GROWTH","FQ1 2017","FQ1 2017","Currency=INR","Period=FQ","BEST_FPERIOD_OVERRIDE=FQ","FILING_STATUS=OR","EQY_CONSOLIDATED=Y","Sort=A","Dates=H","DateFormat=P","Fill=—","Direction=H","UseDPDF=Y")</f>
        <v>#NAME?</v>
      </c>
      <c r="BN544" s="1" t="e">
        <f ca="1">_xll.BDH($C$528,"FIXED_ASSETS_SEQUENTIAL_GROWTH","FQ1 2017","FQ1 2017","Currency=INR","Period=FQ","BEST_FPERIOD_OVERRIDE=FQ","FILING_STATUS=OR","EQY_CONSOLIDATED=Y","Sort=A","Dates=H","DateFormat=P","Fill=—","Direction=H","UseDPDF=Y")</f>
        <v>#NAME?</v>
      </c>
      <c r="BO544" s="1" t="e">
        <f ca="1">_xll.BDH($C$528,"TOTAL_ASSETS_SEQUENTIAL_GROWTH","FQ1 2017","FQ1 2017","Currency=INR","Period=FQ","BEST_FPERIOD_OVERRIDE=FQ","FILING_STATUS=OR","EQY_CONSOLIDATED=Y","Sort=A","Dates=H","DateFormat=P","Fill=—","Direction=H","UseDPDF=Y")</f>
        <v>#NAME?</v>
      </c>
      <c r="BP544" s="1" t="e">
        <f ca="1">_xll.BDH($C$528,"MODIFIED_WORKING_CPTL_SEQ_GRWTH","FQ1 2017","FQ1 2017","Currency=INR","Period=FQ","BEST_FPERIOD_OVERRIDE=FQ","FILING_STATUS=OR","EQY_CONSOLIDATED=Y","Sort=A","Dates=H","DateFormat=P","Fill=—","Direction=H","UseDPDF=Y")</f>
        <v>#NAME?</v>
      </c>
      <c r="BQ544" s="1" t="e">
        <f ca="1">_xll.BDH($C$528,"WORKING_CAPITAL_SEQ_GROWTH","FQ1 2017","FQ1 2017","Currency=INR","Period=FQ","BEST_FPERIOD_OVERRIDE=FQ","FILING_STATUS=OR","EQY_CONSOLIDATED=Y","Sort=A","Dates=H","DateFormat=P","Fill=—","Direction=H","UseDPDF=Y")</f>
        <v>#NAME?</v>
      </c>
      <c r="BR544" s="1" t="e">
        <f ca="1">_xll.BDH($C$528,"ACCOUNTS_PAYABLE_SEQ_GROWTH","FQ1 2017","FQ1 2017","Currency=INR","Period=FQ","BEST_FPERIOD_OVERRIDE=FQ","FILING_STATUS=OR","EQY_CONSOLIDATED=Y","Sort=A","Dates=H","DateFormat=P","Fill=—","Direction=H","UseDPDF=Y")</f>
        <v>#NAME?</v>
      </c>
      <c r="BS544" s="1" t="e">
        <f ca="1">_xll.BDH($C$528,"ST_DEBT_SEQUENTIAL_GROWTH","FQ1 2017","FQ1 2017","Currency=INR","Period=FQ","BEST_FPERIOD_OVERRIDE=FQ","FILING_STATUS=OR","EQY_CONSOLIDATED=Y","Sort=A","Dates=H","DateFormat=P","Fill=—","Direction=H","UseDPDF=Y")</f>
        <v>#NAME?</v>
      </c>
      <c r="BT544" s="1" t="e">
        <f ca="1">_xll.BDH($C$528,"TOTAL_DEBT_SEQUENTIAL_GROWTH","FQ1 2017","FQ1 2017","Currency=INR","Period=FQ","BEST_FPERIOD_OVERRIDE=FQ","FILING_STATUS=OR","EQY_CONSOLIDATED=Y","Sort=A","Dates=H","DateFormat=P","Fill=—","Direction=H","UseDPDF=Y")</f>
        <v>#NAME?</v>
      </c>
      <c r="BU544" s="1" t="e">
        <f ca="1">_xll.BDH($C$528,"TOTAL_EQUITY_SEQUENTIAL_GROWTH","FQ1 2017","FQ1 2017","Currency=INR","Period=FQ","BEST_FPERIOD_OVERRIDE=FQ","FILING_STATUS=OR","EQY_CONSOLIDATED=Y","Sort=A","Dates=H","DateFormat=P","Fill=—","Direction=H","UseDPDF=Y")</f>
        <v>#NAME?</v>
      </c>
      <c r="BV544" s="1" t="e">
        <f ca="1">_xll.BDH($C$528,"TOTAL_CAPITAL_SEQUENTIAL_GROWTH","FQ1 2017","FQ1 2017","Currency=INR","Period=FQ","BEST_FPERIOD_OVERRIDE=FQ","FILING_STATUS=OR","EQY_CONSOLIDATED=Y","Sort=A","Dates=H","DateFormat=P","Fill=—","Direction=H","UseDPDF=Y")</f>
        <v>#NAME?</v>
      </c>
      <c r="BW544" s="1" t="e">
        <f ca="1">_xll.BDH($C$528,"BPS_SEQUENTIAL_GROWTH","FQ1 2017","FQ1 2017","Currency=INR","Period=FQ","BEST_FPERIOD_OVERRIDE=FQ","FILING_STATUS=OR","EQY_CONSOLIDATED=Y","Sort=A","Dates=H","DateFormat=P","Fill=—","Direction=H","UseDPDF=Y")</f>
        <v>#NAME?</v>
      </c>
      <c r="BX544" s="1" t="e">
        <f ca="1">_xll.BDH($C$528,"CFO_SEQUENTIAL_GROWTH","FQ1 2017","FQ1 2017","Currency=INR","Period=FQ","BEST_FPERIOD_OVERRIDE=FQ","FILING_STATUS=OR","EQY_CONSOLIDATED=Y","Sort=A","Dates=H","DateFormat=P","Fill=—","Direction=H","UseDPDF=Y")</f>
        <v>#NAME?</v>
      </c>
      <c r="BY544" s="2" t="e">
        <f ca="1">_xll.BDH($C$528,"SHORT_AND_LONG_TERM_DEBT","FQ1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44" s="2" t="e">
        <f ca="1">_xll.BDH($C$528,"BS_ST_BORROW","FQ1 2017","FQ1 2017","Currency=INR","Period=FQ","BEST_FPERIOD_OVERRIDE=FQ","FILING_STATUS=OR","EQY_CONSOLIDATED=Y","SCALING_FORMAT=MLN","Sort=A","Dates=H","DateFormat=P","Fill=—","Direction=H","UseDPDF=Y")</f>
        <v>#NAME?</v>
      </c>
      <c r="CA544" s="2" t="e">
        <f ca="1">_xll.BDH($C$528,"BS_LT_BORROW","FQ1 2017","FQ1 2017","Currency=INR","Period=FQ","BEST_FPERIOD_OVERRIDE=FQ","FILING_STATUS=OR","EQY_CONSOLIDATED=Y","SCALING_FORMAT=MLN","Sort=A","Dates=H","DateFormat=P","Fill=—","Direction=H","UseDPDF=Y")</f>
        <v>#NAME?</v>
      </c>
      <c r="CB544" s="1" t="e">
        <f ca="1">_xll.BDH($C$528,"TOT_DEBT_TO_EBITDA","FQ1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44" s="1" t="e">
        <f ca="1">_xll.BDH($C$528,"NET_DEBT_TO_EBITDA","FQ1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44" s="1" t="e">
        <f ca="1">_xll.BDH($C$528,"TOTAL_DEBT_TO_EBIT","FQ1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44" s="1" t="e">
        <f ca="1">_xll.BDH($C$528,"NET_DEBT_TO_EBIT","FQ1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544" s="1" t="e">
        <f ca="1">_xll.BDH($C$528,"EBITDA_TO_INTEREST_EXPN","FQ1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44" s="1" t="e">
        <f ca="1">_xll.BDH($C$528,"COM_EQY_TO_TOT_ASSET","FQ1 2017","FQ1 2017","Currency=INR","Period=FQ","BEST_FPERIOD_OVERRIDE=FQ","FILING_STATUS=OR","EQY_CONSOLIDATED=Y","Sort=A","Dates=H","DateFormat=P","Fill=—","Direction=H","UseDPDF=Y")</f>
        <v>#NAME?</v>
      </c>
      <c r="CH544" s="1" t="e">
        <f ca="1">_xll.BDH($C$528,"LT_DEBT_TO_TOT_EQY","FQ1 2017","FQ1 2017","Currency=INR","Period=FQ","BEST_FPERIOD_OVERRIDE=FQ","FILING_STATUS=OR","EQY_CONSOLIDATED=Y","Sort=A","Dates=H","DateFormat=P","Fill=—","Direction=H","UseDPDF=Y")</f>
        <v>#NAME?</v>
      </c>
      <c r="CI544" s="1" t="e">
        <f ca="1">_xll.BDH($C$528,"LT_DEBT_TO_TOT_CAP","FQ1 2017","FQ1 2017","Currency=INR","Period=FQ","BEST_FPERIOD_OVERRIDE=FQ","FILING_STATUS=OR","EQY_CONSOLIDATED=Y","Sort=A","Dates=H","DateFormat=P","Fill=—","Direction=H","UseDPDF=Y")</f>
        <v>#NAME?</v>
      </c>
      <c r="CJ544" s="1" t="e">
        <f ca="1">_xll.BDH($C$528,"LT_DEBT_TO_TOT_ASSET","FQ1 2017","FQ1 2017","Currency=INR","Period=FQ","BEST_FPERIOD_OVERRIDE=FQ","FILING_STATUS=OR","EQY_CONSOLIDATED=Y","Sort=A","Dates=H","DateFormat=P","Fill=—","Direction=H","UseDPDF=Y")</f>
        <v>#NAME?</v>
      </c>
      <c r="CK544" s="1" t="e">
        <f ca="1">_xll.BDH($C$528,"TOT_DEBT_TO_TOT_EQY","FQ1 2017","FQ1 2017","Currency=INR","Period=FQ","BEST_FPERIOD_OVERRIDE=FQ","FILING_STATUS=OR","EQY_CONSOLIDATED=Y","Sort=A","Dates=H","DateFormat=P","Fill=—","Direction=H","UseDPDF=Y")</f>
        <v>#NAME?</v>
      </c>
      <c r="CL544" s="1" t="e">
        <f ca="1">_xll.BDH($C$528,"TOT_DEBT_TO_TOT_CAP","FQ1 2017","FQ1 2017","Currency=INR","Period=FQ","BEST_FPERIOD_OVERRIDE=FQ","FILING_STATUS=OR","EQY_CONSOLIDATED=Y","Sort=A","Dates=H","DateFormat=P","Fill=—","Direction=H","UseDPDF=Y")</f>
        <v>#NAME?</v>
      </c>
      <c r="CM544" s="1" t="e">
        <f ca="1">_xll.BDH($C$528,"TOT_DEBT_TO_TOT_ASSET","FQ1 2017","FQ1 2017","Currency=INR","Period=FQ","BEST_FPERIOD_OVERRIDE=FQ","FILING_STATUS=OR","EQY_CONSOLIDATED=Y","Sort=A","Dates=H","DateFormat=P","Fill=—","Direction=H","UseDPDF=Y")</f>
        <v>#NAME?</v>
      </c>
      <c r="CN544" s="1" t="e">
        <f ca="1">_xll.BDH($C$528,"NET_DEBT_TO_SHRHLDR_EQTY","FQ1 2017","FQ1 2017","Currency=INR","Period=FQ","BEST_FPERIOD_OVERRIDE=FQ","FILING_STATUS=OR","EQY_CONSOLIDATED=Y","Sort=A","Dates=H","DateFormat=P","Fill=—","Direction=H","UseDPDF=Y")</f>
        <v>#NAME?</v>
      </c>
      <c r="CO544" s="1" t="e">
        <f ca="1">_xll.BDH($C$528,"NET_DEBT_%_CAPITAL","FQ1 2017","FQ1 2017","Currency=INR","Period=FQ","BEST_FPERIOD_OVERRIDE=FQ","FILING_STATUS=OR","EQY_CONSOLIDATED=Y","Sort=A","Dates=H","DateFormat=P","Fill=—","Direction=H","UseDPDF=Y")</f>
        <v>#NAME?</v>
      </c>
      <c r="CP544" s="2" t="e">
        <f ca="1">_xll.BDH($C$528,"EBITDA","FQ1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44" s="2" t="e">
        <f ca="1">_xll.BDH($C$528,"EBITDA_AFTER_CAPEX","FQ1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44" s="2" t="e">
        <f ca="1">_xll.BDH($C$528,"IS_OPER_INC","FQ1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44" s="1" t="e">
        <f ca="1">_xll.BDH($C$528,"CASH_RATIO","FQ1 2017","FQ1 2017","Currency=INR","Period=FQ","BEST_FPERIOD_OVERRIDE=FQ","FILING_STATUS=OR","EQY_CONSOLIDATED=Y","Sort=A","Dates=H","DateFormat=P","Fill=—","Direction=H","UseDPDF=Y")</f>
        <v>#NAME?</v>
      </c>
      <c r="CT544" s="1" t="e">
        <f ca="1">_xll.BDH($C$528,"CUR_RATIO","FQ1 2017","FQ1 2017","Currency=INR","Period=FQ","BEST_FPERIOD_OVERRIDE=FQ","FILING_STATUS=OR","EQY_CONSOLIDATED=Y","Sort=A","Dates=H","DateFormat=P","Fill=—","Direction=H","UseDPDF=Y")</f>
        <v>#NAME?</v>
      </c>
      <c r="CU544" s="1" t="e">
        <f ca="1">_xll.BDH($C$528,"QUICK_RATIO","FQ1 2017","FQ1 2017","Currency=INR","Period=FQ","BEST_FPERIOD_OVERRIDE=FQ","FILING_STATUS=OR","EQY_CONSOLIDATED=Y","Sort=A","Dates=H","DateFormat=P","Fill=—","Direction=H","UseDPDF=Y")</f>
        <v>#NAME?</v>
      </c>
      <c r="CV544" s="1" t="e">
        <f ca="1">_xll.BDH($C$528,"ALTMAN_Z_SCORE","FQ1 2017","FQ1 2017","Currency=INR","Period=FQ","BEST_FPERIOD_OVERRIDE=FQ","FILING_STATUS=OR","EQY_CONSOLIDATED=Y","Sort=A","Dates=H","DateFormat=P","Fill=—","Direction=H","UseDPDF=Y")</f>
        <v>#NAME?</v>
      </c>
      <c r="CW544" s="3" t="e">
        <f ca="1">_xll.BDH($C$528,"ACCT_RCV_TURN","FQ1 2017","FQ1 2017","Currency=INR","Period=FQ","BEST_FPERIOD_OVERRIDE=FQ","FILING_STATUS=OR","EQY_CONSOLIDATED=Y","FA_ADJUSTED=GAAP","Sort=A","Dates=H","DateFormat=P","Fill=—","Direction=H","UseDPDF=Y")</f>
        <v>#NAME?</v>
      </c>
      <c r="CX544" s="1" t="e">
        <f ca="1">_xll.BDH($C$528,"ACCT_RCV_DAYS","FQ1 2017","FQ1 2017","Currency=INR","Period=FQ","BEST_FPERIOD_OVERRIDE=FQ","FILING_STATUS=OR","EQY_CONSOLIDATED=Y","FA_ADJUSTED=GAAP","Sort=A","Dates=H","DateFormat=P","Fill=—","Direction=H","UseDPDF=Y")</f>
        <v>#NAME?</v>
      </c>
      <c r="CY544" s="3" t="e">
        <f ca="1">_xll.BDH($C$528,"INVENT_TURN","FQ1 2017","FQ1 2017","Currency=INR","Period=FQ","BEST_FPERIOD_OVERRIDE=FQ","FILING_STATUS=OR","EQY_CONSOLIDATED=Y","FA_ADJUSTED=GAAP","Sort=A","Dates=H","DateFormat=P","Fill=—","Direction=H","UseDPDF=Y")</f>
        <v>#NAME?</v>
      </c>
      <c r="CZ544" s="1" t="e">
        <f ca="1">_xll.BDH($C$528,"INVENT_DAYS","FQ1 2017","FQ1 2017","Currency=INR","Period=FQ","BEST_FPERIOD_OVERRIDE=FQ","FILING_STATUS=OR","EQY_CONSOLIDATED=Y","FA_ADJUSTED=GAAP","Sort=A","Dates=H","DateFormat=P","Fill=—","Direction=H","UseDPDF=Y")</f>
        <v>#NAME?</v>
      </c>
      <c r="DA544" s="3" t="e">
        <f ca="1">_xll.BDH($C$528,"ACCOUNTS_PAYABLE_TURNOVER","FQ1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44" s="1" t="e">
        <f ca="1">_xll.BDH($C$528,"ACCOUNTS_PAYABLE_TURNOVER_DAYS","FQ1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44" s="3" t="e">
        <f ca="1">_xll.BDH($C$528,"CASH_CONVERSION_CYCLE","FQ1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44" s="3" t="e">
        <f ca="1">_xll.BDH($C$528,"INV_TO_CASH_DAYS","FQ1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544" s="4" t="e">
        <f ca="1">_xll.BDH($C$528,"BS_INVENTORIES","FQ1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544" s="2" t="e">
        <f ca="1">_xll.BDH($C$528,"INVTRY_RAW_MATERIALS","FQ1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44" s="2" t="e">
        <f ca="1">_xll.BDH($C$528,"INVTRY_IN_PROGRESS","FQ1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44" s="2" t="e">
        <f ca="1">_xll.BDH($C$528,"INVTRY_FINISHED_GOODS","FQ1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44" s="2" t="e">
        <f ca="1">_xll.BDH($C$528,"BS_OTHER_INV","FQ1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45" spans="1:113" x14ac:dyDescent="0.3">
      <c r="A545" s="6"/>
      <c r="B545" s="6"/>
      <c r="C545" s="6"/>
      <c r="D545" s="6"/>
      <c r="E545" t="s">
        <v>5</v>
      </c>
      <c r="F545" t="e">
        <f ca="1">_xll.BDH($C$528,"RETURN_COM_EQY","FQ2 2017","FQ2 2017","Currency=INR","Period=FQ","BEST_FPERIOD_OVERRIDE=FQ","FILING_STATUS=OR","EQY_CONSOLIDATED=Y","FA_ADJUSTED=GAAP","Sort=A","Dates=H","DateFormat=P","Fill=—","Direction=H","UseDPDF=Y")</f>
        <v>#NAME?</v>
      </c>
      <c r="G545" t="e">
        <f ca="1">_xll.BDH($C$528,"RETURN_ON_ASSET","FQ2 2017","FQ2 2017","Currency=INR","Period=FQ","BEST_FPERIOD_OVERRIDE=FQ","FILING_STATUS=OR","EQY_CONSOLIDATED=Y","FA_ADJUSTED=GAAP","Sort=A","Dates=H","DateFormat=P","Fill=—","Direction=H","UseDPDF=Y")</f>
        <v>#NAME?</v>
      </c>
      <c r="H545" t="e">
        <f ca="1">_xll.BDH($C$528,"RETURN_ON_CAP","FQ2 2017","FQ2 2017","Currency=INR","Period=FQ","BEST_FPERIOD_OVERRIDE=FQ","FILING_STATUS=OR","EQY_CONSOLIDATED=Y","FA_ADJUSTED=GAAP","Sort=A","Dates=H","DateFormat=P","Fill=—","Direction=H","UseDPDF=Y")</f>
        <v>#NAME?</v>
      </c>
      <c r="I545" t="e">
        <f ca="1">_xll.BDH($C$528,"RETURN_ON_INV_CAPITAL","FQ2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45" t="e">
        <f ca="1">_xll.BDH($C$528,"EBITDA_TO_REVENUE","FQ2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545" t="e">
        <f ca="1">_xll.BDH($C$528,"OPER_MARGIN","FQ2 2017","FQ2 2017","Currency=INR","Period=FQ","BEST_FPERIOD_OVERRIDE=FQ","FILING_STATUS=OR","EQY_CONSOLIDATED=Y","FA_ADJUSTED=GAAP","Sort=A","Dates=H","DateFormat=P","Fill=—","Direction=H","UseDPDF=Y")</f>
        <v>#NAME?</v>
      </c>
      <c r="L545" t="e">
        <f ca="1">_xll.BDH($C$528,"INCREMENTAL_OPERATING_MARGIN","FQ2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45" t="e">
        <f ca="1">_xll.BDH($C$528,"PRETAX_INC_TO_NET_SALES","FQ2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45" t="e">
        <f ca="1">_xll.BDH($C$528,"INC_BEF_XO_ITEMS_TO_NET_SALES","FQ2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45" t="e">
        <f ca="1">_xll.BDH($C$528,"PROF_MARGIN","FQ2 2017","FQ2 2017","Currency=INR","Period=FQ","BEST_FPERIOD_OVERRIDE=FQ","FILING_STATUS=OR","EQY_CONSOLIDATED=Y","FA_ADJUSTED=GAAP","Sort=A","Dates=H","DateFormat=P","Fill=—","Direction=H","UseDPDF=Y")</f>
        <v>#NAME?</v>
      </c>
      <c r="P545" t="e">
        <f ca="1">_xll.BDH($C$528,"NET_INCOME_TO_COMMON_MARGIN","FQ2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45" t="e">
        <f ca="1">_xll.BDH($C$528,"EFF_TAX_RATE","FQ2 2017","FQ2 2017","Currency=INR","Period=FQ","BEST_FPERIOD_OVERRIDE=FQ","FILING_STATUS=OR","EQY_CONSOLIDATED=Y","FA_ADJUSTED=GAAP","Sort=A","Dates=H","DateFormat=P","Fill=—","Direction=H","UseDPDF=Y")</f>
        <v>#NAME?</v>
      </c>
      <c r="R545" t="e">
        <f ca="1">_xll.BDH($C$528,"DVD_PAYOUT_RATIO","FQ2 2017","FQ2 2017","Currency=INR","Period=FQ","BEST_FPERIOD_OVERRIDE=FQ","FILING_STATUS=OR","EQY_CONSOLIDATED=Y","FA_ADJUSTED=GAAP","Sort=A","Dates=H","DateFormat=P","Fill=—","Direction=H","UseDPDF=Y")</f>
        <v>#NAME?</v>
      </c>
      <c r="S545" t="e">
        <f ca="1">_xll.BDH($C$528,"SUSTAIN_GROWTH_RT","FQ2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545" s="1" t="e">
        <f ca="1">_xll.BDH($C$528,"SALES_GROWTH","FQ2 2017","FQ2 2017","Currency=INR","Period=FQ","BEST_FPERIOD_OVERRIDE=FQ","FILING_STATUS=OR","EQY_CONSOLIDATED=Y","FA_ADJUSTED=GAAP","Sort=A","Dates=H","DateFormat=P","Fill=—","Direction=H","UseDPDF=Y")</f>
        <v>#NAME?</v>
      </c>
      <c r="U545" s="1" t="e">
        <f ca="1">_xll.BDH($C$528,"EBITDA_GROWTH","FQ2 2017","FQ2 2017","Currency=INR","Period=FQ","BEST_FPERIOD_OVERRIDE=FQ","FILING_STATUS=OR","EQY_CONSOLIDATED=Y","FA_ADJUSTED=GAAP","Sort=A","Dates=H","DateFormat=P","Fill=—","Direction=H","UseDPDF=Y")</f>
        <v>#NAME?</v>
      </c>
      <c r="V545" s="1" t="e">
        <f ca="1">_xll.BDH($C$528,"OPER_INC_GROWTH","FQ2 2017","FQ2 2017","Currency=INR","Period=FQ","BEST_FPERIOD_OVERRIDE=FQ","FILING_STATUS=OR","EQY_CONSOLIDATED=Y","FA_ADJUSTED=GAAP","Sort=A","Dates=H","DateFormat=P","Fill=—","Direction=H","UseDPDF=Y")</f>
        <v>#NAME?</v>
      </c>
      <c r="W545" s="1" t="e">
        <f ca="1">_xll.BDH($C$528,"EARN_FOR_COM_GROWTH","FQ2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45" s="1" t="e">
        <f ca="1">_xll.BDH($C$528,"DILUTED_EPS_AFT_XO_ITEMS_GROWTH","FQ2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45" s="1" t="e">
        <f ca="1">_xll.BDH($C$528,"DIVIDEND_PER_SHARE_1_YEAR_GROWTH","FQ2 2017","FQ2 2017","Currency=INR","Period=FQ","BEST_FPERIOD_OVERRIDE=FQ","FILING_STATUS=OR","EQY_CONSOLIDATED=Y","Sort=A","Dates=H","DateFormat=P","Fill=—","Direction=H","UseDPDF=Y")</f>
        <v>#NAME?</v>
      </c>
      <c r="Z545" s="1" t="e">
        <f ca="1">_xll.BDH($C$528,"ACCOUNTS_RECEIVABLE_GROWTH","FQ2 2017","FQ2 2017","Currency=INR","Period=FQ","BEST_FPERIOD_OVERRIDE=FQ","FILING_STATUS=OR","EQY_CONSOLIDATED=Y","Sort=A","Dates=H","DateFormat=P","Fill=—","Direction=H","UseDPDF=Y")</f>
        <v>#NAME?</v>
      </c>
      <c r="AA545" s="1" t="e">
        <f ca="1">_xll.BDH($C$528,"INVENTORY_GROWTH","FQ2 2017","FQ2 2017","Currency=INR","Period=FQ","BEST_FPERIOD_OVERRIDE=FQ","FILING_STATUS=OR","EQY_CONSOLIDATED=Y","Sort=A","Dates=H","DateFormat=P","Fill=—","Direction=H","UseDPDF=Y")</f>
        <v>#NAME?</v>
      </c>
      <c r="AB545" s="1" t="e">
        <f ca="1">_xll.BDH($C$528,"NET_FIXED_ASSETS_1_YEAR_GROWTH","FQ2 2017","FQ2 2017","Currency=INR","Period=FQ","BEST_FPERIOD_OVERRIDE=FQ","FILING_STATUS=OR","EQY_CONSOLIDATED=Y","Sort=A","Dates=H","DateFormat=P","Fill=—","Direction=H","UseDPDF=Y")</f>
        <v>#NAME?</v>
      </c>
      <c r="AC545" s="1" t="e">
        <f ca="1">_xll.BDH($C$528,"ASSET_GROWTH","FQ2 2017","FQ2 2017","Currency=INR","Period=FQ","BEST_FPERIOD_OVERRIDE=FQ","FILING_STATUS=OR","EQY_CONSOLIDATED=Y","Sort=A","Dates=H","DateFormat=P","Fill=—","Direction=H","UseDPDF=Y")</f>
        <v>#NAME?</v>
      </c>
      <c r="AD545" s="1" t="e">
        <f ca="1">_xll.BDH($C$528,"MODIFIED_WORK_CAP_GROWTH","FQ2 2017","FQ2 2017","Currency=INR","Period=FQ","BEST_FPERIOD_OVERRIDE=FQ","FILING_STATUS=OR","EQY_CONSOLIDATED=Y","Sort=A","Dates=H","DateFormat=P","Fill=—","Direction=H","UseDPDF=Y")</f>
        <v>#NAME?</v>
      </c>
      <c r="AE545" s="1" t="e">
        <f ca="1">_xll.BDH($C$528,"WORK_CAP_GROWTH","FQ2 2017","FQ2 2017","Currency=INR","Period=FQ","BEST_FPERIOD_OVERRIDE=FQ","FILING_STATUS=OR","EQY_CONSOLIDATED=Y","Sort=A","Dates=H","DateFormat=P","Fill=—","Direction=H","UseDPDF=Y")</f>
        <v>#NAME?</v>
      </c>
      <c r="AF545" s="1" t="e">
        <f ca="1">_xll.BDH($C$528,"ACCOUNTS_PAYABLE_GROWTH_1YR","FQ2 2017","FQ2 2017","Currency=INR","Period=FQ","BEST_FPERIOD_OVERRIDE=FQ","FILING_STATUS=OR","EQY_CONSOLIDATED=Y","Sort=A","Dates=H","DateFormat=P","Fill=—","Direction=H","UseDPDF=Y")</f>
        <v>#NAME?</v>
      </c>
      <c r="AG545" s="1" t="e">
        <f ca="1">_xll.BDH($C$528,"SHORT_TERM_DEBT_1_YEAR_GROWTH","FQ2 2017","FQ2 2017","Currency=INR","Period=FQ","BEST_FPERIOD_OVERRIDE=FQ","FILING_STATUS=OR","EQY_CONSOLIDATED=Y","Sort=A","Dates=H","DateFormat=P","Fill=—","Direction=H","UseDPDF=Y")</f>
        <v>#NAME?</v>
      </c>
      <c r="AH545" s="1" t="e">
        <f ca="1">_xll.BDH($C$528,"TOTAL_DEBT_1_YEAR_GROWTH","FQ2 2017","FQ2 2017","Currency=INR","Period=FQ","BEST_FPERIOD_OVERRIDE=FQ","FILING_STATUS=OR","EQY_CONSOLIDATED=Y","Sort=A","Dates=H","DateFormat=P","Fill=—","Direction=H","UseDPDF=Y")</f>
        <v>#NAME?</v>
      </c>
      <c r="AI545" s="1" t="e">
        <f ca="1">_xll.BDH($C$528,"TOTAL_EQUITY_1_YEAR_GROWTH","FQ2 2017","FQ2 2017","Currency=INR","Period=FQ","BEST_FPERIOD_OVERRIDE=FQ","FILING_STATUS=OR","EQY_CONSOLIDATED=Y","Sort=A","Dates=H","DateFormat=P","Fill=—","Direction=H","UseDPDF=Y")</f>
        <v>#NAME?</v>
      </c>
      <c r="AJ545" s="1" t="e">
        <f ca="1">_xll.BDH($C$528,"GROWTH_IN_CAP","FQ2 2017","FQ2 2017","Currency=INR","Period=FQ","BEST_FPERIOD_OVERRIDE=FQ","FILING_STATUS=OR","EQY_CONSOLIDATED=Y","Sort=A","Dates=H","DateFormat=P","Fill=—","Direction=H","UseDPDF=Y")</f>
        <v>#NAME?</v>
      </c>
      <c r="AK545" s="1" t="e">
        <f ca="1">_xll.BDH($C$528,"BVPS_GROWTH","FQ2 2017","FQ2 2017","Currency=INR","Period=FQ","BEST_FPERIOD_OVERRIDE=FQ","FILING_STATUS=OR","EQY_CONSOLIDATED=Y","Sort=A","Dates=H","DateFormat=P","Fill=—","Direction=H","UseDPDF=Y")</f>
        <v>#NAME?</v>
      </c>
      <c r="AL545" s="1" t="e">
        <f ca="1">_xll.BDH($C$528,"CASH_FLOW_GROWTH","FQ2 2017","FQ2 2017","Currency=INR","Period=FQ","BEST_FPERIOD_OVERRIDE=FQ","FILING_STATUS=OR","EQY_CONSOLIDATED=Y","Sort=A","Dates=H","DateFormat=P","Fill=—","Direction=H","UseDPDF=Y")</f>
        <v>#NAME?</v>
      </c>
      <c r="AM545" s="1" t="e">
        <f ca="1">_xll.BDH($C$528,"GEO_GROW_NET_SALES","FQ2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45" s="1" t="e">
        <f ca="1">_xll.BDH($C$528,"GEO_GROW_EBITDA","FQ2 2017","FQ2 2017","Currency=INR","Period=FQ","BEST_FPERIOD_OVERRIDE=FQ","FILING_STATUS=OR","EQY_CONSOLIDATED=Y","FA_ADJUSTED=GAAP","Sort=A","Dates=H","DateFormat=P","Fill=—","Direction=H","UseDPDF=Y")</f>
        <v>#NAME?</v>
      </c>
      <c r="AO545" s="1" t="e">
        <f ca="1">_xll.BDH($C$528,"GEO_GROW_OPER_INC","FQ2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45" s="1" t="e">
        <f ca="1">_xll.BDH($C$528,"NET_INCOME_TO_COMMON_5_YR_GROWTH","FQ2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45" s="1" t="e">
        <f ca="1">_xll.BDH($C$528,"5Y_GEO_GROWTH_DILUTED_EPS","FQ2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45" s="1" t="e">
        <f ca="1">_xll.BDH($C$528,"GEO_GROW_DVD_PER_SH","FQ2 2017","FQ2 2017","Currency=INR","Period=FQ","BEST_FPERIOD_OVERRIDE=FQ","FILING_STATUS=OR","EQY_CONSOLIDATED=Y","Sort=A","Dates=H","DateFormat=P","Fill=—","Direction=H","UseDPDF=Y")</f>
        <v>#NAME?</v>
      </c>
      <c r="AS545" s="1" t="e">
        <f ca="1">_xll.BDH($C$528,"ACCOUNTS_RECEIVABLE_5_YR_GROWTH","FQ2 2017","FQ2 2017","Currency=INR","Period=FQ","BEST_FPERIOD_OVERRIDE=FQ","FILING_STATUS=OR","EQY_CONSOLIDATED=Y","Sort=A","Dates=H","DateFormat=P","Fill=—","Direction=H","UseDPDF=Y")</f>
        <v>#NAME?</v>
      </c>
      <c r="AT545" s="1" t="e">
        <f ca="1">_xll.BDH($C$528,"INVENTORY_5_YEAR_GROWTH","FQ2 2017","FQ2 2017","Currency=INR","Period=FQ","BEST_FPERIOD_OVERRIDE=FQ","FILING_STATUS=OR","EQY_CONSOLIDATED=Y","Sort=A","Dates=H","DateFormat=P","Fill=—","Direction=H","UseDPDF=Y")</f>
        <v>#NAME?</v>
      </c>
      <c r="AU545" s="1" t="e">
        <f ca="1">_xll.BDH($C$528,"NET_FIXED_ASSETS_5_YEAR_GROWTH","FQ2 2017","FQ2 2017","Currency=INR","Period=FQ","BEST_FPERIOD_OVERRIDE=FQ","FILING_STATUS=OR","EQY_CONSOLIDATED=Y","Sort=A","Dates=H","DateFormat=P","Fill=—","Direction=H","UseDPDF=Y")</f>
        <v>#NAME?</v>
      </c>
      <c r="AV545" s="1" t="e">
        <f ca="1">_xll.BDH($C$528,"GEO_GROW_TOT_ASSET","FQ2 2017","FQ2 2017","Currency=INR","Period=FQ","BEST_FPERIOD_OVERRIDE=FQ","FILING_STATUS=OR","EQY_CONSOLIDATED=Y","Sort=A","Dates=H","DateFormat=P","Fill=—","Direction=H","UseDPDF=Y")</f>
        <v>#NAME?</v>
      </c>
      <c r="AW545" s="1" t="e">
        <f ca="1">_xll.BDH($C$528,"MODIFIED_WORKING_CPTL_5YR_GRWTH","FQ2 2017","FQ2 2017","Currency=INR","Period=FQ","BEST_FPERIOD_OVERRIDE=FQ","FILING_STATUS=OR","EQY_CONSOLIDATED=Y","Sort=A","Dates=H","DateFormat=P","Fill=—","Direction=H","UseDPDF=Y")</f>
        <v>#NAME?</v>
      </c>
      <c r="AX545" s="1" t="e">
        <f ca="1">_xll.BDH($C$528,"WORKING_CAPITAL_5_YEAR_GROWTH","FQ2 2017","FQ2 2017","Currency=INR","Period=FQ","BEST_FPERIOD_OVERRIDE=FQ","FILING_STATUS=OR","EQY_CONSOLIDATED=Y","Sort=A","Dates=H","DateFormat=P","Fill=—","Direction=H","UseDPDF=Y")</f>
        <v>#NAME?</v>
      </c>
      <c r="AY545" s="1" t="e">
        <f ca="1">_xll.BDH($C$528,"ACCOUNTS_PAYABLE_5_YEAR_GROWTH","FQ2 2017","FQ2 2017","Currency=INR","Period=FQ","BEST_FPERIOD_OVERRIDE=FQ","FILING_STATUS=OR","EQY_CONSOLIDATED=Y","Sort=A","Dates=H","DateFormat=P","Fill=—","Direction=H","UseDPDF=Y")</f>
        <v>#NAME?</v>
      </c>
      <c r="AZ545" s="1" t="e">
        <f ca="1">_xll.BDH($C$528,"SHORT_TERM_DEBT_5_YEAR_GROWTH","FQ2 2017","FQ2 2017","Currency=INR","Period=FQ","BEST_FPERIOD_OVERRIDE=FQ","FILING_STATUS=OR","EQY_CONSOLIDATED=Y","Sort=A","Dates=H","DateFormat=P","Fill=—","Direction=H","UseDPDF=Y")</f>
        <v>#NAME?</v>
      </c>
      <c r="BA545" s="1" t="e">
        <f ca="1">_xll.BDH($C$528,"TOTAL_DEBT_5_YEAR_GROWTH","FQ2 2017","FQ2 2017","Currency=INR","Period=FQ","BEST_FPERIOD_OVERRIDE=FQ","FILING_STATUS=OR","EQY_CONSOLIDATED=Y","Sort=A","Dates=H","DateFormat=P","Fill=—","Direction=H","UseDPDF=Y")</f>
        <v>#NAME?</v>
      </c>
      <c r="BB545" s="1" t="e">
        <f ca="1">_xll.BDH($C$528,"GEO_GROW_TOT_SHRHLDR_EQY","FQ2 2017","FQ2 2017","Currency=INR","Period=FQ","BEST_FPERIOD_OVERRIDE=FQ","FILING_STATUS=OR","EQY_CONSOLIDATED=Y","Sort=A","Dates=H","DateFormat=P","Fill=—","Direction=H","UseDPDF=Y")</f>
        <v>#NAME?</v>
      </c>
      <c r="BC545" s="1" t="e">
        <f ca="1">_xll.BDH($C$528,"TOTAL_CAPITAL_5_YEAR_GROWTH","FQ2 2017","FQ2 2017","Currency=INR","Period=FQ","BEST_FPERIOD_OVERRIDE=FQ","FILING_STATUS=OR","EQY_CONSOLIDATED=Y","Sort=A","Dates=H","DateFormat=P","Fill=—","Direction=H","UseDPDF=Y")</f>
        <v>#NAME?</v>
      </c>
      <c r="BD545" s="1" t="e">
        <f ca="1">_xll.BDH($C$528,"GEO_GROW_BOOK_VAL","FQ2 2017","FQ2 2017","Currency=INR","Period=FQ","BEST_FPERIOD_OVERRIDE=FQ","FILING_STATUS=OR","EQY_CONSOLIDATED=Y","Sort=A","Dates=H","DateFormat=P","Fill=—","Direction=H","UseDPDF=Y")</f>
        <v>#NAME?</v>
      </c>
      <c r="BE545" s="1" t="e">
        <f ca="1">_xll.BDH($C$528,"GEO_GROW_CASH_OPER_ACT","FQ2 2017","FQ2 2017","Currency=INR","Period=FQ","BEST_FPERIOD_OVERRIDE=FQ","FILING_STATUS=OR","EQY_CONSOLIDATED=Y","Sort=A","Dates=H","DateFormat=P","Fill=—","Direction=H","UseDPDF=Y")</f>
        <v>#NAME?</v>
      </c>
      <c r="BF545" s="1" t="e">
        <f ca="1">_xll.BDH($C$528,"REVENUE_SEQUENTIAL_GROWTH","FQ2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45" s="1" t="e">
        <f ca="1">_xll.BDH($C$528,"EBITDA_SEQUENTIAL_GROWTH","FQ2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45" s="1" t="e">
        <f ca="1">_xll.BDH($C$528,"OPERATING_INCOME_SEQ_GROWTH","FQ2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45" s="1" t="e">
        <f ca="1">_xll.BDH($C$528,"NET_INCOME_TO_COMMON_SEQ_GROWTH","FQ2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45" s="1" t="e">
        <f ca="1">_xll.BDH($C$528,"EPS_DILUTED_SEQUENTIAL_GROWTH","FQ2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45" s="1" t="e">
        <f ca="1">_xll.BDH($C$528,"DPS_SEQUENTIAL_GROWTH","FQ2 2017","FQ2 2017","Currency=INR","Period=FQ","BEST_FPERIOD_OVERRIDE=FQ","FILING_STATUS=OR","EQY_CONSOLIDATED=Y","Sort=A","Dates=H","DateFormat=P","Fill=—","Direction=H","UseDPDF=Y")</f>
        <v>#NAME?</v>
      </c>
      <c r="BL545" s="1" t="e">
        <f ca="1">_xll.BDH($C$528,"ACCOUNTS_RECEIVABLE_SEQ_GROWTH","FQ2 2017","FQ2 2017","Currency=INR","Period=FQ","BEST_FPERIOD_OVERRIDE=FQ","FILING_STATUS=OR","EQY_CONSOLIDATED=Y","Sort=A","Dates=H","DateFormat=P","Fill=—","Direction=H","UseDPDF=Y")</f>
        <v>#NAME?</v>
      </c>
      <c r="BM545" s="1" t="e">
        <f ca="1">_xll.BDH($C$528,"INVENTORY_SEQUENTIAL_GROWTH","FQ2 2017","FQ2 2017","Currency=INR","Period=FQ","BEST_FPERIOD_OVERRIDE=FQ","FILING_STATUS=OR","EQY_CONSOLIDATED=Y","Sort=A","Dates=H","DateFormat=P","Fill=—","Direction=H","UseDPDF=Y")</f>
        <v>#NAME?</v>
      </c>
      <c r="BN545" s="1" t="e">
        <f ca="1">_xll.BDH($C$528,"FIXED_ASSETS_SEQUENTIAL_GROWTH","FQ2 2017","FQ2 2017","Currency=INR","Period=FQ","BEST_FPERIOD_OVERRIDE=FQ","FILING_STATUS=OR","EQY_CONSOLIDATED=Y","Sort=A","Dates=H","DateFormat=P","Fill=—","Direction=H","UseDPDF=Y")</f>
        <v>#NAME?</v>
      </c>
      <c r="BO545" s="1" t="e">
        <f ca="1">_xll.BDH($C$528,"TOTAL_ASSETS_SEQUENTIAL_GROWTH","FQ2 2017","FQ2 2017","Currency=INR","Period=FQ","BEST_FPERIOD_OVERRIDE=FQ","FILING_STATUS=OR","EQY_CONSOLIDATED=Y","Sort=A","Dates=H","DateFormat=P","Fill=—","Direction=H","UseDPDF=Y")</f>
        <v>#NAME?</v>
      </c>
      <c r="BP545" s="1" t="e">
        <f ca="1">_xll.BDH($C$528,"MODIFIED_WORKING_CPTL_SEQ_GRWTH","FQ2 2017","FQ2 2017","Currency=INR","Period=FQ","BEST_FPERIOD_OVERRIDE=FQ","FILING_STATUS=OR","EQY_CONSOLIDATED=Y","Sort=A","Dates=H","DateFormat=P","Fill=—","Direction=H","UseDPDF=Y")</f>
        <v>#NAME?</v>
      </c>
      <c r="BQ545" s="1" t="e">
        <f ca="1">_xll.BDH($C$528,"WORKING_CAPITAL_SEQ_GROWTH","FQ2 2017","FQ2 2017","Currency=INR","Period=FQ","BEST_FPERIOD_OVERRIDE=FQ","FILING_STATUS=OR","EQY_CONSOLIDATED=Y","Sort=A","Dates=H","DateFormat=P","Fill=—","Direction=H","UseDPDF=Y")</f>
        <v>#NAME?</v>
      </c>
      <c r="BR545" s="1" t="e">
        <f ca="1">_xll.BDH($C$528,"ACCOUNTS_PAYABLE_SEQ_GROWTH","FQ2 2017","FQ2 2017","Currency=INR","Period=FQ","BEST_FPERIOD_OVERRIDE=FQ","FILING_STATUS=OR","EQY_CONSOLIDATED=Y","Sort=A","Dates=H","DateFormat=P","Fill=—","Direction=H","UseDPDF=Y")</f>
        <v>#NAME?</v>
      </c>
      <c r="BS545" s="1" t="e">
        <f ca="1">_xll.BDH($C$528,"ST_DEBT_SEQUENTIAL_GROWTH","FQ2 2017","FQ2 2017","Currency=INR","Period=FQ","BEST_FPERIOD_OVERRIDE=FQ","FILING_STATUS=OR","EQY_CONSOLIDATED=Y","Sort=A","Dates=H","DateFormat=P","Fill=—","Direction=H","UseDPDF=Y")</f>
        <v>#NAME?</v>
      </c>
      <c r="BT545" s="1" t="e">
        <f ca="1">_xll.BDH($C$528,"TOTAL_DEBT_SEQUENTIAL_GROWTH","FQ2 2017","FQ2 2017","Currency=INR","Period=FQ","BEST_FPERIOD_OVERRIDE=FQ","FILING_STATUS=OR","EQY_CONSOLIDATED=Y","Sort=A","Dates=H","DateFormat=P","Fill=—","Direction=H","UseDPDF=Y")</f>
        <v>#NAME?</v>
      </c>
      <c r="BU545" s="1" t="e">
        <f ca="1">_xll.BDH($C$528,"TOTAL_EQUITY_SEQUENTIAL_GROWTH","FQ2 2017","FQ2 2017","Currency=INR","Period=FQ","BEST_FPERIOD_OVERRIDE=FQ","FILING_STATUS=OR","EQY_CONSOLIDATED=Y","Sort=A","Dates=H","DateFormat=P","Fill=—","Direction=H","UseDPDF=Y")</f>
        <v>#NAME?</v>
      </c>
      <c r="BV545" s="1" t="e">
        <f ca="1">_xll.BDH($C$528,"TOTAL_CAPITAL_SEQUENTIAL_GROWTH","FQ2 2017","FQ2 2017","Currency=INR","Period=FQ","BEST_FPERIOD_OVERRIDE=FQ","FILING_STATUS=OR","EQY_CONSOLIDATED=Y","Sort=A","Dates=H","DateFormat=P","Fill=—","Direction=H","UseDPDF=Y")</f>
        <v>#NAME?</v>
      </c>
      <c r="BW545" s="1" t="e">
        <f ca="1">_xll.BDH($C$528,"BPS_SEQUENTIAL_GROWTH","FQ2 2017","FQ2 2017","Currency=INR","Period=FQ","BEST_FPERIOD_OVERRIDE=FQ","FILING_STATUS=OR","EQY_CONSOLIDATED=Y","Sort=A","Dates=H","DateFormat=P","Fill=—","Direction=H","UseDPDF=Y")</f>
        <v>#NAME?</v>
      </c>
      <c r="BX545" s="1" t="e">
        <f ca="1">_xll.BDH($C$528,"CFO_SEQUENTIAL_GROWTH","FQ2 2017","FQ2 2017","Currency=INR","Period=FQ","BEST_FPERIOD_OVERRIDE=FQ","FILING_STATUS=OR","EQY_CONSOLIDATED=Y","Sort=A","Dates=H","DateFormat=P","Fill=—","Direction=H","UseDPDF=Y")</f>
        <v>#NAME?</v>
      </c>
      <c r="BY545" s="2" t="e">
        <f ca="1">_xll.BDH($C$528,"SHORT_AND_LONG_TERM_DEBT","FQ2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45" s="2" t="e">
        <f ca="1">_xll.BDH($C$528,"BS_ST_BORROW","FQ2 2017","FQ2 2017","Currency=INR","Period=FQ","BEST_FPERIOD_OVERRIDE=FQ","FILING_STATUS=OR","EQY_CONSOLIDATED=Y","SCALING_FORMAT=MLN","Sort=A","Dates=H","DateFormat=P","Fill=—","Direction=H","UseDPDF=Y")</f>
        <v>#NAME?</v>
      </c>
      <c r="CA545" s="2" t="e">
        <f ca="1">_xll.BDH($C$528,"BS_LT_BORROW","FQ2 2017","FQ2 2017","Currency=INR","Period=FQ","BEST_FPERIOD_OVERRIDE=FQ","FILING_STATUS=OR","EQY_CONSOLIDATED=Y","SCALING_FORMAT=MLN","Sort=A","Dates=H","DateFormat=P","Fill=—","Direction=H","UseDPDF=Y")</f>
        <v>#NAME?</v>
      </c>
      <c r="CB545" s="1" t="e">
        <f ca="1">_xll.BDH($C$528,"TOT_DEBT_TO_EBITDA","FQ2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45" s="1" t="e">
        <f ca="1">_xll.BDH($C$528,"NET_DEBT_TO_EBITDA","FQ2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45" s="1" t="e">
        <f ca="1">_xll.BDH($C$528,"TOTAL_DEBT_TO_EBIT","FQ2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45" s="1" t="e">
        <f ca="1">_xll.BDH($C$528,"NET_DEBT_TO_EBIT","FQ2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545" s="1" t="e">
        <f ca="1">_xll.BDH($C$528,"EBITDA_TO_INTEREST_EXPN","FQ2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45" s="1" t="e">
        <f ca="1">_xll.BDH($C$528,"COM_EQY_TO_TOT_ASSET","FQ2 2017","FQ2 2017","Currency=INR","Period=FQ","BEST_FPERIOD_OVERRIDE=FQ","FILING_STATUS=OR","EQY_CONSOLIDATED=Y","Sort=A","Dates=H","DateFormat=P","Fill=—","Direction=H","UseDPDF=Y")</f>
        <v>#NAME?</v>
      </c>
      <c r="CH545" s="1" t="e">
        <f ca="1">_xll.BDH($C$528,"LT_DEBT_TO_TOT_EQY","FQ2 2017","FQ2 2017","Currency=INR","Period=FQ","BEST_FPERIOD_OVERRIDE=FQ","FILING_STATUS=OR","EQY_CONSOLIDATED=Y","Sort=A","Dates=H","DateFormat=P","Fill=—","Direction=H","UseDPDF=Y")</f>
        <v>#NAME?</v>
      </c>
      <c r="CI545" s="1" t="e">
        <f ca="1">_xll.BDH($C$528,"LT_DEBT_TO_TOT_CAP","FQ2 2017","FQ2 2017","Currency=INR","Period=FQ","BEST_FPERIOD_OVERRIDE=FQ","FILING_STATUS=OR","EQY_CONSOLIDATED=Y","Sort=A","Dates=H","DateFormat=P","Fill=—","Direction=H","UseDPDF=Y")</f>
        <v>#NAME?</v>
      </c>
      <c r="CJ545" s="1" t="e">
        <f ca="1">_xll.BDH($C$528,"LT_DEBT_TO_TOT_ASSET","FQ2 2017","FQ2 2017","Currency=INR","Period=FQ","BEST_FPERIOD_OVERRIDE=FQ","FILING_STATUS=OR","EQY_CONSOLIDATED=Y","Sort=A","Dates=H","DateFormat=P","Fill=—","Direction=H","UseDPDF=Y")</f>
        <v>#NAME?</v>
      </c>
      <c r="CK545" s="1" t="e">
        <f ca="1">_xll.BDH($C$528,"TOT_DEBT_TO_TOT_EQY","FQ2 2017","FQ2 2017","Currency=INR","Period=FQ","BEST_FPERIOD_OVERRIDE=FQ","FILING_STATUS=OR","EQY_CONSOLIDATED=Y","Sort=A","Dates=H","DateFormat=P","Fill=—","Direction=H","UseDPDF=Y")</f>
        <v>#NAME?</v>
      </c>
      <c r="CL545" s="1" t="e">
        <f ca="1">_xll.BDH($C$528,"TOT_DEBT_TO_TOT_CAP","FQ2 2017","FQ2 2017","Currency=INR","Period=FQ","BEST_FPERIOD_OVERRIDE=FQ","FILING_STATUS=OR","EQY_CONSOLIDATED=Y","Sort=A","Dates=H","DateFormat=P","Fill=—","Direction=H","UseDPDF=Y")</f>
        <v>#NAME?</v>
      </c>
      <c r="CM545" s="1" t="e">
        <f ca="1">_xll.BDH($C$528,"TOT_DEBT_TO_TOT_ASSET","FQ2 2017","FQ2 2017","Currency=INR","Period=FQ","BEST_FPERIOD_OVERRIDE=FQ","FILING_STATUS=OR","EQY_CONSOLIDATED=Y","Sort=A","Dates=H","DateFormat=P","Fill=—","Direction=H","UseDPDF=Y")</f>
        <v>#NAME?</v>
      </c>
      <c r="CN545" s="1" t="e">
        <f ca="1">_xll.BDH($C$528,"NET_DEBT_TO_SHRHLDR_EQTY","FQ2 2017","FQ2 2017","Currency=INR","Period=FQ","BEST_FPERIOD_OVERRIDE=FQ","FILING_STATUS=OR","EQY_CONSOLIDATED=Y","Sort=A","Dates=H","DateFormat=P","Fill=—","Direction=H","UseDPDF=Y")</f>
        <v>#NAME?</v>
      </c>
      <c r="CO545" s="1" t="e">
        <f ca="1">_xll.BDH($C$528,"NET_DEBT_%_CAPITAL","FQ2 2017","FQ2 2017","Currency=INR","Period=FQ","BEST_FPERIOD_OVERRIDE=FQ","FILING_STATUS=OR","EQY_CONSOLIDATED=Y","Sort=A","Dates=H","DateFormat=P","Fill=—","Direction=H","UseDPDF=Y")</f>
        <v>#NAME?</v>
      </c>
      <c r="CP545" s="2" t="e">
        <f ca="1">_xll.BDH($C$528,"EBITDA","FQ2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45" s="2" t="e">
        <f ca="1">_xll.BDH($C$528,"EBITDA_AFTER_CAPEX","FQ2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45" s="2" t="e">
        <f ca="1">_xll.BDH($C$528,"IS_OPER_INC","FQ2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45" s="1" t="e">
        <f ca="1">_xll.BDH($C$528,"CASH_RATIO","FQ2 2017","FQ2 2017","Currency=INR","Period=FQ","BEST_FPERIOD_OVERRIDE=FQ","FILING_STATUS=OR","EQY_CONSOLIDATED=Y","Sort=A","Dates=H","DateFormat=P","Fill=—","Direction=H","UseDPDF=Y")</f>
        <v>#NAME?</v>
      </c>
      <c r="CT545" s="1" t="e">
        <f ca="1">_xll.BDH($C$528,"CUR_RATIO","FQ2 2017","FQ2 2017","Currency=INR","Period=FQ","BEST_FPERIOD_OVERRIDE=FQ","FILING_STATUS=OR","EQY_CONSOLIDATED=Y","Sort=A","Dates=H","DateFormat=P","Fill=—","Direction=H","UseDPDF=Y")</f>
        <v>#NAME?</v>
      </c>
      <c r="CU545" s="1" t="e">
        <f ca="1">_xll.BDH($C$528,"QUICK_RATIO","FQ2 2017","FQ2 2017","Currency=INR","Period=FQ","BEST_FPERIOD_OVERRIDE=FQ","FILING_STATUS=OR","EQY_CONSOLIDATED=Y","Sort=A","Dates=H","DateFormat=P","Fill=—","Direction=H","UseDPDF=Y")</f>
        <v>#NAME?</v>
      </c>
      <c r="CV545" s="1" t="e">
        <f ca="1">_xll.BDH($C$528,"ALTMAN_Z_SCORE","FQ2 2017","FQ2 2017","Currency=INR","Period=FQ","BEST_FPERIOD_OVERRIDE=FQ","FILING_STATUS=OR","EQY_CONSOLIDATED=Y","Sort=A","Dates=H","DateFormat=P","Fill=—","Direction=H","UseDPDF=Y")</f>
        <v>#NAME?</v>
      </c>
      <c r="CW545" s="3" t="e">
        <f ca="1">_xll.BDH($C$528,"ACCT_RCV_TURN","FQ2 2017","FQ2 2017","Currency=INR","Period=FQ","BEST_FPERIOD_OVERRIDE=FQ","FILING_STATUS=OR","EQY_CONSOLIDATED=Y","FA_ADJUSTED=GAAP","Sort=A","Dates=H","DateFormat=P","Fill=—","Direction=H","UseDPDF=Y")</f>
        <v>#NAME?</v>
      </c>
      <c r="CX545" s="1" t="e">
        <f ca="1">_xll.BDH($C$528,"ACCT_RCV_DAYS","FQ2 2017","FQ2 2017","Currency=INR","Period=FQ","BEST_FPERIOD_OVERRIDE=FQ","FILING_STATUS=OR","EQY_CONSOLIDATED=Y","FA_ADJUSTED=GAAP","Sort=A","Dates=H","DateFormat=P","Fill=—","Direction=H","UseDPDF=Y")</f>
        <v>#NAME?</v>
      </c>
      <c r="CY545" s="3" t="e">
        <f ca="1">_xll.BDH($C$528,"INVENT_TURN","FQ2 2017","FQ2 2017","Currency=INR","Period=FQ","BEST_FPERIOD_OVERRIDE=FQ","FILING_STATUS=OR","EQY_CONSOLIDATED=Y","FA_ADJUSTED=GAAP","Sort=A","Dates=H","DateFormat=P","Fill=—","Direction=H","UseDPDF=Y")</f>
        <v>#NAME?</v>
      </c>
      <c r="CZ545" s="1" t="e">
        <f ca="1">_xll.BDH($C$528,"INVENT_DAYS","FQ2 2017","FQ2 2017","Currency=INR","Period=FQ","BEST_FPERIOD_OVERRIDE=FQ","FILING_STATUS=OR","EQY_CONSOLIDATED=Y","FA_ADJUSTED=GAAP","Sort=A","Dates=H","DateFormat=P","Fill=—","Direction=H","UseDPDF=Y")</f>
        <v>#NAME?</v>
      </c>
      <c r="DA545" s="3" t="e">
        <f ca="1">_xll.BDH($C$528,"ACCOUNTS_PAYABLE_TURNOVER","FQ2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45" s="1" t="e">
        <f ca="1">_xll.BDH($C$528,"ACCOUNTS_PAYABLE_TURNOVER_DAYS","FQ2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45" s="3" t="e">
        <f ca="1">_xll.BDH($C$528,"CASH_CONVERSION_CYCLE","FQ2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45" s="3" t="e">
        <f ca="1">_xll.BDH($C$528,"INV_TO_CASH_DAYS","FQ2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545" s="4" t="e">
        <f ca="1">_xll.BDH($C$528,"BS_INVENTORIES","FQ2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545" s="2" t="e">
        <f ca="1">_xll.BDH($C$528,"INVTRY_RAW_MATERIALS","FQ2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45" s="2" t="e">
        <f ca="1">_xll.BDH($C$528,"INVTRY_IN_PROGRESS","FQ2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45" s="2" t="e">
        <f ca="1">_xll.BDH($C$528,"INVTRY_FINISHED_GOODS","FQ2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45" s="2" t="e">
        <f ca="1">_xll.BDH($C$528,"BS_OTHER_INV","FQ2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46" spans="1:113" x14ac:dyDescent="0.3">
      <c r="A546" s="6"/>
      <c r="B546" s="6"/>
      <c r="C546" s="6"/>
      <c r="D546" s="6"/>
      <c r="E546" t="s">
        <v>6</v>
      </c>
      <c r="F546" t="e">
        <f ca="1">_xll.BDH($C$528,"RETURN_COM_EQY","FQ3 2017","FQ3 2017","Currency=INR","Period=FQ","BEST_FPERIOD_OVERRIDE=FQ","FILING_STATUS=OR","EQY_CONSOLIDATED=Y","FA_ADJUSTED=GAAP","Sort=A","Dates=H","DateFormat=P","Fill=—","Direction=H","UseDPDF=Y")</f>
        <v>#NAME?</v>
      </c>
      <c r="G546" t="e">
        <f ca="1">_xll.BDH($C$528,"RETURN_ON_ASSET","FQ3 2017","FQ3 2017","Currency=INR","Period=FQ","BEST_FPERIOD_OVERRIDE=FQ","FILING_STATUS=OR","EQY_CONSOLIDATED=Y","FA_ADJUSTED=GAAP","Sort=A","Dates=H","DateFormat=P","Fill=—","Direction=H","UseDPDF=Y")</f>
        <v>#NAME?</v>
      </c>
      <c r="H546" t="e">
        <f ca="1">_xll.BDH($C$528,"RETURN_ON_CAP","FQ3 2017","FQ3 2017","Currency=INR","Period=FQ","BEST_FPERIOD_OVERRIDE=FQ","FILING_STATUS=OR","EQY_CONSOLIDATED=Y","FA_ADJUSTED=GAAP","Sort=A","Dates=H","DateFormat=P","Fill=—","Direction=H","UseDPDF=Y")</f>
        <v>#NAME?</v>
      </c>
      <c r="I546" t="e">
        <f ca="1">_xll.BDH($C$528,"RETURN_ON_INV_CAPITAL","FQ3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46" t="e">
        <f ca="1">_xll.BDH($C$528,"EBITDA_TO_REVENUE","FQ3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546" t="e">
        <f ca="1">_xll.BDH($C$528,"OPER_MARGIN","FQ3 2017","FQ3 2017","Currency=INR","Period=FQ","BEST_FPERIOD_OVERRIDE=FQ","FILING_STATUS=OR","EQY_CONSOLIDATED=Y","FA_ADJUSTED=GAAP","Sort=A","Dates=H","DateFormat=P","Fill=—","Direction=H","UseDPDF=Y")</f>
        <v>#NAME?</v>
      </c>
      <c r="L546" t="e">
        <f ca="1">_xll.BDH($C$528,"INCREMENTAL_OPERATING_MARGIN","FQ3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46" t="e">
        <f ca="1">_xll.BDH($C$528,"PRETAX_INC_TO_NET_SALES","FQ3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46" t="e">
        <f ca="1">_xll.BDH($C$528,"INC_BEF_XO_ITEMS_TO_NET_SALES","FQ3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46" t="e">
        <f ca="1">_xll.BDH($C$528,"PROF_MARGIN","FQ3 2017","FQ3 2017","Currency=INR","Period=FQ","BEST_FPERIOD_OVERRIDE=FQ","FILING_STATUS=OR","EQY_CONSOLIDATED=Y","FA_ADJUSTED=GAAP","Sort=A","Dates=H","DateFormat=P","Fill=—","Direction=H","UseDPDF=Y")</f>
        <v>#NAME?</v>
      </c>
      <c r="P546" t="e">
        <f ca="1">_xll.BDH($C$528,"NET_INCOME_TO_COMMON_MARGIN","FQ3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46" t="e">
        <f ca="1">_xll.BDH($C$528,"EFF_TAX_RATE","FQ3 2017","FQ3 2017","Currency=INR","Period=FQ","BEST_FPERIOD_OVERRIDE=FQ","FILING_STATUS=OR","EQY_CONSOLIDATED=Y","FA_ADJUSTED=GAAP","Sort=A","Dates=H","DateFormat=P","Fill=—","Direction=H","UseDPDF=Y")</f>
        <v>#NAME?</v>
      </c>
      <c r="R546" t="e">
        <f ca="1">_xll.BDH($C$528,"DVD_PAYOUT_RATIO","FQ3 2017","FQ3 2017","Currency=INR","Period=FQ","BEST_FPERIOD_OVERRIDE=FQ","FILING_STATUS=OR","EQY_CONSOLIDATED=Y","FA_ADJUSTED=GAAP","Sort=A","Dates=H","DateFormat=P","Fill=—","Direction=H","UseDPDF=Y")</f>
        <v>#NAME?</v>
      </c>
      <c r="S546" t="e">
        <f ca="1">_xll.BDH($C$528,"SUSTAIN_GROWTH_RT","FQ3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546" s="1" t="e">
        <f ca="1">_xll.BDH($C$528,"SALES_GROWTH","FQ3 2017","FQ3 2017","Currency=INR","Period=FQ","BEST_FPERIOD_OVERRIDE=FQ","FILING_STATUS=OR","EQY_CONSOLIDATED=Y","FA_ADJUSTED=GAAP","Sort=A","Dates=H","DateFormat=P","Fill=—","Direction=H","UseDPDF=Y")</f>
        <v>#NAME?</v>
      </c>
      <c r="U546" s="1" t="e">
        <f ca="1">_xll.BDH($C$528,"EBITDA_GROWTH","FQ3 2017","FQ3 2017","Currency=INR","Period=FQ","BEST_FPERIOD_OVERRIDE=FQ","FILING_STATUS=OR","EQY_CONSOLIDATED=Y","FA_ADJUSTED=GAAP","Sort=A","Dates=H","DateFormat=P","Fill=—","Direction=H","UseDPDF=Y")</f>
        <v>#NAME?</v>
      </c>
      <c r="V546" s="1" t="e">
        <f ca="1">_xll.BDH($C$528,"OPER_INC_GROWTH","FQ3 2017","FQ3 2017","Currency=INR","Period=FQ","BEST_FPERIOD_OVERRIDE=FQ","FILING_STATUS=OR","EQY_CONSOLIDATED=Y","FA_ADJUSTED=GAAP","Sort=A","Dates=H","DateFormat=P","Fill=—","Direction=H","UseDPDF=Y")</f>
        <v>#NAME?</v>
      </c>
      <c r="W546" s="1" t="e">
        <f ca="1">_xll.BDH($C$528,"EARN_FOR_COM_GROWTH","FQ3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46" s="1" t="e">
        <f ca="1">_xll.BDH($C$528,"DILUTED_EPS_AFT_XO_ITEMS_GROWTH","FQ3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46" s="1" t="e">
        <f ca="1">_xll.BDH($C$528,"DIVIDEND_PER_SHARE_1_YEAR_GROWTH","FQ3 2017","FQ3 2017","Currency=INR","Period=FQ","BEST_FPERIOD_OVERRIDE=FQ","FILING_STATUS=OR","EQY_CONSOLIDATED=Y","Sort=A","Dates=H","DateFormat=P","Fill=—","Direction=H","UseDPDF=Y")</f>
        <v>#NAME?</v>
      </c>
      <c r="Z546" s="1" t="e">
        <f ca="1">_xll.BDH($C$528,"ACCOUNTS_RECEIVABLE_GROWTH","FQ3 2017","FQ3 2017","Currency=INR","Period=FQ","BEST_FPERIOD_OVERRIDE=FQ","FILING_STATUS=OR","EQY_CONSOLIDATED=Y","Sort=A","Dates=H","DateFormat=P","Fill=—","Direction=H","UseDPDF=Y")</f>
        <v>#NAME?</v>
      </c>
      <c r="AA546" s="1" t="e">
        <f ca="1">_xll.BDH($C$528,"INVENTORY_GROWTH","FQ3 2017","FQ3 2017","Currency=INR","Period=FQ","BEST_FPERIOD_OVERRIDE=FQ","FILING_STATUS=OR","EQY_CONSOLIDATED=Y","Sort=A","Dates=H","DateFormat=P","Fill=—","Direction=H","UseDPDF=Y")</f>
        <v>#NAME?</v>
      </c>
      <c r="AB546" s="1" t="e">
        <f ca="1">_xll.BDH($C$528,"NET_FIXED_ASSETS_1_YEAR_GROWTH","FQ3 2017","FQ3 2017","Currency=INR","Period=FQ","BEST_FPERIOD_OVERRIDE=FQ","FILING_STATUS=OR","EQY_CONSOLIDATED=Y","Sort=A","Dates=H","DateFormat=P","Fill=—","Direction=H","UseDPDF=Y")</f>
        <v>#NAME?</v>
      </c>
      <c r="AC546" s="1" t="e">
        <f ca="1">_xll.BDH($C$528,"ASSET_GROWTH","FQ3 2017","FQ3 2017","Currency=INR","Period=FQ","BEST_FPERIOD_OVERRIDE=FQ","FILING_STATUS=OR","EQY_CONSOLIDATED=Y","Sort=A","Dates=H","DateFormat=P","Fill=—","Direction=H","UseDPDF=Y")</f>
        <v>#NAME?</v>
      </c>
      <c r="AD546" s="1" t="e">
        <f ca="1">_xll.BDH($C$528,"MODIFIED_WORK_CAP_GROWTH","FQ3 2017","FQ3 2017","Currency=INR","Period=FQ","BEST_FPERIOD_OVERRIDE=FQ","FILING_STATUS=OR","EQY_CONSOLIDATED=Y","Sort=A","Dates=H","DateFormat=P","Fill=—","Direction=H","UseDPDF=Y")</f>
        <v>#NAME?</v>
      </c>
      <c r="AE546" s="1" t="e">
        <f ca="1">_xll.BDH($C$528,"WORK_CAP_GROWTH","FQ3 2017","FQ3 2017","Currency=INR","Period=FQ","BEST_FPERIOD_OVERRIDE=FQ","FILING_STATUS=OR","EQY_CONSOLIDATED=Y","Sort=A","Dates=H","DateFormat=P","Fill=—","Direction=H","UseDPDF=Y")</f>
        <v>#NAME?</v>
      </c>
      <c r="AF546" s="1" t="e">
        <f ca="1">_xll.BDH($C$528,"ACCOUNTS_PAYABLE_GROWTH_1YR","FQ3 2017","FQ3 2017","Currency=INR","Period=FQ","BEST_FPERIOD_OVERRIDE=FQ","FILING_STATUS=OR","EQY_CONSOLIDATED=Y","Sort=A","Dates=H","DateFormat=P","Fill=—","Direction=H","UseDPDF=Y")</f>
        <v>#NAME?</v>
      </c>
      <c r="AG546" s="1" t="e">
        <f ca="1">_xll.BDH($C$528,"SHORT_TERM_DEBT_1_YEAR_GROWTH","FQ3 2017","FQ3 2017","Currency=INR","Period=FQ","BEST_FPERIOD_OVERRIDE=FQ","FILING_STATUS=OR","EQY_CONSOLIDATED=Y","Sort=A","Dates=H","DateFormat=P","Fill=—","Direction=H","UseDPDF=Y")</f>
        <v>#NAME?</v>
      </c>
      <c r="AH546" s="1" t="e">
        <f ca="1">_xll.BDH($C$528,"TOTAL_DEBT_1_YEAR_GROWTH","FQ3 2017","FQ3 2017","Currency=INR","Period=FQ","BEST_FPERIOD_OVERRIDE=FQ","FILING_STATUS=OR","EQY_CONSOLIDATED=Y","Sort=A","Dates=H","DateFormat=P","Fill=—","Direction=H","UseDPDF=Y")</f>
        <v>#NAME?</v>
      </c>
      <c r="AI546" s="1" t="e">
        <f ca="1">_xll.BDH($C$528,"TOTAL_EQUITY_1_YEAR_GROWTH","FQ3 2017","FQ3 2017","Currency=INR","Period=FQ","BEST_FPERIOD_OVERRIDE=FQ","FILING_STATUS=OR","EQY_CONSOLIDATED=Y","Sort=A","Dates=H","DateFormat=P","Fill=—","Direction=H","UseDPDF=Y")</f>
        <v>#NAME?</v>
      </c>
      <c r="AJ546" s="1" t="e">
        <f ca="1">_xll.BDH($C$528,"GROWTH_IN_CAP","FQ3 2017","FQ3 2017","Currency=INR","Period=FQ","BEST_FPERIOD_OVERRIDE=FQ","FILING_STATUS=OR","EQY_CONSOLIDATED=Y","Sort=A","Dates=H","DateFormat=P","Fill=—","Direction=H","UseDPDF=Y")</f>
        <v>#NAME?</v>
      </c>
      <c r="AK546" s="1" t="e">
        <f ca="1">_xll.BDH($C$528,"BVPS_GROWTH","FQ3 2017","FQ3 2017","Currency=INR","Period=FQ","BEST_FPERIOD_OVERRIDE=FQ","FILING_STATUS=OR","EQY_CONSOLIDATED=Y","Sort=A","Dates=H","DateFormat=P","Fill=—","Direction=H","UseDPDF=Y")</f>
        <v>#NAME?</v>
      </c>
      <c r="AL546" s="1" t="e">
        <f ca="1">_xll.BDH($C$528,"CASH_FLOW_GROWTH","FQ3 2017","FQ3 2017","Currency=INR","Period=FQ","BEST_FPERIOD_OVERRIDE=FQ","FILING_STATUS=OR","EQY_CONSOLIDATED=Y","Sort=A","Dates=H","DateFormat=P","Fill=—","Direction=H","UseDPDF=Y")</f>
        <v>#NAME?</v>
      </c>
      <c r="AM546" s="1" t="e">
        <f ca="1">_xll.BDH($C$528,"GEO_GROW_NET_SALES","FQ3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46" s="1" t="e">
        <f ca="1">_xll.BDH($C$528,"GEO_GROW_EBITDA","FQ3 2017","FQ3 2017","Currency=INR","Period=FQ","BEST_FPERIOD_OVERRIDE=FQ","FILING_STATUS=OR","EQY_CONSOLIDATED=Y","FA_ADJUSTED=GAAP","Sort=A","Dates=H","DateFormat=P","Fill=—","Direction=H","UseDPDF=Y")</f>
        <v>#NAME?</v>
      </c>
      <c r="AO546" s="1" t="e">
        <f ca="1">_xll.BDH($C$528,"GEO_GROW_OPER_INC","FQ3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46" s="1" t="e">
        <f ca="1">_xll.BDH($C$528,"NET_INCOME_TO_COMMON_5_YR_GROWTH","FQ3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46" s="1" t="e">
        <f ca="1">_xll.BDH($C$528,"5Y_GEO_GROWTH_DILUTED_EPS","FQ3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46" s="1" t="e">
        <f ca="1">_xll.BDH($C$528,"GEO_GROW_DVD_PER_SH","FQ3 2017","FQ3 2017","Currency=INR","Period=FQ","BEST_FPERIOD_OVERRIDE=FQ","FILING_STATUS=OR","EQY_CONSOLIDATED=Y","Sort=A","Dates=H","DateFormat=P","Fill=—","Direction=H","UseDPDF=Y")</f>
        <v>#NAME?</v>
      </c>
      <c r="AS546" s="1" t="e">
        <f ca="1">_xll.BDH($C$528,"ACCOUNTS_RECEIVABLE_5_YR_GROWTH","FQ3 2017","FQ3 2017","Currency=INR","Period=FQ","BEST_FPERIOD_OVERRIDE=FQ","FILING_STATUS=OR","EQY_CONSOLIDATED=Y","Sort=A","Dates=H","DateFormat=P","Fill=—","Direction=H","UseDPDF=Y")</f>
        <v>#NAME?</v>
      </c>
      <c r="AT546" s="1" t="e">
        <f ca="1">_xll.BDH($C$528,"INVENTORY_5_YEAR_GROWTH","FQ3 2017","FQ3 2017","Currency=INR","Period=FQ","BEST_FPERIOD_OVERRIDE=FQ","FILING_STATUS=OR","EQY_CONSOLIDATED=Y","Sort=A","Dates=H","DateFormat=P","Fill=—","Direction=H","UseDPDF=Y")</f>
        <v>#NAME?</v>
      </c>
      <c r="AU546" s="1" t="e">
        <f ca="1">_xll.BDH($C$528,"NET_FIXED_ASSETS_5_YEAR_GROWTH","FQ3 2017","FQ3 2017","Currency=INR","Period=FQ","BEST_FPERIOD_OVERRIDE=FQ","FILING_STATUS=OR","EQY_CONSOLIDATED=Y","Sort=A","Dates=H","DateFormat=P","Fill=—","Direction=H","UseDPDF=Y")</f>
        <v>#NAME?</v>
      </c>
      <c r="AV546" s="1" t="e">
        <f ca="1">_xll.BDH($C$528,"GEO_GROW_TOT_ASSET","FQ3 2017","FQ3 2017","Currency=INR","Period=FQ","BEST_FPERIOD_OVERRIDE=FQ","FILING_STATUS=OR","EQY_CONSOLIDATED=Y","Sort=A","Dates=H","DateFormat=P","Fill=—","Direction=H","UseDPDF=Y")</f>
        <v>#NAME?</v>
      </c>
      <c r="AW546" s="1" t="e">
        <f ca="1">_xll.BDH($C$528,"MODIFIED_WORKING_CPTL_5YR_GRWTH","FQ3 2017","FQ3 2017","Currency=INR","Period=FQ","BEST_FPERIOD_OVERRIDE=FQ","FILING_STATUS=OR","EQY_CONSOLIDATED=Y","Sort=A","Dates=H","DateFormat=P","Fill=—","Direction=H","UseDPDF=Y")</f>
        <v>#NAME?</v>
      </c>
      <c r="AX546" s="1" t="e">
        <f ca="1">_xll.BDH($C$528,"WORKING_CAPITAL_5_YEAR_GROWTH","FQ3 2017","FQ3 2017","Currency=INR","Period=FQ","BEST_FPERIOD_OVERRIDE=FQ","FILING_STATUS=OR","EQY_CONSOLIDATED=Y","Sort=A","Dates=H","DateFormat=P","Fill=—","Direction=H","UseDPDF=Y")</f>
        <v>#NAME?</v>
      </c>
      <c r="AY546" s="1" t="e">
        <f ca="1">_xll.BDH($C$528,"ACCOUNTS_PAYABLE_5_YEAR_GROWTH","FQ3 2017","FQ3 2017","Currency=INR","Period=FQ","BEST_FPERIOD_OVERRIDE=FQ","FILING_STATUS=OR","EQY_CONSOLIDATED=Y","Sort=A","Dates=H","DateFormat=P","Fill=—","Direction=H","UseDPDF=Y")</f>
        <v>#NAME?</v>
      </c>
      <c r="AZ546" s="1" t="e">
        <f ca="1">_xll.BDH($C$528,"SHORT_TERM_DEBT_5_YEAR_GROWTH","FQ3 2017","FQ3 2017","Currency=INR","Period=FQ","BEST_FPERIOD_OVERRIDE=FQ","FILING_STATUS=OR","EQY_CONSOLIDATED=Y","Sort=A","Dates=H","DateFormat=P","Fill=—","Direction=H","UseDPDF=Y")</f>
        <v>#NAME?</v>
      </c>
      <c r="BA546" s="1" t="e">
        <f ca="1">_xll.BDH($C$528,"TOTAL_DEBT_5_YEAR_GROWTH","FQ3 2017","FQ3 2017","Currency=INR","Period=FQ","BEST_FPERIOD_OVERRIDE=FQ","FILING_STATUS=OR","EQY_CONSOLIDATED=Y","Sort=A","Dates=H","DateFormat=P","Fill=—","Direction=H","UseDPDF=Y")</f>
        <v>#NAME?</v>
      </c>
      <c r="BB546" s="1" t="e">
        <f ca="1">_xll.BDH($C$528,"GEO_GROW_TOT_SHRHLDR_EQY","FQ3 2017","FQ3 2017","Currency=INR","Period=FQ","BEST_FPERIOD_OVERRIDE=FQ","FILING_STATUS=OR","EQY_CONSOLIDATED=Y","Sort=A","Dates=H","DateFormat=P","Fill=—","Direction=H","UseDPDF=Y")</f>
        <v>#NAME?</v>
      </c>
      <c r="BC546" s="1" t="e">
        <f ca="1">_xll.BDH($C$528,"TOTAL_CAPITAL_5_YEAR_GROWTH","FQ3 2017","FQ3 2017","Currency=INR","Period=FQ","BEST_FPERIOD_OVERRIDE=FQ","FILING_STATUS=OR","EQY_CONSOLIDATED=Y","Sort=A","Dates=H","DateFormat=P","Fill=—","Direction=H","UseDPDF=Y")</f>
        <v>#NAME?</v>
      </c>
      <c r="BD546" s="1" t="e">
        <f ca="1">_xll.BDH($C$528,"GEO_GROW_BOOK_VAL","FQ3 2017","FQ3 2017","Currency=INR","Period=FQ","BEST_FPERIOD_OVERRIDE=FQ","FILING_STATUS=OR","EQY_CONSOLIDATED=Y","Sort=A","Dates=H","DateFormat=P","Fill=—","Direction=H","UseDPDF=Y")</f>
        <v>#NAME?</v>
      </c>
      <c r="BE546" s="1" t="e">
        <f ca="1">_xll.BDH($C$528,"GEO_GROW_CASH_OPER_ACT","FQ3 2017","FQ3 2017","Currency=INR","Period=FQ","BEST_FPERIOD_OVERRIDE=FQ","FILING_STATUS=OR","EQY_CONSOLIDATED=Y","Sort=A","Dates=H","DateFormat=P","Fill=—","Direction=H","UseDPDF=Y")</f>
        <v>#NAME?</v>
      </c>
      <c r="BF546" s="1" t="e">
        <f ca="1">_xll.BDH($C$528,"REVENUE_SEQUENTIAL_GROWTH","FQ3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46" s="1" t="e">
        <f ca="1">_xll.BDH($C$528,"EBITDA_SEQUENTIAL_GROWTH","FQ3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46" s="1" t="e">
        <f ca="1">_xll.BDH($C$528,"OPERATING_INCOME_SEQ_GROWTH","FQ3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46" s="1" t="e">
        <f ca="1">_xll.BDH($C$528,"NET_INCOME_TO_COMMON_SEQ_GROWTH","FQ3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46" s="1" t="e">
        <f ca="1">_xll.BDH($C$528,"EPS_DILUTED_SEQUENTIAL_GROWTH","FQ3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46" s="1" t="e">
        <f ca="1">_xll.BDH($C$528,"DPS_SEQUENTIAL_GROWTH","FQ3 2017","FQ3 2017","Currency=INR","Period=FQ","BEST_FPERIOD_OVERRIDE=FQ","FILING_STATUS=OR","EQY_CONSOLIDATED=Y","Sort=A","Dates=H","DateFormat=P","Fill=—","Direction=H","UseDPDF=Y")</f>
        <v>#NAME?</v>
      </c>
      <c r="BL546" s="1" t="e">
        <f ca="1">_xll.BDH($C$528,"ACCOUNTS_RECEIVABLE_SEQ_GROWTH","FQ3 2017","FQ3 2017","Currency=INR","Period=FQ","BEST_FPERIOD_OVERRIDE=FQ","FILING_STATUS=OR","EQY_CONSOLIDATED=Y","Sort=A","Dates=H","DateFormat=P","Fill=—","Direction=H","UseDPDF=Y")</f>
        <v>#NAME?</v>
      </c>
      <c r="BM546" s="1" t="e">
        <f ca="1">_xll.BDH($C$528,"INVENTORY_SEQUENTIAL_GROWTH","FQ3 2017","FQ3 2017","Currency=INR","Period=FQ","BEST_FPERIOD_OVERRIDE=FQ","FILING_STATUS=OR","EQY_CONSOLIDATED=Y","Sort=A","Dates=H","DateFormat=P","Fill=—","Direction=H","UseDPDF=Y")</f>
        <v>#NAME?</v>
      </c>
      <c r="BN546" s="1" t="e">
        <f ca="1">_xll.BDH($C$528,"FIXED_ASSETS_SEQUENTIAL_GROWTH","FQ3 2017","FQ3 2017","Currency=INR","Period=FQ","BEST_FPERIOD_OVERRIDE=FQ","FILING_STATUS=OR","EQY_CONSOLIDATED=Y","Sort=A","Dates=H","DateFormat=P","Fill=—","Direction=H","UseDPDF=Y")</f>
        <v>#NAME?</v>
      </c>
      <c r="BO546" s="1" t="e">
        <f ca="1">_xll.BDH($C$528,"TOTAL_ASSETS_SEQUENTIAL_GROWTH","FQ3 2017","FQ3 2017","Currency=INR","Period=FQ","BEST_FPERIOD_OVERRIDE=FQ","FILING_STATUS=OR","EQY_CONSOLIDATED=Y","Sort=A","Dates=H","DateFormat=P","Fill=—","Direction=H","UseDPDF=Y")</f>
        <v>#NAME?</v>
      </c>
      <c r="BP546" s="1" t="e">
        <f ca="1">_xll.BDH($C$528,"MODIFIED_WORKING_CPTL_SEQ_GRWTH","FQ3 2017","FQ3 2017","Currency=INR","Period=FQ","BEST_FPERIOD_OVERRIDE=FQ","FILING_STATUS=OR","EQY_CONSOLIDATED=Y","Sort=A","Dates=H","DateFormat=P","Fill=—","Direction=H","UseDPDF=Y")</f>
        <v>#NAME?</v>
      </c>
      <c r="BQ546" s="1" t="e">
        <f ca="1">_xll.BDH($C$528,"WORKING_CAPITAL_SEQ_GROWTH","FQ3 2017","FQ3 2017","Currency=INR","Period=FQ","BEST_FPERIOD_OVERRIDE=FQ","FILING_STATUS=OR","EQY_CONSOLIDATED=Y","Sort=A","Dates=H","DateFormat=P","Fill=—","Direction=H","UseDPDF=Y")</f>
        <v>#NAME?</v>
      </c>
      <c r="BR546" s="1" t="e">
        <f ca="1">_xll.BDH($C$528,"ACCOUNTS_PAYABLE_SEQ_GROWTH","FQ3 2017","FQ3 2017","Currency=INR","Period=FQ","BEST_FPERIOD_OVERRIDE=FQ","FILING_STATUS=OR","EQY_CONSOLIDATED=Y","Sort=A","Dates=H","DateFormat=P","Fill=—","Direction=H","UseDPDF=Y")</f>
        <v>#NAME?</v>
      </c>
      <c r="BS546" s="1" t="e">
        <f ca="1">_xll.BDH($C$528,"ST_DEBT_SEQUENTIAL_GROWTH","FQ3 2017","FQ3 2017","Currency=INR","Period=FQ","BEST_FPERIOD_OVERRIDE=FQ","FILING_STATUS=OR","EQY_CONSOLIDATED=Y","Sort=A","Dates=H","DateFormat=P","Fill=—","Direction=H","UseDPDF=Y")</f>
        <v>#NAME?</v>
      </c>
      <c r="BT546" s="1" t="e">
        <f ca="1">_xll.BDH($C$528,"TOTAL_DEBT_SEQUENTIAL_GROWTH","FQ3 2017","FQ3 2017","Currency=INR","Period=FQ","BEST_FPERIOD_OVERRIDE=FQ","FILING_STATUS=OR","EQY_CONSOLIDATED=Y","Sort=A","Dates=H","DateFormat=P","Fill=—","Direction=H","UseDPDF=Y")</f>
        <v>#NAME?</v>
      </c>
      <c r="BU546" s="1" t="e">
        <f ca="1">_xll.BDH($C$528,"TOTAL_EQUITY_SEQUENTIAL_GROWTH","FQ3 2017","FQ3 2017","Currency=INR","Period=FQ","BEST_FPERIOD_OVERRIDE=FQ","FILING_STATUS=OR","EQY_CONSOLIDATED=Y","Sort=A","Dates=H","DateFormat=P","Fill=—","Direction=H","UseDPDF=Y")</f>
        <v>#NAME?</v>
      </c>
      <c r="BV546" s="1" t="e">
        <f ca="1">_xll.BDH($C$528,"TOTAL_CAPITAL_SEQUENTIAL_GROWTH","FQ3 2017","FQ3 2017","Currency=INR","Period=FQ","BEST_FPERIOD_OVERRIDE=FQ","FILING_STATUS=OR","EQY_CONSOLIDATED=Y","Sort=A","Dates=H","DateFormat=P","Fill=—","Direction=H","UseDPDF=Y")</f>
        <v>#NAME?</v>
      </c>
      <c r="BW546" s="1" t="e">
        <f ca="1">_xll.BDH($C$528,"BPS_SEQUENTIAL_GROWTH","FQ3 2017","FQ3 2017","Currency=INR","Period=FQ","BEST_FPERIOD_OVERRIDE=FQ","FILING_STATUS=OR","EQY_CONSOLIDATED=Y","Sort=A","Dates=H","DateFormat=P","Fill=—","Direction=H","UseDPDF=Y")</f>
        <v>#NAME?</v>
      </c>
      <c r="BX546" s="1" t="e">
        <f ca="1">_xll.BDH($C$528,"CFO_SEQUENTIAL_GROWTH","FQ3 2017","FQ3 2017","Currency=INR","Period=FQ","BEST_FPERIOD_OVERRIDE=FQ","FILING_STATUS=OR","EQY_CONSOLIDATED=Y","Sort=A","Dates=H","DateFormat=P","Fill=—","Direction=H","UseDPDF=Y")</f>
        <v>#NAME?</v>
      </c>
      <c r="BY546" s="2" t="e">
        <f ca="1">_xll.BDH($C$528,"SHORT_AND_LONG_TERM_DEBT","FQ3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46" s="2" t="e">
        <f ca="1">_xll.BDH($C$528,"BS_ST_BORROW","FQ3 2017","FQ3 2017","Currency=INR","Period=FQ","BEST_FPERIOD_OVERRIDE=FQ","FILING_STATUS=OR","EQY_CONSOLIDATED=Y","SCALING_FORMAT=MLN","Sort=A","Dates=H","DateFormat=P","Fill=—","Direction=H","UseDPDF=Y")</f>
        <v>#NAME?</v>
      </c>
      <c r="CA546" s="2" t="e">
        <f ca="1">_xll.BDH($C$528,"BS_LT_BORROW","FQ3 2017","FQ3 2017","Currency=INR","Period=FQ","BEST_FPERIOD_OVERRIDE=FQ","FILING_STATUS=OR","EQY_CONSOLIDATED=Y","SCALING_FORMAT=MLN","Sort=A","Dates=H","DateFormat=P","Fill=—","Direction=H","UseDPDF=Y")</f>
        <v>#NAME?</v>
      </c>
      <c r="CB546" s="1" t="e">
        <f ca="1">_xll.BDH($C$528,"TOT_DEBT_TO_EBITDA","FQ3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46" s="1" t="e">
        <f ca="1">_xll.BDH($C$528,"NET_DEBT_TO_EBITDA","FQ3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46" s="1" t="e">
        <f ca="1">_xll.BDH($C$528,"TOTAL_DEBT_TO_EBIT","FQ3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46" s="1" t="e">
        <f ca="1">_xll.BDH($C$528,"NET_DEBT_TO_EBIT","FQ3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546" s="1" t="e">
        <f ca="1">_xll.BDH($C$528,"EBITDA_TO_INTEREST_EXPN","FQ3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46" s="1" t="e">
        <f ca="1">_xll.BDH($C$528,"COM_EQY_TO_TOT_ASSET","FQ3 2017","FQ3 2017","Currency=INR","Period=FQ","BEST_FPERIOD_OVERRIDE=FQ","FILING_STATUS=OR","EQY_CONSOLIDATED=Y","Sort=A","Dates=H","DateFormat=P","Fill=—","Direction=H","UseDPDF=Y")</f>
        <v>#NAME?</v>
      </c>
      <c r="CH546" s="1" t="e">
        <f ca="1">_xll.BDH($C$528,"LT_DEBT_TO_TOT_EQY","FQ3 2017","FQ3 2017","Currency=INR","Period=FQ","BEST_FPERIOD_OVERRIDE=FQ","FILING_STATUS=OR","EQY_CONSOLIDATED=Y","Sort=A","Dates=H","DateFormat=P","Fill=—","Direction=H","UseDPDF=Y")</f>
        <v>#NAME?</v>
      </c>
      <c r="CI546" s="1" t="e">
        <f ca="1">_xll.BDH($C$528,"LT_DEBT_TO_TOT_CAP","FQ3 2017","FQ3 2017","Currency=INR","Period=FQ","BEST_FPERIOD_OVERRIDE=FQ","FILING_STATUS=OR","EQY_CONSOLIDATED=Y","Sort=A","Dates=H","DateFormat=P","Fill=—","Direction=H","UseDPDF=Y")</f>
        <v>#NAME?</v>
      </c>
      <c r="CJ546" s="1" t="e">
        <f ca="1">_xll.BDH($C$528,"LT_DEBT_TO_TOT_ASSET","FQ3 2017","FQ3 2017","Currency=INR","Period=FQ","BEST_FPERIOD_OVERRIDE=FQ","FILING_STATUS=OR","EQY_CONSOLIDATED=Y","Sort=A","Dates=H","DateFormat=P","Fill=—","Direction=H","UseDPDF=Y")</f>
        <v>#NAME?</v>
      </c>
      <c r="CK546" s="1" t="e">
        <f ca="1">_xll.BDH($C$528,"TOT_DEBT_TO_TOT_EQY","FQ3 2017","FQ3 2017","Currency=INR","Period=FQ","BEST_FPERIOD_OVERRIDE=FQ","FILING_STATUS=OR","EQY_CONSOLIDATED=Y","Sort=A","Dates=H","DateFormat=P","Fill=—","Direction=H","UseDPDF=Y")</f>
        <v>#NAME?</v>
      </c>
      <c r="CL546" s="1" t="e">
        <f ca="1">_xll.BDH($C$528,"TOT_DEBT_TO_TOT_CAP","FQ3 2017","FQ3 2017","Currency=INR","Period=FQ","BEST_FPERIOD_OVERRIDE=FQ","FILING_STATUS=OR","EQY_CONSOLIDATED=Y","Sort=A","Dates=H","DateFormat=P","Fill=—","Direction=H","UseDPDF=Y")</f>
        <v>#NAME?</v>
      </c>
      <c r="CM546" s="1" t="e">
        <f ca="1">_xll.BDH($C$528,"TOT_DEBT_TO_TOT_ASSET","FQ3 2017","FQ3 2017","Currency=INR","Period=FQ","BEST_FPERIOD_OVERRIDE=FQ","FILING_STATUS=OR","EQY_CONSOLIDATED=Y","Sort=A","Dates=H","DateFormat=P","Fill=—","Direction=H","UseDPDF=Y")</f>
        <v>#NAME?</v>
      </c>
      <c r="CN546" s="1" t="e">
        <f ca="1">_xll.BDH($C$528,"NET_DEBT_TO_SHRHLDR_EQTY","FQ3 2017","FQ3 2017","Currency=INR","Period=FQ","BEST_FPERIOD_OVERRIDE=FQ","FILING_STATUS=OR","EQY_CONSOLIDATED=Y","Sort=A","Dates=H","DateFormat=P","Fill=—","Direction=H","UseDPDF=Y")</f>
        <v>#NAME?</v>
      </c>
      <c r="CO546" s="1" t="e">
        <f ca="1">_xll.BDH($C$528,"NET_DEBT_%_CAPITAL","FQ3 2017","FQ3 2017","Currency=INR","Period=FQ","BEST_FPERIOD_OVERRIDE=FQ","FILING_STATUS=OR","EQY_CONSOLIDATED=Y","Sort=A","Dates=H","DateFormat=P","Fill=—","Direction=H","UseDPDF=Y")</f>
        <v>#NAME?</v>
      </c>
      <c r="CP546" s="2" t="e">
        <f ca="1">_xll.BDH($C$528,"EBITDA","FQ3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46" s="2" t="e">
        <f ca="1">_xll.BDH($C$528,"EBITDA_AFTER_CAPEX","FQ3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46" s="2" t="e">
        <f ca="1">_xll.BDH($C$528,"IS_OPER_INC","FQ3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46" s="1" t="e">
        <f ca="1">_xll.BDH($C$528,"CASH_RATIO","FQ3 2017","FQ3 2017","Currency=INR","Period=FQ","BEST_FPERIOD_OVERRIDE=FQ","FILING_STATUS=OR","EQY_CONSOLIDATED=Y","Sort=A","Dates=H","DateFormat=P","Fill=—","Direction=H","UseDPDF=Y")</f>
        <v>#NAME?</v>
      </c>
      <c r="CT546" s="1" t="e">
        <f ca="1">_xll.BDH($C$528,"CUR_RATIO","FQ3 2017","FQ3 2017","Currency=INR","Period=FQ","BEST_FPERIOD_OVERRIDE=FQ","FILING_STATUS=OR","EQY_CONSOLIDATED=Y","Sort=A","Dates=H","DateFormat=P","Fill=—","Direction=H","UseDPDF=Y")</f>
        <v>#NAME?</v>
      </c>
      <c r="CU546" s="1" t="e">
        <f ca="1">_xll.BDH($C$528,"QUICK_RATIO","FQ3 2017","FQ3 2017","Currency=INR","Period=FQ","BEST_FPERIOD_OVERRIDE=FQ","FILING_STATUS=OR","EQY_CONSOLIDATED=Y","Sort=A","Dates=H","DateFormat=P","Fill=—","Direction=H","UseDPDF=Y")</f>
        <v>#NAME?</v>
      </c>
      <c r="CV546" s="1" t="e">
        <f ca="1">_xll.BDH($C$528,"ALTMAN_Z_SCORE","FQ3 2017","FQ3 2017","Currency=INR","Period=FQ","BEST_FPERIOD_OVERRIDE=FQ","FILING_STATUS=OR","EQY_CONSOLIDATED=Y","Sort=A","Dates=H","DateFormat=P","Fill=—","Direction=H","UseDPDF=Y")</f>
        <v>#NAME?</v>
      </c>
      <c r="CW546" s="3" t="e">
        <f ca="1">_xll.BDH($C$528,"ACCT_RCV_TURN","FQ3 2017","FQ3 2017","Currency=INR","Period=FQ","BEST_FPERIOD_OVERRIDE=FQ","FILING_STATUS=OR","EQY_CONSOLIDATED=Y","FA_ADJUSTED=GAAP","Sort=A","Dates=H","DateFormat=P","Fill=—","Direction=H","UseDPDF=Y")</f>
        <v>#NAME?</v>
      </c>
      <c r="CX546" s="1" t="e">
        <f ca="1">_xll.BDH($C$528,"ACCT_RCV_DAYS","FQ3 2017","FQ3 2017","Currency=INR","Period=FQ","BEST_FPERIOD_OVERRIDE=FQ","FILING_STATUS=OR","EQY_CONSOLIDATED=Y","FA_ADJUSTED=GAAP","Sort=A","Dates=H","DateFormat=P","Fill=—","Direction=H","UseDPDF=Y")</f>
        <v>#NAME?</v>
      </c>
      <c r="CY546" s="3" t="e">
        <f ca="1">_xll.BDH($C$528,"INVENT_TURN","FQ3 2017","FQ3 2017","Currency=INR","Period=FQ","BEST_FPERIOD_OVERRIDE=FQ","FILING_STATUS=OR","EQY_CONSOLIDATED=Y","FA_ADJUSTED=GAAP","Sort=A","Dates=H","DateFormat=P","Fill=—","Direction=H","UseDPDF=Y")</f>
        <v>#NAME?</v>
      </c>
      <c r="CZ546" s="1" t="e">
        <f ca="1">_xll.BDH($C$528,"INVENT_DAYS","FQ3 2017","FQ3 2017","Currency=INR","Period=FQ","BEST_FPERIOD_OVERRIDE=FQ","FILING_STATUS=OR","EQY_CONSOLIDATED=Y","FA_ADJUSTED=GAAP","Sort=A","Dates=H","DateFormat=P","Fill=—","Direction=H","UseDPDF=Y")</f>
        <v>#NAME?</v>
      </c>
      <c r="DA546" s="3" t="e">
        <f ca="1">_xll.BDH($C$528,"ACCOUNTS_PAYABLE_TURNOVER","FQ3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46" s="1" t="e">
        <f ca="1">_xll.BDH($C$528,"ACCOUNTS_PAYABLE_TURNOVER_DAYS","FQ3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46" s="3" t="e">
        <f ca="1">_xll.BDH($C$528,"CASH_CONVERSION_CYCLE","FQ3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46" s="3" t="e">
        <f ca="1">_xll.BDH($C$528,"INV_TO_CASH_DAYS","FQ3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546" s="4" t="e">
        <f ca="1">_xll.BDH($C$528,"BS_INVENTORIES","FQ3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546" s="2" t="e">
        <f ca="1">_xll.BDH($C$528,"INVTRY_RAW_MATERIALS","FQ3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46" s="2" t="e">
        <f ca="1">_xll.BDH($C$528,"INVTRY_IN_PROGRESS","FQ3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46" s="2" t="e">
        <f ca="1">_xll.BDH($C$528,"INVTRY_FINISHED_GOODS","FQ3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46" s="2" t="e">
        <f ca="1">_xll.BDH($C$528,"BS_OTHER_INV","FQ3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47" spans="1:113" x14ac:dyDescent="0.3">
      <c r="A547" s="6"/>
      <c r="B547" s="6"/>
      <c r="C547" s="6"/>
      <c r="D547" s="6"/>
      <c r="E547" t="s">
        <v>7</v>
      </c>
      <c r="F547" t="e">
        <f ca="1">_xll.BDH($C$528,"RETURN_COM_EQY","FQ4 2017","FQ4 2017","Currency=INR","Period=FQ","BEST_FPERIOD_OVERRIDE=FQ","FILING_STATUS=OR","EQY_CONSOLIDATED=Y","FA_ADJUSTED=GAAP","Sort=A","Dates=H","DateFormat=P","Fill=—","Direction=H","UseDPDF=Y")</f>
        <v>#NAME?</v>
      </c>
      <c r="G547" t="e">
        <f ca="1">_xll.BDH($C$528,"RETURN_ON_ASSET","FQ4 2017","FQ4 2017","Currency=INR","Period=FQ","BEST_FPERIOD_OVERRIDE=FQ","FILING_STATUS=OR","EQY_CONSOLIDATED=Y","FA_ADJUSTED=GAAP","Sort=A","Dates=H","DateFormat=P","Fill=—","Direction=H","UseDPDF=Y")</f>
        <v>#NAME?</v>
      </c>
      <c r="H547" t="e">
        <f ca="1">_xll.BDH($C$528,"RETURN_ON_CAP","FQ4 2017","FQ4 2017","Currency=INR","Period=FQ","BEST_FPERIOD_OVERRIDE=FQ","FILING_STATUS=OR","EQY_CONSOLIDATED=Y","FA_ADJUSTED=GAAP","Sort=A","Dates=H","DateFormat=P","Fill=—","Direction=H","UseDPDF=Y")</f>
        <v>#NAME?</v>
      </c>
      <c r="I547" t="e">
        <f ca="1">_xll.BDH($C$528,"RETURN_ON_INV_CAPITAL","FQ4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47" t="e">
        <f ca="1">_xll.BDH($C$528,"EBITDA_TO_REVENUE","FQ4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547" t="e">
        <f ca="1">_xll.BDH($C$528,"OPER_MARGIN","FQ4 2017","FQ4 2017","Currency=INR","Period=FQ","BEST_FPERIOD_OVERRIDE=FQ","FILING_STATUS=OR","EQY_CONSOLIDATED=Y","FA_ADJUSTED=GAAP","Sort=A","Dates=H","DateFormat=P","Fill=—","Direction=H","UseDPDF=Y")</f>
        <v>#NAME?</v>
      </c>
      <c r="L547" t="e">
        <f ca="1">_xll.BDH($C$528,"INCREMENTAL_OPERATING_MARGIN","FQ4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47" t="e">
        <f ca="1">_xll.BDH($C$528,"PRETAX_INC_TO_NET_SALES","FQ4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47" t="e">
        <f ca="1">_xll.BDH($C$528,"INC_BEF_XO_ITEMS_TO_NET_SALES","FQ4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47" t="e">
        <f ca="1">_xll.BDH($C$528,"PROF_MARGIN","FQ4 2017","FQ4 2017","Currency=INR","Period=FQ","BEST_FPERIOD_OVERRIDE=FQ","FILING_STATUS=OR","EQY_CONSOLIDATED=Y","FA_ADJUSTED=GAAP","Sort=A","Dates=H","DateFormat=P","Fill=—","Direction=H","UseDPDF=Y")</f>
        <v>#NAME?</v>
      </c>
      <c r="P547" t="e">
        <f ca="1">_xll.BDH($C$528,"NET_INCOME_TO_COMMON_MARGIN","FQ4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47" t="e">
        <f ca="1">_xll.BDH($C$528,"EFF_TAX_RATE","FQ4 2017","FQ4 2017","Currency=INR","Period=FQ","BEST_FPERIOD_OVERRIDE=FQ","FILING_STATUS=OR","EQY_CONSOLIDATED=Y","FA_ADJUSTED=GAAP","Sort=A","Dates=H","DateFormat=P","Fill=—","Direction=H","UseDPDF=Y")</f>
        <v>#NAME?</v>
      </c>
      <c r="R547" t="e">
        <f ca="1">_xll.BDH($C$528,"DVD_PAYOUT_RATIO","FQ4 2017","FQ4 2017","Currency=INR","Period=FQ","BEST_FPERIOD_OVERRIDE=FQ","FILING_STATUS=OR","EQY_CONSOLIDATED=Y","FA_ADJUSTED=GAAP","Sort=A","Dates=H","DateFormat=P","Fill=—","Direction=H","UseDPDF=Y")</f>
        <v>#NAME?</v>
      </c>
      <c r="S547" t="e">
        <f ca="1">_xll.BDH($C$528,"SUSTAIN_GROWTH_RT","FQ4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547" s="1" t="e">
        <f ca="1">_xll.BDH($C$528,"SALES_GROWTH","FQ4 2017","FQ4 2017","Currency=INR","Period=FQ","BEST_FPERIOD_OVERRIDE=FQ","FILING_STATUS=OR","EQY_CONSOLIDATED=Y","FA_ADJUSTED=GAAP","Sort=A","Dates=H","DateFormat=P","Fill=—","Direction=H","UseDPDF=Y")</f>
        <v>#NAME?</v>
      </c>
      <c r="U547" s="1" t="e">
        <f ca="1">_xll.BDH($C$528,"EBITDA_GROWTH","FQ4 2017","FQ4 2017","Currency=INR","Period=FQ","BEST_FPERIOD_OVERRIDE=FQ","FILING_STATUS=OR","EQY_CONSOLIDATED=Y","FA_ADJUSTED=GAAP","Sort=A","Dates=H","DateFormat=P","Fill=—","Direction=H","UseDPDF=Y")</f>
        <v>#NAME?</v>
      </c>
      <c r="V547" s="1" t="e">
        <f ca="1">_xll.BDH($C$528,"OPER_INC_GROWTH","FQ4 2017","FQ4 2017","Currency=INR","Period=FQ","BEST_FPERIOD_OVERRIDE=FQ","FILING_STATUS=OR","EQY_CONSOLIDATED=Y","FA_ADJUSTED=GAAP","Sort=A","Dates=H","DateFormat=P","Fill=—","Direction=H","UseDPDF=Y")</f>
        <v>#NAME?</v>
      </c>
      <c r="W547" s="1" t="e">
        <f ca="1">_xll.BDH($C$528,"EARN_FOR_COM_GROWTH","FQ4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47" s="1" t="e">
        <f ca="1">_xll.BDH($C$528,"DILUTED_EPS_AFT_XO_ITEMS_GROWTH","FQ4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47" s="1" t="e">
        <f ca="1">_xll.BDH($C$528,"DIVIDEND_PER_SHARE_1_YEAR_GROWTH","FQ4 2017","FQ4 2017","Currency=INR","Period=FQ","BEST_FPERIOD_OVERRIDE=FQ","FILING_STATUS=OR","EQY_CONSOLIDATED=Y","Sort=A","Dates=H","DateFormat=P","Fill=—","Direction=H","UseDPDF=Y")</f>
        <v>#NAME?</v>
      </c>
      <c r="Z547" s="1" t="e">
        <f ca="1">_xll.BDH($C$528,"ACCOUNTS_RECEIVABLE_GROWTH","FQ4 2017","FQ4 2017","Currency=INR","Period=FQ","BEST_FPERIOD_OVERRIDE=FQ","FILING_STATUS=OR","EQY_CONSOLIDATED=Y","Sort=A","Dates=H","DateFormat=P","Fill=—","Direction=H","UseDPDF=Y")</f>
        <v>#NAME?</v>
      </c>
      <c r="AA547" s="1" t="e">
        <f ca="1">_xll.BDH($C$528,"INVENTORY_GROWTH","FQ4 2017","FQ4 2017","Currency=INR","Period=FQ","BEST_FPERIOD_OVERRIDE=FQ","FILING_STATUS=OR","EQY_CONSOLIDATED=Y","Sort=A","Dates=H","DateFormat=P","Fill=—","Direction=H","UseDPDF=Y")</f>
        <v>#NAME?</v>
      </c>
      <c r="AB547" s="1" t="e">
        <f ca="1">_xll.BDH($C$528,"NET_FIXED_ASSETS_1_YEAR_GROWTH","FQ4 2017","FQ4 2017","Currency=INR","Period=FQ","BEST_FPERIOD_OVERRIDE=FQ","FILING_STATUS=OR","EQY_CONSOLIDATED=Y","Sort=A","Dates=H","DateFormat=P","Fill=—","Direction=H","UseDPDF=Y")</f>
        <v>#NAME?</v>
      </c>
      <c r="AC547" s="1" t="e">
        <f ca="1">_xll.BDH($C$528,"ASSET_GROWTH","FQ4 2017","FQ4 2017","Currency=INR","Period=FQ","BEST_FPERIOD_OVERRIDE=FQ","FILING_STATUS=OR","EQY_CONSOLIDATED=Y","Sort=A","Dates=H","DateFormat=P","Fill=—","Direction=H","UseDPDF=Y")</f>
        <v>#NAME?</v>
      </c>
      <c r="AD547" s="1" t="e">
        <f ca="1">_xll.BDH($C$528,"MODIFIED_WORK_CAP_GROWTH","FQ4 2017","FQ4 2017","Currency=INR","Period=FQ","BEST_FPERIOD_OVERRIDE=FQ","FILING_STATUS=OR","EQY_CONSOLIDATED=Y","Sort=A","Dates=H","DateFormat=P","Fill=—","Direction=H","UseDPDF=Y")</f>
        <v>#NAME?</v>
      </c>
      <c r="AE547" s="1" t="e">
        <f ca="1">_xll.BDH($C$528,"WORK_CAP_GROWTH","FQ4 2017","FQ4 2017","Currency=INR","Period=FQ","BEST_FPERIOD_OVERRIDE=FQ","FILING_STATUS=OR","EQY_CONSOLIDATED=Y","Sort=A","Dates=H","DateFormat=P","Fill=—","Direction=H","UseDPDF=Y")</f>
        <v>#NAME?</v>
      </c>
      <c r="AF547" s="1" t="e">
        <f ca="1">_xll.BDH($C$528,"ACCOUNTS_PAYABLE_GROWTH_1YR","FQ4 2017","FQ4 2017","Currency=INR","Period=FQ","BEST_FPERIOD_OVERRIDE=FQ","FILING_STATUS=OR","EQY_CONSOLIDATED=Y","Sort=A","Dates=H","DateFormat=P","Fill=—","Direction=H","UseDPDF=Y")</f>
        <v>#NAME?</v>
      </c>
      <c r="AG547" s="1" t="e">
        <f ca="1">_xll.BDH($C$528,"SHORT_TERM_DEBT_1_YEAR_GROWTH","FQ4 2017","FQ4 2017","Currency=INR","Period=FQ","BEST_FPERIOD_OVERRIDE=FQ","FILING_STATUS=OR","EQY_CONSOLIDATED=Y","Sort=A","Dates=H","DateFormat=P","Fill=—","Direction=H","UseDPDF=Y")</f>
        <v>#NAME?</v>
      </c>
      <c r="AH547" s="1" t="e">
        <f ca="1">_xll.BDH($C$528,"TOTAL_DEBT_1_YEAR_GROWTH","FQ4 2017","FQ4 2017","Currency=INR","Period=FQ","BEST_FPERIOD_OVERRIDE=FQ","FILING_STATUS=OR","EQY_CONSOLIDATED=Y","Sort=A","Dates=H","DateFormat=P","Fill=—","Direction=H","UseDPDF=Y")</f>
        <v>#NAME?</v>
      </c>
      <c r="AI547" s="1" t="e">
        <f ca="1">_xll.BDH($C$528,"TOTAL_EQUITY_1_YEAR_GROWTH","FQ4 2017","FQ4 2017","Currency=INR","Period=FQ","BEST_FPERIOD_OVERRIDE=FQ","FILING_STATUS=OR","EQY_CONSOLIDATED=Y","Sort=A","Dates=H","DateFormat=P","Fill=—","Direction=H","UseDPDF=Y")</f>
        <v>#NAME?</v>
      </c>
      <c r="AJ547" s="1" t="e">
        <f ca="1">_xll.BDH($C$528,"GROWTH_IN_CAP","FQ4 2017","FQ4 2017","Currency=INR","Period=FQ","BEST_FPERIOD_OVERRIDE=FQ","FILING_STATUS=OR","EQY_CONSOLIDATED=Y","Sort=A","Dates=H","DateFormat=P","Fill=—","Direction=H","UseDPDF=Y")</f>
        <v>#NAME?</v>
      </c>
      <c r="AK547" s="1" t="e">
        <f ca="1">_xll.BDH($C$528,"BVPS_GROWTH","FQ4 2017","FQ4 2017","Currency=INR","Period=FQ","BEST_FPERIOD_OVERRIDE=FQ","FILING_STATUS=OR","EQY_CONSOLIDATED=Y","Sort=A","Dates=H","DateFormat=P","Fill=—","Direction=H","UseDPDF=Y")</f>
        <v>#NAME?</v>
      </c>
      <c r="AL547" s="1" t="e">
        <f ca="1">_xll.BDH($C$528,"CASH_FLOW_GROWTH","FQ4 2017","FQ4 2017","Currency=INR","Period=FQ","BEST_FPERIOD_OVERRIDE=FQ","FILING_STATUS=OR","EQY_CONSOLIDATED=Y","Sort=A","Dates=H","DateFormat=P","Fill=—","Direction=H","UseDPDF=Y")</f>
        <v>#NAME?</v>
      </c>
      <c r="AM547" s="1" t="e">
        <f ca="1">_xll.BDH($C$528,"GEO_GROW_NET_SALES","FQ4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47" s="1" t="e">
        <f ca="1">_xll.BDH($C$528,"GEO_GROW_EBITDA","FQ4 2017","FQ4 2017","Currency=INR","Period=FQ","BEST_FPERIOD_OVERRIDE=FQ","FILING_STATUS=OR","EQY_CONSOLIDATED=Y","FA_ADJUSTED=GAAP","Sort=A","Dates=H","DateFormat=P","Fill=—","Direction=H","UseDPDF=Y")</f>
        <v>#NAME?</v>
      </c>
      <c r="AO547" s="1" t="e">
        <f ca="1">_xll.BDH($C$528,"GEO_GROW_OPER_INC","FQ4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47" s="1" t="e">
        <f ca="1">_xll.BDH($C$528,"NET_INCOME_TO_COMMON_5_YR_GROWTH","FQ4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47" s="1" t="e">
        <f ca="1">_xll.BDH($C$528,"5Y_GEO_GROWTH_DILUTED_EPS","FQ4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47" s="1" t="e">
        <f ca="1">_xll.BDH($C$528,"GEO_GROW_DVD_PER_SH","FQ4 2017","FQ4 2017","Currency=INR","Period=FQ","BEST_FPERIOD_OVERRIDE=FQ","FILING_STATUS=OR","EQY_CONSOLIDATED=Y","Sort=A","Dates=H","DateFormat=P","Fill=—","Direction=H","UseDPDF=Y")</f>
        <v>#NAME?</v>
      </c>
      <c r="AS547" s="1" t="e">
        <f ca="1">_xll.BDH($C$528,"ACCOUNTS_RECEIVABLE_5_YR_GROWTH","FQ4 2017","FQ4 2017","Currency=INR","Period=FQ","BEST_FPERIOD_OVERRIDE=FQ","FILING_STATUS=OR","EQY_CONSOLIDATED=Y","Sort=A","Dates=H","DateFormat=P","Fill=—","Direction=H","UseDPDF=Y")</f>
        <v>#NAME?</v>
      </c>
      <c r="AT547" s="1" t="e">
        <f ca="1">_xll.BDH($C$528,"INVENTORY_5_YEAR_GROWTH","FQ4 2017","FQ4 2017","Currency=INR","Period=FQ","BEST_FPERIOD_OVERRIDE=FQ","FILING_STATUS=OR","EQY_CONSOLIDATED=Y","Sort=A","Dates=H","DateFormat=P","Fill=—","Direction=H","UseDPDF=Y")</f>
        <v>#NAME?</v>
      </c>
      <c r="AU547" s="1" t="e">
        <f ca="1">_xll.BDH($C$528,"NET_FIXED_ASSETS_5_YEAR_GROWTH","FQ4 2017","FQ4 2017","Currency=INR","Period=FQ","BEST_FPERIOD_OVERRIDE=FQ","FILING_STATUS=OR","EQY_CONSOLIDATED=Y","Sort=A","Dates=H","DateFormat=P","Fill=—","Direction=H","UseDPDF=Y")</f>
        <v>#NAME?</v>
      </c>
      <c r="AV547" s="1" t="e">
        <f ca="1">_xll.BDH($C$528,"GEO_GROW_TOT_ASSET","FQ4 2017","FQ4 2017","Currency=INR","Period=FQ","BEST_FPERIOD_OVERRIDE=FQ","FILING_STATUS=OR","EQY_CONSOLIDATED=Y","Sort=A","Dates=H","DateFormat=P","Fill=—","Direction=H","UseDPDF=Y")</f>
        <v>#NAME?</v>
      </c>
      <c r="AW547" s="1" t="e">
        <f ca="1">_xll.BDH($C$528,"MODIFIED_WORKING_CPTL_5YR_GRWTH","FQ4 2017","FQ4 2017","Currency=INR","Period=FQ","BEST_FPERIOD_OVERRIDE=FQ","FILING_STATUS=OR","EQY_CONSOLIDATED=Y","Sort=A","Dates=H","DateFormat=P","Fill=—","Direction=H","UseDPDF=Y")</f>
        <v>#NAME?</v>
      </c>
      <c r="AX547" s="1" t="e">
        <f ca="1">_xll.BDH($C$528,"WORKING_CAPITAL_5_YEAR_GROWTH","FQ4 2017","FQ4 2017","Currency=INR","Period=FQ","BEST_FPERIOD_OVERRIDE=FQ","FILING_STATUS=OR","EQY_CONSOLIDATED=Y","Sort=A","Dates=H","DateFormat=P","Fill=—","Direction=H","UseDPDF=Y")</f>
        <v>#NAME?</v>
      </c>
      <c r="AY547" s="1" t="e">
        <f ca="1">_xll.BDH($C$528,"ACCOUNTS_PAYABLE_5_YEAR_GROWTH","FQ4 2017","FQ4 2017","Currency=INR","Period=FQ","BEST_FPERIOD_OVERRIDE=FQ","FILING_STATUS=OR","EQY_CONSOLIDATED=Y","Sort=A","Dates=H","DateFormat=P","Fill=—","Direction=H","UseDPDF=Y")</f>
        <v>#NAME?</v>
      </c>
      <c r="AZ547" s="1" t="e">
        <f ca="1">_xll.BDH($C$528,"SHORT_TERM_DEBT_5_YEAR_GROWTH","FQ4 2017","FQ4 2017","Currency=INR","Period=FQ","BEST_FPERIOD_OVERRIDE=FQ","FILING_STATUS=OR","EQY_CONSOLIDATED=Y","Sort=A","Dates=H","DateFormat=P","Fill=—","Direction=H","UseDPDF=Y")</f>
        <v>#NAME?</v>
      </c>
      <c r="BA547" s="1" t="e">
        <f ca="1">_xll.BDH($C$528,"TOTAL_DEBT_5_YEAR_GROWTH","FQ4 2017","FQ4 2017","Currency=INR","Period=FQ","BEST_FPERIOD_OVERRIDE=FQ","FILING_STATUS=OR","EQY_CONSOLIDATED=Y","Sort=A","Dates=H","DateFormat=P","Fill=—","Direction=H","UseDPDF=Y")</f>
        <v>#NAME?</v>
      </c>
      <c r="BB547" s="1" t="e">
        <f ca="1">_xll.BDH($C$528,"GEO_GROW_TOT_SHRHLDR_EQY","FQ4 2017","FQ4 2017","Currency=INR","Period=FQ","BEST_FPERIOD_OVERRIDE=FQ","FILING_STATUS=OR","EQY_CONSOLIDATED=Y","Sort=A","Dates=H","DateFormat=P","Fill=—","Direction=H","UseDPDF=Y")</f>
        <v>#NAME?</v>
      </c>
      <c r="BC547" s="1" t="e">
        <f ca="1">_xll.BDH($C$528,"TOTAL_CAPITAL_5_YEAR_GROWTH","FQ4 2017","FQ4 2017","Currency=INR","Period=FQ","BEST_FPERIOD_OVERRIDE=FQ","FILING_STATUS=OR","EQY_CONSOLIDATED=Y","Sort=A","Dates=H","DateFormat=P","Fill=—","Direction=H","UseDPDF=Y")</f>
        <v>#NAME?</v>
      </c>
      <c r="BD547" s="1" t="e">
        <f ca="1">_xll.BDH($C$528,"GEO_GROW_BOOK_VAL","FQ4 2017","FQ4 2017","Currency=INR","Period=FQ","BEST_FPERIOD_OVERRIDE=FQ","FILING_STATUS=OR","EQY_CONSOLIDATED=Y","Sort=A","Dates=H","DateFormat=P","Fill=—","Direction=H","UseDPDF=Y")</f>
        <v>#NAME?</v>
      </c>
      <c r="BE547" s="1" t="e">
        <f ca="1">_xll.BDH($C$528,"GEO_GROW_CASH_OPER_ACT","FQ4 2017","FQ4 2017","Currency=INR","Period=FQ","BEST_FPERIOD_OVERRIDE=FQ","FILING_STATUS=OR","EQY_CONSOLIDATED=Y","Sort=A","Dates=H","DateFormat=P","Fill=—","Direction=H","UseDPDF=Y")</f>
        <v>#NAME?</v>
      </c>
      <c r="BF547" s="1" t="e">
        <f ca="1">_xll.BDH($C$528,"REVENUE_SEQUENTIAL_GROWTH","FQ4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47" s="1" t="e">
        <f ca="1">_xll.BDH($C$528,"EBITDA_SEQUENTIAL_GROWTH","FQ4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47" s="1" t="e">
        <f ca="1">_xll.BDH($C$528,"OPERATING_INCOME_SEQ_GROWTH","FQ4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47" s="1" t="e">
        <f ca="1">_xll.BDH($C$528,"NET_INCOME_TO_COMMON_SEQ_GROWTH","FQ4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47" s="1" t="e">
        <f ca="1">_xll.BDH($C$528,"EPS_DILUTED_SEQUENTIAL_GROWTH","FQ4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47" s="1" t="e">
        <f ca="1">_xll.BDH($C$528,"DPS_SEQUENTIAL_GROWTH","FQ4 2017","FQ4 2017","Currency=INR","Period=FQ","BEST_FPERIOD_OVERRIDE=FQ","FILING_STATUS=OR","EQY_CONSOLIDATED=Y","Sort=A","Dates=H","DateFormat=P","Fill=—","Direction=H","UseDPDF=Y")</f>
        <v>#NAME?</v>
      </c>
      <c r="BL547" s="1" t="e">
        <f ca="1">_xll.BDH($C$528,"ACCOUNTS_RECEIVABLE_SEQ_GROWTH","FQ4 2017","FQ4 2017","Currency=INR","Period=FQ","BEST_FPERIOD_OVERRIDE=FQ","FILING_STATUS=OR","EQY_CONSOLIDATED=Y","Sort=A","Dates=H","DateFormat=P","Fill=—","Direction=H","UseDPDF=Y")</f>
        <v>#NAME?</v>
      </c>
      <c r="BM547" s="1" t="e">
        <f ca="1">_xll.BDH($C$528,"INVENTORY_SEQUENTIAL_GROWTH","FQ4 2017","FQ4 2017","Currency=INR","Period=FQ","BEST_FPERIOD_OVERRIDE=FQ","FILING_STATUS=OR","EQY_CONSOLIDATED=Y","Sort=A","Dates=H","DateFormat=P","Fill=—","Direction=H","UseDPDF=Y")</f>
        <v>#NAME?</v>
      </c>
      <c r="BN547" s="1" t="e">
        <f ca="1">_xll.BDH($C$528,"FIXED_ASSETS_SEQUENTIAL_GROWTH","FQ4 2017","FQ4 2017","Currency=INR","Period=FQ","BEST_FPERIOD_OVERRIDE=FQ","FILING_STATUS=OR","EQY_CONSOLIDATED=Y","Sort=A","Dates=H","DateFormat=P","Fill=—","Direction=H","UseDPDF=Y")</f>
        <v>#NAME?</v>
      </c>
      <c r="BO547" s="1" t="e">
        <f ca="1">_xll.BDH($C$528,"TOTAL_ASSETS_SEQUENTIAL_GROWTH","FQ4 2017","FQ4 2017","Currency=INR","Period=FQ","BEST_FPERIOD_OVERRIDE=FQ","FILING_STATUS=OR","EQY_CONSOLIDATED=Y","Sort=A","Dates=H","DateFormat=P","Fill=—","Direction=H","UseDPDF=Y")</f>
        <v>#NAME?</v>
      </c>
      <c r="BP547" s="1" t="e">
        <f ca="1">_xll.BDH($C$528,"MODIFIED_WORKING_CPTL_SEQ_GRWTH","FQ4 2017","FQ4 2017","Currency=INR","Period=FQ","BEST_FPERIOD_OVERRIDE=FQ","FILING_STATUS=OR","EQY_CONSOLIDATED=Y","Sort=A","Dates=H","DateFormat=P","Fill=—","Direction=H","UseDPDF=Y")</f>
        <v>#NAME?</v>
      </c>
      <c r="BQ547" s="1" t="e">
        <f ca="1">_xll.BDH($C$528,"WORKING_CAPITAL_SEQ_GROWTH","FQ4 2017","FQ4 2017","Currency=INR","Period=FQ","BEST_FPERIOD_OVERRIDE=FQ","FILING_STATUS=OR","EQY_CONSOLIDATED=Y","Sort=A","Dates=H","DateFormat=P","Fill=—","Direction=H","UseDPDF=Y")</f>
        <v>#NAME?</v>
      </c>
      <c r="BR547" s="1" t="e">
        <f ca="1">_xll.BDH($C$528,"ACCOUNTS_PAYABLE_SEQ_GROWTH","FQ4 2017","FQ4 2017","Currency=INR","Period=FQ","BEST_FPERIOD_OVERRIDE=FQ","FILING_STATUS=OR","EQY_CONSOLIDATED=Y","Sort=A","Dates=H","DateFormat=P","Fill=—","Direction=H","UseDPDF=Y")</f>
        <v>#NAME?</v>
      </c>
      <c r="BS547" s="1" t="e">
        <f ca="1">_xll.BDH($C$528,"ST_DEBT_SEQUENTIAL_GROWTH","FQ4 2017","FQ4 2017","Currency=INR","Period=FQ","BEST_FPERIOD_OVERRIDE=FQ","FILING_STATUS=OR","EQY_CONSOLIDATED=Y","Sort=A","Dates=H","DateFormat=P","Fill=—","Direction=H","UseDPDF=Y")</f>
        <v>#NAME?</v>
      </c>
      <c r="BT547" s="1" t="e">
        <f ca="1">_xll.BDH($C$528,"TOTAL_DEBT_SEQUENTIAL_GROWTH","FQ4 2017","FQ4 2017","Currency=INR","Period=FQ","BEST_FPERIOD_OVERRIDE=FQ","FILING_STATUS=OR","EQY_CONSOLIDATED=Y","Sort=A","Dates=H","DateFormat=P","Fill=—","Direction=H","UseDPDF=Y")</f>
        <v>#NAME?</v>
      </c>
      <c r="BU547" s="1" t="e">
        <f ca="1">_xll.BDH($C$528,"TOTAL_EQUITY_SEQUENTIAL_GROWTH","FQ4 2017","FQ4 2017","Currency=INR","Period=FQ","BEST_FPERIOD_OVERRIDE=FQ","FILING_STATUS=OR","EQY_CONSOLIDATED=Y","Sort=A","Dates=H","DateFormat=P","Fill=—","Direction=H","UseDPDF=Y")</f>
        <v>#NAME?</v>
      </c>
      <c r="BV547" s="1" t="e">
        <f ca="1">_xll.BDH($C$528,"TOTAL_CAPITAL_SEQUENTIAL_GROWTH","FQ4 2017","FQ4 2017","Currency=INR","Period=FQ","BEST_FPERIOD_OVERRIDE=FQ","FILING_STATUS=OR","EQY_CONSOLIDATED=Y","Sort=A","Dates=H","DateFormat=P","Fill=—","Direction=H","UseDPDF=Y")</f>
        <v>#NAME?</v>
      </c>
      <c r="BW547" s="1" t="e">
        <f ca="1">_xll.BDH($C$528,"BPS_SEQUENTIAL_GROWTH","FQ4 2017","FQ4 2017","Currency=INR","Period=FQ","BEST_FPERIOD_OVERRIDE=FQ","FILING_STATUS=OR","EQY_CONSOLIDATED=Y","Sort=A","Dates=H","DateFormat=P","Fill=—","Direction=H","UseDPDF=Y")</f>
        <v>#NAME?</v>
      </c>
      <c r="BX547" s="1" t="e">
        <f ca="1">_xll.BDH($C$528,"CFO_SEQUENTIAL_GROWTH","FQ4 2017","FQ4 2017","Currency=INR","Period=FQ","BEST_FPERIOD_OVERRIDE=FQ","FILING_STATUS=OR","EQY_CONSOLIDATED=Y","Sort=A","Dates=H","DateFormat=P","Fill=—","Direction=H","UseDPDF=Y")</f>
        <v>#NAME?</v>
      </c>
      <c r="BY547" s="2" t="e">
        <f ca="1">_xll.BDH($C$528,"SHORT_AND_LONG_TERM_DEBT","FQ4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47" s="2" t="e">
        <f ca="1">_xll.BDH($C$528,"BS_ST_BORROW","FQ4 2017","FQ4 2017","Currency=INR","Period=FQ","BEST_FPERIOD_OVERRIDE=FQ","FILING_STATUS=OR","EQY_CONSOLIDATED=Y","SCALING_FORMAT=MLN","Sort=A","Dates=H","DateFormat=P","Fill=—","Direction=H","UseDPDF=Y")</f>
        <v>#NAME?</v>
      </c>
      <c r="CA547" s="2" t="e">
        <f ca="1">_xll.BDH($C$528,"BS_LT_BORROW","FQ4 2017","FQ4 2017","Currency=INR","Period=FQ","BEST_FPERIOD_OVERRIDE=FQ","FILING_STATUS=OR","EQY_CONSOLIDATED=Y","SCALING_FORMAT=MLN","Sort=A","Dates=H","DateFormat=P","Fill=—","Direction=H","UseDPDF=Y")</f>
        <v>#NAME?</v>
      </c>
      <c r="CB547" s="1" t="e">
        <f ca="1">_xll.BDH($C$528,"TOT_DEBT_TO_EBITDA","FQ4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47" s="1" t="e">
        <f ca="1">_xll.BDH($C$528,"NET_DEBT_TO_EBITDA","FQ4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47" s="1" t="e">
        <f ca="1">_xll.BDH($C$528,"TOTAL_DEBT_TO_EBIT","FQ4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47" s="1" t="e">
        <f ca="1">_xll.BDH($C$528,"NET_DEBT_TO_EBIT","FQ4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547" s="1" t="e">
        <f ca="1">_xll.BDH($C$528,"EBITDA_TO_INTEREST_EXPN","FQ4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47" s="1" t="e">
        <f ca="1">_xll.BDH($C$528,"COM_EQY_TO_TOT_ASSET","FQ4 2017","FQ4 2017","Currency=INR","Period=FQ","BEST_FPERIOD_OVERRIDE=FQ","FILING_STATUS=OR","EQY_CONSOLIDATED=Y","Sort=A","Dates=H","DateFormat=P","Fill=—","Direction=H","UseDPDF=Y")</f>
        <v>#NAME?</v>
      </c>
      <c r="CH547" s="1" t="e">
        <f ca="1">_xll.BDH($C$528,"LT_DEBT_TO_TOT_EQY","FQ4 2017","FQ4 2017","Currency=INR","Period=FQ","BEST_FPERIOD_OVERRIDE=FQ","FILING_STATUS=OR","EQY_CONSOLIDATED=Y","Sort=A","Dates=H","DateFormat=P","Fill=—","Direction=H","UseDPDF=Y")</f>
        <v>#NAME?</v>
      </c>
      <c r="CI547" s="1" t="e">
        <f ca="1">_xll.BDH($C$528,"LT_DEBT_TO_TOT_CAP","FQ4 2017","FQ4 2017","Currency=INR","Period=FQ","BEST_FPERIOD_OVERRIDE=FQ","FILING_STATUS=OR","EQY_CONSOLIDATED=Y","Sort=A","Dates=H","DateFormat=P","Fill=—","Direction=H","UseDPDF=Y")</f>
        <v>#NAME?</v>
      </c>
      <c r="CJ547" s="1" t="e">
        <f ca="1">_xll.BDH($C$528,"LT_DEBT_TO_TOT_ASSET","FQ4 2017","FQ4 2017","Currency=INR","Period=FQ","BEST_FPERIOD_OVERRIDE=FQ","FILING_STATUS=OR","EQY_CONSOLIDATED=Y","Sort=A","Dates=H","DateFormat=P","Fill=—","Direction=H","UseDPDF=Y")</f>
        <v>#NAME?</v>
      </c>
      <c r="CK547" s="1" t="e">
        <f ca="1">_xll.BDH($C$528,"TOT_DEBT_TO_TOT_EQY","FQ4 2017","FQ4 2017","Currency=INR","Period=FQ","BEST_FPERIOD_OVERRIDE=FQ","FILING_STATUS=OR","EQY_CONSOLIDATED=Y","Sort=A","Dates=H","DateFormat=P","Fill=—","Direction=H","UseDPDF=Y")</f>
        <v>#NAME?</v>
      </c>
      <c r="CL547" s="1" t="e">
        <f ca="1">_xll.BDH($C$528,"TOT_DEBT_TO_TOT_CAP","FQ4 2017","FQ4 2017","Currency=INR","Period=FQ","BEST_FPERIOD_OVERRIDE=FQ","FILING_STATUS=OR","EQY_CONSOLIDATED=Y","Sort=A","Dates=H","DateFormat=P","Fill=—","Direction=H","UseDPDF=Y")</f>
        <v>#NAME?</v>
      </c>
      <c r="CM547" s="1" t="e">
        <f ca="1">_xll.BDH($C$528,"TOT_DEBT_TO_TOT_ASSET","FQ4 2017","FQ4 2017","Currency=INR","Period=FQ","BEST_FPERIOD_OVERRIDE=FQ","FILING_STATUS=OR","EQY_CONSOLIDATED=Y","Sort=A","Dates=H","DateFormat=P","Fill=—","Direction=H","UseDPDF=Y")</f>
        <v>#NAME?</v>
      </c>
      <c r="CN547" s="1" t="e">
        <f ca="1">_xll.BDH($C$528,"NET_DEBT_TO_SHRHLDR_EQTY","FQ4 2017","FQ4 2017","Currency=INR","Period=FQ","BEST_FPERIOD_OVERRIDE=FQ","FILING_STATUS=OR","EQY_CONSOLIDATED=Y","Sort=A","Dates=H","DateFormat=P","Fill=—","Direction=H","UseDPDF=Y")</f>
        <v>#NAME?</v>
      </c>
      <c r="CO547" s="1" t="e">
        <f ca="1">_xll.BDH($C$528,"NET_DEBT_%_CAPITAL","FQ4 2017","FQ4 2017","Currency=INR","Period=FQ","BEST_FPERIOD_OVERRIDE=FQ","FILING_STATUS=OR","EQY_CONSOLIDATED=Y","Sort=A","Dates=H","DateFormat=P","Fill=—","Direction=H","UseDPDF=Y")</f>
        <v>#NAME?</v>
      </c>
      <c r="CP547" s="2" t="e">
        <f ca="1">_xll.BDH($C$528,"EBITDA","FQ4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47" s="2" t="e">
        <f ca="1">_xll.BDH($C$528,"EBITDA_AFTER_CAPEX","FQ4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47" s="2" t="e">
        <f ca="1">_xll.BDH($C$528,"IS_OPER_INC","FQ4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47" s="1" t="e">
        <f ca="1">_xll.BDH($C$528,"CASH_RATIO","FQ4 2017","FQ4 2017","Currency=INR","Period=FQ","BEST_FPERIOD_OVERRIDE=FQ","FILING_STATUS=OR","EQY_CONSOLIDATED=Y","Sort=A","Dates=H","DateFormat=P","Fill=—","Direction=H","UseDPDF=Y")</f>
        <v>#NAME?</v>
      </c>
      <c r="CT547" s="1" t="e">
        <f ca="1">_xll.BDH($C$528,"CUR_RATIO","FQ4 2017","FQ4 2017","Currency=INR","Period=FQ","BEST_FPERIOD_OVERRIDE=FQ","FILING_STATUS=OR","EQY_CONSOLIDATED=Y","Sort=A","Dates=H","DateFormat=P","Fill=—","Direction=H","UseDPDF=Y")</f>
        <v>#NAME?</v>
      </c>
      <c r="CU547" s="1" t="e">
        <f ca="1">_xll.BDH($C$528,"QUICK_RATIO","FQ4 2017","FQ4 2017","Currency=INR","Period=FQ","BEST_FPERIOD_OVERRIDE=FQ","FILING_STATUS=OR","EQY_CONSOLIDATED=Y","Sort=A","Dates=H","DateFormat=P","Fill=—","Direction=H","UseDPDF=Y")</f>
        <v>#NAME?</v>
      </c>
      <c r="CV547" s="1" t="e">
        <f ca="1">_xll.BDH($C$528,"ALTMAN_Z_SCORE","FQ4 2017","FQ4 2017","Currency=INR","Period=FQ","BEST_FPERIOD_OVERRIDE=FQ","FILING_STATUS=OR","EQY_CONSOLIDATED=Y","Sort=A","Dates=H","DateFormat=P","Fill=—","Direction=H","UseDPDF=Y")</f>
        <v>#NAME?</v>
      </c>
      <c r="CW547" s="3" t="e">
        <f ca="1">_xll.BDH($C$528,"ACCT_RCV_TURN","FQ4 2017","FQ4 2017","Currency=INR","Period=FQ","BEST_FPERIOD_OVERRIDE=FQ","FILING_STATUS=OR","EQY_CONSOLIDATED=Y","FA_ADJUSTED=GAAP","Sort=A","Dates=H","DateFormat=P","Fill=—","Direction=H","UseDPDF=Y")</f>
        <v>#NAME?</v>
      </c>
      <c r="CX547" s="1" t="e">
        <f ca="1">_xll.BDH($C$528,"ACCT_RCV_DAYS","FQ4 2017","FQ4 2017","Currency=INR","Period=FQ","BEST_FPERIOD_OVERRIDE=FQ","FILING_STATUS=OR","EQY_CONSOLIDATED=Y","FA_ADJUSTED=GAAP","Sort=A","Dates=H","DateFormat=P","Fill=—","Direction=H","UseDPDF=Y")</f>
        <v>#NAME?</v>
      </c>
      <c r="CY547" s="3" t="e">
        <f ca="1">_xll.BDH($C$528,"INVENT_TURN","FQ4 2017","FQ4 2017","Currency=INR","Period=FQ","BEST_FPERIOD_OVERRIDE=FQ","FILING_STATUS=OR","EQY_CONSOLIDATED=Y","FA_ADJUSTED=GAAP","Sort=A","Dates=H","DateFormat=P","Fill=—","Direction=H","UseDPDF=Y")</f>
        <v>#NAME?</v>
      </c>
      <c r="CZ547" s="1" t="e">
        <f ca="1">_xll.BDH($C$528,"INVENT_DAYS","FQ4 2017","FQ4 2017","Currency=INR","Period=FQ","BEST_FPERIOD_OVERRIDE=FQ","FILING_STATUS=OR","EQY_CONSOLIDATED=Y","FA_ADJUSTED=GAAP","Sort=A","Dates=H","DateFormat=P","Fill=—","Direction=H","UseDPDF=Y")</f>
        <v>#NAME?</v>
      </c>
      <c r="DA547" s="3" t="e">
        <f ca="1">_xll.BDH($C$528,"ACCOUNTS_PAYABLE_TURNOVER","FQ4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47" s="1" t="e">
        <f ca="1">_xll.BDH($C$528,"ACCOUNTS_PAYABLE_TURNOVER_DAYS","FQ4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47" s="3" t="e">
        <f ca="1">_xll.BDH($C$528,"CASH_CONVERSION_CYCLE","FQ4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47" s="3" t="e">
        <f ca="1">_xll.BDH($C$528,"INV_TO_CASH_DAYS","FQ4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547" s="4" t="e">
        <f ca="1">_xll.BDH($C$528,"BS_INVENTORIES","FQ4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547" s="2" t="e">
        <f ca="1">_xll.BDH($C$528,"INVTRY_RAW_MATERIALS","FQ4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47" s="2" t="e">
        <f ca="1">_xll.BDH($C$528,"INVTRY_IN_PROGRESS","FQ4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47" s="2" t="e">
        <f ca="1">_xll.BDH($C$528,"INVTRY_FINISHED_GOODS","FQ4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47" s="2" t="e">
        <f ca="1">_xll.BDH($C$528,"BS_OTHER_INV","FQ4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48" spans="1:113" x14ac:dyDescent="0.3">
      <c r="A548" s="6"/>
      <c r="B548" s="6"/>
      <c r="C548" s="6"/>
      <c r="D548" s="6" t="s">
        <v>11</v>
      </c>
      <c r="E548" t="s">
        <v>3</v>
      </c>
      <c r="F548" t="e">
        <f ca="1">_xll.BDH($C$528,"RETURN_COM_EQY","FY 2018","FY 2018","Currency=INR","Period=FY","BEST_FPERIOD_OVERRIDE=FY","FILING_STATUS=OR","EQY_CONSOLIDATED=Y","FA_ADJUSTED=GAAP","Sort=A","Dates=H","DateFormat=P","Fill=—","Direction=H","UseDPDF=Y")</f>
        <v>#NAME?</v>
      </c>
      <c r="G548" t="e">
        <f ca="1">_xll.BDH($C$528,"RETURN_ON_ASSET","FY 2018","FY 2018","Currency=INR","Period=FY","BEST_FPERIOD_OVERRIDE=FY","FILING_STATUS=OR","EQY_CONSOLIDATED=Y","FA_ADJUSTED=GAAP","Sort=A","Dates=H","DateFormat=P","Fill=—","Direction=H","UseDPDF=Y")</f>
        <v>#NAME?</v>
      </c>
      <c r="H548" t="e">
        <f ca="1">_xll.BDH($C$528,"RETURN_ON_CAP","FY 2018","FY 2018","Currency=INR","Period=FY","BEST_FPERIOD_OVERRIDE=FY","FILING_STATUS=OR","EQY_CONSOLIDATED=Y","FA_ADJUSTED=GAAP","Sort=A","Dates=H","DateFormat=P","Fill=—","Direction=H","UseDPDF=Y")</f>
        <v>#NAME?</v>
      </c>
      <c r="I548" t="e">
        <f ca="1">_xll.BDH($C$528,"RETURN_ON_INV_CAPITAL","FY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48" t="e">
        <f ca="1">_xll.BDH($C$528,"EBITDA_TO_REVENUE","FY 2018","FY 2018","Currency=INR","Period=FY","BEST_FPERIOD_OVERRIDE=FY","FILING_STATUS=OR","EQY_CONSOLIDATED=Y","FA_ADJUSTED=GAAP","Sort=A","Dates=H","DateFormat=P","Fill=—","Direction=H","UseDPDF=Y")</f>
        <v>#NAME?</v>
      </c>
      <c r="K548" t="e">
        <f ca="1">_xll.BDH($C$528,"OPER_MARGIN","FY 2018","FY 2018","Currency=INR","Period=FY","BEST_FPERIOD_OVERRIDE=FY","FILING_STATUS=OR","EQY_CONSOLIDATED=Y","FA_ADJUSTED=GAAP","Sort=A","Dates=H","DateFormat=P","Fill=—","Direction=H","UseDPDF=Y")</f>
        <v>#NAME?</v>
      </c>
      <c r="L548" t="e">
        <f ca="1">_xll.BDH($C$528,"INCREMENTAL_OPERATING_MARGIN","FY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48" t="e">
        <f ca="1">_xll.BDH($C$528,"PRETAX_INC_TO_NET_SALES","FY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48" t="e">
        <f ca="1">_xll.BDH($C$528,"INC_BEF_XO_ITEMS_TO_NET_SALES","FY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48" t="e">
        <f ca="1">_xll.BDH($C$528,"PROF_MARGIN","FY 2018","FY 2018","Currency=INR","Period=FY","BEST_FPERIOD_OVERRIDE=FY","FILING_STATUS=OR","EQY_CONSOLIDATED=Y","FA_ADJUSTED=GAAP","Sort=A","Dates=H","DateFormat=P","Fill=—","Direction=H","UseDPDF=Y")</f>
        <v>#NAME?</v>
      </c>
      <c r="P548" t="e">
        <f ca="1">_xll.BDH($C$528,"NET_INCOME_TO_COMMON_MARGIN","FY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48" t="e">
        <f ca="1">_xll.BDH($C$528,"EFF_TAX_RATE","FY 2018","FY 2018","Currency=INR","Period=FY","BEST_FPERIOD_OVERRIDE=FY","FILING_STATUS=OR","EQY_CONSOLIDATED=Y","FA_ADJUSTED=GAAP","Sort=A","Dates=H","DateFormat=P","Fill=—","Direction=H","UseDPDF=Y")</f>
        <v>#NAME?</v>
      </c>
      <c r="R548" t="e">
        <f ca="1">_xll.BDH($C$528,"DVD_PAYOUT_RATIO","FY 2018","FY 2018","Currency=INR","Period=FY","BEST_FPERIOD_OVERRIDE=FY","FILING_STATUS=OR","EQY_CONSOLIDATED=Y","FA_ADJUSTED=GAAP","Sort=A","Dates=H","DateFormat=P","Fill=—","Direction=H","UseDPDF=Y")</f>
        <v>#NAME?</v>
      </c>
      <c r="S548" t="e">
        <f ca="1">_xll.BDH($C$528,"SUSTAIN_GROWTH_RT","FY 2018","FY 2018","Currency=INR","Period=FY","BEST_FPERIOD_OVERRIDE=FY","FILING_STATUS=OR","EQY_CONSOLIDATED=Y","FA_ADJUSTED=GAAP","Sort=A","Dates=H","DateFormat=P","Fill=—","Direction=H","UseDPDF=Y")</f>
        <v>#NAME?</v>
      </c>
      <c r="T548" s="1" t="e">
        <f ca="1">_xll.BDH($C$528,"SALES_GROWTH","FY 2018","FY 2018","Currency=INR","Period=FY","BEST_FPERIOD_OVERRIDE=FY","FILING_STATUS=OR","EQY_CONSOLIDATED=Y","FA_ADJUSTED=GAAP","Sort=A","Dates=H","DateFormat=P","Fill=—","Direction=H","UseDPDF=Y")</f>
        <v>#NAME?</v>
      </c>
      <c r="U548" s="1" t="e">
        <f ca="1">_xll.BDH($C$528,"EBITDA_GROWTH","FY 2018","FY 2018","Currency=INR","Period=FY","BEST_FPERIOD_OVERRIDE=FY","FILING_STATUS=OR","EQY_CONSOLIDATED=Y","FA_ADJUSTED=GAAP","Sort=A","Dates=H","DateFormat=P","Fill=—","Direction=H","UseDPDF=Y")</f>
        <v>#NAME?</v>
      </c>
      <c r="V548" s="1" t="e">
        <f ca="1">_xll.BDH($C$528,"OPER_INC_GROWTH","FY 2018","FY 2018","Currency=INR","Period=FY","BEST_FPERIOD_OVERRIDE=FY","FILING_STATUS=OR","EQY_CONSOLIDATED=Y","FA_ADJUSTED=GAAP","Sort=A","Dates=H","DateFormat=P","Fill=—","Direction=H","UseDPDF=Y")</f>
        <v>#NAME?</v>
      </c>
      <c r="W548" s="1" t="e">
        <f ca="1">_xll.BDH($C$528,"EARN_FOR_COM_GROWTH","FY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548" s="1" t="e">
        <f ca="1">_xll.BDH($C$528,"DILUTED_EPS_AFT_XO_ITEMS_GROWTH","FY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48" s="1" t="e">
        <f ca="1">_xll.BDH($C$528,"DIVIDEND_PER_SHARE_1_YEAR_GROWTH","FY 2018","FY 2018","Currency=INR","Period=FY","BEST_FPERIOD_OVERRIDE=FY","FILING_STATUS=OR","EQY_CONSOLIDATED=Y","Sort=A","Dates=H","DateFormat=P","Fill=—","Direction=H","UseDPDF=Y")</f>
        <v>#NAME?</v>
      </c>
      <c r="Z548" s="1" t="e">
        <f ca="1">_xll.BDH($C$528,"ACCOUNTS_RECEIVABLE_GROWTH","FY 2018","FY 2018","Currency=INR","Period=FY","BEST_FPERIOD_OVERRIDE=FY","FILING_STATUS=OR","EQY_CONSOLIDATED=Y","Sort=A","Dates=H","DateFormat=P","Fill=—","Direction=H","UseDPDF=Y")</f>
        <v>#NAME?</v>
      </c>
      <c r="AA548" s="1" t="e">
        <f ca="1">_xll.BDH($C$528,"INVENTORY_GROWTH","FY 2018","FY 2018","Currency=INR","Period=FY","BEST_FPERIOD_OVERRIDE=FY","FILING_STATUS=OR","EQY_CONSOLIDATED=Y","Sort=A","Dates=H","DateFormat=P","Fill=—","Direction=H","UseDPDF=Y")</f>
        <v>#NAME?</v>
      </c>
      <c r="AB548" s="1" t="e">
        <f ca="1">_xll.BDH($C$528,"NET_FIXED_ASSETS_1_YEAR_GROWTH","FY 2018","FY 2018","Currency=INR","Period=FY","BEST_FPERIOD_OVERRIDE=FY","FILING_STATUS=OR","EQY_CONSOLIDATED=Y","Sort=A","Dates=H","DateFormat=P","Fill=—","Direction=H","UseDPDF=Y")</f>
        <v>#NAME?</v>
      </c>
      <c r="AC548" s="1" t="e">
        <f ca="1">_xll.BDH($C$528,"ASSET_GROWTH","FY 2018","FY 2018","Currency=INR","Period=FY","BEST_FPERIOD_OVERRIDE=FY","FILING_STATUS=OR","EQY_CONSOLIDATED=Y","Sort=A","Dates=H","DateFormat=P","Fill=—","Direction=H","UseDPDF=Y")</f>
        <v>#NAME?</v>
      </c>
      <c r="AD548" s="1" t="e">
        <f ca="1">_xll.BDH($C$528,"MODIFIED_WORK_CAP_GROWTH","FY 2018","FY 2018","Currency=INR","Period=FY","BEST_FPERIOD_OVERRIDE=FY","FILING_STATUS=OR","EQY_CONSOLIDATED=Y","Sort=A","Dates=H","DateFormat=P","Fill=—","Direction=H","UseDPDF=Y")</f>
        <v>#NAME?</v>
      </c>
      <c r="AE548" s="1" t="e">
        <f ca="1">_xll.BDH($C$528,"WORK_CAP_GROWTH","FY 2018","FY 2018","Currency=INR","Period=FY","BEST_FPERIOD_OVERRIDE=FY","FILING_STATUS=OR","EQY_CONSOLIDATED=Y","Sort=A","Dates=H","DateFormat=P","Fill=—","Direction=H","UseDPDF=Y")</f>
        <v>#NAME?</v>
      </c>
      <c r="AF548" s="1" t="e">
        <f ca="1">_xll.BDH($C$528,"ACCOUNTS_PAYABLE_GROWTH_1YR","FY 2018","FY 2018","Currency=INR","Period=FY","BEST_FPERIOD_OVERRIDE=FY","FILING_STATUS=OR","EQY_CONSOLIDATED=Y","Sort=A","Dates=H","DateFormat=P","Fill=—","Direction=H","UseDPDF=Y")</f>
        <v>#NAME?</v>
      </c>
      <c r="AG548" s="1" t="e">
        <f ca="1">_xll.BDH($C$528,"SHORT_TERM_DEBT_1_YEAR_GROWTH","FY 2018","FY 2018","Currency=INR","Period=FY","BEST_FPERIOD_OVERRIDE=FY","FILING_STATUS=OR","EQY_CONSOLIDATED=Y","Sort=A","Dates=H","DateFormat=P","Fill=—","Direction=H","UseDPDF=Y")</f>
        <v>#NAME?</v>
      </c>
      <c r="AH548" s="1" t="e">
        <f ca="1">_xll.BDH($C$528,"TOTAL_DEBT_1_YEAR_GROWTH","FY 2018","FY 2018","Currency=INR","Period=FY","BEST_FPERIOD_OVERRIDE=FY","FILING_STATUS=OR","EQY_CONSOLIDATED=Y","Sort=A","Dates=H","DateFormat=P","Fill=—","Direction=H","UseDPDF=Y")</f>
        <v>#NAME?</v>
      </c>
      <c r="AI548" s="1" t="e">
        <f ca="1">_xll.BDH($C$528,"TOTAL_EQUITY_1_YEAR_GROWTH","FY 2018","FY 2018","Currency=INR","Period=FY","BEST_FPERIOD_OVERRIDE=FY","FILING_STATUS=OR","EQY_CONSOLIDATED=Y","Sort=A","Dates=H","DateFormat=P","Fill=—","Direction=H","UseDPDF=Y")</f>
        <v>#NAME?</v>
      </c>
      <c r="AJ548" s="1" t="e">
        <f ca="1">_xll.BDH($C$528,"GROWTH_IN_CAP","FY 2018","FY 2018","Currency=INR","Period=FY","BEST_FPERIOD_OVERRIDE=FY","FILING_STATUS=OR","EQY_CONSOLIDATED=Y","Sort=A","Dates=H","DateFormat=P","Fill=—","Direction=H","UseDPDF=Y")</f>
        <v>#NAME?</v>
      </c>
      <c r="AK548" s="1" t="e">
        <f ca="1">_xll.BDH($C$528,"BVPS_GROWTH","FY 2018","FY 2018","Currency=INR","Period=FY","BEST_FPERIOD_OVERRIDE=FY","FILING_STATUS=OR","EQY_CONSOLIDATED=Y","Sort=A","Dates=H","DateFormat=P","Fill=—","Direction=H","UseDPDF=Y")</f>
        <v>#NAME?</v>
      </c>
      <c r="AL548" s="1" t="e">
        <f ca="1">_xll.BDH($C$528,"CASH_FLOW_GROWTH","FY 2018","FY 2018","Currency=INR","Period=FY","BEST_FPERIOD_OVERRIDE=FY","FILING_STATUS=OR","EQY_CONSOLIDATED=Y","Sort=A","Dates=H","DateFormat=P","Fill=—","Direction=H","UseDPDF=Y")</f>
        <v>#NAME?</v>
      </c>
      <c r="AM548" s="1" t="e">
        <f ca="1">_xll.BDH($C$528,"GEO_GROW_NET_SALES","FY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548" s="1" t="e">
        <f ca="1">_xll.BDH($C$528,"GEO_GROW_EBITDA","FY 2018","FY 2018","Currency=INR","Period=FY","BEST_FPERIOD_OVERRIDE=FY","FILING_STATUS=OR","EQY_CONSOLIDATED=Y","FA_ADJUSTED=GAAP","Sort=A","Dates=H","DateFormat=P","Fill=—","Direction=H","UseDPDF=Y")</f>
        <v>#NAME?</v>
      </c>
      <c r="AO548" s="1" t="e">
        <f ca="1">_xll.BDH($C$528,"GEO_GROW_OPER_INC","FY 2018","FY 2018","Currency=INR","Period=FY","BEST_FPERIOD_OVERRIDE=FY","FILING_STATUS=OR","EQY_CONSOLIDATED=Y","FA_ADJUSTED=GAAP","Sort=A","Dates=H","DateFormat=P","Fill=—","Direction=H","UseDPDF=Y")</f>
        <v>#NAME?</v>
      </c>
      <c r="AP548" s="1" t="e">
        <f ca="1">_xll.BDH($C$528,"NET_INCOME_TO_COMMON_5_YR_GROWTH","FY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48" s="1" t="e">
        <f ca="1">_xll.BDH($C$528,"5Y_GEO_GROWTH_DILUTED_EPS","FY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48" s="1" t="e">
        <f ca="1">_xll.BDH($C$528,"GEO_GROW_DVD_PER_SH","FY 2018","FY 2018","Currency=INR","Period=FY","BEST_FPERIOD_OVERRIDE=FY","FILING_STATUS=OR","EQY_CONSOLIDATED=Y","Sort=A","Dates=H","DateFormat=P","Fill=—","Direction=H","UseDPDF=Y")</f>
        <v>#NAME?</v>
      </c>
      <c r="AS548" s="1" t="e">
        <f ca="1">_xll.BDH($C$528,"ACCOUNTS_RECEIVABLE_5_YR_GROWTH","FY 2018","FY 2018","Currency=INR","Period=FY","BEST_FPERIOD_OVERRIDE=FY","FILING_STATUS=OR","EQY_CONSOLIDATED=Y","Sort=A","Dates=H","DateFormat=P","Fill=—","Direction=H","UseDPDF=Y")</f>
        <v>#NAME?</v>
      </c>
      <c r="AT548" s="1" t="e">
        <f ca="1">_xll.BDH($C$528,"INVENTORY_5_YEAR_GROWTH","FY 2018","FY 2018","Currency=INR","Period=FY","BEST_FPERIOD_OVERRIDE=FY","FILING_STATUS=OR","EQY_CONSOLIDATED=Y","Sort=A","Dates=H","DateFormat=P","Fill=—","Direction=H","UseDPDF=Y")</f>
        <v>#NAME?</v>
      </c>
      <c r="AU548" s="1" t="e">
        <f ca="1">_xll.BDH($C$528,"NET_FIXED_ASSETS_5_YEAR_GROWTH","FY 2018","FY 2018","Currency=INR","Period=FY","BEST_FPERIOD_OVERRIDE=FY","FILING_STATUS=OR","EQY_CONSOLIDATED=Y","Sort=A","Dates=H","DateFormat=P","Fill=—","Direction=H","UseDPDF=Y")</f>
        <v>#NAME?</v>
      </c>
      <c r="AV548" s="1" t="e">
        <f ca="1">_xll.BDH($C$528,"GEO_GROW_TOT_ASSET","FY 2018","FY 2018","Currency=INR","Period=FY","BEST_FPERIOD_OVERRIDE=FY","FILING_STATUS=OR","EQY_CONSOLIDATED=Y","Sort=A","Dates=H","DateFormat=P","Fill=—","Direction=H","UseDPDF=Y")</f>
        <v>#NAME?</v>
      </c>
      <c r="AW548" s="1" t="e">
        <f ca="1">_xll.BDH($C$528,"MODIFIED_WORKING_CPTL_5YR_GRWTH","FY 2018","FY 2018","Currency=INR","Period=FY","BEST_FPERIOD_OVERRIDE=FY","FILING_STATUS=OR","EQY_CONSOLIDATED=Y","Sort=A","Dates=H","DateFormat=P","Fill=—","Direction=H","UseDPDF=Y")</f>
        <v>#NAME?</v>
      </c>
      <c r="AX548" s="1" t="e">
        <f ca="1">_xll.BDH($C$528,"WORKING_CAPITAL_5_YEAR_GROWTH","FY 2018","FY 2018","Currency=INR","Period=FY","BEST_FPERIOD_OVERRIDE=FY","FILING_STATUS=OR","EQY_CONSOLIDATED=Y","Sort=A","Dates=H","DateFormat=P","Fill=—","Direction=H","UseDPDF=Y")</f>
        <v>#NAME?</v>
      </c>
      <c r="AY548" s="1" t="e">
        <f ca="1">_xll.BDH($C$528,"ACCOUNTS_PAYABLE_5_YEAR_GROWTH","FY 2018","FY 2018","Currency=INR","Period=FY","BEST_FPERIOD_OVERRIDE=FY","FILING_STATUS=OR","EQY_CONSOLIDATED=Y","Sort=A","Dates=H","DateFormat=P","Fill=—","Direction=H","UseDPDF=Y")</f>
        <v>#NAME?</v>
      </c>
      <c r="AZ548" s="1" t="e">
        <f ca="1">_xll.BDH($C$528,"SHORT_TERM_DEBT_5_YEAR_GROWTH","FY 2018","FY 2018","Currency=INR","Period=FY","BEST_FPERIOD_OVERRIDE=FY","FILING_STATUS=OR","EQY_CONSOLIDATED=Y","Sort=A","Dates=H","DateFormat=P","Fill=—","Direction=H","UseDPDF=Y")</f>
        <v>#NAME?</v>
      </c>
      <c r="BA548" s="1" t="e">
        <f ca="1">_xll.BDH($C$528,"TOTAL_DEBT_5_YEAR_GROWTH","FY 2018","FY 2018","Currency=INR","Period=FY","BEST_FPERIOD_OVERRIDE=FY","FILING_STATUS=OR","EQY_CONSOLIDATED=Y","Sort=A","Dates=H","DateFormat=P","Fill=—","Direction=H","UseDPDF=Y")</f>
        <v>#NAME?</v>
      </c>
      <c r="BB548" s="1" t="e">
        <f ca="1">_xll.BDH($C$528,"GEO_GROW_TOT_SHRHLDR_EQY","FY 2018","FY 2018","Currency=INR","Period=FY","BEST_FPERIOD_OVERRIDE=FY","FILING_STATUS=OR","EQY_CONSOLIDATED=Y","Sort=A","Dates=H","DateFormat=P","Fill=—","Direction=H","UseDPDF=Y")</f>
        <v>#NAME?</v>
      </c>
      <c r="BC548" s="1" t="e">
        <f ca="1">_xll.BDH($C$528,"TOTAL_CAPITAL_5_YEAR_GROWTH","FY 2018","FY 2018","Currency=INR","Period=FY","BEST_FPERIOD_OVERRIDE=FY","FILING_STATUS=OR","EQY_CONSOLIDATED=Y","Sort=A","Dates=H","DateFormat=P","Fill=—","Direction=H","UseDPDF=Y")</f>
        <v>#NAME?</v>
      </c>
      <c r="BD548" s="1" t="e">
        <f ca="1">_xll.BDH($C$528,"GEO_GROW_BOOK_VAL","FY 2018","FY 2018","Currency=INR","Period=FY","BEST_FPERIOD_OVERRIDE=FY","FILING_STATUS=OR","EQY_CONSOLIDATED=Y","Sort=A","Dates=H","DateFormat=P","Fill=—","Direction=H","UseDPDF=Y")</f>
        <v>#NAME?</v>
      </c>
      <c r="BE548" s="1" t="e">
        <f ca="1">_xll.BDH($C$528,"GEO_GROW_CASH_OPER_ACT","FY 2018","FY 2018","Currency=INR","Period=FY","BEST_FPERIOD_OVERRIDE=FY","FILING_STATUS=OR","EQY_CONSOLIDATED=Y","Sort=A","Dates=H","DateFormat=P","Fill=—","Direction=H","UseDPDF=Y")</f>
        <v>#NAME?</v>
      </c>
      <c r="BF548" s="1" t="e">
        <f ca="1">_xll.BDH($C$528,"REVENUE_SEQUENTIAL_GROWTH","FY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48" s="1" t="e">
        <f ca="1">_xll.BDH($C$528,"EBITDA_SEQUENTIAL_GROWTH","FY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48" s="1" t="e">
        <f ca="1">_xll.BDH($C$528,"OPERATING_INCOME_SEQ_GROWTH","FY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48" s="1" t="e">
        <f ca="1">_xll.BDH($C$528,"NET_INCOME_TO_COMMON_SEQ_GROWTH","FY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48" s="1" t="e">
        <f ca="1">_xll.BDH($C$528,"EPS_DILUTED_SEQUENTIAL_GROWTH","FY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48" s="1" t="e">
        <f ca="1">_xll.BDH($C$528,"DPS_SEQUENTIAL_GROWTH","FY 2018","FY 2018","Currency=INR","Period=FY","BEST_FPERIOD_OVERRIDE=FY","FILING_STATUS=OR","EQY_CONSOLIDATED=Y","Sort=A","Dates=H","DateFormat=P","Fill=—","Direction=H","UseDPDF=Y")</f>
        <v>#NAME?</v>
      </c>
      <c r="BL548" s="1" t="e">
        <f ca="1">_xll.BDH($C$528,"ACCOUNTS_RECEIVABLE_SEQ_GROWTH","FY 2018","FY 2018","Currency=INR","Period=FY","BEST_FPERIOD_OVERRIDE=FY","FILING_STATUS=OR","EQY_CONSOLIDATED=Y","Sort=A","Dates=H","DateFormat=P","Fill=—","Direction=H","UseDPDF=Y")</f>
        <v>#NAME?</v>
      </c>
      <c r="BM548" s="1" t="e">
        <f ca="1">_xll.BDH($C$528,"INVENTORY_SEQUENTIAL_GROWTH","FY 2018","FY 2018","Currency=INR","Period=FY","BEST_FPERIOD_OVERRIDE=FY","FILING_STATUS=OR","EQY_CONSOLIDATED=Y","Sort=A","Dates=H","DateFormat=P","Fill=—","Direction=H","UseDPDF=Y")</f>
        <v>#NAME?</v>
      </c>
      <c r="BN548" s="1" t="e">
        <f ca="1">_xll.BDH($C$528,"FIXED_ASSETS_SEQUENTIAL_GROWTH","FY 2018","FY 2018","Currency=INR","Period=FY","BEST_FPERIOD_OVERRIDE=FY","FILING_STATUS=OR","EQY_CONSOLIDATED=Y","Sort=A","Dates=H","DateFormat=P","Fill=—","Direction=H","UseDPDF=Y")</f>
        <v>#NAME?</v>
      </c>
      <c r="BO548" s="1" t="e">
        <f ca="1">_xll.BDH($C$528,"TOTAL_ASSETS_SEQUENTIAL_GROWTH","FY 2018","FY 2018","Currency=INR","Period=FY","BEST_FPERIOD_OVERRIDE=FY","FILING_STATUS=OR","EQY_CONSOLIDATED=Y","Sort=A","Dates=H","DateFormat=P","Fill=—","Direction=H","UseDPDF=Y")</f>
        <v>#NAME?</v>
      </c>
      <c r="BP548" s="1" t="e">
        <f ca="1">_xll.BDH($C$528,"MODIFIED_WORKING_CPTL_SEQ_GRWTH","FY 2018","FY 2018","Currency=INR","Period=FY","BEST_FPERIOD_OVERRIDE=FY","FILING_STATUS=OR","EQY_CONSOLIDATED=Y","Sort=A","Dates=H","DateFormat=P","Fill=—","Direction=H","UseDPDF=Y")</f>
        <v>#NAME?</v>
      </c>
      <c r="BQ548" s="1" t="e">
        <f ca="1">_xll.BDH($C$528,"WORKING_CAPITAL_SEQ_GROWTH","FY 2018","FY 2018","Currency=INR","Period=FY","BEST_FPERIOD_OVERRIDE=FY","FILING_STATUS=OR","EQY_CONSOLIDATED=Y","Sort=A","Dates=H","DateFormat=P","Fill=—","Direction=H","UseDPDF=Y")</f>
        <v>#NAME?</v>
      </c>
      <c r="BR548" s="1" t="e">
        <f ca="1">_xll.BDH($C$528,"ACCOUNTS_PAYABLE_SEQ_GROWTH","FY 2018","FY 2018","Currency=INR","Period=FY","BEST_FPERIOD_OVERRIDE=FY","FILING_STATUS=OR","EQY_CONSOLIDATED=Y","Sort=A","Dates=H","DateFormat=P","Fill=—","Direction=H","UseDPDF=Y")</f>
        <v>#NAME?</v>
      </c>
      <c r="BS548" s="1" t="e">
        <f ca="1">_xll.BDH($C$528,"ST_DEBT_SEQUENTIAL_GROWTH","FY 2018","FY 2018","Currency=INR","Period=FY","BEST_FPERIOD_OVERRIDE=FY","FILING_STATUS=OR","EQY_CONSOLIDATED=Y","Sort=A","Dates=H","DateFormat=P","Fill=—","Direction=H","UseDPDF=Y")</f>
        <v>#NAME?</v>
      </c>
      <c r="BT548" s="1" t="e">
        <f ca="1">_xll.BDH($C$528,"TOTAL_DEBT_SEQUENTIAL_GROWTH","FY 2018","FY 2018","Currency=INR","Period=FY","BEST_FPERIOD_OVERRIDE=FY","FILING_STATUS=OR","EQY_CONSOLIDATED=Y","Sort=A","Dates=H","DateFormat=P","Fill=—","Direction=H","UseDPDF=Y")</f>
        <v>#NAME?</v>
      </c>
      <c r="BU548" s="1" t="e">
        <f ca="1">_xll.BDH($C$528,"TOTAL_EQUITY_SEQUENTIAL_GROWTH","FY 2018","FY 2018","Currency=INR","Period=FY","BEST_FPERIOD_OVERRIDE=FY","FILING_STATUS=OR","EQY_CONSOLIDATED=Y","Sort=A","Dates=H","DateFormat=P","Fill=—","Direction=H","UseDPDF=Y")</f>
        <v>#NAME?</v>
      </c>
      <c r="BV548" s="1" t="e">
        <f ca="1">_xll.BDH($C$528,"TOTAL_CAPITAL_SEQUENTIAL_GROWTH","FY 2018","FY 2018","Currency=INR","Period=FY","BEST_FPERIOD_OVERRIDE=FY","FILING_STATUS=OR","EQY_CONSOLIDATED=Y","Sort=A","Dates=H","DateFormat=P","Fill=—","Direction=H","UseDPDF=Y")</f>
        <v>#NAME?</v>
      </c>
      <c r="BW548" s="1" t="e">
        <f ca="1">_xll.BDH($C$528,"BPS_SEQUENTIAL_GROWTH","FY 2018","FY 2018","Currency=INR","Period=FY","BEST_FPERIOD_OVERRIDE=FY","FILING_STATUS=OR","EQY_CONSOLIDATED=Y","Sort=A","Dates=H","DateFormat=P","Fill=—","Direction=H","UseDPDF=Y")</f>
        <v>#NAME?</v>
      </c>
      <c r="BX548" s="1" t="e">
        <f ca="1">_xll.BDH($C$528,"CFO_SEQUENTIAL_GROWTH","FY 2018","FY 2018","Currency=INR","Period=FY","BEST_FPERIOD_OVERRIDE=FY","FILING_STATUS=OR","EQY_CONSOLIDATED=Y","Sort=A","Dates=H","DateFormat=P","Fill=—","Direction=H","UseDPDF=Y")</f>
        <v>#NAME?</v>
      </c>
      <c r="BY548" s="2" t="e">
        <f ca="1">_xll.BDH($C$528,"SHORT_AND_LONG_TERM_DEBT","FY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48" s="2" t="e">
        <f ca="1">_xll.BDH($C$528,"BS_ST_BORROW","FY 2018","FY 2018","Currency=INR","Period=FY","BEST_FPERIOD_OVERRIDE=FY","FILING_STATUS=OR","EQY_CONSOLIDATED=Y","SCALING_FORMAT=MLN","Sort=A","Dates=H","DateFormat=P","Fill=—","Direction=H","UseDPDF=Y")</f>
        <v>#NAME?</v>
      </c>
      <c r="CA548" s="2" t="e">
        <f ca="1">_xll.BDH($C$528,"BS_LT_BORROW","FY 2018","FY 2018","Currency=INR","Period=FY","BEST_FPERIOD_OVERRIDE=FY","FILING_STATUS=OR","EQY_CONSOLIDATED=Y","SCALING_FORMAT=MLN","Sort=A","Dates=H","DateFormat=P","Fill=—","Direction=H","UseDPDF=Y")</f>
        <v>#NAME?</v>
      </c>
      <c r="CB548" s="1" t="e">
        <f ca="1">_xll.BDH($C$528,"TOT_DEBT_TO_EBITDA","FY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548" s="1" t="e">
        <f ca="1">_xll.BDH($C$528,"NET_DEBT_TO_EBITDA","FY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548" s="1" t="e">
        <f ca="1">_xll.BDH($C$528,"TOTAL_DEBT_TO_EBIT","FY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548" s="1" t="e">
        <f ca="1">_xll.BDH($C$528,"NET_DEBT_TO_EBIT","FY 2018","FY 2018","Currency=INR","Period=FY","BEST_FPERIOD_OVERRIDE=FY","FILING_STATUS=OR","EQY_CONSOLIDATED=Y","FA_ADJUSTED=GAAP","Sort=A","Dates=H","DateFormat=P","Fill=—","Direction=H","UseDPDF=Y")</f>
        <v>#NAME?</v>
      </c>
      <c r="CF548" s="1" t="e">
        <f ca="1">_xll.BDH($C$528,"EBITDA_TO_INTEREST_EXPN","FY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48" s="1" t="e">
        <f ca="1">_xll.BDH($C$528,"COM_EQY_TO_TOT_ASSET","FY 2018","FY 2018","Currency=INR","Period=FY","BEST_FPERIOD_OVERRIDE=FY","FILING_STATUS=OR","EQY_CONSOLIDATED=Y","Sort=A","Dates=H","DateFormat=P","Fill=—","Direction=H","UseDPDF=Y")</f>
        <v>#NAME?</v>
      </c>
      <c r="CH548" s="1" t="e">
        <f ca="1">_xll.BDH($C$528,"LT_DEBT_TO_TOT_EQY","FY 2018","FY 2018","Currency=INR","Period=FY","BEST_FPERIOD_OVERRIDE=FY","FILING_STATUS=OR","EQY_CONSOLIDATED=Y","Sort=A","Dates=H","DateFormat=P","Fill=—","Direction=H","UseDPDF=Y")</f>
        <v>#NAME?</v>
      </c>
      <c r="CI548" s="1" t="e">
        <f ca="1">_xll.BDH($C$528,"LT_DEBT_TO_TOT_CAP","FY 2018","FY 2018","Currency=INR","Period=FY","BEST_FPERIOD_OVERRIDE=FY","FILING_STATUS=OR","EQY_CONSOLIDATED=Y","Sort=A","Dates=H","DateFormat=P","Fill=—","Direction=H","UseDPDF=Y")</f>
        <v>#NAME?</v>
      </c>
      <c r="CJ548" s="1" t="e">
        <f ca="1">_xll.BDH($C$528,"LT_DEBT_TO_TOT_ASSET","FY 2018","FY 2018","Currency=INR","Period=FY","BEST_FPERIOD_OVERRIDE=FY","FILING_STATUS=OR","EQY_CONSOLIDATED=Y","Sort=A","Dates=H","DateFormat=P","Fill=—","Direction=H","UseDPDF=Y")</f>
        <v>#NAME?</v>
      </c>
      <c r="CK548" s="1" t="e">
        <f ca="1">_xll.BDH($C$528,"TOT_DEBT_TO_TOT_EQY","FY 2018","FY 2018","Currency=INR","Period=FY","BEST_FPERIOD_OVERRIDE=FY","FILING_STATUS=OR","EQY_CONSOLIDATED=Y","Sort=A","Dates=H","DateFormat=P","Fill=—","Direction=H","UseDPDF=Y")</f>
        <v>#NAME?</v>
      </c>
      <c r="CL548" s="1" t="e">
        <f ca="1">_xll.BDH($C$528,"TOT_DEBT_TO_TOT_CAP","FY 2018","FY 2018","Currency=INR","Period=FY","BEST_FPERIOD_OVERRIDE=FY","FILING_STATUS=OR","EQY_CONSOLIDATED=Y","Sort=A","Dates=H","DateFormat=P","Fill=—","Direction=H","UseDPDF=Y")</f>
        <v>#NAME?</v>
      </c>
      <c r="CM548" s="1" t="e">
        <f ca="1">_xll.BDH($C$528,"TOT_DEBT_TO_TOT_ASSET","FY 2018","FY 2018","Currency=INR","Period=FY","BEST_FPERIOD_OVERRIDE=FY","FILING_STATUS=OR","EQY_CONSOLIDATED=Y","Sort=A","Dates=H","DateFormat=P","Fill=—","Direction=H","UseDPDF=Y")</f>
        <v>#NAME?</v>
      </c>
      <c r="CN548" s="1" t="e">
        <f ca="1">_xll.BDH($C$528,"NET_DEBT_TO_SHRHLDR_EQTY","FY 2018","FY 2018","Currency=INR","Period=FY","BEST_FPERIOD_OVERRIDE=FY","FILING_STATUS=OR","EQY_CONSOLIDATED=Y","Sort=A","Dates=H","DateFormat=P","Fill=—","Direction=H","UseDPDF=Y")</f>
        <v>#NAME?</v>
      </c>
      <c r="CO548" s="1" t="e">
        <f ca="1">_xll.BDH($C$528,"NET_DEBT_%_CAPITAL","FY 2018","FY 2018","Currency=INR","Period=FY","BEST_FPERIOD_OVERRIDE=FY","FILING_STATUS=OR","EQY_CONSOLIDATED=Y","Sort=A","Dates=H","DateFormat=P","Fill=—","Direction=H","UseDPDF=Y")</f>
        <v>#NAME?</v>
      </c>
      <c r="CP548" s="2" t="e">
        <f ca="1">_xll.BDH($C$528,"EBITDA","FY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48" s="2" t="e">
        <f ca="1">_xll.BDH($C$528,"EBITDA_AFTER_CAPEX","FY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48" s="2" t="e">
        <f ca="1">_xll.BDH($C$528,"IS_OPER_INC","FY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48" s="1" t="e">
        <f ca="1">_xll.BDH($C$528,"CASH_RATIO","FY 2018","FY 2018","Currency=INR","Period=FY","BEST_FPERIOD_OVERRIDE=FY","FILING_STATUS=OR","EQY_CONSOLIDATED=Y","Sort=A","Dates=H","DateFormat=P","Fill=—","Direction=H","UseDPDF=Y")</f>
        <v>#NAME?</v>
      </c>
      <c r="CT548" s="1" t="e">
        <f ca="1">_xll.BDH($C$528,"CUR_RATIO","FY 2018","FY 2018","Currency=INR","Period=FY","BEST_FPERIOD_OVERRIDE=FY","FILING_STATUS=OR","EQY_CONSOLIDATED=Y","Sort=A","Dates=H","DateFormat=P","Fill=—","Direction=H","UseDPDF=Y")</f>
        <v>#NAME?</v>
      </c>
      <c r="CU548" s="1" t="e">
        <f ca="1">_xll.BDH($C$528,"QUICK_RATIO","FY 2018","FY 2018","Currency=INR","Period=FY","BEST_FPERIOD_OVERRIDE=FY","FILING_STATUS=OR","EQY_CONSOLIDATED=Y","Sort=A","Dates=H","DateFormat=P","Fill=—","Direction=H","UseDPDF=Y")</f>
        <v>#NAME?</v>
      </c>
      <c r="CV548" s="1" t="e">
        <f ca="1">_xll.BDH($C$528,"ALTMAN_Z_SCORE","FY 2018","FY 2018","Currency=INR","Period=FY","BEST_FPERIOD_OVERRIDE=FY","FILING_STATUS=OR","EQY_CONSOLIDATED=Y","Sort=A","Dates=H","DateFormat=P","Fill=—","Direction=H","UseDPDF=Y")</f>
        <v>#NAME?</v>
      </c>
      <c r="CW548" s="3" t="e">
        <f ca="1">_xll.BDH($C$528,"ACCT_RCV_TURN","FY 2018","FY 2018","Currency=INR","Period=FY","BEST_FPERIOD_OVERRIDE=FY","FILING_STATUS=OR","EQY_CONSOLIDATED=Y","FA_ADJUSTED=GAAP","Sort=A","Dates=H","DateFormat=P","Fill=—","Direction=H","UseDPDF=Y")</f>
        <v>#NAME?</v>
      </c>
      <c r="CX548" s="1" t="e">
        <f ca="1">_xll.BDH($C$528,"ACCT_RCV_DAYS","FY 2018","FY 2018","Currency=INR","Period=FY","BEST_FPERIOD_OVERRIDE=FY","FILING_STATUS=OR","EQY_CONSOLIDATED=Y","FA_ADJUSTED=GAAP","Sort=A","Dates=H","DateFormat=P","Fill=—","Direction=H","UseDPDF=Y")</f>
        <v>#NAME?</v>
      </c>
      <c r="CY548" s="3" t="e">
        <f ca="1">_xll.BDH($C$528,"INVENT_TURN","FY 2018","FY 2018","Currency=INR","Period=FY","BEST_FPERIOD_OVERRIDE=FY","FILING_STATUS=OR","EQY_CONSOLIDATED=Y","FA_ADJUSTED=GAAP","Sort=A","Dates=H","DateFormat=P","Fill=—","Direction=H","UseDPDF=Y")</f>
        <v>#NAME?</v>
      </c>
      <c r="CZ548" s="1" t="e">
        <f ca="1">_xll.BDH($C$528,"INVENT_DAYS","FY 2018","FY 2018","Currency=INR","Period=FY","BEST_FPERIOD_OVERRIDE=FY","FILING_STATUS=OR","EQY_CONSOLIDATED=Y","FA_ADJUSTED=GAAP","Sort=A","Dates=H","DateFormat=P","Fill=—","Direction=H","UseDPDF=Y")</f>
        <v>#NAME?</v>
      </c>
      <c r="DA548" s="3" t="e">
        <f ca="1">_xll.BDH($C$528,"ACCOUNTS_PAYABLE_TURNOVER","FY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48" s="1" t="e">
        <f ca="1">_xll.BDH($C$528,"ACCOUNTS_PAYABLE_TURNOVER_DAYS","FY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48" s="3" t="e">
        <f ca="1">_xll.BDH($C$528,"CASH_CONVERSION_CYCLE","FY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48" s="3" t="e">
        <f ca="1">_xll.BDH($C$528,"INV_TO_CASH_DAYS","FY 2018","FY 2018","Currency=INR","Period=FY","BEST_FPERIOD_OVERRIDE=FY","FILING_STATUS=OR","EQY_CONSOLIDATED=Y","FA_ADJUSTED=GAAP","Sort=A","Dates=H","DateFormat=P","Fill=—","Direction=H","UseDPDF=Y")</f>
        <v>#NAME?</v>
      </c>
      <c r="DE548" s="4" t="e">
        <f ca="1">_xll.BDH($C$528,"BS_INVENTORIES","FY 2018","FY 2018","Currency=INR","Period=FY","BEST_FPERIOD_OVERRIDE=FY","FILING_STATUS=OR","EQY_CONSOLIDATED=Y","SCALING_FORMAT=MLN","Sort=A","Dates=H","DateFormat=P","Fill=—","Direction=H","UseDPDF=Y")</f>
        <v>#NAME?</v>
      </c>
      <c r="DF548" s="2" t="e">
        <f ca="1">_xll.BDH($C$528,"INVTRY_RAW_MATERIALS","FY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48" s="2" t="e">
        <f ca="1">_xll.BDH($C$528,"INVTRY_IN_PROGRESS","FY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48" s="2" t="e">
        <f ca="1">_xll.BDH($C$528,"INVTRY_FINISHED_GOODS","FY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48" s="2" t="e">
        <f ca="1">_xll.BDH($C$528,"BS_OTHER_INV","FY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49" spans="1:113" x14ac:dyDescent="0.3">
      <c r="A549" s="6"/>
      <c r="B549" s="6"/>
      <c r="C549" s="6"/>
      <c r="D549" s="6"/>
      <c r="E549" t="s">
        <v>4</v>
      </c>
      <c r="F549" t="e">
        <f ca="1">_xll.BDH($C$528,"RETURN_COM_EQY","FQ1 2018","FQ1 2018","Currency=INR","Period=FQ","BEST_FPERIOD_OVERRIDE=FQ","FILING_STATUS=OR","EQY_CONSOLIDATED=Y","FA_ADJUSTED=GAAP","Sort=A","Dates=H","DateFormat=P","Fill=—","Direction=H","UseDPDF=Y")</f>
        <v>#NAME?</v>
      </c>
      <c r="G549" t="e">
        <f ca="1">_xll.BDH($C$528,"RETURN_ON_ASSET","FQ1 2018","FQ1 2018","Currency=INR","Period=FQ","BEST_FPERIOD_OVERRIDE=FQ","FILING_STATUS=OR","EQY_CONSOLIDATED=Y","FA_ADJUSTED=GAAP","Sort=A","Dates=H","DateFormat=P","Fill=—","Direction=H","UseDPDF=Y")</f>
        <v>#NAME?</v>
      </c>
      <c r="H549" t="e">
        <f ca="1">_xll.BDH($C$528,"RETURN_ON_CAP","FQ1 2018","FQ1 2018","Currency=INR","Period=FQ","BEST_FPERIOD_OVERRIDE=FQ","FILING_STATUS=OR","EQY_CONSOLIDATED=Y","FA_ADJUSTED=GAAP","Sort=A","Dates=H","DateFormat=P","Fill=—","Direction=H","UseDPDF=Y")</f>
        <v>#NAME?</v>
      </c>
      <c r="I549" t="e">
        <f ca="1">_xll.BDH($C$528,"RETURN_ON_INV_CAPITAL","FQ1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49" t="e">
        <f ca="1">_xll.BDH($C$528,"EBITDA_TO_REVENUE","FQ1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549" t="e">
        <f ca="1">_xll.BDH($C$528,"OPER_MARGIN","FQ1 2018","FQ1 2018","Currency=INR","Period=FQ","BEST_FPERIOD_OVERRIDE=FQ","FILING_STATUS=OR","EQY_CONSOLIDATED=Y","FA_ADJUSTED=GAAP","Sort=A","Dates=H","DateFormat=P","Fill=—","Direction=H","UseDPDF=Y")</f>
        <v>#NAME?</v>
      </c>
      <c r="L549" t="e">
        <f ca="1">_xll.BDH($C$528,"INCREMENTAL_OPERATING_MARGIN","FQ1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49" t="e">
        <f ca="1">_xll.BDH($C$528,"PRETAX_INC_TO_NET_SALES","FQ1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49" t="e">
        <f ca="1">_xll.BDH($C$528,"INC_BEF_XO_ITEMS_TO_NET_SALES","FQ1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49" t="e">
        <f ca="1">_xll.BDH($C$528,"PROF_MARGIN","FQ1 2018","FQ1 2018","Currency=INR","Period=FQ","BEST_FPERIOD_OVERRIDE=FQ","FILING_STATUS=OR","EQY_CONSOLIDATED=Y","FA_ADJUSTED=GAAP","Sort=A","Dates=H","DateFormat=P","Fill=—","Direction=H","UseDPDF=Y")</f>
        <v>#NAME?</v>
      </c>
      <c r="P549" t="e">
        <f ca="1">_xll.BDH($C$528,"NET_INCOME_TO_COMMON_MARGIN","FQ1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49" t="e">
        <f ca="1">_xll.BDH($C$528,"EFF_TAX_RATE","FQ1 2018","FQ1 2018","Currency=INR","Period=FQ","BEST_FPERIOD_OVERRIDE=FQ","FILING_STATUS=OR","EQY_CONSOLIDATED=Y","FA_ADJUSTED=GAAP","Sort=A","Dates=H","DateFormat=P","Fill=—","Direction=H","UseDPDF=Y")</f>
        <v>#NAME?</v>
      </c>
      <c r="R549" t="e">
        <f ca="1">_xll.BDH($C$528,"DVD_PAYOUT_RATIO","FQ1 2018","FQ1 2018","Currency=INR","Period=FQ","BEST_FPERIOD_OVERRIDE=FQ","FILING_STATUS=OR","EQY_CONSOLIDATED=Y","FA_ADJUSTED=GAAP","Sort=A","Dates=H","DateFormat=P","Fill=—","Direction=H","UseDPDF=Y")</f>
        <v>#NAME?</v>
      </c>
      <c r="S549" t="e">
        <f ca="1">_xll.BDH($C$528,"SUSTAIN_GROWTH_RT","FQ1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549" s="1" t="e">
        <f ca="1">_xll.BDH($C$528,"SALES_GROWTH","FQ1 2018","FQ1 2018","Currency=INR","Period=FQ","BEST_FPERIOD_OVERRIDE=FQ","FILING_STATUS=OR","EQY_CONSOLIDATED=Y","FA_ADJUSTED=GAAP","Sort=A","Dates=H","DateFormat=P","Fill=—","Direction=H","UseDPDF=Y")</f>
        <v>#NAME?</v>
      </c>
      <c r="U549" s="1" t="e">
        <f ca="1">_xll.BDH($C$528,"EBITDA_GROWTH","FQ1 2018","FQ1 2018","Currency=INR","Period=FQ","BEST_FPERIOD_OVERRIDE=FQ","FILING_STATUS=OR","EQY_CONSOLIDATED=Y","FA_ADJUSTED=GAAP","Sort=A","Dates=H","DateFormat=P","Fill=—","Direction=H","UseDPDF=Y")</f>
        <v>#NAME?</v>
      </c>
      <c r="V549" s="1" t="e">
        <f ca="1">_xll.BDH($C$528,"OPER_INC_GROWTH","FQ1 2018","FQ1 2018","Currency=INR","Period=FQ","BEST_FPERIOD_OVERRIDE=FQ","FILING_STATUS=OR","EQY_CONSOLIDATED=Y","FA_ADJUSTED=GAAP","Sort=A","Dates=H","DateFormat=P","Fill=—","Direction=H","UseDPDF=Y")</f>
        <v>#NAME?</v>
      </c>
      <c r="W549" s="1" t="e">
        <f ca="1">_xll.BDH($C$528,"EARN_FOR_COM_GROWTH","FQ1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49" s="1" t="e">
        <f ca="1">_xll.BDH($C$528,"DILUTED_EPS_AFT_XO_ITEMS_GROWTH","FQ1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49" s="1" t="e">
        <f ca="1">_xll.BDH($C$528,"DIVIDEND_PER_SHARE_1_YEAR_GROWTH","FQ1 2018","FQ1 2018","Currency=INR","Period=FQ","BEST_FPERIOD_OVERRIDE=FQ","FILING_STATUS=OR","EQY_CONSOLIDATED=Y","Sort=A","Dates=H","DateFormat=P","Fill=—","Direction=H","UseDPDF=Y")</f>
        <v>#NAME?</v>
      </c>
      <c r="Z549" s="1" t="e">
        <f ca="1">_xll.BDH($C$528,"ACCOUNTS_RECEIVABLE_GROWTH","FQ1 2018","FQ1 2018","Currency=INR","Period=FQ","BEST_FPERIOD_OVERRIDE=FQ","FILING_STATUS=OR","EQY_CONSOLIDATED=Y","Sort=A","Dates=H","DateFormat=P","Fill=—","Direction=H","UseDPDF=Y")</f>
        <v>#NAME?</v>
      </c>
      <c r="AA549" s="1" t="e">
        <f ca="1">_xll.BDH($C$528,"INVENTORY_GROWTH","FQ1 2018","FQ1 2018","Currency=INR","Period=FQ","BEST_FPERIOD_OVERRIDE=FQ","FILING_STATUS=OR","EQY_CONSOLIDATED=Y","Sort=A","Dates=H","DateFormat=P","Fill=—","Direction=H","UseDPDF=Y")</f>
        <v>#NAME?</v>
      </c>
      <c r="AB549" s="1" t="e">
        <f ca="1">_xll.BDH($C$528,"NET_FIXED_ASSETS_1_YEAR_GROWTH","FQ1 2018","FQ1 2018","Currency=INR","Period=FQ","BEST_FPERIOD_OVERRIDE=FQ","FILING_STATUS=OR","EQY_CONSOLIDATED=Y","Sort=A","Dates=H","DateFormat=P","Fill=—","Direction=H","UseDPDF=Y")</f>
        <v>#NAME?</v>
      </c>
      <c r="AC549" s="1" t="e">
        <f ca="1">_xll.BDH($C$528,"ASSET_GROWTH","FQ1 2018","FQ1 2018","Currency=INR","Period=FQ","BEST_FPERIOD_OVERRIDE=FQ","FILING_STATUS=OR","EQY_CONSOLIDATED=Y","Sort=A","Dates=H","DateFormat=P","Fill=—","Direction=H","UseDPDF=Y")</f>
        <v>#NAME?</v>
      </c>
      <c r="AD549" s="1" t="e">
        <f ca="1">_xll.BDH($C$528,"MODIFIED_WORK_CAP_GROWTH","FQ1 2018","FQ1 2018","Currency=INR","Period=FQ","BEST_FPERIOD_OVERRIDE=FQ","FILING_STATUS=OR","EQY_CONSOLIDATED=Y","Sort=A","Dates=H","DateFormat=P","Fill=—","Direction=H","UseDPDF=Y")</f>
        <v>#NAME?</v>
      </c>
      <c r="AE549" s="1" t="e">
        <f ca="1">_xll.BDH($C$528,"WORK_CAP_GROWTH","FQ1 2018","FQ1 2018","Currency=INR","Period=FQ","BEST_FPERIOD_OVERRIDE=FQ","FILING_STATUS=OR","EQY_CONSOLIDATED=Y","Sort=A","Dates=H","DateFormat=P","Fill=—","Direction=H","UseDPDF=Y")</f>
        <v>#NAME?</v>
      </c>
      <c r="AF549" s="1" t="e">
        <f ca="1">_xll.BDH($C$528,"ACCOUNTS_PAYABLE_GROWTH_1YR","FQ1 2018","FQ1 2018","Currency=INR","Period=FQ","BEST_FPERIOD_OVERRIDE=FQ","FILING_STATUS=OR","EQY_CONSOLIDATED=Y","Sort=A","Dates=H","DateFormat=P","Fill=—","Direction=H","UseDPDF=Y")</f>
        <v>#NAME?</v>
      </c>
      <c r="AG549" s="1" t="e">
        <f ca="1">_xll.BDH($C$528,"SHORT_TERM_DEBT_1_YEAR_GROWTH","FQ1 2018","FQ1 2018","Currency=INR","Period=FQ","BEST_FPERIOD_OVERRIDE=FQ","FILING_STATUS=OR","EQY_CONSOLIDATED=Y","Sort=A","Dates=H","DateFormat=P","Fill=—","Direction=H","UseDPDF=Y")</f>
        <v>#NAME?</v>
      </c>
      <c r="AH549" s="1" t="e">
        <f ca="1">_xll.BDH($C$528,"TOTAL_DEBT_1_YEAR_GROWTH","FQ1 2018","FQ1 2018","Currency=INR","Period=FQ","BEST_FPERIOD_OVERRIDE=FQ","FILING_STATUS=OR","EQY_CONSOLIDATED=Y","Sort=A","Dates=H","DateFormat=P","Fill=—","Direction=H","UseDPDF=Y")</f>
        <v>#NAME?</v>
      </c>
      <c r="AI549" s="1" t="e">
        <f ca="1">_xll.BDH($C$528,"TOTAL_EQUITY_1_YEAR_GROWTH","FQ1 2018","FQ1 2018","Currency=INR","Period=FQ","BEST_FPERIOD_OVERRIDE=FQ","FILING_STATUS=OR","EQY_CONSOLIDATED=Y","Sort=A","Dates=H","DateFormat=P","Fill=—","Direction=H","UseDPDF=Y")</f>
        <v>#NAME?</v>
      </c>
      <c r="AJ549" s="1" t="e">
        <f ca="1">_xll.BDH($C$528,"GROWTH_IN_CAP","FQ1 2018","FQ1 2018","Currency=INR","Period=FQ","BEST_FPERIOD_OVERRIDE=FQ","FILING_STATUS=OR","EQY_CONSOLIDATED=Y","Sort=A","Dates=H","DateFormat=P","Fill=—","Direction=H","UseDPDF=Y")</f>
        <v>#NAME?</v>
      </c>
      <c r="AK549" s="1" t="e">
        <f ca="1">_xll.BDH($C$528,"BVPS_GROWTH","FQ1 2018","FQ1 2018","Currency=INR","Period=FQ","BEST_FPERIOD_OVERRIDE=FQ","FILING_STATUS=OR","EQY_CONSOLIDATED=Y","Sort=A","Dates=H","DateFormat=P","Fill=—","Direction=H","UseDPDF=Y")</f>
        <v>#NAME?</v>
      </c>
      <c r="AL549" s="1" t="e">
        <f ca="1">_xll.BDH($C$528,"CASH_FLOW_GROWTH","FQ1 2018","FQ1 2018","Currency=INR","Period=FQ","BEST_FPERIOD_OVERRIDE=FQ","FILING_STATUS=OR","EQY_CONSOLIDATED=Y","Sort=A","Dates=H","DateFormat=P","Fill=—","Direction=H","UseDPDF=Y")</f>
        <v>#NAME?</v>
      </c>
      <c r="AM549" s="1" t="e">
        <f ca="1">_xll.BDH($C$528,"GEO_GROW_NET_SALES","FQ1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49" s="1" t="e">
        <f ca="1">_xll.BDH($C$528,"GEO_GROW_EBITDA","FQ1 2018","FQ1 2018","Currency=INR","Period=FQ","BEST_FPERIOD_OVERRIDE=FQ","FILING_STATUS=OR","EQY_CONSOLIDATED=Y","FA_ADJUSTED=GAAP","Sort=A","Dates=H","DateFormat=P","Fill=—","Direction=H","UseDPDF=Y")</f>
        <v>#NAME?</v>
      </c>
      <c r="AO549" s="1" t="e">
        <f ca="1">_xll.BDH($C$528,"GEO_GROW_OPER_INC","FQ1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49" s="1" t="e">
        <f ca="1">_xll.BDH($C$528,"NET_INCOME_TO_COMMON_5_YR_GROWTH","FQ1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49" s="1" t="e">
        <f ca="1">_xll.BDH($C$528,"5Y_GEO_GROWTH_DILUTED_EPS","FQ1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49" s="1" t="e">
        <f ca="1">_xll.BDH($C$528,"GEO_GROW_DVD_PER_SH","FQ1 2018","FQ1 2018","Currency=INR","Period=FQ","BEST_FPERIOD_OVERRIDE=FQ","FILING_STATUS=OR","EQY_CONSOLIDATED=Y","Sort=A","Dates=H","DateFormat=P","Fill=—","Direction=H","UseDPDF=Y")</f>
        <v>#NAME?</v>
      </c>
      <c r="AS549" s="1" t="e">
        <f ca="1">_xll.BDH($C$528,"ACCOUNTS_RECEIVABLE_5_YR_GROWTH","FQ1 2018","FQ1 2018","Currency=INR","Period=FQ","BEST_FPERIOD_OVERRIDE=FQ","FILING_STATUS=OR","EQY_CONSOLIDATED=Y","Sort=A","Dates=H","DateFormat=P","Fill=—","Direction=H","UseDPDF=Y")</f>
        <v>#NAME?</v>
      </c>
      <c r="AT549" s="1" t="e">
        <f ca="1">_xll.BDH($C$528,"INVENTORY_5_YEAR_GROWTH","FQ1 2018","FQ1 2018","Currency=INR","Period=FQ","BEST_FPERIOD_OVERRIDE=FQ","FILING_STATUS=OR","EQY_CONSOLIDATED=Y","Sort=A","Dates=H","DateFormat=P","Fill=—","Direction=H","UseDPDF=Y")</f>
        <v>#NAME?</v>
      </c>
      <c r="AU549" s="1" t="e">
        <f ca="1">_xll.BDH($C$528,"NET_FIXED_ASSETS_5_YEAR_GROWTH","FQ1 2018","FQ1 2018","Currency=INR","Period=FQ","BEST_FPERIOD_OVERRIDE=FQ","FILING_STATUS=OR","EQY_CONSOLIDATED=Y","Sort=A","Dates=H","DateFormat=P","Fill=—","Direction=H","UseDPDF=Y")</f>
        <v>#NAME?</v>
      </c>
      <c r="AV549" s="1" t="e">
        <f ca="1">_xll.BDH($C$528,"GEO_GROW_TOT_ASSET","FQ1 2018","FQ1 2018","Currency=INR","Period=FQ","BEST_FPERIOD_OVERRIDE=FQ","FILING_STATUS=OR","EQY_CONSOLIDATED=Y","Sort=A","Dates=H","DateFormat=P","Fill=—","Direction=H","UseDPDF=Y")</f>
        <v>#NAME?</v>
      </c>
      <c r="AW549" s="1" t="e">
        <f ca="1">_xll.BDH($C$528,"MODIFIED_WORKING_CPTL_5YR_GRWTH","FQ1 2018","FQ1 2018","Currency=INR","Period=FQ","BEST_FPERIOD_OVERRIDE=FQ","FILING_STATUS=OR","EQY_CONSOLIDATED=Y","Sort=A","Dates=H","DateFormat=P","Fill=—","Direction=H","UseDPDF=Y")</f>
        <v>#NAME?</v>
      </c>
      <c r="AX549" s="1" t="e">
        <f ca="1">_xll.BDH($C$528,"WORKING_CAPITAL_5_YEAR_GROWTH","FQ1 2018","FQ1 2018","Currency=INR","Period=FQ","BEST_FPERIOD_OVERRIDE=FQ","FILING_STATUS=OR","EQY_CONSOLIDATED=Y","Sort=A","Dates=H","DateFormat=P","Fill=—","Direction=H","UseDPDF=Y")</f>
        <v>#NAME?</v>
      </c>
      <c r="AY549" s="1" t="e">
        <f ca="1">_xll.BDH($C$528,"ACCOUNTS_PAYABLE_5_YEAR_GROWTH","FQ1 2018","FQ1 2018","Currency=INR","Period=FQ","BEST_FPERIOD_OVERRIDE=FQ","FILING_STATUS=OR","EQY_CONSOLIDATED=Y","Sort=A","Dates=H","DateFormat=P","Fill=—","Direction=H","UseDPDF=Y")</f>
        <v>#NAME?</v>
      </c>
      <c r="AZ549" s="1" t="e">
        <f ca="1">_xll.BDH($C$528,"SHORT_TERM_DEBT_5_YEAR_GROWTH","FQ1 2018","FQ1 2018","Currency=INR","Period=FQ","BEST_FPERIOD_OVERRIDE=FQ","FILING_STATUS=OR","EQY_CONSOLIDATED=Y","Sort=A","Dates=H","DateFormat=P","Fill=—","Direction=H","UseDPDF=Y")</f>
        <v>#NAME?</v>
      </c>
      <c r="BA549" s="1" t="e">
        <f ca="1">_xll.BDH($C$528,"TOTAL_DEBT_5_YEAR_GROWTH","FQ1 2018","FQ1 2018","Currency=INR","Period=FQ","BEST_FPERIOD_OVERRIDE=FQ","FILING_STATUS=OR","EQY_CONSOLIDATED=Y","Sort=A","Dates=H","DateFormat=P","Fill=—","Direction=H","UseDPDF=Y")</f>
        <v>#NAME?</v>
      </c>
      <c r="BB549" s="1" t="e">
        <f ca="1">_xll.BDH($C$528,"GEO_GROW_TOT_SHRHLDR_EQY","FQ1 2018","FQ1 2018","Currency=INR","Period=FQ","BEST_FPERIOD_OVERRIDE=FQ","FILING_STATUS=OR","EQY_CONSOLIDATED=Y","Sort=A","Dates=H","DateFormat=P","Fill=—","Direction=H","UseDPDF=Y")</f>
        <v>#NAME?</v>
      </c>
      <c r="BC549" s="1" t="e">
        <f ca="1">_xll.BDH($C$528,"TOTAL_CAPITAL_5_YEAR_GROWTH","FQ1 2018","FQ1 2018","Currency=INR","Period=FQ","BEST_FPERIOD_OVERRIDE=FQ","FILING_STATUS=OR","EQY_CONSOLIDATED=Y","Sort=A","Dates=H","DateFormat=P","Fill=—","Direction=H","UseDPDF=Y")</f>
        <v>#NAME?</v>
      </c>
      <c r="BD549" s="1" t="e">
        <f ca="1">_xll.BDH($C$528,"GEO_GROW_BOOK_VAL","FQ1 2018","FQ1 2018","Currency=INR","Period=FQ","BEST_FPERIOD_OVERRIDE=FQ","FILING_STATUS=OR","EQY_CONSOLIDATED=Y","Sort=A","Dates=H","DateFormat=P","Fill=—","Direction=H","UseDPDF=Y")</f>
        <v>#NAME?</v>
      </c>
      <c r="BE549" s="1" t="e">
        <f ca="1">_xll.BDH($C$528,"GEO_GROW_CASH_OPER_ACT","FQ1 2018","FQ1 2018","Currency=INR","Period=FQ","BEST_FPERIOD_OVERRIDE=FQ","FILING_STATUS=OR","EQY_CONSOLIDATED=Y","Sort=A","Dates=H","DateFormat=P","Fill=—","Direction=H","UseDPDF=Y")</f>
        <v>#NAME?</v>
      </c>
      <c r="BF549" s="1" t="e">
        <f ca="1">_xll.BDH($C$528,"REVENUE_SEQUENTIAL_GROWTH","FQ1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49" s="1" t="e">
        <f ca="1">_xll.BDH($C$528,"EBITDA_SEQUENTIAL_GROWTH","FQ1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49" s="1" t="e">
        <f ca="1">_xll.BDH($C$528,"OPERATING_INCOME_SEQ_GROWTH","FQ1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49" s="1" t="e">
        <f ca="1">_xll.BDH($C$528,"NET_INCOME_TO_COMMON_SEQ_GROWTH","FQ1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49" s="1" t="e">
        <f ca="1">_xll.BDH($C$528,"EPS_DILUTED_SEQUENTIAL_GROWTH","FQ1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49" s="1" t="e">
        <f ca="1">_xll.BDH($C$528,"DPS_SEQUENTIAL_GROWTH","FQ1 2018","FQ1 2018","Currency=INR","Period=FQ","BEST_FPERIOD_OVERRIDE=FQ","FILING_STATUS=OR","EQY_CONSOLIDATED=Y","Sort=A","Dates=H","DateFormat=P","Fill=—","Direction=H","UseDPDF=Y")</f>
        <v>#NAME?</v>
      </c>
      <c r="BL549" s="1" t="e">
        <f ca="1">_xll.BDH($C$528,"ACCOUNTS_RECEIVABLE_SEQ_GROWTH","FQ1 2018","FQ1 2018","Currency=INR","Period=FQ","BEST_FPERIOD_OVERRIDE=FQ","FILING_STATUS=OR","EQY_CONSOLIDATED=Y","Sort=A","Dates=H","DateFormat=P","Fill=—","Direction=H","UseDPDF=Y")</f>
        <v>#NAME?</v>
      </c>
      <c r="BM549" s="1" t="e">
        <f ca="1">_xll.BDH($C$528,"INVENTORY_SEQUENTIAL_GROWTH","FQ1 2018","FQ1 2018","Currency=INR","Period=FQ","BEST_FPERIOD_OVERRIDE=FQ","FILING_STATUS=OR","EQY_CONSOLIDATED=Y","Sort=A","Dates=H","DateFormat=P","Fill=—","Direction=H","UseDPDF=Y")</f>
        <v>#NAME?</v>
      </c>
      <c r="BN549" s="1" t="e">
        <f ca="1">_xll.BDH($C$528,"FIXED_ASSETS_SEQUENTIAL_GROWTH","FQ1 2018","FQ1 2018","Currency=INR","Period=FQ","BEST_FPERIOD_OVERRIDE=FQ","FILING_STATUS=OR","EQY_CONSOLIDATED=Y","Sort=A","Dates=H","DateFormat=P","Fill=—","Direction=H","UseDPDF=Y")</f>
        <v>#NAME?</v>
      </c>
      <c r="BO549" s="1" t="e">
        <f ca="1">_xll.BDH($C$528,"TOTAL_ASSETS_SEQUENTIAL_GROWTH","FQ1 2018","FQ1 2018","Currency=INR","Period=FQ","BEST_FPERIOD_OVERRIDE=FQ","FILING_STATUS=OR","EQY_CONSOLIDATED=Y","Sort=A","Dates=H","DateFormat=P","Fill=—","Direction=H","UseDPDF=Y")</f>
        <v>#NAME?</v>
      </c>
      <c r="BP549" s="1" t="e">
        <f ca="1">_xll.BDH($C$528,"MODIFIED_WORKING_CPTL_SEQ_GRWTH","FQ1 2018","FQ1 2018","Currency=INR","Period=FQ","BEST_FPERIOD_OVERRIDE=FQ","FILING_STATUS=OR","EQY_CONSOLIDATED=Y","Sort=A","Dates=H","DateFormat=P","Fill=—","Direction=H","UseDPDF=Y")</f>
        <v>#NAME?</v>
      </c>
      <c r="BQ549" s="1" t="e">
        <f ca="1">_xll.BDH($C$528,"WORKING_CAPITAL_SEQ_GROWTH","FQ1 2018","FQ1 2018","Currency=INR","Period=FQ","BEST_FPERIOD_OVERRIDE=FQ","FILING_STATUS=OR","EQY_CONSOLIDATED=Y","Sort=A","Dates=H","DateFormat=P","Fill=—","Direction=H","UseDPDF=Y")</f>
        <v>#NAME?</v>
      </c>
      <c r="BR549" s="1" t="e">
        <f ca="1">_xll.BDH($C$528,"ACCOUNTS_PAYABLE_SEQ_GROWTH","FQ1 2018","FQ1 2018","Currency=INR","Period=FQ","BEST_FPERIOD_OVERRIDE=FQ","FILING_STATUS=OR","EQY_CONSOLIDATED=Y","Sort=A","Dates=H","DateFormat=P","Fill=—","Direction=H","UseDPDF=Y")</f>
        <v>#NAME?</v>
      </c>
      <c r="BS549" s="1" t="e">
        <f ca="1">_xll.BDH($C$528,"ST_DEBT_SEQUENTIAL_GROWTH","FQ1 2018","FQ1 2018","Currency=INR","Period=FQ","BEST_FPERIOD_OVERRIDE=FQ","FILING_STATUS=OR","EQY_CONSOLIDATED=Y","Sort=A","Dates=H","DateFormat=P","Fill=—","Direction=H","UseDPDF=Y")</f>
        <v>#NAME?</v>
      </c>
      <c r="BT549" s="1" t="e">
        <f ca="1">_xll.BDH($C$528,"TOTAL_DEBT_SEQUENTIAL_GROWTH","FQ1 2018","FQ1 2018","Currency=INR","Period=FQ","BEST_FPERIOD_OVERRIDE=FQ","FILING_STATUS=OR","EQY_CONSOLIDATED=Y","Sort=A","Dates=H","DateFormat=P","Fill=—","Direction=H","UseDPDF=Y")</f>
        <v>#NAME?</v>
      </c>
      <c r="BU549" s="1" t="e">
        <f ca="1">_xll.BDH($C$528,"TOTAL_EQUITY_SEQUENTIAL_GROWTH","FQ1 2018","FQ1 2018","Currency=INR","Period=FQ","BEST_FPERIOD_OVERRIDE=FQ","FILING_STATUS=OR","EQY_CONSOLIDATED=Y","Sort=A","Dates=H","DateFormat=P","Fill=—","Direction=H","UseDPDF=Y")</f>
        <v>#NAME?</v>
      </c>
      <c r="BV549" s="1" t="e">
        <f ca="1">_xll.BDH($C$528,"TOTAL_CAPITAL_SEQUENTIAL_GROWTH","FQ1 2018","FQ1 2018","Currency=INR","Period=FQ","BEST_FPERIOD_OVERRIDE=FQ","FILING_STATUS=OR","EQY_CONSOLIDATED=Y","Sort=A","Dates=H","DateFormat=P","Fill=—","Direction=H","UseDPDF=Y")</f>
        <v>#NAME?</v>
      </c>
      <c r="BW549" s="1" t="e">
        <f ca="1">_xll.BDH($C$528,"BPS_SEQUENTIAL_GROWTH","FQ1 2018","FQ1 2018","Currency=INR","Period=FQ","BEST_FPERIOD_OVERRIDE=FQ","FILING_STATUS=OR","EQY_CONSOLIDATED=Y","Sort=A","Dates=H","DateFormat=P","Fill=—","Direction=H","UseDPDF=Y")</f>
        <v>#NAME?</v>
      </c>
      <c r="BX549" s="1" t="e">
        <f ca="1">_xll.BDH($C$528,"CFO_SEQUENTIAL_GROWTH","FQ1 2018","FQ1 2018","Currency=INR","Period=FQ","BEST_FPERIOD_OVERRIDE=FQ","FILING_STATUS=OR","EQY_CONSOLIDATED=Y","Sort=A","Dates=H","DateFormat=P","Fill=—","Direction=H","UseDPDF=Y")</f>
        <v>#NAME?</v>
      </c>
      <c r="BY549" s="2" t="e">
        <f ca="1">_xll.BDH($C$528,"SHORT_AND_LONG_TERM_DEBT","FQ1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49" s="2" t="e">
        <f ca="1">_xll.BDH($C$528,"BS_ST_BORROW","FQ1 2018","FQ1 2018","Currency=INR","Period=FQ","BEST_FPERIOD_OVERRIDE=FQ","FILING_STATUS=OR","EQY_CONSOLIDATED=Y","SCALING_FORMAT=MLN","Sort=A","Dates=H","DateFormat=P","Fill=—","Direction=H","UseDPDF=Y")</f>
        <v>#NAME?</v>
      </c>
      <c r="CA549" s="2" t="e">
        <f ca="1">_xll.BDH($C$528,"BS_LT_BORROW","FQ1 2018","FQ1 2018","Currency=INR","Period=FQ","BEST_FPERIOD_OVERRIDE=FQ","FILING_STATUS=OR","EQY_CONSOLIDATED=Y","SCALING_FORMAT=MLN","Sort=A","Dates=H","DateFormat=P","Fill=—","Direction=H","UseDPDF=Y")</f>
        <v>#NAME?</v>
      </c>
      <c r="CB549" s="1" t="e">
        <f ca="1">_xll.BDH($C$528,"TOT_DEBT_TO_EBITDA","FQ1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49" s="1" t="e">
        <f ca="1">_xll.BDH($C$528,"NET_DEBT_TO_EBITDA","FQ1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49" s="1" t="e">
        <f ca="1">_xll.BDH($C$528,"TOTAL_DEBT_TO_EBIT","FQ1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49" s="1" t="e">
        <f ca="1">_xll.BDH($C$528,"NET_DEBT_TO_EBIT","FQ1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549" s="1" t="e">
        <f ca="1">_xll.BDH($C$528,"EBITDA_TO_INTEREST_EXPN","FQ1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49" s="1" t="e">
        <f ca="1">_xll.BDH($C$528,"COM_EQY_TO_TOT_ASSET","FQ1 2018","FQ1 2018","Currency=INR","Period=FQ","BEST_FPERIOD_OVERRIDE=FQ","FILING_STATUS=OR","EQY_CONSOLIDATED=Y","Sort=A","Dates=H","DateFormat=P","Fill=—","Direction=H","UseDPDF=Y")</f>
        <v>#NAME?</v>
      </c>
      <c r="CH549" s="1" t="e">
        <f ca="1">_xll.BDH($C$528,"LT_DEBT_TO_TOT_EQY","FQ1 2018","FQ1 2018","Currency=INR","Period=FQ","BEST_FPERIOD_OVERRIDE=FQ","FILING_STATUS=OR","EQY_CONSOLIDATED=Y","Sort=A","Dates=H","DateFormat=P","Fill=—","Direction=H","UseDPDF=Y")</f>
        <v>#NAME?</v>
      </c>
      <c r="CI549" s="1" t="e">
        <f ca="1">_xll.BDH($C$528,"LT_DEBT_TO_TOT_CAP","FQ1 2018","FQ1 2018","Currency=INR","Period=FQ","BEST_FPERIOD_OVERRIDE=FQ","FILING_STATUS=OR","EQY_CONSOLIDATED=Y","Sort=A","Dates=H","DateFormat=P","Fill=—","Direction=H","UseDPDF=Y")</f>
        <v>#NAME?</v>
      </c>
      <c r="CJ549" s="1" t="e">
        <f ca="1">_xll.BDH($C$528,"LT_DEBT_TO_TOT_ASSET","FQ1 2018","FQ1 2018","Currency=INR","Period=FQ","BEST_FPERIOD_OVERRIDE=FQ","FILING_STATUS=OR","EQY_CONSOLIDATED=Y","Sort=A","Dates=H","DateFormat=P","Fill=—","Direction=H","UseDPDF=Y")</f>
        <v>#NAME?</v>
      </c>
      <c r="CK549" s="1" t="e">
        <f ca="1">_xll.BDH($C$528,"TOT_DEBT_TO_TOT_EQY","FQ1 2018","FQ1 2018","Currency=INR","Period=FQ","BEST_FPERIOD_OVERRIDE=FQ","FILING_STATUS=OR","EQY_CONSOLIDATED=Y","Sort=A","Dates=H","DateFormat=P","Fill=—","Direction=H","UseDPDF=Y")</f>
        <v>#NAME?</v>
      </c>
      <c r="CL549" s="1" t="e">
        <f ca="1">_xll.BDH($C$528,"TOT_DEBT_TO_TOT_CAP","FQ1 2018","FQ1 2018","Currency=INR","Period=FQ","BEST_FPERIOD_OVERRIDE=FQ","FILING_STATUS=OR","EQY_CONSOLIDATED=Y","Sort=A","Dates=H","DateFormat=P","Fill=—","Direction=H","UseDPDF=Y")</f>
        <v>#NAME?</v>
      </c>
      <c r="CM549" s="1" t="e">
        <f ca="1">_xll.BDH($C$528,"TOT_DEBT_TO_TOT_ASSET","FQ1 2018","FQ1 2018","Currency=INR","Period=FQ","BEST_FPERIOD_OVERRIDE=FQ","FILING_STATUS=OR","EQY_CONSOLIDATED=Y","Sort=A","Dates=H","DateFormat=P","Fill=—","Direction=H","UseDPDF=Y")</f>
        <v>#NAME?</v>
      </c>
      <c r="CN549" s="1" t="e">
        <f ca="1">_xll.BDH($C$528,"NET_DEBT_TO_SHRHLDR_EQTY","FQ1 2018","FQ1 2018","Currency=INR","Period=FQ","BEST_FPERIOD_OVERRIDE=FQ","FILING_STATUS=OR","EQY_CONSOLIDATED=Y","Sort=A","Dates=H","DateFormat=P","Fill=—","Direction=H","UseDPDF=Y")</f>
        <v>#NAME?</v>
      </c>
      <c r="CO549" s="1" t="e">
        <f ca="1">_xll.BDH($C$528,"NET_DEBT_%_CAPITAL","FQ1 2018","FQ1 2018","Currency=INR","Period=FQ","BEST_FPERIOD_OVERRIDE=FQ","FILING_STATUS=OR","EQY_CONSOLIDATED=Y","Sort=A","Dates=H","DateFormat=P","Fill=—","Direction=H","UseDPDF=Y")</f>
        <v>#NAME?</v>
      </c>
      <c r="CP549" s="2" t="e">
        <f ca="1">_xll.BDH($C$528,"EBITDA","FQ1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49" s="2" t="e">
        <f ca="1">_xll.BDH($C$528,"EBITDA_AFTER_CAPEX","FQ1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49" s="2" t="e">
        <f ca="1">_xll.BDH($C$528,"IS_OPER_INC","FQ1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49" s="1" t="e">
        <f ca="1">_xll.BDH($C$528,"CASH_RATIO","FQ1 2018","FQ1 2018","Currency=INR","Period=FQ","BEST_FPERIOD_OVERRIDE=FQ","FILING_STATUS=OR","EQY_CONSOLIDATED=Y","Sort=A","Dates=H","DateFormat=P","Fill=—","Direction=H","UseDPDF=Y")</f>
        <v>#NAME?</v>
      </c>
      <c r="CT549" s="1" t="e">
        <f ca="1">_xll.BDH($C$528,"CUR_RATIO","FQ1 2018","FQ1 2018","Currency=INR","Period=FQ","BEST_FPERIOD_OVERRIDE=FQ","FILING_STATUS=OR","EQY_CONSOLIDATED=Y","Sort=A","Dates=H","DateFormat=P","Fill=—","Direction=H","UseDPDF=Y")</f>
        <v>#NAME?</v>
      </c>
      <c r="CU549" s="1" t="e">
        <f ca="1">_xll.BDH($C$528,"QUICK_RATIO","FQ1 2018","FQ1 2018","Currency=INR","Period=FQ","BEST_FPERIOD_OVERRIDE=FQ","FILING_STATUS=OR","EQY_CONSOLIDATED=Y","Sort=A","Dates=H","DateFormat=P","Fill=—","Direction=H","UseDPDF=Y")</f>
        <v>#NAME?</v>
      </c>
      <c r="CV549" s="1" t="e">
        <f ca="1">_xll.BDH($C$528,"ALTMAN_Z_SCORE","FQ1 2018","FQ1 2018","Currency=INR","Period=FQ","BEST_FPERIOD_OVERRIDE=FQ","FILING_STATUS=OR","EQY_CONSOLIDATED=Y","Sort=A","Dates=H","DateFormat=P","Fill=—","Direction=H","UseDPDF=Y")</f>
        <v>#NAME?</v>
      </c>
      <c r="CW549" s="3" t="e">
        <f ca="1">_xll.BDH($C$528,"ACCT_RCV_TURN","FQ1 2018","FQ1 2018","Currency=INR","Period=FQ","BEST_FPERIOD_OVERRIDE=FQ","FILING_STATUS=OR","EQY_CONSOLIDATED=Y","FA_ADJUSTED=GAAP","Sort=A","Dates=H","DateFormat=P","Fill=—","Direction=H","UseDPDF=Y")</f>
        <v>#NAME?</v>
      </c>
      <c r="CX549" s="1" t="e">
        <f ca="1">_xll.BDH($C$528,"ACCT_RCV_DAYS","FQ1 2018","FQ1 2018","Currency=INR","Period=FQ","BEST_FPERIOD_OVERRIDE=FQ","FILING_STATUS=OR","EQY_CONSOLIDATED=Y","FA_ADJUSTED=GAAP","Sort=A","Dates=H","DateFormat=P","Fill=—","Direction=H","UseDPDF=Y")</f>
        <v>#NAME?</v>
      </c>
      <c r="CY549" s="3" t="e">
        <f ca="1">_xll.BDH($C$528,"INVENT_TURN","FQ1 2018","FQ1 2018","Currency=INR","Period=FQ","BEST_FPERIOD_OVERRIDE=FQ","FILING_STATUS=OR","EQY_CONSOLIDATED=Y","FA_ADJUSTED=GAAP","Sort=A","Dates=H","DateFormat=P","Fill=—","Direction=H","UseDPDF=Y")</f>
        <v>#NAME?</v>
      </c>
      <c r="CZ549" s="1" t="e">
        <f ca="1">_xll.BDH($C$528,"INVENT_DAYS","FQ1 2018","FQ1 2018","Currency=INR","Period=FQ","BEST_FPERIOD_OVERRIDE=FQ","FILING_STATUS=OR","EQY_CONSOLIDATED=Y","FA_ADJUSTED=GAAP","Sort=A","Dates=H","DateFormat=P","Fill=—","Direction=H","UseDPDF=Y")</f>
        <v>#NAME?</v>
      </c>
      <c r="DA549" s="3" t="e">
        <f ca="1">_xll.BDH($C$528,"ACCOUNTS_PAYABLE_TURNOVER","FQ1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49" s="1" t="e">
        <f ca="1">_xll.BDH($C$528,"ACCOUNTS_PAYABLE_TURNOVER_DAYS","FQ1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49" s="3" t="e">
        <f ca="1">_xll.BDH($C$528,"CASH_CONVERSION_CYCLE","FQ1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49" s="3" t="e">
        <f ca="1">_xll.BDH($C$528,"INV_TO_CASH_DAYS","FQ1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549" s="4" t="e">
        <f ca="1">_xll.BDH($C$528,"BS_INVENTORIES","FQ1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549" s="2" t="e">
        <f ca="1">_xll.BDH($C$528,"INVTRY_RAW_MATERIALS","FQ1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49" s="2" t="e">
        <f ca="1">_xll.BDH($C$528,"INVTRY_IN_PROGRESS","FQ1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49" s="2" t="e">
        <f ca="1">_xll.BDH($C$528,"INVTRY_FINISHED_GOODS","FQ1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49" s="2" t="e">
        <f ca="1">_xll.BDH($C$528,"BS_OTHER_INV","FQ1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50" spans="1:113" x14ac:dyDescent="0.3">
      <c r="A550" s="6"/>
      <c r="B550" s="6"/>
      <c r="C550" s="6"/>
      <c r="D550" s="6"/>
      <c r="E550" t="s">
        <v>5</v>
      </c>
      <c r="F550" t="e">
        <f ca="1">_xll.BDH($C$528,"RETURN_COM_EQY","FQ2 2018","FQ2 2018","Currency=INR","Period=FQ","BEST_FPERIOD_OVERRIDE=FQ","FILING_STATUS=OR","EQY_CONSOLIDATED=Y","FA_ADJUSTED=GAAP","Sort=A","Dates=H","DateFormat=P","Fill=—","Direction=H","UseDPDF=Y")</f>
        <v>#NAME?</v>
      </c>
      <c r="G550" t="e">
        <f ca="1">_xll.BDH($C$528,"RETURN_ON_ASSET","FQ2 2018","FQ2 2018","Currency=INR","Period=FQ","BEST_FPERIOD_OVERRIDE=FQ","FILING_STATUS=OR","EQY_CONSOLIDATED=Y","FA_ADJUSTED=GAAP","Sort=A","Dates=H","DateFormat=P","Fill=—","Direction=H","UseDPDF=Y")</f>
        <v>#NAME?</v>
      </c>
      <c r="H550" t="e">
        <f ca="1">_xll.BDH($C$528,"RETURN_ON_CAP","FQ2 2018","FQ2 2018","Currency=INR","Period=FQ","BEST_FPERIOD_OVERRIDE=FQ","FILING_STATUS=OR","EQY_CONSOLIDATED=Y","FA_ADJUSTED=GAAP","Sort=A","Dates=H","DateFormat=P","Fill=—","Direction=H","UseDPDF=Y")</f>
        <v>#NAME?</v>
      </c>
      <c r="I550" t="e">
        <f ca="1">_xll.BDH($C$528,"RETURN_ON_INV_CAPITAL","FQ2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50" t="e">
        <f ca="1">_xll.BDH($C$528,"EBITDA_TO_REVENUE","FQ2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550" t="e">
        <f ca="1">_xll.BDH($C$528,"OPER_MARGIN","FQ2 2018","FQ2 2018","Currency=INR","Period=FQ","BEST_FPERIOD_OVERRIDE=FQ","FILING_STATUS=OR","EQY_CONSOLIDATED=Y","FA_ADJUSTED=GAAP","Sort=A","Dates=H","DateFormat=P","Fill=—","Direction=H","UseDPDF=Y")</f>
        <v>#NAME?</v>
      </c>
      <c r="L550" t="e">
        <f ca="1">_xll.BDH($C$528,"INCREMENTAL_OPERATING_MARGIN","FQ2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50" t="e">
        <f ca="1">_xll.BDH($C$528,"PRETAX_INC_TO_NET_SALES","FQ2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50" t="e">
        <f ca="1">_xll.BDH($C$528,"INC_BEF_XO_ITEMS_TO_NET_SALES","FQ2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50" t="e">
        <f ca="1">_xll.BDH($C$528,"PROF_MARGIN","FQ2 2018","FQ2 2018","Currency=INR","Period=FQ","BEST_FPERIOD_OVERRIDE=FQ","FILING_STATUS=OR","EQY_CONSOLIDATED=Y","FA_ADJUSTED=GAAP","Sort=A","Dates=H","DateFormat=P","Fill=—","Direction=H","UseDPDF=Y")</f>
        <v>#NAME?</v>
      </c>
      <c r="P550" t="e">
        <f ca="1">_xll.BDH($C$528,"NET_INCOME_TO_COMMON_MARGIN","FQ2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50" t="e">
        <f ca="1">_xll.BDH($C$528,"EFF_TAX_RATE","FQ2 2018","FQ2 2018","Currency=INR","Period=FQ","BEST_FPERIOD_OVERRIDE=FQ","FILING_STATUS=OR","EQY_CONSOLIDATED=Y","FA_ADJUSTED=GAAP","Sort=A","Dates=H","DateFormat=P","Fill=—","Direction=H","UseDPDF=Y")</f>
        <v>#NAME?</v>
      </c>
      <c r="R550" t="e">
        <f ca="1">_xll.BDH($C$528,"DVD_PAYOUT_RATIO","FQ2 2018","FQ2 2018","Currency=INR","Period=FQ","BEST_FPERIOD_OVERRIDE=FQ","FILING_STATUS=OR","EQY_CONSOLIDATED=Y","FA_ADJUSTED=GAAP","Sort=A","Dates=H","DateFormat=P","Fill=—","Direction=H","UseDPDF=Y")</f>
        <v>#NAME?</v>
      </c>
      <c r="S550" t="e">
        <f ca="1">_xll.BDH($C$528,"SUSTAIN_GROWTH_RT","FQ2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550" s="1" t="e">
        <f ca="1">_xll.BDH($C$528,"SALES_GROWTH","FQ2 2018","FQ2 2018","Currency=INR","Period=FQ","BEST_FPERIOD_OVERRIDE=FQ","FILING_STATUS=OR","EQY_CONSOLIDATED=Y","FA_ADJUSTED=GAAP","Sort=A","Dates=H","DateFormat=P","Fill=—","Direction=H","UseDPDF=Y")</f>
        <v>#NAME?</v>
      </c>
      <c r="U550" s="1" t="e">
        <f ca="1">_xll.BDH($C$528,"EBITDA_GROWTH","FQ2 2018","FQ2 2018","Currency=INR","Period=FQ","BEST_FPERIOD_OVERRIDE=FQ","FILING_STATUS=OR","EQY_CONSOLIDATED=Y","FA_ADJUSTED=GAAP","Sort=A","Dates=H","DateFormat=P","Fill=—","Direction=H","UseDPDF=Y")</f>
        <v>#NAME?</v>
      </c>
      <c r="V550" s="1" t="e">
        <f ca="1">_xll.BDH($C$528,"OPER_INC_GROWTH","FQ2 2018","FQ2 2018","Currency=INR","Period=FQ","BEST_FPERIOD_OVERRIDE=FQ","FILING_STATUS=OR","EQY_CONSOLIDATED=Y","FA_ADJUSTED=GAAP","Sort=A","Dates=H","DateFormat=P","Fill=—","Direction=H","UseDPDF=Y")</f>
        <v>#NAME?</v>
      </c>
      <c r="W550" s="1" t="e">
        <f ca="1">_xll.BDH($C$528,"EARN_FOR_COM_GROWTH","FQ2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50" s="1" t="e">
        <f ca="1">_xll.BDH($C$528,"DILUTED_EPS_AFT_XO_ITEMS_GROWTH","FQ2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50" s="1" t="e">
        <f ca="1">_xll.BDH($C$528,"DIVIDEND_PER_SHARE_1_YEAR_GROWTH","FQ2 2018","FQ2 2018","Currency=INR","Period=FQ","BEST_FPERIOD_OVERRIDE=FQ","FILING_STATUS=OR","EQY_CONSOLIDATED=Y","Sort=A","Dates=H","DateFormat=P","Fill=—","Direction=H","UseDPDF=Y")</f>
        <v>#NAME?</v>
      </c>
      <c r="Z550" s="1" t="e">
        <f ca="1">_xll.BDH($C$528,"ACCOUNTS_RECEIVABLE_GROWTH","FQ2 2018","FQ2 2018","Currency=INR","Period=FQ","BEST_FPERIOD_OVERRIDE=FQ","FILING_STATUS=OR","EQY_CONSOLIDATED=Y","Sort=A","Dates=H","DateFormat=P","Fill=—","Direction=H","UseDPDF=Y")</f>
        <v>#NAME?</v>
      </c>
      <c r="AA550" s="1" t="e">
        <f ca="1">_xll.BDH($C$528,"INVENTORY_GROWTH","FQ2 2018","FQ2 2018","Currency=INR","Period=FQ","BEST_FPERIOD_OVERRIDE=FQ","FILING_STATUS=OR","EQY_CONSOLIDATED=Y","Sort=A","Dates=H","DateFormat=P","Fill=—","Direction=H","UseDPDF=Y")</f>
        <v>#NAME?</v>
      </c>
      <c r="AB550" s="1" t="e">
        <f ca="1">_xll.BDH($C$528,"NET_FIXED_ASSETS_1_YEAR_GROWTH","FQ2 2018","FQ2 2018","Currency=INR","Period=FQ","BEST_FPERIOD_OVERRIDE=FQ","FILING_STATUS=OR","EQY_CONSOLIDATED=Y","Sort=A","Dates=H","DateFormat=P","Fill=—","Direction=H","UseDPDF=Y")</f>
        <v>#NAME?</v>
      </c>
      <c r="AC550" s="1" t="e">
        <f ca="1">_xll.BDH($C$528,"ASSET_GROWTH","FQ2 2018","FQ2 2018","Currency=INR","Period=FQ","BEST_FPERIOD_OVERRIDE=FQ","FILING_STATUS=OR","EQY_CONSOLIDATED=Y","Sort=A","Dates=H","DateFormat=P","Fill=—","Direction=H","UseDPDF=Y")</f>
        <v>#NAME?</v>
      </c>
      <c r="AD550" s="1" t="e">
        <f ca="1">_xll.BDH($C$528,"MODIFIED_WORK_CAP_GROWTH","FQ2 2018","FQ2 2018","Currency=INR","Period=FQ","BEST_FPERIOD_OVERRIDE=FQ","FILING_STATUS=OR","EQY_CONSOLIDATED=Y","Sort=A","Dates=H","DateFormat=P","Fill=—","Direction=H","UseDPDF=Y")</f>
        <v>#NAME?</v>
      </c>
      <c r="AE550" s="1" t="e">
        <f ca="1">_xll.BDH($C$528,"WORK_CAP_GROWTH","FQ2 2018","FQ2 2018","Currency=INR","Period=FQ","BEST_FPERIOD_OVERRIDE=FQ","FILING_STATUS=OR","EQY_CONSOLIDATED=Y","Sort=A","Dates=H","DateFormat=P","Fill=—","Direction=H","UseDPDF=Y")</f>
        <v>#NAME?</v>
      </c>
      <c r="AF550" s="1" t="e">
        <f ca="1">_xll.BDH($C$528,"ACCOUNTS_PAYABLE_GROWTH_1YR","FQ2 2018","FQ2 2018","Currency=INR","Period=FQ","BEST_FPERIOD_OVERRIDE=FQ","FILING_STATUS=OR","EQY_CONSOLIDATED=Y","Sort=A","Dates=H","DateFormat=P","Fill=—","Direction=H","UseDPDF=Y")</f>
        <v>#NAME?</v>
      </c>
      <c r="AG550" s="1" t="e">
        <f ca="1">_xll.BDH($C$528,"SHORT_TERM_DEBT_1_YEAR_GROWTH","FQ2 2018","FQ2 2018","Currency=INR","Period=FQ","BEST_FPERIOD_OVERRIDE=FQ","FILING_STATUS=OR","EQY_CONSOLIDATED=Y","Sort=A","Dates=H","DateFormat=P","Fill=—","Direction=H","UseDPDF=Y")</f>
        <v>#NAME?</v>
      </c>
      <c r="AH550" s="1" t="e">
        <f ca="1">_xll.BDH($C$528,"TOTAL_DEBT_1_YEAR_GROWTH","FQ2 2018","FQ2 2018","Currency=INR","Period=FQ","BEST_FPERIOD_OVERRIDE=FQ","FILING_STATUS=OR","EQY_CONSOLIDATED=Y","Sort=A","Dates=H","DateFormat=P","Fill=—","Direction=H","UseDPDF=Y")</f>
        <v>#NAME?</v>
      </c>
      <c r="AI550" s="1" t="e">
        <f ca="1">_xll.BDH($C$528,"TOTAL_EQUITY_1_YEAR_GROWTH","FQ2 2018","FQ2 2018","Currency=INR","Period=FQ","BEST_FPERIOD_OVERRIDE=FQ","FILING_STATUS=OR","EQY_CONSOLIDATED=Y","Sort=A","Dates=H","DateFormat=P","Fill=—","Direction=H","UseDPDF=Y")</f>
        <v>#NAME?</v>
      </c>
      <c r="AJ550" s="1" t="e">
        <f ca="1">_xll.BDH($C$528,"GROWTH_IN_CAP","FQ2 2018","FQ2 2018","Currency=INR","Period=FQ","BEST_FPERIOD_OVERRIDE=FQ","FILING_STATUS=OR","EQY_CONSOLIDATED=Y","Sort=A","Dates=H","DateFormat=P","Fill=—","Direction=H","UseDPDF=Y")</f>
        <v>#NAME?</v>
      </c>
      <c r="AK550" s="1" t="e">
        <f ca="1">_xll.BDH($C$528,"BVPS_GROWTH","FQ2 2018","FQ2 2018","Currency=INR","Period=FQ","BEST_FPERIOD_OVERRIDE=FQ","FILING_STATUS=OR","EQY_CONSOLIDATED=Y","Sort=A","Dates=H","DateFormat=P","Fill=—","Direction=H","UseDPDF=Y")</f>
        <v>#NAME?</v>
      </c>
      <c r="AL550" s="1" t="e">
        <f ca="1">_xll.BDH($C$528,"CASH_FLOW_GROWTH","FQ2 2018","FQ2 2018","Currency=INR","Period=FQ","BEST_FPERIOD_OVERRIDE=FQ","FILING_STATUS=OR","EQY_CONSOLIDATED=Y","Sort=A","Dates=H","DateFormat=P","Fill=—","Direction=H","UseDPDF=Y")</f>
        <v>#NAME?</v>
      </c>
      <c r="AM550" s="1" t="e">
        <f ca="1">_xll.BDH($C$528,"GEO_GROW_NET_SALES","FQ2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50" s="1" t="e">
        <f ca="1">_xll.BDH($C$528,"GEO_GROW_EBITDA","FQ2 2018","FQ2 2018","Currency=INR","Period=FQ","BEST_FPERIOD_OVERRIDE=FQ","FILING_STATUS=OR","EQY_CONSOLIDATED=Y","FA_ADJUSTED=GAAP","Sort=A","Dates=H","DateFormat=P","Fill=—","Direction=H","UseDPDF=Y")</f>
        <v>#NAME?</v>
      </c>
      <c r="AO550" s="1" t="e">
        <f ca="1">_xll.BDH($C$528,"GEO_GROW_OPER_INC","FQ2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50" s="1" t="e">
        <f ca="1">_xll.BDH($C$528,"NET_INCOME_TO_COMMON_5_YR_GROWTH","FQ2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50" s="1" t="e">
        <f ca="1">_xll.BDH($C$528,"5Y_GEO_GROWTH_DILUTED_EPS","FQ2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50" s="1" t="e">
        <f ca="1">_xll.BDH($C$528,"GEO_GROW_DVD_PER_SH","FQ2 2018","FQ2 2018","Currency=INR","Period=FQ","BEST_FPERIOD_OVERRIDE=FQ","FILING_STATUS=OR","EQY_CONSOLIDATED=Y","Sort=A","Dates=H","DateFormat=P","Fill=—","Direction=H","UseDPDF=Y")</f>
        <v>#NAME?</v>
      </c>
      <c r="AS550" s="1" t="e">
        <f ca="1">_xll.BDH($C$528,"ACCOUNTS_RECEIVABLE_5_YR_GROWTH","FQ2 2018","FQ2 2018","Currency=INR","Period=FQ","BEST_FPERIOD_OVERRIDE=FQ","FILING_STATUS=OR","EQY_CONSOLIDATED=Y","Sort=A","Dates=H","DateFormat=P","Fill=—","Direction=H","UseDPDF=Y")</f>
        <v>#NAME?</v>
      </c>
      <c r="AT550" s="1" t="e">
        <f ca="1">_xll.BDH($C$528,"INVENTORY_5_YEAR_GROWTH","FQ2 2018","FQ2 2018","Currency=INR","Period=FQ","BEST_FPERIOD_OVERRIDE=FQ","FILING_STATUS=OR","EQY_CONSOLIDATED=Y","Sort=A","Dates=H","DateFormat=P","Fill=—","Direction=H","UseDPDF=Y")</f>
        <v>#NAME?</v>
      </c>
      <c r="AU550" s="1" t="e">
        <f ca="1">_xll.BDH($C$528,"NET_FIXED_ASSETS_5_YEAR_GROWTH","FQ2 2018","FQ2 2018","Currency=INR","Period=FQ","BEST_FPERIOD_OVERRIDE=FQ","FILING_STATUS=OR","EQY_CONSOLIDATED=Y","Sort=A","Dates=H","DateFormat=P","Fill=—","Direction=H","UseDPDF=Y")</f>
        <v>#NAME?</v>
      </c>
      <c r="AV550" s="1" t="e">
        <f ca="1">_xll.BDH($C$528,"GEO_GROW_TOT_ASSET","FQ2 2018","FQ2 2018","Currency=INR","Period=FQ","BEST_FPERIOD_OVERRIDE=FQ","FILING_STATUS=OR","EQY_CONSOLIDATED=Y","Sort=A","Dates=H","DateFormat=P","Fill=—","Direction=H","UseDPDF=Y")</f>
        <v>#NAME?</v>
      </c>
      <c r="AW550" s="1" t="e">
        <f ca="1">_xll.BDH($C$528,"MODIFIED_WORKING_CPTL_5YR_GRWTH","FQ2 2018","FQ2 2018","Currency=INR","Period=FQ","BEST_FPERIOD_OVERRIDE=FQ","FILING_STATUS=OR","EQY_CONSOLIDATED=Y","Sort=A","Dates=H","DateFormat=P","Fill=—","Direction=H","UseDPDF=Y")</f>
        <v>#NAME?</v>
      </c>
      <c r="AX550" s="1" t="e">
        <f ca="1">_xll.BDH($C$528,"WORKING_CAPITAL_5_YEAR_GROWTH","FQ2 2018","FQ2 2018","Currency=INR","Period=FQ","BEST_FPERIOD_OVERRIDE=FQ","FILING_STATUS=OR","EQY_CONSOLIDATED=Y","Sort=A","Dates=H","DateFormat=P","Fill=—","Direction=H","UseDPDF=Y")</f>
        <v>#NAME?</v>
      </c>
      <c r="AY550" s="1" t="e">
        <f ca="1">_xll.BDH($C$528,"ACCOUNTS_PAYABLE_5_YEAR_GROWTH","FQ2 2018","FQ2 2018","Currency=INR","Period=FQ","BEST_FPERIOD_OVERRIDE=FQ","FILING_STATUS=OR","EQY_CONSOLIDATED=Y","Sort=A","Dates=H","DateFormat=P","Fill=—","Direction=H","UseDPDF=Y")</f>
        <v>#NAME?</v>
      </c>
      <c r="AZ550" s="1" t="e">
        <f ca="1">_xll.BDH($C$528,"SHORT_TERM_DEBT_5_YEAR_GROWTH","FQ2 2018","FQ2 2018","Currency=INR","Period=FQ","BEST_FPERIOD_OVERRIDE=FQ","FILING_STATUS=OR","EQY_CONSOLIDATED=Y","Sort=A","Dates=H","DateFormat=P","Fill=—","Direction=H","UseDPDF=Y")</f>
        <v>#NAME?</v>
      </c>
      <c r="BA550" s="1" t="e">
        <f ca="1">_xll.BDH($C$528,"TOTAL_DEBT_5_YEAR_GROWTH","FQ2 2018","FQ2 2018","Currency=INR","Period=FQ","BEST_FPERIOD_OVERRIDE=FQ","FILING_STATUS=OR","EQY_CONSOLIDATED=Y","Sort=A","Dates=H","DateFormat=P","Fill=—","Direction=H","UseDPDF=Y")</f>
        <v>#NAME?</v>
      </c>
      <c r="BB550" s="1" t="e">
        <f ca="1">_xll.BDH($C$528,"GEO_GROW_TOT_SHRHLDR_EQY","FQ2 2018","FQ2 2018","Currency=INR","Period=FQ","BEST_FPERIOD_OVERRIDE=FQ","FILING_STATUS=OR","EQY_CONSOLIDATED=Y","Sort=A","Dates=H","DateFormat=P","Fill=—","Direction=H","UseDPDF=Y")</f>
        <v>#NAME?</v>
      </c>
      <c r="BC550" s="1" t="e">
        <f ca="1">_xll.BDH($C$528,"TOTAL_CAPITAL_5_YEAR_GROWTH","FQ2 2018","FQ2 2018","Currency=INR","Period=FQ","BEST_FPERIOD_OVERRIDE=FQ","FILING_STATUS=OR","EQY_CONSOLIDATED=Y","Sort=A","Dates=H","DateFormat=P","Fill=—","Direction=H","UseDPDF=Y")</f>
        <v>#NAME?</v>
      </c>
      <c r="BD550" s="1" t="e">
        <f ca="1">_xll.BDH($C$528,"GEO_GROW_BOOK_VAL","FQ2 2018","FQ2 2018","Currency=INR","Period=FQ","BEST_FPERIOD_OVERRIDE=FQ","FILING_STATUS=OR","EQY_CONSOLIDATED=Y","Sort=A","Dates=H","DateFormat=P","Fill=—","Direction=H","UseDPDF=Y")</f>
        <v>#NAME?</v>
      </c>
      <c r="BE550" s="1" t="e">
        <f ca="1">_xll.BDH($C$528,"GEO_GROW_CASH_OPER_ACT","FQ2 2018","FQ2 2018","Currency=INR","Period=FQ","BEST_FPERIOD_OVERRIDE=FQ","FILING_STATUS=OR","EQY_CONSOLIDATED=Y","Sort=A","Dates=H","DateFormat=P","Fill=—","Direction=H","UseDPDF=Y")</f>
        <v>#NAME?</v>
      </c>
      <c r="BF550" s="1" t="e">
        <f ca="1">_xll.BDH($C$528,"REVENUE_SEQUENTIAL_GROWTH","FQ2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50" s="1" t="e">
        <f ca="1">_xll.BDH($C$528,"EBITDA_SEQUENTIAL_GROWTH","FQ2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50" s="1" t="e">
        <f ca="1">_xll.BDH($C$528,"OPERATING_INCOME_SEQ_GROWTH","FQ2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50" s="1" t="e">
        <f ca="1">_xll.BDH($C$528,"NET_INCOME_TO_COMMON_SEQ_GROWTH","FQ2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50" s="1" t="e">
        <f ca="1">_xll.BDH($C$528,"EPS_DILUTED_SEQUENTIAL_GROWTH","FQ2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50" s="1" t="e">
        <f ca="1">_xll.BDH($C$528,"DPS_SEQUENTIAL_GROWTH","FQ2 2018","FQ2 2018","Currency=INR","Period=FQ","BEST_FPERIOD_OVERRIDE=FQ","FILING_STATUS=OR","EQY_CONSOLIDATED=Y","Sort=A","Dates=H","DateFormat=P","Fill=—","Direction=H","UseDPDF=Y")</f>
        <v>#NAME?</v>
      </c>
      <c r="BL550" s="1" t="e">
        <f ca="1">_xll.BDH($C$528,"ACCOUNTS_RECEIVABLE_SEQ_GROWTH","FQ2 2018","FQ2 2018","Currency=INR","Period=FQ","BEST_FPERIOD_OVERRIDE=FQ","FILING_STATUS=OR","EQY_CONSOLIDATED=Y","Sort=A","Dates=H","DateFormat=P","Fill=—","Direction=H","UseDPDF=Y")</f>
        <v>#NAME?</v>
      </c>
      <c r="BM550" s="1" t="e">
        <f ca="1">_xll.BDH($C$528,"INVENTORY_SEQUENTIAL_GROWTH","FQ2 2018","FQ2 2018","Currency=INR","Period=FQ","BEST_FPERIOD_OVERRIDE=FQ","FILING_STATUS=OR","EQY_CONSOLIDATED=Y","Sort=A","Dates=H","DateFormat=P","Fill=—","Direction=H","UseDPDF=Y")</f>
        <v>#NAME?</v>
      </c>
      <c r="BN550" s="1" t="e">
        <f ca="1">_xll.BDH($C$528,"FIXED_ASSETS_SEQUENTIAL_GROWTH","FQ2 2018","FQ2 2018","Currency=INR","Period=FQ","BEST_FPERIOD_OVERRIDE=FQ","FILING_STATUS=OR","EQY_CONSOLIDATED=Y","Sort=A","Dates=H","DateFormat=P","Fill=—","Direction=H","UseDPDF=Y")</f>
        <v>#NAME?</v>
      </c>
      <c r="BO550" s="1" t="e">
        <f ca="1">_xll.BDH($C$528,"TOTAL_ASSETS_SEQUENTIAL_GROWTH","FQ2 2018","FQ2 2018","Currency=INR","Period=FQ","BEST_FPERIOD_OVERRIDE=FQ","FILING_STATUS=OR","EQY_CONSOLIDATED=Y","Sort=A","Dates=H","DateFormat=P","Fill=—","Direction=H","UseDPDF=Y")</f>
        <v>#NAME?</v>
      </c>
      <c r="BP550" s="1" t="e">
        <f ca="1">_xll.BDH($C$528,"MODIFIED_WORKING_CPTL_SEQ_GRWTH","FQ2 2018","FQ2 2018","Currency=INR","Period=FQ","BEST_FPERIOD_OVERRIDE=FQ","FILING_STATUS=OR","EQY_CONSOLIDATED=Y","Sort=A","Dates=H","DateFormat=P","Fill=—","Direction=H","UseDPDF=Y")</f>
        <v>#NAME?</v>
      </c>
      <c r="BQ550" s="1" t="e">
        <f ca="1">_xll.BDH($C$528,"WORKING_CAPITAL_SEQ_GROWTH","FQ2 2018","FQ2 2018","Currency=INR","Period=FQ","BEST_FPERIOD_OVERRIDE=FQ","FILING_STATUS=OR","EQY_CONSOLIDATED=Y","Sort=A","Dates=H","DateFormat=P","Fill=—","Direction=H","UseDPDF=Y")</f>
        <v>#NAME?</v>
      </c>
      <c r="BR550" s="1" t="e">
        <f ca="1">_xll.BDH($C$528,"ACCOUNTS_PAYABLE_SEQ_GROWTH","FQ2 2018","FQ2 2018","Currency=INR","Period=FQ","BEST_FPERIOD_OVERRIDE=FQ","FILING_STATUS=OR","EQY_CONSOLIDATED=Y","Sort=A","Dates=H","DateFormat=P","Fill=—","Direction=H","UseDPDF=Y")</f>
        <v>#NAME?</v>
      </c>
      <c r="BS550" s="1" t="e">
        <f ca="1">_xll.BDH($C$528,"ST_DEBT_SEQUENTIAL_GROWTH","FQ2 2018","FQ2 2018","Currency=INR","Period=FQ","BEST_FPERIOD_OVERRIDE=FQ","FILING_STATUS=OR","EQY_CONSOLIDATED=Y","Sort=A","Dates=H","DateFormat=P","Fill=—","Direction=H","UseDPDF=Y")</f>
        <v>#NAME?</v>
      </c>
      <c r="BT550" s="1" t="e">
        <f ca="1">_xll.BDH($C$528,"TOTAL_DEBT_SEQUENTIAL_GROWTH","FQ2 2018","FQ2 2018","Currency=INR","Period=FQ","BEST_FPERIOD_OVERRIDE=FQ","FILING_STATUS=OR","EQY_CONSOLIDATED=Y","Sort=A","Dates=H","DateFormat=P","Fill=—","Direction=H","UseDPDF=Y")</f>
        <v>#NAME?</v>
      </c>
      <c r="BU550" s="1" t="e">
        <f ca="1">_xll.BDH($C$528,"TOTAL_EQUITY_SEQUENTIAL_GROWTH","FQ2 2018","FQ2 2018","Currency=INR","Period=FQ","BEST_FPERIOD_OVERRIDE=FQ","FILING_STATUS=OR","EQY_CONSOLIDATED=Y","Sort=A","Dates=H","DateFormat=P","Fill=—","Direction=H","UseDPDF=Y")</f>
        <v>#NAME?</v>
      </c>
      <c r="BV550" s="1" t="e">
        <f ca="1">_xll.BDH($C$528,"TOTAL_CAPITAL_SEQUENTIAL_GROWTH","FQ2 2018","FQ2 2018","Currency=INR","Period=FQ","BEST_FPERIOD_OVERRIDE=FQ","FILING_STATUS=OR","EQY_CONSOLIDATED=Y","Sort=A","Dates=H","DateFormat=P","Fill=—","Direction=H","UseDPDF=Y")</f>
        <v>#NAME?</v>
      </c>
      <c r="BW550" s="1" t="e">
        <f ca="1">_xll.BDH($C$528,"BPS_SEQUENTIAL_GROWTH","FQ2 2018","FQ2 2018","Currency=INR","Period=FQ","BEST_FPERIOD_OVERRIDE=FQ","FILING_STATUS=OR","EQY_CONSOLIDATED=Y","Sort=A","Dates=H","DateFormat=P","Fill=—","Direction=H","UseDPDF=Y")</f>
        <v>#NAME?</v>
      </c>
      <c r="BX550" s="1" t="e">
        <f ca="1">_xll.BDH($C$528,"CFO_SEQUENTIAL_GROWTH","FQ2 2018","FQ2 2018","Currency=INR","Period=FQ","BEST_FPERIOD_OVERRIDE=FQ","FILING_STATUS=OR","EQY_CONSOLIDATED=Y","Sort=A","Dates=H","DateFormat=P","Fill=—","Direction=H","UseDPDF=Y")</f>
        <v>#NAME?</v>
      </c>
      <c r="BY550" s="2" t="e">
        <f ca="1">_xll.BDH($C$528,"SHORT_AND_LONG_TERM_DEBT","FQ2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50" s="2" t="e">
        <f ca="1">_xll.BDH($C$528,"BS_ST_BORROW","FQ2 2018","FQ2 2018","Currency=INR","Period=FQ","BEST_FPERIOD_OVERRIDE=FQ","FILING_STATUS=OR","EQY_CONSOLIDATED=Y","SCALING_FORMAT=MLN","Sort=A","Dates=H","DateFormat=P","Fill=—","Direction=H","UseDPDF=Y")</f>
        <v>#NAME?</v>
      </c>
      <c r="CA550" s="2" t="e">
        <f ca="1">_xll.BDH($C$528,"BS_LT_BORROW","FQ2 2018","FQ2 2018","Currency=INR","Period=FQ","BEST_FPERIOD_OVERRIDE=FQ","FILING_STATUS=OR","EQY_CONSOLIDATED=Y","SCALING_FORMAT=MLN","Sort=A","Dates=H","DateFormat=P","Fill=—","Direction=H","UseDPDF=Y")</f>
        <v>#NAME?</v>
      </c>
      <c r="CB550" s="1" t="e">
        <f ca="1">_xll.BDH($C$528,"TOT_DEBT_TO_EBITDA","FQ2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50" s="1" t="e">
        <f ca="1">_xll.BDH($C$528,"NET_DEBT_TO_EBITDA","FQ2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50" s="1" t="e">
        <f ca="1">_xll.BDH($C$528,"TOTAL_DEBT_TO_EBIT","FQ2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50" s="1" t="e">
        <f ca="1">_xll.BDH($C$528,"NET_DEBT_TO_EBIT","FQ2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550" s="1" t="e">
        <f ca="1">_xll.BDH($C$528,"EBITDA_TO_INTEREST_EXPN","FQ2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50" s="1" t="e">
        <f ca="1">_xll.BDH($C$528,"COM_EQY_TO_TOT_ASSET","FQ2 2018","FQ2 2018","Currency=INR","Period=FQ","BEST_FPERIOD_OVERRIDE=FQ","FILING_STATUS=OR","EQY_CONSOLIDATED=Y","Sort=A","Dates=H","DateFormat=P","Fill=—","Direction=H","UseDPDF=Y")</f>
        <v>#NAME?</v>
      </c>
      <c r="CH550" s="1" t="e">
        <f ca="1">_xll.BDH($C$528,"LT_DEBT_TO_TOT_EQY","FQ2 2018","FQ2 2018","Currency=INR","Period=FQ","BEST_FPERIOD_OVERRIDE=FQ","FILING_STATUS=OR","EQY_CONSOLIDATED=Y","Sort=A","Dates=H","DateFormat=P","Fill=—","Direction=H","UseDPDF=Y")</f>
        <v>#NAME?</v>
      </c>
      <c r="CI550" s="1" t="e">
        <f ca="1">_xll.BDH($C$528,"LT_DEBT_TO_TOT_CAP","FQ2 2018","FQ2 2018","Currency=INR","Period=FQ","BEST_FPERIOD_OVERRIDE=FQ","FILING_STATUS=OR","EQY_CONSOLIDATED=Y","Sort=A","Dates=H","DateFormat=P","Fill=—","Direction=H","UseDPDF=Y")</f>
        <v>#NAME?</v>
      </c>
      <c r="CJ550" s="1" t="e">
        <f ca="1">_xll.BDH($C$528,"LT_DEBT_TO_TOT_ASSET","FQ2 2018","FQ2 2018","Currency=INR","Period=FQ","BEST_FPERIOD_OVERRIDE=FQ","FILING_STATUS=OR","EQY_CONSOLIDATED=Y","Sort=A","Dates=H","DateFormat=P","Fill=—","Direction=H","UseDPDF=Y")</f>
        <v>#NAME?</v>
      </c>
      <c r="CK550" s="1" t="e">
        <f ca="1">_xll.BDH($C$528,"TOT_DEBT_TO_TOT_EQY","FQ2 2018","FQ2 2018","Currency=INR","Period=FQ","BEST_FPERIOD_OVERRIDE=FQ","FILING_STATUS=OR","EQY_CONSOLIDATED=Y","Sort=A","Dates=H","DateFormat=P","Fill=—","Direction=H","UseDPDF=Y")</f>
        <v>#NAME?</v>
      </c>
      <c r="CL550" s="1" t="e">
        <f ca="1">_xll.BDH($C$528,"TOT_DEBT_TO_TOT_CAP","FQ2 2018","FQ2 2018","Currency=INR","Period=FQ","BEST_FPERIOD_OVERRIDE=FQ","FILING_STATUS=OR","EQY_CONSOLIDATED=Y","Sort=A","Dates=H","DateFormat=P","Fill=—","Direction=H","UseDPDF=Y")</f>
        <v>#NAME?</v>
      </c>
      <c r="CM550" s="1" t="e">
        <f ca="1">_xll.BDH($C$528,"TOT_DEBT_TO_TOT_ASSET","FQ2 2018","FQ2 2018","Currency=INR","Period=FQ","BEST_FPERIOD_OVERRIDE=FQ","FILING_STATUS=OR","EQY_CONSOLIDATED=Y","Sort=A","Dates=H","DateFormat=P","Fill=—","Direction=H","UseDPDF=Y")</f>
        <v>#NAME?</v>
      </c>
      <c r="CN550" s="1" t="e">
        <f ca="1">_xll.BDH($C$528,"NET_DEBT_TO_SHRHLDR_EQTY","FQ2 2018","FQ2 2018","Currency=INR","Period=FQ","BEST_FPERIOD_OVERRIDE=FQ","FILING_STATUS=OR","EQY_CONSOLIDATED=Y","Sort=A","Dates=H","DateFormat=P","Fill=—","Direction=H","UseDPDF=Y")</f>
        <v>#NAME?</v>
      </c>
      <c r="CO550" s="1" t="e">
        <f ca="1">_xll.BDH($C$528,"NET_DEBT_%_CAPITAL","FQ2 2018","FQ2 2018","Currency=INR","Period=FQ","BEST_FPERIOD_OVERRIDE=FQ","FILING_STATUS=OR","EQY_CONSOLIDATED=Y","Sort=A","Dates=H","DateFormat=P","Fill=—","Direction=H","UseDPDF=Y")</f>
        <v>#NAME?</v>
      </c>
      <c r="CP550" s="2" t="e">
        <f ca="1">_xll.BDH($C$528,"EBITDA","FQ2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50" s="2" t="e">
        <f ca="1">_xll.BDH($C$528,"EBITDA_AFTER_CAPEX","FQ2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50" s="2" t="e">
        <f ca="1">_xll.BDH($C$528,"IS_OPER_INC","FQ2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50" s="1" t="e">
        <f ca="1">_xll.BDH($C$528,"CASH_RATIO","FQ2 2018","FQ2 2018","Currency=INR","Period=FQ","BEST_FPERIOD_OVERRIDE=FQ","FILING_STATUS=OR","EQY_CONSOLIDATED=Y","Sort=A","Dates=H","DateFormat=P","Fill=—","Direction=H","UseDPDF=Y")</f>
        <v>#NAME?</v>
      </c>
      <c r="CT550" s="1" t="e">
        <f ca="1">_xll.BDH($C$528,"CUR_RATIO","FQ2 2018","FQ2 2018","Currency=INR","Period=FQ","BEST_FPERIOD_OVERRIDE=FQ","FILING_STATUS=OR","EQY_CONSOLIDATED=Y","Sort=A","Dates=H","DateFormat=P","Fill=—","Direction=H","UseDPDF=Y")</f>
        <v>#NAME?</v>
      </c>
      <c r="CU550" s="1" t="e">
        <f ca="1">_xll.BDH($C$528,"QUICK_RATIO","FQ2 2018","FQ2 2018","Currency=INR","Period=FQ","BEST_FPERIOD_OVERRIDE=FQ","FILING_STATUS=OR","EQY_CONSOLIDATED=Y","Sort=A","Dates=H","DateFormat=P","Fill=—","Direction=H","UseDPDF=Y")</f>
        <v>#NAME?</v>
      </c>
      <c r="CV550" s="1" t="e">
        <f ca="1">_xll.BDH($C$528,"ALTMAN_Z_SCORE","FQ2 2018","FQ2 2018","Currency=INR","Period=FQ","BEST_FPERIOD_OVERRIDE=FQ","FILING_STATUS=OR","EQY_CONSOLIDATED=Y","Sort=A","Dates=H","DateFormat=P","Fill=—","Direction=H","UseDPDF=Y")</f>
        <v>#NAME?</v>
      </c>
      <c r="CW550" s="3" t="e">
        <f ca="1">_xll.BDH($C$528,"ACCT_RCV_TURN","FQ2 2018","FQ2 2018","Currency=INR","Period=FQ","BEST_FPERIOD_OVERRIDE=FQ","FILING_STATUS=OR","EQY_CONSOLIDATED=Y","FA_ADJUSTED=GAAP","Sort=A","Dates=H","DateFormat=P","Fill=—","Direction=H","UseDPDF=Y")</f>
        <v>#NAME?</v>
      </c>
      <c r="CX550" s="1" t="e">
        <f ca="1">_xll.BDH($C$528,"ACCT_RCV_DAYS","FQ2 2018","FQ2 2018","Currency=INR","Period=FQ","BEST_FPERIOD_OVERRIDE=FQ","FILING_STATUS=OR","EQY_CONSOLIDATED=Y","FA_ADJUSTED=GAAP","Sort=A","Dates=H","DateFormat=P","Fill=—","Direction=H","UseDPDF=Y")</f>
        <v>#NAME?</v>
      </c>
      <c r="CY550" s="3" t="e">
        <f ca="1">_xll.BDH($C$528,"INVENT_TURN","FQ2 2018","FQ2 2018","Currency=INR","Period=FQ","BEST_FPERIOD_OVERRIDE=FQ","FILING_STATUS=OR","EQY_CONSOLIDATED=Y","FA_ADJUSTED=GAAP","Sort=A","Dates=H","DateFormat=P","Fill=—","Direction=H","UseDPDF=Y")</f>
        <v>#NAME?</v>
      </c>
      <c r="CZ550" s="1" t="e">
        <f ca="1">_xll.BDH($C$528,"INVENT_DAYS","FQ2 2018","FQ2 2018","Currency=INR","Period=FQ","BEST_FPERIOD_OVERRIDE=FQ","FILING_STATUS=OR","EQY_CONSOLIDATED=Y","FA_ADJUSTED=GAAP","Sort=A","Dates=H","DateFormat=P","Fill=—","Direction=H","UseDPDF=Y")</f>
        <v>#NAME?</v>
      </c>
      <c r="DA550" s="3" t="e">
        <f ca="1">_xll.BDH($C$528,"ACCOUNTS_PAYABLE_TURNOVER","FQ2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50" s="1" t="e">
        <f ca="1">_xll.BDH($C$528,"ACCOUNTS_PAYABLE_TURNOVER_DAYS","FQ2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50" s="3" t="e">
        <f ca="1">_xll.BDH($C$528,"CASH_CONVERSION_CYCLE","FQ2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50" s="3" t="e">
        <f ca="1">_xll.BDH($C$528,"INV_TO_CASH_DAYS","FQ2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550" s="4" t="e">
        <f ca="1">_xll.BDH($C$528,"BS_INVENTORIES","FQ2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550" s="2" t="e">
        <f ca="1">_xll.BDH($C$528,"INVTRY_RAW_MATERIALS","FQ2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50" s="2" t="e">
        <f ca="1">_xll.BDH($C$528,"INVTRY_IN_PROGRESS","FQ2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50" s="2" t="e">
        <f ca="1">_xll.BDH($C$528,"INVTRY_FINISHED_GOODS","FQ2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50" s="2" t="e">
        <f ca="1">_xll.BDH($C$528,"BS_OTHER_INV","FQ2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51" spans="1:113" x14ac:dyDescent="0.3">
      <c r="A551" s="6"/>
      <c r="B551" s="6"/>
      <c r="C551" s="6"/>
      <c r="D551" s="6"/>
      <c r="E551" t="s">
        <v>6</v>
      </c>
      <c r="F551" t="e">
        <f ca="1">_xll.BDH($C$528,"RETURN_COM_EQY","FQ3 2018","FQ3 2018","Currency=INR","Period=FQ","BEST_FPERIOD_OVERRIDE=FQ","FILING_STATUS=OR","EQY_CONSOLIDATED=Y","FA_ADJUSTED=GAAP","Sort=A","Dates=H","DateFormat=P","Fill=—","Direction=H","UseDPDF=Y")</f>
        <v>#NAME?</v>
      </c>
      <c r="G551" t="e">
        <f ca="1">_xll.BDH($C$528,"RETURN_ON_ASSET","FQ3 2018","FQ3 2018","Currency=INR","Period=FQ","BEST_FPERIOD_OVERRIDE=FQ","FILING_STATUS=OR","EQY_CONSOLIDATED=Y","FA_ADJUSTED=GAAP","Sort=A","Dates=H","DateFormat=P","Fill=—","Direction=H","UseDPDF=Y")</f>
        <v>#NAME?</v>
      </c>
      <c r="H551" t="e">
        <f ca="1">_xll.BDH($C$528,"RETURN_ON_CAP","FQ3 2018","FQ3 2018","Currency=INR","Period=FQ","BEST_FPERIOD_OVERRIDE=FQ","FILING_STATUS=OR","EQY_CONSOLIDATED=Y","FA_ADJUSTED=GAAP","Sort=A","Dates=H","DateFormat=P","Fill=—","Direction=H","UseDPDF=Y")</f>
        <v>#NAME?</v>
      </c>
      <c r="I551" t="e">
        <f ca="1">_xll.BDH($C$528,"RETURN_ON_INV_CAPITAL","FQ3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51" t="e">
        <f ca="1">_xll.BDH($C$528,"EBITDA_TO_REVENUE","FQ3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551" t="e">
        <f ca="1">_xll.BDH($C$528,"OPER_MARGIN","FQ3 2018","FQ3 2018","Currency=INR","Period=FQ","BEST_FPERIOD_OVERRIDE=FQ","FILING_STATUS=OR","EQY_CONSOLIDATED=Y","FA_ADJUSTED=GAAP","Sort=A","Dates=H","DateFormat=P","Fill=—","Direction=H","UseDPDF=Y")</f>
        <v>#NAME?</v>
      </c>
      <c r="L551" t="e">
        <f ca="1">_xll.BDH($C$528,"INCREMENTAL_OPERATING_MARGIN","FQ3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51" t="e">
        <f ca="1">_xll.BDH($C$528,"PRETAX_INC_TO_NET_SALES","FQ3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51" t="e">
        <f ca="1">_xll.BDH($C$528,"INC_BEF_XO_ITEMS_TO_NET_SALES","FQ3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51" t="e">
        <f ca="1">_xll.BDH($C$528,"PROF_MARGIN","FQ3 2018","FQ3 2018","Currency=INR","Period=FQ","BEST_FPERIOD_OVERRIDE=FQ","FILING_STATUS=OR","EQY_CONSOLIDATED=Y","FA_ADJUSTED=GAAP","Sort=A","Dates=H","DateFormat=P","Fill=—","Direction=H","UseDPDF=Y")</f>
        <v>#NAME?</v>
      </c>
      <c r="P551" t="e">
        <f ca="1">_xll.BDH($C$528,"NET_INCOME_TO_COMMON_MARGIN","FQ3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51" t="e">
        <f ca="1">_xll.BDH($C$528,"EFF_TAX_RATE","FQ3 2018","FQ3 2018","Currency=INR","Period=FQ","BEST_FPERIOD_OVERRIDE=FQ","FILING_STATUS=OR","EQY_CONSOLIDATED=Y","FA_ADJUSTED=GAAP","Sort=A","Dates=H","DateFormat=P","Fill=—","Direction=H","UseDPDF=Y")</f>
        <v>#NAME?</v>
      </c>
      <c r="R551" t="e">
        <f ca="1">_xll.BDH($C$528,"DVD_PAYOUT_RATIO","FQ3 2018","FQ3 2018","Currency=INR","Period=FQ","BEST_FPERIOD_OVERRIDE=FQ","FILING_STATUS=OR","EQY_CONSOLIDATED=Y","FA_ADJUSTED=GAAP","Sort=A","Dates=H","DateFormat=P","Fill=—","Direction=H","UseDPDF=Y")</f>
        <v>#NAME?</v>
      </c>
      <c r="S551" t="e">
        <f ca="1">_xll.BDH($C$528,"SUSTAIN_GROWTH_RT","FQ3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551" s="1" t="e">
        <f ca="1">_xll.BDH($C$528,"SALES_GROWTH","FQ3 2018","FQ3 2018","Currency=INR","Period=FQ","BEST_FPERIOD_OVERRIDE=FQ","FILING_STATUS=OR","EQY_CONSOLIDATED=Y","FA_ADJUSTED=GAAP","Sort=A","Dates=H","DateFormat=P","Fill=—","Direction=H","UseDPDF=Y")</f>
        <v>#NAME?</v>
      </c>
      <c r="U551" s="1" t="e">
        <f ca="1">_xll.BDH($C$528,"EBITDA_GROWTH","FQ3 2018","FQ3 2018","Currency=INR","Period=FQ","BEST_FPERIOD_OVERRIDE=FQ","FILING_STATUS=OR","EQY_CONSOLIDATED=Y","FA_ADJUSTED=GAAP","Sort=A","Dates=H","DateFormat=P","Fill=—","Direction=H","UseDPDF=Y")</f>
        <v>#NAME?</v>
      </c>
      <c r="V551" s="1" t="e">
        <f ca="1">_xll.BDH($C$528,"OPER_INC_GROWTH","FQ3 2018","FQ3 2018","Currency=INR","Period=FQ","BEST_FPERIOD_OVERRIDE=FQ","FILING_STATUS=OR","EQY_CONSOLIDATED=Y","FA_ADJUSTED=GAAP","Sort=A","Dates=H","DateFormat=P","Fill=—","Direction=H","UseDPDF=Y")</f>
        <v>#NAME?</v>
      </c>
      <c r="W551" s="1" t="e">
        <f ca="1">_xll.BDH($C$528,"EARN_FOR_COM_GROWTH","FQ3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51" s="1" t="e">
        <f ca="1">_xll.BDH($C$528,"DILUTED_EPS_AFT_XO_ITEMS_GROWTH","FQ3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51" s="1" t="e">
        <f ca="1">_xll.BDH($C$528,"DIVIDEND_PER_SHARE_1_YEAR_GROWTH","FQ3 2018","FQ3 2018","Currency=INR","Period=FQ","BEST_FPERIOD_OVERRIDE=FQ","FILING_STATUS=OR","EQY_CONSOLIDATED=Y","Sort=A","Dates=H","DateFormat=P","Fill=—","Direction=H","UseDPDF=Y")</f>
        <v>#NAME?</v>
      </c>
      <c r="Z551" s="1" t="e">
        <f ca="1">_xll.BDH($C$528,"ACCOUNTS_RECEIVABLE_GROWTH","FQ3 2018","FQ3 2018","Currency=INR","Period=FQ","BEST_FPERIOD_OVERRIDE=FQ","FILING_STATUS=OR","EQY_CONSOLIDATED=Y","Sort=A","Dates=H","DateFormat=P","Fill=—","Direction=H","UseDPDF=Y")</f>
        <v>#NAME?</v>
      </c>
      <c r="AA551" s="1" t="e">
        <f ca="1">_xll.BDH($C$528,"INVENTORY_GROWTH","FQ3 2018","FQ3 2018","Currency=INR","Period=FQ","BEST_FPERIOD_OVERRIDE=FQ","FILING_STATUS=OR","EQY_CONSOLIDATED=Y","Sort=A","Dates=H","DateFormat=P","Fill=—","Direction=H","UseDPDF=Y")</f>
        <v>#NAME?</v>
      </c>
      <c r="AB551" s="1" t="e">
        <f ca="1">_xll.BDH($C$528,"NET_FIXED_ASSETS_1_YEAR_GROWTH","FQ3 2018","FQ3 2018","Currency=INR","Period=FQ","BEST_FPERIOD_OVERRIDE=FQ","FILING_STATUS=OR","EQY_CONSOLIDATED=Y","Sort=A","Dates=H","DateFormat=P","Fill=—","Direction=H","UseDPDF=Y")</f>
        <v>#NAME?</v>
      </c>
      <c r="AC551" s="1" t="e">
        <f ca="1">_xll.BDH($C$528,"ASSET_GROWTH","FQ3 2018","FQ3 2018","Currency=INR","Period=FQ","BEST_FPERIOD_OVERRIDE=FQ","FILING_STATUS=OR","EQY_CONSOLIDATED=Y","Sort=A","Dates=H","DateFormat=P","Fill=—","Direction=H","UseDPDF=Y")</f>
        <v>#NAME?</v>
      </c>
      <c r="AD551" s="1" t="e">
        <f ca="1">_xll.BDH($C$528,"MODIFIED_WORK_CAP_GROWTH","FQ3 2018","FQ3 2018","Currency=INR","Period=FQ","BEST_FPERIOD_OVERRIDE=FQ","FILING_STATUS=OR","EQY_CONSOLIDATED=Y","Sort=A","Dates=H","DateFormat=P","Fill=—","Direction=H","UseDPDF=Y")</f>
        <v>#NAME?</v>
      </c>
      <c r="AE551" s="1" t="e">
        <f ca="1">_xll.BDH($C$528,"WORK_CAP_GROWTH","FQ3 2018","FQ3 2018","Currency=INR","Period=FQ","BEST_FPERIOD_OVERRIDE=FQ","FILING_STATUS=OR","EQY_CONSOLIDATED=Y","Sort=A","Dates=H","DateFormat=P","Fill=—","Direction=H","UseDPDF=Y")</f>
        <v>#NAME?</v>
      </c>
      <c r="AF551" s="1" t="e">
        <f ca="1">_xll.BDH($C$528,"ACCOUNTS_PAYABLE_GROWTH_1YR","FQ3 2018","FQ3 2018","Currency=INR","Period=FQ","BEST_FPERIOD_OVERRIDE=FQ","FILING_STATUS=OR","EQY_CONSOLIDATED=Y","Sort=A","Dates=H","DateFormat=P","Fill=—","Direction=H","UseDPDF=Y")</f>
        <v>#NAME?</v>
      </c>
      <c r="AG551" s="1" t="e">
        <f ca="1">_xll.BDH($C$528,"SHORT_TERM_DEBT_1_YEAR_GROWTH","FQ3 2018","FQ3 2018","Currency=INR","Period=FQ","BEST_FPERIOD_OVERRIDE=FQ","FILING_STATUS=OR","EQY_CONSOLIDATED=Y","Sort=A","Dates=H","DateFormat=P","Fill=—","Direction=H","UseDPDF=Y")</f>
        <v>#NAME?</v>
      </c>
      <c r="AH551" s="1" t="e">
        <f ca="1">_xll.BDH($C$528,"TOTAL_DEBT_1_YEAR_GROWTH","FQ3 2018","FQ3 2018","Currency=INR","Period=FQ","BEST_FPERIOD_OVERRIDE=FQ","FILING_STATUS=OR","EQY_CONSOLIDATED=Y","Sort=A","Dates=H","DateFormat=P","Fill=—","Direction=H","UseDPDF=Y")</f>
        <v>#NAME?</v>
      </c>
      <c r="AI551" s="1" t="e">
        <f ca="1">_xll.BDH($C$528,"TOTAL_EQUITY_1_YEAR_GROWTH","FQ3 2018","FQ3 2018","Currency=INR","Period=FQ","BEST_FPERIOD_OVERRIDE=FQ","FILING_STATUS=OR","EQY_CONSOLIDATED=Y","Sort=A","Dates=H","DateFormat=P","Fill=—","Direction=H","UseDPDF=Y")</f>
        <v>#NAME?</v>
      </c>
      <c r="AJ551" s="1" t="e">
        <f ca="1">_xll.BDH($C$528,"GROWTH_IN_CAP","FQ3 2018","FQ3 2018","Currency=INR","Period=FQ","BEST_FPERIOD_OVERRIDE=FQ","FILING_STATUS=OR","EQY_CONSOLIDATED=Y","Sort=A","Dates=H","DateFormat=P","Fill=—","Direction=H","UseDPDF=Y")</f>
        <v>#NAME?</v>
      </c>
      <c r="AK551" s="1" t="e">
        <f ca="1">_xll.BDH($C$528,"BVPS_GROWTH","FQ3 2018","FQ3 2018","Currency=INR","Period=FQ","BEST_FPERIOD_OVERRIDE=FQ","FILING_STATUS=OR","EQY_CONSOLIDATED=Y","Sort=A","Dates=H","DateFormat=P","Fill=—","Direction=H","UseDPDF=Y")</f>
        <v>#NAME?</v>
      </c>
      <c r="AL551" s="1" t="e">
        <f ca="1">_xll.BDH($C$528,"CASH_FLOW_GROWTH","FQ3 2018","FQ3 2018","Currency=INR","Period=FQ","BEST_FPERIOD_OVERRIDE=FQ","FILING_STATUS=OR","EQY_CONSOLIDATED=Y","Sort=A","Dates=H","DateFormat=P","Fill=—","Direction=H","UseDPDF=Y")</f>
        <v>#NAME?</v>
      </c>
      <c r="AM551" s="1" t="e">
        <f ca="1">_xll.BDH($C$528,"GEO_GROW_NET_SALES","FQ3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51" s="1" t="e">
        <f ca="1">_xll.BDH($C$528,"GEO_GROW_EBITDA","FQ3 2018","FQ3 2018","Currency=INR","Period=FQ","BEST_FPERIOD_OVERRIDE=FQ","FILING_STATUS=OR","EQY_CONSOLIDATED=Y","FA_ADJUSTED=GAAP","Sort=A","Dates=H","DateFormat=P","Fill=—","Direction=H","UseDPDF=Y")</f>
        <v>#NAME?</v>
      </c>
      <c r="AO551" s="1" t="e">
        <f ca="1">_xll.BDH($C$528,"GEO_GROW_OPER_INC","FQ3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51" s="1" t="e">
        <f ca="1">_xll.BDH($C$528,"NET_INCOME_TO_COMMON_5_YR_GROWTH","FQ3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51" s="1" t="e">
        <f ca="1">_xll.BDH($C$528,"5Y_GEO_GROWTH_DILUTED_EPS","FQ3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51" s="1" t="e">
        <f ca="1">_xll.BDH($C$528,"GEO_GROW_DVD_PER_SH","FQ3 2018","FQ3 2018","Currency=INR","Period=FQ","BEST_FPERIOD_OVERRIDE=FQ","FILING_STATUS=OR","EQY_CONSOLIDATED=Y","Sort=A","Dates=H","DateFormat=P","Fill=—","Direction=H","UseDPDF=Y")</f>
        <v>#NAME?</v>
      </c>
      <c r="AS551" s="1" t="e">
        <f ca="1">_xll.BDH($C$528,"ACCOUNTS_RECEIVABLE_5_YR_GROWTH","FQ3 2018","FQ3 2018","Currency=INR","Period=FQ","BEST_FPERIOD_OVERRIDE=FQ","FILING_STATUS=OR","EQY_CONSOLIDATED=Y","Sort=A","Dates=H","DateFormat=P","Fill=—","Direction=H","UseDPDF=Y")</f>
        <v>#NAME?</v>
      </c>
      <c r="AT551" s="1" t="e">
        <f ca="1">_xll.BDH($C$528,"INVENTORY_5_YEAR_GROWTH","FQ3 2018","FQ3 2018","Currency=INR","Period=FQ","BEST_FPERIOD_OVERRIDE=FQ","FILING_STATUS=OR","EQY_CONSOLIDATED=Y","Sort=A","Dates=H","DateFormat=P","Fill=—","Direction=H","UseDPDF=Y")</f>
        <v>#NAME?</v>
      </c>
      <c r="AU551" s="1" t="e">
        <f ca="1">_xll.BDH($C$528,"NET_FIXED_ASSETS_5_YEAR_GROWTH","FQ3 2018","FQ3 2018","Currency=INR","Period=FQ","BEST_FPERIOD_OVERRIDE=FQ","FILING_STATUS=OR","EQY_CONSOLIDATED=Y","Sort=A","Dates=H","DateFormat=P","Fill=—","Direction=H","UseDPDF=Y")</f>
        <v>#NAME?</v>
      </c>
      <c r="AV551" s="1" t="e">
        <f ca="1">_xll.BDH($C$528,"GEO_GROW_TOT_ASSET","FQ3 2018","FQ3 2018","Currency=INR","Period=FQ","BEST_FPERIOD_OVERRIDE=FQ","FILING_STATUS=OR","EQY_CONSOLIDATED=Y","Sort=A","Dates=H","DateFormat=P","Fill=—","Direction=H","UseDPDF=Y")</f>
        <v>#NAME?</v>
      </c>
      <c r="AW551" s="1" t="e">
        <f ca="1">_xll.BDH($C$528,"MODIFIED_WORKING_CPTL_5YR_GRWTH","FQ3 2018","FQ3 2018","Currency=INR","Period=FQ","BEST_FPERIOD_OVERRIDE=FQ","FILING_STATUS=OR","EQY_CONSOLIDATED=Y","Sort=A","Dates=H","DateFormat=P","Fill=—","Direction=H","UseDPDF=Y")</f>
        <v>#NAME?</v>
      </c>
      <c r="AX551" s="1" t="e">
        <f ca="1">_xll.BDH($C$528,"WORKING_CAPITAL_5_YEAR_GROWTH","FQ3 2018","FQ3 2018","Currency=INR","Period=FQ","BEST_FPERIOD_OVERRIDE=FQ","FILING_STATUS=OR","EQY_CONSOLIDATED=Y","Sort=A","Dates=H","DateFormat=P","Fill=—","Direction=H","UseDPDF=Y")</f>
        <v>#NAME?</v>
      </c>
      <c r="AY551" s="1" t="e">
        <f ca="1">_xll.BDH($C$528,"ACCOUNTS_PAYABLE_5_YEAR_GROWTH","FQ3 2018","FQ3 2018","Currency=INR","Period=FQ","BEST_FPERIOD_OVERRIDE=FQ","FILING_STATUS=OR","EQY_CONSOLIDATED=Y","Sort=A","Dates=H","DateFormat=P","Fill=—","Direction=H","UseDPDF=Y")</f>
        <v>#NAME?</v>
      </c>
      <c r="AZ551" s="1" t="e">
        <f ca="1">_xll.BDH($C$528,"SHORT_TERM_DEBT_5_YEAR_GROWTH","FQ3 2018","FQ3 2018","Currency=INR","Period=FQ","BEST_FPERIOD_OVERRIDE=FQ","FILING_STATUS=OR","EQY_CONSOLIDATED=Y","Sort=A","Dates=H","DateFormat=P","Fill=—","Direction=H","UseDPDF=Y")</f>
        <v>#NAME?</v>
      </c>
      <c r="BA551" s="1" t="e">
        <f ca="1">_xll.BDH($C$528,"TOTAL_DEBT_5_YEAR_GROWTH","FQ3 2018","FQ3 2018","Currency=INR","Period=FQ","BEST_FPERIOD_OVERRIDE=FQ","FILING_STATUS=OR","EQY_CONSOLIDATED=Y","Sort=A","Dates=H","DateFormat=P","Fill=—","Direction=H","UseDPDF=Y")</f>
        <v>#NAME?</v>
      </c>
      <c r="BB551" s="1" t="e">
        <f ca="1">_xll.BDH($C$528,"GEO_GROW_TOT_SHRHLDR_EQY","FQ3 2018","FQ3 2018","Currency=INR","Period=FQ","BEST_FPERIOD_OVERRIDE=FQ","FILING_STATUS=OR","EQY_CONSOLIDATED=Y","Sort=A","Dates=H","DateFormat=P","Fill=—","Direction=H","UseDPDF=Y")</f>
        <v>#NAME?</v>
      </c>
      <c r="BC551" s="1" t="e">
        <f ca="1">_xll.BDH($C$528,"TOTAL_CAPITAL_5_YEAR_GROWTH","FQ3 2018","FQ3 2018","Currency=INR","Period=FQ","BEST_FPERIOD_OVERRIDE=FQ","FILING_STATUS=OR","EQY_CONSOLIDATED=Y","Sort=A","Dates=H","DateFormat=P","Fill=—","Direction=H","UseDPDF=Y")</f>
        <v>#NAME?</v>
      </c>
      <c r="BD551" s="1" t="e">
        <f ca="1">_xll.BDH($C$528,"GEO_GROW_BOOK_VAL","FQ3 2018","FQ3 2018","Currency=INR","Period=FQ","BEST_FPERIOD_OVERRIDE=FQ","FILING_STATUS=OR","EQY_CONSOLIDATED=Y","Sort=A","Dates=H","DateFormat=P","Fill=—","Direction=H","UseDPDF=Y")</f>
        <v>#NAME?</v>
      </c>
      <c r="BE551" s="1" t="e">
        <f ca="1">_xll.BDH($C$528,"GEO_GROW_CASH_OPER_ACT","FQ3 2018","FQ3 2018","Currency=INR","Period=FQ","BEST_FPERIOD_OVERRIDE=FQ","FILING_STATUS=OR","EQY_CONSOLIDATED=Y","Sort=A","Dates=H","DateFormat=P","Fill=—","Direction=H","UseDPDF=Y")</f>
        <v>#NAME?</v>
      </c>
      <c r="BF551" s="1" t="e">
        <f ca="1">_xll.BDH($C$528,"REVENUE_SEQUENTIAL_GROWTH","FQ3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51" s="1" t="e">
        <f ca="1">_xll.BDH($C$528,"EBITDA_SEQUENTIAL_GROWTH","FQ3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51" s="1" t="e">
        <f ca="1">_xll.BDH($C$528,"OPERATING_INCOME_SEQ_GROWTH","FQ3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51" s="1" t="e">
        <f ca="1">_xll.BDH($C$528,"NET_INCOME_TO_COMMON_SEQ_GROWTH","FQ3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51" s="1" t="e">
        <f ca="1">_xll.BDH($C$528,"EPS_DILUTED_SEQUENTIAL_GROWTH","FQ3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51" s="1" t="e">
        <f ca="1">_xll.BDH($C$528,"DPS_SEQUENTIAL_GROWTH","FQ3 2018","FQ3 2018","Currency=INR","Period=FQ","BEST_FPERIOD_OVERRIDE=FQ","FILING_STATUS=OR","EQY_CONSOLIDATED=Y","Sort=A","Dates=H","DateFormat=P","Fill=—","Direction=H","UseDPDF=Y")</f>
        <v>#NAME?</v>
      </c>
      <c r="BL551" s="1" t="e">
        <f ca="1">_xll.BDH($C$528,"ACCOUNTS_RECEIVABLE_SEQ_GROWTH","FQ3 2018","FQ3 2018","Currency=INR","Period=FQ","BEST_FPERIOD_OVERRIDE=FQ","FILING_STATUS=OR","EQY_CONSOLIDATED=Y","Sort=A","Dates=H","DateFormat=P","Fill=—","Direction=H","UseDPDF=Y")</f>
        <v>#NAME?</v>
      </c>
      <c r="BM551" s="1" t="e">
        <f ca="1">_xll.BDH($C$528,"INVENTORY_SEQUENTIAL_GROWTH","FQ3 2018","FQ3 2018","Currency=INR","Period=FQ","BEST_FPERIOD_OVERRIDE=FQ","FILING_STATUS=OR","EQY_CONSOLIDATED=Y","Sort=A","Dates=H","DateFormat=P","Fill=—","Direction=H","UseDPDF=Y")</f>
        <v>#NAME?</v>
      </c>
      <c r="BN551" s="1" t="e">
        <f ca="1">_xll.BDH($C$528,"FIXED_ASSETS_SEQUENTIAL_GROWTH","FQ3 2018","FQ3 2018","Currency=INR","Period=FQ","BEST_FPERIOD_OVERRIDE=FQ","FILING_STATUS=OR","EQY_CONSOLIDATED=Y","Sort=A","Dates=H","DateFormat=P","Fill=—","Direction=H","UseDPDF=Y")</f>
        <v>#NAME?</v>
      </c>
      <c r="BO551" s="1" t="e">
        <f ca="1">_xll.BDH($C$528,"TOTAL_ASSETS_SEQUENTIAL_GROWTH","FQ3 2018","FQ3 2018","Currency=INR","Period=FQ","BEST_FPERIOD_OVERRIDE=FQ","FILING_STATUS=OR","EQY_CONSOLIDATED=Y","Sort=A","Dates=H","DateFormat=P","Fill=—","Direction=H","UseDPDF=Y")</f>
        <v>#NAME?</v>
      </c>
      <c r="BP551" s="1" t="e">
        <f ca="1">_xll.BDH($C$528,"MODIFIED_WORKING_CPTL_SEQ_GRWTH","FQ3 2018","FQ3 2018","Currency=INR","Period=FQ","BEST_FPERIOD_OVERRIDE=FQ","FILING_STATUS=OR","EQY_CONSOLIDATED=Y","Sort=A","Dates=H","DateFormat=P","Fill=—","Direction=H","UseDPDF=Y")</f>
        <v>#NAME?</v>
      </c>
      <c r="BQ551" s="1" t="e">
        <f ca="1">_xll.BDH($C$528,"WORKING_CAPITAL_SEQ_GROWTH","FQ3 2018","FQ3 2018","Currency=INR","Period=FQ","BEST_FPERIOD_OVERRIDE=FQ","FILING_STATUS=OR","EQY_CONSOLIDATED=Y","Sort=A","Dates=H","DateFormat=P","Fill=—","Direction=H","UseDPDF=Y")</f>
        <v>#NAME?</v>
      </c>
      <c r="BR551" s="1" t="e">
        <f ca="1">_xll.BDH($C$528,"ACCOUNTS_PAYABLE_SEQ_GROWTH","FQ3 2018","FQ3 2018","Currency=INR","Period=FQ","BEST_FPERIOD_OVERRIDE=FQ","FILING_STATUS=OR","EQY_CONSOLIDATED=Y","Sort=A","Dates=H","DateFormat=P","Fill=—","Direction=H","UseDPDF=Y")</f>
        <v>#NAME?</v>
      </c>
      <c r="BS551" s="1" t="e">
        <f ca="1">_xll.BDH($C$528,"ST_DEBT_SEQUENTIAL_GROWTH","FQ3 2018","FQ3 2018","Currency=INR","Period=FQ","BEST_FPERIOD_OVERRIDE=FQ","FILING_STATUS=OR","EQY_CONSOLIDATED=Y","Sort=A","Dates=H","DateFormat=P","Fill=—","Direction=H","UseDPDF=Y")</f>
        <v>#NAME?</v>
      </c>
      <c r="BT551" s="1" t="e">
        <f ca="1">_xll.BDH($C$528,"TOTAL_DEBT_SEQUENTIAL_GROWTH","FQ3 2018","FQ3 2018","Currency=INR","Period=FQ","BEST_FPERIOD_OVERRIDE=FQ","FILING_STATUS=OR","EQY_CONSOLIDATED=Y","Sort=A","Dates=H","DateFormat=P","Fill=—","Direction=H","UseDPDF=Y")</f>
        <v>#NAME?</v>
      </c>
      <c r="BU551" s="1" t="e">
        <f ca="1">_xll.BDH($C$528,"TOTAL_EQUITY_SEQUENTIAL_GROWTH","FQ3 2018","FQ3 2018","Currency=INR","Period=FQ","BEST_FPERIOD_OVERRIDE=FQ","FILING_STATUS=OR","EQY_CONSOLIDATED=Y","Sort=A","Dates=H","DateFormat=P","Fill=—","Direction=H","UseDPDF=Y")</f>
        <v>#NAME?</v>
      </c>
      <c r="BV551" s="1" t="e">
        <f ca="1">_xll.BDH($C$528,"TOTAL_CAPITAL_SEQUENTIAL_GROWTH","FQ3 2018","FQ3 2018","Currency=INR","Period=FQ","BEST_FPERIOD_OVERRIDE=FQ","FILING_STATUS=OR","EQY_CONSOLIDATED=Y","Sort=A","Dates=H","DateFormat=P","Fill=—","Direction=H","UseDPDF=Y")</f>
        <v>#NAME?</v>
      </c>
      <c r="BW551" s="1" t="e">
        <f ca="1">_xll.BDH($C$528,"BPS_SEQUENTIAL_GROWTH","FQ3 2018","FQ3 2018","Currency=INR","Period=FQ","BEST_FPERIOD_OVERRIDE=FQ","FILING_STATUS=OR","EQY_CONSOLIDATED=Y","Sort=A","Dates=H","DateFormat=P","Fill=—","Direction=H","UseDPDF=Y")</f>
        <v>#NAME?</v>
      </c>
      <c r="BX551" s="1" t="e">
        <f ca="1">_xll.BDH($C$528,"CFO_SEQUENTIAL_GROWTH","FQ3 2018","FQ3 2018","Currency=INR","Period=FQ","BEST_FPERIOD_OVERRIDE=FQ","FILING_STATUS=OR","EQY_CONSOLIDATED=Y","Sort=A","Dates=H","DateFormat=P","Fill=—","Direction=H","UseDPDF=Y")</f>
        <v>#NAME?</v>
      </c>
      <c r="BY551" s="2" t="e">
        <f ca="1">_xll.BDH($C$528,"SHORT_AND_LONG_TERM_DEBT","FQ3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51" s="2" t="e">
        <f ca="1">_xll.BDH($C$528,"BS_ST_BORROW","FQ3 2018","FQ3 2018","Currency=INR","Period=FQ","BEST_FPERIOD_OVERRIDE=FQ","FILING_STATUS=OR","EQY_CONSOLIDATED=Y","SCALING_FORMAT=MLN","Sort=A","Dates=H","DateFormat=P","Fill=—","Direction=H","UseDPDF=Y")</f>
        <v>#NAME?</v>
      </c>
      <c r="CA551" s="2" t="e">
        <f ca="1">_xll.BDH($C$528,"BS_LT_BORROW","FQ3 2018","FQ3 2018","Currency=INR","Period=FQ","BEST_FPERIOD_OVERRIDE=FQ","FILING_STATUS=OR","EQY_CONSOLIDATED=Y","SCALING_FORMAT=MLN","Sort=A","Dates=H","DateFormat=P","Fill=—","Direction=H","UseDPDF=Y")</f>
        <v>#NAME?</v>
      </c>
      <c r="CB551" s="1" t="e">
        <f ca="1">_xll.BDH($C$528,"TOT_DEBT_TO_EBITDA","FQ3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51" s="1" t="e">
        <f ca="1">_xll.BDH($C$528,"NET_DEBT_TO_EBITDA","FQ3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51" s="1" t="e">
        <f ca="1">_xll.BDH($C$528,"TOTAL_DEBT_TO_EBIT","FQ3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51" s="1" t="e">
        <f ca="1">_xll.BDH($C$528,"NET_DEBT_TO_EBIT","FQ3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551" s="1" t="e">
        <f ca="1">_xll.BDH($C$528,"EBITDA_TO_INTEREST_EXPN","FQ3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51" s="1" t="e">
        <f ca="1">_xll.BDH($C$528,"COM_EQY_TO_TOT_ASSET","FQ3 2018","FQ3 2018","Currency=INR","Period=FQ","BEST_FPERIOD_OVERRIDE=FQ","FILING_STATUS=OR","EQY_CONSOLIDATED=Y","Sort=A","Dates=H","DateFormat=P","Fill=—","Direction=H","UseDPDF=Y")</f>
        <v>#NAME?</v>
      </c>
      <c r="CH551" s="1" t="e">
        <f ca="1">_xll.BDH($C$528,"LT_DEBT_TO_TOT_EQY","FQ3 2018","FQ3 2018","Currency=INR","Period=FQ","BEST_FPERIOD_OVERRIDE=FQ","FILING_STATUS=OR","EQY_CONSOLIDATED=Y","Sort=A","Dates=H","DateFormat=P","Fill=—","Direction=H","UseDPDF=Y")</f>
        <v>#NAME?</v>
      </c>
      <c r="CI551" s="1" t="e">
        <f ca="1">_xll.BDH($C$528,"LT_DEBT_TO_TOT_CAP","FQ3 2018","FQ3 2018","Currency=INR","Period=FQ","BEST_FPERIOD_OVERRIDE=FQ","FILING_STATUS=OR","EQY_CONSOLIDATED=Y","Sort=A","Dates=H","DateFormat=P","Fill=—","Direction=H","UseDPDF=Y")</f>
        <v>#NAME?</v>
      </c>
      <c r="CJ551" s="1" t="e">
        <f ca="1">_xll.BDH($C$528,"LT_DEBT_TO_TOT_ASSET","FQ3 2018","FQ3 2018","Currency=INR","Period=FQ","BEST_FPERIOD_OVERRIDE=FQ","FILING_STATUS=OR","EQY_CONSOLIDATED=Y","Sort=A","Dates=H","DateFormat=P","Fill=—","Direction=H","UseDPDF=Y")</f>
        <v>#NAME?</v>
      </c>
      <c r="CK551" s="1" t="e">
        <f ca="1">_xll.BDH($C$528,"TOT_DEBT_TO_TOT_EQY","FQ3 2018","FQ3 2018","Currency=INR","Period=FQ","BEST_FPERIOD_OVERRIDE=FQ","FILING_STATUS=OR","EQY_CONSOLIDATED=Y","Sort=A","Dates=H","DateFormat=P","Fill=—","Direction=H","UseDPDF=Y")</f>
        <v>#NAME?</v>
      </c>
      <c r="CL551" s="1" t="e">
        <f ca="1">_xll.BDH($C$528,"TOT_DEBT_TO_TOT_CAP","FQ3 2018","FQ3 2018","Currency=INR","Period=FQ","BEST_FPERIOD_OVERRIDE=FQ","FILING_STATUS=OR","EQY_CONSOLIDATED=Y","Sort=A","Dates=H","DateFormat=P","Fill=—","Direction=H","UseDPDF=Y")</f>
        <v>#NAME?</v>
      </c>
      <c r="CM551" s="1" t="e">
        <f ca="1">_xll.BDH($C$528,"TOT_DEBT_TO_TOT_ASSET","FQ3 2018","FQ3 2018","Currency=INR","Period=FQ","BEST_FPERIOD_OVERRIDE=FQ","FILING_STATUS=OR","EQY_CONSOLIDATED=Y","Sort=A","Dates=H","DateFormat=P","Fill=—","Direction=H","UseDPDF=Y")</f>
        <v>#NAME?</v>
      </c>
      <c r="CN551" s="1" t="e">
        <f ca="1">_xll.BDH($C$528,"NET_DEBT_TO_SHRHLDR_EQTY","FQ3 2018","FQ3 2018","Currency=INR","Period=FQ","BEST_FPERIOD_OVERRIDE=FQ","FILING_STATUS=OR","EQY_CONSOLIDATED=Y","Sort=A","Dates=H","DateFormat=P","Fill=—","Direction=H","UseDPDF=Y")</f>
        <v>#NAME?</v>
      </c>
      <c r="CO551" s="1" t="e">
        <f ca="1">_xll.BDH($C$528,"NET_DEBT_%_CAPITAL","FQ3 2018","FQ3 2018","Currency=INR","Period=FQ","BEST_FPERIOD_OVERRIDE=FQ","FILING_STATUS=OR","EQY_CONSOLIDATED=Y","Sort=A","Dates=H","DateFormat=P","Fill=—","Direction=H","UseDPDF=Y")</f>
        <v>#NAME?</v>
      </c>
      <c r="CP551" s="2" t="e">
        <f ca="1">_xll.BDH($C$528,"EBITDA","FQ3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51" s="2" t="e">
        <f ca="1">_xll.BDH($C$528,"EBITDA_AFTER_CAPEX","FQ3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51" s="2" t="e">
        <f ca="1">_xll.BDH($C$528,"IS_OPER_INC","FQ3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51" s="1" t="e">
        <f ca="1">_xll.BDH($C$528,"CASH_RATIO","FQ3 2018","FQ3 2018","Currency=INR","Period=FQ","BEST_FPERIOD_OVERRIDE=FQ","FILING_STATUS=OR","EQY_CONSOLIDATED=Y","Sort=A","Dates=H","DateFormat=P","Fill=—","Direction=H","UseDPDF=Y")</f>
        <v>#NAME?</v>
      </c>
      <c r="CT551" s="1" t="e">
        <f ca="1">_xll.BDH($C$528,"CUR_RATIO","FQ3 2018","FQ3 2018","Currency=INR","Period=FQ","BEST_FPERIOD_OVERRIDE=FQ","FILING_STATUS=OR","EQY_CONSOLIDATED=Y","Sort=A","Dates=H","DateFormat=P","Fill=—","Direction=H","UseDPDF=Y")</f>
        <v>#NAME?</v>
      </c>
      <c r="CU551" s="1" t="e">
        <f ca="1">_xll.BDH($C$528,"QUICK_RATIO","FQ3 2018","FQ3 2018","Currency=INR","Period=FQ","BEST_FPERIOD_OVERRIDE=FQ","FILING_STATUS=OR","EQY_CONSOLIDATED=Y","Sort=A","Dates=H","DateFormat=P","Fill=—","Direction=H","UseDPDF=Y")</f>
        <v>#NAME?</v>
      </c>
      <c r="CV551" s="1" t="e">
        <f ca="1">_xll.BDH($C$528,"ALTMAN_Z_SCORE","FQ3 2018","FQ3 2018","Currency=INR","Period=FQ","BEST_FPERIOD_OVERRIDE=FQ","FILING_STATUS=OR","EQY_CONSOLIDATED=Y","Sort=A","Dates=H","DateFormat=P","Fill=—","Direction=H","UseDPDF=Y")</f>
        <v>#NAME?</v>
      </c>
      <c r="CW551" s="3" t="e">
        <f ca="1">_xll.BDH($C$528,"ACCT_RCV_TURN","FQ3 2018","FQ3 2018","Currency=INR","Period=FQ","BEST_FPERIOD_OVERRIDE=FQ","FILING_STATUS=OR","EQY_CONSOLIDATED=Y","FA_ADJUSTED=GAAP","Sort=A","Dates=H","DateFormat=P","Fill=—","Direction=H","UseDPDF=Y")</f>
        <v>#NAME?</v>
      </c>
      <c r="CX551" s="1" t="e">
        <f ca="1">_xll.BDH($C$528,"ACCT_RCV_DAYS","FQ3 2018","FQ3 2018","Currency=INR","Period=FQ","BEST_FPERIOD_OVERRIDE=FQ","FILING_STATUS=OR","EQY_CONSOLIDATED=Y","FA_ADJUSTED=GAAP","Sort=A","Dates=H","DateFormat=P","Fill=—","Direction=H","UseDPDF=Y")</f>
        <v>#NAME?</v>
      </c>
      <c r="CY551" s="3" t="e">
        <f ca="1">_xll.BDH($C$528,"INVENT_TURN","FQ3 2018","FQ3 2018","Currency=INR","Period=FQ","BEST_FPERIOD_OVERRIDE=FQ","FILING_STATUS=OR","EQY_CONSOLIDATED=Y","FA_ADJUSTED=GAAP","Sort=A","Dates=H","DateFormat=P","Fill=—","Direction=H","UseDPDF=Y")</f>
        <v>#NAME?</v>
      </c>
      <c r="CZ551" s="1" t="e">
        <f ca="1">_xll.BDH($C$528,"INVENT_DAYS","FQ3 2018","FQ3 2018","Currency=INR","Period=FQ","BEST_FPERIOD_OVERRIDE=FQ","FILING_STATUS=OR","EQY_CONSOLIDATED=Y","FA_ADJUSTED=GAAP","Sort=A","Dates=H","DateFormat=P","Fill=—","Direction=H","UseDPDF=Y")</f>
        <v>#NAME?</v>
      </c>
      <c r="DA551" s="3" t="e">
        <f ca="1">_xll.BDH($C$528,"ACCOUNTS_PAYABLE_TURNOVER","FQ3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51" s="1" t="e">
        <f ca="1">_xll.BDH($C$528,"ACCOUNTS_PAYABLE_TURNOVER_DAYS","FQ3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51" s="3" t="e">
        <f ca="1">_xll.BDH($C$528,"CASH_CONVERSION_CYCLE","FQ3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51" s="3" t="e">
        <f ca="1">_xll.BDH($C$528,"INV_TO_CASH_DAYS","FQ3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551" s="4" t="e">
        <f ca="1">_xll.BDH($C$528,"BS_INVENTORIES","FQ3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551" s="2" t="e">
        <f ca="1">_xll.BDH($C$528,"INVTRY_RAW_MATERIALS","FQ3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51" s="2" t="e">
        <f ca="1">_xll.BDH($C$528,"INVTRY_IN_PROGRESS","FQ3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51" s="2" t="e">
        <f ca="1">_xll.BDH($C$528,"INVTRY_FINISHED_GOODS","FQ3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51" s="2" t="e">
        <f ca="1">_xll.BDH($C$528,"BS_OTHER_INV","FQ3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52" spans="1:113" x14ac:dyDescent="0.3">
      <c r="A552" s="6"/>
      <c r="B552" s="6"/>
      <c r="C552" s="6"/>
      <c r="D552" s="6"/>
      <c r="E552" t="s">
        <v>7</v>
      </c>
      <c r="F552" t="e">
        <f ca="1">_xll.BDH($C$528,"RETURN_COM_EQY","FQ4 2018","FQ4 2018","Currency=INR","Period=FQ","BEST_FPERIOD_OVERRIDE=FQ","FILING_STATUS=OR","EQY_CONSOLIDATED=Y","FA_ADJUSTED=GAAP","Sort=A","Dates=H","DateFormat=P","Fill=—","Direction=H","UseDPDF=Y")</f>
        <v>#NAME?</v>
      </c>
      <c r="G552" t="e">
        <f ca="1">_xll.BDH($C$528,"RETURN_ON_ASSET","FQ4 2018","FQ4 2018","Currency=INR","Period=FQ","BEST_FPERIOD_OVERRIDE=FQ","FILING_STATUS=OR","EQY_CONSOLIDATED=Y","FA_ADJUSTED=GAAP","Sort=A","Dates=H","DateFormat=P","Fill=—","Direction=H","UseDPDF=Y")</f>
        <v>#NAME?</v>
      </c>
      <c r="H552" t="e">
        <f ca="1">_xll.BDH($C$528,"RETURN_ON_CAP","FQ4 2018","FQ4 2018","Currency=INR","Period=FQ","BEST_FPERIOD_OVERRIDE=FQ","FILING_STATUS=OR","EQY_CONSOLIDATED=Y","FA_ADJUSTED=GAAP","Sort=A","Dates=H","DateFormat=P","Fill=—","Direction=H","UseDPDF=Y")</f>
        <v>#NAME?</v>
      </c>
      <c r="I552" t="e">
        <f ca="1">_xll.BDH($C$528,"RETURN_ON_INV_CAPITAL","FQ4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52" t="e">
        <f ca="1">_xll.BDH($C$528,"EBITDA_TO_REVENUE","FQ4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552" t="e">
        <f ca="1">_xll.BDH($C$528,"OPER_MARGIN","FQ4 2018","FQ4 2018","Currency=INR","Period=FQ","BEST_FPERIOD_OVERRIDE=FQ","FILING_STATUS=OR","EQY_CONSOLIDATED=Y","FA_ADJUSTED=GAAP","Sort=A","Dates=H","DateFormat=P","Fill=—","Direction=H","UseDPDF=Y")</f>
        <v>#NAME?</v>
      </c>
      <c r="L552" t="e">
        <f ca="1">_xll.BDH($C$528,"INCREMENTAL_OPERATING_MARGIN","FQ4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52" t="e">
        <f ca="1">_xll.BDH($C$528,"PRETAX_INC_TO_NET_SALES","FQ4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52" t="e">
        <f ca="1">_xll.BDH($C$528,"INC_BEF_XO_ITEMS_TO_NET_SALES","FQ4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52" t="e">
        <f ca="1">_xll.BDH($C$528,"PROF_MARGIN","FQ4 2018","FQ4 2018","Currency=INR","Period=FQ","BEST_FPERIOD_OVERRIDE=FQ","FILING_STATUS=OR","EQY_CONSOLIDATED=Y","FA_ADJUSTED=GAAP","Sort=A","Dates=H","DateFormat=P","Fill=—","Direction=H","UseDPDF=Y")</f>
        <v>#NAME?</v>
      </c>
      <c r="P552" t="e">
        <f ca="1">_xll.BDH($C$528,"NET_INCOME_TO_COMMON_MARGIN","FQ4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52" t="e">
        <f ca="1">_xll.BDH($C$528,"EFF_TAX_RATE","FQ4 2018","FQ4 2018","Currency=INR","Period=FQ","BEST_FPERIOD_OVERRIDE=FQ","FILING_STATUS=OR","EQY_CONSOLIDATED=Y","FA_ADJUSTED=GAAP","Sort=A","Dates=H","DateFormat=P","Fill=—","Direction=H","UseDPDF=Y")</f>
        <v>#NAME?</v>
      </c>
      <c r="R552" t="e">
        <f ca="1">_xll.BDH($C$528,"DVD_PAYOUT_RATIO","FQ4 2018","FQ4 2018","Currency=INR","Period=FQ","BEST_FPERIOD_OVERRIDE=FQ","FILING_STATUS=OR","EQY_CONSOLIDATED=Y","FA_ADJUSTED=GAAP","Sort=A","Dates=H","DateFormat=P","Fill=—","Direction=H","UseDPDF=Y")</f>
        <v>#NAME?</v>
      </c>
      <c r="S552" t="e">
        <f ca="1">_xll.BDH($C$528,"SUSTAIN_GROWTH_RT","FQ4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552" s="1" t="e">
        <f ca="1">_xll.BDH($C$528,"SALES_GROWTH","FQ4 2018","FQ4 2018","Currency=INR","Period=FQ","BEST_FPERIOD_OVERRIDE=FQ","FILING_STATUS=OR","EQY_CONSOLIDATED=Y","FA_ADJUSTED=GAAP","Sort=A","Dates=H","DateFormat=P","Fill=—","Direction=H","UseDPDF=Y")</f>
        <v>#NAME?</v>
      </c>
      <c r="U552" s="1" t="e">
        <f ca="1">_xll.BDH($C$528,"EBITDA_GROWTH","FQ4 2018","FQ4 2018","Currency=INR","Period=FQ","BEST_FPERIOD_OVERRIDE=FQ","FILING_STATUS=OR","EQY_CONSOLIDATED=Y","FA_ADJUSTED=GAAP","Sort=A","Dates=H","DateFormat=P","Fill=—","Direction=H","UseDPDF=Y")</f>
        <v>#NAME?</v>
      </c>
      <c r="V552" s="1" t="e">
        <f ca="1">_xll.BDH($C$528,"OPER_INC_GROWTH","FQ4 2018","FQ4 2018","Currency=INR","Period=FQ","BEST_FPERIOD_OVERRIDE=FQ","FILING_STATUS=OR","EQY_CONSOLIDATED=Y","FA_ADJUSTED=GAAP","Sort=A","Dates=H","DateFormat=P","Fill=—","Direction=H","UseDPDF=Y")</f>
        <v>#NAME?</v>
      </c>
      <c r="W552" s="1" t="e">
        <f ca="1">_xll.BDH($C$528,"EARN_FOR_COM_GROWTH","FQ4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52" s="1" t="e">
        <f ca="1">_xll.BDH($C$528,"DILUTED_EPS_AFT_XO_ITEMS_GROWTH","FQ4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52" s="1" t="e">
        <f ca="1">_xll.BDH($C$528,"DIVIDEND_PER_SHARE_1_YEAR_GROWTH","FQ4 2018","FQ4 2018","Currency=INR","Period=FQ","BEST_FPERIOD_OVERRIDE=FQ","FILING_STATUS=OR","EQY_CONSOLIDATED=Y","Sort=A","Dates=H","DateFormat=P","Fill=—","Direction=H","UseDPDF=Y")</f>
        <v>#NAME?</v>
      </c>
      <c r="Z552" s="1" t="e">
        <f ca="1">_xll.BDH($C$528,"ACCOUNTS_RECEIVABLE_GROWTH","FQ4 2018","FQ4 2018","Currency=INR","Period=FQ","BEST_FPERIOD_OVERRIDE=FQ","FILING_STATUS=OR","EQY_CONSOLIDATED=Y","Sort=A","Dates=H","DateFormat=P","Fill=—","Direction=H","UseDPDF=Y")</f>
        <v>#NAME?</v>
      </c>
      <c r="AA552" s="1" t="e">
        <f ca="1">_xll.BDH($C$528,"INVENTORY_GROWTH","FQ4 2018","FQ4 2018","Currency=INR","Period=FQ","BEST_FPERIOD_OVERRIDE=FQ","FILING_STATUS=OR","EQY_CONSOLIDATED=Y","Sort=A","Dates=H","DateFormat=P","Fill=—","Direction=H","UseDPDF=Y")</f>
        <v>#NAME?</v>
      </c>
      <c r="AB552" s="1" t="e">
        <f ca="1">_xll.BDH($C$528,"NET_FIXED_ASSETS_1_YEAR_GROWTH","FQ4 2018","FQ4 2018","Currency=INR","Period=FQ","BEST_FPERIOD_OVERRIDE=FQ","FILING_STATUS=OR","EQY_CONSOLIDATED=Y","Sort=A","Dates=H","DateFormat=P","Fill=—","Direction=H","UseDPDF=Y")</f>
        <v>#NAME?</v>
      </c>
      <c r="AC552" s="1" t="e">
        <f ca="1">_xll.BDH($C$528,"ASSET_GROWTH","FQ4 2018","FQ4 2018","Currency=INR","Period=FQ","BEST_FPERIOD_OVERRIDE=FQ","FILING_STATUS=OR","EQY_CONSOLIDATED=Y","Sort=A","Dates=H","DateFormat=P","Fill=—","Direction=H","UseDPDF=Y")</f>
        <v>#NAME?</v>
      </c>
      <c r="AD552" s="1" t="e">
        <f ca="1">_xll.BDH($C$528,"MODIFIED_WORK_CAP_GROWTH","FQ4 2018","FQ4 2018","Currency=INR","Period=FQ","BEST_FPERIOD_OVERRIDE=FQ","FILING_STATUS=OR","EQY_CONSOLIDATED=Y","Sort=A","Dates=H","DateFormat=P","Fill=—","Direction=H","UseDPDF=Y")</f>
        <v>#NAME?</v>
      </c>
      <c r="AE552" s="1" t="e">
        <f ca="1">_xll.BDH($C$528,"WORK_CAP_GROWTH","FQ4 2018","FQ4 2018","Currency=INR","Period=FQ","BEST_FPERIOD_OVERRIDE=FQ","FILING_STATUS=OR","EQY_CONSOLIDATED=Y","Sort=A","Dates=H","DateFormat=P","Fill=—","Direction=H","UseDPDF=Y")</f>
        <v>#NAME?</v>
      </c>
      <c r="AF552" s="1" t="e">
        <f ca="1">_xll.BDH($C$528,"ACCOUNTS_PAYABLE_GROWTH_1YR","FQ4 2018","FQ4 2018","Currency=INR","Period=FQ","BEST_FPERIOD_OVERRIDE=FQ","FILING_STATUS=OR","EQY_CONSOLIDATED=Y","Sort=A","Dates=H","DateFormat=P","Fill=—","Direction=H","UseDPDF=Y")</f>
        <v>#NAME?</v>
      </c>
      <c r="AG552" s="1" t="e">
        <f ca="1">_xll.BDH($C$528,"SHORT_TERM_DEBT_1_YEAR_GROWTH","FQ4 2018","FQ4 2018","Currency=INR","Period=FQ","BEST_FPERIOD_OVERRIDE=FQ","FILING_STATUS=OR","EQY_CONSOLIDATED=Y","Sort=A","Dates=H","DateFormat=P","Fill=—","Direction=H","UseDPDF=Y")</f>
        <v>#NAME?</v>
      </c>
      <c r="AH552" s="1" t="e">
        <f ca="1">_xll.BDH($C$528,"TOTAL_DEBT_1_YEAR_GROWTH","FQ4 2018","FQ4 2018","Currency=INR","Period=FQ","BEST_FPERIOD_OVERRIDE=FQ","FILING_STATUS=OR","EQY_CONSOLIDATED=Y","Sort=A","Dates=H","DateFormat=P","Fill=—","Direction=H","UseDPDF=Y")</f>
        <v>#NAME?</v>
      </c>
      <c r="AI552" s="1" t="e">
        <f ca="1">_xll.BDH($C$528,"TOTAL_EQUITY_1_YEAR_GROWTH","FQ4 2018","FQ4 2018","Currency=INR","Period=FQ","BEST_FPERIOD_OVERRIDE=FQ","FILING_STATUS=OR","EQY_CONSOLIDATED=Y","Sort=A","Dates=H","DateFormat=P","Fill=—","Direction=H","UseDPDF=Y")</f>
        <v>#NAME?</v>
      </c>
      <c r="AJ552" s="1" t="e">
        <f ca="1">_xll.BDH($C$528,"GROWTH_IN_CAP","FQ4 2018","FQ4 2018","Currency=INR","Period=FQ","BEST_FPERIOD_OVERRIDE=FQ","FILING_STATUS=OR","EQY_CONSOLIDATED=Y","Sort=A","Dates=H","DateFormat=P","Fill=—","Direction=H","UseDPDF=Y")</f>
        <v>#NAME?</v>
      </c>
      <c r="AK552" s="1" t="e">
        <f ca="1">_xll.BDH($C$528,"BVPS_GROWTH","FQ4 2018","FQ4 2018","Currency=INR","Period=FQ","BEST_FPERIOD_OVERRIDE=FQ","FILING_STATUS=OR","EQY_CONSOLIDATED=Y","Sort=A","Dates=H","DateFormat=P","Fill=—","Direction=H","UseDPDF=Y")</f>
        <v>#NAME?</v>
      </c>
      <c r="AL552" s="1" t="e">
        <f ca="1">_xll.BDH($C$528,"CASH_FLOW_GROWTH","FQ4 2018","FQ4 2018","Currency=INR","Period=FQ","BEST_FPERIOD_OVERRIDE=FQ","FILING_STATUS=OR","EQY_CONSOLIDATED=Y","Sort=A","Dates=H","DateFormat=P","Fill=—","Direction=H","UseDPDF=Y")</f>
        <v>#NAME?</v>
      </c>
      <c r="AM552" s="1" t="e">
        <f ca="1">_xll.BDH($C$528,"GEO_GROW_NET_SALES","FQ4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52" s="1" t="e">
        <f ca="1">_xll.BDH($C$528,"GEO_GROW_EBITDA","FQ4 2018","FQ4 2018","Currency=INR","Period=FQ","BEST_FPERIOD_OVERRIDE=FQ","FILING_STATUS=OR","EQY_CONSOLIDATED=Y","FA_ADJUSTED=GAAP","Sort=A","Dates=H","DateFormat=P","Fill=—","Direction=H","UseDPDF=Y")</f>
        <v>#NAME?</v>
      </c>
      <c r="AO552" s="1" t="e">
        <f ca="1">_xll.BDH($C$528,"GEO_GROW_OPER_INC","FQ4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52" s="1" t="e">
        <f ca="1">_xll.BDH($C$528,"NET_INCOME_TO_COMMON_5_YR_GROWTH","FQ4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52" s="1" t="e">
        <f ca="1">_xll.BDH($C$528,"5Y_GEO_GROWTH_DILUTED_EPS","FQ4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52" s="1" t="e">
        <f ca="1">_xll.BDH($C$528,"GEO_GROW_DVD_PER_SH","FQ4 2018","FQ4 2018","Currency=INR","Period=FQ","BEST_FPERIOD_OVERRIDE=FQ","FILING_STATUS=OR","EQY_CONSOLIDATED=Y","Sort=A","Dates=H","DateFormat=P","Fill=—","Direction=H","UseDPDF=Y")</f>
        <v>#NAME?</v>
      </c>
      <c r="AS552" s="1" t="e">
        <f ca="1">_xll.BDH($C$528,"ACCOUNTS_RECEIVABLE_5_YR_GROWTH","FQ4 2018","FQ4 2018","Currency=INR","Period=FQ","BEST_FPERIOD_OVERRIDE=FQ","FILING_STATUS=OR","EQY_CONSOLIDATED=Y","Sort=A","Dates=H","DateFormat=P","Fill=—","Direction=H","UseDPDF=Y")</f>
        <v>#NAME?</v>
      </c>
      <c r="AT552" s="1" t="e">
        <f ca="1">_xll.BDH($C$528,"INVENTORY_5_YEAR_GROWTH","FQ4 2018","FQ4 2018","Currency=INR","Period=FQ","BEST_FPERIOD_OVERRIDE=FQ","FILING_STATUS=OR","EQY_CONSOLIDATED=Y","Sort=A","Dates=H","DateFormat=P","Fill=—","Direction=H","UseDPDF=Y")</f>
        <v>#NAME?</v>
      </c>
      <c r="AU552" s="1" t="e">
        <f ca="1">_xll.BDH($C$528,"NET_FIXED_ASSETS_5_YEAR_GROWTH","FQ4 2018","FQ4 2018","Currency=INR","Period=FQ","BEST_FPERIOD_OVERRIDE=FQ","FILING_STATUS=OR","EQY_CONSOLIDATED=Y","Sort=A","Dates=H","DateFormat=P","Fill=—","Direction=H","UseDPDF=Y")</f>
        <v>#NAME?</v>
      </c>
      <c r="AV552" s="1" t="e">
        <f ca="1">_xll.BDH($C$528,"GEO_GROW_TOT_ASSET","FQ4 2018","FQ4 2018","Currency=INR","Period=FQ","BEST_FPERIOD_OVERRIDE=FQ","FILING_STATUS=OR","EQY_CONSOLIDATED=Y","Sort=A","Dates=H","DateFormat=P","Fill=—","Direction=H","UseDPDF=Y")</f>
        <v>#NAME?</v>
      </c>
      <c r="AW552" s="1" t="e">
        <f ca="1">_xll.BDH($C$528,"MODIFIED_WORKING_CPTL_5YR_GRWTH","FQ4 2018","FQ4 2018","Currency=INR","Period=FQ","BEST_FPERIOD_OVERRIDE=FQ","FILING_STATUS=OR","EQY_CONSOLIDATED=Y","Sort=A","Dates=H","DateFormat=P","Fill=—","Direction=H","UseDPDF=Y")</f>
        <v>#NAME?</v>
      </c>
      <c r="AX552" s="1" t="e">
        <f ca="1">_xll.BDH($C$528,"WORKING_CAPITAL_5_YEAR_GROWTH","FQ4 2018","FQ4 2018","Currency=INR","Period=FQ","BEST_FPERIOD_OVERRIDE=FQ","FILING_STATUS=OR","EQY_CONSOLIDATED=Y","Sort=A","Dates=H","DateFormat=P","Fill=—","Direction=H","UseDPDF=Y")</f>
        <v>#NAME?</v>
      </c>
      <c r="AY552" s="1" t="e">
        <f ca="1">_xll.BDH($C$528,"ACCOUNTS_PAYABLE_5_YEAR_GROWTH","FQ4 2018","FQ4 2018","Currency=INR","Period=FQ","BEST_FPERIOD_OVERRIDE=FQ","FILING_STATUS=OR","EQY_CONSOLIDATED=Y","Sort=A","Dates=H","DateFormat=P","Fill=—","Direction=H","UseDPDF=Y")</f>
        <v>#NAME?</v>
      </c>
      <c r="AZ552" s="1" t="e">
        <f ca="1">_xll.BDH($C$528,"SHORT_TERM_DEBT_5_YEAR_GROWTH","FQ4 2018","FQ4 2018","Currency=INR","Period=FQ","BEST_FPERIOD_OVERRIDE=FQ","FILING_STATUS=OR","EQY_CONSOLIDATED=Y","Sort=A","Dates=H","DateFormat=P","Fill=—","Direction=H","UseDPDF=Y")</f>
        <v>#NAME?</v>
      </c>
      <c r="BA552" s="1" t="e">
        <f ca="1">_xll.BDH($C$528,"TOTAL_DEBT_5_YEAR_GROWTH","FQ4 2018","FQ4 2018","Currency=INR","Period=FQ","BEST_FPERIOD_OVERRIDE=FQ","FILING_STATUS=OR","EQY_CONSOLIDATED=Y","Sort=A","Dates=H","DateFormat=P","Fill=—","Direction=H","UseDPDF=Y")</f>
        <v>#NAME?</v>
      </c>
      <c r="BB552" s="1" t="e">
        <f ca="1">_xll.BDH($C$528,"GEO_GROW_TOT_SHRHLDR_EQY","FQ4 2018","FQ4 2018","Currency=INR","Period=FQ","BEST_FPERIOD_OVERRIDE=FQ","FILING_STATUS=OR","EQY_CONSOLIDATED=Y","Sort=A","Dates=H","DateFormat=P","Fill=—","Direction=H","UseDPDF=Y")</f>
        <v>#NAME?</v>
      </c>
      <c r="BC552" s="1" t="e">
        <f ca="1">_xll.BDH($C$528,"TOTAL_CAPITAL_5_YEAR_GROWTH","FQ4 2018","FQ4 2018","Currency=INR","Period=FQ","BEST_FPERIOD_OVERRIDE=FQ","FILING_STATUS=OR","EQY_CONSOLIDATED=Y","Sort=A","Dates=H","DateFormat=P","Fill=—","Direction=H","UseDPDF=Y")</f>
        <v>#NAME?</v>
      </c>
      <c r="BD552" s="1" t="e">
        <f ca="1">_xll.BDH($C$528,"GEO_GROW_BOOK_VAL","FQ4 2018","FQ4 2018","Currency=INR","Period=FQ","BEST_FPERIOD_OVERRIDE=FQ","FILING_STATUS=OR","EQY_CONSOLIDATED=Y","Sort=A","Dates=H","DateFormat=P","Fill=—","Direction=H","UseDPDF=Y")</f>
        <v>#NAME?</v>
      </c>
      <c r="BE552" s="1" t="e">
        <f ca="1">_xll.BDH($C$528,"GEO_GROW_CASH_OPER_ACT","FQ4 2018","FQ4 2018","Currency=INR","Period=FQ","BEST_FPERIOD_OVERRIDE=FQ","FILING_STATUS=OR","EQY_CONSOLIDATED=Y","Sort=A","Dates=H","DateFormat=P","Fill=—","Direction=H","UseDPDF=Y")</f>
        <v>#NAME?</v>
      </c>
      <c r="BF552" s="1" t="e">
        <f ca="1">_xll.BDH($C$528,"REVENUE_SEQUENTIAL_GROWTH","FQ4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52" s="1" t="e">
        <f ca="1">_xll.BDH($C$528,"EBITDA_SEQUENTIAL_GROWTH","FQ4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52" s="1" t="e">
        <f ca="1">_xll.BDH($C$528,"OPERATING_INCOME_SEQ_GROWTH","FQ4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52" s="1" t="e">
        <f ca="1">_xll.BDH($C$528,"NET_INCOME_TO_COMMON_SEQ_GROWTH","FQ4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52" s="1" t="e">
        <f ca="1">_xll.BDH($C$528,"EPS_DILUTED_SEQUENTIAL_GROWTH","FQ4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52" s="1" t="e">
        <f ca="1">_xll.BDH($C$528,"DPS_SEQUENTIAL_GROWTH","FQ4 2018","FQ4 2018","Currency=INR","Period=FQ","BEST_FPERIOD_OVERRIDE=FQ","FILING_STATUS=OR","EQY_CONSOLIDATED=Y","Sort=A","Dates=H","DateFormat=P","Fill=—","Direction=H","UseDPDF=Y")</f>
        <v>#NAME?</v>
      </c>
      <c r="BL552" s="1" t="e">
        <f ca="1">_xll.BDH($C$528,"ACCOUNTS_RECEIVABLE_SEQ_GROWTH","FQ4 2018","FQ4 2018","Currency=INR","Period=FQ","BEST_FPERIOD_OVERRIDE=FQ","FILING_STATUS=OR","EQY_CONSOLIDATED=Y","Sort=A","Dates=H","DateFormat=P","Fill=—","Direction=H","UseDPDF=Y")</f>
        <v>#NAME?</v>
      </c>
      <c r="BM552" s="1" t="e">
        <f ca="1">_xll.BDH($C$528,"INVENTORY_SEQUENTIAL_GROWTH","FQ4 2018","FQ4 2018","Currency=INR","Period=FQ","BEST_FPERIOD_OVERRIDE=FQ","FILING_STATUS=OR","EQY_CONSOLIDATED=Y","Sort=A","Dates=H","DateFormat=P","Fill=—","Direction=H","UseDPDF=Y")</f>
        <v>#NAME?</v>
      </c>
      <c r="BN552" s="1" t="e">
        <f ca="1">_xll.BDH($C$528,"FIXED_ASSETS_SEQUENTIAL_GROWTH","FQ4 2018","FQ4 2018","Currency=INR","Period=FQ","BEST_FPERIOD_OVERRIDE=FQ","FILING_STATUS=OR","EQY_CONSOLIDATED=Y","Sort=A","Dates=H","DateFormat=P","Fill=—","Direction=H","UseDPDF=Y")</f>
        <v>#NAME?</v>
      </c>
      <c r="BO552" s="1" t="e">
        <f ca="1">_xll.BDH($C$528,"TOTAL_ASSETS_SEQUENTIAL_GROWTH","FQ4 2018","FQ4 2018","Currency=INR","Period=FQ","BEST_FPERIOD_OVERRIDE=FQ","FILING_STATUS=OR","EQY_CONSOLIDATED=Y","Sort=A","Dates=H","DateFormat=P","Fill=—","Direction=H","UseDPDF=Y")</f>
        <v>#NAME?</v>
      </c>
      <c r="BP552" s="1" t="e">
        <f ca="1">_xll.BDH($C$528,"MODIFIED_WORKING_CPTL_SEQ_GRWTH","FQ4 2018","FQ4 2018","Currency=INR","Period=FQ","BEST_FPERIOD_OVERRIDE=FQ","FILING_STATUS=OR","EQY_CONSOLIDATED=Y","Sort=A","Dates=H","DateFormat=P","Fill=—","Direction=H","UseDPDF=Y")</f>
        <v>#NAME?</v>
      </c>
      <c r="BQ552" s="1" t="e">
        <f ca="1">_xll.BDH($C$528,"WORKING_CAPITAL_SEQ_GROWTH","FQ4 2018","FQ4 2018","Currency=INR","Period=FQ","BEST_FPERIOD_OVERRIDE=FQ","FILING_STATUS=OR","EQY_CONSOLIDATED=Y","Sort=A","Dates=H","DateFormat=P","Fill=—","Direction=H","UseDPDF=Y")</f>
        <v>#NAME?</v>
      </c>
      <c r="BR552" s="1" t="e">
        <f ca="1">_xll.BDH($C$528,"ACCOUNTS_PAYABLE_SEQ_GROWTH","FQ4 2018","FQ4 2018","Currency=INR","Period=FQ","BEST_FPERIOD_OVERRIDE=FQ","FILING_STATUS=OR","EQY_CONSOLIDATED=Y","Sort=A","Dates=H","DateFormat=P","Fill=—","Direction=H","UseDPDF=Y")</f>
        <v>#NAME?</v>
      </c>
      <c r="BS552" s="1" t="e">
        <f ca="1">_xll.BDH($C$528,"ST_DEBT_SEQUENTIAL_GROWTH","FQ4 2018","FQ4 2018","Currency=INR","Period=FQ","BEST_FPERIOD_OVERRIDE=FQ","FILING_STATUS=OR","EQY_CONSOLIDATED=Y","Sort=A","Dates=H","DateFormat=P","Fill=—","Direction=H","UseDPDF=Y")</f>
        <v>#NAME?</v>
      </c>
      <c r="BT552" s="1" t="e">
        <f ca="1">_xll.BDH($C$528,"TOTAL_DEBT_SEQUENTIAL_GROWTH","FQ4 2018","FQ4 2018","Currency=INR","Period=FQ","BEST_FPERIOD_OVERRIDE=FQ","FILING_STATUS=OR","EQY_CONSOLIDATED=Y","Sort=A","Dates=H","DateFormat=P","Fill=—","Direction=H","UseDPDF=Y")</f>
        <v>#NAME?</v>
      </c>
      <c r="BU552" s="1" t="e">
        <f ca="1">_xll.BDH($C$528,"TOTAL_EQUITY_SEQUENTIAL_GROWTH","FQ4 2018","FQ4 2018","Currency=INR","Period=FQ","BEST_FPERIOD_OVERRIDE=FQ","FILING_STATUS=OR","EQY_CONSOLIDATED=Y","Sort=A","Dates=H","DateFormat=P","Fill=—","Direction=H","UseDPDF=Y")</f>
        <v>#NAME?</v>
      </c>
      <c r="BV552" s="1" t="e">
        <f ca="1">_xll.BDH($C$528,"TOTAL_CAPITAL_SEQUENTIAL_GROWTH","FQ4 2018","FQ4 2018","Currency=INR","Period=FQ","BEST_FPERIOD_OVERRIDE=FQ","FILING_STATUS=OR","EQY_CONSOLIDATED=Y","Sort=A","Dates=H","DateFormat=P","Fill=—","Direction=H","UseDPDF=Y")</f>
        <v>#NAME?</v>
      </c>
      <c r="BW552" s="1" t="e">
        <f ca="1">_xll.BDH($C$528,"BPS_SEQUENTIAL_GROWTH","FQ4 2018","FQ4 2018","Currency=INR","Period=FQ","BEST_FPERIOD_OVERRIDE=FQ","FILING_STATUS=OR","EQY_CONSOLIDATED=Y","Sort=A","Dates=H","DateFormat=P","Fill=—","Direction=H","UseDPDF=Y")</f>
        <v>#NAME?</v>
      </c>
      <c r="BX552" s="1" t="e">
        <f ca="1">_xll.BDH($C$528,"CFO_SEQUENTIAL_GROWTH","FQ4 2018","FQ4 2018","Currency=INR","Period=FQ","BEST_FPERIOD_OVERRIDE=FQ","FILING_STATUS=OR","EQY_CONSOLIDATED=Y","Sort=A","Dates=H","DateFormat=P","Fill=—","Direction=H","UseDPDF=Y")</f>
        <v>#NAME?</v>
      </c>
      <c r="BY552" s="2" t="e">
        <f ca="1">_xll.BDH($C$528,"SHORT_AND_LONG_TERM_DEBT","FQ4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52" s="2" t="e">
        <f ca="1">_xll.BDH($C$528,"BS_ST_BORROW","FQ4 2018","FQ4 2018","Currency=INR","Period=FQ","BEST_FPERIOD_OVERRIDE=FQ","FILING_STATUS=OR","EQY_CONSOLIDATED=Y","SCALING_FORMAT=MLN","Sort=A","Dates=H","DateFormat=P","Fill=—","Direction=H","UseDPDF=Y")</f>
        <v>#NAME?</v>
      </c>
      <c r="CA552" s="2" t="e">
        <f ca="1">_xll.BDH($C$528,"BS_LT_BORROW","FQ4 2018","FQ4 2018","Currency=INR","Period=FQ","BEST_FPERIOD_OVERRIDE=FQ","FILING_STATUS=OR","EQY_CONSOLIDATED=Y","SCALING_FORMAT=MLN","Sort=A","Dates=H","DateFormat=P","Fill=—","Direction=H","UseDPDF=Y")</f>
        <v>#NAME?</v>
      </c>
      <c r="CB552" s="1" t="e">
        <f ca="1">_xll.BDH($C$528,"TOT_DEBT_TO_EBITDA","FQ4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52" s="1" t="e">
        <f ca="1">_xll.BDH($C$528,"NET_DEBT_TO_EBITDA","FQ4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52" s="1" t="e">
        <f ca="1">_xll.BDH($C$528,"TOTAL_DEBT_TO_EBIT","FQ4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52" s="1" t="e">
        <f ca="1">_xll.BDH($C$528,"NET_DEBT_TO_EBIT","FQ4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552" s="1" t="e">
        <f ca="1">_xll.BDH($C$528,"EBITDA_TO_INTEREST_EXPN","FQ4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52" s="1" t="e">
        <f ca="1">_xll.BDH($C$528,"COM_EQY_TO_TOT_ASSET","FQ4 2018","FQ4 2018","Currency=INR","Period=FQ","BEST_FPERIOD_OVERRIDE=FQ","FILING_STATUS=OR","EQY_CONSOLIDATED=Y","Sort=A","Dates=H","DateFormat=P","Fill=—","Direction=H","UseDPDF=Y")</f>
        <v>#NAME?</v>
      </c>
      <c r="CH552" s="1" t="e">
        <f ca="1">_xll.BDH($C$528,"LT_DEBT_TO_TOT_EQY","FQ4 2018","FQ4 2018","Currency=INR","Period=FQ","BEST_FPERIOD_OVERRIDE=FQ","FILING_STATUS=OR","EQY_CONSOLIDATED=Y","Sort=A","Dates=H","DateFormat=P","Fill=—","Direction=H","UseDPDF=Y")</f>
        <v>#NAME?</v>
      </c>
      <c r="CI552" s="1" t="e">
        <f ca="1">_xll.BDH($C$528,"LT_DEBT_TO_TOT_CAP","FQ4 2018","FQ4 2018","Currency=INR","Period=FQ","BEST_FPERIOD_OVERRIDE=FQ","FILING_STATUS=OR","EQY_CONSOLIDATED=Y","Sort=A","Dates=H","DateFormat=P","Fill=—","Direction=H","UseDPDF=Y")</f>
        <v>#NAME?</v>
      </c>
      <c r="CJ552" s="1" t="e">
        <f ca="1">_xll.BDH($C$528,"LT_DEBT_TO_TOT_ASSET","FQ4 2018","FQ4 2018","Currency=INR","Period=FQ","BEST_FPERIOD_OVERRIDE=FQ","FILING_STATUS=OR","EQY_CONSOLIDATED=Y","Sort=A","Dates=H","DateFormat=P","Fill=—","Direction=H","UseDPDF=Y")</f>
        <v>#NAME?</v>
      </c>
      <c r="CK552" s="1" t="e">
        <f ca="1">_xll.BDH($C$528,"TOT_DEBT_TO_TOT_EQY","FQ4 2018","FQ4 2018","Currency=INR","Period=FQ","BEST_FPERIOD_OVERRIDE=FQ","FILING_STATUS=OR","EQY_CONSOLIDATED=Y","Sort=A","Dates=H","DateFormat=P","Fill=—","Direction=H","UseDPDF=Y")</f>
        <v>#NAME?</v>
      </c>
      <c r="CL552" s="1" t="e">
        <f ca="1">_xll.BDH($C$528,"TOT_DEBT_TO_TOT_CAP","FQ4 2018","FQ4 2018","Currency=INR","Period=FQ","BEST_FPERIOD_OVERRIDE=FQ","FILING_STATUS=OR","EQY_CONSOLIDATED=Y","Sort=A","Dates=H","DateFormat=P","Fill=—","Direction=H","UseDPDF=Y")</f>
        <v>#NAME?</v>
      </c>
      <c r="CM552" s="1" t="e">
        <f ca="1">_xll.BDH($C$528,"TOT_DEBT_TO_TOT_ASSET","FQ4 2018","FQ4 2018","Currency=INR","Period=FQ","BEST_FPERIOD_OVERRIDE=FQ","FILING_STATUS=OR","EQY_CONSOLIDATED=Y","Sort=A","Dates=H","DateFormat=P","Fill=—","Direction=H","UseDPDF=Y")</f>
        <v>#NAME?</v>
      </c>
      <c r="CN552" s="1" t="e">
        <f ca="1">_xll.BDH($C$528,"NET_DEBT_TO_SHRHLDR_EQTY","FQ4 2018","FQ4 2018","Currency=INR","Period=FQ","BEST_FPERIOD_OVERRIDE=FQ","FILING_STATUS=OR","EQY_CONSOLIDATED=Y","Sort=A","Dates=H","DateFormat=P","Fill=—","Direction=H","UseDPDF=Y")</f>
        <v>#NAME?</v>
      </c>
      <c r="CO552" s="1" t="e">
        <f ca="1">_xll.BDH($C$528,"NET_DEBT_%_CAPITAL","FQ4 2018","FQ4 2018","Currency=INR","Period=FQ","BEST_FPERIOD_OVERRIDE=FQ","FILING_STATUS=OR","EQY_CONSOLIDATED=Y","Sort=A","Dates=H","DateFormat=P","Fill=—","Direction=H","UseDPDF=Y")</f>
        <v>#NAME?</v>
      </c>
      <c r="CP552" s="2" t="e">
        <f ca="1">_xll.BDH($C$528,"EBITDA","FQ4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52" s="2" t="e">
        <f ca="1">_xll.BDH($C$528,"EBITDA_AFTER_CAPEX","FQ4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52" s="2" t="e">
        <f ca="1">_xll.BDH($C$528,"IS_OPER_INC","FQ4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52" s="1" t="e">
        <f ca="1">_xll.BDH($C$528,"CASH_RATIO","FQ4 2018","FQ4 2018","Currency=INR","Period=FQ","BEST_FPERIOD_OVERRIDE=FQ","FILING_STATUS=OR","EQY_CONSOLIDATED=Y","Sort=A","Dates=H","DateFormat=P","Fill=—","Direction=H","UseDPDF=Y")</f>
        <v>#NAME?</v>
      </c>
      <c r="CT552" s="1" t="e">
        <f ca="1">_xll.BDH($C$528,"CUR_RATIO","FQ4 2018","FQ4 2018","Currency=INR","Period=FQ","BEST_FPERIOD_OVERRIDE=FQ","FILING_STATUS=OR","EQY_CONSOLIDATED=Y","Sort=A","Dates=H","DateFormat=P","Fill=—","Direction=H","UseDPDF=Y")</f>
        <v>#NAME?</v>
      </c>
      <c r="CU552" s="1" t="e">
        <f ca="1">_xll.BDH($C$528,"QUICK_RATIO","FQ4 2018","FQ4 2018","Currency=INR","Period=FQ","BEST_FPERIOD_OVERRIDE=FQ","FILING_STATUS=OR","EQY_CONSOLIDATED=Y","Sort=A","Dates=H","DateFormat=P","Fill=—","Direction=H","UseDPDF=Y")</f>
        <v>#NAME?</v>
      </c>
      <c r="CV552" s="1" t="e">
        <f ca="1">_xll.BDH($C$528,"ALTMAN_Z_SCORE","FQ4 2018","FQ4 2018","Currency=INR","Period=FQ","BEST_FPERIOD_OVERRIDE=FQ","FILING_STATUS=OR","EQY_CONSOLIDATED=Y","Sort=A","Dates=H","DateFormat=P","Fill=—","Direction=H","UseDPDF=Y")</f>
        <v>#NAME?</v>
      </c>
      <c r="CW552" s="3" t="e">
        <f ca="1">_xll.BDH($C$528,"ACCT_RCV_TURN","FQ4 2018","FQ4 2018","Currency=INR","Period=FQ","BEST_FPERIOD_OVERRIDE=FQ","FILING_STATUS=OR","EQY_CONSOLIDATED=Y","FA_ADJUSTED=GAAP","Sort=A","Dates=H","DateFormat=P","Fill=—","Direction=H","UseDPDF=Y")</f>
        <v>#NAME?</v>
      </c>
      <c r="CX552" s="1" t="e">
        <f ca="1">_xll.BDH($C$528,"ACCT_RCV_DAYS","FQ4 2018","FQ4 2018","Currency=INR","Period=FQ","BEST_FPERIOD_OVERRIDE=FQ","FILING_STATUS=OR","EQY_CONSOLIDATED=Y","FA_ADJUSTED=GAAP","Sort=A","Dates=H","DateFormat=P","Fill=—","Direction=H","UseDPDF=Y")</f>
        <v>#NAME?</v>
      </c>
      <c r="CY552" s="3" t="e">
        <f ca="1">_xll.BDH($C$528,"INVENT_TURN","FQ4 2018","FQ4 2018","Currency=INR","Period=FQ","BEST_FPERIOD_OVERRIDE=FQ","FILING_STATUS=OR","EQY_CONSOLIDATED=Y","FA_ADJUSTED=GAAP","Sort=A","Dates=H","DateFormat=P","Fill=—","Direction=H","UseDPDF=Y")</f>
        <v>#NAME?</v>
      </c>
      <c r="CZ552" s="1" t="e">
        <f ca="1">_xll.BDH($C$528,"INVENT_DAYS","FQ4 2018","FQ4 2018","Currency=INR","Period=FQ","BEST_FPERIOD_OVERRIDE=FQ","FILING_STATUS=OR","EQY_CONSOLIDATED=Y","FA_ADJUSTED=GAAP","Sort=A","Dates=H","DateFormat=P","Fill=—","Direction=H","UseDPDF=Y")</f>
        <v>#NAME?</v>
      </c>
      <c r="DA552" s="3" t="e">
        <f ca="1">_xll.BDH($C$528,"ACCOUNTS_PAYABLE_TURNOVER","FQ4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52" s="1" t="e">
        <f ca="1">_xll.BDH($C$528,"ACCOUNTS_PAYABLE_TURNOVER_DAYS","FQ4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52" s="3" t="e">
        <f ca="1">_xll.BDH($C$528,"CASH_CONVERSION_CYCLE","FQ4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52" s="3" t="e">
        <f ca="1">_xll.BDH($C$528,"INV_TO_CASH_DAYS","FQ4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552" s="4" t="e">
        <f ca="1">_xll.BDH($C$528,"BS_INVENTORIES","FQ4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552" s="2" t="e">
        <f ca="1">_xll.BDH($C$528,"INVTRY_RAW_MATERIALS","FQ4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52" s="2" t="e">
        <f ca="1">_xll.BDH($C$528,"INVTRY_IN_PROGRESS","FQ4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52" s="2" t="e">
        <f ca="1">_xll.BDH($C$528,"INVTRY_FINISHED_GOODS","FQ4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52" s="2" t="e">
        <f ca="1">_xll.BDH($C$528,"BS_OTHER_INV","FQ4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53" spans="1:113" x14ac:dyDescent="0.3">
      <c r="A553" s="6">
        <v>73</v>
      </c>
      <c r="B553" s="6" t="s">
        <v>54</v>
      </c>
      <c r="C553" s="6" t="s">
        <v>55</v>
      </c>
      <c r="D553" s="6" t="s">
        <v>2</v>
      </c>
      <c r="E553" t="s">
        <v>3</v>
      </c>
      <c r="F553" t="e">
        <f ca="1">_xll.BDH($C$553,"RETURN_COM_EQY","FY 2014","FY 2014","Currency=INR","Period=FY","BEST_FPERIOD_OVERRIDE=FY","FILING_STATUS=OR","EQY_CONSOLIDATED=Y","FA_ADJUSTED=GAAP","Sort=A","Dates=H","DateFormat=P","Fill=—","Direction=H","UseDPDF=Y")</f>
        <v>#NAME?</v>
      </c>
      <c r="G553" t="e">
        <f ca="1">_xll.BDH($C$553,"RETURN_ON_ASSET","FY 2014","FY 2014","Currency=INR","Period=FY","BEST_FPERIOD_OVERRIDE=FY","FILING_STATUS=OR","EQY_CONSOLIDATED=Y","FA_ADJUSTED=GAAP","Sort=A","Dates=H","DateFormat=P","Fill=—","Direction=H","UseDPDF=Y")</f>
        <v>#NAME?</v>
      </c>
      <c r="H553" t="e">
        <f ca="1">_xll.BDH($C$553,"RETURN_ON_CAP","FY 2014","FY 2014","Currency=INR","Period=FY","BEST_FPERIOD_OVERRIDE=FY","FILING_STATUS=OR","EQY_CONSOLIDATED=Y","FA_ADJUSTED=GAAP","Sort=A","Dates=H","DateFormat=P","Fill=—","Direction=H","UseDPDF=Y")</f>
        <v>#NAME?</v>
      </c>
      <c r="I553" t="e">
        <f ca="1">_xll.BDH($C$553,"RETURN_ON_INV_CAPITAL","FY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53" t="e">
        <f ca="1">_xll.BDH($C$553,"EBITDA_TO_REVENUE","FY 2014","FY 2014","Currency=INR","Period=FY","BEST_FPERIOD_OVERRIDE=FY","FILING_STATUS=OR","EQY_CONSOLIDATED=Y","FA_ADJUSTED=GAAP","Sort=A","Dates=H","DateFormat=P","Fill=—","Direction=H","UseDPDF=Y")</f>
        <v>#NAME?</v>
      </c>
      <c r="K553" t="e">
        <f ca="1">_xll.BDH($C$553,"OPER_MARGIN","FY 2014","FY 2014","Currency=INR","Period=FY","BEST_FPERIOD_OVERRIDE=FY","FILING_STATUS=OR","EQY_CONSOLIDATED=Y","FA_ADJUSTED=GAAP","Sort=A","Dates=H","DateFormat=P","Fill=—","Direction=H","UseDPDF=Y")</f>
        <v>#NAME?</v>
      </c>
      <c r="L553" t="e">
        <f ca="1">_xll.BDH($C$553,"INCREMENTAL_OPERATING_MARGIN","FY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53" t="e">
        <f ca="1">_xll.BDH($C$553,"PRETAX_INC_TO_NET_SALES","FY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53" t="e">
        <f ca="1">_xll.BDH($C$553,"INC_BEF_XO_ITEMS_TO_NET_SALES","FY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53" t="e">
        <f ca="1">_xll.BDH($C$553,"PROF_MARGIN","FY 2014","FY 2014","Currency=INR","Period=FY","BEST_FPERIOD_OVERRIDE=FY","FILING_STATUS=OR","EQY_CONSOLIDATED=Y","FA_ADJUSTED=GAAP","Sort=A","Dates=H","DateFormat=P","Fill=—","Direction=H","UseDPDF=Y")</f>
        <v>#NAME?</v>
      </c>
      <c r="P553" t="e">
        <f ca="1">_xll.BDH($C$553,"NET_INCOME_TO_COMMON_MARGIN","FY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53" t="e">
        <f ca="1">_xll.BDH($C$553,"EFF_TAX_RATE","FY 2014","FY 2014","Currency=INR","Period=FY","BEST_FPERIOD_OVERRIDE=FY","FILING_STATUS=OR","EQY_CONSOLIDATED=Y","FA_ADJUSTED=GAAP","Sort=A","Dates=H","DateFormat=P","Fill=—","Direction=H","UseDPDF=Y")</f>
        <v>#NAME?</v>
      </c>
      <c r="R553" t="e">
        <f ca="1">_xll.BDH($C$553,"DVD_PAYOUT_RATIO","FY 2014","FY 2014","Currency=INR","Period=FY","BEST_FPERIOD_OVERRIDE=FY","FILING_STATUS=OR","EQY_CONSOLIDATED=Y","FA_ADJUSTED=GAAP","Sort=A","Dates=H","DateFormat=P","Fill=—","Direction=H","UseDPDF=Y")</f>
        <v>#NAME?</v>
      </c>
      <c r="S553" t="e">
        <f ca="1">_xll.BDH($C$553,"SUSTAIN_GROWTH_RT","FY 2014","FY 2014","Currency=INR","Period=FY","BEST_FPERIOD_OVERRIDE=FY","FILING_STATUS=OR","EQY_CONSOLIDATED=Y","FA_ADJUSTED=GAAP","Sort=A","Dates=H","DateFormat=P","Fill=—","Direction=H","UseDPDF=Y")</f>
        <v>#NAME?</v>
      </c>
      <c r="T553" s="1" t="e">
        <f ca="1">_xll.BDH($C$553,"SALES_GROWTH","FY 2014","FY 2014","Currency=INR","Period=FY","BEST_FPERIOD_OVERRIDE=FY","FILING_STATUS=OR","EQY_CONSOLIDATED=Y","FA_ADJUSTED=GAAP","Sort=A","Dates=H","DateFormat=P","Fill=—","Direction=H","UseDPDF=Y")</f>
        <v>#NAME?</v>
      </c>
      <c r="U553" s="1" t="e">
        <f ca="1">_xll.BDH($C$553,"EBITDA_GROWTH","FY 2014","FY 2014","Currency=INR","Period=FY","BEST_FPERIOD_OVERRIDE=FY","FILING_STATUS=OR","EQY_CONSOLIDATED=Y","FA_ADJUSTED=GAAP","Sort=A","Dates=H","DateFormat=P","Fill=—","Direction=H","UseDPDF=Y")</f>
        <v>#NAME?</v>
      </c>
      <c r="V553" s="1" t="e">
        <f ca="1">_xll.BDH($C$553,"OPER_INC_GROWTH","FY 2014","FY 2014","Currency=INR","Period=FY","BEST_FPERIOD_OVERRIDE=FY","FILING_STATUS=OR","EQY_CONSOLIDATED=Y","FA_ADJUSTED=GAAP","Sort=A","Dates=H","DateFormat=P","Fill=—","Direction=H","UseDPDF=Y")</f>
        <v>#NAME?</v>
      </c>
      <c r="W553" s="1" t="e">
        <f ca="1">_xll.BDH($C$553,"EARN_FOR_COM_GROWTH","FY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553" s="1" t="e">
        <f ca="1">_xll.BDH($C$553,"DILUTED_EPS_AFT_XO_ITEMS_GROWTH","FY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53" s="1" t="e">
        <f ca="1">_xll.BDH($C$553,"DIVIDEND_PER_SHARE_1_YEAR_GROWTH","FY 2014","FY 2014","Currency=INR","Period=FY","BEST_FPERIOD_OVERRIDE=FY","FILING_STATUS=OR","EQY_CONSOLIDATED=Y","Sort=A","Dates=H","DateFormat=P","Fill=—","Direction=H","UseDPDF=Y")</f>
        <v>#NAME?</v>
      </c>
      <c r="Z553" s="1" t="e">
        <f ca="1">_xll.BDH($C$553,"ACCOUNTS_RECEIVABLE_GROWTH","FY 2014","FY 2014","Currency=INR","Period=FY","BEST_FPERIOD_OVERRIDE=FY","FILING_STATUS=OR","EQY_CONSOLIDATED=Y","Sort=A","Dates=H","DateFormat=P","Fill=—","Direction=H","UseDPDF=Y")</f>
        <v>#NAME?</v>
      </c>
      <c r="AA553" s="1" t="e">
        <f ca="1">_xll.BDH($C$553,"INVENTORY_GROWTH","FY 2014","FY 2014","Currency=INR","Period=FY","BEST_FPERIOD_OVERRIDE=FY","FILING_STATUS=OR","EQY_CONSOLIDATED=Y","Sort=A","Dates=H","DateFormat=P","Fill=—","Direction=H","UseDPDF=Y")</f>
        <v>#NAME?</v>
      </c>
      <c r="AB553" s="1" t="e">
        <f ca="1">_xll.BDH($C$553,"NET_FIXED_ASSETS_1_YEAR_GROWTH","FY 2014","FY 2014","Currency=INR","Period=FY","BEST_FPERIOD_OVERRIDE=FY","FILING_STATUS=OR","EQY_CONSOLIDATED=Y","Sort=A","Dates=H","DateFormat=P","Fill=—","Direction=H","UseDPDF=Y")</f>
        <v>#NAME?</v>
      </c>
      <c r="AC553" s="1" t="e">
        <f ca="1">_xll.BDH($C$553,"ASSET_GROWTH","FY 2014","FY 2014","Currency=INR","Period=FY","BEST_FPERIOD_OVERRIDE=FY","FILING_STATUS=OR","EQY_CONSOLIDATED=Y","Sort=A","Dates=H","DateFormat=P","Fill=—","Direction=H","UseDPDF=Y")</f>
        <v>#NAME?</v>
      </c>
      <c r="AD553" s="1" t="e">
        <f ca="1">_xll.BDH($C$553,"MODIFIED_WORK_CAP_GROWTH","FY 2014","FY 2014","Currency=INR","Period=FY","BEST_FPERIOD_OVERRIDE=FY","FILING_STATUS=OR","EQY_CONSOLIDATED=Y","Sort=A","Dates=H","DateFormat=P","Fill=—","Direction=H","UseDPDF=Y")</f>
        <v>#NAME?</v>
      </c>
      <c r="AE553" s="1" t="e">
        <f ca="1">_xll.BDH($C$553,"WORK_CAP_GROWTH","FY 2014","FY 2014","Currency=INR","Period=FY","BEST_FPERIOD_OVERRIDE=FY","FILING_STATUS=OR","EQY_CONSOLIDATED=Y","Sort=A","Dates=H","DateFormat=P","Fill=—","Direction=H","UseDPDF=Y")</f>
        <v>#NAME?</v>
      </c>
      <c r="AF553" s="1" t="e">
        <f ca="1">_xll.BDH($C$553,"ACCOUNTS_PAYABLE_GROWTH_1YR","FY 2014","FY 2014","Currency=INR","Period=FY","BEST_FPERIOD_OVERRIDE=FY","FILING_STATUS=OR","EQY_CONSOLIDATED=Y","Sort=A","Dates=H","DateFormat=P","Fill=—","Direction=H","UseDPDF=Y")</f>
        <v>#NAME?</v>
      </c>
      <c r="AG553" s="1" t="e">
        <f ca="1">_xll.BDH($C$553,"SHORT_TERM_DEBT_1_YEAR_GROWTH","FY 2014","FY 2014","Currency=INR","Period=FY","BEST_FPERIOD_OVERRIDE=FY","FILING_STATUS=OR","EQY_CONSOLIDATED=Y","Sort=A","Dates=H","DateFormat=P","Fill=—","Direction=H","UseDPDF=Y")</f>
        <v>#NAME?</v>
      </c>
      <c r="AH553" s="1" t="e">
        <f ca="1">_xll.BDH($C$553,"TOTAL_DEBT_1_YEAR_GROWTH","FY 2014","FY 2014","Currency=INR","Period=FY","BEST_FPERIOD_OVERRIDE=FY","FILING_STATUS=OR","EQY_CONSOLIDATED=Y","Sort=A","Dates=H","DateFormat=P","Fill=—","Direction=H","UseDPDF=Y")</f>
        <v>#NAME?</v>
      </c>
      <c r="AI553" s="1" t="e">
        <f ca="1">_xll.BDH($C$553,"TOTAL_EQUITY_1_YEAR_GROWTH","FY 2014","FY 2014","Currency=INR","Period=FY","BEST_FPERIOD_OVERRIDE=FY","FILING_STATUS=OR","EQY_CONSOLIDATED=Y","Sort=A","Dates=H","DateFormat=P","Fill=—","Direction=H","UseDPDF=Y")</f>
        <v>#NAME?</v>
      </c>
      <c r="AJ553" s="1" t="e">
        <f ca="1">_xll.BDH($C$553,"GROWTH_IN_CAP","FY 2014","FY 2014","Currency=INR","Period=FY","BEST_FPERIOD_OVERRIDE=FY","FILING_STATUS=OR","EQY_CONSOLIDATED=Y","Sort=A","Dates=H","DateFormat=P","Fill=—","Direction=H","UseDPDF=Y")</f>
        <v>#NAME?</v>
      </c>
      <c r="AK553" s="1" t="e">
        <f ca="1">_xll.BDH($C$553,"BVPS_GROWTH","FY 2014","FY 2014","Currency=INR","Period=FY","BEST_FPERIOD_OVERRIDE=FY","FILING_STATUS=OR","EQY_CONSOLIDATED=Y","Sort=A","Dates=H","DateFormat=P","Fill=—","Direction=H","UseDPDF=Y")</f>
        <v>#NAME?</v>
      </c>
      <c r="AL553" s="1" t="e">
        <f ca="1">_xll.BDH($C$553,"CASH_FLOW_GROWTH","FY 2014","FY 2014","Currency=INR","Period=FY","BEST_FPERIOD_OVERRIDE=FY","FILING_STATUS=OR","EQY_CONSOLIDATED=Y","Sort=A","Dates=H","DateFormat=P","Fill=—","Direction=H","UseDPDF=Y")</f>
        <v>#NAME?</v>
      </c>
      <c r="AM553" s="1" t="e">
        <f ca="1">_xll.BDH($C$553,"GEO_GROW_NET_SALES","FY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553" s="1" t="e">
        <f ca="1">_xll.BDH($C$553,"GEO_GROW_EBITDA","FY 2014","FY 2014","Currency=INR","Period=FY","BEST_FPERIOD_OVERRIDE=FY","FILING_STATUS=OR","EQY_CONSOLIDATED=Y","FA_ADJUSTED=GAAP","Sort=A","Dates=H","DateFormat=P","Fill=—","Direction=H","UseDPDF=Y")</f>
        <v>#NAME?</v>
      </c>
      <c r="AO553" s="1" t="e">
        <f ca="1">_xll.BDH($C$553,"GEO_GROW_OPER_INC","FY 2014","FY 2014","Currency=INR","Period=FY","BEST_FPERIOD_OVERRIDE=FY","FILING_STATUS=OR","EQY_CONSOLIDATED=Y","FA_ADJUSTED=GAAP","Sort=A","Dates=H","DateFormat=P","Fill=—","Direction=H","UseDPDF=Y")</f>
        <v>#NAME?</v>
      </c>
      <c r="AP553" s="1" t="e">
        <f ca="1">_xll.BDH($C$553,"NET_INCOME_TO_COMMON_5_YR_GROWTH","FY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53" s="1" t="e">
        <f ca="1">_xll.BDH($C$553,"5Y_GEO_GROWTH_DILUTED_EPS","FY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53" s="1" t="e">
        <f ca="1">_xll.BDH($C$553,"GEO_GROW_DVD_PER_SH","FY 2014","FY 2014","Currency=INR","Period=FY","BEST_FPERIOD_OVERRIDE=FY","FILING_STATUS=OR","EQY_CONSOLIDATED=Y","Sort=A","Dates=H","DateFormat=P","Fill=—","Direction=H","UseDPDF=Y")</f>
        <v>#NAME?</v>
      </c>
      <c r="AS553" s="1" t="e">
        <f ca="1">_xll.BDH($C$553,"ACCOUNTS_RECEIVABLE_5_YR_GROWTH","FY 2014","FY 2014","Currency=INR","Period=FY","BEST_FPERIOD_OVERRIDE=FY","FILING_STATUS=OR","EQY_CONSOLIDATED=Y","Sort=A","Dates=H","DateFormat=P","Fill=—","Direction=H","UseDPDF=Y")</f>
        <v>#NAME?</v>
      </c>
      <c r="AT553" s="1" t="e">
        <f ca="1">_xll.BDH($C$553,"INVENTORY_5_YEAR_GROWTH","FY 2014","FY 2014","Currency=INR","Period=FY","BEST_FPERIOD_OVERRIDE=FY","FILING_STATUS=OR","EQY_CONSOLIDATED=Y","Sort=A","Dates=H","DateFormat=P","Fill=—","Direction=H","UseDPDF=Y")</f>
        <v>#NAME?</v>
      </c>
      <c r="AU553" s="1" t="e">
        <f ca="1">_xll.BDH($C$553,"NET_FIXED_ASSETS_5_YEAR_GROWTH","FY 2014","FY 2014","Currency=INR","Period=FY","BEST_FPERIOD_OVERRIDE=FY","FILING_STATUS=OR","EQY_CONSOLIDATED=Y","Sort=A","Dates=H","DateFormat=P","Fill=—","Direction=H","UseDPDF=Y")</f>
        <v>#NAME?</v>
      </c>
      <c r="AV553" s="1" t="e">
        <f ca="1">_xll.BDH($C$553,"GEO_GROW_TOT_ASSET","FY 2014","FY 2014","Currency=INR","Period=FY","BEST_FPERIOD_OVERRIDE=FY","FILING_STATUS=OR","EQY_CONSOLIDATED=Y","Sort=A","Dates=H","DateFormat=P","Fill=—","Direction=H","UseDPDF=Y")</f>
        <v>#NAME?</v>
      </c>
      <c r="AW553" s="1" t="e">
        <f ca="1">_xll.BDH($C$553,"MODIFIED_WORKING_CPTL_5YR_GRWTH","FY 2014","FY 2014","Currency=INR","Period=FY","BEST_FPERIOD_OVERRIDE=FY","FILING_STATUS=OR","EQY_CONSOLIDATED=Y","Sort=A","Dates=H","DateFormat=P","Fill=—","Direction=H","UseDPDF=Y")</f>
        <v>#NAME?</v>
      </c>
      <c r="AX553" s="1" t="e">
        <f ca="1">_xll.BDH($C$553,"WORKING_CAPITAL_5_YEAR_GROWTH","FY 2014","FY 2014","Currency=INR","Period=FY","BEST_FPERIOD_OVERRIDE=FY","FILING_STATUS=OR","EQY_CONSOLIDATED=Y","Sort=A","Dates=H","DateFormat=P","Fill=—","Direction=H","UseDPDF=Y")</f>
        <v>#NAME?</v>
      </c>
      <c r="AY553" s="1" t="e">
        <f ca="1">_xll.BDH($C$553,"ACCOUNTS_PAYABLE_5_YEAR_GROWTH","FY 2014","FY 2014","Currency=INR","Period=FY","BEST_FPERIOD_OVERRIDE=FY","FILING_STATUS=OR","EQY_CONSOLIDATED=Y","Sort=A","Dates=H","DateFormat=P","Fill=—","Direction=H","UseDPDF=Y")</f>
        <v>#NAME?</v>
      </c>
      <c r="AZ553" s="1" t="e">
        <f ca="1">_xll.BDH($C$553,"SHORT_TERM_DEBT_5_YEAR_GROWTH","FY 2014","FY 2014","Currency=INR","Period=FY","BEST_FPERIOD_OVERRIDE=FY","FILING_STATUS=OR","EQY_CONSOLIDATED=Y","Sort=A","Dates=H","DateFormat=P","Fill=—","Direction=H","UseDPDF=Y")</f>
        <v>#NAME?</v>
      </c>
      <c r="BA553" s="1" t="e">
        <f ca="1">_xll.BDH($C$553,"TOTAL_DEBT_5_YEAR_GROWTH","FY 2014","FY 2014","Currency=INR","Period=FY","BEST_FPERIOD_OVERRIDE=FY","FILING_STATUS=OR","EQY_CONSOLIDATED=Y","Sort=A","Dates=H","DateFormat=P","Fill=—","Direction=H","UseDPDF=Y")</f>
        <v>#NAME?</v>
      </c>
      <c r="BB553" s="1" t="e">
        <f ca="1">_xll.BDH($C$553,"GEO_GROW_TOT_SHRHLDR_EQY","FY 2014","FY 2014","Currency=INR","Period=FY","BEST_FPERIOD_OVERRIDE=FY","FILING_STATUS=OR","EQY_CONSOLIDATED=Y","Sort=A","Dates=H","DateFormat=P","Fill=—","Direction=H","UseDPDF=Y")</f>
        <v>#NAME?</v>
      </c>
      <c r="BC553" s="1" t="e">
        <f ca="1">_xll.BDH($C$553,"TOTAL_CAPITAL_5_YEAR_GROWTH","FY 2014","FY 2014","Currency=INR","Period=FY","BEST_FPERIOD_OVERRIDE=FY","FILING_STATUS=OR","EQY_CONSOLIDATED=Y","Sort=A","Dates=H","DateFormat=P","Fill=—","Direction=H","UseDPDF=Y")</f>
        <v>#NAME?</v>
      </c>
      <c r="BD553" s="1" t="e">
        <f ca="1">_xll.BDH($C$553,"GEO_GROW_BOOK_VAL","FY 2014","FY 2014","Currency=INR","Period=FY","BEST_FPERIOD_OVERRIDE=FY","FILING_STATUS=OR","EQY_CONSOLIDATED=Y","Sort=A","Dates=H","DateFormat=P","Fill=—","Direction=H","UseDPDF=Y")</f>
        <v>#NAME?</v>
      </c>
      <c r="BE553" s="1" t="e">
        <f ca="1">_xll.BDH($C$553,"GEO_GROW_CASH_OPER_ACT","FY 2014","FY 2014","Currency=INR","Period=FY","BEST_FPERIOD_OVERRIDE=FY","FILING_STATUS=OR","EQY_CONSOLIDATED=Y","Sort=A","Dates=H","DateFormat=P","Fill=—","Direction=H","UseDPDF=Y")</f>
        <v>#NAME?</v>
      </c>
      <c r="BF553" s="1" t="e">
        <f ca="1">_xll.BDH($C$553,"REVENUE_SEQUENTIAL_GROWTH","FY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53" s="1" t="e">
        <f ca="1">_xll.BDH($C$553,"EBITDA_SEQUENTIAL_GROWTH","FY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53" s="1" t="e">
        <f ca="1">_xll.BDH($C$553,"OPERATING_INCOME_SEQ_GROWTH","FY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53" s="1" t="e">
        <f ca="1">_xll.BDH($C$553,"NET_INCOME_TO_COMMON_SEQ_GROWTH","FY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53" s="1" t="e">
        <f ca="1">_xll.BDH($C$553,"EPS_DILUTED_SEQUENTIAL_GROWTH","FY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53" s="1" t="e">
        <f ca="1">_xll.BDH($C$553,"DPS_SEQUENTIAL_GROWTH","FY 2014","FY 2014","Currency=INR","Period=FY","BEST_FPERIOD_OVERRIDE=FY","FILING_STATUS=OR","EQY_CONSOLIDATED=Y","Sort=A","Dates=H","DateFormat=P","Fill=—","Direction=H","UseDPDF=Y")</f>
        <v>#NAME?</v>
      </c>
      <c r="BL553" s="1" t="e">
        <f ca="1">_xll.BDH($C$553,"ACCOUNTS_RECEIVABLE_SEQ_GROWTH","FY 2014","FY 2014","Currency=INR","Period=FY","BEST_FPERIOD_OVERRIDE=FY","FILING_STATUS=OR","EQY_CONSOLIDATED=Y","Sort=A","Dates=H","DateFormat=P","Fill=—","Direction=H","UseDPDF=Y")</f>
        <v>#NAME?</v>
      </c>
      <c r="BM553" s="1" t="e">
        <f ca="1">_xll.BDH($C$553,"INVENTORY_SEQUENTIAL_GROWTH","FY 2014","FY 2014","Currency=INR","Period=FY","BEST_FPERIOD_OVERRIDE=FY","FILING_STATUS=OR","EQY_CONSOLIDATED=Y","Sort=A","Dates=H","DateFormat=P","Fill=—","Direction=H","UseDPDF=Y")</f>
        <v>#NAME?</v>
      </c>
      <c r="BN553" s="1" t="e">
        <f ca="1">_xll.BDH($C$553,"FIXED_ASSETS_SEQUENTIAL_GROWTH","FY 2014","FY 2014","Currency=INR","Period=FY","BEST_FPERIOD_OVERRIDE=FY","FILING_STATUS=OR","EQY_CONSOLIDATED=Y","Sort=A","Dates=H","DateFormat=P","Fill=—","Direction=H","UseDPDF=Y")</f>
        <v>#NAME?</v>
      </c>
      <c r="BO553" s="1" t="e">
        <f ca="1">_xll.BDH($C$553,"TOTAL_ASSETS_SEQUENTIAL_GROWTH","FY 2014","FY 2014","Currency=INR","Period=FY","BEST_FPERIOD_OVERRIDE=FY","FILING_STATUS=OR","EQY_CONSOLIDATED=Y","Sort=A","Dates=H","DateFormat=P","Fill=—","Direction=H","UseDPDF=Y")</f>
        <v>#NAME?</v>
      </c>
      <c r="BP553" s="1" t="e">
        <f ca="1">_xll.BDH($C$553,"MODIFIED_WORKING_CPTL_SEQ_GRWTH","FY 2014","FY 2014","Currency=INR","Period=FY","BEST_FPERIOD_OVERRIDE=FY","FILING_STATUS=OR","EQY_CONSOLIDATED=Y","Sort=A","Dates=H","DateFormat=P","Fill=—","Direction=H","UseDPDF=Y")</f>
        <v>#NAME?</v>
      </c>
      <c r="BQ553" s="1" t="e">
        <f ca="1">_xll.BDH($C$553,"WORKING_CAPITAL_SEQ_GROWTH","FY 2014","FY 2014","Currency=INR","Period=FY","BEST_FPERIOD_OVERRIDE=FY","FILING_STATUS=OR","EQY_CONSOLIDATED=Y","Sort=A","Dates=H","DateFormat=P","Fill=—","Direction=H","UseDPDF=Y")</f>
        <v>#NAME?</v>
      </c>
      <c r="BR553" s="1" t="e">
        <f ca="1">_xll.BDH($C$553,"ACCOUNTS_PAYABLE_SEQ_GROWTH","FY 2014","FY 2014","Currency=INR","Period=FY","BEST_FPERIOD_OVERRIDE=FY","FILING_STATUS=OR","EQY_CONSOLIDATED=Y","Sort=A","Dates=H","DateFormat=P","Fill=—","Direction=H","UseDPDF=Y")</f>
        <v>#NAME?</v>
      </c>
      <c r="BS553" s="1" t="e">
        <f ca="1">_xll.BDH($C$553,"ST_DEBT_SEQUENTIAL_GROWTH","FY 2014","FY 2014","Currency=INR","Period=FY","BEST_FPERIOD_OVERRIDE=FY","FILING_STATUS=OR","EQY_CONSOLIDATED=Y","Sort=A","Dates=H","DateFormat=P","Fill=—","Direction=H","UseDPDF=Y")</f>
        <v>#NAME?</v>
      </c>
      <c r="BT553" s="1" t="e">
        <f ca="1">_xll.BDH($C$553,"TOTAL_DEBT_SEQUENTIAL_GROWTH","FY 2014","FY 2014","Currency=INR","Period=FY","BEST_FPERIOD_OVERRIDE=FY","FILING_STATUS=OR","EQY_CONSOLIDATED=Y","Sort=A","Dates=H","DateFormat=P","Fill=—","Direction=H","UseDPDF=Y")</f>
        <v>#NAME?</v>
      </c>
      <c r="BU553" s="1" t="e">
        <f ca="1">_xll.BDH($C$553,"TOTAL_EQUITY_SEQUENTIAL_GROWTH","FY 2014","FY 2014","Currency=INR","Period=FY","BEST_FPERIOD_OVERRIDE=FY","FILING_STATUS=OR","EQY_CONSOLIDATED=Y","Sort=A","Dates=H","DateFormat=P","Fill=—","Direction=H","UseDPDF=Y")</f>
        <v>#NAME?</v>
      </c>
      <c r="BV553" s="1" t="e">
        <f ca="1">_xll.BDH($C$553,"TOTAL_CAPITAL_SEQUENTIAL_GROWTH","FY 2014","FY 2014","Currency=INR","Period=FY","BEST_FPERIOD_OVERRIDE=FY","FILING_STATUS=OR","EQY_CONSOLIDATED=Y","Sort=A","Dates=H","DateFormat=P","Fill=—","Direction=H","UseDPDF=Y")</f>
        <v>#NAME?</v>
      </c>
      <c r="BW553" s="1" t="e">
        <f ca="1">_xll.BDH($C$553,"BPS_SEQUENTIAL_GROWTH","FY 2014","FY 2014","Currency=INR","Period=FY","BEST_FPERIOD_OVERRIDE=FY","FILING_STATUS=OR","EQY_CONSOLIDATED=Y","Sort=A","Dates=H","DateFormat=P","Fill=—","Direction=H","UseDPDF=Y")</f>
        <v>#NAME?</v>
      </c>
      <c r="BX553" s="1" t="e">
        <f ca="1">_xll.BDH($C$553,"CFO_SEQUENTIAL_GROWTH","FY 2014","FY 2014","Currency=INR","Period=FY","BEST_FPERIOD_OVERRIDE=FY","FILING_STATUS=OR","EQY_CONSOLIDATED=Y","Sort=A","Dates=H","DateFormat=P","Fill=—","Direction=H","UseDPDF=Y")</f>
        <v>#NAME?</v>
      </c>
      <c r="BY553" s="2" t="e">
        <f ca="1">_xll.BDH($C$553,"SHORT_AND_LONG_TERM_DEBT","FY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53" s="2" t="e">
        <f ca="1">_xll.BDH($C$553,"BS_ST_BORROW","FY 2014","FY 2014","Currency=INR","Period=FY","BEST_FPERIOD_OVERRIDE=FY","FILING_STATUS=OR","EQY_CONSOLIDATED=Y","SCALING_FORMAT=MLN","Sort=A","Dates=H","DateFormat=P","Fill=—","Direction=H","UseDPDF=Y")</f>
        <v>#NAME?</v>
      </c>
      <c r="CA553" s="2" t="e">
        <f ca="1">_xll.BDH($C$553,"BS_LT_BORROW","FY 2014","FY 2014","Currency=INR","Period=FY","BEST_FPERIOD_OVERRIDE=FY","FILING_STATUS=OR","EQY_CONSOLIDATED=Y","SCALING_FORMAT=MLN","Sort=A","Dates=H","DateFormat=P","Fill=—","Direction=H","UseDPDF=Y")</f>
        <v>#NAME?</v>
      </c>
      <c r="CB553" s="1" t="e">
        <f ca="1">_xll.BDH($C$553,"TOT_DEBT_TO_EBITDA","FY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553" s="1" t="e">
        <f ca="1">_xll.BDH($C$553,"NET_DEBT_TO_EBITDA","FY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553" s="1" t="e">
        <f ca="1">_xll.BDH($C$553,"TOTAL_DEBT_TO_EBIT","FY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553" s="1" t="e">
        <f ca="1">_xll.BDH($C$553,"NET_DEBT_TO_EBIT","FY 2014","FY 2014","Currency=INR","Period=FY","BEST_FPERIOD_OVERRIDE=FY","FILING_STATUS=OR","EQY_CONSOLIDATED=Y","FA_ADJUSTED=GAAP","Sort=A","Dates=H","DateFormat=P","Fill=—","Direction=H","UseDPDF=Y")</f>
        <v>#NAME?</v>
      </c>
      <c r="CF553" s="1" t="e">
        <f ca="1">_xll.BDH($C$553,"EBITDA_TO_INTEREST_EXPN","FY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53" s="1" t="e">
        <f ca="1">_xll.BDH($C$553,"COM_EQY_TO_TOT_ASSET","FY 2014","FY 2014","Currency=INR","Period=FY","BEST_FPERIOD_OVERRIDE=FY","FILING_STATUS=OR","EQY_CONSOLIDATED=Y","Sort=A","Dates=H","DateFormat=P","Fill=—","Direction=H","UseDPDF=Y")</f>
        <v>#NAME?</v>
      </c>
      <c r="CH553" s="1" t="e">
        <f ca="1">_xll.BDH($C$553,"LT_DEBT_TO_TOT_EQY","FY 2014","FY 2014","Currency=INR","Period=FY","BEST_FPERIOD_OVERRIDE=FY","FILING_STATUS=OR","EQY_CONSOLIDATED=Y","Sort=A","Dates=H","DateFormat=P","Fill=—","Direction=H","UseDPDF=Y")</f>
        <v>#NAME?</v>
      </c>
      <c r="CI553" s="1" t="e">
        <f ca="1">_xll.BDH($C$553,"LT_DEBT_TO_TOT_CAP","FY 2014","FY 2014","Currency=INR","Period=FY","BEST_FPERIOD_OVERRIDE=FY","FILING_STATUS=OR","EQY_CONSOLIDATED=Y","Sort=A","Dates=H","DateFormat=P","Fill=—","Direction=H","UseDPDF=Y")</f>
        <v>#NAME?</v>
      </c>
      <c r="CJ553" s="1" t="e">
        <f ca="1">_xll.BDH($C$553,"LT_DEBT_TO_TOT_ASSET","FY 2014","FY 2014","Currency=INR","Period=FY","BEST_FPERIOD_OVERRIDE=FY","FILING_STATUS=OR","EQY_CONSOLIDATED=Y","Sort=A","Dates=H","DateFormat=P","Fill=—","Direction=H","UseDPDF=Y")</f>
        <v>#NAME?</v>
      </c>
      <c r="CK553" s="1" t="e">
        <f ca="1">_xll.BDH($C$553,"TOT_DEBT_TO_TOT_EQY","FY 2014","FY 2014","Currency=INR","Period=FY","BEST_FPERIOD_OVERRIDE=FY","FILING_STATUS=OR","EQY_CONSOLIDATED=Y","Sort=A","Dates=H","DateFormat=P","Fill=—","Direction=H","UseDPDF=Y")</f>
        <v>#NAME?</v>
      </c>
      <c r="CL553" s="1" t="e">
        <f ca="1">_xll.BDH($C$553,"TOT_DEBT_TO_TOT_CAP","FY 2014","FY 2014","Currency=INR","Period=FY","BEST_FPERIOD_OVERRIDE=FY","FILING_STATUS=OR","EQY_CONSOLIDATED=Y","Sort=A","Dates=H","DateFormat=P","Fill=—","Direction=H","UseDPDF=Y")</f>
        <v>#NAME?</v>
      </c>
      <c r="CM553" s="1" t="e">
        <f ca="1">_xll.BDH($C$553,"TOT_DEBT_TO_TOT_ASSET","FY 2014","FY 2014","Currency=INR","Period=FY","BEST_FPERIOD_OVERRIDE=FY","FILING_STATUS=OR","EQY_CONSOLIDATED=Y","Sort=A","Dates=H","DateFormat=P","Fill=—","Direction=H","UseDPDF=Y")</f>
        <v>#NAME?</v>
      </c>
      <c r="CN553" s="1" t="e">
        <f ca="1">_xll.BDH($C$553,"NET_DEBT_TO_SHRHLDR_EQTY","FY 2014","FY 2014","Currency=INR","Period=FY","BEST_FPERIOD_OVERRIDE=FY","FILING_STATUS=OR","EQY_CONSOLIDATED=Y","Sort=A","Dates=H","DateFormat=P","Fill=—","Direction=H","UseDPDF=Y")</f>
        <v>#NAME?</v>
      </c>
      <c r="CO553" s="1" t="e">
        <f ca="1">_xll.BDH($C$553,"NET_DEBT_%_CAPITAL","FY 2014","FY 2014","Currency=INR","Period=FY","BEST_FPERIOD_OVERRIDE=FY","FILING_STATUS=OR","EQY_CONSOLIDATED=Y","Sort=A","Dates=H","DateFormat=P","Fill=—","Direction=H","UseDPDF=Y")</f>
        <v>#NAME?</v>
      </c>
      <c r="CP553" s="2" t="e">
        <f ca="1">_xll.BDH($C$553,"EBITDA","FY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53" s="2" t="e">
        <f ca="1">_xll.BDH($C$553,"EBITDA_AFTER_CAPEX","FY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53" s="2" t="e">
        <f ca="1">_xll.BDH($C$553,"IS_OPER_INC","FY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53" s="1" t="e">
        <f ca="1">_xll.BDH($C$553,"CASH_RATIO","FY 2014","FY 2014","Currency=INR","Period=FY","BEST_FPERIOD_OVERRIDE=FY","FILING_STATUS=OR","EQY_CONSOLIDATED=Y","Sort=A","Dates=H","DateFormat=P","Fill=—","Direction=H","UseDPDF=Y")</f>
        <v>#NAME?</v>
      </c>
      <c r="CT553" s="1" t="e">
        <f ca="1">_xll.BDH($C$553,"CUR_RATIO","FY 2014","FY 2014","Currency=INR","Period=FY","BEST_FPERIOD_OVERRIDE=FY","FILING_STATUS=OR","EQY_CONSOLIDATED=Y","Sort=A","Dates=H","DateFormat=P","Fill=—","Direction=H","UseDPDF=Y")</f>
        <v>#NAME?</v>
      </c>
      <c r="CU553" s="1" t="e">
        <f ca="1">_xll.BDH($C$553,"QUICK_RATIO","FY 2014","FY 2014","Currency=INR","Period=FY","BEST_FPERIOD_OVERRIDE=FY","FILING_STATUS=OR","EQY_CONSOLIDATED=Y","Sort=A","Dates=H","DateFormat=P","Fill=—","Direction=H","UseDPDF=Y")</f>
        <v>#NAME?</v>
      </c>
      <c r="CV553" s="1" t="e">
        <f ca="1">_xll.BDH($C$553,"ALTMAN_Z_SCORE","FY 2014","FY 2014","Currency=INR","Period=FY","BEST_FPERIOD_OVERRIDE=FY","FILING_STATUS=OR","EQY_CONSOLIDATED=Y","Sort=A","Dates=H","DateFormat=P","Fill=—","Direction=H","UseDPDF=Y")</f>
        <v>#NAME?</v>
      </c>
      <c r="CW553" s="3" t="e">
        <f ca="1">_xll.BDH($C$553,"ACCT_RCV_TURN","FY 2014","FY 2014","Currency=INR","Period=FY","BEST_FPERIOD_OVERRIDE=FY","FILING_STATUS=OR","EQY_CONSOLIDATED=Y","FA_ADJUSTED=GAAP","Sort=A","Dates=H","DateFormat=P","Fill=—","Direction=H","UseDPDF=Y")</f>
        <v>#NAME?</v>
      </c>
      <c r="CX553" s="1" t="e">
        <f ca="1">_xll.BDH($C$553,"ACCT_RCV_DAYS","FY 2014","FY 2014","Currency=INR","Period=FY","BEST_FPERIOD_OVERRIDE=FY","FILING_STATUS=OR","EQY_CONSOLIDATED=Y","FA_ADJUSTED=GAAP","Sort=A","Dates=H","DateFormat=P","Fill=—","Direction=H","UseDPDF=Y")</f>
        <v>#NAME?</v>
      </c>
      <c r="CY553" s="3" t="e">
        <f ca="1">_xll.BDH($C$553,"INVENT_TURN","FY 2014","FY 2014","Currency=INR","Period=FY","BEST_FPERIOD_OVERRIDE=FY","FILING_STATUS=OR","EQY_CONSOLIDATED=Y","FA_ADJUSTED=GAAP","Sort=A","Dates=H","DateFormat=P","Fill=—","Direction=H","UseDPDF=Y")</f>
        <v>#NAME?</v>
      </c>
      <c r="CZ553" s="1" t="e">
        <f ca="1">_xll.BDH($C$553,"INVENT_DAYS","FY 2014","FY 2014","Currency=INR","Period=FY","BEST_FPERIOD_OVERRIDE=FY","FILING_STATUS=OR","EQY_CONSOLIDATED=Y","FA_ADJUSTED=GAAP","Sort=A","Dates=H","DateFormat=P","Fill=—","Direction=H","UseDPDF=Y")</f>
        <v>#NAME?</v>
      </c>
      <c r="DA553" s="3" t="e">
        <f ca="1">_xll.BDH($C$553,"ACCOUNTS_PAYABLE_TURNOVER","FY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53" s="1" t="e">
        <f ca="1">_xll.BDH($C$553,"ACCOUNTS_PAYABLE_TURNOVER_DAYS","FY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53" s="3" t="e">
        <f ca="1">_xll.BDH($C$553,"CASH_CONVERSION_CYCLE","FY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53" s="3" t="e">
        <f ca="1">_xll.BDH($C$553,"INV_TO_CASH_DAYS","FY 2014","FY 2014","Currency=INR","Period=FY","BEST_FPERIOD_OVERRIDE=FY","FILING_STATUS=OR","EQY_CONSOLIDATED=Y","FA_ADJUSTED=GAAP","Sort=A","Dates=H","DateFormat=P","Fill=—","Direction=H","UseDPDF=Y")</f>
        <v>#NAME?</v>
      </c>
      <c r="DE553" s="4" t="e">
        <f ca="1">_xll.BDH($C$553,"BS_INVENTORIES","FY 2014","FY 2014","Currency=INR","Period=FY","BEST_FPERIOD_OVERRIDE=FY","FILING_STATUS=OR","EQY_CONSOLIDATED=Y","SCALING_FORMAT=MLN","Sort=A","Dates=H","DateFormat=P","Fill=—","Direction=H","UseDPDF=Y")</f>
        <v>#NAME?</v>
      </c>
      <c r="DF553" s="2" t="e">
        <f ca="1">_xll.BDH($C$553,"INVTRY_RAW_MATERIALS","FY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53" s="2" t="e">
        <f ca="1">_xll.BDH($C$553,"INVTRY_IN_PROGRESS","FY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53" s="2" t="e">
        <f ca="1">_xll.BDH($C$553,"INVTRY_FINISHED_GOODS","FY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53" s="2" t="e">
        <f ca="1">_xll.BDH($C$553,"BS_OTHER_INV","FY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54" spans="1:113" x14ac:dyDescent="0.3">
      <c r="A554" s="6"/>
      <c r="B554" s="6"/>
      <c r="C554" s="6"/>
      <c r="D554" s="6"/>
      <c r="E554" t="s">
        <v>4</v>
      </c>
      <c r="F554" t="e">
        <f ca="1">_xll.BDH($C$553,"RETURN_COM_EQY","FQ1 2014","FQ1 2014","Currency=INR","Period=FQ","BEST_FPERIOD_OVERRIDE=FQ","FILING_STATUS=OR","EQY_CONSOLIDATED=Y","FA_ADJUSTED=GAAP","Sort=A","Dates=H","DateFormat=P","Fill=—","Direction=H","UseDPDF=Y")</f>
        <v>#NAME?</v>
      </c>
      <c r="G554" t="e">
        <f ca="1">_xll.BDH($C$553,"RETURN_ON_ASSET","FQ1 2014","FQ1 2014","Currency=INR","Period=FQ","BEST_FPERIOD_OVERRIDE=FQ","FILING_STATUS=OR","EQY_CONSOLIDATED=Y","FA_ADJUSTED=GAAP","Sort=A","Dates=H","DateFormat=P","Fill=—","Direction=H","UseDPDF=Y")</f>
        <v>#NAME?</v>
      </c>
      <c r="H554" t="e">
        <f ca="1">_xll.BDH($C$553,"RETURN_ON_CAP","FQ1 2014","FQ1 2014","Currency=INR","Period=FQ","BEST_FPERIOD_OVERRIDE=FQ","FILING_STATUS=OR","EQY_CONSOLIDATED=Y","FA_ADJUSTED=GAAP","Sort=A","Dates=H","DateFormat=P","Fill=—","Direction=H","UseDPDF=Y")</f>
        <v>#NAME?</v>
      </c>
      <c r="I554" t="e">
        <f ca="1">_xll.BDH($C$553,"RETURN_ON_INV_CAPITAL","FQ1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54" t="e">
        <f ca="1">_xll.BDH($C$553,"EBITDA_TO_REVENUE","FQ1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554" t="e">
        <f ca="1">_xll.BDH($C$553,"OPER_MARGIN","FQ1 2014","FQ1 2014","Currency=INR","Period=FQ","BEST_FPERIOD_OVERRIDE=FQ","FILING_STATUS=OR","EQY_CONSOLIDATED=Y","FA_ADJUSTED=GAAP","Sort=A","Dates=H","DateFormat=P","Fill=—","Direction=H","UseDPDF=Y")</f>
        <v>#NAME?</v>
      </c>
      <c r="L554" t="e">
        <f ca="1">_xll.BDH($C$553,"INCREMENTAL_OPERATING_MARGIN","FQ1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54" t="e">
        <f ca="1">_xll.BDH($C$553,"PRETAX_INC_TO_NET_SALES","FQ1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54" t="e">
        <f ca="1">_xll.BDH($C$553,"INC_BEF_XO_ITEMS_TO_NET_SALES","FQ1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54" t="e">
        <f ca="1">_xll.BDH($C$553,"PROF_MARGIN","FQ1 2014","FQ1 2014","Currency=INR","Period=FQ","BEST_FPERIOD_OVERRIDE=FQ","FILING_STATUS=OR","EQY_CONSOLIDATED=Y","FA_ADJUSTED=GAAP","Sort=A","Dates=H","DateFormat=P","Fill=—","Direction=H","UseDPDF=Y")</f>
        <v>#NAME?</v>
      </c>
      <c r="P554" t="e">
        <f ca="1">_xll.BDH($C$553,"NET_INCOME_TO_COMMON_MARGIN","FQ1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54" t="e">
        <f ca="1">_xll.BDH($C$553,"EFF_TAX_RATE","FQ1 2014","FQ1 2014","Currency=INR","Period=FQ","BEST_FPERIOD_OVERRIDE=FQ","FILING_STATUS=OR","EQY_CONSOLIDATED=Y","FA_ADJUSTED=GAAP","Sort=A","Dates=H","DateFormat=P","Fill=—","Direction=H","UseDPDF=Y")</f>
        <v>#NAME?</v>
      </c>
      <c r="R554" t="e">
        <f ca="1">_xll.BDH($C$553,"DVD_PAYOUT_RATIO","FQ1 2014","FQ1 2014","Currency=INR","Period=FQ","BEST_FPERIOD_OVERRIDE=FQ","FILING_STATUS=OR","EQY_CONSOLIDATED=Y","FA_ADJUSTED=GAAP","Sort=A","Dates=H","DateFormat=P","Fill=—","Direction=H","UseDPDF=Y")</f>
        <v>#NAME?</v>
      </c>
      <c r="S554" t="e">
        <f ca="1">_xll.BDH($C$553,"SUSTAIN_GROWTH_RT","FQ1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554" s="1" t="e">
        <f ca="1">_xll.BDH($C$553,"SALES_GROWTH","FQ1 2014","FQ1 2014","Currency=INR","Period=FQ","BEST_FPERIOD_OVERRIDE=FQ","FILING_STATUS=OR","EQY_CONSOLIDATED=Y","FA_ADJUSTED=GAAP","Sort=A","Dates=H","DateFormat=P","Fill=—","Direction=H","UseDPDF=Y")</f>
        <v>#NAME?</v>
      </c>
      <c r="U554" s="1" t="e">
        <f ca="1">_xll.BDH($C$553,"EBITDA_GROWTH","FQ1 2014","FQ1 2014","Currency=INR","Period=FQ","BEST_FPERIOD_OVERRIDE=FQ","FILING_STATUS=OR","EQY_CONSOLIDATED=Y","FA_ADJUSTED=GAAP","Sort=A","Dates=H","DateFormat=P","Fill=—","Direction=H","UseDPDF=Y")</f>
        <v>#NAME?</v>
      </c>
      <c r="V554" s="1" t="e">
        <f ca="1">_xll.BDH($C$553,"OPER_INC_GROWTH","FQ1 2014","FQ1 2014","Currency=INR","Period=FQ","BEST_FPERIOD_OVERRIDE=FQ","FILING_STATUS=OR","EQY_CONSOLIDATED=Y","FA_ADJUSTED=GAAP","Sort=A","Dates=H","DateFormat=P","Fill=—","Direction=H","UseDPDF=Y")</f>
        <v>#NAME?</v>
      </c>
      <c r="W554" s="1" t="e">
        <f ca="1">_xll.BDH($C$553,"EARN_FOR_COM_GROWTH","FQ1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54" s="1" t="e">
        <f ca="1">_xll.BDH($C$553,"DILUTED_EPS_AFT_XO_ITEMS_GROWTH","FQ1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54" s="1" t="e">
        <f ca="1">_xll.BDH($C$553,"DIVIDEND_PER_SHARE_1_YEAR_GROWTH","FQ1 2014","FQ1 2014","Currency=INR","Period=FQ","BEST_FPERIOD_OVERRIDE=FQ","FILING_STATUS=OR","EQY_CONSOLIDATED=Y","Sort=A","Dates=H","DateFormat=P","Fill=—","Direction=H","UseDPDF=Y")</f>
        <v>#NAME?</v>
      </c>
      <c r="Z554" s="1" t="e">
        <f ca="1">_xll.BDH($C$553,"ACCOUNTS_RECEIVABLE_GROWTH","FQ1 2014","FQ1 2014","Currency=INR","Period=FQ","BEST_FPERIOD_OVERRIDE=FQ","FILING_STATUS=OR","EQY_CONSOLIDATED=Y","Sort=A","Dates=H","DateFormat=P","Fill=—","Direction=H","UseDPDF=Y")</f>
        <v>#NAME?</v>
      </c>
      <c r="AA554" s="1" t="e">
        <f ca="1">_xll.BDH($C$553,"INVENTORY_GROWTH","FQ1 2014","FQ1 2014","Currency=INR","Period=FQ","BEST_FPERIOD_OVERRIDE=FQ","FILING_STATUS=OR","EQY_CONSOLIDATED=Y","Sort=A","Dates=H","DateFormat=P","Fill=—","Direction=H","UseDPDF=Y")</f>
        <v>#NAME?</v>
      </c>
      <c r="AB554" s="1" t="e">
        <f ca="1">_xll.BDH($C$553,"NET_FIXED_ASSETS_1_YEAR_GROWTH","FQ1 2014","FQ1 2014","Currency=INR","Period=FQ","BEST_FPERIOD_OVERRIDE=FQ","FILING_STATUS=OR","EQY_CONSOLIDATED=Y","Sort=A","Dates=H","DateFormat=P","Fill=—","Direction=H","UseDPDF=Y")</f>
        <v>#NAME?</v>
      </c>
      <c r="AC554" s="1" t="e">
        <f ca="1">_xll.BDH($C$553,"ASSET_GROWTH","FQ1 2014","FQ1 2014","Currency=INR","Period=FQ","BEST_FPERIOD_OVERRIDE=FQ","FILING_STATUS=OR","EQY_CONSOLIDATED=Y","Sort=A","Dates=H","DateFormat=P","Fill=—","Direction=H","UseDPDF=Y")</f>
        <v>#NAME?</v>
      </c>
      <c r="AD554" s="1" t="e">
        <f ca="1">_xll.BDH($C$553,"MODIFIED_WORK_CAP_GROWTH","FQ1 2014","FQ1 2014","Currency=INR","Period=FQ","BEST_FPERIOD_OVERRIDE=FQ","FILING_STATUS=OR","EQY_CONSOLIDATED=Y","Sort=A","Dates=H","DateFormat=P","Fill=—","Direction=H","UseDPDF=Y")</f>
        <v>#NAME?</v>
      </c>
      <c r="AE554" s="1" t="e">
        <f ca="1">_xll.BDH($C$553,"WORK_CAP_GROWTH","FQ1 2014","FQ1 2014","Currency=INR","Period=FQ","BEST_FPERIOD_OVERRIDE=FQ","FILING_STATUS=OR","EQY_CONSOLIDATED=Y","Sort=A","Dates=H","DateFormat=P","Fill=—","Direction=H","UseDPDF=Y")</f>
        <v>#NAME?</v>
      </c>
      <c r="AF554" s="1" t="e">
        <f ca="1">_xll.BDH($C$553,"ACCOUNTS_PAYABLE_GROWTH_1YR","FQ1 2014","FQ1 2014","Currency=INR","Period=FQ","BEST_FPERIOD_OVERRIDE=FQ","FILING_STATUS=OR","EQY_CONSOLIDATED=Y","Sort=A","Dates=H","DateFormat=P","Fill=—","Direction=H","UseDPDF=Y")</f>
        <v>#NAME?</v>
      </c>
      <c r="AG554" s="1" t="e">
        <f ca="1">_xll.BDH($C$553,"SHORT_TERM_DEBT_1_YEAR_GROWTH","FQ1 2014","FQ1 2014","Currency=INR","Period=FQ","BEST_FPERIOD_OVERRIDE=FQ","FILING_STATUS=OR","EQY_CONSOLIDATED=Y","Sort=A","Dates=H","DateFormat=P","Fill=—","Direction=H","UseDPDF=Y")</f>
        <v>#NAME?</v>
      </c>
      <c r="AH554" s="1" t="e">
        <f ca="1">_xll.BDH($C$553,"TOTAL_DEBT_1_YEAR_GROWTH","FQ1 2014","FQ1 2014","Currency=INR","Period=FQ","BEST_FPERIOD_OVERRIDE=FQ","FILING_STATUS=OR","EQY_CONSOLIDATED=Y","Sort=A","Dates=H","DateFormat=P","Fill=—","Direction=H","UseDPDF=Y")</f>
        <v>#NAME?</v>
      </c>
      <c r="AI554" s="1" t="e">
        <f ca="1">_xll.BDH($C$553,"TOTAL_EQUITY_1_YEAR_GROWTH","FQ1 2014","FQ1 2014","Currency=INR","Period=FQ","BEST_FPERIOD_OVERRIDE=FQ","FILING_STATUS=OR","EQY_CONSOLIDATED=Y","Sort=A","Dates=H","DateFormat=P","Fill=—","Direction=H","UseDPDF=Y")</f>
        <v>#NAME?</v>
      </c>
      <c r="AJ554" s="1" t="e">
        <f ca="1">_xll.BDH($C$553,"GROWTH_IN_CAP","FQ1 2014","FQ1 2014","Currency=INR","Period=FQ","BEST_FPERIOD_OVERRIDE=FQ","FILING_STATUS=OR","EQY_CONSOLIDATED=Y","Sort=A","Dates=H","DateFormat=P","Fill=—","Direction=H","UseDPDF=Y")</f>
        <v>#NAME?</v>
      </c>
      <c r="AK554" s="1" t="e">
        <f ca="1">_xll.BDH($C$553,"BVPS_GROWTH","FQ1 2014","FQ1 2014","Currency=INR","Period=FQ","BEST_FPERIOD_OVERRIDE=FQ","FILING_STATUS=OR","EQY_CONSOLIDATED=Y","Sort=A","Dates=H","DateFormat=P","Fill=—","Direction=H","UseDPDF=Y")</f>
        <v>#NAME?</v>
      </c>
      <c r="AL554" s="1" t="e">
        <f ca="1">_xll.BDH($C$553,"CASH_FLOW_GROWTH","FQ1 2014","FQ1 2014","Currency=INR","Period=FQ","BEST_FPERIOD_OVERRIDE=FQ","FILING_STATUS=OR","EQY_CONSOLIDATED=Y","Sort=A","Dates=H","DateFormat=P","Fill=—","Direction=H","UseDPDF=Y")</f>
        <v>#NAME?</v>
      </c>
      <c r="AM554" s="1" t="e">
        <f ca="1">_xll.BDH($C$553,"GEO_GROW_NET_SALES","FQ1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54" s="1" t="e">
        <f ca="1">_xll.BDH($C$553,"GEO_GROW_EBITDA","FQ1 2014","FQ1 2014","Currency=INR","Period=FQ","BEST_FPERIOD_OVERRIDE=FQ","FILING_STATUS=OR","EQY_CONSOLIDATED=Y","FA_ADJUSTED=GAAP","Sort=A","Dates=H","DateFormat=P","Fill=—","Direction=H","UseDPDF=Y")</f>
        <v>#NAME?</v>
      </c>
      <c r="AO554" s="1" t="e">
        <f ca="1">_xll.BDH($C$553,"GEO_GROW_OPER_INC","FQ1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54" s="1" t="e">
        <f ca="1">_xll.BDH($C$553,"NET_INCOME_TO_COMMON_5_YR_GROWTH","FQ1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54" s="1" t="e">
        <f ca="1">_xll.BDH($C$553,"5Y_GEO_GROWTH_DILUTED_EPS","FQ1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54" s="1" t="e">
        <f ca="1">_xll.BDH($C$553,"GEO_GROW_DVD_PER_SH","FQ1 2014","FQ1 2014","Currency=INR","Period=FQ","BEST_FPERIOD_OVERRIDE=FQ","FILING_STATUS=OR","EQY_CONSOLIDATED=Y","Sort=A","Dates=H","DateFormat=P","Fill=—","Direction=H","UseDPDF=Y")</f>
        <v>#NAME?</v>
      </c>
      <c r="AS554" s="1" t="e">
        <f ca="1">_xll.BDH($C$553,"ACCOUNTS_RECEIVABLE_5_YR_GROWTH","FQ1 2014","FQ1 2014","Currency=INR","Period=FQ","BEST_FPERIOD_OVERRIDE=FQ","FILING_STATUS=OR","EQY_CONSOLIDATED=Y","Sort=A","Dates=H","DateFormat=P","Fill=—","Direction=H","UseDPDF=Y")</f>
        <v>#NAME?</v>
      </c>
      <c r="AT554" s="1" t="e">
        <f ca="1">_xll.BDH($C$553,"INVENTORY_5_YEAR_GROWTH","FQ1 2014","FQ1 2014","Currency=INR","Period=FQ","BEST_FPERIOD_OVERRIDE=FQ","FILING_STATUS=OR","EQY_CONSOLIDATED=Y","Sort=A","Dates=H","DateFormat=P","Fill=—","Direction=H","UseDPDF=Y")</f>
        <v>#NAME?</v>
      </c>
      <c r="AU554" s="1" t="e">
        <f ca="1">_xll.BDH($C$553,"NET_FIXED_ASSETS_5_YEAR_GROWTH","FQ1 2014","FQ1 2014","Currency=INR","Period=FQ","BEST_FPERIOD_OVERRIDE=FQ","FILING_STATUS=OR","EQY_CONSOLIDATED=Y","Sort=A","Dates=H","DateFormat=P","Fill=—","Direction=H","UseDPDF=Y")</f>
        <v>#NAME?</v>
      </c>
      <c r="AV554" s="1" t="e">
        <f ca="1">_xll.BDH($C$553,"GEO_GROW_TOT_ASSET","FQ1 2014","FQ1 2014","Currency=INR","Period=FQ","BEST_FPERIOD_OVERRIDE=FQ","FILING_STATUS=OR","EQY_CONSOLIDATED=Y","Sort=A","Dates=H","DateFormat=P","Fill=—","Direction=H","UseDPDF=Y")</f>
        <v>#NAME?</v>
      </c>
      <c r="AW554" s="1" t="e">
        <f ca="1">_xll.BDH($C$553,"MODIFIED_WORKING_CPTL_5YR_GRWTH","FQ1 2014","FQ1 2014","Currency=INR","Period=FQ","BEST_FPERIOD_OVERRIDE=FQ","FILING_STATUS=OR","EQY_CONSOLIDATED=Y","Sort=A","Dates=H","DateFormat=P","Fill=—","Direction=H","UseDPDF=Y")</f>
        <v>#NAME?</v>
      </c>
      <c r="AX554" s="1" t="e">
        <f ca="1">_xll.BDH($C$553,"WORKING_CAPITAL_5_YEAR_GROWTH","FQ1 2014","FQ1 2014","Currency=INR","Period=FQ","BEST_FPERIOD_OVERRIDE=FQ","FILING_STATUS=OR","EQY_CONSOLIDATED=Y","Sort=A","Dates=H","DateFormat=P","Fill=—","Direction=H","UseDPDF=Y")</f>
        <v>#NAME?</v>
      </c>
      <c r="AY554" s="1" t="e">
        <f ca="1">_xll.BDH($C$553,"ACCOUNTS_PAYABLE_5_YEAR_GROWTH","FQ1 2014","FQ1 2014","Currency=INR","Period=FQ","BEST_FPERIOD_OVERRIDE=FQ","FILING_STATUS=OR","EQY_CONSOLIDATED=Y","Sort=A","Dates=H","DateFormat=P","Fill=—","Direction=H","UseDPDF=Y")</f>
        <v>#NAME?</v>
      </c>
      <c r="AZ554" s="1" t="e">
        <f ca="1">_xll.BDH($C$553,"SHORT_TERM_DEBT_5_YEAR_GROWTH","FQ1 2014","FQ1 2014","Currency=INR","Period=FQ","BEST_FPERIOD_OVERRIDE=FQ","FILING_STATUS=OR","EQY_CONSOLIDATED=Y","Sort=A","Dates=H","DateFormat=P","Fill=—","Direction=H","UseDPDF=Y")</f>
        <v>#NAME?</v>
      </c>
      <c r="BA554" s="1" t="e">
        <f ca="1">_xll.BDH($C$553,"TOTAL_DEBT_5_YEAR_GROWTH","FQ1 2014","FQ1 2014","Currency=INR","Period=FQ","BEST_FPERIOD_OVERRIDE=FQ","FILING_STATUS=OR","EQY_CONSOLIDATED=Y","Sort=A","Dates=H","DateFormat=P","Fill=—","Direction=H","UseDPDF=Y")</f>
        <v>#NAME?</v>
      </c>
      <c r="BB554" s="1" t="e">
        <f ca="1">_xll.BDH($C$553,"GEO_GROW_TOT_SHRHLDR_EQY","FQ1 2014","FQ1 2014","Currency=INR","Period=FQ","BEST_FPERIOD_OVERRIDE=FQ","FILING_STATUS=OR","EQY_CONSOLIDATED=Y","Sort=A","Dates=H","DateFormat=P","Fill=—","Direction=H","UseDPDF=Y")</f>
        <v>#NAME?</v>
      </c>
      <c r="BC554" s="1" t="e">
        <f ca="1">_xll.BDH($C$553,"TOTAL_CAPITAL_5_YEAR_GROWTH","FQ1 2014","FQ1 2014","Currency=INR","Period=FQ","BEST_FPERIOD_OVERRIDE=FQ","FILING_STATUS=OR","EQY_CONSOLIDATED=Y","Sort=A","Dates=H","DateFormat=P","Fill=—","Direction=H","UseDPDF=Y")</f>
        <v>#NAME?</v>
      </c>
      <c r="BD554" s="1" t="e">
        <f ca="1">_xll.BDH($C$553,"GEO_GROW_BOOK_VAL","FQ1 2014","FQ1 2014","Currency=INR","Period=FQ","BEST_FPERIOD_OVERRIDE=FQ","FILING_STATUS=OR","EQY_CONSOLIDATED=Y","Sort=A","Dates=H","DateFormat=P","Fill=—","Direction=H","UseDPDF=Y")</f>
        <v>#NAME?</v>
      </c>
      <c r="BE554" s="1" t="e">
        <f ca="1">_xll.BDH($C$553,"GEO_GROW_CASH_OPER_ACT","FQ1 2014","FQ1 2014","Currency=INR","Period=FQ","BEST_FPERIOD_OVERRIDE=FQ","FILING_STATUS=OR","EQY_CONSOLIDATED=Y","Sort=A","Dates=H","DateFormat=P","Fill=—","Direction=H","UseDPDF=Y")</f>
        <v>#NAME?</v>
      </c>
      <c r="BF554" s="1" t="e">
        <f ca="1">_xll.BDH($C$553,"REVENUE_SEQUENTIAL_GROWTH","FQ1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54" s="1" t="e">
        <f ca="1">_xll.BDH($C$553,"EBITDA_SEQUENTIAL_GROWTH","FQ1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54" s="1" t="e">
        <f ca="1">_xll.BDH($C$553,"OPERATING_INCOME_SEQ_GROWTH","FQ1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54" s="1" t="e">
        <f ca="1">_xll.BDH($C$553,"NET_INCOME_TO_COMMON_SEQ_GROWTH","FQ1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54" s="1" t="e">
        <f ca="1">_xll.BDH($C$553,"EPS_DILUTED_SEQUENTIAL_GROWTH","FQ1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54" s="1" t="e">
        <f ca="1">_xll.BDH($C$553,"DPS_SEQUENTIAL_GROWTH","FQ1 2014","FQ1 2014","Currency=INR","Period=FQ","BEST_FPERIOD_OVERRIDE=FQ","FILING_STATUS=OR","EQY_CONSOLIDATED=Y","Sort=A","Dates=H","DateFormat=P","Fill=—","Direction=H","UseDPDF=Y")</f>
        <v>#NAME?</v>
      </c>
      <c r="BL554" s="1" t="e">
        <f ca="1">_xll.BDH($C$553,"ACCOUNTS_RECEIVABLE_SEQ_GROWTH","FQ1 2014","FQ1 2014","Currency=INR","Period=FQ","BEST_FPERIOD_OVERRIDE=FQ","FILING_STATUS=OR","EQY_CONSOLIDATED=Y","Sort=A","Dates=H","DateFormat=P","Fill=—","Direction=H","UseDPDF=Y")</f>
        <v>#NAME?</v>
      </c>
      <c r="BM554" s="1" t="e">
        <f ca="1">_xll.BDH($C$553,"INVENTORY_SEQUENTIAL_GROWTH","FQ1 2014","FQ1 2014","Currency=INR","Period=FQ","BEST_FPERIOD_OVERRIDE=FQ","FILING_STATUS=OR","EQY_CONSOLIDATED=Y","Sort=A","Dates=H","DateFormat=P","Fill=—","Direction=H","UseDPDF=Y")</f>
        <v>#NAME?</v>
      </c>
      <c r="BN554" s="1" t="e">
        <f ca="1">_xll.BDH($C$553,"FIXED_ASSETS_SEQUENTIAL_GROWTH","FQ1 2014","FQ1 2014","Currency=INR","Period=FQ","BEST_FPERIOD_OVERRIDE=FQ","FILING_STATUS=OR","EQY_CONSOLIDATED=Y","Sort=A","Dates=H","DateFormat=P","Fill=—","Direction=H","UseDPDF=Y")</f>
        <v>#NAME?</v>
      </c>
      <c r="BO554" s="1" t="e">
        <f ca="1">_xll.BDH($C$553,"TOTAL_ASSETS_SEQUENTIAL_GROWTH","FQ1 2014","FQ1 2014","Currency=INR","Period=FQ","BEST_FPERIOD_OVERRIDE=FQ","FILING_STATUS=OR","EQY_CONSOLIDATED=Y","Sort=A","Dates=H","DateFormat=P","Fill=—","Direction=H","UseDPDF=Y")</f>
        <v>#NAME?</v>
      </c>
      <c r="BP554" s="1" t="e">
        <f ca="1">_xll.BDH($C$553,"MODIFIED_WORKING_CPTL_SEQ_GRWTH","FQ1 2014","FQ1 2014","Currency=INR","Period=FQ","BEST_FPERIOD_OVERRIDE=FQ","FILING_STATUS=OR","EQY_CONSOLIDATED=Y","Sort=A","Dates=H","DateFormat=P","Fill=—","Direction=H","UseDPDF=Y")</f>
        <v>#NAME?</v>
      </c>
      <c r="BQ554" s="1" t="e">
        <f ca="1">_xll.BDH($C$553,"WORKING_CAPITAL_SEQ_GROWTH","FQ1 2014","FQ1 2014","Currency=INR","Period=FQ","BEST_FPERIOD_OVERRIDE=FQ","FILING_STATUS=OR","EQY_CONSOLIDATED=Y","Sort=A","Dates=H","DateFormat=P","Fill=—","Direction=H","UseDPDF=Y")</f>
        <v>#NAME?</v>
      </c>
      <c r="BR554" s="1" t="e">
        <f ca="1">_xll.BDH($C$553,"ACCOUNTS_PAYABLE_SEQ_GROWTH","FQ1 2014","FQ1 2014","Currency=INR","Period=FQ","BEST_FPERIOD_OVERRIDE=FQ","FILING_STATUS=OR","EQY_CONSOLIDATED=Y","Sort=A","Dates=H","DateFormat=P","Fill=—","Direction=H","UseDPDF=Y")</f>
        <v>#NAME?</v>
      </c>
      <c r="BS554" s="1" t="e">
        <f ca="1">_xll.BDH($C$553,"ST_DEBT_SEQUENTIAL_GROWTH","FQ1 2014","FQ1 2014","Currency=INR","Period=FQ","BEST_FPERIOD_OVERRIDE=FQ","FILING_STATUS=OR","EQY_CONSOLIDATED=Y","Sort=A","Dates=H","DateFormat=P","Fill=—","Direction=H","UseDPDF=Y")</f>
        <v>#NAME?</v>
      </c>
      <c r="BT554" s="1" t="e">
        <f ca="1">_xll.BDH($C$553,"TOTAL_DEBT_SEQUENTIAL_GROWTH","FQ1 2014","FQ1 2014","Currency=INR","Period=FQ","BEST_FPERIOD_OVERRIDE=FQ","FILING_STATUS=OR","EQY_CONSOLIDATED=Y","Sort=A","Dates=H","DateFormat=P","Fill=—","Direction=H","UseDPDF=Y")</f>
        <v>#NAME?</v>
      </c>
      <c r="BU554" s="1" t="e">
        <f ca="1">_xll.BDH($C$553,"TOTAL_EQUITY_SEQUENTIAL_GROWTH","FQ1 2014","FQ1 2014","Currency=INR","Period=FQ","BEST_FPERIOD_OVERRIDE=FQ","FILING_STATUS=OR","EQY_CONSOLIDATED=Y","Sort=A","Dates=H","DateFormat=P","Fill=—","Direction=H","UseDPDF=Y")</f>
        <v>#NAME?</v>
      </c>
      <c r="BV554" s="1" t="e">
        <f ca="1">_xll.BDH($C$553,"TOTAL_CAPITAL_SEQUENTIAL_GROWTH","FQ1 2014","FQ1 2014","Currency=INR","Period=FQ","BEST_FPERIOD_OVERRIDE=FQ","FILING_STATUS=OR","EQY_CONSOLIDATED=Y","Sort=A","Dates=H","DateFormat=P","Fill=—","Direction=H","UseDPDF=Y")</f>
        <v>#NAME?</v>
      </c>
      <c r="BW554" s="1" t="e">
        <f ca="1">_xll.BDH($C$553,"BPS_SEQUENTIAL_GROWTH","FQ1 2014","FQ1 2014","Currency=INR","Period=FQ","BEST_FPERIOD_OVERRIDE=FQ","FILING_STATUS=OR","EQY_CONSOLIDATED=Y","Sort=A","Dates=H","DateFormat=P","Fill=—","Direction=H","UseDPDF=Y")</f>
        <v>#NAME?</v>
      </c>
      <c r="BX554" s="1" t="e">
        <f ca="1">_xll.BDH($C$553,"CFO_SEQUENTIAL_GROWTH","FQ1 2014","FQ1 2014","Currency=INR","Period=FQ","BEST_FPERIOD_OVERRIDE=FQ","FILING_STATUS=OR","EQY_CONSOLIDATED=Y","Sort=A","Dates=H","DateFormat=P","Fill=—","Direction=H","UseDPDF=Y")</f>
        <v>#NAME?</v>
      </c>
      <c r="BY554" s="2" t="e">
        <f ca="1">_xll.BDH($C$553,"SHORT_AND_LONG_TERM_DEBT","FQ1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54" s="2" t="e">
        <f ca="1">_xll.BDH($C$553,"BS_ST_BORROW","FQ1 2014","FQ1 2014","Currency=INR","Period=FQ","BEST_FPERIOD_OVERRIDE=FQ","FILING_STATUS=OR","EQY_CONSOLIDATED=Y","SCALING_FORMAT=MLN","Sort=A","Dates=H","DateFormat=P","Fill=—","Direction=H","UseDPDF=Y")</f>
        <v>#NAME?</v>
      </c>
      <c r="CA554" s="2" t="e">
        <f ca="1">_xll.BDH($C$553,"BS_LT_BORROW","FQ1 2014","FQ1 2014","Currency=INR","Period=FQ","BEST_FPERIOD_OVERRIDE=FQ","FILING_STATUS=OR","EQY_CONSOLIDATED=Y","SCALING_FORMAT=MLN","Sort=A","Dates=H","DateFormat=P","Fill=—","Direction=H","UseDPDF=Y")</f>
        <v>#NAME?</v>
      </c>
      <c r="CB554" s="1" t="e">
        <f ca="1">_xll.BDH($C$553,"TOT_DEBT_TO_EBITDA","FQ1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54" s="1" t="e">
        <f ca="1">_xll.BDH($C$553,"NET_DEBT_TO_EBITDA","FQ1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54" s="1" t="e">
        <f ca="1">_xll.BDH($C$553,"TOTAL_DEBT_TO_EBIT","FQ1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54" s="1" t="e">
        <f ca="1">_xll.BDH($C$553,"NET_DEBT_TO_EBIT","FQ1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554" s="1" t="e">
        <f ca="1">_xll.BDH($C$553,"EBITDA_TO_INTEREST_EXPN","FQ1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54" s="1" t="e">
        <f ca="1">_xll.BDH($C$553,"COM_EQY_TO_TOT_ASSET","FQ1 2014","FQ1 2014","Currency=INR","Period=FQ","BEST_FPERIOD_OVERRIDE=FQ","FILING_STATUS=OR","EQY_CONSOLIDATED=Y","Sort=A","Dates=H","DateFormat=P","Fill=—","Direction=H","UseDPDF=Y")</f>
        <v>#NAME?</v>
      </c>
      <c r="CH554" s="1" t="e">
        <f ca="1">_xll.BDH($C$553,"LT_DEBT_TO_TOT_EQY","FQ1 2014","FQ1 2014","Currency=INR","Period=FQ","BEST_FPERIOD_OVERRIDE=FQ","FILING_STATUS=OR","EQY_CONSOLIDATED=Y","Sort=A","Dates=H","DateFormat=P","Fill=—","Direction=H","UseDPDF=Y")</f>
        <v>#NAME?</v>
      </c>
      <c r="CI554" s="1" t="e">
        <f ca="1">_xll.BDH($C$553,"LT_DEBT_TO_TOT_CAP","FQ1 2014","FQ1 2014","Currency=INR","Period=FQ","BEST_FPERIOD_OVERRIDE=FQ","FILING_STATUS=OR","EQY_CONSOLIDATED=Y","Sort=A","Dates=H","DateFormat=P","Fill=—","Direction=H","UseDPDF=Y")</f>
        <v>#NAME?</v>
      </c>
      <c r="CJ554" s="1" t="e">
        <f ca="1">_xll.BDH($C$553,"LT_DEBT_TO_TOT_ASSET","FQ1 2014","FQ1 2014","Currency=INR","Period=FQ","BEST_FPERIOD_OVERRIDE=FQ","FILING_STATUS=OR","EQY_CONSOLIDATED=Y","Sort=A","Dates=H","DateFormat=P","Fill=—","Direction=H","UseDPDF=Y")</f>
        <v>#NAME?</v>
      </c>
      <c r="CK554" s="1" t="e">
        <f ca="1">_xll.BDH($C$553,"TOT_DEBT_TO_TOT_EQY","FQ1 2014","FQ1 2014","Currency=INR","Period=FQ","BEST_FPERIOD_OVERRIDE=FQ","FILING_STATUS=OR","EQY_CONSOLIDATED=Y","Sort=A","Dates=H","DateFormat=P","Fill=—","Direction=H","UseDPDF=Y")</f>
        <v>#NAME?</v>
      </c>
      <c r="CL554" s="1" t="e">
        <f ca="1">_xll.BDH($C$553,"TOT_DEBT_TO_TOT_CAP","FQ1 2014","FQ1 2014","Currency=INR","Period=FQ","BEST_FPERIOD_OVERRIDE=FQ","FILING_STATUS=OR","EQY_CONSOLIDATED=Y","Sort=A","Dates=H","DateFormat=P","Fill=—","Direction=H","UseDPDF=Y")</f>
        <v>#NAME?</v>
      </c>
      <c r="CM554" s="1" t="e">
        <f ca="1">_xll.BDH($C$553,"TOT_DEBT_TO_TOT_ASSET","FQ1 2014","FQ1 2014","Currency=INR","Period=FQ","BEST_FPERIOD_OVERRIDE=FQ","FILING_STATUS=OR","EQY_CONSOLIDATED=Y","Sort=A","Dates=H","DateFormat=P","Fill=—","Direction=H","UseDPDF=Y")</f>
        <v>#NAME?</v>
      </c>
      <c r="CN554" s="1" t="e">
        <f ca="1">_xll.BDH($C$553,"NET_DEBT_TO_SHRHLDR_EQTY","FQ1 2014","FQ1 2014","Currency=INR","Period=FQ","BEST_FPERIOD_OVERRIDE=FQ","FILING_STATUS=OR","EQY_CONSOLIDATED=Y","Sort=A","Dates=H","DateFormat=P","Fill=—","Direction=H","UseDPDF=Y")</f>
        <v>#NAME?</v>
      </c>
      <c r="CO554" s="1" t="e">
        <f ca="1">_xll.BDH($C$553,"NET_DEBT_%_CAPITAL","FQ1 2014","FQ1 2014","Currency=INR","Period=FQ","BEST_FPERIOD_OVERRIDE=FQ","FILING_STATUS=OR","EQY_CONSOLIDATED=Y","Sort=A","Dates=H","DateFormat=P","Fill=—","Direction=H","UseDPDF=Y")</f>
        <v>#NAME?</v>
      </c>
      <c r="CP554" s="2" t="e">
        <f ca="1">_xll.BDH($C$553,"EBITDA","FQ1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54" s="2" t="e">
        <f ca="1">_xll.BDH($C$553,"EBITDA_AFTER_CAPEX","FQ1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54" s="2" t="e">
        <f ca="1">_xll.BDH($C$553,"IS_OPER_INC","FQ1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54" s="1" t="e">
        <f ca="1">_xll.BDH($C$553,"CASH_RATIO","FQ1 2014","FQ1 2014","Currency=INR","Period=FQ","BEST_FPERIOD_OVERRIDE=FQ","FILING_STATUS=OR","EQY_CONSOLIDATED=Y","Sort=A","Dates=H","DateFormat=P","Fill=—","Direction=H","UseDPDF=Y")</f>
        <v>#NAME?</v>
      </c>
      <c r="CT554" s="1" t="e">
        <f ca="1">_xll.BDH($C$553,"CUR_RATIO","FQ1 2014","FQ1 2014","Currency=INR","Period=FQ","BEST_FPERIOD_OVERRIDE=FQ","FILING_STATUS=OR","EQY_CONSOLIDATED=Y","Sort=A","Dates=H","DateFormat=P","Fill=—","Direction=H","UseDPDF=Y")</f>
        <v>#NAME?</v>
      </c>
      <c r="CU554" s="1" t="e">
        <f ca="1">_xll.BDH($C$553,"QUICK_RATIO","FQ1 2014","FQ1 2014","Currency=INR","Period=FQ","BEST_FPERIOD_OVERRIDE=FQ","FILING_STATUS=OR","EQY_CONSOLIDATED=Y","Sort=A","Dates=H","DateFormat=P","Fill=—","Direction=H","UseDPDF=Y")</f>
        <v>#NAME?</v>
      </c>
      <c r="CV554" s="1" t="e">
        <f ca="1">_xll.BDH($C$553,"ALTMAN_Z_SCORE","FQ1 2014","FQ1 2014","Currency=INR","Period=FQ","BEST_FPERIOD_OVERRIDE=FQ","FILING_STATUS=OR","EQY_CONSOLIDATED=Y","Sort=A","Dates=H","DateFormat=P","Fill=—","Direction=H","UseDPDF=Y")</f>
        <v>#NAME?</v>
      </c>
      <c r="CW554" s="3" t="e">
        <f ca="1">_xll.BDH($C$553,"ACCT_RCV_TURN","FQ1 2014","FQ1 2014","Currency=INR","Period=FQ","BEST_FPERIOD_OVERRIDE=FQ","FILING_STATUS=OR","EQY_CONSOLIDATED=Y","FA_ADJUSTED=GAAP","Sort=A","Dates=H","DateFormat=P","Fill=—","Direction=H","UseDPDF=Y")</f>
        <v>#NAME?</v>
      </c>
      <c r="CX554" s="1" t="e">
        <f ca="1">_xll.BDH($C$553,"ACCT_RCV_DAYS","FQ1 2014","FQ1 2014","Currency=INR","Period=FQ","BEST_FPERIOD_OVERRIDE=FQ","FILING_STATUS=OR","EQY_CONSOLIDATED=Y","FA_ADJUSTED=GAAP","Sort=A","Dates=H","DateFormat=P","Fill=—","Direction=H","UseDPDF=Y")</f>
        <v>#NAME?</v>
      </c>
      <c r="CY554" s="3" t="e">
        <f ca="1">_xll.BDH($C$553,"INVENT_TURN","FQ1 2014","FQ1 2014","Currency=INR","Period=FQ","BEST_FPERIOD_OVERRIDE=FQ","FILING_STATUS=OR","EQY_CONSOLIDATED=Y","FA_ADJUSTED=GAAP","Sort=A","Dates=H","DateFormat=P","Fill=—","Direction=H","UseDPDF=Y")</f>
        <v>#NAME?</v>
      </c>
      <c r="CZ554" s="1" t="e">
        <f ca="1">_xll.BDH($C$553,"INVENT_DAYS","FQ1 2014","FQ1 2014","Currency=INR","Period=FQ","BEST_FPERIOD_OVERRIDE=FQ","FILING_STATUS=OR","EQY_CONSOLIDATED=Y","FA_ADJUSTED=GAAP","Sort=A","Dates=H","DateFormat=P","Fill=—","Direction=H","UseDPDF=Y")</f>
        <v>#NAME?</v>
      </c>
      <c r="DA554" s="3" t="e">
        <f ca="1">_xll.BDH($C$553,"ACCOUNTS_PAYABLE_TURNOVER","FQ1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54" s="1" t="e">
        <f ca="1">_xll.BDH($C$553,"ACCOUNTS_PAYABLE_TURNOVER_DAYS","FQ1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54" s="3" t="e">
        <f ca="1">_xll.BDH($C$553,"CASH_CONVERSION_CYCLE","FQ1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54" s="3" t="e">
        <f ca="1">_xll.BDH($C$553,"INV_TO_CASH_DAYS","FQ1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554" s="4" t="e">
        <f ca="1">_xll.BDH($C$553,"BS_INVENTORIES","FQ1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554" s="2" t="e">
        <f ca="1">_xll.BDH($C$553,"INVTRY_RAW_MATERIALS","FQ1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54" s="2" t="e">
        <f ca="1">_xll.BDH($C$553,"INVTRY_IN_PROGRESS","FQ1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54" s="2" t="e">
        <f ca="1">_xll.BDH($C$553,"INVTRY_FINISHED_GOODS","FQ1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54" s="2" t="e">
        <f ca="1">_xll.BDH($C$553,"BS_OTHER_INV","FQ1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55" spans="1:113" x14ac:dyDescent="0.3">
      <c r="A555" s="6"/>
      <c r="B555" s="6"/>
      <c r="C555" s="6"/>
      <c r="D555" s="6"/>
      <c r="E555" t="s">
        <v>5</v>
      </c>
      <c r="F555" t="e">
        <f ca="1">_xll.BDH($C$553,"RETURN_COM_EQY","FQ2 2014","FQ2 2014","Currency=INR","Period=FQ","BEST_FPERIOD_OVERRIDE=FQ","FILING_STATUS=OR","EQY_CONSOLIDATED=Y","FA_ADJUSTED=GAAP","Sort=A","Dates=H","DateFormat=P","Fill=—","Direction=H","UseDPDF=Y")</f>
        <v>#NAME?</v>
      </c>
      <c r="G555" t="e">
        <f ca="1">_xll.BDH($C$553,"RETURN_ON_ASSET","FQ2 2014","FQ2 2014","Currency=INR","Period=FQ","BEST_FPERIOD_OVERRIDE=FQ","FILING_STATUS=OR","EQY_CONSOLIDATED=Y","FA_ADJUSTED=GAAP","Sort=A","Dates=H","DateFormat=P","Fill=—","Direction=H","UseDPDF=Y")</f>
        <v>#NAME?</v>
      </c>
      <c r="H555" t="e">
        <f ca="1">_xll.BDH($C$553,"RETURN_ON_CAP","FQ2 2014","FQ2 2014","Currency=INR","Period=FQ","BEST_FPERIOD_OVERRIDE=FQ","FILING_STATUS=OR","EQY_CONSOLIDATED=Y","FA_ADJUSTED=GAAP","Sort=A","Dates=H","DateFormat=P","Fill=—","Direction=H","UseDPDF=Y")</f>
        <v>#NAME?</v>
      </c>
      <c r="I555" t="e">
        <f ca="1">_xll.BDH($C$553,"RETURN_ON_INV_CAPITAL","FQ2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55" t="e">
        <f ca="1">_xll.BDH($C$553,"EBITDA_TO_REVENUE","FQ2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55" t="e">
        <f ca="1">_xll.BDH($C$553,"OPER_MARGIN","FQ2 2014","FQ2 2014","Currency=INR","Period=FQ","BEST_FPERIOD_OVERRIDE=FQ","FILING_STATUS=OR","EQY_CONSOLIDATED=Y","FA_ADJUSTED=GAAP","Sort=A","Dates=H","DateFormat=P","Fill=—","Direction=H","UseDPDF=Y")</f>
        <v>#NAME?</v>
      </c>
      <c r="L555" t="e">
        <f ca="1">_xll.BDH($C$553,"INCREMENTAL_OPERATING_MARGIN","FQ2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55" t="e">
        <f ca="1">_xll.BDH($C$553,"PRETAX_INC_TO_NET_SALES","FQ2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55" t="e">
        <f ca="1">_xll.BDH($C$553,"INC_BEF_XO_ITEMS_TO_NET_SALES","FQ2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55" t="e">
        <f ca="1">_xll.BDH($C$553,"PROF_MARGIN","FQ2 2014","FQ2 2014","Currency=INR","Period=FQ","BEST_FPERIOD_OVERRIDE=FQ","FILING_STATUS=OR","EQY_CONSOLIDATED=Y","FA_ADJUSTED=GAAP","Sort=A","Dates=H","DateFormat=P","Fill=—","Direction=H","UseDPDF=Y")</f>
        <v>#NAME?</v>
      </c>
      <c r="P555" t="e">
        <f ca="1">_xll.BDH($C$553,"NET_INCOME_TO_COMMON_MARGIN","FQ2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55" t="e">
        <f ca="1">_xll.BDH($C$553,"EFF_TAX_RATE","FQ2 2014","FQ2 2014","Currency=INR","Period=FQ","BEST_FPERIOD_OVERRIDE=FQ","FILING_STATUS=OR","EQY_CONSOLIDATED=Y","FA_ADJUSTED=GAAP","Sort=A","Dates=H","DateFormat=P","Fill=—","Direction=H","UseDPDF=Y")</f>
        <v>#NAME?</v>
      </c>
      <c r="R555" t="e">
        <f ca="1">_xll.BDH($C$553,"DVD_PAYOUT_RATIO","FQ2 2014","FQ2 2014","Currency=INR","Period=FQ","BEST_FPERIOD_OVERRIDE=FQ","FILING_STATUS=OR","EQY_CONSOLIDATED=Y","FA_ADJUSTED=GAAP","Sort=A","Dates=H","DateFormat=P","Fill=—","Direction=H","UseDPDF=Y")</f>
        <v>#NAME?</v>
      </c>
      <c r="S555" t="e">
        <f ca="1">_xll.BDH($C$553,"SUSTAIN_GROWTH_RT","FQ2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55" s="1" t="e">
        <f ca="1">_xll.BDH($C$553,"SALES_GROWTH","FQ2 2014","FQ2 2014","Currency=INR","Period=FQ","BEST_FPERIOD_OVERRIDE=FQ","FILING_STATUS=OR","EQY_CONSOLIDATED=Y","FA_ADJUSTED=GAAP","Sort=A","Dates=H","DateFormat=P","Fill=—","Direction=H","UseDPDF=Y")</f>
        <v>#NAME?</v>
      </c>
      <c r="U555" s="1" t="e">
        <f ca="1">_xll.BDH($C$553,"EBITDA_GROWTH","FQ2 2014","FQ2 2014","Currency=INR","Period=FQ","BEST_FPERIOD_OVERRIDE=FQ","FILING_STATUS=OR","EQY_CONSOLIDATED=Y","FA_ADJUSTED=GAAP","Sort=A","Dates=H","DateFormat=P","Fill=—","Direction=H","UseDPDF=Y")</f>
        <v>#NAME?</v>
      </c>
      <c r="V555" s="1" t="e">
        <f ca="1">_xll.BDH($C$553,"OPER_INC_GROWTH","FQ2 2014","FQ2 2014","Currency=INR","Period=FQ","BEST_FPERIOD_OVERRIDE=FQ","FILING_STATUS=OR","EQY_CONSOLIDATED=Y","FA_ADJUSTED=GAAP","Sort=A","Dates=H","DateFormat=P","Fill=—","Direction=H","UseDPDF=Y")</f>
        <v>#NAME?</v>
      </c>
      <c r="W555" s="1" t="e">
        <f ca="1">_xll.BDH($C$553,"EARN_FOR_COM_GROWTH","FQ2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55" s="1" t="e">
        <f ca="1">_xll.BDH($C$553,"DILUTED_EPS_AFT_XO_ITEMS_GROWTH","FQ2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55" s="1" t="e">
        <f ca="1">_xll.BDH($C$553,"DIVIDEND_PER_SHARE_1_YEAR_GROWTH","FQ2 2014","FQ2 2014","Currency=INR","Period=FQ","BEST_FPERIOD_OVERRIDE=FQ","FILING_STATUS=OR","EQY_CONSOLIDATED=Y","Sort=A","Dates=H","DateFormat=P","Fill=—","Direction=H","UseDPDF=Y")</f>
        <v>#NAME?</v>
      </c>
      <c r="Z555" s="1" t="e">
        <f ca="1">_xll.BDH($C$553,"ACCOUNTS_RECEIVABLE_GROWTH","FQ2 2014","FQ2 2014","Currency=INR","Period=FQ","BEST_FPERIOD_OVERRIDE=FQ","FILING_STATUS=OR","EQY_CONSOLIDATED=Y","Sort=A","Dates=H","DateFormat=P","Fill=—","Direction=H","UseDPDF=Y")</f>
        <v>#NAME?</v>
      </c>
      <c r="AA555" s="1" t="e">
        <f ca="1">_xll.BDH($C$553,"INVENTORY_GROWTH","FQ2 2014","FQ2 2014","Currency=INR","Period=FQ","BEST_FPERIOD_OVERRIDE=FQ","FILING_STATUS=OR","EQY_CONSOLIDATED=Y","Sort=A","Dates=H","DateFormat=P","Fill=—","Direction=H","UseDPDF=Y")</f>
        <v>#NAME?</v>
      </c>
      <c r="AB555" s="1" t="e">
        <f ca="1">_xll.BDH($C$553,"NET_FIXED_ASSETS_1_YEAR_GROWTH","FQ2 2014","FQ2 2014","Currency=INR","Period=FQ","BEST_FPERIOD_OVERRIDE=FQ","FILING_STATUS=OR","EQY_CONSOLIDATED=Y","Sort=A","Dates=H","DateFormat=P","Fill=—","Direction=H","UseDPDF=Y")</f>
        <v>#NAME?</v>
      </c>
      <c r="AC555" s="1" t="e">
        <f ca="1">_xll.BDH($C$553,"ASSET_GROWTH","FQ2 2014","FQ2 2014","Currency=INR","Period=FQ","BEST_FPERIOD_OVERRIDE=FQ","FILING_STATUS=OR","EQY_CONSOLIDATED=Y","Sort=A","Dates=H","DateFormat=P","Fill=—","Direction=H","UseDPDF=Y")</f>
        <v>#NAME?</v>
      </c>
      <c r="AD555" s="1" t="e">
        <f ca="1">_xll.BDH($C$553,"MODIFIED_WORK_CAP_GROWTH","FQ2 2014","FQ2 2014","Currency=INR","Period=FQ","BEST_FPERIOD_OVERRIDE=FQ","FILING_STATUS=OR","EQY_CONSOLIDATED=Y","Sort=A","Dates=H","DateFormat=P","Fill=—","Direction=H","UseDPDF=Y")</f>
        <v>#NAME?</v>
      </c>
      <c r="AE555" s="1" t="e">
        <f ca="1">_xll.BDH($C$553,"WORK_CAP_GROWTH","FQ2 2014","FQ2 2014","Currency=INR","Period=FQ","BEST_FPERIOD_OVERRIDE=FQ","FILING_STATUS=OR","EQY_CONSOLIDATED=Y","Sort=A","Dates=H","DateFormat=P","Fill=—","Direction=H","UseDPDF=Y")</f>
        <v>#NAME?</v>
      </c>
      <c r="AF555" s="1" t="e">
        <f ca="1">_xll.BDH($C$553,"ACCOUNTS_PAYABLE_GROWTH_1YR","FQ2 2014","FQ2 2014","Currency=INR","Period=FQ","BEST_FPERIOD_OVERRIDE=FQ","FILING_STATUS=OR","EQY_CONSOLIDATED=Y","Sort=A","Dates=H","DateFormat=P","Fill=—","Direction=H","UseDPDF=Y")</f>
        <v>#NAME?</v>
      </c>
      <c r="AG555" s="1" t="e">
        <f ca="1">_xll.BDH($C$553,"SHORT_TERM_DEBT_1_YEAR_GROWTH","FQ2 2014","FQ2 2014","Currency=INR","Period=FQ","BEST_FPERIOD_OVERRIDE=FQ","FILING_STATUS=OR","EQY_CONSOLIDATED=Y","Sort=A","Dates=H","DateFormat=P","Fill=—","Direction=H","UseDPDF=Y")</f>
        <v>#NAME?</v>
      </c>
      <c r="AH555" s="1" t="e">
        <f ca="1">_xll.BDH($C$553,"TOTAL_DEBT_1_YEAR_GROWTH","FQ2 2014","FQ2 2014","Currency=INR","Period=FQ","BEST_FPERIOD_OVERRIDE=FQ","FILING_STATUS=OR","EQY_CONSOLIDATED=Y","Sort=A","Dates=H","DateFormat=P","Fill=—","Direction=H","UseDPDF=Y")</f>
        <v>#NAME?</v>
      </c>
      <c r="AI555" s="1" t="e">
        <f ca="1">_xll.BDH($C$553,"TOTAL_EQUITY_1_YEAR_GROWTH","FQ2 2014","FQ2 2014","Currency=INR","Period=FQ","BEST_FPERIOD_OVERRIDE=FQ","FILING_STATUS=OR","EQY_CONSOLIDATED=Y","Sort=A","Dates=H","DateFormat=P","Fill=—","Direction=H","UseDPDF=Y")</f>
        <v>#NAME?</v>
      </c>
      <c r="AJ555" s="1" t="e">
        <f ca="1">_xll.BDH($C$553,"GROWTH_IN_CAP","FQ2 2014","FQ2 2014","Currency=INR","Period=FQ","BEST_FPERIOD_OVERRIDE=FQ","FILING_STATUS=OR","EQY_CONSOLIDATED=Y","Sort=A","Dates=H","DateFormat=P","Fill=—","Direction=H","UseDPDF=Y")</f>
        <v>#NAME?</v>
      </c>
      <c r="AK555" s="1" t="e">
        <f ca="1">_xll.BDH($C$553,"BVPS_GROWTH","FQ2 2014","FQ2 2014","Currency=INR","Period=FQ","BEST_FPERIOD_OVERRIDE=FQ","FILING_STATUS=OR","EQY_CONSOLIDATED=Y","Sort=A","Dates=H","DateFormat=P","Fill=—","Direction=H","UseDPDF=Y")</f>
        <v>#NAME?</v>
      </c>
      <c r="AL555" s="1" t="e">
        <f ca="1">_xll.BDH($C$553,"CASH_FLOW_GROWTH","FQ2 2014","FQ2 2014","Currency=INR","Period=FQ","BEST_FPERIOD_OVERRIDE=FQ","FILING_STATUS=OR","EQY_CONSOLIDATED=Y","Sort=A","Dates=H","DateFormat=P","Fill=—","Direction=H","UseDPDF=Y")</f>
        <v>#NAME?</v>
      </c>
      <c r="AM555" s="1" t="e">
        <f ca="1">_xll.BDH($C$553,"GEO_GROW_NET_SALES","FQ2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55" s="1" t="e">
        <f ca="1">_xll.BDH($C$553,"GEO_GROW_EBITDA","FQ2 2014","FQ2 2014","Currency=INR","Period=FQ","BEST_FPERIOD_OVERRIDE=FQ","FILING_STATUS=OR","EQY_CONSOLIDATED=Y","FA_ADJUSTED=GAAP","Sort=A","Dates=H","DateFormat=P","Fill=—","Direction=H","UseDPDF=Y")</f>
        <v>#NAME?</v>
      </c>
      <c r="AO555" s="1" t="e">
        <f ca="1">_xll.BDH($C$553,"GEO_GROW_OPER_INC","FQ2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55" s="1" t="e">
        <f ca="1">_xll.BDH($C$553,"NET_INCOME_TO_COMMON_5_YR_GROWTH","FQ2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55" s="1" t="e">
        <f ca="1">_xll.BDH($C$553,"5Y_GEO_GROWTH_DILUTED_EPS","FQ2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55" s="1" t="e">
        <f ca="1">_xll.BDH($C$553,"GEO_GROW_DVD_PER_SH","FQ2 2014","FQ2 2014","Currency=INR","Period=FQ","BEST_FPERIOD_OVERRIDE=FQ","FILING_STATUS=OR","EQY_CONSOLIDATED=Y","Sort=A","Dates=H","DateFormat=P","Fill=—","Direction=H","UseDPDF=Y")</f>
        <v>#NAME?</v>
      </c>
      <c r="AS555" s="1" t="e">
        <f ca="1">_xll.BDH($C$553,"ACCOUNTS_RECEIVABLE_5_YR_GROWTH","FQ2 2014","FQ2 2014","Currency=INR","Period=FQ","BEST_FPERIOD_OVERRIDE=FQ","FILING_STATUS=OR","EQY_CONSOLIDATED=Y","Sort=A","Dates=H","DateFormat=P","Fill=—","Direction=H","UseDPDF=Y")</f>
        <v>#NAME?</v>
      </c>
      <c r="AT555" s="1" t="e">
        <f ca="1">_xll.BDH($C$553,"INVENTORY_5_YEAR_GROWTH","FQ2 2014","FQ2 2014","Currency=INR","Period=FQ","BEST_FPERIOD_OVERRIDE=FQ","FILING_STATUS=OR","EQY_CONSOLIDATED=Y","Sort=A","Dates=H","DateFormat=P","Fill=—","Direction=H","UseDPDF=Y")</f>
        <v>#NAME?</v>
      </c>
      <c r="AU555" s="1" t="e">
        <f ca="1">_xll.BDH($C$553,"NET_FIXED_ASSETS_5_YEAR_GROWTH","FQ2 2014","FQ2 2014","Currency=INR","Period=FQ","BEST_FPERIOD_OVERRIDE=FQ","FILING_STATUS=OR","EQY_CONSOLIDATED=Y","Sort=A","Dates=H","DateFormat=P","Fill=—","Direction=H","UseDPDF=Y")</f>
        <v>#NAME?</v>
      </c>
      <c r="AV555" s="1" t="e">
        <f ca="1">_xll.BDH($C$553,"GEO_GROW_TOT_ASSET","FQ2 2014","FQ2 2014","Currency=INR","Period=FQ","BEST_FPERIOD_OVERRIDE=FQ","FILING_STATUS=OR","EQY_CONSOLIDATED=Y","Sort=A","Dates=H","DateFormat=P","Fill=—","Direction=H","UseDPDF=Y")</f>
        <v>#NAME?</v>
      </c>
      <c r="AW555" s="1" t="e">
        <f ca="1">_xll.BDH($C$553,"MODIFIED_WORKING_CPTL_5YR_GRWTH","FQ2 2014","FQ2 2014","Currency=INR","Period=FQ","BEST_FPERIOD_OVERRIDE=FQ","FILING_STATUS=OR","EQY_CONSOLIDATED=Y","Sort=A","Dates=H","DateFormat=P","Fill=—","Direction=H","UseDPDF=Y")</f>
        <v>#NAME?</v>
      </c>
      <c r="AX555" s="1" t="e">
        <f ca="1">_xll.BDH($C$553,"WORKING_CAPITAL_5_YEAR_GROWTH","FQ2 2014","FQ2 2014","Currency=INR","Period=FQ","BEST_FPERIOD_OVERRIDE=FQ","FILING_STATUS=OR","EQY_CONSOLIDATED=Y","Sort=A","Dates=H","DateFormat=P","Fill=—","Direction=H","UseDPDF=Y")</f>
        <v>#NAME?</v>
      </c>
      <c r="AY555" s="1" t="e">
        <f ca="1">_xll.BDH($C$553,"ACCOUNTS_PAYABLE_5_YEAR_GROWTH","FQ2 2014","FQ2 2014","Currency=INR","Period=FQ","BEST_FPERIOD_OVERRIDE=FQ","FILING_STATUS=OR","EQY_CONSOLIDATED=Y","Sort=A","Dates=H","DateFormat=P","Fill=—","Direction=H","UseDPDF=Y")</f>
        <v>#NAME?</v>
      </c>
      <c r="AZ555" s="1" t="e">
        <f ca="1">_xll.BDH($C$553,"SHORT_TERM_DEBT_5_YEAR_GROWTH","FQ2 2014","FQ2 2014","Currency=INR","Period=FQ","BEST_FPERIOD_OVERRIDE=FQ","FILING_STATUS=OR","EQY_CONSOLIDATED=Y","Sort=A","Dates=H","DateFormat=P","Fill=—","Direction=H","UseDPDF=Y")</f>
        <v>#NAME?</v>
      </c>
      <c r="BA555" s="1" t="e">
        <f ca="1">_xll.BDH($C$553,"TOTAL_DEBT_5_YEAR_GROWTH","FQ2 2014","FQ2 2014","Currency=INR","Period=FQ","BEST_FPERIOD_OVERRIDE=FQ","FILING_STATUS=OR","EQY_CONSOLIDATED=Y","Sort=A","Dates=H","DateFormat=P","Fill=—","Direction=H","UseDPDF=Y")</f>
        <v>#NAME?</v>
      </c>
      <c r="BB555" s="1" t="e">
        <f ca="1">_xll.BDH($C$553,"GEO_GROW_TOT_SHRHLDR_EQY","FQ2 2014","FQ2 2014","Currency=INR","Period=FQ","BEST_FPERIOD_OVERRIDE=FQ","FILING_STATUS=OR","EQY_CONSOLIDATED=Y","Sort=A","Dates=H","DateFormat=P","Fill=—","Direction=H","UseDPDF=Y")</f>
        <v>#NAME?</v>
      </c>
      <c r="BC555" s="1" t="e">
        <f ca="1">_xll.BDH($C$553,"TOTAL_CAPITAL_5_YEAR_GROWTH","FQ2 2014","FQ2 2014","Currency=INR","Period=FQ","BEST_FPERIOD_OVERRIDE=FQ","FILING_STATUS=OR","EQY_CONSOLIDATED=Y","Sort=A","Dates=H","DateFormat=P","Fill=—","Direction=H","UseDPDF=Y")</f>
        <v>#NAME?</v>
      </c>
      <c r="BD555" s="1" t="e">
        <f ca="1">_xll.BDH($C$553,"GEO_GROW_BOOK_VAL","FQ2 2014","FQ2 2014","Currency=INR","Period=FQ","BEST_FPERIOD_OVERRIDE=FQ","FILING_STATUS=OR","EQY_CONSOLIDATED=Y","Sort=A","Dates=H","DateFormat=P","Fill=—","Direction=H","UseDPDF=Y")</f>
        <v>#NAME?</v>
      </c>
      <c r="BE555" s="1" t="e">
        <f ca="1">_xll.BDH($C$553,"GEO_GROW_CASH_OPER_ACT","FQ2 2014","FQ2 2014","Currency=INR","Period=FQ","BEST_FPERIOD_OVERRIDE=FQ","FILING_STATUS=OR","EQY_CONSOLIDATED=Y","Sort=A","Dates=H","DateFormat=P","Fill=—","Direction=H","UseDPDF=Y")</f>
        <v>#NAME?</v>
      </c>
      <c r="BF555" s="1" t="e">
        <f ca="1">_xll.BDH($C$553,"REVENUE_SEQUENTIAL_GROWTH","FQ2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55" s="1" t="e">
        <f ca="1">_xll.BDH($C$553,"EBITDA_SEQUENTIAL_GROWTH","FQ2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55" s="1" t="e">
        <f ca="1">_xll.BDH($C$553,"OPERATING_INCOME_SEQ_GROWTH","FQ2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55" s="1" t="e">
        <f ca="1">_xll.BDH($C$553,"NET_INCOME_TO_COMMON_SEQ_GROWTH","FQ2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55" s="1" t="e">
        <f ca="1">_xll.BDH($C$553,"EPS_DILUTED_SEQUENTIAL_GROWTH","FQ2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55" s="1" t="e">
        <f ca="1">_xll.BDH($C$553,"DPS_SEQUENTIAL_GROWTH","FQ2 2014","FQ2 2014","Currency=INR","Period=FQ","BEST_FPERIOD_OVERRIDE=FQ","FILING_STATUS=OR","EQY_CONSOLIDATED=Y","Sort=A","Dates=H","DateFormat=P","Fill=—","Direction=H","UseDPDF=Y")</f>
        <v>#NAME?</v>
      </c>
      <c r="BL555" s="1" t="e">
        <f ca="1">_xll.BDH($C$553,"ACCOUNTS_RECEIVABLE_SEQ_GROWTH","FQ2 2014","FQ2 2014","Currency=INR","Period=FQ","BEST_FPERIOD_OVERRIDE=FQ","FILING_STATUS=OR","EQY_CONSOLIDATED=Y","Sort=A","Dates=H","DateFormat=P","Fill=—","Direction=H","UseDPDF=Y")</f>
        <v>#NAME?</v>
      </c>
      <c r="BM555" s="1" t="e">
        <f ca="1">_xll.BDH($C$553,"INVENTORY_SEQUENTIAL_GROWTH","FQ2 2014","FQ2 2014","Currency=INR","Period=FQ","BEST_FPERIOD_OVERRIDE=FQ","FILING_STATUS=OR","EQY_CONSOLIDATED=Y","Sort=A","Dates=H","DateFormat=P","Fill=—","Direction=H","UseDPDF=Y")</f>
        <v>#NAME?</v>
      </c>
      <c r="BN555" s="1" t="e">
        <f ca="1">_xll.BDH($C$553,"FIXED_ASSETS_SEQUENTIAL_GROWTH","FQ2 2014","FQ2 2014","Currency=INR","Period=FQ","BEST_FPERIOD_OVERRIDE=FQ","FILING_STATUS=OR","EQY_CONSOLIDATED=Y","Sort=A","Dates=H","DateFormat=P","Fill=—","Direction=H","UseDPDF=Y")</f>
        <v>#NAME?</v>
      </c>
      <c r="BO555" s="1" t="e">
        <f ca="1">_xll.BDH($C$553,"TOTAL_ASSETS_SEQUENTIAL_GROWTH","FQ2 2014","FQ2 2014","Currency=INR","Period=FQ","BEST_FPERIOD_OVERRIDE=FQ","FILING_STATUS=OR","EQY_CONSOLIDATED=Y","Sort=A","Dates=H","DateFormat=P","Fill=—","Direction=H","UseDPDF=Y")</f>
        <v>#NAME?</v>
      </c>
      <c r="BP555" s="1" t="e">
        <f ca="1">_xll.BDH($C$553,"MODIFIED_WORKING_CPTL_SEQ_GRWTH","FQ2 2014","FQ2 2014","Currency=INR","Period=FQ","BEST_FPERIOD_OVERRIDE=FQ","FILING_STATUS=OR","EQY_CONSOLIDATED=Y","Sort=A","Dates=H","DateFormat=P","Fill=—","Direction=H","UseDPDF=Y")</f>
        <v>#NAME?</v>
      </c>
      <c r="BQ555" s="1" t="e">
        <f ca="1">_xll.BDH($C$553,"WORKING_CAPITAL_SEQ_GROWTH","FQ2 2014","FQ2 2014","Currency=INR","Period=FQ","BEST_FPERIOD_OVERRIDE=FQ","FILING_STATUS=OR","EQY_CONSOLIDATED=Y","Sort=A","Dates=H","DateFormat=P","Fill=—","Direction=H","UseDPDF=Y")</f>
        <v>#NAME?</v>
      </c>
      <c r="BR555" s="1" t="e">
        <f ca="1">_xll.BDH($C$553,"ACCOUNTS_PAYABLE_SEQ_GROWTH","FQ2 2014","FQ2 2014","Currency=INR","Period=FQ","BEST_FPERIOD_OVERRIDE=FQ","FILING_STATUS=OR","EQY_CONSOLIDATED=Y","Sort=A","Dates=H","DateFormat=P","Fill=—","Direction=H","UseDPDF=Y")</f>
        <v>#NAME?</v>
      </c>
      <c r="BS555" s="1" t="e">
        <f ca="1">_xll.BDH($C$553,"ST_DEBT_SEQUENTIAL_GROWTH","FQ2 2014","FQ2 2014","Currency=INR","Period=FQ","BEST_FPERIOD_OVERRIDE=FQ","FILING_STATUS=OR","EQY_CONSOLIDATED=Y","Sort=A","Dates=H","DateFormat=P","Fill=—","Direction=H","UseDPDF=Y")</f>
        <v>#NAME?</v>
      </c>
      <c r="BT555" s="1" t="e">
        <f ca="1">_xll.BDH($C$553,"TOTAL_DEBT_SEQUENTIAL_GROWTH","FQ2 2014","FQ2 2014","Currency=INR","Period=FQ","BEST_FPERIOD_OVERRIDE=FQ","FILING_STATUS=OR","EQY_CONSOLIDATED=Y","Sort=A","Dates=H","DateFormat=P","Fill=—","Direction=H","UseDPDF=Y")</f>
        <v>#NAME?</v>
      </c>
      <c r="BU555" s="1" t="e">
        <f ca="1">_xll.BDH($C$553,"TOTAL_EQUITY_SEQUENTIAL_GROWTH","FQ2 2014","FQ2 2014","Currency=INR","Period=FQ","BEST_FPERIOD_OVERRIDE=FQ","FILING_STATUS=OR","EQY_CONSOLIDATED=Y","Sort=A","Dates=H","DateFormat=P","Fill=—","Direction=H","UseDPDF=Y")</f>
        <v>#NAME?</v>
      </c>
      <c r="BV555" s="1" t="e">
        <f ca="1">_xll.BDH($C$553,"TOTAL_CAPITAL_SEQUENTIAL_GROWTH","FQ2 2014","FQ2 2014","Currency=INR","Period=FQ","BEST_FPERIOD_OVERRIDE=FQ","FILING_STATUS=OR","EQY_CONSOLIDATED=Y","Sort=A","Dates=H","DateFormat=P","Fill=—","Direction=H","UseDPDF=Y")</f>
        <v>#NAME?</v>
      </c>
      <c r="BW555" s="1" t="e">
        <f ca="1">_xll.BDH($C$553,"BPS_SEQUENTIAL_GROWTH","FQ2 2014","FQ2 2014","Currency=INR","Period=FQ","BEST_FPERIOD_OVERRIDE=FQ","FILING_STATUS=OR","EQY_CONSOLIDATED=Y","Sort=A","Dates=H","DateFormat=P","Fill=—","Direction=H","UseDPDF=Y")</f>
        <v>#NAME?</v>
      </c>
      <c r="BX555" s="1" t="e">
        <f ca="1">_xll.BDH($C$553,"CFO_SEQUENTIAL_GROWTH","FQ2 2014","FQ2 2014","Currency=INR","Period=FQ","BEST_FPERIOD_OVERRIDE=FQ","FILING_STATUS=OR","EQY_CONSOLIDATED=Y","Sort=A","Dates=H","DateFormat=P","Fill=—","Direction=H","UseDPDF=Y")</f>
        <v>#NAME?</v>
      </c>
      <c r="BY555" s="2" t="e">
        <f ca="1">_xll.BDH($C$553,"SHORT_AND_LONG_TERM_DEBT","FQ2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55" s="2" t="e">
        <f ca="1">_xll.BDH($C$553,"BS_ST_BORROW","FQ2 2014","FQ2 2014","Currency=INR","Period=FQ","BEST_FPERIOD_OVERRIDE=FQ","FILING_STATUS=OR","EQY_CONSOLIDATED=Y","SCALING_FORMAT=MLN","Sort=A","Dates=H","DateFormat=P","Fill=—","Direction=H","UseDPDF=Y")</f>
        <v>#NAME?</v>
      </c>
      <c r="CA555" s="2" t="e">
        <f ca="1">_xll.BDH($C$553,"BS_LT_BORROW","FQ2 2014","FQ2 2014","Currency=INR","Period=FQ","BEST_FPERIOD_OVERRIDE=FQ","FILING_STATUS=OR","EQY_CONSOLIDATED=Y","SCALING_FORMAT=MLN","Sort=A","Dates=H","DateFormat=P","Fill=—","Direction=H","UseDPDF=Y")</f>
        <v>#NAME?</v>
      </c>
      <c r="CB555" s="1" t="e">
        <f ca="1">_xll.BDH($C$553,"TOT_DEBT_TO_EBITDA","FQ2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55" s="1" t="e">
        <f ca="1">_xll.BDH($C$553,"NET_DEBT_TO_EBITDA","FQ2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55" s="1" t="e">
        <f ca="1">_xll.BDH($C$553,"TOTAL_DEBT_TO_EBIT","FQ2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55" s="1" t="e">
        <f ca="1">_xll.BDH($C$553,"NET_DEBT_TO_EBIT","FQ2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55" s="1" t="e">
        <f ca="1">_xll.BDH($C$553,"EBITDA_TO_INTEREST_EXPN","FQ2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55" s="1" t="e">
        <f ca="1">_xll.BDH($C$553,"COM_EQY_TO_TOT_ASSET","FQ2 2014","FQ2 2014","Currency=INR","Period=FQ","BEST_FPERIOD_OVERRIDE=FQ","FILING_STATUS=OR","EQY_CONSOLIDATED=Y","Sort=A","Dates=H","DateFormat=P","Fill=—","Direction=H","UseDPDF=Y")</f>
        <v>#NAME?</v>
      </c>
      <c r="CH555" s="1" t="e">
        <f ca="1">_xll.BDH($C$553,"LT_DEBT_TO_TOT_EQY","FQ2 2014","FQ2 2014","Currency=INR","Period=FQ","BEST_FPERIOD_OVERRIDE=FQ","FILING_STATUS=OR","EQY_CONSOLIDATED=Y","Sort=A","Dates=H","DateFormat=P","Fill=—","Direction=H","UseDPDF=Y")</f>
        <v>#NAME?</v>
      </c>
      <c r="CI555" s="1" t="e">
        <f ca="1">_xll.BDH($C$553,"LT_DEBT_TO_TOT_CAP","FQ2 2014","FQ2 2014","Currency=INR","Period=FQ","BEST_FPERIOD_OVERRIDE=FQ","FILING_STATUS=OR","EQY_CONSOLIDATED=Y","Sort=A","Dates=H","DateFormat=P","Fill=—","Direction=H","UseDPDF=Y")</f>
        <v>#NAME?</v>
      </c>
      <c r="CJ555" s="1" t="e">
        <f ca="1">_xll.BDH($C$553,"LT_DEBT_TO_TOT_ASSET","FQ2 2014","FQ2 2014","Currency=INR","Period=FQ","BEST_FPERIOD_OVERRIDE=FQ","FILING_STATUS=OR","EQY_CONSOLIDATED=Y","Sort=A","Dates=H","DateFormat=P","Fill=—","Direction=H","UseDPDF=Y")</f>
        <v>#NAME?</v>
      </c>
      <c r="CK555" s="1" t="e">
        <f ca="1">_xll.BDH($C$553,"TOT_DEBT_TO_TOT_EQY","FQ2 2014","FQ2 2014","Currency=INR","Period=FQ","BEST_FPERIOD_OVERRIDE=FQ","FILING_STATUS=OR","EQY_CONSOLIDATED=Y","Sort=A","Dates=H","DateFormat=P","Fill=—","Direction=H","UseDPDF=Y")</f>
        <v>#NAME?</v>
      </c>
      <c r="CL555" s="1" t="e">
        <f ca="1">_xll.BDH($C$553,"TOT_DEBT_TO_TOT_CAP","FQ2 2014","FQ2 2014","Currency=INR","Period=FQ","BEST_FPERIOD_OVERRIDE=FQ","FILING_STATUS=OR","EQY_CONSOLIDATED=Y","Sort=A","Dates=H","DateFormat=P","Fill=—","Direction=H","UseDPDF=Y")</f>
        <v>#NAME?</v>
      </c>
      <c r="CM555" s="1" t="e">
        <f ca="1">_xll.BDH($C$553,"TOT_DEBT_TO_TOT_ASSET","FQ2 2014","FQ2 2014","Currency=INR","Period=FQ","BEST_FPERIOD_OVERRIDE=FQ","FILING_STATUS=OR","EQY_CONSOLIDATED=Y","Sort=A","Dates=H","DateFormat=P","Fill=—","Direction=H","UseDPDF=Y")</f>
        <v>#NAME?</v>
      </c>
      <c r="CN555" s="1" t="e">
        <f ca="1">_xll.BDH($C$553,"NET_DEBT_TO_SHRHLDR_EQTY","FQ2 2014","FQ2 2014","Currency=INR","Period=FQ","BEST_FPERIOD_OVERRIDE=FQ","FILING_STATUS=OR","EQY_CONSOLIDATED=Y","Sort=A","Dates=H","DateFormat=P","Fill=—","Direction=H","UseDPDF=Y")</f>
        <v>#NAME?</v>
      </c>
      <c r="CO555" s="1" t="e">
        <f ca="1">_xll.BDH($C$553,"NET_DEBT_%_CAPITAL","FQ2 2014","FQ2 2014","Currency=INR","Period=FQ","BEST_FPERIOD_OVERRIDE=FQ","FILING_STATUS=OR","EQY_CONSOLIDATED=Y","Sort=A","Dates=H","DateFormat=P","Fill=—","Direction=H","UseDPDF=Y")</f>
        <v>#NAME?</v>
      </c>
      <c r="CP555" s="2" t="e">
        <f ca="1">_xll.BDH($C$553,"EBITDA","FQ2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55" s="2" t="e">
        <f ca="1">_xll.BDH($C$553,"EBITDA_AFTER_CAPEX","FQ2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55" s="2" t="e">
        <f ca="1">_xll.BDH($C$553,"IS_OPER_INC","FQ2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55" s="1" t="e">
        <f ca="1">_xll.BDH($C$553,"CASH_RATIO","FQ2 2014","FQ2 2014","Currency=INR","Period=FQ","BEST_FPERIOD_OVERRIDE=FQ","FILING_STATUS=OR","EQY_CONSOLIDATED=Y","Sort=A","Dates=H","DateFormat=P","Fill=—","Direction=H","UseDPDF=Y")</f>
        <v>#NAME?</v>
      </c>
      <c r="CT555" s="1" t="e">
        <f ca="1">_xll.BDH($C$553,"CUR_RATIO","FQ2 2014","FQ2 2014","Currency=INR","Period=FQ","BEST_FPERIOD_OVERRIDE=FQ","FILING_STATUS=OR","EQY_CONSOLIDATED=Y","Sort=A","Dates=H","DateFormat=P","Fill=—","Direction=H","UseDPDF=Y")</f>
        <v>#NAME?</v>
      </c>
      <c r="CU555" s="1" t="e">
        <f ca="1">_xll.BDH($C$553,"QUICK_RATIO","FQ2 2014","FQ2 2014","Currency=INR","Period=FQ","BEST_FPERIOD_OVERRIDE=FQ","FILING_STATUS=OR","EQY_CONSOLIDATED=Y","Sort=A","Dates=H","DateFormat=P","Fill=—","Direction=H","UseDPDF=Y")</f>
        <v>#NAME?</v>
      </c>
      <c r="CV555" s="1" t="e">
        <f ca="1">_xll.BDH($C$553,"ALTMAN_Z_SCORE","FQ2 2014","FQ2 2014","Currency=INR","Period=FQ","BEST_FPERIOD_OVERRIDE=FQ","FILING_STATUS=OR","EQY_CONSOLIDATED=Y","Sort=A","Dates=H","DateFormat=P","Fill=—","Direction=H","UseDPDF=Y")</f>
        <v>#NAME?</v>
      </c>
      <c r="CW555" s="3" t="e">
        <f ca="1">_xll.BDH($C$553,"ACCT_RCV_TURN","FQ2 2014","FQ2 2014","Currency=INR","Period=FQ","BEST_FPERIOD_OVERRIDE=FQ","FILING_STATUS=OR","EQY_CONSOLIDATED=Y","FA_ADJUSTED=GAAP","Sort=A","Dates=H","DateFormat=P","Fill=—","Direction=H","UseDPDF=Y")</f>
        <v>#NAME?</v>
      </c>
      <c r="CX555" s="1" t="e">
        <f ca="1">_xll.BDH($C$553,"ACCT_RCV_DAYS","FQ2 2014","FQ2 2014","Currency=INR","Period=FQ","BEST_FPERIOD_OVERRIDE=FQ","FILING_STATUS=OR","EQY_CONSOLIDATED=Y","FA_ADJUSTED=GAAP","Sort=A","Dates=H","DateFormat=P","Fill=—","Direction=H","UseDPDF=Y")</f>
        <v>#NAME?</v>
      </c>
      <c r="CY555" s="3" t="e">
        <f ca="1">_xll.BDH($C$553,"INVENT_TURN","FQ2 2014","FQ2 2014","Currency=INR","Period=FQ","BEST_FPERIOD_OVERRIDE=FQ","FILING_STATUS=OR","EQY_CONSOLIDATED=Y","FA_ADJUSTED=GAAP","Sort=A","Dates=H","DateFormat=P","Fill=—","Direction=H","UseDPDF=Y")</f>
        <v>#NAME?</v>
      </c>
      <c r="CZ555" s="1" t="e">
        <f ca="1">_xll.BDH($C$553,"INVENT_DAYS","FQ2 2014","FQ2 2014","Currency=INR","Period=FQ","BEST_FPERIOD_OVERRIDE=FQ","FILING_STATUS=OR","EQY_CONSOLIDATED=Y","FA_ADJUSTED=GAAP","Sort=A","Dates=H","DateFormat=P","Fill=—","Direction=H","UseDPDF=Y")</f>
        <v>#NAME?</v>
      </c>
      <c r="DA555" s="3" t="e">
        <f ca="1">_xll.BDH($C$553,"ACCOUNTS_PAYABLE_TURNOVER","FQ2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55" s="1" t="e">
        <f ca="1">_xll.BDH($C$553,"ACCOUNTS_PAYABLE_TURNOVER_DAYS","FQ2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55" s="3" t="e">
        <f ca="1">_xll.BDH($C$553,"CASH_CONVERSION_CYCLE","FQ2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55" s="3" t="e">
        <f ca="1">_xll.BDH($C$553,"INV_TO_CASH_DAYS","FQ2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55" s="4" t="e">
        <f ca="1">_xll.BDH($C$553,"BS_INVENTORIES","FQ2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55" s="2" t="e">
        <f ca="1">_xll.BDH($C$553,"INVTRY_RAW_MATERIALS","FQ2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55" s="2" t="e">
        <f ca="1">_xll.BDH($C$553,"INVTRY_IN_PROGRESS","FQ2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55" s="2" t="e">
        <f ca="1">_xll.BDH($C$553,"INVTRY_FINISHED_GOODS","FQ2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55" s="2" t="e">
        <f ca="1">_xll.BDH($C$553,"BS_OTHER_INV","FQ2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56" spans="1:113" x14ac:dyDescent="0.3">
      <c r="A556" s="6"/>
      <c r="B556" s="6"/>
      <c r="C556" s="6"/>
      <c r="D556" s="6"/>
      <c r="E556" t="s">
        <v>6</v>
      </c>
      <c r="F556" t="e">
        <f ca="1">_xll.BDH($C$553,"RETURN_COM_EQY","FQ3 2014","FQ3 2014","Currency=INR","Period=FQ","BEST_FPERIOD_OVERRIDE=FQ","FILING_STATUS=OR","EQY_CONSOLIDATED=Y","FA_ADJUSTED=GAAP","Sort=A","Dates=H","DateFormat=P","Fill=—","Direction=H","UseDPDF=Y")</f>
        <v>#NAME?</v>
      </c>
      <c r="G556" t="e">
        <f ca="1">_xll.BDH($C$553,"RETURN_ON_ASSET","FQ3 2014","FQ3 2014","Currency=INR","Period=FQ","BEST_FPERIOD_OVERRIDE=FQ","FILING_STATUS=OR","EQY_CONSOLIDATED=Y","FA_ADJUSTED=GAAP","Sort=A","Dates=H","DateFormat=P","Fill=—","Direction=H","UseDPDF=Y")</f>
        <v>#NAME?</v>
      </c>
      <c r="H556" t="e">
        <f ca="1">_xll.BDH($C$553,"RETURN_ON_CAP","FQ3 2014","FQ3 2014","Currency=INR","Period=FQ","BEST_FPERIOD_OVERRIDE=FQ","FILING_STATUS=OR","EQY_CONSOLIDATED=Y","FA_ADJUSTED=GAAP","Sort=A","Dates=H","DateFormat=P","Fill=—","Direction=H","UseDPDF=Y")</f>
        <v>#NAME?</v>
      </c>
      <c r="I556" t="e">
        <f ca="1">_xll.BDH($C$553,"RETURN_ON_INV_CAPITAL","FQ3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56" t="e">
        <f ca="1">_xll.BDH($C$553,"EBITDA_TO_REVENUE","FQ3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556" t="e">
        <f ca="1">_xll.BDH($C$553,"OPER_MARGIN","FQ3 2014","FQ3 2014","Currency=INR","Period=FQ","BEST_FPERIOD_OVERRIDE=FQ","FILING_STATUS=OR","EQY_CONSOLIDATED=Y","FA_ADJUSTED=GAAP","Sort=A","Dates=H","DateFormat=P","Fill=—","Direction=H","UseDPDF=Y")</f>
        <v>#NAME?</v>
      </c>
      <c r="L556" t="e">
        <f ca="1">_xll.BDH($C$553,"INCREMENTAL_OPERATING_MARGIN","FQ3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56" t="e">
        <f ca="1">_xll.BDH($C$553,"PRETAX_INC_TO_NET_SALES","FQ3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56" t="e">
        <f ca="1">_xll.BDH($C$553,"INC_BEF_XO_ITEMS_TO_NET_SALES","FQ3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56" t="e">
        <f ca="1">_xll.BDH($C$553,"PROF_MARGIN","FQ3 2014","FQ3 2014","Currency=INR","Period=FQ","BEST_FPERIOD_OVERRIDE=FQ","FILING_STATUS=OR","EQY_CONSOLIDATED=Y","FA_ADJUSTED=GAAP","Sort=A","Dates=H","DateFormat=P","Fill=—","Direction=H","UseDPDF=Y")</f>
        <v>#NAME?</v>
      </c>
      <c r="P556" t="e">
        <f ca="1">_xll.BDH($C$553,"NET_INCOME_TO_COMMON_MARGIN","FQ3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56" t="e">
        <f ca="1">_xll.BDH($C$553,"EFF_TAX_RATE","FQ3 2014","FQ3 2014","Currency=INR","Period=FQ","BEST_FPERIOD_OVERRIDE=FQ","FILING_STATUS=OR","EQY_CONSOLIDATED=Y","FA_ADJUSTED=GAAP","Sort=A","Dates=H","DateFormat=P","Fill=—","Direction=H","UseDPDF=Y")</f>
        <v>#NAME?</v>
      </c>
      <c r="R556" t="e">
        <f ca="1">_xll.BDH($C$553,"DVD_PAYOUT_RATIO","FQ3 2014","FQ3 2014","Currency=INR","Period=FQ","BEST_FPERIOD_OVERRIDE=FQ","FILING_STATUS=OR","EQY_CONSOLIDATED=Y","FA_ADJUSTED=GAAP","Sort=A","Dates=H","DateFormat=P","Fill=—","Direction=H","UseDPDF=Y")</f>
        <v>#NAME?</v>
      </c>
      <c r="S556" t="e">
        <f ca="1">_xll.BDH($C$553,"SUSTAIN_GROWTH_RT","FQ3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556" s="1" t="e">
        <f ca="1">_xll.BDH($C$553,"SALES_GROWTH","FQ3 2014","FQ3 2014","Currency=INR","Period=FQ","BEST_FPERIOD_OVERRIDE=FQ","FILING_STATUS=OR","EQY_CONSOLIDATED=Y","FA_ADJUSTED=GAAP","Sort=A","Dates=H","DateFormat=P","Fill=—","Direction=H","UseDPDF=Y")</f>
        <v>#NAME?</v>
      </c>
      <c r="U556" s="1" t="e">
        <f ca="1">_xll.BDH($C$553,"EBITDA_GROWTH","FQ3 2014","FQ3 2014","Currency=INR","Period=FQ","BEST_FPERIOD_OVERRIDE=FQ","FILING_STATUS=OR","EQY_CONSOLIDATED=Y","FA_ADJUSTED=GAAP","Sort=A","Dates=H","DateFormat=P","Fill=—","Direction=H","UseDPDF=Y")</f>
        <v>#NAME?</v>
      </c>
      <c r="V556" s="1" t="e">
        <f ca="1">_xll.BDH($C$553,"OPER_INC_GROWTH","FQ3 2014","FQ3 2014","Currency=INR","Period=FQ","BEST_FPERIOD_OVERRIDE=FQ","FILING_STATUS=OR","EQY_CONSOLIDATED=Y","FA_ADJUSTED=GAAP","Sort=A","Dates=H","DateFormat=P","Fill=—","Direction=H","UseDPDF=Y")</f>
        <v>#NAME?</v>
      </c>
      <c r="W556" s="1" t="e">
        <f ca="1">_xll.BDH($C$553,"EARN_FOR_COM_GROWTH","FQ3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56" s="1" t="e">
        <f ca="1">_xll.BDH($C$553,"DILUTED_EPS_AFT_XO_ITEMS_GROWTH","FQ3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56" s="1" t="e">
        <f ca="1">_xll.BDH($C$553,"DIVIDEND_PER_SHARE_1_YEAR_GROWTH","FQ3 2014","FQ3 2014","Currency=INR","Period=FQ","BEST_FPERIOD_OVERRIDE=FQ","FILING_STATUS=OR","EQY_CONSOLIDATED=Y","Sort=A","Dates=H","DateFormat=P","Fill=—","Direction=H","UseDPDF=Y")</f>
        <v>#NAME?</v>
      </c>
      <c r="Z556" s="1" t="e">
        <f ca="1">_xll.BDH($C$553,"ACCOUNTS_RECEIVABLE_GROWTH","FQ3 2014","FQ3 2014","Currency=INR","Period=FQ","BEST_FPERIOD_OVERRIDE=FQ","FILING_STATUS=OR","EQY_CONSOLIDATED=Y","Sort=A","Dates=H","DateFormat=P","Fill=—","Direction=H","UseDPDF=Y")</f>
        <v>#NAME?</v>
      </c>
      <c r="AA556" s="1" t="e">
        <f ca="1">_xll.BDH($C$553,"INVENTORY_GROWTH","FQ3 2014","FQ3 2014","Currency=INR","Period=FQ","BEST_FPERIOD_OVERRIDE=FQ","FILING_STATUS=OR","EQY_CONSOLIDATED=Y","Sort=A","Dates=H","DateFormat=P","Fill=—","Direction=H","UseDPDF=Y")</f>
        <v>#NAME?</v>
      </c>
      <c r="AB556" s="1" t="e">
        <f ca="1">_xll.BDH($C$553,"NET_FIXED_ASSETS_1_YEAR_GROWTH","FQ3 2014","FQ3 2014","Currency=INR","Period=FQ","BEST_FPERIOD_OVERRIDE=FQ","FILING_STATUS=OR","EQY_CONSOLIDATED=Y","Sort=A","Dates=H","DateFormat=P","Fill=—","Direction=H","UseDPDF=Y")</f>
        <v>#NAME?</v>
      </c>
      <c r="AC556" s="1" t="e">
        <f ca="1">_xll.BDH($C$553,"ASSET_GROWTH","FQ3 2014","FQ3 2014","Currency=INR","Period=FQ","BEST_FPERIOD_OVERRIDE=FQ","FILING_STATUS=OR","EQY_CONSOLIDATED=Y","Sort=A","Dates=H","DateFormat=P","Fill=—","Direction=H","UseDPDF=Y")</f>
        <v>#NAME?</v>
      </c>
      <c r="AD556" s="1" t="e">
        <f ca="1">_xll.BDH($C$553,"MODIFIED_WORK_CAP_GROWTH","FQ3 2014","FQ3 2014","Currency=INR","Period=FQ","BEST_FPERIOD_OVERRIDE=FQ","FILING_STATUS=OR","EQY_CONSOLIDATED=Y","Sort=A","Dates=H","DateFormat=P","Fill=—","Direction=H","UseDPDF=Y")</f>
        <v>#NAME?</v>
      </c>
      <c r="AE556" s="1" t="e">
        <f ca="1">_xll.BDH($C$553,"WORK_CAP_GROWTH","FQ3 2014","FQ3 2014","Currency=INR","Period=FQ","BEST_FPERIOD_OVERRIDE=FQ","FILING_STATUS=OR","EQY_CONSOLIDATED=Y","Sort=A","Dates=H","DateFormat=P","Fill=—","Direction=H","UseDPDF=Y")</f>
        <v>#NAME?</v>
      </c>
      <c r="AF556" s="1" t="e">
        <f ca="1">_xll.BDH($C$553,"ACCOUNTS_PAYABLE_GROWTH_1YR","FQ3 2014","FQ3 2014","Currency=INR","Period=FQ","BEST_FPERIOD_OVERRIDE=FQ","FILING_STATUS=OR","EQY_CONSOLIDATED=Y","Sort=A","Dates=H","DateFormat=P","Fill=—","Direction=H","UseDPDF=Y")</f>
        <v>#NAME?</v>
      </c>
      <c r="AG556" s="1" t="e">
        <f ca="1">_xll.BDH($C$553,"SHORT_TERM_DEBT_1_YEAR_GROWTH","FQ3 2014","FQ3 2014","Currency=INR","Period=FQ","BEST_FPERIOD_OVERRIDE=FQ","FILING_STATUS=OR","EQY_CONSOLIDATED=Y","Sort=A","Dates=H","DateFormat=P","Fill=—","Direction=H","UseDPDF=Y")</f>
        <v>#NAME?</v>
      </c>
      <c r="AH556" s="1" t="e">
        <f ca="1">_xll.BDH($C$553,"TOTAL_DEBT_1_YEAR_GROWTH","FQ3 2014","FQ3 2014","Currency=INR","Period=FQ","BEST_FPERIOD_OVERRIDE=FQ","FILING_STATUS=OR","EQY_CONSOLIDATED=Y","Sort=A","Dates=H","DateFormat=P","Fill=—","Direction=H","UseDPDF=Y")</f>
        <v>#NAME?</v>
      </c>
      <c r="AI556" s="1" t="e">
        <f ca="1">_xll.BDH($C$553,"TOTAL_EQUITY_1_YEAR_GROWTH","FQ3 2014","FQ3 2014","Currency=INR","Period=FQ","BEST_FPERIOD_OVERRIDE=FQ","FILING_STATUS=OR","EQY_CONSOLIDATED=Y","Sort=A","Dates=H","DateFormat=P","Fill=—","Direction=H","UseDPDF=Y")</f>
        <v>#NAME?</v>
      </c>
      <c r="AJ556" s="1" t="e">
        <f ca="1">_xll.BDH($C$553,"GROWTH_IN_CAP","FQ3 2014","FQ3 2014","Currency=INR","Period=FQ","BEST_FPERIOD_OVERRIDE=FQ","FILING_STATUS=OR","EQY_CONSOLIDATED=Y","Sort=A","Dates=H","DateFormat=P","Fill=—","Direction=H","UseDPDF=Y")</f>
        <v>#NAME?</v>
      </c>
      <c r="AK556" s="1" t="e">
        <f ca="1">_xll.BDH($C$553,"BVPS_GROWTH","FQ3 2014","FQ3 2014","Currency=INR","Period=FQ","BEST_FPERIOD_OVERRIDE=FQ","FILING_STATUS=OR","EQY_CONSOLIDATED=Y","Sort=A","Dates=H","DateFormat=P","Fill=—","Direction=H","UseDPDF=Y")</f>
        <v>#NAME?</v>
      </c>
      <c r="AL556" s="1" t="e">
        <f ca="1">_xll.BDH($C$553,"CASH_FLOW_GROWTH","FQ3 2014","FQ3 2014","Currency=INR","Period=FQ","BEST_FPERIOD_OVERRIDE=FQ","FILING_STATUS=OR","EQY_CONSOLIDATED=Y","Sort=A","Dates=H","DateFormat=P","Fill=—","Direction=H","UseDPDF=Y")</f>
        <v>#NAME?</v>
      </c>
      <c r="AM556" s="1" t="e">
        <f ca="1">_xll.BDH($C$553,"GEO_GROW_NET_SALES","FQ3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56" s="1" t="e">
        <f ca="1">_xll.BDH($C$553,"GEO_GROW_EBITDA","FQ3 2014","FQ3 2014","Currency=INR","Period=FQ","BEST_FPERIOD_OVERRIDE=FQ","FILING_STATUS=OR","EQY_CONSOLIDATED=Y","FA_ADJUSTED=GAAP","Sort=A","Dates=H","DateFormat=P","Fill=—","Direction=H","UseDPDF=Y")</f>
        <v>#NAME?</v>
      </c>
      <c r="AO556" s="1" t="e">
        <f ca="1">_xll.BDH($C$553,"GEO_GROW_OPER_INC","FQ3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56" s="1" t="e">
        <f ca="1">_xll.BDH($C$553,"NET_INCOME_TO_COMMON_5_YR_GROWTH","FQ3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56" s="1" t="e">
        <f ca="1">_xll.BDH($C$553,"5Y_GEO_GROWTH_DILUTED_EPS","FQ3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56" s="1" t="e">
        <f ca="1">_xll.BDH($C$553,"GEO_GROW_DVD_PER_SH","FQ3 2014","FQ3 2014","Currency=INR","Period=FQ","BEST_FPERIOD_OVERRIDE=FQ","FILING_STATUS=OR","EQY_CONSOLIDATED=Y","Sort=A","Dates=H","DateFormat=P","Fill=—","Direction=H","UseDPDF=Y")</f>
        <v>#NAME?</v>
      </c>
      <c r="AS556" s="1" t="e">
        <f ca="1">_xll.BDH($C$553,"ACCOUNTS_RECEIVABLE_5_YR_GROWTH","FQ3 2014","FQ3 2014","Currency=INR","Period=FQ","BEST_FPERIOD_OVERRIDE=FQ","FILING_STATUS=OR","EQY_CONSOLIDATED=Y","Sort=A","Dates=H","DateFormat=P","Fill=—","Direction=H","UseDPDF=Y")</f>
        <v>#NAME?</v>
      </c>
      <c r="AT556" s="1" t="e">
        <f ca="1">_xll.BDH($C$553,"INVENTORY_5_YEAR_GROWTH","FQ3 2014","FQ3 2014","Currency=INR","Period=FQ","BEST_FPERIOD_OVERRIDE=FQ","FILING_STATUS=OR","EQY_CONSOLIDATED=Y","Sort=A","Dates=H","DateFormat=P","Fill=—","Direction=H","UseDPDF=Y")</f>
        <v>#NAME?</v>
      </c>
      <c r="AU556" s="1" t="e">
        <f ca="1">_xll.BDH($C$553,"NET_FIXED_ASSETS_5_YEAR_GROWTH","FQ3 2014","FQ3 2014","Currency=INR","Period=FQ","BEST_FPERIOD_OVERRIDE=FQ","FILING_STATUS=OR","EQY_CONSOLIDATED=Y","Sort=A","Dates=H","DateFormat=P","Fill=—","Direction=H","UseDPDF=Y")</f>
        <v>#NAME?</v>
      </c>
      <c r="AV556" s="1" t="e">
        <f ca="1">_xll.BDH($C$553,"GEO_GROW_TOT_ASSET","FQ3 2014","FQ3 2014","Currency=INR","Period=FQ","BEST_FPERIOD_OVERRIDE=FQ","FILING_STATUS=OR","EQY_CONSOLIDATED=Y","Sort=A","Dates=H","DateFormat=P","Fill=—","Direction=H","UseDPDF=Y")</f>
        <v>#NAME?</v>
      </c>
      <c r="AW556" s="1" t="e">
        <f ca="1">_xll.BDH($C$553,"MODIFIED_WORKING_CPTL_5YR_GRWTH","FQ3 2014","FQ3 2014","Currency=INR","Period=FQ","BEST_FPERIOD_OVERRIDE=FQ","FILING_STATUS=OR","EQY_CONSOLIDATED=Y","Sort=A","Dates=H","DateFormat=P","Fill=—","Direction=H","UseDPDF=Y")</f>
        <v>#NAME?</v>
      </c>
      <c r="AX556" s="1" t="e">
        <f ca="1">_xll.BDH($C$553,"WORKING_CAPITAL_5_YEAR_GROWTH","FQ3 2014","FQ3 2014","Currency=INR","Period=FQ","BEST_FPERIOD_OVERRIDE=FQ","FILING_STATUS=OR","EQY_CONSOLIDATED=Y","Sort=A","Dates=H","DateFormat=P","Fill=—","Direction=H","UseDPDF=Y")</f>
        <v>#NAME?</v>
      </c>
      <c r="AY556" s="1" t="e">
        <f ca="1">_xll.BDH($C$553,"ACCOUNTS_PAYABLE_5_YEAR_GROWTH","FQ3 2014","FQ3 2014","Currency=INR","Period=FQ","BEST_FPERIOD_OVERRIDE=FQ","FILING_STATUS=OR","EQY_CONSOLIDATED=Y","Sort=A","Dates=H","DateFormat=P","Fill=—","Direction=H","UseDPDF=Y")</f>
        <v>#NAME?</v>
      </c>
      <c r="AZ556" s="1" t="e">
        <f ca="1">_xll.BDH($C$553,"SHORT_TERM_DEBT_5_YEAR_GROWTH","FQ3 2014","FQ3 2014","Currency=INR","Period=FQ","BEST_FPERIOD_OVERRIDE=FQ","FILING_STATUS=OR","EQY_CONSOLIDATED=Y","Sort=A","Dates=H","DateFormat=P","Fill=—","Direction=H","UseDPDF=Y")</f>
        <v>#NAME?</v>
      </c>
      <c r="BA556" s="1" t="e">
        <f ca="1">_xll.BDH($C$553,"TOTAL_DEBT_5_YEAR_GROWTH","FQ3 2014","FQ3 2014","Currency=INR","Period=FQ","BEST_FPERIOD_OVERRIDE=FQ","FILING_STATUS=OR","EQY_CONSOLIDATED=Y","Sort=A","Dates=H","DateFormat=P","Fill=—","Direction=H","UseDPDF=Y")</f>
        <v>#NAME?</v>
      </c>
      <c r="BB556" s="1" t="e">
        <f ca="1">_xll.BDH($C$553,"GEO_GROW_TOT_SHRHLDR_EQY","FQ3 2014","FQ3 2014","Currency=INR","Period=FQ","BEST_FPERIOD_OVERRIDE=FQ","FILING_STATUS=OR","EQY_CONSOLIDATED=Y","Sort=A","Dates=H","DateFormat=P","Fill=—","Direction=H","UseDPDF=Y")</f>
        <v>#NAME?</v>
      </c>
      <c r="BC556" s="1" t="e">
        <f ca="1">_xll.BDH($C$553,"TOTAL_CAPITAL_5_YEAR_GROWTH","FQ3 2014","FQ3 2014","Currency=INR","Period=FQ","BEST_FPERIOD_OVERRIDE=FQ","FILING_STATUS=OR","EQY_CONSOLIDATED=Y","Sort=A","Dates=H","DateFormat=P","Fill=—","Direction=H","UseDPDF=Y")</f>
        <v>#NAME?</v>
      </c>
      <c r="BD556" s="1" t="e">
        <f ca="1">_xll.BDH($C$553,"GEO_GROW_BOOK_VAL","FQ3 2014","FQ3 2014","Currency=INR","Period=FQ","BEST_FPERIOD_OVERRIDE=FQ","FILING_STATUS=OR","EQY_CONSOLIDATED=Y","Sort=A","Dates=H","DateFormat=P","Fill=—","Direction=H","UseDPDF=Y")</f>
        <v>#NAME?</v>
      </c>
      <c r="BE556" s="1" t="e">
        <f ca="1">_xll.BDH($C$553,"GEO_GROW_CASH_OPER_ACT","FQ3 2014","FQ3 2014","Currency=INR","Period=FQ","BEST_FPERIOD_OVERRIDE=FQ","FILING_STATUS=OR","EQY_CONSOLIDATED=Y","Sort=A","Dates=H","DateFormat=P","Fill=—","Direction=H","UseDPDF=Y")</f>
        <v>#NAME?</v>
      </c>
      <c r="BF556" s="1" t="e">
        <f ca="1">_xll.BDH($C$553,"REVENUE_SEQUENTIAL_GROWTH","FQ3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56" s="1" t="e">
        <f ca="1">_xll.BDH($C$553,"EBITDA_SEQUENTIAL_GROWTH","FQ3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56" s="1" t="e">
        <f ca="1">_xll.BDH($C$553,"OPERATING_INCOME_SEQ_GROWTH","FQ3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56" s="1" t="e">
        <f ca="1">_xll.BDH($C$553,"NET_INCOME_TO_COMMON_SEQ_GROWTH","FQ3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56" s="1" t="e">
        <f ca="1">_xll.BDH($C$553,"EPS_DILUTED_SEQUENTIAL_GROWTH","FQ3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56" s="1" t="e">
        <f ca="1">_xll.BDH($C$553,"DPS_SEQUENTIAL_GROWTH","FQ3 2014","FQ3 2014","Currency=INR","Period=FQ","BEST_FPERIOD_OVERRIDE=FQ","FILING_STATUS=OR","EQY_CONSOLIDATED=Y","Sort=A","Dates=H","DateFormat=P","Fill=—","Direction=H","UseDPDF=Y")</f>
        <v>#NAME?</v>
      </c>
      <c r="BL556" s="1" t="e">
        <f ca="1">_xll.BDH($C$553,"ACCOUNTS_RECEIVABLE_SEQ_GROWTH","FQ3 2014","FQ3 2014","Currency=INR","Period=FQ","BEST_FPERIOD_OVERRIDE=FQ","FILING_STATUS=OR","EQY_CONSOLIDATED=Y","Sort=A","Dates=H","DateFormat=P","Fill=—","Direction=H","UseDPDF=Y")</f>
        <v>#NAME?</v>
      </c>
      <c r="BM556" s="1" t="e">
        <f ca="1">_xll.BDH($C$553,"INVENTORY_SEQUENTIAL_GROWTH","FQ3 2014","FQ3 2014","Currency=INR","Period=FQ","BEST_FPERIOD_OVERRIDE=FQ","FILING_STATUS=OR","EQY_CONSOLIDATED=Y","Sort=A","Dates=H","DateFormat=P","Fill=—","Direction=H","UseDPDF=Y")</f>
        <v>#NAME?</v>
      </c>
      <c r="BN556" s="1" t="e">
        <f ca="1">_xll.BDH($C$553,"FIXED_ASSETS_SEQUENTIAL_GROWTH","FQ3 2014","FQ3 2014","Currency=INR","Period=FQ","BEST_FPERIOD_OVERRIDE=FQ","FILING_STATUS=OR","EQY_CONSOLIDATED=Y","Sort=A","Dates=H","DateFormat=P","Fill=—","Direction=H","UseDPDF=Y")</f>
        <v>#NAME?</v>
      </c>
      <c r="BO556" s="1" t="e">
        <f ca="1">_xll.BDH($C$553,"TOTAL_ASSETS_SEQUENTIAL_GROWTH","FQ3 2014","FQ3 2014","Currency=INR","Period=FQ","BEST_FPERIOD_OVERRIDE=FQ","FILING_STATUS=OR","EQY_CONSOLIDATED=Y","Sort=A","Dates=H","DateFormat=P","Fill=—","Direction=H","UseDPDF=Y")</f>
        <v>#NAME?</v>
      </c>
      <c r="BP556" s="1" t="e">
        <f ca="1">_xll.BDH($C$553,"MODIFIED_WORKING_CPTL_SEQ_GRWTH","FQ3 2014","FQ3 2014","Currency=INR","Period=FQ","BEST_FPERIOD_OVERRIDE=FQ","FILING_STATUS=OR","EQY_CONSOLIDATED=Y","Sort=A","Dates=H","DateFormat=P","Fill=—","Direction=H","UseDPDF=Y")</f>
        <v>#NAME?</v>
      </c>
      <c r="BQ556" s="1" t="e">
        <f ca="1">_xll.BDH($C$553,"WORKING_CAPITAL_SEQ_GROWTH","FQ3 2014","FQ3 2014","Currency=INR","Period=FQ","BEST_FPERIOD_OVERRIDE=FQ","FILING_STATUS=OR","EQY_CONSOLIDATED=Y","Sort=A","Dates=H","DateFormat=P","Fill=—","Direction=H","UseDPDF=Y")</f>
        <v>#NAME?</v>
      </c>
      <c r="BR556" s="1" t="e">
        <f ca="1">_xll.BDH($C$553,"ACCOUNTS_PAYABLE_SEQ_GROWTH","FQ3 2014","FQ3 2014","Currency=INR","Period=FQ","BEST_FPERIOD_OVERRIDE=FQ","FILING_STATUS=OR","EQY_CONSOLIDATED=Y","Sort=A","Dates=H","DateFormat=P","Fill=—","Direction=H","UseDPDF=Y")</f>
        <v>#NAME?</v>
      </c>
      <c r="BS556" s="1" t="e">
        <f ca="1">_xll.BDH($C$553,"ST_DEBT_SEQUENTIAL_GROWTH","FQ3 2014","FQ3 2014","Currency=INR","Period=FQ","BEST_FPERIOD_OVERRIDE=FQ","FILING_STATUS=OR","EQY_CONSOLIDATED=Y","Sort=A","Dates=H","DateFormat=P","Fill=—","Direction=H","UseDPDF=Y")</f>
        <v>#NAME?</v>
      </c>
      <c r="BT556" s="1" t="e">
        <f ca="1">_xll.BDH($C$553,"TOTAL_DEBT_SEQUENTIAL_GROWTH","FQ3 2014","FQ3 2014","Currency=INR","Period=FQ","BEST_FPERIOD_OVERRIDE=FQ","FILING_STATUS=OR","EQY_CONSOLIDATED=Y","Sort=A","Dates=H","DateFormat=P","Fill=—","Direction=H","UseDPDF=Y")</f>
        <v>#NAME?</v>
      </c>
      <c r="BU556" s="1" t="e">
        <f ca="1">_xll.BDH($C$553,"TOTAL_EQUITY_SEQUENTIAL_GROWTH","FQ3 2014","FQ3 2014","Currency=INR","Period=FQ","BEST_FPERIOD_OVERRIDE=FQ","FILING_STATUS=OR","EQY_CONSOLIDATED=Y","Sort=A","Dates=H","DateFormat=P","Fill=—","Direction=H","UseDPDF=Y")</f>
        <v>#NAME?</v>
      </c>
      <c r="BV556" s="1" t="e">
        <f ca="1">_xll.BDH($C$553,"TOTAL_CAPITAL_SEQUENTIAL_GROWTH","FQ3 2014","FQ3 2014","Currency=INR","Period=FQ","BEST_FPERIOD_OVERRIDE=FQ","FILING_STATUS=OR","EQY_CONSOLIDATED=Y","Sort=A","Dates=H","DateFormat=P","Fill=—","Direction=H","UseDPDF=Y")</f>
        <v>#NAME?</v>
      </c>
      <c r="BW556" s="1" t="e">
        <f ca="1">_xll.BDH($C$553,"BPS_SEQUENTIAL_GROWTH","FQ3 2014","FQ3 2014","Currency=INR","Period=FQ","BEST_FPERIOD_OVERRIDE=FQ","FILING_STATUS=OR","EQY_CONSOLIDATED=Y","Sort=A","Dates=H","DateFormat=P","Fill=—","Direction=H","UseDPDF=Y")</f>
        <v>#NAME?</v>
      </c>
      <c r="BX556" s="1" t="e">
        <f ca="1">_xll.BDH($C$553,"CFO_SEQUENTIAL_GROWTH","FQ3 2014","FQ3 2014","Currency=INR","Period=FQ","BEST_FPERIOD_OVERRIDE=FQ","FILING_STATUS=OR","EQY_CONSOLIDATED=Y","Sort=A","Dates=H","DateFormat=P","Fill=—","Direction=H","UseDPDF=Y")</f>
        <v>#NAME?</v>
      </c>
      <c r="BY556" s="2" t="e">
        <f ca="1">_xll.BDH($C$553,"SHORT_AND_LONG_TERM_DEBT","FQ3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56" s="2" t="e">
        <f ca="1">_xll.BDH($C$553,"BS_ST_BORROW","FQ3 2014","FQ3 2014","Currency=INR","Period=FQ","BEST_FPERIOD_OVERRIDE=FQ","FILING_STATUS=OR","EQY_CONSOLIDATED=Y","SCALING_FORMAT=MLN","Sort=A","Dates=H","DateFormat=P","Fill=—","Direction=H","UseDPDF=Y")</f>
        <v>#NAME?</v>
      </c>
      <c r="CA556" s="2" t="e">
        <f ca="1">_xll.BDH($C$553,"BS_LT_BORROW","FQ3 2014","FQ3 2014","Currency=INR","Period=FQ","BEST_FPERIOD_OVERRIDE=FQ","FILING_STATUS=OR","EQY_CONSOLIDATED=Y","SCALING_FORMAT=MLN","Sort=A","Dates=H","DateFormat=P","Fill=—","Direction=H","UseDPDF=Y")</f>
        <v>#NAME?</v>
      </c>
      <c r="CB556" s="1" t="e">
        <f ca="1">_xll.BDH($C$553,"TOT_DEBT_TO_EBITDA","FQ3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56" s="1" t="e">
        <f ca="1">_xll.BDH($C$553,"NET_DEBT_TO_EBITDA","FQ3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56" s="1" t="e">
        <f ca="1">_xll.BDH($C$553,"TOTAL_DEBT_TO_EBIT","FQ3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56" s="1" t="e">
        <f ca="1">_xll.BDH($C$553,"NET_DEBT_TO_EBIT","FQ3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556" s="1" t="e">
        <f ca="1">_xll.BDH($C$553,"EBITDA_TO_INTEREST_EXPN","FQ3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56" s="1" t="e">
        <f ca="1">_xll.BDH($C$553,"COM_EQY_TO_TOT_ASSET","FQ3 2014","FQ3 2014","Currency=INR","Period=FQ","BEST_FPERIOD_OVERRIDE=FQ","FILING_STATUS=OR","EQY_CONSOLIDATED=Y","Sort=A","Dates=H","DateFormat=P","Fill=—","Direction=H","UseDPDF=Y")</f>
        <v>#NAME?</v>
      </c>
      <c r="CH556" s="1" t="e">
        <f ca="1">_xll.BDH($C$553,"LT_DEBT_TO_TOT_EQY","FQ3 2014","FQ3 2014","Currency=INR","Period=FQ","BEST_FPERIOD_OVERRIDE=FQ","FILING_STATUS=OR","EQY_CONSOLIDATED=Y","Sort=A","Dates=H","DateFormat=P","Fill=—","Direction=H","UseDPDF=Y")</f>
        <v>#NAME?</v>
      </c>
      <c r="CI556" s="1" t="e">
        <f ca="1">_xll.BDH($C$553,"LT_DEBT_TO_TOT_CAP","FQ3 2014","FQ3 2014","Currency=INR","Period=FQ","BEST_FPERIOD_OVERRIDE=FQ","FILING_STATUS=OR","EQY_CONSOLIDATED=Y","Sort=A","Dates=H","DateFormat=P","Fill=—","Direction=H","UseDPDF=Y")</f>
        <v>#NAME?</v>
      </c>
      <c r="CJ556" s="1" t="e">
        <f ca="1">_xll.BDH($C$553,"LT_DEBT_TO_TOT_ASSET","FQ3 2014","FQ3 2014","Currency=INR","Period=FQ","BEST_FPERIOD_OVERRIDE=FQ","FILING_STATUS=OR","EQY_CONSOLIDATED=Y","Sort=A","Dates=H","DateFormat=P","Fill=—","Direction=H","UseDPDF=Y")</f>
        <v>#NAME?</v>
      </c>
      <c r="CK556" s="1" t="e">
        <f ca="1">_xll.BDH($C$553,"TOT_DEBT_TO_TOT_EQY","FQ3 2014","FQ3 2014","Currency=INR","Period=FQ","BEST_FPERIOD_OVERRIDE=FQ","FILING_STATUS=OR","EQY_CONSOLIDATED=Y","Sort=A","Dates=H","DateFormat=P","Fill=—","Direction=H","UseDPDF=Y")</f>
        <v>#NAME?</v>
      </c>
      <c r="CL556" s="1" t="e">
        <f ca="1">_xll.BDH($C$553,"TOT_DEBT_TO_TOT_CAP","FQ3 2014","FQ3 2014","Currency=INR","Period=FQ","BEST_FPERIOD_OVERRIDE=FQ","FILING_STATUS=OR","EQY_CONSOLIDATED=Y","Sort=A","Dates=H","DateFormat=P","Fill=—","Direction=H","UseDPDF=Y")</f>
        <v>#NAME?</v>
      </c>
      <c r="CM556" s="1" t="e">
        <f ca="1">_xll.BDH($C$553,"TOT_DEBT_TO_TOT_ASSET","FQ3 2014","FQ3 2014","Currency=INR","Period=FQ","BEST_FPERIOD_OVERRIDE=FQ","FILING_STATUS=OR","EQY_CONSOLIDATED=Y","Sort=A","Dates=H","DateFormat=P","Fill=—","Direction=H","UseDPDF=Y")</f>
        <v>#NAME?</v>
      </c>
      <c r="CN556" s="1" t="e">
        <f ca="1">_xll.BDH($C$553,"NET_DEBT_TO_SHRHLDR_EQTY","FQ3 2014","FQ3 2014","Currency=INR","Period=FQ","BEST_FPERIOD_OVERRIDE=FQ","FILING_STATUS=OR","EQY_CONSOLIDATED=Y","Sort=A","Dates=H","DateFormat=P","Fill=—","Direction=H","UseDPDF=Y")</f>
        <v>#NAME?</v>
      </c>
      <c r="CO556" s="1" t="e">
        <f ca="1">_xll.BDH($C$553,"NET_DEBT_%_CAPITAL","FQ3 2014","FQ3 2014","Currency=INR","Period=FQ","BEST_FPERIOD_OVERRIDE=FQ","FILING_STATUS=OR","EQY_CONSOLIDATED=Y","Sort=A","Dates=H","DateFormat=P","Fill=—","Direction=H","UseDPDF=Y")</f>
        <v>#NAME?</v>
      </c>
      <c r="CP556" s="2" t="e">
        <f ca="1">_xll.BDH($C$553,"EBITDA","FQ3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56" s="2" t="e">
        <f ca="1">_xll.BDH($C$553,"EBITDA_AFTER_CAPEX","FQ3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56" s="2" t="e">
        <f ca="1">_xll.BDH($C$553,"IS_OPER_INC","FQ3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56" s="1" t="e">
        <f ca="1">_xll.BDH($C$553,"CASH_RATIO","FQ3 2014","FQ3 2014","Currency=INR","Period=FQ","BEST_FPERIOD_OVERRIDE=FQ","FILING_STATUS=OR","EQY_CONSOLIDATED=Y","Sort=A","Dates=H","DateFormat=P","Fill=—","Direction=H","UseDPDF=Y")</f>
        <v>#NAME?</v>
      </c>
      <c r="CT556" s="1" t="e">
        <f ca="1">_xll.BDH($C$553,"CUR_RATIO","FQ3 2014","FQ3 2014","Currency=INR","Period=FQ","BEST_FPERIOD_OVERRIDE=FQ","FILING_STATUS=OR","EQY_CONSOLIDATED=Y","Sort=A","Dates=H","DateFormat=P","Fill=—","Direction=H","UseDPDF=Y")</f>
        <v>#NAME?</v>
      </c>
      <c r="CU556" s="1" t="e">
        <f ca="1">_xll.BDH($C$553,"QUICK_RATIO","FQ3 2014","FQ3 2014","Currency=INR","Period=FQ","BEST_FPERIOD_OVERRIDE=FQ","FILING_STATUS=OR","EQY_CONSOLIDATED=Y","Sort=A","Dates=H","DateFormat=P","Fill=—","Direction=H","UseDPDF=Y")</f>
        <v>#NAME?</v>
      </c>
      <c r="CV556" s="1" t="e">
        <f ca="1">_xll.BDH($C$553,"ALTMAN_Z_SCORE","FQ3 2014","FQ3 2014","Currency=INR","Period=FQ","BEST_FPERIOD_OVERRIDE=FQ","FILING_STATUS=OR","EQY_CONSOLIDATED=Y","Sort=A","Dates=H","DateFormat=P","Fill=—","Direction=H","UseDPDF=Y")</f>
        <v>#NAME?</v>
      </c>
      <c r="CW556" s="3" t="e">
        <f ca="1">_xll.BDH($C$553,"ACCT_RCV_TURN","FQ3 2014","FQ3 2014","Currency=INR","Period=FQ","BEST_FPERIOD_OVERRIDE=FQ","FILING_STATUS=OR","EQY_CONSOLIDATED=Y","FA_ADJUSTED=GAAP","Sort=A","Dates=H","DateFormat=P","Fill=—","Direction=H","UseDPDF=Y")</f>
        <v>#NAME?</v>
      </c>
      <c r="CX556" s="1" t="e">
        <f ca="1">_xll.BDH($C$553,"ACCT_RCV_DAYS","FQ3 2014","FQ3 2014","Currency=INR","Period=FQ","BEST_FPERIOD_OVERRIDE=FQ","FILING_STATUS=OR","EQY_CONSOLIDATED=Y","FA_ADJUSTED=GAAP","Sort=A","Dates=H","DateFormat=P","Fill=—","Direction=H","UseDPDF=Y")</f>
        <v>#NAME?</v>
      </c>
      <c r="CY556" s="3" t="e">
        <f ca="1">_xll.BDH($C$553,"INVENT_TURN","FQ3 2014","FQ3 2014","Currency=INR","Period=FQ","BEST_FPERIOD_OVERRIDE=FQ","FILING_STATUS=OR","EQY_CONSOLIDATED=Y","FA_ADJUSTED=GAAP","Sort=A","Dates=H","DateFormat=P","Fill=—","Direction=H","UseDPDF=Y")</f>
        <v>#NAME?</v>
      </c>
      <c r="CZ556" s="1" t="e">
        <f ca="1">_xll.BDH($C$553,"INVENT_DAYS","FQ3 2014","FQ3 2014","Currency=INR","Period=FQ","BEST_FPERIOD_OVERRIDE=FQ","FILING_STATUS=OR","EQY_CONSOLIDATED=Y","FA_ADJUSTED=GAAP","Sort=A","Dates=H","DateFormat=P","Fill=—","Direction=H","UseDPDF=Y")</f>
        <v>#NAME?</v>
      </c>
      <c r="DA556" s="3" t="e">
        <f ca="1">_xll.BDH($C$553,"ACCOUNTS_PAYABLE_TURNOVER","FQ3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56" s="1" t="e">
        <f ca="1">_xll.BDH($C$553,"ACCOUNTS_PAYABLE_TURNOVER_DAYS","FQ3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56" s="3" t="e">
        <f ca="1">_xll.BDH($C$553,"CASH_CONVERSION_CYCLE","FQ3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56" s="3" t="e">
        <f ca="1">_xll.BDH($C$553,"INV_TO_CASH_DAYS","FQ3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556" s="4" t="e">
        <f ca="1">_xll.BDH($C$553,"BS_INVENTORIES","FQ3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556" s="2" t="e">
        <f ca="1">_xll.BDH($C$553,"INVTRY_RAW_MATERIALS","FQ3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56" s="2" t="e">
        <f ca="1">_xll.BDH($C$553,"INVTRY_IN_PROGRESS","FQ3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56" s="2" t="e">
        <f ca="1">_xll.BDH($C$553,"INVTRY_FINISHED_GOODS","FQ3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56" s="2" t="e">
        <f ca="1">_xll.BDH($C$553,"BS_OTHER_INV","FQ3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57" spans="1:113" x14ac:dyDescent="0.3">
      <c r="A557" s="6"/>
      <c r="B557" s="6"/>
      <c r="C557" s="6"/>
      <c r="D557" s="6"/>
      <c r="E557" t="s">
        <v>7</v>
      </c>
      <c r="F557" t="e">
        <f ca="1">_xll.BDH($C$553,"RETURN_COM_EQY","FQ4 2014","FQ4 2014","Currency=INR","Period=FQ","BEST_FPERIOD_OVERRIDE=FQ","FILING_STATUS=OR","EQY_CONSOLIDATED=Y","FA_ADJUSTED=GAAP","Sort=A","Dates=H","DateFormat=P","Fill=—","Direction=H","UseDPDF=Y")</f>
        <v>#NAME?</v>
      </c>
      <c r="G557" t="e">
        <f ca="1">_xll.BDH($C$553,"RETURN_ON_ASSET","FQ4 2014","FQ4 2014","Currency=INR","Period=FQ","BEST_FPERIOD_OVERRIDE=FQ","FILING_STATUS=OR","EQY_CONSOLIDATED=Y","FA_ADJUSTED=GAAP","Sort=A","Dates=H","DateFormat=P","Fill=—","Direction=H","UseDPDF=Y")</f>
        <v>#NAME?</v>
      </c>
      <c r="H557" t="e">
        <f ca="1">_xll.BDH($C$553,"RETURN_ON_CAP","FQ4 2014","FQ4 2014","Currency=INR","Period=FQ","BEST_FPERIOD_OVERRIDE=FQ","FILING_STATUS=OR","EQY_CONSOLIDATED=Y","FA_ADJUSTED=GAAP","Sort=A","Dates=H","DateFormat=P","Fill=—","Direction=H","UseDPDF=Y")</f>
        <v>#NAME?</v>
      </c>
      <c r="I557" t="e">
        <f ca="1">_xll.BDH($C$553,"RETURN_ON_INV_CAPITAL","FQ4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57" t="e">
        <f ca="1">_xll.BDH($C$553,"EBITDA_TO_REVENUE","FQ4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557" t="e">
        <f ca="1">_xll.BDH($C$553,"OPER_MARGIN","FQ4 2014","FQ4 2014","Currency=INR","Period=FQ","BEST_FPERIOD_OVERRIDE=FQ","FILING_STATUS=OR","EQY_CONSOLIDATED=Y","FA_ADJUSTED=GAAP","Sort=A","Dates=H","DateFormat=P","Fill=—","Direction=H","UseDPDF=Y")</f>
        <v>#NAME?</v>
      </c>
      <c r="L557" t="e">
        <f ca="1">_xll.BDH($C$553,"INCREMENTAL_OPERATING_MARGIN","FQ4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57" t="e">
        <f ca="1">_xll.BDH($C$553,"PRETAX_INC_TO_NET_SALES","FQ4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57" t="e">
        <f ca="1">_xll.BDH($C$553,"INC_BEF_XO_ITEMS_TO_NET_SALES","FQ4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57" t="e">
        <f ca="1">_xll.BDH($C$553,"PROF_MARGIN","FQ4 2014","FQ4 2014","Currency=INR","Period=FQ","BEST_FPERIOD_OVERRIDE=FQ","FILING_STATUS=OR","EQY_CONSOLIDATED=Y","FA_ADJUSTED=GAAP","Sort=A","Dates=H","DateFormat=P","Fill=—","Direction=H","UseDPDF=Y")</f>
        <v>#NAME?</v>
      </c>
      <c r="P557" t="e">
        <f ca="1">_xll.BDH($C$553,"NET_INCOME_TO_COMMON_MARGIN","FQ4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57" t="e">
        <f ca="1">_xll.BDH($C$553,"EFF_TAX_RATE","FQ4 2014","FQ4 2014","Currency=INR","Period=FQ","BEST_FPERIOD_OVERRIDE=FQ","FILING_STATUS=OR","EQY_CONSOLIDATED=Y","FA_ADJUSTED=GAAP","Sort=A","Dates=H","DateFormat=P","Fill=—","Direction=H","UseDPDF=Y")</f>
        <v>#NAME?</v>
      </c>
      <c r="R557" t="e">
        <f ca="1">_xll.BDH($C$553,"DVD_PAYOUT_RATIO","FQ4 2014","FQ4 2014","Currency=INR","Period=FQ","BEST_FPERIOD_OVERRIDE=FQ","FILING_STATUS=OR","EQY_CONSOLIDATED=Y","FA_ADJUSTED=GAAP","Sort=A","Dates=H","DateFormat=P","Fill=—","Direction=H","UseDPDF=Y")</f>
        <v>#NAME?</v>
      </c>
      <c r="S557" t="e">
        <f ca="1">_xll.BDH($C$553,"SUSTAIN_GROWTH_RT","FQ4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557" s="1" t="e">
        <f ca="1">_xll.BDH($C$553,"SALES_GROWTH","FQ4 2014","FQ4 2014","Currency=INR","Period=FQ","BEST_FPERIOD_OVERRIDE=FQ","FILING_STATUS=OR","EQY_CONSOLIDATED=Y","FA_ADJUSTED=GAAP","Sort=A","Dates=H","DateFormat=P","Fill=—","Direction=H","UseDPDF=Y")</f>
        <v>#NAME?</v>
      </c>
      <c r="U557" s="1" t="e">
        <f ca="1">_xll.BDH($C$553,"EBITDA_GROWTH","FQ4 2014","FQ4 2014","Currency=INR","Period=FQ","BEST_FPERIOD_OVERRIDE=FQ","FILING_STATUS=OR","EQY_CONSOLIDATED=Y","FA_ADJUSTED=GAAP","Sort=A","Dates=H","DateFormat=P","Fill=—","Direction=H","UseDPDF=Y")</f>
        <v>#NAME?</v>
      </c>
      <c r="V557" s="1" t="e">
        <f ca="1">_xll.BDH($C$553,"OPER_INC_GROWTH","FQ4 2014","FQ4 2014","Currency=INR","Period=FQ","BEST_FPERIOD_OVERRIDE=FQ","FILING_STATUS=OR","EQY_CONSOLIDATED=Y","FA_ADJUSTED=GAAP","Sort=A","Dates=H","DateFormat=P","Fill=—","Direction=H","UseDPDF=Y")</f>
        <v>#NAME?</v>
      </c>
      <c r="W557" s="1" t="e">
        <f ca="1">_xll.BDH($C$553,"EARN_FOR_COM_GROWTH","FQ4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57" s="1" t="e">
        <f ca="1">_xll.BDH($C$553,"DILUTED_EPS_AFT_XO_ITEMS_GROWTH","FQ4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57" s="1" t="e">
        <f ca="1">_xll.BDH($C$553,"DIVIDEND_PER_SHARE_1_YEAR_GROWTH","FQ4 2014","FQ4 2014","Currency=INR","Period=FQ","BEST_FPERIOD_OVERRIDE=FQ","FILING_STATUS=OR","EQY_CONSOLIDATED=Y","Sort=A","Dates=H","DateFormat=P","Fill=—","Direction=H","UseDPDF=Y")</f>
        <v>#NAME?</v>
      </c>
      <c r="Z557" s="1" t="e">
        <f ca="1">_xll.BDH($C$553,"ACCOUNTS_RECEIVABLE_GROWTH","FQ4 2014","FQ4 2014","Currency=INR","Period=FQ","BEST_FPERIOD_OVERRIDE=FQ","FILING_STATUS=OR","EQY_CONSOLIDATED=Y","Sort=A","Dates=H","DateFormat=P","Fill=—","Direction=H","UseDPDF=Y")</f>
        <v>#NAME?</v>
      </c>
      <c r="AA557" s="1" t="e">
        <f ca="1">_xll.BDH($C$553,"INVENTORY_GROWTH","FQ4 2014","FQ4 2014","Currency=INR","Period=FQ","BEST_FPERIOD_OVERRIDE=FQ","FILING_STATUS=OR","EQY_CONSOLIDATED=Y","Sort=A","Dates=H","DateFormat=P","Fill=—","Direction=H","UseDPDF=Y")</f>
        <v>#NAME?</v>
      </c>
      <c r="AB557" s="1" t="e">
        <f ca="1">_xll.BDH($C$553,"NET_FIXED_ASSETS_1_YEAR_GROWTH","FQ4 2014","FQ4 2014","Currency=INR","Period=FQ","BEST_FPERIOD_OVERRIDE=FQ","FILING_STATUS=OR","EQY_CONSOLIDATED=Y","Sort=A","Dates=H","DateFormat=P","Fill=—","Direction=H","UseDPDF=Y")</f>
        <v>#NAME?</v>
      </c>
      <c r="AC557" s="1" t="e">
        <f ca="1">_xll.BDH($C$553,"ASSET_GROWTH","FQ4 2014","FQ4 2014","Currency=INR","Period=FQ","BEST_FPERIOD_OVERRIDE=FQ","FILING_STATUS=OR","EQY_CONSOLIDATED=Y","Sort=A","Dates=H","DateFormat=P","Fill=—","Direction=H","UseDPDF=Y")</f>
        <v>#NAME?</v>
      </c>
      <c r="AD557" s="1" t="e">
        <f ca="1">_xll.BDH($C$553,"MODIFIED_WORK_CAP_GROWTH","FQ4 2014","FQ4 2014","Currency=INR","Period=FQ","BEST_FPERIOD_OVERRIDE=FQ","FILING_STATUS=OR","EQY_CONSOLIDATED=Y","Sort=A","Dates=H","DateFormat=P","Fill=—","Direction=H","UseDPDF=Y")</f>
        <v>#NAME?</v>
      </c>
      <c r="AE557" s="1" t="e">
        <f ca="1">_xll.BDH($C$553,"WORK_CAP_GROWTH","FQ4 2014","FQ4 2014","Currency=INR","Period=FQ","BEST_FPERIOD_OVERRIDE=FQ","FILING_STATUS=OR","EQY_CONSOLIDATED=Y","Sort=A","Dates=H","DateFormat=P","Fill=—","Direction=H","UseDPDF=Y")</f>
        <v>#NAME?</v>
      </c>
      <c r="AF557" s="1" t="e">
        <f ca="1">_xll.BDH($C$553,"ACCOUNTS_PAYABLE_GROWTH_1YR","FQ4 2014","FQ4 2014","Currency=INR","Period=FQ","BEST_FPERIOD_OVERRIDE=FQ","FILING_STATUS=OR","EQY_CONSOLIDATED=Y","Sort=A","Dates=H","DateFormat=P","Fill=—","Direction=H","UseDPDF=Y")</f>
        <v>#NAME?</v>
      </c>
      <c r="AG557" s="1" t="e">
        <f ca="1">_xll.BDH($C$553,"SHORT_TERM_DEBT_1_YEAR_GROWTH","FQ4 2014","FQ4 2014","Currency=INR","Period=FQ","BEST_FPERIOD_OVERRIDE=FQ","FILING_STATUS=OR","EQY_CONSOLIDATED=Y","Sort=A","Dates=H","DateFormat=P","Fill=—","Direction=H","UseDPDF=Y")</f>
        <v>#NAME?</v>
      </c>
      <c r="AH557" s="1" t="e">
        <f ca="1">_xll.BDH($C$553,"TOTAL_DEBT_1_YEAR_GROWTH","FQ4 2014","FQ4 2014","Currency=INR","Period=FQ","BEST_FPERIOD_OVERRIDE=FQ","FILING_STATUS=OR","EQY_CONSOLIDATED=Y","Sort=A","Dates=H","DateFormat=P","Fill=—","Direction=H","UseDPDF=Y")</f>
        <v>#NAME?</v>
      </c>
      <c r="AI557" s="1" t="e">
        <f ca="1">_xll.BDH($C$553,"TOTAL_EQUITY_1_YEAR_GROWTH","FQ4 2014","FQ4 2014","Currency=INR","Period=FQ","BEST_FPERIOD_OVERRIDE=FQ","FILING_STATUS=OR","EQY_CONSOLIDATED=Y","Sort=A","Dates=H","DateFormat=P","Fill=—","Direction=H","UseDPDF=Y")</f>
        <v>#NAME?</v>
      </c>
      <c r="AJ557" s="1" t="e">
        <f ca="1">_xll.BDH($C$553,"GROWTH_IN_CAP","FQ4 2014","FQ4 2014","Currency=INR","Period=FQ","BEST_FPERIOD_OVERRIDE=FQ","FILING_STATUS=OR","EQY_CONSOLIDATED=Y","Sort=A","Dates=H","DateFormat=P","Fill=—","Direction=H","UseDPDF=Y")</f>
        <v>#NAME?</v>
      </c>
      <c r="AK557" s="1" t="e">
        <f ca="1">_xll.BDH($C$553,"BVPS_GROWTH","FQ4 2014","FQ4 2014","Currency=INR","Period=FQ","BEST_FPERIOD_OVERRIDE=FQ","FILING_STATUS=OR","EQY_CONSOLIDATED=Y","Sort=A","Dates=H","DateFormat=P","Fill=—","Direction=H","UseDPDF=Y")</f>
        <v>#NAME?</v>
      </c>
      <c r="AL557" s="1" t="e">
        <f ca="1">_xll.BDH($C$553,"CASH_FLOW_GROWTH","FQ4 2014","FQ4 2014","Currency=INR","Period=FQ","BEST_FPERIOD_OVERRIDE=FQ","FILING_STATUS=OR","EQY_CONSOLIDATED=Y","Sort=A","Dates=H","DateFormat=P","Fill=—","Direction=H","UseDPDF=Y")</f>
        <v>#NAME?</v>
      </c>
      <c r="AM557" s="1" t="e">
        <f ca="1">_xll.BDH($C$553,"GEO_GROW_NET_SALES","FQ4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57" s="1" t="e">
        <f ca="1">_xll.BDH($C$553,"GEO_GROW_EBITDA","FQ4 2014","FQ4 2014","Currency=INR","Period=FQ","BEST_FPERIOD_OVERRIDE=FQ","FILING_STATUS=OR","EQY_CONSOLIDATED=Y","FA_ADJUSTED=GAAP","Sort=A","Dates=H","DateFormat=P","Fill=—","Direction=H","UseDPDF=Y")</f>
        <v>#NAME?</v>
      </c>
      <c r="AO557" s="1" t="e">
        <f ca="1">_xll.BDH($C$553,"GEO_GROW_OPER_INC","FQ4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57" s="1" t="e">
        <f ca="1">_xll.BDH($C$553,"NET_INCOME_TO_COMMON_5_YR_GROWTH","FQ4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57" s="1" t="e">
        <f ca="1">_xll.BDH($C$553,"5Y_GEO_GROWTH_DILUTED_EPS","FQ4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57" s="1" t="e">
        <f ca="1">_xll.BDH($C$553,"GEO_GROW_DVD_PER_SH","FQ4 2014","FQ4 2014","Currency=INR","Period=FQ","BEST_FPERIOD_OVERRIDE=FQ","FILING_STATUS=OR","EQY_CONSOLIDATED=Y","Sort=A","Dates=H","DateFormat=P","Fill=—","Direction=H","UseDPDF=Y")</f>
        <v>#NAME?</v>
      </c>
      <c r="AS557" s="1" t="e">
        <f ca="1">_xll.BDH($C$553,"ACCOUNTS_RECEIVABLE_5_YR_GROWTH","FQ4 2014","FQ4 2014","Currency=INR","Period=FQ","BEST_FPERIOD_OVERRIDE=FQ","FILING_STATUS=OR","EQY_CONSOLIDATED=Y","Sort=A","Dates=H","DateFormat=P","Fill=—","Direction=H","UseDPDF=Y")</f>
        <v>#NAME?</v>
      </c>
      <c r="AT557" s="1" t="e">
        <f ca="1">_xll.BDH($C$553,"INVENTORY_5_YEAR_GROWTH","FQ4 2014","FQ4 2014","Currency=INR","Period=FQ","BEST_FPERIOD_OVERRIDE=FQ","FILING_STATUS=OR","EQY_CONSOLIDATED=Y","Sort=A","Dates=H","DateFormat=P","Fill=—","Direction=H","UseDPDF=Y")</f>
        <v>#NAME?</v>
      </c>
      <c r="AU557" s="1" t="e">
        <f ca="1">_xll.BDH($C$553,"NET_FIXED_ASSETS_5_YEAR_GROWTH","FQ4 2014","FQ4 2014","Currency=INR","Period=FQ","BEST_FPERIOD_OVERRIDE=FQ","FILING_STATUS=OR","EQY_CONSOLIDATED=Y","Sort=A","Dates=H","DateFormat=P","Fill=—","Direction=H","UseDPDF=Y")</f>
        <v>#NAME?</v>
      </c>
      <c r="AV557" s="1" t="e">
        <f ca="1">_xll.BDH($C$553,"GEO_GROW_TOT_ASSET","FQ4 2014","FQ4 2014","Currency=INR","Period=FQ","BEST_FPERIOD_OVERRIDE=FQ","FILING_STATUS=OR","EQY_CONSOLIDATED=Y","Sort=A","Dates=H","DateFormat=P","Fill=—","Direction=H","UseDPDF=Y")</f>
        <v>#NAME?</v>
      </c>
      <c r="AW557" s="1" t="e">
        <f ca="1">_xll.BDH($C$553,"MODIFIED_WORKING_CPTL_5YR_GRWTH","FQ4 2014","FQ4 2014","Currency=INR","Period=FQ","BEST_FPERIOD_OVERRIDE=FQ","FILING_STATUS=OR","EQY_CONSOLIDATED=Y","Sort=A","Dates=H","DateFormat=P","Fill=—","Direction=H","UseDPDF=Y")</f>
        <v>#NAME?</v>
      </c>
      <c r="AX557" s="1" t="e">
        <f ca="1">_xll.BDH($C$553,"WORKING_CAPITAL_5_YEAR_GROWTH","FQ4 2014","FQ4 2014","Currency=INR","Period=FQ","BEST_FPERIOD_OVERRIDE=FQ","FILING_STATUS=OR","EQY_CONSOLIDATED=Y","Sort=A","Dates=H","DateFormat=P","Fill=—","Direction=H","UseDPDF=Y")</f>
        <v>#NAME?</v>
      </c>
      <c r="AY557" s="1" t="e">
        <f ca="1">_xll.BDH($C$553,"ACCOUNTS_PAYABLE_5_YEAR_GROWTH","FQ4 2014","FQ4 2014","Currency=INR","Period=FQ","BEST_FPERIOD_OVERRIDE=FQ","FILING_STATUS=OR","EQY_CONSOLIDATED=Y","Sort=A","Dates=H","DateFormat=P","Fill=—","Direction=H","UseDPDF=Y")</f>
        <v>#NAME?</v>
      </c>
      <c r="AZ557" s="1" t="e">
        <f ca="1">_xll.BDH($C$553,"SHORT_TERM_DEBT_5_YEAR_GROWTH","FQ4 2014","FQ4 2014","Currency=INR","Period=FQ","BEST_FPERIOD_OVERRIDE=FQ","FILING_STATUS=OR","EQY_CONSOLIDATED=Y","Sort=A","Dates=H","DateFormat=P","Fill=—","Direction=H","UseDPDF=Y")</f>
        <v>#NAME?</v>
      </c>
      <c r="BA557" s="1" t="e">
        <f ca="1">_xll.BDH($C$553,"TOTAL_DEBT_5_YEAR_GROWTH","FQ4 2014","FQ4 2014","Currency=INR","Period=FQ","BEST_FPERIOD_OVERRIDE=FQ","FILING_STATUS=OR","EQY_CONSOLIDATED=Y","Sort=A","Dates=H","DateFormat=P","Fill=—","Direction=H","UseDPDF=Y")</f>
        <v>#NAME?</v>
      </c>
      <c r="BB557" s="1" t="e">
        <f ca="1">_xll.BDH($C$553,"GEO_GROW_TOT_SHRHLDR_EQY","FQ4 2014","FQ4 2014","Currency=INR","Period=FQ","BEST_FPERIOD_OVERRIDE=FQ","FILING_STATUS=OR","EQY_CONSOLIDATED=Y","Sort=A","Dates=H","DateFormat=P","Fill=—","Direction=H","UseDPDF=Y")</f>
        <v>#NAME?</v>
      </c>
      <c r="BC557" s="1" t="e">
        <f ca="1">_xll.BDH($C$553,"TOTAL_CAPITAL_5_YEAR_GROWTH","FQ4 2014","FQ4 2014","Currency=INR","Period=FQ","BEST_FPERIOD_OVERRIDE=FQ","FILING_STATUS=OR","EQY_CONSOLIDATED=Y","Sort=A","Dates=H","DateFormat=P","Fill=—","Direction=H","UseDPDF=Y")</f>
        <v>#NAME?</v>
      </c>
      <c r="BD557" s="1" t="e">
        <f ca="1">_xll.BDH($C$553,"GEO_GROW_BOOK_VAL","FQ4 2014","FQ4 2014","Currency=INR","Period=FQ","BEST_FPERIOD_OVERRIDE=FQ","FILING_STATUS=OR","EQY_CONSOLIDATED=Y","Sort=A","Dates=H","DateFormat=P","Fill=—","Direction=H","UseDPDF=Y")</f>
        <v>#NAME?</v>
      </c>
      <c r="BE557" s="1" t="e">
        <f ca="1">_xll.BDH($C$553,"GEO_GROW_CASH_OPER_ACT","FQ4 2014","FQ4 2014","Currency=INR","Period=FQ","BEST_FPERIOD_OVERRIDE=FQ","FILING_STATUS=OR","EQY_CONSOLIDATED=Y","Sort=A","Dates=H","DateFormat=P","Fill=—","Direction=H","UseDPDF=Y")</f>
        <v>#NAME?</v>
      </c>
      <c r="BF557" s="1" t="e">
        <f ca="1">_xll.BDH($C$553,"REVENUE_SEQUENTIAL_GROWTH","FQ4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57" s="1" t="e">
        <f ca="1">_xll.BDH($C$553,"EBITDA_SEQUENTIAL_GROWTH","FQ4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57" s="1" t="e">
        <f ca="1">_xll.BDH($C$553,"OPERATING_INCOME_SEQ_GROWTH","FQ4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57" s="1" t="e">
        <f ca="1">_xll.BDH($C$553,"NET_INCOME_TO_COMMON_SEQ_GROWTH","FQ4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57" s="1" t="e">
        <f ca="1">_xll.BDH($C$553,"EPS_DILUTED_SEQUENTIAL_GROWTH","FQ4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57" s="1" t="e">
        <f ca="1">_xll.BDH($C$553,"DPS_SEQUENTIAL_GROWTH","FQ4 2014","FQ4 2014","Currency=INR","Period=FQ","BEST_FPERIOD_OVERRIDE=FQ","FILING_STATUS=OR","EQY_CONSOLIDATED=Y","Sort=A","Dates=H","DateFormat=P","Fill=—","Direction=H","UseDPDF=Y")</f>
        <v>#NAME?</v>
      </c>
      <c r="BL557" s="1" t="e">
        <f ca="1">_xll.BDH($C$553,"ACCOUNTS_RECEIVABLE_SEQ_GROWTH","FQ4 2014","FQ4 2014","Currency=INR","Period=FQ","BEST_FPERIOD_OVERRIDE=FQ","FILING_STATUS=OR","EQY_CONSOLIDATED=Y","Sort=A","Dates=H","DateFormat=P","Fill=—","Direction=H","UseDPDF=Y")</f>
        <v>#NAME?</v>
      </c>
      <c r="BM557" s="1" t="e">
        <f ca="1">_xll.BDH($C$553,"INVENTORY_SEQUENTIAL_GROWTH","FQ4 2014","FQ4 2014","Currency=INR","Period=FQ","BEST_FPERIOD_OVERRIDE=FQ","FILING_STATUS=OR","EQY_CONSOLIDATED=Y","Sort=A","Dates=H","DateFormat=P","Fill=—","Direction=H","UseDPDF=Y")</f>
        <v>#NAME?</v>
      </c>
      <c r="BN557" s="1" t="e">
        <f ca="1">_xll.BDH($C$553,"FIXED_ASSETS_SEQUENTIAL_GROWTH","FQ4 2014","FQ4 2014","Currency=INR","Period=FQ","BEST_FPERIOD_OVERRIDE=FQ","FILING_STATUS=OR","EQY_CONSOLIDATED=Y","Sort=A","Dates=H","DateFormat=P","Fill=—","Direction=H","UseDPDF=Y")</f>
        <v>#NAME?</v>
      </c>
      <c r="BO557" s="1" t="e">
        <f ca="1">_xll.BDH($C$553,"TOTAL_ASSETS_SEQUENTIAL_GROWTH","FQ4 2014","FQ4 2014","Currency=INR","Period=FQ","BEST_FPERIOD_OVERRIDE=FQ","FILING_STATUS=OR","EQY_CONSOLIDATED=Y","Sort=A","Dates=H","DateFormat=P","Fill=—","Direction=H","UseDPDF=Y")</f>
        <v>#NAME?</v>
      </c>
      <c r="BP557" s="1" t="e">
        <f ca="1">_xll.BDH($C$553,"MODIFIED_WORKING_CPTL_SEQ_GRWTH","FQ4 2014","FQ4 2014","Currency=INR","Period=FQ","BEST_FPERIOD_OVERRIDE=FQ","FILING_STATUS=OR","EQY_CONSOLIDATED=Y","Sort=A","Dates=H","DateFormat=P","Fill=—","Direction=H","UseDPDF=Y")</f>
        <v>#NAME?</v>
      </c>
      <c r="BQ557" s="1" t="e">
        <f ca="1">_xll.BDH($C$553,"WORKING_CAPITAL_SEQ_GROWTH","FQ4 2014","FQ4 2014","Currency=INR","Period=FQ","BEST_FPERIOD_OVERRIDE=FQ","FILING_STATUS=OR","EQY_CONSOLIDATED=Y","Sort=A","Dates=H","DateFormat=P","Fill=—","Direction=H","UseDPDF=Y")</f>
        <v>#NAME?</v>
      </c>
      <c r="BR557" s="1" t="e">
        <f ca="1">_xll.BDH($C$553,"ACCOUNTS_PAYABLE_SEQ_GROWTH","FQ4 2014","FQ4 2014","Currency=INR","Period=FQ","BEST_FPERIOD_OVERRIDE=FQ","FILING_STATUS=OR","EQY_CONSOLIDATED=Y","Sort=A","Dates=H","DateFormat=P","Fill=—","Direction=H","UseDPDF=Y")</f>
        <v>#NAME?</v>
      </c>
      <c r="BS557" s="1" t="e">
        <f ca="1">_xll.BDH($C$553,"ST_DEBT_SEQUENTIAL_GROWTH","FQ4 2014","FQ4 2014","Currency=INR","Period=FQ","BEST_FPERIOD_OVERRIDE=FQ","FILING_STATUS=OR","EQY_CONSOLIDATED=Y","Sort=A","Dates=H","DateFormat=P","Fill=—","Direction=H","UseDPDF=Y")</f>
        <v>#NAME?</v>
      </c>
      <c r="BT557" s="1" t="e">
        <f ca="1">_xll.BDH($C$553,"TOTAL_DEBT_SEQUENTIAL_GROWTH","FQ4 2014","FQ4 2014","Currency=INR","Period=FQ","BEST_FPERIOD_OVERRIDE=FQ","FILING_STATUS=OR","EQY_CONSOLIDATED=Y","Sort=A","Dates=H","DateFormat=P","Fill=—","Direction=H","UseDPDF=Y")</f>
        <v>#NAME?</v>
      </c>
      <c r="BU557" s="1" t="e">
        <f ca="1">_xll.BDH($C$553,"TOTAL_EQUITY_SEQUENTIAL_GROWTH","FQ4 2014","FQ4 2014","Currency=INR","Period=FQ","BEST_FPERIOD_OVERRIDE=FQ","FILING_STATUS=OR","EQY_CONSOLIDATED=Y","Sort=A","Dates=H","DateFormat=P","Fill=—","Direction=H","UseDPDF=Y")</f>
        <v>#NAME?</v>
      </c>
      <c r="BV557" s="1" t="e">
        <f ca="1">_xll.BDH($C$553,"TOTAL_CAPITAL_SEQUENTIAL_GROWTH","FQ4 2014","FQ4 2014","Currency=INR","Period=FQ","BEST_FPERIOD_OVERRIDE=FQ","FILING_STATUS=OR","EQY_CONSOLIDATED=Y","Sort=A","Dates=H","DateFormat=P","Fill=—","Direction=H","UseDPDF=Y")</f>
        <v>#NAME?</v>
      </c>
      <c r="BW557" s="1" t="e">
        <f ca="1">_xll.BDH($C$553,"BPS_SEQUENTIAL_GROWTH","FQ4 2014","FQ4 2014","Currency=INR","Period=FQ","BEST_FPERIOD_OVERRIDE=FQ","FILING_STATUS=OR","EQY_CONSOLIDATED=Y","Sort=A","Dates=H","DateFormat=P","Fill=—","Direction=H","UseDPDF=Y")</f>
        <v>#NAME?</v>
      </c>
      <c r="BX557" s="1" t="e">
        <f ca="1">_xll.BDH($C$553,"CFO_SEQUENTIAL_GROWTH","FQ4 2014","FQ4 2014","Currency=INR","Period=FQ","BEST_FPERIOD_OVERRIDE=FQ","FILING_STATUS=OR","EQY_CONSOLIDATED=Y","Sort=A","Dates=H","DateFormat=P","Fill=—","Direction=H","UseDPDF=Y")</f>
        <v>#NAME?</v>
      </c>
      <c r="BY557" s="2" t="e">
        <f ca="1">_xll.BDH($C$553,"SHORT_AND_LONG_TERM_DEBT","FQ4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57" s="2" t="e">
        <f ca="1">_xll.BDH($C$553,"BS_ST_BORROW","FQ4 2014","FQ4 2014","Currency=INR","Period=FQ","BEST_FPERIOD_OVERRIDE=FQ","FILING_STATUS=OR","EQY_CONSOLIDATED=Y","SCALING_FORMAT=MLN","Sort=A","Dates=H","DateFormat=P","Fill=—","Direction=H","UseDPDF=Y")</f>
        <v>#NAME?</v>
      </c>
      <c r="CA557" s="2" t="e">
        <f ca="1">_xll.BDH($C$553,"BS_LT_BORROW","FQ4 2014","FQ4 2014","Currency=INR","Period=FQ","BEST_FPERIOD_OVERRIDE=FQ","FILING_STATUS=OR","EQY_CONSOLIDATED=Y","SCALING_FORMAT=MLN","Sort=A","Dates=H","DateFormat=P","Fill=—","Direction=H","UseDPDF=Y")</f>
        <v>#NAME?</v>
      </c>
      <c r="CB557" s="1" t="e">
        <f ca="1">_xll.BDH($C$553,"TOT_DEBT_TO_EBITDA","FQ4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57" s="1" t="e">
        <f ca="1">_xll.BDH($C$553,"NET_DEBT_TO_EBITDA","FQ4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57" s="1" t="e">
        <f ca="1">_xll.BDH($C$553,"TOTAL_DEBT_TO_EBIT","FQ4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57" s="1" t="e">
        <f ca="1">_xll.BDH($C$553,"NET_DEBT_TO_EBIT","FQ4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557" s="1" t="e">
        <f ca="1">_xll.BDH($C$553,"EBITDA_TO_INTEREST_EXPN","FQ4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57" s="1" t="e">
        <f ca="1">_xll.BDH($C$553,"COM_EQY_TO_TOT_ASSET","FQ4 2014","FQ4 2014","Currency=INR","Period=FQ","BEST_FPERIOD_OVERRIDE=FQ","FILING_STATUS=OR","EQY_CONSOLIDATED=Y","Sort=A","Dates=H","DateFormat=P","Fill=—","Direction=H","UseDPDF=Y")</f>
        <v>#NAME?</v>
      </c>
      <c r="CH557" s="1" t="e">
        <f ca="1">_xll.BDH($C$553,"LT_DEBT_TO_TOT_EQY","FQ4 2014","FQ4 2014","Currency=INR","Period=FQ","BEST_FPERIOD_OVERRIDE=FQ","FILING_STATUS=OR","EQY_CONSOLIDATED=Y","Sort=A","Dates=H","DateFormat=P","Fill=—","Direction=H","UseDPDF=Y")</f>
        <v>#NAME?</v>
      </c>
      <c r="CI557" s="1" t="e">
        <f ca="1">_xll.BDH($C$553,"LT_DEBT_TO_TOT_CAP","FQ4 2014","FQ4 2014","Currency=INR","Period=FQ","BEST_FPERIOD_OVERRIDE=FQ","FILING_STATUS=OR","EQY_CONSOLIDATED=Y","Sort=A","Dates=H","DateFormat=P","Fill=—","Direction=H","UseDPDF=Y")</f>
        <v>#NAME?</v>
      </c>
      <c r="CJ557" s="1" t="e">
        <f ca="1">_xll.BDH($C$553,"LT_DEBT_TO_TOT_ASSET","FQ4 2014","FQ4 2014","Currency=INR","Period=FQ","BEST_FPERIOD_OVERRIDE=FQ","FILING_STATUS=OR","EQY_CONSOLIDATED=Y","Sort=A","Dates=H","DateFormat=P","Fill=—","Direction=H","UseDPDF=Y")</f>
        <v>#NAME?</v>
      </c>
      <c r="CK557" s="1" t="e">
        <f ca="1">_xll.BDH($C$553,"TOT_DEBT_TO_TOT_EQY","FQ4 2014","FQ4 2014","Currency=INR","Period=FQ","BEST_FPERIOD_OVERRIDE=FQ","FILING_STATUS=OR","EQY_CONSOLIDATED=Y","Sort=A","Dates=H","DateFormat=P","Fill=—","Direction=H","UseDPDF=Y")</f>
        <v>#NAME?</v>
      </c>
      <c r="CL557" s="1" t="e">
        <f ca="1">_xll.BDH($C$553,"TOT_DEBT_TO_TOT_CAP","FQ4 2014","FQ4 2014","Currency=INR","Period=FQ","BEST_FPERIOD_OVERRIDE=FQ","FILING_STATUS=OR","EQY_CONSOLIDATED=Y","Sort=A","Dates=H","DateFormat=P","Fill=—","Direction=H","UseDPDF=Y")</f>
        <v>#NAME?</v>
      </c>
      <c r="CM557" s="1" t="e">
        <f ca="1">_xll.BDH($C$553,"TOT_DEBT_TO_TOT_ASSET","FQ4 2014","FQ4 2014","Currency=INR","Period=FQ","BEST_FPERIOD_OVERRIDE=FQ","FILING_STATUS=OR","EQY_CONSOLIDATED=Y","Sort=A","Dates=H","DateFormat=P","Fill=—","Direction=H","UseDPDF=Y")</f>
        <v>#NAME?</v>
      </c>
      <c r="CN557" s="1" t="e">
        <f ca="1">_xll.BDH($C$553,"NET_DEBT_TO_SHRHLDR_EQTY","FQ4 2014","FQ4 2014","Currency=INR","Period=FQ","BEST_FPERIOD_OVERRIDE=FQ","FILING_STATUS=OR","EQY_CONSOLIDATED=Y","Sort=A","Dates=H","DateFormat=P","Fill=—","Direction=H","UseDPDF=Y")</f>
        <v>#NAME?</v>
      </c>
      <c r="CO557" s="1" t="e">
        <f ca="1">_xll.BDH($C$553,"NET_DEBT_%_CAPITAL","FQ4 2014","FQ4 2014","Currency=INR","Period=FQ","BEST_FPERIOD_OVERRIDE=FQ","FILING_STATUS=OR","EQY_CONSOLIDATED=Y","Sort=A","Dates=H","DateFormat=P","Fill=—","Direction=H","UseDPDF=Y")</f>
        <v>#NAME?</v>
      </c>
      <c r="CP557" s="2" t="e">
        <f ca="1">_xll.BDH($C$553,"EBITDA","FQ4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57" s="2" t="e">
        <f ca="1">_xll.BDH($C$553,"EBITDA_AFTER_CAPEX","FQ4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57" s="2" t="e">
        <f ca="1">_xll.BDH($C$553,"IS_OPER_INC","FQ4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57" s="1" t="e">
        <f ca="1">_xll.BDH($C$553,"CASH_RATIO","FQ4 2014","FQ4 2014","Currency=INR","Period=FQ","BEST_FPERIOD_OVERRIDE=FQ","FILING_STATUS=OR","EQY_CONSOLIDATED=Y","Sort=A","Dates=H","DateFormat=P","Fill=—","Direction=H","UseDPDF=Y")</f>
        <v>#NAME?</v>
      </c>
      <c r="CT557" s="1" t="e">
        <f ca="1">_xll.BDH($C$553,"CUR_RATIO","FQ4 2014","FQ4 2014","Currency=INR","Period=FQ","BEST_FPERIOD_OVERRIDE=FQ","FILING_STATUS=OR","EQY_CONSOLIDATED=Y","Sort=A","Dates=H","DateFormat=P","Fill=—","Direction=H","UseDPDF=Y")</f>
        <v>#NAME?</v>
      </c>
      <c r="CU557" s="1" t="e">
        <f ca="1">_xll.BDH($C$553,"QUICK_RATIO","FQ4 2014","FQ4 2014","Currency=INR","Period=FQ","BEST_FPERIOD_OVERRIDE=FQ","FILING_STATUS=OR","EQY_CONSOLIDATED=Y","Sort=A","Dates=H","DateFormat=P","Fill=—","Direction=H","UseDPDF=Y")</f>
        <v>#NAME?</v>
      </c>
      <c r="CV557" s="1" t="e">
        <f ca="1">_xll.BDH($C$553,"ALTMAN_Z_SCORE","FQ4 2014","FQ4 2014","Currency=INR","Period=FQ","BEST_FPERIOD_OVERRIDE=FQ","FILING_STATUS=OR","EQY_CONSOLIDATED=Y","Sort=A","Dates=H","DateFormat=P","Fill=—","Direction=H","UseDPDF=Y")</f>
        <v>#NAME?</v>
      </c>
      <c r="CW557" s="3" t="e">
        <f ca="1">_xll.BDH($C$553,"ACCT_RCV_TURN","FQ4 2014","FQ4 2014","Currency=INR","Period=FQ","BEST_FPERIOD_OVERRIDE=FQ","FILING_STATUS=OR","EQY_CONSOLIDATED=Y","FA_ADJUSTED=GAAP","Sort=A","Dates=H","DateFormat=P","Fill=—","Direction=H","UseDPDF=Y")</f>
        <v>#NAME?</v>
      </c>
      <c r="CX557" s="1" t="e">
        <f ca="1">_xll.BDH($C$553,"ACCT_RCV_DAYS","FQ4 2014","FQ4 2014","Currency=INR","Period=FQ","BEST_FPERIOD_OVERRIDE=FQ","FILING_STATUS=OR","EQY_CONSOLIDATED=Y","FA_ADJUSTED=GAAP","Sort=A","Dates=H","DateFormat=P","Fill=—","Direction=H","UseDPDF=Y")</f>
        <v>#NAME?</v>
      </c>
      <c r="CY557" s="3" t="e">
        <f ca="1">_xll.BDH($C$553,"INVENT_TURN","FQ4 2014","FQ4 2014","Currency=INR","Period=FQ","BEST_FPERIOD_OVERRIDE=FQ","FILING_STATUS=OR","EQY_CONSOLIDATED=Y","FA_ADJUSTED=GAAP","Sort=A","Dates=H","DateFormat=P","Fill=—","Direction=H","UseDPDF=Y")</f>
        <v>#NAME?</v>
      </c>
      <c r="CZ557" s="1" t="e">
        <f ca="1">_xll.BDH($C$553,"INVENT_DAYS","FQ4 2014","FQ4 2014","Currency=INR","Period=FQ","BEST_FPERIOD_OVERRIDE=FQ","FILING_STATUS=OR","EQY_CONSOLIDATED=Y","FA_ADJUSTED=GAAP","Sort=A","Dates=H","DateFormat=P","Fill=—","Direction=H","UseDPDF=Y")</f>
        <v>#NAME?</v>
      </c>
      <c r="DA557" s="3" t="e">
        <f ca="1">_xll.BDH($C$553,"ACCOUNTS_PAYABLE_TURNOVER","FQ4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57" s="1" t="e">
        <f ca="1">_xll.BDH($C$553,"ACCOUNTS_PAYABLE_TURNOVER_DAYS","FQ4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57" s="3" t="e">
        <f ca="1">_xll.BDH($C$553,"CASH_CONVERSION_CYCLE","FQ4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57" s="3" t="e">
        <f ca="1">_xll.BDH($C$553,"INV_TO_CASH_DAYS","FQ4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557" s="4" t="e">
        <f ca="1">_xll.BDH($C$553,"BS_INVENTORIES","FQ4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557" s="2" t="e">
        <f ca="1">_xll.BDH($C$553,"INVTRY_RAW_MATERIALS","FQ4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57" s="2" t="e">
        <f ca="1">_xll.BDH($C$553,"INVTRY_IN_PROGRESS","FQ4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57" s="2" t="e">
        <f ca="1">_xll.BDH($C$553,"INVTRY_FINISHED_GOODS","FQ4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57" s="2" t="e">
        <f ca="1">_xll.BDH($C$553,"BS_OTHER_INV","FQ4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58" spans="1:113" x14ac:dyDescent="0.3">
      <c r="A558" s="6"/>
      <c r="B558" s="6"/>
      <c r="C558" s="6"/>
      <c r="D558" s="6" t="s">
        <v>8</v>
      </c>
      <c r="E558" t="s">
        <v>3</v>
      </c>
      <c r="F558" t="e">
        <f ca="1">_xll.BDH($C$553,"RETURN_COM_EQY","FY 2015","FY 2015","Currency=INR","Period=FY","BEST_FPERIOD_OVERRIDE=FY","FILING_STATUS=OR","EQY_CONSOLIDATED=Y","FA_ADJUSTED=GAAP","Sort=A","Dates=H","DateFormat=P","Fill=—","Direction=H","UseDPDF=Y")</f>
        <v>#NAME?</v>
      </c>
      <c r="G558" t="e">
        <f ca="1">_xll.BDH($C$553,"RETURN_ON_ASSET","FY 2015","FY 2015","Currency=INR","Period=FY","BEST_FPERIOD_OVERRIDE=FY","FILING_STATUS=OR","EQY_CONSOLIDATED=Y","FA_ADJUSTED=GAAP","Sort=A","Dates=H","DateFormat=P","Fill=—","Direction=H","UseDPDF=Y")</f>
        <v>#NAME?</v>
      </c>
      <c r="H558" t="e">
        <f ca="1">_xll.BDH($C$553,"RETURN_ON_CAP","FY 2015","FY 2015","Currency=INR","Period=FY","BEST_FPERIOD_OVERRIDE=FY","FILING_STATUS=OR","EQY_CONSOLIDATED=Y","FA_ADJUSTED=GAAP","Sort=A","Dates=H","DateFormat=P","Fill=—","Direction=H","UseDPDF=Y")</f>
        <v>#NAME?</v>
      </c>
      <c r="I558" t="e">
        <f ca="1">_xll.BDH($C$553,"RETURN_ON_INV_CAPITAL","FY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58" t="e">
        <f ca="1">_xll.BDH($C$553,"EBITDA_TO_REVENUE","FY 2015","FY 2015","Currency=INR","Period=FY","BEST_FPERIOD_OVERRIDE=FY","FILING_STATUS=OR","EQY_CONSOLIDATED=Y","FA_ADJUSTED=GAAP","Sort=A","Dates=H","DateFormat=P","Fill=—","Direction=H","UseDPDF=Y")</f>
        <v>#NAME?</v>
      </c>
      <c r="K558" t="e">
        <f ca="1">_xll.BDH($C$553,"OPER_MARGIN","FY 2015","FY 2015","Currency=INR","Period=FY","BEST_FPERIOD_OVERRIDE=FY","FILING_STATUS=OR","EQY_CONSOLIDATED=Y","FA_ADJUSTED=GAAP","Sort=A","Dates=H","DateFormat=P","Fill=—","Direction=H","UseDPDF=Y")</f>
        <v>#NAME?</v>
      </c>
      <c r="L558" t="e">
        <f ca="1">_xll.BDH($C$553,"INCREMENTAL_OPERATING_MARGIN","FY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58" t="e">
        <f ca="1">_xll.BDH($C$553,"PRETAX_INC_TO_NET_SALES","FY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58" t="e">
        <f ca="1">_xll.BDH($C$553,"INC_BEF_XO_ITEMS_TO_NET_SALES","FY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58" t="e">
        <f ca="1">_xll.BDH($C$553,"PROF_MARGIN","FY 2015","FY 2015","Currency=INR","Period=FY","BEST_FPERIOD_OVERRIDE=FY","FILING_STATUS=OR","EQY_CONSOLIDATED=Y","FA_ADJUSTED=GAAP","Sort=A","Dates=H","DateFormat=P","Fill=—","Direction=H","UseDPDF=Y")</f>
        <v>#NAME?</v>
      </c>
      <c r="P558" t="e">
        <f ca="1">_xll.BDH($C$553,"NET_INCOME_TO_COMMON_MARGIN","FY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58" t="e">
        <f ca="1">_xll.BDH($C$553,"EFF_TAX_RATE","FY 2015","FY 2015","Currency=INR","Period=FY","BEST_FPERIOD_OVERRIDE=FY","FILING_STATUS=OR","EQY_CONSOLIDATED=Y","FA_ADJUSTED=GAAP","Sort=A","Dates=H","DateFormat=P","Fill=—","Direction=H","UseDPDF=Y")</f>
        <v>#NAME?</v>
      </c>
      <c r="R558" t="e">
        <f ca="1">_xll.BDH($C$553,"DVD_PAYOUT_RATIO","FY 2015","FY 2015","Currency=INR","Period=FY","BEST_FPERIOD_OVERRIDE=FY","FILING_STATUS=OR","EQY_CONSOLIDATED=Y","FA_ADJUSTED=GAAP","Sort=A","Dates=H","DateFormat=P","Fill=—","Direction=H","UseDPDF=Y")</f>
        <v>#NAME?</v>
      </c>
      <c r="S558" t="e">
        <f ca="1">_xll.BDH($C$553,"SUSTAIN_GROWTH_RT","FY 2015","FY 2015","Currency=INR","Period=FY","BEST_FPERIOD_OVERRIDE=FY","FILING_STATUS=OR","EQY_CONSOLIDATED=Y","FA_ADJUSTED=GAAP","Sort=A","Dates=H","DateFormat=P","Fill=—","Direction=H","UseDPDF=Y")</f>
        <v>#NAME?</v>
      </c>
      <c r="T558" s="1" t="e">
        <f ca="1">_xll.BDH($C$553,"SALES_GROWTH","FY 2015","FY 2015","Currency=INR","Period=FY","BEST_FPERIOD_OVERRIDE=FY","FILING_STATUS=OR","EQY_CONSOLIDATED=Y","FA_ADJUSTED=GAAP","Sort=A","Dates=H","DateFormat=P","Fill=—","Direction=H","UseDPDF=Y")</f>
        <v>#NAME?</v>
      </c>
      <c r="U558" s="1" t="e">
        <f ca="1">_xll.BDH($C$553,"EBITDA_GROWTH","FY 2015","FY 2015","Currency=INR","Period=FY","BEST_FPERIOD_OVERRIDE=FY","FILING_STATUS=OR","EQY_CONSOLIDATED=Y","FA_ADJUSTED=GAAP","Sort=A","Dates=H","DateFormat=P","Fill=—","Direction=H","UseDPDF=Y")</f>
        <v>#NAME?</v>
      </c>
      <c r="V558" s="1" t="e">
        <f ca="1">_xll.BDH($C$553,"OPER_INC_GROWTH","FY 2015","FY 2015","Currency=INR","Period=FY","BEST_FPERIOD_OVERRIDE=FY","FILING_STATUS=OR","EQY_CONSOLIDATED=Y","FA_ADJUSTED=GAAP","Sort=A","Dates=H","DateFormat=P","Fill=—","Direction=H","UseDPDF=Y")</f>
        <v>#NAME?</v>
      </c>
      <c r="W558" s="1" t="e">
        <f ca="1">_xll.BDH($C$553,"EARN_FOR_COM_GROWTH","FY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558" s="1" t="e">
        <f ca="1">_xll.BDH($C$553,"DILUTED_EPS_AFT_XO_ITEMS_GROWTH","FY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58" s="1" t="e">
        <f ca="1">_xll.BDH($C$553,"DIVIDEND_PER_SHARE_1_YEAR_GROWTH","FY 2015","FY 2015","Currency=INR","Period=FY","BEST_FPERIOD_OVERRIDE=FY","FILING_STATUS=OR","EQY_CONSOLIDATED=Y","Sort=A","Dates=H","DateFormat=P","Fill=—","Direction=H","UseDPDF=Y")</f>
        <v>#NAME?</v>
      </c>
      <c r="Z558" s="1" t="e">
        <f ca="1">_xll.BDH($C$553,"ACCOUNTS_RECEIVABLE_GROWTH","FY 2015","FY 2015","Currency=INR","Period=FY","BEST_FPERIOD_OVERRIDE=FY","FILING_STATUS=OR","EQY_CONSOLIDATED=Y","Sort=A","Dates=H","DateFormat=P","Fill=—","Direction=H","UseDPDF=Y")</f>
        <v>#NAME?</v>
      </c>
      <c r="AA558" s="1" t="e">
        <f ca="1">_xll.BDH($C$553,"INVENTORY_GROWTH","FY 2015","FY 2015","Currency=INR","Period=FY","BEST_FPERIOD_OVERRIDE=FY","FILING_STATUS=OR","EQY_CONSOLIDATED=Y","Sort=A","Dates=H","DateFormat=P","Fill=—","Direction=H","UseDPDF=Y")</f>
        <v>#NAME?</v>
      </c>
      <c r="AB558" s="1" t="e">
        <f ca="1">_xll.BDH($C$553,"NET_FIXED_ASSETS_1_YEAR_GROWTH","FY 2015","FY 2015","Currency=INR","Period=FY","BEST_FPERIOD_OVERRIDE=FY","FILING_STATUS=OR","EQY_CONSOLIDATED=Y","Sort=A","Dates=H","DateFormat=P","Fill=—","Direction=H","UseDPDF=Y")</f>
        <v>#NAME?</v>
      </c>
      <c r="AC558" s="1" t="e">
        <f ca="1">_xll.BDH($C$553,"ASSET_GROWTH","FY 2015","FY 2015","Currency=INR","Period=FY","BEST_FPERIOD_OVERRIDE=FY","FILING_STATUS=OR","EQY_CONSOLIDATED=Y","Sort=A","Dates=H","DateFormat=P","Fill=—","Direction=H","UseDPDF=Y")</f>
        <v>#NAME?</v>
      </c>
      <c r="AD558" s="1" t="e">
        <f ca="1">_xll.BDH($C$553,"MODIFIED_WORK_CAP_GROWTH","FY 2015","FY 2015","Currency=INR","Period=FY","BEST_FPERIOD_OVERRIDE=FY","FILING_STATUS=OR","EQY_CONSOLIDATED=Y","Sort=A","Dates=H","DateFormat=P","Fill=—","Direction=H","UseDPDF=Y")</f>
        <v>#NAME?</v>
      </c>
      <c r="AE558" s="1" t="e">
        <f ca="1">_xll.BDH($C$553,"WORK_CAP_GROWTH","FY 2015","FY 2015","Currency=INR","Period=FY","BEST_FPERIOD_OVERRIDE=FY","FILING_STATUS=OR","EQY_CONSOLIDATED=Y","Sort=A","Dates=H","DateFormat=P","Fill=—","Direction=H","UseDPDF=Y")</f>
        <v>#NAME?</v>
      </c>
      <c r="AF558" s="1" t="e">
        <f ca="1">_xll.BDH($C$553,"ACCOUNTS_PAYABLE_GROWTH_1YR","FY 2015","FY 2015","Currency=INR","Period=FY","BEST_FPERIOD_OVERRIDE=FY","FILING_STATUS=OR","EQY_CONSOLIDATED=Y","Sort=A","Dates=H","DateFormat=P","Fill=—","Direction=H","UseDPDF=Y")</f>
        <v>#NAME?</v>
      </c>
      <c r="AG558" s="1" t="e">
        <f ca="1">_xll.BDH($C$553,"SHORT_TERM_DEBT_1_YEAR_GROWTH","FY 2015","FY 2015","Currency=INR","Period=FY","BEST_FPERIOD_OVERRIDE=FY","FILING_STATUS=OR","EQY_CONSOLIDATED=Y","Sort=A","Dates=H","DateFormat=P","Fill=—","Direction=H","UseDPDF=Y")</f>
        <v>#NAME?</v>
      </c>
      <c r="AH558" s="1" t="e">
        <f ca="1">_xll.BDH($C$553,"TOTAL_DEBT_1_YEAR_GROWTH","FY 2015","FY 2015","Currency=INR","Period=FY","BEST_FPERIOD_OVERRIDE=FY","FILING_STATUS=OR","EQY_CONSOLIDATED=Y","Sort=A","Dates=H","DateFormat=P","Fill=—","Direction=H","UseDPDF=Y")</f>
        <v>#NAME?</v>
      </c>
      <c r="AI558" s="1" t="e">
        <f ca="1">_xll.BDH($C$553,"TOTAL_EQUITY_1_YEAR_GROWTH","FY 2015","FY 2015","Currency=INR","Period=FY","BEST_FPERIOD_OVERRIDE=FY","FILING_STATUS=OR","EQY_CONSOLIDATED=Y","Sort=A","Dates=H","DateFormat=P","Fill=—","Direction=H","UseDPDF=Y")</f>
        <v>#NAME?</v>
      </c>
      <c r="AJ558" s="1" t="e">
        <f ca="1">_xll.BDH($C$553,"GROWTH_IN_CAP","FY 2015","FY 2015","Currency=INR","Period=FY","BEST_FPERIOD_OVERRIDE=FY","FILING_STATUS=OR","EQY_CONSOLIDATED=Y","Sort=A","Dates=H","DateFormat=P","Fill=—","Direction=H","UseDPDF=Y")</f>
        <v>#NAME?</v>
      </c>
      <c r="AK558" s="1" t="e">
        <f ca="1">_xll.BDH($C$553,"BVPS_GROWTH","FY 2015","FY 2015","Currency=INR","Period=FY","BEST_FPERIOD_OVERRIDE=FY","FILING_STATUS=OR","EQY_CONSOLIDATED=Y","Sort=A","Dates=H","DateFormat=P","Fill=—","Direction=H","UseDPDF=Y")</f>
        <v>#NAME?</v>
      </c>
      <c r="AL558" s="1" t="e">
        <f ca="1">_xll.BDH($C$553,"CASH_FLOW_GROWTH","FY 2015","FY 2015","Currency=INR","Period=FY","BEST_FPERIOD_OVERRIDE=FY","FILING_STATUS=OR","EQY_CONSOLIDATED=Y","Sort=A","Dates=H","DateFormat=P","Fill=—","Direction=H","UseDPDF=Y")</f>
        <v>#NAME?</v>
      </c>
      <c r="AM558" s="1" t="e">
        <f ca="1">_xll.BDH($C$553,"GEO_GROW_NET_SALES","FY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558" s="1" t="e">
        <f ca="1">_xll.BDH($C$553,"GEO_GROW_EBITDA","FY 2015","FY 2015","Currency=INR","Period=FY","BEST_FPERIOD_OVERRIDE=FY","FILING_STATUS=OR","EQY_CONSOLIDATED=Y","FA_ADJUSTED=GAAP","Sort=A","Dates=H","DateFormat=P","Fill=—","Direction=H","UseDPDF=Y")</f>
        <v>#NAME?</v>
      </c>
      <c r="AO558" s="1" t="e">
        <f ca="1">_xll.BDH($C$553,"GEO_GROW_OPER_INC","FY 2015","FY 2015","Currency=INR","Period=FY","BEST_FPERIOD_OVERRIDE=FY","FILING_STATUS=OR","EQY_CONSOLIDATED=Y","FA_ADJUSTED=GAAP","Sort=A","Dates=H","DateFormat=P","Fill=—","Direction=H","UseDPDF=Y")</f>
        <v>#NAME?</v>
      </c>
      <c r="AP558" s="1" t="e">
        <f ca="1">_xll.BDH($C$553,"NET_INCOME_TO_COMMON_5_YR_GROWTH","FY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58" s="1" t="e">
        <f ca="1">_xll.BDH($C$553,"5Y_GEO_GROWTH_DILUTED_EPS","FY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58" s="1" t="e">
        <f ca="1">_xll.BDH($C$553,"GEO_GROW_DVD_PER_SH","FY 2015","FY 2015","Currency=INR","Period=FY","BEST_FPERIOD_OVERRIDE=FY","FILING_STATUS=OR","EQY_CONSOLIDATED=Y","Sort=A","Dates=H","DateFormat=P","Fill=—","Direction=H","UseDPDF=Y")</f>
        <v>#NAME?</v>
      </c>
      <c r="AS558" s="1" t="e">
        <f ca="1">_xll.BDH($C$553,"ACCOUNTS_RECEIVABLE_5_YR_GROWTH","FY 2015","FY 2015","Currency=INR","Period=FY","BEST_FPERIOD_OVERRIDE=FY","FILING_STATUS=OR","EQY_CONSOLIDATED=Y","Sort=A","Dates=H","DateFormat=P","Fill=—","Direction=H","UseDPDF=Y")</f>
        <v>#NAME?</v>
      </c>
      <c r="AT558" s="1" t="e">
        <f ca="1">_xll.BDH($C$553,"INVENTORY_5_YEAR_GROWTH","FY 2015","FY 2015","Currency=INR","Period=FY","BEST_FPERIOD_OVERRIDE=FY","FILING_STATUS=OR","EQY_CONSOLIDATED=Y","Sort=A","Dates=H","DateFormat=P","Fill=—","Direction=H","UseDPDF=Y")</f>
        <v>#NAME?</v>
      </c>
      <c r="AU558" s="1" t="e">
        <f ca="1">_xll.BDH($C$553,"NET_FIXED_ASSETS_5_YEAR_GROWTH","FY 2015","FY 2015","Currency=INR","Period=FY","BEST_FPERIOD_OVERRIDE=FY","FILING_STATUS=OR","EQY_CONSOLIDATED=Y","Sort=A","Dates=H","DateFormat=P","Fill=—","Direction=H","UseDPDF=Y")</f>
        <v>#NAME?</v>
      </c>
      <c r="AV558" s="1" t="e">
        <f ca="1">_xll.BDH($C$553,"GEO_GROW_TOT_ASSET","FY 2015","FY 2015","Currency=INR","Period=FY","BEST_FPERIOD_OVERRIDE=FY","FILING_STATUS=OR","EQY_CONSOLIDATED=Y","Sort=A","Dates=H","DateFormat=P","Fill=—","Direction=H","UseDPDF=Y")</f>
        <v>#NAME?</v>
      </c>
      <c r="AW558" s="1" t="e">
        <f ca="1">_xll.BDH($C$553,"MODIFIED_WORKING_CPTL_5YR_GRWTH","FY 2015","FY 2015","Currency=INR","Period=FY","BEST_FPERIOD_OVERRIDE=FY","FILING_STATUS=OR","EQY_CONSOLIDATED=Y","Sort=A","Dates=H","DateFormat=P","Fill=—","Direction=H","UseDPDF=Y")</f>
        <v>#NAME?</v>
      </c>
      <c r="AX558" s="1" t="e">
        <f ca="1">_xll.BDH($C$553,"WORKING_CAPITAL_5_YEAR_GROWTH","FY 2015","FY 2015","Currency=INR","Period=FY","BEST_FPERIOD_OVERRIDE=FY","FILING_STATUS=OR","EQY_CONSOLIDATED=Y","Sort=A","Dates=H","DateFormat=P","Fill=—","Direction=H","UseDPDF=Y")</f>
        <v>#NAME?</v>
      </c>
      <c r="AY558" s="1" t="e">
        <f ca="1">_xll.BDH($C$553,"ACCOUNTS_PAYABLE_5_YEAR_GROWTH","FY 2015","FY 2015","Currency=INR","Period=FY","BEST_FPERIOD_OVERRIDE=FY","FILING_STATUS=OR","EQY_CONSOLIDATED=Y","Sort=A","Dates=H","DateFormat=P","Fill=—","Direction=H","UseDPDF=Y")</f>
        <v>#NAME?</v>
      </c>
      <c r="AZ558" s="1" t="e">
        <f ca="1">_xll.BDH($C$553,"SHORT_TERM_DEBT_5_YEAR_GROWTH","FY 2015","FY 2015","Currency=INR","Period=FY","BEST_FPERIOD_OVERRIDE=FY","FILING_STATUS=OR","EQY_CONSOLIDATED=Y","Sort=A","Dates=H","DateFormat=P","Fill=—","Direction=H","UseDPDF=Y")</f>
        <v>#NAME?</v>
      </c>
      <c r="BA558" s="1" t="e">
        <f ca="1">_xll.BDH($C$553,"TOTAL_DEBT_5_YEAR_GROWTH","FY 2015","FY 2015","Currency=INR","Period=FY","BEST_FPERIOD_OVERRIDE=FY","FILING_STATUS=OR","EQY_CONSOLIDATED=Y","Sort=A","Dates=H","DateFormat=P","Fill=—","Direction=H","UseDPDF=Y")</f>
        <v>#NAME?</v>
      </c>
      <c r="BB558" s="1" t="e">
        <f ca="1">_xll.BDH($C$553,"GEO_GROW_TOT_SHRHLDR_EQY","FY 2015","FY 2015","Currency=INR","Period=FY","BEST_FPERIOD_OVERRIDE=FY","FILING_STATUS=OR","EQY_CONSOLIDATED=Y","Sort=A","Dates=H","DateFormat=P","Fill=—","Direction=H","UseDPDF=Y")</f>
        <v>#NAME?</v>
      </c>
      <c r="BC558" s="1" t="e">
        <f ca="1">_xll.BDH($C$553,"TOTAL_CAPITAL_5_YEAR_GROWTH","FY 2015","FY 2015","Currency=INR","Period=FY","BEST_FPERIOD_OVERRIDE=FY","FILING_STATUS=OR","EQY_CONSOLIDATED=Y","Sort=A","Dates=H","DateFormat=P","Fill=—","Direction=H","UseDPDF=Y")</f>
        <v>#NAME?</v>
      </c>
      <c r="BD558" s="1" t="e">
        <f ca="1">_xll.BDH($C$553,"GEO_GROW_BOOK_VAL","FY 2015","FY 2015","Currency=INR","Period=FY","BEST_FPERIOD_OVERRIDE=FY","FILING_STATUS=OR","EQY_CONSOLIDATED=Y","Sort=A","Dates=H","DateFormat=P","Fill=—","Direction=H","UseDPDF=Y")</f>
        <v>#NAME?</v>
      </c>
      <c r="BE558" s="1" t="e">
        <f ca="1">_xll.BDH($C$553,"GEO_GROW_CASH_OPER_ACT","FY 2015","FY 2015","Currency=INR","Period=FY","BEST_FPERIOD_OVERRIDE=FY","FILING_STATUS=OR","EQY_CONSOLIDATED=Y","Sort=A","Dates=H","DateFormat=P","Fill=—","Direction=H","UseDPDF=Y")</f>
        <v>#NAME?</v>
      </c>
      <c r="BF558" s="1" t="e">
        <f ca="1">_xll.BDH($C$553,"REVENUE_SEQUENTIAL_GROWTH","FY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58" s="1" t="e">
        <f ca="1">_xll.BDH($C$553,"EBITDA_SEQUENTIAL_GROWTH","FY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58" s="1" t="e">
        <f ca="1">_xll.BDH($C$553,"OPERATING_INCOME_SEQ_GROWTH","FY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58" s="1" t="e">
        <f ca="1">_xll.BDH($C$553,"NET_INCOME_TO_COMMON_SEQ_GROWTH","FY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58" s="1" t="e">
        <f ca="1">_xll.BDH($C$553,"EPS_DILUTED_SEQUENTIAL_GROWTH","FY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58" s="1" t="e">
        <f ca="1">_xll.BDH($C$553,"DPS_SEQUENTIAL_GROWTH","FY 2015","FY 2015","Currency=INR","Period=FY","BEST_FPERIOD_OVERRIDE=FY","FILING_STATUS=OR","EQY_CONSOLIDATED=Y","Sort=A","Dates=H","DateFormat=P","Fill=—","Direction=H","UseDPDF=Y")</f>
        <v>#NAME?</v>
      </c>
      <c r="BL558" s="1" t="e">
        <f ca="1">_xll.BDH($C$553,"ACCOUNTS_RECEIVABLE_SEQ_GROWTH","FY 2015","FY 2015","Currency=INR","Period=FY","BEST_FPERIOD_OVERRIDE=FY","FILING_STATUS=OR","EQY_CONSOLIDATED=Y","Sort=A","Dates=H","DateFormat=P","Fill=—","Direction=H","UseDPDF=Y")</f>
        <v>#NAME?</v>
      </c>
      <c r="BM558" s="1" t="e">
        <f ca="1">_xll.BDH($C$553,"INVENTORY_SEQUENTIAL_GROWTH","FY 2015","FY 2015","Currency=INR","Period=FY","BEST_FPERIOD_OVERRIDE=FY","FILING_STATUS=OR","EQY_CONSOLIDATED=Y","Sort=A","Dates=H","DateFormat=P","Fill=—","Direction=H","UseDPDF=Y")</f>
        <v>#NAME?</v>
      </c>
      <c r="BN558" s="1" t="e">
        <f ca="1">_xll.BDH($C$553,"FIXED_ASSETS_SEQUENTIAL_GROWTH","FY 2015","FY 2015","Currency=INR","Period=FY","BEST_FPERIOD_OVERRIDE=FY","FILING_STATUS=OR","EQY_CONSOLIDATED=Y","Sort=A","Dates=H","DateFormat=P","Fill=—","Direction=H","UseDPDF=Y")</f>
        <v>#NAME?</v>
      </c>
      <c r="BO558" s="1" t="e">
        <f ca="1">_xll.BDH($C$553,"TOTAL_ASSETS_SEQUENTIAL_GROWTH","FY 2015","FY 2015","Currency=INR","Period=FY","BEST_FPERIOD_OVERRIDE=FY","FILING_STATUS=OR","EQY_CONSOLIDATED=Y","Sort=A","Dates=H","DateFormat=P","Fill=—","Direction=H","UseDPDF=Y")</f>
        <v>#NAME?</v>
      </c>
      <c r="BP558" s="1" t="e">
        <f ca="1">_xll.BDH($C$553,"MODIFIED_WORKING_CPTL_SEQ_GRWTH","FY 2015","FY 2015","Currency=INR","Period=FY","BEST_FPERIOD_OVERRIDE=FY","FILING_STATUS=OR","EQY_CONSOLIDATED=Y","Sort=A","Dates=H","DateFormat=P","Fill=—","Direction=H","UseDPDF=Y")</f>
        <v>#NAME?</v>
      </c>
      <c r="BQ558" s="1" t="e">
        <f ca="1">_xll.BDH($C$553,"WORKING_CAPITAL_SEQ_GROWTH","FY 2015","FY 2015","Currency=INR","Period=FY","BEST_FPERIOD_OVERRIDE=FY","FILING_STATUS=OR","EQY_CONSOLIDATED=Y","Sort=A","Dates=H","DateFormat=P","Fill=—","Direction=H","UseDPDF=Y")</f>
        <v>#NAME?</v>
      </c>
      <c r="BR558" s="1" t="e">
        <f ca="1">_xll.BDH($C$553,"ACCOUNTS_PAYABLE_SEQ_GROWTH","FY 2015","FY 2015","Currency=INR","Period=FY","BEST_FPERIOD_OVERRIDE=FY","FILING_STATUS=OR","EQY_CONSOLIDATED=Y","Sort=A","Dates=H","DateFormat=P","Fill=—","Direction=H","UseDPDF=Y")</f>
        <v>#NAME?</v>
      </c>
      <c r="BS558" s="1" t="e">
        <f ca="1">_xll.BDH($C$553,"ST_DEBT_SEQUENTIAL_GROWTH","FY 2015","FY 2015","Currency=INR","Period=FY","BEST_FPERIOD_OVERRIDE=FY","FILING_STATUS=OR","EQY_CONSOLIDATED=Y","Sort=A","Dates=H","DateFormat=P","Fill=—","Direction=H","UseDPDF=Y")</f>
        <v>#NAME?</v>
      </c>
      <c r="BT558" s="1" t="e">
        <f ca="1">_xll.BDH($C$553,"TOTAL_DEBT_SEQUENTIAL_GROWTH","FY 2015","FY 2015","Currency=INR","Period=FY","BEST_FPERIOD_OVERRIDE=FY","FILING_STATUS=OR","EQY_CONSOLIDATED=Y","Sort=A","Dates=H","DateFormat=P","Fill=—","Direction=H","UseDPDF=Y")</f>
        <v>#NAME?</v>
      </c>
      <c r="BU558" s="1" t="e">
        <f ca="1">_xll.BDH($C$553,"TOTAL_EQUITY_SEQUENTIAL_GROWTH","FY 2015","FY 2015","Currency=INR","Period=FY","BEST_FPERIOD_OVERRIDE=FY","FILING_STATUS=OR","EQY_CONSOLIDATED=Y","Sort=A","Dates=H","DateFormat=P","Fill=—","Direction=H","UseDPDF=Y")</f>
        <v>#NAME?</v>
      </c>
      <c r="BV558" s="1" t="e">
        <f ca="1">_xll.BDH($C$553,"TOTAL_CAPITAL_SEQUENTIAL_GROWTH","FY 2015","FY 2015","Currency=INR","Period=FY","BEST_FPERIOD_OVERRIDE=FY","FILING_STATUS=OR","EQY_CONSOLIDATED=Y","Sort=A","Dates=H","DateFormat=P","Fill=—","Direction=H","UseDPDF=Y")</f>
        <v>#NAME?</v>
      </c>
      <c r="BW558" s="1" t="e">
        <f ca="1">_xll.BDH($C$553,"BPS_SEQUENTIAL_GROWTH","FY 2015","FY 2015","Currency=INR","Period=FY","BEST_FPERIOD_OVERRIDE=FY","FILING_STATUS=OR","EQY_CONSOLIDATED=Y","Sort=A","Dates=H","DateFormat=P","Fill=—","Direction=H","UseDPDF=Y")</f>
        <v>#NAME?</v>
      </c>
      <c r="BX558" s="1" t="e">
        <f ca="1">_xll.BDH($C$553,"CFO_SEQUENTIAL_GROWTH","FY 2015","FY 2015","Currency=INR","Period=FY","BEST_FPERIOD_OVERRIDE=FY","FILING_STATUS=OR","EQY_CONSOLIDATED=Y","Sort=A","Dates=H","DateFormat=P","Fill=—","Direction=H","UseDPDF=Y")</f>
        <v>#NAME?</v>
      </c>
      <c r="BY558" s="2" t="e">
        <f ca="1">_xll.BDH($C$553,"SHORT_AND_LONG_TERM_DEBT","FY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58" s="2" t="e">
        <f ca="1">_xll.BDH($C$553,"BS_ST_BORROW","FY 2015","FY 2015","Currency=INR","Period=FY","BEST_FPERIOD_OVERRIDE=FY","FILING_STATUS=OR","EQY_CONSOLIDATED=Y","SCALING_FORMAT=MLN","Sort=A","Dates=H","DateFormat=P","Fill=—","Direction=H","UseDPDF=Y")</f>
        <v>#NAME?</v>
      </c>
      <c r="CA558" s="2" t="e">
        <f ca="1">_xll.BDH($C$553,"BS_LT_BORROW","FY 2015","FY 2015","Currency=INR","Period=FY","BEST_FPERIOD_OVERRIDE=FY","FILING_STATUS=OR","EQY_CONSOLIDATED=Y","SCALING_FORMAT=MLN","Sort=A","Dates=H","DateFormat=P","Fill=—","Direction=H","UseDPDF=Y")</f>
        <v>#NAME?</v>
      </c>
      <c r="CB558" s="1" t="e">
        <f ca="1">_xll.BDH($C$553,"TOT_DEBT_TO_EBITDA","FY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558" s="1" t="e">
        <f ca="1">_xll.BDH($C$553,"NET_DEBT_TO_EBITDA","FY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558" s="1" t="e">
        <f ca="1">_xll.BDH($C$553,"TOTAL_DEBT_TO_EBIT","FY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558" s="1" t="e">
        <f ca="1">_xll.BDH($C$553,"NET_DEBT_TO_EBIT","FY 2015","FY 2015","Currency=INR","Period=FY","BEST_FPERIOD_OVERRIDE=FY","FILING_STATUS=OR","EQY_CONSOLIDATED=Y","FA_ADJUSTED=GAAP","Sort=A","Dates=H","DateFormat=P","Fill=—","Direction=H","UseDPDF=Y")</f>
        <v>#NAME?</v>
      </c>
      <c r="CF558" s="1" t="e">
        <f ca="1">_xll.BDH($C$553,"EBITDA_TO_INTEREST_EXPN","FY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58" s="1" t="e">
        <f ca="1">_xll.BDH($C$553,"COM_EQY_TO_TOT_ASSET","FY 2015","FY 2015","Currency=INR","Period=FY","BEST_FPERIOD_OVERRIDE=FY","FILING_STATUS=OR","EQY_CONSOLIDATED=Y","Sort=A","Dates=H","DateFormat=P","Fill=—","Direction=H","UseDPDF=Y")</f>
        <v>#NAME?</v>
      </c>
      <c r="CH558" s="1" t="e">
        <f ca="1">_xll.BDH($C$553,"LT_DEBT_TO_TOT_EQY","FY 2015","FY 2015","Currency=INR","Period=FY","BEST_FPERIOD_OVERRIDE=FY","FILING_STATUS=OR","EQY_CONSOLIDATED=Y","Sort=A","Dates=H","DateFormat=P","Fill=—","Direction=H","UseDPDF=Y")</f>
        <v>#NAME?</v>
      </c>
      <c r="CI558" s="1" t="e">
        <f ca="1">_xll.BDH($C$553,"LT_DEBT_TO_TOT_CAP","FY 2015","FY 2015","Currency=INR","Period=FY","BEST_FPERIOD_OVERRIDE=FY","FILING_STATUS=OR","EQY_CONSOLIDATED=Y","Sort=A","Dates=H","DateFormat=P","Fill=—","Direction=H","UseDPDF=Y")</f>
        <v>#NAME?</v>
      </c>
      <c r="CJ558" s="1" t="e">
        <f ca="1">_xll.BDH($C$553,"LT_DEBT_TO_TOT_ASSET","FY 2015","FY 2015","Currency=INR","Period=FY","BEST_FPERIOD_OVERRIDE=FY","FILING_STATUS=OR","EQY_CONSOLIDATED=Y","Sort=A","Dates=H","DateFormat=P","Fill=—","Direction=H","UseDPDF=Y")</f>
        <v>#NAME?</v>
      </c>
      <c r="CK558" s="1" t="e">
        <f ca="1">_xll.BDH($C$553,"TOT_DEBT_TO_TOT_EQY","FY 2015","FY 2015","Currency=INR","Period=FY","BEST_FPERIOD_OVERRIDE=FY","FILING_STATUS=OR","EQY_CONSOLIDATED=Y","Sort=A","Dates=H","DateFormat=P","Fill=—","Direction=H","UseDPDF=Y")</f>
        <v>#NAME?</v>
      </c>
      <c r="CL558" s="1" t="e">
        <f ca="1">_xll.BDH($C$553,"TOT_DEBT_TO_TOT_CAP","FY 2015","FY 2015","Currency=INR","Period=FY","BEST_FPERIOD_OVERRIDE=FY","FILING_STATUS=OR","EQY_CONSOLIDATED=Y","Sort=A","Dates=H","DateFormat=P","Fill=—","Direction=H","UseDPDF=Y")</f>
        <v>#NAME?</v>
      </c>
      <c r="CM558" s="1" t="e">
        <f ca="1">_xll.BDH($C$553,"TOT_DEBT_TO_TOT_ASSET","FY 2015","FY 2015","Currency=INR","Period=FY","BEST_FPERIOD_OVERRIDE=FY","FILING_STATUS=OR","EQY_CONSOLIDATED=Y","Sort=A","Dates=H","DateFormat=P","Fill=—","Direction=H","UseDPDF=Y")</f>
        <v>#NAME?</v>
      </c>
      <c r="CN558" s="1" t="e">
        <f ca="1">_xll.BDH($C$553,"NET_DEBT_TO_SHRHLDR_EQTY","FY 2015","FY 2015","Currency=INR","Period=FY","BEST_FPERIOD_OVERRIDE=FY","FILING_STATUS=OR","EQY_CONSOLIDATED=Y","Sort=A","Dates=H","DateFormat=P","Fill=—","Direction=H","UseDPDF=Y")</f>
        <v>#NAME?</v>
      </c>
      <c r="CO558" s="1" t="e">
        <f ca="1">_xll.BDH($C$553,"NET_DEBT_%_CAPITAL","FY 2015","FY 2015","Currency=INR","Period=FY","BEST_FPERIOD_OVERRIDE=FY","FILING_STATUS=OR","EQY_CONSOLIDATED=Y","Sort=A","Dates=H","DateFormat=P","Fill=—","Direction=H","UseDPDF=Y")</f>
        <v>#NAME?</v>
      </c>
      <c r="CP558" s="2" t="e">
        <f ca="1">_xll.BDH($C$553,"EBITDA","FY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58" s="2" t="e">
        <f ca="1">_xll.BDH($C$553,"EBITDA_AFTER_CAPEX","FY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58" s="2" t="e">
        <f ca="1">_xll.BDH($C$553,"IS_OPER_INC","FY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58" s="1" t="e">
        <f ca="1">_xll.BDH($C$553,"CASH_RATIO","FY 2015","FY 2015","Currency=INR","Period=FY","BEST_FPERIOD_OVERRIDE=FY","FILING_STATUS=OR","EQY_CONSOLIDATED=Y","Sort=A","Dates=H","DateFormat=P","Fill=—","Direction=H","UseDPDF=Y")</f>
        <v>#NAME?</v>
      </c>
      <c r="CT558" s="1" t="e">
        <f ca="1">_xll.BDH($C$553,"CUR_RATIO","FY 2015","FY 2015","Currency=INR","Period=FY","BEST_FPERIOD_OVERRIDE=FY","FILING_STATUS=OR","EQY_CONSOLIDATED=Y","Sort=A","Dates=H","DateFormat=P","Fill=—","Direction=H","UseDPDF=Y")</f>
        <v>#NAME?</v>
      </c>
      <c r="CU558" s="1" t="e">
        <f ca="1">_xll.BDH($C$553,"QUICK_RATIO","FY 2015","FY 2015","Currency=INR","Period=FY","BEST_FPERIOD_OVERRIDE=FY","FILING_STATUS=OR","EQY_CONSOLIDATED=Y","Sort=A","Dates=H","DateFormat=P","Fill=—","Direction=H","UseDPDF=Y")</f>
        <v>#NAME?</v>
      </c>
      <c r="CV558" s="1" t="e">
        <f ca="1">_xll.BDH($C$553,"ALTMAN_Z_SCORE","FY 2015","FY 2015","Currency=INR","Period=FY","BEST_FPERIOD_OVERRIDE=FY","FILING_STATUS=OR","EQY_CONSOLIDATED=Y","Sort=A","Dates=H","DateFormat=P","Fill=—","Direction=H","UseDPDF=Y")</f>
        <v>#NAME?</v>
      </c>
      <c r="CW558" s="3" t="e">
        <f ca="1">_xll.BDH($C$553,"ACCT_RCV_TURN","FY 2015","FY 2015","Currency=INR","Period=FY","BEST_FPERIOD_OVERRIDE=FY","FILING_STATUS=OR","EQY_CONSOLIDATED=Y","FA_ADJUSTED=GAAP","Sort=A","Dates=H","DateFormat=P","Fill=—","Direction=H","UseDPDF=Y")</f>
        <v>#NAME?</v>
      </c>
      <c r="CX558" s="1" t="e">
        <f ca="1">_xll.BDH($C$553,"ACCT_RCV_DAYS","FY 2015","FY 2015","Currency=INR","Period=FY","BEST_FPERIOD_OVERRIDE=FY","FILING_STATUS=OR","EQY_CONSOLIDATED=Y","FA_ADJUSTED=GAAP","Sort=A","Dates=H","DateFormat=P","Fill=—","Direction=H","UseDPDF=Y")</f>
        <v>#NAME?</v>
      </c>
      <c r="CY558" s="3" t="e">
        <f ca="1">_xll.BDH($C$553,"INVENT_TURN","FY 2015","FY 2015","Currency=INR","Period=FY","BEST_FPERIOD_OVERRIDE=FY","FILING_STATUS=OR","EQY_CONSOLIDATED=Y","FA_ADJUSTED=GAAP","Sort=A","Dates=H","DateFormat=P","Fill=—","Direction=H","UseDPDF=Y")</f>
        <v>#NAME?</v>
      </c>
      <c r="CZ558" s="1" t="e">
        <f ca="1">_xll.BDH($C$553,"INVENT_DAYS","FY 2015","FY 2015","Currency=INR","Period=FY","BEST_FPERIOD_OVERRIDE=FY","FILING_STATUS=OR","EQY_CONSOLIDATED=Y","FA_ADJUSTED=GAAP","Sort=A","Dates=H","DateFormat=P","Fill=—","Direction=H","UseDPDF=Y")</f>
        <v>#NAME?</v>
      </c>
      <c r="DA558" s="3" t="e">
        <f ca="1">_xll.BDH($C$553,"ACCOUNTS_PAYABLE_TURNOVER","FY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58" s="1" t="e">
        <f ca="1">_xll.BDH($C$553,"ACCOUNTS_PAYABLE_TURNOVER_DAYS","FY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58" s="3" t="e">
        <f ca="1">_xll.BDH($C$553,"CASH_CONVERSION_CYCLE","FY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58" s="3" t="e">
        <f ca="1">_xll.BDH($C$553,"INV_TO_CASH_DAYS","FY 2015","FY 2015","Currency=INR","Period=FY","BEST_FPERIOD_OVERRIDE=FY","FILING_STATUS=OR","EQY_CONSOLIDATED=Y","FA_ADJUSTED=GAAP","Sort=A","Dates=H","DateFormat=P","Fill=—","Direction=H","UseDPDF=Y")</f>
        <v>#NAME?</v>
      </c>
      <c r="DE558" s="4" t="e">
        <f ca="1">_xll.BDH($C$553,"BS_INVENTORIES","FY 2015","FY 2015","Currency=INR","Period=FY","BEST_FPERIOD_OVERRIDE=FY","FILING_STATUS=OR","EQY_CONSOLIDATED=Y","SCALING_FORMAT=MLN","Sort=A","Dates=H","DateFormat=P","Fill=—","Direction=H","UseDPDF=Y")</f>
        <v>#NAME?</v>
      </c>
      <c r="DF558" s="2" t="e">
        <f ca="1">_xll.BDH($C$553,"INVTRY_RAW_MATERIALS","FY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58" s="2" t="e">
        <f ca="1">_xll.BDH($C$553,"INVTRY_IN_PROGRESS","FY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58" s="2" t="e">
        <f ca="1">_xll.BDH($C$553,"INVTRY_FINISHED_GOODS","FY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58" s="2" t="e">
        <f ca="1">_xll.BDH($C$553,"BS_OTHER_INV","FY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59" spans="1:113" x14ac:dyDescent="0.3">
      <c r="A559" s="6"/>
      <c r="B559" s="6"/>
      <c r="C559" s="6"/>
      <c r="D559" s="6"/>
      <c r="E559" t="s">
        <v>4</v>
      </c>
      <c r="F559" t="e">
        <f ca="1">_xll.BDH($C$553,"RETURN_COM_EQY","FQ1 2015","FQ1 2015","Currency=INR","Period=FQ","BEST_FPERIOD_OVERRIDE=FQ","FILING_STATUS=OR","EQY_CONSOLIDATED=Y","FA_ADJUSTED=GAAP","Sort=A","Dates=H","DateFormat=P","Fill=—","Direction=H","UseDPDF=Y")</f>
        <v>#NAME?</v>
      </c>
      <c r="G559" t="e">
        <f ca="1">_xll.BDH($C$553,"RETURN_ON_ASSET","FQ1 2015","FQ1 2015","Currency=INR","Period=FQ","BEST_FPERIOD_OVERRIDE=FQ","FILING_STATUS=OR","EQY_CONSOLIDATED=Y","FA_ADJUSTED=GAAP","Sort=A","Dates=H","DateFormat=P","Fill=—","Direction=H","UseDPDF=Y")</f>
        <v>#NAME?</v>
      </c>
      <c r="H559" t="e">
        <f ca="1">_xll.BDH($C$553,"RETURN_ON_CAP","FQ1 2015","FQ1 2015","Currency=INR","Period=FQ","BEST_FPERIOD_OVERRIDE=FQ","FILING_STATUS=OR","EQY_CONSOLIDATED=Y","FA_ADJUSTED=GAAP","Sort=A","Dates=H","DateFormat=P","Fill=—","Direction=H","UseDPDF=Y")</f>
        <v>#NAME?</v>
      </c>
      <c r="I559" t="e">
        <f ca="1">_xll.BDH($C$553,"RETURN_ON_INV_CAPITAL","FQ1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59" t="e">
        <f ca="1">_xll.BDH($C$553,"EBITDA_TO_REVENUE","FQ1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559" t="e">
        <f ca="1">_xll.BDH($C$553,"OPER_MARGIN","FQ1 2015","FQ1 2015","Currency=INR","Period=FQ","BEST_FPERIOD_OVERRIDE=FQ","FILING_STATUS=OR","EQY_CONSOLIDATED=Y","FA_ADJUSTED=GAAP","Sort=A","Dates=H","DateFormat=P","Fill=—","Direction=H","UseDPDF=Y")</f>
        <v>#NAME?</v>
      </c>
      <c r="L559" t="e">
        <f ca="1">_xll.BDH($C$553,"INCREMENTAL_OPERATING_MARGIN","FQ1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59" t="e">
        <f ca="1">_xll.BDH($C$553,"PRETAX_INC_TO_NET_SALES","FQ1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59" t="e">
        <f ca="1">_xll.BDH($C$553,"INC_BEF_XO_ITEMS_TO_NET_SALES","FQ1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59" t="e">
        <f ca="1">_xll.BDH($C$553,"PROF_MARGIN","FQ1 2015","FQ1 2015","Currency=INR","Period=FQ","BEST_FPERIOD_OVERRIDE=FQ","FILING_STATUS=OR","EQY_CONSOLIDATED=Y","FA_ADJUSTED=GAAP","Sort=A","Dates=H","DateFormat=P","Fill=—","Direction=H","UseDPDF=Y")</f>
        <v>#NAME?</v>
      </c>
      <c r="P559" t="e">
        <f ca="1">_xll.BDH($C$553,"NET_INCOME_TO_COMMON_MARGIN","FQ1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59" t="e">
        <f ca="1">_xll.BDH($C$553,"EFF_TAX_RATE","FQ1 2015","FQ1 2015","Currency=INR","Period=FQ","BEST_FPERIOD_OVERRIDE=FQ","FILING_STATUS=OR","EQY_CONSOLIDATED=Y","FA_ADJUSTED=GAAP","Sort=A","Dates=H","DateFormat=P","Fill=—","Direction=H","UseDPDF=Y")</f>
        <v>#NAME?</v>
      </c>
      <c r="R559" t="e">
        <f ca="1">_xll.BDH($C$553,"DVD_PAYOUT_RATIO","FQ1 2015","FQ1 2015","Currency=INR","Period=FQ","BEST_FPERIOD_OVERRIDE=FQ","FILING_STATUS=OR","EQY_CONSOLIDATED=Y","FA_ADJUSTED=GAAP","Sort=A","Dates=H","DateFormat=P","Fill=—","Direction=H","UseDPDF=Y")</f>
        <v>#NAME?</v>
      </c>
      <c r="S559" t="e">
        <f ca="1">_xll.BDH($C$553,"SUSTAIN_GROWTH_RT","FQ1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559" s="1" t="e">
        <f ca="1">_xll.BDH($C$553,"SALES_GROWTH","FQ1 2015","FQ1 2015","Currency=INR","Period=FQ","BEST_FPERIOD_OVERRIDE=FQ","FILING_STATUS=OR","EQY_CONSOLIDATED=Y","FA_ADJUSTED=GAAP","Sort=A","Dates=H","DateFormat=P","Fill=—","Direction=H","UseDPDF=Y")</f>
        <v>#NAME?</v>
      </c>
      <c r="U559" s="1" t="e">
        <f ca="1">_xll.BDH($C$553,"EBITDA_GROWTH","FQ1 2015","FQ1 2015","Currency=INR","Period=FQ","BEST_FPERIOD_OVERRIDE=FQ","FILING_STATUS=OR","EQY_CONSOLIDATED=Y","FA_ADJUSTED=GAAP","Sort=A","Dates=H","DateFormat=P","Fill=—","Direction=H","UseDPDF=Y")</f>
        <v>#NAME?</v>
      </c>
      <c r="V559" s="1" t="e">
        <f ca="1">_xll.BDH($C$553,"OPER_INC_GROWTH","FQ1 2015","FQ1 2015","Currency=INR","Period=FQ","BEST_FPERIOD_OVERRIDE=FQ","FILING_STATUS=OR","EQY_CONSOLIDATED=Y","FA_ADJUSTED=GAAP","Sort=A","Dates=H","DateFormat=P","Fill=—","Direction=H","UseDPDF=Y")</f>
        <v>#NAME?</v>
      </c>
      <c r="W559" s="1" t="e">
        <f ca="1">_xll.BDH($C$553,"EARN_FOR_COM_GROWTH","FQ1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59" s="1" t="e">
        <f ca="1">_xll.BDH($C$553,"DILUTED_EPS_AFT_XO_ITEMS_GROWTH","FQ1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59" s="1" t="e">
        <f ca="1">_xll.BDH($C$553,"DIVIDEND_PER_SHARE_1_YEAR_GROWTH","FQ1 2015","FQ1 2015","Currency=INR","Period=FQ","BEST_FPERIOD_OVERRIDE=FQ","FILING_STATUS=OR","EQY_CONSOLIDATED=Y","Sort=A","Dates=H","DateFormat=P","Fill=—","Direction=H","UseDPDF=Y")</f>
        <v>#NAME?</v>
      </c>
      <c r="Z559" s="1" t="e">
        <f ca="1">_xll.BDH($C$553,"ACCOUNTS_RECEIVABLE_GROWTH","FQ1 2015","FQ1 2015","Currency=INR","Period=FQ","BEST_FPERIOD_OVERRIDE=FQ","FILING_STATUS=OR","EQY_CONSOLIDATED=Y","Sort=A","Dates=H","DateFormat=P","Fill=—","Direction=H","UseDPDF=Y")</f>
        <v>#NAME?</v>
      </c>
      <c r="AA559" s="1" t="e">
        <f ca="1">_xll.BDH($C$553,"INVENTORY_GROWTH","FQ1 2015","FQ1 2015","Currency=INR","Period=FQ","BEST_FPERIOD_OVERRIDE=FQ","FILING_STATUS=OR","EQY_CONSOLIDATED=Y","Sort=A","Dates=H","DateFormat=P","Fill=—","Direction=H","UseDPDF=Y")</f>
        <v>#NAME?</v>
      </c>
      <c r="AB559" s="1" t="e">
        <f ca="1">_xll.BDH($C$553,"NET_FIXED_ASSETS_1_YEAR_GROWTH","FQ1 2015","FQ1 2015","Currency=INR","Period=FQ","BEST_FPERIOD_OVERRIDE=FQ","FILING_STATUS=OR","EQY_CONSOLIDATED=Y","Sort=A","Dates=H","DateFormat=P","Fill=—","Direction=H","UseDPDF=Y")</f>
        <v>#NAME?</v>
      </c>
      <c r="AC559" s="1" t="e">
        <f ca="1">_xll.BDH($C$553,"ASSET_GROWTH","FQ1 2015","FQ1 2015","Currency=INR","Period=FQ","BEST_FPERIOD_OVERRIDE=FQ","FILING_STATUS=OR","EQY_CONSOLIDATED=Y","Sort=A","Dates=H","DateFormat=P","Fill=—","Direction=H","UseDPDF=Y")</f>
        <v>#NAME?</v>
      </c>
      <c r="AD559" s="1" t="e">
        <f ca="1">_xll.BDH($C$553,"MODIFIED_WORK_CAP_GROWTH","FQ1 2015","FQ1 2015","Currency=INR","Period=FQ","BEST_FPERIOD_OVERRIDE=FQ","FILING_STATUS=OR","EQY_CONSOLIDATED=Y","Sort=A","Dates=H","DateFormat=P","Fill=—","Direction=H","UseDPDF=Y")</f>
        <v>#NAME?</v>
      </c>
      <c r="AE559" s="1" t="e">
        <f ca="1">_xll.BDH($C$553,"WORK_CAP_GROWTH","FQ1 2015","FQ1 2015","Currency=INR","Period=FQ","BEST_FPERIOD_OVERRIDE=FQ","FILING_STATUS=OR","EQY_CONSOLIDATED=Y","Sort=A","Dates=H","DateFormat=P","Fill=—","Direction=H","UseDPDF=Y")</f>
        <v>#NAME?</v>
      </c>
      <c r="AF559" s="1" t="e">
        <f ca="1">_xll.BDH($C$553,"ACCOUNTS_PAYABLE_GROWTH_1YR","FQ1 2015","FQ1 2015","Currency=INR","Period=FQ","BEST_FPERIOD_OVERRIDE=FQ","FILING_STATUS=OR","EQY_CONSOLIDATED=Y","Sort=A","Dates=H","DateFormat=P","Fill=—","Direction=H","UseDPDF=Y")</f>
        <v>#NAME?</v>
      </c>
      <c r="AG559" s="1" t="e">
        <f ca="1">_xll.BDH($C$553,"SHORT_TERM_DEBT_1_YEAR_GROWTH","FQ1 2015","FQ1 2015","Currency=INR","Period=FQ","BEST_FPERIOD_OVERRIDE=FQ","FILING_STATUS=OR","EQY_CONSOLIDATED=Y","Sort=A","Dates=H","DateFormat=P","Fill=—","Direction=H","UseDPDF=Y")</f>
        <v>#NAME?</v>
      </c>
      <c r="AH559" s="1" t="e">
        <f ca="1">_xll.BDH($C$553,"TOTAL_DEBT_1_YEAR_GROWTH","FQ1 2015","FQ1 2015","Currency=INR","Period=FQ","BEST_FPERIOD_OVERRIDE=FQ","FILING_STATUS=OR","EQY_CONSOLIDATED=Y","Sort=A","Dates=H","DateFormat=P","Fill=—","Direction=H","UseDPDF=Y")</f>
        <v>#NAME?</v>
      </c>
      <c r="AI559" s="1" t="e">
        <f ca="1">_xll.BDH($C$553,"TOTAL_EQUITY_1_YEAR_GROWTH","FQ1 2015","FQ1 2015","Currency=INR","Period=FQ","BEST_FPERIOD_OVERRIDE=FQ","FILING_STATUS=OR","EQY_CONSOLIDATED=Y","Sort=A","Dates=H","DateFormat=P","Fill=—","Direction=H","UseDPDF=Y")</f>
        <v>#NAME?</v>
      </c>
      <c r="AJ559" s="1" t="e">
        <f ca="1">_xll.BDH($C$553,"GROWTH_IN_CAP","FQ1 2015","FQ1 2015","Currency=INR","Period=FQ","BEST_FPERIOD_OVERRIDE=FQ","FILING_STATUS=OR","EQY_CONSOLIDATED=Y","Sort=A","Dates=H","DateFormat=P","Fill=—","Direction=H","UseDPDF=Y")</f>
        <v>#NAME?</v>
      </c>
      <c r="AK559" s="1" t="e">
        <f ca="1">_xll.BDH($C$553,"BVPS_GROWTH","FQ1 2015","FQ1 2015","Currency=INR","Period=FQ","BEST_FPERIOD_OVERRIDE=FQ","FILING_STATUS=OR","EQY_CONSOLIDATED=Y","Sort=A","Dates=H","DateFormat=P","Fill=—","Direction=H","UseDPDF=Y")</f>
        <v>#NAME?</v>
      </c>
      <c r="AL559" s="1" t="e">
        <f ca="1">_xll.BDH($C$553,"CASH_FLOW_GROWTH","FQ1 2015","FQ1 2015","Currency=INR","Period=FQ","BEST_FPERIOD_OVERRIDE=FQ","FILING_STATUS=OR","EQY_CONSOLIDATED=Y","Sort=A","Dates=H","DateFormat=P","Fill=—","Direction=H","UseDPDF=Y")</f>
        <v>#NAME?</v>
      </c>
      <c r="AM559" s="1" t="e">
        <f ca="1">_xll.BDH($C$553,"GEO_GROW_NET_SALES","FQ1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59" s="1" t="e">
        <f ca="1">_xll.BDH($C$553,"GEO_GROW_EBITDA","FQ1 2015","FQ1 2015","Currency=INR","Period=FQ","BEST_FPERIOD_OVERRIDE=FQ","FILING_STATUS=OR","EQY_CONSOLIDATED=Y","FA_ADJUSTED=GAAP","Sort=A","Dates=H","DateFormat=P","Fill=—","Direction=H","UseDPDF=Y")</f>
        <v>#NAME?</v>
      </c>
      <c r="AO559" s="1" t="e">
        <f ca="1">_xll.BDH($C$553,"GEO_GROW_OPER_INC","FQ1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59" s="1" t="e">
        <f ca="1">_xll.BDH($C$553,"NET_INCOME_TO_COMMON_5_YR_GROWTH","FQ1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59" s="1" t="e">
        <f ca="1">_xll.BDH($C$553,"5Y_GEO_GROWTH_DILUTED_EPS","FQ1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59" s="1" t="e">
        <f ca="1">_xll.BDH($C$553,"GEO_GROW_DVD_PER_SH","FQ1 2015","FQ1 2015","Currency=INR","Period=FQ","BEST_FPERIOD_OVERRIDE=FQ","FILING_STATUS=OR","EQY_CONSOLIDATED=Y","Sort=A","Dates=H","DateFormat=P","Fill=—","Direction=H","UseDPDF=Y")</f>
        <v>#NAME?</v>
      </c>
      <c r="AS559" s="1" t="e">
        <f ca="1">_xll.BDH($C$553,"ACCOUNTS_RECEIVABLE_5_YR_GROWTH","FQ1 2015","FQ1 2015","Currency=INR","Period=FQ","BEST_FPERIOD_OVERRIDE=FQ","FILING_STATUS=OR","EQY_CONSOLIDATED=Y","Sort=A","Dates=H","DateFormat=P","Fill=—","Direction=H","UseDPDF=Y")</f>
        <v>#NAME?</v>
      </c>
      <c r="AT559" s="1" t="e">
        <f ca="1">_xll.BDH($C$553,"INVENTORY_5_YEAR_GROWTH","FQ1 2015","FQ1 2015","Currency=INR","Period=FQ","BEST_FPERIOD_OVERRIDE=FQ","FILING_STATUS=OR","EQY_CONSOLIDATED=Y","Sort=A","Dates=H","DateFormat=P","Fill=—","Direction=H","UseDPDF=Y")</f>
        <v>#NAME?</v>
      </c>
      <c r="AU559" s="1" t="e">
        <f ca="1">_xll.BDH($C$553,"NET_FIXED_ASSETS_5_YEAR_GROWTH","FQ1 2015","FQ1 2015","Currency=INR","Period=FQ","BEST_FPERIOD_OVERRIDE=FQ","FILING_STATUS=OR","EQY_CONSOLIDATED=Y","Sort=A","Dates=H","DateFormat=P","Fill=—","Direction=H","UseDPDF=Y")</f>
        <v>#NAME?</v>
      </c>
      <c r="AV559" s="1" t="e">
        <f ca="1">_xll.BDH($C$553,"GEO_GROW_TOT_ASSET","FQ1 2015","FQ1 2015","Currency=INR","Period=FQ","BEST_FPERIOD_OVERRIDE=FQ","FILING_STATUS=OR","EQY_CONSOLIDATED=Y","Sort=A","Dates=H","DateFormat=P","Fill=—","Direction=H","UseDPDF=Y")</f>
        <v>#NAME?</v>
      </c>
      <c r="AW559" s="1" t="e">
        <f ca="1">_xll.BDH($C$553,"MODIFIED_WORKING_CPTL_5YR_GRWTH","FQ1 2015","FQ1 2015","Currency=INR","Period=FQ","BEST_FPERIOD_OVERRIDE=FQ","FILING_STATUS=OR","EQY_CONSOLIDATED=Y","Sort=A","Dates=H","DateFormat=P","Fill=—","Direction=H","UseDPDF=Y")</f>
        <v>#NAME?</v>
      </c>
      <c r="AX559" s="1" t="e">
        <f ca="1">_xll.BDH($C$553,"WORKING_CAPITAL_5_YEAR_GROWTH","FQ1 2015","FQ1 2015","Currency=INR","Period=FQ","BEST_FPERIOD_OVERRIDE=FQ","FILING_STATUS=OR","EQY_CONSOLIDATED=Y","Sort=A","Dates=H","DateFormat=P","Fill=—","Direction=H","UseDPDF=Y")</f>
        <v>#NAME?</v>
      </c>
      <c r="AY559" s="1" t="e">
        <f ca="1">_xll.BDH($C$553,"ACCOUNTS_PAYABLE_5_YEAR_GROWTH","FQ1 2015","FQ1 2015","Currency=INR","Period=FQ","BEST_FPERIOD_OVERRIDE=FQ","FILING_STATUS=OR","EQY_CONSOLIDATED=Y","Sort=A","Dates=H","DateFormat=P","Fill=—","Direction=H","UseDPDF=Y")</f>
        <v>#NAME?</v>
      </c>
      <c r="AZ559" s="1" t="e">
        <f ca="1">_xll.BDH($C$553,"SHORT_TERM_DEBT_5_YEAR_GROWTH","FQ1 2015","FQ1 2015","Currency=INR","Period=FQ","BEST_FPERIOD_OVERRIDE=FQ","FILING_STATUS=OR","EQY_CONSOLIDATED=Y","Sort=A","Dates=H","DateFormat=P","Fill=—","Direction=H","UseDPDF=Y")</f>
        <v>#NAME?</v>
      </c>
      <c r="BA559" s="1" t="e">
        <f ca="1">_xll.BDH($C$553,"TOTAL_DEBT_5_YEAR_GROWTH","FQ1 2015","FQ1 2015","Currency=INR","Period=FQ","BEST_FPERIOD_OVERRIDE=FQ","FILING_STATUS=OR","EQY_CONSOLIDATED=Y","Sort=A","Dates=H","DateFormat=P","Fill=—","Direction=H","UseDPDF=Y")</f>
        <v>#NAME?</v>
      </c>
      <c r="BB559" s="1" t="e">
        <f ca="1">_xll.BDH($C$553,"GEO_GROW_TOT_SHRHLDR_EQY","FQ1 2015","FQ1 2015","Currency=INR","Period=FQ","BEST_FPERIOD_OVERRIDE=FQ","FILING_STATUS=OR","EQY_CONSOLIDATED=Y","Sort=A","Dates=H","DateFormat=P","Fill=—","Direction=H","UseDPDF=Y")</f>
        <v>#NAME?</v>
      </c>
      <c r="BC559" s="1" t="e">
        <f ca="1">_xll.BDH($C$553,"TOTAL_CAPITAL_5_YEAR_GROWTH","FQ1 2015","FQ1 2015","Currency=INR","Period=FQ","BEST_FPERIOD_OVERRIDE=FQ","FILING_STATUS=OR","EQY_CONSOLIDATED=Y","Sort=A","Dates=H","DateFormat=P","Fill=—","Direction=H","UseDPDF=Y")</f>
        <v>#NAME?</v>
      </c>
      <c r="BD559" s="1" t="e">
        <f ca="1">_xll.BDH($C$553,"GEO_GROW_BOOK_VAL","FQ1 2015","FQ1 2015","Currency=INR","Period=FQ","BEST_FPERIOD_OVERRIDE=FQ","FILING_STATUS=OR","EQY_CONSOLIDATED=Y","Sort=A","Dates=H","DateFormat=P","Fill=—","Direction=H","UseDPDF=Y")</f>
        <v>#NAME?</v>
      </c>
      <c r="BE559" s="1" t="e">
        <f ca="1">_xll.BDH($C$553,"GEO_GROW_CASH_OPER_ACT","FQ1 2015","FQ1 2015","Currency=INR","Period=FQ","BEST_FPERIOD_OVERRIDE=FQ","FILING_STATUS=OR","EQY_CONSOLIDATED=Y","Sort=A","Dates=H","DateFormat=P","Fill=—","Direction=H","UseDPDF=Y")</f>
        <v>#NAME?</v>
      </c>
      <c r="BF559" s="1" t="e">
        <f ca="1">_xll.BDH($C$553,"REVENUE_SEQUENTIAL_GROWTH","FQ1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59" s="1" t="e">
        <f ca="1">_xll.BDH($C$553,"EBITDA_SEQUENTIAL_GROWTH","FQ1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59" s="1" t="e">
        <f ca="1">_xll.BDH($C$553,"OPERATING_INCOME_SEQ_GROWTH","FQ1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59" s="1" t="e">
        <f ca="1">_xll.BDH($C$553,"NET_INCOME_TO_COMMON_SEQ_GROWTH","FQ1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59" s="1" t="e">
        <f ca="1">_xll.BDH($C$553,"EPS_DILUTED_SEQUENTIAL_GROWTH","FQ1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59" s="1" t="e">
        <f ca="1">_xll.BDH($C$553,"DPS_SEQUENTIAL_GROWTH","FQ1 2015","FQ1 2015","Currency=INR","Period=FQ","BEST_FPERIOD_OVERRIDE=FQ","FILING_STATUS=OR","EQY_CONSOLIDATED=Y","Sort=A","Dates=H","DateFormat=P","Fill=—","Direction=H","UseDPDF=Y")</f>
        <v>#NAME?</v>
      </c>
      <c r="BL559" s="1" t="e">
        <f ca="1">_xll.BDH($C$553,"ACCOUNTS_RECEIVABLE_SEQ_GROWTH","FQ1 2015","FQ1 2015","Currency=INR","Period=FQ","BEST_FPERIOD_OVERRIDE=FQ","FILING_STATUS=OR","EQY_CONSOLIDATED=Y","Sort=A","Dates=H","DateFormat=P","Fill=—","Direction=H","UseDPDF=Y")</f>
        <v>#NAME?</v>
      </c>
      <c r="BM559" s="1" t="e">
        <f ca="1">_xll.BDH($C$553,"INVENTORY_SEQUENTIAL_GROWTH","FQ1 2015","FQ1 2015","Currency=INR","Period=FQ","BEST_FPERIOD_OVERRIDE=FQ","FILING_STATUS=OR","EQY_CONSOLIDATED=Y","Sort=A","Dates=H","DateFormat=P","Fill=—","Direction=H","UseDPDF=Y")</f>
        <v>#NAME?</v>
      </c>
      <c r="BN559" s="1" t="e">
        <f ca="1">_xll.BDH($C$553,"FIXED_ASSETS_SEQUENTIAL_GROWTH","FQ1 2015","FQ1 2015","Currency=INR","Period=FQ","BEST_FPERIOD_OVERRIDE=FQ","FILING_STATUS=OR","EQY_CONSOLIDATED=Y","Sort=A","Dates=H","DateFormat=P","Fill=—","Direction=H","UseDPDF=Y")</f>
        <v>#NAME?</v>
      </c>
      <c r="BO559" s="1" t="e">
        <f ca="1">_xll.BDH($C$553,"TOTAL_ASSETS_SEQUENTIAL_GROWTH","FQ1 2015","FQ1 2015","Currency=INR","Period=FQ","BEST_FPERIOD_OVERRIDE=FQ","FILING_STATUS=OR","EQY_CONSOLIDATED=Y","Sort=A","Dates=H","DateFormat=P","Fill=—","Direction=H","UseDPDF=Y")</f>
        <v>#NAME?</v>
      </c>
      <c r="BP559" s="1" t="e">
        <f ca="1">_xll.BDH($C$553,"MODIFIED_WORKING_CPTL_SEQ_GRWTH","FQ1 2015","FQ1 2015","Currency=INR","Period=FQ","BEST_FPERIOD_OVERRIDE=FQ","FILING_STATUS=OR","EQY_CONSOLIDATED=Y","Sort=A","Dates=H","DateFormat=P","Fill=—","Direction=H","UseDPDF=Y")</f>
        <v>#NAME?</v>
      </c>
      <c r="BQ559" s="1" t="e">
        <f ca="1">_xll.BDH($C$553,"WORKING_CAPITAL_SEQ_GROWTH","FQ1 2015","FQ1 2015","Currency=INR","Period=FQ","BEST_FPERIOD_OVERRIDE=FQ","FILING_STATUS=OR","EQY_CONSOLIDATED=Y","Sort=A","Dates=H","DateFormat=P","Fill=—","Direction=H","UseDPDF=Y")</f>
        <v>#NAME?</v>
      </c>
      <c r="BR559" s="1" t="e">
        <f ca="1">_xll.BDH($C$553,"ACCOUNTS_PAYABLE_SEQ_GROWTH","FQ1 2015","FQ1 2015","Currency=INR","Period=FQ","BEST_FPERIOD_OVERRIDE=FQ","FILING_STATUS=OR","EQY_CONSOLIDATED=Y","Sort=A","Dates=H","DateFormat=P","Fill=—","Direction=H","UseDPDF=Y")</f>
        <v>#NAME?</v>
      </c>
      <c r="BS559" s="1" t="e">
        <f ca="1">_xll.BDH($C$553,"ST_DEBT_SEQUENTIAL_GROWTH","FQ1 2015","FQ1 2015","Currency=INR","Period=FQ","BEST_FPERIOD_OVERRIDE=FQ","FILING_STATUS=OR","EQY_CONSOLIDATED=Y","Sort=A","Dates=H","DateFormat=P","Fill=—","Direction=H","UseDPDF=Y")</f>
        <v>#NAME?</v>
      </c>
      <c r="BT559" s="1" t="e">
        <f ca="1">_xll.BDH($C$553,"TOTAL_DEBT_SEQUENTIAL_GROWTH","FQ1 2015","FQ1 2015","Currency=INR","Period=FQ","BEST_FPERIOD_OVERRIDE=FQ","FILING_STATUS=OR","EQY_CONSOLIDATED=Y","Sort=A","Dates=H","DateFormat=P","Fill=—","Direction=H","UseDPDF=Y")</f>
        <v>#NAME?</v>
      </c>
      <c r="BU559" s="1" t="e">
        <f ca="1">_xll.BDH($C$553,"TOTAL_EQUITY_SEQUENTIAL_GROWTH","FQ1 2015","FQ1 2015","Currency=INR","Period=FQ","BEST_FPERIOD_OVERRIDE=FQ","FILING_STATUS=OR","EQY_CONSOLIDATED=Y","Sort=A","Dates=H","DateFormat=P","Fill=—","Direction=H","UseDPDF=Y")</f>
        <v>#NAME?</v>
      </c>
      <c r="BV559" s="1" t="e">
        <f ca="1">_xll.BDH($C$553,"TOTAL_CAPITAL_SEQUENTIAL_GROWTH","FQ1 2015","FQ1 2015","Currency=INR","Period=FQ","BEST_FPERIOD_OVERRIDE=FQ","FILING_STATUS=OR","EQY_CONSOLIDATED=Y","Sort=A","Dates=H","DateFormat=P","Fill=—","Direction=H","UseDPDF=Y")</f>
        <v>#NAME?</v>
      </c>
      <c r="BW559" s="1" t="e">
        <f ca="1">_xll.BDH($C$553,"BPS_SEQUENTIAL_GROWTH","FQ1 2015","FQ1 2015","Currency=INR","Period=FQ","BEST_FPERIOD_OVERRIDE=FQ","FILING_STATUS=OR","EQY_CONSOLIDATED=Y","Sort=A","Dates=H","DateFormat=P","Fill=—","Direction=H","UseDPDF=Y")</f>
        <v>#NAME?</v>
      </c>
      <c r="BX559" s="1" t="e">
        <f ca="1">_xll.BDH($C$553,"CFO_SEQUENTIAL_GROWTH","FQ1 2015","FQ1 2015","Currency=INR","Period=FQ","BEST_FPERIOD_OVERRIDE=FQ","FILING_STATUS=OR","EQY_CONSOLIDATED=Y","Sort=A","Dates=H","DateFormat=P","Fill=—","Direction=H","UseDPDF=Y")</f>
        <v>#NAME?</v>
      </c>
      <c r="BY559" s="2" t="e">
        <f ca="1">_xll.BDH($C$553,"SHORT_AND_LONG_TERM_DEBT","FQ1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59" s="2" t="e">
        <f ca="1">_xll.BDH($C$553,"BS_ST_BORROW","FQ1 2015","FQ1 2015","Currency=INR","Period=FQ","BEST_FPERIOD_OVERRIDE=FQ","FILING_STATUS=OR","EQY_CONSOLIDATED=Y","SCALING_FORMAT=MLN","Sort=A","Dates=H","DateFormat=P","Fill=—","Direction=H","UseDPDF=Y")</f>
        <v>#NAME?</v>
      </c>
      <c r="CA559" s="2" t="e">
        <f ca="1">_xll.BDH($C$553,"BS_LT_BORROW","FQ1 2015","FQ1 2015","Currency=INR","Period=FQ","BEST_FPERIOD_OVERRIDE=FQ","FILING_STATUS=OR","EQY_CONSOLIDATED=Y","SCALING_FORMAT=MLN","Sort=A","Dates=H","DateFormat=P","Fill=—","Direction=H","UseDPDF=Y")</f>
        <v>#NAME?</v>
      </c>
      <c r="CB559" s="1" t="e">
        <f ca="1">_xll.BDH($C$553,"TOT_DEBT_TO_EBITDA","FQ1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59" s="1" t="e">
        <f ca="1">_xll.BDH($C$553,"NET_DEBT_TO_EBITDA","FQ1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59" s="1" t="e">
        <f ca="1">_xll.BDH($C$553,"TOTAL_DEBT_TO_EBIT","FQ1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59" s="1" t="e">
        <f ca="1">_xll.BDH($C$553,"NET_DEBT_TO_EBIT","FQ1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559" s="1" t="e">
        <f ca="1">_xll.BDH($C$553,"EBITDA_TO_INTEREST_EXPN","FQ1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59" s="1" t="e">
        <f ca="1">_xll.BDH($C$553,"COM_EQY_TO_TOT_ASSET","FQ1 2015","FQ1 2015","Currency=INR","Period=FQ","BEST_FPERIOD_OVERRIDE=FQ","FILING_STATUS=OR","EQY_CONSOLIDATED=Y","Sort=A","Dates=H","DateFormat=P","Fill=—","Direction=H","UseDPDF=Y")</f>
        <v>#NAME?</v>
      </c>
      <c r="CH559" s="1" t="e">
        <f ca="1">_xll.BDH($C$553,"LT_DEBT_TO_TOT_EQY","FQ1 2015","FQ1 2015","Currency=INR","Period=FQ","BEST_FPERIOD_OVERRIDE=FQ","FILING_STATUS=OR","EQY_CONSOLIDATED=Y","Sort=A","Dates=H","DateFormat=P","Fill=—","Direction=H","UseDPDF=Y")</f>
        <v>#NAME?</v>
      </c>
      <c r="CI559" s="1" t="e">
        <f ca="1">_xll.BDH($C$553,"LT_DEBT_TO_TOT_CAP","FQ1 2015","FQ1 2015","Currency=INR","Period=FQ","BEST_FPERIOD_OVERRIDE=FQ","FILING_STATUS=OR","EQY_CONSOLIDATED=Y","Sort=A","Dates=H","DateFormat=P","Fill=—","Direction=H","UseDPDF=Y")</f>
        <v>#NAME?</v>
      </c>
      <c r="CJ559" s="1" t="e">
        <f ca="1">_xll.BDH($C$553,"LT_DEBT_TO_TOT_ASSET","FQ1 2015","FQ1 2015","Currency=INR","Period=FQ","BEST_FPERIOD_OVERRIDE=FQ","FILING_STATUS=OR","EQY_CONSOLIDATED=Y","Sort=A","Dates=H","DateFormat=P","Fill=—","Direction=H","UseDPDF=Y")</f>
        <v>#NAME?</v>
      </c>
      <c r="CK559" s="1" t="e">
        <f ca="1">_xll.BDH($C$553,"TOT_DEBT_TO_TOT_EQY","FQ1 2015","FQ1 2015","Currency=INR","Period=FQ","BEST_FPERIOD_OVERRIDE=FQ","FILING_STATUS=OR","EQY_CONSOLIDATED=Y","Sort=A","Dates=H","DateFormat=P","Fill=—","Direction=H","UseDPDF=Y")</f>
        <v>#NAME?</v>
      </c>
      <c r="CL559" s="1" t="e">
        <f ca="1">_xll.BDH($C$553,"TOT_DEBT_TO_TOT_CAP","FQ1 2015","FQ1 2015","Currency=INR","Period=FQ","BEST_FPERIOD_OVERRIDE=FQ","FILING_STATUS=OR","EQY_CONSOLIDATED=Y","Sort=A","Dates=H","DateFormat=P","Fill=—","Direction=H","UseDPDF=Y")</f>
        <v>#NAME?</v>
      </c>
      <c r="CM559" s="1" t="e">
        <f ca="1">_xll.BDH($C$553,"TOT_DEBT_TO_TOT_ASSET","FQ1 2015","FQ1 2015","Currency=INR","Period=FQ","BEST_FPERIOD_OVERRIDE=FQ","FILING_STATUS=OR","EQY_CONSOLIDATED=Y","Sort=A","Dates=H","DateFormat=P","Fill=—","Direction=H","UseDPDF=Y")</f>
        <v>#NAME?</v>
      </c>
      <c r="CN559" s="1" t="e">
        <f ca="1">_xll.BDH($C$553,"NET_DEBT_TO_SHRHLDR_EQTY","FQ1 2015","FQ1 2015","Currency=INR","Period=FQ","BEST_FPERIOD_OVERRIDE=FQ","FILING_STATUS=OR","EQY_CONSOLIDATED=Y","Sort=A","Dates=H","DateFormat=P","Fill=—","Direction=H","UseDPDF=Y")</f>
        <v>#NAME?</v>
      </c>
      <c r="CO559" s="1" t="e">
        <f ca="1">_xll.BDH($C$553,"NET_DEBT_%_CAPITAL","FQ1 2015","FQ1 2015","Currency=INR","Period=FQ","BEST_FPERIOD_OVERRIDE=FQ","FILING_STATUS=OR","EQY_CONSOLIDATED=Y","Sort=A","Dates=H","DateFormat=P","Fill=—","Direction=H","UseDPDF=Y")</f>
        <v>#NAME?</v>
      </c>
      <c r="CP559" s="2" t="e">
        <f ca="1">_xll.BDH($C$553,"EBITDA","FQ1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59" s="2" t="e">
        <f ca="1">_xll.BDH($C$553,"EBITDA_AFTER_CAPEX","FQ1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59" s="2" t="e">
        <f ca="1">_xll.BDH($C$553,"IS_OPER_INC","FQ1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59" s="1" t="e">
        <f ca="1">_xll.BDH($C$553,"CASH_RATIO","FQ1 2015","FQ1 2015","Currency=INR","Period=FQ","BEST_FPERIOD_OVERRIDE=FQ","FILING_STATUS=OR","EQY_CONSOLIDATED=Y","Sort=A","Dates=H","DateFormat=P","Fill=—","Direction=H","UseDPDF=Y")</f>
        <v>#NAME?</v>
      </c>
      <c r="CT559" s="1" t="e">
        <f ca="1">_xll.BDH($C$553,"CUR_RATIO","FQ1 2015","FQ1 2015","Currency=INR","Period=FQ","BEST_FPERIOD_OVERRIDE=FQ","FILING_STATUS=OR","EQY_CONSOLIDATED=Y","Sort=A","Dates=H","DateFormat=P","Fill=—","Direction=H","UseDPDF=Y")</f>
        <v>#NAME?</v>
      </c>
      <c r="CU559" s="1" t="e">
        <f ca="1">_xll.BDH($C$553,"QUICK_RATIO","FQ1 2015","FQ1 2015","Currency=INR","Period=FQ","BEST_FPERIOD_OVERRIDE=FQ","FILING_STATUS=OR","EQY_CONSOLIDATED=Y","Sort=A","Dates=H","DateFormat=P","Fill=—","Direction=H","UseDPDF=Y")</f>
        <v>#NAME?</v>
      </c>
      <c r="CV559" s="1" t="e">
        <f ca="1">_xll.BDH($C$553,"ALTMAN_Z_SCORE","FQ1 2015","FQ1 2015","Currency=INR","Period=FQ","BEST_FPERIOD_OVERRIDE=FQ","FILING_STATUS=OR","EQY_CONSOLIDATED=Y","Sort=A","Dates=H","DateFormat=P","Fill=—","Direction=H","UseDPDF=Y")</f>
        <v>#NAME?</v>
      </c>
      <c r="CW559" s="3" t="e">
        <f ca="1">_xll.BDH($C$553,"ACCT_RCV_TURN","FQ1 2015","FQ1 2015","Currency=INR","Period=FQ","BEST_FPERIOD_OVERRIDE=FQ","FILING_STATUS=OR","EQY_CONSOLIDATED=Y","FA_ADJUSTED=GAAP","Sort=A","Dates=H","DateFormat=P","Fill=—","Direction=H","UseDPDF=Y")</f>
        <v>#NAME?</v>
      </c>
      <c r="CX559" s="1" t="e">
        <f ca="1">_xll.BDH($C$553,"ACCT_RCV_DAYS","FQ1 2015","FQ1 2015","Currency=INR","Period=FQ","BEST_FPERIOD_OVERRIDE=FQ","FILING_STATUS=OR","EQY_CONSOLIDATED=Y","FA_ADJUSTED=GAAP","Sort=A","Dates=H","DateFormat=P","Fill=—","Direction=H","UseDPDF=Y")</f>
        <v>#NAME?</v>
      </c>
      <c r="CY559" s="3" t="e">
        <f ca="1">_xll.BDH($C$553,"INVENT_TURN","FQ1 2015","FQ1 2015","Currency=INR","Period=FQ","BEST_FPERIOD_OVERRIDE=FQ","FILING_STATUS=OR","EQY_CONSOLIDATED=Y","FA_ADJUSTED=GAAP","Sort=A","Dates=H","DateFormat=P","Fill=—","Direction=H","UseDPDF=Y")</f>
        <v>#NAME?</v>
      </c>
      <c r="CZ559" s="1" t="e">
        <f ca="1">_xll.BDH($C$553,"INVENT_DAYS","FQ1 2015","FQ1 2015","Currency=INR","Period=FQ","BEST_FPERIOD_OVERRIDE=FQ","FILING_STATUS=OR","EQY_CONSOLIDATED=Y","FA_ADJUSTED=GAAP","Sort=A","Dates=H","DateFormat=P","Fill=—","Direction=H","UseDPDF=Y")</f>
        <v>#NAME?</v>
      </c>
      <c r="DA559" s="3" t="e">
        <f ca="1">_xll.BDH($C$553,"ACCOUNTS_PAYABLE_TURNOVER","FQ1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59" s="1" t="e">
        <f ca="1">_xll.BDH($C$553,"ACCOUNTS_PAYABLE_TURNOVER_DAYS","FQ1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59" s="3" t="e">
        <f ca="1">_xll.BDH($C$553,"CASH_CONVERSION_CYCLE","FQ1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59" s="3" t="e">
        <f ca="1">_xll.BDH($C$553,"INV_TO_CASH_DAYS","FQ1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559" s="4" t="e">
        <f ca="1">_xll.BDH($C$553,"BS_INVENTORIES","FQ1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559" s="2" t="e">
        <f ca="1">_xll.BDH($C$553,"INVTRY_RAW_MATERIALS","FQ1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59" s="2" t="e">
        <f ca="1">_xll.BDH($C$553,"INVTRY_IN_PROGRESS","FQ1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59" s="2" t="e">
        <f ca="1">_xll.BDH($C$553,"INVTRY_FINISHED_GOODS","FQ1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59" s="2" t="e">
        <f ca="1">_xll.BDH($C$553,"BS_OTHER_INV","FQ1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60" spans="1:113" x14ac:dyDescent="0.3">
      <c r="A560" s="6"/>
      <c r="B560" s="6"/>
      <c r="C560" s="6"/>
      <c r="D560" s="6"/>
      <c r="E560" t="s">
        <v>5</v>
      </c>
      <c r="F560" t="e">
        <f ca="1">_xll.BDH($C$553,"RETURN_COM_EQY","FQ2 2015","FQ2 2015","Currency=INR","Period=FQ","BEST_FPERIOD_OVERRIDE=FQ","FILING_STATUS=OR","EQY_CONSOLIDATED=Y","FA_ADJUSTED=GAAP","Sort=A","Dates=H","DateFormat=P","Fill=—","Direction=H","UseDPDF=Y")</f>
        <v>#NAME?</v>
      </c>
      <c r="G560" t="e">
        <f ca="1">_xll.BDH($C$553,"RETURN_ON_ASSET","FQ2 2015","FQ2 2015","Currency=INR","Period=FQ","BEST_FPERIOD_OVERRIDE=FQ","FILING_STATUS=OR","EQY_CONSOLIDATED=Y","FA_ADJUSTED=GAAP","Sort=A","Dates=H","DateFormat=P","Fill=—","Direction=H","UseDPDF=Y")</f>
        <v>#NAME?</v>
      </c>
      <c r="H560" t="e">
        <f ca="1">_xll.BDH($C$553,"RETURN_ON_CAP","FQ2 2015","FQ2 2015","Currency=INR","Period=FQ","BEST_FPERIOD_OVERRIDE=FQ","FILING_STATUS=OR","EQY_CONSOLIDATED=Y","FA_ADJUSTED=GAAP","Sort=A","Dates=H","DateFormat=P","Fill=—","Direction=H","UseDPDF=Y")</f>
        <v>#NAME?</v>
      </c>
      <c r="I560" t="e">
        <f ca="1">_xll.BDH($C$553,"RETURN_ON_INV_CAPITAL","FQ2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60" t="e">
        <f ca="1">_xll.BDH($C$553,"EBITDA_TO_REVENUE","FQ2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560" t="e">
        <f ca="1">_xll.BDH($C$553,"OPER_MARGIN","FQ2 2015","FQ2 2015","Currency=INR","Period=FQ","BEST_FPERIOD_OVERRIDE=FQ","FILING_STATUS=OR","EQY_CONSOLIDATED=Y","FA_ADJUSTED=GAAP","Sort=A","Dates=H","DateFormat=P","Fill=—","Direction=H","UseDPDF=Y")</f>
        <v>#NAME?</v>
      </c>
      <c r="L560" t="e">
        <f ca="1">_xll.BDH($C$553,"INCREMENTAL_OPERATING_MARGIN","FQ2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60" t="e">
        <f ca="1">_xll.BDH($C$553,"PRETAX_INC_TO_NET_SALES","FQ2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60" t="e">
        <f ca="1">_xll.BDH($C$553,"INC_BEF_XO_ITEMS_TO_NET_SALES","FQ2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60" t="e">
        <f ca="1">_xll.BDH($C$553,"PROF_MARGIN","FQ2 2015","FQ2 2015","Currency=INR","Period=FQ","BEST_FPERIOD_OVERRIDE=FQ","FILING_STATUS=OR","EQY_CONSOLIDATED=Y","FA_ADJUSTED=GAAP","Sort=A","Dates=H","DateFormat=P","Fill=—","Direction=H","UseDPDF=Y")</f>
        <v>#NAME?</v>
      </c>
      <c r="P560" t="e">
        <f ca="1">_xll.BDH($C$553,"NET_INCOME_TO_COMMON_MARGIN","FQ2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60" t="e">
        <f ca="1">_xll.BDH($C$553,"EFF_TAX_RATE","FQ2 2015","FQ2 2015","Currency=INR","Period=FQ","BEST_FPERIOD_OVERRIDE=FQ","FILING_STATUS=OR","EQY_CONSOLIDATED=Y","FA_ADJUSTED=GAAP","Sort=A","Dates=H","DateFormat=P","Fill=—","Direction=H","UseDPDF=Y")</f>
        <v>#NAME?</v>
      </c>
      <c r="R560" t="e">
        <f ca="1">_xll.BDH($C$553,"DVD_PAYOUT_RATIO","FQ2 2015","FQ2 2015","Currency=INR","Period=FQ","BEST_FPERIOD_OVERRIDE=FQ","FILING_STATUS=OR","EQY_CONSOLIDATED=Y","FA_ADJUSTED=GAAP","Sort=A","Dates=H","DateFormat=P","Fill=—","Direction=H","UseDPDF=Y")</f>
        <v>#NAME?</v>
      </c>
      <c r="S560" t="e">
        <f ca="1">_xll.BDH($C$553,"SUSTAIN_GROWTH_RT","FQ2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560" s="1" t="e">
        <f ca="1">_xll.BDH($C$553,"SALES_GROWTH","FQ2 2015","FQ2 2015","Currency=INR","Period=FQ","BEST_FPERIOD_OVERRIDE=FQ","FILING_STATUS=OR","EQY_CONSOLIDATED=Y","FA_ADJUSTED=GAAP","Sort=A","Dates=H","DateFormat=P","Fill=—","Direction=H","UseDPDF=Y")</f>
        <v>#NAME?</v>
      </c>
      <c r="U560" s="1" t="e">
        <f ca="1">_xll.BDH($C$553,"EBITDA_GROWTH","FQ2 2015","FQ2 2015","Currency=INR","Period=FQ","BEST_FPERIOD_OVERRIDE=FQ","FILING_STATUS=OR","EQY_CONSOLIDATED=Y","FA_ADJUSTED=GAAP","Sort=A","Dates=H","DateFormat=P","Fill=—","Direction=H","UseDPDF=Y")</f>
        <v>#NAME?</v>
      </c>
      <c r="V560" s="1" t="e">
        <f ca="1">_xll.BDH($C$553,"OPER_INC_GROWTH","FQ2 2015","FQ2 2015","Currency=INR","Period=FQ","BEST_FPERIOD_OVERRIDE=FQ","FILING_STATUS=OR","EQY_CONSOLIDATED=Y","FA_ADJUSTED=GAAP","Sort=A","Dates=H","DateFormat=P","Fill=—","Direction=H","UseDPDF=Y")</f>
        <v>#NAME?</v>
      </c>
      <c r="W560" s="1" t="e">
        <f ca="1">_xll.BDH($C$553,"EARN_FOR_COM_GROWTH","FQ2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60" s="1" t="e">
        <f ca="1">_xll.BDH($C$553,"DILUTED_EPS_AFT_XO_ITEMS_GROWTH","FQ2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60" s="1" t="e">
        <f ca="1">_xll.BDH($C$553,"DIVIDEND_PER_SHARE_1_YEAR_GROWTH","FQ2 2015","FQ2 2015","Currency=INR","Period=FQ","BEST_FPERIOD_OVERRIDE=FQ","FILING_STATUS=OR","EQY_CONSOLIDATED=Y","Sort=A","Dates=H","DateFormat=P","Fill=—","Direction=H","UseDPDF=Y")</f>
        <v>#NAME?</v>
      </c>
      <c r="Z560" s="1" t="e">
        <f ca="1">_xll.BDH($C$553,"ACCOUNTS_RECEIVABLE_GROWTH","FQ2 2015","FQ2 2015","Currency=INR","Period=FQ","BEST_FPERIOD_OVERRIDE=FQ","FILING_STATUS=OR","EQY_CONSOLIDATED=Y","Sort=A","Dates=H","DateFormat=P","Fill=—","Direction=H","UseDPDF=Y")</f>
        <v>#NAME?</v>
      </c>
      <c r="AA560" s="1" t="e">
        <f ca="1">_xll.BDH($C$553,"INVENTORY_GROWTH","FQ2 2015","FQ2 2015","Currency=INR","Period=FQ","BEST_FPERIOD_OVERRIDE=FQ","FILING_STATUS=OR","EQY_CONSOLIDATED=Y","Sort=A","Dates=H","DateFormat=P","Fill=—","Direction=H","UseDPDF=Y")</f>
        <v>#NAME?</v>
      </c>
      <c r="AB560" s="1" t="e">
        <f ca="1">_xll.BDH($C$553,"NET_FIXED_ASSETS_1_YEAR_GROWTH","FQ2 2015","FQ2 2015","Currency=INR","Period=FQ","BEST_FPERIOD_OVERRIDE=FQ","FILING_STATUS=OR","EQY_CONSOLIDATED=Y","Sort=A","Dates=H","DateFormat=P","Fill=—","Direction=H","UseDPDF=Y")</f>
        <v>#NAME?</v>
      </c>
      <c r="AC560" s="1" t="e">
        <f ca="1">_xll.BDH($C$553,"ASSET_GROWTH","FQ2 2015","FQ2 2015","Currency=INR","Period=FQ","BEST_FPERIOD_OVERRIDE=FQ","FILING_STATUS=OR","EQY_CONSOLIDATED=Y","Sort=A","Dates=H","DateFormat=P","Fill=—","Direction=H","UseDPDF=Y")</f>
        <v>#NAME?</v>
      </c>
      <c r="AD560" s="1" t="e">
        <f ca="1">_xll.BDH($C$553,"MODIFIED_WORK_CAP_GROWTH","FQ2 2015","FQ2 2015","Currency=INR","Period=FQ","BEST_FPERIOD_OVERRIDE=FQ","FILING_STATUS=OR","EQY_CONSOLIDATED=Y","Sort=A","Dates=H","DateFormat=P","Fill=—","Direction=H","UseDPDF=Y")</f>
        <v>#NAME?</v>
      </c>
      <c r="AE560" s="1" t="e">
        <f ca="1">_xll.BDH($C$553,"WORK_CAP_GROWTH","FQ2 2015","FQ2 2015","Currency=INR","Period=FQ","BEST_FPERIOD_OVERRIDE=FQ","FILING_STATUS=OR","EQY_CONSOLIDATED=Y","Sort=A","Dates=H","DateFormat=P","Fill=—","Direction=H","UseDPDF=Y")</f>
        <v>#NAME?</v>
      </c>
      <c r="AF560" s="1" t="e">
        <f ca="1">_xll.BDH($C$553,"ACCOUNTS_PAYABLE_GROWTH_1YR","FQ2 2015","FQ2 2015","Currency=INR","Period=FQ","BEST_FPERIOD_OVERRIDE=FQ","FILING_STATUS=OR","EQY_CONSOLIDATED=Y","Sort=A","Dates=H","DateFormat=P","Fill=—","Direction=H","UseDPDF=Y")</f>
        <v>#NAME?</v>
      </c>
      <c r="AG560" s="1" t="e">
        <f ca="1">_xll.BDH($C$553,"SHORT_TERM_DEBT_1_YEAR_GROWTH","FQ2 2015","FQ2 2015","Currency=INR","Period=FQ","BEST_FPERIOD_OVERRIDE=FQ","FILING_STATUS=OR","EQY_CONSOLIDATED=Y","Sort=A","Dates=H","DateFormat=P","Fill=—","Direction=H","UseDPDF=Y")</f>
        <v>#NAME?</v>
      </c>
      <c r="AH560" s="1" t="e">
        <f ca="1">_xll.BDH($C$553,"TOTAL_DEBT_1_YEAR_GROWTH","FQ2 2015","FQ2 2015","Currency=INR","Period=FQ","BEST_FPERIOD_OVERRIDE=FQ","FILING_STATUS=OR","EQY_CONSOLIDATED=Y","Sort=A","Dates=H","DateFormat=P","Fill=—","Direction=H","UseDPDF=Y")</f>
        <v>#NAME?</v>
      </c>
      <c r="AI560" s="1" t="e">
        <f ca="1">_xll.BDH($C$553,"TOTAL_EQUITY_1_YEAR_GROWTH","FQ2 2015","FQ2 2015","Currency=INR","Period=FQ","BEST_FPERIOD_OVERRIDE=FQ","FILING_STATUS=OR","EQY_CONSOLIDATED=Y","Sort=A","Dates=H","DateFormat=P","Fill=—","Direction=H","UseDPDF=Y")</f>
        <v>#NAME?</v>
      </c>
      <c r="AJ560" s="1" t="e">
        <f ca="1">_xll.BDH($C$553,"GROWTH_IN_CAP","FQ2 2015","FQ2 2015","Currency=INR","Period=FQ","BEST_FPERIOD_OVERRIDE=FQ","FILING_STATUS=OR","EQY_CONSOLIDATED=Y","Sort=A","Dates=H","DateFormat=P","Fill=—","Direction=H","UseDPDF=Y")</f>
        <v>#NAME?</v>
      </c>
      <c r="AK560" s="1" t="e">
        <f ca="1">_xll.BDH($C$553,"BVPS_GROWTH","FQ2 2015","FQ2 2015","Currency=INR","Period=FQ","BEST_FPERIOD_OVERRIDE=FQ","FILING_STATUS=OR","EQY_CONSOLIDATED=Y","Sort=A","Dates=H","DateFormat=P","Fill=—","Direction=H","UseDPDF=Y")</f>
        <v>#NAME?</v>
      </c>
      <c r="AL560" s="1" t="e">
        <f ca="1">_xll.BDH($C$553,"CASH_FLOW_GROWTH","FQ2 2015","FQ2 2015","Currency=INR","Period=FQ","BEST_FPERIOD_OVERRIDE=FQ","FILING_STATUS=OR","EQY_CONSOLIDATED=Y","Sort=A","Dates=H","DateFormat=P","Fill=—","Direction=H","UseDPDF=Y")</f>
        <v>#NAME?</v>
      </c>
      <c r="AM560" s="1" t="e">
        <f ca="1">_xll.BDH($C$553,"GEO_GROW_NET_SALES","FQ2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60" s="1" t="e">
        <f ca="1">_xll.BDH($C$553,"GEO_GROW_EBITDA","FQ2 2015","FQ2 2015","Currency=INR","Period=FQ","BEST_FPERIOD_OVERRIDE=FQ","FILING_STATUS=OR","EQY_CONSOLIDATED=Y","FA_ADJUSTED=GAAP","Sort=A","Dates=H","DateFormat=P","Fill=—","Direction=H","UseDPDF=Y")</f>
        <v>#NAME?</v>
      </c>
      <c r="AO560" s="1" t="e">
        <f ca="1">_xll.BDH($C$553,"GEO_GROW_OPER_INC","FQ2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60" s="1" t="e">
        <f ca="1">_xll.BDH($C$553,"NET_INCOME_TO_COMMON_5_YR_GROWTH","FQ2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60" s="1" t="e">
        <f ca="1">_xll.BDH($C$553,"5Y_GEO_GROWTH_DILUTED_EPS","FQ2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60" s="1" t="e">
        <f ca="1">_xll.BDH($C$553,"GEO_GROW_DVD_PER_SH","FQ2 2015","FQ2 2015","Currency=INR","Period=FQ","BEST_FPERIOD_OVERRIDE=FQ","FILING_STATUS=OR","EQY_CONSOLIDATED=Y","Sort=A","Dates=H","DateFormat=P","Fill=—","Direction=H","UseDPDF=Y")</f>
        <v>#NAME?</v>
      </c>
      <c r="AS560" s="1" t="e">
        <f ca="1">_xll.BDH($C$553,"ACCOUNTS_RECEIVABLE_5_YR_GROWTH","FQ2 2015","FQ2 2015","Currency=INR","Period=FQ","BEST_FPERIOD_OVERRIDE=FQ","FILING_STATUS=OR","EQY_CONSOLIDATED=Y","Sort=A","Dates=H","DateFormat=P","Fill=—","Direction=H","UseDPDF=Y")</f>
        <v>#NAME?</v>
      </c>
      <c r="AT560" s="1" t="e">
        <f ca="1">_xll.BDH($C$553,"INVENTORY_5_YEAR_GROWTH","FQ2 2015","FQ2 2015","Currency=INR","Period=FQ","BEST_FPERIOD_OVERRIDE=FQ","FILING_STATUS=OR","EQY_CONSOLIDATED=Y","Sort=A","Dates=H","DateFormat=P","Fill=—","Direction=H","UseDPDF=Y")</f>
        <v>#NAME?</v>
      </c>
      <c r="AU560" s="1" t="e">
        <f ca="1">_xll.BDH($C$553,"NET_FIXED_ASSETS_5_YEAR_GROWTH","FQ2 2015","FQ2 2015","Currency=INR","Period=FQ","BEST_FPERIOD_OVERRIDE=FQ","FILING_STATUS=OR","EQY_CONSOLIDATED=Y","Sort=A","Dates=H","DateFormat=P","Fill=—","Direction=H","UseDPDF=Y")</f>
        <v>#NAME?</v>
      </c>
      <c r="AV560" s="1" t="e">
        <f ca="1">_xll.BDH($C$553,"GEO_GROW_TOT_ASSET","FQ2 2015","FQ2 2015","Currency=INR","Period=FQ","BEST_FPERIOD_OVERRIDE=FQ","FILING_STATUS=OR","EQY_CONSOLIDATED=Y","Sort=A","Dates=H","DateFormat=P","Fill=—","Direction=H","UseDPDF=Y")</f>
        <v>#NAME?</v>
      </c>
      <c r="AW560" s="1" t="e">
        <f ca="1">_xll.BDH($C$553,"MODIFIED_WORKING_CPTL_5YR_GRWTH","FQ2 2015","FQ2 2015","Currency=INR","Period=FQ","BEST_FPERIOD_OVERRIDE=FQ","FILING_STATUS=OR","EQY_CONSOLIDATED=Y","Sort=A","Dates=H","DateFormat=P","Fill=—","Direction=H","UseDPDF=Y")</f>
        <v>#NAME?</v>
      </c>
      <c r="AX560" s="1" t="e">
        <f ca="1">_xll.BDH($C$553,"WORKING_CAPITAL_5_YEAR_GROWTH","FQ2 2015","FQ2 2015","Currency=INR","Period=FQ","BEST_FPERIOD_OVERRIDE=FQ","FILING_STATUS=OR","EQY_CONSOLIDATED=Y","Sort=A","Dates=H","DateFormat=P","Fill=—","Direction=H","UseDPDF=Y")</f>
        <v>#NAME?</v>
      </c>
      <c r="AY560" s="1" t="e">
        <f ca="1">_xll.BDH($C$553,"ACCOUNTS_PAYABLE_5_YEAR_GROWTH","FQ2 2015","FQ2 2015","Currency=INR","Period=FQ","BEST_FPERIOD_OVERRIDE=FQ","FILING_STATUS=OR","EQY_CONSOLIDATED=Y","Sort=A","Dates=H","DateFormat=P","Fill=—","Direction=H","UseDPDF=Y")</f>
        <v>#NAME?</v>
      </c>
      <c r="AZ560" s="1" t="e">
        <f ca="1">_xll.BDH($C$553,"SHORT_TERM_DEBT_5_YEAR_GROWTH","FQ2 2015","FQ2 2015","Currency=INR","Period=FQ","BEST_FPERIOD_OVERRIDE=FQ","FILING_STATUS=OR","EQY_CONSOLIDATED=Y","Sort=A","Dates=H","DateFormat=P","Fill=—","Direction=H","UseDPDF=Y")</f>
        <v>#NAME?</v>
      </c>
      <c r="BA560" s="1" t="e">
        <f ca="1">_xll.BDH($C$553,"TOTAL_DEBT_5_YEAR_GROWTH","FQ2 2015","FQ2 2015","Currency=INR","Period=FQ","BEST_FPERIOD_OVERRIDE=FQ","FILING_STATUS=OR","EQY_CONSOLIDATED=Y","Sort=A","Dates=H","DateFormat=P","Fill=—","Direction=H","UseDPDF=Y")</f>
        <v>#NAME?</v>
      </c>
      <c r="BB560" s="1" t="e">
        <f ca="1">_xll.BDH($C$553,"GEO_GROW_TOT_SHRHLDR_EQY","FQ2 2015","FQ2 2015","Currency=INR","Period=FQ","BEST_FPERIOD_OVERRIDE=FQ","FILING_STATUS=OR","EQY_CONSOLIDATED=Y","Sort=A","Dates=H","DateFormat=P","Fill=—","Direction=H","UseDPDF=Y")</f>
        <v>#NAME?</v>
      </c>
      <c r="BC560" s="1" t="e">
        <f ca="1">_xll.BDH($C$553,"TOTAL_CAPITAL_5_YEAR_GROWTH","FQ2 2015","FQ2 2015","Currency=INR","Period=FQ","BEST_FPERIOD_OVERRIDE=FQ","FILING_STATUS=OR","EQY_CONSOLIDATED=Y","Sort=A","Dates=H","DateFormat=P","Fill=—","Direction=H","UseDPDF=Y")</f>
        <v>#NAME?</v>
      </c>
      <c r="BD560" s="1" t="e">
        <f ca="1">_xll.BDH($C$553,"GEO_GROW_BOOK_VAL","FQ2 2015","FQ2 2015","Currency=INR","Period=FQ","BEST_FPERIOD_OVERRIDE=FQ","FILING_STATUS=OR","EQY_CONSOLIDATED=Y","Sort=A","Dates=H","DateFormat=P","Fill=—","Direction=H","UseDPDF=Y")</f>
        <v>#NAME?</v>
      </c>
      <c r="BE560" s="1" t="e">
        <f ca="1">_xll.BDH($C$553,"GEO_GROW_CASH_OPER_ACT","FQ2 2015","FQ2 2015","Currency=INR","Period=FQ","BEST_FPERIOD_OVERRIDE=FQ","FILING_STATUS=OR","EQY_CONSOLIDATED=Y","Sort=A","Dates=H","DateFormat=P","Fill=—","Direction=H","UseDPDF=Y")</f>
        <v>#NAME?</v>
      </c>
      <c r="BF560" s="1" t="e">
        <f ca="1">_xll.BDH($C$553,"REVENUE_SEQUENTIAL_GROWTH","FQ2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60" s="1" t="e">
        <f ca="1">_xll.BDH($C$553,"EBITDA_SEQUENTIAL_GROWTH","FQ2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60" s="1" t="e">
        <f ca="1">_xll.BDH($C$553,"OPERATING_INCOME_SEQ_GROWTH","FQ2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60" s="1" t="e">
        <f ca="1">_xll.BDH($C$553,"NET_INCOME_TO_COMMON_SEQ_GROWTH","FQ2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60" s="1" t="e">
        <f ca="1">_xll.BDH($C$553,"EPS_DILUTED_SEQUENTIAL_GROWTH","FQ2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60" s="1" t="e">
        <f ca="1">_xll.BDH($C$553,"DPS_SEQUENTIAL_GROWTH","FQ2 2015","FQ2 2015","Currency=INR","Period=FQ","BEST_FPERIOD_OVERRIDE=FQ","FILING_STATUS=OR","EQY_CONSOLIDATED=Y","Sort=A","Dates=H","DateFormat=P","Fill=—","Direction=H","UseDPDF=Y")</f>
        <v>#NAME?</v>
      </c>
      <c r="BL560" s="1" t="e">
        <f ca="1">_xll.BDH($C$553,"ACCOUNTS_RECEIVABLE_SEQ_GROWTH","FQ2 2015","FQ2 2015","Currency=INR","Period=FQ","BEST_FPERIOD_OVERRIDE=FQ","FILING_STATUS=OR","EQY_CONSOLIDATED=Y","Sort=A","Dates=H","DateFormat=P","Fill=—","Direction=H","UseDPDF=Y")</f>
        <v>#NAME?</v>
      </c>
      <c r="BM560" s="1" t="e">
        <f ca="1">_xll.BDH($C$553,"INVENTORY_SEQUENTIAL_GROWTH","FQ2 2015","FQ2 2015","Currency=INR","Period=FQ","BEST_FPERIOD_OVERRIDE=FQ","FILING_STATUS=OR","EQY_CONSOLIDATED=Y","Sort=A","Dates=H","DateFormat=P","Fill=—","Direction=H","UseDPDF=Y")</f>
        <v>#NAME?</v>
      </c>
      <c r="BN560" s="1" t="e">
        <f ca="1">_xll.BDH($C$553,"FIXED_ASSETS_SEQUENTIAL_GROWTH","FQ2 2015","FQ2 2015","Currency=INR","Period=FQ","BEST_FPERIOD_OVERRIDE=FQ","FILING_STATUS=OR","EQY_CONSOLIDATED=Y","Sort=A","Dates=H","DateFormat=P","Fill=—","Direction=H","UseDPDF=Y")</f>
        <v>#NAME?</v>
      </c>
      <c r="BO560" s="1" t="e">
        <f ca="1">_xll.BDH($C$553,"TOTAL_ASSETS_SEQUENTIAL_GROWTH","FQ2 2015","FQ2 2015","Currency=INR","Period=FQ","BEST_FPERIOD_OVERRIDE=FQ","FILING_STATUS=OR","EQY_CONSOLIDATED=Y","Sort=A","Dates=H","DateFormat=P","Fill=—","Direction=H","UseDPDF=Y")</f>
        <v>#NAME?</v>
      </c>
      <c r="BP560" s="1" t="e">
        <f ca="1">_xll.BDH($C$553,"MODIFIED_WORKING_CPTL_SEQ_GRWTH","FQ2 2015","FQ2 2015","Currency=INR","Period=FQ","BEST_FPERIOD_OVERRIDE=FQ","FILING_STATUS=OR","EQY_CONSOLIDATED=Y","Sort=A","Dates=H","DateFormat=P","Fill=—","Direction=H","UseDPDF=Y")</f>
        <v>#NAME?</v>
      </c>
      <c r="BQ560" s="1" t="e">
        <f ca="1">_xll.BDH($C$553,"WORKING_CAPITAL_SEQ_GROWTH","FQ2 2015","FQ2 2015","Currency=INR","Period=FQ","BEST_FPERIOD_OVERRIDE=FQ","FILING_STATUS=OR","EQY_CONSOLIDATED=Y","Sort=A","Dates=H","DateFormat=P","Fill=—","Direction=H","UseDPDF=Y")</f>
        <v>#NAME?</v>
      </c>
      <c r="BR560" s="1" t="e">
        <f ca="1">_xll.BDH($C$553,"ACCOUNTS_PAYABLE_SEQ_GROWTH","FQ2 2015","FQ2 2015","Currency=INR","Period=FQ","BEST_FPERIOD_OVERRIDE=FQ","FILING_STATUS=OR","EQY_CONSOLIDATED=Y","Sort=A","Dates=H","DateFormat=P","Fill=—","Direction=H","UseDPDF=Y")</f>
        <v>#NAME?</v>
      </c>
      <c r="BS560" s="1" t="e">
        <f ca="1">_xll.BDH($C$553,"ST_DEBT_SEQUENTIAL_GROWTH","FQ2 2015","FQ2 2015","Currency=INR","Period=FQ","BEST_FPERIOD_OVERRIDE=FQ","FILING_STATUS=OR","EQY_CONSOLIDATED=Y","Sort=A","Dates=H","DateFormat=P","Fill=—","Direction=H","UseDPDF=Y")</f>
        <v>#NAME?</v>
      </c>
      <c r="BT560" s="1" t="e">
        <f ca="1">_xll.BDH($C$553,"TOTAL_DEBT_SEQUENTIAL_GROWTH","FQ2 2015","FQ2 2015","Currency=INR","Period=FQ","BEST_FPERIOD_OVERRIDE=FQ","FILING_STATUS=OR","EQY_CONSOLIDATED=Y","Sort=A","Dates=H","DateFormat=P","Fill=—","Direction=H","UseDPDF=Y")</f>
        <v>#NAME?</v>
      </c>
      <c r="BU560" s="1" t="e">
        <f ca="1">_xll.BDH($C$553,"TOTAL_EQUITY_SEQUENTIAL_GROWTH","FQ2 2015","FQ2 2015","Currency=INR","Period=FQ","BEST_FPERIOD_OVERRIDE=FQ","FILING_STATUS=OR","EQY_CONSOLIDATED=Y","Sort=A","Dates=H","DateFormat=P","Fill=—","Direction=H","UseDPDF=Y")</f>
        <v>#NAME?</v>
      </c>
      <c r="BV560" s="1" t="e">
        <f ca="1">_xll.BDH($C$553,"TOTAL_CAPITAL_SEQUENTIAL_GROWTH","FQ2 2015","FQ2 2015","Currency=INR","Period=FQ","BEST_FPERIOD_OVERRIDE=FQ","FILING_STATUS=OR","EQY_CONSOLIDATED=Y","Sort=A","Dates=H","DateFormat=P","Fill=—","Direction=H","UseDPDF=Y")</f>
        <v>#NAME?</v>
      </c>
      <c r="BW560" s="1" t="e">
        <f ca="1">_xll.BDH($C$553,"BPS_SEQUENTIAL_GROWTH","FQ2 2015","FQ2 2015","Currency=INR","Period=FQ","BEST_FPERIOD_OVERRIDE=FQ","FILING_STATUS=OR","EQY_CONSOLIDATED=Y","Sort=A","Dates=H","DateFormat=P","Fill=—","Direction=H","UseDPDF=Y")</f>
        <v>#NAME?</v>
      </c>
      <c r="BX560" s="1" t="e">
        <f ca="1">_xll.BDH($C$553,"CFO_SEQUENTIAL_GROWTH","FQ2 2015","FQ2 2015","Currency=INR","Period=FQ","BEST_FPERIOD_OVERRIDE=FQ","FILING_STATUS=OR","EQY_CONSOLIDATED=Y","Sort=A","Dates=H","DateFormat=P","Fill=—","Direction=H","UseDPDF=Y")</f>
        <v>#NAME?</v>
      </c>
      <c r="BY560" s="2" t="e">
        <f ca="1">_xll.BDH($C$553,"SHORT_AND_LONG_TERM_DEBT","FQ2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60" s="2" t="e">
        <f ca="1">_xll.BDH($C$553,"BS_ST_BORROW","FQ2 2015","FQ2 2015","Currency=INR","Period=FQ","BEST_FPERIOD_OVERRIDE=FQ","FILING_STATUS=OR","EQY_CONSOLIDATED=Y","SCALING_FORMAT=MLN","Sort=A","Dates=H","DateFormat=P","Fill=—","Direction=H","UseDPDF=Y")</f>
        <v>#NAME?</v>
      </c>
      <c r="CA560" s="2" t="e">
        <f ca="1">_xll.BDH($C$553,"BS_LT_BORROW","FQ2 2015","FQ2 2015","Currency=INR","Period=FQ","BEST_FPERIOD_OVERRIDE=FQ","FILING_STATUS=OR","EQY_CONSOLIDATED=Y","SCALING_FORMAT=MLN","Sort=A","Dates=H","DateFormat=P","Fill=—","Direction=H","UseDPDF=Y")</f>
        <v>#NAME?</v>
      </c>
      <c r="CB560" s="1" t="e">
        <f ca="1">_xll.BDH($C$553,"TOT_DEBT_TO_EBITDA","FQ2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60" s="1" t="e">
        <f ca="1">_xll.BDH($C$553,"NET_DEBT_TO_EBITDA","FQ2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60" s="1" t="e">
        <f ca="1">_xll.BDH($C$553,"TOTAL_DEBT_TO_EBIT","FQ2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60" s="1" t="e">
        <f ca="1">_xll.BDH($C$553,"NET_DEBT_TO_EBIT","FQ2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560" s="1" t="e">
        <f ca="1">_xll.BDH($C$553,"EBITDA_TO_INTEREST_EXPN","FQ2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60" s="1" t="e">
        <f ca="1">_xll.BDH($C$553,"COM_EQY_TO_TOT_ASSET","FQ2 2015","FQ2 2015","Currency=INR","Period=FQ","BEST_FPERIOD_OVERRIDE=FQ","FILING_STATUS=OR","EQY_CONSOLIDATED=Y","Sort=A","Dates=H","DateFormat=P","Fill=—","Direction=H","UseDPDF=Y")</f>
        <v>#NAME?</v>
      </c>
      <c r="CH560" s="1" t="e">
        <f ca="1">_xll.BDH($C$553,"LT_DEBT_TO_TOT_EQY","FQ2 2015","FQ2 2015","Currency=INR","Period=FQ","BEST_FPERIOD_OVERRIDE=FQ","FILING_STATUS=OR","EQY_CONSOLIDATED=Y","Sort=A","Dates=H","DateFormat=P","Fill=—","Direction=H","UseDPDF=Y")</f>
        <v>#NAME?</v>
      </c>
      <c r="CI560" s="1" t="e">
        <f ca="1">_xll.BDH($C$553,"LT_DEBT_TO_TOT_CAP","FQ2 2015","FQ2 2015","Currency=INR","Period=FQ","BEST_FPERIOD_OVERRIDE=FQ","FILING_STATUS=OR","EQY_CONSOLIDATED=Y","Sort=A","Dates=H","DateFormat=P","Fill=—","Direction=H","UseDPDF=Y")</f>
        <v>#NAME?</v>
      </c>
      <c r="CJ560" s="1" t="e">
        <f ca="1">_xll.BDH($C$553,"LT_DEBT_TO_TOT_ASSET","FQ2 2015","FQ2 2015","Currency=INR","Period=FQ","BEST_FPERIOD_OVERRIDE=FQ","FILING_STATUS=OR","EQY_CONSOLIDATED=Y","Sort=A","Dates=H","DateFormat=P","Fill=—","Direction=H","UseDPDF=Y")</f>
        <v>#NAME?</v>
      </c>
      <c r="CK560" s="1" t="e">
        <f ca="1">_xll.BDH($C$553,"TOT_DEBT_TO_TOT_EQY","FQ2 2015","FQ2 2015","Currency=INR","Period=FQ","BEST_FPERIOD_OVERRIDE=FQ","FILING_STATUS=OR","EQY_CONSOLIDATED=Y","Sort=A","Dates=H","DateFormat=P","Fill=—","Direction=H","UseDPDF=Y")</f>
        <v>#NAME?</v>
      </c>
      <c r="CL560" s="1" t="e">
        <f ca="1">_xll.BDH($C$553,"TOT_DEBT_TO_TOT_CAP","FQ2 2015","FQ2 2015","Currency=INR","Period=FQ","BEST_FPERIOD_OVERRIDE=FQ","FILING_STATUS=OR","EQY_CONSOLIDATED=Y","Sort=A","Dates=H","DateFormat=P","Fill=—","Direction=H","UseDPDF=Y")</f>
        <v>#NAME?</v>
      </c>
      <c r="CM560" s="1" t="e">
        <f ca="1">_xll.BDH($C$553,"TOT_DEBT_TO_TOT_ASSET","FQ2 2015","FQ2 2015","Currency=INR","Period=FQ","BEST_FPERIOD_OVERRIDE=FQ","FILING_STATUS=OR","EQY_CONSOLIDATED=Y","Sort=A","Dates=H","DateFormat=P","Fill=—","Direction=H","UseDPDF=Y")</f>
        <v>#NAME?</v>
      </c>
      <c r="CN560" s="1" t="e">
        <f ca="1">_xll.BDH($C$553,"NET_DEBT_TO_SHRHLDR_EQTY","FQ2 2015","FQ2 2015","Currency=INR","Period=FQ","BEST_FPERIOD_OVERRIDE=FQ","FILING_STATUS=OR","EQY_CONSOLIDATED=Y","Sort=A","Dates=H","DateFormat=P","Fill=—","Direction=H","UseDPDF=Y")</f>
        <v>#NAME?</v>
      </c>
      <c r="CO560" s="1" t="e">
        <f ca="1">_xll.BDH($C$553,"NET_DEBT_%_CAPITAL","FQ2 2015","FQ2 2015","Currency=INR","Period=FQ","BEST_FPERIOD_OVERRIDE=FQ","FILING_STATUS=OR","EQY_CONSOLIDATED=Y","Sort=A","Dates=H","DateFormat=P","Fill=—","Direction=H","UseDPDF=Y")</f>
        <v>#NAME?</v>
      </c>
      <c r="CP560" s="2" t="e">
        <f ca="1">_xll.BDH($C$553,"EBITDA","FQ2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60" s="2" t="e">
        <f ca="1">_xll.BDH($C$553,"EBITDA_AFTER_CAPEX","FQ2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60" s="2" t="e">
        <f ca="1">_xll.BDH($C$553,"IS_OPER_INC","FQ2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60" s="1" t="e">
        <f ca="1">_xll.BDH($C$553,"CASH_RATIO","FQ2 2015","FQ2 2015","Currency=INR","Period=FQ","BEST_FPERIOD_OVERRIDE=FQ","FILING_STATUS=OR","EQY_CONSOLIDATED=Y","Sort=A","Dates=H","DateFormat=P","Fill=—","Direction=H","UseDPDF=Y")</f>
        <v>#NAME?</v>
      </c>
      <c r="CT560" s="1" t="e">
        <f ca="1">_xll.BDH($C$553,"CUR_RATIO","FQ2 2015","FQ2 2015","Currency=INR","Period=FQ","BEST_FPERIOD_OVERRIDE=FQ","FILING_STATUS=OR","EQY_CONSOLIDATED=Y","Sort=A","Dates=H","DateFormat=P","Fill=—","Direction=H","UseDPDF=Y")</f>
        <v>#NAME?</v>
      </c>
      <c r="CU560" s="1" t="e">
        <f ca="1">_xll.BDH($C$553,"QUICK_RATIO","FQ2 2015","FQ2 2015","Currency=INR","Period=FQ","BEST_FPERIOD_OVERRIDE=FQ","FILING_STATUS=OR","EQY_CONSOLIDATED=Y","Sort=A","Dates=H","DateFormat=P","Fill=—","Direction=H","UseDPDF=Y")</f>
        <v>#NAME?</v>
      </c>
      <c r="CV560" s="1" t="e">
        <f ca="1">_xll.BDH($C$553,"ALTMAN_Z_SCORE","FQ2 2015","FQ2 2015","Currency=INR","Period=FQ","BEST_FPERIOD_OVERRIDE=FQ","FILING_STATUS=OR","EQY_CONSOLIDATED=Y","Sort=A","Dates=H","DateFormat=P","Fill=—","Direction=H","UseDPDF=Y")</f>
        <v>#NAME?</v>
      </c>
      <c r="CW560" s="3" t="e">
        <f ca="1">_xll.BDH($C$553,"ACCT_RCV_TURN","FQ2 2015","FQ2 2015","Currency=INR","Period=FQ","BEST_FPERIOD_OVERRIDE=FQ","FILING_STATUS=OR","EQY_CONSOLIDATED=Y","FA_ADJUSTED=GAAP","Sort=A","Dates=H","DateFormat=P","Fill=—","Direction=H","UseDPDF=Y")</f>
        <v>#NAME?</v>
      </c>
      <c r="CX560" s="1" t="e">
        <f ca="1">_xll.BDH($C$553,"ACCT_RCV_DAYS","FQ2 2015","FQ2 2015","Currency=INR","Period=FQ","BEST_FPERIOD_OVERRIDE=FQ","FILING_STATUS=OR","EQY_CONSOLIDATED=Y","FA_ADJUSTED=GAAP","Sort=A","Dates=H","DateFormat=P","Fill=—","Direction=H","UseDPDF=Y")</f>
        <v>#NAME?</v>
      </c>
      <c r="CY560" s="3" t="e">
        <f ca="1">_xll.BDH($C$553,"INVENT_TURN","FQ2 2015","FQ2 2015","Currency=INR","Period=FQ","BEST_FPERIOD_OVERRIDE=FQ","FILING_STATUS=OR","EQY_CONSOLIDATED=Y","FA_ADJUSTED=GAAP","Sort=A","Dates=H","DateFormat=P","Fill=—","Direction=H","UseDPDF=Y")</f>
        <v>#NAME?</v>
      </c>
      <c r="CZ560" s="1" t="e">
        <f ca="1">_xll.BDH($C$553,"INVENT_DAYS","FQ2 2015","FQ2 2015","Currency=INR","Period=FQ","BEST_FPERIOD_OVERRIDE=FQ","FILING_STATUS=OR","EQY_CONSOLIDATED=Y","FA_ADJUSTED=GAAP","Sort=A","Dates=H","DateFormat=P","Fill=—","Direction=H","UseDPDF=Y")</f>
        <v>#NAME?</v>
      </c>
      <c r="DA560" s="3" t="e">
        <f ca="1">_xll.BDH($C$553,"ACCOUNTS_PAYABLE_TURNOVER","FQ2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60" s="1" t="e">
        <f ca="1">_xll.BDH($C$553,"ACCOUNTS_PAYABLE_TURNOVER_DAYS","FQ2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60" s="3" t="e">
        <f ca="1">_xll.BDH($C$553,"CASH_CONVERSION_CYCLE","FQ2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60" s="3" t="e">
        <f ca="1">_xll.BDH($C$553,"INV_TO_CASH_DAYS","FQ2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560" s="4" t="e">
        <f ca="1">_xll.BDH($C$553,"BS_INVENTORIES","FQ2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560" s="2" t="e">
        <f ca="1">_xll.BDH($C$553,"INVTRY_RAW_MATERIALS","FQ2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60" s="2" t="e">
        <f ca="1">_xll.BDH($C$553,"INVTRY_IN_PROGRESS","FQ2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60" s="2" t="e">
        <f ca="1">_xll.BDH($C$553,"INVTRY_FINISHED_GOODS","FQ2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60" s="2" t="e">
        <f ca="1">_xll.BDH($C$553,"BS_OTHER_INV","FQ2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61" spans="1:113" x14ac:dyDescent="0.3">
      <c r="A561" s="6"/>
      <c r="B561" s="6"/>
      <c r="C561" s="6"/>
      <c r="D561" s="6"/>
      <c r="E561" t="s">
        <v>6</v>
      </c>
      <c r="F561" t="e">
        <f ca="1">_xll.BDH($C$553,"RETURN_COM_EQY","FQ3 2015","FQ3 2015","Currency=INR","Period=FQ","BEST_FPERIOD_OVERRIDE=FQ","FILING_STATUS=OR","EQY_CONSOLIDATED=Y","FA_ADJUSTED=GAAP","Sort=A","Dates=H","DateFormat=P","Fill=—","Direction=H","UseDPDF=Y")</f>
        <v>#NAME?</v>
      </c>
      <c r="G561" t="e">
        <f ca="1">_xll.BDH($C$553,"RETURN_ON_ASSET","FQ3 2015","FQ3 2015","Currency=INR","Period=FQ","BEST_FPERIOD_OVERRIDE=FQ","FILING_STATUS=OR","EQY_CONSOLIDATED=Y","FA_ADJUSTED=GAAP","Sort=A","Dates=H","DateFormat=P","Fill=—","Direction=H","UseDPDF=Y")</f>
        <v>#NAME?</v>
      </c>
      <c r="H561" t="e">
        <f ca="1">_xll.BDH($C$553,"RETURN_ON_CAP","FQ3 2015","FQ3 2015","Currency=INR","Period=FQ","BEST_FPERIOD_OVERRIDE=FQ","FILING_STATUS=OR","EQY_CONSOLIDATED=Y","FA_ADJUSTED=GAAP","Sort=A","Dates=H","DateFormat=P","Fill=—","Direction=H","UseDPDF=Y")</f>
        <v>#NAME?</v>
      </c>
      <c r="I561" t="e">
        <f ca="1">_xll.BDH($C$553,"RETURN_ON_INV_CAPITAL","FQ3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61" t="e">
        <f ca="1">_xll.BDH($C$553,"EBITDA_TO_REVENUE","FQ3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561" t="e">
        <f ca="1">_xll.BDH($C$553,"OPER_MARGIN","FQ3 2015","FQ3 2015","Currency=INR","Period=FQ","BEST_FPERIOD_OVERRIDE=FQ","FILING_STATUS=OR","EQY_CONSOLIDATED=Y","FA_ADJUSTED=GAAP","Sort=A","Dates=H","DateFormat=P","Fill=—","Direction=H","UseDPDF=Y")</f>
        <v>#NAME?</v>
      </c>
      <c r="L561" t="e">
        <f ca="1">_xll.BDH($C$553,"INCREMENTAL_OPERATING_MARGIN","FQ3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61" t="e">
        <f ca="1">_xll.BDH($C$553,"PRETAX_INC_TO_NET_SALES","FQ3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61" t="e">
        <f ca="1">_xll.BDH($C$553,"INC_BEF_XO_ITEMS_TO_NET_SALES","FQ3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61" t="e">
        <f ca="1">_xll.BDH($C$553,"PROF_MARGIN","FQ3 2015","FQ3 2015","Currency=INR","Period=FQ","BEST_FPERIOD_OVERRIDE=FQ","FILING_STATUS=OR","EQY_CONSOLIDATED=Y","FA_ADJUSTED=GAAP","Sort=A","Dates=H","DateFormat=P","Fill=—","Direction=H","UseDPDF=Y")</f>
        <v>#NAME?</v>
      </c>
      <c r="P561" t="e">
        <f ca="1">_xll.BDH($C$553,"NET_INCOME_TO_COMMON_MARGIN","FQ3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61" t="e">
        <f ca="1">_xll.BDH($C$553,"EFF_TAX_RATE","FQ3 2015","FQ3 2015","Currency=INR","Period=FQ","BEST_FPERIOD_OVERRIDE=FQ","FILING_STATUS=OR","EQY_CONSOLIDATED=Y","FA_ADJUSTED=GAAP","Sort=A","Dates=H","DateFormat=P","Fill=—","Direction=H","UseDPDF=Y")</f>
        <v>#NAME?</v>
      </c>
      <c r="R561" t="e">
        <f ca="1">_xll.BDH($C$553,"DVD_PAYOUT_RATIO","FQ3 2015","FQ3 2015","Currency=INR","Period=FQ","BEST_FPERIOD_OVERRIDE=FQ","FILING_STATUS=OR","EQY_CONSOLIDATED=Y","FA_ADJUSTED=GAAP","Sort=A","Dates=H","DateFormat=P","Fill=—","Direction=H","UseDPDF=Y")</f>
        <v>#NAME?</v>
      </c>
      <c r="S561" t="e">
        <f ca="1">_xll.BDH($C$553,"SUSTAIN_GROWTH_RT","FQ3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561" s="1" t="e">
        <f ca="1">_xll.BDH($C$553,"SALES_GROWTH","FQ3 2015","FQ3 2015","Currency=INR","Period=FQ","BEST_FPERIOD_OVERRIDE=FQ","FILING_STATUS=OR","EQY_CONSOLIDATED=Y","FA_ADJUSTED=GAAP","Sort=A","Dates=H","DateFormat=P","Fill=—","Direction=H","UseDPDF=Y")</f>
        <v>#NAME?</v>
      </c>
      <c r="U561" s="1" t="e">
        <f ca="1">_xll.BDH($C$553,"EBITDA_GROWTH","FQ3 2015","FQ3 2015","Currency=INR","Period=FQ","BEST_FPERIOD_OVERRIDE=FQ","FILING_STATUS=OR","EQY_CONSOLIDATED=Y","FA_ADJUSTED=GAAP","Sort=A","Dates=H","DateFormat=P","Fill=—","Direction=H","UseDPDF=Y")</f>
        <v>#NAME?</v>
      </c>
      <c r="V561" s="1" t="e">
        <f ca="1">_xll.BDH($C$553,"OPER_INC_GROWTH","FQ3 2015","FQ3 2015","Currency=INR","Period=FQ","BEST_FPERIOD_OVERRIDE=FQ","FILING_STATUS=OR","EQY_CONSOLIDATED=Y","FA_ADJUSTED=GAAP","Sort=A","Dates=H","DateFormat=P","Fill=—","Direction=H","UseDPDF=Y")</f>
        <v>#NAME?</v>
      </c>
      <c r="W561" s="1" t="e">
        <f ca="1">_xll.BDH($C$553,"EARN_FOR_COM_GROWTH","FQ3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61" s="1" t="e">
        <f ca="1">_xll.BDH($C$553,"DILUTED_EPS_AFT_XO_ITEMS_GROWTH","FQ3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61" s="1" t="e">
        <f ca="1">_xll.BDH($C$553,"DIVIDEND_PER_SHARE_1_YEAR_GROWTH","FQ3 2015","FQ3 2015","Currency=INR","Period=FQ","BEST_FPERIOD_OVERRIDE=FQ","FILING_STATUS=OR","EQY_CONSOLIDATED=Y","Sort=A","Dates=H","DateFormat=P","Fill=—","Direction=H","UseDPDF=Y")</f>
        <v>#NAME?</v>
      </c>
      <c r="Z561" s="1" t="e">
        <f ca="1">_xll.BDH($C$553,"ACCOUNTS_RECEIVABLE_GROWTH","FQ3 2015","FQ3 2015","Currency=INR","Period=FQ","BEST_FPERIOD_OVERRIDE=FQ","FILING_STATUS=OR","EQY_CONSOLIDATED=Y","Sort=A","Dates=H","DateFormat=P","Fill=—","Direction=H","UseDPDF=Y")</f>
        <v>#NAME?</v>
      </c>
      <c r="AA561" s="1" t="e">
        <f ca="1">_xll.BDH($C$553,"INVENTORY_GROWTH","FQ3 2015","FQ3 2015","Currency=INR","Period=FQ","BEST_FPERIOD_OVERRIDE=FQ","FILING_STATUS=OR","EQY_CONSOLIDATED=Y","Sort=A","Dates=H","DateFormat=P","Fill=—","Direction=H","UseDPDF=Y")</f>
        <v>#NAME?</v>
      </c>
      <c r="AB561" s="1" t="e">
        <f ca="1">_xll.BDH($C$553,"NET_FIXED_ASSETS_1_YEAR_GROWTH","FQ3 2015","FQ3 2015","Currency=INR","Period=FQ","BEST_FPERIOD_OVERRIDE=FQ","FILING_STATUS=OR","EQY_CONSOLIDATED=Y","Sort=A","Dates=H","DateFormat=P","Fill=—","Direction=H","UseDPDF=Y")</f>
        <v>#NAME?</v>
      </c>
      <c r="AC561" s="1" t="e">
        <f ca="1">_xll.BDH($C$553,"ASSET_GROWTH","FQ3 2015","FQ3 2015","Currency=INR","Period=FQ","BEST_FPERIOD_OVERRIDE=FQ","FILING_STATUS=OR","EQY_CONSOLIDATED=Y","Sort=A","Dates=H","DateFormat=P","Fill=—","Direction=H","UseDPDF=Y")</f>
        <v>#NAME?</v>
      </c>
      <c r="AD561" s="1" t="e">
        <f ca="1">_xll.BDH($C$553,"MODIFIED_WORK_CAP_GROWTH","FQ3 2015","FQ3 2015","Currency=INR","Period=FQ","BEST_FPERIOD_OVERRIDE=FQ","FILING_STATUS=OR","EQY_CONSOLIDATED=Y","Sort=A","Dates=H","DateFormat=P","Fill=—","Direction=H","UseDPDF=Y")</f>
        <v>#NAME?</v>
      </c>
      <c r="AE561" s="1" t="e">
        <f ca="1">_xll.BDH($C$553,"WORK_CAP_GROWTH","FQ3 2015","FQ3 2015","Currency=INR","Period=FQ","BEST_FPERIOD_OVERRIDE=FQ","FILING_STATUS=OR","EQY_CONSOLIDATED=Y","Sort=A","Dates=H","DateFormat=P","Fill=—","Direction=H","UseDPDF=Y")</f>
        <v>#NAME?</v>
      </c>
      <c r="AF561" s="1" t="e">
        <f ca="1">_xll.BDH($C$553,"ACCOUNTS_PAYABLE_GROWTH_1YR","FQ3 2015","FQ3 2015","Currency=INR","Period=FQ","BEST_FPERIOD_OVERRIDE=FQ","FILING_STATUS=OR","EQY_CONSOLIDATED=Y","Sort=A","Dates=H","DateFormat=P","Fill=—","Direction=H","UseDPDF=Y")</f>
        <v>#NAME?</v>
      </c>
      <c r="AG561" s="1" t="e">
        <f ca="1">_xll.BDH($C$553,"SHORT_TERM_DEBT_1_YEAR_GROWTH","FQ3 2015","FQ3 2015","Currency=INR","Period=FQ","BEST_FPERIOD_OVERRIDE=FQ","FILING_STATUS=OR","EQY_CONSOLIDATED=Y","Sort=A","Dates=H","DateFormat=P","Fill=—","Direction=H","UseDPDF=Y")</f>
        <v>#NAME?</v>
      </c>
      <c r="AH561" s="1" t="e">
        <f ca="1">_xll.BDH($C$553,"TOTAL_DEBT_1_YEAR_GROWTH","FQ3 2015","FQ3 2015","Currency=INR","Period=FQ","BEST_FPERIOD_OVERRIDE=FQ","FILING_STATUS=OR","EQY_CONSOLIDATED=Y","Sort=A","Dates=H","DateFormat=P","Fill=—","Direction=H","UseDPDF=Y")</f>
        <v>#NAME?</v>
      </c>
      <c r="AI561" s="1" t="e">
        <f ca="1">_xll.BDH($C$553,"TOTAL_EQUITY_1_YEAR_GROWTH","FQ3 2015","FQ3 2015","Currency=INR","Period=FQ","BEST_FPERIOD_OVERRIDE=FQ","FILING_STATUS=OR","EQY_CONSOLIDATED=Y","Sort=A","Dates=H","DateFormat=P","Fill=—","Direction=H","UseDPDF=Y")</f>
        <v>#NAME?</v>
      </c>
      <c r="AJ561" s="1" t="e">
        <f ca="1">_xll.BDH($C$553,"GROWTH_IN_CAP","FQ3 2015","FQ3 2015","Currency=INR","Period=FQ","BEST_FPERIOD_OVERRIDE=FQ","FILING_STATUS=OR","EQY_CONSOLIDATED=Y","Sort=A","Dates=H","DateFormat=P","Fill=—","Direction=H","UseDPDF=Y")</f>
        <v>#NAME?</v>
      </c>
      <c r="AK561" s="1" t="e">
        <f ca="1">_xll.BDH($C$553,"BVPS_GROWTH","FQ3 2015","FQ3 2015","Currency=INR","Period=FQ","BEST_FPERIOD_OVERRIDE=FQ","FILING_STATUS=OR","EQY_CONSOLIDATED=Y","Sort=A","Dates=H","DateFormat=P","Fill=—","Direction=H","UseDPDF=Y")</f>
        <v>#NAME?</v>
      </c>
      <c r="AL561" s="1" t="e">
        <f ca="1">_xll.BDH($C$553,"CASH_FLOW_GROWTH","FQ3 2015","FQ3 2015","Currency=INR","Period=FQ","BEST_FPERIOD_OVERRIDE=FQ","FILING_STATUS=OR","EQY_CONSOLIDATED=Y","Sort=A","Dates=H","DateFormat=P","Fill=—","Direction=H","UseDPDF=Y")</f>
        <v>#NAME?</v>
      </c>
      <c r="AM561" s="1" t="e">
        <f ca="1">_xll.BDH($C$553,"GEO_GROW_NET_SALES","FQ3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61" s="1" t="e">
        <f ca="1">_xll.BDH($C$553,"GEO_GROW_EBITDA","FQ3 2015","FQ3 2015","Currency=INR","Period=FQ","BEST_FPERIOD_OVERRIDE=FQ","FILING_STATUS=OR","EQY_CONSOLIDATED=Y","FA_ADJUSTED=GAAP","Sort=A","Dates=H","DateFormat=P","Fill=—","Direction=H","UseDPDF=Y")</f>
        <v>#NAME?</v>
      </c>
      <c r="AO561" s="1" t="e">
        <f ca="1">_xll.BDH($C$553,"GEO_GROW_OPER_INC","FQ3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61" s="1" t="e">
        <f ca="1">_xll.BDH($C$553,"NET_INCOME_TO_COMMON_5_YR_GROWTH","FQ3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61" s="1" t="e">
        <f ca="1">_xll.BDH($C$553,"5Y_GEO_GROWTH_DILUTED_EPS","FQ3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61" s="1" t="e">
        <f ca="1">_xll.BDH($C$553,"GEO_GROW_DVD_PER_SH","FQ3 2015","FQ3 2015","Currency=INR","Period=FQ","BEST_FPERIOD_OVERRIDE=FQ","FILING_STATUS=OR","EQY_CONSOLIDATED=Y","Sort=A","Dates=H","DateFormat=P","Fill=—","Direction=H","UseDPDF=Y")</f>
        <v>#NAME?</v>
      </c>
      <c r="AS561" s="1" t="e">
        <f ca="1">_xll.BDH($C$553,"ACCOUNTS_RECEIVABLE_5_YR_GROWTH","FQ3 2015","FQ3 2015","Currency=INR","Period=FQ","BEST_FPERIOD_OVERRIDE=FQ","FILING_STATUS=OR","EQY_CONSOLIDATED=Y","Sort=A","Dates=H","DateFormat=P","Fill=—","Direction=H","UseDPDF=Y")</f>
        <v>#NAME?</v>
      </c>
      <c r="AT561" s="1" t="e">
        <f ca="1">_xll.BDH($C$553,"INVENTORY_5_YEAR_GROWTH","FQ3 2015","FQ3 2015","Currency=INR","Period=FQ","BEST_FPERIOD_OVERRIDE=FQ","FILING_STATUS=OR","EQY_CONSOLIDATED=Y","Sort=A","Dates=H","DateFormat=P","Fill=—","Direction=H","UseDPDF=Y")</f>
        <v>#NAME?</v>
      </c>
      <c r="AU561" s="1" t="e">
        <f ca="1">_xll.BDH($C$553,"NET_FIXED_ASSETS_5_YEAR_GROWTH","FQ3 2015","FQ3 2015","Currency=INR","Period=FQ","BEST_FPERIOD_OVERRIDE=FQ","FILING_STATUS=OR","EQY_CONSOLIDATED=Y","Sort=A","Dates=H","DateFormat=P","Fill=—","Direction=H","UseDPDF=Y")</f>
        <v>#NAME?</v>
      </c>
      <c r="AV561" s="1" t="e">
        <f ca="1">_xll.BDH($C$553,"GEO_GROW_TOT_ASSET","FQ3 2015","FQ3 2015","Currency=INR","Period=FQ","BEST_FPERIOD_OVERRIDE=FQ","FILING_STATUS=OR","EQY_CONSOLIDATED=Y","Sort=A","Dates=H","DateFormat=P","Fill=—","Direction=H","UseDPDF=Y")</f>
        <v>#NAME?</v>
      </c>
      <c r="AW561" s="1" t="e">
        <f ca="1">_xll.BDH($C$553,"MODIFIED_WORKING_CPTL_5YR_GRWTH","FQ3 2015","FQ3 2015","Currency=INR","Period=FQ","BEST_FPERIOD_OVERRIDE=FQ","FILING_STATUS=OR","EQY_CONSOLIDATED=Y","Sort=A","Dates=H","DateFormat=P","Fill=—","Direction=H","UseDPDF=Y")</f>
        <v>#NAME?</v>
      </c>
      <c r="AX561" s="1" t="e">
        <f ca="1">_xll.BDH($C$553,"WORKING_CAPITAL_5_YEAR_GROWTH","FQ3 2015","FQ3 2015","Currency=INR","Period=FQ","BEST_FPERIOD_OVERRIDE=FQ","FILING_STATUS=OR","EQY_CONSOLIDATED=Y","Sort=A","Dates=H","DateFormat=P","Fill=—","Direction=H","UseDPDF=Y")</f>
        <v>#NAME?</v>
      </c>
      <c r="AY561" s="1" t="e">
        <f ca="1">_xll.BDH($C$553,"ACCOUNTS_PAYABLE_5_YEAR_GROWTH","FQ3 2015","FQ3 2015","Currency=INR","Period=FQ","BEST_FPERIOD_OVERRIDE=FQ","FILING_STATUS=OR","EQY_CONSOLIDATED=Y","Sort=A","Dates=H","DateFormat=P","Fill=—","Direction=H","UseDPDF=Y")</f>
        <v>#NAME?</v>
      </c>
      <c r="AZ561" s="1" t="e">
        <f ca="1">_xll.BDH($C$553,"SHORT_TERM_DEBT_5_YEAR_GROWTH","FQ3 2015","FQ3 2015","Currency=INR","Period=FQ","BEST_FPERIOD_OVERRIDE=FQ","FILING_STATUS=OR","EQY_CONSOLIDATED=Y","Sort=A","Dates=H","DateFormat=P","Fill=—","Direction=H","UseDPDF=Y")</f>
        <v>#NAME?</v>
      </c>
      <c r="BA561" s="1" t="e">
        <f ca="1">_xll.BDH($C$553,"TOTAL_DEBT_5_YEAR_GROWTH","FQ3 2015","FQ3 2015","Currency=INR","Period=FQ","BEST_FPERIOD_OVERRIDE=FQ","FILING_STATUS=OR","EQY_CONSOLIDATED=Y","Sort=A","Dates=H","DateFormat=P","Fill=—","Direction=H","UseDPDF=Y")</f>
        <v>#NAME?</v>
      </c>
      <c r="BB561" s="1" t="e">
        <f ca="1">_xll.BDH($C$553,"GEO_GROW_TOT_SHRHLDR_EQY","FQ3 2015","FQ3 2015","Currency=INR","Period=FQ","BEST_FPERIOD_OVERRIDE=FQ","FILING_STATUS=OR","EQY_CONSOLIDATED=Y","Sort=A","Dates=H","DateFormat=P","Fill=—","Direction=H","UseDPDF=Y")</f>
        <v>#NAME?</v>
      </c>
      <c r="BC561" s="1" t="e">
        <f ca="1">_xll.BDH($C$553,"TOTAL_CAPITAL_5_YEAR_GROWTH","FQ3 2015","FQ3 2015","Currency=INR","Period=FQ","BEST_FPERIOD_OVERRIDE=FQ","FILING_STATUS=OR","EQY_CONSOLIDATED=Y","Sort=A","Dates=H","DateFormat=P","Fill=—","Direction=H","UseDPDF=Y")</f>
        <v>#NAME?</v>
      </c>
      <c r="BD561" s="1" t="e">
        <f ca="1">_xll.BDH($C$553,"GEO_GROW_BOOK_VAL","FQ3 2015","FQ3 2015","Currency=INR","Period=FQ","BEST_FPERIOD_OVERRIDE=FQ","FILING_STATUS=OR","EQY_CONSOLIDATED=Y","Sort=A","Dates=H","DateFormat=P","Fill=—","Direction=H","UseDPDF=Y")</f>
        <v>#NAME?</v>
      </c>
      <c r="BE561" s="1" t="e">
        <f ca="1">_xll.BDH($C$553,"GEO_GROW_CASH_OPER_ACT","FQ3 2015","FQ3 2015","Currency=INR","Period=FQ","BEST_FPERIOD_OVERRIDE=FQ","FILING_STATUS=OR","EQY_CONSOLIDATED=Y","Sort=A","Dates=H","DateFormat=P","Fill=—","Direction=H","UseDPDF=Y")</f>
        <v>#NAME?</v>
      </c>
      <c r="BF561" s="1" t="e">
        <f ca="1">_xll.BDH($C$553,"REVENUE_SEQUENTIAL_GROWTH","FQ3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61" s="1" t="e">
        <f ca="1">_xll.BDH($C$553,"EBITDA_SEQUENTIAL_GROWTH","FQ3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61" s="1" t="e">
        <f ca="1">_xll.BDH($C$553,"OPERATING_INCOME_SEQ_GROWTH","FQ3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61" s="1" t="e">
        <f ca="1">_xll.BDH($C$553,"NET_INCOME_TO_COMMON_SEQ_GROWTH","FQ3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61" s="1" t="e">
        <f ca="1">_xll.BDH($C$553,"EPS_DILUTED_SEQUENTIAL_GROWTH","FQ3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61" s="1" t="e">
        <f ca="1">_xll.BDH($C$553,"DPS_SEQUENTIAL_GROWTH","FQ3 2015","FQ3 2015","Currency=INR","Period=FQ","BEST_FPERIOD_OVERRIDE=FQ","FILING_STATUS=OR","EQY_CONSOLIDATED=Y","Sort=A","Dates=H","DateFormat=P","Fill=—","Direction=H","UseDPDF=Y")</f>
        <v>#NAME?</v>
      </c>
      <c r="BL561" s="1" t="e">
        <f ca="1">_xll.BDH($C$553,"ACCOUNTS_RECEIVABLE_SEQ_GROWTH","FQ3 2015","FQ3 2015","Currency=INR","Period=FQ","BEST_FPERIOD_OVERRIDE=FQ","FILING_STATUS=OR","EQY_CONSOLIDATED=Y","Sort=A","Dates=H","DateFormat=P","Fill=—","Direction=H","UseDPDF=Y")</f>
        <v>#NAME?</v>
      </c>
      <c r="BM561" s="1" t="e">
        <f ca="1">_xll.BDH($C$553,"INVENTORY_SEQUENTIAL_GROWTH","FQ3 2015","FQ3 2015","Currency=INR","Period=FQ","BEST_FPERIOD_OVERRIDE=FQ","FILING_STATUS=OR","EQY_CONSOLIDATED=Y","Sort=A","Dates=H","DateFormat=P","Fill=—","Direction=H","UseDPDF=Y")</f>
        <v>#NAME?</v>
      </c>
      <c r="BN561" s="1" t="e">
        <f ca="1">_xll.BDH($C$553,"FIXED_ASSETS_SEQUENTIAL_GROWTH","FQ3 2015","FQ3 2015","Currency=INR","Period=FQ","BEST_FPERIOD_OVERRIDE=FQ","FILING_STATUS=OR","EQY_CONSOLIDATED=Y","Sort=A","Dates=H","DateFormat=P","Fill=—","Direction=H","UseDPDF=Y")</f>
        <v>#NAME?</v>
      </c>
      <c r="BO561" s="1" t="e">
        <f ca="1">_xll.BDH($C$553,"TOTAL_ASSETS_SEQUENTIAL_GROWTH","FQ3 2015","FQ3 2015","Currency=INR","Period=FQ","BEST_FPERIOD_OVERRIDE=FQ","FILING_STATUS=OR","EQY_CONSOLIDATED=Y","Sort=A","Dates=H","DateFormat=P","Fill=—","Direction=H","UseDPDF=Y")</f>
        <v>#NAME?</v>
      </c>
      <c r="BP561" s="1" t="e">
        <f ca="1">_xll.BDH($C$553,"MODIFIED_WORKING_CPTL_SEQ_GRWTH","FQ3 2015","FQ3 2015","Currency=INR","Period=FQ","BEST_FPERIOD_OVERRIDE=FQ","FILING_STATUS=OR","EQY_CONSOLIDATED=Y","Sort=A","Dates=H","DateFormat=P","Fill=—","Direction=H","UseDPDF=Y")</f>
        <v>#NAME?</v>
      </c>
      <c r="BQ561" s="1" t="e">
        <f ca="1">_xll.BDH($C$553,"WORKING_CAPITAL_SEQ_GROWTH","FQ3 2015","FQ3 2015","Currency=INR","Period=FQ","BEST_FPERIOD_OVERRIDE=FQ","FILING_STATUS=OR","EQY_CONSOLIDATED=Y","Sort=A","Dates=H","DateFormat=P","Fill=—","Direction=H","UseDPDF=Y")</f>
        <v>#NAME?</v>
      </c>
      <c r="BR561" s="1" t="e">
        <f ca="1">_xll.BDH($C$553,"ACCOUNTS_PAYABLE_SEQ_GROWTH","FQ3 2015","FQ3 2015","Currency=INR","Period=FQ","BEST_FPERIOD_OVERRIDE=FQ","FILING_STATUS=OR","EQY_CONSOLIDATED=Y","Sort=A","Dates=H","DateFormat=P","Fill=—","Direction=H","UseDPDF=Y")</f>
        <v>#NAME?</v>
      </c>
      <c r="BS561" s="1" t="e">
        <f ca="1">_xll.BDH($C$553,"ST_DEBT_SEQUENTIAL_GROWTH","FQ3 2015","FQ3 2015","Currency=INR","Period=FQ","BEST_FPERIOD_OVERRIDE=FQ","FILING_STATUS=OR","EQY_CONSOLIDATED=Y","Sort=A","Dates=H","DateFormat=P","Fill=—","Direction=H","UseDPDF=Y")</f>
        <v>#NAME?</v>
      </c>
      <c r="BT561" s="1" t="e">
        <f ca="1">_xll.BDH($C$553,"TOTAL_DEBT_SEQUENTIAL_GROWTH","FQ3 2015","FQ3 2015","Currency=INR","Period=FQ","BEST_FPERIOD_OVERRIDE=FQ","FILING_STATUS=OR","EQY_CONSOLIDATED=Y","Sort=A","Dates=H","DateFormat=P","Fill=—","Direction=H","UseDPDF=Y")</f>
        <v>#NAME?</v>
      </c>
      <c r="BU561" s="1" t="e">
        <f ca="1">_xll.BDH($C$553,"TOTAL_EQUITY_SEQUENTIAL_GROWTH","FQ3 2015","FQ3 2015","Currency=INR","Period=FQ","BEST_FPERIOD_OVERRIDE=FQ","FILING_STATUS=OR","EQY_CONSOLIDATED=Y","Sort=A","Dates=H","DateFormat=P","Fill=—","Direction=H","UseDPDF=Y")</f>
        <v>#NAME?</v>
      </c>
      <c r="BV561" s="1" t="e">
        <f ca="1">_xll.BDH($C$553,"TOTAL_CAPITAL_SEQUENTIAL_GROWTH","FQ3 2015","FQ3 2015","Currency=INR","Period=FQ","BEST_FPERIOD_OVERRIDE=FQ","FILING_STATUS=OR","EQY_CONSOLIDATED=Y","Sort=A","Dates=H","DateFormat=P","Fill=—","Direction=H","UseDPDF=Y")</f>
        <v>#NAME?</v>
      </c>
      <c r="BW561" s="1" t="e">
        <f ca="1">_xll.BDH($C$553,"BPS_SEQUENTIAL_GROWTH","FQ3 2015","FQ3 2015","Currency=INR","Period=FQ","BEST_FPERIOD_OVERRIDE=FQ","FILING_STATUS=OR","EQY_CONSOLIDATED=Y","Sort=A","Dates=H","DateFormat=P","Fill=—","Direction=H","UseDPDF=Y")</f>
        <v>#NAME?</v>
      </c>
      <c r="BX561" s="1" t="e">
        <f ca="1">_xll.BDH($C$553,"CFO_SEQUENTIAL_GROWTH","FQ3 2015","FQ3 2015","Currency=INR","Period=FQ","BEST_FPERIOD_OVERRIDE=FQ","FILING_STATUS=OR","EQY_CONSOLIDATED=Y","Sort=A","Dates=H","DateFormat=P","Fill=—","Direction=H","UseDPDF=Y")</f>
        <v>#NAME?</v>
      </c>
      <c r="BY561" s="2" t="e">
        <f ca="1">_xll.BDH($C$553,"SHORT_AND_LONG_TERM_DEBT","FQ3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61" s="2" t="e">
        <f ca="1">_xll.BDH($C$553,"BS_ST_BORROW","FQ3 2015","FQ3 2015","Currency=INR","Period=FQ","BEST_FPERIOD_OVERRIDE=FQ","FILING_STATUS=OR","EQY_CONSOLIDATED=Y","SCALING_FORMAT=MLN","Sort=A","Dates=H","DateFormat=P","Fill=—","Direction=H","UseDPDF=Y")</f>
        <v>#NAME?</v>
      </c>
      <c r="CA561" s="2" t="e">
        <f ca="1">_xll.BDH($C$553,"BS_LT_BORROW","FQ3 2015","FQ3 2015","Currency=INR","Period=FQ","BEST_FPERIOD_OVERRIDE=FQ","FILING_STATUS=OR","EQY_CONSOLIDATED=Y","SCALING_FORMAT=MLN","Sort=A","Dates=H","DateFormat=P","Fill=—","Direction=H","UseDPDF=Y")</f>
        <v>#NAME?</v>
      </c>
      <c r="CB561" s="1" t="e">
        <f ca="1">_xll.BDH($C$553,"TOT_DEBT_TO_EBITDA","FQ3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61" s="1" t="e">
        <f ca="1">_xll.BDH($C$553,"NET_DEBT_TO_EBITDA","FQ3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61" s="1" t="e">
        <f ca="1">_xll.BDH($C$553,"TOTAL_DEBT_TO_EBIT","FQ3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61" s="1" t="e">
        <f ca="1">_xll.BDH($C$553,"NET_DEBT_TO_EBIT","FQ3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561" s="1" t="e">
        <f ca="1">_xll.BDH($C$553,"EBITDA_TO_INTEREST_EXPN","FQ3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61" s="1" t="e">
        <f ca="1">_xll.BDH($C$553,"COM_EQY_TO_TOT_ASSET","FQ3 2015","FQ3 2015","Currency=INR","Period=FQ","BEST_FPERIOD_OVERRIDE=FQ","FILING_STATUS=OR","EQY_CONSOLIDATED=Y","Sort=A","Dates=H","DateFormat=P","Fill=—","Direction=H","UseDPDF=Y")</f>
        <v>#NAME?</v>
      </c>
      <c r="CH561" s="1" t="e">
        <f ca="1">_xll.BDH($C$553,"LT_DEBT_TO_TOT_EQY","FQ3 2015","FQ3 2015","Currency=INR","Period=FQ","BEST_FPERIOD_OVERRIDE=FQ","FILING_STATUS=OR","EQY_CONSOLIDATED=Y","Sort=A","Dates=H","DateFormat=P","Fill=—","Direction=H","UseDPDF=Y")</f>
        <v>#NAME?</v>
      </c>
      <c r="CI561" s="1" t="e">
        <f ca="1">_xll.BDH($C$553,"LT_DEBT_TO_TOT_CAP","FQ3 2015","FQ3 2015","Currency=INR","Period=FQ","BEST_FPERIOD_OVERRIDE=FQ","FILING_STATUS=OR","EQY_CONSOLIDATED=Y","Sort=A","Dates=H","DateFormat=P","Fill=—","Direction=H","UseDPDF=Y")</f>
        <v>#NAME?</v>
      </c>
      <c r="CJ561" s="1" t="e">
        <f ca="1">_xll.BDH($C$553,"LT_DEBT_TO_TOT_ASSET","FQ3 2015","FQ3 2015","Currency=INR","Period=FQ","BEST_FPERIOD_OVERRIDE=FQ","FILING_STATUS=OR","EQY_CONSOLIDATED=Y","Sort=A","Dates=H","DateFormat=P","Fill=—","Direction=H","UseDPDF=Y")</f>
        <v>#NAME?</v>
      </c>
      <c r="CK561" s="1" t="e">
        <f ca="1">_xll.BDH($C$553,"TOT_DEBT_TO_TOT_EQY","FQ3 2015","FQ3 2015","Currency=INR","Period=FQ","BEST_FPERIOD_OVERRIDE=FQ","FILING_STATUS=OR","EQY_CONSOLIDATED=Y","Sort=A","Dates=H","DateFormat=P","Fill=—","Direction=H","UseDPDF=Y")</f>
        <v>#NAME?</v>
      </c>
      <c r="CL561" s="1" t="e">
        <f ca="1">_xll.BDH($C$553,"TOT_DEBT_TO_TOT_CAP","FQ3 2015","FQ3 2015","Currency=INR","Period=FQ","BEST_FPERIOD_OVERRIDE=FQ","FILING_STATUS=OR","EQY_CONSOLIDATED=Y","Sort=A","Dates=H","DateFormat=P","Fill=—","Direction=H","UseDPDF=Y")</f>
        <v>#NAME?</v>
      </c>
      <c r="CM561" s="1" t="e">
        <f ca="1">_xll.BDH($C$553,"TOT_DEBT_TO_TOT_ASSET","FQ3 2015","FQ3 2015","Currency=INR","Period=FQ","BEST_FPERIOD_OVERRIDE=FQ","FILING_STATUS=OR","EQY_CONSOLIDATED=Y","Sort=A","Dates=H","DateFormat=P","Fill=—","Direction=H","UseDPDF=Y")</f>
        <v>#NAME?</v>
      </c>
      <c r="CN561" s="1" t="e">
        <f ca="1">_xll.BDH($C$553,"NET_DEBT_TO_SHRHLDR_EQTY","FQ3 2015","FQ3 2015","Currency=INR","Period=FQ","BEST_FPERIOD_OVERRIDE=FQ","FILING_STATUS=OR","EQY_CONSOLIDATED=Y","Sort=A","Dates=H","DateFormat=P","Fill=—","Direction=H","UseDPDF=Y")</f>
        <v>#NAME?</v>
      </c>
      <c r="CO561" s="1" t="e">
        <f ca="1">_xll.BDH($C$553,"NET_DEBT_%_CAPITAL","FQ3 2015","FQ3 2015","Currency=INR","Period=FQ","BEST_FPERIOD_OVERRIDE=FQ","FILING_STATUS=OR","EQY_CONSOLIDATED=Y","Sort=A","Dates=H","DateFormat=P","Fill=—","Direction=H","UseDPDF=Y")</f>
        <v>#NAME?</v>
      </c>
      <c r="CP561" s="2" t="e">
        <f ca="1">_xll.BDH($C$553,"EBITDA","FQ3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61" s="2" t="e">
        <f ca="1">_xll.BDH($C$553,"EBITDA_AFTER_CAPEX","FQ3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61" s="2" t="e">
        <f ca="1">_xll.BDH($C$553,"IS_OPER_INC","FQ3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61" s="1" t="e">
        <f ca="1">_xll.BDH($C$553,"CASH_RATIO","FQ3 2015","FQ3 2015","Currency=INR","Period=FQ","BEST_FPERIOD_OVERRIDE=FQ","FILING_STATUS=OR","EQY_CONSOLIDATED=Y","Sort=A","Dates=H","DateFormat=P","Fill=—","Direction=H","UseDPDF=Y")</f>
        <v>#NAME?</v>
      </c>
      <c r="CT561" s="1" t="e">
        <f ca="1">_xll.BDH($C$553,"CUR_RATIO","FQ3 2015","FQ3 2015","Currency=INR","Period=FQ","BEST_FPERIOD_OVERRIDE=FQ","FILING_STATUS=OR","EQY_CONSOLIDATED=Y","Sort=A","Dates=H","DateFormat=P","Fill=—","Direction=H","UseDPDF=Y")</f>
        <v>#NAME?</v>
      </c>
      <c r="CU561" s="1" t="e">
        <f ca="1">_xll.BDH($C$553,"QUICK_RATIO","FQ3 2015","FQ3 2015","Currency=INR","Period=FQ","BEST_FPERIOD_OVERRIDE=FQ","FILING_STATUS=OR","EQY_CONSOLIDATED=Y","Sort=A","Dates=H","DateFormat=P","Fill=—","Direction=H","UseDPDF=Y")</f>
        <v>#NAME?</v>
      </c>
      <c r="CV561" s="1" t="e">
        <f ca="1">_xll.BDH($C$553,"ALTMAN_Z_SCORE","FQ3 2015","FQ3 2015","Currency=INR","Period=FQ","BEST_FPERIOD_OVERRIDE=FQ","FILING_STATUS=OR","EQY_CONSOLIDATED=Y","Sort=A","Dates=H","DateFormat=P","Fill=—","Direction=H","UseDPDF=Y")</f>
        <v>#NAME?</v>
      </c>
      <c r="CW561" s="3" t="e">
        <f ca="1">_xll.BDH($C$553,"ACCT_RCV_TURN","FQ3 2015","FQ3 2015","Currency=INR","Period=FQ","BEST_FPERIOD_OVERRIDE=FQ","FILING_STATUS=OR","EQY_CONSOLIDATED=Y","FA_ADJUSTED=GAAP","Sort=A","Dates=H","DateFormat=P","Fill=—","Direction=H","UseDPDF=Y")</f>
        <v>#NAME?</v>
      </c>
      <c r="CX561" s="1" t="e">
        <f ca="1">_xll.BDH($C$553,"ACCT_RCV_DAYS","FQ3 2015","FQ3 2015","Currency=INR","Period=FQ","BEST_FPERIOD_OVERRIDE=FQ","FILING_STATUS=OR","EQY_CONSOLIDATED=Y","FA_ADJUSTED=GAAP","Sort=A","Dates=H","DateFormat=P","Fill=—","Direction=H","UseDPDF=Y")</f>
        <v>#NAME?</v>
      </c>
      <c r="CY561" s="3" t="e">
        <f ca="1">_xll.BDH($C$553,"INVENT_TURN","FQ3 2015","FQ3 2015","Currency=INR","Period=FQ","BEST_FPERIOD_OVERRIDE=FQ","FILING_STATUS=OR","EQY_CONSOLIDATED=Y","FA_ADJUSTED=GAAP","Sort=A","Dates=H","DateFormat=P","Fill=—","Direction=H","UseDPDF=Y")</f>
        <v>#NAME?</v>
      </c>
      <c r="CZ561" s="1" t="e">
        <f ca="1">_xll.BDH($C$553,"INVENT_DAYS","FQ3 2015","FQ3 2015","Currency=INR","Period=FQ","BEST_FPERIOD_OVERRIDE=FQ","FILING_STATUS=OR","EQY_CONSOLIDATED=Y","FA_ADJUSTED=GAAP","Sort=A","Dates=H","DateFormat=P","Fill=—","Direction=H","UseDPDF=Y")</f>
        <v>#NAME?</v>
      </c>
      <c r="DA561" s="3" t="e">
        <f ca="1">_xll.BDH($C$553,"ACCOUNTS_PAYABLE_TURNOVER","FQ3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61" s="1" t="e">
        <f ca="1">_xll.BDH($C$553,"ACCOUNTS_PAYABLE_TURNOVER_DAYS","FQ3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61" s="3" t="e">
        <f ca="1">_xll.BDH($C$553,"CASH_CONVERSION_CYCLE","FQ3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61" s="3" t="e">
        <f ca="1">_xll.BDH($C$553,"INV_TO_CASH_DAYS","FQ3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561" s="4" t="e">
        <f ca="1">_xll.BDH($C$553,"BS_INVENTORIES","FQ3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561" s="2" t="e">
        <f ca="1">_xll.BDH($C$553,"INVTRY_RAW_MATERIALS","FQ3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61" s="2" t="e">
        <f ca="1">_xll.BDH($C$553,"INVTRY_IN_PROGRESS","FQ3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61" s="2" t="e">
        <f ca="1">_xll.BDH($C$553,"INVTRY_FINISHED_GOODS","FQ3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61" s="2" t="e">
        <f ca="1">_xll.BDH($C$553,"BS_OTHER_INV","FQ3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62" spans="1:113" x14ac:dyDescent="0.3">
      <c r="A562" s="6"/>
      <c r="B562" s="6"/>
      <c r="C562" s="6"/>
      <c r="D562" s="6"/>
      <c r="E562" t="s">
        <v>7</v>
      </c>
      <c r="F562" t="e">
        <f ca="1">_xll.BDH($C$553,"RETURN_COM_EQY","FQ4 2015","FQ4 2015","Currency=INR","Period=FQ","BEST_FPERIOD_OVERRIDE=FQ","FILING_STATUS=OR","EQY_CONSOLIDATED=Y","FA_ADJUSTED=GAAP","Sort=A","Dates=H","DateFormat=P","Fill=—","Direction=H","UseDPDF=Y")</f>
        <v>#NAME?</v>
      </c>
      <c r="G562" t="e">
        <f ca="1">_xll.BDH($C$553,"RETURN_ON_ASSET","FQ4 2015","FQ4 2015","Currency=INR","Period=FQ","BEST_FPERIOD_OVERRIDE=FQ","FILING_STATUS=OR","EQY_CONSOLIDATED=Y","FA_ADJUSTED=GAAP","Sort=A","Dates=H","DateFormat=P","Fill=—","Direction=H","UseDPDF=Y")</f>
        <v>#NAME?</v>
      </c>
      <c r="H562" t="e">
        <f ca="1">_xll.BDH($C$553,"RETURN_ON_CAP","FQ4 2015","FQ4 2015","Currency=INR","Period=FQ","BEST_FPERIOD_OVERRIDE=FQ","FILING_STATUS=OR","EQY_CONSOLIDATED=Y","FA_ADJUSTED=GAAP","Sort=A","Dates=H","DateFormat=P","Fill=—","Direction=H","UseDPDF=Y")</f>
        <v>#NAME?</v>
      </c>
      <c r="I562" t="e">
        <f ca="1">_xll.BDH($C$553,"RETURN_ON_INV_CAPITAL","FQ4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62" t="e">
        <f ca="1">_xll.BDH($C$553,"EBITDA_TO_REVENUE","FQ4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562" t="e">
        <f ca="1">_xll.BDH($C$553,"OPER_MARGIN","FQ4 2015","FQ4 2015","Currency=INR","Period=FQ","BEST_FPERIOD_OVERRIDE=FQ","FILING_STATUS=OR","EQY_CONSOLIDATED=Y","FA_ADJUSTED=GAAP","Sort=A","Dates=H","DateFormat=P","Fill=—","Direction=H","UseDPDF=Y")</f>
        <v>#NAME?</v>
      </c>
      <c r="L562" t="e">
        <f ca="1">_xll.BDH($C$553,"INCREMENTAL_OPERATING_MARGIN","FQ4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62" t="e">
        <f ca="1">_xll.BDH($C$553,"PRETAX_INC_TO_NET_SALES","FQ4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62" t="e">
        <f ca="1">_xll.BDH($C$553,"INC_BEF_XO_ITEMS_TO_NET_SALES","FQ4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62" t="e">
        <f ca="1">_xll.BDH($C$553,"PROF_MARGIN","FQ4 2015","FQ4 2015","Currency=INR","Period=FQ","BEST_FPERIOD_OVERRIDE=FQ","FILING_STATUS=OR","EQY_CONSOLIDATED=Y","FA_ADJUSTED=GAAP","Sort=A","Dates=H","DateFormat=P","Fill=—","Direction=H","UseDPDF=Y")</f>
        <v>#NAME?</v>
      </c>
      <c r="P562" t="e">
        <f ca="1">_xll.BDH($C$553,"NET_INCOME_TO_COMMON_MARGIN","FQ4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62" t="e">
        <f ca="1">_xll.BDH($C$553,"EFF_TAX_RATE","FQ4 2015","FQ4 2015","Currency=INR","Period=FQ","BEST_FPERIOD_OVERRIDE=FQ","FILING_STATUS=OR","EQY_CONSOLIDATED=Y","FA_ADJUSTED=GAAP","Sort=A","Dates=H","DateFormat=P","Fill=—","Direction=H","UseDPDF=Y")</f>
        <v>#NAME?</v>
      </c>
      <c r="R562" t="e">
        <f ca="1">_xll.BDH($C$553,"DVD_PAYOUT_RATIO","FQ4 2015","FQ4 2015","Currency=INR","Period=FQ","BEST_FPERIOD_OVERRIDE=FQ","FILING_STATUS=OR","EQY_CONSOLIDATED=Y","FA_ADJUSTED=GAAP","Sort=A","Dates=H","DateFormat=P","Fill=—","Direction=H","UseDPDF=Y")</f>
        <v>#NAME?</v>
      </c>
      <c r="S562" t="e">
        <f ca="1">_xll.BDH($C$553,"SUSTAIN_GROWTH_RT","FQ4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562" s="1" t="e">
        <f ca="1">_xll.BDH($C$553,"SALES_GROWTH","FQ4 2015","FQ4 2015","Currency=INR","Period=FQ","BEST_FPERIOD_OVERRIDE=FQ","FILING_STATUS=OR","EQY_CONSOLIDATED=Y","FA_ADJUSTED=GAAP","Sort=A","Dates=H","DateFormat=P","Fill=—","Direction=H","UseDPDF=Y")</f>
        <v>#NAME?</v>
      </c>
      <c r="U562" s="1" t="e">
        <f ca="1">_xll.BDH($C$553,"EBITDA_GROWTH","FQ4 2015","FQ4 2015","Currency=INR","Period=FQ","BEST_FPERIOD_OVERRIDE=FQ","FILING_STATUS=OR","EQY_CONSOLIDATED=Y","FA_ADJUSTED=GAAP","Sort=A","Dates=H","DateFormat=P","Fill=—","Direction=H","UseDPDF=Y")</f>
        <v>#NAME?</v>
      </c>
      <c r="V562" s="1" t="e">
        <f ca="1">_xll.BDH($C$553,"OPER_INC_GROWTH","FQ4 2015","FQ4 2015","Currency=INR","Period=FQ","BEST_FPERIOD_OVERRIDE=FQ","FILING_STATUS=OR","EQY_CONSOLIDATED=Y","FA_ADJUSTED=GAAP","Sort=A","Dates=H","DateFormat=P","Fill=—","Direction=H","UseDPDF=Y")</f>
        <v>#NAME?</v>
      </c>
      <c r="W562" s="1" t="e">
        <f ca="1">_xll.BDH($C$553,"EARN_FOR_COM_GROWTH","FQ4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62" s="1" t="e">
        <f ca="1">_xll.BDH($C$553,"DILUTED_EPS_AFT_XO_ITEMS_GROWTH","FQ4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62" s="1" t="e">
        <f ca="1">_xll.BDH($C$553,"DIVIDEND_PER_SHARE_1_YEAR_GROWTH","FQ4 2015","FQ4 2015","Currency=INR","Period=FQ","BEST_FPERIOD_OVERRIDE=FQ","FILING_STATUS=OR","EQY_CONSOLIDATED=Y","Sort=A","Dates=H","DateFormat=P","Fill=—","Direction=H","UseDPDF=Y")</f>
        <v>#NAME?</v>
      </c>
      <c r="Z562" s="1" t="e">
        <f ca="1">_xll.BDH($C$553,"ACCOUNTS_RECEIVABLE_GROWTH","FQ4 2015","FQ4 2015","Currency=INR","Period=FQ","BEST_FPERIOD_OVERRIDE=FQ","FILING_STATUS=OR","EQY_CONSOLIDATED=Y","Sort=A","Dates=H","DateFormat=P","Fill=—","Direction=H","UseDPDF=Y")</f>
        <v>#NAME?</v>
      </c>
      <c r="AA562" s="1" t="e">
        <f ca="1">_xll.BDH($C$553,"INVENTORY_GROWTH","FQ4 2015","FQ4 2015","Currency=INR","Period=FQ","BEST_FPERIOD_OVERRIDE=FQ","FILING_STATUS=OR","EQY_CONSOLIDATED=Y","Sort=A","Dates=H","DateFormat=P","Fill=—","Direction=H","UseDPDF=Y")</f>
        <v>#NAME?</v>
      </c>
      <c r="AB562" s="1" t="e">
        <f ca="1">_xll.BDH($C$553,"NET_FIXED_ASSETS_1_YEAR_GROWTH","FQ4 2015","FQ4 2015","Currency=INR","Period=FQ","BEST_FPERIOD_OVERRIDE=FQ","FILING_STATUS=OR","EQY_CONSOLIDATED=Y","Sort=A","Dates=H","DateFormat=P","Fill=—","Direction=H","UseDPDF=Y")</f>
        <v>#NAME?</v>
      </c>
      <c r="AC562" s="1" t="e">
        <f ca="1">_xll.BDH($C$553,"ASSET_GROWTH","FQ4 2015","FQ4 2015","Currency=INR","Period=FQ","BEST_FPERIOD_OVERRIDE=FQ","FILING_STATUS=OR","EQY_CONSOLIDATED=Y","Sort=A","Dates=H","DateFormat=P","Fill=—","Direction=H","UseDPDF=Y")</f>
        <v>#NAME?</v>
      </c>
      <c r="AD562" s="1" t="e">
        <f ca="1">_xll.BDH($C$553,"MODIFIED_WORK_CAP_GROWTH","FQ4 2015","FQ4 2015","Currency=INR","Period=FQ","BEST_FPERIOD_OVERRIDE=FQ","FILING_STATUS=OR","EQY_CONSOLIDATED=Y","Sort=A","Dates=H","DateFormat=P","Fill=—","Direction=H","UseDPDF=Y")</f>
        <v>#NAME?</v>
      </c>
      <c r="AE562" s="1" t="e">
        <f ca="1">_xll.BDH($C$553,"WORK_CAP_GROWTH","FQ4 2015","FQ4 2015","Currency=INR","Period=FQ","BEST_FPERIOD_OVERRIDE=FQ","FILING_STATUS=OR","EQY_CONSOLIDATED=Y","Sort=A","Dates=H","DateFormat=P","Fill=—","Direction=H","UseDPDF=Y")</f>
        <v>#NAME?</v>
      </c>
      <c r="AF562" s="1" t="e">
        <f ca="1">_xll.BDH($C$553,"ACCOUNTS_PAYABLE_GROWTH_1YR","FQ4 2015","FQ4 2015","Currency=INR","Period=FQ","BEST_FPERIOD_OVERRIDE=FQ","FILING_STATUS=OR","EQY_CONSOLIDATED=Y","Sort=A","Dates=H","DateFormat=P","Fill=—","Direction=H","UseDPDF=Y")</f>
        <v>#NAME?</v>
      </c>
      <c r="AG562" s="1" t="e">
        <f ca="1">_xll.BDH($C$553,"SHORT_TERM_DEBT_1_YEAR_GROWTH","FQ4 2015","FQ4 2015","Currency=INR","Period=FQ","BEST_FPERIOD_OVERRIDE=FQ","FILING_STATUS=OR","EQY_CONSOLIDATED=Y","Sort=A","Dates=H","DateFormat=P","Fill=—","Direction=H","UseDPDF=Y")</f>
        <v>#NAME?</v>
      </c>
      <c r="AH562" s="1" t="e">
        <f ca="1">_xll.BDH($C$553,"TOTAL_DEBT_1_YEAR_GROWTH","FQ4 2015","FQ4 2015","Currency=INR","Period=FQ","BEST_FPERIOD_OVERRIDE=FQ","FILING_STATUS=OR","EQY_CONSOLIDATED=Y","Sort=A","Dates=H","DateFormat=P","Fill=—","Direction=H","UseDPDF=Y")</f>
        <v>#NAME?</v>
      </c>
      <c r="AI562" s="1" t="e">
        <f ca="1">_xll.BDH($C$553,"TOTAL_EQUITY_1_YEAR_GROWTH","FQ4 2015","FQ4 2015","Currency=INR","Period=FQ","BEST_FPERIOD_OVERRIDE=FQ","FILING_STATUS=OR","EQY_CONSOLIDATED=Y","Sort=A","Dates=H","DateFormat=P","Fill=—","Direction=H","UseDPDF=Y")</f>
        <v>#NAME?</v>
      </c>
      <c r="AJ562" s="1" t="e">
        <f ca="1">_xll.BDH($C$553,"GROWTH_IN_CAP","FQ4 2015","FQ4 2015","Currency=INR","Period=FQ","BEST_FPERIOD_OVERRIDE=FQ","FILING_STATUS=OR","EQY_CONSOLIDATED=Y","Sort=A","Dates=H","DateFormat=P","Fill=—","Direction=H","UseDPDF=Y")</f>
        <v>#NAME?</v>
      </c>
      <c r="AK562" s="1" t="e">
        <f ca="1">_xll.BDH($C$553,"BVPS_GROWTH","FQ4 2015","FQ4 2015","Currency=INR","Period=FQ","BEST_FPERIOD_OVERRIDE=FQ","FILING_STATUS=OR","EQY_CONSOLIDATED=Y","Sort=A","Dates=H","DateFormat=P","Fill=—","Direction=H","UseDPDF=Y")</f>
        <v>#NAME?</v>
      </c>
      <c r="AL562" s="1" t="e">
        <f ca="1">_xll.BDH($C$553,"CASH_FLOW_GROWTH","FQ4 2015","FQ4 2015","Currency=INR","Period=FQ","BEST_FPERIOD_OVERRIDE=FQ","FILING_STATUS=OR","EQY_CONSOLIDATED=Y","Sort=A","Dates=H","DateFormat=P","Fill=—","Direction=H","UseDPDF=Y")</f>
        <v>#NAME?</v>
      </c>
      <c r="AM562" s="1" t="e">
        <f ca="1">_xll.BDH($C$553,"GEO_GROW_NET_SALES","FQ4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62" s="1" t="e">
        <f ca="1">_xll.BDH($C$553,"GEO_GROW_EBITDA","FQ4 2015","FQ4 2015","Currency=INR","Period=FQ","BEST_FPERIOD_OVERRIDE=FQ","FILING_STATUS=OR","EQY_CONSOLIDATED=Y","FA_ADJUSTED=GAAP","Sort=A","Dates=H","DateFormat=P","Fill=—","Direction=H","UseDPDF=Y")</f>
        <v>#NAME?</v>
      </c>
      <c r="AO562" s="1" t="e">
        <f ca="1">_xll.BDH($C$553,"GEO_GROW_OPER_INC","FQ4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62" s="1" t="e">
        <f ca="1">_xll.BDH($C$553,"NET_INCOME_TO_COMMON_5_YR_GROWTH","FQ4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62" s="1" t="e">
        <f ca="1">_xll.BDH($C$553,"5Y_GEO_GROWTH_DILUTED_EPS","FQ4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62" s="1" t="e">
        <f ca="1">_xll.BDH($C$553,"GEO_GROW_DVD_PER_SH","FQ4 2015","FQ4 2015","Currency=INR","Period=FQ","BEST_FPERIOD_OVERRIDE=FQ","FILING_STATUS=OR","EQY_CONSOLIDATED=Y","Sort=A","Dates=H","DateFormat=P","Fill=—","Direction=H","UseDPDF=Y")</f>
        <v>#NAME?</v>
      </c>
      <c r="AS562" s="1" t="e">
        <f ca="1">_xll.BDH($C$553,"ACCOUNTS_RECEIVABLE_5_YR_GROWTH","FQ4 2015","FQ4 2015","Currency=INR","Period=FQ","BEST_FPERIOD_OVERRIDE=FQ","FILING_STATUS=OR","EQY_CONSOLIDATED=Y","Sort=A","Dates=H","DateFormat=P","Fill=—","Direction=H","UseDPDF=Y")</f>
        <v>#NAME?</v>
      </c>
      <c r="AT562" s="1" t="e">
        <f ca="1">_xll.BDH($C$553,"INVENTORY_5_YEAR_GROWTH","FQ4 2015","FQ4 2015","Currency=INR","Period=FQ","BEST_FPERIOD_OVERRIDE=FQ","FILING_STATUS=OR","EQY_CONSOLIDATED=Y","Sort=A","Dates=H","DateFormat=P","Fill=—","Direction=H","UseDPDF=Y")</f>
        <v>#NAME?</v>
      </c>
      <c r="AU562" s="1" t="e">
        <f ca="1">_xll.BDH($C$553,"NET_FIXED_ASSETS_5_YEAR_GROWTH","FQ4 2015","FQ4 2015","Currency=INR","Period=FQ","BEST_FPERIOD_OVERRIDE=FQ","FILING_STATUS=OR","EQY_CONSOLIDATED=Y","Sort=A","Dates=H","DateFormat=P","Fill=—","Direction=H","UseDPDF=Y")</f>
        <v>#NAME?</v>
      </c>
      <c r="AV562" s="1" t="e">
        <f ca="1">_xll.BDH($C$553,"GEO_GROW_TOT_ASSET","FQ4 2015","FQ4 2015","Currency=INR","Period=FQ","BEST_FPERIOD_OVERRIDE=FQ","FILING_STATUS=OR","EQY_CONSOLIDATED=Y","Sort=A","Dates=H","DateFormat=P","Fill=—","Direction=H","UseDPDF=Y")</f>
        <v>#NAME?</v>
      </c>
      <c r="AW562" s="1" t="e">
        <f ca="1">_xll.BDH($C$553,"MODIFIED_WORKING_CPTL_5YR_GRWTH","FQ4 2015","FQ4 2015","Currency=INR","Period=FQ","BEST_FPERIOD_OVERRIDE=FQ","FILING_STATUS=OR","EQY_CONSOLIDATED=Y","Sort=A","Dates=H","DateFormat=P","Fill=—","Direction=H","UseDPDF=Y")</f>
        <v>#NAME?</v>
      </c>
      <c r="AX562" s="1" t="e">
        <f ca="1">_xll.BDH($C$553,"WORKING_CAPITAL_5_YEAR_GROWTH","FQ4 2015","FQ4 2015","Currency=INR","Period=FQ","BEST_FPERIOD_OVERRIDE=FQ","FILING_STATUS=OR","EQY_CONSOLIDATED=Y","Sort=A","Dates=H","DateFormat=P","Fill=—","Direction=H","UseDPDF=Y")</f>
        <v>#NAME?</v>
      </c>
      <c r="AY562" s="1" t="e">
        <f ca="1">_xll.BDH($C$553,"ACCOUNTS_PAYABLE_5_YEAR_GROWTH","FQ4 2015","FQ4 2015","Currency=INR","Period=FQ","BEST_FPERIOD_OVERRIDE=FQ","FILING_STATUS=OR","EQY_CONSOLIDATED=Y","Sort=A","Dates=H","DateFormat=P","Fill=—","Direction=H","UseDPDF=Y")</f>
        <v>#NAME?</v>
      </c>
      <c r="AZ562" s="1" t="e">
        <f ca="1">_xll.BDH($C$553,"SHORT_TERM_DEBT_5_YEAR_GROWTH","FQ4 2015","FQ4 2015","Currency=INR","Period=FQ","BEST_FPERIOD_OVERRIDE=FQ","FILING_STATUS=OR","EQY_CONSOLIDATED=Y","Sort=A","Dates=H","DateFormat=P","Fill=—","Direction=H","UseDPDF=Y")</f>
        <v>#NAME?</v>
      </c>
      <c r="BA562" s="1" t="e">
        <f ca="1">_xll.BDH($C$553,"TOTAL_DEBT_5_YEAR_GROWTH","FQ4 2015","FQ4 2015","Currency=INR","Period=FQ","BEST_FPERIOD_OVERRIDE=FQ","FILING_STATUS=OR","EQY_CONSOLIDATED=Y","Sort=A","Dates=H","DateFormat=P","Fill=—","Direction=H","UseDPDF=Y")</f>
        <v>#NAME?</v>
      </c>
      <c r="BB562" s="1" t="e">
        <f ca="1">_xll.BDH($C$553,"GEO_GROW_TOT_SHRHLDR_EQY","FQ4 2015","FQ4 2015","Currency=INR","Period=FQ","BEST_FPERIOD_OVERRIDE=FQ","FILING_STATUS=OR","EQY_CONSOLIDATED=Y","Sort=A","Dates=H","DateFormat=P","Fill=—","Direction=H","UseDPDF=Y")</f>
        <v>#NAME?</v>
      </c>
      <c r="BC562" s="1" t="e">
        <f ca="1">_xll.BDH($C$553,"TOTAL_CAPITAL_5_YEAR_GROWTH","FQ4 2015","FQ4 2015","Currency=INR","Period=FQ","BEST_FPERIOD_OVERRIDE=FQ","FILING_STATUS=OR","EQY_CONSOLIDATED=Y","Sort=A","Dates=H","DateFormat=P","Fill=—","Direction=H","UseDPDF=Y")</f>
        <v>#NAME?</v>
      </c>
      <c r="BD562" s="1" t="e">
        <f ca="1">_xll.BDH($C$553,"GEO_GROW_BOOK_VAL","FQ4 2015","FQ4 2015","Currency=INR","Period=FQ","BEST_FPERIOD_OVERRIDE=FQ","FILING_STATUS=OR","EQY_CONSOLIDATED=Y","Sort=A","Dates=H","DateFormat=P","Fill=—","Direction=H","UseDPDF=Y")</f>
        <v>#NAME?</v>
      </c>
      <c r="BE562" s="1" t="e">
        <f ca="1">_xll.BDH($C$553,"GEO_GROW_CASH_OPER_ACT","FQ4 2015","FQ4 2015","Currency=INR","Period=FQ","BEST_FPERIOD_OVERRIDE=FQ","FILING_STATUS=OR","EQY_CONSOLIDATED=Y","Sort=A","Dates=H","DateFormat=P","Fill=—","Direction=H","UseDPDF=Y")</f>
        <v>#NAME?</v>
      </c>
      <c r="BF562" s="1" t="e">
        <f ca="1">_xll.BDH($C$553,"REVENUE_SEQUENTIAL_GROWTH","FQ4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62" s="1" t="e">
        <f ca="1">_xll.BDH($C$553,"EBITDA_SEQUENTIAL_GROWTH","FQ4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62" s="1" t="e">
        <f ca="1">_xll.BDH($C$553,"OPERATING_INCOME_SEQ_GROWTH","FQ4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62" s="1" t="e">
        <f ca="1">_xll.BDH($C$553,"NET_INCOME_TO_COMMON_SEQ_GROWTH","FQ4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62" s="1" t="e">
        <f ca="1">_xll.BDH($C$553,"EPS_DILUTED_SEQUENTIAL_GROWTH","FQ4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62" s="1" t="e">
        <f ca="1">_xll.BDH($C$553,"DPS_SEQUENTIAL_GROWTH","FQ4 2015","FQ4 2015","Currency=INR","Period=FQ","BEST_FPERIOD_OVERRIDE=FQ","FILING_STATUS=OR","EQY_CONSOLIDATED=Y","Sort=A","Dates=H","DateFormat=P","Fill=—","Direction=H","UseDPDF=Y")</f>
        <v>#NAME?</v>
      </c>
      <c r="BL562" s="1" t="e">
        <f ca="1">_xll.BDH($C$553,"ACCOUNTS_RECEIVABLE_SEQ_GROWTH","FQ4 2015","FQ4 2015","Currency=INR","Period=FQ","BEST_FPERIOD_OVERRIDE=FQ","FILING_STATUS=OR","EQY_CONSOLIDATED=Y","Sort=A","Dates=H","DateFormat=P","Fill=—","Direction=H","UseDPDF=Y")</f>
        <v>#NAME?</v>
      </c>
      <c r="BM562" s="1" t="e">
        <f ca="1">_xll.BDH($C$553,"INVENTORY_SEQUENTIAL_GROWTH","FQ4 2015","FQ4 2015","Currency=INR","Period=FQ","BEST_FPERIOD_OVERRIDE=FQ","FILING_STATUS=OR","EQY_CONSOLIDATED=Y","Sort=A","Dates=H","DateFormat=P","Fill=—","Direction=H","UseDPDF=Y")</f>
        <v>#NAME?</v>
      </c>
      <c r="BN562" s="1" t="e">
        <f ca="1">_xll.BDH($C$553,"FIXED_ASSETS_SEQUENTIAL_GROWTH","FQ4 2015","FQ4 2015","Currency=INR","Period=FQ","BEST_FPERIOD_OVERRIDE=FQ","FILING_STATUS=OR","EQY_CONSOLIDATED=Y","Sort=A","Dates=H","DateFormat=P","Fill=—","Direction=H","UseDPDF=Y")</f>
        <v>#NAME?</v>
      </c>
      <c r="BO562" s="1" t="e">
        <f ca="1">_xll.BDH($C$553,"TOTAL_ASSETS_SEQUENTIAL_GROWTH","FQ4 2015","FQ4 2015","Currency=INR","Period=FQ","BEST_FPERIOD_OVERRIDE=FQ","FILING_STATUS=OR","EQY_CONSOLIDATED=Y","Sort=A","Dates=H","DateFormat=P","Fill=—","Direction=H","UseDPDF=Y")</f>
        <v>#NAME?</v>
      </c>
      <c r="BP562" s="1" t="e">
        <f ca="1">_xll.BDH($C$553,"MODIFIED_WORKING_CPTL_SEQ_GRWTH","FQ4 2015","FQ4 2015","Currency=INR","Period=FQ","BEST_FPERIOD_OVERRIDE=FQ","FILING_STATUS=OR","EQY_CONSOLIDATED=Y","Sort=A","Dates=H","DateFormat=P","Fill=—","Direction=H","UseDPDF=Y")</f>
        <v>#NAME?</v>
      </c>
      <c r="BQ562" s="1" t="e">
        <f ca="1">_xll.BDH($C$553,"WORKING_CAPITAL_SEQ_GROWTH","FQ4 2015","FQ4 2015","Currency=INR","Period=FQ","BEST_FPERIOD_OVERRIDE=FQ","FILING_STATUS=OR","EQY_CONSOLIDATED=Y","Sort=A","Dates=H","DateFormat=P","Fill=—","Direction=H","UseDPDF=Y")</f>
        <v>#NAME?</v>
      </c>
      <c r="BR562" s="1" t="e">
        <f ca="1">_xll.BDH($C$553,"ACCOUNTS_PAYABLE_SEQ_GROWTH","FQ4 2015","FQ4 2015","Currency=INR","Period=FQ","BEST_FPERIOD_OVERRIDE=FQ","FILING_STATUS=OR","EQY_CONSOLIDATED=Y","Sort=A","Dates=H","DateFormat=P","Fill=—","Direction=H","UseDPDF=Y")</f>
        <v>#NAME?</v>
      </c>
      <c r="BS562" s="1" t="e">
        <f ca="1">_xll.BDH($C$553,"ST_DEBT_SEQUENTIAL_GROWTH","FQ4 2015","FQ4 2015","Currency=INR","Period=FQ","BEST_FPERIOD_OVERRIDE=FQ","FILING_STATUS=OR","EQY_CONSOLIDATED=Y","Sort=A","Dates=H","DateFormat=P","Fill=—","Direction=H","UseDPDF=Y")</f>
        <v>#NAME?</v>
      </c>
      <c r="BT562" s="1" t="e">
        <f ca="1">_xll.BDH($C$553,"TOTAL_DEBT_SEQUENTIAL_GROWTH","FQ4 2015","FQ4 2015","Currency=INR","Period=FQ","BEST_FPERIOD_OVERRIDE=FQ","FILING_STATUS=OR","EQY_CONSOLIDATED=Y","Sort=A","Dates=H","DateFormat=P","Fill=—","Direction=H","UseDPDF=Y")</f>
        <v>#NAME?</v>
      </c>
      <c r="BU562" s="1" t="e">
        <f ca="1">_xll.BDH($C$553,"TOTAL_EQUITY_SEQUENTIAL_GROWTH","FQ4 2015","FQ4 2015","Currency=INR","Period=FQ","BEST_FPERIOD_OVERRIDE=FQ","FILING_STATUS=OR","EQY_CONSOLIDATED=Y","Sort=A","Dates=H","DateFormat=P","Fill=—","Direction=H","UseDPDF=Y")</f>
        <v>#NAME?</v>
      </c>
      <c r="BV562" s="1" t="e">
        <f ca="1">_xll.BDH($C$553,"TOTAL_CAPITAL_SEQUENTIAL_GROWTH","FQ4 2015","FQ4 2015","Currency=INR","Period=FQ","BEST_FPERIOD_OVERRIDE=FQ","FILING_STATUS=OR","EQY_CONSOLIDATED=Y","Sort=A","Dates=H","DateFormat=P","Fill=—","Direction=H","UseDPDF=Y")</f>
        <v>#NAME?</v>
      </c>
      <c r="BW562" s="1" t="e">
        <f ca="1">_xll.BDH($C$553,"BPS_SEQUENTIAL_GROWTH","FQ4 2015","FQ4 2015","Currency=INR","Period=FQ","BEST_FPERIOD_OVERRIDE=FQ","FILING_STATUS=OR","EQY_CONSOLIDATED=Y","Sort=A","Dates=H","DateFormat=P","Fill=—","Direction=H","UseDPDF=Y")</f>
        <v>#NAME?</v>
      </c>
      <c r="BX562" s="1" t="e">
        <f ca="1">_xll.BDH($C$553,"CFO_SEQUENTIAL_GROWTH","FQ4 2015","FQ4 2015","Currency=INR","Period=FQ","BEST_FPERIOD_OVERRIDE=FQ","FILING_STATUS=OR","EQY_CONSOLIDATED=Y","Sort=A","Dates=H","DateFormat=P","Fill=—","Direction=H","UseDPDF=Y")</f>
        <v>#NAME?</v>
      </c>
      <c r="BY562" s="2" t="e">
        <f ca="1">_xll.BDH($C$553,"SHORT_AND_LONG_TERM_DEBT","FQ4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62" s="2" t="e">
        <f ca="1">_xll.BDH($C$553,"BS_ST_BORROW","FQ4 2015","FQ4 2015","Currency=INR","Period=FQ","BEST_FPERIOD_OVERRIDE=FQ","FILING_STATUS=OR","EQY_CONSOLIDATED=Y","SCALING_FORMAT=MLN","Sort=A","Dates=H","DateFormat=P","Fill=—","Direction=H","UseDPDF=Y")</f>
        <v>#NAME?</v>
      </c>
      <c r="CA562" s="2" t="e">
        <f ca="1">_xll.BDH($C$553,"BS_LT_BORROW","FQ4 2015","FQ4 2015","Currency=INR","Period=FQ","BEST_FPERIOD_OVERRIDE=FQ","FILING_STATUS=OR","EQY_CONSOLIDATED=Y","SCALING_FORMAT=MLN","Sort=A","Dates=H","DateFormat=P","Fill=—","Direction=H","UseDPDF=Y")</f>
        <v>#NAME?</v>
      </c>
      <c r="CB562" s="1" t="e">
        <f ca="1">_xll.BDH($C$553,"TOT_DEBT_TO_EBITDA","FQ4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62" s="1" t="e">
        <f ca="1">_xll.BDH($C$553,"NET_DEBT_TO_EBITDA","FQ4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62" s="1" t="e">
        <f ca="1">_xll.BDH($C$553,"TOTAL_DEBT_TO_EBIT","FQ4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62" s="1" t="e">
        <f ca="1">_xll.BDH($C$553,"NET_DEBT_TO_EBIT","FQ4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562" s="1" t="e">
        <f ca="1">_xll.BDH($C$553,"EBITDA_TO_INTEREST_EXPN","FQ4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62" s="1" t="e">
        <f ca="1">_xll.BDH($C$553,"COM_EQY_TO_TOT_ASSET","FQ4 2015","FQ4 2015","Currency=INR","Period=FQ","BEST_FPERIOD_OVERRIDE=FQ","FILING_STATUS=OR","EQY_CONSOLIDATED=Y","Sort=A","Dates=H","DateFormat=P","Fill=—","Direction=H","UseDPDF=Y")</f>
        <v>#NAME?</v>
      </c>
      <c r="CH562" s="1" t="e">
        <f ca="1">_xll.BDH($C$553,"LT_DEBT_TO_TOT_EQY","FQ4 2015","FQ4 2015","Currency=INR","Period=FQ","BEST_FPERIOD_OVERRIDE=FQ","FILING_STATUS=OR","EQY_CONSOLIDATED=Y","Sort=A","Dates=H","DateFormat=P","Fill=—","Direction=H","UseDPDF=Y")</f>
        <v>#NAME?</v>
      </c>
      <c r="CI562" s="1" t="e">
        <f ca="1">_xll.BDH($C$553,"LT_DEBT_TO_TOT_CAP","FQ4 2015","FQ4 2015","Currency=INR","Period=FQ","BEST_FPERIOD_OVERRIDE=FQ","FILING_STATUS=OR","EQY_CONSOLIDATED=Y","Sort=A","Dates=H","DateFormat=P","Fill=—","Direction=H","UseDPDF=Y")</f>
        <v>#NAME?</v>
      </c>
      <c r="CJ562" s="1" t="e">
        <f ca="1">_xll.BDH($C$553,"LT_DEBT_TO_TOT_ASSET","FQ4 2015","FQ4 2015","Currency=INR","Period=FQ","BEST_FPERIOD_OVERRIDE=FQ","FILING_STATUS=OR","EQY_CONSOLIDATED=Y","Sort=A","Dates=H","DateFormat=P","Fill=—","Direction=H","UseDPDF=Y")</f>
        <v>#NAME?</v>
      </c>
      <c r="CK562" s="1" t="e">
        <f ca="1">_xll.BDH($C$553,"TOT_DEBT_TO_TOT_EQY","FQ4 2015","FQ4 2015","Currency=INR","Period=FQ","BEST_FPERIOD_OVERRIDE=FQ","FILING_STATUS=OR","EQY_CONSOLIDATED=Y","Sort=A","Dates=H","DateFormat=P","Fill=—","Direction=H","UseDPDF=Y")</f>
        <v>#NAME?</v>
      </c>
      <c r="CL562" s="1" t="e">
        <f ca="1">_xll.BDH($C$553,"TOT_DEBT_TO_TOT_CAP","FQ4 2015","FQ4 2015","Currency=INR","Period=FQ","BEST_FPERIOD_OVERRIDE=FQ","FILING_STATUS=OR","EQY_CONSOLIDATED=Y","Sort=A","Dates=H","DateFormat=P","Fill=—","Direction=H","UseDPDF=Y")</f>
        <v>#NAME?</v>
      </c>
      <c r="CM562" s="1" t="e">
        <f ca="1">_xll.BDH($C$553,"TOT_DEBT_TO_TOT_ASSET","FQ4 2015","FQ4 2015","Currency=INR","Period=FQ","BEST_FPERIOD_OVERRIDE=FQ","FILING_STATUS=OR","EQY_CONSOLIDATED=Y","Sort=A","Dates=H","DateFormat=P","Fill=—","Direction=H","UseDPDF=Y")</f>
        <v>#NAME?</v>
      </c>
      <c r="CN562" s="1" t="e">
        <f ca="1">_xll.BDH($C$553,"NET_DEBT_TO_SHRHLDR_EQTY","FQ4 2015","FQ4 2015","Currency=INR","Period=FQ","BEST_FPERIOD_OVERRIDE=FQ","FILING_STATUS=OR","EQY_CONSOLIDATED=Y","Sort=A","Dates=H","DateFormat=P","Fill=—","Direction=H","UseDPDF=Y")</f>
        <v>#NAME?</v>
      </c>
      <c r="CO562" s="1" t="e">
        <f ca="1">_xll.BDH($C$553,"NET_DEBT_%_CAPITAL","FQ4 2015","FQ4 2015","Currency=INR","Period=FQ","BEST_FPERIOD_OVERRIDE=FQ","FILING_STATUS=OR","EQY_CONSOLIDATED=Y","Sort=A","Dates=H","DateFormat=P","Fill=—","Direction=H","UseDPDF=Y")</f>
        <v>#NAME?</v>
      </c>
      <c r="CP562" s="2" t="e">
        <f ca="1">_xll.BDH($C$553,"EBITDA","FQ4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62" s="2" t="e">
        <f ca="1">_xll.BDH($C$553,"EBITDA_AFTER_CAPEX","FQ4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62" s="2" t="e">
        <f ca="1">_xll.BDH($C$553,"IS_OPER_INC","FQ4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62" s="1" t="e">
        <f ca="1">_xll.BDH($C$553,"CASH_RATIO","FQ4 2015","FQ4 2015","Currency=INR","Period=FQ","BEST_FPERIOD_OVERRIDE=FQ","FILING_STATUS=OR","EQY_CONSOLIDATED=Y","Sort=A","Dates=H","DateFormat=P","Fill=—","Direction=H","UseDPDF=Y")</f>
        <v>#NAME?</v>
      </c>
      <c r="CT562" s="1" t="e">
        <f ca="1">_xll.BDH($C$553,"CUR_RATIO","FQ4 2015","FQ4 2015","Currency=INR","Period=FQ","BEST_FPERIOD_OVERRIDE=FQ","FILING_STATUS=OR","EQY_CONSOLIDATED=Y","Sort=A","Dates=H","DateFormat=P","Fill=—","Direction=H","UseDPDF=Y")</f>
        <v>#NAME?</v>
      </c>
      <c r="CU562" s="1" t="e">
        <f ca="1">_xll.BDH($C$553,"QUICK_RATIO","FQ4 2015","FQ4 2015","Currency=INR","Period=FQ","BEST_FPERIOD_OVERRIDE=FQ","FILING_STATUS=OR","EQY_CONSOLIDATED=Y","Sort=A","Dates=H","DateFormat=P","Fill=—","Direction=H","UseDPDF=Y")</f>
        <v>#NAME?</v>
      </c>
      <c r="CV562" s="1" t="e">
        <f ca="1">_xll.BDH($C$553,"ALTMAN_Z_SCORE","FQ4 2015","FQ4 2015","Currency=INR","Period=FQ","BEST_FPERIOD_OVERRIDE=FQ","FILING_STATUS=OR","EQY_CONSOLIDATED=Y","Sort=A","Dates=H","DateFormat=P","Fill=—","Direction=H","UseDPDF=Y")</f>
        <v>#NAME?</v>
      </c>
      <c r="CW562" s="3" t="e">
        <f ca="1">_xll.BDH($C$553,"ACCT_RCV_TURN","FQ4 2015","FQ4 2015","Currency=INR","Period=FQ","BEST_FPERIOD_OVERRIDE=FQ","FILING_STATUS=OR","EQY_CONSOLIDATED=Y","FA_ADJUSTED=GAAP","Sort=A","Dates=H","DateFormat=P","Fill=—","Direction=H","UseDPDF=Y")</f>
        <v>#NAME?</v>
      </c>
      <c r="CX562" s="1" t="e">
        <f ca="1">_xll.BDH($C$553,"ACCT_RCV_DAYS","FQ4 2015","FQ4 2015","Currency=INR","Period=FQ","BEST_FPERIOD_OVERRIDE=FQ","FILING_STATUS=OR","EQY_CONSOLIDATED=Y","FA_ADJUSTED=GAAP","Sort=A","Dates=H","DateFormat=P","Fill=—","Direction=H","UseDPDF=Y")</f>
        <v>#NAME?</v>
      </c>
      <c r="CY562" s="3" t="e">
        <f ca="1">_xll.BDH($C$553,"INVENT_TURN","FQ4 2015","FQ4 2015","Currency=INR","Period=FQ","BEST_FPERIOD_OVERRIDE=FQ","FILING_STATUS=OR","EQY_CONSOLIDATED=Y","FA_ADJUSTED=GAAP","Sort=A","Dates=H","DateFormat=P","Fill=—","Direction=H","UseDPDF=Y")</f>
        <v>#NAME?</v>
      </c>
      <c r="CZ562" s="1" t="e">
        <f ca="1">_xll.BDH($C$553,"INVENT_DAYS","FQ4 2015","FQ4 2015","Currency=INR","Period=FQ","BEST_FPERIOD_OVERRIDE=FQ","FILING_STATUS=OR","EQY_CONSOLIDATED=Y","FA_ADJUSTED=GAAP","Sort=A","Dates=H","DateFormat=P","Fill=—","Direction=H","UseDPDF=Y")</f>
        <v>#NAME?</v>
      </c>
      <c r="DA562" s="3" t="e">
        <f ca="1">_xll.BDH($C$553,"ACCOUNTS_PAYABLE_TURNOVER","FQ4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62" s="1" t="e">
        <f ca="1">_xll.BDH($C$553,"ACCOUNTS_PAYABLE_TURNOVER_DAYS","FQ4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62" s="3" t="e">
        <f ca="1">_xll.BDH($C$553,"CASH_CONVERSION_CYCLE","FQ4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62" s="3" t="e">
        <f ca="1">_xll.BDH($C$553,"INV_TO_CASH_DAYS","FQ4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562" s="4" t="e">
        <f ca="1">_xll.BDH($C$553,"BS_INVENTORIES","FQ4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562" s="2" t="e">
        <f ca="1">_xll.BDH($C$553,"INVTRY_RAW_MATERIALS","FQ4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62" s="2" t="e">
        <f ca="1">_xll.BDH($C$553,"INVTRY_IN_PROGRESS","FQ4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62" s="2" t="e">
        <f ca="1">_xll.BDH($C$553,"INVTRY_FINISHED_GOODS","FQ4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62" s="2" t="e">
        <f ca="1">_xll.BDH($C$553,"BS_OTHER_INV","FQ4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63" spans="1:113" x14ac:dyDescent="0.3">
      <c r="A563" s="6"/>
      <c r="B563" s="6"/>
      <c r="C563" s="6"/>
      <c r="D563" s="6" t="s">
        <v>9</v>
      </c>
      <c r="E563" t="s">
        <v>3</v>
      </c>
      <c r="F563" t="e">
        <f ca="1">_xll.BDH($C$553,"RETURN_COM_EQY","FY 2016","FY 2016","Currency=INR","Period=FY","BEST_FPERIOD_OVERRIDE=FY","FILING_STATUS=OR","EQY_CONSOLIDATED=Y","FA_ADJUSTED=GAAP","Sort=A","Dates=H","DateFormat=P","Fill=—","Direction=H","UseDPDF=Y")</f>
        <v>#NAME?</v>
      </c>
      <c r="G563" t="e">
        <f ca="1">_xll.BDH($C$553,"RETURN_ON_ASSET","FY 2016","FY 2016","Currency=INR","Period=FY","BEST_FPERIOD_OVERRIDE=FY","FILING_STATUS=OR","EQY_CONSOLIDATED=Y","FA_ADJUSTED=GAAP","Sort=A","Dates=H","DateFormat=P","Fill=—","Direction=H","UseDPDF=Y")</f>
        <v>#NAME?</v>
      </c>
      <c r="H563" t="e">
        <f ca="1">_xll.BDH($C$553,"RETURN_ON_CAP","FY 2016","FY 2016","Currency=INR","Period=FY","BEST_FPERIOD_OVERRIDE=FY","FILING_STATUS=OR","EQY_CONSOLIDATED=Y","FA_ADJUSTED=GAAP","Sort=A","Dates=H","DateFormat=P","Fill=—","Direction=H","UseDPDF=Y")</f>
        <v>#NAME?</v>
      </c>
      <c r="I563" t="e">
        <f ca="1">_xll.BDH($C$553,"RETURN_ON_INV_CAPITAL","FY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63" t="e">
        <f ca="1">_xll.BDH($C$553,"EBITDA_TO_REVENUE","FY 2016","FY 2016","Currency=INR","Period=FY","BEST_FPERIOD_OVERRIDE=FY","FILING_STATUS=OR","EQY_CONSOLIDATED=Y","FA_ADJUSTED=GAAP","Sort=A","Dates=H","DateFormat=P","Fill=—","Direction=H","UseDPDF=Y")</f>
        <v>#NAME?</v>
      </c>
      <c r="K563" t="e">
        <f ca="1">_xll.BDH($C$553,"OPER_MARGIN","FY 2016","FY 2016","Currency=INR","Period=FY","BEST_FPERIOD_OVERRIDE=FY","FILING_STATUS=OR","EQY_CONSOLIDATED=Y","FA_ADJUSTED=GAAP","Sort=A","Dates=H","DateFormat=P","Fill=—","Direction=H","UseDPDF=Y")</f>
        <v>#NAME?</v>
      </c>
      <c r="L563" t="e">
        <f ca="1">_xll.BDH($C$553,"INCREMENTAL_OPERATING_MARGIN","FY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63" t="e">
        <f ca="1">_xll.BDH($C$553,"PRETAX_INC_TO_NET_SALES","FY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63" t="e">
        <f ca="1">_xll.BDH($C$553,"INC_BEF_XO_ITEMS_TO_NET_SALES","FY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63" t="e">
        <f ca="1">_xll.BDH($C$553,"PROF_MARGIN","FY 2016","FY 2016","Currency=INR","Period=FY","BEST_FPERIOD_OVERRIDE=FY","FILING_STATUS=OR","EQY_CONSOLIDATED=Y","FA_ADJUSTED=GAAP","Sort=A","Dates=H","DateFormat=P","Fill=—","Direction=H","UseDPDF=Y")</f>
        <v>#NAME?</v>
      </c>
      <c r="P563" t="e">
        <f ca="1">_xll.BDH($C$553,"NET_INCOME_TO_COMMON_MARGIN","FY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63" t="e">
        <f ca="1">_xll.BDH($C$553,"EFF_TAX_RATE","FY 2016","FY 2016","Currency=INR","Period=FY","BEST_FPERIOD_OVERRIDE=FY","FILING_STATUS=OR","EQY_CONSOLIDATED=Y","FA_ADJUSTED=GAAP","Sort=A","Dates=H","DateFormat=P","Fill=—","Direction=H","UseDPDF=Y")</f>
        <v>#NAME?</v>
      </c>
      <c r="R563" t="e">
        <f ca="1">_xll.BDH($C$553,"DVD_PAYOUT_RATIO","FY 2016","FY 2016","Currency=INR","Period=FY","BEST_FPERIOD_OVERRIDE=FY","FILING_STATUS=OR","EQY_CONSOLIDATED=Y","FA_ADJUSTED=GAAP","Sort=A","Dates=H","DateFormat=P","Fill=—","Direction=H","UseDPDF=Y")</f>
        <v>#NAME?</v>
      </c>
      <c r="S563" t="e">
        <f ca="1">_xll.BDH($C$553,"SUSTAIN_GROWTH_RT","FY 2016","FY 2016","Currency=INR","Period=FY","BEST_FPERIOD_OVERRIDE=FY","FILING_STATUS=OR","EQY_CONSOLIDATED=Y","FA_ADJUSTED=GAAP","Sort=A","Dates=H","DateFormat=P","Fill=—","Direction=H","UseDPDF=Y")</f>
        <v>#NAME?</v>
      </c>
      <c r="T563" s="1" t="e">
        <f ca="1">_xll.BDH($C$553,"SALES_GROWTH","FY 2016","FY 2016","Currency=INR","Period=FY","BEST_FPERIOD_OVERRIDE=FY","FILING_STATUS=OR","EQY_CONSOLIDATED=Y","FA_ADJUSTED=GAAP","Sort=A","Dates=H","DateFormat=P","Fill=—","Direction=H","UseDPDF=Y")</f>
        <v>#NAME?</v>
      </c>
      <c r="U563" s="1" t="e">
        <f ca="1">_xll.BDH($C$553,"EBITDA_GROWTH","FY 2016","FY 2016","Currency=INR","Period=FY","BEST_FPERIOD_OVERRIDE=FY","FILING_STATUS=OR","EQY_CONSOLIDATED=Y","FA_ADJUSTED=GAAP","Sort=A","Dates=H","DateFormat=P","Fill=—","Direction=H","UseDPDF=Y")</f>
        <v>#NAME?</v>
      </c>
      <c r="V563" s="1" t="e">
        <f ca="1">_xll.BDH($C$553,"OPER_INC_GROWTH","FY 2016","FY 2016","Currency=INR","Period=FY","BEST_FPERIOD_OVERRIDE=FY","FILING_STATUS=OR","EQY_CONSOLIDATED=Y","FA_ADJUSTED=GAAP","Sort=A","Dates=H","DateFormat=P","Fill=—","Direction=H","UseDPDF=Y")</f>
        <v>#NAME?</v>
      </c>
      <c r="W563" s="1" t="e">
        <f ca="1">_xll.BDH($C$553,"EARN_FOR_COM_GROWTH","FY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563" s="1" t="e">
        <f ca="1">_xll.BDH($C$553,"DILUTED_EPS_AFT_XO_ITEMS_GROWTH","FY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63" s="1" t="e">
        <f ca="1">_xll.BDH($C$553,"DIVIDEND_PER_SHARE_1_YEAR_GROWTH","FY 2016","FY 2016","Currency=INR","Period=FY","BEST_FPERIOD_OVERRIDE=FY","FILING_STATUS=OR","EQY_CONSOLIDATED=Y","Sort=A","Dates=H","DateFormat=P","Fill=—","Direction=H","UseDPDF=Y")</f>
        <v>#NAME?</v>
      </c>
      <c r="Z563" s="1" t="e">
        <f ca="1">_xll.BDH($C$553,"ACCOUNTS_RECEIVABLE_GROWTH","FY 2016","FY 2016","Currency=INR","Period=FY","BEST_FPERIOD_OVERRIDE=FY","FILING_STATUS=OR","EQY_CONSOLIDATED=Y","Sort=A","Dates=H","DateFormat=P","Fill=—","Direction=H","UseDPDF=Y")</f>
        <v>#NAME?</v>
      </c>
      <c r="AA563" s="1" t="e">
        <f ca="1">_xll.BDH($C$553,"INVENTORY_GROWTH","FY 2016","FY 2016","Currency=INR","Period=FY","BEST_FPERIOD_OVERRIDE=FY","FILING_STATUS=OR","EQY_CONSOLIDATED=Y","Sort=A","Dates=H","DateFormat=P","Fill=—","Direction=H","UseDPDF=Y")</f>
        <v>#NAME?</v>
      </c>
      <c r="AB563" s="1" t="e">
        <f ca="1">_xll.BDH($C$553,"NET_FIXED_ASSETS_1_YEAR_GROWTH","FY 2016","FY 2016","Currency=INR","Period=FY","BEST_FPERIOD_OVERRIDE=FY","FILING_STATUS=OR","EQY_CONSOLIDATED=Y","Sort=A","Dates=H","DateFormat=P","Fill=—","Direction=H","UseDPDF=Y")</f>
        <v>#NAME?</v>
      </c>
      <c r="AC563" s="1" t="e">
        <f ca="1">_xll.BDH($C$553,"ASSET_GROWTH","FY 2016","FY 2016","Currency=INR","Period=FY","BEST_FPERIOD_OVERRIDE=FY","FILING_STATUS=OR","EQY_CONSOLIDATED=Y","Sort=A","Dates=H","DateFormat=P","Fill=—","Direction=H","UseDPDF=Y")</f>
        <v>#NAME?</v>
      </c>
      <c r="AD563" s="1" t="e">
        <f ca="1">_xll.BDH($C$553,"MODIFIED_WORK_CAP_GROWTH","FY 2016","FY 2016","Currency=INR","Period=FY","BEST_FPERIOD_OVERRIDE=FY","FILING_STATUS=OR","EQY_CONSOLIDATED=Y","Sort=A","Dates=H","DateFormat=P","Fill=—","Direction=H","UseDPDF=Y")</f>
        <v>#NAME?</v>
      </c>
      <c r="AE563" s="1" t="e">
        <f ca="1">_xll.BDH($C$553,"WORK_CAP_GROWTH","FY 2016","FY 2016","Currency=INR","Period=FY","BEST_FPERIOD_OVERRIDE=FY","FILING_STATUS=OR","EQY_CONSOLIDATED=Y","Sort=A","Dates=H","DateFormat=P","Fill=—","Direction=H","UseDPDF=Y")</f>
        <v>#NAME?</v>
      </c>
      <c r="AF563" s="1" t="e">
        <f ca="1">_xll.BDH($C$553,"ACCOUNTS_PAYABLE_GROWTH_1YR","FY 2016","FY 2016","Currency=INR","Period=FY","BEST_FPERIOD_OVERRIDE=FY","FILING_STATUS=OR","EQY_CONSOLIDATED=Y","Sort=A","Dates=H","DateFormat=P","Fill=—","Direction=H","UseDPDF=Y")</f>
        <v>#NAME?</v>
      </c>
      <c r="AG563" s="1" t="e">
        <f ca="1">_xll.BDH($C$553,"SHORT_TERM_DEBT_1_YEAR_GROWTH","FY 2016","FY 2016","Currency=INR","Period=FY","BEST_FPERIOD_OVERRIDE=FY","FILING_STATUS=OR","EQY_CONSOLIDATED=Y","Sort=A","Dates=H","DateFormat=P","Fill=—","Direction=H","UseDPDF=Y")</f>
        <v>#NAME?</v>
      </c>
      <c r="AH563" s="1" t="e">
        <f ca="1">_xll.BDH($C$553,"TOTAL_DEBT_1_YEAR_GROWTH","FY 2016","FY 2016","Currency=INR","Period=FY","BEST_FPERIOD_OVERRIDE=FY","FILING_STATUS=OR","EQY_CONSOLIDATED=Y","Sort=A","Dates=H","DateFormat=P","Fill=—","Direction=H","UseDPDF=Y")</f>
        <v>#NAME?</v>
      </c>
      <c r="AI563" s="1" t="e">
        <f ca="1">_xll.BDH($C$553,"TOTAL_EQUITY_1_YEAR_GROWTH","FY 2016","FY 2016","Currency=INR","Period=FY","BEST_FPERIOD_OVERRIDE=FY","FILING_STATUS=OR","EQY_CONSOLIDATED=Y","Sort=A","Dates=H","DateFormat=P","Fill=—","Direction=H","UseDPDF=Y")</f>
        <v>#NAME?</v>
      </c>
      <c r="AJ563" s="1" t="e">
        <f ca="1">_xll.BDH($C$553,"GROWTH_IN_CAP","FY 2016","FY 2016","Currency=INR","Period=FY","BEST_FPERIOD_OVERRIDE=FY","FILING_STATUS=OR","EQY_CONSOLIDATED=Y","Sort=A","Dates=H","DateFormat=P","Fill=—","Direction=H","UseDPDF=Y")</f>
        <v>#NAME?</v>
      </c>
      <c r="AK563" s="1" t="e">
        <f ca="1">_xll.BDH($C$553,"BVPS_GROWTH","FY 2016","FY 2016","Currency=INR","Period=FY","BEST_FPERIOD_OVERRIDE=FY","FILING_STATUS=OR","EQY_CONSOLIDATED=Y","Sort=A","Dates=H","DateFormat=P","Fill=—","Direction=H","UseDPDF=Y")</f>
        <v>#NAME?</v>
      </c>
      <c r="AL563" s="1" t="e">
        <f ca="1">_xll.BDH($C$553,"CASH_FLOW_GROWTH","FY 2016","FY 2016","Currency=INR","Period=FY","BEST_FPERIOD_OVERRIDE=FY","FILING_STATUS=OR","EQY_CONSOLIDATED=Y","Sort=A","Dates=H","DateFormat=P","Fill=—","Direction=H","UseDPDF=Y")</f>
        <v>#NAME?</v>
      </c>
      <c r="AM563" s="1" t="e">
        <f ca="1">_xll.BDH($C$553,"GEO_GROW_NET_SALES","FY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563" s="1" t="e">
        <f ca="1">_xll.BDH($C$553,"GEO_GROW_EBITDA","FY 2016","FY 2016","Currency=INR","Period=FY","BEST_FPERIOD_OVERRIDE=FY","FILING_STATUS=OR","EQY_CONSOLIDATED=Y","FA_ADJUSTED=GAAP","Sort=A","Dates=H","DateFormat=P","Fill=—","Direction=H","UseDPDF=Y")</f>
        <v>#NAME?</v>
      </c>
      <c r="AO563" s="1" t="e">
        <f ca="1">_xll.BDH($C$553,"GEO_GROW_OPER_INC","FY 2016","FY 2016","Currency=INR","Period=FY","BEST_FPERIOD_OVERRIDE=FY","FILING_STATUS=OR","EQY_CONSOLIDATED=Y","FA_ADJUSTED=GAAP","Sort=A","Dates=H","DateFormat=P","Fill=—","Direction=H","UseDPDF=Y")</f>
        <v>#NAME?</v>
      </c>
      <c r="AP563" s="1" t="e">
        <f ca="1">_xll.BDH($C$553,"NET_INCOME_TO_COMMON_5_YR_GROWTH","FY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63" s="1" t="e">
        <f ca="1">_xll.BDH($C$553,"5Y_GEO_GROWTH_DILUTED_EPS","FY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63" s="1" t="e">
        <f ca="1">_xll.BDH($C$553,"GEO_GROW_DVD_PER_SH","FY 2016","FY 2016","Currency=INR","Period=FY","BEST_FPERIOD_OVERRIDE=FY","FILING_STATUS=OR","EQY_CONSOLIDATED=Y","Sort=A","Dates=H","DateFormat=P","Fill=—","Direction=H","UseDPDF=Y")</f>
        <v>#NAME?</v>
      </c>
      <c r="AS563" s="1" t="e">
        <f ca="1">_xll.BDH($C$553,"ACCOUNTS_RECEIVABLE_5_YR_GROWTH","FY 2016","FY 2016","Currency=INR","Period=FY","BEST_FPERIOD_OVERRIDE=FY","FILING_STATUS=OR","EQY_CONSOLIDATED=Y","Sort=A","Dates=H","DateFormat=P","Fill=—","Direction=H","UseDPDF=Y")</f>
        <v>#NAME?</v>
      </c>
      <c r="AT563" s="1" t="e">
        <f ca="1">_xll.BDH($C$553,"INVENTORY_5_YEAR_GROWTH","FY 2016","FY 2016","Currency=INR","Period=FY","BEST_FPERIOD_OVERRIDE=FY","FILING_STATUS=OR","EQY_CONSOLIDATED=Y","Sort=A","Dates=H","DateFormat=P","Fill=—","Direction=H","UseDPDF=Y")</f>
        <v>#NAME?</v>
      </c>
      <c r="AU563" s="1" t="e">
        <f ca="1">_xll.BDH($C$553,"NET_FIXED_ASSETS_5_YEAR_GROWTH","FY 2016","FY 2016","Currency=INR","Period=FY","BEST_FPERIOD_OVERRIDE=FY","FILING_STATUS=OR","EQY_CONSOLIDATED=Y","Sort=A","Dates=H","DateFormat=P","Fill=—","Direction=H","UseDPDF=Y")</f>
        <v>#NAME?</v>
      </c>
      <c r="AV563" s="1" t="e">
        <f ca="1">_xll.BDH($C$553,"GEO_GROW_TOT_ASSET","FY 2016","FY 2016","Currency=INR","Period=FY","BEST_FPERIOD_OVERRIDE=FY","FILING_STATUS=OR","EQY_CONSOLIDATED=Y","Sort=A","Dates=H","DateFormat=P","Fill=—","Direction=H","UseDPDF=Y")</f>
        <v>#NAME?</v>
      </c>
      <c r="AW563" s="1" t="e">
        <f ca="1">_xll.BDH($C$553,"MODIFIED_WORKING_CPTL_5YR_GRWTH","FY 2016","FY 2016","Currency=INR","Period=FY","BEST_FPERIOD_OVERRIDE=FY","FILING_STATUS=OR","EQY_CONSOLIDATED=Y","Sort=A","Dates=H","DateFormat=P","Fill=—","Direction=H","UseDPDF=Y")</f>
        <v>#NAME?</v>
      </c>
      <c r="AX563" s="1" t="e">
        <f ca="1">_xll.BDH($C$553,"WORKING_CAPITAL_5_YEAR_GROWTH","FY 2016","FY 2016","Currency=INR","Period=FY","BEST_FPERIOD_OVERRIDE=FY","FILING_STATUS=OR","EQY_CONSOLIDATED=Y","Sort=A","Dates=H","DateFormat=P","Fill=—","Direction=H","UseDPDF=Y")</f>
        <v>#NAME?</v>
      </c>
      <c r="AY563" s="1" t="e">
        <f ca="1">_xll.BDH($C$553,"ACCOUNTS_PAYABLE_5_YEAR_GROWTH","FY 2016","FY 2016","Currency=INR","Period=FY","BEST_FPERIOD_OVERRIDE=FY","FILING_STATUS=OR","EQY_CONSOLIDATED=Y","Sort=A","Dates=H","DateFormat=P","Fill=—","Direction=H","UseDPDF=Y")</f>
        <v>#NAME?</v>
      </c>
      <c r="AZ563" s="1" t="e">
        <f ca="1">_xll.BDH($C$553,"SHORT_TERM_DEBT_5_YEAR_GROWTH","FY 2016","FY 2016","Currency=INR","Period=FY","BEST_FPERIOD_OVERRIDE=FY","FILING_STATUS=OR","EQY_CONSOLIDATED=Y","Sort=A","Dates=H","DateFormat=P","Fill=—","Direction=H","UseDPDF=Y")</f>
        <v>#NAME?</v>
      </c>
      <c r="BA563" s="1" t="e">
        <f ca="1">_xll.BDH($C$553,"TOTAL_DEBT_5_YEAR_GROWTH","FY 2016","FY 2016","Currency=INR","Period=FY","BEST_FPERIOD_OVERRIDE=FY","FILING_STATUS=OR","EQY_CONSOLIDATED=Y","Sort=A","Dates=H","DateFormat=P","Fill=—","Direction=H","UseDPDF=Y")</f>
        <v>#NAME?</v>
      </c>
      <c r="BB563" s="1" t="e">
        <f ca="1">_xll.BDH($C$553,"GEO_GROW_TOT_SHRHLDR_EQY","FY 2016","FY 2016","Currency=INR","Period=FY","BEST_FPERIOD_OVERRIDE=FY","FILING_STATUS=OR","EQY_CONSOLIDATED=Y","Sort=A","Dates=H","DateFormat=P","Fill=—","Direction=H","UseDPDF=Y")</f>
        <v>#NAME?</v>
      </c>
      <c r="BC563" s="1" t="e">
        <f ca="1">_xll.BDH($C$553,"TOTAL_CAPITAL_5_YEAR_GROWTH","FY 2016","FY 2016","Currency=INR","Period=FY","BEST_FPERIOD_OVERRIDE=FY","FILING_STATUS=OR","EQY_CONSOLIDATED=Y","Sort=A","Dates=H","DateFormat=P","Fill=—","Direction=H","UseDPDF=Y")</f>
        <v>#NAME?</v>
      </c>
      <c r="BD563" s="1" t="e">
        <f ca="1">_xll.BDH($C$553,"GEO_GROW_BOOK_VAL","FY 2016","FY 2016","Currency=INR","Period=FY","BEST_FPERIOD_OVERRIDE=FY","FILING_STATUS=OR","EQY_CONSOLIDATED=Y","Sort=A","Dates=H","DateFormat=P","Fill=—","Direction=H","UseDPDF=Y")</f>
        <v>#NAME?</v>
      </c>
      <c r="BE563" s="1" t="e">
        <f ca="1">_xll.BDH($C$553,"GEO_GROW_CASH_OPER_ACT","FY 2016","FY 2016","Currency=INR","Period=FY","BEST_FPERIOD_OVERRIDE=FY","FILING_STATUS=OR","EQY_CONSOLIDATED=Y","Sort=A","Dates=H","DateFormat=P","Fill=—","Direction=H","UseDPDF=Y")</f>
        <v>#NAME?</v>
      </c>
      <c r="BF563" s="1" t="e">
        <f ca="1">_xll.BDH($C$553,"REVENUE_SEQUENTIAL_GROWTH","FY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63" s="1" t="e">
        <f ca="1">_xll.BDH($C$553,"EBITDA_SEQUENTIAL_GROWTH","FY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63" s="1" t="e">
        <f ca="1">_xll.BDH($C$553,"OPERATING_INCOME_SEQ_GROWTH","FY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63" s="1" t="e">
        <f ca="1">_xll.BDH($C$553,"NET_INCOME_TO_COMMON_SEQ_GROWTH","FY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63" s="1" t="e">
        <f ca="1">_xll.BDH($C$553,"EPS_DILUTED_SEQUENTIAL_GROWTH","FY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63" s="1" t="e">
        <f ca="1">_xll.BDH($C$553,"DPS_SEQUENTIAL_GROWTH","FY 2016","FY 2016","Currency=INR","Period=FY","BEST_FPERIOD_OVERRIDE=FY","FILING_STATUS=OR","EQY_CONSOLIDATED=Y","Sort=A","Dates=H","DateFormat=P","Fill=—","Direction=H","UseDPDF=Y")</f>
        <v>#NAME?</v>
      </c>
      <c r="BL563" s="1" t="e">
        <f ca="1">_xll.BDH($C$553,"ACCOUNTS_RECEIVABLE_SEQ_GROWTH","FY 2016","FY 2016","Currency=INR","Period=FY","BEST_FPERIOD_OVERRIDE=FY","FILING_STATUS=OR","EQY_CONSOLIDATED=Y","Sort=A","Dates=H","DateFormat=P","Fill=—","Direction=H","UseDPDF=Y")</f>
        <v>#NAME?</v>
      </c>
      <c r="BM563" s="1" t="e">
        <f ca="1">_xll.BDH($C$553,"INVENTORY_SEQUENTIAL_GROWTH","FY 2016","FY 2016","Currency=INR","Period=FY","BEST_FPERIOD_OVERRIDE=FY","FILING_STATUS=OR","EQY_CONSOLIDATED=Y","Sort=A","Dates=H","DateFormat=P","Fill=—","Direction=H","UseDPDF=Y")</f>
        <v>#NAME?</v>
      </c>
      <c r="BN563" s="1" t="e">
        <f ca="1">_xll.BDH($C$553,"FIXED_ASSETS_SEQUENTIAL_GROWTH","FY 2016","FY 2016","Currency=INR","Period=FY","BEST_FPERIOD_OVERRIDE=FY","FILING_STATUS=OR","EQY_CONSOLIDATED=Y","Sort=A","Dates=H","DateFormat=P","Fill=—","Direction=H","UseDPDF=Y")</f>
        <v>#NAME?</v>
      </c>
      <c r="BO563" s="1" t="e">
        <f ca="1">_xll.BDH($C$553,"TOTAL_ASSETS_SEQUENTIAL_GROWTH","FY 2016","FY 2016","Currency=INR","Period=FY","BEST_FPERIOD_OVERRIDE=FY","FILING_STATUS=OR","EQY_CONSOLIDATED=Y","Sort=A","Dates=H","DateFormat=P","Fill=—","Direction=H","UseDPDF=Y")</f>
        <v>#NAME?</v>
      </c>
      <c r="BP563" s="1" t="e">
        <f ca="1">_xll.BDH($C$553,"MODIFIED_WORKING_CPTL_SEQ_GRWTH","FY 2016","FY 2016","Currency=INR","Period=FY","BEST_FPERIOD_OVERRIDE=FY","FILING_STATUS=OR","EQY_CONSOLIDATED=Y","Sort=A","Dates=H","DateFormat=P","Fill=—","Direction=H","UseDPDF=Y")</f>
        <v>#NAME?</v>
      </c>
      <c r="BQ563" s="1" t="e">
        <f ca="1">_xll.BDH($C$553,"WORKING_CAPITAL_SEQ_GROWTH","FY 2016","FY 2016","Currency=INR","Period=FY","BEST_FPERIOD_OVERRIDE=FY","FILING_STATUS=OR","EQY_CONSOLIDATED=Y","Sort=A","Dates=H","DateFormat=P","Fill=—","Direction=H","UseDPDF=Y")</f>
        <v>#NAME?</v>
      </c>
      <c r="BR563" s="1" t="e">
        <f ca="1">_xll.BDH($C$553,"ACCOUNTS_PAYABLE_SEQ_GROWTH","FY 2016","FY 2016","Currency=INR","Period=FY","BEST_FPERIOD_OVERRIDE=FY","FILING_STATUS=OR","EQY_CONSOLIDATED=Y","Sort=A","Dates=H","DateFormat=P","Fill=—","Direction=H","UseDPDF=Y")</f>
        <v>#NAME?</v>
      </c>
      <c r="BS563" s="1" t="e">
        <f ca="1">_xll.BDH($C$553,"ST_DEBT_SEQUENTIAL_GROWTH","FY 2016","FY 2016","Currency=INR","Period=FY","BEST_FPERIOD_OVERRIDE=FY","FILING_STATUS=OR","EQY_CONSOLIDATED=Y","Sort=A","Dates=H","DateFormat=P","Fill=—","Direction=H","UseDPDF=Y")</f>
        <v>#NAME?</v>
      </c>
      <c r="BT563" s="1" t="e">
        <f ca="1">_xll.BDH($C$553,"TOTAL_DEBT_SEQUENTIAL_GROWTH","FY 2016","FY 2016","Currency=INR","Period=FY","BEST_FPERIOD_OVERRIDE=FY","FILING_STATUS=OR","EQY_CONSOLIDATED=Y","Sort=A","Dates=H","DateFormat=P","Fill=—","Direction=H","UseDPDF=Y")</f>
        <v>#NAME?</v>
      </c>
      <c r="BU563" s="1" t="e">
        <f ca="1">_xll.BDH($C$553,"TOTAL_EQUITY_SEQUENTIAL_GROWTH","FY 2016","FY 2016","Currency=INR","Period=FY","BEST_FPERIOD_OVERRIDE=FY","FILING_STATUS=OR","EQY_CONSOLIDATED=Y","Sort=A","Dates=H","DateFormat=P","Fill=—","Direction=H","UseDPDF=Y")</f>
        <v>#NAME?</v>
      </c>
      <c r="BV563" s="1" t="e">
        <f ca="1">_xll.BDH($C$553,"TOTAL_CAPITAL_SEQUENTIAL_GROWTH","FY 2016","FY 2016","Currency=INR","Period=FY","BEST_FPERIOD_OVERRIDE=FY","FILING_STATUS=OR","EQY_CONSOLIDATED=Y","Sort=A","Dates=H","DateFormat=P","Fill=—","Direction=H","UseDPDF=Y")</f>
        <v>#NAME?</v>
      </c>
      <c r="BW563" s="1" t="e">
        <f ca="1">_xll.BDH($C$553,"BPS_SEQUENTIAL_GROWTH","FY 2016","FY 2016","Currency=INR","Period=FY","BEST_FPERIOD_OVERRIDE=FY","FILING_STATUS=OR","EQY_CONSOLIDATED=Y","Sort=A","Dates=H","DateFormat=P","Fill=—","Direction=H","UseDPDF=Y")</f>
        <v>#NAME?</v>
      </c>
      <c r="BX563" s="1" t="e">
        <f ca="1">_xll.BDH($C$553,"CFO_SEQUENTIAL_GROWTH","FY 2016","FY 2016","Currency=INR","Period=FY","BEST_FPERIOD_OVERRIDE=FY","FILING_STATUS=OR","EQY_CONSOLIDATED=Y","Sort=A","Dates=H","DateFormat=P","Fill=—","Direction=H","UseDPDF=Y")</f>
        <v>#NAME?</v>
      </c>
      <c r="BY563" s="2" t="e">
        <f ca="1">_xll.BDH($C$553,"SHORT_AND_LONG_TERM_DEBT","FY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63" s="2" t="e">
        <f ca="1">_xll.BDH($C$553,"BS_ST_BORROW","FY 2016","FY 2016","Currency=INR","Period=FY","BEST_FPERIOD_OVERRIDE=FY","FILING_STATUS=OR","EQY_CONSOLIDATED=Y","SCALING_FORMAT=MLN","Sort=A","Dates=H","DateFormat=P","Fill=—","Direction=H","UseDPDF=Y")</f>
        <v>#NAME?</v>
      </c>
      <c r="CA563" s="2" t="e">
        <f ca="1">_xll.BDH($C$553,"BS_LT_BORROW","FY 2016","FY 2016","Currency=INR","Period=FY","BEST_FPERIOD_OVERRIDE=FY","FILING_STATUS=OR","EQY_CONSOLIDATED=Y","SCALING_FORMAT=MLN","Sort=A","Dates=H","DateFormat=P","Fill=—","Direction=H","UseDPDF=Y")</f>
        <v>#NAME?</v>
      </c>
      <c r="CB563" s="1" t="e">
        <f ca="1">_xll.BDH($C$553,"TOT_DEBT_TO_EBITDA","FY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563" s="1" t="e">
        <f ca="1">_xll.BDH($C$553,"NET_DEBT_TO_EBITDA","FY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563" s="1" t="e">
        <f ca="1">_xll.BDH($C$553,"TOTAL_DEBT_TO_EBIT","FY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563" s="1" t="e">
        <f ca="1">_xll.BDH($C$553,"NET_DEBT_TO_EBIT","FY 2016","FY 2016","Currency=INR","Period=FY","BEST_FPERIOD_OVERRIDE=FY","FILING_STATUS=OR","EQY_CONSOLIDATED=Y","FA_ADJUSTED=GAAP","Sort=A","Dates=H","DateFormat=P","Fill=—","Direction=H","UseDPDF=Y")</f>
        <v>#NAME?</v>
      </c>
      <c r="CF563" s="1" t="e">
        <f ca="1">_xll.BDH($C$553,"EBITDA_TO_INTEREST_EXPN","FY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63" s="1" t="e">
        <f ca="1">_xll.BDH($C$553,"COM_EQY_TO_TOT_ASSET","FY 2016","FY 2016","Currency=INR","Period=FY","BEST_FPERIOD_OVERRIDE=FY","FILING_STATUS=OR","EQY_CONSOLIDATED=Y","Sort=A","Dates=H","DateFormat=P","Fill=—","Direction=H","UseDPDF=Y")</f>
        <v>#NAME?</v>
      </c>
      <c r="CH563" s="1" t="e">
        <f ca="1">_xll.BDH($C$553,"LT_DEBT_TO_TOT_EQY","FY 2016","FY 2016","Currency=INR","Period=FY","BEST_FPERIOD_OVERRIDE=FY","FILING_STATUS=OR","EQY_CONSOLIDATED=Y","Sort=A","Dates=H","DateFormat=P","Fill=—","Direction=H","UseDPDF=Y")</f>
        <v>#NAME?</v>
      </c>
      <c r="CI563" s="1" t="e">
        <f ca="1">_xll.BDH($C$553,"LT_DEBT_TO_TOT_CAP","FY 2016","FY 2016","Currency=INR","Period=FY","BEST_FPERIOD_OVERRIDE=FY","FILING_STATUS=OR","EQY_CONSOLIDATED=Y","Sort=A","Dates=H","DateFormat=P","Fill=—","Direction=H","UseDPDF=Y")</f>
        <v>#NAME?</v>
      </c>
      <c r="CJ563" s="1" t="e">
        <f ca="1">_xll.BDH($C$553,"LT_DEBT_TO_TOT_ASSET","FY 2016","FY 2016","Currency=INR","Period=FY","BEST_FPERIOD_OVERRIDE=FY","FILING_STATUS=OR","EQY_CONSOLIDATED=Y","Sort=A","Dates=H","DateFormat=P","Fill=—","Direction=H","UseDPDF=Y")</f>
        <v>#NAME?</v>
      </c>
      <c r="CK563" s="1" t="e">
        <f ca="1">_xll.BDH($C$553,"TOT_DEBT_TO_TOT_EQY","FY 2016","FY 2016","Currency=INR","Period=FY","BEST_FPERIOD_OVERRIDE=FY","FILING_STATUS=OR","EQY_CONSOLIDATED=Y","Sort=A","Dates=H","DateFormat=P","Fill=—","Direction=H","UseDPDF=Y")</f>
        <v>#NAME?</v>
      </c>
      <c r="CL563" s="1" t="e">
        <f ca="1">_xll.BDH($C$553,"TOT_DEBT_TO_TOT_CAP","FY 2016","FY 2016","Currency=INR","Period=FY","BEST_FPERIOD_OVERRIDE=FY","FILING_STATUS=OR","EQY_CONSOLIDATED=Y","Sort=A","Dates=H","DateFormat=P","Fill=—","Direction=H","UseDPDF=Y")</f>
        <v>#NAME?</v>
      </c>
      <c r="CM563" s="1" t="e">
        <f ca="1">_xll.BDH($C$553,"TOT_DEBT_TO_TOT_ASSET","FY 2016","FY 2016","Currency=INR","Period=FY","BEST_FPERIOD_OVERRIDE=FY","FILING_STATUS=OR","EQY_CONSOLIDATED=Y","Sort=A","Dates=H","DateFormat=P","Fill=—","Direction=H","UseDPDF=Y")</f>
        <v>#NAME?</v>
      </c>
      <c r="CN563" s="1" t="e">
        <f ca="1">_xll.BDH($C$553,"NET_DEBT_TO_SHRHLDR_EQTY","FY 2016","FY 2016","Currency=INR","Period=FY","BEST_FPERIOD_OVERRIDE=FY","FILING_STATUS=OR","EQY_CONSOLIDATED=Y","Sort=A","Dates=H","DateFormat=P","Fill=—","Direction=H","UseDPDF=Y")</f>
        <v>#NAME?</v>
      </c>
      <c r="CO563" s="1" t="e">
        <f ca="1">_xll.BDH($C$553,"NET_DEBT_%_CAPITAL","FY 2016","FY 2016","Currency=INR","Period=FY","BEST_FPERIOD_OVERRIDE=FY","FILING_STATUS=OR","EQY_CONSOLIDATED=Y","Sort=A","Dates=H","DateFormat=P","Fill=—","Direction=H","UseDPDF=Y")</f>
        <v>#NAME?</v>
      </c>
      <c r="CP563" s="2" t="e">
        <f ca="1">_xll.BDH($C$553,"EBITDA","FY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63" s="2" t="e">
        <f ca="1">_xll.BDH($C$553,"EBITDA_AFTER_CAPEX","FY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63" s="2" t="e">
        <f ca="1">_xll.BDH($C$553,"IS_OPER_INC","FY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63" s="1" t="e">
        <f ca="1">_xll.BDH($C$553,"CASH_RATIO","FY 2016","FY 2016","Currency=INR","Period=FY","BEST_FPERIOD_OVERRIDE=FY","FILING_STATUS=OR","EQY_CONSOLIDATED=Y","Sort=A","Dates=H","DateFormat=P","Fill=—","Direction=H","UseDPDF=Y")</f>
        <v>#NAME?</v>
      </c>
      <c r="CT563" s="1" t="e">
        <f ca="1">_xll.BDH($C$553,"CUR_RATIO","FY 2016","FY 2016","Currency=INR","Period=FY","BEST_FPERIOD_OVERRIDE=FY","FILING_STATUS=OR","EQY_CONSOLIDATED=Y","Sort=A","Dates=H","DateFormat=P","Fill=—","Direction=H","UseDPDF=Y")</f>
        <v>#NAME?</v>
      </c>
      <c r="CU563" s="1" t="e">
        <f ca="1">_xll.BDH($C$553,"QUICK_RATIO","FY 2016","FY 2016","Currency=INR","Period=FY","BEST_FPERIOD_OVERRIDE=FY","FILING_STATUS=OR","EQY_CONSOLIDATED=Y","Sort=A","Dates=H","DateFormat=P","Fill=—","Direction=H","UseDPDF=Y")</f>
        <v>#NAME?</v>
      </c>
      <c r="CV563" s="1" t="e">
        <f ca="1">_xll.BDH($C$553,"ALTMAN_Z_SCORE","FY 2016","FY 2016","Currency=INR","Period=FY","BEST_FPERIOD_OVERRIDE=FY","FILING_STATUS=OR","EQY_CONSOLIDATED=Y","Sort=A","Dates=H","DateFormat=P","Fill=—","Direction=H","UseDPDF=Y")</f>
        <v>#NAME?</v>
      </c>
      <c r="CW563" s="3" t="e">
        <f ca="1">_xll.BDH($C$553,"ACCT_RCV_TURN","FY 2016","FY 2016","Currency=INR","Period=FY","BEST_FPERIOD_OVERRIDE=FY","FILING_STATUS=OR","EQY_CONSOLIDATED=Y","FA_ADJUSTED=GAAP","Sort=A","Dates=H","DateFormat=P","Fill=—","Direction=H","UseDPDF=Y")</f>
        <v>#NAME?</v>
      </c>
      <c r="CX563" s="1" t="e">
        <f ca="1">_xll.BDH($C$553,"ACCT_RCV_DAYS","FY 2016","FY 2016","Currency=INR","Period=FY","BEST_FPERIOD_OVERRIDE=FY","FILING_STATUS=OR","EQY_CONSOLIDATED=Y","FA_ADJUSTED=GAAP","Sort=A","Dates=H","DateFormat=P","Fill=—","Direction=H","UseDPDF=Y")</f>
        <v>#NAME?</v>
      </c>
      <c r="CY563" s="3" t="e">
        <f ca="1">_xll.BDH($C$553,"INVENT_TURN","FY 2016","FY 2016","Currency=INR","Period=FY","BEST_FPERIOD_OVERRIDE=FY","FILING_STATUS=OR","EQY_CONSOLIDATED=Y","FA_ADJUSTED=GAAP","Sort=A","Dates=H","DateFormat=P","Fill=—","Direction=H","UseDPDF=Y")</f>
        <v>#NAME?</v>
      </c>
      <c r="CZ563" s="1" t="e">
        <f ca="1">_xll.BDH($C$553,"INVENT_DAYS","FY 2016","FY 2016","Currency=INR","Period=FY","BEST_FPERIOD_OVERRIDE=FY","FILING_STATUS=OR","EQY_CONSOLIDATED=Y","FA_ADJUSTED=GAAP","Sort=A","Dates=H","DateFormat=P","Fill=—","Direction=H","UseDPDF=Y")</f>
        <v>#NAME?</v>
      </c>
      <c r="DA563" s="3" t="e">
        <f ca="1">_xll.BDH($C$553,"ACCOUNTS_PAYABLE_TURNOVER","FY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63" s="1" t="e">
        <f ca="1">_xll.BDH($C$553,"ACCOUNTS_PAYABLE_TURNOVER_DAYS","FY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63" s="3" t="e">
        <f ca="1">_xll.BDH($C$553,"CASH_CONVERSION_CYCLE","FY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63" s="3" t="e">
        <f ca="1">_xll.BDH($C$553,"INV_TO_CASH_DAYS","FY 2016","FY 2016","Currency=INR","Period=FY","BEST_FPERIOD_OVERRIDE=FY","FILING_STATUS=OR","EQY_CONSOLIDATED=Y","FA_ADJUSTED=GAAP","Sort=A","Dates=H","DateFormat=P","Fill=—","Direction=H","UseDPDF=Y")</f>
        <v>#NAME?</v>
      </c>
      <c r="DE563" s="4" t="e">
        <f ca="1">_xll.BDH($C$553,"BS_INVENTORIES","FY 2016","FY 2016","Currency=INR","Period=FY","BEST_FPERIOD_OVERRIDE=FY","FILING_STATUS=OR","EQY_CONSOLIDATED=Y","SCALING_FORMAT=MLN","Sort=A","Dates=H","DateFormat=P","Fill=—","Direction=H","UseDPDF=Y")</f>
        <v>#NAME?</v>
      </c>
      <c r="DF563" s="2" t="e">
        <f ca="1">_xll.BDH($C$553,"INVTRY_RAW_MATERIALS","FY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63" s="2" t="e">
        <f ca="1">_xll.BDH($C$553,"INVTRY_IN_PROGRESS","FY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63" s="2" t="e">
        <f ca="1">_xll.BDH($C$553,"INVTRY_FINISHED_GOODS","FY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63" s="2" t="e">
        <f ca="1">_xll.BDH($C$553,"BS_OTHER_INV","FY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64" spans="1:113" x14ac:dyDescent="0.3">
      <c r="A564" s="6"/>
      <c r="B564" s="6"/>
      <c r="C564" s="6"/>
      <c r="D564" s="6"/>
      <c r="E564" t="s">
        <v>4</v>
      </c>
      <c r="F564" t="e">
        <f ca="1">_xll.BDH($C$553,"RETURN_COM_EQY","FQ1 2016","FQ1 2016","Currency=INR","Period=FQ","BEST_FPERIOD_OVERRIDE=FQ","FILING_STATUS=OR","EQY_CONSOLIDATED=Y","FA_ADJUSTED=GAAP","Sort=A","Dates=H","DateFormat=P","Fill=—","Direction=H","UseDPDF=Y")</f>
        <v>#NAME?</v>
      </c>
      <c r="G564" t="e">
        <f ca="1">_xll.BDH($C$553,"RETURN_ON_ASSET","FQ1 2016","FQ1 2016","Currency=INR","Period=FQ","BEST_FPERIOD_OVERRIDE=FQ","FILING_STATUS=OR","EQY_CONSOLIDATED=Y","FA_ADJUSTED=GAAP","Sort=A","Dates=H","DateFormat=P","Fill=—","Direction=H","UseDPDF=Y")</f>
        <v>#NAME?</v>
      </c>
      <c r="H564" t="e">
        <f ca="1">_xll.BDH($C$553,"RETURN_ON_CAP","FQ1 2016","FQ1 2016","Currency=INR","Period=FQ","BEST_FPERIOD_OVERRIDE=FQ","FILING_STATUS=OR","EQY_CONSOLIDATED=Y","FA_ADJUSTED=GAAP","Sort=A","Dates=H","DateFormat=P","Fill=—","Direction=H","UseDPDF=Y")</f>
        <v>#NAME?</v>
      </c>
      <c r="I564" t="e">
        <f ca="1">_xll.BDH($C$553,"RETURN_ON_INV_CAPITAL","FQ1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64" t="e">
        <f ca="1">_xll.BDH($C$553,"EBITDA_TO_REVENUE","FQ1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564" t="e">
        <f ca="1">_xll.BDH($C$553,"OPER_MARGIN","FQ1 2016","FQ1 2016","Currency=INR","Period=FQ","BEST_FPERIOD_OVERRIDE=FQ","FILING_STATUS=OR","EQY_CONSOLIDATED=Y","FA_ADJUSTED=GAAP","Sort=A","Dates=H","DateFormat=P","Fill=—","Direction=H","UseDPDF=Y")</f>
        <v>#NAME?</v>
      </c>
      <c r="L564" t="e">
        <f ca="1">_xll.BDH($C$553,"INCREMENTAL_OPERATING_MARGIN","FQ1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64" t="e">
        <f ca="1">_xll.BDH($C$553,"PRETAX_INC_TO_NET_SALES","FQ1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64" t="e">
        <f ca="1">_xll.BDH($C$553,"INC_BEF_XO_ITEMS_TO_NET_SALES","FQ1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64" t="e">
        <f ca="1">_xll.BDH($C$553,"PROF_MARGIN","FQ1 2016","FQ1 2016","Currency=INR","Period=FQ","BEST_FPERIOD_OVERRIDE=FQ","FILING_STATUS=OR","EQY_CONSOLIDATED=Y","FA_ADJUSTED=GAAP","Sort=A","Dates=H","DateFormat=P","Fill=—","Direction=H","UseDPDF=Y")</f>
        <v>#NAME?</v>
      </c>
      <c r="P564" t="e">
        <f ca="1">_xll.BDH($C$553,"NET_INCOME_TO_COMMON_MARGIN","FQ1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64" t="e">
        <f ca="1">_xll.BDH($C$553,"EFF_TAX_RATE","FQ1 2016","FQ1 2016","Currency=INR","Period=FQ","BEST_FPERIOD_OVERRIDE=FQ","FILING_STATUS=OR","EQY_CONSOLIDATED=Y","FA_ADJUSTED=GAAP","Sort=A","Dates=H","DateFormat=P","Fill=—","Direction=H","UseDPDF=Y")</f>
        <v>#NAME?</v>
      </c>
      <c r="R564" t="e">
        <f ca="1">_xll.BDH($C$553,"DVD_PAYOUT_RATIO","FQ1 2016","FQ1 2016","Currency=INR","Period=FQ","BEST_FPERIOD_OVERRIDE=FQ","FILING_STATUS=OR","EQY_CONSOLIDATED=Y","FA_ADJUSTED=GAAP","Sort=A","Dates=H","DateFormat=P","Fill=—","Direction=H","UseDPDF=Y")</f>
        <v>#NAME?</v>
      </c>
      <c r="S564" t="e">
        <f ca="1">_xll.BDH($C$553,"SUSTAIN_GROWTH_RT","FQ1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564" s="1" t="e">
        <f ca="1">_xll.BDH($C$553,"SALES_GROWTH","FQ1 2016","FQ1 2016","Currency=INR","Period=FQ","BEST_FPERIOD_OVERRIDE=FQ","FILING_STATUS=OR","EQY_CONSOLIDATED=Y","FA_ADJUSTED=GAAP","Sort=A","Dates=H","DateFormat=P","Fill=—","Direction=H","UseDPDF=Y")</f>
        <v>#NAME?</v>
      </c>
      <c r="U564" s="1" t="e">
        <f ca="1">_xll.BDH($C$553,"EBITDA_GROWTH","FQ1 2016","FQ1 2016","Currency=INR","Period=FQ","BEST_FPERIOD_OVERRIDE=FQ","FILING_STATUS=OR","EQY_CONSOLIDATED=Y","FA_ADJUSTED=GAAP","Sort=A","Dates=H","DateFormat=P","Fill=—","Direction=H","UseDPDF=Y")</f>
        <v>#NAME?</v>
      </c>
      <c r="V564" s="1" t="e">
        <f ca="1">_xll.BDH($C$553,"OPER_INC_GROWTH","FQ1 2016","FQ1 2016","Currency=INR","Period=FQ","BEST_FPERIOD_OVERRIDE=FQ","FILING_STATUS=OR","EQY_CONSOLIDATED=Y","FA_ADJUSTED=GAAP","Sort=A","Dates=H","DateFormat=P","Fill=—","Direction=H","UseDPDF=Y")</f>
        <v>#NAME?</v>
      </c>
      <c r="W564" s="1" t="e">
        <f ca="1">_xll.BDH($C$553,"EARN_FOR_COM_GROWTH","FQ1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64" s="1" t="e">
        <f ca="1">_xll.BDH($C$553,"DILUTED_EPS_AFT_XO_ITEMS_GROWTH","FQ1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64" s="1" t="e">
        <f ca="1">_xll.BDH($C$553,"DIVIDEND_PER_SHARE_1_YEAR_GROWTH","FQ1 2016","FQ1 2016","Currency=INR","Period=FQ","BEST_FPERIOD_OVERRIDE=FQ","FILING_STATUS=OR","EQY_CONSOLIDATED=Y","Sort=A","Dates=H","DateFormat=P","Fill=—","Direction=H","UseDPDF=Y")</f>
        <v>#NAME?</v>
      </c>
      <c r="Z564" s="1" t="e">
        <f ca="1">_xll.BDH($C$553,"ACCOUNTS_RECEIVABLE_GROWTH","FQ1 2016","FQ1 2016","Currency=INR","Period=FQ","BEST_FPERIOD_OVERRIDE=FQ","FILING_STATUS=OR","EQY_CONSOLIDATED=Y","Sort=A","Dates=H","DateFormat=P","Fill=—","Direction=H","UseDPDF=Y")</f>
        <v>#NAME?</v>
      </c>
      <c r="AA564" s="1" t="e">
        <f ca="1">_xll.BDH($C$553,"INVENTORY_GROWTH","FQ1 2016","FQ1 2016","Currency=INR","Period=FQ","BEST_FPERIOD_OVERRIDE=FQ","FILING_STATUS=OR","EQY_CONSOLIDATED=Y","Sort=A","Dates=H","DateFormat=P","Fill=—","Direction=H","UseDPDF=Y")</f>
        <v>#NAME?</v>
      </c>
      <c r="AB564" s="1" t="e">
        <f ca="1">_xll.BDH($C$553,"NET_FIXED_ASSETS_1_YEAR_GROWTH","FQ1 2016","FQ1 2016","Currency=INR","Period=FQ","BEST_FPERIOD_OVERRIDE=FQ","FILING_STATUS=OR","EQY_CONSOLIDATED=Y","Sort=A","Dates=H","DateFormat=P","Fill=—","Direction=H","UseDPDF=Y")</f>
        <v>#NAME?</v>
      </c>
      <c r="AC564" s="1" t="e">
        <f ca="1">_xll.BDH($C$553,"ASSET_GROWTH","FQ1 2016","FQ1 2016","Currency=INR","Period=FQ","BEST_FPERIOD_OVERRIDE=FQ","FILING_STATUS=OR","EQY_CONSOLIDATED=Y","Sort=A","Dates=H","DateFormat=P","Fill=—","Direction=H","UseDPDF=Y")</f>
        <v>#NAME?</v>
      </c>
      <c r="AD564" s="1" t="e">
        <f ca="1">_xll.BDH($C$553,"MODIFIED_WORK_CAP_GROWTH","FQ1 2016","FQ1 2016","Currency=INR","Period=FQ","BEST_FPERIOD_OVERRIDE=FQ","FILING_STATUS=OR","EQY_CONSOLIDATED=Y","Sort=A","Dates=H","DateFormat=P","Fill=—","Direction=H","UseDPDF=Y")</f>
        <v>#NAME?</v>
      </c>
      <c r="AE564" s="1" t="e">
        <f ca="1">_xll.BDH($C$553,"WORK_CAP_GROWTH","FQ1 2016","FQ1 2016","Currency=INR","Period=FQ","BEST_FPERIOD_OVERRIDE=FQ","FILING_STATUS=OR","EQY_CONSOLIDATED=Y","Sort=A","Dates=H","DateFormat=P","Fill=—","Direction=H","UseDPDF=Y")</f>
        <v>#NAME?</v>
      </c>
      <c r="AF564" s="1" t="e">
        <f ca="1">_xll.BDH($C$553,"ACCOUNTS_PAYABLE_GROWTH_1YR","FQ1 2016","FQ1 2016","Currency=INR","Period=FQ","BEST_FPERIOD_OVERRIDE=FQ","FILING_STATUS=OR","EQY_CONSOLIDATED=Y","Sort=A","Dates=H","DateFormat=P","Fill=—","Direction=H","UseDPDF=Y")</f>
        <v>#NAME?</v>
      </c>
      <c r="AG564" s="1" t="e">
        <f ca="1">_xll.BDH($C$553,"SHORT_TERM_DEBT_1_YEAR_GROWTH","FQ1 2016","FQ1 2016","Currency=INR","Period=FQ","BEST_FPERIOD_OVERRIDE=FQ","FILING_STATUS=OR","EQY_CONSOLIDATED=Y","Sort=A","Dates=H","DateFormat=P","Fill=—","Direction=H","UseDPDF=Y")</f>
        <v>#NAME?</v>
      </c>
      <c r="AH564" s="1" t="e">
        <f ca="1">_xll.BDH($C$553,"TOTAL_DEBT_1_YEAR_GROWTH","FQ1 2016","FQ1 2016","Currency=INR","Period=FQ","BEST_FPERIOD_OVERRIDE=FQ","FILING_STATUS=OR","EQY_CONSOLIDATED=Y","Sort=A","Dates=H","DateFormat=P","Fill=—","Direction=H","UseDPDF=Y")</f>
        <v>#NAME?</v>
      </c>
      <c r="AI564" s="1" t="e">
        <f ca="1">_xll.BDH($C$553,"TOTAL_EQUITY_1_YEAR_GROWTH","FQ1 2016","FQ1 2016","Currency=INR","Period=FQ","BEST_FPERIOD_OVERRIDE=FQ","FILING_STATUS=OR","EQY_CONSOLIDATED=Y","Sort=A","Dates=H","DateFormat=P","Fill=—","Direction=H","UseDPDF=Y")</f>
        <v>#NAME?</v>
      </c>
      <c r="AJ564" s="1" t="e">
        <f ca="1">_xll.BDH($C$553,"GROWTH_IN_CAP","FQ1 2016","FQ1 2016","Currency=INR","Period=FQ","BEST_FPERIOD_OVERRIDE=FQ","FILING_STATUS=OR","EQY_CONSOLIDATED=Y","Sort=A","Dates=H","DateFormat=P","Fill=—","Direction=H","UseDPDF=Y")</f>
        <v>#NAME?</v>
      </c>
      <c r="AK564" s="1" t="e">
        <f ca="1">_xll.BDH($C$553,"BVPS_GROWTH","FQ1 2016","FQ1 2016","Currency=INR","Period=FQ","BEST_FPERIOD_OVERRIDE=FQ","FILING_STATUS=OR","EQY_CONSOLIDATED=Y","Sort=A","Dates=H","DateFormat=P","Fill=—","Direction=H","UseDPDF=Y")</f>
        <v>#NAME?</v>
      </c>
      <c r="AL564" s="1" t="e">
        <f ca="1">_xll.BDH($C$553,"CASH_FLOW_GROWTH","FQ1 2016","FQ1 2016","Currency=INR","Period=FQ","BEST_FPERIOD_OVERRIDE=FQ","FILING_STATUS=OR","EQY_CONSOLIDATED=Y","Sort=A","Dates=H","DateFormat=P","Fill=—","Direction=H","UseDPDF=Y")</f>
        <v>#NAME?</v>
      </c>
      <c r="AM564" s="1" t="e">
        <f ca="1">_xll.BDH($C$553,"GEO_GROW_NET_SALES","FQ1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64" s="1" t="e">
        <f ca="1">_xll.BDH($C$553,"GEO_GROW_EBITDA","FQ1 2016","FQ1 2016","Currency=INR","Period=FQ","BEST_FPERIOD_OVERRIDE=FQ","FILING_STATUS=OR","EQY_CONSOLIDATED=Y","FA_ADJUSTED=GAAP","Sort=A","Dates=H","DateFormat=P","Fill=—","Direction=H","UseDPDF=Y")</f>
        <v>#NAME?</v>
      </c>
      <c r="AO564" s="1" t="e">
        <f ca="1">_xll.BDH($C$553,"GEO_GROW_OPER_INC","FQ1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64" s="1" t="e">
        <f ca="1">_xll.BDH($C$553,"NET_INCOME_TO_COMMON_5_YR_GROWTH","FQ1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64" s="1" t="e">
        <f ca="1">_xll.BDH($C$553,"5Y_GEO_GROWTH_DILUTED_EPS","FQ1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64" s="1" t="e">
        <f ca="1">_xll.BDH($C$553,"GEO_GROW_DVD_PER_SH","FQ1 2016","FQ1 2016","Currency=INR","Period=FQ","BEST_FPERIOD_OVERRIDE=FQ","FILING_STATUS=OR","EQY_CONSOLIDATED=Y","Sort=A","Dates=H","DateFormat=P","Fill=—","Direction=H","UseDPDF=Y")</f>
        <v>#NAME?</v>
      </c>
      <c r="AS564" s="1" t="e">
        <f ca="1">_xll.BDH($C$553,"ACCOUNTS_RECEIVABLE_5_YR_GROWTH","FQ1 2016","FQ1 2016","Currency=INR","Period=FQ","BEST_FPERIOD_OVERRIDE=FQ","FILING_STATUS=OR","EQY_CONSOLIDATED=Y","Sort=A","Dates=H","DateFormat=P","Fill=—","Direction=H","UseDPDF=Y")</f>
        <v>#NAME?</v>
      </c>
      <c r="AT564" s="1" t="e">
        <f ca="1">_xll.BDH($C$553,"INVENTORY_5_YEAR_GROWTH","FQ1 2016","FQ1 2016","Currency=INR","Period=FQ","BEST_FPERIOD_OVERRIDE=FQ","FILING_STATUS=OR","EQY_CONSOLIDATED=Y","Sort=A","Dates=H","DateFormat=P","Fill=—","Direction=H","UseDPDF=Y")</f>
        <v>#NAME?</v>
      </c>
      <c r="AU564" s="1" t="e">
        <f ca="1">_xll.BDH($C$553,"NET_FIXED_ASSETS_5_YEAR_GROWTH","FQ1 2016","FQ1 2016","Currency=INR","Period=FQ","BEST_FPERIOD_OVERRIDE=FQ","FILING_STATUS=OR","EQY_CONSOLIDATED=Y","Sort=A","Dates=H","DateFormat=P","Fill=—","Direction=H","UseDPDF=Y")</f>
        <v>#NAME?</v>
      </c>
      <c r="AV564" s="1" t="e">
        <f ca="1">_xll.BDH($C$553,"GEO_GROW_TOT_ASSET","FQ1 2016","FQ1 2016","Currency=INR","Period=FQ","BEST_FPERIOD_OVERRIDE=FQ","FILING_STATUS=OR","EQY_CONSOLIDATED=Y","Sort=A","Dates=H","DateFormat=P","Fill=—","Direction=H","UseDPDF=Y")</f>
        <v>#NAME?</v>
      </c>
      <c r="AW564" s="1" t="e">
        <f ca="1">_xll.BDH($C$553,"MODIFIED_WORKING_CPTL_5YR_GRWTH","FQ1 2016","FQ1 2016","Currency=INR","Period=FQ","BEST_FPERIOD_OVERRIDE=FQ","FILING_STATUS=OR","EQY_CONSOLIDATED=Y","Sort=A","Dates=H","DateFormat=P","Fill=—","Direction=H","UseDPDF=Y")</f>
        <v>#NAME?</v>
      </c>
      <c r="AX564" s="1" t="e">
        <f ca="1">_xll.BDH($C$553,"WORKING_CAPITAL_5_YEAR_GROWTH","FQ1 2016","FQ1 2016","Currency=INR","Period=FQ","BEST_FPERIOD_OVERRIDE=FQ","FILING_STATUS=OR","EQY_CONSOLIDATED=Y","Sort=A","Dates=H","DateFormat=P","Fill=—","Direction=H","UseDPDF=Y")</f>
        <v>#NAME?</v>
      </c>
      <c r="AY564" s="1" t="e">
        <f ca="1">_xll.BDH($C$553,"ACCOUNTS_PAYABLE_5_YEAR_GROWTH","FQ1 2016","FQ1 2016","Currency=INR","Period=FQ","BEST_FPERIOD_OVERRIDE=FQ","FILING_STATUS=OR","EQY_CONSOLIDATED=Y","Sort=A","Dates=H","DateFormat=P","Fill=—","Direction=H","UseDPDF=Y")</f>
        <v>#NAME?</v>
      </c>
      <c r="AZ564" s="1" t="e">
        <f ca="1">_xll.BDH($C$553,"SHORT_TERM_DEBT_5_YEAR_GROWTH","FQ1 2016","FQ1 2016","Currency=INR","Period=FQ","BEST_FPERIOD_OVERRIDE=FQ","FILING_STATUS=OR","EQY_CONSOLIDATED=Y","Sort=A","Dates=H","DateFormat=P","Fill=—","Direction=H","UseDPDF=Y")</f>
        <v>#NAME?</v>
      </c>
      <c r="BA564" s="1" t="e">
        <f ca="1">_xll.BDH($C$553,"TOTAL_DEBT_5_YEAR_GROWTH","FQ1 2016","FQ1 2016","Currency=INR","Period=FQ","BEST_FPERIOD_OVERRIDE=FQ","FILING_STATUS=OR","EQY_CONSOLIDATED=Y","Sort=A","Dates=H","DateFormat=P","Fill=—","Direction=H","UseDPDF=Y")</f>
        <v>#NAME?</v>
      </c>
      <c r="BB564" s="1" t="e">
        <f ca="1">_xll.BDH($C$553,"GEO_GROW_TOT_SHRHLDR_EQY","FQ1 2016","FQ1 2016","Currency=INR","Period=FQ","BEST_FPERIOD_OVERRIDE=FQ","FILING_STATUS=OR","EQY_CONSOLIDATED=Y","Sort=A","Dates=H","DateFormat=P","Fill=—","Direction=H","UseDPDF=Y")</f>
        <v>#NAME?</v>
      </c>
      <c r="BC564" s="1" t="e">
        <f ca="1">_xll.BDH($C$553,"TOTAL_CAPITAL_5_YEAR_GROWTH","FQ1 2016","FQ1 2016","Currency=INR","Period=FQ","BEST_FPERIOD_OVERRIDE=FQ","FILING_STATUS=OR","EQY_CONSOLIDATED=Y","Sort=A","Dates=H","DateFormat=P","Fill=—","Direction=H","UseDPDF=Y")</f>
        <v>#NAME?</v>
      </c>
      <c r="BD564" s="1" t="e">
        <f ca="1">_xll.BDH($C$553,"GEO_GROW_BOOK_VAL","FQ1 2016","FQ1 2016","Currency=INR","Period=FQ","BEST_FPERIOD_OVERRIDE=FQ","FILING_STATUS=OR","EQY_CONSOLIDATED=Y","Sort=A","Dates=H","DateFormat=P","Fill=—","Direction=H","UseDPDF=Y")</f>
        <v>#NAME?</v>
      </c>
      <c r="BE564" s="1" t="e">
        <f ca="1">_xll.BDH($C$553,"GEO_GROW_CASH_OPER_ACT","FQ1 2016","FQ1 2016","Currency=INR","Period=FQ","BEST_FPERIOD_OVERRIDE=FQ","FILING_STATUS=OR","EQY_CONSOLIDATED=Y","Sort=A","Dates=H","DateFormat=P","Fill=—","Direction=H","UseDPDF=Y")</f>
        <v>#NAME?</v>
      </c>
      <c r="BF564" s="1" t="e">
        <f ca="1">_xll.BDH($C$553,"REVENUE_SEQUENTIAL_GROWTH","FQ1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64" s="1" t="e">
        <f ca="1">_xll.BDH($C$553,"EBITDA_SEQUENTIAL_GROWTH","FQ1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64" s="1" t="e">
        <f ca="1">_xll.BDH($C$553,"OPERATING_INCOME_SEQ_GROWTH","FQ1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64" s="1" t="e">
        <f ca="1">_xll.BDH($C$553,"NET_INCOME_TO_COMMON_SEQ_GROWTH","FQ1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64" s="1" t="e">
        <f ca="1">_xll.BDH($C$553,"EPS_DILUTED_SEQUENTIAL_GROWTH","FQ1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64" s="1" t="e">
        <f ca="1">_xll.BDH($C$553,"DPS_SEQUENTIAL_GROWTH","FQ1 2016","FQ1 2016","Currency=INR","Period=FQ","BEST_FPERIOD_OVERRIDE=FQ","FILING_STATUS=OR","EQY_CONSOLIDATED=Y","Sort=A","Dates=H","DateFormat=P","Fill=—","Direction=H","UseDPDF=Y")</f>
        <v>#NAME?</v>
      </c>
      <c r="BL564" s="1" t="e">
        <f ca="1">_xll.BDH($C$553,"ACCOUNTS_RECEIVABLE_SEQ_GROWTH","FQ1 2016","FQ1 2016","Currency=INR","Period=FQ","BEST_FPERIOD_OVERRIDE=FQ","FILING_STATUS=OR","EQY_CONSOLIDATED=Y","Sort=A","Dates=H","DateFormat=P","Fill=—","Direction=H","UseDPDF=Y")</f>
        <v>#NAME?</v>
      </c>
      <c r="BM564" s="1" t="e">
        <f ca="1">_xll.BDH($C$553,"INVENTORY_SEQUENTIAL_GROWTH","FQ1 2016","FQ1 2016","Currency=INR","Period=FQ","BEST_FPERIOD_OVERRIDE=FQ","FILING_STATUS=OR","EQY_CONSOLIDATED=Y","Sort=A","Dates=H","DateFormat=P","Fill=—","Direction=H","UseDPDF=Y")</f>
        <v>#NAME?</v>
      </c>
      <c r="BN564" s="1" t="e">
        <f ca="1">_xll.BDH($C$553,"FIXED_ASSETS_SEQUENTIAL_GROWTH","FQ1 2016","FQ1 2016","Currency=INR","Period=FQ","BEST_FPERIOD_OVERRIDE=FQ","FILING_STATUS=OR","EQY_CONSOLIDATED=Y","Sort=A","Dates=H","DateFormat=P","Fill=—","Direction=H","UseDPDF=Y")</f>
        <v>#NAME?</v>
      </c>
      <c r="BO564" s="1" t="e">
        <f ca="1">_xll.BDH($C$553,"TOTAL_ASSETS_SEQUENTIAL_GROWTH","FQ1 2016","FQ1 2016","Currency=INR","Period=FQ","BEST_FPERIOD_OVERRIDE=FQ","FILING_STATUS=OR","EQY_CONSOLIDATED=Y","Sort=A","Dates=H","DateFormat=P","Fill=—","Direction=H","UseDPDF=Y")</f>
        <v>#NAME?</v>
      </c>
      <c r="BP564" s="1" t="e">
        <f ca="1">_xll.BDH($C$553,"MODIFIED_WORKING_CPTL_SEQ_GRWTH","FQ1 2016","FQ1 2016","Currency=INR","Period=FQ","BEST_FPERIOD_OVERRIDE=FQ","FILING_STATUS=OR","EQY_CONSOLIDATED=Y","Sort=A","Dates=H","DateFormat=P","Fill=—","Direction=H","UseDPDF=Y")</f>
        <v>#NAME?</v>
      </c>
      <c r="BQ564" s="1" t="e">
        <f ca="1">_xll.BDH($C$553,"WORKING_CAPITAL_SEQ_GROWTH","FQ1 2016","FQ1 2016","Currency=INR","Period=FQ","BEST_FPERIOD_OVERRIDE=FQ","FILING_STATUS=OR","EQY_CONSOLIDATED=Y","Sort=A","Dates=H","DateFormat=P","Fill=—","Direction=H","UseDPDF=Y")</f>
        <v>#NAME?</v>
      </c>
      <c r="BR564" s="1" t="e">
        <f ca="1">_xll.BDH($C$553,"ACCOUNTS_PAYABLE_SEQ_GROWTH","FQ1 2016","FQ1 2016","Currency=INR","Period=FQ","BEST_FPERIOD_OVERRIDE=FQ","FILING_STATUS=OR","EQY_CONSOLIDATED=Y","Sort=A","Dates=H","DateFormat=P","Fill=—","Direction=H","UseDPDF=Y")</f>
        <v>#NAME?</v>
      </c>
      <c r="BS564" s="1" t="e">
        <f ca="1">_xll.BDH($C$553,"ST_DEBT_SEQUENTIAL_GROWTH","FQ1 2016","FQ1 2016","Currency=INR","Period=FQ","BEST_FPERIOD_OVERRIDE=FQ","FILING_STATUS=OR","EQY_CONSOLIDATED=Y","Sort=A","Dates=H","DateFormat=P","Fill=—","Direction=H","UseDPDF=Y")</f>
        <v>#NAME?</v>
      </c>
      <c r="BT564" s="1" t="e">
        <f ca="1">_xll.BDH($C$553,"TOTAL_DEBT_SEQUENTIAL_GROWTH","FQ1 2016","FQ1 2016","Currency=INR","Period=FQ","BEST_FPERIOD_OVERRIDE=FQ","FILING_STATUS=OR","EQY_CONSOLIDATED=Y","Sort=A","Dates=H","DateFormat=P","Fill=—","Direction=H","UseDPDF=Y")</f>
        <v>#NAME?</v>
      </c>
      <c r="BU564" s="1" t="e">
        <f ca="1">_xll.BDH($C$553,"TOTAL_EQUITY_SEQUENTIAL_GROWTH","FQ1 2016","FQ1 2016","Currency=INR","Period=FQ","BEST_FPERIOD_OVERRIDE=FQ","FILING_STATUS=OR","EQY_CONSOLIDATED=Y","Sort=A","Dates=H","DateFormat=P","Fill=—","Direction=H","UseDPDF=Y")</f>
        <v>#NAME?</v>
      </c>
      <c r="BV564" s="1" t="e">
        <f ca="1">_xll.BDH($C$553,"TOTAL_CAPITAL_SEQUENTIAL_GROWTH","FQ1 2016","FQ1 2016","Currency=INR","Period=FQ","BEST_FPERIOD_OVERRIDE=FQ","FILING_STATUS=OR","EQY_CONSOLIDATED=Y","Sort=A","Dates=H","DateFormat=P","Fill=—","Direction=H","UseDPDF=Y")</f>
        <v>#NAME?</v>
      </c>
      <c r="BW564" s="1" t="e">
        <f ca="1">_xll.BDH($C$553,"BPS_SEQUENTIAL_GROWTH","FQ1 2016","FQ1 2016","Currency=INR","Period=FQ","BEST_FPERIOD_OVERRIDE=FQ","FILING_STATUS=OR","EQY_CONSOLIDATED=Y","Sort=A","Dates=H","DateFormat=P","Fill=—","Direction=H","UseDPDF=Y")</f>
        <v>#NAME?</v>
      </c>
      <c r="BX564" s="1" t="e">
        <f ca="1">_xll.BDH($C$553,"CFO_SEQUENTIAL_GROWTH","FQ1 2016","FQ1 2016","Currency=INR","Period=FQ","BEST_FPERIOD_OVERRIDE=FQ","FILING_STATUS=OR","EQY_CONSOLIDATED=Y","Sort=A","Dates=H","DateFormat=P","Fill=—","Direction=H","UseDPDF=Y")</f>
        <v>#NAME?</v>
      </c>
      <c r="BY564" s="2" t="e">
        <f ca="1">_xll.BDH($C$553,"SHORT_AND_LONG_TERM_DEBT","FQ1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64" s="2" t="e">
        <f ca="1">_xll.BDH($C$553,"BS_ST_BORROW","FQ1 2016","FQ1 2016","Currency=INR","Period=FQ","BEST_FPERIOD_OVERRIDE=FQ","FILING_STATUS=OR","EQY_CONSOLIDATED=Y","SCALING_FORMAT=MLN","Sort=A","Dates=H","DateFormat=P","Fill=—","Direction=H","UseDPDF=Y")</f>
        <v>#NAME?</v>
      </c>
      <c r="CA564" s="2" t="e">
        <f ca="1">_xll.BDH($C$553,"BS_LT_BORROW","FQ1 2016","FQ1 2016","Currency=INR","Period=FQ","BEST_FPERIOD_OVERRIDE=FQ","FILING_STATUS=OR","EQY_CONSOLIDATED=Y","SCALING_FORMAT=MLN","Sort=A","Dates=H","DateFormat=P","Fill=—","Direction=H","UseDPDF=Y")</f>
        <v>#NAME?</v>
      </c>
      <c r="CB564" s="1" t="e">
        <f ca="1">_xll.BDH($C$553,"TOT_DEBT_TO_EBITDA","FQ1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64" s="1" t="e">
        <f ca="1">_xll.BDH($C$553,"NET_DEBT_TO_EBITDA","FQ1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64" s="1" t="e">
        <f ca="1">_xll.BDH($C$553,"TOTAL_DEBT_TO_EBIT","FQ1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64" s="1" t="e">
        <f ca="1">_xll.BDH($C$553,"NET_DEBT_TO_EBIT","FQ1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564" s="1" t="e">
        <f ca="1">_xll.BDH($C$553,"EBITDA_TO_INTEREST_EXPN","FQ1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64" s="1" t="e">
        <f ca="1">_xll.BDH($C$553,"COM_EQY_TO_TOT_ASSET","FQ1 2016","FQ1 2016","Currency=INR","Period=FQ","BEST_FPERIOD_OVERRIDE=FQ","FILING_STATUS=OR","EQY_CONSOLIDATED=Y","Sort=A","Dates=H","DateFormat=P","Fill=—","Direction=H","UseDPDF=Y")</f>
        <v>#NAME?</v>
      </c>
      <c r="CH564" s="1" t="e">
        <f ca="1">_xll.BDH($C$553,"LT_DEBT_TO_TOT_EQY","FQ1 2016","FQ1 2016","Currency=INR","Period=FQ","BEST_FPERIOD_OVERRIDE=FQ","FILING_STATUS=OR","EQY_CONSOLIDATED=Y","Sort=A","Dates=H","DateFormat=P","Fill=—","Direction=H","UseDPDF=Y")</f>
        <v>#NAME?</v>
      </c>
      <c r="CI564" s="1" t="e">
        <f ca="1">_xll.BDH($C$553,"LT_DEBT_TO_TOT_CAP","FQ1 2016","FQ1 2016","Currency=INR","Period=FQ","BEST_FPERIOD_OVERRIDE=FQ","FILING_STATUS=OR","EQY_CONSOLIDATED=Y","Sort=A","Dates=H","DateFormat=P","Fill=—","Direction=H","UseDPDF=Y")</f>
        <v>#NAME?</v>
      </c>
      <c r="CJ564" s="1" t="e">
        <f ca="1">_xll.BDH($C$553,"LT_DEBT_TO_TOT_ASSET","FQ1 2016","FQ1 2016","Currency=INR","Period=FQ","BEST_FPERIOD_OVERRIDE=FQ","FILING_STATUS=OR","EQY_CONSOLIDATED=Y","Sort=A","Dates=H","DateFormat=P","Fill=—","Direction=H","UseDPDF=Y")</f>
        <v>#NAME?</v>
      </c>
      <c r="CK564" s="1" t="e">
        <f ca="1">_xll.BDH($C$553,"TOT_DEBT_TO_TOT_EQY","FQ1 2016","FQ1 2016","Currency=INR","Period=FQ","BEST_FPERIOD_OVERRIDE=FQ","FILING_STATUS=OR","EQY_CONSOLIDATED=Y","Sort=A","Dates=H","DateFormat=P","Fill=—","Direction=H","UseDPDF=Y")</f>
        <v>#NAME?</v>
      </c>
      <c r="CL564" s="1" t="e">
        <f ca="1">_xll.BDH($C$553,"TOT_DEBT_TO_TOT_CAP","FQ1 2016","FQ1 2016","Currency=INR","Period=FQ","BEST_FPERIOD_OVERRIDE=FQ","FILING_STATUS=OR","EQY_CONSOLIDATED=Y","Sort=A","Dates=H","DateFormat=P","Fill=—","Direction=H","UseDPDF=Y")</f>
        <v>#NAME?</v>
      </c>
      <c r="CM564" s="1" t="e">
        <f ca="1">_xll.BDH($C$553,"TOT_DEBT_TO_TOT_ASSET","FQ1 2016","FQ1 2016","Currency=INR","Period=FQ","BEST_FPERIOD_OVERRIDE=FQ","FILING_STATUS=OR","EQY_CONSOLIDATED=Y","Sort=A","Dates=H","DateFormat=P","Fill=—","Direction=H","UseDPDF=Y")</f>
        <v>#NAME?</v>
      </c>
      <c r="CN564" s="1" t="e">
        <f ca="1">_xll.BDH($C$553,"NET_DEBT_TO_SHRHLDR_EQTY","FQ1 2016","FQ1 2016","Currency=INR","Period=FQ","BEST_FPERIOD_OVERRIDE=FQ","FILING_STATUS=OR","EQY_CONSOLIDATED=Y","Sort=A","Dates=H","DateFormat=P","Fill=—","Direction=H","UseDPDF=Y")</f>
        <v>#NAME?</v>
      </c>
      <c r="CO564" s="1" t="e">
        <f ca="1">_xll.BDH($C$553,"NET_DEBT_%_CAPITAL","FQ1 2016","FQ1 2016","Currency=INR","Period=FQ","BEST_FPERIOD_OVERRIDE=FQ","FILING_STATUS=OR","EQY_CONSOLIDATED=Y","Sort=A","Dates=H","DateFormat=P","Fill=—","Direction=H","UseDPDF=Y")</f>
        <v>#NAME?</v>
      </c>
      <c r="CP564" s="2" t="e">
        <f ca="1">_xll.BDH($C$553,"EBITDA","FQ1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64" s="2" t="e">
        <f ca="1">_xll.BDH($C$553,"EBITDA_AFTER_CAPEX","FQ1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64" s="2" t="e">
        <f ca="1">_xll.BDH($C$553,"IS_OPER_INC","FQ1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64" s="1" t="e">
        <f ca="1">_xll.BDH($C$553,"CASH_RATIO","FQ1 2016","FQ1 2016","Currency=INR","Period=FQ","BEST_FPERIOD_OVERRIDE=FQ","FILING_STATUS=OR","EQY_CONSOLIDATED=Y","Sort=A","Dates=H","DateFormat=P","Fill=—","Direction=H","UseDPDF=Y")</f>
        <v>#NAME?</v>
      </c>
      <c r="CT564" s="1" t="e">
        <f ca="1">_xll.BDH($C$553,"CUR_RATIO","FQ1 2016","FQ1 2016","Currency=INR","Period=FQ","BEST_FPERIOD_OVERRIDE=FQ","FILING_STATUS=OR","EQY_CONSOLIDATED=Y","Sort=A","Dates=H","DateFormat=P","Fill=—","Direction=H","UseDPDF=Y")</f>
        <v>#NAME?</v>
      </c>
      <c r="CU564" s="1" t="e">
        <f ca="1">_xll.BDH($C$553,"QUICK_RATIO","FQ1 2016","FQ1 2016","Currency=INR","Period=FQ","BEST_FPERIOD_OVERRIDE=FQ","FILING_STATUS=OR","EQY_CONSOLIDATED=Y","Sort=A","Dates=H","DateFormat=P","Fill=—","Direction=H","UseDPDF=Y")</f>
        <v>#NAME?</v>
      </c>
      <c r="CV564" s="1" t="e">
        <f ca="1">_xll.BDH($C$553,"ALTMAN_Z_SCORE","FQ1 2016","FQ1 2016","Currency=INR","Period=FQ","BEST_FPERIOD_OVERRIDE=FQ","FILING_STATUS=OR","EQY_CONSOLIDATED=Y","Sort=A","Dates=H","DateFormat=P","Fill=—","Direction=H","UseDPDF=Y")</f>
        <v>#NAME?</v>
      </c>
      <c r="CW564" s="3" t="e">
        <f ca="1">_xll.BDH($C$553,"ACCT_RCV_TURN","FQ1 2016","FQ1 2016","Currency=INR","Period=FQ","BEST_FPERIOD_OVERRIDE=FQ","FILING_STATUS=OR","EQY_CONSOLIDATED=Y","FA_ADJUSTED=GAAP","Sort=A","Dates=H","DateFormat=P","Fill=—","Direction=H","UseDPDF=Y")</f>
        <v>#NAME?</v>
      </c>
      <c r="CX564" s="1" t="e">
        <f ca="1">_xll.BDH($C$553,"ACCT_RCV_DAYS","FQ1 2016","FQ1 2016","Currency=INR","Period=FQ","BEST_FPERIOD_OVERRIDE=FQ","FILING_STATUS=OR","EQY_CONSOLIDATED=Y","FA_ADJUSTED=GAAP","Sort=A","Dates=H","DateFormat=P","Fill=—","Direction=H","UseDPDF=Y")</f>
        <v>#NAME?</v>
      </c>
      <c r="CY564" s="3" t="e">
        <f ca="1">_xll.BDH($C$553,"INVENT_TURN","FQ1 2016","FQ1 2016","Currency=INR","Period=FQ","BEST_FPERIOD_OVERRIDE=FQ","FILING_STATUS=OR","EQY_CONSOLIDATED=Y","FA_ADJUSTED=GAAP","Sort=A","Dates=H","DateFormat=P","Fill=—","Direction=H","UseDPDF=Y")</f>
        <v>#NAME?</v>
      </c>
      <c r="CZ564" s="1" t="e">
        <f ca="1">_xll.BDH($C$553,"INVENT_DAYS","FQ1 2016","FQ1 2016","Currency=INR","Period=FQ","BEST_FPERIOD_OVERRIDE=FQ","FILING_STATUS=OR","EQY_CONSOLIDATED=Y","FA_ADJUSTED=GAAP","Sort=A","Dates=H","DateFormat=P","Fill=—","Direction=H","UseDPDF=Y")</f>
        <v>#NAME?</v>
      </c>
      <c r="DA564" s="3" t="e">
        <f ca="1">_xll.BDH($C$553,"ACCOUNTS_PAYABLE_TURNOVER","FQ1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64" s="1" t="e">
        <f ca="1">_xll.BDH($C$553,"ACCOUNTS_PAYABLE_TURNOVER_DAYS","FQ1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64" s="3" t="e">
        <f ca="1">_xll.BDH($C$553,"CASH_CONVERSION_CYCLE","FQ1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64" s="3" t="e">
        <f ca="1">_xll.BDH($C$553,"INV_TO_CASH_DAYS","FQ1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564" s="4" t="e">
        <f ca="1">_xll.BDH($C$553,"BS_INVENTORIES","FQ1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564" s="2" t="e">
        <f ca="1">_xll.BDH($C$553,"INVTRY_RAW_MATERIALS","FQ1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64" s="2" t="e">
        <f ca="1">_xll.BDH($C$553,"INVTRY_IN_PROGRESS","FQ1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64" s="2" t="e">
        <f ca="1">_xll.BDH($C$553,"INVTRY_FINISHED_GOODS","FQ1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64" s="2" t="e">
        <f ca="1">_xll.BDH($C$553,"BS_OTHER_INV","FQ1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65" spans="1:113" x14ac:dyDescent="0.3">
      <c r="A565" s="6"/>
      <c r="B565" s="6"/>
      <c r="C565" s="6"/>
      <c r="D565" s="6"/>
      <c r="E565" t="s">
        <v>5</v>
      </c>
      <c r="F565" t="e">
        <f ca="1">_xll.BDH($C$553,"RETURN_COM_EQY","FQ2 2016","FQ2 2016","Currency=INR","Period=FQ","BEST_FPERIOD_OVERRIDE=FQ","FILING_STATUS=OR","EQY_CONSOLIDATED=Y","FA_ADJUSTED=GAAP","Sort=A","Dates=H","DateFormat=P","Fill=—","Direction=H","UseDPDF=Y")</f>
        <v>#NAME?</v>
      </c>
      <c r="G565" t="e">
        <f ca="1">_xll.BDH($C$553,"RETURN_ON_ASSET","FQ2 2016","FQ2 2016","Currency=INR","Period=FQ","BEST_FPERIOD_OVERRIDE=FQ","FILING_STATUS=OR","EQY_CONSOLIDATED=Y","FA_ADJUSTED=GAAP","Sort=A","Dates=H","DateFormat=P","Fill=—","Direction=H","UseDPDF=Y")</f>
        <v>#NAME?</v>
      </c>
      <c r="H565" t="e">
        <f ca="1">_xll.BDH($C$553,"RETURN_ON_CAP","FQ2 2016","FQ2 2016","Currency=INR","Period=FQ","BEST_FPERIOD_OVERRIDE=FQ","FILING_STATUS=OR","EQY_CONSOLIDATED=Y","FA_ADJUSTED=GAAP","Sort=A","Dates=H","DateFormat=P","Fill=—","Direction=H","UseDPDF=Y")</f>
        <v>#NAME?</v>
      </c>
      <c r="I565" t="e">
        <f ca="1">_xll.BDH($C$553,"RETURN_ON_INV_CAPITAL","FQ2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65" t="e">
        <f ca="1">_xll.BDH($C$553,"EBITDA_TO_REVENUE","FQ2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565" t="e">
        <f ca="1">_xll.BDH($C$553,"OPER_MARGIN","FQ2 2016","FQ2 2016","Currency=INR","Period=FQ","BEST_FPERIOD_OVERRIDE=FQ","FILING_STATUS=OR","EQY_CONSOLIDATED=Y","FA_ADJUSTED=GAAP","Sort=A","Dates=H","DateFormat=P","Fill=—","Direction=H","UseDPDF=Y")</f>
        <v>#NAME?</v>
      </c>
      <c r="L565" t="e">
        <f ca="1">_xll.BDH($C$553,"INCREMENTAL_OPERATING_MARGIN","FQ2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65" t="e">
        <f ca="1">_xll.BDH($C$553,"PRETAX_INC_TO_NET_SALES","FQ2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65" t="e">
        <f ca="1">_xll.BDH($C$553,"INC_BEF_XO_ITEMS_TO_NET_SALES","FQ2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65" t="e">
        <f ca="1">_xll.BDH($C$553,"PROF_MARGIN","FQ2 2016","FQ2 2016","Currency=INR","Period=FQ","BEST_FPERIOD_OVERRIDE=FQ","FILING_STATUS=OR","EQY_CONSOLIDATED=Y","FA_ADJUSTED=GAAP","Sort=A","Dates=H","DateFormat=P","Fill=—","Direction=H","UseDPDF=Y")</f>
        <v>#NAME?</v>
      </c>
      <c r="P565" t="e">
        <f ca="1">_xll.BDH($C$553,"NET_INCOME_TO_COMMON_MARGIN","FQ2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65" t="e">
        <f ca="1">_xll.BDH($C$553,"EFF_TAX_RATE","FQ2 2016","FQ2 2016","Currency=INR","Period=FQ","BEST_FPERIOD_OVERRIDE=FQ","FILING_STATUS=OR","EQY_CONSOLIDATED=Y","FA_ADJUSTED=GAAP","Sort=A","Dates=H","DateFormat=P","Fill=—","Direction=H","UseDPDF=Y")</f>
        <v>#NAME?</v>
      </c>
      <c r="R565" t="e">
        <f ca="1">_xll.BDH($C$553,"DVD_PAYOUT_RATIO","FQ2 2016","FQ2 2016","Currency=INR","Period=FQ","BEST_FPERIOD_OVERRIDE=FQ","FILING_STATUS=OR","EQY_CONSOLIDATED=Y","FA_ADJUSTED=GAAP","Sort=A","Dates=H","DateFormat=P","Fill=—","Direction=H","UseDPDF=Y")</f>
        <v>#NAME?</v>
      </c>
      <c r="S565" t="e">
        <f ca="1">_xll.BDH($C$553,"SUSTAIN_GROWTH_RT","FQ2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565" s="1" t="e">
        <f ca="1">_xll.BDH($C$553,"SALES_GROWTH","FQ2 2016","FQ2 2016","Currency=INR","Period=FQ","BEST_FPERIOD_OVERRIDE=FQ","FILING_STATUS=OR","EQY_CONSOLIDATED=Y","FA_ADJUSTED=GAAP","Sort=A","Dates=H","DateFormat=P","Fill=—","Direction=H","UseDPDF=Y")</f>
        <v>#NAME?</v>
      </c>
      <c r="U565" s="1" t="e">
        <f ca="1">_xll.BDH($C$553,"EBITDA_GROWTH","FQ2 2016","FQ2 2016","Currency=INR","Period=FQ","BEST_FPERIOD_OVERRIDE=FQ","FILING_STATUS=OR","EQY_CONSOLIDATED=Y","FA_ADJUSTED=GAAP","Sort=A","Dates=H","DateFormat=P","Fill=—","Direction=H","UseDPDF=Y")</f>
        <v>#NAME?</v>
      </c>
      <c r="V565" s="1" t="e">
        <f ca="1">_xll.BDH($C$553,"OPER_INC_GROWTH","FQ2 2016","FQ2 2016","Currency=INR","Period=FQ","BEST_FPERIOD_OVERRIDE=FQ","FILING_STATUS=OR","EQY_CONSOLIDATED=Y","FA_ADJUSTED=GAAP","Sort=A","Dates=H","DateFormat=P","Fill=—","Direction=H","UseDPDF=Y")</f>
        <v>#NAME?</v>
      </c>
      <c r="W565" s="1" t="e">
        <f ca="1">_xll.BDH($C$553,"EARN_FOR_COM_GROWTH","FQ2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65" s="1" t="e">
        <f ca="1">_xll.BDH($C$553,"DILUTED_EPS_AFT_XO_ITEMS_GROWTH","FQ2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65" s="1" t="e">
        <f ca="1">_xll.BDH($C$553,"DIVIDEND_PER_SHARE_1_YEAR_GROWTH","FQ2 2016","FQ2 2016","Currency=INR","Period=FQ","BEST_FPERIOD_OVERRIDE=FQ","FILING_STATUS=OR","EQY_CONSOLIDATED=Y","Sort=A","Dates=H","DateFormat=P","Fill=—","Direction=H","UseDPDF=Y")</f>
        <v>#NAME?</v>
      </c>
      <c r="Z565" s="1" t="e">
        <f ca="1">_xll.BDH($C$553,"ACCOUNTS_RECEIVABLE_GROWTH","FQ2 2016","FQ2 2016","Currency=INR","Period=FQ","BEST_FPERIOD_OVERRIDE=FQ","FILING_STATUS=OR","EQY_CONSOLIDATED=Y","Sort=A","Dates=H","DateFormat=P","Fill=—","Direction=H","UseDPDF=Y")</f>
        <v>#NAME?</v>
      </c>
      <c r="AA565" s="1" t="e">
        <f ca="1">_xll.BDH($C$553,"INVENTORY_GROWTH","FQ2 2016","FQ2 2016","Currency=INR","Period=FQ","BEST_FPERIOD_OVERRIDE=FQ","FILING_STATUS=OR","EQY_CONSOLIDATED=Y","Sort=A","Dates=H","DateFormat=P","Fill=—","Direction=H","UseDPDF=Y")</f>
        <v>#NAME?</v>
      </c>
      <c r="AB565" s="1" t="e">
        <f ca="1">_xll.BDH($C$553,"NET_FIXED_ASSETS_1_YEAR_GROWTH","FQ2 2016","FQ2 2016","Currency=INR","Period=FQ","BEST_FPERIOD_OVERRIDE=FQ","FILING_STATUS=OR","EQY_CONSOLIDATED=Y","Sort=A","Dates=H","DateFormat=P","Fill=—","Direction=H","UseDPDF=Y")</f>
        <v>#NAME?</v>
      </c>
      <c r="AC565" s="1" t="e">
        <f ca="1">_xll.BDH($C$553,"ASSET_GROWTH","FQ2 2016","FQ2 2016","Currency=INR","Period=FQ","BEST_FPERIOD_OVERRIDE=FQ","FILING_STATUS=OR","EQY_CONSOLIDATED=Y","Sort=A","Dates=H","DateFormat=P","Fill=—","Direction=H","UseDPDF=Y")</f>
        <v>#NAME?</v>
      </c>
      <c r="AD565" s="1" t="e">
        <f ca="1">_xll.BDH($C$553,"MODIFIED_WORK_CAP_GROWTH","FQ2 2016","FQ2 2016","Currency=INR","Period=FQ","BEST_FPERIOD_OVERRIDE=FQ","FILING_STATUS=OR","EQY_CONSOLIDATED=Y","Sort=A","Dates=H","DateFormat=P","Fill=—","Direction=H","UseDPDF=Y")</f>
        <v>#NAME?</v>
      </c>
      <c r="AE565" s="1" t="e">
        <f ca="1">_xll.BDH($C$553,"WORK_CAP_GROWTH","FQ2 2016","FQ2 2016","Currency=INR","Period=FQ","BEST_FPERIOD_OVERRIDE=FQ","FILING_STATUS=OR","EQY_CONSOLIDATED=Y","Sort=A","Dates=H","DateFormat=P","Fill=—","Direction=H","UseDPDF=Y")</f>
        <v>#NAME?</v>
      </c>
      <c r="AF565" s="1" t="e">
        <f ca="1">_xll.BDH($C$553,"ACCOUNTS_PAYABLE_GROWTH_1YR","FQ2 2016","FQ2 2016","Currency=INR","Period=FQ","BEST_FPERIOD_OVERRIDE=FQ","FILING_STATUS=OR","EQY_CONSOLIDATED=Y","Sort=A","Dates=H","DateFormat=P","Fill=—","Direction=H","UseDPDF=Y")</f>
        <v>#NAME?</v>
      </c>
      <c r="AG565" s="1" t="e">
        <f ca="1">_xll.BDH($C$553,"SHORT_TERM_DEBT_1_YEAR_GROWTH","FQ2 2016","FQ2 2016","Currency=INR","Period=FQ","BEST_FPERIOD_OVERRIDE=FQ","FILING_STATUS=OR","EQY_CONSOLIDATED=Y","Sort=A","Dates=H","DateFormat=P","Fill=—","Direction=H","UseDPDF=Y")</f>
        <v>#NAME?</v>
      </c>
      <c r="AH565" s="1" t="e">
        <f ca="1">_xll.BDH($C$553,"TOTAL_DEBT_1_YEAR_GROWTH","FQ2 2016","FQ2 2016","Currency=INR","Period=FQ","BEST_FPERIOD_OVERRIDE=FQ","FILING_STATUS=OR","EQY_CONSOLIDATED=Y","Sort=A","Dates=H","DateFormat=P","Fill=—","Direction=H","UseDPDF=Y")</f>
        <v>#NAME?</v>
      </c>
      <c r="AI565" s="1" t="e">
        <f ca="1">_xll.BDH($C$553,"TOTAL_EQUITY_1_YEAR_GROWTH","FQ2 2016","FQ2 2016","Currency=INR","Period=FQ","BEST_FPERIOD_OVERRIDE=FQ","FILING_STATUS=OR","EQY_CONSOLIDATED=Y","Sort=A","Dates=H","DateFormat=P","Fill=—","Direction=H","UseDPDF=Y")</f>
        <v>#NAME?</v>
      </c>
      <c r="AJ565" s="1" t="e">
        <f ca="1">_xll.BDH($C$553,"GROWTH_IN_CAP","FQ2 2016","FQ2 2016","Currency=INR","Period=FQ","BEST_FPERIOD_OVERRIDE=FQ","FILING_STATUS=OR","EQY_CONSOLIDATED=Y","Sort=A","Dates=H","DateFormat=P","Fill=—","Direction=H","UseDPDF=Y")</f>
        <v>#NAME?</v>
      </c>
      <c r="AK565" s="1" t="e">
        <f ca="1">_xll.BDH($C$553,"BVPS_GROWTH","FQ2 2016","FQ2 2016","Currency=INR","Period=FQ","BEST_FPERIOD_OVERRIDE=FQ","FILING_STATUS=OR","EQY_CONSOLIDATED=Y","Sort=A","Dates=H","DateFormat=P","Fill=—","Direction=H","UseDPDF=Y")</f>
        <v>#NAME?</v>
      </c>
      <c r="AL565" s="1" t="e">
        <f ca="1">_xll.BDH($C$553,"CASH_FLOW_GROWTH","FQ2 2016","FQ2 2016","Currency=INR","Period=FQ","BEST_FPERIOD_OVERRIDE=FQ","FILING_STATUS=OR","EQY_CONSOLIDATED=Y","Sort=A","Dates=H","DateFormat=P","Fill=—","Direction=H","UseDPDF=Y")</f>
        <v>#NAME?</v>
      </c>
      <c r="AM565" s="1" t="e">
        <f ca="1">_xll.BDH($C$553,"GEO_GROW_NET_SALES","FQ2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65" s="1" t="e">
        <f ca="1">_xll.BDH($C$553,"GEO_GROW_EBITDA","FQ2 2016","FQ2 2016","Currency=INR","Period=FQ","BEST_FPERIOD_OVERRIDE=FQ","FILING_STATUS=OR","EQY_CONSOLIDATED=Y","FA_ADJUSTED=GAAP","Sort=A","Dates=H","DateFormat=P","Fill=—","Direction=H","UseDPDF=Y")</f>
        <v>#NAME?</v>
      </c>
      <c r="AO565" s="1" t="e">
        <f ca="1">_xll.BDH($C$553,"GEO_GROW_OPER_INC","FQ2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65" s="1" t="e">
        <f ca="1">_xll.BDH($C$553,"NET_INCOME_TO_COMMON_5_YR_GROWTH","FQ2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65" s="1" t="e">
        <f ca="1">_xll.BDH($C$553,"5Y_GEO_GROWTH_DILUTED_EPS","FQ2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65" s="1" t="e">
        <f ca="1">_xll.BDH($C$553,"GEO_GROW_DVD_PER_SH","FQ2 2016","FQ2 2016","Currency=INR","Period=FQ","BEST_FPERIOD_OVERRIDE=FQ","FILING_STATUS=OR","EQY_CONSOLIDATED=Y","Sort=A","Dates=H","DateFormat=P","Fill=—","Direction=H","UseDPDF=Y")</f>
        <v>#NAME?</v>
      </c>
      <c r="AS565" s="1" t="e">
        <f ca="1">_xll.BDH($C$553,"ACCOUNTS_RECEIVABLE_5_YR_GROWTH","FQ2 2016","FQ2 2016","Currency=INR","Period=FQ","BEST_FPERIOD_OVERRIDE=FQ","FILING_STATUS=OR","EQY_CONSOLIDATED=Y","Sort=A","Dates=H","DateFormat=P","Fill=—","Direction=H","UseDPDF=Y")</f>
        <v>#NAME?</v>
      </c>
      <c r="AT565" s="1" t="e">
        <f ca="1">_xll.BDH($C$553,"INVENTORY_5_YEAR_GROWTH","FQ2 2016","FQ2 2016","Currency=INR","Period=FQ","BEST_FPERIOD_OVERRIDE=FQ","FILING_STATUS=OR","EQY_CONSOLIDATED=Y","Sort=A","Dates=H","DateFormat=P","Fill=—","Direction=H","UseDPDF=Y")</f>
        <v>#NAME?</v>
      </c>
      <c r="AU565" s="1" t="e">
        <f ca="1">_xll.BDH($C$553,"NET_FIXED_ASSETS_5_YEAR_GROWTH","FQ2 2016","FQ2 2016","Currency=INR","Period=FQ","BEST_FPERIOD_OVERRIDE=FQ","FILING_STATUS=OR","EQY_CONSOLIDATED=Y","Sort=A","Dates=H","DateFormat=P","Fill=—","Direction=H","UseDPDF=Y")</f>
        <v>#NAME?</v>
      </c>
      <c r="AV565" s="1" t="e">
        <f ca="1">_xll.BDH($C$553,"GEO_GROW_TOT_ASSET","FQ2 2016","FQ2 2016","Currency=INR","Period=FQ","BEST_FPERIOD_OVERRIDE=FQ","FILING_STATUS=OR","EQY_CONSOLIDATED=Y","Sort=A","Dates=H","DateFormat=P","Fill=—","Direction=H","UseDPDF=Y")</f>
        <v>#NAME?</v>
      </c>
      <c r="AW565" s="1" t="e">
        <f ca="1">_xll.BDH($C$553,"MODIFIED_WORKING_CPTL_5YR_GRWTH","FQ2 2016","FQ2 2016","Currency=INR","Period=FQ","BEST_FPERIOD_OVERRIDE=FQ","FILING_STATUS=OR","EQY_CONSOLIDATED=Y","Sort=A","Dates=H","DateFormat=P","Fill=—","Direction=H","UseDPDF=Y")</f>
        <v>#NAME?</v>
      </c>
      <c r="AX565" s="1" t="e">
        <f ca="1">_xll.BDH($C$553,"WORKING_CAPITAL_5_YEAR_GROWTH","FQ2 2016","FQ2 2016","Currency=INR","Period=FQ","BEST_FPERIOD_OVERRIDE=FQ","FILING_STATUS=OR","EQY_CONSOLIDATED=Y","Sort=A","Dates=H","DateFormat=P","Fill=—","Direction=H","UseDPDF=Y")</f>
        <v>#NAME?</v>
      </c>
      <c r="AY565" s="1" t="e">
        <f ca="1">_xll.BDH($C$553,"ACCOUNTS_PAYABLE_5_YEAR_GROWTH","FQ2 2016","FQ2 2016","Currency=INR","Period=FQ","BEST_FPERIOD_OVERRIDE=FQ","FILING_STATUS=OR","EQY_CONSOLIDATED=Y","Sort=A","Dates=H","DateFormat=P","Fill=—","Direction=H","UseDPDF=Y")</f>
        <v>#NAME?</v>
      </c>
      <c r="AZ565" s="1" t="e">
        <f ca="1">_xll.BDH($C$553,"SHORT_TERM_DEBT_5_YEAR_GROWTH","FQ2 2016","FQ2 2016","Currency=INR","Period=FQ","BEST_FPERIOD_OVERRIDE=FQ","FILING_STATUS=OR","EQY_CONSOLIDATED=Y","Sort=A","Dates=H","DateFormat=P","Fill=—","Direction=H","UseDPDF=Y")</f>
        <v>#NAME?</v>
      </c>
      <c r="BA565" s="1" t="e">
        <f ca="1">_xll.BDH($C$553,"TOTAL_DEBT_5_YEAR_GROWTH","FQ2 2016","FQ2 2016","Currency=INR","Period=FQ","BEST_FPERIOD_OVERRIDE=FQ","FILING_STATUS=OR","EQY_CONSOLIDATED=Y","Sort=A","Dates=H","DateFormat=P","Fill=—","Direction=H","UseDPDF=Y")</f>
        <v>#NAME?</v>
      </c>
      <c r="BB565" s="1" t="e">
        <f ca="1">_xll.BDH($C$553,"GEO_GROW_TOT_SHRHLDR_EQY","FQ2 2016","FQ2 2016","Currency=INR","Period=FQ","BEST_FPERIOD_OVERRIDE=FQ","FILING_STATUS=OR","EQY_CONSOLIDATED=Y","Sort=A","Dates=H","DateFormat=P","Fill=—","Direction=H","UseDPDF=Y")</f>
        <v>#NAME?</v>
      </c>
      <c r="BC565" s="1" t="e">
        <f ca="1">_xll.BDH($C$553,"TOTAL_CAPITAL_5_YEAR_GROWTH","FQ2 2016","FQ2 2016","Currency=INR","Period=FQ","BEST_FPERIOD_OVERRIDE=FQ","FILING_STATUS=OR","EQY_CONSOLIDATED=Y","Sort=A","Dates=H","DateFormat=P","Fill=—","Direction=H","UseDPDF=Y")</f>
        <v>#NAME?</v>
      </c>
      <c r="BD565" s="1" t="e">
        <f ca="1">_xll.BDH($C$553,"GEO_GROW_BOOK_VAL","FQ2 2016","FQ2 2016","Currency=INR","Period=FQ","BEST_FPERIOD_OVERRIDE=FQ","FILING_STATUS=OR","EQY_CONSOLIDATED=Y","Sort=A","Dates=H","DateFormat=P","Fill=—","Direction=H","UseDPDF=Y")</f>
        <v>#NAME?</v>
      </c>
      <c r="BE565" s="1" t="e">
        <f ca="1">_xll.BDH($C$553,"GEO_GROW_CASH_OPER_ACT","FQ2 2016","FQ2 2016","Currency=INR","Period=FQ","BEST_FPERIOD_OVERRIDE=FQ","FILING_STATUS=OR","EQY_CONSOLIDATED=Y","Sort=A","Dates=H","DateFormat=P","Fill=—","Direction=H","UseDPDF=Y")</f>
        <v>#NAME?</v>
      </c>
      <c r="BF565" s="1" t="e">
        <f ca="1">_xll.BDH($C$553,"REVENUE_SEQUENTIAL_GROWTH","FQ2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65" s="1" t="e">
        <f ca="1">_xll.BDH($C$553,"EBITDA_SEQUENTIAL_GROWTH","FQ2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65" s="1" t="e">
        <f ca="1">_xll.BDH($C$553,"OPERATING_INCOME_SEQ_GROWTH","FQ2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65" s="1" t="e">
        <f ca="1">_xll.BDH($C$553,"NET_INCOME_TO_COMMON_SEQ_GROWTH","FQ2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65" s="1" t="e">
        <f ca="1">_xll.BDH($C$553,"EPS_DILUTED_SEQUENTIAL_GROWTH","FQ2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65" s="1" t="e">
        <f ca="1">_xll.BDH($C$553,"DPS_SEQUENTIAL_GROWTH","FQ2 2016","FQ2 2016","Currency=INR","Period=FQ","BEST_FPERIOD_OVERRIDE=FQ","FILING_STATUS=OR","EQY_CONSOLIDATED=Y","Sort=A","Dates=H","DateFormat=P","Fill=—","Direction=H","UseDPDF=Y")</f>
        <v>#NAME?</v>
      </c>
      <c r="BL565" s="1" t="e">
        <f ca="1">_xll.BDH($C$553,"ACCOUNTS_RECEIVABLE_SEQ_GROWTH","FQ2 2016","FQ2 2016","Currency=INR","Period=FQ","BEST_FPERIOD_OVERRIDE=FQ","FILING_STATUS=OR","EQY_CONSOLIDATED=Y","Sort=A","Dates=H","DateFormat=P","Fill=—","Direction=H","UseDPDF=Y")</f>
        <v>#NAME?</v>
      </c>
      <c r="BM565" s="1" t="e">
        <f ca="1">_xll.BDH($C$553,"INVENTORY_SEQUENTIAL_GROWTH","FQ2 2016","FQ2 2016","Currency=INR","Period=FQ","BEST_FPERIOD_OVERRIDE=FQ","FILING_STATUS=OR","EQY_CONSOLIDATED=Y","Sort=A","Dates=H","DateFormat=P","Fill=—","Direction=H","UseDPDF=Y")</f>
        <v>#NAME?</v>
      </c>
      <c r="BN565" s="1" t="e">
        <f ca="1">_xll.BDH($C$553,"FIXED_ASSETS_SEQUENTIAL_GROWTH","FQ2 2016","FQ2 2016","Currency=INR","Period=FQ","BEST_FPERIOD_OVERRIDE=FQ","FILING_STATUS=OR","EQY_CONSOLIDATED=Y","Sort=A","Dates=H","DateFormat=P","Fill=—","Direction=H","UseDPDF=Y")</f>
        <v>#NAME?</v>
      </c>
      <c r="BO565" s="1" t="e">
        <f ca="1">_xll.BDH($C$553,"TOTAL_ASSETS_SEQUENTIAL_GROWTH","FQ2 2016","FQ2 2016","Currency=INR","Period=FQ","BEST_FPERIOD_OVERRIDE=FQ","FILING_STATUS=OR","EQY_CONSOLIDATED=Y","Sort=A","Dates=H","DateFormat=P","Fill=—","Direction=H","UseDPDF=Y")</f>
        <v>#NAME?</v>
      </c>
      <c r="BP565" s="1" t="e">
        <f ca="1">_xll.BDH($C$553,"MODIFIED_WORKING_CPTL_SEQ_GRWTH","FQ2 2016","FQ2 2016","Currency=INR","Period=FQ","BEST_FPERIOD_OVERRIDE=FQ","FILING_STATUS=OR","EQY_CONSOLIDATED=Y","Sort=A","Dates=H","DateFormat=P","Fill=—","Direction=H","UseDPDF=Y")</f>
        <v>#NAME?</v>
      </c>
      <c r="BQ565" s="1" t="e">
        <f ca="1">_xll.BDH($C$553,"WORKING_CAPITAL_SEQ_GROWTH","FQ2 2016","FQ2 2016","Currency=INR","Period=FQ","BEST_FPERIOD_OVERRIDE=FQ","FILING_STATUS=OR","EQY_CONSOLIDATED=Y","Sort=A","Dates=H","DateFormat=P","Fill=—","Direction=H","UseDPDF=Y")</f>
        <v>#NAME?</v>
      </c>
      <c r="BR565" s="1" t="e">
        <f ca="1">_xll.BDH($C$553,"ACCOUNTS_PAYABLE_SEQ_GROWTH","FQ2 2016","FQ2 2016","Currency=INR","Period=FQ","BEST_FPERIOD_OVERRIDE=FQ","FILING_STATUS=OR","EQY_CONSOLIDATED=Y","Sort=A","Dates=H","DateFormat=P","Fill=—","Direction=H","UseDPDF=Y")</f>
        <v>#NAME?</v>
      </c>
      <c r="BS565" s="1" t="e">
        <f ca="1">_xll.BDH($C$553,"ST_DEBT_SEQUENTIAL_GROWTH","FQ2 2016","FQ2 2016","Currency=INR","Period=FQ","BEST_FPERIOD_OVERRIDE=FQ","FILING_STATUS=OR","EQY_CONSOLIDATED=Y","Sort=A","Dates=H","DateFormat=P","Fill=—","Direction=H","UseDPDF=Y")</f>
        <v>#NAME?</v>
      </c>
      <c r="BT565" s="1" t="e">
        <f ca="1">_xll.BDH($C$553,"TOTAL_DEBT_SEQUENTIAL_GROWTH","FQ2 2016","FQ2 2016","Currency=INR","Period=FQ","BEST_FPERIOD_OVERRIDE=FQ","FILING_STATUS=OR","EQY_CONSOLIDATED=Y","Sort=A","Dates=H","DateFormat=P","Fill=—","Direction=H","UseDPDF=Y")</f>
        <v>#NAME?</v>
      </c>
      <c r="BU565" s="1" t="e">
        <f ca="1">_xll.BDH($C$553,"TOTAL_EQUITY_SEQUENTIAL_GROWTH","FQ2 2016","FQ2 2016","Currency=INR","Period=FQ","BEST_FPERIOD_OVERRIDE=FQ","FILING_STATUS=OR","EQY_CONSOLIDATED=Y","Sort=A","Dates=H","DateFormat=P","Fill=—","Direction=H","UseDPDF=Y")</f>
        <v>#NAME?</v>
      </c>
      <c r="BV565" s="1" t="e">
        <f ca="1">_xll.BDH($C$553,"TOTAL_CAPITAL_SEQUENTIAL_GROWTH","FQ2 2016","FQ2 2016","Currency=INR","Period=FQ","BEST_FPERIOD_OVERRIDE=FQ","FILING_STATUS=OR","EQY_CONSOLIDATED=Y","Sort=A","Dates=H","DateFormat=P","Fill=—","Direction=H","UseDPDF=Y")</f>
        <v>#NAME?</v>
      </c>
      <c r="BW565" s="1" t="e">
        <f ca="1">_xll.BDH($C$553,"BPS_SEQUENTIAL_GROWTH","FQ2 2016","FQ2 2016","Currency=INR","Period=FQ","BEST_FPERIOD_OVERRIDE=FQ","FILING_STATUS=OR","EQY_CONSOLIDATED=Y","Sort=A","Dates=H","DateFormat=P","Fill=—","Direction=H","UseDPDF=Y")</f>
        <v>#NAME?</v>
      </c>
      <c r="BX565" s="1" t="e">
        <f ca="1">_xll.BDH($C$553,"CFO_SEQUENTIAL_GROWTH","FQ2 2016","FQ2 2016","Currency=INR","Period=FQ","BEST_FPERIOD_OVERRIDE=FQ","FILING_STATUS=OR","EQY_CONSOLIDATED=Y","Sort=A","Dates=H","DateFormat=P","Fill=—","Direction=H","UseDPDF=Y")</f>
        <v>#NAME?</v>
      </c>
      <c r="BY565" s="2" t="e">
        <f ca="1">_xll.BDH($C$553,"SHORT_AND_LONG_TERM_DEBT","FQ2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65" s="2" t="e">
        <f ca="1">_xll.BDH($C$553,"BS_ST_BORROW","FQ2 2016","FQ2 2016","Currency=INR","Period=FQ","BEST_FPERIOD_OVERRIDE=FQ","FILING_STATUS=OR","EQY_CONSOLIDATED=Y","SCALING_FORMAT=MLN","Sort=A","Dates=H","DateFormat=P","Fill=—","Direction=H","UseDPDF=Y")</f>
        <v>#NAME?</v>
      </c>
      <c r="CA565" s="2" t="e">
        <f ca="1">_xll.BDH($C$553,"BS_LT_BORROW","FQ2 2016","FQ2 2016","Currency=INR","Period=FQ","BEST_FPERIOD_OVERRIDE=FQ","FILING_STATUS=OR","EQY_CONSOLIDATED=Y","SCALING_FORMAT=MLN","Sort=A","Dates=H","DateFormat=P","Fill=—","Direction=H","UseDPDF=Y")</f>
        <v>#NAME?</v>
      </c>
      <c r="CB565" s="1" t="e">
        <f ca="1">_xll.BDH($C$553,"TOT_DEBT_TO_EBITDA","FQ2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65" s="1" t="e">
        <f ca="1">_xll.BDH($C$553,"NET_DEBT_TO_EBITDA","FQ2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65" s="1" t="e">
        <f ca="1">_xll.BDH($C$553,"TOTAL_DEBT_TO_EBIT","FQ2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65" s="1" t="e">
        <f ca="1">_xll.BDH($C$553,"NET_DEBT_TO_EBIT","FQ2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565" s="1" t="e">
        <f ca="1">_xll.BDH($C$553,"EBITDA_TO_INTEREST_EXPN","FQ2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65" s="1" t="e">
        <f ca="1">_xll.BDH($C$553,"COM_EQY_TO_TOT_ASSET","FQ2 2016","FQ2 2016","Currency=INR","Period=FQ","BEST_FPERIOD_OVERRIDE=FQ","FILING_STATUS=OR","EQY_CONSOLIDATED=Y","Sort=A","Dates=H","DateFormat=P","Fill=—","Direction=H","UseDPDF=Y")</f>
        <v>#NAME?</v>
      </c>
      <c r="CH565" s="1" t="e">
        <f ca="1">_xll.BDH($C$553,"LT_DEBT_TO_TOT_EQY","FQ2 2016","FQ2 2016","Currency=INR","Period=FQ","BEST_FPERIOD_OVERRIDE=FQ","FILING_STATUS=OR","EQY_CONSOLIDATED=Y","Sort=A","Dates=H","DateFormat=P","Fill=—","Direction=H","UseDPDF=Y")</f>
        <v>#NAME?</v>
      </c>
      <c r="CI565" s="1" t="e">
        <f ca="1">_xll.BDH($C$553,"LT_DEBT_TO_TOT_CAP","FQ2 2016","FQ2 2016","Currency=INR","Period=FQ","BEST_FPERIOD_OVERRIDE=FQ","FILING_STATUS=OR","EQY_CONSOLIDATED=Y","Sort=A","Dates=H","DateFormat=P","Fill=—","Direction=H","UseDPDF=Y")</f>
        <v>#NAME?</v>
      </c>
      <c r="CJ565" s="1" t="e">
        <f ca="1">_xll.BDH($C$553,"LT_DEBT_TO_TOT_ASSET","FQ2 2016","FQ2 2016","Currency=INR","Period=FQ","BEST_FPERIOD_OVERRIDE=FQ","FILING_STATUS=OR","EQY_CONSOLIDATED=Y","Sort=A","Dates=H","DateFormat=P","Fill=—","Direction=H","UseDPDF=Y")</f>
        <v>#NAME?</v>
      </c>
      <c r="CK565" s="1" t="e">
        <f ca="1">_xll.BDH($C$553,"TOT_DEBT_TO_TOT_EQY","FQ2 2016","FQ2 2016","Currency=INR","Period=FQ","BEST_FPERIOD_OVERRIDE=FQ","FILING_STATUS=OR","EQY_CONSOLIDATED=Y","Sort=A","Dates=H","DateFormat=P","Fill=—","Direction=H","UseDPDF=Y")</f>
        <v>#NAME?</v>
      </c>
      <c r="CL565" s="1" t="e">
        <f ca="1">_xll.BDH($C$553,"TOT_DEBT_TO_TOT_CAP","FQ2 2016","FQ2 2016","Currency=INR","Period=FQ","BEST_FPERIOD_OVERRIDE=FQ","FILING_STATUS=OR","EQY_CONSOLIDATED=Y","Sort=A","Dates=H","DateFormat=P","Fill=—","Direction=H","UseDPDF=Y")</f>
        <v>#NAME?</v>
      </c>
      <c r="CM565" s="1" t="e">
        <f ca="1">_xll.BDH($C$553,"TOT_DEBT_TO_TOT_ASSET","FQ2 2016","FQ2 2016","Currency=INR","Period=FQ","BEST_FPERIOD_OVERRIDE=FQ","FILING_STATUS=OR","EQY_CONSOLIDATED=Y","Sort=A","Dates=H","DateFormat=P","Fill=—","Direction=H","UseDPDF=Y")</f>
        <v>#NAME?</v>
      </c>
      <c r="CN565" s="1" t="e">
        <f ca="1">_xll.BDH($C$553,"NET_DEBT_TO_SHRHLDR_EQTY","FQ2 2016","FQ2 2016","Currency=INR","Period=FQ","BEST_FPERIOD_OVERRIDE=FQ","FILING_STATUS=OR","EQY_CONSOLIDATED=Y","Sort=A","Dates=H","DateFormat=P","Fill=—","Direction=H","UseDPDF=Y")</f>
        <v>#NAME?</v>
      </c>
      <c r="CO565" s="1" t="e">
        <f ca="1">_xll.BDH($C$553,"NET_DEBT_%_CAPITAL","FQ2 2016","FQ2 2016","Currency=INR","Period=FQ","BEST_FPERIOD_OVERRIDE=FQ","FILING_STATUS=OR","EQY_CONSOLIDATED=Y","Sort=A","Dates=H","DateFormat=P","Fill=—","Direction=H","UseDPDF=Y")</f>
        <v>#NAME?</v>
      </c>
      <c r="CP565" s="2" t="e">
        <f ca="1">_xll.BDH($C$553,"EBITDA","FQ2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65" s="2" t="e">
        <f ca="1">_xll.BDH($C$553,"EBITDA_AFTER_CAPEX","FQ2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65" s="2" t="e">
        <f ca="1">_xll.BDH($C$553,"IS_OPER_INC","FQ2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65" s="1" t="e">
        <f ca="1">_xll.BDH($C$553,"CASH_RATIO","FQ2 2016","FQ2 2016","Currency=INR","Period=FQ","BEST_FPERIOD_OVERRIDE=FQ","FILING_STATUS=OR","EQY_CONSOLIDATED=Y","Sort=A","Dates=H","DateFormat=P","Fill=—","Direction=H","UseDPDF=Y")</f>
        <v>#NAME?</v>
      </c>
      <c r="CT565" s="1" t="e">
        <f ca="1">_xll.BDH($C$553,"CUR_RATIO","FQ2 2016","FQ2 2016","Currency=INR","Period=FQ","BEST_FPERIOD_OVERRIDE=FQ","FILING_STATUS=OR","EQY_CONSOLIDATED=Y","Sort=A","Dates=H","DateFormat=P","Fill=—","Direction=H","UseDPDF=Y")</f>
        <v>#NAME?</v>
      </c>
      <c r="CU565" s="1" t="e">
        <f ca="1">_xll.BDH($C$553,"QUICK_RATIO","FQ2 2016","FQ2 2016","Currency=INR","Period=FQ","BEST_FPERIOD_OVERRIDE=FQ","FILING_STATUS=OR","EQY_CONSOLIDATED=Y","Sort=A","Dates=H","DateFormat=P","Fill=—","Direction=H","UseDPDF=Y")</f>
        <v>#NAME?</v>
      </c>
      <c r="CV565" s="1" t="e">
        <f ca="1">_xll.BDH($C$553,"ALTMAN_Z_SCORE","FQ2 2016","FQ2 2016","Currency=INR","Period=FQ","BEST_FPERIOD_OVERRIDE=FQ","FILING_STATUS=OR","EQY_CONSOLIDATED=Y","Sort=A","Dates=H","DateFormat=P","Fill=—","Direction=H","UseDPDF=Y")</f>
        <v>#NAME?</v>
      </c>
      <c r="CW565" s="3" t="e">
        <f ca="1">_xll.BDH($C$553,"ACCT_RCV_TURN","FQ2 2016","FQ2 2016","Currency=INR","Period=FQ","BEST_FPERIOD_OVERRIDE=FQ","FILING_STATUS=OR","EQY_CONSOLIDATED=Y","FA_ADJUSTED=GAAP","Sort=A","Dates=H","DateFormat=P","Fill=—","Direction=H","UseDPDF=Y")</f>
        <v>#NAME?</v>
      </c>
      <c r="CX565" s="1" t="e">
        <f ca="1">_xll.BDH($C$553,"ACCT_RCV_DAYS","FQ2 2016","FQ2 2016","Currency=INR","Period=FQ","BEST_FPERIOD_OVERRIDE=FQ","FILING_STATUS=OR","EQY_CONSOLIDATED=Y","FA_ADJUSTED=GAAP","Sort=A","Dates=H","DateFormat=P","Fill=—","Direction=H","UseDPDF=Y")</f>
        <v>#NAME?</v>
      </c>
      <c r="CY565" s="3" t="e">
        <f ca="1">_xll.BDH($C$553,"INVENT_TURN","FQ2 2016","FQ2 2016","Currency=INR","Period=FQ","BEST_FPERIOD_OVERRIDE=FQ","FILING_STATUS=OR","EQY_CONSOLIDATED=Y","FA_ADJUSTED=GAAP","Sort=A","Dates=H","DateFormat=P","Fill=—","Direction=H","UseDPDF=Y")</f>
        <v>#NAME?</v>
      </c>
      <c r="CZ565" s="1" t="e">
        <f ca="1">_xll.BDH($C$553,"INVENT_DAYS","FQ2 2016","FQ2 2016","Currency=INR","Period=FQ","BEST_FPERIOD_OVERRIDE=FQ","FILING_STATUS=OR","EQY_CONSOLIDATED=Y","FA_ADJUSTED=GAAP","Sort=A","Dates=H","DateFormat=P","Fill=—","Direction=H","UseDPDF=Y")</f>
        <v>#NAME?</v>
      </c>
      <c r="DA565" s="3" t="e">
        <f ca="1">_xll.BDH($C$553,"ACCOUNTS_PAYABLE_TURNOVER","FQ2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65" s="1" t="e">
        <f ca="1">_xll.BDH($C$553,"ACCOUNTS_PAYABLE_TURNOVER_DAYS","FQ2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65" s="3" t="e">
        <f ca="1">_xll.BDH($C$553,"CASH_CONVERSION_CYCLE","FQ2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65" s="3" t="e">
        <f ca="1">_xll.BDH($C$553,"INV_TO_CASH_DAYS","FQ2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565" s="4" t="e">
        <f ca="1">_xll.BDH($C$553,"BS_INVENTORIES","FQ2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565" s="2" t="e">
        <f ca="1">_xll.BDH($C$553,"INVTRY_RAW_MATERIALS","FQ2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65" s="2" t="e">
        <f ca="1">_xll.BDH($C$553,"INVTRY_IN_PROGRESS","FQ2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65" s="2" t="e">
        <f ca="1">_xll.BDH($C$553,"INVTRY_FINISHED_GOODS","FQ2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65" s="2" t="e">
        <f ca="1">_xll.BDH($C$553,"BS_OTHER_INV","FQ2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66" spans="1:113" x14ac:dyDescent="0.3">
      <c r="A566" s="6"/>
      <c r="B566" s="6"/>
      <c r="C566" s="6"/>
      <c r="D566" s="6"/>
      <c r="E566" t="s">
        <v>6</v>
      </c>
      <c r="F566" t="e">
        <f ca="1">_xll.BDH($C$553,"RETURN_COM_EQY","FQ3 2016","FQ3 2016","Currency=INR","Period=FQ","BEST_FPERIOD_OVERRIDE=FQ","FILING_STATUS=OR","EQY_CONSOLIDATED=Y","FA_ADJUSTED=GAAP","Sort=A","Dates=H","DateFormat=P","Fill=—","Direction=H","UseDPDF=Y")</f>
        <v>#NAME?</v>
      </c>
      <c r="G566" t="e">
        <f ca="1">_xll.BDH($C$553,"RETURN_ON_ASSET","FQ3 2016","FQ3 2016","Currency=INR","Period=FQ","BEST_FPERIOD_OVERRIDE=FQ","FILING_STATUS=OR","EQY_CONSOLIDATED=Y","FA_ADJUSTED=GAAP","Sort=A","Dates=H","DateFormat=P","Fill=—","Direction=H","UseDPDF=Y")</f>
        <v>#NAME?</v>
      </c>
      <c r="H566" t="e">
        <f ca="1">_xll.BDH($C$553,"RETURN_ON_CAP","FQ3 2016","FQ3 2016","Currency=INR","Period=FQ","BEST_FPERIOD_OVERRIDE=FQ","FILING_STATUS=OR","EQY_CONSOLIDATED=Y","FA_ADJUSTED=GAAP","Sort=A","Dates=H","DateFormat=P","Fill=—","Direction=H","UseDPDF=Y")</f>
        <v>#NAME?</v>
      </c>
      <c r="I566" t="e">
        <f ca="1">_xll.BDH($C$553,"RETURN_ON_INV_CAPITAL","FQ3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66" t="e">
        <f ca="1">_xll.BDH($C$553,"EBITDA_TO_REVENUE","FQ3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566" t="e">
        <f ca="1">_xll.BDH($C$553,"OPER_MARGIN","FQ3 2016","FQ3 2016","Currency=INR","Period=FQ","BEST_FPERIOD_OVERRIDE=FQ","FILING_STATUS=OR","EQY_CONSOLIDATED=Y","FA_ADJUSTED=GAAP","Sort=A","Dates=H","DateFormat=P","Fill=—","Direction=H","UseDPDF=Y")</f>
        <v>#NAME?</v>
      </c>
      <c r="L566" t="e">
        <f ca="1">_xll.BDH($C$553,"INCREMENTAL_OPERATING_MARGIN","FQ3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66" t="e">
        <f ca="1">_xll.BDH($C$553,"PRETAX_INC_TO_NET_SALES","FQ3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66" t="e">
        <f ca="1">_xll.BDH($C$553,"INC_BEF_XO_ITEMS_TO_NET_SALES","FQ3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66" t="e">
        <f ca="1">_xll.BDH($C$553,"PROF_MARGIN","FQ3 2016","FQ3 2016","Currency=INR","Period=FQ","BEST_FPERIOD_OVERRIDE=FQ","FILING_STATUS=OR","EQY_CONSOLIDATED=Y","FA_ADJUSTED=GAAP","Sort=A","Dates=H","DateFormat=P","Fill=—","Direction=H","UseDPDF=Y")</f>
        <v>#NAME?</v>
      </c>
      <c r="P566" t="e">
        <f ca="1">_xll.BDH($C$553,"NET_INCOME_TO_COMMON_MARGIN","FQ3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66" t="e">
        <f ca="1">_xll.BDH($C$553,"EFF_TAX_RATE","FQ3 2016","FQ3 2016","Currency=INR","Period=FQ","BEST_FPERIOD_OVERRIDE=FQ","FILING_STATUS=OR","EQY_CONSOLIDATED=Y","FA_ADJUSTED=GAAP","Sort=A","Dates=H","DateFormat=P","Fill=—","Direction=H","UseDPDF=Y")</f>
        <v>#NAME?</v>
      </c>
      <c r="R566" t="e">
        <f ca="1">_xll.BDH($C$553,"DVD_PAYOUT_RATIO","FQ3 2016","FQ3 2016","Currency=INR","Period=FQ","BEST_FPERIOD_OVERRIDE=FQ","FILING_STATUS=OR","EQY_CONSOLIDATED=Y","FA_ADJUSTED=GAAP","Sort=A","Dates=H","DateFormat=P","Fill=—","Direction=H","UseDPDF=Y")</f>
        <v>#NAME?</v>
      </c>
      <c r="S566" t="e">
        <f ca="1">_xll.BDH($C$553,"SUSTAIN_GROWTH_RT","FQ3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566" s="1" t="e">
        <f ca="1">_xll.BDH($C$553,"SALES_GROWTH","FQ3 2016","FQ3 2016","Currency=INR","Period=FQ","BEST_FPERIOD_OVERRIDE=FQ","FILING_STATUS=OR","EQY_CONSOLIDATED=Y","FA_ADJUSTED=GAAP","Sort=A","Dates=H","DateFormat=P","Fill=—","Direction=H","UseDPDF=Y")</f>
        <v>#NAME?</v>
      </c>
      <c r="U566" s="1" t="e">
        <f ca="1">_xll.BDH($C$553,"EBITDA_GROWTH","FQ3 2016","FQ3 2016","Currency=INR","Period=FQ","BEST_FPERIOD_OVERRIDE=FQ","FILING_STATUS=OR","EQY_CONSOLIDATED=Y","FA_ADJUSTED=GAAP","Sort=A","Dates=H","DateFormat=P","Fill=—","Direction=H","UseDPDF=Y")</f>
        <v>#NAME?</v>
      </c>
      <c r="V566" s="1" t="e">
        <f ca="1">_xll.BDH($C$553,"OPER_INC_GROWTH","FQ3 2016","FQ3 2016","Currency=INR","Period=FQ","BEST_FPERIOD_OVERRIDE=FQ","FILING_STATUS=OR","EQY_CONSOLIDATED=Y","FA_ADJUSTED=GAAP","Sort=A","Dates=H","DateFormat=P","Fill=—","Direction=H","UseDPDF=Y")</f>
        <v>#NAME?</v>
      </c>
      <c r="W566" s="1" t="e">
        <f ca="1">_xll.BDH($C$553,"EARN_FOR_COM_GROWTH","FQ3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66" s="1" t="e">
        <f ca="1">_xll.BDH($C$553,"DILUTED_EPS_AFT_XO_ITEMS_GROWTH","FQ3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66" s="1" t="e">
        <f ca="1">_xll.BDH($C$553,"DIVIDEND_PER_SHARE_1_YEAR_GROWTH","FQ3 2016","FQ3 2016","Currency=INR","Period=FQ","BEST_FPERIOD_OVERRIDE=FQ","FILING_STATUS=OR","EQY_CONSOLIDATED=Y","Sort=A","Dates=H","DateFormat=P","Fill=—","Direction=H","UseDPDF=Y")</f>
        <v>#NAME?</v>
      </c>
      <c r="Z566" s="1" t="e">
        <f ca="1">_xll.BDH($C$553,"ACCOUNTS_RECEIVABLE_GROWTH","FQ3 2016","FQ3 2016","Currency=INR","Period=FQ","BEST_FPERIOD_OVERRIDE=FQ","FILING_STATUS=OR","EQY_CONSOLIDATED=Y","Sort=A","Dates=H","DateFormat=P","Fill=—","Direction=H","UseDPDF=Y")</f>
        <v>#NAME?</v>
      </c>
      <c r="AA566" s="1" t="e">
        <f ca="1">_xll.BDH($C$553,"INVENTORY_GROWTH","FQ3 2016","FQ3 2016","Currency=INR","Period=FQ","BEST_FPERIOD_OVERRIDE=FQ","FILING_STATUS=OR","EQY_CONSOLIDATED=Y","Sort=A","Dates=H","DateFormat=P","Fill=—","Direction=H","UseDPDF=Y")</f>
        <v>#NAME?</v>
      </c>
      <c r="AB566" s="1" t="e">
        <f ca="1">_xll.BDH($C$553,"NET_FIXED_ASSETS_1_YEAR_GROWTH","FQ3 2016","FQ3 2016","Currency=INR","Period=FQ","BEST_FPERIOD_OVERRIDE=FQ","FILING_STATUS=OR","EQY_CONSOLIDATED=Y","Sort=A","Dates=H","DateFormat=P","Fill=—","Direction=H","UseDPDF=Y")</f>
        <v>#NAME?</v>
      </c>
      <c r="AC566" s="1" t="e">
        <f ca="1">_xll.BDH($C$553,"ASSET_GROWTH","FQ3 2016","FQ3 2016","Currency=INR","Period=FQ","BEST_FPERIOD_OVERRIDE=FQ","FILING_STATUS=OR","EQY_CONSOLIDATED=Y","Sort=A","Dates=H","DateFormat=P","Fill=—","Direction=H","UseDPDF=Y")</f>
        <v>#NAME?</v>
      </c>
      <c r="AD566" s="1" t="e">
        <f ca="1">_xll.BDH($C$553,"MODIFIED_WORK_CAP_GROWTH","FQ3 2016","FQ3 2016","Currency=INR","Period=FQ","BEST_FPERIOD_OVERRIDE=FQ","FILING_STATUS=OR","EQY_CONSOLIDATED=Y","Sort=A","Dates=H","DateFormat=P","Fill=—","Direction=H","UseDPDF=Y")</f>
        <v>#NAME?</v>
      </c>
      <c r="AE566" s="1" t="e">
        <f ca="1">_xll.BDH($C$553,"WORK_CAP_GROWTH","FQ3 2016","FQ3 2016","Currency=INR","Period=FQ","BEST_FPERIOD_OVERRIDE=FQ","FILING_STATUS=OR","EQY_CONSOLIDATED=Y","Sort=A","Dates=H","DateFormat=P","Fill=—","Direction=H","UseDPDF=Y")</f>
        <v>#NAME?</v>
      </c>
      <c r="AF566" s="1" t="e">
        <f ca="1">_xll.BDH($C$553,"ACCOUNTS_PAYABLE_GROWTH_1YR","FQ3 2016","FQ3 2016","Currency=INR","Period=FQ","BEST_FPERIOD_OVERRIDE=FQ","FILING_STATUS=OR","EQY_CONSOLIDATED=Y","Sort=A","Dates=H","DateFormat=P","Fill=—","Direction=H","UseDPDF=Y")</f>
        <v>#NAME?</v>
      </c>
      <c r="AG566" s="1" t="e">
        <f ca="1">_xll.BDH($C$553,"SHORT_TERM_DEBT_1_YEAR_GROWTH","FQ3 2016","FQ3 2016","Currency=INR","Period=FQ","BEST_FPERIOD_OVERRIDE=FQ","FILING_STATUS=OR","EQY_CONSOLIDATED=Y","Sort=A","Dates=H","DateFormat=P","Fill=—","Direction=H","UseDPDF=Y")</f>
        <v>#NAME?</v>
      </c>
      <c r="AH566" s="1" t="e">
        <f ca="1">_xll.BDH($C$553,"TOTAL_DEBT_1_YEAR_GROWTH","FQ3 2016","FQ3 2016","Currency=INR","Period=FQ","BEST_FPERIOD_OVERRIDE=FQ","FILING_STATUS=OR","EQY_CONSOLIDATED=Y","Sort=A","Dates=H","DateFormat=P","Fill=—","Direction=H","UseDPDF=Y")</f>
        <v>#NAME?</v>
      </c>
      <c r="AI566" s="1" t="e">
        <f ca="1">_xll.BDH($C$553,"TOTAL_EQUITY_1_YEAR_GROWTH","FQ3 2016","FQ3 2016","Currency=INR","Period=FQ","BEST_FPERIOD_OVERRIDE=FQ","FILING_STATUS=OR","EQY_CONSOLIDATED=Y","Sort=A","Dates=H","DateFormat=P","Fill=—","Direction=H","UseDPDF=Y")</f>
        <v>#NAME?</v>
      </c>
      <c r="AJ566" s="1" t="e">
        <f ca="1">_xll.BDH($C$553,"GROWTH_IN_CAP","FQ3 2016","FQ3 2016","Currency=INR","Period=FQ","BEST_FPERIOD_OVERRIDE=FQ","FILING_STATUS=OR","EQY_CONSOLIDATED=Y","Sort=A","Dates=H","DateFormat=P","Fill=—","Direction=H","UseDPDF=Y")</f>
        <v>#NAME?</v>
      </c>
      <c r="AK566" s="1" t="e">
        <f ca="1">_xll.BDH($C$553,"BVPS_GROWTH","FQ3 2016","FQ3 2016","Currency=INR","Period=FQ","BEST_FPERIOD_OVERRIDE=FQ","FILING_STATUS=OR","EQY_CONSOLIDATED=Y","Sort=A","Dates=H","DateFormat=P","Fill=—","Direction=H","UseDPDF=Y")</f>
        <v>#NAME?</v>
      </c>
      <c r="AL566" s="1" t="e">
        <f ca="1">_xll.BDH($C$553,"CASH_FLOW_GROWTH","FQ3 2016","FQ3 2016","Currency=INR","Period=FQ","BEST_FPERIOD_OVERRIDE=FQ","FILING_STATUS=OR","EQY_CONSOLIDATED=Y","Sort=A","Dates=H","DateFormat=P","Fill=—","Direction=H","UseDPDF=Y")</f>
        <v>#NAME?</v>
      </c>
      <c r="AM566" s="1" t="e">
        <f ca="1">_xll.BDH($C$553,"GEO_GROW_NET_SALES","FQ3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66" s="1" t="e">
        <f ca="1">_xll.BDH($C$553,"GEO_GROW_EBITDA","FQ3 2016","FQ3 2016","Currency=INR","Period=FQ","BEST_FPERIOD_OVERRIDE=FQ","FILING_STATUS=OR","EQY_CONSOLIDATED=Y","FA_ADJUSTED=GAAP","Sort=A","Dates=H","DateFormat=P","Fill=—","Direction=H","UseDPDF=Y")</f>
        <v>#NAME?</v>
      </c>
      <c r="AO566" s="1" t="e">
        <f ca="1">_xll.BDH($C$553,"GEO_GROW_OPER_INC","FQ3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66" s="1" t="e">
        <f ca="1">_xll.BDH($C$553,"NET_INCOME_TO_COMMON_5_YR_GROWTH","FQ3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66" s="1" t="e">
        <f ca="1">_xll.BDH($C$553,"5Y_GEO_GROWTH_DILUTED_EPS","FQ3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66" s="1" t="e">
        <f ca="1">_xll.BDH($C$553,"GEO_GROW_DVD_PER_SH","FQ3 2016","FQ3 2016","Currency=INR","Period=FQ","BEST_FPERIOD_OVERRIDE=FQ","FILING_STATUS=OR","EQY_CONSOLIDATED=Y","Sort=A","Dates=H","DateFormat=P","Fill=—","Direction=H","UseDPDF=Y")</f>
        <v>#NAME?</v>
      </c>
      <c r="AS566" s="1" t="e">
        <f ca="1">_xll.BDH($C$553,"ACCOUNTS_RECEIVABLE_5_YR_GROWTH","FQ3 2016","FQ3 2016","Currency=INR","Period=FQ","BEST_FPERIOD_OVERRIDE=FQ","FILING_STATUS=OR","EQY_CONSOLIDATED=Y","Sort=A","Dates=H","DateFormat=P","Fill=—","Direction=H","UseDPDF=Y")</f>
        <v>#NAME?</v>
      </c>
      <c r="AT566" s="1" t="e">
        <f ca="1">_xll.BDH($C$553,"INVENTORY_5_YEAR_GROWTH","FQ3 2016","FQ3 2016","Currency=INR","Period=FQ","BEST_FPERIOD_OVERRIDE=FQ","FILING_STATUS=OR","EQY_CONSOLIDATED=Y","Sort=A","Dates=H","DateFormat=P","Fill=—","Direction=H","UseDPDF=Y")</f>
        <v>#NAME?</v>
      </c>
      <c r="AU566" s="1" t="e">
        <f ca="1">_xll.BDH($C$553,"NET_FIXED_ASSETS_5_YEAR_GROWTH","FQ3 2016","FQ3 2016","Currency=INR","Period=FQ","BEST_FPERIOD_OVERRIDE=FQ","FILING_STATUS=OR","EQY_CONSOLIDATED=Y","Sort=A","Dates=H","DateFormat=P","Fill=—","Direction=H","UseDPDF=Y")</f>
        <v>#NAME?</v>
      </c>
      <c r="AV566" s="1" t="e">
        <f ca="1">_xll.BDH($C$553,"GEO_GROW_TOT_ASSET","FQ3 2016","FQ3 2016","Currency=INR","Period=FQ","BEST_FPERIOD_OVERRIDE=FQ","FILING_STATUS=OR","EQY_CONSOLIDATED=Y","Sort=A","Dates=H","DateFormat=P","Fill=—","Direction=H","UseDPDF=Y")</f>
        <v>#NAME?</v>
      </c>
      <c r="AW566" s="1" t="e">
        <f ca="1">_xll.BDH($C$553,"MODIFIED_WORKING_CPTL_5YR_GRWTH","FQ3 2016","FQ3 2016","Currency=INR","Period=FQ","BEST_FPERIOD_OVERRIDE=FQ","FILING_STATUS=OR","EQY_CONSOLIDATED=Y","Sort=A","Dates=H","DateFormat=P","Fill=—","Direction=H","UseDPDF=Y")</f>
        <v>#NAME?</v>
      </c>
      <c r="AX566" s="1" t="e">
        <f ca="1">_xll.BDH($C$553,"WORKING_CAPITAL_5_YEAR_GROWTH","FQ3 2016","FQ3 2016","Currency=INR","Period=FQ","BEST_FPERIOD_OVERRIDE=FQ","FILING_STATUS=OR","EQY_CONSOLIDATED=Y","Sort=A","Dates=H","DateFormat=P","Fill=—","Direction=H","UseDPDF=Y")</f>
        <v>#NAME?</v>
      </c>
      <c r="AY566" s="1" t="e">
        <f ca="1">_xll.BDH($C$553,"ACCOUNTS_PAYABLE_5_YEAR_GROWTH","FQ3 2016","FQ3 2016","Currency=INR","Period=FQ","BEST_FPERIOD_OVERRIDE=FQ","FILING_STATUS=OR","EQY_CONSOLIDATED=Y","Sort=A","Dates=H","DateFormat=P","Fill=—","Direction=H","UseDPDF=Y")</f>
        <v>#NAME?</v>
      </c>
      <c r="AZ566" s="1" t="e">
        <f ca="1">_xll.BDH($C$553,"SHORT_TERM_DEBT_5_YEAR_GROWTH","FQ3 2016","FQ3 2016","Currency=INR","Period=FQ","BEST_FPERIOD_OVERRIDE=FQ","FILING_STATUS=OR","EQY_CONSOLIDATED=Y","Sort=A","Dates=H","DateFormat=P","Fill=—","Direction=H","UseDPDF=Y")</f>
        <v>#NAME?</v>
      </c>
      <c r="BA566" s="1" t="e">
        <f ca="1">_xll.BDH($C$553,"TOTAL_DEBT_5_YEAR_GROWTH","FQ3 2016","FQ3 2016","Currency=INR","Period=FQ","BEST_FPERIOD_OVERRIDE=FQ","FILING_STATUS=OR","EQY_CONSOLIDATED=Y","Sort=A","Dates=H","DateFormat=P","Fill=—","Direction=H","UseDPDF=Y")</f>
        <v>#NAME?</v>
      </c>
      <c r="BB566" s="1" t="e">
        <f ca="1">_xll.BDH($C$553,"GEO_GROW_TOT_SHRHLDR_EQY","FQ3 2016","FQ3 2016","Currency=INR","Period=FQ","BEST_FPERIOD_OVERRIDE=FQ","FILING_STATUS=OR","EQY_CONSOLIDATED=Y","Sort=A","Dates=H","DateFormat=P","Fill=—","Direction=H","UseDPDF=Y")</f>
        <v>#NAME?</v>
      </c>
      <c r="BC566" s="1" t="e">
        <f ca="1">_xll.BDH($C$553,"TOTAL_CAPITAL_5_YEAR_GROWTH","FQ3 2016","FQ3 2016","Currency=INR","Period=FQ","BEST_FPERIOD_OVERRIDE=FQ","FILING_STATUS=OR","EQY_CONSOLIDATED=Y","Sort=A","Dates=H","DateFormat=P","Fill=—","Direction=H","UseDPDF=Y")</f>
        <v>#NAME?</v>
      </c>
      <c r="BD566" s="1" t="e">
        <f ca="1">_xll.BDH($C$553,"GEO_GROW_BOOK_VAL","FQ3 2016","FQ3 2016","Currency=INR","Period=FQ","BEST_FPERIOD_OVERRIDE=FQ","FILING_STATUS=OR","EQY_CONSOLIDATED=Y","Sort=A","Dates=H","DateFormat=P","Fill=—","Direction=H","UseDPDF=Y")</f>
        <v>#NAME?</v>
      </c>
      <c r="BE566" s="1" t="e">
        <f ca="1">_xll.BDH($C$553,"GEO_GROW_CASH_OPER_ACT","FQ3 2016","FQ3 2016","Currency=INR","Period=FQ","BEST_FPERIOD_OVERRIDE=FQ","FILING_STATUS=OR","EQY_CONSOLIDATED=Y","Sort=A","Dates=H","DateFormat=P","Fill=—","Direction=H","UseDPDF=Y")</f>
        <v>#NAME?</v>
      </c>
      <c r="BF566" s="1" t="e">
        <f ca="1">_xll.BDH($C$553,"REVENUE_SEQUENTIAL_GROWTH","FQ3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66" s="1" t="e">
        <f ca="1">_xll.BDH($C$553,"EBITDA_SEQUENTIAL_GROWTH","FQ3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66" s="1" t="e">
        <f ca="1">_xll.BDH($C$553,"OPERATING_INCOME_SEQ_GROWTH","FQ3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66" s="1" t="e">
        <f ca="1">_xll.BDH($C$553,"NET_INCOME_TO_COMMON_SEQ_GROWTH","FQ3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66" s="1" t="e">
        <f ca="1">_xll.BDH($C$553,"EPS_DILUTED_SEQUENTIAL_GROWTH","FQ3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66" s="1" t="e">
        <f ca="1">_xll.BDH($C$553,"DPS_SEQUENTIAL_GROWTH","FQ3 2016","FQ3 2016","Currency=INR","Period=FQ","BEST_FPERIOD_OVERRIDE=FQ","FILING_STATUS=OR","EQY_CONSOLIDATED=Y","Sort=A","Dates=H","DateFormat=P","Fill=—","Direction=H","UseDPDF=Y")</f>
        <v>#NAME?</v>
      </c>
      <c r="BL566" s="1" t="e">
        <f ca="1">_xll.BDH($C$553,"ACCOUNTS_RECEIVABLE_SEQ_GROWTH","FQ3 2016","FQ3 2016","Currency=INR","Period=FQ","BEST_FPERIOD_OVERRIDE=FQ","FILING_STATUS=OR","EQY_CONSOLIDATED=Y","Sort=A","Dates=H","DateFormat=P","Fill=—","Direction=H","UseDPDF=Y")</f>
        <v>#NAME?</v>
      </c>
      <c r="BM566" s="1" t="e">
        <f ca="1">_xll.BDH($C$553,"INVENTORY_SEQUENTIAL_GROWTH","FQ3 2016","FQ3 2016","Currency=INR","Period=FQ","BEST_FPERIOD_OVERRIDE=FQ","FILING_STATUS=OR","EQY_CONSOLIDATED=Y","Sort=A","Dates=H","DateFormat=P","Fill=—","Direction=H","UseDPDF=Y")</f>
        <v>#NAME?</v>
      </c>
      <c r="BN566" s="1" t="e">
        <f ca="1">_xll.BDH($C$553,"FIXED_ASSETS_SEQUENTIAL_GROWTH","FQ3 2016","FQ3 2016","Currency=INR","Period=FQ","BEST_FPERIOD_OVERRIDE=FQ","FILING_STATUS=OR","EQY_CONSOLIDATED=Y","Sort=A","Dates=H","DateFormat=P","Fill=—","Direction=H","UseDPDF=Y")</f>
        <v>#NAME?</v>
      </c>
      <c r="BO566" s="1" t="e">
        <f ca="1">_xll.BDH($C$553,"TOTAL_ASSETS_SEQUENTIAL_GROWTH","FQ3 2016","FQ3 2016","Currency=INR","Period=FQ","BEST_FPERIOD_OVERRIDE=FQ","FILING_STATUS=OR","EQY_CONSOLIDATED=Y","Sort=A","Dates=H","DateFormat=P","Fill=—","Direction=H","UseDPDF=Y")</f>
        <v>#NAME?</v>
      </c>
      <c r="BP566" s="1" t="e">
        <f ca="1">_xll.BDH($C$553,"MODIFIED_WORKING_CPTL_SEQ_GRWTH","FQ3 2016","FQ3 2016","Currency=INR","Period=FQ","BEST_FPERIOD_OVERRIDE=FQ","FILING_STATUS=OR","EQY_CONSOLIDATED=Y","Sort=A","Dates=H","DateFormat=P","Fill=—","Direction=H","UseDPDF=Y")</f>
        <v>#NAME?</v>
      </c>
      <c r="BQ566" s="1" t="e">
        <f ca="1">_xll.BDH($C$553,"WORKING_CAPITAL_SEQ_GROWTH","FQ3 2016","FQ3 2016","Currency=INR","Period=FQ","BEST_FPERIOD_OVERRIDE=FQ","FILING_STATUS=OR","EQY_CONSOLIDATED=Y","Sort=A","Dates=H","DateFormat=P","Fill=—","Direction=H","UseDPDF=Y")</f>
        <v>#NAME?</v>
      </c>
      <c r="BR566" s="1" t="e">
        <f ca="1">_xll.BDH($C$553,"ACCOUNTS_PAYABLE_SEQ_GROWTH","FQ3 2016","FQ3 2016","Currency=INR","Period=FQ","BEST_FPERIOD_OVERRIDE=FQ","FILING_STATUS=OR","EQY_CONSOLIDATED=Y","Sort=A","Dates=H","DateFormat=P","Fill=—","Direction=H","UseDPDF=Y")</f>
        <v>#NAME?</v>
      </c>
      <c r="BS566" s="1" t="e">
        <f ca="1">_xll.BDH($C$553,"ST_DEBT_SEQUENTIAL_GROWTH","FQ3 2016","FQ3 2016","Currency=INR","Period=FQ","BEST_FPERIOD_OVERRIDE=FQ","FILING_STATUS=OR","EQY_CONSOLIDATED=Y","Sort=A","Dates=H","DateFormat=P","Fill=—","Direction=H","UseDPDF=Y")</f>
        <v>#NAME?</v>
      </c>
      <c r="BT566" s="1" t="e">
        <f ca="1">_xll.BDH($C$553,"TOTAL_DEBT_SEQUENTIAL_GROWTH","FQ3 2016","FQ3 2016","Currency=INR","Period=FQ","BEST_FPERIOD_OVERRIDE=FQ","FILING_STATUS=OR","EQY_CONSOLIDATED=Y","Sort=A","Dates=H","DateFormat=P","Fill=—","Direction=H","UseDPDF=Y")</f>
        <v>#NAME?</v>
      </c>
      <c r="BU566" s="1" t="e">
        <f ca="1">_xll.BDH($C$553,"TOTAL_EQUITY_SEQUENTIAL_GROWTH","FQ3 2016","FQ3 2016","Currency=INR","Period=FQ","BEST_FPERIOD_OVERRIDE=FQ","FILING_STATUS=OR","EQY_CONSOLIDATED=Y","Sort=A","Dates=H","DateFormat=P","Fill=—","Direction=H","UseDPDF=Y")</f>
        <v>#NAME?</v>
      </c>
      <c r="BV566" s="1" t="e">
        <f ca="1">_xll.BDH($C$553,"TOTAL_CAPITAL_SEQUENTIAL_GROWTH","FQ3 2016","FQ3 2016","Currency=INR","Period=FQ","BEST_FPERIOD_OVERRIDE=FQ","FILING_STATUS=OR","EQY_CONSOLIDATED=Y","Sort=A","Dates=H","DateFormat=P","Fill=—","Direction=H","UseDPDF=Y")</f>
        <v>#NAME?</v>
      </c>
      <c r="BW566" s="1" t="e">
        <f ca="1">_xll.BDH($C$553,"BPS_SEQUENTIAL_GROWTH","FQ3 2016","FQ3 2016","Currency=INR","Period=FQ","BEST_FPERIOD_OVERRIDE=FQ","FILING_STATUS=OR","EQY_CONSOLIDATED=Y","Sort=A","Dates=H","DateFormat=P","Fill=—","Direction=H","UseDPDF=Y")</f>
        <v>#NAME?</v>
      </c>
      <c r="BX566" s="1" t="e">
        <f ca="1">_xll.BDH($C$553,"CFO_SEQUENTIAL_GROWTH","FQ3 2016","FQ3 2016","Currency=INR","Period=FQ","BEST_FPERIOD_OVERRIDE=FQ","FILING_STATUS=OR","EQY_CONSOLIDATED=Y","Sort=A","Dates=H","DateFormat=P","Fill=—","Direction=H","UseDPDF=Y")</f>
        <v>#NAME?</v>
      </c>
      <c r="BY566" s="2" t="e">
        <f ca="1">_xll.BDH($C$553,"SHORT_AND_LONG_TERM_DEBT","FQ3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66" s="2" t="e">
        <f ca="1">_xll.BDH($C$553,"BS_ST_BORROW","FQ3 2016","FQ3 2016","Currency=INR","Period=FQ","BEST_FPERIOD_OVERRIDE=FQ","FILING_STATUS=OR","EQY_CONSOLIDATED=Y","SCALING_FORMAT=MLN","Sort=A","Dates=H","DateFormat=P","Fill=—","Direction=H","UseDPDF=Y")</f>
        <v>#NAME?</v>
      </c>
      <c r="CA566" s="2" t="e">
        <f ca="1">_xll.BDH($C$553,"BS_LT_BORROW","FQ3 2016","FQ3 2016","Currency=INR","Period=FQ","BEST_FPERIOD_OVERRIDE=FQ","FILING_STATUS=OR","EQY_CONSOLIDATED=Y","SCALING_FORMAT=MLN","Sort=A","Dates=H","DateFormat=P","Fill=—","Direction=H","UseDPDF=Y")</f>
        <v>#NAME?</v>
      </c>
      <c r="CB566" s="1" t="e">
        <f ca="1">_xll.BDH($C$553,"TOT_DEBT_TO_EBITDA","FQ3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66" s="1" t="e">
        <f ca="1">_xll.BDH($C$553,"NET_DEBT_TO_EBITDA","FQ3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66" s="1" t="e">
        <f ca="1">_xll.BDH($C$553,"TOTAL_DEBT_TO_EBIT","FQ3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66" s="1" t="e">
        <f ca="1">_xll.BDH($C$553,"NET_DEBT_TO_EBIT","FQ3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566" s="1" t="e">
        <f ca="1">_xll.BDH($C$553,"EBITDA_TO_INTEREST_EXPN","FQ3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66" s="1" t="e">
        <f ca="1">_xll.BDH($C$553,"COM_EQY_TO_TOT_ASSET","FQ3 2016","FQ3 2016","Currency=INR","Period=FQ","BEST_FPERIOD_OVERRIDE=FQ","FILING_STATUS=OR","EQY_CONSOLIDATED=Y","Sort=A","Dates=H","DateFormat=P","Fill=—","Direction=H","UseDPDF=Y")</f>
        <v>#NAME?</v>
      </c>
      <c r="CH566" s="1" t="e">
        <f ca="1">_xll.BDH($C$553,"LT_DEBT_TO_TOT_EQY","FQ3 2016","FQ3 2016","Currency=INR","Period=FQ","BEST_FPERIOD_OVERRIDE=FQ","FILING_STATUS=OR","EQY_CONSOLIDATED=Y","Sort=A","Dates=H","DateFormat=P","Fill=—","Direction=H","UseDPDF=Y")</f>
        <v>#NAME?</v>
      </c>
      <c r="CI566" s="1" t="e">
        <f ca="1">_xll.BDH($C$553,"LT_DEBT_TO_TOT_CAP","FQ3 2016","FQ3 2016","Currency=INR","Period=FQ","BEST_FPERIOD_OVERRIDE=FQ","FILING_STATUS=OR","EQY_CONSOLIDATED=Y","Sort=A","Dates=H","DateFormat=P","Fill=—","Direction=H","UseDPDF=Y")</f>
        <v>#NAME?</v>
      </c>
      <c r="CJ566" s="1" t="e">
        <f ca="1">_xll.BDH($C$553,"LT_DEBT_TO_TOT_ASSET","FQ3 2016","FQ3 2016","Currency=INR","Period=FQ","BEST_FPERIOD_OVERRIDE=FQ","FILING_STATUS=OR","EQY_CONSOLIDATED=Y","Sort=A","Dates=H","DateFormat=P","Fill=—","Direction=H","UseDPDF=Y")</f>
        <v>#NAME?</v>
      </c>
      <c r="CK566" s="1" t="e">
        <f ca="1">_xll.BDH($C$553,"TOT_DEBT_TO_TOT_EQY","FQ3 2016","FQ3 2016","Currency=INR","Period=FQ","BEST_FPERIOD_OVERRIDE=FQ","FILING_STATUS=OR","EQY_CONSOLIDATED=Y","Sort=A","Dates=H","DateFormat=P","Fill=—","Direction=H","UseDPDF=Y")</f>
        <v>#NAME?</v>
      </c>
      <c r="CL566" s="1" t="e">
        <f ca="1">_xll.BDH($C$553,"TOT_DEBT_TO_TOT_CAP","FQ3 2016","FQ3 2016","Currency=INR","Period=FQ","BEST_FPERIOD_OVERRIDE=FQ","FILING_STATUS=OR","EQY_CONSOLIDATED=Y","Sort=A","Dates=H","DateFormat=P","Fill=—","Direction=H","UseDPDF=Y")</f>
        <v>#NAME?</v>
      </c>
      <c r="CM566" s="1" t="e">
        <f ca="1">_xll.BDH($C$553,"TOT_DEBT_TO_TOT_ASSET","FQ3 2016","FQ3 2016","Currency=INR","Period=FQ","BEST_FPERIOD_OVERRIDE=FQ","FILING_STATUS=OR","EQY_CONSOLIDATED=Y","Sort=A","Dates=H","DateFormat=P","Fill=—","Direction=H","UseDPDF=Y")</f>
        <v>#NAME?</v>
      </c>
      <c r="CN566" s="1" t="e">
        <f ca="1">_xll.BDH($C$553,"NET_DEBT_TO_SHRHLDR_EQTY","FQ3 2016","FQ3 2016","Currency=INR","Period=FQ","BEST_FPERIOD_OVERRIDE=FQ","FILING_STATUS=OR","EQY_CONSOLIDATED=Y","Sort=A","Dates=H","DateFormat=P","Fill=—","Direction=H","UseDPDF=Y")</f>
        <v>#NAME?</v>
      </c>
      <c r="CO566" s="1" t="e">
        <f ca="1">_xll.BDH($C$553,"NET_DEBT_%_CAPITAL","FQ3 2016","FQ3 2016","Currency=INR","Period=FQ","BEST_FPERIOD_OVERRIDE=FQ","FILING_STATUS=OR","EQY_CONSOLIDATED=Y","Sort=A","Dates=H","DateFormat=P","Fill=—","Direction=H","UseDPDF=Y")</f>
        <v>#NAME?</v>
      </c>
      <c r="CP566" s="2" t="e">
        <f ca="1">_xll.BDH($C$553,"EBITDA","FQ3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66" s="2" t="e">
        <f ca="1">_xll.BDH($C$553,"EBITDA_AFTER_CAPEX","FQ3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66" s="2" t="e">
        <f ca="1">_xll.BDH($C$553,"IS_OPER_INC","FQ3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66" s="1" t="e">
        <f ca="1">_xll.BDH($C$553,"CASH_RATIO","FQ3 2016","FQ3 2016","Currency=INR","Period=FQ","BEST_FPERIOD_OVERRIDE=FQ","FILING_STATUS=OR","EQY_CONSOLIDATED=Y","Sort=A","Dates=H","DateFormat=P","Fill=—","Direction=H","UseDPDF=Y")</f>
        <v>#NAME?</v>
      </c>
      <c r="CT566" s="1" t="e">
        <f ca="1">_xll.BDH($C$553,"CUR_RATIO","FQ3 2016","FQ3 2016","Currency=INR","Period=FQ","BEST_FPERIOD_OVERRIDE=FQ","FILING_STATUS=OR","EQY_CONSOLIDATED=Y","Sort=A","Dates=H","DateFormat=P","Fill=—","Direction=H","UseDPDF=Y")</f>
        <v>#NAME?</v>
      </c>
      <c r="CU566" s="1" t="e">
        <f ca="1">_xll.BDH($C$553,"QUICK_RATIO","FQ3 2016","FQ3 2016","Currency=INR","Period=FQ","BEST_FPERIOD_OVERRIDE=FQ","FILING_STATUS=OR","EQY_CONSOLIDATED=Y","Sort=A","Dates=H","DateFormat=P","Fill=—","Direction=H","UseDPDF=Y")</f>
        <v>#NAME?</v>
      </c>
      <c r="CV566" s="1" t="e">
        <f ca="1">_xll.BDH($C$553,"ALTMAN_Z_SCORE","FQ3 2016","FQ3 2016","Currency=INR","Period=FQ","BEST_FPERIOD_OVERRIDE=FQ","FILING_STATUS=OR","EQY_CONSOLIDATED=Y","Sort=A","Dates=H","DateFormat=P","Fill=—","Direction=H","UseDPDF=Y")</f>
        <v>#NAME?</v>
      </c>
      <c r="CW566" s="3" t="e">
        <f ca="1">_xll.BDH($C$553,"ACCT_RCV_TURN","FQ3 2016","FQ3 2016","Currency=INR","Period=FQ","BEST_FPERIOD_OVERRIDE=FQ","FILING_STATUS=OR","EQY_CONSOLIDATED=Y","FA_ADJUSTED=GAAP","Sort=A","Dates=H","DateFormat=P","Fill=—","Direction=H","UseDPDF=Y")</f>
        <v>#NAME?</v>
      </c>
      <c r="CX566" s="1" t="e">
        <f ca="1">_xll.BDH($C$553,"ACCT_RCV_DAYS","FQ3 2016","FQ3 2016","Currency=INR","Period=FQ","BEST_FPERIOD_OVERRIDE=FQ","FILING_STATUS=OR","EQY_CONSOLIDATED=Y","FA_ADJUSTED=GAAP","Sort=A","Dates=H","DateFormat=P","Fill=—","Direction=H","UseDPDF=Y")</f>
        <v>#NAME?</v>
      </c>
      <c r="CY566" s="3" t="e">
        <f ca="1">_xll.BDH($C$553,"INVENT_TURN","FQ3 2016","FQ3 2016","Currency=INR","Period=FQ","BEST_FPERIOD_OVERRIDE=FQ","FILING_STATUS=OR","EQY_CONSOLIDATED=Y","FA_ADJUSTED=GAAP","Sort=A","Dates=H","DateFormat=P","Fill=—","Direction=H","UseDPDF=Y")</f>
        <v>#NAME?</v>
      </c>
      <c r="CZ566" s="1" t="e">
        <f ca="1">_xll.BDH($C$553,"INVENT_DAYS","FQ3 2016","FQ3 2016","Currency=INR","Period=FQ","BEST_FPERIOD_OVERRIDE=FQ","FILING_STATUS=OR","EQY_CONSOLIDATED=Y","FA_ADJUSTED=GAAP","Sort=A","Dates=H","DateFormat=P","Fill=—","Direction=H","UseDPDF=Y")</f>
        <v>#NAME?</v>
      </c>
      <c r="DA566" s="3" t="e">
        <f ca="1">_xll.BDH($C$553,"ACCOUNTS_PAYABLE_TURNOVER","FQ3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66" s="1" t="e">
        <f ca="1">_xll.BDH($C$553,"ACCOUNTS_PAYABLE_TURNOVER_DAYS","FQ3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66" s="3" t="e">
        <f ca="1">_xll.BDH($C$553,"CASH_CONVERSION_CYCLE","FQ3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66" s="3" t="e">
        <f ca="1">_xll.BDH($C$553,"INV_TO_CASH_DAYS","FQ3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566" s="4" t="e">
        <f ca="1">_xll.BDH($C$553,"BS_INVENTORIES","FQ3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566" s="2" t="e">
        <f ca="1">_xll.BDH($C$553,"INVTRY_RAW_MATERIALS","FQ3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66" s="2" t="e">
        <f ca="1">_xll.BDH($C$553,"INVTRY_IN_PROGRESS","FQ3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66" s="2" t="e">
        <f ca="1">_xll.BDH($C$553,"INVTRY_FINISHED_GOODS","FQ3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66" s="2" t="e">
        <f ca="1">_xll.BDH($C$553,"BS_OTHER_INV","FQ3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67" spans="1:113" x14ac:dyDescent="0.3">
      <c r="A567" s="6"/>
      <c r="B567" s="6"/>
      <c r="C567" s="6"/>
      <c r="D567" s="6"/>
      <c r="E567" t="s">
        <v>7</v>
      </c>
      <c r="F567" t="e">
        <f ca="1">_xll.BDH($C$553,"RETURN_COM_EQY","FQ4 2016","FQ4 2016","Currency=INR","Period=FQ","BEST_FPERIOD_OVERRIDE=FQ","FILING_STATUS=OR","EQY_CONSOLIDATED=Y","FA_ADJUSTED=GAAP","Sort=A","Dates=H","DateFormat=P","Fill=—","Direction=H","UseDPDF=Y")</f>
        <v>#NAME?</v>
      </c>
      <c r="G567" t="e">
        <f ca="1">_xll.BDH($C$553,"RETURN_ON_ASSET","FQ4 2016","FQ4 2016","Currency=INR","Period=FQ","BEST_FPERIOD_OVERRIDE=FQ","FILING_STATUS=OR","EQY_CONSOLIDATED=Y","FA_ADJUSTED=GAAP","Sort=A","Dates=H","DateFormat=P","Fill=—","Direction=H","UseDPDF=Y")</f>
        <v>#NAME?</v>
      </c>
      <c r="H567" t="e">
        <f ca="1">_xll.BDH($C$553,"RETURN_ON_CAP","FQ4 2016","FQ4 2016","Currency=INR","Period=FQ","BEST_FPERIOD_OVERRIDE=FQ","FILING_STATUS=OR","EQY_CONSOLIDATED=Y","FA_ADJUSTED=GAAP","Sort=A","Dates=H","DateFormat=P","Fill=—","Direction=H","UseDPDF=Y")</f>
        <v>#NAME?</v>
      </c>
      <c r="I567" t="e">
        <f ca="1">_xll.BDH($C$553,"RETURN_ON_INV_CAPITAL","FQ4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67" t="e">
        <f ca="1">_xll.BDH($C$553,"EBITDA_TO_REVENUE","FQ4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567" t="e">
        <f ca="1">_xll.BDH($C$553,"OPER_MARGIN","FQ4 2016","FQ4 2016","Currency=INR","Period=FQ","BEST_FPERIOD_OVERRIDE=FQ","FILING_STATUS=OR","EQY_CONSOLIDATED=Y","FA_ADJUSTED=GAAP","Sort=A","Dates=H","DateFormat=P","Fill=—","Direction=H","UseDPDF=Y")</f>
        <v>#NAME?</v>
      </c>
      <c r="L567" t="e">
        <f ca="1">_xll.BDH($C$553,"INCREMENTAL_OPERATING_MARGIN","FQ4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67" t="e">
        <f ca="1">_xll.BDH($C$553,"PRETAX_INC_TO_NET_SALES","FQ4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67" t="e">
        <f ca="1">_xll.BDH($C$553,"INC_BEF_XO_ITEMS_TO_NET_SALES","FQ4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67" t="e">
        <f ca="1">_xll.BDH($C$553,"PROF_MARGIN","FQ4 2016","FQ4 2016","Currency=INR","Period=FQ","BEST_FPERIOD_OVERRIDE=FQ","FILING_STATUS=OR","EQY_CONSOLIDATED=Y","FA_ADJUSTED=GAAP","Sort=A","Dates=H","DateFormat=P","Fill=—","Direction=H","UseDPDF=Y")</f>
        <v>#NAME?</v>
      </c>
      <c r="P567" t="e">
        <f ca="1">_xll.BDH($C$553,"NET_INCOME_TO_COMMON_MARGIN","FQ4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67" t="e">
        <f ca="1">_xll.BDH($C$553,"EFF_TAX_RATE","FQ4 2016","FQ4 2016","Currency=INR","Period=FQ","BEST_FPERIOD_OVERRIDE=FQ","FILING_STATUS=OR","EQY_CONSOLIDATED=Y","FA_ADJUSTED=GAAP","Sort=A","Dates=H","DateFormat=P","Fill=—","Direction=H","UseDPDF=Y")</f>
        <v>#NAME?</v>
      </c>
      <c r="R567" t="e">
        <f ca="1">_xll.BDH($C$553,"DVD_PAYOUT_RATIO","FQ4 2016","FQ4 2016","Currency=INR","Period=FQ","BEST_FPERIOD_OVERRIDE=FQ","FILING_STATUS=OR","EQY_CONSOLIDATED=Y","FA_ADJUSTED=GAAP","Sort=A","Dates=H","DateFormat=P","Fill=—","Direction=H","UseDPDF=Y")</f>
        <v>#NAME?</v>
      </c>
      <c r="S567" t="e">
        <f ca="1">_xll.BDH($C$553,"SUSTAIN_GROWTH_RT","FQ4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567" s="1" t="e">
        <f ca="1">_xll.BDH($C$553,"SALES_GROWTH","FQ4 2016","FQ4 2016","Currency=INR","Period=FQ","BEST_FPERIOD_OVERRIDE=FQ","FILING_STATUS=OR","EQY_CONSOLIDATED=Y","FA_ADJUSTED=GAAP","Sort=A","Dates=H","DateFormat=P","Fill=—","Direction=H","UseDPDF=Y")</f>
        <v>#NAME?</v>
      </c>
      <c r="U567" s="1" t="e">
        <f ca="1">_xll.BDH($C$553,"EBITDA_GROWTH","FQ4 2016","FQ4 2016","Currency=INR","Period=FQ","BEST_FPERIOD_OVERRIDE=FQ","FILING_STATUS=OR","EQY_CONSOLIDATED=Y","FA_ADJUSTED=GAAP","Sort=A","Dates=H","DateFormat=P","Fill=—","Direction=H","UseDPDF=Y")</f>
        <v>#NAME?</v>
      </c>
      <c r="V567" s="1" t="e">
        <f ca="1">_xll.BDH($C$553,"OPER_INC_GROWTH","FQ4 2016","FQ4 2016","Currency=INR","Period=FQ","BEST_FPERIOD_OVERRIDE=FQ","FILING_STATUS=OR","EQY_CONSOLIDATED=Y","FA_ADJUSTED=GAAP","Sort=A","Dates=H","DateFormat=P","Fill=—","Direction=H","UseDPDF=Y")</f>
        <v>#NAME?</v>
      </c>
      <c r="W567" s="1" t="e">
        <f ca="1">_xll.BDH($C$553,"EARN_FOR_COM_GROWTH","FQ4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67" s="1" t="e">
        <f ca="1">_xll.BDH($C$553,"DILUTED_EPS_AFT_XO_ITEMS_GROWTH","FQ4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67" s="1" t="e">
        <f ca="1">_xll.BDH($C$553,"DIVIDEND_PER_SHARE_1_YEAR_GROWTH","FQ4 2016","FQ4 2016","Currency=INR","Period=FQ","BEST_FPERIOD_OVERRIDE=FQ","FILING_STATUS=OR","EQY_CONSOLIDATED=Y","Sort=A","Dates=H","DateFormat=P","Fill=—","Direction=H","UseDPDF=Y")</f>
        <v>#NAME?</v>
      </c>
      <c r="Z567" s="1" t="e">
        <f ca="1">_xll.BDH($C$553,"ACCOUNTS_RECEIVABLE_GROWTH","FQ4 2016","FQ4 2016","Currency=INR","Period=FQ","BEST_FPERIOD_OVERRIDE=FQ","FILING_STATUS=OR","EQY_CONSOLIDATED=Y","Sort=A","Dates=H","DateFormat=P","Fill=—","Direction=H","UseDPDF=Y")</f>
        <v>#NAME?</v>
      </c>
      <c r="AA567" s="1" t="e">
        <f ca="1">_xll.BDH($C$553,"INVENTORY_GROWTH","FQ4 2016","FQ4 2016","Currency=INR","Period=FQ","BEST_FPERIOD_OVERRIDE=FQ","FILING_STATUS=OR","EQY_CONSOLIDATED=Y","Sort=A","Dates=H","DateFormat=P","Fill=—","Direction=H","UseDPDF=Y")</f>
        <v>#NAME?</v>
      </c>
      <c r="AB567" s="1" t="e">
        <f ca="1">_xll.BDH($C$553,"NET_FIXED_ASSETS_1_YEAR_GROWTH","FQ4 2016","FQ4 2016","Currency=INR","Period=FQ","BEST_FPERIOD_OVERRIDE=FQ","FILING_STATUS=OR","EQY_CONSOLIDATED=Y","Sort=A","Dates=H","DateFormat=P","Fill=—","Direction=H","UseDPDF=Y")</f>
        <v>#NAME?</v>
      </c>
      <c r="AC567" s="1" t="e">
        <f ca="1">_xll.BDH($C$553,"ASSET_GROWTH","FQ4 2016","FQ4 2016","Currency=INR","Period=FQ","BEST_FPERIOD_OVERRIDE=FQ","FILING_STATUS=OR","EQY_CONSOLIDATED=Y","Sort=A","Dates=H","DateFormat=P","Fill=—","Direction=H","UseDPDF=Y")</f>
        <v>#NAME?</v>
      </c>
      <c r="AD567" s="1" t="e">
        <f ca="1">_xll.BDH($C$553,"MODIFIED_WORK_CAP_GROWTH","FQ4 2016","FQ4 2016","Currency=INR","Period=FQ","BEST_FPERIOD_OVERRIDE=FQ","FILING_STATUS=OR","EQY_CONSOLIDATED=Y","Sort=A","Dates=H","DateFormat=P","Fill=—","Direction=H","UseDPDF=Y")</f>
        <v>#NAME?</v>
      </c>
      <c r="AE567" s="1" t="e">
        <f ca="1">_xll.BDH($C$553,"WORK_CAP_GROWTH","FQ4 2016","FQ4 2016","Currency=INR","Period=FQ","BEST_FPERIOD_OVERRIDE=FQ","FILING_STATUS=OR","EQY_CONSOLIDATED=Y","Sort=A","Dates=H","DateFormat=P","Fill=—","Direction=H","UseDPDF=Y")</f>
        <v>#NAME?</v>
      </c>
      <c r="AF567" s="1" t="e">
        <f ca="1">_xll.BDH($C$553,"ACCOUNTS_PAYABLE_GROWTH_1YR","FQ4 2016","FQ4 2016","Currency=INR","Period=FQ","BEST_FPERIOD_OVERRIDE=FQ","FILING_STATUS=OR","EQY_CONSOLIDATED=Y","Sort=A","Dates=H","DateFormat=P","Fill=—","Direction=H","UseDPDF=Y")</f>
        <v>#NAME?</v>
      </c>
      <c r="AG567" s="1" t="e">
        <f ca="1">_xll.BDH($C$553,"SHORT_TERM_DEBT_1_YEAR_GROWTH","FQ4 2016","FQ4 2016","Currency=INR","Period=FQ","BEST_FPERIOD_OVERRIDE=FQ","FILING_STATUS=OR","EQY_CONSOLIDATED=Y","Sort=A","Dates=H","DateFormat=P","Fill=—","Direction=H","UseDPDF=Y")</f>
        <v>#NAME?</v>
      </c>
      <c r="AH567" s="1" t="e">
        <f ca="1">_xll.BDH($C$553,"TOTAL_DEBT_1_YEAR_GROWTH","FQ4 2016","FQ4 2016","Currency=INR","Period=FQ","BEST_FPERIOD_OVERRIDE=FQ","FILING_STATUS=OR","EQY_CONSOLIDATED=Y","Sort=A","Dates=H","DateFormat=P","Fill=—","Direction=H","UseDPDF=Y")</f>
        <v>#NAME?</v>
      </c>
      <c r="AI567" s="1" t="e">
        <f ca="1">_xll.BDH($C$553,"TOTAL_EQUITY_1_YEAR_GROWTH","FQ4 2016","FQ4 2016","Currency=INR","Period=FQ","BEST_FPERIOD_OVERRIDE=FQ","FILING_STATUS=OR","EQY_CONSOLIDATED=Y","Sort=A","Dates=H","DateFormat=P","Fill=—","Direction=H","UseDPDF=Y")</f>
        <v>#NAME?</v>
      </c>
      <c r="AJ567" s="1" t="e">
        <f ca="1">_xll.BDH($C$553,"GROWTH_IN_CAP","FQ4 2016","FQ4 2016","Currency=INR","Period=FQ","BEST_FPERIOD_OVERRIDE=FQ","FILING_STATUS=OR","EQY_CONSOLIDATED=Y","Sort=A","Dates=H","DateFormat=P","Fill=—","Direction=H","UseDPDF=Y")</f>
        <v>#NAME?</v>
      </c>
      <c r="AK567" s="1" t="e">
        <f ca="1">_xll.BDH($C$553,"BVPS_GROWTH","FQ4 2016","FQ4 2016","Currency=INR","Period=FQ","BEST_FPERIOD_OVERRIDE=FQ","FILING_STATUS=OR","EQY_CONSOLIDATED=Y","Sort=A","Dates=H","DateFormat=P","Fill=—","Direction=H","UseDPDF=Y")</f>
        <v>#NAME?</v>
      </c>
      <c r="AL567" s="1" t="e">
        <f ca="1">_xll.BDH($C$553,"CASH_FLOW_GROWTH","FQ4 2016","FQ4 2016","Currency=INR","Period=FQ","BEST_FPERIOD_OVERRIDE=FQ","FILING_STATUS=OR","EQY_CONSOLIDATED=Y","Sort=A","Dates=H","DateFormat=P","Fill=—","Direction=H","UseDPDF=Y")</f>
        <v>#NAME?</v>
      </c>
      <c r="AM567" s="1" t="e">
        <f ca="1">_xll.BDH($C$553,"GEO_GROW_NET_SALES","FQ4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67" s="1" t="e">
        <f ca="1">_xll.BDH($C$553,"GEO_GROW_EBITDA","FQ4 2016","FQ4 2016","Currency=INR","Period=FQ","BEST_FPERIOD_OVERRIDE=FQ","FILING_STATUS=OR","EQY_CONSOLIDATED=Y","FA_ADJUSTED=GAAP","Sort=A","Dates=H","DateFormat=P","Fill=—","Direction=H","UseDPDF=Y")</f>
        <v>#NAME?</v>
      </c>
      <c r="AO567" s="1" t="e">
        <f ca="1">_xll.BDH($C$553,"GEO_GROW_OPER_INC","FQ4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67" s="1" t="e">
        <f ca="1">_xll.BDH($C$553,"NET_INCOME_TO_COMMON_5_YR_GROWTH","FQ4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67" s="1" t="e">
        <f ca="1">_xll.BDH($C$553,"5Y_GEO_GROWTH_DILUTED_EPS","FQ4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67" s="1" t="e">
        <f ca="1">_xll.BDH($C$553,"GEO_GROW_DVD_PER_SH","FQ4 2016","FQ4 2016","Currency=INR","Period=FQ","BEST_FPERIOD_OVERRIDE=FQ","FILING_STATUS=OR","EQY_CONSOLIDATED=Y","Sort=A","Dates=H","DateFormat=P","Fill=—","Direction=H","UseDPDF=Y")</f>
        <v>#NAME?</v>
      </c>
      <c r="AS567" s="1" t="e">
        <f ca="1">_xll.BDH($C$553,"ACCOUNTS_RECEIVABLE_5_YR_GROWTH","FQ4 2016","FQ4 2016","Currency=INR","Period=FQ","BEST_FPERIOD_OVERRIDE=FQ","FILING_STATUS=OR","EQY_CONSOLIDATED=Y","Sort=A","Dates=H","DateFormat=P","Fill=—","Direction=H","UseDPDF=Y")</f>
        <v>#NAME?</v>
      </c>
      <c r="AT567" s="1" t="e">
        <f ca="1">_xll.BDH($C$553,"INVENTORY_5_YEAR_GROWTH","FQ4 2016","FQ4 2016","Currency=INR","Period=FQ","BEST_FPERIOD_OVERRIDE=FQ","FILING_STATUS=OR","EQY_CONSOLIDATED=Y","Sort=A","Dates=H","DateFormat=P","Fill=—","Direction=H","UseDPDF=Y")</f>
        <v>#NAME?</v>
      </c>
      <c r="AU567" s="1" t="e">
        <f ca="1">_xll.BDH($C$553,"NET_FIXED_ASSETS_5_YEAR_GROWTH","FQ4 2016","FQ4 2016","Currency=INR","Period=FQ","BEST_FPERIOD_OVERRIDE=FQ","FILING_STATUS=OR","EQY_CONSOLIDATED=Y","Sort=A","Dates=H","DateFormat=P","Fill=—","Direction=H","UseDPDF=Y")</f>
        <v>#NAME?</v>
      </c>
      <c r="AV567" s="1" t="e">
        <f ca="1">_xll.BDH($C$553,"GEO_GROW_TOT_ASSET","FQ4 2016","FQ4 2016","Currency=INR","Period=FQ","BEST_FPERIOD_OVERRIDE=FQ","FILING_STATUS=OR","EQY_CONSOLIDATED=Y","Sort=A","Dates=H","DateFormat=P","Fill=—","Direction=H","UseDPDF=Y")</f>
        <v>#NAME?</v>
      </c>
      <c r="AW567" s="1" t="e">
        <f ca="1">_xll.BDH($C$553,"MODIFIED_WORKING_CPTL_5YR_GRWTH","FQ4 2016","FQ4 2016","Currency=INR","Period=FQ","BEST_FPERIOD_OVERRIDE=FQ","FILING_STATUS=OR","EQY_CONSOLIDATED=Y","Sort=A","Dates=H","DateFormat=P","Fill=—","Direction=H","UseDPDF=Y")</f>
        <v>#NAME?</v>
      </c>
      <c r="AX567" s="1" t="e">
        <f ca="1">_xll.BDH($C$553,"WORKING_CAPITAL_5_YEAR_GROWTH","FQ4 2016","FQ4 2016","Currency=INR","Period=FQ","BEST_FPERIOD_OVERRIDE=FQ","FILING_STATUS=OR","EQY_CONSOLIDATED=Y","Sort=A","Dates=H","DateFormat=P","Fill=—","Direction=H","UseDPDF=Y")</f>
        <v>#NAME?</v>
      </c>
      <c r="AY567" s="1" t="e">
        <f ca="1">_xll.BDH($C$553,"ACCOUNTS_PAYABLE_5_YEAR_GROWTH","FQ4 2016","FQ4 2016","Currency=INR","Period=FQ","BEST_FPERIOD_OVERRIDE=FQ","FILING_STATUS=OR","EQY_CONSOLIDATED=Y","Sort=A","Dates=H","DateFormat=P","Fill=—","Direction=H","UseDPDF=Y")</f>
        <v>#NAME?</v>
      </c>
      <c r="AZ567" s="1" t="e">
        <f ca="1">_xll.BDH($C$553,"SHORT_TERM_DEBT_5_YEAR_GROWTH","FQ4 2016","FQ4 2016","Currency=INR","Period=FQ","BEST_FPERIOD_OVERRIDE=FQ","FILING_STATUS=OR","EQY_CONSOLIDATED=Y","Sort=A","Dates=H","DateFormat=P","Fill=—","Direction=H","UseDPDF=Y")</f>
        <v>#NAME?</v>
      </c>
      <c r="BA567" s="1" t="e">
        <f ca="1">_xll.BDH($C$553,"TOTAL_DEBT_5_YEAR_GROWTH","FQ4 2016","FQ4 2016","Currency=INR","Period=FQ","BEST_FPERIOD_OVERRIDE=FQ","FILING_STATUS=OR","EQY_CONSOLIDATED=Y","Sort=A","Dates=H","DateFormat=P","Fill=—","Direction=H","UseDPDF=Y")</f>
        <v>#NAME?</v>
      </c>
      <c r="BB567" s="1" t="e">
        <f ca="1">_xll.BDH($C$553,"GEO_GROW_TOT_SHRHLDR_EQY","FQ4 2016","FQ4 2016","Currency=INR","Period=FQ","BEST_FPERIOD_OVERRIDE=FQ","FILING_STATUS=OR","EQY_CONSOLIDATED=Y","Sort=A","Dates=H","DateFormat=P","Fill=—","Direction=H","UseDPDF=Y")</f>
        <v>#NAME?</v>
      </c>
      <c r="BC567" s="1" t="e">
        <f ca="1">_xll.BDH($C$553,"TOTAL_CAPITAL_5_YEAR_GROWTH","FQ4 2016","FQ4 2016","Currency=INR","Period=FQ","BEST_FPERIOD_OVERRIDE=FQ","FILING_STATUS=OR","EQY_CONSOLIDATED=Y","Sort=A","Dates=H","DateFormat=P","Fill=—","Direction=H","UseDPDF=Y")</f>
        <v>#NAME?</v>
      </c>
      <c r="BD567" s="1" t="e">
        <f ca="1">_xll.BDH($C$553,"GEO_GROW_BOOK_VAL","FQ4 2016","FQ4 2016","Currency=INR","Period=FQ","BEST_FPERIOD_OVERRIDE=FQ","FILING_STATUS=OR","EQY_CONSOLIDATED=Y","Sort=A","Dates=H","DateFormat=P","Fill=—","Direction=H","UseDPDF=Y")</f>
        <v>#NAME?</v>
      </c>
      <c r="BE567" s="1" t="e">
        <f ca="1">_xll.BDH($C$553,"GEO_GROW_CASH_OPER_ACT","FQ4 2016","FQ4 2016","Currency=INR","Period=FQ","BEST_FPERIOD_OVERRIDE=FQ","FILING_STATUS=OR","EQY_CONSOLIDATED=Y","Sort=A","Dates=H","DateFormat=P","Fill=—","Direction=H","UseDPDF=Y")</f>
        <v>#NAME?</v>
      </c>
      <c r="BF567" s="1" t="e">
        <f ca="1">_xll.BDH($C$553,"REVENUE_SEQUENTIAL_GROWTH","FQ4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67" s="1" t="e">
        <f ca="1">_xll.BDH($C$553,"EBITDA_SEQUENTIAL_GROWTH","FQ4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67" s="1" t="e">
        <f ca="1">_xll.BDH($C$553,"OPERATING_INCOME_SEQ_GROWTH","FQ4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67" s="1" t="e">
        <f ca="1">_xll.BDH($C$553,"NET_INCOME_TO_COMMON_SEQ_GROWTH","FQ4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67" s="1" t="e">
        <f ca="1">_xll.BDH($C$553,"EPS_DILUTED_SEQUENTIAL_GROWTH","FQ4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67" s="1" t="e">
        <f ca="1">_xll.BDH($C$553,"DPS_SEQUENTIAL_GROWTH","FQ4 2016","FQ4 2016","Currency=INR","Period=FQ","BEST_FPERIOD_OVERRIDE=FQ","FILING_STATUS=OR","EQY_CONSOLIDATED=Y","Sort=A","Dates=H","DateFormat=P","Fill=—","Direction=H","UseDPDF=Y")</f>
        <v>#NAME?</v>
      </c>
      <c r="BL567" s="1" t="e">
        <f ca="1">_xll.BDH($C$553,"ACCOUNTS_RECEIVABLE_SEQ_GROWTH","FQ4 2016","FQ4 2016","Currency=INR","Period=FQ","BEST_FPERIOD_OVERRIDE=FQ","FILING_STATUS=OR","EQY_CONSOLIDATED=Y","Sort=A","Dates=H","DateFormat=P","Fill=—","Direction=H","UseDPDF=Y")</f>
        <v>#NAME?</v>
      </c>
      <c r="BM567" s="1" t="e">
        <f ca="1">_xll.BDH($C$553,"INVENTORY_SEQUENTIAL_GROWTH","FQ4 2016","FQ4 2016","Currency=INR","Period=FQ","BEST_FPERIOD_OVERRIDE=FQ","FILING_STATUS=OR","EQY_CONSOLIDATED=Y","Sort=A","Dates=H","DateFormat=P","Fill=—","Direction=H","UseDPDF=Y")</f>
        <v>#NAME?</v>
      </c>
      <c r="BN567" s="1" t="e">
        <f ca="1">_xll.BDH($C$553,"FIXED_ASSETS_SEQUENTIAL_GROWTH","FQ4 2016","FQ4 2016","Currency=INR","Period=FQ","BEST_FPERIOD_OVERRIDE=FQ","FILING_STATUS=OR","EQY_CONSOLIDATED=Y","Sort=A","Dates=H","DateFormat=P","Fill=—","Direction=H","UseDPDF=Y")</f>
        <v>#NAME?</v>
      </c>
      <c r="BO567" s="1" t="e">
        <f ca="1">_xll.BDH($C$553,"TOTAL_ASSETS_SEQUENTIAL_GROWTH","FQ4 2016","FQ4 2016","Currency=INR","Period=FQ","BEST_FPERIOD_OVERRIDE=FQ","FILING_STATUS=OR","EQY_CONSOLIDATED=Y","Sort=A","Dates=H","DateFormat=P","Fill=—","Direction=H","UseDPDF=Y")</f>
        <v>#NAME?</v>
      </c>
      <c r="BP567" s="1" t="e">
        <f ca="1">_xll.BDH($C$553,"MODIFIED_WORKING_CPTL_SEQ_GRWTH","FQ4 2016","FQ4 2016","Currency=INR","Period=FQ","BEST_FPERIOD_OVERRIDE=FQ","FILING_STATUS=OR","EQY_CONSOLIDATED=Y","Sort=A","Dates=H","DateFormat=P","Fill=—","Direction=H","UseDPDF=Y")</f>
        <v>#NAME?</v>
      </c>
      <c r="BQ567" s="1" t="e">
        <f ca="1">_xll.BDH($C$553,"WORKING_CAPITAL_SEQ_GROWTH","FQ4 2016","FQ4 2016","Currency=INR","Period=FQ","BEST_FPERIOD_OVERRIDE=FQ","FILING_STATUS=OR","EQY_CONSOLIDATED=Y","Sort=A","Dates=H","DateFormat=P","Fill=—","Direction=H","UseDPDF=Y")</f>
        <v>#NAME?</v>
      </c>
      <c r="BR567" s="1" t="e">
        <f ca="1">_xll.BDH($C$553,"ACCOUNTS_PAYABLE_SEQ_GROWTH","FQ4 2016","FQ4 2016","Currency=INR","Period=FQ","BEST_FPERIOD_OVERRIDE=FQ","FILING_STATUS=OR","EQY_CONSOLIDATED=Y","Sort=A","Dates=H","DateFormat=P","Fill=—","Direction=H","UseDPDF=Y")</f>
        <v>#NAME?</v>
      </c>
      <c r="BS567" s="1" t="e">
        <f ca="1">_xll.BDH($C$553,"ST_DEBT_SEQUENTIAL_GROWTH","FQ4 2016","FQ4 2016","Currency=INR","Period=FQ","BEST_FPERIOD_OVERRIDE=FQ","FILING_STATUS=OR","EQY_CONSOLIDATED=Y","Sort=A","Dates=H","DateFormat=P","Fill=—","Direction=H","UseDPDF=Y")</f>
        <v>#NAME?</v>
      </c>
      <c r="BT567" s="1" t="e">
        <f ca="1">_xll.BDH($C$553,"TOTAL_DEBT_SEQUENTIAL_GROWTH","FQ4 2016","FQ4 2016","Currency=INR","Period=FQ","BEST_FPERIOD_OVERRIDE=FQ","FILING_STATUS=OR","EQY_CONSOLIDATED=Y","Sort=A","Dates=H","DateFormat=P","Fill=—","Direction=H","UseDPDF=Y")</f>
        <v>#NAME?</v>
      </c>
      <c r="BU567" s="1" t="e">
        <f ca="1">_xll.BDH($C$553,"TOTAL_EQUITY_SEQUENTIAL_GROWTH","FQ4 2016","FQ4 2016","Currency=INR","Period=FQ","BEST_FPERIOD_OVERRIDE=FQ","FILING_STATUS=OR","EQY_CONSOLIDATED=Y","Sort=A","Dates=H","DateFormat=P","Fill=—","Direction=H","UseDPDF=Y")</f>
        <v>#NAME?</v>
      </c>
      <c r="BV567" s="1" t="e">
        <f ca="1">_xll.BDH($C$553,"TOTAL_CAPITAL_SEQUENTIAL_GROWTH","FQ4 2016","FQ4 2016","Currency=INR","Period=FQ","BEST_FPERIOD_OVERRIDE=FQ","FILING_STATUS=OR","EQY_CONSOLIDATED=Y","Sort=A","Dates=H","DateFormat=P","Fill=—","Direction=H","UseDPDF=Y")</f>
        <v>#NAME?</v>
      </c>
      <c r="BW567" s="1" t="e">
        <f ca="1">_xll.BDH($C$553,"BPS_SEQUENTIAL_GROWTH","FQ4 2016","FQ4 2016","Currency=INR","Period=FQ","BEST_FPERIOD_OVERRIDE=FQ","FILING_STATUS=OR","EQY_CONSOLIDATED=Y","Sort=A","Dates=H","DateFormat=P","Fill=—","Direction=H","UseDPDF=Y")</f>
        <v>#NAME?</v>
      </c>
      <c r="BX567" s="1" t="e">
        <f ca="1">_xll.BDH($C$553,"CFO_SEQUENTIAL_GROWTH","FQ4 2016","FQ4 2016","Currency=INR","Period=FQ","BEST_FPERIOD_OVERRIDE=FQ","FILING_STATUS=OR","EQY_CONSOLIDATED=Y","Sort=A","Dates=H","DateFormat=P","Fill=—","Direction=H","UseDPDF=Y")</f>
        <v>#NAME?</v>
      </c>
      <c r="BY567" s="2" t="e">
        <f ca="1">_xll.BDH($C$553,"SHORT_AND_LONG_TERM_DEBT","FQ4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67" s="2" t="e">
        <f ca="1">_xll.BDH($C$553,"BS_ST_BORROW","FQ4 2016","FQ4 2016","Currency=INR","Period=FQ","BEST_FPERIOD_OVERRIDE=FQ","FILING_STATUS=OR","EQY_CONSOLIDATED=Y","SCALING_FORMAT=MLN","Sort=A","Dates=H","DateFormat=P","Fill=—","Direction=H","UseDPDF=Y")</f>
        <v>#NAME?</v>
      </c>
      <c r="CA567" s="2" t="e">
        <f ca="1">_xll.BDH($C$553,"BS_LT_BORROW","FQ4 2016","FQ4 2016","Currency=INR","Period=FQ","BEST_FPERIOD_OVERRIDE=FQ","FILING_STATUS=OR","EQY_CONSOLIDATED=Y","SCALING_FORMAT=MLN","Sort=A","Dates=H","DateFormat=P","Fill=—","Direction=H","UseDPDF=Y")</f>
        <v>#NAME?</v>
      </c>
      <c r="CB567" s="1" t="e">
        <f ca="1">_xll.BDH($C$553,"TOT_DEBT_TO_EBITDA","FQ4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67" s="1" t="e">
        <f ca="1">_xll.BDH($C$553,"NET_DEBT_TO_EBITDA","FQ4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67" s="1" t="e">
        <f ca="1">_xll.BDH($C$553,"TOTAL_DEBT_TO_EBIT","FQ4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67" s="1" t="e">
        <f ca="1">_xll.BDH($C$553,"NET_DEBT_TO_EBIT","FQ4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567" s="1" t="e">
        <f ca="1">_xll.BDH($C$553,"EBITDA_TO_INTEREST_EXPN","FQ4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67" s="1" t="e">
        <f ca="1">_xll.BDH($C$553,"COM_EQY_TO_TOT_ASSET","FQ4 2016","FQ4 2016","Currency=INR","Period=FQ","BEST_FPERIOD_OVERRIDE=FQ","FILING_STATUS=OR","EQY_CONSOLIDATED=Y","Sort=A","Dates=H","DateFormat=P","Fill=—","Direction=H","UseDPDF=Y")</f>
        <v>#NAME?</v>
      </c>
      <c r="CH567" s="1" t="e">
        <f ca="1">_xll.BDH($C$553,"LT_DEBT_TO_TOT_EQY","FQ4 2016","FQ4 2016","Currency=INR","Period=FQ","BEST_FPERIOD_OVERRIDE=FQ","FILING_STATUS=OR","EQY_CONSOLIDATED=Y","Sort=A","Dates=H","DateFormat=P","Fill=—","Direction=H","UseDPDF=Y")</f>
        <v>#NAME?</v>
      </c>
      <c r="CI567" s="1" t="e">
        <f ca="1">_xll.BDH($C$553,"LT_DEBT_TO_TOT_CAP","FQ4 2016","FQ4 2016","Currency=INR","Period=FQ","BEST_FPERIOD_OVERRIDE=FQ","FILING_STATUS=OR","EQY_CONSOLIDATED=Y","Sort=A","Dates=H","DateFormat=P","Fill=—","Direction=H","UseDPDF=Y")</f>
        <v>#NAME?</v>
      </c>
      <c r="CJ567" s="1" t="e">
        <f ca="1">_xll.BDH($C$553,"LT_DEBT_TO_TOT_ASSET","FQ4 2016","FQ4 2016","Currency=INR","Period=FQ","BEST_FPERIOD_OVERRIDE=FQ","FILING_STATUS=OR","EQY_CONSOLIDATED=Y","Sort=A","Dates=H","DateFormat=P","Fill=—","Direction=H","UseDPDF=Y")</f>
        <v>#NAME?</v>
      </c>
      <c r="CK567" s="1" t="e">
        <f ca="1">_xll.BDH($C$553,"TOT_DEBT_TO_TOT_EQY","FQ4 2016","FQ4 2016","Currency=INR","Period=FQ","BEST_FPERIOD_OVERRIDE=FQ","FILING_STATUS=OR","EQY_CONSOLIDATED=Y","Sort=A","Dates=H","DateFormat=P","Fill=—","Direction=H","UseDPDF=Y")</f>
        <v>#NAME?</v>
      </c>
      <c r="CL567" s="1" t="e">
        <f ca="1">_xll.BDH($C$553,"TOT_DEBT_TO_TOT_CAP","FQ4 2016","FQ4 2016","Currency=INR","Period=FQ","BEST_FPERIOD_OVERRIDE=FQ","FILING_STATUS=OR","EQY_CONSOLIDATED=Y","Sort=A","Dates=H","DateFormat=P","Fill=—","Direction=H","UseDPDF=Y")</f>
        <v>#NAME?</v>
      </c>
      <c r="CM567" s="1" t="e">
        <f ca="1">_xll.BDH($C$553,"TOT_DEBT_TO_TOT_ASSET","FQ4 2016","FQ4 2016","Currency=INR","Period=FQ","BEST_FPERIOD_OVERRIDE=FQ","FILING_STATUS=OR","EQY_CONSOLIDATED=Y","Sort=A","Dates=H","DateFormat=P","Fill=—","Direction=H","UseDPDF=Y")</f>
        <v>#NAME?</v>
      </c>
      <c r="CN567" s="1" t="e">
        <f ca="1">_xll.BDH($C$553,"NET_DEBT_TO_SHRHLDR_EQTY","FQ4 2016","FQ4 2016","Currency=INR","Period=FQ","BEST_FPERIOD_OVERRIDE=FQ","FILING_STATUS=OR","EQY_CONSOLIDATED=Y","Sort=A","Dates=H","DateFormat=P","Fill=—","Direction=H","UseDPDF=Y")</f>
        <v>#NAME?</v>
      </c>
      <c r="CO567" s="1" t="e">
        <f ca="1">_xll.BDH($C$553,"NET_DEBT_%_CAPITAL","FQ4 2016","FQ4 2016","Currency=INR","Period=FQ","BEST_FPERIOD_OVERRIDE=FQ","FILING_STATUS=OR","EQY_CONSOLIDATED=Y","Sort=A","Dates=H","DateFormat=P","Fill=—","Direction=H","UseDPDF=Y")</f>
        <v>#NAME?</v>
      </c>
      <c r="CP567" s="2" t="e">
        <f ca="1">_xll.BDH($C$553,"EBITDA","FQ4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67" s="2" t="e">
        <f ca="1">_xll.BDH($C$553,"EBITDA_AFTER_CAPEX","FQ4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67" s="2" t="e">
        <f ca="1">_xll.BDH($C$553,"IS_OPER_INC","FQ4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67" s="1" t="e">
        <f ca="1">_xll.BDH($C$553,"CASH_RATIO","FQ4 2016","FQ4 2016","Currency=INR","Period=FQ","BEST_FPERIOD_OVERRIDE=FQ","FILING_STATUS=OR","EQY_CONSOLIDATED=Y","Sort=A","Dates=H","DateFormat=P","Fill=—","Direction=H","UseDPDF=Y")</f>
        <v>#NAME?</v>
      </c>
      <c r="CT567" s="1" t="e">
        <f ca="1">_xll.BDH($C$553,"CUR_RATIO","FQ4 2016","FQ4 2016","Currency=INR","Period=FQ","BEST_FPERIOD_OVERRIDE=FQ","FILING_STATUS=OR","EQY_CONSOLIDATED=Y","Sort=A","Dates=H","DateFormat=P","Fill=—","Direction=H","UseDPDF=Y")</f>
        <v>#NAME?</v>
      </c>
      <c r="CU567" s="1" t="e">
        <f ca="1">_xll.BDH($C$553,"QUICK_RATIO","FQ4 2016","FQ4 2016","Currency=INR","Period=FQ","BEST_FPERIOD_OVERRIDE=FQ","FILING_STATUS=OR","EQY_CONSOLIDATED=Y","Sort=A","Dates=H","DateFormat=P","Fill=—","Direction=H","UseDPDF=Y")</f>
        <v>#NAME?</v>
      </c>
      <c r="CV567" s="1" t="e">
        <f ca="1">_xll.BDH($C$553,"ALTMAN_Z_SCORE","FQ4 2016","FQ4 2016","Currency=INR","Period=FQ","BEST_FPERIOD_OVERRIDE=FQ","FILING_STATUS=OR","EQY_CONSOLIDATED=Y","Sort=A","Dates=H","DateFormat=P","Fill=—","Direction=H","UseDPDF=Y")</f>
        <v>#NAME?</v>
      </c>
      <c r="CW567" s="3" t="e">
        <f ca="1">_xll.BDH($C$553,"ACCT_RCV_TURN","FQ4 2016","FQ4 2016","Currency=INR","Period=FQ","BEST_FPERIOD_OVERRIDE=FQ","FILING_STATUS=OR","EQY_CONSOLIDATED=Y","FA_ADJUSTED=GAAP","Sort=A","Dates=H","DateFormat=P","Fill=—","Direction=H","UseDPDF=Y")</f>
        <v>#NAME?</v>
      </c>
      <c r="CX567" s="1" t="e">
        <f ca="1">_xll.BDH($C$553,"ACCT_RCV_DAYS","FQ4 2016","FQ4 2016","Currency=INR","Period=FQ","BEST_FPERIOD_OVERRIDE=FQ","FILING_STATUS=OR","EQY_CONSOLIDATED=Y","FA_ADJUSTED=GAAP","Sort=A","Dates=H","DateFormat=P","Fill=—","Direction=H","UseDPDF=Y")</f>
        <v>#NAME?</v>
      </c>
      <c r="CY567" s="3" t="e">
        <f ca="1">_xll.BDH($C$553,"INVENT_TURN","FQ4 2016","FQ4 2016","Currency=INR","Period=FQ","BEST_FPERIOD_OVERRIDE=FQ","FILING_STATUS=OR","EQY_CONSOLIDATED=Y","FA_ADJUSTED=GAAP","Sort=A","Dates=H","DateFormat=P","Fill=—","Direction=H","UseDPDF=Y")</f>
        <v>#NAME?</v>
      </c>
      <c r="CZ567" s="1" t="e">
        <f ca="1">_xll.BDH($C$553,"INVENT_DAYS","FQ4 2016","FQ4 2016","Currency=INR","Period=FQ","BEST_FPERIOD_OVERRIDE=FQ","FILING_STATUS=OR","EQY_CONSOLIDATED=Y","FA_ADJUSTED=GAAP","Sort=A","Dates=H","DateFormat=P","Fill=—","Direction=H","UseDPDF=Y")</f>
        <v>#NAME?</v>
      </c>
      <c r="DA567" s="3" t="e">
        <f ca="1">_xll.BDH($C$553,"ACCOUNTS_PAYABLE_TURNOVER","FQ4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67" s="1" t="e">
        <f ca="1">_xll.BDH($C$553,"ACCOUNTS_PAYABLE_TURNOVER_DAYS","FQ4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67" s="3" t="e">
        <f ca="1">_xll.BDH($C$553,"CASH_CONVERSION_CYCLE","FQ4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67" s="3" t="e">
        <f ca="1">_xll.BDH($C$553,"INV_TO_CASH_DAYS","FQ4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567" s="4" t="e">
        <f ca="1">_xll.BDH($C$553,"BS_INVENTORIES","FQ4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567" s="2" t="e">
        <f ca="1">_xll.BDH($C$553,"INVTRY_RAW_MATERIALS","FQ4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67" s="2" t="e">
        <f ca="1">_xll.BDH($C$553,"INVTRY_IN_PROGRESS","FQ4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67" s="2" t="e">
        <f ca="1">_xll.BDH($C$553,"INVTRY_FINISHED_GOODS","FQ4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67" s="2" t="e">
        <f ca="1">_xll.BDH($C$553,"BS_OTHER_INV","FQ4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68" spans="1:113" x14ac:dyDescent="0.3">
      <c r="A568" s="6"/>
      <c r="B568" s="6"/>
      <c r="C568" s="6"/>
      <c r="D568" s="6" t="s">
        <v>10</v>
      </c>
      <c r="E568" t="s">
        <v>3</v>
      </c>
      <c r="F568" t="e">
        <f ca="1">_xll.BDH($C$553,"RETURN_COM_EQY","FY 2017","FY 2017","Currency=INR","Period=FY","BEST_FPERIOD_OVERRIDE=FY","FILING_STATUS=OR","EQY_CONSOLIDATED=Y","FA_ADJUSTED=GAAP","Sort=A","Dates=H","DateFormat=P","Fill=—","Direction=H","UseDPDF=Y")</f>
        <v>#NAME?</v>
      </c>
      <c r="G568" t="e">
        <f ca="1">_xll.BDH($C$553,"RETURN_ON_ASSET","FY 2017","FY 2017","Currency=INR","Period=FY","BEST_FPERIOD_OVERRIDE=FY","FILING_STATUS=OR","EQY_CONSOLIDATED=Y","FA_ADJUSTED=GAAP","Sort=A","Dates=H","DateFormat=P","Fill=—","Direction=H","UseDPDF=Y")</f>
        <v>#NAME?</v>
      </c>
      <c r="H568" t="e">
        <f ca="1">_xll.BDH($C$553,"RETURN_ON_CAP","FY 2017","FY 2017","Currency=INR","Period=FY","BEST_FPERIOD_OVERRIDE=FY","FILING_STATUS=OR","EQY_CONSOLIDATED=Y","FA_ADJUSTED=GAAP","Sort=A","Dates=H","DateFormat=P","Fill=—","Direction=H","UseDPDF=Y")</f>
        <v>#NAME?</v>
      </c>
      <c r="I568" t="e">
        <f ca="1">_xll.BDH($C$553,"RETURN_ON_INV_CAPITAL","FY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68" t="e">
        <f ca="1">_xll.BDH($C$553,"EBITDA_TO_REVENUE","FY 2017","FY 2017","Currency=INR","Period=FY","BEST_FPERIOD_OVERRIDE=FY","FILING_STATUS=OR","EQY_CONSOLIDATED=Y","FA_ADJUSTED=GAAP","Sort=A","Dates=H","DateFormat=P","Fill=—","Direction=H","UseDPDF=Y")</f>
        <v>#NAME?</v>
      </c>
      <c r="K568" t="e">
        <f ca="1">_xll.BDH($C$553,"OPER_MARGIN","FY 2017","FY 2017","Currency=INR","Period=FY","BEST_FPERIOD_OVERRIDE=FY","FILING_STATUS=OR","EQY_CONSOLIDATED=Y","FA_ADJUSTED=GAAP","Sort=A","Dates=H","DateFormat=P","Fill=—","Direction=H","UseDPDF=Y")</f>
        <v>#NAME?</v>
      </c>
      <c r="L568" t="e">
        <f ca="1">_xll.BDH($C$553,"INCREMENTAL_OPERATING_MARGIN","FY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68" t="e">
        <f ca="1">_xll.BDH($C$553,"PRETAX_INC_TO_NET_SALES","FY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68" t="e">
        <f ca="1">_xll.BDH($C$553,"INC_BEF_XO_ITEMS_TO_NET_SALES","FY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68" t="e">
        <f ca="1">_xll.BDH($C$553,"PROF_MARGIN","FY 2017","FY 2017","Currency=INR","Period=FY","BEST_FPERIOD_OVERRIDE=FY","FILING_STATUS=OR","EQY_CONSOLIDATED=Y","FA_ADJUSTED=GAAP","Sort=A","Dates=H","DateFormat=P","Fill=—","Direction=H","UseDPDF=Y")</f>
        <v>#NAME?</v>
      </c>
      <c r="P568" t="e">
        <f ca="1">_xll.BDH($C$553,"NET_INCOME_TO_COMMON_MARGIN","FY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68" t="e">
        <f ca="1">_xll.BDH($C$553,"EFF_TAX_RATE","FY 2017","FY 2017","Currency=INR","Period=FY","BEST_FPERIOD_OVERRIDE=FY","FILING_STATUS=OR","EQY_CONSOLIDATED=Y","FA_ADJUSTED=GAAP","Sort=A","Dates=H","DateFormat=P","Fill=—","Direction=H","UseDPDF=Y")</f>
        <v>#NAME?</v>
      </c>
      <c r="R568" t="e">
        <f ca="1">_xll.BDH($C$553,"DVD_PAYOUT_RATIO","FY 2017","FY 2017","Currency=INR","Period=FY","BEST_FPERIOD_OVERRIDE=FY","FILING_STATUS=OR","EQY_CONSOLIDATED=Y","FA_ADJUSTED=GAAP","Sort=A","Dates=H","DateFormat=P","Fill=—","Direction=H","UseDPDF=Y")</f>
        <v>#NAME?</v>
      </c>
      <c r="S568" t="e">
        <f ca="1">_xll.BDH($C$553,"SUSTAIN_GROWTH_RT","FY 2017","FY 2017","Currency=INR","Period=FY","BEST_FPERIOD_OVERRIDE=FY","FILING_STATUS=OR","EQY_CONSOLIDATED=Y","FA_ADJUSTED=GAAP","Sort=A","Dates=H","DateFormat=P","Fill=—","Direction=H","UseDPDF=Y")</f>
        <v>#NAME?</v>
      </c>
      <c r="T568" s="1" t="e">
        <f ca="1">_xll.BDH($C$553,"SALES_GROWTH","FY 2017","FY 2017","Currency=INR","Period=FY","BEST_FPERIOD_OVERRIDE=FY","FILING_STATUS=OR","EQY_CONSOLIDATED=Y","FA_ADJUSTED=GAAP","Sort=A","Dates=H","DateFormat=P","Fill=—","Direction=H","UseDPDF=Y")</f>
        <v>#NAME?</v>
      </c>
      <c r="U568" s="1" t="e">
        <f ca="1">_xll.BDH($C$553,"EBITDA_GROWTH","FY 2017","FY 2017","Currency=INR","Period=FY","BEST_FPERIOD_OVERRIDE=FY","FILING_STATUS=OR","EQY_CONSOLIDATED=Y","FA_ADJUSTED=GAAP","Sort=A","Dates=H","DateFormat=P","Fill=—","Direction=H","UseDPDF=Y")</f>
        <v>#NAME?</v>
      </c>
      <c r="V568" s="1" t="e">
        <f ca="1">_xll.BDH($C$553,"OPER_INC_GROWTH","FY 2017","FY 2017","Currency=INR","Period=FY","BEST_FPERIOD_OVERRIDE=FY","FILING_STATUS=OR","EQY_CONSOLIDATED=Y","FA_ADJUSTED=GAAP","Sort=A","Dates=H","DateFormat=P","Fill=—","Direction=H","UseDPDF=Y")</f>
        <v>#NAME?</v>
      </c>
      <c r="W568" s="1" t="e">
        <f ca="1">_xll.BDH($C$553,"EARN_FOR_COM_GROWTH","FY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568" s="1" t="e">
        <f ca="1">_xll.BDH($C$553,"DILUTED_EPS_AFT_XO_ITEMS_GROWTH","FY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68" s="1" t="e">
        <f ca="1">_xll.BDH($C$553,"DIVIDEND_PER_SHARE_1_YEAR_GROWTH","FY 2017","FY 2017","Currency=INR","Period=FY","BEST_FPERIOD_OVERRIDE=FY","FILING_STATUS=OR","EQY_CONSOLIDATED=Y","Sort=A","Dates=H","DateFormat=P","Fill=—","Direction=H","UseDPDF=Y")</f>
        <v>#NAME?</v>
      </c>
      <c r="Z568" s="1" t="e">
        <f ca="1">_xll.BDH($C$553,"ACCOUNTS_RECEIVABLE_GROWTH","FY 2017","FY 2017","Currency=INR","Period=FY","BEST_FPERIOD_OVERRIDE=FY","FILING_STATUS=OR","EQY_CONSOLIDATED=Y","Sort=A","Dates=H","DateFormat=P","Fill=—","Direction=H","UseDPDF=Y")</f>
        <v>#NAME?</v>
      </c>
      <c r="AA568" s="1" t="e">
        <f ca="1">_xll.BDH($C$553,"INVENTORY_GROWTH","FY 2017","FY 2017","Currency=INR","Period=FY","BEST_FPERIOD_OVERRIDE=FY","FILING_STATUS=OR","EQY_CONSOLIDATED=Y","Sort=A","Dates=H","DateFormat=P","Fill=—","Direction=H","UseDPDF=Y")</f>
        <v>#NAME?</v>
      </c>
      <c r="AB568" s="1" t="e">
        <f ca="1">_xll.BDH($C$553,"NET_FIXED_ASSETS_1_YEAR_GROWTH","FY 2017","FY 2017","Currency=INR","Period=FY","BEST_FPERIOD_OVERRIDE=FY","FILING_STATUS=OR","EQY_CONSOLIDATED=Y","Sort=A","Dates=H","DateFormat=P","Fill=—","Direction=H","UseDPDF=Y")</f>
        <v>#NAME?</v>
      </c>
      <c r="AC568" s="1" t="e">
        <f ca="1">_xll.BDH($C$553,"ASSET_GROWTH","FY 2017","FY 2017","Currency=INR","Period=FY","BEST_FPERIOD_OVERRIDE=FY","FILING_STATUS=OR","EQY_CONSOLIDATED=Y","Sort=A","Dates=H","DateFormat=P","Fill=—","Direction=H","UseDPDF=Y")</f>
        <v>#NAME?</v>
      </c>
      <c r="AD568" s="1" t="e">
        <f ca="1">_xll.BDH($C$553,"MODIFIED_WORK_CAP_GROWTH","FY 2017","FY 2017","Currency=INR","Period=FY","BEST_FPERIOD_OVERRIDE=FY","FILING_STATUS=OR","EQY_CONSOLIDATED=Y","Sort=A","Dates=H","DateFormat=P","Fill=—","Direction=H","UseDPDF=Y")</f>
        <v>#NAME?</v>
      </c>
      <c r="AE568" s="1" t="e">
        <f ca="1">_xll.BDH($C$553,"WORK_CAP_GROWTH","FY 2017","FY 2017","Currency=INR","Period=FY","BEST_FPERIOD_OVERRIDE=FY","FILING_STATUS=OR","EQY_CONSOLIDATED=Y","Sort=A","Dates=H","DateFormat=P","Fill=—","Direction=H","UseDPDF=Y")</f>
        <v>#NAME?</v>
      </c>
      <c r="AF568" s="1" t="e">
        <f ca="1">_xll.BDH($C$553,"ACCOUNTS_PAYABLE_GROWTH_1YR","FY 2017","FY 2017","Currency=INR","Period=FY","BEST_FPERIOD_OVERRIDE=FY","FILING_STATUS=OR","EQY_CONSOLIDATED=Y","Sort=A","Dates=H","DateFormat=P","Fill=—","Direction=H","UseDPDF=Y")</f>
        <v>#NAME?</v>
      </c>
      <c r="AG568" s="1" t="e">
        <f ca="1">_xll.BDH($C$553,"SHORT_TERM_DEBT_1_YEAR_GROWTH","FY 2017","FY 2017","Currency=INR","Period=FY","BEST_FPERIOD_OVERRIDE=FY","FILING_STATUS=OR","EQY_CONSOLIDATED=Y","Sort=A","Dates=H","DateFormat=P","Fill=—","Direction=H","UseDPDF=Y")</f>
        <v>#NAME?</v>
      </c>
      <c r="AH568" s="1" t="e">
        <f ca="1">_xll.BDH($C$553,"TOTAL_DEBT_1_YEAR_GROWTH","FY 2017","FY 2017","Currency=INR","Period=FY","BEST_FPERIOD_OVERRIDE=FY","FILING_STATUS=OR","EQY_CONSOLIDATED=Y","Sort=A","Dates=H","DateFormat=P","Fill=—","Direction=H","UseDPDF=Y")</f>
        <v>#NAME?</v>
      </c>
      <c r="AI568" s="1" t="e">
        <f ca="1">_xll.BDH($C$553,"TOTAL_EQUITY_1_YEAR_GROWTH","FY 2017","FY 2017","Currency=INR","Period=FY","BEST_FPERIOD_OVERRIDE=FY","FILING_STATUS=OR","EQY_CONSOLIDATED=Y","Sort=A","Dates=H","DateFormat=P","Fill=—","Direction=H","UseDPDF=Y")</f>
        <v>#NAME?</v>
      </c>
      <c r="AJ568" s="1" t="e">
        <f ca="1">_xll.BDH($C$553,"GROWTH_IN_CAP","FY 2017","FY 2017","Currency=INR","Period=FY","BEST_FPERIOD_OVERRIDE=FY","FILING_STATUS=OR","EQY_CONSOLIDATED=Y","Sort=A","Dates=H","DateFormat=P","Fill=—","Direction=H","UseDPDF=Y")</f>
        <v>#NAME?</v>
      </c>
      <c r="AK568" s="1" t="e">
        <f ca="1">_xll.BDH($C$553,"BVPS_GROWTH","FY 2017","FY 2017","Currency=INR","Period=FY","BEST_FPERIOD_OVERRIDE=FY","FILING_STATUS=OR","EQY_CONSOLIDATED=Y","Sort=A","Dates=H","DateFormat=P","Fill=—","Direction=H","UseDPDF=Y")</f>
        <v>#NAME?</v>
      </c>
      <c r="AL568" s="1" t="e">
        <f ca="1">_xll.BDH($C$553,"CASH_FLOW_GROWTH","FY 2017","FY 2017","Currency=INR","Period=FY","BEST_FPERIOD_OVERRIDE=FY","FILING_STATUS=OR","EQY_CONSOLIDATED=Y","Sort=A","Dates=H","DateFormat=P","Fill=—","Direction=H","UseDPDF=Y")</f>
        <v>#NAME?</v>
      </c>
      <c r="AM568" s="1" t="e">
        <f ca="1">_xll.BDH($C$553,"GEO_GROW_NET_SALES","FY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568" s="1" t="e">
        <f ca="1">_xll.BDH($C$553,"GEO_GROW_EBITDA","FY 2017","FY 2017","Currency=INR","Period=FY","BEST_FPERIOD_OVERRIDE=FY","FILING_STATUS=OR","EQY_CONSOLIDATED=Y","FA_ADJUSTED=GAAP","Sort=A","Dates=H","DateFormat=P","Fill=—","Direction=H","UseDPDF=Y")</f>
        <v>#NAME?</v>
      </c>
      <c r="AO568" s="1" t="e">
        <f ca="1">_xll.BDH($C$553,"GEO_GROW_OPER_INC","FY 2017","FY 2017","Currency=INR","Period=FY","BEST_FPERIOD_OVERRIDE=FY","FILING_STATUS=OR","EQY_CONSOLIDATED=Y","FA_ADJUSTED=GAAP","Sort=A","Dates=H","DateFormat=P","Fill=—","Direction=H","UseDPDF=Y")</f>
        <v>#NAME?</v>
      </c>
      <c r="AP568" s="1" t="e">
        <f ca="1">_xll.BDH($C$553,"NET_INCOME_TO_COMMON_5_YR_GROWTH","FY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68" s="1" t="e">
        <f ca="1">_xll.BDH($C$553,"5Y_GEO_GROWTH_DILUTED_EPS","FY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68" s="1" t="e">
        <f ca="1">_xll.BDH($C$553,"GEO_GROW_DVD_PER_SH","FY 2017","FY 2017","Currency=INR","Period=FY","BEST_FPERIOD_OVERRIDE=FY","FILING_STATUS=OR","EQY_CONSOLIDATED=Y","Sort=A","Dates=H","DateFormat=P","Fill=—","Direction=H","UseDPDF=Y")</f>
        <v>#NAME?</v>
      </c>
      <c r="AS568" s="1" t="e">
        <f ca="1">_xll.BDH($C$553,"ACCOUNTS_RECEIVABLE_5_YR_GROWTH","FY 2017","FY 2017","Currency=INR","Period=FY","BEST_FPERIOD_OVERRIDE=FY","FILING_STATUS=OR","EQY_CONSOLIDATED=Y","Sort=A","Dates=H","DateFormat=P","Fill=—","Direction=H","UseDPDF=Y")</f>
        <v>#NAME?</v>
      </c>
      <c r="AT568" s="1" t="e">
        <f ca="1">_xll.BDH($C$553,"INVENTORY_5_YEAR_GROWTH","FY 2017","FY 2017","Currency=INR","Period=FY","BEST_FPERIOD_OVERRIDE=FY","FILING_STATUS=OR","EQY_CONSOLIDATED=Y","Sort=A","Dates=H","DateFormat=P","Fill=—","Direction=H","UseDPDF=Y")</f>
        <v>#NAME?</v>
      </c>
      <c r="AU568" s="1" t="e">
        <f ca="1">_xll.BDH($C$553,"NET_FIXED_ASSETS_5_YEAR_GROWTH","FY 2017","FY 2017","Currency=INR","Period=FY","BEST_FPERIOD_OVERRIDE=FY","FILING_STATUS=OR","EQY_CONSOLIDATED=Y","Sort=A","Dates=H","DateFormat=P","Fill=—","Direction=H","UseDPDF=Y")</f>
        <v>#NAME?</v>
      </c>
      <c r="AV568" s="1" t="e">
        <f ca="1">_xll.BDH($C$553,"GEO_GROW_TOT_ASSET","FY 2017","FY 2017","Currency=INR","Period=FY","BEST_FPERIOD_OVERRIDE=FY","FILING_STATUS=OR","EQY_CONSOLIDATED=Y","Sort=A","Dates=H","DateFormat=P","Fill=—","Direction=H","UseDPDF=Y")</f>
        <v>#NAME?</v>
      </c>
      <c r="AW568" s="1" t="e">
        <f ca="1">_xll.BDH($C$553,"MODIFIED_WORKING_CPTL_5YR_GRWTH","FY 2017","FY 2017","Currency=INR","Period=FY","BEST_FPERIOD_OVERRIDE=FY","FILING_STATUS=OR","EQY_CONSOLIDATED=Y","Sort=A","Dates=H","DateFormat=P","Fill=—","Direction=H","UseDPDF=Y")</f>
        <v>#NAME?</v>
      </c>
      <c r="AX568" s="1" t="e">
        <f ca="1">_xll.BDH($C$553,"WORKING_CAPITAL_5_YEAR_GROWTH","FY 2017","FY 2017","Currency=INR","Period=FY","BEST_FPERIOD_OVERRIDE=FY","FILING_STATUS=OR","EQY_CONSOLIDATED=Y","Sort=A","Dates=H","DateFormat=P","Fill=—","Direction=H","UseDPDF=Y")</f>
        <v>#NAME?</v>
      </c>
      <c r="AY568" s="1" t="e">
        <f ca="1">_xll.BDH($C$553,"ACCOUNTS_PAYABLE_5_YEAR_GROWTH","FY 2017","FY 2017","Currency=INR","Period=FY","BEST_FPERIOD_OVERRIDE=FY","FILING_STATUS=OR","EQY_CONSOLIDATED=Y","Sort=A","Dates=H","DateFormat=P","Fill=—","Direction=H","UseDPDF=Y")</f>
        <v>#NAME?</v>
      </c>
      <c r="AZ568" s="1" t="e">
        <f ca="1">_xll.BDH($C$553,"SHORT_TERM_DEBT_5_YEAR_GROWTH","FY 2017","FY 2017","Currency=INR","Period=FY","BEST_FPERIOD_OVERRIDE=FY","FILING_STATUS=OR","EQY_CONSOLIDATED=Y","Sort=A","Dates=H","DateFormat=P","Fill=—","Direction=H","UseDPDF=Y")</f>
        <v>#NAME?</v>
      </c>
      <c r="BA568" s="1" t="e">
        <f ca="1">_xll.BDH($C$553,"TOTAL_DEBT_5_YEAR_GROWTH","FY 2017","FY 2017","Currency=INR","Period=FY","BEST_FPERIOD_OVERRIDE=FY","FILING_STATUS=OR","EQY_CONSOLIDATED=Y","Sort=A","Dates=H","DateFormat=P","Fill=—","Direction=H","UseDPDF=Y")</f>
        <v>#NAME?</v>
      </c>
      <c r="BB568" s="1" t="e">
        <f ca="1">_xll.BDH($C$553,"GEO_GROW_TOT_SHRHLDR_EQY","FY 2017","FY 2017","Currency=INR","Period=FY","BEST_FPERIOD_OVERRIDE=FY","FILING_STATUS=OR","EQY_CONSOLIDATED=Y","Sort=A","Dates=H","DateFormat=P","Fill=—","Direction=H","UseDPDF=Y")</f>
        <v>#NAME?</v>
      </c>
      <c r="BC568" s="1" t="e">
        <f ca="1">_xll.BDH($C$553,"TOTAL_CAPITAL_5_YEAR_GROWTH","FY 2017","FY 2017","Currency=INR","Period=FY","BEST_FPERIOD_OVERRIDE=FY","FILING_STATUS=OR","EQY_CONSOLIDATED=Y","Sort=A","Dates=H","DateFormat=P","Fill=—","Direction=H","UseDPDF=Y")</f>
        <v>#NAME?</v>
      </c>
      <c r="BD568" s="1" t="e">
        <f ca="1">_xll.BDH($C$553,"GEO_GROW_BOOK_VAL","FY 2017","FY 2017","Currency=INR","Period=FY","BEST_FPERIOD_OVERRIDE=FY","FILING_STATUS=OR","EQY_CONSOLIDATED=Y","Sort=A","Dates=H","DateFormat=P","Fill=—","Direction=H","UseDPDF=Y")</f>
        <v>#NAME?</v>
      </c>
      <c r="BE568" s="1" t="e">
        <f ca="1">_xll.BDH($C$553,"GEO_GROW_CASH_OPER_ACT","FY 2017","FY 2017","Currency=INR","Period=FY","BEST_FPERIOD_OVERRIDE=FY","FILING_STATUS=OR","EQY_CONSOLIDATED=Y","Sort=A","Dates=H","DateFormat=P","Fill=—","Direction=H","UseDPDF=Y")</f>
        <v>#NAME?</v>
      </c>
      <c r="BF568" s="1" t="e">
        <f ca="1">_xll.BDH($C$553,"REVENUE_SEQUENTIAL_GROWTH","FY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68" s="1" t="e">
        <f ca="1">_xll.BDH($C$553,"EBITDA_SEQUENTIAL_GROWTH","FY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68" s="1" t="e">
        <f ca="1">_xll.BDH($C$553,"OPERATING_INCOME_SEQ_GROWTH","FY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68" s="1" t="e">
        <f ca="1">_xll.BDH($C$553,"NET_INCOME_TO_COMMON_SEQ_GROWTH","FY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68" s="1" t="e">
        <f ca="1">_xll.BDH($C$553,"EPS_DILUTED_SEQUENTIAL_GROWTH","FY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68" s="1" t="e">
        <f ca="1">_xll.BDH($C$553,"DPS_SEQUENTIAL_GROWTH","FY 2017","FY 2017","Currency=INR","Period=FY","BEST_FPERIOD_OVERRIDE=FY","FILING_STATUS=OR","EQY_CONSOLIDATED=Y","Sort=A","Dates=H","DateFormat=P","Fill=—","Direction=H","UseDPDF=Y")</f>
        <v>#NAME?</v>
      </c>
      <c r="BL568" s="1" t="e">
        <f ca="1">_xll.BDH($C$553,"ACCOUNTS_RECEIVABLE_SEQ_GROWTH","FY 2017","FY 2017","Currency=INR","Period=FY","BEST_FPERIOD_OVERRIDE=FY","FILING_STATUS=OR","EQY_CONSOLIDATED=Y","Sort=A","Dates=H","DateFormat=P","Fill=—","Direction=H","UseDPDF=Y")</f>
        <v>#NAME?</v>
      </c>
      <c r="BM568" s="1" t="e">
        <f ca="1">_xll.BDH($C$553,"INVENTORY_SEQUENTIAL_GROWTH","FY 2017","FY 2017","Currency=INR","Period=FY","BEST_FPERIOD_OVERRIDE=FY","FILING_STATUS=OR","EQY_CONSOLIDATED=Y","Sort=A","Dates=H","DateFormat=P","Fill=—","Direction=H","UseDPDF=Y")</f>
        <v>#NAME?</v>
      </c>
      <c r="BN568" s="1" t="e">
        <f ca="1">_xll.BDH($C$553,"FIXED_ASSETS_SEQUENTIAL_GROWTH","FY 2017","FY 2017","Currency=INR","Period=FY","BEST_FPERIOD_OVERRIDE=FY","FILING_STATUS=OR","EQY_CONSOLIDATED=Y","Sort=A","Dates=H","DateFormat=P","Fill=—","Direction=H","UseDPDF=Y")</f>
        <v>#NAME?</v>
      </c>
      <c r="BO568" s="1" t="e">
        <f ca="1">_xll.BDH($C$553,"TOTAL_ASSETS_SEQUENTIAL_GROWTH","FY 2017","FY 2017","Currency=INR","Period=FY","BEST_FPERIOD_OVERRIDE=FY","FILING_STATUS=OR","EQY_CONSOLIDATED=Y","Sort=A","Dates=H","DateFormat=P","Fill=—","Direction=H","UseDPDF=Y")</f>
        <v>#NAME?</v>
      </c>
      <c r="BP568" s="1" t="e">
        <f ca="1">_xll.BDH($C$553,"MODIFIED_WORKING_CPTL_SEQ_GRWTH","FY 2017","FY 2017","Currency=INR","Period=FY","BEST_FPERIOD_OVERRIDE=FY","FILING_STATUS=OR","EQY_CONSOLIDATED=Y","Sort=A","Dates=H","DateFormat=P","Fill=—","Direction=H","UseDPDF=Y")</f>
        <v>#NAME?</v>
      </c>
      <c r="BQ568" s="1" t="e">
        <f ca="1">_xll.BDH($C$553,"WORKING_CAPITAL_SEQ_GROWTH","FY 2017","FY 2017","Currency=INR","Period=FY","BEST_FPERIOD_OVERRIDE=FY","FILING_STATUS=OR","EQY_CONSOLIDATED=Y","Sort=A","Dates=H","DateFormat=P","Fill=—","Direction=H","UseDPDF=Y")</f>
        <v>#NAME?</v>
      </c>
      <c r="BR568" s="1" t="e">
        <f ca="1">_xll.BDH($C$553,"ACCOUNTS_PAYABLE_SEQ_GROWTH","FY 2017","FY 2017","Currency=INR","Period=FY","BEST_FPERIOD_OVERRIDE=FY","FILING_STATUS=OR","EQY_CONSOLIDATED=Y","Sort=A","Dates=H","DateFormat=P","Fill=—","Direction=H","UseDPDF=Y")</f>
        <v>#NAME?</v>
      </c>
      <c r="BS568" s="1" t="e">
        <f ca="1">_xll.BDH($C$553,"ST_DEBT_SEQUENTIAL_GROWTH","FY 2017","FY 2017","Currency=INR","Period=FY","BEST_FPERIOD_OVERRIDE=FY","FILING_STATUS=OR","EQY_CONSOLIDATED=Y","Sort=A","Dates=H","DateFormat=P","Fill=—","Direction=H","UseDPDF=Y")</f>
        <v>#NAME?</v>
      </c>
      <c r="BT568" s="1" t="e">
        <f ca="1">_xll.BDH($C$553,"TOTAL_DEBT_SEQUENTIAL_GROWTH","FY 2017","FY 2017","Currency=INR","Period=FY","BEST_FPERIOD_OVERRIDE=FY","FILING_STATUS=OR","EQY_CONSOLIDATED=Y","Sort=A","Dates=H","DateFormat=P","Fill=—","Direction=H","UseDPDF=Y")</f>
        <v>#NAME?</v>
      </c>
      <c r="BU568" s="1" t="e">
        <f ca="1">_xll.BDH($C$553,"TOTAL_EQUITY_SEQUENTIAL_GROWTH","FY 2017","FY 2017","Currency=INR","Period=FY","BEST_FPERIOD_OVERRIDE=FY","FILING_STATUS=OR","EQY_CONSOLIDATED=Y","Sort=A","Dates=H","DateFormat=P","Fill=—","Direction=H","UseDPDF=Y")</f>
        <v>#NAME?</v>
      </c>
      <c r="BV568" s="1" t="e">
        <f ca="1">_xll.BDH($C$553,"TOTAL_CAPITAL_SEQUENTIAL_GROWTH","FY 2017","FY 2017","Currency=INR","Period=FY","BEST_FPERIOD_OVERRIDE=FY","FILING_STATUS=OR","EQY_CONSOLIDATED=Y","Sort=A","Dates=H","DateFormat=P","Fill=—","Direction=H","UseDPDF=Y")</f>
        <v>#NAME?</v>
      </c>
      <c r="BW568" s="1" t="e">
        <f ca="1">_xll.BDH($C$553,"BPS_SEQUENTIAL_GROWTH","FY 2017","FY 2017","Currency=INR","Period=FY","BEST_FPERIOD_OVERRIDE=FY","FILING_STATUS=OR","EQY_CONSOLIDATED=Y","Sort=A","Dates=H","DateFormat=P","Fill=—","Direction=H","UseDPDF=Y")</f>
        <v>#NAME?</v>
      </c>
      <c r="BX568" s="1" t="e">
        <f ca="1">_xll.BDH($C$553,"CFO_SEQUENTIAL_GROWTH","FY 2017","FY 2017","Currency=INR","Period=FY","BEST_FPERIOD_OVERRIDE=FY","FILING_STATUS=OR","EQY_CONSOLIDATED=Y","Sort=A","Dates=H","DateFormat=P","Fill=—","Direction=H","UseDPDF=Y")</f>
        <v>#NAME?</v>
      </c>
      <c r="BY568" s="2" t="e">
        <f ca="1">_xll.BDH($C$553,"SHORT_AND_LONG_TERM_DEBT","FY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68" s="2" t="e">
        <f ca="1">_xll.BDH($C$553,"BS_ST_BORROW","FY 2017","FY 2017","Currency=INR","Period=FY","BEST_FPERIOD_OVERRIDE=FY","FILING_STATUS=OR","EQY_CONSOLIDATED=Y","SCALING_FORMAT=MLN","Sort=A","Dates=H","DateFormat=P","Fill=—","Direction=H","UseDPDF=Y")</f>
        <v>#NAME?</v>
      </c>
      <c r="CA568" s="2" t="e">
        <f ca="1">_xll.BDH($C$553,"BS_LT_BORROW","FY 2017","FY 2017","Currency=INR","Period=FY","BEST_FPERIOD_OVERRIDE=FY","FILING_STATUS=OR","EQY_CONSOLIDATED=Y","SCALING_FORMAT=MLN","Sort=A","Dates=H","DateFormat=P","Fill=—","Direction=H","UseDPDF=Y")</f>
        <v>#NAME?</v>
      </c>
      <c r="CB568" s="1" t="e">
        <f ca="1">_xll.BDH($C$553,"TOT_DEBT_TO_EBITDA","FY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568" s="1" t="e">
        <f ca="1">_xll.BDH($C$553,"NET_DEBT_TO_EBITDA","FY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568" s="1" t="e">
        <f ca="1">_xll.BDH($C$553,"TOTAL_DEBT_TO_EBIT","FY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568" s="1" t="e">
        <f ca="1">_xll.BDH($C$553,"NET_DEBT_TO_EBIT","FY 2017","FY 2017","Currency=INR","Period=FY","BEST_FPERIOD_OVERRIDE=FY","FILING_STATUS=OR","EQY_CONSOLIDATED=Y","FA_ADJUSTED=GAAP","Sort=A","Dates=H","DateFormat=P","Fill=—","Direction=H","UseDPDF=Y")</f>
        <v>#NAME?</v>
      </c>
      <c r="CF568" s="1" t="e">
        <f ca="1">_xll.BDH($C$553,"EBITDA_TO_INTEREST_EXPN","FY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68" s="1" t="e">
        <f ca="1">_xll.BDH($C$553,"COM_EQY_TO_TOT_ASSET","FY 2017","FY 2017","Currency=INR","Period=FY","BEST_FPERIOD_OVERRIDE=FY","FILING_STATUS=OR","EQY_CONSOLIDATED=Y","Sort=A","Dates=H","DateFormat=P","Fill=—","Direction=H","UseDPDF=Y")</f>
        <v>#NAME?</v>
      </c>
      <c r="CH568" s="1" t="e">
        <f ca="1">_xll.BDH($C$553,"LT_DEBT_TO_TOT_EQY","FY 2017","FY 2017","Currency=INR","Period=FY","BEST_FPERIOD_OVERRIDE=FY","FILING_STATUS=OR","EQY_CONSOLIDATED=Y","Sort=A","Dates=H","DateFormat=P","Fill=—","Direction=H","UseDPDF=Y")</f>
        <v>#NAME?</v>
      </c>
      <c r="CI568" s="1" t="e">
        <f ca="1">_xll.BDH($C$553,"LT_DEBT_TO_TOT_CAP","FY 2017","FY 2017","Currency=INR","Period=FY","BEST_FPERIOD_OVERRIDE=FY","FILING_STATUS=OR","EQY_CONSOLIDATED=Y","Sort=A","Dates=H","DateFormat=P","Fill=—","Direction=H","UseDPDF=Y")</f>
        <v>#NAME?</v>
      </c>
      <c r="CJ568" s="1" t="e">
        <f ca="1">_xll.BDH($C$553,"LT_DEBT_TO_TOT_ASSET","FY 2017","FY 2017","Currency=INR","Period=FY","BEST_FPERIOD_OVERRIDE=FY","FILING_STATUS=OR","EQY_CONSOLIDATED=Y","Sort=A","Dates=H","DateFormat=P","Fill=—","Direction=H","UseDPDF=Y")</f>
        <v>#NAME?</v>
      </c>
      <c r="CK568" s="1" t="e">
        <f ca="1">_xll.BDH($C$553,"TOT_DEBT_TO_TOT_EQY","FY 2017","FY 2017","Currency=INR","Period=FY","BEST_FPERIOD_OVERRIDE=FY","FILING_STATUS=OR","EQY_CONSOLIDATED=Y","Sort=A","Dates=H","DateFormat=P","Fill=—","Direction=H","UseDPDF=Y")</f>
        <v>#NAME?</v>
      </c>
      <c r="CL568" s="1" t="e">
        <f ca="1">_xll.BDH($C$553,"TOT_DEBT_TO_TOT_CAP","FY 2017","FY 2017","Currency=INR","Period=FY","BEST_FPERIOD_OVERRIDE=FY","FILING_STATUS=OR","EQY_CONSOLIDATED=Y","Sort=A","Dates=H","DateFormat=P","Fill=—","Direction=H","UseDPDF=Y")</f>
        <v>#NAME?</v>
      </c>
      <c r="CM568" s="1" t="e">
        <f ca="1">_xll.BDH($C$553,"TOT_DEBT_TO_TOT_ASSET","FY 2017","FY 2017","Currency=INR","Period=FY","BEST_FPERIOD_OVERRIDE=FY","FILING_STATUS=OR","EQY_CONSOLIDATED=Y","Sort=A","Dates=H","DateFormat=P","Fill=—","Direction=H","UseDPDF=Y")</f>
        <v>#NAME?</v>
      </c>
      <c r="CN568" s="1" t="e">
        <f ca="1">_xll.BDH($C$553,"NET_DEBT_TO_SHRHLDR_EQTY","FY 2017","FY 2017","Currency=INR","Period=FY","BEST_FPERIOD_OVERRIDE=FY","FILING_STATUS=OR","EQY_CONSOLIDATED=Y","Sort=A","Dates=H","DateFormat=P","Fill=—","Direction=H","UseDPDF=Y")</f>
        <v>#NAME?</v>
      </c>
      <c r="CO568" s="1" t="e">
        <f ca="1">_xll.BDH($C$553,"NET_DEBT_%_CAPITAL","FY 2017","FY 2017","Currency=INR","Period=FY","BEST_FPERIOD_OVERRIDE=FY","FILING_STATUS=OR","EQY_CONSOLIDATED=Y","Sort=A","Dates=H","DateFormat=P","Fill=—","Direction=H","UseDPDF=Y")</f>
        <v>#NAME?</v>
      </c>
      <c r="CP568" s="2" t="e">
        <f ca="1">_xll.BDH($C$553,"EBITDA","FY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68" s="2" t="e">
        <f ca="1">_xll.BDH($C$553,"EBITDA_AFTER_CAPEX","FY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68" s="2" t="e">
        <f ca="1">_xll.BDH($C$553,"IS_OPER_INC","FY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68" s="1" t="e">
        <f ca="1">_xll.BDH($C$553,"CASH_RATIO","FY 2017","FY 2017","Currency=INR","Period=FY","BEST_FPERIOD_OVERRIDE=FY","FILING_STATUS=OR","EQY_CONSOLIDATED=Y","Sort=A","Dates=H","DateFormat=P","Fill=—","Direction=H","UseDPDF=Y")</f>
        <v>#NAME?</v>
      </c>
      <c r="CT568" s="1" t="e">
        <f ca="1">_xll.BDH($C$553,"CUR_RATIO","FY 2017","FY 2017","Currency=INR","Period=FY","BEST_FPERIOD_OVERRIDE=FY","FILING_STATUS=OR","EQY_CONSOLIDATED=Y","Sort=A","Dates=H","DateFormat=P","Fill=—","Direction=H","UseDPDF=Y")</f>
        <v>#NAME?</v>
      </c>
      <c r="CU568" s="1" t="e">
        <f ca="1">_xll.BDH($C$553,"QUICK_RATIO","FY 2017","FY 2017","Currency=INR","Period=FY","BEST_FPERIOD_OVERRIDE=FY","FILING_STATUS=OR","EQY_CONSOLIDATED=Y","Sort=A","Dates=H","DateFormat=P","Fill=—","Direction=H","UseDPDF=Y")</f>
        <v>#NAME?</v>
      </c>
      <c r="CV568" s="1" t="e">
        <f ca="1">_xll.BDH($C$553,"ALTMAN_Z_SCORE","FY 2017","FY 2017","Currency=INR","Period=FY","BEST_FPERIOD_OVERRIDE=FY","FILING_STATUS=OR","EQY_CONSOLIDATED=Y","Sort=A","Dates=H","DateFormat=P","Fill=—","Direction=H","UseDPDF=Y")</f>
        <v>#NAME?</v>
      </c>
      <c r="CW568" s="3" t="e">
        <f ca="1">_xll.BDH($C$553,"ACCT_RCV_TURN","FY 2017","FY 2017","Currency=INR","Period=FY","BEST_FPERIOD_OVERRIDE=FY","FILING_STATUS=OR","EQY_CONSOLIDATED=Y","FA_ADJUSTED=GAAP","Sort=A","Dates=H","DateFormat=P","Fill=—","Direction=H","UseDPDF=Y")</f>
        <v>#NAME?</v>
      </c>
      <c r="CX568" s="1" t="e">
        <f ca="1">_xll.BDH($C$553,"ACCT_RCV_DAYS","FY 2017","FY 2017","Currency=INR","Period=FY","BEST_FPERIOD_OVERRIDE=FY","FILING_STATUS=OR","EQY_CONSOLIDATED=Y","FA_ADJUSTED=GAAP","Sort=A","Dates=H","DateFormat=P","Fill=—","Direction=H","UseDPDF=Y")</f>
        <v>#NAME?</v>
      </c>
      <c r="CY568" s="3" t="e">
        <f ca="1">_xll.BDH($C$553,"INVENT_TURN","FY 2017","FY 2017","Currency=INR","Period=FY","BEST_FPERIOD_OVERRIDE=FY","FILING_STATUS=OR","EQY_CONSOLIDATED=Y","FA_ADJUSTED=GAAP","Sort=A","Dates=H","DateFormat=P","Fill=—","Direction=H","UseDPDF=Y")</f>
        <v>#NAME?</v>
      </c>
      <c r="CZ568" s="1" t="e">
        <f ca="1">_xll.BDH($C$553,"INVENT_DAYS","FY 2017","FY 2017","Currency=INR","Period=FY","BEST_FPERIOD_OVERRIDE=FY","FILING_STATUS=OR","EQY_CONSOLIDATED=Y","FA_ADJUSTED=GAAP","Sort=A","Dates=H","DateFormat=P","Fill=—","Direction=H","UseDPDF=Y")</f>
        <v>#NAME?</v>
      </c>
      <c r="DA568" s="3" t="e">
        <f ca="1">_xll.BDH($C$553,"ACCOUNTS_PAYABLE_TURNOVER","FY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68" s="1" t="e">
        <f ca="1">_xll.BDH($C$553,"ACCOUNTS_PAYABLE_TURNOVER_DAYS","FY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68" s="3" t="e">
        <f ca="1">_xll.BDH($C$553,"CASH_CONVERSION_CYCLE","FY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68" s="3" t="e">
        <f ca="1">_xll.BDH($C$553,"INV_TO_CASH_DAYS","FY 2017","FY 2017","Currency=INR","Period=FY","BEST_FPERIOD_OVERRIDE=FY","FILING_STATUS=OR","EQY_CONSOLIDATED=Y","FA_ADJUSTED=GAAP","Sort=A","Dates=H","DateFormat=P","Fill=—","Direction=H","UseDPDF=Y")</f>
        <v>#NAME?</v>
      </c>
      <c r="DE568" s="4" t="e">
        <f ca="1">_xll.BDH($C$553,"BS_INVENTORIES","FY 2017","FY 2017","Currency=INR","Period=FY","BEST_FPERIOD_OVERRIDE=FY","FILING_STATUS=OR","EQY_CONSOLIDATED=Y","SCALING_FORMAT=MLN","Sort=A","Dates=H","DateFormat=P","Fill=—","Direction=H","UseDPDF=Y")</f>
        <v>#NAME?</v>
      </c>
      <c r="DF568" s="2" t="e">
        <f ca="1">_xll.BDH($C$553,"INVTRY_RAW_MATERIALS","FY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68" s="2" t="e">
        <f ca="1">_xll.BDH($C$553,"INVTRY_IN_PROGRESS","FY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68" s="2" t="e">
        <f ca="1">_xll.BDH($C$553,"INVTRY_FINISHED_GOODS","FY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68" s="2" t="e">
        <f ca="1">_xll.BDH($C$553,"BS_OTHER_INV","FY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69" spans="1:113" x14ac:dyDescent="0.3">
      <c r="A569" s="6"/>
      <c r="B569" s="6"/>
      <c r="C569" s="6"/>
      <c r="D569" s="6"/>
      <c r="E569" t="s">
        <v>4</v>
      </c>
      <c r="F569" t="e">
        <f ca="1">_xll.BDH($C$553,"RETURN_COM_EQY","FQ1 2017","FQ1 2017","Currency=INR","Period=FQ","BEST_FPERIOD_OVERRIDE=FQ","FILING_STATUS=OR","EQY_CONSOLIDATED=Y","FA_ADJUSTED=GAAP","Sort=A","Dates=H","DateFormat=P","Fill=—","Direction=H","UseDPDF=Y")</f>
        <v>#NAME?</v>
      </c>
      <c r="G569" t="e">
        <f ca="1">_xll.BDH($C$553,"RETURN_ON_ASSET","FQ1 2017","FQ1 2017","Currency=INR","Period=FQ","BEST_FPERIOD_OVERRIDE=FQ","FILING_STATUS=OR","EQY_CONSOLIDATED=Y","FA_ADJUSTED=GAAP","Sort=A","Dates=H","DateFormat=P","Fill=—","Direction=H","UseDPDF=Y")</f>
        <v>#NAME?</v>
      </c>
      <c r="H569" t="e">
        <f ca="1">_xll.BDH($C$553,"RETURN_ON_CAP","FQ1 2017","FQ1 2017","Currency=INR","Period=FQ","BEST_FPERIOD_OVERRIDE=FQ","FILING_STATUS=OR","EQY_CONSOLIDATED=Y","FA_ADJUSTED=GAAP","Sort=A","Dates=H","DateFormat=P","Fill=—","Direction=H","UseDPDF=Y")</f>
        <v>#NAME?</v>
      </c>
      <c r="I569" t="e">
        <f ca="1">_xll.BDH($C$553,"RETURN_ON_INV_CAPITAL","FQ1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69" t="e">
        <f ca="1">_xll.BDH($C$553,"EBITDA_TO_REVENUE","FQ1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569" t="e">
        <f ca="1">_xll.BDH($C$553,"OPER_MARGIN","FQ1 2017","FQ1 2017","Currency=INR","Period=FQ","BEST_FPERIOD_OVERRIDE=FQ","FILING_STATUS=OR","EQY_CONSOLIDATED=Y","FA_ADJUSTED=GAAP","Sort=A","Dates=H","DateFormat=P","Fill=—","Direction=H","UseDPDF=Y")</f>
        <v>#NAME?</v>
      </c>
      <c r="L569" t="e">
        <f ca="1">_xll.BDH($C$553,"INCREMENTAL_OPERATING_MARGIN","FQ1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69" t="e">
        <f ca="1">_xll.BDH($C$553,"PRETAX_INC_TO_NET_SALES","FQ1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69" t="e">
        <f ca="1">_xll.BDH($C$553,"INC_BEF_XO_ITEMS_TO_NET_SALES","FQ1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69" t="e">
        <f ca="1">_xll.BDH($C$553,"PROF_MARGIN","FQ1 2017","FQ1 2017","Currency=INR","Period=FQ","BEST_FPERIOD_OVERRIDE=FQ","FILING_STATUS=OR","EQY_CONSOLIDATED=Y","FA_ADJUSTED=GAAP","Sort=A","Dates=H","DateFormat=P","Fill=—","Direction=H","UseDPDF=Y")</f>
        <v>#NAME?</v>
      </c>
      <c r="P569" t="e">
        <f ca="1">_xll.BDH($C$553,"NET_INCOME_TO_COMMON_MARGIN","FQ1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69" t="e">
        <f ca="1">_xll.BDH($C$553,"EFF_TAX_RATE","FQ1 2017","FQ1 2017","Currency=INR","Period=FQ","BEST_FPERIOD_OVERRIDE=FQ","FILING_STATUS=OR","EQY_CONSOLIDATED=Y","FA_ADJUSTED=GAAP","Sort=A","Dates=H","DateFormat=P","Fill=—","Direction=H","UseDPDF=Y")</f>
        <v>#NAME?</v>
      </c>
      <c r="R569" t="e">
        <f ca="1">_xll.BDH($C$553,"DVD_PAYOUT_RATIO","FQ1 2017","FQ1 2017","Currency=INR","Period=FQ","BEST_FPERIOD_OVERRIDE=FQ","FILING_STATUS=OR","EQY_CONSOLIDATED=Y","FA_ADJUSTED=GAAP","Sort=A","Dates=H","DateFormat=P","Fill=—","Direction=H","UseDPDF=Y")</f>
        <v>#NAME?</v>
      </c>
      <c r="S569" t="e">
        <f ca="1">_xll.BDH($C$553,"SUSTAIN_GROWTH_RT","FQ1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569" s="1" t="e">
        <f ca="1">_xll.BDH($C$553,"SALES_GROWTH","FQ1 2017","FQ1 2017","Currency=INR","Period=FQ","BEST_FPERIOD_OVERRIDE=FQ","FILING_STATUS=OR","EQY_CONSOLIDATED=Y","FA_ADJUSTED=GAAP","Sort=A","Dates=H","DateFormat=P","Fill=—","Direction=H","UseDPDF=Y")</f>
        <v>#NAME?</v>
      </c>
      <c r="U569" s="1" t="e">
        <f ca="1">_xll.BDH($C$553,"EBITDA_GROWTH","FQ1 2017","FQ1 2017","Currency=INR","Period=FQ","BEST_FPERIOD_OVERRIDE=FQ","FILING_STATUS=OR","EQY_CONSOLIDATED=Y","FA_ADJUSTED=GAAP","Sort=A","Dates=H","DateFormat=P","Fill=—","Direction=H","UseDPDF=Y")</f>
        <v>#NAME?</v>
      </c>
      <c r="V569" s="1" t="e">
        <f ca="1">_xll.BDH($C$553,"OPER_INC_GROWTH","FQ1 2017","FQ1 2017","Currency=INR","Period=FQ","BEST_FPERIOD_OVERRIDE=FQ","FILING_STATUS=OR","EQY_CONSOLIDATED=Y","FA_ADJUSTED=GAAP","Sort=A","Dates=H","DateFormat=P","Fill=—","Direction=H","UseDPDF=Y")</f>
        <v>#NAME?</v>
      </c>
      <c r="W569" s="1" t="e">
        <f ca="1">_xll.BDH($C$553,"EARN_FOR_COM_GROWTH","FQ1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69" s="1" t="e">
        <f ca="1">_xll.BDH($C$553,"DILUTED_EPS_AFT_XO_ITEMS_GROWTH","FQ1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69" s="1" t="e">
        <f ca="1">_xll.BDH($C$553,"DIVIDEND_PER_SHARE_1_YEAR_GROWTH","FQ1 2017","FQ1 2017","Currency=INR","Period=FQ","BEST_FPERIOD_OVERRIDE=FQ","FILING_STATUS=OR","EQY_CONSOLIDATED=Y","Sort=A","Dates=H","DateFormat=P","Fill=—","Direction=H","UseDPDF=Y")</f>
        <v>#NAME?</v>
      </c>
      <c r="Z569" s="1" t="e">
        <f ca="1">_xll.BDH($C$553,"ACCOUNTS_RECEIVABLE_GROWTH","FQ1 2017","FQ1 2017","Currency=INR","Period=FQ","BEST_FPERIOD_OVERRIDE=FQ","FILING_STATUS=OR","EQY_CONSOLIDATED=Y","Sort=A","Dates=H","DateFormat=P","Fill=—","Direction=H","UseDPDF=Y")</f>
        <v>#NAME?</v>
      </c>
      <c r="AA569" s="1" t="e">
        <f ca="1">_xll.BDH($C$553,"INVENTORY_GROWTH","FQ1 2017","FQ1 2017","Currency=INR","Period=FQ","BEST_FPERIOD_OVERRIDE=FQ","FILING_STATUS=OR","EQY_CONSOLIDATED=Y","Sort=A","Dates=H","DateFormat=P","Fill=—","Direction=H","UseDPDF=Y")</f>
        <v>#NAME?</v>
      </c>
      <c r="AB569" s="1" t="e">
        <f ca="1">_xll.BDH($C$553,"NET_FIXED_ASSETS_1_YEAR_GROWTH","FQ1 2017","FQ1 2017","Currency=INR","Period=FQ","BEST_FPERIOD_OVERRIDE=FQ","FILING_STATUS=OR","EQY_CONSOLIDATED=Y","Sort=A","Dates=H","DateFormat=P","Fill=—","Direction=H","UseDPDF=Y")</f>
        <v>#NAME?</v>
      </c>
      <c r="AC569" s="1" t="e">
        <f ca="1">_xll.BDH($C$553,"ASSET_GROWTH","FQ1 2017","FQ1 2017","Currency=INR","Period=FQ","BEST_FPERIOD_OVERRIDE=FQ","FILING_STATUS=OR","EQY_CONSOLIDATED=Y","Sort=A","Dates=H","DateFormat=P","Fill=—","Direction=H","UseDPDF=Y")</f>
        <v>#NAME?</v>
      </c>
      <c r="AD569" s="1" t="e">
        <f ca="1">_xll.BDH($C$553,"MODIFIED_WORK_CAP_GROWTH","FQ1 2017","FQ1 2017","Currency=INR","Period=FQ","BEST_FPERIOD_OVERRIDE=FQ","FILING_STATUS=OR","EQY_CONSOLIDATED=Y","Sort=A","Dates=H","DateFormat=P","Fill=—","Direction=H","UseDPDF=Y")</f>
        <v>#NAME?</v>
      </c>
      <c r="AE569" s="1" t="e">
        <f ca="1">_xll.BDH($C$553,"WORK_CAP_GROWTH","FQ1 2017","FQ1 2017","Currency=INR","Period=FQ","BEST_FPERIOD_OVERRIDE=FQ","FILING_STATUS=OR","EQY_CONSOLIDATED=Y","Sort=A","Dates=H","DateFormat=P","Fill=—","Direction=H","UseDPDF=Y")</f>
        <v>#NAME?</v>
      </c>
      <c r="AF569" s="1" t="e">
        <f ca="1">_xll.BDH($C$553,"ACCOUNTS_PAYABLE_GROWTH_1YR","FQ1 2017","FQ1 2017","Currency=INR","Period=FQ","BEST_FPERIOD_OVERRIDE=FQ","FILING_STATUS=OR","EQY_CONSOLIDATED=Y","Sort=A","Dates=H","DateFormat=P","Fill=—","Direction=H","UseDPDF=Y")</f>
        <v>#NAME?</v>
      </c>
      <c r="AG569" s="1" t="e">
        <f ca="1">_xll.BDH($C$553,"SHORT_TERM_DEBT_1_YEAR_GROWTH","FQ1 2017","FQ1 2017","Currency=INR","Period=FQ","BEST_FPERIOD_OVERRIDE=FQ","FILING_STATUS=OR","EQY_CONSOLIDATED=Y","Sort=A","Dates=H","DateFormat=P","Fill=—","Direction=H","UseDPDF=Y")</f>
        <v>#NAME?</v>
      </c>
      <c r="AH569" s="1" t="e">
        <f ca="1">_xll.BDH($C$553,"TOTAL_DEBT_1_YEAR_GROWTH","FQ1 2017","FQ1 2017","Currency=INR","Period=FQ","BEST_FPERIOD_OVERRIDE=FQ","FILING_STATUS=OR","EQY_CONSOLIDATED=Y","Sort=A","Dates=H","DateFormat=P","Fill=—","Direction=H","UseDPDF=Y")</f>
        <v>#NAME?</v>
      </c>
      <c r="AI569" s="1" t="e">
        <f ca="1">_xll.BDH($C$553,"TOTAL_EQUITY_1_YEAR_GROWTH","FQ1 2017","FQ1 2017","Currency=INR","Period=FQ","BEST_FPERIOD_OVERRIDE=FQ","FILING_STATUS=OR","EQY_CONSOLIDATED=Y","Sort=A","Dates=H","DateFormat=P","Fill=—","Direction=H","UseDPDF=Y")</f>
        <v>#NAME?</v>
      </c>
      <c r="AJ569" s="1" t="e">
        <f ca="1">_xll.BDH($C$553,"GROWTH_IN_CAP","FQ1 2017","FQ1 2017","Currency=INR","Period=FQ","BEST_FPERIOD_OVERRIDE=FQ","FILING_STATUS=OR","EQY_CONSOLIDATED=Y","Sort=A","Dates=H","DateFormat=P","Fill=—","Direction=H","UseDPDF=Y")</f>
        <v>#NAME?</v>
      </c>
      <c r="AK569" s="1" t="e">
        <f ca="1">_xll.BDH($C$553,"BVPS_GROWTH","FQ1 2017","FQ1 2017","Currency=INR","Period=FQ","BEST_FPERIOD_OVERRIDE=FQ","FILING_STATUS=OR","EQY_CONSOLIDATED=Y","Sort=A","Dates=H","DateFormat=P","Fill=—","Direction=H","UseDPDF=Y")</f>
        <v>#NAME?</v>
      </c>
      <c r="AL569" s="1" t="e">
        <f ca="1">_xll.BDH($C$553,"CASH_FLOW_GROWTH","FQ1 2017","FQ1 2017","Currency=INR","Period=FQ","BEST_FPERIOD_OVERRIDE=FQ","FILING_STATUS=OR","EQY_CONSOLIDATED=Y","Sort=A","Dates=H","DateFormat=P","Fill=—","Direction=H","UseDPDF=Y")</f>
        <v>#NAME?</v>
      </c>
      <c r="AM569" s="1" t="e">
        <f ca="1">_xll.BDH($C$553,"GEO_GROW_NET_SALES","FQ1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69" s="1" t="e">
        <f ca="1">_xll.BDH($C$553,"GEO_GROW_EBITDA","FQ1 2017","FQ1 2017","Currency=INR","Period=FQ","BEST_FPERIOD_OVERRIDE=FQ","FILING_STATUS=OR","EQY_CONSOLIDATED=Y","FA_ADJUSTED=GAAP","Sort=A","Dates=H","DateFormat=P","Fill=—","Direction=H","UseDPDF=Y")</f>
        <v>#NAME?</v>
      </c>
      <c r="AO569" s="1" t="e">
        <f ca="1">_xll.BDH($C$553,"GEO_GROW_OPER_INC","FQ1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69" s="1" t="e">
        <f ca="1">_xll.BDH($C$553,"NET_INCOME_TO_COMMON_5_YR_GROWTH","FQ1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69" s="1" t="e">
        <f ca="1">_xll.BDH($C$553,"5Y_GEO_GROWTH_DILUTED_EPS","FQ1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69" s="1" t="e">
        <f ca="1">_xll.BDH($C$553,"GEO_GROW_DVD_PER_SH","FQ1 2017","FQ1 2017","Currency=INR","Period=FQ","BEST_FPERIOD_OVERRIDE=FQ","FILING_STATUS=OR","EQY_CONSOLIDATED=Y","Sort=A","Dates=H","DateFormat=P","Fill=—","Direction=H","UseDPDF=Y")</f>
        <v>#NAME?</v>
      </c>
      <c r="AS569" s="1" t="e">
        <f ca="1">_xll.BDH($C$553,"ACCOUNTS_RECEIVABLE_5_YR_GROWTH","FQ1 2017","FQ1 2017","Currency=INR","Period=FQ","BEST_FPERIOD_OVERRIDE=FQ","FILING_STATUS=OR","EQY_CONSOLIDATED=Y","Sort=A","Dates=H","DateFormat=P","Fill=—","Direction=H","UseDPDF=Y")</f>
        <v>#NAME?</v>
      </c>
      <c r="AT569" s="1" t="e">
        <f ca="1">_xll.BDH($C$553,"INVENTORY_5_YEAR_GROWTH","FQ1 2017","FQ1 2017","Currency=INR","Period=FQ","BEST_FPERIOD_OVERRIDE=FQ","FILING_STATUS=OR","EQY_CONSOLIDATED=Y","Sort=A","Dates=H","DateFormat=P","Fill=—","Direction=H","UseDPDF=Y")</f>
        <v>#NAME?</v>
      </c>
      <c r="AU569" s="1" t="e">
        <f ca="1">_xll.BDH($C$553,"NET_FIXED_ASSETS_5_YEAR_GROWTH","FQ1 2017","FQ1 2017","Currency=INR","Period=FQ","BEST_FPERIOD_OVERRIDE=FQ","FILING_STATUS=OR","EQY_CONSOLIDATED=Y","Sort=A","Dates=H","DateFormat=P","Fill=—","Direction=H","UseDPDF=Y")</f>
        <v>#NAME?</v>
      </c>
      <c r="AV569" s="1" t="e">
        <f ca="1">_xll.BDH($C$553,"GEO_GROW_TOT_ASSET","FQ1 2017","FQ1 2017","Currency=INR","Period=FQ","BEST_FPERIOD_OVERRIDE=FQ","FILING_STATUS=OR","EQY_CONSOLIDATED=Y","Sort=A","Dates=H","DateFormat=P","Fill=—","Direction=H","UseDPDF=Y")</f>
        <v>#NAME?</v>
      </c>
      <c r="AW569" s="1" t="e">
        <f ca="1">_xll.BDH($C$553,"MODIFIED_WORKING_CPTL_5YR_GRWTH","FQ1 2017","FQ1 2017","Currency=INR","Period=FQ","BEST_FPERIOD_OVERRIDE=FQ","FILING_STATUS=OR","EQY_CONSOLIDATED=Y","Sort=A","Dates=H","DateFormat=P","Fill=—","Direction=H","UseDPDF=Y")</f>
        <v>#NAME?</v>
      </c>
      <c r="AX569" s="1" t="e">
        <f ca="1">_xll.BDH($C$553,"WORKING_CAPITAL_5_YEAR_GROWTH","FQ1 2017","FQ1 2017","Currency=INR","Period=FQ","BEST_FPERIOD_OVERRIDE=FQ","FILING_STATUS=OR","EQY_CONSOLIDATED=Y","Sort=A","Dates=H","DateFormat=P","Fill=—","Direction=H","UseDPDF=Y")</f>
        <v>#NAME?</v>
      </c>
      <c r="AY569" s="1" t="e">
        <f ca="1">_xll.BDH($C$553,"ACCOUNTS_PAYABLE_5_YEAR_GROWTH","FQ1 2017","FQ1 2017","Currency=INR","Period=FQ","BEST_FPERIOD_OVERRIDE=FQ","FILING_STATUS=OR","EQY_CONSOLIDATED=Y","Sort=A","Dates=H","DateFormat=P","Fill=—","Direction=H","UseDPDF=Y")</f>
        <v>#NAME?</v>
      </c>
      <c r="AZ569" s="1" t="e">
        <f ca="1">_xll.BDH($C$553,"SHORT_TERM_DEBT_5_YEAR_GROWTH","FQ1 2017","FQ1 2017","Currency=INR","Period=FQ","BEST_FPERIOD_OVERRIDE=FQ","FILING_STATUS=OR","EQY_CONSOLIDATED=Y","Sort=A","Dates=H","DateFormat=P","Fill=—","Direction=H","UseDPDF=Y")</f>
        <v>#NAME?</v>
      </c>
      <c r="BA569" s="1" t="e">
        <f ca="1">_xll.BDH($C$553,"TOTAL_DEBT_5_YEAR_GROWTH","FQ1 2017","FQ1 2017","Currency=INR","Period=FQ","BEST_FPERIOD_OVERRIDE=FQ","FILING_STATUS=OR","EQY_CONSOLIDATED=Y","Sort=A","Dates=H","DateFormat=P","Fill=—","Direction=H","UseDPDF=Y")</f>
        <v>#NAME?</v>
      </c>
      <c r="BB569" s="1" t="e">
        <f ca="1">_xll.BDH($C$553,"GEO_GROW_TOT_SHRHLDR_EQY","FQ1 2017","FQ1 2017","Currency=INR","Period=FQ","BEST_FPERIOD_OVERRIDE=FQ","FILING_STATUS=OR","EQY_CONSOLIDATED=Y","Sort=A","Dates=H","DateFormat=P","Fill=—","Direction=H","UseDPDF=Y")</f>
        <v>#NAME?</v>
      </c>
      <c r="BC569" s="1" t="e">
        <f ca="1">_xll.BDH($C$553,"TOTAL_CAPITAL_5_YEAR_GROWTH","FQ1 2017","FQ1 2017","Currency=INR","Period=FQ","BEST_FPERIOD_OVERRIDE=FQ","FILING_STATUS=OR","EQY_CONSOLIDATED=Y","Sort=A","Dates=H","DateFormat=P","Fill=—","Direction=H","UseDPDF=Y")</f>
        <v>#NAME?</v>
      </c>
      <c r="BD569" s="1" t="e">
        <f ca="1">_xll.BDH($C$553,"GEO_GROW_BOOK_VAL","FQ1 2017","FQ1 2017","Currency=INR","Period=FQ","BEST_FPERIOD_OVERRIDE=FQ","FILING_STATUS=OR","EQY_CONSOLIDATED=Y","Sort=A","Dates=H","DateFormat=P","Fill=—","Direction=H","UseDPDF=Y")</f>
        <v>#NAME?</v>
      </c>
      <c r="BE569" s="1" t="e">
        <f ca="1">_xll.BDH($C$553,"GEO_GROW_CASH_OPER_ACT","FQ1 2017","FQ1 2017","Currency=INR","Period=FQ","BEST_FPERIOD_OVERRIDE=FQ","FILING_STATUS=OR","EQY_CONSOLIDATED=Y","Sort=A","Dates=H","DateFormat=P","Fill=—","Direction=H","UseDPDF=Y")</f>
        <v>#NAME?</v>
      </c>
      <c r="BF569" s="1" t="e">
        <f ca="1">_xll.BDH($C$553,"REVENUE_SEQUENTIAL_GROWTH","FQ1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69" s="1" t="e">
        <f ca="1">_xll.BDH($C$553,"EBITDA_SEQUENTIAL_GROWTH","FQ1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69" s="1" t="e">
        <f ca="1">_xll.BDH($C$553,"OPERATING_INCOME_SEQ_GROWTH","FQ1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69" s="1" t="e">
        <f ca="1">_xll.BDH($C$553,"NET_INCOME_TO_COMMON_SEQ_GROWTH","FQ1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69" s="1" t="e">
        <f ca="1">_xll.BDH($C$553,"EPS_DILUTED_SEQUENTIAL_GROWTH","FQ1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69" s="1" t="e">
        <f ca="1">_xll.BDH($C$553,"DPS_SEQUENTIAL_GROWTH","FQ1 2017","FQ1 2017","Currency=INR","Period=FQ","BEST_FPERIOD_OVERRIDE=FQ","FILING_STATUS=OR","EQY_CONSOLIDATED=Y","Sort=A","Dates=H","DateFormat=P","Fill=—","Direction=H","UseDPDF=Y")</f>
        <v>#NAME?</v>
      </c>
      <c r="BL569" s="1" t="e">
        <f ca="1">_xll.BDH($C$553,"ACCOUNTS_RECEIVABLE_SEQ_GROWTH","FQ1 2017","FQ1 2017","Currency=INR","Period=FQ","BEST_FPERIOD_OVERRIDE=FQ","FILING_STATUS=OR","EQY_CONSOLIDATED=Y","Sort=A","Dates=H","DateFormat=P","Fill=—","Direction=H","UseDPDF=Y")</f>
        <v>#NAME?</v>
      </c>
      <c r="BM569" s="1" t="e">
        <f ca="1">_xll.BDH($C$553,"INVENTORY_SEQUENTIAL_GROWTH","FQ1 2017","FQ1 2017","Currency=INR","Period=FQ","BEST_FPERIOD_OVERRIDE=FQ","FILING_STATUS=OR","EQY_CONSOLIDATED=Y","Sort=A","Dates=H","DateFormat=P","Fill=—","Direction=H","UseDPDF=Y")</f>
        <v>#NAME?</v>
      </c>
      <c r="BN569" s="1" t="e">
        <f ca="1">_xll.BDH($C$553,"FIXED_ASSETS_SEQUENTIAL_GROWTH","FQ1 2017","FQ1 2017","Currency=INR","Period=FQ","BEST_FPERIOD_OVERRIDE=FQ","FILING_STATUS=OR","EQY_CONSOLIDATED=Y","Sort=A","Dates=H","DateFormat=P","Fill=—","Direction=H","UseDPDF=Y")</f>
        <v>#NAME?</v>
      </c>
      <c r="BO569" s="1" t="e">
        <f ca="1">_xll.BDH($C$553,"TOTAL_ASSETS_SEQUENTIAL_GROWTH","FQ1 2017","FQ1 2017","Currency=INR","Period=FQ","BEST_FPERIOD_OVERRIDE=FQ","FILING_STATUS=OR","EQY_CONSOLIDATED=Y","Sort=A","Dates=H","DateFormat=P","Fill=—","Direction=H","UseDPDF=Y")</f>
        <v>#NAME?</v>
      </c>
      <c r="BP569" s="1" t="e">
        <f ca="1">_xll.BDH($C$553,"MODIFIED_WORKING_CPTL_SEQ_GRWTH","FQ1 2017","FQ1 2017","Currency=INR","Period=FQ","BEST_FPERIOD_OVERRIDE=FQ","FILING_STATUS=OR","EQY_CONSOLIDATED=Y","Sort=A","Dates=H","DateFormat=P","Fill=—","Direction=H","UseDPDF=Y")</f>
        <v>#NAME?</v>
      </c>
      <c r="BQ569" s="1" t="e">
        <f ca="1">_xll.BDH($C$553,"WORKING_CAPITAL_SEQ_GROWTH","FQ1 2017","FQ1 2017","Currency=INR","Period=FQ","BEST_FPERIOD_OVERRIDE=FQ","FILING_STATUS=OR","EQY_CONSOLIDATED=Y","Sort=A","Dates=H","DateFormat=P","Fill=—","Direction=H","UseDPDF=Y")</f>
        <v>#NAME?</v>
      </c>
      <c r="BR569" s="1" t="e">
        <f ca="1">_xll.BDH($C$553,"ACCOUNTS_PAYABLE_SEQ_GROWTH","FQ1 2017","FQ1 2017","Currency=INR","Period=FQ","BEST_FPERIOD_OVERRIDE=FQ","FILING_STATUS=OR","EQY_CONSOLIDATED=Y","Sort=A","Dates=H","DateFormat=P","Fill=—","Direction=H","UseDPDF=Y")</f>
        <v>#NAME?</v>
      </c>
      <c r="BS569" s="1" t="e">
        <f ca="1">_xll.BDH($C$553,"ST_DEBT_SEQUENTIAL_GROWTH","FQ1 2017","FQ1 2017","Currency=INR","Period=FQ","BEST_FPERIOD_OVERRIDE=FQ","FILING_STATUS=OR","EQY_CONSOLIDATED=Y","Sort=A","Dates=H","DateFormat=P","Fill=—","Direction=H","UseDPDF=Y")</f>
        <v>#NAME?</v>
      </c>
      <c r="BT569" s="1" t="e">
        <f ca="1">_xll.BDH($C$553,"TOTAL_DEBT_SEQUENTIAL_GROWTH","FQ1 2017","FQ1 2017","Currency=INR","Period=FQ","BEST_FPERIOD_OVERRIDE=FQ","FILING_STATUS=OR","EQY_CONSOLIDATED=Y","Sort=A","Dates=H","DateFormat=P","Fill=—","Direction=H","UseDPDF=Y")</f>
        <v>#NAME?</v>
      </c>
      <c r="BU569" s="1" t="e">
        <f ca="1">_xll.BDH($C$553,"TOTAL_EQUITY_SEQUENTIAL_GROWTH","FQ1 2017","FQ1 2017","Currency=INR","Period=FQ","BEST_FPERIOD_OVERRIDE=FQ","FILING_STATUS=OR","EQY_CONSOLIDATED=Y","Sort=A","Dates=H","DateFormat=P","Fill=—","Direction=H","UseDPDF=Y")</f>
        <v>#NAME?</v>
      </c>
      <c r="BV569" s="1" t="e">
        <f ca="1">_xll.BDH($C$553,"TOTAL_CAPITAL_SEQUENTIAL_GROWTH","FQ1 2017","FQ1 2017","Currency=INR","Period=FQ","BEST_FPERIOD_OVERRIDE=FQ","FILING_STATUS=OR","EQY_CONSOLIDATED=Y","Sort=A","Dates=H","DateFormat=P","Fill=—","Direction=H","UseDPDF=Y")</f>
        <v>#NAME?</v>
      </c>
      <c r="BW569" s="1" t="e">
        <f ca="1">_xll.BDH($C$553,"BPS_SEQUENTIAL_GROWTH","FQ1 2017","FQ1 2017","Currency=INR","Period=FQ","BEST_FPERIOD_OVERRIDE=FQ","FILING_STATUS=OR","EQY_CONSOLIDATED=Y","Sort=A","Dates=H","DateFormat=P","Fill=—","Direction=H","UseDPDF=Y")</f>
        <v>#NAME?</v>
      </c>
      <c r="BX569" s="1" t="e">
        <f ca="1">_xll.BDH($C$553,"CFO_SEQUENTIAL_GROWTH","FQ1 2017","FQ1 2017","Currency=INR","Period=FQ","BEST_FPERIOD_OVERRIDE=FQ","FILING_STATUS=OR","EQY_CONSOLIDATED=Y","Sort=A","Dates=H","DateFormat=P","Fill=—","Direction=H","UseDPDF=Y")</f>
        <v>#NAME?</v>
      </c>
      <c r="BY569" s="2" t="e">
        <f ca="1">_xll.BDH($C$553,"SHORT_AND_LONG_TERM_DEBT","FQ1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69" s="2" t="e">
        <f ca="1">_xll.BDH($C$553,"BS_ST_BORROW","FQ1 2017","FQ1 2017","Currency=INR","Period=FQ","BEST_FPERIOD_OVERRIDE=FQ","FILING_STATUS=OR","EQY_CONSOLIDATED=Y","SCALING_FORMAT=MLN","Sort=A","Dates=H","DateFormat=P","Fill=—","Direction=H","UseDPDF=Y")</f>
        <v>#NAME?</v>
      </c>
      <c r="CA569" s="2" t="e">
        <f ca="1">_xll.BDH($C$553,"BS_LT_BORROW","FQ1 2017","FQ1 2017","Currency=INR","Period=FQ","BEST_FPERIOD_OVERRIDE=FQ","FILING_STATUS=OR","EQY_CONSOLIDATED=Y","SCALING_FORMAT=MLN","Sort=A","Dates=H","DateFormat=P","Fill=—","Direction=H","UseDPDF=Y")</f>
        <v>#NAME?</v>
      </c>
      <c r="CB569" s="1" t="e">
        <f ca="1">_xll.BDH($C$553,"TOT_DEBT_TO_EBITDA","FQ1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69" s="1" t="e">
        <f ca="1">_xll.BDH($C$553,"NET_DEBT_TO_EBITDA","FQ1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69" s="1" t="e">
        <f ca="1">_xll.BDH($C$553,"TOTAL_DEBT_TO_EBIT","FQ1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69" s="1" t="e">
        <f ca="1">_xll.BDH($C$553,"NET_DEBT_TO_EBIT","FQ1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569" s="1" t="e">
        <f ca="1">_xll.BDH($C$553,"EBITDA_TO_INTEREST_EXPN","FQ1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69" s="1" t="e">
        <f ca="1">_xll.BDH($C$553,"COM_EQY_TO_TOT_ASSET","FQ1 2017","FQ1 2017","Currency=INR","Period=FQ","BEST_FPERIOD_OVERRIDE=FQ","FILING_STATUS=OR","EQY_CONSOLIDATED=Y","Sort=A","Dates=H","DateFormat=P","Fill=—","Direction=H","UseDPDF=Y")</f>
        <v>#NAME?</v>
      </c>
      <c r="CH569" s="1" t="e">
        <f ca="1">_xll.BDH($C$553,"LT_DEBT_TO_TOT_EQY","FQ1 2017","FQ1 2017","Currency=INR","Period=FQ","BEST_FPERIOD_OVERRIDE=FQ","FILING_STATUS=OR","EQY_CONSOLIDATED=Y","Sort=A","Dates=H","DateFormat=P","Fill=—","Direction=H","UseDPDF=Y")</f>
        <v>#NAME?</v>
      </c>
      <c r="CI569" s="1" t="e">
        <f ca="1">_xll.BDH($C$553,"LT_DEBT_TO_TOT_CAP","FQ1 2017","FQ1 2017","Currency=INR","Period=FQ","BEST_FPERIOD_OVERRIDE=FQ","FILING_STATUS=OR","EQY_CONSOLIDATED=Y","Sort=A","Dates=H","DateFormat=P","Fill=—","Direction=H","UseDPDF=Y")</f>
        <v>#NAME?</v>
      </c>
      <c r="CJ569" s="1" t="e">
        <f ca="1">_xll.BDH($C$553,"LT_DEBT_TO_TOT_ASSET","FQ1 2017","FQ1 2017","Currency=INR","Period=FQ","BEST_FPERIOD_OVERRIDE=FQ","FILING_STATUS=OR","EQY_CONSOLIDATED=Y","Sort=A","Dates=H","DateFormat=P","Fill=—","Direction=H","UseDPDF=Y")</f>
        <v>#NAME?</v>
      </c>
      <c r="CK569" s="1" t="e">
        <f ca="1">_xll.BDH($C$553,"TOT_DEBT_TO_TOT_EQY","FQ1 2017","FQ1 2017","Currency=INR","Period=FQ","BEST_FPERIOD_OVERRIDE=FQ","FILING_STATUS=OR","EQY_CONSOLIDATED=Y","Sort=A","Dates=H","DateFormat=P","Fill=—","Direction=H","UseDPDF=Y")</f>
        <v>#NAME?</v>
      </c>
      <c r="CL569" s="1" t="e">
        <f ca="1">_xll.BDH($C$553,"TOT_DEBT_TO_TOT_CAP","FQ1 2017","FQ1 2017","Currency=INR","Period=FQ","BEST_FPERIOD_OVERRIDE=FQ","FILING_STATUS=OR","EQY_CONSOLIDATED=Y","Sort=A","Dates=H","DateFormat=P","Fill=—","Direction=H","UseDPDF=Y")</f>
        <v>#NAME?</v>
      </c>
      <c r="CM569" s="1" t="e">
        <f ca="1">_xll.BDH($C$553,"TOT_DEBT_TO_TOT_ASSET","FQ1 2017","FQ1 2017","Currency=INR","Period=FQ","BEST_FPERIOD_OVERRIDE=FQ","FILING_STATUS=OR","EQY_CONSOLIDATED=Y","Sort=A","Dates=H","DateFormat=P","Fill=—","Direction=H","UseDPDF=Y")</f>
        <v>#NAME?</v>
      </c>
      <c r="CN569" s="1" t="e">
        <f ca="1">_xll.BDH($C$553,"NET_DEBT_TO_SHRHLDR_EQTY","FQ1 2017","FQ1 2017","Currency=INR","Period=FQ","BEST_FPERIOD_OVERRIDE=FQ","FILING_STATUS=OR","EQY_CONSOLIDATED=Y","Sort=A","Dates=H","DateFormat=P","Fill=—","Direction=H","UseDPDF=Y")</f>
        <v>#NAME?</v>
      </c>
      <c r="CO569" s="1" t="e">
        <f ca="1">_xll.BDH($C$553,"NET_DEBT_%_CAPITAL","FQ1 2017","FQ1 2017","Currency=INR","Period=FQ","BEST_FPERIOD_OVERRIDE=FQ","FILING_STATUS=OR","EQY_CONSOLIDATED=Y","Sort=A","Dates=H","DateFormat=P","Fill=—","Direction=H","UseDPDF=Y")</f>
        <v>#NAME?</v>
      </c>
      <c r="CP569" s="2" t="e">
        <f ca="1">_xll.BDH($C$553,"EBITDA","FQ1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69" s="2" t="e">
        <f ca="1">_xll.BDH($C$553,"EBITDA_AFTER_CAPEX","FQ1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69" s="2" t="e">
        <f ca="1">_xll.BDH($C$553,"IS_OPER_INC","FQ1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69" s="1" t="e">
        <f ca="1">_xll.BDH($C$553,"CASH_RATIO","FQ1 2017","FQ1 2017","Currency=INR","Period=FQ","BEST_FPERIOD_OVERRIDE=FQ","FILING_STATUS=OR","EQY_CONSOLIDATED=Y","Sort=A","Dates=H","DateFormat=P","Fill=—","Direction=H","UseDPDF=Y")</f>
        <v>#NAME?</v>
      </c>
      <c r="CT569" s="1" t="e">
        <f ca="1">_xll.BDH($C$553,"CUR_RATIO","FQ1 2017","FQ1 2017","Currency=INR","Period=FQ","BEST_FPERIOD_OVERRIDE=FQ","FILING_STATUS=OR","EQY_CONSOLIDATED=Y","Sort=A","Dates=H","DateFormat=P","Fill=—","Direction=H","UseDPDF=Y")</f>
        <v>#NAME?</v>
      </c>
      <c r="CU569" s="1" t="e">
        <f ca="1">_xll.BDH($C$553,"QUICK_RATIO","FQ1 2017","FQ1 2017","Currency=INR","Period=FQ","BEST_FPERIOD_OVERRIDE=FQ","FILING_STATUS=OR","EQY_CONSOLIDATED=Y","Sort=A","Dates=H","DateFormat=P","Fill=—","Direction=H","UseDPDF=Y")</f>
        <v>#NAME?</v>
      </c>
      <c r="CV569" s="1" t="e">
        <f ca="1">_xll.BDH($C$553,"ALTMAN_Z_SCORE","FQ1 2017","FQ1 2017","Currency=INR","Period=FQ","BEST_FPERIOD_OVERRIDE=FQ","FILING_STATUS=OR","EQY_CONSOLIDATED=Y","Sort=A","Dates=H","DateFormat=P","Fill=—","Direction=H","UseDPDF=Y")</f>
        <v>#NAME?</v>
      </c>
      <c r="CW569" s="3" t="e">
        <f ca="1">_xll.BDH($C$553,"ACCT_RCV_TURN","FQ1 2017","FQ1 2017","Currency=INR","Period=FQ","BEST_FPERIOD_OVERRIDE=FQ","FILING_STATUS=OR","EQY_CONSOLIDATED=Y","FA_ADJUSTED=GAAP","Sort=A","Dates=H","DateFormat=P","Fill=—","Direction=H","UseDPDF=Y")</f>
        <v>#NAME?</v>
      </c>
      <c r="CX569" s="1" t="e">
        <f ca="1">_xll.BDH($C$553,"ACCT_RCV_DAYS","FQ1 2017","FQ1 2017","Currency=INR","Period=FQ","BEST_FPERIOD_OVERRIDE=FQ","FILING_STATUS=OR","EQY_CONSOLIDATED=Y","FA_ADJUSTED=GAAP","Sort=A","Dates=H","DateFormat=P","Fill=—","Direction=H","UseDPDF=Y")</f>
        <v>#NAME?</v>
      </c>
      <c r="CY569" s="3" t="e">
        <f ca="1">_xll.BDH($C$553,"INVENT_TURN","FQ1 2017","FQ1 2017","Currency=INR","Period=FQ","BEST_FPERIOD_OVERRIDE=FQ","FILING_STATUS=OR","EQY_CONSOLIDATED=Y","FA_ADJUSTED=GAAP","Sort=A","Dates=H","DateFormat=P","Fill=—","Direction=H","UseDPDF=Y")</f>
        <v>#NAME?</v>
      </c>
      <c r="CZ569" s="1" t="e">
        <f ca="1">_xll.BDH($C$553,"INVENT_DAYS","FQ1 2017","FQ1 2017","Currency=INR","Period=FQ","BEST_FPERIOD_OVERRIDE=FQ","FILING_STATUS=OR","EQY_CONSOLIDATED=Y","FA_ADJUSTED=GAAP","Sort=A","Dates=H","DateFormat=P","Fill=—","Direction=H","UseDPDF=Y")</f>
        <v>#NAME?</v>
      </c>
      <c r="DA569" s="3" t="e">
        <f ca="1">_xll.BDH($C$553,"ACCOUNTS_PAYABLE_TURNOVER","FQ1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69" s="1" t="e">
        <f ca="1">_xll.BDH($C$553,"ACCOUNTS_PAYABLE_TURNOVER_DAYS","FQ1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69" s="3" t="e">
        <f ca="1">_xll.BDH($C$553,"CASH_CONVERSION_CYCLE","FQ1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69" s="3" t="e">
        <f ca="1">_xll.BDH($C$553,"INV_TO_CASH_DAYS","FQ1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569" s="4" t="e">
        <f ca="1">_xll.BDH($C$553,"BS_INVENTORIES","FQ1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569" s="2" t="e">
        <f ca="1">_xll.BDH($C$553,"INVTRY_RAW_MATERIALS","FQ1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69" s="2" t="e">
        <f ca="1">_xll.BDH($C$553,"INVTRY_IN_PROGRESS","FQ1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69" s="2" t="e">
        <f ca="1">_xll.BDH($C$553,"INVTRY_FINISHED_GOODS","FQ1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69" s="2" t="e">
        <f ca="1">_xll.BDH($C$553,"BS_OTHER_INV","FQ1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70" spans="1:113" x14ac:dyDescent="0.3">
      <c r="A570" s="6"/>
      <c r="B570" s="6"/>
      <c r="C570" s="6"/>
      <c r="D570" s="6"/>
      <c r="E570" t="s">
        <v>5</v>
      </c>
      <c r="F570" t="e">
        <f ca="1">_xll.BDH($C$553,"RETURN_COM_EQY","FQ2 2017","FQ2 2017","Currency=INR","Period=FQ","BEST_FPERIOD_OVERRIDE=FQ","FILING_STATUS=OR","EQY_CONSOLIDATED=Y","FA_ADJUSTED=GAAP","Sort=A","Dates=H","DateFormat=P","Fill=—","Direction=H","UseDPDF=Y")</f>
        <v>#NAME?</v>
      </c>
      <c r="G570" t="e">
        <f ca="1">_xll.BDH($C$553,"RETURN_ON_ASSET","FQ2 2017","FQ2 2017","Currency=INR","Period=FQ","BEST_FPERIOD_OVERRIDE=FQ","FILING_STATUS=OR","EQY_CONSOLIDATED=Y","FA_ADJUSTED=GAAP","Sort=A","Dates=H","DateFormat=P","Fill=—","Direction=H","UseDPDF=Y")</f>
        <v>#NAME?</v>
      </c>
      <c r="H570" t="e">
        <f ca="1">_xll.BDH($C$553,"RETURN_ON_CAP","FQ2 2017","FQ2 2017","Currency=INR","Period=FQ","BEST_FPERIOD_OVERRIDE=FQ","FILING_STATUS=OR","EQY_CONSOLIDATED=Y","FA_ADJUSTED=GAAP","Sort=A","Dates=H","DateFormat=P","Fill=—","Direction=H","UseDPDF=Y")</f>
        <v>#NAME?</v>
      </c>
      <c r="I570" t="e">
        <f ca="1">_xll.BDH($C$553,"RETURN_ON_INV_CAPITAL","FQ2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70" t="e">
        <f ca="1">_xll.BDH($C$553,"EBITDA_TO_REVENUE","FQ2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570" t="e">
        <f ca="1">_xll.BDH($C$553,"OPER_MARGIN","FQ2 2017","FQ2 2017","Currency=INR","Period=FQ","BEST_FPERIOD_OVERRIDE=FQ","FILING_STATUS=OR","EQY_CONSOLIDATED=Y","FA_ADJUSTED=GAAP","Sort=A","Dates=H","DateFormat=P","Fill=—","Direction=H","UseDPDF=Y")</f>
        <v>#NAME?</v>
      </c>
      <c r="L570" t="e">
        <f ca="1">_xll.BDH($C$553,"INCREMENTAL_OPERATING_MARGIN","FQ2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70" t="e">
        <f ca="1">_xll.BDH($C$553,"PRETAX_INC_TO_NET_SALES","FQ2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70" t="e">
        <f ca="1">_xll.BDH($C$553,"INC_BEF_XO_ITEMS_TO_NET_SALES","FQ2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70" t="e">
        <f ca="1">_xll.BDH($C$553,"PROF_MARGIN","FQ2 2017","FQ2 2017","Currency=INR","Period=FQ","BEST_FPERIOD_OVERRIDE=FQ","FILING_STATUS=OR","EQY_CONSOLIDATED=Y","FA_ADJUSTED=GAAP","Sort=A","Dates=H","DateFormat=P","Fill=—","Direction=H","UseDPDF=Y")</f>
        <v>#NAME?</v>
      </c>
      <c r="P570" t="e">
        <f ca="1">_xll.BDH($C$553,"NET_INCOME_TO_COMMON_MARGIN","FQ2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70" t="e">
        <f ca="1">_xll.BDH($C$553,"EFF_TAX_RATE","FQ2 2017","FQ2 2017","Currency=INR","Period=FQ","BEST_FPERIOD_OVERRIDE=FQ","FILING_STATUS=OR","EQY_CONSOLIDATED=Y","FA_ADJUSTED=GAAP","Sort=A","Dates=H","DateFormat=P","Fill=—","Direction=H","UseDPDF=Y")</f>
        <v>#NAME?</v>
      </c>
      <c r="R570" t="e">
        <f ca="1">_xll.BDH($C$553,"DVD_PAYOUT_RATIO","FQ2 2017","FQ2 2017","Currency=INR","Period=FQ","BEST_FPERIOD_OVERRIDE=FQ","FILING_STATUS=OR","EQY_CONSOLIDATED=Y","FA_ADJUSTED=GAAP","Sort=A","Dates=H","DateFormat=P","Fill=—","Direction=H","UseDPDF=Y")</f>
        <v>#NAME?</v>
      </c>
      <c r="S570" t="e">
        <f ca="1">_xll.BDH($C$553,"SUSTAIN_GROWTH_RT","FQ2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570" s="1" t="e">
        <f ca="1">_xll.BDH($C$553,"SALES_GROWTH","FQ2 2017","FQ2 2017","Currency=INR","Period=FQ","BEST_FPERIOD_OVERRIDE=FQ","FILING_STATUS=OR","EQY_CONSOLIDATED=Y","FA_ADJUSTED=GAAP","Sort=A","Dates=H","DateFormat=P","Fill=—","Direction=H","UseDPDF=Y")</f>
        <v>#NAME?</v>
      </c>
      <c r="U570" s="1" t="e">
        <f ca="1">_xll.BDH($C$553,"EBITDA_GROWTH","FQ2 2017","FQ2 2017","Currency=INR","Period=FQ","BEST_FPERIOD_OVERRIDE=FQ","FILING_STATUS=OR","EQY_CONSOLIDATED=Y","FA_ADJUSTED=GAAP","Sort=A","Dates=H","DateFormat=P","Fill=—","Direction=H","UseDPDF=Y")</f>
        <v>#NAME?</v>
      </c>
      <c r="V570" s="1" t="e">
        <f ca="1">_xll.BDH($C$553,"OPER_INC_GROWTH","FQ2 2017","FQ2 2017","Currency=INR","Period=FQ","BEST_FPERIOD_OVERRIDE=FQ","FILING_STATUS=OR","EQY_CONSOLIDATED=Y","FA_ADJUSTED=GAAP","Sort=A","Dates=H","DateFormat=P","Fill=—","Direction=H","UseDPDF=Y")</f>
        <v>#NAME?</v>
      </c>
      <c r="W570" s="1" t="e">
        <f ca="1">_xll.BDH($C$553,"EARN_FOR_COM_GROWTH","FQ2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70" s="1" t="e">
        <f ca="1">_xll.BDH($C$553,"DILUTED_EPS_AFT_XO_ITEMS_GROWTH","FQ2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70" s="1" t="e">
        <f ca="1">_xll.BDH($C$553,"DIVIDEND_PER_SHARE_1_YEAR_GROWTH","FQ2 2017","FQ2 2017","Currency=INR","Period=FQ","BEST_FPERIOD_OVERRIDE=FQ","FILING_STATUS=OR","EQY_CONSOLIDATED=Y","Sort=A","Dates=H","DateFormat=P","Fill=—","Direction=H","UseDPDF=Y")</f>
        <v>#NAME?</v>
      </c>
      <c r="Z570" s="1" t="e">
        <f ca="1">_xll.BDH($C$553,"ACCOUNTS_RECEIVABLE_GROWTH","FQ2 2017","FQ2 2017","Currency=INR","Period=FQ","BEST_FPERIOD_OVERRIDE=FQ","FILING_STATUS=OR","EQY_CONSOLIDATED=Y","Sort=A","Dates=H","DateFormat=P","Fill=—","Direction=H","UseDPDF=Y")</f>
        <v>#NAME?</v>
      </c>
      <c r="AA570" s="1" t="e">
        <f ca="1">_xll.BDH($C$553,"INVENTORY_GROWTH","FQ2 2017","FQ2 2017","Currency=INR","Period=FQ","BEST_FPERIOD_OVERRIDE=FQ","FILING_STATUS=OR","EQY_CONSOLIDATED=Y","Sort=A","Dates=H","DateFormat=P","Fill=—","Direction=H","UseDPDF=Y")</f>
        <v>#NAME?</v>
      </c>
      <c r="AB570" s="1" t="e">
        <f ca="1">_xll.BDH($C$553,"NET_FIXED_ASSETS_1_YEAR_GROWTH","FQ2 2017","FQ2 2017","Currency=INR","Period=FQ","BEST_FPERIOD_OVERRIDE=FQ","FILING_STATUS=OR","EQY_CONSOLIDATED=Y","Sort=A","Dates=H","DateFormat=P","Fill=—","Direction=H","UseDPDF=Y")</f>
        <v>#NAME?</v>
      </c>
      <c r="AC570" s="1" t="e">
        <f ca="1">_xll.BDH($C$553,"ASSET_GROWTH","FQ2 2017","FQ2 2017","Currency=INR","Period=FQ","BEST_FPERIOD_OVERRIDE=FQ","FILING_STATUS=OR","EQY_CONSOLIDATED=Y","Sort=A","Dates=H","DateFormat=P","Fill=—","Direction=H","UseDPDF=Y")</f>
        <v>#NAME?</v>
      </c>
      <c r="AD570" s="1" t="e">
        <f ca="1">_xll.BDH($C$553,"MODIFIED_WORK_CAP_GROWTH","FQ2 2017","FQ2 2017","Currency=INR","Period=FQ","BEST_FPERIOD_OVERRIDE=FQ","FILING_STATUS=OR","EQY_CONSOLIDATED=Y","Sort=A","Dates=H","DateFormat=P","Fill=—","Direction=H","UseDPDF=Y")</f>
        <v>#NAME?</v>
      </c>
      <c r="AE570" s="1" t="e">
        <f ca="1">_xll.BDH($C$553,"WORK_CAP_GROWTH","FQ2 2017","FQ2 2017","Currency=INR","Period=FQ","BEST_FPERIOD_OVERRIDE=FQ","FILING_STATUS=OR","EQY_CONSOLIDATED=Y","Sort=A","Dates=H","DateFormat=P","Fill=—","Direction=H","UseDPDF=Y")</f>
        <v>#NAME?</v>
      </c>
      <c r="AF570" s="1" t="e">
        <f ca="1">_xll.BDH($C$553,"ACCOUNTS_PAYABLE_GROWTH_1YR","FQ2 2017","FQ2 2017","Currency=INR","Period=FQ","BEST_FPERIOD_OVERRIDE=FQ","FILING_STATUS=OR","EQY_CONSOLIDATED=Y","Sort=A","Dates=H","DateFormat=P","Fill=—","Direction=H","UseDPDF=Y")</f>
        <v>#NAME?</v>
      </c>
      <c r="AG570" s="1" t="e">
        <f ca="1">_xll.BDH($C$553,"SHORT_TERM_DEBT_1_YEAR_GROWTH","FQ2 2017","FQ2 2017","Currency=INR","Period=FQ","BEST_FPERIOD_OVERRIDE=FQ","FILING_STATUS=OR","EQY_CONSOLIDATED=Y","Sort=A","Dates=H","DateFormat=P","Fill=—","Direction=H","UseDPDF=Y")</f>
        <v>#NAME?</v>
      </c>
      <c r="AH570" s="1" t="e">
        <f ca="1">_xll.BDH($C$553,"TOTAL_DEBT_1_YEAR_GROWTH","FQ2 2017","FQ2 2017","Currency=INR","Period=FQ","BEST_FPERIOD_OVERRIDE=FQ","FILING_STATUS=OR","EQY_CONSOLIDATED=Y","Sort=A","Dates=H","DateFormat=P","Fill=—","Direction=H","UseDPDF=Y")</f>
        <v>#NAME?</v>
      </c>
      <c r="AI570" s="1" t="e">
        <f ca="1">_xll.BDH($C$553,"TOTAL_EQUITY_1_YEAR_GROWTH","FQ2 2017","FQ2 2017","Currency=INR","Period=FQ","BEST_FPERIOD_OVERRIDE=FQ","FILING_STATUS=OR","EQY_CONSOLIDATED=Y","Sort=A","Dates=H","DateFormat=P","Fill=—","Direction=H","UseDPDF=Y")</f>
        <v>#NAME?</v>
      </c>
      <c r="AJ570" s="1" t="e">
        <f ca="1">_xll.BDH($C$553,"GROWTH_IN_CAP","FQ2 2017","FQ2 2017","Currency=INR","Period=FQ","BEST_FPERIOD_OVERRIDE=FQ","FILING_STATUS=OR","EQY_CONSOLIDATED=Y","Sort=A","Dates=H","DateFormat=P","Fill=—","Direction=H","UseDPDF=Y")</f>
        <v>#NAME?</v>
      </c>
      <c r="AK570" s="1" t="e">
        <f ca="1">_xll.BDH($C$553,"BVPS_GROWTH","FQ2 2017","FQ2 2017","Currency=INR","Period=FQ","BEST_FPERIOD_OVERRIDE=FQ","FILING_STATUS=OR","EQY_CONSOLIDATED=Y","Sort=A","Dates=H","DateFormat=P","Fill=—","Direction=H","UseDPDF=Y")</f>
        <v>#NAME?</v>
      </c>
      <c r="AL570" s="1" t="e">
        <f ca="1">_xll.BDH($C$553,"CASH_FLOW_GROWTH","FQ2 2017","FQ2 2017","Currency=INR","Period=FQ","BEST_FPERIOD_OVERRIDE=FQ","FILING_STATUS=OR","EQY_CONSOLIDATED=Y","Sort=A","Dates=H","DateFormat=P","Fill=—","Direction=H","UseDPDF=Y")</f>
        <v>#NAME?</v>
      </c>
      <c r="AM570" s="1" t="e">
        <f ca="1">_xll.BDH($C$553,"GEO_GROW_NET_SALES","FQ2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70" s="1" t="e">
        <f ca="1">_xll.BDH($C$553,"GEO_GROW_EBITDA","FQ2 2017","FQ2 2017","Currency=INR","Period=FQ","BEST_FPERIOD_OVERRIDE=FQ","FILING_STATUS=OR","EQY_CONSOLIDATED=Y","FA_ADJUSTED=GAAP","Sort=A","Dates=H","DateFormat=P","Fill=—","Direction=H","UseDPDF=Y")</f>
        <v>#NAME?</v>
      </c>
      <c r="AO570" s="1" t="e">
        <f ca="1">_xll.BDH($C$553,"GEO_GROW_OPER_INC","FQ2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70" s="1" t="e">
        <f ca="1">_xll.BDH($C$553,"NET_INCOME_TO_COMMON_5_YR_GROWTH","FQ2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70" s="1" t="e">
        <f ca="1">_xll.BDH($C$553,"5Y_GEO_GROWTH_DILUTED_EPS","FQ2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70" s="1" t="e">
        <f ca="1">_xll.BDH($C$553,"GEO_GROW_DVD_PER_SH","FQ2 2017","FQ2 2017","Currency=INR","Period=FQ","BEST_FPERIOD_OVERRIDE=FQ","FILING_STATUS=OR","EQY_CONSOLIDATED=Y","Sort=A","Dates=H","DateFormat=P","Fill=—","Direction=H","UseDPDF=Y")</f>
        <v>#NAME?</v>
      </c>
      <c r="AS570" s="1" t="e">
        <f ca="1">_xll.BDH($C$553,"ACCOUNTS_RECEIVABLE_5_YR_GROWTH","FQ2 2017","FQ2 2017","Currency=INR","Period=FQ","BEST_FPERIOD_OVERRIDE=FQ","FILING_STATUS=OR","EQY_CONSOLIDATED=Y","Sort=A","Dates=H","DateFormat=P","Fill=—","Direction=H","UseDPDF=Y")</f>
        <v>#NAME?</v>
      </c>
      <c r="AT570" s="1" t="e">
        <f ca="1">_xll.BDH($C$553,"INVENTORY_5_YEAR_GROWTH","FQ2 2017","FQ2 2017","Currency=INR","Period=FQ","BEST_FPERIOD_OVERRIDE=FQ","FILING_STATUS=OR","EQY_CONSOLIDATED=Y","Sort=A","Dates=H","DateFormat=P","Fill=—","Direction=H","UseDPDF=Y")</f>
        <v>#NAME?</v>
      </c>
      <c r="AU570" s="1" t="e">
        <f ca="1">_xll.BDH($C$553,"NET_FIXED_ASSETS_5_YEAR_GROWTH","FQ2 2017","FQ2 2017","Currency=INR","Period=FQ","BEST_FPERIOD_OVERRIDE=FQ","FILING_STATUS=OR","EQY_CONSOLIDATED=Y","Sort=A","Dates=H","DateFormat=P","Fill=—","Direction=H","UseDPDF=Y")</f>
        <v>#NAME?</v>
      </c>
      <c r="AV570" s="1" t="e">
        <f ca="1">_xll.BDH($C$553,"GEO_GROW_TOT_ASSET","FQ2 2017","FQ2 2017","Currency=INR","Period=FQ","BEST_FPERIOD_OVERRIDE=FQ","FILING_STATUS=OR","EQY_CONSOLIDATED=Y","Sort=A","Dates=H","DateFormat=P","Fill=—","Direction=H","UseDPDF=Y")</f>
        <v>#NAME?</v>
      </c>
      <c r="AW570" s="1" t="e">
        <f ca="1">_xll.BDH($C$553,"MODIFIED_WORKING_CPTL_5YR_GRWTH","FQ2 2017","FQ2 2017","Currency=INR","Period=FQ","BEST_FPERIOD_OVERRIDE=FQ","FILING_STATUS=OR","EQY_CONSOLIDATED=Y","Sort=A","Dates=H","DateFormat=P","Fill=—","Direction=H","UseDPDF=Y")</f>
        <v>#NAME?</v>
      </c>
      <c r="AX570" s="1" t="e">
        <f ca="1">_xll.BDH($C$553,"WORKING_CAPITAL_5_YEAR_GROWTH","FQ2 2017","FQ2 2017","Currency=INR","Period=FQ","BEST_FPERIOD_OVERRIDE=FQ","FILING_STATUS=OR","EQY_CONSOLIDATED=Y","Sort=A","Dates=H","DateFormat=P","Fill=—","Direction=H","UseDPDF=Y")</f>
        <v>#NAME?</v>
      </c>
      <c r="AY570" s="1" t="e">
        <f ca="1">_xll.BDH($C$553,"ACCOUNTS_PAYABLE_5_YEAR_GROWTH","FQ2 2017","FQ2 2017","Currency=INR","Period=FQ","BEST_FPERIOD_OVERRIDE=FQ","FILING_STATUS=OR","EQY_CONSOLIDATED=Y","Sort=A","Dates=H","DateFormat=P","Fill=—","Direction=H","UseDPDF=Y")</f>
        <v>#NAME?</v>
      </c>
      <c r="AZ570" s="1" t="e">
        <f ca="1">_xll.BDH($C$553,"SHORT_TERM_DEBT_5_YEAR_GROWTH","FQ2 2017","FQ2 2017","Currency=INR","Period=FQ","BEST_FPERIOD_OVERRIDE=FQ","FILING_STATUS=OR","EQY_CONSOLIDATED=Y","Sort=A","Dates=H","DateFormat=P","Fill=—","Direction=H","UseDPDF=Y")</f>
        <v>#NAME?</v>
      </c>
      <c r="BA570" s="1" t="e">
        <f ca="1">_xll.BDH($C$553,"TOTAL_DEBT_5_YEAR_GROWTH","FQ2 2017","FQ2 2017","Currency=INR","Period=FQ","BEST_FPERIOD_OVERRIDE=FQ","FILING_STATUS=OR","EQY_CONSOLIDATED=Y","Sort=A","Dates=H","DateFormat=P","Fill=—","Direction=H","UseDPDF=Y")</f>
        <v>#NAME?</v>
      </c>
      <c r="BB570" s="1" t="e">
        <f ca="1">_xll.BDH($C$553,"GEO_GROW_TOT_SHRHLDR_EQY","FQ2 2017","FQ2 2017","Currency=INR","Period=FQ","BEST_FPERIOD_OVERRIDE=FQ","FILING_STATUS=OR","EQY_CONSOLIDATED=Y","Sort=A","Dates=H","DateFormat=P","Fill=—","Direction=H","UseDPDF=Y")</f>
        <v>#NAME?</v>
      </c>
      <c r="BC570" s="1" t="e">
        <f ca="1">_xll.BDH($C$553,"TOTAL_CAPITAL_5_YEAR_GROWTH","FQ2 2017","FQ2 2017","Currency=INR","Period=FQ","BEST_FPERIOD_OVERRIDE=FQ","FILING_STATUS=OR","EQY_CONSOLIDATED=Y","Sort=A","Dates=H","DateFormat=P","Fill=—","Direction=H","UseDPDF=Y")</f>
        <v>#NAME?</v>
      </c>
      <c r="BD570" s="1" t="e">
        <f ca="1">_xll.BDH($C$553,"GEO_GROW_BOOK_VAL","FQ2 2017","FQ2 2017","Currency=INR","Period=FQ","BEST_FPERIOD_OVERRIDE=FQ","FILING_STATUS=OR","EQY_CONSOLIDATED=Y","Sort=A","Dates=H","DateFormat=P","Fill=—","Direction=H","UseDPDF=Y")</f>
        <v>#NAME?</v>
      </c>
      <c r="BE570" s="1" t="e">
        <f ca="1">_xll.BDH($C$553,"GEO_GROW_CASH_OPER_ACT","FQ2 2017","FQ2 2017","Currency=INR","Period=FQ","BEST_FPERIOD_OVERRIDE=FQ","FILING_STATUS=OR","EQY_CONSOLIDATED=Y","Sort=A","Dates=H","DateFormat=P","Fill=—","Direction=H","UseDPDF=Y")</f>
        <v>#NAME?</v>
      </c>
      <c r="BF570" s="1" t="e">
        <f ca="1">_xll.BDH($C$553,"REVENUE_SEQUENTIAL_GROWTH","FQ2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70" s="1" t="e">
        <f ca="1">_xll.BDH($C$553,"EBITDA_SEQUENTIAL_GROWTH","FQ2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70" s="1" t="e">
        <f ca="1">_xll.BDH($C$553,"OPERATING_INCOME_SEQ_GROWTH","FQ2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70" s="1" t="e">
        <f ca="1">_xll.BDH($C$553,"NET_INCOME_TO_COMMON_SEQ_GROWTH","FQ2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70" s="1" t="e">
        <f ca="1">_xll.BDH($C$553,"EPS_DILUTED_SEQUENTIAL_GROWTH","FQ2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70" s="1" t="e">
        <f ca="1">_xll.BDH($C$553,"DPS_SEQUENTIAL_GROWTH","FQ2 2017","FQ2 2017","Currency=INR","Period=FQ","BEST_FPERIOD_OVERRIDE=FQ","FILING_STATUS=OR","EQY_CONSOLIDATED=Y","Sort=A","Dates=H","DateFormat=P","Fill=—","Direction=H","UseDPDF=Y")</f>
        <v>#NAME?</v>
      </c>
      <c r="BL570" s="1" t="e">
        <f ca="1">_xll.BDH($C$553,"ACCOUNTS_RECEIVABLE_SEQ_GROWTH","FQ2 2017","FQ2 2017","Currency=INR","Period=FQ","BEST_FPERIOD_OVERRIDE=FQ","FILING_STATUS=OR","EQY_CONSOLIDATED=Y","Sort=A","Dates=H","DateFormat=P","Fill=—","Direction=H","UseDPDF=Y")</f>
        <v>#NAME?</v>
      </c>
      <c r="BM570" s="1" t="e">
        <f ca="1">_xll.BDH($C$553,"INVENTORY_SEQUENTIAL_GROWTH","FQ2 2017","FQ2 2017","Currency=INR","Period=FQ","BEST_FPERIOD_OVERRIDE=FQ","FILING_STATUS=OR","EQY_CONSOLIDATED=Y","Sort=A","Dates=H","DateFormat=P","Fill=—","Direction=H","UseDPDF=Y")</f>
        <v>#NAME?</v>
      </c>
      <c r="BN570" s="1" t="e">
        <f ca="1">_xll.BDH($C$553,"FIXED_ASSETS_SEQUENTIAL_GROWTH","FQ2 2017","FQ2 2017","Currency=INR","Period=FQ","BEST_FPERIOD_OVERRIDE=FQ","FILING_STATUS=OR","EQY_CONSOLIDATED=Y","Sort=A","Dates=H","DateFormat=P","Fill=—","Direction=H","UseDPDF=Y")</f>
        <v>#NAME?</v>
      </c>
      <c r="BO570" s="1" t="e">
        <f ca="1">_xll.BDH($C$553,"TOTAL_ASSETS_SEQUENTIAL_GROWTH","FQ2 2017","FQ2 2017","Currency=INR","Period=FQ","BEST_FPERIOD_OVERRIDE=FQ","FILING_STATUS=OR","EQY_CONSOLIDATED=Y","Sort=A","Dates=H","DateFormat=P","Fill=—","Direction=H","UseDPDF=Y")</f>
        <v>#NAME?</v>
      </c>
      <c r="BP570" s="1" t="e">
        <f ca="1">_xll.BDH($C$553,"MODIFIED_WORKING_CPTL_SEQ_GRWTH","FQ2 2017","FQ2 2017","Currency=INR","Period=FQ","BEST_FPERIOD_OVERRIDE=FQ","FILING_STATUS=OR","EQY_CONSOLIDATED=Y","Sort=A","Dates=H","DateFormat=P","Fill=—","Direction=H","UseDPDF=Y")</f>
        <v>#NAME?</v>
      </c>
      <c r="BQ570" s="1" t="e">
        <f ca="1">_xll.BDH($C$553,"WORKING_CAPITAL_SEQ_GROWTH","FQ2 2017","FQ2 2017","Currency=INR","Period=FQ","BEST_FPERIOD_OVERRIDE=FQ","FILING_STATUS=OR","EQY_CONSOLIDATED=Y","Sort=A","Dates=H","DateFormat=P","Fill=—","Direction=H","UseDPDF=Y")</f>
        <v>#NAME?</v>
      </c>
      <c r="BR570" s="1" t="e">
        <f ca="1">_xll.BDH($C$553,"ACCOUNTS_PAYABLE_SEQ_GROWTH","FQ2 2017","FQ2 2017","Currency=INR","Period=FQ","BEST_FPERIOD_OVERRIDE=FQ","FILING_STATUS=OR","EQY_CONSOLIDATED=Y","Sort=A","Dates=H","DateFormat=P","Fill=—","Direction=H","UseDPDF=Y")</f>
        <v>#NAME?</v>
      </c>
      <c r="BS570" s="1" t="e">
        <f ca="1">_xll.BDH($C$553,"ST_DEBT_SEQUENTIAL_GROWTH","FQ2 2017","FQ2 2017","Currency=INR","Period=FQ","BEST_FPERIOD_OVERRIDE=FQ","FILING_STATUS=OR","EQY_CONSOLIDATED=Y","Sort=A","Dates=H","DateFormat=P","Fill=—","Direction=H","UseDPDF=Y")</f>
        <v>#NAME?</v>
      </c>
      <c r="BT570" s="1" t="e">
        <f ca="1">_xll.BDH($C$553,"TOTAL_DEBT_SEQUENTIAL_GROWTH","FQ2 2017","FQ2 2017","Currency=INR","Period=FQ","BEST_FPERIOD_OVERRIDE=FQ","FILING_STATUS=OR","EQY_CONSOLIDATED=Y","Sort=A","Dates=H","DateFormat=P","Fill=—","Direction=H","UseDPDF=Y")</f>
        <v>#NAME?</v>
      </c>
      <c r="BU570" s="1" t="e">
        <f ca="1">_xll.BDH($C$553,"TOTAL_EQUITY_SEQUENTIAL_GROWTH","FQ2 2017","FQ2 2017","Currency=INR","Period=FQ","BEST_FPERIOD_OVERRIDE=FQ","FILING_STATUS=OR","EQY_CONSOLIDATED=Y","Sort=A","Dates=H","DateFormat=P","Fill=—","Direction=H","UseDPDF=Y")</f>
        <v>#NAME?</v>
      </c>
      <c r="BV570" s="1" t="e">
        <f ca="1">_xll.BDH($C$553,"TOTAL_CAPITAL_SEQUENTIAL_GROWTH","FQ2 2017","FQ2 2017","Currency=INR","Period=FQ","BEST_FPERIOD_OVERRIDE=FQ","FILING_STATUS=OR","EQY_CONSOLIDATED=Y","Sort=A","Dates=H","DateFormat=P","Fill=—","Direction=H","UseDPDF=Y")</f>
        <v>#NAME?</v>
      </c>
      <c r="BW570" s="1" t="e">
        <f ca="1">_xll.BDH($C$553,"BPS_SEQUENTIAL_GROWTH","FQ2 2017","FQ2 2017","Currency=INR","Period=FQ","BEST_FPERIOD_OVERRIDE=FQ","FILING_STATUS=OR","EQY_CONSOLIDATED=Y","Sort=A","Dates=H","DateFormat=P","Fill=—","Direction=H","UseDPDF=Y")</f>
        <v>#NAME?</v>
      </c>
      <c r="BX570" s="1" t="e">
        <f ca="1">_xll.BDH($C$553,"CFO_SEQUENTIAL_GROWTH","FQ2 2017","FQ2 2017","Currency=INR","Period=FQ","BEST_FPERIOD_OVERRIDE=FQ","FILING_STATUS=OR","EQY_CONSOLIDATED=Y","Sort=A","Dates=H","DateFormat=P","Fill=—","Direction=H","UseDPDF=Y")</f>
        <v>#NAME?</v>
      </c>
      <c r="BY570" s="2" t="e">
        <f ca="1">_xll.BDH($C$553,"SHORT_AND_LONG_TERM_DEBT","FQ2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70" s="2" t="e">
        <f ca="1">_xll.BDH($C$553,"BS_ST_BORROW","FQ2 2017","FQ2 2017","Currency=INR","Period=FQ","BEST_FPERIOD_OVERRIDE=FQ","FILING_STATUS=OR","EQY_CONSOLIDATED=Y","SCALING_FORMAT=MLN","Sort=A","Dates=H","DateFormat=P","Fill=—","Direction=H","UseDPDF=Y")</f>
        <v>#NAME?</v>
      </c>
      <c r="CA570" s="2" t="e">
        <f ca="1">_xll.BDH($C$553,"BS_LT_BORROW","FQ2 2017","FQ2 2017","Currency=INR","Period=FQ","BEST_FPERIOD_OVERRIDE=FQ","FILING_STATUS=OR","EQY_CONSOLIDATED=Y","SCALING_FORMAT=MLN","Sort=A","Dates=H","DateFormat=P","Fill=—","Direction=H","UseDPDF=Y")</f>
        <v>#NAME?</v>
      </c>
      <c r="CB570" s="1" t="e">
        <f ca="1">_xll.BDH($C$553,"TOT_DEBT_TO_EBITDA","FQ2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70" s="1" t="e">
        <f ca="1">_xll.BDH($C$553,"NET_DEBT_TO_EBITDA","FQ2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70" s="1" t="e">
        <f ca="1">_xll.BDH($C$553,"TOTAL_DEBT_TO_EBIT","FQ2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70" s="1" t="e">
        <f ca="1">_xll.BDH($C$553,"NET_DEBT_TO_EBIT","FQ2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570" s="1" t="e">
        <f ca="1">_xll.BDH($C$553,"EBITDA_TO_INTEREST_EXPN","FQ2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70" s="1" t="e">
        <f ca="1">_xll.BDH($C$553,"COM_EQY_TO_TOT_ASSET","FQ2 2017","FQ2 2017","Currency=INR","Period=FQ","BEST_FPERIOD_OVERRIDE=FQ","FILING_STATUS=OR","EQY_CONSOLIDATED=Y","Sort=A","Dates=H","DateFormat=P","Fill=—","Direction=H","UseDPDF=Y")</f>
        <v>#NAME?</v>
      </c>
      <c r="CH570" s="1" t="e">
        <f ca="1">_xll.BDH($C$553,"LT_DEBT_TO_TOT_EQY","FQ2 2017","FQ2 2017","Currency=INR","Period=FQ","BEST_FPERIOD_OVERRIDE=FQ","FILING_STATUS=OR","EQY_CONSOLIDATED=Y","Sort=A","Dates=H","DateFormat=P","Fill=—","Direction=H","UseDPDF=Y")</f>
        <v>#NAME?</v>
      </c>
      <c r="CI570" s="1" t="e">
        <f ca="1">_xll.BDH($C$553,"LT_DEBT_TO_TOT_CAP","FQ2 2017","FQ2 2017","Currency=INR","Period=FQ","BEST_FPERIOD_OVERRIDE=FQ","FILING_STATUS=OR","EQY_CONSOLIDATED=Y","Sort=A","Dates=H","DateFormat=P","Fill=—","Direction=H","UseDPDF=Y")</f>
        <v>#NAME?</v>
      </c>
      <c r="CJ570" s="1" t="e">
        <f ca="1">_xll.BDH($C$553,"LT_DEBT_TO_TOT_ASSET","FQ2 2017","FQ2 2017","Currency=INR","Period=FQ","BEST_FPERIOD_OVERRIDE=FQ","FILING_STATUS=OR","EQY_CONSOLIDATED=Y","Sort=A","Dates=H","DateFormat=P","Fill=—","Direction=H","UseDPDF=Y")</f>
        <v>#NAME?</v>
      </c>
      <c r="CK570" s="1" t="e">
        <f ca="1">_xll.BDH($C$553,"TOT_DEBT_TO_TOT_EQY","FQ2 2017","FQ2 2017","Currency=INR","Period=FQ","BEST_FPERIOD_OVERRIDE=FQ","FILING_STATUS=OR","EQY_CONSOLIDATED=Y","Sort=A","Dates=H","DateFormat=P","Fill=—","Direction=H","UseDPDF=Y")</f>
        <v>#NAME?</v>
      </c>
      <c r="CL570" s="1" t="e">
        <f ca="1">_xll.BDH($C$553,"TOT_DEBT_TO_TOT_CAP","FQ2 2017","FQ2 2017","Currency=INR","Period=FQ","BEST_FPERIOD_OVERRIDE=FQ","FILING_STATUS=OR","EQY_CONSOLIDATED=Y","Sort=A","Dates=H","DateFormat=P","Fill=—","Direction=H","UseDPDF=Y")</f>
        <v>#NAME?</v>
      </c>
      <c r="CM570" s="1" t="e">
        <f ca="1">_xll.BDH($C$553,"TOT_DEBT_TO_TOT_ASSET","FQ2 2017","FQ2 2017","Currency=INR","Period=FQ","BEST_FPERIOD_OVERRIDE=FQ","FILING_STATUS=OR","EQY_CONSOLIDATED=Y","Sort=A","Dates=H","DateFormat=P","Fill=—","Direction=H","UseDPDF=Y")</f>
        <v>#NAME?</v>
      </c>
      <c r="CN570" s="1" t="e">
        <f ca="1">_xll.BDH($C$553,"NET_DEBT_TO_SHRHLDR_EQTY","FQ2 2017","FQ2 2017","Currency=INR","Period=FQ","BEST_FPERIOD_OVERRIDE=FQ","FILING_STATUS=OR","EQY_CONSOLIDATED=Y","Sort=A","Dates=H","DateFormat=P","Fill=—","Direction=H","UseDPDF=Y")</f>
        <v>#NAME?</v>
      </c>
      <c r="CO570" s="1" t="e">
        <f ca="1">_xll.BDH($C$553,"NET_DEBT_%_CAPITAL","FQ2 2017","FQ2 2017","Currency=INR","Period=FQ","BEST_FPERIOD_OVERRIDE=FQ","FILING_STATUS=OR","EQY_CONSOLIDATED=Y","Sort=A","Dates=H","DateFormat=P","Fill=—","Direction=H","UseDPDF=Y")</f>
        <v>#NAME?</v>
      </c>
      <c r="CP570" s="2" t="e">
        <f ca="1">_xll.BDH($C$553,"EBITDA","FQ2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70" s="2" t="e">
        <f ca="1">_xll.BDH($C$553,"EBITDA_AFTER_CAPEX","FQ2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70" s="2" t="e">
        <f ca="1">_xll.BDH($C$553,"IS_OPER_INC","FQ2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70" s="1" t="e">
        <f ca="1">_xll.BDH($C$553,"CASH_RATIO","FQ2 2017","FQ2 2017","Currency=INR","Period=FQ","BEST_FPERIOD_OVERRIDE=FQ","FILING_STATUS=OR","EQY_CONSOLIDATED=Y","Sort=A","Dates=H","DateFormat=P","Fill=—","Direction=H","UseDPDF=Y")</f>
        <v>#NAME?</v>
      </c>
      <c r="CT570" s="1" t="e">
        <f ca="1">_xll.BDH($C$553,"CUR_RATIO","FQ2 2017","FQ2 2017","Currency=INR","Period=FQ","BEST_FPERIOD_OVERRIDE=FQ","FILING_STATUS=OR","EQY_CONSOLIDATED=Y","Sort=A","Dates=H","DateFormat=P","Fill=—","Direction=H","UseDPDF=Y")</f>
        <v>#NAME?</v>
      </c>
      <c r="CU570" s="1" t="e">
        <f ca="1">_xll.BDH($C$553,"QUICK_RATIO","FQ2 2017","FQ2 2017","Currency=INR","Period=FQ","BEST_FPERIOD_OVERRIDE=FQ","FILING_STATUS=OR","EQY_CONSOLIDATED=Y","Sort=A","Dates=H","DateFormat=P","Fill=—","Direction=H","UseDPDF=Y")</f>
        <v>#NAME?</v>
      </c>
      <c r="CV570" s="1" t="e">
        <f ca="1">_xll.BDH($C$553,"ALTMAN_Z_SCORE","FQ2 2017","FQ2 2017","Currency=INR","Period=FQ","BEST_FPERIOD_OVERRIDE=FQ","FILING_STATUS=OR","EQY_CONSOLIDATED=Y","Sort=A","Dates=H","DateFormat=P","Fill=—","Direction=H","UseDPDF=Y")</f>
        <v>#NAME?</v>
      </c>
      <c r="CW570" s="3" t="e">
        <f ca="1">_xll.BDH($C$553,"ACCT_RCV_TURN","FQ2 2017","FQ2 2017","Currency=INR","Period=FQ","BEST_FPERIOD_OVERRIDE=FQ","FILING_STATUS=OR","EQY_CONSOLIDATED=Y","FA_ADJUSTED=GAAP","Sort=A","Dates=H","DateFormat=P","Fill=—","Direction=H","UseDPDF=Y")</f>
        <v>#NAME?</v>
      </c>
      <c r="CX570" s="1" t="e">
        <f ca="1">_xll.BDH($C$553,"ACCT_RCV_DAYS","FQ2 2017","FQ2 2017","Currency=INR","Period=FQ","BEST_FPERIOD_OVERRIDE=FQ","FILING_STATUS=OR","EQY_CONSOLIDATED=Y","FA_ADJUSTED=GAAP","Sort=A","Dates=H","DateFormat=P","Fill=—","Direction=H","UseDPDF=Y")</f>
        <v>#NAME?</v>
      </c>
      <c r="CY570" s="3" t="e">
        <f ca="1">_xll.BDH($C$553,"INVENT_TURN","FQ2 2017","FQ2 2017","Currency=INR","Period=FQ","BEST_FPERIOD_OVERRIDE=FQ","FILING_STATUS=OR","EQY_CONSOLIDATED=Y","FA_ADJUSTED=GAAP","Sort=A","Dates=H","DateFormat=P","Fill=—","Direction=H","UseDPDF=Y")</f>
        <v>#NAME?</v>
      </c>
      <c r="CZ570" s="1" t="e">
        <f ca="1">_xll.BDH($C$553,"INVENT_DAYS","FQ2 2017","FQ2 2017","Currency=INR","Period=FQ","BEST_FPERIOD_OVERRIDE=FQ","FILING_STATUS=OR","EQY_CONSOLIDATED=Y","FA_ADJUSTED=GAAP","Sort=A","Dates=H","DateFormat=P","Fill=—","Direction=H","UseDPDF=Y")</f>
        <v>#NAME?</v>
      </c>
      <c r="DA570" s="3" t="e">
        <f ca="1">_xll.BDH($C$553,"ACCOUNTS_PAYABLE_TURNOVER","FQ2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70" s="1" t="e">
        <f ca="1">_xll.BDH($C$553,"ACCOUNTS_PAYABLE_TURNOVER_DAYS","FQ2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70" s="3" t="e">
        <f ca="1">_xll.BDH($C$553,"CASH_CONVERSION_CYCLE","FQ2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70" s="3" t="e">
        <f ca="1">_xll.BDH($C$553,"INV_TO_CASH_DAYS","FQ2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570" s="4" t="e">
        <f ca="1">_xll.BDH($C$553,"BS_INVENTORIES","FQ2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570" s="2" t="e">
        <f ca="1">_xll.BDH($C$553,"INVTRY_RAW_MATERIALS","FQ2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70" s="2" t="e">
        <f ca="1">_xll.BDH($C$553,"INVTRY_IN_PROGRESS","FQ2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70" s="2" t="e">
        <f ca="1">_xll.BDH($C$553,"INVTRY_FINISHED_GOODS","FQ2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70" s="2" t="e">
        <f ca="1">_xll.BDH($C$553,"BS_OTHER_INV","FQ2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71" spans="1:113" x14ac:dyDescent="0.3">
      <c r="A571" s="6"/>
      <c r="B571" s="6"/>
      <c r="C571" s="6"/>
      <c r="D571" s="6"/>
      <c r="E571" t="s">
        <v>6</v>
      </c>
      <c r="F571" t="e">
        <f ca="1">_xll.BDH($C$553,"RETURN_COM_EQY","FQ3 2017","FQ3 2017","Currency=INR","Period=FQ","BEST_FPERIOD_OVERRIDE=FQ","FILING_STATUS=OR","EQY_CONSOLIDATED=Y","FA_ADJUSTED=GAAP","Sort=A","Dates=H","DateFormat=P","Fill=—","Direction=H","UseDPDF=Y")</f>
        <v>#NAME?</v>
      </c>
      <c r="G571" t="e">
        <f ca="1">_xll.BDH($C$553,"RETURN_ON_ASSET","FQ3 2017","FQ3 2017","Currency=INR","Period=FQ","BEST_FPERIOD_OVERRIDE=FQ","FILING_STATUS=OR","EQY_CONSOLIDATED=Y","FA_ADJUSTED=GAAP","Sort=A","Dates=H","DateFormat=P","Fill=—","Direction=H","UseDPDF=Y")</f>
        <v>#NAME?</v>
      </c>
      <c r="H571" t="e">
        <f ca="1">_xll.BDH($C$553,"RETURN_ON_CAP","FQ3 2017","FQ3 2017","Currency=INR","Period=FQ","BEST_FPERIOD_OVERRIDE=FQ","FILING_STATUS=OR","EQY_CONSOLIDATED=Y","FA_ADJUSTED=GAAP","Sort=A","Dates=H","DateFormat=P","Fill=—","Direction=H","UseDPDF=Y")</f>
        <v>#NAME?</v>
      </c>
      <c r="I571" t="e">
        <f ca="1">_xll.BDH($C$553,"RETURN_ON_INV_CAPITAL","FQ3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71" t="e">
        <f ca="1">_xll.BDH($C$553,"EBITDA_TO_REVENUE","FQ3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571" t="e">
        <f ca="1">_xll.BDH($C$553,"OPER_MARGIN","FQ3 2017","FQ3 2017","Currency=INR","Period=FQ","BEST_FPERIOD_OVERRIDE=FQ","FILING_STATUS=OR","EQY_CONSOLIDATED=Y","FA_ADJUSTED=GAAP","Sort=A","Dates=H","DateFormat=P","Fill=—","Direction=H","UseDPDF=Y")</f>
        <v>#NAME?</v>
      </c>
      <c r="L571" t="e">
        <f ca="1">_xll.BDH($C$553,"INCREMENTAL_OPERATING_MARGIN","FQ3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71" t="e">
        <f ca="1">_xll.BDH($C$553,"PRETAX_INC_TO_NET_SALES","FQ3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71" t="e">
        <f ca="1">_xll.BDH($C$553,"INC_BEF_XO_ITEMS_TO_NET_SALES","FQ3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71" t="e">
        <f ca="1">_xll.BDH($C$553,"PROF_MARGIN","FQ3 2017","FQ3 2017","Currency=INR","Period=FQ","BEST_FPERIOD_OVERRIDE=FQ","FILING_STATUS=OR","EQY_CONSOLIDATED=Y","FA_ADJUSTED=GAAP","Sort=A","Dates=H","DateFormat=P","Fill=—","Direction=H","UseDPDF=Y")</f>
        <v>#NAME?</v>
      </c>
      <c r="P571" t="e">
        <f ca="1">_xll.BDH($C$553,"NET_INCOME_TO_COMMON_MARGIN","FQ3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71" t="e">
        <f ca="1">_xll.BDH($C$553,"EFF_TAX_RATE","FQ3 2017","FQ3 2017","Currency=INR","Period=FQ","BEST_FPERIOD_OVERRIDE=FQ","FILING_STATUS=OR","EQY_CONSOLIDATED=Y","FA_ADJUSTED=GAAP","Sort=A","Dates=H","DateFormat=P","Fill=—","Direction=H","UseDPDF=Y")</f>
        <v>#NAME?</v>
      </c>
      <c r="R571" t="e">
        <f ca="1">_xll.BDH($C$553,"DVD_PAYOUT_RATIO","FQ3 2017","FQ3 2017","Currency=INR","Period=FQ","BEST_FPERIOD_OVERRIDE=FQ","FILING_STATUS=OR","EQY_CONSOLIDATED=Y","FA_ADJUSTED=GAAP","Sort=A","Dates=H","DateFormat=P","Fill=—","Direction=H","UseDPDF=Y")</f>
        <v>#NAME?</v>
      </c>
      <c r="S571" t="e">
        <f ca="1">_xll.BDH($C$553,"SUSTAIN_GROWTH_RT","FQ3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571" s="1" t="e">
        <f ca="1">_xll.BDH($C$553,"SALES_GROWTH","FQ3 2017","FQ3 2017","Currency=INR","Period=FQ","BEST_FPERIOD_OVERRIDE=FQ","FILING_STATUS=OR","EQY_CONSOLIDATED=Y","FA_ADJUSTED=GAAP","Sort=A","Dates=H","DateFormat=P","Fill=—","Direction=H","UseDPDF=Y")</f>
        <v>#NAME?</v>
      </c>
      <c r="U571" s="1" t="e">
        <f ca="1">_xll.BDH($C$553,"EBITDA_GROWTH","FQ3 2017","FQ3 2017","Currency=INR","Period=FQ","BEST_FPERIOD_OVERRIDE=FQ","FILING_STATUS=OR","EQY_CONSOLIDATED=Y","FA_ADJUSTED=GAAP","Sort=A","Dates=H","DateFormat=P","Fill=—","Direction=H","UseDPDF=Y")</f>
        <v>#NAME?</v>
      </c>
      <c r="V571" s="1" t="e">
        <f ca="1">_xll.BDH($C$553,"OPER_INC_GROWTH","FQ3 2017","FQ3 2017","Currency=INR","Period=FQ","BEST_FPERIOD_OVERRIDE=FQ","FILING_STATUS=OR","EQY_CONSOLIDATED=Y","FA_ADJUSTED=GAAP","Sort=A","Dates=H","DateFormat=P","Fill=—","Direction=H","UseDPDF=Y")</f>
        <v>#NAME?</v>
      </c>
      <c r="W571" s="1" t="e">
        <f ca="1">_xll.BDH($C$553,"EARN_FOR_COM_GROWTH","FQ3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71" s="1" t="e">
        <f ca="1">_xll.BDH($C$553,"DILUTED_EPS_AFT_XO_ITEMS_GROWTH","FQ3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71" s="1" t="e">
        <f ca="1">_xll.BDH($C$553,"DIVIDEND_PER_SHARE_1_YEAR_GROWTH","FQ3 2017","FQ3 2017","Currency=INR","Period=FQ","BEST_FPERIOD_OVERRIDE=FQ","FILING_STATUS=OR","EQY_CONSOLIDATED=Y","Sort=A","Dates=H","DateFormat=P","Fill=—","Direction=H","UseDPDF=Y")</f>
        <v>#NAME?</v>
      </c>
      <c r="Z571" s="1" t="e">
        <f ca="1">_xll.BDH($C$553,"ACCOUNTS_RECEIVABLE_GROWTH","FQ3 2017","FQ3 2017","Currency=INR","Period=FQ","BEST_FPERIOD_OVERRIDE=FQ","FILING_STATUS=OR","EQY_CONSOLIDATED=Y","Sort=A","Dates=H","DateFormat=P","Fill=—","Direction=H","UseDPDF=Y")</f>
        <v>#NAME?</v>
      </c>
      <c r="AA571" s="1" t="e">
        <f ca="1">_xll.BDH($C$553,"INVENTORY_GROWTH","FQ3 2017","FQ3 2017","Currency=INR","Period=FQ","BEST_FPERIOD_OVERRIDE=FQ","FILING_STATUS=OR","EQY_CONSOLIDATED=Y","Sort=A","Dates=H","DateFormat=P","Fill=—","Direction=H","UseDPDF=Y")</f>
        <v>#NAME?</v>
      </c>
      <c r="AB571" s="1" t="e">
        <f ca="1">_xll.BDH($C$553,"NET_FIXED_ASSETS_1_YEAR_GROWTH","FQ3 2017","FQ3 2017","Currency=INR","Period=FQ","BEST_FPERIOD_OVERRIDE=FQ","FILING_STATUS=OR","EQY_CONSOLIDATED=Y","Sort=A","Dates=H","DateFormat=P","Fill=—","Direction=H","UseDPDF=Y")</f>
        <v>#NAME?</v>
      </c>
      <c r="AC571" s="1" t="e">
        <f ca="1">_xll.BDH($C$553,"ASSET_GROWTH","FQ3 2017","FQ3 2017","Currency=INR","Period=FQ","BEST_FPERIOD_OVERRIDE=FQ","FILING_STATUS=OR","EQY_CONSOLIDATED=Y","Sort=A","Dates=H","DateFormat=P","Fill=—","Direction=H","UseDPDF=Y")</f>
        <v>#NAME?</v>
      </c>
      <c r="AD571" s="1" t="e">
        <f ca="1">_xll.BDH($C$553,"MODIFIED_WORK_CAP_GROWTH","FQ3 2017","FQ3 2017","Currency=INR","Period=FQ","BEST_FPERIOD_OVERRIDE=FQ","FILING_STATUS=OR","EQY_CONSOLIDATED=Y","Sort=A","Dates=H","DateFormat=P","Fill=—","Direction=H","UseDPDF=Y")</f>
        <v>#NAME?</v>
      </c>
      <c r="AE571" s="1" t="e">
        <f ca="1">_xll.BDH($C$553,"WORK_CAP_GROWTH","FQ3 2017","FQ3 2017","Currency=INR","Period=FQ","BEST_FPERIOD_OVERRIDE=FQ","FILING_STATUS=OR","EQY_CONSOLIDATED=Y","Sort=A","Dates=H","DateFormat=P","Fill=—","Direction=H","UseDPDF=Y")</f>
        <v>#NAME?</v>
      </c>
      <c r="AF571" s="1" t="e">
        <f ca="1">_xll.BDH($C$553,"ACCOUNTS_PAYABLE_GROWTH_1YR","FQ3 2017","FQ3 2017","Currency=INR","Period=FQ","BEST_FPERIOD_OVERRIDE=FQ","FILING_STATUS=OR","EQY_CONSOLIDATED=Y","Sort=A","Dates=H","DateFormat=P","Fill=—","Direction=H","UseDPDF=Y")</f>
        <v>#NAME?</v>
      </c>
      <c r="AG571" s="1" t="e">
        <f ca="1">_xll.BDH($C$553,"SHORT_TERM_DEBT_1_YEAR_GROWTH","FQ3 2017","FQ3 2017","Currency=INR","Period=FQ","BEST_FPERIOD_OVERRIDE=FQ","FILING_STATUS=OR","EQY_CONSOLIDATED=Y","Sort=A","Dates=H","DateFormat=P","Fill=—","Direction=H","UseDPDF=Y")</f>
        <v>#NAME?</v>
      </c>
      <c r="AH571" s="1" t="e">
        <f ca="1">_xll.BDH($C$553,"TOTAL_DEBT_1_YEAR_GROWTH","FQ3 2017","FQ3 2017","Currency=INR","Period=FQ","BEST_FPERIOD_OVERRIDE=FQ","FILING_STATUS=OR","EQY_CONSOLIDATED=Y","Sort=A","Dates=H","DateFormat=P","Fill=—","Direction=H","UseDPDF=Y")</f>
        <v>#NAME?</v>
      </c>
      <c r="AI571" s="1" t="e">
        <f ca="1">_xll.BDH($C$553,"TOTAL_EQUITY_1_YEAR_GROWTH","FQ3 2017","FQ3 2017","Currency=INR","Period=FQ","BEST_FPERIOD_OVERRIDE=FQ","FILING_STATUS=OR","EQY_CONSOLIDATED=Y","Sort=A","Dates=H","DateFormat=P","Fill=—","Direction=H","UseDPDF=Y")</f>
        <v>#NAME?</v>
      </c>
      <c r="AJ571" s="1" t="e">
        <f ca="1">_xll.BDH($C$553,"GROWTH_IN_CAP","FQ3 2017","FQ3 2017","Currency=INR","Period=FQ","BEST_FPERIOD_OVERRIDE=FQ","FILING_STATUS=OR","EQY_CONSOLIDATED=Y","Sort=A","Dates=H","DateFormat=P","Fill=—","Direction=H","UseDPDF=Y")</f>
        <v>#NAME?</v>
      </c>
      <c r="AK571" s="1" t="e">
        <f ca="1">_xll.BDH($C$553,"BVPS_GROWTH","FQ3 2017","FQ3 2017","Currency=INR","Period=FQ","BEST_FPERIOD_OVERRIDE=FQ","FILING_STATUS=OR","EQY_CONSOLIDATED=Y","Sort=A","Dates=H","DateFormat=P","Fill=—","Direction=H","UseDPDF=Y")</f>
        <v>#NAME?</v>
      </c>
      <c r="AL571" s="1" t="e">
        <f ca="1">_xll.BDH($C$553,"CASH_FLOW_GROWTH","FQ3 2017","FQ3 2017","Currency=INR","Period=FQ","BEST_FPERIOD_OVERRIDE=FQ","FILING_STATUS=OR","EQY_CONSOLIDATED=Y","Sort=A","Dates=H","DateFormat=P","Fill=—","Direction=H","UseDPDF=Y")</f>
        <v>#NAME?</v>
      </c>
      <c r="AM571" s="1" t="e">
        <f ca="1">_xll.BDH($C$553,"GEO_GROW_NET_SALES","FQ3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71" s="1" t="e">
        <f ca="1">_xll.BDH($C$553,"GEO_GROW_EBITDA","FQ3 2017","FQ3 2017","Currency=INR","Period=FQ","BEST_FPERIOD_OVERRIDE=FQ","FILING_STATUS=OR","EQY_CONSOLIDATED=Y","FA_ADJUSTED=GAAP","Sort=A","Dates=H","DateFormat=P","Fill=—","Direction=H","UseDPDF=Y")</f>
        <v>#NAME?</v>
      </c>
      <c r="AO571" s="1" t="e">
        <f ca="1">_xll.BDH($C$553,"GEO_GROW_OPER_INC","FQ3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71" s="1" t="e">
        <f ca="1">_xll.BDH($C$553,"NET_INCOME_TO_COMMON_5_YR_GROWTH","FQ3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71" s="1" t="e">
        <f ca="1">_xll.BDH($C$553,"5Y_GEO_GROWTH_DILUTED_EPS","FQ3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71" s="1" t="e">
        <f ca="1">_xll.BDH($C$553,"GEO_GROW_DVD_PER_SH","FQ3 2017","FQ3 2017","Currency=INR","Period=FQ","BEST_FPERIOD_OVERRIDE=FQ","FILING_STATUS=OR","EQY_CONSOLIDATED=Y","Sort=A","Dates=H","DateFormat=P","Fill=—","Direction=H","UseDPDF=Y")</f>
        <v>#NAME?</v>
      </c>
      <c r="AS571" s="1" t="e">
        <f ca="1">_xll.BDH($C$553,"ACCOUNTS_RECEIVABLE_5_YR_GROWTH","FQ3 2017","FQ3 2017","Currency=INR","Period=FQ","BEST_FPERIOD_OVERRIDE=FQ","FILING_STATUS=OR","EQY_CONSOLIDATED=Y","Sort=A","Dates=H","DateFormat=P","Fill=—","Direction=H","UseDPDF=Y")</f>
        <v>#NAME?</v>
      </c>
      <c r="AT571" s="1" t="e">
        <f ca="1">_xll.BDH($C$553,"INVENTORY_5_YEAR_GROWTH","FQ3 2017","FQ3 2017","Currency=INR","Period=FQ","BEST_FPERIOD_OVERRIDE=FQ","FILING_STATUS=OR","EQY_CONSOLIDATED=Y","Sort=A","Dates=H","DateFormat=P","Fill=—","Direction=H","UseDPDF=Y")</f>
        <v>#NAME?</v>
      </c>
      <c r="AU571" s="1" t="e">
        <f ca="1">_xll.BDH($C$553,"NET_FIXED_ASSETS_5_YEAR_GROWTH","FQ3 2017","FQ3 2017","Currency=INR","Period=FQ","BEST_FPERIOD_OVERRIDE=FQ","FILING_STATUS=OR","EQY_CONSOLIDATED=Y","Sort=A","Dates=H","DateFormat=P","Fill=—","Direction=H","UseDPDF=Y")</f>
        <v>#NAME?</v>
      </c>
      <c r="AV571" s="1" t="e">
        <f ca="1">_xll.BDH($C$553,"GEO_GROW_TOT_ASSET","FQ3 2017","FQ3 2017","Currency=INR","Period=FQ","BEST_FPERIOD_OVERRIDE=FQ","FILING_STATUS=OR","EQY_CONSOLIDATED=Y","Sort=A","Dates=H","DateFormat=P","Fill=—","Direction=H","UseDPDF=Y")</f>
        <v>#NAME?</v>
      </c>
      <c r="AW571" s="1" t="e">
        <f ca="1">_xll.BDH($C$553,"MODIFIED_WORKING_CPTL_5YR_GRWTH","FQ3 2017","FQ3 2017","Currency=INR","Period=FQ","BEST_FPERIOD_OVERRIDE=FQ","FILING_STATUS=OR","EQY_CONSOLIDATED=Y","Sort=A","Dates=H","DateFormat=P","Fill=—","Direction=H","UseDPDF=Y")</f>
        <v>#NAME?</v>
      </c>
      <c r="AX571" s="1" t="e">
        <f ca="1">_xll.BDH($C$553,"WORKING_CAPITAL_5_YEAR_GROWTH","FQ3 2017","FQ3 2017","Currency=INR","Period=FQ","BEST_FPERIOD_OVERRIDE=FQ","FILING_STATUS=OR","EQY_CONSOLIDATED=Y","Sort=A","Dates=H","DateFormat=P","Fill=—","Direction=H","UseDPDF=Y")</f>
        <v>#NAME?</v>
      </c>
      <c r="AY571" s="1" t="e">
        <f ca="1">_xll.BDH($C$553,"ACCOUNTS_PAYABLE_5_YEAR_GROWTH","FQ3 2017","FQ3 2017","Currency=INR","Period=FQ","BEST_FPERIOD_OVERRIDE=FQ","FILING_STATUS=OR","EQY_CONSOLIDATED=Y","Sort=A","Dates=H","DateFormat=P","Fill=—","Direction=H","UseDPDF=Y")</f>
        <v>#NAME?</v>
      </c>
      <c r="AZ571" s="1" t="e">
        <f ca="1">_xll.BDH($C$553,"SHORT_TERM_DEBT_5_YEAR_GROWTH","FQ3 2017","FQ3 2017","Currency=INR","Period=FQ","BEST_FPERIOD_OVERRIDE=FQ","FILING_STATUS=OR","EQY_CONSOLIDATED=Y","Sort=A","Dates=H","DateFormat=P","Fill=—","Direction=H","UseDPDF=Y")</f>
        <v>#NAME?</v>
      </c>
      <c r="BA571" s="1" t="e">
        <f ca="1">_xll.BDH($C$553,"TOTAL_DEBT_5_YEAR_GROWTH","FQ3 2017","FQ3 2017","Currency=INR","Period=FQ","BEST_FPERIOD_OVERRIDE=FQ","FILING_STATUS=OR","EQY_CONSOLIDATED=Y","Sort=A","Dates=H","DateFormat=P","Fill=—","Direction=H","UseDPDF=Y")</f>
        <v>#NAME?</v>
      </c>
      <c r="BB571" s="1" t="e">
        <f ca="1">_xll.BDH($C$553,"GEO_GROW_TOT_SHRHLDR_EQY","FQ3 2017","FQ3 2017","Currency=INR","Period=FQ","BEST_FPERIOD_OVERRIDE=FQ","FILING_STATUS=OR","EQY_CONSOLIDATED=Y","Sort=A","Dates=H","DateFormat=P","Fill=—","Direction=H","UseDPDF=Y")</f>
        <v>#NAME?</v>
      </c>
      <c r="BC571" s="1" t="e">
        <f ca="1">_xll.BDH($C$553,"TOTAL_CAPITAL_5_YEAR_GROWTH","FQ3 2017","FQ3 2017","Currency=INR","Period=FQ","BEST_FPERIOD_OVERRIDE=FQ","FILING_STATUS=OR","EQY_CONSOLIDATED=Y","Sort=A","Dates=H","DateFormat=P","Fill=—","Direction=H","UseDPDF=Y")</f>
        <v>#NAME?</v>
      </c>
      <c r="BD571" s="1" t="e">
        <f ca="1">_xll.BDH($C$553,"GEO_GROW_BOOK_VAL","FQ3 2017","FQ3 2017","Currency=INR","Period=FQ","BEST_FPERIOD_OVERRIDE=FQ","FILING_STATUS=OR","EQY_CONSOLIDATED=Y","Sort=A","Dates=H","DateFormat=P","Fill=—","Direction=H","UseDPDF=Y")</f>
        <v>#NAME?</v>
      </c>
      <c r="BE571" s="1" t="e">
        <f ca="1">_xll.BDH($C$553,"GEO_GROW_CASH_OPER_ACT","FQ3 2017","FQ3 2017","Currency=INR","Period=FQ","BEST_FPERIOD_OVERRIDE=FQ","FILING_STATUS=OR","EQY_CONSOLIDATED=Y","Sort=A","Dates=H","DateFormat=P","Fill=—","Direction=H","UseDPDF=Y")</f>
        <v>#NAME?</v>
      </c>
      <c r="BF571" s="1" t="e">
        <f ca="1">_xll.BDH($C$553,"REVENUE_SEQUENTIAL_GROWTH","FQ3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71" s="1" t="e">
        <f ca="1">_xll.BDH($C$553,"EBITDA_SEQUENTIAL_GROWTH","FQ3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71" s="1" t="e">
        <f ca="1">_xll.BDH($C$553,"OPERATING_INCOME_SEQ_GROWTH","FQ3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71" s="1" t="e">
        <f ca="1">_xll.BDH($C$553,"NET_INCOME_TO_COMMON_SEQ_GROWTH","FQ3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71" s="1" t="e">
        <f ca="1">_xll.BDH($C$553,"EPS_DILUTED_SEQUENTIAL_GROWTH","FQ3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71" s="1" t="e">
        <f ca="1">_xll.BDH($C$553,"DPS_SEQUENTIAL_GROWTH","FQ3 2017","FQ3 2017","Currency=INR","Period=FQ","BEST_FPERIOD_OVERRIDE=FQ","FILING_STATUS=OR","EQY_CONSOLIDATED=Y","Sort=A","Dates=H","DateFormat=P","Fill=—","Direction=H","UseDPDF=Y")</f>
        <v>#NAME?</v>
      </c>
      <c r="BL571" s="1" t="e">
        <f ca="1">_xll.BDH($C$553,"ACCOUNTS_RECEIVABLE_SEQ_GROWTH","FQ3 2017","FQ3 2017","Currency=INR","Period=FQ","BEST_FPERIOD_OVERRIDE=FQ","FILING_STATUS=OR","EQY_CONSOLIDATED=Y","Sort=A","Dates=H","DateFormat=P","Fill=—","Direction=H","UseDPDF=Y")</f>
        <v>#NAME?</v>
      </c>
      <c r="BM571" s="1" t="e">
        <f ca="1">_xll.BDH($C$553,"INVENTORY_SEQUENTIAL_GROWTH","FQ3 2017","FQ3 2017","Currency=INR","Period=FQ","BEST_FPERIOD_OVERRIDE=FQ","FILING_STATUS=OR","EQY_CONSOLIDATED=Y","Sort=A","Dates=H","DateFormat=P","Fill=—","Direction=H","UseDPDF=Y")</f>
        <v>#NAME?</v>
      </c>
      <c r="BN571" s="1" t="e">
        <f ca="1">_xll.BDH($C$553,"FIXED_ASSETS_SEQUENTIAL_GROWTH","FQ3 2017","FQ3 2017","Currency=INR","Period=FQ","BEST_FPERIOD_OVERRIDE=FQ","FILING_STATUS=OR","EQY_CONSOLIDATED=Y","Sort=A","Dates=H","DateFormat=P","Fill=—","Direction=H","UseDPDF=Y")</f>
        <v>#NAME?</v>
      </c>
      <c r="BO571" s="1" t="e">
        <f ca="1">_xll.BDH($C$553,"TOTAL_ASSETS_SEQUENTIAL_GROWTH","FQ3 2017","FQ3 2017","Currency=INR","Period=FQ","BEST_FPERIOD_OVERRIDE=FQ","FILING_STATUS=OR","EQY_CONSOLIDATED=Y","Sort=A","Dates=H","DateFormat=P","Fill=—","Direction=H","UseDPDF=Y")</f>
        <v>#NAME?</v>
      </c>
      <c r="BP571" s="1" t="e">
        <f ca="1">_xll.BDH($C$553,"MODIFIED_WORKING_CPTL_SEQ_GRWTH","FQ3 2017","FQ3 2017","Currency=INR","Period=FQ","BEST_FPERIOD_OVERRIDE=FQ","FILING_STATUS=OR","EQY_CONSOLIDATED=Y","Sort=A","Dates=H","DateFormat=P","Fill=—","Direction=H","UseDPDF=Y")</f>
        <v>#NAME?</v>
      </c>
      <c r="BQ571" s="1" t="e">
        <f ca="1">_xll.BDH($C$553,"WORKING_CAPITAL_SEQ_GROWTH","FQ3 2017","FQ3 2017","Currency=INR","Period=FQ","BEST_FPERIOD_OVERRIDE=FQ","FILING_STATUS=OR","EQY_CONSOLIDATED=Y","Sort=A","Dates=H","DateFormat=P","Fill=—","Direction=H","UseDPDF=Y")</f>
        <v>#NAME?</v>
      </c>
      <c r="BR571" s="1" t="e">
        <f ca="1">_xll.BDH($C$553,"ACCOUNTS_PAYABLE_SEQ_GROWTH","FQ3 2017","FQ3 2017","Currency=INR","Period=FQ","BEST_FPERIOD_OVERRIDE=FQ","FILING_STATUS=OR","EQY_CONSOLIDATED=Y","Sort=A","Dates=H","DateFormat=P","Fill=—","Direction=H","UseDPDF=Y")</f>
        <v>#NAME?</v>
      </c>
      <c r="BS571" s="1" t="e">
        <f ca="1">_xll.BDH($C$553,"ST_DEBT_SEQUENTIAL_GROWTH","FQ3 2017","FQ3 2017","Currency=INR","Period=FQ","BEST_FPERIOD_OVERRIDE=FQ","FILING_STATUS=OR","EQY_CONSOLIDATED=Y","Sort=A","Dates=H","DateFormat=P","Fill=—","Direction=H","UseDPDF=Y")</f>
        <v>#NAME?</v>
      </c>
      <c r="BT571" s="1" t="e">
        <f ca="1">_xll.BDH($C$553,"TOTAL_DEBT_SEQUENTIAL_GROWTH","FQ3 2017","FQ3 2017","Currency=INR","Period=FQ","BEST_FPERIOD_OVERRIDE=FQ","FILING_STATUS=OR","EQY_CONSOLIDATED=Y","Sort=A","Dates=H","DateFormat=P","Fill=—","Direction=H","UseDPDF=Y")</f>
        <v>#NAME?</v>
      </c>
      <c r="BU571" s="1" t="e">
        <f ca="1">_xll.BDH($C$553,"TOTAL_EQUITY_SEQUENTIAL_GROWTH","FQ3 2017","FQ3 2017","Currency=INR","Period=FQ","BEST_FPERIOD_OVERRIDE=FQ","FILING_STATUS=OR","EQY_CONSOLIDATED=Y","Sort=A","Dates=H","DateFormat=P","Fill=—","Direction=H","UseDPDF=Y")</f>
        <v>#NAME?</v>
      </c>
      <c r="BV571" s="1" t="e">
        <f ca="1">_xll.BDH($C$553,"TOTAL_CAPITAL_SEQUENTIAL_GROWTH","FQ3 2017","FQ3 2017","Currency=INR","Period=FQ","BEST_FPERIOD_OVERRIDE=FQ","FILING_STATUS=OR","EQY_CONSOLIDATED=Y","Sort=A","Dates=H","DateFormat=P","Fill=—","Direction=H","UseDPDF=Y")</f>
        <v>#NAME?</v>
      </c>
      <c r="BW571" s="1" t="e">
        <f ca="1">_xll.BDH($C$553,"BPS_SEQUENTIAL_GROWTH","FQ3 2017","FQ3 2017","Currency=INR","Period=FQ","BEST_FPERIOD_OVERRIDE=FQ","FILING_STATUS=OR","EQY_CONSOLIDATED=Y","Sort=A","Dates=H","DateFormat=P","Fill=—","Direction=H","UseDPDF=Y")</f>
        <v>#NAME?</v>
      </c>
      <c r="BX571" s="1" t="e">
        <f ca="1">_xll.BDH($C$553,"CFO_SEQUENTIAL_GROWTH","FQ3 2017","FQ3 2017","Currency=INR","Period=FQ","BEST_FPERIOD_OVERRIDE=FQ","FILING_STATUS=OR","EQY_CONSOLIDATED=Y","Sort=A","Dates=H","DateFormat=P","Fill=—","Direction=H","UseDPDF=Y")</f>
        <v>#NAME?</v>
      </c>
      <c r="BY571" s="2" t="e">
        <f ca="1">_xll.BDH($C$553,"SHORT_AND_LONG_TERM_DEBT","FQ3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71" s="2" t="e">
        <f ca="1">_xll.BDH($C$553,"BS_ST_BORROW","FQ3 2017","FQ3 2017","Currency=INR","Period=FQ","BEST_FPERIOD_OVERRIDE=FQ","FILING_STATUS=OR","EQY_CONSOLIDATED=Y","SCALING_FORMAT=MLN","Sort=A","Dates=H","DateFormat=P","Fill=—","Direction=H","UseDPDF=Y")</f>
        <v>#NAME?</v>
      </c>
      <c r="CA571" s="2" t="e">
        <f ca="1">_xll.BDH($C$553,"BS_LT_BORROW","FQ3 2017","FQ3 2017","Currency=INR","Period=FQ","BEST_FPERIOD_OVERRIDE=FQ","FILING_STATUS=OR","EQY_CONSOLIDATED=Y","SCALING_FORMAT=MLN","Sort=A","Dates=H","DateFormat=P","Fill=—","Direction=H","UseDPDF=Y")</f>
        <v>#NAME?</v>
      </c>
      <c r="CB571" s="1" t="e">
        <f ca="1">_xll.BDH($C$553,"TOT_DEBT_TO_EBITDA","FQ3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71" s="1" t="e">
        <f ca="1">_xll.BDH($C$553,"NET_DEBT_TO_EBITDA","FQ3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71" s="1" t="e">
        <f ca="1">_xll.BDH($C$553,"TOTAL_DEBT_TO_EBIT","FQ3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71" s="1" t="e">
        <f ca="1">_xll.BDH($C$553,"NET_DEBT_TO_EBIT","FQ3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571" s="1" t="e">
        <f ca="1">_xll.BDH($C$553,"EBITDA_TO_INTEREST_EXPN","FQ3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71" s="1" t="e">
        <f ca="1">_xll.BDH($C$553,"COM_EQY_TO_TOT_ASSET","FQ3 2017","FQ3 2017","Currency=INR","Period=FQ","BEST_FPERIOD_OVERRIDE=FQ","FILING_STATUS=OR","EQY_CONSOLIDATED=Y","Sort=A","Dates=H","DateFormat=P","Fill=—","Direction=H","UseDPDF=Y")</f>
        <v>#NAME?</v>
      </c>
      <c r="CH571" s="1" t="e">
        <f ca="1">_xll.BDH($C$553,"LT_DEBT_TO_TOT_EQY","FQ3 2017","FQ3 2017","Currency=INR","Period=FQ","BEST_FPERIOD_OVERRIDE=FQ","FILING_STATUS=OR","EQY_CONSOLIDATED=Y","Sort=A","Dates=H","DateFormat=P","Fill=—","Direction=H","UseDPDF=Y")</f>
        <v>#NAME?</v>
      </c>
      <c r="CI571" s="1" t="e">
        <f ca="1">_xll.BDH($C$553,"LT_DEBT_TO_TOT_CAP","FQ3 2017","FQ3 2017","Currency=INR","Period=FQ","BEST_FPERIOD_OVERRIDE=FQ","FILING_STATUS=OR","EQY_CONSOLIDATED=Y","Sort=A","Dates=H","DateFormat=P","Fill=—","Direction=H","UseDPDF=Y")</f>
        <v>#NAME?</v>
      </c>
      <c r="CJ571" s="1" t="e">
        <f ca="1">_xll.BDH($C$553,"LT_DEBT_TO_TOT_ASSET","FQ3 2017","FQ3 2017","Currency=INR","Period=FQ","BEST_FPERIOD_OVERRIDE=FQ","FILING_STATUS=OR","EQY_CONSOLIDATED=Y","Sort=A","Dates=H","DateFormat=P","Fill=—","Direction=H","UseDPDF=Y")</f>
        <v>#NAME?</v>
      </c>
      <c r="CK571" s="1" t="e">
        <f ca="1">_xll.BDH($C$553,"TOT_DEBT_TO_TOT_EQY","FQ3 2017","FQ3 2017","Currency=INR","Period=FQ","BEST_FPERIOD_OVERRIDE=FQ","FILING_STATUS=OR","EQY_CONSOLIDATED=Y","Sort=A","Dates=H","DateFormat=P","Fill=—","Direction=H","UseDPDF=Y")</f>
        <v>#NAME?</v>
      </c>
      <c r="CL571" s="1" t="e">
        <f ca="1">_xll.BDH($C$553,"TOT_DEBT_TO_TOT_CAP","FQ3 2017","FQ3 2017","Currency=INR","Period=FQ","BEST_FPERIOD_OVERRIDE=FQ","FILING_STATUS=OR","EQY_CONSOLIDATED=Y","Sort=A","Dates=H","DateFormat=P","Fill=—","Direction=H","UseDPDF=Y")</f>
        <v>#NAME?</v>
      </c>
      <c r="CM571" s="1" t="e">
        <f ca="1">_xll.BDH($C$553,"TOT_DEBT_TO_TOT_ASSET","FQ3 2017","FQ3 2017","Currency=INR","Period=FQ","BEST_FPERIOD_OVERRIDE=FQ","FILING_STATUS=OR","EQY_CONSOLIDATED=Y","Sort=A","Dates=H","DateFormat=P","Fill=—","Direction=H","UseDPDF=Y")</f>
        <v>#NAME?</v>
      </c>
      <c r="CN571" s="1" t="e">
        <f ca="1">_xll.BDH($C$553,"NET_DEBT_TO_SHRHLDR_EQTY","FQ3 2017","FQ3 2017","Currency=INR","Period=FQ","BEST_FPERIOD_OVERRIDE=FQ","FILING_STATUS=OR","EQY_CONSOLIDATED=Y","Sort=A","Dates=H","DateFormat=P","Fill=—","Direction=H","UseDPDF=Y")</f>
        <v>#NAME?</v>
      </c>
      <c r="CO571" s="1" t="e">
        <f ca="1">_xll.BDH($C$553,"NET_DEBT_%_CAPITAL","FQ3 2017","FQ3 2017","Currency=INR","Period=FQ","BEST_FPERIOD_OVERRIDE=FQ","FILING_STATUS=OR","EQY_CONSOLIDATED=Y","Sort=A","Dates=H","DateFormat=P","Fill=—","Direction=H","UseDPDF=Y")</f>
        <v>#NAME?</v>
      </c>
      <c r="CP571" s="2" t="e">
        <f ca="1">_xll.BDH($C$553,"EBITDA","FQ3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71" s="2" t="e">
        <f ca="1">_xll.BDH($C$553,"EBITDA_AFTER_CAPEX","FQ3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71" s="2" t="e">
        <f ca="1">_xll.BDH($C$553,"IS_OPER_INC","FQ3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71" s="1" t="e">
        <f ca="1">_xll.BDH($C$553,"CASH_RATIO","FQ3 2017","FQ3 2017","Currency=INR","Period=FQ","BEST_FPERIOD_OVERRIDE=FQ","FILING_STATUS=OR","EQY_CONSOLIDATED=Y","Sort=A","Dates=H","DateFormat=P","Fill=—","Direction=H","UseDPDF=Y")</f>
        <v>#NAME?</v>
      </c>
      <c r="CT571" s="1" t="e">
        <f ca="1">_xll.BDH($C$553,"CUR_RATIO","FQ3 2017","FQ3 2017","Currency=INR","Period=FQ","BEST_FPERIOD_OVERRIDE=FQ","FILING_STATUS=OR","EQY_CONSOLIDATED=Y","Sort=A","Dates=H","DateFormat=P","Fill=—","Direction=H","UseDPDF=Y")</f>
        <v>#NAME?</v>
      </c>
      <c r="CU571" s="1" t="e">
        <f ca="1">_xll.BDH($C$553,"QUICK_RATIO","FQ3 2017","FQ3 2017","Currency=INR","Period=FQ","BEST_FPERIOD_OVERRIDE=FQ","FILING_STATUS=OR","EQY_CONSOLIDATED=Y","Sort=A","Dates=H","DateFormat=P","Fill=—","Direction=H","UseDPDF=Y")</f>
        <v>#NAME?</v>
      </c>
      <c r="CV571" s="1" t="e">
        <f ca="1">_xll.BDH($C$553,"ALTMAN_Z_SCORE","FQ3 2017","FQ3 2017","Currency=INR","Period=FQ","BEST_FPERIOD_OVERRIDE=FQ","FILING_STATUS=OR","EQY_CONSOLIDATED=Y","Sort=A","Dates=H","DateFormat=P","Fill=—","Direction=H","UseDPDF=Y")</f>
        <v>#NAME?</v>
      </c>
      <c r="CW571" s="3" t="e">
        <f ca="1">_xll.BDH($C$553,"ACCT_RCV_TURN","FQ3 2017","FQ3 2017","Currency=INR","Period=FQ","BEST_FPERIOD_OVERRIDE=FQ","FILING_STATUS=OR","EQY_CONSOLIDATED=Y","FA_ADJUSTED=GAAP","Sort=A","Dates=H","DateFormat=P","Fill=—","Direction=H","UseDPDF=Y")</f>
        <v>#NAME?</v>
      </c>
      <c r="CX571" s="1" t="e">
        <f ca="1">_xll.BDH($C$553,"ACCT_RCV_DAYS","FQ3 2017","FQ3 2017","Currency=INR","Period=FQ","BEST_FPERIOD_OVERRIDE=FQ","FILING_STATUS=OR","EQY_CONSOLIDATED=Y","FA_ADJUSTED=GAAP","Sort=A","Dates=H","DateFormat=P","Fill=—","Direction=H","UseDPDF=Y")</f>
        <v>#NAME?</v>
      </c>
      <c r="CY571" s="3" t="e">
        <f ca="1">_xll.BDH($C$553,"INVENT_TURN","FQ3 2017","FQ3 2017","Currency=INR","Period=FQ","BEST_FPERIOD_OVERRIDE=FQ","FILING_STATUS=OR","EQY_CONSOLIDATED=Y","FA_ADJUSTED=GAAP","Sort=A","Dates=H","DateFormat=P","Fill=—","Direction=H","UseDPDF=Y")</f>
        <v>#NAME?</v>
      </c>
      <c r="CZ571" s="1" t="e">
        <f ca="1">_xll.BDH($C$553,"INVENT_DAYS","FQ3 2017","FQ3 2017","Currency=INR","Period=FQ","BEST_FPERIOD_OVERRIDE=FQ","FILING_STATUS=OR","EQY_CONSOLIDATED=Y","FA_ADJUSTED=GAAP","Sort=A","Dates=H","DateFormat=P","Fill=—","Direction=H","UseDPDF=Y")</f>
        <v>#NAME?</v>
      </c>
      <c r="DA571" s="3" t="e">
        <f ca="1">_xll.BDH($C$553,"ACCOUNTS_PAYABLE_TURNOVER","FQ3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71" s="1" t="e">
        <f ca="1">_xll.BDH($C$553,"ACCOUNTS_PAYABLE_TURNOVER_DAYS","FQ3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71" s="3" t="e">
        <f ca="1">_xll.BDH($C$553,"CASH_CONVERSION_CYCLE","FQ3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71" s="3" t="e">
        <f ca="1">_xll.BDH($C$553,"INV_TO_CASH_DAYS","FQ3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571" s="4" t="e">
        <f ca="1">_xll.BDH($C$553,"BS_INVENTORIES","FQ3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571" s="2" t="e">
        <f ca="1">_xll.BDH($C$553,"INVTRY_RAW_MATERIALS","FQ3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71" s="2" t="e">
        <f ca="1">_xll.BDH($C$553,"INVTRY_IN_PROGRESS","FQ3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71" s="2" t="e">
        <f ca="1">_xll.BDH($C$553,"INVTRY_FINISHED_GOODS","FQ3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71" s="2" t="e">
        <f ca="1">_xll.BDH($C$553,"BS_OTHER_INV","FQ3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72" spans="1:113" x14ac:dyDescent="0.3">
      <c r="A572" s="6"/>
      <c r="B572" s="6"/>
      <c r="C572" s="6"/>
      <c r="D572" s="6"/>
      <c r="E572" t="s">
        <v>7</v>
      </c>
      <c r="F572" t="e">
        <f ca="1">_xll.BDH($C$553,"RETURN_COM_EQY","FQ4 2017","FQ4 2017","Currency=INR","Period=FQ","BEST_FPERIOD_OVERRIDE=FQ","FILING_STATUS=OR","EQY_CONSOLIDATED=Y","FA_ADJUSTED=GAAP","Sort=A","Dates=H","DateFormat=P","Fill=—","Direction=H","UseDPDF=Y")</f>
        <v>#NAME?</v>
      </c>
      <c r="G572" t="e">
        <f ca="1">_xll.BDH($C$553,"RETURN_ON_ASSET","FQ4 2017","FQ4 2017","Currency=INR","Period=FQ","BEST_FPERIOD_OVERRIDE=FQ","FILING_STATUS=OR","EQY_CONSOLIDATED=Y","FA_ADJUSTED=GAAP","Sort=A","Dates=H","DateFormat=P","Fill=—","Direction=H","UseDPDF=Y")</f>
        <v>#NAME?</v>
      </c>
      <c r="H572" t="e">
        <f ca="1">_xll.BDH($C$553,"RETURN_ON_CAP","FQ4 2017","FQ4 2017","Currency=INR","Period=FQ","BEST_FPERIOD_OVERRIDE=FQ","FILING_STATUS=OR","EQY_CONSOLIDATED=Y","FA_ADJUSTED=GAAP","Sort=A","Dates=H","DateFormat=P","Fill=—","Direction=H","UseDPDF=Y")</f>
        <v>#NAME?</v>
      </c>
      <c r="I572" t="e">
        <f ca="1">_xll.BDH($C$553,"RETURN_ON_INV_CAPITAL","FQ4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72" t="e">
        <f ca="1">_xll.BDH($C$553,"EBITDA_TO_REVENUE","FQ4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572" t="e">
        <f ca="1">_xll.BDH($C$553,"OPER_MARGIN","FQ4 2017","FQ4 2017","Currency=INR","Period=FQ","BEST_FPERIOD_OVERRIDE=FQ","FILING_STATUS=OR","EQY_CONSOLIDATED=Y","FA_ADJUSTED=GAAP","Sort=A","Dates=H","DateFormat=P","Fill=—","Direction=H","UseDPDF=Y")</f>
        <v>#NAME?</v>
      </c>
      <c r="L572" t="e">
        <f ca="1">_xll.BDH($C$553,"INCREMENTAL_OPERATING_MARGIN","FQ4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72" t="e">
        <f ca="1">_xll.BDH($C$553,"PRETAX_INC_TO_NET_SALES","FQ4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72" t="e">
        <f ca="1">_xll.BDH($C$553,"INC_BEF_XO_ITEMS_TO_NET_SALES","FQ4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72" t="e">
        <f ca="1">_xll.BDH($C$553,"PROF_MARGIN","FQ4 2017","FQ4 2017","Currency=INR","Period=FQ","BEST_FPERIOD_OVERRIDE=FQ","FILING_STATUS=OR","EQY_CONSOLIDATED=Y","FA_ADJUSTED=GAAP","Sort=A","Dates=H","DateFormat=P","Fill=—","Direction=H","UseDPDF=Y")</f>
        <v>#NAME?</v>
      </c>
      <c r="P572" t="e">
        <f ca="1">_xll.BDH($C$553,"NET_INCOME_TO_COMMON_MARGIN","FQ4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72" t="e">
        <f ca="1">_xll.BDH($C$553,"EFF_TAX_RATE","FQ4 2017","FQ4 2017","Currency=INR","Period=FQ","BEST_FPERIOD_OVERRIDE=FQ","FILING_STATUS=OR","EQY_CONSOLIDATED=Y","FA_ADJUSTED=GAAP","Sort=A","Dates=H","DateFormat=P","Fill=—","Direction=H","UseDPDF=Y")</f>
        <v>#NAME?</v>
      </c>
      <c r="R572" t="e">
        <f ca="1">_xll.BDH($C$553,"DVD_PAYOUT_RATIO","FQ4 2017","FQ4 2017","Currency=INR","Period=FQ","BEST_FPERIOD_OVERRIDE=FQ","FILING_STATUS=OR","EQY_CONSOLIDATED=Y","FA_ADJUSTED=GAAP","Sort=A","Dates=H","DateFormat=P","Fill=—","Direction=H","UseDPDF=Y")</f>
        <v>#NAME?</v>
      </c>
      <c r="S572" t="e">
        <f ca="1">_xll.BDH($C$553,"SUSTAIN_GROWTH_RT","FQ4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572" s="1" t="e">
        <f ca="1">_xll.BDH($C$553,"SALES_GROWTH","FQ4 2017","FQ4 2017","Currency=INR","Period=FQ","BEST_FPERIOD_OVERRIDE=FQ","FILING_STATUS=OR","EQY_CONSOLIDATED=Y","FA_ADJUSTED=GAAP","Sort=A","Dates=H","DateFormat=P","Fill=—","Direction=H","UseDPDF=Y")</f>
        <v>#NAME?</v>
      </c>
      <c r="U572" s="1" t="e">
        <f ca="1">_xll.BDH($C$553,"EBITDA_GROWTH","FQ4 2017","FQ4 2017","Currency=INR","Period=FQ","BEST_FPERIOD_OVERRIDE=FQ","FILING_STATUS=OR","EQY_CONSOLIDATED=Y","FA_ADJUSTED=GAAP","Sort=A","Dates=H","DateFormat=P","Fill=—","Direction=H","UseDPDF=Y")</f>
        <v>#NAME?</v>
      </c>
      <c r="V572" s="1" t="e">
        <f ca="1">_xll.BDH($C$553,"OPER_INC_GROWTH","FQ4 2017","FQ4 2017","Currency=INR","Period=FQ","BEST_FPERIOD_OVERRIDE=FQ","FILING_STATUS=OR","EQY_CONSOLIDATED=Y","FA_ADJUSTED=GAAP","Sort=A","Dates=H","DateFormat=P","Fill=—","Direction=H","UseDPDF=Y")</f>
        <v>#NAME?</v>
      </c>
      <c r="W572" s="1" t="e">
        <f ca="1">_xll.BDH($C$553,"EARN_FOR_COM_GROWTH","FQ4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72" s="1" t="e">
        <f ca="1">_xll.BDH($C$553,"DILUTED_EPS_AFT_XO_ITEMS_GROWTH","FQ4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72" s="1" t="e">
        <f ca="1">_xll.BDH($C$553,"DIVIDEND_PER_SHARE_1_YEAR_GROWTH","FQ4 2017","FQ4 2017","Currency=INR","Period=FQ","BEST_FPERIOD_OVERRIDE=FQ","FILING_STATUS=OR","EQY_CONSOLIDATED=Y","Sort=A","Dates=H","DateFormat=P","Fill=—","Direction=H","UseDPDF=Y")</f>
        <v>#NAME?</v>
      </c>
      <c r="Z572" s="1" t="e">
        <f ca="1">_xll.BDH($C$553,"ACCOUNTS_RECEIVABLE_GROWTH","FQ4 2017","FQ4 2017","Currency=INR","Period=FQ","BEST_FPERIOD_OVERRIDE=FQ","FILING_STATUS=OR","EQY_CONSOLIDATED=Y","Sort=A","Dates=H","DateFormat=P","Fill=—","Direction=H","UseDPDF=Y")</f>
        <v>#NAME?</v>
      </c>
      <c r="AA572" s="1" t="e">
        <f ca="1">_xll.BDH($C$553,"INVENTORY_GROWTH","FQ4 2017","FQ4 2017","Currency=INR","Period=FQ","BEST_FPERIOD_OVERRIDE=FQ","FILING_STATUS=OR","EQY_CONSOLIDATED=Y","Sort=A","Dates=H","DateFormat=P","Fill=—","Direction=H","UseDPDF=Y")</f>
        <v>#NAME?</v>
      </c>
      <c r="AB572" s="1" t="e">
        <f ca="1">_xll.BDH($C$553,"NET_FIXED_ASSETS_1_YEAR_GROWTH","FQ4 2017","FQ4 2017","Currency=INR","Period=FQ","BEST_FPERIOD_OVERRIDE=FQ","FILING_STATUS=OR","EQY_CONSOLIDATED=Y","Sort=A","Dates=H","DateFormat=P","Fill=—","Direction=H","UseDPDF=Y")</f>
        <v>#NAME?</v>
      </c>
      <c r="AC572" s="1" t="e">
        <f ca="1">_xll.BDH($C$553,"ASSET_GROWTH","FQ4 2017","FQ4 2017","Currency=INR","Period=FQ","BEST_FPERIOD_OVERRIDE=FQ","FILING_STATUS=OR","EQY_CONSOLIDATED=Y","Sort=A","Dates=H","DateFormat=P","Fill=—","Direction=H","UseDPDF=Y")</f>
        <v>#NAME?</v>
      </c>
      <c r="AD572" s="1" t="e">
        <f ca="1">_xll.BDH($C$553,"MODIFIED_WORK_CAP_GROWTH","FQ4 2017","FQ4 2017","Currency=INR","Period=FQ","BEST_FPERIOD_OVERRIDE=FQ","FILING_STATUS=OR","EQY_CONSOLIDATED=Y","Sort=A","Dates=H","DateFormat=P","Fill=—","Direction=H","UseDPDF=Y")</f>
        <v>#NAME?</v>
      </c>
      <c r="AE572" s="1" t="e">
        <f ca="1">_xll.BDH($C$553,"WORK_CAP_GROWTH","FQ4 2017","FQ4 2017","Currency=INR","Period=FQ","BEST_FPERIOD_OVERRIDE=FQ","FILING_STATUS=OR","EQY_CONSOLIDATED=Y","Sort=A","Dates=H","DateFormat=P","Fill=—","Direction=H","UseDPDF=Y")</f>
        <v>#NAME?</v>
      </c>
      <c r="AF572" s="1" t="e">
        <f ca="1">_xll.BDH($C$553,"ACCOUNTS_PAYABLE_GROWTH_1YR","FQ4 2017","FQ4 2017","Currency=INR","Period=FQ","BEST_FPERIOD_OVERRIDE=FQ","FILING_STATUS=OR","EQY_CONSOLIDATED=Y","Sort=A","Dates=H","DateFormat=P","Fill=—","Direction=H","UseDPDF=Y")</f>
        <v>#NAME?</v>
      </c>
      <c r="AG572" s="1" t="e">
        <f ca="1">_xll.BDH($C$553,"SHORT_TERM_DEBT_1_YEAR_GROWTH","FQ4 2017","FQ4 2017","Currency=INR","Period=FQ","BEST_FPERIOD_OVERRIDE=FQ","FILING_STATUS=OR","EQY_CONSOLIDATED=Y","Sort=A","Dates=H","DateFormat=P","Fill=—","Direction=H","UseDPDF=Y")</f>
        <v>#NAME?</v>
      </c>
      <c r="AH572" s="1" t="e">
        <f ca="1">_xll.BDH($C$553,"TOTAL_DEBT_1_YEAR_GROWTH","FQ4 2017","FQ4 2017","Currency=INR","Period=FQ","BEST_FPERIOD_OVERRIDE=FQ","FILING_STATUS=OR","EQY_CONSOLIDATED=Y","Sort=A","Dates=H","DateFormat=P","Fill=—","Direction=H","UseDPDF=Y")</f>
        <v>#NAME?</v>
      </c>
      <c r="AI572" s="1" t="e">
        <f ca="1">_xll.BDH($C$553,"TOTAL_EQUITY_1_YEAR_GROWTH","FQ4 2017","FQ4 2017","Currency=INR","Period=FQ","BEST_FPERIOD_OVERRIDE=FQ","FILING_STATUS=OR","EQY_CONSOLIDATED=Y","Sort=A","Dates=H","DateFormat=P","Fill=—","Direction=H","UseDPDF=Y")</f>
        <v>#NAME?</v>
      </c>
      <c r="AJ572" s="1" t="e">
        <f ca="1">_xll.BDH($C$553,"GROWTH_IN_CAP","FQ4 2017","FQ4 2017","Currency=INR","Period=FQ","BEST_FPERIOD_OVERRIDE=FQ","FILING_STATUS=OR","EQY_CONSOLIDATED=Y","Sort=A","Dates=H","DateFormat=P","Fill=—","Direction=H","UseDPDF=Y")</f>
        <v>#NAME?</v>
      </c>
      <c r="AK572" s="1" t="e">
        <f ca="1">_xll.BDH($C$553,"BVPS_GROWTH","FQ4 2017","FQ4 2017","Currency=INR","Period=FQ","BEST_FPERIOD_OVERRIDE=FQ","FILING_STATUS=OR","EQY_CONSOLIDATED=Y","Sort=A","Dates=H","DateFormat=P","Fill=—","Direction=H","UseDPDF=Y")</f>
        <v>#NAME?</v>
      </c>
      <c r="AL572" s="1" t="e">
        <f ca="1">_xll.BDH($C$553,"CASH_FLOW_GROWTH","FQ4 2017","FQ4 2017","Currency=INR","Period=FQ","BEST_FPERIOD_OVERRIDE=FQ","FILING_STATUS=OR","EQY_CONSOLIDATED=Y","Sort=A","Dates=H","DateFormat=P","Fill=—","Direction=H","UseDPDF=Y")</f>
        <v>#NAME?</v>
      </c>
      <c r="AM572" s="1" t="e">
        <f ca="1">_xll.BDH($C$553,"GEO_GROW_NET_SALES","FQ4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72" s="1" t="e">
        <f ca="1">_xll.BDH($C$553,"GEO_GROW_EBITDA","FQ4 2017","FQ4 2017","Currency=INR","Period=FQ","BEST_FPERIOD_OVERRIDE=FQ","FILING_STATUS=OR","EQY_CONSOLIDATED=Y","FA_ADJUSTED=GAAP","Sort=A","Dates=H","DateFormat=P","Fill=—","Direction=H","UseDPDF=Y")</f>
        <v>#NAME?</v>
      </c>
      <c r="AO572" s="1" t="e">
        <f ca="1">_xll.BDH($C$553,"GEO_GROW_OPER_INC","FQ4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72" s="1" t="e">
        <f ca="1">_xll.BDH($C$553,"NET_INCOME_TO_COMMON_5_YR_GROWTH","FQ4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72" s="1" t="e">
        <f ca="1">_xll.BDH($C$553,"5Y_GEO_GROWTH_DILUTED_EPS","FQ4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72" s="1" t="e">
        <f ca="1">_xll.BDH($C$553,"GEO_GROW_DVD_PER_SH","FQ4 2017","FQ4 2017","Currency=INR","Period=FQ","BEST_FPERIOD_OVERRIDE=FQ","FILING_STATUS=OR","EQY_CONSOLIDATED=Y","Sort=A","Dates=H","DateFormat=P","Fill=—","Direction=H","UseDPDF=Y")</f>
        <v>#NAME?</v>
      </c>
      <c r="AS572" s="1" t="e">
        <f ca="1">_xll.BDH($C$553,"ACCOUNTS_RECEIVABLE_5_YR_GROWTH","FQ4 2017","FQ4 2017","Currency=INR","Period=FQ","BEST_FPERIOD_OVERRIDE=FQ","FILING_STATUS=OR","EQY_CONSOLIDATED=Y","Sort=A","Dates=H","DateFormat=P","Fill=—","Direction=H","UseDPDF=Y")</f>
        <v>#NAME?</v>
      </c>
      <c r="AT572" s="1" t="e">
        <f ca="1">_xll.BDH($C$553,"INVENTORY_5_YEAR_GROWTH","FQ4 2017","FQ4 2017","Currency=INR","Period=FQ","BEST_FPERIOD_OVERRIDE=FQ","FILING_STATUS=OR","EQY_CONSOLIDATED=Y","Sort=A","Dates=H","DateFormat=P","Fill=—","Direction=H","UseDPDF=Y")</f>
        <v>#NAME?</v>
      </c>
      <c r="AU572" s="1" t="e">
        <f ca="1">_xll.BDH($C$553,"NET_FIXED_ASSETS_5_YEAR_GROWTH","FQ4 2017","FQ4 2017","Currency=INR","Period=FQ","BEST_FPERIOD_OVERRIDE=FQ","FILING_STATUS=OR","EQY_CONSOLIDATED=Y","Sort=A","Dates=H","DateFormat=P","Fill=—","Direction=H","UseDPDF=Y")</f>
        <v>#NAME?</v>
      </c>
      <c r="AV572" s="1" t="e">
        <f ca="1">_xll.BDH($C$553,"GEO_GROW_TOT_ASSET","FQ4 2017","FQ4 2017","Currency=INR","Period=FQ","BEST_FPERIOD_OVERRIDE=FQ","FILING_STATUS=OR","EQY_CONSOLIDATED=Y","Sort=A","Dates=H","DateFormat=P","Fill=—","Direction=H","UseDPDF=Y")</f>
        <v>#NAME?</v>
      </c>
      <c r="AW572" s="1" t="e">
        <f ca="1">_xll.BDH($C$553,"MODIFIED_WORKING_CPTL_5YR_GRWTH","FQ4 2017","FQ4 2017","Currency=INR","Period=FQ","BEST_FPERIOD_OVERRIDE=FQ","FILING_STATUS=OR","EQY_CONSOLIDATED=Y","Sort=A","Dates=H","DateFormat=P","Fill=—","Direction=H","UseDPDF=Y")</f>
        <v>#NAME?</v>
      </c>
      <c r="AX572" s="1" t="e">
        <f ca="1">_xll.BDH($C$553,"WORKING_CAPITAL_5_YEAR_GROWTH","FQ4 2017","FQ4 2017","Currency=INR","Period=FQ","BEST_FPERIOD_OVERRIDE=FQ","FILING_STATUS=OR","EQY_CONSOLIDATED=Y","Sort=A","Dates=H","DateFormat=P","Fill=—","Direction=H","UseDPDF=Y")</f>
        <v>#NAME?</v>
      </c>
      <c r="AY572" s="1" t="e">
        <f ca="1">_xll.BDH($C$553,"ACCOUNTS_PAYABLE_5_YEAR_GROWTH","FQ4 2017","FQ4 2017","Currency=INR","Period=FQ","BEST_FPERIOD_OVERRIDE=FQ","FILING_STATUS=OR","EQY_CONSOLIDATED=Y","Sort=A","Dates=H","DateFormat=P","Fill=—","Direction=H","UseDPDF=Y")</f>
        <v>#NAME?</v>
      </c>
      <c r="AZ572" s="1" t="e">
        <f ca="1">_xll.BDH($C$553,"SHORT_TERM_DEBT_5_YEAR_GROWTH","FQ4 2017","FQ4 2017","Currency=INR","Period=FQ","BEST_FPERIOD_OVERRIDE=FQ","FILING_STATUS=OR","EQY_CONSOLIDATED=Y","Sort=A","Dates=H","DateFormat=P","Fill=—","Direction=H","UseDPDF=Y")</f>
        <v>#NAME?</v>
      </c>
      <c r="BA572" s="1" t="e">
        <f ca="1">_xll.BDH($C$553,"TOTAL_DEBT_5_YEAR_GROWTH","FQ4 2017","FQ4 2017","Currency=INR","Period=FQ","BEST_FPERIOD_OVERRIDE=FQ","FILING_STATUS=OR","EQY_CONSOLIDATED=Y","Sort=A","Dates=H","DateFormat=P","Fill=—","Direction=H","UseDPDF=Y")</f>
        <v>#NAME?</v>
      </c>
      <c r="BB572" s="1" t="e">
        <f ca="1">_xll.BDH($C$553,"GEO_GROW_TOT_SHRHLDR_EQY","FQ4 2017","FQ4 2017","Currency=INR","Period=FQ","BEST_FPERIOD_OVERRIDE=FQ","FILING_STATUS=OR","EQY_CONSOLIDATED=Y","Sort=A","Dates=H","DateFormat=P","Fill=—","Direction=H","UseDPDF=Y")</f>
        <v>#NAME?</v>
      </c>
      <c r="BC572" s="1" t="e">
        <f ca="1">_xll.BDH($C$553,"TOTAL_CAPITAL_5_YEAR_GROWTH","FQ4 2017","FQ4 2017","Currency=INR","Period=FQ","BEST_FPERIOD_OVERRIDE=FQ","FILING_STATUS=OR","EQY_CONSOLIDATED=Y","Sort=A","Dates=H","DateFormat=P","Fill=—","Direction=H","UseDPDF=Y")</f>
        <v>#NAME?</v>
      </c>
      <c r="BD572" s="1" t="e">
        <f ca="1">_xll.BDH($C$553,"GEO_GROW_BOOK_VAL","FQ4 2017","FQ4 2017","Currency=INR","Period=FQ","BEST_FPERIOD_OVERRIDE=FQ","FILING_STATUS=OR","EQY_CONSOLIDATED=Y","Sort=A","Dates=H","DateFormat=P","Fill=—","Direction=H","UseDPDF=Y")</f>
        <v>#NAME?</v>
      </c>
      <c r="BE572" s="1" t="e">
        <f ca="1">_xll.BDH($C$553,"GEO_GROW_CASH_OPER_ACT","FQ4 2017","FQ4 2017","Currency=INR","Period=FQ","BEST_FPERIOD_OVERRIDE=FQ","FILING_STATUS=OR","EQY_CONSOLIDATED=Y","Sort=A","Dates=H","DateFormat=P","Fill=—","Direction=H","UseDPDF=Y")</f>
        <v>#NAME?</v>
      </c>
      <c r="BF572" s="1" t="e">
        <f ca="1">_xll.BDH($C$553,"REVENUE_SEQUENTIAL_GROWTH","FQ4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72" s="1" t="e">
        <f ca="1">_xll.BDH($C$553,"EBITDA_SEQUENTIAL_GROWTH","FQ4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72" s="1" t="e">
        <f ca="1">_xll.BDH($C$553,"OPERATING_INCOME_SEQ_GROWTH","FQ4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72" s="1" t="e">
        <f ca="1">_xll.BDH($C$553,"NET_INCOME_TO_COMMON_SEQ_GROWTH","FQ4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72" s="1" t="e">
        <f ca="1">_xll.BDH($C$553,"EPS_DILUTED_SEQUENTIAL_GROWTH","FQ4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72" s="1" t="e">
        <f ca="1">_xll.BDH($C$553,"DPS_SEQUENTIAL_GROWTH","FQ4 2017","FQ4 2017","Currency=INR","Period=FQ","BEST_FPERIOD_OVERRIDE=FQ","FILING_STATUS=OR","EQY_CONSOLIDATED=Y","Sort=A","Dates=H","DateFormat=P","Fill=—","Direction=H","UseDPDF=Y")</f>
        <v>#NAME?</v>
      </c>
      <c r="BL572" s="1" t="e">
        <f ca="1">_xll.BDH($C$553,"ACCOUNTS_RECEIVABLE_SEQ_GROWTH","FQ4 2017","FQ4 2017","Currency=INR","Period=FQ","BEST_FPERIOD_OVERRIDE=FQ","FILING_STATUS=OR","EQY_CONSOLIDATED=Y","Sort=A","Dates=H","DateFormat=P","Fill=—","Direction=H","UseDPDF=Y")</f>
        <v>#NAME?</v>
      </c>
      <c r="BM572" s="1" t="e">
        <f ca="1">_xll.BDH($C$553,"INVENTORY_SEQUENTIAL_GROWTH","FQ4 2017","FQ4 2017","Currency=INR","Period=FQ","BEST_FPERIOD_OVERRIDE=FQ","FILING_STATUS=OR","EQY_CONSOLIDATED=Y","Sort=A","Dates=H","DateFormat=P","Fill=—","Direction=H","UseDPDF=Y")</f>
        <v>#NAME?</v>
      </c>
      <c r="BN572" s="1" t="e">
        <f ca="1">_xll.BDH($C$553,"FIXED_ASSETS_SEQUENTIAL_GROWTH","FQ4 2017","FQ4 2017","Currency=INR","Period=FQ","BEST_FPERIOD_OVERRIDE=FQ","FILING_STATUS=OR","EQY_CONSOLIDATED=Y","Sort=A","Dates=H","DateFormat=P","Fill=—","Direction=H","UseDPDF=Y")</f>
        <v>#NAME?</v>
      </c>
      <c r="BO572" s="1" t="e">
        <f ca="1">_xll.BDH($C$553,"TOTAL_ASSETS_SEQUENTIAL_GROWTH","FQ4 2017","FQ4 2017","Currency=INR","Period=FQ","BEST_FPERIOD_OVERRIDE=FQ","FILING_STATUS=OR","EQY_CONSOLIDATED=Y","Sort=A","Dates=H","DateFormat=P","Fill=—","Direction=H","UseDPDF=Y")</f>
        <v>#NAME?</v>
      </c>
      <c r="BP572" s="1" t="e">
        <f ca="1">_xll.BDH($C$553,"MODIFIED_WORKING_CPTL_SEQ_GRWTH","FQ4 2017","FQ4 2017","Currency=INR","Period=FQ","BEST_FPERIOD_OVERRIDE=FQ","FILING_STATUS=OR","EQY_CONSOLIDATED=Y","Sort=A","Dates=H","DateFormat=P","Fill=—","Direction=H","UseDPDF=Y")</f>
        <v>#NAME?</v>
      </c>
      <c r="BQ572" s="1" t="e">
        <f ca="1">_xll.BDH($C$553,"WORKING_CAPITAL_SEQ_GROWTH","FQ4 2017","FQ4 2017","Currency=INR","Period=FQ","BEST_FPERIOD_OVERRIDE=FQ","FILING_STATUS=OR","EQY_CONSOLIDATED=Y","Sort=A","Dates=H","DateFormat=P","Fill=—","Direction=H","UseDPDF=Y")</f>
        <v>#NAME?</v>
      </c>
      <c r="BR572" s="1" t="e">
        <f ca="1">_xll.BDH($C$553,"ACCOUNTS_PAYABLE_SEQ_GROWTH","FQ4 2017","FQ4 2017","Currency=INR","Period=FQ","BEST_FPERIOD_OVERRIDE=FQ","FILING_STATUS=OR","EQY_CONSOLIDATED=Y","Sort=A","Dates=H","DateFormat=P","Fill=—","Direction=H","UseDPDF=Y")</f>
        <v>#NAME?</v>
      </c>
      <c r="BS572" s="1" t="e">
        <f ca="1">_xll.BDH($C$553,"ST_DEBT_SEQUENTIAL_GROWTH","FQ4 2017","FQ4 2017","Currency=INR","Period=FQ","BEST_FPERIOD_OVERRIDE=FQ","FILING_STATUS=OR","EQY_CONSOLIDATED=Y","Sort=A","Dates=H","DateFormat=P","Fill=—","Direction=H","UseDPDF=Y")</f>
        <v>#NAME?</v>
      </c>
      <c r="BT572" s="1" t="e">
        <f ca="1">_xll.BDH($C$553,"TOTAL_DEBT_SEQUENTIAL_GROWTH","FQ4 2017","FQ4 2017","Currency=INR","Period=FQ","BEST_FPERIOD_OVERRIDE=FQ","FILING_STATUS=OR","EQY_CONSOLIDATED=Y","Sort=A","Dates=H","DateFormat=P","Fill=—","Direction=H","UseDPDF=Y")</f>
        <v>#NAME?</v>
      </c>
      <c r="BU572" s="1" t="e">
        <f ca="1">_xll.BDH($C$553,"TOTAL_EQUITY_SEQUENTIAL_GROWTH","FQ4 2017","FQ4 2017","Currency=INR","Period=FQ","BEST_FPERIOD_OVERRIDE=FQ","FILING_STATUS=OR","EQY_CONSOLIDATED=Y","Sort=A","Dates=H","DateFormat=P","Fill=—","Direction=H","UseDPDF=Y")</f>
        <v>#NAME?</v>
      </c>
      <c r="BV572" s="1" t="e">
        <f ca="1">_xll.BDH($C$553,"TOTAL_CAPITAL_SEQUENTIAL_GROWTH","FQ4 2017","FQ4 2017","Currency=INR","Period=FQ","BEST_FPERIOD_OVERRIDE=FQ","FILING_STATUS=OR","EQY_CONSOLIDATED=Y","Sort=A","Dates=H","DateFormat=P","Fill=—","Direction=H","UseDPDF=Y")</f>
        <v>#NAME?</v>
      </c>
      <c r="BW572" s="1" t="e">
        <f ca="1">_xll.BDH($C$553,"BPS_SEQUENTIAL_GROWTH","FQ4 2017","FQ4 2017","Currency=INR","Period=FQ","BEST_FPERIOD_OVERRIDE=FQ","FILING_STATUS=OR","EQY_CONSOLIDATED=Y","Sort=A","Dates=H","DateFormat=P","Fill=—","Direction=H","UseDPDF=Y")</f>
        <v>#NAME?</v>
      </c>
      <c r="BX572" s="1" t="e">
        <f ca="1">_xll.BDH($C$553,"CFO_SEQUENTIAL_GROWTH","FQ4 2017","FQ4 2017","Currency=INR","Period=FQ","BEST_FPERIOD_OVERRIDE=FQ","FILING_STATUS=OR","EQY_CONSOLIDATED=Y","Sort=A","Dates=H","DateFormat=P","Fill=—","Direction=H","UseDPDF=Y")</f>
        <v>#NAME?</v>
      </c>
      <c r="BY572" s="2" t="e">
        <f ca="1">_xll.BDH($C$553,"SHORT_AND_LONG_TERM_DEBT","FQ4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72" s="2" t="e">
        <f ca="1">_xll.BDH($C$553,"BS_ST_BORROW","FQ4 2017","FQ4 2017","Currency=INR","Period=FQ","BEST_FPERIOD_OVERRIDE=FQ","FILING_STATUS=OR","EQY_CONSOLIDATED=Y","SCALING_FORMAT=MLN","Sort=A","Dates=H","DateFormat=P","Fill=—","Direction=H","UseDPDF=Y")</f>
        <v>#NAME?</v>
      </c>
      <c r="CA572" s="2" t="e">
        <f ca="1">_xll.BDH($C$553,"BS_LT_BORROW","FQ4 2017","FQ4 2017","Currency=INR","Period=FQ","BEST_FPERIOD_OVERRIDE=FQ","FILING_STATUS=OR","EQY_CONSOLIDATED=Y","SCALING_FORMAT=MLN","Sort=A","Dates=H","DateFormat=P","Fill=—","Direction=H","UseDPDF=Y")</f>
        <v>#NAME?</v>
      </c>
      <c r="CB572" s="1" t="e">
        <f ca="1">_xll.BDH($C$553,"TOT_DEBT_TO_EBITDA","FQ4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72" s="1" t="e">
        <f ca="1">_xll.BDH($C$553,"NET_DEBT_TO_EBITDA","FQ4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72" s="1" t="e">
        <f ca="1">_xll.BDH($C$553,"TOTAL_DEBT_TO_EBIT","FQ4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72" s="1" t="e">
        <f ca="1">_xll.BDH($C$553,"NET_DEBT_TO_EBIT","FQ4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572" s="1" t="e">
        <f ca="1">_xll.BDH($C$553,"EBITDA_TO_INTEREST_EXPN","FQ4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72" s="1" t="e">
        <f ca="1">_xll.BDH($C$553,"COM_EQY_TO_TOT_ASSET","FQ4 2017","FQ4 2017","Currency=INR","Period=FQ","BEST_FPERIOD_OVERRIDE=FQ","FILING_STATUS=OR","EQY_CONSOLIDATED=Y","Sort=A","Dates=H","DateFormat=P","Fill=—","Direction=H","UseDPDF=Y")</f>
        <v>#NAME?</v>
      </c>
      <c r="CH572" s="1" t="e">
        <f ca="1">_xll.BDH($C$553,"LT_DEBT_TO_TOT_EQY","FQ4 2017","FQ4 2017","Currency=INR","Period=FQ","BEST_FPERIOD_OVERRIDE=FQ","FILING_STATUS=OR","EQY_CONSOLIDATED=Y","Sort=A","Dates=H","DateFormat=P","Fill=—","Direction=H","UseDPDF=Y")</f>
        <v>#NAME?</v>
      </c>
      <c r="CI572" s="1" t="e">
        <f ca="1">_xll.BDH($C$553,"LT_DEBT_TO_TOT_CAP","FQ4 2017","FQ4 2017","Currency=INR","Period=FQ","BEST_FPERIOD_OVERRIDE=FQ","FILING_STATUS=OR","EQY_CONSOLIDATED=Y","Sort=A","Dates=H","DateFormat=P","Fill=—","Direction=H","UseDPDF=Y")</f>
        <v>#NAME?</v>
      </c>
      <c r="CJ572" s="1" t="e">
        <f ca="1">_xll.BDH($C$553,"LT_DEBT_TO_TOT_ASSET","FQ4 2017","FQ4 2017","Currency=INR","Period=FQ","BEST_FPERIOD_OVERRIDE=FQ","FILING_STATUS=OR","EQY_CONSOLIDATED=Y","Sort=A","Dates=H","DateFormat=P","Fill=—","Direction=H","UseDPDF=Y")</f>
        <v>#NAME?</v>
      </c>
      <c r="CK572" s="1" t="e">
        <f ca="1">_xll.BDH($C$553,"TOT_DEBT_TO_TOT_EQY","FQ4 2017","FQ4 2017","Currency=INR","Period=FQ","BEST_FPERIOD_OVERRIDE=FQ","FILING_STATUS=OR","EQY_CONSOLIDATED=Y","Sort=A","Dates=H","DateFormat=P","Fill=—","Direction=H","UseDPDF=Y")</f>
        <v>#NAME?</v>
      </c>
      <c r="CL572" s="1" t="e">
        <f ca="1">_xll.BDH($C$553,"TOT_DEBT_TO_TOT_CAP","FQ4 2017","FQ4 2017","Currency=INR","Period=FQ","BEST_FPERIOD_OVERRIDE=FQ","FILING_STATUS=OR","EQY_CONSOLIDATED=Y","Sort=A","Dates=H","DateFormat=P","Fill=—","Direction=H","UseDPDF=Y")</f>
        <v>#NAME?</v>
      </c>
      <c r="CM572" s="1" t="e">
        <f ca="1">_xll.BDH($C$553,"TOT_DEBT_TO_TOT_ASSET","FQ4 2017","FQ4 2017","Currency=INR","Period=FQ","BEST_FPERIOD_OVERRIDE=FQ","FILING_STATUS=OR","EQY_CONSOLIDATED=Y","Sort=A","Dates=H","DateFormat=P","Fill=—","Direction=H","UseDPDF=Y")</f>
        <v>#NAME?</v>
      </c>
      <c r="CN572" s="1" t="e">
        <f ca="1">_xll.BDH($C$553,"NET_DEBT_TO_SHRHLDR_EQTY","FQ4 2017","FQ4 2017","Currency=INR","Period=FQ","BEST_FPERIOD_OVERRIDE=FQ","FILING_STATUS=OR","EQY_CONSOLIDATED=Y","Sort=A","Dates=H","DateFormat=P","Fill=—","Direction=H","UseDPDF=Y")</f>
        <v>#NAME?</v>
      </c>
      <c r="CO572" s="1" t="e">
        <f ca="1">_xll.BDH($C$553,"NET_DEBT_%_CAPITAL","FQ4 2017","FQ4 2017","Currency=INR","Period=FQ","BEST_FPERIOD_OVERRIDE=FQ","FILING_STATUS=OR","EQY_CONSOLIDATED=Y","Sort=A","Dates=H","DateFormat=P","Fill=—","Direction=H","UseDPDF=Y")</f>
        <v>#NAME?</v>
      </c>
      <c r="CP572" s="2" t="e">
        <f ca="1">_xll.BDH($C$553,"EBITDA","FQ4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72" s="2" t="e">
        <f ca="1">_xll.BDH($C$553,"EBITDA_AFTER_CAPEX","FQ4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72" s="2" t="e">
        <f ca="1">_xll.BDH($C$553,"IS_OPER_INC","FQ4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72" s="1" t="e">
        <f ca="1">_xll.BDH($C$553,"CASH_RATIO","FQ4 2017","FQ4 2017","Currency=INR","Period=FQ","BEST_FPERIOD_OVERRIDE=FQ","FILING_STATUS=OR","EQY_CONSOLIDATED=Y","Sort=A","Dates=H","DateFormat=P","Fill=—","Direction=H","UseDPDF=Y")</f>
        <v>#NAME?</v>
      </c>
      <c r="CT572" s="1" t="e">
        <f ca="1">_xll.BDH($C$553,"CUR_RATIO","FQ4 2017","FQ4 2017","Currency=INR","Period=FQ","BEST_FPERIOD_OVERRIDE=FQ","FILING_STATUS=OR","EQY_CONSOLIDATED=Y","Sort=A","Dates=H","DateFormat=P","Fill=—","Direction=H","UseDPDF=Y")</f>
        <v>#NAME?</v>
      </c>
      <c r="CU572" s="1" t="e">
        <f ca="1">_xll.BDH($C$553,"QUICK_RATIO","FQ4 2017","FQ4 2017","Currency=INR","Period=FQ","BEST_FPERIOD_OVERRIDE=FQ","FILING_STATUS=OR","EQY_CONSOLIDATED=Y","Sort=A","Dates=H","DateFormat=P","Fill=—","Direction=H","UseDPDF=Y")</f>
        <v>#NAME?</v>
      </c>
      <c r="CV572" s="1" t="e">
        <f ca="1">_xll.BDH($C$553,"ALTMAN_Z_SCORE","FQ4 2017","FQ4 2017","Currency=INR","Period=FQ","BEST_FPERIOD_OVERRIDE=FQ","FILING_STATUS=OR","EQY_CONSOLIDATED=Y","Sort=A","Dates=H","DateFormat=P","Fill=—","Direction=H","UseDPDF=Y")</f>
        <v>#NAME?</v>
      </c>
      <c r="CW572" s="3" t="e">
        <f ca="1">_xll.BDH($C$553,"ACCT_RCV_TURN","FQ4 2017","FQ4 2017","Currency=INR","Period=FQ","BEST_FPERIOD_OVERRIDE=FQ","FILING_STATUS=OR","EQY_CONSOLIDATED=Y","FA_ADJUSTED=GAAP","Sort=A","Dates=H","DateFormat=P","Fill=—","Direction=H","UseDPDF=Y")</f>
        <v>#NAME?</v>
      </c>
      <c r="CX572" s="1" t="e">
        <f ca="1">_xll.BDH($C$553,"ACCT_RCV_DAYS","FQ4 2017","FQ4 2017","Currency=INR","Period=FQ","BEST_FPERIOD_OVERRIDE=FQ","FILING_STATUS=OR","EQY_CONSOLIDATED=Y","FA_ADJUSTED=GAAP","Sort=A","Dates=H","DateFormat=P","Fill=—","Direction=H","UseDPDF=Y")</f>
        <v>#NAME?</v>
      </c>
      <c r="CY572" s="3" t="e">
        <f ca="1">_xll.BDH($C$553,"INVENT_TURN","FQ4 2017","FQ4 2017","Currency=INR","Period=FQ","BEST_FPERIOD_OVERRIDE=FQ","FILING_STATUS=OR","EQY_CONSOLIDATED=Y","FA_ADJUSTED=GAAP","Sort=A","Dates=H","DateFormat=P","Fill=—","Direction=H","UseDPDF=Y")</f>
        <v>#NAME?</v>
      </c>
      <c r="CZ572" s="1" t="e">
        <f ca="1">_xll.BDH($C$553,"INVENT_DAYS","FQ4 2017","FQ4 2017","Currency=INR","Period=FQ","BEST_FPERIOD_OVERRIDE=FQ","FILING_STATUS=OR","EQY_CONSOLIDATED=Y","FA_ADJUSTED=GAAP","Sort=A","Dates=H","DateFormat=P","Fill=—","Direction=H","UseDPDF=Y")</f>
        <v>#NAME?</v>
      </c>
      <c r="DA572" s="3" t="e">
        <f ca="1">_xll.BDH($C$553,"ACCOUNTS_PAYABLE_TURNOVER","FQ4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72" s="1" t="e">
        <f ca="1">_xll.BDH($C$553,"ACCOUNTS_PAYABLE_TURNOVER_DAYS","FQ4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72" s="3" t="e">
        <f ca="1">_xll.BDH($C$553,"CASH_CONVERSION_CYCLE","FQ4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72" s="3" t="e">
        <f ca="1">_xll.BDH($C$553,"INV_TO_CASH_DAYS","FQ4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572" s="4" t="e">
        <f ca="1">_xll.BDH($C$553,"BS_INVENTORIES","FQ4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572" s="2" t="e">
        <f ca="1">_xll.BDH($C$553,"INVTRY_RAW_MATERIALS","FQ4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72" s="2" t="e">
        <f ca="1">_xll.BDH($C$553,"INVTRY_IN_PROGRESS","FQ4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72" s="2" t="e">
        <f ca="1">_xll.BDH($C$553,"INVTRY_FINISHED_GOODS","FQ4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72" s="2" t="e">
        <f ca="1">_xll.BDH($C$553,"BS_OTHER_INV","FQ4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73" spans="1:113" x14ac:dyDescent="0.3">
      <c r="A573" s="6"/>
      <c r="B573" s="6"/>
      <c r="C573" s="6"/>
      <c r="D573" s="6" t="s">
        <v>11</v>
      </c>
      <c r="E573" t="s">
        <v>3</v>
      </c>
      <c r="F573" t="e">
        <f ca="1">_xll.BDH($C$553,"RETURN_COM_EQY","FY 2018","FY 2018","Currency=INR","Period=FY","BEST_FPERIOD_OVERRIDE=FY","FILING_STATUS=OR","EQY_CONSOLIDATED=Y","FA_ADJUSTED=GAAP","Sort=A","Dates=H","DateFormat=P","Fill=—","Direction=H","UseDPDF=Y")</f>
        <v>#NAME?</v>
      </c>
      <c r="G573" t="e">
        <f ca="1">_xll.BDH($C$553,"RETURN_ON_ASSET","FY 2018","FY 2018","Currency=INR","Period=FY","BEST_FPERIOD_OVERRIDE=FY","FILING_STATUS=OR","EQY_CONSOLIDATED=Y","FA_ADJUSTED=GAAP","Sort=A","Dates=H","DateFormat=P","Fill=—","Direction=H","UseDPDF=Y")</f>
        <v>#NAME?</v>
      </c>
      <c r="H573" t="e">
        <f ca="1">_xll.BDH($C$553,"RETURN_ON_CAP","FY 2018","FY 2018","Currency=INR","Period=FY","BEST_FPERIOD_OVERRIDE=FY","FILING_STATUS=OR","EQY_CONSOLIDATED=Y","FA_ADJUSTED=GAAP","Sort=A","Dates=H","DateFormat=P","Fill=—","Direction=H","UseDPDF=Y")</f>
        <v>#NAME?</v>
      </c>
      <c r="I573" t="e">
        <f ca="1">_xll.BDH($C$553,"RETURN_ON_INV_CAPITAL","FY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73" t="e">
        <f ca="1">_xll.BDH($C$553,"EBITDA_TO_REVENUE","FY 2018","FY 2018","Currency=INR","Period=FY","BEST_FPERIOD_OVERRIDE=FY","FILING_STATUS=OR","EQY_CONSOLIDATED=Y","FA_ADJUSTED=GAAP","Sort=A","Dates=H","DateFormat=P","Fill=—","Direction=H","UseDPDF=Y")</f>
        <v>#NAME?</v>
      </c>
      <c r="K573" t="e">
        <f ca="1">_xll.BDH($C$553,"OPER_MARGIN","FY 2018","FY 2018","Currency=INR","Period=FY","BEST_FPERIOD_OVERRIDE=FY","FILING_STATUS=OR","EQY_CONSOLIDATED=Y","FA_ADJUSTED=GAAP","Sort=A","Dates=H","DateFormat=P","Fill=—","Direction=H","UseDPDF=Y")</f>
        <v>#NAME?</v>
      </c>
      <c r="L573" t="e">
        <f ca="1">_xll.BDH($C$553,"INCREMENTAL_OPERATING_MARGIN","FY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73" t="e">
        <f ca="1">_xll.BDH($C$553,"PRETAX_INC_TO_NET_SALES","FY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73" t="e">
        <f ca="1">_xll.BDH($C$553,"INC_BEF_XO_ITEMS_TO_NET_SALES","FY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73" t="e">
        <f ca="1">_xll.BDH($C$553,"PROF_MARGIN","FY 2018","FY 2018","Currency=INR","Period=FY","BEST_FPERIOD_OVERRIDE=FY","FILING_STATUS=OR","EQY_CONSOLIDATED=Y","FA_ADJUSTED=GAAP","Sort=A","Dates=H","DateFormat=P","Fill=—","Direction=H","UseDPDF=Y")</f>
        <v>#NAME?</v>
      </c>
      <c r="P573" t="e">
        <f ca="1">_xll.BDH($C$553,"NET_INCOME_TO_COMMON_MARGIN","FY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73" t="e">
        <f ca="1">_xll.BDH($C$553,"EFF_TAX_RATE","FY 2018","FY 2018","Currency=INR","Period=FY","BEST_FPERIOD_OVERRIDE=FY","FILING_STATUS=OR","EQY_CONSOLIDATED=Y","FA_ADJUSTED=GAAP","Sort=A","Dates=H","DateFormat=P","Fill=—","Direction=H","UseDPDF=Y")</f>
        <v>#NAME?</v>
      </c>
      <c r="R573" t="e">
        <f ca="1">_xll.BDH($C$553,"DVD_PAYOUT_RATIO","FY 2018","FY 2018","Currency=INR","Period=FY","BEST_FPERIOD_OVERRIDE=FY","FILING_STATUS=OR","EQY_CONSOLIDATED=Y","FA_ADJUSTED=GAAP","Sort=A","Dates=H","DateFormat=P","Fill=—","Direction=H","UseDPDF=Y")</f>
        <v>#NAME?</v>
      </c>
      <c r="S573" t="e">
        <f ca="1">_xll.BDH($C$553,"SUSTAIN_GROWTH_RT","FY 2018","FY 2018","Currency=INR","Period=FY","BEST_FPERIOD_OVERRIDE=FY","FILING_STATUS=OR","EQY_CONSOLIDATED=Y","FA_ADJUSTED=GAAP","Sort=A","Dates=H","DateFormat=P","Fill=—","Direction=H","UseDPDF=Y")</f>
        <v>#NAME?</v>
      </c>
      <c r="T573" s="1" t="e">
        <f ca="1">_xll.BDH($C$553,"SALES_GROWTH","FY 2018","FY 2018","Currency=INR","Period=FY","BEST_FPERIOD_OVERRIDE=FY","FILING_STATUS=OR","EQY_CONSOLIDATED=Y","FA_ADJUSTED=GAAP","Sort=A","Dates=H","DateFormat=P","Fill=—","Direction=H","UseDPDF=Y")</f>
        <v>#NAME?</v>
      </c>
      <c r="U573" s="1" t="e">
        <f ca="1">_xll.BDH($C$553,"EBITDA_GROWTH","FY 2018","FY 2018","Currency=INR","Period=FY","BEST_FPERIOD_OVERRIDE=FY","FILING_STATUS=OR","EQY_CONSOLIDATED=Y","FA_ADJUSTED=GAAP","Sort=A","Dates=H","DateFormat=P","Fill=—","Direction=H","UseDPDF=Y")</f>
        <v>#NAME?</v>
      </c>
      <c r="V573" s="1" t="e">
        <f ca="1">_xll.BDH($C$553,"OPER_INC_GROWTH","FY 2018","FY 2018","Currency=INR","Period=FY","BEST_FPERIOD_OVERRIDE=FY","FILING_STATUS=OR","EQY_CONSOLIDATED=Y","FA_ADJUSTED=GAAP","Sort=A","Dates=H","DateFormat=P","Fill=—","Direction=H","UseDPDF=Y")</f>
        <v>#NAME?</v>
      </c>
      <c r="W573" s="1" t="e">
        <f ca="1">_xll.BDH($C$553,"EARN_FOR_COM_GROWTH","FY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573" s="1" t="e">
        <f ca="1">_xll.BDH($C$553,"DILUTED_EPS_AFT_XO_ITEMS_GROWTH","FY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73" s="1" t="e">
        <f ca="1">_xll.BDH($C$553,"DIVIDEND_PER_SHARE_1_YEAR_GROWTH","FY 2018","FY 2018","Currency=INR","Period=FY","BEST_FPERIOD_OVERRIDE=FY","FILING_STATUS=OR","EQY_CONSOLIDATED=Y","Sort=A","Dates=H","DateFormat=P","Fill=—","Direction=H","UseDPDF=Y")</f>
        <v>#NAME?</v>
      </c>
      <c r="Z573" s="1" t="e">
        <f ca="1">_xll.BDH($C$553,"ACCOUNTS_RECEIVABLE_GROWTH","FY 2018","FY 2018","Currency=INR","Period=FY","BEST_FPERIOD_OVERRIDE=FY","FILING_STATUS=OR","EQY_CONSOLIDATED=Y","Sort=A","Dates=H","DateFormat=P","Fill=—","Direction=H","UseDPDF=Y")</f>
        <v>#NAME?</v>
      </c>
      <c r="AA573" s="1" t="e">
        <f ca="1">_xll.BDH($C$553,"INVENTORY_GROWTH","FY 2018","FY 2018","Currency=INR","Period=FY","BEST_FPERIOD_OVERRIDE=FY","FILING_STATUS=OR","EQY_CONSOLIDATED=Y","Sort=A","Dates=H","DateFormat=P","Fill=—","Direction=H","UseDPDF=Y")</f>
        <v>#NAME?</v>
      </c>
      <c r="AB573" s="1" t="e">
        <f ca="1">_xll.BDH($C$553,"NET_FIXED_ASSETS_1_YEAR_GROWTH","FY 2018","FY 2018","Currency=INR","Period=FY","BEST_FPERIOD_OVERRIDE=FY","FILING_STATUS=OR","EQY_CONSOLIDATED=Y","Sort=A","Dates=H","DateFormat=P","Fill=—","Direction=H","UseDPDF=Y")</f>
        <v>#NAME?</v>
      </c>
      <c r="AC573" s="1" t="e">
        <f ca="1">_xll.BDH($C$553,"ASSET_GROWTH","FY 2018","FY 2018","Currency=INR","Period=FY","BEST_FPERIOD_OVERRIDE=FY","FILING_STATUS=OR","EQY_CONSOLIDATED=Y","Sort=A","Dates=H","DateFormat=P","Fill=—","Direction=H","UseDPDF=Y")</f>
        <v>#NAME?</v>
      </c>
      <c r="AD573" s="1" t="e">
        <f ca="1">_xll.BDH($C$553,"MODIFIED_WORK_CAP_GROWTH","FY 2018","FY 2018","Currency=INR","Period=FY","BEST_FPERIOD_OVERRIDE=FY","FILING_STATUS=OR","EQY_CONSOLIDATED=Y","Sort=A","Dates=H","DateFormat=P","Fill=—","Direction=H","UseDPDF=Y")</f>
        <v>#NAME?</v>
      </c>
      <c r="AE573" s="1" t="e">
        <f ca="1">_xll.BDH($C$553,"WORK_CAP_GROWTH","FY 2018","FY 2018","Currency=INR","Period=FY","BEST_FPERIOD_OVERRIDE=FY","FILING_STATUS=OR","EQY_CONSOLIDATED=Y","Sort=A","Dates=H","DateFormat=P","Fill=—","Direction=H","UseDPDF=Y")</f>
        <v>#NAME?</v>
      </c>
      <c r="AF573" s="1" t="e">
        <f ca="1">_xll.BDH($C$553,"ACCOUNTS_PAYABLE_GROWTH_1YR","FY 2018","FY 2018","Currency=INR","Period=FY","BEST_FPERIOD_OVERRIDE=FY","FILING_STATUS=OR","EQY_CONSOLIDATED=Y","Sort=A","Dates=H","DateFormat=P","Fill=—","Direction=H","UseDPDF=Y")</f>
        <v>#NAME?</v>
      </c>
      <c r="AG573" s="1" t="e">
        <f ca="1">_xll.BDH($C$553,"SHORT_TERM_DEBT_1_YEAR_GROWTH","FY 2018","FY 2018","Currency=INR","Period=FY","BEST_FPERIOD_OVERRIDE=FY","FILING_STATUS=OR","EQY_CONSOLIDATED=Y","Sort=A","Dates=H","DateFormat=P","Fill=—","Direction=H","UseDPDF=Y")</f>
        <v>#NAME?</v>
      </c>
      <c r="AH573" s="1" t="e">
        <f ca="1">_xll.BDH($C$553,"TOTAL_DEBT_1_YEAR_GROWTH","FY 2018","FY 2018","Currency=INR","Period=FY","BEST_FPERIOD_OVERRIDE=FY","FILING_STATUS=OR","EQY_CONSOLIDATED=Y","Sort=A","Dates=H","DateFormat=P","Fill=—","Direction=H","UseDPDF=Y")</f>
        <v>#NAME?</v>
      </c>
      <c r="AI573" s="1" t="e">
        <f ca="1">_xll.BDH($C$553,"TOTAL_EQUITY_1_YEAR_GROWTH","FY 2018","FY 2018","Currency=INR","Period=FY","BEST_FPERIOD_OVERRIDE=FY","FILING_STATUS=OR","EQY_CONSOLIDATED=Y","Sort=A","Dates=H","DateFormat=P","Fill=—","Direction=H","UseDPDF=Y")</f>
        <v>#NAME?</v>
      </c>
      <c r="AJ573" s="1" t="e">
        <f ca="1">_xll.BDH($C$553,"GROWTH_IN_CAP","FY 2018","FY 2018","Currency=INR","Period=FY","BEST_FPERIOD_OVERRIDE=FY","FILING_STATUS=OR","EQY_CONSOLIDATED=Y","Sort=A","Dates=H","DateFormat=P","Fill=—","Direction=H","UseDPDF=Y")</f>
        <v>#NAME?</v>
      </c>
      <c r="AK573" s="1" t="e">
        <f ca="1">_xll.BDH($C$553,"BVPS_GROWTH","FY 2018","FY 2018","Currency=INR","Period=FY","BEST_FPERIOD_OVERRIDE=FY","FILING_STATUS=OR","EQY_CONSOLIDATED=Y","Sort=A","Dates=H","DateFormat=P","Fill=—","Direction=H","UseDPDF=Y")</f>
        <v>#NAME?</v>
      </c>
      <c r="AL573" s="1" t="e">
        <f ca="1">_xll.BDH($C$553,"CASH_FLOW_GROWTH","FY 2018","FY 2018","Currency=INR","Period=FY","BEST_FPERIOD_OVERRIDE=FY","FILING_STATUS=OR","EQY_CONSOLIDATED=Y","Sort=A","Dates=H","DateFormat=P","Fill=—","Direction=H","UseDPDF=Y")</f>
        <v>#NAME?</v>
      </c>
      <c r="AM573" s="1" t="e">
        <f ca="1">_xll.BDH($C$553,"GEO_GROW_NET_SALES","FY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573" s="1" t="e">
        <f ca="1">_xll.BDH($C$553,"GEO_GROW_EBITDA","FY 2018","FY 2018","Currency=INR","Period=FY","BEST_FPERIOD_OVERRIDE=FY","FILING_STATUS=OR","EQY_CONSOLIDATED=Y","FA_ADJUSTED=GAAP","Sort=A","Dates=H","DateFormat=P","Fill=—","Direction=H","UseDPDF=Y")</f>
        <v>#NAME?</v>
      </c>
      <c r="AO573" s="1" t="e">
        <f ca="1">_xll.BDH($C$553,"GEO_GROW_OPER_INC","FY 2018","FY 2018","Currency=INR","Period=FY","BEST_FPERIOD_OVERRIDE=FY","FILING_STATUS=OR","EQY_CONSOLIDATED=Y","FA_ADJUSTED=GAAP","Sort=A","Dates=H","DateFormat=P","Fill=—","Direction=H","UseDPDF=Y")</f>
        <v>#NAME?</v>
      </c>
      <c r="AP573" s="1" t="e">
        <f ca="1">_xll.BDH($C$553,"NET_INCOME_TO_COMMON_5_YR_GROWTH","FY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73" s="1" t="e">
        <f ca="1">_xll.BDH($C$553,"5Y_GEO_GROWTH_DILUTED_EPS","FY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73" s="1" t="e">
        <f ca="1">_xll.BDH($C$553,"GEO_GROW_DVD_PER_SH","FY 2018","FY 2018","Currency=INR","Period=FY","BEST_FPERIOD_OVERRIDE=FY","FILING_STATUS=OR","EQY_CONSOLIDATED=Y","Sort=A","Dates=H","DateFormat=P","Fill=—","Direction=H","UseDPDF=Y")</f>
        <v>#NAME?</v>
      </c>
      <c r="AS573" s="1" t="e">
        <f ca="1">_xll.BDH($C$553,"ACCOUNTS_RECEIVABLE_5_YR_GROWTH","FY 2018","FY 2018","Currency=INR","Period=FY","BEST_FPERIOD_OVERRIDE=FY","FILING_STATUS=OR","EQY_CONSOLIDATED=Y","Sort=A","Dates=H","DateFormat=P","Fill=—","Direction=H","UseDPDF=Y")</f>
        <v>#NAME?</v>
      </c>
      <c r="AT573" s="1" t="e">
        <f ca="1">_xll.BDH($C$553,"INVENTORY_5_YEAR_GROWTH","FY 2018","FY 2018","Currency=INR","Period=FY","BEST_FPERIOD_OVERRIDE=FY","FILING_STATUS=OR","EQY_CONSOLIDATED=Y","Sort=A","Dates=H","DateFormat=P","Fill=—","Direction=H","UseDPDF=Y")</f>
        <v>#NAME?</v>
      </c>
      <c r="AU573" s="1" t="e">
        <f ca="1">_xll.BDH($C$553,"NET_FIXED_ASSETS_5_YEAR_GROWTH","FY 2018","FY 2018","Currency=INR","Period=FY","BEST_FPERIOD_OVERRIDE=FY","FILING_STATUS=OR","EQY_CONSOLIDATED=Y","Sort=A","Dates=H","DateFormat=P","Fill=—","Direction=H","UseDPDF=Y")</f>
        <v>#NAME?</v>
      </c>
      <c r="AV573" s="1" t="e">
        <f ca="1">_xll.BDH($C$553,"GEO_GROW_TOT_ASSET","FY 2018","FY 2018","Currency=INR","Period=FY","BEST_FPERIOD_OVERRIDE=FY","FILING_STATUS=OR","EQY_CONSOLIDATED=Y","Sort=A","Dates=H","DateFormat=P","Fill=—","Direction=H","UseDPDF=Y")</f>
        <v>#NAME?</v>
      </c>
      <c r="AW573" s="1" t="e">
        <f ca="1">_xll.BDH($C$553,"MODIFIED_WORKING_CPTL_5YR_GRWTH","FY 2018","FY 2018","Currency=INR","Period=FY","BEST_FPERIOD_OVERRIDE=FY","FILING_STATUS=OR","EQY_CONSOLIDATED=Y","Sort=A","Dates=H","DateFormat=P","Fill=—","Direction=H","UseDPDF=Y")</f>
        <v>#NAME?</v>
      </c>
      <c r="AX573" s="1" t="e">
        <f ca="1">_xll.BDH($C$553,"WORKING_CAPITAL_5_YEAR_GROWTH","FY 2018","FY 2018","Currency=INR","Period=FY","BEST_FPERIOD_OVERRIDE=FY","FILING_STATUS=OR","EQY_CONSOLIDATED=Y","Sort=A","Dates=H","DateFormat=P","Fill=—","Direction=H","UseDPDF=Y")</f>
        <v>#NAME?</v>
      </c>
      <c r="AY573" s="1" t="e">
        <f ca="1">_xll.BDH($C$553,"ACCOUNTS_PAYABLE_5_YEAR_GROWTH","FY 2018","FY 2018","Currency=INR","Period=FY","BEST_FPERIOD_OVERRIDE=FY","FILING_STATUS=OR","EQY_CONSOLIDATED=Y","Sort=A","Dates=H","DateFormat=P","Fill=—","Direction=H","UseDPDF=Y")</f>
        <v>#NAME?</v>
      </c>
      <c r="AZ573" s="1" t="e">
        <f ca="1">_xll.BDH($C$553,"SHORT_TERM_DEBT_5_YEAR_GROWTH","FY 2018","FY 2018","Currency=INR","Period=FY","BEST_FPERIOD_OVERRIDE=FY","FILING_STATUS=OR","EQY_CONSOLIDATED=Y","Sort=A","Dates=H","DateFormat=P","Fill=—","Direction=H","UseDPDF=Y")</f>
        <v>#NAME?</v>
      </c>
      <c r="BA573" s="1" t="e">
        <f ca="1">_xll.BDH($C$553,"TOTAL_DEBT_5_YEAR_GROWTH","FY 2018","FY 2018","Currency=INR","Period=FY","BEST_FPERIOD_OVERRIDE=FY","FILING_STATUS=OR","EQY_CONSOLIDATED=Y","Sort=A","Dates=H","DateFormat=P","Fill=—","Direction=H","UseDPDF=Y")</f>
        <v>#NAME?</v>
      </c>
      <c r="BB573" s="1" t="e">
        <f ca="1">_xll.BDH($C$553,"GEO_GROW_TOT_SHRHLDR_EQY","FY 2018","FY 2018","Currency=INR","Period=FY","BEST_FPERIOD_OVERRIDE=FY","FILING_STATUS=OR","EQY_CONSOLIDATED=Y","Sort=A","Dates=H","DateFormat=P","Fill=—","Direction=H","UseDPDF=Y")</f>
        <v>#NAME?</v>
      </c>
      <c r="BC573" s="1" t="e">
        <f ca="1">_xll.BDH($C$553,"TOTAL_CAPITAL_5_YEAR_GROWTH","FY 2018","FY 2018","Currency=INR","Period=FY","BEST_FPERIOD_OVERRIDE=FY","FILING_STATUS=OR","EQY_CONSOLIDATED=Y","Sort=A","Dates=H","DateFormat=P","Fill=—","Direction=H","UseDPDF=Y")</f>
        <v>#NAME?</v>
      </c>
      <c r="BD573" s="1" t="e">
        <f ca="1">_xll.BDH($C$553,"GEO_GROW_BOOK_VAL","FY 2018","FY 2018","Currency=INR","Period=FY","BEST_FPERIOD_OVERRIDE=FY","FILING_STATUS=OR","EQY_CONSOLIDATED=Y","Sort=A","Dates=H","DateFormat=P","Fill=—","Direction=H","UseDPDF=Y")</f>
        <v>#NAME?</v>
      </c>
      <c r="BE573" s="1" t="e">
        <f ca="1">_xll.BDH($C$553,"GEO_GROW_CASH_OPER_ACT","FY 2018","FY 2018","Currency=INR","Period=FY","BEST_FPERIOD_OVERRIDE=FY","FILING_STATUS=OR","EQY_CONSOLIDATED=Y","Sort=A","Dates=H","DateFormat=P","Fill=—","Direction=H","UseDPDF=Y")</f>
        <v>#NAME?</v>
      </c>
      <c r="BF573" s="1" t="e">
        <f ca="1">_xll.BDH($C$553,"REVENUE_SEQUENTIAL_GROWTH","FY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73" s="1" t="e">
        <f ca="1">_xll.BDH($C$553,"EBITDA_SEQUENTIAL_GROWTH","FY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73" s="1" t="e">
        <f ca="1">_xll.BDH($C$553,"OPERATING_INCOME_SEQ_GROWTH","FY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73" s="1" t="e">
        <f ca="1">_xll.BDH($C$553,"NET_INCOME_TO_COMMON_SEQ_GROWTH","FY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73" s="1" t="e">
        <f ca="1">_xll.BDH($C$553,"EPS_DILUTED_SEQUENTIAL_GROWTH","FY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73" s="1" t="e">
        <f ca="1">_xll.BDH($C$553,"DPS_SEQUENTIAL_GROWTH","FY 2018","FY 2018","Currency=INR","Period=FY","BEST_FPERIOD_OVERRIDE=FY","FILING_STATUS=OR","EQY_CONSOLIDATED=Y","Sort=A","Dates=H","DateFormat=P","Fill=—","Direction=H","UseDPDF=Y")</f>
        <v>#NAME?</v>
      </c>
      <c r="BL573" s="1" t="e">
        <f ca="1">_xll.BDH($C$553,"ACCOUNTS_RECEIVABLE_SEQ_GROWTH","FY 2018","FY 2018","Currency=INR","Period=FY","BEST_FPERIOD_OVERRIDE=FY","FILING_STATUS=OR","EQY_CONSOLIDATED=Y","Sort=A","Dates=H","DateFormat=P","Fill=—","Direction=H","UseDPDF=Y")</f>
        <v>#NAME?</v>
      </c>
      <c r="BM573" s="1" t="e">
        <f ca="1">_xll.BDH($C$553,"INVENTORY_SEQUENTIAL_GROWTH","FY 2018","FY 2018","Currency=INR","Period=FY","BEST_FPERIOD_OVERRIDE=FY","FILING_STATUS=OR","EQY_CONSOLIDATED=Y","Sort=A","Dates=H","DateFormat=P","Fill=—","Direction=H","UseDPDF=Y")</f>
        <v>#NAME?</v>
      </c>
      <c r="BN573" s="1" t="e">
        <f ca="1">_xll.BDH($C$553,"FIXED_ASSETS_SEQUENTIAL_GROWTH","FY 2018","FY 2018","Currency=INR","Period=FY","BEST_FPERIOD_OVERRIDE=FY","FILING_STATUS=OR","EQY_CONSOLIDATED=Y","Sort=A","Dates=H","DateFormat=P","Fill=—","Direction=H","UseDPDF=Y")</f>
        <v>#NAME?</v>
      </c>
      <c r="BO573" s="1" t="e">
        <f ca="1">_xll.BDH($C$553,"TOTAL_ASSETS_SEQUENTIAL_GROWTH","FY 2018","FY 2018","Currency=INR","Period=FY","BEST_FPERIOD_OVERRIDE=FY","FILING_STATUS=OR","EQY_CONSOLIDATED=Y","Sort=A","Dates=H","DateFormat=P","Fill=—","Direction=H","UseDPDF=Y")</f>
        <v>#NAME?</v>
      </c>
      <c r="BP573" s="1" t="e">
        <f ca="1">_xll.BDH($C$553,"MODIFIED_WORKING_CPTL_SEQ_GRWTH","FY 2018","FY 2018","Currency=INR","Period=FY","BEST_FPERIOD_OVERRIDE=FY","FILING_STATUS=OR","EQY_CONSOLIDATED=Y","Sort=A","Dates=H","DateFormat=P","Fill=—","Direction=H","UseDPDF=Y")</f>
        <v>#NAME?</v>
      </c>
      <c r="BQ573" s="1" t="e">
        <f ca="1">_xll.BDH($C$553,"WORKING_CAPITAL_SEQ_GROWTH","FY 2018","FY 2018","Currency=INR","Period=FY","BEST_FPERIOD_OVERRIDE=FY","FILING_STATUS=OR","EQY_CONSOLIDATED=Y","Sort=A","Dates=H","DateFormat=P","Fill=—","Direction=H","UseDPDF=Y")</f>
        <v>#NAME?</v>
      </c>
      <c r="BR573" s="1" t="e">
        <f ca="1">_xll.BDH($C$553,"ACCOUNTS_PAYABLE_SEQ_GROWTH","FY 2018","FY 2018","Currency=INR","Period=FY","BEST_FPERIOD_OVERRIDE=FY","FILING_STATUS=OR","EQY_CONSOLIDATED=Y","Sort=A","Dates=H","DateFormat=P","Fill=—","Direction=H","UseDPDF=Y")</f>
        <v>#NAME?</v>
      </c>
      <c r="BS573" s="1" t="e">
        <f ca="1">_xll.BDH($C$553,"ST_DEBT_SEQUENTIAL_GROWTH","FY 2018","FY 2018","Currency=INR","Period=FY","BEST_FPERIOD_OVERRIDE=FY","FILING_STATUS=OR","EQY_CONSOLIDATED=Y","Sort=A","Dates=H","DateFormat=P","Fill=—","Direction=H","UseDPDF=Y")</f>
        <v>#NAME?</v>
      </c>
      <c r="BT573" s="1" t="e">
        <f ca="1">_xll.BDH($C$553,"TOTAL_DEBT_SEQUENTIAL_GROWTH","FY 2018","FY 2018","Currency=INR","Period=FY","BEST_FPERIOD_OVERRIDE=FY","FILING_STATUS=OR","EQY_CONSOLIDATED=Y","Sort=A","Dates=H","DateFormat=P","Fill=—","Direction=H","UseDPDF=Y")</f>
        <v>#NAME?</v>
      </c>
      <c r="BU573" s="1" t="e">
        <f ca="1">_xll.BDH($C$553,"TOTAL_EQUITY_SEQUENTIAL_GROWTH","FY 2018","FY 2018","Currency=INR","Period=FY","BEST_FPERIOD_OVERRIDE=FY","FILING_STATUS=OR","EQY_CONSOLIDATED=Y","Sort=A","Dates=H","DateFormat=P","Fill=—","Direction=H","UseDPDF=Y")</f>
        <v>#NAME?</v>
      </c>
      <c r="BV573" s="1" t="e">
        <f ca="1">_xll.BDH($C$553,"TOTAL_CAPITAL_SEQUENTIAL_GROWTH","FY 2018","FY 2018","Currency=INR","Period=FY","BEST_FPERIOD_OVERRIDE=FY","FILING_STATUS=OR","EQY_CONSOLIDATED=Y","Sort=A","Dates=H","DateFormat=P","Fill=—","Direction=H","UseDPDF=Y")</f>
        <v>#NAME?</v>
      </c>
      <c r="BW573" s="1" t="e">
        <f ca="1">_xll.BDH($C$553,"BPS_SEQUENTIAL_GROWTH","FY 2018","FY 2018","Currency=INR","Period=FY","BEST_FPERIOD_OVERRIDE=FY","FILING_STATUS=OR","EQY_CONSOLIDATED=Y","Sort=A","Dates=H","DateFormat=P","Fill=—","Direction=H","UseDPDF=Y")</f>
        <v>#NAME?</v>
      </c>
      <c r="BX573" s="1" t="e">
        <f ca="1">_xll.BDH($C$553,"CFO_SEQUENTIAL_GROWTH","FY 2018","FY 2018","Currency=INR","Period=FY","BEST_FPERIOD_OVERRIDE=FY","FILING_STATUS=OR","EQY_CONSOLIDATED=Y","Sort=A","Dates=H","DateFormat=P","Fill=—","Direction=H","UseDPDF=Y")</f>
        <v>#NAME?</v>
      </c>
      <c r="BY573" s="2" t="e">
        <f ca="1">_xll.BDH($C$553,"SHORT_AND_LONG_TERM_DEBT","FY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73" s="2" t="e">
        <f ca="1">_xll.BDH($C$553,"BS_ST_BORROW","FY 2018","FY 2018","Currency=INR","Period=FY","BEST_FPERIOD_OVERRIDE=FY","FILING_STATUS=OR","EQY_CONSOLIDATED=Y","SCALING_FORMAT=MLN","Sort=A","Dates=H","DateFormat=P","Fill=—","Direction=H","UseDPDF=Y")</f>
        <v>#NAME?</v>
      </c>
      <c r="CA573" s="2" t="e">
        <f ca="1">_xll.BDH($C$553,"BS_LT_BORROW","FY 2018","FY 2018","Currency=INR","Period=FY","BEST_FPERIOD_OVERRIDE=FY","FILING_STATUS=OR","EQY_CONSOLIDATED=Y","SCALING_FORMAT=MLN","Sort=A","Dates=H","DateFormat=P","Fill=—","Direction=H","UseDPDF=Y")</f>
        <v>#NAME?</v>
      </c>
      <c r="CB573" s="1" t="e">
        <f ca="1">_xll.BDH($C$553,"TOT_DEBT_TO_EBITDA","FY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573" s="1" t="e">
        <f ca="1">_xll.BDH($C$553,"NET_DEBT_TO_EBITDA","FY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573" s="1" t="e">
        <f ca="1">_xll.BDH($C$553,"TOTAL_DEBT_TO_EBIT","FY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573" s="1" t="e">
        <f ca="1">_xll.BDH($C$553,"NET_DEBT_TO_EBIT","FY 2018","FY 2018","Currency=INR","Period=FY","BEST_FPERIOD_OVERRIDE=FY","FILING_STATUS=OR","EQY_CONSOLIDATED=Y","FA_ADJUSTED=GAAP","Sort=A","Dates=H","DateFormat=P","Fill=—","Direction=H","UseDPDF=Y")</f>
        <v>#NAME?</v>
      </c>
      <c r="CF573" s="1" t="e">
        <f ca="1">_xll.BDH($C$553,"EBITDA_TO_INTEREST_EXPN","FY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73" s="1" t="e">
        <f ca="1">_xll.BDH($C$553,"COM_EQY_TO_TOT_ASSET","FY 2018","FY 2018","Currency=INR","Period=FY","BEST_FPERIOD_OVERRIDE=FY","FILING_STATUS=OR","EQY_CONSOLIDATED=Y","Sort=A","Dates=H","DateFormat=P","Fill=—","Direction=H","UseDPDF=Y")</f>
        <v>#NAME?</v>
      </c>
      <c r="CH573" s="1" t="e">
        <f ca="1">_xll.BDH($C$553,"LT_DEBT_TO_TOT_EQY","FY 2018","FY 2018","Currency=INR","Period=FY","BEST_FPERIOD_OVERRIDE=FY","FILING_STATUS=OR","EQY_CONSOLIDATED=Y","Sort=A","Dates=H","DateFormat=P","Fill=—","Direction=H","UseDPDF=Y")</f>
        <v>#NAME?</v>
      </c>
      <c r="CI573" s="1" t="e">
        <f ca="1">_xll.BDH($C$553,"LT_DEBT_TO_TOT_CAP","FY 2018","FY 2018","Currency=INR","Period=FY","BEST_FPERIOD_OVERRIDE=FY","FILING_STATUS=OR","EQY_CONSOLIDATED=Y","Sort=A","Dates=H","DateFormat=P","Fill=—","Direction=H","UseDPDF=Y")</f>
        <v>#NAME?</v>
      </c>
      <c r="CJ573" s="1" t="e">
        <f ca="1">_xll.BDH($C$553,"LT_DEBT_TO_TOT_ASSET","FY 2018","FY 2018","Currency=INR","Period=FY","BEST_FPERIOD_OVERRIDE=FY","FILING_STATUS=OR","EQY_CONSOLIDATED=Y","Sort=A","Dates=H","DateFormat=P","Fill=—","Direction=H","UseDPDF=Y")</f>
        <v>#NAME?</v>
      </c>
      <c r="CK573" s="1" t="e">
        <f ca="1">_xll.BDH($C$553,"TOT_DEBT_TO_TOT_EQY","FY 2018","FY 2018","Currency=INR","Period=FY","BEST_FPERIOD_OVERRIDE=FY","FILING_STATUS=OR","EQY_CONSOLIDATED=Y","Sort=A","Dates=H","DateFormat=P","Fill=—","Direction=H","UseDPDF=Y")</f>
        <v>#NAME?</v>
      </c>
      <c r="CL573" s="1" t="e">
        <f ca="1">_xll.BDH($C$553,"TOT_DEBT_TO_TOT_CAP","FY 2018","FY 2018","Currency=INR","Period=FY","BEST_FPERIOD_OVERRIDE=FY","FILING_STATUS=OR","EQY_CONSOLIDATED=Y","Sort=A","Dates=H","DateFormat=P","Fill=—","Direction=H","UseDPDF=Y")</f>
        <v>#NAME?</v>
      </c>
      <c r="CM573" s="1" t="e">
        <f ca="1">_xll.BDH($C$553,"TOT_DEBT_TO_TOT_ASSET","FY 2018","FY 2018","Currency=INR","Period=FY","BEST_FPERIOD_OVERRIDE=FY","FILING_STATUS=OR","EQY_CONSOLIDATED=Y","Sort=A","Dates=H","DateFormat=P","Fill=—","Direction=H","UseDPDF=Y")</f>
        <v>#NAME?</v>
      </c>
      <c r="CN573" s="1" t="e">
        <f ca="1">_xll.BDH($C$553,"NET_DEBT_TO_SHRHLDR_EQTY","FY 2018","FY 2018","Currency=INR","Period=FY","BEST_FPERIOD_OVERRIDE=FY","FILING_STATUS=OR","EQY_CONSOLIDATED=Y","Sort=A","Dates=H","DateFormat=P","Fill=—","Direction=H","UseDPDF=Y")</f>
        <v>#NAME?</v>
      </c>
      <c r="CO573" s="1" t="e">
        <f ca="1">_xll.BDH($C$553,"NET_DEBT_%_CAPITAL","FY 2018","FY 2018","Currency=INR","Period=FY","BEST_FPERIOD_OVERRIDE=FY","FILING_STATUS=OR","EQY_CONSOLIDATED=Y","Sort=A","Dates=H","DateFormat=P","Fill=—","Direction=H","UseDPDF=Y")</f>
        <v>#NAME?</v>
      </c>
      <c r="CP573" s="2" t="e">
        <f ca="1">_xll.BDH($C$553,"EBITDA","FY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73" s="2" t="e">
        <f ca="1">_xll.BDH($C$553,"EBITDA_AFTER_CAPEX","FY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73" s="2" t="e">
        <f ca="1">_xll.BDH($C$553,"IS_OPER_INC","FY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73" s="1" t="e">
        <f ca="1">_xll.BDH($C$553,"CASH_RATIO","FY 2018","FY 2018","Currency=INR","Period=FY","BEST_FPERIOD_OVERRIDE=FY","FILING_STATUS=OR","EQY_CONSOLIDATED=Y","Sort=A","Dates=H","DateFormat=P","Fill=—","Direction=H","UseDPDF=Y")</f>
        <v>#NAME?</v>
      </c>
      <c r="CT573" s="1" t="e">
        <f ca="1">_xll.BDH($C$553,"CUR_RATIO","FY 2018","FY 2018","Currency=INR","Period=FY","BEST_FPERIOD_OVERRIDE=FY","FILING_STATUS=OR","EQY_CONSOLIDATED=Y","Sort=A","Dates=H","DateFormat=P","Fill=—","Direction=H","UseDPDF=Y")</f>
        <v>#NAME?</v>
      </c>
      <c r="CU573" s="1" t="e">
        <f ca="1">_xll.BDH($C$553,"QUICK_RATIO","FY 2018","FY 2018","Currency=INR","Period=FY","BEST_FPERIOD_OVERRIDE=FY","FILING_STATUS=OR","EQY_CONSOLIDATED=Y","Sort=A","Dates=H","DateFormat=P","Fill=—","Direction=H","UseDPDF=Y")</f>
        <v>#NAME?</v>
      </c>
      <c r="CV573" s="1" t="e">
        <f ca="1">_xll.BDH($C$553,"ALTMAN_Z_SCORE","FY 2018","FY 2018","Currency=INR","Period=FY","BEST_FPERIOD_OVERRIDE=FY","FILING_STATUS=OR","EQY_CONSOLIDATED=Y","Sort=A","Dates=H","DateFormat=P","Fill=—","Direction=H","UseDPDF=Y")</f>
        <v>#NAME?</v>
      </c>
      <c r="CW573" s="3" t="e">
        <f ca="1">_xll.BDH($C$553,"ACCT_RCV_TURN","FY 2018","FY 2018","Currency=INR","Period=FY","BEST_FPERIOD_OVERRIDE=FY","FILING_STATUS=OR","EQY_CONSOLIDATED=Y","FA_ADJUSTED=GAAP","Sort=A","Dates=H","DateFormat=P","Fill=—","Direction=H","UseDPDF=Y")</f>
        <v>#NAME?</v>
      </c>
      <c r="CX573" s="1" t="e">
        <f ca="1">_xll.BDH($C$553,"ACCT_RCV_DAYS","FY 2018","FY 2018","Currency=INR","Period=FY","BEST_FPERIOD_OVERRIDE=FY","FILING_STATUS=OR","EQY_CONSOLIDATED=Y","FA_ADJUSTED=GAAP","Sort=A","Dates=H","DateFormat=P","Fill=—","Direction=H","UseDPDF=Y")</f>
        <v>#NAME?</v>
      </c>
      <c r="CY573" s="3" t="e">
        <f ca="1">_xll.BDH($C$553,"INVENT_TURN","FY 2018","FY 2018","Currency=INR","Period=FY","BEST_FPERIOD_OVERRIDE=FY","FILING_STATUS=OR","EQY_CONSOLIDATED=Y","FA_ADJUSTED=GAAP","Sort=A","Dates=H","DateFormat=P","Fill=—","Direction=H","UseDPDF=Y")</f>
        <v>#NAME?</v>
      </c>
      <c r="CZ573" s="1" t="e">
        <f ca="1">_xll.BDH($C$553,"INVENT_DAYS","FY 2018","FY 2018","Currency=INR","Period=FY","BEST_FPERIOD_OVERRIDE=FY","FILING_STATUS=OR","EQY_CONSOLIDATED=Y","FA_ADJUSTED=GAAP","Sort=A","Dates=H","DateFormat=P","Fill=—","Direction=H","UseDPDF=Y")</f>
        <v>#NAME?</v>
      </c>
      <c r="DA573" s="3" t="e">
        <f ca="1">_xll.BDH($C$553,"ACCOUNTS_PAYABLE_TURNOVER","FY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73" s="1" t="e">
        <f ca="1">_xll.BDH($C$553,"ACCOUNTS_PAYABLE_TURNOVER_DAYS","FY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73" s="3" t="e">
        <f ca="1">_xll.BDH($C$553,"CASH_CONVERSION_CYCLE","FY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73" s="3" t="e">
        <f ca="1">_xll.BDH($C$553,"INV_TO_CASH_DAYS","FY 2018","FY 2018","Currency=INR","Period=FY","BEST_FPERIOD_OVERRIDE=FY","FILING_STATUS=OR","EQY_CONSOLIDATED=Y","FA_ADJUSTED=GAAP","Sort=A","Dates=H","DateFormat=P","Fill=—","Direction=H","UseDPDF=Y")</f>
        <v>#NAME?</v>
      </c>
      <c r="DE573" s="4" t="e">
        <f ca="1">_xll.BDH($C$553,"BS_INVENTORIES","FY 2018","FY 2018","Currency=INR","Period=FY","BEST_FPERIOD_OVERRIDE=FY","FILING_STATUS=OR","EQY_CONSOLIDATED=Y","SCALING_FORMAT=MLN","Sort=A","Dates=H","DateFormat=P","Fill=—","Direction=H","UseDPDF=Y")</f>
        <v>#NAME?</v>
      </c>
      <c r="DF573" s="2" t="e">
        <f ca="1">_xll.BDH($C$553,"INVTRY_RAW_MATERIALS","FY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73" s="2" t="e">
        <f ca="1">_xll.BDH($C$553,"INVTRY_IN_PROGRESS","FY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73" s="2" t="e">
        <f ca="1">_xll.BDH($C$553,"INVTRY_FINISHED_GOODS","FY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73" s="2" t="e">
        <f ca="1">_xll.BDH($C$553,"BS_OTHER_INV","FY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74" spans="1:113" x14ac:dyDescent="0.3">
      <c r="A574" s="6"/>
      <c r="B574" s="6"/>
      <c r="C574" s="6"/>
      <c r="D574" s="6"/>
      <c r="E574" t="s">
        <v>4</v>
      </c>
      <c r="F574" t="e">
        <f ca="1">_xll.BDH($C$553,"RETURN_COM_EQY","FQ1 2018","FQ1 2018","Currency=INR","Period=FQ","BEST_FPERIOD_OVERRIDE=FQ","FILING_STATUS=OR","EQY_CONSOLIDATED=Y","FA_ADJUSTED=GAAP","Sort=A","Dates=H","DateFormat=P","Fill=—","Direction=H","UseDPDF=Y")</f>
        <v>#NAME?</v>
      </c>
      <c r="G574" t="e">
        <f ca="1">_xll.BDH($C$553,"RETURN_ON_ASSET","FQ1 2018","FQ1 2018","Currency=INR","Period=FQ","BEST_FPERIOD_OVERRIDE=FQ","FILING_STATUS=OR","EQY_CONSOLIDATED=Y","FA_ADJUSTED=GAAP","Sort=A","Dates=H","DateFormat=P","Fill=—","Direction=H","UseDPDF=Y")</f>
        <v>#NAME?</v>
      </c>
      <c r="H574" t="e">
        <f ca="1">_xll.BDH($C$553,"RETURN_ON_CAP","FQ1 2018","FQ1 2018","Currency=INR","Period=FQ","BEST_FPERIOD_OVERRIDE=FQ","FILING_STATUS=OR","EQY_CONSOLIDATED=Y","FA_ADJUSTED=GAAP","Sort=A","Dates=H","DateFormat=P","Fill=—","Direction=H","UseDPDF=Y")</f>
        <v>#NAME?</v>
      </c>
      <c r="I574" t="e">
        <f ca="1">_xll.BDH($C$553,"RETURN_ON_INV_CAPITAL","FQ1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74" t="e">
        <f ca="1">_xll.BDH($C$553,"EBITDA_TO_REVENUE","FQ1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574" t="e">
        <f ca="1">_xll.BDH($C$553,"OPER_MARGIN","FQ1 2018","FQ1 2018","Currency=INR","Period=FQ","BEST_FPERIOD_OVERRIDE=FQ","FILING_STATUS=OR","EQY_CONSOLIDATED=Y","FA_ADJUSTED=GAAP","Sort=A","Dates=H","DateFormat=P","Fill=—","Direction=H","UseDPDF=Y")</f>
        <v>#NAME?</v>
      </c>
      <c r="L574" t="e">
        <f ca="1">_xll.BDH($C$553,"INCREMENTAL_OPERATING_MARGIN","FQ1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74" t="e">
        <f ca="1">_xll.BDH($C$553,"PRETAX_INC_TO_NET_SALES","FQ1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74" t="e">
        <f ca="1">_xll.BDH($C$553,"INC_BEF_XO_ITEMS_TO_NET_SALES","FQ1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74" t="e">
        <f ca="1">_xll.BDH($C$553,"PROF_MARGIN","FQ1 2018","FQ1 2018","Currency=INR","Period=FQ","BEST_FPERIOD_OVERRIDE=FQ","FILING_STATUS=OR","EQY_CONSOLIDATED=Y","FA_ADJUSTED=GAAP","Sort=A","Dates=H","DateFormat=P","Fill=—","Direction=H","UseDPDF=Y")</f>
        <v>#NAME?</v>
      </c>
      <c r="P574" t="e">
        <f ca="1">_xll.BDH($C$553,"NET_INCOME_TO_COMMON_MARGIN","FQ1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74" t="e">
        <f ca="1">_xll.BDH($C$553,"EFF_TAX_RATE","FQ1 2018","FQ1 2018","Currency=INR","Period=FQ","BEST_FPERIOD_OVERRIDE=FQ","FILING_STATUS=OR","EQY_CONSOLIDATED=Y","FA_ADJUSTED=GAAP","Sort=A","Dates=H","DateFormat=P","Fill=—","Direction=H","UseDPDF=Y")</f>
        <v>#NAME?</v>
      </c>
      <c r="R574" t="e">
        <f ca="1">_xll.BDH($C$553,"DVD_PAYOUT_RATIO","FQ1 2018","FQ1 2018","Currency=INR","Period=FQ","BEST_FPERIOD_OVERRIDE=FQ","FILING_STATUS=OR","EQY_CONSOLIDATED=Y","FA_ADJUSTED=GAAP","Sort=A","Dates=H","DateFormat=P","Fill=—","Direction=H","UseDPDF=Y")</f>
        <v>#NAME?</v>
      </c>
      <c r="S574" t="e">
        <f ca="1">_xll.BDH($C$553,"SUSTAIN_GROWTH_RT","FQ1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574" s="1" t="e">
        <f ca="1">_xll.BDH($C$553,"SALES_GROWTH","FQ1 2018","FQ1 2018","Currency=INR","Period=FQ","BEST_FPERIOD_OVERRIDE=FQ","FILING_STATUS=OR","EQY_CONSOLIDATED=Y","FA_ADJUSTED=GAAP","Sort=A","Dates=H","DateFormat=P","Fill=—","Direction=H","UseDPDF=Y")</f>
        <v>#NAME?</v>
      </c>
      <c r="U574" s="1" t="e">
        <f ca="1">_xll.BDH($C$553,"EBITDA_GROWTH","FQ1 2018","FQ1 2018","Currency=INR","Period=FQ","BEST_FPERIOD_OVERRIDE=FQ","FILING_STATUS=OR","EQY_CONSOLIDATED=Y","FA_ADJUSTED=GAAP","Sort=A","Dates=H","DateFormat=P","Fill=—","Direction=H","UseDPDF=Y")</f>
        <v>#NAME?</v>
      </c>
      <c r="V574" s="1" t="e">
        <f ca="1">_xll.BDH($C$553,"OPER_INC_GROWTH","FQ1 2018","FQ1 2018","Currency=INR","Period=FQ","BEST_FPERIOD_OVERRIDE=FQ","FILING_STATUS=OR","EQY_CONSOLIDATED=Y","FA_ADJUSTED=GAAP","Sort=A","Dates=H","DateFormat=P","Fill=—","Direction=H","UseDPDF=Y")</f>
        <v>#NAME?</v>
      </c>
      <c r="W574" s="1" t="e">
        <f ca="1">_xll.BDH($C$553,"EARN_FOR_COM_GROWTH","FQ1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74" s="1" t="e">
        <f ca="1">_xll.BDH($C$553,"DILUTED_EPS_AFT_XO_ITEMS_GROWTH","FQ1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74" s="1" t="e">
        <f ca="1">_xll.BDH($C$553,"DIVIDEND_PER_SHARE_1_YEAR_GROWTH","FQ1 2018","FQ1 2018","Currency=INR","Period=FQ","BEST_FPERIOD_OVERRIDE=FQ","FILING_STATUS=OR","EQY_CONSOLIDATED=Y","Sort=A","Dates=H","DateFormat=P","Fill=—","Direction=H","UseDPDF=Y")</f>
        <v>#NAME?</v>
      </c>
      <c r="Z574" s="1" t="e">
        <f ca="1">_xll.BDH($C$553,"ACCOUNTS_RECEIVABLE_GROWTH","FQ1 2018","FQ1 2018","Currency=INR","Period=FQ","BEST_FPERIOD_OVERRIDE=FQ","FILING_STATUS=OR","EQY_CONSOLIDATED=Y","Sort=A","Dates=H","DateFormat=P","Fill=—","Direction=H","UseDPDF=Y")</f>
        <v>#NAME?</v>
      </c>
      <c r="AA574" s="1" t="e">
        <f ca="1">_xll.BDH($C$553,"INVENTORY_GROWTH","FQ1 2018","FQ1 2018","Currency=INR","Period=FQ","BEST_FPERIOD_OVERRIDE=FQ","FILING_STATUS=OR","EQY_CONSOLIDATED=Y","Sort=A","Dates=H","DateFormat=P","Fill=—","Direction=H","UseDPDF=Y")</f>
        <v>#NAME?</v>
      </c>
      <c r="AB574" s="1" t="e">
        <f ca="1">_xll.BDH($C$553,"NET_FIXED_ASSETS_1_YEAR_GROWTH","FQ1 2018","FQ1 2018","Currency=INR","Period=FQ","BEST_FPERIOD_OVERRIDE=FQ","FILING_STATUS=OR","EQY_CONSOLIDATED=Y","Sort=A","Dates=H","DateFormat=P","Fill=—","Direction=H","UseDPDF=Y")</f>
        <v>#NAME?</v>
      </c>
      <c r="AC574" s="1" t="e">
        <f ca="1">_xll.BDH($C$553,"ASSET_GROWTH","FQ1 2018","FQ1 2018","Currency=INR","Period=FQ","BEST_FPERIOD_OVERRIDE=FQ","FILING_STATUS=OR","EQY_CONSOLIDATED=Y","Sort=A","Dates=H","DateFormat=P","Fill=—","Direction=H","UseDPDF=Y")</f>
        <v>#NAME?</v>
      </c>
      <c r="AD574" s="1" t="e">
        <f ca="1">_xll.BDH($C$553,"MODIFIED_WORK_CAP_GROWTH","FQ1 2018","FQ1 2018","Currency=INR","Period=FQ","BEST_FPERIOD_OVERRIDE=FQ","FILING_STATUS=OR","EQY_CONSOLIDATED=Y","Sort=A","Dates=H","DateFormat=P","Fill=—","Direction=H","UseDPDF=Y")</f>
        <v>#NAME?</v>
      </c>
      <c r="AE574" s="1" t="e">
        <f ca="1">_xll.BDH($C$553,"WORK_CAP_GROWTH","FQ1 2018","FQ1 2018","Currency=INR","Period=FQ","BEST_FPERIOD_OVERRIDE=FQ","FILING_STATUS=OR","EQY_CONSOLIDATED=Y","Sort=A","Dates=H","DateFormat=P","Fill=—","Direction=H","UseDPDF=Y")</f>
        <v>#NAME?</v>
      </c>
      <c r="AF574" s="1" t="e">
        <f ca="1">_xll.BDH($C$553,"ACCOUNTS_PAYABLE_GROWTH_1YR","FQ1 2018","FQ1 2018","Currency=INR","Period=FQ","BEST_FPERIOD_OVERRIDE=FQ","FILING_STATUS=OR","EQY_CONSOLIDATED=Y","Sort=A","Dates=H","DateFormat=P","Fill=—","Direction=H","UseDPDF=Y")</f>
        <v>#NAME?</v>
      </c>
      <c r="AG574" s="1" t="e">
        <f ca="1">_xll.BDH($C$553,"SHORT_TERM_DEBT_1_YEAR_GROWTH","FQ1 2018","FQ1 2018","Currency=INR","Period=FQ","BEST_FPERIOD_OVERRIDE=FQ","FILING_STATUS=OR","EQY_CONSOLIDATED=Y","Sort=A","Dates=H","DateFormat=P","Fill=—","Direction=H","UseDPDF=Y")</f>
        <v>#NAME?</v>
      </c>
      <c r="AH574" s="1" t="e">
        <f ca="1">_xll.BDH($C$553,"TOTAL_DEBT_1_YEAR_GROWTH","FQ1 2018","FQ1 2018","Currency=INR","Period=FQ","BEST_FPERIOD_OVERRIDE=FQ","FILING_STATUS=OR","EQY_CONSOLIDATED=Y","Sort=A","Dates=H","DateFormat=P","Fill=—","Direction=H","UseDPDF=Y")</f>
        <v>#NAME?</v>
      </c>
      <c r="AI574" s="1" t="e">
        <f ca="1">_xll.BDH($C$553,"TOTAL_EQUITY_1_YEAR_GROWTH","FQ1 2018","FQ1 2018","Currency=INR","Period=FQ","BEST_FPERIOD_OVERRIDE=FQ","FILING_STATUS=OR","EQY_CONSOLIDATED=Y","Sort=A","Dates=H","DateFormat=P","Fill=—","Direction=H","UseDPDF=Y")</f>
        <v>#NAME?</v>
      </c>
      <c r="AJ574" s="1" t="e">
        <f ca="1">_xll.BDH($C$553,"GROWTH_IN_CAP","FQ1 2018","FQ1 2018","Currency=INR","Period=FQ","BEST_FPERIOD_OVERRIDE=FQ","FILING_STATUS=OR","EQY_CONSOLIDATED=Y","Sort=A","Dates=H","DateFormat=P","Fill=—","Direction=H","UseDPDF=Y")</f>
        <v>#NAME?</v>
      </c>
      <c r="AK574" s="1" t="e">
        <f ca="1">_xll.BDH($C$553,"BVPS_GROWTH","FQ1 2018","FQ1 2018","Currency=INR","Period=FQ","BEST_FPERIOD_OVERRIDE=FQ","FILING_STATUS=OR","EQY_CONSOLIDATED=Y","Sort=A","Dates=H","DateFormat=P","Fill=—","Direction=H","UseDPDF=Y")</f>
        <v>#NAME?</v>
      </c>
      <c r="AL574" s="1" t="e">
        <f ca="1">_xll.BDH($C$553,"CASH_FLOW_GROWTH","FQ1 2018","FQ1 2018","Currency=INR","Period=FQ","BEST_FPERIOD_OVERRIDE=FQ","FILING_STATUS=OR","EQY_CONSOLIDATED=Y","Sort=A","Dates=H","DateFormat=P","Fill=—","Direction=H","UseDPDF=Y")</f>
        <v>#NAME?</v>
      </c>
      <c r="AM574" s="1" t="e">
        <f ca="1">_xll.BDH($C$553,"GEO_GROW_NET_SALES","FQ1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74" s="1" t="e">
        <f ca="1">_xll.BDH($C$553,"GEO_GROW_EBITDA","FQ1 2018","FQ1 2018","Currency=INR","Period=FQ","BEST_FPERIOD_OVERRIDE=FQ","FILING_STATUS=OR","EQY_CONSOLIDATED=Y","FA_ADJUSTED=GAAP","Sort=A","Dates=H","DateFormat=P","Fill=—","Direction=H","UseDPDF=Y")</f>
        <v>#NAME?</v>
      </c>
      <c r="AO574" s="1" t="e">
        <f ca="1">_xll.BDH($C$553,"GEO_GROW_OPER_INC","FQ1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74" s="1" t="e">
        <f ca="1">_xll.BDH($C$553,"NET_INCOME_TO_COMMON_5_YR_GROWTH","FQ1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74" s="1" t="e">
        <f ca="1">_xll.BDH($C$553,"5Y_GEO_GROWTH_DILUTED_EPS","FQ1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74" s="1" t="e">
        <f ca="1">_xll.BDH($C$553,"GEO_GROW_DVD_PER_SH","FQ1 2018","FQ1 2018","Currency=INR","Period=FQ","BEST_FPERIOD_OVERRIDE=FQ","FILING_STATUS=OR","EQY_CONSOLIDATED=Y","Sort=A","Dates=H","DateFormat=P","Fill=—","Direction=H","UseDPDF=Y")</f>
        <v>#NAME?</v>
      </c>
      <c r="AS574" s="1" t="e">
        <f ca="1">_xll.BDH($C$553,"ACCOUNTS_RECEIVABLE_5_YR_GROWTH","FQ1 2018","FQ1 2018","Currency=INR","Period=FQ","BEST_FPERIOD_OVERRIDE=FQ","FILING_STATUS=OR","EQY_CONSOLIDATED=Y","Sort=A","Dates=H","DateFormat=P","Fill=—","Direction=H","UseDPDF=Y")</f>
        <v>#NAME?</v>
      </c>
      <c r="AT574" s="1" t="e">
        <f ca="1">_xll.BDH($C$553,"INVENTORY_5_YEAR_GROWTH","FQ1 2018","FQ1 2018","Currency=INR","Period=FQ","BEST_FPERIOD_OVERRIDE=FQ","FILING_STATUS=OR","EQY_CONSOLIDATED=Y","Sort=A","Dates=H","DateFormat=P","Fill=—","Direction=H","UseDPDF=Y")</f>
        <v>#NAME?</v>
      </c>
      <c r="AU574" s="1" t="e">
        <f ca="1">_xll.BDH($C$553,"NET_FIXED_ASSETS_5_YEAR_GROWTH","FQ1 2018","FQ1 2018","Currency=INR","Period=FQ","BEST_FPERIOD_OVERRIDE=FQ","FILING_STATUS=OR","EQY_CONSOLIDATED=Y","Sort=A","Dates=H","DateFormat=P","Fill=—","Direction=H","UseDPDF=Y")</f>
        <v>#NAME?</v>
      </c>
      <c r="AV574" s="1" t="e">
        <f ca="1">_xll.BDH($C$553,"GEO_GROW_TOT_ASSET","FQ1 2018","FQ1 2018","Currency=INR","Period=FQ","BEST_FPERIOD_OVERRIDE=FQ","FILING_STATUS=OR","EQY_CONSOLIDATED=Y","Sort=A","Dates=H","DateFormat=P","Fill=—","Direction=H","UseDPDF=Y")</f>
        <v>#NAME?</v>
      </c>
      <c r="AW574" s="1" t="e">
        <f ca="1">_xll.BDH($C$553,"MODIFIED_WORKING_CPTL_5YR_GRWTH","FQ1 2018","FQ1 2018","Currency=INR","Period=FQ","BEST_FPERIOD_OVERRIDE=FQ","FILING_STATUS=OR","EQY_CONSOLIDATED=Y","Sort=A","Dates=H","DateFormat=P","Fill=—","Direction=H","UseDPDF=Y")</f>
        <v>#NAME?</v>
      </c>
      <c r="AX574" s="1" t="e">
        <f ca="1">_xll.BDH($C$553,"WORKING_CAPITAL_5_YEAR_GROWTH","FQ1 2018","FQ1 2018","Currency=INR","Period=FQ","BEST_FPERIOD_OVERRIDE=FQ","FILING_STATUS=OR","EQY_CONSOLIDATED=Y","Sort=A","Dates=H","DateFormat=P","Fill=—","Direction=H","UseDPDF=Y")</f>
        <v>#NAME?</v>
      </c>
      <c r="AY574" s="1" t="e">
        <f ca="1">_xll.BDH($C$553,"ACCOUNTS_PAYABLE_5_YEAR_GROWTH","FQ1 2018","FQ1 2018","Currency=INR","Period=FQ","BEST_FPERIOD_OVERRIDE=FQ","FILING_STATUS=OR","EQY_CONSOLIDATED=Y","Sort=A","Dates=H","DateFormat=P","Fill=—","Direction=H","UseDPDF=Y")</f>
        <v>#NAME?</v>
      </c>
      <c r="AZ574" s="1" t="e">
        <f ca="1">_xll.BDH($C$553,"SHORT_TERM_DEBT_5_YEAR_GROWTH","FQ1 2018","FQ1 2018","Currency=INR","Period=FQ","BEST_FPERIOD_OVERRIDE=FQ","FILING_STATUS=OR","EQY_CONSOLIDATED=Y","Sort=A","Dates=H","DateFormat=P","Fill=—","Direction=H","UseDPDF=Y")</f>
        <v>#NAME?</v>
      </c>
      <c r="BA574" s="1" t="e">
        <f ca="1">_xll.BDH($C$553,"TOTAL_DEBT_5_YEAR_GROWTH","FQ1 2018","FQ1 2018","Currency=INR","Period=FQ","BEST_FPERIOD_OVERRIDE=FQ","FILING_STATUS=OR","EQY_CONSOLIDATED=Y","Sort=A","Dates=H","DateFormat=P","Fill=—","Direction=H","UseDPDF=Y")</f>
        <v>#NAME?</v>
      </c>
      <c r="BB574" s="1" t="e">
        <f ca="1">_xll.BDH($C$553,"GEO_GROW_TOT_SHRHLDR_EQY","FQ1 2018","FQ1 2018","Currency=INR","Period=FQ","BEST_FPERIOD_OVERRIDE=FQ","FILING_STATUS=OR","EQY_CONSOLIDATED=Y","Sort=A","Dates=H","DateFormat=P","Fill=—","Direction=H","UseDPDF=Y")</f>
        <v>#NAME?</v>
      </c>
      <c r="BC574" s="1" t="e">
        <f ca="1">_xll.BDH($C$553,"TOTAL_CAPITAL_5_YEAR_GROWTH","FQ1 2018","FQ1 2018","Currency=INR","Period=FQ","BEST_FPERIOD_OVERRIDE=FQ","FILING_STATUS=OR","EQY_CONSOLIDATED=Y","Sort=A","Dates=H","DateFormat=P","Fill=—","Direction=H","UseDPDF=Y")</f>
        <v>#NAME?</v>
      </c>
      <c r="BD574" s="1" t="e">
        <f ca="1">_xll.BDH($C$553,"GEO_GROW_BOOK_VAL","FQ1 2018","FQ1 2018","Currency=INR","Period=FQ","BEST_FPERIOD_OVERRIDE=FQ","FILING_STATUS=OR","EQY_CONSOLIDATED=Y","Sort=A","Dates=H","DateFormat=P","Fill=—","Direction=H","UseDPDF=Y")</f>
        <v>#NAME?</v>
      </c>
      <c r="BE574" s="1" t="e">
        <f ca="1">_xll.BDH($C$553,"GEO_GROW_CASH_OPER_ACT","FQ1 2018","FQ1 2018","Currency=INR","Period=FQ","BEST_FPERIOD_OVERRIDE=FQ","FILING_STATUS=OR","EQY_CONSOLIDATED=Y","Sort=A","Dates=H","DateFormat=P","Fill=—","Direction=H","UseDPDF=Y")</f>
        <v>#NAME?</v>
      </c>
      <c r="BF574" s="1" t="e">
        <f ca="1">_xll.BDH($C$553,"REVENUE_SEQUENTIAL_GROWTH","FQ1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74" s="1" t="e">
        <f ca="1">_xll.BDH($C$553,"EBITDA_SEQUENTIAL_GROWTH","FQ1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74" s="1" t="e">
        <f ca="1">_xll.BDH($C$553,"OPERATING_INCOME_SEQ_GROWTH","FQ1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74" s="1" t="e">
        <f ca="1">_xll.BDH($C$553,"NET_INCOME_TO_COMMON_SEQ_GROWTH","FQ1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74" s="1" t="e">
        <f ca="1">_xll.BDH($C$553,"EPS_DILUTED_SEQUENTIAL_GROWTH","FQ1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74" s="1" t="e">
        <f ca="1">_xll.BDH($C$553,"DPS_SEQUENTIAL_GROWTH","FQ1 2018","FQ1 2018","Currency=INR","Period=FQ","BEST_FPERIOD_OVERRIDE=FQ","FILING_STATUS=OR","EQY_CONSOLIDATED=Y","Sort=A","Dates=H","DateFormat=P","Fill=—","Direction=H","UseDPDF=Y")</f>
        <v>#NAME?</v>
      </c>
      <c r="BL574" s="1" t="e">
        <f ca="1">_xll.BDH($C$553,"ACCOUNTS_RECEIVABLE_SEQ_GROWTH","FQ1 2018","FQ1 2018","Currency=INR","Period=FQ","BEST_FPERIOD_OVERRIDE=FQ","FILING_STATUS=OR","EQY_CONSOLIDATED=Y","Sort=A","Dates=H","DateFormat=P","Fill=—","Direction=H","UseDPDF=Y")</f>
        <v>#NAME?</v>
      </c>
      <c r="BM574" s="1" t="e">
        <f ca="1">_xll.BDH($C$553,"INVENTORY_SEQUENTIAL_GROWTH","FQ1 2018","FQ1 2018","Currency=INR","Period=FQ","BEST_FPERIOD_OVERRIDE=FQ","FILING_STATUS=OR","EQY_CONSOLIDATED=Y","Sort=A","Dates=H","DateFormat=P","Fill=—","Direction=H","UseDPDF=Y")</f>
        <v>#NAME?</v>
      </c>
      <c r="BN574" s="1" t="e">
        <f ca="1">_xll.BDH($C$553,"FIXED_ASSETS_SEQUENTIAL_GROWTH","FQ1 2018","FQ1 2018","Currency=INR","Period=FQ","BEST_FPERIOD_OVERRIDE=FQ","FILING_STATUS=OR","EQY_CONSOLIDATED=Y","Sort=A","Dates=H","DateFormat=P","Fill=—","Direction=H","UseDPDF=Y")</f>
        <v>#NAME?</v>
      </c>
      <c r="BO574" s="1" t="e">
        <f ca="1">_xll.BDH($C$553,"TOTAL_ASSETS_SEQUENTIAL_GROWTH","FQ1 2018","FQ1 2018","Currency=INR","Period=FQ","BEST_FPERIOD_OVERRIDE=FQ","FILING_STATUS=OR","EQY_CONSOLIDATED=Y","Sort=A","Dates=H","DateFormat=P","Fill=—","Direction=H","UseDPDF=Y")</f>
        <v>#NAME?</v>
      </c>
      <c r="BP574" s="1" t="e">
        <f ca="1">_xll.BDH($C$553,"MODIFIED_WORKING_CPTL_SEQ_GRWTH","FQ1 2018","FQ1 2018","Currency=INR","Period=FQ","BEST_FPERIOD_OVERRIDE=FQ","FILING_STATUS=OR","EQY_CONSOLIDATED=Y","Sort=A","Dates=H","DateFormat=P","Fill=—","Direction=H","UseDPDF=Y")</f>
        <v>#NAME?</v>
      </c>
      <c r="BQ574" s="1" t="e">
        <f ca="1">_xll.BDH($C$553,"WORKING_CAPITAL_SEQ_GROWTH","FQ1 2018","FQ1 2018","Currency=INR","Period=FQ","BEST_FPERIOD_OVERRIDE=FQ","FILING_STATUS=OR","EQY_CONSOLIDATED=Y","Sort=A","Dates=H","DateFormat=P","Fill=—","Direction=H","UseDPDF=Y")</f>
        <v>#NAME?</v>
      </c>
      <c r="BR574" s="1" t="e">
        <f ca="1">_xll.BDH($C$553,"ACCOUNTS_PAYABLE_SEQ_GROWTH","FQ1 2018","FQ1 2018","Currency=INR","Period=FQ","BEST_FPERIOD_OVERRIDE=FQ","FILING_STATUS=OR","EQY_CONSOLIDATED=Y","Sort=A","Dates=H","DateFormat=P","Fill=—","Direction=H","UseDPDF=Y")</f>
        <v>#NAME?</v>
      </c>
      <c r="BS574" s="1" t="e">
        <f ca="1">_xll.BDH($C$553,"ST_DEBT_SEQUENTIAL_GROWTH","FQ1 2018","FQ1 2018","Currency=INR","Period=FQ","BEST_FPERIOD_OVERRIDE=FQ","FILING_STATUS=OR","EQY_CONSOLIDATED=Y","Sort=A","Dates=H","DateFormat=P","Fill=—","Direction=H","UseDPDF=Y")</f>
        <v>#NAME?</v>
      </c>
      <c r="BT574" s="1" t="e">
        <f ca="1">_xll.BDH($C$553,"TOTAL_DEBT_SEQUENTIAL_GROWTH","FQ1 2018","FQ1 2018","Currency=INR","Period=FQ","BEST_FPERIOD_OVERRIDE=FQ","FILING_STATUS=OR","EQY_CONSOLIDATED=Y","Sort=A","Dates=H","DateFormat=P","Fill=—","Direction=H","UseDPDF=Y")</f>
        <v>#NAME?</v>
      </c>
      <c r="BU574" s="1" t="e">
        <f ca="1">_xll.BDH($C$553,"TOTAL_EQUITY_SEQUENTIAL_GROWTH","FQ1 2018","FQ1 2018","Currency=INR","Period=FQ","BEST_FPERIOD_OVERRIDE=FQ","FILING_STATUS=OR","EQY_CONSOLIDATED=Y","Sort=A","Dates=H","DateFormat=P","Fill=—","Direction=H","UseDPDF=Y")</f>
        <v>#NAME?</v>
      </c>
      <c r="BV574" s="1" t="e">
        <f ca="1">_xll.BDH($C$553,"TOTAL_CAPITAL_SEQUENTIAL_GROWTH","FQ1 2018","FQ1 2018","Currency=INR","Period=FQ","BEST_FPERIOD_OVERRIDE=FQ","FILING_STATUS=OR","EQY_CONSOLIDATED=Y","Sort=A","Dates=H","DateFormat=P","Fill=—","Direction=H","UseDPDF=Y")</f>
        <v>#NAME?</v>
      </c>
      <c r="BW574" s="1" t="e">
        <f ca="1">_xll.BDH($C$553,"BPS_SEQUENTIAL_GROWTH","FQ1 2018","FQ1 2018","Currency=INR","Period=FQ","BEST_FPERIOD_OVERRIDE=FQ","FILING_STATUS=OR","EQY_CONSOLIDATED=Y","Sort=A","Dates=H","DateFormat=P","Fill=—","Direction=H","UseDPDF=Y")</f>
        <v>#NAME?</v>
      </c>
      <c r="BX574" s="1" t="e">
        <f ca="1">_xll.BDH($C$553,"CFO_SEQUENTIAL_GROWTH","FQ1 2018","FQ1 2018","Currency=INR","Period=FQ","BEST_FPERIOD_OVERRIDE=FQ","FILING_STATUS=OR","EQY_CONSOLIDATED=Y","Sort=A","Dates=H","DateFormat=P","Fill=—","Direction=H","UseDPDF=Y")</f>
        <v>#NAME?</v>
      </c>
      <c r="BY574" s="2" t="e">
        <f ca="1">_xll.BDH($C$553,"SHORT_AND_LONG_TERM_DEBT","FQ1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74" s="2" t="e">
        <f ca="1">_xll.BDH($C$553,"BS_ST_BORROW","FQ1 2018","FQ1 2018","Currency=INR","Period=FQ","BEST_FPERIOD_OVERRIDE=FQ","FILING_STATUS=OR","EQY_CONSOLIDATED=Y","SCALING_FORMAT=MLN","Sort=A","Dates=H","DateFormat=P","Fill=—","Direction=H","UseDPDF=Y")</f>
        <v>#NAME?</v>
      </c>
      <c r="CA574" s="2" t="e">
        <f ca="1">_xll.BDH($C$553,"BS_LT_BORROW","FQ1 2018","FQ1 2018","Currency=INR","Period=FQ","BEST_FPERIOD_OVERRIDE=FQ","FILING_STATUS=OR","EQY_CONSOLIDATED=Y","SCALING_FORMAT=MLN","Sort=A","Dates=H","DateFormat=P","Fill=—","Direction=H","UseDPDF=Y")</f>
        <v>#NAME?</v>
      </c>
      <c r="CB574" s="1" t="e">
        <f ca="1">_xll.BDH($C$553,"TOT_DEBT_TO_EBITDA","FQ1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74" s="1" t="e">
        <f ca="1">_xll.BDH($C$553,"NET_DEBT_TO_EBITDA","FQ1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74" s="1" t="e">
        <f ca="1">_xll.BDH($C$553,"TOTAL_DEBT_TO_EBIT","FQ1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74" s="1" t="e">
        <f ca="1">_xll.BDH($C$553,"NET_DEBT_TO_EBIT","FQ1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574" s="1" t="e">
        <f ca="1">_xll.BDH($C$553,"EBITDA_TO_INTEREST_EXPN","FQ1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74" s="1" t="e">
        <f ca="1">_xll.BDH($C$553,"COM_EQY_TO_TOT_ASSET","FQ1 2018","FQ1 2018","Currency=INR","Period=FQ","BEST_FPERIOD_OVERRIDE=FQ","FILING_STATUS=OR","EQY_CONSOLIDATED=Y","Sort=A","Dates=H","DateFormat=P","Fill=—","Direction=H","UseDPDF=Y")</f>
        <v>#NAME?</v>
      </c>
      <c r="CH574" s="1" t="e">
        <f ca="1">_xll.BDH($C$553,"LT_DEBT_TO_TOT_EQY","FQ1 2018","FQ1 2018","Currency=INR","Period=FQ","BEST_FPERIOD_OVERRIDE=FQ","FILING_STATUS=OR","EQY_CONSOLIDATED=Y","Sort=A","Dates=H","DateFormat=P","Fill=—","Direction=H","UseDPDF=Y")</f>
        <v>#NAME?</v>
      </c>
      <c r="CI574" s="1" t="e">
        <f ca="1">_xll.BDH($C$553,"LT_DEBT_TO_TOT_CAP","FQ1 2018","FQ1 2018","Currency=INR","Period=FQ","BEST_FPERIOD_OVERRIDE=FQ","FILING_STATUS=OR","EQY_CONSOLIDATED=Y","Sort=A","Dates=H","DateFormat=P","Fill=—","Direction=H","UseDPDF=Y")</f>
        <v>#NAME?</v>
      </c>
      <c r="CJ574" s="1" t="e">
        <f ca="1">_xll.BDH($C$553,"LT_DEBT_TO_TOT_ASSET","FQ1 2018","FQ1 2018","Currency=INR","Period=FQ","BEST_FPERIOD_OVERRIDE=FQ","FILING_STATUS=OR","EQY_CONSOLIDATED=Y","Sort=A","Dates=H","DateFormat=P","Fill=—","Direction=H","UseDPDF=Y")</f>
        <v>#NAME?</v>
      </c>
      <c r="CK574" s="1" t="e">
        <f ca="1">_xll.BDH($C$553,"TOT_DEBT_TO_TOT_EQY","FQ1 2018","FQ1 2018","Currency=INR","Period=FQ","BEST_FPERIOD_OVERRIDE=FQ","FILING_STATUS=OR","EQY_CONSOLIDATED=Y","Sort=A","Dates=H","DateFormat=P","Fill=—","Direction=H","UseDPDF=Y")</f>
        <v>#NAME?</v>
      </c>
      <c r="CL574" s="1" t="e">
        <f ca="1">_xll.BDH($C$553,"TOT_DEBT_TO_TOT_CAP","FQ1 2018","FQ1 2018","Currency=INR","Period=FQ","BEST_FPERIOD_OVERRIDE=FQ","FILING_STATUS=OR","EQY_CONSOLIDATED=Y","Sort=A","Dates=H","DateFormat=P","Fill=—","Direction=H","UseDPDF=Y")</f>
        <v>#NAME?</v>
      </c>
      <c r="CM574" s="1" t="e">
        <f ca="1">_xll.BDH($C$553,"TOT_DEBT_TO_TOT_ASSET","FQ1 2018","FQ1 2018","Currency=INR","Period=FQ","BEST_FPERIOD_OVERRIDE=FQ","FILING_STATUS=OR","EQY_CONSOLIDATED=Y","Sort=A","Dates=H","DateFormat=P","Fill=—","Direction=H","UseDPDF=Y")</f>
        <v>#NAME?</v>
      </c>
      <c r="CN574" s="1" t="e">
        <f ca="1">_xll.BDH($C$553,"NET_DEBT_TO_SHRHLDR_EQTY","FQ1 2018","FQ1 2018","Currency=INR","Period=FQ","BEST_FPERIOD_OVERRIDE=FQ","FILING_STATUS=OR","EQY_CONSOLIDATED=Y","Sort=A","Dates=H","DateFormat=P","Fill=—","Direction=H","UseDPDF=Y")</f>
        <v>#NAME?</v>
      </c>
      <c r="CO574" s="1" t="e">
        <f ca="1">_xll.BDH($C$553,"NET_DEBT_%_CAPITAL","FQ1 2018","FQ1 2018","Currency=INR","Period=FQ","BEST_FPERIOD_OVERRIDE=FQ","FILING_STATUS=OR","EQY_CONSOLIDATED=Y","Sort=A","Dates=H","DateFormat=P","Fill=—","Direction=H","UseDPDF=Y")</f>
        <v>#NAME?</v>
      </c>
      <c r="CP574" s="2" t="e">
        <f ca="1">_xll.BDH($C$553,"EBITDA","FQ1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74" s="2" t="e">
        <f ca="1">_xll.BDH($C$553,"EBITDA_AFTER_CAPEX","FQ1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74" s="2" t="e">
        <f ca="1">_xll.BDH($C$553,"IS_OPER_INC","FQ1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74" s="1" t="e">
        <f ca="1">_xll.BDH($C$553,"CASH_RATIO","FQ1 2018","FQ1 2018","Currency=INR","Period=FQ","BEST_FPERIOD_OVERRIDE=FQ","FILING_STATUS=OR","EQY_CONSOLIDATED=Y","Sort=A","Dates=H","DateFormat=P","Fill=—","Direction=H","UseDPDF=Y")</f>
        <v>#NAME?</v>
      </c>
      <c r="CT574" s="1" t="e">
        <f ca="1">_xll.BDH($C$553,"CUR_RATIO","FQ1 2018","FQ1 2018","Currency=INR","Period=FQ","BEST_FPERIOD_OVERRIDE=FQ","FILING_STATUS=OR","EQY_CONSOLIDATED=Y","Sort=A","Dates=H","DateFormat=P","Fill=—","Direction=H","UseDPDF=Y")</f>
        <v>#NAME?</v>
      </c>
      <c r="CU574" s="1" t="e">
        <f ca="1">_xll.BDH($C$553,"QUICK_RATIO","FQ1 2018","FQ1 2018","Currency=INR","Period=FQ","BEST_FPERIOD_OVERRIDE=FQ","FILING_STATUS=OR","EQY_CONSOLIDATED=Y","Sort=A","Dates=H","DateFormat=P","Fill=—","Direction=H","UseDPDF=Y")</f>
        <v>#NAME?</v>
      </c>
      <c r="CV574" s="1" t="e">
        <f ca="1">_xll.BDH($C$553,"ALTMAN_Z_SCORE","FQ1 2018","FQ1 2018","Currency=INR","Period=FQ","BEST_FPERIOD_OVERRIDE=FQ","FILING_STATUS=OR","EQY_CONSOLIDATED=Y","Sort=A","Dates=H","DateFormat=P","Fill=—","Direction=H","UseDPDF=Y")</f>
        <v>#NAME?</v>
      </c>
      <c r="CW574" s="3" t="e">
        <f ca="1">_xll.BDH($C$553,"ACCT_RCV_TURN","FQ1 2018","FQ1 2018","Currency=INR","Period=FQ","BEST_FPERIOD_OVERRIDE=FQ","FILING_STATUS=OR","EQY_CONSOLIDATED=Y","FA_ADJUSTED=GAAP","Sort=A","Dates=H","DateFormat=P","Fill=—","Direction=H","UseDPDF=Y")</f>
        <v>#NAME?</v>
      </c>
      <c r="CX574" s="1" t="e">
        <f ca="1">_xll.BDH($C$553,"ACCT_RCV_DAYS","FQ1 2018","FQ1 2018","Currency=INR","Period=FQ","BEST_FPERIOD_OVERRIDE=FQ","FILING_STATUS=OR","EQY_CONSOLIDATED=Y","FA_ADJUSTED=GAAP","Sort=A","Dates=H","DateFormat=P","Fill=—","Direction=H","UseDPDF=Y")</f>
        <v>#NAME?</v>
      </c>
      <c r="CY574" s="3" t="e">
        <f ca="1">_xll.BDH($C$553,"INVENT_TURN","FQ1 2018","FQ1 2018","Currency=INR","Period=FQ","BEST_FPERIOD_OVERRIDE=FQ","FILING_STATUS=OR","EQY_CONSOLIDATED=Y","FA_ADJUSTED=GAAP","Sort=A","Dates=H","DateFormat=P","Fill=—","Direction=H","UseDPDF=Y")</f>
        <v>#NAME?</v>
      </c>
      <c r="CZ574" s="1" t="e">
        <f ca="1">_xll.BDH($C$553,"INVENT_DAYS","FQ1 2018","FQ1 2018","Currency=INR","Period=FQ","BEST_FPERIOD_OVERRIDE=FQ","FILING_STATUS=OR","EQY_CONSOLIDATED=Y","FA_ADJUSTED=GAAP","Sort=A","Dates=H","DateFormat=P","Fill=—","Direction=H","UseDPDF=Y")</f>
        <v>#NAME?</v>
      </c>
      <c r="DA574" s="3" t="e">
        <f ca="1">_xll.BDH($C$553,"ACCOUNTS_PAYABLE_TURNOVER","FQ1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74" s="1" t="e">
        <f ca="1">_xll.BDH($C$553,"ACCOUNTS_PAYABLE_TURNOVER_DAYS","FQ1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74" s="3" t="e">
        <f ca="1">_xll.BDH($C$553,"CASH_CONVERSION_CYCLE","FQ1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74" s="3" t="e">
        <f ca="1">_xll.BDH($C$553,"INV_TO_CASH_DAYS","FQ1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574" s="4" t="e">
        <f ca="1">_xll.BDH($C$553,"BS_INVENTORIES","FQ1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574" s="2" t="e">
        <f ca="1">_xll.BDH($C$553,"INVTRY_RAW_MATERIALS","FQ1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74" s="2" t="e">
        <f ca="1">_xll.BDH($C$553,"INVTRY_IN_PROGRESS","FQ1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74" s="2" t="e">
        <f ca="1">_xll.BDH($C$553,"INVTRY_FINISHED_GOODS","FQ1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74" s="2" t="e">
        <f ca="1">_xll.BDH($C$553,"BS_OTHER_INV","FQ1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75" spans="1:113" x14ac:dyDescent="0.3">
      <c r="A575" s="6"/>
      <c r="B575" s="6"/>
      <c r="C575" s="6"/>
      <c r="D575" s="6"/>
      <c r="E575" t="s">
        <v>5</v>
      </c>
      <c r="F575" t="e">
        <f ca="1">_xll.BDH($C$553,"RETURN_COM_EQY","FQ2 2018","FQ2 2018","Currency=INR","Period=FQ","BEST_FPERIOD_OVERRIDE=FQ","FILING_STATUS=OR","EQY_CONSOLIDATED=Y","FA_ADJUSTED=GAAP","Sort=A","Dates=H","DateFormat=P","Fill=—","Direction=H","UseDPDF=Y")</f>
        <v>#NAME?</v>
      </c>
      <c r="G575" t="e">
        <f ca="1">_xll.BDH($C$553,"RETURN_ON_ASSET","FQ2 2018","FQ2 2018","Currency=INR","Period=FQ","BEST_FPERIOD_OVERRIDE=FQ","FILING_STATUS=OR","EQY_CONSOLIDATED=Y","FA_ADJUSTED=GAAP","Sort=A","Dates=H","DateFormat=P","Fill=—","Direction=H","UseDPDF=Y")</f>
        <v>#NAME?</v>
      </c>
      <c r="H575" t="e">
        <f ca="1">_xll.BDH($C$553,"RETURN_ON_CAP","FQ2 2018","FQ2 2018","Currency=INR","Period=FQ","BEST_FPERIOD_OVERRIDE=FQ","FILING_STATUS=OR","EQY_CONSOLIDATED=Y","FA_ADJUSTED=GAAP","Sort=A","Dates=H","DateFormat=P","Fill=—","Direction=H","UseDPDF=Y")</f>
        <v>#NAME?</v>
      </c>
      <c r="I575" t="e">
        <f ca="1">_xll.BDH($C$553,"RETURN_ON_INV_CAPITAL","FQ2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75" t="e">
        <f ca="1">_xll.BDH($C$553,"EBITDA_TO_REVENUE","FQ2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575" t="e">
        <f ca="1">_xll.BDH($C$553,"OPER_MARGIN","FQ2 2018","FQ2 2018","Currency=INR","Period=FQ","BEST_FPERIOD_OVERRIDE=FQ","FILING_STATUS=OR","EQY_CONSOLIDATED=Y","FA_ADJUSTED=GAAP","Sort=A","Dates=H","DateFormat=P","Fill=—","Direction=H","UseDPDF=Y")</f>
        <v>#NAME?</v>
      </c>
      <c r="L575" t="e">
        <f ca="1">_xll.BDH($C$553,"INCREMENTAL_OPERATING_MARGIN","FQ2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75" t="e">
        <f ca="1">_xll.BDH($C$553,"PRETAX_INC_TO_NET_SALES","FQ2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75" t="e">
        <f ca="1">_xll.BDH($C$553,"INC_BEF_XO_ITEMS_TO_NET_SALES","FQ2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75" t="e">
        <f ca="1">_xll.BDH($C$553,"PROF_MARGIN","FQ2 2018","FQ2 2018","Currency=INR","Period=FQ","BEST_FPERIOD_OVERRIDE=FQ","FILING_STATUS=OR","EQY_CONSOLIDATED=Y","FA_ADJUSTED=GAAP","Sort=A","Dates=H","DateFormat=P","Fill=—","Direction=H","UseDPDF=Y")</f>
        <v>#NAME?</v>
      </c>
      <c r="P575" t="e">
        <f ca="1">_xll.BDH($C$553,"NET_INCOME_TO_COMMON_MARGIN","FQ2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75" t="e">
        <f ca="1">_xll.BDH($C$553,"EFF_TAX_RATE","FQ2 2018","FQ2 2018","Currency=INR","Period=FQ","BEST_FPERIOD_OVERRIDE=FQ","FILING_STATUS=OR","EQY_CONSOLIDATED=Y","FA_ADJUSTED=GAAP","Sort=A","Dates=H","DateFormat=P","Fill=—","Direction=H","UseDPDF=Y")</f>
        <v>#NAME?</v>
      </c>
      <c r="R575" t="e">
        <f ca="1">_xll.BDH($C$553,"DVD_PAYOUT_RATIO","FQ2 2018","FQ2 2018","Currency=INR","Period=FQ","BEST_FPERIOD_OVERRIDE=FQ","FILING_STATUS=OR","EQY_CONSOLIDATED=Y","FA_ADJUSTED=GAAP","Sort=A","Dates=H","DateFormat=P","Fill=—","Direction=H","UseDPDF=Y")</f>
        <v>#NAME?</v>
      </c>
      <c r="S575" t="e">
        <f ca="1">_xll.BDH($C$553,"SUSTAIN_GROWTH_RT","FQ2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575" s="1" t="e">
        <f ca="1">_xll.BDH($C$553,"SALES_GROWTH","FQ2 2018","FQ2 2018","Currency=INR","Period=FQ","BEST_FPERIOD_OVERRIDE=FQ","FILING_STATUS=OR","EQY_CONSOLIDATED=Y","FA_ADJUSTED=GAAP","Sort=A","Dates=H","DateFormat=P","Fill=—","Direction=H","UseDPDF=Y")</f>
        <v>#NAME?</v>
      </c>
      <c r="U575" s="1" t="e">
        <f ca="1">_xll.BDH($C$553,"EBITDA_GROWTH","FQ2 2018","FQ2 2018","Currency=INR","Period=FQ","BEST_FPERIOD_OVERRIDE=FQ","FILING_STATUS=OR","EQY_CONSOLIDATED=Y","FA_ADJUSTED=GAAP","Sort=A","Dates=H","DateFormat=P","Fill=—","Direction=H","UseDPDF=Y")</f>
        <v>#NAME?</v>
      </c>
      <c r="V575" s="1" t="e">
        <f ca="1">_xll.BDH($C$553,"OPER_INC_GROWTH","FQ2 2018","FQ2 2018","Currency=INR","Period=FQ","BEST_FPERIOD_OVERRIDE=FQ","FILING_STATUS=OR","EQY_CONSOLIDATED=Y","FA_ADJUSTED=GAAP","Sort=A","Dates=H","DateFormat=P","Fill=—","Direction=H","UseDPDF=Y")</f>
        <v>#NAME?</v>
      </c>
      <c r="W575" s="1" t="e">
        <f ca="1">_xll.BDH($C$553,"EARN_FOR_COM_GROWTH","FQ2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75" s="1" t="e">
        <f ca="1">_xll.BDH($C$553,"DILUTED_EPS_AFT_XO_ITEMS_GROWTH","FQ2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75" s="1" t="e">
        <f ca="1">_xll.BDH($C$553,"DIVIDEND_PER_SHARE_1_YEAR_GROWTH","FQ2 2018","FQ2 2018","Currency=INR","Period=FQ","BEST_FPERIOD_OVERRIDE=FQ","FILING_STATUS=OR","EQY_CONSOLIDATED=Y","Sort=A","Dates=H","DateFormat=P","Fill=—","Direction=H","UseDPDF=Y")</f>
        <v>#NAME?</v>
      </c>
      <c r="Z575" s="1" t="e">
        <f ca="1">_xll.BDH($C$553,"ACCOUNTS_RECEIVABLE_GROWTH","FQ2 2018","FQ2 2018","Currency=INR","Period=FQ","BEST_FPERIOD_OVERRIDE=FQ","FILING_STATUS=OR","EQY_CONSOLIDATED=Y","Sort=A","Dates=H","DateFormat=P","Fill=—","Direction=H","UseDPDF=Y")</f>
        <v>#NAME?</v>
      </c>
      <c r="AA575" s="1" t="e">
        <f ca="1">_xll.BDH($C$553,"INVENTORY_GROWTH","FQ2 2018","FQ2 2018","Currency=INR","Period=FQ","BEST_FPERIOD_OVERRIDE=FQ","FILING_STATUS=OR","EQY_CONSOLIDATED=Y","Sort=A","Dates=H","DateFormat=P","Fill=—","Direction=H","UseDPDF=Y")</f>
        <v>#NAME?</v>
      </c>
      <c r="AB575" s="1" t="e">
        <f ca="1">_xll.BDH($C$553,"NET_FIXED_ASSETS_1_YEAR_GROWTH","FQ2 2018","FQ2 2018","Currency=INR","Period=FQ","BEST_FPERIOD_OVERRIDE=FQ","FILING_STATUS=OR","EQY_CONSOLIDATED=Y","Sort=A","Dates=H","DateFormat=P","Fill=—","Direction=H","UseDPDF=Y")</f>
        <v>#NAME?</v>
      </c>
      <c r="AC575" s="1" t="e">
        <f ca="1">_xll.BDH($C$553,"ASSET_GROWTH","FQ2 2018","FQ2 2018","Currency=INR","Period=FQ","BEST_FPERIOD_OVERRIDE=FQ","FILING_STATUS=OR","EQY_CONSOLIDATED=Y","Sort=A","Dates=H","DateFormat=P","Fill=—","Direction=H","UseDPDF=Y")</f>
        <v>#NAME?</v>
      </c>
      <c r="AD575" s="1" t="e">
        <f ca="1">_xll.BDH($C$553,"MODIFIED_WORK_CAP_GROWTH","FQ2 2018","FQ2 2018","Currency=INR","Period=FQ","BEST_FPERIOD_OVERRIDE=FQ","FILING_STATUS=OR","EQY_CONSOLIDATED=Y","Sort=A","Dates=H","DateFormat=P","Fill=—","Direction=H","UseDPDF=Y")</f>
        <v>#NAME?</v>
      </c>
      <c r="AE575" s="1" t="e">
        <f ca="1">_xll.BDH($C$553,"WORK_CAP_GROWTH","FQ2 2018","FQ2 2018","Currency=INR","Period=FQ","BEST_FPERIOD_OVERRIDE=FQ","FILING_STATUS=OR","EQY_CONSOLIDATED=Y","Sort=A","Dates=H","DateFormat=P","Fill=—","Direction=H","UseDPDF=Y")</f>
        <v>#NAME?</v>
      </c>
      <c r="AF575" s="1" t="e">
        <f ca="1">_xll.BDH($C$553,"ACCOUNTS_PAYABLE_GROWTH_1YR","FQ2 2018","FQ2 2018","Currency=INR","Period=FQ","BEST_FPERIOD_OVERRIDE=FQ","FILING_STATUS=OR","EQY_CONSOLIDATED=Y","Sort=A","Dates=H","DateFormat=P","Fill=—","Direction=H","UseDPDF=Y")</f>
        <v>#NAME?</v>
      </c>
      <c r="AG575" s="1" t="e">
        <f ca="1">_xll.BDH($C$553,"SHORT_TERM_DEBT_1_YEAR_GROWTH","FQ2 2018","FQ2 2018","Currency=INR","Period=FQ","BEST_FPERIOD_OVERRIDE=FQ","FILING_STATUS=OR","EQY_CONSOLIDATED=Y","Sort=A","Dates=H","DateFormat=P","Fill=—","Direction=H","UseDPDF=Y")</f>
        <v>#NAME?</v>
      </c>
      <c r="AH575" s="1" t="e">
        <f ca="1">_xll.BDH($C$553,"TOTAL_DEBT_1_YEAR_GROWTH","FQ2 2018","FQ2 2018","Currency=INR","Period=FQ","BEST_FPERIOD_OVERRIDE=FQ","FILING_STATUS=OR","EQY_CONSOLIDATED=Y","Sort=A","Dates=H","DateFormat=P","Fill=—","Direction=H","UseDPDF=Y")</f>
        <v>#NAME?</v>
      </c>
      <c r="AI575" s="1" t="e">
        <f ca="1">_xll.BDH($C$553,"TOTAL_EQUITY_1_YEAR_GROWTH","FQ2 2018","FQ2 2018","Currency=INR","Period=FQ","BEST_FPERIOD_OVERRIDE=FQ","FILING_STATUS=OR","EQY_CONSOLIDATED=Y","Sort=A","Dates=H","DateFormat=P","Fill=—","Direction=H","UseDPDF=Y")</f>
        <v>#NAME?</v>
      </c>
      <c r="AJ575" s="1" t="e">
        <f ca="1">_xll.BDH($C$553,"GROWTH_IN_CAP","FQ2 2018","FQ2 2018","Currency=INR","Period=FQ","BEST_FPERIOD_OVERRIDE=FQ","FILING_STATUS=OR","EQY_CONSOLIDATED=Y","Sort=A","Dates=H","DateFormat=P","Fill=—","Direction=H","UseDPDF=Y")</f>
        <v>#NAME?</v>
      </c>
      <c r="AK575" s="1" t="e">
        <f ca="1">_xll.BDH($C$553,"BVPS_GROWTH","FQ2 2018","FQ2 2018","Currency=INR","Period=FQ","BEST_FPERIOD_OVERRIDE=FQ","FILING_STATUS=OR","EQY_CONSOLIDATED=Y","Sort=A","Dates=H","DateFormat=P","Fill=—","Direction=H","UseDPDF=Y")</f>
        <v>#NAME?</v>
      </c>
      <c r="AL575" s="1" t="e">
        <f ca="1">_xll.BDH($C$553,"CASH_FLOW_GROWTH","FQ2 2018","FQ2 2018","Currency=INR","Period=FQ","BEST_FPERIOD_OVERRIDE=FQ","FILING_STATUS=OR","EQY_CONSOLIDATED=Y","Sort=A","Dates=H","DateFormat=P","Fill=—","Direction=H","UseDPDF=Y")</f>
        <v>#NAME?</v>
      </c>
      <c r="AM575" s="1" t="e">
        <f ca="1">_xll.BDH($C$553,"GEO_GROW_NET_SALES","FQ2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75" s="1" t="e">
        <f ca="1">_xll.BDH($C$553,"GEO_GROW_EBITDA","FQ2 2018","FQ2 2018","Currency=INR","Period=FQ","BEST_FPERIOD_OVERRIDE=FQ","FILING_STATUS=OR","EQY_CONSOLIDATED=Y","FA_ADJUSTED=GAAP","Sort=A","Dates=H","DateFormat=P","Fill=—","Direction=H","UseDPDF=Y")</f>
        <v>#NAME?</v>
      </c>
      <c r="AO575" s="1" t="e">
        <f ca="1">_xll.BDH($C$553,"GEO_GROW_OPER_INC","FQ2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75" s="1" t="e">
        <f ca="1">_xll.BDH($C$553,"NET_INCOME_TO_COMMON_5_YR_GROWTH","FQ2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75" s="1" t="e">
        <f ca="1">_xll.BDH($C$553,"5Y_GEO_GROWTH_DILUTED_EPS","FQ2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75" s="1" t="e">
        <f ca="1">_xll.BDH($C$553,"GEO_GROW_DVD_PER_SH","FQ2 2018","FQ2 2018","Currency=INR","Period=FQ","BEST_FPERIOD_OVERRIDE=FQ","FILING_STATUS=OR","EQY_CONSOLIDATED=Y","Sort=A","Dates=H","DateFormat=P","Fill=—","Direction=H","UseDPDF=Y")</f>
        <v>#NAME?</v>
      </c>
      <c r="AS575" s="1" t="e">
        <f ca="1">_xll.BDH($C$553,"ACCOUNTS_RECEIVABLE_5_YR_GROWTH","FQ2 2018","FQ2 2018","Currency=INR","Period=FQ","BEST_FPERIOD_OVERRIDE=FQ","FILING_STATUS=OR","EQY_CONSOLIDATED=Y","Sort=A","Dates=H","DateFormat=P","Fill=—","Direction=H","UseDPDF=Y")</f>
        <v>#NAME?</v>
      </c>
      <c r="AT575" s="1" t="e">
        <f ca="1">_xll.BDH($C$553,"INVENTORY_5_YEAR_GROWTH","FQ2 2018","FQ2 2018","Currency=INR","Period=FQ","BEST_FPERIOD_OVERRIDE=FQ","FILING_STATUS=OR","EQY_CONSOLIDATED=Y","Sort=A","Dates=H","DateFormat=P","Fill=—","Direction=H","UseDPDF=Y")</f>
        <v>#NAME?</v>
      </c>
      <c r="AU575" s="1" t="e">
        <f ca="1">_xll.BDH($C$553,"NET_FIXED_ASSETS_5_YEAR_GROWTH","FQ2 2018","FQ2 2018","Currency=INR","Period=FQ","BEST_FPERIOD_OVERRIDE=FQ","FILING_STATUS=OR","EQY_CONSOLIDATED=Y","Sort=A","Dates=H","DateFormat=P","Fill=—","Direction=H","UseDPDF=Y")</f>
        <v>#NAME?</v>
      </c>
      <c r="AV575" s="1" t="e">
        <f ca="1">_xll.BDH($C$553,"GEO_GROW_TOT_ASSET","FQ2 2018","FQ2 2018","Currency=INR","Period=FQ","BEST_FPERIOD_OVERRIDE=FQ","FILING_STATUS=OR","EQY_CONSOLIDATED=Y","Sort=A","Dates=H","DateFormat=P","Fill=—","Direction=H","UseDPDF=Y")</f>
        <v>#NAME?</v>
      </c>
      <c r="AW575" s="1" t="e">
        <f ca="1">_xll.BDH($C$553,"MODIFIED_WORKING_CPTL_5YR_GRWTH","FQ2 2018","FQ2 2018","Currency=INR","Period=FQ","BEST_FPERIOD_OVERRIDE=FQ","FILING_STATUS=OR","EQY_CONSOLIDATED=Y","Sort=A","Dates=H","DateFormat=P","Fill=—","Direction=H","UseDPDF=Y")</f>
        <v>#NAME?</v>
      </c>
      <c r="AX575" s="1" t="e">
        <f ca="1">_xll.BDH($C$553,"WORKING_CAPITAL_5_YEAR_GROWTH","FQ2 2018","FQ2 2018","Currency=INR","Period=FQ","BEST_FPERIOD_OVERRIDE=FQ","FILING_STATUS=OR","EQY_CONSOLIDATED=Y","Sort=A","Dates=H","DateFormat=P","Fill=—","Direction=H","UseDPDF=Y")</f>
        <v>#NAME?</v>
      </c>
      <c r="AY575" s="1" t="e">
        <f ca="1">_xll.BDH($C$553,"ACCOUNTS_PAYABLE_5_YEAR_GROWTH","FQ2 2018","FQ2 2018","Currency=INR","Period=FQ","BEST_FPERIOD_OVERRIDE=FQ","FILING_STATUS=OR","EQY_CONSOLIDATED=Y","Sort=A","Dates=H","DateFormat=P","Fill=—","Direction=H","UseDPDF=Y")</f>
        <v>#NAME?</v>
      </c>
      <c r="AZ575" s="1" t="e">
        <f ca="1">_xll.BDH($C$553,"SHORT_TERM_DEBT_5_YEAR_GROWTH","FQ2 2018","FQ2 2018","Currency=INR","Period=FQ","BEST_FPERIOD_OVERRIDE=FQ","FILING_STATUS=OR","EQY_CONSOLIDATED=Y","Sort=A","Dates=H","DateFormat=P","Fill=—","Direction=H","UseDPDF=Y")</f>
        <v>#NAME?</v>
      </c>
      <c r="BA575" s="1" t="e">
        <f ca="1">_xll.BDH($C$553,"TOTAL_DEBT_5_YEAR_GROWTH","FQ2 2018","FQ2 2018","Currency=INR","Period=FQ","BEST_FPERIOD_OVERRIDE=FQ","FILING_STATUS=OR","EQY_CONSOLIDATED=Y","Sort=A","Dates=H","DateFormat=P","Fill=—","Direction=H","UseDPDF=Y")</f>
        <v>#NAME?</v>
      </c>
      <c r="BB575" s="1" t="e">
        <f ca="1">_xll.BDH($C$553,"GEO_GROW_TOT_SHRHLDR_EQY","FQ2 2018","FQ2 2018","Currency=INR","Period=FQ","BEST_FPERIOD_OVERRIDE=FQ","FILING_STATUS=OR","EQY_CONSOLIDATED=Y","Sort=A","Dates=H","DateFormat=P","Fill=—","Direction=H","UseDPDF=Y")</f>
        <v>#NAME?</v>
      </c>
      <c r="BC575" s="1" t="e">
        <f ca="1">_xll.BDH($C$553,"TOTAL_CAPITAL_5_YEAR_GROWTH","FQ2 2018","FQ2 2018","Currency=INR","Period=FQ","BEST_FPERIOD_OVERRIDE=FQ","FILING_STATUS=OR","EQY_CONSOLIDATED=Y","Sort=A","Dates=H","DateFormat=P","Fill=—","Direction=H","UseDPDF=Y")</f>
        <v>#NAME?</v>
      </c>
      <c r="BD575" s="1" t="e">
        <f ca="1">_xll.BDH($C$553,"GEO_GROW_BOOK_VAL","FQ2 2018","FQ2 2018","Currency=INR","Period=FQ","BEST_FPERIOD_OVERRIDE=FQ","FILING_STATUS=OR","EQY_CONSOLIDATED=Y","Sort=A","Dates=H","DateFormat=P","Fill=—","Direction=H","UseDPDF=Y")</f>
        <v>#NAME?</v>
      </c>
      <c r="BE575" s="1" t="e">
        <f ca="1">_xll.BDH($C$553,"GEO_GROW_CASH_OPER_ACT","FQ2 2018","FQ2 2018","Currency=INR","Period=FQ","BEST_FPERIOD_OVERRIDE=FQ","FILING_STATUS=OR","EQY_CONSOLIDATED=Y","Sort=A","Dates=H","DateFormat=P","Fill=—","Direction=H","UseDPDF=Y")</f>
        <v>#NAME?</v>
      </c>
      <c r="BF575" s="1" t="e">
        <f ca="1">_xll.BDH($C$553,"REVENUE_SEQUENTIAL_GROWTH","FQ2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75" s="1" t="e">
        <f ca="1">_xll.BDH($C$553,"EBITDA_SEQUENTIAL_GROWTH","FQ2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75" s="1" t="e">
        <f ca="1">_xll.BDH($C$553,"OPERATING_INCOME_SEQ_GROWTH","FQ2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75" s="1" t="e">
        <f ca="1">_xll.BDH($C$553,"NET_INCOME_TO_COMMON_SEQ_GROWTH","FQ2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75" s="1" t="e">
        <f ca="1">_xll.BDH($C$553,"EPS_DILUTED_SEQUENTIAL_GROWTH","FQ2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75" s="1" t="e">
        <f ca="1">_xll.BDH($C$553,"DPS_SEQUENTIAL_GROWTH","FQ2 2018","FQ2 2018","Currency=INR","Period=FQ","BEST_FPERIOD_OVERRIDE=FQ","FILING_STATUS=OR","EQY_CONSOLIDATED=Y","Sort=A","Dates=H","DateFormat=P","Fill=—","Direction=H","UseDPDF=Y")</f>
        <v>#NAME?</v>
      </c>
      <c r="BL575" s="1" t="e">
        <f ca="1">_xll.BDH($C$553,"ACCOUNTS_RECEIVABLE_SEQ_GROWTH","FQ2 2018","FQ2 2018","Currency=INR","Period=FQ","BEST_FPERIOD_OVERRIDE=FQ","FILING_STATUS=OR","EQY_CONSOLIDATED=Y","Sort=A","Dates=H","DateFormat=P","Fill=—","Direction=H","UseDPDF=Y")</f>
        <v>#NAME?</v>
      </c>
      <c r="BM575" s="1" t="e">
        <f ca="1">_xll.BDH($C$553,"INVENTORY_SEQUENTIAL_GROWTH","FQ2 2018","FQ2 2018","Currency=INR","Period=FQ","BEST_FPERIOD_OVERRIDE=FQ","FILING_STATUS=OR","EQY_CONSOLIDATED=Y","Sort=A","Dates=H","DateFormat=P","Fill=—","Direction=H","UseDPDF=Y")</f>
        <v>#NAME?</v>
      </c>
      <c r="BN575" s="1" t="e">
        <f ca="1">_xll.BDH($C$553,"FIXED_ASSETS_SEQUENTIAL_GROWTH","FQ2 2018","FQ2 2018","Currency=INR","Period=FQ","BEST_FPERIOD_OVERRIDE=FQ","FILING_STATUS=OR","EQY_CONSOLIDATED=Y","Sort=A","Dates=H","DateFormat=P","Fill=—","Direction=H","UseDPDF=Y")</f>
        <v>#NAME?</v>
      </c>
      <c r="BO575" s="1" t="e">
        <f ca="1">_xll.BDH($C$553,"TOTAL_ASSETS_SEQUENTIAL_GROWTH","FQ2 2018","FQ2 2018","Currency=INR","Period=FQ","BEST_FPERIOD_OVERRIDE=FQ","FILING_STATUS=OR","EQY_CONSOLIDATED=Y","Sort=A","Dates=H","DateFormat=P","Fill=—","Direction=H","UseDPDF=Y")</f>
        <v>#NAME?</v>
      </c>
      <c r="BP575" s="1" t="e">
        <f ca="1">_xll.BDH($C$553,"MODIFIED_WORKING_CPTL_SEQ_GRWTH","FQ2 2018","FQ2 2018","Currency=INR","Period=FQ","BEST_FPERIOD_OVERRIDE=FQ","FILING_STATUS=OR","EQY_CONSOLIDATED=Y","Sort=A","Dates=H","DateFormat=P","Fill=—","Direction=H","UseDPDF=Y")</f>
        <v>#NAME?</v>
      </c>
      <c r="BQ575" s="1" t="e">
        <f ca="1">_xll.BDH($C$553,"WORKING_CAPITAL_SEQ_GROWTH","FQ2 2018","FQ2 2018","Currency=INR","Period=FQ","BEST_FPERIOD_OVERRIDE=FQ","FILING_STATUS=OR","EQY_CONSOLIDATED=Y","Sort=A","Dates=H","DateFormat=P","Fill=—","Direction=H","UseDPDF=Y")</f>
        <v>#NAME?</v>
      </c>
      <c r="BR575" s="1" t="e">
        <f ca="1">_xll.BDH($C$553,"ACCOUNTS_PAYABLE_SEQ_GROWTH","FQ2 2018","FQ2 2018","Currency=INR","Period=FQ","BEST_FPERIOD_OVERRIDE=FQ","FILING_STATUS=OR","EQY_CONSOLIDATED=Y","Sort=A","Dates=H","DateFormat=P","Fill=—","Direction=H","UseDPDF=Y")</f>
        <v>#NAME?</v>
      </c>
      <c r="BS575" s="1" t="e">
        <f ca="1">_xll.BDH($C$553,"ST_DEBT_SEQUENTIAL_GROWTH","FQ2 2018","FQ2 2018","Currency=INR","Period=FQ","BEST_FPERIOD_OVERRIDE=FQ","FILING_STATUS=OR","EQY_CONSOLIDATED=Y","Sort=A","Dates=H","DateFormat=P","Fill=—","Direction=H","UseDPDF=Y")</f>
        <v>#NAME?</v>
      </c>
      <c r="BT575" s="1" t="e">
        <f ca="1">_xll.BDH($C$553,"TOTAL_DEBT_SEQUENTIAL_GROWTH","FQ2 2018","FQ2 2018","Currency=INR","Period=FQ","BEST_FPERIOD_OVERRIDE=FQ","FILING_STATUS=OR","EQY_CONSOLIDATED=Y","Sort=A","Dates=H","DateFormat=P","Fill=—","Direction=H","UseDPDF=Y")</f>
        <v>#NAME?</v>
      </c>
      <c r="BU575" s="1" t="e">
        <f ca="1">_xll.BDH($C$553,"TOTAL_EQUITY_SEQUENTIAL_GROWTH","FQ2 2018","FQ2 2018","Currency=INR","Period=FQ","BEST_FPERIOD_OVERRIDE=FQ","FILING_STATUS=OR","EQY_CONSOLIDATED=Y","Sort=A","Dates=H","DateFormat=P","Fill=—","Direction=H","UseDPDF=Y")</f>
        <v>#NAME?</v>
      </c>
      <c r="BV575" s="1" t="e">
        <f ca="1">_xll.BDH($C$553,"TOTAL_CAPITAL_SEQUENTIAL_GROWTH","FQ2 2018","FQ2 2018","Currency=INR","Period=FQ","BEST_FPERIOD_OVERRIDE=FQ","FILING_STATUS=OR","EQY_CONSOLIDATED=Y","Sort=A","Dates=H","DateFormat=P","Fill=—","Direction=H","UseDPDF=Y")</f>
        <v>#NAME?</v>
      </c>
      <c r="BW575" s="1" t="e">
        <f ca="1">_xll.BDH($C$553,"BPS_SEQUENTIAL_GROWTH","FQ2 2018","FQ2 2018","Currency=INR","Period=FQ","BEST_FPERIOD_OVERRIDE=FQ","FILING_STATUS=OR","EQY_CONSOLIDATED=Y","Sort=A","Dates=H","DateFormat=P","Fill=—","Direction=H","UseDPDF=Y")</f>
        <v>#NAME?</v>
      </c>
      <c r="BX575" s="1" t="e">
        <f ca="1">_xll.BDH($C$553,"CFO_SEQUENTIAL_GROWTH","FQ2 2018","FQ2 2018","Currency=INR","Period=FQ","BEST_FPERIOD_OVERRIDE=FQ","FILING_STATUS=OR","EQY_CONSOLIDATED=Y","Sort=A","Dates=H","DateFormat=P","Fill=—","Direction=H","UseDPDF=Y")</f>
        <v>#NAME?</v>
      </c>
      <c r="BY575" s="2" t="e">
        <f ca="1">_xll.BDH($C$553,"SHORT_AND_LONG_TERM_DEBT","FQ2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75" s="2" t="e">
        <f ca="1">_xll.BDH($C$553,"BS_ST_BORROW","FQ2 2018","FQ2 2018","Currency=INR","Period=FQ","BEST_FPERIOD_OVERRIDE=FQ","FILING_STATUS=OR","EQY_CONSOLIDATED=Y","SCALING_FORMAT=MLN","Sort=A","Dates=H","DateFormat=P","Fill=—","Direction=H","UseDPDF=Y")</f>
        <v>#NAME?</v>
      </c>
      <c r="CA575" s="2" t="e">
        <f ca="1">_xll.BDH($C$553,"BS_LT_BORROW","FQ2 2018","FQ2 2018","Currency=INR","Period=FQ","BEST_FPERIOD_OVERRIDE=FQ","FILING_STATUS=OR","EQY_CONSOLIDATED=Y","SCALING_FORMAT=MLN","Sort=A","Dates=H","DateFormat=P","Fill=—","Direction=H","UseDPDF=Y")</f>
        <v>#NAME?</v>
      </c>
      <c r="CB575" s="1" t="e">
        <f ca="1">_xll.BDH($C$553,"TOT_DEBT_TO_EBITDA","FQ2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75" s="1" t="e">
        <f ca="1">_xll.BDH($C$553,"NET_DEBT_TO_EBITDA","FQ2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75" s="1" t="e">
        <f ca="1">_xll.BDH($C$553,"TOTAL_DEBT_TO_EBIT","FQ2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75" s="1" t="e">
        <f ca="1">_xll.BDH($C$553,"NET_DEBT_TO_EBIT","FQ2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575" s="1" t="e">
        <f ca="1">_xll.BDH($C$553,"EBITDA_TO_INTEREST_EXPN","FQ2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75" s="1" t="e">
        <f ca="1">_xll.BDH($C$553,"COM_EQY_TO_TOT_ASSET","FQ2 2018","FQ2 2018","Currency=INR","Period=FQ","BEST_FPERIOD_OVERRIDE=FQ","FILING_STATUS=OR","EQY_CONSOLIDATED=Y","Sort=A","Dates=H","DateFormat=P","Fill=—","Direction=H","UseDPDF=Y")</f>
        <v>#NAME?</v>
      </c>
      <c r="CH575" s="1" t="e">
        <f ca="1">_xll.BDH($C$553,"LT_DEBT_TO_TOT_EQY","FQ2 2018","FQ2 2018","Currency=INR","Period=FQ","BEST_FPERIOD_OVERRIDE=FQ","FILING_STATUS=OR","EQY_CONSOLIDATED=Y","Sort=A","Dates=H","DateFormat=P","Fill=—","Direction=H","UseDPDF=Y")</f>
        <v>#NAME?</v>
      </c>
      <c r="CI575" s="1" t="e">
        <f ca="1">_xll.BDH($C$553,"LT_DEBT_TO_TOT_CAP","FQ2 2018","FQ2 2018","Currency=INR","Period=FQ","BEST_FPERIOD_OVERRIDE=FQ","FILING_STATUS=OR","EQY_CONSOLIDATED=Y","Sort=A","Dates=H","DateFormat=P","Fill=—","Direction=H","UseDPDF=Y")</f>
        <v>#NAME?</v>
      </c>
      <c r="CJ575" s="1" t="e">
        <f ca="1">_xll.BDH($C$553,"LT_DEBT_TO_TOT_ASSET","FQ2 2018","FQ2 2018","Currency=INR","Period=FQ","BEST_FPERIOD_OVERRIDE=FQ","FILING_STATUS=OR","EQY_CONSOLIDATED=Y","Sort=A","Dates=H","DateFormat=P","Fill=—","Direction=H","UseDPDF=Y")</f>
        <v>#NAME?</v>
      </c>
      <c r="CK575" s="1" t="e">
        <f ca="1">_xll.BDH($C$553,"TOT_DEBT_TO_TOT_EQY","FQ2 2018","FQ2 2018","Currency=INR","Period=FQ","BEST_FPERIOD_OVERRIDE=FQ","FILING_STATUS=OR","EQY_CONSOLIDATED=Y","Sort=A","Dates=H","DateFormat=P","Fill=—","Direction=H","UseDPDF=Y")</f>
        <v>#NAME?</v>
      </c>
      <c r="CL575" s="1" t="e">
        <f ca="1">_xll.BDH($C$553,"TOT_DEBT_TO_TOT_CAP","FQ2 2018","FQ2 2018","Currency=INR","Period=FQ","BEST_FPERIOD_OVERRIDE=FQ","FILING_STATUS=OR","EQY_CONSOLIDATED=Y","Sort=A","Dates=H","DateFormat=P","Fill=—","Direction=H","UseDPDF=Y")</f>
        <v>#NAME?</v>
      </c>
      <c r="CM575" s="1" t="e">
        <f ca="1">_xll.BDH($C$553,"TOT_DEBT_TO_TOT_ASSET","FQ2 2018","FQ2 2018","Currency=INR","Period=FQ","BEST_FPERIOD_OVERRIDE=FQ","FILING_STATUS=OR","EQY_CONSOLIDATED=Y","Sort=A","Dates=H","DateFormat=P","Fill=—","Direction=H","UseDPDF=Y")</f>
        <v>#NAME?</v>
      </c>
      <c r="CN575" s="1" t="e">
        <f ca="1">_xll.BDH($C$553,"NET_DEBT_TO_SHRHLDR_EQTY","FQ2 2018","FQ2 2018","Currency=INR","Period=FQ","BEST_FPERIOD_OVERRIDE=FQ","FILING_STATUS=OR","EQY_CONSOLIDATED=Y","Sort=A","Dates=H","DateFormat=P","Fill=—","Direction=H","UseDPDF=Y")</f>
        <v>#NAME?</v>
      </c>
      <c r="CO575" s="1" t="e">
        <f ca="1">_xll.BDH($C$553,"NET_DEBT_%_CAPITAL","FQ2 2018","FQ2 2018","Currency=INR","Period=FQ","BEST_FPERIOD_OVERRIDE=FQ","FILING_STATUS=OR","EQY_CONSOLIDATED=Y","Sort=A","Dates=H","DateFormat=P","Fill=—","Direction=H","UseDPDF=Y")</f>
        <v>#NAME?</v>
      </c>
      <c r="CP575" s="2" t="e">
        <f ca="1">_xll.BDH($C$553,"EBITDA","FQ2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75" s="2" t="e">
        <f ca="1">_xll.BDH($C$553,"EBITDA_AFTER_CAPEX","FQ2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75" s="2" t="e">
        <f ca="1">_xll.BDH($C$553,"IS_OPER_INC","FQ2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75" s="1" t="e">
        <f ca="1">_xll.BDH($C$553,"CASH_RATIO","FQ2 2018","FQ2 2018","Currency=INR","Period=FQ","BEST_FPERIOD_OVERRIDE=FQ","FILING_STATUS=OR","EQY_CONSOLIDATED=Y","Sort=A","Dates=H","DateFormat=P","Fill=—","Direction=H","UseDPDF=Y")</f>
        <v>#NAME?</v>
      </c>
      <c r="CT575" s="1" t="e">
        <f ca="1">_xll.BDH($C$553,"CUR_RATIO","FQ2 2018","FQ2 2018","Currency=INR","Period=FQ","BEST_FPERIOD_OVERRIDE=FQ","FILING_STATUS=OR","EQY_CONSOLIDATED=Y","Sort=A","Dates=H","DateFormat=P","Fill=—","Direction=H","UseDPDF=Y")</f>
        <v>#NAME?</v>
      </c>
      <c r="CU575" s="1" t="e">
        <f ca="1">_xll.BDH($C$553,"QUICK_RATIO","FQ2 2018","FQ2 2018","Currency=INR","Period=FQ","BEST_FPERIOD_OVERRIDE=FQ","FILING_STATUS=OR","EQY_CONSOLIDATED=Y","Sort=A","Dates=H","DateFormat=P","Fill=—","Direction=H","UseDPDF=Y")</f>
        <v>#NAME?</v>
      </c>
      <c r="CV575" s="1" t="e">
        <f ca="1">_xll.BDH($C$553,"ALTMAN_Z_SCORE","FQ2 2018","FQ2 2018","Currency=INR","Period=FQ","BEST_FPERIOD_OVERRIDE=FQ","FILING_STATUS=OR","EQY_CONSOLIDATED=Y","Sort=A","Dates=H","DateFormat=P","Fill=—","Direction=H","UseDPDF=Y")</f>
        <v>#NAME?</v>
      </c>
      <c r="CW575" s="3" t="e">
        <f ca="1">_xll.BDH($C$553,"ACCT_RCV_TURN","FQ2 2018","FQ2 2018","Currency=INR","Period=FQ","BEST_FPERIOD_OVERRIDE=FQ","FILING_STATUS=OR","EQY_CONSOLIDATED=Y","FA_ADJUSTED=GAAP","Sort=A","Dates=H","DateFormat=P","Fill=—","Direction=H","UseDPDF=Y")</f>
        <v>#NAME?</v>
      </c>
      <c r="CX575" s="1" t="e">
        <f ca="1">_xll.BDH($C$553,"ACCT_RCV_DAYS","FQ2 2018","FQ2 2018","Currency=INR","Period=FQ","BEST_FPERIOD_OVERRIDE=FQ","FILING_STATUS=OR","EQY_CONSOLIDATED=Y","FA_ADJUSTED=GAAP","Sort=A","Dates=H","DateFormat=P","Fill=—","Direction=H","UseDPDF=Y")</f>
        <v>#NAME?</v>
      </c>
      <c r="CY575" s="3" t="e">
        <f ca="1">_xll.BDH($C$553,"INVENT_TURN","FQ2 2018","FQ2 2018","Currency=INR","Period=FQ","BEST_FPERIOD_OVERRIDE=FQ","FILING_STATUS=OR","EQY_CONSOLIDATED=Y","FA_ADJUSTED=GAAP","Sort=A","Dates=H","DateFormat=P","Fill=—","Direction=H","UseDPDF=Y")</f>
        <v>#NAME?</v>
      </c>
      <c r="CZ575" s="1" t="e">
        <f ca="1">_xll.BDH($C$553,"INVENT_DAYS","FQ2 2018","FQ2 2018","Currency=INR","Period=FQ","BEST_FPERIOD_OVERRIDE=FQ","FILING_STATUS=OR","EQY_CONSOLIDATED=Y","FA_ADJUSTED=GAAP","Sort=A","Dates=H","DateFormat=P","Fill=—","Direction=H","UseDPDF=Y")</f>
        <v>#NAME?</v>
      </c>
      <c r="DA575" s="3" t="e">
        <f ca="1">_xll.BDH($C$553,"ACCOUNTS_PAYABLE_TURNOVER","FQ2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75" s="1" t="e">
        <f ca="1">_xll.BDH($C$553,"ACCOUNTS_PAYABLE_TURNOVER_DAYS","FQ2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75" s="3" t="e">
        <f ca="1">_xll.BDH($C$553,"CASH_CONVERSION_CYCLE","FQ2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75" s="3" t="e">
        <f ca="1">_xll.BDH($C$553,"INV_TO_CASH_DAYS","FQ2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575" s="4" t="e">
        <f ca="1">_xll.BDH($C$553,"BS_INVENTORIES","FQ2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575" s="2" t="e">
        <f ca="1">_xll.BDH($C$553,"INVTRY_RAW_MATERIALS","FQ2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75" s="2" t="e">
        <f ca="1">_xll.BDH($C$553,"INVTRY_IN_PROGRESS","FQ2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75" s="2" t="e">
        <f ca="1">_xll.BDH($C$553,"INVTRY_FINISHED_GOODS","FQ2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75" s="2" t="e">
        <f ca="1">_xll.BDH($C$553,"BS_OTHER_INV","FQ2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76" spans="1:113" x14ac:dyDescent="0.3">
      <c r="A576" s="6"/>
      <c r="B576" s="6"/>
      <c r="C576" s="6"/>
      <c r="D576" s="6"/>
      <c r="E576" t="s">
        <v>6</v>
      </c>
      <c r="F576" t="e">
        <f ca="1">_xll.BDH($C$553,"RETURN_COM_EQY","FQ3 2018","FQ3 2018","Currency=INR","Period=FQ","BEST_FPERIOD_OVERRIDE=FQ","FILING_STATUS=OR","EQY_CONSOLIDATED=Y","FA_ADJUSTED=GAAP","Sort=A","Dates=H","DateFormat=P","Fill=—","Direction=H","UseDPDF=Y")</f>
        <v>#NAME?</v>
      </c>
      <c r="G576" t="e">
        <f ca="1">_xll.BDH($C$553,"RETURN_ON_ASSET","FQ3 2018","FQ3 2018","Currency=INR","Period=FQ","BEST_FPERIOD_OVERRIDE=FQ","FILING_STATUS=OR","EQY_CONSOLIDATED=Y","FA_ADJUSTED=GAAP","Sort=A","Dates=H","DateFormat=P","Fill=—","Direction=H","UseDPDF=Y")</f>
        <v>#NAME?</v>
      </c>
      <c r="H576" t="e">
        <f ca="1">_xll.BDH($C$553,"RETURN_ON_CAP","FQ3 2018","FQ3 2018","Currency=INR","Period=FQ","BEST_FPERIOD_OVERRIDE=FQ","FILING_STATUS=OR","EQY_CONSOLIDATED=Y","FA_ADJUSTED=GAAP","Sort=A","Dates=H","DateFormat=P","Fill=—","Direction=H","UseDPDF=Y")</f>
        <v>#NAME?</v>
      </c>
      <c r="I576" t="e">
        <f ca="1">_xll.BDH($C$553,"RETURN_ON_INV_CAPITAL","FQ3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76" t="e">
        <f ca="1">_xll.BDH($C$553,"EBITDA_TO_REVENUE","FQ3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576" t="e">
        <f ca="1">_xll.BDH($C$553,"OPER_MARGIN","FQ3 2018","FQ3 2018","Currency=INR","Period=FQ","BEST_FPERIOD_OVERRIDE=FQ","FILING_STATUS=OR","EQY_CONSOLIDATED=Y","FA_ADJUSTED=GAAP","Sort=A","Dates=H","DateFormat=P","Fill=—","Direction=H","UseDPDF=Y")</f>
        <v>#NAME?</v>
      </c>
      <c r="L576" t="e">
        <f ca="1">_xll.BDH($C$553,"INCREMENTAL_OPERATING_MARGIN","FQ3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76" t="e">
        <f ca="1">_xll.BDH($C$553,"PRETAX_INC_TO_NET_SALES","FQ3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76" t="e">
        <f ca="1">_xll.BDH($C$553,"INC_BEF_XO_ITEMS_TO_NET_SALES","FQ3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76" t="e">
        <f ca="1">_xll.BDH($C$553,"PROF_MARGIN","FQ3 2018","FQ3 2018","Currency=INR","Period=FQ","BEST_FPERIOD_OVERRIDE=FQ","FILING_STATUS=OR","EQY_CONSOLIDATED=Y","FA_ADJUSTED=GAAP","Sort=A","Dates=H","DateFormat=P","Fill=—","Direction=H","UseDPDF=Y")</f>
        <v>#NAME?</v>
      </c>
      <c r="P576" t="e">
        <f ca="1">_xll.BDH($C$553,"NET_INCOME_TO_COMMON_MARGIN","FQ3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76" t="e">
        <f ca="1">_xll.BDH($C$553,"EFF_TAX_RATE","FQ3 2018","FQ3 2018","Currency=INR","Period=FQ","BEST_FPERIOD_OVERRIDE=FQ","FILING_STATUS=OR","EQY_CONSOLIDATED=Y","FA_ADJUSTED=GAAP","Sort=A","Dates=H","DateFormat=P","Fill=—","Direction=H","UseDPDF=Y")</f>
        <v>#NAME?</v>
      </c>
      <c r="R576" t="e">
        <f ca="1">_xll.BDH($C$553,"DVD_PAYOUT_RATIO","FQ3 2018","FQ3 2018","Currency=INR","Period=FQ","BEST_FPERIOD_OVERRIDE=FQ","FILING_STATUS=OR","EQY_CONSOLIDATED=Y","FA_ADJUSTED=GAAP","Sort=A","Dates=H","DateFormat=P","Fill=—","Direction=H","UseDPDF=Y")</f>
        <v>#NAME?</v>
      </c>
      <c r="S576" t="e">
        <f ca="1">_xll.BDH($C$553,"SUSTAIN_GROWTH_RT","FQ3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576" s="1" t="e">
        <f ca="1">_xll.BDH($C$553,"SALES_GROWTH","FQ3 2018","FQ3 2018","Currency=INR","Period=FQ","BEST_FPERIOD_OVERRIDE=FQ","FILING_STATUS=OR","EQY_CONSOLIDATED=Y","FA_ADJUSTED=GAAP","Sort=A","Dates=H","DateFormat=P","Fill=—","Direction=H","UseDPDF=Y")</f>
        <v>#NAME?</v>
      </c>
      <c r="U576" s="1" t="e">
        <f ca="1">_xll.BDH($C$553,"EBITDA_GROWTH","FQ3 2018","FQ3 2018","Currency=INR","Period=FQ","BEST_FPERIOD_OVERRIDE=FQ","FILING_STATUS=OR","EQY_CONSOLIDATED=Y","FA_ADJUSTED=GAAP","Sort=A","Dates=H","DateFormat=P","Fill=—","Direction=H","UseDPDF=Y")</f>
        <v>#NAME?</v>
      </c>
      <c r="V576" s="1" t="e">
        <f ca="1">_xll.BDH($C$553,"OPER_INC_GROWTH","FQ3 2018","FQ3 2018","Currency=INR","Period=FQ","BEST_FPERIOD_OVERRIDE=FQ","FILING_STATUS=OR","EQY_CONSOLIDATED=Y","FA_ADJUSTED=GAAP","Sort=A","Dates=H","DateFormat=P","Fill=—","Direction=H","UseDPDF=Y")</f>
        <v>#NAME?</v>
      </c>
      <c r="W576" s="1" t="e">
        <f ca="1">_xll.BDH($C$553,"EARN_FOR_COM_GROWTH","FQ3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76" s="1" t="e">
        <f ca="1">_xll.BDH($C$553,"DILUTED_EPS_AFT_XO_ITEMS_GROWTH","FQ3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76" s="1" t="e">
        <f ca="1">_xll.BDH($C$553,"DIVIDEND_PER_SHARE_1_YEAR_GROWTH","FQ3 2018","FQ3 2018","Currency=INR","Period=FQ","BEST_FPERIOD_OVERRIDE=FQ","FILING_STATUS=OR","EQY_CONSOLIDATED=Y","Sort=A","Dates=H","DateFormat=P","Fill=—","Direction=H","UseDPDF=Y")</f>
        <v>#NAME?</v>
      </c>
      <c r="Z576" s="1" t="e">
        <f ca="1">_xll.BDH($C$553,"ACCOUNTS_RECEIVABLE_GROWTH","FQ3 2018","FQ3 2018","Currency=INR","Period=FQ","BEST_FPERIOD_OVERRIDE=FQ","FILING_STATUS=OR","EQY_CONSOLIDATED=Y","Sort=A","Dates=H","DateFormat=P","Fill=—","Direction=H","UseDPDF=Y")</f>
        <v>#NAME?</v>
      </c>
      <c r="AA576" s="1" t="e">
        <f ca="1">_xll.BDH($C$553,"INVENTORY_GROWTH","FQ3 2018","FQ3 2018","Currency=INR","Period=FQ","BEST_FPERIOD_OVERRIDE=FQ","FILING_STATUS=OR","EQY_CONSOLIDATED=Y","Sort=A","Dates=H","DateFormat=P","Fill=—","Direction=H","UseDPDF=Y")</f>
        <v>#NAME?</v>
      </c>
      <c r="AB576" s="1" t="e">
        <f ca="1">_xll.BDH($C$553,"NET_FIXED_ASSETS_1_YEAR_GROWTH","FQ3 2018","FQ3 2018","Currency=INR","Period=FQ","BEST_FPERIOD_OVERRIDE=FQ","FILING_STATUS=OR","EQY_CONSOLIDATED=Y","Sort=A","Dates=H","DateFormat=P","Fill=—","Direction=H","UseDPDF=Y")</f>
        <v>#NAME?</v>
      </c>
      <c r="AC576" s="1" t="e">
        <f ca="1">_xll.BDH($C$553,"ASSET_GROWTH","FQ3 2018","FQ3 2018","Currency=INR","Period=FQ","BEST_FPERIOD_OVERRIDE=FQ","FILING_STATUS=OR","EQY_CONSOLIDATED=Y","Sort=A","Dates=H","DateFormat=P","Fill=—","Direction=H","UseDPDF=Y")</f>
        <v>#NAME?</v>
      </c>
      <c r="AD576" s="1" t="e">
        <f ca="1">_xll.BDH($C$553,"MODIFIED_WORK_CAP_GROWTH","FQ3 2018","FQ3 2018","Currency=INR","Period=FQ","BEST_FPERIOD_OVERRIDE=FQ","FILING_STATUS=OR","EQY_CONSOLIDATED=Y","Sort=A","Dates=H","DateFormat=P","Fill=—","Direction=H","UseDPDF=Y")</f>
        <v>#NAME?</v>
      </c>
      <c r="AE576" s="1" t="e">
        <f ca="1">_xll.BDH($C$553,"WORK_CAP_GROWTH","FQ3 2018","FQ3 2018","Currency=INR","Period=FQ","BEST_FPERIOD_OVERRIDE=FQ","FILING_STATUS=OR","EQY_CONSOLIDATED=Y","Sort=A","Dates=H","DateFormat=P","Fill=—","Direction=H","UseDPDF=Y")</f>
        <v>#NAME?</v>
      </c>
      <c r="AF576" s="1" t="e">
        <f ca="1">_xll.BDH($C$553,"ACCOUNTS_PAYABLE_GROWTH_1YR","FQ3 2018","FQ3 2018","Currency=INR","Period=FQ","BEST_FPERIOD_OVERRIDE=FQ","FILING_STATUS=OR","EQY_CONSOLIDATED=Y","Sort=A","Dates=H","DateFormat=P","Fill=—","Direction=H","UseDPDF=Y")</f>
        <v>#NAME?</v>
      </c>
      <c r="AG576" s="1" t="e">
        <f ca="1">_xll.BDH($C$553,"SHORT_TERM_DEBT_1_YEAR_GROWTH","FQ3 2018","FQ3 2018","Currency=INR","Period=FQ","BEST_FPERIOD_OVERRIDE=FQ","FILING_STATUS=OR","EQY_CONSOLIDATED=Y","Sort=A","Dates=H","DateFormat=P","Fill=—","Direction=H","UseDPDF=Y")</f>
        <v>#NAME?</v>
      </c>
      <c r="AH576" s="1" t="e">
        <f ca="1">_xll.BDH($C$553,"TOTAL_DEBT_1_YEAR_GROWTH","FQ3 2018","FQ3 2018","Currency=INR","Period=FQ","BEST_FPERIOD_OVERRIDE=FQ","FILING_STATUS=OR","EQY_CONSOLIDATED=Y","Sort=A","Dates=H","DateFormat=P","Fill=—","Direction=H","UseDPDF=Y")</f>
        <v>#NAME?</v>
      </c>
      <c r="AI576" s="1" t="e">
        <f ca="1">_xll.BDH($C$553,"TOTAL_EQUITY_1_YEAR_GROWTH","FQ3 2018","FQ3 2018","Currency=INR","Period=FQ","BEST_FPERIOD_OVERRIDE=FQ","FILING_STATUS=OR","EQY_CONSOLIDATED=Y","Sort=A","Dates=H","DateFormat=P","Fill=—","Direction=H","UseDPDF=Y")</f>
        <v>#NAME?</v>
      </c>
      <c r="AJ576" s="1" t="e">
        <f ca="1">_xll.BDH($C$553,"GROWTH_IN_CAP","FQ3 2018","FQ3 2018","Currency=INR","Period=FQ","BEST_FPERIOD_OVERRIDE=FQ","FILING_STATUS=OR","EQY_CONSOLIDATED=Y","Sort=A","Dates=H","DateFormat=P","Fill=—","Direction=H","UseDPDF=Y")</f>
        <v>#NAME?</v>
      </c>
      <c r="AK576" s="1" t="e">
        <f ca="1">_xll.BDH($C$553,"BVPS_GROWTH","FQ3 2018","FQ3 2018","Currency=INR","Period=FQ","BEST_FPERIOD_OVERRIDE=FQ","FILING_STATUS=OR","EQY_CONSOLIDATED=Y","Sort=A","Dates=H","DateFormat=P","Fill=—","Direction=H","UseDPDF=Y")</f>
        <v>#NAME?</v>
      </c>
      <c r="AL576" s="1" t="e">
        <f ca="1">_xll.BDH($C$553,"CASH_FLOW_GROWTH","FQ3 2018","FQ3 2018","Currency=INR","Period=FQ","BEST_FPERIOD_OVERRIDE=FQ","FILING_STATUS=OR","EQY_CONSOLIDATED=Y","Sort=A","Dates=H","DateFormat=P","Fill=—","Direction=H","UseDPDF=Y")</f>
        <v>#NAME?</v>
      </c>
      <c r="AM576" s="1" t="e">
        <f ca="1">_xll.BDH($C$553,"GEO_GROW_NET_SALES","FQ3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76" s="1" t="e">
        <f ca="1">_xll.BDH($C$553,"GEO_GROW_EBITDA","FQ3 2018","FQ3 2018","Currency=INR","Period=FQ","BEST_FPERIOD_OVERRIDE=FQ","FILING_STATUS=OR","EQY_CONSOLIDATED=Y","FA_ADJUSTED=GAAP","Sort=A","Dates=H","DateFormat=P","Fill=—","Direction=H","UseDPDF=Y")</f>
        <v>#NAME?</v>
      </c>
      <c r="AO576" s="1" t="e">
        <f ca="1">_xll.BDH($C$553,"GEO_GROW_OPER_INC","FQ3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76" s="1" t="e">
        <f ca="1">_xll.BDH($C$553,"NET_INCOME_TO_COMMON_5_YR_GROWTH","FQ3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76" s="1" t="e">
        <f ca="1">_xll.BDH($C$553,"5Y_GEO_GROWTH_DILUTED_EPS","FQ3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76" s="1" t="e">
        <f ca="1">_xll.BDH($C$553,"GEO_GROW_DVD_PER_SH","FQ3 2018","FQ3 2018","Currency=INR","Period=FQ","BEST_FPERIOD_OVERRIDE=FQ","FILING_STATUS=OR","EQY_CONSOLIDATED=Y","Sort=A","Dates=H","DateFormat=P","Fill=—","Direction=H","UseDPDF=Y")</f>
        <v>#NAME?</v>
      </c>
      <c r="AS576" s="1" t="e">
        <f ca="1">_xll.BDH($C$553,"ACCOUNTS_RECEIVABLE_5_YR_GROWTH","FQ3 2018","FQ3 2018","Currency=INR","Period=FQ","BEST_FPERIOD_OVERRIDE=FQ","FILING_STATUS=OR","EQY_CONSOLIDATED=Y","Sort=A","Dates=H","DateFormat=P","Fill=—","Direction=H","UseDPDF=Y")</f>
        <v>#NAME?</v>
      </c>
      <c r="AT576" s="1" t="e">
        <f ca="1">_xll.BDH($C$553,"INVENTORY_5_YEAR_GROWTH","FQ3 2018","FQ3 2018","Currency=INR","Period=FQ","BEST_FPERIOD_OVERRIDE=FQ","FILING_STATUS=OR","EQY_CONSOLIDATED=Y","Sort=A","Dates=H","DateFormat=P","Fill=—","Direction=H","UseDPDF=Y")</f>
        <v>#NAME?</v>
      </c>
      <c r="AU576" s="1" t="e">
        <f ca="1">_xll.BDH($C$553,"NET_FIXED_ASSETS_5_YEAR_GROWTH","FQ3 2018","FQ3 2018","Currency=INR","Period=FQ","BEST_FPERIOD_OVERRIDE=FQ","FILING_STATUS=OR","EQY_CONSOLIDATED=Y","Sort=A","Dates=H","DateFormat=P","Fill=—","Direction=H","UseDPDF=Y")</f>
        <v>#NAME?</v>
      </c>
      <c r="AV576" s="1" t="e">
        <f ca="1">_xll.BDH($C$553,"GEO_GROW_TOT_ASSET","FQ3 2018","FQ3 2018","Currency=INR","Period=FQ","BEST_FPERIOD_OVERRIDE=FQ","FILING_STATUS=OR","EQY_CONSOLIDATED=Y","Sort=A","Dates=H","DateFormat=P","Fill=—","Direction=H","UseDPDF=Y")</f>
        <v>#NAME?</v>
      </c>
      <c r="AW576" s="1" t="e">
        <f ca="1">_xll.BDH($C$553,"MODIFIED_WORKING_CPTL_5YR_GRWTH","FQ3 2018","FQ3 2018","Currency=INR","Period=FQ","BEST_FPERIOD_OVERRIDE=FQ","FILING_STATUS=OR","EQY_CONSOLIDATED=Y","Sort=A","Dates=H","DateFormat=P","Fill=—","Direction=H","UseDPDF=Y")</f>
        <v>#NAME?</v>
      </c>
      <c r="AX576" s="1" t="e">
        <f ca="1">_xll.BDH($C$553,"WORKING_CAPITAL_5_YEAR_GROWTH","FQ3 2018","FQ3 2018","Currency=INR","Period=FQ","BEST_FPERIOD_OVERRIDE=FQ","FILING_STATUS=OR","EQY_CONSOLIDATED=Y","Sort=A","Dates=H","DateFormat=P","Fill=—","Direction=H","UseDPDF=Y")</f>
        <v>#NAME?</v>
      </c>
      <c r="AY576" s="1" t="e">
        <f ca="1">_xll.BDH($C$553,"ACCOUNTS_PAYABLE_5_YEAR_GROWTH","FQ3 2018","FQ3 2018","Currency=INR","Period=FQ","BEST_FPERIOD_OVERRIDE=FQ","FILING_STATUS=OR","EQY_CONSOLIDATED=Y","Sort=A","Dates=H","DateFormat=P","Fill=—","Direction=H","UseDPDF=Y")</f>
        <v>#NAME?</v>
      </c>
      <c r="AZ576" s="1" t="e">
        <f ca="1">_xll.BDH($C$553,"SHORT_TERM_DEBT_5_YEAR_GROWTH","FQ3 2018","FQ3 2018","Currency=INR","Period=FQ","BEST_FPERIOD_OVERRIDE=FQ","FILING_STATUS=OR","EQY_CONSOLIDATED=Y","Sort=A","Dates=H","DateFormat=P","Fill=—","Direction=H","UseDPDF=Y")</f>
        <v>#NAME?</v>
      </c>
      <c r="BA576" s="1" t="e">
        <f ca="1">_xll.BDH($C$553,"TOTAL_DEBT_5_YEAR_GROWTH","FQ3 2018","FQ3 2018","Currency=INR","Period=FQ","BEST_FPERIOD_OVERRIDE=FQ","FILING_STATUS=OR","EQY_CONSOLIDATED=Y","Sort=A","Dates=H","DateFormat=P","Fill=—","Direction=H","UseDPDF=Y")</f>
        <v>#NAME?</v>
      </c>
      <c r="BB576" s="1" t="e">
        <f ca="1">_xll.BDH($C$553,"GEO_GROW_TOT_SHRHLDR_EQY","FQ3 2018","FQ3 2018","Currency=INR","Period=FQ","BEST_FPERIOD_OVERRIDE=FQ","FILING_STATUS=OR","EQY_CONSOLIDATED=Y","Sort=A","Dates=H","DateFormat=P","Fill=—","Direction=H","UseDPDF=Y")</f>
        <v>#NAME?</v>
      </c>
      <c r="BC576" s="1" t="e">
        <f ca="1">_xll.BDH($C$553,"TOTAL_CAPITAL_5_YEAR_GROWTH","FQ3 2018","FQ3 2018","Currency=INR","Period=FQ","BEST_FPERIOD_OVERRIDE=FQ","FILING_STATUS=OR","EQY_CONSOLIDATED=Y","Sort=A","Dates=H","DateFormat=P","Fill=—","Direction=H","UseDPDF=Y")</f>
        <v>#NAME?</v>
      </c>
      <c r="BD576" s="1" t="e">
        <f ca="1">_xll.BDH($C$553,"GEO_GROW_BOOK_VAL","FQ3 2018","FQ3 2018","Currency=INR","Period=FQ","BEST_FPERIOD_OVERRIDE=FQ","FILING_STATUS=OR","EQY_CONSOLIDATED=Y","Sort=A","Dates=H","DateFormat=P","Fill=—","Direction=H","UseDPDF=Y")</f>
        <v>#NAME?</v>
      </c>
      <c r="BE576" s="1" t="e">
        <f ca="1">_xll.BDH($C$553,"GEO_GROW_CASH_OPER_ACT","FQ3 2018","FQ3 2018","Currency=INR","Period=FQ","BEST_FPERIOD_OVERRIDE=FQ","FILING_STATUS=OR","EQY_CONSOLIDATED=Y","Sort=A","Dates=H","DateFormat=P","Fill=—","Direction=H","UseDPDF=Y")</f>
        <v>#NAME?</v>
      </c>
      <c r="BF576" s="1" t="e">
        <f ca="1">_xll.BDH($C$553,"REVENUE_SEQUENTIAL_GROWTH","FQ3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76" s="1" t="e">
        <f ca="1">_xll.BDH($C$553,"EBITDA_SEQUENTIAL_GROWTH","FQ3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76" s="1" t="e">
        <f ca="1">_xll.BDH($C$553,"OPERATING_INCOME_SEQ_GROWTH","FQ3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76" s="1" t="e">
        <f ca="1">_xll.BDH($C$553,"NET_INCOME_TO_COMMON_SEQ_GROWTH","FQ3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76" s="1" t="e">
        <f ca="1">_xll.BDH($C$553,"EPS_DILUTED_SEQUENTIAL_GROWTH","FQ3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76" s="1" t="e">
        <f ca="1">_xll.BDH($C$553,"DPS_SEQUENTIAL_GROWTH","FQ3 2018","FQ3 2018","Currency=INR","Period=FQ","BEST_FPERIOD_OVERRIDE=FQ","FILING_STATUS=OR","EQY_CONSOLIDATED=Y","Sort=A","Dates=H","DateFormat=P","Fill=—","Direction=H","UseDPDF=Y")</f>
        <v>#NAME?</v>
      </c>
      <c r="BL576" s="1" t="e">
        <f ca="1">_xll.BDH($C$553,"ACCOUNTS_RECEIVABLE_SEQ_GROWTH","FQ3 2018","FQ3 2018","Currency=INR","Period=FQ","BEST_FPERIOD_OVERRIDE=FQ","FILING_STATUS=OR","EQY_CONSOLIDATED=Y","Sort=A","Dates=H","DateFormat=P","Fill=—","Direction=H","UseDPDF=Y")</f>
        <v>#NAME?</v>
      </c>
      <c r="BM576" s="1" t="e">
        <f ca="1">_xll.BDH($C$553,"INVENTORY_SEQUENTIAL_GROWTH","FQ3 2018","FQ3 2018","Currency=INR","Period=FQ","BEST_FPERIOD_OVERRIDE=FQ","FILING_STATUS=OR","EQY_CONSOLIDATED=Y","Sort=A","Dates=H","DateFormat=P","Fill=—","Direction=H","UseDPDF=Y")</f>
        <v>#NAME?</v>
      </c>
      <c r="BN576" s="1" t="e">
        <f ca="1">_xll.BDH($C$553,"FIXED_ASSETS_SEQUENTIAL_GROWTH","FQ3 2018","FQ3 2018","Currency=INR","Period=FQ","BEST_FPERIOD_OVERRIDE=FQ","FILING_STATUS=OR","EQY_CONSOLIDATED=Y","Sort=A","Dates=H","DateFormat=P","Fill=—","Direction=H","UseDPDF=Y")</f>
        <v>#NAME?</v>
      </c>
      <c r="BO576" s="1" t="e">
        <f ca="1">_xll.BDH($C$553,"TOTAL_ASSETS_SEQUENTIAL_GROWTH","FQ3 2018","FQ3 2018","Currency=INR","Period=FQ","BEST_FPERIOD_OVERRIDE=FQ","FILING_STATUS=OR","EQY_CONSOLIDATED=Y","Sort=A","Dates=H","DateFormat=P","Fill=—","Direction=H","UseDPDF=Y")</f>
        <v>#NAME?</v>
      </c>
      <c r="BP576" s="1" t="e">
        <f ca="1">_xll.BDH($C$553,"MODIFIED_WORKING_CPTL_SEQ_GRWTH","FQ3 2018","FQ3 2018","Currency=INR","Period=FQ","BEST_FPERIOD_OVERRIDE=FQ","FILING_STATUS=OR","EQY_CONSOLIDATED=Y","Sort=A","Dates=H","DateFormat=P","Fill=—","Direction=H","UseDPDF=Y")</f>
        <v>#NAME?</v>
      </c>
      <c r="BQ576" s="1" t="e">
        <f ca="1">_xll.BDH($C$553,"WORKING_CAPITAL_SEQ_GROWTH","FQ3 2018","FQ3 2018","Currency=INR","Period=FQ","BEST_FPERIOD_OVERRIDE=FQ","FILING_STATUS=OR","EQY_CONSOLIDATED=Y","Sort=A","Dates=H","DateFormat=P","Fill=—","Direction=H","UseDPDF=Y")</f>
        <v>#NAME?</v>
      </c>
      <c r="BR576" s="1" t="e">
        <f ca="1">_xll.BDH($C$553,"ACCOUNTS_PAYABLE_SEQ_GROWTH","FQ3 2018","FQ3 2018","Currency=INR","Period=FQ","BEST_FPERIOD_OVERRIDE=FQ","FILING_STATUS=OR","EQY_CONSOLIDATED=Y","Sort=A","Dates=H","DateFormat=P","Fill=—","Direction=H","UseDPDF=Y")</f>
        <v>#NAME?</v>
      </c>
      <c r="BS576" s="1" t="e">
        <f ca="1">_xll.BDH($C$553,"ST_DEBT_SEQUENTIAL_GROWTH","FQ3 2018","FQ3 2018","Currency=INR","Period=FQ","BEST_FPERIOD_OVERRIDE=FQ","FILING_STATUS=OR","EQY_CONSOLIDATED=Y","Sort=A","Dates=H","DateFormat=P","Fill=—","Direction=H","UseDPDF=Y")</f>
        <v>#NAME?</v>
      </c>
      <c r="BT576" s="1" t="e">
        <f ca="1">_xll.BDH($C$553,"TOTAL_DEBT_SEQUENTIAL_GROWTH","FQ3 2018","FQ3 2018","Currency=INR","Period=FQ","BEST_FPERIOD_OVERRIDE=FQ","FILING_STATUS=OR","EQY_CONSOLIDATED=Y","Sort=A","Dates=H","DateFormat=P","Fill=—","Direction=H","UseDPDF=Y")</f>
        <v>#NAME?</v>
      </c>
      <c r="BU576" s="1" t="e">
        <f ca="1">_xll.BDH($C$553,"TOTAL_EQUITY_SEQUENTIAL_GROWTH","FQ3 2018","FQ3 2018","Currency=INR","Period=FQ","BEST_FPERIOD_OVERRIDE=FQ","FILING_STATUS=OR","EQY_CONSOLIDATED=Y","Sort=A","Dates=H","DateFormat=P","Fill=—","Direction=H","UseDPDF=Y")</f>
        <v>#NAME?</v>
      </c>
      <c r="BV576" s="1" t="e">
        <f ca="1">_xll.BDH($C$553,"TOTAL_CAPITAL_SEQUENTIAL_GROWTH","FQ3 2018","FQ3 2018","Currency=INR","Period=FQ","BEST_FPERIOD_OVERRIDE=FQ","FILING_STATUS=OR","EQY_CONSOLIDATED=Y","Sort=A","Dates=H","DateFormat=P","Fill=—","Direction=H","UseDPDF=Y")</f>
        <v>#NAME?</v>
      </c>
      <c r="BW576" s="1" t="e">
        <f ca="1">_xll.BDH($C$553,"BPS_SEQUENTIAL_GROWTH","FQ3 2018","FQ3 2018","Currency=INR","Period=FQ","BEST_FPERIOD_OVERRIDE=FQ","FILING_STATUS=OR","EQY_CONSOLIDATED=Y","Sort=A","Dates=H","DateFormat=P","Fill=—","Direction=H","UseDPDF=Y")</f>
        <v>#NAME?</v>
      </c>
      <c r="BX576" s="1" t="e">
        <f ca="1">_xll.BDH($C$553,"CFO_SEQUENTIAL_GROWTH","FQ3 2018","FQ3 2018","Currency=INR","Period=FQ","BEST_FPERIOD_OVERRIDE=FQ","FILING_STATUS=OR","EQY_CONSOLIDATED=Y","Sort=A","Dates=H","DateFormat=P","Fill=—","Direction=H","UseDPDF=Y")</f>
        <v>#NAME?</v>
      </c>
      <c r="BY576" s="2" t="e">
        <f ca="1">_xll.BDH($C$553,"SHORT_AND_LONG_TERM_DEBT","FQ3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76" s="2" t="e">
        <f ca="1">_xll.BDH($C$553,"BS_ST_BORROW","FQ3 2018","FQ3 2018","Currency=INR","Period=FQ","BEST_FPERIOD_OVERRIDE=FQ","FILING_STATUS=OR","EQY_CONSOLIDATED=Y","SCALING_FORMAT=MLN","Sort=A","Dates=H","DateFormat=P","Fill=—","Direction=H","UseDPDF=Y")</f>
        <v>#NAME?</v>
      </c>
      <c r="CA576" s="2" t="e">
        <f ca="1">_xll.BDH($C$553,"BS_LT_BORROW","FQ3 2018","FQ3 2018","Currency=INR","Period=FQ","BEST_FPERIOD_OVERRIDE=FQ","FILING_STATUS=OR","EQY_CONSOLIDATED=Y","SCALING_FORMAT=MLN","Sort=A","Dates=H","DateFormat=P","Fill=—","Direction=H","UseDPDF=Y")</f>
        <v>#NAME?</v>
      </c>
      <c r="CB576" s="1" t="e">
        <f ca="1">_xll.BDH($C$553,"TOT_DEBT_TO_EBITDA","FQ3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76" s="1" t="e">
        <f ca="1">_xll.BDH($C$553,"NET_DEBT_TO_EBITDA","FQ3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76" s="1" t="e">
        <f ca="1">_xll.BDH($C$553,"TOTAL_DEBT_TO_EBIT","FQ3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76" s="1" t="e">
        <f ca="1">_xll.BDH($C$553,"NET_DEBT_TO_EBIT","FQ3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576" s="1" t="e">
        <f ca="1">_xll.BDH($C$553,"EBITDA_TO_INTEREST_EXPN","FQ3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76" s="1" t="e">
        <f ca="1">_xll.BDH($C$553,"COM_EQY_TO_TOT_ASSET","FQ3 2018","FQ3 2018","Currency=INR","Period=FQ","BEST_FPERIOD_OVERRIDE=FQ","FILING_STATUS=OR","EQY_CONSOLIDATED=Y","Sort=A","Dates=H","DateFormat=P","Fill=—","Direction=H","UseDPDF=Y")</f>
        <v>#NAME?</v>
      </c>
      <c r="CH576" s="1" t="e">
        <f ca="1">_xll.BDH($C$553,"LT_DEBT_TO_TOT_EQY","FQ3 2018","FQ3 2018","Currency=INR","Period=FQ","BEST_FPERIOD_OVERRIDE=FQ","FILING_STATUS=OR","EQY_CONSOLIDATED=Y","Sort=A","Dates=H","DateFormat=P","Fill=—","Direction=H","UseDPDF=Y")</f>
        <v>#NAME?</v>
      </c>
      <c r="CI576" s="1" t="e">
        <f ca="1">_xll.BDH($C$553,"LT_DEBT_TO_TOT_CAP","FQ3 2018","FQ3 2018","Currency=INR","Period=FQ","BEST_FPERIOD_OVERRIDE=FQ","FILING_STATUS=OR","EQY_CONSOLIDATED=Y","Sort=A","Dates=H","DateFormat=P","Fill=—","Direction=H","UseDPDF=Y")</f>
        <v>#NAME?</v>
      </c>
      <c r="CJ576" s="1" t="e">
        <f ca="1">_xll.BDH($C$553,"LT_DEBT_TO_TOT_ASSET","FQ3 2018","FQ3 2018","Currency=INR","Period=FQ","BEST_FPERIOD_OVERRIDE=FQ","FILING_STATUS=OR","EQY_CONSOLIDATED=Y","Sort=A","Dates=H","DateFormat=P","Fill=—","Direction=H","UseDPDF=Y")</f>
        <v>#NAME?</v>
      </c>
      <c r="CK576" s="1" t="e">
        <f ca="1">_xll.BDH($C$553,"TOT_DEBT_TO_TOT_EQY","FQ3 2018","FQ3 2018","Currency=INR","Period=FQ","BEST_FPERIOD_OVERRIDE=FQ","FILING_STATUS=OR","EQY_CONSOLIDATED=Y","Sort=A","Dates=H","DateFormat=P","Fill=—","Direction=H","UseDPDF=Y")</f>
        <v>#NAME?</v>
      </c>
      <c r="CL576" s="1" t="e">
        <f ca="1">_xll.BDH($C$553,"TOT_DEBT_TO_TOT_CAP","FQ3 2018","FQ3 2018","Currency=INR","Period=FQ","BEST_FPERIOD_OVERRIDE=FQ","FILING_STATUS=OR","EQY_CONSOLIDATED=Y","Sort=A","Dates=H","DateFormat=P","Fill=—","Direction=H","UseDPDF=Y")</f>
        <v>#NAME?</v>
      </c>
      <c r="CM576" s="1" t="e">
        <f ca="1">_xll.BDH($C$553,"TOT_DEBT_TO_TOT_ASSET","FQ3 2018","FQ3 2018","Currency=INR","Period=FQ","BEST_FPERIOD_OVERRIDE=FQ","FILING_STATUS=OR","EQY_CONSOLIDATED=Y","Sort=A","Dates=H","DateFormat=P","Fill=—","Direction=H","UseDPDF=Y")</f>
        <v>#NAME?</v>
      </c>
      <c r="CN576" s="1" t="e">
        <f ca="1">_xll.BDH($C$553,"NET_DEBT_TO_SHRHLDR_EQTY","FQ3 2018","FQ3 2018","Currency=INR","Period=FQ","BEST_FPERIOD_OVERRIDE=FQ","FILING_STATUS=OR","EQY_CONSOLIDATED=Y","Sort=A","Dates=H","DateFormat=P","Fill=—","Direction=H","UseDPDF=Y")</f>
        <v>#NAME?</v>
      </c>
      <c r="CO576" s="1" t="e">
        <f ca="1">_xll.BDH($C$553,"NET_DEBT_%_CAPITAL","FQ3 2018","FQ3 2018","Currency=INR","Period=FQ","BEST_FPERIOD_OVERRIDE=FQ","FILING_STATUS=OR","EQY_CONSOLIDATED=Y","Sort=A","Dates=H","DateFormat=P","Fill=—","Direction=H","UseDPDF=Y")</f>
        <v>#NAME?</v>
      </c>
      <c r="CP576" s="2" t="e">
        <f ca="1">_xll.BDH($C$553,"EBITDA","FQ3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76" s="2" t="e">
        <f ca="1">_xll.BDH($C$553,"EBITDA_AFTER_CAPEX","FQ3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76" s="2" t="e">
        <f ca="1">_xll.BDH($C$553,"IS_OPER_INC","FQ3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76" s="1" t="e">
        <f ca="1">_xll.BDH($C$553,"CASH_RATIO","FQ3 2018","FQ3 2018","Currency=INR","Period=FQ","BEST_FPERIOD_OVERRIDE=FQ","FILING_STATUS=OR","EQY_CONSOLIDATED=Y","Sort=A","Dates=H","DateFormat=P","Fill=—","Direction=H","UseDPDF=Y")</f>
        <v>#NAME?</v>
      </c>
      <c r="CT576" s="1" t="e">
        <f ca="1">_xll.BDH($C$553,"CUR_RATIO","FQ3 2018","FQ3 2018","Currency=INR","Period=FQ","BEST_FPERIOD_OVERRIDE=FQ","FILING_STATUS=OR","EQY_CONSOLIDATED=Y","Sort=A","Dates=H","DateFormat=P","Fill=—","Direction=H","UseDPDF=Y")</f>
        <v>#NAME?</v>
      </c>
      <c r="CU576" s="1" t="e">
        <f ca="1">_xll.BDH($C$553,"QUICK_RATIO","FQ3 2018","FQ3 2018","Currency=INR","Period=FQ","BEST_FPERIOD_OVERRIDE=FQ","FILING_STATUS=OR","EQY_CONSOLIDATED=Y","Sort=A","Dates=H","DateFormat=P","Fill=—","Direction=H","UseDPDF=Y")</f>
        <v>#NAME?</v>
      </c>
      <c r="CV576" s="1" t="e">
        <f ca="1">_xll.BDH($C$553,"ALTMAN_Z_SCORE","FQ3 2018","FQ3 2018","Currency=INR","Period=FQ","BEST_FPERIOD_OVERRIDE=FQ","FILING_STATUS=OR","EQY_CONSOLIDATED=Y","Sort=A","Dates=H","DateFormat=P","Fill=—","Direction=H","UseDPDF=Y")</f>
        <v>#NAME?</v>
      </c>
      <c r="CW576" s="3" t="e">
        <f ca="1">_xll.BDH($C$553,"ACCT_RCV_TURN","FQ3 2018","FQ3 2018","Currency=INR","Period=FQ","BEST_FPERIOD_OVERRIDE=FQ","FILING_STATUS=OR","EQY_CONSOLIDATED=Y","FA_ADJUSTED=GAAP","Sort=A","Dates=H","DateFormat=P","Fill=—","Direction=H","UseDPDF=Y")</f>
        <v>#NAME?</v>
      </c>
      <c r="CX576" s="1" t="e">
        <f ca="1">_xll.BDH($C$553,"ACCT_RCV_DAYS","FQ3 2018","FQ3 2018","Currency=INR","Period=FQ","BEST_FPERIOD_OVERRIDE=FQ","FILING_STATUS=OR","EQY_CONSOLIDATED=Y","FA_ADJUSTED=GAAP","Sort=A","Dates=H","DateFormat=P","Fill=—","Direction=H","UseDPDF=Y")</f>
        <v>#NAME?</v>
      </c>
      <c r="CY576" s="3" t="e">
        <f ca="1">_xll.BDH($C$553,"INVENT_TURN","FQ3 2018","FQ3 2018","Currency=INR","Period=FQ","BEST_FPERIOD_OVERRIDE=FQ","FILING_STATUS=OR","EQY_CONSOLIDATED=Y","FA_ADJUSTED=GAAP","Sort=A","Dates=H","DateFormat=P","Fill=—","Direction=H","UseDPDF=Y")</f>
        <v>#NAME?</v>
      </c>
      <c r="CZ576" s="1" t="e">
        <f ca="1">_xll.BDH($C$553,"INVENT_DAYS","FQ3 2018","FQ3 2018","Currency=INR","Period=FQ","BEST_FPERIOD_OVERRIDE=FQ","FILING_STATUS=OR","EQY_CONSOLIDATED=Y","FA_ADJUSTED=GAAP","Sort=A","Dates=H","DateFormat=P","Fill=—","Direction=H","UseDPDF=Y")</f>
        <v>#NAME?</v>
      </c>
      <c r="DA576" s="3" t="e">
        <f ca="1">_xll.BDH($C$553,"ACCOUNTS_PAYABLE_TURNOVER","FQ3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76" s="1" t="e">
        <f ca="1">_xll.BDH($C$553,"ACCOUNTS_PAYABLE_TURNOVER_DAYS","FQ3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76" s="3" t="e">
        <f ca="1">_xll.BDH($C$553,"CASH_CONVERSION_CYCLE","FQ3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76" s="3" t="e">
        <f ca="1">_xll.BDH($C$553,"INV_TO_CASH_DAYS","FQ3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576" s="4" t="e">
        <f ca="1">_xll.BDH($C$553,"BS_INVENTORIES","FQ3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576" s="2" t="e">
        <f ca="1">_xll.BDH($C$553,"INVTRY_RAW_MATERIALS","FQ3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76" s="2" t="e">
        <f ca="1">_xll.BDH($C$553,"INVTRY_IN_PROGRESS","FQ3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76" s="2" t="e">
        <f ca="1">_xll.BDH($C$553,"INVTRY_FINISHED_GOODS","FQ3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76" s="2" t="e">
        <f ca="1">_xll.BDH($C$553,"BS_OTHER_INV","FQ3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77" spans="1:113" x14ac:dyDescent="0.3">
      <c r="A577" s="6"/>
      <c r="B577" s="6"/>
      <c r="C577" s="6"/>
      <c r="D577" s="6"/>
      <c r="E577" t="s">
        <v>7</v>
      </c>
      <c r="F577" t="e">
        <f ca="1">_xll.BDH($C$553,"RETURN_COM_EQY","FQ4 2018","FQ4 2018","Currency=INR","Period=FQ","BEST_FPERIOD_OVERRIDE=FQ","FILING_STATUS=OR","EQY_CONSOLIDATED=Y","FA_ADJUSTED=GAAP","Sort=A","Dates=H","DateFormat=P","Fill=—","Direction=H","UseDPDF=Y")</f>
        <v>#NAME?</v>
      </c>
      <c r="G577" t="e">
        <f ca="1">_xll.BDH($C$553,"RETURN_ON_ASSET","FQ4 2018","FQ4 2018","Currency=INR","Period=FQ","BEST_FPERIOD_OVERRIDE=FQ","FILING_STATUS=OR","EQY_CONSOLIDATED=Y","FA_ADJUSTED=GAAP","Sort=A","Dates=H","DateFormat=P","Fill=—","Direction=H","UseDPDF=Y")</f>
        <v>#NAME?</v>
      </c>
      <c r="H577" t="e">
        <f ca="1">_xll.BDH($C$553,"RETURN_ON_CAP","FQ4 2018","FQ4 2018","Currency=INR","Period=FQ","BEST_FPERIOD_OVERRIDE=FQ","FILING_STATUS=OR","EQY_CONSOLIDATED=Y","FA_ADJUSTED=GAAP","Sort=A","Dates=H","DateFormat=P","Fill=—","Direction=H","UseDPDF=Y")</f>
        <v>#NAME?</v>
      </c>
      <c r="I577" t="e">
        <f ca="1">_xll.BDH($C$553,"RETURN_ON_INV_CAPITAL","FQ4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77" t="e">
        <f ca="1">_xll.BDH($C$553,"EBITDA_TO_REVENUE","FQ4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577" t="e">
        <f ca="1">_xll.BDH($C$553,"OPER_MARGIN","FQ4 2018","FQ4 2018","Currency=INR","Period=FQ","BEST_FPERIOD_OVERRIDE=FQ","FILING_STATUS=OR","EQY_CONSOLIDATED=Y","FA_ADJUSTED=GAAP","Sort=A","Dates=H","DateFormat=P","Fill=—","Direction=H","UseDPDF=Y")</f>
        <v>#NAME?</v>
      </c>
      <c r="L577" t="e">
        <f ca="1">_xll.BDH($C$553,"INCREMENTAL_OPERATING_MARGIN","FQ4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77" t="e">
        <f ca="1">_xll.BDH($C$553,"PRETAX_INC_TO_NET_SALES","FQ4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77" t="e">
        <f ca="1">_xll.BDH($C$553,"INC_BEF_XO_ITEMS_TO_NET_SALES","FQ4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77" t="e">
        <f ca="1">_xll.BDH($C$553,"PROF_MARGIN","FQ4 2018","FQ4 2018","Currency=INR","Period=FQ","BEST_FPERIOD_OVERRIDE=FQ","FILING_STATUS=OR","EQY_CONSOLIDATED=Y","FA_ADJUSTED=GAAP","Sort=A","Dates=H","DateFormat=P","Fill=—","Direction=H","UseDPDF=Y")</f>
        <v>#NAME?</v>
      </c>
      <c r="P577" t="e">
        <f ca="1">_xll.BDH($C$553,"NET_INCOME_TO_COMMON_MARGIN","FQ4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77" t="e">
        <f ca="1">_xll.BDH($C$553,"EFF_TAX_RATE","FQ4 2018","FQ4 2018","Currency=INR","Period=FQ","BEST_FPERIOD_OVERRIDE=FQ","FILING_STATUS=OR","EQY_CONSOLIDATED=Y","FA_ADJUSTED=GAAP","Sort=A","Dates=H","DateFormat=P","Fill=—","Direction=H","UseDPDF=Y")</f>
        <v>#NAME?</v>
      </c>
      <c r="R577" t="e">
        <f ca="1">_xll.BDH($C$553,"DVD_PAYOUT_RATIO","FQ4 2018","FQ4 2018","Currency=INR","Period=FQ","BEST_FPERIOD_OVERRIDE=FQ","FILING_STATUS=OR","EQY_CONSOLIDATED=Y","FA_ADJUSTED=GAAP","Sort=A","Dates=H","DateFormat=P","Fill=—","Direction=H","UseDPDF=Y")</f>
        <v>#NAME?</v>
      </c>
      <c r="S577" t="e">
        <f ca="1">_xll.BDH($C$553,"SUSTAIN_GROWTH_RT","FQ4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577" s="1" t="e">
        <f ca="1">_xll.BDH($C$553,"SALES_GROWTH","FQ4 2018","FQ4 2018","Currency=INR","Period=FQ","BEST_FPERIOD_OVERRIDE=FQ","FILING_STATUS=OR","EQY_CONSOLIDATED=Y","FA_ADJUSTED=GAAP","Sort=A","Dates=H","DateFormat=P","Fill=—","Direction=H","UseDPDF=Y")</f>
        <v>#NAME?</v>
      </c>
      <c r="U577" s="1" t="e">
        <f ca="1">_xll.BDH($C$553,"EBITDA_GROWTH","FQ4 2018","FQ4 2018","Currency=INR","Period=FQ","BEST_FPERIOD_OVERRIDE=FQ","FILING_STATUS=OR","EQY_CONSOLIDATED=Y","FA_ADJUSTED=GAAP","Sort=A","Dates=H","DateFormat=P","Fill=—","Direction=H","UseDPDF=Y")</f>
        <v>#NAME?</v>
      </c>
      <c r="V577" s="1" t="e">
        <f ca="1">_xll.BDH($C$553,"OPER_INC_GROWTH","FQ4 2018","FQ4 2018","Currency=INR","Period=FQ","BEST_FPERIOD_OVERRIDE=FQ","FILING_STATUS=OR","EQY_CONSOLIDATED=Y","FA_ADJUSTED=GAAP","Sort=A","Dates=H","DateFormat=P","Fill=—","Direction=H","UseDPDF=Y")</f>
        <v>#NAME?</v>
      </c>
      <c r="W577" s="1" t="e">
        <f ca="1">_xll.BDH($C$553,"EARN_FOR_COM_GROWTH","FQ4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77" s="1" t="e">
        <f ca="1">_xll.BDH($C$553,"DILUTED_EPS_AFT_XO_ITEMS_GROWTH","FQ4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77" s="1" t="e">
        <f ca="1">_xll.BDH($C$553,"DIVIDEND_PER_SHARE_1_YEAR_GROWTH","FQ4 2018","FQ4 2018","Currency=INR","Period=FQ","BEST_FPERIOD_OVERRIDE=FQ","FILING_STATUS=OR","EQY_CONSOLIDATED=Y","Sort=A","Dates=H","DateFormat=P","Fill=—","Direction=H","UseDPDF=Y")</f>
        <v>#NAME?</v>
      </c>
      <c r="Z577" s="1" t="e">
        <f ca="1">_xll.BDH($C$553,"ACCOUNTS_RECEIVABLE_GROWTH","FQ4 2018","FQ4 2018","Currency=INR","Period=FQ","BEST_FPERIOD_OVERRIDE=FQ","FILING_STATUS=OR","EQY_CONSOLIDATED=Y","Sort=A","Dates=H","DateFormat=P","Fill=—","Direction=H","UseDPDF=Y")</f>
        <v>#NAME?</v>
      </c>
      <c r="AA577" s="1" t="e">
        <f ca="1">_xll.BDH($C$553,"INVENTORY_GROWTH","FQ4 2018","FQ4 2018","Currency=INR","Period=FQ","BEST_FPERIOD_OVERRIDE=FQ","FILING_STATUS=OR","EQY_CONSOLIDATED=Y","Sort=A","Dates=H","DateFormat=P","Fill=—","Direction=H","UseDPDF=Y")</f>
        <v>#NAME?</v>
      </c>
      <c r="AB577" s="1" t="e">
        <f ca="1">_xll.BDH($C$553,"NET_FIXED_ASSETS_1_YEAR_GROWTH","FQ4 2018","FQ4 2018","Currency=INR","Period=FQ","BEST_FPERIOD_OVERRIDE=FQ","FILING_STATUS=OR","EQY_CONSOLIDATED=Y","Sort=A","Dates=H","DateFormat=P","Fill=—","Direction=H","UseDPDF=Y")</f>
        <v>#NAME?</v>
      </c>
      <c r="AC577" s="1" t="e">
        <f ca="1">_xll.BDH($C$553,"ASSET_GROWTH","FQ4 2018","FQ4 2018","Currency=INR","Period=FQ","BEST_FPERIOD_OVERRIDE=FQ","FILING_STATUS=OR","EQY_CONSOLIDATED=Y","Sort=A","Dates=H","DateFormat=P","Fill=—","Direction=H","UseDPDF=Y")</f>
        <v>#NAME?</v>
      </c>
      <c r="AD577" s="1" t="e">
        <f ca="1">_xll.BDH($C$553,"MODIFIED_WORK_CAP_GROWTH","FQ4 2018","FQ4 2018","Currency=INR","Period=FQ","BEST_FPERIOD_OVERRIDE=FQ","FILING_STATUS=OR","EQY_CONSOLIDATED=Y","Sort=A","Dates=H","DateFormat=P","Fill=—","Direction=H","UseDPDF=Y")</f>
        <v>#NAME?</v>
      </c>
      <c r="AE577" s="1" t="e">
        <f ca="1">_xll.BDH($C$553,"WORK_CAP_GROWTH","FQ4 2018","FQ4 2018","Currency=INR","Period=FQ","BEST_FPERIOD_OVERRIDE=FQ","FILING_STATUS=OR","EQY_CONSOLIDATED=Y","Sort=A","Dates=H","DateFormat=P","Fill=—","Direction=H","UseDPDF=Y")</f>
        <v>#NAME?</v>
      </c>
      <c r="AF577" s="1" t="e">
        <f ca="1">_xll.BDH($C$553,"ACCOUNTS_PAYABLE_GROWTH_1YR","FQ4 2018","FQ4 2018","Currency=INR","Period=FQ","BEST_FPERIOD_OVERRIDE=FQ","FILING_STATUS=OR","EQY_CONSOLIDATED=Y","Sort=A","Dates=H","DateFormat=P","Fill=—","Direction=H","UseDPDF=Y")</f>
        <v>#NAME?</v>
      </c>
      <c r="AG577" s="1" t="e">
        <f ca="1">_xll.BDH($C$553,"SHORT_TERM_DEBT_1_YEAR_GROWTH","FQ4 2018","FQ4 2018","Currency=INR","Period=FQ","BEST_FPERIOD_OVERRIDE=FQ","FILING_STATUS=OR","EQY_CONSOLIDATED=Y","Sort=A","Dates=H","DateFormat=P","Fill=—","Direction=H","UseDPDF=Y")</f>
        <v>#NAME?</v>
      </c>
      <c r="AH577" s="1" t="e">
        <f ca="1">_xll.BDH($C$553,"TOTAL_DEBT_1_YEAR_GROWTH","FQ4 2018","FQ4 2018","Currency=INR","Period=FQ","BEST_FPERIOD_OVERRIDE=FQ","FILING_STATUS=OR","EQY_CONSOLIDATED=Y","Sort=A","Dates=H","DateFormat=P","Fill=—","Direction=H","UseDPDF=Y")</f>
        <v>#NAME?</v>
      </c>
      <c r="AI577" s="1" t="e">
        <f ca="1">_xll.BDH($C$553,"TOTAL_EQUITY_1_YEAR_GROWTH","FQ4 2018","FQ4 2018","Currency=INR","Period=FQ","BEST_FPERIOD_OVERRIDE=FQ","FILING_STATUS=OR","EQY_CONSOLIDATED=Y","Sort=A","Dates=H","DateFormat=P","Fill=—","Direction=H","UseDPDF=Y")</f>
        <v>#NAME?</v>
      </c>
      <c r="AJ577" s="1" t="e">
        <f ca="1">_xll.BDH($C$553,"GROWTH_IN_CAP","FQ4 2018","FQ4 2018","Currency=INR","Period=FQ","BEST_FPERIOD_OVERRIDE=FQ","FILING_STATUS=OR","EQY_CONSOLIDATED=Y","Sort=A","Dates=H","DateFormat=P","Fill=—","Direction=H","UseDPDF=Y")</f>
        <v>#NAME?</v>
      </c>
      <c r="AK577" s="1" t="e">
        <f ca="1">_xll.BDH($C$553,"BVPS_GROWTH","FQ4 2018","FQ4 2018","Currency=INR","Period=FQ","BEST_FPERIOD_OVERRIDE=FQ","FILING_STATUS=OR","EQY_CONSOLIDATED=Y","Sort=A","Dates=H","DateFormat=P","Fill=—","Direction=H","UseDPDF=Y")</f>
        <v>#NAME?</v>
      </c>
      <c r="AL577" s="1" t="e">
        <f ca="1">_xll.BDH($C$553,"CASH_FLOW_GROWTH","FQ4 2018","FQ4 2018","Currency=INR","Period=FQ","BEST_FPERIOD_OVERRIDE=FQ","FILING_STATUS=OR","EQY_CONSOLIDATED=Y","Sort=A","Dates=H","DateFormat=P","Fill=—","Direction=H","UseDPDF=Y")</f>
        <v>#NAME?</v>
      </c>
      <c r="AM577" s="1" t="e">
        <f ca="1">_xll.BDH($C$553,"GEO_GROW_NET_SALES","FQ4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77" s="1" t="e">
        <f ca="1">_xll.BDH($C$553,"GEO_GROW_EBITDA","FQ4 2018","FQ4 2018","Currency=INR","Period=FQ","BEST_FPERIOD_OVERRIDE=FQ","FILING_STATUS=OR","EQY_CONSOLIDATED=Y","FA_ADJUSTED=GAAP","Sort=A","Dates=H","DateFormat=P","Fill=—","Direction=H","UseDPDF=Y")</f>
        <v>#NAME?</v>
      </c>
      <c r="AO577" s="1" t="e">
        <f ca="1">_xll.BDH($C$553,"GEO_GROW_OPER_INC","FQ4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77" s="1" t="e">
        <f ca="1">_xll.BDH($C$553,"NET_INCOME_TO_COMMON_5_YR_GROWTH","FQ4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77" s="1" t="e">
        <f ca="1">_xll.BDH($C$553,"5Y_GEO_GROWTH_DILUTED_EPS","FQ4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77" s="1" t="e">
        <f ca="1">_xll.BDH($C$553,"GEO_GROW_DVD_PER_SH","FQ4 2018","FQ4 2018","Currency=INR","Period=FQ","BEST_FPERIOD_OVERRIDE=FQ","FILING_STATUS=OR","EQY_CONSOLIDATED=Y","Sort=A","Dates=H","DateFormat=P","Fill=—","Direction=H","UseDPDF=Y")</f>
        <v>#NAME?</v>
      </c>
      <c r="AS577" s="1" t="e">
        <f ca="1">_xll.BDH($C$553,"ACCOUNTS_RECEIVABLE_5_YR_GROWTH","FQ4 2018","FQ4 2018","Currency=INR","Period=FQ","BEST_FPERIOD_OVERRIDE=FQ","FILING_STATUS=OR","EQY_CONSOLIDATED=Y","Sort=A","Dates=H","DateFormat=P","Fill=—","Direction=H","UseDPDF=Y")</f>
        <v>#NAME?</v>
      </c>
      <c r="AT577" s="1" t="e">
        <f ca="1">_xll.BDH($C$553,"INVENTORY_5_YEAR_GROWTH","FQ4 2018","FQ4 2018","Currency=INR","Period=FQ","BEST_FPERIOD_OVERRIDE=FQ","FILING_STATUS=OR","EQY_CONSOLIDATED=Y","Sort=A","Dates=H","DateFormat=P","Fill=—","Direction=H","UseDPDF=Y")</f>
        <v>#NAME?</v>
      </c>
      <c r="AU577" s="1" t="e">
        <f ca="1">_xll.BDH($C$553,"NET_FIXED_ASSETS_5_YEAR_GROWTH","FQ4 2018","FQ4 2018","Currency=INR","Period=FQ","BEST_FPERIOD_OVERRIDE=FQ","FILING_STATUS=OR","EQY_CONSOLIDATED=Y","Sort=A","Dates=H","DateFormat=P","Fill=—","Direction=H","UseDPDF=Y")</f>
        <v>#NAME?</v>
      </c>
      <c r="AV577" s="1" t="e">
        <f ca="1">_xll.BDH($C$553,"GEO_GROW_TOT_ASSET","FQ4 2018","FQ4 2018","Currency=INR","Period=FQ","BEST_FPERIOD_OVERRIDE=FQ","FILING_STATUS=OR","EQY_CONSOLIDATED=Y","Sort=A","Dates=H","DateFormat=P","Fill=—","Direction=H","UseDPDF=Y")</f>
        <v>#NAME?</v>
      </c>
      <c r="AW577" s="1" t="e">
        <f ca="1">_xll.BDH($C$553,"MODIFIED_WORKING_CPTL_5YR_GRWTH","FQ4 2018","FQ4 2018","Currency=INR","Period=FQ","BEST_FPERIOD_OVERRIDE=FQ","FILING_STATUS=OR","EQY_CONSOLIDATED=Y","Sort=A","Dates=H","DateFormat=P","Fill=—","Direction=H","UseDPDF=Y")</f>
        <v>#NAME?</v>
      </c>
      <c r="AX577" s="1" t="e">
        <f ca="1">_xll.BDH($C$553,"WORKING_CAPITAL_5_YEAR_GROWTH","FQ4 2018","FQ4 2018","Currency=INR","Period=FQ","BEST_FPERIOD_OVERRIDE=FQ","FILING_STATUS=OR","EQY_CONSOLIDATED=Y","Sort=A","Dates=H","DateFormat=P","Fill=—","Direction=H","UseDPDF=Y")</f>
        <v>#NAME?</v>
      </c>
      <c r="AY577" s="1" t="e">
        <f ca="1">_xll.BDH($C$553,"ACCOUNTS_PAYABLE_5_YEAR_GROWTH","FQ4 2018","FQ4 2018","Currency=INR","Period=FQ","BEST_FPERIOD_OVERRIDE=FQ","FILING_STATUS=OR","EQY_CONSOLIDATED=Y","Sort=A","Dates=H","DateFormat=P","Fill=—","Direction=H","UseDPDF=Y")</f>
        <v>#NAME?</v>
      </c>
      <c r="AZ577" s="1" t="e">
        <f ca="1">_xll.BDH($C$553,"SHORT_TERM_DEBT_5_YEAR_GROWTH","FQ4 2018","FQ4 2018","Currency=INR","Period=FQ","BEST_FPERIOD_OVERRIDE=FQ","FILING_STATUS=OR","EQY_CONSOLIDATED=Y","Sort=A","Dates=H","DateFormat=P","Fill=—","Direction=H","UseDPDF=Y")</f>
        <v>#NAME?</v>
      </c>
      <c r="BA577" s="1" t="e">
        <f ca="1">_xll.BDH($C$553,"TOTAL_DEBT_5_YEAR_GROWTH","FQ4 2018","FQ4 2018","Currency=INR","Period=FQ","BEST_FPERIOD_OVERRIDE=FQ","FILING_STATUS=OR","EQY_CONSOLIDATED=Y","Sort=A","Dates=H","DateFormat=P","Fill=—","Direction=H","UseDPDF=Y")</f>
        <v>#NAME?</v>
      </c>
      <c r="BB577" s="1" t="e">
        <f ca="1">_xll.BDH($C$553,"GEO_GROW_TOT_SHRHLDR_EQY","FQ4 2018","FQ4 2018","Currency=INR","Period=FQ","BEST_FPERIOD_OVERRIDE=FQ","FILING_STATUS=OR","EQY_CONSOLIDATED=Y","Sort=A","Dates=H","DateFormat=P","Fill=—","Direction=H","UseDPDF=Y")</f>
        <v>#NAME?</v>
      </c>
      <c r="BC577" s="1" t="e">
        <f ca="1">_xll.BDH($C$553,"TOTAL_CAPITAL_5_YEAR_GROWTH","FQ4 2018","FQ4 2018","Currency=INR","Period=FQ","BEST_FPERIOD_OVERRIDE=FQ","FILING_STATUS=OR","EQY_CONSOLIDATED=Y","Sort=A","Dates=H","DateFormat=P","Fill=—","Direction=H","UseDPDF=Y")</f>
        <v>#NAME?</v>
      </c>
      <c r="BD577" s="1" t="e">
        <f ca="1">_xll.BDH($C$553,"GEO_GROW_BOOK_VAL","FQ4 2018","FQ4 2018","Currency=INR","Period=FQ","BEST_FPERIOD_OVERRIDE=FQ","FILING_STATUS=OR","EQY_CONSOLIDATED=Y","Sort=A","Dates=H","DateFormat=P","Fill=—","Direction=H","UseDPDF=Y")</f>
        <v>#NAME?</v>
      </c>
      <c r="BE577" s="1" t="e">
        <f ca="1">_xll.BDH($C$553,"GEO_GROW_CASH_OPER_ACT","FQ4 2018","FQ4 2018","Currency=INR","Period=FQ","BEST_FPERIOD_OVERRIDE=FQ","FILING_STATUS=OR","EQY_CONSOLIDATED=Y","Sort=A","Dates=H","DateFormat=P","Fill=—","Direction=H","UseDPDF=Y")</f>
        <v>#NAME?</v>
      </c>
      <c r="BF577" s="1" t="e">
        <f ca="1">_xll.BDH($C$553,"REVENUE_SEQUENTIAL_GROWTH","FQ4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77" s="1" t="e">
        <f ca="1">_xll.BDH($C$553,"EBITDA_SEQUENTIAL_GROWTH","FQ4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77" s="1" t="e">
        <f ca="1">_xll.BDH($C$553,"OPERATING_INCOME_SEQ_GROWTH","FQ4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77" s="1" t="e">
        <f ca="1">_xll.BDH($C$553,"NET_INCOME_TO_COMMON_SEQ_GROWTH","FQ4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77" s="1" t="e">
        <f ca="1">_xll.BDH($C$553,"EPS_DILUTED_SEQUENTIAL_GROWTH","FQ4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77" s="1" t="e">
        <f ca="1">_xll.BDH($C$553,"DPS_SEQUENTIAL_GROWTH","FQ4 2018","FQ4 2018","Currency=INR","Period=FQ","BEST_FPERIOD_OVERRIDE=FQ","FILING_STATUS=OR","EQY_CONSOLIDATED=Y","Sort=A","Dates=H","DateFormat=P","Fill=—","Direction=H","UseDPDF=Y")</f>
        <v>#NAME?</v>
      </c>
      <c r="BL577" s="1" t="e">
        <f ca="1">_xll.BDH($C$553,"ACCOUNTS_RECEIVABLE_SEQ_GROWTH","FQ4 2018","FQ4 2018","Currency=INR","Period=FQ","BEST_FPERIOD_OVERRIDE=FQ","FILING_STATUS=OR","EQY_CONSOLIDATED=Y","Sort=A","Dates=H","DateFormat=P","Fill=—","Direction=H","UseDPDF=Y")</f>
        <v>#NAME?</v>
      </c>
      <c r="BM577" s="1" t="e">
        <f ca="1">_xll.BDH($C$553,"INVENTORY_SEQUENTIAL_GROWTH","FQ4 2018","FQ4 2018","Currency=INR","Period=FQ","BEST_FPERIOD_OVERRIDE=FQ","FILING_STATUS=OR","EQY_CONSOLIDATED=Y","Sort=A","Dates=H","DateFormat=P","Fill=—","Direction=H","UseDPDF=Y")</f>
        <v>#NAME?</v>
      </c>
      <c r="BN577" s="1" t="e">
        <f ca="1">_xll.BDH($C$553,"FIXED_ASSETS_SEQUENTIAL_GROWTH","FQ4 2018","FQ4 2018","Currency=INR","Period=FQ","BEST_FPERIOD_OVERRIDE=FQ","FILING_STATUS=OR","EQY_CONSOLIDATED=Y","Sort=A","Dates=H","DateFormat=P","Fill=—","Direction=H","UseDPDF=Y")</f>
        <v>#NAME?</v>
      </c>
      <c r="BO577" s="1" t="e">
        <f ca="1">_xll.BDH($C$553,"TOTAL_ASSETS_SEQUENTIAL_GROWTH","FQ4 2018","FQ4 2018","Currency=INR","Period=FQ","BEST_FPERIOD_OVERRIDE=FQ","FILING_STATUS=OR","EQY_CONSOLIDATED=Y","Sort=A","Dates=H","DateFormat=P","Fill=—","Direction=H","UseDPDF=Y")</f>
        <v>#NAME?</v>
      </c>
      <c r="BP577" s="1" t="e">
        <f ca="1">_xll.BDH($C$553,"MODIFIED_WORKING_CPTL_SEQ_GRWTH","FQ4 2018","FQ4 2018","Currency=INR","Period=FQ","BEST_FPERIOD_OVERRIDE=FQ","FILING_STATUS=OR","EQY_CONSOLIDATED=Y","Sort=A","Dates=H","DateFormat=P","Fill=—","Direction=H","UseDPDF=Y")</f>
        <v>#NAME?</v>
      </c>
      <c r="BQ577" s="1" t="e">
        <f ca="1">_xll.BDH($C$553,"WORKING_CAPITAL_SEQ_GROWTH","FQ4 2018","FQ4 2018","Currency=INR","Period=FQ","BEST_FPERIOD_OVERRIDE=FQ","FILING_STATUS=OR","EQY_CONSOLIDATED=Y","Sort=A","Dates=H","DateFormat=P","Fill=—","Direction=H","UseDPDF=Y")</f>
        <v>#NAME?</v>
      </c>
      <c r="BR577" s="1" t="e">
        <f ca="1">_xll.BDH($C$553,"ACCOUNTS_PAYABLE_SEQ_GROWTH","FQ4 2018","FQ4 2018","Currency=INR","Period=FQ","BEST_FPERIOD_OVERRIDE=FQ","FILING_STATUS=OR","EQY_CONSOLIDATED=Y","Sort=A","Dates=H","DateFormat=P","Fill=—","Direction=H","UseDPDF=Y")</f>
        <v>#NAME?</v>
      </c>
      <c r="BS577" s="1" t="e">
        <f ca="1">_xll.BDH($C$553,"ST_DEBT_SEQUENTIAL_GROWTH","FQ4 2018","FQ4 2018","Currency=INR","Period=FQ","BEST_FPERIOD_OVERRIDE=FQ","FILING_STATUS=OR","EQY_CONSOLIDATED=Y","Sort=A","Dates=H","DateFormat=P","Fill=—","Direction=H","UseDPDF=Y")</f>
        <v>#NAME?</v>
      </c>
      <c r="BT577" s="1" t="e">
        <f ca="1">_xll.BDH($C$553,"TOTAL_DEBT_SEQUENTIAL_GROWTH","FQ4 2018","FQ4 2018","Currency=INR","Period=FQ","BEST_FPERIOD_OVERRIDE=FQ","FILING_STATUS=OR","EQY_CONSOLIDATED=Y","Sort=A","Dates=H","DateFormat=P","Fill=—","Direction=H","UseDPDF=Y")</f>
        <v>#NAME?</v>
      </c>
      <c r="BU577" s="1" t="e">
        <f ca="1">_xll.BDH($C$553,"TOTAL_EQUITY_SEQUENTIAL_GROWTH","FQ4 2018","FQ4 2018","Currency=INR","Period=FQ","BEST_FPERIOD_OVERRIDE=FQ","FILING_STATUS=OR","EQY_CONSOLIDATED=Y","Sort=A","Dates=H","DateFormat=P","Fill=—","Direction=H","UseDPDF=Y")</f>
        <v>#NAME?</v>
      </c>
      <c r="BV577" s="1" t="e">
        <f ca="1">_xll.BDH($C$553,"TOTAL_CAPITAL_SEQUENTIAL_GROWTH","FQ4 2018","FQ4 2018","Currency=INR","Period=FQ","BEST_FPERIOD_OVERRIDE=FQ","FILING_STATUS=OR","EQY_CONSOLIDATED=Y","Sort=A","Dates=H","DateFormat=P","Fill=—","Direction=H","UseDPDF=Y")</f>
        <v>#NAME?</v>
      </c>
      <c r="BW577" s="1" t="e">
        <f ca="1">_xll.BDH($C$553,"BPS_SEQUENTIAL_GROWTH","FQ4 2018","FQ4 2018","Currency=INR","Period=FQ","BEST_FPERIOD_OVERRIDE=FQ","FILING_STATUS=OR","EQY_CONSOLIDATED=Y","Sort=A","Dates=H","DateFormat=P","Fill=—","Direction=H","UseDPDF=Y")</f>
        <v>#NAME?</v>
      </c>
      <c r="BX577" s="1" t="e">
        <f ca="1">_xll.BDH($C$553,"CFO_SEQUENTIAL_GROWTH","FQ4 2018","FQ4 2018","Currency=INR","Period=FQ","BEST_FPERIOD_OVERRIDE=FQ","FILING_STATUS=OR","EQY_CONSOLIDATED=Y","Sort=A","Dates=H","DateFormat=P","Fill=—","Direction=H","UseDPDF=Y")</f>
        <v>#NAME?</v>
      </c>
      <c r="BY577" s="2" t="e">
        <f ca="1">_xll.BDH($C$553,"SHORT_AND_LONG_TERM_DEBT","FQ4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77" s="2" t="e">
        <f ca="1">_xll.BDH($C$553,"BS_ST_BORROW","FQ4 2018","FQ4 2018","Currency=INR","Period=FQ","BEST_FPERIOD_OVERRIDE=FQ","FILING_STATUS=OR","EQY_CONSOLIDATED=Y","SCALING_FORMAT=MLN","Sort=A","Dates=H","DateFormat=P","Fill=—","Direction=H","UseDPDF=Y")</f>
        <v>#NAME?</v>
      </c>
      <c r="CA577" s="2" t="e">
        <f ca="1">_xll.BDH($C$553,"BS_LT_BORROW","FQ4 2018","FQ4 2018","Currency=INR","Period=FQ","BEST_FPERIOD_OVERRIDE=FQ","FILING_STATUS=OR","EQY_CONSOLIDATED=Y","SCALING_FORMAT=MLN","Sort=A","Dates=H","DateFormat=P","Fill=—","Direction=H","UseDPDF=Y")</f>
        <v>#NAME?</v>
      </c>
      <c r="CB577" s="1" t="e">
        <f ca="1">_xll.BDH($C$553,"TOT_DEBT_TO_EBITDA","FQ4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77" s="1" t="e">
        <f ca="1">_xll.BDH($C$553,"NET_DEBT_TO_EBITDA","FQ4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77" s="1" t="e">
        <f ca="1">_xll.BDH($C$553,"TOTAL_DEBT_TO_EBIT","FQ4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77" s="1" t="e">
        <f ca="1">_xll.BDH($C$553,"NET_DEBT_TO_EBIT","FQ4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577" s="1" t="e">
        <f ca="1">_xll.BDH($C$553,"EBITDA_TO_INTEREST_EXPN","FQ4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77" s="1" t="e">
        <f ca="1">_xll.BDH($C$553,"COM_EQY_TO_TOT_ASSET","FQ4 2018","FQ4 2018","Currency=INR","Period=FQ","BEST_FPERIOD_OVERRIDE=FQ","FILING_STATUS=OR","EQY_CONSOLIDATED=Y","Sort=A","Dates=H","DateFormat=P","Fill=—","Direction=H","UseDPDF=Y")</f>
        <v>#NAME?</v>
      </c>
      <c r="CH577" s="1" t="e">
        <f ca="1">_xll.BDH($C$553,"LT_DEBT_TO_TOT_EQY","FQ4 2018","FQ4 2018","Currency=INR","Period=FQ","BEST_FPERIOD_OVERRIDE=FQ","FILING_STATUS=OR","EQY_CONSOLIDATED=Y","Sort=A","Dates=H","DateFormat=P","Fill=—","Direction=H","UseDPDF=Y")</f>
        <v>#NAME?</v>
      </c>
      <c r="CI577" s="1" t="e">
        <f ca="1">_xll.BDH($C$553,"LT_DEBT_TO_TOT_CAP","FQ4 2018","FQ4 2018","Currency=INR","Period=FQ","BEST_FPERIOD_OVERRIDE=FQ","FILING_STATUS=OR","EQY_CONSOLIDATED=Y","Sort=A","Dates=H","DateFormat=P","Fill=—","Direction=H","UseDPDF=Y")</f>
        <v>#NAME?</v>
      </c>
      <c r="CJ577" s="1" t="e">
        <f ca="1">_xll.BDH($C$553,"LT_DEBT_TO_TOT_ASSET","FQ4 2018","FQ4 2018","Currency=INR","Period=FQ","BEST_FPERIOD_OVERRIDE=FQ","FILING_STATUS=OR","EQY_CONSOLIDATED=Y","Sort=A","Dates=H","DateFormat=P","Fill=—","Direction=H","UseDPDF=Y")</f>
        <v>#NAME?</v>
      </c>
      <c r="CK577" s="1" t="e">
        <f ca="1">_xll.BDH($C$553,"TOT_DEBT_TO_TOT_EQY","FQ4 2018","FQ4 2018","Currency=INR","Period=FQ","BEST_FPERIOD_OVERRIDE=FQ","FILING_STATUS=OR","EQY_CONSOLIDATED=Y","Sort=A","Dates=H","DateFormat=P","Fill=—","Direction=H","UseDPDF=Y")</f>
        <v>#NAME?</v>
      </c>
      <c r="CL577" s="1" t="e">
        <f ca="1">_xll.BDH($C$553,"TOT_DEBT_TO_TOT_CAP","FQ4 2018","FQ4 2018","Currency=INR","Period=FQ","BEST_FPERIOD_OVERRIDE=FQ","FILING_STATUS=OR","EQY_CONSOLIDATED=Y","Sort=A","Dates=H","DateFormat=P","Fill=—","Direction=H","UseDPDF=Y")</f>
        <v>#NAME?</v>
      </c>
      <c r="CM577" s="1" t="e">
        <f ca="1">_xll.BDH($C$553,"TOT_DEBT_TO_TOT_ASSET","FQ4 2018","FQ4 2018","Currency=INR","Period=FQ","BEST_FPERIOD_OVERRIDE=FQ","FILING_STATUS=OR","EQY_CONSOLIDATED=Y","Sort=A","Dates=H","DateFormat=P","Fill=—","Direction=H","UseDPDF=Y")</f>
        <v>#NAME?</v>
      </c>
      <c r="CN577" s="1" t="e">
        <f ca="1">_xll.BDH($C$553,"NET_DEBT_TO_SHRHLDR_EQTY","FQ4 2018","FQ4 2018","Currency=INR","Period=FQ","BEST_FPERIOD_OVERRIDE=FQ","FILING_STATUS=OR","EQY_CONSOLIDATED=Y","Sort=A","Dates=H","DateFormat=P","Fill=—","Direction=H","UseDPDF=Y")</f>
        <v>#NAME?</v>
      </c>
      <c r="CO577" s="1" t="e">
        <f ca="1">_xll.BDH($C$553,"NET_DEBT_%_CAPITAL","FQ4 2018","FQ4 2018","Currency=INR","Period=FQ","BEST_FPERIOD_OVERRIDE=FQ","FILING_STATUS=OR","EQY_CONSOLIDATED=Y","Sort=A","Dates=H","DateFormat=P","Fill=—","Direction=H","UseDPDF=Y")</f>
        <v>#NAME?</v>
      </c>
      <c r="CP577" s="2" t="e">
        <f ca="1">_xll.BDH($C$553,"EBITDA","FQ4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77" s="2" t="e">
        <f ca="1">_xll.BDH($C$553,"EBITDA_AFTER_CAPEX","FQ4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77" s="2" t="e">
        <f ca="1">_xll.BDH($C$553,"IS_OPER_INC","FQ4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77" s="1" t="e">
        <f ca="1">_xll.BDH($C$553,"CASH_RATIO","FQ4 2018","FQ4 2018","Currency=INR","Period=FQ","BEST_FPERIOD_OVERRIDE=FQ","FILING_STATUS=OR","EQY_CONSOLIDATED=Y","Sort=A","Dates=H","DateFormat=P","Fill=—","Direction=H","UseDPDF=Y")</f>
        <v>#NAME?</v>
      </c>
      <c r="CT577" s="1" t="e">
        <f ca="1">_xll.BDH($C$553,"CUR_RATIO","FQ4 2018","FQ4 2018","Currency=INR","Period=FQ","BEST_FPERIOD_OVERRIDE=FQ","FILING_STATUS=OR","EQY_CONSOLIDATED=Y","Sort=A","Dates=H","DateFormat=P","Fill=—","Direction=H","UseDPDF=Y")</f>
        <v>#NAME?</v>
      </c>
      <c r="CU577" s="1" t="e">
        <f ca="1">_xll.BDH($C$553,"QUICK_RATIO","FQ4 2018","FQ4 2018","Currency=INR","Period=FQ","BEST_FPERIOD_OVERRIDE=FQ","FILING_STATUS=OR","EQY_CONSOLIDATED=Y","Sort=A","Dates=H","DateFormat=P","Fill=—","Direction=H","UseDPDF=Y")</f>
        <v>#NAME?</v>
      </c>
      <c r="CV577" s="1" t="e">
        <f ca="1">_xll.BDH($C$553,"ALTMAN_Z_SCORE","FQ4 2018","FQ4 2018","Currency=INR","Period=FQ","BEST_FPERIOD_OVERRIDE=FQ","FILING_STATUS=OR","EQY_CONSOLIDATED=Y","Sort=A","Dates=H","DateFormat=P","Fill=—","Direction=H","UseDPDF=Y")</f>
        <v>#NAME?</v>
      </c>
      <c r="CW577" s="3" t="e">
        <f ca="1">_xll.BDH($C$553,"ACCT_RCV_TURN","FQ4 2018","FQ4 2018","Currency=INR","Period=FQ","BEST_FPERIOD_OVERRIDE=FQ","FILING_STATUS=OR","EQY_CONSOLIDATED=Y","FA_ADJUSTED=GAAP","Sort=A","Dates=H","DateFormat=P","Fill=—","Direction=H","UseDPDF=Y")</f>
        <v>#NAME?</v>
      </c>
      <c r="CX577" s="1" t="e">
        <f ca="1">_xll.BDH($C$553,"ACCT_RCV_DAYS","FQ4 2018","FQ4 2018","Currency=INR","Period=FQ","BEST_FPERIOD_OVERRIDE=FQ","FILING_STATUS=OR","EQY_CONSOLIDATED=Y","FA_ADJUSTED=GAAP","Sort=A","Dates=H","DateFormat=P","Fill=—","Direction=H","UseDPDF=Y")</f>
        <v>#NAME?</v>
      </c>
      <c r="CY577" s="3" t="e">
        <f ca="1">_xll.BDH($C$553,"INVENT_TURN","FQ4 2018","FQ4 2018","Currency=INR","Period=FQ","BEST_FPERIOD_OVERRIDE=FQ","FILING_STATUS=OR","EQY_CONSOLIDATED=Y","FA_ADJUSTED=GAAP","Sort=A","Dates=H","DateFormat=P","Fill=—","Direction=H","UseDPDF=Y")</f>
        <v>#NAME?</v>
      </c>
      <c r="CZ577" s="1" t="e">
        <f ca="1">_xll.BDH($C$553,"INVENT_DAYS","FQ4 2018","FQ4 2018","Currency=INR","Period=FQ","BEST_FPERIOD_OVERRIDE=FQ","FILING_STATUS=OR","EQY_CONSOLIDATED=Y","FA_ADJUSTED=GAAP","Sort=A","Dates=H","DateFormat=P","Fill=—","Direction=H","UseDPDF=Y")</f>
        <v>#NAME?</v>
      </c>
      <c r="DA577" s="3" t="e">
        <f ca="1">_xll.BDH($C$553,"ACCOUNTS_PAYABLE_TURNOVER","FQ4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77" s="1" t="e">
        <f ca="1">_xll.BDH($C$553,"ACCOUNTS_PAYABLE_TURNOVER_DAYS","FQ4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77" s="3" t="e">
        <f ca="1">_xll.BDH($C$553,"CASH_CONVERSION_CYCLE","FQ4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77" s="3" t="e">
        <f ca="1">_xll.BDH($C$553,"INV_TO_CASH_DAYS","FQ4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577" s="4" t="e">
        <f ca="1">_xll.BDH($C$553,"BS_INVENTORIES","FQ4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577" s="2" t="e">
        <f ca="1">_xll.BDH($C$553,"INVTRY_RAW_MATERIALS","FQ4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77" s="2" t="e">
        <f ca="1">_xll.BDH($C$553,"INVTRY_IN_PROGRESS","FQ4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77" s="2" t="e">
        <f ca="1">_xll.BDH($C$553,"INVTRY_FINISHED_GOODS","FQ4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77" s="2" t="e">
        <f ca="1">_xll.BDH($C$553,"BS_OTHER_INV","FQ4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78" spans="1:113" x14ac:dyDescent="0.3">
      <c r="A578" s="6">
        <v>74</v>
      </c>
      <c r="B578" s="6" t="s">
        <v>56</v>
      </c>
      <c r="C578" s="6" t="s">
        <v>57</v>
      </c>
      <c r="D578" s="6" t="s">
        <v>2</v>
      </c>
      <c r="E578" t="s">
        <v>3</v>
      </c>
      <c r="F578" t="e">
        <f ca="1">_xll.BDH($C$578,"RETURN_COM_EQY","FY 2014","FY 2014","Currency=INR","Period=FY","BEST_FPERIOD_OVERRIDE=FY","FILING_STATUS=OR","EQY_CONSOLIDATED=Y","FA_ADJUSTED=GAAP","Sort=A","Dates=H","DateFormat=P","Fill=—","Direction=H","UseDPDF=Y")</f>
        <v>#NAME?</v>
      </c>
      <c r="G578" t="e">
        <f ca="1">_xll.BDH($C$578,"RETURN_ON_ASSET","FY 2014","FY 2014","Currency=INR","Period=FY","BEST_FPERIOD_OVERRIDE=FY","FILING_STATUS=OR","EQY_CONSOLIDATED=Y","FA_ADJUSTED=GAAP","Sort=A","Dates=H","DateFormat=P","Fill=—","Direction=H","UseDPDF=Y")</f>
        <v>#NAME?</v>
      </c>
      <c r="H578" t="e">
        <f ca="1">_xll.BDH($C$578,"RETURN_ON_CAP","FY 2014","FY 2014","Currency=INR","Period=FY","BEST_FPERIOD_OVERRIDE=FY","FILING_STATUS=OR","EQY_CONSOLIDATED=Y","FA_ADJUSTED=GAAP","Sort=A","Dates=H","DateFormat=P","Fill=—","Direction=H","UseDPDF=Y")</f>
        <v>#NAME?</v>
      </c>
      <c r="I578" t="e">
        <f ca="1">_xll.BDH($C$578,"RETURN_ON_INV_CAPITAL","FY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78" t="e">
        <f ca="1">_xll.BDH($C$578,"EBITDA_TO_REVENUE","FY 2014","FY 2014","Currency=INR","Period=FY","BEST_FPERIOD_OVERRIDE=FY","FILING_STATUS=OR","EQY_CONSOLIDATED=Y","FA_ADJUSTED=GAAP","Sort=A","Dates=H","DateFormat=P","Fill=—","Direction=H","UseDPDF=Y")</f>
        <v>#NAME?</v>
      </c>
      <c r="K578" t="e">
        <f ca="1">_xll.BDH($C$578,"OPER_MARGIN","FY 2014","FY 2014","Currency=INR","Period=FY","BEST_FPERIOD_OVERRIDE=FY","FILING_STATUS=OR","EQY_CONSOLIDATED=Y","FA_ADJUSTED=GAAP","Sort=A","Dates=H","DateFormat=P","Fill=—","Direction=H","UseDPDF=Y")</f>
        <v>#NAME?</v>
      </c>
      <c r="L578" t="e">
        <f ca="1">_xll.BDH($C$578,"INCREMENTAL_OPERATING_MARGIN","FY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78" t="e">
        <f ca="1">_xll.BDH($C$578,"PRETAX_INC_TO_NET_SALES","FY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78" t="e">
        <f ca="1">_xll.BDH($C$578,"INC_BEF_XO_ITEMS_TO_NET_SALES","FY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78" t="e">
        <f ca="1">_xll.BDH($C$578,"PROF_MARGIN","FY 2014","FY 2014","Currency=INR","Period=FY","BEST_FPERIOD_OVERRIDE=FY","FILING_STATUS=OR","EQY_CONSOLIDATED=Y","FA_ADJUSTED=GAAP","Sort=A","Dates=H","DateFormat=P","Fill=—","Direction=H","UseDPDF=Y")</f>
        <v>#NAME?</v>
      </c>
      <c r="P578" t="e">
        <f ca="1">_xll.BDH($C$578,"NET_INCOME_TO_COMMON_MARGIN","FY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78" t="e">
        <f ca="1">_xll.BDH($C$578,"EFF_TAX_RATE","FY 2014","FY 2014","Currency=INR","Period=FY","BEST_FPERIOD_OVERRIDE=FY","FILING_STATUS=OR","EQY_CONSOLIDATED=Y","FA_ADJUSTED=GAAP","Sort=A","Dates=H","DateFormat=P","Fill=—","Direction=H","UseDPDF=Y")</f>
        <v>#NAME?</v>
      </c>
      <c r="R578" t="e">
        <f ca="1">_xll.BDH($C$578,"DVD_PAYOUT_RATIO","FY 2014","FY 2014","Currency=INR","Period=FY","BEST_FPERIOD_OVERRIDE=FY","FILING_STATUS=OR","EQY_CONSOLIDATED=Y","FA_ADJUSTED=GAAP","Sort=A","Dates=H","DateFormat=P","Fill=—","Direction=H","UseDPDF=Y")</f>
        <v>#NAME?</v>
      </c>
      <c r="S578" t="e">
        <f ca="1">_xll.BDH($C$578,"SUSTAIN_GROWTH_RT","FY 2014","FY 2014","Currency=INR","Period=FY","BEST_FPERIOD_OVERRIDE=FY","FILING_STATUS=OR","EQY_CONSOLIDATED=Y","FA_ADJUSTED=GAAP","Sort=A","Dates=H","DateFormat=P","Fill=—","Direction=H","UseDPDF=Y")</f>
        <v>#NAME?</v>
      </c>
      <c r="T578" s="1" t="e">
        <f ca="1">_xll.BDH($C$578,"SALES_GROWTH","FY 2014","FY 2014","Currency=INR","Period=FY","BEST_FPERIOD_OVERRIDE=FY","FILING_STATUS=OR","EQY_CONSOLIDATED=Y","FA_ADJUSTED=GAAP","Sort=A","Dates=H","DateFormat=P","Fill=—","Direction=H","UseDPDF=Y")</f>
        <v>#NAME?</v>
      </c>
      <c r="U578" s="1" t="e">
        <f ca="1">_xll.BDH($C$578,"EBITDA_GROWTH","FY 2014","FY 2014","Currency=INR","Period=FY","BEST_FPERIOD_OVERRIDE=FY","FILING_STATUS=OR","EQY_CONSOLIDATED=Y","FA_ADJUSTED=GAAP","Sort=A","Dates=H","DateFormat=P","Fill=—","Direction=H","UseDPDF=Y")</f>
        <v>#NAME?</v>
      </c>
      <c r="V578" s="1" t="e">
        <f ca="1">_xll.BDH($C$578,"OPER_INC_GROWTH","FY 2014","FY 2014","Currency=INR","Period=FY","BEST_FPERIOD_OVERRIDE=FY","FILING_STATUS=OR","EQY_CONSOLIDATED=Y","FA_ADJUSTED=GAAP","Sort=A","Dates=H","DateFormat=P","Fill=—","Direction=H","UseDPDF=Y")</f>
        <v>#NAME?</v>
      </c>
      <c r="W578" s="1" t="e">
        <f ca="1">_xll.BDH($C$578,"EARN_FOR_COM_GROWTH","FY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578" s="1" t="e">
        <f ca="1">_xll.BDH($C$578,"DILUTED_EPS_AFT_XO_ITEMS_GROWTH","FY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78" s="1" t="e">
        <f ca="1">_xll.BDH($C$578,"DIVIDEND_PER_SHARE_1_YEAR_GROWTH","FY 2014","FY 2014","Currency=INR","Period=FY","BEST_FPERIOD_OVERRIDE=FY","FILING_STATUS=OR","EQY_CONSOLIDATED=Y","Sort=A","Dates=H","DateFormat=P","Fill=—","Direction=H","UseDPDF=Y")</f>
        <v>#NAME?</v>
      </c>
      <c r="Z578" s="1" t="e">
        <f ca="1">_xll.BDH($C$578,"ACCOUNTS_RECEIVABLE_GROWTH","FY 2014","FY 2014","Currency=INR","Period=FY","BEST_FPERIOD_OVERRIDE=FY","FILING_STATUS=OR","EQY_CONSOLIDATED=Y","Sort=A","Dates=H","DateFormat=P","Fill=—","Direction=H","UseDPDF=Y")</f>
        <v>#NAME?</v>
      </c>
      <c r="AA578" s="1" t="e">
        <f ca="1">_xll.BDH($C$578,"INVENTORY_GROWTH","FY 2014","FY 2014","Currency=INR","Period=FY","BEST_FPERIOD_OVERRIDE=FY","FILING_STATUS=OR","EQY_CONSOLIDATED=Y","Sort=A","Dates=H","DateFormat=P","Fill=—","Direction=H","UseDPDF=Y")</f>
        <v>#NAME?</v>
      </c>
      <c r="AB578" s="1" t="e">
        <f ca="1">_xll.BDH($C$578,"NET_FIXED_ASSETS_1_YEAR_GROWTH","FY 2014","FY 2014","Currency=INR","Period=FY","BEST_FPERIOD_OVERRIDE=FY","FILING_STATUS=OR","EQY_CONSOLIDATED=Y","Sort=A","Dates=H","DateFormat=P","Fill=—","Direction=H","UseDPDF=Y")</f>
        <v>#NAME?</v>
      </c>
      <c r="AC578" s="1" t="e">
        <f ca="1">_xll.BDH($C$578,"ASSET_GROWTH","FY 2014","FY 2014","Currency=INR","Period=FY","BEST_FPERIOD_OVERRIDE=FY","FILING_STATUS=OR","EQY_CONSOLIDATED=Y","Sort=A","Dates=H","DateFormat=P","Fill=—","Direction=H","UseDPDF=Y")</f>
        <v>#NAME?</v>
      </c>
      <c r="AD578" s="1" t="e">
        <f ca="1">_xll.BDH($C$578,"MODIFIED_WORK_CAP_GROWTH","FY 2014","FY 2014","Currency=INR","Period=FY","BEST_FPERIOD_OVERRIDE=FY","FILING_STATUS=OR","EQY_CONSOLIDATED=Y","Sort=A","Dates=H","DateFormat=P","Fill=—","Direction=H","UseDPDF=Y")</f>
        <v>#NAME?</v>
      </c>
      <c r="AE578" s="1" t="e">
        <f ca="1">_xll.BDH($C$578,"WORK_CAP_GROWTH","FY 2014","FY 2014","Currency=INR","Period=FY","BEST_FPERIOD_OVERRIDE=FY","FILING_STATUS=OR","EQY_CONSOLIDATED=Y","Sort=A","Dates=H","DateFormat=P","Fill=—","Direction=H","UseDPDF=Y")</f>
        <v>#NAME?</v>
      </c>
      <c r="AF578" s="1" t="e">
        <f ca="1">_xll.BDH($C$578,"ACCOUNTS_PAYABLE_GROWTH_1YR","FY 2014","FY 2014","Currency=INR","Period=FY","BEST_FPERIOD_OVERRIDE=FY","FILING_STATUS=OR","EQY_CONSOLIDATED=Y","Sort=A","Dates=H","DateFormat=P","Fill=—","Direction=H","UseDPDF=Y")</f>
        <v>#NAME?</v>
      </c>
      <c r="AG578" s="1" t="e">
        <f ca="1">_xll.BDH($C$578,"SHORT_TERM_DEBT_1_YEAR_GROWTH","FY 2014","FY 2014","Currency=INR","Period=FY","BEST_FPERIOD_OVERRIDE=FY","FILING_STATUS=OR","EQY_CONSOLIDATED=Y","Sort=A","Dates=H","DateFormat=P","Fill=—","Direction=H","UseDPDF=Y")</f>
        <v>#NAME?</v>
      </c>
      <c r="AH578" s="1" t="e">
        <f ca="1">_xll.BDH($C$578,"TOTAL_DEBT_1_YEAR_GROWTH","FY 2014","FY 2014","Currency=INR","Period=FY","BEST_FPERIOD_OVERRIDE=FY","FILING_STATUS=OR","EQY_CONSOLIDATED=Y","Sort=A","Dates=H","DateFormat=P","Fill=—","Direction=H","UseDPDF=Y")</f>
        <v>#NAME?</v>
      </c>
      <c r="AI578" s="1" t="e">
        <f ca="1">_xll.BDH($C$578,"TOTAL_EQUITY_1_YEAR_GROWTH","FY 2014","FY 2014","Currency=INR","Period=FY","BEST_FPERIOD_OVERRIDE=FY","FILING_STATUS=OR","EQY_CONSOLIDATED=Y","Sort=A","Dates=H","DateFormat=P","Fill=—","Direction=H","UseDPDF=Y")</f>
        <v>#NAME?</v>
      </c>
      <c r="AJ578" s="1" t="e">
        <f ca="1">_xll.BDH($C$578,"GROWTH_IN_CAP","FY 2014","FY 2014","Currency=INR","Period=FY","BEST_FPERIOD_OVERRIDE=FY","FILING_STATUS=OR","EQY_CONSOLIDATED=Y","Sort=A","Dates=H","DateFormat=P","Fill=—","Direction=H","UseDPDF=Y")</f>
        <v>#NAME?</v>
      </c>
      <c r="AK578" s="1" t="e">
        <f ca="1">_xll.BDH($C$578,"BVPS_GROWTH","FY 2014","FY 2014","Currency=INR","Period=FY","BEST_FPERIOD_OVERRIDE=FY","FILING_STATUS=OR","EQY_CONSOLIDATED=Y","Sort=A","Dates=H","DateFormat=P","Fill=—","Direction=H","UseDPDF=Y")</f>
        <v>#NAME?</v>
      </c>
      <c r="AL578" s="1" t="e">
        <f ca="1">_xll.BDH($C$578,"CASH_FLOW_GROWTH","FY 2014","FY 2014","Currency=INR","Period=FY","BEST_FPERIOD_OVERRIDE=FY","FILING_STATUS=OR","EQY_CONSOLIDATED=Y","Sort=A","Dates=H","DateFormat=P","Fill=—","Direction=H","UseDPDF=Y")</f>
        <v>#NAME?</v>
      </c>
      <c r="AM578" s="1" t="e">
        <f ca="1">_xll.BDH($C$578,"GEO_GROW_NET_SALES","FY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578" s="1" t="e">
        <f ca="1">_xll.BDH($C$578,"GEO_GROW_EBITDA","FY 2014","FY 2014","Currency=INR","Period=FY","BEST_FPERIOD_OVERRIDE=FY","FILING_STATUS=OR","EQY_CONSOLIDATED=Y","FA_ADJUSTED=GAAP","Sort=A","Dates=H","DateFormat=P","Fill=—","Direction=H","UseDPDF=Y")</f>
        <v>#NAME?</v>
      </c>
      <c r="AO578" s="1" t="e">
        <f ca="1">_xll.BDH($C$578,"GEO_GROW_OPER_INC","FY 2014","FY 2014","Currency=INR","Period=FY","BEST_FPERIOD_OVERRIDE=FY","FILING_STATUS=OR","EQY_CONSOLIDATED=Y","FA_ADJUSTED=GAAP","Sort=A","Dates=H","DateFormat=P","Fill=—","Direction=H","UseDPDF=Y")</f>
        <v>#NAME?</v>
      </c>
      <c r="AP578" s="1" t="e">
        <f ca="1">_xll.BDH($C$578,"NET_INCOME_TO_COMMON_5_YR_GROWTH","FY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78" s="1" t="e">
        <f ca="1">_xll.BDH($C$578,"5Y_GEO_GROWTH_DILUTED_EPS","FY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78" s="1" t="e">
        <f ca="1">_xll.BDH($C$578,"GEO_GROW_DVD_PER_SH","FY 2014","FY 2014","Currency=INR","Period=FY","BEST_FPERIOD_OVERRIDE=FY","FILING_STATUS=OR","EQY_CONSOLIDATED=Y","Sort=A","Dates=H","DateFormat=P","Fill=—","Direction=H","UseDPDF=Y")</f>
        <v>#NAME?</v>
      </c>
      <c r="AS578" s="1" t="e">
        <f ca="1">_xll.BDH($C$578,"ACCOUNTS_RECEIVABLE_5_YR_GROWTH","FY 2014","FY 2014","Currency=INR","Period=FY","BEST_FPERIOD_OVERRIDE=FY","FILING_STATUS=OR","EQY_CONSOLIDATED=Y","Sort=A","Dates=H","DateFormat=P","Fill=—","Direction=H","UseDPDF=Y")</f>
        <v>#NAME?</v>
      </c>
      <c r="AT578" s="1" t="e">
        <f ca="1">_xll.BDH($C$578,"INVENTORY_5_YEAR_GROWTH","FY 2014","FY 2014","Currency=INR","Period=FY","BEST_FPERIOD_OVERRIDE=FY","FILING_STATUS=OR","EQY_CONSOLIDATED=Y","Sort=A","Dates=H","DateFormat=P","Fill=—","Direction=H","UseDPDF=Y")</f>
        <v>#NAME?</v>
      </c>
      <c r="AU578" s="1" t="e">
        <f ca="1">_xll.BDH($C$578,"NET_FIXED_ASSETS_5_YEAR_GROWTH","FY 2014","FY 2014","Currency=INR","Period=FY","BEST_FPERIOD_OVERRIDE=FY","FILING_STATUS=OR","EQY_CONSOLIDATED=Y","Sort=A","Dates=H","DateFormat=P","Fill=—","Direction=H","UseDPDF=Y")</f>
        <v>#NAME?</v>
      </c>
      <c r="AV578" s="1" t="e">
        <f ca="1">_xll.BDH($C$578,"GEO_GROW_TOT_ASSET","FY 2014","FY 2014","Currency=INR","Period=FY","BEST_FPERIOD_OVERRIDE=FY","FILING_STATUS=OR","EQY_CONSOLIDATED=Y","Sort=A","Dates=H","DateFormat=P","Fill=—","Direction=H","UseDPDF=Y")</f>
        <v>#NAME?</v>
      </c>
      <c r="AW578" s="1" t="e">
        <f ca="1">_xll.BDH($C$578,"MODIFIED_WORKING_CPTL_5YR_GRWTH","FY 2014","FY 2014","Currency=INR","Period=FY","BEST_FPERIOD_OVERRIDE=FY","FILING_STATUS=OR","EQY_CONSOLIDATED=Y","Sort=A","Dates=H","DateFormat=P","Fill=—","Direction=H","UseDPDF=Y")</f>
        <v>#NAME?</v>
      </c>
      <c r="AX578" s="1" t="e">
        <f ca="1">_xll.BDH($C$578,"WORKING_CAPITAL_5_YEAR_GROWTH","FY 2014","FY 2014","Currency=INR","Period=FY","BEST_FPERIOD_OVERRIDE=FY","FILING_STATUS=OR","EQY_CONSOLIDATED=Y","Sort=A","Dates=H","DateFormat=P","Fill=—","Direction=H","UseDPDF=Y")</f>
        <v>#NAME?</v>
      </c>
      <c r="AY578" s="1" t="e">
        <f ca="1">_xll.BDH($C$578,"ACCOUNTS_PAYABLE_5_YEAR_GROWTH","FY 2014","FY 2014","Currency=INR","Period=FY","BEST_FPERIOD_OVERRIDE=FY","FILING_STATUS=OR","EQY_CONSOLIDATED=Y","Sort=A","Dates=H","DateFormat=P","Fill=—","Direction=H","UseDPDF=Y")</f>
        <v>#NAME?</v>
      </c>
      <c r="AZ578" s="1" t="e">
        <f ca="1">_xll.BDH($C$578,"SHORT_TERM_DEBT_5_YEAR_GROWTH","FY 2014","FY 2014","Currency=INR","Period=FY","BEST_FPERIOD_OVERRIDE=FY","FILING_STATUS=OR","EQY_CONSOLIDATED=Y","Sort=A","Dates=H","DateFormat=P","Fill=—","Direction=H","UseDPDF=Y")</f>
        <v>#NAME?</v>
      </c>
      <c r="BA578" s="1" t="e">
        <f ca="1">_xll.BDH($C$578,"TOTAL_DEBT_5_YEAR_GROWTH","FY 2014","FY 2014","Currency=INR","Period=FY","BEST_FPERIOD_OVERRIDE=FY","FILING_STATUS=OR","EQY_CONSOLIDATED=Y","Sort=A","Dates=H","DateFormat=P","Fill=—","Direction=H","UseDPDF=Y")</f>
        <v>#NAME?</v>
      </c>
      <c r="BB578" s="1" t="e">
        <f ca="1">_xll.BDH($C$578,"GEO_GROW_TOT_SHRHLDR_EQY","FY 2014","FY 2014","Currency=INR","Period=FY","BEST_FPERIOD_OVERRIDE=FY","FILING_STATUS=OR","EQY_CONSOLIDATED=Y","Sort=A","Dates=H","DateFormat=P","Fill=—","Direction=H","UseDPDF=Y")</f>
        <v>#NAME?</v>
      </c>
      <c r="BC578" s="1" t="e">
        <f ca="1">_xll.BDH($C$578,"TOTAL_CAPITAL_5_YEAR_GROWTH","FY 2014","FY 2014","Currency=INR","Period=FY","BEST_FPERIOD_OVERRIDE=FY","FILING_STATUS=OR","EQY_CONSOLIDATED=Y","Sort=A","Dates=H","DateFormat=P","Fill=—","Direction=H","UseDPDF=Y")</f>
        <v>#NAME?</v>
      </c>
      <c r="BD578" s="1" t="e">
        <f ca="1">_xll.BDH($C$578,"GEO_GROW_BOOK_VAL","FY 2014","FY 2014","Currency=INR","Period=FY","BEST_FPERIOD_OVERRIDE=FY","FILING_STATUS=OR","EQY_CONSOLIDATED=Y","Sort=A","Dates=H","DateFormat=P","Fill=—","Direction=H","UseDPDF=Y")</f>
        <v>#NAME?</v>
      </c>
      <c r="BE578" s="1" t="e">
        <f ca="1">_xll.BDH($C$578,"GEO_GROW_CASH_OPER_ACT","FY 2014","FY 2014","Currency=INR","Period=FY","BEST_FPERIOD_OVERRIDE=FY","FILING_STATUS=OR","EQY_CONSOLIDATED=Y","Sort=A","Dates=H","DateFormat=P","Fill=—","Direction=H","UseDPDF=Y")</f>
        <v>#NAME?</v>
      </c>
      <c r="BF578" s="1" t="e">
        <f ca="1">_xll.BDH($C$578,"REVENUE_SEQUENTIAL_GROWTH","FY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78" s="1" t="e">
        <f ca="1">_xll.BDH($C$578,"EBITDA_SEQUENTIAL_GROWTH","FY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78" s="1" t="e">
        <f ca="1">_xll.BDH($C$578,"OPERATING_INCOME_SEQ_GROWTH","FY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78" s="1" t="e">
        <f ca="1">_xll.BDH($C$578,"NET_INCOME_TO_COMMON_SEQ_GROWTH","FY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78" s="1" t="e">
        <f ca="1">_xll.BDH($C$578,"EPS_DILUTED_SEQUENTIAL_GROWTH","FY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78" s="1" t="e">
        <f ca="1">_xll.BDH($C$578,"DPS_SEQUENTIAL_GROWTH","FY 2014","FY 2014","Currency=INR","Period=FY","BEST_FPERIOD_OVERRIDE=FY","FILING_STATUS=OR","EQY_CONSOLIDATED=Y","Sort=A","Dates=H","DateFormat=P","Fill=—","Direction=H","UseDPDF=Y")</f>
        <v>#NAME?</v>
      </c>
      <c r="BL578" s="1" t="e">
        <f ca="1">_xll.BDH($C$578,"ACCOUNTS_RECEIVABLE_SEQ_GROWTH","FY 2014","FY 2014","Currency=INR","Period=FY","BEST_FPERIOD_OVERRIDE=FY","FILING_STATUS=OR","EQY_CONSOLIDATED=Y","Sort=A","Dates=H","DateFormat=P","Fill=—","Direction=H","UseDPDF=Y")</f>
        <v>#NAME?</v>
      </c>
      <c r="BM578" s="1" t="e">
        <f ca="1">_xll.BDH($C$578,"INVENTORY_SEQUENTIAL_GROWTH","FY 2014","FY 2014","Currency=INR","Period=FY","BEST_FPERIOD_OVERRIDE=FY","FILING_STATUS=OR","EQY_CONSOLIDATED=Y","Sort=A","Dates=H","DateFormat=P","Fill=—","Direction=H","UseDPDF=Y")</f>
        <v>#NAME?</v>
      </c>
      <c r="BN578" s="1" t="e">
        <f ca="1">_xll.BDH($C$578,"FIXED_ASSETS_SEQUENTIAL_GROWTH","FY 2014","FY 2014","Currency=INR","Period=FY","BEST_FPERIOD_OVERRIDE=FY","FILING_STATUS=OR","EQY_CONSOLIDATED=Y","Sort=A","Dates=H","DateFormat=P","Fill=—","Direction=H","UseDPDF=Y")</f>
        <v>#NAME?</v>
      </c>
      <c r="BO578" s="1" t="e">
        <f ca="1">_xll.BDH($C$578,"TOTAL_ASSETS_SEQUENTIAL_GROWTH","FY 2014","FY 2014","Currency=INR","Period=FY","BEST_FPERIOD_OVERRIDE=FY","FILING_STATUS=OR","EQY_CONSOLIDATED=Y","Sort=A","Dates=H","DateFormat=P","Fill=—","Direction=H","UseDPDF=Y")</f>
        <v>#NAME?</v>
      </c>
      <c r="BP578" s="1" t="e">
        <f ca="1">_xll.BDH($C$578,"MODIFIED_WORKING_CPTL_SEQ_GRWTH","FY 2014","FY 2014","Currency=INR","Period=FY","BEST_FPERIOD_OVERRIDE=FY","FILING_STATUS=OR","EQY_CONSOLIDATED=Y","Sort=A","Dates=H","DateFormat=P","Fill=—","Direction=H","UseDPDF=Y")</f>
        <v>#NAME?</v>
      </c>
      <c r="BQ578" s="1" t="e">
        <f ca="1">_xll.BDH($C$578,"WORKING_CAPITAL_SEQ_GROWTH","FY 2014","FY 2014","Currency=INR","Period=FY","BEST_FPERIOD_OVERRIDE=FY","FILING_STATUS=OR","EQY_CONSOLIDATED=Y","Sort=A","Dates=H","DateFormat=P","Fill=—","Direction=H","UseDPDF=Y")</f>
        <v>#NAME?</v>
      </c>
      <c r="BR578" s="1" t="e">
        <f ca="1">_xll.BDH($C$578,"ACCOUNTS_PAYABLE_SEQ_GROWTH","FY 2014","FY 2014","Currency=INR","Period=FY","BEST_FPERIOD_OVERRIDE=FY","FILING_STATUS=OR","EQY_CONSOLIDATED=Y","Sort=A","Dates=H","DateFormat=P","Fill=—","Direction=H","UseDPDF=Y")</f>
        <v>#NAME?</v>
      </c>
      <c r="BS578" s="1" t="e">
        <f ca="1">_xll.BDH($C$578,"ST_DEBT_SEQUENTIAL_GROWTH","FY 2014","FY 2014","Currency=INR","Period=FY","BEST_FPERIOD_OVERRIDE=FY","FILING_STATUS=OR","EQY_CONSOLIDATED=Y","Sort=A","Dates=H","DateFormat=P","Fill=—","Direction=H","UseDPDF=Y")</f>
        <v>#NAME?</v>
      </c>
      <c r="BT578" s="1" t="e">
        <f ca="1">_xll.BDH($C$578,"TOTAL_DEBT_SEQUENTIAL_GROWTH","FY 2014","FY 2014","Currency=INR","Period=FY","BEST_FPERIOD_OVERRIDE=FY","FILING_STATUS=OR","EQY_CONSOLIDATED=Y","Sort=A","Dates=H","DateFormat=P","Fill=—","Direction=H","UseDPDF=Y")</f>
        <v>#NAME?</v>
      </c>
      <c r="BU578" s="1" t="e">
        <f ca="1">_xll.BDH($C$578,"TOTAL_EQUITY_SEQUENTIAL_GROWTH","FY 2014","FY 2014","Currency=INR","Period=FY","BEST_FPERIOD_OVERRIDE=FY","FILING_STATUS=OR","EQY_CONSOLIDATED=Y","Sort=A","Dates=H","DateFormat=P","Fill=—","Direction=H","UseDPDF=Y")</f>
        <v>#NAME?</v>
      </c>
      <c r="BV578" s="1" t="e">
        <f ca="1">_xll.BDH($C$578,"TOTAL_CAPITAL_SEQUENTIAL_GROWTH","FY 2014","FY 2014","Currency=INR","Period=FY","BEST_FPERIOD_OVERRIDE=FY","FILING_STATUS=OR","EQY_CONSOLIDATED=Y","Sort=A","Dates=H","DateFormat=P","Fill=—","Direction=H","UseDPDF=Y")</f>
        <v>#NAME?</v>
      </c>
      <c r="BW578" s="1" t="e">
        <f ca="1">_xll.BDH($C$578,"BPS_SEQUENTIAL_GROWTH","FY 2014","FY 2014","Currency=INR","Period=FY","BEST_FPERIOD_OVERRIDE=FY","FILING_STATUS=OR","EQY_CONSOLIDATED=Y","Sort=A","Dates=H","DateFormat=P","Fill=—","Direction=H","UseDPDF=Y")</f>
        <v>#NAME?</v>
      </c>
      <c r="BX578" s="1" t="e">
        <f ca="1">_xll.BDH($C$578,"CFO_SEQUENTIAL_GROWTH","FY 2014","FY 2014","Currency=INR","Period=FY","BEST_FPERIOD_OVERRIDE=FY","FILING_STATUS=OR","EQY_CONSOLIDATED=Y","Sort=A","Dates=H","DateFormat=P","Fill=—","Direction=H","UseDPDF=Y")</f>
        <v>#NAME?</v>
      </c>
      <c r="BY578" s="2" t="e">
        <f ca="1">_xll.BDH($C$578,"SHORT_AND_LONG_TERM_DEBT","FY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78" s="2" t="e">
        <f ca="1">_xll.BDH($C$578,"BS_ST_BORROW","FY 2014","FY 2014","Currency=INR","Period=FY","BEST_FPERIOD_OVERRIDE=FY","FILING_STATUS=OR","EQY_CONSOLIDATED=Y","SCALING_FORMAT=MLN","Sort=A","Dates=H","DateFormat=P","Fill=—","Direction=H","UseDPDF=Y")</f>
        <v>#NAME?</v>
      </c>
      <c r="CA578" s="2" t="e">
        <f ca="1">_xll.BDH($C$578,"BS_LT_BORROW","FY 2014","FY 2014","Currency=INR","Period=FY","BEST_FPERIOD_OVERRIDE=FY","FILING_STATUS=OR","EQY_CONSOLIDATED=Y","SCALING_FORMAT=MLN","Sort=A","Dates=H","DateFormat=P","Fill=—","Direction=H","UseDPDF=Y")</f>
        <v>#NAME?</v>
      </c>
      <c r="CB578" s="1" t="e">
        <f ca="1">_xll.BDH($C$578,"TOT_DEBT_TO_EBITDA","FY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578" s="1" t="e">
        <f ca="1">_xll.BDH($C$578,"NET_DEBT_TO_EBITDA","FY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578" s="1" t="e">
        <f ca="1">_xll.BDH($C$578,"TOTAL_DEBT_TO_EBIT","FY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578" s="1" t="e">
        <f ca="1">_xll.BDH($C$578,"NET_DEBT_TO_EBIT","FY 2014","FY 2014","Currency=INR","Period=FY","BEST_FPERIOD_OVERRIDE=FY","FILING_STATUS=OR","EQY_CONSOLIDATED=Y","FA_ADJUSTED=GAAP","Sort=A","Dates=H","DateFormat=P","Fill=—","Direction=H","UseDPDF=Y")</f>
        <v>#NAME?</v>
      </c>
      <c r="CF578" s="1" t="e">
        <f ca="1">_xll.BDH($C$578,"EBITDA_TO_INTEREST_EXPN","FY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78" s="1" t="e">
        <f ca="1">_xll.BDH($C$578,"COM_EQY_TO_TOT_ASSET","FY 2014","FY 2014","Currency=INR","Period=FY","BEST_FPERIOD_OVERRIDE=FY","FILING_STATUS=OR","EQY_CONSOLIDATED=Y","Sort=A","Dates=H","DateFormat=P","Fill=—","Direction=H","UseDPDF=Y")</f>
        <v>#NAME?</v>
      </c>
      <c r="CH578" s="1" t="e">
        <f ca="1">_xll.BDH($C$578,"LT_DEBT_TO_TOT_EQY","FY 2014","FY 2014","Currency=INR","Period=FY","BEST_FPERIOD_OVERRIDE=FY","FILING_STATUS=OR","EQY_CONSOLIDATED=Y","Sort=A","Dates=H","DateFormat=P","Fill=—","Direction=H","UseDPDF=Y")</f>
        <v>#NAME?</v>
      </c>
      <c r="CI578" s="1" t="e">
        <f ca="1">_xll.BDH($C$578,"LT_DEBT_TO_TOT_CAP","FY 2014","FY 2014","Currency=INR","Period=FY","BEST_FPERIOD_OVERRIDE=FY","FILING_STATUS=OR","EQY_CONSOLIDATED=Y","Sort=A","Dates=H","DateFormat=P","Fill=—","Direction=H","UseDPDF=Y")</f>
        <v>#NAME?</v>
      </c>
      <c r="CJ578" s="1" t="e">
        <f ca="1">_xll.BDH($C$578,"LT_DEBT_TO_TOT_ASSET","FY 2014","FY 2014","Currency=INR","Period=FY","BEST_FPERIOD_OVERRIDE=FY","FILING_STATUS=OR","EQY_CONSOLIDATED=Y","Sort=A","Dates=H","DateFormat=P","Fill=—","Direction=H","UseDPDF=Y")</f>
        <v>#NAME?</v>
      </c>
      <c r="CK578" s="1" t="e">
        <f ca="1">_xll.BDH($C$578,"TOT_DEBT_TO_TOT_EQY","FY 2014","FY 2014","Currency=INR","Period=FY","BEST_FPERIOD_OVERRIDE=FY","FILING_STATUS=OR","EQY_CONSOLIDATED=Y","Sort=A","Dates=H","DateFormat=P","Fill=—","Direction=H","UseDPDF=Y")</f>
        <v>#NAME?</v>
      </c>
      <c r="CL578" s="1" t="e">
        <f ca="1">_xll.BDH($C$578,"TOT_DEBT_TO_TOT_CAP","FY 2014","FY 2014","Currency=INR","Period=FY","BEST_FPERIOD_OVERRIDE=FY","FILING_STATUS=OR","EQY_CONSOLIDATED=Y","Sort=A","Dates=H","DateFormat=P","Fill=—","Direction=H","UseDPDF=Y")</f>
        <v>#NAME?</v>
      </c>
      <c r="CM578" s="1" t="e">
        <f ca="1">_xll.BDH($C$578,"TOT_DEBT_TO_TOT_ASSET","FY 2014","FY 2014","Currency=INR","Period=FY","BEST_FPERIOD_OVERRIDE=FY","FILING_STATUS=OR","EQY_CONSOLIDATED=Y","Sort=A","Dates=H","DateFormat=P","Fill=—","Direction=H","UseDPDF=Y")</f>
        <v>#NAME?</v>
      </c>
      <c r="CN578" s="1" t="e">
        <f ca="1">_xll.BDH($C$578,"NET_DEBT_TO_SHRHLDR_EQTY","FY 2014","FY 2014","Currency=INR","Period=FY","BEST_FPERIOD_OVERRIDE=FY","FILING_STATUS=OR","EQY_CONSOLIDATED=Y","Sort=A","Dates=H","DateFormat=P","Fill=—","Direction=H","UseDPDF=Y")</f>
        <v>#NAME?</v>
      </c>
      <c r="CO578" s="1" t="e">
        <f ca="1">_xll.BDH($C$578,"NET_DEBT_%_CAPITAL","FY 2014","FY 2014","Currency=INR","Period=FY","BEST_FPERIOD_OVERRIDE=FY","FILING_STATUS=OR","EQY_CONSOLIDATED=Y","Sort=A","Dates=H","DateFormat=P","Fill=—","Direction=H","UseDPDF=Y")</f>
        <v>#NAME?</v>
      </c>
      <c r="CP578" s="2" t="e">
        <f ca="1">_xll.BDH($C$578,"EBITDA","FY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78" s="2" t="e">
        <f ca="1">_xll.BDH($C$578,"EBITDA_AFTER_CAPEX","FY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78" s="2" t="e">
        <f ca="1">_xll.BDH($C$578,"IS_OPER_INC","FY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78" s="1" t="e">
        <f ca="1">_xll.BDH($C$578,"CASH_RATIO","FY 2014","FY 2014","Currency=INR","Period=FY","BEST_FPERIOD_OVERRIDE=FY","FILING_STATUS=OR","EQY_CONSOLIDATED=Y","Sort=A","Dates=H","DateFormat=P","Fill=—","Direction=H","UseDPDF=Y")</f>
        <v>#NAME?</v>
      </c>
      <c r="CT578" s="1" t="e">
        <f ca="1">_xll.BDH($C$578,"CUR_RATIO","FY 2014","FY 2014","Currency=INR","Period=FY","BEST_FPERIOD_OVERRIDE=FY","FILING_STATUS=OR","EQY_CONSOLIDATED=Y","Sort=A","Dates=H","DateFormat=P","Fill=—","Direction=H","UseDPDF=Y")</f>
        <v>#NAME?</v>
      </c>
      <c r="CU578" s="1" t="e">
        <f ca="1">_xll.BDH($C$578,"QUICK_RATIO","FY 2014","FY 2014","Currency=INR","Period=FY","BEST_FPERIOD_OVERRIDE=FY","FILING_STATUS=OR","EQY_CONSOLIDATED=Y","Sort=A","Dates=H","DateFormat=P","Fill=—","Direction=H","UseDPDF=Y")</f>
        <v>#NAME?</v>
      </c>
      <c r="CV578" s="1" t="e">
        <f ca="1">_xll.BDH($C$578,"ALTMAN_Z_SCORE","FY 2014","FY 2014","Currency=INR","Period=FY","BEST_FPERIOD_OVERRIDE=FY","FILING_STATUS=OR","EQY_CONSOLIDATED=Y","Sort=A","Dates=H","DateFormat=P","Fill=—","Direction=H","UseDPDF=Y")</f>
        <v>#NAME?</v>
      </c>
      <c r="CW578" s="3" t="e">
        <f ca="1">_xll.BDH($C$578,"ACCT_RCV_TURN","FY 2014","FY 2014","Currency=INR","Period=FY","BEST_FPERIOD_OVERRIDE=FY","FILING_STATUS=OR","EQY_CONSOLIDATED=Y","FA_ADJUSTED=GAAP","Sort=A","Dates=H","DateFormat=P","Fill=—","Direction=H","UseDPDF=Y")</f>
        <v>#NAME?</v>
      </c>
      <c r="CX578" s="1" t="e">
        <f ca="1">_xll.BDH($C$578,"ACCT_RCV_DAYS","FY 2014","FY 2014","Currency=INR","Period=FY","BEST_FPERIOD_OVERRIDE=FY","FILING_STATUS=OR","EQY_CONSOLIDATED=Y","FA_ADJUSTED=GAAP","Sort=A","Dates=H","DateFormat=P","Fill=—","Direction=H","UseDPDF=Y")</f>
        <v>#NAME?</v>
      </c>
      <c r="CY578" s="3" t="e">
        <f ca="1">_xll.BDH($C$578,"INVENT_TURN","FY 2014","FY 2014","Currency=INR","Period=FY","BEST_FPERIOD_OVERRIDE=FY","FILING_STATUS=OR","EQY_CONSOLIDATED=Y","FA_ADJUSTED=GAAP","Sort=A","Dates=H","DateFormat=P","Fill=—","Direction=H","UseDPDF=Y")</f>
        <v>#NAME?</v>
      </c>
      <c r="CZ578" s="1" t="e">
        <f ca="1">_xll.BDH($C$578,"INVENT_DAYS","FY 2014","FY 2014","Currency=INR","Period=FY","BEST_FPERIOD_OVERRIDE=FY","FILING_STATUS=OR","EQY_CONSOLIDATED=Y","FA_ADJUSTED=GAAP","Sort=A","Dates=H","DateFormat=P","Fill=—","Direction=H","UseDPDF=Y")</f>
        <v>#NAME?</v>
      </c>
      <c r="DA578" s="3" t="e">
        <f ca="1">_xll.BDH($C$578,"ACCOUNTS_PAYABLE_TURNOVER","FY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78" s="1" t="e">
        <f ca="1">_xll.BDH($C$578,"ACCOUNTS_PAYABLE_TURNOVER_DAYS","FY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78" s="3" t="e">
        <f ca="1">_xll.BDH($C$578,"CASH_CONVERSION_CYCLE","FY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78" s="3" t="e">
        <f ca="1">_xll.BDH($C$578,"INV_TO_CASH_DAYS","FY 2014","FY 2014","Currency=INR","Period=FY","BEST_FPERIOD_OVERRIDE=FY","FILING_STATUS=OR","EQY_CONSOLIDATED=Y","FA_ADJUSTED=GAAP","Sort=A","Dates=H","DateFormat=P","Fill=—","Direction=H","UseDPDF=Y")</f>
        <v>#NAME?</v>
      </c>
      <c r="DE578" s="4" t="e">
        <f ca="1">_xll.BDH($C$578,"BS_INVENTORIES","FY 2014","FY 2014","Currency=INR","Period=FY","BEST_FPERIOD_OVERRIDE=FY","FILING_STATUS=OR","EQY_CONSOLIDATED=Y","SCALING_FORMAT=MLN","Sort=A","Dates=H","DateFormat=P","Fill=—","Direction=H","UseDPDF=Y")</f>
        <v>#NAME?</v>
      </c>
      <c r="DF578" s="2" t="e">
        <f ca="1">_xll.BDH($C$578,"INVTRY_RAW_MATERIALS","FY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78" s="2" t="e">
        <f ca="1">_xll.BDH($C$578,"INVTRY_IN_PROGRESS","FY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78" s="2" t="e">
        <f ca="1">_xll.BDH($C$578,"INVTRY_FINISHED_GOODS","FY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78" s="2" t="e">
        <f ca="1">_xll.BDH($C$578,"BS_OTHER_INV","FY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79" spans="1:113" x14ac:dyDescent="0.3">
      <c r="A579" s="6"/>
      <c r="B579" s="6"/>
      <c r="C579" s="6"/>
      <c r="D579" s="6"/>
      <c r="E579" t="s">
        <v>4</v>
      </c>
      <c r="F579" t="e">
        <f ca="1">_xll.BDH($C$578,"RETURN_COM_EQY","FQ1 2014","FQ1 2014","Currency=INR","Period=FQ","BEST_FPERIOD_OVERRIDE=FQ","FILING_STATUS=OR","EQY_CONSOLIDATED=Y","FA_ADJUSTED=GAAP","Sort=A","Dates=H","DateFormat=P","Fill=—","Direction=H","UseDPDF=Y")</f>
        <v>#NAME?</v>
      </c>
      <c r="G579" t="e">
        <f ca="1">_xll.BDH($C$578,"RETURN_ON_ASSET","FQ1 2014","FQ1 2014","Currency=INR","Period=FQ","BEST_FPERIOD_OVERRIDE=FQ","FILING_STATUS=OR","EQY_CONSOLIDATED=Y","FA_ADJUSTED=GAAP","Sort=A","Dates=H","DateFormat=P","Fill=—","Direction=H","UseDPDF=Y")</f>
        <v>#NAME?</v>
      </c>
      <c r="H579" t="e">
        <f ca="1">_xll.BDH($C$578,"RETURN_ON_CAP","FQ1 2014","FQ1 2014","Currency=INR","Period=FQ","BEST_FPERIOD_OVERRIDE=FQ","FILING_STATUS=OR","EQY_CONSOLIDATED=Y","FA_ADJUSTED=GAAP","Sort=A","Dates=H","DateFormat=P","Fill=—","Direction=H","UseDPDF=Y")</f>
        <v>#NAME?</v>
      </c>
      <c r="I579" t="e">
        <f ca="1">_xll.BDH($C$578,"RETURN_ON_INV_CAPITAL","FQ1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79" t="e">
        <f ca="1">_xll.BDH($C$578,"EBITDA_TO_REVENUE","FQ1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579" t="e">
        <f ca="1">_xll.BDH($C$578,"OPER_MARGIN","FQ1 2014","FQ1 2014","Currency=INR","Period=FQ","BEST_FPERIOD_OVERRIDE=FQ","FILING_STATUS=OR","EQY_CONSOLIDATED=Y","FA_ADJUSTED=GAAP","Sort=A","Dates=H","DateFormat=P","Fill=—","Direction=H","UseDPDF=Y")</f>
        <v>#NAME?</v>
      </c>
      <c r="L579" t="e">
        <f ca="1">_xll.BDH($C$578,"INCREMENTAL_OPERATING_MARGIN","FQ1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79" t="e">
        <f ca="1">_xll.BDH($C$578,"PRETAX_INC_TO_NET_SALES","FQ1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79" t="e">
        <f ca="1">_xll.BDH($C$578,"INC_BEF_XO_ITEMS_TO_NET_SALES","FQ1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79" t="e">
        <f ca="1">_xll.BDH($C$578,"PROF_MARGIN","FQ1 2014","FQ1 2014","Currency=INR","Period=FQ","BEST_FPERIOD_OVERRIDE=FQ","FILING_STATUS=OR","EQY_CONSOLIDATED=Y","FA_ADJUSTED=GAAP","Sort=A","Dates=H","DateFormat=P","Fill=—","Direction=H","UseDPDF=Y")</f>
        <v>#NAME?</v>
      </c>
      <c r="P579" t="e">
        <f ca="1">_xll.BDH($C$578,"NET_INCOME_TO_COMMON_MARGIN","FQ1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79" t="e">
        <f ca="1">_xll.BDH($C$578,"EFF_TAX_RATE","FQ1 2014","FQ1 2014","Currency=INR","Period=FQ","BEST_FPERIOD_OVERRIDE=FQ","FILING_STATUS=OR","EQY_CONSOLIDATED=Y","FA_ADJUSTED=GAAP","Sort=A","Dates=H","DateFormat=P","Fill=—","Direction=H","UseDPDF=Y")</f>
        <v>#NAME?</v>
      </c>
      <c r="R579" t="e">
        <f ca="1">_xll.BDH($C$578,"DVD_PAYOUT_RATIO","FQ1 2014","FQ1 2014","Currency=INR","Period=FQ","BEST_FPERIOD_OVERRIDE=FQ","FILING_STATUS=OR","EQY_CONSOLIDATED=Y","FA_ADJUSTED=GAAP","Sort=A","Dates=H","DateFormat=P","Fill=—","Direction=H","UseDPDF=Y")</f>
        <v>#NAME?</v>
      </c>
      <c r="S579" t="e">
        <f ca="1">_xll.BDH($C$578,"SUSTAIN_GROWTH_RT","FQ1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579" s="1" t="e">
        <f ca="1">_xll.BDH($C$578,"SALES_GROWTH","FQ1 2014","FQ1 2014","Currency=INR","Period=FQ","BEST_FPERIOD_OVERRIDE=FQ","FILING_STATUS=OR","EQY_CONSOLIDATED=Y","FA_ADJUSTED=GAAP","Sort=A","Dates=H","DateFormat=P","Fill=—","Direction=H","UseDPDF=Y")</f>
        <v>#NAME?</v>
      </c>
      <c r="U579" s="1" t="e">
        <f ca="1">_xll.BDH($C$578,"EBITDA_GROWTH","FQ1 2014","FQ1 2014","Currency=INR","Period=FQ","BEST_FPERIOD_OVERRIDE=FQ","FILING_STATUS=OR","EQY_CONSOLIDATED=Y","FA_ADJUSTED=GAAP","Sort=A","Dates=H","DateFormat=P","Fill=—","Direction=H","UseDPDF=Y")</f>
        <v>#NAME?</v>
      </c>
      <c r="V579" s="1" t="e">
        <f ca="1">_xll.BDH($C$578,"OPER_INC_GROWTH","FQ1 2014","FQ1 2014","Currency=INR","Period=FQ","BEST_FPERIOD_OVERRIDE=FQ","FILING_STATUS=OR","EQY_CONSOLIDATED=Y","FA_ADJUSTED=GAAP","Sort=A","Dates=H","DateFormat=P","Fill=—","Direction=H","UseDPDF=Y")</f>
        <v>#NAME?</v>
      </c>
      <c r="W579" s="1" t="e">
        <f ca="1">_xll.BDH($C$578,"EARN_FOR_COM_GROWTH","FQ1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79" s="1" t="e">
        <f ca="1">_xll.BDH($C$578,"DILUTED_EPS_AFT_XO_ITEMS_GROWTH","FQ1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79" s="1" t="e">
        <f ca="1">_xll.BDH($C$578,"DIVIDEND_PER_SHARE_1_YEAR_GROWTH","FQ1 2014","FQ1 2014","Currency=INR","Period=FQ","BEST_FPERIOD_OVERRIDE=FQ","FILING_STATUS=OR","EQY_CONSOLIDATED=Y","Sort=A","Dates=H","DateFormat=P","Fill=—","Direction=H","UseDPDF=Y")</f>
        <v>#NAME?</v>
      </c>
      <c r="Z579" s="1" t="e">
        <f ca="1">_xll.BDH($C$578,"ACCOUNTS_RECEIVABLE_GROWTH","FQ1 2014","FQ1 2014","Currency=INR","Period=FQ","BEST_FPERIOD_OVERRIDE=FQ","FILING_STATUS=OR","EQY_CONSOLIDATED=Y","Sort=A","Dates=H","DateFormat=P","Fill=—","Direction=H","UseDPDF=Y")</f>
        <v>#NAME?</v>
      </c>
      <c r="AA579" s="1" t="e">
        <f ca="1">_xll.BDH($C$578,"INVENTORY_GROWTH","FQ1 2014","FQ1 2014","Currency=INR","Period=FQ","BEST_FPERIOD_OVERRIDE=FQ","FILING_STATUS=OR","EQY_CONSOLIDATED=Y","Sort=A","Dates=H","DateFormat=P","Fill=—","Direction=H","UseDPDF=Y")</f>
        <v>#NAME?</v>
      </c>
      <c r="AB579" s="1" t="e">
        <f ca="1">_xll.BDH($C$578,"NET_FIXED_ASSETS_1_YEAR_GROWTH","FQ1 2014","FQ1 2014","Currency=INR","Period=FQ","BEST_FPERIOD_OVERRIDE=FQ","FILING_STATUS=OR","EQY_CONSOLIDATED=Y","Sort=A","Dates=H","DateFormat=P","Fill=—","Direction=H","UseDPDF=Y")</f>
        <v>#NAME?</v>
      </c>
      <c r="AC579" s="1" t="e">
        <f ca="1">_xll.BDH($C$578,"ASSET_GROWTH","FQ1 2014","FQ1 2014","Currency=INR","Period=FQ","BEST_FPERIOD_OVERRIDE=FQ","FILING_STATUS=OR","EQY_CONSOLIDATED=Y","Sort=A","Dates=H","DateFormat=P","Fill=—","Direction=H","UseDPDF=Y")</f>
        <v>#NAME?</v>
      </c>
      <c r="AD579" s="1" t="e">
        <f ca="1">_xll.BDH($C$578,"MODIFIED_WORK_CAP_GROWTH","FQ1 2014","FQ1 2014","Currency=INR","Period=FQ","BEST_FPERIOD_OVERRIDE=FQ","FILING_STATUS=OR","EQY_CONSOLIDATED=Y","Sort=A","Dates=H","DateFormat=P","Fill=—","Direction=H","UseDPDF=Y")</f>
        <v>#NAME?</v>
      </c>
      <c r="AE579" s="1" t="e">
        <f ca="1">_xll.BDH($C$578,"WORK_CAP_GROWTH","FQ1 2014","FQ1 2014","Currency=INR","Period=FQ","BEST_FPERIOD_OVERRIDE=FQ","FILING_STATUS=OR","EQY_CONSOLIDATED=Y","Sort=A","Dates=H","DateFormat=P","Fill=—","Direction=H","UseDPDF=Y")</f>
        <v>#NAME?</v>
      </c>
      <c r="AF579" s="1" t="e">
        <f ca="1">_xll.BDH($C$578,"ACCOUNTS_PAYABLE_GROWTH_1YR","FQ1 2014","FQ1 2014","Currency=INR","Period=FQ","BEST_FPERIOD_OVERRIDE=FQ","FILING_STATUS=OR","EQY_CONSOLIDATED=Y","Sort=A","Dates=H","DateFormat=P","Fill=—","Direction=H","UseDPDF=Y")</f>
        <v>#NAME?</v>
      </c>
      <c r="AG579" s="1" t="e">
        <f ca="1">_xll.BDH($C$578,"SHORT_TERM_DEBT_1_YEAR_GROWTH","FQ1 2014","FQ1 2014","Currency=INR","Period=FQ","BEST_FPERIOD_OVERRIDE=FQ","FILING_STATUS=OR","EQY_CONSOLIDATED=Y","Sort=A","Dates=H","DateFormat=P","Fill=—","Direction=H","UseDPDF=Y")</f>
        <v>#NAME?</v>
      </c>
      <c r="AH579" s="1" t="e">
        <f ca="1">_xll.BDH($C$578,"TOTAL_DEBT_1_YEAR_GROWTH","FQ1 2014","FQ1 2014","Currency=INR","Period=FQ","BEST_FPERIOD_OVERRIDE=FQ","FILING_STATUS=OR","EQY_CONSOLIDATED=Y","Sort=A","Dates=H","DateFormat=P","Fill=—","Direction=H","UseDPDF=Y")</f>
        <v>#NAME?</v>
      </c>
      <c r="AI579" s="1" t="e">
        <f ca="1">_xll.BDH($C$578,"TOTAL_EQUITY_1_YEAR_GROWTH","FQ1 2014","FQ1 2014","Currency=INR","Period=FQ","BEST_FPERIOD_OVERRIDE=FQ","FILING_STATUS=OR","EQY_CONSOLIDATED=Y","Sort=A","Dates=H","DateFormat=P","Fill=—","Direction=H","UseDPDF=Y")</f>
        <v>#NAME?</v>
      </c>
      <c r="AJ579" s="1" t="e">
        <f ca="1">_xll.BDH($C$578,"GROWTH_IN_CAP","FQ1 2014","FQ1 2014","Currency=INR","Period=FQ","BEST_FPERIOD_OVERRIDE=FQ","FILING_STATUS=OR","EQY_CONSOLIDATED=Y","Sort=A","Dates=H","DateFormat=P","Fill=—","Direction=H","UseDPDF=Y")</f>
        <v>#NAME?</v>
      </c>
      <c r="AK579" s="1" t="e">
        <f ca="1">_xll.BDH($C$578,"BVPS_GROWTH","FQ1 2014","FQ1 2014","Currency=INR","Period=FQ","BEST_FPERIOD_OVERRIDE=FQ","FILING_STATUS=OR","EQY_CONSOLIDATED=Y","Sort=A","Dates=H","DateFormat=P","Fill=—","Direction=H","UseDPDF=Y")</f>
        <v>#NAME?</v>
      </c>
      <c r="AL579" s="1" t="e">
        <f ca="1">_xll.BDH($C$578,"CASH_FLOW_GROWTH","FQ1 2014","FQ1 2014","Currency=INR","Period=FQ","BEST_FPERIOD_OVERRIDE=FQ","FILING_STATUS=OR","EQY_CONSOLIDATED=Y","Sort=A","Dates=H","DateFormat=P","Fill=—","Direction=H","UseDPDF=Y")</f>
        <v>#NAME?</v>
      </c>
      <c r="AM579" s="1" t="e">
        <f ca="1">_xll.BDH($C$578,"GEO_GROW_NET_SALES","FQ1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79" s="1" t="e">
        <f ca="1">_xll.BDH($C$578,"GEO_GROW_EBITDA","FQ1 2014","FQ1 2014","Currency=INR","Period=FQ","BEST_FPERIOD_OVERRIDE=FQ","FILING_STATUS=OR","EQY_CONSOLIDATED=Y","FA_ADJUSTED=GAAP","Sort=A","Dates=H","DateFormat=P","Fill=—","Direction=H","UseDPDF=Y")</f>
        <v>#NAME?</v>
      </c>
      <c r="AO579" s="1" t="e">
        <f ca="1">_xll.BDH($C$578,"GEO_GROW_OPER_INC","FQ1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79" s="1" t="e">
        <f ca="1">_xll.BDH($C$578,"NET_INCOME_TO_COMMON_5_YR_GROWTH","FQ1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79" s="1" t="e">
        <f ca="1">_xll.BDH($C$578,"5Y_GEO_GROWTH_DILUTED_EPS","FQ1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79" s="1" t="e">
        <f ca="1">_xll.BDH($C$578,"GEO_GROW_DVD_PER_SH","FQ1 2014","FQ1 2014","Currency=INR","Period=FQ","BEST_FPERIOD_OVERRIDE=FQ","FILING_STATUS=OR","EQY_CONSOLIDATED=Y","Sort=A","Dates=H","DateFormat=P","Fill=—","Direction=H","UseDPDF=Y")</f>
        <v>#NAME?</v>
      </c>
      <c r="AS579" s="1" t="e">
        <f ca="1">_xll.BDH($C$578,"ACCOUNTS_RECEIVABLE_5_YR_GROWTH","FQ1 2014","FQ1 2014","Currency=INR","Period=FQ","BEST_FPERIOD_OVERRIDE=FQ","FILING_STATUS=OR","EQY_CONSOLIDATED=Y","Sort=A","Dates=H","DateFormat=P","Fill=—","Direction=H","UseDPDF=Y")</f>
        <v>#NAME?</v>
      </c>
      <c r="AT579" s="1" t="e">
        <f ca="1">_xll.BDH($C$578,"INVENTORY_5_YEAR_GROWTH","FQ1 2014","FQ1 2014","Currency=INR","Period=FQ","BEST_FPERIOD_OVERRIDE=FQ","FILING_STATUS=OR","EQY_CONSOLIDATED=Y","Sort=A","Dates=H","DateFormat=P","Fill=—","Direction=H","UseDPDF=Y")</f>
        <v>#NAME?</v>
      </c>
      <c r="AU579" s="1" t="e">
        <f ca="1">_xll.BDH($C$578,"NET_FIXED_ASSETS_5_YEAR_GROWTH","FQ1 2014","FQ1 2014","Currency=INR","Period=FQ","BEST_FPERIOD_OVERRIDE=FQ","FILING_STATUS=OR","EQY_CONSOLIDATED=Y","Sort=A","Dates=H","DateFormat=P","Fill=—","Direction=H","UseDPDF=Y")</f>
        <v>#NAME?</v>
      </c>
      <c r="AV579" s="1" t="e">
        <f ca="1">_xll.BDH($C$578,"GEO_GROW_TOT_ASSET","FQ1 2014","FQ1 2014","Currency=INR","Period=FQ","BEST_FPERIOD_OVERRIDE=FQ","FILING_STATUS=OR","EQY_CONSOLIDATED=Y","Sort=A","Dates=H","DateFormat=P","Fill=—","Direction=H","UseDPDF=Y")</f>
        <v>#NAME?</v>
      </c>
      <c r="AW579" s="1" t="e">
        <f ca="1">_xll.BDH($C$578,"MODIFIED_WORKING_CPTL_5YR_GRWTH","FQ1 2014","FQ1 2014","Currency=INR","Period=FQ","BEST_FPERIOD_OVERRIDE=FQ","FILING_STATUS=OR","EQY_CONSOLIDATED=Y","Sort=A","Dates=H","DateFormat=P","Fill=—","Direction=H","UseDPDF=Y")</f>
        <v>#NAME?</v>
      </c>
      <c r="AX579" s="1" t="e">
        <f ca="1">_xll.BDH($C$578,"WORKING_CAPITAL_5_YEAR_GROWTH","FQ1 2014","FQ1 2014","Currency=INR","Period=FQ","BEST_FPERIOD_OVERRIDE=FQ","FILING_STATUS=OR","EQY_CONSOLIDATED=Y","Sort=A","Dates=H","DateFormat=P","Fill=—","Direction=H","UseDPDF=Y")</f>
        <v>#NAME?</v>
      </c>
      <c r="AY579" s="1" t="e">
        <f ca="1">_xll.BDH($C$578,"ACCOUNTS_PAYABLE_5_YEAR_GROWTH","FQ1 2014","FQ1 2014","Currency=INR","Period=FQ","BEST_FPERIOD_OVERRIDE=FQ","FILING_STATUS=OR","EQY_CONSOLIDATED=Y","Sort=A","Dates=H","DateFormat=P","Fill=—","Direction=H","UseDPDF=Y")</f>
        <v>#NAME?</v>
      </c>
      <c r="AZ579" s="1" t="e">
        <f ca="1">_xll.BDH($C$578,"SHORT_TERM_DEBT_5_YEAR_GROWTH","FQ1 2014","FQ1 2014","Currency=INR","Period=FQ","BEST_FPERIOD_OVERRIDE=FQ","FILING_STATUS=OR","EQY_CONSOLIDATED=Y","Sort=A","Dates=H","DateFormat=P","Fill=—","Direction=H","UseDPDF=Y")</f>
        <v>#NAME?</v>
      </c>
      <c r="BA579" s="1" t="e">
        <f ca="1">_xll.BDH($C$578,"TOTAL_DEBT_5_YEAR_GROWTH","FQ1 2014","FQ1 2014","Currency=INR","Period=FQ","BEST_FPERIOD_OVERRIDE=FQ","FILING_STATUS=OR","EQY_CONSOLIDATED=Y","Sort=A","Dates=H","DateFormat=P","Fill=—","Direction=H","UseDPDF=Y")</f>
        <v>#NAME?</v>
      </c>
      <c r="BB579" s="1" t="e">
        <f ca="1">_xll.BDH($C$578,"GEO_GROW_TOT_SHRHLDR_EQY","FQ1 2014","FQ1 2014","Currency=INR","Period=FQ","BEST_FPERIOD_OVERRIDE=FQ","FILING_STATUS=OR","EQY_CONSOLIDATED=Y","Sort=A","Dates=H","DateFormat=P","Fill=—","Direction=H","UseDPDF=Y")</f>
        <v>#NAME?</v>
      </c>
      <c r="BC579" s="1" t="e">
        <f ca="1">_xll.BDH($C$578,"TOTAL_CAPITAL_5_YEAR_GROWTH","FQ1 2014","FQ1 2014","Currency=INR","Period=FQ","BEST_FPERIOD_OVERRIDE=FQ","FILING_STATUS=OR","EQY_CONSOLIDATED=Y","Sort=A","Dates=H","DateFormat=P","Fill=—","Direction=H","UseDPDF=Y")</f>
        <v>#NAME?</v>
      </c>
      <c r="BD579" s="1" t="e">
        <f ca="1">_xll.BDH($C$578,"GEO_GROW_BOOK_VAL","FQ1 2014","FQ1 2014","Currency=INR","Period=FQ","BEST_FPERIOD_OVERRIDE=FQ","FILING_STATUS=OR","EQY_CONSOLIDATED=Y","Sort=A","Dates=H","DateFormat=P","Fill=—","Direction=H","UseDPDF=Y")</f>
        <v>#NAME?</v>
      </c>
      <c r="BE579" s="1" t="e">
        <f ca="1">_xll.BDH($C$578,"GEO_GROW_CASH_OPER_ACT","FQ1 2014","FQ1 2014","Currency=INR","Period=FQ","BEST_FPERIOD_OVERRIDE=FQ","FILING_STATUS=OR","EQY_CONSOLIDATED=Y","Sort=A","Dates=H","DateFormat=P","Fill=—","Direction=H","UseDPDF=Y")</f>
        <v>#NAME?</v>
      </c>
      <c r="BF579" s="1" t="e">
        <f ca="1">_xll.BDH($C$578,"REVENUE_SEQUENTIAL_GROWTH","FQ1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79" s="1" t="e">
        <f ca="1">_xll.BDH($C$578,"EBITDA_SEQUENTIAL_GROWTH","FQ1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79" s="1" t="e">
        <f ca="1">_xll.BDH($C$578,"OPERATING_INCOME_SEQ_GROWTH","FQ1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79" s="1" t="e">
        <f ca="1">_xll.BDH($C$578,"NET_INCOME_TO_COMMON_SEQ_GROWTH","FQ1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79" s="1" t="e">
        <f ca="1">_xll.BDH($C$578,"EPS_DILUTED_SEQUENTIAL_GROWTH","FQ1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79" s="1" t="e">
        <f ca="1">_xll.BDH($C$578,"DPS_SEQUENTIAL_GROWTH","FQ1 2014","FQ1 2014","Currency=INR","Period=FQ","BEST_FPERIOD_OVERRIDE=FQ","FILING_STATUS=OR","EQY_CONSOLIDATED=Y","Sort=A","Dates=H","DateFormat=P","Fill=—","Direction=H","UseDPDF=Y")</f>
        <v>#NAME?</v>
      </c>
      <c r="BL579" s="1" t="e">
        <f ca="1">_xll.BDH($C$578,"ACCOUNTS_RECEIVABLE_SEQ_GROWTH","FQ1 2014","FQ1 2014","Currency=INR","Period=FQ","BEST_FPERIOD_OVERRIDE=FQ","FILING_STATUS=OR","EQY_CONSOLIDATED=Y","Sort=A","Dates=H","DateFormat=P","Fill=—","Direction=H","UseDPDF=Y")</f>
        <v>#NAME?</v>
      </c>
      <c r="BM579" s="1" t="e">
        <f ca="1">_xll.BDH($C$578,"INVENTORY_SEQUENTIAL_GROWTH","FQ1 2014","FQ1 2014","Currency=INR","Period=FQ","BEST_FPERIOD_OVERRIDE=FQ","FILING_STATUS=OR","EQY_CONSOLIDATED=Y","Sort=A","Dates=H","DateFormat=P","Fill=—","Direction=H","UseDPDF=Y")</f>
        <v>#NAME?</v>
      </c>
      <c r="BN579" s="1" t="e">
        <f ca="1">_xll.BDH($C$578,"FIXED_ASSETS_SEQUENTIAL_GROWTH","FQ1 2014","FQ1 2014","Currency=INR","Period=FQ","BEST_FPERIOD_OVERRIDE=FQ","FILING_STATUS=OR","EQY_CONSOLIDATED=Y","Sort=A","Dates=H","DateFormat=P","Fill=—","Direction=H","UseDPDF=Y")</f>
        <v>#NAME?</v>
      </c>
      <c r="BO579" s="1" t="e">
        <f ca="1">_xll.BDH($C$578,"TOTAL_ASSETS_SEQUENTIAL_GROWTH","FQ1 2014","FQ1 2014","Currency=INR","Period=FQ","BEST_FPERIOD_OVERRIDE=FQ","FILING_STATUS=OR","EQY_CONSOLIDATED=Y","Sort=A","Dates=H","DateFormat=P","Fill=—","Direction=H","UseDPDF=Y")</f>
        <v>#NAME?</v>
      </c>
      <c r="BP579" s="1" t="e">
        <f ca="1">_xll.BDH($C$578,"MODIFIED_WORKING_CPTL_SEQ_GRWTH","FQ1 2014","FQ1 2014","Currency=INR","Period=FQ","BEST_FPERIOD_OVERRIDE=FQ","FILING_STATUS=OR","EQY_CONSOLIDATED=Y","Sort=A","Dates=H","DateFormat=P","Fill=—","Direction=H","UseDPDF=Y")</f>
        <v>#NAME?</v>
      </c>
      <c r="BQ579" s="1" t="e">
        <f ca="1">_xll.BDH($C$578,"WORKING_CAPITAL_SEQ_GROWTH","FQ1 2014","FQ1 2014","Currency=INR","Period=FQ","BEST_FPERIOD_OVERRIDE=FQ","FILING_STATUS=OR","EQY_CONSOLIDATED=Y","Sort=A","Dates=H","DateFormat=P","Fill=—","Direction=H","UseDPDF=Y")</f>
        <v>#NAME?</v>
      </c>
      <c r="BR579" s="1" t="e">
        <f ca="1">_xll.BDH($C$578,"ACCOUNTS_PAYABLE_SEQ_GROWTH","FQ1 2014","FQ1 2014","Currency=INR","Period=FQ","BEST_FPERIOD_OVERRIDE=FQ","FILING_STATUS=OR","EQY_CONSOLIDATED=Y","Sort=A","Dates=H","DateFormat=P","Fill=—","Direction=H","UseDPDF=Y")</f>
        <v>#NAME?</v>
      </c>
      <c r="BS579" s="1" t="e">
        <f ca="1">_xll.BDH($C$578,"ST_DEBT_SEQUENTIAL_GROWTH","FQ1 2014","FQ1 2014","Currency=INR","Period=FQ","BEST_FPERIOD_OVERRIDE=FQ","FILING_STATUS=OR","EQY_CONSOLIDATED=Y","Sort=A","Dates=H","DateFormat=P","Fill=—","Direction=H","UseDPDF=Y")</f>
        <v>#NAME?</v>
      </c>
      <c r="BT579" s="1" t="e">
        <f ca="1">_xll.BDH($C$578,"TOTAL_DEBT_SEQUENTIAL_GROWTH","FQ1 2014","FQ1 2014","Currency=INR","Period=FQ","BEST_FPERIOD_OVERRIDE=FQ","FILING_STATUS=OR","EQY_CONSOLIDATED=Y","Sort=A","Dates=H","DateFormat=P","Fill=—","Direction=H","UseDPDF=Y")</f>
        <v>#NAME?</v>
      </c>
      <c r="BU579" s="1" t="e">
        <f ca="1">_xll.BDH($C$578,"TOTAL_EQUITY_SEQUENTIAL_GROWTH","FQ1 2014","FQ1 2014","Currency=INR","Period=FQ","BEST_FPERIOD_OVERRIDE=FQ","FILING_STATUS=OR","EQY_CONSOLIDATED=Y","Sort=A","Dates=H","DateFormat=P","Fill=—","Direction=H","UseDPDF=Y")</f>
        <v>#NAME?</v>
      </c>
      <c r="BV579" s="1" t="e">
        <f ca="1">_xll.BDH($C$578,"TOTAL_CAPITAL_SEQUENTIAL_GROWTH","FQ1 2014","FQ1 2014","Currency=INR","Period=FQ","BEST_FPERIOD_OVERRIDE=FQ","FILING_STATUS=OR","EQY_CONSOLIDATED=Y","Sort=A","Dates=H","DateFormat=P","Fill=—","Direction=H","UseDPDF=Y")</f>
        <v>#NAME?</v>
      </c>
      <c r="BW579" s="1" t="e">
        <f ca="1">_xll.BDH($C$578,"BPS_SEQUENTIAL_GROWTH","FQ1 2014","FQ1 2014","Currency=INR","Period=FQ","BEST_FPERIOD_OVERRIDE=FQ","FILING_STATUS=OR","EQY_CONSOLIDATED=Y","Sort=A","Dates=H","DateFormat=P","Fill=—","Direction=H","UseDPDF=Y")</f>
        <v>#NAME?</v>
      </c>
      <c r="BX579" s="1" t="e">
        <f ca="1">_xll.BDH($C$578,"CFO_SEQUENTIAL_GROWTH","FQ1 2014","FQ1 2014","Currency=INR","Period=FQ","BEST_FPERIOD_OVERRIDE=FQ","FILING_STATUS=OR","EQY_CONSOLIDATED=Y","Sort=A","Dates=H","DateFormat=P","Fill=—","Direction=H","UseDPDF=Y")</f>
        <v>#NAME?</v>
      </c>
      <c r="BY579" s="2" t="e">
        <f ca="1">_xll.BDH($C$578,"SHORT_AND_LONG_TERM_DEBT","FQ1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79" s="2" t="e">
        <f ca="1">_xll.BDH($C$578,"BS_ST_BORROW","FQ1 2014","FQ1 2014","Currency=INR","Period=FQ","BEST_FPERIOD_OVERRIDE=FQ","FILING_STATUS=OR","EQY_CONSOLIDATED=Y","SCALING_FORMAT=MLN","Sort=A","Dates=H","DateFormat=P","Fill=—","Direction=H","UseDPDF=Y")</f>
        <v>#NAME?</v>
      </c>
      <c r="CA579" s="2" t="e">
        <f ca="1">_xll.BDH($C$578,"BS_LT_BORROW","FQ1 2014","FQ1 2014","Currency=INR","Period=FQ","BEST_FPERIOD_OVERRIDE=FQ","FILING_STATUS=OR","EQY_CONSOLIDATED=Y","SCALING_FORMAT=MLN","Sort=A","Dates=H","DateFormat=P","Fill=—","Direction=H","UseDPDF=Y")</f>
        <v>#NAME?</v>
      </c>
      <c r="CB579" s="1" t="e">
        <f ca="1">_xll.BDH($C$578,"TOT_DEBT_TO_EBITDA","FQ1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79" s="1" t="e">
        <f ca="1">_xll.BDH($C$578,"NET_DEBT_TO_EBITDA","FQ1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79" s="1" t="e">
        <f ca="1">_xll.BDH($C$578,"TOTAL_DEBT_TO_EBIT","FQ1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79" s="1" t="e">
        <f ca="1">_xll.BDH($C$578,"NET_DEBT_TO_EBIT","FQ1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579" s="1" t="e">
        <f ca="1">_xll.BDH($C$578,"EBITDA_TO_INTEREST_EXPN","FQ1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79" s="1" t="e">
        <f ca="1">_xll.BDH($C$578,"COM_EQY_TO_TOT_ASSET","FQ1 2014","FQ1 2014","Currency=INR","Period=FQ","BEST_FPERIOD_OVERRIDE=FQ","FILING_STATUS=OR","EQY_CONSOLIDATED=Y","Sort=A","Dates=H","DateFormat=P","Fill=—","Direction=H","UseDPDF=Y")</f>
        <v>#NAME?</v>
      </c>
      <c r="CH579" s="1" t="e">
        <f ca="1">_xll.BDH($C$578,"LT_DEBT_TO_TOT_EQY","FQ1 2014","FQ1 2014","Currency=INR","Period=FQ","BEST_FPERIOD_OVERRIDE=FQ","FILING_STATUS=OR","EQY_CONSOLIDATED=Y","Sort=A","Dates=H","DateFormat=P","Fill=—","Direction=H","UseDPDF=Y")</f>
        <v>#NAME?</v>
      </c>
      <c r="CI579" s="1" t="e">
        <f ca="1">_xll.BDH($C$578,"LT_DEBT_TO_TOT_CAP","FQ1 2014","FQ1 2014","Currency=INR","Period=FQ","BEST_FPERIOD_OVERRIDE=FQ","FILING_STATUS=OR","EQY_CONSOLIDATED=Y","Sort=A","Dates=H","DateFormat=P","Fill=—","Direction=H","UseDPDF=Y")</f>
        <v>#NAME?</v>
      </c>
      <c r="CJ579" s="1" t="e">
        <f ca="1">_xll.BDH($C$578,"LT_DEBT_TO_TOT_ASSET","FQ1 2014","FQ1 2014","Currency=INR","Period=FQ","BEST_FPERIOD_OVERRIDE=FQ","FILING_STATUS=OR","EQY_CONSOLIDATED=Y","Sort=A","Dates=H","DateFormat=P","Fill=—","Direction=H","UseDPDF=Y")</f>
        <v>#NAME?</v>
      </c>
      <c r="CK579" s="1" t="e">
        <f ca="1">_xll.BDH($C$578,"TOT_DEBT_TO_TOT_EQY","FQ1 2014","FQ1 2014","Currency=INR","Period=FQ","BEST_FPERIOD_OVERRIDE=FQ","FILING_STATUS=OR","EQY_CONSOLIDATED=Y","Sort=A","Dates=H","DateFormat=P","Fill=—","Direction=H","UseDPDF=Y")</f>
        <v>#NAME?</v>
      </c>
      <c r="CL579" s="1" t="e">
        <f ca="1">_xll.BDH($C$578,"TOT_DEBT_TO_TOT_CAP","FQ1 2014","FQ1 2014","Currency=INR","Period=FQ","BEST_FPERIOD_OVERRIDE=FQ","FILING_STATUS=OR","EQY_CONSOLIDATED=Y","Sort=A","Dates=H","DateFormat=P","Fill=—","Direction=H","UseDPDF=Y")</f>
        <v>#NAME?</v>
      </c>
      <c r="CM579" s="1" t="e">
        <f ca="1">_xll.BDH($C$578,"TOT_DEBT_TO_TOT_ASSET","FQ1 2014","FQ1 2014","Currency=INR","Period=FQ","BEST_FPERIOD_OVERRIDE=FQ","FILING_STATUS=OR","EQY_CONSOLIDATED=Y","Sort=A","Dates=H","DateFormat=P","Fill=—","Direction=H","UseDPDF=Y")</f>
        <v>#NAME?</v>
      </c>
      <c r="CN579" s="1" t="e">
        <f ca="1">_xll.BDH($C$578,"NET_DEBT_TO_SHRHLDR_EQTY","FQ1 2014","FQ1 2014","Currency=INR","Period=FQ","BEST_FPERIOD_OVERRIDE=FQ","FILING_STATUS=OR","EQY_CONSOLIDATED=Y","Sort=A","Dates=H","DateFormat=P","Fill=—","Direction=H","UseDPDF=Y")</f>
        <v>#NAME?</v>
      </c>
      <c r="CO579" s="1" t="e">
        <f ca="1">_xll.BDH($C$578,"NET_DEBT_%_CAPITAL","FQ1 2014","FQ1 2014","Currency=INR","Period=FQ","BEST_FPERIOD_OVERRIDE=FQ","FILING_STATUS=OR","EQY_CONSOLIDATED=Y","Sort=A","Dates=H","DateFormat=P","Fill=—","Direction=H","UseDPDF=Y")</f>
        <v>#NAME?</v>
      </c>
      <c r="CP579" s="2" t="e">
        <f ca="1">_xll.BDH($C$578,"EBITDA","FQ1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79" s="2" t="e">
        <f ca="1">_xll.BDH($C$578,"EBITDA_AFTER_CAPEX","FQ1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79" s="2" t="e">
        <f ca="1">_xll.BDH($C$578,"IS_OPER_INC","FQ1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79" s="1" t="e">
        <f ca="1">_xll.BDH($C$578,"CASH_RATIO","FQ1 2014","FQ1 2014","Currency=INR","Period=FQ","BEST_FPERIOD_OVERRIDE=FQ","FILING_STATUS=OR","EQY_CONSOLIDATED=Y","Sort=A","Dates=H","DateFormat=P","Fill=—","Direction=H","UseDPDF=Y")</f>
        <v>#NAME?</v>
      </c>
      <c r="CT579" s="1" t="e">
        <f ca="1">_xll.BDH($C$578,"CUR_RATIO","FQ1 2014","FQ1 2014","Currency=INR","Period=FQ","BEST_FPERIOD_OVERRIDE=FQ","FILING_STATUS=OR","EQY_CONSOLIDATED=Y","Sort=A","Dates=H","DateFormat=P","Fill=—","Direction=H","UseDPDF=Y")</f>
        <v>#NAME?</v>
      </c>
      <c r="CU579" s="1" t="e">
        <f ca="1">_xll.BDH($C$578,"QUICK_RATIO","FQ1 2014","FQ1 2014","Currency=INR","Period=FQ","BEST_FPERIOD_OVERRIDE=FQ","FILING_STATUS=OR","EQY_CONSOLIDATED=Y","Sort=A","Dates=H","DateFormat=P","Fill=—","Direction=H","UseDPDF=Y")</f>
        <v>#NAME?</v>
      </c>
      <c r="CV579" s="1" t="e">
        <f ca="1">_xll.BDH($C$578,"ALTMAN_Z_SCORE","FQ1 2014","FQ1 2014","Currency=INR","Period=FQ","BEST_FPERIOD_OVERRIDE=FQ","FILING_STATUS=OR","EQY_CONSOLIDATED=Y","Sort=A","Dates=H","DateFormat=P","Fill=—","Direction=H","UseDPDF=Y")</f>
        <v>#NAME?</v>
      </c>
      <c r="CW579" s="3" t="e">
        <f ca="1">_xll.BDH($C$578,"ACCT_RCV_TURN","FQ1 2014","FQ1 2014","Currency=INR","Period=FQ","BEST_FPERIOD_OVERRIDE=FQ","FILING_STATUS=OR","EQY_CONSOLIDATED=Y","FA_ADJUSTED=GAAP","Sort=A","Dates=H","DateFormat=P","Fill=—","Direction=H","UseDPDF=Y")</f>
        <v>#NAME?</v>
      </c>
      <c r="CX579" s="1" t="e">
        <f ca="1">_xll.BDH($C$578,"ACCT_RCV_DAYS","FQ1 2014","FQ1 2014","Currency=INR","Period=FQ","BEST_FPERIOD_OVERRIDE=FQ","FILING_STATUS=OR","EQY_CONSOLIDATED=Y","FA_ADJUSTED=GAAP","Sort=A","Dates=H","DateFormat=P","Fill=—","Direction=H","UseDPDF=Y")</f>
        <v>#NAME?</v>
      </c>
      <c r="CY579" s="3" t="e">
        <f ca="1">_xll.BDH($C$578,"INVENT_TURN","FQ1 2014","FQ1 2014","Currency=INR","Period=FQ","BEST_FPERIOD_OVERRIDE=FQ","FILING_STATUS=OR","EQY_CONSOLIDATED=Y","FA_ADJUSTED=GAAP","Sort=A","Dates=H","DateFormat=P","Fill=—","Direction=H","UseDPDF=Y")</f>
        <v>#NAME?</v>
      </c>
      <c r="CZ579" s="1" t="e">
        <f ca="1">_xll.BDH($C$578,"INVENT_DAYS","FQ1 2014","FQ1 2014","Currency=INR","Period=FQ","BEST_FPERIOD_OVERRIDE=FQ","FILING_STATUS=OR","EQY_CONSOLIDATED=Y","FA_ADJUSTED=GAAP","Sort=A","Dates=H","DateFormat=P","Fill=—","Direction=H","UseDPDF=Y")</f>
        <v>#NAME?</v>
      </c>
      <c r="DA579" s="3" t="e">
        <f ca="1">_xll.BDH($C$578,"ACCOUNTS_PAYABLE_TURNOVER","FQ1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79" s="1" t="e">
        <f ca="1">_xll.BDH($C$578,"ACCOUNTS_PAYABLE_TURNOVER_DAYS","FQ1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79" s="3" t="e">
        <f ca="1">_xll.BDH($C$578,"CASH_CONVERSION_CYCLE","FQ1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79" s="3" t="e">
        <f ca="1">_xll.BDH($C$578,"INV_TO_CASH_DAYS","FQ1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579" s="4" t="e">
        <f ca="1">_xll.BDH($C$578,"BS_INVENTORIES","FQ1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579" s="2" t="e">
        <f ca="1">_xll.BDH($C$578,"INVTRY_RAW_MATERIALS","FQ1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79" s="2" t="e">
        <f ca="1">_xll.BDH($C$578,"INVTRY_IN_PROGRESS","FQ1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79" s="2" t="e">
        <f ca="1">_xll.BDH($C$578,"INVTRY_FINISHED_GOODS","FQ1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79" s="2" t="e">
        <f ca="1">_xll.BDH($C$578,"BS_OTHER_INV","FQ1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80" spans="1:113" x14ac:dyDescent="0.3">
      <c r="A580" s="6"/>
      <c r="B580" s="6"/>
      <c r="C580" s="6"/>
      <c r="D580" s="6"/>
      <c r="E580" t="s">
        <v>5</v>
      </c>
      <c r="F580" t="e">
        <f ca="1">_xll.BDH($C$578,"RETURN_COM_EQY","FQ2 2014","FQ2 2014","Currency=INR","Period=FQ","BEST_FPERIOD_OVERRIDE=FQ","FILING_STATUS=OR","EQY_CONSOLIDATED=Y","FA_ADJUSTED=GAAP","Sort=A","Dates=H","DateFormat=P","Fill=—","Direction=H","UseDPDF=Y")</f>
        <v>#NAME?</v>
      </c>
      <c r="G580" t="e">
        <f ca="1">_xll.BDH($C$578,"RETURN_ON_ASSET","FQ2 2014","FQ2 2014","Currency=INR","Period=FQ","BEST_FPERIOD_OVERRIDE=FQ","FILING_STATUS=OR","EQY_CONSOLIDATED=Y","FA_ADJUSTED=GAAP","Sort=A","Dates=H","DateFormat=P","Fill=—","Direction=H","UseDPDF=Y")</f>
        <v>#NAME?</v>
      </c>
      <c r="H580" t="e">
        <f ca="1">_xll.BDH($C$578,"RETURN_ON_CAP","FQ2 2014","FQ2 2014","Currency=INR","Period=FQ","BEST_FPERIOD_OVERRIDE=FQ","FILING_STATUS=OR","EQY_CONSOLIDATED=Y","FA_ADJUSTED=GAAP","Sort=A","Dates=H","DateFormat=P","Fill=—","Direction=H","UseDPDF=Y")</f>
        <v>#NAME?</v>
      </c>
      <c r="I580" t="e">
        <f ca="1">_xll.BDH($C$578,"RETURN_ON_INV_CAPITAL","FQ2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80" t="e">
        <f ca="1">_xll.BDH($C$578,"EBITDA_TO_REVENUE","FQ2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580" t="e">
        <f ca="1">_xll.BDH($C$578,"OPER_MARGIN","FQ2 2014","FQ2 2014","Currency=INR","Period=FQ","BEST_FPERIOD_OVERRIDE=FQ","FILING_STATUS=OR","EQY_CONSOLIDATED=Y","FA_ADJUSTED=GAAP","Sort=A","Dates=H","DateFormat=P","Fill=—","Direction=H","UseDPDF=Y")</f>
        <v>#NAME?</v>
      </c>
      <c r="L580" t="e">
        <f ca="1">_xll.BDH($C$578,"INCREMENTAL_OPERATING_MARGIN","FQ2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80" t="e">
        <f ca="1">_xll.BDH($C$578,"PRETAX_INC_TO_NET_SALES","FQ2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80" t="e">
        <f ca="1">_xll.BDH($C$578,"INC_BEF_XO_ITEMS_TO_NET_SALES","FQ2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80" t="e">
        <f ca="1">_xll.BDH($C$578,"PROF_MARGIN","FQ2 2014","FQ2 2014","Currency=INR","Period=FQ","BEST_FPERIOD_OVERRIDE=FQ","FILING_STATUS=OR","EQY_CONSOLIDATED=Y","FA_ADJUSTED=GAAP","Sort=A","Dates=H","DateFormat=P","Fill=—","Direction=H","UseDPDF=Y")</f>
        <v>#NAME?</v>
      </c>
      <c r="P580" t="e">
        <f ca="1">_xll.BDH($C$578,"NET_INCOME_TO_COMMON_MARGIN","FQ2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80" t="e">
        <f ca="1">_xll.BDH($C$578,"EFF_TAX_RATE","FQ2 2014","FQ2 2014","Currency=INR","Period=FQ","BEST_FPERIOD_OVERRIDE=FQ","FILING_STATUS=OR","EQY_CONSOLIDATED=Y","FA_ADJUSTED=GAAP","Sort=A","Dates=H","DateFormat=P","Fill=—","Direction=H","UseDPDF=Y")</f>
        <v>#NAME?</v>
      </c>
      <c r="R580" t="e">
        <f ca="1">_xll.BDH($C$578,"DVD_PAYOUT_RATIO","FQ2 2014","FQ2 2014","Currency=INR","Period=FQ","BEST_FPERIOD_OVERRIDE=FQ","FILING_STATUS=OR","EQY_CONSOLIDATED=Y","FA_ADJUSTED=GAAP","Sort=A","Dates=H","DateFormat=P","Fill=—","Direction=H","UseDPDF=Y")</f>
        <v>#NAME?</v>
      </c>
      <c r="S580" t="e">
        <f ca="1">_xll.BDH($C$578,"SUSTAIN_GROWTH_RT","FQ2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580" s="1" t="e">
        <f ca="1">_xll.BDH($C$578,"SALES_GROWTH","FQ2 2014","FQ2 2014","Currency=INR","Period=FQ","BEST_FPERIOD_OVERRIDE=FQ","FILING_STATUS=OR","EQY_CONSOLIDATED=Y","FA_ADJUSTED=GAAP","Sort=A","Dates=H","DateFormat=P","Fill=—","Direction=H","UseDPDF=Y")</f>
        <v>#NAME?</v>
      </c>
      <c r="U580" s="1" t="e">
        <f ca="1">_xll.BDH($C$578,"EBITDA_GROWTH","FQ2 2014","FQ2 2014","Currency=INR","Period=FQ","BEST_FPERIOD_OVERRIDE=FQ","FILING_STATUS=OR","EQY_CONSOLIDATED=Y","FA_ADJUSTED=GAAP","Sort=A","Dates=H","DateFormat=P","Fill=—","Direction=H","UseDPDF=Y")</f>
        <v>#NAME?</v>
      </c>
      <c r="V580" s="1" t="e">
        <f ca="1">_xll.BDH($C$578,"OPER_INC_GROWTH","FQ2 2014","FQ2 2014","Currency=INR","Period=FQ","BEST_FPERIOD_OVERRIDE=FQ","FILING_STATUS=OR","EQY_CONSOLIDATED=Y","FA_ADJUSTED=GAAP","Sort=A","Dates=H","DateFormat=P","Fill=—","Direction=H","UseDPDF=Y")</f>
        <v>#NAME?</v>
      </c>
      <c r="W580" s="1" t="e">
        <f ca="1">_xll.BDH($C$578,"EARN_FOR_COM_GROWTH","FQ2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80" s="1" t="e">
        <f ca="1">_xll.BDH($C$578,"DILUTED_EPS_AFT_XO_ITEMS_GROWTH","FQ2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80" s="1" t="e">
        <f ca="1">_xll.BDH($C$578,"DIVIDEND_PER_SHARE_1_YEAR_GROWTH","FQ2 2014","FQ2 2014","Currency=INR","Period=FQ","BEST_FPERIOD_OVERRIDE=FQ","FILING_STATUS=OR","EQY_CONSOLIDATED=Y","Sort=A","Dates=H","DateFormat=P","Fill=—","Direction=H","UseDPDF=Y")</f>
        <v>#NAME?</v>
      </c>
      <c r="Z580" s="1" t="e">
        <f ca="1">_xll.BDH($C$578,"ACCOUNTS_RECEIVABLE_GROWTH","FQ2 2014","FQ2 2014","Currency=INR","Period=FQ","BEST_FPERIOD_OVERRIDE=FQ","FILING_STATUS=OR","EQY_CONSOLIDATED=Y","Sort=A","Dates=H","DateFormat=P","Fill=—","Direction=H","UseDPDF=Y")</f>
        <v>#NAME?</v>
      </c>
      <c r="AA580" s="1" t="e">
        <f ca="1">_xll.BDH($C$578,"INVENTORY_GROWTH","FQ2 2014","FQ2 2014","Currency=INR","Period=FQ","BEST_FPERIOD_OVERRIDE=FQ","FILING_STATUS=OR","EQY_CONSOLIDATED=Y","Sort=A","Dates=H","DateFormat=P","Fill=—","Direction=H","UseDPDF=Y")</f>
        <v>#NAME?</v>
      </c>
      <c r="AB580" s="1" t="e">
        <f ca="1">_xll.BDH($C$578,"NET_FIXED_ASSETS_1_YEAR_GROWTH","FQ2 2014","FQ2 2014","Currency=INR","Period=FQ","BEST_FPERIOD_OVERRIDE=FQ","FILING_STATUS=OR","EQY_CONSOLIDATED=Y","Sort=A","Dates=H","DateFormat=P","Fill=—","Direction=H","UseDPDF=Y")</f>
        <v>#NAME?</v>
      </c>
      <c r="AC580" s="1" t="e">
        <f ca="1">_xll.BDH($C$578,"ASSET_GROWTH","FQ2 2014","FQ2 2014","Currency=INR","Period=FQ","BEST_FPERIOD_OVERRIDE=FQ","FILING_STATUS=OR","EQY_CONSOLIDATED=Y","Sort=A","Dates=H","DateFormat=P","Fill=—","Direction=H","UseDPDF=Y")</f>
        <v>#NAME?</v>
      </c>
      <c r="AD580" s="1" t="e">
        <f ca="1">_xll.BDH($C$578,"MODIFIED_WORK_CAP_GROWTH","FQ2 2014","FQ2 2014","Currency=INR","Period=FQ","BEST_FPERIOD_OVERRIDE=FQ","FILING_STATUS=OR","EQY_CONSOLIDATED=Y","Sort=A","Dates=H","DateFormat=P","Fill=—","Direction=H","UseDPDF=Y")</f>
        <v>#NAME?</v>
      </c>
      <c r="AE580" s="1" t="e">
        <f ca="1">_xll.BDH($C$578,"WORK_CAP_GROWTH","FQ2 2014","FQ2 2014","Currency=INR","Period=FQ","BEST_FPERIOD_OVERRIDE=FQ","FILING_STATUS=OR","EQY_CONSOLIDATED=Y","Sort=A","Dates=H","DateFormat=P","Fill=—","Direction=H","UseDPDF=Y")</f>
        <v>#NAME?</v>
      </c>
      <c r="AF580" s="1" t="e">
        <f ca="1">_xll.BDH($C$578,"ACCOUNTS_PAYABLE_GROWTH_1YR","FQ2 2014","FQ2 2014","Currency=INR","Period=FQ","BEST_FPERIOD_OVERRIDE=FQ","FILING_STATUS=OR","EQY_CONSOLIDATED=Y","Sort=A","Dates=H","DateFormat=P","Fill=—","Direction=H","UseDPDF=Y")</f>
        <v>#NAME?</v>
      </c>
      <c r="AG580" s="1" t="e">
        <f ca="1">_xll.BDH($C$578,"SHORT_TERM_DEBT_1_YEAR_GROWTH","FQ2 2014","FQ2 2014","Currency=INR","Period=FQ","BEST_FPERIOD_OVERRIDE=FQ","FILING_STATUS=OR","EQY_CONSOLIDATED=Y","Sort=A","Dates=H","DateFormat=P","Fill=—","Direction=H","UseDPDF=Y")</f>
        <v>#NAME?</v>
      </c>
      <c r="AH580" s="1" t="e">
        <f ca="1">_xll.BDH($C$578,"TOTAL_DEBT_1_YEAR_GROWTH","FQ2 2014","FQ2 2014","Currency=INR","Period=FQ","BEST_FPERIOD_OVERRIDE=FQ","FILING_STATUS=OR","EQY_CONSOLIDATED=Y","Sort=A","Dates=H","DateFormat=P","Fill=—","Direction=H","UseDPDF=Y")</f>
        <v>#NAME?</v>
      </c>
      <c r="AI580" s="1" t="e">
        <f ca="1">_xll.BDH($C$578,"TOTAL_EQUITY_1_YEAR_GROWTH","FQ2 2014","FQ2 2014","Currency=INR","Period=FQ","BEST_FPERIOD_OVERRIDE=FQ","FILING_STATUS=OR","EQY_CONSOLIDATED=Y","Sort=A","Dates=H","DateFormat=P","Fill=—","Direction=H","UseDPDF=Y")</f>
        <v>#NAME?</v>
      </c>
      <c r="AJ580" s="1" t="e">
        <f ca="1">_xll.BDH($C$578,"GROWTH_IN_CAP","FQ2 2014","FQ2 2014","Currency=INR","Period=FQ","BEST_FPERIOD_OVERRIDE=FQ","FILING_STATUS=OR","EQY_CONSOLIDATED=Y","Sort=A","Dates=H","DateFormat=P","Fill=—","Direction=H","UseDPDF=Y")</f>
        <v>#NAME?</v>
      </c>
      <c r="AK580" s="1" t="e">
        <f ca="1">_xll.BDH($C$578,"BVPS_GROWTH","FQ2 2014","FQ2 2014","Currency=INR","Period=FQ","BEST_FPERIOD_OVERRIDE=FQ","FILING_STATUS=OR","EQY_CONSOLIDATED=Y","Sort=A","Dates=H","DateFormat=P","Fill=—","Direction=H","UseDPDF=Y")</f>
        <v>#NAME?</v>
      </c>
      <c r="AL580" s="1" t="e">
        <f ca="1">_xll.BDH($C$578,"CASH_FLOW_GROWTH","FQ2 2014","FQ2 2014","Currency=INR","Period=FQ","BEST_FPERIOD_OVERRIDE=FQ","FILING_STATUS=OR","EQY_CONSOLIDATED=Y","Sort=A","Dates=H","DateFormat=P","Fill=—","Direction=H","UseDPDF=Y")</f>
        <v>#NAME?</v>
      </c>
      <c r="AM580" s="1" t="e">
        <f ca="1">_xll.BDH($C$578,"GEO_GROW_NET_SALES","FQ2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80" s="1" t="e">
        <f ca="1">_xll.BDH($C$578,"GEO_GROW_EBITDA","FQ2 2014","FQ2 2014","Currency=INR","Period=FQ","BEST_FPERIOD_OVERRIDE=FQ","FILING_STATUS=OR","EQY_CONSOLIDATED=Y","FA_ADJUSTED=GAAP","Sort=A","Dates=H","DateFormat=P","Fill=—","Direction=H","UseDPDF=Y")</f>
        <v>#NAME?</v>
      </c>
      <c r="AO580" s="1" t="e">
        <f ca="1">_xll.BDH($C$578,"GEO_GROW_OPER_INC","FQ2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80" s="1" t="e">
        <f ca="1">_xll.BDH($C$578,"NET_INCOME_TO_COMMON_5_YR_GROWTH","FQ2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80" s="1" t="e">
        <f ca="1">_xll.BDH($C$578,"5Y_GEO_GROWTH_DILUTED_EPS","FQ2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80" s="1" t="e">
        <f ca="1">_xll.BDH($C$578,"GEO_GROW_DVD_PER_SH","FQ2 2014","FQ2 2014","Currency=INR","Period=FQ","BEST_FPERIOD_OVERRIDE=FQ","FILING_STATUS=OR","EQY_CONSOLIDATED=Y","Sort=A","Dates=H","DateFormat=P","Fill=—","Direction=H","UseDPDF=Y")</f>
        <v>#NAME?</v>
      </c>
      <c r="AS580" s="1" t="e">
        <f ca="1">_xll.BDH($C$578,"ACCOUNTS_RECEIVABLE_5_YR_GROWTH","FQ2 2014","FQ2 2014","Currency=INR","Period=FQ","BEST_FPERIOD_OVERRIDE=FQ","FILING_STATUS=OR","EQY_CONSOLIDATED=Y","Sort=A","Dates=H","DateFormat=P","Fill=—","Direction=H","UseDPDF=Y")</f>
        <v>#NAME?</v>
      </c>
      <c r="AT580" s="1" t="e">
        <f ca="1">_xll.BDH($C$578,"INVENTORY_5_YEAR_GROWTH","FQ2 2014","FQ2 2014","Currency=INR","Period=FQ","BEST_FPERIOD_OVERRIDE=FQ","FILING_STATUS=OR","EQY_CONSOLIDATED=Y","Sort=A","Dates=H","DateFormat=P","Fill=—","Direction=H","UseDPDF=Y")</f>
        <v>#NAME?</v>
      </c>
      <c r="AU580" s="1" t="e">
        <f ca="1">_xll.BDH($C$578,"NET_FIXED_ASSETS_5_YEAR_GROWTH","FQ2 2014","FQ2 2014","Currency=INR","Period=FQ","BEST_FPERIOD_OVERRIDE=FQ","FILING_STATUS=OR","EQY_CONSOLIDATED=Y","Sort=A","Dates=H","DateFormat=P","Fill=—","Direction=H","UseDPDF=Y")</f>
        <v>#NAME?</v>
      </c>
      <c r="AV580" s="1" t="e">
        <f ca="1">_xll.BDH($C$578,"GEO_GROW_TOT_ASSET","FQ2 2014","FQ2 2014","Currency=INR","Period=FQ","BEST_FPERIOD_OVERRIDE=FQ","FILING_STATUS=OR","EQY_CONSOLIDATED=Y","Sort=A","Dates=H","DateFormat=P","Fill=—","Direction=H","UseDPDF=Y")</f>
        <v>#NAME?</v>
      </c>
      <c r="AW580" s="1" t="e">
        <f ca="1">_xll.BDH($C$578,"MODIFIED_WORKING_CPTL_5YR_GRWTH","FQ2 2014","FQ2 2014","Currency=INR","Period=FQ","BEST_FPERIOD_OVERRIDE=FQ","FILING_STATUS=OR","EQY_CONSOLIDATED=Y","Sort=A","Dates=H","DateFormat=P","Fill=—","Direction=H","UseDPDF=Y")</f>
        <v>#NAME?</v>
      </c>
      <c r="AX580" s="1" t="e">
        <f ca="1">_xll.BDH($C$578,"WORKING_CAPITAL_5_YEAR_GROWTH","FQ2 2014","FQ2 2014","Currency=INR","Period=FQ","BEST_FPERIOD_OVERRIDE=FQ","FILING_STATUS=OR","EQY_CONSOLIDATED=Y","Sort=A","Dates=H","DateFormat=P","Fill=—","Direction=H","UseDPDF=Y")</f>
        <v>#NAME?</v>
      </c>
      <c r="AY580" s="1" t="e">
        <f ca="1">_xll.BDH($C$578,"ACCOUNTS_PAYABLE_5_YEAR_GROWTH","FQ2 2014","FQ2 2014","Currency=INR","Period=FQ","BEST_FPERIOD_OVERRIDE=FQ","FILING_STATUS=OR","EQY_CONSOLIDATED=Y","Sort=A","Dates=H","DateFormat=P","Fill=—","Direction=H","UseDPDF=Y")</f>
        <v>#NAME?</v>
      </c>
      <c r="AZ580" s="1" t="e">
        <f ca="1">_xll.BDH($C$578,"SHORT_TERM_DEBT_5_YEAR_GROWTH","FQ2 2014","FQ2 2014","Currency=INR","Period=FQ","BEST_FPERIOD_OVERRIDE=FQ","FILING_STATUS=OR","EQY_CONSOLIDATED=Y","Sort=A","Dates=H","DateFormat=P","Fill=—","Direction=H","UseDPDF=Y")</f>
        <v>#NAME?</v>
      </c>
      <c r="BA580" s="1" t="e">
        <f ca="1">_xll.BDH($C$578,"TOTAL_DEBT_5_YEAR_GROWTH","FQ2 2014","FQ2 2014","Currency=INR","Period=FQ","BEST_FPERIOD_OVERRIDE=FQ","FILING_STATUS=OR","EQY_CONSOLIDATED=Y","Sort=A","Dates=H","DateFormat=P","Fill=—","Direction=H","UseDPDF=Y")</f>
        <v>#NAME?</v>
      </c>
      <c r="BB580" s="1" t="e">
        <f ca="1">_xll.BDH($C$578,"GEO_GROW_TOT_SHRHLDR_EQY","FQ2 2014","FQ2 2014","Currency=INR","Period=FQ","BEST_FPERIOD_OVERRIDE=FQ","FILING_STATUS=OR","EQY_CONSOLIDATED=Y","Sort=A","Dates=H","DateFormat=P","Fill=—","Direction=H","UseDPDF=Y")</f>
        <v>#NAME?</v>
      </c>
      <c r="BC580" s="1" t="e">
        <f ca="1">_xll.BDH($C$578,"TOTAL_CAPITAL_5_YEAR_GROWTH","FQ2 2014","FQ2 2014","Currency=INR","Period=FQ","BEST_FPERIOD_OVERRIDE=FQ","FILING_STATUS=OR","EQY_CONSOLIDATED=Y","Sort=A","Dates=H","DateFormat=P","Fill=—","Direction=H","UseDPDF=Y")</f>
        <v>#NAME?</v>
      </c>
      <c r="BD580" s="1" t="e">
        <f ca="1">_xll.BDH($C$578,"GEO_GROW_BOOK_VAL","FQ2 2014","FQ2 2014","Currency=INR","Period=FQ","BEST_FPERIOD_OVERRIDE=FQ","FILING_STATUS=OR","EQY_CONSOLIDATED=Y","Sort=A","Dates=H","DateFormat=P","Fill=—","Direction=H","UseDPDF=Y")</f>
        <v>#NAME?</v>
      </c>
      <c r="BE580" s="1" t="e">
        <f ca="1">_xll.BDH($C$578,"GEO_GROW_CASH_OPER_ACT","FQ2 2014","FQ2 2014","Currency=INR","Period=FQ","BEST_FPERIOD_OVERRIDE=FQ","FILING_STATUS=OR","EQY_CONSOLIDATED=Y","Sort=A","Dates=H","DateFormat=P","Fill=—","Direction=H","UseDPDF=Y")</f>
        <v>#NAME?</v>
      </c>
      <c r="BF580" s="1" t="e">
        <f ca="1">_xll.BDH($C$578,"REVENUE_SEQUENTIAL_GROWTH","FQ2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80" s="1" t="e">
        <f ca="1">_xll.BDH($C$578,"EBITDA_SEQUENTIAL_GROWTH","FQ2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80" s="1" t="e">
        <f ca="1">_xll.BDH($C$578,"OPERATING_INCOME_SEQ_GROWTH","FQ2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80" s="1" t="e">
        <f ca="1">_xll.BDH($C$578,"NET_INCOME_TO_COMMON_SEQ_GROWTH","FQ2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80" s="1" t="e">
        <f ca="1">_xll.BDH($C$578,"EPS_DILUTED_SEQUENTIAL_GROWTH","FQ2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80" s="1" t="e">
        <f ca="1">_xll.BDH($C$578,"DPS_SEQUENTIAL_GROWTH","FQ2 2014","FQ2 2014","Currency=INR","Period=FQ","BEST_FPERIOD_OVERRIDE=FQ","FILING_STATUS=OR","EQY_CONSOLIDATED=Y","Sort=A","Dates=H","DateFormat=P","Fill=—","Direction=H","UseDPDF=Y")</f>
        <v>#NAME?</v>
      </c>
      <c r="BL580" s="1" t="e">
        <f ca="1">_xll.BDH($C$578,"ACCOUNTS_RECEIVABLE_SEQ_GROWTH","FQ2 2014","FQ2 2014","Currency=INR","Period=FQ","BEST_FPERIOD_OVERRIDE=FQ","FILING_STATUS=OR","EQY_CONSOLIDATED=Y","Sort=A","Dates=H","DateFormat=P","Fill=—","Direction=H","UseDPDF=Y")</f>
        <v>#NAME?</v>
      </c>
      <c r="BM580" s="1" t="e">
        <f ca="1">_xll.BDH($C$578,"INVENTORY_SEQUENTIAL_GROWTH","FQ2 2014","FQ2 2014","Currency=INR","Period=FQ","BEST_FPERIOD_OVERRIDE=FQ","FILING_STATUS=OR","EQY_CONSOLIDATED=Y","Sort=A","Dates=H","DateFormat=P","Fill=—","Direction=H","UseDPDF=Y")</f>
        <v>#NAME?</v>
      </c>
      <c r="BN580" s="1" t="e">
        <f ca="1">_xll.BDH($C$578,"FIXED_ASSETS_SEQUENTIAL_GROWTH","FQ2 2014","FQ2 2014","Currency=INR","Period=FQ","BEST_FPERIOD_OVERRIDE=FQ","FILING_STATUS=OR","EQY_CONSOLIDATED=Y","Sort=A","Dates=H","DateFormat=P","Fill=—","Direction=H","UseDPDF=Y")</f>
        <v>#NAME?</v>
      </c>
      <c r="BO580" s="1" t="e">
        <f ca="1">_xll.BDH($C$578,"TOTAL_ASSETS_SEQUENTIAL_GROWTH","FQ2 2014","FQ2 2014","Currency=INR","Period=FQ","BEST_FPERIOD_OVERRIDE=FQ","FILING_STATUS=OR","EQY_CONSOLIDATED=Y","Sort=A","Dates=H","DateFormat=P","Fill=—","Direction=H","UseDPDF=Y")</f>
        <v>#NAME?</v>
      </c>
      <c r="BP580" s="1" t="e">
        <f ca="1">_xll.BDH($C$578,"MODIFIED_WORKING_CPTL_SEQ_GRWTH","FQ2 2014","FQ2 2014","Currency=INR","Period=FQ","BEST_FPERIOD_OVERRIDE=FQ","FILING_STATUS=OR","EQY_CONSOLIDATED=Y","Sort=A","Dates=H","DateFormat=P","Fill=—","Direction=H","UseDPDF=Y")</f>
        <v>#NAME?</v>
      </c>
      <c r="BQ580" s="1" t="e">
        <f ca="1">_xll.BDH($C$578,"WORKING_CAPITAL_SEQ_GROWTH","FQ2 2014","FQ2 2014","Currency=INR","Period=FQ","BEST_FPERIOD_OVERRIDE=FQ","FILING_STATUS=OR","EQY_CONSOLIDATED=Y","Sort=A","Dates=H","DateFormat=P","Fill=—","Direction=H","UseDPDF=Y")</f>
        <v>#NAME?</v>
      </c>
      <c r="BR580" s="1" t="e">
        <f ca="1">_xll.BDH($C$578,"ACCOUNTS_PAYABLE_SEQ_GROWTH","FQ2 2014","FQ2 2014","Currency=INR","Period=FQ","BEST_FPERIOD_OVERRIDE=FQ","FILING_STATUS=OR","EQY_CONSOLIDATED=Y","Sort=A","Dates=H","DateFormat=P","Fill=—","Direction=H","UseDPDF=Y")</f>
        <v>#NAME?</v>
      </c>
      <c r="BS580" s="1" t="e">
        <f ca="1">_xll.BDH($C$578,"ST_DEBT_SEQUENTIAL_GROWTH","FQ2 2014","FQ2 2014","Currency=INR","Period=FQ","BEST_FPERIOD_OVERRIDE=FQ","FILING_STATUS=OR","EQY_CONSOLIDATED=Y","Sort=A","Dates=H","DateFormat=P","Fill=—","Direction=H","UseDPDF=Y")</f>
        <v>#NAME?</v>
      </c>
      <c r="BT580" s="1" t="e">
        <f ca="1">_xll.BDH($C$578,"TOTAL_DEBT_SEQUENTIAL_GROWTH","FQ2 2014","FQ2 2014","Currency=INR","Period=FQ","BEST_FPERIOD_OVERRIDE=FQ","FILING_STATUS=OR","EQY_CONSOLIDATED=Y","Sort=A","Dates=H","DateFormat=P","Fill=—","Direction=H","UseDPDF=Y")</f>
        <v>#NAME?</v>
      </c>
      <c r="BU580" s="1" t="e">
        <f ca="1">_xll.BDH($C$578,"TOTAL_EQUITY_SEQUENTIAL_GROWTH","FQ2 2014","FQ2 2014","Currency=INR","Period=FQ","BEST_FPERIOD_OVERRIDE=FQ","FILING_STATUS=OR","EQY_CONSOLIDATED=Y","Sort=A","Dates=H","DateFormat=P","Fill=—","Direction=H","UseDPDF=Y")</f>
        <v>#NAME?</v>
      </c>
      <c r="BV580" s="1" t="e">
        <f ca="1">_xll.BDH($C$578,"TOTAL_CAPITAL_SEQUENTIAL_GROWTH","FQ2 2014","FQ2 2014","Currency=INR","Period=FQ","BEST_FPERIOD_OVERRIDE=FQ","FILING_STATUS=OR","EQY_CONSOLIDATED=Y","Sort=A","Dates=H","DateFormat=P","Fill=—","Direction=H","UseDPDF=Y")</f>
        <v>#NAME?</v>
      </c>
      <c r="BW580" s="1" t="e">
        <f ca="1">_xll.BDH($C$578,"BPS_SEQUENTIAL_GROWTH","FQ2 2014","FQ2 2014","Currency=INR","Period=FQ","BEST_FPERIOD_OVERRIDE=FQ","FILING_STATUS=OR","EQY_CONSOLIDATED=Y","Sort=A","Dates=H","DateFormat=P","Fill=—","Direction=H","UseDPDF=Y")</f>
        <v>#NAME?</v>
      </c>
      <c r="BX580" s="1" t="e">
        <f ca="1">_xll.BDH($C$578,"CFO_SEQUENTIAL_GROWTH","FQ2 2014","FQ2 2014","Currency=INR","Period=FQ","BEST_FPERIOD_OVERRIDE=FQ","FILING_STATUS=OR","EQY_CONSOLIDATED=Y","Sort=A","Dates=H","DateFormat=P","Fill=—","Direction=H","UseDPDF=Y")</f>
        <v>#NAME?</v>
      </c>
      <c r="BY580" s="2" t="e">
        <f ca="1">_xll.BDH($C$578,"SHORT_AND_LONG_TERM_DEBT","FQ2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80" s="2" t="e">
        <f ca="1">_xll.BDH($C$578,"BS_ST_BORROW","FQ2 2014","FQ2 2014","Currency=INR","Period=FQ","BEST_FPERIOD_OVERRIDE=FQ","FILING_STATUS=OR","EQY_CONSOLIDATED=Y","SCALING_FORMAT=MLN","Sort=A","Dates=H","DateFormat=P","Fill=—","Direction=H","UseDPDF=Y")</f>
        <v>#NAME?</v>
      </c>
      <c r="CA580" s="2" t="e">
        <f ca="1">_xll.BDH($C$578,"BS_LT_BORROW","FQ2 2014","FQ2 2014","Currency=INR","Period=FQ","BEST_FPERIOD_OVERRIDE=FQ","FILING_STATUS=OR","EQY_CONSOLIDATED=Y","SCALING_FORMAT=MLN","Sort=A","Dates=H","DateFormat=P","Fill=—","Direction=H","UseDPDF=Y")</f>
        <v>#NAME?</v>
      </c>
      <c r="CB580" s="1" t="e">
        <f ca="1">_xll.BDH($C$578,"TOT_DEBT_TO_EBITDA","FQ2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80" s="1" t="e">
        <f ca="1">_xll.BDH($C$578,"NET_DEBT_TO_EBITDA","FQ2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80" s="1" t="e">
        <f ca="1">_xll.BDH($C$578,"TOTAL_DEBT_TO_EBIT","FQ2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80" s="1" t="e">
        <f ca="1">_xll.BDH($C$578,"NET_DEBT_TO_EBIT","FQ2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580" s="1" t="e">
        <f ca="1">_xll.BDH($C$578,"EBITDA_TO_INTEREST_EXPN","FQ2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80" s="1" t="e">
        <f ca="1">_xll.BDH($C$578,"COM_EQY_TO_TOT_ASSET","FQ2 2014","FQ2 2014","Currency=INR","Period=FQ","BEST_FPERIOD_OVERRIDE=FQ","FILING_STATUS=OR","EQY_CONSOLIDATED=Y","Sort=A","Dates=H","DateFormat=P","Fill=—","Direction=H","UseDPDF=Y")</f>
        <v>#NAME?</v>
      </c>
      <c r="CH580" s="1" t="e">
        <f ca="1">_xll.BDH($C$578,"LT_DEBT_TO_TOT_EQY","FQ2 2014","FQ2 2014","Currency=INR","Period=FQ","BEST_FPERIOD_OVERRIDE=FQ","FILING_STATUS=OR","EQY_CONSOLIDATED=Y","Sort=A","Dates=H","DateFormat=P","Fill=—","Direction=H","UseDPDF=Y")</f>
        <v>#NAME?</v>
      </c>
      <c r="CI580" s="1" t="e">
        <f ca="1">_xll.BDH($C$578,"LT_DEBT_TO_TOT_CAP","FQ2 2014","FQ2 2014","Currency=INR","Period=FQ","BEST_FPERIOD_OVERRIDE=FQ","FILING_STATUS=OR","EQY_CONSOLIDATED=Y","Sort=A","Dates=H","DateFormat=P","Fill=—","Direction=H","UseDPDF=Y")</f>
        <v>#NAME?</v>
      </c>
      <c r="CJ580" s="1" t="e">
        <f ca="1">_xll.BDH($C$578,"LT_DEBT_TO_TOT_ASSET","FQ2 2014","FQ2 2014","Currency=INR","Period=FQ","BEST_FPERIOD_OVERRIDE=FQ","FILING_STATUS=OR","EQY_CONSOLIDATED=Y","Sort=A","Dates=H","DateFormat=P","Fill=—","Direction=H","UseDPDF=Y")</f>
        <v>#NAME?</v>
      </c>
      <c r="CK580" s="1" t="e">
        <f ca="1">_xll.BDH($C$578,"TOT_DEBT_TO_TOT_EQY","FQ2 2014","FQ2 2014","Currency=INR","Period=FQ","BEST_FPERIOD_OVERRIDE=FQ","FILING_STATUS=OR","EQY_CONSOLIDATED=Y","Sort=A","Dates=H","DateFormat=P","Fill=—","Direction=H","UseDPDF=Y")</f>
        <v>#NAME?</v>
      </c>
      <c r="CL580" s="1" t="e">
        <f ca="1">_xll.BDH($C$578,"TOT_DEBT_TO_TOT_CAP","FQ2 2014","FQ2 2014","Currency=INR","Period=FQ","BEST_FPERIOD_OVERRIDE=FQ","FILING_STATUS=OR","EQY_CONSOLIDATED=Y","Sort=A","Dates=H","DateFormat=P","Fill=—","Direction=H","UseDPDF=Y")</f>
        <v>#NAME?</v>
      </c>
      <c r="CM580" s="1" t="e">
        <f ca="1">_xll.BDH($C$578,"TOT_DEBT_TO_TOT_ASSET","FQ2 2014","FQ2 2014","Currency=INR","Period=FQ","BEST_FPERIOD_OVERRIDE=FQ","FILING_STATUS=OR","EQY_CONSOLIDATED=Y","Sort=A","Dates=H","DateFormat=P","Fill=—","Direction=H","UseDPDF=Y")</f>
        <v>#NAME?</v>
      </c>
      <c r="CN580" s="1" t="e">
        <f ca="1">_xll.BDH($C$578,"NET_DEBT_TO_SHRHLDR_EQTY","FQ2 2014","FQ2 2014","Currency=INR","Period=FQ","BEST_FPERIOD_OVERRIDE=FQ","FILING_STATUS=OR","EQY_CONSOLIDATED=Y","Sort=A","Dates=H","DateFormat=P","Fill=—","Direction=H","UseDPDF=Y")</f>
        <v>#NAME?</v>
      </c>
      <c r="CO580" s="1" t="e">
        <f ca="1">_xll.BDH($C$578,"NET_DEBT_%_CAPITAL","FQ2 2014","FQ2 2014","Currency=INR","Period=FQ","BEST_FPERIOD_OVERRIDE=FQ","FILING_STATUS=OR","EQY_CONSOLIDATED=Y","Sort=A","Dates=H","DateFormat=P","Fill=—","Direction=H","UseDPDF=Y")</f>
        <v>#NAME?</v>
      </c>
      <c r="CP580" s="2" t="e">
        <f ca="1">_xll.BDH($C$578,"EBITDA","FQ2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80" s="2" t="e">
        <f ca="1">_xll.BDH($C$578,"EBITDA_AFTER_CAPEX","FQ2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80" s="2" t="e">
        <f ca="1">_xll.BDH($C$578,"IS_OPER_INC","FQ2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80" s="1" t="e">
        <f ca="1">_xll.BDH($C$578,"CASH_RATIO","FQ2 2014","FQ2 2014","Currency=INR","Period=FQ","BEST_FPERIOD_OVERRIDE=FQ","FILING_STATUS=OR","EQY_CONSOLIDATED=Y","Sort=A","Dates=H","DateFormat=P","Fill=—","Direction=H","UseDPDF=Y")</f>
        <v>#NAME?</v>
      </c>
      <c r="CT580" s="1" t="e">
        <f ca="1">_xll.BDH($C$578,"CUR_RATIO","FQ2 2014","FQ2 2014","Currency=INR","Period=FQ","BEST_FPERIOD_OVERRIDE=FQ","FILING_STATUS=OR","EQY_CONSOLIDATED=Y","Sort=A","Dates=H","DateFormat=P","Fill=—","Direction=H","UseDPDF=Y")</f>
        <v>#NAME?</v>
      </c>
      <c r="CU580" s="1" t="e">
        <f ca="1">_xll.BDH($C$578,"QUICK_RATIO","FQ2 2014","FQ2 2014","Currency=INR","Period=FQ","BEST_FPERIOD_OVERRIDE=FQ","FILING_STATUS=OR","EQY_CONSOLIDATED=Y","Sort=A","Dates=H","DateFormat=P","Fill=—","Direction=H","UseDPDF=Y")</f>
        <v>#NAME?</v>
      </c>
      <c r="CV580" s="1" t="e">
        <f ca="1">_xll.BDH($C$578,"ALTMAN_Z_SCORE","FQ2 2014","FQ2 2014","Currency=INR","Period=FQ","BEST_FPERIOD_OVERRIDE=FQ","FILING_STATUS=OR","EQY_CONSOLIDATED=Y","Sort=A","Dates=H","DateFormat=P","Fill=—","Direction=H","UseDPDF=Y")</f>
        <v>#NAME?</v>
      </c>
      <c r="CW580" s="3" t="e">
        <f ca="1">_xll.BDH($C$578,"ACCT_RCV_TURN","FQ2 2014","FQ2 2014","Currency=INR","Period=FQ","BEST_FPERIOD_OVERRIDE=FQ","FILING_STATUS=OR","EQY_CONSOLIDATED=Y","FA_ADJUSTED=GAAP","Sort=A","Dates=H","DateFormat=P","Fill=—","Direction=H","UseDPDF=Y")</f>
        <v>#NAME?</v>
      </c>
      <c r="CX580" s="1" t="e">
        <f ca="1">_xll.BDH($C$578,"ACCT_RCV_DAYS","FQ2 2014","FQ2 2014","Currency=INR","Period=FQ","BEST_FPERIOD_OVERRIDE=FQ","FILING_STATUS=OR","EQY_CONSOLIDATED=Y","FA_ADJUSTED=GAAP","Sort=A","Dates=H","DateFormat=P","Fill=—","Direction=H","UseDPDF=Y")</f>
        <v>#NAME?</v>
      </c>
      <c r="CY580" s="3" t="e">
        <f ca="1">_xll.BDH($C$578,"INVENT_TURN","FQ2 2014","FQ2 2014","Currency=INR","Period=FQ","BEST_FPERIOD_OVERRIDE=FQ","FILING_STATUS=OR","EQY_CONSOLIDATED=Y","FA_ADJUSTED=GAAP","Sort=A","Dates=H","DateFormat=P","Fill=—","Direction=H","UseDPDF=Y")</f>
        <v>#NAME?</v>
      </c>
      <c r="CZ580" s="1" t="e">
        <f ca="1">_xll.BDH($C$578,"INVENT_DAYS","FQ2 2014","FQ2 2014","Currency=INR","Period=FQ","BEST_FPERIOD_OVERRIDE=FQ","FILING_STATUS=OR","EQY_CONSOLIDATED=Y","FA_ADJUSTED=GAAP","Sort=A","Dates=H","DateFormat=P","Fill=—","Direction=H","UseDPDF=Y")</f>
        <v>#NAME?</v>
      </c>
      <c r="DA580" s="3" t="e">
        <f ca="1">_xll.BDH($C$578,"ACCOUNTS_PAYABLE_TURNOVER","FQ2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80" s="1" t="e">
        <f ca="1">_xll.BDH($C$578,"ACCOUNTS_PAYABLE_TURNOVER_DAYS","FQ2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80" s="3" t="e">
        <f ca="1">_xll.BDH($C$578,"CASH_CONVERSION_CYCLE","FQ2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80" s="3" t="e">
        <f ca="1">_xll.BDH($C$578,"INV_TO_CASH_DAYS","FQ2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580" s="4" t="e">
        <f ca="1">_xll.BDH($C$578,"BS_INVENTORIES","FQ2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580" s="2" t="e">
        <f ca="1">_xll.BDH($C$578,"INVTRY_RAW_MATERIALS","FQ2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80" s="2" t="e">
        <f ca="1">_xll.BDH($C$578,"INVTRY_IN_PROGRESS","FQ2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80" s="2" t="e">
        <f ca="1">_xll.BDH($C$578,"INVTRY_FINISHED_GOODS","FQ2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80" s="2" t="e">
        <f ca="1">_xll.BDH($C$578,"BS_OTHER_INV","FQ2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81" spans="1:113" x14ac:dyDescent="0.3">
      <c r="A581" s="6"/>
      <c r="B581" s="6"/>
      <c r="C581" s="6"/>
      <c r="D581" s="6"/>
      <c r="E581" t="s">
        <v>6</v>
      </c>
      <c r="F581" t="e">
        <f ca="1">_xll.BDH($C$578,"RETURN_COM_EQY","FQ3 2014","FQ3 2014","Currency=INR","Period=FQ","BEST_FPERIOD_OVERRIDE=FQ","FILING_STATUS=OR","EQY_CONSOLIDATED=Y","FA_ADJUSTED=GAAP","Sort=A","Dates=H","DateFormat=P","Fill=—","Direction=H","UseDPDF=Y")</f>
        <v>#NAME?</v>
      </c>
      <c r="G581" t="e">
        <f ca="1">_xll.BDH($C$578,"RETURN_ON_ASSET","FQ3 2014","FQ3 2014","Currency=INR","Period=FQ","BEST_FPERIOD_OVERRIDE=FQ","FILING_STATUS=OR","EQY_CONSOLIDATED=Y","FA_ADJUSTED=GAAP","Sort=A","Dates=H","DateFormat=P","Fill=—","Direction=H","UseDPDF=Y")</f>
        <v>#NAME?</v>
      </c>
      <c r="H581" t="e">
        <f ca="1">_xll.BDH($C$578,"RETURN_ON_CAP","FQ3 2014","FQ3 2014","Currency=INR","Period=FQ","BEST_FPERIOD_OVERRIDE=FQ","FILING_STATUS=OR","EQY_CONSOLIDATED=Y","FA_ADJUSTED=GAAP","Sort=A","Dates=H","DateFormat=P","Fill=—","Direction=H","UseDPDF=Y")</f>
        <v>#NAME?</v>
      </c>
      <c r="I581" t="e">
        <f ca="1">_xll.BDH($C$578,"RETURN_ON_INV_CAPITAL","FQ3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81" t="e">
        <f ca="1">_xll.BDH($C$578,"EBITDA_TO_REVENUE","FQ3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581" t="e">
        <f ca="1">_xll.BDH($C$578,"OPER_MARGIN","FQ3 2014","FQ3 2014","Currency=INR","Period=FQ","BEST_FPERIOD_OVERRIDE=FQ","FILING_STATUS=OR","EQY_CONSOLIDATED=Y","FA_ADJUSTED=GAAP","Sort=A","Dates=H","DateFormat=P","Fill=—","Direction=H","UseDPDF=Y")</f>
        <v>#NAME?</v>
      </c>
      <c r="L581" t="e">
        <f ca="1">_xll.BDH($C$578,"INCREMENTAL_OPERATING_MARGIN","FQ3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81" t="e">
        <f ca="1">_xll.BDH($C$578,"PRETAX_INC_TO_NET_SALES","FQ3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81" t="e">
        <f ca="1">_xll.BDH($C$578,"INC_BEF_XO_ITEMS_TO_NET_SALES","FQ3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81" t="e">
        <f ca="1">_xll.BDH($C$578,"PROF_MARGIN","FQ3 2014","FQ3 2014","Currency=INR","Period=FQ","BEST_FPERIOD_OVERRIDE=FQ","FILING_STATUS=OR","EQY_CONSOLIDATED=Y","FA_ADJUSTED=GAAP","Sort=A","Dates=H","DateFormat=P","Fill=—","Direction=H","UseDPDF=Y")</f>
        <v>#NAME?</v>
      </c>
      <c r="P581" t="e">
        <f ca="1">_xll.BDH($C$578,"NET_INCOME_TO_COMMON_MARGIN","FQ3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81" t="e">
        <f ca="1">_xll.BDH($C$578,"EFF_TAX_RATE","FQ3 2014","FQ3 2014","Currency=INR","Period=FQ","BEST_FPERIOD_OVERRIDE=FQ","FILING_STATUS=OR","EQY_CONSOLIDATED=Y","FA_ADJUSTED=GAAP","Sort=A","Dates=H","DateFormat=P","Fill=—","Direction=H","UseDPDF=Y")</f>
        <v>#NAME?</v>
      </c>
      <c r="R581" t="e">
        <f ca="1">_xll.BDH($C$578,"DVD_PAYOUT_RATIO","FQ3 2014","FQ3 2014","Currency=INR","Period=FQ","BEST_FPERIOD_OVERRIDE=FQ","FILING_STATUS=OR","EQY_CONSOLIDATED=Y","FA_ADJUSTED=GAAP","Sort=A","Dates=H","DateFormat=P","Fill=—","Direction=H","UseDPDF=Y")</f>
        <v>#NAME?</v>
      </c>
      <c r="S581" t="e">
        <f ca="1">_xll.BDH($C$578,"SUSTAIN_GROWTH_RT","FQ3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581" s="1" t="e">
        <f ca="1">_xll.BDH($C$578,"SALES_GROWTH","FQ3 2014","FQ3 2014","Currency=INR","Period=FQ","BEST_FPERIOD_OVERRIDE=FQ","FILING_STATUS=OR","EQY_CONSOLIDATED=Y","FA_ADJUSTED=GAAP","Sort=A","Dates=H","DateFormat=P","Fill=—","Direction=H","UseDPDF=Y")</f>
        <v>#NAME?</v>
      </c>
      <c r="U581" s="1" t="e">
        <f ca="1">_xll.BDH($C$578,"EBITDA_GROWTH","FQ3 2014","FQ3 2014","Currency=INR","Period=FQ","BEST_FPERIOD_OVERRIDE=FQ","FILING_STATUS=OR","EQY_CONSOLIDATED=Y","FA_ADJUSTED=GAAP","Sort=A","Dates=H","DateFormat=P","Fill=—","Direction=H","UseDPDF=Y")</f>
        <v>#NAME?</v>
      </c>
      <c r="V581" s="1" t="e">
        <f ca="1">_xll.BDH($C$578,"OPER_INC_GROWTH","FQ3 2014","FQ3 2014","Currency=INR","Period=FQ","BEST_FPERIOD_OVERRIDE=FQ","FILING_STATUS=OR","EQY_CONSOLIDATED=Y","FA_ADJUSTED=GAAP","Sort=A","Dates=H","DateFormat=P","Fill=—","Direction=H","UseDPDF=Y")</f>
        <v>#NAME?</v>
      </c>
      <c r="W581" s="1" t="e">
        <f ca="1">_xll.BDH($C$578,"EARN_FOR_COM_GROWTH","FQ3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81" s="1" t="e">
        <f ca="1">_xll.BDH($C$578,"DILUTED_EPS_AFT_XO_ITEMS_GROWTH","FQ3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81" s="1" t="e">
        <f ca="1">_xll.BDH($C$578,"DIVIDEND_PER_SHARE_1_YEAR_GROWTH","FQ3 2014","FQ3 2014","Currency=INR","Period=FQ","BEST_FPERIOD_OVERRIDE=FQ","FILING_STATUS=OR","EQY_CONSOLIDATED=Y","Sort=A","Dates=H","DateFormat=P","Fill=—","Direction=H","UseDPDF=Y")</f>
        <v>#NAME?</v>
      </c>
      <c r="Z581" s="1" t="e">
        <f ca="1">_xll.BDH($C$578,"ACCOUNTS_RECEIVABLE_GROWTH","FQ3 2014","FQ3 2014","Currency=INR","Period=FQ","BEST_FPERIOD_OVERRIDE=FQ","FILING_STATUS=OR","EQY_CONSOLIDATED=Y","Sort=A","Dates=H","DateFormat=P","Fill=—","Direction=H","UseDPDF=Y")</f>
        <v>#NAME?</v>
      </c>
      <c r="AA581" s="1" t="e">
        <f ca="1">_xll.BDH($C$578,"INVENTORY_GROWTH","FQ3 2014","FQ3 2014","Currency=INR","Period=FQ","BEST_FPERIOD_OVERRIDE=FQ","FILING_STATUS=OR","EQY_CONSOLIDATED=Y","Sort=A","Dates=H","DateFormat=P","Fill=—","Direction=H","UseDPDF=Y")</f>
        <v>#NAME?</v>
      </c>
      <c r="AB581" s="1" t="e">
        <f ca="1">_xll.BDH($C$578,"NET_FIXED_ASSETS_1_YEAR_GROWTH","FQ3 2014","FQ3 2014","Currency=INR","Period=FQ","BEST_FPERIOD_OVERRIDE=FQ","FILING_STATUS=OR","EQY_CONSOLIDATED=Y","Sort=A","Dates=H","DateFormat=P","Fill=—","Direction=H","UseDPDF=Y")</f>
        <v>#NAME?</v>
      </c>
      <c r="AC581" s="1" t="e">
        <f ca="1">_xll.BDH($C$578,"ASSET_GROWTH","FQ3 2014","FQ3 2014","Currency=INR","Period=FQ","BEST_FPERIOD_OVERRIDE=FQ","FILING_STATUS=OR","EQY_CONSOLIDATED=Y","Sort=A","Dates=H","DateFormat=P","Fill=—","Direction=H","UseDPDF=Y")</f>
        <v>#NAME?</v>
      </c>
      <c r="AD581" s="1" t="e">
        <f ca="1">_xll.BDH($C$578,"MODIFIED_WORK_CAP_GROWTH","FQ3 2014","FQ3 2014","Currency=INR","Period=FQ","BEST_FPERIOD_OVERRIDE=FQ","FILING_STATUS=OR","EQY_CONSOLIDATED=Y","Sort=A","Dates=H","DateFormat=P","Fill=—","Direction=H","UseDPDF=Y")</f>
        <v>#NAME?</v>
      </c>
      <c r="AE581" s="1" t="e">
        <f ca="1">_xll.BDH($C$578,"WORK_CAP_GROWTH","FQ3 2014","FQ3 2014","Currency=INR","Period=FQ","BEST_FPERIOD_OVERRIDE=FQ","FILING_STATUS=OR","EQY_CONSOLIDATED=Y","Sort=A","Dates=H","DateFormat=P","Fill=—","Direction=H","UseDPDF=Y")</f>
        <v>#NAME?</v>
      </c>
      <c r="AF581" s="1" t="e">
        <f ca="1">_xll.BDH($C$578,"ACCOUNTS_PAYABLE_GROWTH_1YR","FQ3 2014","FQ3 2014","Currency=INR","Period=FQ","BEST_FPERIOD_OVERRIDE=FQ","FILING_STATUS=OR","EQY_CONSOLIDATED=Y","Sort=A","Dates=H","DateFormat=P","Fill=—","Direction=H","UseDPDF=Y")</f>
        <v>#NAME?</v>
      </c>
      <c r="AG581" s="1" t="e">
        <f ca="1">_xll.BDH($C$578,"SHORT_TERM_DEBT_1_YEAR_GROWTH","FQ3 2014","FQ3 2014","Currency=INR","Period=FQ","BEST_FPERIOD_OVERRIDE=FQ","FILING_STATUS=OR","EQY_CONSOLIDATED=Y","Sort=A","Dates=H","DateFormat=P","Fill=—","Direction=H","UseDPDF=Y")</f>
        <v>#NAME?</v>
      </c>
      <c r="AH581" s="1" t="e">
        <f ca="1">_xll.BDH($C$578,"TOTAL_DEBT_1_YEAR_GROWTH","FQ3 2014","FQ3 2014","Currency=INR","Period=FQ","BEST_FPERIOD_OVERRIDE=FQ","FILING_STATUS=OR","EQY_CONSOLIDATED=Y","Sort=A","Dates=H","DateFormat=P","Fill=—","Direction=H","UseDPDF=Y")</f>
        <v>#NAME?</v>
      </c>
      <c r="AI581" s="1" t="e">
        <f ca="1">_xll.BDH($C$578,"TOTAL_EQUITY_1_YEAR_GROWTH","FQ3 2014","FQ3 2014","Currency=INR","Period=FQ","BEST_FPERIOD_OVERRIDE=FQ","FILING_STATUS=OR","EQY_CONSOLIDATED=Y","Sort=A","Dates=H","DateFormat=P","Fill=—","Direction=H","UseDPDF=Y")</f>
        <v>#NAME?</v>
      </c>
      <c r="AJ581" s="1" t="e">
        <f ca="1">_xll.BDH($C$578,"GROWTH_IN_CAP","FQ3 2014","FQ3 2014","Currency=INR","Period=FQ","BEST_FPERIOD_OVERRIDE=FQ","FILING_STATUS=OR","EQY_CONSOLIDATED=Y","Sort=A","Dates=H","DateFormat=P","Fill=—","Direction=H","UseDPDF=Y")</f>
        <v>#NAME?</v>
      </c>
      <c r="AK581" s="1" t="e">
        <f ca="1">_xll.BDH($C$578,"BVPS_GROWTH","FQ3 2014","FQ3 2014","Currency=INR","Period=FQ","BEST_FPERIOD_OVERRIDE=FQ","FILING_STATUS=OR","EQY_CONSOLIDATED=Y","Sort=A","Dates=H","DateFormat=P","Fill=—","Direction=H","UseDPDF=Y")</f>
        <v>#NAME?</v>
      </c>
      <c r="AL581" s="1" t="e">
        <f ca="1">_xll.BDH($C$578,"CASH_FLOW_GROWTH","FQ3 2014","FQ3 2014","Currency=INR","Period=FQ","BEST_FPERIOD_OVERRIDE=FQ","FILING_STATUS=OR","EQY_CONSOLIDATED=Y","Sort=A","Dates=H","DateFormat=P","Fill=—","Direction=H","UseDPDF=Y")</f>
        <v>#NAME?</v>
      </c>
      <c r="AM581" s="1" t="e">
        <f ca="1">_xll.BDH($C$578,"GEO_GROW_NET_SALES","FQ3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81" s="1" t="e">
        <f ca="1">_xll.BDH($C$578,"GEO_GROW_EBITDA","FQ3 2014","FQ3 2014","Currency=INR","Period=FQ","BEST_FPERIOD_OVERRIDE=FQ","FILING_STATUS=OR","EQY_CONSOLIDATED=Y","FA_ADJUSTED=GAAP","Sort=A","Dates=H","DateFormat=P","Fill=—","Direction=H","UseDPDF=Y")</f>
        <v>#NAME?</v>
      </c>
      <c r="AO581" s="1" t="e">
        <f ca="1">_xll.BDH($C$578,"GEO_GROW_OPER_INC","FQ3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81" s="1" t="e">
        <f ca="1">_xll.BDH($C$578,"NET_INCOME_TO_COMMON_5_YR_GROWTH","FQ3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81" s="1" t="e">
        <f ca="1">_xll.BDH($C$578,"5Y_GEO_GROWTH_DILUTED_EPS","FQ3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81" s="1" t="e">
        <f ca="1">_xll.BDH($C$578,"GEO_GROW_DVD_PER_SH","FQ3 2014","FQ3 2014","Currency=INR","Period=FQ","BEST_FPERIOD_OVERRIDE=FQ","FILING_STATUS=OR","EQY_CONSOLIDATED=Y","Sort=A","Dates=H","DateFormat=P","Fill=—","Direction=H","UseDPDF=Y")</f>
        <v>#NAME?</v>
      </c>
      <c r="AS581" s="1" t="e">
        <f ca="1">_xll.BDH($C$578,"ACCOUNTS_RECEIVABLE_5_YR_GROWTH","FQ3 2014","FQ3 2014","Currency=INR","Period=FQ","BEST_FPERIOD_OVERRIDE=FQ","FILING_STATUS=OR","EQY_CONSOLIDATED=Y","Sort=A","Dates=H","DateFormat=P","Fill=—","Direction=H","UseDPDF=Y")</f>
        <v>#NAME?</v>
      </c>
      <c r="AT581" s="1" t="e">
        <f ca="1">_xll.BDH($C$578,"INVENTORY_5_YEAR_GROWTH","FQ3 2014","FQ3 2014","Currency=INR","Period=FQ","BEST_FPERIOD_OVERRIDE=FQ","FILING_STATUS=OR","EQY_CONSOLIDATED=Y","Sort=A","Dates=H","DateFormat=P","Fill=—","Direction=H","UseDPDF=Y")</f>
        <v>#NAME?</v>
      </c>
      <c r="AU581" s="1" t="e">
        <f ca="1">_xll.BDH($C$578,"NET_FIXED_ASSETS_5_YEAR_GROWTH","FQ3 2014","FQ3 2014","Currency=INR","Period=FQ","BEST_FPERIOD_OVERRIDE=FQ","FILING_STATUS=OR","EQY_CONSOLIDATED=Y","Sort=A","Dates=H","DateFormat=P","Fill=—","Direction=H","UseDPDF=Y")</f>
        <v>#NAME?</v>
      </c>
      <c r="AV581" s="1" t="e">
        <f ca="1">_xll.BDH($C$578,"GEO_GROW_TOT_ASSET","FQ3 2014","FQ3 2014","Currency=INR","Period=FQ","BEST_FPERIOD_OVERRIDE=FQ","FILING_STATUS=OR","EQY_CONSOLIDATED=Y","Sort=A","Dates=H","DateFormat=P","Fill=—","Direction=H","UseDPDF=Y")</f>
        <v>#NAME?</v>
      </c>
      <c r="AW581" s="1" t="e">
        <f ca="1">_xll.BDH($C$578,"MODIFIED_WORKING_CPTL_5YR_GRWTH","FQ3 2014","FQ3 2014","Currency=INR","Period=FQ","BEST_FPERIOD_OVERRIDE=FQ","FILING_STATUS=OR","EQY_CONSOLIDATED=Y","Sort=A","Dates=H","DateFormat=P","Fill=—","Direction=H","UseDPDF=Y")</f>
        <v>#NAME?</v>
      </c>
      <c r="AX581" s="1" t="e">
        <f ca="1">_xll.BDH($C$578,"WORKING_CAPITAL_5_YEAR_GROWTH","FQ3 2014","FQ3 2014","Currency=INR","Period=FQ","BEST_FPERIOD_OVERRIDE=FQ","FILING_STATUS=OR","EQY_CONSOLIDATED=Y","Sort=A","Dates=H","DateFormat=P","Fill=—","Direction=H","UseDPDF=Y")</f>
        <v>#NAME?</v>
      </c>
      <c r="AY581" s="1" t="e">
        <f ca="1">_xll.BDH($C$578,"ACCOUNTS_PAYABLE_5_YEAR_GROWTH","FQ3 2014","FQ3 2014","Currency=INR","Period=FQ","BEST_FPERIOD_OVERRIDE=FQ","FILING_STATUS=OR","EQY_CONSOLIDATED=Y","Sort=A","Dates=H","DateFormat=P","Fill=—","Direction=H","UseDPDF=Y")</f>
        <v>#NAME?</v>
      </c>
      <c r="AZ581" s="1" t="e">
        <f ca="1">_xll.BDH($C$578,"SHORT_TERM_DEBT_5_YEAR_GROWTH","FQ3 2014","FQ3 2014","Currency=INR","Period=FQ","BEST_FPERIOD_OVERRIDE=FQ","FILING_STATUS=OR","EQY_CONSOLIDATED=Y","Sort=A","Dates=H","DateFormat=P","Fill=—","Direction=H","UseDPDF=Y")</f>
        <v>#NAME?</v>
      </c>
      <c r="BA581" s="1" t="e">
        <f ca="1">_xll.BDH($C$578,"TOTAL_DEBT_5_YEAR_GROWTH","FQ3 2014","FQ3 2014","Currency=INR","Period=FQ","BEST_FPERIOD_OVERRIDE=FQ","FILING_STATUS=OR","EQY_CONSOLIDATED=Y","Sort=A","Dates=H","DateFormat=P","Fill=—","Direction=H","UseDPDF=Y")</f>
        <v>#NAME?</v>
      </c>
      <c r="BB581" s="1" t="e">
        <f ca="1">_xll.BDH($C$578,"GEO_GROW_TOT_SHRHLDR_EQY","FQ3 2014","FQ3 2014","Currency=INR","Period=FQ","BEST_FPERIOD_OVERRIDE=FQ","FILING_STATUS=OR","EQY_CONSOLIDATED=Y","Sort=A","Dates=H","DateFormat=P","Fill=—","Direction=H","UseDPDF=Y")</f>
        <v>#NAME?</v>
      </c>
      <c r="BC581" s="1" t="e">
        <f ca="1">_xll.BDH($C$578,"TOTAL_CAPITAL_5_YEAR_GROWTH","FQ3 2014","FQ3 2014","Currency=INR","Period=FQ","BEST_FPERIOD_OVERRIDE=FQ","FILING_STATUS=OR","EQY_CONSOLIDATED=Y","Sort=A","Dates=H","DateFormat=P","Fill=—","Direction=H","UseDPDF=Y")</f>
        <v>#NAME?</v>
      </c>
      <c r="BD581" s="1" t="e">
        <f ca="1">_xll.BDH($C$578,"GEO_GROW_BOOK_VAL","FQ3 2014","FQ3 2014","Currency=INR","Period=FQ","BEST_FPERIOD_OVERRIDE=FQ","FILING_STATUS=OR","EQY_CONSOLIDATED=Y","Sort=A","Dates=H","DateFormat=P","Fill=—","Direction=H","UseDPDF=Y")</f>
        <v>#NAME?</v>
      </c>
      <c r="BE581" s="1" t="e">
        <f ca="1">_xll.BDH($C$578,"GEO_GROW_CASH_OPER_ACT","FQ3 2014","FQ3 2014","Currency=INR","Period=FQ","BEST_FPERIOD_OVERRIDE=FQ","FILING_STATUS=OR","EQY_CONSOLIDATED=Y","Sort=A","Dates=H","DateFormat=P","Fill=—","Direction=H","UseDPDF=Y")</f>
        <v>#NAME?</v>
      </c>
      <c r="BF581" s="1" t="e">
        <f ca="1">_xll.BDH($C$578,"REVENUE_SEQUENTIAL_GROWTH","FQ3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81" s="1" t="e">
        <f ca="1">_xll.BDH($C$578,"EBITDA_SEQUENTIAL_GROWTH","FQ3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81" s="1" t="e">
        <f ca="1">_xll.BDH($C$578,"OPERATING_INCOME_SEQ_GROWTH","FQ3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81" s="1" t="e">
        <f ca="1">_xll.BDH($C$578,"NET_INCOME_TO_COMMON_SEQ_GROWTH","FQ3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81" s="1" t="e">
        <f ca="1">_xll.BDH($C$578,"EPS_DILUTED_SEQUENTIAL_GROWTH","FQ3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81" s="1" t="e">
        <f ca="1">_xll.BDH($C$578,"DPS_SEQUENTIAL_GROWTH","FQ3 2014","FQ3 2014","Currency=INR","Period=FQ","BEST_FPERIOD_OVERRIDE=FQ","FILING_STATUS=OR","EQY_CONSOLIDATED=Y","Sort=A","Dates=H","DateFormat=P","Fill=—","Direction=H","UseDPDF=Y")</f>
        <v>#NAME?</v>
      </c>
      <c r="BL581" s="1" t="e">
        <f ca="1">_xll.BDH($C$578,"ACCOUNTS_RECEIVABLE_SEQ_GROWTH","FQ3 2014","FQ3 2014","Currency=INR","Period=FQ","BEST_FPERIOD_OVERRIDE=FQ","FILING_STATUS=OR","EQY_CONSOLIDATED=Y","Sort=A","Dates=H","DateFormat=P","Fill=—","Direction=H","UseDPDF=Y")</f>
        <v>#NAME?</v>
      </c>
      <c r="BM581" s="1" t="e">
        <f ca="1">_xll.BDH($C$578,"INVENTORY_SEQUENTIAL_GROWTH","FQ3 2014","FQ3 2014","Currency=INR","Period=FQ","BEST_FPERIOD_OVERRIDE=FQ","FILING_STATUS=OR","EQY_CONSOLIDATED=Y","Sort=A","Dates=H","DateFormat=P","Fill=—","Direction=H","UseDPDF=Y")</f>
        <v>#NAME?</v>
      </c>
      <c r="BN581" s="1" t="e">
        <f ca="1">_xll.BDH($C$578,"FIXED_ASSETS_SEQUENTIAL_GROWTH","FQ3 2014","FQ3 2014","Currency=INR","Period=FQ","BEST_FPERIOD_OVERRIDE=FQ","FILING_STATUS=OR","EQY_CONSOLIDATED=Y","Sort=A","Dates=H","DateFormat=P","Fill=—","Direction=H","UseDPDF=Y")</f>
        <v>#NAME?</v>
      </c>
      <c r="BO581" s="1" t="e">
        <f ca="1">_xll.BDH($C$578,"TOTAL_ASSETS_SEQUENTIAL_GROWTH","FQ3 2014","FQ3 2014","Currency=INR","Period=FQ","BEST_FPERIOD_OVERRIDE=FQ","FILING_STATUS=OR","EQY_CONSOLIDATED=Y","Sort=A","Dates=H","DateFormat=P","Fill=—","Direction=H","UseDPDF=Y")</f>
        <v>#NAME?</v>
      </c>
      <c r="BP581" s="1" t="e">
        <f ca="1">_xll.BDH($C$578,"MODIFIED_WORKING_CPTL_SEQ_GRWTH","FQ3 2014","FQ3 2014","Currency=INR","Period=FQ","BEST_FPERIOD_OVERRIDE=FQ","FILING_STATUS=OR","EQY_CONSOLIDATED=Y","Sort=A","Dates=H","DateFormat=P","Fill=—","Direction=H","UseDPDF=Y")</f>
        <v>#NAME?</v>
      </c>
      <c r="BQ581" s="1" t="e">
        <f ca="1">_xll.BDH($C$578,"WORKING_CAPITAL_SEQ_GROWTH","FQ3 2014","FQ3 2014","Currency=INR","Period=FQ","BEST_FPERIOD_OVERRIDE=FQ","FILING_STATUS=OR","EQY_CONSOLIDATED=Y","Sort=A","Dates=H","DateFormat=P","Fill=—","Direction=H","UseDPDF=Y")</f>
        <v>#NAME?</v>
      </c>
      <c r="BR581" s="1" t="e">
        <f ca="1">_xll.BDH($C$578,"ACCOUNTS_PAYABLE_SEQ_GROWTH","FQ3 2014","FQ3 2014","Currency=INR","Period=FQ","BEST_FPERIOD_OVERRIDE=FQ","FILING_STATUS=OR","EQY_CONSOLIDATED=Y","Sort=A","Dates=H","DateFormat=P","Fill=—","Direction=H","UseDPDF=Y")</f>
        <v>#NAME?</v>
      </c>
      <c r="BS581" s="1" t="e">
        <f ca="1">_xll.BDH($C$578,"ST_DEBT_SEQUENTIAL_GROWTH","FQ3 2014","FQ3 2014","Currency=INR","Period=FQ","BEST_FPERIOD_OVERRIDE=FQ","FILING_STATUS=OR","EQY_CONSOLIDATED=Y","Sort=A","Dates=H","DateFormat=P","Fill=—","Direction=H","UseDPDF=Y")</f>
        <v>#NAME?</v>
      </c>
      <c r="BT581" s="1" t="e">
        <f ca="1">_xll.BDH($C$578,"TOTAL_DEBT_SEQUENTIAL_GROWTH","FQ3 2014","FQ3 2014","Currency=INR","Period=FQ","BEST_FPERIOD_OVERRIDE=FQ","FILING_STATUS=OR","EQY_CONSOLIDATED=Y","Sort=A","Dates=H","DateFormat=P","Fill=—","Direction=H","UseDPDF=Y")</f>
        <v>#NAME?</v>
      </c>
      <c r="BU581" s="1" t="e">
        <f ca="1">_xll.BDH($C$578,"TOTAL_EQUITY_SEQUENTIAL_GROWTH","FQ3 2014","FQ3 2014","Currency=INR","Period=FQ","BEST_FPERIOD_OVERRIDE=FQ","FILING_STATUS=OR","EQY_CONSOLIDATED=Y","Sort=A","Dates=H","DateFormat=P","Fill=—","Direction=H","UseDPDF=Y")</f>
        <v>#NAME?</v>
      </c>
      <c r="BV581" s="1" t="e">
        <f ca="1">_xll.BDH($C$578,"TOTAL_CAPITAL_SEQUENTIAL_GROWTH","FQ3 2014","FQ3 2014","Currency=INR","Period=FQ","BEST_FPERIOD_OVERRIDE=FQ","FILING_STATUS=OR","EQY_CONSOLIDATED=Y","Sort=A","Dates=H","DateFormat=P","Fill=—","Direction=H","UseDPDF=Y")</f>
        <v>#NAME?</v>
      </c>
      <c r="BW581" s="1" t="e">
        <f ca="1">_xll.BDH($C$578,"BPS_SEQUENTIAL_GROWTH","FQ3 2014","FQ3 2014","Currency=INR","Period=FQ","BEST_FPERIOD_OVERRIDE=FQ","FILING_STATUS=OR","EQY_CONSOLIDATED=Y","Sort=A","Dates=H","DateFormat=P","Fill=—","Direction=H","UseDPDF=Y")</f>
        <v>#NAME?</v>
      </c>
      <c r="BX581" s="1" t="e">
        <f ca="1">_xll.BDH($C$578,"CFO_SEQUENTIAL_GROWTH","FQ3 2014","FQ3 2014","Currency=INR","Period=FQ","BEST_FPERIOD_OVERRIDE=FQ","FILING_STATUS=OR","EQY_CONSOLIDATED=Y","Sort=A","Dates=H","DateFormat=P","Fill=—","Direction=H","UseDPDF=Y")</f>
        <v>#NAME?</v>
      </c>
      <c r="BY581" s="2" t="e">
        <f ca="1">_xll.BDH($C$578,"SHORT_AND_LONG_TERM_DEBT","FQ3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81" s="2" t="e">
        <f ca="1">_xll.BDH($C$578,"BS_ST_BORROW","FQ3 2014","FQ3 2014","Currency=INR","Period=FQ","BEST_FPERIOD_OVERRIDE=FQ","FILING_STATUS=OR","EQY_CONSOLIDATED=Y","SCALING_FORMAT=MLN","Sort=A","Dates=H","DateFormat=P","Fill=—","Direction=H","UseDPDF=Y")</f>
        <v>#NAME?</v>
      </c>
      <c r="CA581" s="2" t="e">
        <f ca="1">_xll.BDH($C$578,"BS_LT_BORROW","FQ3 2014","FQ3 2014","Currency=INR","Period=FQ","BEST_FPERIOD_OVERRIDE=FQ","FILING_STATUS=OR","EQY_CONSOLIDATED=Y","SCALING_FORMAT=MLN","Sort=A","Dates=H","DateFormat=P","Fill=—","Direction=H","UseDPDF=Y")</f>
        <v>#NAME?</v>
      </c>
      <c r="CB581" s="1" t="e">
        <f ca="1">_xll.BDH($C$578,"TOT_DEBT_TO_EBITDA","FQ3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81" s="1" t="e">
        <f ca="1">_xll.BDH($C$578,"NET_DEBT_TO_EBITDA","FQ3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81" s="1" t="e">
        <f ca="1">_xll.BDH($C$578,"TOTAL_DEBT_TO_EBIT","FQ3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81" s="1" t="e">
        <f ca="1">_xll.BDH($C$578,"NET_DEBT_TO_EBIT","FQ3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581" s="1" t="e">
        <f ca="1">_xll.BDH($C$578,"EBITDA_TO_INTEREST_EXPN","FQ3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81" s="1" t="e">
        <f ca="1">_xll.BDH($C$578,"COM_EQY_TO_TOT_ASSET","FQ3 2014","FQ3 2014","Currency=INR","Period=FQ","BEST_FPERIOD_OVERRIDE=FQ","FILING_STATUS=OR","EQY_CONSOLIDATED=Y","Sort=A","Dates=H","DateFormat=P","Fill=—","Direction=H","UseDPDF=Y")</f>
        <v>#NAME?</v>
      </c>
      <c r="CH581" s="1" t="e">
        <f ca="1">_xll.BDH($C$578,"LT_DEBT_TO_TOT_EQY","FQ3 2014","FQ3 2014","Currency=INR","Period=FQ","BEST_FPERIOD_OVERRIDE=FQ","FILING_STATUS=OR","EQY_CONSOLIDATED=Y","Sort=A","Dates=H","DateFormat=P","Fill=—","Direction=H","UseDPDF=Y")</f>
        <v>#NAME?</v>
      </c>
      <c r="CI581" s="1" t="e">
        <f ca="1">_xll.BDH($C$578,"LT_DEBT_TO_TOT_CAP","FQ3 2014","FQ3 2014","Currency=INR","Period=FQ","BEST_FPERIOD_OVERRIDE=FQ","FILING_STATUS=OR","EQY_CONSOLIDATED=Y","Sort=A","Dates=H","DateFormat=P","Fill=—","Direction=H","UseDPDF=Y")</f>
        <v>#NAME?</v>
      </c>
      <c r="CJ581" s="1" t="e">
        <f ca="1">_xll.BDH($C$578,"LT_DEBT_TO_TOT_ASSET","FQ3 2014","FQ3 2014","Currency=INR","Period=FQ","BEST_FPERIOD_OVERRIDE=FQ","FILING_STATUS=OR","EQY_CONSOLIDATED=Y","Sort=A","Dates=H","DateFormat=P","Fill=—","Direction=H","UseDPDF=Y")</f>
        <v>#NAME?</v>
      </c>
      <c r="CK581" s="1" t="e">
        <f ca="1">_xll.BDH($C$578,"TOT_DEBT_TO_TOT_EQY","FQ3 2014","FQ3 2014","Currency=INR","Period=FQ","BEST_FPERIOD_OVERRIDE=FQ","FILING_STATUS=OR","EQY_CONSOLIDATED=Y","Sort=A","Dates=H","DateFormat=P","Fill=—","Direction=H","UseDPDF=Y")</f>
        <v>#NAME?</v>
      </c>
      <c r="CL581" s="1" t="e">
        <f ca="1">_xll.BDH($C$578,"TOT_DEBT_TO_TOT_CAP","FQ3 2014","FQ3 2014","Currency=INR","Period=FQ","BEST_FPERIOD_OVERRIDE=FQ","FILING_STATUS=OR","EQY_CONSOLIDATED=Y","Sort=A","Dates=H","DateFormat=P","Fill=—","Direction=H","UseDPDF=Y")</f>
        <v>#NAME?</v>
      </c>
      <c r="CM581" s="1" t="e">
        <f ca="1">_xll.BDH($C$578,"TOT_DEBT_TO_TOT_ASSET","FQ3 2014","FQ3 2014","Currency=INR","Period=FQ","BEST_FPERIOD_OVERRIDE=FQ","FILING_STATUS=OR","EQY_CONSOLIDATED=Y","Sort=A","Dates=H","DateFormat=P","Fill=—","Direction=H","UseDPDF=Y")</f>
        <v>#NAME?</v>
      </c>
      <c r="CN581" s="1" t="e">
        <f ca="1">_xll.BDH($C$578,"NET_DEBT_TO_SHRHLDR_EQTY","FQ3 2014","FQ3 2014","Currency=INR","Period=FQ","BEST_FPERIOD_OVERRIDE=FQ","FILING_STATUS=OR","EQY_CONSOLIDATED=Y","Sort=A","Dates=H","DateFormat=P","Fill=—","Direction=H","UseDPDF=Y")</f>
        <v>#NAME?</v>
      </c>
      <c r="CO581" s="1" t="e">
        <f ca="1">_xll.BDH($C$578,"NET_DEBT_%_CAPITAL","FQ3 2014","FQ3 2014","Currency=INR","Period=FQ","BEST_FPERIOD_OVERRIDE=FQ","FILING_STATUS=OR","EQY_CONSOLIDATED=Y","Sort=A","Dates=H","DateFormat=P","Fill=—","Direction=H","UseDPDF=Y")</f>
        <v>#NAME?</v>
      </c>
      <c r="CP581" s="2" t="e">
        <f ca="1">_xll.BDH($C$578,"EBITDA","FQ3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81" s="2" t="e">
        <f ca="1">_xll.BDH($C$578,"EBITDA_AFTER_CAPEX","FQ3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81" s="2" t="e">
        <f ca="1">_xll.BDH($C$578,"IS_OPER_INC","FQ3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81" s="1" t="e">
        <f ca="1">_xll.BDH($C$578,"CASH_RATIO","FQ3 2014","FQ3 2014","Currency=INR","Period=FQ","BEST_FPERIOD_OVERRIDE=FQ","FILING_STATUS=OR","EQY_CONSOLIDATED=Y","Sort=A","Dates=H","DateFormat=P","Fill=—","Direction=H","UseDPDF=Y")</f>
        <v>#NAME?</v>
      </c>
      <c r="CT581" s="1" t="e">
        <f ca="1">_xll.BDH($C$578,"CUR_RATIO","FQ3 2014","FQ3 2014","Currency=INR","Period=FQ","BEST_FPERIOD_OVERRIDE=FQ","FILING_STATUS=OR","EQY_CONSOLIDATED=Y","Sort=A","Dates=H","DateFormat=P","Fill=—","Direction=H","UseDPDF=Y")</f>
        <v>#NAME?</v>
      </c>
      <c r="CU581" s="1" t="e">
        <f ca="1">_xll.BDH($C$578,"QUICK_RATIO","FQ3 2014","FQ3 2014","Currency=INR","Period=FQ","BEST_FPERIOD_OVERRIDE=FQ","FILING_STATUS=OR","EQY_CONSOLIDATED=Y","Sort=A","Dates=H","DateFormat=P","Fill=—","Direction=H","UseDPDF=Y")</f>
        <v>#NAME?</v>
      </c>
      <c r="CV581" s="1" t="e">
        <f ca="1">_xll.BDH($C$578,"ALTMAN_Z_SCORE","FQ3 2014","FQ3 2014","Currency=INR","Period=FQ","BEST_FPERIOD_OVERRIDE=FQ","FILING_STATUS=OR","EQY_CONSOLIDATED=Y","Sort=A","Dates=H","DateFormat=P","Fill=—","Direction=H","UseDPDF=Y")</f>
        <v>#NAME?</v>
      </c>
      <c r="CW581" s="3" t="e">
        <f ca="1">_xll.BDH($C$578,"ACCT_RCV_TURN","FQ3 2014","FQ3 2014","Currency=INR","Period=FQ","BEST_FPERIOD_OVERRIDE=FQ","FILING_STATUS=OR","EQY_CONSOLIDATED=Y","FA_ADJUSTED=GAAP","Sort=A","Dates=H","DateFormat=P","Fill=—","Direction=H","UseDPDF=Y")</f>
        <v>#NAME?</v>
      </c>
      <c r="CX581" s="1" t="e">
        <f ca="1">_xll.BDH($C$578,"ACCT_RCV_DAYS","FQ3 2014","FQ3 2014","Currency=INR","Period=FQ","BEST_FPERIOD_OVERRIDE=FQ","FILING_STATUS=OR","EQY_CONSOLIDATED=Y","FA_ADJUSTED=GAAP","Sort=A","Dates=H","DateFormat=P","Fill=—","Direction=H","UseDPDF=Y")</f>
        <v>#NAME?</v>
      </c>
      <c r="CY581" s="3" t="e">
        <f ca="1">_xll.BDH($C$578,"INVENT_TURN","FQ3 2014","FQ3 2014","Currency=INR","Period=FQ","BEST_FPERIOD_OVERRIDE=FQ","FILING_STATUS=OR","EQY_CONSOLIDATED=Y","FA_ADJUSTED=GAAP","Sort=A","Dates=H","DateFormat=P","Fill=—","Direction=H","UseDPDF=Y")</f>
        <v>#NAME?</v>
      </c>
      <c r="CZ581" s="1" t="e">
        <f ca="1">_xll.BDH($C$578,"INVENT_DAYS","FQ3 2014","FQ3 2014","Currency=INR","Period=FQ","BEST_FPERIOD_OVERRIDE=FQ","FILING_STATUS=OR","EQY_CONSOLIDATED=Y","FA_ADJUSTED=GAAP","Sort=A","Dates=H","DateFormat=P","Fill=—","Direction=H","UseDPDF=Y")</f>
        <v>#NAME?</v>
      </c>
      <c r="DA581" s="3" t="e">
        <f ca="1">_xll.BDH($C$578,"ACCOUNTS_PAYABLE_TURNOVER","FQ3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81" s="1" t="e">
        <f ca="1">_xll.BDH($C$578,"ACCOUNTS_PAYABLE_TURNOVER_DAYS","FQ3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81" s="3" t="e">
        <f ca="1">_xll.BDH($C$578,"CASH_CONVERSION_CYCLE","FQ3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81" s="3" t="e">
        <f ca="1">_xll.BDH($C$578,"INV_TO_CASH_DAYS","FQ3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581" s="4" t="e">
        <f ca="1">_xll.BDH($C$578,"BS_INVENTORIES","FQ3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581" s="2" t="e">
        <f ca="1">_xll.BDH($C$578,"INVTRY_RAW_MATERIALS","FQ3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81" s="2" t="e">
        <f ca="1">_xll.BDH($C$578,"INVTRY_IN_PROGRESS","FQ3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81" s="2" t="e">
        <f ca="1">_xll.BDH($C$578,"INVTRY_FINISHED_GOODS","FQ3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81" s="2" t="e">
        <f ca="1">_xll.BDH($C$578,"BS_OTHER_INV","FQ3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82" spans="1:113" x14ac:dyDescent="0.3">
      <c r="A582" s="6"/>
      <c r="B582" s="6"/>
      <c r="C582" s="6"/>
      <c r="D582" s="6"/>
      <c r="E582" t="s">
        <v>7</v>
      </c>
      <c r="F582" t="e">
        <f ca="1">_xll.BDH($C$578,"RETURN_COM_EQY","FQ4 2014","FQ4 2014","Currency=INR","Period=FQ","BEST_FPERIOD_OVERRIDE=FQ","FILING_STATUS=OR","EQY_CONSOLIDATED=Y","FA_ADJUSTED=GAAP","Sort=A","Dates=H","DateFormat=P","Fill=—","Direction=H","UseDPDF=Y")</f>
        <v>#NAME?</v>
      </c>
      <c r="G582" t="e">
        <f ca="1">_xll.BDH($C$578,"RETURN_ON_ASSET","FQ4 2014","FQ4 2014","Currency=INR","Period=FQ","BEST_FPERIOD_OVERRIDE=FQ","FILING_STATUS=OR","EQY_CONSOLIDATED=Y","FA_ADJUSTED=GAAP","Sort=A","Dates=H","DateFormat=P","Fill=—","Direction=H","UseDPDF=Y")</f>
        <v>#NAME?</v>
      </c>
      <c r="H582" t="e">
        <f ca="1">_xll.BDH($C$578,"RETURN_ON_CAP","FQ4 2014","FQ4 2014","Currency=INR","Period=FQ","BEST_FPERIOD_OVERRIDE=FQ","FILING_STATUS=OR","EQY_CONSOLIDATED=Y","FA_ADJUSTED=GAAP","Sort=A","Dates=H","DateFormat=P","Fill=—","Direction=H","UseDPDF=Y")</f>
        <v>#NAME?</v>
      </c>
      <c r="I582" t="e">
        <f ca="1">_xll.BDH($C$578,"RETURN_ON_INV_CAPITAL","FQ4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82" t="e">
        <f ca="1">_xll.BDH($C$578,"EBITDA_TO_REVENUE","FQ4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582" t="e">
        <f ca="1">_xll.BDH($C$578,"OPER_MARGIN","FQ4 2014","FQ4 2014","Currency=INR","Period=FQ","BEST_FPERIOD_OVERRIDE=FQ","FILING_STATUS=OR","EQY_CONSOLIDATED=Y","FA_ADJUSTED=GAAP","Sort=A","Dates=H","DateFormat=P","Fill=—","Direction=H","UseDPDF=Y")</f>
        <v>#NAME?</v>
      </c>
      <c r="L582" t="e">
        <f ca="1">_xll.BDH($C$578,"INCREMENTAL_OPERATING_MARGIN","FQ4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82" t="e">
        <f ca="1">_xll.BDH($C$578,"PRETAX_INC_TO_NET_SALES","FQ4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82" t="e">
        <f ca="1">_xll.BDH($C$578,"INC_BEF_XO_ITEMS_TO_NET_SALES","FQ4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82" t="e">
        <f ca="1">_xll.BDH($C$578,"PROF_MARGIN","FQ4 2014","FQ4 2014","Currency=INR","Period=FQ","BEST_FPERIOD_OVERRIDE=FQ","FILING_STATUS=OR","EQY_CONSOLIDATED=Y","FA_ADJUSTED=GAAP","Sort=A","Dates=H","DateFormat=P","Fill=—","Direction=H","UseDPDF=Y")</f>
        <v>#NAME?</v>
      </c>
      <c r="P582" t="e">
        <f ca="1">_xll.BDH($C$578,"NET_INCOME_TO_COMMON_MARGIN","FQ4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82" t="e">
        <f ca="1">_xll.BDH($C$578,"EFF_TAX_RATE","FQ4 2014","FQ4 2014","Currency=INR","Period=FQ","BEST_FPERIOD_OVERRIDE=FQ","FILING_STATUS=OR","EQY_CONSOLIDATED=Y","FA_ADJUSTED=GAAP","Sort=A","Dates=H","DateFormat=P","Fill=—","Direction=H","UseDPDF=Y")</f>
        <v>#NAME?</v>
      </c>
      <c r="R582" t="e">
        <f ca="1">_xll.BDH($C$578,"DVD_PAYOUT_RATIO","FQ4 2014","FQ4 2014","Currency=INR","Period=FQ","BEST_FPERIOD_OVERRIDE=FQ","FILING_STATUS=OR","EQY_CONSOLIDATED=Y","FA_ADJUSTED=GAAP","Sort=A","Dates=H","DateFormat=P","Fill=—","Direction=H","UseDPDF=Y")</f>
        <v>#NAME?</v>
      </c>
      <c r="S582" t="e">
        <f ca="1">_xll.BDH($C$578,"SUSTAIN_GROWTH_RT","FQ4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582" s="1" t="e">
        <f ca="1">_xll.BDH($C$578,"SALES_GROWTH","FQ4 2014","FQ4 2014","Currency=INR","Period=FQ","BEST_FPERIOD_OVERRIDE=FQ","FILING_STATUS=OR","EQY_CONSOLIDATED=Y","FA_ADJUSTED=GAAP","Sort=A","Dates=H","DateFormat=P","Fill=—","Direction=H","UseDPDF=Y")</f>
        <v>#NAME?</v>
      </c>
      <c r="U582" s="1" t="e">
        <f ca="1">_xll.BDH($C$578,"EBITDA_GROWTH","FQ4 2014","FQ4 2014","Currency=INR","Period=FQ","BEST_FPERIOD_OVERRIDE=FQ","FILING_STATUS=OR","EQY_CONSOLIDATED=Y","FA_ADJUSTED=GAAP","Sort=A","Dates=H","DateFormat=P","Fill=—","Direction=H","UseDPDF=Y")</f>
        <v>#NAME?</v>
      </c>
      <c r="V582" s="1" t="e">
        <f ca="1">_xll.BDH($C$578,"OPER_INC_GROWTH","FQ4 2014","FQ4 2014","Currency=INR","Period=FQ","BEST_FPERIOD_OVERRIDE=FQ","FILING_STATUS=OR","EQY_CONSOLIDATED=Y","FA_ADJUSTED=GAAP","Sort=A","Dates=H","DateFormat=P","Fill=—","Direction=H","UseDPDF=Y")</f>
        <v>#NAME?</v>
      </c>
      <c r="W582" s="1" t="e">
        <f ca="1">_xll.BDH($C$578,"EARN_FOR_COM_GROWTH","FQ4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82" s="1" t="e">
        <f ca="1">_xll.BDH($C$578,"DILUTED_EPS_AFT_XO_ITEMS_GROWTH","FQ4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82" s="1" t="e">
        <f ca="1">_xll.BDH($C$578,"DIVIDEND_PER_SHARE_1_YEAR_GROWTH","FQ4 2014","FQ4 2014","Currency=INR","Period=FQ","BEST_FPERIOD_OVERRIDE=FQ","FILING_STATUS=OR","EQY_CONSOLIDATED=Y","Sort=A","Dates=H","DateFormat=P","Fill=—","Direction=H","UseDPDF=Y")</f>
        <v>#NAME?</v>
      </c>
      <c r="Z582" s="1" t="e">
        <f ca="1">_xll.BDH($C$578,"ACCOUNTS_RECEIVABLE_GROWTH","FQ4 2014","FQ4 2014","Currency=INR","Period=FQ","BEST_FPERIOD_OVERRIDE=FQ","FILING_STATUS=OR","EQY_CONSOLIDATED=Y","Sort=A","Dates=H","DateFormat=P","Fill=—","Direction=H","UseDPDF=Y")</f>
        <v>#NAME?</v>
      </c>
      <c r="AA582" s="1" t="e">
        <f ca="1">_xll.BDH($C$578,"INVENTORY_GROWTH","FQ4 2014","FQ4 2014","Currency=INR","Period=FQ","BEST_FPERIOD_OVERRIDE=FQ","FILING_STATUS=OR","EQY_CONSOLIDATED=Y","Sort=A","Dates=H","DateFormat=P","Fill=—","Direction=H","UseDPDF=Y")</f>
        <v>#NAME?</v>
      </c>
      <c r="AB582" s="1" t="e">
        <f ca="1">_xll.BDH($C$578,"NET_FIXED_ASSETS_1_YEAR_GROWTH","FQ4 2014","FQ4 2014","Currency=INR","Period=FQ","BEST_FPERIOD_OVERRIDE=FQ","FILING_STATUS=OR","EQY_CONSOLIDATED=Y","Sort=A","Dates=H","DateFormat=P","Fill=—","Direction=H","UseDPDF=Y")</f>
        <v>#NAME?</v>
      </c>
      <c r="AC582" s="1" t="e">
        <f ca="1">_xll.BDH($C$578,"ASSET_GROWTH","FQ4 2014","FQ4 2014","Currency=INR","Period=FQ","BEST_FPERIOD_OVERRIDE=FQ","FILING_STATUS=OR","EQY_CONSOLIDATED=Y","Sort=A","Dates=H","DateFormat=P","Fill=—","Direction=H","UseDPDF=Y")</f>
        <v>#NAME?</v>
      </c>
      <c r="AD582" s="1" t="e">
        <f ca="1">_xll.BDH($C$578,"MODIFIED_WORK_CAP_GROWTH","FQ4 2014","FQ4 2014","Currency=INR","Period=FQ","BEST_FPERIOD_OVERRIDE=FQ","FILING_STATUS=OR","EQY_CONSOLIDATED=Y","Sort=A","Dates=H","DateFormat=P","Fill=—","Direction=H","UseDPDF=Y")</f>
        <v>#NAME?</v>
      </c>
      <c r="AE582" s="1" t="e">
        <f ca="1">_xll.BDH($C$578,"WORK_CAP_GROWTH","FQ4 2014","FQ4 2014","Currency=INR","Period=FQ","BEST_FPERIOD_OVERRIDE=FQ","FILING_STATUS=OR","EQY_CONSOLIDATED=Y","Sort=A","Dates=H","DateFormat=P","Fill=—","Direction=H","UseDPDF=Y")</f>
        <v>#NAME?</v>
      </c>
      <c r="AF582" s="1" t="e">
        <f ca="1">_xll.BDH($C$578,"ACCOUNTS_PAYABLE_GROWTH_1YR","FQ4 2014","FQ4 2014","Currency=INR","Period=FQ","BEST_FPERIOD_OVERRIDE=FQ","FILING_STATUS=OR","EQY_CONSOLIDATED=Y","Sort=A","Dates=H","DateFormat=P","Fill=—","Direction=H","UseDPDF=Y")</f>
        <v>#NAME?</v>
      </c>
      <c r="AG582" s="1" t="e">
        <f ca="1">_xll.BDH($C$578,"SHORT_TERM_DEBT_1_YEAR_GROWTH","FQ4 2014","FQ4 2014","Currency=INR","Period=FQ","BEST_FPERIOD_OVERRIDE=FQ","FILING_STATUS=OR","EQY_CONSOLIDATED=Y","Sort=A","Dates=H","DateFormat=P","Fill=—","Direction=H","UseDPDF=Y")</f>
        <v>#NAME?</v>
      </c>
      <c r="AH582" s="1" t="e">
        <f ca="1">_xll.BDH($C$578,"TOTAL_DEBT_1_YEAR_GROWTH","FQ4 2014","FQ4 2014","Currency=INR","Period=FQ","BEST_FPERIOD_OVERRIDE=FQ","FILING_STATUS=OR","EQY_CONSOLIDATED=Y","Sort=A","Dates=H","DateFormat=P","Fill=—","Direction=H","UseDPDF=Y")</f>
        <v>#NAME?</v>
      </c>
      <c r="AI582" s="1" t="e">
        <f ca="1">_xll.BDH($C$578,"TOTAL_EQUITY_1_YEAR_GROWTH","FQ4 2014","FQ4 2014","Currency=INR","Period=FQ","BEST_FPERIOD_OVERRIDE=FQ","FILING_STATUS=OR","EQY_CONSOLIDATED=Y","Sort=A","Dates=H","DateFormat=P","Fill=—","Direction=H","UseDPDF=Y")</f>
        <v>#NAME?</v>
      </c>
      <c r="AJ582" s="1" t="e">
        <f ca="1">_xll.BDH($C$578,"GROWTH_IN_CAP","FQ4 2014","FQ4 2014","Currency=INR","Period=FQ","BEST_FPERIOD_OVERRIDE=FQ","FILING_STATUS=OR","EQY_CONSOLIDATED=Y","Sort=A","Dates=H","DateFormat=P","Fill=—","Direction=H","UseDPDF=Y")</f>
        <v>#NAME?</v>
      </c>
      <c r="AK582" s="1" t="e">
        <f ca="1">_xll.BDH($C$578,"BVPS_GROWTH","FQ4 2014","FQ4 2014","Currency=INR","Period=FQ","BEST_FPERIOD_OVERRIDE=FQ","FILING_STATUS=OR","EQY_CONSOLIDATED=Y","Sort=A","Dates=H","DateFormat=P","Fill=—","Direction=H","UseDPDF=Y")</f>
        <v>#NAME?</v>
      </c>
      <c r="AL582" s="1" t="e">
        <f ca="1">_xll.BDH($C$578,"CASH_FLOW_GROWTH","FQ4 2014","FQ4 2014","Currency=INR","Period=FQ","BEST_FPERIOD_OVERRIDE=FQ","FILING_STATUS=OR","EQY_CONSOLIDATED=Y","Sort=A","Dates=H","DateFormat=P","Fill=—","Direction=H","UseDPDF=Y")</f>
        <v>#NAME?</v>
      </c>
      <c r="AM582" s="1" t="e">
        <f ca="1">_xll.BDH($C$578,"GEO_GROW_NET_SALES","FQ4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82" s="1" t="e">
        <f ca="1">_xll.BDH($C$578,"GEO_GROW_EBITDA","FQ4 2014","FQ4 2014","Currency=INR","Period=FQ","BEST_FPERIOD_OVERRIDE=FQ","FILING_STATUS=OR","EQY_CONSOLIDATED=Y","FA_ADJUSTED=GAAP","Sort=A","Dates=H","DateFormat=P","Fill=—","Direction=H","UseDPDF=Y")</f>
        <v>#NAME?</v>
      </c>
      <c r="AO582" s="1" t="e">
        <f ca="1">_xll.BDH($C$578,"GEO_GROW_OPER_INC","FQ4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82" s="1" t="e">
        <f ca="1">_xll.BDH($C$578,"NET_INCOME_TO_COMMON_5_YR_GROWTH","FQ4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82" s="1" t="e">
        <f ca="1">_xll.BDH($C$578,"5Y_GEO_GROWTH_DILUTED_EPS","FQ4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82" s="1" t="e">
        <f ca="1">_xll.BDH($C$578,"GEO_GROW_DVD_PER_SH","FQ4 2014","FQ4 2014","Currency=INR","Period=FQ","BEST_FPERIOD_OVERRIDE=FQ","FILING_STATUS=OR","EQY_CONSOLIDATED=Y","Sort=A","Dates=H","DateFormat=P","Fill=—","Direction=H","UseDPDF=Y")</f>
        <v>#NAME?</v>
      </c>
      <c r="AS582" s="1" t="e">
        <f ca="1">_xll.BDH($C$578,"ACCOUNTS_RECEIVABLE_5_YR_GROWTH","FQ4 2014","FQ4 2014","Currency=INR","Period=FQ","BEST_FPERIOD_OVERRIDE=FQ","FILING_STATUS=OR","EQY_CONSOLIDATED=Y","Sort=A","Dates=H","DateFormat=P","Fill=—","Direction=H","UseDPDF=Y")</f>
        <v>#NAME?</v>
      </c>
      <c r="AT582" s="1" t="e">
        <f ca="1">_xll.BDH($C$578,"INVENTORY_5_YEAR_GROWTH","FQ4 2014","FQ4 2014","Currency=INR","Period=FQ","BEST_FPERIOD_OVERRIDE=FQ","FILING_STATUS=OR","EQY_CONSOLIDATED=Y","Sort=A","Dates=H","DateFormat=P","Fill=—","Direction=H","UseDPDF=Y")</f>
        <v>#NAME?</v>
      </c>
      <c r="AU582" s="1" t="e">
        <f ca="1">_xll.BDH($C$578,"NET_FIXED_ASSETS_5_YEAR_GROWTH","FQ4 2014","FQ4 2014","Currency=INR","Period=FQ","BEST_FPERIOD_OVERRIDE=FQ","FILING_STATUS=OR","EQY_CONSOLIDATED=Y","Sort=A","Dates=H","DateFormat=P","Fill=—","Direction=H","UseDPDF=Y")</f>
        <v>#NAME?</v>
      </c>
      <c r="AV582" s="1" t="e">
        <f ca="1">_xll.BDH($C$578,"GEO_GROW_TOT_ASSET","FQ4 2014","FQ4 2014","Currency=INR","Period=FQ","BEST_FPERIOD_OVERRIDE=FQ","FILING_STATUS=OR","EQY_CONSOLIDATED=Y","Sort=A","Dates=H","DateFormat=P","Fill=—","Direction=H","UseDPDF=Y")</f>
        <v>#NAME?</v>
      </c>
      <c r="AW582" s="1" t="e">
        <f ca="1">_xll.BDH($C$578,"MODIFIED_WORKING_CPTL_5YR_GRWTH","FQ4 2014","FQ4 2014","Currency=INR","Period=FQ","BEST_FPERIOD_OVERRIDE=FQ","FILING_STATUS=OR","EQY_CONSOLIDATED=Y","Sort=A","Dates=H","DateFormat=P","Fill=—","Direction=H","UseDPDF=Y")</f>
        <v>#NAME?</v>
      </c>
      <c r="AX582" s="1" t="e">
        <f ca="1">_xll.BDH($C$578,"WORKING_CAPITAL_5_YEAR_GROWTH","FQ4 2014","FQ4 2014","Currency=INR","Period=FQ","BEST_FPERIOD_OVERRIDE=FQ","FILING_STATUS=OR","EQY_CONSOLIDATED=Y","Sort=A","Dates=H","DateFormat=P","Fill=—","Direction=H","UseDPDF=Y")</f>
        <v>#NAME?</v>
      </c>
      <c r="AY582" s="1" t="e">
        <f ca="1">_xll.BDH($C$578,"ACCOUNTS_PAYABLE_5_YEAR_GROWTH","FQ4 2014","FQ4 2014","Currency=INR","Period=FQ","BEST_FPERIOD_OVERRIDE=FQ","FILING_STATUS=OR","EQY_CONSOLIDATED=Y","Sort=A","Dates=H","DateFormat=P","Fill=—","Direction=H","UseDPDF=Y")</f>
        <v>#NAME?</v>
      </c>
      <c r="AZ582" s="1" t="e">
        <f ca="1">_xll.BDH($C$578,"SHORT_TERM_DEBT_5_YEAR_GROWTH","FQ4 2014","FQ4 2014","Currency=INR","Period=FQ","BEST_FPERIOD_OVERRIDE=FQ","FILING_STATUS=OR","EQY_CONSOLIDATED=Y","Sort=A","Dates=H","DateFormat=P","Fill=—","Direction=H","UseDPDF=Y")</f>
        <v>#NAME?</v>
      </c>
      <c r="BA582" s="1" t="e">
        <f ca="1">_xll.BDH($C$578,"TOTAL_DEBT_5_YEAR_GROWTH","FQ4 2014","FQ4 2014","Currency=INR","Period=FQ","BEST_FPERIOD_OVERRIDE=FQ","FILING_STATUS=OR","EQY_CONSOLIDATED=Y","Sort=A","Dates=H","DateFormat=P","Fill=—","Direction=H","UseDPDF=Y")</f>
        <v>#NAME?</v>
      </c>
      <c r="BB582" s="1" t="e">
        <f ca="1">_xll.BDH($C$578,"GEO_GROW_TOT_SHRHLDR_EQY","FQ4 2014","FQ4 2014","Currency=INR","Period=FQ","BEST_FPERIOD_OVERRIDE=FQ","FILING_STATUS=OR","EQY_CONSOLIDATED=Y","Sort=A","Dates=H","DateFormat=P","Fill=—","Direction=H","UseDPDF=Y")</f>
        <v>#NAME?</v>
      </c>
      <c r="BC582" s="1" t="e">
        <f ca="1">_xll.BDH($C$578,"TOTAL_CAPITAL_5_YEAR_GROWTH","FQ4 2014","FQ4 2014","Currency=INR","Period=FQ","BEST_FPERIOD_OVERRIDE=FQ","FILING_STATUS=OR","EQY_CONSOLIDATED=Y","Sort=A","Dates=H","DateFormat=P","Fill=—","Direction=H","UseDPDF=Y")</f>
        <v>#NAME?</v>
      </c>
      <c r="BD582" s="1" t="e">
        <f ca="1">_xll.BDH($C$578,"GEO_GROW_BOOK_VAL","FQ4 2014","FQ4 2014","Currency=INR","Period=FQ","BEST_FPERIOD_OVERRIDE=FQ","FILING_STATUS=OR","EQY_CONSOLIDATED=Y","Sort=A","Dates=H","DateFormat=P","Fill=—","Direction=H","UseDPDF=Y")</f>
        <v>#NAME?</v>
      </c>
      <c r="BE582" s="1" t="e">
        <f ca="1">_xll.BDH($C$578,"GEO_GROW_CASH_OPER_ACT","FQ4 2014","FQ4 2014","Currency=INR","Period=FQ","BEST_FPERIOD_OVERRIDE=FQ","FILING_STATUS=OR","EQY_CONSOLIDATED=Y","Sort=A","Dates=H","DateFormat=P","Fill=—","Direction=H","UseDPDF=Y")</f>
        <v>#NAME?</v>
      </c>
      <c r="BF582" s="1" t="e">
        <f ca="1">_xll.BDH($C$578,"REVENUE_SEQUENTIAL_GROWTH","FQ4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82" s="1" t="e">
        <f ca="1">_xll.BDH($C$578,"EBITDA_SEQUENTIAL_GROWTH","FQ4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82" s="1" t="e">
        <f ca="1">_xll.BDH($C$578,"OPERATING_INCOME_SEQ_GROWTH","FQ4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82" s="1" t="e">
        <f ca="1">_xll.BDH($C$578,"NET_INCOME_TO_COMMON_SEQ_GROWTH","FQ4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82" s="1" t="e">
        <f ca="1">_xll.BDH($C$578,"EPS_DILUTED_SEQUENTIAL_GROWTH","FQ4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82" s="1" t="e">
        <f ca="1">_xll.BDH($C$578,"DPS_SEQUENTIAL_GROWTH","FQ4 2014","FQ4 2014","Currency=INR","Period=FQ","BEST_FPERIOD_OVERRIDE=FQ","FILING_STATUS=OR","EQY_CONSOLIDATED=Y","Sort=A","Dates=H","DateFormat=P","Fill=—","Direction=H","UseDPDF=Y")</f>
        <v>#NAME?</v>
      </c>
      <c r="BL582" s="1" t="e">
        <f ca="1">_xll.BDH($C$578,"ACCOUNTS_RECEIVABLE_SEQ_GROWTH","FQ4 2014","FQ4 2014","Currency=INR","Period=FQ","BEST_FPERIOD_OVERRIDE=FQ","FILING_STATUS=OR","EQY_CONSOLIDATED=Y","Sort=A","Dates=H","DateFormat=P","Fill=—","Direction=H","UseDPDF=Y")</f>
        <v>#NAME?</v>
      </c>
      <c r="BM582" s="1" t="e">
        <f ca="1">_xll.BDH($C$578,"INVENTORY_SEQUENTIAL_GROWTH","FQ4 2014","FQ4 2014","Currency=INR","Period=FQ","BEST_FPERIOD_OVERRIDE=FQ","FILING_STATUS=OR","EQY_CONSOLIDATED=Y","Sort=A","Dates=H","DateFormat=P","Fill=—","Direction=H","UseDPDF=Y")</f>
        <v>#NAME?</v>
      </c>
      <c r="BN582" s="1" t="e">
        <f ca="1">_xll.BDH($C$578,"FIXED_ASSETS_SEQUENTIAL_GROWTH","FQ4 2014","FQ4 2014","Currency=INR","Period=FQ","BEST_FPERIOD_OVERRIDE=FQ","FILING_STATUS=OR","EQY_CONSOLIDATED=Y","Sort=A","Dates=H","DateFormat=P","Fill=—","Direction=H","UseDPDF=Y")</f>
        <v>#NAME?</v>
      </c>
      <c r="BO582" s="1" t="e">
        <f ca="1">_xll.BDH($C$578,"TOTAL_ASSETS_SEQUENTIAL_GROWTH","FQ4 2014","FQ4 2014","Currency=INR","Period=FQ","BEST_FPERIOD_OVERRIDE=FQ","FILING_STATUS=OR","EQY_CONSOLIDATED=Y","Sort=A","Dates=H","DateFormat=P","Fill=—","Direction=H","UseDPDF=Y")</f>
        <v>#NAME?</v>
      </c>
      <c r="BP582" s="1" t="e">
        <f ca="1">_xll.BDH($C$578,"MODIFIED_WORKING_CPTL_SEQ_GRWTH","FQ4 2014","FQ4 2014","Currency=INR","Period=FQ","BEST_FPERIOD_OVERRIDE=FQ","FILING_STATUS=OR","EQY_CONSOLIDATED=Y","Sort=A","Dates=H","DateFormat=P","Fill=—","Direction=H","UseDPDF=Y")</f>
        <v>#NAME?</v>
      </c>
      <c r="BQ582" s="1" t="e">
        <f ca="1">_xll.BDH($C$578,"WORKING_CAPITAL_SEQ_GROWTH","FQ4 2014","FQ4 2014","Currency=INR","Period=FQ","BEST_FPERIOD_OVERRIDE=FQ","FILING_STATUS=OR","EQY_CONSOLIDATED=Y","Sort=A","Dates=H","DateFormat=P","Fill=—","Direction=H","UseDPDF=Y")</f>
        <v>#NAME?</v>
      </c>
      <c r="BR582" s="1" t="e">
        <f ca="1">_xll.BDH($C$578,"ACCOUNTS_PAYABLE_SEQ_GROWTH","FQ4 2014","FQ4 2014","Currency=INR","Period=FQ","BEST_FPERIOD_OVERRIDE=FQ","FILING_STATUS=OR","EQY_CONSOLIDATED=Y","Sort=A","Dates=H","DateFormat=P","Fill=—","Direction=H","UseDPDF=Y")</f>
        <v>#NAME?</v>
      </c>
      <c r="BS582" s="1" t="e">
        <f ca="1">_xll.BDH($C$578,"ST_DEBT_SEQUENTIAL_GROWTH","FQ4 2014","FQ4 2014","Currency=INR","Period=FQ","BEST_FPERIOD_OVERRIDE=FQ","FILING_STATUS=OR","EQY_CONSOLIDATED=Y","Sort=A","Dates=H","DateFormat=P","Fill=—","Direction=H","UseDPDF=Y")</f>
        <v>#NAME?</v>
      </c>
      <c r="BT582" s="1" t="e">
        <f ca="1">_xll.BDH($C$578,"TOTAL_DEBT_SEQUENTIAL_GROWTH","FQ4 2014","FQ4 2014","Currency=INR","Period=FQ","BEST_FPERIOD_OVERRIDE=FQ","FILING_STATUS=OR","EQY_CONSOLIDATED=Y","Sort=A","Dates=H","DateFormat=P","Fill=—","Direction=H","UseDPDF=Y")</f>
        <v>#NAME?</v>
      </c>
      <c r="BU582" s="1" t="e">
        <f ca="1">_xll.BDH($C$578,"TOTAL_EQUITY_SEQUENTIAL_GROWTH","FQ4 2014","FQ4 2014","Currency=INR","Period=FQ","BEST_FPERIOD_OVERRIDE=FQ","FILING_STATUS=OR","EQY_CONSOLIDATED=Y","Sort=A","Dates=H","DateFormat=P","Fill=—","Direction=H","UseDPDF=Y")</f>
        <v>#NAME?</v>
      </c>
      <c r="BV582" s="1" t="e">
        <f ca="1">_xll.BDH($C$578,"TOTAL_CAPITAL_SEQUENTIAL_GROWTH","FQ4 2014","FQ4 2014","Currency=INR","Period=FQ","BEST_FPERIOD_OVERRIDE=FQ","FILING_STATUS=OR","EQY_CONSOLIDATED=Y","Sort=A","Dates=H","DateFormat=P","Fill=—","Direction=H","UseDPDF=Y")</f>
        <v>#NAME?</v>
      </c>
      <c r="BW582" s="1" t="e">
        <f ca="1">_xll.BDH($C$578,"BPS_SEQUENTIAL_GROWTH","FQ4 2014","FQ4 2014","Currency=INR","Period=FQ","BEST_FPERIOD_OVERRIDE=FQ","FILING_STATUS=OR","EQY_CONSOLIDATED=Y","Sort=A","Dates=H","DateFormat=P","Fill=—","Direction=H","UseDPDF=Y")</f>
        <v>#NAME?</v>
      </c>
      <c r="BX582" s="1" t="e">
        <f ca="1">_xll.BDH($C$578,"CFO_SEQUENTIAL_GROWTH","FQ4 2014","FQ4 2014","Currency=INR","Period=FQ","BEST_FPERIOD_OVERRIDE=FQ","FILING_STATUS=OR","EQY_CONSOLIDATED=Y","Sort=A","Dates=H","DateFormat=P","Fill=—","Direction=H","UseDPDF=Y")</f>
        <v>#NAME?</v>
      </c>
      <c r="BY582" s="2" t="e">
        <f ca="1">_xll.BDH($C$578,"SHORT_AND_LONG_TERM_DEBT","FQ4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82" s="2" t="e">
        <f ca="1">_xll.BDH($C$578,"BS_ST_BORROW","FQ4 2014","FQ4 2014","Currency=INR","Period=FQ","BEST_FPERIOD_OVERRIDE=FQ","FILING_STATUS=OR","EQY_CONSOLIDATED=Y","SCALING_FORMAT=MLN","Sort=A","Dates=H","DateFormat=P","Fill=—","Direction=H","UseDPDF=Y")</f>
        <v>#NAME?</v>
      </c>
      <c r="CA582" s="2" t="e">
        <f ca="1">_xll.BDH($C$578,"BS_LT_BORROW","FQ4 2014","FQ4 2014","Currency=INR","Period=FQ","BEST_FPERIOD_OVERRIDE=FQ","FILING_STATUS=OR","EQY_CONSOLIDATED=Y","SCALING_FORMAT=MLN","Sort=A","Dates=H","DateFormat=P","Fill=—","Direction=H","UseDPDF=Y")</f>
        <v>#NAME?</v>
      </c>
      <c r="CB582" s="1" t="e">
        <f ca="1">_xll.BDH($C$578,"TOT_DEBT_TO_EBITDA","FQ4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82" s="1" t="e">
        <f ca="1">_xll.BDH($C$578,"NET_DEBT_TO_EBITDA","FQ4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82" s="1" t="e">
        <f ca="1">_xll.BDH($C$578,"TOTAL_DEBT_TO_EBIT","FQ4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82" s="1" t="e">
        <f ca="1">_xll.BDH($C$578,"NET_DEBT_TO_EBIT","FQ4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582" s="1" t="e">
        <f ca="1">_xll.BDH($C$578,"EBITDA_TO_INTEREST_EXPN","FQ4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82" s="1" t="e">
        <f ca="1">_xll.BDH($C$578,"COM_EQY_TO_TOT_ASSET","FQ4 2014","FQ4 2014","Currency=INR","Period=FQ","BEST_FPERIOD_OVERRIDE=FQ","FILING_STATUS=OR","EQY_CONSOLIDATED=Y","Sort=A","Dates=H","DateFormat=P","Fill=—","Direction=H","UseDPDF=Y")</f>
        <v>#NAME?</v>
      </c>
      <c r="CH582" s="1" t="e">
        <f ca="1">_xll.BDH($C$578,"LT_DEBT_TO_TOT_EQY","FQ4 2014","FQ4 2014","Currency=INR","Period=FQ","BEST_FPERIOD_OVERRIDE=FQ","FILING_STATUS=OR","EQY_CONSOLIDATED=Y","Sort=A","Dates=H","DateFormat=P","Fill=—","Direction=H","UseDPDF=Y")</f>
        <v>#NAME?</v>
      </c>
      <c r="CI582" s="1" t="e">
        <f ca="1">_xll.BDH($C$578,"LT_DEBT_TO_TOT_CAP","FQ4 2014","FQ4 2014","Currency=INR","Period=FQ","BEST_FPERIOD_OVERRIDE=FQ","FILING_STATUS=OR","EQY_CONSOLIDATED=Y","Sort=A","Dates=H","DateFormat=P","Fill=—","Direction=H","UseDPDF=Y")</f>
        <v>#NAME?</v>
      </c>
      <c r="CJ582" s="1" t="e">
        <f ca="1">_xll.BDH($C$578,"LT_DEBT_TO_TOT_ASSET","FQ4 2014","FQ4 2014","Currency=INR","Period=FQ","BEST_FPERIOD_OVERRIDE=FQ","FILING_STATUS=OR","EQY_CONSOLIDATED=Y","Sort=A","Dates=H","DateFormat=P","Fill=—","Direction=H","UseDPDF=Y")</f>
        <v>#NAME?</v>
      </c>
      <c r="CK582" s="1" t="e">
        <f ca="1">_xll.BDH($C$578,"TOT_DEBT_TO_TOT_EQY","FQ4 2014","FQ4 2014","Currency=INR","Period=FQ","BEST_FPERIOD_OVERRIDE=FQ","FILING_STATUS=OR","EQY_CONSOLIDATED=Y","Sort=A","Dates=H","DateFormat=P","Fill=—","Direction=H","UseDPDF=Y")</f>
        <v>#NAME?</v>
      </c>
      <c r="CL582" s="1" t="e">
        <f ca="1">_xll.BDH($C$578,"TOT_DEBT_TO_TOT_CAP","FQ4 2014","FQ4 2014","Currency=INR","Period=FQ","BEST_FPERIOD_OVERRIDE=FQ","FILING_STATUS=OR","EQY_CONSOLIDATED=Y","Sort=A","Dates=H","DateFormat=P","Fill=—","Direction=H","UseDPDF=Y")</f>
        <v>#NAME?</v>
      </c>
      <c r="CM582" s="1" t="e">
        <f ca="1">_xll.BDH($C$578,"TOT_DEBT_TO_TOT_ASSET","FQ4 2014","FQ4 2014","Currency=INR","Period=FQ","BEST_FPERIOD_OVERRIDE=FQ","FILING_STATUS=OR","EQY_CONSOLIDATED=Y","Sort=A","Dates=H","DateFormat=P","Fill=—","Direction=H","UseDPDF=Y")</f>
        <v>#NAME?</v>
      </c>
      <c r="CN582" s="1" t="e">
        <f ca="1">_xll.BDH($C$578,"NET_DEBT_TO_SHRHLDR_EQTY","FQ4 2014","FQ4 2014","Currency=INR","Period=FQ","BEST_FPERIOD_OVERRIDE=FQ","FILING_STATUS=OR","EQY_CONSOLIDATED=Y","Sort=A","Dates=H","DateFormat=P","Fill=—","Direction=H","UseDPDF=Y")</f>
        <v>#NAME?</v>
      </c>
      <c r="CO582" s="1" t="e">
        <f ca="1">_xll.BDH($C$578,"NET_DEBT_%_CAPITAL","FQ4 2014","FQ4 2014","Currency=INR","Period=FQ","BEST_FPERIOD_OVERRIDE=FQ","FILING_STATUS=OR","EQY_CONSOLIDATED=Y","Sort=A","Dates=H","DateFormat=P","Fill=—","Direction=H","UseDPDF=Y")</f>
        <v>#NAME?</v>
      </c>
      <c r="CP582" s="2" t="e">
        <f ca="1">_xll.BDH($C$578,"EBITDA","FQ4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82" s="2" t="e">
        <f ca="1">_xll.BDH($C$578,"EBITDA_AFTER_CAPEX","FQ4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82" s="2" t="e">
        <f ca="1">_xll.BDH($C$578,"IS_OPER_INC","FQ4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82" s="1" t="e">
        <f ca="1">_xll.BDH($C$578,"CASH_RATIO","FQ4 2014","FQ4 2014","Currency=INR","Period=FQ","BEST_FPERIOD_OVERRIDE=FQ","FILING_STATUS=OR","EQY_CONSOLIDATED=Y","Sort=A","Dates=H","DateFormat=P","Fill=—","Direction=H","UseDPDF=Y")</f>
        <v>#NAME?</v>
      </c>
      <c r="CT582" s="1" t="e">
        <f ca="1">_xll.BDH($C$578,"CUR_RATIO","FQ4 2014","FQ4 2014","Currency=INR","Period=FQ","BEST_FPERIOD_OVERRIDE=FQ","FILING_STATUS=OR","EQY_CONSOLIDATED=Y","Sort=A","Dates=H","DateFormat=P","Fill=—","Direction=H","UseDPDF=Y")</f>
        <v>#NAME?</v>
      </c>
      <c r="CU582" s="1" t="e">
        <f ca="1">_xll.BDH($C$578,"QUICK_RATIO","FQ4 2014","FQ4 2014","Currency=INR","Period=FQ","BEST_FPERIOD_OVERRIDE=FQ","FILING_STATUS=OR","EQY_CONSOLIDATED=Y","Sort=A","Dates=H","DateFormat=P","Fill=—","Direction=H","UseDPDF=Y")</f>
        <v>#NAME?</v>
      </c>
      <c r="CV582" s="1" t="e">
        <f ca="1">_xll.BDH($C$578,"ALTMAN_Z_SCORE","FQ4 2014","FQ4 2014","Currency=INR","Period=FQ","BEST_FPERIOD_OVERRIDE=FQ","FILING_STATUS=OR","EQY_CONSOLIDATED=Y","Sort=A","Dates=H","DateFormat=P","Fill=—","Direction=H","UseDPDF=Y")</f>
        <v>#NAME?</v>
      </c>
      <c r="CW582" s="3" t="e">
        <f ca="1">_xll.BDH($C$578,"ACCT_RCV_TURN","FQ4 2014","FQ4 2014","Currency=INR","Period=FQ","BEST_FPERIOD_OVERRIDE=FQ","FILING_STATUS=OR","EQY_CONSOLIDATED=Y","FA_ADJUSTED=GAAP","Sort=A","Dates=H","DateFormat=P","Fill=—","Direction=H","UseDPDF=Y")</f>
        <v>#NAME?</v>
      </c>
      <c r="CX582" s="1" t="e">
        <f ca="1">_xll.BDH($C$578,"ACCT_RCV_DAYS","FQ4 2014","FQ4 2014","Currency=INR","Period=FQ","BEST_FPERIOD_OVERRIDE=FQ","FILING_STATUS=OR","EQY_CONSOLIDATED=Y","FA_ADJUSTED=GAAP","Sort=A","Dates=H","DateFormat=P","Fill=—","Direction=H","UseDPDF=Y")</f>
        <v>#NAME?</v>
      </c>
      <c r="CY582" s="3" t="e">
        <f ca="1">_xll.BDH($C$578,"INVENT_TURN","FQ4 2014","FQ4 2014","Currency=INR","Period=FQ","BEST_FPERIOD_OVERRIDE=FQ","FILING_STATUS=OR","EQY_CONSOLIDATED=Y","FA_ADJUSTED=GAAP","Sort=A","Dates=H","DateFormat=P","Fill=—","Direction=H","UseDPDF=Y")</f>
        <v>#NAME?</v>
      </c>
      <c r="CZ582" s="1" t="e">
        <f ca="1">_xll.BDH($C$578,"INVENT_DAYS","FQ4 2014","FQ4 2014","Currency=INR","Period=FQ","BEST_FPERIOD_OVERRIDE=FQ","FILING_STATUS=OR","EQY_CONSOLIDATED=Y","FA_ADJUSTED=GAAP","Sort=A","Dates=H","DateFormat=P","Fill=—","Direction=H","UseDPDF=Y")</f>
        <v>#NAME?</v>
      </c>
      <c r="DA582" s="3" t="e">
        <f ca="1">_xll.BDH($C$578,"ACCOUNTS_PAYABLE_TURNOVER","FQ4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82" s="1" t="e">
        <f ca="1">_xll.BDH($C$578,"ACCOUNTS_PAYABLE_TURNOVER_DAYS","FQ4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82" s="3" t="e">
        <f ca="1">_xll.BDH($C$578,"CASH_CONVERSION_CYCLE","FQ4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82" s="3" t="e">
        <f ca="1">_xll.BDH($C$578,"INV_TO_CASH_DAYS","FQ4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582" s="4" t="e">
        <f ca="1">_xll.BDH($C$578,"BS_INVENTORIES","FQ4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582" s="2" t="e">
        <f ca="1">_xll.BDH($C$578,"INVTRY_RAW_MATERIALS","FQ4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82" s="2" t="e">
        <f ca="1">_xll.BDH($C$578,"INVTRY_IN_PROGRESS","FQ4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82" s="2" t="e">
        <f ca="1">_xll.BDH($C$578,"INVTRY_FINISHED_GOODS","FQ4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82" s="2" t="e">
        <f ca="1">_xll.BDH($C$578,"BS_OTHER_INV","FQ4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83" spans="1:113" x14ac:dyDescent="0.3">
      <c r="A583" s="6"/>
      <c r="B583" s="6"/>
      <c r="C583" s="6"/>
      <c r="D583" s="6" t="s">
        <v>8</v>
      </c>
      <c r="E583" t="s">
        <v>3</v>
      </c>
      <c r="F583" t="e">
        <f ca="1">_xll.BDH($C$578,"RETURN_COM_EQY","FY 2015","FY 2015","Currency=INR","Period=FY","BEST_FPERIOD_OVERRIDE=FY","FILING_STATUS=OR","EQY_CONSOLIDATED=Y","FA_ADJUSTED=GAAP","Sort=A","Dates=H","DateFormat=P","Fill=—","Direction=H","UseDPDF=Y")</f>
        <v>#NAME?</v>
      </c>
      <c r="G583" t="e">
        <f ca="1">_xll.BDH($C$578,"RETURN_ON_ASSET","FY 2015","FY 2015","Currency=INR","Period=FY","BEST_FPERIOD_OVERRIDE=FY","FILING_STATUS=OR","EQY_CONSOLIDATED=Y","FA_ADJUSTED=GAAP","Sort=A","Dates=H","DateFormat=P","Fill=—","Direction=H","UseDPDF=Y")</f>
        <v>#NAME?</v>
      </c>
      <c r="H583" t="e">
        <f ca="1">_xll.BDH($C$578,"RETURN_ON_CAP","FY 2015","FY 2015","Currency=INR","Period=FY","BEST_FPERIOD_OVERRIDE=FY","FILING_STATUS=OR","EQY_CONSOLIDATED=Y","FA_ADJUSTED=GAAP","Sort=A","Dates=H","DateFormat=P","Fill=—","Direction=H","UseDPDF=Y")</f>
        <v>#NAME?</v>
      </c>
      <c r="I583" t="e">
        <f ca="1">_xll.BDH($C$578,"RETURN_ON_INV_CAPITAL","FY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83" t="e">
        <f ca="1">_xll.BDH($C$578,"EBITDA_TO_REVENUE","FY 2015","FY 2015","Currency=INR","Period=FY","BEST_FPERIOD_OVERRIDE=FY","FILING_STATUS=OR","EQY_CONSOLIDATED=Y","FA_ADJUSTED=GAAP","Sort=A","Dates=H","DateFormat=P","Fill=—","Direction=H","UseDPDF=Y")</f>
        <v>#NAME?</v>
      </c>
      <c r="K583" t="e">
        <f ca="1">_xll.BDH($C$578,"OPER_MARGIN","FY 2015","FY 2015","Currency=INR","Period=FY","BEST_FPERIOD_OVERRIDE=FY","FILING_STATUS=OR","EQY_CONSOLIDATED=Y","FA_ADJUSTED=GAAP","Sort=A","Dates=H","DateFormat=P","Fill=—","Direction=H","UseDPDF=Y")</f>
        <v>#NAME?</v>
      </c>
      <c r="L583" t="e">
        <f ca="1">_xll.BDH($C$578,"INCREMENTAL_OPERATING_MARGIN","FY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83" t="e">
        <f ca="1">_xll.BDH($C$578,"PRETAX_INC_TO_NET_SALES","FY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83" t="e">
        <f ca="1">_xll.BDH($C$578,"INC_BEF_XO_ITEMS_TO_NET_SALES","FY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83" t="e">
        <f ca="1">_xll.BDH($C$578,"PROF_MARGIN","FY 2015","FY 2015","Currency=INR","Period=FY","BEST_FPERIOD_OVERRIDE=FY","FILING_STATUS=OR","EQY_CONSOLIDATED=Y","FA_ADJUSTED=GAAP","Sort=A","Dates=H","DateFormat=P","Fill=—","Direction=H","UseDPDF=Y")</f>
        <v>#NAME?</v>
      </c>
      <c r="P583" t="e">
        <f ca="1">_xll.BDH($C$578,"NET_INCOME_TO_COMMON_MARGIN","FY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83" t="e">
        <f ca="1">_xll.BDH($C$578,"EFF_TAX_RATE","FY 2015","FY 2015","Currency=INR","Period=FY","BEST_FPERIOD_OVERRIDE=FY","FILING_STATUS=OR","EQY_CONSOLIDATED=Y","FA_ADJUSTED=GAAP","Sort=A","Dates=H","DateFormat=P","Fill=—","Direction=H","UseDPDF=Y")</f>
        <v>#NAME?</v>
      </c>
      <c r="R583" t="e">
        <f ca="1">_xll.BDH($C$578,"DVD_PAYOUT_RATIO","FY 2015","FY 2015","Currency=INR","Period=FY","BEST_FPERIOD_OVERRIDE=FY","FILING_STATUS=OR","EQY_CONSOLIDATED=Y","FA_ADJUSTED=GAAP","Sort=A","Dates=H","DateFormat=P","Fill=—","Direction=H","UseDPDF=Y")</f>
        <v>#NAME?</v>
      </c>
      <c r="S583" t="e">
        <f ca="1">_xll.BDH($C$578,"SUSTAIN_GROWTH_RT","FY 2015","FY 2015","Currency=INR","Period=FY","BEST_FPERIOD_OVERRIDE=FY","FILING_STATUS=OR","EQY_CONSOLIDATED=Y","FA_ADJUSTED=GAAP","Sort=A","Dates=H","DateFormat=P","Fill=—","Direction=H","UseDPDF=Y")</f>
        <v>#NAME?</v>
      </c>
      <c r="T583" s="1" t="e">
        <f ca="1">_xll.BDH($C$578,"SALES_GROWTH","FY 2015","FY 2015","Currency=INR","Period=FY","BEST_FPERIOD_OVERRIDE=FY","FILING_STATUS=OR","EQY_CONSOLIDATED=Y","FA_ADJUSTED=GAAP","Sort=A","Dates=H","DateFormat=P","Fill=—","Direction=H","UseDPDF=Y")</f>
        <v>#NAME?</v>
      </c>
      <c r="U583" s="1" t="e">
        <f ca="1">_xll.BDH($C$578,"EBITDA_GROWTH","FY 2015","FY 2015","Currency=INR","Period=FY","BEST_FPERIOD_OVERRIDE=FY","FILING_STATUS=OR","EQY_CONSOLIDATED=Y","FA_ADJUSTED=GAAP","Sort=A","Dates=H","DateFormat=P","Fill=—","Direction=H","UseDPDF=Y")</f>
        <v>#NAME?</v>
      </c>
      <c r="V583" s="1" t="e">
        <f ca="1">_xll.BDH($C$578,"OPER_INC_GROWTH","FY 2015","FY 2015","Currency=INR","Period=FY","BEST_FPERIOD_OVERRIDE=FY","FILING_STATUS=OR","EQY_CONSOLIDATED=Y","FA_ADJUSTED=GAAP","Sort=A","Dates=H","DateFormat=P","Fill=—","Direction=H","UseDPDF=Y")</f>
        <v>#NAME?</v>
      </c>
      <c r="W583" s="1" t="e">
        <f ca="1">_xll.BDH($C$578,"EARN_FOR_COM_GROWTH","FY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583" s="1" t="e">
        <f ca="1">_xll.BDH($C$578,"DILUTED_EPS_AFT_XO_ITEMS_GROWTH","FY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83" s="1" t="e">
        <f ca="1">_xll.BDH($C$578,"DIVIDEND_PER_SHARE_1_YEAR_GROWTH","FY 2015","FY 2015","Currency=INR","Period=FY","BEST_FPERIOD_OVERRIDE=FY","FILING_STATUS=OR","EQY_CONSOLIDATED=Y","Sort=A","Dates=H","DateFormat=P","Fill=—","Direction=H","UseDPDF=Y")</f>
        <v>#NAME?</v>
      </c>
      <c r="Z583" s="1" t="e">
        <f ca="1">_xll.BDH($C$578,"ACCOUNTS_RECEIVABLE_GROWTH","FY 2015","FY 2015","Currency=INR","Period=FY","BEST_FPERIOD_OVERRIDE=FY","FILING_STATUS=OR","EQY_CONSOLIDATED=Y","Sort=A","Dates=H","DateFormat=P","Fill=—","Direction=H","UseDPDF=Y")</f>
        <v>#NAME?</v>
      </c>
      <c r="AA583" s="1" t="e">
        <f ca="1">_xll.BDH($C$578,"INVENTORY_GROWTH","FY 2015","FY 2015","Currency=INR","Period=FY","BEST_FPERIOD_OVERRIDE=FY","FILING_STATUS=OR","EQY_CONSOLIDATED=Y","Sort=A","Dates=H","DateFormat=P","Fill=—","Direction=H","UseDPDF=Y")</f>
        <v>#NAME?</v>
      </c>
      <c r="AB583" s="1" t="e">
        <f ca="1">_xll.BDH($C$578,"NET_FIXED_ASSETS_1_YEAR_GROWTH","FY 2015","FY 2015","Currency=INR","Period=FY","BEST_FPERIOD_OVERRIDE=FY","FILING_STATUS=OR","EQY_CONSOLIDATED=Y","Sort=A","Dates=H","DateFormat=P","Fill=—","Direction=H","UseDPDF=Y")</f>
        <v>#NAME?</v>
      </c>
      <c r="AC583" s="1" t="e">
        <f ca="1">_xll.BDH($C$578,"ASSET_GROWTH","FY 2015","FY 2015","Currency=INR","Period=FY","BEST_FPERIOD_OVERRIDE=FY","FILING_STATUS=OR","EQY_CONSOLIDATED=Y","Sort=A","Dates=H","DateFormat=P","Fill=—","Direction=H","UseDPDF=Y")</f>
        <v>#NAME?</v>
      </c>
      <c r="AD583" s="1" t="e">
        <f ca="1">_xll.BDH($C$578,"MODIFIED_WORK_CAP_GROWTH","FY 2015","FY 2015","Currency=INR","Period=FY","BEST_FPERIOD_OVERRIDE=FY","FILING_STATUS=OR","EQY_CONSOLIDATED=Y","Sort=A","Dates=H","DateFormat=P","Fill=—","Direction=H","UseDPDF=Y")</f>
        <v>#NAME?</v>
      </c>
      <c r="AE583" s="1" t="e">
        <f ca="1">_xll.BDH($C$578,"WORK_CAP_GROWTH","FY 2015","FY 2015","Currency=INR","Period=FY","BEST_FPERIOD_OVERRIDE=FY","FILING_STATUS=OR","EQY_CONSOLIDATED=Y","Sort=A","Dates=H","DateFormat=P","Fill=—","Direction=H","UseDPDF=Y")</f>
        <v>#NAME?</v>
      </c>
      <c r="AF583" s="1" t="e">
        <f ca="1">_xll.BDH($C$578,"ACCOUNTS_PAYABLE_GROWTH_1YR","FY 2015","FY 2015","Currency=INR","Period=FY","BEST_FPERIOD_OVERRIDE=FY","FILING_STATUS=OR","EQY_CONSOLIDATED=Y","Sort=A","Dates=H","DateFormat=P","Fill=—","Direction=H","UseDPDF=Y")</f>
        <v>#NAME?</v>
      </c>
      <c r="AG583" s="1" t="e">
        <f ca="1">_xll.BDH($C$578,"SHORT_TERM_DEBT_1_YEAR_GROWTH","FY 2015","FY 2015","Currency=INR","Period=FY","BEST_FPERIOD_OVERRIDE=FY","FILING_STATUS=OR","EQY_CONSOLIDATED=Y","Sort=A","Dates=H","DateFormat=P","Fill=—","Direction=H","UseDPDF=Y")</f>
        <v>#NAME?</v>
      </c>
      <c r="AH583" s="1" t="e">
        <f ca="1">_xll.BDH($C$578,"TOTAL_DEBT_1_YEAR_GROWTH","FY 2015","FY 2015","Currency=INR","Period=FY","BEST_FPERIOD_OVERRIDE=FY","FILING_STATUS=OR","EQY_CONSOLIDATED=Y","Sort=A","Dates=H","DateFormat=P","Fill=—","Direction=H","UseDPDF=Y")</f>
        <v>#NAME?</v>
      </c>
      <c r="AI583" s="1" t="e">
        <f ca="1">_xll.BDH($C$578,"TOTAL_EQUITY_1_YEAR_GROWTH","FY 2015","FY 2015","Currency=INR","Period=FY","BEST_FPERIOD_OVERRIDE=FY","FILING_STATUS=OR","EQY_CONSOLIDATED=Y","Sort=A","Dates=H","DateFormat=P","Fill=—","Direction=H","UseDPDF=Y")</f>
        <v>#NAME?</v>
      </c>
      <c r="AJ583" s="1" t="e">
        <f ca="1">_xll.BDH($C$578,"GROWTH_IN_CAP","FY 2015","FY 2015","Currency=INR","Period=FY","BEST_FPERIOD_OVERRIDE=FY","FILING_STATUS=OR","EQY_CONSOLIDATED=Y","Sort=A","Dates=H","DateFormat=P","Fill=—","Direction=H","UseDPDF=Y")</f>
        <v>#NAME?</v>
      </c>
      <c r="AK583" s="1" t="e">
        <f ca="1">_xll.BDH($C$578,"BVPS_GROWTH","FY 2015","FY 2015","Currency=INR","Period=FY","BEST_FPERIOD_OVERRIDE=FY","FILING_STATUS=OR","EQY_CONSOLIDATED=Y","Sort=A","Dates=H","DateFormat=P","Fill=—","Direction=H","UseDPDF=Y")</f>
        <v>#NAME?</v>
      </c>
      <c r="AL583" s="1" t="e">
        <f ca="1">_xll.BDH($C$578,"CASH_FLOW_GROWTH","FY 2015","FY 2015","Currency=INR","Period=FY","BEST_FPERIOD_OVERRIDE=FY","FILING_STATUS=OR","EQY_CONSOLIDATED=Y","Sort=A","Dates=H","DateFormat=P","Fill=—","Direction=H","UseDPDF=Y")</f>
        <v>#NAME?</v>
      </c>
      <c r="AM583" s="1" t="e">
        <f ca="1">_xll.BDH($C$578,"GEO_GROW_NET_SALES","FY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583" s="1" t="e">
        <f ca="1">_xll.BDH($C$578,"GEO_GROW_EBITDA","FY 2015","FY 2015","Currency=INR","Period=FY","BEST_FPERIOD_OVERRIDE=FY","FILING_STATUS=OR","EQY_CONSOLIDATED=Y","FA_ADJUSTED=GAAP","Sort=A","Dates=H","DateFormat=P","Fill=—","Direction=H","UseDPDF=Y")</f>
        <v>#NAME?</v>
      </c>
      <c r="AO583" s="1" t="e">
        <f ca="1">_xll.BDH($C$578,"GEO_GROW_OPER_INC","FY 2015","FY 2015","Currency=INR","Period=FY","BEST_FPERIOD_OVERRIDE=FY","FILING_STATUS=OR","EQY_CONSOLIDATED=Y","FA_ADJUSTED=GAAP","Sort=A","Dates=H","DateFormat=P","Fill=—","Direction=H","UseDPDF=Y")</f>
        <v>#NAME?</v>
      </c>
      <c r="AP583" s="1" t="e">
        <f ca="1">_xll.BDH($C$578,"NET_INCOME_TO_COMMON_5_YR_GROWTH","FY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83" s="1" t="e">
        <f ca="1">_xll.BDH($C$578,"5Y_GEO_GROWTH_DILUTED_EPS","FY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83" s="1" t="e">
        <f ca="1">_xll.BDH($C$578,"GEO_GROW_DVD_PER_SH","FY 2015","FY 2015","Currency=INR","Period=FY","BEST_FPERIOD_OVERRIDE=FY","FILING_STATUS=OR","EQY_CONSOLIDATED=Y","Sort=A","Dates=H","DateFormat=P","Fill=—","Direction=H","UseDPDF=Y")</f>
        <v>#NAME?</v>
      </c>
      <c r="AS583" s="1" t="e">
        <f ca="1">_xll.BDH($C$578,"ACCOUNTS_RECEIVABLE_5_YR_GROWTH","FY 2015","FY 2015","Currency=INR","Period=FY","BEST_FPERIOD_OVERRIDE=FY","FILING_STATUS=OR","EQY_CONSOLIDATED=Y","Sort=A","Dates=H","DateFormat=P","Fill=—","Direction=H","UseDPDF=Y")</f>
        <v>#NAME?</v>
      </c>
      <c r="AT583" s="1" t="e">
        <f ca="1">_xll.BDH($C$578,"INVENTORY_5_YEAR_GROWTH","FY 2015","FY 2015","Currency=INR","Period=FY","BEST_FPERIOD_OVERRIDE=FY","FILING_STATUS=OR","EQY_CONSOLIDATED=Y","Sort=A","Dates=H","DateFormat=P","Fill=—","Direction=H","UseDPDF=Y")</f>
        <v>#NAME?</v>
      </c>
      <c r="AU583" s="1" t="e">
        <f ca="1">_xll.BDH($C$578,"NET_FIXED_ASSETS_5_YEAR_GROWTH","FY 2015","FY 2015","Currency=INR","Period=FY","BEST_FPERIOD_OVERRIDE=FY","FILING_STATUS=OR","EQY_CONSOLIDATED=Y","Sort=A","Dates=H","DateFormat=P","Fill=—","Direction=H","UseDPDF=Y")</f>
        <v>#NAME?</v>
      </c>
      <c r="AV583" s="1" t="e">
        <f ca="1">_xll.BDH($C$578,"GEO_GROW_TOT_ASSET","FY 2015","FY 2015","Currency=INR","Period=FY","BEST_FPERIOD_OVERRIDE=FY","FILING_STATUS=OR","EQY_CONSOLIDATED=Y","Sort=A","Dates=H","DateFormat=P","Fill=—","Direction=H","UseDPDF=Y")</f>
        <v>#NAME?</v>
      </c>
      <c r="AW583" s="1" t="e">
        <f ca="1">_xll.BDH($C$578,"MODIFIED_WORKING_CPTL_5YR_GRWTH","FY 2015","FY 2015","Currency=INR","Period=FY","BEST_FPERIOD_OVERRIDE=FY","FILING_STATUS=OR","EQY_CONSOLIDATED=Y","Sort=A","Dates=H","DateFormat=P","Fill=—","Direction=H","UseDPDF=Y")</f>
        <v>#NAME?</v>
      </c>
      <c r="AX583" s="1" t="e">
        <f ca="1">_xll.BDH($C$578,"WORKING_CAPITAL_5_YEAR_GROWTH","FY 2015","FY 2015","Currency=INR","Period=FY","BEST_FPERIOD_OVERRIDE=FY","FILING_STATUS=OR","EQY_CONSOLIDATED=Y","Sort=A","Dates=H","DateFormat=P","Fill=—","Direction=H","UseDPDF=Y")</f>
        <v>#NAME?</v>
      </c>
      <c r="AY583" s="1" t="e">
        <f ca="1">_xll.BDH($C$578,"ACCOUNTS_PAYABLE_5_YEAR_GROWTH","FY 2015","FY 2015","Currency=INR","Period=FY","BEST_FPERIOD_OVERRIDE=FY","FILING_STATUS=OR","EQY_CONSOLIDATED=Y","Sort=A","Dates=H","DateFormat=P","Fill=—","Direction=H","UseDPDF=Y")</f>
        <v>#NAME?</v>
      </c>
      <c r="AZ583" s="1" t="e">
        <f ca="1">_xll.BDH($C$578,"SHORT_TERM_DEBT_5_YEAR_GROWTH","FY 2015","FY 2015","Currency=INR","Period=FY","BEST_FPERIOD_OVERRIDE=FY","FILING_STATUS=OR","EQY_CONSOLIDATED=Y","Sort=A","Dates=H","DateFormat=P","Fill=—","Direction=H","UseDPDF=Y")</f>
        <v>#NAME?</v>
      </c>
      <c r="BA583" s="1" t="e">
        <f ca="1">_xll.BDH($C$578,"TOTAL_DEBT_5_YEAR_GROWTH","FY 2015","FY 2015","Currency=INR","Period=FY","BEST_FPERIOD_OVERRIDE=FY","FILING_STATUS=OR","EQY_CONSOLIDATED=Y","Sort=A","Dates=H","DateFormat=P","Fill=—","Direction=H","UseDPDF=Y")</f>
        <v>#NAME?</v>
      </c>
      <c r="BB583" s="1" t="e">
        <f ca="1">_xll.BDH($C$578,"GEO_GROW_TOT_SHRHLDR_EQY","FY 2015","FY 2015","Currency=INR","Period=FY","BEST_FPERIOD_OVERRIDE=FY","FILING_STATUS=OR","EQY_CONSOLIDATED=Y","Sort=A","Dates=H","DateFormat=P","Fill=—","Direction=H","UseDPDF=Y")</f>
        <v>#NAME?</v>
      </c>
      <c r="BC583" s="1" t="e">
        <f ca="1">_xll.BDH($C$578,"TOTAL_CAPITAL_5_YEAR_GROWTH","FY 2015","FY 2015","Currency=INR","Period=FY","BEST_FPERIOD_OVERRIDE=FY","FILING_STATUS=OR","EQY_CONSOLIDATED=Y","Sort=A","Dates=H","DateFormat=P","Fill=—","Direction=H","UseDPDF=Y")</f>
        <v>#NAME?</v>
      </c>
      <c r="BD583" s="1" t="e">
        <f ca="1">_xll.BDH($C$578,"GEO_GROW_BOOK_VAL","FY 2015","FY 2015","Currency=INR","Period=FY","BEST_FPERIOD_OVERRIDE=FY","FILING_STATUS=OR","EQY_CONSOLIDATED=Y","Sort=A","Dates=H","DateFormat=P","Fill=—","Direction=H","UseDPDF=Y")</f>
        <v>#NAME?</v>
      </c>
      <c r="BE583" s="1" t="e">
        <f ca="1">_xll.BDH($C$578,"GEO_GROW_CASH_OPER_ACT","FY 2015","FY 2015","Currency=INR","Period=FY","BEST_FPERIOD_OVERRIDE=FY","FILING_STATUS=OR","EQY_CONSOLIDATED=Y","Sort=A","Dates=H","DateFormat=P","Fill=—","Direction=H","UseDPDF=Y")</f>
        <v>#NAME?</v>
      </c>
      <c r="BF583" s="1" t="e">
        <f ca="1">_xll.BDH($C$578,"REVENUE_SEQUENTIAL_GROWTH","FY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83" s="1" t="e">
        <f ca="1">_xll.BDH($C$578,"EBITDA_SEQUENTIAL_GROWTH","FY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83" s="1" t="e">
        <f ca="1">_xll.BDH($C$578,"OPERATING_INCOME_SEQ_GROWTH","FY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83" s="1" t="e">
        <f ca="1">_xll.BDH($C$578,"NET_INCOME_TO_COMMON_SEQ_GROWTH","FY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83" s="1" t="e">
        <f ca="1">_xll.BDH($C$578,"EPS_DILUTED_SEQUENTIAL_GROWTH","FY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83" s="1" t="e">
        <f ca="1">_xll.BDH($C$578,"DPS_SEQUENTIAL_GROWTH","FY 2015","FY 2015","Currency=INR","Period=FY","BEST_FPERIOD_OVERRIDE=FY","FILING_STATUS=OR","EQY_CONSOLIDATED=Y","Sort=A","Dates=H","DateFormat=P","Fill=—","Direction=H","UseDPDF=Y")</f>
        <v>#NAME?</v>
      </c>
      <c r="BL583" s="1" t="e">
        <f ca="1">_xll.BDH($C$578,"ACCOUNTS_RECEIVABLE_SEQ_GROWTH","FY 2015","FY 2015","Currency=INR","Period=FY","BEST_FPERIOD_OVERRIDE=FY","FILING_STATUS=OR","EQY_CONSOLIDATED=Y","Sort=A","Dates=H","DateFormat=P","Fill=—","Direction=H","UseDPDF=Y")</f>
        <v>#NAME?</v>
      </c>
      <c r="BM583" s="1" t="e">
        <f ca="1">_xll.BDH($C$578,"INVENTORY_SEQUENTIAL_GROWTH","FY 2015","FY 2015","Currency=INR","Period=FY","BEST_FPERIOD_OVERRIDE=FY","FILING_STATUS=OR","EQY_CONSOLIDATED=Y","Sort=A","Dates=H","DateFormat=P","Fill=—","Direction=H","UseDPDF=Y")</f>
        <v>#NAME?</v>
      </c>
      <c r="BN583" s="1" t="e">
        <f ca="1">_xll.BDH($C$578,"FIXED_ASSETS_SEQUENTIAL_GROWTH","FY 2015","FY 2015","Currency=INR","Period=FY","BEST_FPERIOD_OVERRIDE=FY","FILING_STATUS=OR","EQY_CONSOLIDATED=Y","Sort=A","Dates=H","DateFormat=P","Fill=—","Direction=H","UseDPDF=Y")</f>
        <v>#NAME?</v>
      </c>
      <c r="BO583" s="1" t="e">
        <f ca="1">_xll.BDH($C$578,"TOTAL_ASSETS_SEQUENTIAL_GROWTH","FY 2015","FY 2015","Currency=INR","Period=FY","BEST_FPERIOD_OVERRIDE=FY","FILING_STATUS=OR","EQY_CONSOLIDATED=Y","Sort=A","Dates=H","DateFormat=P","Fill=—","Direction=H","UseDPDF=Y")</f>
        <v>#NAME?</v>
      </c>
      <c r="BP583" s="1" t="e">
        <f ca="1">_xll.BDH($C$578,"MODIFIED_WORKING_CPTL_SEQ_GRWTH","FY 2015","FY 2015","Currency=INR","Period=FY","BEST_FPERIOD_OVERRIDE=FY","FILING_STATUS=OR","EQY_CONSOLIDATED=Y","Sort=A","Dates=H","DateFormat=P","Fill=—","Direction=H","UseDPDF=Y")</f>
        <v>#NAME?</v>
      </c>
      <c r="BQ583" s="1" t="e">
        <f ca="1">_xll.BDH($C$578,"WORKING_CAPITAL_SEQ_GROWTH","FY 2015","FY 2015","Currency=INR","Period=FY","BEST_FPERIOD_OVERRIDE=FY","FILING_STATUS=OR","EQY_CONSOLIDATED=Y","Sort=A","Dates=H","DateFormat=P","Fill=—","Direction=H","UseDPDF=Y")</f>
        <v>#NAME?</v>
      </c>
      <c r="BR583" s="1" t="e">
        <f ca="1">_xll.BDH($C$578,"ACCOUNTS_PAYABLE_SEQ_GROWTH","FY 2015","FY 2015","Currency=INR","Period=FY","BEST_FPERIOD_OVERRIDE=FY","FILING_STATUS=OR","EQY_CONSOLIDATED=Y","Sort=A","Dates=H","DateFormat=P","Fill=—","Direction=H","UseDPDF=Y")</f>
        <v>#NAME?</v>
      </c>
      <c r="BS583" s="1" t="e">
        <f ca="1">_xll.BDH($C$578,"ST_DEBT_SEQUENTIAL_GROWTH","FY 2015","FY 2015","Currency=INR","Period=FY","BEST_FPERIOD_OVERRIDE=FY","FILING_STATUS=OR","EQY_CONSOLIDATED=Y","Sort=A","Dates=H","DateFormat=P","Fill=—","Direction=H","UseDPDF=Y")</f>
        <v>#NAME?</v>
      </c>
      <c r="BT583" s="1" t="e">
        <f ca="1">_xll.BDH($C$578,"TOTAL_DEBT_SEQUENTIAL_GROWTH","FY 2015","FY 2015","Currency=INR","Period=FY","BEST_FPERIOD_OVERRIDE=FY","FILING_STATUS=OR","EQY_CONSOLIDATED=Y","Sort=A","Dates=H","DateFormat=P","Fill=—","Direction=H","UseDPDF=Y")</f>
        <v>#NAME?</v>
      </c>
      <c r="BU583" s="1" t="e">
        <f ca="1">_xll.BDH($C$578,"TOTAL_EQUITY_SEQUENTIAL_GROWTH","FY 2015","FY 2015","Currency=INR","Period=FY","BEST_FPERIOD_OVERRIDE=FY","FILING_STATUS=OR","EQY_CONSOLIDATED=Y","Sort=A","Dates=H","DateFormat=P","Fill=—","Direction=H","UseDPDF=Y")</f>
        <v>#NAME?</v>
      </c>
      <c r="BV583" s="1" t="e">
        <f ca="1">_xll.BDH($C$578,"TOTAL_CAPITAL_SEQUENTIAL_GROWTH","FY 2015","FY 2015","Currency=INR","Period=FY","BEST_FPERIOD_OVERRIDE=FY","FILING_STATUS=OR","EQY_CONSOLIDATED=Y","Sort=A","Dates=H","DateFormat=P","Fill=—","Direction=H","UseDPDF=Y")</f>
        <v>#NAME?</v>
      </c>
      <c r="BW583" s="1" t="e">
        <f ca="1">_xll.BDH($C$578,"BPS_SEQUENTIAL_GROWTH","FY 2015","FY 2015","Currency=INR","Period=FY","BEST_FPERIOD_OVERRIDE=FY","FILING_STATUS=OR","EQY_CONSOLIDATED=Y","Sort=A","Dates=H","DateFormat=P","Fill=—","Direction=H","UseDPDF=Y")</f>
        <v>#NAME?</v>
      </c>
      <c r="BX583" s="1" t="e">
        <f ca="1">_xll.BDH($C$578,"CFO_SEQUENTIAL_GROWTH","FY 2015","FY 2015","Currency=INR","Period=FY","BEST_FPERIOD_OVERRIDE=FY","FILING_STATUS=OR","EQY_CONSOLIDATED=Y","Sort=A","Dates=H","DateFormat=P","Fill=—","Direction=H","UseDPDF=Y")</f>
        <v>#NAME?</v>
      </c>
      <c r="BY583" s="2" t="e">
        <f ca="1">_xll.BDH($C$578,"SHORT_AND_LONG_TERM_DEBT","FY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83" s="2" t="e">
        <f ca="1">_xll.BDH($C$578,"BS_ST_BORROW","FY 2015","FY 2015","Currency=INR","Period=FY","BEST_FPERIOD_OVERRIDE=FY","FILING_STATUS=OR","EQY_CONSOLIDATED=Y","SCALING_FORMAT=MLN","Sort=A","Dates=H","DateFormat=P","Fill=—","Direction=H","UseDPDF=Y")</f>
        <v>#NAME?</v>
      </c>
      <c r="CA583" s="2" t="e">
        <f ca="1">_xll.BDH($C$578,"BS_LT_BORROW","FY 2015","FY 2015","Currency=INR","Period=FY","BEST_FPERIOD_OVERRIDE=FY","FILING_STATUS=OR","EQY_CONSOLIDATED=Y","SCALING_FORMAT=MLN","Sort=A","Dates=H","DateFormat=P","Fill=—","Direction=H","UseDPDF=Y")</f>
        <v>#NAME?</v>
      </c>
      <c r="CB583" s="1" t="e">
        <f ca="1">_xll.BDH($C$578,"TOT_DEBT_TO_EBITDA","FY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583" s="1" t="e">
        <f ca="1">_xll.BDH($C$578,"NET_DEBT_TO_EBITDA","FY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583" s="1" t="e">
        <f ca="1">_xll.BDH($C$578,"TOTAL_DEBT_TO_EBIT","FY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583" s="1" t="e">
        <f ca="1">_xll.BDH($C$578,"NET_DEBT_TO_EBIT","FY 2015","FY 2015","Currency=INR","Period=FY","BEST_FPERIOD_OVERRIDE=FY","FILING_STATUS=OR","EQY_CONSOLIDATED=Y","FA_ADJUSTED=GAAP","Sort=A","Dates=H","DateFormat=P","Fill=—","Direction=H","UseDPDF=Y")</f>
        <v>#NAME?</v>
      </c>
      <c r="CF583" s="1" t="e">
        <f ca="1">_xll.BDH($C$578,"EBITDA_TO_INTEREST_EXPN","FY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83" s="1" t="e">
        <f ca="1">_xll.BDH($C$578,"COM_EQY_TO_TOT_ASSET","FY 2015","FY 2015","Currency=INR","Period=FY","BEST_FPERIOD_OVERRIDE=FY","FILING_STATUS=OR","EQY_CONSOLIDATED=Y","Sort=A","Dates=H","DateFormat=P","Fill=—","Direction=H","UseDPDF=Y")</f>
        <v>#NAME?</v>
      </c>
      <c r="CH583" s="1" t="e">
        <f ca="1">_xll.BDH($C$578,"LT_DEBT_TO_TOT_EQY","FY 2015","FY 2015","Currency=INR","Period=FY","BEST_FPERIOD_OVERRIDE=FY","FILING_STATUS=OR","EQY_CONSOLIDATED=Y","Sort=A","Dates=H","DateFormat=P","Fill=—","Direction=H","UseDPDF=Y")</f>
        <v>#NAME?</v>
      </c>
      <c r="CI583" s="1" t="e">
        <f ca="1">_xll.BDH($C$578,"LT_DEBT_TO_TOT_CAP","FY 2015","FY 2015","Currency=INR","Period=FY","BEST_FPERIOD_OVERRIDE=FY","FILING_STATUS=OR","EQY_CONSOLIDATED=Y","Sort=A","Dates=H","DateFormat=P","Fill=—","Direction=H","UseDPDF=Y")</f>
        <v>#NAME?</v>
      </c>
      <c r="CJ583" s="1" t="e">
        <f ca="1">_xll.BDH($C$578,"LT_DEBT_TO_TOT_ASSET","FY 2015","FY 2015","Currency=INR","Period=FY","BEST_FPERIOD_OVERRIDE=FY","FILING_STATUS=OR","EQY_CONSOLIDATED=Y","Sort=A","Dates=H","DateFormat=P","Fill=—","Direction=H","UseDPDF=Y")</f>
        <v>#NAME?</v>
      </c>
      <c r="CK583" s="1" t="e">
        <f ca="1">_xll.BDH($C$578,"TOT_DEBT_TO_TOT_EQY","FY 2015","FY 2015","Currency=INR","Period=FY","BEST_FPERIOD_OVERRIDE=FY","FILING_STATUS=OR","EQY_CONSOLIDATED=Y","Sort=A","Dates=H","DateFormat=P","Fill=—","Direction=H","UseDPDF=Y")</f>
        <v>#NAME?</v>
      </c>
      <c r="CL583" s="1" t="e">
        <f ca="1">_xll.BDH($C$578,"TOT_DEBT_TO_TOT_CAP","FY 2015","FY 2015","Currency=INR","Period=FY","BEST_FPERIOD_OVERRIDE=FY","FILING_STATUS=OR","EQY_CONSOLIDATED=Y","Sort=A","Dates=H","DateFormat=P","Fill=—","Direction=H","UseDPDF=Y")</f>
        <v>#NAME?</v>
      </c>
      <c r="CM583" s="1" t="e">
        <f ca="1">_xll.BDH($C$578,"TOT_DEBT_TO_TOT_ASSET","FY 2015","FY 2015","Currency=INR","Period=FY","BEST_FPERIOD_OVERRIDE=FY","FILING_STATUS=OR","EQY_CONSOLIDATED=Y","Sort=A","Dates=H","DateFormat=P","Fill=—","Direction=H","UseDPDF=Y")</f>
        <v>#NAME?</v>
      </c>
      <c r="CN583" s="1" t="e">
        <f ca="1">_xll.BDH($C$578,"NET_DEBT_TO_SHRHLDR_EQTY","FY 2015","FY 2015","Currency=INR","Period=FY","BEST_FPERIOD_OVERRIDE=FY","FILING_STATUS=OR","EQY_CONSOLIDATED=Y","Sort=A","Dates=H","DateFormat=P","Fill=—","Direction=H","UseDPDF=Y")</f>
        <v>#NAME?</v>
      </c>
      <c r="CO583" s="1" t="e">
        <f ca="1">_xll.BDH($C$578,"NET_DEBT_%_CAPITAL","FY 2015","FY 2015","Currency=INR","Period=FY","BEST_FPERIOD_OVERRIDE=FY","FILING_STATUS=OR","EQY_CONSOLIDATED=Y","Sort=A","Dates=H","DateFormat=P","Fill=—","Direction=H","UseDPDF=Y")</f>
        <v>#NAME?</v>
      </c>
      <c r="CP583" s="2" t="e">
        <f ca="1">_xll.BDH($C$578,"EBITDA","FY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83" s="2" t="e">
        <f ca="1">_xll.BDH($C$578,"EBITDA_AFTER_CAPEX","FY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83" s="2" t="e">
        <f ca="1">_xll.BDH($C$578,"IS_OPER_INC","FY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83" s="1" t="e">
        <f ca="1">_xll.BDH($C$578,"CASH_RATIO","FY 2015","FY 2015","Currency=INR","Period=FY","BEST_FPERIOD_OVERRIDE=FY","FILING_STATUS=OR","EQY_CONSOLIDATED=Y","Sort=A","Dates=H","DateFormat=P","Fill=—","Direction=H","UseDPDF=Y")</f>
        <v>#NAME?</v>
      </c>
      <c r="CT583" s="1" t="e">
        <f ca="1">_xll.BDH($C$578,"CUR_RATIO","FY 2015","FY 2015","Currency=INR","Period=FY","BEST_FPERIOD_OVERRIDE=FY","FILING_STATUS=OR","EQY_CONSOLIDATED=Y","Sort=A","Dates=H","DateFormat=P","Fill=—","Direction=H","UseDPDF=Y")</f>
        <v>#NAME?</v>
      </c>
      <c r="CU583" s="1" t="e">
        <f ca="1">_xll.BDH($C$578,"QUICK_RATIO","FY 2015","FY 2015","Currency=INR","Period=FY","BEST_FPERIOD_OVERRIDE=FY","FILING_STATUS=OR","EQY_CONSOLIDATED=Y","Sort=A","Dates=H","DateFormat=P","Fill=—","Direction=H","UseDPDF=Y")</f>
        <v>#NAME?</v>
      </c>
      <c r="CV583" s="1" t="e">
        <f ca="1">_xll.BDH($C$578,"ALTMAN_Z_SCORE","FY 2015","FY 2015","Currency=INR","Period=FY","BEST_FPERIOD_OVERRIDE=FY","FILING_STATUS=OR","EQY_CONSOLIDATED=Y","Sort=A","Dates=H","DateFormat=P","Fill=—","Direction=H","UseDPDF=Y")</f>
        <v>#NAME?</v>
      </c>
      <c r="CW583" s="3" t="e">
        <f ca="1">_xll.BDH($C$578,"ACCT_RCV_TURN","FY 2015","FY 2015","Currency=INR","Period=FY","BEST_FPERIOD_OVERRIDE=FY","FILING_STATUS=OR","EQY_CONSOLIDATED=Y","FA_ADJUSTED=GAAP","Sort=A","Dates=H","DateFormat=P","Fill=—","Direction=H","UseDPDF=Y")</f>
        <v>#NAME?</v>
      </c>
      <c r="CX583" s="1" t="e">
        <f ca="1">_xll.BDH($C$578,"ACCT_RCV_DAYS","FY 2015","FY 2015","Currency=INR","Period=FY","BEST_FPERIOD_OVERRIDE=FY","FILING_STATUS=OR","EQY_CONSOLIDATED=Y","FA_ADJUSTED=GAAP","Sort=A","Dates=H","DateFormat=P","Fill=—","Direction=H","UseDPDF=Y")</f>
        <v>#NAME?</v>
      </c>
      <c r="CY583" s="3" t="e">
        <f ca="1">_xll.BDH($C$578,"INVENT_TURN","FY 2015","FY 2015","Currency=INR","Period=FY","BEST_FPERIOD_OVERRIDE=FY","FILING_STATUS=OR","EQY_CONSOLIDATED=Y","FA_ADJUSTED=GAAP","Sort=A","Dates=H","DateFormat=P","Fill=—","Direction=H","UseDPDF=Y")</f>
        <v>#NAME?</v>
      </c>
      <c r="CZ583" s="1" t="e">
        <f ca="1">_xll.BDH($C$578,"INVENT_DAYS","FY 2015","FY 2015","Currency=INR","Period=FY","BEST_FPERIOD_OVERRIDE=FY","FILING_STATUS=OR","EQY_CONSOLIDATED=Y","FA_ADJUSTED=GAAP","Sort=A","Dates=H","DateFormat=P","Fill=—","Direction=H","UseDPDF=Y")</f>
        <v>#NAME?</v>
      </c>
      <c r="DA583" s="3" t="e">
        <f ca="1">_xll.BDH($C$578,"ACCOUNTS_PAYABLE_TURNOVER","FY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83" s="1" t="e">
        <f ca="1">_xll.BDH($C$578,"ACCOUNTS_PAYABLE_TURNOVER_DAYS","FY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83" s="3" t="e">
        <f ca="1">_xll.BDH($C$578,"CASH_CONVERSION_CYCLE","FY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83" s="3" t="e">
        <f ca="1">_xll.BDH($C$578,"INV_TO_CASH_DAYS","FY 2015","FY 2015","Currency=INR","Period=FY","BEST_FPERIOD_OVERRIDE=FY","FILING_STATUS=OR","EQY_CONSOLIDATED=Y","FA_ADJUSTED=GAAP","Sort=A","Dates=H","DateFormat=P","Fill=—","Direction=H","UseDPDF=Y")</f>
        <v>#NAME?</v>
      </c>
      <c r="DE583" s="4" t="e">
        <f ca="1">_xll.BDH($C$578,"BS_INVENTORIES","FY 2015","FY 2015","Currency=INR","Period=FY","BEST_FPERIOD_OVERRIDE=FY","FILING_STATUS=OR","EQY_CONSOLIDATED=Y","SCALING_FORMAT=MLN","Sort=A","Dates=H","DateFormat=P","Fill=—","Direction=H","UseDPDF=Y")</f>
        <v>#NAME?</v>
      </c>
      <c r="DF583" s="2" t="e">
        <f ca="1">_xll.BDH($C$578,"INVTRY_RAW_MATERIALS","FY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83" s="2" t="e">
        <f ca="1">_xll.BDH($C$578,"INVTRY_IN_PROGRESS","FY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83" s="2" t="e">
        <f ca="1">_xll.BDH($C$578,"INVTRY_FINISHED_GOODS","FY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83" s="2" t="e">
        <f ca="1">_xll.BDH($C$578,"BS_OTHER_INV","FY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84" spans="1:113" x14ac:dyDescent="0.3">
      <c r="A584" s="6"/>
      <c r="B584" s="6"/>
      <c r="C584" s="6"/>
      <c r="D584" s="6"/>
      <c r="E584" t="s">
        <v>4</v>
      </c>
      <c r="F584" t="e">
        <f ca="1">_xll.BDH($C$578,"RETURN_COM_EQY","FQ1 2015","FQ1 2015","Currency=INR","Period=FQ","BEST_FPERIOD_OVERRIDE=FQ","FILING_STATUS=OR","EQY_CONSOLIDATED=Y","FA_ADJUSTED=GAAP","Sort=A","Dates=H","DateFormat=P","Fill=—","Direction=H","UseDPDF=Y")</f>
        <v>#NAME?</v>
      </c>
      <c r="G584" t="e">
        <f ca="1">_xll.BDH($C$578,"RETURN_ON_ASSET","FQ1 2015","FQ1 2015","Currency=INR","Period=FQ","BEST_FPERIOD_OVERRIDE=FQ","FILING_STATUS=OR","EQY_CONSOLIDATED=Y","FA_ADJUSTED=GAAP","Sort=A","Dates=H","DateFormat=P","Fill=—","Direction=H","UseDPDF=Y")</f>
        <v>#NAME?</v>
      </c>
      <c r="H584" t="e">
        <f ca="1">_xll.BDH($C$578,"RETURN_ON_CAP","FQ1 2015","FQ1 2015","Currency=INR","Period=FQ","BEST_FPERIOD_OVERRIDE=FQ","FILING_STATUS=OR","EQY_CONSOLIDATED=Y","FA_ADJUSTED=GAAP","Sort=A","Dates=H","DateFormat=P","Fill=—","Direction=H","UseDPDF=Y")</f>
        <v>#NAME?</v>
      </c>
      <c r="I584" t="e">
        <f ca="1">_xll.BDH($C$578,"RETURN_ON_INV_CAPITAL","FQ1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84" t="e">
        <f ca="1">_xll.BDH($C$578,"EBITDA_TO_REVENUE","FQ1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584" t="e">
        <f ca="1">_xll.BDH($C$578,"OPER_MARGIN","FQ1 2015","FQ1 2015","Currency=INR","Period=FQ","BEST_FPERIOD_OVERRIDE=FQ","FILING_STATUS=OR","EQY_CONSOLIDATED=Y","FA_ADJUSTED=GAAP","Sort=A","Dates=H","DateFormat=P","Fill=—","Direction=H","UseDPDF=Y")</f>
        <v>#NAME?</v>
      </c>
      <c r="L584" t="e">
        <f ca="1">_xll.BDH($C$578,"INCREMENTAL_OPERATING_MARGIN","FQ1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84" t="e">
        <f ca="1">_xll.BDH($C$578,"PRETAX_INC_TO_NET_SALES","FQ1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84" t="e">
        <f ca="1">_xll.BDH($C$578,"INC_BEF_XO_ITEMS_TO_NET_SALES","FQ1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84" t="e">
        <f ca="1">_xll.BDH($C$578,"PROF_MARGIN","FQ1 2015","FQ1 2015","Currency=INR","Period=FQ","BEST_FPERIOD_OVERRIDE=FQ","FILING_STATUS=OR","EQY_CONSOLIDATED=Y","FA_ADJUSTED=GAAP","Sort=A","Dates=H","DateFormat=P","Fill=—","Direction=H","UseDPDF=Y")</f>
        <v>#NAME?</v>
      </c>
      <c r="P584" t="e">
        <f ca="1">_xll.BDH($C$578,"NET_INCOME_TO_COMMON_MARGIN","FQ1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84" t="e">
        <f ca="1">_xll.BDH($C$578,"EFF_TAX_RATE","FQ1 2015","FQ1 2015","Currency=INR","Period=FQ","BEST_FPERIOD_OVERRIDE=FQ","FILING_STATUS=OR","EQY_CONSOLIDATED=Y","FA_ADJUSTED=GAAP","Sort=A","Dates=H","DateFormat=P","Fill=—","Direction=H","UseDPDF=Y")</f>
        <v>#NAME?</v>
      </c>
      <c r="R584" t="e">
        <f ca="1">_xll.BDH($C$578,"DVD_PAYOUT_RATIO","FQ1 2015","FQ1 2015","Currency=INR","Period=FQ","BEST_FPERIOD_OVERRIDE=FQ","FILING_STATUS=OR","EQY_CONSOLIDATED=Y","FA_ADJUSTED=GAAP","Sort=A","Dates=H","DateFormat=P","Fill=—","Direction=H","UseDPDF=Y")</f>
        <v>#NAME?</v>
      </c>
      <c r="S584" t="e">
        <f ca="1">_xll.BDH($C$578,"SUSTAIN_GROWTH_RT","FQ1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584" s="1" t="e">
        <f ca="1">_xll.BDH($C$578,"SALES_GROWTH","FQ1 2015","FQ1 2015","Currency=INR","Period=FQ","BEST_FPERIOD_OVERRIDE=FQ","FILING_STATUS=OR","EQY_CONSOLIDATED=Y","FA_ADJUSTED=GAAP","Sort=A","Dates=H","DateFormat=P","Fill=—","Direction=H","UseDPDF=Y")</f>
        <v>#NAME?</v>
      </c>
      <c r="U584" s="1" t="e">
        <f ca="1">_xll.BDH($C$578,"EBITDA_GROWTH","FQ1 2015","FQ1 2015","Currency=INR","Period=FQ","BEST_FPERIOD_OVERRIDE=FQ","FILING_STATUS=OR","EQY_CONSOLIDATED=Y","FA_ADJUSTED=GAAP","Sort=A","Dates=H","DateFormat=P","Fill=—","Direction=H","UseDPDF=Y")</f>
        <v>#NAME?</v>
      </c>
      <c r="V584" s="1" t="e">
        <f ca="1">_xll.BDH($C$578,"OPER_INC_GROWTH","FQ1 2015","FQ1 2015","Currency=INR","Period=FQ","BEST_FPERIOD_OVERRIDE=FQ","FILING_STATUS=OR","EQY_CONSOLIDATED=Y","FA_ADJUSTED=GAAP","Sort=A","Dates=H","DateFormat=P","Fill=—","Direction=H","UseDPDF=Y")</f>
        <v>#NAME?</v>
      </c>
      <c r="W584" s="1" t="e">
        <f ca="1">_xll.BDH($C$578,"EARN_FOR_COM_GROWTH","FQ1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84" s="1" t="e">
        <f ca="1">_xll.BDH($C$578,"DILUTED_EPS_AFT_XO_ITEMS_GROWTH","FQ1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84" s="1" t="e">
        <f ca="1">_xll.BDH($C$578,"DIVIDEND_PER_SHARE_1_YEAR_GROWTH","FQ1 2015","FQ1 2015","Currency=INR","Period=FQ","BEST_FPERIOD_OVERRIDE=FQ","FILING_STATUS=OR","EQY_CONSOLIDATED=Y","Sort=A","Dates=H","DateFormat=P","Fill=—","Direction=H","UseDPDF=Y")</f>
        <v>#NAME?</v>
      </c>
      <c r="Z584" s="1" t="e">
        <f ca="1">_xll.BDH($C$578,"ACCOUNTS_RECEIVABLE_GROWTH","FQ1 2015","FQ1 2015","Currency=INR","Period=FQ","BEST_FPERIOD_OVERRIDE=FQ","FILING_STATUS=OR","EQY_CONSOLIDATED=Y","Sort=A","Dates=H","DateFormat=P","Fill=—","Direction=H","UseDPDF=Y")</f>
        <v>#NAME?</v>
      </c>
      <c r="AA584" s="1" t="e">
        <f ca="1">_xll.BDH($C$578,"INVENTORY_GROWTH","FQ1 2015","FQ1 2015","Currency=INR","Period=FQ","BEST_FPERIOD_OVERRIDE=FQ","FILING_STATUS=OR","EQY_CONSOLIDATED=Y","Sort=A","Dates=H","DateFormat=P","Fill=—","Direction=H","UseDPDF=Y")</f>
        <v>#NAME?</v>
      </c>
      <c r="AB584" s="1" t="e">
        <f ca="1">_xll.BDH($C$578,"NET_FIXED_ASSETS_1_YEAR_GROWTH","FQ1 2015","FQ1 2015","Currency=INR","Period=FQ","BEST_FPERIOD_OVERRIDE=FQ","FILING_STATUS=OR","EQY_CONSOLIDATED=Y","Sort=A","Dates=H","DateFormat=P","Fill=—","Direction=H","UseDPDF=Y")</f>
        <v>#NAME?</v>
      </c>
      <c r="AC584" s="1" t="e">
        <f ca="1">_xll.BDH($C$578,"ASSET_GROWTH","FQ1 2015","FQ1 2015","Currency=INR","Period=FQ","BEST_FPERIOD_OVERRIDE=FQ","FILING_STATUS=OR","EQY_CONSOLIDATED=Y","Sort=A","Dates=H","DateFormat=P","Fill=—","Direction=H","UseDPDF=Y")</f>
        <v>#NAME?</v>
      </c>
      <c r="AD584" s="1" t="e">
        <f ca="1">_xll.BDH($C$578,"MODIFIED_WORK_CAP_GROWTH","FQ1 2015","FQ1 2015","Currency=INR","Period=FQ","BEST_FPERIOD_OVERRIDE=FQ","FILING_STATUS=OR","EQY_CONSOLIDATED=Y","Sort=A","Dates=H","DateFormat=P","Fill=—","Direction=H","UseDPDF=Y")</f>
        <v>#NAME?</v>
      </c>
      <c r="AE584" s="1" t="e">
        <f ca="1">_xll.BDH($C$578,"WORK_CAP_GROWTH","FQ1 2015","FQ1 2015","Currency=INR","Period=FQ","BEST_FPERIOD_OVERRIDE=FQ","FILING_STATUS=OR","EQY_CONSOLIDATED=Y","Sort=A","Dates=H","DateFormat=P","Fill=—","Direction=H","UseDPDF=Y")</f>
        <v>#NAME?</v>
      </c>
      <c r="AF584" s="1" t="e">
        <f ca="1">_xll.BDH($C$578,"ACCOUNTS_PAYABLE_GROWTH_1YR","FQ1 2015","FQ1 2015","Currency=INR","Period=FQ","BEST_FPERIOD_OVERRIDE=FQ","FILING_STATUS=OR","EQY_CONSOLIDATED=Y","Sort=A","Dates=H","DateFormat=P","Fill=—","Direction=H","UseDPDF=Y")</f>
        <v>#NAME?</v>
      </c>
      <c r="AG584" s="1" t="e">
        <f ca="1">_xll.BDH($C$578,"SHORT_TERM_DEBT_1_YEAR_GROWTH","FQ1 2015","FQ1 2015","Currency=INR","Period=FQ","BEST_FPERIOD_OVERRIDE=FQ","FILING_STATUS=OR","EQY_CONSOLIDATED=Y","Sort=A","Dates=H","DateFormat=P","Fill=—","Direction=H","UseDPDF=Y")</f>
        <v>#NAME?</v>
      </c>
      <c r="AH584" s="1" t="e">
        <f ca="1">_xll.BDH($C$578,"TOTAL_DEBT_1_YEAR_GROWTH","FQ1 2015","FQ1 2015","Currency=INR","Period=FQ","BEST_FPERIOD_OVERRIDE=FQ","FILING_STATUS=OR","EQY_CONSOLIDATED=Y","Sort=A","Dates=H","DateFormat=P","Fill=—","Direction=H","UseDPDF=Y")</f>
        <v>#NAME?</v>
      </c>
      <c r="AI584" s="1" t="e">
        <f ca="1">_xll.BDH($C$578,"TOTAL_EQUITY_1_YEAR_GROWTH","FQ1 2015","FQ1 2015","Currency=INR","Period=FQ","BEST_FPERIOD_OVERRIDE=FQ","FILING_STATUS=OR","EQY_CONSOLIDATED=Y","Sort=A","Dates=H","DateFormat=P","Fill=—","Direction=H","UseDPDF=Y")</f>
        <v>#NAME?</v>
      </c>
      <c r="AJ584" s="1" t="e">
        <f ca="1">_xll.BDH($C$578,"GROWTH_IN_CAP","FQ1 2015","FQ1 2015","Currency=INR","Period=FQ","BEST_FPERIOD_OVERRIDE=FQ","FILING_STATUS=OR","EQY_CONSOLIDATED=Y","Sort=A","Dates=H","DateFormat=P","Fill=—","Direction=H","UseDPDF=Y")</f>
        <v>#NAME?</v>
      </c>
      <c r="AK584" s="1" t="e">
        <f ca="1">_xll.BDH($C$578,"BVPS_GROWTH","FQ1 2015","FQ1 2015","Currency=INR","Period=FQ","BEST_FPERIOD_OVERRIDE=FQ","FILING_STATUS=OR","EQY_CONSOLIDATED=Y","Sort=A","Dates=H","DateFormat=P","Fill=—","Direction=H","UseDPDF=Y")</f>
        <v>#NAME?</v>
      </c>
      <c r="AL584" s="1" t="e">
        <f ca="1">_xll.BDH($C$578,"CASH_FLOW_GROWTH","FQ1 2015","FQ1 2015","Currency=INR","Period=FQ","BEST_FPERIOD_OVERRIDE=FQ","FILING_STATUS=OR","EQY_CONSOLIDATED=Y","Sort=A","Dates=H","DateFormat=P","Fill=—","Direction=H","UseDPDF=Y")</f>
        <v>#NAME?</v>
      </c>
      <c r="AM584" s="1" t="e">
        <f ca="1">_xll.BDH($C$578,"GEO_GROW_NET_SALES","FQ1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84" s="1" t="e">
        <f ca="1">_xll.BDH($C$578,"GEO_GROW_EBITDA","FQ1 2015","FQ1 2015","Currency=INR","Period=FQ","BEST_FPERIOD_OVERRIDE=FQ","FILING_STATUS=OR","EQY_CONSOLIDATED=Y","FA_ADJUSTED=GAAP","Sort=A","Dates=H","DateFormat=P","Fill=—","Direction=H","UseDPDF=Y")</f>
        <v>#NAME?</v>
      </c>
      <c r="AO584" s="1" t="e">
        <f ca="1">_xll.BDH($C$578,"GEO_GROW_OPER_INC","FQ1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84" s="1" t="e">
        <f ca="1">_xll.BDH($C$578,"NET_INCOME_TO_COMMON_5_YR_GROWTH","FQ1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84" s="1" t="e">
        <f ca="1">_xll.BDH($C$578,"5Y_GEO_GROWTH_DILUTED_EPS","FQ1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84" s="1" t="e">
        <f ca="1">_xll.BDH($C$578,"GEO_GROW_DVD_PER_SH","FQ1 2015","FQ1 2015","Currency=INR","Period=FQ","BEST_FPERIOD_OVERRIDE=FQ","FILING_STATUS=OR","EQY_CONSOLIDATED=Y","Sort=A","Dates=H","DateFormat=P","Fill=—","Direction=H","UseDPDF=Y")</f>
        <v>#NAME?</v>
      </c>
      <c r="AS584" s="1" t="e">
        <f ca="1">_xll.BDH($C$578,"ACCOUNTS_RECEIVABLE_5_YR_GROWTH","FQ1 2015","FQ1 2015","Currency=INR","Period=FQ","BEST_FPERIOD_OVERRIDE=FQ","FILING_STATUS=OR","EQY_CONSOLIDATED=Y","Sort=A","Dates=H","DateFormat=P","Fill=—","Direction=H","UseDPDF=Y")</f>
        <v>#NAME?</v>
      </c>
      <c r="AT584" s="1" t="e">
        <f ca="1">_xll.BDH($C$578,"INVENTORY_5_YEAR_GROWTH","FQ1 2015","FQ1 2015","Currency=INR","Period=FQ","BEST_FPERIOD_OVERRIDE=FQ","FILING_STATUS=OR","EQY_CONSOLIDATED=Y","Sort=A","Dates=H","DateFormat=P","Fill=—","Direction=H","UseDPDF=Y")</f>
        <v>#NAME?</v>
      </c>
      <c r="AU584" s="1" t="e">
        <f ca="1">_xll.BDH($C$578,"NET_FIXED_ASSETS_5_YEAR_GROWTH","FQ1 2015","FQ1 2015","Currency=INR","Period=FQ","BEST_FPERIOD_OVERRIDE=FQ","FILING_STATUS=OR","EQY_CONSOLIDATED=Y","Sort=A","Dates=H","DateFormat=P","Fill=—","Direction=H","UseDPDF=Y")</f>
        <v>#NAME?</v>
      </c>
      <c r="AV584" s="1" t="e">
        <f ca="1">_xll.BDH($C$578,"GEO_GROW_TOT_ASSET","FQ1 2015","FQ1 2015","Currency=INR","Period=FQ","BEST_FPERIOD_OVERRIDE=FQ","FILING_STATUS=OR","EQY_CONSOLIDATED=Y","Sort=A","Dates=H","DateFormat=P","Fill=—","Direction=H","UseDPDF=Y")</f>
        <v>#NAME?</v>
      </c>
      <c r="AW584" s="1" t="e">
        <f ca="1">_xll.BDH($C$578,"MODIFIED_WORKING_CPTL_5YR_GRWTH","FQ1 2015","FQ1 2015","Currency=INR","Period=FQ","BEST_FPERIOD_OVERRIDE=FQ","FILING_STATUS=OR","EQY_CONSOLIDATED=Y","Sort=A","Dates=H","DateFormat=P","Fill=—","Direction=H","UseDPDF=Y")</f>
        <v>#NAME?</v>
      </c>
      <c r="AX584" s="1" t="e">
        <f ca="1">_xll.BDH($C$578,"WORKING_CAPITAL_5_YEAR_GROWTH","FQ1 2015","FQ1 2015","Currency=INR","Period=FQ","BEST_FPERIOD_OVERRIDE=FQ","FILING_STATUS=OR","EQY_CONSOLIDATED=Y","Sort=A","Dates=H","DateFormat=P","Fill=—","Direction=H","UseDPDF=Y")</f>
        <v>#NAME?</v>
      </c>
      <c r="AY584" s="1" t="e">
        <f ca="1">_xll.BDH($C$578,"ACCOUNTS_PAYABLE_5_YEAR_GROWTH","FQ1 2015","FQ1 2015","Currency=INR","Period=FQ","BEST_FPERIOD_OVERRIDE=FQ","FILING_STATUS=OR","EQY_CONSOLIDATED=Y","Sort=A","Dates=H","DateFormat=P","Fill=—","Direction=H","UseDPDF=Y")</f>
        <v>#NAME?</v>
      </c>
      <c r="AZ584" s="1" t="e">
        <f ca="1">_xll.BDH($C$578,"SHORT_TERM_DEBT_5_YEAR_GROWTH","FQ1 2015","FQ1 2015","Currency=INR","Period=FQ","BEST_FPERIOD_OVERRIDE=FQ","FILING_STATUS=OR","EQY_CONSOLIDATED=Y","Sort=A","Dates=H","DateFormat=P","Fill=—","Direction=H","UseDPDF=Y")</f>
        <v>#NAME?</v>
      </c>
      <c r="BA584" s="1" t="e">
        <f ca="1">_xll.BDH($C$578,"TOTAL_DEBT_5_YEAR_GROWTH","FQ1 2015","FQ1 2015","Currency=INR","Period=FQ","BEST_FPERIOD_OVERRIDE=FQ","FILING_STATUS=OR","EQY_CONSOLIDATED=Y","Sort=A","Dates=H","DateFormat=P","Fill=—","Direction=H","UseDPDF=Y")</f>
        <v>#NAME?</v>
      </c>
      <c r="BB584" s="1" t="e">
        <f ca="1">_xll.BDH($C$578,"GEO_GROW_TOT_SHRHLDR_EQY","FQ1 2015","FQ1 2015","Currency=INR","Period=FQ","BEST_FPERIOD_OVERRIDE=FQ","FILING_STATUS=OR","EQY_CONSOLIDATED=Y","Sort=A","Dates=H","DateFormat=P","Fill=—","Direction=H","UseDPDF=Y")</f>
        <v>#NAME?</v>
      </c>
      <c r="BC584" s="1" t="e">
        <f ca="1">_xll.BDH($C$578,"TOTAL_CAPITAL_5_YEAR_GROWTH","FQ1 2015","FQ1 2015","Currency=INR","Period=FQ","BEST_FPERIOD_OVERRIDE=FQ","FILING_STATUS=OR","EQY_CONSOLIDATED=Y","Sort=A","Dates=H","DateFormat=P","Fill=—","Direction=H","UseDPDF=Y")</f>
        <v>#NAME?</v>
      </c>
      <c r="BD584" s="1" t="e">
        <f ca="1">_xll.BDH($C$578,"GEO_GROW_BOOK_VAL","FQ1 2015","FQ1 2015","Currency=INR","Period=FQ","BEST_FPERIOD_OVERRIDE=FQ","FILING_STATUS=OR","EQY_CONSOLIDATED=Y","Sort=A","Dates=H","DateFormat=P","Fill=—","Direction=H","UseDPDF=Y")</f>
        <v>#NAME?</v>
      </c>
      <c r="BE584" s="1" t="e">
        <f ca="1">_xll.BDH($C$578,"GEO_GROW_CASH_OPER_ACT","FQ1 2015","FQ1 2015","Currency=INR","Period=FQ","BEST_FPERIOD_OVERRIDE=FQ","FILING_STATUS=OR","EQY_CONSOLIDATED=Y","Sort=A","Dates=H","DateFormat=P","Fill=—","Direction=H","UseDPDF=Y")</f>
        <v>#NAME?</v>
      </c>
      <c r="BF584" s="1" t="e">
        <f ca="1">_xll.BDH($C$578,"REVENUE_SEQUENTIAL_GROWTH","FQ1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84" s="1" t="e">
        <f ca="1">_xll.BDH($C$578,"EBITDA_SEQUENTIAL_GROWTH","FQ1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84" s="1" t="e">
        <f ca="1">_xll.BDH($C$578,"OPERATING_INCOME_SEQ_GROWTH","FQ1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84" s="1" t="e">
        <f ca="1">_xll.BDH($C$578,"NET_INCOME_TO_COMMON_SEQ_GROWTH","FQ1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84" s="1" t="e">
        <f ca="1">_xll.BDH($C$578,"EPS_DILUTED_SEQUENTIAL_GROWTH","FQ1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84" s="1" t="e">
        <f ca="1">_xll.BDH($C$578,"DPS_SEQUENTIAL_GROWTH","FQ1 2015","FQ1 2015","Currency=INR","Period=FQ","BEST_FPERIOD_OVERRIDE=FQ","FILING_STATUS=OR","EQY_CONSOLIDATED=Y","Sort=A","Dates=H","DateFormat=P","Fill=—","Direction=H","UseDPDF=Y")</f>
        <v>#NAME?</v>
      </c>
      <c r="BL584" s="1" t="e">
        <f ca="1">_xll.BDH($C$578,"ACCOUNTS_RECEIVABLE_SEQ_GROWTH","FQ1 2015","FQ1 2015","Currency=INR","Period=FQ","BEST_FPERIOD_OVERRIDE=FQ","FILING_STATUS=OR","EQY_CONSOLIDATED=Y","Sort=A","Dates=H","DateFormat=P","Fill=—","Direction=H","UseDPDF=Y")</f>
        <v>#NAME?</v>
      </c>
      <c r="BM584" s="1" t="e">
        <f ca="1">_xll.BDH($C$578,"INVENTORY_SEQUENTIAL_GROWTH","FQ1 2015","FQ1 2015","Currency=INR","Period=FQ","BEST_FPERIOD_OVERRIDE=FQ","FILING_STATUS=OR","EQY_CONSOLIDATED=Y","Sort=A","Dates=H","DateFormat=P","Fill=—","Direction=H","UseDPDF=Y")</f>
        <v>#NAME?</v>
      </c>
      <c r="BN584" s="1" t="e">
        <f ca="1">_xll.BDH($C$578,"FIXED_ASSETS_SEQUENTIAL_GROWTH","FQ1 2015","FQ1 2015","Currency=INR","Period=FQ","BEST_FPERIOD_OVERRIDE=FQ","FILING_STATUS=OR","EQY_CONSOLIDATED=Y","Sort=A","Dates=H","DateFormat=P","Fill=—","Direction=H","UseDPDF=Y")</f>
        <v>#NAME?</v>
      </c>
      <c r="BO584" s="1" t="e">
        <f ca="1">_xll.BDH($C$578,"TOTAL_ASSETS_SEQUENTIAL_GROWTH","FQ1 2015","FQ1 2015","Currency=INR","Period=FQ","BEST_FPERIOD_OVERRIDE=FQ","FILING_STATUS=OR","EQY_CONSOLIDATED=Y","Sort=A","Dates=H","DateFormat=P","Fill=—","Direction=H","UseDPDF=Y")</f>
        <v>#NAME?</v>
      </c>
      <c r="BP584" s="1" t="e">
        <f ca="1">_xll.BDH($C$578,"MODIFIED_WORKING_CPTL_SEQ_GRWTH","FQ1 2015","FQ1 2015","Currency=INR","Period=FQ","BEST_FPERIOD_OVERRIDE=FQ","FILING_STATUS=OR","EQY_CONSOLIDATED=Y","Sort=A","Dates=H","DateFormat=P","Fill=—","Direction=H","UseDPDF=Y")</f>
        <v>#NAME?</v>
      </c>
      <c r="BQ584" s="1" t="e">
        <f ca="1">_xll.BDH($C$578,"WORKING_CAPITAL_SEQ_GROWTH","FQ1 2015","FQ1 2015","Currency=INR","Period=FQ","BEST_FPERIOD_OVERRIDE=FQ","FILING_STATUS=OR","EQY_CONSOLIDATED=Y","Sort=A","Dates=H","DateFormat=P","Fill=—","Direction=H","UseDPDF=Y")</f>
        <v>#NAME?</v>
      </c>
      <c r="BR584" s="1" t="e">
        <f ca="1">_xll.BDH($C$578,"ACCOUNTS_PAYABLE_SEQ_GROWTH","FQ1 2015","FQ1 2015","Currency=INR","Period=FQ","BEST_FPERIOD_OVERRIDE=FQ","FILING_STATUS=OR","EQY_CONSOLIDATED=Y","Sort=A","Dates=H","DateFormat=P","Fill=—","Direction=H","UseDPDF=Y")</f>
        <v>#NAME?</v>
      </c>
      <c r="BS584" s="1" t="e">
        <f ca="1">_xll.BDH($C$578,"ST_DEBT_SEQUENTIAL_GROWTH","FQ1 2015","FQ1 2015","Currency=INR","Period=FQ","BEST_FPERIOD_OVERRIDE=FQ","FILING_STATUS=OR","EQY_CONSOLIDATED=Y","Sort=A","Dates=H","DateFormat=P","Fill=—","Direction=H","UseDPDF=Y")</f>
        <v>#NAME?</v>
      </c>
      <c r="BT584" s="1" t="e">
        <f ca="1">_xll.BDH($C$578,"TOTAL_DEBT_SEQUENTIAL_GROWTH","FQ1 2015","FQ1 2015","Currency=INR","Period=FQ","BEST_FPERIOD_OVERRIDE=FQ","FILING_STATUS=OR","EQY_CONSOLIDATED=Y","Sort=A","Dates=H","DateFormat=P","Fill=—","Direction=H","UseDPDF=Y")</f>
        <v>#NAME?</v>
      </c>
      <c r="BU584" s="1" t="e">
        <f ca="1">_xll.BDH($C$578,"TOTAL_EQUITY_SEQUENTIAL_GROWTH","FQ1 2015","FQ1 2015","Currency=INR","Period=FQ","BEST_FPERIOD_OVERRIDE=FQ","FILING_STATUS=OR","EQY_CONSOLIDATED=Y","Sort=A","Dates=H","DateFormat=P","Fill=—","Direction=H","UseDPDF=Y")</f>
        <v>#NAME?</v>
      </c>
      <c r="BV584" s="1" t="e">
        <f ca="1">_xll.BDH($C$578,"TOTAL_CAPITAL_SEQUENTIAL_GROWTH","FQ1 2015","FQ1 2015","Currency=INR","Period=FQ","BEST_FPERIOD_OVERRIDE=FQ","FILING_STATUS=OR","EQY_CONSOLIDATED=Y","Sort=A","Dates=H","DateFormat=P","Fill=—","Direction=H","UseDPDF=Y")</f>
        <v>#NAME?</v>
      </c>
      <c r="BW584" s="1" t="e">
        <f ca="1">_xll.BDH($C$578,"BPS_SEQUENTIAL_GROWTH","FQ1 2015","FQ1 2015","Currency=INR","Period=FQ","BEST_FPERIOD_OVERRIDE=FQ","FILING_STATUS=OR","EQY_CONSOLIDATED=Y","Sort=A","Dates=H","DateFormat=P","Fill=—","Direction=H","UseDPDF=Y")</f>
        <v>#NAME?</v>
      </c>
      <c r="BX584" s="1" t="e">
        <f ca="1">_xll.BDH($C$578,"CFO_SEQUENTIAL_GROWTH","FQ1 2015","FQ1 2015","Currency=INR","Period=FQ","BEST_FPERIOD_OVERRIDE=FQ","FILING_STATUS=OR","EQY_CONSOLIDATED=Y","Sort=A","Dates=H","DateFormat=P","Fill=—","Direction=H","UseDPDF=Y")</f>
        <v>#NAME?</v>
      </c>
      <c r="BY584" s="2" t="e">
        <f ca="1">_xll.BDH($C$578,"SHORT_AND_LONG_TERM_DEBT","FQ1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84" s="2" t="e">
        <f ca="1">_xll.BDH($C$578,"BS_ST_BORROW","FQ1 2015","FQ1 2015","Currency=INR","Period=FQ","BEST_FPERIOD_OVERRIDE=FQ","FILING_STATUS=OR","EQY_CONSOLIDATED=Y","SCALING_FORMAT=MLN","Sort=A","Dates=H","DateFormat=P","Fill=—","Direction=H","UseDPDF=Y")</f>
        <v>#NAME?</v>
      </c>
      <c r="CA584" s="2" t="e">
        <f ca="1">_xll.BDH($C$578,"BS_LT_BORROW","FQ1 2015","FQ1 2015","Currency=INR","Period=FQ","BEST_FPERIOD_OVERRIDE=FQ","FILING_STATUS=OR","EQY_CONSOLIDATED=Y","SCALING_FORMAT=MLN","Sort=A","Dates=H","DateFormat=P","Fill=—","Direction=H","UseDPDF=Y")</f>
        <v>#NAME?</v>
      </c>
      <c r="CB584" s="1" t="e">
        <f ca="1">_xll.BDH($C$578,"TOT_DEBT_TO_EBITDA","FQ1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84" s="1" t="e">
        <f ca="1">_xll.BDH($C$578,"NET_DEBT_TO_EBITDA","FQ1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84" s="1" t="e">
        <f ca="1">_xll.BDH($C$578,"TOTAL_DEBT_TO_EBIT","FQ1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84" s="1" t="e">
        <f ca="1">_xll.BDH($C$578,"NET_DEBT_TO_EBIT","FQ1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584" s="1" t="e">
        <f ca="1">_xll.BDH($C$578,"EBITDA_TO_INTEREST_EXPN","FQ1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84" s="1" t="e">
        <f ca="1">_xll.BDH($C$578,"COM_EQY_TO_TOT_ASSET","FQ1 2015","FQ1 2015","Currency=INR","Period=FQ","BEST_FPERIOD_OVERRIDE=FQ","FILING_STATUS=OR","EQY_CONSOLIDATED=Y","Sort=A","Dates=H","DateFormat=P","Fill=—","Direction=H","UseDPDF=Y")</f>
        <v>#NAME?</v>
      </c>
      <c r="CH584" s="1" t="e">
        <f ca="1">_xll.BDH($C$578,"LT_DEBT_TO_TOT_EQY","FQ1 2015","FQ1 2015","Currency=INR","Period=FQ","BEST_FPERIOD_OVERRIDE=FQ","FILING_STATUS=OR","EQY_CONSOLIDATED=Y","Sort=A","Dates=H","DateFormat=P","Fill=—","Direction=H","UseDPDF=Y")</f>
        <v>#NAME?</v>
      </c>
      <c r="CI584" s="1" t="e">
        <f ca="1">_xll.BDH($C$578,"LT_DEBT_TO_TOT_CAP","FQ1 2015","FQ1 2015","Currency=INR","Period=FQ","BEST_FPERIOD_OVERRIDE=FQ","FILING_STATUS=OR","EQY_CONSOLIDATED=Y","Sort=A","Dates=H","DateFormat=P","Fill=—","Direction=H","UseDPDF=Y")</f>
        <v>#NAME?</v>
      </c>
      <c r="CJ584" s="1" t="e">
        <f ca="1">_xll.BDH($C$578,"LT_DEBT_TO_TOT_ASSET","FQ1 2015","FQ1 2015","Currency=INR","Period=FQ","BEST_FPERIOD_OVERRIDE=FQ","FILING_STATUS=OR","EQY_CONSOLIDATED=Y","Sort=A","Dates=H","DateFormat=P","Fill=—","Direction=H","UseDPDF=Y")</f>
        <v>#NAME?</v>
      </c>
      <c r="CK584" s="1" t="e">
        <f ca="1">_xll.BDH($C$578,"TOT_DEBT_TO_TOT_EQY","FQ1 2015","FQ1 2015","Currency=INR","Period=FQ","BEST_FPERIOD_OVERRIDE=FQ","FILING_STATUS=OR","EQY_CONSOLIDATED=Y","Sort=A","Dates=H","DateFormat=P","Fill=—","Direction=H","UseDPDF=Y")</f>
        <v>#NAME?</v>
      </c>
      <c r="CL584" s="1" t="e">
        <f ca="1">_xll.BDH($C$578,"TOT_DEBT_TO_TOT_CAP","FQ1 2015","FQ1 2015","Currency=INR","Period=FQ","BEST_FPERIOD_OVERRIDE=FQ","FILING_STATUS=OR","EQY_CONSOLIDATED=Y","Sort=A","Dates=H","DateFormat=P","Fill=—","Direction=H","UseDPDF=Y")</f>
        <v>#NAME?</v>
      </c>
      <c r="CM584" s="1" t="e">
        <f ca="1">_xll.BDH($C$578,"TOT_DEBT_TO_TOT_ASSET","FQ1 2015","FQ1 2015","Currency=INR","Period=FQ","BEST_FPERIOD_OVERRIDE=FQ","FILING_STATUS=OR","EQY_CONSOLIDATED=Y","Sort=A","Dates=H","DateFormat=P","Fill=—","Direction=H","UseDPDF=Y")</f>
        <v>#NAME?</v>
      </c>
      <c r="CN584" s="1" t="e">
        <f ca="1">_xll.BDH($C$578,"NET_DEBT_TO_SHRHLDR_EQTY","FQ1 2015","FQ1 2015","Currency=INR","Period=FQ","BEST_FPERIOD_OVERRIDE=FQ","FILING_STATUS=OR","EQY_CONSOLIDATED=Y","Sort=A","Dates=H","DateFormat=P","Fill=—","Direction=H","UseDPDF=Y")</f>
        <v>#NAME?</v>
      </c>
      <c r="CO584" s="1" t="e">
        <f ca="1">_xll.BDH($C$578,"NET_DEBT_%_CAPITAL","FQ1 2015","FQ1 2015","Currency=INR","Period=FQ","BEST_FPERIOD_OVERRIDE=FQ","FILING_STATUS=OR","EQY_CONSOLIDATED=Y","Sort=A","Dates=H","DateFormat=P","Fill=—","Direction=H","UseDPDF=Y")</f>
        <v>#NAME?</v>
      </c>
      <c r="CP584" s="2" t="e">
        <f ca="1">_xll.BDH($C$578,"EBITDA","FQ1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84" s="2" t="e">
        <f ca="1">_xll.BDH($C$578,"EBITDA_AFTER_CAPEX","FQ1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84" s="2" t="e">
        <f ca="1">_xll.BDH($C$578,"IS_OPER_INC","FQ1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84" s="1" t="e">
        <f ca="1">_xll.BDH($C$578,"CASH_RATIO","FQ1 2015","FQ1 2015","Currency=INR","Period=FQ","BEST_FPERIOD_OVERRIDE=FQ","FILING_STATUS=OR","EQY_CONSOLIDATED=Y","Sort=A","Dates=H","DateFormat=P","Fill=—","Direction=H","UseDPDF=Y")</f>
        <v>#NAME?</v>
      </c>
      <c r="CT584" s="1" t="e">
        <f ca="1">_xll.BDH($C$578,"CUR_RATIO","FQ1 2015","FQ1 2015","Currency=INR","Period=FQ","BEST_FPERIOD_OVERRIDE=FQ","FILING_STATUS=OR","EQY_CONSOLIDATED=Y","Sort=A","Dates=H","DateFormat=P","Fill=—","Direction=H","UseDPDF=Y")</f>
        <v>#NAME?</v>
      </c>
      <c r="CU584" s="1" t="e">
        <f ca="1">_xll.BDH($C$578,"QUICK_RATIO","FQ1 2015","FQ1 2015","Currency=INR","Period=FQ","BEST_FPERIOD_OVERRIDE=FQ","FILING_STATUS=OR","EQY_CONSOLIDATED=Y","Sort=A","Dates=H","DateFormat=P","Fill=—","Direction=H","UseDPDF=Y")</f>
        <v>#NAME?</v>
      </c>
      <c r="CV584" s="1" t="e">
        <f ca="1">_xll.BDH($C$578,"ALTMAN_Z_SCORE","FQ1 2015","FQ1 2015","Currency=INR","Period=FQ","BEST_FPERIOD_OVERRIDE=FQ","FILING_STATUS=OR","EQY_CONSOLIDATED=Y","Sort=A","Dates=H","DateFormat=P","Fill=—","Direction=H","UseDPDF=Y")</f>
        <v>#NAME?</v>
      </c>
      <c r="CW584" s="3" t="e">
        <f ca="1">_xll.BDH($C$578,"ACCT_RCV_TURN","FQ1 2015","FQ1 2015","Currency=INR","Period=FQ","BEST_FPERIOD_OVERRIDE=FQ","FILING_STATUS=OR","EQY_CONSOLIDATED=Y","FA_ADJUSTED=GAAP","Sort=A","Dates=H","DateFormat=P","Fill=—","Direction=H","UseDPDF=Y")</f>
        <v>#NAME?</v>
      </c>
      <c r="CX584" s="1" t="e">
        <f ca="1">_xll.BDH($C$578,"ACCT_RCV_DAYS","FQ1 2015","FQ1 2015","Currency=INR","Period=FQ","BEST_FPERIOD_OVERRIDE=FQ","FILING_STATUS=OR","EQY_CONSOLIDATED=Y","FA_ADJUSTED=GAAP","Sort=A","Dates=H","DateFormat=P","Fill=—","Direction=H","UseDPDF=Y")</f>
        <v>#NAME?</v>
      </c>
      <c r="CY584" s="3" t="e">
        <f ca="1">_xll.BDH($C$578,"INVENT_TURN","FQ1 2015","FQ1 2015","Currency=INR","Period=FQ","BEST_FPERIOD_OVERRIDE=FQ","FILING_STATUS=OR","EQY_CONSOLIDATED=Y","FA_ADJUSTED=GAAP","Sort=A","Dates=H","DateFormat=P","Fill=—","Direction=H","UseDPDF=Y")</f>
        <v>#NAME?</v>
      </c>
      <c r="CZ584" s="1" t="e">
        <f ca="1">_xll.BDH($C$578,"INVENT_DAYS","FQ1 2015","FQ1 2015","Currency=INR","Period=FQ","BEST_FPERIOD_OVERRIDE=FQ","FILING_STATUS=OR","EQY_CONSOLIDATED=Y","FA_ADJUSTED=GAAP","Sort=A","Dates=H","DateFormat=P","Fill=—","Direction=H","UseDPDF=Y")</f>
        <v>#NAME?</v>
      </c>
      <c r="DA584" s="3" t="e">
        <f ca="1">_xll.BDH($C$578,"ACCOUNTS_PAYABLE_TURNOVER","FQ1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84" s="1" t="e">
        <f ca="1">_xll.BDH($C$578,"ACCOUNTS_PAYABLE_TURNOVER_DAYS","FQ1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84" s="3" t="e">
        <f ca="1">_xll.BDH($C$578,"CASH_CONVERSION_CYCLE","FQ1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84" s="3" t="e">
        <f ca="1">_xll.BDH($C$578,"INV_TO_CASH_DAYS","FQ1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584" s="4" t="e">
        <f ca="1">_xll.BDH($C$578,"BS_INVENTORIES","FQ1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584" s="2" t="e">
        <f ca="1">_xll.BDH($C$578,"INVTRY_RAW_MATERIALS","FQ1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84" s="2" t="e">
        <f ca="1">_xll.BDH($C$578,"INVTRY_IN_PROGRESS","FQ1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84" s="2" t="e">
        <f ca="1">_xll.BDH($C$578,"INVTRY_FINISHED_GOODS","FQ1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84" s="2" t="e">
        <f ca="1">_xll.BDH($C$578,"BS_OTHER_INV","FQ1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85" spans="1:113" x14ac:dyDescent="0.3">
      <c r="A585" s="6"/>
      <c r="B585" s="6"/>
      <c r="C585" s="6"/>
      <c r="D585" s="6"/>
      <c r="E585" t="s">
        <v>5</v>
      </c>
      <c r="F585" t="e">
        <f ca="1">_xll.BDH($C$578,"RETURN_COM_EQY","FQ2 2015","FQ2 2015","Currency=INR","Period=FQ","BEST_FPERIOD_OVERRIDE=FQ","FILING_STATUS=OR","EQY_CONSOLIDATED=Y","FA_ADJUSTED=GAAP","Sort=A","Dates=H","DateFormat=P","Fill=—","Direction=H","UseDPDF=Y")</f>
        <v>#NAME?</v>
      </c>
      <c r="G585" t="e">
        <f ca="1">_xll.BDH($C$578,"RETURN_ON_ASSET","FQ2 2015","FQ2 2015","Currency=INR","Period=FQ","BEST_FPERIOD_OVERRIDE=FQ","FILING_STATUS=OR","EQY_CONSOLIDATED=Y","FA_ADJUSTED=GAAP","Sort=A","Dates=H","DateFormat=P","Fill=—","Direction=H","UseDPDF=Y")</f>
        <v>#NAME?</v>
      </c>
      <c r="H585" t="e">
        <f ca="1">_xll.BDH($C$578,"RETURN_ON_CAP","FQ2 2015","FQ2 2015","Currency=INR","Period=FQ","BEST_FPERIOD_OVERRIDE=FQ","FILING_STATUS=OR","EQY_CONSOLIDATED=Y","FA_ADJUSTED=GAAP","Sort=A","Dates=H","DateFormat=P","Fill=—","Direction=H","UseDPDF=Y")</f>
        <v>#NAME?</v>
      </c>
      <c r="I585" t="e">
        <f ca="1">_xll.BDH($C$578,"RETURN_ON_INV_CAPITAL","FQ2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85" t="e">
        <f ca="1">_xll.BDH($C$578,"EBITDA_TO_REVENUE","FQ2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585" t="e">
        <f ca="1">_xll.BDH($C$578,"OPER_MARGIN","FQ2 2015","FQ2 2015","Currency=INR","Period=FQ","BEST_FPERIOD_OVERRIDE=FQ","FILING_STATUS=OR","EQY_CONSOLIDATED=Y","FA_ADJUSTED=GAAP","Sort=A","Dates=H","DateFormat=P","Fill=—","Direction=H","UseDPDF=Y")</f>
        <v>#NAME?</v>
      </c>
      <c r="L585" t="e">
        <f ca="1">_xll.BDH($C$578,"INCREMENTAL_OPERATING_MARGIN","FQ2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85" t="e">
        <f ca="1">_xll.BDH($C$578,"PRETAX_INC_TO_NET_SALES","FQ2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85" t="e">
        <f ca="1">_xll.BDH($C$578,"INC_BEF_XO_ITEMS_TO_NET_SALES","FQ2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85" t="e">
        <f ca="1">_xll.BDH($C$578,"PROF_MARGIN","FQ2 2015","FQ2 2015","Currency=INR","Period=FQ","BEST_FPERIOD_OVERRIDE=FQ","FILING_STATUS=OR","EQY_CONSOLIDATED=Y","FA_ADJUSTED=GAAP","Sort=A","Dates=H","DateFormat=P","Fill=—","Direction=H","UseDPDF=Y")</f>
        <v>#NAME?</v>
      </c>
      <c r="P585" t="e">
        <f ca="1">_xll.BDH($C$578,"NET_INCOME_TO_COMMON_MARGIN","FQ2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85" t="e">
        <f ca="1">_xll.BDH($C$578,"EFF_TAX_RATE","FQ2 2015","FQ2 2015","Currency=INR","Period=FQ","BEST_FPERIOD_OVERRIDE=FQ","FILING_STATUS=OR","EQY_CONSOLIDATED=Y","FA_ADJUSTED=GAAP","Sort=A","Dates=H","DateFormat=P","Fill=—","Direction=H","UseDPDF=Y")</f>
        <v>#NAME?</v>
      </c>
      <c r="R585" t="e">
        <f ca="1">_xll.BDH($C$578,"DVD_PAYOUT_RATIO","FQ2 2015","FQ2 2015","Currency=INR","Period=FQ","BEST_FPERIOD_OVERRIDE=FQ","FILING_STATUS=OR","EQY_CONSOLIDATED=Y","FA_ADJUSTED=GAAP","Sort=A","Dates=H","DateFormat=P","Fill=—","Direction=H","UseDPDF=Y")</f>
        <v>#NAME?</v>
      </c>
      <c r="S585" t="e">
        <f ca="1">_xll.BDH($C$578,"SUSTAIN_GROWTH_RT","FQ2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585" s="1" t="e">
        <f ca="1">_xll.BDH($C$578,"SALES_GROWTH","FQ2 2015","FQ2 2015","Currency=INR","Period=FQ","BEST_FPERIOD_OVERRIDE=FQ","FILING_STATUS=OR","EQY_CONSOLIDATED=Y","FA_ADJUSTED=GAAP","Sort=A","Dates=H","DateFormat=P","Fill=—","Direction=H","UseDPDF=Y")</f>
        <v>#NAME?</v>
      </c>
      <c r="U585" s="1" t="e">
        <f ca="1">_xll.BDH($C$578,"EBITDA_GROWTH","FQ2 2015","FQ2 2015","Currency=INR","Period=FQ","BEST_FPERIOD_OVERRIDE=FQ","FILING_STATUS=OR","EQY_CONSOLIDATED=Y","FA_ADJUSTED=GAAP","Sort=A","Dates=H","DateFormat=P","Fill=—","Direction=H","UseDPDF=Y")</f>
        <v>#NAME?</v>
      </c>
      <c r="V585" s="1" t="e">
        <f ca="1">_xll.BDH($C$578,"OPER_INC_GROWTH","FQ2 2015","FQ2 2015","Currency=INR","Period=FQ","BEST_FPERIOD_OVERRIDE=FQ","FILING_STATUS=OR","EQY_CONSOLIDATED=Y","FA_ADJUSTED=GAAP","Sort=A","Dates=H","DateFormat=P","Fill=—","Direction=H","UseDPDF=Y")</f>
        <v>#NAME?</v>
      </c>
      <c r="W585" s="1" t="e">
        <f ca="1">_xll.BDH($C$578,"EARN_FOR_COM_GROWTH","FQ2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85" s="1" t="e">
        <f ca="1">_xll.BDH($C$578,"DILUTED_EPS_AFT_XO_ITEMS_GROWTH","FQ2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85" s="1" t="e">
        <f ca="1">_xll.BDH($C$578,"DIVIDEND_PER_SHARE_1_YEAR_GROWTH","FQ2 2015","FQ2 2015","Currency=INR","Period=FQ","BEST_FPERIOD_OVERRIDE=FQ","FILING_STATUS=OR","EQY_CONSOLIDATED=Y","Sort=A","Dates=H","DateFormat=P","Fill=—","Direction=H","UseDPDF=Y")</f>
        <v>#NAME?</v>
      </c>
      <c r="Z585" s="1" t="e">
        <f ca="1">_xll.BDH($C$578,"ACCOUNTS_RECEIVABLE_GROWTH","FQ2 2015","FQ2 2015","Currency=INR","Period=FQ","BEST_FPERIOD_OVERRIDE=FQ","FILING_STATUS=OR","EQY_CONSOLIDATED=Y","Sort=A","Dates=H","DateFormat=P","Fill=—","Direction=H","UseDPDF=Y")</f>
        <v>#NAME?</v>
      </c>
      <c r="AA585" s="1" t="e">
        <f ca="1">_xll.BDH($C$578,"INVENTORY_GROWTH","FQ2 2015","FQ2 2015","Currency=INR","Period=FQ","BEST_FPERIOD_OVERRIDE=FQ","FILING_STATUS=OR","EQY_CONSOLIDATED=Y","Sort=A","Dates=H","DateFormat=P","Fill=—","Direction=H","UseDPDF=Y")</f>
        <v>#NAME?</v>
      </c>
      <c r="AB585" s="1" t="e">
        <f ca="1">_xll.BDH($C$578,"NET_FIXED_ASSETS_1_YEAR_GROWTH","FQ2 2015","FQ2 2015","Currency=INR","Period=FQ","BEST_FPERIOD_OVERRIDE=FQ","FILING_STATUS=OR","EQY_CONSOLIDATED=Y","Sort=A","Dates=H","DateFormat=P","Fill=—","Direction=H","UseDPDF=Y")</f>
        <v>#NAME?</v>
      </c>
      <c r="AC585" s="1" t="e">
        <f ca="1">_xll.BDH($C$578,"ASSET_GROWTH","FQ2 2015","FQ2 2015","Currency=INR","Period=FQ","BEST_FPERIOD_OVERRIDE=FQ","FILING_STATUS=OR","EQY_CONSOLIDATED=Y","Sort=A","Dates=H","DateFormat=P","Fill=—","Direction=H","UseDPDF=Y")</f>
        <v>#NAME?</v>
      </c>
      <c r="AD585" s="1" t="e">
        <f ca="1">_xll.BDH($C$578,"MODIFIED_WORK_CAP_GROWTH","FQ2 2015","FQ2 2015","Currency=INR","Period=FQ","BEST_FPERIOD_OVERRIDE=FQ","FILING_STATUS=OR","EQY_CONSOLIDATED=Y","Sort=A","Dates=H","DateFormat=P","Fill=—","Direction=H","UseDPDF=Y")</f>
        <v>#NAME?</v>
      </c>
      <c r="AE585" s="1" t="e">
        <f ca="1">_xll.BDH($C$578,"WORK_CAP_GROWTH","FQ2 2015","FQ2 2015","Currency=INR","Period=FQ","BEST_FPERIOD_OVERRIDE=FQ","FILING_STATUS=OR","EQY_CONSOLIDATED=Y","Sort=A","Dates=H","DateFormat=P","Fill=—","Direction=H","UseDPDF=Y")</f>
        <v>#NAME?</v>
      </c>
      <c r="AF585" s="1" t="e">
        <f ca="1">_xll.BDH($C$578,"ACCOUNTS_PAYABLE_GROWTH_1YR","FQ2 2015","FQ2 2015","Currency=INR","Period=FQ","BEST_FPERIOD_OVERRIDE=FQ","FILING_STATUS=OR","EQY_CONSOLIDATED=Y","Sort=A","Dates=H","DateFormat=P","Fill=—","Direction=H","UseDPDF=Y")</f>
        <v>#NAME?</v>
      </c>
      <c r="AG585" s="1" t="e">
        <f ca="1">_xll.BDH($C$578,"SHORT_TERM_DEBT_1_YEAR_GROWTH","FQ2 2015","FQ2 2015","Currency=INR","Period=FQ","BEST_FPERIOD_OVERRIDE=FQ","FILING_STATUS=OR","EQY_CONSOLIDATED=Y","Sort=A","Dates=H","DateFormat=P","Fill=—","Direction=H","UseDPDF=Y")</f>
        <v>#NAME?</v>
      </c>
      <c r="AH585" s="1" t="e">
        <f ca="1">_xll.BDH($C$578,"TOTAL_DEBT_1_YEAR_GROWTH","FQ2 2015","FQ2 2015","Currency=INR","Period=FQ","BEST_FPERIOD_OVERRIDE=FQ","FILING_STATUS=OR","EQY_CONSOLIDATED=Y","Sort=A","Dates=H","DateFormat=P","Fill=—","Direction=H","UseDPDF=Y")</f>
        <v>#NAME?</v>
      </c>
      <c r="AI585" s="1" t="e">
        <f ca="1">_xll.BDH($C$578,"TOTAL_EQUITY_1_YEAR_GROWTH","FQ2 2015","FQ2 2015","Currency=INR","Period=FQ","BEST_FPERIOD_OVERRIDE=FQ","FILING_STATUS=OR","EQY_CONSOLIDATED=Y","Sort=A","Dates=H","DateFormat=P","Fill=—","Direction=H","UseDPDF=Y")</f>
        <v>#NAME?</v>
      </c>
      <c r="AJ585" s="1" t="e">
        <f ca="1">_xll.BDH($C$578,"GROWTH_IN_CAP","FQ2 2015","FQ2 2015","Currency=INR","Period=FQ","BEST_FPERIOD_OVERRIDE=FQ","FILING_STATUS=OR","EQY_CONSOLIDATED=Y","Sort=A","Dates=H","DateFormat=P","Fill=—","Direction=H","UseDPDF=Y")</f>
        <v>#NAME?</v>
      </c>
      <c r="AK585" s="1" t="e">
        <f ca="1">_xll.BDH($C$578,"BVPS_GROWTH","FQ2 2015","FQ2 2015","Currency=INR","Period=FQ","BEST_FPERIOD_OVERRIDE=FQ","FILING_STATUS=OR","EQY_CONSOLIDATED=Y","Sort=A","Dates=H","DateFormat=P","Fill=—","Direction=H","UseDPDF=Y")</f>
        <v>#NAME?</v>
      </c>
      <c r="AL585" s="1" t="e">
        <f ca="1">_xll.BDH($C$578,"CASH_FLOW_GROWTH","FQ2 2015","FQ2 2015","Currency=INR","Period=FQ","BEST_FPERIOD_OVERRIDE=FQ","FILING_STATUS=OR","EQY_CONSOLIDATED=Y","Sort=A","Dates=H","DateFormat=P","Fill=—","Direction=H","UseDPDF=Y")</f>
        <v>#NAME?</v>
      </c>
      <c r="AM585" s="1" t="e">
        <f ca="1">_xll.BDH($C$578,"GEO_GROW_NET_SALES","FQ2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85" s="1" t="e">
        <f ca="1">_xll.BDH($C$578,"GEO_GROW_EBITDA","FQ2 2015","FQ2 2015","Currency=INR","Period=FQ","BEST_FPERIOD_OVERRIDE=FQ","FILING_STATUS=OR","EQY_CONSOLIDATED=Y","FA_ADJUSTED=GAAP","Sort=A","Dates=H","DateFormat=P","Fill=—","Direction=H","UseDPDF=Y")</f>
        <v>#NAME?</v>
      </c>
      <c r="AO585" s="1" t="e">
        <f ca="1">_xll.BDH($C$578,"GEO_GROW_OPER_INC","FQ2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85" s="1" t="e">
        <f ca="1">_xll.BDH($C$578,"NET_INCOME_TO_COMMON_5_YR_GROWTH","FQ2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85" s="1" t="e">
        <f ca="1">_xll.BDH($C$578,"5Y_GEO_GROWTH_DILUTED_EPS","FQ2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85" s="1" t="e">
        <f ca="1">_xll.BDH($C$578,"GEO_GROW_DVD_PER_SH","FQ2 2015","FQ2 2015","Currency=INR","Period=FQ","BEST_FPERIOD_OVERRIDE=FQ","FILING_STATUS=OR","EQY_CONSOLIDATED=Y","Sort=A","Dates=H","DateFormat=P","Fill=—","Direction=H","UseDPDF=Y")</f>
        <v>#NAME?</v>
      </c>
      <c r="AS585" s="1" t="e">
        <f ca="1">_xll.BDH($C$578,"ACCOUNTS_RECEIVABLE_5_YR_GROWTH","FQ2 2015","FQ2 2015","Currency=INR","Period=FQ","BEST_FPERIOD_OVERRIDE=FQ","FILING_STATUS=OR","EQY_CONSOLIDATED=Y","Sort=A","Dates=H","DateFormat=P","Fill=—","Direction=H","UseDPDF=Y")</f>
        <v>#NAME?</v>
      </c>
      <c r="AT585" s="1" t="e">
        <f ca="1">_xll.BDH($C$578,"INVENTORY_5_YEAR_GROWTH","FQ2 2015","FQ2 2015","Currency=INR","Period=FQ","BEST_FPERIOD_OVERRIDE=FQ","FILING_STATUS=OR","EQY_CONSOLIDATED=Y","Sort=A","Dates=H","DateFormat=P","Fill=—","Direction=H","UseDPDF=Y")</f>
        <v>#NAME?</v>
      </c>
      <c r="AU585" s="1" t="e">
        <f ca="1">_xll.BDH($C$578,"NET_FIXED_ASSETS_5_YEAR_GROWTH","FQ2 2015","FQ2 2015","Currency=INR","Period=FQ","BEST_FPERIOD_OVERRIDE=FQ","FILING_STATUS=OR","EQY_CONSOLIDATED=Y","Sort=A","Dates=H","DateFormat=P","Fill=—","Direction=H","UseDPDF=Y")</f>
        <v>#NAME?</v>
      </c>
      <c r="AV585" s="1" t="e">
        <f ca="1">_xll.BDH($C$578,"GEO_GROW_TOT_ASSET","FQ2 2015","FQ2 2015","Currency=INR","Period=FQ","BEST_FPERIOD_OVERRIDE=FQ","FILING_STATUS=OR","EQY_CONSOLIDATED=Y","Sort=A","Dates=H","DateFormat=P","Fill=—","Direction=H","UseDPDF=Y")</f>
        <v>#NAME?</v>
      </c>
      <c r="AW585" s="1" t="e">
        <f ca="1">_xll.BDH($C$578,"MODIFIED_WORKING_CPTL_5YR_GRWTH","FQ2 2015","FQ2 2015","Currency=INR","Period=FQ","BEST_FPERIOD_OVERRIDE=FQ","FILING_STATUS=OR","EQY_CONSOLIDATED=Y","Sort=A","Dates=H","DateFormat=P","Fill=—","Direction=H","UseDPDF=Y")</f>
        <v>#NAME?</v>
      </c>
      <c r="AX585" s="1" t="e">
        <f ca="1">_xll.BDH($C$578,"WORKING_CAPITAL_5_YEAR_GROWTH","FQ2 2015","FQ2 2015","Currency=INR","Period=FQ","BEST_FPERIOD_OVERRIDE=FQ","FILING_STATUS=OR","EQY_CONSOLIDATED=Y","Sort=A","Dates=H","DateFormat=P","Fill=—","Direction=H","UseDPDF=Y")</f>
        <v>#NAME?</v>
      </c>
      <c r="AY585" s="1" t="e">
        <f ca="1">_xll.BDH($C$578,"ACCOUNTS_PAYABLE_5_YEAR_GROWTH","FQ2 2015","FQ2 2015","Currency=INR","Period=FQ","BEST_FPERIOD_OVERRIDE=FQ","FILING_STATUS=OR","EQY_CONSOLIDATED=Y","Sort=A","Dates=H","DateFormat=P","Fill=—","Direction=H","UseDPDF=Y")</f>
        <v>#NAME?</v>
      </c>
      <c r="AZ585" s="1" t="e">
        <f ca="1">_xll.BDH($C$578,"SHORT_TERM_DEBT_5_YEAR_GROWTH","FQ2 2015","FQ2 2015","Currency=INR","Period=FQ","BEST_FPERIOD_OVERRIDE=FQ","FILING_STATUS=OR","EQY_CONSOLIDATED=Y","Sort=A","Dates=H","DateFormat=P","Fill=—","Direction=H","UseDPDF=Y")</f>
        <v>#NAME?</v>
      </c>
      <c r="BA585" s="1" t="e">
        <f ca="1">_xll.BDH($C$578,"TOTAL_DEBT_5_YEAR_GROWTH","FQ2 2015","FQ2 2015","Currency=INR","Period=FQ","BEST_FPERIOD_OVERRIDE=FQ","FILING_STATUS=OR","EQY_CONSOLIDATED=Y","Sort=A","Dates=H","DateFormat=P","Fill=—","Direction=H","UseDPDF=Y")</f>
        <v>#NAME?</v>
      </c>
      <c r="BB585" s="1" t="e">
        <f ca="1">_xll.BDH($C$578,"GEO_GROW_TOT_SHRHLDR_EQY","FQ2 2015","FQ2 2015","Currency=INR","Period=FQ","BEST_FPERIOD_OVERRIDE=FQ","FILING_STATUS=OR","EQY_CONSOLIDATED=Y","Sort=A","Dates=H","DateFormat=P","Fill=—","Direction=H","UseDPDF=Y")</f>
        <v>#NAME?</v>
      </c>
      <c r="BC585" s="1" t="e">
        <f ca="1">_xll.BDH($C$578,"TOTAL_CAPITAL_5_YEAR_GROWTH","FQ2 2015","FQ2 2015","Currency=INR","Period=FQ","BEST_FPERIOD_OVERRIDE=FQ","FILING_STATUS=OR","EQY_CONSOLIDATED=Y","Sort=A","Dates=H","DateFormat=P","Fill=—","Direction=H","UseDPDF=Y")</f>
        <v>#NAME?</v>
      </c>
      <c r="BD585" s="1" t="e">
        <f ca="1">_xll.BDH($C$578,"GEO_GROW_BOOK_VAL","FQ2 2015","FQ2 2015","Currency=INR","Period=FQ","BEST_FPERIOD_OVERRIDE=FQ","FILING_STATUS=OR","EQY_CONSOLIDATED=Y","Sort=A","Dates=H","DateFormat=P","Fill=—","Direction=H","UseDPDF=Y")</f>
        <v>#NAME?</v>
      </c>
      <c r="BE585" s="1" t="e">
        <f ca="1">_xll.BDH($C$578,"GEO_GROW_CASH_OPER_ACT","FQ2 2015","FQ2 2015","Currency=INR","Period=FQ","BEST_FPERIOD_OVERRIDE=FQ","FILING_STATUS=OR","EQY_CONSOLIDATED=Y","Sort=A","Dates=H","DateFormat=P","Fill=—","Direction=H","UseDPDF=Y")</f>
        <v>#NAME?</v>
      </c>
      <c r="BF585" s="1" t="e">
        <f ca="1">_xll.BDH($C$578,"REVENUE_SEQUENTIAL_GROWTH","FQ2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85" s="1" t="e">
        <f ca="1">_xll.BDH($C$578,"EBITDA_SEQUENTIAL_GROWTH","FQ2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85" s="1" t="e">
        <f ca="1">_xll.BDH($C$578,"OPERATING_INCOME_SEQ_GROWTH","FQ2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85" s="1" t="e">
        <f ca="1">_xll.BDH($C$578,"NET_INCOME_TO_COMMON_SEQ_GROWTH","FQ2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85" s="1" t="e">
        <f ca="1">_xll.BDH($C$578,"EPS_DILUTED_SEQUENTIAL_GROWTH","FQ2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85" s="1" t="e">
        <f ca="1">_xll.BDH($C$578,"DPS_SEQUENTIAL_GROWTH","FQ2 2015","FQ2 2015","Currency=INR","Period=FQ","BEST_FPERIOD_OVERRIDE=FQ","FILING_STATUS=OR","EQY_CONSOLIDATED=Y","Sort=A","Dates=H","DateFormat=P","Fill=—","Direction=H","UseDPDF=Y")</f>
        <v>#NAME?</v>
      </c>
      <c r="BL585" s="1" t="e">
        <f ca="1">_xll.BDH($C$578,"ACCOUNTS_RECEIVABLE_SEQ_GROWTH","FQ2 2015","FQ2 2015","Currency=INR","Period=FQ","BEST_FPERIOD_OVERRIDE=FQ","FILING_STATUS=OR","EQY_CONSOLIDATED=Y","Sort=A","Dates=H","DateFormat=P","Fill=—","Direction=H","UseDPDF=Y")</f>
        <v>#NAME?</v>
      </c>
      <c r="BM585" s="1" t="e">
        <f ca="1">_xll.BDH($C$578,"INVENTORY_SEQUENTIAL_GROWTH","FQ2 2015","FQ2 2015","Currency=INR","Period=FQ","BEST_FPERIOD_OVERRIDE=FQ","FILING_STATUS=OR","EQY_CONSOLIDATED=Y","Sort=A","Dates=H","DateFormat=P","Fill=—","Direction=H","UseDPDF=Y")</f>
        <v>#NAME?</v>
      </c>
      <c r="BN585" s="1" t="e">
        <f ca="1">_xll.BDH($C$578,"FIXED_ASSETS_SEQUENTIAL_GROWTH","FQ2 2015","FQ2 2015","Currency=INR","Period=FQ","BEST_FPERIOD_OVERRIDE=FQ","FILING_STATUS=OR","EQY_CONSOLIDATED=Y","Sort=A","Dates=H","DateFormat=P","Fill=—","Direction=H","UseDPDF=Y")</f>
        <v>#NAME?</v>
      </c>
      <c r="BO585" s="1" t="e">
        <f ca="1">_xll.BDH($C$578,"TOTAL_ASSETS_SEQUENTIAL_GROWTH","FQ2 2015","FQ2 2015","Currency=INR","Period=FQ","BEST_FPERIOD_OVERRIDE=FQ","FILING_STATUS=OR","EQY_CONSOLIDATED=Y","Sort=A","Dates=H","DateFormat=P","Fill=—","Direction=H","UseDPDF=Y")</f>
        <v>#NAME?</v>
      </c>
      <c r="BP585" s="1" t="e">
        <f ca="1">_xll.BDH($C$578,"MODIFIED_WORKING_CPTL_SEQ_GRWTH","FQ2 2015","FQ2 2015","Currency=INR","Period=FQ","BEST_FPERIOD_OVERRIDE=FQ","FILING_STATUS=OR","EQY_CONSOLIDATED=Y","Sort=A","Dates=H","DateFormat=P","Fill=—","Direction=H","UseDPDF=Y")</f>
        <v>#NAME?</v>
      </c>
      <c r="BQ585" s="1" t="e">
        <f ca="1">_xll.BDH($C$578,"WORKING_CAPITAL_SEQ_GROWTH","FQ2 2015","FQ2 2015","Currency=INR","Period=FQ","BEST_FPERIOD_OVERRIDE=FQ","FILING_STATUS=OR","EQY_CONSOLIDATED=Y","Sort=A","Dates=H","DateFormat=P","Fill=—","Direction=H","UseDPDF=Y")</f>
        <v>#NAME?</v>
      </c>
      <c r="BR585" s="1" t="e">
        <f ca="1">_xll.BDH($C$578,"ACCOUNTS_PAYABLE_SEQ_GROWTH","FQ2 2015","FQ2 2015","Currency=INR","Period=FQ","BEST_FPERIOD_OVERRIDE=FQ","FILING_STATUS=OR","EQY_CONSOLIDATED=Y","Sort=A","Dates=H","DateFormat=P","Fill=—","Direction=H","UseDPDF=Y")</f>
        <v>#NAME?</v>
      </c>
      <c r="BS585" s="1" t="e">
        <f ca="1">_xll.BDH($C$578,"ST_DEBT_SEQUENTIAL_GROWTH","FQ2 2015","FQ2 2015","Currency=INR","Period=FQ","BEST_FPERIOD_OVERRIDE=FQ","FILING_STATUS=OR","EQY_CONSOLIDATED=Y","Sort=A","Dates=H","DateFormat=P","Fill=—","Direction=H","UseDPDF=Y")</f>
        <v>#NAME?</v>
      </c>
      <c r="BT585" s="1" t="e">
        <f ca="1">_xll.BDH($C$578,"TOTAL_DEBT_SEQUENTIAL_GROWTH","FQ2 2015","FQ2 2015","Currency=INR","Period=FQ","BEST_FPERIOD_OVERRIDE=FQ","FILING_STATUS=OR","EQY_CONSOLIDATED=Y","Sort=A","Dates=H","DateFormat=P","Fill=—","Direction=H","UseDPDF=Y")</f>
        <v>#NAME?</v>
      </c>
      <c r="BU585" s="1" t="e">
        <f ca="1">_xll.BDH($C$578,"TOTAL_EQUITY_SEQUENTIAL_GROWTH","FQ2 2015","FQ2 2015","Currency=INR","Period=FQ","BEST_FPERIOD_OVERRIDE=FQ","FILING_STATUS=OR","EQY_CONSOLIDATED=Y","Sort=A","Dates=H","DateFormat=P","Fill=—","Direction=H","UseDPDF=Y")</f>
        <v>#NAME?</v>
      </c>
      <c r="BV585" s="1" t="e">
        <f ca="1">_xll.BDH($C$578,"TOTAL_CAPITAL_SEQUENTIAL_GROWTH","FQ2 2015","FQ2 2015","Currency=INR","Period=FQ","BEST_FPERIOD_OVERRIDE=FQ","FILING_STATUS=OR","EQY_CONSOLIDATED=Y","Sort=A","Dates=H","DateFormat=P","Fill=—","Direction=H","UseDPDF=Y")</f>
        <v>#NAME?</v>
      </c>
      <c r="BW585" s="1" t="e">
        <f ca="1">_xll.BDH($C$578,"BPS_SEQUENTIAL_GROWTH","FQ2 2015","FQ2 2015","Currency=INR","Period=FQ","BEST_FPERIOD_OVERRIDE=FQ","FILING_STATUS=OR","EQY_CONSOLIDATED=Y","Sort=A","Dates=H","DateFormat=P","Fill=—","Direction=H","UseDPDF=Y")</f>
        <v>#NAME?</v>
      </c>
      <c r="BX585" s="1" t="e">
        <f ca="1">_xll.BDH($C$578,"CFO_SEQUENTIAL_GROWTH","FQ2 2015","FQ2 2015","Currency=INR","Period=FQ","BEST_FPERIOD_OVERRIDE=FQ","FILING_STATUS=OR","EQY_CONSOLIDATED=Y","Sort=A","Dates=H","DateFormat=P","Fill=—","Direction=H","UseDPDF=Y")</f>
        <v>#NAME?</v>
      </c>
      <c r="BY585" s="2" t="e">
        <f ca="1">_xll.BDH($C$578,"SHORT_AND_LONG_TERM_DEBT","FQ2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85" s="2" t="e">
        <f ca="1">_xll.BDH($C$578,"BS_ST_BORROW","FQ2 2015","FQ2 2015","Currency=INR","Period=FQ","BEST_FPERIOD_OVERRIDE=FQ","FILING_STATUS=OR","EQY_CONSOLIDATED=Y","SCALING_FORMAT=MLN","Sort=A","Dates=H","DateFormat=P","Fill=—","Direction=H","UseDPDF=Y")</f>
        <v>#NAME?</v>
      </c>
      <c r="CA585" s="2" t="e">
        <f ca="1">_xll.BDH($C$578,"BS_LT_BORROW","FQ2 2015","FQ2 2015","Currency=INR","Period=FQ","BEST_FPERIOD_OVERRIDE=FQ","FILING_STATUS=OR","EQY_CONSOLIDATED=Y","SCALING_FORMAT=MLN","Sort=A","Dates=H","DateFormat=P","Fill=—","Direction=H","UseDPDF=Y")</f>
        <v>#NAME?</v>
      </c>
      <c r="CB585" s="1" t="e">
        <f ca="1">_xll.BDH($C$578,"TOT_DEBT_TO_EBITDA","FQ2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85" s="1" t="e">
        <f ca="1">_xll.BDH($C$578,"NET_DEBT_TO_EBITDA","FQ2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85" s="1" t="e">
        <f ca="1">_xll.BDH($C$578,"TOTAL_DEBT_TO_EBIT","FQ2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85" s="1" t="e">
        <f ca="1">_xll.BDH($C$578,"NET_DEBT_TO_EBIT","FQ2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585" s="1" t="e">
        <f ca="1">_xll.BDH($C$578,"EBITDA_TO_INTEREST_EXPN","FQ2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85" s="1" t="e">
        <f ca="1">_xll.BDH($C$578,"COM_EQY_TO_TOT_ASSET","FQ2 2015","FQ2 2015","Currency=INR","Period=FQ","BEST_FPERIOD_OVERRIDE=FQ","FILING_STATUS=OR","EQY_CONSOLIDATED=Y","Sort=A","Dates=H","DateFormat=P","Fill=—","Direction=H","UseDPDF=Y")</f>
        <v>#NAME?</v>
      </c>
      <c r="CH585" s="1" t="e">
        <f ca="1">_xll.BDH($C$578,"LT_DEBT_TO_TOT_EQY","FQ2 2015","FQ2 2015","Currency=INR","Period=FQ","BEST_FPERIOD_OVERRIDE=FQ","FILING_STATUS=OR","EQY_CONSOLIDATED=Y","Sort=A","Dates=H","DateFormat=P","Fill=—","Direction=H","UseDPDF=Y")</f>
        <v>#NAME?</v>
      </c>
      <c r="CI585" s="1" t="e">
        <f ca="1">_xll.BDH($C$578,"LT_DEBT_TO_TOT_CAP","FQ2 2015","FQ2 2015","Currency=INR","Period=FQ","BEST_FPERIOD_OVERRIDE=FQ","FILING_STATUS=OR","EQY_CONSOLIDATED=Y","Sort=A","Dates=H","DateFormat=P","Fill=—","Direction=H","UseDPDF=Y")</f>
        <v>#NAME?</v>
      </c>
      <c r="CJ585" s="1" t="e">
        <f ca="1">_xll.BDH($C$578,"LT_DEBT_TO_TOT_ASSET","FQ2 2015","FQ2 2015","Currency=INR","Period=FQ","BEST_FPERIOD_OVERRIDE=FQ","FILING_STATUS=OR","EQY_CONSOLIDATED=Y","Sort=A","Dates=H","DateFormat=P","Fill=—","Direction=H","UseDPDF=Y")</f>
        <v>#NAME?</v>
      </c>
      <c r="CK585" s="1" t="e">
        <f ca="1">_xll.BDH($C$578,"TOT_DEBT_TO_TOT_EQY","FQ2 2015","FQ2 2015","Currency=INR","Period=FQ","BEST_FPERIOD_OVERRIDE=FQ","FILING_STATUS=OR","EQY_CONSOLIDATED=Y","Sort=A","Dates=H","DateFormat=P","Fill=—","Direction=H","UseDPDF=Y")</f>
        <v>#NAME?</v>
      </c>
      <c r="CL585" s="1" t="e">
        <f ca="1">_xll.BDH($C$578,"TOT_DEBT_TO_TOT_CAP","FQ2 2015","FQ2 2015","Currency=INR","Period=FQ","BEST_FPERIOD_OVERRIDE=FQ","FILING_STATUS=OR","EQY_CONSOLIDATED=Y","Sort=A","Dates=H","DateFormat=P","Fill=—","Direction=H","UseDPDF=Y")</f>
        <v>#NAME?</v>
      </c>
      <c r="CM585" s="1" t="e">
        <f ca="1">_xll.BDH($C$578,"TOT_DEBT_TO_TOT_ASSET","FQ2 2015","FQ2 2015","Currency=INR","Period=FQ","BEST_FPERIOD_OVERRIDE=FQ","FILING_STATUS=OR","EQY_CONSOLIDATED=Y","Sort=A","Dates=H","DateFormat=P","Fill=—","Direction=H","UseDPDF=Y")</f>
        <v>#NAME?</v>
      </c>
      <c r="CN585" s="1" t="e">
        <f ca="1">_xll.BDH($C$578,"NET_DEBT_TO_SHRHLDR_EQTY","FQ2 2015","FQ2 2015","Currency=INR","Period=FQ","BEST_FPERIOD_OVERRIDE=FQ","FILING_STATUS=OR","EQY_CONSOLIDATED=Y","Sort=A","Dates=H","DateFormat=P","Fill=—","Direction=H","UseDPDF=Y")</f>
        <v>#NAME?</v>
      </c>
      <c r="CO585" s="1" t="e">
        <f ca="1">_xll.BDH($C$578,"NET_DEBT_%_CAPITAL","FQ2 2015","FQ2 2015","Currency=INR","Period=FQ","BEST_FPERIOD_OVERRIDE=FQ","FILING_STATUS=OR","EQY_CONSOLIDATED=Y","Sort=A","Dates=H","DateFormat=P","Fill=—","Direction=H","UseDPDF=Y")</f>
        <v>#NAME?</v>
      </c>
      <c r="CP585" s="2" t="e">
        <f ca="1">_xll.BDH($C$578,"EBITDA","FQ2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85" s="2" t="e">
        <f ca="1">_xll.BDH($C$578,"EBITDA_AFTER_CAPEX","FQ2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85" s="2" t="e">
        <f ca="1">_xll.BDH($C$578,"IS_OPER_INC","FQ2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85" s="1" t="e">
        <f ca="1">_xll.BDH($C$578,"CASH_RATIO","FQ2 2015","FQ2 2015","Currency=INR","Period=FQ","BEST_FPERIOD_OVERRIDE=FQ","FILING_STATUS=OR","EQY_CONSOLIDATED=Y","Sort=A","Dates=H","DateFormat=P","Fill=—","Direction=H","UseDPDF=Y")</f>
        <v>#NAME?</v>
      </c>
      <c r="CT585" s="1" t="e">
        <f ca="1">_xll.BDH($C$578,"CUR_RATIO","FQ2 2015","FQ2 2015","Currency=INR","Period=FQ","BEST_FPERIOD_OVERRIDE=FQ","FILING_STATUS=OR","EQY_CONSOLIDATED=Y","Sort=A","Dates=H","DateFormat=P","Fill=—","Direction=H","UseDPDF=Y")</f>
        <v>#NAME?</v>
      </c>
      <c r="CU585" s="1" t="e">
        <f ca="1">_xll.BDH($C$578,"QUICK_RATIO","FQ2 2015","FQ2 2015","Currency=INR","Period=FQ","BEST_FPERIOD_OVERRIDE=FQ","FILING_STATUS=OR","EQY_CONSOLIDATED=Y","Sort=A","Dates=H","DateFormat=P","Fill=—","Direction=H","UseDPDF=Y")</f>
        <v>#NAME?</v>
      </c>
      <c r="CV585" s="1" t="e">
        <f ca="1">_xll.BDH($C$578,"ALTMAN_Z_SCORE","FQ2 2015","FQ2 2015","Currency=INR","Period=FQ","BEST_FPERIOD_OVERRIDE=FQ","FILING_STATUS=OR","EQY_CONSOLIDATED=Y","Sort=A","Dates=H","DateFormat=P","Fill=—","Direction=H","UseDPDF=Y")</f>
        <v>#NAME?</v>
      </c>
      <c r="CW585" s="3" t="e">
        <f ca="1">_xll.BDH($C$578,"ACCT_RCV_TURN","FQ2 2015","FQ2 2015","Currency=INR","Period=FQ","BEST_FPERIOD_OVERRIDE=FQ","FILING_STATUS=OR","EQY_CONSOLIDATED=Y","FA_ADJUSTED=GAAP","Sort=A","Dates=H","DateFormat=P","Fill=—","Direction=H","UseDPDF=Y")</f>
        <v>#NAME?</v>
      </c>
      <c r="CX585" s="1" t="e">
        <f ca="1">_xll.BDH($C$578,"ACCT_RCV_DAYS","FQ2 2015","FQ2 2015","Currency=INR","Period=FQ","BEST_FPERIOD_OVERRIDE=FQ","FILING_STATUS=OR","EQY_CONSOLIDATED=Y","FA_ADJUSTED=GAAP","Sort=A","Dates=H","DateFormat=P","Fill=—","Direction=H","UseDPDF=Y")</f>
        <v>#NAME?</v>
      </c>
      <c r="CY585" s="3" t="e">
        <f ca="1">_xll.BDH($C$578,"INVENT_TURN","FQ2 2015","FQ2 2015","Currency=INR","Period=FQ","BEST_FPERIOD_OVERRIDE=FQ","FILING_STATUS=OR","EQY_CONSOLIDATED=Y","FA_ADJUSTED=GAAP","Sort=A","Dates=H","DateFormat=P","Fill=—","Direction=H","UseDPDF=Y")</f>
        <v>#NAME?</v>
      </c>
      <c r="CZ585" s="1" t="e">
        <f ca="1">_xll.BDH($C$578,"INVENT_DAYS","FQ2 2015","FQ2 2015","Currency=INR","Period=FQ","BEST_FPERIOD_OVERRIDE=FQ","FILING_STATUS=OR","EQY_CONSOLIDATED=Y","FA_ADJUSTED=GAAP","Sort=A","Dates=H","DateFormat=P","Fill=—","Direction=H","UseDPDF=Y")</f>
        <v>#NAME?</v>
      </c>
      <c r="DA585" s="3" t="e">
        <f ca="1">_xll.BDH($C$578,"ACCOUNTS_PAYABLE_TURNOVER","FQ2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85" s="1" t="e">
        <f ca="1">_xll.BDH($C$578,"ACCOUNTS_PAYABLE_TURNOVER_DAYS","FQ2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85" s="3" t="e">
        <f ca="1">_xll.BDH($C$578,"CASH_CONVERSION_CYCLE","FQ2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85" s="3" t="e">
        <f ca="1">_xll.BDH($C$578,"INV_TO_CASH_DAYS","FQ2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585" s="4" t="e">
        <f ca="1">_xll.BDH($C$578,"BS_INVENTORIES","FQ2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585" s="2" t="e">
        <f ca="1">_xll.BDH($C$578,"INVTRY_RAW_MATERIALS","FQ2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85" s="2" t="e">
        <f ca="1">_xll.BDH($C$578,"INVTRY_IN_PROGRESS","FQ2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85" s="2" t="e">
        <f ca="1">_xll.BDH($C$578,"INVTRY_FINISHED_GOODS","FQ2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85" s="2" t="e">
        <f ca="1">_xll.BDH($C$578,"BS_OTHER_INV","FQ2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86" spans="1:113" x14ac:dyDescent="0.3">
      <c r="A586" s="6"/>
      <c r="B586" s="6"/>
      <c r="C586" s="6"/>
      <c r="D586" s="6"/>
      <c r="E586" t="s">
        <v>6</v>
      </c>
      <c r="F586" t="e">
        <f ca="1">_xll.BDH($C$578,"RETURN_COM_EQY","FQ3 2015","FQ3 2015","Currency=INR","Period=FQ","BEST_FPERIOD_OVERRIDE=FQ","FILING_STATUS=OR","EQY_CONSOLIDATED=Y","FA_ADJUSTED=GAAP","Sort=A","Dates=H","DateFormat=P","Fill=—","Direction=H","UseDPDF=Y")</f>
        <v>#NAME?</v>
      </c>
      <c r="G586" t="e">
        <f ca="1">_xll.BDH($C$578,"RETURN_ON_ASSET","FQ3 2015","FQ3 2015","Currency=INR","Period=FQ","BEST_FPERIOD_OVERRIDE=FQ","FILING_STATUS=OR","EQY_CONSOLIDATED=Y","FA_ADJUSTED=GAAP","Sort=A","Dates=H","DateFormat=P","Fill=—","Direction=H","UseDPDF=Y")</f>
        <v>#NAME?</v>
      </c>
      <c r="H586" t="e">
        <f ca="1">_xll.BDH($C$578,"RETURN_ON_CAP","FQ3 2015","FQ3 2015","Currency=INR","Period=FQ","BEST_FPERIOD_OVERRIDE=FQ","FILING_STATUS=OR","EQY_CONSOLIDATED=Y","FA_ADJUSTED=GAAP","Sort=A","Dates=H","DateFormat=P","Fill=—","Direction=H","UseDPDF=Y")</f>
        <v>#NAME?</v>
      </c>
      <c r="I586" t="e">
        <f ca="1">_xll.BDH($C$578,"RETURN_ON_INV_CAPITAL","FQ3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86" t="e">
        <f ca="1">_xll.BDH($C$578,"EBITDA_TO_REVENUE","FQ3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586" t="e">
        <f ca="1">_xll.BDH($C$578,"OPER_MARGIN","FQ3 2015","FQ3 2015","Currency=INR","Period=FQ","BEST_FPERIOD_OVERRIDE=FQ","FILING_STATUS=OR","EQY_CONSOLIDATED=Y","FA_ADJUSTED=GAAP","Sort=A","Dates=H","DateFormat=P","Fill=—","Direction=H","UseDPDF=Y")</f>
        <v>#NAME?</v>
      </c>
      <c r="L586" t="e">
        <f ca="1">_xll.BDH($C$578,"INCREMENTAL_OPERATING_MARGIN","FQ3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86" t="e">
        <f ca="1">_xll.BDH($C$578,"PRETAX_INC_TO_NET_SALES","FQ3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86" t="e">
        <f ca="1">_xll.BDH($C$578,"INC_BEF_XO_ITEMS_TO_NET_SALES","FQ3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86" t="e">
        <f ca="1">_xll.BDH($C$578,"PROF_MARGIN","FQ3 2015","FQ3 2015","Currency=INR","Period=FQ","BEST_FPERIOD_OVERRIDE=FQ","FILING_STATUS=OR","EQY_CONSOLIDATED=Y","FA_ADJUSTED=GAAP","Sort=A","Dates=H","DateFormat=P","Fill=—","Direction=H","UseDPDF=Y")</f>
        <v>#NAME?</v>
      </c>
      <c r="P586" t="e">
        <f ca="1">_xll.BDH($C$578,"NET_INCOME_TO_COMMON_MARGIN","FQ3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86" t="e">
        <f ca="1">_xll.BDH($C$578,"EFF_TAX_RATE","FQ3 2015","FQ3 2015","Currency=INR","Period=FQ","BEST_FPERIOD_OVERRIDE=FQ","FILING_STATUS=OR","EQY_CONSOLIDATED=Y","FA_ADJUSTED=GAAP","Sort=A","Dates=H","DateFormat=P","Fill=—","Direction=H","UseDPDF=Y")</f>
        <v>#NAME?</v>
      </c>
      <c r="R586" t="e">
        <f ca="1">_xll.BDH($C$578,"DVD_PAYOUT_RATIO","FQ3 2015","FQ3 2015","Currency=INR","Period=FQ","BEST_FPERIOD_OVERRIDE=FQ","FILING_STATUS=OR","EQY_CONSOLIDATED=Y","FA_ADJUSTED=GAAP","Sort=A","Dates=H","DateFormat=P","Fill=—","Direction=H","UseDPDF=Y")</f>
        <v>#NAME?</v>
      </c>
      <c r="S586" t="e">
        <f ca="1">_xll.BDH($C$578,"SUSTAIN_GROWTH_RT","FQ3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586" s="1" t="e">
        <f ca="1">_xll.BDH($C$578,"SALES_GROWTH","FQ3 2015","FQ3 2015","Currency=INR","Period=FQ","BEST_FPERIOD_OVERRIDE=FQ","FILING_STATUS=OR","EQY_CONSOLIDATED=Y","FA_ADJUSTED=GAAP","Sort=A","Dates=H","DateFormat=P","Fill=—","Direction=H","UseDPDF=Y")</f>
        <v>#NAME?</v>
      </c>
      <c r="U586" s="1" t="e">
        <f ca="1">_xll.BDH($C$578,"EBITDA_GROWTH","FQ3 2015","FQ3 2015","Currency=INR","Period=FQ","BEST_FPERIOD_OVERRIDE=FQ","FILING_STATUS=OR","EQY_CONSOLIDATED=Y","FA_ADJUSTED=GAAP","Sort=A","Dates=H","DateFormat=P","Fill=—","Direction=H","UseDPDF=Y")</f>
        <v>#NAME?</v>
      </c>
      <c r="V586" s="1" t="e">
        <f ca="1">_xll.BDH($C$578,"OPER_INC_GROWTH","FQ3 2015","FQ3 2015","Currency=INR","Period=FQ","BEST_FPERIOD_OVERRIDE=FQ","FILING_STATUS=OR","EQY_CONSOLIDATED=Y","FA_ADJUSTED=GAAP","Sort=A","Dates=H","DateFormat=P","Fill=—","Direction=H","UseDPDF=Y")</f>
        <v>#NAME?</v>
      </c>
      <c r="W586" s="1" t="e">
        <f ca="1">_xll.BDH($C$578,"EARN_FOR_COM_GROWTH","FQ3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86" s="1" t="e">
        <f ca="1">_xll.BDH($C$578,"DILUTED_EPS_AFT_XO_ITEMS_GROWTH","FQ3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86" s="1" t="e">
        <f ca="1">_xll.BDH($C$578,"DIVIDEND_PER_SHARE_1_YEAR_GROWTH","FQ3 2015","FQ3 2015","Currency=INR","Period=FQ","BEST_FPERIOD_OVERRIDE=FQ","FILING_STATUS=OR","EQY_CONSOLIDATED=Y","Sort=A","Dates=H","DateFormat=P","Fill=—","Direction=H","UseDPDF=Y")</f>
        <v>#NAME?</v>
      </c>
      <c r="Z586" s="1" t="e">
        <f ca="1">_xll.BDH($C$578,"ACCOUNTS_RECEIVABLE_GROWTH","FQ3 2015","FQ3 2015","Currency=INR","Period=FQ","BEST_FPERIOD_OVERRIDE=FQ","FILING_STATUS=OR","EQY_CONSOLIDATED=Y","Sort=A","Dates=H","DateFormat=P","Fill=—","Direction=H","UseDPDF=Y")</f>
        <v>#NAME?</v>
      </c>
      <c r="AA586" s="1" t="e">
        <f ca="1">_xll.BDH($C$578,"INVENTORY_GROWTH","FQ3 2015","FQ3 2015","Currency=INR","Period=FQ","BEST_FPERIOD_OVERRIDE=FQ","FILING_STATUS=OR","EQY_CONSOLIDATED=Y","Sort=A","Dates=H","DateFormat=P","Fill=—","Direction=H","UseDPDF=Y")</f>
        <v>#NAME?</v>
      </c>
      <c r="AB586" s="1" t="e">
        <f ca="1">_xll.BDH($C$578,"NET_FIXED_ASSETS_1_YEAR_GROWTH","FQ3 2015","FQ3 2015","Currency=INR","Period=FQ","BEST_FPERIOD_OVERRIDE=FQ","FILING_STATUS=OR","EQY_CONSOLIDATED=Y","Sort=A","Dates=H","DateFormat=P","Fill=—","Direction=H","UseDPDF=Y")</f>
        <v>#NAME?</v>
      </c>
      <c r="AC586" s="1" t="e">
        <f ca="1">_xll.BDH($C$578,"ASSET_GROWTH","FQ3 2015","FQ3 2015","Currency=INR","Period=FQ","BEST_FPERIOD_OVERRIDE=FQ","FILING_STATUS=OR","EQY_CONSOLIDATED=Y","Sort=A","Dates=H","DateFormat=P","Fill=—","Direction=H","UseDPDF=Y")</f>
        <v>#NAME?</v>
      </c>
      <c r="AD586" s="1" t="e">
        <f ca="1">_xll.BDH($C$578,"MODIFIED_WORK_CAP_GROWTH","FQ3 2015","FQ3 2015","Currency=INR","Period=FQ","BEST_FPERIOD_OVERRIDE=FQ","FILING_STATUS=OR","EQY_CONSOLIDATED=Y","Sort=A","Dates=H","DateFormat=P","Fill=—","Direction=H","UseDPDF=Y")</f>
        <v>#NAME?</v>
      </c>
      <c r="AE586" s="1" t="e">
        <f ca="1">_xll.BDH($C$578,"WORK_CAP_GROWTH","FQ3 2015","FQ3 2015","Currency=INR","Period=FQ","BEST_FPERIOD_OVERRIDE=FQ","FILING_STATUS=OR","EQY_CONSOLIDATED=Y","Sort=A","Dates=H","DateFormat=P","Fill=—","Direction=H","UseDPDF=Y")</f>
        <v>#NAME?</v>
      </c>
      <c r="AF586" s="1" t="e">
        <f ca="1">_xll.BDH($C$578,"ACCOUNTS_PAYABLE_GROWTH_1YR","FQ3 2015","FQ3 2015","Currency=INR","Period=FQ","BEST_FPERIOD_OVERRIDE=FQ","FILING_STATUS=OR","EQY_CONSOLIDATED=Y","Sort=A","Dates=H","DateFormat=P","Fill=—","Direction=H","UseDPDF=Y")</f>
        <v>#NAME?</v>
      </c>
      <c r="AG586" s="1" t="e">
        <f ca="1">_xll.BDH($C$578,"SHORT_TERM_DEBT_1_YEAR_GROWTH","FQ3 2015","FQ3 2015","Currency=INR","Period=FQ","BEST_FPERIOD_OVERRIDE=FQ","FILING_STATUS=OR","EQY_CONSOLIDATED=Y","Sort=A","Dates=H","DateFormat=P","Fill=—","Direction=H","UseDPDF=Y")</f>
        <v>#NAME?</v>
      </c>
      <c r="AH586" s="1" t="e">
        <f ca="1">_xll.BDH($C$578,"TOTAL_DEBT_1_YEAR_GROWTH","FQ3 2015","FQ3 2015","Currency=INR","Period=FQ","BEST_FPERIOD_OVERRIDE=FQ","FILING_STATUS=OR","EQY_CONSOLIDATED=Y","Sort=A","Dates=H","DateFormat=P","Fill=—","Direction=H","UseDPDF=Y")</f>
        <v>#NAME?</v>
      </c>
      <c r="AI586" s="1" t="e">
        <f ca="1">_xll.BDH($C$578,"TOTAL_EQUITY_1_YEAR_GROWTH","FQ3 2015","FQ3 2015","Currency=INR","Period=FQ","BEST_FPERIOD_OVERRIDE=FQ","FILING_STATUS=OR","EQY_CONSOLIDATED=Y","Sort=A","Dates=H","DateFormat=P","Fill=—","Direction=H","UseDPDF=Y")</f>
        <v>#NAME?</v>
      </c>
      <c r="AJ586" s="1" t="e">
        <f ca="1">_xll.BDH($C$578,"GROWTH_IN_CAP","FQ3 2015","FQ3 2015","Currency=INR","Period=FQ","BEST_FPERIOD_OVERRIDE=FQ","FILING_STATUS=OR","EQY_CONSOLIDATED=Y","Sort=A","Dates=H","DateFormat=P","Fill=—","Direction=H","UseDPDF=Y")</f>
        <v>#NAME?</v>
      </c>
      <c r="AK586" s="1" t="e">
        <f ca="1">_xll.BDH($C$578,"BVPS_GROWTH","FQ3 2015","FQ3 2015","Currency=INR","Period=FQ","BEST_FPERIOD_OVERRIDE=FQ","FILING_STATUS=OR","EQY_CONSOLIDATED=Y","Sort=A","Dates=H","DateFormat=P","Fill=—","Direction=H","UseDPDF=Y")</f>
        <v>#NAME?</v>
      </c>
      <c r="AL586" s="1" t="e">
        <f ca="1">_xll.BDH($C$578,"CASH_FLOW_GROWTH","FQ3 2015","FQ3 2015","Currency=INR","Period=FQ","BEST_FPERIOD_OVERRIDE=FQ","FILING_STATUS=OR","EQY_CONSOLIDATED=Y","Sort=A","Dates=H","DateFormat=P","Fill=—","Direction=H","UseDPDF=Y")</f>
        <v>#NAME?</v>
      </c>
      <c r="AM586" s="1" t="e">
        <f ca="1">_xll.BDH($C$578,"GEO_GROW_NET_SALES","FQ3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86" s="1" t="e">
        <f ca="1">_xll.BDH($C$578,"GEO_GROW_EBITDA","FQ3 2015","FQ3 2015","Currency=INR","Period=FQ","BEST_FPERIOD_OVERRIDE=FQ","FILING_STATUS=OR","EQY_CONSOLIDATED=Y","FA_ADJUSTED=GAAP","Sort=A","Dates=H","DateFormat=P","Fill=—","Direction=H","UseDPDF=Y")</f>
        <v>#NAME?</v>
      </c>
      <c r="AO586" s="1" t="e">
        <f ca="1">_xll.BDH($C$578,"GEO_GROW_OPER_INC","FQ3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86" s="1" t="e">
        <f ca="1">_xll.BDH($C$578,"NET_INCOME_TO_COMMON_5_YR_GROWTH","FQ3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86" s="1" t="e">
        <f ca="1">_xll.BDH($C$578,"5Y_GEO_GROWTH_DILUTED_EPS","FQ3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86" s="1" t="e">
        <f ca="1">_xll.BDH($C$578,"GEO_GROW_DVD_PER_SH","FQ3 2015","FQ3 2015","Currency=INR","Period=FQ","BEST_FPERIOD_OVERRIDE=FQ","FILING_STATUS=OR","EQY_CONSOLIDATED=Y","Sort=A","Dates=H","DateFormat=P","Fill=—","Direction=H","UseDPDF=Y")</f>
        <v>#NAME?</v>
      </c>
      <c r="AS586" s="1" t="e">
        <f ca="1">_xll.BDH($C$578,"ACCOUNTS_RECEIVABLE_5_YR_GROWTH","FQ3 2015","FQ3 2015","Currency=INR","Period=FQ","BEST_FPERIOD_OVERRIDE=FQ","FILING_STATUS=OR","EQY_CONSOLIDATED=Y","Sort=A","Dates=H","DateFormat=P","Fill=—","Direction=H","UseDPDF=Y")</f>
        <v>#NAME?</v>
      </c>
      <c r="AT586" s="1" t="e">
        <f ca="1">_xll.BDH($C$578,"INVENTORY_5_YEAR_GROWTH","FQ3 2015","FQ3 2015","Currency=INR","Period=FQ","BEST_FPERIOD_OVERRIDE=FQ","FILING_STATUS=OR","EQY_CONSOLIDATED=Y","Sort=A","Dates=H","DateFormat=P","Fill=—","Direction=H","UseDPDF=Y")</f>
        <v>#NAME?</v>
      </c>
      <c r="AU586" s="1" t="e">
        <f ca="1">_xll.BDH($C$578,"NET_FIXED_ASSETS_5_YEAR_GROWTH","FQ3 2015","FQ3 2015","Currency=INR","Period=FQ","BEST_FPERIOD_OVERRIDE=FQ","FILING_STATUS=OR","EQY_CONSOLIDATED=Y","Sort=A","Dates=H","DateFormat=P","Fill=—","Direction=H","UseDPDF=Y")</f>
        <v>#NAME?</v>
      </c>
      <c r="AV586" s="1" t="e">
        <f ca="1">_xll.BDH($C$578,"GEO_GROW_TOT_ASSET","FQ3 2015","FQ3 2015","Currency=INR","Period=FQ","BEST_FPERIOD_OVERRIDE=FQ","FILING_STATUS=OR","EQY_CONSOLIDATED=Y","Sort=A","Dates=H","DateFormat=P","Fill=—","Direction=H","UseDPDF=Y")</f>
        <v>#NAME?</v>
      </c>
      <c r="AW586" s="1" t="e">
        <f ca="1">_xll.BDH($C$578,"MODIFIED_WORKING_CPTL_5YR_GRWTH","FQ3 2015","FQ3 2015","Currency=INR","Period=FQ","BEST_FPERIOD_OVERRIDE=FQ","FILING_STATUS=OR","EQY_CONSOLIDATED=Y","Sort=A","Dates=H","DateFormat=P","Fill=—","Direction=H","UseDPDF=Y")</f>
        <v>#NAME?</v>
      </c>
      <c r="AX586" s="1" t="e">
        <f ca="1">_xll.BDH($C$578,"WORKING_CAPITAL_5_YEAR_GROWTH","FQ3 2015","FQ3 2015","Currency=INR","Period=FQ","BEST_FPERIOD_OVERRIDE=FQ","FILING_STATUS=OR","EQY_CONSOLIDATED=Y","Sort=A","Dates=H","DateFormat=P","Fill=—","Direction=H","UseDPDF=Y")</f>
        <v>#NAME?</v>
      </c>
      <c r="AY586" s="1" t="e">
        <f ca="1">_xll.BDH($C$578,"ACCOUNTS_PAYABLE_5_YEAR_GROWTH","FQ3 2015","FQ3 2015","Currency=INR","Period=FQ","BEST_FPERIOD_OVERRIDE=FQ","FILING_STATUS=OR","EQY_CONSOLIDATED=Y","Sort=A","Dates=H","DateFormat=P","Fill=—","Direction=H","UseDPDF=Y")</f>
        <v>#NAME?</v>
      </c>
      <c r="AZ586" s="1" t="e">
        <f ca="1">_xll.BDH($C$578,"SHORT_TERM_DEBT_5_YEAR_GROWTH","FQ3 2015","FQ3 2015","Currency=INR","Period=FQ","BEST_FPERIOD_OVERRIDE=FQ","FILING_STATUS=OR","EQY_CONSOLIDATED=Y","Sort=A","Dates=H","DateFormat=P","Fill=—","Direction=H","UseDPDF=Y")</f>
        <v>#NAME?</v>
      </c>
      <c r="BA586" s="1" t="e">
        <f ca="1">_xll.BDH($C$578,"TOTAL_DEBT_5_YEAR_GROWTH","FQ3 2015","FQ3 2015","Currency=INR","Period=FQ","BEST_FPERIOD_OVERRIDE=FQ","FILING_STATUS=OR","EQY_CONSOLIDATED=Y","Sort=A","Dates=H","DateFormat=P","Fill=—","Direction=H","UseDPDF=Y")</f>
        <v>#NAME?</v>
      </c>
      <c r="BB586" s="1" t="e">
        <f ca="1">_xll.BDH($C$578,"GEO_GROW_TOT_SHRHLDR_EQY","FQ3 2015","FQ3 2015","Currency=INR","Period=FQ","BEST_FPERIOD_OVERRIDE=FQ","FILING_STATUS=OR","EQY_CONSOLIDATED=Y","Sort=A","Dates=H","DateFormat=P","Fill=—","Direction=H","UseDPDF=Y")</f>
        <v>#NAME?</v>
      </c>
      <c r="BC586" s="1" t="e">
        <f ca="1">_xll.BDH($C$578,"TOTAL_CAPITAL_5_YEAR_GROWTH","FQ3 2015","FQ3 2015","Currency=INR","Period=FQ","BEST_FPERIOD_OVERRIDE=FQ","FILING_STATUS=OR","EQY_CONSOLIDATED=Y","Sort=A","Dates=H","DateFormat=P","Fill=—","Direction=H","UseDPDF=Y")</f>
        <v>#NAME?</v>
      </c>
      <c r="BD586" s="1" t="e">
        <f ca="1">_xll.BDH($C$578,"GEO_GROW_BOOK_VAL","FQ3 2015","FQ3 2015","Currency=INR","Period=FQ","BEST_FPERIOD_OVERRIDE=FQ","FILING_STATUS=OR","EQY_CONSOLIDATED=Y","Sort=A","Dates=H","DateFormat=P","Fill=—","Direction=H","UseDPDF=Y")</f>
        <v>#NAME?</v>
      </c>
      <c r="BE586" s="1" t="e">
        <f ca="1">_xll.BDH($C$578,"GEO_GROW_CASH_OPER_ACT","FQ3 2015","FQ3 2015","Currency=INR","Period=FQ","BEST_FPERIOD_OVERRIDE=FQ","FILING_STATUS=OR","EQY_CONSOLIDATED=Y","Sort=A","Dates=H","DateFormat=P","Fill=—","Direction=H","UseDPDF=Y")</f>
        <v>#NAME?</v>
      </c>
      <c r="BF586" s="1" t="e">
        <f ca="1">_xll.BDH($C$578,"REVENUE_SEQUENTIAL_GROWTH","FQ3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86" s="1" t="e">
        <f ca="1">_xll.BDH($C$578,"EBITDA_SEQUENTIAL_GROWTH","FQ3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86" s="1" t="e">
        <f ca="1">_xll.BDH($C$578,"OPERATING_INCOME_SEQ_GROWTH","FQ3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86" s="1" t="e">
        <f ca="1">_xll.BDH($C$578,"NET_INCOME_TO_COMMON_SEQ_GROWTH","FQ3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86" s="1" t="e">
        <f ca="1">_xll.BDH($C$578,"EPS_DILUTED_SEQUENTIAL_GROWTH","FQ3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86" s="1" t="e">
        <f ca="1">_xll.BDH($C$578,"DPS_SEQUENTIAL_GROWTH","FQ3 2015","FQ3 2015","Currency=INR","Period=FQ","BEST_FPERIOD_OVERRIDE=FQ","FILING_STATUS=OR","EQY_CONSOLIDATED=Y","Sort=A","Dates=H","DateFormat=P","Fill=—","Direction=H","UseDPDF=Y")</f>
        <v>#NAME?</v>
      </c>
      <c r="BL586" s="1" t="e">
        <f ca="1">_xll.BDH($C$578,"ACCOUNTS_RECEIVABLE_SEQ_GROWTH","FQ3 2015","FQ3 2015","Currency=INR","Period=FQ","BEST_FPERIOD_OVERRIDE=FQ","FILING_STATUS=OR","EQY_CONSOLIDATED=Y","Sort=A","Dates=H","DateFormat=P","Fill=—","Direction=H","UseDPDF=Y")</f>
        <v>#NAME?</v>
      </c>
      <c r="BM586" s="1" t="e">
        <f ca="1">_xll.BDH($C$578,"INVENTORY_SEQUENTIAL_GROWTH","FQ3 2015","FQ3 2015","Currency=INR","Period=FQ","BEST_FPERIOD_OVERRIDE=FQ","FILING_STATUS=OR","EQY_CONSOLIDATED=Y","Sort=A","Dates=H","DateFormat=P","Fill=—","Direction=H","UseDPDF=Y")</f>
        <v>#NAME?</v>
      </c>
      <c r="BN586" s="1" t="e">
        <f ca="1">_xll.BDH($C$578,"FIXED_ASSETS_SEQUENTIAL_GROWTH","FQ3 2015","FQ3 2015","Currency=INR","Period=FQ","BEST_FPERIOD_OVERRIDE=FQ","FILING_STATUS=OR","EQY_CONSOLIDATED=Y","Sort=A","Dates=H","DateFormat=P","Fill=—","Direction=H","UseDPDF=Y")</f>
        <v>#NAME?</v>
      </c>
      <c r="BO586" s="1" t="e">
        <f ca="1">_xll.BDH($C$578,"TOTAL_ASSETS_SEQUENTIAL_GROWTH","FQ3 2015","FQ3 2015","Currency=INR","Period=FQ","BEST_FPERIOD_OVERRIDE=FQ","FILING_STATUS=OR","EQY_CONSOLIDATED=Y","Sort=A","Dates=H","DateFormat=P","Fill=—","Direction=H","UseDPDF=Y")</f>
        <v>#NAME?</v>
      </c>
      <c r="BP586" s="1" t="e">
        <f ca="1">_xll.BDH($C$578,"MODIFIED_WORKING_CPTL_SEQ_GRWTH","FQ3 2015","FQ3 2015","Currency=INR","Period=FQ","BEST_FPERIOD_OVERRIDE=FQ","FILING_STATUS=OR","EQY_CONSOLIDATED=Y","Sort=A","Dates=H","DateFormat=P","Fill=—","Direction=H","UseDPDF=Y")</f>
        <v>#NAME?</v>
      </c>
      <c r="BQ586" s="1" t="e">
        <f ca="1">_xll.BDH($C$578,"WORKING_CAPITAL_SEQ_GROWTH","FQ3 2015","FQ3 2015","Currency=INR","Period=FQ","BEST_FPERIOD_OVERRIDE=FQ","FILING_STATUS=OR","EQY_CONSOLIDATED=Y","Sort=A","Dates=H","DateFormat=P","Fill=—","Direction=H","UseDPDF=Y")</f>
        <v>#NAME?</v>
      </c>
      <c r="BR586" s="1" t="e">
        <f ca="1">_xll.BDH($C$578,"ACCOUNTS_PAYABLE_SEQ_GROWTH","FQ3 2015","FQ3 2015","Currency=INR","Period=FQ","BEST_FPERIOD_OVERRIDE=FQ","FILING_STATUS=OR","EQY_CONSOLIDATED=Y","Sort=A","Dates=H","DateFormat=P","Fill=—","Direction=H","UseDPDF=Y")</f>
        <v>#NAME?</v>
      </c>
      <c r="BS586" s="1" t="e">
        <f ca="1">_xll.BDH($C$578,"ST_DEBT_SEQUENTIAL_GROWTH","FQ3 2015","FQ3 2015","Currency=INR","Period=FQ","BEST_FPERIOD_OVERRIDE=FQ","FILING_STATUS=OR","EQY_CONSOLIDATED=Y","Sort=A","Dates=H","DateFormat=P","Fill=—","Direction=H","UseDPDF=Y")</f>
        <v>#NAME?</v>
      </c>
      <c r="BT586" s="1" t="e">
        <f ca="1">_xll.BDH($C$578,"TOTAL_DEBT_SEQUENTIAL_GROWTH","FQ3 2015","FQ3 2015","Currency=INR","Period=FQ","BEST_FPERIOD_OVERRIDE=FQ","FILING_STATUS=OR","EQY_CONSOLIDATED=Y","Sort=A","Dates=H","DateFormat=P","Fill=—","Direction=H","UseDPDF=Y")</f>
        <v>#NAME?</v>
      </c>
      <c r="BU586" s="1" t="e">
        <f ca="1">_xll.BDH($C$578,"TOTAL_EQUITY_SEQUENTIAL_GROWTH","FQ3 2015","FQ3 2015","Currency=INR","Period=FQ","BEST_FPERIOD_OVERRIDE=FQ","FILING_STATUS=OR","EQY_CONSOLIDATED=Y","Sort=A","Dates=H","DateFormat=P","Fill=—","Direction=H","UseDPDF=Y")</f>
        <v>#NAME?</v>
      </c>
      <c r="BV586" s="1" t="e">
        <f ca="1">_xll.BDH($C$578,"TOTAL_CAPITAL_SEQUENTIAL_GROWTH","FQ3 2015","FQ3 2015","Currency=INR","Period=FQ","BEST_FPERIOD_OVERRIDE=FQ","FILING_STATUS=OR","EQY_CONSOLIDATED=Y","Sort=A","Dates=H","DateFormat=P","Fill=—","Direction=H","UseDPDF=Y")</f>
        <v>#NAME?</v>
      </c>
      <c r="BW586" s="1" t="e">
        <f ca="1">_xll.BDH($C$578,"BPS_SEQUENTIAL_GROWTH","FQ3 2015","FQ3 2015","Currency=INR","Period=FQ","BEST_FPERIOD_OVERRIDE=FQ","FILING_STATUS=OR","EQY_CONSOLIDATED=Y","Sort=A","Dates=H","DateFormat=P","Fill=—","Direction=H","UseDPDF=Y")</f>
        <v>#NAME?</v>
      </c>
      <c r="BX586" s="1" t="e">
        <f ca="1">_xll.BDH($C$578,"CFO_SEQUENTIAL_GROWTH","FQ3 2015","FQ3 2015","Currency=INR","Period=FQ","BEST_FPERIOD_OVERRIDE=FQ","FILING_STATUS=OR","EQY_CONSOLIDATED=Y","Sort=A","Dates=H","DateFormat=P","Fill=—","Direction=H","UseDPDF=Y")</f>
        <v>#NAME?</v>
      </c>
      <c r="BY586" s="2" t="e">
        <f ca="1">_xll.BDH($C$578,"SHORT_AND_LONG_TERM_DEBT","FQ3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86" s="2" t="e">
        <f ca="1">_xll.BDH($C$578,"BS_ST_BORROW","FQ3 2015","FQ3 2015","Currency=INR","Period=FQ","BEST_FPERIOD_OVERRIDE=FQ","FILING_STATUS=OR","EQY_CONSOLIDATED=Y","SCALING_FORMAT=MLN","Sort=A","Dates=H","DateFormat=P","Fill=—","Direction=H","UseDPDF=Y")</f>
        <v>#NAME?</v>
      </c>
      <c r="CA586" s="2" t="e">
        <f ca="1">_xll.BDH($C$578,"BS_LT_BORROW","FQ3 2015","FQ3 2015","Currency=INR","Period=FQ","BEST_FPERIOD_OVERRIDE=FQ","FILING_STATUS=OR","EQY_CONSOLIDATED=Y","SCALING_FORMAT=MLN","Sort=A","Dates=H","DateFormat=P","Fill=—","Direction=H","UseDPDF=Y")</f>
        <v>#NAME?</v>
      </c>
      <c r="CB586" s="1" t="e">
        <f ca="1">_xll.BDH($C$578,"TOT_DEBT_TO_EBITDA","FQ3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86" s="1" t="e">
        <f ca="1">_xll.BDH($C$578,"NET_DEBT_TO_EBITDA","FQ3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86" s="1" t="e">
        <f ca="1">_xll.BDH($C$578,"TOTAL_DEBT_TO_EBIT","FQ3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86" s="1" t="e">
        <f ca="1">_xll.BDH($C$578,"NET_DEBT_TO_EBIT","FQ3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586" s="1" t="e">
        <f ca="1">_xll.BDH($C$578,"EBITDA_TO_INTEREST_EXPN","FQ3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86" s="1" t="e">
        <f ca="1">_xll.BDH($C$578,"COM_EQY_TO_TOT_ASSET","FQ3 2015","FQ3 2015","Currency=INR","Period=FQ","BEST_FPERIOD_OVERRIDE=FQ","FILING_STATUS=OR","EQY_CONSOLIDATED=Y","Sort=A","Dates=H","DateFormat=P","Fill=—","Direction=H","UseDPDF=Y")</f>
        <v>#NAME?</v>
      </c>
      <c r="CH586" s="1" t="e">
        <f ca="1">_xll.BDH($C$578,"LT_DEBT_TO_TOT_EQY","FQ3 2015","FQ3 2015","Currency=INR","Period=FQ","BEST_FPERIOD_OVERRIDE=FQ","FILING_STATUS=OR","EQY_CONSOLIDATED=Y","Sort=A","Dates=H","DateFormat=P","Fill=—","Direction=H","UseDPDF=Y")</f>
        <v>#NAME?</v>
      </c>
      <c r="CI586" s="1" t="e">
        <f ca="1">_xll.BDH($C$578,"LT_DEBT_TO_TOT_CAP","FQ3 2015","FQ3 2015","Currency=INR","Period=FQ","BEST_FPERIOD_OVERRIDE=FQ","FILING_STATUS=OR","EQY_CONSOLIDATED=Y","Sort=A","Dates=H","DateFormat=P","Fill=—","Direction=H","UseDPDF=Y")</f>
        <v>#NAME?</v>
      </c>
      <c r="CJ586" s="1" t="e">
        <f ca="1">_xll.BDH($C$578,"LT_DEBT_TO_TOT_ASSET","FQ3 2015","FQ3 2015","Currency=INR","Period=FQ","BEST_FPERIOD_OVERRIDE=FQ","FILING_STATUS=OR","EQY_CONSOLIDATED=Y","Sort=A","Dates=H","DateFormat=P","Fill=—","Direction=H","UseDPDF=Y")</f>
        <v>#NAME?</v>
      </c>
      <c r="CK586" s="1" t="e">
        <f ca="1">_xll.BDH($C$578,"TOT_DEBT_TO_TOT_EQY","FQ3 2015","FQ3 2015","Currency=INR","Period=FQ","BEST_FPERIOD_OVERRIDE=FQ","FILING_STATUS=OR","EQY_CONSOLIDATED=Y","Sort=A","Dates=H","DateFormat=P","Fill=—","Direction=H","UseDPDF=Y")</f>
        <v>#NAME?</v>
      </c>
      <c r="CL586" s="1" t="e">
        <f ca="1">_xll.BDH($C$578,"TOT_DEBT_TO_TOT_CAP","FQ3 2015","FQ3 2015","Currency=INR","Period=FQ","BEST_FPERIOD_OVERRIDE=FQ","FILING_STATUS=OR","EQY_CONSOLIDATED=Y","Sort=A","Dates=H","DateFormat=P","Fill=—","Direction=H","UseDPDF=Y")</f>
        <v>#NAME?</v>
      </c>
      <c r="CM586" s="1" t="e">
        <f ca="1">_xll.BDH($C$578,"TOT_DEBT_TO_TOT_ASSET","FQ3 2015","FQ3 2015","Currency=INR","Period=FQ","BEST_FPERIOD_OVERRIDE=FQ","FILING_STATUS=OR","EQY_CONSOLIDATED=Y","Sort=A","Dates=H","DateFormat=P","Fill=—","Direction=H","UseDPDF=Y")</f>
        <v>#NAME?</v>
      </c>
      <c r="CN586" s="1" t="e">
        <f ca="1">_xll.BDH($C$578,"NET_DEBT_TO_SHRHLDR_EQTY","FQ3 2015","FQ3 2015","Currency=INR","Period=FQ","BEST_FPERIOD_OVERRIDE=FQ","FILING_STATUS=OR","EQY_CONSOLIDATED=Y","Sort=A","Dates=H","DateFormat=P","Fill=—","Direction=H","UseDPDF=Y")</f>
        <v>#NAME?</v>
      </c>
      <c r="CO586" s="1" t="e">
        <f ca="1">_xll.BDH($C$578,"NET_DEBT_%_CAPITAL","FQ3 2015","FQ3 2015","Currency=INR","Period=FQ","BEST_FPERIOD_OVERRIDE=FQ","FILING_STATUS=OR","EQY_CONSOLIDATED=Y","Sort=A","Dates=H","DateFormat=P","Fill=—","Direction=H","UseDPDF=Y")</f>
        <v>#NAME?</v>
      </c>
      <c r="CP586" s="2" t="e">
        <f ca="1">_xll.BDH($C$578,"EBITDA","FQ3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86" s="2" t="e">
        <f ca="1">_xll.BDH($C$578,"EBITDA_AFTER_CAPEX","FQ3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86" s="2" t="e">
        <f ca="1">_xll.BDH($C$578,"IS_OPER_INC","FQ3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86" s="1" t="e">
        <f ca="1">_xll.BDH($C$578,"CASH_RATIO","FQ3 2015","FQ3 2015","Currency=INR","Period=FQ","BEST_FPERIOD_OVERRIDE=FQ","FILING_STATUS=OR","EQY_CONSOLIDATED=Y","Sort=A","Dates=H","DateFormat=P","Fill=—","Direction=H","UseDPDF=Y")</f>
        <v>#NAME?</v>
      </c>
      <c r="CT586" s="1" t="e">
        <f ca="1">_xll.BDH($C$578,"CUR_RATIO","FQ3 2015","FQ3 2015","Currency=INR","Period=FQ","BEST_FPERIOD_OVERRIDE=FQ","FILING_STATUS=OR","EQY_CONSOLIDATED=Y","Sort=A","Dates=H","DateFormat=P","Fill=—","Direction=H","UseDPDF=Y")</f>
        <v>#NAME?</v>
      </c>
      <c r="CU586" s="1" t="e">
        <f ca="1">_xll.BDH($C$578,"QUICK_RATIO","FQ3 2015","FQ3 2015","Currency=INR","Period=FQ","BEST_FPERIOD_OVERRIDE=FQ","FILING_STATUS=OR","EQY_CONSOLIDATED=Y","Sort=A","Dates=H","DateFormat=P","Fill=—","Direction=H","UseDPDF=Y")</f>
        <v>#NAME?</v>
      </c>
      <c r="CV586" s="1" t="e">
        <f ca="1">_xll.BDH($C$578,"ALTMAN_Z_SCORE","FQ3 2015","FQ3 2015","Currency=INR","Period=FQ","BEST_FPERIOD_OVERRIDE=FQ","FILING_STATUS=OR","EQY_CONSOLIDATED=Y","Sort=A","Dates=H","DateFormat=P","Fill=—","Direction=H","UseDPDF=Y")</f>
        <v>#NAME?</v>
      </c>
      <c r="CW586" s="3" t="e">
        <f ca="1">_xll.BDH($C$578,"ACCT_RCV_TURN","FQ3 2015","FQ3 2015","Currency=INR","Period=FQ","BEST_FPERIOD_OVERRIDE=FQ","FILING_STATUS=OR","EQY_CONSOLIDATED=Y","FA_ADJUSTED=GAAP","Sort=A","Dates=H","DateFormat=P","Fill=—","Direction=H","UseDPDF=Y")</f>
        <v>#NAME?</v>
      </c>
      <c r="CX586" s="1" t="e">
        <f ca="1">_xll.BDH($C$578,"ACCT_RCV_DAYS","FQ3 2015","FQ3 2015","Currency=INR","Period=FQ","BEST_FPERIOD_OVERRIDE=FQ","FILING_STATUS=OR","EQY_CONSOLIDATED=Y","FA_ADJUSTED=GAAP","Sort=A","Dates=H","DateFormat=P","Fill=—","Direction=H","UseDPDF=Y")</f>
        <v>#NAME?</v>
      </c>
      <c r="CY586" s="3" t="e">
        <f ca="1">_xll.BDH($C$578,"INVENT_TURN","FQ3 2015","FQ3 2015","Currency=INR","Period=FQ","BEST_FPERIOD_OVERRIDE=FQ","FILING_STATUS=OR","EQY_CONSOLIDATED=Y","FA_ADJUSTED=GAAP","Sort=A","Dates=H","DateFormat=P","Fill=—","Direction=H","UseDPDF=Y")</f>
        <v>#NAME?</v>
      </c>
      <c r="CZ586" s="1" t="e">
        <f ca="1">_xll.BDH($C$578,"INVENT_DAYS","FQ3 2015","FQ3 2015","Currency=INR","Period=FQ","BEST_FPERIOD_OVERRIDE=FQ","FILING_STATUS=OR","EQY_CONSOLIDATED=Y","FA_ADJUSTED=GAAP","Sort=A","Dates=H","DateFormat=P","Fill=—","Direction=H","UseDPDF=Y")</f>
        <v>#NAME?</v>
      </c>
      <c r="DA586" s="3" t="e">
        <f ca="1">_xll.BDH($C$578,"ACCOUNTS_PAYABLE_TURNOVER","FQ3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86" s="1" t="e">
        <f ca="1">_xll.BDH($C$578,"ACCOUNTS_PAYABLE_TURNOVER_DAYS","FQ3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86" s="3" t="e">
        <f ca="1">_xll.BDH($C$578,"CASH_CONVERSION_CYCLE","FQ3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86" s="3" t="e">
        <f ca="1">_xll.BDH($C$578,"INV_TO_CASH_DAYS","FQ3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586" s="4" t="e">
        <f ca="1">_xll.BDH($C$578,"BS_INVENTORIES","FQ3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586" s="2" t="e">
        <f ca="1">_xll.BDH($C$578,"INVTRY_RAW_MATERIALS","FQ3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86" s="2" t="e">
        <f ca="1">_xll.BDH($C$578,"INVTRY_IN_PROGRESS","FQ3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86" s="2" t="e">
        <f ca="1">_xll.BDH($C$578,"INVTRY_FINISHED_GOODS","FQ3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86" s="2" t="e">
        <f ca="1">_xll.BDH($C$578,"BS_OTHER_INV","FQ3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87" spans="1:113" x14ac:dyDescent="0.3">
      <c r="A587" s="6"/>
      <c r="B587" s="6"/>
      <c r="C587" s="6"/>
      <c r="D587" s="6"/>
      <c r="E587" t="s">
        <v>7</v>
      </c>
      <c r="F587" t="e">
        <f ca="1">_xll.BDH($C$578,"RETURN_COM_EQY","FQ4 2015","FQ4 2015","Currency=INR","Period=FQ","BEST_FPERIOD_OVERRIDE=FQ","FILING_STATUS=OR","EQY_CONSOLIDATED=Y","FA_ADJUSTED=GAAP","Sort=A","Dates=H","DateFormat=P","Fill=—","Direction=H","UseDPDF=Y")</f>
        <v>#NAME?</v>
      </c>
      <c r="G587" t="e">
        <f ca="1">_xll.BDH($C$578,"RETURN_ON_ASSET","FQ4 2015","FQ4 2015","Currency=INR","Period=FQ","BEST_FPERIOD_OVERRIDE=FQ","FILING_STATUS=OR","EQY_CONSOLIDATED=Y","FA_ADJUSTED=GAAP","Sort=A","Dates=H","DateFormat=P","Fill=—","Direction=H","UseDPDF=Y")</f>
        <v>#NAME?</v>
      </c>
      <c r="H587" t="e">
        <f ca="1">_xll.BDH($C$578,"RETURN_ON_CAP","FQ4 2015","FQ4 2015","Currency=INR","Period=FQ","BEST_FPERIOD_OVERRIDE=FQ","FILING_STATUS=OR","EQY_CONSOLIDATED=Y","FA_ADJUSTED=GAAP","Sort=A","Dates=H","DateFormat=P","Fill=—","Direction=H","UseDPDF=Y")</f>
        <v>#NAME?</v>
      </c>
      <c r="I587" t="e">
        <f ca="1">_xll.BDH($C$578,"RETURN_ON_INV_CAPITAL","FQ4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87" t="e">
        <f ca="1">_xll.BDH($C$578,"EBITDA_TO_REVENUE","FQ4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587" t="e">
        <f ca="1">_xll.BDH($C$578,"OPER_MARGIN","FQ4 2015","FQ4 2015","Currency=INR","Period=FQ","BEST_FPERIOD_OVERRIDE=FQ","FILING_STATUS=OR","EQY_CONSOLIDATED=Y","FA_ADJUSTED=GAAP","Sort=A","Dates=H","DateFormat=P","Fill=—","Direction=H","UseDPDF=Y")</f>
        <v>#NAME?</v>
      </c>
      <c r="L587" t="e">
        <f ca="1">_xll.BDH($C$578,"INCREMENTAL_OPERATING_MARGIN","FQ4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87" t="e">
        <f ca="1">_xll.BDH($C$578,"PRETAX_INC_TO_NET_SALES","FQ4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87" t="e">
        <f ca="1">_xll.BDH($C$578,"INC_BEF_XO_ITEMS_TO_NET_SALES","FQ4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87" t="e">
        <f ca="1">_xll.BDH($C$578,"PROF_MARGIN","FQ4 2015","FQ4 2015","Currency=INR","Period=FQ","BEST_FPERIOD_OVERRIDE=FQ","FILING_STATUS=OR","EQY_CONSOLIDATED=Y","FA_ADJUSTED=GAAP","Sort=A","Dates=H","DateFormat=P","Fill=—","Direction=H","UseDPDF=Y")</f>
        <v>#NAME?</v>
      </c>
      <c r="P587" t="e">
        <f ca="1">_xll.BDH($C$578,"NET_INCOME_TO_COMMON_MARGIN","FQ4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87" t="e">
        <f ca="1">_xll.BDH($C$578,"EFF_TAX_RATE","FQ4 2015","FQ4 2015","Currency=INR","Period=FQ","BEST_FPERIOD_OVERRIDE=FQ","FILING_STATUS=OR","EQY_CONSOLIDATED=Y","FA_ADJUSTED=GAAP","Sort=A","Dates=H","DateFormat=P","Fill=—","Direction=H","UseDPDF=Y")</f>
        <v>#NAME?</v>
      </c>
      <c r="R587" t="e">
        <f ca="1">_xll.BDH($C$578,"DVD_PAYOUT_RATIO","FQ4 2015","FQ4 2015","Currency=INR","Period=FQ","BEST_FPERIOD_OVERRIDE=FQ","FILING_STATUS=OR","EQY_CONSOLIDATED=Y","FA_ADJUSTED=GAAP","Sort=A","Dates=H","DateFormat=P","Fill=—","Direction=H","UseDPDF=Y")</f>
        <v>#NAME?</v>
      </c>
      <c r="S587" t="e">
        <f ca="1">_xll.BDH($C$578,"SUSTAIN_GROWTH_RT","FQ4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587" s="1" t="e">
        <f ca="1">_xll.BDH($C$578,"SALES_GROWTH","FQ4 2015","FQ4 2015","Currency=INR","Period=FQ","BEST_FPERIOD_OVERRIDE=FQ","FILING_STATUS=OR","EQY_CONSOLIDATED=Y","FA_ADJUSTED=GAAP","Sort=A","Dates=H","DateFormat=P","Fill=—","Direction=H","UseDPDF=Y")</f>
        <v>#NAME?</v>
      </c>
      <c r="U587" s="1" t="e">
        <f ca="1">_xll.BDH($C$578,"EBITDA_GROWTH","FQ4 2015","FQ4 2015","Currency=INR","Period=FQ","BEST_FPERIOD_OVERRIDE=FQ","FILING_STATUS=OR","EQY_CONSOLIDATED=Y","FA_ADJUSTED=GAAP","Sort=A","Dates=H","DateFormat=P","Fill=—","Direction=H","UseDPDF=Y")</f>
        <v>#NAME?</v>
      </c>
      <c r="V587" s="1" t="e">
        <f ca="1">_xll.BDH($C$578,"OPER_INC_GROWTH","FQ4 2015","FQ4 2015","Currency=INR","Period=FQ","BEST_FPERIOD_OVERRIDE=FQ","FILING_STATUS=OR","EQY_CONSOLIDATED=Y","FA_ADJUSTED=GAAP","Sort=A","Dates=H","DateFormat=P","Fill=—","Direction=H","UseDPDF=Y")</f>
        <v>#NAME?</v>
      </c>
      <c r="W587" s="1" t="e">
        <f ca="1">_xll.BDH($C$578,"EARN_FOR_COM_GROWTH","FQ4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87" s="1" t="e">
        <f ca="1">_xll.BDH($C$578,"DILUTED_EPS_AFT_XO_ITEMS_GROWTH","FQ4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87" s="1" t="e">
        <f ca="1">_xll.BDH($C$578,"DIVIDEND_PER_SHARE_1_YEAR_GROWTH","FQ4 2015","FQ4 2015","Currency=INR","Period=FQ","BEST_FPERIOD_OVERRIDE=FQ","FILING_STATUS=OR","EQY_CONSOLIDATED=Y","Sort=A","Dates=H","DateFormat=P","Fill=—","Direction=H","UseDPDF=Y")</f>
        <v>#NAME?</v>
      </c>
      <c r="Z587" s="1" t="e">
        <f ca="1">_xll.BDH($C$578,"ACCOUNTS_RECEIVABLE_GROWTH","FQ4 2015","FQ4 2015","Currency=INR","Period=FQ","BEST_FPERIOD_OVERRIDE=FQ","FILING_STATUS=OR","EQY_CONSOLIDATED=Y","Sort=A","Dates=H","DateFormat=P","Fill=—","Direction=H","UseDPDF=Y")</f>
        <v>#NAME?</v>
      </c>
      <c r="AA587" s="1" t="e">
        <f ca="1">_xll.BDH($C$578,"INVENTORY_GROWTH","FQ4 2015","FQ4 2015","Currency=INR","Period=FQ","BEST_FPERIOD_OVERRIDE=FQ","FILING_STATUS=OR","EQY_CONSOLIDATED=Y","Sort=A","Dates=H","DateFormat=P","Fill=—","Direction=H","UseDPDF=Y")</f>
        <v>#NAME?</v>
      </c>
      <c r="AB587" s="1" t="e">
        <f ca="1">_xll.BDH($C$578,"NET_FIXED_ASSETS_1_YEAR_GROWTH","FQ4 2015","FQ4 2015","Currency=INR","Period=FQ","BEST_FPERIOD_OVERRIDE=FQ","FILING_STATUS=OR","EQY_CONSOLIDATED=Y","Sort=A","Dates=H","DateFormat=P","Fill=—","Direction=H","UseDPDF=Y")</f>
        <v>#NAME?</v>
      </c>
      <c r="AC587" s="1" t="e">
        <f ca="1">_xll.BDH($C$578,"ASSET_GROWTH","FQ4 2015","FQ4 2015","Currency=INR","Period=FQ","BEST_FPERIOD_OVERRIDE=FQ","FILING_STATUS=OR","EQY_CONSOLIDATED=Y","Sort=A","Dates=H","DateFormat=P","Fill=—","Direction=H","UseDPDF=Y")</f>
        <v>#NAME?</v>
      </c>
      <c r="AD587" s="1" t="e">
        <f ca="1">_xll.BDH($C$578,"MODIFIED_WORK_CAP_GROWTH","FQ4 2015","FQ4 2015","Currency=INR","Period=FQ","BEST_FPERIOD_OVERRIDE=FQ","FILING_STATUS=OR","EQY_CONSOLIDATED=Y","Sort=A","Dates=H","DateFormat=P","Fill=—","Direction=H","UseDPDF=Y")</f>
        <v>#NAME?</v>
      </c>
      <c r="AE587" s="1" t="e">
        <f ca="1">_xll.BDH($C$578,"WORK_CAP_GROWTH","FQ4 2015","FQ4 2015","Currency=INR","Period=FQ","BEST_FPERIOD_OVERRIDE=FQ","FILING_STATUS=OR","EQY_CONSOLIDATED=Y","Sort=A","Dates=H","DateFormat=P","Fill=—","Direction=H","UseDPDF=Y")</f>
        <v>#NAME?</v>
      </c>
      <c r="AF587" s="1" t="e">
        <f ca="1">_xll.BDH($C$578,"ACCOUNTS_PAYABLE_GROWTH_1YR","FQ4 2015","FQ4 2015","Currency=INR","Period=FQ","BEST_FPERIOD_OVERRIDE=FQ","FILING_STATUS=OR","EQY_CONSOLIDATED=Y","Sort=A","Dates=H","DateFormat=P","Fill=—","Direction=H","UseDPDF=Y")</f>
        <v>#NAME?</v>
      </c>
      <c r="AG587" s="1" t="e">
        <f ca="1">_xll.BDH($C$578,"SHORT_TERM_DEBT_1_YEAR_GROWTH","FQ4 2015","FQ4 2015","Currency=INR","Period=FQ","BEST_FPERIOD_OVERRIDE=FQ","FILING_STATUS=OR","EQY_CONSOLIDATED=Y","Sort=A","Dates=H","DateFormat=P","Fill=—","Direction=H","UseDPDF=Y")</f>
        <v>#NAME?</v>
      </c>
      <c r="AH587" s="1" t="e">
        <f ca="1">_xll.BDH($C$578,"TOTAL_DEBT_1_YEAR_GROWTH","FQ4 2015","FQ4 2015","Currency=INR","Period=FQ","BEST_FPERIOD_OVERRIDE=FQ","FILING_STATUS=OR","EQY_CONSOLIDATED=Y","Sort=A","Dates=H","DateFormat=P","Fill=—","Direction=H","UseDPDF=Y")</f>
        <v>#NAME?</v>
      </c>
      <c r="AI587" s="1" t="e">
        <f ca="1">_xll.BDH($C$578,"TOTAL_EQUITY_1_YEAR_GROWTH","FQ4 2015","FQ4 2015","Currency=INR","Period=FQ","BEST_FPERIOD_OVERRIDE=FQ","FILING_STATUS=OR","EQY_CONSOLIDATED=Y","Sort=A","Dates=H","DateFormat=P","Fill=—","Direction=H","UseDPDF=Y")</f>
        <v>#NAME?</v>
      </c>
      <c r="AJ587" s="1" t="e">
        <f ca="1">_xll.BDH($C$578,"GROWTH_IN_CAP","FQ4 2015","FQ4 2015","Currency=INR","Period=FQ","BEST_FPERIOD_OVERRIDE=FQ","FILING_STATUS=OR","EQY_CONSOLIDATED=Y","Sort=A","Dates=H","DateFormat=P","Fill=—","Direction=H","UseDPDF=Y")</f>
        <v>#NAME?</v>
      </c>
      <c r="AK587" s="1" t="e">
        <f ca="1">_xll.BDH($C$578,"BVPS_GROWTH","FQ4 2015","FQ4 2015","Currency=INR","Period=FQ","BEST_FPERIOD_OVERRIDE=FQ","FILING_STATUS=OR","EQY_CONSOLIDATED=Y","Sort=A","Dates=H","DateFormat=P","Fill=—","Direction=H","UseDPDF=Y")</f>
        <v>#NAME?</v>
      </c>
      <c r="AL587" s="1" t="e">
        <f ca="1">_xll.BDH($C$578,"CASH_FLOW_GROWTH","FQ4 2015","FQ4 2015","Currency=INR","Period=FQ","BEST_FPERIOD_OVERRIDE=FQ","FILING_STATUS=OR","EQY_CONSOLIDATED=Y","Sort=A","Dates=H","DateFormat=P","Fill=—","Direction=H","UseDPDF=Y")</f>
        <v>#NAME?</v>
      </c>
      <c r="AM587" s="1" t="e">
        <f ca="1">_xll.BDH($C$578,"GEO_GROW_NET_SALES","FQ4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87" s="1" t="e">
        <f ca="1">_xll.BDH($C$578,"GEO_GROW_EBITDA","FQ4 2015","FQ4 2015","Currency=INR","Period=FQ","BEST_FPERIOD_OVERRIDE=FQ","FILING_STATUS=OR","EQY_CONSOLIDATED=Y","FA_ADJUSTED=GAAP","Sort=A","Dates=H","DateFormat=P","Fill=—","Direction=H","UseDPDF=Y")</f>
        <v>#NAME?</v>
      </c>
      <c r="AO587" s="1" t="e">
        <f ca="1">_xll.BDH($C$578,"GEO_GROW_OPER_INC","FQ4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87" s="1" t="e">
        <f ca="1">_xll.BDH($C$578,"NET_INCOME_TO_COMMON_5_YR_GROWTH","FQ4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87" s="1" t="e">
        <f ca="1">_xll.BDH($C$578,"5Y_GEO_GROWTH_DILUTED_EPS","FQ4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87" s="1" t="e">
        <f ca="1">_xll.BDH($C$578,"GEO_GROW_DVD_PER_SH","FQ4 2015","FQ4 2015","Currency=INR","Period=FQ","BEST_FPERIOD_OVERRIDE=FQ","FILING_STATUS=OR","EQY_CONSOLIDATED=Y","Sort=A","Dates=H","DateFormat=P","Fill=—","Direction=H","UseDPDF=Y")</f>
        <v>#NAME?</v>
      </c>
      <c r="AS587" s="1" t="e">
        <f ca="1">_xll.BDH($C$578,"ACCOUNTS_RECEIVABLE_5_YR_GROWTH","FQ4 2015","FQ4 2015","Currency=INR","Period=FQ","BEST_FPERIOD_OVERRIDE=FQ","FILING_STATUS=OR","EQY_CONSOLIDATED=Y","Sort=A","Dates=H","DateFormat=P","Fill=—","Direction=H","UseDPDF=Y")</f>
        <v>#NAME?</v>
      </c>
      <c r="AT587" s="1" t="e">
        <f ca="1">_xll.BDH($C$578,"INVENTORY_5_YEAR_GROWTH","FQ4 2015","FQ4 2015","Currency=INR","Period=FQ","BEST_FPERIOD_OVERRIDE=FQ","FILING_STATUS=OR","EQY_CONSOLIDATED=Y","Sort=A","Dates=H","DateFormat=P","Fill=—","Direction=H","UseDPDF=Y")</f>
        <v>#NAME?</v>
      </c>
      <c r="AU587" s="1" t="e">
        <f ca="1">_xll.BDH($C$578,"NET_FIXED_ASSETS_5_YEAR_GROWTH","FQ4 2015","FQ4 2015","Currency=INR","Period=FQ","BEST_FPERIOD_OVERRIDE=FQ","FILING_STATUS=OR","EQY_CONSOLIDATED=Y","Sort=A","Dates=H","DateFormat=P","Fill=—","Direction=H","UseDPDF=Y")</f>
        <v>#NAME?</v>
      </c>
      <c r="AV587" s="1" t="e">
        <f ca="1">_xll.BDH($C$578,"GEO_GROW_TOT_ASSET","FQ4 2015","FQ4 2015","Currency=INR","Period=FQ","BEST_FPERIOD_OVERRIDE=FQ","FILING_STATUS=OR","EQY_CONSOLIDATED=Y","Sort=A","Dates=H","DateFormat=P","Fill=—","Direction=H","UseDPDF=Y")</f>
        <v>#NAME?</v>
      </c>
      <c r="AW587" s="1" t="e">
        <f ca="1">_xll.BDH($C$578,"MODIFIED_WORKING_CPTL_5YR_GRWTH","FQ4 2015","FQ4 2015","Currency=INR","Period=FQ","BEST_FPERIOD_OVERRIDE=FQ","FILING_STATUS=OR","EQY_CONSOLIDATED=Y","Sort=A","Dates=H","DateFormat=P","Fill=—","Direction=H","UseDPDF=Y")</f>
        <v>#NAME?</v>
      </c>
      <c r="AX587" s="1" t="e">
        <f ca="1">_xll.BDH($C$578,"WORKING_CAPITAL_5_YEAR_GROWTH","FQ4 2015","FQ4 2015","Currency=INR","Period=FQ","BEST_FPERIOD_OVERRIDE=FQ","FILING_STATUS=OR","EQY_CONSOLIDATED=Y","Sort=A","Dates=H","DateFormat=P","Fill=—","Direction=H","UseDPDF=Y")</f>
        <v>#NAME?</v>
      </c>
      <c r="AY587" s="1" t="e">
        <f ca="1">_xll.BDH($C$578,"ACCOUNTS_PAYABLE_5_YEAR_GROWTH","FQ4 2015","FQ4 2015","Currency=INR","Period=FQ","BEST_FPERIOD_OVERRIDE=FQ","FILING_STATUS=OR","EQY_CONSOLIDATED=Y","Sort=A","Dates=H","DateFormat=P","Fill=—","Direction=H","UseDPDF=Y")</f>
        <v>#NAME?</v>
      </c>
      <c r="AZ587" s="1" t="e">
        <f ca="1">_xll.BDH($C$578,"SHORT_TERM_DEBT_5_YEAR_GROWTH","FQ4 2015","FQ4 2015","Currency=INR","Period=FQ","BEST_FPERIOD_OVERRIDE=FQ","FILING_STATUS=OR","EQY_CONSOLIDATED=Y","Sort=A","Dates=H","DateFormat=P","Fill=—","Direction=H","UseDPDF=Y")</f>
        <v>#NAME?</v>
      </c>
      <c r="BA587" s="1" t="e">
        <f ca="1">_xll.BDH($C$578,"TOTAL_DEBT_5_YEAR_GROWTH","FQ4 2015","FQ4 2015","Currency=INR","Period=FQ","BEST_FPERIOD_OVERRIDE=FQ","FILING_STATUS=OR","EQY_CONSOLIDATED=Y","Sort=A","Dates=H","DateFormat=P","Fill=—","Direction=H","UseDPDF=Y")</f>
        <v>#NAME?</v>
      </c>
      <c r="BB587" s="1" t="e">
        <f ca="1">_xll.BDH($C$578,"GEO_GROW_TOT_SHRHLDR_EQY","FQ4 2015","FQ4 2015","Currency=INR","Period=FQ","BEST_FPERIOD_OVERRIDE=FQ","FILING_STATUS=OR","EQY_CONSOLIDATED=Y","Sort=A","Dates=H","DateFormat=P","Fill=—","Direction=H","UseDPDF=Y")</f>
        <v>#NAME?</v>
      </c>
      <c r="BC587" s="1" t="e">
        <f ca="1">_xll.BDH($C$578,"TOTAL_CAPITAL_5_YEAR_GROWTH","FQ4 2015","FQ4 2015","Currency=INR","Period=FQ","BEST_FPERIOD_OVERRIDE=FQ","FILING_STATUS=OR","EQY_CONSOLIDATED=Y","Sort=A","Dates=H","DateFormat=P","Fill=—","Direction=H","UseDPDF=Y")</f>
        <v>#NAME?</v>
      </c>
      <c r="BD587" s="1" t="e">
        <f ca="1">_xll.BDH($C$578,"GEO_GROW_BOOK_VAL","FQ4 2015","FQ4 2015","Currency=INR","Period=FQ","BEST_FPERIOD_OVERRIDE=FQ","FILING_STATUS=OR","EQY_CONSOLIDATED=Y","Sort=A","Dates=H","DateFormat=P","Fill=—","Direction=H","UseDPDF=Y")</f>
        <v>#NAME?</v>
      </c>
      <c r="BE587" s="1" t="e">
        <f ca="1">_xll.BDH($C$578,"GEO_GROW_CASH_OPER_ACT","FQ4 2015","FQ4 2015","Currency=INR","Period=FQ","BEST_FPERIOD_OVERRIDE=FQ","FILING_STATUS=OR","EQY_CONSOLIDATED=Y","Sort=A","Dates=H","DateFormat=P","Fill=—","Direction=H","UseDPDF=Y")</f>
        <v>#NAME?</v>
      </c>
      <c r="BF587" s="1" t="e">
        <f ca="1">_xll.BDH($C$578,"REVENUE_SEQUENTIAL_GROWTH","FQ4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87" s="1" t="e">
        <f ca="1">_xll.BDH($C$578,"EBITDA_SEQUENTIAL_GROWTH","FQ4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87" s="1" t="e">
        <f ca="1">_xll.BDH($C$578,"OPERATING_INCOME_SEQ_GROWTH","FQ4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87" s="1" t="e">
        <f ca="1">_xll.BDH($C$578,"NET_INCOME_TO_COMMON_SEQ_GROWTH","FQ4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87" s="1" t="e">
        <f ca="1">_xll.BDH($C$578,"EPS_DILUTED_SEQUENTIAL_GROWTH","FQ4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87" s="1" t="e">
        <f ca="1">_xll.BDH($C$578,"DPS_SEQUENTIAL_GROWTH","FQ4 2015","FQ4 2015","Currency=INR","Period=FQ","BEST_FPERIOD_OVERRIDE=FQ","FILING_STATUS=OR","EQY_CONSOLIDATED=Y","Sort=A","Dates=H","DateFormat=P","Fill=—","Direction=H","UseDPDF=Y")</f>
        <v>#NAME?</v>
      </c>
      <c r="BL587" s="1" t="e">
        <f ca="1">_xll.BDH($C$578,"ACCOUNTS_RECEIVABLE_SEQ_GROWTH","FQ4 2015","FQ4 2015","Currency=INR","Period=FQ","BEST_FPERIOD_OVERRIDE=FQ","FILING_STATUS=OR","EQY_CONSOLIDATED=Y","Sort=A","Dates=H","DateFormat=P","Fill=—","Direction=H","UseDPDF=Y")</f>
        <v>#NAME?</v>
      </c>
      <c r="BM587" s="1" t="e">
        <f ca="1">_xll.BDH($C$578,"INVENTORY_SEQUENTIAL_GROWTH","FQ4 2015","FQ4 2015","Currency=INR","Period=FQ","BEST_FPERIOD_OVERRIDE=FQ","FILING_STATUS=OR","EQY_CONSOLIDATED=Y","Sort=A","Dates=H","DateFormat=P","Fill=—","Direction=H","UseDPDF=Y")</f>
        <v>#NAME?</v>
      </c>
      <c r="BN587" s="1" t="e">
        <f ca="1">_xll.BDH($C$578,"FIXED_ASSETS_SEQUENTIAL_GROWTH","FQ4 2015","FQ4 2015","Currency=INR","Period=FQ","BEST_FPERIOD_OVERRIDE=FQ","FILING_STATUS=OR","EQY_CONSOLIDATED=Y","Sort=A","Dates=H","DateFormat=P","Fill=—","Direction=H","UseDPDF=Y")</f>
        <v>#NAME?</v>
      </c>
      <c r="BO587" s="1" t="e">
        <f ca="1">_xll.BDH($C$578,"TOTAL_ASSETS_SEQUENTIAL_GROWTH","FQ4 2015","FQ4 2015","Currency=INR","Period=FQ","BEST_FPERIOD_OVERRIDE=FQ","FILING_STATUS=OR","EQY_CONSOLIDATED=Y","Sort=A","Dates=H","DateFormat=P","Fill=—","Direction=H","UseDPDF=Y")</f>
        <v>#NAME?</v>
      </c>
      <c r="BP587" s="1" t="e">
        <f ca="1">_xll.BDH($C$578,"MODIFIED_WORKING_CPTL_SEQ_GRWTH","FQ4 2015","FQ4 2015","Currency=INR","Period=FQ","BEST_FPERIOD_OVERRIDE=FQ","FILING_STATUS=OR","EQY_CONSOLIDATED=Y","Sort=A","Dates=H","DateFormat=P","Fill=—","Direction=H","UseDPDF=Y")</f>
        <v>#NAME?</v>
      </c>
      <c r="BQ587" s="1" t="e">
        <f ca="1">_xll.BDH($C$578,"WORKING_CAPITAL_SEQ_GROWTH","FQ4 2015","FQ4 2015","Currency=INR","Period=FQ","BEST_FPERIOD_OVERRIDE=FQ","FILING_STATUS=OR","EQY_CONSOLIDATED=Y","Sort=A","Dates=H","DateFormat=P","Fill=—","Direction=H","UseDPDF=Y")</f>
        <v>#NAME?</v>
      </c>
      <c r="BR587" s="1" t="e">
        <f ca="1">_xll.BDH($C$578,"ACCOUNTS_PAYABLE_SEQ_GROWTH","FQ4 2015","FQ4 2015","Currency=INR","Period=FQ","BEST_FPERIOD_OVERRIDE=FQ","FILING_STATUS=OR","EQY_CONSOLIDATED=Y","Sort=A","Dates=H","DateFormat=P","Fill=—","Direction=H","UseDPDF=Y")</f>
        <v>#NAME?</v>
      </c>
      <c r="BS587" s="1" t="e">
        <f ca="1">_xll.BDH($C$578,"ST_DEBT_SEQUENTIAL_GROWTH","FQ4 2015","FQ4 2015","Currency=INR","Period=FQ","BEST_FPERIOD_OVERRIDE=FQ","FILING_STATUS=OR","EQY_CONSOLIDATED=Y","Sort=A","Dates=H","DateFormat=P","Fill=—","Direction=H","UseDPDF=Y")</f>
        <v>#NAME?</v>
      </c>
      <c r="BT587" s="1" t="e">
        <f ca="1">_xll.BDH($C$578,"TOTAL_DEBT_SEQUENTIAL_GROWTH","FQ4 2015","FQ4 2015","Currency=INR","Period=FQ","BEST_FPERIOD_OVERRIDE=FQ","FILING_STATUS=OR","EQY_CONSOLIDATED=Y","Sort=A","Dates=H","DateFormat=P","Fill=—","Direction=H","UseDPDF=Y")</f>
        <v>#NAME?</v>
      </c>
      <c r="BU587" s="1" t="e">
        <f ca="1">_xll.BDH($C$578,"TOTAL_EQUITY_SEQUENTIAL_GROWTH","FQ4 2015","FQ4 2015","Currency=INR","Period=FQ","BEST_FPERIOD_OVERRIDE=FQ","FILING_STATUS=OR","EQY_CONSOLIDATED=Y","Sort=A","Dates=H","DateFormat=P","Fill=—","Direction=H","UseDPDF=Y")</f>
        <v>#NAME?</v>
      </c>
      <c r="BV587" s="1" t="e">
        <f ca="1">_xll.BDH($C$578,"TOTAL_CAPITAL_SEQUENTIAL_GROWTH","FQ4 2015","FQ4 2015","Currency=INR","Period=FQ","BEST_FPERIOD_OVERRIDE=FQ","FILING_STATUS=OR","EQY_CONSOLIDATED=Y","Sort=A","Dates=H","DateFormat=P","Fill=—","Direction=H","UseDPDF=Y")</f>
        <v>#NAME?</v>
      </c>
      <c r="BW587" s="1" t="e">
        <f ca="1">_xll.BDH($C$578,"BPS_SEQUENTIAL_GROWTH","FQ4 2015","FQ4 2015","Currency=INR","Period=FQ","BEST_FPERIOD_OVERRIDE=FQ","FILING_STATUS=OR","EQY_CONSOLIDATED=Y","Sort=A","Dates=H","DateFormat=P","Fill=—","Direction=H","UseDPDF=Y")</f>
        <v>#NAME?</v>
      </c>
      <c r="BX587" s="1" t="e">
        <f ca="1">_xll.BDH($C$578,"CFO_SEQUENTIAL_GROWTH","FQ4 2015","FQ4 2015","Currency=INR","Period=FQ","BEST_FPERIOD_OVERRIDE=FQ","FILING_STATUS=OR","EQY_CONSOLIDATED=Y","Sort=A","Dates=H","DateFormat=P","Fill=—","Direction=H","UseDPDF=Y")</f>
        <v>#NAME?</v>
      </c>
      <c r="BY587" s="2" t="e">
        <f ca="1">_xll.BDH($C$578,"SHORT_AND_LONG_TERM_DEBT","FQ4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87" s="2" t="e">
        <f ca="1">_xll.BDH($C$578,"BS_ST_BORROW","FQ4 2015","FQ4 2015","Currency=INR","Period=FQ","BEST_FPERIOD_OVERRIDE=FQ","FILING_STATUS=OR","EQY_CONSOLIDATED=Y","SCALING_FORMAT=MLN","Sort=A","Dates=H","DateFormat=P","Fill=—","Direction=H","UseDPDF=Y")</f>
        <v>#NAME?</v>
      </c>
      <c r="CA587" s="2" t="e">
        <f ca="1">_xll.BDH($C$578,"BS_LT_BORROW","FQ4 2015","FQ4 2015","Currency=INR","Period=FQ","BEST_FPERIOD_OVERRIDE=FQ","FILING_STATUS=OR","EQY_CONSOLIDATED=Y","SCALING_FORMAT=MLN","Sort=A","Dates=H","DateFormat=P","Fill=—","Direction=H","UseDPDF=Y")</f>
        <v>#NAME?</v>
      </c>
      <c r="CB587" s="1" t="e">
        <f ca="1">_xll.BDH($C$578,"TOT_DEBT_TO_EBITDA","FQ4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87" s="1" t="e">
        <f ca="1">_xll.BDH($C$578,"NET_DEBT_TO_EBITDA","FQ4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87" s="1" t="e">
        <f ca="1">_xll.BDH($C$578,"TOTAL_DEBT_TO_EBIT","FQ4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87" s="1" t="e">
        <f ca="1">_xll.BDH($C$578,"NET_DEBT_TO_EBIT","FQ4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587" s="1" t="e">
        <f ca="1">_xll.BDH($C$578,"EBITDA_TO_INTEREST_EXPN","FQ4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87" s="1" t="e">
        <f ca="1">_xll.BDH($C$578,"COM_EQY_TO_TOT_ASSET","FQ4 2015","FQ4 2015","Currency=INR","Period=FQ","BEST_FPERIOD_OVERRIDE=FQ","FILING_STATUS=OR","EQY_CONSOLIDATED=Y","Sort=A","Dates=H","DateFormat=P","Fill=—","Direction=H","UseDPDF=Y")</f>
        <v>#NAME?</v>
      </c>
      <c r="CH587" s="1" t="e">
        <f ca="1">_xll.BDH($C$578,"LT_DEBT_TO_TOT_EQY","FQ4 2015","FQ4 2015","Currency=INR","Period=FQ","BEST_FPERIOD_OVERRIDE=FQ","FILING_STATUS=OR","EQY_CONSOLIDATED=Y","Sort=A","Dates=H","DateFormat=P","Fill=—","Direction=H","UseDPDF=Y")</f>
        <v>#NAME?</v>
      </c>
      <c r="CI587" s="1" t="e">
        <f ca="1">_xll.BDH($C$578,"LT_DEBT_TO_TOT_CAP","FQ4 2015","FQ4 2015","Currency=INR","Period=FQ","BEST_FPERIOD_OVERRIDE=FQ","FILING_STATUS=OR","EQY_CONSOLIDATED=Y","Sort=A","Dates=H","DateFormat=P","Fill=—","Direction=H","UseDPDF=Y")</f>
        <v>#NAME?</v>
      </c>
      <c r="CJ587" s="1" t="e">
        <f ca="1">_xll.BDH($C$578,"LT_DEBT_TO_TOT_ASSET","FQ4 2015","FQ4 2015","Currency=INR","Period=FQ","BEST_FPERIOD_OVERRIDE=FQ","FILING_STATUS=OR","EQY_CONSOLIDATED=Y","Sort=A","Dates=H","DateFormat=P","Fill=—","Direction=H","UseDPDF=Y")</f>
        <v>#NAME?</v>
      </c>
      <c r="CK587" s="1" t="e">
        <f ca="1">_xll.BDH($C$578,"TOT_DEBT_TO_TOT_EQY","FQ4 2015","FQ4 2015","Currency=INR","Period=FQ","BEST_FPERIOD_OVERRIDE=FQ","FILING_STATUS=OR","EQY_CONSOLIDATED=Y","Sort=A","Dates=H","DateFormat=P","Fill=—","Direction=H","UseDPDF=Y")</f>
        <v>#NAME?</v>
      </c>
      <c r="CL587" s="1" t="e">
        <f ca="1">_xll.BDH($C$578,"TOT_DEBT_TO_TOT_CAP","FQ4 2015","FQ4 2015","Currency=INR","Period=FQ","BEST_FPERIOD_OVERRIDE=FQ","FILING_STATUS=OR","EQY_CONSOLIDATED=Y","Sort=A","Dates=H","DateFormat=P","Fill=—","Direction=H","UseDPDF=Y")</f>
        <v>#NAME?</v>
      </c>
      <c r="CM587" s="1" t="e">
        <f ca="1">_xll.BDH($C$578,"TOT_DEBT_TO_TOT_ASSET","FQ4 2015","FQ4 2015","Currency=INR","Period=FQ","BEST_FPERIOD_OVERRIDE=FQ","FILING_STATUS=OR","EQY_CONSOLIDATED=Y","Sort=A","Dates=H","DateFormat=P","Fill=—","Direction=H","UseDPDF=Y")</f>
        <v>#NAME?</v>
      </c>
      <c r="CN587" s="1" t="e">
        <f ca="1">_xll.BDH($C$578,"NET_DEBT_TO_SHRHLDR_EQTY","FQ4 2015","FQ4 2015","Currency=INR","Period=FQ","BEST_FPERIOD_OVERRIDE=FQ","FILING_STATUS=OR","EQY_CONSOLIDATED=Y","Sort=A","Dates=H","DateFormat=P","Fill=—","Direction=H","UseDPDF=Y")</f>
        <v>#NAME?</v>
      </c>
      <c r="CO587" s="1" t="e">
        <f ca="1">_xll.BDH($C$578,"NET_DEBT_%_CAPITAL","FQ4 2015","FQ4 2015","Currency=INR","Period=FQ","BEST_FPERIOD_OVERRIDE=FQ","FILING_STATUS=OR","EQY_CONSOLIDATED=Y","Sort=A","Dates=H","DateFormat=P","Fill=—","Direction=H","UseDPDF=Y")</f>
        <v>#NAME?</v>
      </c>
      <c r="CP587" s="2" t="e">
        <f ca="1">_xll.BDH($C$578,"EBITDA","FQ4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87" s="2" t="e">
        <f ca="1">_xll.BDH($C$578,"EBITDA_AFTER_CAPEX","FQ4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87" s="2" t="e">
        <f ca="1">_xll.BDH($C$578,"IS_OPER_INC","FQ4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87" s="1" t="e">
        <f ca="1">_xll.BDH($C$578,"CASH_RATIO","FQ4 2015","FQ4 2015","Currency=INR","Period=FQ","BEST_FPERIOD_OVERRIDE=FQ","FILING_STATUS=OR","EQY_CONSOLIDATED=Y","Sort=A","Dates=H","DateFormat=P","Fill=—","Direction=H","UseDPDF=Y")</f>
        <v>#NAME?</v>
      </c>
      <c r="CT587" s="1" t="e">
        <f ca="1">_xll.BDH($C$578,"CUR_RATIO","FQ4 2015","FQ4 2015","Currency=INR","Period=FQ","BEST_FPERIOD_OVERRIDE=FQ","FILING_STATUS=OR","EQY_CONSOLIDATED=Y","Sort=A","Dates=H","DateFormat=P","Fill=—","Direction=H","UseDPDF=Y")</f>
        <v>#NAME?</v>
      </c>
      <c r="CU587" s="1" t="e">
        <f ca="1">_xll.BDH($C$578,"QUICK_RATIO","FQ4 2015","FQ4 2015","Currency=INR","Period=FQ","BEST_FPERIOD_OVERRIDE=FQ","FILING_STATUS=OR","EQY_CONSOLIDATED=Y","Sort=A","Dates=H","DateFormat=P","Fill=—","Direction=H","UseDPDF=Y")</f>
        <v>#NAME?</v>
      </c>
      <c r="CV587" s="1" t="e">
        <f ca="1">_xll.BDH($C$578,"ALTMAN_Z_SCORE","FQ4 2015","FQ4 2015","Currency=INR","Period=FQ","BEST_FPERIOD_OVERRIDE=FQ","FILING_STATUS=OR","EQY_CONSOLIDATED=Y","Sort=A","Dates=H","DateFormat=P","Fill=—","Direction=H","UseDPDF=Y")</f>
        <v>#NAME?</v>
      </c>
      <c r="CW587" s="3" t="e">
        <f ca="1">_xll.BDH($C$578,"ACCT_RCV_TURN","FQ4 2015","FQ4 2015","Currency=INR","Period=FQ","BEST_FPERIOD_OVERRIDE=FQ","FILING_STATUS=OR","EQY_CONSOLIDATED=Y","FA_ADJUSTED=GAAP","Sort=A","Dates=H","DateFormat=P","Fill=—","Direction=H","UseDPDF=Y")</f>
        <v>#NAME?</v>
      </c>
      <c r="CX587" s="1" t="e">
        <f ca="1">_xll.BDH($C$578,"ACCT_RCV_DAYS","FQ4 2015","FQ4 2015","Currency=INR","Period=FQ","BEST_FPERIOD_OVERRIDE=FQ","FILING_STATUS=OR","EQY_CONSOLIDATED=Y","FA_ADJUSTED=GAAP","Sort=A","Dates=H","DateFormat=P","Fill=—","Direction=H","UseDPDF=Y")</f>
        <v>#NAME?</v>
      </c>
      <c r="CY587" s="3" t="e">
        <f ca="1">_xll.BDH($C$578,"INVENT_TURN","FQ4 2015","FQ4 2015","Currency=INR","Period=FQ","BEST_FPERIOD_OVERRIDE=FQ","FILING_STATUS=OR","EQY_CONSOLIDATED=Y","FA_ADJUSTED=GAAP","Sort=A","Dates=H","DateFormat=P","Fill=—","Direction=H","UseDPDF=Y")</f>
        <v>#NAME?</v>
      </c>
      <c r="CZ587" s="1" t="e">
        <f ca="1">_xll.BDH($C$578,"INVENT_DAYS","FQ4 2015","FQ4 2015","Currency=INR","Period=FQ","BEST_FPERIOD_OVERRIDE=FQ","FILING_STATUS=OR","EQY_CONSOLIDATED=Y","FA_ADJUSTED=GAAP","Sort=A","Dates=H","DateFormat=P","Fill=—","Direction=H","UseDPDF=Y")</f>
        <v>#NAME?</v>
      </c>
      <c r="DA587" s="3" t="e">
        <f ca="1">_xll.BDH($C$578,"ACCOUNTS_PAYABLE_TURNOVER","FQ4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87" s="1" t="e">
        <f ca="1">_xll.BDH($C$578,"ACCOUNTS_PAYABLE_TURNOVER_DAYS","FQ4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87" s="3" t="e">
        <f ca="1">_xll.BDH($C$578,"CASH_CONVERSION_CYCLE","FQ4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87" s="3" t="e">
        <f ca="1">_xll.BDH($C$578,"INV_TO_CASH_DAYS","FQ4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587" s="4" t="e">
        <f ca="1">_xll.BDH($C$578,"BS_INVENTORIES","FQ4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587" s="2" t="e">
        <f ca="1">_xll.BDH($C$578,"INVTRY_RAW_MATERIALS","FQ4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87" s="2" t="e">
        <f ca="1">_xll.BDH($C$578,"INVTRY_IN_PROGRESS","FQ4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87" s="2" t="e">
        <f ca="1">_xll.BDH($C$578,"INVTRY_FINISHED_GOODS","FQ4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87" s="2" t="e">
        <f ca="1">_xll.BDH($C$578,"BS_OTHER_INV","FQ4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88" spans="1:113" x14ac:dyDescent="0.3">
      <c r="A588" s="6"/>
      <c r="B588" s="6"/>
      <c r="C588" s="6"/>
      <c r="D588" s="6" t="s">
        <v>9</v>
      </c>
      <c r="E588" t="s">
        <v>3</v>
      </c>
      <c r="F588" t="e">
        <f ca="1">_xll.BDH($C$578,"RETURN_COM_EQY","FY 2016","FY 2016","Currency=INR","Period=FY","BEST_FPERIOD_OVERRIDE=FY","FILING_STATUS=OR","EQY_CONSOLIDATED=Y","FA_ADJUSTED=GAAP","Sort=A","Dates=H","DateFormat=P","Fill=—","Direction=H","UseDPDF=Y")</f>
        <v>#NAME?</v>
      </c>
      <c r="G588" t="e">
        <f ca="1">_xll.BDH($C$578,"RETURN_ON_ASSET","FY 2016","FY 2016","Currency=INR","Period=FY","BEST_FPERIOD_OVERRIDE=FY","FILING_STATUS=OR","EQY_CONSOLIDATED=Y","FA_ADJUSTED=GAAP","Sort=A","Dates=H","DateFormat=P","Fill=—","Direction=H","UseDPDF=Y")</f>
        <v>#NAME?</v>
      </c>
      <c r="H588" t="e">
        <f ca="1">_xll.BDH($C$578,"RETURN_ON_CAP","FY 2016","FY 2016","Currency=INR","Period=FY","BEST_FPERIOD_OVERRIDE=FY","FILING_STATUS=OR","EQY_CONSOLIDATED=Y","FA_ADJUSTED=GAAP","Sort=A","Dates=H","DateFormat=P","Fill=—","Direction=H","UseDPDF=Y")</f>
        <v>#NAME?</v>
      </c>
      <c r="I588" t="e">
        <f ca="1">_xll.BDH($C$578,"RETURN_ON_INV_CAPITAL","FY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88" t="e">
        <f ca="1">_xll.BDH($C$578,"EBITDA_TO_REVENUE","FY 2016","FY 2016","Currency=INR","Period=FY","BEST_FPERIOD_OVERRIDE=FY","FILING_STATUS=OR","EQY_CONSOLIDATED=Y","FA_ADJUSTED=GAAP","Sort=A","Dates=H","DateFormat=P","Fill=—","Direction=H","UseDPDF=Y")</f>
        <v>#NAME?</v>
      </c>
      <c r="K588" t="e">
        <f ca="1">_xll.BDH($C$578,"OPER_MARGIN","FY 2016","FY 2016","Currency=INR","Period=FY","BEST_FPERIOD_OVERRIDE=FY","FILING_STATUS=OR","EQY_CONSOLIDATED=Y","FA_ADJUSTED=GAAP","Sort=A","Dates=H","DateFormat=P","Fill=—","Direction=H","UseDPDF=Y")</f>
        <v>#NAME?</v>
      </c>
      <c r="L588" t="e">
        <f ca="1">_xll.BDH($C$578,"INCREMENTAL_OPERATING_MARGIN","FY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88" t="e">
        <f ca="1">_xll.BDH($C$578,"PRETAX_INC_TO_NET_SALES","FY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88" t="e">
        <f ca="1">_xll.BDH($C$578,"INC_BEF_XO_ITEMS_TO_NET_SALES","FY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88" t="e">
        <f ca="1">_xll.BDH($C$578,"PROF_MARGIN","FY 2016","FY 2016","Currency=INR","Period=FY","BEST_FPERIOD_OVERRIDE=FY","FILING_STATUS=OR","EQY_CONSOLIDATED=Y","FA_ADJUSTED=GAAP","Sort=A","Dates=H","DateFormat=P","Fill=—","Direction=H","UseDPDF=Y")</f>
        <v>#NAME?</v>
      </c>
      <c r="P588" t="e">
        <f ca="1">_xll.BDH($C$578,"NET_INCOME_TO_COMMON_MARGIN","FY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88" t="e">
        <f ca="1">_xll.BDH($C$578,"EFF_TAX_RATE","FY 2016","FY 2016","Currency=INR","Period=FY","BEST_FPERIOD_OVERRIDE=FY","FILING_STATUS=OR","EQY_CONSOLIDATED=Y","FA_ADJUSTED=GAAP","Sort=A","Dates=H","DateFormat=P","Fill=—","Direction=H","UseDPDF=Y")</f>
        <v>#NAME?</v>
      </c>
      <c r="R588" t="e">
        <f ca="1">_xll.BDH($C$578,"DVD_PAYOUT_RATIO","FY 2016","FY 2016","Currency=INR","Period=FY","BEST_FPERIOD_OVERRIDE=FY","FILING_STATUS=OR","EQY_CONSOLIDATED=Y","FA_ADJUSTED=GAAP","Sort=A","Dates=H","DateFormat=P","Fill=—","Direction=H","UseDPDF=Y")</f>
        <v>#NAME?</v>
      </c>
      <c r="S588" t="e">
        <f ca="1">_xll.BDH($C$578,"SUSTAIN_GROWTH_RT","FY 2016","FY 2016","Currency=INR","Period=FY","BEST_FPERIOD_OVERRIDE=FY","FILING_STATUS=OR","EQY_CONSOLIDATED=Y","FA_ADJUSTED=GAAP","Sort=A","Dates=H","DateFormat=P","Fill=—","Direction=H","UseDPDF=Y")</f>
        <v>#NAME?</v>
      </c>
      <c r="T588" s="1" t="e">
        <f ca="1">_xll.BDH($C$578,"SALES_GROWTH","FY 2016","FY 2016","Currency=INR","Period=FY","BEST_FPERIOD_OVERRIDE=FY","FILING_STATUS=OR","EQY_CONSOLIDATED=Y","FA_ADJUSTED=GAAP","Sort=A","Dates=H","DateFormat=P","Fill=—","Direction=H","UseDPDF=Y")</f>
        <v>#NAME?</v>
      </c>
      <c r="U588" s="1" t="e">
        <f ca="1">_xll.BDH($C$578,"EBITDA_GROWTH","FY 2016","FY 2016","Currency=INR","Period=FY","BEST_FPERIOD_OVERRIDE=FY","FILING_STATUS=OR","EQY_CONSOLIDATED=Y","FA_ADJUSTED=GAAP","Sort=A","Dates=H","DateFormat=P","Fill=—","Direction=H","UseDPDF=Y")</f>
        <v>#NAME?</v>
      </c>
      <c r="V588" s="1" t="e">
        <f ca="1">_xll.BDH($C$578,"OPER_INC_GROWTH","FY 2016","FY 2016","Currency=INR","Period=FY","BEST_FPERIOD_OVERRIDE=FY","FILING_STATUS=OR","EQY_CONSOLIDATED=Y","FA_ADJUSTED=GAAP","Sort=A","Dates=H","DateFormat=P","Fill=—","Direction=H","UseDPDF=Y")</f>
        <v>#NAME?</v>
      </c>
      <c r="W588" s="1" t="e">
        <f ca="1">_xll.BDH($C$578,"EARN_FOR_COM_GROWTH","FY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588" s="1" t="e">
        <f ca="1">_xll.BDH($C$578,"DILUTED_EPS_AFT_XO_ITEMS_GROWTH","FY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88" s="1" t="e">
        <f ca="1">_xll.BDH($C$578,"DIVIDEND_PER_SHARE_1_YEAR_GROWTH","FY 2016","FY 2016","Currency=INR","Period=FY","BEST_FPERIOD_OVERRIDE=FY","FILING_STATUS=OR","EQY_CONSOLIDATED=Y","Sort=A","Dates=H","DateFormat=P","Fill=—","Direction=H","UseDPDF=Y")</f>
        <v>#NAME?</v>
      </c>
      <c r="Z588" s="1" t="e">
        <f ca="1">_xll.BDH($C$578,"ACCOUNTS_RECEIVABLE_GROWTH","FY 2016","FY 2016","Currency=INR","Period=FY","BEST_FPERIOD_OVERRIDE=FY","FILING_STATUS=OR","EQY_CONSOLIDATED=Y","Sort=A","Dates=H","DateFormat=P","Fill=—","Direction=H","UseDPDF=Y")</f>
        <v>#NAME?</v>
      </c>
      <c r="AA588" s="1" t="e">
        <f ca="1">_xll.BDH($C$578,"INVENTORY_GROWTH","FY 2016","FY 2016","Currency=INR","Period=FY","BEST_FPERIOD_OVERRIDE=FY","FILING_STATUS=OR","EQY_CONSOLIDATED=Y","Sort=A","Dates=H","DateFormat=P","Fill=—","Direction=H","UseDPDF=Y")</f>
        <v>#NAME?</v>
      </c>
      <c r="AB588" s="1" t="e">
        <f ca="1">_xll.BDH($C$578,"NET_FIXED_ASSETS_1_YEAR_GROWTH","FY 2016","FY 2016","Currency=INR","Period=FY","BEST_FPERIOD_OVERRIDE=FY","FILING_STATUS=OR","EQY_CONSOLIDATED=Y","Sort=A","Dates=H","DateFormat=P","Fill=—","Direction=H","UseDPDF=Y")</f>
        <v>#NAME?</v>
      </c>
      <c r="AC588" s="1" t="e">
        <f ca="1">_xll.BDH($C$578,"ASSET_GROWTH","FY 2016","FY 2016","Currency=INR","Period=FY","BEST_FPERIOD_OVERRIDE=FY","FILING_STATUS=OR","EQY_CONSOLIDATED=Y","Sort=A","Dates=H","DateFormat=P","Fill=—","Direction=H","UseDPDF=Y")</f>
        <v>#NAME?</v>
      </c>
      <c r="AD588" s="1" t="e">
        <f ca="1">_xll.BDH($C$578,"MODIFIED_WORK_CAP_GROWTH","FY 2016","FY 2016","Currency=INR","Period=FY","BEST_FPERIOD_OVERRIDE=FY","FILING_STATUS=OR","EQY_CONSOLIDATED=Y","Sort=A","Dates=H","DateFormat=P","Fill=—","Direction=H","UseDPDF=Y")</f>
        <v>#NAME?</v>
      </c>
      <c r="AE588" s="1" t="e">
        <f ca="1">_xll.BDH($C$578,"WORK_CAP_GROWTH","FY 2016","FY 2016","Currency=INR","Period=FY","BEST_FPERIOD_OVERRIDE=FY","FILING_STATUS=OR","EQY_CONSOLIDATED=Y","Sort=A","Dates=H","DateFormat=P","Fill=—","Direction=H","UseDPDF=Y")</f>
        <v>#NAME?</v>
      </c>
      <c r="AF588" s="1" t="e">
        <f ca="1">_xll.BDH($C$578,"ACCOUNTS_PAYABLE_GROWTH_1YR","FY 2016","FY 2016","Currency=INR","Period=FY","BEST_FPERIOD_OVERRIDE=FY","FILING_STATUS=OR","EQY_CONSOLIDATED=Y","Sort=A","Dates=H","DateFormat=P","Fill=—","Direction=H","UseDPDF=Y")</f>
        <v>#NAME?</v>
      </c>
      <c r="AG588" s="1" t="e">
        <f ca="1">_xll.BDH($C$578,"SHORT_TERM_DEBT_1_YEAR_GROWTH","FY 2016","FY 2016","Currency=INR","Period=FY","BEST_FPERIOD_OVERRIDE=FY","FILING_STATUS=OR","EQY_CONSOLIDATED=Y","Sort=A","Dates=H","DateFormat=P","Fill=—","Direction=H","UseDPDF=Y")</f>
        <v>#NAME?</v>
      </c>
      <c r="AH588" s="1" t="e">
        <f ca="1">_xll.BDH($C$578,"TOTAL_DEBT_1_YEAR_GROWTH","FY 2016","FY 2016","Currency=INR","Period=FY","BEST_FPERIOD_OVERRIDE=FY","FILING_STATUS=OR","EQY_CONSOLIDATED=Y","Sort=A","Dates=H","DateFormat=P","Fill=—","Direction=H","UseDPDF=Y")</f>
        <v>#NAME?</v>
      </c>
      <c r="AI588" s="1" t="e">
        <f ca="1">_xll.BDH($C$578,"TOTAL_EQUITY_1_YEAR_GROWTH","FY 2016","FY 2016","Currency=INR","Period=FY","BEST_FPERIOD_OVERRIDE=FY","FILING_STATUS=OR","EQY_CONSOLIDATED=Y","Sort=A","Dates=H","DateFormat=P","Fill=—","Direction=H","UseDPDF=Y")</f>
        <v>#NAME?</v>
      </c>
      <c r="AJ588" s="1" t="e">
        <f ca="1">_xll.BDH($C$578,"GROWTH_IN_CAP","FY 2016","FY 2016","Currency=INR","Period=FY","BEST_FPERIOD_OVERRIDE=FY","FILING_STATUS=OR","EQY_CONSOLIDATED=Y","Sort=A","Dates=H","DateFormat=P","Fill=—","Direction=H","UseDPDF=Y")</f>
        <v>#NAME?</v>
      </c>
      <c r="AK588" s="1" t="e">
        <f ca="1">_xll.BDH($C$578,"BVPS_GROWTH","FY 2016","FY 2016","Currency=INR","Period=FY","BEST_FPERIOD_OVERRIDE=FY","FILING_STATUS=OR","EQY_CONSOLIDATED=Y","Sort=A","Dates=H","DateFormat=P","Fill=—","Direction=H","UseDPDF=Y")</f>
        <v>#NAME?</v>
      </c>
      <c r="AL588" s="1" t="e">
        <f ca="1">_xll.BDH($C$578,"CASH_FLOW_GROWTH","FY 2016","FY 2016","Currency=INR","Period=FY","BEST_FPERIOD_OVERRIDE=FY","FILING_STATUS=OR","EQY_CONSOLIDATED=Y","Sort=A","Dates=H","DateFormat=P","Fill=—","Direction=H","UseDPDF=Y")</f>
        <v>#NAME?</v>
      </c>
      <c r="AM588" s="1" t="e">
        <f ca="1">_xll.BDH($C$578,"GEO_GROW_NET_SALES","FY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588" s="1" t="e">
        <f ca="1">_xll.BDH($C$578,"GEO_GROW_EBITDA","FY 2016","FY 2016","Currency=INR","Period=FY","BEST_FPERIOD_OVERRIDE=FY","FILING_STATUS=OR","EQY_CONSOLIDATED=Y","FA_ADJUSTED=GAAP","Sort=A","Dates=H","DateFormat=P","Fill=—","Direction=H","UseDPDF=Y")</f>
        <v>#NAME?</v>
      </c>
      <c r="AO588" s="1" t="e">
        <f ca="1">_xll.BDH($C$578,"GEO_GROW_OPER_INC","FY 2016","FY 2016","Currency=INR","Period=FY","BEST_FPERIOD_OVERRIDE=FY","FILING_STATUS=OR","EQY_CONSOLIDATED=Y","FA_ADJUSTED=GAAP","Sort=A","Dates=H","DateFormat=P","Fill=—","Direction=H","UseDPDF=Y")</f>
        <v>#NAME?</v>
      </c>
      <c r="AP588" s="1" t="e">
        <f ca="1">_xll.BDH($C$578,"NET_INCOME_TO_COMMON_5_YR_GROWTH","FY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88" s="1" t="e">
        <f ca="1">_xll.BDH($C$578,"5Y_GEO_GROWTH_DILUTED_EPS","FY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88" s="1" t="e">
        <f ca="1">_xll.BDH($C$578,"GEO_GROW_DVD_PER_SH","FY 2016","FY 2016","Currency=INR","Period=FY","BEST_FPERIOD_OVERRIDE=FY","FILING_STATUS=OR","EQY_CONSOLIDATED=Y","Sort=A","Dates=H","DateFormat=P","Fill=—","Direction=H","UseDPDF=Y")</f>
        <v>#NAME?</v>
      </c>
      <c r="AS588" s="1" t="e">
        <f ca="1">_xll.BDH($C$578,"ACCOUNTS_RECEIVABLE_5_YR_GROWTH","FY 2016","FY 2016","Currency=INR","Period=FY","BEST_FPERIOD_OVERRIDE=FY","FILING_STATUS=OR","EQY_CONSOLIDATED=Y","Sort=A","Dates=H","DateFormat=P","Fill=—","Direction=H","UseDPDF=Y")</f>
        <v>#NAME?</v>
      </c>
      <c r="AT588" s="1" t="e">
        <f ca="1">_xll.BDH($C$578,"INVENTORY_5_YEAR_GROWTH","FY 2016","FY 2016","Currency=INR","Period=FY","BEST_FPERIOD_OVERRIDE=FY","FILING_STATUS=OR","EQY_CONSOLIDATED=Y","Sort=A","Dates=H","DateFormat=P","Fill=—","Direction=H","UseDPDF=Y")</f>
        <v>#NAME?</v>
      </c>
      <c r="AU588" s="1" t="e">
        <f ca="1">_xll.BDH($C$578,"NET_FIXED_ASSETS_5_YEAR_GROWTH","FY 2016","FY 2016","Currency=INR","Period=FY","BEST_FPERIOD_OVERRIDE=FY","FILING_STATUS=OR","EQY_CONSOLIDATED=Y","Sort=A","Dates=H","DateFormat=P","Fill=—","Direction=H","UseDPDF=Y")</f>
        <v>#NAME?</v>
      </c>
      <c r="AV588" s="1" t="e">
        <f ca="1">_xll.BDH($C$578,"GEO_GROW_TOT_ASSET","FY 2016","FY 2016","Currency=INR","Period=FY","BEST_FPERIOD_OVERRIDE=FY","FILING_STATUS=OR","EQY_CONSOLIDATED=Y","Sort=A","Dates=H","DateFormat=P","Fill=—","Direction=H","UseDPDF=Y")</f>
        <v>#NAME?</v>
      </c>
      <c r="AW588" s="1" t="e">
        <f ca="1">_xll.BDH($C$578,"MODIFIED_WORKING_CPTL_5YR_GRWTH","FY 2016","FY 2016","Currency=INR","Period=FY","BEST_FPERIOD_OVERRIDE=FY","FILING_STATUS=OR","EQY_CONSOLIDATED=Y","Sort=A","Dates=H","DateFormat=P","Fill=—","Direction=H","UseDPDF=Y")</f>
        <v>#NAME?</v>
      </c>
      <c r="AX588" s="1" t="e">
        <f ca="1">_xll.BDH($C$578,"WORKING_CAPITAL_5_YEAR_GROWTH","FY 2016","FY 2016","Currency=INR","Period=FY","BEST_FPERIOD_OVERRIDE=FY","FILING_STATUS=OR","EQY_CONSOLIDATED=Y","Sort=A","Dates=H","DateFormat=P","Fill=—","Direction=H","UseDPDF=Y")</f>
        <v>#NAME?</v>
      </c>
      <c r="AY588" s="1" t="e">
        <f ca="1">_xll.BDH($C$578,"ACCOUNTS_PAYABLE_5_YEAR_GROWTH","FY 2016","FY 2016","Currency=INR","Period=FY","BEST_FPERIOD_OVERRIDE=FY","FILING_STATUS=OR","EQY_CONSOLIDATED=Y","Sort=A","Dates=H","DateFormat=P","Fill=—","Direction=H","UseDPDF=Y")</f>
        <v>#NAME?</v>
      </c>
      <c r="AZ588" s="1" t="e">
        <f ca="1">_xll.BDH($C$578,"SHORT_TERM_DEBT_5_YEAR_GROWTH","FY 2016","FY 2016","Currency=INR","Period=FY","BEST_FPERIOD_OVERRIDE=FY","FILING_STATUS=OR","EQY_CONSOLIDATED=Y","Sort=A","Dates=H","DateFormat=P","Fill=—","Direction=H","UseDPDF=Y")</f>
        <v>#NAME?</v>
      </c>
      <c r="BA588" s="1" t="e">
        <f ca="1">_xll.BDH($C$578,"TOTAL_DEBT_5_YEAR_GROWTH","FY 2016","FY 2016","Currency=INR","Period=FY","BEST_FPERIOD_OVERRIDE=FY","FILING_STATUS=OR","EQY_CONSOLIDATED=Y","Sort=A","Dates=H","DateFormat=P","Fill=—","Direction=H","UseDPDF=Y")</f>
        <v>#NAME?</v>
      </c>
      <c r="BB588" s="1" t="e">
        <f ca="1">_xll.BDH($C$578,"GEO_GROW_TOT_SHRHLDR_EQY","FY 2016","FY 2016","Currency=INR","Period=FY","BEST_FPERIOD_OVERRIDE=FY","FILING_STATUS=OR","EQY_CONSOLIDATED=Y","Sort=A","Dates=H","DateFormat=P","Fill=—","Direction=H","UseDPDF=Y")</f>
        <v>#NAME?</v>
      </c>
      <c r="BC588" s="1" t="e">
        <f ca="1">_xll.BDH($C$578,"TOTAL_CAPITAL_5_YEAR_GROWTH","FY 2016","FY 2016","Currency=INR","Period=FY","BEST_FPERIOD_OVERRIDE=FY","FILING_STATUS=OR","EQY_CONSOLIDATED=Y","Sort=A","Dates=H","DateFormat=P","Fill=—","Direction=H","UseDPDF=Y")</f>
        <v>#NAME?</v>
      </c>
      <c r="BD588" s="1" t="e">
        <f ca="1">_xll.BDH($C$578,"GEO_GROW_BOOK_VAL","FY 2016","FY 2016","Currency=INR","Period=FY","BEST_FPERIOD_OVERRIDE=FY","FILING_STATUS=OR","EQY_CONSOLIDATED=Y","Sort=A","Dates=H","DateFormat=P","Fill=—","Direction=H","UseDPDF=Y")</f>
        <v>#NAME?</v>
      </c>
      <c r="BE588" s="1" t="e">
        <f ca="1">_xll.BDH($C$578,"GEO_GROW_CASH_OPER_ACT","FY 2016","FY 2016","Currency=INR","Period=FY","BEST_FPERIOD_OVERRIDE=FY","FILING_STATUS=OR","EQY_CONSOLIDATED=Y","Sort=A","Dates=H","DateFormat=P","Fill=—","Direction=H","UseDPDF=Y")</f>
        <v>#NAME?</v>
      </c>
      <c r="BF588" s="1" t="e">
        <f ca="1">_xll.BDH($C$578,"REVENUE_SEQUENTIAL_GROWTH","FY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88" s="1" t="e">
        <f ca="1">_xll.BDH($C$578,"EBITDA_SEQUENTIAL_GROWTH","FY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88" s="1" t="e">
        <f ca="1">_xll.BDH($C$578,"OPERATING_INCOME_SEQ_GROWTH","FY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88" s="1" t="e">
        <f ca="1">_xll.BDH($C$578,"NET_INCOME_TO_COMMON_SEQ_GROWTH","FY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88" s="1" t="e">
        <f ca="1">_xll.BDH($C$578,"EPS_DILUTED_SEQUENTIAL_GROWTH","FY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88" s="1" t="e">
        <f ca="1">_xll.BDH($C$578,"DPS_SEQUENTIAL_GROWTH","FY 2016","FY 2016","Currency=INR","Period=FY","BEST_FPERIOD_OVERRIDE=FY","FILING_STATUS=OR","EQY_CONSOLIDATED=Y","Sort=A","Dates=H","DateFormat=P","Fill=—","Direction=H","UseDPDF=Y")</f>
        <v>#NAME?</v>
      </c>
      <c r="BL588" s="1" t="e">
        <f ca="1">_xll.BDH($C$578,"ACCOUNTS_RECEIVABLE_SEQ_GROWTH","FY 2016","FY 2016","Currency=INR","Period=FY","BEST_FPERIOD_OVERRIDE=FY","FILING_STATUS=OR","EQY_CONSOLIDATED=Y","Sort=A","Dates=H","DateFormat=P","Fill=—","Direction=H","UseDPDF=Y")</f>
        <v>#NAME?</v>
      </c>
      <c r="BM588" s="1" t="e">
        <f ca="1">_xll.BDH($C$578,"INVENTORY_SEQUENTIAL_GROWTH","FY 2016","FY 2016","Currency=INR","Period=FY","BEST_FPERIOD_OVERRIDE=FY","FILING_STATUS=OR","EQY_CONSOLIDATED=Y","Sort=A","Dates=H","DateFormat=P","Fill=—","Direction=H","UseDPDF=Y")</f>
        <v>#NAME?</v>
      </c>
      <c r="BN588" s="1" t="e">
        <f ca="1">_xll.BDH($C$578,"FIXED_ASSETS_SEQUENTIAL_GROWTH","FY 2016","FY 2016","Currency=INR","Period=FY","BEST_FPERIOD_OVERRIDE=FY","FILING_STATUS=OR","EQY_CONSOLIDATED=Y","Sort=A","Dates=H","DateFormat=P","Fill=—","Direction=H","UseDPDF=Y")</f>
        <v>#NAME?</v>
      </c>
      <c r="BO588" s="1" t="e">
        <f ca="1">_xll.BDH($C$578,"TOTAL_ASSETS_SEQUENTIAL_GROWTH","FY 2016","FY 2016","Currency=INR","Period=FY","BEST_FPERIOD_OVERRIDE=FY","FILING_STATUS=OR","EQY_CONSOLIDATED=Y","Sort=A","Dates=H","DateFormat=P","Fill=—","Direction=H","UseDPDF=Y")</f>
        <v>#NAME?</v>
      </c>
      <c r="BP588" s="1" t="e">
        <f ca="1">_xll.BDH($C$578,"MODIFIED_WORKING_CPTL_SEQ_GRWTH","FY 2016","FY 2016","Currency=INR","Period=FY","BEST_FPERIOD_OVERRIDE=FY","FILING_STATUS=OR","EQY_CONSOLIDATED=Y","Sort=A","Dates=H","DateFormat=P","Fill=—","Direction=H","UseDPDF=Y")</f>
        <v>#NAME?</v>
      </c>
      <c r="BQ588" s="1" t="e">
        <f ca="1">_xll.BDH($C$578,"WORKING_CAPITAL_SEQ_GROWTH","FY 2016","FY 2016","Currency=INR","Period=FY","BEST_FPERIOD_OVERRIDE=FY","FILING_STATUS=OR","EQY_CONSOLIDATED=Y","Sort=A","Dates=H","DateFormat=P","Fill=—","Direction=H","UseDPDF=Y")</f>
        <v>#NAME?</v>
      </c>
      <c r="BR588" s="1" t="e">
        <f ca="1">_xll.BDH($C$578,"ACCOUNTS_PAYABLE_SEQ_GROWTH","FY 2016","FY 2016","Currency=INR","Period=FY","BEST_FPERIOD_OVERRIDE=FY","FILING_STATUS=OR","EQY_CONSOLIDATED=Y","Sort=A","Dates=H","DateFormat=P","Fill=—","Direction=H","UseDPDF=Y")</f>
        <v>#NAME?</v>
      </c>
      <c r="BS588" s="1" t="e">
        <f ca="1">_xll.BDH($C$578,"ST_DEBT_SEQUENTIAL_GROWTH","FY 2016","FY 2016","Currency=INR","Period=FY","BEST_FPERIOD_OVERRIDE=FY","FILING_STATUS=OR","EQY_CONSOLIDATED=Y","Sort=A","Dates=H","DateFormat=P","Fill=—","Direction=H","UseDPDF=Y")</f>
        <v>#NAME?</v>
      </c>
      <c r="BT588" s="1" t="e">
        <f ca="1">_xll.BDH($C$578,"TOTAL_DEBT_SEQUENTIAL_GROWTH","FY 2016","FY 2016","Currency=INR","Period=FY","BEST_FPERIOD_OVERRIDE=FY","FILING_STATUS=OR","EQY_CONSOLIDATED=Y","Sort=A","Dates=H","DateFormat=P","Fill=—","Direction=H","UseDPDF=Y")</f>
        <v>#NAME?</v>
      </c>
      <c r="BU588" s="1" t="e">
        <f ca="1">_xll.BDH($C$578,"TOTAL_EQUITY_SEQUENTIAL_GROWTH","FY 2016","FY 2016","Currency=INR","Period=FY","BEST_FPERIOD_OVERRIDE=FY","FILING_STATUS=OR","EQY_CONSOLIDATED=Y","Sort=A","Dates=H","DateFormat=P","Fill=—","Direction=H","UseDPDF=Y")</f>
        <v>#NAME?</v>
      </c>
      <c r="BV588" s="1" t="e">
        <f ca="1">_xll.BDH($C$578,"TOTAL_CAPITAL_SEQUENTIAL_GROWTH","FY 2016","FY 2016","Currency=INR","Period=FY","BEST_FPERIOD_OVERRIDE=FY","FILING_STATUS=OR","EQY_CONSOLIDATED=Y","Sort=A","Dates=H","DateFormat=P","Fill=—","Direction=H","UseDPDF=Y")</f>
        <v>#NAME?</v>
      </c>
      <c r="BW588" s="1" t="e">
        <f ca="1">_xll.BDH($C$578,"BPS_SEQUENTIAL_GROWTH","FY 2016","FY 2016","Currency=INR","Period=FY","BEST_FPERIOD_OVERRIDE=FY","FILING_STATUS=OR","EQY_CONSOLIDATED=Y","Sort=A","Dates=H","DateFormat=P","Fill=—","Direction=H","UseDPDF=Y")</f>
        <v>#NAME?</v>
      </c>
      <c r="BX588" s="1" t="e">
        <f ca="1">_xll.BDH($C$578,"CFO_SEQUENTIAL_GROWTH","FY 2016","FY 2016","Currency=INR","Period=FY","BEST_FPERIOD_OVERRIDE=FY","FILING_STATUS=OR","EQY_CONSOLIDATED=Y","Sort=A","Dates=H","DateFormat=P","Fill=—","Direction=H","UseDPDF=Y")</f>
        <v>#NAME?</v>
      </c>
      <c r="BY588" s="2" t="e">
        <f ca="1">_xll.BDH($C$578,"SHORT_AND_LONG_TERM_DEBT","FY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88" s="2" t="e">
        <f ca="1">_xll.BDH($C$578,"BS_ST_BORROW","FY 2016","FY 2016","Currency=INR","Period=FY","BEST_FPERIOD_OVERRIDE=FY","FILING_STATUS=OR","EQY_CONSOLIDATED=Y","SCALING_FORMAT=MLN","Sort=A","Dates=H","DateFormat=P","Fill=—","Direction=H","UseDPDF=Y")</f>
        <v>#NAME?</v>
      </c>
      <c r="CA588" s="2" t="e">
        <f ca="1">_xll.BDH($C$578,"BS_LT_BORROW","FY 2016","FY 2016","Currency=INR","Period=FY","BEST_FPERIOD_OVERRIDE=FY","FILING_STATUS=OR","EQY_CONSOLIDATED=Y","SCALING_FORMAT=MLN","Sort=A","Dates=H","DateFormat=P","Fill=—","Direction=H","UseDPDF=Y")</f>
        <v>#NAME?</v>
      </c>
      <c r="CB588" s="1" t="e">
        <f ca="1">_xll.BDH($C$578,"TOT_DEBT_TO_EBITDA","FY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588" s="1" t="e">
        <f ca="1">_xll.BDH($C$578,"NET_DEBT_TO_EBITDA","FY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588" s="1" t="e">
        <f ca="1">_xll.BDH($C$578,"TOTAL_DEBT_TO_EBIT","FY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588" s="1" t="e">
        <f ca="1">_xll.BDH($C$578,"NET_DEBT_TO_EBIT","FY 2016","FY 2016","Currency=INR","Period=FY","BEST_FPERIOD_OVERRIDE=FY","FILING_STATUS=OR","EQY_CONSOLIDATED=Y","FA_ADJUSTED=GAAP","Sort=A","Dates=H","DateFormat=P","Fill=—","Direction=H","UseDPDF=Y")</f>
        <v>#NAME?</v>
      </c>
      <c r="CF588" s="1" t="e">
        <f ca="1">_xll.BDH($C$578,"EBITDA_TO_INTEREST_EXPN","FY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88" s="1" t="e">
        <f ca="1">_xll.BDH($C$578,"COM_EQY_TO_TOT_ASSET","FY 2016","FY 2016","Currency=INR","Period=FY","BEST_FPERIOD_OVERRIDE=FY","FILING_STATUS=OR","EQY_CONSOLIDATED=Y","Sort=A","Dates=H","DateFormat=P","Fill=—","Direction=H","UseDPDF=Y")</f>
        <v>#NAME?</v>
      </c>
      <c r="CH588" s="1" t="e">
        <f ca="1">_xll.BDH($C$578,"LT_DEBT_TO_TOT_EQY","FY 2016","FY 2016","Currency=INR","Period=FY","BEST_FPERIOD_OVERRIDE=FY","FILING_STATUS=OR","EQY_CONSOLIDATED=Y","Sort=A","Dates=H","DateFormat=P","Fill=—","Direction=H","UseDPDF=Y")</f>
        <v>#NAME?</v>
      </c>
      <c r="CI588" s="1" t="e">
        <f ca="1">_xll.BDH($C$578,"LT_DEBT_TO_TOT_CAP","FY 2016","FY 2016","Currency=INR","Period=FY","BEST_FPERIOD_OVERRIDE=FY","FILING_STATUS=OR","EQY_CONSOLIDATED=Y","Sort=A","Dates=H","DateFormat=P","Fill=—","Direction=H","UseDPDF=Y")</f>
        <v>#NAME?</v>
      </c>
      <c r="CJ588" s="1" t="e">
        <f ca="1">_xll.BDH($C$578,"LT_DEBT_TO_TOT_ASSET","FY 2016","FY 2016","Currency=INR","Period=FY","BEST_FPERIOD_OVERRIDE=FY","FILING_STATUS=OR","EQY_CONSOLIDATED=Y","Sort=A","Dates=H","DateFormat=P","Fill=—","Direction=H","UseDPDF=Y")</f>
        <v>#NAME?</v>
      </c>
      <c r="CK588" s="1" t="e">
        <f ca="1">_xll.BDH($C$578,"TOT_DEBT_TO_TOT_EQY","FY 2016","FY 2016","Currency=INR","Period=FY","BEST_FPERIOD_OVERRIDE=FY","FILING_STATUS=OR","EQY_CONSOLIDATED=Y","Sort=A","Dates=H","DateFormat=P","Fill=—","Direction=H","UseDPDF=Y")</f>
        <v>#NAME?</v>
      </c>
      <c r="CL588" s="1" t="e">
        <f ca="1">_xll.BDH($C$578,"TOT_DEBT_TO_TOT_CAP","FY 2016","FY 2016","Currency=INR","Period=FY","BEST_FPERIOD_OVERRIDE=FY","FILING_STATUS=OR","EQY_CONSOLIDATED=Y","Sort=A","Dates=H","DateFormat=P","Fill=—","Direction=H","UseDPDF=Y")</f>
        <v>#NAME?</v>
      </c>
      <c r="CM588" s="1" t="e">
        <f ca="1">_xll.BDH($C$578,"TOT_DEBT_TO_TOT_ASSET","FY 2016","FY 2016","Currency=INR","Period=FY","BEST_FPERIOD_OVERRIDE=FY","FILING_STATUS=OR","EQY_CONSOLIDATED=Y","Sort=A","Dates=H","DateFormat=P","Fill=—","Direction=H","UseDPDF=Y")</f>
        <v>#NAME?</v>
      </c>
      <c r="CN588" s="1" t="e">
        <f ca="1">_xll.BDH($C$578,"NET_DEBT_TO_SHRHLDR_EQTY","FY 2016","FY 2016","Currency=INR","Period=FY","BEST_FPERIOD_OVERRIDE=FY","FILING_STATUS=OR","EQY_CONSOLIDATED=Y","Sort=A","Dates=H","DateFormat=P","Fill=—","Direction=H","UseDPDF=Y")</f>
        <v>#NAME?</v>
      </c>
      <c r="CO588" s="1" t="e">
        <f ca="1">_xll.BDH($C$578,"NET_DEBT_%_CAPITAL","FY 2016","FY 2016","Currency=INR","Period=FY","BEST_FPERIOD_OVERRIDE=FY","FILING_STATUS=OR","EQY_CONSOLIDATED=Y","Sort=A","Dates=H","DateFormat=P","Fill=—","Direction=H","UseDPDF=Y")</f>
        <v>#NAME?</v>
      </c>
      <c r="CP588" s="2" t="e">
        <f ca="1">_xll.BDH($C$578,"EBITDA","FY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88" s="2" t="e">
        <f ca="1">_xll.BDH($C$578,"EBITDA_AFTER_CAPEX","FY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88" s="2" t="e">
        <f ca="1">_xll.BDH($C$578,"IS_OPER_INC","FY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88" s="1" t="e">
        <f ca="1">_xll.BDH($C$578,"CASH_RATIO","FY 2016","FY 2016","Currency=INR","Period=FY","BEST_FPERIOD_OVERRIDE=FY","FILING_STATUS=OR","EQY_CONSOLIDATED=Y","Sort=A","Dates=H","DateFormat=P","Fill=—","Direction=H","UseDPDF=Y")</f>
        <v>#NAME?</v>
      </c>
      <c r="CT588" s="1" t="e">
        <f ca="1">_xll.BDH($C$578,"CUR_RATIO","FY 2016","FY 2016","Currency=INR","Period=FY","BEST_FPERIOD_OVERRIDE=FY","FILING_STATUS=OR","EQY_CONSOLIDATED=Y","Sort=A","Dates=H","DateFormat=P","Fill=—","Direction=H","UseDPDF=Y")</f>
        <v>#NAME?</v>
      </c>
      <c r="CU588" s="1" t="e">
        <f ca="1">_xll.BDH($C$578,"QUICK_RATIO","FY 2016","FY 2016","Currency=INR","Period=FY","BEST_FPERIOD_OVERRIDE=FY","FILING_STATUS=OR","EQY_CONSOLIDATED=Y","Sort=A","Dates=H","DateFormat=P","Fill=—","Direction=H","UseDPDF=Y")</f>
        <v>#NAME?</v>
      </c>
      <c r="CV588" s="1" t="e">
        <f ca="1">_xll.BDH($C$578,"ALTMAN_Z_SCORE","FY 2016","FY 2016","Currency=INR","Period=FY","BEST_FPERIOD_OVERRIDE=FY","FILING_STATUS=OR","EQY_CONSOLIDATED=Y","Sort=A","Dates=H","DateFormat=P","Fill=—","Direction=H","UseDPDF=Y")</f>
        <v>#NAME?</v>
      </c>
      <c r="CW588" s="3" t="e">
        <f ca="1">_xll.BDH($C$578,"ACCT_RCV_TURN","FY 2016","FY 2016","Currency=INR","Period=FY","BEST_FPERIOD_OVERRIDE=FY","FILING_STATUS=OR","EQY_CONSOLIDATED=Y","FA_ADJUSTED=GAAP","Sort=A","Dates=H","DateFormat=P","Fill=—","Direction=H","UseDPDF=Y")</f>
        <v>#NAME?</v>
      </c>
      <c r="CX588" s="1" t="e">
        <f ca="1">_xll.BDH($C$578,"ACCT_RCV_DAYS","FY 2016","FY 2016","Currency=INR","Period=FY","BEST_FPERIOD_OVERRIDE=FY","FILING_STATUS=OR","EQY_CONSOLIDATED=Y","FA_ADJUSTED=GAAP","Sort=A","Dates=H","DateFormat=P","Fill=—","Direction=H","UseDPDF=Y")</f>
        <v>#NAME?</v>
      </c>
      <c r="CY588" s="3" t="e">
        <f ca="1">_xll.BDH($C$578,"INVENT_TURN","FY 2016","FY 2016","Currency=INR","Period=FY","BEST_FPERIOD_OVERRIDE=FY","FILING_STATUS=OR","EQY_CONSOLIDATED=Y","FA_ADJUSTED=GAAP","Sort=A","Dates=H","DateFormat=P","Fill=—","Direction=H","UseDPDF=Y")</f>
        <v>#NAME?</v>
      </c>
      <c r="CZ588" s="1" t="e">
        <f ca="1">_xll.BDH($C$578,"INVENT_DAYS","FY 2016","FY 2016","Currency=INR","Period=FY","BEST_FPERIOD_OVERRIDE=FY","FILING_STATUS=OR","EQY_CONSOLIDATED=Y","FA_ADJUSTED=GAAP","Sort=A","Dates=H","DateFormat=P","Fill=—","Direction=H","UseDPDF=Y")</f>
        <v>#NAME?</v>
      </c>
      <c r="DA588" s="3" t="e">
        <f ca="1">_xll.BDH($C$578,"ACCOUNTS_PAYABLE_TURNOVER","FY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88" s="1" t="e">
        <f ca="1">_xll.BDH($C$578,"ACCOUNTS_PAYABLE_TURNOVER_DAYS","FY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88" s="3" t="e">
        <f ca="1">_xll.BDH($C$578,"CASH_CONVERSION_CYCLE","FY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88" s="3" t="e">
        <f ca="1">_xll.BDH($C$578,"INV_TO_CASH_DAYS","FY 2016","FY 2016","Currency=INR","Period=FY","BEST_FPERIOD_OVERRIDE=FY","FILING_STATUS=OR","EQY_CONSOLIDATED=Y","FA_ADJUSTED=GAAP","Sort=A","Dates=H","DateFormat=P","Fill=—","Direction=H","UseDPDF=Y")</f>
        <v>#NAME?</v>
      </c>
      <c r="DE588" s="4" t="e">
        <f ca="1">_xll.BDH($C$578,"BS_INVENTORIES","FY 2016","FY 2016","Currency=INR","Period=FY","BEST_FPERIOD_OVERRIDE=FY","FILING_STATUS=OR","EQY_CONSOLIDATED=Y","SCALING_FORMAT=MLN","Sort=A","Dates=H","DateFormat=P","Fill=—","Direction=H","UseDPDF=Y")</f>
        <v>#NAME?</v>
      </c>
      <c r="DF588" s="2" t="e">
        <f ca="1">_xll.BDH($C$578,"INVTRY_RAW_MATERIALS","FY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88" s="2" t="e">
        <f ca="1">_xll.BDH($C$578,"INVTRY_IN_PROGRESS","FY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88" s="2" t="e">
        <f ca="1">_xll.BDH($C$578,"INVTRY_FINISHED_GOODS","FY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88" s="2" t="e">
        <f ca="1">_xll.BDH($C$578,"BS_OTHER_INV","FY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89" spans="1:113" x14ac:dyDescent="0.3">
      <c r="A589" s="6"/>
      <c r="B589" s="6"/>
      <c r="C589" s="6"/>
      <c r="D589" s="6"/>
      <c r="E589" t="s">
        <v>4</v>
      </c>
      <c r="F589" t="e">
        <f ca="1">_xll.BDH($C$578,"RETURN_COM_EQY","FQ1 2016","FQ1 2016","Currency=INR","Period=FQ","BEST_FPERIOD_OVERRIDE=FQ","FILING_STATUS=OR","EQY_CONSOLIDATED=Y","FA_ADJUSTED=GAAP","Sort=A","Dates=H","DateFormat=P","Fill=—","Direction=H","UseDPDF=Y")</f>
        <v>#NAME?</v>
      </c>
      <c r="G589" t="e">
        <f ca="1">_xll.BDH($C$578,"RETURN_ON_ASSET","FQ1 2016","FQ1 2016","Currency=INR","Period=FQ","BEST_FPERIOD_OVERRIDE=FQ","FILING_STATUS=OR","EQY_CONSOLIDATED=Y","FA_ADJUSTED=GAAP","Sort=A","Dates=H","DateFormat=P","Fill=—","Direction=H","UseDPDF=Y")</f>
        <v>#NAME?</v>
      </c>
      <c r="H589" t="e">
        <f ca="1">_xll.BDH($C$578,"RETURN_ON_CAP","FQ1 2016","FQ1 2016","Currency=INR","Period=FQ","BEST_FPERIOD_OVERRIDE=FQ","FILING_STATUS=OR","EQY_CONSOLIDATED=Y","FA_ADJUSTED=GAAP","Sort=A","Dates=H","DateFormat=P","Fill=—","Direction=H","UseDPDF=Y")</f>
        <v>#NAME?</v>
      </c>
      <c r="I589" t="e">
        <f ca="1">_xll.BDH($C$578,"RETURN_ON_INV_CAPITAL","FQ1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89" t="e">
        <f ca="1">_xll.BDH($C$578,"EBITDA_TO_REVENUE","FQ1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589" t="e">
        <f ca="1">_xll.BDH($C$578,"OPER_MARGIN","FQ1 2016","FQ1 2016","Currency=INR","Period=FQ","BEST_FPERIOD_OVERRIDE=FQ","FILING_STATUS=OR","EQY_CONSOLIDATED=Y","FA_ADJUSTED=GAAP","Sort=A","Dates=H","DateFormat=P","Fill=—","Direction=H","UseDPDF=Y")</f>
        <v>#NAME?</v>
      </c>
      <c r="L589" t="e">
        <f ca="1">_xll.BDH($C$578,"INCREMENTAL_OPERATING_MARGIN","FQ1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89" t="e">
        <f ca="1">_xll.BDH($C$578,"PRETAX_INC_TO_NET_SALES","FQ1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89" t="e">
        <f ca="1">_xll.BDH($C$578,"INC_BEF_XO_ITEMS_TO_NET_SALES","FQ1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89" t="e">
        <f ca="1">_xll.BDH($C$578,"PROF_MARGIN","FQ1 2016","FQ1 2016","Currency=INR","Period=FQ","BEST_FPERIOD_OVERRIDE=FQ","FILING_STATUS=OR","EQY_CONSOLIDATED=Y","FA_ADJUSTED=GAAP","Sort=A","Dates=H","DateFormat=P","Fill=—","Direction=H","UseDPDF=Y")</f>
        <v>#NAME?</v>
      </c>
      <c r="P589" t="e">
        <f ca="1">_xll.BDH($C$578,"NET_INCOME_TO_COMMON_MARGIN","FQ1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89" t="e">
        <f ca="1">_xll.BDH($C$578,"EFF_TAX_RATE","FQ1 2016","FQ1 2016","Currency=INR","Period=FQ","BEST_FPERIOD_OVERRIDE=FQ","FILING_STATUS=OR","EQY_CONSOLIDATED=Y","FA_ADJUSTED=GAAP","Sort=A","Dates=H","DateFormat=P","Fill=—","Direction=H","UseDPDF=Y")</f>
        <v>#NAME?</v>
      </c>
      <c r="R589" t="e">
        <f ca="1">_xll.BDH($C$578,"DVD_PAYOUT_RATIO","FQ1 2016","FQ1 2016","Currency=INR","Period=FQ","BEST_FPERIOD_OVERRIDE=FQ","FILING_STATUS=OR","EQY_CONSOLIDATED=Y","FA_ADJUSTED=GAAP","Sort=A","Dates=H","DateFormat=P","Fill=—","Direction=H","UseDPDF=Y")</f>
        <v>#NAME?</v>
      </c>
      <c r="S589" t="e">
        <f ca="1">_xll.BDH($C$578,"SUSTAIN_GROWTH_RT","FQ1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589" s="1" t="e">
        <f ca="1">_xll.BDH($C$578,"SALES_GROWTH","FQ1 2016","FQ1 2016","Currency=INR","Period=FQ","BEST_FPERIOD_OVERRIDE=FQ","FILING_STATUS=OR","EQY_CONSOLIDATED=Y","FA_ADJUSTED=GAAP","Sort=A","Dates=H","DateFormat=P","Fill=—","Direction=H","UseDPDF=Y")</f>
        <v>#NAME?</v>
      </c>
      <c r="U589" s="1" t="e">
        <f ca="1">_xll.BDH($C$578,"EBITDA_GROWTH","FQ1 2016","FQ1 2016","Currency=INR","Period=FQ","BEST_FPERIOD_OVERRIDE=FQ","FILING_STATUS=OR","EQY_CONSOLIDATED=Y","FA_ADJUSTED=GAAP","Sort=A","Dates=H","DateFormat=P","Fill=—","Direction=H","UseDPDF=Y")</f>
        <v>#NAME?</v>
      </c>
      <c r="V589" s="1" t="e">
        <f ca="1">_xll.BDH($C$578,"OPER_INC_GROWTH","FQ1 2016","FQ1 2016","Currency=INR","Period=FQ","BEST_FPERIOD_OVERRIDE=FQ","FILING_STATUS=OR","EQY_CONSOLIDATED=Y","FA_ADJUSTED=GAAP","Sort=A","Dates=H","DateFormat=P","Fill=—","Direction=H","UseDPDF=Y")</f>
        <v>#NAME?</v>
      </c>
      <c r="W589" s="1" t="e">
        <f ca="1">_xll.BDH($C$578,"EARN_FOR_COM_GROWTH","FQ1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89" s="1" t="e">
        <f ca="1">_xll.BDH($C$578,"DILUTED_EPS_AFT_XO_ITEMS_GROWTH","FQ1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89" s="1" t="e">
        <f ca="1">_xll.BDH($C$578,"DIVIDEND_PER_SHARE_1_YEAR_GROWTH","FQ1 2016","FQ1 2016","Currency=INR","Period=FQ","BEST_FPERIOD_OVERRIDE=FQ","FILING_STATUS=OR","EQY_CONSOLIDATED=Y","Sort=A","Dates=H","DateFormat=P","Fill=—","Direction=H","UseDPDF=Y")</f>
        <v>#NAME?</v>
      </c>
      <c r="Z589" s="1" t="e">
        <f ca="1">_xll.BDH($C$578,"ACCOUNTS_RECEIVABLE_GROWTH","FQ1 2016","FQ1 2016","Currency=INR","Period=FQ","BEST_FPERIOD_OVERRIDE=FQ","FILING_STATUS=OR","EQY_CONSOLIDATED=Y","Sort=A","Dates=H","DateFormat=P","Fill=—","Direction=H","UseDPDF=Y")</f>
        <v>#NAME?</v>
      </c>
      <c r="AA589" s="1" t="e">
        <f ca="1">_xll.BDH($C$578,"INVENTORY_GROWTH","FQ1 2016","FQ1 2016","Currency=INR","Period=FQ","BEST_FPERIOD_OVERRIDE=FQ","FILING_STATUS=OR","EQY_CONSOLIDATED=Y","Sort=A","Dates=H","DateFormat=P","Fill=—","Direction=H","UseDPDF=Y")</f>
        <v>#NAME?</v>
      </c>
      <c r="AB589" s="1" t="e">
        <f ca="1">_xll.BDH($C$578,"NET_FIXED_ASSETS_1_YEAR_GROWTH","FQ1 2016","FQ1 2016","Currency=INR","Period=FQ","BEST_FPERIOD_OVERRIDE=FQ","FILING_STATUS=OR","EQY_CONSOLIDATED=Y","Sort=A","Dates=H","DateFormat=P","Fill=—","Direction=H","UseDPDF=Y")</f>
        <v>#NAME?</v>
      </c>
      <c r="AC589" s="1" t="e">
        <f ca="1">_xll.BDH($C$578,"ASSET_GROWTH","FQ1 2016","FQ1 2016","Currency=INR","Period=FQ","BEST_FPERIOD_OVERRIDE=FQ","FILING_STATUS=OR","EQY_CONSOLIDATED=Y","Sort=A","Dates=H","DateFormat=P","Fill=—","Direction=H","UseDPDF=Y")</f>
        <v>#NAME?</v>
      </c>
      <c r="AD589" s="1" t="e">
        <f ca="1">_xll.BDH($C$578,"MODIFIED_WORK_CAP_GROWTH","FQ1 2016","FQ1 2016","Currency=INR","Period=FQ","BEST_FPERIOD_OVERRIDE=FQ","FILING_STATUS=OR","EQY_CONSOLIDATED=Y","Sort=A","Dates=H","DateFormat=P","Fill=—","Direction=H","UseDPDF=Y")</f>
        <v>#NAME?</v>
      </c>
      <c r="AE589" s="1" t="e">
        <f ca="1">_xll.BDH($C$578,"WORK_CAP_GROWTH","FQ1 2016","FQ1 2016","Currency=INR","Period=FQ","BEST_FPERIOD_OVERRIDE=FQ","FILING_STATUS=OR","EQY_CONSOLIDATED=Y","Sort=A","Dates=H","DateFormat=P","Fill=—","Direction=H","UseDPDF=Y")</f>
        <v>#NAME?</v>
      </c>
      <c r="AF589" s="1" t="e">
        <f ca="1">_xll.BDH($C$578,"ACCOUNTS_PAYABLE_GROWTH_1YR","FQ1 2016","FQ1 2016","Currency=INR","Period=FQ","BEST_FPERIOD_OVERRIDE=FQ","FILING_STATUS=OR","EQY_CONSOLIDATED=Y","Sort=A","Dates=H","DateFormat=P","Fill=—","Direction=H","UseDPDF=Y")</f>
        <v>#NAME?</v>
      </c>
      <c r="AG589" s="1" t="e">
        <f ca="1">_xll.BDH($C$578,"SHORT_TERM_DEBT_1_YEAR_GROWTH","FQ1 2016","FQ1 2016","Currency=INR","Period=FQ","BEST_FPERIOD_OVERRIDE=FQ","FILING_STATUS=OR","EQY_CONSOLIDATED=Y","Sort=A","Dates=H","DateFormat=P","Fill=—","Direction=H","UseDPDF=Y")</f>
        <v>#NAME?</v>
      </c>
      <c r="AH589" s="1" t="e">
        <f ca="1">_xll.BDH($C$578,"TOTAL_DEBT_1_YEAR_GROWTH","FQ1 2016","FQ1 2016","Currency=INR","Period=FQ","BEST_FPERIOD_OVERRIDE=FQ","FILING_STATUS=OR","EQY_CONSOLIDATED=Y","Sort=A","Dates=H","DateFormat=P","Fill=—","Direction=H","UseDPDF=Y")</f>
        <v>#NAME?</v>
      </c>
      <c r="AI589" s="1" t="e">
        <f ca="1">_xll.BDH($C$578,"TOTAL_EQUITY_1_YEAR_GROWTH","FQ1 2016","FQ1 2016","Currency=INR","Period=FQ","BEST_FPERIOD_OVERRIDE=FQ","FILING_STATUS=OR","EQY_CONSOLIDATED=Y","Sort=A","Dates=H","DateFormat=P","Fill=—","Direction=H","UseDPDF=Y")</f>
        <v>#NAME?</v>
      </c>
      <c r="AJ589" s="1" t="e">
        <f ca="1">_xll.BDH($C$578,"GROWTH_IN_CAP","FQ1 2016","FQ1 2016","Currency=INR","Period=FQ","BEST_FPERIOD_OVERRIDE=FQ","FILING_STATUS=OR","EQY_CONSOLIDATED=Y","Sort=A","Dates=H","DateFormat=P","Fill=—","Direction=H","UseDPDF=Y")</f>
        <v>#NAME?</v>
      </c>
      <c r="AK589" s="1" t="e">
        <f ca="1">_xll.BDH($C$578,"BVPS_GROWTH","FQ1 2016","FQ1 2016","Currency=INR","Period=FQ","BEST_FPERIOD_OVERRIDE=FQ","FILING_STATUS=OR","EQY_CONSOLIDATED=Y","Sort=A","Dates=H","DateFormat=P","Fill=—","Direction=H","UseDPDF=Y")</f>
        <v>#NAME?</v>
      </c>
      <c r="AL589" s="1" t="e">
        <f ca="1">_xll.BDH($C$578,"CASH_FLOW_GROWTH","FQ1 2016","FQ1 2016","Currency=INR","Period=FQ","BEST_FPERIOD_OVERRIDE=FQ","FILING_STATUS=OR","EQY_CONSOLIDATED=Y","Sort=A","Dates=H","DateFormat=P","Fill=—","Direction=H","UseDPDF=Y")</f>
        <v>#NAME?</v>
      </c>
      <c r="AM589" s="1" t="e">
        <f ca="1">_xll.BDH($C$578,"GEO_GROW_NET_SALES","FQ1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89" s="1" t="e">
        <f ca="1">_xll.BDH($C$578,"GEO_GROW_EBITDA","FQ1 2016","FQ1 2016","Currency=INR","Period=FQ","BEST_FPERIOD_OVERRIDE=FQ","FILING_STATUS=OR","EQY_CONSOLIDATED=Y","FA_ADJUSTED=GAAP","Sort=A","Dates=H","DateFormat=P","Fill=—","Direction=H","UseDPDF=Y")</f>
        <v>#NAME?</v>
      </c>
      <c r="AO589" s="1" t="e">
        <f ca="1">_xll.BDH($C$578,"GEO_GROW_OPER_INC","FQ1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89" s="1" t="e">
        <f ca="1">_xll.BDH($C$578,"NET_INCOME_TO_COMMON_5_YR_GROWTH","FQ1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89" s="1" t="e">
        <f ca="1">_xll.BDH($C$578,"5Y_GEO_GROWTH_DILUTED_EPS","FQ1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89" s="1" t="e">
        <f ca="1">_xll.BDH($C$578,"GEO_GROW_DVD_PER_SH","FQ1 2016","FQ1 2016","Currency=INR","Period=FQ","BEST_FPERIOD_OVERRIDE=FQ","FILING_STATUS=OR","EQY_CONSOLIDATED=Y","Sort=A","Dates=H","DateFormat=P","Fill=—","Direction=H","UseDPDF=Y")</f>
        <v>#NAME?</v>
      </c>
      <c r="AS589" s="1" t="e">
        <f ca="1">_xll.BDH($C$578,"ACCOUNTS_RECEIVABLE_5_YR_GROWTH","FQ1 2016","FQ1 2016","Currency=INR","Period=FQ","BEST_FPERIOD_OVERRIDE=FQ","FILING_STATUS=OR","EQY_CONSOLIDATED=Y","Sort=A","Dates=H","DateFormat=P","Fill=—","Direction=H","UseDPDF=Y")</f>
        <v>#NAME?</v>
      </c>
      <c r="AT589" s="1" t="e">
        <f ca="1">_xll.BDH($C$578,"INVENTORY_5_YEAR_GROWTH","FQ1 2016","FQ1 2016","Currency=INR","Period=FQ","BEST_FPERIOD_OVERRIDE=FQ","FILING_STATUS=OR","EQY_CONSOLIDATED=Y","Sort=A","Dates=H","DateFormat=P","Fill=—","Direction=H","UseDPDF=Y")</f>
        <v>#NAME?</v>
      </c>
      <c r="AU589" s="1" t="e">
        <f ca="1">_xll.BDH($C$578,"NET_FIXED_ASSETS_5_YEAR_GROWTH","FQ1 2016","FQ1 2016","Currency=INR","Period=FQ","BEST_FPERIOD_OVERRIDE=FQ","FILING_STATUS=OR","EQY_CONSOLIDATED=Y","Sort=A","Dates=H","DateFormat=P","Fill=—","Direction=H","UseDPDF=Y")</f>
        <v>#NAME?</v>
      </c>
      <c r="AV589" s="1" t="e">
        <f ca="1">_xll.BDH($C$578,"GEO_GROW_TOT_ASSET","FQ1 2016","FQ1 2016","Currency=INR","Period=FQ","BEST_FPERIOD_OVERRIDE=FQ","FILING_STATUS=OR","EQY_CONSOLIDATED=Y","Sort=A","Dates=H","DateFormat=P","Fill=—","Direction=H","UseDPDF=Y")</f>
        <v>#NAME?</v>
      </c>
      <c r="AW589" s="1" t="e">
        <f ca="1">_xll.BDH($C$578,"MODIFIED_WORKING_CPTL_5YR_GRWTH","FQ1 2016","FQ1 2016","Currency=INR","Period=FQ","BEST_FPERIOD_OVERRIDE=FQ","FILING_STATUS=OR","EQY_CONSOLIDATED=Y","Sort=A","Dates=H","DateFormat=P","Fill=—","Direction=H","UseDPDF=Y")</f>
        <v>#NAME?</v>
      </c>
      <c r="AX589" s="1" t="e">
        <f ca="1">_xll.BDH($C$578,"WORKING_CAPITAL_5_YEAR_GROWTH","FQ1 2016","FQ1 2016","Currency=INR","Period=FQ","BEST_FPERIOD_OVERRIDE=FQ","FILING_STATUS=OR","EQY_CONSOLIDATED=Y","Sort=A","Dates=H","DateFormat=P","Fill=—","Direction=H","UseDPDF=Y")</f>
        <v>#NAME?</v>
      </c>
      <c r="AY589" s="1" t="e">
        <f ca="1">_xll.BDH($C$578,"ACCOUNTS_PAYABLE_5_YEAR_GROWTH","FQ1 2016","FQ1 2016","Currency=INR","Period=FQ","BEST_FPERIOD_OVERRIDE=FQ","FILING_STATUS=OR","EQY_CONSOLIDATED=Y","Sort=A","Dates=H","DateFormat=P","Fill=—","Direction=H","UseDPDF=Y")</f>
        <v>#NAME?</v>
      </c>
      <c r="AZ589" s="1" t="e">
        <f ca="1">_xll.BDH($C$578,"SHORT_TERM_DEBT_5_YEAR_GROWTH","FQ1 2016","FQ1 2016","Currency=INR","Period=FQ","BEST_FPERIOD_OVERRIDE=FQ","FILING_STATUS=OR","EQY_CONSOLIDATED=Y","Sort=A","Dates=H","DateFormat=P","Fill=—","Direction=H","UseDPDF=Y")</f>
        <v>#NAME?</v>
      </c>
      <c r="BA589" s="1" t="e">
        <f ca="1">_xll.BDH($C$578,"TOTAL_DEBT_5_YEAR_GROWTH","FQ1 2016","FQ1 2016","Currency=INR","Period=FQ","BEST_FPERIOD_OVERRIDE=FQ","FILING_STATUS=OR","EQY_CONSOLIDATED=Y","Sort=A","Dates=H","DateFormat=P","Fill=—","Direction=H","UseDPDF=Y")</f>
        <v>#NAME?</v>
      </c>
      <c r="BB589" s="1" t="e">
        <f ca="1">_xll.BDH($C$578,"GEO_GROW_TOT_SHRHLDR_EQY","FQ1 2016","FQ1 2016","Currency=INR","Period=FQ","BEST_FPERIOD_OVERRIDE=FQ","FILING_STATUS=OR","EQY_CONSOLIDATED=Y","Sort=A","Dates=H","DateFormat=P","Fill=—","Direction=H","UseDPDF=Y")</f>
        <v>#NAME?</v>
      </c>
      <c r="BC589" s="1" t="e">
        <f ca="1">_xll.BDH($C$578,"TOTAL_CAPITAL_5_YEAR_GROWTH","FQ1 2016","FQ1 2016","Currency=INR","Period=FQ","BEST_FPERIOD_OVERRIDE=FQ","FILING_STATUS=OR","EQY_CONSOLIDATED=Y","Sort=A","Dates=H","DateFormat=P","Fill=—","Direction=H","UseDPDF=Y")</f>
        <v>#NAME?</v>
      </c>
      <c r="BD589" s="1" t="e">
        <f ca="1">_xll.BDH($C$578,"GEO_GROW_BOOK_VAL","FQ1 2016","FQ1 2016","Currency=INR","Period=FQ","BEST_FPERIOD_OVERRIDE=FQ","FILING_STATUS=OR","EQY_CONSOLIDATED=Y","Sort=A","Dates=H","DateFormat=P","Fill=—","Direction=H","UseDPDF=Y")</f>
        <v>#NAME?</v>
      </c>
      <c r="BE589" s="1" t="e">
        <f ca="1">_xll.BDH($C$578,"GEO_GROW_CASH_OPER_ACT","FQ1 2016","FQ1 2016","Currency=INR","Period=FQ","BEST_FPERIOD_OVERRIDE=FQ","FILING_STATUS=OR","EQY_CONSOLIDATED=Y","Sort=A","Dates=H","DateFormat=P","Fill=—","Direction=H","UseDPDF=Y")</f>
        <v>#NAME?</v>
      </c>
      <c r="BF589" s="1" t="e">
        <f ca="1">_xll.BDH($C$578,"REVENUE_SEQUENTIAL_GROWTH","FQ1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89" s="1" t="e">
        <f ca="1">_xll.BDH($C$578,"EBITDA_SEQUENTIAL_GROWTH","FQ1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89" s="1" t="e">
        <f ca="1">_xll.BDH($C$578,"OPERATING_INCOME_SEQ_GROWTH","FQ1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89" s="1" t="e">
        <f ca="1">_xll.BDH($C$578,"NET_INCOME_TO_COMMON_SEQ_GROWTH","FQ1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89" s="1" t="e">
        <f ca="1">_xll.BDH($C$578,"EPS_DILUTED_SEQUENTIAL_GROWTH","FQ1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89" s="1" t="e">
        <f ca="1">_xll.BDH($C$578,"DPS_SEQUENTIAL_GROWTH","FQ1 2016","FQ1 2016","Currency=INR","Period=FQ","BEST_FPERIOD_OVERRIDE=FQ","FILING_STATUS=OR","EQY_CONSOLIDATED=Y","Sort=A","Dates=H","DateFormat=P","Fill=—","Direction=H","UseDPDF=Y")</f>
        <v>#NAME?</v>
      </c>
      <c r="BL589" s="1" t="e">
        <f ca="1">_xll.BDH($C$578,"ACCOUNTS_RECEIVABLE_SEQ_GROWTH","FQ1 2016","FQ1 2016","Currency=INR","Period=FQ","BEST_FPERIOD_OVERRIDE=FQ","FILING_STATUS=OR","EQY_CONSOLIDATED=Y","Sort=A","Dates=H","DateFormat=P","Fill=—","Direction=H","UseDPDF=Y")</f>
        <v>#NAME?</v>
      </c>
      <c r="BM589" s="1" t="e">
        <f ca="1">_xll.BDH($C$578,"INVENTORY_SEQUENTIAL_GROWTH","FQ1 2016","FQ1 2016","Currency=INR","Period=FQ","BEST_FPERIOD_OVERRIDE=FQ","FILING_STATUS=OR","EQY_CONSOLIDATED=Y","Sort=A","Dates=H","DateFormat=P","Fill=—","Direction=H","UseDPDF=Y")</f>
        <v>#NAME?</v>
      </c>
      <c r="BN589" s="1" t="e">
        <f ca="1">_xll.BDH($C$578,"FIXED_ASSETS_SEQUENTIAL_GROWTH","FQ1 2016","FQ1 2016","Currency=INR","Period=FQ","BEST_FPERIOD_OVERRIDE=FQ","FILING_STATUS=OR","EQY_CONSOLIDATED=Y","Sort=A","Dates=H","DateFormat=P","Fill=—","Direction=H","UseDPDF=Y")</f>
        <v>#NAME?</v>
      </c>
      <c r="BO589" s="1" t="e">
        <f ca="1">_xll.BDH($C$578,"TOTAL_ASSETS_SEQUENTIAL_GROWTH","FQ1 2016","FQ1 2016","Currency=INR","Period=FQ","BEST_FPERIOD_OVERRIDE=FQ","FILING_STATUS=OR","EQY_CONSOLIDATED=Y","Sort=A","Dates=H","DateFormat=P","Fill=—","Direction=H","UseDPDF=Y")</f>
        <v>#NAME?</v>
      </c>
      <c r="BP589" s="1" t="e">
        <f ca="1">_xll.BDH($C$578,"MODIFIED_WORKING_CPTL_SEQ_GRWTH","FQ1 2016","FQ1 2016","Currency=INR","Period=FQ","BEST_FPERIOD_OVERRIDE=FQ","FILING_STATUS=OR","EQY_CONSOLIDATED=Y","Sort=A","Dates=H","DateFormat=P","Fill=—","Direction=H","UseDPDF=Y")</f>
        <v>#NAME?</v>
      </c>
      <c r="BQ589" s="1" t="e">
        <f ca="1">_xll.BDH($C$578,"WORKING_CAPITAL_SEQ_GROWTH","FQ1 2016","FQ1 2016","Currency=INR","Period=FQ","BEST_FPERIOD_OVERRIDE=FQ","FILING_STATUS=OR","EQY_CONSOLIDATED=Y","Sort=A","Dates=H","DateFormat=P","Fill=—","Direction=H","UseDPDF=Y")</f>
        <v>#NAME?</v>
      </c>
      <c r="BR589" s="1" t="e">
        <f ca="1">_xll.BDH($C$578,"ACCOUNTS_PAYABLE_SEQ_GROWTH","FQ1 2016","FQ1 2016","Currency=INR","Period=FQ","BEST_FPERIOD_OVERRIDE=FQ","FILING_STATUS=OR","EQY_CONSOLIDATED=Y","Sort=A","Dates=H","DateFormat=P","Fill=—","Direction=H","UseDPDF=Y")</f>
        <v>#NAME?</v>
      </c>
      <c r="BS589" s="1" t="e">
        <f ca="1">_xll.BDH($C$578,"ST_DEBT_SEQUENTIAL_GROWTH","FQ1 2016","FQ1 2016","Currency=INR","Period=FQ","BEST_FPERIOD_OVERRIDE=FQ","FILING_STATUS=OR","EQY_CONSOLIDATED=Y","Sort=A","Dates=H","DateFormat=P","Fill=—","Direction=H","UseDPDF=Y")</f>
        <v>#NAME?</v>
      </c>
      <c r="BT589" s="1" t="e">
        <f ca="1">_xll.BDH($C$578,"TOTAL_DEBT_SEQUENTIAL_GROWTH","FQ1 2016","FQ1 2016","Currency=INR","Period=FQ","BEST_FPERIOD_OVERRIDE=FQ","FILING_STATUS=OR","EQY_CONSOLIDATED=Y","Sort=A","Dates=H","DateFormat=P","Fill=—","Direction=H","UseDPDF=Y")</f>
        <v>#NAME?</v>
      </c>
      <c r="BU589" s="1" t="e">
        <f ca="1">_xll.BDH($C$578,"TOTAL_EQUITY_SEQUENTIAL_GROWTH","FQ1 2016","FQ1 2016","Currency=INR","Period=FQ","BEST_FPERIOD_OVERRIDE=FQ","FILING_STATUS=OR","EQY_CONSOLIDATED=Y","Sort=A","Dates=H","DateFormat=P","Fill=—","Direction=H","UseDPDF=Y")</f>
        <v>#NAME?</v>
      </c>
      <c r="BV589" s="1" t="e">
        <f ca="1">_xll.BDH($C$578,"TOTAL_CAPITAL_SEQUENTIAL_GROWTH","FQ1 2016","FQ1 2016","Currency=INR","Period=FQ","BEST_FPERIOD_OVERRIDE=FQ","FILING_STATUS=OR","EQY_CONSOLIDATED=Y","Sort=A","Dates=H","DateFormat=P","Fill=—","Direction=H","UseDPDF=Y")</f>
        <v>#NAME?</v>
      </c>
      <c r="BW589" s="1" t="e">
        <f ca="1">_xll.BDH($C$578,"BPS_SEQUENTIAL_GROWTH","FQ1 2016","FQ1 2016","Currency=INR","Period=FQ","BEST_FPERIOD_OVERRIDE=FQ","FILING_STATUS=OR","EQY_CONSOLIDATED=Y","Sort=A","Dates=H","DateFormat=P","Fill=—","Direction=H","UseDPDF=Y")</f>
        <v>#NAME?</v>
      </c>
      <c r="BX589" s="1" t="e">
        <f ca="1">_xll.BDH($C$578,"CFO_SEQUENTIAL_GROWTH","FQ1 2016","FQ1 2016","Currency=INR","Period=FQ","BEST_FPERIOD_OVERRIDE=FQ","FILING_STATUS=OR","EQY_CONSOLIDATED=Y","Sort=A","Dates=H","DateFormat=P","Fill=—","Direction=H","UseDPDF=Y")</f>
        <v>#NAME?</v>
      </c>
      <c r="BY589" s="2" t="e">
        <f ca="1">_xll.BDH($C$578,"SHORT_AND_LONG_TERM_DEBT","FQ1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89" s="2" t="e">
        <f ca="1">_xll.BDH($C$578,"BS_ST_BORROW","FQ1 2016","FQ1 2016","Currency=INR","Period=FQ","BEST_FPERIOD_OVERRIDE=FQ","FILING_STATUS=OR","EQY_CONSOLIDATED=Y","SCALING_FORMAT=MLN","Sort=A","Dates=H","DateFormat=P","Fill=—","Direction=H","UseDPDF=Y")</f>
        <v>#NAME?</v>
      </c>
      <c r="CA589" s="2" t="e">
        <f ca="1">_xll.BDH($C$578,"BS_LT_BORROW","FQ1 2016","FQ1 2016","Currency=INR","Period=FQ","BEST_FPERIOD_OVERRIDE=FQ","FILING_STATUS=OR","EQY_CONSOLIDATED=Y","SCALING_FORMAT=MLN","Sort=A","Dates=H","DateFormat=P","Fill=—","Direction=H","UseDPDF=Y")</f>
        <v>#NAME?</v>
      </c>
      <c r="CB589" s="1" t="e">
        <f ca="1">_xll.BDH($C$578,"TOT_DEBT_TO_EBITDA","FQ1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89" s="1" t="e">
        <f ca="1">_xll.BDH($C$578,"NET_DEBT_TO_EBITDA","FQ1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89" s="1" t="e">
        <f ca="1">_xll.BDH($C$578,"TOTAL_DEBT_TO_EBIT","FQ1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89" s="1" t="e">
        <f ca="1">_xll.BDH($C$578,"NET_DEBT_TO_EBIT","FQ1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589" s="1" t="e">
        <f ca="1">_xll.BDH($C$578,"EBITDA_TO_INTEREST_EXPN","FQ1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89" s="1" t="e">
        <f ca="1">_xll.BDH($C$578,"COM_EQY_TO_TOT_ASSET","FQ1 2016","FQ1 2016","Currency=INR","Period=FQ","BEST_FPERIOD_OVERRIDE=FQ","FILING_STATUS=OR","EQY_CONSOLIDATED=Y","Sort=A","Dates=H","DateFormat=P","Fill=—","Direction=H","UseDPDF=Y")</f>
        <v>#NAME?</v>
      </c>
      <c r="CH589" s="1" t="e">
        <f ca="1">_xll.BDH($C$578,"LT_DEBT_TO_TOT_EQY","FQ1 2016","FQ1 2016","Currency=INR","Period=FQ","BEST_FPERIOD_OVERRIDE=FQ","FILING_STATUS=OR","EQY_CONSOLIDATED=Y","Sort=A","Dates=H","DateFormat=P","Fill=—","Direction=H","UseDPDF=Y")</f>
        <v>#NAME?</v>
      </c>
      <c r="CI589" s="1" t="e">
        <f ca="1">_xll.BDH($C$578,"LT_DEBT_TO_TOT_CAP","FQ1 2016","FQ1 2016","Currency=INR","Period=FQ","BEST_FPERIOD_OVERRIDE=FQ","FILING_STATUS=OR","EQY_CONSOLIDATED=Y","Sort=A","Dates=H","DateFormat=P","Fill=—","Direction=H","UseDPDF=Y")</f>
        <v>#NAME?</v>
      </c>
      <c r="CJ589" s="1" t="e">
        <f ca="1">_xll.BDH($C$578,"LT_DEBT_TO_TOT_ASSET","FQ1 2016","FQ1 2016","Currency=INR","Period=FQ","BEST_FPERIOD_OVERRIDE=FQ","FILING_STATUS=OR","EQY_CONSOLIDATED=Y","Sort=A","Dates=H","DateFormat=P","Fill=—","Direction=H","UseDPDF=Y")</f>
        <v>#NAME?</v>
      </c>
      <c r="CK589" s="1" t="e">
        <f ca="1">_xll.BDH($C$578,"TOT_DEBT_TO_TOT_EQY","FQ1 2016","FQ1 2016","Currency=INR","Period=FQ","BEST_FPERIOD_OVERRIDE=FQ","FILING_STATUS=OR","EQY_CONSOLIDATED=Y","Sort=A","Dates=H","DateFormat=P","Fill=—","Direction=H","UseDPDF=Y")</f>
        <v>#NAME?</v>
      </c>
      <c r="CL589" s="1" t="e">
        <f ca="1">_xll.BDH($C$578,"TOT_DEBT_TO_TOT_CAP","FQ1 2016","FQ1 2016","Currency=INR","Period=FQ","BEST_FPERIOD_OVERRIDE=FQ","FILING_STATUS=OR","EQY_CONSOLIDATED=Y","Sort=A","Dates=H","DateFormat=P","Fill=—","Direction=H","UseDPDF=Y")</f>
        <v>#NAME?</v>
      </c>
      <c r="CM589" s="1" t="e">
        <f ca="1">_xll.BDH($C$578,"TOT_DEBT_TO_TOT_ASSET","FQ1 2016","FQ1 2016","Currency=INR","Period=FQ","BEST_FPERIOD_OVERRIDE=FQ","FILING_STATUS=OR","EQY_CONSOLIDATED=Y","Sort=A","Dates=H","DateFormat=P","Fill=—","Direction=H","UseDPDF=Y")</f>
        <v>#NAME?</v>
      </c>
      <c r="CN589" s="1" t="e">
        <f ca="1">_xll.BDH($C$578,"NET_DEBT_TO_SHRHLDR_EQTY","FQ1 2016","FQ1 2016","Currency=INR","Period=FQ","BEST_FPERIOD_OVERRIDE=FQ","FILING_STATUS=OR","EQY_CONSOLIDATED=Y","Sort=A","Dates=H","DateFormat=P","Fill=—","Direction=H","UseDPDF=Y")</f>
        <v>#NAME?</v>
      </c>
      <c r="CO589" s="1" t="e">
        <f ca="1">_xll.BDH($C$578,"NET_DEBT_%_CAPITAL","FQ1 2016","FQ1 2016","Currency=INR","Period=FQ","BEST_FPERIOD_OVERRIDE=FQ","FILING_STATUS=OR","EQY_CONSOLIDATED=Y","Sort=A","Dates=H","DateFormat=P","Fill=—","Direction=H","UseDPDF=Y")</f>
        <v>#NAME?</v>
      </c>
      <c r="CP589" s="2" t="e">
        <f ca="1">_xll.BDH($C$578,"EBITDA","FQ1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89" s="2" t="e">
        <f ca="1">_xll.BDH($C$578,"EBITDA_AFTER_CAPEX","FQ1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89" s="2" t="e">
        <f ca="1">_xll.BDH($C$578,"IS_OPER_INC","FQ1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89" s="1" t="e">
        <f ca="1">_xll.BDH($C$578,"CASH_RATIO","FQ1 2016","FQ1 2016","Currency=INR","Period=FQ","BEST_FPERIOD_OVERRIDE=FQ","FILING_STATUS=OR","EQY_CONSOLIDATED=Y","Sort=A","Dates=H","DateFormat=P","Fill=—","Direction=H","UseDPDF=Y")</f>
        <v>#NAME?</v>
      </c>
      <c r="CT589" s="1" t="e">
        <f ca="1">_xll.BDH($C$578,"CUR_RATIO","FQ1 2016","FQ1 2016","Currency=INR","Period=FQ","BEST_FPERIOD_OVERRIDE=FQ","FILING_STATUS=OR","EQY_CONSOLIDATED=Y","Sort=A","Dates=H","DateFormat=P","Fill=—","Direction=H","UseDPDF=Y")</f>
        <v>#NAME?</v>
      </c>
      <c r="CU589" s="1" t="e">
        <f ca="1">_xll.BDH($C$578,"QUICK_RATIO","FQ1 2016","FQ1 2016","Currency=INR","Period=FQ","BEST_FPERIOD_OVERRIDE=FQ","FILING_STATUS=OR","EQY_CONSOLIDATED=Y","Sort=A","Dates=H","DateFormat=P","Fill=—","Direction=H","UseDPDF=Y")</f>
        <v>#NAME?</v>
      </c>
      <c r="CV589" s="1" t="e">
        <f ca="1">_xll.BDH($C$578,"ALTMAN_Z_SCORE","FQ1 2016","FQ1 2016","Currency=INR","Period=FQ","BEST_FPERIOD_OVERRIDE=FQ","FILING_STATUS=OR","EQY_CONSOLIDATED=Y","Sort=A","Dates=H","DateFormat=P","Fill=—","Direction=H","UseDPDF=Y")</f>
        <v>#NAME?</v>
      </c>
      <c r="CW589" s="3" t="e">
        <f ca="1">_xll.BDH($C$578,"ACCT_RCV_TURN","FQ1 2016","FQ1 2016","Currency=INR","Period=FQ","BEST_FPERIOD_OVERRIDE=FQ","FILING_STATUS=OR","EQY_CONSOLIDATED=Y","FA_ADJUSTED=GAAP","Sort=A","Dates=H","DateFormat=P","Fill=—","Direction=H","UseDPDF=Y")</f>
        <v>#NAME?</v>
      </c>
      <c r="CX589" s="1" t="e">
        <f ca="1">_xll.BDH($C$578,"ACCT_RCV_DAYS","FQ1 2016","FQ1 2016","Currency=INR","Period=FQ","BEST_FPERIOD_OVERRIDE=FQ","FILING_STATUS=OR","EQY_CONSOLIDATED=Y","FA_ADJUSTED=GAAP","Sort=A","Dates=H","DateFormat=P","Fill=—","Direction=H","UseDPDF=Y")</f>
        <v>#NAME?</v>
      </c>
      <c r="CY589" s="3" t="e">
        <f ca="1">_xll.BDH($C$578,"INVENT_TURN","FQ1 2016","FQ1 2016","Currency=INR","Period=FQ","BEST_FPERIOD_OVERRIDE=FQ","FILING_STATUS=OR","EQY_CONSOLIDATED=Y","FA_ADJUSTED=GAAP","Sort=A","Dates=H","DateFormat=P","Fill=—","Direction=H","UseDPDF=Y")</f>
        <v>#NAME?</v>
      </c>
      <c r="CZ589" s="1" t="e">
        <f ca="1">_xll.BDH($C$578,"INVENT_DAYS","FQ1 2016","FQ1 2016","Currency=INR","Period=FQ","BEST_FPERIOD_OVERRIDE=FQ","FILING_STATUS=OR","EQY_CONSOLIDATED=Y","FA_ADJUSTED=GAAP","Sort=A","Dates=H","DateFormat=P","Fill=—","Direction=H","UseDPDF=Y")</f>
        <v>#NAME?</v>
      </c>
      <c r="DA589" s="3" t="e">
        <f ca="1">_xll.BDH($C$578,"ACCOUNTS_PAYABLE_TURNOVER","FQ1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89" s="1" t="e">
        <f ca="1">_xll.BDH($C$578,"ACCOUNTS_PAYABLE_TURNOVER_DAYS","FQ1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89" s="3" t="e">
        <f ca="1">_xll.BDH($C$578,"CASH_CONVERSION_CYCLE","FQ1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89" s="3" t="e">
        <f ca="1">_xll.BDH($C$578,"INV_TO_CASH_DAYS","FQ1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589" s="4" t="e">
        <f ca="1">_xll.BDH($C$578,"BS_INVENTORIES","FQ1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589" s="2" t="e">
        <f ca="1">_xll.BDH($C$578,"INVTRY_RAW_MATERIALS","FQ1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89" s="2" t="e">
        <f ca="1">_xll.BDH($C$578,"INVTRY_IN_PROGRESS","FQ1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89" s="2" t="e">
        <f ca="1">_xll.BDH($C$578,"INVTRY_FINISHED_GOODS","FQ1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89" s="2" t="e">
        <f ca="1">_xll.BDH($C$578,"BS_OTHER_INV","FQ1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90" spans="1:113" x14ac:dyDescent="0.3">
      <c r="A590" s="6"/>
      <c r="B590" s="6"/>
      <c r="C590" s="6"/>
      <c r="D590" s="6"/>
      <c r="E590" t="s">
        <v>5</v>
      </c>
      <c r="F590" t="e">
        <f ca="1">_xll.BDH($C$578,"RETURN_COM_EQY","FQ2 2016","FQ2 2016","Currency=INR","Period=FQ","BEST_FPERIOD_OVERRIDE=FQ","FILING_STATUS=OR","EQY_CONSOLIDATED=Y","FA_ADJUSTED=GAAP","Sort=A","Dates=H","DateFormat=P","Fill=—","Direction=H","UseDPDF=Y")</f>
        <v>#NAME?</v>
      </c>
      <c r="G590" t="e">
        <f ca="1">_xll.BDH($C$578,"RETURN_ON_ASSET","FQ2 2016","FQ2 2016","Currency=INR","Period=FQ","BEST_FPERIOD_OVERRIDE=FQ","FILING_STATUS=OR","EQY_CONSOLIDATED=Y","FA_ADJUSTED=GAAP","Sort=A","Dates=H","DateFormat=P","Fill=—","Direction=H","UseDPDF=Y")</f>
        <v>#NAME?</v>
      </c>
      <c r="H590" t="e">
        <f ca="1">_xll.BDH($C$578,"RETURN_ON_CAP","FQ2 2016","FQ2 2016","Currency=INR","Period=FQ","BEST_FPERIOD_OVERRIDE=FQ","FILING_STATUS=OR","EQY_CONSOLIDATED=Y","FA_ADJUSTED=GAAP","Sort=A","Dates=H","DateFormat=P","Fill=—","Direction=H","UseDPDF=Y")</f>
        <v>#NAME?</v>
      </c>
      <c r="I590" t="e">
        <f ca="1">_xll.BDH($C$578,"RETURN_ON_INV_CAPITAL","FQ2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90" t="e">
        <f ca="1">_xll.BDH($C$578,"EBITDA_TO_REVENUE","FQ2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590" t="e">
        <f ca="1">_xll.BDH($C$578,"OPER_MARGIN","FQ2 2016","FQ2 2016","Currency=INR","Period=FQ","BEST_FPERIOD_OVERRIDE=FQ","FILING_STATUS=OR","EQY_CONSOLIDATED=Y","FA_ADJUSTED=GAAP","Sort=A","Dates=H","DateFormat=P","Fill=—","Direction=H","UseDPDF=Y")</f>
        <v>#NAME?</v>
      </c>
      <c r="L590" t="e">
        <f ca="1">_xll.BDH($C$578,"INCREMENTAL_OPERATING_MARGIN","FQ2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90" t="e">
        <f ca="1">_xll.BDH($C$578,"PRETAX_INC_TO_NET_SALES","FQ2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90" t="e">
        <f ca="1">_xll.BDH($C$578,"INC_BEF_XO_ITEMS_TO_NET_SALES","FQ2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90" t="e">
        <f ca="1">_xll.BDH($C$578,"PROF_MARGIN","FQ2 2016","FQ2 2016","Currency=INR","Period=FQ","BEST_FPERIOD_OVERRIDE=FQ","FILING_STATUS=OR","EQY_CONSOLIDATED=Y","FA_ADJUSTED=GAAP","Sort=A","Dates=H","DateFormat=P","Fill=—","Direction=H","UseDPDF=Y")</f>
        <v>#NAME?</v>
      </c>
      <c r="P590" t="e">
        <f ca="1">_xll.BDH($C$578,"NET_INCOME_TO_COMMON_MARGIN","FQ2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90" t="e">
        <f ca="1">_xll.BDH($C$578,"EFF_TAX_RATE","FQ2 2016","FQ2 2016","Currency=INR","Period=FQ","BEST_FPERIOD_OVERRIDE=FQ","FILING_STATUS=OR","EQY_CONSOLIDATED=Y","FA_ADJUSTED=GAAP","Sort=A","Dates=H","DateFormat=P","Fill=—","Direction=H","UseDPDF=Y")</f>
        <v>#NAME?</v>
      </c>
      <c r="R590" t="e">
        <f ca="1">_xll.BDH($C$578,"DVD_PAYOUT_RATIO","FQ2 2016","FQ2 2016","Currency=INR","Period=FQ","BEST_FPERIOD_OVERRIDE=FQ","FILING_STATUS=OR","EQY_CONSOLIDATED=Y","FA_ADJUSTED=GAAP","Sort=A","Dates=H","DateFormat=P","Fill=—","Direction=H","UseDPDF=Y")</f>
        <v>#NAME?</v>
      </c>
      <c r="S590" t="e">
        <f ca="1">_xll.BDH($C$578,"SUSTAIN_GROWTH_RT","FQ2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590" s="1" t="e">
        <f ca="1">_xll.BDH($C$578,"SALES_GROWTH","FQ2 2016","FQ2 2016","Currency=INR","Period=FQ","BEST_FPERIOD_OVERRIDE=FQ","FILING_STATUS=OR","EQY_CONSOLIDATED=Y","FA_ADJUSTED=GAAP","Sort=A","Dates=H","DateFormat=P","Fill=—","Direction=H","UseDPDF=Y")</f>
        <v>#NAME?</v>
      </c>
      <c r="U590" s="1" t="e">
        <f ca="1">_xll.BDH($C$578,"EBITDA_GROWTH","FQ2 2016","FQ2 2016","Currency=INR","Period=FQ","BEST_FPERIOD_OVERRIDE=FQ","FILING_STATUS=OR","EQY_CONSOLIDATED=Y","FA_ADJUSTED=GAAP","Sort=A","Dates=H","DateFormat=P","Fill=—","Direction=H","UseDPDF=Y")</f>
        <v>#NAME?</v>
      </c>
      <c r="V590" s="1" t="e">
        <f ca="1">_xll.BDH($C$578,"OPER_INC_GROWTH","FQ2 2016","FQ2 2016","Currency=INR","Period=FQ","BEST_FPERIOD_OVERRIDE=FQ","FILING_STATUS=OR","EQY_CONSOLIDATED=Y","FA_ADJUSTED=GAAP","Sort=A","Dates=H","DateFormat=P","Fill=—","Direction=H","UseDPDF=Y")</f>
        <v>#NAME?</v>
      </c>
      <c r="W590" s="1" t="e">
        <f ca="1">_xll.BDH($C$578,"EARN_FOR_COM_GROWTH","FQ2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90" s="1" t="e">
        <f ca="1">_xll.BDH($C$578,"DILUTED_EPS_AFT_XO_ITEMS_GROWTH","FQ2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90" s="1" t="e">
        <f ca="1">_xll.BDH($C$578,"DIVIDEND_PER_SHARE_1_YEAR_GROWTH","FQ2 2016","FQ2 2016","Currency=INR","Period=FQ","BEST_FPERIOD_OVERRIDE=FQ","FILING_STATUS=OR","EQY_CONSOLIDATED=Y","Sort=A","Dates=H","DateFormat=P","Fill=—","Direction=H","UseDPDF=Y")</f>
        <v>#NAME?</v>
      </c>
      <c r="Z590" s="1" t="e">
        <f ca="1">_xll.BDH($C$578,"ACCOUNTS_RECEIVABLE_GROWTH","FQ2 2016","FQ2 2016","Currency=INR","Period=FQ","BEST_FPERIOD_OVERRIDE=FQ","FILING_STATUS=OR","EQY_CONSOLIDATED=Y","Sort=A","Dates=H","DateFormat=P","Fill=—","Direction=H","UseDPDF=Y")</f>
        <v>#NAME?</v>
      </c>
      <c r="AA590" s="1" t="e">
        <f ca="1">_xll.BDH($C$578,"INVENTORY_GROWTH","FQ2 2016","FQ2 2016","Currency=INR","Period=FQ","BEST_FPERIOD_OVERRIDE=FQ","FILING_STATUS=OR","EQY_CONSOLIDATED=Y","Sort=A","Dates=H","DateFormat=P","Fill=—","Direction=H","UseDPDF=Y")</f>
        <v>#NAME?</v>
      </c>
      <c r="AB590" s="1" t="e">
        <f ca="1">_xll.BDH($C$578,"NET_FIXED_ASSETS_1_YEAR_GROWTH","FQ2 2016","FQ2 2016","Currency=INR","Period=FQ","BEST_FPERIOD_OVERRIDE=FQ","FILING_STATUS=OR","EQY_CONSOLIDATED=Y","Sort=A","Dates=H","DateFormat=P","Fill=—","Direction=H","UseDPDF=Y")</f>
        <v>#NAME?</v>
      </c>
      <c r="AC590" s="1" t="e">
        <f ca="1">_xll.BDH($C$578,"ASSET_GROWTH","FQ2 2016","FQ2 2016","Currency=INR","Period=FQ","BEST_FPERIOD_OVERRIDE=FQ","FILING_STATUS=OR","EQY_CONSOLIDATED=Y","Sort=A","Dates=H","DateFormat=P","Fill=—","Direction=H","UseDPDF=Y")</f>
        <v>#NAME?</v>
      </c>
      <c r="AD590" s="1" t="e">
        <f ca="1">_xll.BDH($C$578,"MODIFIED_WORK_CAP_GROWTH","FQ2 2016","FQ2 2016","Currency=INR","Period=FQ","BEST_FPERIOD_OVERRIDE=FQ","FILING_STATUS=OR","EQY_CONSOLIDATED=Y","Sort=A","Dates=H","DateFormat=P","Fill=—","Direction=H","UseDPDF=Y")</f>
        <v>#NAME?</v>
      </c>
      <c r="AE590" s="1" t="e">
        <f ca="1">_xll.BDH($C$578,"WORK_CAP_GROWTH","FQ2 2016","FQ2 2016","Currency=INR","Period=FQ","BEST_FPERIOD_OVERRIDE=FQ","FILING_STATUS=OR","EQY_CONSOLIDATED=Y","Sort=A","Dates=H","DateFormat=P","Fill=—","Direction=H","UseDPDF=Y")</f>
        <v>#NAME?</v>
      </c>
      <c r="AF590" s="1" t="e">
        <f ca="1">_xll.BDH($C$578,"ACCOUNTS_PAYABLE_GROWTH_1YR","FQ2 2016","FQ2 2016","Currency=INR","Period=FQ","BEST_FPERIOD_OVERRIDE=FQ","FILING_STATUS=OR","EQY_CONSOLIDATED=Y","Sort=A","Dates=H","DateFormat=P","Fill=—","Direction=H","UseDPDF=Y")</f>
        <v>#NAME?</v>
      </c>
      <c r="AG590" s="1" t="e">
        <f ca="1">_xll.BDH($C$578,"SHORT_TERM_DEBT_1_YEAR_GROWTH","FQ2 2016","FQ2 2016","Currency=INR","Period=FQ","BEST_FPERIOD_OVERRIDE=FQ","FILING_STATUS=OR","EQY_CONSOLIDATED=Y","Sort=A","Dates=H","DateFormat=P","Fill=—","Direction=H","UseDPDF=Y")</f>
        <v>#NAME?</v>
      </c>
      <c r="AH590" s="1" t="e">
        <f ca="1">_xll.BDH($C$578,"TOTAL_DEBT_1_YEAR_GROWTH","FQ2 2016","FQ2 2016","Currency=INR","Period=FQ","BEST_FPERIOD_OVERRIDE=FQ","FILING_STATUS=OR","EQY_CONSOLIDATED=Y","Sort=A","Dates=H","DateFormat=P","Fill=—","Direction=H","UseDPDF=Y")</f>
        <v>#NAME?</v>
      </c>
      <c r="AI590" s="1" t="e">
        <f ca="1">_xll.BDH($C$578,"TOTAL_EQUITY_1_YEAR_GROWTH","FQ2 2016","FQ2 2016","Currency=INR","Period=FQ","BEST_FPERIOD_OVERRIDE=FQ","FILING_STATUS=OR","EQY_CONSOLIDATED=Y","Sort=A","Dates=H","DateFormat=P","Fill=—","Direction=H","UseDPDF=Y")</f>
        <v>#NAME?</v>
      </c>
      <c r="AJ590" s="1" t="e">
        <f ca="1">_xll.BDH($C$578,"GROWTH_IN_CAP","FQ2 2016","FQ2 2016","Currency=INR","Period=FQ","BEST_FPERIOD_OVERRIDE=FQ","FILING_STATUS=OR","EQY_CONSOLIDATED=Y","Sort=A","Dates=H","DateFormat=P","Fill=—","Direction=H","UseDPDF=Y")</f>
        <v>#NAME?</v>
      </c>
      <c r="AK590" s="1" t="e">
        <f ca="1">_xll.BDH($C$578,"BVPS_GROWTH","FQ2 2016","FQ2 2016","Currency=INR","Period=FQ","BEST_FPERIOD_OVERRIDE=FQ","FILING_STATUS=OR","EQY_CONSOLIDATED=Y","Sort=A","Dates=H","DateFormat=P","Fill=—","Direction=H","UseDPDF=Y")</f>
        <v>#NAME?</v>
      </c>
      <c r="AL590" s="1" t="e">
        <f ca="1">_xll.BDH($C$578,"CASH_FLOW_GROWTH","FQ2 2016","FQ2 2016","Currency=INR","Period=FQ","BEST_FPERIOD_OVERRIDE=FQ","FILING_STATUS=OR","EQY_CONSOLIDATED=Y","Sort=A","Dates=H","DateFormat=P","Fill=—","Direction=H","UseDPDF=Y")</f>
        <v>#NAME?</v>
      </c>
      <c r="AM590" s="1" t="e">
        <f ca="1">_xll.BDH($C$578,"GEO_GROW_NET_SALES","FQ2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90" s="1" t="e">
        <f ca="1">_xll.BDH($C$578,"GEO_GROW_EBITDA","FQ2 2016","FQ2 2016","Currency=INR","Period=FQ","BEST_FPERIOD_OVERRIDE=FQ","FILING_STATUS=OR","EQY_CONSOLIDATED=Y","FA_ADJUSTED=GAAP","Sort=A","Dates=H","DateFormat=P","Fill=—","Direction=H","UseDPDF=Y")</f>
        <v>#NAME?</v>
      </c>
      <c r="AO590" s="1" t="e">
        <f ca="1">_xll.BDH($C$578,"GEO_GROW_OPER_INC","FQ2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90" s="1" t="e">
        <f ca="1">_xll.BDH($C$578,"NET_INCOME_TO_COMMON_5_YR_GROWTH","FQ2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90" s="1" t="e">
        <f ca="1">_xll.BDH($C$578,"5Y_GEO_GROWTH_DILUTED_EPS","FQ2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90" s="1" t="e">
        <f ca="1">_xll.BDH($C$578,"GEO_GROW_DVD_PER_SH","FQ2 2016","FQ2 2016","Currency=INR","Period=FQ","BEST_FPERIOD_OVERRIDE=FQ","FILING_STATUS=OR","EQY_CONSOLIDATED=Y","Sort=A","Dates=H","DateFormat=P","Fill=—","Direction=H","UseDPDF=Y")</f>
        <v>#NAME?</v>
      </c>
      <c r="AS590" s="1" t="e">
        <f ca="1">_xll.BDH($C$578,"ACCOUNTS_RECEIVABLE_5_YR_GROWTH","FQ2 2016","FQ2 2016","Currency=INR","Period=FQ","BEST_FPERIOD_OVERRIDE=FQ","FILING_STATUS=OR","EQY_CONSOLIDATED=Y","Sort=A","Dates=H","DateFormat=P","Fill=—","Direction=H","UseDPDF=Y")</f>
        <v>#NAME?</v>
      </c>
      <c r="AT590" s="1" t="e">
        <f ca="1">_xll.BDH($C$578,"INVENTORY_5_YEAR_GROWTH","FQ2 2016","FQ2 2016","Currency=INR","Period=FQ","BEST_FPERIOD_OVERRIDE=FQ","FILING_STATUS=OR","EQY_CONSOLIDATED=Y","Sort=A","Dates=H","DateFormat=P","Fill=—","Direction=H","UseDPDF=Y")</f>
        <v>#NAME?</v>
      </c>
      <c r="AU590" s="1" t="e">
        <f ca="1">_xll.BDH($C$578,"NET_FIXED_ASSETS_5_YEAR_GROWTH","FQ2 2016","FQ2 2016","Currency=INR","Period=FQ","BEST_FPERIOD_OVERRIDE=FQ","FILING_STATUS=OR","EQY_CONSOLIDATED=Y","Sort=A","Dates=H","DateFormat=P","Fill=—","Direction=H","UseDPDF=Y")</f>
        <v>#NAME?</v>
      </c>
      <c r="AV590" s="1" t="e">
        <f ca="1">_xll.BDH($C$578,"GEO_GROW_TOT_ASSET","FQ2 2016","FQ2 2016","Currency=INR","Period=FQ","BEST_FPERIOD_OVERRIDE=FQ","FILING_STATUS=OR","EQY_CONSOLIDATED=Y","Sort=A","Dates=H","DateFormat=P","Fill=—","Direction=H","UseDPDF=Y")</f>
        <v>#NAME?</v>
      </c>
      <c r="AW590" s="1" t="e">
        <f ca="1">_xll.BDH($C$578,"MODIFIED_WORKING_CPTL_5YR_GRWTH","FQ2 2016","FQ2 2016","Currency=INR","Period=FQ","BEST_FPERIOD_OVERRIDE=FQ","FILING_STATUS=OR","EQY_CONSOLIDATED=Y","Sort=A","Dates=H","DateFormat=P","Fill=—","Direction=H","UseDPDF=Y")</f>
        <v>#NAME?</v>
      </c>
      <c r="AX590" s="1" t="e">
        <f ca="1">_xll.BDH($C$578,"WORKING_CAPITAL_5_YEAR_GROWTH","FQ2 2016","FQ2 2016","Currency=INR","Period=FQ","BEST_FPERIOD_OVERRIDE=FQ","FILING_STATUS=OR","EQY_CONSOLIDATED=Y","Sort=A","Dates=H","DateFormat=P","Fill=—","Direction=H","UseDPDF=Y")</f>
        <v>#NAME?</v>
      </c>
      <c r="AY590" s="1" t="e">
        <f ca="1">_xll.BDH($C$578,"ACCOUNTS_PAYABLE_5_YEAR_GROWTH","FQ2 2016","FQ2 2016","Currency=INR","Period=FQ","BEST_FPERIOD_OVERRIDE=FQ","FILING_STATUS=OR","EQY_CONSOLIDATED=Y","Sort=A","Dates=H","DateFormat=P","Fill=—","Direction=H","UseDPDF=Y")</f>
        <v>#NAME?</v>
      </c>
      <c r="AZ590" s="1" t="e">
        <f ca="1">_xll.BDH($C$578,"SHORT_TERM_DEBT_5_YEAR_GROWTH","FQ2 2016","FQ2 2016","Currency=INR","Period=FQ","BEST_FPERIOD_OVERRIDE=FQ","FILING_STATUS=OR","EQY_CONSOLIDATED=Y","Sort=A","Dates=H","DateFormat=P","Fill=—","Direction=H","UseDPDF=Y")</f>
        <v>#NAME?</v>
      </c>
      <c r="BA590" s="1" t="e">
        <f ca="1">_xll.BDH($C$578,"TOTAL_DEBT_5_YEAR_GROWTH","FQ2 2016","FQ2 2016","Currency=INR","Period=FQ","BEST_FPERIOD_OVERRIDE=FQ","FILING_STATUS=OR","EQY_CONSOLIDATED=Y","Sort=A","Dates=H","DateFormat=P","Fill=—","Direction=H","UseDPDF=Y")</f>
        <v>#NAME?</v>
      </c>
      <c r="BB590" s="1" t="e">
        <f ca="1">_xll.BDH($C$578,"GEO_GROW_TOT_SHRHLDR_EQY","FQ2 2016","FQ2 2016","Currency=INR","Period=FQ","BEST_FPERIOD_OVERRIDE=FQ","FILING_STATUS=OR","EQY_CONSOLIDATED=Y","Sort=A","Dates=H","DateFormat=P","Fill=—","Direction=H","UseDPDF=Y")</f>
        <v>#NAME?</v>
      </c>
      <c r="BC590" s="1" t="e">
        <f ca="1">_xll.BDH($C$578,"TOTAL_CAPITAL_5_YEAR_GROWTH","FQ2 2016","FQ2 2016","Currency=INR","Period=FQ","BEST_FPERIOD_OVERRIDE=FQ","FILING_STATUS=OR","EQY_CONSOLIDATED=Y","Sort=A","Dates=H","DateFormat=P","Fill=—","Direction=H","UseDPDF=Y")</f>
        <v>#NAME?</v>
      </c>
      <c r="BD590" s="1" t="e">
        <f ca="1">_xll.BDH($C$578,"GEO_GROW_BOOK_VAL","FQ2 2016","FQ2 2016","Currency=INR","Period=FQ","BEST_FPERIOD_OVERRIDE=FQ","FILING_STATUS=OR","EQY_CONSOLIDATED=Y","Sort=A","Dates=H","DateFormat=P","Fill=—","Direction=H","UseDPDF=Y")</f>
        <v>#NAME?</v>
      </c>
      <c r="BE590" s="1" t="e">
        <f ca="1">_xll.BDH($C$578,"GEO_GROW_CASH_OPER_ACT","FQ2 2016","FQ2 2016","Currency=INR","Period=FQ","BEST_FPERIOD_OVERRIDE=FQ","FILING_STATUS=OR","EQY_CONSOLIDATED=Y","Sort=A","Dates=H","DateFormat=P","Fill=—","Direction=H","UseDPDF=Y")</f>
        <v>#NAME?</v>
      </c>
      <c r="BF590" s="1" t="e">
        <f ca="1">_xll.BDH($C$578,"REVENUE_SEQUENTIAL_GROWTH","FQ2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90" s="1" t="e">
        <f ca="1">_xll.BDH($C$578,"EBITDA_SEQUENTIAL_GROWTH","FQ2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90" s="1" t="e">
        <f ca="1">_xll.BDH($C$578,"OPERATING_INCOME_SEQ_GROWTH","FQ2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90" s="1" t="e">
        <f ca="1">_xll.BDH($C$578,"NET_INCOME_TO_COMMON_SEQ_GROWTH","FQ2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90" s="1" t="e">
        <f ca="1">_xll.BDH($C$578,"EPS_DILUTED_SEQUENTIAL_GROWTH","FQ2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90" s="1" t="e">
        <f ca="1">_xll.BDH($C$578,"DPS_SEQUENTIAL_GROWTH","FQ2 2016","FQ2 2016","Currency=INR","Period=FQ","BEST_FPERIOD_OVERRIDE=FQ","FILING_STATUS=OR","EQY_CONSOLIDATED=Y","Sort=A","Dates=H","DateFormat=P","Fill=—","Direction=H","UseDPDF=Y")</f>
        <v>#NAME?</v>
      </c>
      <c r="BL590" s="1" t="e">
        <f ca="1">_xll.BDH($C$578,"ACCOUNTS_RECEIVABLE_SEQ_GROWTH","FQ2 2016","FQ2 2016","Currency=INR","Period=FQ","BEST_FPERIOD_OVERRIDE=FQ","FILING_STATUS=OR","EQY_CONSOLIDATED=Y","Sort=A","Dates=H","DateFormat=P","Fill=—","Direction=H","UseDPDF=Y")</f>
        <v>#NAME?</v>
      </c>
      <c r="BM590" s="1" t="e">
        <f ca="1">_xll.BDH($C$578,"INVENTORY_SEQUENTIAL_GROWTH","FQ2 2016","FQ2 2016","Currency=INR","Period=FQ","BEST_FPERIOD_OVERRIDE=FQ","FILING_STATUS=OR","EQY_CONSOLIDATED=Y","Sort=A","Dates=H","DateFormat=P","Fill=—","Direction=H","UseDPDF=Y")</f>
        <v>#NAME?</v>
      </c>
      <c r="BN590" s="1" t="e">
        <f ca="1">_xll.BDH($C$578,"FIXED_ASSETS_SEQUENTIAL_GROWTH","FQ2 2016","FQ2 2016","Currency=INR","Period=FQ","BEST_FPERIOD_OVERRIDE=FQ","FILING_STATUS=OR","EQY_CONSOLIDATED=Y","Sort=A","Dates=H","DateFormat=P","Fill=—","Direction=H","UseDPDF=Y")</f>
        <v>#NAME?</v>
      </c>
      <c r="BO590" s="1" t="e">
        <f ca="1">_xll.BDH($C$578,"TOTAL_ASSETS_SEQUENTIAL_GROWTH","FQ2 2016","FQ2 2016","Currency=INR","Period=FQ","BEST_FPERIOD_OVERRIDE=FQ","FILING_STATUS=OR","EQY_CONSOLIDATED=Y","Sort=A","Dates=H","DateFormat=P","Fill=—","Direction=H","UseDPDF=Y")</f>
        <v>#NAME?</v>
      </c>
      <c r="BP590" s="1" t="e">
        <f ca="1">_xll.BDH($C$578,"MODIFIED_WORKING_CPTL_SEQ_GRWTH","FQ2 2016","FQ2 2016","Currency=INR","Period=FQ","BEST_FPERIOD_OVERRIDE=FQ","FILING_STATUS=OR","EQY_CONSOLIDATED=Y","Sort=A","Dates=H","DateFormat=P","Fill=—","Direction=H","UseDPDF=Y")</f>
        <v>#NAME?</v>
      </c>
      <c r="BQ590" s="1" t="e">
        <f ca="1">_xll.BDH($C$578,"WORKING_CAPITAL_SEQ_GROWTH","FQ2 2016","FQ2 2016","Currency=INR","Period=FQ","BEST_FPERIOD_OVERRIDE=FQ","FILING_STATUS=OR","EQY_CONSOLIDATED=Y","Sort=A","Dates=H","DateFormat=P","Fill=—","Direction=H","UseDPDF=Y")</f>
        <v>#NAME?</v>
      </c>
      <c r="BR590" s="1" t="e">
        <f ca="1">_xll.BDH($C$578,"ACCOUNTS_PAYABLE_SEQ_GROWTH","FQ2 2016","FQ2 2016","Currency=INR","Period=FQ","BEST_FPERIOD_OVERRIDE=FQ","FILING_STATUS=OR","EQY_CONSOLIDATED=Y","Sort=A","Dates=H","DateFormat=P","Fill=—","Direction=H","UseDPDF=Y")</f>
        <v>#NAME?</v>
      </c>
      <c r="BS590" s="1" t="e">
        <f ca="1">_xll.BDH($C$578,"ST_DEBT_SEQUENTIAL_GROWTH","FQ2 2016","FQ2 2016","Currency=INR","Period=FQ","BEST_FPERIOD_OVERRIDE=FQ","FILING_STATUS=OR","EQY_CONSOLIDATED=Y","Sort=A","Dates=H","DateFormat=P","Fill=—","Direction=H","UseDPDF=Y")</f>
        <v>#NAME?</v>
      </c>
      <c r="BT590" s="1" t="e">
        <f ca="1">_xll.BDH($C$578,"TOTAL_DEBT_SEQUENTIAL_GROWTH","FQ2 2016","FQ2 2016","Currency=INR","Period=FQ","BEST_FPERIOD_OVERRIDE=FQ","FILING_STATUS=OR","EQY_CONSOLIDATED=Y","Sort=A","Dates=H","DateFormat=P","Fill=—","Direction=H","UseDPDF=Y")</f>
        <v>#NAME?</v>
      </c>
      <c r="BU590" s="1" t="e">
        <f ca="1">_xll.BDH($C$578,"TOTAL_EQUITY_SEQUENTIAL_GROWTH","FQ2 2016","FQ2 2016","Currency=INR","Period=FQ","BEST_FPERIOD_OVERRIDE=FQ","FILING_STATUS=OR","EQY_CONSOLIDATED=Y","Sort=A","Dates=H","DateFormat=P","Fill=—","Direction=H","UseDPDF=Y")</f>
        <v>#NAME?</v>
      </c>
      <c r="BV590" s="1" t="e">
        <f ca="1">_xll.BDH($C$578,"TOTAL_CAPITAL_SEQUENTIAL_GROWTH","FQ2 2016","FQ2 2016","Currency=INR","Period=FQ","BEST_FPERIOD_OVERRIDE=FQ","FILING_STATUS=OR","EQY_CONSOLIDATED=Y","Sort=A","Dates=H","DateFormat=P","Fill=—","Direction=H","UseDPDF=Y")</f>
        <v>#NAME?</v>
      </c>
      <c r="BW590" s="1" t="e">
        <f ca="1">_xll.BDH($C$578,"BPS_SEQUENTIAL_GROWTH","FQ2 2016","FQ2 2016","Currency=INR","Period=FQ","BEST_FPERIOD_OVERRIDE=FQ","FILING_STATUS=OR","EQY_CONSOLIDATED=Y","Sort=A","Dates=H","DateFormat=P","Fill=—","Direction=H","UseDPDF=Y")</f>
        <v>#NAME?</v>
      </c>
      <c r="BX590" s="1" t="e">
        <f ca="1">_xll.BDH($C$578,"CFO_SEQUENTIAL_GROWTH","FQ2 2016","FQ2 2016","Currency=INR","Period=FQ","BEST_FPERIOD_OVERRIDE=FQ","FILING_STATUS=OR","EQY_CONSOLIDATED=Y","Sort=A","Dates=H","DateFormat=P","Fill=—","Direction=H","UseDPDF=Y")</f>
        <v>#NAME?</v>
      </c>
      <c r="BY590" s="2" t="e">
        <f ca="1">_xll.BDH($C$578,"SHORT_AND_LONG_TERM_DEBT","FQ2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90" s="2" t="e">
        <f ca="1">_xll.BDH($C$578,"BS_ST_BORROW","FQ2 2016","FQ2 2016","Currency=INR","Period=FQ","BEST_FPERIOD_OVERRIDE=FQ","FILING_STATUS=OR","EQY_CONSOLIDATED=Y","SCALING_FORMAT=MLN","Sort=A","Dates=H","DateFormat=P","Fill=—","Direction=H","UseDPDF=Y")</f>
        <v>#NAME?</v>
      </c>
      <c r="CA590" s="2" t="e">
        <f ca="1">_xll.BDH($C$578,"BS_LT_BORROW","FQ2 2016","FQ2 2016","Currency=INR","Period=FQ","BEST_FPERIOD_OVERRIDE=FQ","FILING_STATUS=OR","EQY_CONSOLIDATED=Y","SCALING_FORMAT=MLN","Sort=A","Dates=H","DateFormat=P","Fill=—","Direction=H","UseDPDF=Y")</f>
        <v>#NAME?</v>
      </c>
      <c r="CB590" s="1" t="e">
        <f ca="1">_xll.BDH($C$578,"TOT_DEBT_TO_EBITDA","FQ2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90" s="1" t="e">
        <f ca="1">_xll.BDH($C$578,"NET_DEBT_TO_EBITDA","FQ2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90" s="1" t="e">
        <f ca="1">_xll.BDH($C$578,"TOTAL_DEBT_TO_EBIT","FQ2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90" s="1" t="e">
        <f ca="1">_xll.BDH($C$578,"NET_DEBT_TO_EBIT","FQ2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590" s="1" t="e">
        <f ca="1">_xll.BDH($C$578,"EBITDA_TO_INTEREST_EXPN","FQ2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90" s="1" t="e">
        <f ca="1">_xll.BDH($C$578,"COM_EQY_TO_TOT_ASSET","FQ2 2016","FQ2 2016","Currency=INR","Period=FQ","BEST_FPERIOD_OVERRIDE=FQ","FILING_STATUS=OR","EQY_CONSOLIDATED=Y","Sort=A","Dates=H","DateFormat=P","Fill=—","Direction=H","UseDPDF=Y")</f>
        <v>#NAME?</v>
      </c>
      <c r="CH590" s="1" t="e">
        <f ca="1">_xll.BDH($C$578,"LT_DEBT_TO_TOT_EQY","FQ2 2016","FQ2 2016","Currency=INR","Period=FQ","BEST_FPERIOD_OVERRIDE=FQ","FILING_STATUS=OR","EQY_CONSOLIDATED=Y","Sort=A","Dates=H","DateFormat=P","Fill=—","Direction=H","UseDPDF=Y")</f>
        <v>#NAME?</v>
      </c>
      <c r="CI590" s="1" t="e">
        <f ca="1">_xll.BDH($C$578,"LT_DEBT_TO_TOT_CAP","FQ2 2016","FQ2 2016","Currency=INR","Period=FQ","BEST_FPERIOD_OVERRIDE=FQ","FILING_STATUS=OR","EQY_CONSOLIDATED=Y","Sort=A","Dates=H","DateFormat=P","Fill=—","Direction=H","UseDPDF=Y")</f>
        <v>#NAME?</v>
      </c>
      <c r="CJ590" s="1" t="e">
        <f ca="1">_xll.BDH($C$578,"LT_DEBT_TO_TOT_ASSET","FQ2 2016","FQ2 2016","Currency=INR","Period=FQ","BEST_FPERIOD_OVERRIDE=FQ","FILING_STATUS=OR","EQY_CONSOLIDATED=Y","Sort=A","Dates=H","DateFormat=P","Fill=—","Direction=H","UseDPDF=Y")</f>
        <v>#NAME?</v>
      </c>
      <c r="CK590" s="1" t="e">
        <f ca="1">_xll.BDH($C$578,"TOT_DEBT_TO_TOT_EQY","FQ2 2016","FQ2 2016","Currency=INR","Period=FQ","BEST_FPERIOD_OVERRIDE=FQ","FILING_STATUS=OR","EQY_CONSOLIDATED=Y","Sort=A","Dates=H","DateFormat=P","Fill=—","Direction=H","UseDPDF=Y")</f>
        <v>#NAME?</v>
      </c>
      <c r="CL590" s="1" t="e">
        <f ca="1">_xll.BDH($C$578,"TOT_DEBT_TO_TOT_CAP","FQ2 2016","FQ2 2016","Currency=INR","Period=FQ","BEST_FPERIOD_OVERRIDE=FQ","FILING_STATUS=OR","EQY_CONSOLIDATED=Y","Sort=A","Dates=H","DateFormat=P","Fill=—","Direction=H","UseDPDF=Y")</f>
        <v>#NAME?</v>
      </c>
      <c r="CM590" s="1" t="e">
        <f ca="1">_xll.BDH($C$578,"TOT_DEBT_TO_TOT_ASSET","FQ2 2016","FQ2 2016","Currency=INR","Period=FQ","BEST_FPERIOD_OVERRIDE=FQ","FILING_STATUS=OR","EQY_CONSOLIDATED=Y","Sort=A","Dates=H","DateFormat=P","Fill=—","Direction=H","UseDPDF=Y")</f>
        <v>#NAME?</v>
      </c>
      <c r="CN590" s="1" t="e">
        <f ca="1">_xll.BDH($C$578,"NET_DEBT_TO_SHRHLDR_EQTY","FQ2 2016","FQ2 2016","Currency=INR","Period=FQ","BEST_FPERIOD_OVERRIDE=FQ","FILING_STATUS=OR","EQY_CONSOLIDATED=Y","Sort=A","Dates=H","DateFormat=P","Fill=—","Direction=H","UseDPDF=Y")</f>
        <v>#NAME?</v>
      </c>
      <c r="CO590" s="1" t="e">
        <f ca="1">_xll.BDH($C$578,"NET_DEBT_%_CAPITAL","FQ2 2016","FQ2 2016","Currency=INR","Period=FQ","BEST_FPERIOD_OVERRIDE=FQ","FILING_STATUS=OR","EQY_CONSOLIDATED=Y","Sort=A","Dates=H","DateFormat=P","Fill=—","Direction=H","UseDPDF=Y")</f>
        <v>#NAME?</v>
      </c>
      <c r="CP590" s="2" t="e">
        <f ca="1">_xll.BDH($C$578,"EBITDA","FQ2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90" s="2" t="e">
        <f ca="1">_xll.BDH($C$578,"EBITDA_AFTER_CAPEX","FQ2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90" s="2" t="e">
        <f ca="1">_xll.BDH($C$578,"IS_OPER_INC","FQ2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90" s="1" t="e">
        <f ca="1">_xll.BDH($C$578,"CASH_RATIO","FQ2 2016","FQ2 2016","Currency=INR","Period=FQ","BEST_FPERIOD_OVERRIDE=FQ","FILING_STATUS=OR","EQY_CONSOLIDATED=Y","Sort=A","Dates=H","DateFormat=P","Fill=—","Direction=H","UseDPDF=Y")</f>
        <v>#NAME?</v>
      </c>
      <c r="CT590" s="1" t="e">
        <f ca="1">_xll.BDH($C$578,"CUR_RATIO","FQ2 2016","FQ2 2016","Currency=INR","Period=FQ","BEST_FPERIOD_OVERRIDE=FQ","FILING_STATUS=OR","EQY_CONSOLIDATED=Y","Sort=A","Dates=H","DateFormat=P","Fill=—","Direction=H","UseDPDF=Y")</f>
        <v>#NAME?</v>
      </c>
      <c r="CU590" s="1" t="e">
        <f ca="1">_xll.BDH($C$578,"QUICK_RATIO","FQ2 2016","FQ2 2016","Currency=INR","Period=FQ","BEST_FPERIOD_OVERRIDE=FQ","FILING_STATUS=OR","EQY_CONSOLIDATED=Y","Sort=A","Dates=H","DateFormat=P","Fill=—","Direction=H","UseDPDF=Y")</f>
        <v>#NAME?</v>
      </c>
      <c r="CV590" s="1" t="e">
        <f ca="1">_xll.BDH($C$578,"ALTMAN_Z_SCORE","FQ2 2016","FQ2 2016","Currency=INR","Period=FQ","BEST_FPERIOD_OVERRIDE=FQ","FILING_STATUS=OR","EQY_CONSOLIDATED=Y","Sort=A","Dates=H","DateFormat=P","Fill=—","Direction=H","UseDPDF=Y")</f>
        <v>#NAME?</v>
      </c>
      <c r="CW590" s="3" t="e">
        <f ca="1">_xll.BDH($C$578,"ACCT_RCV_TURN","FQ2 2016","FQ2 2016","Currency=INR","Period=FQ","BEST_FPERIOD_OVERRIDE=FQ","FILING_STATUS=OR","EQY_CONSOLIDATED=Y","FA_ADJUSTED=GAAP","Sort=A","Dates=H","DateFormat=P","Fill=—","Direction=H","UseDPDF=Y")</f>
        <v>#NAME?</v>
      </c>
      <c r="CX590" s="1" t="e">
        <f ca="1">_xll.BDH($C$578,"ACCT_RCV_DAYS","FQ2 2016","FQ2 2016","Currency=INR","Period=FQ","BEST_FPERIOD_OVERRIDE=FQ","FILING_STATUS=OR","EQY_CONSOLIDATED=Y","FA_ADJUSTED=GAAP","Sort=A","Dates=H","DateFormat=P","Fill=—","Direction=H","UseDPDF=Y")</f>
        <v>#NAME?</v>
      </c>
      <c r="CY590" s="3" t="e">
        <f ca="1">_xll.BDH($C$578,"INVENT_TURN","FQ2 2016","FQ2 2016","Currency=INR","Period=FQ","BEST_FPERIOD_OVERRIDE=FQ","FILING_STATUS=OR","EQY_CONSOLIDATED=Y","FA_ADJUSTED=GAAP","Sort=A","Dates=H","DateFormat=P","Fill=—","Direction=H","UseDPDF=Y")</f>
        <v>#NAME?</v>
      </c>
      <c r="CZ590" s="1" t="e">
        <f ca="1">_xll.BDH($C$578,"INVENT_DAYS","FQ2 2016","FQ2 2016","Currency=INR","Period=FQ","BEST_FPERIOD_OVERRIDE=FQ","FILING_STATUS=OR","EQY_CONSOLIDATED=Y","FA_ADJUSTED=GAAP","Sort=A","Dates=H","DateFormat=P","Fill=—","Direction=H","UseDPDF=Y")</f>
        <v>#NAME?</v>
      </c>
      <c r="DA590" s="3" t="e">
        <f ca="1">_xll.BDH($C$578,"ACCOUNTS_PAYABLE_TURNOVER","FQ2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90" s="1" t="e">
        <f ca="1">_xll.BDH($C$578,"ACCOUNTS_PAYABLE_TURNOVER_DAYS","FQ2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90" s="3" t="e">
        <f ca="1">_xll.BDH($C$578,"CASH_CONVERSION_CYCLE","FQ2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90" s="3" t="e">
        <f ca="1">_xll.BDH($C$578,"INV_TO_CASH_DAYS","FQ2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590" s="4" t="e">
        <f ca="1">_xll.BDH($C$578,"BS_INVENTORIES","FQ2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590" s="2" t="e">
        <f ca="1">_xll.BDH($C$578,"INVTRY_RAW_MATERIALS","FQ2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90" s="2" t="e">
        <f ca="1">_xll.BDH($C$578,"INVTRY_IN_PROGRESS","FQ2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90" s="2" t="e">
        <f ca="1">_xll.BDH($C$578,"INVTRY_FINISHED_GOODS","FQ2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90" s="2" t="e">
        <f ca="1">_xll.BDH($C$578,"BS_OTHER_INV","FQ2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91" spans="1:113" x14ac:dyDescent="0.3">
      <c r="A591" s="6"/>
      <c r="B591" s="6"/>
      <c r="C591" s="6"/>
      <c r="D591" s="6"/>
      <c r="E591" t="s">
        <v>6</v>
      </c>
      <c r="F591" t="e">
        <f ca="1">_xll.BDH($C$578,"RETURN_COM_EQY","FQ3 2016","FQ3 2016","Currency=INR","Period=FQ","BEST_FPERIOD_OVERRIDE=FQ","FILING_STATUS=OR","EQY_CONSOLIDATED=Y","FA_ADJUSTED=GAAP","Sort=A","Dates=H","DateFormat=P","Fill=—","Direction=H","UseDPDF=Y")</f>
        <v>#NAME?</v>
      </c>
      <c r="G591" t="e">
        <f ca="1">_xll.BDH($C$578,"RETURN_ON_ASSET","FQ3 2016","FQ3 2016","Currency=INR","Period=FQ","BEST_FPERIOD_OVERRIDE=FQ","FILING_STATUS=OR","EQY_CONSOLIDATED=Y","FA_ADJUSTED=GAAP","Sort=A","Dates=H","DateFormat=P","Fill=—","Direction=H","UseDPDF=Y")</f>
        <v>#NAME?</v>
      </c>
      <c r="H591" t="e">
        <f ca="1">_xll.BDH($C$578,"RETURN_ON_CAP","FQ3 2016","FQ3 2016","Currency=INR","Period=FQ","BEST_FPERIOD_OVERRIDE=FQ","FILING_STATUS=OR","EQY_CONSOLIDATED=Y","FA_ADJUSTED=GAAP","Sort=A","Dates=H","DateFormat=P","Fill=—","Direction=H","UseDPDF=Y")</f>
        <v>#NAME?</v>
      </c>
      <c r="I591" t="e">
        <f ca="1">_xll.BDH($C$578,"RETURN_ON_INV_CAPITAL","FQ3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91" t="e">
        <f ca="1">_xll.BDH($C$578,"EBITDA_TO_REVENUE","FQ3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591" t="e">
        <f ca="1">_xll.BDH($C$578,"OPER_MARGIN","FQ3 2016","FQ3 2016","Currency=INR","Period=FQ","BEST_FPERIOD_OVERRIDE=FQ","FILING_STATUS=OR","EQY_CONSOLIDATED=Y","FA_ADJUSTED=GAAP","Sort=A","Dates=H","DateFormat=P","Fill=—","Direction=H","UseDPDF=Y")</f>
        <v>#NAME?</v>
      </c>
      <c r="L591" t="e">
        <f ca="1">_xll.BDH($C$578,"INCREMENTAL_OPERATING_MARGIN","FQ3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91" t="e">
        <f ca="1">_xll.BDH($C$578,"PRETAX_INC_TO_NET_SALES","FQ3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91" t="e">
        <f ca="1">_xll.BDH($C$578,"INC_BEF_XO_ITEMS_TO_NET_SALES","FQ3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91" t="e">
        <f ca="1">_xll.BDH($C$578,"PROF_MARGIN","FQ3 2016","FQ3 2016","Currency=INR","Period=FQ","BEST_FPERIOD_OVERRIDE=FQ","FILING_STATUS=OR","EQY_CONSOLIDATED=Y","FA_ADJUSTED=GAAP","Sort=A","Dates=H","DateFormat=P","Fill=—","Direction=H","UseDPDF=Y")</f>
        <v>#NAME?</v>
      </c>
      <c r="P591" t="e">
        <f ca="1">_xll.BDH($C$578,"NET_INCOME_TO_COMMON_MARGIN","FQ3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91" t="e">
        <f ca="1">_xll.BDH($C$578,"EFF_TAX_RATE","FQ3 2016","FQ3 2016","Currency=INR","Period=FQ","BEST_FPERIOD_OVERRIDE=FQ","FILING_STATUS=OR","EQY_CONSOLIDATED=Y","FA_ADJUSTED=GAAP","Sort=A","Dates=H","DateFormat=P","Fill=—","Direction=H","UseDPDF=Y")</f>
        <v>#NAME?</v>
      </c>
      <c r="R591" t="e">
        <f ca="1">_xll.BDH($C$578,"DVD_PAYOUT_RATIO","FQ3 2016","FQ3 2016","Currency=INR","Period=FQ","BEST_FPERIOD_OVERRIDE=FQ","FILING_STATUS=OR","EQY_CONSOLIDATED=Y","FA_ADJUSTED=GAAP","Sort=A","Dates=H","DateFormat=P","Fill=—","Direction=H","UseDPDF=Y")</f>
        <v>#NAME?</v>
      </c>
      <c r="S591" t="e">
        <f ca="1">_xll.BDH($C$578,"SUSTAIN_GROWTH_RT","FQ3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591" s="1" t="e">
        <f ca="1">_xll.BDH($C$578,"SALES_GROWTH","FQ3 2016","FQ3 2016","Currency=INR","Period=FQ","BEST_FPERIOD_OVERRIDE=FQ","FILING_STATUS=OR","EQY_CONSOLIDATED=Y","FA_ADJUSTED=GAAP","Sort=A","Dates=H","DateFormat=P","Fill=—","Direction=H","UseDPDF=Y")</f>
        <v>#NAME?</v>
      </c>
      <c r="U591" s="1" t="e">
        <f ca="1">_xll.BDH($C$578,"EBITDA_GROWTH","FQ3 2016","FQ3 2016","Currency=INR","Period=FQ","BEST_FPERIOD_OVERRIDE=FQ","FILING_STATUS=OR","EQY_CONSOLIDATED=Y","FA_ADJUSTED=GAAP","Sort=A","Dates=H","DateFormat=P","Fill=—","Direction=H","UseDPDF=Y")</f>
        <v>#NAME?</v>
      </c>
      <c r="V591" s="1" t="e">
        <f ca="1">_xll.BDH($C$578,"OPER_INC_GROWTH","FQ3 2016","FQ3 2016","Currency=INR","Period=FQ","BEST_FPERIOD_OVERRIDE=FQ","FILING_STATUS=OR","EQY_CONSOLIDATED=Y","FA_ADJUSTED=GAAP","Sort=A","Dates=H","DateFormat=P","Fill=—","Direction=H","UseDPDF=Y")</f>
        <v>#NAME?</v>
      </c>
      <c r="W591" s="1" t="e">
        <f ca="1">_xll.BDH($C$578,"EARN_FOR_COM_GROWTH","FQ3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91" s="1" t="e">
        <f ca="1">_xll.BDH($C$578,"DILUTED_EPS_AFT_XO_ITEMS_GROWTH","FQ3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91" s="1" t="e">
        <f ca="1">_xll.BDH($C$578,"DIVIDEND_PER_SHARE_1_YEAR_GROWTH","FQ3 2016","FQ3 2016","Currency=INR","Period=FQ","BEST_FPERIOD_OVERRIDE=FQ","FILING_STATUS=OR","EQY_CONSOLIDATED=Y","Sort=A","Dates=H","DateFormat=P","Fill=—","Direction=H","UseDPDF=Y")</f>
        <v>#NAME?</v>
      </c>
      <c r="Z591" s="1" t="e">
        <f ca="1">_xll.BDH($C$578,"ACCOUNTS_RECEIVABLE_GROWTH","FQ3 2016","FQ3 2016","Currency=INR","Period=FQ","BEST_FPERIOD_OVERRIDE=FQ","FILING_STATUS=OR","EQY_CONSOLIDATED=Y","Sort=A","Dates=H","DateFormat=P","Fill=—","Direction=H","UseDPDF=Y")</f>
        <v>#NAME?</v>
      </c>
      <c r="AA591" s="1" t="e">
        <f ca="1">_xll.BDH($C$578,"INVENTORY_GROWTH","FQ3 2016","FQ3 2016","Currency=INR","Period=FQ","BEST_FPERIOD_OVERRIDE=FQ","FILING_STATUS=OR","EQY_CONSOLIDATED=Y","Sort=A","Dates=H","DateFormat=P","Fill=—","Direction=H","UseDPDF=Y")</f>
        <v>#NAME?</v>
      </c>
      <c r="AB591" s="1" t="e">
        <f ca="1">_xll.BDH($C$578,"NET_FIXED_ASSETS_1_YEAR_GROWTH","FQ3 2016","FQ3 2016","Currency=INR","Period=FQ","BEST_FPERIOD_OVERRIDE=FQ","FILING_STATUS=OR","EQY_CONSOLIDATED=Y","Sort=A","Dates=H","DateFormat=P","Fill=—","Direction=H","UseDPDF=Y")</f>
        <v>#NAME?</v>
      </c>
      <c r="AC591" s="1" t="e">
        <f ca="1">_xll.BDH($C$578,"ASSET_GROWTH","FQ3 2016","FQ3 2016","Currency=INR","Period=FQ","BEST_FPERIOD_OVERRIDE=FQ","FILING_STATUS=OR","EQY_CONSOLIDATED=Y","Sort=A","Dates=H","DateFormat=P","Fill=—","Direction=H","UseDPDF=Y")</f>
        <v>#NAME?</v>
      </c>
      <c r="AD591" s="1" t="e">
        <f ca="1">_xll.BDH($C$578,"MODIFIED_WORK_CAP_GROWTH","FQ3 2016","FQ3 2016","Currency=INR","Period=FQ","BEST_FPERIOD_OVERRIDE=FQ","FILING_STATUS=OR","EQY_CONSOLIDATED=Y","Sort=A","Dates=H","DateFormat=P","Fill=—","Direction=H","UseDPDF=Y")</f>
        <v>#NAME?</v>
      </c>
      <c r="AE591" s="1" t="e">
        <f ca="1">_xll.BDH($C$578,"WORK_CAP_GROWTH","FQ3 2016","FQ3 2016","Currency=INR","Period=FQ","BEST_FPERIOD_OVERRIDE=FQ","FILING_STATUS=OR","EQY_CONSOLIDATED=Y","Sort=A","Dates=H","DateFormat=P","Fill=—","Direction=H","UseDPDF=Y")</f>
        <v>#NAME?</v>
      </c>
      <c r="AF591" s="1" t="e">
        <f ca="1">_xll.BDH($C$578,"ACCOUNTS_PAYABLE_GROWTH_1YR","FQ3 2016","FQ3 2016","Currency=INR","Period=FQ","BEST_FPERIOD_OVERRIDE=FQ","FILING_STATUS=OR","EQY_CONSOLIDATED=Y","Sort=A","Dates=H","DateFormat=P","Fill=—","Direction=H","UseDPDF=Y")</f>
        <v>#NAME?</v>
      </c>
      <c r="AG591" s="1" t="e">
        <f ca="1">_xll.BDH($C$578,"SHORT_TERM_DEBT_1_YEAR_GROWTH","FQ3 2016","FQ3 2016","Currency=INR","Period=FQ","BEST_FPERIOD_OVERRIDE=FQ","FILING_STATUS=OR","EQY_CONSOLIDATED=Y","Sort=A","Dates=H","DateFormat=P","Fill=—","Direction=H","UseDPDF=Y")</f>
        <v>#NAME?</v>
      </c>
      <c r="AH591" s="1" t="e">
        <f ca="1">_xll.BDH($C$578,"TOTAL_DEBT_1_YEAR_GROWTH","FQ3 2016","FQ3 2016","Currency=INR","Period=FQ","BEST_FPERIOD_OVERRIDE=FQ","FILING_STATUS=OR","EQY_CONSOLIDATED=Y","Sort=A","Dates=H","DateFormat=P","Fill=—","Direction=H","UseDPDF=Y")</f>
        <v>#NAME?</v>
      </c>
      <c r="AI591" s="1" t="e">
        <f ca="1">_xll.BDH($C$578,"TOTAL_EQUITY_1_YEAR_GROWTH","FQ3 2016","FQ3 2016","Currency=INR","Period=FQ","BEST_FPERIOD_OVERRIDE=FQ","FILING_STATUS=OR","EQY_CONSOLIDATED=Y","Sort=A","Dates=H","DateFormat=P","Fill=—","Direction=H","UseDPDF=Y")</f>
        <v>#NAME?</v>
      </c>
      <c r="AJ591" s="1" t="e">
        <f ca="1">_xll.BDH($C$578,"GROWTH_IN_CAP","FQ3 2016","FQ3 2016","Currency=INR","Period=FQ","BEST_FPERIOD_OVERRIDE=FQ","FILING_STATUS=OR","EQY_CONSOLIDATED=Y","Sort=A","Dates=H","DateFormat=P","Fill=—","Direction=H","UseDPDF=Y")</f>
        <v>#NAME?</v>
      </c>
      <c r="AK591" s="1" t="e">
        <f ca="1">_xll.BDH($C$578,"BVPS_GROWTH","FQ3 2016","FQ3 2016","Currency=INR","Period=FQ","BEST_FPERIOD_OVERRIDE=FQ","FILING_STATUS=OR","EQY_CONSOLIDATED=Y","Sort=A","Dates=H","DateFormat=P","Fill=—","Direction=H","UseDPDF=Y")</f>
        <v>#NAME?</v>
      </c>
      <c r="AL591" s="1" t="e">
        <f ca="1">_xll.BDH($C$578,"CASH_FLOW_GROWTH","FQ3 2016","FQ3 2016","Currency=INR","Period=FQ","BEST_FPERIOD_OVERRIDE=FQ","FILING_STATUS=OR","EQY_CONSOLIDATED=Y","Sort=A","Dates=H","DateFormat=P","Fill=—","Direction=H","UseDPDF=Y")</f>
        <v>#NAME?</v>
      </c>
      <c r="AM591" s="1" t="e">
        <f ca="1">_xll.BDH($C$578,"GEO_GROW_NET_SALES","FQ3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91" s="1" t="e">
        <f ca="1">_xll.BDH($C$578,"GEO_GROW_EBITDA","FQ3 2016","FQ3 2016","Currency=INR","Period=FQ","BEST_FPERIOD_OVERRIDE=FQ","FILING_STATUS=OR","EQY_CONSOLIDATED=Y","FA_ADJUSTED=GAAP","Sort=A","Dates=H","DateFormat=P","Fill=—","Direction=H","UseDPDF=Y")</f>
        <v>#NAME?</v>
      </c>
      <c r="AO591" s="1" t="e">
        <f ca="1">_xll.BDH($C$578,"GEO_GROW_OPER_INC","FQ3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91" s="1" t="e">
        <f ca="1">_xll.BDH($C$578,"NET_INCOME_TO_COMMON_5_YR_GROWTH","FQ3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91" s="1" t="e">
        <f ca="1">_xll.BDH($C$578,"5Y_GEO_GROWTH_DILUTED_EPS","FQ3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91" s="1" t="e">
        <f ca="1">_xll.BDH($C$578,"GEO_GROW_DVD_PER_SH","FQ3 2016","FQ3 2016","Currency=INR","Period=FQ","BEST_FPERIOD_OVERRIDE=FQ","FILING_STATUS=OR","EQY_CONSOLIDATED=Y","Sort=A","Dates=H","DateFormat=P","Fill=—","Direction=H","UseDPDF=Y")</f>
        <v>#NAME?</v>
      </c>
      <c r="AS591" s="1" t="e">
        <f ca="1">_xll.BDH($C$578,"ACCOUNTS_RECEIVABLE_5_YR_GROWTH","FQ3 2016","FQ3 2016","Currency=INR","Period=FQ","BEST_FPERIOD_OVERRIDE=FQ","FILING_STATUS=OR","EQY_CONSOLIDATED=Y","Sort=A","Dates=H","DateFormat=P","Fill=—","Direction=H","UseDPDF=Y")</f>
        <v>#NAME?</v>
      </c>
      <c r="AT591" s="1" t="e">
        <f ca="1">_xll.BDH($C$578,"INVENTORY_5_YEAR_GROWTH","FQ3 2016","FQ3 2016","Currency=INR","Period=FQ","BEST_FPERIOD_OVERRIDE=FQ","FILING_STATUS=OR","EQY_CONSOLIDATED=Y","Sort=A","Dates=H","DateFormat=P","Fill=—","Direction=H","UseDPDF=Y")</f>
        <v>#NAME?</v>
      </c>
      <c r="AU591" s="1" t="e">
        <f ca="1">_xll.BDH($C$578,"NET_FIXED_ASSETS_5_YEAR_GROWTH","FQ3 2016","FQ3 2016","Currency=INR","Period=FQ","BEST_FPERIOD_OVERRIDE=FQ","FILING_STATUS=OR","EQY_CONSOLIDATED=Y","Sort=A","Dates=H","DateFormat=P","Fill=—","Direction=H","UseDPDF=Y")</f>
        <v>#NAME?</v>
      </c>
      <c r="AV591" s="1" t="e">
        <f ca="1">_xll.BDH($C$578,"GEO_GROW_TOT_ASSET","FQ3 2016","FQ3 2016","Currency=INR","Period=FQ","BEST_FPERIOD_OVERRIDE=FQ","FILING_STATUS=OR","EQY_CONSOLIDATED=Y","Sort=A","Dates=H","DateFormat=P","Fill=—","Direction=H","UseDPDF=Y")</f>
        <v>#NAME?</v>
      </c>
      <c r="AW591" s="1" t="e">
        <f ca="1">_xll.BDH($C$578,"MODIFIED_WORKING_CPTL_5YR_GRWTH","FQ3 2016","FQ3 2016","Currency=INR","Period=FQ","BEST_FPERIOD_OVERRIDE=FQ","FILING_STATUS=OR","EQY_CONSOLIDATED=Y","Sort=A","Dates=H","DateFormat=P","Fill=—","Direction=H","UseDPDF=Y")</f>
        <v>#NAME?</v>
      </c>
      <c r="AX591" s="1" t="e">
        <f ca="1">_xll.BDH($C$578,"WORKING_CAPITAL_5_YEAR_GROWTH","FQ3 2016","FQ3 2016","Currency=INR","Period=FQ","BEST_FPERIOD_OVERRIDE=FQ","FILING_STATUS=OR","EQY_CONSOLIDATED=Y","Sort=A","Dates=H","DateFormat=P","Fill=—","Direction=H","UseDPDF=Y")</f>
        <v>#NAME?</v>
      </c>
      <c r="AY591" s="1" t="e">
        <f ca="1">_xll.BDH($C$578,"ACCOUNTS_PAYABLE_5_YEAR_GROWTH","FQ3 2016","FQ3 2016","Currency=INR","Period=FQ","BEST_FPERIOD_OVERRIDE=FQ","FILING_STATUS=OR","EQY_CONSOLIDATED=Y","Sort=A","Dates=H","DateFormat=P","Fill=—","Direction=H","UseDPDF=Y")</f>
        <v>#NAME?</v>
      </c>
      <c r="AZ591" s="1" t="e">
        <f ca="1">_xll.BDH($C$578,"SHORT_TERM_DEBT_5_YEAR_GROWTH","FQ3 2016","FQ3 2016","Currency=INR","Period=FQ","BEST_FPERIOD_OVERRIDE=FQ","FILING_STATUS=OR","EQY_CONSOLIDATED=Y","Sort=A","Dates=H","DateFormat=P","Fill=—","Direction=H","UseDPDF=Y")</f>
        <v>#NAME?</v>
      </c>
      <c r="BA591" s="1" t="e">
        <f ca="1">_xll.BDH($C$578,"TOTAL_DEBT_5_YEAR_GROWTH","FQ3 2016","FQ3 2016","Currency=INR","Period=FQ","BEST_FPERIOD_OVERRIDE=FQ","FILING_STATUS=OR","EQY_CONSOLIDATED=Y","Sort=A","Dates=H","DateFormat=P","Fill=—","Direction=H","UseDPDF=Y")</f>
        <v>#NAME?</v>
      </c>
      <c r="BB591" s="1" t="e">
        <f ca="1">_xll.BDH($C$578,"GEO_GROW_TOT_SHRHLDR_EQY","FQ3 2016","FQ3 2016","Currency=INR","Period=FQ","BEST_FPERIOD_OVERRIDE=FQ","FILING_STATUS=OR","EQY_CONSOLIDATED=Y","Sort=A","Dates=H","DateFormat=P","Fill=—","Direction=H","UseDPDF=Y")</f>
        <v>#NAME?</v>
      </c>
      <c r="BC591" s="1" t="e">
        <f ca="1">_xll.BDH($C$578,"TOTAL_CAPITAL_5_YEAR_GROWTH","FQ3 2016","FQ3 2016","Currency=INR","Period=FQ","BEST_FPERIOD_OVERRIDE=FQ","FILING_STATUS=OR","EQY_CONSOLIDATED=Y","Sort=A","Dates=H","DateFormat=P","Fill=—","Direction=H","UseDPDF=Y")</f>
        <v>#NAME?</v>
      </c>
      <c r="BD591" s="1" t="e">
        <f ca="1">_xll.BDH($C$578,"GEO_GROW_BOOK_VAL","FQ3 2016","FQ3 2016","Currency=INR","Period=FQ","BEST_FPERIOD_OVERRIDE=FQ","FILING_STATUS=OR","EQY_CONSOLIDATED=Y","Sort=A","Dates=H","DateFormat=P","Fill=—","Direction=H","UseDPDF=Y")</f>
        <v>#NAME?</v>
      </c>
      <c r="BE591" s="1" t="e">
        <f ca="1">_xll.BDH($C$578,"GEO_GROW_CASH_OPER_ACT","FQ3 2016","FQ3 2016","Currency=INR","Period=FQ","BEST_FPERIOD_OVERRIDE=FQ","FILING_STATUS=OR","EQY_CONSOLIDATED=Y","Sort=A","Dates=H","DateFormat=P","Fill=—","Direction=H","UseDPDF=Y")</f>
        <v>#NAME?</v>
      </c>
      <c r="BF591" s="1" t="e">
        <f ca="1">_xll.BDH($C$578,"REVENUE_SEQUENTIAL_GROWTH","FQ3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91" s="1" t="e">
        <f ca="1">_xll.BDH($C$578,"EBITDA_SEQUENTIAL_GROWTH","FQ3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91" s="1" t="e">
        <f ca="1">_xll.BDH($C$578,"OPERATING_INCOME_SEQ_GROWTH","FQ3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91" s="1" t="e">
        <f ca="1">_xll.BDH($C$578,"NET_INCOME_TO_COMMON_SEQ_GROWTH","FQ3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91" s="1" t="e">
        <f ca="1">_xll.BDH($C$578,"EPS_DILUTED_SEQUENTIAL_GROWTH","FQ3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91" s="1" t="e">
        <f ca="1">_xll.BDH($C$578,"DPS_SEQUENTIAL_GROWTH","FQ3 2016","FQ3 2016","Currency=INR","Period=FQ","BEST_FPERIOD_OVERRIDE=FQ","FILING_STATUS=OR","EQY_CONSOLIDATED=Y","Sort=A","Dates=H","DateFormat=P","Fill=—","Direction=H","UseDPDF=Y")</f>
        <v>#NAME?</v>
      </c>
      <c r="BL591" s="1" t="e">
        <f ca="1">_xll.BDH($C$578,"ACCOUNTS_RECEIVABLE_SEQ_GROWTH","FQ3 2016","FQ3 2016","Currency=INR","Period=FQ","BEST_FPERIOD_OVERRIDE=FQ","FILING_STATUS=OR","EQY_CONSOLIDATED=Y","Sort=A","Dates=H","DateFormat=P","Fill=—","Direction=H","UseDPDF=Y")</f>
        <v>#NAME?</v>
      </c>
      <c r="BM591" s="1" t="e">
        <f ca="1">_xll.BDH($C$578,"INVENTORY_SEQUENTIAL_GROWTH","FQ3 2016","FQ3 2016","Currency=INR","Period=FQ","BEST_FPERIOD_OVERRIDE=FQ","FILING_STATUS=OR","EQY_CONSOLIDATED=Y","Sort=A","Dates=H","DateFormat=P","Fill=—","Direction=H","UseDPDF=Y")</f>
        <v>#NAME?</v>
      </c>
      <c r="BN591" s="1" t="e">
        <f ca="1">_xll.BDH($C$578,"FIXED_ASSETS_SEQUENTIAL_GROWTH","FQ3 2016","FQ3 2016","Currency=INR","Period=FQ","BEST_FPERIOD_OVERRIDE=FQ","FILING_STATUS=OR","EQY_CONSOLIDATED=Y","Sort=A","Dates=H","DateFormat=P","Fill=—","Direction=H","UseDPDF=Y")</f>
        <v>#NAME?</v>
      </c>
      <c r="BO591" s="1" t="e">
        <f ca="1">_xll.BDH($C$578,"TOTAL_ASSETS_SEQUENTIAL_GROWTH","FQ3 2016","FQ3 2016","Currency=INR","Period=FQ","BEST_FPERIOD_OVERRIDE=FQ","FILING_STATUS=OR","EQY_CONSOLIDATED=Y","Sort=A","Dates=H","DateFormat=P","Fill=—","Direction=H","UseDPDF=Y")</f>
        <v>#NAME?</v>
      </c>
      <c r="BP591" s="1" t="e">
        <f ca="1">_xll.BDH($C$578,"MODIFIED_WORKING_CPTL_SEQ_GRWTH","FQ3 2016","FQ3 2016","Currency=INR","Period=FQ","BEST_FPERIOD_OVERRIDE=FQ","FILING_STATUS=OR","EQY_CONSOLIDATED=Y","Sort=A","Dates=H","DateFormat=P","Fill=—","Direction=H","UseDPDF=Y")</f>
        <v>#NAME?</v>
      </c>
      <c r="BQ591" s="1" t="e">
        <f ca="1">_xll.BDH($C$578,"WORKING_CAPITAL_SEQ_GROWTH","FQ3 2016","FQ3 2016","Currency=INR","Period=FQ","BEST_FPERIOD_OVERRIDE=FQ","FILING_STATUS=OR","EQY_CONSOLIDATED=Y","Sort=A","Dates=H","DateFormat=P","Fill=—","Direction=H","UseDPDF=Y")</f>
        <v>#NAME?</v>
      </c>
      <c r="BR591" s="1" t="e">
        <f ca="1">_xll.BDH($C$578,"ACCOUNTS_PAYABLE_SEQ_GROWTH","FQ3 2016","FQ3 2016","Currency=INR","Period=FQ","BEST_FPERIOD_OVERRIDE=FQ","FILING_STATUS=OR","EQY_CONSOLIDATED=Y","Sort=A","Dates=H","DateFormat=P","Fill=—","Direction=H","UseDPDF=Y")</f>
        <v>#NAME?</v>
      </c>
      <c r="BS591" s="1" t="e">
        <f ca="1">_xll.BDH($C$578,"ST_DEBT_SEQUENTIAL_GROWTH","FQ3 2016","FQ3 2016","Currency=INR","Period=FQ","BEST_FPERIOD_OVERRIDE=FQ","FILING_STATUS=OR","EQY_CONSOLIDATED=Y","Sort=A","Dates=H","DateFormat=P","Fill=—","Direction=H","UseDPDF=Y")</f>
        <v>#NAME?</v>
      </c>
      <c r="BT591" s="1" t="e">
        <f ca="1">_xll.BDH($C$578,"TOTAL_DEBT_SEQUENTIAL_GROWTH","FQ3 2016","FQ3 2016","Currency=INR","Period=FQ","BEST_FPERIOD_OVERRIDE=FQ","FILING_STATUS=OR","EQY_CONSOLIDATED=Y","Sort=A","Dates=H","DateFormat=P","Fill=—","Direction=H","UseDPDF=Y")</f>
        <v>#NAME?</v>
      </c>
      <c r="BU591" s="1" t="e">
        <f ca="1">_xll.BDH($C$578,"TOTAL_EQUITY_SEQUENTIAL_GROWTH","FQ3 2016","FQ3 2016","Currency=INR","Period=FQ","BEST_FPERIOD_OVERRIDE=FQ","FILING_STATUS=OR","EQY_CONSOLIDATED=Y","Sort=A","Dates=H","DateFormat=P","Fill=—","Direction=H","UseDPDF=Y")</f>
        <v>#NAME?</v>
      </c>
      <c r="BV591" s="1" t="e">
        <f ca="1">_xll.BDH($C$578,"TOTAL_CAPITAL_SEQUENTIAL_GROWTH","FQ3 2016","FQ3 2016","Currency=INR","Period=FQ","BEST_FPERIOD_OVERRIDE=FQ","FILING_STATUS=OR","EQY_CONSOLIDATED=Y","Sort=A","Dates=H","DateFormat=P","Fill=—","Direction=H","UseDPDF=Y")</f>
        <v>#NAME?</v>
      </c>
      <c r="BW591" s="1" t="e">
        <f ca="1">_xll.BDH($C$578,"BPS_SEQUENTIAL_GROWTH","FQ3 2016","FQ3 2016","Currency=INR","Period=FQ","BEST_FPERIOD_OVERRIDE=FQ","FILING_STATUS=OR","EQY_CONSOLIDATED=Y","Sort=A","Dates=H","DateFormat=P","Fill=—","Direction=H","UseDPDF=Y")</f>
        <v>#NAME?</v>
      </c>
      <c r="BX591" s="1" t="e">
        <f ca="1">_xll.BDH($C$578,"CFO_SEQUENTIAL_GROWTH","FQ3 2016","FQ3 2016","Currency=INR","Period=FQ","BEST_FPERIOD_OVERRIDE=FQ","FILING_STATUS=OR","EQY_CONSOLIDATED=Y","Sort=A","Dates=H","DateFormat=P","Fill=—","Direction=H","UseDPDF=Y")</f>
        <v>#NAME?</v>
      </c>
      <c r="BY591" s="2" t="e">
        <f ca="1">_xll.BDH($C$578,"SHORT_AND_LONG_TERM_DEBT","FQ3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91" s="2" t="e">
        <f ca="1">_xll.BDH($C$578,"BS_ST_BORROW","FQ3 2016","FQ3 2016","Currency=INR","Period=FQ","BEST_FPERIOD_OVERRIDE=FQ","FILING_STATUS=OR","EQY_CONSOLIDATED=Y","SCALING_FORMAT=MLN","Sort=A","Dates=H","DateFormat=P","Fill=—","Direction=H","UseDPDF=Y")</f>
        <v>#NAME?</v>
      </c>
      <c r="CA591" s="2" t="e">
        <f ca="1">_xll.BDH($C$578,"BS_LT_BORROW","FQ3 2016","FQ3 2016","Currency=INR","Period=FQ","BEST_FPERIOD_OVERRIDE=FQ","FILING_STATUS=OR","EQY_CONSOLIDATED=Y","SCALING_FORMAT=MLN","Sort=A","Dates=H","DateFormat=P","Fill=—","Direction=H","UseDPDF=Y")</f>
        <v>#NAME?</v>
      </c>
      <c r="CB591" s="1" t="e">
        <f ca="1">_xll.BDH($C$578,"TOT_DEBT_TO_EBITDA","FQ3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91" s="1" t="e">
        <f ca="1">_xll.BDH($C$578,"NET_DEBT_TO_EBITDA","FQ3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91" s="1" t="e">
        <f ca="1">_xll.BDH($C$578,"TOTAL_DEBT_TO_EBIT","FQ3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91" s="1" t="e">
        <f ca="1">_xll.BDH($C$578,"NET_DEBT_TO_EBIT","FQ3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591" s="1" t="e">
        <f ca="1">_xll.BDH($C$578,"EBITDA_TO_INTEREST_EXPN","FQ3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91" s="1" t="e">
        <f ca="1">_xll.BDH($C$578,"COM_EQY_TO_TOT_ASSET","FQ3 2016","FQ3 2016","Currency=INR","Period=FQ","BEST_FPERIOD_OVERRIDE=FQ","FILING_STATUS=OR","EQY_CONSOLIDATED=Y","Sort=A","Dates=H","DateFormat=P","Fill=—","Direction=H","UseDPDF=Y")</f>
        <v>#NAME?</v>
      </c>
      <c r="CH591" s="1" t="e">
        <f ca="1">_xll.BDH($C$578,"LT_DEBT_TO_TOT_EQY","FQ3 2016","FQ3 2016","Currency=INR","Period=FQ","BEST_FPERIOD_OVERRIDE=FQ","FILING_STATUS=OR","EQY_CONSOLIDATED=Y","Sort=A","Dates=H","DateFormat=P","Fill=—","Direction=H","UseDPDF=Y")</f>
        <v>#NAME?</v>
      </c>
      <c r="CI591" s="1" t="e">
        <f ca="1">_xll.BDH($C$578,"LT_DEBT_TO_TOT_CAP","FQ3 2016","FQ3 2016","Currency=INR","Period=FQ","BEST_FPERIOD_OVERRIDE=FQ","FILING_STATUS=OR","EQY_CONSOLIDATED=Y","Sort=A","Dates=H","DateFormat=P","Fill=—","Direction=H","UseDPDF=Y")</f>
        <v>#NAME?</v>
      </c>
      <c r="CJ591" s="1" t="e">
        <f ca="1">_xll.BDH($C$578,"LT_DEBT_TO_TOT_ASSET","FQ3 2016","FQ3 2016","Currency=INR","Period=FQ","BEST_FPERIOD_OVERRIDE=FQ","FILING_STATUS=OR","EQY_CONSOLIDATED=Y","Sort=A","Dates=H","DateFormat=P","Fill=—","Direction=H","UseDPDF=Y")</f>
        <v>#NAME?</v>
      </c>
      <c r="CK591" s="1" t="e">
        <f ca="1">_xll.BDH($C$578,"TOT_DEBT_TO_TOT_EQY","FQ3 2016","FQ3 2016","Currency=INR","Period=FQ","BEST_FPERIOD_OVERRIDE=FQ","FILING_STATUS=OR","EQY_CONSOLIDATED=Y","Sort=A","Dates=H","DateFormat=P","Fill=—","Direction=H","UseDPDF=Y")</f>
        <v>#NAME?</v>
      </c>
      <c r="CL591" s="1" t="e">
        <f ca="1">_xll.BDH($C$578,"TOT_DEBT_TO_TOT_CAP","FQ3 2016","FQ3 2016","Currency=INR","Period=FQ","BEST_FPERIOD_OVERRIDE=FQ","FILING_STATUS=OR","EQY_CONSOLIDATED=Y","Sort=A","Dates=H","DateFormat=P","Fill=—","Direction=H","UseDPDF=Y")</f>
        <v>#NAME?</v>
      </c>
      <c r="CM591" s="1" t="e">
        <f ca="1">_xll.BDH($C$578,"TOT_DEBT_TO_TOT_ASSET","FQ3 2016","FQ3 2016","Currency=INR","Period=FQ","BEST_FPERIOD_OVERRIDE=FQ","FILING_STATUS=OR","EQY_CONSOLIDATED=Y","Sort=A","Dates=H","DateFormat=P","Fill=—","Direction=H","UseDPDF=Y")</f>
        <v>#NAME?</v>
      </c>
      <c r="CN591" s="1" t="e">
        <f ca="1">_xll.BDH($C$578,"NET_DEBT_TO_SHRHLDR_EQTY","FQ3 2016","FQ3 2016","Currency=INR","Period=FQ","BEST_FPERIOD_OVERRIDE=FQ","FILING_STATUS=OR","EQY_CONSOLIDATED=Y","Sort=A","Dates=H","DateFormat=P","Fill=—","Direction=H","UseDPDF=Y")</f>
        <v>#NAME?</v>
      </c>
      <c r="CO591" s="1" t="e">
        <f ca="1">_xll.BDH($C$578,"NET_DEBT_%_CAPITAL","FQ3 2016","FQ3 2016","Currency=INR","Period=FQ","BEST_FPERIOD_OVERRIDE=FQ","FILING_STATUS=OR","EQY_CONSOLIDATED=Y","Sort=A","Dates=H","DateFormat=P","Fill=—","Direction=H","UseDPDF=Y")</f>
        <v>#NAME?</v>
      </c>
      <c r="CP591" s="2" t="e">
        <f ca="1">_xll.BDH($C$578,"EBITDA","FQ3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91" s="2" t="e">
        <f ca="1">_xll.BDH($C$578,"EBITDA_AFTER_CAPEX","FQ3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91" s="2" t="e">
        <f ca="1">_xll.BDH($C$578,"IS_OPER_INC","FQ3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91" s="1" t="e">
        <f ca="1">_xll.BDH($C$578,"CASH_RATIO","FQ3 2016","FQ3 2016","Currency=INR","Period=FQ","BEST_FPERIOD_OVERRIDE=FQ","FILING_STATUS=OR","EQY_CONSOLIDATED=Y","Sort=A","Dates=H","DateFormat=P","Fill=—","Direction=H","UseDPDF=Y")</f>
        <v>#NAME?</v>
      </c>
      <c r="CT591" s="1" t="e">
        <f ca="1">_xll.BDH($C$578,"CUR_RATIO","FQ3 2016","FQ3 2016","Currency=INR","Period=FQ","BEST_FPERIOD_OVERRIDE=FQ","FILING_STATUS=OR","EQY_CONSOLIDATED=Y","Sort=A","Dates=H","DateFormat=P","Fill=—","Direction=H","UseDPDF=Y")</f>
        <v>#NAME?</v>
      </c>
      <c r="CU591" s="1" t="e">
        <f ca="1">_xll.BDH($C$578,"QUICK_RATIO","FQ3 2016","FQ3 2016","Currency=INR","Period=FQ","BEST_FPERIOD_OVERRIDE=FQ","FILING_STATUS=OR","EQY_CONSOLIDATED=Y","Sort=A","Dates=H","DateFormat=P","Fill=—","Direction=H","UseDPDF=Y")</f>
        <v>#NAME?</v>
      </c>
      <c r="CV591" s="1" t="e">
        <f ca="1">_xll.BDH($C$578,"ALTMAN_Z_SCORE","FQ3 2016","FQ3 2016","Currency=INR","Period=FQ","BEST_FPERIOD_OVERRIDE=FQ","FILING_STATUS=OR","EQY_CONSOLIDATED=Y","Sort=A","Dates=H","DateFormat=P","Fill=—","Direction=H","UseDPDF=Y")</f>
        <v>#NAME?</v>
      </c>
      <c r="CW591" s="3" t="e">
        <f ca="1">_xll.BDH($C$578,"ACCT_RCV_TURN","FQ3 2016","FQ3 2016","Currency=INR","Period=FQ","BEST_FPERIOD_OVERRIDE=FQ","FILING_STATUS=OR","EQY_CONSOLIDATED=Y","FA_ADJUSTED=GAAP","Sort=A","Dates=H","DateFormat=P","Fill=—","Direction=H","UseDPDF=Y")</f>
        <v>#NAME?</v>
      </c>
      <c r="CX591" s="1" t="e">
        <f ca="1">_xll.BDH($C$578,"ACCT_RCV_DAYS","FQ3 2016","FQ3 2016","Currency=INR","Period=FQ","BEST_FPERIOD_OVERRIDE=FQ","FILING_STATUS=OR","EQY_CONSOLIDATED=Y","FA_ADJUSTED=GAAP","Sort=A","Dates=H","DateFormat=P","Fill=—","Direction=H","UseDPDF=Y")</f>
        <v>#NAME?</v>
      </c>
      <c r="CY591" s="3" t="e">
        <f ca="1">_xll.BDH($C$578,"INVENT_TURN","FQ3 2016","FQ3 2016","Currency=INR","Period=FQ","BEST_FPERIOD_OVERRIDE=FQ","FILING_STATUS=OR","EQY_CONSOLIDATED=Y","FA_ADJUSTED=GAAP","Sort=A","Dates=H","DateFormat=P","Fill=—","Direction=H","UseDPDF=Y")</f>
        <v>#NAME?</v>
      </c>
      <c r="CZ591" s="1" t="e">
        <f ca="1">_xll.BDH($C$578,"INVENT_DAYS","FQ3 2016","FQ3 2016","Currency=INR","Period=FQ","BEST_FPERIOD_OVERRIDE=FQ","FILING_STATUS=OR","EQY_CONSOLIDATED=Y","FA_ADJUSTED=GAAP","Sort=A","Dates=H","DateFormat=P","Fill=—","Direction=H","UseDPDF=Y")</f>
        <v>#NAME?</v>
      </c>
      <c r="DA591" s="3" t="e">
        <f ca="1">_xll.BDH($C$578,"ACCOUNTS_PAYABLE_TURNOVER","FQ3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91" s="1" t="e">
        <f ca="1">_xll.BDH($C$578,"ACCOUNTS_PAYABLE_TURNOVER_DAYS","FQ3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91" s="3" t="e">
        <f ca="1">_xll.BDH($C$578,"CASH_CONVERSION_CYCLE","FQ3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91" s="3" t="e">
        <f ca="1">_xll.BDH($C$578,"INV_TO_CASH_DAYS","FQ3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591" s="4" t="e">
        <f ca="1">_xll.BDH($C$578,"BS_INVENTORIES","FQ3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591" s="2" t="e">
        <f ca="1">_xll.BDH($C$578,"INVTRY_RAW_MATERIALS","FQ3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91" s="2" t="e">
        <f ca="1">_xll.BDH($C$578,"INVTRY_IN_PROGRESS","FQ3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91" s="2" t="e">
        <f ca="1">_xll.BDH($C$578,"INVTRY_FINISHED_GOODS","FQ3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91" s="2" t="e">
        <f ca="1">_xll.BDH($C$578,"BS_OTHER_INV","FQ3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92" spans="1:113" x14ac:dyDescent="0.3">
      <c r="A592" s="6"/>
      <c r="B592" s="6"/>
      <c r="C592" s="6"/>
      <c r="D592" s="6"/>
      <c r="E592" t="s">
        <v>7</v>
      </c>
      <c r="F592" t="e">
        <f ca="1">_xll.BDH($C$578,"RETURN_COM_EQY","FQ4 2016","FQ4 2016","Currency=INR","Period=FQ","BEST_FPERIOD_OVERRIDE=FQ","FILING_STATUS=OR","EQY_CONSOLIDATED=Y","FA_ADJUSTED=GAAP","Sort=A","Dates=H","DateFormat=P","Fill=—","Direction=H","UseDPDF=Y")</f>
        <v>#NAME?</v>
      </c>
      <c r="G592" t="e">
        <f ca="1">_xll.BDH($C$578,"RETURN_ON_ASSET","FQ4 2016","FQ4 2016","Currency=INR","Period=FQ","BEST_FPERIOD_OVERRIDE=FQ","FILING_STATUS=OR","EQY_CONSOLIDATED=Y","FA_ADJUSTED=GAAP","Sort=A","Dates=H","DateFormat=P","Fill=—","Direction=H","UseDPDF=Y")</f>
        <v>#NAME?</v>
      </c>
      <c r="H592" t="e">
        <f ca="1">_xll.BDH($C$578,"RETURN_ON_CAP","FQ4 2016","FQ4 2016","Currency=INR","Period=FQ","BEST_FPERIOD_OVERRIDE=FQ","FILING_STATUS=OR","EQY_CONSOLIDATED=Y","FA_ADJUSTED=GAAP","Sort=A","Dates=H","DateFormat=P","Fill=—","Direction=H","UseDPDF=Y")</f>
        <v>#NAME?</v>
      </c>
      <c r="I592" t="e">
        <f ca="1">_xll.BDH($C$578,"RETURN_ON_INV_CAPITAL","FQ4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92" t="e">
        <f ca="1">_xll.BDH($C$578,"EBITDA_TO_REVENUE","FQ4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592" t="e">
        <f ca="1">_xll.BDH($C$578,"OPER_MARGIN","FQ4 2016","FQ4 2016","Currency=INR","Period=FQ","BEST_FPERIOD_OVERRIDE=FQ","FILING_STATUS=OR","EQY_CONSOLIDATED=Y","FA_ADJUSTED=GAAP","Sort=A","Dates=H","DateFormat=P","Fill=—","Direction=H","UseDPDF=Y")</f>
        <v>#NAME?</v>
      </c>
      <c r="L592" t="e">
        <f ca="1">_xll.BDH($C$578,"INCREMENTAL_OPERATING_MARGIN","FQ4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92" t="e">
        <f ca="1">_xll.BDH($C$578,"PRETAX_INC_TO_NET_SALES","FQ4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92" t="e">
        <f ca="1">_xll.BDH($C$578,"INC_BEF_XO_ITEMS_TO_NET_SALES","FQ4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92" t="e">
        <f ca="1">_xll.BDH($C$578,"PROF_MARGIN","FQ4 2016","FQ4 2016","Currency=INR","Period=FQ","BEST_FPERIOD_OVERRIDE=FQ","FILING_STATUS=OR","EQY_CONSOLIDATED=Y","FA_ADJUSTED=GAAP","Sort=A","Dates=H","DateFormat=P","Fill=—","Direction=H","UseDPDF=Y")</f>
        <v>#NAME?</v>
      </c>
      <c r="P592" t="e">
        <f ca="1">_xll.BDH($C$578,"NET_INCOME_TO_COMMON_MARGIN","FQ4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92" t="e">
        <f ca="1">_xll.BDH($C$578,"EFF_TAX_RATE","FQ4 2016","FQ4 2016","Currency=INR","Period=FQ","BEST_FPERIOD_OVERRIDE=FQ","FILING_STATUS=OR","EQY_CONSOLIDATED=Y","FA_ADJUSTED=GAAP","Sort=A","Dates=H","DateFormat=P","Fill=—","Direction=H","UseDPDF=Y")</f>
        <v>#NAME?</v>
      </c>
      <c r="R592" t="e">
        <f ca="1">_xll.BDH($C$578,"DVD_PAYOUT_RATIO","FQ4 2016","FQ4 2016","Currency=INR","Period=FQ","BEST_FPERIOD_OVERRIDE=FQ","FILING_STATUS=OR","EQY_CONSOLIDATED=Y","FA_ADJUSTED=GAAP","Sort=A","Dates=H","DateFormat=P","Fill=—","Direction=H","UseDPDF=Y")</f>
        <v>#NAME?</v>
      </c>
      <c r="S592" t="e">
        <f ca="1">_xll.BDH($C$578,"SUSTAIN_GROWTH_RT","FQ4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592" s="1" t="e">
        <f ca="1">_xll.BDH($C$578,"SALES_GROWTH","FQ4 2016","FQ4 2016","Currency=INR","Period=FQ","BEST_FPERIOD_OVERRIDE=FQ","FILING_STATUS=OR","EQY_CONSOLIDATED=Y","FA_ADJUSTED=GAAP","Sort=A","Dates=H","DateFormat=P","Fill=—","Direction=H","UseDPDF=Y")</f>
        <v>#NAME?</v>
      </c>
      <c r="U592" s="1" t="e">
        <f ca="1">_xll.BDH($C$578,"EBITDA_GROWTH","FQ4 2016","FQ4 2016","Currency=INR","Period=FQ","BEST_FPERIOD_OVERRIDE=FQ","FILING_STATUS=OR","EQY_CONSOLIDATED=Y","FA_ADJUSTED=GAAP","Sort=A","Dates=H","DateFormat=P","Fill=—","Direction=H","UseDPDF=Y")</f>
        <v>#NAME?</v>
      </c>
      <c r="V592" s="1" t="e">
        <f ca="1">_xll.BDH($C$578,"OPER_INC_GROWTH","FQ4 2016","FQ4 2016","Currency=INR","Period=FQ","BEST_FPERIOD_OVERRIDE=FQ","FILING_STATUS=OR","EQY_CONSOLIDATED=Y","FA_ADJUSTED=GAAP","Sort=A","Dates=H","DateFormat=P","Fill=—","Direction=H","UseDPDF=Y")</f>
        <v>#NAME?</v>
      </c>
      <c r="W592" s="1" t="e">
        <f ca="1">_xll.BDH($C$578,"EARN_FOR_COM_GROWTH","FQ4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92" s="1" t="e">
        <f ca="1">_xll.BDH($C$578,"DILUTED_EPS_AFT_XO_ITEMS_GROWTH","FQ4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92" s="1" t="e">
        <f ca="1">_xll.BDH($C$578,"DIVIDEND_PER_SHARE_1_YEAR_GROWTH","FQ4 2016","FQ4 2016","Currency=INR","Period=FQ","BEST_FPERIOD_OVERRIDE=FQ","FILING_STATUS=OR","EQY_CONSOLIDATED=Y","Sort=A","Dates=H","DateFormat=P","Fill=—","Direction=H","UseDPDF=Y")</f>
        <v>#NAME?</v>
      </c>
      <c r="Z592" s="1" t="e">
        <f ca="1">_xll.BDH($C$578,"ACCOUNTS_RECEIVABLE_GROWTH","FQ4 2016","FQ4 2016","Currency=INR","Period=FQ","BEST_FPERIOD_OVERRIDE=FQ","FILING_STATUS=OR","EQY_CONSOLIDATED=Y","Sort=A","Dates=H","DateFormat=P","Fill=—","Direction=H","UseDPDF=Y")</f>
        <v>#NAME?</v>
      </c>
      <c r="AA592" s="1" t="e">
        <f ca="1">_xll.BDH($C$578,"INVENTORY_GROWTH","FQ4 2016","FQ4 2016","Currency=INR","Period=FQ","BEST_FPERIOD_OVERRIDE=FQ","FILING_STATUS=OR","EQY_CONSOLIDATED=Y","Sort=A","Dates=H","DateFormat=P","Fill=—","Direction=H","UseDPDF=Y")</f>
        <v>#NAME?</v>
      </c>
      <c r="AB592" s="1" t="e">
        <f ca="1">_xll.BDH($C$578,"NET_FIXED_ASSETS_1_YEAR_GROWTH","FQ4 2016","FQ4 2016","Currency=INR","Period=FQ","BEST_FPERIOD_OVERRIDE=FQ","FILING_STATUS=OR","EQY_CONSOLIDATED=Y","Sort=A","Dates=H","DateFormat=P","Fill=—","Direction=H","UseDPDF=Y")</f>
        <v>#NAME?</v>
      </c>
      <c r="AC592" s="1" t="e">
        <f ca="1">_xll.BDH($C$578,"ASSET_GROWTH","FQ4 2016","FQ4 2016","Currency=INR","Period=FQ","BEST_FPERIOD_OVERRIDE=FQ","FILING_STATUS=OR","EQY_CONSOLIDATED=Y","Sort=A","Dates=H","DateFormat=P","Fill=—","Direction=H","UseDPDF=Y")</f>
        <v>#NAME?</v>
      </c>
      <c r="AD592" s="1" t="e">
        <f ca="1">_xll.BDH($C$578,"MODIFIED_WORK_CAP_GROWTH","FQ4 2016","FQ4 2016","Currency=INR","Period=FQ","BEST_FPERIOD_OVERRIDE=FQ","FILING_STATUS=OR","EQY_CONSOLIDATED=Y","Sort=A","Dates=H","DateFormat=P","Fill=—","Direction=H","UseDPDF=Y")</f>
        <v>#NAME?</v>
      </c>
      <c r="AE592" s="1" t="e">
        <f ca="1">_xll.BDH($C$578,"WORK_CAP_GROWTH","FQ4 2016","FQ4 2016","Currency=INR","Period=FQ","BEST_FPERIOD_OVERRIDE=FQ","FILING_STATUS=OR","EQY_CONSOLIDATED=Y","Sort=A","Dates=H","DateFormat=P","Fill=—","Direction=H","UseDPDF=Y")</f>
        <v>#NAME?</v>
      </c>
      <c r="AF592" s="1" t="e">
        <f ca="1">_xll.BDH($C$578,"ACCOUNTS_PAYABLE_GROWTH_1YR","FQ4 2016","FQ4 2016","Currency=INR","Period=FQ","BEST_FPERIOD_OVERRIDE=FQ","FILING_STATUS=OR","EQY_CONSOLIDATED=Y","Sort=A","Dates=H","DateFormat=P","Fill=—","Direction=H","UseDPDF=Y")</f>
        <v>#NAME?</v>
      </c>
      <c r="AG592" s="1" t="e">
        <f ca="1">_xll.BDH($C$578,"SHORT_TERM_DEBT_1_YEAR_GROWTH","FQ4 2016","FQ4 2016","Currency=INR","Period=FQ","BEST_FPERIOD_OVERRIDE=FQ","FILING_STATUS=OR","EQY_CONSOLIDATED=Y","Sort=A","Dates=H","DateFormat=P","Fill=—","Direction=H","UseDPDF=Y")</f>
        <v>#NAME?</v>
      </c>
      <c r="AH592" s="1" t="e">
        <f ca="1">_xll.BDH($C$578,"TOTAL_DEBT_1_YEAR_GROWTH","FQ4 2016","FQ4 2016","Currency=INR","Period=FQ","BEST_FPERIOD_OVERRIDE=FQ","FILING_STATUS=OR","EQY_CONSOLIDATED=Y","Sort=A","Dates=H","DateFormat=P","Fill=—","Direction=H","UseDPDF=Y")</f>
        <v>#NAME?</v>
      </c>
      <c r="AI592" s="1" t="e">
        <f ca="1">_xll.BDH($C$578,"TOTAL_EQUITY_1_YEAR_GROWTH","FQ4 2016","FQ4 2016","Currency=INR","Period=FQ","BEST_FPERIOD_OVERRIDE=FQ","FILING_STATUS=OR","EQY_CONSOLIDATED=Y","Sort=A","Dates=H","DateFormat=P","Fill=—","Direction=H","UseDPDF=Y")</f>
        <v>#NAME?</v>
      </c>
      <c r="AJ592" s="1" t="e">
        <f ca="1">_xll.BDH($C$578,"GROWTH_IN_CAP","FQ4 2016","FQ4 2016","Currency=INR","Period=FQ","BEST_FPERIOD_OVERRIDE=FQ","FILING_STATUS=OR","EQY_CONSOLIDATED=Y","Sort=A","Dates=H","DateFormat=P","Fill=—","Direction=H","UseDPDF=Y")</f>
        <v>#NAME?</v>
      </c>
      <c r="AK592" s="1" t="e">
        <f ca="1">_xll.BDH($C$578,"BVPS_GROWTH","FQ4 2016","FQ4 2016","Currency=INR","Period=FQ","BEST_FPERIOD_OVERRIDE=FQ","FILING_STATUS=OR","EQY_CONSOLIDATED=Y","Sort=A","Dates=H","DateFormat=P","Fill=—","Direction=H","UseDPDF=Y")</f>
        <v>#NAME?</v>
      </c>
      <c r="AL592" s="1" t="e">
        <f ca="1">_xll.BDH($C$578,"CASH_FLOW_GROWTH","FQ4 2016","FQ4 2016","Currency=INR","Period=FQ","BEST_FPERIOD_OVERRIDE=FQ","FILING_STATUS=OR","EQY_CONSOLIDATED=Y","Sort=A","Dates=H","DateFormat=P","Fill=—","Direction=H","UseDPDF=Y")</f>
        <v>#NAME?</v>
      </c>
      <c r="AM592" s="1" t="e">
        <f ca="1">_xll.BDH($C$578,"GEO_GROW_NET_SALES","FQ4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92" s="1" t="e">
        <f ca="1">_xll.BDH($C$578,"GEO_GROW_EBITDA","FQ4 2016","FQ4 2016","Currency=INR","Period=FQ","BEST_FPERIOD_OVERRIDE=FQ","FILING_STATUS=OR","EQY_CONSOLIDATED=Y","FA_ADJUSTED=GAAP","Sort=A","Dates=H","DateFormat=P","Fill=—","Direction=H","UseDPDF=Y")</f>
        <v>#NAME?</v>
      </c>
      <c r="AO592" s="1" t="e">
        <f ca="1">_xll.BDH($C$578,"GEO_GROW_OPER_INC","FQ4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92" s="1" t="e">
        <f ca="1">_xll.BDH($C$578,"NET_INCOME_TO_COMMON_5_YR_GROWTH","FQ4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92" s="1" t="e">
        <f ca="1">_xll.BDH($C$578,"5Y_GEO_GROWTH_DILUTED_EPS","FQ4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92" s="1" t="e">
        <f ca="1">_xll.BDH($C$578,"GEO_GROW_DVD_PER_SH","FQ4 2016","FQ4 2016","Currency=INR","Period=FQ","BEST_FPERIOD_OVERRIDE=FQ","FILING_STATUS=OR","EQY_CONSOLIDATED=Y","Sort=A","Dates=H","DateFormat=P","Fill=—","Direction=H","UseDPDF=Y")</f>
        <v>#NAME?</v>
      </c>
      <c r="AS592" s="1" t="e">
        <f ca="1">_xll.BDH($C$578,"ACCOUNTS_RECEIVABLE_5_YR_GROWTH","FQ4 2016","FQ4 2016","Currency=INR","Period=FQ","BEST_FPERIOD_OVERRIDE=FQ","FILING_STATUS=OR","EQY_CONSOLIDATED=Y","Sort=A","Dates=H","DateFormat=P","Fill=—","Direction=H","UseDPDF=Y")</f>
        <v>#NAME?</v>
      </c>
      <c r="AT592" s="1" t="e">
        <f ca="1">_xll.BDH($C$578,"INVENTORY_5_YEAR_GROWTH","FQ4 2016","FQ4 2016","Currency=INR","Period=FQ","BEST_FPERIOD_OVERRIDE=FQ","FILING_STATUS=OR","EQY_CONSOLIDATED=Y","Sort=A","Dates=H","DateFormat=P","Fill=—","Direction=H","UseDPDF=Y")</f>
        <v>#NAME?</v>
      </c>
      <c r="AU592" s="1" t="e">
        <f ca="1">_xll.BDH($C$578,"NET_FIXED_ASSETS_5_YEAR_GROWTH","FQ4 2016","FQ4 2016","Currency=INR","Period=FQ","BEST_FPERIOD_OVERRIDE=FQ","FILING_STATUS=OR","EQY_CONSOLIDATED=Y","Sort=A","Dates=H","DateFormat=P","Fill=—","Direction=H","UseDPDF=Y")</f>
        <v>#NAME?</v>
      </c>
      <c r="AV592" s="1" t="e">
        <f ca="1">_xll.BDH($C$578,"GEO_GROW_TOT_ASSET","FQ4 2016","FQ4 2016","Currency=INR","Period=FQ","BEST_FPERIOD_OVERRIDE=FQ","FILING_STATUS=OR","EQY_CONSOLIDATED=Y","Sort=A","Dates=H","DateFormat=P","Fill=—","Direction=H","UseDPDF=Y")</f>
        <v>#NAME?</v>
      </c>
      <c r="AW592" s="1" t="e">
        <f ca="1">_xll.BDH($C$578,"MODIFIED_WORKING_CPTL_5YR_GRWTH","FQ4 2016","FQ4 2016","Currency=INR","Period=FQ","BEST_FPERIOD_OVERRIDE=FQ","FILING_STATUS=OR","EQY_CONSOLIDATED=Y","Sort=A","Dates=H","DateFormat=P","Fill=—","Direction=H","UseDPDF=Y")</f>
        <v>#NAME?</v>
      </c>
      <c r="AX592" s="1" t="e">
        <f ca="1">_xll.BDH($C$578,"WORKING_CAPITAL_5_YEAR_GROWTH","FQ4 2016","FQ4 2016","Currency=INR","Period=FQ","BEST_FPERIOD_OVERRIDE=FQ","FILING_STATUS=OR","EQY_CONSOLIDATED=Y","Sort=A","Dates=H","DateFormat=P","Fill=—","Direction=H","UseDPDF=Y")</f>
        <v>#NAME?</v>
      </c>
      <c r="AY592" s="1" t="e">
        <f ca="1">_xll.BDH($C$578,"ACCOUNTS_PAYABLE_5_YEAR_GROWTH","FQ4 2016","FQ4 2016","Currency=INR","Period=FQ","BEST_FPERIOD_OVERRIDE=FQ","FILING_STATUS=OR","EQY_CONSOLIDATED=Y","Sort=A","Dates=H","DateFormat=P","Fill=—","Direction=H","UseDPDF=Y")</f>
        <v>#NAME?</v>
      </c>
      <c r="AZ592" s="1" t="e">
        <f ca="1">_xll.BDH($C$578,"SHORT_TERM_DEBT_5_YEAR_GROWTH","FQ4 2016","FQ4 2016","Currency=INR","Period=FQ","BEST_FPERIOD_OVERRIDE=FQ","FILING_STATUS=OR","EQY_CONSOLIDATED=Y","Sort=A","Dates=H","DateFormat=P","Fill=—","Direction=H","UseDPDF=Y")</f>
        <v>#NAME?</v>
      </c>
      <c r="BA592" s="1" t="e">
        <f ca="1">_xll.BDH($C$578,"TOTAL_DEBT_5_YEAR_GROWTH","FQ4 2016","FQ4 2016","Currency=INR","Period=FQ","BEST_FPERIOD_OVERRIDE=FQ","FILING_STATUS=OR","EQY_CONSOLIDATED=Y","Sort=A","Dates=H","DateFormat=P","Fill=—","Direction=H","UseDPDF=Y")</f>
        <v>#NAME?</v>
      </c>
      <c r="BB592" s="1" t="e">
        <f ca="1">_xll.BDH($C$578,"GEO_GROW_TOT_SHRHLDR_EQY","FQ4 2016","FQ4 2016","Currency=INR","Period=FQ","BEST_FPERIOD_OVERRIDE=FQ","FILING_STATUS=OR","EQY_CONSOLIDATED=Y","Sort=A","Dates=H","DateFormat=P","Fill=—","Direction=H","UseDPDF=Y")</f>
        <v>#NAME?</v>
      </c>
      <c r="BC592" s="1" t="e">
        <f ca="1">_xll.BDH($C$578,"TOTAL_CAPITAL_5_YEAR_GROWTH","FQ4 2016","FQ4 2016","Currency=INR","Period=FQ","BEST_FPERIOD_OVERRIDE=FQ","FILING_STATUS=OR","EQY_CONSOLIDATED=Y","Sort=A","Dates=H","DateFormat=P","Fill=—","Direction=H","UseDPDF=Y")</f>
        <v>#NAME?</v>
      </c>
      <c r="BD592" s="1" t="e">
        <f ca="1">_xll.BDH($C$578,"GEO_GROW_BOOK_VAL","FQ4 2016","FQ4 2016","Currency=INR","Period=FQ","BEST_FPERIOD_OVERRIDE=FQ","FILING_STATUS=OR","EQY_CONSOLIDATED=Y","Sort=A","Dates=H","DateFormat=P","Fill=—","Direction=H","UseDPDF=Y")</f>
        <v>#NAME?</v>
      </c>
      <c r="BE592" s="1" t="e">
        <f ca="1">_xll.BDH($C$578,"GEO_GROW_CASH_OPER_ACT","FQ4 2016","FQ4 2016","Currency=INR","Period=FQ","BEST_FPERIOD_OVERRIDE=FQ","FILING_STATUS=OR","EQY_CONSOLIDATED=Y","Sort=A","Dates=H","DateFormat=P","Fill=—","Direction=H","UseDPDF=Y")</f>
        <v>#NAME?</v>
      </c>
      <c r="BF592" s="1" t="e">
        <f ca="1">_xll.BDH($C$578,"REVENUE_SEQUENTIAL_GROWTH","FQ4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92" s="1" t="e">
        <f ca="1">_xll.BDH($C$578,"EBITDA_SEQUENTIAL_GROWTH","FQ4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92" s="1" t="e">
        <f ca="1">_xll.BDH($C$578,"OPERATING_INCOME_SEQ_GROWTH","FQ4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92" s="1" t="e">
        <f ca="1">_xll.BDH($C$578,"NET_INCOME_TO_COMMON_SEQ_GROWTH","FQ4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92" s="1" t="e">
        <f ca="1">_xll.BDH($C$578,"EPS_DILUTED_SEQUENTIAL_GROWTH","FQ4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92" s="1" t="e">
        <f ca="1">_xll.BDH($C$578,"DPS_SEQUENTIAL_GROWTH","FQ4 2016","FQ4 2016","Currency=INR","Period=FQ","BEST_FPERIOD_OVERRIDE=FQ","FILING_STATUS=OR","EQY_CONSOLIDATED=Y","Sort=A","Dates=H","DateFormat=P","Fill=—","Direction=H","UseDPDF=Y")</f>
        <v>#NAME?</v>
      </c>
      <c r="BL592" s="1" t="e">
        <f ca="1">_xll.BDH($C$578,"ACCOUNTS_RECEIVABLE_SEQ_GROWTH","FQ4 2016","FQ4 2016","Currency=INR","Period=FQ","BEST_FPERIOD_OVERRIDE=FQ","FILING_STATUS=OR","EQY_CONSOLIDATED=Y","Sort=A","Dates=H","DateFormat=P","Fill=—","Direction=H","UseDPDF=Y")</f>
        <v>#NAME?</v>
      </c>
      <c r="BM592" s="1" t="e">
        <f ca="1">_xll.BDH($C$578,"INVENTORY_SEQUENTIAL_GROWTH","FQ4 2016","FQ4 2016","Currency=INR","Period=FQ","BEST_FPERIOD_OVERRIDE=FQ","FILING_STATUS=OR","EQY_CONSOLIDATED=Y","Sort=A","Dates=H","DateFormat=P","Fill=—","Direction=H","UseDPDF=Y")</f>
        <v>#NAME?</v>
      </c>
      <c r="BN592" s="1" t="e">
        <f ca="1">_xll.BDH($C$578,"FIXED_ASSETS_SEQUENTIAL_GROWTH","FQ4 2016","FQ4 2016","Currency=INR","Period=FQ","BEST_FPERIOD_OVERRIDE=FQ","FILING_STATUS=OR","EQY_CONSOLIDATED=Y","Sort=A","Dates=H","DateFormat=P","Fill=—","Direction=H","UseDPDF=Y")</f>
        <v>#NAME?</v>
      </c>
      <c r="BO592" s="1" t="e">
        <f ca="1">_xll.BDH($C$578,"TOTAL_ASSETS_SEQUENTIAL_GROWTH","FQ4 2016","FQ4 2016","Currency=INR","Period=FQ","BEST_FPERIOD_OVERRIDE=FQ","FILING_STATUS=OR","EQY_CONSOLIDATED=Y","Sort=A","Dates=H","DateFormat=P","Fill=—","Direction=H","UseDPDF=Y")</f>
        <v>#NAME?</v>
      </c>
      <c r="BP592" s="1" t="e">
        <f ca="1">_xll.BDH($C$578,"MODIFIED_WORKING_CPTL_SEQ_GRWTH","FQ4 2016","FQ4 2016","Currency=INR","Period=FQ","BEST_FPERIOD_OVERRIDE=FQ","FILING_STATUS=OR","EQY_CONSOLIDATED=Y","Sort=A","Dates=H","DateFormat=P","Fill=—","Direction=H","UseDPDF=Y")</f>
        <v>#NAME?</v>
      </c>
      <c r="BQ592" s="1" t="e">
        <f ca="1">_xll.BDH($C$578,"WORKING_CAPITAL_SEQ_GROWTH","FQ4 2016","FQ4 2016","Currency=INR","Period=FQ","BEST_FPERIOD_OVERRIDE=FQ","FILING_STATUS=OR","EQY_CONSOLIDATED=Y","Sort=A","Dates=H","DateFormat=P","Fill=—","Direction=H","UseDPDF=Y")</f>
        <v>#NAME?</v>
      </c>
      <c r="BR592" s="1" t="e">
        <f ca="1">_xll.BDH($C$578,"ACCOUNTS_PAYABLE_SEQ_GROWTH","FQ4 2016","FQ4 2016","Currency=INR","Period=FQ","BEST_FPERIOD_OVERRIDE=FQ","FILING_STATUS=OR","EQY_CONSOLIDATED=Y","Sort=A","Dates=H","DateFormat=P","Fill=—","Direction=H","UseDPDF=Y")</f>
        <v>#NAME?</v>
      </c>
      <c r="BS592" s="1" t="e">
        <f ca="1">_xll.BDH($C$578,"ST_DEBT_SEQUENTIAL_GROWTH","FQ4 2016","FQ4 2016","Currency=INR","Period=FQ","BEST_FPERIOD_OVERRIDE=FQ","FILING_STATUS=OR","EQY_CONSOLIDATED=Y","Sort=A","Dates=H","DateFormat=P","Fill=—","Direction=H","UseDPDF=Y")</f>
        <v>#NAME?</v>
      </c>
      <c r="BT592" s="1" t="e">
        <f ca="1">_xll.BDH($C$578,"TOTAL_DEBT_SEQUENTIAL_GROWTH","FQ4 2016","FQ4 2016","Currency=INR","Period=FQ","BEST_FPERIOD_OVERRIDE=FQ","FILING_STATUS=OR","EQY_CONSOLIDATED=Y","Sort=A","Dates=H","DateFormat=P","Fill=—","Direction=H","UseDPDF=Y")</f>
        <v>#NAME?</v>
      </c>
      <c r="BU592" s="1" t="e">
        <f ca="1">_xll.BDH($C$578,"TOTAL_EQUITY_SEQUENTIAL_GROWTH","FQ4 2016","FQ4 2016","Currency=INR","Period=FQ","BEST_FPERIOD_OVERRIDE=FQ","FILING_STATUS=OR","EQY_CONSOLIDATED=Y","Sort=A","Dates=H","DateFormat=P","Fill=—","Direction=H","UseDPDF=Y")</f>
        <v>#NAME?</v>
      </c>
      <c r="BV592" s="1" t="e">
        <f ca="1">_xll.BDH($C$578,"TOTAL_CAPITAL_SEQUENTIAL_GROWTH","FQ4 2016","FQ4 2016","Currency=INR","Period=FQ","BEST_FPERIOD_OVERRIDE=FQ","FILING_STATUS=OR","EQY_CONSOLIDATED=Y","Sort=A","Dates=H","DateFormat=P","Fill=—","Direction=H","UseDPDF=Y")</f>
        <v>#NAME?</v>
      </c>
      <c r="BW592" s="1" t="e">
        <f ca="1">_xll.BDH($C$578,"BPS_SEQUENTIAL_GROWTH","FQ4 2016","FQ4 2016","Currency=INR","Period=FQ","BEST_FPERIOD_OVERRIDE=FQ","FILING_STATUS=OR","EQY_CONSOLIDATED=Y","Sort=A","Dates=H","DateFormat=P","Fill=—","Direction=H","UseDPDF=Y")</f>
        <v>#NAME?</v>
      </c>
      <c r="BX592" s="1" t="e">
        <f ca="1">_xll.BDH($C$578,"CFO_SEQUENTIAL_GROWTH","FQ4 2016","FQ4 2016","Currency=INR","Period=FQ","BEST_FPERIOD_OVERRIDE=FQ","FILING_STATUS=OR","EQY_CONSOLIDATED=Y","Sort=A","Dates=H","DateFormat=P","Fill=—","Direction=H","UseDPDF=Y")</f>
        <v>#NAME?</v>
      </c>
      <c r="BY592" s="2" t="e">
        <f ca="1">_xll.BDH($C$578,"SHORT_AND_LONG_TERM_DEBT","FQ4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92" s="2" t="e">
        <f ca="1">_xll.BDH($C$578,"BS_ST_BORROW","FQ4 2016","FQ4 2016","Currency=INR","Period=FQ","BEST_FPERIOD_OVERRIDE=FQ","FILING_STATUS=OR","EQY_CONSOLIDATED=Y","SCALING_FORMAT=MLN","Sort=A","Dates=H","DateFormat=P","Fill=—","Direction=H","UseDPDF=Y")</f>
        <v>#NAME?</v>
      </c>
      <c r="CA592" s="2" t="e">
        <f ca="1">_xll.BDH($C$578,"BS_LT_BORROW","FQ4 2016","FQ4 2016","Currency=INR","Period=FQ","BEST_FPERIOD_OVERRIDE=FQ","FILING_STATUS=OR","EQY_CONSOLIDATED=Y","SCALING_FORMAT=MLN","Sort=A","Dates=H","DateFormat=P","Fill=—","Direction=H","UseDPDF=Y")</f>
        <v>#NAME?</v>
      </c>
      <c r="CB592" s="1" t="e">
        <f ca="1">_xll.BDH($C$578,"TOT_DEBT_TO_EBITDA","FQ4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92" s="1" t="e">
        <f ca="1">_xll.BDH($C$578,"NET_DEBT_TO_EBITDA","FQ4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92" s="1" t="e">
        <f ca="1">_xll.BDH($C$578,"TOTAL_DEBT_TO_EBIT","FQ4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92" s="1" t="e">
        <f ca="1">_xll.BDH($C$578,"NET_DEBT_TO_EBIT","FQ4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592" s="1" t="e">
        <f ca="1">_xll.BDH($C$578,"EBITDA_TO_INTEREST_EXPN","FQ4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92" s="1" t="e">
        <f ca="1">_xll.BDH($C$578,"COM_EQY_TO_TOT_ASSET","FQ4 2016","FQ4 2016","Currency=INR","Period=FQ","BEST_FPERIOD_OVERRIDE=FQ","FILING_STATUS=OR","EQY_CONSOLIDATED=Y","Sort=A","Dates=H","DateFormat=P","Fill=—","Direction=H","UseDPDF=Y")</f>
        <v>#NAME?</v>
      </c>
      <c r="CH592" s="1" t="e">
        <f ca="1">_xll.BDH($C$578,"LT_DEBT_TO_TOT_EQY","FQ4 2016","FQ4 2016","Currency=INR","Period=FQ","BEST_FPERIOD_OVERRIDE=FQ","FILING_STATUS=OR","EQY_CONSOLIDATED=Y","Sort=A","Dates=H","DateFormat=P","Fill=—","Direction=H","UseDPDF=Y")</f>
        <v>#NAME?</v>
      </c>
      <c r="CI592" s="1" t="e">
        <f ca="1">_xll.BDH($C$578,"LT_DEBT_TO_TOT_CAP","FQ4 2016","FQ4 2016","Currency=INR","Period=FQ","BEST_FPERIOD_OVERRIDE=FQ","FILING_STATUS=OR","EQY_CONSOLIDATED=Y","Sort=A","Dates=H","DateFormat=P","Fill=—","Direction=H","UseDPDF=Y")</f>
        <v>#NAME?</v>
      </c>
      <c r="CJ592" s="1" t="e">
        <f ca="1">_xll.BDH($C$578,"LT_DEBT_TO_TOT_ASSET","FQ4 2016","FQ4 2016","Currency=INR","Period=FQ","BEST_FPERIOD_OVERRIDE=FQ","FILING_STATUS=OR","EQY_CONSOLIDATED=Y","Sort=A","Dates=H","DateFormat=P","Fill=—","Direction=H","UseDPDF=Y")</f>
        <v>#NAME?</v>
      </c>
      <c r="CK592" s="1" t="e">
        <f ca="1">_xll.BDH($C$578,"TOT_DEBT_TO_TOT_EQY","FQ4 2016","FQ4 2016","Currency=INR","Period=FQ","BEST_FPERIOD_OVERRIDE=FQ","FILING_STATUS=OR","EQY_CONSOLIDATED=Y","Sort=A","Dates=H","DateFormat=P","Fill=—","Direction=H","UseDPDF=Y")</f>
        <v>#NAME?</v>
      </c>
      <c r="CL592" s="1" t="e">
        <f ca="1">_xll.BDH($C$578,"TOT_DEBT_TO_TOT_CAP","FQ4 2016","FQ4 2016","Currency=INR","Period=FQ","BEST_FPERIOD_OVERRIDE=FQ","FILING_STATUS=OR","EQY_CONSOLIDATED=Y","Sort=A","Dates=H","DateFormat=P","Fill=—","Direction=H","UseDPDF=Y")</f>
        <v>#NAME?</v>
      </c>
      <c r="CM592" s="1" t="e">
        <f ca="1">_xll.BDH($C$578,"TOT_DEBT_TO_TOT_ASSET","FQ4 2016","FQ4 2016","Currency=INR","Period=FQ","BEST_FPERIOD_OVERRIDE=FQ","FILING_STATUS=OR","EQY_CONSOLIDATED=Y","Sort=A","Dates=H","DateFormat=P","Fill=—","Direction=H","UseDPDF=Y")</f>
        <v>#NAME?</v>
      </c>
      <c r="CN592" s="1" t="e">
        <f ca="1">_xll.BDH($C$578,"NET_DEBT_TO_SHRHLDR_EQTY","FQ4 2016","FQ4 2016","Currency=INR","Period=FQ","BEST_FPERIOD_OVERRIDE=FQ","FILING_STATUS=OR","EQY_CONSOLIDATED=Y","Sort=A","Dates=H","DateFormat=P","Fill=—","Direction=H","UseDPDF=Y")</f>
        <v>#NAME?</v>
      </c>
      <c r="CO592" s="1" t="e">
        <f ca="1">_xll.BDH($C$578,"NET_DEBT_%_CAPITAL","FQ4 2016","FQ4 2016","Currency=INR","Period=FQ","BEST_FPERIOD_OVERRIDE=FQ","FILING_STATUS=OR","EQY_CONSOLIDATED=Y","Sort=A","Dates=H","DateFormat=P","Fill=—","Direction=H","UseDPDF=Y")</f>
        <v>#NAME?</v>
      </c>
      <c r="CP592" s="2" t="e">
        <f ca="1">_xll.BDH($C$578,"EBITDA","FQ4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92" s="2" t="e">
        <f ca="1">_xll.BDH($C$578,"EBITDA_AFTER_CAPEX","FQ4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92" s="2" t="e">
        <f ca="1">_xll.BDH($C$578,"IS_OPER_INC","FQ4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92" s="1" t="e">
        <f ca="1">_xll.BDH($C$578,"CASH_RATIO","FQ4 2016","FQ4 2016","Currency=INR","Period=FQ","BEST_FPERIOD_OVERRIDE=FQ","FILING_STATUS=OR","EQY_CONSOLIDATED=Y","Sort=A","Dates=H","DateFormat=P","Fill=—","Direction=H","UseDPDF=Y")</f>
        <v>#NAME?</v>
      </c>
      <c r="CT592" s="1" t="e">
        <f ca="1">_xll.BDH($C$578,"CUR_RATIO","FQ4 2016","FQ4 2016","Currency=INR","Period=FQ","BEST_FPERIOD_OVERRIDE=FQ","FILING_STATUS=OR","EQY_CONSOLIDATED=Y","Sort=A","Dates=H","DateFormat=P","Fill=—","Direction=H","UseDPDF=Y")</f>
        <v>#NAME?</v>
      </c>
      <c r="CU592" s="1" t="e">
        <f ca="1">_xll.BDH($C$578,"QUICK_RATIO","FQ4 2016","FQ4 2016","Currency=INR","Period=FQ","BEST_FPERIOD_OVERRIDE=FQ","FILING_STATUS=OR","EQY_CONSOLIDATED=Y","Sort=A","Dates=H","DateFormat=P","Fill=—","Direction=H","UseDPDF=Y")</f>
        <v>#NAME?</v>
      </c>
      <c r="CV592" s="1" t="e">
        <f ca="1">_xll.BDH($C$578,"ALTMAN_Z_SCORE","FQ4 2016","FQ4 2016","Currency=INR","Period=FQ","BEST_FPERIOD_OVERRIDE=FQ","FILING_STATUS=OR","EQY_CONSOLIDATED=Y","Sort=A","Dates=H","DateFormat=P","Fill=—","Direction=H","UseDPDF=Y")</f>
        <v>#NAME?</v>
      </c>
      <c r="CW592" s="3" t="e">
        <f ca="1">_xll.BDH($C$578,"ACCT_RCV_TURN","FQ4 2016","FQ4 2016","Currency=INR","Period=FQ","BEST_FPERIOD_OVERRIDE=FQ","FILING_STATUS=OR","EQY_CONSOLIDATED=Y","FA_ADJUSTED=GAAP","Sort=A","Dates=H","DateFormat=P","Fill=—","Direction=H","UseDPDF=Y")</f>
        <v>#NAME?</v>
      </c>
      <c r="CX592" s="1" t="e">
        <f ca="1">_xll.BDH($C$578,"ACCT_RCV_DAYS","FQ4 2016","FQ4 2016","Currency=INR","Period=FQ","BEST_FPERIOD_OVERRIDE=FQ","FILING_STATUS=OR","EQY_CONSOLIDATED=Y","FA_ADJUSTED=GAAP","Sort=A","Dates=H","DateFormat=P","Fill=—","Direction=H","UseDPDF=Y")</f>
        <v>#NAME?</v>
      </c>
      <c r="CY592" s="3" t="e">
        <f ca="1">_xll.BDH($C$578,"INVENT_TURN","FQ4 2016","FQ4 2016","Currency=INR","Period=FQ","BEST_FPERIOD_OVERRIDE=FQ","FILING_STATUS=OR","EQY_CONSOLIDATED=Y","FA_ADJUSTED=GAAP","Sort=A","Dates=H","DateFormat=P","Fill=—","Direction=H","UseDPDF=Y")</f>
        <v>#NAME?</v>
      </c>
      <c r="CZ592" s="1" t="e">
        <f ca="1">_xll.BDH($C$578,"INVENT_DAYS","FQ4 2016","FQ4 2016","Currency=INR","Period=FQ","BEST_FPERIOD_OVERRIDE=FQ","FILING_STATUS=OR","EQY_CONSOLIDATED=Y","FA_ADJUSTED=GAAP","Sort=A","Dates=H","DateFormat=P","Fill=—","Direction=H","UseDPDF=Y")</f>
        <v>#NAME?</v>
      </c>
      <c r="DA592" s="3" t="e">
        <f ca="1">_xll.BDH($C$578,"ACCOUNTS_PAYABLE_TURNOVER","FQ4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92" s="1" t="e">
        <f ca="1">_xll.BDH($C$578,"ACCOUNTS_PAYABLE_TURNOVER_DAYS","FQ4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92" s="3" t="e">
        <f ca="1">_xll.BDH($C$578,"CASH_CONVERSION_CYCLE","FQ4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92" s="3" t="e">
        <f ca="1">_xll.BDH($C$578,"INV_TO_CASH_DAYS","FQ4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592" s="4" t="e">
        <f ca="1">_xll.BDH($C$578,"BS_INVENTORIES","FQ4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592" s="2" t="e">
        <f ca="1">_xll.BDH($C$578,"INVTRY_RAW_MATERIALS","FQ4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92" s="2" t="e">
        <f ca="1">_xll.BDH($C$578,"INVTRY_IN_PROGRESS","FQ4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92" s="2" t="e">
        <f ca="1">_xll.BDH($C$578,"INVTRY_FINISHED_GOODS","FQ4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92" s="2" t="e">
        <f ca="1">_xll.BDH($C$578,"BS_OTHER_INV","FQ4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93" spans="1:113" x14ac:dyDescent="0.3">
      <c r="A593" s="6"/>
      <c r="B593" s="6"/>
      <c r="C593" s="6"/>
      <c r="D593" s="6" t="s">
        <v>10</v>
      </c>
      <c r="E593" t="s">
        <v>3</v>
      </c>
      <c r="F593" t="e">
        <f ca="1">_xll.BDH($C$578,"RETURN_COM_EQY","FY 2017","FY 2017","Currency=INR","Period=FY","BEST_FPERIOD_OVERRIDE=FY","FILING_STATUS=OR","EQY_CONSOLIDATED=Y","FA_ADJUSTED=GAAP","Sort=A","Dates=H","DateFormat=P","Fill=—","Direction=H","UseDPDF=Y")</f>
        <v>#NAME?</v>
      </c>
      <c r="G593" t="e">
        <f ca="1">_xll.BDH($C$578,"RETURN_ON_ASSET","FY 2017","FY 2017","Currency=INR","Period=FY","BEST_FPERIOD_OVERRIDE=FY","FILING_STATUS=OR","EQY_CONSOLIDATED=Y","FA_ADJUSTED=GAAP","Sort=A","Dates=H","DateFormat=P","Fill=—","Direction=H","UseDPDF=Y")</f>
        <v>#NAME?</v>
      </c>
      <c r="H593" t="e">
        <f ca="1">_xll.BDH($C$578,"RETURN_ON_CAP","FY 2017","FY 2017","Currency=INR","Period=FY","BEST_FPERIOD_OVERRIDE=FY","FILING_STATUS=OR","EQY_CONSOLIDATED=Y","FA_ADJUSTED=GAAP","Sort=A","Dates=H","DateFormat=P","Fill=—","Direction=H","UseDPDF=Y")</f>
        <v>#NAME?</v>
      </c>
      <c r="I593" t="e">
        <f ca="1">_xll.BDH($C$578,"RETURN_ON_INV_CAPITAL","FY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93" t="e">
        <f ca="1">_xll.BDH($C$578,"EBITDA_TO_REVENUE","FY 2017","FY 2017","Currency=INR","Period=FY","BEST_FPERIOD_OVERRIDE=FY","FILING_STATUS=OR","EQY_CONSOLIDATED=Y","FA_ADJUSTED=GAAP","Sort=A","Dates=H","DateFormat=P","Fill=—","Direction=H","UseDPDF=Y")</f>
        <v>#NAME?</v>
      </c>
      <c r="K593" t="e">
        <f ca="1">_xll.BDH($C$578,"OPER_MARGIN","FY 2017","FY 2017","Currency=INR","Period=FY","BEST_FPERIOD_OVERRIDE=FY","FILING_STATUS=OR","EQY_CONSOLIDATED=Y","FA_ADJUSTED=GAAP","Sort=A","Dates=H","DateFormat=P","Fill=—","Direction=H","UseDPDF=Y")</f>
        <v>#NAME?</v>
      </c>
      <c r="L593" t="e">
        <f ca="1">_xll.BDH($C$578,"INCREMENTAL_OPERATING_MARGIN","FY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93" t="e">
        <f ca="1">_xll.BDH($C$578,"PRETAX_INC_TO_NET_SALES","FY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93" t="e">
        <f ca="1">_xll.BDH($C$578,"INC_BEF_XO_ITEMS_TO_NET_SALES","FY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93" t="e">
        <f ca="1">_xll.BDH($C$578,"PROF_MARGIN","FY 2017","FY 2017","Currency=INR","Period=FY","BEST_FPERIOD_OVERRIDE=FY","FILING_STATUS=OR","EQY_CONSOLIDATED=Y","FA_ADJUSTED=GAAP","Sort=A","Dates=H","DateFormat=P","Fill=—","Direction=H","UseDPDF=Y")</f>
        <v>#NAME?</v>
      </c>
      <c r="P593" t="e">
        <f ca="1">_xll.BDH($C$578,"NET_INCOME_TO_COMMON_MARGIN","FY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93" t="e">
        <f ca="1">_xll.BDH($C$578,"EFF_TAX_RATE","FY 2017","FY 2017","Currency=INR","Period=FY","BEST_FPERIOD_OVERRIDE=FY","FILING_STATUS=OR","EQY_CONSOLIDATED=Y","FA_ADJUSTED=GAAP","Sort=A","Dates=H","DateFormat=P","Fill=—","Direction=H","UseDPDF=Y")</f>
        <v>#NAME?</v>
      </c>
      <c r="R593" t="e">
        <f ca="1">_xll.BDH($C$578,"DVD_PAYOUT_RATIO","FY 2017","FY 2017","Currency=INR","Period=FY","BEST_FPERIOD_OVERRIDE=FY","FILING_STATUS=OR","EQY_CONSOLIDATED=Y","FA_ADJUSTED=GAAP","Sort=A","Dates=H","DateFormat=P","Fill=—","Direction=H","UseDPDF=Y")</f>
        <v>#NAME?</v>
      </c>
      <c r="S593" t="e">
        <f ca="1">_xll.BDH($C$578,"SUSTAIN_GROWTH_RT","FY 2017","FY 2017","Currency=INR","Period=FY","BEST_FPERIOD_OVERRIDE=FY","FILING_STATUS=OR","EQY_CONSOLIDATED=Y","FA_ADJUSTED=GAAP","Sort=A","Dates=H","DateFormat=P","Fill=—","Direction=H","UseDPDF=Y")</f>
        <v>#NAME?</v>
      </c>
      <c r="T593" s="1" t="e">
        <f ca="1">_xll.BDH($C$578,"SALES_GROWTH","FY 2017","FY 2017","Currency=INR","Period=FY","BEST_FPERIOD_OVERRIDE=FY","FILING_STATUS=OR","EQY_CONSOLIDATED=Y","FA_ADJUSTED=GAAP","Sort=A","Dates=H","DateFormat=P","Fill=—","Direction=H","UseDPDF=Y")</f>
        <v>#NAME?</v>
      </c>
      <c r="U593" s="1" t="e">
        <f ca="1">_xll.BDH($C$578,"EBITDA_GROWTH","FY 2017","FY 2017","Currency=INR","Period=FY","BEST_FPERIOD_OVERRIDE=FY","FILING_STATUS=OR","EQY_CONSOLIDATED=Y","FA_ADJUSTED=GAAP","Sort=A","Dates=H","DateFormat=P","Fill=—","Direction=H","UseDPDF=Y")</f>
        <v>#NAME?</v>
      </c>
      <c r="V593" s="1" t="e">
        <f ca="1">_xll.BDH($C$578,"OPER_INC_GROWTH","FY 2017","FY 2017","Currency=INR","Period=FY","BEST_FPERIOD_OVERRIDE=FY","FILING_STATUS=OR","EQY_CONSOLIDATED=Y","FA_ADJUSTED=GAAP","Sort=A","Dates=H","DateFormat=P","Fill=—","Direction=H","UseDPDF=Y")</f>
        <v>#NAME?</v>
      </c>
      <c r="W593" s="1" t="e">
        <f ca="1">_xll.BDH($C$578,"EARN_FOR_COM_GROWTH","FY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593" s="1" t="e">
        <f ca="1">_xll.BDH($C$578,"DILUTED_EPS_AFT_XO_ITEMS_GROWTH","FY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93" s="1" t="e">
        <f ca="1">_xll.BDH($C$578,"DIVIDEND_PER_SHARE_1_YEAR_GROWTH","FY 2017","FY 2017","Currency=INR","Period=FY","BEST_FPERIOD_OVERRIDE=FY","FILING_STATUS=OR","EQY_CONSOLIDATED=Y","Sort=A","Dates=H","DateFormat=P","Fill=—","Direction=H","UseDPDF=Y")</f>
        <v>#NAME?</v>
      </c>
      <c r="Z593" s="1" t="e">
        <f ca="1">_xll.BDH($C$578,"ACCOUNTS_RECEIVABLE_GROWTH","FY 2017","FY 2017","Currency=INR","Period=FY","BEST_FPERIOD_OVERRIDE=FY","FILING_STATUS=OR","EQY_CONSOLIDATED=Y","Sort=A","Dates=H","DateFormat=P","Fill=—","Direction=H","UseDPDF=Y")</f>
        <v>#NAME?</v>
      </c>
      <c r="AA593" s="1" t="e">
        <f ca="1">_xll.BDH($C$578,"INVENTORY_GROWTH","FY 2017","FY 2017","Currency=INR","Period=FY","BEST_FPERIOD_OVERRIDE=FY","FILING_STATUS=OR","EQY_CONSOLIDATED=Y","Sort=A","Dates=H","DateFormat=P","Fill=—","Direction=H","UseDPDF=Y")</f>
        <v>#NAME?</v>
      </c>
      <c r="AB593" s="1" t="e">
        <f ca="1">_xll.BDH($C$578,"NET_FIXED_ASSETS_1_YEAR_GROWTH","FY 2017","FY 2017","Currency=INR","Period=FY","BEST_FPERIOD_OVERRIDE=FY","FILING_STATUS=OR","EQY_CONSOLIDATED=Y","Sort=A","Dates=H","DateFormat=P","Fill=—","Direction=H","UseDPDF=Y")</f>
        <v>#NAME?</v>
      </c>
      <c r="AC593" s="1" t="e">
        <f ca="1">_xll.BDH($C$578,"ASSET_GROWTH","FY 2017","FY 2017","Currency=INR","Period=FY","BEST_FPERIOD_OVERRIDE=FY","FILING_STATUS=OR","EQY_CONSOLIDATED=Y","Sort=A","Dates=H","DateFormat=P","Fill=—","Direction=H","UseDPDF=Y")</f>
        <v>#NAME?</v>
      </c>
      <c r="AD593" s="1" t="e">
        <f ca="1">_xll.BDH($C$578,"MODIFIED_WORK_CAP_GROWTH","FY 2017","FY 2017","Currency=INR","Period=FY","BEST_FPERIOD_OVERRIDE=FY","FILING_STATUS=OR","EQY_CONSOLIDATED=Y","Sort=A","Dates=H","DateFormat=P","Fill=—","Direction=H","UseDPDF=Y")</f>
        <v>#NAME?</v>
      </c>
      <c r="AE593" s="1" t="e">
        <f ca="1">_xll.BDH($C$578,"WORK_CAP_GROWTH","FY 2017","FY 2017","Currency=INR","Period=FY","BEST_FPERIOD_OVERRIDE=FY","FILING_STATUS=OR","EQY_CONSOLIDATED=Y","Sort=A","Dates=H","DateFormat=P","Fill=—","Direction=H","UseDPDF=Y")</f>
        <v>#NAME?</v>
      </c>
      <c r="AF593" s="1" t="e">
        <f ca="1">_xll.BDH($C$578,"ACCOUNTS_PAYABLE_GROWTH_1YR","FY 2017","FY 2017","Currency=INR","Period=FY","BEST_FPERIOD_OVERRIDE=FY","FILING_STATUS=OR","EQY_CONSOLIDATED=Y","Sort=A","Dates=H","DateFormat=P","Fill=—","Direction=H","UseDPDF=Y")</f>
        <v>#NAME?</v>
      </c>
      <c r="AG593" s="1" t="e">
        <f ca="1">_xll.BDH($C$578,"SHORT_TERM_DEBT_1_YEAR_GROWTH","FY 2017","FY 2017","Currency=INR","Period=FY","BEST_FPERIOD_OVERRIDE=FY","FILING_STATUS=OR","EQY_CONSOLIDATED=Y","Sort=A","Dates=H","DateFormat=P","Fill=—","Direction=H","UseDPDF=Y")</f>
        <v>#NAME?</v>
      </c>
      <c r="AH593" s="1" t="e">
        <f ca="1">_xll.BDH($C$578,"TOTAL_DEBT_1_YEAR_GROWTH","FY 2017","FY 2017","Currency=INR","Period=FY","BEST_FPERIOD_OVERRIDE=FY","FILING_STATUS=OR","EQY_CONSOLIDATED=Y","Sort=A","Dates=H","DateFormat=P","Fill=—","Direction=H","UseDPDF=Y")</f>
        <v>#NAME?</v>
      </c>
      <c r="AI593" s="1" t="e">
        <f ca="1">_xll.BDH($C$578,"TOTAL_EQUITY_1_YEAR_GROWTH","FY 2017","FY 2017","Currency=INR","Period=FY","BEST_FPERIOD_OVERRIDE=FY","FILING_STATUS=OR","EQY_CONSOLIDATED=Y","Sort=A","Dates=H","DateFormat=P","Fill=—","Direction=H","UseDPDF=Y")</f>
        <v>#NAME?</v>
      </c>
      <c r="AJ593" s="1" t="e">
        <f ca="1">_xll.BDH($C$578,"GROWTH_IN_CAP","FY 2017","FY 2017","Currency=INR","Period=FY","BEST_FPERIOD_OVERRIDE=FY","FILING_STATUS=OR","EQY_CONSOLIDATED=Y","Sort=A","Dates=H","DateFormat=P","Fill=—","Direction=H","UseDPDF=Y")</f>
        <v>#NAME?</v>
      </c>
      <c r="AK593" s="1" t="e">
        <f ca="1">_xll.BDH($C$578,"BVPS_GROWTH","FY 2017","FY 2017","Currency=INR","Period=FY","BEST_FPERIOD_OVERRIDE=FY","FILING_STATUS=OR","EQY_CONSOLIDATED=Y","Sort=A","Dates=H","DateFormat=P","Fill=—","Direction=H","UseDPDF=Y")</f>
        <v>#NAME?</v>
      </c>
      <c r="AL593" s="1" t="e">
        <f ca="1">_xll.BDH($C$578,"CASH_FLOW_GROWTH","FY 2017","FY 2017","Currency=INR","Period=FY","BEST_FPERIOD_OVERRIDE=FY","FILING_STATUS=OR","EQY_CONSOLIDATED=Y","Sort=A","Dates=H","DateFormat=P","Fill=—","Direction=H","UseDPDF=Y")</f>
        <v>#NAME?</v>
      </c>
      <c r="AM593" s="1" t="e">
        <f ca="1">_xll.BDH($C$578,"GEO_GROW_NET_SALES","FY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593" s="1" t="e">
        <f ca="1">_xll.BDH($C$578,"GEO_GROW_EBITDA","FY 2017","FY 2017","Currency=INR","Period=FY","BEST_FPERIOD_OVERRIDE=FY","FILING_STATUS=OR","EQY_CONSOLIDATED=Y","FA_ADJUSTED=GAAP","Sort=A","Dates=H","DateFormat=P","Fill=—","Direction=H","UseDPDF=Y")</f>
        <v>#NAME?</v>
      </c>
      <c r="AO593" s="1" t="e">
        <f ca="1">_xll.BDH($C$578,"GEO_GROW_OPER_INC","FY 2017","FY 2017","Currency=INR","Period=FY","BEST_FPERIOD_OVERRIDE=FY","FILING_STATUS=OR","EQY_CONSOLIDATED=Y","FA_ADJUSTED=GAAP","Sort=A","Dates=H","DateFormat=P","Fill=—","Direction=H","UseDPDF=Y")</f>
        <v>#NAME?</v>
      </c>
      <c r="AP593" s="1" t="e">
        <f ca="1">_xll.BDH($C$578,"NET_INCOME_TO_COMMON_5_YR_GROWTH","FY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93" s="1" t="e">
        <f ca="1">_xll.BDH($C$578,"5Y_GEO_GROWTH_DILUTED_EPS","FY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93" s="1" t="e">
        <f ca="1">_xll.BDH($C$578,"GEO_GROW_DVD_PER_SH","FY 2017","FY 2017","Currency=INR","Period=FY","BEST_FPERIOD_OVERRIDE=FY","FILING_STATUS=OR","EQY_CONSOLIDATED=Y","Sort=A","Dates=H","DateFormat=P","Fill=—","Direction=H","UseDPDF=Y")</f>
        <v>#NAME?</v>
      </c>
      <c r="AS593" s="1" t="e">
        <f ca="1">_xll.BDH($C$578,"ACCOUNTS_RECEIVABLE_5_YR_GROWTH","FY 2017","FY 2017","Currency=INR","Period=FY","BEST_FPERIOD_OVERRIDE=FY","FILING_STATUS=OR","EQY_CONSOLIDATED=Y","Sort=A","Dates=H","DateFormat=P","Fill=—","Direction=H","UseDPDF=Y")</f>
        <v>#NAME?</v>
      </c>
      <c r="AT593" s="1" t="e">
        <f ca="1">_xll.BDH($C$578,"INVENTORY_5_YEAR_GROWTH","FY 2017","FY 2017","Currency=INR","Period=FY","BEST_FPERIOD_OVERRIDE=FY","FILING_STATUS=OR","EQY_CONSOLIDATED=Y","Sort=A","Dates=H","DateFormat=P","Fill=—","Direction=H","UseDPDF=Y")</f>
        <v>#NAME?</v>
      </c>
      <c r="AU593" s="1" t="e">
        <f ca="1">_xll.BDH($C$578,"NET_FIXED_ASSETS_5_YEAR_GROWTH","FY 2017","FY 2017","Currency=INR","Period=FY","BEST_FPERIOD_OVERRIDE=FY","FILING_STATUS=OR","EQY_CONSOLIDATED=Y","Sort=A","Dates=H","DateFormat=P","Fill=—","Direction=H","UseDPDF=Y")</f>
        <v>#NAME?</v>
      </c>
      <c r="AV593" s="1" t="e">
        <f ca="1">_xll.BDH($C$578,"GEO_GROW_TOT_ASSET","FY 2017","FY 2017","Currency=INR","Period=FY","BEST_FPERIOD_OVERRIDE=FY","FILING_STATUS=OR","EQY_CONSOLIDATED=Y","Sort=A","Dates=H","DateFormat=P","Fill=—","Direction=H","UseDPDF=Y")</f>
        <v>#NAME?</v>
      </c>
      <c r="AW593" s="1" t="e">
        <f ca="1">_xll.BDH($C$578,"MODIFIED_WORKING_CPTL_5YR_GRWTH","FY 2017","FY 2017","Currency=INR","Period=FY","BEST_FPERIOD_OVERRIDE=FY","FILING_STATUS=OR","EQY_CONSOLIDATED=Y","Sort=A","Dates=H","DateFormat=P","Fill=—","Direction=H","UseDPDF=Y")</f>
        <v>#NAME?</v>
      </c>
      <c r="AX593" s="1" t="e">
        <f ca="1">_xll.BDH($C$578,"WORKING_CAPITAL_5_YEAR_GROWTH","FY 2017","FY 2017","Currency=INR","Period=FY","BEST_FPERIOD_OVERRIDE=FY","FILING_STATUS=OR","EQY_CONSOLIDATED=Y","Sort=A","Dates=H","DateFormat=P","Fill=—","Direction=H","UseDPDF=Y")</f>
        <v>#NAME?</v>
      </c>
      <c r="AY593" s="1" t="e">
        <f ca="1">_xll.BDH($C$578,"ACCOUNTS_PAYABLE_5_YEAR_GROWTH","FY 2017","FY 2017","Currency=INR","Period=FY","BEST_FPERIOD_OVERRIDE=FY","FILING_STATUS=OR","EQY_CONSOLIDATED=Y","Sort=A","Dates=H","DateFormat=P","Fill=—","Direction=H","UseDPDF=Y")</f>
        <v>#NAME?</v>
      </c>
      <c r="AZ593" s="1" t="e">
        <f ca="1">_xll.BDH($C$578,"SHORT_TERM_DEBT_5_YEAR_GROWTH","FY 2017","FY 2017","Currency=INR","Period=FY","BEST_FPERIOD_OVERRIDE=FY","FILING_STATUS=OR","EQY_CONSOLIDATED=Y","Sort=A","Dates=H","DateFormat=P","Fill=—","Direction=H","UseDPDF=Y")</f>
        <v>#NAME?</v>
      </c>
      <c r="BA593" s="1" t="e">
        <f ca="1">_xll.BDH($C$578,"TOTAL_DEBT_5_YEAR_GROWTH","FY 2017","FY 2017","Currency=INR","Period=FY","BEST_FPERIOD_OVERRIDE=FY","FILING_STATUS=OR","EQY_CONSOLIDATED=Y","Sort=A","Dates=H","DateFormat=P","Fill=—","Direction=H","UseDPDF=Y")</f>
        <v>#NAME?</v>
      </c>
      <c r="BB593" s="1" t="e">
        <f ca="1">_xll.BDH($C$578,"GEO_GROW_TOT_SHRHLDR_EQY","FY 2017","FY 2017","Currency=INR","Period=FY","BEST_FPERIOD_OVERRIDE=FY","FILING_STATUS=OR","EQY_CONSOLIDATED=Y","Sort=A","Dates=H","DateFormat=P","Fill=—","Direction=H","UseDPDF=Y")</f>
        <v>#NAME?</v>
      </c>
      <c r="BC593" s="1" t="e">
        <f ca="1">_xll.BDH($C$578,"TOTAL_CAPITAL_5_YEAR_GROWTH","FY 2017","FY 2017","Currency=INR","Period=FY","BEST_FPERIOD_OVERRIDE=FY","FILING_STATUS=OR","EQY_CONSOLIDATED=Y","Sort=A","Dates=H","DateFormat=P","Fill=—","Direction=H","UseDPDF=Y")</f>
        <v>#NAME?</v>
      </c>
      <c r="BD593" s="1" t="e">
        <f ca="1">_xll.BDH($C$578,"GEO_GROW_BOOK_VAL","FY 2017","FY 2017","Currency=INR","Period=FY","BEST_FPERIOD_OVERRIDE=FY","FILING_STATUS=OR","EQY_CONSOLIDATED=Y","Sort=A","Dates=H","DateFormat=P","Fill=—","Direction=H","UseDPDF=Y")</f>
        <v>#NAME?</v>
      </c>
      <c r="BE593" s="1" t="e">
        <f ca="1">_xll.BDH($C$578,"GEO_GROW_CASH_OPER_ACT","FY 2017","FY 2017","Currency=INR","Period=FY","BEST_FPERIOD_OVERRIDE=FY","FILING_STATUS=OR","EQY_CONSOLIDATED=Y","Sort=A","Dates=H","DateFormat=P","Fill=—","Direction=H","UseDPDF=Y")</f>
        <v>#NAME?</v>
      </c>
      <c r="BF593" s="1" t="e">
        <f ca="1">_xll.BDH($C$578,"REVENUE_SEQUENTIAL_GROWTH","FY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93" s="1" t="e">
        <f ca="1">_xll.BDH($C$578,"EBITDA_SEQUENTIAL_GROWTH","FY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93" s="1" t="e">
        <f ca="1">_xll.BDH($C$578,"OPERATING_INCOME_SEQ_GROWTH","FY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93" s="1" t="e">
        <f ca="1">_xll.BDH($C$578,"NET_INCOME_TO_COMMON_SEQ_GROWTH","FY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93" s="1" t="e">
        <f ca="1">_xll.BDH($C$578,"EPS_DILUTED_SEQUENTIAL_GROWTH","FY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93" s="1" t="e">
        <f ca="1">_xll.BDH($C$578,"DPS_SEQUENTIAL_GROWTH","FY 2017","FY 2017","Currency=INR","Period=FY","BEST_FPERIOD_OVERRIDE=FY","FILING_STATUS=OR","EQY_CONSOLIDATED=Y","Sort=A","Dates=H","DateFormat=P","Fill=—","Direction=H","UseDPDF=Y")</f>
        <v>#NAME?</v>
      </c>
      <c r="BL593" s="1" t="e">
        <f ca="1">_xll.BDH($C$578,"ACCOUNTS_RECEIVABLE_SEQ_GROWTH","FY 2017","FY 2017","Currency=INR","Period=FY","BEST_FPERIOD_OVERRIDE=FY","FILING_STATUS=OR","EQY_CONSOLIDATED=Y","Sort=A","Dates=H","DateFormat=P","Fill=—","Direction=H","UseDPDF=Y")</f>
        <v>#NAME?</v>
      </c>
      <c r="BM593" s="1" t="e">
        <f ca="1">_xll.BDH($C$578,"INVENTORY_SEQUENTIAL_GROWTH","FY 2017","FY 2017","Currency=INR","Period=FY","BEST_FPERIOD_OVERRIDE=FY","FILING_STATUS=OR","EQY_CONSOLIDATED=Y","Sort=A","Dates=H","DateFormat=P","Fill=—","Direction=H","UseDPDF=Y")</f>
        <v>#NAME?</v>
      </c>
      <c r="BN593" s="1" t="e">
        <f ca="1">_xll.BDH($C$578,"FIXED_ASSETS_SEQUENTIAL_GROWTH","FY 2017","FY 2017","Currency=INR","Period=FY","BEST_FPERIOD_OVERRIDE=FY","FILING_STATUS=OR","EQY_CONSOLIDATED=Y","Sort=A","Dates=H","DateFormat=P","Fill=—","Direction=H","UseDPDF=Y")</f>
        <v>#NAME?</v>
      </c>
      <c r="BO593" s="1" t="e">
        <f ca="1">_xll.BDH($C$578,"TOTAL_ASSETS_SEQUENTIAL_GROWTH","FY 2017","FY 2017","Currency=INR","Period=FY","BEST_FPERIOD_OVERRIDE=FY","FILING_STATUS=OR","EQY_CONSOLIDATED=Y","Sort=A","Dates=H","DateFormat=P","Fill=—","Direction=H","UseDPDF=Y")</f>
        <v>#NAME?</v>
      </c>
      <c r="BP593" s="1" t="e">
        <f ca="1">_xll.BDH($C$578,"MODIFIED_WORKING_CPTL_SEQ_GRWTH","FY 2017","FY 2017","Currency=INR","Period=FY","BEST_FPERIOD_OVERRIDE=FY","FILING_STATUS=OR","EQY_CONSOLIDATED=Y","Sort=A","Dates=H","DateFormat=P","Fill=—","Direction=H","UseDPDF=Y")</f>
        <v>#NAME?</v>
      </c>
      <c r="BQ593" s="1" t="e">
        <f ca="1">_xll.BDH($C$578,"WORKING_CAPITAL_SEQ_GROWTH","FY 2017","FY 2017","Currency=INR","Period=FY","BEST_FPERIOD_OVERRIDE=FY","FILING_STATUS=OR","EQY_CONSOLIDATED=Y","Sort=A","Dates=H","DateFormat=P","Fill=—","Direction=H","UseDPDF=Y")</f>
        <v>#NAME?</v>
      </c>
      <c r="BR593" s="1" t="e">
        <f ca="1">_xll.BDH($C$578,"ACCOUNTS_PAYABLE_SEQ_GROWTH","FY 2017","FY 2017","Currency=INR","Period=FY","BEST_FPERIOD_OVERRIDE=FY","FILING_STATUS=OR","EQY_CONSOLIDATED=Y","Sort=A","Dates=H","DateFormat=P","Fill=—","Direction=H","UseDPDF=Y")</f>
        <v>#NAME?</v>
      </c>
      <c r="BS593" s="1" t="e">
        <f ca="1">_xll.BDH($C$578,"ST_DEBT_SEQUENTIAL_GROWTH","FY 2017","FY 2017","Currency=INR","Period=FY","BEST_FPERIOD_OVERRIDE=FY","FILING_STATUS=OR","EQY_CONSOLIDATED=Y","Sort=A","Dates=H","DateFormat=P","Fill=—","Direction=H","UseDPDF=Y")</f>
        <v>#NAME?</v>
      </c>
      <c r="BT593" s="1" t="e">
        <f ca="1">_xll.BDH($C$578,"TOTAL_DEBT_SEQUENTIAL_GROWTH","FY 2017","FY 2017","Currency=INR","Period=FY","BEST_FPERIOD_OVERRIDE=FY","FILING_STATUS=OR","EQY_CONSOLIDATED=Y","Sort=A","Dates=H","DateFormat=P","Fill=—","Direction=H","UseDPDF=Y")</f>
        <v>#NAME?</v>
      </c>
      <c r="BU593" s="1" t="e">
        <f ca="1">_xll.BDH($C$578,"TOTAL_EQUITY_SEQUENTIAL_GROWTH","FY 2017","FY 2017","Currency=INR","Period=FY","BEST_FPERIOD_OVERRIDE=FY","FILING_STATUS=OR","EQY_CONSOLIDATED=Y","Sort=A","Dates=H","DateFormat=P","Fill=—","Direction=H","UseDPDF=Y")</f>
        <v>#NAME?</v>
      </c>
      <c r="BV593" s="1" t="e">
        <f ca="1">_xll.BDH($C$578,"TOTAL_CAPITAL_SEQUENTIAL_GROWTH","FY 2017","FY 2017","Currency=INR","Period=FY","BEST_FPERIOD_OVERRIDE=FY","FILING_STATUS=OR","EQY_CONSOLIDATED=Y","Sort=A","Dates=H","DateFormat=P","Fill=—","Direction=H","UseDPDF=Y")</f>
        <v>#NAME?</v>
      </c>
      <c r="BW593" s="1" t="e">
        <f ca="1">_xll.BDH($C$578,"BPS_SEQUENTIAL_GROWTH","FY 2017","FY 2017","Currency=INR","Period=FY","BEST_FPERIOD_OVERRIDE=FY","FILING_STATUS=OR","EQY_CONSOLIDATED=Y","Sort=A","Dates=H","DateFormat=P","Fill=—","Direction=H","UseDPDF=Y")</f>
        <v>#NAME?</v>
      </c>
      <c r="BX593" s="1" t="e">
        <f ca="1">_xll.BDH($C$578,"CFO_SEQUENTIAL_GROWTH","FY 2017","FY 2017","Currency=INR","Period=FY","BEST_FPERIOD_OVERRIDE=FY","FILING_STATUS=OR","EQY_CONSOLIDATED=Y","Sort=A","Dates=H","DateFormat=P","Fill=—","Direction=H","UseDPDF=Y")</f>
        <v>#NAME?</v>
      </c>
      <c r="BY593" s="2" t="e">
        <f ca="1">_xll.BDH($C$578,"SHORT_AND_LONG_TERM_DEBT","FY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93" s="2" t="e">
        <f ca="1">_xll.BDH($C$578,"BS_ST_BORROW","FY 2017","FY 2017","Currency=INR","Period=FY","BEST_FPERIOD_OVERRIDE=FY","FILING_STATUS=OR","EQY_CONSOLIDATED=Y","SCALING_FORMAT=MLN","Sort=A","Dates=H","DateFormat=P","Fill=—","Direction=H","UseDPDF=Y")</f>
        <v>#NAME?</v>
      </c>
      <c r="CA593" s="2" t="e">
        <f ca="1">_xll.BDH($C$578,"BS_LT_BORROW","FY 2017","FY 2017","Currency=INR","Period=FY","BEST_FPERIOD_OVERRIDE=FY","FILING_STATUS=OR","EQY_CONSOLIDATED=Y","SCALING_FORMAT=MLN","Sort=A","Dates=H","DateFormat=P","Fill=—","Direction=H","UseDPDF=Y")</f>
        <v>#NAME?</v>
      </c>
      <c r="CB593" s="1" t="e">
        <f ca="1">_xll.BDH($C$578,"TOT_DEBT_TO_EBITDA","FY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593" s="1" t="e">
        <f ca="1">_xll.BDH($C$578,"NET_DEBT_TO_EBITDA","FY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593" s="1" t="e">
        <f ca="1">_xll.BDH($C$578,"TOTAL_DEBT_TO_EBIT","FY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593" s="1" t="e">
        <f ca="1">_xll.BDH($C$578,"NET_DEBT_TO_EBIT","FY 2017","FY 2017","Currency=INR","Period=FY","BEST_FPERIOD_OVERRIDE=FY","FILING_STATUS=OR","EQY_CONSOLIDATED=Y","FA_ADJUSTED=GAAP","Sort=A","Dates=H","DateFormat=P","Fill=—","Direction=H","UseDPDF=Y")</f>
        <v>#NAME?</v>
      </c>
      <c r="CF593" s="1" t="e">
        <f ca="1">_xll.BDH($C$578,"EBITDA_TO_INTEREST_EXPN","FY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93" s="1" t="e">
        <f ca="1">_xll.BDH($C$578,"COM_EQY_TO_TOT_ASSET","FY 2017","FY 2017","Currency=INR","Period=FY","BEST_FPERIOD_OVERRIDE=FY","FILING_STATUS=OR","EQY_CONSOLIDATED=Y","Sort=A","Dates=H","DateFormat=P","Fill=—","Direction=H","UseDPDF=Y")</f>
        <v>#NAME?</v>
      </c>
      <c r="CH593" s="1" t="e">
        <f ca="1">_xll.BDH($C$578,"LT_DEBT_TO_TOT_EQY","FY 2017","FY 2017","Currency=INR","Period=FY","BEST_FPERIOD_OVERRIDE=FY","FILING_STATUS=OR","EQY_CONSOLIDATED=Y","Sort=A","Dates=H","DateFormat=P","Fill=—","Direction=H","UseDPDF=Y")</f>
        <v>#NAME?</v>
      </c>
      <c r="CI593" s="1" t="e">
        <f ca="1">_xll.BDH($C$578,"LT_DEBT_TO_TOT_CAP","FY 2017","FY 2017","Currency=INR","Period=FY","BEST_FPERIOD_OVERRIDE=FY","FILING_STATUS=OR","EQY_CONSOLIDATED=Y","Sort=A","Dates=H","DateFormat=P","Fill=—","Direction=H","UseDPDF=Y")</f>
        <v>#NAME?</v>
      </c>
      <c r="CJ593" s="1" t="e">
        <f ca="1">_xll.BDH($C$578,"LT_DEBT_TO_TOT_ASSET","FY 2017","FY 2017","Currency=INR","Period=FY","BEST_FPERIOD_OVERRIDE=FY","FILING_STATUS=OR","EQY_CONSOLIDATED=Y","Sort=A","Dates=H","DateFormat=P","Fill=—","Direction=H","UseDPDF=Y")</f>
        <v>#NAME?</v>
      </c>
      <c r="CK593" s="1" t="e">
        <f ca="1">_xll.BDH($C$578,"TOT_DEBT_TO_TOT_EQY","FY 2017","FY 2017","Currency=INR","Period=FY","BEST_FPERIOD_OVERRIDE=FY","FILING_STATUS=OR","EQY_CONSOLIDATED=Y","Sort=A","Dates=H","DateFormat=P","Fill=—","Direction=H","UseDPDF=Y")</f>
        <v>#NAME?</v>
      </c>
      <c r="CL593" s="1" t="e">
        <f ca="1">_xll.BDH($C$578,"TOT_DEBT_TO_TOT_CAP","FY 2017","FY 2017","Currency=INR","Period=FY","BEST_FPERIOD_OVERRIDE=FY","FILING_STATUS=OR","EQY_CONSOLIDATED=Y","Sort=A","Dates=H","DateFormat=P","Fill=—","Direction=H","UseDPDF=Y")</f>
        <v>#NAME?</v>
      </c>
      <c r="CM593" s="1" t="e">
        <f ca="1">_xll.BDH($C$578,"TOT_DEBT_TO_TOT_ASSET","FY 2017","FY 2017","Currency=INR","Period=FY","BEST_FPERIOD_OVERRIDE=FY","FILING_STATUS=OR","EQY_CONSOLIDATED=Y","Sort=A","Dates=H","DateFormat=P","Fill=—","Direction=H","UseDPDF=Y")</f>
        <v>#NAME?</v>
      </c>
      <c r="CN593" s="1" t="e">
        <f ca="1">_xll.BDH($C$578,"NET_DEBT_TO_SHRHLDR_EQTY","FY 2017","FY 2017","Currency=INR","Period=FY","BEST_FPERIOD_OVERRIDE=FY","FILING_STATUS=OR","EQY_CONSOLIDATED=Y","Sort=A","Dates=H","DateFormat=P","Fill=—","Direction=H","UseDPDF=Y")</f>
        <v>#NAME?</v>
      </c>
      <c r="CO593" s="1" t="e">
        <f ca="1">_xll.BDH($C$578,"NET_DEBT_%_CAPITAL","FY 2017","FY 2017","Currency=INR","Period=FY","BEST_FPERIOD_OVERRIDE=FY","FILING_STATUS=OR","EQY_CONSOLIDATED=Y","Sort=A","Dates=H","DateFormat=P","Fill=—","Direction=H","UseDPDF=Y")</f>
        <v>#NAME?</v>
      </c>
      <c r="CP593" s="2" t="e">
        <f ca="1">_xll.BDH($C$578,"EBITDA","FY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93" s="2" t="e">
        <f ca="1">_xll.BDH($C$578,"EBITDA_AFTER_CAPEX","FY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93" s="2" t="e">
        <f ca="1">_xll.BDH($C$578,"IS_OPER_INC","FY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93" s="1" t="e">
        <f ca="1">_xll.BDH($C$578,"CASH_RATIO","FY 2017","FY 2017","Currency=INR","Period=FY","BEST_FPERIOD_OVERRIDE=FY","FILING_STATUS=OR","EQY_CONSOLIDATED=Y","Sort=A","Dates=H","DateFormat=P","Fill=—","Direction=H","UseDPDF=Y")</f>
        <v>#NAME?</v>
      </c>
      <c r="CT593" s="1" t="e">
        <f ca="1">_xll.BDH($C$578,"CUR_RATIO","FY 2017","FY 2017","Currency=INR","Period=FY","BEST_FPERIOD_OVERRIDE=FY","FILING_STATUS=OR","EQY_CONSOLIDATED=Y","Sort=A","Dates=H","DateFormat=P","Fill=—","Direction=H","UseDPDF=Y")</f>
        <v>#NAME?</v>
      </c>
      <c r="CU593" s="1" t="e">
        <f ca="1">_xll.BDH($C$578,"QUICK_RATIO","FY 2017","FY 2017","Currency=INR","Period=FY","BEST_FPERIOD_OVERRIDE=FY","FILING_STATUS=OR","EQY_CONSOLIDATED=Y","Sort=A","Dates=H","DateFormat=P","Fill=—","Direction=H","UseDPDF=Y")</f>
        <v>#NAME?</v>
      </c>
      <c r="CV593" s="1" t="e">
        <f ca="1">_xll.BDH($C$578,"ALTMAN_Z_SCORE","FY 2017","FY 2017","Currency=INR","Period=FY","BEST_FPERIOD_OVERRIDE=FY","FILING_STATUS=OR","EQY_CONSOLIDATED=Y","Sort=A","Dates=H","DateFormat=P","Fill=—","Direction=H","UseDPDF=Y")</f>
        <v>#NAME?</v>
      </c>
      <c r="CW593" s="3" t="e">
        <f ca="1">_xll.BDH($C$578,"ACCT_RCV_TURN","FY 2017","FY 2017","Currency=INR","Period=FY","BEST_FPERIOD_OVERRIDE=FY","FILING_STATUS=OR","EQY_CONSOLIDATED=Y","FA_ADJUSTED=GAAP","Sort=A","Dates=H","DateFormat=P","Fill=—","Direction=H","UseDPDF=Y")</f>
        <v>#NAME?</v>
      </c>
      <c r="CX593" s="1" t="e">
        <f ca="1">_xll.BDH($C$578,"ACCT_RCV_DAYS","FY 2017","FY 2017","Currency=INR","Period=FY","BEST_FPERIOD_OVERRIDE=FY","FILING_STATUS=OR","EQY_CONSOLIDATED=Y","FA_ADJUSTED=GAAP","Sort=A","Dates=H","DateFormat=P","Fill=—","Direction=H","UseDPDF=Y")</f>
        <v>#NAME?</v>
      </c>
      <c r="CY593" s="3" t="e">
        <f ca="1">_xll.BDH($C$578,"INVENT_TURN","FY 2017","FY 2017","Currency=INR","Period=FY","BEST_FPERIOD_OVERRIDE=FY","FILING_STATUS=OR","EQY_CONSOLIDATED=Y","FA_ADJUSTED=GAAP","Sort=A","Dates=H","DateFormat=P","Fill=—","Direction=H","UseDPDF=Y")</f>
        <v>#NAME?</v>
      </c>
      <c r="CZ593" s="1" t="e">
        <f ca="1">_xll.BDH($C$578,"INVENT_DAYS","FY 2017","FY 2017","Currency=INR","Period=FY","BEST_FPERIOD_OVERRIDE=FY","FILING_STATUS=OR","EQY_CONSOLIDATED=Y","FA_ADJUSTED=GAAP","Sort=A","Dates=H","DateFormat=P","Fill=—","Direction=H","UseDPDF=Y")</f>
        <v>#NAME?</v>
      </c>
      <c r="DA593" s="3" t="e">
        <f ca="1">_xll.BDH($C$578,"ACCOUNTS_PAYABLE_TURNOVER","FY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93" s="1" t="e">
        <f ca="1">_xll.BDH($C$578,"ACCOUNTS_PAYABLE_TURNOVER_DAYS","FY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93" s="3" t="e">
        <f ca="1">_xll.BDH($C$578,"CASH_CONVERSION_CYCLE","FY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93" s="3" t="e">
        <f ca="1">_xll.BDH($C$578,"INV_TO_CASH_DAYS","FY 2017","FY 2017","Currency=INR","Period=FY","BEST_FPERIOD_OVERRIDE=FY","FILING_STATUS=OR","EQY_CONSOLIDATED=Y","FA_ADJUSTED=GAAP","Sort=A","Dates=H","DateFormat=P","Fill=—","Direction=H","UseDPDF=Y")</f>
        <v>#NAME?</v>
      </c>
      <c r="DE593" s="4" t="e">
        <f ca="1">_xll.BDH($C$578,"BS_INVENTORIES","FY 2017","FY 2017","Currency=INR","Period=FY","BEST_FPERIOD_OVERRIDE=FY","FILING_STATUS=OR","EQY_CONSOLIDATED=Y","SCALING_FORMAT=MLN","Sort=A","Dates=H","DateFormat=P","Fill=—","Direction=H","UseDPDF=Y")</f>
        <v>#NAME?</v>
      </c>
      <c r="DF593" s="2" t="e">
        <f ca="1">_xll.BDH($C$578,"INVTRY_RAW_MATERIALS","FY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93" s="2" t="e">
        <f ca="1">_xll.BDH($C$578,"INVTRY_IN_PROGRESS","FY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93" s="2" t="e">
        <f ca="1">_xll.BDH($C$578,"INVTRY_FINISHED_GOODS","FY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93" s="2" t="e">
        <f ca="1">_xll.BDH($C$578,"BS_OTHER_INV","FY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94" spans="1:113" x14ac:dyDescent="0.3">
      <c r="A594" s="6"/>
      <c r="B594" s="6"/>
      <c r="C594" s="6"/>
      <c r="D594" s="6"/>
      <c r="E594" t="s">
        <v>4</v>
      </c>
      <c r="F594" t="e">
        <f ca="1">_xll.BDH($C$578,"RETURN_COM_EQY","FQ1 2017","FQ1 2017","Currency=INR","Period=FQ","BEST_FPERIOD_OVERRIDE=FQ","FILING_STATUS=OR","EQY_CONSOLIDATED=Y","FA_ADJUSTED=GAAP","Sort=A","Dates=H","DateFormat=P","Fill=—","Direction=H","UseDPDF=Y")</f>
        <v>#NAME?</v>
      </c>
      <c r="G594" t="e">
        <f ca="1">_xll.BDH($C$578,"RETURN_ON_ASSET","FQ1 2017","FQ1 2017","Currency=INR","Period=FQ","BEST_FPERIOD_OVERRIDE=FQ","FILING_STATUS=OR","EQY_CONSOLIDATED=Y","FA_ADJUSTED=GAAP","Sort=A","Dates=H","DateFormat=P","Fill=—","Direction=H","UseDPDF=Y")</f>
        <v>#NAME?</v>
      </c>
      <c r="H594" t="e">
        <f ca="1">_xll.BDH($C$578,"RETURN_ON_CAP","FQ1 2017","FQ1 2017","Currency=INR","Period=FQ","BEST_FPERIOD_OVERRIDE=FQ","FILING_STATUS=OR","EQY_CONSOLIDATED=Y","FA_ADJUSTED=GAAP","Sort=A","Dates=H","DateFormat=P","Fill=—","Direction=H","UseDPDF=Y")</f>
        <v>#NAME?</v>
      </c>
      <c r="I594" t="e">
        <f ca="1">_xll.BDH($C$578,"RETURN_ON_INV_CAPITAL","FQ1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94" t="e">
        <f ca="1">_xll.BDH($C$578,"EBITDA_TO_REVENUE","FQ1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594" t="e">
        <f ca="1">_xll.BDH($C$578,"OPER_MARGIN","FQ1 2017","FQ1 2017","Currency=INR","Period=FQ","BEST_FPERIOD_OVERRIDE=FQ","FILING_STATUS=OR","EQY_CONSOLIDATED=Y","FA_ADJUSTED=GAAP","Sort=A","Dates=H","DateFormat=P","Fill=—","Direction=H","UseDPDF=Y")</f>
        <v>#NAME?</v>
      </c>
      <c r="L594" t="e">
        <f ca="1">_xll.BDH($C$578,"INCREMENTAL_OPERATING_MARGIN","FQ1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94" t="e">
        <f ca="1">_xll.BDH($C$578,"PRETAX_INC_TO_NET_SALES","FQ1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94" t="e">
        <f ca="1">_xll.BDH($C$578,"INC_BEF_XO_ITEMS_TO_NET_SALES","FQ1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94" t="e">
        <f ca="1">_xll.BDH($C$578,"PROF_MARGIN","FQ1 2017","FQ1 2017","Currency=INR","Period=FQ","BEST_FPERIOD_OVERRIDE=FQ","FILING_STATUS=OR","EQY_CONSOLIDATED=Y","FA_ADJUSTED=GAAP","Sort=A","Dates=H","DateFormat=P","Fill=—","Direction=H","UseDPDF=Y")</f>
        <v>#NAME?</v>
      </c>
      <c r="P594" t="e">
        <f ca="1">_xll.BDH($C$578,"NET_INCOME_TO_COMMON_MARGIN","FQ1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94" t="e">
        <f ca="1">_xll.BDH($C$578,"EFF_TAX_RATE","FQ1 2017","FQ1 2017","Currency=INR","Period=FQ","BEST_FPERIOD_OVERRIDE=FQ","FILING_STATUS=OR","EQY_CONSOLIDATED=Y","FA_ADJUSTED=GAAP","Sort=A","Dates=H","DateFormat=P","Fill=—","Direction=H","UseDPDF=Y")</f>
        <v>#NAME?</v>
      </c>
      <c r="R594" t="e">
        <f ca="1">_xll.BDH($C$578,"DVD_PAYOUT_RATIO","FQ1 2017","FQ1 2017","Currency=INR","Period=FQ","BEST_FPERIOD_OVERRIDE=FQ","FILING_STATUS=OR","EQY_CONSOLIDATED=Y","FA_ADJUSTED=GAAP","Sort=A","Dates=H","DateFormat=P","Fill=—","Direction=H","UseDPDF=Y")</f>
        <v>#NAME?</v>
      </c>
      <c r="S594" t="e">
        <f ca="1">_xll.BDH($C$578,"SUSTAIN_GROWTH_RT","FQ1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594" s="1" t="e">
        <f ca="1">_xll.BDH($C$578,"SALES_GROWTH","FQ1 2017","FQ1 2017","Currency=INR","Period=FQ","BEST_FPERIOD_OVERRIDE=FQ","FILING_STATUS=OR","EQY_CONSOLIDATED=Y","FA_ADJUSTED=GAAP","Sort=A","Dates=H","DateFormat=P","Fill=—","Direction=H","UseDPDF=Y")</f>
        <v>#NAME?</v>
      </c>
      <c r="U594" s="1" t="e">
        <f ca="1">_xll.BDH($C$578,"EBITDA_GROWTH","FQ1 2017","FQ1 2017","Currency=INR","Period=FQ","BEST_FPERIOD_OVERRIDE=FQ","FILING_STATUS=OR","EQY_CONSOLIDATED=Y","FA_ADJUSTED=GAAP","Sort=A","Dates=H","DateFormat=P","Fill=—","Direction=H","UseDPDF=Y")</f>
        <v>#NAME?</v>
      </c>
      <c r="V594" s="1" t="e">
        <f ca="1">_xll.BDH($C$578,"OPER_INC_GROWTH","FQ1 2017","FQ1 2017","Currency=INR","Period=FQ","BEST_FPERIOD_OVERRIDE=FQ","FILING_STATUS=OR","EQY_CONSOLIDATED=Y","FA_ADJUSTED=GAAP","Sort=A","Dates=H","DateFormat=P","Fill=—","Direction=H","UseDPDF=Y")</f>
        <v>#NAME?</v>
      </c>
      <c r="W594" s="1" t="e">
        <f ca="1">_xll.BDH($C$578,"EARN_FOR_COM_GROWTH","FQ1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94" s="1" t="e">
        <f ca="1">_xll.BDH($C$578,"DILUTED_EPS_AFT_XO_ITEMS_GROWTH","FQ1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94" s="1" t="e">
        <f ca="1">_xll.BDH($C$578,"DIVIDEND_PER_SHARE_1_YEAR_GROWTH","FQ1 2017","FQ1 2017","Currency=INR","Period=FQ","BEST_FPERIOD_OVERRIDE=FQ","FILING_STATUS=OR","EQY_CONSOLIDATED=Y","Sort=A","Dates=H","DateFormat=P","Fill=—","Direction=H","UseDPDF=Y")</f>
        <v>#NAME?</v>
      </c>
      <c r="Z594" s="1" t="e">
        <f ca="1">_xll.BDH($C$578,"ACCOUNTS_RECEIVABLE_GROWTH","FQ1 2017","FQ1 2017","Currency=INR","Period=FQ","BEST_FPERIOD_OVERRIDE=FQ","FILING_STATUS=OR","EQY_CONSOLIDATED=Y","Sort=A","Dates=H","DateFormat=P","Fill=—","Direction=H","UseDPDF=Y")</f>
        <v>#NAME?</v>
      </c>
      <c r="AA594" s="1" t="e">
        <f ca="1">_xll.BDH($C$578,"INVENTORY_GROWTH","FQ1 2017","FQ1 2017","Currency=INR","Period=FQ","BEST_FPERIOD_OVERRIDE=FQ","FILING_STATUS=OR","EQY_CONSOLIDATED=Y","Sort=A","Dates=H","DateFormat=P","Fill=—","Direction=H","UseDPDF=Y")</f>
        <v>#NAME?</v>
      </c>
      <c r="AB594" s="1" t="e">
        <f ca="1">_xll.BDH($C$578,"NET_FIXED_ASSETS_1_YEAR_GROWTH","FQ1 2017","FQ1 2017","Currency=INR","Period=FQ","BEST_FPERIOD_OVERRIDE=FQ","FILING_STATUS=OR","EQY_CONSOLIDATED=Y","Sort=A","Dates=H","DateFormat=P","Fill=—","Direction=H","UseDPDF=Y")</f>
        <v>#NAME?</v>
      </c>
      <c r="AC594" s="1" t="e">
        <f ca="1">_xll.BDH($C$578,"ASSET_GROWTH","FQ1 2017","FQ1 2017","Currency=INR","Period=FQ","BEST_FPERIOD_OVERRIDE=FQ","FILING_STATUS=OR","EQY_CONSOLIDATED=Y","Sort=A","Dates=H","DateFormat=P","Fill=—","Direction=H","UseDPDF=Y")</f>
        <v>#NAME?</v>
      </c>
      <c r="AD594" s="1" t="e">
        <f ca="1">_xll.BDH($C$578,"MODIFIED_WORK_CAP_GROWTH","FQ1 2017","FQ1 2017","Currency=INR","Period=FQ","BEST_FPERIOD_OVERRIDE=FQ","FILING_STATUS=OR","EQY_CONSOLIDATED=Y","Sort=A","Dates=H","DateFormat=P","Fill=—","Direction=H","UseDPDF=Y")</f>
        <v>#NAME?</v>
      </c>
      <c r="AE594" s="1" t="e">
        <f ca="1">_xll.BDH($C$578,"WORK_CAP_GROWTH","FQ1 2017","FQ1 2017","Currency=INR","Period=FQ","BEST_FPERIOD_OVERRIDE=FQ","FILING_STATUS=OR","EQY_CONSOLIDATED=Y","Sort=A","Dates=H","DateFormat=P","Fill=—","Direction=H","UseDPDF=Y")</f>
        <v>#NAME?</v>
      </c>
      <c r="AF594" s="1" t="e">
        <f ca="1">_xll.BDH($C$578,"ACCOUNTS_PAYABLE_GROWTH_1YR","FQ1 2017","FQ1 2017","Currency=INR","Period=FQ","BEST_FPERIOD_OVERRIDE=FQ","FILING_STATUS=OR","EQY_CONSOLIDATED=Y","Sort=A","Dates=H","DateFormat=P","Fill=—","Direction=H","UseDPDF=Y")</f>
        <v>#NAME?</v>
      </c>
      <c r="AG594" s="1" t="e">
        <f ca="1">_xll.BDH($C$578,"SHORT_TERM_DEBT_1_YEAR_GROWTH","FQ1 2017","FQ1 2017","Currency=INR","Period=FQ","BEST_FPERIOD_OVERRIDE=FQ","FILING_STATUS=OR","EQY_CONSOLIDATED=Y","Sort=A","Dates=H","DateFormat=P","Fill=—","Direction=H","UseDPDF=Y")</f>
        <v>#NAME?</v>
      </c>
      <c r="AH594" s="1" t="e">
        <f ca="1">_xll.BDH($C$578,"TOTAL_DEBT_1_YEAR_GROWTH","FQ1 2017","FQ1 2017","Currency=INR","Period=FQ","BEST_FPERIOD_OVERRIDE=FQ","FILING_STATUS=OR","EQY_CONSOLIDATED=Y","Sort=A","Dates=H","DateFormat=P","Fill=—","Direction=H","UseDPDF=Y")</f>
        <v>#NAME?</v>
      </c>
      <c r="AI594" s="1" t="e">
        <f ca="1">_xll.BDH($C$578,"TOTAL_EQUITY_1_YEAR_GROWTH","FQ1 2017","FQ1 2017","Currency=INR","Period=FQ","BEST_FPERIOD_OVERRIDE=FQ","FILING_STATUS=OR","EQY_CONSOLIDATED=Y","Sort=A","Dates=H","DateFormat=P","Fill=—","Direction=H","UseDPDF=Y")</f>
        <v>#NAME?</v>
      </c>
      <c r="AJ594" s="1" t="e">
        <f ca="1">_xll.BDH($C$578,"GROWTH_IN_CAP","FQ1 2017","FQ1 2017","Currency=INR","Period=FQ","BEST_FPERIOD_OVERRIDE=FQ","FILING_STATUS=OR","EQY_CONSOLIDATED=Y","Sort=A","Dates=H","DateFormat=P","Fill=—","Direction=H","UseDPDF=Y")</f>
        <v>#NAME?</v>
      </c>
      <c r="AK594" s="1" t="e">
        <f ca="1">_xll.BDH($C$578,"BVPS_GROWTH","FQ1 2017","FQ1 2017","Currency=INR","Period=FQ","BEST_FPERIOD_OVERRIDE=FQ","FILING_STATUS=OR","EQY_CONSOLIDATED=Y","Sort=A","Dates=H","DateFormat=P","Fill=—","Direction=H","UseDPDF=Y")</f>
        <v>#NAME?</v>
      </c>
      <c r="AL594" s="1" t="e">
        <f ca="1">_xll.BDH($C$578,"CASH_FLOW_GROWTH","FQ1 2017","FQ1 2017","Currency=INR","Period=FQ","BEST_FPERIOD_OVERRIDE=FQ","FILING_STATUS=OR","EQY_CONSOLIDATED=Y","Sort=A","Dates=H","DateFormat=P","Fill=—","Direction=H","UseDPDF=Y")</f>
        <v>#NAME?</v>
      </c>
      <c r="AM594" s="1" t="e">
        <f ca="1">_xll.BDH($C$578,"GEO_GROW_NET_SALES","FQ1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94" s="1" t="e">
        <f ca="1">_xll.BDH($C$578,"GEO_GROW_EBITDA","FQ1 2017","FQ1 2017","Currency=INR","Period=FQ","BEST_FPERIOD_OVERRIDE=FQ","FILING_STATUS=OR","EQY_CONSOLIDATED=Y","FA_ADJUSTED=GAAP","Sort=A","Dates=H","DateFormat=P","Fill=—","Direction=H","UseDPDF=Y")</f>
        <v>#NAME?</v>
      </c>
      <c r="AO594" s="1" t="e">
        <f ca="1">_xll.BDH($C$578,"GEO_GROW_OPER_INC","FQ1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94" s="1" t="e">
        <f ca="1">_xll.BDH($C$578,"NET_INCOME_TO_COMMON_5_YR_GROWTH","FQ1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94" s="1" t="e">
        <f ca="1">_xll.BDH($C$578,"5Y_GEO_GROWTH_DILUTED_EPS","FQ1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94" s="1" t="e">
        <f ca="1">_xll.BDH($C$578,"GEO_GROW_DVD_PER_SH","FQ1 2017","FQ1 2017","Currency=INR","Period=FQ","BEST_FPERIOD_OVERRIDE=FQ","FILING_STATUS=OR","EQY_CONSOLIDATED=Y","Sort=A","Dates=H","DateFormat=P","Fill=—","Direction=H","UseDPDF=Y")</f>
        <v>#NAME?</v>
      </c>
      <c r="AS594" s="1" t="e">
        <f ca="1">_xll.BDH($C$578,"ACCOUNTS_RECEIVABLE_5_YR_GROWTH","FQ1 2017","FQ1 2017","Currency=INR","Period=FQ","BEST_FPERIOD_OVERRIDE=FQ","FILING_STATUS=OR","EQY_CONSOLIDATED=Y","Sort=A","Dates=H","DateFormat=P","Fill=—","Direction=H","UseDPDF=Y")</f>
        <v>#NAME?</v>
      </c>
      <c r="AT594" s="1" t="e">
        <f ca="1">_xll.BDH($C$578,"INVENTORY_5_YEAR_GROWTH","FQ1 2017","FQ1 2017","Currency=INR","Period=FQ","BEST_FPERIOD_OVERRIDE=FQ","FILING_STATUS=OR","EQY_CONSOLIDATED=Y","Sort=A","Dates=H","DateFormat=P","Fill=—","Direction=H","UseDPDF=Y")</f>
        <v>#NAME?</v>
      </c>
      <c r="AU594" s="1" t="e">
        <f ca="1">_xll.BDH($C$578,"NET_FIXED_ASSETS_5_YEAR_GROWTH","FQ1 2017","FQ1 2017","Currency=INR","Period=FQ","BEST_FPERIOD_OVERRIDE=FQ","FILING_STATUS=OR","EQY_CONSOLIDATED=Y","Sort=A","Dates=H","DateFormat=P","Fill=—","Direction=H","UseDPDF=Y")</f>
        <v>#NAME?</v>
      </c>
      <c r="AV594" s="1" t="e">
        <f ca="1">_xll.BDH($C$578,"GEO_GROW_TOT_ASSET","FQ1 2017","FQ1 2017","Currency=INR","Period=FQ","BEST_FPERIOD_OVERRIDE=FQ","FILING_STATUS=OR","EQY_CONSOLIDATED=Y","Sort=A","Dates=H","DateFormat=P","Fill=—","Direction=H","UseDPDF=Y")</f>
        <v>#NAME?</v>
      </c>
      <c r="AW594" s="1" t="e">
        <f ca="1">_xll.BDH($C$578,"MODIFIED_WORKING_CPTL_5YR_GRWTH","FQ1 2017","FQ1 2017","Currency=INR","Period=FQ","BEST_FPERIOD_OVERRIDE=FQ","FILING_STATUS=OR","EQY_CONSOLIDATED=Y","Sort=A","Dates=H","DateFormat=P","Fill=—","Direction=H","UseDPDF=Y")</f>
        <v>#NAME?</v>
      </c>
      <c r="AX594" s="1" t="e">
        <f ca="1">_xll.BDH($C$578,"WORKING_CAPITAL_5_YEAR_GROWTH","FQ1 2017","FQ1 2017","Currency=INR","Period=FQ","BEST_FPERIOD_OVERRIDE=FQ","FILING_STATUS=OR","EQY_CONSOLIDATED=Y","Sort=A","Dates=H","DateFormat=P","Fill=—","Direction=H","UseDPDF=Y")</f>
        <v>#NAME?</v>
      </c>
      <c r="AY594" s="1" t="e">
        <f ca="1">_xll.BDH($C$578,"ACCOUNTS_PAYABLE_5_YEAR_GROWTH","FQ1 2017","FQ1 2017","Currency=INR","Period=FQ","BEST_FPERIOD_OVERRIDE=FQ","FILING_STATUS=OR","EQY_CONSOLIDATED=Y","Sort=A","Dates=H","DateFormat=P","Fill=—","Direction=H","UseDPDF=Y")</f>
        <v>#NAME?</v>
      </c>
      <c r="AZ594" s="1" t="e">
        <f ca="1">_xll.BDH($C$578,"SHORT_TERM_DEBT_5_YEAR_GROWTH","FQ1 2017","FQ1 2017","Currency=INR","Period=FQ","BEST_FPERIOD_OVERRIDE=FQ","FILING_STATUS=OR","EQY_CONSOLIDATED=Y","Sort=A","Dates=H","DateFormat=P","Fill=—","Direction=H","UseDPDF=Y")</f>
        <v>#NAME?</v>
      </c>
      <c r="BA594" s="1" t="e">
        <f ca="1">_xll.BDH($C$578,"TOTAL_DEBT_5_YEAR_GROWTH","FQ1 2017","FQ1 2017","Currency=INR","Period=FQ","BEST_FPERIOD_OVERRIDE=FQ","FILING_STATUS=OR","EQY_CONSOLIDATED=Y","Sort=A","Dates=H","DateFormat=P","Fill=—","Direction=H","UseDPDF=Y")</f>
        <v>#NAME?</v>
      </c>
      <c r="BB594" s="1" t="e">
        <f ca="1">_xll.BDH($C$578,"GEO_GROW_TOT_SHRHLDR_EQY","FQ1 2017","FQ1 2017","Currency=INR","Period=FQ","BEST_FPERIOD_OVERRIDE=FQ","FILING_STATUS=OR","EQY_CONSOLIDATED=Y","Sort=A","Dates=H","DateFormat=P","Fill=—","Direction=H","UseDPDF=Y")</f>
        <v>#NAME?</v>
      </c>
      <c r="BC594" s="1" t="e">
        <f ca="1">_xll.BDH($C$578,"TOTAL_CAPITAL_5_YEAR_GROWTH","FQ1 2017","FQ1 2017","Currency=INR","Period=FQ","BEST_FPERIOD_OVERRIDE=FQ","FILING_STATUS=OR","EQY_CONSOLIDATED=Y","Sort=A","Dates=H","DateFormat=P","Fill=—","Direction=H","UseDPDF=Y")</f>
        <v>#NAME?</v>
      </c>
      <c r="BD594" s="1" t="e">
        <f ca="1">_xll.BDH($C$578,"GEO_GROW_BOOK_VAL","FQ1 2017","FQ1 2017","Currency=INR","Period=FQ","BEST_FPERIOD_OVERRIDE=FQ","FILING_STATUS=OR","EQY_CONSOLIDATED=Y","Sort=A","Dates=H","DateFormat=P","Fill=—","Direction=H","UseDPDF=Y")</f>
        <v>#NAME?</v>
      </c>
      <c r="BE594" s="1" t="e">
        <f ca="1">_xll.BDH($C$578,"GEO_GROW_CASH_OPER_ACT","FQ1 2017","FQ1 2017","Currency=INR","Period=FQ","BEST_FPERIOD_OVERRIDE=FQ","FILING_STATUS=OR","EQY_CONSOLIDATED=Y","Sort=A","Dates=H","DateFormat=P","Fill=—","Direction=H","UseDPDF=Y")</f>
        <v>#NAME?</v>
      </c>
      <c r="BF594" s="1" t="e">
        <f ca="1">_xll.BDH($C$578,"REVENUE_SEQUENTIAL_GROWTH","FQ1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94" s="1" t="e">
        <f ca="1">_xll.BDH($C$578,"EBITDA_SEQUENTIAL_GROWTH","FQ1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94" s="1" t="e">
        <f ca="1">_xll.BDH($C$578,"OPERATING_INCOME_SEQ_GROWTH","FQ1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94" s="1" t="e">
        <f ca="1">_xll.BDH($C$578,"NET_INCOME_TO_COMMON_SEQ_GROWTH","FQ1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94" s="1" t="e">
        <f ca="1">_xll.BDH($C$578,"EPS_DILUTED_SEQUENTIAL_GROWTH","FQ1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94" s="1" t="e">
        <f ca="1">_xll.BDH($C$578,"DPS_SEQUENTIAL_GROWTH","FQ1 2017","FQ1 2017","Currency=INR","Period=FQ","BEST_FPERIOD_OVERRIDE=FQ","FILING_STATUS=OR","EQY_CONSOLIDATED=Y","Sort=A","Dates=H","DateFormat=P","Fill=—","Direction=H","UseDPDF=Y")</f>
        <v>#NAME?</v>
      </c>
      <c r="BL594" s="1" t="e">
        <f ca="1">_xll.BDH($C$578,"ACCOUNTS_RECEIVABLE_SEQ_GROWTH","FQ1 2017","FQ1 2017","Currency=INR","Period=FQ","BEST_FPERIOD_OVERRIDE=FQ","FILING_STATUS=OR","EQY_CONSOLIDATED=Y","Sort=A","Dates=H","DateFormat=P","Fill=—","Direction=H","UseDPDF=Y")</f>
        <v>#NAME?</v>
      </c>
      <c r="BM594" s="1" t="e">
        <f ca="1">_xll.BDH($C$578,"INVENTORY_SEQUENTIAL_GROWTH","FQ1 2017","FQ1 2017","Currency=INR","Period=FQ","BEST_FPERIOD_OVERRIDE=FQ","FILING_STATUS=OR","EQY_CONSOLIDATED=Y","Sort=A","Dates=H","DateFormat=P","Fill=—","Direction=H","UseDPDF=Y")</f>
        <v>#NAME?</v>
      </c>
      <c r="BN594" s="1" t="e">
        <f ca="1">_xll.BDH($C$578,"FIXED_ASSETS_SEQUENTIAL_GROWTH","FQ1 2017","FQ1 2017","Currency=INR","Period=FQ","BEST_FPERIOD_OVERRIDE=FQ","FILING_STATUS=OR","EQY_CONSOLIDATED=Y","Sort=A","Dates=H","DateFormat=P","Fill=—","Direction=H","UseDPDF=Y")</f>
        <v>#NAME?</v>
      </c>
      <c r="BO594" s="1" t="e">
        <f ca="1">_xll.BDH($C$578,"TOTAL_ASSETS_SEQUENTIAL_GROWTH","FQ1 2017","FQ1 2017","Currency=INR","Period=FQ","BEST_FPERIOD_OVERRIDE=FQ","FILING_STATUS=OR","EQY_CONSOLIDATED=Y","Sort=A","Dates=H","DateFormat=P","Fill=—","Direction=H","UseDPDF=Y")</f>
        <v>#NAME?</v>
      </c>
      <c r="BP594" s="1" t="e">
        <f ca="1">_xll.BDH($C$578,"MODIFIED_WORKING_CPTL_SEQ_GRWTH","FQ1 2017","FQ1 2017","Currency=INR","Period=FQ","BEST_FPERIOD_OVERRIDE=FQ","FILING_STATUS=OR","EQY_CONSOLIDATED=Y","Sort=A","Dates=H","DateFormat=P","Fill=—","Direction=H","UseDPDF=Y")</f>
        <v>#NAME?</v>
      </c>
      <c r="BQ594" s="1" t="e">
        <f ca="1">_xll.BDH($C$578,"WORKING_CAPITAL_SEQ_GROWTH","FQ1 2017","FQ1 2017","Currency=INR","Period=FQ","BEST_FPERIOD_OVERRIDE=FQ","FILING_STATUS=OR","EQY_CONSOLIDATED=Y","Sort=A","Dates=H","DateFormat=P","Fill=—","Direction=H","UseDPDF=Y")</f>
        <v>#NAME?</v>
      </c>
      <c r="BR594" s="1" t="e">
        <f ca="1">_xll.BDH($C$578,"ACCOUNTS_PAYABLE_SEQ_GROWTH","FQ1 2017","FQ1 2017","Currency=INR","Period=FQ","BEST_FPERIOD_OVERRIDE=FQ","FILING_STATUS=OR","EQY_CONSOLIDATED=Y","Sort=A","Dates=H","DateFormat=P","Fill=—","Direction=H","UseDPDF=Y")</f>
        <v>#NAME?</v>
      </c>
      <c r="BS594" s="1" t="e">
        <f ca="1">_xll.BDH($C$578,"ST_DEBT_SEQUENTIAL_GROWTH","FQ1 2017","FQ1 2017","Currency=INR","Period=FQ","BEST_FPERIOD_OVERRIDE=FQ","FILING_STATUS=OR","EQY_CONSOLIDATED=Y","Sort=A","Dates=H","DateFormat=P","Fill=—","Direction=H","UseDPDF=Y")</f>
        <v>#NAME?</v>
      </c>
      <c r="BT594" s="1" t="e">
        <f ca="1">_xll.BDH($C$578,"TOTAL_DEBT_SEQUENTIAL_GROWTH","FQ1 2017","FQ1 2017","Currency=INR","Period=FQ","BEST_FPERIOD_OVERRIDE=FQ","FILING_STATUS=OR","EQY_CONSOLIDATED=Y","Sort=A","Dates=H","DateFormat=P","Fill=—","Direction=H","UseDPDF=Y")</f>
        <v>#NAME?</v>
      </c>
      <c r="BU594" s="1" t="e">
        <f ca="1">_xll.BDH($C$578,"TOTAL_EQUITY_SEQUENTIAL_GROWTH","FQ1 2017","FQ1 2017","Currency=INR","Period=FQ","BEST_FPERIOD_OVERRIDE=FQ","FILING_STATUS=OR","EQY_CONSOLIDATED=Y","Sort=A","Dates=H","DateFormat=P","Fill=—","Direction=H","UseDPDF=Y")</f>
        <v>#NAME?</v>
      </c>
      <c r="BV594" s="1" t="e">
        <f ca="1">_xll.BDH($C$578,"TOTAL_CAPITAL_SEQUENTIAL_GROWTH","FQ1 2017","FQ1 2017","Currency=INR","Period=FQ","BEST_FPERIOD_OVERRIDE=FQ","FILING_STATUS=OR","EQY_CONSOLIDATED=Y","Sort=A","Dates=H","DateFormat=P","Fill=—","Direction=H","UseDPDF=Y")</f>
        <v>#NAME?</v>
      </c>
      <c r="BW594" s="1" t="e">
        <f ca="1">_xll.BDH($C$578,"BPS_SEQUENTIAL_GROWTH","FQ1 2017","FQ1 2017","Currency=INR","Period=FQ","BEST_FPERIOD_OVERRIDE=FQ","FILING_STATUS=OR","EQY_CONSOLIDATED=Y","Sort=A","Dates=H","DateFormat=P","Fill=—","Direction=H","UseDPDF=Y")</f>
        <v>#NAME?</v>
      </c>
      <c r="BX594" s="1" t="e">
        <f ca="1">_xll.BDH($C$578,"CFO_SEQUENTIAL_GROWTH","FQ1 2017","FQ1 2017","Currency=INR","Period=FQ","BEST_FPERIOD_OVERRIDE=FQ","FILING_STATUS=OR","EQY_CONSOLIDATED=Y","Sort=A","Dates=H","DateFormat=P","Fill=—","Direction=H","UseDPDF=Y")</f>
        <v>#NAME?</v>
      </c>
      <c r="BY594" s="2" t="e">
        <f ca="1">_xll.BDH($C$578,"SHORT_AND_LONG_TERM_DEBT","FQ1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94" s="2" t="e">
        <f ca="1">_xll.BDH($C$578,"BS_ST_BORROW","FQ1 2017","FQ1 2017","Currency=INR","Period=FQ","BEST_FPERIOD_OVERRIDE=FQ","FILING_STATUS=OR","EQY_CONSOLIDATED=Y","SCALING_FORMAT=MLN","Sort=A","Dates=H","DateFormat=P","Fill=—","Direction=H","UseDPDF=Y")</f>
        <v>#NAME?</v>
      </c>
      <c r="CA594" s="2" t="e">
        <f ca="1">_xll.BDH($C$578,"BS_LT_BORROW","FQ1 2017","FQ1 2017","Currency=INR","Period=FQ","BEST_FPERIOD_OVERRIDE=FQ","FILING_STATUS=OR","EQY_CONSOLIDATED=Y","SCALING_FORMAT=MLN","Sort=A","Dates=H","DateFormat=P","Fill=—","Direction=H","UseDPDF=Y")</f>
        <v>#NAME?</v>
      </c>
      <c r="CB594" s="1" t="e">
        <f ca="1">_xll.BDH($C$578,"TOT_DEBT_TO_EBITDA","FQ1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94" s="1" t="e">
        <f ca="1">_xll.BDH($C$578,"NET_DEBT_TO_EBITDA","FQ1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94" s="1" t="e">
        <f ca="1">_xll.BDH($C$578,"TOTAL_DEBT_TO_EBIT","FQ1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94" s="1" t="e">
        <f ca="1">_xll.BDH($C$578,"NET_DEBT_TO_EBIT","FQ1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594" s="1" t="e">
        <f ca="1">_xll.BDH($C$578,"EBITDA_TO_INTEREST_EXPN","FQ1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94" s="1" t="e">
        <f ca="1">_xll.BDH($C$578,"COM_EQY_TO_TOT_ASSET","FQ1 2017","FQ1 2017","Currency=INR","Period=FQ","BEST_FPERIOD_OVERRIDE=FQ","FILING_STATUS=OR","EQY_CONSOLIDATED=Y","Sort=A","Dates=H","DateFormat=P","Fill=—","Direction=H","UseDPDF=Y")</f>
        <v>#NAME?</v>
      </c>
      <c r="CH594" s="1" t="e">
        <f ca="1">_xll.BDH($C$578,"LT_DEBT_TO_TOT_EQY","FQ1 2017","FQ1 2017","Currency=INR","Period=FQ","BEST_FPERIOD_OVERRIDE=FQ","FILING_STATUS=OR","EQY_CONSOLIDATED=Y","Sort=A","Dates=H","DateFormat=P","Fill=—","Direction=H","UseDPDF=Y")</f>
        <v>#NAME?</v>
      </c>
      <c r="CI594" s="1" t="e">
        <f ca="1">_xll.BDH($C$578,"LT_DEBT_TO_TOT_CAP","FQ1 2017","FQ1 2017","Currency=INR","Period=FQ","BEST_FPERIOD_OVERRIDE=FQ","FILING_STATUS=OR","EQY_CONSOLIDATED=Y","Sort=A","Dates=H","DateFormat=P","Fill=—","Direction=H","UseDPDF=Y")</f>
        <v>#NAME?</v>
      </c>
      <c r="CJ594" s="1" t="e">
        <f ca="1">_xll.BDH($C$578,"LT_DEBT_TO_TOT_ASSET","FQ1 2017","FQ1 2017","Currency=INR","Period=FQ","BEST_FPERIOD_OVERRIDE=FQ","FILING_STATUS=OR","EQY_CONSOLIDATED=Y","Sort=A","Dates=H","DateFormat=P","Fill=—","Direction=H","UseDPDF=Y")</f>
        <v>#NAME?</v>
      </c>
      <c r="CK594" s="1" t="e">
        <f ca="1">_xll.BDH($C$578,"TOT_DEBT_TO_TOT_EQY","FQ1 2017","FQ1 2017","Currency=INR","Period=FQ","BEST_FPERIOD_OVERRIDE=FQ","FILING_STATUS=OR","EQY_CONSOLIDATED=Y","Sort=A","Dates=H","DateFormat=P","Fill=—","Direction=H","UseDPDF=Y")</f>
        <v>#NAME?</v>
      </c>
      <c r="CL594" s="1" t="e">
        <f ca="1">_xll.BDH($C$578,"TOT_DEBT_TO_TOT_CAP","FQ1 2017","FQ1 2017","Currency=INR","Period=FQ","BEST_FPERIOD_OVERRIDE=FQ","FILING_STATUS=OR","EQY_CONSOLIDATED=Y","Sort=A","Dates=H","DateFormat=P","Fill=—","Direction=H","UseDPDF=Y")</f>
        <v>#NAME?</v>
      </c>
      <c r="CM594" s="1" t="e">
        <f ca="1">_xll.BDH($C$578,"TOT_DEBT_TO_TOT_ASSET","FQ1 2017","FQ1 2017","Currency=INR","Period=FQ","BEST_FPERIOD_OVERRIDE=FQ","FILING_STATUS=OR","EQY_CONSOLIDATED=Y","Sort=A","Dates=H","DateFormat=P","Fill=—","Direction=H","UseDPDF=Y")</f>
        <v>#NAME?</v>
      </c>
      <c r="CN594" s="1" t="e">
        <f ca="1">_xll.BDH($C$578,"NET_DEBT_TO_SHRHLDR_EQTY","FQ1 2017","FQ1 2017","Currency=INR","Period=FQ","BEST_FPERIOD_OVERRIDE=FQ","FILING_STATUS=OR","EQY_CONSOLIDATED=Y","Sort=A","Dates=H","DateFormat=P","Fill=—","Direction=H","UseDPDF=Y")</f>
        <v>#NAME?</v>
      </c>
      <c r="CO594" s="1" t="e">
        <f ca="1">_xll.BDH($C$578,"NET_DEBT_%_CAPITAL","FQ1 2017","FQ1 2017","Currency=INR","Period=FQ","BEST_FPERIOD_OVERRIDE=FQ","FILING_STATUS=OR","EQY_CONSOLIDATED=Y","Sort=A","Dates=H","DateFormat=P","Fill=—","Direction=H","UseDPDF=Y")</f>
        <v>#NAME?</v>
      </c>
      <c r="CP594" s="2" t="e">
        <f ca="1">_xll.BDH($C$578,"EBITDA","FQ1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94" s="2" t="e">
        <f ca="1">_xll.BDH($C$578,"EBITDA_AFTER_CAPEX","FQ1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94" s="2" t="e">
        <f ca="1">_xll.BDH($C$578,"IS_OPER_INC","FQ1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94" s="1" t="e">
        <f ca="1">_xll.BDH($C$578,"CASH_RATIO","FQ1 2017","FQ1 2017","Currency=INR","Period=FQ","BEST_FPERIOD_OVERRIDE=FQ","FILING_STATUS=OR","EQY_CONSOLIDATED=Y","Sort=A","Dates=H","DateFormat=P","Fill=—","Direction=H","UseDPDF=Y")</f>
        <v>#NAME?</v>
      </c>
      <c r="CT594" s="1" t="e">
        <f ca="1">_xll.BDH($C$578,"CUR_RATIO","FQ1 2017","FQ1 2017","Currency=INR","Period=FQ","BEST_FPERIOD_OVERRIDE=FQ","FILING_STATUS=OR","EQY_CONSOLIDATED=Y","Sort=A","Dates=H","DateFormat=P","Fill=—","Direction=H","UseDPDF=Y")</f>
        <v>#NAME?</v>
      </c>
      <c r="CU594" s="1" t="e">
        <f ca="1">_xll.BDH($C$578,"QUICK_RATIO","FQ1 2017","FQ1 2017","Currency=INR","Period=FQ","BEST_FPERIOD_OVERRIDE=FQ","FILING_STATUS=OR","EQY_CONSOLIDATED=Y","Sort=A","Dates=H","DateFormat=P","Fill=—","Direction=H","UseDPDF=Y")</f>
        <v>#NAME?</v>
      </c>
      <c r="CV594" s="1" t="e">
        <f ca="1">_xll.BDH($C$578,"ALTMAN_Z_SCORE","FQ1 2017","FQ1 2017","Currency=INR","Period=FQ","BEST_FPERIOD_OVERRIDE=FQ","FILING_STATUS=OR","EQY_CONSOLIDATED=Y","Sort=A","Dates=H","DateFormat=P","Fill=—","Direction=H","UseDPDF=Y")</f>
        <v>#NAME?</v>
      </c>
      <c r="CW594" s="3" t="e">
        <f ca="1">_xll.BDH($C$578,"ACCT_RCV_TURN","FQ1 2017","FQ1 2017","Currency=INR","Period=FQ","BEST_FPERIOD_OVERRIDE=FQ","FILING_STATUS=OR","EQY_CONSOLIDATED=Y","FA_ADJUSTED=GAAP","Sort=A","Dates=H","DateFormat=P","Fill=—","Direction=H","UseDPDF=Y")</f>
        <v>#NAME?</v>
      </c>
      <c r="CX594" s="1" t="e">
        <f ca="1">_xll.BDH($C$578,"ACCT_RCV_DAYS","FQ1 2017","FQ1 2017","Currency=INR","Period=FQ","BEST_FPERIOD_OVERRIDE=FQ","FILING_STATUS=OR","EQY_CONSOLIDATED=Y","FA_ADJUSTED=GAAP","Sort=A","Dates=H","DateFormat=P","Fill=—","Direction=H","UseDPDF=Y")</f>
        <v>#NAME?</v>
      </c>
      <c r="CY594" s="3" t="e">
        <f ca="1">_xll.BDH($C$578,"INVENT_TURN","FQ1 2017","FQ1 2017","Currency=INR","Period=FQ","BEST_FPERIOD_OVERRIDE=FQ","FILING_STATUS=OR","EQY_CONSOLIDATED=Y","FA_ADJUSTED=GAAP","Sort=A","Dates=H","DateFormat=P","Fill=—","Direction=H","UseDPDF=Y")</f>
        <v>#NAME?</v>
      </c>
      <c r="CZ594" s="1" t="e">
        <f ca="1">_xll.BDH($C$578,"INVENT_DAYS","FQ1 2017","FQ1 2017","Currency=INR","Period=FQ","BEST_FPERIOD_OVERRIDE=FQ","FILING_STATUS=OR","EQY_CONSOLIDATED=Y","FA_ADJUSTED=GAAP","Sort=A","Dates=H","DateFormat=P","Fill=—","Direction=H","UseDPDF=Y")</f>
        <v>#NAME?</v>
      </c>
      <c r="DA594" s="3" t="e">
        <f ca="1">_xll.BDH($C$578,"ACCOUNTS_PAYABLE_TURNOVER","FQ1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94" s="1" t="e">
        <f ca="1">_xll.BDH($C$578,"ACCOUNTS_PAYABLE_TURNOVER_DAYS","FQ1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94" s="3" t="e">
        <f ca="1">_xll.BDH($C$578,"CASH_CONVERSION_CYCLE","FQ1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94" s="3" t="e">
        <f ca="1">_xll.BDH($C$578,"INV_TO_CASH_DAYS","FQ1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594" s="4" t="e">
        <f ca="1">_xll.BDH($C$578,"BS_INVENTORIES","FQ1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594" s="2" t="e">
        <f ca="1">_xll.BDH($C$578,"INVTRY_RAW_MATERIALS","FQ1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94" s="2" t="e">
        <f ca="1">_xll.BDH($C$578,"INVTRY_IN_PROGRESS","FQ1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94" s="2" t="e">
        <f ca="1">_xll.BDH($C$578,"INVTRY_FINISHED_GOODS","FQ1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94" s="2" t="e">
        <f ca="1">_xll.BDH($C$578,"BS_OTHER_INV","FQ1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95" spans="1:113" x14ac:dyDescent="0.3">
      <c r="A595" s="6"/>
      <c r="B595" s="6"/>
      <c r="C595" s="6"/>
      <c r="D595" s="6"/>
      <c r="E595" t="s">
        <v>5</v>
      </c>
      <c r="F595" t="e">
        <f ca="1">_xll.BDH($C$578,"RETURN_COM_EQY","FQ2 2017","FQ2 2017","Currency=INR","Period=FQ","BEST_FPERIOD_OVERRIDE=FQ","FILING_STATUS=OR","EQY_CONSOLIDATED=Y","FA_ADJUSTED=GAAP","Sort=A","Dates=H","DateFormat=P","Fill=—","Direction=H","UseDPDF=Y")</f>
        <v>#NAME?</v>
      </c>
      <c r="G595" t="e">
        <f ca="1">_xll.BDH($C$578,"RETURN_ON_ASSET","FQ2 2017","FQ2 2017","Currency=INR","Period=FQ","BEST_FPERIOD_OVERRIDE=FQ","FILING_STATUS=OR","EQY_CONSOLIDATED=Y","FA_ADJUSTED=GAAP","Sort=A","Dates=H","DateFormat=P","Fill=—","Direction=H","UseDPDF=Y")</f>
        <v>#NAME?</v>
      </c>
      <c r="H595" t="e">
        <f ca="1">_xll.BDH($C$578,"RETURN_ON_CAP","FQ2 2017","FQ2 2017","Currency=INR","Period=FQ","BEST_FPERIOD_OVERRIDE=FQ","FILING_STATUS=OR","EQY_CONSOLIDATED=Y","FA_ADJUSTED=GAAP","Sort=A","Dates=H","DateFormat=P","Fill=—","Direction=H","UseDPDF=Y")</f>
        <v>#NAME?</v>
      </c>
      <c r="I595" t="e">
        <f ca="1">_xll.BDH($C$578,"RETURN_ON_INV_CAPITAL","FQ2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95" t="e">
        <f ca="1">_xll.BDH($C$578,"EBITDA_TO_REVENUE","FQ2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595" t="e">
        <f ca="1">_xll.BDH($C$578,"OPER_MARGIN","FQ2 2017","FQ2 2017","Currency=INR","Period=FQ","BEST_FPERIOD_OVERRIDE=FQ","FILING_STATUS=OR","EQY_CONSOLIDATED=Y","FA_ADJUSTED=GAAP","Sort=A","Dates=H","DateFormat=P","Fill=—","Direction=H","UseDPDF=Y")</f>
        <v>#NAME?</v>
      </c>
      <c r="L595" t="e">
        <f ca="1">_xll.BDH($C$578,"INCREMENTAL_OPERATING_MARGIN","FQ2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95" t="e">
        <f ca="1">_xll.BDH($C$578,"PRETAX_INC_TO_NET_SALES","FQ2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95" t="e">
        <f ca="1">_xll.BDH($C$578,"INC_BEF_XO_ITEMS_TO_NET_SALES","FQ2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95" t="e">
        <f ca="1">_xll.BDH($C$578,"PROF_MARGIN","FQ2 2017","FQ2 2017","Currency=INR","Period=FQ","BEST_FPERIOD_OVERRIDE=FQ","FILING_STATUS=OR","EQY_CONSOLIDATED=Y","FA_ADJUSTED=GAAP","Sort=A","Dates=H","DateFormat=P","Fill=—","Direction=H","UseDPDF=Y")</f>
        <v>#NAME?</v>
      </c>
      <c r="P595" t="e">
        <f ca="1">_xll.BDH($C$578,"NET_INCOME_TO_COMMON_MARGIN","FQ2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95" t="e">
        <f ca="1">_xll.BDH($C$578,"EFF_TAX_RATE","FQ2 2017","FQ2 2017","Currency=INR","Period=FQ","BEST_FPERIOD_OVERRIDE=FQ","FILING_STATUS=OR","EQY_CONSOLIDATED=Y","FA_ADJUSTED=GAAP","Sort=A","Dates=H","DateFormat=P","Fill=—","Direction=H","UseDPDF=Y")</f>
        <v>#NAME?</v>
      </c>
      <c r="R595" t="e">
        <f ca="1">_xll.BDH($C$578,"DVD_PAYOUT_RATIO","FQ2 2017","FQ2 2017","Currency=INR","Period=FQ","BEST_FPERIOD_OVERRIDE=FQ","FILING_STATUS=OR","EQY_CONSOLIDATED=Y","FA_ADJUSTED=GAAP","Sort=A","Dates=H","DateFormat=P","Fill=—","Direction=H","UseDPDF=Y")</f>
        <v>#NAME?</v>
      </c>
      <c r="S595" t="e">
        <f ca="1">_xll.BDH($C$578,"SUSTAIN_GROWTH_RT","FQ2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595" s="1" t="e">
        <f ca="1">_xll.BDH($C$578,"SALES_GROWTH","FQ2 2017","FQ2 2017","Currency=INR","Period=FQ","BEST_FPERIOD_OVERRIDE=FQ","FILING_STATUS=OR","EQY_CONSOLIDATED=Y","FA_ADJUSTED=GAAP","Sort=A","Dates=H","DateFormat=P","Fill=—","Direction=H","UseDPDF=Y")</f>
        <v>#NAME?</v>
      </c>
      <c r="U595" s="1" t="e">
        <f ca="1">_xll.BDH($C$578,"EBITDA_GROWTH","FQ2 2017","FQ2 2017","Currency=INR","Period=FQ","BEST_FPERIOD_OVERRIDE=FQ","FILING_STATUS=OR","EQY_CONSOLIDATED=Y","FA_ADJUSTED=GAAP","Sort=A","Dates=H","DateFormat=P","Fill=—","Direction=H","UseDPDF=Y")</f>
        <v>#NAME?</v>
      </c>
      <c r="V595" s="1" t="e">
        <f ca="1">_xll.BDH($C$578,"OPER_INC_GROWTH","FQ2 2017","FQ2 2017","Currency=INR","Period=FQ","BEST_FPERIOD_OVERRIDE=FQ","FILING_STATUS=OR","EQY_CONSOLIDATED=Y","FA_ADJUSTED=GAAP","Sort=A","Dates=H","DateFormat=P","Fill=—","Direction=H","UseDPDF=Y")</f>
        <v>#NAME?</v>
      </c>
      <c r="W595" s="1" t="e">
        <f ca="1">_xll.BDH($C$578,"EARN_FOR_COM_GROWTH","FQ2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95" s="1" t="e">
        <f ca="1">_xll.BDH($C$578,"DILUTED_EPS_AFT_XO_ITEMS_GROWTH","FQ2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95" s="1" t="e">
        <f ca="1">_xll.BDH($C$578,"DIVIDEND_PER_SHARE_1_YEAR_GROWTH","FQ2 2017","FQ2 2017","Currency=INR","Period=FQ","BEST_FPERIOD_OVERRIDE=FQ","FILING_STATUS=OR","EQY_CONSOLIDATED=Y","Sort=A","Dates=H","DateFormat=P","Fill=—","Direction=H","UseDPDF=Y")</f>
        <v>#NAME?</v>
      </c>
      <c r="Z595" s="1" t="e">
        <f ca="1">_xll.BDH($C$578,"ACCOUNTS_RECEIVABLE_GROWTH","FQ2 2017","FQ2 2017","Currency=INR","Period=FQ","BEST_FPERIOD_OVERRIDE=FQ","FILING_STATUS=OR","EQY_CONSOLIDATED=Y","Sort=A","Dates=H","DateFormat=P","Fill=—","Direction=H","UseDPDF=Y")</f>
        <v>#NAME?</v>
      </c>
      <c r="AA595" s="1" t="e">
        <f ca="1">_xll.BDH($C$578,"INVENTORY_GROWTH","FQ2 2017","FQ2 2017","Currency=INR","Period=FQ","BEST_FPERIOD_OVERRIDE=FQ","FILING_STATUS=OR","EQY_CONSOLIDATED=Y","Sort=A","Dates=H","DateFormat=P","Fill=—","Direction=H","UseDPDF=Y")</f>
        <v>#NAME?</v>
      </c>
      <c r="AB595" s="1" t="e">
        <f ca="1">_xll.BDH($C$578,"NET_FIXED_ASSETS_1_YEAR_GROWTH","FQ2 2017","FQ2 2017","Currency=INR","Period=FQ","BEST_FPERIOD_OVERRIDE=FQ","FILING_STATUS=OR","EQY_CONSOLIDATED=Y","Sort=A","Dates=H","DateFormat=P","Fill=—","Direction=H","UseDPDF=Y")</f>
        <v>#NAME?</v>
      </c>
      <c r="AC595" s="1" t="e">
        <f ca="1">_xll.BDH($C$578,"ASSET_GROWTH","FQ2 2017","FQ2 2017","Currency=INR","Period=FQ","BEST_FPERIOD_OVERRIDE=FQ","FILING_STATUS=OR","EQY_CONSOLIDATED=Y","Sort=A","Dates=H","DateFormat=P","Fill=—","Direction=H","UseDPDF=Y")</f>
        <v>#NAME?</v>
      </c>
      <c r="AD595" s="1" t="e">
        <f ca="1">_xll.BDH($C$578,"MODIFIED_WORK_CAP_GROWTH","FQ2 2017","FQ2 2017","Currency=INR","Period=FQ","BEST_FPERIOD_OVERRIDE=FQ","FILING_STATUS=OR","EQY_CONSOLIDATED=Y","Sort=A","Dates=H","DateFormat=P","Fill=—","Direction=H","UseDPDF=Y")</f>
        <v>#NAME?</v>
      </c>
      <c r="AE595" s="1" t="e">
        <f ca="1">_xll.BDH($C$578,"WORK_CAP_GROWTH","FQ2 2017","FQ2 2017","Currency=INR","Period=FQ","BEST_FPERIOD_OVERRIDE=FQ","FILING_STATUS=OR","EQY_CONSOLIDATED=Y","Sort=A","Dates=H","DateFormat=P","Fill=—","Direction=H","UseDPDF=Y")</f>
        <v>#NAME?</v>
      </c>
      <c r="AF595" s="1" t="e">
        <f ca="1">_xll.BDH($C$578,"ACCOUNTS_PAYABLE_GROWTH_1YR","FQ2 2017","FQ2 2017","Currency=INR","Period=FQ","BEST_FPERIOD_OVERRIDE=FQ","FILING_STATUS=OR","EQY_CONSOLIDATED=Y","Sort=A","Dates=H","DateFormat=P","Fill=—","Direction=H","UseDPDF=Y")</f>
        <v>#NAME?</v>
      </c>
      <c r="AG595" s="1" t="e">
        <f ca="1">_xll.BDH($C$578,"SHORT_TERM_DEBT_1_YEAR_GROWTH","FQ2 2017","FQ2 2017","Currency=INR","Period=FQ","BEST_FPERIOD_OVERRIDE=FQ","FILING_STATUS=OR","EQY_CONSOLIDATED=Y","Sort=A","Dates=H","DateFormat=P","Fill=—","Direction=H","UseDPDF=Y")</f>
        <v>#NAME?</v>
      </c>
      <c r="AH595" s="1" t="e">
        <f ca="1">_xll.BDH($C$578,"TOTAL_DEBT_1_YEAR_GROWTH","FQ2 2017","FQ2 2017","Currency=INR","Period=FQ","BEST_FPERIOD_OVERRIDE=FQ","FILING_STATUS=OR","EQY_CONSOLIDATED=Y","Sort=A","Dates=H","DateFormat=P","Fill=—","Direction=H","UseDPDF=Y")</f>
        <v>#NAME?</v>
      </c>
      <c r="AI595" s="1" t="e">
        <f ca="1">_xll.BDH($C$578,"TOTAL_EQUITY_1_YEAR_GROWTH","FQ2 2017","FQ2 2017","Currency=INR","Period=FQ","BEST_FPERIOD_OVERRIDE=FQ","FILING_STATUS=OR","EQY_CONSOLIDATED=Y","Sort=A","Dates=H","DateFormat=P","Fill=—","Direction=H","UseDPDF=Y")</f>
        <v>#NAME?</v>
      </c>
      <c r="AJ595" s="1" t="e">
        <f ca="1">_xll.BDH($C$578,"GROWTH_IN_CAP","FQ2 2017","FQ2 2017","Currency=INR","Period=FQ","BEST_FPERIOD_OVERRIDE=FQ","FILING_STATUS=OR","EQY_CONSOLIDATED=Y","Sort=A","Dates=H","DateFormat=P","Fill=—","Direction=H","UseDPDF=Y")</f>
        <v>#NAME?</v>
      </c>
      <c r="AK595" s="1" t="e">
        <f ca="1">_xll.BDH($C$578,"BVPS_GROWTH","FQ2 2017","FQ2 2017","Currency=INR","Period=FQ","BEST_FPERIOD_OVERRIDE=FQ","FILING_STATUS=OR","EQY_CONSOLIDATED=Y","Sort=A","Dates=H","DateFormat=P","Fill=—","Direction=H","UseDPDF=Y")</f>
        <v>#NAME?</v>
      </c>
      <c r="AL595" s="1" t="e">
        <f ca="1">_xll.BDH($C$578,"CASH_FLOW_GROWTH","FQ2 2017","FQ2 2017","Currency=INR","Period=FQ","BEST_FPERIOD_OVERRIDE=FQ","FILING_STATUS=OR","EQY_CONSOLIDATED=Y","Sort=A","Dates=H","DateFormat=P","Fill=—","Direction=H","UseDPDF=Y")</f>
        <v>#NAME?</v>
      </c>
      <c r="AM595" s="1" t="e">
        <f ca="1">_xll.BDH($C$578,"GEO_GROW_NET_SALES","FQ2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95" s="1" t="e">
        <f ca="1">_xll.BDH($C$578,"GEO_GROW_EBITDA","FQ2 2017","FQ2 2017","Currency=INR","Period=FQ","BEST_FPERIOD_OVERRIDE=FQ","FILING_STATUS=OR","EQY_CONSOLIDATED=Y","FA_ADJUSTED=GAAP","Sort=A","Dates=H","DateFormat=P","Fill=—","Direction=H","UseDPDF=Y")</f>
        <v>#NAME?</v>
      </c>
      <c r="AO595" s="1" t="e">
        <f ca="1">_xll.BDH($C$578,"GEO_GROW_OPER_INC","FQ2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95" s="1" t="e">
        <f ca="1">_xll.BDH($C$578,"NET_INCOME_TO_COMMON_5_YR_GROWTH","FQ2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95" s="1" t="e">
        <f ca="1">_xll.BDH($C$578,"5Y_GEO_GROWTH_DILUTED_EPS","FQ2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95" s="1" t="e">
        <f ca="1">_xll.BDH($C$578,"GEO_GROW_DVD_PER_SH","FQ2 2017","FQ2 2017","Currency=INR","Period=FQ","BEST_FPERIOD_OVERRIDE=FQ","FILING_STATUS=OR","EQY_CONSOLIDATED=Y","Sort=A","Dates=H","DateFormat=P","Fill=—","Direction=H","UseDPDF=Y")</f>
        <v>#NAME?</v>
      </c>
      <c r="AS595" s="1" t="e">
        <f ca="1">_xll.BDH($C$578,"ACCOUNTS_RECEIVABLE_5_YR_GROWTH","FQ2 2017","FQ2 2017","Currency=INR","Period=FQ","BEST_FPERIOD_OVERRIDE=FQ","FILING_STATUS=OR","EQY_CONSOLIDATED=Y","Sort=A","Dates=H","DateFormat=P","Fill=—","Direction=H","UseDPDF=Y")</f>
        <v>#NAME?</v>
      </c>
      <c r="AT595" s="1" t="e">
        <f ca="1">_xll.BDH($C$578,"INVENTORY_5_YEAR_GROWTH","FQ2 2017","FQ2 2017","Currency=INR","Period=FQ","BEST_FPERIOD_OVERRIDE=FQ","FILING_STATUS=OR","EQY_CONSOLIDATED=Y","Sort=A","Dates=H","DateFormat=P","Fill=—","Direction=H","UseDPDF=Y")</f>
        <v>#NAME?</v>
      </c>
      <c r="AU595" s="1" t="e">
        <f ca="1">_xll.BDH($C$578,"NET_FIXED_ASSETS_5_YEAR_GROWTH","FQ2 2017","FQ2 2017","Currency=INR","Period=FQ","BEST_FPERIOD_OVERRIDE=FQ","FILING_STATUS=OR","EQY_CONSOLIDATED=Y","Sort=A","Dates=H","DateFormat=P","Fill=—","Direction=H","UseDPDF=Y")</f>
        <v>#NAME?</v>
      </c>
      <c r="AV595" s="1" t="e">
        <f ca="1">_xll.BDH($C$578,"GEO_GROW_TOT_ASSET","FQ2 2017","FQ2 2017","Currency=INR","Period=FQ","BEST_FPERIOD_OVERRIDE=FQ","FILING_STATUS=OR","EQY_CONSOLIDATED=Y","Sort=A","Dates=H","DateFormat=P","Fill=—","Direction=H","UseDPDF=Y")</f>
        <v>#NAME?</v>
      </c>
      <c r="AW595" s="1" t="e">
        <f ca="1">_xll.BDH($C$578,"MODIFIED_WORKING_CPTL_5YR_GRWTH","FQ2 2017","FQ2 2017","Currency=INR","Period=FQ","BEST_FPERIOD_OVERRIDE=FQ","FILING_STATUS=OR","EQY_CONSOLIDATED=Y","Sort=A","Dates=H","DateFormat=P","Fill=—","Direction=H","UseDPDF=Y")</f>
        <v>#NAME?</v>
      </c>
      <c r="AX595" s="1" t="e">
        <f ca="1">_xll.BDH($C$578,"WORKING_CAPITAL_5_YEAR_GROWTH","FQ2 2017","FQ2 2017","Currency=INR","Period=FQ","BEST_FPERIOD_OVERRIDE=FQ","FILING_STATUS=OR","EQY_CONSOLIDATED=Y","Sort=A","Dates=H","DateFormat=P","Fill=—","Direction=H","UseDPDF=Y")</f>
        <v>#NAME?</v>
      </c>
      <c r="AY595" s="1" t="e">
        <f ca="1">_xll.BDH($C$578,"ACCOUNTS_PAYABLE_5_YEAR_GROWTH","FQ2 2017","FQ2 2017","Currency=INR","Period=FQ","BEST_FPERIOD_OVERRIDE=FQ","FILING_STATUS=OR","EQY_CONSOLIDATED=Y","Sort=A","Dates=H","DateFormat=P","Fill=—","Direction=H","UseDPDF=Y")</f>
        <v>#NAME?</v>
      </c>
      <c r="AZ595" s="1" t="e">
        <f ca="1">_xll.BDH($C$578,"SHORT_TERM_DEBT_5_YEAR_GROWTH","FQ2 2017","FQ2 2017","Currency=INR","Period=FQ","BEST_FPERIOD_OVERRIDE=FQ","FILING_STATUS=OR","EQY_CONSOLIDATED=Y","Sort=A","Dates=H","DateFormat=P","Fill=—","Direction=H","UseDPDF=Y")</f>
        <v>#NAME?</v>
      </c>
      <c r="BA595" s="1" t="e">
        <f ca="1">_xll.BDH($C$578,"TOTAL_DEBT_5_YEAR_GROWTH","FQ2 2017","FQ2 2017","Currency=INR","Period=FQ","BEST_FPERIOD_OVERRIDE=FQ","FILING_STATUS=OR","EQY_CONSOLIDATED=Y","Sort=A","Dates=H","DateFormat=P","Fill=—","Direction=H","UseDPDF=Y")</f>
        <v>#NAME?</v>
      </c>
      <c r="BB595" s="1" t="e">
        <f ca="1">_xll.BDH($C$578,"GEO_GROW_TOT_SHRHLDR_EQY","FQ2 2017","FQ2 2017","Currency=INR","Period=FQ","BEST_FPERIOD_OVERRIDE=FQ","FILING_STATUS=OR","EQY_CONSOLIDATED=Y","Sort=A","Dates=H","DateFormat=P","Fill=—","Direction=H","UseDPDF=Y")</f>
        <v>#NAME?</v>
      </c>
      <c r="BC595" s="1" t="e">
        <f ca="1">_xll.BDH($C$578,"TOTAL_CAPITAL_5_YEAR_GROWTH","FQ2 2017","FQ2 2017","Currency=INR","Period=FQ","BEST_FPERIOD_OVERRIDE=FQ","FILING_STATUS=OR","EQY_CONSOLIDATED=Y","Sort=A","Dates=H","DateFormat=P","Fill=—","Direction=H","UseDPDF=Y")</f>
        <v>#NAME?</v>
      </c>
      <c r="BD595" s="1" t="e">
        <f ca="1">_xll.BDH($C$578,"GEO_GROW_BOOK_VAL","FQ2 2017","FQ2 2017","Currency=INR","Period=FQ","BEST_FPERIOD_OVERRIDE=FQ","FILING_STATUS=OR","EQY_CONSOLIDATED=Y","Sort=A","Dates=H","DateFormat=P","Fill=—","Direction=H","UseDPDF=Y")</f>
        <v>#NAME?</v>
      </c>
      <c r="BE595" s="1" t="e">
        <f ca="1">_xll.BDH($C$578,"GEO_GROW_CASH_OPER_ACT","FQ2 2017","FQ2 2017","Currency=INR","Period=FQ","BEST_FPERIOD_OVERRIDE=FQ","FILING_STATUS=OR","EQY_CONSOLIDATED=Y","Sort=A","Dates=H","DateFormat=P","Fill=—","Direction=H","UseDPDF=Y")</f>
        <v>#NAME?</v>
      </c>
      <c r="BF595" s="1" t="e">
        <f ca="1">_xll.BDH($C$578,"REVENUE_SEQUENTIAL_GROWTH","FQ2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95" s="1" t="e">
        <f ca="1">_xll.BDH($C$578,"EBITDA_SEQUENTIAL_GROWTH","FQ2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95" s="1" t="e">
        <f ca="1">_xll.BDH($C$578,"OPERATING_INCOME_SEQ_GROWTH","FQ2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95" s="1" t="e">
        <f ca="1">_xll.BDH($C$578,"NET_INCOME_TO_COMMON_SEQ_GROWTH","FQ2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95" s="1" t="e">
        <f ca="1">_xll.BDH($C$578,"EPS_DILUTED_SEQUENTIAL_GROWTH","FQ2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95" s="1" t="e">
        <f ca="1">_xll.BDH($C$578,"DPS_SEQUENTIAL_GROWTH","FQ2 2017","FQ2 2017","Currency=INR","Period=FQ","BEST_FPERIOD_OVERRIDE=FQ","FILING_STATUS=OR","EQY_CONSOLIDATED=Y","Sort=A","Dates=H","DateFormat=P","Fill=—","Direction=H","UseDPDF=Y")</f>
        <v>#NAME?</v>
      </c>
      <c r="BL595" s="1" t="e">
        <f ca="1">_xll.BDH($C$578,"ACCOUNTS_RECEIVABLE_SEQ_GROWTH","FQ2 2017","FQ2 2017","Currency=INR","Period=FQ","BEST_FPERIOD_OVERRIDE=FQ","FILING_STATUS=OR","EQY_CONSOLIDATED=Y","Sort=A","Dates=H","DateFormat=P","Fill=—","Direction=H","UseDPDF=Y")</f>
        <v>#NAME?</v>
      </c>
      <c r="BM595" s="1" t="e">
        <f ca="1">_xll.BDH($C$578,"INVENTORY_SEQUENTIAL_GROWTH","FQ2 2017","FQ2 2017","Currency=INR","Period=FQ","BEST_FPERIOD_OVERRIDE=FQ","FILING_STATUS=OR","EQY_CONSOLIDATED=Y","Sort=A","Dates=H","DateFormat=P","Fill=—","Direction=H","UseDPDF=Y")</f>
        <v>#NAME?</v>
      </c>
      <c r="BN595" s="1" t="e">
        <f ca="1">_xll.BDH($C$578,"FIXED_ASSETS_SEQUENTIAL_GROWTH","FQ2 2017","FQ2 2017","Currency=INR","Period=FQ","BEST_FPERIOD_OVERRIDE=FQ","FILING_STATUS=OR","EQY_CONSOLIDATED=Y","Sort=A","Dates=H","DateFormat=P","Fill=—","Direction=H","UseDPDF=Y")</f>
        <v>#NAME?</v>
      </c>
      <c r="BO595" s="1" t="e">
        <f ca="1">_xll.BDH($C$578,"TOTAL_ASSETS_SEQUENTIAL_GROWTH","FQ2 2017","FQ2 2017","Currency=INR","Period=FQ","BEST_FPERIOD_OVERRIDE=FQ","FILING_STATUS=OR","EQY_CONSOLIDATED=Y","Sort=A","Dates=H","DateFormat=P","Fill=—","Direction=H","UseDPDF=Y")</f>
        <v>#NAME?</v>
      </c>
      <c r="BP595" s="1" t="e">
        <f ca="1">_xll.BDH($C$578,"MODIFIED_WORKING_CPTL_SEQ_GRWTH","FQ2 2017","FQ2 2017","Currency=INR","Period=FQ","BEST_FPERIOD_OVERRIDE=FQ","FILING_STATUS=OR","EQY_CONSOLIDATED=Y","Sort=A","Dates=H","DateFormat=P","Fill=—","Direction=H","UseDPDF=Y")</f>
        <v>#NAME?</v>
      </c>
      <c r="BQ595" s="1" t="e">
        <f ca="1">_xll.BDH($C$578,"WORKING_CAPITAL_SEQ_GROWTH","FQ2 2017","FQ2 2017","Currency=INR","Period=FQ","BEST_FPERIOD_OVERRIDE=FQ","FILING_STATUS=OR","EQY_CONSOLIDATED=Y","Sort=A","Dates=H","DateFormat=P","Fill=—","Direction=H","UseDPDF=Y")</f>
        <v>#NAME?</v>
      </c>
      <c r="BR595" s="1" t="e">
        <f ca="1">_xll.BDH($C$578,"ACCOUNTS_PAYABLE_SEQ_GROWTH","FQ2 2017","FQ2 2017","Currency=INR","Period=FQ","BEST_FPERIOD_OVERRIDE=FQ","FILING_STATUS=OR","EQY_CONSOLIDATED=Y","Sort=A","Dates=H","DateFormat=P","Fill=—","Direction=H","UseDPDF=Y")</f>
        <v>#NAME?</v>
      </c>
      <c r="BS595" s="1" t="e">
        <f ca="1">_xll.BDH($C$578,"ST_DEBT_SEQUENTIAL_GROWTH","FQ2 2017","FQ2 2017","Currency=INR","Period=FQ","BEST_FPERIOD_OVERRIDE=FQ","FILING_STATUS=OR","EQY_CONSOLIDATED=Y","Sort=A","Dates=H","DateFormat=P","Fill=—","Direction=H","UseDPDF=Y")</f>
        <v>#NAME?</v>
      </c>
      <c r="BT595" s="1" t="e">
        <f ca="1">_xll.BDH($C$578,"TOTAL_DEBT_SEQUENTIAL_GROWTH","FQ2 2017","FQ2 2017","Currency=INR","Period=FQ","BEST_FPERIOD_OVERRIDE=FQ","FILING_STATUS=OR","EQY_CONSOLIDATED=Y","Sort=A","Dates=H","DateFormat=P","Fill=—","Direction=H","UseDPDF=Y")</f>
        <v>#NAME?</v>
      </c>
      <c r="BU595" s="1" t="e">
        <f ca="1">_xll.BDH($C$578,"TOTAL_EQUITY_SEQUENTIAL_GROWTH","FQ2 2017","FQ2 2017","Currency=INR","Period=FQ","BEST_FPERIOD_OVERRIDE=FQ","FILING_STATUS=OR","EQY_CONSOLIDATED=Y","Sort=A","Dates=H","DateFormat=P","Fill=—","Direction=H","UseDPDF=Y")</f>
        <v>#NAME?</v>
      </c>
      <c r="BV595" s="1" t="e">
        <f ca="1">_xll.BDH($C$578,"TOTAL_CAPITAL_SEQUENTIAL_GROWTH","FQ2 2017","FQ2 2017","Currency=INR","Period=FQ","BEST_FPERIOD_OVERRIDE=FQ","FILING_STATUS=OR","EQY_CONSOLIDATED=Y","Sort=A","Dates=H","DateFormat=P","Fill=—","Direction=H","UseDPDF=Y")</f>
        <v>#NAME?</v>
      </c>
      <c r="BW595" s="1" t="e">
        <f ca="1">_xll.BDH($C$578,"BPS_SEQUENTIAL_GROWTH","FQ2 2017","FQ2 2017","Currency=INR","Period=FQ","BEST_FPERIOD_OVERRIDE=FQ","FILING_STATUS=OR","EQY_CONSOLIDATED=Y","Sort=A","Dates=H","DateFormat=P","Fill=—","Direction=H","UseDPDF=Y")</f>
        <v>#NAME?</v>
      </c>
      <c r="BX595" s="1" t="e">
        <f ca="1">_xll.BDH($C$578,"CFO_SEQUENTIAL_GROWTH","FQ2 2017","FQ2 2017","Currency=INR","Period=FQ","BEST_FPERIOD_OVERRIDE=FQ","FILING_STATUS=OR","EQY_CONSOLIDATED=Y","Sort=A","Dates=H","DateFormat=P","Fill=—","Direction=H","UseDPDF=Y")</f>
        <v>#NAME?</v>
      </c>
      <c r="BY595" s="2" t="e">
        <f ca="1">_xll.BDH($C$578,"SHORT_AND_LONG_TERM_DEBT","FQ2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95" s="2" t="e">
        <f ca="1">_xll.BDH($C$578,"BS_ST_BORROW","FQ2 2017","FQ2 2017","Currency=INR","Period=FQ","BEST_FPERIOD_OVERRIDE=FQ","FILING_STATUS=OR","EQY_CONSOLIDATED=Y","SCALING_FORMAT=MLN","Sort=A","Dates=H","DateFormat=P","Fill=—","Direction=H","UseDPDF=Y")</f>
        <v>#NAME?</v>
      </c>
      <c r="CA595" s="2" t="e">
        <f ca="1">_xll.BDH($C$578,"BS_LT_BORROW","FQ2 2017","FQ2 2017","Currency=INR","Period=FQ","BEST_FPERIOD_OVERRIDE=FQ","FILING_STATUS=OR","EQY_CONSOLIDATED=Y","SCALING_FORMAT=MLN","Sort=A","Dates=H","DateFormat=P","Fill=—","Direction=H","UseDPDF=Y")</f>
        <v>#NAME?</v>
      </c>
      <c r="CB595" s="1" t="e">
        <f ca="1">_xll.BDH($C$578,"TOT_DEBT_TO_EBITDA","FQ2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95" s="1" t="e">
        <f ca="1">_xll.BDH($C$578,"NET_DEBT_TO_EBITDA","FQ2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95" s="1" t="e">
        <f ca="1">_xll.BDH($C$578,"TOTAL_DEBT_TO_EBIT","FQ2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95" s="1" t="e">
        <f ca="1">_xll.BDH($C$578,"NET_DEBT_TO_EBIT","FQ2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595" s="1" t="e">
        <f ca="1">_xll.BDH($C$578,"EBITDA_TO_INTEREST_EXPN","FQ2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95" s="1" t="e">
        <f ca="1">_xll.BDH($C$578,"COM_EQY_TO_TOT_ASSET","FQ2 2017","FQ2 2017","Currency=INR","Period=FQ","BEST_FPERIOD_OVERRIDE=FQ","FILING_STATUS=OR","EQY_CONSOLIDATED=Y","Sort=A","Dates=H","DateFormat=P","Fill=—","Direction=H","UseDPDF=Y")</f>
        <v>#NAME?</v>
      </c>
      <c r="CH595" s="1" t="e">
        <f ca="1">_xll.BDH($C$578,"LT_DEBT_TO_TOT_EQY","FQ2 2017","FQ2 2017","Currency=INR","Period=FQ","BEST_FPERIOD_OVERRIDE=FQ","FILING_STATUS=OR","EQY_CONSOLIDATED=Y","Sort=A","Dates=H","DateFormat=P","Fill=—","Direction=H","UseDPDF=Y")</f>
        <v>#NAME?</v>
      </c>
      <c r="CI595" s="1" t="e">
        <f ca="1">_xll.BDH($C$578,"LT_DEBT_TO_TOT_CAP","FQ2 2017","FQ2 2017","Currency=INR","Period=FQ","BEST_FPERIOD_OVERRIDE=FQ","FILING_STATUS=OR","EQY_CONSOLIDATED=Y","Sort=A","Dates=H","DateFormat=P","Fill=—","Direction=H","UseDPDF=Y")</f>
        <v>#NAME?</v>
      </c>
      <c r="CJ595" s="1" t="e">
        <f ca="1">_xll.BDH($C$578,"LT_DEBT_TO_TOT_ASSET","FQ2 2017","FQ2 2017","Currency=INR","Period=FQ","BEST_FPERIOD_OVERRIDE=FQ","FILING_STATUS=OR","EQY_CONSOLIDATED=Y","Sort=A","Dates=H","DateFormat=P","Fill=—","Direction=H","UseDPDF=Y")</f>
        <v>#NAME?</v>
      </c>
      <c r="CK595" s="1" t="e">
        <f ca="1">_xll.BDH($C$578,"TOT_DEBT_TO_TOT_EQY","FQ2 2017","FQ2 2017","Currency=INR","Period=FQ","BEST_FPERIOD_OVERRIDE=FQ","FILING_STATUS=OR","EQY_CONSOLIDATED=Y","Sort=A","Dates=H","DateFormat=P","Fill=—","Direction=H","UseDPDF=Y")</f>
        <v>#NAME?</v>
      </c>
      <c r="CL595" s="1" t="e">
        <f ca="1">_xll.BDH($C$578,"TOT_DEBT_TO_TOT_CAP","FQ2 2017","FQ2 2017","Currency=INR","Period=FQ","BEST_FPERIOD_OVERRIDE=FQ","FILING_STATUS=OR","EQY_CONSOLIDATED=Y","Sort=A","Dates=H","DateFormat=P","Fill=—","Direction=H","UseDPDF=Y")</f>
        <v>#NAME?</v>
      </c>
      <c r="CM595" s="1" t="e">
        <f ca="1">_xll.BDH($C$578,"TOT_DEBT_TO_TOT_ASSET","FQ2 2017","FQ2 2017","Currency=INR","Period=FQ","BEST_FPERIOD_OVERRIDE=FQ","FILING_STATUS=OR","EQY_CONSOLIDATED=Y","Sort=A","Dates=H","DateFormat=P","Fill=—","Direction=H","UseDPDF=Y")</f>
        <v>#NAME?</v>
      </c>
      <c r="CN595" s="1" t="e">
        <f ca="1">_xll.BDH($C$578,"NET_DEBT_TO_SHRHLDR_EQTY","FQ2 2017","FQ2 2017","Currency=INR","Period=FQ","BEST_FPERIOD_OVERRIDE=FQ","FILING_STATUS=OR","EQY_CONSOLIDATED=Y","Sort=A","Dates=H","DateFormat=P","Fill=—","Direction=H","UseDPDF=Y")</f>
        <v>#NAME?</v>
      </c>
      <c r="CO595" s="1" t="e">
        <f ca="1">_xll.BDH($C$578,"NET_DEBT_%_CAPITAL","FQ2 2017","FQ2 2017","Currency=INR","Period=FQ","BEST_FPERIOD_OVERRIDE=FQ","FILING_STATUS=OR","EQY_CONSOLIDATED=Y","Sort=A","Dates=H","DateFormat=P","Fill=—","Direction=H","UseDPDF=Y")</f>
        <v>#NAME?</v>
      </c>
      <c r="CP595" s="2" t="e">
        <f ca="1">_xll.BDH($C$578,"EBITDA","FQ2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95" s="2" t="e">
        <f ca="1">_xll.BDH($C$578,"EBITDA_AFTER_CAPEX","FQ2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95" s="2" t="e">
        <f ca="1">_xll.BDH($C$578,"IS_OPER_INC","FQ2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95" s="1" t="e">
        <f ca="1">_xll.BDH($C$578,"CASH_RATIO","FQ2 2017","FQ2 2017","Currency=INR","Period=FQ","BEST_FPERIOD_OVERRIDE=FQ","FILING_STATUS=OR","EQY_CONSOLIDATED=Y","Sort=A","Dates=H","DateFormat=P","Fill=—","Direction=H","UseDPDF=Y")</f>
        <v>#NAME?</v>
      </c>
      <c r="CT595" s="1" t="e">
        <f ca="1">_xll.BDH($C$578,"CUR_RATIO","FQ2 2017","FQ2 2017","Currency=INR","Period=FQ","BEST_FPERIOD_OVERRIDE=FQ","FILING_STATUS=OR","EQY_CONSOLIDATED=Y","Sort=A","Dates=H","DateFormat=P","Fill=—","Direction=H","UseDPDF=Y")</f>
        <v>#NAME?</v>
      </c>
      <c r="CU595" s="1" t="e">
        <f ca="1">_xll.BDH($C$578,"QUICK_RATIO","FQ2 2017","FQ2 2017","Currency=INR","Period=FQ","BEST_FPERIOD_OVERRIDE=FQ","FILING_STATUS=OR","EQY_CONSOLIDATED=Y","Sort=A","Dates=H","DateFormat=P","Fill=—","Direction=H","UseDPDF=Y")</f>
        <v>#NAME?</v>
      </c>
      <c r="CV595" s="1" t="e">
        <f ca="1">_xll.BDH($C$578,"ALTMAN_Z_SCORE","FQ2 2017","FQ2 2017","Currency=INR","Period=FQ","BEST_FPERIOD_OVERRIDE=FQ","FILING_STATUS=OR","EQY_CONSOLIDATED=Y","Sort=A","Dates=H","DateFormat=P","Fill=—","Direction=H","UseDPDF=Y")</f>
        <v>#NAME?</v>
      </c>
      <c r="CW595" s="3" t="e">
        <f ca="1">_xll.BDH($C$578,"ACCT_RCV_TURN","FQ2 2017","FQ2 2017","Currency=INR","Period=FQ","BEST_FPERIOD_OVERRIDE=FQ","FILING_STATUS=OR","EQY_CONSOLIDATED=Y","FA_ADJUSTED=GAAP","Sort=A","Dates=H","DateFormat=P","Fill=—","Direction=H","UseDPDF=Y")</f>
        <v>#NAME?</v>
      </c>
      <c r="CX595" s="1" t="e">
        <f ca="1">_xll.BDH($C$578,"ACCT_RCV_DAYS","FQ2 2017","FQ2 2017","Currency=INR","Period=FQ","BEST_FPERIOD_OVERRIDE=FQ","FILING_STATUS=OR","EQY_CONSOLIDATED=Y","FA_ADJUSTED=GAAP","Sort=A","Dates=H","DateFormat=P","Fill=—","Direction=H","UseDPDF=Y")</f>
        <v>#NAME?</v>
      </c>
      <c r="CY595" s="3" t="e">
        <f ca="1">_xll.BDH($C$578,"INVENT_TURN","FQ2 2017","FQ2 2017","Currency=INR","Period=FQ","BEST_FPERIOD_OVERRIDE=FQ","FILING_STATUS=OR","EQY_CONSOLIDATED=Y","FA_ADJUSTED=GAAP","Sort=A","Dates=H","DateFormat=P","Fill=—","Direction=H","UseDPDF=Y")</f>
        <v>#NAME?</v>
      </c>
      <c r="CZ595" s="1" t="e">
        <f ca="1">_xll.BDH($C$578,"INVENT_DAYS","FQ2 2017","FQ2 2017","Currency=INR","Period=FQ","BEST_FPERIOD_OVERRIDE=FQ","FILING_STATUS=OR","EQY_CONSOLIDATED=Y","FA_ADJUSTED=GAAP","Sort=A","Dates=H","DateFormat=P","Fill=—","Direction=H","UseDPDF=Y")</f>
        <v>#NAME?</v>
      </c>
      <c r="DA595" s="3" t="e">
        <f ca="1">_xll.BDH($C$578,"ACCOUNTS_PAYABLE_TURNOVER","FQ2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95" s="1" t="e">
        <f ca="1">_xll.BDH($C$578,"ACCOUNTS_PAYABLE_TURNOVER_DAYS","FQ2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95" s="3" t="e">
        <f ca="1">_xll.BDH($C$578,"CASH_CONVERSION_CYCLE","FQ2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95" s="3" t="e">
        <f ca="1">_xll.BDH($C$578,"INV_TO_CASH_DAYS","FQ2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595" s="4" t="e">
        <f ca="1">_xll.BDH($C$578,"BS_INVENTORIES","FQ2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595" s="2" t="e">
        <f ca="1">_xll.BDH($C$578,"INVTRY_RAW_MATERIALS","FQ2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95" s="2" t="e">
        <f ca="1">_xll.BDH($C$578,"INVTRY_IN_PROGRESS","FQ2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95" s="2" t="e">
        <f ca="1">_xll.BDH($C$578,"INVTRY_FINISHED_GOODS","FQ2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95" s="2" t="e">
        <f ca="1">_xll.BDH($C$578,"BS_OTHER_INV","FQ2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96" spans="1:113" x14ac:dyDescent="0.3">
      <c r="A596" s="6"/>
      <c r="B596" s="6"/>
      <c r="C596" s="6"/>
      <c r="D596" s="6"/>
      <c r="E596" t="s">
        <v>6</v>
      </c>
      <c r="F596" t="e">
        <f ca="1">_xll.BDH($C$578,"RETURN_COM_EQY","FQ3 2017","FQ3 2017","Currency=INR","Period=FQ","BEST_FPERIOD_OVERRIDE=FQ","FILING_STATUS=OR","EQY_CONSOLIDATED=Y","FA_ADJUSTED=GAAP","Sort=A","Dates=H","DateFormat=P","Fill=—","Direction=H","UseDPDF=Y")</f>
        <v>#NAME?</v>
      </c>
      <c r="G596" t="e">
        <f ca="1">_xll.BDH($C$578,"RETURN_ON_ASSET","FQ3 2017","FQ3 2017","Currency=INR","Period=FQ","BEST_FPERIOD_OVERRIDE=FQ","FILING_STATUS=OR","EQY_CONSOLIDATED=Y","FA_ADJUSTED=GAAP","Sort=A","Dates=H","DateFormat=P","Fill=—","Direction=H","UseDPDF=Y")</f>
        <v>#NAME?</v>
      </c>
      <c r="H596" t="e">
        <f ca="1">_xll.BDH($C$578,"RETURN_ON_CAP","FQ3 2017","FQ3 2017","Currency=INR","Period=FQ","BEST_FPERIOD_OVERRIDE=FQ","FILING_STATUS=OR","EQY_CONSOLIDATED=Y","FA_ADJUSTED=GAAP","Sort=A","Dates=H","DateFormat=P","Fill=—","Direction=H","UseDPDF=Y")</f>
        <v>#NAME?</v>
      </c>
      <c r="I596" t="e">
        <f ca="1">_xll.BDH($C$578,"RETURN_ON_INV_CAPITAL","FQ3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96" t="e">
        <f ca="1">_xll.BDH($C$578,"EBITDA_TO_REVENUE","FQ3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596" t="e">
        <f ca="1">_xll.BDH($C$578,"OPER_MARGIN","FQ3 2017","FQ3 2017","Currency=INR","Period=FQ","BEST_FPERIOD_OVERRIDE=FQ","FILING_STATUS=OR","EQY_CONSOLIDATED=Y","FA_ADJUSTED=GAAP","Sort=A","Dates=H","DateFormat=P","Fill=—","Direction=H","UseDPDF=Y")</f>
        <v>#NAME?</v>
      </c>
      <c r="L596" t="e">
        <f ca="1">_xll.BDH($C$578,"INCREMENTAL_OPERATING_MARGIN","FQ3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96" t="e">
        <f ca="1">_xll.BDH($C$578,"PRETAX_INC_TO_NET_SALES","FQ3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96" t="e">
        <f ca="1">_xll.BDH($C$578,"INC_BEF_XO_ITEMS_TO_NET_SALES","FQ3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96" t="e">
        <f ca="1">_xll.BDH($C$578,"PROF_MARGIN","FQ3 2017","FQ3 2017","Currency=INR","Period=FQ","BEST_FPERIOD_OVERRIDE=FQ","FILING_STATUS=OR","EQY_CONSOLIDATED=Y","FA_ADJUSTED=GAAP","Sort=A","Dates=H","DateFormat=P","Fill=—","Direction=H","UseDPDF=Y")</f>
        <v>#NAME?</v>
      </c>
      <c r="P596" t="e">
        <f ca="1">_xll.BDH($C$578,"NET_INCOME_TO_COMMON_MARGIN","FQ3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96" t="e">
        <f ca="1">_xll.BDH($C$578,"EFF_TAX_RATE","FQ3 2017","FQ3 2017","Currency=INR","Period=FQ","BEST_FPERIOD_OVERRIDE=FQ","FILING_STATUS=OR","EQY_CONSOLIDATED=Y","FA_ADJUSTED=GAAP","Sort=A","Dates=H","DateFormat=P","Fill=—","Direction=H","UseDPDF=Y")</f>
        <v>#NAME?</v>
      </c>
      <c r="R596" t="e">
        <f ca="1">_xll.BDH($C$578,"DVD_PAYOUT_RATIO","FQ3 2017","FQ3 2017","Currency=INR","Period=FQ","BEST_FPERIOD_OVERRIDE=FQ","FILING_STATUS=OR","EQY_CONSOLIDATED=Y","FA_ADJUSTED=GAAP","Sort=A","Dates=H","DateFormat=P","Fill=—","Direction=H","UseDPDF=Y")</f>
        <v>#NAME?</v>
      </c>
      <c r="S596" t="e">
        <f ca="1">_xll.BDH($C$578,"SUSTAIN_GROWTH_RT","FQ3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596" s="1" t="e">
        <f ca="1">_xll.BDH($C$578,"SALES_GROWTH","FQ3 2017","FQ3 2017","Currency=INR","Period=FQ","BEST_FPERIOD_OVERRIDE=FQ","FILING_STATUS=OR","EQY_CONSOLIDATED=Y","FA_ADJUSTED=GAAP","Sort=A","Dates=H","DateFormat=P","Fill=—","Direction=H","UseDPDF=Y")</f>
        <v>#NAME?</v>
      </c>
      <c r="U596" s="1" t="e">
        <f ca="1">_xll.BDH($C$578,"EBITDA_GROWTH","FQ3 2017","FQ3 2017","Currency=INR","Period=FQ","BEST_FPERIOD_OVERRIDE=FQ","FILING_STATUS=OR","EQY_CONSOLIDATED=Y","FA_ADJUSTED=GAAP","Sort=A","Dates=H","DateFormat=P","Fill=—","Direction=H","UseDPDF=Y")</f>
        <v>#NAME?</v>
      </c>
      <c r="V596" s="1" t="e">
        <f ca="1">_xll.BDH($C$578,"OPER_INC_GROWTH","FQ3 2017","FQ3 2017","Currency=INR","Period=FQ","BEST_FPERIOD_OVERRIDE=FQ","FILING_STATUS=OR","EQY_CONSOLIDATED=Y","FA_ADJUSTED=GAAP","Sort=A","Dates=H","DateFormat=P","Fill=—","Direction=H","UseDPDF=Y")</f>
        <v>#NAME?</v>
      </c>
      <c r="W596" s="1" t="e">
        <f ca="1">_xll.BDH($C$578,"EARN_FOR_COM_GROWTH","FQ3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96" s="1" t="e">
        <f ca="1">_xll.BDH($C$578,"DILUTED_EPS_AFT_XO_ITEMS_GROWTH","FQ3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96" s="1" t="e">
        <f ca="1">_xll.BDH($C$578,"DIVIDEND_PER_SHARE_1_YEAR_GROWTH","FQ3 2017","FQ3 2017","Currency=INR","Period=FQ","BEST_FPERIOD_OVERRIDE=FQ","FILING_STATUS=OR","EQY_CONSOLIDATED=Y","Sort=A","Dates=H","DateFormat=P","Fill=—","Direction=H","UseDPDF=Y")</f>
        <v>#NAME?</v>
      </c>
      <c r="Z596" s="1" t="e">
        <f ca="1">_xll.BDH($C$578,"ACCOUNTS_RECEIVABLE_GROWTH","FQ3 2017","FQ3 2017","Currency=INR","Period=FQ","BEST_FPERIOD_OVERRIDE=FQ","FILING_STATUS=OR","EQY_CONSOLIDATED=Y","Sort=A","Dates=H","DateFormat=P","Fill=—","Direction=H","UseDPDF=Y")</f>
        <v>#NAME?</v>
      </c>
      <c r="AA596" s="1" t="e">
        <f ca="1">_xll.BDH($C$578,"INVENTORY_GROWTH","FQ3 2017","FQ3 2017","Currency=INR","Period=FQ","BEST_FPERIOD_OVERRIDE=FQ","FILING_STATUS=OR","EQY_CONSOLIDATED=Y","Sort=A","Dates=H","DateFormat=P","Fill=—","Direction=H","UseDPDF=Y")</f>
        <v>#NAME?</v>
      </c>
      <c r="AB596" s="1" t="e">
        <f ca="1">_xll.BDH($C$578,"NET_FIXED_ASSETS_1_YEAR_GROWTH","FQ3 2017","FQ3 2017","Currency=INR","Period=FQ","BEST_FPERIOD_OVERRIDE=FQ","FILING_STATUS=OR","EQY_CONSOLIDATED=Y","Sort=A","Dates=H","DateFormat=P","Fill=—","Direction=H","UseDPDF=Y")</f>
        <v>#NAME?</v>
      </c>
      <c r="AC596" s="1" t="e">
        <f ca="1">_xll.BDH($C$578,"ASSET_GROWTH","FQ3 2017","FQ3 2017","Currency=INR","Period=FQ","BEST_FPERIOD_OVERRIDE=FQ","FILING_STATUS=OR","EQY_CONSOLIDATED=Y","Sort=A","Dates=H","DateFormat=P","Fill=—","Direction=H","UseDPDF=Y")</f>
        <v>#NAME?</v>
      </c>
      <c r="AD596" s="1" t="e">
        <f ca="1">_xll.BDH($C$578,"MODIFIED_WORK_CAP_GROWTH","FQ3 2017","FQ3 2017","Currency=INR","Period=FQ","BEST_FPERIOD_OVERRIDE=FQ","FILING_STATUS=OR","EQY_CONSOLIDATED=Y","Sort=A","Dates=H","DateFormat=P","Fill=—","Direction=H","UseDPDF=Y")</f>
        <v>#NAME?</v>
      </c>
      <c r="AE596" s="1" t="e">
        <f ca="1">_xll.BDH($C$578,"WORK_CAP_GROWTH","FQ3 2017","FQ3 2017","Currency=INR","Period=FQ","BEST_FPERIOD_OVERRIDE=FQ","FILING_STATUS=OR","EQY_CONSOLIDATED=Y","Sort=A","Dates=H","DateFormat=P","Fill=—","Direction=H","UseDPDF=Y")</f>
        <v>#NAME?</v>
      </c>
      <c r="AF596" s="1" t="e">
        <f ca="1">_xll.BDH($C$578,"ACCOUNTS_PAYABLE_GROWTH_1YR","FQ3 2017","FQ3 2017","Currency=INR","Period=FQ","BEST_FPERIOD_OVERRIDE=FQ","FILING_STATUS=OR","EQY_CONSOLIDATED=Y","Sort=A","Dates=H","DateFormat=P","Fill=—","Direction=H","UseDPDF=Y")</f>
        <v>#NAME?</v>
      </c>
      <c r="AG596" s="1" t="e">
        <f ca="1">_xll.BDH($C$578,"SHORT_TERM_DEBT_1_YEAR_GROWTH","FQ3 2017","FQ3 2017","Currency=INR","Period=FQ","BEST_FPERIOD_OVERRIDE=FQ","FILING_STATUS=OR","EQY_CONSOLIDATED=Y","Sort=A","Dates=H","DateFormat=P","Fill=—","Direction=H","UseDPDF=Y")</f>
        <v>#NAME?</v>
      </c>
      <c r="AH596" s="1" t="e">
        <f ca="1">_xll.BDH($C$578,"TOTAL_DEBT_1_YEAR_GROWTH","FQ3 2017","FQ3 2017","Currency=INR","Period=FQ","BEST_FPERIOD_OVERRIDE=FQ","FILING_STATUS=OR","EQY_CONSOLIDATED=Y","Sort=A","Dates=H","DateFormat=P","Fill=—","Direction=H","UseDPDF=Y")</f>
        <v>#NAME?</v>
      </c>
      <c r="AI596" s="1" t="e">
        <f ca="1">_xll.BDH($C$578,"TOTAL_EQUITY_1_YEAR_GROWTH","FQ3 2017","FQ3 2017","Currency=INR","Period=FQ","BEST_FPERIOD_OVERRIDE=FQ","FILING_STATUS=OR","EQY_CONSOLIDATED=Y","Sort=A","Dates=H","DateFormat=P","Fill=—","Direction=H","UseDPDF=Y")</f>
        <v>#NAME?</v>
      </c>
      <c r="AJ596" s="1" t="e">
        <f ca="1">_xll.BDH($C$578,"GROWTH_IN_CAP","FQ3 2017","FQ3 2017","Currency=INR","Period=FQ","BEST_FPERIOD_OVERRIDE=FQ","FILING_STATUS=OR","EQY_CONSOLIDATED=Y","Sort=A","Dates=H","DateFormat=P","Fill=—","Direction=H","UseDPDF=Y")</f>
        <v>#NAME?</v>
      </c>
      <c r="AK596" s="1" t="e">
        <f ca="1">_xll.BDH($C$578,"BVPS_GROWTH","FQ3 2017","FQ3 2017","Currency=INR","Period=FQ","BEST_FPERIOD_OVERRIDE=FQ","FILING_STATUS=OR","EQY_CONSOLIDATED=Y","Sort=A","Dates=H","DateFormat=P","Fill=—","Direction=H","UseDPDF=Y")</f>
        <v>#NAME?</v>
      </c>
      <c r="AL596" s="1" t="e">
        <f ca="1">_xll.BDH($C$578,"CASH_FLOW_GROWTH","FQ3 2017","FQ3 2017","Currency=INR","Period=FQ","BEST_FPERIOD_OVERRIDE=FQ","FILING_STATUS=OR","EQY_CONSOLIDATED=Y","Sort=A","Dates=H","DateFormat=P","Fill=—","Direction=H","UseDPDF=Y")</f>
        <v>#NAME?</v>
      </c>
      <c r="AM596" s="1" t="e">
        <f ca="1">_xll.BDH($C$578,"GEO_GROW_NET_SALES","FQ3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96" s="1" t="e">
        <f ca="1">_xll.BDH($C$578,"GEO_GROW_EBITDA","FQ3 2017","FQ3 2017","Currency=INR","Period=FQ","BEST_FPERIOD_OVERRIDE=FQ","FILING_STATUS=OR","EQY_CONSOLIDATED=Y","FA_ADJUSTED=GAAP","Sort=A","Dates=H","DateFormat=P","Fill=—","Direction=H","UseDPDF=Y")</f>
        <v>#NAME?</v>
      </c>
      <c r="AO596" s="1" t="e">
        <f ca="1">_xll.BDH($C$578,"GEO_GROW_OPER_INC","FQ3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96" s="1" t="e">
        <f ca="1">_xll.BDH($C$578,"NET_INCOME_TO_COMMON_5_YR_GROWTH","FQ3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96" s="1" t="e">
        <f ca="1">_xll.BDH($C$578,"5Y_GEO_GROWTH_DILUTED_EPS","FQ3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96" s="1" t="e">
        <f ca="1">_xll.BDH($C$578,"GEO_GROW_DVD_PER_SH","FQ3 2017","FQ3 2017","Currency=INR","Period=FQ","BEST_FPERIOD_OVERRIDE=FQ","FILING_STATUS=OR","EQY_CONSOLIDATED=Y","Sort=A","Dates=H","DateFormat=P","Fill=—","Direction=H","UseDPDF=Y")</f>
        <v>#NAME?</v>
      </c>
      <c r="AS596" s="1" t="e">
        <f ca="1">_xll.BDH($C$578,"ACCOUNTS_RECEIVABLE_5_YR_GROWTH","FQ3 2017","FQ3 2017","Currency=INR","Period=FQ","BEST_FPERIOD_OVERRIDE=FQ","FILING_STATUS=OR","EQY_CONSOLIDATED=Y","Sort=A","Dates=H","DateFormat=P","Fill=—","Direction=H","UseDPDF=Y")</f>
        <v>#NAME?</v>
      </c>
      <c r="AT596" s="1" t="e">
        <f ca="1">_xll.BDH($C$578,"INVENTORY_5_YEAR_GROWTH","FQ3 2017","FQ3 2017","Currency=INR","Period=FQ","BEST_FPERIOD_OVERRIDE=FQ","FILING_STATUS=OR","EQY_CONSOLIDATED=Y","Sort=A","Dates=H","DateFormat=P","Fill=—","Direction=H","UseDPDF=Y")</f>
        <v>#NAME?</v>
      </c>
      <c r="AU596" s="1" t="e">
        <f ca="1">_xll.BDH($C$578,"NET_FIXED_ASSETS_5_YEAR_GROWTH","FQ3 2017","FQ3 2017","Currency=INR","Period=FQ","BEST_FPERIOD_OVERRIDE=FQ","FILING_STATUS=OR","EQY_CONSOLIDATED=Y","Sort=A","Dates=H","DateFormat=P","Fill=—","Direction=H","UseDPDF=Y")</f>
        <v>#NAME?</v>
      </c>
      <c r="AV596" s="1" t="e">
        <f ca="1">_xll.BDH($C$578,"GEO_GROW_TOT_ASSET","FQ3 2017","FQ3 2017","Currency=INR","Period=FQ","BEST_FPERIOD_OVERRIDE=FQ","FILING_STATUS=OR","EQY_CONSOLIDATED=Y","Sort=A","Dates=H","DateFormat=P","Fill=—","Direction=H","UseDPDF=Y")</f>
        <v>#NAME?</v>
      </c>
      <c r="AW596" s="1" t="e">
        <f ca="1">_xll.BDH($C$578,"MODIFIED_WORKING_CPTL_5YR_GRWTH","FQ3 2017","FQ3 2017","Currency=INR","Period=FQ","BEST_FPERIOD_OVERRIDE=FQ","FILING_STATUS=OR","EQY_CONSOLIDATED=Y","Sort=A","Dates=H","DateFormat=P","Fill=—","Direction=H","UseDPDF=Y")</f>
        <v>#NAME?</v>
      </c>
      <c r="AX596" s="1" t="e">
        <f ca="1">_xll.BDH($C$578,"WORKING_CAPITAL_5_YEAR_GROWTH","FQ3 2017","FQ3 2017","Currency=INR","Period=FQ","BEST_FPERIOD_OVERRIDE=FQ","FILING_STATUS=OR","EQY_CONSOLIDATED=Y","Sort=A","Dates=H","DateFormat=P","Fill=—","Direction=H","UseDPDF=Y")</f>
        <v>#NAME?</v>
      </c>
      <c r="AY596" s="1" t="e">
        <f ca="1">_xll.BDH($C$578,"ACCOUNTS_PAYABLE_5_YEAR_GROWTH","FQ3 2017","FQ3 2017","Currency=INR","Period=FQ","BEST_FPERIOD_OVERRIDE=FQ","FILING_STATUS=OR","EQY_CONSOLIDATED=Y","Sort=A","Dates=H","DateFormat=P","Fill=—","Direction=H","UseDPDF=Y")</f>
        <v>#NAME?</v>
      </c>
      <c r="AZ596" s="1" t="e">
        <f ca="1">_xll.BDH($C$578,"SHORT_TERM_DEBT_5_YEAR_GROWTH","FQ3 2017","FQ3 2017","Currency=INR","Period=FQ","BEST_FPERIOD_OVERRIDE=FQ","FILING_STATUS=OR","EQY_CONSOLIDATED=Y","Sort=A","Dates=H","DateFormat=P","Fill=—","Direction=H","UseDPDF=Y")</f>
        <v>#NAME?</v>
      </c>
      <c r="BA596" s="1" t="e">
        <f ca="1">_xll.BDH($C$578,"TOTAL_DEBT_5_YEAR_GROWTH","FQ3 2017","FQ3 2017","Currency=INR","Period=FQ","BEST_FPERIOD_OVERRIDE=FQ","FILING_STATUS=OR","EQY_CONSOLIDATED=Y","Sort=A","Dates=H","DateFormat=P","Fill=—","Direction=H","UseDPDF=Y")</f>
        <v>#NAME?</v>
      </c>
      <c r="BB596" s="1" t="e">
        <f ca="1">_xll.BDH($C$578,"GEO_GROW_TOT_SHRHLDR_EQY","FQ3 2017","FQ3 2017","Currency=INR","Period=FQ","BEST_FPERIOD_OVERRIDE=FQ","FILING_STATUS=OR","EQY_CONSOLIDATED=Y","Sort=A","Dates=H","DateFormat=P","Fill=—","Direction=H","UseDPDF=Y")</f>
        <v>#NAME?</v>
      </c>
      <c r="BC596" s="1" t="e">
        <f ca="1">_xll.BDH($C$578,"TOTAL_CAPITAL_5_YEAR_GROWTH","FQ3 2017","FQ3 2017","Currency=INR","Period=FQ","BEST_FPERIOD_OVERRIDE=FQ","FILING_STATUS=OR","EQY_CONSOLIDATED=Y","Sort=A","Dates=H","DateFormat=P","Fill=—","Direction=H","UseDPDF=Y")</f>
        <v>#NAME?</v>
      </c>
      <c r="BD596" s="1" t="e">
        <f ca="1">_xll.BDH($C$578,"GEO_GROW_BOOK_VAL","FQ3 2017","FQ3 2017","Currency=INR","Period=FQ","BEST_FPERIOD_OVERRIDE=FQ","FILING_STATUS=OR","EQY_CONSOLIDATED=Y","Sort=A","Dates=H","DateFormat=P","Fill=—","Direction=H","UseDPDF=Y")</f>
        <v>#NAME?</v>
      </c>
      <c r="BE596" s="1" t="e">
        <f ca="1">_xll.BDH($C$578,"GEO_GROW_CASH_OPER_ACT","FQ3 2017","FQ3 2017","Currency=INR","Period=FQ","BEST_FPERIOD_OVERRIDE=FQ","FILING_STATUS=OR","EQY_CONSOLIDATED=Y","Sort=A","Dates=H","DateFormat=P","Fill=—","Direction=H","UseDPDF=Y")</f>
        <v>#NAME?</v>
      </c>
      <c r="BF596" s="1" t="e">
        <f ca="1">_xll.BDH($C$578,"REVENUE_SEQUENTIAL_GROWTH","FQ3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96" s="1" t="e">
        <f ca="1">_xll.BDH($C$578,"EBITDA_SEQUENTIAL_GROWTH","FQ3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96" s="1" t="e">
        <f ca="1">_xll.BDH($C$578,"OPERATING_INCOME_SEQ_GROWTH","FQ3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96" s="1" t="e">
        <f ca="1">_xll.BDH($C$578,"NET_INCOME_TO_COMMON_SEQ_GROWTH","FQ3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96" s="1" t="e">
        <f ca="1">_xll.BDH($C$578,"EPS_DILUTED_SEQUENTIAL_GROWTH","FQ3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96" s="1" t="e">
        <f ca="1">_xll.BDH($C$578,"DPS_SEQUENTIAL_GROWTH","FQ3 2017","FQ3 2017","Currency=INR","Period=FQ","BEST_FPERIOD_OVERRIDE=FQ","FILING_STATUS=OR","EQY_CONSOLIDATED=Y","Sort=A","Dates=H","DateFormat=P","Fill=—","Direction=H","UseDPDF=Y")</f>
        <v>#NAME?</v>
      </c>
      <c r="BL596" s="1" t="e">
        <f ca="1">_xll.BDH($C$578,"ACCOUNTS_RECEIVABLE_SEQ_GROWTH","FQ3 2017","FQ3 2017","Currency=INR","Period=FQ","BEST_FPERIOD_OVERRIDE=FQ","FILING_STATUS=OR","EQY_CONSOLIDATED=Y","Sort=A","Dates=H","DateFormat=P","Fill=—","Direction=H","UseDPDF=Y")</f>
        <v>#NAME?</v>
      </c>
      <c r="BM596" s="1" t="e">
        <f ca="1">_xll.BDH($C$578,"INVENTORY_SEQUENTIAL_GROWTH","FQ3 2017","FQ3 2017","Currency=INR","Period=FQ","BEST_FPERIOD_OVERRIDE=FQ","FILING_STATUS=OR","EQY_CONSOLIDATED=Y","Sort=A","Dates=H","DateFormat=P","Fill=—","Direction=H","UseDPDF=Y")</f>
        <v>#NAME?</v>
      </c>
      <c r="BN596" s="1" t="e">
        <f ca="1">_xll.BDH($C$578,"FIXED_ASSETS_SEQUENTIAL_GROWTH","FQ3 2017","FQ3 2017","Currency=INR","Period=FQ","BEST_FPERIOD_OVERRIDE=FQ","FILING_STATUS=OR","EQY_CONSOLIDATED=Y","Sort=A","Dates=H","DateFormat=P","Fill=—","Direction=H","UseDPDF=Y")</f>
        <v>#NAME?</v>
      </c>
      <c r="BO596" s="1" t="e">
        <f ca="1">_xll.BDH($C$578,"TOTAL_ASSETS_SEQUENTIAL_GROWTH","FQ3 2017","FQ3 2017","Currency=INR","Period=FQ","BEST_FPERIOD_OVERRIDE=FQ","FILING_STATUS=OR","EQY_CONSOLIDATED=Y","Sort=A","Dates=H","DateFormat=P","Fill=—","Direction=H","UseDPDF=Y")</f>
        <v>#NAME?</v>
      </c>
      <c r="BP596" s="1" t="e">
        <f ca="1">_xll.BDH($C$578,"MODIFIED_WORKING_CPTL_SEQ_GRWTH","FQ3 2017","FQ3 2017","Currency=INR","Period=FQ","BEST_FPERIOD_OVERRIDE=FQ","FILING_STATUS=OR","EQY_CONSOLIDATED=Y","Sort=A","Dates=H","DateFormat=P","Fill=—","Direction=H","UseDPDF=Y")</f>
        <v>#NAME?</v>
      </c>
      <c r="BQ596" s="1" t="e">
        <f ca="1">_xll.BDH($C$578,"WORKING_CAPITAL_SEQ_GROWTH","FQ3 2017","FQ3 2017","Currency=INR","Period=FQ","BEST_FPERIOD_OVERRIDE=FQ","FILING_STATUS=OR","EQY_CONSOLIDATED=Y","Sort=A","Dates=H","DateFormat=P","Fill=—","Direction=H","UseDPDF=Y")</f>
        <v>#NAME?</v>
      </c>
      <c r="BR596" s="1" t="e">
        <f ca="1">_xll.BDH($C$578,"ACCOUNTS_PAYABLE_SEQ_GROWTH","FQ3 2017","FQ3 2017","Currency=INR","Period=FQ","BEST_FPERIOD_OVERRIDE=FQ","FILING_STATUS=OR","EQY_CONSOLIDATED=Y","Sort=A","Dates=H","DateFormat=P","Fill=—","Direction=H","UseDPDF=Y")</f>
        <v>#NAME?</v>
      </c>
      <c r="BS596" s="1" t="e">
        <f ca="1">_xll.BDH($C$578,"ST_DEBT_SEQUENTIAL_GROWTH","FQ3 2017","FQ3 2017","Currency=INR","Period=FQ","BEST_FPERIOD_OVERRIDE=FQ","FILING_STATUS=OR","EQY_CONSOLIDATED=Y","Sort=A","Dates=H","DateFormat=P","Fill=—","Direction=H","UseDPDF=Y")</f>
        <v>#NAME?</v>
      </c>
      <c r="BT596" s="1" t="e">
        <f ca="1">_xll.BDH($C$578,"TOTAL_DEBT_SEQUENTIAL_GROWTH","FQ3 2017","FQ3 2017","Currency=INR","Period=FQ","BEST_FPERIOD_OVERRIDE=FQ","FILING_STATUS=OR","EQY_CONSOLIDATED=Y","Sort=A","Dates=H","DateFormat=P","Fill=—","Direction=H","UseDPDF=Y")</f>
        <v>#NAME?</v>
      </c>
      <c r="BU596" s="1" t="e">
        <f ca="1">_xll.BDH($C$578,"TOTAL_EQUITY_SEQUENTIAL_GROWTH","FQ3 2017","FQ3 2017","Currency=INR","Period=FQ","BEST_FPERIOD_OVERRIDE=FQ","FILING_STATUS=OR","EQY_CONSOLIDATED=Y","Sort=A","Dates=H","DateFormat=P","Fill=—","Direction=H","UseDPDF=Y")</f>
        <v>#NAME?</v>
      </c>
      <c r="BV596" s="1" t="e">
        <f ca="1">_xll.BDH($C$578,"TOTAL_CAPITAL_SEQUENTIAL_GROWTH","FQ3 2017","FQ3 2017","Currency=INR","Period=FQ","BEST_FPERIOD_OVERRIDE=FQ","FILING_STATUS=OR","EQY_CONSOLIDATED=Y","Sort=A","Dates=H","DateFormat=P","Fill=—","Direction=H","UseDPDF=Y")</f>
        <v>#NAME?</v>
      </c>
      <c r="BW596" s="1" t="e">
        <f ca="1">_xll.BDH($C$578,"BPS_SEQUENTIAL_GROWTH","FQ3 2017","FQ3 2017","Currency=INR","Period=FQ","BEST_FPERIOD_OVERRIDE=FQ","FILING_STATUS=OR","EQY_CONSOLIDATED=Y","Sort=A","Dates=H","DateFormat=P","Fill=—","Direction=H","UseDPDF=Y")</f>
        <v>#NAME?</v>
      </c>
      <c r="BX596" s="1" t="e">
        <f ca="1">_xll.BDH($C$578,"CFO_SEQUENTIAL_GROWTH","FQ3 2017","FQ3 2017","Currency=INR","Period=FQ","BEST_FPERIOD_OVERRIDE=FQ","FILING_STATUS=OR","EQY_CONSOLIDATED=Y","Sort=A","Dates=H","DateFormat=P","Fill=—","Direction=H","UseDPDF=Y")</f>
        <v>#NAME?</v>
      </c>
      <c r="BY596" s="2" t="e">
        <f ca="1">_xll.BDH($C$578,"SHORT_AND_LONG_TERM_DEBT","FQ3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96" s="2" t="e">
        <f ca="1">_xll.BDH($C$578,"BS_ST_BORROW","FQ3 2017","FQ3 2017","Currency=INR","Period=FQ","BEST_FPERIOD_OVERRIDE=FQ","FILING_STATUS=OR","EQY_CONSOLIDATED=Y","SCALING_FORMAT=MLN","Sort=A","Dates=H","DateFormat=P","Fill=—","Direction=H","UseDPDF=Y")</f>
        <v>#NAME?</v>
      </c>
      <c r="CA596" s="2" t="e">
        <f ca="1">_xll.BDH($C$578,"BS_LT_BORROW","FQ3 2017","FQ3 2017","Currency=INR","Period=FQ","BEST_FPERIOD_OVERRIDE=FQ","FILING_STATUS=OR","EQY_CONSOLIDATED=Y","SCALING_FORMAT=MLN","Sort=A","Dates=H","DateFormat=P","Fill=—","Direction=H","UseDPDF=Y")</f>
        <v>#NAME?</v>
      </c>
      <c r="CB596" s="1" t="e">
        <f ca="1">_xll.BDH($C$578,"TOT_DEBT_TO_EBITDA","FQ3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96" s="1" t="e">
        <f ca="1">_xll.BDH($C$578,"NET_DEBT_TO_EBITDA","FQ3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96" s="1" t="e">
        <f ca="1">_xll.BDH($C$578,"TOTAL_DEBT_TO_EBIT","FQ3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96" s="1" t="e">
        <f ca="1">_xll.BDH($C$578,"NET_DEBT_TO_EBIT","FQ3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596" s="1" t="e">
        <f ca="1">_xll.BDH($C$578,"EBITDA_TO_INTEREST_EXPN","FQ3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96" s="1" t="e">
        <f ca="1">_xll.BDH($C$578,"COM_EQY_TO_TOT_ASSET","FQ3 2017","FQ3 2017","Currency=INR","Period=FQ","BEST_FPERIOD_OVERRIDE=FQ","FILING_STATUS=OR","EQY_CONSOLIDATED=Y","Sort=A","Dates=H","DateFormat=P","Fill=—","Direction=H","UseDPDF=Y")</f>
        <v>#NAME?</v>
      </c>
      <c r="CH596" s="1" t="e">
        <f ca="1">_xll.BDH($C$578,"LT_DEBT_TO_TOT_EQY","FQ3 2017","FQ3 2017","Currency=INR","Period=FQ","BEST_FPERIOD_OVERRIDE=FQ","FILING_STATUS=OR","EQY_CONSOLIDATED=Y","Sort=A","Dates=H","DateFormat=P","Fill=—","Direction=H","UseDPDF=Y")</f>
        <v>#NAME?</v>
      </c>
      <c r="CI596" s="1" t="e">
        <f ca="1">_xll.BDH($C$578,"LT_DEBT_TO_TOT_CAP","FQ3 2017","FQ3 2017","Currency=INR","Period=FQ","BEST_FPERIOD_OVERRIDE=FQ","FILING_STATUS=OR","EQY_CONSOLIDATED=Y","Sort=A","Dates=H","DateFormat=P","Fill=—","Direction=H","UseDPDF=Y")</f>
        <v>#NAME?</v>
      </c>
      <c r="CJ596" s="1" t="e">
        <f ca="1">_xll.BDH($C$578,"LT_DEBT_TO_TOT_ASSET","FQ3 2017","FQ3 2017","Currency=INR","Period=FQ","BEST_FPERIOD_OVERRIDE=FQ","FILING_STATUS=OR","EQY_CONSOLIDATED=Y","Sort=A","Dates=H","DateFormat=P","Fill=—","Direction=H","UseDPDF=Y")</f>
        <v>#NAME?</v>
      </c>
      <c r="CK596" s="1" t="e">
        <f ca="1">_xll.BDH($C$578,"TOT_DEBT_TO_TOT_EQY","FQ3 2017","FQ3 2017","Currency=INR","Period=FQ","BEST_FPERIOD_OVERRIDE=FQ","FILING_STATUS=OR","EQY_CONSOLIDATED=Y","Sort=A","Dates=H","DateFormat=P","Fill=—","Direction=H","UseDPDF=Y")</f>
        <v>#NAME?</v>
      </c>
      <c r="CL596" s="1" t="e">
        <f ca="1">_xll.BDH($C$578,"TOT_DEBT_TO_TOT_CAP","FQ3 2017","FQ3 2017","Currency=INR","Period=FQ","BEST_FPERIOD_OVERRIDE=FQ","FILING_STATUS=OR","EQY_CONSOLIDATED=Y","Sort=A","Dates=H","DateFormat=P","Fill=—","Direction=H","UseDPDF=Y")</f>
        <v>#NAME?</v>
      </c>
      <c r="CM596" s="1" t="e">
        <f ca="1">_xll.BDH($C$578,"TOT_DEBT_TO_TOT_ASSET","FQ3 2017","FQ3 2017","Currency=INR","Period=FQ","BEST_FPERIOD_OVERRIDE=FQ","FILING_STATUS=OR","EQY_CONSOLIDATED=Y","Sort=A","Dates=H","DateFormat=P","Fill=—","Direction=H","UseDPDF=Y")</f>
        <v>#NAME?</v>
      </c>
      <c r="CN596" s="1" t="e">
        <f ca="1">_xll.BDH($C$578,"NET_DEBT_TO_SHRHLDR_EQTY","FQ3 2017","FQ3 2017","Currency=INR","Period=FQ","BEST_FPERIOD_OVERRIDE=FQ","FILING_STATUS=OR","EQY_CONSOLIDATED=Y","Sort=A","Dates=H","DateFormat=P","Fill=—","Direction=H","UseDPDF=Y")</f>
        <v>#NAME?</v>
      </c>
      <c r="CO596" s="1" t="e">
        <f ca="1">_xll.BDH($C$578,"NET_DEBT_%_CAPITAL","FQ3 2017","FQ3 2017","Currency=INR","Period=FQ","BEST_FPERIOD_OVERRIDE=FQ","FILING_STATUS=OR","EQY_CONSOLIDATED=Y","Sort=A","Dates=H","DateFormat=P","Fill=—","Direction=H","UseDPDF=Y")</f>
        <v>#NAME?</v>
      </c>
      <c r="CP596" s="2" t="e">
        <f ca="1">_xll.BDH($C$578,"EBITDA","FQ3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96" s="2" t="e">
        <f ca="1">_xll.BDH($C$578,"EBITDA_AFTER_CAPEX","FQ3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96" s="2" t="e">
        <f ca="1">_xll.BDH($C$578,"IS_OPER_INC","FQ3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96" s="1" t="e">
        <f ca="1">_xll.BDH($C$578,"CASH_RATIO","FQ3 2017","FQ3 2017","Currency=INR","Period=FQ","BEST_FPERIOD_OVERRIDE=FQ","FILING_STATUS=OR","EQY_CONSOLIDATED=Y","Sort=A","Dates=H","DateFormat=P","Fill=—","Direction=H","UseDPDF=Y")</f>
        <v>#NAME?</v>
      </c>
      <c r="CT596" s="1" t="e">
        <f ca="1">_xll.BDH($C$578,"CUR_RATIO","FQ3 2017","FQ3 2017","Currency=INR","Period=FQ","BEST_FPERIOD_OVERRIDE=FQ","FILING_STATUS=OR","EQY_CONSOLIDATED=Y","Sort=A","Dates=H","DateFormat=P","Fill=—","Direction=H","UseDPDF=Y")</f>
        <v>#NAME?</v>
      </c>
      <c r="CU596" s="1" t="e">
        <f ca="1">_xll.BDH($C$578,"QUICK_RATIO","FQ3 2017","FQ3 2017","Currency=INR","Period=FQ","BEST_FPERIOD_OVERRIDE=FQ","FILING_STATUS=OR","EQY_CONSOLIDATED=Y","Sort=A","Dates=H","DateFormat=P","Fill=—","Direction=H","UseDPDF=Y")</f>
        <v>#NAME?</v>
      </c>
      <c r="CV596" s="1" t="e">
        <f ca="1">_xll.BDH($C$578,"ALTMAN_Z_SCORE","FQ3 2017","FQ3 2017","Currency=INR","Period=FQ","BEST_FPERIOD_OVERRIDE=FQ","FILING_STATUS=OR","EQY_CONSOLIDATED=Y","Sort=A","Dates=H","DateFormat=P","Fill=—","Direction=H","UseDPDF=Y")</f>
        <v>#NAME?</v>
      </c>
      <c r="CW596" s="3" t="e">
        <f ca="1">_xll.BDH($C$578,"ACCT_RCV_TURN","FQ3 2017","FQ3 2017","Currency=INR","Period=FQ","BEST_FPERIOD_OVERRIDE=FQ","FILING_STATUS=OR","EQY_CONSOLIDATED=Y","FA_ADJUSTED=GAAP","Sort=A","Dates=H","DateFormat=P","Fill=—","Direction=H","UseDPDF=Y")</f>
        <v>#NAME?</v>
      </c>
      <c r="CX596" s="1" t="e">
        <f ca="1">_xll.BDH($C$578,"ACCT_RCV_DAYS","FQ3 2017","FQ3 2017","Currency=INR","Period=FQ","BEST_FPERIOD_OVERRIDE=FQ","FILING_STATUS=OR","EQY_CONSOLIDATED=Y","FA_ADJUSTED=GAAP","Sort=A","Dates=H","DateFormat=P","Fill=—","Direction=H","UseDPDF=Y")</f>
        <v>#NAME?</v>
      </c>
      <c r="CY596" s="3" t="e">
        <f ca="1">_xll.BDH($C$578,"INVENT_TURN","FQ3 2017","FQ3 2017","Currency=INR","Period=FQ","BEST_FPERIOD_OVERRIDE=FQ","FILING_STATUS=OR","EQY_CONSOLIDATED=Y","FA_ADJUSTED=GAAP","Sort=A","Dates=H","DateFormat=P","Fill=—","Direction=H","UseDPDF=Y")</f>
        <v>#NAME?</v>
      </c>
      <c r="CZ596" s="1" t="e">
        <f ca="1">_xll.BDH($C$578,"INVENT_DAYS","FQ3 2017","FQ3 2017","Currency=INR","Period=FQ","BEST_FPERIOD_OVERRIDE=FQ","FILING_STATUS=OR","EQY_CONSOLIDATED=Y","FA_ADJUSTED=GAAP","Sort=A","Dates=H","DateFormat=P","Fill=—","Direction=H","UseDPDF=Y")</f>
        <v>#NAME?</v>
      </c>
      <c r="DA596" s="3" t="e">
        <f ca="1">_xll.BDH($C$578,"ACCOUNTS_PAYABLE_TURNOVER","FQ3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96" s="1" t="e">
        <f ca="1">_xll.BDH($C$578,"ACCOUNTS_PAYABLE_TURNOVER_DAYS","FQ3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96" s="3" t="e">
        <f ca="1">_xll.BDH($C$578,"CASH_CONVERSION_CYCLE","FQ3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96" s="3" t="e">
        <f ca="1">_xll.BDH($C$578,"INV_TO_CASH_DAYS","FQ3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596" s="4" t="e">
        <f ca="1">_xll.BDH($C$578,"BS_INVENTORIES","FQ3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596" s="2" t="e">
        <f ca="1">_xll.BDH($C$578,"INVTRY_RAW_MATERIALS","FQ3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96" s="2" t="e">
        <f ca="1">_xll.BDH($C$578,"INVTRY_IN_PROGRESS","FQ3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96" s="2" t="e">
        <f ca="1">_xll.BDH($C$578,"INVTRY_FINISHED_GOODS","FQ3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96" s="2" t="e">
        <f ca="1">_xll.BDH($C$578,"BS_OTHER_INV","FQ3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97" spans="1:113" x14ac:dyDescent="0.3">
      <c r="A597" s="6"/>
      <c r="B597" s="6"/>
      <c r="C597" s="6"/>
      <c r="D597" s="6"/>
      <c r="E597" t="s">
        <v>7</v>
      </c>
      <c r="F597" t="e">
        <f ca="1">_xll.BDH($C$578,"RETURN_COM_EQY","FQ4 2017","FQ4 2017","Currency=INR","Period=FQ","BEST_FPERIOD_OVERRIDE=FQ","FILING_STATUS=OR","EQY_CONSOLIDATED=Y","FA_ADJUSTED=GAAP","Sort=A","Dates=H","DateFormat=P","Fill=—","Direction=H","UseDPDF=Y")</f>
        <v>#NAME?</v>
      </c>
      <c r="G597" t="e">
        <f ca="1">_xll.BDH($C$578,"RETURN_ON_ASSET","FQ4 2017","FQ4 2017","Currency=INR","Period=FQ","BEST_FPERIOD_OVERRIDE=FQ","FILING_STATUS=OR","EQY_CONSOLIDATED=Y","FA_ADJUSTED=GAAP","Sort=A","Dates=H","DateFormat=P","Fill=—","Direction=H","UseDPDF=Y")</f>
        <v>#NAME?</v>
      </c>
      <c r="H597" t="e">
        <f ca="1">_xll.BDH($C$578,"RETURN_ON_CAP","FQ4 2017","FQ4 2017","Currency=INR","Period=FQ","BEST_FPERIOD_OVERRIDE=FQ","FILING_STATUS=OR","EQY_CONSOLIDATED=Y","FA_ADJUSTED=GAAP","Sort=A","Dates=H","DateFormat=P","Fill=—","Direction=H","UseDPDF=Y")</f>
        <v>#NAME?</v>
      </c>
      <c r="I597" t="e">
        <f ca="1">_xll.BDH($C$578,"RETURN_ON_INV_CAPITAL","FQ4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97" t="e">
        <f ca="1">_xll.BDH($C$578,"EBITDA_TO_REVENUE","FQ4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597" t="e">
        <f ca="1">_xll.BDH($C$578,"OPER_MARGIN","FQ4 2017","FQ4 2017","Currency=INR","Period=FQ","BEST_FPERIOD_OVERRIDE=FQ","FILING_STATUS=OR","EQY_CONSOLIDATED=Y","FA_ADJUSTED=GAAP","Sort=A","Dates=H","DateFormat=P","Fill=—","Direction=H","UseDPDF=Y")</f>
        <v>#NAME?</v>
      </c>
      <c r="L597" t="e">
        <f ca="1">_xll.BDH($C$578,"INCREMENTAL_OPERATING_MARGIN","FQ4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97" t="e">
        <f ca="1">_xll.BDH($C$578,"PRETAX_INC_TO_NET_SALES","FQ4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97" t="e">
        <f ca="1">_xll.BDH($C$578,"INC_BEF_XO_ITEMS_TO_NET_SALES","FQ4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97" t="e">
        <f ca="1">_xll.BDH($C$578,"PROF_MARGIN","FQ4 2017","FQ4 2017","Currency=INR","Period=FQ","BEST_FPERIOD_OVERRIDE=FQ","FILING_STATUS=OR","EQY_CONSOLIDATED=Y","FA_ADJUSTED=GAAP","Sort=A","Dates=H","DateFormat=P","Fill=—","Direction=H","UseDPDF=Y")</f>
        <v>#NAME?</v>
      </c>
      <c r="P597" t="e">
        <f ca="1">_xll.BDH($C$578,"NET_INCOME_TO_COMMON_MARGIN","FQ4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97" t="e">
        <f ca="1">_xll.BDH($C$578,"EFF_TAX_RATE","FQ4 2017","FQ4 2017","Currency=INR","Period=FQ","BEST_FPERIOD_OVERRIDE=FQ","FILING_STATUS=OR","EQY_CONSOLIDATED=Y","FA_ADJUSTED=GAAP","Sort=A","Dates=H","DateFormat=P","Fill=—","Direction=H","UseDPDF=Y")</f>
        <v>#NAME?</v>
      </c>
      <c r="R597" t="e">
        <f ca="1">_xll.BDH($C$578,"DVD_PAYOUT_RATIO","FQ4 2017","FQ4 2017","Currency=INR","Period=FQ","BEST_FPERIOD_OVERRIDE=FQ","FILING_STATUS=OR","EQY_CONSOLIDATED=Y","FA_ADJUSTED=GAAP","Sort=A","Dates=H","DateFormat=P","Fill=—","Direction=H","UseDPDF=Y")</f>
        <v>#NAME?</v>
      </c>
      <c r="S597" t="e">
        <f ca="1">_xll.BDH($C$578,"SUSTAIN_GROWTH_RT","FQ4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597" s="1" t="e">
        <f ca="1">_xll.BDH($C$578,"SALES_GROWTH","FQ4 2017","FQ4 2017","Currency=INR","Period=FQ","BEST_FPERIOD_OVERRIDE=FQ","FILING_STATUS=OR","EQY_CONSOLIDATED=Y","FA_ADJUSTED=GAAP","Sort=A","Dates=H","DateFormat=P","Fill=—","Direction=H","UseDPDF=Y")</f>
        <v>#NAME?</v>
      </c>
      <c r="U597" s="1" t="e">
        <f ca="1">_xll.BDH($C$578,"EBITDA_GROWTH","FQ4 2017","FQ4 2017","Currency=INR","Period=FQ","BEST_FPERIOD_OVERRIDE=FQ","FILING_STATUS=OR","EQY_CONSOLIDATED=Y","FA_ADJUSTED=GAAP","Sort=A","Dates=H","DateFormat=P","Fill=—","Direction=H","UseDPDF=Y")</f>
        <v>#NAME?</v>
      </c>
      <c r="V597" s="1" t="e">
        <f ca="1">_xll.BDH($C$578,"OPER_INC_GROWTH","FQ4 2017","FQ4 2017","Currency=INR","Period=FQ","BEST_FPERIOD_OVERRIDE=FQ","FILING_STATUS=OR","EQY_CONSOLIDATED=Y","FA_ADJUSTED=GAAP","Sort=A","Dates=H","DateFormat=P","Fill=—","Direction=H","UseDPDF=Y")</f>
        <v>#NAME?</v>
      </c>
      <c r="W597" s="1" t="e">
        <f ca="1">_xll.BDH($C$578,"EARN_FOR_COM_GROWTH","FQ4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97" s="1" t="e">
        <f ca="1">_xll.BDH($C$578,"DILUTED_EPS_AFT_XO_ITEMS_GROWTH","FQ4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97" s="1" t="e">
        <f ca="1">_xll.BDH($C$578,"DIVIDEND_PER_SHARE_1_YEAR_GROWTH","FQ4 2017","FQ4 2017","Currency=INR","Period=FQ","BEST_FPERIOD_OVERRIDE=FQ","FILING_STATUS=OR","EQY_CONSOLIDATED=Y","Sort=A","Dates=H","DateFormat=P","Fill=—","Direction=H","UseDPDF=Y")</f>
        <v>#NAME?</v>
      </c>
      <c r="Z597" s="1" t="e">
        <f ca="1">_xll.BDH($C$578,"ACCOUNTS_RECEIVABLE_GROWTH","FQ4 2017","FQ4 2017","Currency=INR","Period=FQ","BEST_FPERIOD_OVERRIDE=FQ","FILING_STATUS=OR","EQY_CONSOLIDATED=Y","Sort=A","Dates=H","DateFormat=P","Fill=—","Direction=H","UseDPDF=Y")</f>
        <v>#NAME?</v>
      </c>
      <c r="AA597" s="1" t="e">
        <f ca="1">_xll.BDH($C$578,"INVENTORY_GROWTH","FQ4 2017","FQ4 2017","Currency=INR","Period=FQ","BEST_FPERIOD_OVERRIDE=FQ","FILING_STATUS=OR","EQY_CONSOLIDATED=Y","Sort=A","Dates=H","DateFormat=P","Fill=—","Direction=H","UseDPDF=Y")</f>
        <v>#NAME?</v>
      </c>
      <c r="AB597" s="1" t="e">
        <f ca="1">_xll.BDH($C$578,"NET_FIXED_ASSETS_1_YEAR_GROWTH","FQ4 2017","FQ4 2017","Currency=INR","Period=FQ","BEST_FPERIOD_OVERRIDE=FQ","FILING_STATUS=OR","EQY_CONSOLIDATED=Y","Sort=A","Dates=H","DateFormat=P","Fill=—","Direction=H","UseDPDF=Y")</f>
        <v>#NAME?</v>
      </c>
      <c r="AC597" s="1" t="e">
        <f ca="1">_xll.BDH($C$578,"ASSET_GROWTH","FQ4 2017","FQ4 2017","Currency=INR","Period=FQ","BEST_FPERIOD_OVERRIDE=FQ","FILING_STATUS=OR","EQY_CONSOLIDATED=Y","Sort=A","Dates=H","DateFormat=P","Fill=—","Direction=H","UseDPDF=Y")</f>
        <v>#NAME?</v>
      </c>
      <c r="AD597" s="1" t="e">
        <f ca="1">_xll.BDH($C$578,"MODIFIED_WORK_CAP_GROWTH","FQ4 2017","FQ4 2017","Currency=INR","Period=FQ","BEST_FPERIOD_OVERRIDE=FQ","FILING_STATUS=OR","EQY_CONSOLIDATED=Y","Sort=A","Dates=H","DateFormat=P","Fill=—","Direction=H","UseDPDF=Y")</f>
        <v>#NAME?</v>
      </c>
      <c r="AE597" s="1" t="e">
        <f ca="1">_xll.BDH($C$578,"WORK_CAP_GROWTH","FQ4 2017","FQ4 2017","Currency=INR","Period=FQ","BEST_FPERIOD_OVERRIDE=FQ","FILING_STATUS=OR","EQY_CONSOLIDATED=Y","Sort=A","Dates=H","DateFormat=P","Fill=—","Direction=H","UseDPDF=Y")</f>
        <v>#NAME?</v>
      </c>
      <c r="AF597" s="1" t="e">
        <f ca="1">_xll.BDH($C$578,"ACCOUNTS_PAYABLE_GROWTH_1YR","FQ4 2017","FQ4 2017","Currency=INR","Period=FQ","BEST_FPERIOD_OVERRIDE=FQ","FILING_STATUS=OR","EQY_CONSOLIDATED=Y","Sort=A","Dates=H","DateFormat=P","Fill=—","Direction=H","UseDPDF=Y")</f>
        <v>#NAME?</v>
      </c>
      <c r="AG597" s="1" t="e">
        <f ca="1">_xll.BDH($C$578,"SHORT_TERM_DEBT_1_YEAR_GROWTH","FQ4 2017","FQ4 2017","Currency=INR","Period=FQ","BEST_FPERIOD_OVERRIDE=FQ","FILING_STATUS=OR","EQY_CONSOLIDATED=Y","Sort=A","Dates=H","DateFormat=P","Fill=—","Direction=H","UseDPDF=Y")</f>
        <v>#NAME?</v>
      </c>
      <c r="AH597" s="1" t="e">
        <f ca="1">_xll.BDH($C$578,"TOTAL_DEBT_1_YEAR_GROWTH","FQ4 2017","FQ4 2017","Currency=INR","Period=FQ","BEST_FPERIOD_OVERRIDE=FQ","FILING_STATUS=OR","EQY_CONSOLIDATED=Y","Sort=A","Dates=H","DateFormat=P","Fill=—","Direction=H","UseDPDF=Y")</f>
        <v>#NAME?</v>
      </c>
      <c r="AI597" s="1" t="e">
        <f ca="1">_xll.BDH($C$578,"TOTAL_EQUITY_1_YEAR_GROWTH","FQ4 2017","FQ4 2017","Currency=INR","Period=FQ","BEST_FPERIOD_OVERRIDE=FQ","FILING_STATUS=OR","EQY_CONSOLIDATED=Y","Sort=A","Dates=H","DateFormat=P","Fill=—","Direction=H","UseDPDF=Y")</f>
        <v>#NAME?</v>
      </c>
      <c r="AJ597" s="1" t="e">
        <f ca="1">_xll.BDH($C$578,"GROWTH_IN_CAP","FQ4 2017","FQ4 2017","Currency=INR","Period=FQ","BEST_FPERIOD_OVERRIDE=FQ","FILING_STATUS=OR","EQY_CONSOLIDATED=Y","Sort=A","Dates=H","DateFormat=P","Fill=—","Direction=H","UseDPDF=Y")</f>
        <v>#NAME?</v>
      </c>
      <c r="AK597" s="1" t="e">
        <f ca="1">_xll.BDH($C$578,"BVPS_GROWTH","FQ4 2017","FQ4 2017","Currency=INR","Period=FQ","BEST_FPERIOD_OVERRIDE=FQ","FILING_STATUS=OR","EQY_CONSOLIDATED=Y","Sort=A","Dates=H","DateFormat=P","Fill=—","Direction=H","UseDPDF=Y")</f>
        <v>#NAME?</v>
      </c>
      <c r="AL597" s="1" t="e">
        <f ca="1">_xll.BDH($C$578,"CASH_FLOW_GROWTH","FQ4 2017","FQ4 2017","Currency=INR","Period=FQ","BEST_FPERIOD_OVERRIDE=FQ","FILING_STATUS=OR","EQY_CONSOLIDATED=Y","Sort=A","Dates=H","DateFormat=P","Fill=—","Direction=H","UseDPDF=Y")</f>
        <v>#NAME?</v>
      </c>
      <c r="AM597" s="1" t="e">
        <f ca="1">_xll.BDH($C$578,"GEO_GROW_NET_SALES","FQ4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97" s="1" t="e">
        <f ca="1">_xll.BDH($C$578,"GEO_GROW_EBITDA","FQ4 2017","FQ4 2017","Currency=INR","Period=FQ","BEST_FPERIOD_OVERRIDE=FQ","FILING_STATUS=OR","EQY_CONSOLIDATED=Y","FA_ADJUSTED=GAAP","Sort=A","Dates=H","DateFormat=P","Fill=—","Direction=H","UseDPDF=Y")</f>
        <v>#NAME?</v>
      </c>
      <c r="AO597" s="1" t="e">
        <f ca="1">_xll.BDH($C$578,"GEO_GROW_OPER_INC","FQ4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97" s="1" t="e">
        <f ca="1">_xll.BDH($C$578,"NET_INCOME_TO_COMMON_5_YR_GROWTH","FQ4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97" s="1" t="e">
        <f ca="1">_xll.BDH($C$578,"5Y_GEO_GROWTH_DILUTED_EPS","FQ4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97" s="1" t="e">
        <f ca="1">_xll.BDH($C$578,"GEO_GROW_DVD_PER_SH","FQ4 2017","FQ4 2017","Currency=INR","Period=FQ","BEST_FPERIOD_OVERRIDE=FQ","FILING_STATUS=OR","EQY_CONSOLIDATED=Y","Sort=A","Dates=H","DateFormat=P","Fill=—","Direction=H","UseDPDF=Y")</f>
        <v>#NAME?</v>
      </c>
      <c r="AS597" s="1" t="e">
        <f ca="1">_xll.BDH($C$578,"ACCOUNTS_RECEIVABLE_5_YR_GROWTH","FQ4 2017","FQ4 2017","Currency=INR","Period=FQ","BEST_FPERIOD_OVERRIDE=FQ","FILING_STATUS=OR","EQY_CONSOLIDATED=Y","Sort=A","Dates=H","DateFormat=P","Fill=—","Direction=H","UseDPDF=Y")</f>
        <v>#NAME?</v>
      </c>
      <c r="AT597" s="1" t="e">
        <f ca="1">_xll.BDH($C$578,"INVENTORY_5_YEAR_GROWTH","FQ4 2017","FQ4 2017","Currency=INR","Period=FQ","BEST_FPERIOD_OVERRIDE=FQ","FILING_STATUS=OR","EQY_CONSOLIDATED=Y","Sort=A","Dates=H","DateFormat=P","Fill=—","Direction=H","UseDPDF=Y")</f>
        <v>#NAME?</v>
      </c>
      <c r="AU597" s="1" t="e">
        <f ca="1">_xll.BDH($C$578,"NET_FIXED_ASSETS_5_YEAR_GROWTH","FQ4 2017","FQ4 2017","Currency=INR","Period=FQ","BEST_FPERIOD_OVERRIDE=FQ","FILING_STATUS=OR","EQY_CONSOLIDATED=Y","Sort=A","Dates=H","DateFormat=P","Fill=—","Direction=H","UseDPDF=Y")</f>
        <v>#NAME?</v>
      </c>
      <c r="AV597" s="1" t="e">
        <f ca="1">_xll.BDH($C$578,"GEO_GROW_TOT_ASSET","FQ4 2017","FQ4 2017","Currency=INR","Period=FQ","BEST_FPERIOD_OVERRIDE=FQ","FILING_STATUS=OR","EQY_CONSOLIDATED=Y","Sort=A","Dates=H","DateFormat=P","Fill=—","Direction=H","UseDPDF=Y")</f>
        <v>#NAME?</v>
      </c>
      <c r="AW597" s="1" t="e">
        <f ca="1">_xll.BDH($C$578,"MODIFIED_WORKING_CPTL_5YR_GRWTH","FQ4 2017","FQ4 2017","Currency=INR","Period=FQ","BEST_FPERIOD_OVERRIDE=FQ","FILING_STATUS=OR","EQY_CONSOLIDATED=Y","Sort=A","Dates=H","DateFormat=P","Fill=—","Direction=H","UseDPDF=Y")</f>
        <v>#NAME?</v>
      </c>
      <c r="AX597" s="1" t="e">
        <f ca="1">_xll.BDH($C$578,"WORKING_CAPITAL_5_YEAR_GROWTH","FQ4 2017","FQ4 2017","Currency=INR","Period=FQ","BEST_FPERIOD_OVERRIDE=FQ","FILING_STATUS=OR","EQY_CONSOLIDATED=Y","Sort=A","Dates=H","DateFormat=P","Fill=—","Direction=H","UseDPDF=Y")</f>
        <v>#NAME?</v>
      </c>
      <c r="AY597" s="1" t="e">
        <f ca="1">_xll.BDH($C$578,"ACCOUNTS_PAYABLE_5_YEAR_GROWTH","FQ4 2017","FQ4 2017","Currency=INR","Period=FQ","BEST_FPERIOD_OVERRIDE=FQ","FILING_STATUS=OR","EQY_CONSOLIDATED=Y","Sort=A","Dates=H","DateFormat=P","Fill=—","Direction=H","UseDPDF=Y")</f>
        <v>#NAME?</v>
      </c>
      <c r="AZ597" s="1" t="e">
        <f ca="1">_xll.BDH($C$578,"SHORT_TERM_DEBT_5_YEAR_GROWTH","FQ4 2017","FQ4 2017","Currency=INR","Period=FQ","BEST_FPERIOD_OVERRIDE=FQ","FILING_STATUS=OR","EQY_CONSOLIDATED=Y","Sort=A","Dates=H","DateFormat=P","Fill=—","Direction=H","UseDPDF=Y")</f>
        <v>#NAME?</v>
      </c>
      <c r="BA597" s="1" t="e">
        <f ca="1">_xll.BDH($C$578,"TOTAL_DEBT_5_YEAR_GROWTH","FQ4 2017","FQ4 2017","Currency=INR","Period=FQ","BEST_FPERIOD_OVERRIDE=FQ","FILING_STATUS=OR","EQY_CONSOLIDATED=Y","Sort=A","Dates=H","DateFormat=P","Fill=—","Direction=H","UseDPDF=Y")</f>
        <v>#NAME?</v>
      </c>
      <c r="BB597" s="1" t="e">
        <f ca="1">_xll.BDH($C$578,"GEO_GROW_TOT_SHRHLDR_EQY","FQ4 2017","FQ4 2017","Currency=INR","Period=FQ","BEST_FPERIOD_OVERRIDE=FQ","FILING_STATUS=OR","EQY_CONSOLIDATED=Y","Sort=A","Dates=H","DateFormat=P","Fill=—","Direction=H","UseDPDF=Y")</f>
        <v>#NAME?</v>
      </c>
      <c r="BC597" s="1" t="e">
        <f ca="1">_xll.BDH($C$578,"TOTAL_CAPITAL_5_YEAR_GROWTH","FQ4 2017","FQ4 2017","Currency=INR","Period=FQ","BEST_FPERIOD_OVERRIDE=FQ","FILING_STATUS=OR","EQY_CONSOLIDATED=Y","Sort=A","Dates=H","DateFormat=P","Fill=—","Direction=H","UseDPDF=Y")</f>
        <v>#NAME?</v>
      </c>
      <c r="BD597" s="1" t="e">
        <f ca="1">_xll.BDH($C$578,"GEO_GROW_BOOK_VAL","FQ4 2017","FQ4 2017","Currency=INR","Period=FQ","BEST_FPERIOD_OVERRIDE=FQ","FILING_STATUS=OR","EQY_CONSOLIDATED=Y","Sort=A","Dates=H","DateFormat=P","Fill=—","Direction=H","UseDPDF=Y")</f>
        <v>#NAME?</v>
      </c>
      <c r="BE597" s="1" t="e">
        <f ca="1">_xll.BDH($C$578,"GEO_GROW_CASH_OPER_ACT","FQ4 2017","FQ4 2017","Currency=INR","Period=FQ","BEST_FPERIOD_OVERRIDE=FQ","FILING_STATUS=OR","EQY_CONSOLIDATED=Y","Sort=A","Dates=H","DateFormat=P","Fill=—","Direction=H","UseDPDF=Y")</f>
        <v>#NAME?</v>
      </c>
      <c r="BF597" s="1" t="e">
        <f ca="1">_xll.BDH($C$578,"REVENUE_SEQUENTIAL_GROWTH","FQ4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97" s="1" t="e">
        <f ca="1">_xll.BDH($C$578,"EBITDA_SEQUENTIAL_GROWTH","FQ4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97" s="1" t="e">
        <f ca="1">_xll.BDH($C$578,"OPERATING_INCOME_SEQ_GROWTH","FQ4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97" s="1" t="e">
        <f ca="1">_xll.BDH($C$578,"NET_INCOME_TO_COMMON_SEQ_GROWTH","FQ4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97" s="1" t="e">
        <f ca="1">_xll.BDH($C$578,"EPS_DILUTED_SEQUENTIAL_GROWTH","FQ4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97" s="1" t="e">
        <f ca="1">_xll.BDH($C$578,"DPS_SEQUENTIAL_GROWTH","FQ4 2017","FQ4 2017","Currency=INR","Period=FQ","BEST_FPERIOD_OVERRIDE=FQ","FILING_STATUS=OR","EQY_CONSOLIDATED=Y","Sort=A","Dates=H","DateFormat=P","Fill=—","Direction=H","UseDPDF=Y")</f>
        <v>#NAME?</v>
      </c>
      <c r="BL597" s="1" t="e">
        <f ca="1">_xll.BDH($C$578,"ACCOUNTS_RECEIVABLE_SEQ_GROWTH","FQ4 2017","FQ4 2017","Currency=INR","Period=FQ","BEST_FPERIOD_OVERRIDE=FQ","FILING_STATUS=OR","EQY_CONSOLIDATED=Y","Sort=A","Dates=H","DateFormat=P","Fill=—","Direction=H","UseDPDF=Y")</f>
        <v>#NAME?</v>
      </c>
      <c r="BM597" s="1" t="e">
        <f ca="1">_xll.BDH($C$578,"INVENTORY_SEQUENTIAL_GROWTH","FQ4 2017","FQ4 2017","Currency=INR","Period=FQ","BEST_FPERIOD_OVERRIDE=FQ","FILING_STATUS=OR","EQY_CONSOLIDATED=Y","Sort=A","Dates=H","DateFormat=P","Fill=—","Direction=H","UseDPDF=Y")</f>
        <v>#NAME?</v>
      </c>
      <c r="BN597" s="1" t="e">
        <f ca="1">_xll.BDH($C$578,"FIXED_ASSETS_SEQUENTIAL_GROWTH","FQ4 2017","FQ4 2017","Currency=INR","Period=FQ","BEST_FPERIOD_OVERRIDE=FQ","FILING_STATUS=OR","EQY_CONSOLIDATED=Y","Sort=A","Dates=H","DateFormat=P","Fill=—","Direction=H","UseDPDF=Y")</f>
        <v>#NAME?</v>
      </c>
      <c r="BO597" s="1" t="e">
        <f ca="1">_xll.BDH($C$578,"TOTAL_ASSETS_SEQUENTIAL_GROWTH","FQ4 2017","FQ4 2017","Currency=INR","Period=FQ","BEST_FPERIOD_OVERRIDE=FQ","FILING_STATUS=OR","EQY_CONSOLIDATED=Y","Sort=A","Dates=H","DateFormat=P","Fill=—","Direction=H","UseDPDF=Y")</f>
        <v>#NAME?</v>
      </c>
      <c r="BP597" s="1" t="e">
        <f ca="1">_xll.BDH($C$578,"MODIFIED_WORKING_CPTL_SEQ_GRWTH","FQ4 2017","FQ4 2017","Currency=INR","Period=FQ","BEST_FPERIOD_OVERRIDE=FQ","FILING_STATUS=OR","EQY_CONSOLIDATED=Y","Sort=A","Dates=H","DateFormat=P","Fill=—","Direction=H","UseDPDF=Y")</f>
        <v>#NAME?</v>
      </c>
      <c r="BQ597" s="1" t="e">
        <f ca="1">_xll.BDH($C$578,"WORKING_CAPITAL_SEQ_GROWTH","FQ4 2017","FQ4 2017","Currency=INR","Period=FQ","BEST_FPERIOD_OVERRIDE=FQ","FILING_STATUS=OR","EQY_CONSOLIDATED=Y","Sort=A","Dates=H","DateFormat=P","Fill=—","Direction=H","UseDPDF=Y")</f>
        <v>#NAME?</v>
      </c>
      <c r="BR597" s="1" t="e">
        <f ca="1">_xll.BDH($C$578,"ACCOUNTS_PAYABLE_SEQ_GROWTH","FQ4 2017","FQ4 2017","Currency=INR","Period=FQ","BEST_FPERIOD_OVERRIDE=FQ","FILING_STATUS=OR","EQY_CONSOLIDATED=Y","Sort=A","Dates=H","DateFormat=P","Fill=—","Direction=H","UseDPDF=Y")</f>
        <v>#NAME?</v>
      </c>
      <c r="BS597" s="1" t="e">
        <f ca="1">_xll.BDH($C$578,"ST_DEBT_SEQUENTIAL_GROWTH","FQ4 2017","FQ4 2017","Currency=INR","Period=FQ","BEST_FPERIOD_OVERRIDE=FQ","FILING_STATUS=OR","EQY_CONSOLIDATED=Y","Sort=A","Dates=H","DateFormat=P","Fill=—","Direction=H","UseDPDF=Y")</f>
        <v>#NAME?</v>
      </c>
      <c r="BT597" s="1" t="e">
        <f ca="1">_xll.BDH($C$578,"TOTAL_DEBT_SEQUENTIAL_GROWTH","FQ4 2017","FQ4 2017","Currency=INR","Period=FQ","BEST_FPERIOD_OVERRIDE=FQ","FILING_STATUS=OR","EQY_CONSOLIDATED=Y","Sort=A","Dates=H","DateFormat=P","Fill=—","Direction=H","UseDPDF=Y")</f>
        <v>#NAME?</v>
      </c>
      <c r="BU597" s="1" t="e">
        <f ca="1">_xll.BDH($C$578,"TOTAL_EQUITY_SEQUENTIAL_GROWTH","FQ4 2017","FQ4 2017","Currency=INR","Period=FQ","BEST_FPERIOD_OVERRIDE=FQ","FILING_STATUS=OR","EQY_CONSOLIDATED=Y","Sort=A","Dates=H","DateFormat=P","Fill=—","Direction=H","UseDPDF=Y")</f>
        <v>#NAME?</v>
      </c>
      <c r="BV597" s="1" t="e">
        <f ca="1">_xll.BDH($C$578,"TOTAL_CAPITAL_SEQUENTIAL_GROWTH","FQ4 2017","FQ4 2017","Currency=INR","Period=FQ","BEST_FPERIOD_OVERRIDE=FQ","FILING_STATUS=OR","EQY_CONSOLIDATED=Y","Sort=A","Dates=H","DateFormat=P","Fill=—","Direction=H","UseDPDF=Y")</f>
        <v>#NAME?</v>
      </c>
      <c r="BW597" s="1" t="e">
        <f ca="1">_xll.BDH($C$578,"BPS_SEQUENTIAL_GROWTH","FQ4 2017","FQ4 2017","Currency=INR","Period=FQ","BEST_FPERIOD_OVERRIDE=FQ","FILING_STATUS=OR","EQY_CONSOLIDATED=Y","Sort=A","Dates=H","DateFormat=P","Fill=—","Direction=H","UseDPDF=Y")</f>
        <v>#NAME?</v>
      </c>
      <c r="BX597" s="1" t="e">
        <f ca="1">_xll.BDH($C$578,"CFO_SEQUENTIAL_GROWTH","FQ4 2017","FQ4 2017","Currency=INR","Period=FQ","BEST_FPERIOD_OVERRIDE=FQ","FILING_STATUS=OR","EQY_CONSOLIDATED=Y","Sort=A","Dates=H","DateFormat=P","Fill=—","Direction=H","UseDPDF=Y")</f>
        <v>#NAME?</v>
      </c>
      <c r="BY597" s="2" t="e">
        <f ca="1">_xll.BDH($C$578,"SHORT_AND_LONG_TERM_DEBT","FQ4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97" s="2" t="e">
        <f ca="1">_xll.BDH($C$578,"BS_ST_BORROW","FQ4 2017","FQ4 2017","Currency=INR","Period=FQ","BEST_FPERIOD_OVERRIDE=FQ","FILING_STATUS=OR","EQY_CONSOLIDATED=Y","SCALING_FORMAT=MLN","Sort=A","Dates=H","DateFormat=P","Fill=—","Direction=H","UseDPDF=Y")</f>
        <v>#NAME?</v>
      </c>
      <c r="CA597" s="2" t="e">
        <f ca="1">_xll.BDH($C$578,"BS_LT_BORROW","FQ4 2017","FQ4 2017","Currency=INR","Period=FQ","BEST_FPERIOD_OVERRIDE=FQ","FILING_STATUS=OR","EQY_CONSOLIDATED=Y","SCALING_FORMAT=MLN","Sort=A","Dates=H","DateFormat=P","Fill=—","Direction=H","UseDPDF=Y")</f>
        <v>#NAME?</v>
      </c>
      <c r="CB597" s="1" t="e">
        <f ca="1">_xll.BDH($C$578,"TOT_DEBT_TO_EBITDA","FQ4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97" s="1" t="e">
        <f ca="1">_xll.BDH($C$578,"NET_DEBT_TO_EBITDA","FQ4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97" s="1" t="e">
        <f ca="1">_xll.BDH($C$578,"TOTAL_DEBT_TO_EBIT","FQ4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97" s="1" t="e">
        <f ca="1">_xll.BDH($C$578,"NET_DEBT_TO_EBIT","FQ4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597" s="1" t="e">
        <f ca="1">_xll.BDH($C$578,"EBITDA_TO_INTEREST_EXPN","FQ4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97" s="1" t="e">
        <f ca="1">_xll.BDH($C$578,"COM_EQY_TO_TOT_ASSET","FQ4 2017","FQ4 2017","Currency=INR","Period=FQ","BEST_FPERIOD_OVERRIDE=FQ","FILING_STATUS=OR","EQY_CONSOLIDATED=Y","Sort=A","Dates=H","DateFormat=P","Fill=—","Direction=H","UseDPDF=Y")</f>
        <v>#NAME?</v>
      </c>
      <c r="CH597" s="1" t="e">
        <f ca="1">_xll.BDH($C$578,"LT_DEBT_TO_TOT_EQY","FQ4 2017","FQ4 2017","Currency=INR","Period=FQ","BEST_FPERIOD_OVERRIDE=FQ","FILING_STATUS=OR","EQY_CONSOLIDATED=Y","Sort=A","Dates=H","DateFormat=P","Fill=—","Direction=H","UseDPDF=Y")</f>
        <v>#NAME?</v>
      </c>
      <c r="CI597" s="1" t="e">
        <f ca="1">_xll.BDH($C$578,"LT_DEBT_TO_TOT_CAP","FQ4 2017","FQ4 2017","Currency=INR","Period=FQ","BEST_FPERIOD_OVERRIDE=FQ","FILING_STATUS=OR","EQY_CONSOLIDATED=Y","Sort=A","Dates=H","DateFormat=P","Fill=—","Direction=H","UseDPDF=Y")</f>
        <v>#NAME?</v>
      </c>
      <c r="CJ597" s="1" t="e">
        <f ca="1">_xll.BDH($C$578,"LT_DEBT_TO_TOT_ASSET","FQ4 2017","FQ4 2017","Currency=INR","Period=FQ","BEST_FPERIOD_OVERRIDE=FQ","FILING_STATUS=OR","EQY_CONSOLIDATED=Y","Sort=A","Dates=H","DateFormat=P","Fill=—","Direction=H","UseDPDF=Y")</f>
        <v>#NAME?</v>
      </c>
      <c r="CK597" s="1" t="e">
        <f ca="1">_xll.BDH($C$578,"TOT_DEBT_TO_TOT_EQY","FQ4 2017","FQ4 2017","Currency=INR","Period=FQ","BEST_FPERIOD_OVERRIDE=FQ","FILING_STATUS=OR","EQY_CONSOLIDATED=Y","Sort=A","Dates=H","DateFormat=P","Fill=—","Direction=H","UseDPDF=Y")</f>
        <v>#NAME?</v>
      </c>
      <c r="CL597" s="1" t="e">
        <f ca="1">_xll.BDH($C$578,"TOT_DEBT_TO_TOT_CAP","FQ4 2017","FQ4 2017","Currency=INR","Period=FQ","BEST_FPERIOD_OVERRIDE=FQ","FILING_STATUS=OR","EQY_CONSOLIDATED=Y","Sort=A","Dates=H","DateFormat=P","Fill=—","Direction=H","UseDPDF=Y")</f>
        <v>#NAME?</v>
      </c>
      <c r="CM597" s="1" t="e">
        <f ca="1">_xll.BDH($C$578,"TOT_DEBT_TO_TOT_ASSET","FQ4 2017","FQ4 2017","Currency=INR","Period=FQ","BEST_FPERIOD_OVERRIDE=FQ","FILING_STATUS=OR","EQY_CONSOLIDATED=Y","Sort=A","Dates=H","DateFormat=P","Fill=—","Direction=H","UseDPDF=Y")</f>
        <v>#NAME?</v>
      </c>
      <c r="CN597" s="1" t="e">
        <f ca="1">_xll.BDH($C$578,"NET_DEBT_TO_SHRHLDR_EQTY","FQ4 2017","FQ4 2017","Currency=INR","Period=FQ","BEST_FPERIOD_OVERRIDE=FQ","FILING_STATUS=OR","EQY_CONSOLIDATED=Y","Sort=A","Dates=H","DateFormat=P","Fill=—","Direction=H","UseDPDF=Y")</f>
        <v>#NAME?</v>
      </c>
      <c r="CO597" s="1" t="e">
        <f ca="1">_xll.BDH($C$578,"NET_DEBT_%_CAPITAL","FQ4 2017","FQ4 2017","Currency=INR","Period=FQ","BEST_FPERIOD_OVERRIDE=FQ","FILING_STATUS=OR","EQY_CONSOLIDATED=Y","Sort=A","Dates=H","DateFormat=P","Fill=—","Direction=H","UseDPDF=Y")</f>
        <v>#NAME?</v>
      </c>
      <c r="CP597" s="2" t="e">
        <f ca="1">_xll.BDH($C$578,"EBITDA","FQ4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97" s="2" t="e">
        <f ca="1">_xll.BDH($C$578,"EBITDA_AFTER_CAPEX","FQ4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97" s="2" t="e">
        <f ca="1">_xll.BDH($C$578,"IS_OPER_INC","FQ4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97" s="1" t="e">
        <f ca="1">_xll.BDH($C$578,"CASH_RATIO","FQ4 2017","FQ4 2017","Currency=INR","Period=FQ","BEST_FPERIOD_OVERRIDE=FQ","FILING_STATUS=OR","EQY_CONSOLIDATED=Y","Sort=A","Dates=H","DateFormat=P","Fill=—","Direction=H","UseDPDF=Y")</f>
        <v>#NAME?</v>
      </c>
      <c r="CT597" s="1" t="e">
        <f ca="1">_xll.BDH($C$578,"CUR_RATIO","FQ4 2017","FQ4 2017","Currency=INR","Period=FQ","BEST_FPERIOD_OVERRIDE=FQ","FILING_STATUS=OR","EQY_CONSOLIDATED=Y","Sort=A","Dates=H","DateFormat=P","Fill=—","Direction=H","UseDPDF=Y")</f>
        <v>#NAME?</v>
      </c>
      <c r="CU597" s="1" t="e">
        <f ca="1">_xll.BDH($C$578,"QUICK_RATIO","FQ4 2017","FQ4 2017","Currency=INR","Period=FQ","BEST_FPERIOD_OVERRIDE=FQ","FILING_STATUS=OR","EQY_CONSOLIDATED=Y","Sort=A","Dates=H","DateFormat=P","Fill=—","Direction=H","UseDPDF=Y")</f>
        <v>#NAME?</v>
      </c>
      <c r="CV597" s="1" t="e">
        <f ca="1">_xll.BDH($C$578,"ALTMAN_Z_SCORE","FQ4 2017","FQ4 2017","Currency=INR","Period=FQ","BEST_FPERIOD_OVERRIDE=FQ","FILING_STATUS=OR","EQY_CONSOLIDATED=Y","Sort=A","Dates=H","DateFormat=P","Fill=—","Direction=H","UseDPDF=Y")</f>
        <v>#NAME?</v>
      </c>
      <c r="CW597" s="3" t="e">
        <f ca="1">_xll.BDH($C$578,"ACCT_RCV_TURN","FQ4 2017","FQ4 2017","Currency=INR","Period=FQ","BEST_FPERIOD_OVERRIDE=FQ","FILING_STATUS=OR","EQY_CONSOLIDATED=Y","FA_ADJUSTED=GAAP","Sort=A","Dates=H","DateFormat=P","Fill=—","Direction=H","UseDPDF=Y")</f>
        <v>#NAME?</v>
      </c>
      <c r="CX597" s="1" t="e">
        <f ca="1">_xll.BDH($C$578,"ACCT_RCV_DAYS","FQ4 2017","FQ4 2017","Currency=INR","Period=FQ","BEST_FPERIOD_OVERRIDE=FQ","FILING_STATUS=OR","EQY_CONSOLIDATED=Y","FA_ADJUSTED=GAAP","Sort=A","Dates=H","DateFormat=P","Fill=—","Direction=H","UseDPDF=Y")</f>
        <v>#NAME?</v>
      </c>
      <c r="CY597" s="3" t="e">
        <f ca="1">_xll.BDH($C$578,"INVENT_TURN","FQ4 2017","FQ4 2017","Currency=INR","Period=FQ","BEST_FPERIOD_OVERRIDE=FQ","FILING_STATUS=OR","EQY_CONSOLIDATED=Y","FA_ADJUSTED=GAAP","Sort=A","Dates=H","DateFormat=P","Fill=—","Direction=H","UseDPDF=Y")</f>
        <v>#NAME?</v>
      </c>
      <c r="CZ597" s="1" t="e">
        <f ca="1">_xll.BDH($C$578,"INVENT_DAYS","FQ4 2017","FQ4 2017","Currency=INR","Period=FQ","BEST_FPERIOD_OVERRIDE=FQ","FILING_STATUS=OR","EQY_CONSOLIDATED=Y","FA_ADJUSTED=GAAP","Sort=A","Dates=H","DateFormat=P","Fill=—","Direction=H","UseDPDF=Y")</f>
        <v>#NAME?</v>
      </c>
      <c r="DA597" s="3" t="e">
        <f ca="1">_xll.BDH($C$578,"ACCOUNTS_PAYABLE_TURNOVER","FQ4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97" s="1" t="e">
        <f ca="1">_xll.BDH($C$578,"ACCOUNTS_PAYABLE_TURNOVER_DAYS","FQ4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97" s="3" t="e">
        <f ca="1">_xll.BDH($C$578,"CASH_CONVERSION_CYCLE","FQ4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97" s="3" t="e">
        <f ca="1">_xll.BDH($C$578,"INV_TO_CASH_DAYS","FQ4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597" s="4" t="e">
        <f ca="1">_xll.BDH($C$578,"BS_INVENTORIES","FQ4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597" s="2" t="e">
        <f ca="1">_xll.BDH($C$578,"INVTRY_RAW_MATERIALS","FQ4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97" s="2" t="e">
        <f ca="1">_xll.BDH($C$578,"INVTRY_IN_PROGRESS","FQ4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97" s="2" t="e">
        <f ca="1">_xll.BDH($C$578,"INVTRY_FINISHED_GOODS","FQ4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97" s="2" t="e">
        <f ca="1">_xll.BDH($C$578,"BS_OTHER_INV","FQ4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98" spans="1:113" x14ac:dyDescent="0.3">
      <c r="A598" s="6"/>
      <c r="B598" s="6"/>
      <c r="C598" s="6"/>
      <c r="D598" s="6" t="s">
        <v>11</v>
      </c>
      <c r="E598" t="s">
        <v>3</v>
      </c>
      <c r="F598" t="e">
        <f ca="1">_xll.BDH($C$578,"RETURN_COM_EQY","FY 2018","FY 2018","Currency=INR","Period=FY","BEST_FPERIOD_OVERRIDE=FY","FILING_STATUS=OR","EQY_CONSOLIDATED=Y","FA_ADJUSTED=GAAP","Sort=A","Dates=H","DateFormat=P","Fill=—","Direction=H","UseDPDF=Y")</f>
        <v>#NAME?</v>
      </c>
      <c r="G598" t="e">
        <f ca="1">_xll.BDH($C$578,"RETURN_ON_ASSET","FY 2018","FY 2018","Currency=INR","Period=FY","BEST_FPERIOD_OVERRIDE=FY","FILING_STATUS=OR","EQY_CONSOLIDATED=Y","FA_ADJUSTED=GAAP","Sort=A","Dates=H","DateFormat=P","Fill=—","Direction=H","UseDPDF=Y")</f>
        <v>#NAME?</v>
      </c>
      <c r="H598" t="e">
        <f ca="1">_xll.BDH($C$578,"RETURN_ON_CAP","FY 2018","FY 2018","Currency=INR","Period=FY","BEST_FPERIOD_OVERRIDE=FY","FILING_STATUS=OR","EQY_CONSOLIDATED=Y","FA_ADJUSTED=GAAP","Sort=A","Dates=H","DateFormat=P","Fill=—","Direction=H","UseDPDF=Y")</f>
        <v>#NAME?</v>
      </c>
      <c r="I598" t="e">
        <f ca="1">_xll.BDH($C$578,"RETURN_ON_INV_CAPITAL","FY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98" t="e">
        <f ca="1">_xll.BDH($C$578,"EBITDA_TO_REVENUE","FY 2018","FY 2018","Currency=INR","Period=FY","BEST_FPERIOD_OVERRIDE=FY","FILING_STATUS=OR","EQY_CONSOLIDATED=Y","FA_ADJUSTED=GAAP","Sort=A","Dates=H","DateFormat=P","Fill=—","Direction=H","UseDPDF=Y")</f>
        <v>#NAME?</v>
      </c>
      <c r="K598" t="e">
        <f ca="1">_xll.BDH($C$578,"OPER_MARGIN","FY 2018","FY 2018","Currency=INR","Period=FY","BEST_FPERIOD_OVERRIDE=FY","FILING_STATUS=OR","EQY_CONSOLIDATED=Y","FA_ADJUSTED=GAAP","Sort=A","Dates=H","DateFormat=P","Fill=—","Direction=H","UseDPDF=Y")</f>
        <v>#NAME?</v>
      </c>
      <c r="L598" t="e">
        <f ca="1">_xll.BDH($C$578,"INCREMENTAL_OPERATING_MARGIN","FY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98" t="e">
        <f ca="1">_xll.BDH($C$578,"PRETAX_INC_TO_NET_SALES","FY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98" t="e">
        <f ca="1">_xll.BDH($C$578,"INC_BEF_XO_ITEMS_TO_NET_SALES","FY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98" t="e">
        <f ca="1">_xll.BDH($C$578,"PROF_MARGIN","FY 2018","FY 2018","Currency=INR","Period=FY","BEST_FPERIOD_OVERRIDE=FY","FILING_STATUS=OR","EQY_CONSOLIDATED=Y","FA_ADJUSTED=GAAP","Sort=A","Dates=H","DateFormat=P","Fill=—","Direction=H","UseDPDF=Y")</f>
        <v>#NAME?</v>
      </c>
      <c r="P598" t="e">
        <f ca="1">_xll.BDH($C$578,"NET_INCOME_TO_COMMON_MARGIN","FY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98" t="e">
        <f ca="1">_xll.BDH($C$578,"EFF_TAX_RATE","FY 2018","FY 2018","Currency=INR","Period=FY","BEST_FPERIOD_OVERRIDE=FY","FILING_STATUS=OR","EQY_CONSOLIDATED=Y","FA_ADJUSTED=GAAP","Sort=A","Dates=H","DateFormat=P","Fill=—","Direction=H","UseDPDF=Y")</f>
        <v>#NAME?</v>
      </c>
      <c r="R598" t="e">
        <f ca="1">_xll.BDH($C$578,"DVD_PAYOUT_RATIO","FY 2018","FY 2018","Currency=INR","Period=FY","BEST_FPERIOD_OVERRIDE=FY","FILING_STATUS=OR","EQY_CONSOLIDATED=Y","FA_ADJUSTED=GAAP","Sort=A","Dates=H","DateFormat=P","Fill=—","Direction=H","UseDPDF=Y")</f>
        <v>#NAME?</v>
      </c>
      <c r="S598" t="e">
        <f ca="1">_xll.BDH($C$578,"SUSTAIN_GROWTH_RT","FY 2018","FY 2018","Currency=INR","Period=FY","BEST_FPERIOD_OVERRIDE=FY","FILING_STATUS=OR","EQY_CONSOLIDATED=Y","FA_ADJUSTED=GAAP","Sort=A","Dates=H","DateFormat=P","Fill=—","Direction=H","UseDPDF=Y")</f>
        <v>#NAME?</v>
      </c>
      <c r="T598" s="1" t="e">
        <f ca="1">_xll.BDH($C$578,"SALES_GROWTH","FY 2018","FY 2018","Currency=INR","Period=FY","BEST_FPERIOD_OVERRIDE=FY","FILING_STATUS=OR","EQY_CONSOLIDATED=Y","FA_ADJUSTED=GAAP","Sort=A","Dates=H","DateFormat=P","Fill=—","Direction=H","UseDPDF=Y")</f>
        <v>#NAME?</v>
      </c>
      <c r="U598" s="1" t="e">
        <f ca="1">_xll.BDH($C$578,"EBITDA_GROWTH","FY 2018","FY 2018","Currency=INR","Period=FY","BEST_FPERIOD_OVERRIDE=FY","FILING_STATUS=OR","EQY_CONSOLIDATED=Y","FA_ADJUSTED=GAAP","Sort=A","Dates=H","DateFormat=P","Fill=—","Direction=H","UseDPDF=Y")</f>
        <v>#NAME?</v>
      </c>
      <c r="V598" s="1" t="e">
        <f ca="1">_xll.BDH($C$578,"OPER_INC_GROWTH","FY 2018","FY 2018","Currency=INR","Period=FY","BEST_FPERIOD_OVERRIDE=FY","FILING_STATUS=OR","EQY_CONSOLIDATED=Y","FA_ADJUSTED=GAAP","Sort=A","Dates=H","DateFormat=P","Fill=—","Direction=H","UseDPDF=Y")</f>
        <v>#NAME?</v>
      </c>
      <c r="W598" s="1" t="e">
        <f ca="1">_xll.BDH($C$578,"EARN_FOR_COM_GROWTH","FY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598" s="1" t="e">
        <f ca="1">_xll.BDH($C$578,"DILUTED_EPS_AFT_XO_ITEMS_GROWTH","FY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98" s="1" t="e">
        <f ca="1">_xll.BDH($C$578,"DIVIDEND_PER_SHARE_1_YEAR_GROWTH","FY 2018","FY 2018","Currency=INR","Period=FY","BEST_FPERIOD_OVERRIDE=FY","FILING_STATUS=OR","EQY_CONSOLIDATED=Y","Sort=A","Dates=H","DateFormat=P","Fill=—","Direction=H","UseDPDF=Y")</f>
        <v>#NAME?</v>
      </c>
      <c r="Z598" s="1" t="e">
        <f ca="1">_xll.BDH($C$578,"ACCOUNTS_RECEIVABLE_GROWTH","FY 2018","FY 2018","Currency=INR","Period=FY","BEST_FPERIOD_OVERRIDE=FY","FILING_STATUS=OR","EQY_CONSOLIDATED=Y","Sort=A","Dates=H","DateFormat=P","Fill=—","Direction=H","UseDPDF=Y")</f>
        <v>#NAME?</v>
      </c>
      <c r="AA598" s="1" t="e">
        <f ca="1">_xll.BDH($C$578,"INVENTORY_GROWTH","FY 2018","FY 2018","Currency=INR","Period=FY","BEST_FPERIOD_OVERRIDE=FY","FILING_STATUS=OR","EQY_CONSOLIDATED=Y","Sort=A","Dates=H","DateFormat=P","Fill=—","Direction=H","UseDPDF=Y")</f>
        <v>#NAME?</v>
      </c>
      <c r="AB598" s="1" t="e">
        <f ca="1">_xll.BDH($C$578,"NET_FIXED_ASSETS_1_YEAR_GROWTH","FY 2018","FY 2018","Currency=INR","Period=FY","BEST_FPERIOD_OVERRIDE=FY","FILING_STATUS=OR","EQY_CONSOLIDATED=Y","Sort=A","Dates=H","DateFormat=P","Fill=—","Direction=H","UseDPDF=Y")</f>
        <v>#NAME?</v>
      </c>
      <c r="AC598" s="1" t="e">
        <f ca="1">_xll.BDH($C$578,"ASSET_GROWTH","FY 2018","FY 2018","Currency=INR","Period=FY","BEST_FPERIOD_OVERRIDE=FY","FILING_STATUS=OR","EQY_CONSOLIDATED=Y","Sort=A","Dates=H","DateFormat=P","Fill=—","Direction=H","UseDPDF=Y")</f>
        <v>#NAME?</v>
      </c>
      <c r="AD598" s="1" t="e">
        <f ca="1">_xll.BDH($C$578,"MODIFIED_WORK_CAP_GROWTH","FY 2018","FY 2018","Currency=INR","Period=FY","BEST_FPERIOD_OVERRIDE=FY","FILING_STATUS=OR","EQY_CONSOLIDATED=Y","Sort=A","Dates=H","DateFormat=P","Fill=—","Direction=H","UseDPDF=Y")</f>
        <v>#NAME?</v>
      </c>
      <c r="AE598" s="1" t="e">
        <f ca="1">_xll.BDH($C$578,"WORK_CAP_GROWTH","FY 2018","FY 2018","Currency=INR","Period=FY","BEST_FPERIOD_OVERRIDE=FY","FILING_STATUS=OR","EQY_CONSOLIDATED=Y","Sort=A","Dates=H","DateFormat=P","Fill=—","Direction=H","UseDPDF=Y")</f>
        <v>#NAME?</v>
      </c>
      <c r="AF598" s="1" t="e">
        <f ca="1">_xll.BDH($C$578,"ACCOUNTS_PAYABLE_GROWTH_1YR","FY 2018","FY 2018","Currency=INR","Period=FY","BEST_FPERIOD_OVERRIDE=FY","FILING_STATUS=OR","EQY_CONSOLIDATED=Y","Sort=A","Dates=H","DateFormat=P","Fill=—","Direction=H","UseDPDF=Y")</f>
        <v>#NAME?</v>
      </c>
      <c r="AG598" s="1" t="e">
        <f ca="1">_xll.BDH($C$578,"SHORT_TERM_DEBT_1_YEAR_GROWTH","FY 2018","FY 2018","Currency=INR","Period=FY","BEST_FPERIOD_OVERRIDE=FY","FILING_STATUS=OR","EQY_CONSOLIDATED=Y","Sort=A","Dates=H","DateFormat=P","Fill=—","Direction=H","UseDPDF=Y")</f>
        <v>#NAME?</v>
      </c>
      <c r="AH598" s="1" t="e">
        <f ca="1">_xll.BDH($C$578,"TOTAL_DEBT_1_YEAR_GROWTH","FY 2018","FY 2018","Currency=INR","Period=FY","BEST_FPERIOD_OVERRIDE=FY","FILING_STATUS=OR","EQY_CONSOLIDATED=Y","Sort=A","Dates=H","DateFormat=P","Fill=—","Direction=H","UseDPDF=Y")</f>
        <v>#NAME?</v>
      </c>
      <c r="AI598" s="1" t="e">
        <f ca="1">_xll.BDH($C$578,"TOTAL_EQUITY_1_YEAR_GROWTH","FY 2018","FY 2018","Currency=INR","Period=FY","BEST_FPERIOD_OVERRIDE=FY","FILING_STATUS=OR","EQY_CONSOLIDATED=Y","Sort=A","Dates=H","DateFormat=P","Fill=—","Direction=H","UseDPDF=Y")</f>
        <v>#NAME?</v>
      </c>
      <c r="AJ598" s="1" t="e">
        <f ca="1">_xll.BDH($C$578,"GROWTH_IN_CAP","FY 2018","FY 2018","Currency=INR","Period=FY","BEST_FPERIOD_OVERRIDE=FY","FILING_STATUS=OR","EQY_CONSOLIDATED=Y","Sort=A","Dates=H","DateFormat=P","Fill=—","Direction=H","UseDPDF=Y")</f>
        <v>#NAME?</v>
      </c>
      <c r="AK598" s="1" t="e">
        <f ca="1">_xll.BDH($C$578,"BVPS_GROWTH","FY 2018","FY 2018","Currency=INR","Period=FY","BEST_FPERIOD_OVERRIDE=FY","FILING_STATUS=OR","EQY_CONSOLIDATED=Y","Sort=A","Dates=H","DateFormat=P","Fill=—","Direction=H","UseDPDF=Y")</f>
        <v>#NAME?</v>
      </c>
      <c r="AL598" s="1" t="e">
        <f ca="1">_xll.BDH($C$578,"CASH_FLOW_GROWTH","FY 2018","FY 2018","Currency=INR","Period=FY","BEST_FPERIOD_OVERRIDE=FY","FILING_STATUS=OR","EQY_CONSOLIDATED=Y","Sort=A","Dates=H","DateFormat=P","Fill=—","Direction=H","UseDPDF=Y")</f>
        <v>#NAME?</v>
      </c>
      <c r="AM598" s="1" t="e">
        <f ca="1">_xll.BDH($C$578,"GEO_GROW_NET_SALES","FY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598" s="1" t="e">
        <f ca="1">_xll.BDH($C$578,"GEO_GROW_EBITDA","FY 2018","FY 2018","Currency=INR","Period=FY","BEST_FPERIOD_OVERRIDE=FY","FILING_STATUS=OR","EQY_CONSOLIDATED=Y","FA_ADJUSTED=GAAP","Sort=A","Dates=H","DateFormat=P","Fill=—","Direction=H","UseDPDF=Y")</f>
        <v>#NAME?</v>
      </c>
      <c r="AO598" s="1" t="e">
        <f ca="1">_xll.BDH($C$578,"GEO_GROW_OPER_INC","FY 2018","FY 2018","Currency=INR","Period=FY","BEST_FPERIOD_OVERRIDE=FY","FILING_STATUS=OR","EQY_CONSOLIDATED=Y","FA_ADJUSTED=GAAP","Sort=A","Dates=H","DateFormat=P","Fill=—","Direction=H","UseDPDF=Y")</f>
        <v>#NAME?</v>
      </c>
      <c r="AP598" s="1" t="e">
        <f ca="1">_xll.BDH($C$578,"NET_INCOME_TO_COMMON_5_YR_GROWTH","FY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98" s="1" t="e">
        <f ca="1">_xll.BDH($C$578,"5Y_GEO_GROWTH_DILUTED_EPS","FY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98" s="1" t="e">
        <f ca="1">_xll.BDH($C$578,"GEO_GROW_DVD_PER_SH","FY 2018","FY 2018","Currency=INR","Period=FY","BEST_FPERIOD_OVERRIDE=FY","FILING_STATUS=OR","EQY_CONSOLIDATED=Y","Sort=A","Dates=H","DateFormat=P","Fill=—","Direction=H","UseDPDF=Y")</f>
        <v>#NAME?</v>
      </c>
      <c r="AS598" s="1" t="e">
        <f ca="1">_xll.BDH($C$578,"ACCOUNTS_RECEIVABLE_5_YR_GROWTH","FY 2018","FY 2018","Currency=INR","Period=FY","BEST_FPERIOD_OVERRIDE=FY","FILING_STATUS=OR","EQY_CONSOLIDATED=Y","Sort=A","Dates=H","DateFormat=P","Fill=—","Direction=H","UseDPDF=Y")</f>
        <v>#NAME?</v>
      </c>
      <c r="AT598" s="1" t="e">
        <f ca="1">_xll.BDH($C$578,"INVENTORY_5_YEAR_GROWTH","FY 2018","FY 2018","Currency=INR","Period=FY","BEST_FPERIOD_OVERRIDE=FY","FILING_STATUS=OR","EQY_CONSOLIDATED=Y","Sort=A","Dates=H","DateFormat=P","Fill=—","Direction=H","UseDPDF=Y")</f>
        <v>#NAME?</v>
      </c>
      <c r="AU598" s="1" t="e">
        <f ca="1">_xll.BDH($C$578,"NET_FIXED_ASSETS_5_YEAR_GROWTH","FY 2018","FY 2018","Currency=INR","Period=FY","BEST_FPERIOD_OVERRIDE=FY","FILING_STATUS=OR","EQY_CONSOLIDATED=Y","Sort=A","Dates=H","DateFormat=P","Fill=—","Direction=H","UseDPDF=Y")</f>
        <v>#NAME?</v>
      </c>
      <c r="AV598" s="1" t="e">
        <f ca="1">_xll.BDH($C$578,"GEO_GROW_TOT_ASSET","FY 2018","FY 2018","Currency=INR","Period=FY","BEST_FPERIOD_OVERRIDE=FY","FILING_STATUS=OR","EQY_CONSOLIDATED=Y","Sort=A","Dates=H","DateFormat=P","Fill=—","Direction=H","UseDPDF=Y")</f>
        <v>#NAME?</v>
      </c>
      <c r="AW598" s="1" t="e">
        <f ca="1">_xll.BDH($C$578,"MODIFIED_WORKING_CPTL_5YR_GRWTH","FY 2018","FY 2018","Currency=INR","Period=FY","BEST_FPERIOD_OVERRIDE=FY","FILING_STATUS=OR","EQY_CONSOLIDATED=Y","Sort=A","Dates=H","DateFormat=P","Fill=—","Direction=H","UseDPDF=Y")</f>
        <v>#NAME?</v>
      </c>
      <c r="AX598" s="1" t="e">
        <f ca="1">_xll.BDH($C$578,"WORKING_CAPITAL_5_YEAR_GROWTH","FY 2018","FY 2018","Currency=INR","Period=FY","BEST_FPERIOD_OVERRIDE=FY","FILING_STATUS=OR","EQY_CONSOLIDATED=Y","Sort=A","Dates=H","DateFormat=P","Fill=—","Direction=H","UseDPDF=Y")</f>
        <v>#NAME?</v>
      </c>
      <c r="AY598" s="1" t="e">
        <f ca="1">_xll.BDH($C$578,"ACCOUNTS_PAYABLE_5_YEAR_GROWTH","FY 2018","FY 2018","Currency=INR","Period=FY","BEST_FPERIOD_OVERRIDE=FY","FILING_STATUS=OR","EQY_CONSOLIDATED=Y","Sort=A","Dates=H","DateFormat=P","Fill=—","Direction=H","UseDPDF=Y")</f>
        <v>#NAME?</v>
      </c>
      <c r="AZ598" s="1" t="e">
        <f ca="1">_xll.BDH($C$578,"SHORT_TERM_DEBT_5_YEAR_GROWTH","FY 2018","FY 2018","Currency=INR","Period=FY","BEST_FPERIOD_OVERRIDE=FY","FILING_STATUS=OR","EQY_CONSOLIDATED=Y","Sort=A","Dates=H","DateFormat=P","Fill=—","Direction=H","UseDPDF=Y")</f>
        <v>#NAME?</v>
      </c>
      <c r="BA598" s="1" t="e">
        <f ca="1">_xll.BDH($C$578,"TOTAL_DEBT_5_YEAR_GROWTH","FY 2018","FY 2018","Currency=INR","Period=FY","BEST_FPERIOD_OVERRIDE=FY","FILING_STATUS=OR","EQY_CONSOLIDATED=Y","Sort=A","Dates=H","DateFormat=P","Fill=—","Direction=H","UseDPDF=Y")</f>
        <v>#NAME?</v>
      </c>
      <c r="BB598" s="1" t="e">
        <f ca="1">_xll.BDH($C$578,"GEO_GROW_TOT_SHRHLDR_EQY","FY 2018","FY 2018","Currency=INR","Period=FY","BEST_FPERIOD_OVERRIDE=FY","FILING_STATUS=OR","EQY_CONSOLIDATED=Y","Sort=A","Dates=H","DateFormat=P","Fill=—","Direction=H","UseDPDF=Y")</f>
        <v>#NAME?</v>
      </c>
      <c r="BC598" s="1" t="e">
        <f ca="1">_xll.BDH($C$578,"TOTAL_CAPITAL_5_YEAR_GROWTH","FY 2018","FY 2018","Currency=INR","Period=FY","BEST_FPERIOD_OVERRIDE=FY","FILING_STATUS=OR","EQY_CONSOLIDATED=Y","Sort=A","Dates=H","DateFormat=P","Fill=—","Direction=H","UseDPDF=Y")</f>
        <v>#NAME?</v>
      </c>
      <c r="BD598" s="1" t="e">
        <f ca="1">_xll.BDH($C$578,"GEO_GROW_BOOK_VAL","FY 2018","FY 2018","Currency=INR","Period=FY","BEST_FPERIOD_OVERRIDE=FY","FILING_STATUS=OR","EQY_CONSOLIDATED=Y","Sort=A","Dates=H","DateFormat=P","Fill=—","Direction=H","UseDPDF=Y")</f>
        <v>#NAME?</v>
      </c>
      <c r="BE598" s="1" t="e">
        <f ca="1">_xll.BDH($C$578,"GEO_GROW_CASH_OPER_ACT","FY 2018","FY 2018","Currency=INR","Period=FY","BEST_FPERIOD_OVERRIDE=FY","FILING_STATUS=OR","EQY_CONSOLIDATED=Y","Sort=A","Dates=H","DateFormat=P","Fill=—","Direction=H","UseDPDF=Y")</f>
        <v>#NAME?</v>
      </c>
      <c r="BF598" s="1" t="e">
        <f ca="1">_xll.BDH($C$578,"REVENUE_SEQUENTIAL_GROWTH","FY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98" s="1" t="e">
        <f ca="1">_xll.BDH($C$578,"EBITDA_SEQUENTIAL_GROWTH","FY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98" s="1" t="e">
        <f ca="1">_xll.BDH($C$578,"OPERATING_INCOME_SEQ_GROWTH","FY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98" s="1" t="e">
        <f ca="1">_xll.BDH($C$578,"NET_INCOME_TO_COMMON_SEQ_GROWTH","FY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98" s="1" t="e">
        <f ca="1">_xll.BDH($C$578,"EPS_DILUTED_SEQUENTIAL_GROWTH","FY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98" s="1" t="e">
        <f ca="1">_xll.BDH($C$578,"DPS_SEQUENTIAL_GROWTH","FY 2018","FY 2018","Currency=INR","Period=FY","BEST_FPERIOD_OVERRIDE=FY","FILING_STATUS=OR","EQY_CONSOLIDATED=Y","Sort=A","Dates=H","DateFormat=P","Fill=—","Direction=H","UseDPDF=Y")</f>
        <v>#NAME?</v>
      </c>
      <c r="BL598" s="1" t="e">
        <f ca="1">_xll.BDH($C$578,"ACCOUNTS_RECEIVABLE_SEQ_GROWTH","FY 2018","FY 2018","Currency=INR","Period=FY","BEST_FPERIOD_OVERRIDE=FY","FILING_STATUS=OR","EQY_CONSOLIDATED=Y","Sort=A","Dates=H","DateFormat=P","Fill=—","Direction=H","UseDPDF=Y")</f>
        <v>#NAME?</v>
      </c>
      <c r="BM598" s="1" t="e">
        <f ca="1">_xll.BDH($C$578,"INVENTORY_SEQUENTIAL_GROWTH","FY 2018","FY 2018","Currency=INR","Period=FY","BEST_FPERIOD_OVERRIDE=FY","FILING_STATUS=OR","EQY_CONSOLIDATED=Y","Sort=A","Dates=H","DateFormat=P","Fill=—","Direction=H","UseDPDF=Y")</f>
        <v>#NAME?</v>
      </c>
      <c r="BN598" s="1" t="e">
        <f ca="1">_xll.BDH($C$578,"FIXED_ASSETS_SEQUENTIAL_GROWTH","FY 2018","FY 2018","Currency=INR","Period=FY","BEST_FPERIOD_OVERRIDE=FY","FILING_STATUS=OR","EQY_CONSOLIDATED=Y","Sort=A","Dates=H","DateFormat=P","Fill=—","Direction=H","UseDPDF=Y")</f>
        <v>#NAME?</v>
      </c>
      <c r="BO598" s="1" t="e">
        <f ca="1">_xll.BDH($C$578,"TOTAL_ASSETS_SEQUENTIAL_GROWTH","FY 2018","FY 2018","Currency=INR","Period=FY","BEST_FPERIOD_OVERRIDE=FY","FILING_STATUS=OR","EQY_CONSOLIDATED=Y","Sort=A","Dates=H","DateFormat=P","Fill=—","Direction=H","UseDPDF=Y")</f>
        <v>#NAME?</v>
      </c>
      <c r="BP598" s="1" t="e">
        <f ca="1">_xll.BDH($C$578,"MODIFIED_WORKING_CPTL_SEQ_GRWTH","FY 2018","FY 2018","Currency=INR","Period=FY","BEST_FPERIOD_OVERRIDE=FY","FILING_STATUS=OR","EQY_CONSOLIDATED=Y","Sort=A","Dates=H","DateFormat=P","Fill=—","Direction=H","UseDPDF=Y")</f>
        <v>#NAME?</v>
      </c>
      <c r="BQ598" s="1" t="e">
        <f ca="1">_xll.BDH($C$578,"WORKING_CAPITAL_SEQ_GROWTH","FY 2018","FY 2018","Currency=INR","Period=FY","BEST_FPERIOD_OVERRIDE=FY","FILING_STATUS=OR","EQY_CONSOLIDATED=Y","Sort=A","Dates=H","DateFormat=P","Fill=—","Direction=H","UseDPDF=Y")</f>
        <v>#NAME?</v>
      </c>
      <c r="BR598" s="1" t="e">
        <f ca="1">_xll.BDH($C$578,"ACCOUNTS_PAYABLE_SEQ_GROWTH","FY 2018","FY 2018","Currency=INR","Period=FY","BEST_FPERIOD_OVERRIDE=FY","FILING_STATUS=OR","EQY_CONSOLIDATED=Y","Sort=A","Dates=H","DateFormat=P","Fill=—","Direction=H","UseDPDF=Y")</f>
        <v>#NAME?</v>
      </c>
      <c r="BS598" s="1" t="e">
        <f ca="1">_xll.BDH($C$578,"ST_DEBT_SEQUENTIAL_GROWTH","FY 2018","FY 2018","Currency=INR","Period=FY","BEST_FPERIOD_OVERRIDE=FY","FILING_STATUS=OR","EQY_CONSOLIDATED=Y","Sort=A","Dates=H","DateFormat=P","Fill=—","Direction=H","UseDPDF=Y")</f>
        <v>#NAME?</v>
      </c>
      <c r="BT598" s="1" t="e">
        <f ca="1">_xll.BDH($C$578,"TOTAL_DEBT_SEQUENTIAL_GROWTH","FY 2018","FY 2018","Currency=INR","Period=FY","BEST_FPERIOD_OVERRIDE=FY","FILING_STATUS=OR","EQY_CONSOLIDATED=Y","Sort=A","Dates=H","DateFormat=P","Fill=—","Direction=H","UseDPDF=Y")</f>
        <v>#NAME?</v>
      </c>
      <c r="BU598" s="1" t="e">
        <f ca="1">_xll.BDH($C$578,"TOTAL_EQUITY_SEQUENTIAL_GROWTH","FY 2018","FY 2018","Currency=INR","Period=FY","BEST_FPERIOD_OVERRIDE=FY","FILING_STATUS=OR","EQY_CONSOLIDATED=Y","Sort=A","Dates=H","DateFormat=P","Fill=—","Direction=H","UseDPDF=Y")</f>
        <v>#NAME?</v>
      </c>
      <c r="BV598" s="1" t="e">
        <f ca="1">_xll.BDH($C$578,"TOTAL_CAPITAL_SEQUENTIAL_GROWTH","FY 2018","FY 2018","Currency=INR","Period=FY","BEST_FPERIOD_OVERRIDE=FY","FILING_STATUS=OR","EQY_CONSOLIDATED=Y","Sort=A","Dates=H","DateFormat=P","Fill=—","Direction=H","UseDPDF=Y")</f>
        <v>#NAME?</v>
      </c>
      <c r="BW598" s="1" t="e">
        <f ca="1">_xll.BDH($C$578,"BPS_SEQUENTIAL_GROWTH","FY 2018","FY 2018","Currency=INR","Period=FY","BEST_FPERIOD_OVERRIDE=FY","FILING_STATUS=OR","EQY_CONSOLIDATED=Y","Sort=A","Dates=H","DateFormat=P","Fill=—","Direction=H","UseDPDF=Y")</f>
        <v>#NAME?</v>
      </c>
      <c r="BX598" s="1" t="e">
        <f ca="1">_xll.BDH($C$578,"CFO_SEQUENTIAL_GROWTH","FY 2018","FY 2018","Currency=INR","Period=FY","BEST_FPERIOD_OVERRIDE=FY","FILING_STATUS=OR","EQY_CONSOLIDATED=Y","Sort=A","Dates=H","DateFormat=P","Fill=—","Direction=H","UseDPDF=Y")</f>
        <v>#NAME?</v>
      </c>
      <c r="BY598" s="2" t="e">
        <f ca="1">_xll.BDH($C$578,"SHORT_AND_LONG_TERM_DEBT","FY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98" s="2" t="e">
        <f ca="1">_xll.BDH($C$578,"BS_ST_BORROW","FY 2018","FY 2018","Currency=INR","Period=FY","BEST_FPERIOD_OVERRIDE=FY","FILING_STATUS=OR","EQY_CONSOLIDATED=Y","SCALING_FORMAT=MLN","Sort=A","Dates=H","DateFormat=P","Fill=—","Direction=H","UseDPDF=Y")</f>
        <v>#NAME?</v>
      </c>
      <c r="CA598" s="2" t="e">
        <f ca="1">_xll.BDH($C$578,"BS_LT_BORROW","FY 2018","FY 2018","Currency=INR","Period=FY","BEST_FPERIOD_OVERRIDE=FY","FILING_STATUS=OR","EQY_CONSOLIDATED=Y","SCALING_FORMAT=MLN","Sort=A","Dates=H","DateFormat=P","Fill=—","Direction=H","UseDPDF=Y")</f>
        <v>#NAME?</v>
      </c>
      <c r="CB598" s="1" t="e">
        <f ca="1">_xll.BDH($C$578,"TOT_DEBT_TO_EBITDA","FY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598" s="1" t="e">
        <f ca="1">_xll.BDH($C$578,"NET_DEBT_TO_EBITDA","FY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598" s="1" t="e">
        <f ca="1">_xll.BDH($C$578,"TOTAL_DEBT_TO_EBIT","FY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598" s="1" t="e">
        <f ca="1">_xll.BDH($C$578,"NET_DEBT_TO_EBIT","FY 2018","FY 2018","Currency=INR","Period=FY","BEST_FPERIOD_OVERRIDE=FY","FILING_STATUS=OR","EQY_CONSOLIDATED=Y","FA_ADJUSTED=GAAP","Sort=A","Dates=H","DateFormat=P","Fill=—","Direction=H","UseDPDF=Y")</f>
        <v>#NAME?</v>
      </c>
      <c r="CF598" s="1" t="e">
        <f ca="1">_xll.BDH($C$578,"EBITDA_TO_INTEREST_EXPN","FY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98" s="1" t="e">
        <f ca="1">_xll.BDH($C$578,"COM_EQY_TO_TOT_ASSET","FY 2018","FY 2018","Currency=INR","Period=FY","BEST_FPERIOD_OVERRIDE=FY","FILING_STATUS=OR","EQY_CONSOLIDATED=Y","Sort=A","Dates=H","DateFormat=P","Fill=—","Direction=H","UseDPDF=Y")</f>
        <v>#NAME?</v>
      </c>
      <c r="CH598" s="1" t="e">
        <f ca="1">_xll.BDH($C$578,"LT_DEBT_TO_TOT_EQY","FY 2018","FY 2018","Currency=INR","Period=FY","BEST_FPERIOD_OVERRIDE=FY","FILING_STATUS=OR","EQY_CONSOLIDATED=Y","Sort=A","Dates=H","DateFormat=P","Fill=—","Direction=H","UseDPDF=Y")</f>
        <v>#NAME?</v>
      </c>
      <c r="CI598" s="1" t="e">
        <f ca="1">_xll.BDH($C$578,"LT_DEBT_TO_TOT_CAP","FY 2018","FY 2018","Currency=INR","Period=FY","BEST_FPERIOD_OVERRIDE=FY","FILING_STATUS=OR","EQY_CONSOLIDATED=Y","Sort=A","Dates=H","DateFormat=P","Fill=—","Direction=H","UseDPDF=Y")</f>
        <v>#NAME?</v>
      </c>
      <c r="CJ598" s="1" t="e">
        <f ca="1">_xll.BDH($C$578,"LT_DEBT_TO_TOT_ASSET","FY 2018","FY 2018","Currency=INR","Period=FY","BEST_FPERIOD_OVERRIDE=FY","FILING_STATUS=OR","EQY_CONSOLIDATED=Y","Sort=A","Dates=H","DateFormat=P","Fill=—","Direction=H","UseDPDF=Y")</f>
        <v>#NAME?</v>
      </c>
      <c r="CK598" s="1" t="e">
        <f ca="1">_xll.BDH($C$578,"TOT_DEBT_TO_TOT_EQY","FY 2018","FY 2018","Currency=INR","Period=FY","BEST_FPERIOD_OVERRIDE=FY","FILING_STATUS=OR","EQY_CONSOLIDATED=Y","Sort=A","Dates=H","DateFormat=P","Fill=—","Direction=H","UseDPDF=Y")</f>
        <v>#NAME?</v>
      </c>
      <c r="CL598" s="1" t="e">
        <f ca="1">_xll.BDH($C$578,"TOT_DEBT_TO_TOT_CAP","FY 2018","FY 2018","Currency=INR","Period=FY","BEST_FPERIOD_OVERRIDE=FY","FILING_STATUS=OR","EQY_CONSOLIDATED=Y","Sort=A","Dates=H","DateFormat=P","Fill=—","Direction=H","UseDPDF=Y")</f>
        <v>#NAME?</v>
      </c>
      <c r="CM598" s="1" t="e">
        <f ca="1">_xll.BDH($C$578,"TOT_DEBT_TO_TOT_ASSET","FY 2018","FY 2018","Currency=INR","Period=FY","BEST_FPERIOD_OVERRIDE=FY","FILING_STATUS=OR","EQY_CONSOLIDATED=Y","Sort=A","Dates=H","DateFormat=P","Fill=—","Direction=H","UseDPDF=Y")</f>
        <v>#NAME?</v>
      </c>
      <c r="CN598" s="1" t="e">
        <f ca="1">_xll.BDH($C$578,"NET_DEBT_TO_SHRHLDR_EQTY","FY 2018","FY 2018","Currency=INR","Period=FY","BEST_FPERIOD_OVERRIDE=FY","FILING_STATUS=OR","EQY_CONSOLIDATED=Y","Sort=A","Dates=H","DateFormat=P","Fill=—","Direction=H","UseDPDF=Y")</f>
        <v>#NAME?</v>
      </c>
      <c r="CO598" s="1" t="e">
        <f ca="1">_xll.BDH($C$578,"NET_DEBT_%_CAPITAL","FY 2018","FY 2018","Currency=INR","Period=FY","BEST_FPERIOD_OVERRIDE=FY","FILING_STATUS=OR","EQY_CONSOLIDATED=Y","Sort=A","Dates=H","DateFormat=P","Fill=—","Direction=H","UseDPDF=Y")</f>
        <v>#NAME?</v>
      </c>
      <c r="CP598" s="2" t="e">
        <f ca="1">_xll.BDH($C$578,"EBITDA","FY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98" s="2" t="e">
        <f ca="1">_xll.BDH($C$578,"EBITDA_AFTER_CAPEX","FY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98" s="2" t="e">
        <f ca="1">_xll.BDH($C$578,"IS_OPER_INC","FY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98" s="1" t="e">
        <f ca="1">_xll.BDH($C$578,"CASH_RATIO","FY 2018","FY 2018","Currency=INR","Period=FY","BEST_FPERIOD_OVERRIDE=FY","FILING_STATUS=OR","EQY_CONSOLIDATED=Y","Sort=A","Dates=H","DateFormat=P","Fill=—","Direction=H","UseDPDF=Y")</f>
        <v>#NAME?</v>
      </c>
      <c r="CT598" s="1" t="e">
        <f ca="1">_xll.BDH($C$578,"CUR_RATIO","FY 2018","FY 2018","Currency=INR","Period=FY","BEST_FPERIOD_OVERRIDE=FY","FILING_STATUS=OR","EQY_CONSOLIDATED=Y","Sort=A","Dates=H","DateFormat=P","Fill=—","Direction=H","UseDPDF=Y")</f>
        <v>#NAME?</v>
      </c>
      <c r="CU598" s="1" t="e">
        <f ca="1">_xll.BDH($C$578,"QUICK_RATIO","FY 2018","FY 2018","Currency=INR","Period=FY","BEST_FPERIOD_OVERRIDE=FY","FILING_STATUS=OR","EQY_CONSOLIDATED=Y","Sort=A","Dates=H","DateFormat=P","Fill=—","Direction=H","UseDPDF=Y")</f>
        <v>#NAME?</v>
      </c>
      <c r="CV598" s="1" t="e">
        <f ca="1">_xll.BDH($C$578,"ALTMAN_Z_SCORE","FY 2018","FY 2018","Currency=INR","Period=FY","BEST_FPERIOD_OVERRIDE=FY","FILING_STATUS=OR","EQY_CONSOLIDATED=Y","Sort=A","Dates=H","DateFormat=P","Fill=—","Direction=H","UseDPDF=Y")</f>
        <v>#NAME?</v>
      </c>
      <c r="CW598" s="3" t="e">
        <f ca="1">_xll.BDH($C$578,"ACCT_RCV_TURN","FY 2018","FY 2018","Currency=INR","Period=FY","BEST_FPERIOD_OVERRIDE=FY","FILING_STATUS=OR","EQY_CONSOLIDATED=Y","FA_ADJUSTED=GAAP","Sort=A","Dates=H","DateFormat=P","Fill=—","Direction=H","UseDPDF=Y")</f>
        <v>#NAME?</v>
      </c>
      <c r="CX598" s="1" t="e">
        <f ca="1">_xll.BDH($C$578,"ACCT_RCV_DAYS","FY 2018","FY 2018","Currency=INR","Period=FY","BEST_FPERIOD_OVERRIDE=FY","FILING_STATUS=OR","EQY_CONSOLIDATED=Y","FA_ADJUSTED=GAAP","Sort=A","Dates=H","DateFormat=P","Fill=—","Direction=H","UseDPDF=Y")</f>
        <v>#NAME?</v>
      </c>
      <c r="CY598" s="3" t="e">
        <f ca="1">_xll.BDH($C$578,"INVENT_TURN","FY 2018","FY 2018","Currency=INR","Period=FY","BEST_FPERIOD_OVERRIDE=FY","FILING_STATUS=OR","EQY_CONSOLIDATED=Y","FA_ADJUSTED=GAAP","Sort=A","Dates=H","DateFormat=P","Fill=—","Direction=H","UseDPDF=Y")</f>
        <v>#NAME?</v>
      </c>
      <c r="CZ598" s="1" t="e">
        <f ca="1">_xll.BDH($C$578,"INVENT_DAYS","FY 2018","FY 2018","Currency=INR","Period=FY","BEST_FPERIOD_OVERRIDE=FY","FILING_STATUS=OR","EQY_CONSOLIDATED=Y","FA_ADJUSTED=GAAP","Sort=A","Dates=H","DateFormat=P","Fill=—","Direction=H","UseDPDF=Y")</f>
        <v>#NAME?</v>
      </c>
      <c r="DA598" s="3" t="e">
        <f ca="1">_xll.BDH($C$578,"ACCOUNTS_PAYABLE_TURNOVER","FY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98" s="1" t="e">
        <f ca="1">_xll.BDH($C$578,"ACCOUNTS_PAYABLE_TURNOVER_DAYS","FY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98" s="3" t="e">
        <f ca="1">_xll.BDH($C$578,"CASH_CONVERSION_CYCLE","FY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98" s="3" t="e">
        <f ca="1">_xll.BDH($C$578,"INV_TO_CASH_DAYS","FY 2018","FY 2018","Currency=INR","Period=FY","BEST_FPERIOD_OVERRIDE=FY","FILING_STATUS=OR","EQY_CONSOLIDATED=Y","FA_ADJUSTED=GAAP","Sort=A","Dates=H","DateFormat=P","Fill=—","Direction=H","UseDPDF=Y")</f>
        <v>#NAME?</v>
      </c>
      <c r="DE598" s="4" t="e">
        <f ca="1">_xll.BDH($C$578,"BS_INVENTORIES","FY 2018","FY 2018","Currency=INR","Period=FY","BEST_FPERIOD_OVERRIDE=FY","FILING_STATUS=OR","EQY_CONSOLIDATED=Y","SCALING_FORMAT=MLN","Sort=A","Dates=H","DateFormat=P","Fill=—","Direction=H","UseDPDF=Y")</f>
        <v>#NAME?</v>
      </c>
      <c r="DF598" s="2" t="e">
        <f ca="1">_xll.BDH($C$578,"INVTRY_RAW_MATERIALS","FY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98" s="2" t="e">
        <f ca="1">_xll.BDH($C$578,"INVTRY_IN_PROGRESS","FY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98" s="2" t="e">
        <f ca="1">_xll.BDH($C$578,"INVTRY_FINISHED_GOODS","FY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98" s="2" t="e">
        <f ca="1">_xll.BDH($C$578,"BS_OTHER_INV","FY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99" spans="1:113" x14ac:dyDescent="0.3">
      <c r="A599" s="6"/>
      <c r="B599" s="6"/>
      <c r="C599" s="6"/>
      <c r="D599" s="6"/>
      <c r="E599" t="s">
        <v>4</v>
      </c>
      <c r="F599" t="e">
        <f ca="1">_xll.BDH($C$578,"RETURN_COM_EQY","FQ1 2018","FQ1 2018","Currency=INR","Period=FQ","BEST_FPERIOD_OVERRIDE=FQ","FILING_STATUS=OR","EQY_CONSOLIDATED=Y","FA_ADJUSTED=GAAP","Sort=A","Dates=H","DateFormat=P","Fill=—","Direction=H","UseDPDF=Y")</f>
        <v>#NAME?</v>
      </c>
      <c r="G599" t="e">
        <f ca="1">_xll.BDH($C$578,"RETURN_ON_ASSET","FQ1 2018","FQ1 2018","Currency=INR","Period=FQ","BEST_FPERIOD_OVERRIDE=FQ","FILING_STATUS=OR","EQY_CONSOLIDATED=Y","FA_ADJUSTED=GAAP","Sort=A","Dates=H","DateFormat=P","Fill=—","Direction=H","UseDPDF=Y")</f>
        <v>#NAME?</v>
      </c>
      <c r="H599" t="e">
        <f ca="1">_xll.BDH($C$578,"RETURN_ON_CAP","FQ1 2018","FQ1 2018","Currency=INR","Period=FQ","BEST_FPERIOD_OVERRIDE=FQ","FILING_STATUS=OR","EQY_CONSOLIDATED=Y","FA_ADJUSTED=GAAP","Sort=A","Dates=H","DateFormat=P","Fill=—","Direction=H","UseDPDF=Y")</f>
        <v>#NAME?</v>
      </c>
      <c r="I599" t="e">
        <f ca="1">_xll.BDH($C$578,"RETURN_ON_INV_CAPITAL","FQ1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99" t="e">
        <f ca="1">_xll.BDH($C$578,"EBITDA_TO_REVENUE","FQ1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599" t="e">
        <f ca="1">_xll.BDH($C$578,"OPER_MARGIN","FQ1 2018","FQ1 2018","Currency=INR","Period=FQ","BEST_FPERIOD_OVERRIDE=FQ","FILING_STATUS=OR","EQY_CONSOLIDATED=Y","FA_ADJUSTED=GAAP","Sort=A","Dates=H","DateFormat=P","Fill=—","Direction=H","UseDPDF=Y")</f>
        <v>#NAME?</v>
      </c>
      <c r="L599" t="e">
        <f ca="1">_xll.BDH($C$578,"INCREMENTAL_OPERATING_MARGIN","FQ1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99" t="e">
        <f ca="1">_xll.BDH($C$578,"PRETAX_INC_TO_NET_SALES","FQ1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99" t="e">
        <f ca="1">_xll.BDH($C$578,"INC_BEF_XO_ITEMS_TO_NET_SALES","FQ1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99" t="e">
        <f ca="1">_xll.BDH($C$578,"PROF_MARGIN","FQ1 2018","FQ1 2018","Currency=INR","Period=FQ","BEST_FPERIOD_OVERRIDE=FQ","FILING_STATUS=OR","EQY_CONSOLIDATED=Y","FA_ADJUSTED=GAAP","Sort=A","Dates=H","DateFormat=P","Fill=—","Direction=H","UseDPDF=Y")</f>
        <v>#NAME?</v>
      </c>
      <c r="P599" t="e">
        <f ca="1">_xll.BDH($C$578,"NET_INCOME_TO_COMMON_MARGIN","FQ1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99" t="e">
        <f ca="1">_xll.BDH($C$578,"EFF_TAX_RATE","FQ1 2018","FQ1 2018","Currency=INR","Period=FQ","BEST_FPERIOD_OVERRIDE=FQ","FILING_STATUS=OR","EQY_CONSOLIDATED=Y","FA_ADJUSTED=GAAP","Sort=A","Dates=H","DateFormat=P","Fill=—","Direction=H","UseDPDF=Y")</f>
        <v>#NAME?</v>
      </c>
      <c r="R599" t="e">
        <f ca="1">_xll.BDH($C$578,"DVD_PAYOUT_RATIO","FQ1 2018","FQ1 2018","Currency=INR","Period=FQ","BEST_FPERIOD_OVERRIDE=FQ","FILING_STATUS=OR","EQY_CONSOLIDATED=Y","FA_ADJUSTED=GAAP","Sort=A","Dates=H","DateFormat=P","Fill=—","Direction=H","UseDPDF=Y")</f>
        <v>#NAME?</v>
      </c>
      <c r="S599" t="e">
        <f ca="1">_xll.BDH($C$578,"SUSTAIN_GROWTH_RT","FQ1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599" s="1" t="e">
        <f ca="1">_xll.BDH($C$578,"SALES_GROWTH","FQ1 2018","FQ1 2018","Currency=INR","Period=FQ","BEST_FPERIOD_OVERRIDE=FQ","FILING_STATUS=OR","EQY_CONSOLIDATED=Y","FA_ADJUSTED=GAAP","Sort=A","Dates=H","DateFormat=P","Fill=—","Direction=H","UseDPDF=Y")</f>
        <v>#NAME?</v>
      </c>
      <c r="U599" s="1" t="e">
        <f ca="1">_xll.BDH($C$578,"EBITDA_GROWTH","FQ1 2018","FQ1 2018","Currency=INR","Period=FQ","BEST_FPERIOD_OVERRIDE=FQ","FILING_STATUS=OR","EQY_CONSOLIDATED=Y","FA_ADJUSTED=GAAP","Sort=A","Dates=H","DateFormat=P","Fill=—","Direction=H","UseDPDF=Y")</f>
        <v>#NAME?</v>
      </c>
      <c r="V599" s="1" t="e">
        <f ca="1">_xll.BDH($C$578,"OPER_INC_GROWTH","FQ1 2018","FQ1 2018","Currency=INR","Period=FQ","BEST_FPERIOD_OVERRIDE=FQ","FILING_STATUS=OR","EQY_CONSOLIDATED=Y","FA_ADJUSTED=GAAP","Sort=A","Dates=H","DateFormat=P","Fill=—","Direction=H","UseDPDF=Y")</f>
        <v>#NAME?</v>
      </c>
      <c r="W599" s="1" t="e">
        <f ca="1">_xll.BDH($C$578,"EARN_FOR_COM_GROWTH","FQ1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99" s="1" t="e">
        <f ca="1">_xll.BDH($C$578,"DILUTED_EPS_AFT_XO_ITEMS_GROWTH","FQ1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99" s="1" t="e">
        <f ca="1">_xll.BDH($C$578,"DIVIDEND_PER_SHARE_1_YEAR_GROWTH","FQ1 2018","FQ1 2018","Currency=INR","Period=FQ","BEST_FPERIOD_OVERRIDE=FQ","FILING_STATUS=OR","EQY_CONSOLIDATED=Y","Sort=A","Dates=H","DateFormat=P","Fill=—","Direction=H","UseDPDF=Y")</f>
        <v>#NAME?</v>
      </c>
      <c r="Z599" s="1" t="e">
        <f ca="1">_xll.BDH($C$578,"ACCOUNTS_RECEIVABLE_GROWTH","FQ1 2018","FQ1 2018","Currency=INR","Period=FQ","BEST_FPERIOD_OVERRIDE=FQ","FILING_STATUS=OR","EQY_CONSOLIDATED=Y","Sort=A","Dates=H","DateFormat=P","Fill=—","Direction=H","UseDPDF=Y")</f>
        <v>#NAME?</v>
      </c>
      <c r="AA599" s="1" t="e">
        <f ca="1">_xll.BDH($C$578,"INVENTORY_GROWTH","FQ1 2018","FQ1 2018","Currency=INR","Period=FQ","BEST_FPERIOD_OVERRIDE=FQ","FILING_STATUS=OR","EQY_CONSOLIDATED=Y","Sort=A","Dates=H","DateFormat=P","Fill=—","Direction=H","UseDPDF=Y")</f>
        <v>#NAME?</v>
      </c>
      <c r="AB599" s="1" t="e">
        <f ca="1">_xll.BDH($C$578,"NET_FIXED_ASSETS_1_YEAR_GROWTH","FQ1 2018","FQ1 2018","Currency=INR","Period=FQ","BEST_FPERIOD_OVERRIDE=FQ","FILING_STATUS=OR","EQY_CONSOLIDATED=Y","Sort=A","Dates=H","DateFormat=P","Fill=—","Direction=H","UseDPDF=Y")</f>
        <v>#NAME?</v>
      </c>
      <c r="AC599" s="1" t="e">
        <f ca="1">_xll.BDH($C$578,"ASSET_GROWTH","FQ1 2018","FQ1 2018","Currency=INR","Period=FQ","BEST_FPERIOD_OVERRIDE=FQ","FILING_STATUS=OR","EQY_CONSOLIDATED=Y","Sort=A","Dates=H","DateFormat=P","Fill=—","Direction=H","UseDPDF=Y")</f>
        <v>#NAME?</v>
      </c>
      <c r="AD599" s="1" t="e">
        <f ca="1">_xll.BDH($C$578,"MODIFIED_WORK_CAP_GROWTH","FQ1 2018","FQ1 2018","Currency=INR","Period=FQ","BEST_FPERIOD_OVERRIDE=FQ","FILING_STATUS=OR","EQY_CONSOLIDATED=Y","Sort=A","Dates=H","DateFormat=P","Fill=—","Direction=H","UseDPDF=Y")</f>
        <v>#NAME?</v>
      </c>
      <c r="AE599" s="1" t="e">
        <f ca="1">_xll.BDH($C$578,"WORK_CAP_GROWTH","FQ1 2018","FQ1 2018","Currency=INR","Period=FQ","BEST_FPERIOD_OVERRIDE=FQ","FILING_STATUS=OR","EQY_CONSOLIDATED=Y","Sort=A","Dates=H","DateFormat=P","Fill=—","Direction=H","UseDPDF=Y")</f>
        <v>#NAME?</v>
      </c>
      <c r="AF599" s="1" t="e">
        <f ca="1">_xll.BDH($C$578,"ACCOUNTS_PAYABLE_GROWTH_1YR","FQ1 2018","FQ1 2018","Currency=INR","Period=FQ","BEST_FPERIOD_OVERRIDE=FQ","FILING_STATUS=OR","EQY_CONSOLIDATED=Y","Sort=A","Dates=H","DateFormat=P","Fill=—","Direction=H","UseDPDF=Y")</f>
        <v>#NAME?</v>
      </c>
      <c r="AG599" s="1" t="e">
        <f ca="1">_xll.BDH($C$578,"SHORT_TERM_DEBT_1_YEAR_GROWTH","FQ1 2018","FQ1 2018","Currency=INR","Period=FQ","BEST_FPERIOD_OVERRIDE=FQ","FILING_STATUS=OR","EQY_CONSOLIDATED=Y","Sort=A","Dates=H","DateFormat=P","Fill=—","Direction=H","UseDPDF=Y")</f>
        <v>#NAME?</v>
      </c>
      <c r="AH599" s="1" t="e">
        <f ca="1">_xll.BDH($C$578,"TOTAL_DEBT_1_YEAR_GROWTH","FQ1 2018","FQ1 2018","Currency=INR","Period=FQ","BEST_FPERIOD_OVERRIDE=FQ","FILING_STATUS=OR","EQY_CONSOLIDATED=Y","Sort=A","Dates=H","DateFormat=P","Fill=—","Direction=H","UseDPDF=Y")</f>
        <v>#NAME?</v>
      </c>
      <c r="AI599" s="1" t="e">
        <f ca="1">_xll.BDH($C$578,"TOTAL_EQUITY_1_YEAR_GROWTH","FQ1 2018","FQ1 2018","Currency=INR","Period=FQ","BEST_FPERIOD_OVERRIDE=FQ","FILING_STATUS=OR","EQY_CONSOLIDATED=Y","Sort=A","Dates=H","DateFormat=P","Fill=—","Direction=H","UseDPDF=Y")</f>
        <v>#NAME?</v>
      </c>
      <c r="AJ599" s="1" t="e">
        <f ca="1">_xll.BDH($C$578,"GROWTH_IN_CAP","FQ1 2018","FQ1 2018","Currency=INR","Period=FQ","BEST_FPERIOD_OVERRIDE=FQ","FILING_STATUS=OR","EQY_CONSOLIDATED=Y","Sort=A","Dates=H","DateFormat=P","Fill=—","Direction=H","UseDPDF=Y")</f>
        <v>#NAME?</v>
      </c>
      <c r="AK599" s="1" t="e">
        <f ca="1">_xll.BDH($C$578,"BVPS_GROWTH","FQ1 2018","FQ1 2018","Currency=INR","Period=FQ","BEST_FPERIOD_OVERRIDE=FQ","FILING_STATUS=OR","EQY_CONSOLIDATED=Y","Sort=A","Dates=H","DateFormat=P","Fill=—","Direction=H","UseDPDF=Y")</f>
        <v>#NAME?</v>
      </c>
      <c r="AL599" s="1" t="e">
        <f ca="1">_xll.BDH($C$578,"CASH_FLOW_GROWTH","FQ1 2018","FQ1 2018","Currency=INR","Period=FQ","BEST_FPERIOD_OVERRIDE=FQ","FILING_STATUS=OR","EQY_CONSOLIDATED=Y","Sort=A","Dates=H","DateFormat=P","Fill=—","Direction=H","UseDPDF=Y")</f>
        <v>#NAME?</v>
      </c>
      <c r="AM599" s="1" t="e">
        <f ca="1">_xll.BDH($C$578,"GEO_GROW_NET_SALES","FQ1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99" s="1" t="e">
        <f ca="1">_xll.BDH($C$578,"GEO_GROW_EBITDA","FQ1 2018","FQ1 2018","Currency=INR","Period=FQ","BEST_FPERIOD_OVERRIDE=FQ","FILING_STATUS=OR","EQY_CONSOLIDATED=Y","FA_ADJUSTED=GAAP","Sort=A","Dates=H","DateFormat=P","Fill=—","Direction=H","UseDPDF=Y")</f>
        <v>#NAME?</v>
      </c>
      <c r="AO599" s="1" t="e">
        <f ca="1">_xll.BDH($C$578,"GEO_GROW_OPER_INC","FQ1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99" s="1" t="e">
        <f ca="1">_xll.BDH($C$578,"NET_INCOME_TO_COMMON_5_YR_GROWTH","FQ1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99" s="1" t="e">
        <f ca="1">_xll.BDH($C$578,"5Y_GEO_GROWTH_DILUTED_EPS","FQ1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99" s="1" t="e">
        <f ca="1">_xll.BDH($C$578,"GEO_GROW_DVD_PER_SH","FQ1 2018","FQ1 2018","Currency=INR","Period=FQ","BEST_FPERIOD_OVERRIDE=FQ","FILING_STATUS=OR","EQY_CONSOLIDATED=Y","Sort=A","Dates=H","DateFormat=P","Fill=—","Direction=H","UseDPDF=Y")</f>
        <v>#NAME?</v>
      </c>
      <c r="AS599" s="1" t="e">
        <f ca="1">_xll.BDH($C$578,"ACCOUNTS_RECEIVABLE_5_YR_GROWTH","FQ1 2018","FQ1 2018","Currency=INR","Period=FQ","BEST_FPERIOD_OVERRIDE=FQ","FILING_STATUS=OR","EQY_CONSOLIDATED=Y","Sort=A","Dates=H","DateFormat=P","Fill=—","Direction=H","UseDPDF=Y")</f>
        <v>#NAME?</v>
      </c>
      <c r="AT599" s="1" t="e">
        <f ca="1">_xll.BDH($C$578,"INVENTORY_5_YEAR_GROWTH","FQ1 2018","FQ1 2018","Currency=INR","Period=FQ","BEST_FPERIOD_OVERRIDE=FQ","FILING_STATUS=OR","EQY_CONSOLIDATED=Y","Sort=A","Dates=H","DateFormat=P","Fill=—","Direction=H","UseDPDF=Y")</f>
        <v>#NAME?</v>
      </c>
      <c r="AU599" s="1" t="e">
        <f ca="1">_xll.BDH($C$578,"NET_FIXED_ASSETS_5_YEAR_GROWTH","FQ1 2018","FQ1 2018","Currency=INR","Period=FQ","BEST_FPERIOD_OVERRIDE=FQ","FILING_STATUS=OR","EQY_CONSOLIDATED=Y","Sort=A","Dates=H","DateFormat=P","Fill=—","Direction=H","UseDPDF=Y")</f>
        <v>#NAME?</v>
      </c>
      <c r="AV599" s="1" t="e">
        <f ca="1">_xll.BDH($C$578,"GEO_GROW_TOT_ASSET","FQ1 2018","FQ1 2018","Currency=INR","Period=FQ","BEST_FPERIOD_OVERRIDE=FQ","FILING_STATUS=OR","EQY_CONSOLIDATED=Y","Sort=A","Dates=H","DateFormat=P","Fill=—","Direction=H","UseDPDF=Y")</f>
        <v>#NAME?</v>
      </c>
      <c r="AW599" s="1" t="e">
        <f ca="1">_xll.BDH($C$578,"MODIFIED_WORKING_CPTL_5YR_GRWTH","FQ1 2018","FQ1 2018","Currency=INR","Period=FQ","BEST_FPERIOD_OVERRIDE=FQ","FILING_STATUS=OR","EQY_CONSOLIDATED=Y","Sort=A","Dates=H","DateFormat=P","Fill=—","Direction=H","UseDPDF=Y")</f>
        <v>#NAME?</v>
      </c>
      <c r="AX599" s="1" t="e">
        <f ca="1">_xll.BDH($C$578,"WORKING_CAPITAL_5_YEAR_GROWTH","FQ1 2018","FQ1 2018","Currency=INR","Period=FQ","BEST_FPERIOD_OVERRIDE=FQ","FILING_STATUS=OR","EQY_CONSOLIDATED=Y","Sort=A","Dates=H","DateFormat=P","Fill=—","Direction=H","UseDPDF=Y")</f>
        <v>#NAME?</v>
      </c>
      <c r="AY599" s="1" t="e">
        <f ca="1">_xll.BDH($C$578,"ACCOUNTS_PAYABLE_5_YEAR_GROWTH","FQ1 2018","FQ1 2018","Currency=INR","Period=FQ","BEST_FPERIOD_OVERRIDE=FQ","FILING_STATUS=OR","EQY_CONSOLIDATED=Y","Sort=A","Dates=H","DateFormat=P","Fill=—","Direction=H","UseDPDF=Y")</f>
        <v>#NAME?</v>
      </c>
      <c r="AZ599" s="1" t="e">
        <f ca="1">_xll.BDH($C$578,"SHORT_TERM_DEBT_5_YEAR_GROWTH","FQ1 2018","FQ1 2018","Currency=INR","Period=FQ","BEST_FPERIOD_OVERRIDE=FQ","FILING_STATUS=OR","EQY_CONSOLIDATED=Y","Sort=A","Dates=H","DateFormat=P","Fill=—","Direction=H","UseDPDF=Y")</f>
        <v>#NAME?</v>
      </c>
      <c r="BA599" s="1" t="e">
        <f ca="1">_xll.BDH($C$578,"TOTAL_DEBT_5_YEAR_GROWTH","FQ1 2018","FQ1 2018","Currency=INR","Period=FQ","BEST_FPERIOD_OVERRIDE=FQ","FILING_STATUS=OR","EQY_CONSOLIDATED=Y","Sort=A","Dates=H","DateFormat=P","Fill=—","Direction=H","UseDPDF=Y")</f>
        <v>#NAME?</v>
      </c>
      <c r="BB599" s="1" t="e">
        <f ca="1">_xll.BDH($C$578,"GEO_GROW_TOT_SHRHLDR_EQY","FQ1 2018","FQ1 2018","Currency=INR","Period=FQ","BEST_FPERIOD_OVERRIDE=FQ","FILING_STATUS=OR","EQY_CONSOLIDATED=Y","Sort=A","Dates=H","DateFormat=P","Fill=—","Direction=H","UseDPDF=Y")</f>
        <v>#NAME?</v>
      </c>
      <c r="BC599" s="1" t="e">
        <f ca="1">_xll.BDH($C$578,"TOTAL_CAPITAL_5_YEAR_GROWTH","FQ1 2018","FQ1 2018","Currency=INR","Period=FQ","BEST_FPERIOD_OVERRIDE=FQ","FILING_STATUS=OR","EQY_CONSOLIDATED=Y","Sort=A","Dates=H","DateFormat=P","Fill=—","Direction=H","UseDPDF=Y")</f>
        <v>#NAME?</v>
      </c>
      <c r="BD599" s="1" t="e">
        <f ca="1">_xll.BDH($C$578,"GEO_GROW_BOOK_VAL","FQ1 2018","FQ1 2018","Currency=INR","Period=FQ","BEST_FPERIOD_OVERRIDE=FQ","FILING_STATUS=OR","EQY_CONSOLIDATED=Y","Sort=A","Dates=H","DateFormat=P","Fill=—","Direction=H","UseDPDF=Y")</f>
        <v>#NAME?</v>
      </c>
      <c r="BE599" s="1" t="e">
        <f ca="1">_xll.BDH($C$578,"GEO_GROW_CASH_OPER_ACT","FQ1 2018","FQ1 2018","Currency=INR","Period=FQ","BEST_FPERIOD_OVERRIDE=FQ","FILING_STATUS=OR","EQY_CONSOLIDATED=Y","Sort=A","Dates=H","DateFormat=P","Fill=—","Direction=H","UseDPDF=Y")</f>
        <v>#NAME?</v>
      </c>
      <c r="BF599" s="1" t="e">
        <f ca="1">_xll.BDH($C$578,"REVENUE_SEQUENTIAL_GROWTH","FQ1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99" s="1" t="e">
        <f ca="1">_xll.BDH($C$578,"EBITDA_SEQUENTIAL_GROWTH","FQ1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99" s="1" t="e">
        <f ca="1">_xll.BDH($C$578,"OPERATING_INCOME_SEQ_GROWTH","FQ1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99" s="1" t="e">
        <f ca="1">_xll.BDH($C$578,"NET_INCOME_TO_COMMON_SEQ_GROWTH","FQ1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99" s="1" t="e">
        <f ca="1">_xll.BDH($C$578,"EPS_DILUTED_SEQUENTIAL_GROWTH","FQ1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99" s="1" t="e">
        <f ca="1">_xll.BDH($C$578,"DPS_SEQUENTIAL_GROWTH","FQ1 2018","FQ1 2018","Currency=INR","Period=FQ","BEST_FPERIOD_OVERRIDE=FQ","FILING_STATUS=OR","EQY_CONSOLIDATED=Y","Sort=A","Dates=H","DateFormat=P","Fill=—","Direction=H","UseDPDF=Y")</f>
        <v>#NAME?</v>
      </c>
      <c r="BL599" s="1" t="e">
        <f ca="1">_xll.BDH($C$578,"ACCOUNTS_RECEIVABLE_SEQ_GROWTH","FQ1 2018","FQ1 2018","Currency=INR","Period=FQ","BEST_FPERIOD_OVERRIDE=FQ","FILING_STATUS=OR","EQY_CONSOLIDATED=Y","Sort=A","Dates=H","DateFormat=P","Fill=—","Direction=H","UseDPDF=Y")</f>
        <v>#NAME?</v>
      </c>
      <c r="BM599" s="1" t="e">
        <f ca="1">_xll.BDH($C$578,"INVENTORY_SEQUENTIAL_GROWTH","FQ1 2018","FQ1 2018","Currency=INR","Period=FQ","BEST_FPERIOD_OVERRIDE=FQ","FILING_STATUS=OR","EQY_CONSOLIDATED=Y","Sort=A","Dates=H","DateFormat=P","Fill=—","Direction=H","UseDPDF=Y")</f>
        <v>#NAME?</v>
      </c>
      <c r="BN599" s="1" t="e">
        <f ca="1">_xll.BDH($C$578,"FIXED_ASSETS_SEQUENTIAL_GROWTH","FQ1 2018","FQ1 2018","Currency=INR","Period=FQ","BEST_FPERIOD_OVERRIDE=FQ","FILING_STATUS=OR","EQY_CONSOLIDATED=Y","Sort=A","Dates=H","DateFormat=P","Fill=—","Direction=H","UseDPDF=Y")</f>
        <v>#NAME?</v>
      </c>
      <c r="BO599" s="1" t="e">
        <f ca="1">_xll.BDH($C$578,"TOTAL_ASSETS_SEQUENTIAL_GROWTH","FQ1 2018","FQ1 2018","Currency=INR","Period=FQ","BEST_FPERIOD_OVERRIDE=FQ","FILING_STATUS=OR","EQY_CONSOLIDATED=Y","Sort=A","Dates=H","DateFormat=P","Fill=—","Direction=H","UseDPDF=Y")</f>
        <v>#NAME?</v>
      </c>
      <c r="BP599" s="1" t="e">
        <f ca="1">_xll.BDH($C$578,"MODIFIED_WORKING_CPTL_SEQ_GRWTH","FQ1 2018","FQ1 2018","Currency=INR","Period=FQ","BEST_FPERIOD_OVERRIDE=FQ","FILING_STATUS=OR","EQY_CONSOLIDATED=Y","Sort=A","Dates=H","DateFormat=P","Fill=—","Direction=H","UseDPDF=Y")</f>
        <v>#NAME?</v>
      </c>
      <c r="BQ599" s="1" t="e">
        <f ca="1">_xll.BDH($C$578,"WORKING_CAPITAL_SEQ_GROWTH","FQ1 2018","FQ1 2018","Currency=INR","Period=FQ","BEST_FPERIOD_OVERRIDE=FQ","FILING_STATUS=OR","EQY_CONSOLIDATED=Y","Sort=A","Dates=H","DateFormat=P","Fill=—","Direction=H","UseDPDF=Y")</f>
        <v>#NAME?</v>
      </c>
      <c r="BR599" s="1" t="e">
        <f ca="1">_xll.BDH($C$578,"ACCOUNTS_PAYABLE_SEQ_GROWTH","FQ1 2018","FQ1 2018","Currency=INR","Period=FQ","BEST_FPERIOD_OVERRIDE=FQ","FILING_STATUS=OR","EQY_CONSOLIDATED=Y","Sort=A","Dates=H","DateFormat=P","Fill=—","Direction=H","UseDPDF=Y")</f>
        <v>#NAME?</v>
      </c>
      <c r="BS599" s="1" t="e">
        <f ca="1">_xll.BDH($C$578,"ST_DEBT_SEQUENTIAL_GROWTH","FQ1 2018","FQ1 2018","Currency=INR","Period=FQ","BEST_FPERIOD_OVERRIDE=FQ","FILING_STATUS=OR","EQY_CONSOLIDATED=Y","Sort=A","Dates=H","DateFormat=P","Fill=—","Direction=H","UseDPDF=Y")</f>
        <v>#NAME?</v>
      </c>
      <c r="BT599" s="1" t="e">
        <f ca="1">_xll.BDH($C$578,"TOTAL_DEBT_SEQUENTIAL_GROWTH","FQ1 2018","FQ1 2018","Currency=INR","Period=FQ","BEST_FPERIOD_OVERRIDE=FQ","FILING_STATUS=OR","EQY_CONSOLIDATED=Y","Sort=A","Dates=H","DateFormat=P","Fill=—","Direction=H","UseDPDF=Y")</f>
        <v>#NAME?</v>
      </c>
      <c r="BU599" s="1" t="e">
        <f ca="1">_xll.BDH($C$578,"TOTAL_EQUITY_SEQUENTIAL_GROWTH","FQ1 2018","FQ1 2018","Currency=INR","Period=FQ","BEST_FPERIOD_OVERRIDE=FQ","FILING_STATUS=OR","EQY_CONSOLIDATED=Y","Sort=A","Dates=H","DateFormat=P","Fill=—","Direction=H","UseDPDF=Y")</f>
        <v>#NAME?</v>
      </c>
      <c r="BV599" s="1" t="e">
        <f ca="1">_xll.BDH($C$578,"TOTAL_CAPITAL_SEQUENTIAL_GROWTH","FQ1 2018","FQ1 2018","Currency=INR","Period=FQ","BEST_FPERIOD_OVERRIDE=FQ","FILING_STATUS=OR","EQY_CONSOLIDATED=Y","Sort=A","Dates=H","DateFormat=P","Fill=—","Direction=H","UseDPDF=Y")</f>
        <v>#NAME?</v>
      </c>
      <c r="BW599" s="1" t="e">
        <f ca="1">_xll.BDH($C$578,"BPS_SEQUENTIAL_GROWTH","FQ1 2018","FQ1 2018","Currency=INR","Period=FQ","BEST_FPERIOD_OVERRIDE=FQ","FILING_STATUS=OR","EQY_CONSOLIDATED=Y","Sort=A","Dates=H","DateFormat=P","Fill=—","Direction=H","UseDPDF=Y")</f>
        <v>#NAME?</v>
      </c>
      <c r="BX599" s="1" t="e">
        <f ca="1">_xll.BDH($C$578,"CFO_SEQUENTIAL_GROWTH","FQ1 2018","FQ1 2018","Currency=INR","Period=FQ","BEST_FPERIOD_OVERRIDE=FQ","FILING_STATUS=OR","EQY_CONSOLIDATED=Y","Sort=A","Dates=H","DateFormat=P","Fill=—","Direction=H","UseDPDF=Y")</f>
        <v>#NAME?</v>
      </c>
      <c r="BY599" s="2" t="e">
        <f ca="1">_xll.BDH($C$578,"SHORT_AND_LONG_TERM_DEBT","FQ1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99" s="2" t="e">
        <f ca="1">_xll.BDH($C$578,"BS_ST_BORROW","FQ1 2018","FQ1 2018","Currency=INR","Period=FQ","BEST_FPERIOD_OVERRIDE=FQ","FILING_STATUS=OR","EQY_CONSOLIDATED=Y","SCALING_FORMAT=MLN","Sort=A","Dates=H","DateFormat=P","Fill=—","Direction=H","UseDPDF=Y")</f>
        <v>#NAME?</v>
      </c>
      <c r="CA599" s="2" t="e">
        <f ca="1">_xll.BDH($C$578,"BS_LT_BORROW","FQ1 2018","FQ1 2018","Currency=INR","Period=FQ","BEST_FPERIOD_OVERRIDE=FQ","FILING_STATUS=OR","EQY_CONSOLIDATED=Y","SCALING_FORMAT=MLN","Sort=A","Dates=H","DateFormat=P","Fill=—","Direction=H","UseDPDF=Y")</f>
        <v>#NAME?</v>
      </c>
      <c r="CB599" s="1" t="e">
        <f ca="1">_xll.BDH($C$578,"TOT_DEBT_TO_EBITDA","FQ1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99" s="1" t="e">
        <f ca="1">_xll.BDH($C$578,"NET_DEBT_TO_EBITDA","FQ1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99" s="1" t="e">
        <f ca="1">_xll.BDH($C$578,"TOTAL_DEBT_TO_EBIT","FQ1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99" s="1" t="e">
        <f ca="1">_xll.BDH($C$578,"NET_DEBT_TO_EBIT","FQ1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599" s="1" t="e">
        <f ca="1">_xll.BDH($C$578,"EBITDA_TO_INTEREST_EXPN","FQ1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99" s="1" t="e">
        <f ca="1">_xll.BDH($C$578,"COM_EQY_TO_TOT_ASSET","FQ1 2018","FQ1 2018","Currency=INR","Period=FQ","BEST_FPERIOD_OVERRIDE=FQ","FILING_STATUS=OR","EQY_CONSOLIDATED=Y","Sort=A","Dates=H","DateFormat=P","Fill=—","Direction=H","UseDPDF=Y")</f>
        <v>#NAME?</v>
      </c>
      <c r="CH599" s="1" t="e">
        <f ca="1">_xll.BDH($C$578,"LT_DEBT_TO_TOT_EQY","FQ1 2018","FQ1 2018","Currency=INR","Period=FQ","BEST_FPERIOD_OVERRIDE=FQ","FILING_STATUS=OR","EQY_CONSOLIDATED=Y","Sort=A","Dates=H","DateFormat=P","Fill=—","Direction=H","UseDPDF=Y")</f>
        <v>#NAME?</v>
      </c>
      <c r="CI599" s="1" t="e">
        <f ca="1">_xll.BDH($C$578,"LT_DEBT_TO_TOT_CAP","FQ1 2018","FQ1 2018","Currency=INR","Period=FQ","BEST_FPERIOD_OVERRIDE=FQ","FILING_STATUS=OR","EQY_CONSOLIDATED=Y","Sort=A","Dates=H","DateFormat=P","Fill=—","Direction=H","UseDPDF=Y")</f>
        <v>#NAME?</v>
      </c>
      <c r="CJ599" s="1" t="e">
        <f ca="1">_xll.BDH($C$578,"LT_DEBT_TO_TOT_ASSET","FQ1 2018","FQ1 2018","Currency=INR","Period=FQ","BEST_FPERIOD_OVERRIDE=FQ","FILING_STATUS=OR","EQY_CONSOLIDATED=Y","Sort=A","Dates=H","DateFormat=P","Fill=—","Direction=H","UseDPDF=Y")</f>
        <v>#NAME?</v>
      </c>
      <c r="CK599" s="1" t="e">
        <f ca="1">_xll.BDH($C$578,"TOT_DEBT_TO_TOT_EQY","FQ1 2018","FQ1 2018","Currency=INR","Period=FQ","BEST_FPERIOD_OVERRIDE=FQ","FILING_STATUS=OR","EQY_CONSOLIDATED=Y","Sort=A","Dates=H","DateFormat=P","Fill=—","Direction=H","UseDPDF=Y")</f>
        <v>#NAME?</v>
      </c>
      <c r="CL599" s="1" t="e">
        <f ca="1">_xll.BDH($C$578,"TOT_DEBT_TO_TOT_CAP","FQ1 2018","FQ1 2018","Currency=INR","Period=FQ","BEST_FPERIOD_OVERRIDE=FQ","FILING_STATUS=OR","EQY_CONSOLIDATED=Y","Sort=A","Dates=H","DateFormat=P","Fill=—","Direction=H","UseDPDF=Y")</f>
        <v>#NAME?</v>
      </c>
      <c r="CM599" s="1" t="e">
        <f ca="1">_xll.BDH($C$578,"TOT_DEBT_TO_TOT_ASSET","FQ1 2018","FQ1 2018","Currency=INR","Period=FQ","BEST_FPERIOD_OVERRIDE=FQ","FILING_STATUS=OR","EQY_CONSOLIDATED=Y","Sort=A","Dates=H","DateFormat=P","Fill=—","Direction=H","UseDPDF=Y")</f>
        <v>#NAME?</v>
      </c>
      <c r="CN599" s="1" t="e">
        <f ca="1">_xll.BDH($C$578,"NET_DEBT_TO_SHRHLDR_EQTY","FQ1 2018","FQ1 2018","Currency=INR","Period=FQ","BEST_FPERIOD_OVERRIDE=FQ","FILING_STATUS=OR","EQY_CONSOLIDATED=Y","Sort=A","Dates=H","DateFormat=P","Fill=—","Direction=H","UseDPDF=Y")</f>
        <v>#NAME?</v>
      </c>
      <c r="CO599" s="1" t="e">
        <f ca="1">_xll.BDH($C$578,"NET_DEBT_%_CAPITAL","FQ1 2018","FQ1 2018","Currency=INR","Period=FQ","BEST_FPERIOD_OVERRIDE=FQ","FILING_STATUS=OR","EQY_CONSOLIDATED=Y","Sort=A","Dates=H","DateFormat=P","Fill=—","Direction=H","UseDPDF=Y")</f>
        <v>#NAME?</v>
      </c>
      <c r="CP599" s="2" t="e">
        <f ca="1">_xll.BDH($C$578,"EBITDA","FQ1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99" s="2" t="e">
        <f ca="1">_xll.BDH($C$578,"EBITDA_AFTER_CAPEX","FQ1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99" s="2" t="e">
        <f ca="1">_xll.BDH($C$578,"IS_OPER_INC","FQ1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99" s="1" t="e">
        <f ca="1">_xll.BDH($C$578,"CASH_RATIO","FQ1 2018","FQ1 2018","Currency=INR","Period=FQ","BEST_FPERIOD_OVERRIDE=FQ","FILING_STATUS=OR","EQY_CONSOLIDATED=Y","Sort=A","Dates=H","DateFormat=P","Fill=—","Direction=H","UseDPDF=Y")</f>
        <v>#NAME?</v>
      </c>
      <c r="CT599" s="1" t="e">
        <f ca="1">_xll.BDH($C$578,"CUR_RATIO","FQ1 2018","FQ1 2018","Currency=INR","Period=FQ","BEST_FPERIOD_OVERRIDE=FQ","FILING_STATUS=OR","EQY_CONSOLIDATED=Y","Sort=A","Dates=H","DateFormat=P","Fill=—","Direction=H","UseDPDF=Y")</f>
        <v>#NAME?</v>
      </c>
      <c r="CU599" s="1" t="e">
        <f ca="1">_xll.BDH($C$578,"QUICK_RATIO","FQ1 2018","FQ1 2018","Currency=INR","Period=FQ","BEST_FPERIOD_OVERRIDE=FQ","FILING_STATUS=OR","EQY_CONSOLIDATED=Y","Sort=A","Dates=H","DateFormat=P","Fill=—","Direction=H","UseDPDF=Y")</f>
        <v>#NAME?</v>
      </c>
      <c r="CV599" s="1" t="e">
        <f ca="1">_xll.BDH($C$578,"ALTMAN_Z_SCORE","FQ1 2018","FQ1 2018","Currency=INR","Period=FQ","BEST_FPERIOD_OVERRIDE=FQ","FILING_STATUS=OR","EQY_CONSOLIDATED=Y","Sort=A","Dates=H","DateFormat=P","Fill=—","Direction=H","UseDPDF=Y")</f>
        <v>#NAME?</v>
      </c>
      <c r="CW599" s="3" t="e">
        <f ca="1">_xll.BDH($C$578,"ACCT_RCV_TURN","FQ1 2018","FQ1 2018","Currency=INR","Period=FQ","BEST_FPERIOD_OVERRIDE=FQ","FILING_STATUS=OR","EQY_CONSOLIDATED=Y","FA_ADJUSTED=GAAP","Sort=A","Dates=H","DateFormat=P","Fill=—","Direction=H","UseDPDF=Y")</f>
        <v>#NAME?</v>
      </c>
      <c r="CX599" s="1" t="e">
        <f ca="1">_xll.BDH($C$578,"ACCT_RCV_DAYS","FQ1 2018","FQ1 2018","Currency=INR","Period=FQ","BEST_FPERIOD_OVERRIDE=FQ","FILING_STATUS=OR","EQY_CONSOLIDATED=Y","FA_ADJUSTED=GAAP","Sort=A","Dates=H","DateFormat=P","Fill=—","Direction=H","UseDPDF=Y")</f>
        <v>#NAME?</v>
      </c>
      <c r="CY599" s="3" t="e">
        <f ca="1">_xll.BDH($C$578,"INVENT_TURN","FQ1 2018","FQ1 2018","Currency=INR","Period=FQ","BEST_FPERIOD_OVERRIDE=FQ","FILING_STATUS=OR","EQY_CONSOLIDATED=Y","FA_ADJUSTED=GAAP","Sort=A","Dates=H","DateFormat=P","Fill=—","Direction=H","UseDPDF=Y")</f>
        <v>#NAME?</v>
      </c>
      <c r="CZ599" s="1" t="e">
        <f ca="1">_xll.BDH($C$578,"INVENT_DAYS","FQ1 2018","FQ1 2018","Currency=INR","Period=FQ","BEST_FPERIOD_OVERRIDE=FQ","FILING_STATUS=OR","EQY_CONSOLIDATED=Y","FA_ADJUSTED=GAAP","Sort=A","Dates=H","DateFormat=P","Fill=—","Direction=H","UseDPDF=Y")</f>
        <v>#NAME?</v>
      </c>
      <c r="DA599" s="3" t="e">
        <f ca="1">_xll.BDH($C$578,"ACCOUNTS_PAYABLE_TURNOVER","FQ1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99" s="1" t="e">
        <f ca="1">_xll.BDH($C$578,"ACCOUNTS_PAYABLE_TURNOVER_DAYS","FQ1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99" s="3" t="e">
        <f ca="1">_xll.BDH($C$578,"CASH_CONVERSION_CYCLE","FQ1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99" s="3" t="e">
        <f ca="1">_xll.BDH($C$578,"INV_TO_CASH_DAYS","FQ1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599" s="4" t="e">
        <f ca="1">_xll.BDH($C$578,"BS_INVENTORIES","FQ1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599" s="2" t="e">
        <f ca="1">_xll.BDH($C$578,"INVTRY_RAW_MATERIALS","FQ1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99" s="2" t="e">
        <f ca="1">_xll.BDH($C$578,"INVTRY_IN_PROGRESS","FQ1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99" s="2" t="e">
        <f ca="1">_xll.BDH($C$578,"INVTRY_FINISHED_GOODS","FQ1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99" s="2" t="e">
        <f ca="1">_xll.BDH($C$578,"BS_OTHER_INV","FQ1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600" spans="1:113" x14ac:dyDescent="0.3">
      <c r="A600" s="6"/>
      <c r="B600" s="6"/>
      <c r="C600" s="6"/>
      <c r="D600" s="6"/>
      <c r="E600" t="s">
        <v>5</v>
      </c>
      <c r="F600" t="e">
        <f ca="1">_xll.BDH($C$578,"RETURN_COM_EQY","FQ2 2018","FQ2 2018","Currency=INR","Period=FQ","BEST_FPERIOD_OVERRIDE=FQ","FILING_STATUS=OR","EQY_CONSOLIDATED=Y","FA_ADJUSTED=GAAP","Sort=A","Dates=H","DateFormat=P","Fill=—","Direction=H","UseDPDF=Y")</f>
        <v>#NAME?</v>
      </c>
      <c r="G600" t="e">
        <f ca="1">_xll.BDH($C$578,"RETURN_ON_ASSET","FQ2 2018","FQ2 2018","Currency=INR","Period=FQ","BEST_FPERIOD_OVERRIDE=FQ","FILING_STATUS=OR","EQY_CONSOLIDATED=Y","FA_ADJUSTED=GAAP","Sort=A","Dates=H","DateFormat=P","Fill=—","Direction=H","UseDPDF=Y")</f>
        <v>#NAME?</v>
      </c>
      <c r="H600" t="e">
        <f ca="1">_xll.BDH($C$578,"RETURN_ON_CAP","FQ2 2018","FQ2 2018","Currency=INR","Period=FQ","BEST_FPERIOD_OVERRIDE=FQ","FILING_STATUS=OR","EQY_CONSOLIDATED=Y","FA_ADJUSTED=GAAP","Sort=A","Dates=H","DateFormat=P","Fill=—","Direction=H","UseDPDF=Y")</f>
        <v>#NAME?</v>
      </c>
      <c r="I600" t="e">
        <f ca="1">_xll.BDH($C$578,"RETURN_ON_INV_CAPITAL","FQ2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600" t="e">
        <f ca="1">_xll.BDH($C$578,"EBITDA_TO_REVENUE","FQ2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600" t="e">
        <f ca="1">_xll.BDH($C$578,"OPER_MARGIN","FQ2 2018","FQ2 2018","Currency=INR","Period=FQ","BEST_FPERIOD_OVERRIDE=FQ","FILING_STATUS=OR","EQY_CONSOLIDATED=Y","FA_ADJUSTED=GAAP","Sort=A","Dates=H","DateFormat=P","Fill=—","Direction=H","UseDPDF=Y")</f>
        <v>#NAME?</v>
      </c>
      <c r="L600" t="e">
        <f ca="1">_xll.BDH($C$578,"INCREMENTAL_OPERATING_MARGIN","FQ2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600" t="e">
        <f ca="1">_xll.BDH($C$578,"PRETAX_INC_TO_NET_SALES","FQ2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600" t="e">
        <f ca="1">_xll.BDH($C$578,"INC_BEF_XO_ITEMS_TO_NET_SALES","FQ2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600" t="e">
        <f ca="1">_xll.BDH($C$578,"PROF_MARGIN","FQ2 2018","FQ2 2018","Currency=INR","Period=FQ","BEST_FPERIOD_OVERRIDE=FQ","FILING_STATUS=OR","EQY_CONSOLIDATED=Y","FA_ADJUSTED=GAAP","Sort=A","Dates=H","DateFormat=P","Fill=—","Direction=H","UseDPDF=Y")</f>
        <v>#NAME?</v>
      </c>
      <c r="P600" t="e">
        <f ca="1">_xll.BDH($C$578,"NET_INCOME_TO_COMMON_MARGIN","FQ2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600" t="e">
        <f ca="1">_xll.BDH($C$578,"EFF_TAX_RATE","FQ2 2018","FQ2 2018","Currency=INR","Period=FQ","BEST_FPERIOD_OVERRIDE=FQ","FILING_STATUS=OR","EQY_CONSOLIDATED=Y","FA_ADJUSTED=GAAP","Sort=A","Dates=H","DateFormat=P","Fill=—","Direction=H","UseDPDF=Y")</f>
        <v>#NAME?</v>
      </c>
      <c r="R600" t="e">
        <f ca="1">_xll.BDH($C$578,"DVD_PAYOUT_RATIO","FQ2 2018","FQ2 2018","Currency=INR","Period=FQ","BEST_FPERIOD_OVERRIDE=FQ","FILING_STATUS=OR","EQY_CONSOLIDATED=Y","FA_ADJUSTED=GAAP","Sort=A","Dates=H","DateFormat=P","Fill=—","Direction=H","UseDPDF=Y")</f>
        <v>#NAME?</v>
      </c>
      <c r="S600" t="e">
        <f ca="1">_xll.BDH($C$578,"SUSTAIN_GROWTH_RT","FQ2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600" s="1" t="e">
        <f ca="1">_xll.BDH($C$578,"SALES_GROWTH","FQ2 2018","FQ2 2018","Currency=INR","Period=FQ","BEST_FPERIOD_OVERRIDE=FQ","FILING_STATUS=OR","EQY_CONSOLIDATED=Y","FA_ADJUSTED=GAAP","Sort=A","Dates=H","DateFormat=P","Fill=—","Direction=H","UseDPDF=Y")</f>
        <v>#NAME?</v>
      </c>
      <c r="U600" s="1" t="e">
        <f ca="1">_xll.BDH($C$578,"EBITDA_GROWTH","FQ2 2018","FQ2 2018","Currency=INR","Period=FQ","BEST_FPERIOD_OVERRIDE=FQ","FILING_STATUS=OR","EQY_CONSOLIDATED=Y","FA_ADJUSTED=GAAP","Sort=A","Dates=H","DateFormat=P","Fill=—","Direction=H","UseDPDF=Y")</f>
        <v>#NAME?</v>
      </c>
      <c r="V600" s="1" t="e">
        <f ca="1">_xll.BDH($C$578,"OPER_INC_GROWTH","FQ2 2018","FQ2 2018","Currency=INR","Period=FQ","BEST_FPERIOD_OVERRIDE=FQ","FILING_STATUS=OR","EQY_CONSOLIDATED=Y","FA_ADJUSTED=GAAP","Sort=A","Dates=H","DateFormat=P","Fill=—","Direction=H","UseDPDF=Y")</f>
        <v>#NAME?</v>
      </c>
      <c r="W600" s="1" t="e">
        <f ca="1">_xll.BDH($C$578,"EARN_FOR_COM_GROWTH","FQ2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600" s="1" t="e">
        <f ca="1">_xll.BDH($C$578,"DILUTED_EPS_AFT_XO_ITEMS_GROWTH","FQ2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600" s="1" t="e">
        <f ca="1">_xll.BDH($C$578,"DIVIDEND_PER_SHARE_1_YEAR_GROWTH","FQ2 2018","FQ2 2018","Currency=INR","Period=FQ","BEST_FPERIOD_OVERRIDE=FQ","FILING_STATUS=OR","EQY_CONSOLIDATED=Y","Sort=A","Dates=H","DateFormat=P","Fill=—","Direction=H","UseDPDF=Y")</f>
        <v>#NAME?</v>
      </c>
      <c r="Z600" s="1" t="e">
        <f ca="1">_xll.BDH($C$578,"ACCOUNTS_RECEIVABLE_GROWTH","FQ2 2018","FQ2 2018","Currency=INR","Period=FQ","BEST_FPERIOD_OVERRIDE=FQ","FILING_STATUS=OR","EQY_CONSOLIDATED=Y","Sort=A","Dates=H","DateFormat=P","Fill=—","Direction=H","UseDPDF=Y")</f>
        <v>#NAME?</v>
      </c>
      <c r="AA600" s="1" t="e">
        <f ca="1">_xll.BDH($C$578,"INVENTORY_GROWTH","FQ2 2018","FQ2 2018","Currency=INR","Period=FQ","BEST_FPERIOD_OVERRIDE=FQ","FILING_STATUS=OR","EQY_CONSOLIDATED=Y","Sort=A","Dates=H","DateFormat=P","Fill=—","Direction=H","UseDPDF=Y")</f>
        <v>#NAME?</v>
      </c>
      <c r="AB600" s="1" t="e">
        <f ca="1">_xll.BDH($C$578,"NET_FIXED_ASSETS_1_YEAR_GROWTH","FQ2 2018","FQ2 2018","Currency=INR","Period=FQ","BEST_FPERIOD_OVERRIDE=FQ","FILING_STATUS=OR","EQY_CONSOLIDATED=Y","Sort=A","Dates=H","DateFormat=P","Fill=—","Direction=H","UseDPDF=Y")</f>
        <v>#NAME?</v>
      </c>
      <c r="AC600" s="1" t="e">
        <f ca="1">_xll.BDH($C$578,"ASSET_GROWTH","FQ2 2018","FQ2 2018","Currency=INR","Period=FQ","BEST_FPERIOD_OVERRIDE=FQ","FILING_STATUS=OR","EQY_CONSOLIDATED=Y","Sort=A","Dates=H","DateFormat=P","Fill=—","Direction=H","UseDPDF=Y")</f>
        <v>#NAME?</v>
      </c>
      <c r="AD600" s="1" t="e">
        <f ca="1">_xll.BDH($C$578,"MODIFIED_WORK_CAP_GROWTH","FQ2 2018","FQ2 2018","Currency=INR","Period=FQ","BEST_FPERIOD_OVERRIDE=FQ","FILING_STATUS=OR","EQY_CONSOLIDATED=Y","Sort=A","Dates=H","DateFormat=P","Fill=—","Direction=H","UseDPDF=Y")</f>
        <v>#NAME?</v>
      </c>
      <c r="AE600" s="1" t="e">
        <f ca="1">_xll.BDH($C$578,"WORK_CAP_GROWTH","FQ2 2018","FQ2 2018","Currency=INR","Period=FQ","BEST_FPERIOD_OVERRIDE=FQ","FILING_STATUS=OR","EQY_CONSOLIDATED=Y","Sort=A","Dates=H","DateFormat=P","Fill=—","Direction=H","UseDPDF=Y")</f>
        <v>#NAME?</v>
      </c>
      <c r="AF600" s="1" t="e">
        <f ca="1">_xll.BDH($C$578,"ACCOUNTS_PAYABLE_GROWTH_1YR","FQ2 2018","FQ2 2018","Currency=INR","Period=FQ","BEST_FPERIOD_OVERRIDE=FQ","FILING_STATUS=OR","EQY_CONSOLIDATED=Y","Sort=A","Dates=H","DateFormat=P","Fill=—","Direction=H","UseDPDF=Y")</f>
        <v>#NAME?</v>
      </c>
      <c r="AG600" s="1" t="e">
        <f ca="1">_xll.BDH($C$578,"SHORT_TERM_DEBT_1_YEAR_GROWTH","FQ2 2018","FQ2 2018","Currency=INR","Period=FQ","BEST_FPERIOD_OVERRIDE=FQ","FILING_STATUS=OR","EQY_CONSOLIDATED=Y","Sort=A","Dates=H","DateFormat=P","Fill=—","Direction=H","UseDPDF=Y")</f>
        <v>#NAME?</v>
      </c>
      <c r="AH600" s="1" t="e">
        <f ca="1">_xll.BDH($C$578,"TOTAL_DEBT_1_YEAR_GROWTH","FQ2 2018","FQ2 2018","Currency=INR","Period=FQ","BEST_FPERIOD_OVERRIDE=FQ","FILING_STATUS=OR","EQY_CONSOLIDATED=Y","Sort=A","Dates=H","DateFormat=P","Fill=—","Direction=H","UseDPDF=Y")</f>
        <v>#NAME?</v>
      </c>
      <c r="AI600" s="1" t="e">
        <f ca="1">_xll.BDH($C$578,"TOTAL_EQUITY_1_YEAR_GROWTH","FQ2 2018","FQ2 2018","Currency=INR","Period=FQ","BEST_FPERIOD_OVERRIDE=FQ","FILING_STATUS=OR","EQY_CONSOLIDATED=Y","Sort=A","Dates=H","DateFormat=P","Fill=—","Direction=H","UseDPDF=Y")</f>
        <v>#NAME?</v>
      </c>
      <c r="AJ600" s="1" t="e">
        <f ca="1">_xll.BDH($C$578,"GROWTH_IN_CAP","FQ2 2018","FQ2 2018","Currency=INR","Period=FQ","BEST_FPERIOD_OVERRIDE=FQ","FILING_STATUS=OR","EQY_CONSOLIDATED=Y","Sort=A","Dates=H","DateFormat=P","Fill=—","Direction=H","UseDPDF=Y")</f>
        <v>#NAME?</v>
      </c>
      <c r="AK600" s="1" t="e">
        <f ca="1">_xll.BDH($C$578,"BVPS_GROWTH","FQ2 2018","FQ2 2018","Currency=INR","Period=FQ","BEST_FPERIOD_OVERRIDE=FQ","FILING_STATUS=OR","EQY_CONSOLIDATED=Y","Sort=A","Dates=H","DateFormat=P","Fill=—","Direction=H","UseDPDF=Y")</f>
        <v>#NAME?</v>
      </c>
      <c r="AL600" s="1" t="e">
        <f ca="1">_xll.BDH($C$578,"CASH_FLOW_GROWTH","FQ2 2018","FQ2 2018","Currency=INR","Period=FQ","BEST_FPERIOD_OVERRIDE=FQ","FILING_STATUS=OR","EQY_CONSOLIDATED=Y","Sort=A","Dates=H","DateFormat=P","Fill=—","Direction=H","UseDPDF=Y")</f>
        <v>#NAME?</v>
      </c>
      <c r="AM600" s="1" t="e">
        <f ca="1">_xll.BDH($C$578,"GEO_GROW_NET_SALES","FQ2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600" s="1" t="e">
        <f ca="1">_xll.BDH($C$578,"GEO_GROW_EBITDA","FQ2 2018","FQ2 2018","Currency=INR","Period=FQ","BEST_FPERIOD_OVERRIDE=FQ","FILING_STATUS=OR","EQY_CONSOLIDATED=Y","FA_ADJUSTED=GAAP","Sort=A","Dates=H","DateFormat=P","Fill=—","Direction=H","UseDPDF=Y")</f>
        <v>#NAME?</v>
      </c>
      <c r="AO600" s="1" t="e">
        <f ca="1">_xll.BDH($C$578,"GEO_GROW_OPER_INC","FQ2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600" s="1" t="e">
        <f ca="1">_xll.BDH($C$578,"NET_INCOME_TO_COMMON_5_YR_GROWTH","FQ2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600" s="1" t="e">
        <f ca="1">_xll.BDH($C$578,"5Y_GEO_GROWTH_DILUTED_EPS","FQ2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600" s="1" t="e">
        <f ca="1">_xll.BDH($C$578,"GEO_GROW_DVD_PER_SH","FQ2 2018","FQ2 2018","Currency=INR","Period=FQ","BEST_FPERIOD_OVERRIDE=FQ","FILING_STATUS=OR","EQY_CONSOLIDATED=Y","Sort=A","Dates=H","DateFormat=P","Fill=—","Direction=H","UseDPDF=Y")</f>
        <v>#NAME?</v>
      </c>
      <c r="AS600" s="1" t="e">
        <f ca="1">_xll.BDH($C$578,"ACCOUNTS_RECEIVABLE_5_YR_GROWTH","FQ2 2018","FQ2 2018","Currency=INR","Period=FQ","BEST_FPERIOD_OVERRIDE=FQ","FILING_STATUS=OR","EQY_CONSOLIDATED=Y","Sort=A","Dates=H","DateFormat=P","Fill=—","Direction=H","UseDPDF=Y")</f>
        <v>#NAME?</v>
      </c>
      <c r="AT600" s="1" t="e">
        <f ca="1">_xll.BDH($C$578,"INVENTORY_5_YEAR_GROWTH","FQ2 2018","FQ2 2018","Currency=INR","Period=FQ","BEST_FPERIOD_OVERRIDE=FQ","FILING_STATUS=OR","EQY_CONSOLIDATED=Y","Sort=A","Dates=H","DateFormat=P","Fill=—","Direction=H","UseDPDF=Y")</f>
        <v>#NAME?</v>
      </c>
      <c r="AU600" s="1" t="e">
        <f ca="1">_xll.BDH($C$578,"NET_FIXED_ASSETS_5_YEAR_GROWTH","FQ2 2018","FQ2 2018","Currency=INR","Period=FQ","BEST_FPERIOD_OVERRIDE=FQ","FILING_STATUS=OR","EQY_CONSOLIDATED=Y","Sort=A","Dates=H","DateFormat=P","Fill=—","Direction=H","UseDPDF=Y")</f>
        <v>#NAME?</v>
      </c>
      <c r="AV600" s="1" t="e">
        <f ca="1">_xll.BDH($C$578,"GEO_GROW_TOT_ASSET","FQ2 2018","FQ2 2018","Currency=INR","Period=FQ","BEST_FPERIOD_OVERRIDE=FQ","FILING_STATUS=OR","EQY_CONSOLIDATED=Y","Sort=A","Dates=H","DateFormat=P","Fill=—","Direction=H","UseDPDF=Y")</f>
        <v>#NAME?</v>
      </c>
      <c r="AW600" s="1" t="e">
        <f ca="1">_xll.BDH($C$578,"MODIFIED_WORKING_CPTL_5YR_GRWTH","FQ2 2018","FQ2 2018","Currency=INR","Period=FQ","BEST_FPERIOD_OVERRIDE=FQ","FILING_STATUS=OR","EQY_CONSOLIDATED=Y","Sort=A","Dates=H","DateFormat=P","Fill=—","Direction=H","UseDPDF=Y")</f>
        <v>#NAME?</v>
      </c>
      <c r="AX600" s="1" t="e">
        <f ca="1">_xll.BDH($C$578,"WORKING_CAPITAL_5_YEAR_GROWTH","FQ2 2018","FQ2 2018","Currency=INR","Period=FQ","BEST_FPERIOD_OVERRIDE=FQ","FILING_STATUS=OR","EQY_CONSOLIDATED=Y","Sort=A","Dates=H","DateFormat=P","Fill=—","Direction=H","UseDPDF=Y")</f>
        <v>#NAME?</v>
      </c>
      <c r="AY600" s="1" t="e">
        <f ca="1">_xll.BDH($C$578,"ACCOUNTS_PAYABLE_5_YEAR_GROWTH","FQ2 2018","FQ2 2018","Currency=INR","Period=FQ","BEST_FPERIOD_OVERRIDE=FQ","FILING_STATUS=OR","EQY_CONSOLIDATED=Y","Sort=A","Dates=H","DateFormat=P","Fill=—","Direction=H","UseDPDF=Y")</f>
        <v>#NAME?</v>
      </c>
      <c r="AZ600" s="1" t="e">
        <f ca="1">_xll.BDH($C$578,"SHORT_TERM_DEBT_5_YEAR_GROWTH","FQ2 2018","FQ2 2018","Currency=INR","Period=FQ","BEST_FPERIOD_OVERRIDE=FQ","FILING_STATUS=OR","EQY_CONSOLIDATED=Y","Sort=A","Dates=H","DateFormat=P","Fill=—","Direction=H","UseDPDF=Y")</f>
        <v>#NAME?</v>
      </c>
      <c r="BA600" s="1" t="e">
        <f ca="1">_xll.BDH($C$578,"TOTAL_DEBT_5_YEAR_GROWTH","FQ2 2018","FQ2 2018","Currency=INR","Period=FQ","BEST_FPERIOD_OVERRIDE=FQ","FILING_STATUS=OR","EQY_CONSOLIDATED=Y","Sort=A","Dates=H","DateFormat=P","Fill=—","Direction=H","UseDPDF=Y")</f>
        <v>#NAME?</v>
      </c>
      <c r="BB600" s="1" t="e">
        <f ca="1">_xll.BDH($C$578,"GEO_GROW_TOT_SHRHLDR_EQY","FQ2 2018","FQ2 2018","Currency=INR","Period=FQ","BEST_FPERIOD_OVERRIDE=FQ","FILING_STATUS=OR","EQY_CONSOLIDATED=Y","Sort=A","Dates=H","DateFormat=P","Fill=—","Direction=H","UseDPDF=Y")</f>
        <v>#NAME?</v>
      </c>
      <c r="BC600" s="1" t="e">
        <f ca="1">_xll.BDH($C$578,"TOTAL_CAPITAL_5_YEAR_GROWTH","FQ2 2018","FQ2 2018","Currency=INR","Period=FQ","BEST_FPERIOD_OVERRIDE=FQ","FILING_STATUS=OR","EQY_CONSOLIDATED=Y","Sort=A","Dates=H","DateFormat=P","Fill=—","Direction=H","UseDPDF=Y")</f>
        <v>#NAME?</v>
      </c>
      <c r="BD600" s="1" t="e">
        <f ca="1">_xll.BDH($C$578,"GEO_GROW_BOOK_VAL","FQ2 2018","FQ2 2018","Currency=INR","Period=FQ","BEST_FPERIOD_OVERRIDE=FQ","FILING_STATUS=OR","EQY_CONSOLIDATED=Y","Sort=A","Dates=H","DateFormat=P","Fill=—","Direction=H","UseDPDF=Y")</f>
        <v>#NAME?</v>
      </c>
      <c r="BE600" s="1" t="e">
        <f ca="1">_xll.BDH($C$578,"GEO_GROW_CASH_OPER_ACT","FQ2 2018","FQ2 2018","Currency=INR","Period=FQ","BEST_FPERIOD_OVERRIDE=FQ","FILING_STATUS=OR","EQY_CONSOLIDATED=Y","Sort=A","Dates=H","DateFormat=P","Fill=—","Direction=H","UseDPDF=Y")</f>
        <v>#NAME?</v>
      </c>
      <c r="BF600" s="1" t="e">
        <f ca="1">_xll.BDH($C$578,"REVENUE_SEQUENTIAL_GROWTH","FQ2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600" s="1" t="e">
        <f ca="1">_xll.BDH($C$578,"EBITDA_SEQUENTIAL_GROWTH","FQ2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600" s="1" t="e">
        <f ca="1">_xll.BDH($C$578,"OPERATING_INCOME_SEQ_GROWTH","FQ2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600" s="1" t="e">
        <f ca="1">_xll.BDH($C$578,"NET_INCOME_TO_COMMON_SEQ_GROWTH","FQ2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600" s="1" t="e">
        <f ca="1">_xll.BDH($C$578,"EPS_DILUTED_SEQUENTIAL_GROWTH","FQ2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600" s="1" t="e">
        <f ca="1">_xll.BDH($C$578,"DPS_SEQUENTIAL_GROWTH","FQ2 2018","FQ2 2018","Currency=INR","Period=FQ","BEST_FPERIOD_OVERRIDE=FQ","FILING_STATUS=OR","EQY_CONSOLIDATED=Y","Sort=A","Dates=H","DateFormat=P","Fill=—","Direction=H","UseDPDF=Y")</f>
        <v>#NAME?</v>
      </c>
      <c r="BL600" s="1" t="e">
        <f ca="1">_xll.BDH($C$578,"ACCOUNTS_RECEIVABLE_SEQ_GROWTH","FQ2 2018","FQ2 2018","Currency=INR","Period=FQ","BEST_FPERIOD_OVERRIDE=FQ","FILING_STATUS=OR","EQY_CONSOLIDATED=Y","Sort=A","Dates=H","DateFormat=P","Fill=—","Direction=H","UseDPDF=Y")</f>
        <v>#NAME?</v>
      </c>
      <c r="BM600" s="1" t="e">
        <f ca="1">_xll.BDH($C$578,"INVENTORY_SEQUENTIAL_GROWTH","FQ2 2018","FQ2 2018","Currency=INR","Period=FQ","BEST_FPERIOD_OVERRIDE=FQ","FILING_STATUS=OR","EQY_CONSOLIDATED=Y","Sort=A","Dates=H","DateFormat=P","Fill=—","Direction=H","UseDPDF=Y")</f>
        <v>#NAME?</v>
      </c>
      <c r="BN600" s="1" t="e">
        <f ca="1">_xll.BDH($C$578,"FIXED_ASSETS_SEQUENTIAL_GROWTH","FQ2 2018","FQ2 2018","Currency=INR","Period=FQ","BEST_FPERIOD_OVERRIDE=FQ","FILING_STATUS=OR","EQY_CONSOLIDATED=Y","Sort=A","Dates=H","DateFormat=P","Fill=—","Direction=H","UseDPDF=Y")</f>
        <v>#NAME?</v>
      </c>
      <c r="BO600" s="1" t="e">
        <f ca="1">_xll.BDH($C$578,"TOTAL_ASSETS_SEQUENTIAL_GROWTH","FQ2 2018","FQ2 2018","Currency=INR","Period=FQ","BEST_FPERIOD_OVERRIDE=FQ","FILING_STATUS=OR","EQY_CONSOLIDATED=Y","Sort=A","Dates=H","DateFormat=P","Fill=—","Direction=H","UseDPDF=Y")</f>
        <v>#NAME?</v>
      </c>
      <c r="BP600" s="1" t="e">
        <f ca="1">_xll.BDH($C$578,"MODIFIED_WORKING_CPTL_SEQ_GRWTH","FQ2 2018","FQ2 2018","Currency=INR","Period=FQ","BEST_FPERIOD_OVERRIDE=FQ","FILING_STATUS=OR","EQY_CONSOLIDATED=Y","Sort=A","Dates=H","DateFormat=P","Fill=—","Direction=H","UseDPDF=Y")</f>
        <v>#NAME?</v>
      </c>
      <c r="BQ600" s="1" t="e">
        <f ca="1">_xll.BDH($C$578,"WORKING_CAPITAL_SEQ_GROWTH","FQ2 2018","FQ2 2018","Currency=INR","Period=FQ","BEST_FPERIOD_OVERRIDE=FQ","FILING_STATUS=OR","EQY_CONSOLIDATED=Y","Sort=A","Dates=H","DateFormat=P","Fill=—","Direction=H","UseDPDF=Y")</f>
        <v>#NAME?</v>
      </c>
      <c r="BR600" s="1" t="e">
        <f ca="1">_xll.BDH($C$578,"ACCOUNTS_PAYABLE_SEQ_GROWTH","FQ2 2018","FQ2 2018","Currency=INR","Period=FQ","BEST_FPERIOD_OVERRIDE=FQ","FILING_STATUS=OR","EQY_CONSOLIDATED=Y","Sort=A","Dates=H","DateFormat=P","Fill=—","Direction=H","UseDPDF=Y")</f>
        <v>#NAME?</v>
      </c>
      <c r="BS600" s="1" t="e">
        <f ca="1">_xll.BDH($C$578,"ST_DEBT_SEQUENTIAL_GROWTH","FQ2 2018","FQ2 2018","Currency=INR","Period=FQ","BEST_FPERIOD_OVERRIDE=FQ","FILING_STATUS=OR","EQY_CONSOLIDATED=Y","Sort=A","Dates=H","DateFormat=P","Fill=—","Direction=H","UseDPDF=Y")</f>
        <v>#NAME?</v>
      </c>
      <c r="BT600" s="1" t="e">
        <f ca="1">_xll.BDH($C$578,"TOTAL_DEBT_SEQUENTIAL_GROWTH","FQ2 2018","FQ2 2018","Currency=INR","Period=FQ","BEST_FPERIOD_OVERRIDE=FQ","FILING_STATUS=OR","EQY_CONSOLIDATED=Y","Sort=A","Dates=H","DateFormat=P","Fill=—","Direction=H","UseDPDF=Y")</f>
        <v>#NAME?</v>
      </c>
      <c r="BU600" s="1" t="e">
        <f ca="1">_xll.BDH($C$578,"TOTAL_EQUITY_SEQUENTIAL_GROWTH","FQ2 2018","FQ2 2018","Currency=INR","Period=FQ","BEST_FPERIOD_OVERRIDE=FQ","FILING_STATUS=OR","EQY_CONSOLIDATED=Y","Sort=A","Dates=H","DateFormat=P","Fill=—","Direction=H","UseDPDF=Y")</f>
        <v>#NAME?</v>
      </c>
      <c r="BV600" s="1" t="e">
        <f ca="1">_xll.BDH($C$578,"TOTAL_CAPITAL_SEQUENTIAL_GROWTH","FQ2 2018","FQ2 2018","Currency=INR","Period=FQ","BEST_FPERIOD_OVERRIDE=FQ","FILING_STATUS=OR","EQY_CONSOLIDATED=Y","Sort=A","Dates=H","DateFormat=P","Fill=—","Direction=H","UseDPDF=Y")</f>
        <v>#NAME?</v>
      </c>
      <c r="BW600" s="1" t="e">
        <f ca="1">_xll.BDH($C$578,"BPS_SEQUENTIAL_GROWTH","FQ2 2018","FQ2 2018","Currency=INR","Period=FQ","BEST_FPERIOD_OVERRIDE=FQ","FILING_STATUS=OR","EQY_CONSOLIDATED=Y","Sort=A","Dates=H","DateFormat=P","Fill=—","Direction=H","UseDPDF=Y")</f>
        <v>#NAME?</v>
      </c>
      <c r="BX600" s="1" t="e">
        <f ca="1">_xll.BDH($C$578,"CFO_SEQUENTIAL_GROWTH","FQ2 2018","FQ2 2018","Currency=INR","Period=FQ","BEST_FPERIOD_OVERRIDE=FQ","FILING_STATUS=OR","EQY_CONSOLIDATED=Y","Sort=A","Dates=H","DateFormat=P","Fill=—","Direction=H","UseDPDF=Y")</f>
        <v>#NAME?</v>
      </c>
      <c r="BY600" s="2" t="e">
        <f ca="1">_xll.BDH($C$578,"SHORT_AND_LONG_TERM_DEBT","FQ2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600" s="2" t="e">
        <f ca="1">_xll.BDH($C$578,"BS_ST_BORROW","FQ2 2018","FQ2 2018","Currency=INR","Period=FQ","BEST_FPERIOD_OVERRIDE=FQ","FILING_STATUS=OR","EQY_CONSOLIDATED=Y","SCALING_FORMAT=MLN","Sort=A","Dates=H","DateFormat=P","Fill=—","Direction=H","UseDPDF=Y")</f>
        <v>#NAME?</v>
      </c>
      <c r="CA600" s="2" t="e">
        <f ca="1">_xll.BDH($C$578,"BS_LT_BORROW","FQ2 2018","FQ2 2018","Currency=INR","Period=FQ","BEST_FPERIOD_OVERRIDE=FQ","FILING_STATUS=OR","EQY_CONSOLIDATED=Y","SCALING_FORMAT=MLN","Sort=A","Dates=H","DateFormat=P","Fill=—","Direction=H","UseDPDF=Y")</f>
        <v>#NAME?</v>
      </c>
      <c r="CB600" s="1" t="e">
        <f ca="1">_xll.BDH($C$578,"TOT_DEBT_TO_EBITDA","FQ2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600" s="1" t="e">
        <f ca="1">_xll.BDH($C$578,"NET_DEBT_TO_EBITDA","FQ2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600" s="1" t="e">
        <f ca="1">_xll.BDH($C$578,"TOTAL_DEBT_TO_EBIT","FQ2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600" s="1" t="e">
        <f ca="1">_xll.BDH($C$578,"NET_DEBT_TO_EBIT","FQ2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600" s="1" t="e">
        <f ca="1">_xll.BDH($C$578,"EBITDA_TO_INTEREST_EXPN","FQ2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600" s="1" t="e">
        <f ca="1">_xll.BDH($C$578,"COM_EQY_TO_TOT_ASSET","FQ2 2018","FQ2 2018","Currency=INR","Period=FQ","BEST_FPERIOD_OVERRIDE=FQ","FILING_STATUS=OR","EQY_CONSOLIDATED=Y","Sort=A","Dates=H","DateFormat=P","Fill=—","Direction=H","UseDPDF=Y")</f>
        <v>#NAME?</v>
      </c>
      <c r="CH600" s="1" t="e">
        <f ca="1">_xll.BDH($C$578,"LT_DEBT_TO_TOT_EQY","FQ2 2018","FQ2 2018","Currency=INR","Period=FQ","BEST_FPERIOD_OVERRIDE=FQ","FILING_STATUS=OR","EQY_CONSOLIDATED=Y","Sort=A","Dates=H","DateFormat=P","Fill=—","Direction=H","UseDPDF=Y")</f>
        <v>#NAME?</v>
      </c>
      <c r="CI600" s="1" t="e">
        <f ca="1">_xll.BDH($C$578,"LT_DEBT_TO_TOT_CAP","FQ2 2018","FQ2 2018","Currency=INR","Period=FQ","BEST_FPERIOD_OVERRIDE=FQ","FILING_STATUS=OR","EQY_CONSOLIDATED=Y","Sort=A","Dates=H","DateFormat=P","Fill=—","Direction=H","UseDPDF=Y")</f>
        <v>#NAME?</v>
      </c>
      <c r="CJ600" s="1" t="e">
        <f ca="1">_xll.BDH($C$578,"LT_DEBT_TO_TOT_ASSET","FQ2 2018","FQ2 2018","Currency=INR","Period=FQ","BEST_FPERIOD_OVERRIDE=FQ","FILING_STATUS=OR","EQY_CONSOLIDATED=Y","Sort=A","Dates=H","DateFormat=P","Fill=—","Direction=H","UseDPDF=Y")</f>
        <v>#NAME?</v>
      </c>
      <c r="CK600" s="1" t="e">
        <f ca="1">_xll.BDH($C$578,"TOT_DEBT_TO_TOT_EQY","FQ2 2018","FQ2 2018","Currency=INR","Period=FQ","BEST_FPERIOD_OVERRIDE=FQ","FILING_STATUS=OR","EQY_CONSOLIDATED=Y","Sort=A","Dates=H","DateFormat=P","Fill=—","Direction=H","UseDPDF=Y")</f>
        <v>#NAME?</v>
      </c>
      <c r="CL600" s="1" t="e">
        <f ca="1">_xll.BDH($C$578,"TOT_DEBT_TO_TOT_CAP","FQ2 2018","FQ2 2018","Currency=INR","Period=FQ","BEST_FPERIOD_OVERRIDE=FQ","FILING_STATUS=OR","EQY_CONSOLIDATED=Y","Sort=A","Dates=H","DateFormat=P","Fill=—","Direction=H","UseDPDF=Y")</f>
        <v>#NAME?</v>
      </c>
      <c r="CM600" s="1" t="e">
        <f ca="1">_xll.BDH($C$578,"TOT_DEBT_TO_TOT_ASSET","FQ2 2018","FQ2 2018","Currency=INR","Period=FQ","BEST_FPERIOD_OVERRIDE=FQ","FILING_STATUS=OR","EQY_CONSOLIDATED=Y","Sort=A","Dates=H","DateFormat=P","Fill=—","Direction=H","UseDPDF=Y")</f>
        <v>#NAME?</v>
      </c>
      <c r="CN600" s="1" t="e">
        <f ca="1">_xll.BDH($C$578,"NET_DEBT_TO_SHRHLDR_EQTY","FQ2 2018","FQ2 2018","Currency=INR","Period=FQ","BEST_FPERIOD_OVERRIDE=FQ","FILING_STATUS=OR","EQY_CONSOLIDATED=Y","Sort=A","Dates=H","DateFormat=P","Fill=—","Direction=H","UseDPDF=Y")</f>
        <v>#NAME?</v>
      </c>
      <c r="CO600" s="1" t="e">
        <f ca="1">_xll.BDH($C$578,"NET_DEBT_%_CAPITAL","FQ2 2018","FQ2 2018","Currency=INR","Period=FQ","BEST_FPERIOD_OVERRIDE=FQ","FILING_STATUS=OR","EQY_CONSOLIDATED=Y","Sort=A","Dates=H","DateFormat=P","Fill=—","Direction=H","UseDPDF=Y")</f>
        <v>#NAME?</v>
      </c>
      <c r="CP600" s="2" t="e">
        <f ca="1">_xll.BDH($C$578,"EBITDA","FQ2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600" s="2" t="e">
        <f ca="1">_xll.BDH($C$578,"EBITDA_AFTER_CAPEX","FQ2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600" s="2" t="e">
        <f ca="1">_xll.BDH($C$578,"IS_OPER_INC","FQ2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600" s="1" t="e">
        <f ca="1">_xll.BDH($C$578,"CASH_RATIO","FQ2 2018","FQ2 2018","Currency=INR","Period=FQ","BEST_FPERIOD_OVERRIDE=FQ","FILING_STATUS=OR","EQY_CONSOLIDATED=Y","Sort=A","Dates=H","DateFormat=P","Fill=—","Direction=H","UseDPDF=Y")</f>
        <v>#NAME?</v>
      </c>
      <c r="CT600" s="1" t="e">
        <f ca="1">_xll.BDH($C$578,"CUR_RATIO","FQ2 2018","FQ2 2018","Currency=INR","Period=FQ","BEST_FPERIOD_OVERRIDE=FQ","FILING_STATUS=OR","EQY_CONSOLIDATED=Y","Sort=A","Dates=H","DateFormat=P","Fill=—","Direction=H","UseDPDF=Y")</f>
        <v>#NAME?</v>
      </c>
      <c r="CU600" s="1" t="e">
        <f ca="1">_xll.BDH($C$578,"QUICK_RATIO","FQ2 2018","FQ2 2018","Currency=INR","Period=FQ","BEST_FPERIOD_OVERRIDE=FQ","FILING_STATUS=OR","EQY_CONSOLIDATED=Y","Sort=A","Dates=H","DateFormat=P","Fill=—","Direction=H","UseDPDF=Y")</f>
        <v>#NAME?</v>
      </c>
      <c r="CV600" s="1" t="e">
        <f ca="1">_xll.BDH($C$578,"ALTMAN_Z_SCORE","FQ2 2018","FQ2 2018","Currency=INR","Period=FQ","BEST_FPERIOD_OVERRIDE=FQ","FILING_STATUS=OR","EQY_CONSOLIDATED=Y","Sort=A","Dates=H","DateFormat=P","Fill=—","Direction=H","UseDPDF=Y")</f>
        <v>#NAME?</v>
      </c>
      <c r="CW600" s="3" t="e">
        <f ca="1">_xll.BDH($C$578,"ACCT_RCV_TURN","FQ2 2018","FQ2 2018","Currency=INR","Period=FQ","BEST_FPERIOD_OVERRIDE=FQ","FILING_STATUS=OR","EQY_CONSOLIDATED=Y","FA_ADJUSTED=GAAP","Sort=A","Dates=H","DateFormat=P","Fill=—","Direction=H","UseDPDF=Y")</f>
        <v>#NAME?</v>
      </c>
      <c r="CX600" s="1" t="e">
        <f ca="1">_xll.BDH($C$578,"ACCT_RCV_DAYS","FQ2 2018","FQ2 2018","Currency=INR","Period=FQ","BEST_FPERIOD_OVERRIDE=FQ","FILING_STATUS=OR","EQY_CONSOLIDATED=Y","FA_ADJUSTED=GAAP","Sort=A","Dates=H","DateFormat=P","Fill=—","Direction=H","UseDPDF=Y")</f>
        <v>#NAME?</v>
      </c>
      <c r="CY600" s="3" t="e">
        <f ca="1">_xll.BDH($C$578,"INVENT_TURN","FQ2 2018","FQ2 2018","Currency=INR","Period=FQ","BEST_FPERIOD_OVERRIDE=FQ","FILING_STATUS=OR","EQY_CONSOLIDATED=Y","FA_ADJUSTED=GAAP","Sort=A","Dates=H","DateFormat=P","Fill=—","Direction=H","UseDPDF=Y")</f>
        <v>#NAME?</v>
      </c>
      <c r="CZ600" s="1" t="e">
        <f ca="1">_xll.BDH($C$578,"INVENT_DAYS","FQ2 2018","FQ2 2018","Currency=INR","Period=FQ","BEST_FPERIOD_OVERRIDE=FQ","FILING_STATUS=OR","EQY_CONSOLIDATED=Y","FA_ADJUSTED=GAAP","Sort=A","Dates=H","DateFormat=P","Fill=—","Direction=H","UseDPDF=Y")</f>
        <v>#NAME?</v>
      </c>
      <c r="DA600" s="3" t="e">
        <f ca="1">_xll.BDH($C$578,"ACCOUNTS_PAYABLE_TURNOVER","FQ2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600" s="1" t="e">
        <f ca="1">_xll.BDH($C$578,"ACCOUNTS_PAYABLE_TURNOVER_DAYS","FQ2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600" s="3" t="e">
        <f ca="1">_xll.BDH($C$578,"CASH_CONVERSION_CYCLE","FQ2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600" s="3" t="e">
        <f ca="1">_xll.BDH($C$578,"INV_TO_CASH_DAYS","FQ2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600" s="4" t="e">
        <f ca="1">_xll.BDH($C$578,"BS_INVENTORIES","FQ2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600" s="2" t="e">
        <f ca="1">_xll.BDH($C$578,"INVTRY_RAW_MATERIALS","FQ2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600" s="2" t="e">
        <f ca="1">_xll.BDH($C$578,"INVTRY_IN_PROGRESS","FQ2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600" s="2" t="e">
        <f ca="1">_xll.BDH($C$578,"INVTRY_FINISHED_GOODS","FQ2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600" s="2" t="e">
        <f ca="1">_xll.BDH($C$578,"BS_OTHER_INV","FQ2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601" spans="1:113" x14ac:dyDescent="0.3">
      <c r="A601" s="6"/>
      <c r="B601" s="6"/>
      <c r="C601" s="6"/>
      <c r="D601" s="6"/>
      <c r="E601" t="s">
        <v>6</v>
      </c>
      <c r="F601" t="e">
        <f ca="1">_xll.BDH($C$578,"RETURN_COM_EQY","FQ3 2018","FQ3 2018","Currency=INR","Period=FQ","BEST_FPERIOD_OVERRIDE=FQ","FILING_STATUS=OR","EQY_CONSOLIDATED=Y","FA_ADJUSTED=GAAP","Sort=A","Dates=H","DateFormat=P","Fill=—","Direction=H","UseDPDF=Y")</f>
        <v>#NAME?</v>
      </c>
      <c r="G601" t="e">
        <f ca="1">_xll.BDH($C$578,"RETURN_ON_ASSET","FQ3 2018","FQ3 2018","Currency=INR","Period=FQ","BEST_FPERIOD_OVERRIDE=FQ","FILING_STATUS=OR","EQY_CONSOLIDATED=Y","FA_ADJUSTED=GAAP","Sort=A","Dates=H","DateFormat=P","Fill=—","Direction=H","UseDPDF=Y")</f>
        <v>#NAME?</v>
      </c>
      <c r="H601" t="e">
        <f ca="1">_xll.BDH($C$578,"RETURN_ON_CAP","FQ3 2018","FQ3 2018","Currency=INR","Period=FQ","BEST_FPERIOD_OVERRIDE=FQ","FILING_STATUS=OR","EQY_CONSOLIDATED=Y","FA_ADJUSTED=GAAP","Sort=A","Dates=H","DateFormat=P","Fill=—","Direction=H","UseDPDF=Y")</f>
        <v>#NAME?</v>
      </c>
      <c r="I601" t="e">
        <f ca="1">_xll.BDH($C$578,"RETURN_ON_INV_CAPITAL","FQ3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601" t="e">
        <f ca="1">_xll.BDH($C$578,"EBITDA_TO_REVENUE","FQ3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601" t="e">
        <f ca="1">_xll.BDH($C$578,"OPER_MARGIN","FQ3 2018","FQ3 2018","Currency=INR","Period=FQ","BEST_FPERIOD_OVERRIDE=FQ","FILING_STATUS=OR","EQY_CONSOLIDATED=Y","FA_ADJUSTED=GAAP","Sort=A","Dates=H","DateFormat=P","Fill=—","Direction=H","UseDPDF=Y")</f>
        <v>#NAME?</v>
      </c>
      <c r="L601" t="e">
        <f ca="1">_xll.BDH($C$578,"INCREMENTAL_OPERATING_MARGIN","FQ3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601" t="e">
        <f ca="1">_xll.BDH($C$578,"PRETAX_INC_TO_NET_SALES","FQ3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601" t="e">
        <f ca="1">_xll.BDH($C$578,"INC_BEF_XO_ITEMS_TO_NET_SALES","FQ3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601" t="e">
        <f ca="1">_xll.BDH($C$578,"PROF_MARGIN","FQ3 2018","FQ3 2018","Currency=INR","Period=FQ","BEST_FPERIOD_OVERRIDE=FQ","FILING_STATUS=OR","EQY_CONSOLIDATED=Y","FA_ADJUSTED=GAAP","Sort=A","Dates=H","DateFormat=P","Fill=—","Direction=H","UseDPDF=Y")</f>
        <v>#NAME?</v>
      </c>
      <c r="P601" t="e">
        <f ca="1">_xll.BDH($C$578,"NET_INCOME_TO_COMMON_MARGIN","FQ3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601" t="e">
        <f ca="1">_xll.BDH($C$578,"EFF_TAX_RATE","FQ3 2018","FQ3 2018","Currency=INR","Period=FQ","BEST_FPERIOD_OVERRIDE=FQ","FILING_STATUS=OR","EQY_CONSOLIDATED=Y","FA_ADJUSTED=GAAP","Sort=A","Dates=H","DateFormat=P","Fill=—","Direction=H","UseDPDF=Y")</f>
        <v>#NAME?</v>
      </c>
      <c r="R601" t="e">
        <f ca="1">_xll.BDH($C$578,"DVD_PAYOUT_RATIO","FQ3 2018","FQ3 2018","Currency=INR","Period=FQ","BEST_FPERIOD_OVERRIDE=FQ","FILING_STATUS=OR","EQY_CONSOLIDATED=Y","FA_ADJUSTED=GAAP","Sort=A","Dates=H","DateFormat=P","Fill=—","Direction=H","UseDPDF=Y")</f>
        <v>#NAME?</v>
      </c>
      <c r="S601" t="e">
        <f ca="1">_xll.BDH($C$578,"SUSTAIN_GROWTH_RT","FQ3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601" s="1" t="e">
        <f ca="1">_xll.BDH($C$578,"SALES_GROWTH","FQ3 2018","FQ3 2018","Currency=INR","Period=FQ","BEST_FPERIOD_OVERRIDE=FQ","FILING_STATUS=OR","EQY_CONSOLIDATED=Y","FA_ADJUSTED=GAAP","Sort=A","Dates=H","DateFormat=P","Fill=—","Direction=H","UseDPDF=Y")</f>
        <v>#NAME?</v>
      </c>
      <c r="U601" s="1" t="e">
        <f ca="1">_xll.BDH($C$578,"EBITDA_GROWTH","FQ3 2018","FQ3 2018","Currency=INR","Period=FQ","BEST_FPERIOD_OVERRIDE=FQ","FILING_STATUS=OR","EQY_CONSOLIDATED=Y","FA_ADJUSTED=GAAP","Sort=A","Dates=H","DateFormat=P","Fill=—","Direction=H","UseDPDF=Y")</f>
        <v>#NAME?</v>
      </c>
      <c r="V601" s="1" t="e">
        <f ca="1">_xll.BDH($C$578,"OPER_INC_GROWTH","FQ3 2018","FQ3 2018","Currency=INR","Period=FQ","BEST_FPERIOD_OVERRIDE=FQ","FILING_STATUS=OR","EQY_CONSOLIDATED=Y","FA_ADJUSTED=GAAP","Sort=A","Dates=H","DateFormat=P","Fill=—","Direction=H","UseDPDF=Y")</f>
        <v>#NAME?</v>
      </c>
      <c r="W601" s="1" t="e">
        <f ca="1">_xll.BDH($C$578,"EARN_FOR_COM_GROWTH","FQ3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601" s="1" t="e">
        <f ca="1">_xll.BDH($C$578,"DILUTED_EPS_AFT_XO_ITEMS_GROWTH","FQ3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601" s="1" t="e">
        <f ca="1">_xll.BDH($C$578,"DIVIDEND_PER_SHARE_1_YEAR_GROWTH","FQ3 2018","FQ3 2018","Currency=INR","Period=FQ","BEST_FPERIOD_OVERRIDE=FQ","FILING_STATUS=OR","EQY_CONSOLIDATED=Y","Sort=A","Dates=H","DateFormat=P","Fill=—","Direction=H","UseDPDF=Y")</f>
        <v>#NAME?</v>
      </c>
      <c r="Z601" s="1" t="e">
        <f ca="1">_xll.BDH($C$578,"ACCOUNTS_RECEIVABLE_GROWTH","FQ3 2018","FQ3 2018","Currency=INR","Period=FQ","BEST_FPERIOD_OVERRIDE=FQ","FILING_STATUS=OR","EQY_CONSOLIDATED=Y","Sort=A","Dates=H","DateFormat=P","Fill=—","Direction=H","UseDPDF=Y")</f>
        <v>#NAME?</v>
      </c>
      <c r="AA601" s="1" t="e">
        <f ca="1">_xll.BDH($C$578,"INVENTORY_GROWTH","FQ3 2018","FQ3 2018","Currency=INR","Period=FQ","BEST_FPERIOD_OVERRIDE=FQ","FILING_STATUS=OR","EQY_CONSOLIDATED=Y","Sort=A","Dates=H","DateFormat=P","Fill=—","Direction=H","UseDPDF=Y")</f>
        <v>#NAME?</v>
      </c>
      <c r="AB601" s="1" t="e">
        <f ca="1">_xll.BDH($C$578,"NET_FIXED_ASSETS_1_YEAR_GROWTH","FQ3 2018","FQ3 2018","Currency=INR","Period=FQ","BEST_FPERIOD_OVERRIDE=FQ","FILING_STATUS=OR","EQY_CONSOLIDATED=Y","Sort=A","Dates=H","DateFormat=P","Fill=—","Direction=H","UseDPDF=Y")</f>
        <v>#NAME?</v>
      </c>
      <c r="AC601" s="1" t="e">
        <f ca="1">_xll.BDH($C$578,"ASSET_GROWTH","FQ3 2018","FQ3 2018","Currency=INR","Period=FQ","BEST_FPERIOD_OVERRIDE=FQ","FILING_STATUS=OR","EQY_CONSOLIDATED=Y","Sort=A","Dates=H","DateFormat=P","Fill=—","Direction=H","UseDPDF=Y")</f>
        <v>#NAME?</v>
      </c>
      <c r="AD601" s="1" t="e">
        <f ca="1">_xll.BDH($C$578,"MODIFIED_WORK_CAP_GROWTH","FQ3 2018","FQ3 2018","Currency=INR","Period=FQ","BEST_FPERIOD_OVERRIDE=FQ","FILING_STATUS=OR","EQY_CONSOLIDATED=Y","Sort=A","Dates=H","DateFormat=P","Fill=—","Direction=H","UseDPDF=Y")</f>
        <v>#NAME?</v>
      </c>
      <c r="AE601" s="1" t="e">
        <f ca="1">_xll.BDH($C$578,"WORK_CAP_GROWTH","FQ3 2018","FQ3 2018","Currency=INR","Period=FQ","BEST_FPERIOD_OVERRIDE=FQ","FILING_STATUS=OR","EQY_CONSOLIDATED=Y","Sort=A","Dates=H","DateFormat=P","Fill=—","Direction=H","UseDPDF=Y")</f>
        <v>#NAME?</v>
      </c>
      <c r="AF601" s="1" t="e">
        <f ca="1">_xll.BDH($C$578,"ACCOUNTS_PAYABLE_GROWTH_1YR","FQ3 2018","FQ3 2018","Currency=INR","Period=FQ","BEST_FPERIOD_OVERRIDE=FQ","FILING_STATUS=OR","EQY_CONSOLIDATED=Y","Sort=A","Dates=H","DateFormat=P","Fill=—","Direction=H","UseDPDF=Y")</f>
        <v>#NAME?</v>
      </c>
      <c r="AG601" s="1" t="e">
        <f ca="1">_xll.BDH($C$578,"SHORT_TERM_DEBT_1_YEAR_GROWTH","FQ3 2018","FQ3 2018","Currency=INR","Period=FQ","BEST_FPERIOD_OVERRIDE=FQ","FILING_STATUS=OR","EQY_CONSOLIDATED=Y","Sort=A","Dates=H","DateFormat=P","Fill=—","Direction=H","UseDPDF=Y")</f>
        <v>#NAME?</v>
      </c>
      <c r="AH601" s="1" t="e">
        <f ca="1">_xll.BDH($C$578,"TOTAL_DEBT_1_YEAR_GROWTH","FQ3 2018","FQ3 2018","Currency=INR","Period=FQ","BEST_FPERIOD_OVERRIDE=FQ","FILING_STATUS=OR","EQY_CONSOLIDATED=Y","Sort=A","Dates=H","DateFormat=P","Fill=—","Direction=H","UseDPDF=Y")</f>
        <v>#NAME?</v>
      </c>
      <c r="AI601" s="1" t="e">
        <f ca="1">_xll.BDH($C$578,"TOTAL_EQUITY_1_YEAR_GROWTH","FQ3 2018","FQ3 2018","Currency=INR","Period=FQ","BEST_FPERIOD_OVERRIDE=FQ","FILING_STATUS=OR","EQY_CONSOLIDATED=Y","Sort=A","Dates=H","DateFormat=P","Fill=—","Direction=H","UseDPDF=Y")</f>
        <v>#NAME?</v>
      </c>
      <c r="AJ601" s="1" t="e">
        <f ca="1">_xll.BDH($C$578,"GROWTH_IN_CAP","FQ3 2018","FQ3 2018","Currency=INR","Period=FQ","BEST_FPERIOD_OVERRIDE=FQ","FILING_STATUS=OR","EQY_CONSOLIDATED=Y","Sort=A","Dates=H","DateFormat=P","Fill=—","Direction=H","UseDPDF=Y")</f>
        <v>#NAME?</v>
      </c>
      <c r="AK601" s="1" t="e">
        <f ca="1">_xll.BDH($C$578,"BVPS_GROWTH","FQ3 2018","FQ3 2018","Currency=INR","Period=FQ","BEST_FPERIOD_OVERRIDE=FQ","FILING_STATUS=OR","EQY_CONSOLIDATED=Y","Sort=A","Dates=H","DateFormat=P","Fill=—","Direction=H","UseDPDF=Y")</f>
        <v>#NAME?</v>
      </c>
      <c r="AL601" s="1" t="e">
        <f ca="1">_xll.BDH($C$578,"CASH_FLOW_GROWTH","FQ3 2018","FQ3 2018","Currency=INR","Period=FQ","BEST_FPERIOD_OVERRIDE=FQ","FILING_STATUS=OR","EQY_CONSOLIDATED=Y","Sort=A","Dates=H","DateFormat=P","Fill=—","Direction=H","UseDPDF=Y")</f>
        <v>#NAME?</v>
      </c>
      <c r="AM601" s="1" t="e">
        <f ca="1">_xll.BDH($C$578,"GEO_GROW_NET_SALES","FQ3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601" s="1" t="e">
        <f ca="1">_xll.BDH($C$578,"GEO_GROW_EBITDA","FQ3 2018","FQ3 2018","Currency=INR","Period=FQ","BEST_FPERIOD_OVERRIDE=FQ","FILING_STATUS=OR","EQY_CONSOLIDATED=Y","FA_ADJUSTED=GAAP","Sort=A","Dates=H","DateFormat=P","Fill=—","Direction=H","UseDPDF=Y")</f>
        <v>#NAME?</v>
      </c>
      <c r="AO601" s="1" t="e">
        <f ca="1">_xll.BDH($C$578,"GEO_GROW_OPER_INC","FQ3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601" s="1" t="e">
        <f ca="1">_xll.BDH($C$578,"NET_INCOME_TO_COMMON_5_YR_GROWTH","FQ3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601" s="1" t="e">
        <f ca="1">_xll.BDH($C$578,"5Y_GEO_GROWTH_DILUTED_EPS","FQ3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601" s="1" t="e">
        <f ca="1">_xll.BDH($C$578,"GEO_GROW_DVD_PER_SH","FQ3 2018","FQ3 2018","Currency=INR","Period=FQ","BEST_FPERIOD_OVERRIDE=FQ","FILING_STATUS=OR","EQY_CONSOLIDATED=Y","Sort=A","Dates=H","DateFormat=P","Fill=—","Direction=H","UseDPDF=Y")</f>
        <v>#NAME?</v>
      </c>
      <c r="AS601" s="1" t="e">
        <f ca="1">_xll.BDH($C$578,"ACCOUNTS_RECEIVABLE_5_YR_GROWTH","FQ3 2018","FQ3 2018","Currency=INR","Period=FQ","BEST_FPERIOD_OVERRIDE=FQ","FILING_STATUS=OR","EQY_CONSOLIDATED=Y","Sort=A","Dates=H","DateFormat=P","Fill=—","Direction=H","UseDPDF=Y")</f>
        <v>#NAME?</v>
      </c>
      <c r="AT601" s="1" t="e">
        <f ca="1">_xll.BDH($C$578,"INVENTORY_5_YEAR_GROWTH","FQ3 2018","FQ3 2018","Currency=INR","Period=FQ","BEST_FPERIOD_OVERRIDE=FQ","FILING_STATUS=OR","EQY_CONSOLIDATED=Y","Sort=A","Dates=H","DateFormat=P","Fill=—","Direction=H","UseDPDF=Y")</f>
        <v>#NAME?</v>
      </c>
      <c r="AU601" s="1" t="e">
        <f ca="1">_xll.BDH($C$578,"NET_FIXED_ASSETS_5_YEAR_GROWTH","FQ3 2018","FQ3 2018","Currency=INR","Period=FQ","BEST_FPERIOD_OVERRIDE=FQ","FILING_STATUS=OR","EQY_CONSOLIDATED=Y","Sort=A","Dates=H","DateFormat=P","Fill=—","Direction=H","UseDPDF=Y")</f>
        <v>#NAME?</v>
      </c>
      <c r="AV601" s="1" t="e">
        <f ca="1">_xll.BDH($C$578,"GEO_GROW_TOT_ASSET","FQ3 2018","FQ3 2018","Currency=INR","Period=FQ","BEST_FPERIOD_OVERRIDE=FQ","FILING_STATUS=OR","EQY_CONSOLIDATED=Y","Sort=A","Dates=H","DateFormat=P","Fill=—","Direction=H","UseDPDF=Y")</f>
        <v>#NAME?</v>
      </c>
      <c r="AW601" s="1" t="e">
        <f ca="1">_xll.BDH($C$578,"MODIFIED_WORKING_CPTL_5YR_GRWTH","FQ3 2018","FQ3 2018","Currency=INR","Period=FQ","BEST_FPERIOD_OVERRIDE=FQ","FILING_STATUS=OR","EQY_CONSOLIDATED=Y","Sort=A","Dates=H","DateFormat=P","Fill=—","Direction=H","UseDPDF=Y")</f>
        <v>#NAME?</v>
      </c>
      <c r="AX601" s="1" t="e">
        <f ca="1">_xll.BDH($C$578,"WORKING_CAPITAL_5_YEAR_GROWTH","FQ3 2018","FQ3 2018","Currency=INR","Period=FQ","BEST_FPERIOD_OVERRIDE=FQ","FILING_STATUS=OR","EQY_CONSOLIDATED=Y","Sort=A","Dates=H","DateFormat=P","Fill=—","Direction=H","UseDPDF=Y")</f>
        <v>#NAME?</v>
      </c>
      <c r="AY601" s="1" t="e">
        <f ca="1">_xll.BDH($C$578,"ACCOUNTS_PAYABLE_5_YEAR_GROWTH","FQ3 2018","FQ3 2018","Currency=INR","Period=FQ","BEST_FPERIOD_OVERRIDE=FQ","FILING_STATUS=OR","EQY_CONSOLIDATED=Y","Sort=A","Dates=H","DateFormat=P","Fill=—","Direction=H","UseDPDF=Y")</f>
        <v>#NAME?</v>
      </c>
      <c r="AZ601" s="1" t="e">
        <f ca="1">_xll.BDH($C$578,"SHORT_TERM_DEBT_5_YEAR_GROWTH","FQ3 2018","FQ3 2018","Currency=INR","Period=FQ","BEST_FPERIOD_OVERRIDE=FQ","FILING_STATUS=OR","EQY_CONSOLIDATED=Y","Sort=A","Dates=H","DateFormat=P","Fill=—","Direction=H","UseDPDF=Y")</f>
        <v>#NAME?</v>
      </c>
      <c r="BA601" s="1" t="e">
        <f ca="1">_xll.BDH($C$578,"TOTAL_DEBT_5_YEAR_GROWTH","FQ3 2018","FQ3 2018","Currency=INR","Period=FQ","BEST_FPERIOD_OVERRIDE=FQ","FILING_STATUS=OR","EQY_CONSOLIDATED=Y","Sort=A","Dates=H","DateFormat=P","Fill=—","Direction=H","UseDPDF=Y")</f>
        <v>#NAME?</v>
      </c>
      <c r="BB601" s="1" t="e">
        <f ca="1">_xll.BDH($C$578,"GEO_GROW_TOT_SHRHLDR_EQY","FQ3 2018","FQ3 2018","Currency=INR","Period=FQ","BEST_FPERIOD_OVERRIDE=FQ","FILING_STATUS=OR","EQY_CONSOLIDATED=Y","Sort=A","Dates=H","DateFormat=P","Fill=—","Direction=H","UseDPDF=Y")</f>
        <v>#NAME?</v>
      </c>
      <c r="BC601" s="1" t="e">
        <f ca="1">_xll.BDH($C$578,"TOTAL_CAPITAL_5_YEAR_GROWTH","FQ3 2018","FQ3 2018","Currency=INR","Period=FQ","BEST_FPERIOD_OVERRIDE=FQ","FILING_STATUS=OR","EQY_CONSOLIDATED=Y","Sort=A","Dates=H","DateFormat=P","Fill=—","Direction=H","UseDPDF=Y")</f>
        <v>#NAME?</v>
      </c>
      <c r="BD601" s="1" t="e">
        <f ca="1">_xll.BDH($C$578,"GEO_GROW_BOOK_VAL","FQ3 2018","FQ3 2018","Currency=INR","Period=FQ","BEST_FPERIOD_OVERRIDE=FQ","FILING_STATUS=OR","EQY_CONSOLIDATED=Y","Sort=A","Dates=H","DateFormat=P","Fill=—","Direction=H","UseDPDF=Y")</f>
        <v>#NAME?</v>
      </c>
      <c r="BE601" s="1" t="e">
        <f ca="1">_xll.BDH($C$578,"GEO_GROW_CASH_OPER_ACT","FQ3 2018","FQ3 2018","Currency=INR","Period=FQ","BEST_FPERIOD_OVERRIDE=FQ","FILING_STATUS=OR","EQY_CONSOLIDATED=Y","Sort=A","Dates=H","DateFormat=P","Fill=—","Direction=H","UseDPDF=Y")</f>
        <v>#NAME?</v>
      </c>
      <c r="BF601" s="1" t="e">
        <f ca="1">_xll.BDH($C$578,"REVENUE_SEQUENTIAL_GROWTH","FQ3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601" s="1" t="e">
        <f ca="1">_xll.BDH($C$578,"EBITDA_SEQUENTIAL_GROWTH","FQ3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601" s="1" t="e">
        <f ca="1">_xll.BDH($C$578,"OPERATING_INCOME_SEQ_GROWTH","FQ3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601" s="1" t="e">
        <f ca="1">_xll.BDH($C$578,"NET_INCOME_TO_COMMON_SEQ_GROWTH","FQ3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601" s="1" t="e">
        <f ca="1">_xll.BDH($C$578,"EPS_DILUTED_SEQUENTIAL_GROWTH","FQ3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601" s="1" t="e">
        <f ca="1">_xll.BDH($C$578,"DPS_SEQUENTIAL_GROWTH","FQ3 2018","FQ3 2018","Currency=INR","Period=FQ","BEST_FPERIOD_OVERRIDE=FQ","FILING_STATUS=OR","EQY_CONSOLIDATED=Y","Sort=A","Dates=H","DateFormat=P","Fill=—","Direction=H","UseDPDF=Y")</f>
        <v>#NAME?</v>
      </c>
      <c r="BL601" s="1" t="e">
        <f ca="1">_xll.BDH($C$578,"ACCOUNTS_RECEIVABLE_SEQ_GROWTH","FQ3 2018","FQ3 2018","Currency=INR","Period=FQ","BEST_FPERIOD_OVERRIDE=FQ","FILING_STATUS=OR","EQY_CONSOLIDATED=Y","Sort=A","Dates=H","DateFormat=P","Fill=—","Direction=H","UseDPDF=Y")</f>
        <v>#NAME?</v>
      </c>
      <c r="BM601" s="1" t="e">
        <f ca="1">_xll.BDH($C$578,"INVENTORY_SEQUENTIAL_GROWTH","FQ3 2018","FQ3 2018","Currency=INR","Period=FQ","BEST_FPERIOD_OVERRIDE=FQ","FILING_STATUS=OR","EQY_CONSOLIDATED=Y","Sort=A","Dates=H","DateFormat=P","Fill=—","Direction=H","UseDPDF=Y")</f>
        <v>#NAME?</v>
      </c>
      <c r="BN601" s="1" t="e">
        <f ca="1">_xll.BDH($C$578,"FIXED_ASSETS_SEQUENTIAL_GROWTH","FQ3 2018","FQ3 2018","Currency=INR","Period=FQ","BEST_FPERIOD_OVERRIDE=FQ","FILING_STATUS=OR","EQY_CONSOLIDATED=Y","Sort=A","Dates=H","DateFormat=P","Fill=—","Direction=H","UseDPDF=Y")</f>
        <v>#NAME?</v>
      </c>
      <c r="BO601" s="1" t="e">
        <f ca="1">_xll.BDH($C$578,"TOTAL_ASSETS_SEQUENTIAL_GROWTH","FQ3 2018","FQ3 2018","Currency=INR","Period=FQ","BEST_FPERIOD_OVERRIDE=FQ","FILING_STATUS=OR","EQY_CONSOLIDATED=Y","Sort=A","Dates=H","DateFormat=P","Fill=—","Direction=H","UseDPDF=Y")</f>
        <v>#NAME?</v>
      </c>
      <c r="BP601" s="1" t="e">
        <f ca="1">_xll.BDH($C$578,"MODIFIED_WORKING_CPTL_SEQ_GRWTH","FQ3 2018","FQ3 2018","Currency=INR","Period=FQ","BEST_FPERIOD_OVERRIDE=FQ","FILING_STATUS=OR","EQY_CONSOLIDATED=Y","Sort=A","Dates=H","DateFormat=P","Fill=—","Direction=H","UseDPDF=Y")</f>
        <v>#NAME?</v>
      </c>
      <c r="BQ601" s="1" t="e">
        <f ca="1">_xll.BDH($C$578,"WORKING_CAPITAL_SEQ_GROWTH","FQ3 2018","FQ3 2018","Currency=INR","Period=FQ","BEST_FPERIOD_OVERRIDE=FQ","FILING_STATUS=OR","EQY_CONSOLIDATED=Y","Sort=A","Dates=H","DateFormat=P","Fill=—","Direction=H","UseDPDF=Y")</f>
        <v>#NAME?</v>
      </c>
      <c r="BR601" s="1" t="e">
        <f ca="1">_xll.BDH($C$578,"ACCOUNTS_PAYABLE_SEQ_GROWTH","FQ3 2018","FQ3 2018","Currency=INR","Period=FQ","BEST_FPERIOD_OVERRIDE=FQ","FILING_STATUS=OR","EQY_CONSOLIDATED=Y","Sort=A","Dates=H","DateFormat=P","Fill=—","Direction=H","UseDPDF=Y")</f>
        <v>#NAME?</v>
      </c>
      <c r="BS601" s="1" t="e">
        <f ca="1">_xll.BDH($C$578,"ST_DEBT_SEQUENTIAL_GROWTH","FQ3 2018","FQ3 2018","Currency=INR","Period=FQ","BEST_FPERIOD_OVERRIDE=FQ","FILING_STATUS=OR","EQY_CONSOLIDATED=Y","Sort=A","Dates=H","DateFormat=P","Fill=—","Direction=H","UseDPDF=Y")</f>
        <v>#NAME?</v>
      </c>
      <c r="BT601" s="1" t="e">
        <f ca="1">_xll.BDH($C$578,"TOTAL_DEBT_SEQUENTIAL_GROWTH","FQ3 2018","FQ3 2018","Currency=INR","Period=FQ","BEST_FPERIOD_OVERRIDE=FQ","FILING_STATUS=OR","EQY_CONSOLIDATED=Y","Sort=A","Dates=H","DateFormat=P","Fill=—","Direction=H","UseDPDF=Y")</f>
        <v>#NAME?</v>
      </c>
      <c r="BU601" s="1" t="e">
        <f ca="1">_xll.BDH($C$578,"TOTAL_EQUITY_SEQUENTIAL_GROWTH","FQ3 2018","FQ3 2018","Currency=INR","Period=FQ","BEST_FPERIOD_OVERRIDE=FQ","FILING_STATUS=OR","EQY_CONSOLIDATED=Y","Sort=A","Dates=H","DateFormat=P","Fill=—","Direction=H","UseDPDF=Y")</f>
        <v>#NAME?</v>
      </c>
      <c r="BV601" s="1" t="e">
        <f ca="1">_xll.BDH($C$578,"TOTAL_CAPITAL_SEQUENTIAL_GROWTH","FQ3 2018","FQ3 2018","Currency=INR","Period=FQ","BEST_FPERIOD_OVERRIDE=FQ","FILING_STATUS=OR","EQY_CONSOLIDATED=Y","Sort=A","Dates=H","DateFormat=P","Fill=—","Direction=H","UseDPDF=Y")</f>
        <v>#NAME?</v>
      </c>
      <c r="BW601" s="1" t="e">
        <f ca="1">_xll.BDH($C$578,"BPS_SEQUENTIAL_GROWTH","FQ3 2018","FQ3 2018","Currency=INR","Period=FQ","BEST_FPERIOD_OVERRIDE=FQ","FILING_STATUS=OR","EQY_CONSOLIDATED=Y","Sort=A","Dates=H","DateFormat=P","Fill=—","Direction=H","UseDPDF=Y")</f>
        <v>#NAME?</v>
      </c>
      <c r="BX601" s="1" t="e">
        <f ca="1">_xll.BDH($C$578,"CFO_SEQUENTIAL_GROWTH","FQ3 2018","FQ3 2018","Currency=INR","Period=FQ","BEST_FPERIOD_OVERRIDE=FQ","FILING_STATUS=OR","EQY_CONSOLIDATED=Y","Sort=A","Dates=H","DateFormat=P","Fill=—","Direction=H","UseDPDF=Y")</f>
        <v>#NAME?</v>
      </c>
      <c r="BY601" s="2" t="e">
        <f ca="1">_xll.BDH($C$578,"SHORT_AND_LONG_TERM_DEBT","FQ3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601" s="2" t="e">
        <f ca="1">_xll.BDH($C$578,"BS_ST_BORROW","FQ3 2018","FQ3 2018","Currency=INR","Period=FQ","BEST_FPERIOD_OVERRIDE=FQ","FILING_STATUS=OR","EQY_CONSOLIDATED=Y","SCALING_FORMAT=MLN","Sort=A","Dates=H","DateFormat=P","Fill=—","Direction=H","UseDPDF=Y")</f>
        <v>#NAME?</v>
      </c>
      <c r="CA601" s="2" t="e">
        <f ca="1">_xll.BDH($C$578,"BS_LT_BORROW","FQ3 2018","FQ3 2018","Currency=INR","Period=FQ","BEST_FPERIOD_OVERRIDE=FQ","FILING_STATUS=OR","EQY_CONSOLIDATED=Y","SCALING_FORMAT=MLN","Sort=A","Dates=H","DateFormat=P","Fill=—","Direction=H","UseDPDF=Y")</f>
        <v>#NAME?</v>
      </c>
      <c r="CB601" s="1" t="e">
        <f ca="1">_xll.BDH($C$578,"TOT_DEBT_TO_EBITDA","FQ3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601" s="1" t="e">
        <f ca="1">_xll.BDH($C$578,"NET_DEBT_TO_EBITDA","FQ3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601" s="1" t="e">
        <f ca="1">_xll.BDH($C$578,"TOTAL_DEBT_TO_EBIT","FQ3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601" s="1" t="e">
        <f ca="1">_xll.BDH($C$578,"NET_DEBT_TO_EBIT","FQ3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601" s="1" t="e">
        <f ca="1">_xll.BDH($C$578,"EBITDA_TO_INTEREST_EXPN","FQ3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601" s="1" t="e">
        <f ca="1">_xll.BDH($C$578,"COM_EQY_TO_TOT_ASSET","FQ3 2018","FQ3 2018","Currency=INR","Period=FQ","BEST_FPERIOD_OVERRIDE=FQ","FILING_STATUS=OR","EQY_CONSOLIDATED=Y","Sort=A","Dates=H","DateFormat=P","Fill=—","Direction=H","UseDPDF=Y")</f>
        <v>#NAME?</v>
      </c>
      <c r="CH601" s="1" t="e">
        <f ca="1">_xll.BDH($C$578,"LT_DEBT_TO_TOT_EQY","FQ3 2018","FQ3 2018","Currency=INR","Period=FQ","BEST_FPERIOD_OVERRIDE=FQ","FILING_STATUS=OR","EQY_CONSOLIDATED=Y","Sort=A","Dates=H","DateFormat=P","Fill=—","Direction=H","UseDPDF=Y")</f>
        <v>#NAME?</v>
      </c>
      <c r="CI601" s="1" t="e">
        <f ca="1">_xll.BDH($C$578,"LT_DEBT_TO_TOT_CAP","FQ3 2018","FQ3 2018","Currency=INR","Period=FQ","BEST_FPERIOD_OVERRIDE=FQ","FILING_STATUS=OR","EQY_CONSOLIDATED=Y","Sort=A","Dates=H","DateFormat=P","Fill=—","Direction=H","UseDPDF=Y")</f>
        <v>#NAME?</v>
      </c>
      <c r="CJ601" s="1" t="e">
        <f ca="1">_xll.BDH($C$578,"LT_DEBT_TO_TOT_ASSET","FQ3 2018","FQ3 2018","Currency=INR","Period=FQ","BEST_FPERIOD_OVERRIDE=FQ","FILING_STATUS=OR","EQY_CONSOLIDATED=Y","Sort=A","Dates=H","DateFormat=P","Fill=—","Direction=H","UseDPDF=Y")</f>
        <v>#NAME?</v>
      </c>
      <c r="CK601" s="1" t="e">
        <f ca="1">_xll.BDH($C$578,"TOT_DEBT_TO_TOT_EQY","FQ3 2018","FQ3 2018","Currency=INR","Period=FQ","BEST_FPERIOD_OVERRIDE=FQ","FILING_STATUS=OR","EQY_CONSOLIDATED=Y","Sort=A","Dates=H","DateFormat=P","Fill=—","Direction=H","UseDPDF=Y")</f>
        <v>#NAME?</v>
      </c>
      <c r="CL601" s="1" t="e">
        <f ca="1">_xll.BDH($C$578,"TOT_DEBT_TO_TOT_CAP","FQ3 2018","FQ3 2018","Currency=INR","Period=FQ","BEST_FPERIOD_OVERRIDE=FQ","FILING_STATUS=OR","EQY_CONSOLIDATED=Y","Sort=A","Dates=H","DateFormat=P","Fill=—","Direction=H","UseDPDF=Y")</f>
        <v>#NAME?</v>
      </c>
      <c r="CM601" s="1" t="e">
        <f ca="1">_xll.BDH($C$578,"TOT_DEBT_TO_TOT_ASSET","FQ3 2018","FQ3 2018","Currency=INR","Period=FQ","BEST_FPERIOD_OVERRIDE=FQ","FILING_STATUS=OR","EQY_CONSOLIDATED=Y","Sort=A","Dates=H","DateFormat=P","Fill=—","Direction=H","UseDPDF=Y")</f>
        <v>#NAME?</v>
      </c>
      <c r="CN601" s="1" t="e">
        <f ca="1">_xll.BDH($C$578,"NET_DEBT_TO_SHRHLDR_EQTY","FQ3 2018","FQ3 2018","Currency=INR","Period=FQ","BEST_FPERIOD_OVERRIDE=FQ","FILING_STATUS=OR","EQY_CONSOLIDATED=Y","Sort=A","Dates=H","DateFormat=P","Fill=—","Direction=H","UseDPDF=Y")</f>
        <v>#NAME?</v>
      </c>
      <c r="CO601" s="1" t="e">
        <f ca="1">_xll.BDH($C$578,"NET_DEBT_%_CAPITAL","FQ3 2018","FQ3 2018","Currency=INR","Period=FQ","BEST_FPERIOD_OVERRIDE=FQ","FILING_STATUS=OR","EQY_CONSOLIDATED=Y","Sort=A","Dates=H","DateFormat=P","Fill=—","Direction=H","UseDPDF=Y")</f>
        <v>#NAME?</v>
      </c>
      <c r="CP601" s="2" t="e">
        <f ca="1">_xll.BDH($C$578,"EBITDA","FQ3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601" s="2" t="e">
        <f ca="1">_xll.BDH($C$578,"EBITDA_AFTER_CAPEX","FQ3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601" s="2" t="e">
        <f ca="1">_xll.BDH($C$578,"IS_OPER_INC","FQ3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601" s="1" t="e">
        <f ca="1">_xll.BDH($C$578,"CASH_RATIO","FQ3 2018","FQ3 2018","Currency=INR","Period=FQ","BEST_FPERIOD_OVERRIDE=FQ","FILING_STATUS=OR","EQY_CONSOLIDATED=Y","Sort=A","Dates=H","DateFormat=P","Fill=—","Direction=H","UseDPDF=Y")</f>
        <v>#NAME?</v>
      </c>
      <c r="CT601" s="1" t="e">
        <f ca="1">_xll.BDH($C$578,"CUR_RATIO","FQ3 2018","FQ3 2018","Currency=INR","Period=FQ","BEST_FPERIOD_OVERRIDE=FQ","FILING_STATUS=OR","EQY_CONSOLIDATED=Y","Sort=A","Dates=H","DateFormat=P","Fill=—","Direction=H","UseDPDF=Y")</f>
        <v>#NAME?</v>
      </c>
      <c r="CU601" s="1" t="e">
        <f ca="1">_xll.BDH($C$578,"QUICK_RATIO","FQ3 2018","FQ3 2018","Currency=INR","Period=FQ","BEST_FPERIOD_OVERRIDE=FQ","FILING_STATUS=OR","EQY_CONSOLIDATED=Y","Sort=A","Dates=H","DateFormat=P","Fill=—","Direction=H","UseDPDF=Y")</f>
        <v>#NAME?</v>
      </c>
      <c r="CV601" s="1" t="e">
        <f ca="1">_xll.BDH($C$578,"ALTMAN_Z_SCORE","FQ3 2018","FQ3 2018","Currency=INR","Period=FQ","BEST_FPERIOD_OVERRIDE=FQ","FILING_STATUS=OR","EQY_CONSOLIDATED=Y","Sort=A","Dates=H","DateFormat=P","Fill=—","Direction=H","UseDPDF=Y")</f>
        <v>#NAME?</v>
      </c>
      <c r="CW601" s="3" t="e">
        <f ca="1">_xll.BDH($C$578,"ACCT_RCV_TURN","FQ3 2018","FQ3 2018","Currency=INR","Period=FQ","BEST_FPERIOD_OVERRIDE=FQ","FILING_STATUS=OR","EQY_CONSOLIDATED=Y","FA_ADJUSTED=GAAP","Sort=A","Dates=H","DateFormat=P","Fill=—","Direction=H","UseDPDF=Y")</f>
        <v>#NAME?</v>
      </c>
      <c r="CX601" s="1" t="e">
        <f ca="1">_xll.BDH($C$578,"ACCT_RCV_DAYS","FQ3 2018","FQ3 2018","Currency=INR","Period=FQ","BEST_FPERIOD_OVERRIDE=FQ","FILING_STATUS=OR","EQY_CONSOLIDATED=Y","FA_ADJUSTED=GAAP","Sort=A","Dates=H","DateFormat=P","Fill=—","Direction=H","UseDPDF=Y")</f>
        <v>#NAME?</v>
      </c>
      <c r="CY601" s="3" t="e">
        <f ca="1">_xll.BDH($C$578,"INVENT_TURN","FQ3 2018","FQ3 2018","Currency=INR","Period=FQ","BEST_FPERIOD_OVERRIDE=FQ","FILING_STATUS=OR","EQY_CONSOLIDATED=Y","FA_ADJUSTED=GAAP","Sort=A","Dates=H","DateFormat=P","Fill=—","Direction=H","UseDPDF=Y")</f>
        <v>#NAME?</v>
      </c>
      <c r="CZ601" s="1" t="e">
        <f ca="1">_xll.BDH($C$578,"INVENT_DAYS","FQ3 2018","FQ3 2018","Currency=INR","Period=FQ","BEST_FPERIOD_OVERRIDE=FQ","FILING_STATUS=OR","EQY_CONSOLIDATED=Y","FA_ADJUSTED=GAAP","Sort=A","Dates=H","DateFormat=P","Fill=—","Direction=H","UseDPDF=Y")</f>
        <v>#NAME?</v>
      </c>
      <c r="DA601" s="3" t="e">
        <f ca="1">_xll.BDH($C$578,"ACCOUNTS_PAYABLE_TURNOVER","FQ3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601" s="1" t="e">
        <f ca="1">_xll.BDH($C$578,"ACCOUNTS_PAYABLE_TURNOVER_DAYS","FQ3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601" s="3" t="e">
        <f ca="1">_xll.BDH($C$578,"CASH_CONVERSION_CYCLE","FQ3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601" s="3" t="e">
        <f ca="1">_xll.BDH($C$578,"INV_TO_CASH_DAYS","FQ3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601" s="4" t="e">
        <f ca="1">_xll.BDH($C$578,"BS_INVENTORIES","FQ3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601" s="2" t="e">
        <f ca="1">_xll.BDH($C$578,"INVTRY_RAW_MATERIALS","FQ3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601" s="2" t="e">
        <f ca="1">_xll.BDH($C$578,"INVTRY_IN_PROGRESS","FQ3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601" s="2" t="e">
        <f ca="1">_xll.BDH($C$578,"INVTRY_FINISHED_GOODS","FQ3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601" s="2" t="e">
        <f ca="1">_xll.BDH($C$578,"BS_OTHER_INV","FQ3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602" spans="1:113" x14ac:dyDescent="0.3">
      <c r="A602" s="6"/>
      <c r="B602" s="6"/>
      <c r="C602" s="6"/>
      <c r="D602" s="6"/>
      <c r="E602" t="s">
        <v>7</v>
      </c>
      <c r="F602" t="e">
        <f ca="1">_xll.BDH($C$578,"RETURN_COM_EQY","FQ4 2018","FQ4 2018","Currency=INR","Period=FQ","BEST_FPERIOD_OVERRIDE=FQ","FILING_STATUS=OR","EQY_CONSOLIDATED=Y","FA_ADJUSTED=GAAP","Sort=A","Dates=H","DateFormat=P","Fill=—","Direction=H","UseDPDF=Y")</f>
        <v>#NAME?</v>
      </c>
      <c r="G602" t="e">
        <f ca="1">_xll.BDH($C$578,"RETURN_ON_ASSET","FQ4 2018","FQ4 2018","Currency=INR","Period=FQ","BEST_FPERIOD_OVERRIDE=FQ","FILING_STATUS=OR","EQY_CONSOLIDATED=Y","FA_ADJUSTED=GAAP","Sort=A","Dates=H","DateFormat=P","Fill=—","Direction=H","UseDPDF=Y")</f>
        <v>#NAME?</v>
      </c>
      <c r="H602" t="e">
        <f ca="1">_xll.BDH($C$578,"RETURN_ON_CAP","FQ4 2018","FQ4 2018","Currency=INR","Period=FQ","BEST_FPERIOD_OVERRIDE=FQ","FILING_STATUS=OR","EQY_CONSOLIDATED=Y","FA_ADJUSTED=GAAP","Sort=A","Dates=H","DateFormat=P","Fill=—","Direction=H","UseDPDF=Y")</f>
        <v>#NAME?</v>
      </c>
      <c r="I602" t="e">
        <f ca="1">_xll.BDH($C$578,"RETURN_ON_INV_CAPITAL","FQ4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602" t="e">
        <f ca="1">_xll.BDH($C$578,"EBITDA_TO_REVENUE","FQ4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602" t="e">
        <f ca="1">_xll.BDH($C$578,"OPER_MARGIN","FQ4 2018","FQ4 2018","Currency=INR","Period=FQ","BEST_FPERIOD_OVERRIDE=FQ","FILING_STATUS=OR","EQY_CONSOLIDATED=Y","FA_ADJUSTED=GAAP","Sort=A","Dates=H","DateFormat=P","Fill=—","Direction=H","UseDPDF=Y")</f>
        <v>#NAME?</v>
      </c>
      <c r="L602" t="e">
        <f ca="1">_xll.BDH($C$578,"INCREMENTAL_OPERATING_MARGIN","FQ4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602" t="e">
        <f ca="1">_xll.BDH($C$578,"PRETAX_INC_TO_NET_SALES","FQ4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602" t="e">
        <f ca="1">_xll.BDH($C$578,"INC_BEF_XO_ITEMS_TO_NET_SALES","FQ4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602" t="e">
        <f ca="1">_xll.BDH($C$578,"PROF_MARGIN","FQ4 2018","FQ4 2018","Currency=INR","Period=FQ","BEST_FPERIOD_OVERRIDE=FQ","FILING_STATUS=OR","EQY_CONSOLIDATED=Y","FA_ADJUSTED=GAAP","Sort=A","Dates=H","DateFormat=P","Fill=—","Direction=H","UseDPDF=Y")</f>
        <v>#NAME?</v>
      </c>
      <c r="P602" t="e">
        <f ca="1">_xll.BDH($C$578,"NET_INCOME_TO_COMMON_MARGIN","FQ4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602" t="e">
        <f ca="1">_xll.BDH($C$578,"EFF_TAX_RATE","FQ4 2018","FQ4 2018","Currency=INR","Period=FQ","BEST_FPERIOD_OVERRIDE=FQ","FILING_STATUS=OR","EQY_CONSOLIDATED=Y","FA_ADJUSTED=GAAP","Sort=A","Dates=H","DateFormat=P","Fill=—","Direction=H","UseDPDF=Y")</f>
        <v>#NAME?</v>
      </c>
      <c r="R602" t="e">
        <f ca="1">_xll.BDH($C$578,"DVD_PAYOUT_RATIO","FQ4 2018","FQ4 2018","Currency=INR","Period=FQ","BEST_FPERIOD_OVERRIDE=FQ","FILING_STATUS=OR","EQY_CONSOLIDATED=Y","FA_ADJUSTED=GAAP","Sort=A","Dates=H","DateFormat=P","Fill=—","Direction=H","UseDPDF=Y")</f>
        <v>#NAME?</v>
      </c>
      <c r="S602" t="e">
        <f ca="1">_xll.BDH($C$578,"SUSTAIN_GROWTH_RT","FQ4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602" s="1" t="e">
        <f ca="1">_xll.BDH($C$578,"SALES_GROWTH","FQ4 2018","FQ4 2018","Currency=INR","Period=FQ","BEST_FPERIOD_OVERRIDE=FQ","FILING_STATUS=OR","EQY_CONSOLIDATED=Y","FA_ADJUSTED=GAAP","Sort=A","Dates=H","DateFormat=P","Fill=—","Direction=H","UseDPDF=Y")</f>
        <v>#NAME?</v>
      </c>
      <c r="U602" s="1" t="e">
        <f ca="1">_xll.BDH($C$578,"EBITDA_GROWTH","FQ4 2018","FQ4 2018","Currency=INR","Period=FQ","BEST_FPERIOD_OVERRIDE=FQ","FILING_STATUS=OR","EQY_CONSOLIDATED=Y","FA_ADJUSTED=GAAP","Sort=A","Dates=H","DateFormat=P","Fill=—","Direction=H","UseDPDF=Y")</f>
        <v>#NAME?</v>
      </c>
      <c r="V602" s="1" t="e">
        <f ca="1">_xll.BDH($C$578,"OPER_INC_GROWTH","FQ4 2018","FQ4 2018","Currency=INR","Period=FQ","BEST_FPERIOD_OVERRIDE=FQ","FILING_STATUS=OR","EQY_CONSOLIDATED=Y","FA_ADJUSTED=GAAP","Sort=A","Dates=H","DateFormat=P","Fill=—","Direction=H","UseDPDF=Y")</f>
        <v>#NAME?</v>
      </c>
      <c r="W602" s="1" t="e">
        <f ca="1">_xll.BDH($C$578,"EARN_FOR_COM_GROWTH","FQ4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602" s="1" t="e">
        <f ca="1">_xll.BDH($C$578,"DILUTED_EPS_AFT_XO_ITEMS_GROWTH","FQ4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602" s="1" t="e">
        <f ca="1">_xll.BDH($C$578,"DIVIDEND_PER_SHARE_1_YEAR_GROWTH","FQ4 2018","FQ4 2018","Currency=INR","Period=FQ","BEST_FPERIOD_OVERRIDE=FQ","FILING_STATUS=OR","EQY_CONSOLIDATED=Y","Sort=A","Dates=H","DateFormat=P","Fill=—","Direction=H","UseDPDF=Y")</f>
        <v>#NAME?</v>
      </c>
      <c r="Z602" s="1" t="e">
        <f ca="1">_xll.BDH($C$578,"ACCOUNTS_RECEIVABLE_GROWTH","FQ4 2018","FQ4 2018","Currency=INR","Period=FQ","BEST_FPERIOD_OVERRIDE=FQ","FILING_STATUS=OR","EQY_CONSOLIDATED=Y","Sort=A","Dates=H","DateFormat=P","Fill=—","Direction=H","UseDPDF=Y")</f>
        <v>#NAME?</v>
      </c>
      <c r="AA602" s="1" t="e">
        <f ca="1">_xll.BDH($C$578,"INVENTORY_GROWTH","FQ4 2018","FQ4 2018","Currency=INR","Period=FQ","BEST_FPERIOD_OVERRIDE=FQ","FILING_STATUS=OR","EQY_CONSOLIDATED=Y","Sort=A","Dates=H","DateFormat=P","Fill=—","Direction=H","UseDPDF=Y")</f>
        <v>#NAME?</v>
      </c>
      <c r="AB602" s="1" t="e">
        <f ca="1">_xll.BDH($C$578,"NET_FIXED_ASSETS_1_YEAR_GROWTH","FQ4 2018","FQ4 2018","Currency=INR","Period=FQ","BEST_FPERIOD_OVERRIDE=FQ","FILING_STATUS=OR","EQY_CONSOLIDATED=Y","Sort=A","Dates=H","DateFormat=P","Fill=—","Direction=H","UseDPDF=Y")</f>
        <v>#NAME?</v>
      </c>
      <c r="AC602" s="1" t="e">
        <f ca="1">_xll.BDH($C$578,"ASSET_GROWTH","FQ4 2018","FQ4 2018","Currency=INR","Period=FQ","BEST_FPERIOD_OVERRIDE=FQ","FILING_STATUS=OR","EQY_CONSOLIDATED=Y","Sort=A","Dates=H","DateFormat=P","Fill=—","Direction=H","UseDPDF=Y")</f>
        <v>#NAME?</v>
      </c>
      <c r="AD602" s="1" t="e">
        <f ca="1">_xll.BDH($C$578,"MODIFIED_WORK_CAP_GROWTH","FQ4 2018","FQ4 2018","Currency=INR","Period=FQ","BEST_FPERIOD_OVERRIDE=FQ","FILING_STATUS=OR","EQY_CONSOLIDATED=Y","Sort=A","Dates=H","DateFormat=P","Fill=—","Direction=H","UseDPDF=Y")</f>
        <v>#NAME?</v>
      </c>
      <c r="AE602" s="1" t="e">
        <f ca="1">_xll.BDH($C$578,"WORK_CAP_GROWTH","FQ4 2018","FQ4 2018","Currency=INR","Period=FQ","BEST_FPERIOD_OVERRIDE=FQ","FILING_STATUS=OR","EQY_CONSOLIDATED=Y","Sort=A","Dates=H","DateFormat=P","Fill=—","Direction=H","UseDPDF=Y")</f>
        <v>#NAME?</v>
      </c>
      <c r="AF602" s="1" t="e">
        <f ca="1">_xll.BDH($C$578,"ACCOUNTS_PAYABLE_GROWTH_1YR","FQ4 2018","FQ4 2018","Currency=INR","Period=FQ","BEST_FPERIOD_OVERRIDE=FQ","FILING_STATUS=OR","EQY_CONSOLIDATED=Y","Sort=A","Dates=H","DateFormat=P","Fill=—","Direction=H","UseDPDF=Y")</f>
        <v>#NAME?</v>
      </c>
      <c r="AG602" s="1" t="e">
        <f ca="1">_xll.BDH($C$578,"SHORT_TERM_DEBT_1_YEAR_GROWTH","FQ4 2018","FQ4 2018","Currency=INR","Period=FQ","BEST_FPERIOD_OVERRIDE=FQ","FILING_STATUS=OR","EQY_CONSOLIDATED=Y","Sort=A","Dates=H","DateFormat=P","Fill=—","Direction=H","UseDPDF=Y")</f>
        <v>#NAME?</v>
      </c>
      <c r="AH602" s="1" t="e">
        <f ca="1">_xll.BDH($C$578,"TOTAL_DEBT_1_YEAR_GROWTH","FQ4 2018","FQ4 2018","Currency=INR","Period=FQ","BEST_FPERIOD_OVERRIDE=FQ","FILING_STATUS=OR","EQY_CONSOLIDATED=Y","Sort=A","Dates=H","DateFormat=P","Fill=—","Direction=H","UseDPDF=Y")</f>
        <v>#NAME?</v>
      </c>
      <c r="AI602" s="1" t="e">
        <f ca="1">_xll.BDH($C$578,"TOTAL_EQUITY_1_YEAR_GROWTH","FQ4 2018","FQ4 2018","Currency=INR","Period=FQ","BEST_FPERIOD_OVERRIDE=FQ","FILING_STATUS=OR","EQY_CONSOLIDATED=Y","Sort=A","Dates=H","DateFormat=P","Fill=—","Direction=H","UseDPDF=Y")</f>
        <v>#NAME?</v>
      </c>
      <c r="AJ602" s="1" t="e">
        <f ca="1">_xll.BDH($C$578,"GROWTH_IN_CAP","FQ4 2018","FQ4 2018","Currency=INR","Period=FQ","BEST_FPERIOD_OVERRIDE=FQ","FILING_STATUS=OR","EQY_CONSOLIDATED=Y","Sort=A","Dates=H","DateFormat=P","Fill=—","Direction=H","UseDPDF=Y")</f>
        <v>#NAME?</v>
      </c>
      <c r="AK602" s="1" t="e">
        <f ca="1">_xll.BDH($C$578,"BVPS_GROWTH","FQ4 2018","FQ4 2018","Currency=INR","Period=FQ","BEST_FPERIOD_OVERRIDE=FQ","FILING_STATUS=OR","EQY_CONSOLIDATED=Y","Sort=A","Dates=H","DateFormat=P","Fill=—","Direction=H","UseDPDF=Y")</f>
        <v>#NAME?</v>
      </c>
      <c r="AL602" s="1" t="e">
        <f ca="1">_xll.BDH($C$578,"CASH_FLOW_GROWTH","FQ4 2018","FQ4 2018","Currency=INR","Period=FQ","BEST_FPERIOD_OVERRIDE=FQ","FILING_STATUS=OR","EQY_CONSOLIDATED=Y","Sort=A","Dates=H","DateFormat=P","Fill=—","Direction=H","UseDPDF=Y")</f>
        <v>#NAME?</v>
      </c>
      <c r="AM602" s="1" t="e">
        <f ca="1">_xll.BDH($C$578,"GEO_GROW_NET_SALES","FQ4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602" s="1" t="e">
        <f ca="1">_xll.BDH($C$578,"GEO_GROW_EBITDA","FQ4 2018","FQ4 2018","Currency=INR","Period=FQ","BEST_FPERIOD_OVERRIDE=FQ","FILING_STATUS=OR","EQY_CONSOLIDATED=Y","FA_ADJUSTED=GAAP","Sort=A","Dates=H","DateFormat=P","Fill=—","Direction=H","UseDPDF=Y")</f>
        <v>#NAME?</v>
      </c>
      <c r="AO602" s="1" t="e">
        <f ca="1">_xll.BDH($C$578,"GEO_GROW_OPER_INC","FQ4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602" s="1" t="e">
        <f ca="1">_xll.BDH($C$578,"NET_INCOME_TO_COMMON_5_YR_GROWTH","FQ4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602" s="1" t="e">
        <f ca="1">_xll.BDH($C$578,"5Y_GEO_GROWTH_DILUTED_EPS","FQ4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602" s="1" t="e">
        <f ca="1">_xll.BDH($C$578,"GEO_GROW_DVD_PER_SH","FQ4 2018","FQ4 2018","Currency=INR","Period=FQ","BEST_FPERIOD_OVERRIDE=FQ","FILING_STATUS=OR","EQY_CONSOLIDATED=Y","Sort=A","Dates=H","DateFormat=P","Fill=—","Direction=H","UseDPDF=Y")</f>
        <v>#NAME?</v>
      </c>
      <c r="AS602" s="1" t="e">
        <f ca="1">_xll.BDH($C$578,"ACCOUNTS_RECEIVABLE_5_YR_GROWTH","FQ4 2018","FQ4 2018","Currency=INR","Period=FQ","BEST_FPERIOD_OVERRIDE=FQ","FILING_STATUS=OR","EQY_CONSOLIDATED=Y","Sort=A","Dates=H","DateFormat=P","Fill=—","Direction=H","UseDPDF=Y")</f>
        <v>#NAME?</v>
      </c>
      <c r="AT602" s="1" t="e">
        <f ca="1">_xll.BDH($C$578,"INVENTORY_5_YEAR_GROWTH","FQ4 2018","FQ4 2018","Currency=INR","Period=FQ","BEST_FPERIOD_OVERRIDE=FQ","FILING_STATUS=OR","EQY_CONSOLIDATED=Y","Sort=A","Dates=H","DateFormat=P","Fill=—","Direction=H","UseDPDF=Y")</f>
        <v>#NAME?</v>
      </c>
      <c r="AU602" s="1" t="e">
        <f ca="1">_xll.BDH($C$578,"NET_FIXED_ASSETS_5_YEAR_GROWTH","FQ4 2018","FQ4 2018","Currency=INR","Period=FQ","BEST_FPERIOD_OVERRIDE=FQ","FILING_STATUS=OR","EQY_CONSOLIDATED=Y","Sort=A","Dates=H","DateFormat=P","Fill=—","Direction=H","UseDPDF=Y")</f>
        <v>#NAME?</v>
      </c>
      <c r="AV602" s="1" t="e">
        <f ca="1">_xll.BDH($C$578,"GEO_GROW_TOT_ASSET","FQ4 2018","FQ4 2018","Currency=INR","Period=FQ","BEST_FPERIOD_OVERRIDE=FQ","FILING_STATUS=OR","EQY_CONSOLIDATED=Y","Sort=A","Dates=H","DateFormat=P","Fill=—","Direction=H","UseDPDF=Y")</f>
        <v>#NAME?</v>
      </c>
      <c r="AW602" s="1" t="e">
        <f ca="1">_xll.BDH($C$578,"MODIFIED_WORKING_CPTL_5YR_GRWTH","FQ4 2018","FQ4 2018","Currency=INR","Period=FQ","BEST_FPERIOD_OVERRIDE=FQ","FILING_STATUS=OR","EQY_CONSOLIDATED=Y","Sort=A","Dates=H","DateFormat=P","Fill=—","Direction=H","UseDPDF=Y")</f>
        <v>#NAME?</v>
      </c>
      <c r="AX602" s="1" t="e">
        <f ca="1">_xll.BDH($C$578,"WORKING_CAPITAL_5_YEAR_GROWTH","FQ4 2018","FQ4 2018","Currency=INR","Period=FQ","BEST_FPERIOD_OVERRIDE=FQ","FILING_STATUS=OR","EQY_CONSOLIDATED=Y","Sort=A","Dates=H","DateFormat=P","Fill=—","Direction=H","UseDPDF=Y")</f>
        <v>#NAME?</v>
      </c>
      <c r="AY602" s="1" t="e">
        <f ca="1">_xll.BDH($C$578,"ACCOUNTS_PAYABLE_5_YEAR_GROWTH","FQ4 2018","FQ4 2018","Currency=INR","Period=FQ","BEST_FPERIOD_OVERRIDE=FQ","FILING_STATUS=OR","EQY_CONSOLIDATED=Y","Sort=A","Dates=H","DateFormat=P","Fill=—","Direction=H","UseDPDF=Y")</f>
        <v>#NAME?</v>
      </c>
      <c r="AZ602" s="1" t="e">
        <f ca="1">_xll.BDH($C$578,"SHORT_TERM_DEBT_5_YEAR_GROWTH","FQ4 2018","FQ4 2018","Currency=INR","Period=FQ","BEST_FPERIOD_OVERRIDE=FQ","FILING_STATUS=OR","EQY_CONSOLIDATED=Y","Sort=A","Dates=H","DateFormat=P","Fill=—","Direction=H","UseDPDF=Y")</f>
        <v>#NAME?</v>
      </c>
      <c r="BA602" s="1" t="e">
        <f ca="1">_xll.BDH($C$578,"TOTAL_DEBT_5_YEAR_GROWTH","FQ4 2018","FQ4 2018","Currency=INR","Period=FQ","BEST_FPERIOD_OVERRIDE=FQ","FILING_STATUS=OR","EQY_CONSOLIDATED=Y","Sort=A","Dates=H","DateFormat=P","Fill=—","Direction=H","UseDPDF=Y")</f>
        <v>#NAME?</v>
      </c>
      <c r="BB602" s="1" t="e">
        <f ca="1">_xll.BDH($C$578,"GEO_GROW_TOT_SHRHLDR_EQY","FQ4 2018","FQ4 2018","Currency=INR","Period=FQ","BEST_FPERIOD_OVERRIDE=FQ","FILING_STATUS=OR","EQY_CONSOLIDATED=Y","Sort=A","Dates=H","DateFormat=P","Fill=—","Direction=H","UseDPDF=Y")</f>
        <v>#NAME?</v>
      </c>
      <c r="BC602" s="1" t="e">
        <f ca="1">_xll.BDH($C$578,"TOTAL_CAPITAL_5_YEAR_GROWTH","FQ4 2018","FQ4 2018","Currency=INR","Period=FQ","BEST_FPERIOD_OVERRIDE=FQ","FILING_STATUS=OR","EQY_CONSOLIDATED=Y","Sort=A","Dates=H","DateFormat=P","Fill=—","Direction=H","UseDPDF=Y")</f>
        <v>#NAME?</v>
      </c>
      <c r="BD602" s="1" t="e">
        <f ca="1">_xll.BDH($C$578,"GEO_GROW_BOOK_VAL","FQ4 2018","FQ4 2018","Currency=INR","Period=FQ","BEST_FPERIOD_OVERRIDE=FQ","FILING_STATUS=OR","EQY_CONSOLIDATED=Y","Sort=A","Dates=H","DateFormat=P","Fill=—","Direction=H","UseDPDF=Y")</f>
        <v>#NAME?</v>
      </c>
      <c r="BE602" s="1" t="e">
        <f ca="1">_xll.BDH($C$578,"GEO_GROW_CASH_OPER_ACT","FQ4 2018","FQ4 2018","Currency=INR","Period=FQ","BEST_FPERIOD_OVERRIDE=FQ","FILING_STATUS=OR","EQY_CONSOLIDATED=Y","Sort=A","Dates=H","DateFormat=P","Fill=—","Direction=H","UseDPDF=Y")</f>
        <v>#NAME?</v>
      </c>
      <c r="BF602" s="1" t="e">
        <f ca="1">_xll.BDH($C$578,"REVENUE_SEQUENTIAL_GROWTH","FQ4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602" s="1" t="e">
        <f ca="1">_xll.BDH($C$578,"EBITDA_SEQUENTIAL_GROWTH","FQ4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602" s="1" t="e">
        <f ca="1">_xll.BDH($C$578,"OPERATING_INCOME_SEQ_GROWTH","FQ4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602" s="1" t="e">
        <f ca="1">_xll.BDH($C$578,"NET_INCOME_TO_COMMON_SEQ_GROWTH","FQ4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602" s="1" t="e">
        <f ca="1">_xll.BDH($C$578,"EPS_DILUTED_SEQUENTIAL_GROWTH","FQ4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602" s="1" t="e">
        <f ca="1">_xll.BDH($C$578,"DPS_SEQUENTIAL_GROWTH","FQ4 2018","FQ4 2018","Currency=INR","Period=FQ","BEST_FPERIOD_OVERRIDE=FQ","FILING_STATUS=OR","EQY_CONSOLIDATED=Y","Sort=A","Dates=H","DateFormat=P","Fill=—","Direction=H","UseDPDF=Y")</f>
        <v>#NAME?</v>
      </c>
      <c r="BL602" s="1" t="e">
        <f ca="1">_xll.BDH($C$578,"ACCOUNTS_RECEIVABLE_SEQ_GROWTH","FQ4 2018","FQ4 2018","Currency=INR","Period=FQ","BEST_FPERIOD_OVERRIDE=FQ","FILING_STATUS=OR","EQY_CONSOLIDATED=Y","Sort=A","Dates=H","DateFormat=P","Fill=—","Direction=H","UseDPDF=Y")</f>
        <v>#NAME?</v>
      </c>
      <c r="BM602" s="1" t="e">
        <f ca="1">_xll.BDH($C$578,"INVENTORY_SEQUENTIAL_GROWTH","FQ4 2018","FQ4 2018","Currency=INR","Period=FQ","BEST_FPERIOD_OVERRIDE=FQ","FILING_STATUS=OR","EQY_CONSOLIDATED=Y","Sort=A","Dates=H","DateFormat=P","Fill=—","Direction=H","UseDPDF=Y")</f>
        <v>#NAME?</v>
      </c>
      <c r="BN602" s="1" t="e">
        <f ca="1">_xll.BDH($C$578,"FIXED_ASSETS_SEQUENTIAL_GROWTH","FQ4 2018","FQ4 2018","Currency=INR","Period=FQ","BEST_FPERIOD_OVERRIDE=FQ","FILING_STATUS=OR","EQY_CONSOLIDATED=Y","Sort=A","Dates=H","DateFormat=P","Fill=—","Direction=H","UseDPDF=Y")</f>
        <v>#NAME?</v>
      </c>
      <c r="BO602" s="1" t="e">
        <f ca="1">_xll.BDH($C$578,"TOTAL_ASSETS_SEQUENTIAL_GROWTH","FQ4 2018","FQ4 2018","Currency=INR","Period=FQ","BEST_FPERIOD_OVERRIDE=FQ","FILING_STATUS=OR","EQY_CONSOLIDATED=Y","Sort=A","Dates=H","DateFormat=P","Fill=—","Direction=H","UseDPDF=Y")</f>
        <v>#NAME?</v>
      </c>
      <c r="BP602" s="1" t="e">
        <f ca="1">_xll.BDH($C$578,"MODIFIED_WORKING_CPTL_SEQ_GRWTH","FQ4 2018","FQ4 2018","Currency=INR","Period=FQ","BEST_FPERIOD_OVERRIDE=FQ","FILING_STATUS=OR","EQY_CONSOLIDATED=Y","Sort=A","Dates=H","DateFormat=P","Fill=—","Direction=H","UseDPDF=Y")</f>
        <v>#NAME?</v>
      </c>
      <c r="BQ602" s="1" t="e">
        <f ca="1">_xll.BDH($C$578,"WORKING_CAPITAL_SEQ_GROWTH","FQ4 2018","FQ4 2018","Currency=INR","Period=FQ","BEST_FPERIOD_OVERRIDE=FQ","FILING_STATUS=OR","EQY_CONSOLIDATED=Y","Sort=A","Dates=H","DateFormat=P","Fill=—","Direction=H","UseDPDF=Y")</f>
        <v>#NAME?</v>
      </c>
      <c r="BR602" s="1" t="e">
        <f ca="1">_xll.BDH($C$578,"ACCOUNTS_PAYABLE_SEQ_GROWTH","FQ4 2018","FQ4 2018","Currency=INR","Period=FQ","BEST_FPERIOD_OVERRIDE=FQ","FILING_STATUS=OR","EQY_CONSOLIDATED=Y","Sort=A","Dates=H","DateFormat=P","Fill=—","Direction=H","UseDPDF=Y")</f>
        <v>#NAME?</v>
      </c>
      <c r="BS602" s="1" t="e">
        <f ca="1">_xll.BDH($C$578,"ST_DEBT_SEQUENTIAL_GROWTH","FQ4 2018","FQ4 2018","Currency=INR","Period=FQ","BEST_FPERIOD_OVERRIDE=FQ","FILING_STATUS=OR","EQY_CONSOLIDATED=Y","Sort=A","Dates=H","DateFormat=P","Fill=—","Direction=H","UseDPDF=Y")</f>
        <v>#NAME?</v>
      </c>
      <c r="BT602" s="1" t="e">
        <f ca="1">_xll.BDH($C$578,"TOTAL_DEBT_SEQUENTIAL_GROWTH","FQ4 2018","FQ4 2018","Currency=INR","Period=FQ","BEST_FPERIOD_OVERRIDE=FQ","FILING_STATUS=OR","EQY_CONSOLIDATED=Y","Sort=A","Dates=H","DateFormat=P","Fill=—","Direction=H","UseDPDF=Y")</f>
        <v>#NAME?</v>
      </c>
      <c r="BU602" s="1" t="e">
        <f ca="1">_xll.BDH($C$578,"TOTAL_EQUITY_SEQUENTIAL_GROWTH","FQ4 2018","FQ4 2018","Currency=INR","Period=FQ","BEST_FPERIOD_OVERRIDE=FQ","FILING_STATUS=OR","EQY_CONSOLIDATED=Y","Sort=A","Dates=H","DateFormat=P","Fill=—","Direction=H","UseDPDF=Y")</f>
        <v>#NAME?</v>
      </c>
      <c r="BV602" s="1" t="e">
        <f ca="1">_xll.BDH($C$578,"TOTAL_CAPITAL_SEQUENTIAL_GROWTH","FQ4 2018","FQ4 2018","Currency=INR","Period=FQ","BEST_FPERIOD_OVERRIDE=FQ","FILING_STATUS=OR","EQY_CONSOLIDATED=Y","Sort=A","Dates=H","DateFormat=P","Fill=—","Direction=H","UseDPDF=Y")</f>
        <v>#NAME?</v>
      </c>
      <c r="BW602" s="1" t="e">
        <f ca="1">_xll.BDH($C$578,"BPS_SEQUENTIAL_GROWTH","FQ4 2018","FQ4 2018","Currency=INR","Period=FQ","BEST_FPERIOD_OVERRIDE=FQ","FILING_STATUS=OR","EQY_CONSOLIDATED=Y","Sort=A","Dates=H","DateFormat=P","Fill=—","Direction=H","UseDPDF=Y")</f>
        <v>#NAME?</v>
      </c>
      <c r="BX602" s="1" t="e">
        <f ca="1">_xll.BDH($C$578,"CFO_SEQUENTIAL_GROWTH","FQ4 2018","FQ4 2018","Currency=INR","Period=FQ","BEST_FPERIOD_OVERRIDE=FQ","FILING_STATUS=OR","EQY_CONSOLIDATED=Y","Sort=A","Dates=H","DateFormat=P","Fill=—","Direction=H","UseDPDF=Y")</f>
        <v>#NAME?</v>
      </c>
      <c r="BY602" s="2" t="e">
        <f ca="1">_xll.BDH($C$578,"SHORT_AND_LONG_TERM_DEBT","FQ4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602" s="2" t="e">
        <f ca="1">_xll.BDH($C$578,"BS_ST_BORROW","FQ4 2018","FQ4 2018","Currency=INR","Period=FQ","BEST_FPERIOD_OVERRIDE=FQ","FILING_STATUS=OR","EQY_CONSOLIDATED=Y","SCALING_FORMAT=MLN","Sort=A","Dates=H","DateFormat=P","Fill=—","Direction=H","UseDPDF=Y")</f>
        <v>#NAME?</v>
      </c>
      <c r="CA602" s="2" t="e">
        <f ca="1">_xll.BDH($C$578,"BS_LT_BORROW","FQ4 2018","FQ4 2018","Currency=INR","Period=FQ","BEST_FPERIOD_OVERRIDE=FQ","FILING_STATUS=OR","EQY_CONSOLIDATED=Y","SCALING_FORMAT=MLN","Sort=A","Dates=H","DateFormat=P","Fill=—","Direction=H","UseDPDF=Y")</f>
        <v>#NAME?</v>
      </c>
      <c r="CB602" s="1" t="e">
        <f ca="1">_xll.BDH($C$578,"TOT_DEBT_TO_EBITDA","FQ4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602" s="1" t="e">
        <f ca="1">_xll.BDH($C$578,"NET_DEBT_TO_EBITDA","FQ4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602" s="1" t="e">
        <f ca="1">_xll.BDH($C$578,"TOTAL_DEBT_TO_EBIT","FQ4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602" s="1" t="e">
        <f ca="1">_xll.BDH($C$578,"NET_DEBT_TO_EBIT","FQ4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602" s="1" t="e">
        <f ca="1">_xll.BDH($C$578,"EBITDA_TO_INTEREST_EXPN","FQ4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602" s="1" t="e">
        <f ca="1">_xll.BDH($C$578,"COM_EQY_TO_TOT_ASSET","FQ4 2018","FQ4 2018","Currency=INR","Period=FQ","BEST_FPERIOD_OVERRIDE=FQ","FILING_STATUS=OR","EQY_CONSOLIDATED=Y","Sort=A","Dates=H","DateFormat=P","Fill=—","Direction=H","UseDPDF=Y")</f>
        <v>#NAME?</v>
      </c>
      <c r="CH602" s="1" t="e">
        <f ca="1">_xll.BDH($C$578,"LT_DEBT_TO_TOT_EQY","FQ4 2018","FQ4 2018","Currency=INR","Period=FQ","BEST_FPERIOD_OVERRIDE=FQ","FILING_STATUS=OR","EQY_CONSOLIDATED=Y","Sort=A","Dates=H","DateFormat=P","Fill=—","Direction=H","UseDPDF=Y")</f>
        <v>#NAME?</v>
      </c>
      <c r="CI602" s="1" t="e">
        <f ca="1">_xll.BDH($C$578,"LT_DEBT_TO_TOT_CAP","FQ4 2018","FQ4 2018","Currency=INR","Period=FQ","BEST_FPERIOD_OVERRIDE=FQ","FILING_STATUS=OR","EQY_CONSOLIDATED=Y","Sort=A","Dates=H","DateFormat=P","Fill=—","Direction=H","UseDPDF=Y")</f>
        <v>#NAME?</v>
      </c>
      <c r="CJ602" s="1" t="e">
        <f ca="1">_xll.BDH($C$578,"LT_DEBT_TO_TOT_ASSET","FQ4 2018","FQ4 2018","Currency=INR","Period=FQ","BEST_FPERIOD_OVERRIDE=FQ","FILING_STATUS=OR","EQY_CONSOLIDATED=Y","Sort=A","Dates=H","DateFormat=P","Fill=—","Direction=H","UseDPDF=Y")</f>
        <v>#NAME?</v>
      </c>
      <c r="CK602" s="1" t="e">
        <f ca="1">_xll.BDH($C$578,"TOT_DEBT_TO_TOT_EQY","FQ4 2018","FQ4 2018","Currency=INR","Period=FQ","BEST_FPERIOD_OVERRIDE=FQ","FILING_STATUS=OR","EQY_CONSOLIDATED=Y","Sort=A","Dates=H","DateFormat=P","Fill=—","Direction=H","UseDPDF=Y")</f>
        <v>#NAME?</v>
      </c>
      <c r="CL602" s="1" t="e">
        <f ca="1">_xll.BDH($C$578,"TOT_DEBT_TO_TOT_CAP","FQ4 2018","FQ4 2018","Currency=INR","Period=FQ","BEST_FPERIOD_OVERRIDE=FQ","FILING_STATUS=OR","EQY_CONSOLIDATED=Y","Sort=A","Dates=H","DateFormat=P","Fill=—","Direction=H","UseDPDF=Y")</f>
        <v>#NAME?</v>
      </c>
      <c r="CM602" s="1" t="e">
        <f ca="1">_xll.BDH($C$578,"TOT_DEBT_TO_TOT_ASSET","FQ4 2018","FQ4 2018","Currency=INR","Period=FQ","BEST_FPERIOD_OVERRIDE=FQ","FILING_STATUS=OR","EQY_CONSOLIDATED=Y","Sort=A","Dates=H","DateFormat=P","Fill=—","Direction=H","UseDPDF=Y")</f>
        <v>#NAME?</v>
      </c>
      <c r="CN602" s="1" t="e">
        <f ca="1">_xll.BDH($C$578,"NET_DEBT_TO_SHRHLDR_EQTY","FQ4 2018","FQ4 2018","Currency=INR","Period=FQ","BEST_FPERIOD_OVERRIDE=FQ","FILING_STATUS=OR","EQY_CONSOLIDATED=Y","Sort=A","Dates=H","DateFormat=P","Fill=—","Direction=H","UseDPDF=Y")</f>
        <v>#NAME?</v>
      </c>
      <c r="CO602" s="1" t="e">
        <f ca="1">_xll.BDH($C$578,"NET_DEBT_%_CAPITAL","FQ4 2018","FQ4 2018","Currency=INR","Period=FQ","BEST_FPERIOD_OVERRIDE=FQ","FILING_STATUS=OR","EQY_CONSOLIDATED=Y","Sort=A","Dates=H","DateFormat=P","Fill=—","Direction=H","UseDPDF=Y")</f>
        <v>#NAME?</v>
      </c>
      <c r="CP602" s="2" t="e">
        <f ca="1">_xll.BDH($C$578,"EBITDA","FQ4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602" s="2" t="e">
        <f ca="1">_xll.BDH($C$578,"EBITDA_AFTER_CAPEX","FQ4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602" s="2" t="e">
        <f ca="1">_xll.BDH($C$578,"IS_OPER_INC","FQ4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602" s="1" t="e">
        <f ca="1">_xll.BDH($C$578,"CASH_RATIO","FQ4 2018","FQ4 2018","Currency=INR","Period=FQ","BEST_FPERIOD_OVERRIDE=FQ","FILING_STATUS=OR","EQY_CONSOLIDATED=Y","Sort=A","Dates=H","DateFormat=P","Fill=—","Direction=H","UseDPDF=Y")</f>
        <v>#NAME?</v>
      </c>
      <c r="CT602" s="1" t="e">
        <f ca="1">_xll.BDH($C$578,"CUR_RATIO","FQ4 2018","FQ4 2018","Currency=INR","Period=FQ","BEST_FPERIOD_OVERRIDE=FQ","FILING_STATUS=OR","EQY_CONSOLIDATED=Y","Sort=A","Dates=H","DateFormat=P","Fill=—","Direction=H","UseDPDF=Y")</f>
        <v>#NAME?</v>
      </c>
      <c r="CU602" s="1" t="e">
        <f ca="1">_xll.BDH($C$578,"QUICK_RATIO","FQ4 2018","FQ4 2018","Currency=INR","Period=FQ","BEST_FPERIOD_OVERRIDE=FQ","FILING_STATUS=OR","EQY_CONSOLIDATED=Y","Sort=A","Dates=H","DateFormat=P","Fill=—","Direction=H","UseDPDF=Y")</f>
        <v>#NAME?</v>
      </c>
      <c r="CV602" s="1" t="e">
        <f ca="1">_xll.BDH($C$578,"ALTMAN_Z_SCORE","FQ4 2018","FQ4 2018","Currency=INR","Period=FQ","BEST_FPERIOD_OVERRIDE=FQ","FILING_STATUS=OR","EQY_CONSOLIDATED=Y","Sort=A","Dates=H","DateFormat=P","Fill=—","Direction=H","UseDPDF=Y")</f>
        <v>#NAME?</v>
      </c>
      <c r="CW602" s="3" t="e">
        <f ca="1">_xll.BDH($C$578,"ACCT_RCV_TURN","FQ4 2018","FQ4 2018","Currency=INR","Period=FQ","BEST_FPERIOD_OVERRIDE=FQ","FILING_STATUS=OR","EQY_CONSOLIDATED=Y","FA_ADJUSTED=GAAP","Sort=A","Dates=H","DateFormat=P","Fill=—","Direction=H","UseDPDF=Y")</f>
        <v>#NAME?</v>
      </c>
      <c r="CX602" s="1" t="e">
        <f ca="1">_xll.BDH($C$578,"ACCT_RCV_DAYS","FQ4 2018","FQ4 2018","Currency=INR","Period=FQ","BEST_FPERIOD_OVERRIDE=FQ","FILING_STATUS=OR","EQY_CONSOLIDATED=Y","FA_ADJUSTED=GAAP","Sort=A","Dates=H","DateFormat=P","Fill=—","Direction=H","UseDPDF=Y")</f>
        <v>#NAME?</v>
      </c>
      <c r="CY602" s="3" t="e">
        <f ca="1">_xll.BDH($C$578,"INVENT_TURN","FQ4 2018","FQ4 2018","Currency=INR","Period=FQ","BEST_FPERIOD_OVERRIDE=FQ","FILING_STATUS=OR","EQY_CONSOLIDATED=Y","FA_ADJUSTED=GAAP","Sort=A","Dates=H","DateFormat=P","Fill=—","Direction=H","UseDPDF=Y")</f>
        <v>#NAME?</v>
      </c>
      <c r="CZ602" s="1" t="e">
        <f ca="1">_xll.BDH($C$578,"INVENT_DAYS","FQ4 2018","FQ4 2018","Currency=INR","Period=FQ","BEST_FPERIOD_OVERRIDE=FQ","FILING_STATUS=OR","EQY_CONSOLIDATED=Y","FA_ADJUSTED=GAAP","Sort=A","Dates=H","DateFormat=P","Fill=—","Direction=H","UseDPDF=Y")</f>
        <v>#NAME?</v>
      </c>
      <c r="DA602" s="3" t="e">
        <f ca="1">_xll.BDH($C$578,"ACCOUNTS_PAYABLE_TURNOVER","FQ4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602" s="1" t="e">
        <f ca="1">_xll.BDH($C$578,"ACCOUNTS_PAYABLE_TURNOVER_DAYS","FQ4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602" s="3" t="e">
        <f ca="1">_xll.BDH($C$578,"CASH_CONVERSION_CYCLE","FQ4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602" s="3" t="e">
        <f ca="1">_xll.BDH($C$578,"INV_TO_CASH_DAYS","FQ4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602" s="4" t="e">
        <f ca="1">_xll.BDH($C$578,"BS_INVENTORIES","FQ4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602" s="2" t="e">
        <f ca="1">_xll.BDH($C$578,"INVTRY_RAW_MATERIALS","FQ4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602" s="2" t="e">
        <f ca="1">_xll.BDH($C$578,"INVTRY_IN_PROGRESS","FQ4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602" s="2" t="e">
        <f ca="1">_xll.BDH($C$578,"INVTRY_FINISHED_GOODS","FQ4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602" s="2" t="e">
        <f ca="1">_xll.BDH($C$578,"BS_OTHER_INV","FQ4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603" spans="1:113" x14ac:dyDescent="0.3">
      <c r="A603" s="6">
        <v>75</v>
      </c>
      <c r="B603" s="6" t="s">
        <v>58</v>
      </c>
      <c r="C603" s="6" t="s">
        <v>59</v>
      </c>
      <c r="D603" s="6" t="s">
        <v>2</v>
      </c>
      <c r="E603" t="s">
        <v>3</v>
      </c>
      <c r="F603" t="e">
        <f ca="1">_xll.BDH($C$603,"RETURN_COM_EQY","FY 2014","FY 2014","Currency=INR","Period=FY","BEST_FPERIOD_OVERRIDE=FY","FILING_STATUS=OR","EQY_CONSOLIDATED=Y","FA_ADJUSTED=GAAP","Sort=A","Dates=H","DateFormat=P","Fill=—","Direction=H","UseDPDF=Y")</f>
        <v>#NAME?</v>
      </c>
      <c r="G603" t="e">
        <f ca="1">_xll.BDH($C$603,"RETURN_ON_ASSET","FY 2014","FY 2014","Currency=INR","Period=FY","BEST_FPERIOD_OVERRIDE=FY","FILING_STATUS=OR","EQY_CONSOLIDATED=Y","FA_ADJUSTED=GAAP","Sort=A","Dates=H","DateFormat=P","Fill=—","Direction=H","UseDPDF=Y")</f>
        <v>#NAME?</v>
      </c>
      <c r="H603" t="e">
        <f ca="1">_xll.BDH($C$603,"RETURN_ON_CAP","FY 2014","FY 2014","Currency=INR","Period=FY","BEST_FPERIOD_OVERRIDE=FY","FILING_STATUS=OR","EQY_CONSOLIDATED=Y","FA_ADJUSTED=GAAP","Sort=A","Dates=H","DateFormat=P","Fill=—","Direction=H","UseDPDF=Y")</f>
        <v>#NAME?</v>
      </c>
      <c r="I603" t="e">
        <f ca="1">_xll.BDH($C$603,"RETURN_ON_INV_CAPITAL","FY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603" t="e">
        <f ca="1">_xll.BDH($C$603,"EBITDA_TO_REVENUE","FY 2014","FY 2014","Currency=INR","Period=FY","BEST_FPERIOD_OVERRIDE=FY","FILING_STATUS=OR","EQY_CONSOLIDATED=Y","FA_ADJUSTED=GAAP","Sort=A","Dates=H","DateFormat=P","Fill=—","Direction=H","UseDPDF=Y")</f>
        <v>#NAME?</v>
      </c>
      <c r="K603" t="e">
        <f ca="1">_xll.BDH($C$603,"OPER_MARGIN","FY 2014","FY 2014","Currency=INR","Period=FY","BEST_FPERIOD_OVERRIDE=FY","FILING_STATUS=OR","EQY_CONSOLIDATED=Y","FA_ADJUSTED=GAAP","Sort=A","Dates=H","DateFormat=P","Fill=—","Direction=H","UseDPDF=Y")</f>
        <v>#NAME?</v>
      </c>
      <c r="L603" t="e">
        <f ca="1">_xll.BDH($C$603,"INCREMENTAL_OPERATING_MARGIN","FY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603" t="e">
        <f ca="1">_xll.BDH($C$603,"PRETAX_INC_TO_NET_SALES","FY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603" t="e">
        <f ca="1">_xll.BDH($C$603,"INC_BEF_XO_ITEMS_TO_NET_SALES","FY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603" t="e">
        <f ca="1">_xll.BDH($C$603,"PROF_MARGIN","FY 2014","FY 2014","Currency=INR","Period=FY","BEST_FPERIOD_OVERRIDE=FY","FILING_STATUS=OR","EQY_CONSOLIDATED=Y","FA_ADJUSTED=GAAP","Sort=A","Dates=H","DateFormat=P","Fill=—","Direction=H","UseDPDF=Y")</f>
        <v>#NAME?</v>
      </c>
      <c r="P603" t="e">
        <f ca="1">_xll.BDH($C$603,"NET_INCOME_TO_COMMON_MARGIN","FY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603" t="e">
        <f ca="1">_xll.BDH($C$603,"EFF_TAX_RATE","FY 2014","FY 2014","Currency=INR","Period=FY","BEST_FPERIOD_OVERRIDE=FY","FILING_STATUS=OR","EQY_CONSOLIDATED=Y","FA_ADJUSTED=GAAP","Sort=A","Dates=H","DateFormat=P","Fill=—","Direction=H","UseDPDF=Y")</f>
        <v>#NAME?</v>
      </c>
      <c r="R603" t="e">
        <f ca="1">_xll.BDH($C$603,"DVD_PAYOUT_RATIO","FY 2014","FY 2014","Currency=INR","Period=FY","BEST_FPERIOD_OVERRIDE=FY","FILING_STATUS=OR","EQY_CONSOLIDATED=Y","FA_ADJUSTED=GAAP","Sort=A","Dates=H","DateFormat=P","Fill=—","Direction=H","UseDPDF=Y")</f>
        <v>#NAME?</v>
      </c>
      <c r="S603" t="e">
        <f ca="1">_xll.BDH($C$603,"SUSTAIN_GROWTH_RT","FY 2014","FY 2014","Currency=INR","Period=FY","BEST_FPERIOD_OVERRIDE=FY","FILING_STATUS=OR","EQY_CONSOLIDATED=Y","FA_ADJUSTED=GAAP","Sort=A","Dates=H","DateFormat=P","Fill=—","Direction=H","UseDPDF=Y")</f>
        <v>#NAME?</v>
      </c>
      <c r="T603" s="1" t="e">
        <f ca="1">_xll.BDH($C$603,"SALES_GROWTH","FY 2014","FY 2014","Currency=INR","Period=FY","BEST_FPERIOD_OVERRIDE=FY","FILING_STATUS=OR","EQY_CONSOLIDATED=Y","FA_ADJUSTED=GAAP","Sort=A","Dates=H","DateFormat=P","Fill=—","Direction=H","UseDPDF=Y")</f>
        <v>#NAME?</v>
      </c>
      <c r="U603" s="1" t="e">
        <f ca="1">_xll.BDH($C$603,"EBITDA_GROWTH","FY 2014","FY 2014","Currency=INR","Period=FY","BEST_FPERIOD_OVERRIDE=FY","FILING_STATUS=OR","EQY_CONSOLIDATED=Y","FA_ADJUSTED=GAAP","Sort=A","Dates=H","DateFormat=P","Fill=—","Direction=H","UseDPDF=Y")</f>
        <v>#NAME?</v>
      </c>
      <c r="V603" s="1" t="e">
        <f ca="1">_xll.BDH($C$603,"OPER_INC_GROWTH","FY 2014","FY 2014","Currency=INR","Period=FY","BEST_FPERIOD_OVERRIDE=FY","FILING_STATUS=OR","EQY_CONSOLIDATED=Y","FA_ADJUSTED=GAAP","Sort=A","Dates=H","DateFormat=P","Fill=—","Direction=H","UseDPDF=Y")</f>
        <v>#NAME?</v>
      </c>
      <c r="W603" s="1" t="e">
        <f ca="1">_xll.BDH($C$603,"EARN_FOR_COM_GROWTH","FY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603" s="1" t="e">
        <f ca="1">_xll.BDH($C$603,"DILUTED_EPS_AFT_XO_ITEMS_GROWTH","FY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603" s="1" t="e">
        <f ca="1">_xll.BDH($C$603,"DIVIDEND_PER_SHARE_1_YEAR_GROWTH","FY 2014","FY 2014","Currency=INR","Period=FY","BEST_FPERIOD_OVERRIDE=FY","FILING_STATUS=OR","EQY_CONSOLIDATED=Y","Sort=A","Dates=H","DateFormat=P","Fill=—","Direction=H","UseDPDF=Y")</f>
        <v>#NAME?</v>
      </c>
      <c r="Z603" s="1" t="e">
        <f ca="1">_xll.BDH($C$603,"ACCOUNTS_RECEIVABLE_GROWTH","FY 2014","FY 2014","Currency=INR","Period=FY","BEST_FPERIOD_OVERRIDE=FY","FILING_STATUS=OR","EQY_CONSOLIDATED=Y","Sort=A","Dates=H","DateFormat=P","Fill=—","Direction=H","UseDPDF=Y")</f>
        <v>#NAME?</v>
      </c>
      <c r="AA603" s="1" t="e">
        <f ca="1">_xll.BDH($C$603,"INVENTORY_GROWTH","FY 2014","FY 2014","Currency=INR","Period=FY","BEST_FPERIOD_OVERRIDE=FY","FILING_STATUS=OR","EQY_CONSOLIDATED=Y","Sort=A","Dates=H","DateFormat=P","Fill=—","Direction=H","UseDPDF=Y")</f>
        <v>#NAME?</v>
      </c>
      <c r="AB603" s="1" t="e">
        <f ca="1">_xll.BDH($C$603,"NET_FIXED_ASSETS_1_YEAR_GROWTH","FY 2014","FY 2014","Currency=INR","Period=FY","BEST_FPERIOD_OVERRIDE=FY","FILING_STATUS=OR","EQY_CONSOLIDATED=Y","Sort=A","Dates=H","DateFormat=P","Fill=—","Direction=H","UseDPDF=Y")</f>
        <v>#NAME?</v>
      </c>
      <c r="AC603" s="1" t="e">
        <f ca="1">_xll.BDH($C$603,"ASSET_GROWTH","FY 2014","FY 2014","Currency=INR","Period=FY","BEST_FPERIOD_OVERRIDE=FY","FILING_STATUS=OR","EQY_CONSOLIDATED=Y","Sort=A","Dates=H","DateFormat=P","Fill=—","Direction=H","UseDPDF=Y")</f>
        <v>#NAME?</v>
      </c>
      <c r="AD603" s="1" t="e">
        <f ca="1">_xll.BDH($C$603,"MODIFIED_WORK_CAP_GROWTH","FY 2014","FY 2014","Currency=INR","Period=FY","BEST_FPERIOD_OVERRIDE=FY","FILING_STATUS=OR","EQY_CONSOLIDATED=Y","Sort=A","Dates=H","DateFormat=P","Fill=—","Direction=H","UseDPDF=Y")</f>
        <v>#NAME?</v>
      </c>
      <c r="AE603" s="1" t="e">
        <f ca="1">_xll.BDH($C$603,"WORK_CAP_GROWTH","FY 2014","FY 2014","Currency=INR","Period=FY","BEST_FPERIOD_OVERRIDE=FY","FILING_STATUS=OR","EQY_CONSOLIDATED=Y","Sort=A","Dates=H","DateFormat=P","Fill=—","Direction=H","UseDPDF=Y")</f>
        <v>#NAME?</v>
      </c>
      <c r="AF603" s="1" t="e">
        <f ca="1">_xll.BDH($C$603,"ACCOUNTS_PAYABLE_GROWTH_1YR","FY 2014","FY 2014","Currency=INR","Period=FY","BEST_FPERIOD_OVERRIDE=FY","FILING_STATUS=OR","EQY_CONSOLIDATED=Y","Sort=A","Dates=H","DateFormat=P","Fill=—","Direction=H","UseDPDF=Y")</f>
        <v>#NAME?</v>
      </c>
      <c r="AG603" s="1" t="e">
        <f ca="1">_xll.BDH($C$603,"SHORT_TERM_DEBT_1_YEAR_GROWTH","FY 2014","FY 2014","Currency=INR","Period=FY","BEST_FPERIOD_OVERRIDE=FY","FILING_STATUS=OR","EQY_CONSOLIDATED=Y","Sort=A","Dates=H","DateFormat=P","Fill=—","Direction=H","UseDPDF=Y")</f>
        <v>#NAME?</v>
      </c>
      <c r="AH603" s="1" t="e">
        <f ca="1">_xll.BDH($C$603,"TOTAL_DEBT_1_YEAR_GROWTH","FY 2014","FY 2014","Currency=INR","Period=FY","BEST_FPERIOD_OVERRIDE=FY","FILING_STATUS=OR","EQY_CONSOLIDATED=Y","Sort=A","Dates=H","DateFormat=P","Fill=—","Direction=H","UseDPDF=Y")</f>
        <v>#NAME?</v>
      </c>
      <c r="AI603" s="1" t="e">
        <f ca="1">_xll.BDH($C$603,"TOTAL_EQUITY_1_YEAR_GROWTH","FY 2014","FY 2014","Currency=INR","Period=FY","BEST_FPERIOD_OVERRIDE=FY","FILING_STATUS=OR","EQY_CONSOLIDATED=Y","Sort=A","Dates=H","DateFormat=P","Fill=—","Direction=H","UseDPDF=Y")</f>
        <v>#NAME?</v>
      </c>
      <c r="AJ603" s="1" t="e">
        <f ca="1">_xll.BDH($C$603,"GROWTH_IN_CAP","FY 2014","FY 2014","Currency=INR","Period=FY","BEST_FPERIOD_OVERRIDE=FY","FILING_STATUS=OR","EQY_CONSOLIDATED=Y","Sort=A","Dates=H","DateFormat=P","Fill=—","Direction=H","UseDPDF=Y")</f>
        <v>#NAME?</v>
      </c>
      <c r="AK603" s="1" t="e">
        <f ca="1">_xll.BDH($C$603,"BVPS_GROWTH","FY 2014","FY 2014","Currency=INR","Period=FY","BEST_FPERIOD_OVERRIDE=FY","FILING_STATUS=OR","EQY_CONSOLIDATED=Y","Sort=A","Dates=H","DateFormat=P","Fill=—","Direction=H","UseDPDF=Y")</f>
        <v>#NAME?</v>
      </c>
      <c r="AL603" s="1" t="e">
        <f ca="1">_xll.BDH($C$603,"CASH_FLOW_GROWTH","FY 2014","FY 2014","Currency=INR","Period=FY","BEST_FPERIOD_OVERRIDE=FY","FILING_STATUS=OR","EQY_CONSOLIDATED=Y","Sort=A","Dates=H","DateFormat=P","Fill=—","Direction=H","UseDPDF=Y")</f>
        <v>#NAME?</v>
      </c>
      <c r="AM603" s="1" t="e">
        <f ca="1">_xll.BDH($C$603,"GEO_GROW_NET_SALES","FY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603" s="1" t="e">
        <f ca="1">_xll.BDH($C$603,"GEO_GROW_EBITDA","FY 2014","FY 2014","Currency=INR","Period=FY","BEST_FPERIOD_OVERRIDE=FY","FILING_STATUS=OR","EQY_CONSOLIDATED=Y","FA_ADJUSTED=GAAP","Sort=A","Dates=H","DateFormat=P","Fill=—","Direction=H","UseDPDF=Y")</f>
        <v>#NAME?</v>
      </c>
      <c r="AO603" s="1" t="e">
        <f ca="1">_xll.BDH($C$603,"GEO_GROW_OPER_INC","FY 2014","FY 2014","Currency=INR","Period=FY","BEST_FPERIOD_OVERRIDE=FY","FILING_STATUS=OR","EQY_CONSOLIDATED=Y","FA_ADJUSTED=GAAP","Sort=A","Dates=H","DateFormat=P","Fill=—","Direction=H","UseDPDF=Y")</f>
        <v>#NAME?</v>
      </c>
      <c r="AP603" s="1" t="e">
        <f ca="1">_xll.BDH($C$603,"NET_INCOME_TO_COMMON_5_YR_GROWTH","FY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603" s="1" t="e">
        <f ca="1">_xll.BDH($C$603,"5Y_GEO_GROWTH_DILUTED_EPS","FY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603" s="1" t="e">
        <f ca="1">_xll.BDH($C$603,"GEO_GROW_DVD_PER_SH","FY 2014","FY 2014","Currency=INR","Period=FY","BEST_FPERIOD_OVERRIDE=FY","FILING_STATUS=OR","EQY_CONSOLIDATED=Y","Sort=A","Dates=H","DateFormat=P","Fill=—","Direction=H","UseDPDF=Y")</f>
        <v>#NAME?</v>
      </c>
      <c r="AS603" s="1" t="e">
        <f ca="1">_xll.BDH($C$603,"ACCOUNTS_RECEIVABLE_5_YR_GROWTH","FY 2014","FY 2014","Currency=INR","Period=FY","BEST_FPERIOD_OVERRIDE=FY","FILING_STATUS=OR","EQY_CONSOLIDATED=Y","Sort=A","Dates=H","DateFormat=P","Fill=—","Direction=H","UseDPDF=Y")</f>
        <v>#NAME?</v>
      </c>
      <c r="AT603" s="1" t="e">
        <f ca="1">_xll.BDH($C$603,"INVENTORY_5_YEAR_GROWTH","FY 2014","FY 2014","Currency=INR","Period=FY","BEST_FPERIOD_OVERRIDE=FY","FILING_STATUS=OR","EQY_CONSOLIDATED=Y","Sort=A","Dates=H","DateFormat=P","Fill=—","Direction=H","UseDPDF=Y")</f>
        <v>#NAME?</v>
      </c>
      <c r="AU603" s="1" t="e">
        <f ca="1">_xll.BDH($C$603,"NET_FIXED_ASSETS_5_YEAR_GROWTH","FY 2014","FY 2014","Currency=INR","Period=FY","BEST_FPERIOD_OVERRIDE=FY","FILING_STATUS=OR","EQY_CONSOLIDATED=Y","Sort=A","Dates=H","DateFormat=P","Fill=—","Direction=H","UseDPDF=Y")</f>
        <v>#NAME?</v>
      </c>
      <c r="AV603" s="1" t="e">
        <f ca="1">_xll.BDH($C$603,"GEO_GROW_TOT_ASSET","FY 2014","FY 2014","Currency=INR","Period=FY","BEST_FPERIOD_OVERRIDE=FY","FILING_STATUS=OR","EQY_CONSOLIDATED=Y","Sort=A","Dates=H","DateFormat=P","Fill=—","Direction=H","UseDPDF=Y")</f>
        <v>#NAME?</v>
      </c>
      <c r="AW603" s="1" t="e">
        <f ca="1">_xll.BDH($C$603,"MODIFIED_WORKING_CPTL_5YR_GRWTH","FY 2014","FY 2014","Currency=INR","Period=FY","BEST_FPERIOD_OVERRIDE=FY","FILING_STATUS=OR","EQY_CONSOLIDATED=Y","Sort=A","Dates=H","DateFormat=P","Fill=—","Direction=H","UseDPDF=Y")</f>
        <v>#NAME?</v>
      </c>
      <c r="AX603" s="1" t="e">
        <f ca="1">_xll.BDH($C$603,"WORKING_CAPITAL_5_YEAR_GROWTH","FY 2014","FY 2014","Currency=INR","Period=FY","BEST_FPERIOD_OVERRIDE=FY","FILING_STATUS=OR","EQY_CONSOLIDATED=Y","Sort=A","Dates=H","DateFormat=P","Fill=—","Direction=H","UseDPDF=Y")</f>
        <v>#NAME?</v>
      </c>
      <c r="AY603" s="1" t="e">
        <f ca="1">_xll.BDH($C$603,"ACCOUNTS_PAYABLE_5_YEAR_GROWTH","FY 2014","FY 2014","Currency=INR","Period=FY","BEST_FPERIOD_OVERRIDE=FY","FILING_STATUS=OR","EQY_CONSOLIDATED=Y","Sort=A","Dates=H","DateFormat=P","Fill=—","Direction=H","UseDPDF=Y")</f>
        <v>#NAME?</v>
      </c>
      <c r="AZ603" s="1" t="e">
        <f ca="1">_xll.BDH($C$603,"SHORT_TERM_DEBT_5_YEAR_GROWTH","FY 2014","FY 2014","Currency=INR","Period=FY","BEST_FPERIOD_OVERRIDE=FY","FILING_STATUS=OR","EQY_CONSOLIDATED=Y","Sort=A","Dates=H","DateFormat=P","Fill=—","Direction=H","UseDPDF=Y")</f>
        <v>#NAME?</v>
      </c>
      <c r="BA603" s="1" t="e">
        <f ca="1">_xll.BDH($C$603,"TOTAL_DEBT_5_YEAR_GROWTH","FY 2014","FY 2014","Currency=INR","Period=FY","BEST_FPERIOD_OVERRIDE=FY","FILING_STATUS=OR","EQY_CONSOLIDATED=Y","Sort=A","Dates=H","DateFormat=P","Fill=—","Direction=H","UseDPDF=Y")</f>
        <v>#NAME?</v>
      </c>
      <c r="BB603" s="1" t="e">
        <f ca="1">_xll.BDH($C$603,"GEO_GROW_TOT_SHRHLDR_EQY","FY 2014","FY 2014","Currency=INR","Period=FY","BEST_FPERIOD_OVERRIDE=FY","FILING_STATUS=OR","EQY_CONSOLIDATED=Y","Sort=A","Dates=H","DateFormat=P","Fill=—","Direction=H","UseDPDF=Y")</f>
        <v>#NAME?</v>
      </c>
      <c r="BC603" s="1" t="e">
        <f ca="1">_xll.BDH($C$603,"TOTAL_CAPITAL_5_YEAR_GROWTH","FY 2014","FY 2014","Currency=INR","Period=FY","BEST_FPERIOD_OVERRIDE=FY","FILING_STATUS=OR","EQY_CONSOLIDATED=Y","Sort=A","Dates=H","DateFormat=P","Fill=—","Direction=H","UseDPDF=Y")</f>
        <v>#NAME?</v>
      </c>
      <c r="BD603" s="1" t="e">
        <f ca="1">_xll.BDH($C$603,"GEO_GROW_BOOK_VAL","FY 2014","FY 2014","Currency=INR","Period=FY","BEST_FPERIOD_OVERRIDE=FY","FILING_STATUS=OR","EQY_CONSOLIDATED=Y","Sort=A","Dates=H","DateFormat=P","Fill=—","Direction=H","UseDPDF=Y")</f>
        <v>#NAME?</v>
      </c>
      <c r="BE603" s="1" t="e">
        <f ca="1">_xll.BDH($C$603,"GEO_GROW_CASH_OPER_ACT","FY 2014","FY 2014","Currency=INR","Period=FY","BEST_FPERIOD_OVERRIDE=FY","FILING_STATUS=OR","EQY_CONSOLIDATED=Y","Sort=A","Dates=H","DateFormat=P","Fill=—","Direction=H","UseDPDF=Y")</f>
        <v>#NAME?</v>
      </c>
      <c r="BF603" s="1" t="e">
        <f ca="1">_xll.BDH($C$603,"REVENUE_SEQUENTIAL_GROWTH","FY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603" s="1" t="e">
        <f ca="1">_xll.BDH($C$603,"EBITDA_SEQUENTIAL_GROWTH","FY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603" s="1" t="e">
        <f ca="1">_xll.BDH($C$603,"OPERATING_INCOME_SEQ_GROWTH","FY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603" s="1" t="e">
        <f ca="1">_xll.BDH($C$603,"NET_INCOME_TO_COMMON_SEQ_GROWTH","FY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603" s="1" t="e">
        <f ca="1">_xll.BDH($C$603,"EPS_DILUTED_SEQUENTIAL_GROWTH","FY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603" s="1" t="e">
        <f ca="1">_xll.BDH($C$603,"DPS_SEQUENTIAL_GROWTH","FY 2014","FY 2014","Currency=INR","Period=FY","BEST_FPERIOD_OVERRIDE=FY","FILING_STATUS=OR","EQY_CONSOLIDATED=Y","Sort=A","Dates=H","DateFormat=P","Fill=—","Direction=H","UseDPDF=Y")</f>
        <v>#NAME?</v>
      </c>
      <c r="BL603" s="1" t="e">
        <f ca="1">_xll.BDH($C$603,"ACCOUNTS_RECEIVABLE_SEQ_GROWTH","FY 2014","FY 2014","Currency=INR","Period=FY","BEST_FPERIOD_OVERRIDE=FY","FILING_STATUS=OR","EQY_CONSOLIDATED=Y","Sort=A","Dates=H","DateFormat=P","Fill=—","Direction=H","UseDPDF=Y")</f>
        <v>#NAME?</v>
      </c>
      <c r="BM603" s="1" t="e">
        <f ca="1">_xll.BDH($C$603,"INVENTORY_SEQUENTIAL_GROWTH","FY 2014","FY 2014","Currency=INR","Period=FY","BEST_FPERIOD_OVERRIDE=FY","FILING_STATUS=OR","EQY_CONSOLIDATED=Y","Sort=A","Dates=H","DateFormat=P","Fill=—","Direction=H","UseDPDF=Y")</f>
        <v>#NAME?</v>
      </c>
      <c r="BN603" s="1" t="e">
        <f ca="1">_xll.BDH($C$603,"FIXED_ASSETS_SEQUENTIAL_GROWTH","FY 2014","FY 2014","Currency=INR","Period=FY","BEST_FPERIOD_OVERRIDE=FY","FILING_STATUS=OR","EQY_CONSOLIDATED=Y","Sort=A","Dates=H","DateFormat=P","Fill=—","Direction=H","UseDPDF=Y")</f>
        <v>#NAME?</v>
      </c>
      <c r="BO603" s="1" t="e">
        <f ca="1">_xll.BDH($C$603,"TOTAL_ASSETS_SEQUENTIAL_GROWTH","FY 2014","FY 2014","Currency=INR","Period=FY","BEST_FPERIOD_OVERRIDE=FY","FILING_STATUS=OR","EQY_CONSOLIDATED=Y","Sort=A","Dates=H","DateFormat=P","Fill=—","Direction=H","UseDPDF=Y")</f>
        <v>#NAME?</v>
      </c>
      <c r="BP603" s="1" t="e">
        <f ca="1">_xll.BDH($C$603,"MODIFIED_WORKING_CPTL_SEQ_GRWTH","FY 2014","FY 2014","Currency=INR","Period=FY","BEST_FPERIOD_OVERRIDE=FY","FILING_STATUS=OR","EQY_CONSOLIDATED=Y","Sort=A","Dates=H","DateFormat=P","Fill=—","Direction=H","UseDPDF=Y")</f>
        <v>#NAME?</v>
      </c>
      <c r="BQ603" s="1" t="e">
        <f ca="1">_xll.BDH($C$603,"WORKING_CAPITAL_SEQ_GROWTH","FY 2014","FY 2014","Currency=INR","Period=FY","BEST_FPERIOD_OVERRIDE=FY","FILING_STATUS=OR","EQY_CONSOLIDATED=Y","Sort=A","Dates=H","DateFormat=P","Fill=—","Direction=H","UseDPDF=Y")</f>
        <v>#NAME?</v>
      </c>
      <c r="BR603" s="1" t="e">
        <f ca="1">_xll.BDH($C$603,"ACCOUNTS_PAYABLE_SEQ_GROWTH","FY 2014","FY 2014","Currency=INR","Period=FY","BEST_FPERIOD_OVERRIDE=FY","FILING_STATUS=OR","EQY_CONSOLIDATED=Y","Sort=A","Dates=H","DateFormat=P","Fill=—","Direction=H","UseDPDF=Y")</f>
        <v>#NAME?</v>
      </c>
      <c r="BS603" s="1" t="e">
        <f ca="1">_xll.BDH($C$603,"ST_DEBT_SEQUENTIAL_GROWTH","FY 2014","FY 2014","Currency=INR","Period=FY","BEST_FPERIOD_OVERRIDE=FY","FILING_STATUS=OR","EQY_CONSOLIDATED=Y","Sort=A","Dates=H","DateFormat=P","Fill=—","Direction=H","UseDPDF=Y")</f>
        <v>#NAME?</v>
      </c>
      <c r="BT603" s="1" t="e">
        <f ca="1">_xll.BDH($C$603,"TOTAL_DEBT_SEQUENTIAL_GROWTH","FY 2014","FY 2014","Currency=INR","Period=FY","BEST_FPERIOD_OVERRIDE=FY","FILING_STATUS=OR","EQY_CONSOLIDATED=Y","Sort=A","Dates=H","DateFormat=P","Fill=—","Direction=H","UseDPDF=Y")</f>
        <v>#NAME?</v>
      </c>
      <c r="BU603" s="1" t="e">
        <f ca="1">_xll.BDH($C$603,"TOTAL_EQUITY_SEQUENTIAL_GROWTH","FY 2014","FY 2014","Currency=INR","Period=FY","BEST_FPERIOD_OVERRIDE=FY","FILING_STATUS=OR","EQY_CONSOLIDATED=Y","Sort=A","Dates=H","DateFormat=P","Fill=—","Direction=H","UseDPDF=Y")</f>
        <v>#NAME?</v>
      </c>
      <c r="BV603" s="1" t="e">
        <f ca="1">_xll.BDH($C$603,"TOTAL_CAPITAL_SEQUENTIAL_GROWTH","FY 2014","FY 2014","Currency=INR","Period=FY","BEST_FPERIOD_OVERRIDE=FY","FILING_STATUS=OR","EQY_CONSOLIDATED=Y","Sort=A","Dates=H","DateFormat=P","Fill=—","Direction=H","UseDPDF=Y")</f>
        <v>#NAME?</v>
      </c>
      <c r="BW603" s="1" t="e">
        <f ca="1">_xll.BDH($C$603,"BPS_SEQUENTIAL_GROWTH","FY 2014","FY 2014","Currency=INR","Period=FY","BEST_FPERIOD_OVERRIDE=FY","FILING_STATUS=OR","EQY_CONSOLIDATED=Y","Sort=A","Dates=H","DateFormat=P","Fill=—","Direction=H","UseDPDF=Y")</f>
        <v>#NAME?</v>
      </c>
      <c r="BX603" s="1" t="e">
        <f ca="1">_xll.BDH($C$603,"CFO_SEQUENTIAL_GROWTH","FY 2014","FY 2014","Currency=INR","Period=FY","BEST_FPERIOD_OVERRIDE=FY","FILING_STATUS=OR","EQY_CONSOLIDATED=Y","Sort=A","Dates=H","DateFormat=P","Fill=—","Direction=H","UseDPDF=Y")</f>
        <v>#NAME?</v>
      </c>
      <c r="BY603" s="2" t="e">
        <f ca="1">_xll.BDH($C$603,"SHORT_AND_LONG_TERM_DEBT","FY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603" s="2" t="e">
        <f ca="1">_xll.BDH($C$603,"BS_ST_BORROW","FY 2014","FY 2014","Currency=INR","Period=FY","BEST_FPERIOD_OVERRIDE=FY","FILING_STATUS=OR","EQY_CONSOLIDATED=Y","SCALING_FORMAT=MLN","Sort=A","Dates=H","DateFormat=P","Fill=—","Direction=H","UseDPDF=Y")</f>
        <v>#NAME?</v>
      </c>
      <c r="CA603" s="2" t="e">
        <f ca="1">_xll.BDH($C$603,"BS_LT_BORROW","FY 2014","FY 2014","Currency=INR","Period=FY","BEST_FPERIOD_OVERRIDE=FY","FILING_STATUS=OR","EQY_CONSOLIDATED=Y","SCALING_FORMAT=MLN","Sort=A","Dates=H","DateFormat=P","Fill=—","Direction=H","UseDPDF=Y")</f>
        <v>#NAME?</v>
      </c>
      <c r="CB603" s="1" t="e">
        <f ca="1">_xll.BDH($C$603,"TOT_DEBT_TO_EBITDA","FY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603" s="1" t="e">
        <f ca="1">_xll.BDH($C$603,"NET_DEBT_TO_EBITDA","FY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603" s="1" t="e">
        <f ca="1">_xll.BDH($C$603,"TOTAL_DEBT_TO_EBIT","FY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603" s="1" t="e">
        <f ca="1">_xll.BDH($C$603,"NET_DEBT_TO_EBIT","FY 2014","FY 2014","Currency=INR","Period=FY","BEST_FPERIOD_OVERRIDE=FY","FILING_STATUS=OR","EQY_CONSOLIDATED=Y","FA_ADJUSTED=GAAP","Sort=A","Dates=H","DateFormat=P","Fill=—","Direction=H","UseDPDF=Y")</f>
        <v>#NAME?</v>
      </c>
      <c r="CF603" s="1" t="e">
        <f ca="1">_xll.BDH($C$603,"EBITDA_TO_INTEREST_EXPN","FY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603" s="1" t="e">
        <f ca="1">_xll.BDH($C$603,"COM_EQY_TO_TOT_ASSET","FY 2014","FY 2014","Currency=INR","Period=FY","BEST_FPERIOD_OVERRIDE=FY","FILING_STATUS=OR","EQY_CONSOLIDATED=Y","Sort=A","Dates=H","DateFormat=P","Fill=—","Direction=H","UseDPDF=Y")</f>
        <v>#NAME?</v>
      </c>
      <c r="CH603" s="1" t="e">
        <f ca="1">_xll.BDH($C$603,"LT_DEBT_TO_TOT_EQY","FY 2014","FY 2014","Currency=INR","Period=FY","BEST_FPERIOD_OVERRIDE=FY","FILING_STATUS=OR","EQY_CONSOLIDATED=Y","Sort=A","Dates=H","DateFormat=P","Fill=—","Direction=H","UseDPDF=Y")</f>
        <v>#NAME?</v>
      </c>
      <c r="CI603" s="1" t="e">
        <f ca="1">_xll.BDH($C$603,"LT_DEBT_TO_TOT_CAP","FY 2014","FY 2014","Currency=INR","Period=FY","BEST_FPERIOD_OVERRIDE=FY","FILING_STATUS=OR","EQY_CONSOLIDATED=Y","Sort=A","Dates=H","DateFormat=P","Fill=—","Direction=H","UseDPDF=Y")</f>
        <v>#NAME?</v>
      </c>
      <c r="CJ603" s="1" t="e">
        <f ca="1">_xll.BDH($C$603,"LT_DEBT_TO_TOT_ASSET","FY 2014","FY 2014","Currency=INR","Period=FY","BEST_FPERIOD_OVERRIDE=FY","FILING_STATUS=OR","EQY_CONSOLIDATED=Y","Sort=A","Dates=H","DateFormat=P","Fill=—","Direction=H","UseDPDF=Y")</f>
        <v>#NAME?</v>
      </c>
      <c r="CK603" s="1" t="e">
        <f ca="1">_xll.BDH($C$603,"TOT_DEBT_TO_TOT_EQY","FY 2014","FY 2014","Currency=INR","Period=FY","BEST_FPERIOD_OVERRIDE=FY","FILING_STATUS=OR","EQY_CONSOLIDATED=Y","Sort=A","Dates=H","DateFormat=P","Fill=—","Direction=H","UseDPDF=Y")</f>
        <v>#NAME?</v>
      </c>
      <c r="CL603" s="1" t="e">
        <f ca="1">_xll.BDH($C$603,"TOT_DEBT_TO_TOT_CAP","FY 2014","FY 2014","Currency=INR","Period=FY","BEST_FPERIOD_OVERRIDE=FY","FILING_STATUS=OR","EQY_CONSOLIDATED=Y","Sort=A","Dates=H","DateFormat=P","Fill=—","Direction=H","UseDPDF=Y")</f>
        <v>#NAME?</v>
      </c>
      <c r="CM603" s="1" t="e">
        <f ca="1">_xll.BDH($C$603,"TOT_DEBT_TO_TOT_ASSET","FY 2014","FY 2014","Currency=INR","Period=FY","BEST_FPERIOD_OVERRIDE=FY","FILING_STATUS=OR","EQY_CONSOLIDATED=Y","Sort=A","Dates=H","DateFormat=P","Fill=—","Direction=H","UseDPDF=Y")</f>
        <v>#NAME?</v>
      </c>
      <c r="CN603" s="1" t="e">
        <f ca="1">_xll.BDH($C$603,"NET_DEBT_TO_SHRHLDR_EQTY","FY 2014","FY 2014","Currency=INR","Period=FY","BEST_FPERIOD_OVERRIDE=FY","FILING_STATUS=OR","EQY_CONSOLIDATED=Y","Sort=A","Dates=H","DateFormat=P","Fill=—","Direction=H","UseDPDF=Y")</f>
        <v>#NAME?</v>
      </c>
      <c r="CO603" s="1" t="e">
        <f ca="1">_xll.BDH($C$603,"NET_DEBT_%_CAPITAL","FY 2014","FY 2014","Currency=INR","Period=FY","BEST_FPERIOD_OVERRIDE=FY","FILING_STATUS=OR","EQY_CONSOLIDATED=Y","Sort=A","Dates=H","DateFormat=P","Fill=—","Direction=H","UseDPDF=Y")</f>
        <v>#NAME?</v>
      </c>
      <c r="CP603" s="2" t="e">
        <f ca="1">_xll.BDH($C$603,"EBITDA","FY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603" s="2" t="e">
        <f ca="1">_xll.BDH($C$603,"EBITDA_AFTER_CAPEX","FY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603" s="2" t="e">
        <f ca="1">_xll.BDH($C$603,"IS_OPER_INC","FY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603" s="1" t="e">
        <f ca="1">_xll.BDH($C$603,"CASH_RATIO","FY 2014","FY 2014","Currency=INR","Period=FY","BEST_FPERIOD_OVERRIDE=FY","FILING_STATUS=OR","EQY_CONSOLIDATED=Y","Sort=A","Dates=H","DateFormat=P","Fill=—","Direction=H","UseDPDF=Y")</f>
        <v>#NAME?</v>
      </c>
      <c r="CT603" s="1" t="e">
        <f ca="1">_xll.BDH($C$603,"CUR_RATIO","FY 2014","FY 2014","Currency=INR","Period=FY","BEST_FPERIOD_OVERRIDE=FY","FILING_STATUS=OR","EQY_CONSOLIDATED=Y","Sort=A","Dates=H","DateFormat=P","Fill=—","Direction=H","UseDPDF=Y")</f>
        <v>#NAME?</v>
      </c>
      <c r="CU603" s="1" t="e">
        <f ca="1">_xll.BDH($C$603,"QUICK_RATIO","FY 2014","FY 2014","Currency=INR","Period=FY","BEST_FPERIOD_OVERRIDE=FY","FILING_STATUS=OR","EQY_CONSOLIDATED=Y","Sort=A","Dates=H","DateFormat=P","Fill=—","Direction=H","UseDPDF=Y")</f>
        <v>#NAME?</v>
      </c>
      <c r="CV603" s="1" t="e">
        <f ca="1">_xll.BDH($C$603,"ALTMAN_Z_SCORE","FY 2014","FY 2014","Currency=INR","Period=FY","BEST_FPERIOD_OVERRIDE=FY","FILING_STATUS=OR","EQY_CONSOLIDATED=Y","Sort=A","Dates=H","DateFormat=P","Fill=—","Direction=H","UseDPDF=Y")</f>
        <v>#NAME?</v>
      </c>
      <c r="CW603" s="3" t="e">
        <f ca="1">_xll.BDH($C$603,"ACCT_RCV_TURN","FY 2014","FY 2014","Currency=INR","Period=FY","BEST_FPERIOD_OVERRIDE=FY","FILING_STATUS=OR","EQY_CONSOLIDATED=Y","FA_ADJUSTED=GAAP","Sort=A","Dates=H","DateFormat=P","Fill=—","Direction=H","UseDPDF=Y")</f>
        <v>#NAME?</v>
      </c>
      <c r="CX603" s="1" t="e">
        <f ca="1">_xll.BDH($C$603,"ACCT_RCV_DAYS","FY 2014","FY 2014","Currency=INR","Period=FY","BEST_FPERIOD_OVERRIDE=FY","FILING_STATUS=OR","EQY_CONSOLIDATED=Y","FA_ADJUSTED=GAAP","Sort=A","Dates=H","DateFormat=P","Fill=—","Direction=H","UseDPDF=Y")</f>
        <v>#NAME?</v>
      </c>
      <c r="CY603" s="3" t="e">
        <f ca="1">_xll.BDH($C$603,"INVENT_TURN","FY 2014","FY 2014","Currency=INR","Period=FY","BEST_FPERIOD_OVERRIDE=FY","FILING_STATUS=OR","EQY_CONSOLIDATED=Y","FA_ADJUSTED=GAAP","Sort=A","Dates=H","DateFormat=P","Fill=—","Direction=H","UseDPDF=Y")</f>
        <v>#NAME?</v>
      </c>
      <c r="CZ603" s="1" t="e">
        <f ca="1">_xll.BDH($C$603,"INVENT_DAYS","FY 2014","FY 2014","Currency=INR","Period=FY","BEST_FPERIOD_OVERRIDE=FY","FILING_STATUS=OR","EQY_CONSOLIDATED=Y","FA_ADJUSTED=GAAP","Sort=A","Dates=H","DateFormat=P","Fill=—","Direction=H","UseDPDF=Y")</f>
        <v>#NAME?</v>
      </c>
      <c r="DA603" s="3" t="e">
        <f ca="1">_xll.BDH($C$603,"ACCOUNTS_PAYABLE_TURNOVER","FY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603" s="1" t="e">
        <f ca="1">_xll.BDH($C$603,"ACCOUNTS_PAYABLE_TURNOVER_DAYS","FY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603" s="3" t="e">
        <f ca="1">_xll.BDH($C$603,"CASH_CONVERSION_CYCLE","FY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603" s="3" t="e">
        <f ca="1">_xll.BDH($C$603,"INV_TO_CASH_DAYS","FY 2014","FY 2014","Currency=INR","Period=FY","BEST_FPERIOD_OVERRIDE=FY","FILING_STATUS=OR","EQY_CONSOLIDATED=Y","FA_ADJUSTED=GAAP","Sort=A","Dates=H","DateFormat=P","Fill=—","Direction=H","UseDPDF=Y")</f>
        <v>#NAME?</v>
      </c>
      <c r="DE603" s="4" t="e">
        <f ca="1">_xll.BDH($C$603,"BS_INVENTORIES","FY 2014","FY 2014","Currency=INR","Period=FY","BEST_FPERIOD_OVERRIDE=FY","FILING_STATUS=OR","EQY_CONSOLIDATED=Y","SCALING_FORMAT=MLN","Sort=A","Dates=H","DateFormat=P","Fill=—","Direction=H","UseDPDF=Y")</f>
        <v>#NAME?</v>
      </c>
      <c r="DF603" s="2" t="e">
        <f ca="1">_xll.BDH($C$603,"INVTRY_RAW_MATERIALS","FY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603" s="2" t="e">
        <f ca="1">_xll.BDH($C$603,"INVTRY_IN_PROGRESS","FY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603" s="2" t="e">
        <f ca="1">_xll.BDH($C$603,"INVTRY_FINISHED_GOODS","FY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603" s="2" t="e">
        <f ca="1">_xll.BDH($C$603,"BS_OTHER_INV","FY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604" spans="1:113" x14ac:dyDescent="0.3">
      <c r="A604" s="6"/>
      <c r="B604" s="6"/>
      <c r="C604" s="6"/>
      <c r="D604" s="6"/>
      <c r="E604" t="s">
        <v>4</v>
      </c>
      <c r="F604" t="e">
        <f ca="1">_xll.BDH($C$603,"RETURN_COM_EQY","FQ1 2014","FQ1 2014","Currency=INR","Period=FQ","BEST_FPERIOD_OVERRIDE=FQ","FILING_STATUS=OR","EQY_CONSOLIDATED=Y","FA_ADJUSTED=GAAP","Sort=A","Dates=H","DateFormat=P","Fill=—","Direction=H","UseDPDF=Y")</f>
        <v>#NAME?</v>
      </c>
      <c r="G604" t="e">
        <f ca="1">_xll.BDH($C$603,"RETURN_ON_ASSET","FQ1 2014","FQ1 2014","Currency=INR","Period=FQ","BEST_FPERIOD_OVERRIDE=FQ","FILING_STATUS=OR","EQY_CONSOLIDATED=Y","FA_ADJUSTED=GAAP","Sort=A","Dates=H","DateFormat=P","Fill=—","Direction=H","UseDPDF=Y")</f>
        <v>#NAME?</v>
      </c>
      <c r="H604" t="e">
        <f ca="1">_xll.BDH($C$603,"RETURN_ON_CAP","FQ1 2014","FQ1 2014","Currency=INR","Period=FQ","BEST_FPERIOD_OVERRIDE=FQ","FILING_STATUS=OR","EQY_CONSOLIDATED=Y","FA_ADJUSTED=GAAP","Sort=A","Dates=H","DateFormat=P","Fill=—","Direction=H","UseDPDF=Y")</f>
        <v>#NAME?</v>
      </c>
      <c r="I604" t="e">
        <f ca="1">_xll.BDH($C$603,"RETURN_ON_INV_CAPITAL","FQ1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604" t="e">
        <f ca="1">_xll.BDH($C$603,"EBITDA_TO_REVENUE","FQ1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604" t="e">
        <f ca="1">_xll.BDH($C$603,"OPER_MARGIN","FQ1 2014","FQ1 2014","Currency=INR","Period=FQ","BEST_FPERIOD_OVERRIDE=FQ","FILING_STATUS=OR","EQY_CONSOLIDATED=Y","FA_ADJUSTED=GAAP","Sort=A","Dates=H","DateFormat=P","Fill=—","Direction=H","UseDPDF=Y")</f>
        <v>#NAME?</v>
      </c>
      <c r="L604" t="e">
        <f ca="1">_xll.BDH($C$603,"INCREMENTAL_OPERATING_MARGIN","FQ1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604" t="e">
        <f ca="1">_xll.BDH($C$603,"PRETAX_INC_TO_NET_SALES","FQ1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604" t="e">
        <f ca="1">_xll.BDH($C$603,"INC_BEF_XO_ITEMS_TO_NET_SALES","FQ1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604" t="e">
        <f ca="1">_xll.BDH($C$603,"PROF_MARGIN","FQ1 2014","FQ1 2014","Currency=INR","Period=FQ","BEST_FPERIOD_OVERRIDE=FQ","FILING_STATUS=OR","EQY_CONSOLIDATED=Y","FA_ADJUSTED=GAAP","Sort=A","Dates=H","DateFormat=P","Fill=—","Direction=H","UseDPDF=Y")</f>
        <v>#NAME?</v>
      </c>
      <c r="P604" t="e">
        <f ca="1">_xll.BDH($C$603,"NET_INCOME_TO_COMMON_MARGIN","FQ1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604" t="e">
        <f ca="1">_xll.BDH($C$603,"EFF_TAX_RATE","FQ1 2014","FQ1 2014","Currency=INR","Period=FQ","BEST_FPERIOD_OVERRIDE=FQ","FILING_STATUS=OR","EQY_CONSOLIDATED=Y","FA_ADJUSTED=GAAP","Sort=A","Dates=H","DateFormat=P","Fill=—","Direction=H","UseDPDF=Y")</f>
        <v>#NAME?</v>
      </c>
      <c r="R604" t="e">
        <f ca="1">_xll.BDH($C$603,"DVD_PAYOUT_RATIO","FQ1 2014","FQ1 2014","Currency=INR","Period=FQ","BEST_FPERIOD_OVERRIDE=FQ","FILING_STATUS=OR","EQY_CONSOLIDATED=Y","FA_ADJUSTED=GAAP","Sort=A","Dates=H","DateFormat=P","Fill=—","Direction=H","UseDPDF=Y")</f>
        <v>#NAME?</v>
      </c>
      <c r="S604" t="e">
        <f ca="1">_xll.BDH($C$603,"SUSTAIN_GROWTH_RT","FQ1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604" s="1" t="e">
        <f ca="1">_xll.BDH($C$603,"SALES_GROWTH","FQ1 2014","FQ1 2014","Currency=INR","Period=FQ","BEST_FPERIOD_OVERRIDE=FQ","FILING_STATUS=OR","EQY_CONSOLIDATED=Y","FA_ADJUSTED=GAAP","Sort=A","Dates=H","DateFormat=P","Fill=—","Direction=H","UseDPDF=Y")</f>
        <v>#NAME?</v>
      </c>
      <c r="U604" s="1" t="e">
        <f ca="1">_xll.BDH($C$603,"EBITDA_GROWTH","FQ1 2014","FQ1 2014","Currency=INR","Period=FQ","BEST_FPERIOD_OVERRIDE=FQ","FILING_STATUS=OR","EQY_CONSOLIDATED=Y","FA_ADJUSTED=GAAP","Sort=A","Dates=H","DateFormat=P","Fill=—","Direction=H","UseDPDF=Y")</f>
        <v>#NAME?</v>
      </c>
      <c r="V604" s="1" t="e">
        <f ca="1">_xll.BDH($C$603,"OPER_INC_GROWTH","FQ1 2014","FQ1 2014","Currency=INR","Period=FQ","BEST_FPERIOD_OVERRIDE=FQ","FILING_STATUS=OR","EQY_CONSOLIDATED=Y","FA_ADJUSTED=GAAP","Sort=A","Dates=H","DateFormat=P","Fill=—","Direction=H","UseDPDF=Y")</f>
        <v>#NAME?</v>
      </c>
      <c r="W604" s="1" t="e">
        <f ca="1">_xll.BDH($C$603,"EARN_FOR_COM_GROWTH","FQ1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604" s="1" t="e">
        <f ca="1">_xll.BDH($C$603,"DILUTED_EPS_AFT_XO_ITEMS_GROWTH","FQ1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604" s="1" t="e">
        <f ca="1">_xll.BDH($C$603,"DIVIDEND_PER_SHARE_1_YEAR_GROWTH","FQ1 2014","FQ1 2014","Currency=INR","Period=FQ","BEST_FPERIOD_OVERRIDE=FQ","FILING_STATUS=OR","EQY_CONSOLIDATED=Y","Sort=A","Dates=H","DateFormat=P","Fill=—","Direction=H","UseDPDF=Y")</f>
        <v>#NAME?</v>
      </c>
      <c r="Z604" s="1" t="e">
        <f ca="1">_xll.BDH($C$603,"ACCOUNTS_RECEIVABLE_GROWTH","FQ1 2014","FQ1 2014","Currency=INR","Period=FQ","BEST_FPERIOD_OVERRIDE=FQ","FILING_STATUS=OR","EQY_CONSOLIDATED=Y","Sort=A","Dates=H","DateFormat=P","Fill=—","Direction=H","UseDPDF=Y")</f>
        <v>#NAME?</v>
      </c>
      <c r="AA604" s="1" t="e">
        <f ca="1">_xll.BDH($C$603,"INVENTORY_GROWTH","FQ1 2014","FQ1 2014","Currency=INR","Period=FQ","BEST_FPERIOD_OVERRIDE=FQ","FILING_STATUS=OR","EQY_CONSOLIDATED=Y","Sort=A","Dates=H","DateFormat=P","Fill=—","Direction=H","UseDPDF=Y")</f>
        <v>#NAME?</v>
      </c>
      <c r="AB604" s="1" t="e">
        <f ca="1">_xll.BDH($C$603,"NET_FIXED_ASSETS_1_YEAR_GROWTH","FQ1 2014","FQ1 2014","Currency=INR","Period=FQ","BEST_FPERIOD_OVERRIDE=FQ","FILING_STATUS=OR","EQY_CONSOLIDATED=Y","Sort=A","Dates=H","DateFormat=P","Fill=—","Direction=H","UseDPDF=Y")</f>
        <v>#NAME?</v>
      </c>
      <c r="AC604" s="1" t="e">
        <f ca="1">_xll.BDH($C$603,"ASSET_GROWTH","FQ1 2014","FQ1 2014","Currency=INR","Period=FQ","BEST_FPERIOD_OVERRIDE=FQ","FILING_STATUS=OR","EQY_CONSOLIDATED=Y","Sort=A","Dates=H","DateFormat=P","Fill=—","Direction=H","UseDPDF=Y")</f>
        <v>#NAME?</v>
      </c>
      <c r="AD604" s="1" t="e">
        <f ca="1">_xll.BDH($C$603,"MODIFIED_WORK_CAP_GROWTH","FQ1 2014","FQ1 2014","Currency=INR","Period=FQ","BEST_FPERIOD_OVERRIDE=FQ","FILING_STATUS=OR","EQY_CONSOLIDATED=Y","Sort=A","Dates=H","DateFormat=P","Fill=—","Direction=H","UseDPDF=Y")</f>
        <v>#NAME?</v>
      </c>
      <c r="AE604" s="1" t="e">
        <f ca="1">_xll.BDH($C$603,"WORK_CAP_GROWTH","FQ1 2014","FQ1 2014","Currency=INR","Period=FQ","BEST_FPERIOD_OVERRIDE=FQ","FILING_STATUS=OR","EQY_CONSOLIDATED=Y","Sort=A","Dates=H","DateFormat=P","Fill=—","Direction=H","UseDPDF=Y")</f>
        <v>#NAME?</v>
      </c>
      <c r="AF604" s="1" t="e">
        <f ca="1">_xll.BDH($C$603,"ACCOUNTS_PAYABLE_GROWTH_1YR","FQ1 2014","FQ1 2014","Currency=INR","Period=FQ","BEST_FPERIOD_OVERRIDE=FQ","FILING_STATUS=OR","EQY_CONSOLIDATED=Y","Sort=A","Dates=H","DateFormat=P","Fill=—","Direction=H","UseDPDF=Y")</f>
        <v>#NAME?</v>
      </c>
      <c r="AG604" s="1" t="e">
        <f ca="1">_xll.BDH($C$603,"SHORT_TERM_DEBT_1_YEAR_GROWTH","FQ1 2014","FQ1 2014","Currency=INR","Period=FQ","BEST_FPERIOD_OVERRIDE=FQ","FILING_STATUS=OR","EQY_CONSOLIDATED=Y","Sort=A","Dates=H","DateFormat=P","Fill=—","Direction=H","UseDPDF=Y")</f>
        <v>#NAME?</v>
      </c>
      <c r="AH604" s="1" t="e">
        <f ca="1">_xll.BDH($C$603,"TOTAL_DEBT_1_YEAR_GROWTH","FQ1 2014","FQ1 2014","Currency=INR","Period=FQ","BEST_FPERIOD_OVERRIDE=FQ","FILING_STATUS=OR","EQY_CONSOLIDATED=Y","Sort=A","Dates=H","DateFormat=P","Fill=—","Direction=H","UseDPDF=Y")</f>
        <v>#NAME?</v>
      </c>
      <c r="AI604" s="1" t="e">
        <f ca="1">_xll.BDH($C$603,"TOTAL_EQUITY_1_YEAR_GROWTH","FQ1 2014","FQ1 2014","Currency=INR","Period=FQ","BEST_FPERIOD_OVERRIDE=FQ","FILING_STATUS=OR","EQY_CONSOLIDATED=Y","Sort=A","Dates=H","DateFormat=P","Fill=—","Direction=H","UseDPDF=Y")</f>
        <v>#NAME?</v>
      </c>
      <c r="AJ604" s="1" t="e">
        <f ca="1">_xll.BDH($C$603,"GROWTH_IN_CAP","FQ1 2014","FQ1 2014","Currency=INR","Period=FQ","BEST_FPERIOD_OVERRIDE=FQ","FILING_STATUS=OR","EQY_CONSOLIDATED=Y","Sort=A","Dates=H","DateFormat=P","Fill=—","Direction=H","UseDPDF=Y")</f>
        <v>#NAME?</v>
      </c>
      <c r="AK604" s="1" t="e">
        <f ca="1">_xll.BDH($C$603,"BVPS_GROWTH","FQ1 2014","FQ1 2014","Currency=INR","Period=FQ","BEST_FPERIOD_OVERRIDE=FQ","FILING_STATUS=OR","EQY_CONSOLIDATED=Y","Sort=A","Dates=H","DateFormat=P","Fill=—","Direction=H","UseDPDF=Y")</f>
        <v>#NAME?</v>
      </c>
      <c r="AL604" s="1" t="e">
        <f ca="1">_xll.BDH($C$603,"CASH_FLOW_GROWTH","FQ1 2014","FQ1 2014","Currency=INR","Period=FQ","BEST_FPERIOD_OVERRIDE=FQ","FILING_STATUS=OR","EQY_CONSOLIDATED=Y","Sort=A","Dates=H","DateFormat=P","Fill=—","Direction=H","UseDPDF=Y")</f>
        <v>#NAME?</v>
      </c>
      <c r="AM604" s="1" t="e">
        <f ca="1">_xll.BDH($C$603,"GEO_GROW_NET_SALES","FQ1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604" s="1" t="e">
        <f ca="1">_xll.BDH($C$603,"GEO_GROW_EBITDA","FQ1 2014","FQ1 2014","Currency=INR","Period=FQ","BEST_FPERIOD_OVERRIDE=FQ","FILING_STATUS=OR","EQY_CONSOLIDATED=Y","FA_ADJUSTED=GAAP","Sort=A","Dates=H","DateFormat=P","Fill=—","Direction=H","UseDPDF=Y")</f>
        <v>#NAME?</v>
      </c>
      <c r="AO604" s="1" t="e">
        <f ca="1">_xll.BDH($C$603,"GEO_GROW_OPER_INC","FQ1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604" s="1" t="e">
        <f ca="1">_xll.BDH($C$603,"NET_INCOME_TO_COMMON_5_YR_GROWTH","FQ1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604" s="1" t="e">
        <f ca="1">_xll.BDH($C$603,"5Y_GEO_GROWTH_DILUTED_EPS","FQ1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604" s="1" t="e">
        <f ca="1">_xll.BDH($C$603,"GEO_GROW_DVD_PER_SH","FQ1 2014","FQ1 2014","Currency=INR","Period=FQ","BEST_FPERIOD_OVERRIDE=FQ","FILING_STATUS=OR","EQY_CONSOLIDATED=Y","Sort=A","Dates=H","DateFormat=P","Fill=—","Direction=H","UseDPDF=Y")</f>
        <v>#NAME?</v>
      </c>
      <c r="AS604" s="1" t="e">
        <f ca="1">_xll.BDH($C$603,"ACCOUNTS_RECEIVABLE_5_YR_GROWTH","FQ1 2014","FQ1 2014","Currency=INR","Period=FQ","BEST_FPERIOD_OVERRIDE=FQ","FILING_STATUS=OR","EQY_CONSOLIDATED=Y","Sort=A","Dates=H","DateFormat=P","Fill=—","Direction=H","UseDPDF=Y")</f>
        <v>#NAME?</v>
      </c>
      <c r="AT604" s="1" t="e">
        <f ca="1">_xll.BDH($C$603,"INVENTORY_5_YEAR_GROWTH","FQ1 2014","FQ1 2014","Currency=INR","Period=FQ","BEST_FPERIOD_OVERRIDE=FQ","FILING_STATUS=OR","EQY_CONSOLIDATED=Y","Sort=A","Dates=H","DateFormat=P","Fill=—","Direction=H","UseDPDF=Y")</f>
        <v>#NAME?</v>
      </c>
      <c r="AU604" s="1" t="e">
        <f ca="1">_xll.BDH($C$603,"NET_FIXED_ASSETS_5_YEAR_GROWTH","FQ1 2014","FQ1 2014","Currency=INR","Period=FQ","BEST_FPERIOD_OVERRIDE=FQ","FILING_STATUS=OR","EQY_CONSOLIDATED=Y","Sort=A","Dates=H","DateFormat=P","Fill=—","Direction=H","UseDPDF=Y")</f>
        <v>#NAME?</v>
      </c>
      <c r="AV604" s="1" t="e">
        <f ca="1">_xll.BDH($C$603,"GEO_GROW_TOT_ASSET","FQ1 2014","FQ1 2014","Currency=INR","Period=FQ","BEST_FPERIOD_OVERRIDE=FQ","FILING_STATUS=OR","EQY_CONSOLIDATED=Y","Sort=A","Dates=H","DateFormat=P","Fill=—","Direction=H","UseDPDF=Y")</f>
        <v>#NAME?</v>
      </c>
      <c r="AW604" s="1" t="e">
        <f ca="1">_xll.BDH($C$603,"MODIFIED_WORKING_CPTL_5YR_GRWTH","FQ1 2014","FQ1 2014","Currency=INR","Period=FQ","BEST_FPERIOD_OVERRIDE=FQ","FILING_STATUS=OR","EQY_CONSOLIDATED=Y","Sort=A","Dates=H","DateFormat=P","Fill=—","Direction=H","UseDPDF=Y")</f>
        <v>#NAME?</v>
      </c>
      <c r="AX604" s="1" t="e">
        <f ca="1">_xll.BDH($C$603,"WORKING_CAPITAL_5_YEAR_GROWTH","FQ1 2014","FQ1 2014","Currency=INR","Period=FQ","BEST_FPERIOD_OVERRIDE=FQ","FILING_STATUS=OR","EQY_CONSOLIDATED=Y","Sort=A","Dates=H","DateFormat=P","Fill=—","Direction=H","UseDPDF=Y")</f>
        <v>#NAME?</v>
      </c>
      <c r="AY604" s="1" t="e">
        <f ca="1">_xll.BDH($C$603,"ACCOUNTS_PAYABLE_5_YEAR_GROWTH","FQ1 2014","FQ1 2014","Currency=INR","Period=FQ","BEST_FPERIOD_OVERRIDE=FQ","FILING_STATUS=OR","EQY_CONSOLIDATED=Y","Sort=A","Dates=H","DateFormat=P","Fill=—","Direction=H","UseDPDF=Y")</f>
        <v>#NAME?</v>
      </c>
      <c r="AZ604" s="1" t="e">
        <f ca="1">_xll.BDH($C$603,"SHORT_TERM_DEBT_5_YEAR_GROWTH","FQ1 2014","FQ1 2014","Currency=INR","Period=FQ","BEST_FPERIOD_OVERRIDE=FQ","FILING_STATUS=OR","EQY_CONSOLIDATED=Y","Sort=A","Dates=H","DateFormat=P","Fill=—","Direction=H","UseDPDF=Y")</f>
        <v>#NAME?</v>
      </c>
      <c r="BA604" s="1" t="e">
        <f ca="1">_xll.BDH($C$603,"TOTAL_DEBT_5_YEAR_GROWTH","FQ1 2014","FQ1 2014","Currency=INR","Period=FQ","BEST_FPERIOD_OVERRIDE=FQ","FILING_STATUS=OR","EQY_CONSOLIDATED=Y","Sort=A","Dates=H","DateFormat=P","Fill=—","Direction=H","UseDPDF=Y")</f>
        <v>#NAME?</v>
      </c>
      <c r="BB604" s="1" t="e">
        <f ca="1">_xll.BDH($C$603,"GEO_GROW_TOT_SHRHLDR_EQY","FQ1 2014","FQ1 2014","Currency=INR","Period=FQ","BEST_FPERIOD_OVERRIDE=FQ","FILING_STATUS=OR","EQY_CONSOLIDATED=Y","Sort=A","Dates=H","DateFormat=P","Fill=—","Direction=H","UseDPDF=Y")</f>
        <v>#NAME?</v>
      </c>
      <c r="BC604" s="1" t="e">
        <f ca="1">_xll.BDH($C$603,"TOTAL_CAPITAL_5_YEAR_GROWTH","FQ1 2014","FQ1 2014","Currency=INR","Period=FQ","BEST_FPERIOD_OVERRIDE=FQ","FILING_STATUS=OR","EQY_CONSOLIDATED=Y","Sort=A","Dates=H","DateFormat=P","Fill=—","Direction=H","UseDPDF=Y")</f>
        <v>#NAME?</v>
      </c>
      <c r="BD604" s="1" t="e">
        <f ca="1">_xll.BDH($C$603,"GEO_GROW_BOOK_VAL","FQ1 2014","FQ1 2014","Currency=INR","Period=FQ","BEST_FPERIOD_OVERRIDE=FQ","FILING_STATUS=OR","EQY_CONSOLIDATED=Y","Sort=A","Dates=H","DateFormat=P","Fill=—","Direction=H","UseDPDF=Y")</f>
        <v>#NAME?</v>
      </c>
      <c r="BE604" s="1" t="e">
        <f ca="1">_xll.BDH($C$603,"GEO_GROW_CASH_OPER_ACT","FQ1 2014","FQ1 2014","Currency=INR","Period=FQ","BEST_FPERIOD_OVERRIDE=FQ","FILING_STATUS=OR","EQY_CONSOLIDATED=Y","Sort=A","Dates=H","DateFormat=P","Fill=—","Direction=H","UseDPDF=Y")</f>
        <v>#NAME?</v>
      </c>
      <c r="BF604" s="1" t="e">
        <f ca="1">_xll.BDH($C$603,"REVENUE_SEQUENTIAL_GROWTH","FQ1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604" s="1" t="e">
        <f ca="1">_xll.BDH($C$603,"EBITDA_SEQUENTIAL_GROWTH","FQ1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604" s="1" t="e">
        <f ca="1">_xll.BDH($C$603,"OPERATING_INCOME_SEQ_GROWTH","FQ1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604" s="1" t="e">
        <f ca="1">_xll.BDH($C$603,"NET_INCOME_TO_COMMON_SEQ_GROWTH","FQ1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604" s="1" t="e">
        <f ca="1">_xll.BDH($C$603,"EPS_DILUTED_SEQUENTIAL_GROWTH","FQ1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604" s="1" t="e">
        <f ca="1">_xll.BDH($C$603,"DPS_SEQUENTIAL_GROWTH","FQ1 2014","FQ1 2014","Currency=INR","Period=FQ","BEST_FPERIOD_OVERRIDE=FQ","FILING_STATUS=OR","EQY_CONSOLIDATED=Y","Sort=A","Dates=H","DateFormat=P","Fill=—","Direction=H","UseDPDF=Y")</f>
        <v>#NAME?</v>
      </c>
      <c r="BL604" s="1" t="e">
        <f ca="1">_xll.BDH($C$603,"ACCOUNTS_RECEIVABLE_SEQ_GROWTH","FQ1 2014","FQ1 2014","Currency=INR","Period=FQ","BEST_FPERIOD_OVERRIDE=FQ","FILING_STATUS=OR","EQY_CONSOLIDATED=Y","Sort=A","Dates=H","DateFormat=P","Fill=—","Direction=H","UseDPDF=Y")</f>
        <v>#NAME?</v>
      </c>
      <c r="BM604" s="1" t="e">
        <f ca="1">_xll.BDH($C$603,"INVENTORY_SEQUENTIAL_GROWTH","FQ1 2014","FQ1 2014","Currency=INR","Period=FQ","BEST_FPERIOD_OVERRIDE=FQ","FILING_STATUS=OR","EQY_CONSOLIDATED=Y","Sort=A","Dates=H","DateFormat=P","Fill=—","Direction=H","UseDPDF=Y")</f>
        <v>#NAME?</v>
      </c>
      <c r="BN604" s="1" t="e">
        <f ca="1">_xll.BDH($C$603,"FIXED_ASSETS_SEQUENTIAL_GROWTH","FQ1 2014","FQ1 2014","Currency=INR","Period=FQ","BEST_FPERIOD_OVERRIDE=FQ","FILING_STATUS=OR","EQY_CONSOLIDATED=Y","Sort=A","Dates=H","DateFormat=P","Fill=—","Direction=H","UseDPDF=Y")</f>
        <v>#NAME?</v>
      </c>
      <c r="BO604" s="1" t="e">
        <f ca="1">_xll.BDH($C$603,"TOTAL_ASSETS_SEQUENTIAL_GROWTH","FQ1 2014","FQ1 2014","Currency=INR","Period=FQ","BEST_FPERIOD_OVERRIDE=FQ","FILING_STATUS=OR","EQY_CONSOLIDATED=Y","Sort=A","Dates=H","DateFormat=P","Fill=—","Direction=H","UseDPDF=Y")</f>
        <v>#NAME?</v>
      </c>
      <c r="BP604" s="1" t="e">
        <f ca="1">_xll.BDH($C$603,"MODIFIED_WORKING_CPTL_SEQ_GRWTH","FQ1 2014","FQ1 2014","Currency=INR","Period=FQ","BEST_FPERIOD_OVERRIDE=FQ","FILING_STATUS=OR","EQY_CONSOLIDATED=Y","Sort=A","Dates=H","DateFormat=P","Fill=—","Direction=H","UseDPDF=Y")</f>
        <v>#NAME?</v>
      </c>
      <c r="BQ604" s="1" t="e">
        <f ca="1">_xll.BDH($C$603,"WORKING_CAPITAL_SEQ_GROWTH","FQ1 2014","FQ1 2014","Currency=INR","Period=FQ","BEST_FPERIOD_OVERRIDE=FQ","FILING_STATUS=OR","EQY_CONSOLIDATED=Y","Sort=A","Dates=H","DateFormat=P","Fill=—","Direction=H","UseDPDF=Y")</f>
        <v>#NAME?</v>
      </c>
      <c r="BR604" s="1" t="e">
        <f ca="1">_xll.BDH($C$603,"ACCOUNTS_PAYABLE_SEQ_GROWTH","FQ1 2014","FQ1 2014","Currency=INR","Period=FQ","BEST_FPERIOD_OVERRIDE=FQ","FILING_STATUS=OR","EQY_CONSOLIDATED=Y","Sort=A","Dates=H","DateFormat=P","Fill=—","Direction=H","UseDPDF=Y")</f>
        <v>#NAME?</v>
      </c>
      <c r="BS604" s="1" t="e">
        <f ca="1">_xll.BDH($C$603,"ST_DEBT_SEQUENTIAL_GROWTH","FQ1 2014","FQ1 2014","Currency=INR","Period=FQ","BEST_FPERIOD_OVERRIDE=FQ","FILING_STATUS=OR","EQY_CONSOLIDATED=Y","Sort=A","Dates=H","DateFormat=P","Fill=—","Direction=H","UseDPDF=Y")</f>
        <v>#NAME?</v>
      </c>
      <c r="BT604" s="1" t="e">
        <f ca="1">_xll.BDH($C$603,"TOTAL_DEBT_SEQUENTIAL_GROWTH","FQ1 2014","FQ1 2014","Currency=INR","Period=FQ","BEST_FPERIOD_OVERRIDE=FQ","FILING_STATUS=OR","EQY_CONSOLIDATED=Y","Sort=A","Dates=H","DateFormat=P","Fill=—","Direction=H","UseDPDF=Y")</f>
        <v>#NAME?</v>
      </c>
      <c r="BU604" s="1" t="e">
        <f ca="1">_xll.BDH($C$603,"TOTAL_EQUITY_SEQUENTIAL_GROWTH","FQ1 2014","FQ1 2014","Currency=INR","Period=FQ","BEST_FPERIOD_OVERRIDE=FQ","FILING_STATUS=OR","EQY_CONSOLIDATED=Y","Sort=A","Dates=H","DateFormat=P","Fill=—","Direction=H","UseDPDF=Y")</f>
        <v>#NAME?</v>
      </c>
      <c r="BV604" s="1" t="e">
        <f ca="1">_xll.BDH($C$603,"TOTAL_CAPITAL_SEQUENTIAL_GROWTH","FQ1 2014","FQ1 2014","Currency=INR","Period=FQ","BEST_FPERIOD_OVERRIDE=FQ","FILING_STATUS=OR","EQY_CONSOLIDATED=Y","Sort=A","Dates=H","DateFormat=P","Fill=—","Direction=H","UseDPDF=Y")</f>
        <v>#NAME?</v>
      </c>
      <c r="BW604" s="1" t="e">
        <f ca="1">_xll.BDH($C$603,"BPS_SEQUENTIAL_GROWTH","FQ1 2014","FQ1 2014","Currency=INR","Period=FQ","BEST_FPERIOD_OVERRIDE=FQ","FILING_STATUS=OR","EQY_CONSOLIDATED=Y","Sort=A","Dates=H","DateFormat=P","Fill=—","Direction=H","UseDPDF=Y")</f>
        <v>#NAME?</v>
      </c>
      <c r="BX604" s="1" t="e">
        <f ca="1">_xll.BDH($C$603,"CFO_SEQUENTIAL_GROWTH","FQ1 2014","FQ1 2014","Currency=INR","Period=FQ","BEST_FPERIOD_OVERRIDE=FQ","FILING_STATUS=OR","EQY_CONSOLIDATED=Y","Sort=A","Dates=H","DateFormat=P","Fill=—","Direction=H","UseDPDF=Y")</f>
        <v>#NAME?</v>
      </c>
      <c r="BY604" s="2" t="e">
        <f ca="1">_xll.BDH($C$603,"SHORT_AND_LONG_TERM_DEBT","FQ1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604" s="2" t="e">
        <f ca="1">_xll.BDH($C$603,"BS_ST_BORROW","FQ1 2014","FQ1 2014","Currency=INR","Period=FQ","BEST_FPERIOD_OVERRIDE=FQ","FILING_STATUS=OR","EQY_CONSOLIDATED=Y","SCALING_FORMAT=MLN","Sort=A","Dates=H","DateFormat=P","Fill=—","Direction=H","UseDPDF=Y")</f>
        <v>#NAME?</v>
      </c>
      <c r="CA604" s="2" t="e">
        <f ca="1">_xll.BDH($C$603,"BS_LT_BORROW","FQ1 2014","FQ1 2014","Currency=INR","Period=FQ","BEST_FPERIOD_OVERRIDE=FQ","FILING_STATUS=OR","EQY_CONSOLIDATED=Y","SCALING_FORMAT=MLN","Sort=A","Dates=H","DateFormat=P","Fill=—","Direction=H","UseDPDF=Y")</f>
        <v>#NAME?</v>
      </c>
      <c r="CB604" s="1" t="e">
        <f ca="1">_xll.BDH($C$603,"TOT_DEBT_TO_EBITDA","FQ1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604" s="1" t="e">
        <f ca="1">_xll.BDH($C$603,"NET_DEBT_TO_EBITDA","FQ1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604" s="1" t="e">
        <f ca="1">_xll.BDH($C$603,"TOTAL_DEBT_TO_EBIT","FQ1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604" s="1" t="e">
        <f ca="1">_xll.BDH($C$603,"NET_DEBT_TO_EBIT","FQ1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604" s="1" t="e">
        <f ca="1">_xll.BDH($C$603,"EBITDA_TO_INTEREST_EXPN","FQ1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604" s="1" t="e">
        <f ca="1">_xll.BDH($C$603,"COM_EQY_TO_TOT_ASSET","FQ1 2014","FQ1 2014","Currency=INR","Period=FQ","BEST_FPERIOD_OVERRIDE=FQ","FILING_STATUS=OR","EQY_CONSOLIDATED=Y","Sort=A","Dates=H","DateFormat=P","Fill=—","Direction=H","UseDPDF=Y")</f>
        <v>#NAME?</v>
      </c>
      <c r="CH604" s="1" t="e">
        <f ca="1">_xll.BDH($C$603,"LT_DEBT_TO_TOT_EQY","FQ1 2014","FQ1 2014","Currency=INR","Period=FQ","BEST_FPERIOD_OVERRIDE=FQ","FILING_STATUS=OR","EQY_CONSOLIDATED=Y","Sort=A","Dates=H","DateFormat=P","Fill=—","Direction=H","UseDPDF=Y")</f>
        <v>#NAME?</v>
      </c>
      <c r="CI604" s="1" t="e">
        <f ca="1">_xll.BDH($C$603,"LT_DEBT_TO_TOT_CAP","FQ1 2014","FQ1 2014","Currency=INR","Period=FQ","BEST_FPERIOD_OVERRIDE=FQ","FILING_STATUS=OR","EQY_CONSOLIDATED=Y","Sort=A","Dates=H","DateFormat=P","Fill=—","Direction=H","UseDPDF=Y")</f>
        <v>#NAME?</v>
      </c>
      <c r="CJ604" s="1" t="e">
        <f ca="1">_xll.BDH($C$603,"LT_DEBT_TO_TOT_ASSET","FQ1 2014","FQ1 2014","Currency=INR","Period=FQ","BEST_FPERIOD_OVERRIDE=FQ","FILING_STATUS=OR","EQY_CONSOLIDATED=Y","Sort=A","Dates=H","DateFormat=P","Fill=—","Direction=H","UseDPDF=Y")</f>
        <v>#NAME?</v>
      </c>
      <c r="CK604" s="1" t="e">
        <f ca="1">_xll.BDH($C$603,"TOT_DEBT_TO_TOT_EQY","FQ1 2014","FQ1 2014","Currency=INR","Period=FQ","BEST_FPERIOD_OVERRIDE=FQ","FILING_STATUS=OR","EQY_CONSOLIDATED=Y","Sort=A","Dates=H","DateFormat=P","Fill=—","Direction=H","UseDPDF=Y")</f>
        <v>#NAME?</v>
      </c>
      <c r="CL604" s="1" t="e">
        <f ca="1">_xll.BDH($C$603,"TOT_DEBT_TO_TOT_CAP","FQ1 2014","FQ1 2014","Currency=INR","Period=FQ","BEST_FPERIOD_OVERRIDE=FQ","FILING_STATUS=OR","EQY_CONSOLIDATED=Y","Sort=A","Dates=H","DateFormat=P","Fill=—","Direction=H","UseDPDF=Y")</f>
        <v>#NAME?</v>
      </c>
      <c r="CM604" s="1" t="e">
        <f ca="1">_xll.BDH($C$603,"TOT_DEBT_TO_TOT_ASSET","FQ1 2014","FQ1 2014","Currency=INR","Period=FQ","BEST_FPERIOD_OVERRIDE=FQ","FILING_STATUS=OR","EQY_CONSOLIDATED=Y","Sort=A","Dates=H","DateFormat=P","Fill=—","Direction=H","UseDPDF=Y")</f>
        <v>#NAME?</v>
      </c>
      <c r="CN604" s="1" t="e">
        <f ca="1">_xll.BDH($C$603,"NET_DEBT_TO_SHRHLDR_EQTY","FQ1 2014","FQ1 2014","Currency=INR","Period=FQ","BEST_FPERIOD_OVERRIDE=FQ","FILING_STATUS=OR","EQY_CONSOLIDATED=Y","Sort=A","Dates=H","DateFormat=P","Fill=—","Direction=H","UseDPDF=Y")</f>
        <v>#NAME?</v>
      </c>
      <c r="CO604" s="1" t="e">
        <f ca="1">_xll.BDH($C$603,"NET_DEBT_%_CAPITAL","FQ1 2014","FQ1 2014","Currency=INR","Period=FQ","BEST_FPERIOD_OVERRIDE=FQ","FILING_STATUS=OR","EQY_CONSOLIDATED=Y","Sort=A","Dates=H","DateFormat=P","Fill=—","Direction=H","UseDPDF=Y")</f>
        <v>#NAME?</v>
      </c>
      <c r="CP604" s="2" t="e">
        <f ca="1">_xll.BDH($C$603,"EBITDA","FQ1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604" s="2" t="e">
        <f ca="1">_xll.BDH($C$603,"EBITDA_AFTER_CAPEX","FQ1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604" s="2" t="e">
        <f ca="1">_xll.BDH($C$603,"IS_OPER_INC","FQ1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604" s="1" t="e">
        <f ca="1">_xll.BDH($C$603,"CASH_RATIO","FQ1 2014","FQ1 2014","Currency=INR","Period=FQ","BEST_FPERIOD_OVERRIDE=FQ","FILING_STATUS=OR","EQY_CONSOLIDATED=Y","Sort=A","Dates=H","DateFormat=P","Fill=—","Direction=H","UseDPDF=Y")</f>
        <v>#NAME?</v>
      </c>
      <c r="CT604" s="1" t="e">
        <f ca="1">_xll.BDH($C$603,"CUR_RATIO","FQ1 2014","FQ1 2014","Currency=INR","Period=FQ","BEST_FPERIOD_OVERRIDE=FQ","FILING_STATUS=OR","EQY_CONSOLIDATED=Y","Sort=A","Dates=H","DateFormat=P","Fill=—","Direction=H","UseDPDF=Y")</f>
        <v>#NAME?</v>
      </c>
      <c r="CU604" s="1" t="e">
        <f ca="1">_xll.BDH($C$603,"QUICK_RATIO","FQ1 2014","FQ1 2014","Currency=INR","Period=FQ","BEST_FPERIOD_OVERRIDE=FQ","FILING_STATUS=OR","EQY_CONSOLIDATED=Y","Sort=A","Dates=H","DateFormat=P","Fill=—","Direction=H","UseDPDF=Y")</f>
        <v>#NAME?</v>
      </c>
      <c r="CV604" s="1" t="e">
        <f ca="1">_xll.BDH($C$603,"ALTMAN_Z_SCORE","FQ1 2014","FQ1 2014","Currency=INR","Period=FQ","BEST_FPERIOD_OVERRIDE=FQ","FILING_STATUS=OR","EQY_CONSOLIDATED=Y","Sort=A","Dates=H","DateFormat=P","Fill=—","Direction=H","UseDPDF=Y")</f>
        <v>#NAME?</v>
      </c>
      <c r="CW604" s="3" t="e">
        <f ca="1">_xll.BDH($C$603,"ACCT_RCV_TURN","FQ1 2014","FQ1 2014","Currency=INR","Period=FQ","BEST_FPERIOD_OVERRIDE=FQ","FILING_STATUS=OR","EQY_CONSOLIDATED=Y","FA_ADJUSTED=GAAP","Sort=A","Dates=H","DateFormat=P","Fill=—","Direction=H","UseDPDF=Y")</f>
        <v>#NAME?</v>
      </c>
      <c r="CX604" s="1" t="e">
        <f ca="1">_xll.BDH($C$603,"ACCT_RCV_DAYS","FQ1 2014","FQ1 2014","Currency=INR","Period=FQ","BEST_FPERIOD_OVERRIDE=FQ","FILING_STATUS=OR","EQY_CONSOLIDATED=Y","FA_ADJUSTED=GAAP","Sort=A","Dates=H","DateFormat=P","Fill=—","Direction=H","UseDPDF=Y")</f>
        <v>#NAME?</v>
      </c>
      <c r="CY604" s="3" t="e">
        <f ca="1">_xll.BDH($C$603,"INVENT_TURN","FQ1 2014","FQ1 2014","Currency=INR","Period=FQ","BEST_FPERIOD_OVERRIDE=FQ","FILING_STATUS=OR","EQY_CONSOLIDATED=Y","FA_ADJUSTED=GAAP","Sort=A","Dates=H","DateFormat=P","Fill=—","Direction=H","UseDPDF=Y")</f>
        <v>#NAME?</v>
      </c>
      <c r="CZ604" s="1" t="e">
        <f ca="1">_xll.BDH($C$603,"INVENT_DAYS","FQ1 2014","FQ1 2014","Currency=INR","Period=FQ","BEST_FPERIOD_OVERRIDE=FQ","FILING_STATUS=OR","EQY_CONSOLIDATED=Y","FA_ADJUSTED=GAAP","Sort=A","Dates=H","DateFormat=P","Fill=—","Direction=H","UseDPDF=Y")</f>
        <v>#NAME?</v>
      </c>
      <c r="DA604" s="3" t="e">
        <f ca="1">_xll.BDH($C$603,"ACCOUNTS_PAYABLE_TURNOVER","FQ1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604" s="1" t="e">
        <f ca="1">_xll.BDH($C$603,"ACCOUNTS_PAYABLE_TURNOVER_DAYS","FQ1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604" s="3" t="e">
        <f ca="1">_xll.BDH($C$603,"CASH_CONVERSION_CYCLE","FQ1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604" s="3" t="e">
        <f ca="1">_xll.BDH($C$603,"INV_TO_CASH_DAYS","FQ1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604" s="4" t="e">
        <f ca="1">_xll.BDH($C$603,"BS_INVENTORIES","FQ1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604" s="2" t="e">
        <f ca="1">_xll.BDH($C$603,"INVTRY_RAW_MATERIALS","FQ1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604" s="2" t="e">
        <f ca="1">_xll.BDH($C$603,"INVTRY_IN_PROGRESS","FQ1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604" s="2" t="e">
        <f ca="1">_xll.BDH($C$603,"INVTRY_FINISHED_GOODS","FQ1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604" s="2" t="e">
        <f ca="1">_xll.BDH($C$603,"BS_OTHER_INV","FQ1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605" spans="1:113" x14ac:dyDescent="0.3">
      <c r="A605" s="6"/>
      <c r="B605" s="6"/>
      <c r="C605" s="6"/>
      <c r="D605" s="6"/>
      <c r="E605" t="s">
        <v>5</v>
      </c>
      <c r="F605" t="e">
        <f ca="1">_xll.BDH($C$603,"RETURN_COM_EQY","FQ2 2014","FQ2 2014","Currency=INR","Period=FQ","BEST_FPERIOD_OVERRIDE=FQ","FILING_STATUS=OR","EQY_CONSOLIDATED=Y","FA_ADJUSTED=GAAP","Sort=A","Dates=H","DateFormat=P","Fill=—","Direction=H","UseDPDF=Y")</f>
        <v>#NAME?</v>
      </c>
      <c r="G605" t="e">
        <f ca="1">_xll.BDH($C$603,"RETURN_ON_ASSET","FQ2 2014","FQ2 2014","Currency=INR","Period=FQ","BEST_FPERIOD_OVERRIDE=FQ","FILING_STATUS=OR","EQY_CONSOLIDATED=Y","FA_ADJUSTED=GAAP","Sort=A","Dates=H","DateFormat=P","Fill=—","Direction=H","UseDPDF=Y")</f>
        <v>#NAME?</v>
      </c>
      <c r="H605" t="e">
        <f ca="1">_xll.BDH($C$603,"RETURN_ON_CAP","FQ2 2014","FQ2 2014","Currency=INR","Period=FQ","BEST_FPERIOD_OVERRIDE=FQ","FILING_STATUS=OR","EQY_CONSOLIDATED=Y","FA_ADJUSTED=GAAP","Sort=A","Dates=H","DateFormat=P","Fill=—","Direction=H","UseDPDF=Y")</f>
        <v>#NAME?</v>
      </c>
      <c r="I605" t="e">
        <f ca="1">_xll.BDH($C$603,"RETURN_ON_INV_CAPITAL","FQ2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605" t="e">
        <f ca="1">_xll.BDH($C$603,"EBITDA_TO_REVENUE","FQ2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605" t="e">
        <f ca="1">_xll.BDH($C$603,"OPER_MARGIN","FQ2 2014","FQ2 2014","Currency=INR","Period=FQ","BEST_FPERIOD_OVERRIDE=FQ","FILING_STATUS=OR","EQY_CONSOLIDATED=Y","FA_ADJUSTED=GAAP","Sort=A","Dates=H","DateFormat=P","Fill=—","Direction=H","UseDPDF=Y")</f>
        <v>#NAME?</v>
      </c>
      <c r="L605" t="e">
        <f ca="1">_xll.BDH($C$603,"INCREMENTAL_OPERATING_MARGIN","FQ2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605" t="e">
        <f ca="1">_xll.BDH($C$603,"PRETAX_INC_TO_NET_SALES","FQ2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605" t="e">
        <f ca="1">_xll.BDH($C$603,"INC_BEF_XO_ITEMS_TO_NET_SALES","FQ2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605" t="e">
        <f ca="1">_xll.BDH($C$603,"PROF_MARGIN","FQ2 2014","FQ2 2014","Currency=INR","Period=FQ","BEST_FPERIOD_OVERRIDE=FQ","FILING_STATUS=OR","EQY_CONSOLIDATED=Y","FA_ADJUSTED=GAAP","Sort=A","Dates=H","DateFormat=P","Fill=—","Direction=H","UseDPDF=Y")</f>
        <v>#NAME?</v>
      </c>
      <c r="P605" t="e">
        <f ca="1">_xll.BDH($C$603,"NET_INCOME_TO_COMMON_MARGIN","FQ2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605" t="e">
        <f ca="1">_xll.BDH($C$603,"EFF_TAX_RATE","FQ2 2014","FQ2 2014","Currency=INR","Period=FQ","BEST_FPERIOD_OVERRIDE=FQ","FILING_STATUS=OR","EQY_CONSOLIDATED=Y","FA_ADJUSTED=GAAP","Sort=A","Dates=H","DateFormat=P","Fill=—","Direction=H","UseDPDF=Y")</f>
        <v>#NAME?</v>
      </c>
      <c r="R605" t="e">
        <f ca="1">_xll.BDH($C$603,"DVD_PAYOUT_RATIO","FQ2 2014","FQ2 2014","Currency=INR","Period=FQ","BEST_FPERIOD_OVERRIDE=FQ","FILING_STATUS=OR","EQY_CONSOLIDATED=Y","FA_ADJUSTED=GAAP","Sort=A","Dates=H","DateFormat=P","Fill=—","Direction=H","UseDPDF=Y")</f>
        <v>#NAME?</v>
      </c>
      <c r="S605" t="e">
        <f ca="1">_xll.BDH($C$603,"SUSTAIN_GROWTH_RT","FQ2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605" s="1" t="e">
        <f ca="1">_xll.BDH($C$603,"SALES_GROWTH","FQ2 2014","FQ2 2014","Currency=INR","Period=FQ","BEST_FPERIOD_OVERRIDE=FQ","FILING_STATUS=OR","EQY_CONSOLIDATED=Y","FA_ADJUSTED=GAAP","Sort=A","Dates=H","DateFormat=P","Fill=—","Direction=H","UseDPDF=Y")</f>
        <v>#NAME?</v>
      </c>
      <c r="U605" s="1" t="e">
        <f ca="1">_xll.BDH($C$603,"EBITDA_GROWTH","FQ2 2014","FQ2 2014","Currency=INR","Period=FQ","BEST_FPERIOD_OVERRIDE=FQ","FILING_STATUS=OR","EQY_CONSOLIDATED=Y","FA_ADJUSTED=GAAP","Sort=A","Dates=H","DateFormat=P","Fill=—","Direction=H","UseDPDF=Y")</f>
        <v>#NAME?</v>
      </c>
      <c r="V605" s="1" t="e">
        <f ca="1">_xll.BDH($C$603,"OPER_INC_GROWTH","FQ2 2014","FQ2 2014","Currency=INR","Period=FQ","BEST_FPERIOD_OVERRIDE=FQ","FILING_STATUS=OR","EQY_CONSOLIDATED=Y","FA_ADJUSTED=GAAP","Sort=A","Dates=H","DateFormat=P","Fill=—","Direction=H","UseDPDF=Y")</f>
        <v>#NAME?</v>
      </c>
      <c r="W605" s="1" t="e">
        <f ca="1">_xll.BDH($C$603,"EARN_FOR_COM_GROWTH","FQ2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605" s="1" t="e">
        <f ca="1">_xll.BDH($C$603,"DILUTED_EPS_AFT_XO_ITEMS_GROWTH","FQ2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605" s="1" t="e">
        <f ca="1">_xll.BDH($C$603,"DIVIDEND_PER_SHARE_1_YEAR_GROWTH","FQ2 2014","FQ2 2014","Currency=INR","Period=FQ","BEST_FPERIOD_OVERRIDE=FQ","FILING_STATUS=OR","EQY_CONSOLIDATED=Y","Sort=A","Dates=H","DateFormat=P","Fill=—","Direction=H","UseDPDF=Y")</f>
        <v>#NAME?</v>
      </c>
      <c r="Z605" s="1" t="e">
        <f ca="1">_xll.BDH($C$603,"ACCOUNTS_RECEIVABLE_GROWTH","FQ2 2014","FQ2 2014","Currency=INR","Period=FQ","BEST_FPERIOD_OVERRIDE=FQ","FILING_STATUS=OR","EQY_CONSOLIDATED=Y","Sort=A","Dates=H","DateFormat=P","Fill=—","Direction=H","UseDPDF=Y")</f>
        <v>#NAME?</v>
      </c>
      <c r="AA605" s="1" t="e">
        <f ca="1">_xll.BDH($C$603,"INVENTORY_GROWTH","FQ2 2014","FQ2 2014","Currency=INR","Period=FQ","BEST_FPERIOD_OVERRIDE=FQ","FILING_STATUS=OR","EQY_CONSOLIDATED=Y","Sort=A","Dates=H","DateFormat=P","Fill=—","Direction=H","UseDPDF=Y")</f>
        <v>#NAME?</v>
      </c>
      <c r="AB605" s="1" t="e">
        <f ca="1">_xll.BDH($C$603,"NET_FIXED_ASSETS_1_YEAR_GROWTH","FQ2 2014","FQ2 2014","Currency=INR","Period=FQ","BEST_FPERIOD_OVERRIDE=FQ","FILING_STATUS=OR","EQY_CONSOLIDATED=Y","Sort=A","Dates=H","DateFormat=P","Fill=—","Direction=H","UseDPDF=Y")</f>
        <v>#NAME?</v>
      </c>
      <c r="AC605" s="1" t="e">
        <f ca="1">_xll.BDH($C$603,"ASSET_GROWTH","FQ2 2014","FQ2 2014","Currency=INR","Period=FQ","BEST_FPERIOD_OVERRIDE=FQ","FILING_STATUS=OR","EQY_CONSOLIDATED=Y","Sort=A","Dates=H","DateFormat=P","Fill=—","Direction=H","UseDPDF=Y")</f>
        <v>#NAME?</v>
      </c>
      <c r="AD605" s="1" t="e">
        <f ca="1">_xll.BDH($C$603,"MODIFIED_WORK_CAP_GROWTH","FQ2 2014","FQ2 2014","Currency=INR","Period=FQ","BEST_FPERIOD_OVERRIDE=FQ","FILING_STATUS=OR","EQY_CONSOLIDATED=Y","Sort=A","Dates=H","DateFormat=P","Fill=—","Direction=H","UseDPDF=Y")</f>
        <v>#NAME?</v>
      </c>
      <c r="AE605" s="1" t="e">
        <f ca="1">_xll.BDH($C$603,"WORK_CAP_GROWTH","FQ2 2014","FQ2 2014","Currency=INR","Period=FQ","BEST_FPERIOD_OVERRIDE=FQ","FILING_STATUS=OR","EQY_CONSOLIDATED=Y","Sort=A","Dates=H","DateFormat=P","Fill=—","Direction=H","UseDPDF=Y")</f>
        <v>#NAME?</v>
      </c>
      <c r="AF605" s="1" t="e">
        <f ca="1">_xll.BDH($C$603,"ACCOUNTS_PAYABLE_GROWTH_1YR","FQ2 2014","FQ2 2014","Currency=INR","Period=FQ","BEST_FPERIOD_OVERRIDE=FQ","FILING_STATUS=OR","EQY_CONSOLIDATED=Y","Sort=A","Dates=H","DateFormat=P","Fill=—","Direction=H","UseDPDF=Y")</f>
        <v>#NAME?</v>
      </c>
      <c r="AG605" s="1" t="e">
        <f ca="1">_xll.BDH($C$603,"SHORT_TERM_DEBT_1_YEAR_GROWTH","FQ2 2014","FQ2 2014","Currency=INR","Period=FQ","BEST_FPERIOD_OVERRIDE=FQ","FILING_STATUS=OR","EQY_CONSOLIDATED=Y","Sort=A","Dates=H","DateFormat=P","Fill=—","Direction=H","UseDPDF=Y")</f>
        <v>#NAME?</v>
      </c>
      <c r="AH605" s="1" t="e">
        <f ca="1">_xll.BDH($C$603,"TOTAL_DEBT_1_YEAR_GROWTH","FQ2 2014","FQ2 2014","Currency=INR","Period=FQ","BEST_FPERIOD_OVERRIDE=FQ","FILING_STATUS=OR","EQY_CONSOLIDATED=Y","Sort=A","Dates=H","DateFormat=P","Fill=—","Direction=H","UseDPDF=Y")</f>
        <v>#NAME?</v>
      </c>
      <c r="AI605" s="1" t="e">
        <f ca="1">_xll.BDH($C$603,"TOTAL_EQUITY_1_YEAR_GROWTH","FQ2 2014","FQ2 2014","Currency=INR","Period=FQ","BEST_FPERIOD_OVERRIDE=FQ","FILING_STATUS=OR","EQY_CONSOLIDATED=Y","Sort=A","Dates=H","DateFormat=P","Fill=—","Direction=H","UseDPDF=Y")</f>
        <v>#NAME?</v>
      </c>
      <c r="AJ605" s="1" t="e">
        <f ca="1">_xll.BDH($C$603,"GROWTH_IN_CAP","FQ2 2014","FQ2 2014","Currency=INR","Period=FQ","BEST_FPERIOD_OVERRIDE=FQ","FILING_STATUS=OR","EQY_CONSOLIDATED=Y","Sort=A","Dates=H","DateFormat=P","Fill=—","Direction=H","UseDPDF=Y")</f>
        <v>#NAME?</v>
      </c>
      <c r="AK605" s="1" t="e">
        <f ca="1">_xll.BDH($C$603,"BVPS_GROWTH","FQ2 2014","FQ2 2014","Currency=INR","Period=FQ","BEST_FPERIOD_OVERRIDE=FQ","FILING_STATUS=OR","EQY_CONSOLIDATED=Y","Sort=A","Dates=H","DateFormat=P","Fill=—","Direction=H","UseDPDF=Y")</f>
        <v>#NAME?</v>
      </c>
      <c r="AL605" s="1" t="e">
        <f ca="1">_xll.BDH($C$603,"CASH_FLOW_GROWTH","FQ2 2014","FQ2 2014","Currency=INR","Period=FQ","BEST_FPERIOD_OVERRIDE=FQ","FILING_STATUS=OR","EQY_CONSOLIDATED=Y","Sort=A","Dates=H","DateFormat=P","Fill=—","Direction=H","UseDPDF=Y")</f>
        <v>#NAME?</v>
      </c>
      <c r="AM605" s="1" t="e">
        <f ca="1">_xll.BDH($C$603,"GEO_GROW_NET_SALES","FQ2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605" s="1" t="e">
        <f ca="1">_xll.BDH($C$603,"GEO_GROW_EBITDA","FQ2 2014","FQ2 2014","Currency=INR","Period=FQ","BEST_FPERIOD_OVERRIDE=FQ","FILING_STATUS=OR","EQY_CONSOLIDATED=Y","FA_ADJUSTED=GAAP","Sort=A","Dates=H","DateFormat=P","Fill=—","Direction=H","UseDPDF=Y")</f>
        <v>#NAME?</v>
      </c>
      <c r="AO605" s="1" t="e">
        <f ca="1">_xll.BDH($C$603,"GEO_GROW_OPER_INC","FQ2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605" s="1" t="e">
        <f ca="1">_xll.BDH($C$603,"NET_INCOME_TO_COMMON_5_YR_GROWTH","FQ2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605" s="1" t="e">
        <f ca="1">_xll.BDH($C$603,"5Y_GEO_GROWTH_DILUTED_EPS","FQ2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605" s="1" t="e">
        <f ca="1">_xll.BDH($C$603,"GEO_GROW_DVD_PER_SH","FQ2 2014","FQ2 2014","Currency=INR","Period=FQ","BEST_FPERIOD_OVERRIDE=FQ","FILING_STATUS=OR","EQY_CONSOLIDATED=Y","Sort=A","Dates=H","DateFormat=P","Fill=—","Direction=H","UseDPDF=Y")</f>
        <v>#NAME?</v>
      </c>
      <c r="AS605" s="1" t="e">
        <f ca="1">_xll.BDH($C$603,"ACCOUNTS_RECEIVABLE_5_YR_GROWTH","FQ2 2014","FQ2 2014","Currency=INR","Period=FQ","BEST_FPERIOD_OVERRIDE=FQ","FILING_STATUS=OR","EQY_CONSOLIDATED=Y","Sort=A","Dates=H","DateFormat=P","Fill=—","Direction=H","UseDPDF=Y")</f>
        <v>#NAME?</v>
      </c>
      <c r="AT605" s="1" t="e">
        <f ca="1">_xll.BDH($C$603,"INVENTORY_5_YEAR_GROWTH","FQ2 2014","FQ2 2014","Currency=INR","Period=FQ","BEST_FPERIOD_OVERRIDE=FQ","FILING_STATUS=OR","EQY_CONSOLIDATED=Y","Sort=A","Dates=H","DateFormat=P","Fill=—","Direction=H","UseDPDF=Y")</f>
        <v>#NAME?</v>
      </c>
      <c r="AU605" s="1" t="e">
        <f ca="1">_xll.BDH($C$603,"NET_FIXED_ASSETS_5_YEAR_GROWTH","FQ2 2014","FQ2 2014","Currency=INR","Period=FQ","BEST_FPERIOD_OVERRIDE=FQ","FILING_STATUS=OR","EQY_CONSOLIDATED=Y","Sort=A","Dates=H","DateFormat=P","Fill=—","Direction=H","UseDPDF=Y")</f>
        <v>#NAME?</v>
      </c>
      <c r="AV605" s="1" t="e">
        <f ca="1">_xll.BDH($C$603,"GEO_GROW_TOT_ASSET","FQ2 2014","FQ2 2014","Currency=INR","Period=FQ","BEST_FPERIOD_OVERRIDE=FQ","FILING_STATUS=OR","EQY_CONSOLIDATED=Y","Sort=A","Dates=H","DateFormat=P","Fill=—","Direction=H","UseDPDF=Y")</f>
        <v>#NAME?</v>
      </c>
      <c r="AW605" s="1" t="e">
        <f ca="1">_xll.BDH($C$603,"MODIFIED_WORKING_CPTL_5YR_GRWTH","FQ2 2014","FQ2 2014","Currency=INR","Period=FQ","BEST_FPERIOD_OVERRIDE=FQ","FILING_STATUS=OR","EQY_CONSOLIDATED=Y","Sort=A","Dates=H","DateFormat=P","Fill=—","Direction=H","UseDPDF=Y")</f>
        <v>#NAME?</v>
      </c>
      <c r="AX605" s="1" t="e">
        <f ca="1">_xll.BDH($C$603,"WORKING_CAPITAL_5_YEAR_GROWTH","FQ2 2014","FQ2 2014","Currency=INR","Period=FQ","BEST_FPERIOD_OVERRIDE=FQ","FILING_STATUS=OR","EQY_CONSOLIDATED=Y","Sort=A","Dates=H","DateFormat=P","Fill=—","Direction=H","UseDPDF=Y")</f>
        <v>#NAME?</v>
      </c>
      <c r="AY605" s="1" t="e">
        <f ca="1">_xll.BDH($C$603,"ACCOUNTS_PAYABLE_5_YEAR_GROWTH","FQ2 2014","FQ2 2014","Currency=INR","Period=FQ","BEST_FPERIOD_OVERRIDE=FQ","FILING_STATUS=OR","EQY_CONSOLIDATED=Y","Sort=A","Dates=H","DateFormat=P","Fill=—","Direction=H","UseDPDF=Y")</f>
        <v>#NAME?</v>
      </c>
      <c r="AZ605" s="1" t="e">
        <f ca="1">_xll.BDH($C$603,"SHORT_TERM_DEBT_5_YEAR_GROWTH","FQ2 2014","FQ2 2014","Currency=INR","Period=FQ","BEST_FPERIOD_OVERRIDE=FQ","FILING_STATUS=OR","EQY_CONSOLIDATED=Y","Sort=A","Dates=H","DateFormat=P","Fill=—","Direction=H","UseDPDF=Y")</f>
        <v>#NAME?</v>
      </c>
      <c r="BA605" s="1" t="e">
        <f ca="1">_xll.BDH($C$603,"TOTAL_DEBT_5_YEAR_GROWTH","FQ2 2014","FQ2 2014","Currency=INR","Period=FQ","BEST_FPERIOD_OVERRIDE=FQ","FILING_STATUS=OR","EQY_CONSOLIDATED=Y","Sort=A","Dates=H","DateFormat=P","Fill=—","Direction=H","UseDPDF=Y")</f>
        <v>#NAME?</v>
      </c>
      <c r="BB605" s="1" t="e">
        <f ca="1">_xll.BDH($C$603,"GEO_GROW_TOT_SHRHLDR_EQY","FQ2 2014","FQ2 2014","Currency=INR","Period=FQ","BEST_FPERIOD_OVERRIDE=FQ","FILING_STATUS=OR","EQY_CONSOLIDATED=Y","Sort=A","Dates=H","DateFormat=P","Fill=—","Direction=H","UseDPDF=Y")</f>
        <v>#NAME?</v>
      </c>
      <c r="BC605" s="1" t="e">
        <f ca="1">_xll.BDH($C$603,"TOTAL_CAPITAL_5_YEAR_GROWTH","FQ2 2014","FQ2 2014","Currency=INR","Period=FQ","BEST_FPERIOD_OVERRIDE=FQ","FILING_STATUS=OR","EQY_CONSOLIDATED=Y","Sort=A","Dates=H","DateFormat=P","Fill=—","Direction=H","UseDPDF=Y")</f>
        <v>#NAME?</v>
      </c>
      <c r="BD605" s="1" t="e">
        <f ca="1">_xll.BDH($C$603,"GEO_GROW_BOOK_VAL","FQ2 2014","FQ2 2014","Currency=INR","Period=FQ","BEST_FPERIOD_OVERRIDE=FQ","FILING_STATUS=OR","EQY_CONSOLIDATED=Y","Sort=A","Dates=H","DateFormat=P","Fill=—","Direction=H","UseDPDF=Y")</f>
        <v>#NAME?</v>
      </c>
      <c r="BE605" s="1" t="e">
        <f ca="1">_xll.BDH($C$603,"GEO_GROW_CASH_OPER_ACT","FQ2 2014","FQ2 2014","Currency=INR","Period=FQ","BEST_FPERIOD_OVERRIDE=FQ","FILING_STATUS=OR","EQY_CONSOLIDATED=Y","Sort=A","Dates=H","DateFormat=P","Fill=—","Direction=H","UseDPDF=Y")</f>
        <v>#NAME?</v>
      </c>
      <c r="BF605" s="1" t="e">
        <f ca="1">_xll.BDH($C$603,"REVENUE_SEQUENTIAL_GROWTH","FQ2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605" s="1" t="e">
        <f ca="1">_xll.BDH($C$603,"EBITDA_SEQUENTIAL_GROWTH","FQ2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605" s="1" t="e">
        <f ca="1">_xll.BDH($C$603,"OPERATING_INCOME_SEQ_GROWTH","FQ2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605" s="1" t="e">
        <f ca="1">_xll.BDH($C$603,"NET_INCOME_TO_COMMON_SEQ_GROWTH","FQ2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605" s="1" t="e">
        <f ca="1">_xll.BDH($C$603,"EPS_DILUTED_SEQUENTIAL_GROWTH","FQ2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605" s="1" t="e">
        <f ca="1">_xll.BDH($C$603,"DPS_SEQUENTIAL_GROWTH","FQ2 2014","FQ2 2014","Currency=INR","Period=FQ","BEST_FPERIOD_OVERRIDE=FQ","FILING_STATUS=OR","EQY_CONSOLIDATED=Y","Sort=A","Dates=H","DateFormat=P","Fill=—","Direction=H","UseDPDF=Y")</f>
        <v>#NAME?</v>
      </c>
      <c r="BL605" s="1" t="e">
        <f ca="1">_xll.BDH($C$603,"ACCOUNTS_RECEIVABLE_SEQ_GROWTH","FQ2 2014","FQ2 2014","Currency=INR","Period=FQ","BEST_FPERIOD_OVERRIDE=FQ","FILING_STATUS=OR","EQY_CONSOLIDATED=Y","Sort=A","Dates=H","DateFormat=P","Fill=—","Direction=H","UseDPDF=Y")</f>
        <v>#NAME?</v>
      </c>
      <c r="BM605" s="1" t="e">
        <f ca="1">_xll.BDH($C$603,"INVENTORY_SEQUENTIAL_GROWTH","FQ2 2014","FQ2 2014","Currency=INR","Period=FQ","BEST_FPERIOD_OVERRIDE=FQ","FILING_STATUS=OR","EQY_CONSOLIDATED=Y","Sort=A","Dates=H","DateFormat=P","Fill=—","Direction=H","UseDPDF=Y")</f>
        <v>#NAME?</v>
      </c>
      <c r="BN605" s="1" t="e">
        <f ca="1">_xll.BDH($C$603,"FIXED_ASSETS_SEQUENTIAL_GROWTH","FQ2 2014","FQ2 2014","Currency=INR","Period=FQ","BEST_FPERIOD_OVERRIDE=FQ","FILING_STATUS=OR","EQY_CONSOLIDATED=Y","Sort=A","Dates=H","DateFormat=P","Fill=—","Direction=H","UseDPDF=Y")</f>
        <v>#NAME?</v>
      </c>
      <c r="BO605" s="1" t="e">
        <f ca="1">_xll.BDH($C$603,"TOTAL_ASSETS_SEQUENTIAL_GROWTH","FQ2 2014","FQ2 2014","Currency=INR","Period=FQ","BEST_FPERIOD_OVERRIDE=FQ","FILING_STATUS=OR","EQY_CONSOLIDATED=Y","Sort=A","Dates=H","DateFormat=P","Fill=—","Direction=H","UseDPDF=Y")</f>
        <v>#NAME?</v>
      </c>
      <c r="BP605" s="1" t="e">
        <f ca="1">_xll.BDH($C$603,"MODIFIED_WORKING_CPTL_SEQ_GRWTH","FQ2 2014","FQ2 2014","Currency=INR","Period=FQ","BEST_FPERIOD_OVERRIDE=FQ","FILING_STATUS=OR","EQY_CONSOLIDATED=Y","Sort=A","Dates=H","DateFormat=P","Fill=—","Direction=H","UseDPDF=Y")</f>
        <v>#NAME?</v>
      </c>
      <c r="BQ605" s="1" t="e">
        <f ca="1">_xll.BDH($C$603,"WORKING_CAPITAL_SEQ_GROWTH","FQ2 2014","FQ2 2014","Currency=INR","Period=FQ","BEST_FPERIOD_OVERRIDE=FQ","FILING_STATUS=OR","EQY_CONSOLIDATED=Y","Sort=A","Dates=H","DateFormat=P","Fill=—","Direction=H","UseDPDF=Y")</f>
        <v>#NAME?</v>
      </c>
      <c r="BR605" s="1" t="e">
        <f ca="1">_xll.BDH($C$603,"ACCOUNTS_PAYABLE_SEQ_GROWTH","FQ2 2014","FQ2 2014","Currency=INR","Period=FQ","BEST_FPERIOD_OVERRIDE=FQ","FILING_STATUS=OR","EQY_CONSOLIDATED=Y","Sort=A","Dates=H","DateFormat=P","Fill=—","Direction=H","UseDPDF=Y")</f>
        <v>#NAME?</v>
      </c>
      <c r="BS605" s="1" t="e">
        <f ca="1">_xll.BDH($C$603,"ST_DEBT_SEQUENTIAL_GROWTH","FQ2 2014","FQ2 2014","Currency=INR","Period=FQ","BEST_FPERIOD_OVERRIDE=FQ","FILING_STATUS=OR","EQY_CONSOLIDATED=Y","Sort=A","Dates=H","DateFormat=P","Fill=—","Direction=H","UseDPDF=Y")</f>
        <v>#NAME?</v>
      </c>
      <c r="BT605" s="1" t="e">
        <f ca="1">_xll.BDH($C$603,"TOTAL_DEBT_SEQUENTIAL_GROWTH","FQ2 2014","FQ2 2014","Currency=INR","Period=FQ","BEST_FPERIOD_OVERRIDE=FQ","FILING_STATUS=OR","EQY_CONSOLIDATED=Y","Sort=A","Dates=H","DateFormat=P","Fill=—","Direction=H","UseDPDF=Y")</f>
        <v>#NAME?</v>
      </c>
      <c r="BU605" s="1" t="e">
        <f ca="1">_xll.BDH($C$603,"TOTAL_EQUITY_SEQUENTIAL_GROWTH","FQ2 2014","FQ2 2014","Currency=INR","Period=FQ","BEST_FPERIOD_OVERRIDE=FQ","FILING_STATUS=OR","EQY_CONSOLIDATED=Y","Sort=A","Dates=H","DateFormat=P","Fill=—","Direction=H","UseDPDF=Y")</f>
        <v>#NAME?</v>
      </c>
      <c r="BV605" s="1" t="e">
        <f ca="1">_xll.BDH($C$603,"TOTAL_CAPITAL_SEQUENTIAL_GROWTH","FQ2 2014","FQ2 2014","Currency=INR","Period=FQ","BEST_FPERIOD_OVERRIDE=FQ","FILING_STATUS=OR","EQY_CONSOLIDATED=Y","Sort=A","Dates=H","DateFormat=P","Fill=—","Direction=H","UseDPDF=Y")</f>
        <v>#NAME?</v>
      </c>
      <c r="BW605" s="1" t="e">
        <f ca="1">_xll.BDH($C$603,"BPS_SEQUENTIAL_GROWTH","FQ2 2014","FQ2 2014","Currency=INR","Period=FQ","BEST_FPERIOD_OVERRIDE=FQ","FILING_STATUS=OR","EQY_CONSOLIDATED=Y","Sort=A","Dates=H","DateFormat=P","Fill=—","Direction=H","UseDPDF=Y")</f>
        <v>#NAME?</v>
      </c>
      <c r="BX605" s="1" t="e">
        <f ca="1">_xll.BDH($C$603,"CFO_SEQUENTIAL_GROWTH","FQ2 2014","FQ2 2014","Currency=INR","Period=FQ","BEST_FPERIOD_OVERRIDE=FQ","FILING_STATUS=OR","EQY_CONSOLIDATED=Y","Sort=A","Dates=H","DateFormat=P","Fill=—","Direction=H","UseDPDF=Y")</f>
        <v>#NAME?</v>
      </c>
      <c r="BY605" s="2" t="e">
        <f ca="1">_xll.BDH($C$603,"SHORT_AND_LONG_TERM_DEBT","FQ2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605" s="2" t="e">
        <f ca="1">_xll.BDH($C$603,"BS_ST_BORROW","FQ2 2014","FQ2 2014","Currency=INR","Period=FQ","BEST_FPERIOD_OVERRIDE=FQ","FILING_STATUS=OR","EQY_CONSOLIDATED=Y","SCALING_FORMAT=MLN","Sort=A","Dates=H","DateFormat=P","Fill=—","Direction=H","UseDPDF=Y")</f>
        <v>#NAME?</v>
      </c>
      <c r="CA605" s="2" t="e">
        <f ca="1">_xll.BDH($C$603,"BS_LT_BORROW","FQ2 2014","FQ2 2014","Currency=INR","Period=FQ","BEST_FPERIOD_OVERRIDE=FQ","FILING_STATUS=OR","EQY_CONSOLIDATED=Y","SCALING_FORMAT=MLN","Sort=A","Dates=H","DateFormat=P","Fill=—","Direction=H","UseDPDF=Y")</f>
        <v>#NAME?</v>
      </c>
      <c r="CB605" s="1" t="e">
        <f ca="1">_xll.BDH($C$603,"TOT_DEBT_TO_EBITDA","FQ2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605" s="1" t="e">
        <f ca="1">_xll.BDH($C$603,"NET_DEBT_TO_EBITDA","FQ2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605" s="1" t="e">
        <f ca="1">_xll.BDH($C$603,"TOTAL_DEBT_TO_EBIT","FQ2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605" s="1" t="e">
        <f ca="1">_xll.BDH($C$603,"NET_DEBT_TO_EBIT","FQ2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605" s="1" t="e">
        <f ca="1">_xll.BDH($C$603,"EBITDA_TO_INTEREST_EXPN","FQ2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605" s="1" t="e">
        <f ca="1">_xll.BDH($C$603,"COM_EQY_TO_TOT_ASSET","FQ2 2014","FQ2 2014","Currency=INR","Period=FQ","BEST_FPERIOD_OVERRIDE=FQ","FILING_STATUS=OR","EQY_CONSOLIDATED=Y","Sort=A","Dates=H","DateFormat=P","Fill=—","Direction=H","UseDPDF=Y")</f>
        <v>#NAME?</v>
      </c>
      <c r="CH605" s="1" t="e">
        <f ca="1">_xll.BDH($C$603,"LT_DEBT_TO_TOT_EQY","FQ2 2014","FQ2 2014","Currency=INR","Period=FQ","BEST_FPERIOD_OVERRIDE=FQ","FILING_STATUS=OR","EQY_CONSOLIDATED=Y","Sort=A","Dates=H","DateFormat=P","Fill=—","Direction=H","UseDPDF=Y")</f>
        <v>#NAME?</v>
      </c>
      <c r="CI605" s="1" t="e">
        <f ca="1">_xll.BDH($C$603,"LT_DEBT_TO_TOT_CAP","FQ2 2014","FQ2 2014","Currency=INR","Period=FQ","BEST_FPERIOD_OVERRIDE=FQ","FILING_STATUS=OR","EQY_CONSOLIDATED=Y","Sort=A","Dates=H","DateFormat=P","Fill=—","Direction=H","UseDPDF=Y")</f>
        <v>#NAME?</v>
      </c>
      <c r="CJ605" s="1" t="e">
        <f ca="1">_xll.BDH($C$603,"LT_DEBT_TO_TOT_ASSET","FQ2 2014","FQ2 2014","Currency=INR","Period=FQ","BEST_FPERIOD_OVERRIDE=FQ","FILING_STATUS=OR","EQY_CONSOLIDATED=Y","Sort=A","Dates=H","DateFormat=P","Fill=—","Direction=H","UseDPDF=Y")</f>
        <v>#NAME?</v>
      </c>
      <c r="CK605" s="1" t="e">
        <f ca="1">_xll.BDH($C$603,"TOT_DEBT_TO_TOT_EQY","FQ2 2014","FQ2 2014","Currency=INR","Period=FQ","BEST_FPERIOD_OVERRIDE=FQ","FILING_STATUS=OR","EQY_CONSOLIDATED=Y","Sort=A","Dates=H","DateFormat=P","Fill=—","Direction=H","UseDPDF=Y")</f>
        <v>#NAME?</v>
      </c>
      <c r="CL605" s="1" t="e">
        <f ca="1">_xll.BDH($C$603,"TOT_DEBT_TO_TOT_CAP","FQ2 2014","FQ2 2014","Currency=INR","Period=FQ","BEST_FPERIOD_OVERRIDE=FQ","FILING_STATUS=OR","EQY_CONSOLIDATED=Y","Sort=A","Dates=H","DateFormat=P","Fill=—","Direction=H","UseDPDF=Y")</f>
        <v>#NAME?</v>
      </c>
      <c r="CM605" s="1" t="e">
        <f ca="1">_xll.BDH($C$603,"TOT_DEBT_TO_TOT_ASSET","FQ2 2014","FQ2 2014","Currency=INR","Period=FQ","BEST_FPERIOD_OVERRIDE=FQ","FILING_STATUS=OR","EQY_CONSOLIDATED=Y","Sort=A","Dates=H","DateFormat=P","Fill=—","Direction=H","UseDPDF=Y")</f>
        <v>#NAME?</v>
      </c>
      <c r="CN605" s="1" t="e">
        <f ca="1">_xll.BDH($C$603,"NET_DEBT_TO_SHRHLDR_EQTY","FQ2 2014","FQ2 2014","Currency=INR","Period=FQ","BEST_FPERIOD_OVERRIDE=FQ","FILING_STATUS=OR","EQY_CONSOLIDATED=Y","Sort=A","Dates=H","DateFormat=P","Fill=—","Direction=H","UseDPDF=Y")</f>
        <v>#NAME?</v>
      </c>
      <c r="CO605" s="1" t="e">
        <f ca="1">_xll.BDH($C$603,"NET_DEBT_%_CAPITAL","FQ2 2014","FQ2 2014","Currency=INR","Period=FQ","BEST_FPERIOD_OVERRIDE=FQ","FILING_STATUS=OR","EQY_CONSOLIDATED=Y","Sort=A","Dates=H","DateFormat=P","Fill=—","Direction=H","UseDPDF=Y")</f>
        <v>#NAME?</v>
      </c>
      <c r="CP605" s="2" t="e">
        <f ca="1">_xll.BDH($C$603,"EBITDA","FQ2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605" s="2" t="e">
        <f ca="1">_xll.BDH($C$603,"EBITDA_AFTER_CAPEX","FQ2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605" s="2" t="e">
        <f ca="1">_xll.BDH($C$603,"IS_OPER_INC","FQ2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605" s="1" t="e">
        <f ca="1">_xll.BDH($C$603,"CASH_RATIO","FQ2 2014","FQ2 2014","Currency=INR","Period=FQ","BEST_FPERIOD_OVERRIDE=FQ","FILING_STATUS=OR","EQY_CONSOLIDATED=Y","Sort=A","Dates=H","DateFormat=P","Fill=—","Direction=H","UseDPDF=Y")</f>
        <v>#NAME?</v>
      </c>
      <c r="CT605" s="1" t="e">
        <f ca="1">_xll.BDH($C$603,"CUR_RATIO","FQ2 2014","FQ2 2014","Currency=INR","Period=FQ","BEST_FPERIOD_OVERRIDE=FQ","FILING_STATUS=OR","EQY_CONSOLIDATED=Y","Sort=A","Dates=H","DateFormat=P","Fill=—","Direction=H","UseDPDF=Y")</f>
        <v>#NAME?</v>
      </c>
      <c r="CU605" s="1" t="e">
        <f ca="1">_xll.BDH($C$603,"QUICK_RATIO","FQ2 2014","FQ2 2014","Currency=INR","Period=FQ","BEST_FPERIOD_OVERRIDE=FQ","FILING_STATUS=OR","EQY_CONSOLIDATED=Y","Sort=A","Dates=H","DateFormat=P","Fill=—","Direction=H","UseDPDF=Y")</f>
        <v>#NAME?</v>
      </c>
      <c r="CV605" s="1" t="e">
        <f ca="1">_xll.BDH($C$603,"ALTMAN_Z_SCORE","FQ2 2014","FQ2 2014","Currency=INR","Period=FQ","BEST_FPERIOD_OVERRIDE=FQ","FILING_STATUS=OR","EQY_CONSOLIDATED=Y","Sort=A","Dates=H","DateFormat=P","Fill=—","Direction=H","UseDPDF=Y")</f>
        <v>#NAME?</v>
      </c>
      <c r="CW605" s="3" t="e">
        <f ca="1">_xll.BDH($C$603,"ACCT_RCV_TURN","FQ2 2014","FQ2 2014","Currency=INR","Period=FQ","BEST_FPERIOD_OVERRIDE=FQ","FILING_STATUS=OR","EQY_CONSOLIDATED=Y","FA_ADJUSTED=GAAP","Sort=A","Dates=H","DateFormat=P","Fill=—","Direction=H","UseDPDF=Y")</f>
        <v>#NAME?</v>
      </c>
      <c r="CX605" s="1" t="e">
        <f ca="1">_xll.BDH($C$603,"ACCT_RCV_DAYS","FQ2 2014","FQ2 2014","Currency=INR","Period=FQ","BEST_FPERIOD_OVERRIDE=FQ","FILING_STATUS=OR","EQY_CONSOLIDATED=Y","FA_ADJUSTED=GAAP","Sort=A","Dates=H","DateFormat=P","Fill=—","Direction=H","UseDPDF=Y")</f>
        <v>#NAME?</v>
      </c>
      <c r="CY605" s="3" t="e">
        <f ca="1">_xll.BDH($C$603,"INVENT_TURN","FQ2 2014","FQ2 2014","Currency=INR","Period=FQ","BEST_FPERIOD_OVERRIDE=FQ","FILING_STATUS=OR","EQY_CONSOLIDATED=Y","FA_ADJUSTED=GAAP","Sort=A","Dates=H","DateFormat=P","Fill=—","Direction=H","UseDPDF=Y")</f>
        <v>#NAME?</v>
      </c>
      <c r="CZ605" s="1" t="e">
        <f ca="1">_xll.BDH($C$603,"INVENT_DAYS","FQ2 2014","FQ2 2014","Currency=INR","Period=FQ","BEST_FPERIOD_OVERRIDE=FQ","FILING_STATUS=OR","EQY_CONSOLIDATED=Y","FA_ADJUSTED=GAAP","Sort=A","Dates=H","DateFormat=P","Fill=—","Direction=H","UseDPDF=Y")</f>
        <v>#NAME?</v>
      </c>
      <c r="DA605" s="3" t="e">
        <f ca="1">_xll.BDH($C$603,"ACCOUNTS_PAYABLE_TURNOVER","FQ2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605" s="1" t="e">
        <f ca="1">_xll.BDH($C$603,"ACCOUNTS_PAYABLE_TURNOVER_DAYS","FQ2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605" s="3" t="e">
        <f ca="1">_xll.BDH($C$603,"CASH_CONVERSION_CYCLE","FQ2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605" s="3" t="e">
        <f ca="1">_xll.BDH($C$603,"INV_TO_CASH_DAYS","FQ2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605" s="4" t="e">
        <f ca="1">_xll.BDH($C$603,"BS_INVENTORIES","FQ2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605" s="2" t="e">
        <f ca="1">_xll.BDH($C$603,"INVTRY_RAW_MATERIALS","FQ2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605" s="2" t="e">
        <f ca="1">_xll.BDH($C$603,"INVTRY_IN_PROGRESS","FQ2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605" s="2" t="e">
        <f ca="1">_xll.BDH($C$603,"INVTRY_FINISHED_GOODS","FQ2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605" s="2" t="e">
        <f ca="1">_xll.BDH($C$603,"BS_OTHER_INV","FQ2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606" spans="1:113" x14ac:dyDescent="0.3">
      <c r="A606" s="6"/>
      <c r="B606" s="6"/>
      <c r="C606" s="6"/>
      <c r="D606" s="6"/>
      <c r="E606" t="s">
        <v>6</v>
      </c>
      <c r="F606" t="e">
        <f ca="1">_xll.BDH($C$603,"RETURN_COM_EQY","FQ3 2014","FQ3 2014","Currency=INR","Period=FQ","BEST_FPERIOD_OVERRIDE=FQ","FILING_STATUS=OR","EQY_CONSOLIDATED=Y","FA_ADJUSTED=GAAP","Sort=A","Dates=H","DateFormat=P","Fill=—","Direction=H","UseDPDF=Y")</f>
        <v>#NAME?</v>
      </c>
      <c r="G606" t="e">
        <f ca="1">_xll.BDH($C$603,"RETURN_ON_ASSET","FQ3 2014","FQ3 2014","Currency=INR","Period=FQ","BEST_FPERIOD_OVERRIDE=FQ","FILING_STATUS=OR","EQY_CONSOLIDATED=Y","FA_ADJUSTED=GAAP","Sort=A","Dates=H","DateFormat=P","Fill=—","Direction=H","UseDPDF=Y")</f>
        <v>#NAME?</v>
      </c>
      <c r="H606" t="e">
        <f ca="1">_xll.BDH($C$603,"RETURN_ON_CAP","FQ3 2014","FQ3 2014","Currency=INR","Period=FQ","BEST_FPERIOD_OVERRIDE=FQ","FILING_STATUS=OR","EQY_CONSOLIDATED=Y","FA_ADJUSTED=GAAP","Sort=A","Dates=H","DateFormat=P","Fill=—","Direction=H","UseDPDF=Y")</f>
        <v>#NAME?</v>
      </c>
      <c r="I606" t="e">
        <f ca="1">_xll.BDH($C$603,"RETURN_ON_INV_CAPITAL","FQ3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606" t="e">
        <f ca="1">_xll.BDH($C$603,"EBITDA_TO_REVENUE","FQ3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606" t="e">
        <f ca="1">_xll.BDH($C$603,"OPER_MARGIN","FQ3 2014","FQ3 2014","Currency=INR","Period=FQ","BEST_FPERIOD_OVERRIDE=FQ","FILING_STATUS=OR","EQY_CONSOLIDATED=Y","FA_ADJUSTED=GAAP","Sort=A","Dates=H","DateFormat=P","Fill=—","Direction=H","UseDPDF=Y")</f>
        <v>#NAME?</v>
      </c>
      <c r="L606" t="e">
        <f ca="1">_xll.BDH($C$603,"INCREMENTAL_OPERATING_MARGIN","FQ3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606" t="e">
        <f ca="1">_xll.BDH($C$603,"PRETAX_INC_TO_NET_SALES","FQ3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606" t="e">
        <f ca="1">_xll.BDH($C$603,"INC_BEF_XO_ITEMS_TO_NET_SALES","FQ3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606" t="e">
        <f ca="1">_xll.BDH($C$603,"PROF_MARGIN","FQ3 2014","FQ3 2014","Currency=INR","Period=FQ","BEST_FPERIOD_OVERRIDE=FQ","FILING_STATUS=OR","EQY_CONSOLIDATED=Y","FA_ADJUSTED=GAAP","Sort=A","Dates=H","DateFormat=P","Fill=—","Direction=H","UseDPDF=Y")</f>
        <v>#NAME?</v>
      </c>
      <c r="P606" t="e">
        <f ca="1">_xll.BDH($C$603,"NET_INCOME_TO_COMMON_MARGIN","FQ3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606" t="e">
        <f ca="1">_xll.BDH($C$603,"EFF_TAX_RATE","FQ3 2014","FQ3 2014","Currency=INR","Period=FQ","BEST_FPERIOD_OVERRIDE=FQ","FILING_STATUS=OR","EQY_CONSOLIDATED=Y","FA_ADJUSTED=GAAP","Sort=A","Dates=H","DateFormat=P","Fill=—","Direction=H","UseDPDF=Y")</f>
        <v>#NAME?</v>
      </c>
      <c r="R606" t="e">
        <f ca="1">_xll.BDH($C$603,"DVD_PAYOUT_RATIO","FQ3 2014","FQ3 2014","Currency=INR","Period=FQ","BEST_FPERIOD_OVERRIDE=FQ","FILING_STATUS=OR","EQY_CONSOLIDATED=Y","FA_ADJUSTED=GAAP","Sort=A","Dates=H","DateFormat=P","Fill=—","Direction=H","UseDPDF=Y")</f>
        <v>#NAME?</v>
      </c>
      <c r="S606" t="e">
        <f ca="1">_xll.BDH($C$603,"SUSTAIN_GROWTH_RT","FQ3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606" s="1" t="e">
        <f ca="1">_xll.BDH($C$603,"SALES_GROWTH","FQ3 2014","FQ3 2014","Currency=INR","Period=FQ","BEST_FPERIOD_OVERRIDE=FQ","FILING_STATUS=OR","EQY_CONSOLIDATED=Y","FA_ADJUSTED=GAAP","Sort=A","Dates=H","DateFormat=P","Fill=—","Direction=H","UseDPDF=Y")</f>
        <v>#NAME?</v>
      </c>
      <c r="U606" s="1" t="e">
        <f ca="1">_xll.BDH($C$603,"EBITDA_GROWTH","FQ3 2014","FQ3 2014","Currency=INR","Period=FQ","BEST_FPERIOD_OVERRIDE=FQ","FILING_STATUS=OR","EQY_CONSOLIDATED=Y","FA_ADJUSTED=GAAP","Sort=A","Dates=H","DateFormat=P","Fill=—","Direction=H","UseDPDF=Y")</f>
        <v>#NAME?</v>
      </c>
      <c r="V606" s="1" t="e">
        <f ca="1">_xll.BDH($C$603,"OPER_INC_GROWTH","FQ3 2014","FQ3 2014","Currency=INR","Period=FQ","BEST_FPERIOD_OVERRIDE=FQ","FILING_STATUS=OR","EQY_CONSOLIDATED=Y","FA_ADJUSTED=GAAP","Sort=A","Dates=H","DateFormat=P","Fill=—","Direction=H","UseDPDF=Y")</f>
        <v>#NAME?</v>
      </c>
      <c r="W606" s="1" t="e">
        <f ca="1">_xll.BDH($C$603,"EARN_FOR_COM_GROWTH","FQ3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606" s="1" t="e">
        <f ca="1">_xll.BDH($C$603,"DILUTED_EPS_AFT_XO_ITEMS_GROWTH","FQ3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606" s="1" t="e">
        <f ca="1">_xll.BDH($C$603,"DIVIDEND_PER_SHARE_1_YEAR_GROWTH","FQ3 2014","FQ3 2014","Currency=INR","Period=FQ","BEST_FPERIOD_OVERRIDE=FQ","FILING_STATUS=OR","EQY_CONSOLIDATED=Y","Sort=A","Dates=H","DateFormat=P","Fill=—","Direction=H","UseDPDF=Y")</f>
        <v>#NAME?</v>
      </c>
      <c r="Z606" s="1" t="e">
        <f ca="1">_xll.BDH($C$603,"ACCOUNTS_RECEIVABLE_GROWTH","FQ3 2014","FQ3 2014","Currency=INR","Period=FQ","BEST_FPERIOD_OVERRIDE=FQ","FILING_STATUS=OR","EQY_CONSOLIDATED=Y","Sort=A","Dates=H","DateFormat=P","Fill=—","Direction=H","UseDPDF=Y")</f>
        <v>#NAME?</v>
      </c>
      <c r="AA606" s="1" t="e">
        <f ca="1">_xll.BDH($C$603,"INVENTORY_GROWTH","FQ3 2014","FQ3 2014","Currency=INR","Period=FQ","BEST_FPERIOD_OVERRIDE=FQ","FILING_STATUS=OR","EQY_CONSOLIDATED=Y","Sort=A","Dates=H","DateFormat=P","Fill=—","Direction=H","UseDPDF=Y")</f>
        <v>#NAME?</v>
      </c>
      <c r="AB606" s="1" t="e">
        <f ca="1">_xll.BDH($C$603,"NET_FIXED_ASSETS_1_YEAR_GROWTH","FQ3 2014","FQ3 2014","Currency=INR","Period=FQ","BEST_FPERIOD_OVERRIDE=FQ","FILING_STATUS=OR","EQY_CONSOLIDATED=Y","Sort=A","Dates=H","DateFormat=P","Fill=—","Direction=H","UseDPDF=Y")</f>
        <v>#NAME?</v>
      </c>
      <c r="AC606" s="1" t="e">
        <f ca="1">_xll.BDH($C$603,"ASSET_GROWTH","FQ3 2014","FQ3 2014","Currency=INR","Period=FQ","BEST_FPERIOD_OVERRIDE=FQ","FILING_STATUS=OR","EQY_CONSOLIDATED=Y","Sort=A","Dates=H","DateFormat=P","Fill=—","Direction=H","UseDPDF=Y")</f>
        <v>#NAME?</v>
      </c>
      <c r="AD606" s="1" t="e">
        <f ca="1">_xll.BDH($C$603,"MODIFIED_WORK_CAP_GROWTH","FQ3 2014","FQ3 2014","Currency=INR","Period=FQ","BEST_FPERIOD_OVERRIDE=FQ","FILING_STATUS=OR","EQY_CONSOLIDATED=Y","Sort=A","Dates=H","DateFormat=P","Fill=—","Direction=H","UseDPDF=Y")</f>
        <v>#NAME?</v>
      </c>
      <c r="AE606" s="1" t="e">
        <f ca="1">_xll.BDH($C$603,"WORK_CAP_GROWTH","FQ3 2014","FQ3 2014","Currency=INR","Period=FQ","BEST_FPERIOD_OVERRIDE=FQ","FILING_STATUS=OR","EQY_CONSOLIDATED=Y","Sort=A","Dates=H","DateFormat=P","Fill=—","Direction=H","UseDPDF=Y")</f>
        <v>#NAME?</v>
      </c>
      <c r="AF606" s="1" t="e">
        <f ca="1">_xll.BDH($C$603,"ACCOUNTS_PAYABLE_GROWTH_1YR","FQ3 2014","FQ3 2014","Currency=INR","Period=FQ","BEST_FPERIOD_OVERRIDE=FQ","FILING_STATUS=OR","EQY_CONSOLIDATED=Y","Sort=A","Dates=H","DateFormat=P","Fill=—","Direction=H","UseDPDF=Y")</f>
        <v>#NAME?</v>
      </c>
      <c r="AG606" s="1" t="e">
        <f ca="1">_xll.BDH($C$603,"SHORT_TERM_DEBT_1_YEAR_GROWTH","FQ3 2014","FQ3 2014","Currency=INR","Period=FQ","BEST_FPERIOD_OVERRIDE=FQ","FILING_STATUS=OR","EQY_CONSOLIDATED=Y","Sort=A","Dates=H","DateFormat=P","Fill=—","Direction=H","UseDPDF=Y")</f>
        <v>#NAME?</v>
      </c>
      <c r="AH606" s="1" t="e">
        <f ca="1">_xll.BDH($C$603,"TOTAL_DEBT_1_YEAR_GROWTH","FQ3 2014","FQ3 2014","Currency=INR","Period=FQ","BEST_FPERIOD_OVERRIDE=FQ","FILING_STATUS=OR","EQY_CONSOLIDATED=Y","Sort=A","Dates=H","DateFormat=P","Fill=—","Direction=H","UseDPDF=Y")</f>
        <v>#NAME?</v>
      </c>
      <c r="AI606" s="1" t="e">
        <f ca="1">_xll.BDH($C$603,"TOTAL_EQUITY_1_YEAR_GROWTH","FQ3 2014","FQ3 2014","Currency=INR","Period=FQ","BEST_FPERIOD_OVERRIDE=FQ","FILING_STATUS=OR","EQY_CONSOLIDATED=Y","Sort=A","Dates=H","DateFormat=P","Fill=—","Direction=H","UseDPDF=Y")</f>
        <v>#NAME?</v>
      </c>
      <c r="AJ606" s="1" t="e">
        <f ca="1">_xll.BDH($C$603,"GROWTH_IN_CAP","FQ3 2014","FQ3 2014","Currency=INR","Period=FQ","BEST_FPERIOD_OVERRIDE=FQ","FILING_STATUS=OR","EQY_CONSOLIDATED=Y","Sort=A","Dates=H","DateFormat=P","Fill=—","Direction=H","UseDPDF=Y")</f>
        <v>#NAME?</v>
      </c>
      <c r="AK606" s="1" t="e">
        <f ca="1">_xll.BDH($C$603,"BVPS_GROWTH","FQ3 2014","FQ3 2014","Currency=INR","Period=FQ","BEST_FPERIOD_OVERRIDE=FQ","FILING_STATUS=OR","EQY_CONSOLIDATED=Y","Sort=A","Dates=H","DateFormat=P","Fill=—","Direction=H","UseDPDF=Y")</f>
        <v>#NAME?</v>
      </c>
      <c r="AL606" s="1" t="e">
        <f ca="1">_xll.BDH($C$603,"CASH_FLOW_GROWTH","FQ3 2014","FQ3 2014","Currency=INR","Period=FQ","BEST_FPERIOD_OVERRIDE=FQ","FILING_STATUS=OR","EQY_CONSOLIDATED=Y","Sort=A","Dates=H","DateFormat=P","Fill=—","Direction=H","UseDPDF=Y")</f>
        <v>#NAME?</v>
      </c>
      <c r="AM606" s="1" t="e">
        <f ca="1">_xll.BDH($C$603,"GEO_GROW_NET_SALES","FQ3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606" s="1" t="e">
        <f ca="1">_xll.BDH($C$603,"GEO_GROW_EBITDA","FQ3 2014","FQ3 2014","Currency=INR","Period=FQ","BEST_FPERIOD_OVERRIDE=FQ","FILING_STATUS=OR","EQY_CONSOLIDATED=Y","FA_ADJUSTED=GAAP","Sort=A","Dates=H","DateFormat=P","Fill=—","Direction=H","UseDPDF=Y")</f>
        <v>#NAME?</v>
      </c>
      <c r="AO606" s="1" t="e">
        <f ca="1">_xll.BDH($C$603,"GEO_GROW_OPER_INC","FQ3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606" s="1" t="e">
        <f ca="1">_xll.BDH($C$603,"NET_INCOME_TO_COMMON_5_YR_GROWTH","FQ3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606" s="1" t="e">
        <f ca="1">_xll.BDH($C$603,"5Y_GEO_GROWTH_DILUTED_EPS","FQ3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606" s="1" t="e">
        <f ca="1">_xll.BDH($C$603,"GEO_GROW_DVD_PER_SH","FQ3 2014","FQ3 2014","Currency=INR","Period=FQ","BEST_FPERIOD_OVERRIDE=FQ","FILING_STATUS=OR","EQY_CONSOLIDATED=Y","Sort=A","Dates=H","DateFormat=P","Fill=—","Direction=H","UseDPDF=Y")</f>
        <v>#NAME?</v>
      </c>
      <c r="AS606" s="1" t="e">
        <f ca="1">_xll.BDH($C$603,"ACCOUNTS_RECEIVABLE_5_YR_GROWTH","FQ3 2014","FQ3 2014","Currency=INR","Period=FQ","BEST_FPERIOD_OVERRIDE=FQ","FILING_STATUS=OR","EQY_CONSOLIDATED=Y","Sort=A","Dates=H","DateFormat=P","Fill=—","Direction=H","UseDPDF=Y")</f>
        <v>#NAME?</v>
      </c>
      <c r="AT606" s="1" t="e">
        <f ca="1">_xll.BDH($C$603,"INVENTORY_5_YEAR_GROWTH","FQ3 2014","FQ3 2014","Currency=INR","Period=FQ","BEST_FPERIOD_OVERRIDE=FQ","FILING_STATUS=OR","EQY_CONSOLIDATED=Y","Sort=A","Dates=H","DateFormat=P","Fill=—","Direction=H","UseDPDF=Y")</f>
        <v>#NAME?</v>
      </c>
      <c r="AU606" s="1" t="e">
        <f ca="1">_xll.BDH($C$603,"NET_FIXED_ASSETS_5_YEAR_GROWTH","FQ3 2014","FQ3 2014","Currency=INR","Period=FQ","BEST_FPERIOD_OVERRIDE=FQ","FILING_STATUS=OR","EQY_CONSOLIDATED=Y","Sort=A","Dates=H","DateFormat=P","Fill=—","Direction=H","UseDPDF=Y")</f>
        <v>#NAME?</v>
      </c>
      <c r="AV606" s="1" t="e">
        <f ca="1">_xll.BDH($C$603,"GEO_GROW_TOT_ASSET","FQ3 2014","FQ3 2014","Currency=INR","Period=FQ","BEST_FPERIOD_OVERRIDE=FQ","FILING_STATUS=OR","EQY_CONSOLIDATED=Y","Sort=A","Dates=H","DateFormat=P","Fill=—","Direction=H","UseDPDF=Y")</f>
        <v>#NAME?</v>
      </c>
      <c r="AW606" s="1" t="e">
        <f ca="1">_xll.BDH($C$603,"MODIFIED_WORKING_CPTL_5YR_GRWTH","FQ3 2014","FQ3 2014","Currency=INR","Period=FQ","BEST_FPERIOD_OVERRIDE=FQ","FILING_STATUS=OR","EQY_CONSOLIDATED=Y","Sort=A","Dates=H","DateFormat=P","Fill=—","Direction=H","UseDPDF=Y")</f>
        <v>#NAME?</v>
      </c>
      <c r="AX606" s="1" t="e">
        <f ca="1">_xll.BDH($C$603,"WORKING_CAPITAL_5_YEAR_GROWTH","FQ3 2014","FQ3 2014","Currency=INR","Period=FQ","BEST_FPERIOD_OVERRIDE=FQ","FILING_STATUS=OR","EQY_CONSOLIDATED=Y","Sort=A","Dates=H","DateFormat=P","Fill=—","Direction=H","UseDPDF=Y")</f>
        <v>#NAME?</v>
      </c>
      <c r="AY606" s="1" t="e">
        <f ca="1">_xll.BDH($C$603,"ACCOUNTS_PAYABLE_5_YEAR_GROWTH","FQ3 2014","FQ3 2014","Currency=INR","Period=FQ","BEST_FPERIOD_OVERRIDE=FQ","FILING_STATUS=OR","EQY_CONSOLIDATED=Y","Sort=A","Dates=H","DateFormat=P","Fill=—","Direction=H","UseDPDF=Y")</f>
        <v>#NAME?</v>
      </c>
      <c r="AZ606" s="1" t="e">
        <f ca="1">_xll.BDH($C$603,"SHORT_TERM_DEBT_5_YEAR_GROWTH","FQ3 2014","FQ3 2014","Currency=INR","Period=FQ","BEST_FPERIOD_OVERRIDE=FQ","FILING_STATUS=OR","EQY_CONSOLIDATED=Y","Sort=A","Dates=H","DateFormat=P","Fill=—","Direction=H","UseDPDF=Y")</f>
        <v>#NAME?</v>
      </c>
      <c r="BA606" s="1" t="e">
        <f ca="1">_xll.BDH($C$603,"TOTAL_DEBT_5_YEAR_GROWTH","FQ3 2014","FQ3 2014","Currency=INR","Period=FQ","BEST_FPERIOD_OVERRIDE=FQ","FILING_STATUS=OR","EQY_CONSOLIDATED=Y","Sort=A","Dates=H","DateFormat=P","Fill=—","Direction=H","UseDPDF=Y")</f>
        <v>#NAME?</v>
      </c>
      <c r="BB606" s="1" t="e">
        <f ca="1">_xll.BDH($C$603,"GEO_GROW_TOT_SHRHLDR_EQY","FQ3 2014","FQ3 2014","Currency=INR","Period=FQ","BEST_FPERIOD_OVERRIDE=FQ","FILING_STATUS=OR","EQY_CONSOLIDATED=Y","Sort=A","Dates=H","DateFormat=P","Fill=—","Direction=H","UseDPDF=Y")</f>
        <v>#NAME?</v>
      </c>
      <c r="BC606" s="1" t="e">
        <f ca="1">_xll.BDH($C$603,"TOTAL_CAPITAL_5_YEAR_GROWTH","FQ3 2014","FQ3 2014","Currency=INR","Period=FQ","BEST_FPERIOD_OVERRIDE=FQ","FILING_STATUS=OR","EQY_CONSOLIDATED=Y","Sort=A","Dates=H","DateFormat=P","Fill=—","Direction=H","UseDPDF=Y")</f>
        <v>#NAME?</v>
      </c>
      <c r="BD606" s="1" t="e">
        <f ca="1">_xll.BDH($C$603,"GEO_GROW_BOOK_VAL","FQ3 2014","FQ3 2014","Currency=INR","Period=FQ","BEST_FPERIOD_OVERRIDE=FQ","FILING_STATUS=OR","EQY_CONSOLIDATED=Y","Sort=A","Dates=H","DateFormat=P","Fill=—","Direction=H","UseDPDF=Y")</f>
        <v>#NAME?</v>
      </c>
      <c r="BE606" s="1" t="e">
        <f ca="1">_xll.BDH($C$603,"GEO_GROW_CASH_OPER_ACT","FQ3 2014","FQ3 2014","Currency=INR","Period=FQ","BEST_FPERIOD_OVERRIDE=FQ","FILING_STATUS=OR","EQY_CONSOLIDATED=Y","Sort=A","Dates=H","DateFormat=P","Fill=—","Direction=H","UseDPDF=Y")</f>
        <v>#NAME?</v>
      </c>
      <c r="BF606" s="1" t="e">
        <f ca="1">_xll.BDH($C$603,"REVENUE_SEQUENTIAL_GROWTH","FQ3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606" s="1" t="e">
        <f ca="1">_xll.BDH($C$603,"EBITDA_SEQUENTIAL_GROWTH","FQ3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606" s="1" t="e">
        <f ca="1">_xll.BDH($C$603,"OPERATING_INCOME_SEQ_GROWTH","FQ3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606" s="1" t="e">
        <f ca="1">_xll.BDH($C$603,"NET_INCOME_TO_COMMON_SEQ_GROWTH","FQ3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606" s="1" t="e">
        <f ca="1">_xll.BDH($C$603,"EPS_DILUTED_SEQUENTIAL_GROWTH","FQ3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606" s="1" t="e">
        <f ca="1">_xll.BDH($C$603,"DPS_SEQUENTIAL_GROWTH","FQ3 2014","FQ3 2014","Currency=INR","Period=FQ","BEST_FPERIOD_OVERRIDE=FQ","FILING_STATUS=OR","EQY_CONSOLIDATED=Y","Sort=A","Dates=H","DateFormat=P","Fill=—","Direction=H","UseDPDF=Y")</f>
        <v>#NAME?</v>
      </c>
      <c r="BL606" s="1" t="e">
        <f ca="1">_xll.BDH($C$603,"ACCOUNTS_RECEIVABLE_SEQ_GROWTH","FQ3 2014","FQ3 2014","Currency=INR","Period=FQ","BEST_FPERIOD_OVERRIDE=FQ","FILING_STATUS=OR","EQY_CONSOLIDATED=Y","Sort=A","Dates=H","DateFormat=P","Fill=—","Direction=H","UseDPDF=Y")</f>
        <v>#NAME?</v>
      </c>
      <c r="BM606" s="1" t="e">
        <f ca="1">_xll.BDH($C$603,"INVENTORY_SEQUENTIAL_GROWTH","FQ3 2014","FQ3 2014","Currency=INR","Period=FQ","BEST_FPERIOD_OVERRIDE=FQ","FILING_STATUS=OR","EQY_CONSOLIDATED=Y","Sort=A","Dates=H","DateFormat=P","Fill=—","Direction=H","UseDPDF=Y")</f>
        <v>#NAME?</v>
      </c>
      <c r="BN606" s="1" t="e">
        <f ca="1">_xll.BDH($C$603,"FIXED_ASSETS_SEQUENTIAL_GROWTH","FQ3 2014","FQ3 2014","Currency=INR","Period=FQ","BEST_FPERIOD_OVERRIDE=FQ","FILING_STATUS=OR","EQY_CONSOLIDATED=Y","Sort=A","Dates=H","DateFormat=P","Fill=—","Direction=H","UseDPDF=Y")</f>
        <v>#NAME?</v>
      </c>
      <c r="BO606" s="1" t="e">
        <f ca="1">_xll.BDH($C$603,"TOTAL_ASSETS_SEQUENTIAL_GROWTH","FQ3 2014","FQ3 2014","Currency=INR","Period=FQ","BEST_FPERIOD_OVERRIDE=FQ","FILING_STATUS=OR","EQY_CONSOLIDATED=Y","Sort=A","Dates=H","DateFormat=P","Fill=—","Direction=H","UseDPDF=Y")</f>
        <v>#NAME?</v>
      </c>
      <c r="BP606" s="1" t="e">
        <f ca="1">_xll.BDH($C$603,"MODIFIED_WORKING_CPTL_SEQ_GRWTH","FQ3 2014","FQ3 2014","Currency=INR","Period=FQ","BEST_FPERIOD_OVERRIDE=FQ","FILING_STATUS=OR","EQY_CONSOLIDATED=Y","Sort=A","Dates=H","DateFormat=P","Fill=—","Direction=H","UseDPDF=Y")</f>
        <v>#NAME?</v>
      </c>
      <c r="BQ606" s="1" t="e">
        <f ca="1">_xll.BDH($C$603,"WORKING_CAPITAL_SEQ_GROWTH","FQ3 2014","FQ3 2014","Currency=INR","Period=FQ","BEST_FPERIOD_OVERRIDE=FQ","FILING_STATUS=OR","EQY_CONSOLIDATED=Y","Sort=A","Dates=H","DateFormat=P","Fill=—","Direction=H","UseDPDF=Y")</f>
        <v>#NAME?</v>
      </c>
      <c r="BR606" s="1" t="e">
        <f ca="1">_xll.BDH($C$603,"ACCOUNTS_PAYABLE_SEQ_GROWTH","FQ3 2014","FQ3 2014","Currency=INR","Period=FQ","BEST_FPERIOD_OVERRIDE=FQ","FILING_STATUS=OR","EQY_CONSOLIDATED=Y","Sort=A","Dates=H","DateFormat=P","Fill=—","Direction=H","UseDPDF=Y")</f>
        <v>#NAME?</v>
      </c>
      <c r="BS606" s="1" t="e">
        <f ca="1">_xll.BDH($C$603,"ST_DEBT_SEQUENTIAL_GROWTH","FQ3 2014","FQ3 2014","Currency=INR","Period=FQ","BEST_FPERIOD_OVERRIDE=FQ","FILING_STATUS=OR","EQY_CONSOLIDATED=Y","Sort=A","Dates=H","DateFormat=P","Fill=—","Direction=H","UseDPDF=Y")</f>
        <v>#NAME?</v>
      </c>
      <c r="BT606" s="1" t="e">
        <f ca="1">_xll.BDH($C$603,"TOTAL_DEBT_SEQUENTIAL_GROWTH","FQ3 2014","FQ3 2014","Currency=INR","Period=FQ","BEST_FPERIOD_OVERRIDE=FQ","FILING_STATUS=OR","EQY_CONSOLIDATED=Y","Sort=A","Dates=H","DateFormat=P","Fill=—","Direction=H","UseDPDF=Y")</f>
        <v>#NAME?</v>
      </c>
      <c r="BU606" s="1" t="e">
        <f ca="1">_xll.BDH($C$603,"TOTAL_EQUITY_SEQUENTIAL_GROWTH","FQ3 2014","FQ3 2014","Currency=INR","Period=FQ","BEST_FPERIOD_OVERRIDE=FQ","FILING_STATUS=OR","EQY_CONSOLIDATED=Y","Sort=A","Dates=H","DateFormat=P","Fill=—","Direction=H","UseDPDF=Y")</f>
        <v>#NAME?</v>
      </c>
      <c r="BV606" s="1" t="e">
        <f ca="1">_xll.BDH($C$603,"TOTAL_CAPITAL_SEQUENTIAL_GROWTH","FQ3 2014","FQ3 2014","Currency=INR","Period=FQ","BEST_FPERIOD_OVERRIDE=FQ","FILING_STATUS=OR","EQY_CONSOLIDATED=Y","Sort=A","Dates=H","DateFormat=P","Fill=—","Direction=H","UseDPDF=Y")</f>
        <v>#NAME?</v>
      </c>
      <c r="BW606" s="1" t="e">
        <f ca="1">_xll.BDH($C$603,"BPS_SEQUENTIAL_GROWTH","FQ3 2014","FQ3 2014","Currency=INR","Period=FQ","BEST_FPERIOD_OVERRIDE=FQ","FILING_STATUS=OR","EQY_CONSOLIDATED=Y","Sort=A","Dates=H","DateFormat=P","Fill=—","Direction=H","UseDPDF=Y")</f>
        <v>#NAME?</v>
      </c>
      <c r="BX606" s="1" t="e">
        <f ca="1">_xll.BDH($C$603,"CFO_SEQUENTIAL_GROWTH","FQ3 2014","FQ3 2014","Currency=INR","Period=FQ","BEST_FPERIOD_OVERRIDE=FQ","FILING_STATUS=OR","EQY_CONSOLIDATED=Y","Sort=A","Dates=H","DateFormat=P","Fill=—","Direction=H","UseDPDF=Y")</f>
        <v>#NAME?</v>
      </c>
      <c r="BY606" s="2" t="e">
        <f ca="1">_xll.BDH($C$603,"SHORT_AND_LONG_TERM_DEBT","FQ3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606" s="2" t="e">
        <f ca="1">_xll.BDH($C$603,"BS_ST_BORROW","FQ3 2014","FQ3 2014","Currency=INR","Period=FQ","BEST_FPERIOD_OVERRIDE=FQ","FILING_STATUS=OR","EQY_CONSOLIDATED=Y","SCALING_FORMAT=MLN","Sort=A","Dates=H","DateFormat=P","Fill=—","Direction=H","UseDPDF=Y")</f>
        <v>#NAME?</v>
      </c>
      <c r="CA606" s="2" t="e">
        <f ca="1">_xll.BDH($C$603,"BS_LT_BORROW","FQ3 2014","FQ3 2014","Currency=INR","Period=FQ","BEST_FPERIOD_OVERRIDE=FQ","FILING_STATUS=OR","EQY_CONSOLIDATED=Y","SCALING_FORMAT=MLN","Sort=A","Dates=H","DateFormat=P","Fill=—","Direction=H","UseDPDF=Y")</f>
        <v>#NAME?</v>
      </c>
      <c r="CB606" s="1" t="e">
        <f ca="1">_xll.BDH($C$603,"TOT_DEBT_TO_EBITDA","FQ3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606" s="1" t="e">
        <f ca="1">_xll.BDH($C$603,"NET_DEBT_TO_EBITDA","FQ3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606" s="1" t="e">
        <f ca="1">_xll.BDH($C$603,"TOTAL_DEBT_TO_EBIT","FQ3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606" s="1" t="e">
        <f ca="1">_xll.BDH($C$603,"NET_DEBT_TO_EBIT","FQ3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606" s="1" t="e">
        <f ca="1">_xll.BDH($C$603,"EBITDA_TO_INTEREST_EXPN","FQ3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606" s="1" t="e">
        <f ca="1">_xll.BDH($C$603,"COM_EQY_TO_TOT_ASSET","FQ3 2014","FQ3 2014","Currency=INR","Period=FQ","BEST_FPERIOD_OVERRIDE=FQ","FILING_STATUS=OR","EQY_CONSOLIDATED=Y","Sort=A","Dates=H","DateFormat=P","Fill=—","Direction=H","UseDPDF=Y")</f>
        <v>#NAME?</v>
      </c>
      <c r="CH606" s="1" t="e">
        <f ca="1">_xll.BDH($C$603,"LT_DEBT_TO_TOT_EQY","FQ3 2014","FQ3 2014","Currency=INR","Period=FQ","BEST_FPERIOD_OVERRIDE=FQ","FILING_STATUS=OR","EQY_CONSOLIDATED=Y","Sort=A","Dates=H","DateFormat=P","Fill=—","Direction=H","UseDPDF=Y")</f>
        <v>#NAME?</v>
      </c>
      <c r="CI606" s="1" t="e">
        <f ca="1">_xll.BDH($C$603,"LT_DEBT_TO_TOT_CAP","FQ3 2014","FQ3 2014","Currency=INR","Period=FQ","BEST_FPERIOD_OVERRIDE=FQ","FILING_STATUS=OR","EQY_CONSOLIDATED=Y","Sort=A","Dates=H","DateFormat=P","Fill=—","Direction=H","UseDPDF=Y")</f>
        <v>#NAME?</v>
      </c>
      <c r="CJ606" s="1" t="e">
        <f ca="1">_xll.BDH($C$603,"LT_DEBT_TO_TOT_ASSET","FQ3 2014","FQ3 2014","Currency=INR","Period=FQ","BEST_FPERIOD_OVERRIDE=FQ","FILING_STATUS=OR","EQY_CONSOLIDATED=Y","Sort=A","Dates=H","DateFormat=P","Fill=—","Direction=H","UseDPDF=Y")</f>
        <v>#NAME?</v>
      </c>
      <c r="CK606" s="1" t="e">
        <f ca="1">_xll.BDH($C$603,"TOT_DEBT_TO_TOT_EQY","FQ3 2014","FQ3 2014","Currency=INR","Period=FQ","BEST_FPERIOD_OVERRIDE=FQ","FILING_STATUS=OR","EQY_CONSOLIDATED=Y","Sort=A","Dates=H","DateFormat=P","Fill=—","Direction=H","UseDPDF=Y")</f>
        <v>#NAME?</v>
      </c>
      <c r="CL606" s="1" t="e">
        <f ca="1">_xll.BDH($C$603,"TOT_DEBT_TO_TOT_CAP","FQ3 2014","FQ3 2014","Currency=INR","Period=FQ","BEST_FPERIOD_OVERRIDE=FQ","FILING_STATUS=OR","EQY_CONSOLIDATED=Y","Sort=A","Dates=H","DateFormat=P","Fill=—","Direction=H","UseDPDF=Y")</f>
        <v>#NAME?</v>
      </c>
      <c r="CM606" s="1" t="e">
        <f ca="1">_xll.BDH($C$603,"TOT_DEBT_TO_TOT_ASSET","FQ3 2014","FQ3 2014","Currency=INR","Period=FQ","BEST_FPERIOD_OVERRIDE=FQ","FILING_STATUS=OR","EQY_CONSOLIDATED=Y","Sort=A","Dates=H","DateFormat=P","Fill=—","Direction=H","UseDPDF=Y")</f>
        <v>#NAME?</v>
      </c>
      <c r="CN606" s="1" t="e">
        <f ca="1">_xll.BDH($C$603,"NET_DEBT_TO_SHRHLDR_EQTY","FQ3 2014","FQ3 2014","Currency=INR","Period=FQ","BEST_FPERIOD_OVERRIDE=FQ","FILING_STATUS=OR","EQY_CONSOLIDATED=Y","Sort=A","Dates=H","DateFormat=P","Fill=—","Direction=H","UseDPDF=Y")</f>
        <v>#NAME?</v>
      </c>
      <c r="CO606" s="1" t="e">
        <f ca="1">_xll.BDH($C$603,"NET_DEBT_%_CAPITAL","FQ3 2014","FQ3 2014","Currency=INR","Period=FQ","BEST_FPERIOD_OVERRIDE=FQ","FILING_STATUS=OR","EQY_CONSOLIDATED=Y","Sort=A","Dates=H","DateFormat=P","Fill=—","Direction=H","UseDPDF=Y")</f>
        <v>#NAME?</v>
      </c>
      <c r="CP606" s="2" t="e">
        <f ca="1">_xll.BDH($C$603,"EBITDA","FQ3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606" s="2" t="e">
        <f ca="1">_xll.BDH($C$603,"EBITDA_AFTER_CAPEX","FQ3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606" s="2" t="e">
        <f ca="1">_xll.BDH($C$603,"IS_OPER_INC","FQ3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606" s="1" t="e">
        <f ca="1">_xll.BDH($C$603,"CASH_RATIO","FQ3 2014","FQ3 2014","Currency=INR","Period=FQ","BEST_FPERIOD_OVERRIDE=FQ","FILING_STATUS=OR","EQY_CONSOLIDATED=Y","Sort=A","Dates=H","DateFormat=P","Fill=—","Direction=H","UseDPDF=Y")</f>
        <v>#NAME?</v>
      </c>
      <c r="CT606" s="1" t="e">
        <f ca="1">_xll.BDH($C$603,"CUR_RATIO","FQ3 2014","FQ3 2014","Currency=INR","Period=FQ","BEST_FPERIOD_OVERRIDE=FQ","FILING_STATUS=OR","EQY_CONSOLIDATED=Y","Sort=A","Dates=H","DateFormat=P","Fill=—","Direction=H","UseDPDF=Y")</f>
        <v>#NAME?</v>
      </c>
      <c r="CU606" s="1" t="e">
        <f ca="1">_xll.BDH($C$603,"QUICK_RATIO","FQ3 2014","FQ3 2014","Currency=INR","Period=FQ","BEST_FPERIOD_OVERRIDE=FQ","FILING_STATUS=OR","EQY_CONSOLIDATED=Y","Sort=A","Dates=H","DateFormat=P","Fill=—","Direction=H","UseDPDF=Y")</f>
        <v>#NAME?</v>
      </c>
      <c r="CV606" s="1" t="e">
        <f ca="1">_xll.BDH($C$603,"ALTMAN_Z_SCORE","FQ3 2014","FQ3 2014","Currency=INR","Period=FQ","BEST_FPERIOD_OVERRIDE=FQ","FILING_STATUS=OR","EQY_CONSOLIDATED=Y","Sort=A","Dates=H","DateFormat=P","Fill=—","Direction=H","UseDPDF=Y")</f>
        <v>#NAME?</v>
      </c>
      <c r="CW606" s="3" t="e">
        <f ca="1">_xll.BDH($C$603,"ACCT_RCV_TURN","FQ3 2014","FQ3 2014","Currency=INR","Period=FQ","BEST_FPERIOD_OVERRIDE=FQ","FILING_STATUS=OR","EQY_CONSOLIDATED=Y","FA_ADJUSTED=GAAP","Sort=A","Dates=H","DateFormat=P","Fill=—","Direction=H","UseDPDF=Y")</f>
        <v>#NAME?</v>
      </c>
      <c r="CX606" s="1" t="e">
        <f ca="1">_xll.BDH($C$603,"ACCT_RCV_DAYS","FQ3 2014","FQ3 2014","Currency=INR","Period=FQ","BEST_FPERIOD_OVERRIDE=FQ","FILING_STATUS=OR","EQY_CONSOLIDATED=Y","FA_ADJUSTED=GAAP","Sort=A","Dates=H","DateFormat=P","Fill=—","Direction=H","UseDPDF=Y")</f>
        <v>#NAME?</v>
      </c>
      <c r="CY606" s="3" t="e">
        <f ca="1">_xll.BDH($C$603,"INVENT_TURN","FQ3 2014","FQ3 2014","Currency=INR","Period=FQ","BEST_FPERIOD_OVERRIDE=FQ","FILING_STATUS=OR","EQY_CONSOLIDATED=Y","FA_ADJUSTED=GAAP","Sort=A","Dates=H","DateFormat=P","Fill=—","Direction=H","UseDPDF=Y")</f>
        <v>#NAME?</v>
      </c>
      <c r="CZ606" s="1" t="e">
        <f ca="1">_xll.BDH($C$603,"INVENT_DAYS","FQ3 2014","FQ3 2014","Currency=INR","Period=FQ","BEST_FPERIOD_OVERRIDE=FQ","FILING_STATUS=OR","EQY_CONSOLIDATED=Y","FA_ADJUSTED=GAAP","Sort=A","Dates=H","DateFormat=P","Fill=—","Direction=H","UseDPDF=Y")</f>
        <v>#NAME?</v>
      </c>
      <c r="DA606" s="3" t="e">
        <f ca="1">_xll.BDH($C$603,"ACCOUNTS_PAYABLE_TURNOVER","FQ3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606" s="1" t="e">
        <f ca="1">_xll.BDH($C$603,"ACCOUNTS_PAYABLE_TURNOVER_DAYS","FQ3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606" s="3" t="e">
        <f ca="1">_xll.BDH($C$603,"CASH_CONVERSION_CYCLE","FQ3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606" s="3" t="e">
        <f ca="1">_xll.BDH($C$603,"INV_TO_CASH_DAYS","FQ3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606" s="4" t="e">
        <f ca="1">_xll.BDH($C$603,"BS_INVENTORIES","FQ3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606" s="2" t="e">
        <f ca="1">_xll.BDH($C$603,"INVTRY_RAW_MATERIALS","FQ3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606" s="2" t="e">
        <f ca="1">_xll.BDH($C$603,"INVTRY_IN_PROGRESS","FQ3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606" s="2" t="e">
        <f ca="1">_xll.BDH($C$603,"INVTRY_FINISHED_GOODS","FQ3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606" s="2" t="e">
        <f ca="1">_xll.BDH($C$603,"BS_OTHER_INV","FQ3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607" spans="1:113" x14ac:dyDescent="0.3">
      <c r="A607" s="6"/>
      <c r="B607" s="6"/>
      <c r="C607" s="6"/>
      <c r="D607" s="6"/>
      <c r="E607" t="s">
        <v>7</v>
      </c>
      <c r="F607" t="e">
        <f ca="1">_xll.BDH($C$603,"RETURN_COM_EQY","FQ4 2014","FQ4 2014","Currency=INR","Period=FQ","BEST_FPERIOD_OVERRIDE=FQ","FILING_STATUS=OR","EQY_CONSOLIDATED=Y","FA_ADJUSTED=GAAP","Sort=A","Dates=H","DateFormat=P","Fill=—","Direction=H","UseDPDF=Y")</f>
        <v>#NAME?</v>
      </c>
      <c r="G607" t="e">
        <f ca="1">_xll.BDH($C$603,"RETURN_ON_ASSET","FQ4 2014","FQ4 2014","Currency=INR","Period=FQ","BEST_FPERIOD_OVERRIDE=FQ","FILING_STATUS=OR","EQY_CONSOLIDATED=Y","FA_ADJUSTED=GAAP","Sort=A","Dates=H","DateFormat=P","Fill=—","Direction=H","UseDPDF=Y")</f>
        <v>#NAME?</v>
      </c>
      <c r="H607" t="e">
        <f ca="1">_xll.BDH($C$603,"RETURN_ON_CAP","FQ4 2014","FQ4 2014","Currency=INR","Period=FQ","BEST_FPERIOD_OVERRIDE=FQ","FILING_STATUS=OR","EQY_CONSOLIDATED=Y","FA_ADJUSTED=GAAP","Sort=A","Dates=H","DateFormat=P","Fill=—","Direction=H","UseDPDF=Y")</f>
        <v>#NAME?</v>
      </c>
      <c r="I607" t="e">
        <f ca="1">_xll.BDH($C$603,"RETURN_ON_INV_CAPITAL","FQ4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607" t="e">
        <f ca="1">_xll.BDH($C$603,"EBITDA_TO_REVENUE","FQ4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607" t="e">
        <f ca="1">_xll.BDH($C$603,"OPER_MARGIN","FQ4 2014","FQ4 2014","Currency=INR","Period=FQ","BEST_FPERIOD_OVERRIDE=FQ","FILING_STATUS=OR","EQY_CONSOLIDATED=Y","FA_ADJUSTED=GAAP","Sort=A","Dates=H","DateFormat=P","Fill=—","Direction=H","UseDPDF=Y")</f>
        <v>#NAME?</v>
      </c>
      <c r="L607" t="e">
        <f ca="1">_xll.BDH($C$603,"INCREMENTAL_OPERATING_MARGIN","FQ4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607" t="e">
        <f ca="1">_xll.BDH($C$603,"PRETAX_INC_TO_NET_SALES","FQ4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607" t="e">
        <f ca="1">_xll.BDH($C$603,"INC_BEF_XO_ITEMS_TO_NET_SALES","FQ4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607" t="e">
        <f ca="1">_xll.BDH($C$603,"PROF_MARGIN","FQ4 2014","FQ4 2014","Currency=INR","Period=FQ","BEST_FPERIOD_OVERRIDE=FQ","FILING_STATUS=OR","EQY_CONSOLIDATED=Y","FA_ADJUSTED=GAAP","Sort=A","Dates=H","DateFormat=P","Fill=—","Direction=H","UseDPDF=Y")</f>
        <v>#NAME?</v>
      </c>
      <c r="P607" t="e">
        <f ca="1">_xll.BDH($C$603,"NET_INCOME_TO_COMMON_MARGIN","FQ4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607" t="e">
        <f ca="1">_xll.BDH($C$603,"EFF_TAX_RATE","FQ4 2014","FQ4 2014","Currency=INR","Period=FQ","BEST_FPERIOD_OVERRIDE=FQ","FILING_STATUS=OR","EQY_CONSOLIDATED=Y","FA_ADJUSTED=GAAP","Sort=A","Dates=H","DateFormat=P","Fill=—","Direction=H","UseDPDF=Y")</f>
        <v>#NAME?</v>
      </c>
      <c r="R607" t="e">
        <f ca="1">_xll.BDH($C$603,"DVD_PAYOUT_RATIO","FQ4 2014","FQ4 2014","Currency=INR","Period=FQ","BEST_FPERIOD_OVERRIDE=FQ","FILING_STATUS=OR","EQY_CONSOLIDATED=Y","FA_ADJUSTED=GAAP","Sort=A","Dates=H","DateFormat=P","Fill=—","Direction=H","UseDPDF=Y")</f>
        <v>#NAME?</v>
      </c>
      <c r="S607" t="e">
        <f ca="1">_xll.BDH($C$603,"SUSTAIN_GROWTH_RT","FQ4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607" s="1" t="e">
        <f ca="1">_xll.BDH($C$603,"SALES_GROWTH","FQ4 2014","FQ4 2014","Currency=INR","Period=FQ","BEST_FPERIOD_OVERRIDE=FQ","FILING_STATUS=OR","EQY_CONSOLIDATED=Y","FA_ADJUSTED=GAAP","Sort=A","Dates=H","DateFormat=P","Fill=—","Direction=H","UseDPDF=Y")</f>
        <v>#NAME?</v>
      </c>
      <c r="U607" s="1" t="e">
        <f ca="1">_xll.BDH($C$603,"EBITDA_GROWTH","FQ4 2014","FQ4 2014","Currency=INR","Period=FQ","BEST_FPERIOD_OVERRIDE=FQ","FILING_STATUS=OR","EQY_CONSOLIDATED=Y","FA_ADJUSTED=GAAP","Sort=A","Dates=H","DateFormat=P","Fill=—","Direction=H","UseDPDF=Y")</f>
        <v>#NAME?</v>
      </c>
      <c r="V607" s="1" t="e">
        <f ca="1">_xll.BDH($C$603,"OPER_INC_GROWTH","FQ4 2014","FQ4 2014","Currency=INR","Period=FQ","BEST_FPERIOD_OVERRIDE=FQ","FILING_STATUS=OR","EQY_CONSOLIDATED=Y","FA_ADJUSTED=GAAP","Sort=A","Dates=H","DateFormat=P","Fill=—","Direction=H","UseDPDF=Y")</f>
        <v>#NAME?</v>
      </c>
      <c r="W607" s="1" t="e">
        <f ca="1">_xll.BDH($C$603,"EARN_FOR_COM_GROWTH","FQ4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607" s="1" t="e">
        <f ca="1">_xll.BDH($C$603,"DILUTED_EPS_AFT_XO_ITEMS_GROWTH","FQ4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607" s="1" t="e">
        <f ca="1">_xll.BDH($C$603,"DIVIDEND_PER_SHARE_1_YEAR_GROWTH","FQ4 2014","FQ4 2014","Currency=INR","Period=FQ","BEST_FPERIOD_OVERRIDE=FQ","FILING_STATUS=OR","EQY_CONSOLIDATED=Y","Sort=A","Dates=H","DateFormat=P","Fill=—","Direction=H","UseDPDF=Y")</f>
        <v>#NAME?</v>
      </c>
      <c r="Z607" s="1" t="e">
        <f ca="1">_xll.BDH($C$603,"ACCOUNTS_RECEIVABLE_GROWTH","FQ4 2014","FQ4 2014","Currency=INR","Period=FQ","BEST_FPERIOD_OVERRIDE=FQ","FILING_STATUS=OR","EQY_CONSOLIDATED=Y","Sort=A","Dates=H","DateFormat=P","Fill=—","Direction=H","UseDPDF=Y")</f>
        <v>#NAME?</v>
      </c>
      <c r="AA607" s="1" t="e">
        <f ca="1">_xll.BDH($C$603,"INVENTORY_GROWTH","FQ4 2014","FQ4 2014","Currency=INR","Period=FQ","BEST_FPERIOD_OVERRIDE=FQ","FILING_STATUS=OR","EQY_CONSOLIDATED=Y","Sort=A","Dates=H","DateFormat=P","Fill=—","Direction=H","UseDPDF=Y")</f>
        <v>#NAME?</v>
      </c>
      <c r="AB607" s="1" t="e">
        <f ca="1">_xll.BDH($C$603,"NET_FIXED_ASSETS_1_YEAR_GROWTH","FQ4 2014","FQ4 2014","Currency=INR","Period=FQ","BEST_FPERIOD_OVERRIDE=FQ","FILING_STATUS=OR","EQY_CONSOLIDATED=Y","Sort=A","Dates=H","DateFormat=P","Fill=—","Direction=H","UseDPDF=Y")</f>
        <v>#NAME?</v>
      </c>
      <c r="AC607" s="1" t="e">
        <f ca="1">_xll.BDH($C$603,"ASSET_GROWTH","FQ4 2014","FQ4 2014","Currency=INR","Period=FQ","BEST_FPERIOD_OVERRIDE=FQ","FILING_STATUS=OR","EQY_CONSOLIDATED=Y","Sort=A","Dates=H","DateFormat=P","Fill=—","Direction=H","UseDPDF=Y")</f>
        <v>#NAME?</v>
      </c>
      <c r="AD607" s="1" t="e">
        <f ca="1">_xll.BDH($C$603,"MODIFIED_WORK_CAP_GROWTH","FQ4 2014","FQ4 2014","Currency=INR","Period=FQ","BEST_FPERIOD_OVERRIDE=FQ","FILING_STATUS=OR","EQY_CONSOLIDATED=Y","Sort=A","Dates=H","DateFormat=P","Fill=—","Direction=H","UseDPDF=Y")</f>
        <v>#NAME?</v>
      </c>
      <c r="AE607" s="1" t="e">
        <f ca="1">_xll.BDH($C$603,"WORK_CAP_GROWTH","FQ4 2014","FQ4 2014","Currency=INR","Period=FQ","BEST_FPERIOD_OVERRIDE=FQ","FILING_STATUS=OR","EQY_CONSOLIDATED=Y","Sort=A","Dates=H","DateFormat=P","Fill=—","Direction=H","UseDPDF=Y")</f>
        <v>#NAME?</v>
      </c>
      <c r="AF607" s="1" t="e">
        <f ca="1">_xll.BDH($C$603,"ACCOUNTS_PAYABLE_GROWTH_1YR","FQ4 2014","FQ4 2014","Currency=INR","Period=FQ","BEST_FPERIOD_OVERRIDE=FQ","FILING_STATUS=OR","EQY_CONSOLIDATED=Y","Sort=A","Dates=H","DateFormat=P","Fill=—","Direction=H","UseDPDF=Y")</f>
        <v>#NAME?</v>
      </c>
      <c r="AG607" s="1" t="e">
        <f ca="1">_xll.BDH($C$603,"SHORT_TERM_DEBT_1_YEAR_GROWTH","FQ4 2014","FQ4 2014","Currency=INR","Period=FQ","BEST_FPERIOD_OVERRIDE=FQ","FILING_STATUS=OR","EQY_CONSOLIDATED=Y","Sort=A","Dates=H","DateFormat=P","Fill=—","Direction=H","UseDPDF=Y")</f>
        <v>#NAME?</v>
      </c>
      <c r="AH607" s="1" t="e">
        <f ca="1">_xll.BDH($C$603,"TOTAL_DEBT_1_YEAR_GROWTH","FQ4 2014","FQ4 2014","Currency=INR","Period=FQ","BEST_FPERIOD_OVERRIDE=FQ","FILING_STATUS=OR","EQY_CONSOLIDATED=Y","Sort=A","Dates=H","DateFormat=P","Fill=—","Direction=H","UseDPDF=Y")</f>
        <v>#NAME?</v>
      </c>
      <c r="AI607" s="1" t="e">
        <f ca="1">_xll.BDH($C$603,"TOTAL_EQUITY_1_YEAR_GROWTH","FQ4 2014","FQ4 2014","Currency=INR","Period=FQ","BEST_FPERIOD_OVERRIDE=FQ","FILING_STATUS=OR","EQY_CONSOLIDATED=Y","Sort=A","Dates=H","DateFormat=P","Fill=—","Direction=H","UseDPDF=Y")</f>
        <v>#NAME?</v>
      </c>
      <c r="AJ607" s="1" t="e">
        <f ca="1">_xll.BDH($C$603,"GROWTH_IN_CAP","FQ4 2014","FQ4 2014","Currency=INR","Period=FQ","BEST_FPERIOD_OVERRIDE=FQ","FILING_STATUS=OR","EQY_CONSOLIDATED=Y","Sort=A","Dates=H","DateFormat=P","Fill=—","Direction=H","UseDPDF=Y")</f>
        <v>#NAME?</v>
      </c>
      <c r="AK607" s="1" t="e">
        <f ca="1">_xll.BDH($C$603,"BVPS_GROWTH","FQ4 2014","FQ4 2014","Currency=INR","Period=FQ","BEST_FPERIOD_OVERRIDE=FQ","FILING_STATUS=OR","EQY_CONSOLIDATED=Y","Sort=A","Dates=H","DateFormat=P","Fill=—","Direction=H","UseDPDF=Y")</f>
        <v>#NAME?</v>
      </c>
      <c r="AL607" s="1" t="e">
        <f ca="1">_xll.BDH($C$603,"CASH_FLOW_GROWTH","FQ4 2014","FQ4 2014","Currency=INR","Period=FQ","BEST_FPERIOD_OVERRIDE=FQ","FILING_STATUS=OR","EQY_CONSOLIDATED=Y","Sort=A","Dates=H","DateFormat=P","Fill=—","Direction=H","UseDPDF=Y")</f>
        <v>#NAME?</v>
      </c>
      <c r="AM607" s="1" t="e">
        <f ca="1">_xll.BDH($C$603,"GEO_GROW_NET_SALES","FQ4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607" s="1" t="e">
        <f ca="1">_xll.BDH($C$603,"GEO_GROW_EBITDA","FQ4 2014","FQ4 2014","Currency=INR","Period=FQ","BEST_FPERIOD_OVERRIDE=FQ","FILING_STATUS=OR","EQY_CONSOLIDATED=Y","FA_ADJUSTED=GAAP","Sort=A","Dates=H","DateFormat=P","Fill=—","Direction=H","UseDPDF=Y")</f>
        <v>#NAME?</v>
      </c>
      <c r="AO607" s="1" t="e">
        <f ca="1">_xll.BDH($C$603,"GEO_GROW_OPER_INC","FQ4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607" s="1" t="e">
        <f ca="1">_xll.BDH($C$603,"NET_INCOME_TO_COMMON_5_YR_GROWTH","FQ4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607" s="1" t="e">
        <f ca="1">_xll.BDH($C$603,"5Y_GEO_GROWTH_DILUTED_EPS","FQ4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607" s="1" t="e">
        <f ca="1">_xll.BDH($C$603,"GEO_GROW_DVD_PER_SH","FQ4 2014","FQ4 2014","Currency=INR","Period=FQ","BEST_FPERIOD_OVERRIDE=FQ","FILING_STATUS=OR","EQY_CONSOLIDATED=Y","Sort=A","Dates=H","DateFormat=P","Fill=—","Direction=H","UseDPDF=Y")</f>
        <v>#NAME?</v>
      </c>
      <c r="AS607" s="1" t="e">
        <f ca="1">_xll.BDH($C$603,"ACCOUNTS_RECEIVABLE_5_YR_GROWTH","FQ4 2014","FQ4 2014","Currency=INR","Period=FQ","BEST_FPERIOD_OVERRIDE=FQ","FILING_STATUS=OR","EQY_CONSOLIDATED=Y","Sort=A","Dates=H","DateFormat=P","Fill=—","Direction=H","UseDPDF=Y")</f>
        <v>#NAME?</v>
      </c>
      <c r="AT607" s="1" t="e">
        <f ca="1">_xll.BDH($C$603,"INVENTORY_5_YEAR_GROWTH","FQ4 2014","FQ4 2014","Currency=INR","Period=FQ","BEST_FPERIOD_OVERRIDE=FQ","FILING_STATUS=OR","EQY_CONSOLIDATED=Y","Sort=A","Dates=H","DateFormat=P","Fill=—","Direction=H","UseDPDF=Y")</f>
        <v>#NAME?</v>
      </c>
      <c r="AU607" s="1" t="e">
        <f ca="1">_xll.BDH($C$603,"NET_FIXED_ASSETS_5_YEAR_GROWTH","FQ4 2014","FQ4 2014","Currency=INR","Period=FQ","BEST_FPERIOD_OVERRIDE=FQ","FILING_STATUS=OR","EQY_CONSOLIDATED=Y","Sort=A","Dates=H","DateFormat=P","Fill=—","Direction=H","UseDPDF=Y")</f>
        <v>#NAME?</v>
      </c>
      <c r="AV607" s="1" t="e">
        <f ca="1">_xll.BDH($C$603,"GEO_GROW_TOT_ASSET","FQ4 2014","FQ4 2014","Currency=INR","Period=FQ","BEST_FPERIOD_OVERRIDE=FQ","FILING_STATUS=OR","EQY_CONSOLIDATED=Y","Sort=A","Dates=H","DateFormat=P","Fill=—","Direction=H","UseDPDF=Y")</f>
        <v>#NAME?</v>
      </c>
      <c r="AW607" s="1" t="e">
        <f ca="1">_xll.BDH($C$603,"MODIFIED_WORKING_CPTL_5YR_GRWTH","FQ4 2014","FQ4 2014","Currency=INR","Period=FQ","BEST_FPERIOD_OVERRIDE=FQ","FILING_STATUS=OR","EQY_CONSOLIDATED=Y","Sort=A","Dates=H","DateFormat=P","Fill=—","Direction=H","UseDPDF=Y")</f>
        <v>#NAME?</v>
      </c>
      <c r="AX607" s="1" t="e">
        <f ca="1">_xll.BDH($C$603,"WORKING_CAPITAL_5_YEAR_GROWTH","FQ4 2014","FQ4 2014","Currency=INR","Period=FQ","BEST_FPERIOD_OVERRIDE=FQ","FILING_STATUS=OR","EQY_CONSOLIDATED=Y","Sort=A","Dates=H","DateFormat=P","Fill=—","Direction=H","UseDPDF=Y")</f>
        <v>#NAME?</v>
      </c>
      <c r="AY607" s="1" t="e">
        <f ca="1">_xll.BDH($C$603,"ACCOUNTS_PAYABLE_5_YEAR_GROWTH","FQ4 2014","FQ4 2014","Currency=INR","Period=FQ","BEST_FPERIOD_OVERRIDE=FQ","FILING_STATUS=OR","EQY_CONSOLIDATED=Y","Sort=A","Dates=H","DateFormat=P","Fill=—","Direction=H","UseDPDF=Y")</f>
        <v>#NAME?</v>
      </c>
      <c r="AZ607" s="1" t="e">
        <f ca="1">_xll.BDH($C$603,"SHORT_TERM_DEBT_5_YEAR_GROWTH","FQ4 2014","FQ4 2014","Currency=INR","Period=FQ","BEST_FPERIOD_OVERRIDE=FQ","FILING_STATUS=OR","EQY_CONSOLIDATED=Y","Sort=A","Dates=H","DateFormat=P","Fill=—","Direction=H","UseDPDF=Y")</f>
        <v>#NAME?</v>
      </c>
      <c r="BA607" s="1" t="e">
        <f ca="1">_xll.BDH($C$603,"TOTAL_DEBT_5_YEAR_GROWTH","FQ4 2014","FQ4 2014","Currency=INR","Period=FQ","BEST_FPERIOD_OVERRIDE=FQ","FILING_STATUS=OR","EQY_CONSOLIDATED=Y","Sort=A","Dates=H","DateFormat=P","Fill=—","Direction=H","UseDPDF=Y")</f>
        <v>#NAME?</v>
      </c>
      <c r="BB607" s="1" t="e">
        <f ca="1">_xll.BDH($C$603,"GEO_GROW_TOT_SHRHLDR_EQY","FQ4 2014","FQ4 2014","Currency=INR","Period=FQ","BEST_FPERIOD_OVERRIDE=FQ","FILING_STATUS=OR","EQY_CONSOLIDATED=Y","Sort=A","Dates=H","DateFormat=P","Fill=—","Direction=H","UseDPDF=Y")</f>
        <v>#NAME?</v>
      </c>
      <c r="BC607" s="1" t="e">
        <f ca="1">_xll.BDH($C$603,"TOTAL_CAPITAL_5_YEAR_GROWTH","FQ4 2014","FQ4 2014","Currency=INR","Period=FQ","BEST_FPERIOD_OVERRIDE=FQ","FILING_STATUS=OR","EQY_CONSOLIDATED=Y","Sort=A","Dates=H","DateFormat=P","Fill=—","Direction=H","UseDPDF=Y")</f>
        <v>#NAME?</v>
      </c>
      <c r="BD607" s="1" t="e">
        <f ca="1">_xll.BDH($C$603,"GEO_GROW_BOOK_VAL","FQ4 2014","FQ4 2014","Currency=INR","Period=FQ","BEST_FPERIOD_OVERRIDE=FQ","FILING_STATUS=OR","EQY_CONSOLIDATED=Y","Sort=A","Dates=H","DateFormat=P","Fill=—","Direction=H","UseDPDF=Y")</f>
        <v>#NAME?</v>
      </c>
      <c r="BE607" s="1" t="e">
        <f ca="1">_xll.BDH($C$603,"GEO_GROW_CASH_OPER_ACT","FQ4 2014","FQ4 2014","Currency=INR","Period=FQ","BEST_FPERIOD_OVERRIDE=FQ","FILING_STATUS=OR","EQY_CONSOLIDATED=Y","Sort=A","Dates=H","DateFormat=P","Fill=—","Direction=H","UseDPDF=Y")</f>
        <v>#NAME?</v>
      </c>
      <c r="BF607" s="1" t="e">
        <f ca="1">_xll.BDH($C$603,"REVENUE_SEQUENTIAL_GROWTH","FQ4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607" s="1" t="e">
        <f ca="1">_xll.BDH($C$603,"EBITDA_SEQUENTIAL_GROWTH","FQ4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607" s="1" t="e">
        <f ca="1">_xll.BDH($C$603,"OPERATING_INCOME_SEQ_GROWTH","FQ4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607" s="1" t="e">
        <f ca="1">_xll.BDH($C$603,"NET_INCOME_TO_COMMON_SEQ_GROWTH","FQ4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607" s="1" t="e">
        <f ca="1">_xll.BDH($C$603,"EPS_DILUTED_SEQUENTIAL_GROWTH","FQ4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607" s="1" t="e">
        <f ca="1">_xll.BDH($C$603,"DPS_SEQUENTIAL_GROWTH","FQ4 2014","FQ4 2014","Currency=INR","Period=FQ","BEST_FPERIOD_OVERRIDE=FQ","FILING_STATUS=OR","EQY_CONSOLIDATED=Y","Sort=A","Dates=H","DateFormat=P","Fill=—","Direction=H","UseDPDF=Y")</f>
        <v>#NAME?</v>
      </c>
      <c r="BL607" s="1" t="e">
        <f ca="1">_xll.BDH($C$603,"ACCOUNTS_RECEIVABLE_SEQ_GROWTH","FQ4 2014","FQ4 2014","Currency=INR","Period=FQ","BEST_FPERIOD_OVERRIDE=FQ","FILING_STATUS=OR","EQY_CONSOLIDATED=Y","Sort=A","Dates=H","DateFormat=P","Fill=—","Direction=H","UseDPDF=Y")</f>
        <v>#NAME?</v>
      </c>
      <c r="BM607" s="1" t="e">
        <f ca="1">_xll.BDH($C$603,"INVENTORY_SEQUENTIAL_GROWTH","FQ4 2014","FQ4 2014","Currency=INR","Period=FQ","BEST_FPERIOD_OVERRIDE=FQ","FILING_STATUS=OR","EQY_CONSOLIDATED=Y","Sort=A","Dates=H","DateFormat=P","Fill=—","Direction=H","UseDPDF=Y")</f>
        <v>#NAME?</v>
      </c>
      <c r="BN607" s="1" t="e">
        <f ca="1">_xll.BDH($C$603,"FIXED_ASSETS_SEQUENTIAL_GROWTH","FQ4 2014","FQ4 2014","Currency=INR","Period=FQ","BEST_FPERIOD_OVERRIDE=FQ","FILING_STATUS=OR","EQY_CONSOLIDATED=Y","Sort=A","Dates=H","DateFormat=P","Fill=—","Direction=H","UseDPDF=Y")</f>
        <v>#NAME?</v>
      </c>
      <c r="BO607" s="1" t="e">
        <f ca="1">_xll.BDH($C$603,"TOTAL_ASSETS_SEQUENTIAL_GROWTH","FQ4 2014","FQ4 2014","Currency=INR","Period=FQ","BEST_FPERIOD_OVERRIDE=FQ","FILING_STATUS=OR","EQY_CONSOLIDATED=Y","Sort=A","Dates=H","DateFormat=P","Fill=—","Direction=H","UseDPDF=Y")</f>
        <v>#NAME?</v>
      </c>
      <c r="BP607" s="1" t="e">
        <f ca="1">_xll.BDH($C$603,"MODIFIED_WORKING_CPTL_SEQ_GRWTH","FQ4 2014","FQ4 2014","Currency=INR","Period=FQ","BEST_FPERIOD_OVERRIDE=FQ","FILING_STATUS=OR","EQY_CONSOLIDATED=Y","Sort=A","Dates=H","DateFormat=P","Fill=—","Direction=H","UseDPDF=Y")</f>
        <v>#NAME?</v>
      </c>
      <c r="BQ607" s="1" t="e">
        <f ca="1">_xll.BDH($C$603,"WORKING_CAPITAL_SEQ_GROWTH","FQ4 2014","FQ4 2014","Currency=INR","Period=FQ","BEST_FPERIOD_OVERRIDE=FQ","FILING_STATUS=OR","EQY_CONSOLIDATED=Y","Sort=A","Dates=H","DateFormat=P","Fill=—","Direction=H","UseDPDF=Y")</f>
        <v>#NAME?</v>
      </c>
      <c r="BR607" s="1" t="e">
        <f ca="1">_xll.BDH($C$603,"ACCOUNTS_PAYABLE_SEQ_GROWTH","FQ4 2014","FQ4 2014","Currency=INR","Period=FQ","BEST_FPERIOD_OVERRIDE=FQ","FILING_STATUS=OR","EQY_CONSOLIDATED=Y","Sort=A","Dates=H","DateFormat=P","Fill=—","Direction=H","UseDPDF=Y")</f>
        <v>#NAME?</v>
      </c>
      <c r="BS607" s="1" t="e">
        <f ca="1">_xll.BDH($C$603,"ST_DEBT_SEQUENTIAL_GROWTH","FQ4 2014","FQ4 2014","Currency=INR","Period=FQ","BEST_FPERIOD_OVERRIDE=FQ","FILING_STATUS=OR","EQY_CONSOLIDATED=Y","Sort=A","Dates=H","DateFormat=P","Fill=—","Direction=H","UseDPDF=Y")</f>
        <v>#NAME?</v>
      </c>
      <c r="BT607" s="1" t="e">
        <f ca="1">_xll.BDH($C$603,"TOTAL_DEBT_SEQUENTIAL_GROWTH","FQ4 2014","FQ4 2014","Currency=INR","Period=FQ","BEST_FPERIOD_OVERRIDE=FQ","FILING_STATUS=OR","EQY_CONSOLIDATED=Y","Sort=A","Dates=H","DateFormat=P","Fill=—","Direction=H","UseDPDF=Y")</f>
        <v>#NAME?</v>
      </c>
      <c r="BU607" s="1" t="e">
        <f ca="1">_xll.BDH($C$603,"TOTAL_EQUITY_SEQUENTIAL_GROWTH","FQ4 2014","FQ4 2014","Currency=INR","Period=FQ","BEST_FPERIOD_OVERRIDE=FQ","FILING_STATUS=OR","EQY_CONSOLIDATED=Y","Sort=A","Dates=H","DateFormat=P","Fill=—","Direction=H","UseDPDF=Y")</f>
        <v>#NAME?</v>
      </c>
      <c r="BV607" s="1" t="e">
        <f ca="1">_xll.BDH($C$603,"TOTAL_CAPITAL_SEQUENTIAL_GROWTH","FQ4 2014","FQ4 2014","Currency=INR","Period=FQ","BEST_FPERIOD_OVERRIDE=FQ","FILING_STATUS=OR","EQY_CONSOLIDATED=Y","Sort=A","Dates=H","DateFormat=P","Fill=—","Direction=H","UseDPDF=Y")</f>
        <v>#NAME?</v>
      </c>
      <c r="BW607" s="1" t="e">
        <f ca="1">_xll.BDH($C$603,"BPS_SEQUENTIAL_GROWTH","FQ4 2014","FQ4 2014","Currency=INR","Period=FQ","BEST_FPERIOD_OVERRIDE=FQ","FILING_STATUS=OR","EQY_CONSOLIDATED=Y","Sort=A","Dates=H","DateFormat=P","Fill=—","Direction=H","UseDPDF=Y")</f>
        <v>#NAME?</v>
      </c>
      <c r="BX607" s="1" t="e">
        <f ca="1">_xll.BDH($C$603,"CFO_SEQUENTIAL_GROWTH","FQ4 2014","FQ4 2014","Currency=INR","Period=FQ","BEST_FPERIOD_OVERRIDE=FQ","FILING_STATUS=OR","EQY_CONSOLIDATED=Y","Sort=A","Dates=H","DateFormat=P","Fill=—","Direction=H","UseDPDF=Y")</f>
        <v>#NAME?</v>
      </c>
      <c r="BY607" s="2" t="e">
        <f ca="1">_xll.BDH($C$603,"SHORT_AND_LONG_TERM_DEBT","FQ4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607" s="2" t="e">
        <f ca="1">_xll.BDH($C$603,"BS_ST_BORROW","FQ4 2014","FQ4 2014","Currency=INR","Period=FQ","BEST_FPERIOD_OVERRIDE=FQ","FILING_STATUS=OR","EQY_CONSOLIDATED=Y","SCALING_FORMAT=MLN","Sort=A","Dates=H","DateFormat=P","Fill=—","Direction=H","UseDPDF=Y")</f>
        <v>#NAME?</v>
      </c>
      <c r="CA607" s="2" t="e">
        <f ca="1">_xll.BDH($C$603,"BS_LT_BORROW","FQ4 2014","FQ4 2014","Currency=INR","Period=FQ","BEST_FPERIOD_OVERRIDE=FQ","FILING_STATUS=OR","EQY_CONSOLIDATED=Y","SCALING_FORMAT=MLN","Sort=A","Dates=H","DateFormat=P","Fill=—","Direction=H","UseDPDF=Y")</f>
        <v>#NAME?</v>
      </c>
      <c r="CB607" s="1" t="e">
        <f ca="1">_xll.BDH($C$603,"TOT_DEBT_TO_EBITDA","FQ4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607" s="1" t="e">
        <f ca="1">_xll.BDH($C$603,"NET_DEBT_TO_EBITDA","FQ4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607" s="1" t="e">
        <f ca="1">_xll.BDH($C$603,"TOTAL_DEBT_TO_EBIT","FQ4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607" s="1" t="e">
        <f ca="1">_xll.BDH($C$603,"NET_DEBT_TO_EBIT","FQ4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607" s="1" t="e">
        <f ca="1">_xll.BDH($C$603,"EBITDA_TO_INTEREST_EXPN","FQ4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607" s="1" t="e">
        <f ca="1">_xll.BDH($C$603,"COM_EQY_TO_TOT_ASSET","FQ4 2014","FQ4 2014","Currency=INR","Period=FQ","BEST_FPERIOD_OVERRIDE=FQ","FILING_STATUS=OR","EQY_CONSOLIDATED=Y","Sort=A","Dates=H","DateFormat=P","Fill=—","Direction=H","UseDPDF=Y")</f>
        <v>#NAME?</v>
      </c>
      <c r="CH607" s="1" t="e">
        <f ca="1">_xll.BDH($C$603,"LT_DEBT_TO_TOT_EQY","FQ4 2014","FQ4 2014","Currency=INR","Period=FQ","BEST_FPERIOD_OVERRIDE=FQ","FILING_STATUS=OR","EQY_CONSOLIDATED=Y","Sort=A","Dates=H","DateFormat=P","Fill=—","Direction=H","UseDPDF=Y")</f>
        <v>#NAME?</v>
      </c>
      <c r="CI607" s="1" t="e">
        <f ca="1">_xll.BDH($C$603,"LT_DEBT_TO_TOT_CAP","FQ4 2014","FQ4 2014","Currency=INR","Period=FQ","BEST_FPERIOD_OVERRIDE=FQ","FILING_STATUS=OR","EQY_CONSOLIDATED=Y","Sort=A","Dates=H","DateFormat=P","Fill=—","Direction=H","UseDPDF=Y")</f>
        <v>#NAME?</v>
      </c>
      <c r="CJ607" s="1" t="e">
        <f ca="1">_xll.BDH($C$603,"LT_DEBT_TO_TOT_ASSET","FQ4 2014","FQ4 2014","Currency=INR","Period=FQ","BEST_FPERIOD_OVERRIDE=FQ","FILING_STATUS=OR","EQY_CONSOLIDATED=Y","Sort=A","Dates=H","DateFormat=P","Fill=—","Direction=H","UseDPDF=Y")</f>
        <v>#NAME?</v>
      </c>
      <c r="CK607" s="1" t="e">
        <f ca="1">_xll.BDH($C$603,"TOT_DEBT_TO_TOT_EQY","FQ4 2014","FQ4 2014","Currency=INR","Period=FQ","BEST_FPERIOD_OVERRIDE=FQ","FILING_STATUS=OR","EQY_CONSOLIDATED=Y","Sort=A","Dates=H","DateFormat=P","Fill=—","Direction=H","UseDPDF=Y")</f>
        <v>#NAME?</v>
      </c>
      <c r="CL607" s="1" t="e">
        <f ca="1">_xll.BDH($C$603,"TOT_DEBT_TO_TOT_CAP","FQ4 2014","FQ4 2014","Currency=INR","Period=FQ","BEST_FPERIOD_OVERRIDE=FQ","FILING_STATUS=OR","EQY_CONSOLIDATED=Y","Sort=A","Dates=H","DateFormat=P","Fill=—","Direction=H","UseDPDF=Y")</f>
        <v>#NAME?</v>
      </c>
      <c r="CM607" s="1" t="e">
        <f ca="1">_xll.BDH($C$603,"TOT_DEBT_TO_TOT_ASSET","FQ4 2014","FQ4 2014","Currency=INR","Period=FQ","BEST_FPERIOD_OVERRIDE=FQ","FILING_STATUS=OR","EQY_CONSOLIDATED=Y","Sort=A","Dates=H","DateFormat=P","Fill=—","Direction=H","UseDPDF=Y")</f>
        <v>#NAME?</v>
      </c>
      <c r="CN607" s="1" t="e">
        <f ca="1">_xll.BDH($C$603,"NET_DEBT_TO_SHRHLDR_EQTY","FQ4 2014","FQ4 2014","Currency=INR","Period=FQ","BEST_FPERIOD_OVERRIDE=FQ","FILING_STATUS=OR","EQY_CONSOLIDATED=Y","Sort=A","Dates=H","DateFormat=P","Fill=—","Direction=H","UseDPDF=Y")</f>
        <v>#NAME?</v>
      </c>
      <c r="CO607" s="1" t="e">
        <f ca="1">_xll.BDH($C$603,"NET_DEBT_%_CAPITAL","FQ4 2014","FQ4 2014","Currency=INR","Period=FQ","BEST_FPERIOD_OVERRIDE=FQ","FILING_STATUS=OR","EQY_CONSOLIDATED=Y","Sort=A","Dates=H","DateFormat=P","Fill=—","Direction=H","UseDPDF=Y")</f>
        <v>#NAME?</v>
      </c>
      <c r="CP607" s="2" t="e">
        <f ca="1">_xll.BDH($C$603,"EBITDA","FQ4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607" s="2" t="e">
        <f ca="1">_xll.BDH($C$603,"EBITDA_AFTER_CAPEX","FQ4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607" s="2" t="e">
        <f ca="1">_xll.BDH($C$603,"IS_OPER_INC","FQ4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607" s="1" t="e">
        <f ca="1">_xll.BDH($C$603,"CASH_RATIO","FQ4 2014","FQ4 2014","Currency=INR","Period=FQ","BEST_FPERIOD_OVERRIDE=FQ","FILING_STATUS=OR","EQY_CONSOLIDATED=Y","Sort=A","Dates=H","DateFormat=P","Fill=—","Direction=H","UseDPDF=Y")</f>
        <v>#NAME?</v>
      </c>
      <c r="CT607" s="1" t="e">
        <f ca="1">_xll.BDH($C$603,"CUR_RATIO","FQ4 2014","FQ4 2014","Currency=INR","Period=FQ","BEST_FPERIOD_OVERRIDE=FQ","FILING_STATUS=OR","EQY_CONSOLIDATED=Y","Sort=A","Dates=H","DateFormat=P","Fill=—","Direction=H","UseDPDF=Y")</f>
        <v>#NAME?</v>
      </c>
      <c r="CU607" s="1" t="e">
        <f ca="1">_xll.BDH($C$603,"QUICK_RATIO","FQ4 2014","FQ4 2014","Currency=INR","Period=FQ","BEST_FPERIOD_OVERRIDE=FQ","FILING_STATUS=OR","EQY_CONSOLIDATED=Y","Sort=A","Dates=H","DateFormat=P","Fill=—","Direction=H","UseDPDF=Y")</f>
        <v>#NAME?</v>
      </c>
      <c r="CV607" s="1" t="e">
        <f ca="1">_xll.BDH($C$603,"ALTMAN_Z_SCORE","FQ4 2014","FQ4 2014","Currency=INR","Period=FQ","BEST_FPERIOD_OVERRIDE=FQ","FILING_STATUS=OR","EQY_CONSOLIDATED=Y","Sort=A","Dates=H","DateFormat=P","Fill=—","Direction=H","UseDPDF=Y")</f>
        <v>#NAME?</v>
      </c>
      <c r="CW607" s="3" t="e">
        <f ca="1">_xll.BDH($C$603,"ACCT_RCV_TURN","FQ4 2014","FQ4 2014","Currency=INR","Period=FQ","BEST_FPERIOD_OVERRIDE=FQ","FILING_STATUS=OR","EQY_CONSOLIDATED=Y","FA_ADJUSTED=GAAP","Sort=A","Dates=H","DateFormat=P","Fill=—","Direction=H","UseDPDF=Y")</f>
        <v>#NAME?</v>
      </c>
      <c r="CX607" s="1" t="e">
        <f ca="1">_xll.BDH($C$603,"ACCT_RCV_DAYS","FQ4 2014","FQ4 2014","Currency=INR","Period=FQ","BEST_FPERIOD_OVERRIDE=FQ","FILING_STATUS=OR","EQY_CONSOLIDATED=Y","FA_ADJUSTED=GAAP","Sort=A","Dates=H","DateFormat=P","Fill=—","Direction=H","UseDPDF=Y")</f>
        <v>#NAME?</v>
      </c>
      <c r="CY607" s="3" t="e">
        <f ca="1">_xll.BDH($C$603,"INVENT_TURN","FQ4 2014","FQ4 2014","Currency=INR","Period=FQ","BEST_FPERIOD_OVERRIDE=FQ","FILING_STATUS=OR","EQY_CONSOLIDATED=Y","FA_ADJUSTED=GAAP","Sort=A","Dates=H","DateFormat=P","Fill=—","Direction=H","UseDPDF=Y")</f>
        <v>#NAME?</v>
      </c>
      <c r="CZ607" s="1" t="e">
        <f ca="1">_xll.BDH($C$603,"INVENT_DAYS","FQ4 2014","FQ4 2014","Currency=INR","Period=FQ","BEST_FPERIOD_OVERRIDE=FQ","FILING_STATUS=OR","EQY_CONSOLIDATED=Y","FA_ADJUSTED=GAAP","Sort=A","Dates=H","DateFormat=P","Fill=—","Direction=H","UseDPDF=Y")</f>
        <v>#NAME?</v>
      </c>
      <c r="DA607" s="3" t="e">
        <f ca="1">_xll.BDH($C$603,"ACCOUNTS_PAYABLE_TURNOVER","FQ4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607" s="1" t="e">
        <f ca="1">_xll.BDH($C$603,"ACCOUNTS_PAYABLE_TURNOVER_DAYS","FQ4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607" s="3" t="e">
        <f ca="1">_xll.BDH($C$603,"CASH_CONVERSION_CYCLE","FQ4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607" s="3" t="e">
        <f ca="1">_xll.BDH($C$603,"INV_TO_CASH_DAYS","FQ4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607" s="4" t="e">
        <f ca="1">_xll.BDH($C$603,"BS_INVENTORIES","FQ4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607" s="2" t="e">
        <f ca="1">_xll.BDH($C$603,"INVTRY_RAW_MATERIALS","FQ4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607" s="2" t="e">
        <f ca="1">_xll.BDH($C$603,"INVTRY_IN_PROGRESS","FQ4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607" s="2" t="e">
        <f ca="1">_xll.BDH($C$603,"INVTRY_FINISHED_GOODS","FQ4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607" s="2" t="e">
        <f ca="1">_xll.BDH($C$603,"BS_OTHER_INV","FQ4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608" spans="1:113" x14ac:dyDescent="0.3">
      <c r="A608" s="6"/>
      <c r="B608" s="6"/>
      <c r="C608" s="6"/>
      <c r="D608" s="6" t="s">
        <v>8</v>
      </c>
      <c r="E608" t="s">
        <v>3</v>
      </c>
      <c r="F608" t="e">
        <f ca="1">_xll.BDH($C$603,"RETURN_COM_EQY","FY 2015","FY 2015","Currency=INR","Period=FY","BEST_FPERIOD_OVERRIDE=FY","FILING_STATUS=OR","EQY_CONSOLIDATED=Y","FA_ADJUSTED=GAAP","Sort=A","Dates=H","DateFormat=P","Fill=—","Direction=H","UseDPDF=Y")</f>
        <v>#NAME?</v>
      </c>
      <c r="G608" t="e">
        <f ca="1">_xll.BDH($C$603,"RETURN_ON_ASSET","FY 2015","FY 2015","Currency=INR","Period=FY","BEST_FPERIOD_OVERRIDE=FY","FILING_STATUS=OR","EQY_CONSOLIDATED=Y","FA_ADJUSTED=GAAP","Sort=A","Dates=H","DateFormat=P","Fill=—","Direction=H","UseDPDF=Y")</f>
        <v>#NAME?</v>
      </c>
      <c r="H608" t="e">
        <f ca="1">_xll.BDH($C$603,"RETURN_ON_CAP","FY 2015","FY 2015","Currency=INR","Period=FY","BEST_FPERIOD_OVERRIDE=FY","FILING_STATUS=OR","EQY_CONSOLIDATED=Y","FA_ADJUSTED=GAAP","Sort=A","Dates=H","DateFormat=P","Fill=—","Direction=H","UseDPDF=Y")</f>
        <v>#NAME?</v>
      </c>
      <c r="I608" t="e">
        <f ca="1">_xll.BDH($C$603,"RETURN_ON_INV_CAPITAL","FY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608" t="e">
        <f ca="1">_xll.BDH($C$603,"EBITDA_TO_REVENUE","FY 2015","FY 2015","Currency=INR","Period=FY","BEST_FPERIOD_OVERRIDE=FY","FILING_STATUS=OR","EQY_CONSOLIDATED=Y","FA_ADJUSTED=GAAP","Sort=A","Dates=H","DateFormat=P","Fill=—","Direction=H","UseDPDF=Y")</f>
        <v>#NAME?</v>
      </c>
      <c r="K608" t="e">
        <f ca="1">_xll.BDH($C$603,"OPER_MARGIN","FY 2015","FY 2015","Currency=INR","Period=FY","BEST_FPERIOD_OVERRIDE=FY","FILING_STATUS=OR","EQY_CONSOLIDATED=Y","FA_ADJUSTED=GAAP","Sort=A","Dates=H","DateFormat=P","Fill=—","Direction=H","UseDPDF=Y")</f>
        <v>#NAME?</v>
      </c>
      <c r="L608" t="e">
        <f ca="1">_xll.BDH($C$603,"INCREMENTAL_OPERATING_MARGIN","FY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608" t="e">
        <f ca="1">_xll.BDH($C$603,"PRETAX_INC_TO_NET_SALES","FY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608" t="e">
        <f ca="1">_xll.BDH($C$603,"INC_BEF_XO_ITEMS_TO_NET_SALES","FY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608" t="e">
        <f ca="1">_xll.BDH($C$603,"PROF_MARGIN","FY 2015","FY 2015","Currency=INR","Period=FY","BEST_FPERIOD_OVERRIDE=FY","FILING_STATUS=OR","EQY_CONSOLIDATED=Y","FA_ADJUSTED=GAAP","Sort=A","Dates=H","DateFormat=P","Fill=—","Direction=H","UseDPDF=Y")</f>
        <v>#NAME?</v>
      </c>
      <c r="P608" t="e">
        <f ca="1">_xll.BDH($C$603,"NET_INCOME_TO_COMMON_MARGIN","FY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608" t="e">
        <f ca="1">_xll.BDH($C$603,"EFF_TAX_RATE","FY 2015","FY 2015","Currency=INR","Period=FY","BEST_FPERIOD_OVERRIDE=FY","FILING_STATUS=OR","EQY_CONSOLIDATED=Y","FA_ADJUSTED=GAAP","Sort=A","Dates=H","DateFormat=P","Fill=—","Direction=H","UseDPDF=Y")</f>
        <v>#NAME?</v>
      </c>
      <c r="R608" t="e">
        <f ca="1">_xll.BDH($C$603,"DVD_PAYOUT_RATIO","FY 2015","FY 2015","Currency=INR","Period=FY","BEST_FPERIOD_OVERRIDE=FY","FILING_STATUS=OR","EQY_CONSOLIDATED=Y","FA_ADJUSTED=GAAP","Sort=A","Dates=H","DateFormat=P","Fill=—","Direction=H","UseDPDF=Y")</f>
        <v>#NAME?</v>
      </c>
      <c r="S608" t="e">
        <f ca="1">_xll.BDH($C$603,"SUSTAIN_GROWTH_RT","FY 2015","FY 2015","Currency=INR","Period=FY","BEST_FPERIOD_OVERRIDE=FY","FILING_STATUS=OR","EQY_CONSOLIDATED=Y","FA_ADJUSTED=GAAP","Sort=A","Dates=H","DateFormat=P","Fill=—","Direction=H","UseDPDF=Y")</f>
        <v>#NAME?</v>
      </c>
      <c r="T608" s="1" t="e">
        <f ca="1">_xll.BDH($C$603,"SALES_GROWTH","FY 2015","FY 2015","Currency=INR","Period=FY","BEST_FPERIOD_OVERRIDE=FY","FILING_STATUS=OR","EQY_CONSOLIDATED=Y","FA_ADJUSTED=GAAP","Sort=A","Dates=H","DateFormat=P","Fill=—","Direction=H","UseDPDF=Y")</f>
        <v>#NAME?</v>
      </c>
      <c r="U608" s="1" t="e">
        <f ca="1">_xll.BDH($C$603,"EBITDA_GROWTH","FY 2015","FY 2015","Currency=INR","Period=FY","BEST_FPERIOD_OVERRIDE=FY","FILING_STATUS=OR","EQY_CONSOLIDATED=Y","FA_ADJUSTED=GAAP","Sort=A","Dates=H","DateFormat=P","Fill=—","Direction=H","UseDPDF=Y")</f>
        <v>#NAME?</v>
      </c>
      <c r="V608" s="1" t="e">
        <f ca="1">_xll.BDH($C$603,"OPER_INC_GROWTH","FY 2015","FY 2015","Currency=INR","Period=FY","BEST_FPERIOD_OVERRIDE=FY","FILING_STATUS=OR","EQY_CONSOLIDATED=Y","FA_ADJUSTED=GAAP","Sort=A","Dates=H","DateFormat=P","Fill=—","Direction=H","UseDPDF=Y")</f>
        <v>#NAME?</v>
      </c>
      <c r="W608" s="1" t="e">
        <f ca="1">_xll.BDH($C$603,"EARN_FOR_COM_GROWTH","FY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608" s="1" t="e">
        <f ca="1">_xll.BDH($C$603,"DILUTED_EPS_AFT_XO_ITEMS_GROWTH","FY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608" s="1" t="e">
        <f ca="1">_xll.BDH($C$603,"DIVIDEND_PER_SHARE_1_YEAR_GROWTH","FY 2015","FY 2015","Currency=INR","Period=FY","BEST_FPERIOD_OVERRIDE=FY","FILING_STATUS=OR","EQY_CONSOLIDATED=Y","Sort=A","Dates=H","DateFormat=P","Fill=—","Direction=H","UseDPDF=Y")</f>
        <v>#NAME?</v>
      </c>
      <c r="Z608" s="1" t="e">
        <f ca="1">_xll.BDH($C$603,"ACCOUNTS_RECEIVABLE_GROWTH","FY 2015","FY 2015","Currency=INR","Period=FY","BEST_FPERIOD_OVERRIDE=FY","FILING_STATUS=OR","EQY_CONSOLIDATED=Y","Sort=A","Dates=H","DateFormat=P","Fill=—","Direction=H","UseDPDF=Y")</f>
        <v>#NAME?</v>
      </c>
      <c r="AA608" s="1" t="e">
        <f ca="1">_xll.BDH($C$603,"INVENTORY_GROWTH","FY 2015","FY 2015","Currency=INR","Period=FY","BEST_FPERIOD_OVERRIDE=FY","FILING_STATUS=OR","EQY_CONSOLIDATED=Y","Sort=A","Dates=H","DateFormat=P","Fill=—","Direction=H","UseDPDF=Y")</f>
        <v>#NAME?</v>
      </c>
      <c r="AB608" s="1" t="e">
        <f ca="1">_xll.BDH($C$603,"NET_FIXED_ASSETS_1_YEAR_GROWTH","FY 2015","FY 2015","Currency=INR","Period=FY","BEST_FPERIOD_OVERRIDE=FY","FILING_STATUS=OR","EQY_CONSOLIDATED=Y","Sort=A","Dates=H","DateFormat=P","Fill=—","Direction=H","UseDPDF=Y")</f>
        <v>#NAME?</v>
      </c>
      <c r="AC608" s="1" t="e">
        <f ca="1">_xll.BDH($C$603,"ASSET_GROWTH","FY 2015","FY 2015","Currency=INR","Period=FY","BEST_FPERIOD_OVERRIDE=FY","FILING_STATUS=OR","EQY_CONSOLIDATED=Y","Sort=A","Dates=H","DateFormat=P","Fill=—","Direction=H","UseDPDF=Y")</f>
        <v>#NAME?</v>
      </c>
      <c r="AD608" s="1" t="e">
        <f ca="1">_xll.BDH($C$603,"MODIFIED_WORK_CAP_GROWTH","FY 2015","FY 2015","Currency=INR","Period=FY","BEST_FPERIOD_OVERRIDE=FY","FILING_STATUS=OR","EQY_CONSOLIDATED=Y","Sort=A","Dates=H","DateFormat=P","Fill=—","Direction=H","UseDPDF=Y")</f>
        <v>#NAME?</v>
      </c>
      <c r="AE608" s="1" t="e">
        <f ca="1">_xll.BDH($C$603,"WORK_CAP_GROWTH","FY 2015","FY 2015","Currency=INR","Period=FY","BEST_FPERIOD_OVERRIDE=FY","FILING_STATUS=OR","EQY_CONSOLIDATED=Y","Sort=A","Dates=H","DateFormat=P","Fill=—","Direction=H","UseDPDF=Y")</f>
        <v>#NAME?</v>
      </c>
      <c r="AF608" s="1" t="e">
        <f ca="1">_xll.BDH($C$603,"ACCOUNTS_PAYABLE_GROWTH_1YR","FY 2015","FY 2015","Currency=INR","Period=FY","BEST_FPERIOD_OVERRIDE=FY","FILING_STATUS=OR","EQY_CONSOLIDATED=Y","Sort=A","Dates=H","DateFormat=P","Fill=—","Direction=H","UseDPDF=Y")</f>
        <v>#NAME?</v>
      </c>
      <c r="AG608" s="1" t="e">
        <f ca="1">_xll.BDH($C$603,"SHORT_TERM_DEBT_1_YEAR_GROWTH","FY 2015","FY 2015","Currency=INR","Period=FY","BEST_FPERIOD_OVERRIDE=FY","FILING_STATUS=OR","EQY_CONSOLIDATED=Y","Sort=A","Dates=H","DateFormat=P","Fill=—","Direction=H","UseDPDF=Y")</f>
        <v>#NAME?</v>
      </c>
      <c r="AH608" s="1" t="e">
        <f ca="1">_xll.BDH($C$603,"TOTAL_DEBT_1_YEAR_GROWTH","FY 2015","FY 2015","Currency=INR","Period=FY","BEST_FPERIOD_OVERRIDE=FY","FILING_STATUS=OR","EQY_CONSOLIDATED=Y","Sort=A","Dates=H","DateFormat=P","Fill=—","Direction=H","UseDPDF=Y")</f>
        <v>#NAME?</v>
      </c>
      <c r="AI608" s="1" t="e">
        <f ca="1">_xll.BDH($C$603,"TOTAL_EQUITY_1_YEAR_GROWTH","FY 2015","FY 2015","Currency=INR","Period=FY","BEST_FPERIOD_OVERRIDE=FY","FILING_STATUS=OR","EQY_CONSOLIDATED=Y","Sort=A","Dates=H","DateFormat=P","Fill=—","Direction=H","UseDPDF=Y")</f>
        <v>#NAME?</v>
      </c>
      <c r="AJ608" s="1" t="e">
        <f ca="1">_xll.BDH($C$603,"GROWTH_IN_CAP","FY 2015","FY 2015","Currency=INR","Period=FY","BEST_FPERIOD_OVERRIDE=FY","FILING_STATUS=OR","EQY_CONSOLIDATED=Y","Sort=A","Dates=H","DateFormat=P","Fill=—","Direction=H","UseDPDF=Y")</f>
        <v>#NAME?</v>
      </c>
      <c r="AK608" s="1" t="e">
        <f ca="1">_xll.BDH($C$603,"BVPS_GROWTH","FY 2015","FY 2015","Currency=INR","Period=FY","BEST_FPERIOD_OVERRIDE=FY","FILING_STATUS=OR","EQY_CONSOLIDATED=Y","Sort=A","Dates=H","DateFormat=P","Fill=—","Direction=H","UseDPDF=Y")</f>
        <v>#NAME?</v>
      </c>
      <c r="AL608" s="1" t="e">
        <f ca="1">_xll.BDH($C$603,"CASH_FLOW_GROWTH","FY 2015","FY 2015","Currency=INR","Period=FY","BEST_FPERIOD_OVERRIDE=FY","FILING_STATUS=OR","EQY_CONSOLIDATED=Y","Sort=A","Dates=H","DateFormat=P","Fill=—","Direction=H","UseDPDF=Y")</f>
        <v>#NAME?</v>
      </c>
      <c r="AM608" s="1" t="e">
        <f ca="1">_xll.BDH($C$603,"GEO_GROW_NET_SALES","FY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608" s="1" t="e">
        <f ca="1">_xll.BDH($C$603,"GEO_GROW_EBITDA","FY 2015","FY 2015","Currency=INR","Period=FY","BEST_FPERIOD_OVERRIDE=FY","FILING_STATUS=OR","EQY_CONSOLIDATED=Y","FA_ADJUSTED=GAAP","Sort=A","Dates=H","DateFormat=P","Fill=—","Direction=H","UseDPDF=Y")</f>
        <v>#NAME?</v>
      </c>
      <c r="AO608" s="1" t="e">
        <f ca="1">_xll.BDH($C$603,"GEO_GROW_OPER_INC","FY 2015","FY 2015","Currency=INR","Period=FY","BEST_FPERIOD_OVERRIDE=FY","FILING_STATUS=OR","EQY_CONSOLIDATED=Y","FA_ADJUSTED=GAAP","Sort=A","Dates=H","DateFormat=P","Fill=—","Direction=H","UseDPDF=Y")</f>
        <v>#NAME?</v>
      </c>
      <c r="AP608" s="1" t="e">
        <f ca="1">_xll.BDH($C$603,"NET_INCOME_TO_COMMON_5_YR_GROWTH","FY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608" s="1" t="e">
        <f ca="1">_xll.BDH($C$603,"5Y_GEO_GROWTH_DILUTED_EPS","FY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608" s="1" t="e">
        <f ca="1">_xll.BDH($C$603,"GEO_GROW_DVD_PER_SH","FY 2015","FY 2015","Currency=INR","Period=FY","BEST_FPERIOD_OVERRIDE=FY","FILING_STATUS=OR","EQY_CONSOLIDATED=Y","Sort=A","Dates=H","DateFormat=P","Fill=—","Direction=H","UseDPDF=Y")</f>
        <v>#NAME?</v>
      </c>
      <c r="AS608" s="1" t="e">
        <f ca="1">_xll.BDH($C$603,"ACCOUNTS_RECEIVABLE_5_YR_GROWTH","FY 2015","FY 2015","Currency=INR","Period=FY","BEST_FPERIOD_OVERRIDE=FY","FILING_STATUS=OR","EQY_CONSOLIDATED=Y","Sort=A","Dates=H","DateFormat=P","Fill=—","Direction=H","UseDPDF=Y")</f>
        <v>#NAME?</v>
      </c>
      <c r="AT608" s="1" t="e">
        <f ca="1">_xll.BDH($C$603,"INVENTORY_5_YEAR_GROWTH","FY 2015","FY 2015","Currency=INR","Period=FY","BEST_FPERIOD_OVERRIDE=FY","FILING_STATUS=OR","EQY_CONSOLIDATED=Y","Sort=A","Dates=H","DateFormat=P","Fill=—","Direction=H","UseDPDF=Y")</f>
        <v>#NAME?</v>
      </c>
      <c r="AU608" s="1" t="e">
        <f ca="1">_xll.BDH($C$603,"NET_FIXED_ASSETS_5_YEAR_GROWTH","FY 2015","FY 2015","Currency=INR","Period=FY","BEST_FPERIOD_OVERRIDE=FY","FILING_STATUS=OR","EQY_CONSOLIDATED=Y","Sort=A","Dates=H","DateFormat=P","Fill=—","Direction=H","UseDPDF=Y")</f>
        <v>#NAME?</v>
      </c>
      <c r="AV608" s="1" t="e">
        <f ca="1">_xll.BDH($C$603,"GEO_GROW_TOT_ASSET","FY 2015","FY 2015","Currency=INR","Period=FY","BEST_FPERIOD_OVERRIDE=FY","FILING_STATUS=OR","EQY_CONSOLIDATED=Y","Sort=A","Dates=H","DateFormat=P","Fill=—","Direction=H","UseDPDF=Y")</f>
        <v>#NAME?</v>
      </c>
      <c r="AW608" s="1" t="e">
        <f ca="1">_xll.BDH($C$603,"MODIFIED_WORKING_CPTL_5YR_GRWTH","FY 2015","FY 2015","Currency=INR","Period=FY","BEST_FPERIOD_OVERRIDE=FY","FILING_STATUS=OR","EQY_CONSOLIDATED=Y","Sort=A","Dates=H","DateFormat=P","Fill=—","Direction=H","UseDPDF=Y")</f>
        <v>#NAME?</v>
      </c>
      <c r="AX608" s="1" t="e">
        <f ca="1">_xll.BDH($C$603,"WORKING_CAPITAL_5_YEAR_GROWTH","FY 2015","FY 2015","Currency=INR","Period=FY","BEST_FPERIOD_OVERRIDE=FY","FILING_STATUS=OR","EQY_CONSOLIDATED=Y","Sort=A","Dates=H","DateFormat=P","Fill=—","Direction=H","UseDPDF=Y")</f>
        <v>#NAME?</v>
      </c>
      <c r="AY608" s="1" t="e">
        <f ca="1">_xll.BDH($C$603,"ACCOUNTS_PAYABLE_5_YEAR_GROWTH","FY 2015","FY 2015","Currency=INR","Period=FY","BEST_FPERIOD_OVERRIDE=FY","FILING_STATUS=OR","EQY_CONSOLIDATED=Y","Sort=A","Dates=H","DateFormat=P","Fill=—","Direction=H","UseDPDF=Y")</f>
        <v>#NAME?</v>
      </c>
      <c r="AZ608" s="1" t="e">
        <f ca="1">_xll.BDH($C$603,"SHORT_TERM_DEBT_5_YEAR_GROWTH","FY 2015","FY 2015","Currency=INR","Period=FY","BEST_FPERIOD_OVERRIDE=FY","FILING_STATUS=OR","EQY_CONSOLIDATED=Y","Sort=A","Dates=H","DateFormat=P","Fill=—","Direction=H","UseDPDF=Y")</f>
        <v>#NAME?</v>
      </c>
      <c r="BA608" s="1" t="e">
        <f ca="1">_xll.BDH($C$603,"TOTAL_DEBT_5_YEAR_GROWTH","FY 2015","FY 2015","Currency=INR","Period=FY","BEST_FPERIOD_OVERRIDE=FY","FILING_STATUS=OR","EQY_CONSOLIDATED=Y","Sort=A","Dates=H","DateFormat=P","Fill=—","Direction=H","UseDPDF=Y")</f>
        <v>#NAME?</v>
      </c>
      <c r="BB608" s="1" t="e">
        <f ca="1">_xll.BDH($C$603,"GEO_GROW_TOT_SHRHLDR_EQY","FY 2015","FY 2015","Currency=INR","Period=FY","BEST_FPERIOD_OVERRIDE=FY","FILING_STATUS=OR","EQY_CONSOLIDATED=Y","Sort=A","Dates=H","DateFormat=P","Fill=—","Direction=H","UseDPDF=Y")</f>
        <v>#NAME?</v>
      </c>
      <c r="BC608" s="1" t="e">
        <f ca="1">_xll.BDH($C$603,"TOTAL_CAPITAL_5_YEAR_GROWTH","FY 2015","FY 2015","Currency=INR","Period=FY","BEST_FPERIOD_OVERRIDE=FY","FILING_STATUS=OR","EQY_CONSOLIDATED=Y","Sort=A","Dates=H","DateFormat=P","Fill=—","Direction=H","UseDPDF=Y")</f>
        <v>#NAME?</v>
      </c>
      <c r="BD608" s="1" t="e">
        <f ca="1">_xll.BDH($C$603,"GEO_GROW_BOOK_VAL","FY 2015","FY 2015","Currency=INR","Period=FY","BEST_FPERIOD_OVERRIDE=FY","FILING_STATUS=OR","EQY_CONSOLIDATED=Y","Sort=A","Dates=H","DateFormat=P","Fill=—","Direction=H","UseDPDF=Y")</f>
        <v>#NAME?</v>
      </c>
      <c r="BE608" s="1" t="e">
        <f ca="1">_xll.BDH($C$603,"GEO_GROW_CASH_OPER_ACT","FY 2015","FY 2015","Currency=INR","Period=FY","BEST_FPERIOD_OVERRIDE=FY","FILING_STATUS=OR","EQY_CONSOLIDATED=Y","Sort=A","Dates=H","DateFormat=P","Fill=—","Direction=H","UseDPDF=Y")</f>
        <v>#NAME?</v>
      </c>
      <c r="BF608" s="1" t="e">
        <f ca="1">_xll.BDH($C$603,"REVENUE_SEQUENTIAL_GROWTH","FY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608" s="1" t="e">
        <f ca="1">_xll.BDH($C$603,"EBITDA_SEQUENTIAL_GROWTH","FY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608" s="1" t="e">
        <f ca="1">_xll.BDH($C$603,"OPERATING_INCOME_SEQ_GROWTH","FY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608" s="1" t="e">
        <f ca="1">_xll.BDH($C$603,"NET_INCOME_TO_COMMON_SEQ_GROWTH","FY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608" s="1" t="e">
        <f ca="1">_xll.BDH($C$603,"EPS_DILUTED_SEQUENTIAL_GROWTH","FY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608" s="1" t="e">
        <f ca="1">_xll.BDH($C$603,"DPS_SEQUENTIAL_GROWTH","FY 2015","FY 2015","Currency=INR","Period=FY","BEST_FPERIOD_OVERRIDE=FY","FILING_STATUS=OR","EQY_CONSOLIDATED=Y","Sort=A","Dates=H","DateFormat=P","Fill=—","Direction=H","UseDPDF=Y")</f>
        <v>#NAME?</v>
      </c>
      <c r="BL608" s="1" t="e">
        <f ca="1">_xll.BDH($C$603,"ACCOUNTS_RECEIVABLE_SEQ_GROWTH","FY 2015","FY 2015","Currency=INR","Period=FY","BEST_FPERIOD_OVERRIDE=FY","FILING_STATUS=OR","EQY_CONSOLIDATED=Y","Sort=A","Dates=H","DateFormat=P","Fill=—","Direction=H","UseDPDF=Y")</f>
        <v>#NAME?</v>
      </c>
      <c r="BM608" s="1" t="e">
        <f ca="1">_xll.BDH($C$603,"INVENTORY_SEQUENTIAL_GROWTH","FY 2015","FY 2015","Currency=INR","Period=FY","BEST_FPERIOD_OVERRIDE=FY","FILING_STATUS=OR","EQY_CONSOLIDATED=Y","Sort=A","Dates=H","DateFormat=P","Fill=—","Direction=H","UseDPDF=Y")</f>
        <v>#NAME?</v>
      </c>
      <c r="BN608" s="1" t="e">
        <f ca="1">_xll.BDH($C$603,"FIXED_ASSETS_SEQUENTIAL_GROWTH","FY 2015","FY 2015","Currency=INR","Period=FY","BEST_FPERIOD_OVERRIDE=FY","FILING_STATUS=OR","EQY_CONSOLIDATED=Y","Sort=A","Dates=H","DateFormat=P","Fill=—","Direction=H","UseDPDF=Y")</f>
        <v>#NAME?</v>
      </c>
      <c r="BO608" s="1" t="e">
        <f ca="1">_xll.BDH($C$603,"TOTAL_ASSETS_SEQUENTIAL_GROWTH","FY 2015","FY 2015","Currency=INR","Period=FY","BEST_FPERIOD_OVERRIDE=FY","FILING_STATUS=OR","EQY_CONSOLIDATED=Y","Sort=A","Dates=H","DateFormat=P","Fill=—","Direction=H","UseDPDF=Y")</f>
        <v>#NAME?</v>
      </c>
      <c r="BP608" s="1" t="e">
        <f ca="1">_xll.BDH($C$603,"MODIFIED_WORKING_CPTL_SEQ_GRWTH","FY 2015","FY 2015","Currency=INR","Period=FY","BEST_FPERIOD_OVERRIDE=FY","FILING_STATUS=OR","EQY_CONSOLIDATED=Y","Sort=A","Dates=H","DateFormat=P","Fill=—","Direction=H","UseDPDF=Y")</f>
        <v>#NAME?</v>
      </c>
      <c r="BQ608" s="1" t="e">
        <f ca="1">_xll.BDH($C$603,"WORKING_CAPITAL_SEQ_GROWTH","FY 2015","FY 2015","Currency=INR","Period=FY","BEST_FPERIOD_OVERRIDE=FY","FILING_STATUS=OR","EQY_CONSOLIDATED=Y","Sort=A","Dates=H","DateFormat=P","Fill=—","Direction=H","UseDPDF=Y")</f>
        <v>#NAME?</v>
      </c>
      <c r="BR608" s="1" t="e">
        <f ca="1">_xll.BDH($C$603,"ACCOUNTS_PAYABLE_SEQ_GROWTH","FY 2015","FY 2015","Currency=INR","Period=FY","BEST_FPERIOD_OVERRIDE=FY","FILING_STATUS=OR","EQY_CONSOLIDATED=Y","Sort=A","Dates=H","DateFormat=P","Fill=—","Direction=H","UseDPDF=Y")</f>
        <v>#NAME?</v>
      </c>
      <c r="BS608" s="1" t="e">
        <f ca="1">_xll.BDH($C$603,"ST_DEBT_SEQUENTIAL_GROWTH","FY 2015","FY 2015","Currency=INR","Period=FY","BEST_FPERIOD_OVERRIDE=FY","FILING_STATUS=OR","EQY_CONSOLIDATED=Y","Sort=A","Dates=H","DateFormat=P","Fill=—","Direction=H","UseDPDF=Y")</f>
        <v>#NAME?</v>
      </c>
      <c r="BT608" s="1" t="e">
        <f ca="1">_xll.BDH($C$603,"TOTAL_DEBT_SEQUENTIAL_GROWTH","FY 2015","FY 2015","Currency=INR","Period=FY","BEST_FPERIOD_OVERRIDE=FY","FILING_STATUS=OR","EQY_CONSOLIDATED=Y","Sort=A","Dates=H","DateFormat=P","Fill=—","Direction=H","UseDPDF=Y")</f>
        <v>#NAME?</v>
      </c>
      <c r="BU608" s="1" t="e">
        <f ca="1">_xll.BDH($C$603,"TOTAL_EQUITY_SEQUENTIAL_GROWTH","FY 2015","FY 2015","Currency=INR","Period=FY","BEST_FPERIOD_OVERRIDE=FY","FILING_STATUS=OR","EQY_CONSOLIDATED=Y","Sort=A","Dates=H","DateFormat=P","Fill=—","Direction=H","UseDPDF=Y")</f>
        <v>#NAME?</v>
      </c>
      <c r="BV608" s="1" t="e">
        <f ca="1">_xll.BDH($C$603,"TOTAL_CAPITAL_SEQUENTIAL_GROWTH","FY 2015","FY 2015","Currency=INR","Period=FY","BEST_FPERIOD_OVERRIDE=FY","FILING_STATUS=OR","EQY_CONSOLIDATED=Y","Sort=A","Dates=H","DateFormat=P","Fill=—","Direction=H","UseDPDF=Y")</f>
        <v>#NAME?</v>
      </c>
      <c r="BW608" s="1" t="e">
        <f ca="1">_xll.BDH($C$603,"BPS_SEQUENTIAL_GROWTH","FY 2015","FY 2015","Currency=INR","Period=FY","BEST_FPERIOD_OVERRIDE=FY","FILING_STATUS=OR","EQY_CONSOLIDATED=Y","Sort=A","Dates=H","DateFormat=P","Fill=—","Direction=H","UseDPDF=Y")</f>
        <v>#NAME?</v>
      </c>
      <c r="BX608" s="1" t="e">
        <f ca="1">_xll.BDH($C$603,"CFO_SEQUENTIAL_GROWTH","FY 2015","FY 2015","Currency=INR","Period=FY","BEST_FPERIOD_OVERRIDE=FY","FILING_STATUS=OR","EQY_CONSOLIDATED=Y","Sort=A","Dates=H","DateFormat=P","Fill=—","Direction=H","UseDPDF=Y")</f>
        <v>#NAME?</v>
      </c>
      <c r="BY608" s="2" t="e">
        <f ca="1">_xll.BDH($C$603,"SHORT_AND_LONG_TERM_DEBT","FY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608" s="2" t="e">
        <f ca="1">_xll.BDH($C$603,"BS_ST_BORROW","FY 2015","FY 2015","Currency=INR","Period=FY","BEST_FPERIOD_OVERRIDE=FY","FILING_STATUS=OR","EQY_CONSOLIDATED=Y","SCALING_FORMAT=MLN","Sort=A","Dates=H","DateFormat=P","Fill=—","Direction=H","UseDPDF=Y")</f>
        <v>#NAME?</v>
      </c>
      <c r="CA608" s="2" t="e">
        <f ca="1">_xll.BDH($C$603,"BS_LT_BORROW","FY 2015","FY 2015","Currency=INR","Period=FY","BEST_FPERIOD_OVERRIDE=FY","FILING_STATUS=OR","EQY_CONSOLIDATED=Y","SCALING_FORMAT=MLN","Sort=A","Dates=H","DateFormat=P","Fill=—","Direction=H","UseDPDF=Y")</f>
        <v>#NAME?</v>
      </c>
      <c r="CB608" s="1" t="e">
        <f ca="1">_xll.BDH($C$603,"TOT_DEBT_TO_EBITDA","FY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608" s="1" t="e">
        <f ca="1">_xll.BDH($C$603,"NET_DEBT_TO_EBITDA","FY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608" s="1" t="e">
        <f ca="1">_xll.BDH($C$603,"TOTAL_DEBT_TO_EBIT","FY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608" s="1" t="e">
        <f ca="1">_xll.BDH($C$603,"NET_DEBT_TO_EBIT","FY 2015","FY 2015","Currency=INR","Period=FY","BEST_FPERIOD_OVERRIDE=FY","FILING_STATUS=OR","EQY_CONSOLIDATED=Y","FA_ADJUSTED=GAAP","Sort=A","Dates=H","DateFormat=P","Fill=—","Direction=H","UseDPDF=Y")</f>
        <v>#NAME?</v>
      </c>
      <c r="CF608" s="1" t="e">
        <f ca="1">_xll.BDH($C$603,"EBITDA_TO_INTEREST_EXPN","FY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608" s="1" t="e">
        <f ca="1">_xll.BDH($C$603,"COM_EQY_TO_TOT_ASSET","FY 2015","FY 2015","Currency=INR","Period=FY","BEST_FPERIOD_OVERRIDE=FY","FILING_STATUS=OR","EQY_CONSOLIDATED=Y","Sort=A","Dates=H","DateFormat=P","Fill=—","Direction=H","UseDPDF=Y")</f>
        <v>#NAME?</v>
      </c>
      <c r="CH608" s="1" t="e">
        <f ca="1">_xll.BDH($C$603,"LT_DEBT_TO_TOT_EQY","FY 2015","FY 2015","Currency=INR","Period=FY","BEST_FPERIOD_OVERRIDE=FY","FILING_STATUS=OR","EQY_CONSOLIDATED=Y","Sort=A","Dates=H","DateFormat=P","Fill=—","Direction=H","UseDPDF=Y")</f>
        <v>#NAME?</v>
      </c>
      <c r="CI608" s="1" t="e">
        <f ca="1">_xll.BDH($C$603,"LT_DEBT_TO_TOT_CAP","FY 2015","FY 2015","Currency=INR","Period=FY","BEST_FPERIOD_OVERRIDE=FY","FILING_STATUS=OR","EQY_CONSOLIDATED=Y","Sort=A","Dates=H","DateFormat=P","Fill=—","Direction=H","UseDPDF=Y")</f>
        <v>#NAME?</v>
      </c>
      <c r="CJ608" s="1" t="e">
        <f ca="1">_xll.BDH($C$603,"LT_DEBT_TO_TOT_ASSET","FY 2015","FY 2015","Currency=INR","Period=FY","BEST_FPERIOD_OVERRIDE=FY","FILING_STATUS=OR","EQY_CONSOLIDATED=Y","Sort=A","Dates=H","DateFormat=P","Fill=—","Direction=H","UseDPDF=Y")</f>
        <v>#NAME?</v>
      </c>
      <c r="CK608" s="1" t="e">
        <f ca="1">_xll.BDH($C$603,"TOT_DEBT_TO_TOT_EQY","FY 2015","FY 2015","Currency=INR","Period=FY","BEST_FPERIOD_OVERRIDE=FY","FILING_STATUS=OR","EQY_CONSOLIDATED=Y","Sort=A","Dates=H","DateFormat=P","Fill=—","Direction=H","UseDPDF=Y")</f>
        <v>#NAME?</v>
      </c>
      <c r="CL608" s="1" t="e">
        <f ca="1">_xll.BDH($C$603,"TOT_DEBT_TO_TOT_CAP","FY 2015","FY 2015","Currency=INR","Period=FY","BEST_FPERIOD_OVERRIDE=FY","FILING_STATUS=OR","EQY_CONSOLIDATED=Y","Sort=A","Dates=H","DateFormat=P","Fill=—","Direction=H","UseDPDF=Y")</f>
        <v>#NAME?</v>
      </c>
      <c r="CM608" s="1" t="e">
        <f ca="1">_xll.BDH($C$603,"TOT_DEBT_TO_TOT_ASSET","FY 2015","FY 2015","Currency=INR","Period=FY","BEST_FPERIOD_OVERRIDE=FY","FILING_STATUS=OR","EQY_CONSOLIDATED=Y","Sort=A","Dates=H","DateFormat=P","Fill=—","Direction=H","UseDPDF=Y")</f>
        <v>#NAME?</v>
      </c>
      <c r="CN608" s="1" t="e">
        <f ca="1">_xll.BDH($C$603,"NET_DEBT_TO_SHRHLDR_EQTY","FY 2015","FY 2015","Currency=INR","Period=FY","BEST_FPERIOD_OVERRIDE=FY","FILING_STATUS=OR","EQY_CONSOLIDATED=Y","Sort=A","Dates=H","DateFormat=P","Fill=—","Direction=H","UseDPDF=Y")</f>
        <v>#NAME?</v>
      </c>
      <c r="CO608" s="1" t="e">
        <f ca="1">_xll.BDH($C$603,"NET_DEBT_%_CAPITAL","FY 2015","FY 2015","Currency=INR","Period=FY","BEST_FPERIOD_OVERRIDE=FY","FILING_STATUS=OR","EQY_CONSOLIDATED=Y","Sort=A","Dates=H","DateFormat=P","Fill=—","Direction=H","UseDPDF=Y")</f>
        <v>#NAME?</v>
      </c>
      <c r="CP608" s="2" t="e">
        <f ca="1">_xll.BDH($C$603,"EBITDA","FY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608" s="2" t="e">
        <f ca="1">_xll.BDH($C$603,"EBITDA_AFTER_CAPEX","FY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608" s="2" t="e">
        <f ca="1">_xll.BDH($C$603,"IS_OPER_INC","FY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608" s="1" t="e">
        <f ca="1">_xll.BDH($C$603,"CASH_RATIO","FY 2015","FY 2015","Currency=INR","Period=FY","BEST_FPERIOD_OVERRIDE=FY","FILING_STATUS=OR","EQY_CONSOLIDATED=Y","Sort=A","Dates=H","DateFormat=P","Fill=—","Direction=H","UseDPDF=Y")</f>
        <v>#NAME?</v>
      </c>
      <c r="CT608" s="1" t="e">
        <f ca="1">_xll.BDH($C$603,"CUR_RATIO","FY 2015","FY 2015","Currency=INR","Period=FY","BEST_FPERIOD_OVERRIDE=FY","FILING_STATUS=OR","EQY_CONSOLIDATED=Y","Sort=A","Dates=H","DateFormat=P","Fill=—","Direction=H","UseDPDF=Y")</f>
        <v>#NAME?</v>
      </c>
      <c r="CU608" s="1" t="e">
        <f ca="1">_xll.BDH($C$603,"QUICK_RATIO","FY 2015","FY 2015","Currency=INR","Period=FY","BEST_FPERIOD_OVERRIDE=FY","FILING_STATUS=OR","EQY_CONSOLIDATED=Y","Sort=A","Dates=H","DateFormat=P","Fill=—","Direction=H","UseDPDF=Y")</f>
        <v>#NAME?</v>
      </c>
      <c r="CV608" s="1" t="e">
        <f ca="1">_xll.BDH($C$603,"ALTMAN_Z_SCORE","FY 2015","FY 2015","Currency=INR","Period=FY","BEST_FPERIOD_OVERRIDE=FY","FILING_STATUS=OR","EQY_CONSOLIDATED=Y","Sort=A","Dates=H","DateFormat=P","Fill=—","Direction=H","UseDPDF=Y")</f>
        <v>#NAME?</v>
      </c>
      <c r="CW608" s="3" t="e">
        <f ca="1">_xll.BDH($C$603,"ACCT_RCV_TURN","FY 2015","FY 2015","Currency=INR","Period=FY","BEST_FPERIOD_OVERRIDE=FY","FILING_STATUS=OR","EQY_CONSOLIDATED=Y","FA_ADJUSTED=GAAP","Sort=A","Dates=H","DateFormat=P","Fill=—","Direction=H","UseDPDF=Y")</f>
        <v>#NAME?</v>
      </c>
      <c r="CX608" s="1" t="e">
        <f ca="1">_xll.BDH($C$603,"ACCT_RCV_DAYS","FY 2015","FY 2015","Currency=INR","Period=FY","BEST_FPERIOD_OVERRIDE=FY","FILING_STATUS=OR","EQY_CONSOLIDATED=Y","FA_ADJUSTED=GAAP","Sort=A","Dates=H","DateFormat=P","Fill=—","Direction=H","UseDPDF=Y")</f>
        <v>#NAME?</v>
      </c>
      <c r="CY608" s="3" t="e">
        <f ca="1">_xll.BDH($C$603,"INVENT_TURN","FY 2015","FY 2015","Currency=INR","Period=FY","BEST_FPERIOD_OVERRIDE=FY","FILING_STATUS=OR","EQY_CONSOLIDATED=Y","FA_ADJUSTED=GAAP","Sort=A","Dates=H","DateFormat=P","Fill=—","Direction=H","UseDPDF=Y")</f>
        <v>#NAME?</v>
      </c>
      <c r="CZ608" s="1" t="e">
        <f ca="1">_xll.BDH($C$603,"INVENT_DAYS","FY 2015","FY 2015","Currency=INR","Period=FY","BEST_FPERIOD_OVERRIDE=FY","FILING_STATUS=OR","EQY_CONSOLIDATED=Y","FA_ADJUSTED=GAAP","Sort=A","Dates=H","DateFormat=P","Fill=—","Direction=H","UseDPDF=Y")</f>
        <v>#NAME?</v>
      </c>
      <c r="DA608" s="3" t="e">
        <f ca="1">_xll.BDH($C$603,"ACCOUNTS_PAYABLE_TURNOVER","FY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608" s="1" t="e">
        <f ca="1">_xll.BDH($C$603,"ACCOUNTS_PAYABLE_TURNOVER_DAYS","FY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608" s="3" t="e">
        <f ca="1">_xll.BDH($C$603,"CASH_CONVERSION_CYCLE","FY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608" s="3" t="e">
        <f ca="1">_xll.BDH($C$603,"INV_TO_CASH_DAYS","FY 2015","FY 2015","Currency=INR","Period=FY","BEST_FPERIOD_OVERRIDE=FY","FILING_STATUS=OR","EQY_CONSOLIDATED=Y","FA_ADJUSTED=GAAP","Sort=A","Dates=H","DateFormat=P","Fill=—","Direction=H","UseDPDF=Y")</f>
        <v>#NAME?</v>
      </c>
      <c r="DE608" s="4" t="e">
        <f ca="1">_xll.BDH($C$603,"BS_INVENTORIES","FY 2015","FY 2015","Currency=INR","Period=FY","BEST_FPERIOD_OVERRIDE=FY","FILING_STATUS=OR","EQY_CONSOLIDATED=Y","SCALING_FORMAT=MLN","Sort=A","Dates=H","DateFormat=P","Fill=—","Direction=H","UseDPDF=Y")</f>
        <v>#NAME?</v>
      </c>
      <c r="DF608" s="2" t="e">
        <f ca="1">_xll.BDH($C$603,"INVTRY_RAW_MATERIALS","FY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608" s="2" t="e">
        <f ca="1">_xll.BDH($C$603,"INVTRY_IN_PROGRESS","FY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608" s="2" t="e">
        <f ca="1">_xll.BDH($C$603,"INVTRY_FINISHED_GOODS","FY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608" s="2" t="e">
        <f ca="1">_xll.BDH($C$603,"BS_OTHER_INV","FY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609" spans="1:113" x14ac:dyDescent="0.3">
      <c r="A609" s="6"/>
      <c r="B609" s="6"/>
      <c r="C609" s="6"/>
      <c r="D609" s="6"/>
      <c r="E609" t="s">
        <v>4</v>
      </c>
      <c r="F609" t="e">
        <f ca="1">_xll.BDH($C$603,"RETURN_COM_EQY","FQ1 2015","FQ1 2015","Currency=INR","Period=FQ","BEST_FPERIOD_OVERRIDE=FQ","FILING_STATUS=OR","EQY_CONSOLIDATED=Y","FA_ADJUSTED=GAAP","Sort=A","Dates=H","DateFormat=P","Fill=—","Direction=H","UseDPDF=Y")</f>
        <v>#NAME?</v>
      </c>
      <c r="G609" t="e">
        <f ca="1">_xll.BDH($C$603,"RETURN_ON_ASSET","FQ1 2015","FQ1 2015","Currency=INR","Period=FQ","BEST_FPERIOD_OVERRIDE=FQ","FILING_STATUS=OR","EQY_CONSOLIDATED=Y","FA_ADJUSTED=GAAP","Sort=A","Dates=H","DateFormat=P","Fill=—","Direction=H","UseDPDF=Y")</f>
        <v>#NAME?</v>
      </c>
      <c r="H609" t="e">
        <f ca="1">_xll.BDH($C$603,"RETURN_ON_CAP","FQ1 2015","FQ1 2015","Currency=INR","Period=FQ","BEST_FPERIOD_OVERRIDE=FQ","FILING_STATUS=OR","EQY_CONSOLIDATED=Y","FA_ADJUSTED=GAAP","Sort=A","Dates=H","DateFormat=P","Fill=—","Direction=H","UseDPDF=Y")</f>
        <v>#NAME?</v>
      </c>
      <c r="I609" t="e">
        <f ca="1">_xll.BDH($C$603,"RETURN_ON_INV_CAPITAL","FQ1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609" t="e">
        <f ca="1">_xll.BDH($C$603,"EBITDA_TO_REVENUE","FQ1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609" t="e">
        <f ca="1">_xll.BDH($C$603,"OPER_MARGIN","FQ1 2015","FQ1 2015","Currency=INR","Period=FQ","BEST_FPERIOD_OVERRIDE=FQ","FILING_STATUS=OR","EQY_CONSOLIDATED=Y","FA_ADJUSTED=GAAP","Sort=A","Dates=H","DateFormat=P","Fill=—","Direction=H","UseDPDF=Y")</f>
        <v>#NAME?</v>
      </c>
      <c r="L609" t="e">
        <f ca="1">_xll.BDH($C$603,"INCREMENTAL_OPERATING_MARGIN","FQ1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609" t="e">
        <f ca="1">_xll.BDH($C$603,"PRETAX_INC_TO_NET_SALES","FQ1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609" t="e">
        <f ca="1">_xll.BDH($C$603,"INC_BEF_XO_ITEMS_TO_NET_SALES","FQ1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609" t="e">
        <f ca="1">_xll.BDH($C$603,"PROF_MARGIN","FQ1 2015","FQ1 2015","Currency=INR","Period=FQ","BEST_FPERIOD_OVERRIDE=FQ","FILING_STATUS=OR","EQY_CONSOLIDATED=Y","FA_ADJUSTED=GAAP","Sort=A","Dates=H","DateFormat=P","Fill=—","Direction=H","UseDPDF=Y")</f>
        <v>#NAME?</v>
      </c>
      <c r="P609" t="e">
        <f ca="1">_xll.BDH($C$603,"NET_INCOME_TO_COMMON_MARGIN","FQ1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609" t="e">
        <f ca="1">_xll.BDH($C$603,"EFF_TAX_RATE","FQ1 2015","FQ1 2015","Currency=INR","Period=FQ","BEST_FPERIOD_OVERRIDE=FQ","FILING_STATUS=OR","EQY_CONSOLIDATED=Y","FA_ADJUSTED=GAAP","Sort=A","Dates=H","DateFormat=P","Fill=—","Direction=H","UseDPDF=Y")</f>
        <v>#NAME?</v>
      </c>
      <c r="R609" t="e">
        <f ca="1">_xll.BDH($C$603,"DVD_PAYOUT_RATIO","FQ1 2015","FQ1 2015","Currency=INR","Period=FQ","BEST_FPERIOD_OVERRIDE=FQ","FILING_STATUS=OR","EQY_CONSOLIDATED=Y","FA_ADJUSTED=GAAP","Sort=A","Dates=H","DateFormat=P","Fill=—","Direction=H","UseDPDF=Y")</f>
        <v>#NAME?</v>
      </c>
      <c r="S609" t="e">
        <f ca="1">_xll.BDH($C$603,"SUSTAIN_GROWTH_RT","FQ1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609" s="1" t="e">
        <f ca="1">_xll.BDH($C$603,"SALES_GROWTH","FQ1 2015","FQ1 2015","Currency=INR","Period=FQ","BEST_FPERIOD_OVERRIDE=FQ","FILING_STATUS=OR","EQY_CONSOLIDATED=Y","FA_ADJUSTED=GAAP","Sort=A","Dates=H","DateFormat=P","Fill=—","Direction=H","UseDPDF=Y")</f>
        <v>#NAME?</v>
      </c>
      <c r="U609" s="1" t="e">
        <f ca="1">_xll.BDH($C$603,"EBITDA_GROWTH","FQ1 2015","FQ1 2015","Currency=INR","Period=FQ","BEST_FPERIOD_OVERRIDE=FQ","FILING_STATUS=OR","EQY_CONSOLIDATED=Y","FA_ADJUSTED=GAAP","Sort=A","Dates=H","DateFormat=P","Fill=—","Direction=H","UseDPDF=Y")</f>
        <v>#NAME?</v>
      </c>
      <c r="V609" s="1" t="e">
        <f ca="1">_xll.BDH($C$603,"OPER_INC_GROWTH","FQ1 2015","FQ1 2015","Currency=INR","Period=FQ","BEST_FPERIOD_OVERRIDE=FQ","FILING_STATUS=OR","EQY_CONSOLIDATED=Y","FA_ADJUSTED=GAAP","Sort=A","Dates=H","DateFormat=P","Fill=—","Direction=H","UseDPDF=Y")</f>
        <v>#NAME?</v>
      </c>
      <c r="W609" s="1" t="e">
        <f ca="1">_xll.BDH($C$603,"EARN_FOR_COM_GROWTH","FQ1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609" s="1" t="e">
        <f ca="1">_xll.BDH($C$603,"DILUTED_EPS_AFT_XO_ITEMS_GROWTH","FQ1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609" s="1" t="e">
        <f ca="1">_xll.BDH($C$603,"DIVIDEND_PER_SHARE_1_YEAR_GROWTH","FQ1 2015","FQ1 2015","Currency=INR","Period=FQ","BEST_FPERIOD_OVERRIDE=FQ","FILING_STATUS=OR","EQY_CONSOLIDATED=Y","Sort=A","Dates=H","DateFormat=P","Fill=—","Direction=H","UseDPDF=Y")</f>
        <v>#NAME?</v>
      </c>
      <c r="Z609" s="1" t="e">
        <f ca="1">_xll.BDH($C$603,"ACCOUNTS_RECEIVABLE_GROWTH","FQ1 2015","FQ1 2015","Currency=INR","Period=FQ","BEST_FPERIOD_OVERRIDE=FQ","FILING_STATUS=OR","EQY_CONSOLIDATED=Y","Sort=A","Dates=H","DateFormat=P","Fill=—","Direction=H","UseDPDF=Y")</f>
        <v>#NAME?</v>
      </c>
      <c r="AA609" s="1" t="e">
        <f ca="1">_xll.BDH($C$603,"INVENTORY_GROWTH","FQ1 2015","FQ1 2015","Currency=INR","Period=FQ","BEST_FPERIOD_OVERRIDE=FQ","FILING_STATUS=OR","EQY_CONSOLIDATED=Y","Sort=A","Dates=H","DateFormat=P","Fill=—","Direction=H","UseDPDF=Y")</f>
        <v>#NAME?</v>
      </c>
      <c r="AB609" s="1" t="e">
        <f ca="1">_xll.BDH($C$603,"NET_FIXED_ASSETS_1_YEAR_GROWTH","FQ1 2015","FQ1 2015","Currency=INR","Period=FQ","BEST_FPERIOD_OVERRIDE=FQ","FILING_STATUS=OR","EQY_CONSOLIDATED=Y","Sort=A","Dates=H","DateFormat=P","Fill=—","Direction=H","UseDPDF=Y")</f>
        <v>#NAME?</v>
      </c>
      <c r="AC609" s="1" t="e">
        <f ca="1">_xll.BDH($C$603,"ASSET_GROWTH","FQ1 2015","FQ1 2015","Currency=INR","Period=FQ","BEST_FPERIOD_OVERRIDE=FQ","FILING_STATUS=OR","EQY_CONSOLIDATED=Y","Sort=A","Dates=H","DateFormat=P","Fill=—","Direction=H","UseDPDF=Y")</f>
        <v>#NAME?</v>
      </c>
      <c r="AD609" s="1" t="e">
        <f ca="1">_xll.BDH($C$603,"MODIFIED_WORK_CAP_GROWTH","FQ1 2015","FQ1 2015","Currency=INR","Period=FQ","BEST_FPERIOD_OVERRIDE=FQ","FILING_STATUS=OR","EQY_CONSOLIDATED=Y","Sort=A","Dates=H","DateFormat=P","Fill=—","Direction=H","UseDPDF=Y")</f>
        <v>#NAME?</v>
      </c>
      <c r="AE609" s="1" t="e">
        <f ca="1">_xll.BDH($C$603,"WORK_CAP_GROWTH","FQ1 2015","FQ1 2015","Currency=INR","Period=FQ","BEST_FPERIOD_OVERRIDE=FQ","FILING_STATUS=OR","EQY_CONSOLIDATED=Y","Sort=A","Dates=H","DateFormat=P","Fill=—","Direction=H","UseDPDF=Y")</f>
        <v>#NAME?</v>
      </c>
      <c r="AF609" s="1" t="e">
        <f ca="1">_xll.BDH($C$603,"ACCOUNTS_PAYABLE_GROWTH_1YR","FQ1 2015","FQ1 2015","Currency=INR","Period=FQ","BEST_FPERIOD_OVERRIDE=FQ","FILING_STATUS=OR","EQY_CONSOLIDATED=Y","Sort=A","Dates=H","DateFormat=P","Fill=—","Direction=H","UseDPDF=Y")</f>
        <v>#NAME?</v>
      </c>
      <c r="AG609" s="1" t="e">
        <f ca="1">_xll.BDH($C$603,"SHORT_TERM_DEBT_1_YEAR_GROWTH","FQ1 2015","FQ1 2015","Currency=INR","Period=FQ","BEST_FPERIOD_OVERRIDE=FQ","FILING_STATUS=OR","EQY_CONSOLIDATED=Y","Sort=A","Dates=H","DateFormat=P","Fill=—","Direction=H","UseDPDF=Y")</f>
        <v>#NAME?</v>
      </c>
      <c r="AH609" s="1" t="e">
        <f ca="1">_xll.BDH($C$603,"TOTAL_DEBT_1_YEAR_GROWTH","FQ1 2015","FQ1 2015","Currency=INR","Period=FQ","BEST_FPERIOD_OVERRIDE=FQ","FILING_STATUS=OR","EQY_CONSOLIDATED=Y","Sort=A","Dates=H","DateFormat=P","Fill=—","Direction=H","UseDPDF=Y")</f>
        <v>#NAME?</v>
      </c>
      <c r="AI609" s="1" t="e">
        <f ca="1">_xll.BDH($C$603,"TOTAL_EQUITY_1_YEAR_GROWTH","FQ1 2015","FQ1 2015","Currency=INR","Period=FQ","BEST_FPERIOD_OVERRIDE=FQ","FILING_STATUS=OR","EQY_CONSOLIDATED=Y","Sort=A","Dates=H","DateFormat=P","Fill=—","Direction=H","UseDPDF=Y")</f>
        <v>#NAME?</v>
      </c>
      <c r="AJ609" s="1" t="e">
        <f ca="1">_xll.BDH($C$603,"GROWTH_IN_CAP","FQ1 2015","FQ1 2015","Currency=INR","Period=FQ","BEST_FPERIOD_OVERRIDE=FQ","FILING_STATUS=OR","EQY_CONSOLIDATED=Y","Sort=A","Dates=H","DateFormat=P","Fill=—","Direction=H","UseDPDF=Y")</f>
        <v>#NAME?</v>
      </c>
      <c r="AK609" s="1" t="e">
        <f ca="1">_xll.BDH($C$603,"BVPS_GROWTH","FQ1 2015","FQ1 2015","Currency=INR","Period=FQ","BEST_FPERIOD_OVERRIDE=FQ","FILING_STATUS=OR","EQY_CONSOLIDATED=Y","Sort=A","Dates=H","DateFormat=P","Fill=—","Direction=H","UseDPDF=Y")</f>
        <v>#NAME?</v>
      </c>
      <c r="AL609" s="1" t="e">
        <f ca="1">_xll.BDH($C$603,"CASH_FLOW_GROWTH","FQ1 2015","FQ1 2015","Currency=INR","Period=FQ","BEST_FPERIOD_OVERRIDE=FQ","FILING_STATUS=OR","EQY_CONSOLIDATED=Y","Sort=A","Dates=H","DateFormat=P","Fill=—","Direction=H","UseDPDF=Y")</f>
        <v>#NAME?</v>
      </c>
      <c r="AM609" s="1" t="e">
        <f ca="1">_xll.BDH($C$603,"GEO_GROW_NET_SALES","FQ1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609" s="1" t="e">
        <f ca="1">_xll.BDH($C$603,"GEO_GROW_EBITDA","FQ1 2015","FQ1 2015","Currency=INR","Period=FQ","BEST_FPERIOD_OVERRIDE=FQ","FILING_STATUS=OR","EQY_CONSOLIDATED=Y","FA_ADJUSTED=GAAP","Sort=A","Dates=H","DateFormat=P","Fill=—","Direction=H","UseDPDF=Y")</f>
        <v>#NAME?</v>
      </c>
      <c r="AO609" s="1" t="e">
        <f ca="1">_xll.BDH($C$603,"GEO_GROW_OPER_INC","FQ1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609" s="1" t="e">
        <f ca="1">_xll.BDH($C$603,"NET_INCOME_TO_COMMON_5_YR_GROWTH","FQ1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609" s="1" t="e">
        <f ca="1">_xll.BDH($C$603,"5Y_GEO_GROWTH_DILUTED_EPS","FQ1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609" s="1" t="e">
        <f ca="1">_xll.BDH($C$603,"GEO_GROW_DVD_PER_SH","FQ1 2015","FQ1 2015","Currency=INR","Period=FQ","BEST_FPERIOD_OVERRIDE=FQ","FILING_STATUS=OR","EQY_CONSOLIDATED=Y","Sort=A","Dates=H","DateFormat=P","Fill=—","Direction=H","UseDPDF=Y")</f>
        <v>#NAME?</v>
      </c>
      <c r="AS609" s="1" t="e">
        <f ca="1">_xll.BDH($C$603,"ACCOUNTS_RECEIVABLE_5_YR_GROWTH","FQ1 2015","FQ1 2015","Currency=INR","Period=FQ","BEST_FPERIOD_OVERRIDE=FQ","FILING_STATUS=OR","EQY_CONSOLIDATED=Y","Sort=A","Dates=H","DateFormat=P","Fill=—","Direction=H","UseDPDF=Y")</f>
        <v>#NAME?</v>
      </c>
      <c r="AT609" s="1" t="e">
        <f ca="1">_xll.BDH($C$603,"INVENTORY_5_YEAR_GROWTH","FQ1 2015","FQ1 2015","Currency=INR","Period=FQ","BEST_FPERIOD_OVERRIDE=FQ","FILING_STATUS=OR","EQY_CONSOLIDATED=Y","Sort=A","Dates=H","DateFormat=P","Fill=—","Direction=H","UseDPDF=Y")</f>
        <v>#NAME?</v>
      </c>
      <c r="AU609" s="1" t="e">
        <f ca="1">_xll.BDH($C$603,"NET_FIXED_ASSETS_5_YEAR_GROWTH","FQ1 2015","FQ1 2015","Currency=INR","Period=FQ","BEST_FPERIOD_OVERRIDE=FQ","FILING_STATUS=OR","EQY_CONSOLIDATED=Y","Sort=A","Dates=H","DateFormat=P","Fill=—","Direction=H","UseDPDF=Y")</f>
        <v>#NAME?</v>
      </c>
      <c r="AV609" s="1" t="e">
        <f ca="1">_xll.BDH($C$603,"GEO_GROW_TOT_ASSET","FQ1 2015","FQ1 2015","Currency=INR","Period=FQ","BEST_FPERIOD_OVERRIDE=FQ","FILING_STATUS=OR","EQY_CONSOLIDATED=Y","Sort=A","Dates=H","DateFormat=P","Fill=—","Direction=H","UseDPDF=Y")</f>
        <v>#NAME?</v>
      </c>
      <c r="AW609" s="1" t="e">
        <f ca="1">_xll.BDH($C$603,"MODIFIED_WORKING_CPTL_5YR_GRWTH","FQ1 2015","FQ1 2015","Currency=INR","Period=FQ","BEST_FPERIOD_OVERRIDE=FQ","FILING_STATUS=OR","EQY_CONSOLIDATED=Y","Sort=A","Dates=H","DateFormat=P","Fill=—","Direction=H","UseDPDF=Y")</f>
        <v>#NAME?</v>
      </c>
      <c r="AX609" s="1" t="e">
        <f ca="1">_xll.BDH($C$603,"WORKING_CAPITAL_5_YEAR_GROWTH","FQ1 2015","FQ1 2015","Currency=INR","Period=FQ","BEST_FPERIOD_OVERRIDE=FQ","FILING_STATUS=OR","EQY_CONSOLIDATED=Y","Sort=A","Dates=H","DateFormat=P","Fill=—","Direction=H","UseDPDF=Y")</f>
        <v>#NAME?</v>
      </c>
      <c r="AY609" s="1" t="e">
        <f ca="1">_xll.BDH($C$603,"ACCOUNTS_PAYABLE_5_YEAR_GROWTH","FQ1 2015","FQ1 2015","Currency=INR","Period=FQ","BEST_FPERIOD_OVERRIDE=FQ","FILING_STATUS=OR","EQY_CONSOLIDATED=Y","Sort=A","Dates=H","DateFormat=P","Fill=—","Direction=H","UseDPDF=Y")</f>
        <v>#NAME?</v>
      </c>
      <c r="AZ609" s="1" t="e">
        <f ca="1">_xll.BDH($C$603,"SHORT_TERM_DEBT_5_YEAR_GROWTH","FQ1 2015","FQ1 2015","Currency=INR","Period=FQ","BEST_FPERIOD_OVERRIDE=FQ","FILING_STATUS=OR","EQY_CONSOLIDATED=Y","Sort=A","Dates=H","DateFormat=P","Fill=—","Direction=H","UseDPDF=Y")</f>
        <v>#NAME?</v>
      </c>
      <c r="BA609" s="1" t="e">
        <f ca="1">_xll.BDH($C$603,"TOTAL_DEBT_5_YEAR_GROWTH","FQ1 2015","FQ1 2015","Currency=INR","Period=FQ","BEST_FPERIOD_OVERRIDE=FQ","FILING_STATUS=OR","EQY_CONSOLIDATED=Y","Sort=A","Dates=H","DateFormat=P","Fill=—","Direction=H","UseDPDF=Y")</f>
        <v>#NAME?</v>
      </c>
      <c r="BB609" s="1" t="e">
        <f ca="1">_xll.BDH($C$603,"GEO_GROW_TOT_SHRHLDR_EQY","FQ1 2015","FQ1 2015","Currency=INR","Period=FQ","BEST_FPERIOD_OVERRIDE=FQ","FILING_STATUS=OR","EQY_CONSOLIDATED=Y","Sort=A","Dates=H","DateFormat=P","Fill=—","Direction=H","UseDPDF=Y")</f>
        <v>#NAME?</v>
      </c>
      <c r="BC609" s="1" t="e">
        <f ca="1">_xll.BDH($C$603,"TOTAL_CAPITAL_5_YEAR_GROWTH","FQ1 2015","FQ1 2015","Currency=INR","Period=FQ","BEST_FPERIOD_OVERRIDE=FQ","FILING_STATUS=OR","EQY_CONSOLIDATED=Y","Sort=A","Dates=H","DateFormat=P","Fill=—","Direction=H","UseDPDF=Y")</f>
        <v>#NAME?</v>
      </c>
      <c r="BD609" s="1" t="e">
        <f ca="1">_xll.BDH($C$603,"GEO_GROW_BOOK_VAL","FQ1 2015","FQ1 2015","Currency=INR","Period=FQ","BEST_FPERIOD_OVERRIDE=FQ","FILING_STATUS=OR","EQY_CONSOLIDATED=Y","Sort=A","Dates=H","DateFormat=P","Fill=—","Direction=H","UseDPDF=Y")</f>
        <v>#NAME?</v>
      </c>
      <c r="BE609" s="1" t="e">
        <f ca="1">_xll.BDH($C$603,"GEO_GROW_CASH_OPER_ACT","FQ1 2015","FQ1 2015","Currency=INR","Period=FQ","BEST_FPERIOD_OVERRIDE=FQ","FILING_STATUS=OR","EQY_CONSOLIDATED=Y","Sort=A","Dates=H","DateFormat=P","Fill=—","Direction=H","UseDPDF=Y")</f>
        <v>#NAME?</v>
      </c>
      <c r="BF609" s="1" t="e">
        <f ca="1">_xll.BDH($C$603,"REVENUE_SEQUENTIAL_GROWTH","FQ1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609" s="1" t="e">
        <f ca="1">_xll.BDH($C$603,"EBITDA_SEQUENTIAL_GROWTH","FQ1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609" s="1" t="e">
        <f ca="1">_xll.BDH($C$603,"OPERATING_INCOME_SEQ_GROWTH","FQ1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609" s="1" t="e">
        <f ca="1">_xll.BDH($C$603,"NET_INCOME_TO_COMMON_SEQ_GROWTH","FQ1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609" s="1" t="e">
        <f ca="1">_xll.BDH($C$603,"EPS_DILUTED_SEQUENTIAL_GROWTH","FQ1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609" s="1" t="e">
        <f ca="1">_xll.BDH($C$603,"DPS_SEQUENTIAL_GROWTH","FQ1 2015","FQ1 2015","Currency=INR","Period=FQ","BEST_FPERIOD_OVERRIDE=FQ","FILING_STATUS=OR","EQY_CONSOLIDATED=Y","Sort=A","Dates=H","DateFormat=P","Fill=—","Direction=H","UseDPDF=Y")</f>
        <v>#NAME?</v>
      </c>
      <c r="BL609" s="1" t="e">
        <f ca="1">_xll.BDH($C$603,"ACCOUNTS_RECEIVABLE_SEQ_GROWTH","FQ1 2015","FQ1 2015","Currency=INR","Period=FQ","BEST_FPERIOD_OVERRIDE=FQ","FILING_STATUS=OR","EQY_CONSOLIDATED=Y","Sort=A","Dates=H","DateFormat=P","Fill=—","Direction=H","UseDPDF=Y")</f>
        <v>#NAME?</v>
      </c>
      <c r="BM609" s="1" t="e">
        <f ca="1">_xll.BDH($C$603,"INVENTORY_SEQUENTIAL_GROWTH","FQ1 2015","FQ1 2015","Currency=INR","Period=FQ","BEST_FPERIOD_OVERRIDE=FQ","FILING_STATUS=OR","EQY_CONSOLIDATED=Y","Sort=A","Dates=H","DateFormat=P","Fill=—","Direction=H","UseDPDF=Y")</f>
        <v>#NAME?</v>
      </c>
      <c r="BN609" s="1" t="e">
        <f ca="1">_xll.BDH($C$603,"FIXED_ASSETS_SEQUENTIAL_GROWTH","FQ1 2015","FQ1 2015","Currency=INR","Period=FQ","BEST_FPERIOD_OVERRIDE=FQ","FILING_STATUS=OR","EQY_CONSOLIDATED=Y","Sort=A","Dates=H","DateFormat=P","Fill=—","Direction=H","UseDPDF=Y")</f>
        <v>#NAME?</v>
      </c>
      <c r="BO609" s="1" t="e">
        <f ca="1">_xll.BDH($C$603,"TOTAL_ASSETS_SEQUENTIAL_GROWTH","FQ1 2015","FQ1 2015","Currency=INR","Period=FQ","BEST_FPERIOD_OVERRIDE=FQ","FILING_STATUS=OR","EQY_CONSOLIDATED=Y","Sort=A","Dates=H","DateFormat=P","Fill=—","Direction=H","UseDPDF=Y")</f>
        <v>#NAME?</v>
      </c>
      <c r="BP609" s="1" t="e">
        <f ca="1">_xll.BDH($C$603,"MODIFIED_WORKING_CPTL_SEQ_GRWTH","FQ1 2015","FQ1 2015","Currency=INR","Period=FQ","BEST_FPERIOD_OVERRIDE=FQ","FILING_STATUS=OR","EQY_CONSOLIDATED=Y","Sort=A","Dates=H","DateFormat=P","Fill=—","Direction=H","UseDPDF=Y")</f>
        <v>#NAME?</v>
      </c>
      <c r="BQ609" s="1" t="e">
        <f ca="1">_xll.BDH($C$603,"WORKING_CAPITAL_SEQ_GROWTH","FQ1 2015","FQ1 2015","Currency=INR","Period=FQ","BEST_FPERIOD_OVERRIDE=FQ","FILING_STATUS=OR","EQY_CONSOLIDATED=Y","Sort=A","Dates=H","DateFormat=P","Fill=—","Direction=H","UseDPDF=Y")</f>
        <v>#NAME?</v>
      </c>
      <c r="BR609" s="1" t="e">
        <f ca="1">_xll.BDH($C$603,"ACCOUNTS_PAYABLE_SEQ_GROWTH","FQ1 2015","FQ1 2015","Currency=INR","Period=FQ","BEST_FPERIOD_OVERRIDE=FQ","FILING_STATUS=OR","EQY_CONSOLIDATED=Y","Sort=A","Dates=H","DateFormat=P","Fill=—","Direction=H","UseDPDF=Y")</f>
        <v>#NAME?</v>
      </c>
      <c r="BS609" s="1" t="e">
        <f ca="1">_xll.BDH($C$603,"ST_DEBT_SEQUENTIAL_GROWTH","FQ1 2015","FQ1 2015","Currency=INR","Period=FQ","BEST_FPERIOD_OVERRIDE=FQ","FILING_STATUS=OR","EQY_CONSOLIDATED=Y","Sort=A","Dates=H","DateFormat=P","Fill=—","Direction=H","UseDPDF=Y")</f>
        <v>#NAME?</v>
      </c>
      <c r="BT609" s="1" t="e">
        <f ca="1">_xll.BDH($C$603,"TOTAL_DEBT_SEQUENTIAL_GROWTH","FQ1 2015","FQ1 2015","Currency=INR","Period=FQ","BEST_FPERIOD_OVERRIDE=FQ","FILING_STATUS=OR","EQY_CONSOLIDATED=Y","Sort=A","Dates=H","DateFormat=P","Fill=—","Direction=H","UseDPDF=Y")</f>
        <v>#NAME?</v>
      </c>
      <c r="BU609" s="1" t="e">
        <f ca="1">_xll.BDH($C$603,"TOTAL_EQUITY_SEQUENTIAL_GROWTH","FQ1 2015","FQ1 2015","Currency=INR","Period=FQ","BEST_FPERIOD_OVERRIDE=FQ","FILING_STATUS=OR","EQY_CONSOLIDATED=Y","Sort=A","Dates=H","DateFormat=P","Fill=—","Direction=H","UseDPDF=Y")</f>
        <v>#NAME?</v>
      </c>
      <c r="BV609" s="1" t="e">
        <f ca="1">_xll.BDH($C$603,"TOTAL_CAPITAL_SEQUENTIAL_GROWTH","FQ1 2015","FQ1 2015","Currency=INR","Period=FQ","BEST_FPERIOD_OVERRIDE=FQ","FILING_STATUS=OR","EQY_CONSOLIDATED=Y","Sort=A","Dates=H","DateFormat=P","Fill=—","Direction=H","UseDPDF=Y")</f>
        <v>#NAME?</v>
      </c>
      <c r="BW609" s="1" t="e">
        <f ca="1">_xll.BDH($C$603,"BPS_SEQUENTIAL_GROWTH","FQ1 2015","FQ1 2015","Currency=INR","Period=FQ","BEST_FPERIOD_OVERRIDE=FQ","FILING_STATUS=OR","EQY_CONSOLIDATED=Y","Sort=A","Dates=H","DateFormat=P","Fill=—","Direction=H","UseDPDF=Y")</f>
        <v>#NAME?</v>
      </c>
      <c r="BX609" s="1" t="e">
        <f ca="1">_xll.BDH($C$603,"CFO_SEQUENTIAL_GROWTH","FQ1 2015","FQ1 2015","Currency=INR","Period=FQ","BEST_FPERIOD_OVERRIDE=FQ","FILING_STATUS=OR","EQY_CONSOLIDATED=Y","Sort=A","Dates=H","DateFormat=P","Fill=—","Direction=H","UseDPDF=Y")</f>
        <v>#NAME?</v>
      </c>
      <c r="BY609" s="2" t="e">
        <f ca="1">_xll.BDH($C$603,"SHORT_AND_LONG_TERM_DEBT","FQ1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609" s="2" t="e">
        <f ca="1">_xll.BDH($C$603,"BS_ST_BORROW","FQ1 2015","FQ1 2015","Currency=INR","Period=FQ","BEST_FPERIOD_OVERRIDE=FQ","FILING_STATUS=OR","EQY_CONSOLIDATED=Y","SCALING_FORMAT=MLN","Sort=A","Dates=H","DateFormat=P","Fill=—","Direction=H","UseDPDF=Y")</f>
        <v>#NAME?</v>
      </c>
      <c r="CA609" s="2" t="e">
        <f ca="1">_xll.BDH($C$603,"BS_LT_BORROW","FQ1 2015","FQ1 2015","Currency=INR","Period=FQ","BEST_FPERIOD_OVERRIDE=FQ","FILING_STATUS=OR","EQY_CONSOLIDATED=Y","SCALING_FORMAT=MLN","Sort=A","Dates=H","DateFormat=P","Fill=—","Direction=H","UseDPDF=Y")</f>
        <v>#NAME?</v>
      </c>
      <c r="CB609" s="1" t="e">
        <f ca="1">_xll.BDH($C$603,"TOT_DEBT_TO_EBITDA","FQ1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609" s="1" t="e">
        <f ca="1">_xll.BDH($C$603,"NET_DEBT_TO_EBITDA","FQ1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609" s="1" t="e">
        <f ca="1">_xll.BDH($C$603,"TOTAL_DEBT_TO_EBIT","FQ1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609" s="1" t="e">
        <f ca="1">_xll.BDH($C$603,"NET_DEBT_TO_EBIT","FQ1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609" s="1" t="e">
        <f ca="1">_xll.BDH($C$603,"EBITDA_TO_INTEREST_EXPN","FQ1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609" s="1" t="e">
        <f ca="1">_xll.BDH($C$603,"COM_EQY_TO_TOT_ASSET","FQ1 2015","FQ1 2015","Currency=INR","Period=FQ","BEST_FPERIOD_OVERRIDE=FQ","FILING_STATUS=OR","EQY_CONSOLIDATED=Y","Sort=A","Dates=H","DateFormat=P","Fill=—","Direction=H","UseDPDF=Y")</f>
        <v>#NAME?</v>
      </c>
      <c r="CH609" s="1" t="e">
        <f ca="1">_xll.BDH($C$603,"LT_DEBT_TO_TOT_EQY","FQ1 2015","FQ1 2015","Currency=INR","Period=FQ","BEST_FPERIOD_OVERRIDE=FQ","FILING_STATUS=OR","EQY_CONSOLIDATED=Y","Sort=A","Dates=H","DateFormat=P","Fill=—","Direction=H","UseDPDF=Y")</f>
        <v>#NAME?</v>
      </c>
      <c r="CI609" s="1" t="e">
        <f ca="1">_xll.BDH($C$603,"LT_DEBT_TO_TOT_CAP","FQ1 2015","FQ1 2015","Currency=INR","Period=FQ","BEST_FPERIOD_OVERRIDE=FQ","FILING_STATUS=OR","EQY_CONSOLIDATED=Y","Sort=A","Dates=H","DateFormat=P","Fill=—","Direction=H","UseDPDF=Y")</f>
        <v>#NAME?</v>
      </c>
      <c r="CJ609" s="1" t="e">
        <f ca="1">_xll.BDH($C$603,"LT_DEBT_TO_TOT_ASSET","FQ1 2015","FQ1 2015","Currency=INR","Period=FQ","BEST_FPERIOD_OVERRIDE=FQ","FILING_STATUS=OR","EQY_CONSOLIDATED=Y","Sort=A","Dates=H","DateFormat=P","Fill=—","Direction=H","UseDPDF=Y")</f>
        <v>#NAME?</v>
      </c>
      <c r="CK609" s="1" t="e">
        <f ca="1">_xll.BDH($C$603,"TOT_DEBT_TO_TOT_EQY","FQ1 2015","FQ1 2015","Currency=INR","Period=FQ","BEST_FPERIOD_OVERRIDE=FQ","FILING_STATUS=OR","EQY_CONSOLIDATED=Y","Sort=A","Dates=H","DateFormat=P","Fill=—","Direction=H","UseDPDF=Y")</f>
        <v>#NAME?</v>
      </c>
      <c r="CL609" s="1" t="e">
        <f ca="1">_xll.BDH($C$603,"TOT_DEBT_TO_TOT_CAP","FQ1 2015","FQ1 2015","Currency=INR","Period=FQ","BEST_FPERIOD_OVERRIDE=FQ","FILING_STATUS=OR","EQY_CONSOLIDATED=Y","Sort=A","Dates=H","DateFormat=P","Fill=—","Direction=H","UseDPDF=Y")</f>
        <v>#NAME?</v>
      </c>
      <c r="CM609" s="1" t="e">
        <f ca="1">_xll.BDH($C$603,"TOT_DEBT_TO_TOT_ASSET","FQ1 2015","FQ1 2015","Currency=INR","Period=FQ","BEST_FPERIOD_OVERRIDE=FQ","FILING_STATUS=OR","EQY_CONSOLIDATED=Y","Sort=A","Dates=H","DateFormat=P","Fill=—","Direction=H","UseDPDF=Y")</f>
        <v>#NAME?</v>
      </c>
      <c r="CN609" s="1" t="e">
        <f ca="1">_xll.BDH($C$603,"NET_DEBT_TO_SHRHLDR_EQTY","FQ1 2015","FQ1 2015","Currency=INR","Period=FQ","BEST_FPERIOD_OVERRIDE=FQ","FILING_STATUS=OR","EQY_CONSOLIDATED=Y","Sort=A","Dates=H","DateFormat=P","Fill=—","Direction=H","UseDPDF=Y")</f>
        <v>#NAME?</v>
      </c>
      <c r="CO609" s="1" t="e">
        <f ca="1">_xll.BDH($C$603,"NET_DEBT_%_CAPITAL","FQ1 2015","FQ1 2015","Currency=INR","Period=FQ","BEST_FPERIOD_OVERRIDE=FQ","FILING_STATUS=OR","EQY_CONSOLIDATED=Y","Sort=A","Dates=H","DateFormat=P","Fill=—","Direction=H","UseDPDF=Y")</f>
        <v>#NAME?</v>
      </c>
      <c r="CP609" s="2" t="e">
        <f ca="1">_xll.BDH($C$603,"EBITDA","FQ1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609" s="2" t="e">
        <f ca="1">_xll.BDH($C$603,"EBITDA_AFTER_CAPEX","FQ1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609" s="2" t="e">
        <f ca="1">_xll.BDH($C$603,"IS_OPER_INC","FQ1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609" s="1" t="e">
        <f ca="1">_xll.BDH($C$603,"CASH_RATIO","FQ1 2015","FQ1 2015","Currency=INR","Period=FQ","BEST_FPERIOD_OVERRIDE=FQ","FILING_STATUS=OR","EQY_CONSOLIDATED=Y","Sort=A","Dates=H","DateFormat=P","Fill=—","Direction=H","UseDPDF=Y")</f>
        <v>#NAME?</v>
      </c>
      <c r="CT609" s="1" t="e">
        <f ca="1">_xll.BDH($C$603,"CUR_RATIO","FQ1 2015","FQ1 2015","Currency=INR","Period=FQ","BEST_FPERIOD_OVERRIDE=FQ","FILING_STATUS=OR","EQY_CONSOLIDATED=Y","Sort=A","Dates=H","DateFormat=P","Fill=—","Direction=H","UseDPDF=Y")</f>
        <v>#NAME?</v>
      </c>
      <c r="CU609" s="1" t="e">
        <f ca="1">_xll.BDH($C$603,"QUICK_RATIO","FQ1 2015","FQ1 2015","Currency=INR","Period=FQ","BEST_FPERIOD_OVERRIDE=FQ","FILING_STATUS=OR","EQY_CONSOLIDATED=Y","Sort=A","Dates=H","DateFormat=P","Fill=—","Direction=H","UseDPDF=Y")</f>
        <v>#NAME?</v>
      </c>
      <c r="CV609" s="1" t="e">
        <f ca="1">_xll.BDH($C$603,"ALTMAN_Z_SCORE","FQ1 2015","FQ1 2015","Currency=INR","Period=FQ","BEST_FPERIOD_OVERRIDE=FQ","FILING_STATUS=OR","EQY_CONSOLIDATED=Y","Sort=A","Dates=H","DateFormat=P","Fill=—","Direction=H","UseDPDF=Y")</f>
        <v>#NAME?</v>
      </c>
      <c r="CW609" s="3" t="e">
        <f ca="1">_xll.BDH($C$603,"ACCT_RCV_TURN","FQ1 2015","FQ1 2015","Currency=INR","Period=FQ","BEST_FPERIOD_OVERRIDE=FQ","FILING_STATUS=OR","EQY_CONSOLIDATED=Y","FA_ADJUSTED=GAAP","Sort=A","Dates=H","DateFormat=P","Fill=—","Direction=H","UseDPDF=Y")</f>
        <v>#NAME?</v>
      </c>
      <c r="CX609" s="1" t="e">
        <f ca="1">_xll.BDH($C$603,"ACCT_RCV_DAYS","FQ1 2015","FQ1 2015","Currency=INR","Period=FQ","BEST_FPERIOD_OVERRIDE=FQ","FILING_STATUS=OR","EQY_CONSOLIDATED=Y","FA_ADJUSTED=GAAP","Sort=A","Dates=H","DateFormat=P","Fill=—","Direction=H","UseDPDF=Y")</f>
        <v>#NAME?</v>
      </c>
      <c r="CY609" s="3" t="e">
        <f ca="1">_xll.BDH($C$603,"INVENT_TURN","FQ1 2015","FQ1 2015","Currency=INR","Period=FQ","BEST_FPERIOD_OVERRIDE=FQ","FILING_STATUS=OR","EQY_CONSOLIDATED=Y","FA_ADJUSTED=GAAP","Sort=A","Dates=H","DateFormat=P","Fill=—","Direction=H","UseDPDF=Y")</f>
        <v>#NAME?</v>
      </c>
      <c r="CZ609" s="1" t="e">
        <f ca="1">_xll.BDH($C$603,"INVENT_DAYS","FQ1 2015","FQ1 2015","Currency=INR","Period=FQ","BEST_FPERIOD_OVERRIDE=FQ","FILING_STATUS=OR","EQY_CONSOLIDATED=Y","FA_ADJUSTED=GAAP","Sort=A","Dates=H","DateFormat=P","Fill=—","Direction=H","UseDPDF=Y")</f>
        <v>#NAME?</v>
      </c>
      <c r="DA609" s="3" t="e">
        <f ca="1">_xll.BDH($C$603,"ACCOUNTS_PAYABLE_TURNOVER","FQ1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609" s="1" t="e">
        <f ca="1">_xll.BDH($C$603,"ACCOUNTS_PAYABLE_TURNOVER_DAYS","FQ1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609" s="3" t="e">
        <f ca="1">_xll.BDH($C$603,"CASH_CONVERSION_CYCLE","FQ1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609" s="3" t="e">
        <f ca="1">_xll.BDH($C$603,"INV_TO_CASH_DAYS","FQ1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609" s="4" t="e">
        <f ca="1">_xll.BDH($C$603,"BS_INVENTORIES","FQ1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609" s="2" t="e">
        <f ca="1">_xll.BDH($C$603,"INVTRY_RAW_MATERIALS","FQ1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609" s="2" t="e">
        <f ca="1">_xll.BDH($C$603,"INVTRY_IN_PROGRESS","FQ1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609" s="2" t="e">
        <f ca="1">_xll.BDH($C$603,"INVTRY_FINISHED_GOODS","FQ1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609" s="2" t="e">
        <f ca="1">_xll.BDH($C$603,"BS_OTHER_INV","FQ1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610" spans="1:113" x14ac:dyDescent="0.3">
      <c r="A610" s="6"/>
      <c r="B610" s="6"/>
      <c r="C610" s="6"/>
      <c r="D610" s="6"/>
      <c r="E610" t="s">
        <v>5</v>
      </c>
      <c r="F610" t="e">
        <f ca="1">_xll.BDH($C$603,"RETURN_COM_EQY","FQ2 2015","FQ2 2015","Currency=INR","Period=FQ","BEST_FPERIOD_OVERRIDE=FQ","FILING_STATUS=OR","EQY_CONSOLIDATED=Y","FA_ADJUSTED=GAAP","Sort=A","Dates=H","DateFormat=P","Fill=—","Direction=H","UseDPDF=Y")</f>
        <v>#NAME?</v>
      </c>
      <c r="G610" t="e">
        <f ca="1">_xll.BDH($C$603,"RETURN_ON_ASSET","FQ2 2015","FQ2 2015","Currency=INR","Period=FQ","BEST_FPERIOD_OVERRIDE=FQ","FILING_STATUS=OR","EQY_CONSOLIDATED=Y","FA_ADJUSTED=GAAP","Sort=A","Dates=H","DateFormat=P","Fill=—","Direction=H","UseDPDF=Y")</f>
        <v>#NAME?</v>
      </c>
      <c r="H610" t="e">
        <f ca="1">_xll.BDH($C$603,"RETURN_ON_CAP","FQ2 2015","FQ2 2015","Currency=INR","Period=FQ","BEST_FPERIOD_OVERRIDE=FQ","FILING_STATUS=OR","EQY_CONSOLIDATED=Y","FA_ADJUSTED=GAAP","Sort=A","Dates=H","DateFormat=P","Fill=—","Direction=H","UseDPDF=Y")</f>
        <v>#NAME?</v>
      </c>
      <c r="I610" t="e">
        <f ca="1">_xll.BDH($C$603,"RETURN_ON_INV_CAPITAL","FQ2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610" t="e">
        <f ca="1">_xll.BDH($C$603,"EBITDA_TO_REVENUE","FQ2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610" t="e">
        <f ca="1">_xll.BDH($C$603,"OPER_MARGIN","FQ2 2015","FQ2 2015","Currency=INR","Period=FQ","BEST_FPERIOD_OVERRIDE=FQ","FILING_STATUS=OR","EQY_CONSOLIDATED=Y","FA_ADJUSTED=GAAP","Sort=A","Dates=H","DateFormat=P","Fill=—","Direction=H","UseDPDF=Y")</f>
        <v>#NAME?</v>
      </c>
      <c r="L610" t="e">
        <f ca="1">_xll.BDH($C$603,"INCREMENTAL_OPERATING_MARGIN","FQ2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610" t="e">
        <f ca="1">_xll.BDH($C$603,"PRETAX_INC_TO_NET_SALES","FQ2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610" t="e">
        <f ca="1">_xll.BDH($C$603,"INC_BEF_XO_ITEMS_TO_NET_SALES","FQ2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610" t="e">
        <f ca="1">_xll.BDH($C$603,"PROF_MARGIN","FQ2 2015","FQ2 2015","Currency=INR","Period=FQ","BEST_FPERIOD_OVERRIDE=FQ","FILING_STATUS=OR","EQY_CONSOLIDATED=Y","FA_ADJUSTED=GAAP","Sort=A","Dates=H","DateFormat=P","Fill=—","Direction=H","UseDPDF=Y")</f>
        <v>#NAME?</v>
      </c>
      <c r="P610" t="e">
        <f ca="1">_xll.BDH($C$603,"NET_INCOME_TO_COMMON_MARGIN","FQ2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610" t="e">
        <f ca="1">_xll.BDH($C$603,"EFF_TAX_RATE","FQ2 2015","FQ2 2015","Currency=INR","Period=FQ","BEST_FPERIOD_OVERRIDE=FQ","FILING_STATUS=OR","EQY_CONSOLIDATED=Y","FA_ADJUSTED=GAAP","Sort=A","Dates=H","DateFormat=P","Fill=—","Direction=H","UseDPDF=Y")</f>
        <v>#NAME?</v>
      </c>
      <c r="R610" t="e">
        <f ca="1">_xll.BDH($C$603,"DVD_PAYOUT_RATIO","FQ2 2015","FQ2 2015","Currency=INR","Period=FQ","BEST_FPERIOD_OVERRIDE=FQ","FILING_STATUS=OR","EQY_CONSOLIDATED=Y","FA_ADJUSTED=GAAP","Sort=A","Dates=H","DateFormat=P","Fill=—","Direction=H","UseDPDF=Y")</f>
        <v>#NAME?</v>
      </c>
      <c r="S610" t="e">
        <f ca="1">_xll.BDH($C$603,"SUSTAIN_GROWTH_RT","FQ2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610" s="1" t="e">
        <f ca="1">_xll.BDH($C$603,"SALES_GROWTH","FQ2 2015","FQ2 2015","Currency=INR","Period=FQ","BEST_FPERIOD_OVERRIDE=FQ","FILING_STATUS=OR","EQY_CONSOLIDATED=Y","FA_ADJUSTED=GAAP","Sort=A","Dates=H","DateFormat=P","Fill=—","Direction=H","UseDPDF=Y")</f>
        <v>#NAME?</v>
      </c>
      <c r="U610" s="1" t="e">
        <f ca="1">_xll.BDH($C$603,"EBITDA_GROWTH","FQ2 2015","FQ2 2015","Currency=INR","Period=FQ","BEST_FPERIOD_OVERRIDE=FQ","FILING_STATUS=OR","EQY_CONSOLIDATED=Y","FA_ADJUSTED=GAAP","Sort=A","Dates=H","DateFormat=P","Fill=—","Direction=H","UseDPDF=Y")</f>
        <v>#NAME?</v>
      </c>
      <c r="V610" s="1" t="e">
        <f ca="1">_xll.BDH($C$603,"OPER_INC_GROWTH","FQ2 2015","FQ2 2015","Currency=INR","Period=FQ","BEST_FPERIOD_OVERRIDE=FQ","FILING_STATUS=OR","EQY_CONSOLIDATED=Y","FA_ADJUSTED=GAAP","Sort=A","Dates=H","DateFormat=P","Fill=—","Direction=H","UseDPDF=Y")</f>
        <v>#NAME?</v>
      </c>
      <c r="W610" s="1" t="e">
        <f ca="1">_xll.BDH($C$603,"EARN_FOR_COM_GROWTH","FQ2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610" s="1" t="e">
        <f ca="1">_xll.BDH($C$603,"DILUTED_EPS_AFT_XO_ITEMS_GROWTH","FQ2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610" s="1" t="e">
        <f ca="1">_xll.BDH($C$603,"DIVIDEND_PER_SHARE_1_YEAR_GROWTH","FQ2 2015","FQ2 2015","Currency=INR","Period=FQ","BEST_FPERIOD_OVERRIDE=FQ","FILING_STATUS=OR","EQY_CONSOLIDATED=Y","Sort=A","Dates=H","DateFormat=P","Fill=—","Direction=H","UseDPDF=Y")</f>
        <v>#NAME?</v>
      </c>
      <c r="Z610" s="1" t="e">
        <f ca="1">_xll.BDH($C$603,"ACCOUNTS_RECEIVABLE_GROWTH","FQ2 2015","FQ2 2015","Currency=INR","Period=FQ","BEST_FPERIOD_OVERRIDE=FQ","FILING_STATUS=OR","EQY_CONSOLIDATED=Y","Sort=A","Dates=H","DateFormat=P","Fill=—","Direction=H","UseDPDF=Y")</f>
        <v>#NAME?</v>
      </c>
      <c r="AA610" s="1" t="e">
        <f ca="1">_xll.BDH($C$603,"INVENTORY_GROWTH","FQ2 2015","FQ2 2015","Currency=INR","Period=FQ","BEST_FPERIOD_OVERRIDE=FQ","FILING_STATUS=OR","EQY_CONSOLIDATED=Y","Sort=A","Dates=H","DateFormat=P","Fill=—","Direction=H","UseDPDF=Y")</f>
        <v>#NAME?</v>
      </c>
      <c r="AB610" s="1" t="e">
        <f ca="1">_xll.BDH($C$603,"NET_FIXED_ASSETS_1_YEAR_GROWTH","FQ2 2015","FQ2 2015","Currency=INR","Period=FQ","BEST_FPERIOD_OVERRIDE=FQ","FILING_STATUS=OR","EQY_CONSOLIDATED=Y","Sort=A","Dates=H","DateFormat=P","Fill=—","Direction=H","UseDPDF=Y")</f>
        <v>#NAME?</v>
      </c>
      <c r="AC610" s="1" t="e">
        <f ca="1">_xll.BDH($C$603,"ASSET_GROWTH","FQ2 2015","FQ2 2015","Currency=INR","Period=FQ","BEST_FPERIOD_OVERRIDE=FQ","FILING_STATUS=OR","EQY_CONSOLIDATED=Y","Sort=A","Dates=H","DateFormat=P","Fill=—","Direction=H","UseDPDF=Y")</f>
        <v>#NAME?</v>
      </c>
      <c r="AD610" s="1" t="e">
        <f ca="1">_xll.BDH($C$603,"MODIFIED_WORK_CAP_GROWTH","FQ2 2015","FQ2 2015","Currency=INR","Period=FQ","BEST_FPERIOD_OVERRIDE=FQ","FILING_STATUS=OR","EQY_CONSOLIDATED=Y","Sort=A","Dates=H","DateFormat=P","Fill=—","Direction=H","UseDPDF=Y")</f>
        <v>#NAME?</v>
      </c>
      <c r="AE610" s="1" t="e">
        <f ca="1">_xll.BDH($C$603,"WORK_CAP_GROWTH","FQ2 2015","FQ2 2015","Currency=INR","Period=FQ","BEST_FPERIOD_OVERRIDE=FQ","FILING_STATUS=OR","EQY_CONSOLIDATED=Y","Sort=A","Dates=H","DateFormat=P","Fill=—","Direction=H","UseDPDF=Y")</f>
        <v>#NAME?</v>
      </c>
      <c r="AF610" s="1" t="e">
        <f ca="1">_xll.BDH($C$603,"ACCOUNTS_PAYABLE_GROWTH_1YR","FQ2 2015","FQ2 2015","Currency=INR","Period=FQ","BEST_FPERIOD_OVERRIDE=FQ","FILING_STATUS=OR","EQY_CONSOLIDATED=Y","Sort=A","Dates=H","DateFormat=P","Fill=—","Direction=H","UseDPDF=Y")</f>
        <v>#NAME?</v>
      </c>
      <c r="AG610" s="1" t="e">
        <f ca="1">_xll.BDH($C$603,"SHORT_TERM_DEBT_1_YEAR_GROWTH","FQ2 2015","FQ2 2015","Currency=INR","Period=FQ","BEST_FPERIOD_OVERRIDE=FQ","FILING_STATUS=OR","EQY_CONSOLIDATED=Y","Sort=A","Dates=H","DateFormat=P","Fill=—","Direction=H","UseDPDF=Y")</f>
        <v>#NAME?</v>
      </c>
      <c r="AH610" s="1" t="e">
        <f ca="1">_xll.BDH($C$603,"TOTAL_DEBT_1_YEAR_GROWTH","FQ2 2015","FQ2 2015","Currency=INR","Period=FQ","BEST_FPERIOD_OVERRIDE=FQ","FILING_STATUS=OR","EQY_CONSOLIDATED=Y","Sort=A","Dates=H","DateFormat=P","Fill=—","Direction=H","UseDPDF=Y")</f>
        <v>#NAME?</v>
      </c>
      <c r="AI610" s="1" t="e">
        <f ca="1">_xll.BDH($C$603,"TOTAL_EQUITY_1_YEAR_GROWTH","FQ2 2015","FQ2 2015","Currency=INR","Period=FQ","BEST_FPERIOD_OVERRIDE=FQ","FILING_STATUS=OR","EQY_CONSOLIDATED=Y","Sort=A","Dates=H","DateFormat=P","Fill=—","Direction=H","UseDPDF=Y")</f>
        <v>#NAME?</v>
      </c>
      <c r="AJ610" s="1" t="e">
        <f ca="1">_xll.BDH($C$603,"GROWTH_IN_CAP","FQ2 2015","FQ2 2015","Currency=INR","Period=FQ","BEST_FPERIOD_OVERRIDE=FQ","FILING_STATUS=OR","EQY_CONSOLIDATED=Y","Sort=A","Dates=H","DateFormat=P","Fill=—","Direction=H","UseDPDF=Y")</f>
        <v>#NAME?</v>
      </c>
      <c r="AK610" s="1" t="e">
        <f ca="1">_xll.BDH($C$603,"BVPS_GROWTH","FQ2 2015","FQ2 2015","Currency=INR","Period=FQ","BEST_FPERIOD_OVERRIDE=FQ","FILING_STATUS=OR","EQY_CONSOLIDATED=Y","Sort=A","Dates=H","DateFormat=P","Fill=—","Direction=H","UseDPDF=Y")</f>
        <v>#NAME?</v>
      </c>
      <c r="AL610" s="1" t="e">
        <f ca="1">_xll.BDH($C$603,"CASH_FLOW_GROWTH","FQ2 2015","FQ2 2015","Currency=INR","Period=FQ","BEST_FPERIOD_OVERRIDE=FQ","FILING_STATUS=OR","EQY_CONSOLIDATED=Y","Sort=A","Dates=H","DateFormat=P","Fill=—","Direction=H","UseDPDF=Y")</f>
        <v>#NAME?</v>
      </c>
      <c r="AM610" s="1" t="e">
        <f ca="1">_xll.BDH($C$603,"GEO_GROW_NET_SALES","FQ2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610" s="1" t="e">
        <f ca="1">_xll.BDH($C$603,"GEO_GROW_EBITDA","FQ2 2015","FQ2 2015","Currency=INR","Period=FQ","BEST_FPERIOD_OVERRIDE=FQ","FILING_STATUS=OR","EQY_CONSOLIDATED=Y","FA_ADJUSTED=GAAP","Sort=A","Dates=H","DateFormat=P","Fill=—","Direction=H","UseDPDF=Y")</f>
        <v>#NAME?</v>
      </c>
      <c r="AO610" s="1" t="e">
        <f ca="1">_xll.BDH($C$603,"GEO_GROW_OPER_INC","FQ2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610" s="1" t="e">
        <f ca="1">_xll.BDH($C$603,"NET_INCOME_TO_COMMON_5_YR_GROWTH","FQ2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610" s="1" t="e">
        <f ca="1">_xll.BDH($C$603,"5Y_GEO_GROWTH_DILUTED_EPS","FQ2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610" s="1" t="e">
        <f ca="1">_xll.BDH($C$603,"GEO_GROW_DVD_PER_SH","FQ2 2015","FQ2 2015","Currency=INR","Period=FQ","BEST_FPERIOD_OVERRIDE=FQ","FILING_STATUS=OR","EQY_CONSOLIDATED=Y","Sort=A","Dates=H","DateFormat=P","Fill=—","Direction=H","UseDPDF=Y")</f>
        <v>#NAME?</v>
      </c>
      <c r="AS610" s="1" t="e">
        <f ca="1">_xll.BDH($C$603,"ACCOUNTS_RECEIVABLE_5_YR_GROWTH","FQ2 2015","FQ2 2015","Currency=INR","Period=FQ","BEST_FPERIOD_OVERRIDE=FQ","FILING_STATUS=OR","EQY_CONSOLIDATED=Y","Sort=A","Dates=H","DateFormat=P","Fill=—","Direction=H","UseDPDF=Y")</f>
        <v>#NAME?</v>
      </c>
      <c r="AT610" s="1" t="e">
        <f ca="1">_xll.BDH($C$603,"INVENTORY_5_YEAR_GROWTH","FQ2 2015","FQ2 2015","Currency=INR","Period=FQ","BEST_FPERIOD_OVERRIDE=FQ","FILING_STATUS=OR","EQY_CONSOLIDATED=Y","Sort=A","Dates=H","DateFormat=P","Fill=—","Direction=H","UseDPDF=Y")</f>
        <v>#NAME?</v>
      </c>
      <c r="AU610" s="1" t="e">
        <f ca="1">_xll.BDH($C$603,"NET_FIXED_ASSETS_5_YEAR_GROWTH","FQ2 2015","FQ2 2015","Currency=INR","Period=FQ","BEST_FPERIOD_OVERRIDE=FQ","FILING_STATUS=OR","EQY_CONSOLIDATED=Y","Sort=A","Dates=H","DateFormat=P","Fill=—","Direction=H","UseDPDF=Y")</f>
        <v>#NAME?</v>
      </c>
      <c r="AV610" s="1" t="e">
        <f ca="1">_xll.BDH($C$603,"GEO_GROW_TOT_ASSET","FQ2 2015","FQ2 2015","Currency=INR","Period=FQ","BEST_FPERIOD_OVERRIDE=FQ","FILING_STATUS=OR","EQY_CONSOLIDATED=Y","Sort=A","Dates=H","DateFormat=P","Fill=—","Direction=H","UseDPDF=Y")</f>
        <v>#NAME?</v>
      </c>
      <c r="AW610" s="1" t="e">
        <f ca="1">_xll.BDH($C$603,"MODIFIED_WORKING_CPTL_5YR_GRWTH","FQ2 2015","FQ2 2015","Currency=INR","Period=FQ","BEST_FPERIOD_OVERRIDE=FQ","FILING_STATUS=OR","EQY_CONSOLIDATED=Y","Sort=A","Dates=H","DateFormat=P","Fill=—","Direction=H","UseDPDF=Y")</f>
        <v>#NAME?</v>
      </c>
      <c r="AX610" s="1" t="e">
        <f ca="1">_xll.BDH($C$603,"WORKING_CAPITAL_5_YEAR_GROWTH","FQ2 2015","FQ2 2015","Currency=INR","Period=FQ","BEST_FPERIOD_OVERRIDE=FQ","FILING_STATUS=OR","EQY_CONSOLIDATED=Y","Sort=A","Dates=H","DateFormat=P","Fill=—","Direction=H","UseDPDF=Y")</f>
        <v>#NAME?</v>
      </c>
      <c r="AY610" s="1" t="e">
        <f ca="1">_xll.BDH($C$603,"ACCOUNTS_PAYABLE_5_YEAR_GROWTH","FQ2 2015","FQ2 2015","Currency=INR","Period=FQ","BEST_FPERIOD_OVERRIDE=FQ","FILING_STATUS=OR","EQY_CONSOLIDATED=Y","Sort=A","Dates=H","DateFormat=P","Fill=—","Direction=H","UseDPDF=Y")</f>
        <v>#NAME?</v>
      </c>
      <c r="AZ610" s="1" t="e">
        <f ca="1">_xll.BDH($C$603,"SHORT_TERM_DEBT_5_YEAR_GROWTH","FQ2 2015","FQ2 2015","Currency=INR","Period=FQ","BEST_FPERIOD_OVERRIDE=FQ","FILING_STATUS=OR","EQY_CONSOLIDATED=Y","Sort=A","Dates=H","DateFormat=P","Fill=—","Direction=H","UseDPDF=Y")</f>
        <v>#NAME?</v>
      </c>
      <c r="BA610" s="1" t="e">
        <f ca="1">_xll.BDH($C$603,"TOTAL_DEBT_5_YEAR_GROWTH","FQ2 2015","FQ2 2015","Currency=INR","Period=FQ","BEST_FPERIOD_OVERRIDE=FQ","FILING_STATUS=OR","EQY_CONSOLIDATED=Y","Sort=A","Dates=H","DateFormat=P","Fill=—","Direction=H","UseDPDF=Y")</f>
        <v>#NAME?</v>
      </c>
      <c r="BB610" s="1" t="e">
        <f ca="1">_xll.BDH($C$603,"GEO_GROW_TOT_SHRHLDR_EQY","FQ2 2015","FQ2 2015","Currency=INR","Period=FQ","BEST_FPERIOD_OVERRIDE=FQ","FILING_STATUS=OR","EQY_CONSOLIDATED=Y","Sort=A","Dates=H","DateFormat=P","Fill=—","Direction=H","UseDPDF=Y")</f>
        <v>#NAME?</v>
      </c>
      <c r="BC610" s="1" t="e">
        <f ca="1">_xll.BDH($C$603,"TOTAL_CAPITAL_5_YEAR_GROWTH","FQ2 2015","FQ2 2015","Currency=INR","Period=FQ","BEST_FPERIOD_OVERRIDE=FQ","FILING_STATUS=OR","EQY_CONSOLIDATED=Y","Sort=A","Dates=H","DateFormat=P","Fill=—","Direction=H","UseDPDF=Y")</f>
        <v>#NAME?</v>
      </c>
      <c r="BD610" s="1" t="e">
        <f ca="1">_xll.BDH($C$603,"GEO_GROW_BOOK_VAL","FQ2 2015","FQ2 2015","Currency=INR","Period=FQ","BEST_FPERIOD_OVERRIDE=FQ","FILING_STATUS=OR","EQY_CONSOLIDATED=Y","Sort=A","Dates=H","DateFormat=P","Fill=—","Direction=H","UseDPDF=Y")</f>
        <v>#NAME?</v>
      </c>
      <c r="BE610" s="1" t="e">
        <f ca="1">_xll.BDH($C$603,"GEO_GROW_CASH_OPER_ACT","FQ2 2015","FQ2 2015","Currency=INR","Period=FQ","BEST_FPERIOD_OVERRIDE=FQ","FILING_STATUS=OR","EQY_CONSOLIDATED=Y","Sort=A","Dates=H","DateFormat=P","Fill=—","Direction=H","UseDPDF=Y")</f>
        <v>#NAME?</v>
      </c>
      <c r="BF610" s="1" t="e">
        <f ca="1">_xll.BDH($C$603,"REVENUE_SEQUENTIAL_GROWTH","FQ2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610" s="1" t="e">
        <f ca="1">_xll.BDH($C$603,"EBITDA_SEQUENTIAL_GROWTH","FQ2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610" s="1" t="e">
        <f ca="1">_xll.BDH($C$603,"OPERATING_INCOME_SEQ_GROWTH","FQ2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610" s="1" t="e">
        <f ca="1">_xll.BDH($C$603,"NET_INCOME_TO_COMMON_SEQ_GROWTH","FQ2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610" s="1" t="e">
        <f ca="1">_xll.BDH($C$603,"EPS_DILUTED_SEQUENTIAL_GROWTH","FQ2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610" s="1" t="e">
        <f ca="1">_xll.BDH($C$603,"DPS_SEQUENTIAL_GROWTH","FQ2 2015","FQ2 2015","Currency=INR","Period=FQ","BEST_FPERIOD_OVERRIDE=FQ","FILING_STATUS=OR","EQY_CONSOLIDATED=Y","Sort=A","Dates=H","DateFormat=P","Fill=—","Direction=H","UseDPDF=Y")</f>
        <v>#NAME?</v>
      </c>
      <c r="BL610" s="1" t="e">
        <f ca="1">_xll.BDH($C$603,"ACCOUNTS_RECEIVABLE_SEQ_GROWTH","FQ2 2015","FQ2 2015","Currency=INR","Period=FQ","BEST_FPERIOD_OVERRIDE=FQ","FILING_STATUS=OR","EQY_CONSOLIDATED=Y","Sort=A","Dates=H","DateFormat=P","Fill=—","Direction=H","UseDPDF=Y")</f>
        <v>#NAME?</v>
      </c>
      <c r="BM610" s="1" t="e">
        <f ca="1">_xll.BDH($C$603,"INVENTORY_SEQUENTIAL_GROWTH","FQ2 2015","FQ2 2015","Currency=INR","Period=FQ","BEST_FPERIOD_OVERRIDE=FQ","FILING_STATUS=OR","EQY_CONSOLIDATED=Y","Sort=A","Dates=H","DateFormat=P","Fill=—","Direction=H","UseDPDF=Y")</f>
        <v>#NAME?</v>
      </c>
      <c r="BN610" s="1" t="e">
        <f ca="1">_xll.BDH($C$603,"FIXED_ASSETS_SEQUENTIAL_GROWTH","FQ2 2015","FQ2 2015","Currency=INR","Period=FQ","BEST_FPERIOD_OVERRIDE=FQ","FILING_STATUS=OR","EQY_CONSOLIDATED=Y","Sort=A","Dates=H","DateFormat=P","Fill=—","Direction=H","UseDPDF=Y")</f>
        <v>#NAME?</v>
      </c>
      <c r="BO610" s="1" t="e">
        <f ca="1">_xll.BDH($C$603,"TOTAL_ASSETS_SEQUENTIAL_GROWTH","FQ2 2015","FQ2 2015","Currency=INR","Period=FQ","BEST_FPERIOD_OVERRIDE=FQ","FILING_STATUS=OR","EQY_CONSOLIDATED=Y","Sort=A","Dates=H","DateFormat=P","Fill=—","Direction=H","UseDPDF=Y")</f>
        <v>#NAME?</v>
      </c>
      <c r="BP610" s="1" t="e">
        <f ca="1">_xll.BDH($C$603,"MODIFIED_WORKING_CPTL_SEQ_GRWTH","FQ2 2015","FQ2 2015","Currency=INR","Period=FQ","BEST_FPERIOD_OVERRIDE=FQ","FILING_STATUS=OR","EQY_CONSOLIDATED=Y","Sort=A","Dates=H","DateFormat=P","Fill=—","Direction=H","UseDPDF=Y")</f>
        <v>#NAME?</v>
      </c>
      <c r="BQ610" s="1" t="e">
        <f ca="1">_xll.BDH($C$603,"WORKING_CAPITAL_SEQ_GROWTH","FQ2 2015","FQ2 2015","Currency=INR","Period=FQ","BEST_FPERIOD_OVERRIDE=FQ","FILING_STATUS=OR","EQY_CONSOLIDATED=Y","Sort=A","Dates=H","DateFormat=P","Fill=—","Direction=H","UseDPDF=Y")</f>
        <v>#NAME?</v>
      </c>
      <c r="BR610" s="1" t="e">
        <f ca="1">_xll.BDH($C$603,"ACCOUNTS_PAYABLE_SEQ_GROWTH","FQ2 2015","FQ2 2015","Currency=INR","Period=FQ","BEST_FPERIOD_OVERRIDE=FQ","FILING_STATUS=OR","EQY_CONSOLIDATED=Y","Sort=A","Dates=H","DateFormat=P","Fill=—","Direction=H","UseDPDF=Y")</f>
        <v>#NAME?</v>
      </c>
      <c r="BS610" s="1" t="e">
        <f ca="1">_xll.BDH($C$603,"ST_DEBT_SEQUENTIAL_GROWTH","FQ2 2015","FQ2 2015","Currency=INR","Period=FQ","BEST_FPERIOD_OVERRIDE=FQ","FILING_STATUS=OR","EQY_CONSOLIDATED=Y","Sort=A","Dates=H","DateFormat=P","Fill=—","Direction=H","UseDPDF=Y")</f>
        <v>#NAME?</v>
      </c>
      <c r="BT610" s="1" t="e">
        <f ca="1">_xll.BDH($C$603,"TOTAL_DEBT_SEQUENTIAL_GROWTH","FQ2 2015","FQ2 2015","Currency=INR","Period=FQ","BEST_FPERIOD_OVERRIDE=FQ","FILING_STATUS=OR","EQY_CONSOLIDATED=Y","Sort=A","Dates=H","DateFormat=P","Fill=—","Direction=H","UseDPDF=Y")</f>
        <v>#NAME?</v>
      </c>
      <c r="BU610" s="1" t="e">
        <f ca="1">_xll.BDH($C$603,"TOTAL_EQUITY_SEQUENTIAL_GROWTH","FQ2 2015","FQ2 2015","Currency=INR","Period=FQ","BEST_FPERIOD_OVERRIDE=FQ","FILING_STATUS=OR","EQY_CONSOLIDATED=Y","Sort=A","Dates=H","DateFormat=P","Fill=—","Direction=H","UseDPDF=Y")</f>
        <v>#NAME?</v>
      </c>
      <c r="BV610" s="1" t="e">
        <f ca="1">_xll.BDH($C$603,"TOTAL_CAPITAL_SEQUENTIAL_GROWTH","FQ2 2015","FQ2 2015","Currency=INR","Period=FQ","BEST_FPERIOD_OVERRIDE=FQ","FILING_STATUS=OR","EQY_CONSOLIDATED=Y","Sort=A","Dates=H","DateFormat=P","Fill=—","Direction=H","UseDPDF=Y")</f>
        <v>#NAME?</v>
      </c>
      <c r="BW610" s="1" t="e">
        <f ca="1">_xll.BDH($C$603,"BPS_SEQUENTIAL_GROWTH","FQ2 2015","FQ2 2015","Currency=INR","Period=FQ","BEST_FPERIOD_OVERRIDE=FQ","FILING_STATUS=OR","EQY_CONSOLIDATED=Y","Sort=A","Dates=H","DateFormat=P","Fill=—","Direction=H","UseDPDF=Y")</f>
        <v>#NAME?</v>
      </c>
      <c r="BX610" s="1" t="e">
        <f ca="1">_xll.BDH($C$603,"CFO_SEQUENTIAL_GROWTH","FQ2 2015","FQ2 2015","Currency=INR","Period=FQ","BEST_FPERIOD_OVERRIDE=FQ","FILING_STATUS=OR","EQY_CONSOLIDATED=Y","Sort=A","Dates=H","DateFormat=P","Fill=—","Direction=H","UseDPDF=Y")</f>
        <v>#NAME?</v>
      </c>
      <c r="BY610" s="2" t="e">
        <f ca="1">_xll.BDH($C$603,"SHORT_AND_LONG_TERM_DEBT","FQ2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610" s="2" t="e">
        <f ca="1">_xll.BDH($C$603,"BS_ST_BORROW","FQ2 2015","FQ2 2015","Currency=INR","Period=FQ","BEST_FPERIOD_OVERRIDE=FQ","FILING_STATUS=OR","EQY_CONSOLIDATED=Y","SCALING_FORMAT=MLN","Sort=A","Dates=H","DateFormat=P","Fill=—","Direction=H","UseDPDF=Y")</f>
        <v>#NAME?</v>
      </c>
      <c r="CA610" s="2" t="e">
        <f ca="1">_xll.BDH($C$603,"BS_LT_BORROW","FQ2 2015","FQ2 2015","Currency=INR","Period=FQ","BEST_FPERIOD_OVERRIDE=FQ","FILING_STATUS=OR","EQY_CONSOLIDATED=Y","SCALING_FORMAT=MLN","Sort=A","Dates=H","DateFormat=P","Fill=—","Direction=H","UseDPDF=Y")</f>
        <v>#NAME?</v>
      </c>
      <c r="CB610" s="1" t="e">
        <f ca="1">_xll.BDH($C$603,"TOT_DEBT_TO_EBITDA","FQ2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610" s="1" t="e">
        <f ca="1">_xll.BDH($C$603,"NET_DEBT_TO_EBITDA","FQ2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610" s="1" t="e">
        <f ca="1">_xll.BDH($C$603,"TOTAL_DEBT_TO_EBIT","FQ2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610" s="1" t="e">
        <f ca="1">_xll.BDH($C$603,"NET_DEBT_TO_EBIT","FQ2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610" s="1" t="e">
        <f ca="1">_xll.BDH($C$603,"EBITDA_TO_INTEREST_EXPN","FQ2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610" s="1" t="e">
        <f ca="1">_xll.BDH($C$603,"COM_EQY_TO_TOT_ASSET","FQ2 2015","FQ2 2015","Currency=INR","Period=FQ","BEST_FPERIOD_OVERRIDE=FQ","FILING_STATUS=OR","EQY_CONSOLIDATED=Y","Sort=A","Dates=H","DateFormat=P","Fill=—","Direction=H","UseDPDF=Y")</f>
        <v>#NAME?</v>
      </c>
      <c r="CH610" s="1" t="e">
        <f ca="1">_xll.BDH($C$603,"LT_DEBT_TO_TOT_EQY","FQ2 2015","FQ2 2015","Currency=INR","Period=FQ","BEST_FPERIOD_OVERRIDE=FQ","FILING_STATUS=OR","EQY_CONSOLIDATED=Y","Sort=A","Dates=H","DateFormat=P","Fill=—","Direction=H","UseDPDF=Y")</f>
        <v>#NAME?</v>
      </c>
      <c r="CI610" s="1" t="e">
        <f ca="1">_xll.BDH($C$603,"LT_DEBT_TO_TOT_CAP","FQ2 2015","FQ2 2015","Currency=INR","Period=FQ","BEST_FPERIOD_OVERRIDE=FQ","FILING_STATUS=OR","EQY_CONSOLIDATED=Y","Sort=A","Dates=H","DateFormat=P","Fill=—","Direction=H","UseDPDF=Y")</f>
        <v>#NAME?</v>
      </c>
      <c r="CJ610" s="1" t="e">
        <f ca="1">_xll.BDH($C$603,"LT_DEBT_TO_TOT_ASSET","FQ2 2015","FQ2 2015","Currency=INR","Period=FQ","BEST_FPERIOD_OVERRIDE=FQ","FILING_STATUS=OR","EQY_CONSOLIDATED=Y","Sort=A","Dates=H","DateFormat=P","Fill=—","Direction=H","UseDPDF=Y")</f>
        <v>#NAME?</v>
      </c>
      <c r="CK610" s="1" t="e">
        <f ca="1">_xll.BDH($C$603,"TOT_DEBT_TO_TOT_EQY","FQ2 2015","FQ2 2015","Currency=INR","Period=FQ","BEST_FPERIOD_OVERRIDE=FQ","FILING_STATUS=OR","EQY_CONSOLIDATED=Y","Sort=A","Dates=H","DateFormat=P","Fill=—","Direction=H","UseDPDF=Y")</f>
        <v>#NAME?</v>
      </c>
      <c r="CL610" s="1" t="e">
        <f ca="1">_xll.BDH($C$603,"TOT_DEBT_TO_TOT_CAP","FQ2 2015","FQ2 2015","Currency=INR","Period=FQ","BEST_FPERIOD_OVERRIDE=FQ","FILING_STATUS=OR","EQY_CONSOLIDATED=Y","Sort=A","Dates=H","DateFormat=P","Fill=—","Direction=H","UseDPDF=Y")</f>
        <v>#NAME?</v>
      </c>
      <c r="CM610" s="1" t="e">
        <f ca="1">_xll.BDH($C$603,"TOT_DEBT_TO_TOT_ASSET","FQ2 2015","FQ2 2015","Currency=INR","Period=FQ","BEST_FPERIOD_OVERRIDE=FQ","FILING_STATUS=OR","EQY_CONSOLIDATED=Y","Sort=A","Dates=H","DateFormat=P","Fill=—","Direction=H","UseDPDF=Y")</f>
        <v>#NAME?</v>
      </c>
      <c r="CN610" s="1" t="e">
        <f ca="1">_xll.BDH($C$603,"NET_DEBT_TO_SHRHLDR_EQTY","FQ2 2015","FQ2 2015","Currency=INR","Period=FQ","BEST_FPERIOD_OVERRIDE=FQ","FILING_STATUS=OR","EQY_CONSOLIDATED=Y","Sort=A","Dates=H","DateFormat=P","Fill=—","Direction=H","UseDPDF=Y")</f>
        <v>#NAME?</v>
      </c>
      <c r="CO610" s="1" t="e">
        <f ca="1">_xll.BDH($C$603,"NET_DEBT_%_CAPITAL","FQ2 2015","FQ2 2015","Currency=INR","Period=FQ","BEST_FPERIOD_OVERRIDE=FQ","FILING_STATUS=OR","EQY_CONSOLIDATED=Y","Sort=A","Dates=H","DateFormat=P","Fill=—","Direction=H","UseDPDF=Y")</f>
        <v>#NAME?</v>
      </c>
      <c r="CP610" s="2" t="e">
        <f ca="1">_xll.BDH($C$603,"EBITDA","FQ2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610" s="2" t="e">
        <f ca="1">_xll.BDH($C$603,"EBITDA_AFTER_CAPEX","FQ2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610" s="2" t="e">
        <f ca="1">_xll.BDH($C$603,"IS_OPER_INC","FQ2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610" s="1" t="e">
        <f ca="1">_xll.BDH($C$603,"CASH_RATIO","FQ2 2015","FQ2 2015","Currency=INR","Period=FQ","BEST_FPERIOD_OVERRIDE=FQ","FILING_STATUS=OR","EQY_CONSOLIDATED=Y","Sort=A","Dates=H","DateFormat=P","Fill=—","Direction=H","UseDPDF=Y")</f>
        <v>#NAME?</v>
      </c>
      <c r="CT610" s="1" t="e">
        <f ca="1">_xll.BDH($C$603,"CUR_RATIO","FQ2 2015","FQ2 2015","Currency=INR","Period=FQ","BEST_FPERIOD_OVERRIDE=FQ","FILING_STATUS=OR","EQY_CONSOLIDATED=Y","Sort=A","Dates=H","DateFormat=P","Fill=—","Direction=H","UseDPDF=Y")</f>
        <v>#NAME?</v>
      </c>
      <c r="CU610" s="1" t="e">
        <f ca="1">_xll.BDH($C$603,"QUICK_RATIO","FQ2 2015","FQ2 2015","Currency=INR","Period=FQ","BEST_FPERIOD_OVERRIDE=FQ","FILING_STATUS=OR","EQY_CONSOLIDATED=Y","Sort=A","Dates=H","DateFormat=P","Fill=—","Direction=H","UseDPDF=Y")</f>
        <v>#NAME?</v>
      </c>
      <c r="CV610" s="1" t="e">
        <f ca="1">_xll.BDH($C$603,"ALTMAN_Z_SCORE","FQ2 2015","FQ2 2015","Currency=INR","Period=FQ","BEST_FPERIOD_OVERRIDE=FQ","FILING_STATUS=OR","EQY_CONSOLIDATED=Y","Sort=A","Dates=H","DateFormat=P","Fill=—","Direction=H","UseDPDF=Y")</f>
        <v>#NAME?</v>
      </c>
      <c r="CW610" s="3" t="e">
        <f ca="1">_xll.BDH($C$603,"ACCT_RCV_TURN","FQ2 2015","FQ2 2015","Currency=INR","Period=FQ","BEST_FPERIOD_OVERRIDE=FQ","FILING_STATUS=OR","EQY_CONSOLIDATED=Y","FA_ADJUSTED=GAAP","Sort=A","Dates=H","DateFormat=P","Fill=—","Direction=H","UseDPDF=Y")</f>
        <v>#NAME?</v>
      </c>
      <c r="CX610" s="1" t="e">
        <f ca="1">_xll.BDH($C$603,"ACCT_RCV_DAYS","FQ2 2015","FQ2 2015","Currency=INR","Period=FQ","BEST_FPERIOD_OVERRIDE=FQ","FILING_STATUS=OR","EQY_CONSOLIDATED=Y","FA_ADJUSTED=GAAP","Sort=A","Dates=H","DateFormat=P","Fill=—","Direction=H","UseDPDF=Y")</f>
        <v>#NAME?</v>
      </c>
      <c r="CY610" s="3" t="e">
        <f ca="1">_xll.BDH($C$603,"INVENT_TURN","FQ2 2015","FQ2 2015","Currency=INR","Period=FQ","BEST_FPERIOD_OVERRIDE=FQ","FILING_STATUS=OR","EQY_CONSOLIDATED=Y","FA_ADJUSTED=GAAP","Sort=A","Dates=H","DateFormat=P","Fill=—","Direction=H","UseDPDF=Y")</f>
        <v>#NAME?</v>
      </c>
      <c r="CZ610" s="1" t="e">
        <f ca="1">_xll.BDH($C$603,"INVENT_DAYS","FQ2 2015","FQ2 2015","Currency=INR","Period=FQ","BEST_FPERIOD_OVERRIDE=FQ","FILING_STATUS=OR","EQY_CONSOLIDATED=Y","FA_ADJUSTED=GAAP","Sort=A","Dates=H","DateFormat=P","Fill=—","Direction=H","UseDPDF=Y")</f>
        <v>#NAME?</v>
      </c>
      <c r="DA610" s="3" t="e">
        <f ca="1">_xll.BDH($C$603,"ACCOUNTS_PAYABLE_TURNOVER","FQ2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610" s="1" t="e">
        <f ca="1">_xll.BDH($C$603,"ACCOUNTS_PAYABLE_TURNOVER_DAYS","FQ2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610" s="3" t="e">
        <f ca="1">_xll.BDH($C$603,"CASH_CONVERSION_CYCLE","FQ2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610" s="3" t="e">
        <f ca="1">_xll.BDH($C$603,"INV_TO_CASH_DAYS","FQ2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610" s="4" t="e">
        <f ca="1">_xll.BDH($C$603,"BS_INVENTORIES","FQ2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610" s="2" t="e">
        <f ca="1">_xll.BDH($C$603,"INVTRY_RAW_MATERIALS","FQ2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610" s="2" t="e">
        <f ca="1">_xll.BDH($C$603,"INVTRY_IN_PROGRESS","FQ2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610" s="2" t="e">
        <f ca="1">_xll.BDH($C$603,"INVTRY_FINISHED_GOODS","FQ2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610" s="2" t="e">
        <f ca="1">_xll.BDH($C$603,"BS_OTHER_INV","FQ2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611" spans="1:113" x14ac:dyDescent="0.3">
      <c r="A611" s="6"/>
      <c r="B611" s="6"/>
      <c r="C611" s="6"/>
      <c r="D611" s="6"/>
      <c r="E611" t="s">
        <v>6</v>
      </c>
      <c r="F611" t="e">
        <f ca="1">_xll.BDH($C$603,"RETURN_COM_EQY","FQ3 2015","FQ3 2015","Currency=INR","Period=FQ","BEST_FPERIOD_OVERRIDE=FQ","FILING_STATUS=OR","EQY_CONSOLIDATED=Y","FA_ADJUSTED=GAAP","Sort=A","Dates=H","DateFormat=P","Fill=—","Direction=H","UseDPDF=Y")</f>
        <v>#NAME?</v>
      </c>
      <c r="G611" t="e">
        <f ca="1">_xll.BDH($C$603,"RETURN_ON_ASSET","FQ3 2015","FQ3 2015","Currency=INR","Period=FQ","BEST_FPERIOD_OVERRIDE=FQ","FILING_STATUS=OR","EQY_CONSOLIDATED=Y","FA_ADJUSTED=GAAP","Sort=A","Dates=H","DateFormat=P","Fill=—","Direction=H","UseDPDF=Y")</f>
        <v>#NAME?</v>
      </c>
      <c r="H611" t="e">
        <f ca="1">_xll.BDH($C$603,"RETURN_ON_CAP","FQ3 2015","FQ3 2015","Currency=INR","Period=FQ","BEST_FPERIOD_OVERRIDE=FQ","FILING_STATUS=OR","EQY_CONSOLIDATED=Y","FA_ADJUSTED=GAAP","Sort=A","Dates=H","DateFormat=P","Fill=—","Direction=H","UseDPDF=Y")</f>
        <v>#NAME?</v>
      </c>
      <c r="I611" t="e">
        <f ca="1">_xll.BDH($C$603,"RETURN_ON_INV_CAPITAL","FQ3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611" t="e">
        <f ca="1">_xll.BDH($C$603,"EBITDA_TO_REVENUE","FQ3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611" t="e">
        <f ca="1">_xll.BDH($C$603,"OPER_MARGIN","FQ3 2015","FQ3 2015","Currency=INR","Period=FQ","BEST_FPERIOD_OVERRIDE=FQ","FILING_STATUS=OR","EQY_CONSOLIDATED=Y","FA_ADJUSTED=GAAP","Sort=A","Dates=H","DateFormat=P","Fill=—","Direction=H","UseDPDF=Y")</f>
        <v>#NAME?</v>
      </c>
      <c r="L611" t="e">
        <f ca="1">_xll.BDH($C$603,"INCREMENTAL_OPERATING_MARGIN","FQ3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611" t="e">
        <f ca="1">_xll.BDH($C$603,"PRETAX_INC_TO_NET_SALES","FQ3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611" t="e">
        <f ca="1">_xll.BDH($C$603,"INC_BEF_XO_ITEMS_TO_NET_SALES","FQ3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611" t="e">
        <f ca="1">_xll.BDH($C$603,"PROF_MARGIN","FQ3 2015","FQ3 2015","Currency=INR","Period=FQ","BEST_FPERIOD_OVERRIDE=FQ","FILING_STATUS=OR","EQY_CONSOLIDATED=Y","FA_ADJUSTED=GAAP","Sort=A","Dates=H","DateFormat=P","Fill=—","Direction=H","UseDPDF=Y")</f>
        <v>#NAME?</v>
      </c>
      <c r="P611" t="e">
        <f ca="1">_xll.BDH($C$603,"NET_INCOME_TO_COMMON_MARGIN","FQ3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611" t="e">
        <f ca="1">_xll.BDH($C$603,"EFF_TAX_RATE","FQ3 2015","FQ3 2015","Currency=INR","Period=FQ","BEST_FPERIOD_OVERRIDE=FQ","FILING_STATUS=OR","EQY_CONSOLIDATED=Y","FA_ADJUSTED=GAAP","Sort=A","Dates=H","DateFormat=P","Fill=—","Direction=H","UseDPDF=Y")</f>
        <v>#NAME?</v>
      </c>
      <c r="R611" t="e">
        <f ca="1">_xll.BDH($C$603,"DVD_PAYOUT_RATIO","FQ3 2015","FQ3 2015","Currency=INR","Period=FQ","BEST_FPERIOD_OVERRIDE=FQ","FILING_STATUS=OR","EQY_CONSOLIDATED=Y","FA_ADJUSTED=GAAP","Sort=A","Dates=H","DateFormat=P","Fill=—","Direction=H","UseDPDF=Y")</f>
        <v>#NAME?</v>
      </c>
      <c r="S611" t="e">
        <f ca="1">_xll.BDH($C$603,"SUSTAIN_GROWTH_RT","FQ3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611" s="1" t="e">
        <f ca="1">_xll.BDH($C$603,"SALES_GROWTH","FQ3 2015","FQ3 2015","Currency=INR","Period=FQ","BEST_FPERIOD_OVERRIDE=FQ","FILING_STATUS=OR","EQY_CONSOLIDATED=Y","FA_ADJUSTED=GAAP","Sort=A","Dates=H","DateFormat=P","Fill=—","Direction=H","UseDPDF=Y")</f>
        <v>#NAME?</v>
      </c>
      <c r="U611" s="1" t="e">
        <f ca="1">_xll.BDH($C$603,"EBITDA_GROWTH","FQ3 2015","FQ3 2015","Currency=INR","Period=FQ","BEST_FPERIOD_OVERRIDE=FQ","FILING_STATUS=OR","EQY_CONSOLIDATED=Y","FA_ADJUSTED=GAAP","Sort=A","Dates=H","DateFormat=P","Fill=—","Direction=H","UseDPDF=Y")</f>
        <v>#NAME?</v>
      </c>
      <c r="V611" s="1" t="e">
        <f ca="1">_xll.BDH($C$603,"OPER_INC_GROWTH","FQ3 2015","FQ3 2015","Currency=INR","Period=FQ","BEST_FPERIOD_OVERRIDE=FQ","FILING_STATUS=OR","EQY_CONSOLIDATED=Y","FA_ADJUSTED=GAAP","Sort=A","Dates=H","DateFormat=P","Fill=—","Direction=H","UseDPDF=Y")</f>
        <v>#NAME?</v>
      </c>
      <c r="W611" s="1" t="e">
        <f ca="1">_xll.BDH($C$603,"EARN_FOR_COM_GROWTH","FQ3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611" s="1" t="e">
        <f ca="1">_xll.BDH($C$603,"DILUTED_EPS_AFT_XO_ITEMS_GROWTH","FQ3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611" s="1" t="e">
        <f ca="1">_xll.BDH($C$603,"DIVIDEND_PER_SHARE_1_YEAR_GROWTH","FQ3 2015","FQ3 2015","Currency=INR","Period=FQ","BEST_FPERIOD_OVERRIDE=FQ","FILING_STATUS=OR","EQY_CONSOLIDATED=Y","Sort=A","Dates=H","DateFormat=P","Fill=—","Direction=H","UseDPDF=Y")</f>
        <v>#NAME?</v>
      </c>
      <c r="Z611" s="1" t="e">
        <f ca="1">_xll.BDH($C$603,"ACCOUNTS_RECEIVABLE_GROWTH","FQ3 2015","FQ3 2015","Currency=INR","Period=FQ","BEST_FPERIOD_OVERRIDE=FQ","FILING_STATUS=OR","EQY_CONSOLIDATED=Y","Sort=A","Dates=H","DateFormat=P","Fill=—","Direction=H","UseDPDF=Y")</f>
        <v>#NAME?</v>
      </c>
      <c r="AA611" s="1" t="e">
        <f ca="1">_xll.BDH($C$603,"INVENTORY_GROWTH","FQ3 2015","FQ3 2015","Currency=INR","Period=FQ","BEST_FPERIOD_OVERRIDE=FQ","FILING_STATUS=OR","EQY_CONSOLIDATED=Y","Sort=A","Dates=H","DateFormat=P","Fill=—","Direction=H","UseDPDF=Y")</f>
        <v>#NAME?</v>
      </c>
      <c r="AB611" s="1" t="e">
        <f ca="1">_xll.BDH($C$603,"NET_FIXED_ASSETS_1_YEAR_GROWTH","FQ3 2015","FQ3 2015","Currency=INR","Period=FQ","BEST_FPERIOD_OVERRIDE=FQ","FILING_STATUS=OR","EQY_CONSOLIDATED=Y","Sort=A","Dates=H","DateFormat=P","Fill=—","Direction=H","UseDPDF=Y")</f>
        <v>#NAME?</v>
      </c>
      <c r="AC611" s="1" t="e">
        <f ca="1">_xll.BDH($C$603,"ASSET_GROWTH","FQ3 2015","FQ3 2015","Currency=INR","Period=FQ","BEST_FPERIOD_OVERRIDE=FQ","FILING_STATUS=OR","EQY_CONSOLIDATED=Y","Sort=A","Dates=H","DateFormat=P","Fill=—","Direction=H","UseDPDF=Y")</f>
        <v>#NAME?</v>
      </c>
      <c r="AD611" s="1" t="e">
        <f ca="1">_xll.BDH($C$603,"MODIFIED_WORK_CAP_GROWTH","FQ3 2015","FQ3 2015","Currency=INR","Period=FQ","BEST_FPERIOD_OVERRIDE=FQ","FILING_STATUS=OR","EQY_CONSOLIDATED=Y","Sort=A","Dates=H","DateFormat=P","Fill=—","Direction=H","UseDPDF=Y")</f>
        <v>#NAME?</v>
      </c>
      <c r="AE611" s="1" t="e">
        <f ca="1">_xll.BDH($C$603,"WORK_CAP_GROWTH","FQ3 2015","FQ3 2015","Currency=INR","Period=FQ","BEST_FPERIOD_OVERRIDE=FQ","FILING_STATUS=OR","EQY_CONSOLIDATED=Y","Sort=A","Dates=H","DateFormat=P","Fill=—","Direction=H","UseDPDF=Y")</f>
        <v>#NAME?</v>
      </c>
      <c r="AF611" s="1" t="e">
        <f ca="1">_xll.BDH($C$603,"ACCOUNTS_PAYABLE_GROWTH_1YR","FQ3 2015","FQ3 2015","Currency=INR","Period=FQ","BEST_FPERIOD_OVERRIDE=FQ","FILING_STATUS=OR","EQY_CONSOLIDATED=Y","Sort=A","Dates=H","DateFormat=P","Fill=—","Direction=H","UseDPDF=Y")</f>
        <v>#NAME?</v>
      </c>
      <c r="AG611" s="1" t="e">
        <f ca="1">_xll.BDH($C$603,"SHORT_TERM_DEBT_1_YEAR_GROWTH","FQ3 2015","FQ3 2015","Currency=INR","Period=FQ","BEST_FPERIOD_OVERRIDE=FQ","FILING_STATUS=OR","EQY_CONSOLIDATED=Y","Sort=A","Dates=H","DateFormat=P","Fill=—","Direction=H","UseDPDF=Y")</f>
        <v>#NAME?</v>
      </c>
      <c r="AH611" s="1" t="e">
        <f ca="1">_xll.BDH($C$603,"TOTAL_DEBT_1_YEAR_GROWTH","FQ3 2015","FQ3 2015","Currency=INR","Period=FQ","BEST_FPERIOD_OVERRIDE=FQ","FILING_STATUS=OR","EQY_CONSOLIDATED=Y","Sort=A","Dates=H","DateFormat=P","Fill=—","Direction=H","UseDPDF=Y")</f>
        <v>#NAME?</v>
      </c>
      <c r="AI611" s="1" t="e">
        <f ca="1">_xll.BDH($C$603,"TOTAL_EQUITY_1_YEAR_GROWTH","FQ3 2015","FQ3 2015","Currency=INR","Period=FQ","BEST_FPERIOD_OVERRIDE=FQ","FILING_STATUS=OR","EQY_CONSOLIDATED=Y","Sort=A","Dates=H","DateFormat=P","Fill=—","Direction=H","UseDPDF=Y")</f>
        <v>#NAME?</v>
      </c>
      <c r="AJ611" s="1" t="e">
        <f ca="1">_xll.BDH($C$603,"GROWTH_IN_CAP","FQ3 2015","FQ3 2015","Currency=INR","Period=FQ","BEST_FPERIOD_OVERRIDE=FQ","FILING_STATUS=OR","EQY_CONSOLIDATED=Y","Sort=A","Dates=H","DateFormat=P","Fill=—","Direction=H","UseDPDF=Y")</f>
        <v>#NAME?</v>
      </c>
      <c r="AK611" s="1" t="e">
        <f ca="1">_xll.BDH($C$603,"BVPS_GROWTH","FQ3 2015","FQ3 2015","Currency=INR","Period=FQ","BEST_FPERIOD_OVERRIDE=FQ","FILING_STATUS=OR","EQY_CONSOLIDATED=Y","Sort=A","Dates=H","DateFormat=P","Fill=—","Direction=H","UseDPDF=Y")</f>
        <v>#NAME?</v>
      </c>
      <c r="AL611" s="1" t="e">
        <f ca="1">_xll.BDH($C$603,"CASH_FLOW_GROWTH","FQ3 2015","FQ3 2015","Currency=INR","Period=FQ","BEST_FPERIOD_OVERRIDE=FQ","FILING_STATUS=OR","EQY_CONSOLIDATED=Y","Sort=A","Dates=H","DateFormat=P","Fill=—","Direction=H","UseDPDF=Y")</f>
        <v>#NAME?</v>
      </c>
      <c r="AM611" s="1" t="e">
        <f ca="1">_xll.BDH($C$603,"GEO_GROW_NET_SALES","FQ3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611" s="1" t="e">
        <f ca="1">_xll.BDH($C$603,"GEO_GROW_EBITDA","FQ3 2015","FQ3 2015","Currency=INR","Period=FQ","BEST_FPERIOD_OVERRIDE=FQ","FILING_STATUS=OR","EQY_CONSOLIDATED=Y","FA_ADJUSTED=GAAP","Sort=A","Dates=H","DateFormat=P","Fill=—","Direction=H","UseDPDF=Y")</f>
        <v>#NAME?</v>
      </c>
      <c r="AO611" s="1" t="e">
        <f ca="1">_xll.BDH($C$603,"GEO_GROW_OPER_INC","FQ3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611" s="1" t="e">
        <f ca="1">_xll.BDH($C$603,"NET_INCOME_TO_COMMON_5_YR_GROWTH","FQ3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611" s="1" t="e">
        <f ca="1">_xll.BDH($C$603,"5Y_GEO_GROWTH_DILUTED_EPS","FQ3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611" s="1" t="e">
        <f ca="1">_xll.BDH($C$603,"GEO_GROW_DVD_PER_SH","FQ3 2015","FQ3 2015","Currency=INR","Period=FQ","BEST_FPERIOD_OVERRIDE=FQ","FILING_STATUS=OR","EQY_CONSOLIDATED=Y","Sort=A","Dates=H","DateFormat=P","Fill=—","Direction=H","UseDPDF=Y")</f>
        <v>#NAME?</v>
      </c>
      <c r="AS611" s="1" t="e">
        <f ca="1">_xll.BDH($C$603,"ACCOUNTS_RECEIVABLE_5_YR_GROWTH","FQ3 2015","FQ3 2015","Currency=INR","Period=FQ","BEST_FPERIOD_OVERRIDE=FQ","FILING_STATUS=OR","EQY_CONSOLIDATED=Y","Sort=A","Dates=H","DateFormat=P","Fill=—","Direction=H","UseDPDF=Y")</f>
        <v>#NAME?</v>
      </c>
      <c r="AT611" s="1" t="e">
        <f ca="1">_xll.BDH($C$603,"INVENTORY_5_YEAR_GROWTH","FQ3 2015","FQ3 2015","Currency=INR","Period=FQ","BEST_FPERIOD_OVERRIDE=FQ","FILING_STATUS=OR","EQY_CONSOLIDATED=Y","Sort=A","Dates=H","DateFormat=P","Fill=—","Direction=H","UseDPDF=Y")</f>
        <v>#NAME?</v>
      </c>
      <c r="AU611" s="1" t="e">
        <f ca="1">_xll.BDH($C$603,"NET_FIXED_ASSETS_5_YEAR_GROWTH","FQ3 2015","FQ3 2015","Currency=INR","Period=FQ","BEST_FPERIOD_OVERRIDE=FQ","FILING_STATUS=OR","EQY_CONSOLIDATED=Y","Sort=A","Dates=H","DateFormat=P","Fill=—","Direction=H","UseDPDF=Y")</f>
        <v>#NAME?</v>
      </c>
      <c r="AV611" s="1" t="e">
        <f ca="1">_xll.BDH($C$603,"GEO_GROW_TOT_ASSET","FQ3 2015","FQ3 2015","Currency=INR","Period=FQ","BEST_FPERIOD_OVERRIDE=FQ","FILING_STATUS=OR","EQY_CONSOLIDATED=Y","Sort=A","Dates=H","DateFormat=P","Fill=—","Direction=H","UseDPDF=Y")</f>
        <v>#NAME?</v>
      </c>
      <c r="AW611" s="1" t="e">
        <f ca="1">_xll.BDH($C$603,"MODIFIED_WORKING_CPTL_5YR_GRWTH","FQ3 2015","FQ3 2015","Currency=INR","Period=FQ","BEST_FPERIOD_OVERRIDE=FQ","FILING_STATUS=OR","EQY_CONSOLIDATED=Y","Sort=A","Dates=H","DateFormat=P","Fill=—","Direction=H","UseDPDF=Y")</f>
        <v>#NAME?</v>
      </c>
      <c r="AX611" s="1" t="e">
        <f ca="1">_xll.BDH($C$603,"WORKING_CAPITAL_5_YEAR_GROWTH","FQ3 2015","FQ3 2015","Currency=INR","Period=FQ","BEST_FPERIOD_OVERRIDE=FQ","FILING_STATUS=OR","EQY_CONSOLIDATED=Y","Sort=A","Dates=H","DateFormat=P","Fill=—","Direction=H","UseDPDF=Y")</f>
        <v>#NAME?</v>
      </c>
      <c r="AY611" s="1" t="e">
        <f ca="1">_xll.BDH($C$603,"ACCOUNTS_PAYABLE_5_YEAR_GROWTH","FQ3 2015","FQ3 2015","Currency=INR","Period=FQ","BEST_FPERIOD_OVERRIDE=FQ","FILING_STATUS=OR","EQY_CONSOLIDATED=Y","Sort=A","Dates=H","DateFormat=P","Fill=—","Direction=H","UseDPDF=Y")</f>
        <v>#NAME?</v>
      </c>
      <c r="AZ611" s="1" t="e">
        <f ca="1">_xll.BDH($C$603,"SHORT_TERM_DEBT_5_YEAR_GROWTH","FQ3 2015","FQ3 2015","Currency=INR","Period=FQ","BEST_FPERIOD_OVERRIDE=FQ","FILING_STATUS=OR","EQY_CONSOLIDATED=Y","Sort=A","Dates=H","DateFormat=P","Fill=—","Direction=H","UseDPDF=Y")</f>
        <v>#NAME?</v>
      </c>
      <c r="BA611" s="1" t="e">
        <f ca="1">_xll.BDH($C$603,"TOTAL_DEBT_5_YEAR_GROWTH","FQ3 2015","FQ3 2015","Currency=INR","Period=FQ","BEST_FPERIOD_OVERRIDE=FQ","FILING_STATUS=OR","EQY_CONSOLIDATED=Y","Sort=A","Dates=H","DateFormat=P","Fill=—","Direction=H","UseDPDF=Y")</f>
        <v>#NAME?</v>
      </c>
      <c r="BB611" s="1" t="e">
        <f ca="1">_xll.BDH($C$603,"GEO_GROW_TOT_SHRHLDR_EQY","FQ3 2015","FQ3 2015","Currency=INR","Period=FQ","BEST_FPERIOD_OVERRIDE=FQ","FILING_STATUS=OR","EQY_CONSOLIDATED=Y","Sort=A","Dates=H","DateFormat=P","Fill=—","Direction=H","UseDPDF=Y")</f>
        <v>#NAME?</v>
      </c>
      <c r="BC611" s="1" t="e">
        <f ca="1">_xll.BDH($C$603,"TOTAL_CAPITAL_5_YEAR_GROWTH","FQ3 2015","FQ3 2015","Currency=INR","Period=FQ","BEST_FPERIOD_OVERRIDE=FQ","FILING_STATUS=OR","EQY_CONSOLIDATED=Y","Sort=A","Dates=H","DateFormat=P","Fill=—","Direction=H","UseDPDF=Y")</f>
        <v>#NAME?</v>
      </c>
      <c r="BD611" s="1" t="e">
        <f ca="1">_xll.BDH($C$603,"GEO_GROW_BOOK_VAL","FQ3 2015","FQ3 2015","Currency=INR","Period=FQ","BEST_FPERIOD_OVERRIDE=FQ","FILING_STATUS=OR","EQY_CONSOLIDATED=Y","Sort=A","Dates=H","DateFormat=P","Fill=—","Direction=H","UseDPDF=Y")</f>
        <v>#NAME?</v>
      </c>
      <c r="BE611" s="1" t="e">
        <f ca="1">_xll.BDH($C$603,"GEO_GROW_CASH_OPER_ACT","FQ3 2015","FQ3 2015","Currency=INR","Period=FQ","BEST_FPERIOD_OVERRIDE=FQ","FILING_STATUS=OR","EQY_CONSOLIDATED=Y","Sort=A","Dates=H","DateFormat=P","Fill=—","Direction=H","UseDPDF=Y")</f>
        <v>#NAME?</v>
      </c>
      <c r="BF611" s="1" t="e">
        <f ca="1">_xll.BDH($C$603,"REVENUE_SEQUENTIAL_GROWTH","FQ3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611" s="1" t="e">
        <f ca="1">_xll.BDH($C$603,"EBITDA_SEQUENTIAL_GROWTH","FQ3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611" s="1" t="e">
        <f ca="1">_xll.BDH($C$603,"OPERATING_INCOME_SEQ_GROWTH","FQ3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611" s="1" t="e">
        <f ca="1">_xll.BDH($C$603,"NET_INCOME_TO_COMMON_SEQ_GROWTH","FQ3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611" s="1" t="e">
        <f ca="1">_xll.BDH($C$603,"EPS_DILUTED_SEQUENTIAL_GROWTH","FQ3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611" s="1" t="e">
        <f ca="1">_xll.BDH($C$603,"DPS_SEQUENTIAL_GROWTH","FQ3 2015","FQ3 2015","Currency=INR","Period=FQ","BEST_FPERIOD_OVERRIDE=FQ","FILING_STATUS=OR","EQY_CONSOLIDATED=Y","Sort=A","Dates=H","DateFormat=P","Fill=—","Direction=H","UseDPDF=Y")</f>
        <v>#NAME?</v>
      </c>
      <c r="BL611" s="1" t="e">
        <f ca="1">_xll.BDH($C$603,"ACCOUNTS_RECEIVABLE_SEQ_GROWTH","FQ3 2015","FQ3 2015","Currency=INR","Period=FQ","BEST_FPERIOD_OVERRIDE=FQ","FILING_STATUS=OR","EQY_CONSOLIDATED=Y","Sort=A","Dates=H","DateFormat=P","Fill=—","Direction=H","UseDPDF=Y")</f>
        <v>#NAME?</v>
      </c>
      <c r="BM611" s="1" t="e">
        <f ca="1">_xll.BDH($C$603,"INVENTORY_SEQUENTIAL_GROWTH","FQ3 2015","FQ3 2015","Currency=INR","Period=FQ","BEST_FPERIOD_OVERRIDE=FQ","FILING_STATUS=OR","EQY_CONSOLIDATED=Y","Sort=A","Dates=H","DateFormat=P","Fill=—","Direction=H","UseDPDF=Y")</f>
        <v>#NAME?</v>
      </c>
      <c r="BN611" s="1" t="e">
        <f ca="1">_xll.BDH($C$603,"FIXED_ASSETS_SEQUENTIAL_GROWTH","FQ3 2015","FQ3 2015","Currency=INR","Period=FQ","BEST_FPERIOD_OVERRIDE=FQ","FILING_STATUS=OR","EQY_CONSOLIDATED=Y","Sort=A","Dates=H","DateFormat=P","Fill=—","Direction=H","UseDPDF=Y")</f>
        <v>#NAME?</v>
      </c>
      <c r="BO611" s="1" t="e">
        <f ca="1">_xll.BDH($C$603,"TOTAL_ASSETS_SEQUENTIAL_GROWTH","FQ3 2015","FQ3 2015","Currency=INR","Period=FQ","BEST_FPERIOD_OVERRIDE=FQ","FILING_STATUS=OR","EQY_CONSOLIDATED=Y","Sort=A","Dates=H","DateFormat=P","Fill=—","Direction=H","UseDPDF=Y")</f>
        <v>#NAME?</v>
      </c>
      <c r="BP611" s="1" t="e">
        <f ca="1">_xll.BDH($C$603,"MODIFIED_WORKING_CPTL_SEQ_GRWTH","FQ3 2015","FQ3 2015","Currency=INR","Period=FQ","BEST_FPERIOD_OVERRIDE=FQ","FILING_STATUS=OR","EQY_CONSOLIDATED=Y","Sort=A","Dates=H","DateFormat=P","Fill=—","Direction=H","UseDPDF=Y")</f>
        <v>#NAME?</v>
      </c>
      <c r="BQ611" s="1" t="e">
        <f ca="1">_xll.BDH($C$603,"WORKING_CAPITAL_SEQ_GROWTH","FQ3 2015","FQ3 2015","Currency=INR","Period=FQ","BEST_FPERIOD_OVERRIDE=FQ","FILING_STATUS=OR","EQY_CONSOLIDATED=Y","Sort=A","Dates=H","DateFormat=P","Fill=—","Direction=H","UseDPDF=Y")</f>
        <v>#NAME?</v>
      </c>
      <c r="BR611" s="1" t="e">
        <f ca="1">_xll.BDH($C$603,"ACCOUNTS_PAYABLE_SEQ_GROWTH","FQ3 2015","FQ3 2015","Currency=INR","Period=FQ","BEST_FPERIOD_OVERRIDE=FQ","FILING_STATUS=OR","EQY_CONSOLIDATED=Y","Sort=A","Dates=H","DateFormat=P","Fill=—","Direction=H","UseDPDF=Y")</f>
        <v>#NAME?</v>
      </c>
      <c r="BS611" s="1" t="e">
        <f ca="1">_xll.BDH($C$603,"ST_DEBT_SEQUENTIAL_GROWTH","FQ3 2015","FQ3 2015","Currency=INR","Period=FQ","BEST_FPERIOD_OVERRIDE=FQ","FILING_STATUS=OR","EQY_CONSOLIDATED=Y","Sort=A","Dates=H","DateFormat=P","Fill=—","Direction=H","UseDPDF=Y")</f>
        <v>#NAME?</v>
      </c>
      <c r="BT611" s="1" t="e">
        <f ca="1">_xll.BDH($C$603,"TOTAL_DEBT_SEQUENTIAL_GROWTH","FQ3 2015","FQ3 2015","Currency=INR","Period=FQ","BEST_FPERIOD_OVERRIDE=FQ","FILING_STATUS=OR","EQY_CONSOLIDATED=Y","Sort=A","Dates=H","DateFormat=P","Fill=—","Direction=H","UseDPDF=Y")</f>
        <v>#NAME?</v>
      </c>
      <c r="BU611" s="1" t="e">
        <f ca="1">_xll.BDH($C$603,"TOTAL_EQUITY_SEQUENTIAL_GROWTH","FQ3 2015","FQ3 2015","Currency=INR","Period=FQ","BEST_FPERIOD_OVERRIDE=FQ","FILING_STATUS=OR","EQY_CONSOLIDATED=Y","Sort=A","Dates=H","DateFormat=P","Fill=—","Direction=H","UseDPDF=Y")</f>
        <v>#NAME?</v>
      </c>
      <c r="BV611" s="1" t="e">
        <f ca="1">_xll.BDH($C$603,"TOTAL_CAPITAL_SEQUENTIAL_GROWTH","FQ3 2015","FQ3 2015","Currency=INR","Period=FQ","BEST_FPERIOD_OVERRIDE=FQ","FILING_STATUS=OR","EQY_CONSOLIDATED=Y","Sort=A","Dates=H","DateFormat=P","Fill=—","Direction=H","UseDPDF=Y")</f>
        <v>#NAME?</v>
      </c>
      <c r="BW611" s="1" t="e">
        <f ca="1">_xll.BDH($C$603,"BPS_SEQUENTIAL_GROWTH","FQ3 2015","FQ3 2015","Currency=INR","Period=FQ","BEST_FPERIOD_OVERRIDE=FQ","FILING_STATUS=OR","EQY_CONSOLIDATED=Y","Sort=A","Dates=H","DateFormat=P","Fill=—","Direction=H","UseDPDF=Y")</f>
        <v>#NAME?</v>
      </c>
      <c r="BX611" s="1" t="e">
        <f ca="1">_xll.BDH($C$603,"CFO_SEQUENTIAL_GROWTH","FQ3 2015","FQ3 2015","Currency=INR","Period=FQ","BEST_FPERIOD_OVERRIDE=FQ","FILING_STATUS=OR","EQY_CONSOLIDATED=Y","Sort=A","Dates=H","DateFormat=P","Fill=—","Direction=H","UseDPDF=Y")</f>
        <v>#NAME?</v>
      </c>
      <c r="BY611" s="2" t="e">
        <f ca="1">_xll.BDH($C$603,"SHORT_AND_LONG_TERM_DEBT","FQ3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611" s="2" t="e">
        <f ca="1">_xll.BDH($C$603,"BS_ST_BORROW","FQ3 2015","FQ3 2015","Currency=INR","Period=FQ","BEST_FPERIOD_OVERRIDE=FQ","FILING_STATUS=OR","EQY_CONSOLIDATED=Y","SCALING_FORMAT=MLN","Sort=A","Dates=H","DateFormat=P","Fill=—","Direction=H","UseDPDF=Y")</f>
        <v>#NAME?</v>
      </c>
      <c r="CA611" s="2" t="e">
        <f ca="1">_xll.BDH($C$603,"BS_LT_BORROW","FQ3 2015","FQ3 2015","Currency=INR","Period=FQ","BEST_FPERIOD_OVERRIDE=FQ","FILING_STATUS=OR","EQY_CONSOLIDATED=Y","SCALING_FORMAT=MLN","Sort=A","Dates=H","DateFormat=P","Fill=—","Direction=H","UseDPDF=Y")</f>
        <v>#NAME?</v>
      </c>
      <c r="CB611" s="1" t="e">
        <f ca="1">_xll.BDH($C$603,"TOT_DEBT_TO_EBITDA","FQ3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611" s="1" t="e">
        <f ca="1">_xll.BDH($C$603,"NET_DEBT_TO_EBITDA","FQ3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611" s="1" t="e">
        <f ca="1">_xll.BDH($C$603,"TOTAL_DEBT_TO_EBIT","FQ3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611" s="1" t="e">
        <f ca="1">_xll.BDH($C$603,"NET_DEBT_TO_EBIT","FQ3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611" s="1" t="e">
        <f ca="1">_xll.BDH($C$603,"EBITDA_TO_INTEREST_EXPN","FQ3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611" s="1" t="e">
        <f ca="1">_xll.BDH($C$603,"COM_EQY_TO_TOT_ASSET","FQ3 2015","FQ3 2015","Currency=INR","Period=FQ","BEST_FPERIOD_OVERRIDE=FQ","FILING_STATUS=OR","EQY_CONSOLIDATED=Y","Sort=A","Dates=H","DateFormat=P","Fill=—","Direction=H","UseDPDF=Y")</f>
        <v>#NAME?</v>
      </c>
      <c r="CH611" s="1" t="e">
        <f ca="1">_xll.BDH($C$603,"LT_DEBT_TO_TOT_EQY","FQ3 2015","FQ3 2015","Currency=INR","Period=FQ","BEST_FPERIOD_OVERRIDE=FQ","FILING_STATUS=OR","EQY_CONSOLIDATED=Y","Sort=A","Dates=H","DateFormat=P","Fill=—","Direction=H","UseDPDF=Y")</f>
        <v>#NAME?</v>
      </c>
      <c r="CI611" s="1" t="e">
        <f ca="1">_xll.BDH($C$603,"LT_DEBT_TO_TOT_CAP","FQ3 2015","FQ3 2015","Currency=INR","Period=FQ","BEST_FPERIOD_OVERRIDE=FQ","FILING_STATUS=OR","EQY_CONSOLIDATED=Y","Sort=A","Dates=H","DateFormat=P","Fill=—","Direction=H","UseDPDF=Y")</f>
        <v>#NAME?</v>
      </c>
      <c r="CJ611" s="1" t="e">
        <f ca="1">_xll.BDH($C$603,"LT_DEBT_TO_TOT_ASSET","FQ3 2015","FQ3 2015","Currency=INR","Period=FQ","BEST_FPERIOD_OVERRIDE=FQ","FILING_STATUS=OR","EQY_CONSOLIDATED=Y","Sort=A","Dates=H","DateFormat=P","Fill=—","Direction=H","UseDPDF=Y")</f>
        <v>#NAME?</v>
      </c>
      <c r="CK611" s="1" t="e">
        <f ca="1">_xll.BDH($C$603,"TOT_DEBT_TO_TOT_EQY","FQ3 2015","FQ3 2015","Currency=INR","Period=FQ","BEST_FPERIOD_OVERRIDE=FQ","FILING_STATUS=OR","EQY_CONSOLIDATED=Y","Sort=A","Dates=H","DateFormat=P","Fill=—","Direction=H","UseDPDF=Y")</f>
        <v>#NAME?</v>
      </c>
      <c r="CL611" s="1" t="e">
        <f ca="1">_xll.BDH($C$603,"TOT_DEBT_TO_TOT_CAP","FQ3 2015","FQ3 2015","Currency=INR","Period=FQ","BEST_FPERIOD_OVERRIDE=FQ","FILING_STATUS=OR","EQY_CONSOLIDATED=Y","Sort=A","Dates=H","DateFormat=P","Fill=—","Direction=H","UseDPDF=Y")</f>
        <v>#NAME?</v>
      </c>
      <c r="CM611" s="1" t="e">
        <f ca="1">_xll.BDH($C$603,"TOT_DEBT_TO_TOT_ASSET","FQ3 2015","FQ3 2015","Currency=INR","Period=FQ","BEST_FPERIOD_OVERRIDE=FQ","FILING_STATUS=OR","EQY_CONSOLIDATED=Y","Sort=A","Dates=H","DateFormat=P","Fill=—","Direction=H","UseDPDF=Y")</f>
        <v>#NAME?</v>
      </c>
      <c r="CN611" s="1" t="e">
        <f ca="1">_xll.BDH($C$603,"NET_DEBT_TO_SHRHLDR_EQTY","FQ3 2015","FQ3 2015","Currency=INR","Period=FQ","BEST_FPERIOD_OVERRIDE=FQ","FILING_STATUS=OR","EQY_CONSOLIDATED=Y","Sort=A","Dates=H","DateFormat=P","Fill=—","Direction=H","UseDPDF=Y")</f>
        <v>#NAME?</v>
      </c>
      <c r="CO611" s="1" t="e">
        <f ca="1">_xll.BDH($C$603,"NET_DEBT_%_CAPITAL","FQ3 2015","FQ3 2015","Currency=INR","Period=FQ","BEST_FPERIOD_OVERRIDE=FQ","FILING_STATUS=OR","EQY_CONSOLIDATED=Y","Sort=A","Dates=H","DateFormat=P","Fill=—","Direction=H","UseDPDF=Y")</f>
        <v>#NAME?</v>
      </c>
      <c r="CP611" s="2" t="e">
        <f ca="1">_xll.BDH($C$603,"EBITDA","FQ3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611" s="2" t="e">
        <f ca="1">_xll.BDH($C$603,"EBITDA_AFTER_CAPEX","FQ3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611" s="2" t="e">
        <f ca="1">_xll.BDH($C$603,"IS_OPER_INC","FQ3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611" s="1" t="e">
        <f ca="1">_xll.BDH($C$603,"CASH_RATIO","FQ3 2015","FQ3 2015","Currency=INR","Period=FQ","BEST_FPERIOD_OVERRIDE=FQ","FILING_STATUS=OR","EQY_CONSOLIDATED=Y","Sort=A","Dates=H","DateFormat=P","Fill=—","Direction=H","UseDPDF=Y")</f>
        <v>#NAME?</v>
      </c>
      <c r="CT611" s="1" t="e">
        <f ca="1">_xll.BDH($C$603,"CUR_RATIO","FQ3 2015","FQ3 2015","Currency=INR","Period=FQ","BEST_FPERIOD_OVERRIDE=FQ","FILING_STATUS=OR","EQY_CONSOLIDATED=Y","Sort=A","Dates=H","DateFormat=P","Fill=—","Direction=H","UseDPDF=Y")</f>
        <v>#NAME?</v>
      </c>
      <c r="CU611" s="1" t="e">
        <f ca="1">_xll.BDH($C$603,"QUICK_RATIO","FQ3 2015","FQ3 2015","Currency=INR","Period=FQ","BEST_FPERIOD_OVERRIDE=FQ","FILING_STATUS=OR","EQY_CONSOLIDATED=Y","Sort=A","Dates=H","DateFormat=P","Fill=—","Direction=H","UseDPDF=Y")</f>
        <v>#NAME?</v>
      </c>
      <c r="CV611" s="1" t="e">
        <f ca="1">_xll.BDH($C$603,"ALTMAN_Z_SCORE","FQ3 2015","FQ3 2015","Currency=INR","Period=FQ","BEST_FPERIOD_OVERRIDE=FQ","FILING_STATUS=OR","EQY_CONSOLIDATED=Y","Sort=A","Dates=H","DateFormat=P","Fill=—","Direction=H","UseDPDF=Y")</f>
        <v>#NAME?</v>
      </c>
      <c r="CW611" s="3" t="e">
        <f ca="1">_xll.BDH($C$603,"ACCT_RCV_TURN","FQ3 2015","FQ3 2015","Currency=INR","Period=FQ","BEST_FPERIOD_OVERRIDE=FQ","FILING_STATUS=OR","EQY_CONSOLIDATED=Y","FA_ADJUSTED=GAAP","Sort=A","Dates=H","DateFormat=P","Fill=—","Direction=H","UseDPDF=Y")</f>
        <v>#NAME?</v>
      </c>
      <c r="CX611" s="1" t="e">
        <f ca="1">_xll.BDH($C$603,"ACCT_RCV_DAYS","FQ3 2015","FQ3 2015","Currency=INR","Period=FQ","BEST_FPERIOD_OVERRIDE=FQ","FILING_STATUS=OR","EQY_CONSOLIDATED=Y","FA_ADJUSTED=GAAP","Sort=A","Dates=H","DateFormat=P","Fill=—","Direction=H","UseDPDF=Y")</f>
        <v>#NAME?</v>
      </c>
      <c r="CY611" s="3" t="e">
        <f ca="1">_xll.BDH($C$603,"INVENT_TURN","FQ3 2015","FQ3 2015","Currency=INR","Period=FQ","BEST_FPERIOD_OVERRIDE=FQ","FILING_STATUS=OR","EQY_CONSOLIDATED=Y","FA_ADJUSTED=GAAP","Sort=A","Dates=H","DateFormat=P","Fill=—","Direction=H","UseDPDF=Y")</f>
        <v>#NAME?</v>
      </c>
      <c r="CZ611" s="1" t="e">
        <f ca="1">_xll.BDH($C$603,"INVENT_DAYS","FQ3 2015","FQ3 2015","Currency=INR","Period=FQ","BEST_FPERIOD_OVERRIDE=FQ","FILING_STATUS=OR","EQY_CONSOLIDATED=Y","FA_ADJUSTED=GAAP","Sort=A","Dates=H","DateFormat=P","Fill=—","Direction=H","UseDPDF=Y")</f>
        <v>#NAME?</v>
      </c>
      <c r="DA611" s="3" t="e">
        <f ca="1">_xll.BDH($C$603,"ACCOUNTS_PAYABLE_TURNOVER","FQ3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611" s="1" t="e">
        <f ca="1">_xll.BDH($C$603,"ACCOUNTS_PAYABLE_TURNOVER_DAYS","FQ3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611" s="3" t="e">
        <f ca="1">_xll.BDH($C$603,"CASH_CONVERSION_CYCLE","FQ3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611" s="3" t="e">
        <f ca="1">_xll.BDH($C$603,"INV_TO_CASH_DAYS","FQ3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611" s="4" t="e">
        <f ca="1">_xll.BDH($C$603,"BS_INVENTORIES","FQ3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611" s="2" t="e">
        <f ca="1">_xll.BDH($C$603,"INVTRY_RAW_MATERIALS","FQ3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611" s="2" t="e">
        <f ca="1">_xll.BDH($C$603,"INVTRY_IN_PROGRESS","FQ3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611" s="2" t="e">
        <f ca="1">_xll.BDH($C$603,"INVTRY_FINISHED_GOODS","FQ3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611" s="2" t="e">
        <f ca="1">_xll.BDH($C$603,"BS_OTHER_INV","FQ3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612" spans="1:113" x14ac:dyDescent="0.3">
      <c r="A612" s="6"/>
      <c r="B612" s="6"/>
      <c r="C612" s="6"/>
      <c r="D612" s="6"/>
      <c r="E612" t="s">
        <v>7</v>
      </c>
      <c r="F612" t="e">
        <f ca="1">_xll.BDH($C$603,"RETURN_COM_EQY","FQ4 2015","FQ4 2015","Currency=INR","Period=FQ","BEST_FPERIOD_OVERRIDE=FQ","FILING_STATUS=OR","EQY_CONSOLIDATED=Y","FA_ADJUSTED=GAAP","Sort=A","Dates=H","DateFormat=P","Fill=—","Direction=H","UseDPDF=Y")</f>
        <v>#NAME?</v>
      </c>
      <c r="G612" t="e">
        <f ca="1">_xll.BDH($C$603,"RETURN_ON_ASSET","FQ4 2015","FQ4 2015","Currency=INR","Period=FQ","BEST_FPERIOD_OVERRIDE=FQ","FILING_STATUS=OR","EQY_CONSOLIDATED=Y","FA_ADJUSTED=GAAP","Sort=A","Dates=H","DateFormat=P","Fill=—","Direction=H","UseDPDF=Y")</f>
        <v>#NAME?</v>
      </c>
      <c r="H612" t="e">
        <f ca="1">_xll.BDH($C$603,"RETURN_ON_CAP","FQ4 2015","FQ4 2015","Currency=INR","Period=FQ","BEST_FPERIOD_OVERRIDE=FQ","FILING_STATUS=OR","EQY_CONSOLIDATED=Y","FA_ADJUSTED=GAAP","Sort=A","Dates=H","DateFormat=P","Fill=—","Direction=H","UseDPDF=Y")</f>
        <v>#NAME?</v>
      </c>
      <c r="I612" t="e">
        <f ca="1">_xll.BDH($C$603,"RETURN_ON_INV_CAPITAL","FQ4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612" t="e">
        <f ca="1">_xll.BDH($C$603,"EBITDA_TO_REVENUE","FQ4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612" t="e">
        <f ca="1">_xll.BDH($C$603,"OPER_MARGIN","FQ4 2015","FQ4 2015","Currency=INR","Period=FQ","BEST_FPERIOD_OVERRIDE=FQ","FILING_STATUS=OR","EQY_CONSOLIDATED=Y","FA_ADJUSTED=GAAP","Sort=A","Dates=H","DateFormat=P","Fill=—","Direction=H","UseDPDF=Y")</f>
        <v>#NAME?</v>
      </c>
      <c r="L612" t="e">
        <f ca="1">_xll.BDH($C$603,"INCREMENTAL_OPERATING_MARGIN","FQ4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612" t="e">
        <f ca="1">_xll.BDH($C$603,"PRETAX_INC_TO_NET_SALES","FQ4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612" t="e">
        <f ca="1">_xll.BDH($C$603,"INC_BEF_XO_ITEMS_TO_NET_SALES","FQ4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612" t="e">
        <f ca="1">_xll.BDH($C$603,"PROF_MARGIN","FQ4 2015","FQ4 2015","Currency=INR","Period=FQ","BEST_FPERIOD_OVERRIDE=FQ","FILING_STATUS=OR","EQY_CONSOLIDATED=Y","FA_ADJUSTED=GAAP","Sort=A","Dates=H","DateFormat=P","Fill=—","Direction=H","UseDPDF=Y")</f>
        <v>#NAME?</v>
      </c>
      <c r="P612" t="e">
        <f ca="1">_xll.BDH($C$603,"NET_INCOME_TO_COMMON_MARGIN","FQ4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612" t="e">
        <f ca="1">_xll.BDH($C$603,"EFF_TAX_RATE","FQ4 2015","FQ4 2015","Currency=INR","Period=FQ","BEST_FPERIOD_OVERRIDE=FQ","FILING_STATUS=OR","EQY_CONSOLIDATED=Y","FA_ADJUSTED=GAAP","Sort=A","Dates=H","DateFormat=P","Fill=—","Direction=H","UseDPDF=Y")</f>
        <v>#NAME?</v>
      </c>
      <c r="R612" t="e">
        <f ca="1">_xll.BDH($C$603,"DVD_PAYOUT_RATIO","FQ4 2015","FQ4 2015","Currency=INR","Period=FQ","BEST_FPERIOD_OVERRIDE=FQ","FILING_STATUS=OR","EQY_CONSOLIDATED=Y","FA_ADJUSTED=GAAP","Sort=A","Dates=H","DateFormat=P","Fill=—","Direction=H","UseDPDF=Y")</f>
        <v>#NAME?</v>
      </c>
      <c r="S612" t="e">
        <f ca="1">_xll.BDH($C$603,"SUSTAIN_GROWTH_RT","FQ4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612" s="1" t="e">
        <f ca="1">_xll.BDH($C$603,"SALES_GROWTH","FQ4 2015","FQ4 2015","Currency=INR","Period=FQ","BEST_FPERIOD_OVERRIDE=FQ","FILING_STATUS=OR","EQY_CONSOLIDATED=Y","FA_ADJUSTED=GAAP","Sort=A","Dates=H","DateFormat=P","Fill=—","Direction=H","UseDPDF=Y")</f>
        <v>#NAME?</v>
      </c>
      <c r="U612" s="1" t="e">
        <f ca="1">_xll.BDH($C$603,"EBITDA_GROWTH","FQ4 2015","FQ4 2015","Currency=INR","Period=FQ","BEST_FPERIOD_OVERRIDE=FQ","FILING_STATUS=OR","EQY_CONSOLIDATED=Y","FA_ADJUSTED=GAAP","Sort=A","Dates=H","DateFormat=P","Fill=—","Direction=H","UseDPDF=Y")</f>
        <v>#NAME?</v>
      </c>
      <c r="V612" s="1" t="e">
        <f ca="1">_xll.BDH($C$603,"OPER_INC_GROWTH","FQ4 2015","FQ4 2015","Currency=INR","Period=FQ","BEST_FPERIOD_OVERRIDE=FQ","FILING_STATUS=OR","EQY_CONSOLIDATED=Y","FA_ADJUSTED=GAAP","Sort=A","Dates=H","DateFormat=P","Fill=—","Direction=H","UseDPDF=Y")</f>
        <v>#NAME?</v>
      </c>
      <c r="W612" s="1" t="e">
        <f ca="1">_xll.BDH($C$603,"EARN_FOR_COM_GROWTH","FQ4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612" s="1" t="e">
        <f ca="1">_xll.BDH($C$603,"DILUTED_EPS_AFT_XO_ITEMS_GROWTH","FQ4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612" s="1" t="e">
        <f ca="1">_xll.BDH($C$603,"DIVIDEND_PER_SHARE_1_YEAR_GROWTH","FQ4 2015","FQ4 2015","Currency=INR","Period=FQ","BEST_FPERIOD_OVERRIDE=FQ","FILING_STATUS=OR","EQY_CONSOLIDATED=Y","Sort=A","Dates=H","DateFormat=P","Fill=—","Direction=H","UseDPDF=Y")</f>
        <v>#NAME?</v>
      </c>
      <c r="Z612" s="1" t="e">
        <f ca="1">_xll.BDH($C$603,"ACCOUNTS_RECEIVABLE_GROWTH","FQ4 2015","FQ4 2015","Currency=INR","Period=FQ","BEST_FPERIOD_OVERRIDE=FQ","FILING_STATUS=OR","EQY_CONSOLIDATED=Y","Sort=A","Dates=H","DateFormat=P","Fill=—","Direction=H","UseDPDF=Y")</f>
        <v>#NAME?</v>
      </c>
      <c r="AA612" s="1" t="e">
        <f ca="1">_xll.BDH($C$603,"INVENTORY_GROWTH","FQ4 2015","FQ4 2015","Currency=INR","Period=FQ","BEST_FPERIOD_OVERRIDE=FQ","FILING_STATUS=OR","EQY_CONSOLIDATED=Y","Sort=A","Dates=H","DateFormat=P","Fill=—","Direction=H","UseDPDF=Y")</f>
        <v>#NAME?</v>
      </c>
      <c r="AB612" s="1" t="e">
        <f ca="1">_xll.BDH($C$603,"NET_FIXED_ASSETS_1_YEAR_GROWTH","FQ4 2015","FQ4 2015","Currency=INR","Period=FQ","BEST_FPERIOD_OVERRIDE=FQ","FILING_STATUS=OR","EQY_CONSOLIDATED=Y","Sort=A","Dates=H","DateFormat=P","Fill=—","Direction=H","UseDPDF=Y")</f>
        <v>#NAME?</v>
      </c>
      <c r="AC612" s="1" t="e">
        <f ca="1">_xll.BDH($C$603,"ASSET_GROWTH","FQ4 2015","FQ4 2015","Currency=INR","Period=FQ","BEST_FPERIOD_OVERRIDE=FQ","FILING_STATUS=OR","EQY_CONSOLIDATED=Y","Sort=A","Dates=H","DateFormat=P","Fill=—","Direction=H","UseDPDF=Y")</f>
        <v>#NAME?</v>
      </c>
      <c r="AD612" s="1" t="e">
        <f ca="1">_xll.BDH($C$603,"MODIFIED_WORK_CAP_GROWTH","FQ4 2015","FQ4 2015","Currency=INR","Period=FQ","BEST_FPERIOD_OVERRIDE=FQ","FILING_STATUS=OR","EQY_CONSOLIDATED=Y","Sort=A","Dates=H","DateFormat=P","Fill=—","Direction=H","UseDPDF=Y")</f>
        <v>#NAME?</v>
      </c>
      <c r="AE612" s="1" t="e">
        <f ca="1">_xll.BDH($C$603,"WORK_CAP_GROWTH","FQ4 2015","FQ4 2015","Currency=INR","Period=FQ","BEST_FPERIOD_OVERRIDE=FQ","FILING_STATUS=OR","EQY_CONSOLIDATED=Y","Sort=A","Dates=H","DateFormat=P","Fill=—","Direction=H","UseDPDF=Y")</f>
        <v>#NAME?</v>
      </c>
      <c r="AF612" s="1" t="e">
        <f ca="1">_xll.BDH($C$603,"ACCOUNTS_PAYABLE_GROWTH_1YR","FQ4 2015","FQ4 2015","Currency=INR","Period=FQ","BEST_FPERIOD_OVERRIDE=FQ","FILING_STATUS=OR","EQY_CONSOLIDATED=Y","Sort=A","Dates=H","DateFormat=P","Fill=—","Direction=H","UseDPDF=Y")</f>
        <v>#NAME?</v>
      </c>
      <c r="AG612" s="1" t="e">
        <f ca="1">_xll.BDH($C$603,"SHORT_TERM_DEBT_1_YEAR_GROWTH","FQ4 2015","FQ4 2015","Currency=INR","Period=FQ","BEST_FPERIOD_OVERRIDE=FQ","FILING_STATUS=OR","EQY_CONSOLIDATED=Y","Sort=A","Dates=H","DateFormat=P","Fill=—","Direction=H","UseDPDF=Y")</f>
        <v>#NAME?</v>
      </c>
      <c r="AH612" s="1" t="e">
        <f ca="1">_xll.BDH($C$603,"TOTAL_DEBT_1_YEAR_GROWTH","FQ4 2015","FQ4 2015","Currency=INR","Period=FQ","BEST_FPERIOD_OVERRIDE=FQ","FILING_STATUS=OR","EQY_CONSOLIDATED=Y","Sort=A","Dates=H","DateFormat=P","Fill=—","Direction=H","UseDPDF=Y")</f>
        <v>#NAME?</v>
      </c>
      <c r="AI612" s="1" t="e">
        <f ca="1">_xll.BDH($C$603,"TOTAL_EQUITY_1_YEAR_GROWTH","FQ4 2015","FQ4 2015","Currency=INR","Period=FQ","BEST_FPERIOD_OVERRIDE=FQ","FILING_STATUS=OR","EQY_CONSOLIDATED=Y","Sort=A","Dates=H","DateFormat=P","Fill=—","Direction=H","UseDPDF=Y")</f>
        <v>#NAME?</v>
      </c>
      <c r="AJ612" s="1" t="e">
        <f ca="1">_xll.BDH($C$603,"GROWTH_IN_CAP","FQ4 2015","FQ4 2015","Currency=INR","Period=FQ","BEST_FPERIOD_OVERRIDE=FQ","FILING_STATUS=OR","EQY_CONSOLIDATED=Y","Sort=A","Dates=H","DateFormat=P","Fill=—","Direction=H","UseDPDF=Y")</f>
        <v>#NAME?</v>
      </c>
      <c r="AK612" s="1" t="e">
        <f ca="1">_xll.BDH($C$603,"BVPS_GROWTH","FQ4 2015","FQ4 2015","Currency=INR","Period=FQ","BEST_FPERIOD_OVERRIDE=FQ","FILING_STATUS=OR","EQY_CONSOLIDATED=Y","Sort=A","Dates=H","DateFormat=P","Fill=—","Direction=H","UseDPDF=Y")</f>
        <v>#NAME?</v>
      </c>
      <c r="AL612" s="1" t="e">
        <f ca="1">_xll.BDH($C$603,"CASH_FLOW_GROWTH","FQ4 2015","FQ4 2015","Currency=INR","Period=FQ","BEST_FPERIOD_OVERRIDE=FQ","FILING_STATUS=OR","EQY_CONSOLIDATED=Y","Sort=A","Dates=H","DateFormat=P","Fill=—","Direction=H","UseDPDF=Y")</f>
        <v>#NAME?</v>
      </c>
      <c r="AM612" s="1" t="e">
        <f ca="1">_xll.BDH($C$603,"GEO_GROW_NET_SALES","FQ4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612" s="1" t="e">
        <f ca="1">_xll.BDH($C$603,"GEO_GROW_EBITDA","FQ4 2015","FQ4 2015","Currency=INR","Period=FQ","BEST_FPERIOD_OVERRIDE=FQ","FILING_STATUS=OR","EQY_CONSOLIDATED=Y","FA_ADJUSTED=GAAP","Sort=A","Dates=H","DateFormat=P","Fill=—","Direction=H","UseDPDF=Y")</f>
        <v>#NAME?</v>
      </c>
      <c r="AO612" s="1" t="e">
        <f ca="1">_xll.BDH($C$603,"GEO_GROW_OPER_INC","FQ4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612" s="1" t="e">
        <f ca="1">_xll.BDH($C$603,"NET_INCOME_TO_COMMON_5_YR_GROWTH","FQ4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612" s="1" t="e">
        <f ca="1">_xll.BDH($C$603,"5Y_GEO_GROWTH_DILUTED_EPS","FQ4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612" s="1" t="e">
        <f ca="1">_xll.BDH($C$603,"GEO_GROW_DVD_PER_SH","FQ4 2015","FQ4 2015","Currency=INR","Period=FQ","BEST_FPERIOD_OVERRIDE=FQ","FILING_STATUS=OR","EQY_CONSOLIDATED=Y","Sort=A","Dates=H","DateFormat=P","Fill=—","Direction=H","UseDPDF=Y")</f>
        <v>#NAME?</v>
      </c>
      <c r="AS612" s="1" t="e">
        <f ca="1">_xll.BDH($C$603,"ACCOUNTS_RECEIVABLE_5_YR_GROWTH","FQ4 2015","FQ4 2015","Currency=INR","Period=FQ","BEST_FPERIOD_OVERRIDE=FQ","FILING_STATUS=OR","EQY_CONSOLIDATED=Y","Sort=A","Dates=H","DateFormat=P","Fill=—","Direction=H","UseDPDF=Y")</f>
        <v>#NAME?</v>
      </c>
      <c r="AT612" s="1" t="e">
        <f ca="1">_xll.BDH($C$603,"INVENTORY_5_YEAR_GROWTH","FQ4 2015","FQ4 2015","Currency=INR","Period=FQ","BEST_FPERIOD_OVERRIDE=FQ","FILING_STATUS=OR","EQY_CONSOLIDATED=Y","Sort=A","Dates=H","DateFormat=P","Fill=—","Direction=H","UseDPDF=Y")</f>
        <v>#NAME?</v>
      </c>
      <c r="AU612" s="1" t="e">
        <f ca="1">_xll.BDH($C$603,"NET_FIXED_ASSETS_5_YEAR_GROWTH","FQ4 2015","FQ4 2015","Currency=INR","Period=FQ","BEST_FPERIOD_OVERRIDE=FQ","FILING_STATUS=OR","EQY_CONSOLIDATED=Y","Sort=A","Dates=H","DateFormat=P","Fill=—","Direction=H","UseDPDF=Y")</f>
        <v>#NAME?</v>
      </c>
      <c r="AV612" s="1" t="e">
        <f ca="1">_xll.BDH($C$603,"GEO_GROW_TOT_ASSET","FQ4 2015","FQ4 2015","Currency=INR","Period=FQ","BEST_FPERIOD_OVERRIDE=FQ","FILING_STATUS=OR","EQY_CONSOLIDATED=Y","Sort=A","Dates=H","DateFormat=P","Fill=—","Direction=H","UseDPDF=Y")</f>
        <v>#NAME?</v>
      </c>
      <c r="AW612" s="1" t="e">
        <f ca="1">_xll.BDH($C$603,"MODIFIED_WORKING_CPTL_5YR_GRWTH","FQ4 2015","FQ4 2015","Currency=INR","Period=FQ","BEST_FPERIOD_OVERRIDE=FQ","FILING_STATUS=OR","EQY_CONSOLIDATED=Y","Sort=A","Dates=H","DateFormat=P","Fill=—","Direction=H","UseDPDF=Y")</f>
        <v>#NAME?</v>
      </c>
      <c r="AX612" s="1" t="e">
        <f ca="1">_xll.BDH($C$603,"WORKING_CAPITAL_5_YEAR_GROWTH","FQ4 2015","FQ4 2015","Currency=INR","Period=FQ","BEST_FPERIOD_OVERRIDE=FQ","FILING_STATUS=OR","EQY_CONSOLIDATED=Y","Sort=A","Dates=H","DateFormat=P","Fill=—","Direction=H","UseDPDF=Y")</f>
        <v>#NAME?</v>
      </c>
      <c r="AY612" s="1" t="e">
        <f ca="1">_xll.BDH($C$603,"ACCOUNTS_PAYABLE_5_YEAR_GROWTH","FQ4 2015","FQ4 2015","Currency=INR","Period=FQ","BEST_FPERIOD_OVERRIDE=FQ","FILING_STATUS=OR","EQY_CONSOLIDATED=Y","Sort=A","Dates=H","DateFormat=P","Fill=—","Direction=H","UseDPDF=Y")</f>
        <v>#NAME?</v>
      </c>
      <c r="AZ612" s="1" t="e">
        <f ca="1">_xll.BDH($C$603,"SHORT_TERM_DEBT_5_YEAR_GROWTH","FQ4 2015","FQ4 2015","Currency=INR","Period=FQ","BEST_FPERIOD_OVERRIDE=FQ","FILING_STATUS=OR","EQY_CONSOLIDATED=Y","Sort=A","Dates=H","DateFormat=P","Fill=—","Direction=H","UseDPDF=Y")</f>
        <v>#NAME?</v>
      </c>
      <c r="BA612" s="1" t="e">
        <f ca="1">_xll.BDH($C$603,"TOTAL_DEBT_5_YEAR_GROWTH","FQ4 2015","FQ4 2015","Currency=INR","Period=FQ","BEST_FPERIOD_OVERRIDE=FQ","FILING_STATUS=OR","EQY_CONSOLIDATED=Y","Sort=A","Dates=H","DateFormat=P","Fill=—","Direction=H","UseDPDF=Y")</f>
        <v>#NAME?</v>
      </c>
      <c r="BB612" s="1" t="e">
        <f ca="1">_xll.BDH($C$603,"GEO_GROW_TOT_SHRHLDR_EQY","FQ4 2015","FQ4 2015","Currency=INR","Period=FQ","BEST_FPERIOD_OVERRIDE=FQ","FILING_STATUS=OR","EQY_CONSOLIDATED=Y","Sort=A","Dates=H","DateFormat=P","Fill=—","Direction=H","UseDPDF=Y")</f>
        <v>#NAME?</v>
      </c>
      <c r="BC612" s="1" t="e">
        <f ca="1">_xll.BDH($C$603,"TOTAL_CAPITAL_5_YEAR_GROWTH","FQ4 2015","FQ4 2015","Currency=INR","Period=FQ","BEST_FPERIOD_OVERRIDE=FQ","FILING_STATUS=OR","EQY_CONSOLIDATED=Y","Sort=A","Dates=H","DateFormat=P","Fill=—","Direction=H","UseDPDF=Y")</f>
        <v>#NAME?</v>
      </c>
      <c r="BD612" s="1" t="e">
        <f ca="1">_xll.BDH($C$603,"GEO_GROW_BOOK_VAL","FQ4 2015","FQ4 2015","Currency=INR","Period=FQ","BEST_FPERIOD_OVERRIDE=FQ","FILING_STATUS=OR","EQY_CONSOLIDATED=Y","Sort=A","Dates=H","DateFormat=P","Fill=—","Direction=H","UseDPDF=Y")</f>
        <v>#NAME?</v>
      </c>
      <c r="BE612" s="1" t="e">
        <f ca="1">_xll.BDH($C$603,"GEO_GROW_CASH_OPER_ACT","FQ4 2015","FQ4 2015","Currency=INR","Period=FQ","BEST_FPERIOD_OVERRIDE=FQ","FILING_STATUS=OR","EQY_CONSOLIDATED=Y","Sort=A","Dates=H","DateFormat=P","Fill=—","Direction=H","UseDPDF=Y")</f>
        <v>#NAME?</v>
      </c>
      <c r="BF612" s="1" t="e">
        <f ca="1">_xll.BDH($C$603,"REVENUE_SEQUENTIAL_GROWTH","FQ4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612" s="1" t="e">
        <f ca="1">_xll.BDH($C$603,"EBITDA_SEQUENTIAL_GROWTH","FQ4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612" s="1" t="e">
        <f ca="1">_xll.BDH($C$603,"OPERATING_INCOME_SEQ_GROWTH","FQ4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612" s="1" t="e">
        <f ca="1">_xll.BDH($C$603,"NET_INCOME_TO_COMMON_SEQ_GROWTH","FQ4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612" s="1" t="e">
        <f ca="1">_xll.BDH($C$603,"EPS_DILUTED_SEQUENTIAL_GROWTH","FQ4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612" s="1" t="e">
        <f ca="1">_xll.BDH($C$603,"DPS_SEQUENTIAL_GROWTH","FQ4 2015","FQ4 2015","Currency=INR","Period=FQ","BEST_FPERIOD_OVERRIDE=FQ","FILING_STATUS=OR","EQY_CONSOLIDATED=Y","Sort=A","Dates=H","DateFormat=P","Fill=—","Direction=H","UseDPDF=Y")</f>
        <v>#NAME?</v>
      </c>
      <c r="BL612" s="1" t="e">
        <f ca="1">_xll.BDH($C$603,"ACCOUNTS_RECEIVABLE_SEQ_GROWTH","FQ4 2015","FQ4 2015","Currency=INR","Period=FQ","BEST_FPERIOD_OVERRIDE=FQ","FILING_STATUS=OR","EQY_CONSOLIDATED=Y","Sort=A","Dates=H","DateFormat=P","Fill=—","Direction=H","UseDPDF=Y")</f>
        <v>#NAME?</v>
      </c>
      <c r="BM612" s="1" t="e">
        <f ca="1">_xll.BDH($C$603,"INVENTORY_SEQUENTIAL_GROWTH","FQ4 2015","FQ4 2015","Currency=INR","Period=FQ","BEST_FPERIOD_OVERRIDE=FQ","FILING_STATUS=OR","EQY_CONSOLIDATED=Y","Sort=A","Dates=H","DateFormat=P","Fill=—","Direction=H","UseDPDF=Y")</f>
        <v>#NAME?</v>
      </c>
      <c r="BN612" s="1" t="e">
        <f ca="1">_xll.BDH($C$603,"FIXED_ASSETS_SEQUENTIAL_GROWTH","FQ4 2015","FQ4 2015","Currency=INR","Period=FQ","BEST_FPERIOD_OVERRIDE=FQ","FILING_STATUS=OR","EQY_CONSOLIDATED=Y","Sort=A","Dates=H","DateFormat=P","Fill=—","Direction=H","UseDPDF=Y")</f>
        <v>#NAME?</v>
      </c>
      <c r="BO612" s="1" t="e">
        <f ca="1">_xll.BDH($C$603,"TOTAL_ASSETS_SEQUENTIAL_GROWTH","FQ4 2015","FQ4 2015","Currency=INR","Period=FQ","BEST_FPERIOD_OVERRIDE=FQ","FILING_STATUS=OR","EQY_CONSOLIDATED=Y","Sort=A","Dates=H","DateFormat=P","Fill=—","Direction=H","UseDPDF=Y")</f>
        <v>#NAME?</v>
      </c>
      <c r="BP612" s="1" t="e">
        <f ca="1">_xll.BDH($C$603,"MODIFIED_WORKING_CPTL_SEQ_GRWTH","FQ4 2015","FQ4 2015","Currency=INR","Period=FQ","BEST_FPERIOD_OVERRIDE=FQ","FILING_STATUS=OR","EQY_CONSOLIDATED=Y","Sort=A","Dates=H","DateFormat=P","Fill=—","Direction=H","UseDPDF=Y")</f>
        <v>#NAME?</v>
      </c>
      <c r="BQ612" s="1" t="e">
        <f ca="1">_xll.BDH($C$603,"WORKING_CAPITAL_SEQ_GROWTH","FQ4 2015","FQ4 2015","Currency=INR","Period=FQ","BEST_FPERIOD_OVERRIDE=FQ","FILING_STATUS=OR","EQY_CONSOLIDATED=Y","Sort=A","Dates=H","DateFormat=P","Fill=—","Direction=H","UseDPDF=Y")</f>
        <v>#NAME?</v>
      </c>
      <c r="BR612" s="1" t="e">
        <f ca="1">_xll.BDH($C$603,"ACCOUNTS_PAYABLE_SEQ_GROWTH","FQ4 2015","FQ4 2015","Currency=INR","Period=FQ","BEST_FPERIOD_OVERRIDE=FQ","FILING_STATUS=OR","EQY_CONSOLIDATED=Y","Sort=A","Dates=H","DateFormat=P","Fill=—","Direction=H","UseDPDF=Y")</f>
        <v>#NAME?</v>
      </c>
      <c r="BS612" s="1" t="e">
        <f ca="1">_xll.BDH($C$603,"ST_DEBT_SEQUENTIAL_GROWTH","FQ4 2015","FQ4 2015","Currency=INR","Period=FQ","BEST_FPERIOD_OVERRIDE=FQ","FILING_STATUS=OR","EQY_CONSOLIDATED=Y","Sort=A","Dates=H","DateFormat=P","Fill=—","Direction=H","UseDPDF=Y")</f>
        <v>#NAME?</v>
      </c>
      <c r="BT612" s="1" t="e">
        <f ca="1">_xll.BDH($C$603,"TOTAL_DEBT_SEQUENTIAL_GROWTH","FQ4 2015","FQ4 2015","Currency=INR","Period=FQ","BEST_FPERIOD_OVERRIDE=FQ","FILING_STATUS=OR","EQY_CONSOLIDATED=Y","Sort=A","Dates=H","DateFormat=P","Fill=—","Direction=H","UseDPDF=Y")</f>
        <v>#NAME?</v>
      </c>
      <c r="BU612" s="1" t="e">
        <f ca="1">_xll.BDH($C$603,"TOTAL_EQUITY_SEQUENTIAL_GROWTH","FQ4 2015","FQ4 2015","Currency=INR","Period=FQ","BEST_FPERIOD_OVERRIDE=FQ","FILING_STATUS=OR","EQY_CONSOLIDATED=Y","Sort=A","Dates=H","DateFormat=P","Fill=—","Direction=H","UseDPDF=Y")</f>
        <v>#NAME?</v>
      </c>
      <c r="BV612" s="1" t="e">
        <f ca="1">_xll.BDH($C$603,"TOTAL_CAPITAL_SEQUENTIAL_GROWTH","FQ4 2015","FQ4 2015","Currency=INR","Period=FQ","BEST_FPERIOD_OVERRIDE=FQ","FILING_STATUS=OR","EQY_CONSOLIDATED=Y","Sort=A","Dates=H","DateFormat=P","Fill=—","Direction=H","UseDPDF=Y")</f>
        <v>#NAME?</v>
      </c>
      <c r="BW612" s="1" t="e">
        <f ca="1">_xll.BDH($C$603,"BPS_SEQUENTIAL_GROWTH","FQ4 2015","FQ4 2015","Currency=INR","Period=FQ","BEST_FPERIOD_OVERRIDE=FQ","FILING_STATUS=OR","EQY_CONSOLIDATED=Y","Sort=A","Dates=H","DateFormat=P","Fill=—","Direction=H","UseDPDF=Y")</f>
        <v>#NAME?</v>
      </c>
      <c r="BX612" s="1" t="e">
        <f ca="1">_xll.BDH($C$603,"CFO_SEQUENTIAL_GROWTH","FQ4 2015","FQ4 2015","Currency=INR","Period=FQ","BEST_FPERIOD_OVERRIDE=FQ","FILING_STATUS=OR","EQY_CONSOLIDATED=Y","Sort=A","Dates=H","DateFormat=P","Fill=—","Direction=H","UseDPDF=Y")</f>
        <v>#NAME?</v>
      </c>
      <c r="BY612" s="2" t="e">
        <f ca="1">_xll.BDH($C$603,"SHORT_AND_LONG_TERM_DEBT","FQ4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612" s="2" t="e">
        <f ca="1">_xll.BDH($C$603,"BS_ST_BORROW","FQ4 2015","FQ4 2015","Currency=INR","Period=FQ","BEST_FPERIOD_OVERRIDE=FQ","FILING_STATUS=OR","EQY_CONSOLIDATED=Y","SCALING_FORMAT=MLN","Sort=A","Dates=H","DateFormat=P","Fill=—","Direction=H","UseDPDF=Y")</f>
        <v>#NAME?</v>
      </c>
      <c r="CA612" s="2" t="e">
        <f ca="1">_xll.BDH($C$603,"BS_LT_BORROW","FQ4 2015","FQ4 2015","Currency=INR","Period=FQ","BEST_FPERIOD_OVERRIDE=FQ","FILING_STATUS=OR","EQY_CONSOLIDATED=Y","SCALING_FORMAT=MLN","Sort=A","Dates=H","DateFormat=P","Fill=—","Direction=H","UseDPDF=Y")</f>
        <v>#NAME?</v>
      </c>
      <c r="CB612" s="1" t="e">
        <f ca="1">_xll.BDH($C$603,"TOT_DEBT_TO_EBITDA","FQ4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612" s="1" t="e">
        <f ca="1">_xll.BDH($C$603,"NET_DEBT_TO_EBITDA","FQ4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612" s="1" t="e">
        <f ca="1">_xll.BDH($C$603,"TOTAL_DEBT_TO_EBIT","FQ4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612" s="1" t="e">
        <f ca="1">_xll.BDH($C$603,"NET_DEBT_TO_EBIT","FQ4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612" s="1" t="e">
        <f ca="1">_xll.BDH($C$603,"EBITDA_TO_INTEREST_EXPN","FQ4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612" s="1" t="e">
        <f ca="1">_xll.BDH($C$603,"COM_EQY_TO_TOT_ASSET","FQ4 2015","FQ4 2015","Currency=INR","Period=FQ","BEST_FPERIOD_OVERRIDE=FQ","FILING_STATUS=OR","EQY_CONSOLIDATED=Y","Sort=A","Dates=H","DateFormat=P","Fill=—","Direction=H","UseDPDF=Y")</f>
        <v>#NAME?</v>
      </c>
      <c r="CH612" s="1" t="e">
        <f ca="1">_xll.BDH($C$603,"LT_DEBT_TO_TOT_EQY","FQ4 2015","FQ4 2015","Currency=INR","Period=FQ","BEST_FPERIOD_OVERRIDE=FQ","FILING_STATUS=OR","EQY_CONSOLIDATED=Y","Sort=A","Dates=H","DateFormat=P","Fill=—","Direction=H","UseDPDF=Y")</f>
        <v>#NAME?</v>
      </c>
      <c r="CI612" s="1" t="e">
        <f ca="1">_xll.BDH($C$603,"LT_DEBT_TO_TOT_CAP","FQ4 2015","FQ4 2015","Currency=INR","Period=FQ","BEST_FPERIOD_OVERRIDE=FQ","FILING_STATUS=OR","EQY_CONSOLIDATED=Y","Sort=A","Dates=H","DateFormat=P","Fill=—","Direction=H","UseDPDF=Y")</f>
        <v>#NAME?</v>
      </c>
      <c r="CJ612" s="1" t="e">
        <f ca="1">_xll.BDH($C$603,"LT_DEBT_TO_TOT_ASSET","FQ4 2015","FQ4 2015","Currency=INR","Period=FQ","BEST_FPERIOD_OVERRIDE=FQ","FILING_STATUS=OR","EQY_CONSOLIDATED=Y","Sort=A","Dates=H","DateFormat=P","Fill=—","Direction=H","UseDPDF=Y")</f>
        <v>#NAME?</v>
      </c>
      <c r="CK612" s="1" t="e">
        <f ca="1">_xll.BDH($C$603,"TOT_DEBT_TO_TOT_EQY","FQ4 2015","FQ4 2015","Currency=INR","Period=FQ","BEST_FPERIOD_OVERRIDE=FQ","FILING_STATUS=OR","EQY_CONSOLIDATED=Y","Sort=A","Dates=H","DateFormat=P","Fill=—","Direction=H","UseDPDF=Y")</f>
        <v>#NAME?</v>
      </c>
      <c r="CL612" s="1" t="e">
        <f ca="1">_xll.BDH($C$603,"TOT_DEBT_TO_TOT_CAP","FQ4 2015","FQ4 2015","Currency=INR","Period=FQ","BEST_FPERIOD_OVERRIDE=FQ","FILING_STATUS=OR","EQY_CONSOLIDATED=Y","Sort=A","Dates=H","DateFormat=P","Fill=—","Direction=H","UseDPDF=Y")</f>
        <v>#NAME?</v>
      </c>
      <c r="CM612" s="1" t="e">
        <f ca="1">_xll.BDH($C$603,"TOT_DEBT_TO_TOT_ASSET","FQ4 2015","FQ4 2015","Currency=INR","Period=FQ","BEST_FPERIOD_OVERRIDE=FQ","FILING_STATUS=OR","EQY_CONSOLIDATED=Y","Sort=A","Dates=H","DateFormat=P","Fill=—","Direction=H","UseDPDF=Y")</f>
        <v>#NAME?</v>
      </c>
      <c r="CN612" s="1" t="e">
        <f ca="1">_xll.BDH($C$603,"NET_DEBT_TO_SHRHLDR_EQTY","FQ4 2015","FQ4 2015","Currency=INR","Period=FQ","BEST_FPERIOD_OVERRIDE=FQ","FILING_STATUS=OR","EQY_CONSOLIDATED=Y","Sort=A","Dates=H","DateFormat=P","Fill=—","Direction=H","UseDPDF=Y")</f>
        <v>#NAME?</v>
      </c>
      <c r="CO612" s="1" t="e">
        <f ca="1">_xll.BDH($C$603,"NET_DEBT_%_CAPITAL","FQ4 2015","FQ4 2015","Currency=INR","Period=FQ","BEST_FPERIOD_OVERRIDE=FQ","FILING_STATUS=OR","EQY_CONSOLIDATED=Y","Sort=A","Dates=H","DateFormat=P","Fill=—","Direction=H","UseDPDF=Y")</f>
        <v>#NAME?</v>
      </c>
      <c r="CP612" s="2" t="e">
        <f ca="1">_xll.BDH($C$603,"EBITDA","FQ4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612" s="2" t="e">
        <f ca="1">_xll.BDH($C$603,"EBITDA_AFTER_CAPEX","FQ4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612" s="2" t="e">
        <f ca="1">_xll.BDH($C$603,"IS_OPER_INC","FQ4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612" s="1" t="e">
        <f ca="1">_xll.BDH($C$603,"CASH_RATIO","FQ4 2015","FQ4 2015","Currency=INR","Period=FQ","BEST_FPERIOD_OVERRIDE=FQ","FILING_STATUS=OR","EQY_CONSOLIDATED=Y","Sort=A","Dates=H","DateFormat=P","Fill=—","Direction=H","UseDPDF=Y")</f>
        <v>#NAME?</v>
      </c>
      <c r="CT612" s="1" t="e">
        <f ca="1">_xll.BDH($C$603,"CUR_RATIO","FQ4 2015","FQ4 2015","Currency=INR","Period=FQ","BEST_FPERIOD_OVERRIDE=FQ","FILING_STATUS=OR","EQY_CONSOLIDATED=Y","Sort=A","Dates=H","DateFormat=P","Fill=—","Direction=H","UseDPDF=Y")</f>
        <v>#NAME?</v>
      </c>
      <c r="CU612" s="1" t="e">
        <f ca="1">_xll.BDH($C$603,"QUICK_RATIO","FQ4 2015","FQ4 2015","Currency=INR","Period=FQ","BEST_FPERIOD_OVERRIDE=FQ","FILING_STATUS=OR","EQY_CONSOLIDATED=Y","Sort=A","Dates=H","DateFormat=P","Fill=—","Direction=H","UseDPDF=Y")</f>
        <v>#NAME?</v>
      </c>
      <c r="CV612" s="1" t="e">
        <f ca="1">_xll.BDH($C$603,"ALTMAN_Z_SCORE","FQ4 2015","FQ4 2015","Currency=INR","Period=FQ","BEST_FPERIOD_OVERRIDE=FQ","FILING_STATUS=OR","EQY_CONSOLIDATED=Y","Sort=A","Dates=H","DateFormat=P","Fill=—","Direction=H","UseDPDF=Y")</f>
        <v>#NAME?</v>
      </c>
      <c r="CW612" s="3" t="e">
        <f ca="1">_xll.BDH($C$603,"ACCT_RCV_TURN","FQ4 2015","FQ4 2015","Currency=INR","Period=FQ","BEST_FPERIOD_OVERRIDE=FQ","FILING_STATUS=OR","EQY_CONSOLIDATED=Y","FA_ADJUSTED=GAAP","Sort=A","Dates=H","DateFormat=P","Fill=—","Direction=H","UseDPDF=Y")</f>
        <v>#NAME?</v>
      </c>
      <c r="CX612" s="1" t="e">
        <f ca="1">_xll.BDH($C$603,"ACCT_RCV_DAYS","FQ4 2015","FQ4 2015","Currency=INR","Period=FQ","BEST_FPERIOD_OVERRIDE=FQ","FILING_STATUS=OR","EQY_CONSOLIDATED=Y","FA_ADJUSTED=GAAP","Sort=A","Dates=H","DateFormat=P","Fill=—","Direction=H","UseDPDF=Y")</f>
        <v>#NAME?</v>
      </c>
      <c r="CY612" s="3" t="e">
        <f ca="1">_xll.BDH($C$603,"INVENT_TURN","FQ4 2015","FQ4 2015","Currency=INR","Period=FQ","BEST_FPERIOD_OVERRIDE=FQ","FILING_STATUS=OR","EQY_CONSOLIDATED=Y","FA_ADJUSTED=GAAP","Sort=A","Dates=H","DateFormat=P","Fill=—","Direction=H","UseDPDF=Y")</f>
        <v>#NAME?</v>
      </c>
      <c r="CZ612" s="1" t="e">
        <f ca="1">_xll.BDH($C$603,"INVENT_DAYS","FQ4 2015","FQ4 2015","Currency=INR","Period=FQ","BEST_FPERIOD_OVERRIDE=FQ","FILING_STATUS=OR","EQY_CONSOLIDATED=Y","FA_ADJUSTED=GAAP","Sort=A","Dates=H","DateFormat=P","Fill=—","Direction=H","UseDPDF=Y")</f>
        <v>#NAME?</v>
      </c>
      <c r="DA612" s="3" t="e">
        <f ca="1">_xll.BDH($C$603,"ACCOUNTS_PAYABLE_TURNOVER","FQ4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612" s="1" t="e">
        <f ca="1">_xll.BDH($C$603,"ACCOUNTS_PAYABLE_TURNOVER_DAYS","FQ4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612" s="3" t="e">
        <f ca="1">_xll.BDH($C$603,"CASH_CONVERSION_CYCLE","FQ4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612" s="3" t="e">
        <f ca="1">_xll.BDH($C$603,"INV_TO_CASH_DAYS","FQ4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612" s="4" t="e">
        <f ca="1">_xll.BDH($C$603,"BS_INVENTORIES","FQ4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612" s="2" t="e">
        <f ca="1">_xll.BDH($C$603,"INVTRY_RAW_MATERIALS","FQ4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612" s="2" t="e">
        <f ca="1">_xll.BDH($C$603,"INVTRY_IN_PROGRESS","FQ4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612" s="2" t="e">
        <f ca="1">_xll.BDH($C$603,"INVTRY_FINISHED_GOODS","FQ4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612" s="2" t="e">
        <f ca="1">_xll.BDH($C$603,"BS_OTHER_INV","FQ4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613" spans="1:113" x14ac:dyDescent="0.3">
      <c r="A613" s="6"/>
      <c r="B613" s="6"/>
      <c r="C613" s="6"/>
      <c r="D613" s="6" t="s">
        <v>9</v>
      </c>
      <c r="E613" t="s">
        <v>3</v>
      </c>
      <c r="F613" t="e">
        <f ca="1">_xll.BDH($C$603,"RETURN_COM_EQY","FY 2016","FY 2016","Currency=INR","Period=FY","BEST_FPERIOD_OVERRIDE=FY","FILING_STATUS=OR","EQY_CONSOLIDATED=Y","FA_ADJUSTED=GAAP","Sort=A","Dates=H","DateFormat=P","Fill=—","Direction=H","UseDPDF=Y")</f>
        <v>#NAME?</v>
      </c>
      <c r="G613" t="e">
        <f ca="1">_xll.BDH($C$603,"RETURN_ON_ASSET","FY 2016","FY 2016","Currency=INR","Period=FY","BEST_FPERIOD_OVERRIDE=FY","FILING_STATUS=OR","EQY_CONSOLIDATED=Y","FA_ADJUSTED=GAAP","Sort=A","Dates=H","DateFormat=P","Fill=—","Direction=H","UseDPDF=Y")</f>
        <v>#NAME?</v>
      </c>
      <c r="H613" t="e">
        <f ca="1">_xll.BDH($C$603,"RETURN_ON_CAP","FY 2016","FY 2016","Currency=INR","Period=FY","BEST_FPERIOD_OVERRIDE=FY","FILING_STATUS=OR","EQY_CONSOLIDATED=Y","FA_ADJUSTED=GAAP","Sort=A","Dates=H","DateFormat=P","Fill=—","Direction=H","UseDPDF=Y")</f>
        <v>#NAME?</v>
      </c>
      <c r="I613" t="e">
        <f ca="1">_xll.BDH($C$603,"RETURN_ON_INV_CAPITAL","FY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613" t="e">
        <f ca="1">_xll.BDH($C$603,"EBITDA_TO_REVENUE","FY 2016","FY 2016","Currency=INR","Period=FY","BEST_FPERIOD_OVERRIDE=FY","FILING_STATUS=OR","EQY_CONSOLIDATED=Y","FA_ADJUSTED=GAAP","Sort=A","Dates=H","DateFormat=P","Fill=—","Direction=H","UseDPDF=Y")</f>
        <v>#NAME?</v>
      </c>
      <c r="K613" t="e">
        <f ca="1">_xll.BDH($C$603,"OPER_MARGIN","FY 2016","FY 2016","Currency=INR","Period=FY","BEST_FPERIOD_OVERRIDE=FY","FILING_STATUS=OR","EQY_CONSOLIDATED=Y","FA_ADJUSTED=GAAP","Sort=A","Dates=H","DateFormat=P","Fill=—","Direction=H","UseDPDF=Y")</f>
        <v>#NAME?</v>
      </c>
      <c r="L613" t="e">
        <f ca="1">_xll.BDH($C$603,"INCREMENTAL_OPERATING_MARGIN","FY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613" t="e">
        <f ca="1">_xll.BDH($C$603,"PRETAX_INC_TO_NET_SALES","FY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613" t="e">
        <f ca="1">_xll.BDH($C$603,"INC_BEF_XO_ITEMS_TO_NET_SALES","FY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613" t="e">
        <f ca="1">_xll.BDH($C$603,"PROF_MARGIN","FY 2016","FY 2016","Currency=INR","Period=FY","BEST_FPERIOD_OVERRIDE=FY","FILING_STATUS=OR","EQY_CONSOLIDATED=Y","FA_ADJUSTED=GAAP","Sort=A","Dates=H","DateFormat=P","Fill=—","Direction=H","UseDPDF=Y")</f>
        <v>#NAME?</v>
      </c>
      <c r="P613" t="e">
        <f ca="1">_xll.BDH($C$603,"NET_INCOME_TO_COMMON_MARGIN","FY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613" t="e">
        <f ca="1">_xll.BDH($C$603,"EFF_TAX_RATE","FY 2016","FY 2016","Currency=INR","Period=FY","BEST_FPERIOD_OVERRIDE=FY","FILING_STATUS=OR","EQY_CONSOLIDATED=Y","FA_ADJUSTED=GAAP","Sort=A","Dates=H","DateFormat=P","Fill=—","Direction=H","UseDPDF=Y")</f>
        <v>#NAME?</v>
      </c>
      <c r="R613" t="e">
        <f ca="1">_xll.BDH($C$603,"DVD_PAYOUT_RATIO","FY 2016","FY 2016","Currency=INR","Period=FY","BEST_FPERIOD_OVERRIDE=FY","FILING_STATUS=OR","EQY_CONSOLIDATED=Y","FA_ADJUSTED=GAAP","Sort=A","Dates=H","DateFormat=P","Fill=—","Direction=H","UseDPDF=Y")</f>
        <v>#NAME?</v>
      </c>
      <c r="S613" t="e">
        <f ca="1">_xll.BDH($C$603,"SUSTAIN_GROWTH_RT","FY 2016","FY 2016","Currency=INR","Period=FY","BEST_FPERIOD_OVERRIDE=FY","FILING_STATUS=OR","EQY_CONSOLIDATED=Y","FA_ADJUSTED=GAAP","Sort=A","Dates=H","DateFormat=P","Fill=—","Direction=H","UseDPDF=Y")</f>
        <v>#NAME?</v>
      </c>
      <c r="T613" s="1" t="e">
        <f ca="1">_xll.BDH($C$603,"SALES_GROWTH","FY 2016","FY 2016","Currency=INR","Period=FY","BEST_FPERIOD_OVERRIDE=FY","FILING_STATUS=OR","EQY_CONSOLIDATED=Y","FA_ADJUSTED=GAAP","Sort=A","Dates=H","DateFormat=P","Fill=—","Direction=H","UseDPDF=Y")</f>
        <v>#NAME?</v>
      </c>
      <c r="U613" s="1" t="e">
        <f ca="1">_xll.BDH($C$603,"EBITDA_GROWTH","FY 2016","FY 2016","Currency=INR","Period=FY","BEST_FPERIOD_OVERRIDE=FY","FILING_STATUS=OR","EQY_CONSOLIDATED=Y","FA_ADJUSTED=GAAP","Sort=A","Dates=H","DateFormat=P","Fill=—","Direction=H","UseDPDF=Y")</f>
        <v>#NAME?</v>
      </c>
      <c r="V613" s="1" t="e">
        <f ca="1">_xll.BDH($C$603,"OPER_INC_GROWTH","FY 2016","FY 2016","Currency=INR","Period=FY","BEST_FPERIOD_OVERRIDE=FY","FILING_STATUS=OR","EQY_CONSOLIDATED=Y","FA_ADJUSTED=GAAP","Sort=A","Dates=H","DateFormat=P","Fill=—","Direction=H","UseDPDF=Y")</f>
        <v>#NAME?</v>
      </c>
      <c r="W613" s="1" t="e">
        <f ca="1">_xll.BDH($C$603,"EARN_FOR_COM_GROWTH","FY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613" s="1" t="e">
        <f ca="1">_xll.BDH($C$603,"DILUTED_EPS_AFT_XO_ITEMS_GROWTH","FY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613" s="1" t="e">
        <f ca="1">_xll.BDH($C$603,"DIVIDEND_PER_SHARE_1_YEAR_GROWTH","FY 2016","FY 2016","Currency=INR","Period=FY","BEST_FPERIOD_OVERRIDE=FY","FILING_STATUS=OR","EQY_CONSOLIDATED=Y","Sort=A","Dates=H","DateFormat=P","Fill=—","Direction=H","UseDPDF=Y")</f>
        <v>#NAME?</v>
      </c>
      <c r="Z613" s="1" t="e">
        <f ca="1">_xll.BDH($C$603,"ACCOUNTS_RECEIVABLE_GROWTH","FY 2016","FY 2016","Currency=INR","Period=FY","BEST_FPERIOD_OVERRIDE=FY","FILING_STATUS=OR","EQY_CONSOLIDATED=Y","Sort=A","Dates=H","DateFormat=P","Fill=—","Direction=H","UseDPDF=Y")</f>
        <v>#NAME?</v>
      </c>
      <c r="AA613" s="1" t="e">
        <f ca="1">_xll.BDH($C$603,"INVENTORY_GROWTH","FY 2016","FY 2016","Currency=INR","Period=FY","BEST_FPERIOD_OVERRIDE=FY","FILING_STATUS=OR","EQY_CONSOLIDATED=Y","Sort=A","Dates=H","DateFormat=P","Fill=—","Direction=H","UseDPDF=Y")</f>
        <v>#NAME?</v>
      </c>
      <c r="AB613" s="1" t="e">
        <f ca="1">_xll.BDH($C$603,"NET_FIXED_ASSETS_1_YEAR_GROWTH","FY 2016","FY 2016","Currency=INR","Period=FY","BEST_FPERIOD_OVERRIDE=FY","FILING_STATUS=OR","EQY_CONSOLIDATED=Y","Sort=A","Dates=H","DateFormat=P","Fill=—","Direction=H","UseDPDF=Y")</f>
        <v>#NAME?</v>
      </c>
      <c r="AC613" s="1" t="e">
        <f ca="1">_xll.BDH($C$603,"ASSET_GROWTH","FY 2016","FY 2016","Currency=INR","Period=FY","BEST_FPERIOD_OVERRIDE=FY","FILING_STATUS=OR","EQY_CONSOLIDATED=Y","Sort=A","Dates=H","DateFormat=P","Fill=—","Direction=H","UseDPDF=Y")</f>
        <v>#NAME?</v>
      </c>
      <c r="AD613" s="1" t="e">
        <f ca="1">_xll.BDH($C$603,"MODIFIED_WORK_CAP_GROWTH","FY 2016","FY 2016","Currency=INR","Period=FY","BEST_FPERIOD_OVERRIDE=FY","FILING_STATUS=OR","EQY_CONSOLIDATED=Y","Sort=A","Dates=H","DateFormat=P","Fill=—","Direction=H","UseDPDF=Y")</f>
        <v>#NAME?</v>
      </c>
      <c r="AE613" s="1" t="e">
        <f ca="1">_xll.BDH($C$603,"WORK_CAP_GROWTH","FY 2016","FY 2016","Currency=INR","Period=FY","BEST_FPERIOD_OVERRIDE=FY","FILING_STATUS=OR","EQY_CONSOLIDATED=Y","Sort=A","Dates=H","DateFormat=P","Fill=—","Direction=H","UseDPDF=Y")</f>
        <v>#NAME?</v>
      </c>
      <c r="AF613" s="1" t="e">
        <f ca="1">_xll.BDH($C$603,"ACCOUNTS_PAYABLE_GROWTH_1YR","FY 2016","FY 2016","Currency=INR","Period=FY","BEST_FPERIOD_OVERRIDE=FY","FILING_STATUS=OR","EQY_CONSOLIDATED=Y","Sort=A","Dates=H","DateFormat=P","Fill=—","Direction=H","UseDPDF=Y")</f>
        <v>#NAME?</v>
      </c>
      <c r="AG613" s="1" t="e">
        <f ca="1">_xll.BDH($C$603,"SHORT_TERM_DEBT_1_YEAR_GROWTH","FY 2016","FY 2016","Currency=INR","Period=FY","BEST_FPERIOD_OVERRIDE=FY","FILING_STATUS=OR","EQY_CONSOLIDATED=Y","Sort=A","Dates=H","DateFormat=P","Fill=—","Direction=H","UseDPDF=Y")</f>
        <v>#NAME?</v>
      </c>
      <c r="AH613" s="1" t="e">
        <f ca="1">_xll.BDH($C$603,"TOTAL_DEBT_1_YEAR_GROWTH","FY 2016","FY 2016","Currency=INR","Period=FY","BEST_FPERIOD_OVERRIDE=FY","FILING_STATUS=OR","EQY_CONSOLIDATED=Y","Sort=A","Dates=H","DateFormat=P","Fill=—","Direction=H","UseDPDF=Y")</f>
        <v>#NAME?</v>
      </c>
      <c r="AI613" s="1" t="e">
        <f ca="1">_xll.BDH($C$603,"TOTAL_EQUITY_1_YEAR_GROWTH","FY 2016","FY 2016","Currency=INR","Period=FY","BEST_FPERIOD_OVERRIDE=FY","FILING_STATUS=OR","EQY_CONSOLIDATED=Y","Sort=A","Dates=H","DateFormat=P","Fill=—","Direction=H","UseDPDF=Y")</f>
        <v>#NAME?</v>
      </c>
      <c r="AJ613" s="1" t="e">
        <f ca="1">_xll.BDH($C$603,"GROWTH_IN_CAP","FY 2016","FY 2016","Currency=INR","Period=FY","BEST_FPERIOD_OVERRIDE=FY","FILING_STATUS=OR","EQY_CONSOLIDATED=Y","Sort=A","Dates=H","DateFormat=P","Fill=—","Direction=H","UseDPDF=Y")</f>
        <v>#NAME?</v>
      </c>
      <c r="AK613" s="1" t="e">
        <f ca="1">_xll.BDH($C$603,"BVPS_GROWTH","FY 2016","FY 2016","Currency=INR","Period=FY","BEST_FPERIOD_OVERRIDE=FY","FILING_STATUS=OR","EQY_CONSOLIDATED=Y","Sort=A","Dates=H","DateFormat=P","Fill=—","Direction=H","UseDPDF=Y")</f>
        <v>#NAME?</v>
      </c>
      <c r="AL613" s="1" t="e">
        <f ca="1">_xll.BDH($C$603,"CASH_FLOW_GROWTH","FY 2016","FY 2016","Currency=INR","Period=FY","BEST_FPERIOD_OVERRIDE=FY","FILING_STATUS=OR","EQY_CONSOLIDATED=Y","Sort=A","Dates=H","DateFormat=P","Fill=—","Direction=H","UseDPDF=Y")</f>
        <v>#NAME?</v>
      </c>
      <c r="AM613" s="1" t="e">
        <f ca="1">_xll.BDH($C$603,"GEO_GROW_NET_SALES","FY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613" s="1" t="e">
        <f ca="1">_xll.BDH($C$603,"GEO_GROW_EBITDA","FY 2016","FY 2016","Currency=INR","Period=FY","BEST_FPERIOD_OVERRIDE=FY","FILING_STATUS=OR","EQY_CONSOLIDATED=Y","FA_ADJUSTED=GAAP","Sort=A","Dates=H","DateFormat=P","Fill=—","Direction=H","UseDPDF=Y")</f>
        <v>#NAME?</v>
      </c>
      <c r="AO613" s="1" t="e">
        <f ca="1">_xll.BDH($C$603,"GEO_GROW_OPER_INC","FY 2016","FY 2016","Currency=INR","Period=FY","BEST_FPERIOD_OVERRIDE=FY","FILING_STATUS=OR","EQY_CONSOLIDATED=Y","FA_ADJUSTED=GAAP","Sort=A","Dates=H","DateFormat=P","Fill=—","Direction=H","UseDPDF=Y")</f>
        <v>#NAME?</v>
      </c>
      <c r="AP613" s="1" t="e">
        <f ca="1">_xll.BDH($C$603,"NET_INCOME_TO_COMMON_5_YR_GROWTH","FY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613" s="1" t="e">
        <f ca="1">_xll.BDH($C$603,"5Y_GEO_GROWTH_DILUTED_EPS","FY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613" s="1" t="e">
        <f ca="1">_xll.BDH($C$603,"GEO_GROW_DVD_PER_SH","FY 2016","FY 2016","Currency=INR","Period=FY","BEST_FPERIOD_OVERRIDE=FY","FILING_STATUS=OR","EQY_CONSOLIDATED=Y","Sort=A","Dates=H","DateFormat=P","Fill=—","Direction=H","UseDPDF=Y")</f>
        <v>#NAME?</v>
      </c>
      <c r="AS613" s="1" t="e">
        <f ca="1">_xll.BDH($C$603,"ACCOUNTS_RECEIVABLE_5_YR_GROWTH","FY 2016","FY 2016","Currency=INR","Period=FY","BEST_FPERIOD_OVERRIDE=FY","FILING_STATUS=OR","EQY_CONSOLIDATED=Y","Sort=A","Dates=H","DateFormat=P","Fill=—","Direction=H","UseDPDF=Y")</f>
        <v>#NAME?</v>
      </c>
      <c r="AT613" s="1" t="e">
        <f ca="1">_xll.BDH($C$603,"INVENTORY_5_YEAR_GROWTH","FY 2016","FY 2016","Currency=INR","Period=FY","BEST_FPERIOD_OVERRIDE=FY","FILING_STATUS=OR","EQY_CONSOLIDATED=Y","Sort=A","Dates=H","DateFormat=P","Fill=—","Direction=H","UseDPDF=Y")</f>
        <v>#NAME?</v>
      </c>
      <c r="AU613" s="1" t="e">
        <f ca="1">_xll.BDH($C$603,"NET_FIXED_ASSETS_5_YEAR_GROWTH","FY 2016","FY 2016","Currency=INR","Period=FY","BEST_FPERIOD_OVERRIDE=FY","FILING_STATUS=OR","EQY_CONSOLIDATED=Y","Sort=A","Dates=H","DateFormat=P","Fill=—","Direction=H","UseDPDF=Y")</f>
        <v>#NAME?</v>
      </c>
      <c r="AV613" s="1" t="e">
        <f ca="1">_xll.BDH($C$603,"GEO_GROW_TOT_ASSET","FY 2016","FY 2016","Currency=INR","Period=FY","BEST_FPERIOD_OVERRIDE=FY","FILING_STATUS=OR","EQY_CONSOLIDATED=Y","Sort=A","Dates=H","DateFormat=P","Fill=—","Direction=H","UseDPDF=Y")</f>
        <v>#NAME?</v>
      </c>
      <c r="AW613" s="1" t="e">
        <f ca="1">_xll.BDH($C$603,"MODIFIED_WORKING_CPTL_5YR_GRWTH","FY 2016","FY 2016","Currency=INR","Period=FY","BEST_FPERIOD_OVERRIDE=FY","FILING_STATUS=OR","EQY_CONSOLIDATED=Y","Sort=A","Dates=H","DateFormat=P","Fill=—","Direction=H","UseDPDF=Y")</f>
        <v>#NAME?</v>
      </c>
      <c r="AX613" s="1" t="e">
        <f ca="1">_xll.BDH($C$603,"WORKING_CAPITAL_5_YEAR_GROWTH","FY 2016","FY 2016","Currency=INR","Period=FY","BEST_FPERIOD_OVERRIDE=FY","FILING_STATUS=OR","EQY_CONSOLIDATED=Y","Sort=A","Dates=H","DateFormat=P","Fill=—","Direction=H","UseDPDF=Y")</f>
        <v>#NAME?</v>
      </c>
      <c r="AY613" s="1" t="e">
        <f ca="1">_xll.BDH($C$603,"ACCOUNTS_PAYABLE_5_YEAR_GROWTH","FY 2016","FY 2016","Currency=INR","Period=FY","BEST_FPERIOD_OVERRIDE=FY","FILING_STATUS=OR","EQY_CONSOLIDATED=Y","Sort=A","Dates=H","DateFormat=P","Fill=—","Direction=H","UseDPDF=Y")</f>
        <v>#NAME?</v>
      </c>
      <c r="AZ613" s="1" t="e">
        <f ca="1">_xll.BDH($C$603,"SHORT_TERM_DEBT_5_YEAR_GROWTH","FY 2016","FY 2016","Currency=INR","Period=FY","BEST_FPERIOD_OVERRIDE=FY","FILING_STATUS=OR","EQY_CONSOLIDATED=Y","Sort=A","Dates=H","DateFormat=P","Fill=—","Direction=H","UseDPDF=Y")</f>
        <v>#NAME?</v>
      </c>
      <c r="BA613" s="1" t="e">
        <f ca="1">_xll.BDH($C$603,"TOTAL_DEBT_5_YEAR_GROWTH","FY 2016","FY 2016","Currency=INR","Period=FY","BEST_FPERIOD_OVERRIDE=FY","FILING_STATUS=OR","EQY_CONSOLIDATED=Y","Sort=A","Dates=H","DateFormat=P","Fill=—","Direction=H","UseDPDF=Y")</f>
        <v>#NAME?</v>
      </c>
      <c r="BB613" s="1" t="e">
        <f ca="1">_xll.BDH($C$603,"GEO_GROW_TOT_SHRHLDR_EQY","FY 2016","FY 2016","Currency=INR","Period=FY","BEST_FPERIOD_OVERRIDE=FY","FILING_STATUS=OR","EQY_CONSOLIDATED=Y","Sort=A","Dates=H","DateFormat=P","Fill=—","Direction=H","UseDPDF=Y")</f>
        <v>#NAME?</v>
      </c>
      <c r="BC613" s="1" t="e">
        <f ca="1">_xll.BDH($C$603,"TOTAL_CAPITAL_5_YEAR_GROWTH","FY 2016","FY 2016","Currency=INR","Period=FY","BEST_FPERIOD_OVERRIDE=FY","FILING_STATUS=OR","EQY_CONSOLIDATED=Y","Sort=A","Dates=H","DateFormat=P","Fill=—","Direction=H","UseDPDF=Y")</f>
        <v>#NAME?</v>
      </c>
      <c r="BD613" s="1" t="e">
        <f ca="1">_xll.BDH($C$603,"GEO_GROW_BOOK_VAL","FY 2016","FY 2016","Currency=INR","Period=FY","BEST_FPERIOD_OVERRIDE=FY","FILING_STATUS=OR","EQY_CONSOLIDATED=Y","Sort=A","Dates=H","DateFormat=P","Fill=—","Direction=H","UseDPDF=Y")</f>
        <v>#NAME?</v>
      </c>
      <c r="BE613" s="1" t="e">
        <f ca="1">_xll.BDH($C$603,"GEO_GROW_CASH_OPER_ACT","FY 2016","FY 2016","Currency=INR","Period=FY","BEST_FPERIOD_OVERRIDE=FY","FILING_STATUS=OR","EQY_CONSOLIDATED=Y","Sort=A","Dates=H","DateFormat=P","Fill=—","Direction=H","UseDPDF=Y")</f>
        <v>#NAME?</v>
      </c>
      <c r="BF613" s="1" t="e">
        <f ca="1">_xll.BDH($C$603,"REVENUE_SEQUENTIAL_GROWTH","FY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613" s="1" t="e">
        <f ca="1">_xll.BDH($C$603,"EBITDA_SEQUENTIAL_GROWTH","FY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613" s="1" t="e">
        <f ca="1">_xll.BDH($C$603,"OPERATING_INCOME_SEQ_GROWTH","FY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613" s="1" t="e">
        <f ca="1">_xll.BDH($C$603,"NET_INCOME_TO_COMMON_SEQ_GROWTH","FY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613" s="1" t="e">
        <f ca="1">_xll.BDH($C$603,"EPS_DILUTED_SEQUENTIAL_GROWTH","FY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613" s="1" t="e">
        <f ca="1">_xll.BDH($C$603,"DPS_SEQUENTIAL_GROWTH","FY 2016","FY 2016","Currency=INR","Period=FY","BEST_FPERIOD_OVERRIDE=FY","FILING_STATUS=OR","EQY_CONSOLIDATED=Y","Sort=A","Dates=H","DateFormat=P","Fill=—","Direction=H","UseDPDF=Y")</f>
        <v>#NAME?</v>
      </c>
      <c r="BL613" s="1" t="e">
        <f ca="1">_xll.BDH($C$603,"ACCOUNTS_RECEIVABLE_SEQ_GROWTH","FY 2016","FY 2016","Currency=INR","Period=FY","BEST_FPERIOD_OVERRIDE=FY","FILING_STATUS=OR","EQY_CONSOLIDATED=Y","Sort=A","Dates=H","DateFormat=P","Fill=—","Direction=H","UseDPDF=Y")</f>
        <v>#NAME?</v>
      </c>
      <c r="BM613" s="1" t="e">
        <f ca="1">_xll.BDH($C$603,"INVENTORY_SEQUENTIAL_GROWTH","FY 2016","FY 2016","Currency=INR","Period=FY","BEST_FPERIOD_OVERRIDE=FY","FILING_STATUS=OR","EQY_CONSOLIDATED=Y","Sort=A","Dates=H","DateFormat=P","Fill=—","Direction=H","UseDPDF=Y")</f>
        <v>#NAME?</v>
      </c>
      <c r="BN613" s="1" t="e">
        <f ca="1">_xll.BDH($C$603,"FIXED_ASSETS_SEQUENTIAL_GROWTH","FY 2016","FY 2016","Currency=INR","Period=FY","BEST_FPERIOD_OVERRIDE=FY","FILING_STATUS=OR","EQY_CONSOLIDATED=Y","Sort=A","Dates=H","DateFormat=P","Fill=—","Direction=H","UseDPDF=Y")</f>
        <v>#NAME?</v>
      </c>
      <c r="BO613" s="1" t="e">
        <f ca="1">_xll.BDH($C$603,"TOTAL_ASSETS_SEQUENTIAL_GROWTH","FY 2016","FY 2016","Currency=INR","Period=FY","BEST_FPERIOD_OVERRIDE=FY","FILING_STATUS=OR","EQY_CONSOLIDATED=Y","Sort=A","Dates=H","DateFormat=P","Fill=—","Direction=H","UseDPDF=Y")</f>
        <v>#NAME?</v>
      </c>
      <c r="BP613" s="1" t="e">
        <f ca="1">_xll.BDH($C$603,"MODIFIED_WORKING_CPTL_SEQ_GRWTH","FY 2016","FY 2016","Currency=INR","Period=FY","BEST_FPERIOD_OVERRIDE=FY","FILING_STATUS=OR","EQY_CONSOLIDATED=Y","Sort=A","Dates=H","DateFormat=P","Fill=—","Direction=H","UseDPDF=Y")</f>
        <v>#NAME?</v>
      </c>
      <c r="BQ613" s="1" t="e">
        <f ca="1">_xll.BDH($C$603,"WORKING_CAPITAL_SEQ_GROWTH","FY 2016","FY 2016","Currency=INR","Period=FY","BEST_FPERIOD_OVERRIDE=FY","FILING_STATUS=OR","EQY_CONSOLIDATED=Y","Sort=A","Dates=H","DateFormat=P","Fill=—","Direction=H","UseDPDF=Y")</f>
        <v>#NAME?</v>
      </c>
      <c r="BR613" s="1" t="e">
        <f ca="1">_xll.BDH($C$603,"ACCOUNTS_PAYABLE_SEQ_GROWTH","FY 2016","FY 2016","Currency=INR","Period=FY","BEST_FPERIOD_OVERRIDE=FY","FILING_STATUS=OR","EQY_CONSOLIDATED=Y","Sort=A","Dates=H","DateFormat=P","Fill=—","Direction=H","UseDPDF=Y")</f>
        <v>#NAME?</v>
      </c>
      <c r="BS613" s="1" t="e">
        <f ca="1">_xll.BDH($C$603,"ST_DEBT_SEQUENTIAL_GROWTH","FY 2016","FY 2016","Currency=INR","Period=FY","BEST_FPERIOD_OVERRIDE=FY","FILING_STATUS=OR","EQY_CONSOLIDATED=Y","Sort=A","Dates=H","DateFormat=P","Fill=—","Direction=H","UseDPDF=Y")</f>
        <v>#NAME?</v>
      </c>
      <c r="BT613" s="1" t="e">
        <f ca="1">_xll.BDH($C$603,"TOTAL_DEBT_SEQUENTIAL_GROWTH","FY 2016","FY 2016","Currency=INR","Period=FY","BEST_FPERIOD_OVERRIDE=FY","FILING_STATUS=OR","EQY_CONSOLIDATED=Y","Sort=A","Dates=H","DateFormat=P","Fill=—","Direction=H","UseDPDF=Y")</f>
        <v>#NAME?</v>
      </c>
      <c r="BU613" s="1" t="e">
        <f ca="1">_xll.BDH($C$603,"TOTAL_EQUITY_SEQUENTIAL_GROWTH","FY 2016","FY 2016","Currency=INR","Period=FY","BEST_FPERIOD_OVERRIDE=FY","FILING_STATUS=OR","EQY_CONSOLIDATED=Y","Sort=A","Dates=H","DateFormat=P","Fill=—","Direction=H","UseDPDF=Y")</f>
        <v>#NAME?</v>
      </c>
      <c r="BV613" s="1" t="e">
        <f ca="1">_xll.BDH($C$603,"TOTAL_CAPITAL_SEQUENTIAL_GROWTH","FY 2016","FY 2016","Currency=INR","Period=FY","BEST_FPERIOD_OVERRIDE=FY","FILING_STATUS=OR","EQY_CONSOLIDATED=Y","Sort=A","Dates=H","DateFormat=P","Fill=—","Direction=H","UseDPDF=Y")</f>
        <v>#NAME?</v>
      </c>
      <c r="BW613" s="1" t="e">
        <f ca="1">_xll.BDH($C$603,"BPS_SEQUENTIAL_GROWTH","FY 2016","FY 2016","Currency=INR","Period=FY","BEST_FPERIOD_OVERRIDE=FY","FILING_STATUS=OR","EQY_CONSOLIDATED=Y","Sort=A","Dates=H","DateFormat=P","Fill=—","Direction=H","UseDPDF=Y")</f>
        <v>#NAME?</v>
      </c>
      <c r="BX613" s="1" t="e">
        <f ca="1">_xll.BDH($C$603,"CFO_SEQUENTIAL_GROWTH","FY 2016","FY 2016","Currency=INR","Period=FY","BEST_FPERIOD_OVERRIDE=FY","FILING_STATUS=OR","EQY_CONSOLIDATED=Y","Sort=A","Dates=H","DateFormat=P","Fill=—","Direction=H","UseDPDF=Y")</f>
        <v>#NAME?</v>
      </c>
      <c r="BY613" s="2" t="e">
        <f ca="1">_xll.BDH($C$603,"SHORT_AND_LONG_TERM_DEBT","FY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613" s="2" t="e">
        <f ca="1">_xll.BDH($C$603,"BS_ST_BORROW","FY 2016","FY 2016","Currency=INR","Period=FY","BEST_FPERIOD_OVERRIDE=FY","FILING_STATUS=OR","EQY_CONSOLIDATED=Y","SCALING_FORMAT=MLN","Sort=A","Dates=H","DateFormat=P","Fill=—","Direction=H","UseDPDF=Y")</f>
        <v>#NAME?</v>
      </c>
      <c r="CA613" s="2" t="e">
        <f ca="1">_xll.BDH($C$603,"BS_LT_BORROW","FY 2016","FY 2016","Currency=INR","Period=FY","BEST_FPERIOD_OVERRIDE=FY","FILING_STATUS=OR","EQY_CONSOLIDATED=Y","SCALING_FORMAT=MLN","Sort=A","Dates=H","DateFormat=P","Fill=—","Direction=H","UseDPDF=Y")</f>
        <v>#NAME?</v>
      </c>
      <c r="CB613" s="1" t="e">
        <f ca="1">_xll.BDH($C$603,"TOT_DEBT_TO_EBITDA","FY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613" s="1" t="e">
        <f ca="1">_xll.BDH($C$603,"NET_DEBT_TO_EBITDA","FY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613" s="1" t="e">
        <f ca="1">_xll.BDH($C$603,"TOTAL_DEBT_TO_EBIT","FY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613" s="1" t="e">
        <f ca="1">_xll.BDH($C$603,"NET_DEBT_TO_EBIT","FY 2016","FY 2016","Currency=INR","Period=FY","BEST_FPERIOD_OVERRIDE=FY","FILING_STATUS=OR","EQY_CONSOLIDATED=Y","FA_ADJUSTED=GAAP","Sort=A","Dates=H","DateFormat=P","Fill=—","Direction=H","UseDPDF=Y")</f>
        <v>#NAME?</v>
      </c>
      <c r="CF613" s="1" t="e">
        <f ca="1">_xll.BDH($C$603,"EBITDA_TO_INTEREST_EXPN","FY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613" s="1" t="e">
        <f ca="1">_xll.BDH($C$603,"COM_EQY_TO_TOT_ASSET","FY 2016","FY 2016","Currency=INR","Period=FY","BEST_FPERIOD_OVERRIDE=FY","FILING_STATUS=OR","EQY_CONSOLIDATED=Y","Sort=A","Dates=H","DateFormat=P","Fill=—","Direction=H","UseDPDF=Y")</f>
        <v>#NAME?</v>
      </c>
      <c r="CH613" s="1" t="e">
        <f ca="1">_xll.BDH($C$603,"LT_DEBT_TO_TOT_EQY","FY 2016","FY 2016","Currency=INR","Period=FY","BEST_FPERIOD_OVERRIDE=FY","FILING_STATUS=OR","EQY_CONSOLIDATED=Y","Sort=A","Dates=H","DateFormat=P","Fill=—","Direction=H","UseDPDF=Y")</f>
        <v>#NAME?</v>
      </c>
      <c r="CI613" s="1" t="e">
        <f ca="1">_xll.BDH($C$603,"LT_DEBT_TO_TOT_CAP","FY 2016","FY 2016","Currency=INR","Period=FY","BEST_FPERIOD_OVERRIDE=FY","FILING_STATUS=OR","EQY_CONSOLIDATED=Y","Sort=A","Dates=H","DateFormat=P","Fill=—","Direction=H","UseDPDF=Y")</f>
        <v>#NAME?</v>
      </c>
      <c r="CJ613" s="1" t="e">
        <f ca="1">_xll.BDH($C$603,"LT_DEBT_TO_TOT_ASSET","FY 2016","FY 2016","Currency=INR","Period=FY","BEST_FPERIOD_OVERRIDE=FY","FILING_STATUS=OR","EQY_CONSOLIDATED=Y","Sort=A","Dates=H","DateFormat=P","Fill=—","Direction=H","UseDPDF=Y")</f>
        <v>#NAME?</v>
      </c>
      <c r="CK613" s="1" t="e">
        <f ca="1">_xll.BDH($C$603,"TOT_DEBT_TO_TOT_EQY","FY 2016","FY 2016","Currency=INR","Period=FY","BEST_FPERIOD_OVERRIDE=FY","FILING_STATUS=OR","EQY_CONSOLIDATED=Y","Sort=A","Dates=H","DateFormat=P","Fill=—","Direction=H","UseDPDF=Y")</f>
        <v>#NAME?</v>
      </c>
      <c r="CL613" s="1" t="e">
        <f ca="1">_xll.BDH($C$603,"TOT_DEBT_TO_TOT_CAP","FY 2016","FY 2016","Currency=INR","Period=FY","BEST_FPERIOD_OVERRIDE=FY","FILING_STATUS=OR","EQY_CONSOLIDATED=Y","Sort=A","Dates=H","DateFormat=P","Fill=—","Direction=H","UseDPDF=Y")</f>
        <v>#NAME?</v>
      </c>
      <c r="CM613" s="1" t="e">
        <f ca="1">_xll.BDH($C$603,"TOT_DEBT_TO_TOT_ASSET","FY 2016","FY 2016","Currency=INR","Period=FY","BEST_FPERIOD_OVERRIDE=FY","FILING_STATUS=OR","EQY_CONSOLIDATED=Y","Sort=A","Dates=H","DateFormat=P","Fill=—","Direction=H","UseDPDF=Y")</f>
        <v>#NAME?</v>
      </c>
      <c r="CN613" s="1" t="e">
        <f ca="1">_xll.BDH($C$603,"NET_DEBT_TO_SHRHLDR_EQTY","FY 2016","FY 2016","Currency=INR","Period=FY","BEST_FPERIOD_OVERRIDE=FY","FILING_STATUS=OR","EQY_CONSOLIDATED=Y","Sort=A","Dates=H","DateFormat=P","Fill=—","Direction=H","UseDPDF=Y")</f>
        <v>#NAME?</v>
      </c>
      <c r="CO613" s="1" t="e">
        <f ca="1">_xll.BDH($C$603,"NET_DEBT_%_CAPITAL","FY 2016","FY 2016","Currency=INR","Period=FY","BEST_FPERIOD_OVERRIDE=FY","FILING_STATUS=OR","EQY_CONSOLIDATED=Y","Sort=A","Dates=H","DateFormat=P","Fill=—","Direction=H","UseDPDF=Y")</f>
        <v>#NAME?</v>
      </c>
      <c r="CP613" s="2" t="e">
        <f ca="1">_xll.BDH($C$603,"EBITDA","FY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613" s="2" t="e">
        <f ca="1">_xll.BDH($C$603,"EBITDA_AFTER_CAPEX","FY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613" s="2" t="e">
        <f ca="1">_xll.BDH($C$603,"IS_OPER_INC","FY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613" s="1" t="e">
        <f ca="1">_xll.BDH($C$603,"CASH_RATIO","FY 2016","FY 2016","Currency=INR","Period=FY","BEST_FPERIOD_OVERRIDE=FY","FILING_STATUS=OR","EQY_CONSOLIDATED=Y","Sort=A","Dates=H","DateFormat=P","Fill=—","Direction=H","UseDPDF=Y")</f>
        <v>#NAME?</v>
      </c>
      <c r="CT613" s="1" t="e">
        <f ca="1">_xll.BDH($C$603,"CUR_RATIO","FY 2016","FY 2016","Currency=INR","Period=FY","BEST_FPERIOD_OVERRIDE=FY","FILING_STATUS=OR","EQY_CONSOLIDATED=Y","Sort=A","Dates=H","DateFormat=P","Fill=—","Direction=H","UseDPDF=Y")</f>
        <v>#NAME?</v>
      </c>
      <c r="CU613" s="1" t="e">
        <f ca="1">_xll.BDH($C$603,"QUICK_RATIO","FY 2016","FY 2016","Currency=INR","Period=FY","BEST_FPERIOD_OVERRIDE=FY","FILING_STATUS=OR","EQY_CONSOLIDATED=Y","Sort=A","Dates=H","DateFormat=P","Fill=—","Direction=H","UseDPDF=Y")</f>
        <v>#NAME?</v>
      </c>
      <c r="CV613" s="1" t="e">
        <f ca="1">_xll.BDH($C$603,"ALTMAN_Z_SCORE","FY 2016","FY 2016","Currency=INR","Period=FY","BEST_FPERIOD_OVERRIDE=FY","FILING_STATUS=OR","EQY_CONSOLIDATED=Y","Sort=A","Dates=H","DateFormat=P","Fill=—","Direction=H","UseDPDF=Y")</f>
        <v>#NAME?</v>
      </c>
      <c r="CW613" s="3" t="e">
        <f ca="1">_xll.BDH($C$603,"ACCT_RCV_TURN","FY 2016","FY 2016","Currency=INR","Period=FY","BEST_FPERIOD_OVERRIDE=FY","FILING_STATUS=OR","EQY_CONSOLIDATED=Y","FA_ADJUSTED=GAAP","Sort=A","Dates=H","DateFormat=P","Fill=—","Direction=H","UseDPDF=Y")</f>
        <v>#NAME?</v>
      </c>
      <c r="CX613" s="1" t="e">
        <f ca="1">_xll.BDH($C$603,"ACCT_RCV_DAYS","FY 2016","FY 2016","Currency=INR","Period=FY","BEST_FPERIOD_OVERRIDE=FY","FILING_STATUS=OR","EQY_CONSOLIDATED=Y","FA_ADJUSTED=GAAP","Sort=A","Dates=H","DateFormat=P","Fill=—","Direction=H","UseDPDF=Y")</f>
        <v>#NAME?</v>
      </c>
      <c r="CY613" s="3" t="e">
        <f ca="1">_xll.BDH($C$603,"INVENT_TURN","FY 2016","FY 2016","Currency=INR","Period=FY","BEST_FPERIOD_OVERRIDE=FY","FILING_STATUS=OR","EQY_CONSOLIDATED=Y","FA_ADJUSTED=GAAP","Sort=A","Dates=H","DateFormat=P","Fill=—","Direction=H","UseDPDF=Y")</f>
        <v>#NAME?</v>
      </c>
      <c r="CZ613" s="1" t="e">
        <f ca="1">_xll.BDH($C$603,"INVENT_DAYS","FY 2016","FY 2016","Currency=INR","Period=FY","BEST_FPERIOD_OVERRIDE=FY","FILING_STATUS=OR","EQY_CONSOLIDATED=Y","FA_ADJUSTED=GAAP","Sort=A","Dates=H","DateFormat=P","Fill=—","Direction=H","UseDPDF=Y")</f>
        <v>#NAME?</v>
      </c>
      <c r="DA613" s="3" t="e">
        <f ca="1">_xll.BDH($C$603,"ACCOUNTS_PAYABLE_TURNOVER","FY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613" s="1" t="e">
        <f ca="1">_xll.BDH($C$603,"ACCOUNTS_PAYABLE_TURNOVER_DAYS","FY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613" s="3" t="e">
        <f ca="1">_xll.BDH($C$603,"CASH_CONVERSION_CYCLE","FY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613" s="3" t="e">
        <f ca="1">_xll.BDH($C$603,"INV_TO_CASH_DAYS","FY 2016","FY 2016","Currency=INR","Period=FY","BEST_FPERIOD_OVERRIDE=FY","FILING_STATUS=OR","EQY_CONSOLIDATED=Y","FA_ADJUSTED=GAAP","Sort=A","Dates=H","DateFormat=P","Fill=—","Direction=H","UseDPDF=Y")</f>
        <v>#NAME?</v>
      </c>
      <c r="DE613" s="4" t="e">
        <f ca="1">_xll.BDH($C$603,"BS_INVENTORIES","FY 2016","FY 2016","Currency=INR","Period=FY","BEST_FPERIOD_OVERRIDE=FY","FILING_STATUS=OR","EQY_CONSOLIDATED=Y","SCALING_FORMAT=MLN","Sort=A","Dates=H","DateFormat=P","Fill=—","Direction=H","UseDPDF=Y")</f>
        <v>#NAME?</v>
      </c>
      <c r="DF613" s="2" t="e">
        <f ca="1">_xll.BDH($C$603,"INVTRY_RAW_MATERIALS","FY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613" s="2" t="e">
        <f ca="1">_xll.BDH($C$603,"INVTRY_IN_PROGRESS","FY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613" s="2" t="e">
        <f ca="1">_xll.BDH($C$603,"INVTRY_FINISHED_GOODS","FY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613" s="2" t="e">
        <f ca="1">_xll.BDH($C$603,"BS_OTHER_INV","FY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614" spans="1:113" x14ac:dyDescent="0.3">
      <c r="A614" s="6"/>
      <c r="B614" s="6"/>
      <c r="C614" s="6"/>
      <c r="D614" s="6"/>
      <c r="E614" t="s">
        <v>4</v>
      </c>
      <c r="F614" t="e">
        <f ca="1">_xll.BDH($C$603,"RETURN_COM_EQY","FQ1 2016","FQ1 2016","Currency=INR","Period=FQ","BEST_FPERIOD_OVERRIDE=FQ","FILING_STATUS=OR","EQY_CONSOLIDATED=Y","FA_ADJUSTED=GAAP","Sort=A","Dates=H","DateFormat=P","Fill=—","Direction=H","UseDPDF=Y")</f>
        <v>#NAME?</v>
      </c>
      <c r="G614" t="e">
        <f ca="1">_xll.BDH($C$603,"RETURN_ON_ASSET","FQ1 2016","FQ1 2016","Currency=INR","Period=FQ","BEST_FPERIOD_OVERRIDE=FQ","FILING_STATUS=OR","EQY_CONSOLIDATED=Y","FA_ADJUSTED=GAAP","Sort=A","Dates=H","DateFormat=P","Fill=—","Direction=H","UseDPDF=Y")</f>
        <v>#NAME?</v>
      </c>
      <c r="H614" t="e">
        <f ca="1">_xll.BDH($C$603,"RETURN_ON_CAP","FQ1 2016","FQ1 2016","Currency=INR","Period=FQ","BEST_FPERIOD_OVERRIDE=FQ","FILING_STATUS=OR","EQY_CONSOLIDATED=Y","FA_ADJUSTED=GAAP","Sort=A","Dates=H","DateFormat=P","Fill=—","Direction=H","UseDPDF=Y")</f>
        <v>#NAME?</v>
      </c>
      <c r="I614" t="e">
        <f ca="1">_xll.BDH($C$603,"RETURN_ON_INV_CAPITAL","FQ1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614" t="e">
        <f ca="1">_xll.BDH($C$603,"EBITDA_TO_REVENUE","FQ1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614" t="e">
        <f ca="1">_xll.BDH($C$603,"OPER_MARGIN","FQ1 2016","FQ1 2016","Currency=INR","Period=FQ","BEST_FPERIOD_OVERRIDE=FQ","FILING_STATUS=OR","EQY_CONSOLIDATED=Y","FA_ADJUSTED=GAAP","Sort=A","Dates=H","DateFormat=P","Fill=—","Direction=H","UseDPDF=Y")</f>
        <v>#NAME?</v>
      </c>
      <c r="L614" t="e">
        <f ca="1">_xll.BDH($C$603,"INCREMENTAL_OPERATING_MARGIN","FQ1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614" t="e">
        <f ca="1">_xll.BDH($C$603,"PRETAX_INC_TO_NET_SALES","FQ1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614" t="e">
        <f ca="1">_xll.BDH($C$603,"INC_BEF_XO_ITEMS_TO_NET_SALES","FQ1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614" t="e">
        <f ca="1">_xll.BDH($C$603,"PROF_MARGIN","FQ1 2016","FQ1 2016","Currency=INR","Period=FQ","BEST_FPERIOD_OVERRIDE=FQ","FILING_STATUS=OR","EQY_CONSOLIDATED=Y","FA_ADJUSTED=GAAP","Sort=A","Dates=H","DateFormat=P","Fill=—","Direction=H","UseDPDF=Y")</f>
        <v>#NAME?</v>
      </c>
      <c r="P614" t="e">
        <f ca="1">_xll.BDH($C$603,"NET_INCOME_TO_COMMON_MARGIN","FQ1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614" t="e">
        <f ca="1">_xll.BDH($C$603,"EFF_TAX_RATE","FQ1 2016","FQ1 2016","Currency=INR","Period=FQ","BEST_FPERIOD_OVERRIDE=FQ","FILING_STATUS=OR","EQY_CONSOLIDATED=Y","FA_ADJUSTED=GAAP","Sort=A","Dates=H","DateFormat=P","Fill=—","Direction=H","UseDPDF=Y")</f>
        <v>#NAME?</v>
      </c>
      <c r="R614" t="e">
        <f ca="1">_xll.BDH($C$603,"DVD_PAYOUT_RATIO","FQ1 2016","FQ1 2016","Currency=INR","Period=FQ","BEST_FPERIOD_OVERRIDE=FQ","FILING_STATUS=OR","EQY_CONSOLIDATED=Y","FA_ADJUSTED=GAAP","Sort=A","Dates=H","DateFormat=P","Fill=—","Direction=H","UseDPDF=Y")</f>
        <v>#NAME?</v>
      </c>
      <c r="S614" t="e">
        <f ca="1">_xll.BDH($C$603,"SUSTAIN_GROWTH_RT","FQ1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614" s="1" t="e">
        <f ca="1">_xll.BDH($C$603,"SALES_GROWTH","FQ1 2016","FQ1 2016","Currency=INR","Period=FQ","BEST_FPERIOD_OVERRIDE=FQ","FILING_STATUS=OR","EQY_CONSOLIDATED=Y","FA_ADJUSTED=GAAP","Sort=A","Dates=H","DateFormat=P","Fill=—","Direction=H","UseDPDF=Y")</f>
        <v>#NAME?</v>
      </c>
      <c r="U614" s="1" t="e">
        <f ca="1">_xll.BDH($C$603,"EBITDA_GROWTH","FQ1 2016","FQ1 2016","Currency=INR","Period=FQ","BEST_FPERIOD_OVERRIDE=FQ","FILING_STATUS=OR","EQY_CONSOLIDATED=Y","FA_ADJUSTED=GAAP","Sort=A","Dates=H","DateFormat=P","Fill=—","Direction=H","UseDPDF=Y")</f>
        <v>#NAME?</v>
      </c>
      <c r="V614" s="1" t="e">
        <f ca="1">_xll.BDH($C$603,"OPER_INC_GROWTH","FQ1 2016","FQ1 2016","Currency=INR","Period=FQ","BEST_FPERIOD_OVERRIDE=FQ","FILING_STATUS=OR","EQY_CONSOLIDATED=Y","FA_ADJUSTED=GAAP","Sort=A","Dates=H","DateFormat=P","Fill=—","Direction=H","UseDPDF=Y")</f>
        <v>#NAME?</v>
      </c>
      <c r="W614" s="1" t="e">
        <f ca="1">_xll.BDH($C$603,"EARN_FOR_COM_GROWTH","FQ1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614" s="1" t="e">
        <f ca="1">_xll.BDH($C$603,"DILUTED_EPS_AFT_XO_ITEMS_GROWTH","FQ1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614" s="1" t="e">
        <f ca="1">_xll.BDH($C$603,"DIVIDEND_PER_SHARE_1_YEAR_GROWTH","FQ1 2016","FQ1 2016","Currency=INR","Period=FQ","BEST_FPERIOD_OVERRIDE=FQ","FILING_STATUS=OR","EQY_CONSOLIDATED=Y","Sort=A","Dates=H","DateFormat=P","Fill=—","Direction=H","UseDPDF=Y")</f>
        <v>#NAME?</v>
      </c>
      <c r="Z614" s="1" t="e">
        <f ca="1">_xll.BDH($C$603,"ACCOUNTS_RECEIVABLE_GROWTH","FQ1 2016","FQ1 2016","Currency=INR","Period=FQ","BEST_FPERIOD_OVERRIDE=FQ","FILING_STATUS=OR","EQY_CONSOLIDATED=Y","Sort=A","Dates=H","DateFormat=P","Fill=—","Direction=H","UseDPDF=Y")</f>
        <v>#NAME?</v>
      </c>
      <c r="AA614" s="1" t="e">
        <f ca="1">_xll.BDH($C$603,"INVENTORY_GROWTH","FQ1 2016","FQ1 2016","Currency=INR","Period=FQ","BEST_FPERIOD_OVERRIDE=FQ","FILING_STATUS=OR","EQY_CONSOLIDATED=Y","Sort=A","Dates=H","DateFormat=P","Fill=—","Direction=H","UseDPDF=Y")</f>
        <v>#NAME?</v>
      </c>
      <c r="AB614" s="1" t="e">
        <f ca="1">_xll.BDH($C$603,"NET_FIXED_ASSETS_1_YEAR_GROWTH","FQ1 2016","FQ1 2016","Currency=INR","Period=FQ","BEST_FPERIOD_OVERRIDE=FQ","FILING_STATUS=OR","EQY_CONSOLIDATED=Y","Sort=A","Dates=H","DateFormat=P","Fill=—","Direction=H","UseDPDF=Y")</f>
        <v>#NAME?</v>
      </c>
      <c r="AC614" s="1" t="e">
        <f ca="1">_xll.BDH($C$603,"ASSET_GROWTH","FQ1 2016","FQ1 2016","Currency=INR","Period=FQ","BEST_FPERIOD_OVERRIDE=FQ","FILING_STATUS=OR","EQY_CONSOLIDATED=Y","Sort=A","Dates=H","DateFormat=P","Fill=—","Direction=H","UseDPDF=Y")</f>
        <v>#NAME?</v>
      </c>
      <c r="AD614" s="1" t="e">
        <f ca="1">_xll.BDH($C$603,"MODIFIED_WORK_CAP_GROWTH","FQ1 2016","FQ1 2016","Currency=INR","Period=FQ","BEST_FPERIOD_OVERRIDE=FQ","FILING_STATUS=OR","EQY_CONSOLIDATED=Y","Sort=A","Dates=H","DateFormat=P","Fill=—","Direction=H","UseDPDF=Y")</f>
        <v>#NAME?</v>
      </c>
      <c r="AE614" s="1" t="e">
        <f ca="1">_xll.BDH($C$603,"WORK_CAP_GROWTH","FQ1 2016","FQ1 2016","Currency=INR","Period=FQ","BEST_FPERIOD_OVERRIDE=FQ","FILING_STATUS=OR","EQY_CONSOLIDATED=Y","Sort=A","Dates=H","DateFormat=P","Fill=—","Direction=H","UseDPDF=Y")</f>
        <v>#NAME?</v>
      </c>
      <c r="AF614" s="1" t="e">
        <f ca="1">_xll.BDH($C$603,"ACCOUNTS_PAYABLE_GROWTH_1YR","FQ1 2016","FQ1 2016","Currency=INR","Period=FQ","BEST_FPERIOD_OVERRIDE=FQ","FILING_STATUS=OR","EQY_CONSOLIDATED=Y","Sort=A","Dates=H","DateFormat=P","Fill=—","Direction=H","UseDPDF=Y")</f>
        <v>#NAME?</v>
      </c>
      <c r="AG614" s="1" t="e">
        <f ca="1">_xll.BDH($C$603,"SHORT_TERM_DEBT_1_YEAR_GROWTH","FQ1 2016","FQ1 2016","Currency=INR","Period=FQ","BEST_FPERIOD_OVERRIDE=FQ","FILING_STATUS=OR","EQY_CONSOLIDATED=Y","Sort=A","Dates=H","DateFormat=P","Fill=—","Direction=H","UseDPDF=Y")</f>
        <v>#NAME?</v>
      </c>
      <c r="AH614" s="1" t="e">
        <f ca="1">_xll.BDH($C$603,"TOTAL_DEBT_1_YEAR_GROWTH","FQ1 2016","FQ1 2016","Currency=INR","Period=FQ","BEST_FPERIOD_OVERRIDE=FQ","FILING_STATUS=OR","EQY_CONSOLIDATED=Y","Sort=A","Dates=H","DateFormat=P","Fill=—","Direction=H","UseDPDF=Y")</f>
        <v>#NAME?</v>
      </c>
      <c r="AI614" s="1" t="e">
        <f ca="1">_xll.BDH($C$603,"TOTAL_EQUITY_1_YEAR_GROWTH","FQ1 2016","FQ1 2016","Currency=INR","Period=FQ","BEST_FPERIOD_OVERRIDE=FQ","FILING_STATUS=OR","EQY_CONSOLIDATED=Y","Sort=A","Dates=H","DateFormat=P","Fill=—","Direction=H","UseDPDF=Y")</f>
        <v>#NAME?</v>
      </c>
      <c r="AJ614" s="1" t="e">
        <f ca="1">_xll.BDH($C$603,"GROWTH_IN_CAP","FQ1 2016","FQ1 2016","Currency=INR","Period=FQ","BEST_FPERIOD_OVERRIDE=FQ","FILING_STATUS=OR","EQY_CONSOLIDATED=Y","Sort=A","Dates=H","DateFormat=P","Fill=—","Direction=H","UseDPDF=Y")</f>
        <v>#NAME?</v>
      </c>
      <c r="AK614" s="1" t="e">
        <f ca="1">_xll.BDH($C$603,"BVPS_GROWTH","FQ1 2016","FQ1 2016","Currency=INR","Period=FQ","BEST_FPERIOD_OVERRIDE=FQ","FILING_STATUS=OR","EQY_CONSOLIDATED=Y","Sort=A","Dates=H","DateFormat=P","Fill=—","Direction=H","UseDPDF=Y")</f>
        <v>#NAME?</v>
      </c>
      <c r="AL614" s="1" t="e">
        <f ca="1">_xll.BDH($C$603,"CASH_FLOW_GROWTH","FQ1 2016","FQ1 2016","Currency=INR","Period=FQ","BEST_FPERIOD_OVERRIDE=FQ","FILING_STATUS=OR","EQY_CONSOLIDATED=Y","Sort=A","Dates=H","DateFormat=P","Fill=—","Direction=H","UseDPDF=Y")</f>
        <v>#NAME?</v>
      </c>
      <c r="AM614" s="1" t="e">
        <f ca="1">_xll.BDH($C$603,"GEO_GROW_NET_SALES","FQ1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614" s="1" t="e">
        <f ca="1">_xll.BDH($C$603,"GEO_GROW_EBITDA","FQ1 2016","FQ1 2016","Currency=INR","Period=FQ","BEST_FPERIOD_OVERRIDE=FQ","FILING_STATUS=OR","EQY_CONSOLIDATED=Y","FA_ADJUSTED=GAAP","Sort=A","Dates=H","DateFormat=P","Fill=—","Direction=H","UseDPDF=Y")</f>
        <v>#NAME?</v>
      </c>
      <c r="AO614" s="1" t="e">
        <f ca="1">_xll.BDH($C$603,"GEO_GROW_OPER_INC","FQ1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614" s="1" t="e">
        <f ca="1">_xll.BDH($C$603,"NET_INCOME_TO_COMMON_5_YR_GROWTH","FQ1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614" s="1" t="e">
        <f ca="1">_xll.BDH($C$603,"5Y_GEO_GROWTH_DILUTED_EPS","FQ1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614" s="1" t="e">
        <f ca="1">_xll.BDH($C$603,"GEO_GROW_DVD_PER_SH","FQ1 2016","FQ1 2016","Currency=INR","Period=FQ","BEST_FPERIOD_OVERRIDE=FQ","FILING_STATUS=OR","EQY_CONSOLIDATED=Y","Sort=A","Dates=H","DateFormat=P","Fill=—","Direction=H","UseDPDF=Y")</f>
        <v>#NAME?</v>
      </c>
      <c r="AS614" s="1" t="e">
        <f ca="1">_xll.BDH($C$603,"ACCOUNTS_RECEIVABLE_5_YR_GROWTH","FQ1 2016","FQ1 2016","Currency=INR","Period=FQ","BEST_FPERIOD_OVERRIDE=FQ","FILING_STATUS=OR","EQY_CONSOLIDATED=Y","Sort=A","Dates=H","DateFormat=P","Fill=—","Direction=H","UseDPDF=Y")</f>
        <v>#NAME?</v>
      </c>
      <c r="AT614" s="1" t="e">
        <f ca="1">_xll.BDH($C$603,"INVENTORY_5_YEAR_GROWTH","FQ1 2016","FQ1 2016","Currency=INR","Period=FQ","BEST_FPERIOD_OVERRIDE=FQ","FILING_STATUS=OR","EQY_CONSOLIDATED=Y","Sort=A","Dates=H","DateFormat=P","Fill=—","Direction=H","UseDPDF=Y")</f>
        <v>#NAME?</v>
      </c>
      <c r="AU614" s="1" t="e">
        <f ca="1">_xll.BDH($C$603,"NET_FIXED_ASSETS_5_YEAR_GROWTH","FQ1 2016","FQ1 2016","Currency=INR","Period=FQ","BEST_FPERIOD_OVERRIDE=FQ","FILING_STATUS=OR","EQY_CONSOLIDATED=Y","Sort=A","Dates=H","DateFormat=P","Fill=—","Direction=H","UseDPDF=Y")</f>
        <v>#NAME?</v>
      </c>
      <c r="AV614" s="1" t="e">
        <f ca="1">_xll.BDH($C$603,"GEO_GROW_TOT_ASSET","FQ1 2016","FQ1 2016","Currency=INR","Period=FQ","BEST_FPERIOD_OVERRIDE=FQ","FILING_STATUS=OR","EQY_CONSOLIDATED=Y","Sort=A","Dates=H","DateFormat=P","Fill=—","Direction=H","UseDPDF=Y")</f>
        <v>#NAME?</v>
      </c>
      <c r="AW614" s="1" t="e">
        <f ca="1">_xll.BDH($C$603,"MODIFIED_WORKING_CPTL_5YR_GRWTH","FQ1 2016","FQ1 2016","Currency=INR","Period=FQ","BEST_FPERIOD_OVERRIDE=FQ","FILING_STATUS=OR","EQY_CONSOLIDATED=Y","Sort=A","Dates=H","DateFormat=P","Fill=—","Direction=H","UseDPDF=Y")</f>
        <v>#NAME?</v>
      </c>
      <c r="AX614" s="1" t="e">
        <f ca="1">_xll.BDH($C$603,"WORKING_CAPITAL_5_YEAR_GROWTH","FQ1 2016","FQ1 2016","Currency=INR","Period=FQ","BEST_FPERIOD_OVERRIDE=FQ","FILING_STATUS=OR","EQY_CONSOLIDATED=Y","Sort=A","Dates=H","DateFormat=P","Fill=—","Direction=H","UseDPDF=Y")</f>
        <v>#NAME?</v>
      </c>
      <c r="AY614" s="1" t="e">
        <f ca="1">_xll.BDH($C$603,"ACCOUNTS_PAYABLE_5_YEAR_GROWTH","FQ1 2016","FQ1 2016","Currency=INR","Period=FQ","BEST_FPERIOD_OVERRIDE=FQ","FILING_STATUS=OR","EQY_CONSOLIDATED=Y","Sort=A","Dates=H","DateFormat=P","Fill=—","Direction=H","UseDPDF=Y")</f>
        <v>#NAME?</v>
      </c>
      <c r="AZ614" s="1" t="e">
        <f ca="1">_xll.BDH($C$603,"SHORT_TERM_DEBT_5_YEAR_GROWTH","FQ1 2016","FQ1 2016","Currency=INR","Period=FQ","BEST_FPERIOD_OVERRIDE=FQ","FILING_STATUS=OR","EQY_CONSOLIDATED=Y","Sort=A","Dates=H","DateFormat=P","Fill=—","Direction=H","UseDPDF=Y")</f>
        <v>#NAME?</v>
      </c>
      <c r="BA614" s="1" t="e">
        <f ca="1">_xll.BDH($C$603,"TOTAL_DEBT_5_YEAR_GROWTH","FQ1 2016","FQ1 2016","Currency=INR","Period=FQ","BEST_FPERIOD_OVERRIDE=FQ","FILING_STATUS=OR","EQY_CONSOLIDATED=Y","Sort=A","Dates=H","DateFormat=P","Fill=—","Direction=H","UseDPDF=Y")</f>
        <v>#NAME?</v>
      </c>
      <c r="BB614" s="1" t="e">
        <f ca="1">_xll.BDH($C$603,"GEO_GROW_TOT_SHRHLDR_EQY","FQ1 2016","FQ1 2016","Currency=INR","Period=FQ","BEST_FPERIOD_OVERRIDE=FQ","FILING_STATUS=OR","EQY_CONSOLIDATED=Y","Sort=A","Dates=H","DateFormat=P","Fill=—","Direction=H","UseDPDF=Y")</f>
        <v>#NAME?</v>
      </c>
      <c r="BC614" s="1" t="e">
        <f ca="1">_xll.BDH($C$603,"TOTAL_CAPITAL_5_YEAR_GROWTH","FQ1 2016","FQ1 2016","Currency=INR","Period=FQ","BEST_FPERIOD_OVERRIDE=FQ","FILING_STATUS=OR","EQY_CONSOLIDATED=Y","Sort=A","Dates=H","DateFormat=P","Fill=—","Direction=H","UseDPDF=Y")</f>
        <v>#NAME?</v>
      </c>
      <c r="BD614" s="1" t="e">
        <f ca="1">_xll.BDH($C$603,"GEO_GROW_BOOK_VAL","FQ1 2016","FQ1 2016","Currency=INR","Period=FQ","BEST_FPERIOD_OVERRIDE=FQ","FILING_STATUS=OR","EQY_CONSOLIDATED=Y","Sort=A","Dates=H","DateFormat=P","Fill=—","Direction=H","UseDPDF=Y")</f>
        <v>#NAME?</v>
      </c>
      <c r="BE614" s="1" t="e">
        <f ca="1">_xll.BDH($C$603,"GEO_GROW_CASH_OPER_ACT","FQ1 2016","FQ1 2016","Currency=INR","Period=FQ","BEST_FPERIOD_OVERRIDE=FQ","FILING_STATUS=OR","EQY_CONSOLIDATED=Y","Sort=A","Dates=H","DateFormat=P","Fill=—","Direction=H","UseDPDF=Y")</f>
        <v>#NAME?</v>
      </c>
      <c r="BF614" s="1" t="e">
        <f ca="1">_xll.BDH($C$603,"REVENUE_SEQUENTIAL_GROWTH","FQ1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614" s="1" t="e">
        <f ca="1">_xll.BDH($C$603,"EBITDA_SEQUENTIAL_GROWTH","FQ1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614" s="1" t="e">
        <f ca="1">_xll.BDH($C$603,"OPERATING_INCOME_SEQ_GROWTH","FQ1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614" s="1" t="e">
        <f ca="1">_xll.BDH($C$603,"NET_INCOME_TO_COMMON_SEQ_GROWTH","FQ1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614" s="1" t="e">
        <f ca="1">_xll.BDH($C$603,"EPS_DILUTED_SEQUENTIAL_GROWTH","FQ1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614" s="1" t="e">
        <f ca="1">_xll.BDH($C$603,"DPS_SEQUENTIAL_GROWTH","FQ1 2016","FQ1 2016","Currency=INR","Period=FQ","BEST_FPERIOD_OVERRIDE=FQ","FILING_STATUS=OR","EQY_CONSOLIDATED=Y","Sort=A","Dates=H","DateFormat=P","Fill=—","Direction=H","UseDPDF=Y")</f>
        <v>#NAME?</v>
      </c>
      <c r="BL614" s="1" t="e">
        <f ca="1">_xll.BDH($C$603,"ACCOUNTS_RECEIVABLE_SEQ_GROWTH","FQ1 2016","FQ1 2016","Currency=INR","Period=FQ","BEST_FPERIOD_OVERRIDE=FQ","FILING_STATUS=OR","EQY_CONSOLIDATED=Y","Sort=A","Dates=H","DateFormat=P","Fill=—","Direction=H","UseDPDF=Y")</f>
        <v>#NAME?</v>
      </c>
      <c r="BM614" s="1" t="e">
        <f ca="1">_xll.BDH($C$603,"INVENTORY_SEQUENTIAL_GROWTH","FQ1 2016","FQ1 2016","Currency=INR","Period=FQ","BEST_FPERIOD_OVERRIDE=FQ","FILING_STATUS=OR","EQY_CONSOLIDATED=Y","Sort=A","Dates=H","DateFormat=P","Fill=—","Direction=H","UseDPDF=Y")</f>
        <v>#NAME?</v>
      </c>
      <c r="BN614" s="1" t="e">
        <f ca="1">_xll.BDH($C$603,"FIXED_ASSETS_SEQUENTIAL_GROWTH","FQ1 2016","FQ1 2016","Currency=INR","Period=FQ","BEST_FPERIOD_OVERRIDE=FQ","FILING_STATUS=OR","EQY_CONSOLIDATED=Y","Sort=A","Dates=H","DateFormat=P","Fill=—","Direction=H","UseDPDF=Y")</f>
        <v>#NAME?</v>
      </c>
      <c r="BO614" s="1" t="e">
        <f ca="1">_xll.BDH($C$603,"TOTAL_ASSETS_SEQUENTIAL_GROWTH","FQ1 2016","FQ1 2016","Currency=INR","Period=FQ","BEST_FPERIOD_OVERRIDE=FQ","FILING_STATUS=OR","EQY_CONSOLIDATED=Y","Sort=A","Dates=H","DateFormat=P","Fill=—","Direction=H","UseDPDF=Y")</f>
        <v>#NAME?</v>
      </c>
      <c r="BP614" s="1" t="e">
        <f ca="1">_xll.BDH($C$603,"MODIFIED_WORKING_CPTL_SEQ_GRWTH","FQ1 2016","FQ1 2016","Currency=INR","Period=FQ","BEST_FPERIOD_OVERRIDE=FQ","FILING_STATUS=OR","EQY_CONSOLIDATED=Y","Sort=A","Dates=H","DateFormat=P","Fill=—","Direction=H","UseDPDF=Y")</f>
        <v>#NAME?</v>
      </c>
      <c r="BQ614" s="1" t="e">
        <f ca="1">_xll.BDH($C$603,"WORKING_CAPITAL_SEQ_GROWTH","FQ1 2016","FQ1 2016","Currency=INR","Period=FQ","BEST_FPERIOD_OVERRIDE=FQ","FILING_STATUS=OR","EQY_CONSOLIDATED=Y","Sort=A","Dates=H","DateFormat=P","Fill=—","Direction=H","UseDPDF=Y")</f>
        <v>#NAME?</v>
      </c>
      <c r="BR614" s="1" t="e">
        <f ca="1">_xll.BDH($C$603,"ACCOUNTS_PAYABLE_SEQ_GROWTH","FQ1 2016","FQ1 2016","Currency=INR","Period=FQ","BEST_FPERIOD_OVERRIDE=FQ","FILING_STATUS=OR","EQY_CONSOLIDATED=Y","Sort=A","Dates=H","DateFormat=P","Fill=—","Direction=H","UseDPDF=Y")</f>
        <v>#NAME?</v>
      </c>
      <c r="BS614" s="1" t="e">
        <f ca="1">_xll.BDH($C$603,"ST_DEBT_SEQUENTIAL_GROWTH","FQ1 2016","FQ1 2016","Currency=INR","Period=FQ","BEST_FPERIOD_OVERRIDE=FQ","FILING_STATUS=OR","EQY_CONSOLIDATED=Y","Sort=A","Dates=H","DateFormat=P","Fill=—","Direction=H","UseDPDF=Y")</f>
        <v>#NAME?</v>
      </c>
      <c r="BT614" s="1" t="e">
        <f ca="1">_xll.BDH($C$603,"TOTAL_DEBT_SEQUENTIAL_GROWTH","FQ1 2016","FQ1 2016","Currency=INR","Period=FQ","BEST_FPERIOD_OVERRIDE=FQ","FILING_STATUS=OR","EQY_CONSOLIDATED=Y","Sort=A","Dates=H","DateFormat=P","Fill=—","Direction=H","UseDPDF=Y")</f>
        <v>#NAME?</v>
      </c>
      <c r="BU614" s="1" t="e">
        <f ca="1">_xll.BDH($C$603,"TOTAL_EQUITY_SEQUENTIAL_GROWTH","FQ1 2016","FQ1 2016","Currency=INR","Period=FQ","BEST_FPERIOD_OVERRIDE=FQ","FILING_STATUS=OR","EQY_CONSOLIDATED=Y","Sort=A","Dates=H","DateFormat=P","Fill=—","Direction=H","UseDPDF=Y")</f>
        <v>#NAME?</v>
      </c>
      <c r="BV614" s="1" t="e">
        <f ca="1">_xll.BDH($C$603,"TOTAL_CAPITAL_SEQUENTIAL_GROWTH","FQ1 2016","FQ1 2016","Currency=INR","Period=FQ","BEST_FPERIOD_OVERRIDE=FQ","FILING_STATUS=OR","EQY_CONSOLIDATED=Y","Sort=A","Dates=H","DateFormat=P","Fill=—","Direction=H","UseDPDF=Y")</f>
        <v>#NAME?</v>
      </c>
      <c r="BW614" s="1" t="e">
        <f ca="1">_xll.BDH($C$603,"BPS_SEQUENTIAL_GROWTH","FQ1 2016","FQ1 2016","Currency=INR","Period=FQ","BEST_FPERIOD_OVERRIDE=FQ","FILING_STATUS=OR","EQY_CONSOLIDATED=Y","Sort=A","Dates=H","DateFormat=P","Fill=—","Direction=H","UseDPDF=Y")</f>
        <v>#NAME?</v>
      </c>
      <c r="BX614" s="1" t="e">
        <f ca="1">_xll.BDH($C$603,"CFO_SEQUENTIAL_GROWTH","FQ1 2016","FQ1 2016","Currency=INR","Period=FQ","BEST_FPERIOD_OVERRIDE=FQ","FILING_STATUS=OR","EQY_CONSOLIDATED=Y","Sort=A","Dates=H","DateFormat=P","Fill=—","Direction=H","UseDPDF=Y")</f>
        <v>#NAME?</v>
      </c>
      <c r="BY614" s="2" t="e">
        <f ca="1">_xll.BDH($C$603,"SHORT_AND_LONG_TERM_DEBT","FQ1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614" s="2" t="e">
        <f ca="1">_xll.BDH($C$603,"BS_ST_BORROW","FQ1 2016","FQ1 2016","Currency=INR","Period=FQ","BEST_FPERIOD_OVERRIDE=FQ","FILING_STATUS=OR","EQY_CONSOLIDATED=Y","SCALING_FORMAT=MLN","Sort=A","Dates=H","DateFormat=P","Fill=—","Direction=H","UseDPDF=Y")</f>
        <v>#NAME?</v>
      </c>
      <c r="CA614" s="2" t="e">
        <f ca="1">_xll.BDH($C$603,"BS_LT_BORROW","FQ1 2016","FQ1 2016","Currency=INR","Period=FQ","BEST_FPERIOD_OVERRIDE=FQ","FILING_STATUS=OR","EQY_CONSOLIDATED=Y","SCALING_FORMAT=MLN","Sort=A","Dates=H","DateFormat=P","Fill=—","Direction=H","UseDPDF=Y")</f>
        <v>#NAME?</v>
      </c>
      <c r="CB614" s="1" t="e">
        <f ca="1">_xll.BDH($C$603,"TOT_DEBT_TO_EBITDA","FQ1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614" s="1" t="e">
        <f ca="1">_xll.BDH($C$603,"NET_DEBT_TO_EBITDA","FQ1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614" s="1" t="e">
        <f ca="1">_xll.BDH($C$603,"TOTAL_DEBT_TO_EBIT","FQ1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614" s="1" t="e">
        <f ca="1">_xll.BDH($C$603,"NET_DEBT_TO_EBIT","FQ1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614" s="1" t="e">
        <f ca="1">_xll.BDH($C$603,"EBITDA_TO_INTEREST_EXPN","FQ1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614" s="1" t="e">
        <f ca="1">_xll.BDH($C$603,"COM_EQY_TO_TOT_ASSET","FQ1 2016","FQ1 2016","Currency=INR","Period=FQ","BEST_FPERIOD_OVERRIDE=FQ","FILING_STATUS=OR","EQY_CONSOLIDATED=Y","Sort=A","Dates=H","DateFormat=P","Fill=—","Direction=H","UseDPDF=Y")</f>
        <v>#NAME?</v>
      </c>
      <c r="CH614" s="1" t="e">
        <f ca="1">_xll.BDH($C$603,"LT_DEBT_TO_TOT_EQY","FQ1 2016","FQ1 2016","Currency=INR","Period=FQ","BEST_FPERIOD_OVERRIDE=FQ","FILING_STATUS=OR","EQY_CONSOLIDATED=Y","Sort=A","Dates=H","DateFormat=P","Fill=—","Direction=H","UseDPDF=Y")</f>
        <v>#NAME?</v>
      </c>
      <c r="CI614" s="1" t="e">
        <f ca="1">_xll.BDH($C$603,"LT_DEBT_TO_TOT_CAP","FQ1 2016","FQ1 2016","Currency=INR","Period=FQ","BEST_FPERIOD_OVERRIDE=FQ","FILING_STATUS=OR","EQY_CONSOLIDATED=Y","Sort=A","Dates=H","DateFormat=P","Fill=—","Direction=H","UseDPDF=Y")</f>
        <v>#NAME?</v>
      </c>
      <c r="CJ614" s="1" t="e">
        <f ca="1">_xll.BDH($C$603,"LT_DEBT_TO_TOT_ASSET","FQ1 2016","FQ1 2016","Currency=INR","Period=FQ","BEST_FPERIOD_OVERRIDE=FQ","FILING_STATUS=OR","EQY_CONSOLIDATED=Y","Sort=A","Dates=H","DateFormat=P","Fill=—","Direction=H","UseDPDF=Y")</f>
        <v>#NAME?</v>
      </c>
      <c r="CK614" s="1" t="e">
        <f ca="1">_xll.BDH($C$603,"TOT_DEBT_TO_TOT_EQY","FQ1 2016","FQ1 2016","Currency=INR","Period=FQ","BEST_FPERIOD_OVERRIDE=FQ","FILING_STATUS=OR","EQY_CONSOLIDATED=Y","Sort=A","Dates=H","DateFormat=P","Fill=—","Direction=H","UseDPDF=Y")</f>
        <v>#NAME?</v>
      </c>
      <c r="CL614" s="1" t="e">
        <f ca="1">_xll.BDH($C$603,"TOT_DEBT_TO_TOT_CAP","FQ1 2016","FQ1 2016","Currency=INR","Period=FQ","BEST_FPERIOD_OVERRIDE=FQ","FILING_STATUS=OR","EQY_CONSOLIDATED=Y","Sort=A","Dates=H","DateFormat=P","Fill=—","Direction=H","UseDPDF=Y")</f>
        <v>#NAME?</v>
      </c>
      <c r="CM614" s="1" t="e">
        <f ca="1">_xll.BDH($C$603,"TOT_DEBT_TO_TOT_ASSET","FQ1 2016","FQ1 2016","Currency=INR","Period=FQ","BEST_FPERIOD_OVERRIDE=FQ","FILING_STATUS=OR","EQY_CONSOLIDATED=Y","Sort=A","Dates=H","DateFormat=P","Fill=—","Direction=H","UseDPDF=Y")</f>
        <v>#NAME?</v>
      </c>
      <c r="CN614" s="1" t="e">
        <f ca="1">_xll.BDH($C$603,"NET_DEBT_TO_SHRHLDR_EQTY","FQ1 2016","FQ1 2016","Currency=INR","Period=FQ","BEST_FPERIOD_OVERRIDE=FQ","FILING_STATUS=OR","EQY_CONSOLIDATED=Y","Sort=A","Dates=H","DateFormat=P","Fill=—","Direction=H","UseDPDF=Y")</f>
        <v>#NAME?</v>
      </c>
      <c r="CO614" s="1" t="e">
        <f ca="1">_xll.BDH($C$603,"NET_DEBT_%_CAPITAL","FQ1 2016","FQ1 2016","Currency=INR","Period=FQ","BEST_FPERIOD_OVERRIDE=FQ","FILING_STATUS=OR","EQY_CONSOLIDATED=Y","Sort=A","Dates=H","DateFormat=P","Fill=—","Direction=H","UseDPDF=Y")</f>
        <v>#NAME?</v>
      </c>
      <c r="CP614" s="2" t="e">
        <f ca="1">_xll.BDH($C$603,"EBITDA","FQ1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614" s="2" t="e">
        <f ca="1">_xll.BDH($C$603,"EBITDA_AFTER_CAPEX","FQ1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614" s="2" t="e">
        <f ca="1">_xll.BDH($C$603,"IS_OPER_INC","FQ1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614" s="1" t="e">
        <f ca="1">_xll.BDH($C$603,"CASH_RATIO","FQ1 2016","FQ1 2016","Currency=INR","Period=FQ","BEST_FPERIOD_OVERRIDE=FQ","FILING_STATUS=OR","EQY_CONSOLIDATED=Y","Sort=A","Dates=H","DateFormat=P","Fill=—","Direction=H","UseDPDF=Y")</f>
        <v>#NAME?</v>
      </c>
      <c r="CT614" s="1" t="e">
        <f ca="1">_xll.BDH($C$603,"CUR_RATIO","FQ1 2016","FQ1 2016","Currency=INR","Period=FQ","BEST_FPERIOD_OVERRIDE=FQ","FILING_STATUS=OR","EQY_CONSOLIDATED=Y","Sort=A","Dates=H","DateFormat=P","Fill=—","Direction=H","UseDPDF=Y")</f>
        <v>#NAME?</v>
      </c>
      <c r="CU614" s="1" t="e">
        <f ca="1">_xll.BDH($C$603,"QUICK_RATIO","FQ1 2016","FQ1 2016","Currency=INR","Period=FQ","BEST_FPERIOD_OVERRIDE=FQ","FILING_STATUS=OR","EQY_CONSOLIDATED=Y","Sort=A","Dates=H","DateFormat=P","Fill=—","Direction=H","UseDPDF=Y")</f>
        <v>#NAME?</v>
      </c>
      <c r="CV614" s="1" t="e">
        <f ca="1">_xll.BDH($C$603,"ALTMAN_Z_SCORE","FQ1 2016","FQ1 2016","Currency=INR","Period=FQ","BEST_FPERIOD_OVERRIDE=FQ","FILING_STATUS=OR","EQY_CONSOLIDATED=Y","Sort=A","Dates=H","DateFormat=P","Fill=—","Direction=H","UseDPDF=Y")</f>
        <v>#NAME?</v>
      </c>
      <c r="CW614" s="3" t="e">
        <f ca="1">_xll.BDH($C$603,"ACCT_RCV_TURN","FQ1 2016","FQ1 2016","Currency=INR","Period=FQ","BEST_FPERIOD_OVERRIDE=FQ","FILING_STATUS=OR","EQY_CONSOLIDATED=Y","FA_ADJUSTED=GAAP","Sort=A","Dates=H","DateFormat=P","Fill=—","Direction=H","UseDPDF=Y")</f>
        <v>#NAME?</v>
      </c>
      <c r="CX614" s="1" t="e">
        <f ca="1">_xll.BDH($C$603,"ACCT_RCV_DAYS","FQ1 2016","FQ1 2016","Currency=INR","Period=FQ","BEST_FPERIOD_OVERRIDE=FQ","FILING_STATUS=OR","EQY_CONSOLIDATED=Y","FA_ADJUSTED=GAAP","Sort=A","Dates=H","DateFormat=P","Fill=—","Direction=H","UseDPDF=Y")</f>
        <v>#NAME?</v>
      </c>
      <c r="CY614" s="3" t="e">
        <f ca="1">_xll.BDH($C$603,"INVENT_TURN","FQ1 2016","FQ1 2016","Currency=INR","Period=FQ","BEST_FPERIOD_OVERRIDE=FQ","FILING_STATUS=OR","EQY_CONSOLIDATED=Y","FA_ADJUSTED=GAAP","Sort=A","Dates=H","DateFormat=P","Fill=—","Direction=H","UseDPDF=Y")</f>
        <v>#NAME?</v>
      </c>
      <c r="CZ614" s="1" t="e">
        <f ca="1">_xll.BDH($C$603,"INVENT_DAYS","FQ1 2016","FQ1 2016","Currency=INR","Period=FQ","BEST_FPERIOD_OVERRIDE=FQ","FILING_STATUS=OR","EQY_CONSOLIDATED=Y","FA_ADJUSTED=GAAP","Sort=A","Dates=H","DateFormat=P","Fill=—","Direction=H","UseDPDF=Y")</f>
        <v>#NAME?</v>
      </c>
      <c r="DA614" s="3" t="e">
        <f ca="1">_xll.BDH($C$603,"ACCOUNTS_PAYABLE_TURNOVER","FQ1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614" s="1" t="e">
        <f ca="1">_xll.BDH($C$603,"ACCOUNTS_PAYABLE_TURNOVER_DAYS","FQ1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614" s="3" t="e">
        <f ca="1">_xll.BDH($C$603,"CASH_CONVERSION_CYCLE","FQ1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614" s="3" t="e">
        <f ca="1">_xll.BDH($C$603,"INV_TO_CASH_DAYS","FQ1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614" s="4" t="e">
        <f ca="1">_xll.BDH($C$603,"BS_INVENTORIES","FQ1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614" s="2" t="e">
        <f ca="1">_xll.BDH($C$603,"INVTRY_RAW_MATERIALS","FQ1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614" s="2" t="e">
        <f ca="1">_xll.BDH($C$603,"INVTRY_IN_PROGRESS","FQ1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614" s="2" t="e">
        <f ca="1">_xll.BDH($C$603,"INVTRY_FINISHED_GOODS","FQ1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614" s="2" t="e">
        <f ca="1">_xll.BDH($C$603,"BS_OTHER_INV","FQ1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615" spans="1:113" x14ac:dyDescent="0.3">
      <c r="A615" s="6"/>
      <c r="B615" s="6"/>
      <c r="C615" s="6"/>
      <c r="D615" s="6"/>
      <c r="E615" t="s">
        <v>5</v>
      </c>
      <c r="F615" t="e">
        <f ca="1">_xll.BDH($C$603,"RETURN_COM_EQY","FQ2 2016","FQ2 2016","Currency=INR","Period=FQ","BEST_FPERIOD_OVERRIDE=FQ","FILING_STATUS=OR","EQY_CONSOLIDATED=Y","FA_ADJUSTED=GAAP","Sort=A","Dates=H","DateFormat=P","Fill=—","Direction=H","UseDPDF=Y")</f>
        <v>#NAME?</v>
      </c>
      <c r="G615" t="e">
        <f ca="1">_xll.BDH($C$603,"RETURN_ON_ASSET","FQ2 2016","FQ2 2016","Currency=INR","Period=FQ","BEST_FPERIOD_OVERRIDE=FQ","FILING_STATUS=OR","EQY_CONSOLIDATED=Y","FA_ADJUSTED=GAAP","Sort=A","Dates=H","DateFormat=P","Fill=—","Direction=H","UseDPDF=Y")</f>
        <v>#NAME?</v>
      </c>
      <c r="H615" t="e">
        <f ca="1">_xll.BDH($C$603,"RETURN_ON_CAP","FQ2 2016","FQ2 2016","Currency=INR","Period=FQ","BEST_FPERIOD_OVERRIDE=FQ","FILING_STATUS=OR","EQY_CONSOLIDATED=Y","FA_ADJUSTED=GAAP","Sort=A","Dates=H","DateFormat=P","Fill=—","Direction=H","UseDPDF=Y")</f>
        <v>#NAME?</v>
      </c>
      <c r="I615" t="e">
        <f ca="1">_xll.BDH($C$603,"RETURN_ON_INV_CAPITAL","FQ2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615" t="e">
        <f ca="1">_xll.BDH($C$603,"EBITDA_TO_REVENUE","FQ2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615" t="e">
        <f ca="1">_xll.BDH($C$603,"OPER_MARGIN","FQ2 2016","FQ2 2016","Currency=INR","Period=FQ","BEST_FPERIOD_OVERRIDE=FQ","FILING_STATUS=OR","EQY_CONSOLIDATED=Y","FA_ADJUSTED=GAAP","Sort=A","Dates=H","DateFormat=P","Fill=—","Direction=H","UseDPDF=Y")</f>
        <v>#NAME?</v>
      </c>
      <c r="L615" t="e">
        <f ca="1">_xll.BDH($C$603,"INCREMENTAL_OPERATING_MARGIN","FQ2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615" t="e">
        <f ca="1">_xll.BDH($C$603,"PRETAX_INC_TO_NET_SALES","FQ2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615" t="e">
        <f ca="1">_xll.BDH($C$603,"INC_BEF_XO_ITEMS_TO_NET_SALES","FQ2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615" t="e">
        <f ca="1">_xll.BDH($C$603,"PROF_MARGIN","FQ2 2016","FQ2 2016","Currency=INR","Period=FQ","BEST_FPERIOD_OVERRIDE=FQ","FILING_STATUS=OR","EQY_CONSOLIDATED=Y","FA_ADJUSTED=GAAP","Sort=A","Dates=H","DateFormat=P","Fill=—","Direction=H","UseDPDF=Y")</f>
        <v>#NAME?</v>
      </c>
      <c r="P615" t="e">
        <f ca="1">_xll.BDH($C$603,"NET_INCOME_TO_COMMON_MARGIN","FQ2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615" t="e">
        <f ca="1">_xll.BDH($C$603,"EFF_TAX_RATE","FQ2 2016","FQ2 2016","Currency=INR","Period=FQ","BEST_FPERIOD_OVERRIDE=FQ","FILING_STATUS=OR","EQY_CONSOLIDATED=Y","FA_ADJUSTED=GAAP","Sort=A","Dates=H","DateFormat=P","Fill=—","Direction=H","UseDPDF=Y")</f>
        <v>#NAME?</v>
      </c>
      <c r="R615" t="e">
        <f ca="1">_xll.BDH($C$603,"DVD_PAYOUT_RATIO","FQ2 2016","FQ2 2016","Currency=INR","Period=FQ","BEST_FPERIOD_OVERRIDE=FQ","FILING_STATUS=OR","EQY_CONSOLIDATED=Y","FA_ADJUSTED=GAAP","Sort=A","Dates=H","DateFormat=P","Fill=—","Direction=H","UseDPDF=Y")</f>
        <v>#NAME?</v>
      </c>
      <c r="S615" t="e">
        <f ca="1">_xll.BDH($C$603,"SUSTAIN_GROWTH_RT","FQ2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615" s="1" t="e">
        <f ca="1">_xll.BDH($C$603,"SALES_GROWTH","FQ2 2016","FQ2 2016","Currency=INR","Period=FQ","BEST_FPERIOD_OVERRIDE=FQ","FILING_STATUS=OR","EQY_CONSOLIDATED=Y","FA_ADJUSTED=GAAP","Sort=A","Dates=H","DateFormat=P","Fill=—","Direction=H","UseDPDF=Y")</f>
        <v>#NAME?</v>
      </c>
      <c r="U615" s="1" t="e">
        <f ca="1">_xll.BDH($C$603,"EBITDA_GROWTH","FQ2 2016","FQ2 2016","Currency=INR","Period=FQ","BEST_FPERIOD_OVERRIDE=FQ","FILING_STATUS=OR","EQY_CONSOLIDATED=Y","FA_ADJUSTED=GAAP","Sort=A","Dates=H","DateFormat=P","Fill=—","Direction=H","UseDPDF=Y")</f>
        <v>#NAME?</v>
      </c>
      <c r="V615" s="1" t="e">
        <f ca="1">_xll.BDH($C$603,"OPER_INC_GROWTH","FQ2 2016","FQ2 2016","Currency=INR","Period=FQ","BEST_FPERIOD_OVERRIDE=FQ","FILING_STATUS=OR","EQY_CONSOLIDATED=Y","FA_ADJUSTED=GAAP","Sort=A","Dates=H","DateFormat=P","Fill=—","Direction=H","UseDPDF=Y")</f>
        <v>#NAME?</v>
      </c>
      <c r="W615" s="1" t="e">
        <f ca="1">_xll.BDH($C$603,"EARN_FOR_COM_GROWTH","FQ2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615" s="1" t="e">
        <f ca="1">_xll.BDH($C$603,"DILUTED_EPS_AFT_XO_ITEMS_GROWTH","FQ2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615" s="1" t="e">
        <f ca="1">_xll.BDH($C$603,"DIVIDEND_PER_SHARE_1_YEAR_GROWTH","FQ2 2016","FQ2 2016","Currency=INR","Period=FQ","BEST_FPERIOD_OVERRIDE=FQ","FILING_STATUS=OR","EQY_CONSOLIDATED=Y","Sort=A","Dates=H","DateFormat=P","Fill=—","Direction=H","UseDPDF=Y")</f>
        <v>#NAME?</v>
      </c>
      <c r="Z615" s="1" t="e">
        <f ca="1">_xll.BDH($C$603,"ACCOUNTS_RECEIVABLE_GROWTH","FQ2 2016","FQ2 2016","Currency=INR","Period=FQ","BEST_FPERIOD_OVERRIDE=FQ","FILING_STATUS=OR","EQY_CONSOLIDATED=Y","Sort=A","Dates=H","DateFormat=P","Fill=—","Direction=H","UseDPDF=Y")</f>
        <v>#NAME?</v>
      </c>
      <c r="AA615" s="1" t="e">
        <f ca="1">_xll.BDH($C$603,"INVENTORY_GROWTH","FQ2 2016","FQ2 2016","Currency=INR","Period=FQ","BEST_FPERIOD_OVERRIDE=FQ","FILING_STATUS=OR","EQY_CONSOLIDATED=Y","Sort=A","Dates=H","DateFormat=P","Fill=—","Direction=H","UseDPDF=Y")</f>
        <v>#NAME?</v>
      </c>
      <c r="AB615" s="1" t="e">
        <f ca="1">_xll.BDH($C$603,"NET_FIXED_ASSETS_1_YEAR_GROWTH","FQ2 2016","FQ2 2016","Currency=INR","Period=FQ","BEST_FPERIOD_OVERRIDE=FQ","FILING_STATUS=OR","EQY_CONSOLIDATED=Y","Sort=A","Dates=H","DateFormat=P","Fill=—","Direction=H","UseDPDF=Y")</f>
        <v>#NAME?</v>
      </c>
      <c r="AC615" s="1" t="e">
        <f ca="1">_xll.BDH($C$603,"ASSET_GROWTH","FQ2 2016","FQ2 2016","Currency=INR","Period=FQ","BEST_FPERIOD_OVERRIDE=FQ","FILING_STATUS=OR","EQY_CONSOLIDATED=Y","Sort=A","Dates=H","DateFormat=P","Fill=—","Direction=H","UseDPDF=Y")</f>
        <v>#NAME?</v>
      </c>
      <c r="AD615" s="1" t="e">
        <f ca="1">_xll.BDH($C$603,"MODIFIED_WORK_CAP_GROWTH","FQ2 2016","FQ2 2016","Currency=INR","Period=FQ","BEST_FPERIOD_OVERRIDE=FQ","FILING_STATUS=OR","EQY_CONSOLIDATED=Y","Sort=A","Dates=H","DateFormat=P","Fill=—","Direction=H","UseDPDF=Y")</f>
        <v>#NAME?</v>
      </c>
      <c r="AE615" s="1" t="e">
        <f ca="1">_xll.BDH($C$603,"WORK_CAP_GROWTH","FQ2 2016","FQ2 2016","Currency=INR","Period=FQ","BEST_FPERIOD_OVERRIDE=FQ","FILING_STATUS=OR","EQY_CONSOLIDATED=Y","Sort=A","Dates=H","DateFormat=P","Fill=—","Direction=H","UseDPDF=Y")</f>
        <v>#NAME?</v>
      </c>
      <c r="AF615" s="1" t="e">
        <f ca="1">_xll.BDH($C$603,"ACCOUNTS_PAYABLE_GROWTH_1YR","FQ2 2016","FQ2 2016","Currency=INR","Period=FQ","BEST_FPERIOD_OVERRIDE=FQ","FILING_STATUS=OR","EQY_CONSOLIDATED=Y","Sort=A","Dates=H","DateFormat=P","Fill=—","Direction=H","UseDPDF=Y")</f>
        <v>#NAME?</v>
      </c>
      <c r="AG615" s="1" t="e">
        <f ca="1">_xll.BDH($C$603,"SHORT_TERM_DEBT_1_YEAR_GROWTH","FQ2 2016","FQ2 2016","Currency=INR","Period=FQ","BEST_FPERIOD_OVERRIDE=FQ","FILING_STATUS=OR","EQY_CONSOLIDATED=Y","Sort=A","Dates=H","DateFormat=P","Fill=—","Direction=H","UseDPDF=Y")</f>
        <v>#NAME?</v>
      </c>
      <c r="AH615" s="1" t="e">
        <f ca="1">_xll.BDH($C$603,"TOTAL_DEBT_1_YEAR_GROWTH","FQ2 2016","FQ2 2016","Currency=INR","Period=FQ","BEST_FPERIOD_OVERRIDE=FQ","FILING_STATUS=OR","EQY_CONSOLIDATED=Y","Sort=A","Dates=H","DateFormat=P","Fill=—","Direction=H","UseDPDF=Y")</f>
        <v>#NAME?</v>
      </c>
      <c r="AI615" s="1" t="e">
        <f ca="1">_xll.BDH($C$603,"TOTAL_EQUITY_1_YEAR_GROWTH","FQ2 2016","FQ2 2016","Currency=INR","Period=FQ","BEST_FPERIOD_OVERRIDE=FQ","FILING_STATUS=OR","EQY_CONSOLIDATED=Y","Sort=A","Dates=H","DateFormat=P","Fill=—","Direction=H","UseDPDF=Y")</f>
        <v>#NAME?</v>
      </c>
      <c r="AJ615" s="1" t="e">
        <f ca="1">_xll.BDH($C$603,"GROWTH_IN_CAP","FQ2 2016","FQ2 2016","Currency=INR","Period=FQ","BEST_FPERIOD_OVERRIDE=FQ","FILING_STATUS=OR","EQY_CONSOLIDATED=Y","Sort=A","Dates=H","DateFormat=P","Fill=—","Direction=H","UseDPDF=Y")</f>
        <v>#NAME?</v>
      </c>
      <c r="AK615" s="1" t="e">
        <f ca="1">_xll.BDH($C$603,"BVPS_GROWTH","FQ2 2016","FQ2 2016","Currency=INR","Period=FQ","BEST_FPERIOD_OVERRIDE=FQ","FILING_STATUS=OR","EQY_CONSOLIDATED=Y","Sort=A","Dates=H","DateFormat=P","Fill=—","Direction=H","UseDPDF=Y")</f>
        <v>#NAME?</v>
      </c>
      <c r="AL615" s="1" t="e">
        <f ca="1">_xll.BDH($C$603,"CASH_FLOW_GROWTH","FQ2 2016","FQ2 2016","Currency=INR","Period=FQ","BEST_FPERIOD_OVERRIDE=FQ","FILING_STATUS=OR","EQY_CONSOLIDATED=Y","Sort=A","Dates=H","DateFormat=P","Fill=—","Direction=H","UseDPDF=Y")</f>
        <v>#NAME?</v>
      </c>
      <c r="AM615" s="1" t="e">
        <f ca="1">_xll.BDH($C$603,"GEO_GROW_NET_SALES","FQ2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615" s="1" t="e">
        <f ca="1">_xll.BDH($C$603,"GEO_GROW_EBITDA","FQ2 2016","FQ2 2016","Currency=INR","Period=FQ","BEST_FPERIOD_OVERRIDE=FQ","FILING_STATUS=OR","EQY_CONSOLIDATED=Y","FA_ADJUSTED=GAAP","Sort=A","Dates=H","DateFormat=P","Fill=—","Direction=H","UseDPDF=Y")</f>
        <v>#NAME?</v>
      </c>
      <c r="AO615" s="1" t="e">
        <f ca="1">_xll.BDH($C$603,"GEO_GROW_OPER_INC","FQ2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615" s="1" t="e">
        <f ca="1">_xll.BDH($C$603,"NET_INCOME_TO_COMMON_5_YR_GROWTH","FQ2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615" s="1" t="e">
        <f ca="1">_xll.BDH($C$603,"5Y_GEO_GROWTH_DILUTED_EPS","FQ2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615" s="1" t="e">
        <f ca="1">_xll.BDH($C$603,"GEO_GROW_DVD_PER_SH","FQ2 2016","FQ2 2016","Currency=INR","Period=FQ","BEST_FPERIOD_OVERRIDE=FQ","FILING_STATUS=OR","EQY_CONSOLIDATED=Y","Sort=A","Dates=H","DateFormat=P","Fill=—","Direction=H","UseDPDF=Y")</f>
        <v>#NAME?</v>
      </c>
      <c r="AS615" s="1" t="e">
        <f ca="1">_xll.BDH($C$603,"ACCOUNTS_RECEIVABLE_5_YR_GROWTH","FQ2 2016","FQ2 2016","Currency=INR","Period=FQ","BEST_FPERIOD_OVERRIDE=FQ","FILING_STATUS=OR","EQY_CONSOLIDATED=Y","Sort=A","Dates=H","DateFormat=P","Fill=—","Direction=H","UseDPDF=Y")</f>
        <v>#NAME?</v>
      </c>
      <c r="AT615" s="1" t="e">
        <f ca="1">_xll.BDH($C$603,"INVENTORY_5_YEAR_GROWTH","FQ2 2016","FQ2 2016","Currency=INR","Period=FQ","BEST_FPERIOD_OVERRIDE=FQ","FILING_STATUS=OR","EQY_CONSOLIDATED=Y","Sort=A","Dates=H","DateFormat=P","Fill=—","Direction=H","UseDPDF=Y")</f>
        <v>#NAME?</v>
      </c>
      <c r="AU615" s="1" t="e">
        <f ca="1">_xll.BDH($C$603,"NET_FIXED_ASSETS_5_YEAR_GROWTH","FQ2 2016","FQ2 2016","Currency=INR","Period=FQ","BEST_FPERIOD_OVERRIDE=FQ","FILING_STATUS=OR","EQY_CONSOLIDATED=Y","Sort=A","Dates=H","DateFormat=P","Fill=—","Direction=H","UseDPDF=Y")</f>
        <v>#NAME?</v>
      </c>
      <c r="AV615" s="1" t="e">
        <f ca="1">_xll.BDH($C$603,"GEO_GROW_TOT_ASSET","FQ2 2016","FQ2 2016","Currency=INR","Period=FQ","BEST_FPERIOD_OVERRIDE=FQ","FILING_STATUS=OR","EQY_CONSOLIDATED=Y","Sort=A","Dates=H","DateFormat=P","Fill=—","Direction=H","UseDPDF=Y")</f>
        <v>#NAME?</v>
      </c>
      <c r="AW615" s="1" t="e">
        <f ca="1">_xll.BDH($C$603,"MODIFIED_WORKING_CPTL_5YR_GRWTH","FQ2 2016","FQ2 2016","Currency=INR","Period=FQ","BEST_FPERIOD_OVERRIDE=FQ","FILING_STATUS=OR","EQY_CONSOLIDATED=Y","Sort=A","Dates=H","DateFormat=P","Fill=—","Direction=H","UseDPDF=Y")</f>
        <v>#NAME?</v>
      </c>
      <c r="AX615" s="1" t="e">
        <f ca="1">_xll.BDH($C$603,"WORKING_CAPITAL_5_YEAR_GROWTH","FQ2 2016","FQ2 2016","Currency=INR","Period=FQ","BEST_FPERIOD_OVERRIDE=FQ","FILING_STATUS=OR","EQY_CONSOLIDATED=Y","Sort=A","Dates=H","DateFormat=P","Fill=—","Direction=H","UseDPDF=Y")</f>
        <v>#NAME?</v>
      </c>
      <c r="AY615" s="1" t="e">
        <f ca="1">_xll.BDH($C$603,"ACCOUNTS_PAYABLE_5_YEAR_GROWTH","FQ2 2016","FQ2 2016","Currency=INR","Period=FQ","BEST_FPERIOD_OVERRIDE=FQ","FILING_STATUS=OR","EQY_CONSOLIDATED=Y","Sort=A","Dates=H","DateFormat=P","Fill=—","Direction=H","UseDPDF=Y")</f>
        <v>#NAME?</v>
      </c>
      <c r="AZ615" s="1" t="e">
        <f ca="1">_xll.BDH($C$603,"SHORT_TERM_DEBT_5_YEAR_GROWTH","FQ2 2016","FQ2 2016","Currency=INR","Period=FQ","BEST_FPERIOD_OVERRIDE=FQ","FILING_STATUS=OR","EQY_CONSOLIDATED=Y","Sort=A","Dates=H","DateFormat=P","Fill=—","Direction=H","UseDPDF=Y")</f>
        <v>#NAME?</v>
      </c>
      <c r="BA615" s="1" t="e">
        <f ca="1">_xll.BDH($C$603,"TOTAL_DEBT_5_YEAR_GROWTH","FQ2 2016","FQ2 2016","Currency=INR","Period=FQ","BEST_FPERIOD_OVERRIDE=FQ","FILING_STATUS=OR","EQY_CONSOLIDATED=Y","Sort=A","Dates=H","DateFormat=P","Fill=—","Direction=H","UseDPDF=Y")</f>
        <v>#NAME?</v>
      </c>
      <c r="BB615" s="1" t="e">
        <f ca="1">_xll.BDH($C$603,"GEO_GROW_TOT_SHRHLDR_EQY","FQ2 2016","FQ2 2016","Currency=INR","Period=FQ","BEST_FPERIOD_OVERRIDE=FQ","FILING_STATUS=OR","EQY_CONSOLIDATED=Y","Sort=A","Dates=H","DateFormat=P","Fill=—","Direction=H","UseDPDF=Y")</f>
        <v>#NAME?</v>
      </c>
      <c r="BC615" s="1" t="e">
        <f ca="1">_xll.BDH($C$603,"TOTAL_CAPITAL_5_YEAR_GROWTH","FQ2 2016","FQ2 2016","Currency=INR","Period=FQ","BEST_FPERIOD_OVERRIDE=FQ","FILING_STATUS=OR","EQY_CONSOLIDATED=Y","Sort=A","Dates=H","DateFormat=P","Fill=—","Direction=H","UseDPDF=Y")</f>
        <v>#NAME?</v>
      </c>
      <c r="BD615" s="1" t="e">
        <f ca="1">_xll.BDH($C$603,"GEO_GROW_BOOK_VAL","FQ2 2016","FQ2 2016","Currency=INR","Period=FQ","BEST_FPERIOD_OVERRIDE=FQ","FILING_STATUS=OR","EQY_CONSOLIDATED=Y","Sort=A","Dates=H","DateFormat=P","Fill=—","Direction=H","UseDPDF=Y")</f>
        <v>#NAME?</v>
      </c>
      <c r="BE615" s="1" t="e">
        <f ca="1">_xll.BDH($C$603,"GEO_GROW_CASH_OPER_ACT","FQ2 2016","FQ2 2016","Currency=INR","Period=FQ","BEST_FPERIOD_OVERRIDE=FQ","FILING_STATUS=OR","EQY_CONSOLIDATED=Y","Sort=A","Dates=H","DateFormat=P","Fill=—","Direction=H","UseDPDF=Y")</f>
        <v>#NAME?</v>
      </c>
      <c r="BF615" s="1" t="e">
        <f ca="1">_xll.BDH($C$603,"REVENUE_SEQUENTIAL_GROWTH","FQ2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615" s="1" t="e">
        <f ca="1">_xll.BDH($C$603,"EBITDA_SEQUENTIAL_GROWTH","FQ2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615" s="1" t="e">
        <f ca="1">_xll.BDH($C$603,"OPERATING_INCOME_SEQ_GROWTH","FQ2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615" s="1" t="e">
        <f ca="1">_xll.BDH($C$603,"NET_INCOME_TO_COMMON_SEQ_GROWTH","FQ2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615" s="1" t="e">
        <f ca="1">_xll.BDH($C$603,"EPS_DILUTED_SEQUENTIAL_GROWTH","FQ2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615" s="1" t="e">
        <f ca="1">_xll.BDH($C$603,"DPS_SEQUENTIAL_GROWTH","FQ2 2016","FQ2 2016","Currency=INR","Period=FQ","BEST_FPERIOD_OVERRIDE=FQ","FILING_STATUS=OR","EQY_CONSOLIDATED=Y","Sort=A","Dates=H","DateFormat=P","Fill=—","Direction=H","UseDPDF=Y")</f>
        <v>#NAME?</v>
      </c>
      <c r="BL615" s="1" t="e">
        <f ca="1">_xll.BDH($C$603,"ACCOUNTS_RECEIVABLE_SEQ_GROWTH","FQ2 2016","FQ2 2016","Currency=INR","Period=FQ","BEST_FPERIOD_OVERRIDE=FQ","FILING_STATUS=OR","EQY_CONSOLIDATED=Y","Sort=A","Dates=H","DateFormat=P","Fill=—","Direction=H","UseDPDF=Y")</f>
        <v>#NAME?</v>
      </c>
      <c r="BM615" s="1" t="e">
        <f ca="1">_xll.BDH($C$603,"INVENTORY_SEQUENTIAL_GROWTH","FQ2 2016","FQ2 2016","Currency=INR","Period=FQ","BEST_FPERIOD_OVERRIDE=FQ","FILING_STATUS=OR","EQY_CONSOLIDATED=Y","Sort=A","Dates=H","DateFormat=P","Fill=—","Direction=H","UseDPDF=Y")</f>
        <v>#NAME?</v>
      </c>
      <c r="BN615" s="1" t="e">
        <f ca="1">_xll.BDH($C$603,"FIXED_ASSETS_SEQUENTIAL_GROWTH","FQ2 2016","FQ2 2016","Currency=INR","Period=FQ","BEST_FPERIOD_OVERRIDE=FQ","FILING_STATUS=OR","EQY_CONSOLIDATED=Y","Sort=A","Dates=H","DateFormat=P","Fill=—","Direction=H","UseDPDF=Y")</f>
        <v>#NAME?</v>
      </c>
      <c r="BO615" s="1" t="e">
        <f ca="1">_xll.BDH($C$603,"TOTAL_ASSETS_SEQUENTIAL_GROWTH","FQ2 2016","FQ2 2016","Currency=INR","Period=FQ","BEST_FPERIOD_OVERRIDE=FQ","FILING_STATUS=OR","EQY_CONSOLIDATED=Y","Sort=A","Dates=H","DateFormat=P","Fill=—","Direction=H","UseDPDF=Y")</f>
        <v>#NAME?</v>
      </c>
      <c r="BP615" s="1" t="e">
        <f ca="1">_xll.BDH($C$603,"MODIFIED_WORKING_CPTL_SEQ_GRWTH","FQ2 2016","FQ2 2016","Currency=INR","Period=FQ","BEST_FPERIOD_OVERRIDE=FQ","FILING_STATUS=OR","EQY_CONSOLIDATED=Y","Sort=A","Dates=H","DateFormat=P","Fill=—","Direction=H","UseDPDF=Y")</f>
        <v>#NAME?</v>
      </c>
      <c r="BQ615" s="1" t="e">
        <f ca="1">_xll.BDH($C$603,"WORKING_CAPITAL_SEQ_GROWTH","FQ2 2016","FQ2 2016","Currency=INR","Period=FQ","BEST_FPERIOD_OVERRIDE=FQ","FILING_STATUS=OR","EQY_CONSOLIDATED=Y","Sort=A","Dates=H","DateFormat=P","Fill=—","Direction=H","UseDPDF=Y")</f>
        <v>#NAME?</v>
      </c>
      <c r="BR615" s="1" t="e">
        <f ca="1">_xll.BDH($C$603,"ACCOUNTS_PAYABLE_SEQ_GROWTH","FQ2 2016","FQ2 2016","Currency=INR","Period=FQ","BEST_FPERIOD_OVERRIDE=FQ","FILING_STATUS=OR","EQY_CONSOLIDATED=Y","Sort=A","Dates=H","DateFormat=P","Fill=—","Direction=H","UseDPDF=Y")</f>
        <v>#NAME?</v>
      </c>
      <c r="BS615" s="1" t="e">
        <f ca="1">_xll.BDH($C$603,"ST_DEBT_SEQUENTIAL_GROWTH","FQ2 2016","FQ2 2016","Currency=INR","Period=FQ","BEST_FPERIOD_OVERRIDE=FQ","FILING_STATUS=OR","EQY_CONSOLIDATED=Y","Sort=A","Dates=H","DateFormat=P","Fill=—","Direction=H","UseDPDF=Y")</f>
        <v>#NAME?</v>
      </c>
      <c r="BT615" s="1" t="e">
        <f ca="1">_xll.BDH($C$603,"TOTAL_DEBT_SEQUENTIAL_GROWTH","FQ2 2016","FQ2 2016","Currency=INR","Period=FQ","BEST_FPERIOD_OVERRIDE=FQ","FILING_STATUS=OR","EQY_CONSOLIDATED=Y","Sort=A","Dates=H","DateFormat=P","Fill=—","Direction=H","UseDPDF=Y")</f>
        <v>#NAME?</v>
      </c>
      <c r="BU615" s="1" t="e">
        <f ca="1">_xll.BDH($C$603,"TOTAL_EQUITY_SEQUENTIAL_GROWTH","FQ2 2016","FQ2 2016","Currency=INR","Period=FQ","BEST_FPERIOD_OVERRIDE=FQ","FILING_STATUS=OR","EQY_CONSOLIDATED=Y","Sort=A","Dates=H","DateFormat=P","Fill=—","Direction=H","UseDPDF=Y")</f>
        <v>#NAME?</v>
      </c>
      <c r="BV615" s="1" t="e">
        <f ca="1">_xll.BDH($C$603,"TOTAL_CAPITAL_SEQUENTIAL_GROWTH","FQ2 2016","FQ2 2016","Currency=INR","Period=FQ","BEST_FPERIOD_OVERRIDE=FQ","FILING_STATUS=OR","EQY_CONSOLIDATED=Y","Sort=A","Dates=H","DateFormat=P","Fill=—","Direction=H","UseDPDF=Y")</f>
        <v>#NAME?</v>
      </c>
      <c r="BW615" s="1" t="e">
        <f ca="1">_xll.BDH($C$603,"BPS_SEQUENTIAL_GROWTH","FQ2 2016","FQ2 2016","Currency=INR","Period=FQ","BEST_FPERIOD_OVERRIDE=FQ","FILING_STATUS=OR","EQY_CONSOLIDATED=Y","Sort=A","Dates=H","DateFormat=P","Fill=—","Direction=H","UseDPDF=Y")</f>
        <v>#NAME?</v>
      </c>
      <c r="BX615" s="1" t="e">
        <f ca="1">_xll.BDH($C$603,"CFO_SEQUENTIAL_GROWTH","FQ2 2016","FQ2 2016","Currency=INR","Period=FQ","BEST_FPERIOD_OVERRIDE=FQ","FILING_STATUS=OR","EQY_CONSOLIDATED=Y","Sort=A","Dates=H","DateFormat=P","Fill=—","Direction=H","UseDPDF=Y")</f>
        <v>#NAME?</v>
      </c>
      <c r="BY615" s="2" t="e">
        <f ca="1">_xll.BDH($C$603,"SHORT_AND_LONG_TERM_DEBT","FQ2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615" s="2" t="e">
        <f ca="1">_xll.BDH($C$603,"BS_ST_BORROW","FQ2 2016","FQ2 2016","Currency=INR","Period=FQ","BEST_FPERIOD_OVERRIDE=FQ","FILING_STATUS=OR","EQY_CONSOLIDATED=Y","SCALING_FORMAT=MLN","Sort=A","Dates=H","DateFormat=P","Fill=—","Direction=H","UseDPDF=Y")</f>
        <v>#NAME?</v>
      </c>
      <c r="CA615" s="2" t="e">
        <f ca="1">_xll.BDH($C$603,"BS_LT_BORROW","FQ2 2016","FQ2 2016","Currency=INR","Period=FQ","BEST_FPERIOD_OVERRIDE=FQ","FILING_STATUS=OR","EQY_CONSOLIDATED=Y","SCALING_FORMAT=MLN","Sort=A","Dates=H","DateFormat=P","Fill=—","Direction=H","UseDPDF=Y")</f>
        <v>#NAME?</v>
      </c>
      <c r="CB615" s="1" t="e">
        <f ca="1">_xll.BDH($C$603,"TOT_DEBT_TO_EBITDA","FQ2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615" s="1" t="e">
        <f ca="1">_xll.BDH($C$603,"NET_DEBT_TO_EBITDA","FQ2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615" s="1" t="e">
        <f ca="1">_xll.BDH($C$603,"TOTAL_DEBT_TO_EBIT","FQ2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615" s="1" t="e">
        <f ca="1">_xll.BDH($C$603,"NET_DEBT_TO_EBIT","FQ2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615" s="1" t="e">
        <f ca="1">_xll.BDH($C$603,"EBITDA_TO_INTEREST_EXPN","FQ2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615" s="1" t="e">
        <f ca="1">_xll.BDH($C$603,"COM_EQY_TO_TOT_ASSET","FQ2 2016","FQ2 2016","Currency=INR","Period=FQ","BEST_FPERIOD_OVERRIDE=FQ","FILING_STATUS=OR","EQY_CONSOLIDATED=Y","Sort=A","Dates=H","DateFormat=P","Fill=—","Direction=H","UseDPDF=Y")</f>
        <v>#NAME?</v>
      </c>
      <c r="CH615" s="1" t="e">
        <f ca="1">_xll.BDH($C$603,"LT_DEBT_TO_TOT_EQY","FQ2 2016","FQ2 2016","Currency=INR","Period=FQ","BEST_FPERIOD_OVERRIDE=FQ","FILING_STATUS=OR","EQY_CONSOLIDATED=Y","Sort=A","Dates=H","DateFormat=P","Fill=—","Direction=H","UseDPDF=Y")</f>
        <v>#NAME?</v>
      </c>
      <c r="CI615" s="1" t="e">
        <f ca="1">_xll.BDH($C$603,"LT_DEBT_TO_TOT_CAP","FQ2 2016","FQ2 2016","Currency=INR","Period=FQ","BEST_FPERIOD_OVERRIDE=FQ","FILING_STATUS=OR","EQY_CONSOLIDATED=Y","Sort=A","Dates=H","DateFormat=P","Fill=—","Direction=H","UseDPDF=Y")</f>
        <v>#NAME?</v>
      </c>
      <c r="CJ615" s="1" t="e">
        <f ca="1">_xll.BDH($C$603,"LT_DEBT_TO_TOT_ASSET","FQ2 2016","FQ2 2016","Currency=INR","Period=FQ","BEST_FPERIOD_OVERRIDE=FQ","FILING_STATUS=OR","EQY_CONSOLIDATED=Y","Sort=A","Dates=H","DateFormat=P","Fill=—","Direction=H","UseDPDF=Y")</f>
        <v>#NAME?</v>
      </c>
      <c r="CK615" s="1" t="e">
        <f ca="1">_xll.BDH($C$603,"TOT_DEBT_TO_TOT_EQY","FQ2 2016","FQ2 2016","Currency=INR","Period=FQ","BEST_FPERIOD_OVERRIDE=FQ","FILING_STATUS=OR","EQY_CONSOLIDATED=Y","Sort=A","Dates=H","DateFormat=P","Fill=—","Direction=H","UseDPDF=Y")</f>
        <v>#NAME?</v>
      </c>
      <c r="CL615" s="1" t="e">
        <f ca="1">_xll.BDH($C$603,"TOT_DEBT_TO_TOT_CAP","FQ2 2016","FQ2 2016","Currency=INR","Period=FQ","BEST_FPERIOD_OVERRIDE=FQ","FILING_STATUS=OR","EQY_CONSOLIDATED=Y","Sort=A","Dates=H","DateFormat=P","Fill=—","Direction=H","UseDPDF=Y")</f>
        <v>#NAME?</v>
      </c>
      <c r="CM615" s="1" t="e">
        <f ca="1">_xll.BDH($C$603,"TOT_DEBT_TO_TOT_ASSET","FQ2 2016","FQ2 2016","Currency=INR","Period=FQ","BEST_FPERIOD_OVERRIDE=FQ","FILING_STATUS=OR","EQY_CONSOLIDATED=Y","Sort=A","Dates=H","DateFormat=P","Fill=—","Direction=H","UseDPDF=Y")</f>
        <v>#NAME?</v>
      </c>
      <c r="CN615" s="1" t="e">
        <f ca="1">_xll.BDH($C$603,"NET_DEBT_TO_SHRHLDR_EQTY","FQ2 2016","FQ2 2016","Currency=INR","Period=FQ","BEST_FPERIOD_OVERRIDE=FQ","FILING_STATUS=OR","EQY_CONSOLIDATED=Y","Sort=A","Dates=H","DateFormat=P","Fill=—","Direction=H","UseDPDF=Y")</f>
        <v>#NAME?</v>
      </c>
      <c r="CO615" s="1" t="e">
        <f ca="1">_xll.BDH($C$603,"NET_DEBT_%_CAPITAL","FQ2 2016","FQ2 2016","Currency=INR","Period=FQ","BEST_FPERIOD_OVERRIDE=FQ","FILING_STATUS=OR","EQY_CONSOLIDATED=Y","Sort=A","Dates=H","DateFormat=P","Fill=—","Direction=H","UseDPDF=Y")</f>
        <v>#NAME?</v>
      </c>
      <c r="CP615" s="2" t="e">
        <f ca="1">_xll.BDH($C$603,"EBITDA","FQ2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615" s="2" t="e">
        <f ca="1">_xll.BDH($C$603,"EBITDA_AFTER_CAPEX","FQ2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615" s="2" t="e">
        <f ca="1">_xll.BDH($C$603,"IS_OPER_INC","FQ2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615" s="1" t="e">
        <f ca="1">_xll.BDH($C$603,"CASH_RATIO","FQ2 2016","FQ2 2016","Currency=INR","Period=FQ","BEST_FPERIOD_OVERRIDE=FQ","FILING_STATUS=OR","EQY_CONSOLIDATED=Y","Sort=A","Dates=H","DateFormat=P","Fill=—","Direction=H","UseDPDF=Y")</f>
        <v>#NAME?</v>
      </c>
      <c r="CT615" s="1" t="e">
        <f ca="1">_xll.BDH($C$603,"CUR_RATIO","FQ2 2016","FQ2 2016","Currency=INR","Period=FQ","BEST_FPERIOD_OVERRIDE=FQ","FILING_STATUS=OR","EQY_CONSOLIDATED=Y","Sort=A","Dates=H","DateFormat=P","Fill=—","Direction=H","UseDPDF=Y")</f>
        <v>#NAME?</v>
      </c>
      <c r="CU615" s="1" t="e">
        <f ca="1">_xll.BDH($C$603,"QUICK_RATIO","FQ2 2016","FQ2 2016","Currency=INR","Period=FQ","BEST_FPERIOD_OVERRIDE=FQ","FILING_STATUS=OR","EQY_CONSOLIDATED=Y","Sort=A","Dates=H","DateFormat=P","Fill=—","Direction=H","UseDPDF=Y")</f>
        <v>#NAME?</v>
      </c>
      <c r="CV615" s="1" t="e">
        <f ca="1">_xll.BDH($C$603,"ALTMAN_Z_SCORE","FQ2 2016","FQ2 2016","Currency=INR","Period=FQ","BEST_FPERIOD_OVERRIDE=FQ","FILING_STATUS=OR","EQY_CONSOLIDATED=Y","Sort=A","Dates=H","DateFormat=P","Fill=—","Direction=H","UseDPDF=Y")</f>
        <v>#NAME?</v>
      </c>
      <c r="CW615" s="3" t="e">
        <f ca="1">_xll.BDH($C$603,"ACCT_RCV_TURN","FQ2 2016","FQ2 2016","Currency=INR","Period=FQ","BEST_FPERIOD_OVERRIDE=FQ","FILING_STATUS=OR","EQY_CONSOLIDATED=Y","FA_ADJUSTED=GAAP","Sort=A","Dates=H","DateFormat=P","Fill=—","Direction=H","UseDPDF=Y")</f>
        <v>#NAME?</v>
      </c>
      <c r="CX615" s="1" t="e">
        <f ca="1">_xll.BDH($C$603,"ACCT_RCV_DAYS","FQ2 2016","FQ2 2016","Currency=INR","Period=FQ","BEST_FPERIOD_OVERRIDE=FQ","FILING_STATUS=OR","EQY_CONSOLIDATED=Y","FA_ADJUSTED=GAAP","Sort=A","Dates=H","DateFormat=P","Fill=—","Direction=H","UseDPDF=Y")</f>
        <v>#NAME?</v>
      </c>
      <c r="CY615" s="3" t="e">
        <f ca="1">_xll.BDH($C$603,"INVENT_TURN","FQ2 2016","FQ2 2016","Currency=INR","Period=FQ","BEST_FPERIOD_OVERRIDE=FQ","FILING_STATUS=OR","EQY_CONSOLIDATED=Y","FA_ADJUSTED=GAAP","Sort=A","Dates=H","DateFormat=P","Fill=—","Direction=H","UseDPDF=Y")</f>
        <v>#NAME?</v>
      </c>
      <c r="CZ615" s="1" t="e">
        <f ca="1">_xll.BDH($C$603,"INVENT_DAYS","FQ2 2016","FQ2 2016","Currency=INR","Period=FQ","BEST_FPERIOD_OVERRIDE=FQ","FILING_STATUS=OR","EQY_CONSOLIDATED=Y","FA_ADJUSTED=GAAP","Sort=A","Dates=H","DateFormat=P","Fill=—","Direction=H","UseDPDF=Y")</f>
        <v>#NAME?</v>
      </c>
      <c r="DA615" s="3" t="e">
        <f ca="1">_xll.BDH($C$603,"ACCOUNTS_PAYABLE_TURNOVER","FQ2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615" s="1" t="e">
        <f ca="1">_xll.BDH($C$603,"ACCOUNTS_PAYABLE_TURNOVER_DAYS","FQ2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615" s="3" t="e">
        <f ca="1">_xll.BDH($C$603,"CASH_CONVERSION_CYCLE","FQ2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615" s="3" t="e">
        <f ca="1">_xll.BDH($C$603,"INV_TO_CASH_DAYS","FQ2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615" s="4" t="e">
        <f ca="1">_xll.BDH($C$603,"BS_INVENTORIES","FQ2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615" s="2" t="e">
        <f ca="1">_xll.BDH($C$603,"INVTRY_RAW_MATERIALS","FQ2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615" s="2" t="e">
        <f ca="1">_xll.BDH($C$603,"INVTRY_IN_PROGRESS","FQ2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615" s="2" t="e">
        <f ca="1">_xll.BDH($C$603,"INVTRY_FINISHED_GOODS","FQ2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615" s="2" t="e">
        <f ca="1">_xll.BDH($C$603,"BS_OTHER_INV","FQ2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616" spans="1:113" x14ac:dyDescent="0.3">
      <c r="A616" s="6"/>
      <c r="B616" s="6"/>
      <c r="C616" s="6"/>
      <c r="D616" s="6"/>
      <c r="E616" t="s">
        <v>6</v>
      </c>
      <c r="F616" t="e">
        <f ca="1">_xll.BDH($C$603,"RETURN_COM_EQY","FQ3 2016","FQ3 2016","Currency=INR","Period=FQ","BEST_FPERIOD_OVERRIDE=FQ","FILING_STATUS=OR","EQY_CONSOLIDATED=Y","FA_ADJUSTED=GAAP","Sort=A","Dates=H","DateFormat=P","Fill=—","Direction=H","UseDPDF=Y")</f>
        <v>#NAME?</v>
      </c>
      <c r="G616" t="e">
        <f ca="1">_xll.BDH($C$603,"RETURN_ON_ASSET","FQ3 2016","FQ3 2016","Currency=INR","Period=FQ","BEST_FPERIOD_OVERRIDE=FQ","FILING_STATUS=OR","EQY_CONSOLIDATED=Y","FA_ADJUSTED=GAAP","Sort=A","Dates=H","DateFormat=P","Fill=—","Direction=H","UseDPDF=Y")</f>
        <v>#NAME?</v>
      </c>
      <c r="H616" t="e">
        <f ca="1">_xll.BDH($C$603,"RETURN_ON_CAP","FQ3 2016","FQ3 2016","Currency=INR","Period=FQ","BEST_FPERIOD_OVERRIDE=FQ","FILING_STATUS=OR","EQY_CONSOLIDATED=Y","FA_ADJUSTED=GAAP","Sort=A","Dates=H","DateFormat=P","Fill=—","Direction=H","UseDPDF=Y")</f>
        <v>#NAME?</v>
      </c>
      <c r="I616" t="e">
        <f ca="1">_xll.BDH($C$603,"RETURN_ON_INV_CAPITAL","FQ3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616" t="e">
        <f ca="1">_xll.BDH($C$603,"EBITDA_TO_REVENUE","FQ3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616" t="e">
        <f ca="1">_xll.BDH($C$603,"OPER_MARGIN","FQ3 2016","FQ3 2016","Currency=INR","Period=FQ","BEST_FPERIOD_OVERRIDE=FQ","FILING_STATUS=OR","EQY_CONSOLIDATED=Y","FA_ADJUSTED=GAAP","Sort=A","Dates=H","DateFormat=P","Fill=—","Direction=H","UseDPDF=Y")</f>
        <v>#NAME?</v>
      </c>
      <c r="L616" t="e">
        <f ca="1">_xll.BDH($C$603,"INCREMENTAL_OPERATING_MARGIN","FQ3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616" t="e">
        <f ca="1">_xll.BDH($C$603,"PRETAX_INC_TO_NET_SALES","FQ3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616" t="e">
        <f ca="1">_xll.BDH($C$603,"INC_BEF_XO_ITEMS_TO_NET_SALES","FQ3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616" t="e">
        <f ca="1">_xll.BDH($C$603,"PROF_MARGIN","FQ3 2016","FQ3 2016","Currency=INR","Period=FQ","BEST_FPERIOD_OVERRIDE=FQ","FILING_STATUS=OR","EQY_CONSOLIDATED=Y","FA_ADJUSTED=GAAP","Sort=A","Dates=H","DateFormat=P","Fill=—","Direction=H","UseDPDF=Y")</f>
        <v>#NAME?</v>
      </c>
      <c r="P616" t="e">
        <f ca="1">_xll.BDH($C$603,"NET_INCOME_TO_COMMON_MARGIN","FQ3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616" t="e">
        <f ca="1">_xll.BDH($C$603,"EFF_TAX_RATE","FQ3 2016","FQ3 2016","Currency=INR","Period=FQ","BEST_FPERIOD_OVERRIDE=FQ","FILING_STATUS=OR","EQY_CONSOLIDATED=Y","FA_ADJUSTED=GAAP","Sort=A","Dates=H","DateFormat=P","Fill=—","Direction=H","UseDPDF=Y")</f>
        <v>#NAME?</v>
      </c>
      <c r="R616" t="e">
        <f ca="1">_xll.BDH($C$603,"DVD_PAYOUT_RATIO","FQ3 2016","FQ3 2016","Currency=INR","Period=FQ","BEST_FPERIOD_OVERRIDE=FQ","FILING_STATUS=OR","EQY_CONSOLIDATED=Y","FA_ADJUSTED=GAAP","Sort=A","Dates=H","DateFormat=P","Fill=—","Direction=H","UseDPDF=Y")</f>
        <v>#NAME?</v>
      </c>
      <c r="S616" t="e">
        <f ca="1">_xll.BDH($C$603,"SUSTAIN_GROWTH_RT","FQ3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616" s="1" t="e">
        <f ca="1">_xll.BDH($C$603,"SALES_GROWTH","FQ3 2016","FQ3 2016","Currency=INR","Period=FQ","BEST_FPERIOD_OVERRIDE=FQ","FILING_STATUS=OR","EQY_CONSOLIDATED=Y","FA_ADJUSTED=GAAP","Sort=A","Dates=H","DateFormat=P","Fill=—","Direction=H","UseDPDF=Y")</f>
        <v>#NAME?</v>
      </c>
      <c r="U616" s="1" t="e">
        <f ca="1">_xll.BDH($C$603,"EBITDA_GROWTH","FQ3 2016","FQ3 2016","Currency=INR","Period=FQ","BEST_FPERIOD_OVERRIDE=FQ","FILING_STATUS=OR","EQY_CONSOLIDATED=Y","FA_ADJUSTED=GAAP","Sort=A","Dates=H","DateFormat=P","Fill=—","Direction=H","UseDPDF=Y")</f>
        <v>#NAME?</v>
      </c>
      <c r="V616" s="1" t="e">
        <f ca="1">_xll.BDH($C$603,"OPER_INC_GROWTH","FQ3 2016","FQ3 2016","Currency=INR","Period=FQ","BEST_FPERIOD_OVERRIDE=FQ","FILING_STATUS=OR","EQY_CONSOLIDATED=Y","FA_ADJUSTED=GAAP","Sort=A","Dates=H","DateFormat=P","Fill=—","Direction=H","UseDPDF=Y")</f>
        <v>#NAME?</v>
      </c>
      <c r="W616" s="1" t="e">
        <f ca="1">_xll.BDH($C$603,"EARN_FOR_COM_GROWTH","FQ3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616" s="1" t="e">
        <f ca="1">_xll.BDH($C$603,"DILUTED_EPS_AFT_XO_ITEMS_GROWTH","FQ3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616" s="1" t="e">
        <f ca="1">_xll.BDH($C$603,"DIVIDEND_PER_SHARE_1_YEAR_GROWTH","FQ3 2016","FQ3 2016","Currency=INR","Period=FQ","BEST_FPERIOD_OVERRIDE=FQ","FILING_STATUS=OR","EQY_CONSOLIDATED=Y","Sort=A","Dates=H","DateFormat=P","Fill=—","Direction=H","UseDPDF=Y")</f>
        <v>#NAME?</v>
      </c>
      <c r="Z616" s="1" t="e">
        <f ca="1">_xll.BDH($C$603,"ACCOUNTS_RECEIVABLE_GROWTH","FQ3 2016","FQ3 2016","Currency=INR","Period=FQ","BEST_FPERIOD_OVERRIDE=FQ","FILING_STATUS=OR","EQY_CONSOLIDATED=Y","Sort=A","Dates=H","DateFormat=P","Fill=—","Direction=H","UseDPDF=Y")</f>
        <v>#NAME?</v>
      </c>
      <c r="AA616" s="1" t="e">
        <f ca="1">_xll.BDH($C$603,"INVENTORY_GROWTH","FQ3 2016","FQ3 2016","Currency=INR","Period=FQ","BEST_FPERIOD_OVERRIDE=FQ","FILING_STATUS=OR","EQY_CONSOLIDATED=Y","Sort=A","Dates=H","DateFormat=P","Fill=—","Direction=H","UseDPDF=Y")</f>
        <v>#NAME?</v>
      </c>
      <c r="AB616" s="1" t="e">
        <f ca="1">_xll.BDH($C$603,"NET_FIXED_ASSETS_1_YEAR_GROWTH","FQ3 2016","FQ3 2016","Currency=INR","Period=FQ","BEST_FPERIOD_OVERRIDE=FQ","FILING_STATUS=OR","EQY_CONSOLIDATED=Y","Sort=A","Dates=H","DateFormat=P","Fill=—","Direction=H","UseDPDF=Y")</f>
        <v>#NAME?</v>
      </c>
      <c r="AC616" s="1" t="e">
        <f ca="1">_xll.BDH($C$603,"ASSET_GROWTH","FQ3 2016","FQ3 2016","Currency=INR","Period=FQ","BEST_FPERIOD_OVERRIDE=FQ","FILING_STATUS=OR","EQY_CONSOLIDATED=Y","Sort=A","Dates=H","DateFormat=P","Fill=—","Direction=H","UseDPDF=Y")</f>
        <v>#NAME?</v>
      </c>
      <c r="AD616" s="1" t="e">
        <f ca="1">_xll.BDH($C$603,"MODIFIED_WORK_CAP_GROWTH","FQ3 2016","FQ3 2016","Currency=INR","Period=FQ","BEST_FPERIOD_OVERRIDE=FQ","FILING_STATUS=OR","EQY_CONSOLIDATED=Y","Sort=A","Dates=H","DateFormat=P","Fill=—","Direction=H","UseDPDF=Y")</f>
        <v>#NAME?</v>
      </c>
      <c r="AE616" s="1" t="e">
        <f ca="1">_xll.BDH($C$603,"WORK_CAP_GROWTH","FQ3 2016","FQ3 2016","Currency=INR","Period=FQ","BEST_FPERIOD_OVERRIDE=FQ","FILING_STATUS=OR","EQY_CONSOLIDATED=Y","Sort=A","Dates=H","DateFormat=P","Fill=—","Direction=H","UseDPDF=Y")</f>
        <v>#NAME?</v>
      </c>
      <c r="AF616" s="1" t="e">
        <f ca="1">_xll.BDH($C$603,"ACCOUNTS_PAYABLE_GROWTH_1YR","FQ3 2016","FQ3 2016","Currency=INR","Period=FQ","BEST_FPERIOD_OVERRIDE=FQ","FILING_STATUS=OR","EQY_CONSOLIDATED=Y","Sort=A","Dates=H","DateFormat=P","Fill=—","Direction=H","UseDPDF=Y")</f>
        <v>#NAME?</v>
      </c>
      <c r="AG616" s="1" t="e">
        <f ca="1">_xll.BDH($C$603,"SHORT_TERM_DEBT_1_YEAR_GROWTH","FQ3 2016","FQ3 2016","Currency=INR","Period=FQ","BEST_FPERIOD_OVERRIDE=FQ","FILING_STATUS=OR","EQY_CONSOLIDATED=Y","Sort=A","Dates=H","DateFormat=P","Fill=—","Direction=H","UseDPDF=Y")</f>
        <v>#NAME?</v>
      </c>
      <c r="AH616" s="1" t="e">
        <f ca="1">_xll.BDH($C$603,"TOTAL_DEBT_1_YEAR_GROWTH","FQ3 2016","FQ3 2016","Currency=INR","Period=FQ","BEST_FPERIOD_OVERRIDE=FQ","FILING_STATUS=OR","EQY_CONSOLIDATED=Y","Sort=A","Dates=H","DateFormat=P","Fill=—","Direction=H","UseDPDF=Y")</f>
        <v>#NAME?</v>
      </c>
      <c r="AI616" s="1" t="e">
        <f ca="1">_xll.BDH($C$603,"TOTAL_EQUITY_1_YEAR_GROWTH","FQ3 2016","FQ3 2016","Currency=INR","Period=FQ","BEST_FPERIOD_OVERRIDE=FQ","FILING_STATUS=OR","EQY_CONSOLIDATED=Y","Sort=A","Dates=H","DateFormat=P","Fill=—","Direction=H","UseDPDF=Y")</f>
        <v>#NAME?</v>
      </c>
      <c r="AJ616" s="1" t="e">
        <f ca="1">_xll.BDH($C$603,"GROWTH_IN_CAP","FQ3 2016","FQ3 2016","Currency=INR","Period=FQ","BEST_FPERIOD_OVERRIDE=FQ","FILING_STATUS=OR","EQY_CONSOLIDATED=Y","Sort=A","Dates=H","DateFormat=P","Fill=—","Direction=H","UseDPDF=Y")</f>
        <v>#NAME?</v>
      </c>
      <c r="AK616" s="1" t="e">
        <f ca="1">_xll.BDH($C$603,"BVPS_GROWTH","FQ3 2016","FQ3 2016","Currency=INR","Period=FQ","BEST_FPERIOD_OVERRIDE=FQ","FILING_STATUS=OR","EQY_CONSOLIDATED=Y","Sort=A","Dates=H","DateFormat=P","Fill=—","Direction=H","UseDPDF=Y")</f>
        <v>#NAME?</v>
      </c>
      <c r="AL616" s="1" t="e">
        <f ca="1">_xll.BDH($C$603,"CASH_FLOW_GROWTH","FQ3 2016","FQ3 2016","Currency=INR","Period=FQ","BEST_FPERIOD_OVERRIDE=FQ","FILING_STATUS=OR","EQY_CONSOLIDATED=Y","Sort=A","Dates=H","DateFormat=P","Fill=—","Direction=H","UseDPDF=Y")</f>
        <v>#NAME?</v>
      </c>
      <c r="AM616" s="1" t="e">
        <f ca="1">_xll.BDH($C$603,"GEO_GROW_NET_SALES","FQ3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616" s="1" t="e">
        <f ca="1">_xll.BDH($C$603,"GEO_GROW_EBITDA","FQ3 2016","FQ3 2016","Currency=INR","Period=FQ","BEST_FPERIOD_OVERRIDE=FQ","FILING_STATUS=OR","EQY_CONSOLIDATED=Y","FA_ADJUSTED=GAAP","Sort=A","Dates=H","DateFormat=P","Fill=—","Direction=H","UseDPDF=Y")</f>
        <v>#NAME?</v>
      </c>
      <c r="AO616" s="1" t="e">
        <f ca="1">_xll.BDH($C$603,"GEO_GROW_OPER_INC","FQ3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616" s="1" t="e">
        <f ca="1">_xll.BDH($C$603,"NET_INCOME_TO_COMMON_5_YR_GROWTH","FQ3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616" s="1" t="e">
        <f ca="1">_xll.BDH($C$603,"5Y_GEO_GROWTH_DILUTED_EPS","FQ3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616" s="1" t="e">
        <f ca="1">_xll.BDH($C$603,"GEO_GROW_DVD_PER_SH","FQ3 2016","FQ3 2016","Currency=INR","Period=FQ","BEST_FPERIOD_OVERRIDE=FQ","FILING_STATUS=OR","EQY_CONSOLIDATED=Y","Sort=A","Dates=H","DateFormat=P","Fill=—","Direction=H","UseDPDF=Y")</f>
        <v>#NAME?</v>
      </c>
      <c r="AS616" s="1" t="e">
        <f ca="1">_xll.BDH($C$603,"ACCOUNTS_RECEIVABLE_5_YR_GROWTH","FQ3 2016","FQ3 2016","Currency=INR","Period=FQ","BEST_FPERIOD_OVERRIDE=FQ","FILING_STATUS=OR","EQY_CONSOLIDATED=Y","Sort=A","Dates=H","DateFormat=P","Fill=—","Direction=H","UseDPDF=Y")</f>
        <v>#NAME?</v>
      </c>
      <c r="AT616" s="1" t="e">
        <f ca="1">_xll.BDH($C$603,"INVENTORY_5_YEAR_GROWTH","FQ3 2016","FQ3 2016","Currency=INR","Period=FQ","BEST_FPERIOD_OVERRIDE=FQ","FILING_STATUS=OR","EQY_CONSOLIDATED=Y","Sort=A","Dates=H","DateFormat=P","Fill=—","Direction=H","UseDPDF=Y")</f>
        <v>#NAME?</v>
      </c>
      <c r="AU616" s="1" t="e">
        <f ca="1">_xll.BDH($C$603,"NET_FIXED_ASSETS_5_YEAR_GROWTH","FQ3 2016","FQ3 2016","Currency=INR","Period=FQ","BEST_FPERIOD_OVERRIDE=FQ","FILING_STATUS=OR","EQY_CONSOLIDATED=Y","Sort=A","Dates=H","DateFormat=P","Fill=—","Direction=H","UseDPDF=Y")</f>
        <v>#NAME?</v>
      </c>
      <c r="AV616" s="1" t="e">
        <f ca="1">_xll.BDH($C$603,"GEO_GROW_TOT_ASSET","FQ3 2016","FQ3 2016","Currency=INR","Period=FQ","BEST_FPERIOD_OVERRIDE=FQ","FILING_STATUS=OR","EQY_CONSOLIDATED=Y","Sort=A","Dates=H","DateFormat=P","Fill=—","Direction=H","UseDPDF=Y")</f>
        <v>#NAME?</v>
      </c>
      <c r="AW616" s="1" t="e">
        <f ca="1">_xll.BDH($C$603,"MODIFIED_WORKING_CPTL_5YR_GRWTH","FQ3 2016","FQ3 2016","Currency=INR","Period=FQ","BEST_FPERIOD_OVERRIDE=FQ","FILING_STATUS=OR","EQY_CONSOLIDATED=Y","Sort=A","Dates=H","DateFormat=P","Fill=—","Direction=H","UseDPDF=Y")</f>
        <v>#NAME?</v>
      </c>
      <c r="AX616" s="1" t="e">
        <f ca="1">_xll.BDH($C$603,"WORKING_CAPITAL_5_YEAR_GROWTH","FQ3 2016","FQ3 2016","Currency=INR","Period=FQ","BEST_FPERIOD_OVERRIDE=FQ","FILING_STATUS=OR","EQY_CONSOLIDATED=Y","Sort=A","Dates=H","DateFormat=P","Fill=—","Direction=H","UseDPDF=Y")</f>
        <v>#NAME?</v>
      </c>
      <c r="AY616" s="1" t="e">
        <f ca="1">_xll.BDH($C$603,"ACCOUNTS_PAYABLE_5_YEAR_GROWTH","FQ3 2016","FQ3 2016","Currency=INR","Period=FQ","BEST_FPERIOD_OVERRIDE=FQ","FILING_STATUS=OR","EQY_CONSOLIDATED=Y","Sort=A","Dates=H","DateFormat=P","Fill=—","Direction=H","UseDPDF=Y")</f>
        <v>#NAME?</v>
      </c>
      <c r="AZ616" s="1" t="e">
        <f ca="1">_xll.BDH($C$603,"SHORT_TERM_DEBT_5_YEAR_GROWTH","FQ3 2016","FQ3 2016","Currency=INR","Period=FQ","BEST_FPERIOD_OVERRIDE=FQ","FILING_STATUS=OR","EQY_CONSOLIDATED=Y","Sort=A","Dates=H","DateFormat=P","Fill=—","Direction=H","UseDPDF=Y")</f>
        <v>#NAME?</v>
      </c>
      <c r="BA616" s="1" t="e">
        <f ca="1">_xll.BDH($C$603,"TOTAL_DEBT_5_YEAR_GROWTH","FQ3 2016","FQ3 2016","Currency=INR","Period=FQ","BEST_FPERIOD_OVERRIDE=FQ","FILING_STATUS=OR","EQY_CONSOLIDATED=Y","Sort=A","Dates=H","DateFormat=P","Fill=—","Direction=H","UseDPDF=Y")</f>
        <v>#NAME?</v>
      </c>
      <c r="BB616" s="1" t="e">
        <f ca="1">_xll.BDH($C$603,"GEO_GROW_TOT_SHRHLDR_EQY","FQ3 2016","FQ3 2016","Currency=INR","Period=FQ","BEST_FPERIOD_OVERRIDE=FQ","FILING_STATUS=OR","EQY_CONSOLIDATED=Y","Sort=A","Dates=H","DateFormat=P","Fill=—","Direction=H","UseDPDF=Y")</f>
        <v>#NAME?</v>
      </c>
      <c r="BC616" s="1" t="e">
        <f ca="1">_xll.BDH($C$603,"TOTAL_CAPITAL_5_YEAR_GROWTH","FQ3 2016","FQ3 2016","Currency=INR","Period=FQ","BEST_FPERIOD_OVERRIDE=FQ","FILING_STATUS=OR","EQY_CONSOLIDATED=Y","Sort=A","Dates=H","DateFormat=P","Fill=—","Direction=H","UseDPDF=Y")</f>
        <v>#NAME?</v>
      </c>
      <c r="BD616" s="1" t="e">
        <f ca="1">_xll.BDH($C$603,"GEO_GROW_BOOK_VAL","FQ3 2016","FQ3 2016","Currency=INR","Period=FQ","BEST_FPERIOD_OVERRIDE=FQ","FILING_STATUS=OR","EQY_CONSOLIDATED=Y","Sort=A","Dates=H","DateFormat=P","Fill=—","Direction=H","UseDPDF=Y")</f>
        <v>#NAME?</v>
      </c>
      <c r="BE616" s="1" t="e">
        <f ca="1">_xll.BDH($C$603,"GEO_GROW_CASH_OPER_ACT","FQ3 2016","FQ3 2016","Currency=INR","Period=FQ","BEST_FPERIOD_OVERRIDE=FQ","FILING_STATUS=OR","EQY_CONSOLIDATED=Y","Sort=A","Dates=H","DateFormat=P","Fill=—","Direction=H","UseDPDF=Y")</f>
        <v>#NAME?</v>
      </c>
      <c r="BF616" s="1" t="e">
        <f ca="1">_xll.BDH($C$603,"REVENUE_SEQUENTIAL_GROWTH","FQ3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616" s="1" t="e">
        <f ca="1">_xll.BDH($C$603,"EBITDA_SEQUENTIAL_GROWTH","FQ3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616" s="1" t="e">
        <f ca="1">_xll.BDH($C$603,"OPERATING_INCOME_SEQ_GROWTH","FQ3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616" s="1" t="e">
        <f ca="1">_xll.BDH($C$603,"NET_INCOME_TO_COMMON_SEQ_GROWTH","FQ3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616" s="1" t="e">
        <f ca="1">_xll.BDH($C$603,"EPS_DILUTED_SEQUENTIAL_GROWTH","FQ3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616" s="1" t="e">
        <f ca="1">_xll.BDH($C$603,"DPS_SEQUENTIAL_GROWTH","FQ3 2016","FQ3 2016","Currency=INR","Period=FQ","BEST_FPERIOD_OVERRIDE=FQ","FILING_STATUS=OR","EQY_CONSOLIDATED=Y","Sort=A","Dates=H","DateFormat=P","Fill=—","Direction=H","UseDPDF=Y")</f>
        <v>#NAME?</v>
      </c>
      <c r="BL616" s="1" t="e">
        <f ca="1">_xll.BDH($C$603,"ACCOUNTS_RECEIVABLE_SEQ_GROWTH","FQ3 2016","FQ3 2016","Currency=INR","Period=FQ","BEST_FPERIOD_OVERRIDE=FQ","FILING_STATUS=OR","EQY_CONSOLIDATED=Y","Sort=A","Dates=H","DateFormat=P","Fill=—","Direction=H","UseDPDF=Y")</f>
        <v>#NAME?</v>
      </c>
      <c r="BM616" s="1" t="e">
        <f ca="1">_xll.BDH($C$603,"INVENTORY_SEQUENTIAL_GROWTH","FQ3 2016","FQ3 2016","Currency=INR","Period=FQ","BEST_FPERIOD_OVERRIDE=FQ","FILING_STATUS=OR","EQY_CONSOLIDATED=Y","Sort=A","Dates=H","DateFormat=P","Fill=—","Direction=H","UseDPDF=Y")</f>
        <v>#NAME?</v>
      </c>
      <c r="BN616" s="1" t="e">
        <f ca="1">_xll.BDH($C$603,"FIXED_ASSETS_SEQUENTIAL_GROWTH","FQ3 2016","FQ3 2016","Currency=INR","Period=FQ","BEST_FPERIOD_OVERRIDE=FQ","FILING_STATUS=OR","EQY_CONSOLIDATED=Y","Sort=A","Dates=H","DateFormat=P","Fill=—","Direction=H","UseDPDF=Y")</f>
        <v>#NAME?</v>
      </c>
      <c r="BO616" s="1" t="e">
        <f ca="1">_xll.BDH($C$603,"TOTAL_ASSETS_SEQUENTIAL_GROWTH","FQ3 2016","FQ3 2016","Currency=INR","Period=FQ","BEST_FPERIOD_OVERRIDE=FQ","FILING_STATUS=OR","EQY_CONSOLIDATED=Y","Sort=A","Dates=H","DateFormat=P","Fill=—","Direction=H","UseDPDF=Y")</f>
        <v>#NAME?</v>
      </c>
      <c r="BP616" s="1" t="e">
        <f ca="1">_xll.BDH($C$603,"MODIFIED_WORKING_CPTL_SEQ_GRWTH","FQ3 2016","FQ3 2016","Currency=INR","Period=FQ","BEST_FPERIOD_OVERRIDE=FQ","FILING_STATUS=OR","EQY_CONSOLIDATED=Y","Sort=A","Dates=H","DateFormat=P","Fill=—","Direction=H","UseDPDF=Y")</f>
        <v>#NAME?</v>
      </c>
      <c r="BQ616" s="1" t="e">
        <f ca="1">_xll.BDH($C$603,"WORKING_CAPITAL_SEQ_GROWTH","FQ3 2016","FQ3 2016","Currency=INR","Period=FQ","BEST_FPERIOD_OVERRIDE=FQ","FILING_STATUS=OR","EQY_CONSOLIDATED=Y","Sort=A","Dates=H","DateFormat=P","Fill=—","Direction=H","UseDPDF=Y")</f>
        <v>#NAME?</v>
      </c>
      <c r="BR616" s="1" t="e">
        <f ca="1">_xll.BDH($C$603,"ACCOUNTS_PAYABLE_SEQ_GROWTH","FQ3 2016","FQ3 2016","Currency=INR","Period=FQ","BEST_FPERIOD_OVERRIDE=FQ","FILING_STATUS=OR","EQY_CONSOLIDATED=Y","Sort=A","Dates=H","DateFormat=P","Fill=—","Direction=H","UseDPDF=Y")</f>
        <v>#NAME?</v>
      </c>
      <c r="BS616" s="1" t="e">
        <f ca="1">_xll.BDH($C$603,"ST_DEBT_SEQUENTIAL_GROWTH","FQ3 2016","FQ3 2016","Currency=INR","Period=FQ","BEST_FPERIOD_OVERRIDE=FQ","FILING_STATUS=OR","EQY_CONSOLIDATED=Y","Sort=A","Dates=H","DateFormat=P","Fill=—","Direction=H","UseDPDF=Y")</f>
        <v>#NAME?</v>
      </c>
      <c r="BT616" s="1" t="e">
        <f ca="1">_xll.BDH($C$603,"TOTAL_DEBT_SEQUENTIAL_GROWTH","FQ3 2016","FQ3 2016","Currency=INR","Period=FQ","BEST_FPERIOD_OVERRIDE=FQ","FILING_STATUS=OR","EQY_CONSOLIDATED=Y","Sort=A","Dates=H","DateFormat=P","Fill=—","Direction=H","UseDPDF=Y")</f>
        <v>#NAME?</v>
      </c>
      <c r="BU616" s="1" t="e">
        <f ca="1">_xll.BDH($C$603,"TOTAL_EQUITY_SEQUENTIAL_GROWTH","FQ3 2016","FQ3 2016","Currency=INR","Period=FQ","BEST_FPERIOD_OVERRIDE=FQ","FILING_STATUS=OR","EQY_CONSOLIDATED=Y","Sort=A","Dates=H","DateFormat=P","Fill=—","Direction=H","UseDPDF=Y")</f>
        <v>#NAME?</v>
      </c>
      <c r="BV616" s="1" t="e">
        <f ca="1">_xll.BDH($C$603,"TOTAL_CAPITAL_SEQUENTIAL_GROWTH","FQ3 2016","FQ3 2016","Currency=INR","Period=FQ","BEST_FPERIOD_OVERRIDE=FQ","FILING_STATUS=OR","EQY_CONSOLIDATED=Y","Sort=A","Dates=H","DateFormat=P","Fill=—","Direction=H","UseDPDF=Y")</f>
        <v>#NAME?</v>
      </c>
      <c r="BW616" s="1" t="e">
        <f ca="1">_xll.BDH($C$603,"BPS_SEQUENTIAL_GROWTH","FQ3 2016","FQ3 2016","Currency=INR","Period=FQ","BEST_FPERIOD_OVERRIDE=FQ","FILING_STATUS=OR","EQY_CONSOLIDATED=Y","Sort=A","Dates=H","DateFormat=P","Fill=—","Direction=H","UseDPDF=Y")</f>
        <v>#NAME?</v>
      </c>
      <c r="BX616" s="1" t="e">
        <f ca="1">_xll.BDH($C$603,"CFO_SEQUENTIAL_GROWTH","FQ3 2016","FQ3 2016","Currency=INR","Period=FQ","BEST_FPERIOD_OVERRIDE=FQ","FILING_STATUS=OR","EQY_CONSOLIDATED=Y","Sort=A","Dates=H","DateFormat=P","Fill=—","Direction=H","UseDPDF=Y")</f>
        <v>#NAME?</v>
      </c>
      <c r="BY616" s="2" t="e">
        <f ca="1">_xll.BDH($C$603,"SHORT_AND_LONG_TERM_DEBT","FQ3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616" s="2" t="e">
        <f ca="1">_xll.BDH($C$603,"BS_ST_BORROW","FQ3 2016","FQ3 2016","Currency=INR","Period=FQ","BEST_FPERIOD_OVERRIDE=FQ","FILING_STATUS=OR","EQY_CONSOLIDATED=Y","SCALING_FORMAT=MLN","Sort=A","Dates=H","DateFormat=P","Fill=—","Direction=H","UseDPDF=Y")</f>
        <v>#NAME?</v>
      </c>
      <c r="CA616" s="2" t="e">
        <f ca="1">_xll.BDH($C$603,"BS_LT_BORROW","FQ3 2016","FQ3 2016","Currency=INR","Period=FQ","BEST_FPERIOD_OVERRIDE=FQ","FILING_STATUS=OR","EQY_CONSOLIDATED=Y","SCALING_FORMAT=MLN","Sort=A","Dates=H","DateFormat=P","Fill=—","Direction=H","UseDPDF=Y")</f>
        <v>#NAME?</v>
      </c>
      <c r="CB616" s="1" t="e">
        <f ca="1">_xll.BDH($C$603,"TOT_DEBT_TO_EBITDA","FQ3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616" s="1" t="e">
        <f ca="1">_xll.BDH($C$603,"NET_DEBT_TO_EBITDA","FQ3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616" s="1" t="e">
        <f ca="1">_xll.BDH($C$603,"TOTAL_DEBT_TO_EBIT","FQ3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616" s="1" t="e">
        <f ca="1">_xll.BDH($C$603,"NET_DEBT_TO_EBIT","FQ3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616" s="1" t="e">
        <f ca="1">_xll.BDH($C$603,"EBITDA_TO_INTEREST_EXPN","FQ3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616" s="1" t="e">
        <f ca="1">_xll.BDH($C$603,"COM_EQY_TO_TOT_ASSET","FQ3 2016","FQ3 2016","Currency=INR","Period=FQ","BEST_FPERIOD_OVERRIDE=FQ","FILING_STATUS=OR","EQY_CONSOLIDATED=Y","Sort=A","Dates=H","DateFormat=P","Fill=—","Direction=H","UseDPDF=Y")</f>
        <v>#NAME?</v>
      </c>
      <c r="CH616" s="1" t="e">
        <f ca="1">_xll.BDH($C$603,"LT_DEBT_TO_TOT_EQY","FQ3 2016","FQ3 2016","Currency=INR","Period=FQ","BEST_FPERIOD_OVERRIDE=FQ","FILING_STATUS=OR","EQY_CONSOLIDATED=Y","Sort=A","Dates=H","DateFormat=P","Fill=—","Direction=H","UseDPDF=Y")</f>
        <v>#NAME?</v>
      </c>
      <c r="CI616" s="1" t="e">
        <f ca="1">_xll.BDH($C$603,"LT_DEBT_TO_TOT_CAP","FQ3 2016","FQ3 2016","Currency=INR","Period=FQ","BEST_FPERIOD_OVERRIDE=FQ","FILING_STATUS=OR","EQY_CONSOLIDATED=Y","Sort=A","Dates=H","DateFormat=P","Fill=—","Direction=H","UseDPDF=Y")</f>
        <v>#NAME?</v>
      </c>
      <c r="CJ616" s="1" t="e">
        <f ca="1">_xll.BDH($C$603,"LT_DEBT_TO_TOT_ASSET","FQ3 2016","FQ3 2016","Currency=INR","Period=FQ","BEST_FPERIOD_OVERRIDE=FQ","FILING_STATUS=OR","EQY_CONSOLIDATED=Y","Sort=A","Dates=H","DateFormat=P","Fill=—","Direction=H","UseDPDF=Y")</f>
        <v>#NAME?</v>
      </c>
      <c r="CK616" s="1" t="e">
        <f ca="1">_xll.BDH($C$603,"TOT_DEBT_TO_TOT_EQY","FQ3 2016","FQ3 2016","Currency=INR","Period=FQ","BEST_FPERIOD_OVERRIDE=FQ","FILING_STATUS=OR","EQY_CONSOLIDATED=Y","Sort=A","Dates=H","DateFormat=P","Fill=—","Direction=H","UseDPDF=Y")</f>
        <v>#NAME?</v>
      </c>
      <c r="CL616" s="1" t="e">
        <f ca="1">_xll.BDH($C$603,"TOT_DEBT_TO_TOT_CAP","FQ3 2016","FQ3 2016","Currency=INR","Period=FQ","BEST_FPERIOD_OVERRIDE=FQ","FILING_STATUS=OR","EQY_CONSOLIDATED=Y","Sort=A","Dates=H","DateFormat=P","Fill=—","Direction=H","UseDPDF=Y")</f>
        <v>#NAME?</v>
      </c>
      <c r="CM616" s="1" t="e">
        <f ca="1">_xll.BDH($C$603,"TOT_DEBT_TO_TOT_ASSET","FQ3 2016","FQ3 2016","Currency=INR","Period=FQ","BEST_FPERIOD_OVERRIDE=FQ","FILING_STATUS=OR","EQY_CONSOLIDATED=Y","Sort=A","Dates=H","DateFormat=P","Fill=—","Direction=H","UseDPDF=Y")</f>
        <v>#NAME?</v>
      </c>
      <c r="CN616" s="1" t="e">
        <f ca="1">_xll.BDH($C$603,"NET_DEBT_TO_SHRHLDR_EQTY","FQ3 2016","FQ3 2016","Currency=INR","Period=FQ","BEST_FPERIOD_OVERRIDE=FQ","FILING_STATUS=OR","EQY_CONSOLIDATED=Y","Sort=A","Dates=H","DateFormat=P","Fill=—","Direction=H","UseDPDF=Y")</f>
        <v>#NAME?</v>
      </c>
      <c r="CO616" s="1" t="e">
        <f ca="1">_xll.BDH($C$603,"NET_DEBT_%_CAPITAL","FQ3 2016","FQ3 2016","Currency=INR","Period=FQ","BEST_FPERIOD_OVERRIDE=FQ","FILING_STATUS=OR","EQY_CONSOLIDATED=Y","Sort=A","Dates=H","DateFormat=P","Fill=—","Direction=H","UseDPDF=Y")</f>
        <v>#NAME?</v>
      </c>
      <c r="CP616" s="2" t="e">
        <f ca="1">_xll.BDH($C$603,"EBITDA","FQ3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616" s="2" t="e">
        <f ca="1">_xll.BDH($C$603,"EBITDA_AFTER_CAPEX","FQ3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616" s="2" t="e">
        <f ca="1">_xll.BDH($C$603,"IS_OPER_INC","FQ3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616" s="1" t="e">
        <f ca="1">_xll.BDH($C$603,"CASH_RATIO","FQ3 2016","FQ3 2016","Currency=INR","Period=FQ","BEST_FPERIOD_OVERRIDE=FQ","FILING_STATUS=OR","EQY_CONSOLIDATED=Y","Sort=A","Dates=H","DateFormat=P","Fill=—","Direction=H","UseDPDF=Y")</f>
        <v>#NAME?</v>
      </c>
      <c r="CT616" s="1" t="e">
        <f ca="1">_xll.BDH($C$603,"CUR_RATIO","FQ3 2016","FQ3 2016","Currency=INR","Period=FQ","BEST_FPERIOD_OVERRIDE=FQ","FILING_STATUS=OR","EQY_CONSOLIDATED=Y","Sort=A","Dates=H","DateFormat=P","Fill=—","Direction=H","UseDPDF=Y")</f>
        <v>#NAME?</v>
      </c>
      <c r="CU616" s="1" t="e">
        <f ca="1">_xll.BDH($C$603,"QUICK_RATIO","FQ3 2016","FQ3 2016","Currency=INR","Period=FQ","BEST_FPERIOD_OVERRIDE=FQ","FILING_STATUS=OR","EQY_CONSOLIDATED=Y","Sort=A","Dates=H","DateFormat=P","Fill=—","Direction=H","UseDPDF=Y")</f>
        <v>#NAME?</v>
      </c>
      <c r="CV616" s="1" t="e">
        <f ca="1">_xll.BDH($C$603,"ALTMAN_Z_SCORE","FQ3 2016","FQ3 2016","Currency=INR","Period=FQ","BEST_FPERIOD_OVERRIDE=FQ","FILING_STATUS=OR","EQY_CONSOLIDATED=Y","Sort=A","Dates=H","DateFormat=P","Fill=—","Direction=H","UseDPDF=Y")</f>
        <v>#NAME?</v>
      </c>
      <c r="CW616" s="3" t="e">
        <f ca="1">_xll.BDH($C$603,"ACCT_RCV_TURN","FQ3 2016","FQ3 2016","Currency=INR","Period=FQ","BEST_FPERIOD_OVERRIDE=FQ","FILING_STATUS=OR","EQY_CONSOLIDATED=Y","FA_ADJUSTED=GAAP","Sort=A","Dates=H","DateFormat=P","Fill=—","Direction=H","UseDPDF=Y")</f>
        <v>#NAME?</v>
      </c>
      <c r="CX616" s="1" t="e">
        <f ca="1">_xll.BDH($C$603,"ACCT_RCV_DAYS","FQ3 2016","FQ3 2016","Currency=INR","Period=FQ","BEST_FPERIOD_OVERRIDE=FQ","FILING_STATUS=OR","EQY_CONSOLIDATED=Y","FA_ADJUSTED=GAAP","Sort=A","Dates=H","DateFormat=P","Fill=—","Direction=H","UseDPDF=Y")</f>
        <v>#NAME?</v>
      </c>
      <c r="CY616" s="3" t="e">
        <f ca="1">_xll.BDH($C$603,"INVENT_TURN","FQ3 2016","FQ3 2016","Currency=INR","Period=FQ","BEST_FPERIOD_OVERRIDE=FQ","FILING_STATUS=OR","EQY_CONSOLIDATED=Y","FA_ADJUSTED=GAAP","Sort=A","Dates=H","DateFormat=P","Fill=—","Direction=H","UseDPDF=Y")</f>
        <v>#NAME?</v>
      </c>
      <c r="CZ616" s="1" t="e">
        <f ca="1">_xll.BDH($C$603,"INVENT_DAYS","FQ3 2016","FQ3 2016","Currency=INR","Period=FQ","BEST_FPERIOD_OVERRIDE=FQ","FILING_STATUS=OR","EQY_CONSOLIDATED=Y","FA_ADJUSTED=GAAP","Sort=A","Dates=H","DateFormat=P","Fill=—","Direction=H","UseDPDF=Y")</f>
        <v>#NAME?</v>
      </c>
      <c r="DA616" s="3" t="e">
        <f ca="1">_xll.BDH($C$603,"ACCOUNTS_PAYABLE_TURNOVER","FQ3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616" s="1" t="e">
        <f ca="1">_xll.BDH($C$603,"ACCOUNTS_PAYABLE_TURNOVER_DAYS","FQ3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616" s="3" t="e">
        <f ca="1">_xll.BDH($C$603,"CASH_CONVERSION_CYCLE","FQ3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616" s="3" t="e">
        <f ca="1">_xll.BDH($C$603,"INV_TO_CASH_DAYS","FQ3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616" s="4" t="e">
        <f ca="1">_xll.BDH($C$603,"BS_INVENTORIES","FQ3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616" s="2" t="e">
        <f ca="1">_xll.BDH($C$603,"INVTRY_RAW_MATERIALS","FQ3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616" s="2" t="e">
        <f ca="1">_xll.BDH($C$603,"INVTRY_IN_PROGRESS","FQ3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616" s="2" t="e">
        <f ca="1">_xll.BDH($C$603,"INVTRY_FINISHED_GOODS","FQ3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616" s="2" t="e">
        <f ca="1">_xll.BDH($C$603,"BS_OTHER_INV","FQ3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617" spans="1:113" x14ac:dyDescent="0.3">
      <c r="A617" s="6"/>
      <c r="B617" s="6"/>
      <c r="C617" s="6"/>
      <c r="D617" s="6"/>
      <c r="E617" t="s">
        <v>7</v>
      </c>
      <c r="F617" t="e">
        <f ca="1">_xll.BDH($C$603,"RETURN_COM_EQY","FQ4 2016","FQ4 2016","Currency=INR","Period=FQ","BEST_FPERIOD_OVERRIDE=FQ","FILING_STATUS=OR","EQY_CONSOLIDATED=Y","FA_ADJUSTED=GAAP","Sort=A","Dates=H","DateFormat=P","Fill=—","Direction=H","UseDPDF=Y")</f>
        <v>#NAME?</v>
      </c>
      <c r="G617" t="e">
        <f ca="1">_xll.BDH($C$603,"RETURN_ON_ASSET","FQ4 2016","FQ4 2016","Currency=INR","Period=FQ","BEST_FPERIOD_OVERRIDE=FQ","FILING_STATUS=OR","EQY_CONSOLIDATED=Y","FA_ADJUSTED=GAAP","Sort=A","Dates=H","DateFormat=P","Fill=—","Direction=H","UseDPDF=Y")</f>
        <v>#NAME?</v>
      </c>
      <c r="H617" t="e">
        <f ca="1">_xll.BDH($C$603,"RETURN_ON_CAP","FQ4 2016","FQ4 2016","Currency=INR","Period=FQ","BEST_FPERIOD_OVERRIDE=FQ","FILING_STATUS=OR","EQY_CONSOLIDATED=Y","FA_ADJUSTED=GAAP","Sort=A","Dates=H","DateFormat=P","Fill=—","Direction=H","UseDPDF=Y")</f>
        <v>#NAME?</v>
      </c>
      <c r="I617" t="e">
        <f ca="1">_xll.BDH($C$603,"RETURN_ON_INV_CAPITAL","FQ4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617" t="e">
        <f ca="1">_xll.BDH($C$603,"EBITDA_TO_REVENUE","FQ4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617" t="e">
        <f ca="1">_xll.BDH($C$603,"OPER_MARGIN","FQ4 2016","FQ4 2016","Currency=INR","Period=FQ","BEST_FPERIOD_OVERRIDE=FQ","FILING_STATUS=OR","EQY_CONSOLIDATED=Y","FA_ADJUSTED=GAAP","Sort=A","Dates=H","DateFormat=P","Fill=—","Direction=H","UseDPDF=Y")</f>
        <v>#NAME?</v>
      </c>
      <c r="L617" t="e">
        <f ca="1">_xll.BDH($C$603,"INCREMENTAL_OPERATING_MARGIN","FQ4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617" t="e">
        <f ca="1">_xll.BDH($C$603,"PRETAX_INC_TO_NET_SALES","FQ4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617" t="e">
        <f ca="1">_xll.BDH($C$603,"INC_BEF_XO_ITEMS_TO_NET_SALES","FQ4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617" t="e">
        <f ca="1">_xll.BDH($C$603,"PROF_MARGIN","FQ4 2016","FQ4 2016","Currency=INR","Period=FQ","BEST_FPERIOD_OVERRIDE=FQ","FILING_STATUS=OR","EQY_CONSOLIDATED=Y","FA_ADJUSTED=GAAP","Sort=A","Dates=H","DateFormat=P","Fill=—","Direction=H","UseDPDF=Y")</f>
        <v>#NAME?</v>
      </c>
      <c r="P617" t="e">
        <f ca="1">_xll.BDH($C$603,"NET_INCOME_TO_COMMON_MARGIN","FQ4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617" t="e">
        <f ca="1">_xll.BDH($C$603,"EFF_TAX_RATE","FQ4 2016","FQ4 2016","Currency=INR","Period=FQ","BEST_FPERIOD_OVERRIDE=FQ","FILING_STATUS=OR","EQY_CONSOLIDATED=Y","FA_ADJUSTED=GAAP","Sort=A","Dates=H","DateFormat=P","Fill=—","Direction=H","UseDPDF=Y")</f>
        <v>#NAME?</v>
      </c>
      <c r="R617" t="e">
        <f ca="1">_xll.BDH($C$603,"DVD_PAYOUT_RATIO","FQ4 2016","FQ4 2016","Currency=INR","Period=FQ","BEST_FPERIOD_OVERRIDE=FQ","FILING_STATUS=OR","EQY_CONSOLIDATED=Y","FA_ADJUSTED=GAAP","Sort=A","Dates=H","DateFormat=P","Fill=—","Direction=H","UseDPDF=Y")</f>
        <v>#NAME?</v>
      </c>
      <c r="S617" t="e">
        <f ca="1">_xll.BDH($C$603,"SUSTAIN_GROWTH_RT","FQ4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617" s="1" t="e">
        <f ca="1">_xll.BDH($C$603,"SALES_GROWTH","FQ4 2016","FQ4 2016","Currency=INR","Period=FQ","BEST_FPERIOD_OVERRIDE=FQ","FILING_STATUS=OR","EQY_CONSOLIDATED=Y","FA_ADJUSTED=GAAP","Sort=A","Dates=H","DateFormat=P","Fill=—","Direction=H","UseDPDF=Y")</f>
        <v>#NAME?</v>
      </c>
      <c r="U617" s="1" t="e">
        <f ca="1">_xll.BDH($C$603,"EBITDA_GROWTH","FQ4 2016","FQ4 2016","Currency=INR","Period=FQ","BEST_FPERIOD_OVERRIDE=FQ","FILING_STATUS=OR","EQY_CONSOLIDATED=Y","FA_ADJUSTED=GAAP","Sort=A","Dates=H","DateFormat=P","Fill=—","Direction=H","UseDPDF=Y")</f>
        <v>#NAME?</v>
      </c>
      <c r="V617" s="1" t="e">
        <f ca="1">_xll.BDH($C$603,"OPER_INC_GROWTH","FQ4 2016","FQ4 2016","Currency=INR","Period=FQ","BEST_FPERIOD_OVERRIDE=FQ","FILING_STATUS=OR","EQY_CONSOLIDATED=Y","FA_ADJUSTED=GAAP","Sort=A","Dates=H","DateFormat=P","Fill=—","Direction=H","UseDPDF=Y")</f>
        <v>#NAME?</v>
      </c>
      <c r="W617" s="1" t="e">
        <f ca="1">_xll.BDH($C$603,"EARN_FOR_COM_GROWTH","FQ4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617" s="1" t="e">
        <f ca="1">_xll.BDH($C$603,"DILUTED_EPS_AFT_XO_ITEMS_GROWTH","FQ4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617" s="1" t="e">
        <f ca="1">_xll.BDH($C$603,"DIVIDEND_PER_SHARE_1_YEAR_GROWTH","FQ4 2016","FQ4 2016","Currency=INR","Period=FQ","BEST_FPERIOD_OVERRIDE=FQ","FILING_STATUS=OR","EQY_CONSOLIDATED=Y","Sort=A","Dates=H","DateFormat=P","Fill=—","Direction=H","UseDPDF=Y")</f>
        <v>#NAME?</v>
      </c>
      <c r="Z617" s="1" t="e">
        <f ca="1">_xll.BDH($C$603,"ACCOUNTS_RECEIVABLE_GROWTH","FQ4 2016","FQ4 2016","Currency=INR","Period=FQ","BEST_FPERIOD_OVERRIDE=FQ","FILING_STATUS=OR","EQY_CONSOLIDATED=Y","Sort=A","Dates=H","DateFormat=P","Fill=—","Direction=H","UseDPDF=Y")</f>
        <v>#NAME?</v>
      </c>
      <c r="AA617" s="1" t="e">
        <f ca="1">_xll.BDH($C$603,"INVENTORY_GROWTH","FQ4 2016","FQ4 2016","Currency=INR","Period=FQ","BEST_FPERIOD_OVERRIDE=FQ","FILING_STATUS=OR","EQY_CONSOLIDATED=Y","Sort=A","Dates=H","DateFormat=P","Fill=—","Direction=H","UseDPDF=Y")</f>
        <v>#NAME?</v>
      </c>
      <c r="AB617" s="1" t="e">
        <f ca="1">_xll.BDH($C$603,"NET_FIXED_ASSETS_1_YEAR_GROWTH","FQ4 2016","FQ4 2016","Currency=INR","Period=FQ","BEST_FPERIOD_OVERRIDE=FQ","FILING_STATUS=OR","EQY_CONSOLIDATED=Y","Sort=A","Dates=H","DateFormat=P","Fill=—","Direction=H","UseDPDF=Y")</f>
        <v>#NAME?</v>
      </c>
      <c r="AC617" s="1" t="e">
        <f ca="1">_xll.BDH($C$603,"ASSET_GROWTH","FQ4 2016","FQ4 2016","Currency=INR","Period=FQ","BEST_FPERIOD_OVERRIDE=FQ","FILING_STATUS=OR","EQY_CONSOLIDATED=Y","Sort=A","Dates=H","DateFormat=P","Fill=—","Direction=H","UseDPDF=Y")</f>
        <v>#NAME?</v>
      </c>
      <c r="AD617" s="1" t="e">
        <f ca="1">_xll.BDH($C$603,"MODIFIED_WORK_CAP_GROWTH","FQ4 2016","FQ4 2016","Currency=INR","Period=FQ","BEST_FPERIOD_OVERRIDE=FQ","FILING_STATUS=OR","EQY_CONSOLIDATED=Y","Sort=A","Dates=H","DateFormat=P","Fill=—","Direction=H","UseDPDF=Y")</f>
        <v>#NAME?</v>
      </c>
      <c r="AE617" s="1" t="e">
        <f ca="1">_xll.BDH($C$603,"WORK_CAP_GROWTH","FQ4 2016","FQ4 2016","Currency=INR","Period=FQ","BEST_FPERIOD_OVERRIDE=FQ","FILING_STATUS=OR","EQY_CONSOLIDATED=Y","Sort=A","Dates=H","DateFormat=P","Fill=—","Direction=H","UseDPDF=Y")</f>
        <v>#NAME?</v>
      </c>
      <c r="AF617" s="1" t="e">
        <f ca="1">_xll.BDH($C$603,"ACCOUNTS_PAYABLE_GROWTH_1YR","FQ4 2016","FQ4 2016","Currency=INR","Period=FQ","BEST_FPERIOD_OVERRIDE=FQ","FILING_STATUS=OR","EQY_CONSOLIDATED=Y","Sort=A","Dates=H","DateFormat=P","Fill=—","Direction=H","UseDPDF=Y")</f>
        <v>#NAME?</v>
      </c>
      <c r="AG617" s="1" t="e">
        <f ca="1">_xll.BDH($C$603,"SHORT_TERM_DEBT_1_YEAR_GROWTH","FQ4 2016","FQ4 2016","Currency=INR","Period=FQ","BEST_FPERIOD_OVERRIDE=FQ","FILING_STATUS=OR","EQY_CONSOLIDATED=Y","Sort=A","Dates=H","DateFormat=P","Fill=—","Direction=H","UseDPDF=Y")</f>
        <v>#NAME?</v>
      </c>
      <c r="AH617" s="1" t="e">
        <f ca="1">_xll.BDH($C$603,"TOTAL_DEBT_1_YEAR_GROWTH","FQ4 2016","FQ4 2016","Currency=INR","Period=FQ","BEST_FPERIOD_OVERRIDE=FQ","FILING_STATUS=OR","EQY_CONSOLIDATED=Y","Sort=A","Dates=H","DateFormat=P","Fill=—","Direction=H","UseDPDF=Y")</f>
        <v>#NAME?</v>
      </c>
      <c r="AI617" s="1" t="e">
        <f ca="1">_xll.BDH($C$603,"TOTAL_EQUITY_1_YEAR_GROWTH","FQ4 2016","FQ4 2016","Currency=INR","Period=FQ","BEST_FPERIOD_OVERRIDE=FQ","FILING_STATUS=OR","EQY_CONSOLIDATED=Y","Sort=A","Dates=H","DateFormat=P","Fill=—","Direction=H","UseDPDF=Y")</f>
        <v>#NAME?</v>
      </c>
      <c r="AJ617" s="1" t="e">
        <f ca="1">_xll.BDH($C$603,"GROWTH_IN_CAP","FQ4 2016","FQ4 2016","Currency=INR","Period=FQ","BEST_FPERIOD_OVERRIDE=FQ","FILING_STATUS=OR","EQY_CONSOLIDATED=Y","Sort=A","Dates=H","DateFormat=P","Fill=—","Direction=H","UseDPDF=Y")</f>
        <v>#NAME?</v>
      </c>
      <c r="AK617" s="1" t="e">
        <f ca="1">_xll.BDH($C$603,"BVPS_GROWTH","FQ4 2016","FQ4 2016","Currency=INR","Period=FQ","BEST_FPERIOD_OVERRIDE=FQ","FILING_STATUS=OR","EQY_CONSOLIDATED=Y","Sort=A","Dates=H","DateFormat=P","Fill=—","Direction=H","UseDPDF=Y")</f>
        <v>#NAME?</v>
      </c>
      <c r="AL617" s="1" t="e">
        <f ca="1">_xll.BDH($C$603,"CASH_FLOW_GROWTH","FQ4 2016","FQ4 2016","Currency=INR","Period=FQ","BEST_FPERIOD_OVERRIDE=FQ","FILING_STATUS=OR","EQY_CONSOLIDATED=Y","Sort=A","Dates=H","DateFormat=P","Fill=—","Direction=H","UseDPDF=Y")</f>
        <v>#NAME?</v>
      </c>
      <c r="AM617" s="1" t="e">
        <f ca="1">_xll.BDH($C$603,"GEO_GROW_NET_SALES","FQ4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617" s="1" t="e">
        <f ca="1">_xll.BDH($C$603,"GEO_GROW_EBITDA","FQ4 2016","FQ4 2016","Currency=INR","Period=FQ","BEST_FPERIOD_OVERRIDE=FQ","FILING_STATUS=OR","EQY_CONSOLIDATED=Y","FA_ADJUSTED=GAAP","Sort=A","Dates=H","DateFormat=P","Fill=—","Direction=H","UseDPDF=Y")</f>
        <v>#NAME?</v>
      </c>
      <c r="AO617" s="1" t="e">
        <f ca="1">_xll.BDH($C$603,"GEO_GROW_OPER_INC","FQ4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617" s="1" t="e">
        <f ca="1">_xll.BDH($C$603,"NET_INCOME_TO_COMMON_5_YR_GROWTH","FQ4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617" s="1" t="e">
        <f ca="1">_xll.BDH($C$603,"5Y_GEO_GROWTH_DILUTED_EPS","FQ4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617" s="1" t="e">
        <f ca="1">_xll.BDH($C$603,"GEO_GROW_DVD_PER_SH","FQ4 2016","FQ4 2016","Currency=INR","Period=FQ","BEST_FPERIOD_OVERRIDE=FQ","FILING_STATUS=OR","EQY_CONSOLIDATED=Y","Sort=A","Dates=H","DateFormat=P","Fill=—","Direction=H","UseDPDF=Y")</f>
        <v>#NAME?</v>
      </c>
      <c r="AS617" s="1" t="e">
        <f ca="1">_xll.BDH($C$603,"ACCOUNTS_RECEIVABLE_5_YR_GROWTH","FQ4 2016","FQ4 2016","Currency=INR","Period=FQ","BEST_FPERIOD_OVERRIDE=FQ","FILING_STATUS=OR","EQY_CONSOLIDATED=Y","Sort=A","Dates=H","DateFormat=P","Fill=—","Direction=H","UseDPDF=Y")</f>
        <v>#NAME?</v>
      </c>
      <c r="AT617" s="1" t="e">
        <f ca="1">_xll.BDH($C$603,"INVENTORY_5_YEAR_GROWTH","FQ4 2016","FQ4 2016","Currency=INR","Period=FQ","BEST_FPERIOD_OVERRIDE=FQ","FILING_STATUS=OR","EQY_CONSOLIDATED=Y","Sort=A","Dates=H","DateFormat=P","Fill=—","Direction=H","UseDPDF=Y")</f>
        <v>#NAME?</v>
      </c>
      <c r="AU617" s="1" t="e">
        <f ca="1">_xll.BDH($C$603,"NET_FIXED_ASSETS_5_YEAR_GROWTH","FQ4 2016","FQ4 2016","Currency=INR","Period=FQ","BEST_FPERIOD_OVERRIDE=FQ","FILING_STATUS=OR","EQY_CONSOLIDATED=Y","Sort=A","Dates=H","DateFormat=P","Fill=—","Direction=H","UseDPDF=Y")</f>
        <v>#NAME?</v>
      </c>
      <c r="AV617" s="1" t="e">
        <f ca="1">_xll.BDH($C$603,"GEO_GROW_TOT_ASSET","FQ4 2016","FQ4 2016","Currency=INR","Period=FQ","BEST_FPERIOD_OVERRIDE=FQ","FILING_STATUS=OR","EQY_CONSOLIDATED=Y","Sort=A","Dates=H","DateFormat=P","Fill=—","Direction=H","UseDPDF=Y")</f>
        <v>#NAME?</v>
      </c>
      <c r="AW617" s="1" t="e">
        <f ca="1">_xll.BDH($C$603,"MODIFIED_WORKING_CPTL_5YR_GRWTH","FQ4 2016","FQ4 2016","Currency=INR","Period=FQ","BEST_FPERIOD_OVERRIDE=FQ","FILING_STATUS=OR","EQY_CONSOLIDATED=Y","Sort=A","Dates=H","DateFormat=P","Fill=—","Direction=H","UseDPDF=Y")</f>
        <v>#NAME?</v>
      </c>
      <c r="AX617" s="1" t="e">
        <f ca="1">_xll.BDH($C$603,"WORKING_CAPITAL_5_YEAR_GROWTH","FQ4 2016","FQ4 2016","Currency=INR","Period=FQ","BEST_FPERIOD_OVERRIDE=FQ","FILING_STATUS=OR","EQY_CONSOLIDATED=Y","Sort=A","Dates=H","DateFormat=P","Fill=—","Direction=H","UseDPDF=Y")</f>
        <v>#NAME?</v>
      </c>
      <c r="AY617" s="1" t="e">
        <f ca="1">_xll.BDH($C$603,"ACCOUNTS_PAYABLE_5_YEAR_GROWTH","FQ4 2016","FQ4 2016","Currency=INR","Period=FQ","BEST_FPERIOD_OVERRIDE=FQ","FILING_STATUS=OR","EQY_CONSOLIDATED=Y","Sort=A","Dates=H","DateFormat=P","Fill=—","Direction=H","UseDPDF=Y")</f>
        <v>#NAME?</v>
      </c>
      <c r="AZ617" s="1" t="e">
        <f ca="1">_xll.BDH($C$603,"SHORT_TERM_DEBT_5_YEAR_GROWTH","FQ4 2016","FQ4 2016","Currency=INR","Period=FQ","BEST_FPERIOD_OVERRIDE=FQ","FILING_STATUS=OR","EQY_CONSOLIDATED=Y","Sort=A","Dates=H","DateFormat=P","Fill=—","Direction=H","UseDPDF=Y")</f>
        <v>#NAME?</v>
      </c>
      <c r="BA617" s="1" t="e">
        <f ca="1">_xll.BDH($C$603,"TOTAL_DEBT_5_YEAR_GROWTH","FQ4 2016","FQ4 2016","Currency=INR","Period=FQ","BEST_FPERIOD_OVERRIDE=FQ","FILING_STATUS=OR","EQY_CONSOLIDATED=Y","Sort=A","Dates=H","DateFormat=P","Fill=—","Direction=H","UseDPDF=Y")</f>
        <v>#NAME?</v>
      </c>
      <c r="BB617" s="1" t="e">
        <f ca="1">_xll.BDH($C$603,"GEO_GROW_TOT_SHRHLDR_EQY","FQ4 2016","FQ4 2016","Currency=INR","Period=FQ","BEST_FPERIOD_OVERRIDE=FQ","FILING_STATUS=OR","EQY_CONSOLIDATED=Y","Sort=A","Dates=H","DateFormat=P","Fill=—","Direction=H","UseDPDF=Y")</f>
        <v>#NAME?</v>
      </c>
      <c r="BC617" s="1" t="e">
        <f ca="1">_xll.BDH($C$603,"TOTAL_CAPITAL_5_YEAR_GROWTH","FQ4 2016","FQ4 2016","Currency=INR","Period=FQ","BEST_FPERIOD_OVERRIDE=FQ","FILING_STATUS=OR","EQY_CONSOLIDATED=Y","Sort=A","Dates=H","DateFormat=P","Fill=—","Direction=H","UseDPDF=Y")</f>
        <v>#NAME?</v>
      </c>
      <c r="BD617" s="1" t="e">
        <f ca="1">_xll.BDH($C$603,"GEO_GROW_BOOK_VAL","FQ4 2016","FQ4 2016","Currency=INR","Period=FQ","BEST_FPERIOD_OVERRIDE=FQ","FILING_STATUS=OR","EQY_CONSOLIDATED=Y","Sort=A","Dates=H","DateFormat=P","Fill=—","Direction=H","UseDPDF=Y")</f>
        <v>#NAME?</v>
      </c>
      <c r="BE617" s="1" t="e">
        <f ca="1">_xll.BDH($C$603,"GEO_GROW_CASH_OPER_ACT","FQ4 2016","FQ4 2016","Currency=INR","Period=FQ","BEST_FPERIOD_OVERRIDE=FQ","FILING_STATUS=OR","EQY_CONSOLIDATED=Y","Sort=A","Dates=H","DateFormat=P","Fill=—","Direction=H","UseDPDF=Y")</f>
        <v>#NAME?</v>
      </c>
      <c r="BF617" s="1" t="e">
        <f ca="1">_xll.BDH($C$603,"REVENUE_SEQUENTIAL_GROWTH","FQ4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617" s="1" t="e">
        <f ca="1">_xll.BDH($C$603,"EBITDA_SEQUENTIAL_GROWTH","FQ4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617" s="1" t="e">
        <f ca="1">_xll.BDH($C$603,"OPERATING_INCOME_SEQ_GROWTH","FQ4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617" s="1" t="e">
        <f ca="1">_xll.BDH($C$603,"NET_INCOME_TO_COMMON_SEQ_GROWTH","FQ4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617" s="1" t="e">
        <f ca="1">_xll.BDH($C$603,"EPS_DILUTED_SEQUENTIAL_GROWTH","FQ4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617" s="1" t="e">
        <f ca="1">_xll.BDH($C$603,"DPS_SEQUENTIAL_GROWTH","FQ4 2016","FQ4 2016","Currency=INR","Period=FQ","BEST_FPERIOD_OVERRIDE=FQ","FILING_STATUS=OR","EQY_CONSOLIDATED=Y","Sort=A","Dates=H","DateFormat=P","Fill=—","Direction=H","UseDPDF=Y")</f>
        <v>#NAME?</v>
      </c>
      <c r="BL617" s="1" t="e">
        <f ca="1">_xll.BDH($C$603,"ACCOUNTS_RECEIVABLE_SEQ_GROWTH","FQ4 2016","FQ4 2016","Currency=INR","Period=FQ","BEST_FPERIOD_OVERRIDE=FQ","FILING_STATUS=OR","EQY_CONSOLIDATED=Y","Sort=A","Dates=H","DateFormat=P","Fill=—","Direction=H","UseDPDF=Y")</f>
        <v>#NAME?</v>
      </c>
      <c r="BM617" s="1" t="e">
        <f ca="1">_xll.BDH($C$603,"INVENTORY_SEQUENTIAL_GROWTH","FQ4 2016","FQ4 2016","Currency=INR","Period=FQ","BEST_FPERIOD_OVERRIDE=FQ","FILING_STATUS=OR","EQY_CONSOLIDATED=Y","Sort=A","Dates=H","DateFormat=P","Fill=—","Direction=H","UseDPDF=Y")</f>
        <v>#NAME?</v>
      </c>
      <c r="BN617" s="1" t="e">
        <f ca="1">_xll.BDH($C$603,"FIXED_ASSETS_SEQUENTIAL_GROWTH","FQ4 2016","FQ4 2016","Currency=INR","Period=FQ","BEST_FPERIOD_OVERRIDE=FQ","FILING_STATUS=OR","EQY_CONSOLIDATED=Y","Sort=A","Dates=H","DateFormat=P","Fill=—","Direction=H","UseDPDF=Y")</f>
        <v>#NAME?</v>
      </c>
      <c r="BO617" s="1" t="e">
        <f ca="1">_xll.BDH($C$603,"TOTAL_ASSETS_SEQUENTIAL_GROWTH","FQ4 2016","FQ4 2016","Currency=INR","Period=FQ","BEST_FPERIOD_OVERRIDE=FQ","FILING_STATUS=OR","EQY_CONSOLIDATED=Y","Sort=A","Dates=H","DateFormat=P","Fill=—","Direction=H","UseDPDF=Y")</f>
        <v>#NAME?</v>
      </c>
      <c r="BP617" s="1" t="e">
        <f ca="1">_xll.BDH($C$603,"MODIFIED_WORKING_CPTL_SEQ_GRWTH","FQ4 2016","FQ4 2016","Currency=INR","Period=FQ","BEST_FPERIOD_OVERRIDE=FQ","FILING_STATUS=OR","EQY_CONSOLIDATED=Y","Sort=A","Dates=H","DateFormat=P","Fill=—","Direction=H","UseDPDF=Y")</f>
        <v>#NAME?</v>
      </c>
      <c r="BQ617" s="1" t="e">
        <f ca="1">_xll.BDH($C$603,"WORKING_CAPITAL_SEQ_GROWTH","FQ4 2016","FQ4 2016","Currency=INR","Period=FQ","BEST_FPERIOD_OVERRIDE=FQ","FILING_STATUS=OR","EQY_CONSOLIDATED=Y","Sort=A","Dates=H","DateFormat=P","Fill=—","Direction=H","UseDPDF=Y")</f>
        <v>#NAME?</v>
      </c>
      <c r="BR617" s="1" t="e">
        <f ca="1">_xll.BDH($C$603,"ACCOUNTS_PAYABLE_SEQ_GROWTH","FQ4 2016","FQ4 2016","Currency=INR","Period=FQ","BEST_FPERIOD_OVERRIDE=FQ","FILING_STATUS=OR","EQY_CONSOLIDATED=Y","Sort=A","Dates=H","DateFormat=P","Fill=—","Direction=H","UseDPDF=Y")</f>
        <v>#NAME?</v>
      </c>
      <c r="BS617" s="1" t="e">
        <f ca="1">_xll.BDH($C$603,"ST_DEBT_SEQUENTIAL_GROWTH","FQ4 2016","FQ4 2016","Currency=INR","Period=FQ","BEST_FPERIOD_OVERRIDE=FQ","FILING_STATUS=OR","EQY_CONSOLIDATED=Y","Sort=A","Dates=H","DateFormat=P","Fill=—","Direction=H","UseDPDF=Y")</f>
        <v>#NAME?</v>
      </c>
      <c r="BT617" s="1" t="e">
        <f ca="1">_xll.BDH($C$603,"TOTAL_DEBT_SEQUENTIAL_GROWTH","FQ4 2016","FQ4 2016","Currency=INR","Period=FQ","BEST_FPERIOD_OVERRIDE=FQ","FILING_STATUS=OR","EQY_CONSOLIDATED=Y","Sort=A","Dates=H","DateFormat=P","Fill=—","Direction=H","UseDPDF=Y")</f>
        <v>#NAME?</v>
      </c>
      <c r="BU617" s="1" t="e">
        <f ca="1">_xll.BDH($C$603,"TOTAL_EQUITY_SEQUENTIAL_GROWTH","FQ4 2016","FQ4 2016","Currency=INR","Period=FQ","BEST_FPERIOD_OVERRIDE=FQ","FILING_STATUS=OR","EQY_CONSOLIDATED=Y","Sort=A","Dates=H","DateFormat=P","Fill=—","Direction=H","UseDPDF=Y")</f>
        <v>#NAME?</v>
      </c>
      <c r="BV617" s="1" t="e">
        <f ca="1">_xll.BDH($C$603,"TOTAL_CAPITAL_SEQUENTIAL_GROWTH","FQ4 2016","FQ4 2016","Currency=INR","Period=FQ","BEST_FPERIOD_OVERRIDE=FQ","FILING_STATUS=OR","EQY_CONSOLIDATED=Y","Sort=A","Dates=H","DateFormat=P","Fill=—","Direction=H","UseDPDF=Y")</f>
        <v>#NAME?</v>
      </c>
      <c r="BW617" s="1" t="e">
        <f ca="1">_xll.BDH($C$603,"BPS_SEQUENTIAL_GROWTH","FQ4 2016","FQ4 2016","Currency=INR","Period=FQ","BEST_FPERIOD_OVERRIDE=FQ","FILING_STATUS=OR","EQY_CONSOLIDATED=Y","Sort=A","Dates=H","DateFormat=P","Fill=—","Direction=H","UseDPDF=Y")</f>
        <v>#NAME?</v>
      </c>
      <c r="BX617" s="1" t="e">
        <f ca="1">_xll.BDH($C$603,"CFO_SEQUENTIAL_GROWTH","FQ4 2016","FQ4 2016","Currency=INR","Period=FQ","BEST_FPERIOD_OVERRIDE=FQ","FILING_STATUS=OR","EQY_CONSOLIDATED=Y","Sort=A","Dates=H","DateFormat=P","Fill=—","Direction=H","UseDPDF=Y")</f>
        <v>#NAME?</v>
      </c>
      <c r="BY617" s="2" t="e">
        <f ca="1">_xll.BDH($C$603,"SHORT_AND_LONG_TERM_DEBT","FQ4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617" s="2" t="e">
        <f ca="1">_xll.BDH($C$603,"BS_ST_BORROW","FQ4 2016","FQ4 2016","Currency=INR","Period=FQ","BEST_FPERIOD_OVERRIDE=FQ","FILING_STATUS=OR","EQY_CONSOLIDATED=Y","SCALING_FORMAT=MLN","Sort=A","Dates=H","DateFormat=P","Fill=—","Direction=H","UseDPDF=Y")</f>
        <v>#NAME?</v>
      </c>
      <c r="CA617" s="2" t="e">
        <f ca="1">_xll.BDH($C$603,"BS_LT_BORROW","FQ4 2016","FQ4 2016","Currency=INR","Period=FQ","BEST_FPERIOD_OVERRIDE=FQ","FILING_STATUS=OR","EQY_CONSOLIDATED=Y","SCALING_FORMAT=MLN","Sort=A","Dates=H","DateFormat=P","Fill=—","Direction=H","UseDPDF=Y")</f>
        <v>#NAME?</v>
      </c>
      <c r="CB617" s="1" t="e">
        <f ca="1">_xll.BDH($C$603,"TOT_DEBT_TO_EBITDA","FQ4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617" s="1" t="e">
        <f ca="1">_xll.BDH($C$603,"NET_DEBT_TO_EBITDA","FQ4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617" s="1" t="e">
        <f ca="1">_xll.BDH($C$603,"TOTAL_DEBT_TO_EBIT","FQ4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617" s="1" t="e">
        <f ca="1">_xll.BDH($C$603,"NET_DEBT_TO_EBIT","FQ4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617" s="1" t="e">
        <f ca="1">_xll.BDH($C$603,"EBITDA_TO_INTEREST_EXPN","FQ4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617" s="1" t="e">
        <f ca="1">_xll.BDH($C$603,"COM_EQY_TO_TOT_ASSET","FQ4 2016","FQ4 2016","Currency=INR","Period=FQ","BEST_FPERIOD_OVERRIDE=FQ","FILING_STATUS=OR","EQY_CONSOLIDATED=Y","Sort=A","Dates=H","DateFormat=P","Fill=—","Direction=H","UseDPDF=Y")</f>
        <v>#NAME?</v>
      </c>
      <c r="CH617" s="1" t="e">
        <f ca="1">_xll.BDH($C$603,"LT_DEBT_TO_TOT_EQY","FQ4 2016","FQ4 2016","Currency=INR","Period=FQ","BEST_FPERIOD_OVERRIDE=FQ","FILING_STATUS=OR","EQY_CONSOLIDATED=Y","Sort=A","Dates=H","DateFormat=P","Fill=—","Direction=H","UseDPDF=Y")</f>
        <v>#NAME?</v>
      </c>
      <c r="CI617" s="1" t="e">
        <f ca="1">_xll.BDH($C$603,"LT_DEBT_TO_TOT_CAP","FQ4 2016","FQ4 2016","Currency=INR","Period=FQ","BEST_FPERIOD_OVERRIDE=FQ","FILING_STATUS=OR","EQY_CONSOLIDATED=Y","Sort=A","Dates=H","DateFormat=P","Fill=—","Direction=H","UseDPDF=Y")</f>
        <v>#NAME?</v>
      </c>
      <c r="CJ617" s="1" t="e">
        <f ca="1">_xll.BDH($C$603,"LT_DEBT_TO_TOT_ASSET","FQ4 2016","FQ4 2016","Currency=INR","Period=FQ","BEST_FPERIOD_OVERRIDE=FQ","FILING_STATUS=OR","EQY_CONSOLIDATED=Y","Sort=A","Dates=H","DateFormat=P","Fill=—","Direction=H","UseDPDF=Y")</f>
        <v>#NAME?</v>
      </c>
      <c r="CK617" s="1" t="e">
        <f ca="1">_xll.BDH($C$603,"TOT_DEBT_TO_TOT_EQY","FQ4 2016","FQ4 2016","Currency=INR","Period=FQ","BEST_FPERIOD_OVERRIDE=FQ","FILING_STATUS=OR","EQY_CONSOLIDATED=Y","Sort=A","Dates=H","DateFormat=P","Fill=—","Direction=H","UseDPDF=Y")</f>
        <v>#NAME?</v>
      </c>
      <c r="CL617" s="1" t="e">
        <f ca="1">_xll.BDH($C$603,"TOT_DEBT_TO_TOT_CAP","FQ4 2016","FQ4 2016","Currency=INR","Period=FQ","BEST_FPERIOD_OVERRIDE=FQ","FILING_STATUS=OR","EQY_CONSOLIDATED=Y","Sort=A","Dates=H","DateFormat=P","Fill=—","Direction=H","UseDPDF=Y")</f>
        <v>#NAME?</v>
      </c>
      <c r="CM617" s="1" t="e">
        <f ca="1">_xll.BDH($C$603,"TOT_DEBT_TO_TOT_ASSET","FQ4 2016","FQ4 2016","Currency=INR","Period=FQ","BEST_FPERIOD_OVERRIDE=FQ","FILING_STATUS=OR","EQY_CONSOLIDATED=Y","Sort=A","Dates=H","DateFormat=P","Fill=—","Direction=H","UseDPDF=Y")</f>
        <v>#NAME?</v>
      </c>
      <c r="CN617" s="1" t="e">
        <f ca="1">_xll.BDH($C$603,"NET_DEBT_TO_SHRHLDR_EQTY","FQ4 2016","FQ4 2016","Currency=INR","Period=FQ","BEST_FPERIOD_OVERRIDE=FQ","FILING_STATUS=OR","EQY_CONSOLIDATED=Y","Sort=A","Dates=H","DateFormat=P","Fill=—","Direction=H","UseDPDF=Y")</f>
        <v>#NAME?</v>
      </c>
      <c r="CO617" s="1" t="e">
        <f ca="1">_xll.BDH($C$603,"NET_DEBT_%_CAPITAL","FQ4 2016","FQ4 2016","Currency=INR","Period=FQ","BEST_FPERIOD_OVERRIDE=FQ","FILING_STATUS=OR","EQY_CONSOLIDATED=Y","Sort=A","Dates=H","DateFormat=P","Fill=—","Direction=H","UseDPDF=Y")</f>
        <v>#NAME?</v>
      </c>
      <c r="CP617" s="2" t="e">
        <f ca="1">_xll.BDH($C$603,"EBITDA","FQ4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617" s="2" t="e">
        <f ca="1">_xll.BDH($C$603,"EBITDA_AFTER_CAPEX","FQ4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617" s="2" t="e">
        <f ca="1">_xll.BDH($C$603,"IS_OPER_INC","FQ4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617" s="1" t="e">
        <f ca="1">_xll.BDH($C$603,"CASH_RATIO","FQ4 2016","FQ4 2016","Currency=INR","Period=FQ","BEST_FPERIOD_OVERRIDE=FQ","FILING_STATUS=OR","EQY_CONSOLIDATED=Y","Sort=A","Dates=H","DateFormat=P","Fill=—","Direction=H","UseDPDF=Y")</f>
        <v>#NAME?</v>
      </c>
      <c r="CT617" s="1" t="e">
        <f ca="1">_xll.BDH($C$603,"CUR_RATIO","FQ4 2016","FQ4 2016","Currency=INR","Period=FQ","BEST_FPERIOD_OVERRIDE=FQ","FILING_STATUS=OR","EQY_CONSOLIDATED=Y","Sort=A","Dates=H","DateFormat=P","Fill=—","Direction=H","UseDPDF=Y")</f>
        <v>#NAME?</v>
      </c>
      <c r="CU617" s="1" t="e">
        <f ca="1">_xll.BDH($C$603,"QUICK_RATIO","FQ4 2016","FQ4 2016","Currency=INR","Period=FQ","BEST_FPERIOD_OVERRIDE=FQ","FILING_STATUS=OR","EQY_CONSOLIDATED=Y","Sort=A","Dates=H","DateFormat=P","Fill=—","Direction=H","UseDPDF=Y")</f>
        <v>#NAME?</v>
      </c>
      <c r="CV617" s="1" t="e">
        <f ca="1">_xll.BDH($C$603,"ALTMAN_Z_SCORE","FQ4 2016","FQ4 2016","Currency=INR","Period=FQ","BEST_FPERIOD_OVERRIDE=FQ","FILING_STATUS=OR","EQY_CONSOLIDATED=Y","Sort=A","Dates=H","DateFormat=P","Fill=—","Direction=H","UseDPDF=Y")</f>
        <v>#NAME?</v>
      </c>
      <c r="CW617" s="3" t="e">
        <f ca="1">_xll.BDH($C$603,"ACCT_RCV_TURN","FQ4 2016","FQ4 2016","Currency=INR","Period=FQ","BEST_FPERIOD_OVERRIDE=FQ","FILING_STATUS=OR","EQY_CONSOLIDATED=Y","FA_ADJUSTED=GAAP","Sort=A","Dates=H","DateFormat=P","Fill=—","Direction=H","UseDPDF=Y")</f>
        <v>#NAME?</v>
      </c>
      <c r="CX617" s="1" t="e">
        <f ca="1">_xll.BDH($C$603,"ACCT_RCV_DAYS","FQ4 2016","FQ4 2016","Currency=INR","Period=FQ","BEST_FPERIOD_OVERRIDE=FQ","FILING_STATUS=OR","EQY_CONSOLIDATED=Y","FA_ADJUSTED=GAAP","Sort=A","Dates=H","DateFormat=P","Fill=—","Direction=H","UseDPDF=Y")</f>
        <v>#NAME?</v>
      </c>
      <c r="CY617" s="3" t="e">
        <f ca="1">_xll.BDH($C$603,"INVENT_TURN","FQ4 2016","FQ4 2016","Currency=INR","Period=FQ","BEST_FPERIOD_OVERRIDE=FQ","FILING_STATUS=OR","EQY_CONSOLIDATED=Y","FA_ADJUSTED=GAAP","Sort=A","Dates=H","DateFormat=P","Fill=—","Direction=H","UseDPDF=Y")</f>
        <v>#NAME?</v>
      </c>
      <c r="CZ617" s="1" t="e">
        <f ca="1">_xll.BDH($C$603,"INVENT_DAYS","FQ4 2016","FQ4 2016","Currency=INR","Period=FQ","BEST_FPERIOD_OVERRIDE=FQ","FILING_STATUS=OR","EQY_CONSOLIDATED=Y","FA_ADJUSTED=GAAP","Sort=A","Dates=H","DateFormat=P","Fill=—","Direction=H","UseDPDF=Y")</f>
        <v>#NAME?</v>
      </c>
      <c r="DA617" s="3" t="e">
        <f ca="1">_xll.BDH($C$603,"ACCOUNTS_PAYABLE_TURNOVER","FQ4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617" s="1" t="e">
        <f ca="1">_xll.BDH($C$603,"ACCOUNTS_PAYABLE_TURNOVER_DAYS","FQ4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617" s="3" t="e">
        <f ca="1">_xll.BDH($C$603,"CASH_CONVERSION_CYCLE","FQ4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617" s="3" t="e">
        <f ca="1">_xll.BDH($C$603,"INV_TO_CASH_DAYS","FQ4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617" s="4" t="e">
        <f ca="1">_xll.BDH($C$603,"BS_INVENTORIES","FQ4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617" s="2" t="e">
        <f ca="1">_xll.BDH($C$603,"INVTRY_RAW_MATERIALS","FQ4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617" s="2" t="e">
        <f ca="1">_xll.BDH($C$603,"INVTRY_IN_PROGRESS","FQ4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617" s="2" t="e">
        <f ca="1">_xll.BDH($C$603,"INVTRY_FINISHED_GOODS","FQ4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617" s="2" t="e">
        <f ca="1">_xll.BDH($C$603,"BS_OTHER_INV","FQ4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618" spans="1:113" x14ac:dyDescent="0.3">
      <c r="A618" s="6"/>
      <c r="B618" s="6"/>
      <c r="C618" s="6"/>
      <c r="D618" s="6" t="s">
        <v>10</v>
      </c>
      <c r="E618" t="s">
        <v>3</v>
      </c>
      <c r="F618" t="e">
        <f ca="1">_xll.BDH($C$603,"RETURN_COM_EQY","FY 2017","FY 2017","Currency=INR","Period=FY","BEST_FPERIOD_OVERRIDE=FY","FILING_STATUS=OR","EQY_CONSOLIDATED=Y","FA_ADJUSTED=GAAP","Sort=A","Dates=H","DateFormat=P","Fill=—","Direction=H","UseDPDF=Y")</f>
        <v>#NAME?</v>
      </c>
      <c r="G618" t="e">
        <f ca="1">_xll.BDH($C$603,"RETURN_ON_ASSET","FY 2017","FY 2017","Currency=INR","Period=FY","BEST_FPERIOD_OVERRIDE=FY","FILING_STATUS=OR","EQY_CONSOLIDATED=Y","FA_ADJUSTED=GAAP","Sort=A","Dates=H","DateFormat=P","Fill=—","Direction=H","UseDPDF=Y")</f>
        <v>#NAME?</v>
      </c>
      <c r="H618" t="e">
        <f ca="1">_xll.BDH($C$603,"RETURN_ON_CAP","FY 2017","FY 2017","Currency=INR","Period=FY","BEST_FPERIOD_OVERRIDE=FY","FILING_STATUS=OR","EQY_CONSOLIDATED=Y","FA_ADJUSTED=GAAP","Sort=A","Dates=H","DateFormat=P","Fill=—","Direction=H","UseDPDF=Y")</f>
        <v>#NAME?</v>
      </c>
      <c r="I618" t="e">
        <f ca="1">_xll.BDH($C$603,"RETURN_ON_INV_CAPITAL","FY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618" t="e">
        <f ca="1">_xll.BDH($C$603,"EBITDA_TO_REVENUE","FY 2017","FY 2017","Currency=INR","Period=FY","BEST_FPERIOD_OVERRIDE=FY","FILING_STATUS=OR","EQY_CONSOLIDATED=Y","FA_ADJUSTED=GAAP","Sort=A","Dates=H","DateFormat=P","Fill=—","Direction=H","UseDPDF=Y")</f>
        <v>#NAME?</v>
      </c>
      <c r="K618" t="e">
        <f ca="1">_xll.BDH($C$603,"OPER_MARGIN","FY 2017","FY 2017","Currency=INR","Period=FY","BEST_FPERIOD_OVERRIDE=FY","FILING_STATUS=OR","EQY_CONSOLIDATED=Y","FA_ADJUSTED=GAAP","Sort=A","Dates=H","DateFormat=P","Fill=—","Direction=H","UseDPDF=Y")</f>
        <v>#NAME?</v>
      </c>
      <c r="L618" t="e">
        <f ca="1">_xll.BDH($C$603,"INCREMENTAL_OPERATING_MARGIN","FY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618" t="e">
        <f ca="1">_xll.BDH($C$603,"PRETAX_INC_TO_NET_SALES","FY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618" t="e">
        <f ca="1">_xll.BDH($C$603,"INC_BEF_XO_ITEMS_TO_NET_SALES","FY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618" t="e">
        <f ca="1">_xll.BDH($C$603,"PROF_MARGIN","FY 2017","FY 2017","Currency=INR","Period=FY","BEST_FPERIOD_OVERRIDE=FY","FILING_STATUS=OR","EQY_CONSOLIDATED=Y","FA_ADJUSTED=GAAP","Sort=A","Dates=H","DateFormat=P","Fill=—","Direction=H","UseDPDF=Y")</f>
        <v>#NAME?</v>
      </c>
      <c r="P618" t="e">
        <f ca="1">_xll.BDH($C$603,"NET_INCOME_TO_COMMON_MARGIN","FY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618" t="e">
        <f ca="1">_xll.BDH($C$603,"EFF_TAX_RATE","FY 2017","FY 2017","Currency=INR","Period=FY","BEST_FPERIOD_OVERRIDE=FY","FILING_STATUS=OR","EQY_CONSOLIDATED=Y","FA_ADJUSTED=GAAP","Sort=A","Dates=H","DateFormat=P","Fill=—","Direction=H","UseDPDF=Y")</f>
        <v>#NAME?</v>
      </c>
      <c r="R618" t="e">
        <f ca="1">_xll.BDH($C$603,"DVD_PAYOUT_RATIO","FY 2017","FY 2017","Currency=INR","Period=FY","BEST_FPERIOD_OVERRIDE=FY","FILING_STATUS=OR","EQY_CONSOLIDATED=Y","FA_ADJUSTED=GAAP","Sort=A","Dates=H","DateFormat=P","Fill=—","Direction=H","UseDPDF=Y")</f>
        <v>#NAME?</v>
      </c>
      <c r="S618" t="e">
        <f ca="1">_xll.BDH($C$603,"SUSTAIN_GROWTH_RT","FY 2017","FY 2017","Currency=INR","Period=FY","BEST_FPERIOD_OVERRIDE=FY","FILING_STATUS=OR","EQY_CONSOLIDATED=Y","FA_ADJUSTED=GAAP","Sort=A","Dates=H","DateFormat=P","Fill=—","Direction=H","UseDPDF=Y")</f>
        <v>#NAME?</v>
      </c>
      <c r="T618" s="1" t="e">
        <f ca="1">_xll.BDH($C$603,"SALES_GROWTH","FY 2017","FY 2017","Currency=INR","Period=FY","BEST_FPERIOD_OVERRIDE=FY","FILING_STATUS=OR","EQY_CONSOLIDATED=Y","FA_ADJUSTED=GAAP","Sort=A","Dates=H","DateFormat=P","Fill=—","Direction=H","UseDPDF=Y")</f>
        <v>#NAME?</v>
      </c>
      <c r="U618" s="1" t="e">
        <f ca="1">_xll.BDH($C$603,"EBITDA_GROWTH","FY 2017","FY 2017","Currency=INR","Period=FY","BEST_FPERIOD_OVERRIDE=FY","FILING_STATUS=OR","EQY_CONSOLIDATED=Y","FA_ADJUSTED=GAAP","Sort=A","Dates=H","DateFormat=P","Fill=—","Direction=H","UseDPDF=Y")</f>
        <v>#NAME?</v>
      </c>
      <c r="V618" s="1" t="e">
        <f ca="1">_xll.BDH($C$603,"OPER_INC_GROWTH","FY 2017","FY 2017","Currency=INR","Period=FY","BEST_FPERIOD_OVERRIDE=FY","FILING_STATUS=OR","EQY_CONSOLIDATED=Y","FA_ADJUSTED=GAAP","Sort=A","Dates=H","DateFormat=P","Fill=—","Direction=H","UseDPDF=Y")</f>
        <v>#NAME?</v>
      </c>
      <c r="W618" s="1" t="e">
        <f ca="1">_xll.BDH($C$603,"EARN_FOR_COM_GROWTH","FY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618" s="1" t="e">
        <f ca="1">_xll.BDH($C$603,"DILUTED_EPS_AFT_XO_ITEMS_GROWTH","FY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618" s="1" t="e">
        <f ca="1">_xll.BDH($C$603,"DIVIDEND_PER_SHARE_1_YEAR_GROWTH","FY 2017","FY 2017","Currency=INR","Period=FY","BEST_FPERIOD_OVERRIDE=FY","FILING_STATUS=OR","EQY_CONSOLIDATED=Y","Sort=A","Dates=H","DateFormat=P","Fill=—","Direction=H","UseDPDF=Y")</f>
        <v>#NAME?</v>
      </c>
      <c r="Z618" s="1" t="e">
        <f ca="1">_xll.BDH($C$603,"ACCOUNTS_RECEIVABLE_GROWTH","FY 2017","FY 2017","Currency=INR","Period=FY","BEST_FPERIOD_OVERRIDE=FY","FILING_STATUS=OR","EQY_CONSOLIDATED=Y","Sort=A","Dates=H","DateFormat=P","Fill=—","Direction=H","UseDPDF=Y")</f>
        <v>#NAME?</v>
      </c>
      <c r="AA618" s="1" t="e">
        <f ca="1">_xll.BDH($C$603,"INVENTORY_GROWTH","FY 2017","FY 2017","Currency=INR","Period=FY","BEST_FPERIOD_OVERRIDE=FY","FILING_STATUS=OR","EQY_CONSOLIDATED=Y","Sort=A","Dates=H","DateFormat=P","Fill=—","Direction=H","UseDPDF=Y")</f>
        <v>#NAME?</v>
      </c>
      <c r="AB618" s="1" t="e">
        <f ca="1">_xll.BDH($C$603,"NET_FIXED_ASSETS_1_YEAR_GROWTH","FY 2017","FY 2017","Currency=INR","Period=FY","BEST_FPERIOD_OVERRIDE=FY","FILING_STATUS=OR","EQY_CONSOLIDATED=Y","Sort=A","Dates=H","DateFormat=P","Fill=—","Direction=H","UseDPDF=Y")</f>
        <v>#NAME?</v>
      </c>
      <c r="AC618" s="1" t="e">
        <f ca="1">_xll.BDH($C$603,"ASSET_GROWTH","FY 2017","FY 2017","Currency=INR","Period=FY","BEST_FPERIOD_OVERRIDE=FY","FILING_STATUS=OR","EQY_CONSOLIDATED=Y","Sort=A","Dates=H","DateFormat=P","Fill=—","Direction=H","UseDPDF=Y")</f>
        <v>#NAME?</v>
      </c>
      <c r="AD618" s="1" t="e">
        <f ca="1">_xll.BDH($C$603,"MODIFIED_WORK_CAP_GROWTH","FY 2017","FY 2017","Currency=INR","Period=FY","BEST_FPERIOD_OVERRIDE=FY","FILING_STATUS=OR","EQY_CONSOLIDATED=Y","Sort=A","Dates=H","DateFormat=P","Fill=—","Direction=H","UseDPDF=Y")</f>
        <v>#NAME?</v>
      </c>
      <c r="AE618" s="1" t="e">
        <f ca="1">_xll.BDH($C$603,"WORK_CAP_GROWTH","FY 2017","FY 2017","Currency=INR","Period=FY","BEST_FPERIOD_OVERRIDE=FY","FILING_STATUS=OR","EQY_CONSOLIDATED=Y","Sort=A","Dates=H","DateFormat=P","Fill=—","Direction=H","UseDPDF=Y")</f>
        <v>#NAME?</v>
      </c>
      <c r="AF618" s="1" t="e">
        <f ca="1">_xll.BDH($C$603,"ACCOUNTS_PAYABLE_GROWTH_1YR","FY 2017","FY 2017","Currency=INR","Period=FY","BEST_FPERIOD_OVERRIDE=FY","FILING_STATUS=OR","EQY_CONSOLIDATED=Y","Sort=A","Dates=H","DateFormat=P","Fill=—","Direction=H","UseDPDF=Y")</f>
        <v>#NAME?</v>
      </c>
      <c r="AG618" s="1" t="e">
        <f ca="1">_xll.BDH($C$603,"SHORT_TERM_DEBT_1_YEAR_GROWTH","FY 2017","FY 2017","Currency=INR","Period=FY","BEST_FPERIOD_OVERRIDE=FY","FILING_STATUS=OR","EQY_CONSOLIDATED=Y","Sort=A","Dates=H","DateFormat=P","Fill=—","Direction=H","UseDPDF=Y")</f>
        <v>#NAME?</v>
      </c>
      <c r="AH618" s="1" t="e">
        <f ca="1">_xll.BDH($C$603,"TOTAL_DEBT_1_YEAR_GROWTH","FY 2017","FY 2017","Currency=INR","Period=FY","BEST_FPERIOD_OVERRIDE=FY","FILING_STATUS=OR","EQY_CONSOLIDATED=Y","Sort=A","Dates=H","DateFormat=P","Fill=—","Direction=H","UseDPDF=Y")</f>
        <v>#NAME?</v>
      </c>
      <c r="AI618" s="1" t="e">
        <f ca="1">_xll.BDH($C$603,"TOTAL_EQUITY_1_YEAR_GROWTH","FY 2017","FY 2017","Currency=INR","Period=FY","BEST_FPERIOD_OVERRIDE=FY","FILING_STATUS=OR","EQY_CONSOLIDATED=Y","Sort=A","Dates=H","DateFormat=P","Fill=—","Direction=H","UseDPDF=Y")</f>
        <v>#NAME?</v>
      </c>
      <c r="AJ618" s="1" t="e">
        <f ca="1">_xll.BDH($C$603,"GROWTH_IN_CAP","FY 2017","FY 2017","Currency=INR","Period=FY","BEST_FPERIOD_OVERRIDE=FY","FILING_STATUS=OR","EQY_CONSOLIDATED=Y","Sort=A","Dates=H","DateFormat=P","Fill=—","Direction=H","UseDPDF=Y")</f>
        <v>#NAME?</v>
      </c>
      <c r="AK618" s="1" t="e">
        <f ca="1">_xll.BDH($C$603,"BVPS_GROWTH","FY 2017","FY 2017","Currency=INR","Period=FY","BEST_FPERIOD_OVERRIDE=FY","FILING_STATUS=OR","EQY_CONSOLIDATED=Y","Sort=A","Dates=H","DateFormat=P","Fill=—","Direction=H","UseDPDF=Y")</f>
        <v>#NAME?</v>
      </c>
      <c r="AL618" s="1" t="e">
        <f ca="1">_xll.BDH($C$603,"CASH_FLOW_GROWTH","FY 2017","FY 2017","Currency=INR","Period=FY","BEST_FPERIOD_OVERRIDE=FY","FILING_STATUS=OR","EQY_CONSOLIDATED=Y","Sort=A","Dates=H","DateFormat=P","Fill=—","Direction=H","UseDPDF=Y")</f>
        <v>#NAME?</v>
      </c>
      <c r="AM618" s="1" t="e">
        <f ca="1">_xll.BDH($C$603,"GEO_GROW_NET_SALES","FY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618" s="1" t="e">
        <f ca="1">_xll.BDH($C$603,"GEO_GROW_EBITDA","FY 2017","FY 2017","Currency=INR","Period=FY","BEST_FPERIOD_OVERRIDE=FY","FILING_STATUS=OR","EQY_CONSOLIDATED=Y","FA_ADJUSTED=GAAP","Sort=A","Dates=H","DateFormat=P","Fill=—","Direction=H","UseDPDF=Y")</f>
        <v>#NAME?</v>
      </c>
      <c r="AO618" s="1" t="e">
        <f ca="1">_xll.BDH($C$603,"GEO_GROW_OPER_INC","FY 2017","FY 2017","Currency=INR","Period=FY","BEST_FPERIOD_OVERRIDE=FY","FILING_STATUS=OR","EQY_CONSOLIDATED=Y","FA_ADJUSTED=GAAP","Sort=A","Dates=H","DateFormat=P","Fill=—","Direction=H","UseDPDF=Y")</f>
        <v>#NAME?</v>
      </c>
      <c r="AP618" s="1" t="e">
        <f ca="1">_xll.BDH($C$603,"NET_INCOME_TO_COMMON_5_YR_GROWTH","FY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618" s="1" t="e">
        <f ca="1">_xll.BDH($C$603,"5Y_GEO_GROWTH_DILUTED_EPS","FY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618" s="1" t="e">
        <f ca="1">_xll.BDH($C$603,"GEO_GROW_DVD_PER_SH","FY 2017","FY 2017","Currency=INR","Period=FY","BEST_FPERIOD_OVERRIDE=FY","FILING_STATUS=OR","EQY_CONSOLIDATED=Y","Sort=A","Dates=H","DateFormat=P","Fill=—","Direction=H","UseDPDF=Y")</f>
        <v>#NAME?</v>
      </c>
      <c r="AS618" s="1" t="e">
        <f ca="1">_xll.BDH($C$603,"ACCOUNTS_RECEIVABLE_5_YR_GROWTH","FY 2017","FY 2017","Currency=INR","Period=FY","BEST_FPERIOD_OVERRIDE=FY","FILING_STATUS=OR","EQY_CONSOLIDATED=Y","Sort=A","Dates=H","DateFormat=P","Fill=—","Direction=H","UseDPDF=Y")</f>
        <v>#NAME?</v>
      </c>
      <c r="AT618" s="1" t="e">
        <f ca="1">_xll.BDH($C$603,"INVENTORY_5_YEAR_GROWTH","FY 2017","FY 2017","Currency=INR","Period=FY","BEST_FPERIOD_OVERRIDE=FY","FILING_STATUS=OR","EQY_CONSOLIDATED=Y","Sort=A","Dates=H","DateFormat=P","Fill=—","Direction=H","UseDPDF=Y")</f>
        <v>#NAME?</v>
      </c>
      <c r="AU618" s="1" t="e">
        <f ca="1">_xll.BDH($C$603,"NET_FIXED_ASSETS_5_YEAR_GROWTH","FY 2017","FY 2017","Currency=INR","Period=FY","BEST_FPERIOD_OVERRIDE=FY","FILING_STATUS=OR","EQY_CONSOLIDATED=Y","Sort=A","Dates=H","DateFormat=P","Fill=—","Direction=H","UseDPDF=Y")</f>
        <v>#NAME?</v>
      </c>
      <c r="AV618" s="1" t="e">
        <f ca="1">_xll.BDH($C$603,"GEO_GROW_TOT_ASSET","FY 2017","FY 2017","Currency=INR","Period=FY","BEST_FPERIOD_OVERRIDE=FY","FILING_STATUS=OR","EQY_CONSOLIDATED=Y","Sort=A","Dates=H","DateFormat=P","Fill=—","Direction=H","UseDPDF=Y")</f>
        <v>#NAME?</v>
      </c>
      <c r="AW618" s="1" t="e">
        <f ca="1">_xll.BDH($C$603,"MODIFIED_WORKING_CPTL_5YR_GRWTH","FY 2017","FY 2017","Currency=INR","Period=FY","BEST_FPERIOD_OVERRIDE=FY","FILING_STATUS=OR","EQY_CONSOLIDATED=Y","Sort=A","Dates=H","DateFormat=P","Fill=—","Direction=H","UseDPDF=Y")</f>
        <v>#NAME?</v>
      </c>
      <c r="AX618" s="1" t="e">
        <f ca="1">_xll.BDH($C$603,"WORKING_CAPITAL_5_YEAR_GROWTH","FY 2017","FY 2017","Currency=INR","Period=FY","BEST_FPERIOD_OVERRIDE=FY","FILING_STATUS=OR","EQY_CONSOLIDATED=Y","Sort=A","Dates=H","DateFormat=P","Fill=—","Direction=H","UseDPDF=Y")</f>
        <v>#NAME?</v>
      </c>
      <c r="AY618" s="1" t="e">
        <f ca="1">_xll.BDH($C$603,"ACCOUNTS_PAYABLE_5_YEAR_GROWTH","FY 2017","FY 2017","Currency=INR","Period=FY","BEST_FPERIOD_OVERRIDE=FY","FILING_STATUS=OR","EQY_CONSOLIDATED=Y","Sort=A","Dates=H","DateFormat=P","Fill=—","Direction=H","UseDPDF=Y")</f>
        <v>#NAME?</v>
      </c>
      <c r="AZ618" s="1" t="e">
        <f ca="1">_xll.BDH($C$603,"SHORT_TERM_DEBT_5_YEAR_GROWTH","FY 2017","FY 2017","Currency=INR","Period=FY","BEST_FPERIOD_OVERRIDE=FY","FILING_STATUS=OR","EQY_CONSOLIDATED=Y","Sort=A","Dates=H","DateFormat=P","Fill=—","Direction=H","UseDPDF=Y")</f>
        <v>#NAME?</v>
      </c>
      <c r="BA618" s="1" t="e">
        <f ca="1">_xll.BDH($C$603,"TOTAL_DEBT_5_YEAR_GROWTH","FY 2017","FY 2017","Currency=INR","Period=FY","BEST_FPERIOD_OVERRIDE=FY","FILING_STATUS=OR","EQY_CONSOLIDATED=Y","Sort=A","Dates=H","DateFormat=P","Fill=—","Direction=H","UseDPDF=Y")</f>
        <v>#NAME?</v>
      </c>
      <c r="BB618" s="1" t="e">
        <f ca="1">_xll.BDH($C$603,"GEO_GROW_TOT_SHRHLDR_EQY","FY 2017","FY 2017","Currency=INR","Period=FY","BEST_FPERIOD_OVERRIDE=FY","FILING_STATUS=OR","EQY_CONSOLIDATED=Y","Sort=A","Dates=H","DateFormat=P","Fill=—","Direction=H","UseDPDF=Y")</f>
        <v>#NAME?</v>
      </c>
      <c r="BC618" s="1" t="e">
        <f ca="1">_xll.BDH($C$603,"TOTAL_CAPITAL_5_YEAR_GROWTH","FY 2017","FY 2017","Currency=INR","Period=FY","BEST_FPERIOD_OVERRIDE=FY","FILING_STATUS=OR","EQY_CONSOLIDATED=Y","Sort=A","Dates=H","DateFormat=P","Fill=—","Direction=H","UseDPDF=Y")</f>
        <v>#NAME?</v>
      </c>
      <c r="BD618" s="1" t="e">
        <f ca="1">_xll.BDH($C$603,"GEO_GROW_BOOK_VAL","FY 2017","FY 2017","Currency=INR","Period=FY","BEST_FPERIOD_OVERRIDE=FY","FILING_STATUS=OR","EQY_CONSOLIDATED=Y","Sort=A","Dates=H","DateFormat=P","Fill=—","Direction=H","UseDPDF=Y")</f>
        <v>#NAME?</v>
      </c>
      <c r="BE618" s="1" t="e">
        <f ca="1">_xll.BDH($C$603,"GEO_GROW_CASH_OPER_ACT","FY 2017","FY 2017","Currency=INR","Period=FY","BEST_FPERIOD_OVERRIDE=FY","FILING_STATUS=OR","EQY_CONSOLIDATED=Y","Sort=A","Dates=H","DateFormat=P","Fill=—","Direction=H","UseDPDF=Y")</f>
        <v>#NAME?</v>
      </c>
      <c r="BF618" s="1" t="e">
        <f ca="1">_xll.BDH($C$603,"REVENUE_SEQUENTIAL_GROWTH","FY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618" s="1" t="e">
        <f ca="1">_xll.BDH($C$603,"EBITDA_SEQUENTIAL_GROWTH","FY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618" s="1" t="e">
        <f ca="1">_xll.BDH($C$603,"OPERATING_INCOME_SEQ_GROWTH","FY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618" s="1" t="e">
        <f ca="1">_xll.BDH($C$603,"NET_INCOME_TO_COMMON_SEQ_GROWTH","FY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618" s="1" t="e">
        <f ca="1">_xll.BDH($C$603,"EPS_DILUTED_SEQUENTIAL_GROWTH","FY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618" s="1" t="e">
        <f ca="1">_xll.BDH($C$603,"DPS_SEQUENTIAL_GROWTH","FY 2017","FY 2017","Currency=INR","Period=FY","BEST_FPERIOD_OVERRIDE=FY","FILING_STATUS=OR","EQY_CONSOLIDATED=Y","Sort=A","Dates=H","DateFormat=P","Fill=—","Direction=H","UseDPDF=Y")</f>
        <v>#NAME?</v>
      </c>
      <c r="BL618" s="1" t="e">
        <f ca="1">_xll.BDH($C$603,"ACCOUNTS_RECEIVABLE_SEQ_GROWTH","FY 2017","FY 2017","Currency=INR","Period=FY","BEST_FPERIOD_OVERRIDE=FY","FILING_STATUS=OR","EQY_CONSOLIDATED=Y","Sort=A","Dates=H","DateFormat=P","Fill=—","Direction=H","UseDPDF=Y")</f>
        <v>#NAME?</v>
      </c>
      <c r="BM618" s="1" t="e">
        <f ca="1">_xll.BDH($C$603,"INVENTORY_SEQUENTIAL_GROWTH","FY 2017","FY 2017","Currency=INR","Period=FY","BEST_FPERIOD_OVERRIDE=FY","FILING_STATUS=OR","EQY_CONSOLIDATED=Y","Sort=A","Dates=H","DateFormat=P","Fill=—","Direction=H","UseDPDF=Y")</f>
        <v>#NAME?</v>
      </c>
      <c r="BN618" s="1" t="e">
        <f ca="1">_xll.BDH($C$603,"FIXED_ASSETS_SEQUENTIAL_GROWTH","FY 2017","FY 2017","Currency=INR","Period=FY","BEST_FPERIOD_OVERRIDE=FY","FILING_STATUS=OR","EQY_CONSOLIDATED=Y","Sort=A","Dates=H","DateFormat=P","Fill=—","Direction=H","UseDPDF=Y")</f>
        <v>#NAME?</v>
      </c>
      <c r="BO618" s="1" t="e">
        <f ca="1">_xll.BDH($C$603,"TOTAL_ASSETS_SEQUENTIAL_GROWTH","FY 2017","FY 2017","Currency=INR","Period=FY","BEST_FPERIOD_OVERRIDE=FY","FILING_STATUS=OR","EQY_CONSOLIDATED=Y","Sort=A","Dates=H","DateFormat=P","Fill=—","Direction=H","UseDPDF=Y")</f>
        <v>#NAME?</v>
      </c>
      <c r="BP618" s="1" t="e">
        <f ca="1">_xll.BDH($C$603,"MODIFIED_WORKING_CPTL_SEQ_GRWTH","FY 2017","FY 2017","Currency=INR","Period=FY","BEST_FPERIOD_OVERRIDE=FY","FILING_STATUS=OR","EQY_CONSOLIDATED=Y","Sort=A","Dates=H","DateFormat=P","Fill=—","Direction=H","UseDPDF=Y")</f>
        <v>#NAME?</v>
      </c>
      <c r="BQ618" s="1" t="e">
        <f ca="1">_xll.BDH($C$603,"WORKING_CAPITAL_SEQ_GROWTH","FY 2017","FY 2017","Currency=INR","Period=FY","BEST_FPERIOD_OVERRIDE=FY","FILING_STATUS=OR","EQY_CONSOLIDATED=Y","Sort=A","Dates=H","DateFormat=P","Fill=—","Direction=H","UseDPDF=Y")</f>
        <v>#NAME?</v>
      </c>
      <c r="BR618" s="1" t="e">
        <f ca="1">_xll.BDH($C$603,"ACCOUNTS_PAYABLE_SEQ_GROWTH","FY 2017","FY 2017","Currency=INR","Period=FY","BEST_FPERIOD_OVERRIDE=FY","FILING_STATUS=OR","EQY_CONSOLIDATED=Y","Sort=A","Dates=H","DateFormat=P","Fill=—","Direction=H","UseDPDF=Y")</f>
        <v>#NAME?</v>
      </c>
      <c r="BS618" s="1" t="e">
        <f ca="1">_xll.BDH($C$603,"ST_DEBT_SEQUENTIAL_GROWTH","FY 2017","FY 2017","Currency=INR","Period=FY","BEST_FPERIOD_OVERRIDE=FY","FILING_STATUS=OR","EQY_CONSOLIDATED=Y","Sort=A","Dates=H","DateFormat=P","Fill=—","Direction=H","UseDPDF=Y")</f>
        <v>#NAME?</v>
      </c>
      <c r="BT618" s="1" t="e">
        <f ca="1">_xll.BDH($C$603,"TOTAL_DEBT_SEQUENTIAL_GROWTH","FY 2017","FY 2017","Currency=INR","Period=FY","BEST_FPERIOD_OVERRIDE=FY","FILING_STATUS=OR","EQY_CONSOLIDATED=Y","Sort=A","Dates=H","DateFormat=P","Fill=—","Direction=H","UseDPDF=Y")</f>
        <v>#NAME?</v>
      </c>
      <c r="BU618" s="1" t="e">
        <f ca="1">_xll.BDH($C$603,"TOTAL_EQUITY_SEQUENTIAL_GROWTH","FY 2017","FY 2017","Currency=INR","Period=FY","BEST_FPERIOD_OVERRIDE=FY","FILING_STATUS=OR","EQY_CONSOLIDATED=Y","Sort=A","Dates=H","DateFormat=P","Fill=—","Direction=H","UseDPDF=Y")</f>
        <v>#NAME?</v>
      </c>
      <c r="BV618" s="1" t="e">
        <f ca="1">_xll.BDH($C$603,"TOTAL_CAPITAL_SEQUENTIAL_GROWTH","FY 2017","FY 2017","Currency=INR","Period=FY","BEST_FPERIOD_OVERRIDE=FY","FILING_STATUS=OR","EQY_CONSOLIDATED=Y","Sort=A","Dates=H","DateFormat=P","Fill=—","Direction=H","UseDPDF=Y")</f>
        <v>#NAME?</v>
      </c>
      <c r="BW618" s="1" t="e">
        <f ca="1">_xll.BDH($C$603,"BPS_SEQUENTIAL_GROWTH","FY 2017","FY 2017","Currency=INR","Period=FY","BEST_FPERIOD_OVERRIDE=FY","FILING_STATUS=OR","EQY_CONSOLIDATED=Y","Sort=A","Dates=H","DateFormat=P","Fill=—","Direction=H","UseDPDF=Y")</f>
        <v>#NAME?</v>
      </c>
      <c r="BX618" s="1" t="e">
        <f ca="1">_xll.BDH($C$603,"CFO_SEQUENTIAL_GROWTH","FY 2017","FY 2017","Currency=INR","Period=FY","BEST_FPERIOD_OVERRIDE=FY","FILING_STATUS=OR","EQY_CONSOLIDATED=Y","Sort=A","Dates=H","DateFormat=P","Fill=—","Direction=H","UseDPDF=Y")</f>
        <v>#NAME?</v>
      </c>
      <c r="BY618" s="2" t="e">
        <f ca="1">_xll.BDH($C$603,"SHORT_AND_LONG_TERM_DEBT","FY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618" s="2" t="e">
        <f ca="1">_xll.BDH($C$603,"BS_ST_BORROW","FY 2017","FY 2017","Currency=INR","Period=FY","BEST_FPERIOD_OVERRIDE=FY","FILING_STATUS=OR","EQY_CONSOLIDATED=Y","SCALING_FORMAT=MLN","Sort=A","Dates=H","DateFormat=P","Fill=—","Direction=H","UseDPDF=Y")</f>
        <v>#NAME?</v>
      </c>
      <c r="CA618" s="2" t="e">
        <f ca="1">_xll.BDH($C$603,"BS_LT_BORROW","FY 2017","FY 2017","Currency=INR","Period=FY","BEST_FPERIOD_OVERRIDE=FY","FILING_STATUS=OR","EQY_CONSOLIDATED=Y","SCALING_FORMAT=MLN","Sort=A","Dates=H","DateFormat=P","Fill=—","Direction=H","UseDPDF=Y")</f>
        <v>#NAME?</v>
      </c>
      <c r="CB618" s="1" t="e">
        <f ca="1">_xll.BDH($C$603,"TOT_DEBT_TO_EBITDA","FY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618" s="1" t="e">
        <f ca="1">_xll.BDH($C$603,"NET_DEBT_TO_EBITDA","FY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618" s="1" t="e">
        <f ca="1">_xll.BDH($C$603,"TOTAL_DEBT_TO_EBIT","FY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618" s="1" t="e">
        <f ca="1">_xll.BDH($C$603,"NET_DEBT_TO_EBIT","FY 2017","FY 2017","Currency=INR","Period=FY","BEST_FPERIOD_OVERRIDE=FY","FILING_STATUS=OR","EQY_CONSOLIDATED=Y","FA_ADJUSTED=GAAP","Sort=A","Dates=H","DateFormat=P","Fill=—","Direction=H","UseDPDF=Y")</f>
        <v>#NAME?</v>
      </c>
      <c r="CF618" s="1" t="e">
        <f ca="1">_xll.BDH($C$603,"EBITDA_TO_INTEREST_EXPN","FY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618" s="1" t="e">
        <f ca="1">_xll.BDH($C$603,"COM_EQY_TO_TOT_ASSET","FY 2017","FY 2017","Currency=INR","Period=FY","BEST_FPERIOD_OVERRIDE=FY","FILING_STATUS=OR","EQY_CONSOLIDATED=Y","Sort=A","Dates=H","DateFormat=P","Fill=—","Direction=H","UseDPDF=Y")</f>
        <v>#NAME?</v>
      </c>
      <c r="CH618" s="1" t="e">
        <f ca="1">_xll.BDH($C$603,"LT_DEBT_TO_TOT_EQY","FY 2017","FY 2017","Currency=INR","Period=FY","BEST_FPERIOD_OVERRIDE=FY","FILING_STATUS=OR","EQY_CONSOLIDATED=Y","Sort=A","Dates=H","DateFormat=P","Fill=—","Direction=H","UseDPDF=Y")</f>
        <v>#NAME?</v>
      </c>
      <c r="CI618" s="1" t="e">
        <f ca="1">_xll.BDH($C$603,"LT_DEBT_TO_TOT_CAP","FY 2017","FY 2017","Currency=INR","Period=FY","BEST_FPERIOD_OVERRIDE=FY","FILING_STATUS=OR","EQY_CONSOLIDATED=Y","Sort=A","Dates=H","DateFormat=P","Fill=—","Direction=H","UseDPDF=Y")</f>
        <v>#NAME?</v>
      </c>
      <c r="CJ618" s="1" t="e">
        <f ca="1">_xll.BDH($C$603,"LT_DEBT_TO_TOT_ASSET","FY 2017","FY 2017","Currency=INR","Period=FY","BEST_FPERIOD_OVERRIDE=FY","FILING_STATUS=OR","EQY_CONSOLIDATED=Y","Sort=A","Dates=H","DateFormat=P","Fill=—","Direction=H","UseDPDF=Y")</f>
        <v>#NAME?</v>
      </c>
      <c r="CK618" s="1" t="e">
        <f ca="1">_xll.BDH($C$603,"TOT_DEBT_TO_TOT_EQY","FY 2017","FY 2017","Currency=INR","Period=FY","BEST_FPERIOD_OVERRIDE=FY","FILING_STATUS=OR","EQY_CONSOLIDATED=Y","Sort=A","Dates=H","DateFormat=P","Fill=—","Direction=H","UseDPDF=Y")</f>
        <v>#NAME?</v>
      </c>
      <c r="CL618" s="1" t="e">
        <f ca="1">_xll.BDH($C$603,"TOT_DEBT_TO_TOT_CAP","FY 2017","FY 2017","Currency=INR","Period=FY","BEST_FPERIOD_OVERRIDE=FY","FILING_STATUS=OR","EQY_CONSOLIDATED=Y","Sort=A","Dates=H","DateFormat=P","Fill=—","Direction=H","UseDPDF=Y")</f>
        <v>#NAME?</v>
      </c>
      <c r="CM618" s="1" t="e">
        <f ca="1">_xll.BDH($C$603,"TOT_DEBT_TO_TOT_ASSET","FY 2017","FY 2017","Currency=INR","Period=FY","BEST_FPERIOD_OVERRIDE=FY","FILING_STATUS=OR","EQY_CONSOLIDATED=Y","Sort=A","Dates=H","DateFormat=P","Fill=—","Direction=H","UseDPDF=Y")</f>
        <v>#NAME?</v>
      </c>
      <c r="CN618" s="1" t="e">
        <f ca="1">_xll.BDH($C$603,"NET_DEBT_TO_SHRHLDR_EQTY","FY 2017","FY 2017","Currency=INR","Period=FY","BEST_FPERIOD_OVERRIDE=FY","FILING_STATUS=OR","EQY_CONSOLIDATED=Y","Sort=A","Dates=H","DateFormat=P","Fill=—","Direction=H","UseDPDF=Y")</f>
        <v>#NAME?</v>
      </c>
      <c r="CO618" s="1" t="e">
        <f ca="1">_xll.BDH($C$603,"NET_DEBT_%_CAPITAL","FY 2017","FY 2017","Currency=INR","Period=FY","BEST_FPERIOD_OVERRIDE=FY","FILING_STATUS=OR","EQY_CONSOLIDATED=Y","Sort=A","Dates=H","DateFormat=P","Fill=—","Direction=H","UseDPDF=Y")</f>
        <v>#NAME?</v>
      </c>
      <c r="CP618" s="2" t="e">
        <f ca="1">_xll.BDH($C$603,"EBITDA","FY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618" s="2" t="e">
        <f ca="1">_xll.BDH($C$603,"EBITDA_AFTER_CAPEX","FY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618" s="2" t="e">
        <f ca="1">_xll.BDH($C$603,"IS_OPER_INC","FY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618" s="1" t="e">
        <f ca="1">_xll.BDH($C$603,"CASH_RATIO","FY 2017","FY 2017","Currency=INR","Period=FY","BEST_FPERIOD_OVERRIDE=FY","FILING_STATUS=OR","EQY_CONSOLIDATED=Y","Sort=A","Dates=H","DateFormat=P","Fill=—","Direction=H","UseDPDF=Y")</f>
        <v>#NAME?</v>
      </c>
      <c r="CT618" s="1" t="e">
        <f ca="1">_xll.BDH($C$603,"CUR_RATIO","FY 2017","FY 2017","Currency=INR","Period=FY","BEST_FPERIOD_OVERRIDE=FY","FILING_STATUS=OR","EQY_CONSOLIDATED=Y","Sort=A","Dates=H","DateFormat=P","Fill=—","Direction=H","UseDPDF=Y")</f>
        <v>#NAME?</v>
      </c>
      <c r="CU618" s="1" t="e">
        <f ca="1">_xll.BDH($C$603,"QUICK_RATIO","FY 2017","FY 2017","Currency=INR","Period=FY","BEST_FPERIOD_OVERRIDE=FY","FILING_STATUS=OR","EQY_CONSOLIDATED=Y","Sort=A","Dates=H","DateFormat=P","Fill=—","Direction=H","UseDPDF=Y")</f>
        <v>#NAME?</v>
      </c>
      <c r="CV618" s="1" t="e">
        <f ca="1">_xll.BDH($C$603,"ALTMAN_Z_SCORE","FY 2017","FY 2017","Currency=INR","Period=FY","BEST_FPERIOD_OVERRIDE=FY","FILING_STATUS=OR","EQY_CONSOLIDATED=Y","Sort=A","Dates=H","DateFormat=P","Fill=—","Direction=H","UseDPDF=Y")</f>
        <v>#NAME?</v>
      </c>
      <c r="CW618" s="3" t="e">
        <f ca="1">_xll.BDH($C$603,"ACCT_RCV_TURN","FY 2017","FY 2017","Currency=INR","Period=FY","BEST_FPERIOD_OVERRIDE=FY","FILING_STATUS=OR","EQY_CONSOLIDATED=Y","FA_ADJUSTED=GAAP","Sort=A","Dates=H","DateFormat=P","Fill=—","Direction=H","UseDPDF=Y")</f>
        <v>#NAME?</v>
      </c>
      <c r="CX618" s="1" t="e">
        <f ca="1">_xll.BDH($C$603,"ACCT_RCV_DAYS","FY 2017","FY 2017","Currency=INR","Period=FY","BEST_FPERIOD_OVERRIDE=FY","FILING_STATUS=OR","EQY_CONSOLIDATED=Y","FA_ADJUSTED=GAAP","Sort=A","Dates=H","DateFormat=P","Fill=—","Direction=H","UseDPDF=Y")</f>
        <v>#NAME?</v>
      </c>
      <c r="CY618" s="3" t="e">
        <f ca="1">_xll.BDH($C$603,"INVENT_TURN","FY 2017","FY 2017","Currency=INR","Period=FY","BEST_FPERIOD_OVERRIDE=FY","FILING_STATUS=OR","EQY_CONSOLIDATED=Y","FA_ADJUSTED=GAAP","Sort=A","Dates=H","DateFormat=P","Fill=—","Direction=H","UseDPDF=Y")</f>
        <v>#NAME?</v>
      </c>
      <c r="CZ618" s="1" t="e">
        <f ca="1">_xll.BDH($C$603,"INVENT_DAYS","FY 2017","FY 2017","Currency=INR","Period=FY","BEST_FPERIOD_OVERRIDE=FY","FILING_STATUS=OR","EQY_CONSOLIDATED=Y","FA_ADJUSTED=GAAP","Sort=A","Dates=H","DateFormat=P","Fill=—","Direction=H","UseDPDF=Y")</f>
        <v>#NAME?</v>
      </c>
      <c r="DA618" s="3" t="e">
        <f ca="1">_xll.BDH($C$603,"ACCOUNTS_PAYABLE_TURNOVER","FY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618" s="1" t="e">
        <f ca="1">_xll.BDH($C$603,"ACCOUNTS_PAYABLE_TURNOVER_DAYS","FY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618" s="3" t="e">
        <f ca="1">_xll.BDH($C$603,"CASH_CONVERSION_CYCLE","FY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618" s="3" t="e">
        <f ca="1">_xll.BDH($C$603,"INV_TO_CASH_DAYS","FY 2017","FY 2017","Currency=INR","Period=FY","BEST_FPERIOD_OVERRIDE=FY","FILING_STATUS=OR","EQY_CONSOLIDATED=Y","FA_ADJUSTED=GAAP","Sort=A","Dates=H","DateFormat=P","Fill=—","Direction=H","UseDPDF=Y")</f>
        <v>#NAME?</v>
      </c>
      <c r="DE618" s="4" t="e">
        <f ca="1">_xll.BDH($C$603,"BS_INVENTORIES","FY 2017","FY 2017","Currency=INR","Period=FY","BEST_FPERIOD_OVERRIDE=FY","FILING_STATUS=OR","EQY_CONSOLIDATED=Y","SCALING_FORMAT=MLN","Sort=A","Dates=H","DateFormat=P","Fill=—","Direction=H","UseDPDF=Y")</f>
        <v>#NAME?</v>
      </c>
      <c r="DF618" s="2" t="e">
        <f ca="1">_xll.BDH($C$603,"INVTRY_RAW_MATERIALS","FY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618" s="2" t="e">
        <f ca="1">_xll.BDH($C$603,"INVTRY_IN_PROGRESS","FY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618" s="2" t="e">
        <f ca="1">_xll.BDH($C$603,"INVTRY_FINISHED_GOODS","FY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618" s="2" t="e">
        <f ca="1">_xll.BDH($C$603,"BS_OTHER_INV","FY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619" spans="1:113" x14ac:dyDescent="0.3">
      <c r="A619" s="6"/>
      <c r="B619" s="6"/>
      <c r="C619" s="6"/>
      <c r="D619" s="6"/>
      <c r="E619" t="s">
        <v>4</v>
      </c>
      <c r="F619" t="e">
        <f ca="1">_xll.BDH($C$603,"RETURN_COM_EQY","FQ1 2017","FQ1 2017","Currency=INR","Period=FQ","BEST_FPERIOD_OVERRIDE=FQ","FILING_STATUS=OR","EQY_CONSOLIDATED=Y","FA_ADJUSTED=GAAP","Sort=A","Dates=H","DateFormat=P","Fill=—","Direction=H","UseDPDF=Y")</f>
        <v>#NAME?</v>
      </c>
      <c r="G619" t="e">
        <f ca="1">_xll.BDH($C$603,"RETURN_ON_ASSET","FQ1 2017","FQ1 2017","Currency=INR","Period=FQ","BEST_FPERIOD_OVERRIDE=FQ","FILING_STATUS=OR","EQY_CONSOLIDATED=Y","FA_ADJUSTED=GAAP","Sort=A","Dates=H","DateFormat=P","Fill=—","Direction=H","UseDPDF=Y")</f>
        <v>#NAME?</v>
      </c>
      <c r="H619" t="e">
        <f ca="1">_xll.BDH($C$603,"RETURN_ON_CAP","FQ1 2017","FQ1 2017","Currency=INR","Period=FQ","BEST_FPERIOD_OVERRIDE=FQ","FILING_STATUS=OR","EQY_CONSOLIDATED=Y","FA_ADJUSTED=GAAP","Sort=A","Dates=H","DateFormat=P","Fill=—","Direction=H","UseDPDF=Y")</f>
        <v>#NAME?</v>
      </c>
      <c r="I619" t="e">
        <f ca="1">_xll.BDH($C$603,"RETURN_ON_INV_CAPITAL","FQ1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619" t="e">
        <f ca="1">_xll.BDH($C$603,"EBITDA_TO_REVENUE","FQ1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619" t="e">
        <f ca="1">_xll.BDH($C$603,"OPER_MARGIN","FQ1 2017","FQ1 2017","Currency=INR","Period=FQ","BEST_FPERIOD_OVERRIDE=FQ","FILING_STATUS=OR","EQY_CONSOLIDATED=Y","FA_ADJUSTED=GAAP","Sort=A","Dates=H","DateFormat=P","Fill=—","Direction=H","UseDPDF=Y")</f>
        <v>#NAME?</v>
      </c>
      <c r="L619" t="e">
        <f ca="1">_xll.BDH($C$603,"INCREMENTAL_OPERATING_MARGIN","FQ1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619" t="e">
        <f ca="1">_xll.BDH($C$603,"PRETAX_INC_TO_NET_SALES","FQ1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619" t="e">
        <f ca="1">_xll.BDH($C$603,"INC_BEF_XO_ITEMS_TO_NET_SALES","FQ1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619" t="e">
        <f ca="1">_xll.BDH($C$603,"PROF_MARGIN","FQ1 2017","FQ1 2017","Currency=INR","Period=FQ","BEST_FPERIOD_OVERRIDE=FQ","FILING_STATUS=OR","EQY_CONSOLIDATED=Y","FA_ADJUSTED=GAAP","Sort=A","Dates=H","DateFormat=P","Fill=—","Direction=H","UseDPDF=Y")</f>
        <v>#NAME?</v>
      </c>
      <c r="P619" t="e">
        <f ca="1">_xll.BDH($C$603,"NET_INCOME_TO_COMMON_MARGIN","FQ1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619" t="e">
        <f ca="1">_xll.BDH($C$603,"EFF_TAX_RATE","FQ1 2017","FQ1 2017","Currency=INR","Period=FQ","BEST_FPERIOD_OVERRIDE=FQ","FILING_STATUS=OR","EQY_CONSOLIDATED=Y","FA_ADJUSTED=GAAP","Sort=A","Dates=H","DateFormat=P","Fill=—","Direction=H","UseDPDF=Y")</f>
        <v>#NAME?</v>
      </c>
      <c r="R619" t="e">
        <f ca="1">_xll.BDH($C$603,"DVD_PAYOUT_RATIO","FQ1 2017","FQ1 2017","Currency=INR","Period=FQ","BEST_FPERIOD_OVERRIDE=FQ","FILING_STATUS=OR","EQY_CONSOLIDATED=Y","FA_ADJUSTED=GAAP","Sort=A","Dates=H","DateFormat=P","Fill=—","Direction=H","UseDPDF=Y")</f>
        <v>#NAME?</v>
      </c>
      <c r="S619" t="e">
        <f ca="1">_xll.BDH($C$603,"SUSTAIN_GROWTH_RT","FQ1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619" s="1" t="e">
        <f ca="1">_xll.BDH($C$603,"SALES_GROWTH","FQ1 2017","FQ1 2017","Currency=INR","Period=FQ","BEST_FPERIOD_OVERRIDE=FQ","FILING_STATUS=OR","EQY_CONSOLIDATED=Y","FA_ADJUSTED=GAAP","Sort=A","Dates=H","DateFormat=P","Fill=—","Direction=H","UseDPDF=Y")</f>
        <v>#NAME?</v>
      </c>
      <c r="U619" s="1" t="e">
        <f ca="1">_xll.BDH($C$603,"EBITDA_GROWTH","FQ1 2017","FQ1 2017","Currency=INR","Period=FQ","BEST_FPERIOD_OVERRIDE=FQ","FILING_STATUS=OR","EQY_CONSOLIDATED=Y","FA_ADJUSTED=GAAP","Sort=A","Dates=H","DateFormat=P","Fill=—","Direction=H","UseDPDF=Y")</f>
        <v>#NAME?</v>
      </c>
      <c r="V619" s="1" t="e">
        <f ca="1">_xll.BDH($C$603,"OPER_INC_GROWTH","FQ1 2017","FQ1 2017","Currency=INR","Period=FQ","BEST_FPERIOD_OVERRIDE=FQ","FILING_STATUS=OR","EQY_CONSOLIDATED=Y","FA_ADJUSTED=GAAP","Sort=A","Dates=H","DateFormat=P","Fill=—","Direction=H","UseDPDF=Y")</f>
        <v>#NAME?</v>
      </c>
      <c r="W619" s="1" t="e">
        <f ca="1">_xll.BDH($C$603,"EARN_FOR_COM_GROWTH","FQ1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619" s="1" t="e">
        <f ca="1">_xll.BDH($C$603,"DILUTED_EPS_AFT_XO_ITEMS_GROWTH","FQ1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619" s="1" t="e">
        <f ca="1">_xll.BDH($C$603,"DIVIDEND_PER_SHARE_1_YEAR_GROWTH","FQ1 2017","FQ1 2017","Currency=INR","Period=FQ","BEST_FPERIOD_OVERRIDE=FQ","FILING_STATUS=OR","EQY_CONSOLIDATED=Y","Sort=A","Dates=H","DateFormat=P","Fill=—","Direction=H","UseDPDF=Y")</f>
        <v>#NAME?</v>
      </c>
      <c r="Z619" s="1" t="e">
        <f ca="1">_xll.BDH($C$603,"ACCOUNTS_RECEIVABLE_GROWTH","FQ1 2017","FQ1 2017","Currency=INR","Period=FQ","BEST_FPERIOD_OVERRIDE=FQ","FILING_STATUS=OR","EQY_CONSOLIDATED=Y","Sort=A","Dates=H","DateFormat=P","Fill=—","Direction=H","UseDPDF=Y")</f>
        <v>#NAME?</v>
      </c>
      <c r="AA619" s="1" t="e">
        <f ca="1">_xll.BDH($C$603,"INVENTORY_GROWTH","FQ1 2017","FQ1 2017","Currency=INR","Period=FQ","BEST_FPERIOD_OVERRIDE=FQ","FILING_STATUS=OR","EQY_CONSOLIDATED=Y","Sort=A","Dates=H","DateFormat=P","Fill=—","Direction=H","UseDPDF=Y")</f>
        <v>#NAME?</v>
      </c>
      <c r="AB619" s="1" t="e">
        <f ca="1">_xll.BDH($C$603,"NET_FIXED_ASSETS_1_YEAR_GROWTH","FQ1 2017","FQ1 2017","Currency=INR","Period=FQ","BEST_FPERIOD_OVERRIDE=FQ","FILING_STATUS=OR","EQY_CONSOLIDATED=Y","Sort=A","Dates=H","DateFormat=P","Fill=—","Direction=H","UseDPDF=Y")</f>
        <v>#NAME?</v>
      </c>
      <c r="AC619" s="1" t="e">
        <f ca="1">_xll.BDH($C$603,"ASSET_GROWTH","FQ1 2017","FQ1 2017","Currency=INR","Period=FQ","BEST_FPERIOD_OVERRIDE=FQ","FILING_STATUS=OR","EQY_CONSOLIDATED=Y","Sort=A","Dates=H","DateFormat=P","Fill=—","Direction=H","UseDPDF=Y")</f>
        <v>#NAME?</v>
      </c>
      <c r="AD619" s="1" t="e">
        <f ca="1">_xll.BDH($C$603,"MODIFIED_WORK_CAP_GROWTH","FQ1 2017","FQ1 2017","Currency=INR","Period=FQ","BEST_FPERIOD_OVERRIDE=FQ","FILING_STATUS=OR","EQY_CONSOLIDATED=Y","Sort=A","Dates=H","DateFormat=P","Fill=—","Direction=H","UseDPDF=Y")</f>
        <v>#NAME?</v>
      </c>
      <c r="AE619" s="1" t="e">
        <f ca="1">_xll.BDH($C$603,"WORK_CAP_GROWTH","FQ1 2017","FQ1 2017","Currency=INR","Period=FQ","BEST_FPERIOD_OVERRIDE=FQ","FILING_STATUS=OR","EQY_CONSOLIDATED=Y","Sort=A","Dates=H","DateFormat=P","Fill=—","Direction=H","UseDPDF=Y")</f>
        <v>#NAME?</v>
      </c>
      <c r="AF619" s="1" t="e">
        <f ca="1">_xll.BDH($C$603,"ACCOUNTS_PAYABLE_GROWTH_1YR","FQ1 2017","FQ1 2017","Currency=INR","Period=FQ","BEST_FPERIOD_OVERRIDE=FQ","FILING_STATUS=OR","EQY_CONSOLIDATED=Y","Sort=A","Dates=H","DateFormat=P","Fill=—","Direction=H","UseDPDF=Y")</f>
        <v>#NAME?</v>
      </c>
      <c r="AG619" s="1" t="e">
        <f ca="1">_xll.BDH($C$603,"SHORT_TERM_DEBT_1_YEAR_GROWTH","FQ1 2017","FQ1 2017","Currency=INR","Period=FQ","BEST_FPERIOD_OVERRIDE=FQ","FILING_STATUS=OR","EQY_CONSOLIDATED=Y","Sort=A","Dates=H","DateFormat=P","Fill=—","Direction=H","UseDPDF=Y")</f>
        <v>#NAME?</v>
      </c>
      <c r="AH619" s="1" t="e">
        <f ca="1">_xll.BDH($C$603,"TOTAL_DEBT_1_YEAR_GROWTH","FQ1 2017","FQ1 2017","Currency=INR","Period=FQ","BEST_FPERIOD_OVERRIDE=FQ","FILING_STATUS=OR","EQY_CONSOLIDATED=Y","Sort=A","Dates=H","DateFormat=P","Fill=—","Direction=H","UseDPDF=Y")</f>
        <v>#NAME?</v>
      </c>
      <c r="AI619" s="1" t="e">
        <f ca="1">_xll.BDH($C$603,"TOTAL_EQUITY_1_YEAR_GROWTH","FQ1 2017","FQ1 2017","Currency=INR","Period=FQ","BEST_FPERIOD_OVERRIDE=FQ","FILING_STATUS=OR","EQY_CONSOLIDATED=Y","Sort=A","Dates=H","DateFormat=P","Fill=—","Direction=H","UseDPDF=Y")</f>
        <v>#NAME?</v>
      </c>
      <c r="AJ619" s="1" t="e">
        <f ca="1">_xll.BDH($C$603,"GROWTH_IN_CAP","FQ1 2017","FQ1 2017","Currency=INR","Period=FQ","BEST_FPERIOD_OVERRIDE=FQ","FILING_STATUS=OR","EQY_CONSOLIDATED=Y","Sort=A","Dates=H","DateFormat=P","Fill=—","Direction=H","UseDPDF=Y")</f>
        <v>#NAME?</v>
      </c>
      <c r="AK619" s="1" t="e">
        <f ca="1">_xll.BDH($C$603,"BVPS_GROWTH","FQ1 2017","FQ1 2017","Currency=INR","Period=FQ","BEST_FPERIOD_OVERRIDE=FQ","FILING_STATUS=OR","EQY_CONSOLIDATED=Y","Sort=A","Dates=H","DateFormat=P","Fill=—","Direction=H","UseDPDF=Y")</f>
        <v>#NAME?</v>
      </c>
      <c r="AL619" s="1" t="e">
        <f ca="1">_xll.BDH($C$603,"CASH_FLOW_GROWTH","FQ1 2017","FQ1 2017","Currency=INR","Period=FQ","BEST_FPERIOD_OVERRIDE=FQ","FILING_STATUS=OR","EQY_CONSOLIDATED=Y","Sort=A","Dates=H","DateFormat=P","Fill=—","Direction=H","UseDPDF=Y")</f>
        <v>#NAME?</v>
      </c>
      <c r="AM619" s="1" t="e">
        <f ca="1">_xll.BDH($C$603,"GEO_GROW_NET_SALES","FQ1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619" s="1" t="e">
        <f ca="1">_xll.BDH($C$603,"GEO_GROW_EBITDA","FQ1 2017","FQ1 2017","Currency=INR","Period=FQ","BEST_FPERIOD_OVERRIDE=FQ","FILING_STATUS=OR","EQY_CONSOLIDATED=Y","FA_ADJUSTED=GAAP","Sort=A","Dates=H","DateFormat=P","Fill=—","Direction=H","UseDPDF=Y")</f>
        <v>#NAME?</v>
      </c>
      <c r="AO619" s="1" t="e">
        <f ca="1">_xll.BDH($C$603,"GEO_GROW_OPER_INC","FQ1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619" s="1" t="e">
        <f ca="1">_xll.BDH($C$603,"NET_INCOME_TO_COMMON_5_YR_GROWTH","FQ1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619" s="1" t="e">
        <f ca="1">_xll.BDH($C$603,"5Y_GEO_GROWTH_DILUTED_EPS","FQ1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619" s="1" t="e">
        <f ca="1">_xll.BDH($C$603,"GEO_GROW_DVD_PER_SH","FQ1 2017","FQ1 2017","Currency=INR","Period=FQ","BEST_FPERIOD_OVERRIDE=FQ","FILING_STATUS=OR","EQY_CONSOLIDATED=Y","Sort=A","Dates=H","DateFormat=P","Fill=—","Direction=H","UseDPDF=Y")</f>
        <v>#NAME?</v>
      </c>
      <c r="AS619" s="1" t="e">
        <f ca="1">_xll.BDH($C$603,"ACCOUNTS_RECEIVABLE_5_YR_GROWTH","FQ1 2017","FQ1 2017","Currency=INR","Period=FQ","BEST_FPERIOD_OVERRIDE=FQ","FILING_STATUS=OR","EQY_CONSOLIDATED=Y","Sort=A","Dates=H","DateFormat=P","Fill=—","Direction=H","UseDPDF=Y")</f>
        <v>#NAME?</v>
      </c>
      <c r="AT619" s="1" t="e">
        <f ca="1">_xll.BDH($C$603,"INVENTORY_5_YEAR_GROWTH","FQ1 2017","FQ1 2017","Currency=INR","Period=FQ","BEST_FPERIOD_OVERRIDE=FQ","FILING_STATUS=OR","EQY_CONSOLIDATED=Y","Sort=A","Dates=H","DateFormat=P","Fill=—","Direction=H","UseDPDF=Y")</f>
        <v>#NAME?</v>
      </c>
      <c r="AU619" s="1" t="e">
        <f ca="1">_xll.BDH($C$603,"NET_FIXED_ASSETS_5_YEAR_GROWTH","FQ1 2017","FQ1 2017","Currency=INR","Period=FQ","BEST_FPERIOD_OVERRIDE=FQ","FILING_STATUS=OR","EQY_CONSOLIDATED=Y","Sort=A","Dates=H","DateFormat=P","Fill=—","Direction=H","UseDPDF=Y")</f>
        <v>#NAME?</v>
      </c>
      <c r="AV619" s="1" t="e">
        <f ca="1">_xll.BDH($C$603,"GEO_GROW_TOT_ASSET","FQ1 2017","FQ1 2017","Currency=INR","Period=FQ","BEST_FPERIOD_OVERRIDE=FQ","FILING_STATUS=OR","EQY_CONSOLIDATED=Y","Sort=A","Dates=H","DateFormat=P","Fill=—","Direction=H","UseDPDF=Y")</f>
        <v>#NAME?</v>
      </c>
      <c r="AW619" s="1" t="e">
        <f ca="1">_xll.BDH($C$603,"MODIFIED_WORKING_CPTL_5YR_GRWTH","FQ1 2017","FQ1 2017","Currency=INR","Period=FQ","BEST_FPERIOD_OVERRIDE=FQ","FILING_STATUS=OR","EQY_CONSOLIDATED=Y","Sort=A","Dates=H","DateFormat=P","Fill=—","Direction=H","UseDPDF=Y")</f>
        <v>#NAME?</v>
      </c>
      <c r="AX619" s="1" t="e">
        <f ca="1">_xll.BDH($C$603,"WORKING_CAPITAL_5_YEAR_GROWTH","FQ1 2017","FQ1 2017","Currency=INR","Period=FQ","BEST_FPERIOD_OVERRIDE=FQ","FILING_STATUS=OR","EQY_CONSOLIDATED=Y","Sort=A","Dates=H","DateFormat=P","Fill=—","Direction=H","UseDPDF=Y")</f>
        <v>#NAME?</v>
      </c>
      <c r="AY619" s="1" t="e">
        <f ca="1">_xll.BDH($C$603,"ACCOUNTS_PAYABLE_5_YEAR_GROWTH","FQ1 2017","FQ1 2017","Currency=INR","Period=FQ","BEST_FPERIOD_OVERRIDE=FQ","FILING_STATUS=OR","EQY_CONSOLIDATED=Y","Sort=A","Dates=H","DateFormat=P","Fill=—","Direction=H","UseDPDF=Y")</f>
        <v>#NAME?</v>
      </c>
      <c r="AZ619" s="1" t="e">
        <f ca="1">_xll.BDH($C$603,"SHORT_TERM_DEBT_5_YEAR_GROWTH","FQ1 2017","FQ1 2017","Currency=INR","Period=FQ","BEST_FPERIOD_OVERRIDE=FQ","FILING_STATUS=OR","EQY_CONSOLIDATED=Y","Sort=A","Dates=H","DateFormat=P","Fill=—","Direction=H","UseDPDF=Y")</f>
        <v>#NAME?</v>
      </c>
      <c r="BA619" s="1" t="e">
        <f ca="1">_xll.BDH($C$603,"TOTAL_DEBT_5_YEAR_GROWTH","FQ1 2017","FQ1 2017","Currency=INR","Period=FQ","BEST_FPERIOD_OVERRIDE=FQ","FILING_STATUS=OR","EQY_CONSOLIDATED=Y","Sort=A","Dates=H","DateFormat=P","Fill=—","Direction=H","UseDPDF=Y")</f>
        <v>#NAME?</v>
      </c>
      <c r="BB619" s="1" t="e">
        <f ca="1">_xll.BDH($C$603,"GEO_GROW_TOT_SHRHLDR_EQY","FQ1 2017","FQ1 2017","Currency=INR","Period=FQ","BEST_FPERIOD_OVERRIDE=FQ","FILING_STATUS=OR","EQY_CONSOLIDATED=Y","Sort=A","Dates=H","DateFormat=P","Fill=—","Direction=H","UseDPDF=Y")</f>
        <v>#NAME?</v>
      </c>
      <c r="BC619" s="1" t="e">
        <f ca="1">_xll.BDH($C$603,"TOTAL_CAPITAL_5_YEAR_GROWTH","FQ1 2017","FQ1 2017","Currency=INR","Period=FQ","BEST_FPERIOD_OVERRIDE=FQ","FILING_STATUS=OR","EQY_CONSOLIDATED=Y","Sort=A","Dates=H","DateFormat=P","Fill=—","Direction=H","UseDPDF=Y")</f>
        <v>#NAME?</v>
      </c>
      <c r="BD619" s="1" t="e">
        <f ca="1">_xll.BDH($C$603,"GEO_GROW_BOOK_VAL","FQ1 2017","FQ1 2017","Currency=INR","Period=FQ","BEST_FPERIOD_OVERRIDE=FQ","FILING_STATUS=OR","EQY_CONSOLIDATED=Y","Sort=A","Dates=H","DateFormat=P","Fill=—","Direction=H","UseDPDF=Y")</f>
        <v>#NAME?</v>
      </c>
      <c r="BE619" s="1" t="e">
        <f ca="1">_xll.BDH($C$603,"GEO_GROW_CASH_OPER_ACT","FQ1 2017","FQ1 2017","Currency=INR","Period=FQ","BEST_FPERIOD_OVERRIDE=FQ","FILING_STATUS=OR","EQY_CONSOLIDATED=Y","Sort=A","Dates=H","DateFormat=P","Fill=—","Direction=H","UseDPDF=Y")</f>
        <v>#NAME?</v>
      </c>
      <c r="BF619" s="1" t="e">
        <f ca="1">_xll.BDH($C$603,"REVENUE_SEQUENTIAL_GROWTH","FQ1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619" s="1" t="e">
        <f ca="1">_xll.BDH($C$603,"EBITDA_SEQUENTIAL_GROWTH","FQ1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619" s="1" t="e">
        <f ca="1">_xll.BDH($C$603,"OPERATING_INCOME_SEQ_GROWTH","FQ1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619" s="1" t="e">
        <f ca="1">_xll.BDH($C$603,"NET_INCOME_TO_COMMON_SEQ_GROWTH","FQ1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619" s="1" t="e">
        <f ca="1">_xll.BDH($C$603,"EPS_DILUTED_SEQUENTIAL_GROWTH","FQ1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619" s="1" t="e">
        <f ca="1">_xll.BDH($C$603,"DPS_SEQUENTIAL_GROWTH","FQ1 2017","FQ1 2017","Currency=INR","Period=FQ","BEST_FPERIOD_OVERRIDE=FQ","FILING_STATUS=OR","EQY_CONSOLIDATED=Y","Sort=A","Dates=H","DateFormat=P","Fill=—","Direction=H","UseDPDF=Y")</f>
        <v>#NAME?</v>
      </c>
      <c r="BL619" s="1" t="e">
        <f ca="1">_xll.BDH($C$603,"ACCOUNTS_RECEIVABLE_SEQ_GROWTH","FQ1 2017","FQ1 2017","Currency=INR","Period=FQ","BEST_FPERIOD_OVERRIDE=FQ","FILING_STATUS=OR","EQY_CONSOLIDATED=Y","Sort=A","Dates=H","DateFormat=P","Fill=—","Direction=H","UseDPDF=Y")</f>
        <v>#NAME?</v>
      </c>
      <c r="BM619" s="1" t="e">
        <f ca="1">_xll.BDH($C$603,"INVENTORY_SEQUENTIAL_GROWTH","FQ1 2017","FQ1 2017","Currency=INR","Period=FQ","BEST_FPERIOD_OVERRIDE=FQ","FILING_STATUS=OR","EQY_CONSOLIDATED=Y","Sort=A","Dates=H","DateFormat=P","Fill=—","Direction=H","UseDPDF=Y")</f>
        <v>#NAME?</v>
      </c>
      <c r="BN619" s="1" t="e">
        <f ca="1">_xll.BDH($C$603,"FIXED_ASSETS_SEQUENTIAL_GROWTH","FQ1 2017","FQ1 2017","Currency=INR","Period=FQ","BEST_FPERIOD_OVERRIDE=FQ","FILING_STATUS=OR","EQY_CONSOLIDATED=Y","Sort=A","Dates=H","DateFormat=P","Fill=—","Direction=H","UseDPDF=Y")</f>
        <v>#NAME?</v>
      </c>
      <c r="BO619" s="1" t="e">
        <f ca="1">_xll.BDH($C$603,"TOTAL_ASSETS_SEQUENTIAL_GROWTH","FQ1 2017","FQ1 2017","Currency=INR","Period=FQ","BEST_FPERIOD_OVERRIDE=FQ","FILING_STATUS=OR","EQY_CONSOLIDATED=Y","Sort=A","Dates=H","DateFormat=P","Fill=—","Direction=H","UseDPDF=Y")</f>
        <v>#NAME?</v>
      </c>
      <c r="BP619" s="1" t="e">
        <f ca="1">_xll.BDH($C$603,"MODIFIED_WORKING_CPTL_SEQ_GRWTH","FQ1 2017","FQ1 2017","Currency=INR","Period=FQ","BEST_FPERIOD_OVERRIDE=FQ","FILING_STATUS=OR","EQY_CONSOLIDATED=Y","Sort=A","Dates=H","DateFormat=P","Fill=—","Direction=H","UseDPDF=Y")</f>
        <v>#NAME?</v>
      </c>
      <c r="BQ619" s="1" t="e">
        <f ca="1">_xll.BDH($C$603,"WORKING_CAPITAL_SEQ_GROWTH","FQ1 2017","FQ1 2017","Currency=INR","Period=FQ","BEST_FPERIOD_OVERRIDE=FQ","FILING_STATUS=OR","EQY_CONSOLIDATED=Y","Sort=A","Dates=H","DateFormat=P","Fill=—","Direction=H","UseDPDF=Y")</f>
        <v>#NAME?</v>
      </c>
      <c r="BR619" s="1" t="e">
        <f ca="1">_xll.BDH($C$603,"ACCOUNTS_PAYABLE_SEQ_GROWTH","FQ1 2017","FQ1 2017","Currency=INR","Period=FQ","BEST_FPERIOD_OVERRIDE=FQ","FILING_STATUS=OR","EQY_CONSOLIDATED=Y","Sort=A","Dates=H","DateFormat=P","Fill=—","Direction=H","UseDPDF=Y")</f>
        <v>#NAME?</v>
      </c>
      <c r="BS619" s="1" t="e">
        <f ca="1">_xll.BDH($C$603,"ST_DEBT_SEQUENTIAL_GROWTH","FQ1 2017","FQ1 2017","Currency=INR","Period=FQ","BEST_FPERIOD_OVERRIDE=FQ","FILING_STATUS=OR","EQY_CONSOLIDATED=Y","Sort=A","Dates=H","DateFormat=P","Fill=—","Direction=H","UseDPDF=Y")</f>
        <v>#NAME?</v>
      </c>
      <c r="BT619" s="1" t="e">
        <f ca="1">_xll.BDH($C$603,"TOTAL_DEBT_SEQUENTIAL_GROWTH","FQ1 2017","FQ1 2017","Currency=INR","Period=FQ","BEST_FPERIOD_OVERRIDE=FQ","FILING_STATUS=OR","EQY_CONSOLIDATED=Y","Sort=A","Dates=H","DateFormat=P","Fill=—","Direction=H","UseDPDF=Y")</f>
        <v>#NAME?</v>
      </c>
      <c r="BU619" s="1" t="e">
        <f ca="1">_xll.BDH($C$603,"TOTAL_EQUITY_SEQUENTIAL_GROWTH","FQ1 2017","FQ1 2017","Currency=INR","Period=FQ","BEST_FPERIOD_OVERRIDE=FQ","FILING_STATUS=OR","EQY_CONSOLIDATED=Y","Sort=A","Dates=H","DateFormat=P","Fill=—","Direction=H","UseDPDF=Y")</f>
        <v>#NAME?</v>
      </c>
      <c r="BV619" s="1" t="e">
        <f ca="1">_xll.BDH($C$603,"TOTAL_CAPITAL_SEQUENTIAL_GROWTH","FQ1 2017","FQ1 2017","Currency=INR","Period=FQ","BEST_FPERIOD_OVERRIDE=FQ","FILING_STATUS=OR","EQY_CONSOLIDATED=Y","Sort=A","Dates=H","DateFormat=P","Fill=—","Direction=H","UseDPDF=Y")</f>
        <v>#NAME?</v>
      </c>
      <c r="BW619" s="1" t="e">
        <f ca="1">_xll.BDH($C$603,"BPS_SEQUENTIAL_GROWTH","FQ1 2017","FQ1 2017","Currency=INR","Period=FQ","BEST_FPERIOD_OVERRIDE=FQ","FILING_STATUS=OR","EQY_CONSOLIDATED=Y","Sort=A","Dates=H","DateFormat=P","Fill=—","Direction=H","UseDPDF=Y")</f>
        <v>#NAME?</v>
      </c>
      <c r="BX619" s="1" t="e">
        <f ca="1">_xll.BDH($C$603,"CFO_SEQUENTIAL_GROWTH","FQ1 2017","FQ1 2017","Currency=INR","Period=FQ","BEST_FPERIOD_OVERRIDE=FQ","FILING_STATUS=OR","EQY_CONSOLIDATED=Y","Sort=A","Dates=H","DateFormat=P","Fill=—","Direction=H","UseDPDF=Y")</f>
        <v>#NAME?</v>
      </c>
      <c r="BY619" s="2" t="e">
        <f ca="1">_xll.BDH($C$603,"SHORT_AND_LONG_TERM_DEBT","FQ1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619" s="2" t="e">
        <f ca="1">_xll.BDH($C$603,"BS_ST_BORROW","FQ1 2017","FQ1 2017","Currency=INR","Period=FQ","BEST_FPERIOD_OVERRIDE=FQ","FILING_STATUS=OR","EQY_CONSOLIDATED=Y","SCALING_FORMAT=MLN","Sort=A","Dates=H","DateFormat=P","Fill=—","Direction=H","UseDPDF=Y")</f>
        <v>#NAME?</v>
      </c>
      <c r="CA619" s="2" t="e">
        <f ca="1">_xll.BDH($C$603,"BS_LT_BORROW","FQ1 2017","FQ1 2017","Currency=INR","Period=FQ","BEST_FPERIOD_OVERRIDE=FQ","FILING_STATUS=OR","EQY_CONSOLIDATED=Y","SCALING_FORMAT=MLN","Sort=A","Dates=H","DateFormat=P","Fill=—","Direction=H","UseDPDF=Y")</f>
        <v>#NAME?</v>
      </c>
      <c r="CB619" s="1" t="e">
        <f ca="1">_xll.BDH($C$603,"TOT_DEBT_TO_EBITDA","FQ1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619" s="1" t="e">
        <f ca="1">_xll.BDH($C$603,"NET_DEBT_TO_EBITDA","FQ1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619" s="1" t="e">
        <f ca="1">_xll.BDH($C$603,"TOTAL_DEBT_TO_EBIT","FQ1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619" s="1" t="e">
        <f ca="1">_xll.BDH($C$603,"NET_DEBT_TO_EBIT","FQ1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619" s="1" t="e">
        <f ca="1">_xll.BDH($C$603,"EBITDA_TO_INTEREST_EXPN","FQ1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619" s="1" t="e">
        <f ca="1">_xll.BDH($C$603,"COM_EQY_TO_TOT_ASSET","FQ1 2017","FQ1 2017","Currency=INR","Period=FQ","BEST_FPERIOD_OVERRIDE=FQ","FILING_STATUS=OR","EQY_CONSOLIDATED=Y","Sort=A","Dates=H","DateFormat=P","Fill=—","Direction=H","UseDPDF=Y")</f>
        <v>#NAME?</v>
      </c>
      <c r="CH619" s="1" t="e">
        <f ca="1">_xll.BDH($C$603,"LT_DEBT_TO_TOT_EQY","FQ1 2017","FQ1 2017","Currency=INR","Period=FQ","BEST_FPERIOD_OVERRIDE=FQ","FILING_STATUS=OR","EQY_CONSOLIDATED=Y","Sort=A","Dates=H","DateFormat=P","Fill=—","Direction=H","UseDPDF=Y")</f>
        <v>#NAME?</v>
      </c>
      <c r="CI619" s="1" t="e">
        <f ca="1">_xll.BDH($C$603,"LT_DEBT_TO_TOT_CAP","FQ1 2017","FQ1 2017","Currency=INR","Period=FQ","BEST_FPERIOD_OVERRIDE=FQ","FILING_STATUS=OR","EQY_CONSOLIDATED=Y","Sort=A","Dates=H","DateFormat=P","Fill=—","Direction=H","UseDPDF=Y")</f>
        <v>#NAME?</v>
      </c>
      <c r="CJ619" s="1" t="e">
        <f ca="1">_xll.BDH($C$603,"LT_DEBT_TO_TOT_ASSET","FQ1 2017","FQ1 2017","Currency=INR","Period=FQ","BEST_FPERIOD_OVERRIDE=FQ","FILING_STATUS=OR","EQY_CONSOLIDATED=Y","Sort=A","Dates=H","DateFormat=P","Fill=—","Direction=H","UseDPDF=Y")</f>
        <v>#NAME?</v>
      </c>
      <c r="CK619" s="1" t="e">
        <f ca="1">_xll.BDH($C$603,"TOT_DEBT_TO_TOT_EQY","FQ1 2017","FQ1 2017","Currency=INR","Period=FQ","BEST_FPERIOD_OVERRIDE=FQ","FILING_STATUS=OR","EQY_CONSOLIDATED=Y","Sort=A","Dates=H","DateFormat=P","Fill=—","Direction=H","UseDPDF=Y")</f>
        <v>#NAME?</v>
      </c>
      <c r="CL619" s="1" t="e">
        <f ca="1">_xll.BDH($C$603,"TOT_DEBT_TO_TOT_CAP","FQ1 2017","FQ1 2017","Currency=INR","Period=FQ","BEST_FPERIOD_OVERRIDE=FQ","FILING_STATUS=OR","EQY_CONSOLIDATED=Y","Sort=A","Dates=H","DateFormat=P","Fill=—","Direction=H","UseDPDF=Y")</f>
        <v>#NAME?</v>
      </c>
      <c r="CM619" s="1" t="e">
        <f ca="1">_xll.BDH($C$603,"TOT_DEBT_TO_TOT_ASSET","FQ1 2017","FQ1 2017","Currency=INR","Period=FQ","BEST_FPERIOD_OVERRIDE=FQ","FILING_STATUS=OR","EQY_CONSOLIDATED=Y","Sort=A","Dates=H","DateFormat=P","Fill=—","Direction=H","UseDPDF=Y")</f>
        <v>#NAME?</v>
      </c>
      <c r="CN619" s="1" t="e">
        <f ca="1">_xll.BDH($C$603,"NET_DEBT_TO_SHRHLDR_EQTY","FQ1 2017","FQ1 2017","Currency=INR","Period=FQ","BEST_FPERIOD_OVERRIDE=FQ","FILING_STATUS=OR","EQY_CONSOLIDATED=Y","Sort=A","Dates=H","DateFormat=P","Fill=—","Direction=H","UseDPDF=Y")</f>
        <v>#NAME?</v>
      </c>
      <c r="CO619" s="1" t="e">
        <f ca="1">_xll.BDH($C$603,"NET_DEBT_%_CAPITAL","FQ1 2017","FQ1 2017","Currency=INR","Period=FQ","BEST_FPERIOD_OVERRIDE=FQ","FILING_STATUS=OR","EQY_CONSOLIDATED=Y","Sort=A","Dates=H","DateFormat=P","Fill=—","Direction=H","UseDPDF=Y")</f>
        <v>#NAME?</v>
      </c>
      <c r="CP619" s="2" t="e">
        <f ca="1">_xll.BDH($C$603,"EBITDA","FQ1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619" s="2" t="e">
        <f ca="1">_xll.BDH($C$603,"EBITDA_AFTER_CAPEX","FQ1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619" s="2" t="e">
        <f ca="1">_xll.BDH($C$603,"IS_OPER_INC","FQ1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619" s="1" t="e">
        <f ca="1">_xll.BDH($C$603,"CASH_RATIO","FQ1 2017","FQ1 2017","Currency=INR","Period=FQ","BEST_FPERIOD_OVERRIDE=FQ","FILING_STATUS=OR","EQY_CONSOLIDATED=Y","Sort=A","Dates=H","DateFormat=P","Fill=—","Direction=H","UseDPDF=Y")</f>
        <v>#NAME?</v>
      </c>
      <c r="CT619" s="1" t="e">
        <f ca="1">_xll.BDH($C$603,"CUR_RATIO","FQ1 2017","FQ1 2017","Currency=INR","Period=FQ","BEST_FPERIOD_OVERRIDE=FQ","FILING_STATUS=OR","EQY_CONSOLIDATED=Y","Sort=A","Dates=H","DateFormat=P","Fill=—","Direction=H","UseDPDF=Y")</f>
        <v>#NAME?</v>
      </c>
      <c r="CU619" s="1" t="e">
        <f ca="1">_xll.BDH($C$603,"QUICK_RATIO","FQ1 2017","FQ1 2017","Currency=INR","Period=FQ","BEST_FPERIOD_OVERRIDE=FQ","FILING_STATUS=OR","EQY_CONSOLIDATED=Y","Sort=A","Dates=H","DateFormat=P","Fill=—","Direction=H","UseDPDF=Y")</f>
        <v>#NAME?</v>
      </c>
      <c r="CV619" s="1" t="e">
        <f ca="1">_xll.BDH($C$603,"ALTMAN_Z_SCORE","FQ1 2017","FQ1 2017","Currency=INR","Period=FQ","BEST_FPERIOD_OVERRIDE=FQ","FILING_STATUS=OR","EQY_CONSOLIDATED=Y","Sort=A","Dates=H","DateFormat=P","Fill=—","Direction=H","UseDPDF=Y")</f>
        <v>#NAME?</v>
      </c>
      <c r="CW619" s="3" t="e">
        <f ca="1">_xll.BDH($C$603,"ACCT_RCV_TURN","FQ1 2017","FQ1 2017","Currency=INR","Period=FQ","BEST_FPERIOD_OVERRIDE=FQ","FILING_STATUS=OR","EQY_CONSOLIDATED=Y","FA_ADJUSTED=GAAP","Sort=A","Dates=H","DateFormat=P","Fill=—","Direction=H","UseDPDF=Y")</f>
        <v>#NAME?</v>
      </c>
      <c r="CX619" s="1" t="e">
        <f ca="1">_xll.BDH($C$603,"ACCT_RCV_DAYS","FQ1 2017","FQ1 2017","Currency=INR","Period=FQ","BEST_FPERIOD_OVERRIDE=FQ","FILING_STATUS=OR","EQY_CONSOLIDATED=Y","FA_ADJUSTED=GAAP","Sort=A","Dates=H","DateFormat=P","Fill=—","Direction=H","UseDPDF=Y")</f>
        <v>#NAME?</v>
      </c>
      <c r="CY619" s="3" t="e">
        <f ca="1">_xll.BDH($C$603,"INVENT_TURN","FQ1 2017","FQ1 2017","Currency=INR","Period=FQ","BEST_FPERIOD_OVERRIDE=FQ","FILING_STATUS=OR","EQY_CONSOLIDATED=Y","FA_ADJUSTED=GAAP","Sort=A","Dates=H","DateFormat=P","Fill=—","Direction=H","UseDPDF=Y")</f>
        <v>#NAME?</v>
      </c>
      <c r="CZ619" s="1" t="e">
        <f ca="1">_xll.BDH($C$603,"INVENT_DAYS","FQ1 2017","FQ1 2017","Currency=INR","Period=FQ","BEST_FPERIOD_OVERRIDE=FQ","FILING_STATUS=OR","EQY_CONSOLIDATED=Y","FA_ADJUSTED=GAAP","Sort=A","Dates=H","DateFormat=P","Fill=—","Direction=H","UseDPDF=Y")</f>
        <v>#NAME?</v>
      </c>
      <c r="DA619" s="3" t="e">
        <f ca="1">_xll.BDH($C$603,"ACCOUNTS_PAYABLE_TURNOVER","FQ1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619" s="1" t="e">
        <f ca="1">_xll.BDH($C$603,"ACCOUNTS_PAYABLE_TURNOVER_DAYS","FQ1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619" s="3" t="e">
        <f ca="1">_xll.BDH($C$603,"CASH_CONVERSION_CYCLE","FQ1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619" s="3" t="e">
        <f ca="1">_xll.BDH($C$603,"INV_TO_CASH_DAYS","FQ1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619" s="4" t="e">
        <f ca="1">_xll.BDH($C$603,"BS_INVENTORIES","FQ1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619" s="2" t="e">
        <f ca="1">_xll.BDH($C$603,"INVTRY_RAW_MATERIALS","FQ1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619" s="2" t="e">
        <f ca="1">_xll.BDH($C$603,"INVTRY_IN_PROGRESS","FQ1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619" s="2" t="e">
        <f ca="1">_xll.BDH($C$603,"INVTRY_FINISHED_GOODS","FQ1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619" s="2" t="e">
        <f ca="1">_xll.BDH($C$603,"BS_OTHER_INV","FQ1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620" spans="1:113" x14ac:dyDescent="0.3">
      <c r="A620" s="6"/>
      <c r="B620" s="6"/>
      <c r="C620" s="6"/>
      <c r="D620" s="6"/>
      <c r="E620" t="s">
        <v>5</v>
      </c>
      <c r="F620" t="e">
        <f ca="1">_xll.BDH($C$603,"RETURN_COM_EQY","FQ2 2017","FQ2 2017","Currency=INR","Period=FQ","BEST_FPERIOD_OVERRIDE=FQ","FILING_STATUS=OR","EQY_CONSOLIDATED=Y","FA_ADJUSTED=GAAP","Sort=A","Dates=H","DateFormat=P","Fill=—","Direction=H","UseDPDF=Y")</f>
        <v>#NAME?</v>
      </c>
      <c r="G620" t="e">
        <f ca="1">_xll.BDH($C$603,"RETURN_ON_ASSET","FQ2 2017","FQ2 2017","Currency=INR","Period=FQ","BEST_FPERIOD_OVERRIDE=FQ","FILING_STATUS=OR","EQY_CONSOLIDATED=Y","FA_ADJUSTED=GAAP","Sort=A","Dates=H","DateFormat=P","Fill=—","Direction=H","UseDPDF=Y")</f>
        <v>#NAME?</v>
      </c>
      <c r="H620" t="e">
        <f ca="1">_xll.BDH($C$603,"RETURN_ON_CAP","FQ2 2017","FQ2 2017","Currency=INR","Period=FQ","BEST_FPERIOD_OVERRIDE=FQ","FILING_STATUS=OR","EQY_CONSOLIDATED=Y","FA_ADJUSTED=GAAP","Sort=A","Dates=H","DateFormat=P","Fill=—","Direction=H","UseDPDF=Y")</f>
        <v>#NAME?</v>
      </c>
      <c r="I620" t="e">
        <f ca="1">_xll.BDH($C$603,"RETURN_ON_INV_CAPITAL","FQ2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620" t="e">
        <f ca="1">_xll.BDH($C$603,"EBITDA_TO_REVENUE","FQ2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620" t="e">
        <f ca="1">_xll.BDH($C$603,"OPER_MARGIN","FQ2 2017","FQ2 2017","Currency=INR","Period=FQ","BEST_FPERIOD_OVERRIDE=FQ","FILING_STATUS=OR","EQY_CONSOLIDATED=Y","FA_ADJUSTED=GAAP","Sort=A","Dates=H","DateFormat=P","Fill=—","Direction=H","UseDPDF=Y")</f>
        <v>#NAME?</v>
      </c>
      <c r="L620" t="e">
        <f ca="1">_xll.BDH($C$603,"INCREMENTAL_OPERATING_MARGIN","FQ2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620" t="e">
        <f ca="1">_xll.BDH($C$603,"PRETAX_INC_TO_NET_SALES","FQ2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620" t="e">
        <f ca="1">_xll.BDH($C$603,"INC_BEF_XO_ITEMS_TO_NET_SALES","FQ2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620" t="e">
        <f ca="1">_xll.BDH($C$603,"PROF_MARGIN","FQ2 2017","FQ2 2017","Currency=INR","Period=FQ","BEST_FPERIOD_OVERRIDE=FQ","FILING_STATUS=OR","EQY_CONSOLIDATED=Y","FA_ADJUSTED=GAAP","Sort=A","Dates=H","DateFormat=P","Fill=—","Direction=H","UseDPDF=Y")</f>
        <v>#NAME?</v>
      </c>
      <c r="P620" t="e">
        <f ca="1">_xll.BDH($C$603,"NET_INCOME_TO_COMMON_MARGIN","FQ2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620" t="e">
        <f ca="1">_xll.BDH($C$603,"EFF_TAX_RATE","FQ2 2017","FQ2 2017","Currency=INR","Period=FQ","BEST_FPERIOD_OVERRIDE=FQ","FILING_STATUS=OR","EQY_CONSOLIDATED=Y","FA_ADJUSTED=GAAP","Sort=A","Dates=H","DateFormat=P","Fill=—","Direction=H","UseDPDF=Y")</f>
        <v>#NAME?</v>
      </c>
      <c r="R620" t="e">
        <f ca="1">_xll.BDH($C$603,"DVD_PAYOUT_RATIO","FQ2 2017","FQ2 2017","Currency=INR","Period=FQ","BEST_FPERIOD_OVERRIDE=FQ","FILING_STATUS=OR","EQY_CONSOLIDATED=Y","FA_ADJUSTED=GAAP","Sort=A","Dates=H","DateFormat=P","Fill=—","Direction=H","UseDPDF=Y")</f>
        <v>#NAME?</v>
      </c>
      <c r="S620" t="e">
        <f ca="1">_xll.BDH($C$603,"SUSTAIN_GROWTH_RT","FQ2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620" s="1" t="e">
        <f ca="1">_xll.BDH($C$603,"SALES_GROWTH","FQ2 2017","FQ2 2017","Currency=INR","Period=FQ","BEST_FPERIOD_OVERRIDE=FQ","FILING_STATUS=OR","EQY_CONSOLIDATED=Y","FA_ADJUSTED=GAAP","Sort=A","Dates=H","DateFormat=P","Fill=—","Direction=H","UseDPDF=Y")</f>
        <v>#NAME?</v>
      </c>
      <c r="U620" s="1" t="e">
        <f ca="1">_xll.BDH($C$603,"EBITDA_GROWTH","FQ2 2017","FQ2 2017","Currency=INR","Period=FQ","BEST_FPERIOD_OVERRIDE=FQ","FILING_STATUS=OR","EQY_CONSOLIDATED=Y","FA_ADJUSTED=GAAP","Sort=A","Dates=H","DateFormat=P","Fill=—","Direction=H","UseDPDF=Y")</f>
        <v>#NAME?</v>
      </c>
      <c r="V620" s="1" t="e">
        <f ca="1">_xll.BDH($C$603,"OPER_INC_GROWTH","FQ2 2017","FQ2 2017","Currency=INR","Period=FQ","BEST_FPERIOD_OVERRIDE=FQ","FILING_STATUS=OR","EQY_CONSOLIDATED=Y","FA_ADJUSTED=GAAP","Sort=A","Dates=H","DateFormat=P","Fill=—","Direction=H","UseDPDF=Y")</f>
        <v>#NAME?</v>
      </c>
      <c r="W620" s="1" t="e">
        <f ca="1">_xll.BDH($C$603,"EARN_FOR_COM_GROWTH","FQ2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620" s="1" t="e">
        <f ca="1">_xll.BDH($C$603,"DILUTED_EPS_AFT_XO_ITEMS_GROWTH","FQ2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620" s="1" t="e">
        <f ca="1">_xll.BDH($C$603,"DIVIDEND_PER_SHARE_1_YEAR_GROWTH","FQ2 2017","FQ2 2017","Currency=INR","Period=FQ","BEST_FPERIOD_OVERRIDE=FQ","FILING_STATUS=OR","EQY_CONSOLIDATED=Y","Sort=A","Dates=H","DateFormat=P","Fill=—","Direction=H","UseDPDF=Y")</f>
        <v>#NAME?</v>
      </c>
      <c r="Z620" s="1" t="e">
        <f ca="1">_xll.BDH($C$603,"ACCOUNTS_RECEIVABLE_GROWTH","FQ2 2017","FQ2 2017","Currency=INR","Period=FQ","BEST_FPERIOD_OVERRIDE=FQ","FILING_STATUS=OR","EQY_CONSOLIDATED=Y","Sort=A","Dates=H","DateFormat=P","Fill=—","Direction=H","UseDPDF=Y")</f>
        <v>#NAME?</v>
      </c>
      <c r="AA620" s="1" t="e">
        <f ca="1">_xll.BDH($C$603,"INVENTORY_GROWTH","FQ2 2017","FQ2 2017","Currency=INR","Period=FQ","BEST_FPERIOD_OVERRIDE=FQ","FILING_STATUS=OR","EQY_CONSOLIDATED=Y","Sort=A","Dates=H","DateFormat=P","Fill=—","Direction=H","UseDPDF=Y")</f>
        <v>#NAME?</v>
      </c>
      <c r="AB620" s="1" t="e">
        <f ca="1">_xll.BDH($C$603,"NET_FIXED_ASSETS_1_YEAR_GROWTH","FQ2 2017","FQ2 2017","Currency=INR","Period=FQ","BEST_FPERIOD_OVERRIDE=FQ","FILING_STATUS=OR","EQY_CONSOLIDATED=Y","Sort=A","Dates=H","DateFormat=P","Fill=—","Direction=H","UseDPDF=Y")</f>
        <v>#NAME?</v>
      </c>
      <c r="AC620" s="1" t="e">
        <f ca="1">_xll.BDH($C$603,"ASSET_GROWTH","FQ2 2017","FQ2 2017","Currency=INR","Period=FQ","BEST_FPERIOD_OVERRIDE=FQ","FILING_STATUS=OR","EQY_CONSOLIDATED=Y","Sort=A","Dates=H","DateFormat=P","Fill=—","Direction=H","UseDPDF=Y")</f>
        <v>#NAME?</v>
      </c>
      <c r="AD620" s="1" t="e">
        <f ca="1">_xll.BDH($C$603,"MODIFIED_WORK_CAP_GROWTH","FQ2 2017","FQ2 2017","Currency=INR","Period=FQ","BEST_FPERIOD_OVERRIDE=FQ","FILING_STATUS=OR","EQY_CONSOLIDATED=Y","Sort=A","Dates=H","DateFormat=P","Fill=—","Direction=H","UseDPDF=Y")</f>
        <v>#NAME?</v>
      </c>
      <c r="AE620" s="1" t="e">
        <f ca="1">_xll.BDH($C$603,"WORK_CAP_GROWTH","FQ2 2017","FQ2 2017","Currency=INR","Period=FQ","BEST_FPERIOD_OVERRIDE=FQ","FILING_STATUS=OR","EQY_CONSOLIDATED=Y","Sort=A","Dates=H","DateFormat=P","Fill=—","Direction=H","UseDPDF=Y")</f>
        <v>#NAME?</v>
      </c>
      <c r="AF620" s="1" t="e">
        <f ca="1">_xll.BDH($C$603,"ACCOUNTS_PAYABLE_GROWTH_1YR","FQ2 2017","FQ2 2017","Currency=INR","Period=FQ","BEST_FPERIOD_OVERRIDE=FQ","FILING_STATUS=OR","EQY_CONSOLIDATED=Y","Sort=A","Dates=H","DateFormat=P","Fill=—","Direction=H","UseDPDF=Y")</f>
        <v>#NAME?</v>
      </c>
      <c r="AG620" s="1" t="e">
        <f ca="1">_xll.BDH($C$603,"SHORT_TERM_DEBT_1_YEAR_GROWTH","FQ2 2017","FQ2 2017","Currency=INR","Period=FQ","BEST_FPERIOD_OVERRIDE=FQ","FILING_STATUS=OR","EQY_CONSOLIDATED=Y","Sort=A","Dates=H","DateFormat=P","Fill=—","Direction=H","UseDPDF=Y")</f>
        <v>#NAME?</v>
      </c>
      <c r="AH620" s="1" t="e">
        <f ca="1">_xll.BDH($C$603,"TOTAL_DEBT_1_YEAR_GROWTH","FQ2 2017","FQ2 2017","Currency=INR","Period=FQ","BEST_FPERIOD_OVERRIDE=FQ","FILING_STATUS=OR","EQY_CONSOLIDATED=Y","Sort=A","Dates=H","DateFormat=P","Fill=—","Direction=H","UseDPDF=Y")</f>
        <v>#NAME?</v>
      </c>
      <c r="AI620" s="1" t="e">
        <f ca="1">_xll.BDH($C$603,"TOTAL_EQUITY_1_YEAR_GROWTH","FQ2 2017","FQ2 2017","Currency=INR","Period=FQ","BEST_FPERIOD_OVERRIDE=FQ","FILING_STATUS=OR","EQY_CONSOLIDATED=Y","Sort=A","Dates=H","DateFormat=P","Fill=—","Direction=H","UseDPDF=Y")</f>
        <v>#NAME?</v>
      </c>
      <c r="AJ620" s="1" t="e">
        <f ca="1">_xll.BDH($C$603,"GROWTH_IN_CAP","FQ2 2017","FQ2 2017","Currency=INR","Period=FQ","BEST_FPERIOD_OVERRIDE=FQ","FILING_STATUS=OR","EQY_CONSOLIDATED=Y","Sort=A","Dates=H","DateFormat=P","Fill=—","Direction=H","UseDPDF=Y")</f>
        <v>#NAME?</v>
      </c>
      <c r="AK620" s="1" t="e">
        <f ca="1">_xll.BDH($C$603,"BVPS_GROWTH","FQ2 2017","FQ2 2017","Currency=INR","Period=FQ","BEST_FPERIOD_OVERRIDE=FQ","FILING_STATUS=OR","EQY_CONSOLIDATED=Y","Sort=A","Dates=H","DateFormat=P","Fill=—","Direction=H","UseDPDF=Y")</f>
        <v>#NAME?</v>
      </c>
      <c r="AL620" s="1" t="e">
        <f ca="1">_xll.BDH($C$603,"CASH_FLOW_GROWTH","FQ2 2017","FQ2 2017","Currency=INR","Period=FQ","BEST_FPERIOD_OVERRIDE=FQ","FILING_STATUS=OR","EQY_CONSOLIDATED=Y","Sort=A","Dates=H","DateFormat=P","Fill=—","Direction=H","UseDPDF=Y")</f>
        <v>#NAME?</v>
      </c>
      <c r="AM620" s="1" t="e">
        <f ca="1">_xll.BDH($C$603,"GEO_GROW_NET_SALES","FQ2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620" s="1" t="e">
        <f ca="1">_xll.BDH($C$603,"GEO_GROW_EBITDA","FQ2 2017","FQ2 2017","Currency=INR","Period=FQ","BEST_FPERIOD_OVERRIDE=FQ","FILING_STATUS=OR","EQY_CONSOLIDATED=Y","FA_ADJUSTED=GAAP","Sort=A","Dates=H","DateFormat=P","Fill=—","Direction=H","UseDPDF=Y")</f>
        <v>#NAME?</v>
      </c>
      <c r="AO620" s="1" t="e">
        <f ca="1">_xll.BDH($C$603,"GEO_GROW_OPER_INC","FQ2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620" s="1" t="e">
        <f ca="1">_xll.BDH($C$603,"NET_INCOME_TO_COMMON_5_YR_GROWTH","FQ2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620" s="1" t="e">
        <f ca="1">_xll.BDH($C$603,"5Y_GEO_GROWTH_DILUTED_EPS","FQ2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620" s="1" t="e">
        <f ca="1">_xll.BDH($C$603,"GEO_GROW_DVD_PER_SH","FQ2 2017","FQ2 2017","Currency=INR","Period=FQ","BEST_FPERIOD_OVERRIDE=FQ","FILING_STATUS=OR","EQY_CONSOLIDATED=Y","Sort=A","Dates=H","DateFormat=P","Fill=—","Direction=H","UseDPDF=Y")</f>
        <v>#NAME?</v>
      </c>
      <c r="AS620" s="1" t="e">
        <f ca="1">_xll.BDH($C$603,"ACCOUNTS_RECEIVABLE_5_YR_GROWTH","FQ2 2017","FQ2 2017","Currency=INR","Period=FQ","BEST_FPERIOD_OVERRIDE=FQ","FILING_STATUS=OR","EQY_CONSOLIDATED=Y","Sort=A","Dates=H","DateFormat=P","Fill=—","Direction=H","UseDPDF=Y")</f>
        <v>#NAME?</v>
      </c>
      <c r="AT620" s="1" t="e">
        <f ca="1">_xll.BDH($C$603,"INVENTORY_5_YEAR_GROWTH","FQ2 2017","FQ2 2017","Currency=INR","Period=FQ","BEST_FPERIOD_OVERRIDE=FQ","FILING_STATUS=OR","EQY_CONSOLIDATED=Y","Sort=A","Dates=H","DateFormat=P","Fill=—","Direction=H","UseDPDF=Y")</f>
        <v>#NAME?</v>
      </c>
      <c r="AU620" s="1" t="e">
        <f ca="1">_xll.BDH($C$603,"NET_FIXED_ASSETS_5_YEAR_GROWTH","FQ2 2017","FQ2 2017","Currency=INR","Period=FQ","BEST_FPERIOD_OVERRIDE=FQ","FILING_STATUS=OR","EQY_CONSOLIDATED=Y","Sort=A","Dates=H","DateFormat=P","Fill=—","Direction=H","UseDPDF=Y")</f>
        <v>#NAME?</v>
      </c>
      <c r="AV620" s="1" t="e">
        <f ca="1">_xll.BDH($C$603,"GEO_GROW_TOT_ASSET","FQ2 2017","FQ2 2017","Currency=INR","Period=FQ","BEST_FPERIOD_OVERRIDE=FQ","FILING_STATUS=OR","EQY_CONSOLIDATED=Y","Sort=A","Dates=H","DateFormat=P","Fill=—","Direction=H","UseDPDF=Y")</f>
        <v>#NAME?</v>
      </c>
      <c r="AW620" s="1" t="e">
        <f ca="1">_xll.BDH($C$603,"MODIFIED_WORKING_CPTL_5YR_GRWTH","FQ2 2017","FQ2 2017","Currency=INR","Period=FQ","BEST_FPERIOD_OVERRIDE=FQ","FILING_STATUS=OR","EQY_CONSOLIDATED=Y","Sort=A","Dates=H","DateFormat=P","Fill=—","Direction=H","UseDPDF=Y")</f>
        <v>#NAME?</v>
      </c>
      <c r="AX620" s="1" t="e">
        <f ca="1">_xll.BDH($C$603,"WORKING_CAPITAL_5_YEAR_GROWTH","FQ2 2017","FQ2 2017","Currency=INR","Period=FQ","BEST_FPERIOD_OVERRIDE=FQ","FILING_STATUS=OR","EQY_CONSOLIDATED=Y","Sort=A","Dates=H","DateFormat=P","Fill=—","Direction=H","UseDPDF=Y")</f>
        <v>#NAME?</v>
      </c>
      <c r="AY620" s="1" t="e">
        <f ca="1">_xll.BDH($C$603,"ACCOUNTS_PAYABLE_5_YEAR_GROWTH","FQ2 2017","FQ2 2017","Currency=INR","Period=FQ","BEST_FPERIOD_OVERRIDE=FQ","FILING_STATUS=OR","EQY_CONSOLIDATED=Y","Sort=A","Dates=H","DateFormat=P","Fill=—","Direction=H","UseDPDF=Y")</f>
        <v>#NAME?</v>
      </c>
      <c r="AZ620" s="1" t="e">
        <f ca="1">_xll.BDH($C$603,"SHORT_TERM_DEBT_5_YEAR_GROWTH","FQ2 2017","FQ2 2017","Currency=INR","Period=FQ","BEST_FPERIOD_OVERRIDE=FQ","FILING_STATUS=OR","EQY_CONSOLIDATED=Y","Sort=A","Dates=H","DateFormat=P","Fill=—","Direction=H","UseDPDF=Y")</f>
        <v>#NAME?</v>
      </c>
      <c r="BA620" s="1" t="e">
        <f ca="1">_xll.BDH($C$603,"TOTAL_DEBT_5_YEAR_GROWTH","FQ2 2017","FQ2 2017","Currency=INR","Period=FQ","BEST_FPERIOD_OVERRIDE=FQ","FILING_STATUS=OR","EQY_CONSOLIDATED=Y","Sort=A","Dates=H","DateFormat=P","Fill=—","Direction=H","UseDPDF=Y")</f>
        <v>#NAME?</v>
      </c>
      <c r="BB620" s="1" t="e">
        <f ca="1">_xll.BDH($C$603,"GEO_GROW_TOT_SHRHLDR_EQY","FQ2 2017","FQ2 2017","Currency=INR","Period=FQ","BEST_FPERIOD_OVERRIDE=FQ","FILING_STATUS=OR","EQY_CONSOLIDATED=Y","Sort=A","Dates=H","DateFormat=P","Fill=—","Direction=H","UseDPDF=Y")</f>
        <v>#NAME?</v>
      </c>
      <c r="BC620" s="1" t="e">
        <f ca="1">_xll.BDH($C$603,"TOTAL_CAPITAL_5_YEAR_GROWTH","FQ2 2017","FQ2 2017","Currency=INR","Period=FQ","BEST_FPERIOD_OVERRIDE=FQ","FILING_STATUS=OR","EQY_CONSOLIDATED=Y","Sort=A","Dates=H","DateFormat=P","Fill=—","Direction=H","UseDPDF=Y")</f>
        <v>#NAME?</v>
      </c>
      <c r="BD620" s="1" t="e">
        <f ca="1">_xll.BDH($C$603,"GEO_GROW_BOOK_VAL","FQ2 2017","FQ2 2017","Currency=INR","Period=FQ","BEST_FPERIOD_OVERRIDE=FQ","FILING_STATUS=OR","EQY_CONSOLIDATED=Y","Sort=A","Dates=H","DateFormat=P","Fill=—","Direction=H","UseDPDF=Y")</f>
        <v>#NAME?</v>
      </c>
      <c r="BE620" s="1" t="e">
        <f ca="1">_xll.BDH($C$603,"GEO_GROW_CASH_OPER_ACT","FQ2 2017","FQ2 2017","Currency=INR","Period=FQ","BEST_FPERIOD_OVERRIDE=FQ","FILING_STATUS=OR","EQY_CONSOLIDATED=Y","Sort=A","Dates=H","DateFormat=P","Fill=—","Direction=H","UseDPDF=Y")</f>
        <v>#NAME?</v>
      </c>
      <c r="BF620" s="1" t="e">
        <f ca="1">_xll.BDH($C$603,"REVENUE_SEQUENTIAL_GROWTH","FQ2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620" s="1" t="e">
        <f ca="1">_xll.BDH($C$603,"EBITDA_SEQUENTIAL_GROWTH","FQ2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620" s="1" t="e">
        <f ca="1">_xll.BDH($C$603,"OPERATING_INCOME_SEQ_GROWTH","FQ2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620" s="1" t="e">
        <f ca="1">_xll.BDH($C$603,"NET_INCOME_TO_COMMON_SEQ_GROWTH","FQ2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620" s="1" t="e">
        <f ca="1">_xll.BDH($C$603,"EPS_DILUTED_SEQUENTIAL_GROWTH","FQ2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620" s="1" t="e">
        <f ca="1">_xll.BDH($C$603,"DPS_SEQUENTIAL_GROWTH","FQ2 2017","FQ2 2017","Currency=INR","Period=FQ","BEST_FPERIOD_OVERRIDE=FQ","FILING_STATUS=OR","EQY_CONSOLIDATED=Y","Sort=A","Dates=H","DateFormat=P","Fill=—","Direction=H","UseDPDF=Y")</f>
        <v>#NAME?</v>
      </c>
      <c r="BL620" s="1" t="e">
        <f ca="1">_xll.BDH($C$603,"ACCOUNTS_RECEIVABLE_SEQ_GROWTH","FQ2 2017","FQ2 2017","Currency=INR","Period=FQ","BEST_FPERIOD_OVERRIDE=FQ","FILING_STATUS=OR","EQY_CONSOLIDATED=Y","Sort=A","Dates=H","DateFormat=P","Fill=—","Direction=H","UseDPDF=Y")</f>
        <v>#NAME?</v>
      </c>
      <c r="BM620" s="1" t="e">
        <f ca="1">_xll.BDH($C$603,"INVENTORY_SEQUENTIAL_GROWTH","FQ2 2017","FQ2 2017","Currency=INR","Period=FQ","BEST_FPERIOD_OVERRIDE=FQ","FILING_STATUS=OR","EQY_CONSOLIDATED=Y","Sort=A","Dates=H","DateFormat=P","Fill=—","Direction=H","UseDPDF=Y")</f>
        <v>#NAME?</v>
      </c>
      <c r="BN620" s="1" t="e">
        <f ca="1">_xll.BDH($C$603,"FIXED_ASSETS_SEQUENTIAL_GROWTH","FQ2 2017","FQ2 2017","Currency=INR","Period=FQ","BEST_FPERIOD_OVERRIDE=FQ","FILING_STATUS=OR","EQY_CONSOLIDATED=Y","Sort=A","Dates=H","DateFormat=P","Fill=—","Direction=H","UseDPDF=Y")</f>
        <v>#NAME?</v>
      </c>
      <c r="BO620" s="1" t="e">
        <f ca="1">_xll.BDH($C$603,"TOTAL_ASSETS_SEQUENTIAL_GROWTH","FQ2 2017","FQ2 2017","Currency=INR","Period=FQ","BEST_FPERIOD_OVERRIDE=FQ","FILING_STATUS=OR","EQY_CONSOLIDATED=Y","Sort=A","Dates=H","DateFormat=P","Fill=—","Direction=H","UseDPDF=Y")</f>
        <v>#NAME?</v>
      </c>
      <c r="BP620" s="1" t="e">
        <f ca="1">_xll.BDH($C$603,"MODIFIED_WORKING_CPTL_SEQ_GRWTH","FQ2 2017","FQ2 2017","Currency=INR","Period=FQ","BEST_FPERIOD_OVERRIDE=FQ","FILING_STATUS=OR","EQY_CONSOLIDATED=Y","Sort=A","Dates=H","DateFormat=P","Fill=—","Direction=H","UseDPDF=Y")</f>
        <v>#NAME?</v>
      </c>
      <c r="BQ620" s="1" t="e">
        <f ca="1">_xll.BDH($C$603,"WORKING_CAPITAL_SEQ_GROWTH","FQ2 2017","FQ2 2017","Currency=INR","Period=FQ","BEST_FPERIOD_OVERRIDE=FQ","FILING_STATUS=OR","EQY_CONSOLIDATED=Y","Sort=A","Dates=H","DateFormat=P","Fill=—","Direction=H","UseDPDF=Y")</f>
        <v>#NAME?</v>
      </c>
      <c r="BR620" s="1" t="e">
        <f ca="1">_xll.BDH($C$603,"ACCOUNTS_PAYABLE_SEQ_GROWTH","FQ2 2017","FQ2 2017","Currency=INR","Period=FQ","BEST_FPERIOD_OVERRIDE=FQ","FILING_STATUS=OR","EQY_CONSOLIDATED=Y","Sort=A","Dates=H","DateFormat=P","Fill=—","Direction=H","UseDPDF=Y")</f>
        <v>#NAME?</v>
      </c>
      <c r="BS620" s="1" t="e">
        <f ca="1">_xll.BDH($C$603,"ST_DEBT_SEQUENTIAL_GROWTH","FQ2 2017","FQ2 2017","Currency=INR","Period=FQ","BEST_FPERIOD_OVERRIDE=FQ","FILING_STATUS=OR","EQY_CONSOLIDATED=Y","Sort=A","Dates=H","DateFormat=P","Fill=—","Direction=H","UseDPDF=Y")</f>
        <v>#NAME?</v>
      </c>
      <c r="BT620" s="1" t="e">
        <f ca="1">_xll.BDH($C$603,"TOTAL_DEBT_SEQUENTIAL_GROWTH","FQ2 2017","FQ2 2017","Currency=INR","Period=FQ","BEST_FPERIOD_OVERRIDE=FQ","FILING_STATUS=OR","EQY_CONSOLIDATED=Y","Sort=A","Dates=H","DateFormat=P","Fill=—","Direction=H","UseDPDF=Y")</f>
        <v>#NAME?</v>
      </c>
      <c r="BU620" s="1" t="e">
        <f ca="1">_xll.BDH($C$603,"TOTAL_EQUITY_SEQUENTIAL_GROWTH","FQ2 2017","FQ2 2017","Currency=INR","Period=FQ","BEST_FPERIOD_OVERRIDE=FQ","FILING_STATUS=OR","EQY_CONSOLIDATED=Y","Sort=A","Dates=H","DateFormat=P","Fill=—","Direction=H","UseDPDF=Y")</f>
        <v>#NAME?</v>
      </c>
      <c r="BV620" s="1" t="e">
        <f ca="1">_xll.BDH($C$603,"TOTAL_CAPITAL_SEQUENTIAL_GROWTH","FQ2 2017","FQ2 2017","Currency=INR","Period=FQ","BEST_FPERIOD_OVERRIDE=FQ","FILING_STATUS=OR","EQY_CONSOLIDATED=Y","Sort=A","Dates=H","DateFormat=P","Fill=—","Direction=H","UseDPDF=Y")</f>
        <v>#NAME?</v>
      </c>
      <c r="BW620" s="1" t="e">
        <f ca="1">_xll.BDH($C$603,"BPS_SEQUENTIAL_GROWTH","FQ2 2017","FQ2 2017","Currency=INR","Period=FQ","BEST_FPERIOD_OVERRIDE=FQ","FILING_STATUS=OR","EQY_CONSOLIDATED=Y","Sort=A","Dates=H","DateFormat=P","Fill=—","Direction=H","UseDPDF=Y")</f>
        <v>#NAME?</v>
      </c>
      <c r="BX620" s="1" t="e">
        <f ca="1">_xll.BDH($C$603,"CFO_SEQUENTIAL_GROWTH","FQ2 2017","FQ2 2017","Currency=INR","Period=FQ","BEST_FPERIOD_OVERRIDE=FQ","FILING_STATUS=OR","EQY_CONSOLIDATED=Y","Sort=A","Dates=H","DateFormat=P","Fill=—","Direction=H","UseDPDF=Y")</f>
        <v>#NAME?</v>
      </c>
      <c r="BY620" s="2" t="e">
        <f ca="1">_xll.BDH($C$603,"SHORT_AND_LONG_TERM_DEBT","FQ2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620" s="2" t="e">
        <f ca="1">_xll.BDH($C$603,"BS_ST_BORROW","FQ2 2017","FQ2 2017","Currency=INR","Period=FQ","BEST_FPERIOD_OVERRIDE=FQ","FILING_STATUS=OR","EQY_CONSOLIDATED=Y","SCALING_FORMAT=MLN","Sort=A","Dates=H","DateFormat=P","Fill=—","Direction=H","UseDPDF=Y")</f>
        <v>#NAME?</v>
      </c>
      <c r="CA620" s="2" t="e">
        <f ca="1">_xll.BDH($C$603,"BS_LT_BORROW","FQ2 2017","FQ2 2017","Currency=INR","Period=FQ","BEST_FPERIOD_OVERRIDE=FQ","FILING_STATUS=OR","EQY_CONSOLIDATED=Y","SCALING_FORMAT=MLN","Sort=A","Dates=H","DateFormat=P","Fill=—","Direction=H","UseDPDF=Y")</f>
        <v>#NAME?</v>
      </c>
      <c r="CB620" s="1" t="e">
        <f ca="1">_xll.BDH($C$603,"TOT_DEBT_TO_EBITDA","FQ2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620" s="1" t="e">
        <f ca="1">_xll.BDH($C$603,"NET_DEBT_TO_EBITDA","FQ2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620" s="1" t="e">
        <f ca="1">_xll.BDH($C$603,"TOTAL_DEBT_TO_EBIT","FQ2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620" s="1" t="e">
        <f ca="1">_xll.BDH($C$603,"NET_DEBT_TO_EBIT","FQ2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620" s="1" t="e">
        <f ca="1">_xll.BDH($C$603,"EBITDA_TO_INTEREST_EXPN","FQ2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620" s="1" t="e">
        <f ca="1">_xll.BDH($C$603,"COM_EQY_TO_TOT_ASSET","FQ2 2017","FQ2 2017","Currency=INR","Period=FQ","BEST_FPERIOD_OVERRIDE=FQ","FILING_STATUS=OR","EQY_CONSOLIDATED=Y","Sort=A","Dates=H","DateFormat=P","Fill=—","Direction=H","UseDPDF=Y")</f>
        <v>#NAME?</v>
      </c>
      <c r="CH620" s="1" t="e">
        <f ca="1">_xll.BDH($C$603,"LT_DEBT_TO_TOT_EQY","FQ2 2017","FQ2 2017","Currency=INR","Period=FQ","BEST_FPERIOD_OVERRIDE=FQ","FILING_STATUS=OR","EQY_CONSOLIDATED=Y","Sort=A","Dates=H","DateFormat=P","Fill=—","Direction=H","UseDPDF=Y")</f>
        <v>#NAME?</v>
      </c>
      <c r="CI620" s="1" t="e">
        <f ca="1">_xll.BDH($C$603,"LT_DEBT_TO_TOT_CAP","FQ2 2017","FQ2 2017","Currency=INR","Period=FQ","BEST_FPERIOD_OVERRIDE=FQ","FILING_STATUS=OR","EQY_CONSOLIDATED=Y","Sort=A","Dates=H","DateFormat=P","Fill=—","Direction=H","UseDPDF=Y")</f>
        <v>#NAME?</v>
      </c>
      <c r="CJ620" s="1" t="e">
        <f ca="1">_xll.BDH($C$603,"LT_DEBT_TO_TOT_ASSET","FQ2 2017","FQ2 2017","Currency=INR","Period=FQ","BEST_FPERIOD_OVERRIDE=FQ","FILING_STATUS=OR","EQY_CONSOLIDATED=Y","Sort=A","Dates=H","DateFormat=P","Fill=—","Direction=H","UseDPDF=Y")</f>
        <v>#NAME?</v>
      </c>
      <c r="CK620" s="1" t="e">
        <f ca="1">_xll.BDH($C$603,"TOT_DEBT_TO_TOT_EQY","FQ2 2017","FQ2 2017","Currency=INR","Period=FQ","BEST_FPERIOD_OVERRIDE=FQ","FILING_STATUS=OR","EQY_CONSOLIDATED=Y","Sort=A","Dates=H","DateFormat=P","Fill=—","Direction=H","UseDPDF=Y")</f>
        <v>#NAME?</v>
      </c>
      <c r="CL620" s="1" t="e">
        <f ca="1">_xll.BDH($C$603,"TOT_DEBT_TO_TOT_CAP","FQ2 2017","FQ2 2017","Currency=INR","Period=FQ","BEST_FPERIOD_OVERRIDE=FQ","FILING_STATUS=OR","EQY_CONSOLIDATED=Y","Sort=A","Dates=H","DateFormat=P","Fill=—","Direction=H","UseDPDF=Y")</f>
        <v>#NAME?</v>
      </c>
      <c r="CM620" s="1" t="e">
        <f ca="1">_xll.BDH($C$603,"TOT_DEBT_TO_TOT_ASSET","FQ2 2017","FQ2 2017","Currency=INR","Period=FQ","BEST_FPERIOD_OVERRIDE=FQ","FILING_STATUS=OR","EQY_CONSOLIDATED=Y","Sort=A","Dates=H","DateFormat=P","Fill=—","Direction=H","UseDPDF=Y")</f>
        <v>#NAME?</v>
      </c>
      <c r="CN620" s="1" t="e">
        <f ca="1">_xll.BDH($C$603,"NET_DEBT_TO_SHRHLDR_EQTY","FQ2 2017","FQ2 2017","Currency=INR","Period=FQ","BEST_FPERIOD_OVERRIDE=FQ","FILING_STATUS=OR","EQY_CONSOLIDATED=Y","Sort=A","Dates=H","DateFormat=P","Fill=—","Direction=H","UseDPDF=Y")</f>
        <v>#NAME?</v>
      </c>
      <c r="CO620" s="1" t="e">
        <f ca="1">_xll.BDH($C$603,"NET_DEBT_%_CAPITAL","FQ2 2017","FQ2 2017","Currency=INR","Period=FQ","BEST_FPERIOD_OVERRIDE=FQ","FILING_STATUS=OR","EQY_CONSOLIDATED=Y","Sort=A","Dates=H","DateFormat=P","Fill=—","Direction=H","UseDPDF=Y")</f>
        <v>#NAME?</v>
      </c>
      <c r="CP620" s="2" t="e">
        <f ca="1">_xll.BDH($C$603,"EBITDA","FQ2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620" s="2" t="e">
        <f ca="1">_xll.BDH($C$603,"EBITDA_AFTER_CAPEX","FQ2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620" s="2" t="e">
        <f ca="1">_xll.BDH($C$603,"IS_OPER_INC","FQ2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620" s="1" t="e">
        <f ca="1">_xll.BDH($C$603,"CASH_RATIO","FQ2 2017","FQ2 2017","Currency=INR","Period=FQ","BEST_FPERIOD_OVERRIDE=FQ","FILING_STATUS=OR","EQY_CONSOLIDATED=Y","Sort=A","Dates=H","DateFormat=P","Fill=—","Direction=H","UseDPDF=Y")</f>
        <v>#NAME?</v>
      </c>
      <c r="CT620" s="1" t="e">
        <f ca="1">_xll.BDH($C$603,"CUR_RATIO","FQ2 2017","FQ2 2017","Currency=INR","Period=FQ","BEST_FPERIOD_OVERRIDE=FQ","FILING_STATUS=OR","EQY_CONSOLIDATED=Y","Sort=A","Dates=H","DateFormat=P","Fill=—","Direction=H","UseDPDF=Y")</f>
        <v>#NAME?</v>
      </c>
      <c r="CU620" s="1" t="e">
        <f ca="1">_xll.BDH($C$603,"QUICK_RATIO","FQ2 2017","FQ2 2017","Currency=INR","Period=FQ","BEST_FPERIOD_OVERRIDE=FQ","FILING_STATUS=OR","EQY_CONSOLIDATED=Y","Sort=A","Dates=H","DateFormat=P","Fill=—","Direction=H","UseDPDF=Y")</f>
        <v>#NAME?</v>
      </c>
      <c r="CV620" s="1" t="e">
        <f ca="1">_xll.BDH($C$603,"ALTMAN_Z_SCORE","FQ2 2017","FQ2 2017","Currency=INR","Period=FQ","BEST_FPERIOD_OVERRIDE=FQ","FILING_STATUS=OR","EQY_CONSOLIDATED=Y","Sort=A","Dates=H","DateFormat=P","Fill=—","Direction=H","UseDPDF=Y")</f>
        <v>#NAME?</v>
      </c>
      <c r="CW620" s="3" t="e">
        <f ca="1">_xll.BDH($C$603,"ACCT_RCV_TURN","FQ2 2017","FQ2 2017","Currency=INR","Period=FQ","BEST_FPERIOD_OVERRIDE=FQ","FILING_STATUS=OR","EQY_CONSOLIDATED=Y","FA_ADJUSTED=GAAP","Sort=A","Dates=H","DateFormat=P","Fill=—","Direction=H","UseDPDF=Y")</f>
        <v>#NAME?</v>
      </c>
      <c r="CX620" s="1" t="e">
        <f ca="1">_xll.BDH($C$603,"ACCT_RCV_DAYS","FQ2 2017","FQ2 2017","Currency=INR","Period=FQ","BEST_FPERIOD_OVERRIDE=FQ","FILING_STATUS=OR","EQY_CONSOLIDATED=Y","FA_ADJUSTED=GAAP","Sort=A","Dates=H","DateFormat=P","Fill=—","Direction=H","UseDPDF=Y")</f>
        <v>#NAME?</v>
      </c>
      <c r="CY620" s="3" t="e">
        <f ca="1">_xll.BDH($C$603,"INVENT_TURN","FQ2 2017","FQ2 2017","Currency=INR","Period=FQ","BEST_FPERIOD_OVERRIDE=FQ","FILING_STATUS=OR","EQY_CONSOLIDATED=Y","FA_ADJUSTED=GAAP","Sort=A","Dates=H","DateFormat=P","Fill=—","Direction=H","UseDPDF=Y")</f>
        <v>#NAME?</v>
      </c>
      <c r="CZ620" s="1" t="e">
        <f ca="1">_xll.BDH($C$603,"INVENT_DAYS","FQ2 2017","FQ2 2017","Currency=INR","Period=FQ","BEST_FPERIOD_OVERRIDE=FQ","FILING_STATUS=OR","EQY_CONSOLIDATED=Y","FA_ADJUSTED=GAAP","Sort=A","Dates=H","DateFormat=P","Fill=—","Direction=H","UseDPDF=Y")</f>
        <v>#NAME?</v>
      </c>
      <c r="DA620" s="3" t="e">
        <f ca="1">_xll.BDH($C$603,"ACCOUNTS_PAYABLE_TURNOVER","FQ2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620" s="1" t="e">
        <f ca="1">_xll.BDH($C$603,"ACCOUNTS_PAYABLE_TURNOVER_DAYS","FQ2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620" s="3" t="e">
        <f ca="1">_xll.BDH($C$603,"CASH_CONVERSION_CYCLE","FQ2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620" s="3" t="e">
        <f ca="1">_xll.BDH($C$603,"INV_TO_CASH_DAYS","FQ2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620" s="4" t="e">
        <f ca="1">_xll.BDH($C$603,"BS_INVENTORIES","FQ2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620" s="2" t="e">
        <f ca="1">_xll.BDH($C$603,"INVTRY_RAW_MATERIALS","FQ2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620" s="2" t="e">
        <f ca="1">_xll.BDH($C$603,"INVTRY_IN_PROGRESS","FQ2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620" s="2" t="e">
        <f ca="1">_xll.BDH($C$603,"INVTRY_FINISHED_GOODS","FQ2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620" s="2" t="e">
        <f ca="1">_xll.BDH($C$603,"BS_OTHER_INV","FQ2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621" spans="1:113" x14ac:dyDescent="0.3">
      <c r="A621" s="6"/>
      <c r="B621" s="6"/>
      <c r="C621" s="6"/>
      <c r="D621" s="6"/>
      <c r="E621" t="s">
        <v>6</v>
      </c>
      <c r="F621" t="e">
        <f ca="1">_xll.BDH($C$603,"RETURN_COM_EQY","FQ3 2017","FQ3 2017","Currency=INR","Period=FQ","BEST_FPERIOD_OVERRIDE=FQ","FILING_STATUS=OR","EQY_CONSOLIDATED=Y","FA_ADJUSTED=GAAP","Sort=A","Dates=H","DateFormat=P","Fill=—","Direction=H","UseDPDF=Y")</f>
        <v>#NAME?</v>
      </c>
      <c r="G621" t="e">
        <f ca="1">_xll.BDH($C$603,"RETURN_ON_ASSET","FQ3 2017","FQ3 2017","Currency=INR","Period=FQ","BEST_FPERIOD_OVERRIDE=FQ","FILING_STATUS=OR","EQY_CONSOLIDATED=Y","FA_ADJUSTED=GAAP","Sort=A","Dates=H","DateFormat=P","Fill=—","Direction=H","UseDPDF=Y")</f>
        <v>#NAME?</v>
      </c>
      <c r="H621" t="e">
        <f ca="1">_xll.BDH($C$603,"RETURN_ON_CAP","FQ3 2017","FQ3 2017","Currency=INR","Period=FQ","BEST_FPERIOD_OVERRIDE=FQ","FILING_STATUS=OR","EQY_CONSOLIDATED=Y","FA_ADJUSTED=GAAP","Sort=A","Dates=H","DateFormat=P","Fill=—","Direction=H","UseDPDF=Y")</f>
        <v>#NAME?</v>
      </c>
      <c r="I621" t="e">
        <f ca="1">_xll.BDH($C$603,"RETURN_ON_INV_CAPITAL","FQ3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621" t="e">
        <f ca="1">_xll.BDH($C$603,"EBITDA_TO_REVENUE","FQ3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621" t="e">
        <f ca="1">_xll.BDH($C$603,"OPER_MARGIN","FQ3 2017","FQ3 2017","Currency=INR","Period=FQ","BEST_FPERIOD_OVERRIDE=FQ","FILING_STATUS=OR","EQY_CONSOLIDATED=Y","FA_ADJUSTED=GAAP","Sort=A","Dates=H","DateFormat=P","Fill=—","Direction=H","UseDPDF=Y")</f>
        <v>#NAME?</v>
      </c>
      <c r="L621" t="e">
        <f ca="1">_xll.BDH($C$603,"INCREMENTAL_OPERATING_MARGIN","FQ3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621" t="e">
        <f ca="1">_xll.BDH($C$603,"PRETAX_INC_TO_NET_SALES","FQ3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621" t="e">
        <f ca="1">_xll.BDH($C$603,"INC_BEF_XO_ITEMS_TO_NET_SALES","FQ3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621" t="e">
        <f ca="1">_xll.BDH($C$603,"PROF_MARGIN","FQ3 2017","FQ3 2017","Currency=INR","Period=FQ","BEST_FPERIOD_OVERRIDE=FQ","FILING_STATUS=OR","EQY_CONSOLIDATED=Y","FA_ADJUSTED=GAAP","Sort=A","Dates=H","DateFormat=P","Fill=—","Direction=H","UseDPDF=Y")</f>
        <v>#NAME?</v>
      </c>
      <c r="P621" t="e">
        <f ca="1">_xll.BDH($C$603,"NET_INCOME_TO_COMMON_MARGIN","FQ3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621" t="e">
        <f ca="1">_xll.BDH($C$603,"EFF_TAX_RATE","FQ3 2017","FQ3 2017","Currency=INR","Period=FQ","BEST_FPERIOD_OVERRIDE=FQ","FILING_STATUS=OR","EQY_CONSOLIDATED=Y","FA_ADJUSTED=GAAP","Sort=A","Dates=H","DateFormat=P","Fill=—","Direction=H","UseDPDF=Y")</f>
        <v>#NAME?</v>
      </c>
      <c r="R621" t="e">
        <f ca="1">_xll.BDH($C$603,"DVD_PAYOUT_RATIO","FQ3 2017","FQ3 2017","Currency=INR","Period=FQ","BEST_FPERIOD_OVERRIDE=FQ","FILING_STATUS=OR","EQY_CONSOLIDATED=Y","FA_ADJUSTED=GAAP","Sort=A","Dates=H","DateFormat=P","Fill=—","Direction=H","UseDPDF=Y")</f>
        <v>#NAME?</v>
      </c>
      <c r="S621" t="e">
        <f ca="1">_xll.BDH($C$603,"SUSTAIN_GROWTH_RT","FQ3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621" s="1" t="e">
        <f ca="1">_xll.BDH($C$603,"SALES_GROWTH","FQ3 2017","FQ3 2017","Currency=INR","Period=FQ","BEST_FPERIOD_OVERRIDE=FQ","FILING_STATUS=OR","EQY_CONSOLIDATED=Y","FA_ADJUSTED=GAAP","Sort=A","Dates=H","DateFormat=P","Fill=—","Direction=H","UseDPDF=Y")</f>
        <v>#NAME?</v>
      </c>
      <c r="U621" s="1" t="e">
        <f ca="1">_xll.BDH($C$603,"EBITDA_GROWTH","FQ3 2017","FQ3 2017","Currency=INR","Period=FQ","BEST_FPERIOD_OVERRIDE=FQ","FILING_STATUS=OR","EQY_CONSOLIDATED=Y","FA_ADJUSTED=GAAP","Sort=A","Dates=H","DateFormat=P","Fill=—","Direction=H","UseDPDF=Y")</f>
        <v>#NAME?</v>
      </c>
      <c r="V621" s="1" t="e">
        <f ca="1">_xll.BDH($C$603,"OPER_INC_GROWTH","FQ3 2017","FQ3 2017","Currency=INR","Period=FQ","BEST_FPERIOD_OVERRIDE=FQ","FILING_STATUS=OR","EQY_CONSOLIDATED=Y","FA_ADJUSTED=GAAP","Sort=A","Dates=H","DateFormat=P","Fill=—","Direction=H","UseDPDF=Y")</f>
        <v>#NAME?</v>
      </c>
      <c r="W621" s="1" t="e">
        <f ca="1">_xll.BDH($C$603,"EARN_FOR_COM_GROWTH","FQ3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621" s="1" t="e">
        <f ca="1">_xll.BDH($C$603,"DILUTED_EPS_AFT_XO_ITEMS_GROWTH","FQ3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621" s="1" t="e">
        <f ca="1">_xll.BDH($C$603,"DIVIDEND_PER_SHARE_1_YEAR_GROWTH","FQ3 2017","FQ3 2017","Currency=INR","Period=FQ","BEST_FPERIOD_OVERRIDE=FQ","FILING_STATUS=OR","EQY_CONSOLIDATED=Y","Sort=A","Dates=H","DateFormat=P","Fill=—","Direction=H","UseDPDF=Y")</f>
        <v>#NAME?</v>
      </c>
      <c r="Z621" s="1" t="e">
        <f ca="1">_xll.BDH($C$603,"ACCOUNTS_RECEIVABLE_GROWTH","FQ3 2017","FQ3 2017","Currency=INR","Period=FQ","BEST_FPERIOD_OVERRIDE=FQ","FILING_STATUS=OR","EQY_CONSOLIDATED=Y","Sort=A","Dates=H","DateFormat=P","Fill=—","Direction=H","UseDPDF=Y")</f>
        <v>#NAME?</v>
      </c>
      <c r="AA621" s="1" t="e">
        <f ca="1">_xll.BDH($C$603,"INVENTORY_GROWTH","FQ3 2017","FQ3 2017","Currency=INR","Period=FQ","BEST_FPERIOD_OVERRIDE=FQ","FILING_STATUS=OR","EQY_CONSOLIDATED=Y","Sort=A","Dates=H","DateFormat=P","Fill=—","Direction=H","UseDPDF=Y")</f>
        <v>#NAME?</v>
      </c>
      <c r="AB621" s="1" t="e">
        <f ca="1">_xll.BDH($C$603,"NET_FIXED_ASSETS_1_YEAR_GROWTH","FQ3 2017","FQ3 2017","Currency=INR","Period=FQ","BEST_FPERIOD_OVERRIDE=FQ","FILING_STATUS=OR","EQY_CONSOLIDATED=Y","Sort=A","Dates=H","DateFormat=P","Fill=—","Direction=H","UseDPDF=Y")</f>
        <v>#NAME?</v>
      </c>
      <c r="AC621" s="1" t="e">
        <f ca="1">_xll.BDH($C$603,"ASSET_GROWTH","FQ3 2017","FQ3 2017","Currency=INR","Period=FQ","BEST_FPERIOD_OVERRIDE=FQ","FILING_STATUS=OR","EQY_CONSOLIDATED=Y","Sort=A","Dates=H","DateFormat=P","Fill=—","Direction=H","UseDPDF=Y")</f>
        <v>#NAME?</v>
      </c>
      <c r="AD621" s="1" t="e">
        <f ca="1">_xll.BDH($C$603,"MODIFIED_WORK_CAP_GROWTH","FQ3 2017","FQ3 2017","Currency=INR","Period=FQ","BEST_FPERIOD_OVERRIDE=FQ","FILING_STATUS=OR","EQY_CONSOLIDATED=Y","Sort=A","Dates=H","DateFormat=P","Fill=—","Direction=H","UseDPDF=Y")</f>
        <v>#NAME?</v>
      </c>
      <c r="AE621" s="1" t="e">
        <f ca="1">_xll.BDH($C$603,"WORK_CAP_GROWTH","FQ3 2017","FQ3 2017","Currency=INR","Period=FQ","BEST_FPERIOD_OVERRIDE=FQ","FILING_STATUS=OR","EQY_CONSOLIDATED=Y","Sort=A","Dates=H","DateFormat=P","Fill=—","Direction=H","UseDPDF=Y")</f>
        <v>#NAME?</v>
      </c>
      <c r="AF621" s="1" t="e">
        <f ca="1">_xll.BDH($C$603,"ACCOUNTS_PAYABLE_GROWTH_1YR","FQ3 2017","FQ3 2017","Currency=INR","Period=FQ","BEST_FPERIOD_OVERRIDE=FQ","FILING_STATUS=OR","EQY_CONSOLIDATED=Y","Sort=A","Dates=H","DateFormat=P","Fill=—","Direction=H","UseDPDF=Y")</f>
        <v>#NAME?</v>
      </c>
      <c r="AG621" s="1" t="e">
        <f ca="1">_xll.BDH($C$603,"SHORT_TERM_DEBT_1_YEAR_GROWTH","FQ3 2017","FQ3 2017","Currency=INR","Period=FQ","BEST_FPERIOD_OVERRIDE=FQ","FILING_STATUS=OR","EQY_CONSOLIDATED=Y","Sort=A","Dates=H","DateFormat=P","Fill=—","Direction=H","UseDPDF=Y")</f>
        <v>#NAME?</v>
      </c>
      <c r="AH621" s="1" t="e">
        <f ca="1">_xll.BDH($C$603,"TOTAL_DEBT_1_YEAR_GROWTH","FQ3 2017","FQ3 2017","Currency=INR","Period=FQ","BEST_FPERIOD_OVERRIDE=FQ","FILING_STATUS=OR","EQY_CONSOLIDATED=Y","Sort=A","Dates=H","DateFormat=P","Fill=—","Direction=H","UseDPDF=Y")</f>
        <v>#NAME?</v>
      </c>
      <c r="AI621" s="1" t="e">
        <f ca="1">_xll.BDH($C$603,"TOTAL_EQUITY_1_YEAR_GROWTH","FQ3 2017","FQ3 2017","Currency=INR","Period=FQ","BEST_FPERIOD_OVERRIDE=FQ","FILING_STATUS=OR","EQY_CONSOLIDATED=Y","Sort=A","Dates=H","DateFormat=P","Fill=—","Direction=H","UseDPDF=Y")</f>
        <v>#NAME?</v>
      </c>
      <c r="AJ621" s="1" t="e">
        <f ca="1">_xll.BDH($C$603,"GROWTH_IN_CAP","FQ3 2017","FQ3 2017","Currency=INR","Period=FQ","BEST_FPERIOD_OVERRIDE=FQ","FILING_STATUS=OR","EQY_CONSOLIDATED=Y","Sort=A","Dates=H","DateFormat=P","Fill=—","Direction=H","UseDPDF=Y")</f>
        <v>#NAME?</v>
      </c>
      <c r="AK621" s="1" t="e">
        <f ca="1">_xll.BDH($C$603,"BVPS_GROWTH","FQ3 2017","FQ3 2017","Currency=INR","Period=FQ","BEST_FPERIOD_OVERRIDE=FQ","FILING_STATUS=OR","EQY_CONSOLIDATED=Y","Sort=A","Dates=H","DateFormat=P","Fill=—","Direction=H","UseDPDF=Y")</f>
        <v>#NAME?</v>
      </c>
      <c r="AL621" s="1" t="e">
        <f ca="1">_xll.BDH($C$603,"CASH_FLOW_GROWTH","FQ3 2017","FQ3 2017","Currency=INR","Period=FQ","BEST_FPERIOD_OVERRIDE=FQ","FILING_STATUS=OR","EQY_CONSOLIDATED=Y","Sort=A","Dates=H","DateFormat=P","Fill=—","Direction=H","UseDPDF=Y")</f>
        <v>#NAME?</v>
      </c>
      <c r="AM621" s="1" t="e">
        <f ca="1">_xll.BDH($C$603,"GEO_GROW_NET_SALES","FQ3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621" s="1" t="e">
        <f ca="1">_xll.BDH($C$603,"GEO_GROW_EBITDA","FQ3 2017","FQ3 2017","Currency=INR","Period=FQ","BEST_FPERIOD_OVERRIDE=FQ","FILING_STATUS=OR","EQY_CONSOLIDATED=Y","FA_ADJUSTED=GAAP","Sort=A","Dates=H","DateFormat=P","Fill=—","Direction=H","UseDPDF=Y")</f>
        <v>#NAME?</v>
      </c>
      <c r="AO621" s="1" t="e">
        <f ca="1">_xll.BDH($C$603,"GEO_GROW_OPER_INC","FQ3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621" s="1" t="e">
        <f ca="1">_xll.BDH($C$603,"NET_INCOME_TO_COMMON_5_YR_GROWTH","FQ3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621" s="1" t="e">
        <f ca="1">_xll.BDH($C$603,"5Y_GEO_GROWTH_DILUTED_EPS","FQ3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621" s="1" t="e">
        <f ca="1">_xll.BDH($C$603,"GEO_GROW_DVD_PER_SH","FQ3 2017","FQ3 2017","Currency=INR","Period=FQ","BEST_FPERIOD_OVERRIDE=FQ","FILING_STATUS=OR","EQY_CONSOLIDATED=Y","Sort=A","Dates=H","DateFormat=P","Fill=—","Direction=H","UseDPDF=Y")</f>
        <v>#NAME?</v>
      </c>
      <c r="AS621" s="1" t="e">
        <f ca="1">_xll.BDH($C$603,"ACCOUNTS_RECEIVABLE_5_YR_GROWTH","FQ3 2017","FQ3 2017","Currency=INR","Period=FQ","BEST_FPERIOD_OVERRIDE=FQ","FILING_STATUS=OR","EQY_CONSOLIDATED=Y","Sort=A","Dates=H","DateFormat=P","Fill=—","Direction=H","UseDPDF=Y")</f>
        <v>#NAME?</v>
      </c>
      <c r="AT621" s="1" t="e">
        <f ca="1">_xll.BDH($C$603,"INVENTORY_5_YEAR_GROWTH","FQ3 2017","FQ3 2017","Currency=INR","Period=FQ","BEST_FPERIOD_OVERRIDE=FQ","FILING_STATUS=OR","EQY_CONSOLIDATED=Y","Sort=A","Dates=H","DateFormat=P","Fill=—","Direction=H","UseDPDF=Y")</f>
        <v>#NAME?</v>
      </c>
      <c r="AU621" s="1" t="e">
        <f ca="1">_xll.BDH($C$603,"NET_FIXED_ASSETS_5_YEAR_GROWTH","FQ3 2017","FQ3 2017","Currency=INR","Period=FQ","BEST_FPERIOD_OVERRIDE=FQ","FILING_STATUS=OR","EQY_CONSOLIDATED=Y","Sort=A","Dates=H","DateFormat=P","Fill=—","Direction=H","UseDPDF=Y")</f>
        <v>#NAME?</v>
      </c>
      <c r="AV621" s="1" t="e">
        <f ca="1">_xll.BDH($C$603,"GEO_GROW_TOT_ASSET","FQ3 2017","FQ3 2017","Currency=INR","Period=FQ","BEST_FPERIOD_OVERRIDE=FQ","FILING_STATUS=OR","EQY_CONSOLIDATED=Y","Sort=A","Dates=H","DateFormat=P","Fill=—","Direction=H","UseDPDF=Y")</f>
        <v>#NAME?</v>
      </c>
      <c r="AW621" s="1" t="e">
        <f ca="1">_xll.BDH($C$603,"MODIFIED_WORKING_CPTL_5YR_GRWTH","FQ3 2017","FQ3 2017","Currency=INR","Period=FQ","BEST_FPERIOD_OVERRIDE=FQ","FILING_STATUS=OR","EQY_CONSOLIDATED=Y","Sort=A","Dates=H","DateFormat=P","Fill=—","Direction=H","UseDPDF=Y")</f>
        <v>#NAME?</v>
      </c>
      <c r="AX621" s="1" t="e">
        <f ca="1">_xll.BDH($C$603,"WORKING_CAPITAL_5_YEAR_GROWTH","FQ3 2017","FQ3 2017","Currency=INR","Period=FQ","BEST_FPERIOD_OVERRIDE=FQ","FILING_STATUS=OR","EQY_CONSOLIDATED=Y","Sort=A","Dates=H","DateFormat=P","Fill=—","Direction=H","UseDPDF=Y")</f>
        <v>#NAME?</v>
      </c>
      <c r="AY621" s="1" t="e">
        <f ca="1">_xll.BDH($C$603,"ACCOUNTS_PAYABLE_5_YEAR_GROWTH","FQ3 2017","FQ3 2017","Currency=INR","Period=FQ","BEST_FPERIOD_OVERRIDE=FQ","FILING_STATUS=OR","EQY_CONSOLIDATED=Y","Sort=A","Dates=H","DateFormat=P","Fill=—","Direction=H","UseDPDF=Y")</f>
        <v>#NAME?</v>
      </c>
      <c r="AZ621" s="1" t="e">
        <f ca="1">_xll.BDH($C$603,"SHORT_TERM_DEBT_5_YEAR_GROWTH","FQ3 2017","FQ3 2017","Currency=INR","Period=FQ","BEST_FPERIOD_OVERRIDE=FQ","FILING_STATUS=OR","EQY_CONSOLIDATED=Y","Sort=A","Dates=H","DateFormat=P","Fill=—","Direction=H","UseDPDF=Y")</f>
        <v>#NAME?</v>
      </c>
      <c r="BA621" s="1" t="e">
        <f ca="1">_xll.BDH($C$603,"TOTAL_DEBT_5_YEAR_GROWTH","FQ3 2017","FQ3 2017","Currency=INR","Period=FQ","BEST_FPERIOD_OVERRIDE=FQ","FILING_STATUS=OR","EQY_CONSOLIDATED=Y","Sort=A","Dates=H","DateFormat=P","Fill=—","Direction=H","UseDPDF=Y")</f>
        <v>#NAME?</v>
      </c>
      <c r="BB621" s="1" t="e">
        <f ca="1">_xll.BDH($C$603,"GEO_GROW_TOT_SHRHLDR_EQY","FQ3 2017","FQ3 2017","Currency=INR","Period=FQ","BEST_FPERIOD_OVERRIDE=FQ","FILING_STATUS=OR","EQY_CONSOLIDATED=Y","Sort=A","Dates=H","DateFormat=P","Fill=—","Direction=H","UseDPDF=Y")</f>
        <v>#NAME?</v>
      </c>
      <c r="BC621" s="1" t="e">
        <f ca="1">_xll.BDH($C$603,"TOTAL_CAPITAL_5_YEAR_GROWTH","FQ3 2017","FQ3 2017","Currency=INR","Period=FQ","BEST_FPERIOD_OVERRIDE=FQ","FILING_STATUS=OR","EQY_CONSOLIDATED=Y","Sort=A","Dates=H","DateFormat=P","Fill=—","Direction=H","UseDPDF=Y")</f>
        <v>#NAME?</v>
      </c>
      <c r="BD621" s="1" t="e">
        <f ca="1">_xll.BDH($C$603,"GEO_GROW_BOOK_VAL","FQ3 2017","FQ3 2017","Currency=INR","Period=FQ","BEST_FPERIOD_OVERRIDE=FQ","FILING_STATUS=OR","EQY_CONSOLIDATED=Y","Sort=A","Dates=H","DateFormat=P","Fill=—","Direction=H","UseDPDF=Y")</f>
        <v>#NAME?</v>
      </c>
      <c r="BE621" s="1" t="e">
        <f ca="1">_xll.BDH($C$603,"GEO_GROW_CASH_OPER_ACT","FQ3 2017","FQ3 2017","Currency=INR","Period=FQ","BEST_FPERIOD_OVERRIDE=FQ","FILING_STATUS=OR","EQY_CONSOLIDATED=Y","Sort=A","Dates=H","DateFormat=P","Fill=—","Direction=H","UseDPDF=Y")</f>
        <v>#NAME?</v>
      </c>
      <c r="BF621" s="1" t="e">
        <f ca="1">_xll.BDH($C$603,"REVENUE_SEQUENTIAL_GROWTH","FQ3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621" s="1" t="e">
        <f ca="1">_xll.BDH($C$603,"EBITDA_SEQUENTIAL_GROWTH","FQ3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621" s="1" t="e">
        <f ca="1">_xll.BDH($C$603,"OPERATING_INCOME_SEQ_GROWTH","FQ3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621" s="1" t="e">
        <f ca="1">_xll.BDH($C$603,"NET_INCOME_TO_COMMON_SEQ_GROWTH","FQ3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621" s="1" t="e">
        <f ca="1">_xll.BDH($C$603,"EPS_DILUTED_SEQUENTIAL_GROWTH","FQ3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621" s="1" t="e">
        <f ca="1">_xll.BDH($C$603,"DPS_SEQUENTIAL_GROWTH","FQ3 2017","FQ3 2017","Currency=INR","Period=FQ","BEST_FPERIOD_OVERRIDE=FQ","FILING_STATUS=OR","EQY_CONSOLIDATED=Y","Sort=A","Dates=H","DateFormat=P","Fill=—","Direction=H","UseDPDF=Y")</f>
        <v>#NAME?</v>
      </c>
      <c r="BL621" s="1" t="e">
        <f ca="1">_xll.BDH($C$603,"ACCOUNTS_RECEIVABLE_SEQ_GROWTH","FQ3 2017","FQ3 2017","Currency=INR","Period=FQ","BEST_FPERIOD_OVERRIDE=FQ","FILING_STATUS=OR","EQY_CONSOLIDATED=Y","Sort=A","Dates=H","DateFormat=P","Fill=—","Direction=H","UseDPDF=Y")</f>
        <v>#NAME?</v>
      </c>
      <c r="BM621" s="1" t="e">
        <f ca="1">_xll.BDH($C$603,"INVENTORY_SEQUENTIAL_GROWTH","FQ3 2017","FQ3 2017","Currency=INR","Period=FQ","BEST_FPERIOD_OVERRIDE=FQ","FILING_STATUS=OR","EQY_CONSOLIDATED=Y","Sort=A","Dates=H","DateFormat=P","Fill=—","Direction=H","UseDPDF=Y")</f>
        <v>#NAME?</v>
      </c>
      <c r="BN621" s="1" t="e">
        <f ca="1">_xll.BDH($C$603,"FIXED_ASSETS_SEQUENTIAL_GROWTH","FQ3 2017","FQ3 2017","Currency=INR","Period=FQ","BEST_FPERIOD_OVERRIDE=FQ","FILING_STATUS=OR","EQY_CONSOLIDATED=Y","Sort=A","Dates=H","DateFormat=P","Fill=—","Direction=H","UseDPDF=Y")</f>
        <v>#NAME?</v>
      </c>
      <c r="BO621" s="1" t="e">
        <f ca="1">_xll.BDH($C$603,"TOTAL_ASSETS_SEQUENTIAL_GROWTH","FQ3 2017","FQ3 2017","Currency=INR","Period=FQ","BEST_FPERIOD_OVERRIDE=FQ","FILING_STATUS=OR","EQY_CONSOLIDATED=Y","Sort=A","Dates=H","DateFormat=P","Fill=—","Direction=H","UseDPDF=Y")</f>
        <v>#NAME?</v>
      </c>
      <c r="BP621" s="1" t="e">
        <f ca="1">_xll.BDH($C$603,"MODIFIED_WORKING_CPTL_SEQ_GRWTH","FQ3 2017","FQ3 2017","Currency=INR","Period=FQ","BEST_FPERIOD_OVERRIDE=FQ","FILING_STATUS=OR","EQY_CONSOLIDATED=Y","Sort=A","Dates=H","DateFormat=P","Fill=—","Direction=H","UseDPDF=Y")</f>
        <v>#NAME?</v>
      </c>
      <c r="BQ621" s="1" t="e">
        <f ca="1">_xll.BDH($C$603,"WORKING_CAPITAL_SEQ_GROWTH","FQ3 2017","FQ3 2017","Currency=INR","Period=FQ","BEST_FPERIOD_OVERRIDE=FQ","FILING_STATUS=OR","EQY_CONSOLIDATED=Y","Sort=A","Dates=H","DateFormat=P","Fill=—","Direction=H","UseDPDF=Y")</f>
        <v>#NAME?</v>
      </c>
      <c r="BR621" s="1" t="e">
        <f ca="1">_xll.BDH($C$603,"ACCOUNTS_PAYABLE_SEQ_GROWTH","FQ3 2017","FQ3 2017","Currency=INR","Period=FQ","BEST_FPERIOD_OVERRIDE=FQ","FILING_STATUS=OR","EQY_CONSOLIDATED=Y","Sort=A","Dates=H","DateFormat=P","Fill=—","Direction=H","UseDPDF=Y")</f>
        <v>#NAME?</v>
      </c>
      <c r="BS621" s="1" t="e">
        <f ca="1">_xll.BDH($C$603,"ST_DEBT_SEQUENTIAL_GROWTH","FQ3 2017","FQ3 2017","Currency=INR","Period=FQ","BEST_FPERIOD_OVERRIDE=FQ","FILING_STATUS=OR","EQY_CONSOLIDATED=Y","Sort=A","Dates=H","DateFormat=P","Fill=—","Direction=H","UseDPDF=Y")</f>
        <v>#NAME?</v>
      </c>
      <c r="BT621" s="1" t="e">
        <f ca="1">_xll.BDH($C$603,"TOTAL_DEBT_SEQUENTIAL_GROWTH","FQ3 2017","FQ3 2017","Currency=INR","Period=FQ","BEST_FPERIOD_OVERRIDE=FQ","FILING_STATUS=OR","EQY_CONSOLIDATED=Y","Sort=A","Dates=H","DateFormat=P","Fill=—","Direction=H","UseDPDF=Y")</f>
        <v>#NAME?</v>
      </c>
      <c r="BU621" s="1" t="e">
        <f ca="1">_xll.BDH($C$603,"TOTAL_EQUITY_SEQUENTIAL_GROWTH","FQ3 2017","FQ3 2017","Currency=INR","Period=FQ","BEST_FPERIOD_OVERRIDE=FQ","FILING_STATUS=OR","EQY_CONSOLIDATED=Y","Sort=A","Dates=H","DateFormat=P","Fill=—","Direction=H","UseDPDF=Y")</f>
        <v>#NAME?</v>
      </c>
      <c r="BV621" s="1" t="e">
        <f ca="1">_xll.BDH($C$603,"TOTAL_CAPITAL_SEQUENTIAL_GROWTH","FQ3 2017","FQ3 2017","Currency=INR","Period=FQ","BEST_FPERIOD_OVERRIDE=FQ","FILING_STATUS=OR","EQY_CONSOLIDATED=Y","Sort=A","Dates=H","DateFormat=P","Fill=—","Direction=H","UseDPDF=Y")</f>
        <v>#NAME?</v>
      </c>
      <c r="BW621" s="1" t="e">
        <f ca="1">_xll.BDH($C$603,"BPS_SEQUENTIAL_GROWTH","FQ3 2017","FQ3 2017","Currency=INR","Period=FQ","BEST_FPERIOD_OVERRIDE=FQ","FILING_STATUS=OR","EQY_CONSOLIDATED=Y","Sort=A","Dates=H","DateFormat=P","Fill=—","Direction=H","UseDPDF=Y")</f>
        <v>#NAME?</v>
      </c>
      <c r="BX621" s="1" t="e">
        <f ca="1">_xll.BDH($C$603,"CFO_SEQUENTIAL_GROWTH","FQ3 2017","FQ3 2017","Currency=INR","Period=FQ","BEST_FPERIOD_OVERRIDE=FQ","FILING_STATUS=OR","EQY_CONSOLIDATED=Y","Sort=A","Dates=H","DateFormat=P","Fill=—","Direction=H","UseDPDF=Y")</f>
        <v>#NAME?</v>
      </c>
      <c r="BY621" s="2" t="e">
        <f ca="1">_xll.BDH($C$603,"SHORT_AND_LONG_TERM_DEBT","FQ3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621" s="2" t="e">
        <f ca="1">_xll.BDH($C$603,"BS_ST_BORROW","FQ3 2017","FQ3 2017","Currency=INR","Period=FQ","BEST_FPERIOD_OVERRIDE=FQ","FILING_STATUS=OR","EQY_CONSOLIDATED=Y","SCALING_FORMAT=MLN","Sort=A","Dates=H","DateFormat=P","Fill=—","Direction=H","UseDPDF=Y")</f>
        <v>#NAME?</v>
      </c>
      <c r="CA621" s="2" t="e">
        <f ca="1">_xll.BDH($C$603,"BS_LT_BORROW","FQ3 2017","FQ3 2017","Currency=INR","Period=FQ","BEST_FPERIOD_OVERRIDE=FQ","FILING_STATUS=OR","EQY_CONSOLIDATED=Y","SCALING_FORMAT=MLN","Sort=A","Dates=H","DateFormat=P","Fill=—","Direction=H","UseDPDF=Y")</f>
        <v>#NAME?</v>
      </c>
      <c r="CB621" s="1" t="e">
        <f ca="1">_xll.BDH($C$603,"TOT_DEBT_TO_EBITDA","FQ3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621" s="1" t="e">
        <f ca="1">_xll.BDH($C$603,"NET_DEBT_TO_EBITDA","FQ3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621" s="1" t="e">
        <f ca="1">_xll.BDH($C$603,"TOTAL_DEBT_TO_EBIT","FQ3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621" s="1" t="e">
        <f ca="1">_xll.BDH($C$603,"NET_DEBT_TO_EBIT","FQ3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621" s="1" t="e">
        <f ca="1">_xll.BDH($C$603,"EBITDA_TO_INTEREST_EXPN","FQ3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621" s="1" t="e">
        <f ca="1">_xll.BDH($C$603,"COM_EQY_TO_TOT_ASSET","FQ3 2017","FQ3 2017","Currency=INR","Period=FQ","BEST_FPERIOD_OVERRIDE=FQ","FILING_STATUS=OR","EQY_CONSOLIDATED=Y","Sort=A","Dates=H","DateFormat=P","Fill=—","Direction=H","UseDPDF=Y")</f>
        <v>#NAME?</v>
      </c>
      <c r="CH621" s="1" t="e">
        <f ca="1">_xll.BDH($C$603,"LT_DEBT_TO_TOT_EQY","FQ3 2017","FQ3 2017","Currency=INR","Period=FQ","BEST_FPERIOD_OVERRIDE=FQ","FILING_STATUS=OR","EQY_CONSOLIDATED=Y","Sort=A","Dates=H","DateFormat=P","Fill=—","Direction=H","UseDPDF=Y")</f>
        <v>#NAME?</v>
      </c>
      <c r="CI621" s="1" t="e">
        <f ca="1">_xll.BDH($C$603,"LT_DEBT_TO_TOT_CAP","FQ3 2017","FQ3 2017","Currency=INR","Period=FQ","BEST_FPERIOD_OVERRIDE=FQ","FILING_STATUS=OR","EQY_CONSOLIDATED=Y","Sort=A","Dates=H","DateFormat=P","Fill=—","Direction=H","UseDPDF=Y")</f>
        <v>#NAME?</v>
      </c>
      <c r="CJ621" s="1" t="e">
        <f ca="1">_xll.BDH($C$603,"LT_DEBT_TO_TOT_ASSET","FQ3 2017","FQ3 2017","Currency=INR","Period=FQ","BEST_FPERIOD_OVERRIDE=FQ","FILING_STATUS=OR","EQY_CONSOLIDATED=Y","Sort=A","Dates=H","DateFormat=P","Fill=—","Direction=H","UseDPDF=Y")</f>
        <v>#NAME?</v>
      </c>
      <c r="CK621" s="1" t="e">
        <f ca="1">_xll.BDH($C$603,"TOT_DEBT_TO_TOT_EQY","FQ3 2017","FQ3 2017","Currency=INR","Period=FQ","BEST_FPERIOD_OVERRIDE=FQ","FILING_STATUS=OR","EQY_CONSOLIDATED=Y","Sort=A","Dates=H","DateFormat=P","Fill=—","Direction=H","UseDPDF=Y")</f>
        <v>#NAME?</v>
      </c>
      <c r="CL621" s="1" t="e">
        <f ca="1">_xll.BDH($C$603,"TOT_DEBT_TO_TOT_CAP","FQ3 2017","FQ3 2017","Currency=INR","Period=FQ","BEST_FPERIOD_OVERRIDE=FQ","FILING_STATUS=OR","EQY_CONSOLIDATED=Y","Sort=A","Dates=H","DateFormat=P","Fill=—","Direction=H","UseDPDF=Y")</f>
        <v>#NAME?</v>
      </c>
      <c r="CM621" s="1" t="e">
        <f ca="1">_xll.BDH($C$603,"TOT_DEBT_TO_TOT_ASSET","FQ3 2017","FQ3 2017","Currency=INR","Period=FQ","BEST_FPERIOD_OVERRIDE=FQ","FILING_STATUS=OR","EQY_CONSOLIDATED=Y","Sort=A","Dates=H","DateFormat=P","Fill=—","Direction=H","UseDPDF=Y")</f>
        <v>#NAME?</v>
      </c>
      <c r="CN621" s="1" t="e">
        <f ca="1">_xll.BDH($C$603,"NET_DEBT_TO_SHRHLDR_EQTY","FQ3 2017","FQ3 2017","Currency=INR","Period=FQ","BEST_FPERIOD_OVERRIDE=FQ","FILING_STATUS=OR","EQY_CONSOLIDATED=Y","Sort=A","Dates=H","DateFormat=P","Fill=—","Direction=H","UseDPDF=Y")</f>
        <v>#NAME?</v>
      </c>
      <c r="CO621" s="1" t="e">
        <f ca="1">_xll.BDH($C$603,"NET_DEBT_%_CAPITAL","FQ3 2017","FQ3 2017","Currency=INR","Period=FQ","BEST_FPERIOD_OVERRIDE=FQ","FILING_STATUS=OR","EQY_CONSOLIDATED=Y","Sort=A","Dates=H","DateFormat=P","Fill=—","Direction=H","UseDPDF=Y")</f>
        <v>#NAME?</v>
      </c>
      <c r="CP621" s="2" t="e">
        <f ca="1">_xll.BDH($C$603,"EBITDA","FQ3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621" s="2" t="e">
        <f ca="1">_xll.BDH($C$603,"EBITDA_AFTER_CAPEX","FQ3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621" s="2" t="e">
        <f ca="1">_xll.BDH($C$603,"IS_OPER_INC","FQ3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621" s="1" t="e">
        <f ca="1">_xll.BDH($C$603,"CASH_RATIO","FQ3 2017","FQ3 2017","Currency=INR","Period=FQ","BEST_FPERIOD_OVERRIDE=FQ","FILING_STATUS=OR","EQY_CONSOLIDATED=Y","Sort=A","Dates=H","DateFormat=P","Fill=—","Direction=H","UseDPDF=Y")</f>
        <v>#NAME?</v>
      </c>
      <c r="CT621" s="1" t="e">
        <f ca="1">_xll.BDH($C$603,"CUR_RATIO","FQ3 2017","FQ3 2017","Currency=INR","Period=FQ","BEST_FPERIOD_OVERRIDE=FQ","FILING_STATUS=OR","EQY_CONSOLIDATED=Y","Sort=A","Dates=H","DateFormat=P","Fill=—","Direction=H","UseDPDF=Y")</f>
        <v>#NAME?</v>
      </c>
      <c r="CU621" s="1" t="e">
        <f ca="1">_xll.BDH($C$603,"QUICK_RATIO","FQ3 2017","FQ3 2017","Currency=INR","Period=FQ","BEST_FPERIOD_OVERRIDE=FQ","FILING_STATUS=OR","EQY_CONSOLIDATED=Y","Sort=A","Dates=H","DateFormat=P","Fill=—","Direction=H","UseDPDF=Y")</f>
        <v>#NAME?</v>
      </c>
      <c r="CV621" s="1" t="e">
        <f ca="1">_xll.BDH($C$603,"ALTMAN_Z_SCORE","FQ3 2017","FQ3 2017","Currency=INR","Period=FQ","BEST_FPERIOD_OVERRIDE=FQ","FILING_STATUS=OR","EQY_CONSOLIDATED=Y","Sort=A","Dates=H","DateFormat=P","Fill=—","Direction=H","UseDPDF=Y")</f>
        <v>#NAME?</v>
      </c>
      <c r="CW621" s="3" t="e">
        <f ca="1">_xll.BDH($C$603,"ACCT_RCV_TURN","FQ3 2017","FQ3 2017","Currency=INR","Period=FQ","BEST_FPERIOD_OVERRIDE=FQ","FILING_STATUS=OR","EQY_CONSOLIDATED=Y","FA_ADJUSTED=GAAP","Sort=A","Dates=H","DateFormat=P","Fill=—","Direction=H","UseDPDF=Y")</f>
        <v>#NAME?</v>
      </c>
      <c r="CX621" s="1" t="e">
        <f ca="1">_xll.BDH($C$603,"ACCT_RCV_DAYS","FQ3 2017","FQ3 2017","Currency=INR","Period=FQ","BEST_FPERIOD_OVERRIDE=FQ","FILING_STATUS=OR","EQY_CONSOLIDATED=Y","FA_ADJUSTED=GAAP","Sort=A","Dates=H","DateFormat=P","Fill=—","Direction=H","UseDPDF=Y")</f>
        <v>#NAME?</v>
      </c>
      <c r="CY621" s="3" t="e">
        <f ca="1">_xll.BDH($C$603,"INVENT_TURN","FQ3 2017","FQ3 2017","Currency=INR","Period=FQ","BEST_FPERIOD_OVERRIDE=FQ","FILING_STATUS=OR","EQY_CONSOLIDATED=Y","FA_ADJUSTED=GAAP","Sort=A","Dates=H","DateFormat=P","Fill=—","Direction=H","UseDPDF=Y")</f>
        <v>#NAME?</v>
      </c>
      <c r="CZ621" s="1" t="e">
        <f ca="1">_xll.BDH($C$603,"INVENT_DAYS","FQ3 2017","FQ3 2017","Currency=INR","Period=FQ","BEST_FPERIOD_OVERRIDE=FQ","FILING_STATUS=OR","EQY_CONSOLIDATED=Y","FA_ADJUSTED=GAAP","Sort=A","Dates=H","DateFormat=P","Fill=—","Direction=H","UseDPDF=Y")</f>
        <v>#NAME?</v>
      </c>
      <c r="DA621" s="3" t="e">
        <f ca="1">_xll.BDH($C$603,"ACCOUNTS_PAYABLE_TURNOVER","FQ3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621" s="1" t="e">
        <f ca="1">_xll.BDH($C$603,"ACCOUNTS_PAYABLE_TURNOVER_DAYS","FQ3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621" s="3" t="e">
        <f ca="1">_xll.BDH($C$603,"CASH_CONVERSION_CYCLE","FQ3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621" s="3" t="e">
        <f ca="1">_xll.BDH($C$603,"INV_TO_CASH_DAYS","FQ3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621" s="4" t="e">
        <f ca="1">_xll.BDH($C$603,"BS_INVENTORIES","FQ3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621" s="2" t="e">
        <f ca="1">_xll.BDH($C$603,"INVTRY_RAW_MATERIALS","FQ3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621" s="2" t="e">
        <f ca="1">_xll.BDH($C$603,"INVTRY_IN_PROGRESS","FQ3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621" s="2" t="e">
        <f ca="1">_xll.BDH($C$603,"INVTRY_FINISHED_GOODS","FQ3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621" s="2" t="e">
        <f ca="1">_xll.BDH($C$603,"BS_OTHER_INV","FQ3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622" spans="1:113" x14ac:dyDescent="0.3">
      <c r="A622" s="6"/>
      <c r="B622" s="6"/>
      <c r="C622" s="6"/>
      <c r="D622" s="6"/>
      <c r="E622" t="s">
        <v>7</v>
      </c>
      <c r="F622" t="e">
        <f ca="1">_xll.BDH($C$603,"RETURN_COM_EQY","FQ4 2017","FQ4 2017","Currency=INR","Period=FQ","BEST_FPERIOD_OVERRIDE=FQ","FILING_STATUS=OR","EQY_CONSOLIDATED=Y","FA_ADJUSTED=GAAP","Sort=A","Dates=H","DateFormat=P","Fill=—","Direction=H","UseDPDF=Y")</f>
        <v>#NAME?</v>
      </c>
      <c r="G622" t="e">
        <f ca="1">_xll.BDH($C$603,"RETURN_ON_ASSET","FQ4 2017","FQ4 2017","Currency=INR","Period=FQ","BEST_FPERIOD_OVERRIDE=FQ","FILING_STATUS=OR","EQY_CONSOLIDATED=Y","FA_ADJUSTED=GAAP","Sort=A","Dates=H","DateFormat=P","Fill=—","Direction=H","UseDPDF=Y")</f>
        <v>#NAME?</v>
      </c>
      <c r="H622" t="e">
        <f ca="1">_xll.BDH($C$603,"RETURN_ON_CAP","FQ4 2017","FQ4 2017","Currency=INR","Period=FQ","BEST_FPERIOD_OVERRIDE=FQ","FILING_STATUS=OR","EQY_CONSOLIDATED=Y","FA_ADJUSTED=GAAP","Sort=A","Dates=H","DateFormat=P","Fill=—","Direction=H","UseDPDF=Y")</f>
        <v>#NAME?</v>
      </c>
      <c r="I622" t="e">
        <f ca="1">_xll.BDH($C$603,"RETURN_ON_INV_CAPITAL","FQ4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622" t="e">
        <f ca="1">_xll.BDH($C$603,"EBITDA_TO_REVENUE","FQ4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622" t="e">
        <f ca="1">_xll.BDH($C$603,"OPER_MARGIN","FQ4 2017","FQ4 2017","Currency=INR","Period=FQ","BEST_FPERIOD_OVERRIDE=FQ","FILING_STATUS=OR","EQY_CONSOLIDATED=Y","FA_ADJUSTED=GAAP","Sort=A","Dates=H","DateFormat=P","Fill=—","Direction=H","UseDPDF=Y")</f>
        <v>#NAME?</v>
      </c>
      <c r="L622" t="e">
        <f ca="1">_xll.BDH($C$603,"INCREMENTAL_OPERATING_MARGIN","FQ4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622" t="e">
        <f ca="1">_xll.BDH($C$603,"PRETAX_INC_TO_NET_SALES","FQ4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622" t="e">
        <f ca="1">_xll.BDH($C$603,"INC_BEF_XO_ITEMS_TO_NET_SALES","FQ4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622" t="e">
        <f ca="1">_xll.BDH($C$603,"PROF_MARGIN","FQ4 2017","FQ4 2017","Currency=INR","Period=FQ","BEST_FPERIOD_OVERRIDE=FQ","FILING_STATUS=OR","EQY_CONSOLIDATED=Y","FA_ADJUSTED=GAAP","Sort=A","Dates=H","DateFormat=P","Fill=—","Direction=H","UseDPDF=Y")</f>
        <v>#NAME?</v>
      </c>
      <c r="P622" t="e">
        <f ca="1">_xll.BDH($C$603,"NET_INCOME_TO_COMMON_MARGIN","FQ4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622" t="e">
        <f ca="1">_xll.BDH($C$603,"EFF_TAX_RATE","FQ4 2017","FQ4 2017","Currency=INR","Period=FQ","BEST_FPERIOD_OVERRIDE=FQ","FILING_STATUS=OR","EQY_CONSOLIDATED=Y","FA_ADJUSTED=GAAP","Sort=A","Dates=H","DateFormat=P","Fill=—","Direction=H","UseDPDF=Y")</f>
        <v>#NAME?</v>
      </c>
      <c r="R622" t="e">
        <f ca="1">_xll.BDH($C$603,"DVD_PAYOUT_RATIO","FQ4 2017","FQ4 2017","Currency=INR","Period=FQ","BEST_FPERIOD_OVERRIDE=FQ","FILING_STATUS=OR","EQY_CONSOLIDATED=Y","FA_ADJUSTED=GAAP","Sort=A","Dates=H","DateFormat=P","Fill=—","Direction=H","UseDPDF=Y")</f>
        <v>#NAME?</v>
      </c>
      <c r="S622" t="e">
        <f ca="1">_xll.BDH($C$603,"SUSTAIN_GROWTH_RT","FQ4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622" s="1" t="e">
        <f ca="1">_xll.BDH($C$603,"SALES_GROWTH","FQ4 2017","FQ4 2017","Currency=INR","Period=FQ","BEST_FPERIOD_OVERRIDE=FQ","FILING_STATUS=OR","EQY_CONSOLIDATED=Y","FA_ADJUSTED=GAAP","Sort=A","Dates=H","DateFormat=P","Fill=—","Direction=H","UseDPDF=Y")</f>
        <v>#NAME?</v>
      </c>
      <c r="U622" s="1" t="e">
        <f ca="1">_xll.BDH($C$603,"EBITDA_GROWTH","FQ4 2017","FQ4 2017","Currency=INR","Period=FQ","BEST_FPERIOD_OVERRIDE=FQ","FILING_STATUS=OR","EQY_CONSOLIDATED=Y","FA_ADJUSTED=GAAP","Sort=A","Dates=H","DateFormat=P","Fill=—","Direction=H","UseDPDF=Y")</f>
        <v>#NAME?</v>
      </c>
      <c r="V622" s="1" t="e">
        <f ca="1">_xll.BDH($C$603,"OPER_INC_GROWTH","FQ4 2017","FQ4 2017","Currency=INR","Period=FQ","BEST_FPERIOD_OVERRIDE=FQ","FILING_STATUS=OR","EQY_CONSOLIDATED=Y","FA_ADJUSTED=GAAP","Sort=A","Dates=H","DateFormat=P","Fill=—","Direction=H","UseDPDF=Y")</f>
        <v>#NAME?</v>
      </c>
      <c r="W622" s="1" t="e">
        <f ca="1">_xll.BDH($C$603,"EARN_FOR_COM_GROWTH","FQ4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622" s="1" t="e">
        <f ca="1">_xll.BDH($C$603,"DILUTED_EPS_AFT_XO_ITEMS_GROWTH","FQ4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622" s="1" t="e">
        <f ca="1">_xll.BDH($C$603,"DIVIDEND_PER_SHARE_1_YEAR_GROWTH","FQ4 2017","FQ4 2017","Currency=INR","Period=FQ","BEST_FPERIOD_OVERRIDE=FQ","FILING_STATUS=OR","EQY_CONSOLIDATED=Y","Sort=A","Dates=H","DateFormat=P","Fill=—","Direction=H","UseDPDF=Y")</f>
        <v>#NAME?</v>
      </c>
      <c r="Z622" s="1" t="e">
        <f ca="1">_xll.BDH($C$603,"ACCOUNTS_RECEIVABLE_GROWTH","FQ4 2017","FQ4 2017","Currency=INR","Period=FQ","BEST_FPERIOD_OVERRIDE=FQ","FILING_STATUS=OR","EQY_CONSOLIDATED=Y","Sort=A","Dates=H","DateFormat=P","Fill=—","Direction=H","UseDPDF=Y")</f>
        <v>#NAME?</v>
      </c>
      <c r="AA622" s="1" t="e">
        <f ca="1">_xll.BDH($C$603,"INVENTORY_GROWTH","FQ4 2017","FQ4 2017","Currency=INR","Period=FQ","BEST_FPERIOD_OVERRIDE=FQ","FILING_STATUS=OR","EQY_CONSOLIDATED=Y","Sort=A","Dates=H","DateFormat=P","Fill=—","Direction=H","UseDPDF=Y")</f>
        <v>#NAME?</v>
      </c>
      <c r="AB622" s="1" t="e">
        <f ca="1">_xll.BDH($C$603,"NET_FIXED_ASSETS_1_YEAR_GROWTH","FQ4 2017","FQ4 2017","Currency=INR","Period=FQ","BEST_FPERIOD_OVERRIDE=FQ","FILING_STATUS=OR","EQY_CONSOLIDATED=Y","Sort=A","Dates=H","DateFormat=P","Fill=—","Direction=H","UseDPDF=Y")</f>
        <v>#NAME?</v>
      </c>
      <c r="AC622" s="1" t="e">
        <f ca="1">_xll.BDH($C$603,"ASSET_GROWTH","FQ4 2017","FQ4 2017","Currency=INR","Period=FQ","BEST_FPERIOD_OVERRIDE=FQ","FILING_STATUS=OR","EQY_CONSOLIDATED=Y","Sort=A","Dates=H","DateFormat=P","Fill=—","Direction=H","UseDPDF=Y")</f>
        <v>#NAME?</v>
      </c>
      <c r="AD622" s="1" t="e">
        <f ca="1">_xll.BDH($C$603,"MODIFIED_WORK_CAP_GROWTH","FQ4 2017","FQ4 2017","Currency=INR","Period=FQ","BEST_FPERIOD_OVERRIDE=FQ","FILING_STATUS=OR","EQY_CONSOLIDATED=Y","Sort=A","Dates=H","DateFormat=P","Fill=—","Direction=H","UseDPDF=Y")</f>
        <v>#NAME?</v>
      </c>
      <c r="AE622" s="1" t="e">
        <f ca="1">_xll.BDH($C$603,"WORK_CAP_GROWTH","FQ4 2017","FQ4 2017","Currency=INR","Period=FQ","BEST_FPERIOD_OVERRIDE=FQ","FILING_STATUS=OR","EQY_CONSOLIDATED=Y","Sort=A","Dates=H","DateFormat=P","Fill=—","Direction=H","UseDPDF=Y")</f>
        <v>#NAME?</v>
      </c>
      <c r="AF622" s="1" t="e">
        <f ca="1">_xll.BDH($C$603,"ACCOUNTS_PAYABLE_GROWTH_1YR","FQ4 2017","FQ4 2017","Currency=INR","Period=FQ","BEST_FPERIOD_OVERRIDE=FQ","FILING_STATUS=OR","EQY_CONSOLIDATED=Y","Sort=A","Dates=H","DateFormat=P","Fill=—","Direction=H","UseDPDF=Y")</f>
        <v>#NAME?</v>
      </c>
      <c r="AG622" s="1" t="e">
        <f ca="1">_xll.BDH($C$603,"SHORT_TERM_DEBT_1_YEAR_GROWTH","FQ4 2017","FQ4 2017","Currency=INR","Period=FQ","BEST_FPERIOD_OVERRIDE=FQ","FILING_STATUS=OR","EQY_CONSOLIDATED=Y","Sort=A","Dates=H","DateFormat=P","Fill=—","Direction=H","UseDPDF=Y")</f>
        <v>#NAME?</v>
      </c>
      <c r="AH622" s="1" t="e">
        <f ca="1">_xll.BDH($C$603,"TOTAL_DEBT_1_YEAR_GROWTH","FQ4 2017","FQ4 2017","Currency=INR","Period=FQ","BEST_FPERIOD_OVERRIDE=FQ","FILING_STATUS=OR","EQY_CONSOLIDATED=Y","Sort=A","Dates=H","DateFormat=P","Fill=—","Direction=H","UseDPDF=Y")</f>
        <v>#NAME?</v>
      </c>
      <c r="AI622" s="1" t="e">
        <f ca="1">_xll.BDH($C$603,"TOTAL_EQUITY_1_YEAR_GROWTH","FQ4 2017","FQ4 2017","Currency=INR","Period=FQ","BEST_FPERIOD_OVERRIDE=FQ","FILING_STATUS=OR","EQY_CONSOLIDATED=Y","Sort=A","Dates=H","DateFormat=P","Fill=—","Direction=H","UseDPDF=Y")</f>
        <v>#NAME?</v>
      </c>
      <c r="AJ622" s="1" t="e">
        <f ca="1">_xll.BDH($C$603,"GROWTH_IN_CAP","FQ4 2017","FQ4 2017","Currency=INR","Period=FQ","BEST_FPERIOD_OVERRIDE=FQ","FILING_STATUS=OR","EQY_CONSOLIDATED=Y","Sort=A","Dates=H","DateFormat=P","Fill=—","Direction=H","UseDPDF=Y")</f>
        <v>#NAME?</v>
      </c>
      <c r="AK622" s="1" t="e">
        <f ca="1">_xll.BDH($C$603,"BVPS_GROWTH","FQ4 2017","FQ4 2017","Currency=INR","Period=FQ","BEST_FPERIOD_OVERRIDE=FQ","FILING_STATUS=OR","EQY_CONSOLIDATED=Y","Sort=A","Dates=H","DateFormat=P","Fill=—","Direction=H","UseDPDF=Y")</f>
        <v>#NAME?</v>
      </c>
      <c r="AL622" s="1" t="e">
        <f ca="1">_xll.BDH($C$603,"CASH_FLOW_GROWTH","FQ4 2017","FQ4 2017","Currency=INR","Period=FQ","BEST_FPERIOD_OVERRIDE=FQ","FILING_STATUS=OR","EQY_CONSOLIDATED=Y","Sort=A","Dates=H","DateFormat=P","Fill=—","Direction=H","UseDPDF=Y")</f>
        <v>#NAME?</v>
      </c>
      <c r="AM622" s="1" t="e">
        <f ca="1">_xll.BDH($C$603,"GEO_GROW_NET_SALES","FQ4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622" s="1" t="e">
        <f ca="1">_xll.BDH($C$603,"GEO_GROW_EBITDA","FQ4 2017","FQ4 2017","Currency=INR","Period=FQ","BEST_FPERIOD_OVERRIDE=FQ","FILING_STATUS=OR","EQY_CONSOLIDATED=Y","FA_ADJUSTED=GAAP","Sort=A","Dates=H","DateFormat=P","Fill=—","Direction=H","UseDPDF=Y")</f>
        <v>#NAME?</v>
      </c>
      <c r="AO622" s="1" t="e">
        <f ca="1">_xll.BDH($C$603,"GEO_GROW_OPER_INC","FQ4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622" s="1" t="e">
        <f ca="1">_xll.BDH($C$603,"NET_INCOME_TO_COMMON_5_YR_GROWTH","FQ4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622" s="1" t="e">
        <f ca="1">_xll.BDH($C$603,"5Y_GEO_GROWTH_DILUTED_EPS","FQ4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622" s="1" t="e">
        <f ca="1">_xll.BDH($C$603,"GEO_GROW_DVD_PER_SH","FQ4 2017","FQ4 2017","Currency=INR","Period=FQ","BEST_FPERIOD_OVERRIDE=FQ","FILING_STATUS=OR","EQY_CONSOLIDATED=Y","Sort=A","Dates=H","DateFormat=P","Fill=—","Direction=H","UseDPDF=Y")</f>
        <v>#NAME?</v>
      </c>
      <c r="AS622" s="1" t="e">
        <f ca="1">_xll.BDH($C$603,"ACCOUNTS_RECEIVABLE_5_YR_GROWTH","FQ4 2017","FQ4 2017","Currency=INR","Period=FQ","BEST_FPERIOD_OVERRIDE=FQ","FILING_STATUS=OR","EQY_CONSOLIDATED=Y","Sort=A","Dates=H","DateFormat=P","Fill=—","Direction=H","UseDPDF=Y")</f>
        <v>#NAME?</v>
      </c>
      <c r="AT622" s="1" t="e">
        <f ca="1">_xll.BDH($C$603,"INVENTORY_5_YEAR_GROWTH","FQ4 2017","FQ4 2017","Currency=INR","Period=FQ","BEST_FPERIOD_OVERRIDE=FQ","FILING_STATUS=OR","EQY_CONSOLIDATED=Y","Sort=A","Dates=H","DateFormat=P","Fill=—","Direction=H","UseDPDF=Y")</f>
        <v>#NAME?</v>
      </c>
      <c r="AU622" s="1" t="e">
        <f ca="1">_xll.BDH($C$603,"NET_FIXED_ASSETS_5_YEAR_GROWTH","FQ4 2017","FQ4 2017","Currency=INR","Period=FQ","BEST_FPERIOD_OVERRIDE=FQ","FILING_STATUS=OR","EQY_CONSOLIDATED=Y","Sort=A","Dates=H","DateFormat=P","Fill=—","Direction=H","UseDPDF=Y")</f>
        <v>#NAME?</v>
      </c>
      <c r="AV622" s="1" t="e">
        <f ca="1">_xll.BDH($C$603,"GEO_GROW_TOT_ASSET","FQ4 2017","FQ4 2017","Currency=INR","Period=FQ","BEST_FPERIOD_OVERRIDE=FQ","FILING_STATUS=OR","EQY_CONSOLIDATED=Y","Sort=A","Dates=H","DateFormat=P","Fill=—","Direction=H","UseDPDF=Y")</f>
        <v>#NAME?</v>
      </c>
      <c r="AW622" s="1" t="e">
        <f ca="1">_xll.BDH($C$603,"MODIFIED_WORKING_CPTL_5YR_GRWTH","FQ4 2017","FQ4 2017","Currency=INR","Period=FQ","BEST_FPERIOD_OVERRIDE=FQ","FILING_STATUS=OR","EQY_CONSOLIDATED=Y","Sort=A","Dates=H","DateFormat=P","Fill=—","Direction=H","UseDPDF=Y")</f>
        <v>#NAME?</v>
      </c>
      <c r="AX622" s="1" t="e">
        <f ca="1">_xll.BDH($C$603,"WORKING_CAPITAL_5_YEAR_GROWTH","FQ4 2017","FQ4 2017","Currency=INR","Period=FQ","BEST_FPERIOD_OVERRIDE=FQ","FILING_STATUS=OR","EQY_CONSOLIDATED=Y","Sort=A","Dates=H","DateFormat=P","Fill=—","Direction=H","UseDPDF=Y")</f>
        <v>#NAME?</v>
      </c>
      <c r="AY622" s="1" t="e">
        <f ca="1">_xll.BDH($C$603,"ACCOUNTS_PAYABLE_5_YEAR_GROWTH","FQ4 2017","FQ4 2017","Currency=INR","Period=FQ","BEST_FPERIOD_OVERRIDE=FQ","FILING_STATUS=OR","EQY_CONSOLIDATED=Y","Sort=A","Dates=H","DateFormat=P","Fill=—","Direction=H","UseDPDF=Y")</f>
        <v>#NAME?</v>
      </c>
      <c r="AZ622" s="1" t="e">
        <f ca="1">_xll.BDH($C$603,"SHORT_TERM_DEBT_5_YEAR_GROWTH","FQ4 2017","FQ4 2017","Currency=INR","Period=FQ","BEST_FPERIOD_OVERRIDE=FQ","FILING_STATUS=OR","EQY_CONSOLIDATED=Y","Sort=A","Dates=H","DateFormat=P","Fill=—","Direction=H","UseDPDF=Y")</f>
        <v>#NAME?</v>
      </c>
      <c r="BA622" s="1" t="e">
        <f ca="1">_xll.BDH($C$603,"TOTAL_DEBT_5_YEAR_GROWTH","FQ4 2017","FQ4 2017","Currency=INR","Period=FQ","BEST_FPERIOD_OVERRIDE=FQ","FILING_STATUS=OR","EQY_CONSOLIDATED=Y","Sort=A","Dates=H","DateFormat=P","Fill=—","Direction=H","UseDPDF=Y")</f>
        <v>#NAME?</v>
      </c>
      <c r="BB622" s="1" t="e">
        <f ca="1">_xll.BDH($C$603,"GEO_GROW_TOT_SHRHLDR_EQY","FQ4 2017","FQ4 2017","Currency=INR","Period=FQ","BEST_FPERIOD_OVERRIDE=FQ","FILING_STATUS=OR","EQY_CONSOLIDATED=Y","Sort=A","Dates=H","DateFormat=P","Fill=—","Direction=H","UseDPDF=Y")</f>
        <v>#NAME?</v>
      </c>
      <c r="BC622" s="1" t="e">
        <f ca="1">_xll.BDH($C$603,"TOTAL_CAPITAL_5_YEAR_GROWTH","FQ4 2017","FQ4 2017","Currency=INR","Period=FQ","BEST_FPERIOD_OVERRIDE=FQ","FILING_STATUS=OR","EQY_CONSOLIDATED=Y","Sort=A","Dates=H","DateFormat=P","Fill=—","Direction=H","UseDPDF=Y")</f>
        <v>#NAME?</v>
      </c>
      <c r="BD622" s="1" t="e">
        <f ca="1">_xll.BDH($C$603,"GEO_GROW_BOOK_VAL","FQ4 2017","FQ4 2017","Currency=INR","Period=FQ","BEST_FPERIOD_OVERRIDE=FQ","FILING_STATUS=OR","EQY_CONSOLIDATED=Y","Sort=A","Dates=H","DateFormat=P","Fill=—","Direction=H","UseDPDF=Y")</f>
        <v>#NAME?</v>
      </c>
      <c r="BE622" s="1" t="e">
        <f ca="1">_xll.BDH($C$603,"GEO_GROW_CASH_OPER_ACT","FQ4 2017","FQ4 2017","Currency=INR","Period=FQ","BEST_FPERIOD_OVERRIDE=FQ","FILING_STATUS=OR","EQY_CONSOLIDATED=Y","Sort=A","Dates=H","DateFormat=P","Fill=—","Direction=H","UseDPDF=Y")</f>
        <v>#NAME?</v>
      </c>
      <c r="BF622" s="1" t="e">
        <f ca="1">_xll.BDH($C$603,"REVENUE_SEQUENTIAL_GROWTH","FQ4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622" s="1" t="e">
        <f ca="1">_xll.BDH($C$603,"EBITDA_SEQUENTIAL_GROWTH","FQ4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622" s="1" t="e">
        <f ca="1">_xll.BDH($C$603,"OPERATING_INCOME_SEQ_GROWTH","FQ4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622" s="1" t="e">
        <f ca="1">_xll.BDH($C$603,"NET_INCOME_TO_COMMON_SEQ_GROWTH","FQ4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622" s="1" t="e">
        <f ca="1">_xll.BDH($C$603,"EPS_DILUTED_SEQUENTIAL_GROWTH","FQ4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622" s="1" t="e">
        <f ca="1">_xll.BDH($C$603,"DPS_SEQUENTIAL_GROWTH","FQ4 2017","FQ4 2017","Currency=INR","Period=FQ","BEST_FPERIOD_OVERRIDE=FQ","FILING_STATUS=OR","EQY_CONSOLIDATED=Y","Sort=A","Dates=H","DateFormat=P","Fill=—","Direction=H","UseDPDF=Y")</f>
        <v>#NAME?</v>
      </c>
      <c r="BL622" s="1" t="e">
        <f ca="1">_xll.BDH($C$603,"ACCOUNTS_RECEIVABLE_SEQ_GROWTH","FQ4 2017","FQ4 2017","Currency=INR","Period=FQ","BEST_FPERIOD_OVERRIDE=FQ","FILING_STATUS=OR","EQY_CONSOLIDATED=Y","Sort=A","Dates=H","DateFormat=P","Fill=—","Direction=H","UseDPDF=Y")</f>
        <v>#NAME?</v>
      </c>
      <c r="BM622" s="1" t="e">
        <f ca="1">_xll.BDH($C$603,"INVENTORY_SEQUENTIAL_GROWTH","FQ4 2017","FQ4 2017","Currency=INR","Period=FQ","BEST_FPERIOD_OVERRIDE=FQ","FILING_STATUS=OR","EQY_CONSOLIDATED=Y","Sort=A","Dates=H","DateFormat=P","Fill=—","Direction=H","UseDPDF=Y")</f>
        <v>#NAME?</v>
      </c>
      <c r="BN622" s="1" t="e">
        <f ca="1">_xll.BDH($C$603,"FIXED_ASSETS_SEQUENTIAL_GROWTH","FQ4 2017","FQ4 2017","Currency=INR","Period=FQ","BEST_FPERIOD_OVERRIDE=FQ","FILING_STATUS=OR","EQY_CONSOLIDATED=Y","Sort=A","Dates=H","DateFormat=P","Fill=—","Direction=H","UseDPDF=Y")</f>
        <v>#NAME?</v>
      </c>
      <c r="BO622" s="1" t="e">
        <f ca="1">_xll.BDH($C$603,"TOTAL_ASSETS_SEQUENTIAL_GROWTH","FQ4 2017","FQ4 2017","Currency=INR","Period=FQ","BEST_FPERIOD_OVERRIDE=FQ","FILING_STATUS=OR","EQY_CONSOLIDATED=Y","Sort=A","Dates=H","DateFormat=P","Fill=—","Direction=H","UseDPDF=Y")</f>
        <v>#NAME?</v>
      </c>
      <c r="BP622" s="1" t="e">
        <f ca="1">_xll.BDH($C$603,"MODIFIED_WORKING_CPTL_SEQ_GRWTH","FQ4 2017","FQ4 2017","Currency=INR","Period=FQ","BEST_FPERIOD_OVERRIDE=FQ","FILING_STATUS=OR","EQY_CONSOLIDATED=Y","Sort=A","Dates=H","DateFormat=P","Fill=—","Direction=H","UseDPDF=Y")</f>
        <v>#NAME?</v>
      </c>
      <c r="BQ622" s="1" t="e">
        <f ca="1">_xll.BDH($C$603,"WORKING_CAPITAL_SEQ_GROWTH","FQ4 2017","FQ4 2017","Currency=INR","Period=FQ","BEST_FPERIOD_OVERRIDE=FQ","FILING_STATUS=OR","EQY_CONSOLIDATED=Y","Sort=A","Dates=H","DateFormat=P","Fill=—","Direction=H","UseDPDF=Y")</f>
        <v>#NAME?</v>
      </c>
      <c r="BR622" s="1" t="e">
        <f ca="1">_xll.BDH($C$603,"ACCOUNTS_PAYABLE_SEQ_GROWTH","FQ4 2017","FQ4 2017","Currency=INR","Period=FQ","BEST_FPERIOD_OVERRIDE=FQ","FILING_STATUS=OR","EQY_CONSOLIDATED=Y","Sort=A","Dates=H","DateFormat=P","Fill=—","Direction=H","UseDPDF=Y")</f>
        <v>#NAME?</v>
      </c>
      <c r="BS622" s="1" t="e">
        <f ca="1">_xll.BDH($C$603,"ST_DEBT_SEQUENTIAL_GROWTH","FQ4 2017","FQ4 2017","Currency=INR","Period=FQ","BEST_FPERIOD_OVERRIDE=FQ","FILING_STATUS=OR","EQY_CONSOLIDATED=Y","Sort=A","Dates=H","DateFormat=P","Fill=—","Direction=H","UseDPDF=Y")</f>
        <v>#NAME?</v>
      </c>
      <c r="BT622" s="1" t="e">
        <f ca="1">_xll.BDH($C$603,"TOTAL_DEBT_SEQUENTIAL_GROWTH","FQ4 2017","FQ4 2017","Currency=INR","Period=FQ","BEST_FPERIOD_OVERRIDE=FQ","FILING_STATUS=OR","EQY_CONSOLIDATED=Y","Sort=A","Dates=H","DateFormat=P","Fill=—","Direction=H","UseDPDF=Y")</f>
        <v>#NAME?</v>
      </c>
      <c r="BU622" s="1" t="e">
        <f ca="1">_xll.BDH($C$603,"TOTAL_EQUITY_SEQUENTIAL_GROWTH","FQ4 2017","FQ4 2017","Currency=INR","Period=FQ","BEST_FPERIOD_OVERRIDE=FQ","FILING_STATUS=OR","EQY_CONSOLIDATED=Y","Sort=A","Dates=H","DateFormat=P","Fill=—","Direction=H","UseDPDF=Y")</f>
        <v>#NAME?</v>
      </c>
      <c r="BV622" s="1" t="e">
        <f ca="1">_xll.BDH($C$603,"TOTAL_CAPITAL_SEQUENTIAL_GROWTH","FQ4 2017","FQ4 2017","Currency=INR","Period=FQ","BEST_FPERIOD_OVERRIDE=FQ","FILING_STATUS=OR","EQY_CONSOLIDATED=Y","Sort=A","Dates=H","DateFormat=P","Fill=—","Direction=H","UseDPDF=Y")</f>
        <v>#NAME?</v>
      </c>
      <c r="BW622" s="1" t="e">
        <f ca="1">_xll.BDH($C$603,"BPS_SEQUENTIAL_GROWTH","FQ4 2017","FQ4 2017","Currency=INR","Period=FQ","BEST_FPERIOD_OVERRIDE=FQ","FILING_STATUS=OR","EQY_CONSOLIDATED=Y","Sort=A","Dates=H","DateFormat=P","Fill=—","Direction=H","UseDPDF=Y")</f>
        <v>#NAME?</v>
      </c>
      <c r="BX622" s="1" t="e">
        <f ca="1">_xll.BDH($C$603,"CFO_SEQUENTIAL_GROWTH","FQ4 2017","FQ4 2017","Currency=INR","Period=FQ","BEST_FPERIOD_OVERRIDE=FQ","FILING_STATUS=OR","EQY_CONSOLIDATED=Y","Sort=A","Dates=H","DateFormat=P","Fill=—","Direction=H","UseDPDF=Y")</f>
        <v>#NAME?</v>
      </c>
      <c r="BY622" s="2" t="e">
        <f ca="1">_xll.BDH($C$603,"SHORT_AND_LONG_TERM_DEBT","FQ4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622" s="2" t="e">
        <f ca="1">_xll.BDH($C$603,"BS_ST_BORROW","FQ4 2017","FQ4 2017","Currency=INR","Period=FQ","BEST_FPERIOD_OVERRIDE=FQ","FILING_STATUS=OR","EQY_CONSOLIDATED=Y","SCALING_FORMAT=MLN","Sort=A","Dates=H","DateFormat=P","Fill=—","Direction=H","UseDPDF=Y")</f>
        <v>#NAME?</v>
      </c>
      <c r="CA622" s="2" t="e">
        <f ca="1">_xll.BDH($C$603,"BS_LT_BORROW","FQ4 2017","FQ4 2017","Currency=INR","Period=FQ","BEST_FPERIOD_OVERRIDE=FQ","FILING_STATUS=OR","EQY_CONSOLIDATED=Y","SCALING_FORMAT=MLN","Sort=A","Dates=H","DateFormat=P","Fill=—","Direction=H","UseDPDF=Y")</f>
        <v>#NAME?</v>
      </c>
      <c r="CB622" s="1" t="e">
        <f ca="1">_xll.BDH($C$603,"TOT_DEBT_TO_EBITDA","FQ4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622" s="1" t="e">
        <f ca="1">_xll.BDH($C$603,"NET_DEBT_TO_EBITDA","FQ4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622" s="1" t="e">
        <f ca="1">_xll.BDH($C$603,"TOTAL_DEBT_TO_EBIT","FQ4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622" s="1" t="e">
        <f ca="1">_xll.BDH($C$603,"NET_DEBT_TO_EBIT","FQ4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622" s="1" t="e">
        <f ca="1">_xll.BDH($C$603,"EBITDA_TO_INTEREST_EXPN","FQ4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622" s="1" t="e">
        <f ca="1">_xll.BDH($C$603,"COM_EQY_TO_TOT_ASSET","FQ4 2017","FQ4 2017","Currency=INR","Period=FQ","BEST_FPERIOD_OVERRIDE=FQ","FILING_STATUS=OR","EQY_CONSOLIDATED=Y","Sort=A","Dates=H","DateFormat=P","Fill=—","Direction=H","UseDPDF=Y")</f>
        <v>#NAME?</v>
      </c>
      <c r="CH622" s="1" t="e">
        <f ca="1">_xll.BDH($C$603,"LT_DEBT_TO_TOT_EQY","FQ4 2017","FQ4 2017","Currency=INR","Period=FQ","BEST_FPERIOD_OVERRIDE=FQ","FILING_STATUS=OR","EQY_CONSOLIDATED=Y","Sort=A","Dates=H","DateFormat=P","Fill=—","Direction=H","UseDPDF=Y")</f>
        <v>#NAME?</v>
      </c>
      <c r="CI622" s="1" t="e">
        <f ca="1">_xll.BDH($C$603,"LT_DEBT_TO_TOT_CAP","FQ4 2017","FQ4 2017","Currency=INR","Period=FQ","BEST_FPERIOD_OVERRIDE=FQ","FILING_STATUS=OR","EQY_CONSOLIDATED=Y","Sort=A","Dates=H","DateFormat=P","Fill=—","Direction=H","UseDPDF=Y")</f>
        <v>#NAME?</v>
      </c>
      <c r="CJ622" s="1" t="e">
        <f ca="1">_xll.BDH($C$603,"LT_DEBT_TO_TOT_ASSET","FQ4 2017","FQ4 2017","Currency=INR","Period=FQ","BEST_FPERIOD_OVERRIDE=FQ","FILING_STATUS=OR","EQY_CONSOLIDATED=Y","Sort=A","Dates=H","DateFormat=P","Fill=—","Direction=H","UseDPDF=Y")</f>
        <v>#NAME?</v>
      </c>
      <c r="CK622" s="1" t="e">
        <f ca="1">_xll.BDH($C$603,"TOT_DEBT_TO_TOT_EQY","FQ4 2017","FQ4 2017","Currency=INR","Period=FQ","BEST_FPERIOD_OVERRIDE=FQ","FILING_STATUS=OR","EQY_CONSOLIDATED=Y","Sort=A","Dates=H","DateFormat=P","Fill=—","Direction=H","UseDPDF=Y")</f>
        <v>#NAME?</v>
      </c>
      <c r="CL622" s="1" t="e">
        <f ca="1">_xll.BDH($C$603,"TOT_DEBT_TO_TOT_CAP","FQ4 2017","FQ4 2017","Currency=INR","Period=FQ","BEST_FPERIOD_OVERRIDE=FQ","FILING_STATUS=OR","EQY_CONSOLIDATED=Y","Sort=A","Dates=H","DateFormat=P","Fill=—","Direction=H","UseDPDF=Y")</f>
        <v>#NAME?</v>
      </c>
      <c r="CM622" s="1" t="e">
        <f ca="1">_xll.BDH($C$603,"TOT_DEBT_TO_TOT_ASSET","FQ4 2017","FQ4 2017","Currency=INR","Period=FQ","BEST_FPERIOD_OVERRIDE=FQ","FILING_STATUS=OR","EQY_CONSOLIDATED=Y","Sort=A","Dates=H","DateFormat=P","Fill=—","Direction=H","UseDPDF=Y")</f>
        <v>#NAME?</v>
      </c>
      <c r="CN622" s="1" t="e">
        <f ca="1">_xll.BDH($C$603,"NET_DEBT_TO_SHRHLDR_EQTY","FQ4 2017","FQ4 2017","Currency=INR","Period=FQ","BEST_FPERIOD_OVERRIDE=FQ","FILING_STATUS=OR","EQY_CONSOLIDATED=Y","Sort=A","Dates=H","DateFormat=P","Fill=—","Direction=H","UseDPDF=Y")</f>
        <v>#NAME?</v>
      </c>
      <c r="CO622" s="1" t="e">
        <f ca="1">_xll.BDH($C$603,"NET_DEBT_%_CAPITAL","FQ4 2017","FQ4 2017","Currency=INR","Period=FQ","BEST_FPERIOD_OVERRIDE=FQ","FILING_STATUS=OR","EQY_CONSOLIDATED=Y","Sort=A","Dates=H","DateFormat=P","Fill=—","Direction=H","UseDPDF=Y")</f>
        <v>#NAME?</v>
      </c>
      <c r="CP622" s="2" t="e">
        <f ca="1">_xll.BDH($C$603,"EBITDA","FQ4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622" s="2" t="e">
        <f ca="1">_xll.BDH($C$603,"EBITDA_AFTER_CAPEX","FQ4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622" s="2" t="e">
        <f ca="1">_xll.BDH($C$603,"IS_OPER_INC","FQ4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622" s="1" t="e">
        <f ca="1">_xll.BDH($C$603,"CASH_RATIO","FQ4 2017","FQ4 2017","Currency=INR","Period=FQ","BEST_FPERIOD_OVERRIDE=FQ","FILING_STATUS=OR","EQY_CONSOLIDATED=Y","Sort=A","Dates=H","DateFormat=P","Fill=—","Direction=H","UseDPDF=Y")</f>
        <v>#NAME?</v>
      </c>
      <c r="CT622" s="1" t="e">
        <f ca="1">_xll.BDH($C$603,"CUR_RATIO","FQ4 2017","FQ4 2017","Currency=INR","Period=FQ","BEST_FPERIOD_OVERRIDE=FQ","FILING_STATUS=OR","EQY_CONSOLIDATED=Y","Sort=A","Dates=H","DateFormat=P","Fill=—","Direction=H","UseDPDF=Y")</f>
        <v>#NAME?</v>
      </c>
      <c r="CU622" s="1" t="e">
        <f ca="1">_xll.BDH($C$603,"QUICK_RATIO","FQ4 2017","FQ4 2017","Currency=INR","Period=FQ","BEST_FPERIOD_OVERRIDE=FQ","FILING_STATUS=OR","EQY_CONSOLIDATED=Y","Sort=A","Dates=H","DateFormat=P","Fill=—","Direction=H","UseDPDF=Y")</f>
        <v>#NAME?</v>
      </c>
      <c r="CV622" s="1" t="e">
        <f ca="1">_xll.BDH($C$603,"ALTMAN_Z_SCORE","FQ4 2017","FQ4 2017","Currency=INR","Period=FQ","BEST_FPERIOD_OVERRIDE=FQ","FILING_STATUS=OR","EQY_CONSOLIDATED=Y","Sort=A","Dates=H","DateFormat=P","Fill=—","Direction=H","UseDPDF=Y")</f>
        <v>#NAME?</v>
      </c>
      <c r="CW622" s="3" t="e">
        <f ca="1">_xll.BDH($C$603,"ACCT_RCV_TURN","FQ4 2017","FQ4 2017","Currency=INR","Period=FQ","BEST_FPERIOD_OVERRIDE=FQ","FILING_STATUS=OR","EQY_CONSOLIDATED=Y","FA_ADJUSTED=GAAP","Sort=A","Dates=H","DateFormat=P","Fill=—","Direction=H","UseDPDF=Y")</f>
        <v>#NAME?</v>
      </c>
      <c r="CX622" s="1" t="e">
        <f ca="1">_xll.BDH($C$603,"ACCT_RCV_DAYS","FQ4 2017","FQ4 2017","Currency=INR","Period=FQ","BEST_FPERIOD_OVERRIDE=FQ","FILING_STATUS=OR","EQY_CONSOLIDATED=Y","FA_ADJUSTED=GAAP","Sort=A","Dates=H","DateFormat=P","Fill=—","Direction=H","UseDPDF=Y")</f>
        <v>#NAME?</v>
      </c>
      <c r="CY622" s="3" t="e">
        <f ca="1">_xll.BDH($C$603,"INVENT_TURN","FQ4 2017","FQ4 2017","Currency=INR","Period=FQ","BEST_FPERIOD_OVERRIDE=FQ","FILING_STATUS=OR","EQY_CONSOLIDATED=Y","FA_ADJUSTED=GAAP","Sort=A","Dates=H","DateFormat=P","Fill=—","Direction=H","UseDPDF=Y")</f>
        <v>#NAME?</v>
      </c>
      <c r="CZ622" s="1" t="e">
        <f ca="1">_xll.BDH($C$603,"INVENT_DAYS","FQ4 2017","FQ4 2017","Currency=INR","Period=FQ","BEST_FPERIOD_OVERRIDE=FQ","FILING_STATUS=OR","EQY_CONSOLIDATED=Y","FA_ADJUSTED=GAAP","Sort=A","Dates=H","DateFormat=P","Fill=—","Direction=H","UseDPDF=Y")</f>
        <v>#NAME?</v>
      </c>
      <c r="DA622" s="3" t="e">
        <f ca="1">_xll.BDH($C$603,"ACCOUNTS_PAYABLE_TURNOVER","FQ4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622" s="1" t="e">
        <f ca="1">_xll.BDH($C$603,"ACCOUNTS_PAYABLE_TURNOVER_DAYS","FQ4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622" s="3" t="e">
        <f ca="1">_xll.BDH($C$603,"CASH_CONVERSION_CYCLE","FQ4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622" s="3" t="e">
        <f ca="1">_xll.BDH($C$603,"INV_TO_CASH_DAYS","FQ4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622" s="4" t="e">
        <f ca="1">_xll.BDH($C$603,"BS_INVENTORIES","FQ4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622" s="2" t="e">
        <f ca="1">_xll.BDH($C$603,"INVTRY_RAW_MATERIALS","FQ4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622" s="2" t="e">
        <f ca="1">_xll.BDH($C$603,"INVTRY_IN_PROGRESS","FQ4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622" s="2" t="e">
        <f ca="1">_xll.BDH($C$603,"INVTRY_FINISHED_GOODS","FQ4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622" s="2" t="e">
        <f ca="1">_xll.BDH($C$603,"BS_OTHER_INV","FQ4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623" spans="1:113" x14ac:dyDescent="0.3">
      <c r="A623" s="6"/>
      <c r="B623" s="6"/>
      <c r="C623" s="6"/>
      <c r="D623" s="6" t="s">
        <v>11</v>
      </c>
      <c r="E623" t="s">
        <v>3</v>
      </c>
      <c r="F623" t="e">
        <f ca="1">_xll.BDH($C$603,"RETURN_COM_EQY","FY 2018","FY 2018","Currency=INR","Period=FY","BEST_FPERIOD_OVERRIDE=FY","FILING_STATUS=OR","EQY_CONSOLIDATED=Y","FA_ADJUSTED=GAAP","Sort=A","Dates=H","DateFormat=P","Fill=—","Direction=H","UseDPDF=Y")</f>
        <v>#NAME?</v>
      </c>
      <c r="G623" t="e">
        <f ca="1">_xll.BDH($C$603,"RETURN_ON_ASSET","FY 2018","FY 2018","Currency=INR","Period=FY","BEST_FPERIOD_OVERRIDE=FY","FILING_STATUS=OR","EQY_CONSOLIDATED=Y","FA_ADJUSTED=GAAP","Sort=A","Dates=H","DateFormat=P","Fill=—","Direction=H","UseDPDF=Y")</f>
        <v>#NAME?</v>
      </c>
      <c r="H623" t="e">
        <f ca="1">_xll.BDH($C$603,"RETURN_ON_CAP","FY 2018","FY 2018","Currency=INR","Period=FY","BEST_FPERIOD_OVERRIDE=FY","FILING_STATUS=OR","EQY_CONSOLIDATED=Y","FA_ADJUSTED=GAAP","Sort=A","Dates=H","DateFormat=P","Fill=—","Direction=H","UseDPDF=Y")</f>
        <v>#NAME?</v>
      </c>
      <c r="I623" t="e">
        <f ca="1">_xll.BDH($C$603,"RETURN_ON_INV_CAPITAL","FY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623" t="e">
        <f ca="1">_xll.BDH($C$603,"EBITDA_TO_REVENUE","FY 2018","FY 2018","Currency=INR","Period=FY","BEST_FPERIOD_OVERRIDE=FY","FILING_STATUS=OR","EQY_CONSOLIDATED=Y","FA_ADJUSTED=GAAP","Sort=A","Dates=H","DateFormat=P","Fill=—","Direction=H","UseDPDF=Y")</f>
        <v>#NAME?</v>
      </c>
      <c r="K623" t="e">
        <f ca="1">_xll.BDH($C$603,"OPER_MARGIN","FY 2018","FY 2018","Currency=INR","Period=FY","BEST_FPERIOD_OVERRIDE=FY","FILING_STATUS=OR","EQY_CONSOLIDATED=Y","FA_ADJUSTED=GAAP","Sort=A","Dates=H","DateFormat=P","Fill=—","Direction=H","UseDPDF=Y")</f>
        <v>#NAME?</v>
      </c>
      <c r="L623" t="e">
        <f ca="1">_xll.BDH($C$603,"INCREMENTAL_OPERATING_MARGIN","FY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623" t="e">
        <f ca="1">_xll.BDH($C$603,"PRETAX_INC_TO_NET_SALES","FY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623" t="e">
        <f ca="1">_xll.BDH($C$603,"INC_BEF_XO_ITEMS_TO_NET_SALES","FY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623" t="e">
        <f ca="1">_xll.BDH($C$603,"PROF_MARGIN","FY 2018","FY 2018","Currency=INR","Period=FY","BEST_FPERIOD_OVERRIDE=FY","FILING_STATUS=OR","EQY_CONSOLIDATED=Y","FA_ADJUSTED=GAAP","Sort=A","Dates=H","DateFormat=P","Fill=—","Direction=H","UseDPDF=Y")</f>
        <v>#NAME?</v>
      </c>
      <c r="P623" t="e">
        <f ca="1">_xll.BDH($C$603,"NET_INCOME_TO_COMMON_MARGIN","FY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623" t="e">
        <f ca="1">_xll.BDH($C$603,"EFF_TAX_RATE","FY 2018","FY 2018","Currency=INR","Period=FY","BEST_FPERIOD_OVERRIDE=FY","FILING_STATUS=OR","EQY_CONSOLIDATED=Y","FA_ADJUSTED=GAAP","Sort=A","Dates=H","DateFormat=P","Fill=—","Direction=H","UseDPDF=Y")</f>
        <v>#NAME?</v>
      </c>
      <c r="R623" t="e">
        <f ca="1">_xll.BDH($C$603,"DVD_PAYOUT_RATIO","FY 2018","FY 2018","Currency=INR","Period=FY","BEST_FPERIOD_OVERRIDE=FY","FILING_STATUS=OR","EQY_CONSOLIDATED=Y","FA_ADJUSTED=GAAP","Sort=A","Dates=H","DateFormat=P","Fill=—","Direction=H","UseDPDF=Y")</f>
        <v>#NAME?</v>
      </c>
      <c r="S623" t="e">
        <f ca="1">_xll.BDH($C$603,"SUSTAIN_GROWTH_RT","FY 2018","FY 2018","Currency=INR","Period=FY","BEST_FPERIOD_OVERRIDE=FY","FILING_STATUS=OR","EQY_CONSOLIDATED=Y","FA_ADJUSTED=GAAP","Sort=A","Dates=H","DateFormat=P","Fill=—","Direction=H","UseDPDF=Y")</f>
        <v>#NAME?</v>
      </c>
      <c r="T623" s="1" t="e">
        <f ca="1">_xll.BDH($C$603,"SALES_GROWTH","FY 2018","FY 2018","Currency=INR","Period=FY","BEST_FPERIOD_OVERRIDE=FY","FILING_STATUS=OR","EQY_CONSOLIDATED=Y","FA_ADJUSTED=GAAP","Sort=A","Dates=H","DateFormat=P","Fill=—","Direction=H","UseDPDF=Y")</f>
        <v>#NAME?</v>
      </c>
      <c r="U623" s="1" t="e">
        <f ca="1">_xll.BDH($C$603,"EBITDA_GROWTH","FY 2018","FY 2018","Currency=INR","Period=FY","BEST_FPERIOD_OVERRIDE=FY","FILING_STATUS=OR","EQY_CONSOLIDATED=Y","FA_ADJUSTED=GAAP","Sort=A","Dates=H","DateFormat=P","Fill=—","Direction=H","UseDPDF=Y")</f>
        <v>#NAME?</v>
      </c>
      <c r="V623" s="1" t="e">
        <f ca="1">_xll.BDH($C$603,"OPER_INC_GROWTH","FY 2018","FY 2018","Currency=INR","Period=FY","BEST_FPERIOD_OVERRIDE=FY","FILING_STATUS=OR","EQY_CONSOLIDATED=Y","FA_ADJUSTED=GAAP","Sort=A","Dates=H","DateFormat=P","Fill=—","Direction=H","UseDPDF=Y")</f>
        <v>#NAME?</v>
      </c>
      <c r="W623" s="1" t="e">
        <f ca="1">_xll.BDH($C$603,"EARN_FOR_COM_GROWTH","FY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623" s="1" t="e">
        <f ca="1">_xll.BDH($C$603,"DILUTED_EPS_AFT_XO_ITEMS_GROWTH","FY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623" s="1" t="e">
        <f ca="1">_xll.BDH($C$603,"DIVIDEND_PER_SHARE_1_YEAR_GROWTH","FY 2018","FY 2018","Currency=INR","Period=FY","BEST_FPERIOD_OVERRIDE=FY","FILING_STATUS=OR","EQY_CONSOLIDATED=Y","Sort=A","Dates=H","DateFormat=P","Fill=—","Direction=H","UseDPDF=Y")</f>
        <v>#NAME?</v>
      </c>
      <c r="Z623" s="1" t="e">
        <f ca="1">_xll.BDH($C$603,"ACCOUNTS_RECEIVABLE_GROWTH","FY 2018","FY 2018","Currency=INR","Period=FY","BEST_FPERIOD_OVERRIDE=FY","FILING_STATUS=OR","EQY_CONSOLIDATED=Y","Sort=A","Dates=H","DateFormat=P","Fill=—","Direction=H","UseDPDF=Y")</f>
        <v>#NAME?</v>
      </c>
      <c r="AA623" s="1" t="e">
        <f ca="1">_xll.BDH($C$603,"INVENTORY_GROWTH","FY 2018","FY 2018","Currency=INR","Period=FY","BEST_FPERIOD_OVERRIDE=FY","FILING_STATUS=OR","EQY_CONSOLIDATED=Y","Sort=A","Dates=H","DateFormat=P","Fill=—","Direction=H","UseDPDF=Y")</f>
        <v>#NAME?</v>
      </c>
      <c r="AB623" s="1" t="e">
        <f ca="1">_xll.BDH($C$603,"NET_FIXED_ASSETS_1_YEAR_GROWTH","FY 2018","FY 2018","Currency=INR","Period=FY","BEST_FPERIOD_OVERRIDE=FY","FILING_STATUS=OR","EQY_CONSOLIDATED=Y","Sort=A","Dates=H","DateFormat=P","Fill=—","Direction=H","UseDPDF=Y")</f>
        <v>#NAME?</v>
      </c>
      <c r="AC623" s="1" t="e">
        <f ca="1">_xll.BDH($C$603,"ASSET_GROWTH","FY 2018","FY 2018","Currency=INR","Period=FY","BEST_FPERIOD_OVERRIDE=FY","FILING_STATUS=OR","EQY_CONSOLIDATED=Y","Sort=A","Dates=H","DateFormat=P","Fill=—","Direction=H","UseDPDF=Y")</f>
        <v>#NAME?</v>
      </c>
      <c r="AD623" s="1" t="e">
        <f ca="1">_xll.BDH($C$603,"MODIFIED_WORK_CAP_GROWTH","FY 2018","FY 2018","Currency=INR","Period=FY","BEST_FPERIOD_OVERRIDE=FY","FILING_STATUS=OR","EQY_CONSOLIDATED=Y","Sort=A","Dates=H","DateFormat=P","Fill=—","Direction=H","UseDPDF=Y")</f>
        <v>#NAME?</v>
      </c>
      <c r="AE623" s="1" t="e">
        <f ca="1">_xll.BDH($C$603,"WORK_CAP_GROWTH","FY 2018","FY 2018","Currency=INR","Period=FY","BEST_FPERIOD_OVERRIDE=FY","FILING_STATUS=OR","EQY_CONSOLIDATED=Y","Sort=A","Dates=H","DateFormat=P","Fill=—","Direction=H","UseDPDF=Y")</f>
        <v>#NAME?</v>
      </c>
      <c r="AF623" s="1" t="e">
        <f ca="1">_xll.BDH($C$603,"ACCOUNTS_PAYABLE_GROWTH_1YR","FY 2018","FY 2018","Currency=INR","Period=FY","BEST_FPERIOD_OVERRIDE=FY","FILING_STATUS=OR","EQY_CONSOLIDATED=Y","Sort=A","Dates=H","DateFormat=P","Fill=—","Direction=H","UseDPDF=Y")</f>
        <v>#NAME?</v>
      </c>
      <c r="AG623" s="1" t="e">
        <f ca="1">_xll.BDH($C$603,"SHORT_TERM_DEBT_1_YEAR_GROWTH","FY 2018","FY 2018","Currency=INR","Period=FY","BEST_FPERIOD_OVERRIDE=FY","FILING_STATUS=OR","EQY_CONSOLIDATED=Y","Sort=A","Dates=H","DateFormat=P","Fill=—","Direction=H","UseDPDF=Y")</f>
        <v>#NAME?</v>
      </c>
      <c r="AH623" s="1" t="e">
        <f ca="1">_xll.BDH($C$603,"TOTAL_DEBT_1_YEAR_GROWTH","FY 2018","FY 2018","Currency=INR","Period=FY","BEST_FPERIOD_OVERRIDE=FY","FILING_STATUS=OR","EQY_CONSOLIDATED=Y","Sort=A","Dates=H","DateFormat=P","Fill=—","Direction=H","UseDPDF=Y")</f>
        <v>#NAME?</v>
      </c>
      <c r="AI623" s="1" t="e">
        <f ca="1">_xll.BDH($C$603,"TOTAL_EQUITY_1_YEAR_GROWTH","FY 2018","FY 2018","Currency=INR","Period=FY","BEST_FPERIOD_OVERRIDE=FY","FILING_STATUS=OR","EQY_CONSOLIDATED=Y","Sort=A","Dates=H","DateFormat=P","Fill=—","Direction=H","UseDPDF=Y")</f>
        <v>#NAME?</v>
      </c>
      <c r="AJ623" s="1" t="e">
        <f ca="1">_xll.BDH($C$603,"GROWTH_IN_CAP","FY 2018","FY 2018","Currency=INR","Period=FY","BEST_FPERIOD_OVERRIDE=FY","FILING_STATUS=OR","EQY_CONSOLIDATED=Y","Sort=A","Dates=H","DateFormat=P","Fill=—","Direction=H","UseDPDF=Y")</f>
        <v>#NAME?</v>
      </c>
      <c r="AK623" s="1" t="e">
        <f ca="1">_xll.BDH($C$603,"BVPS_GROWTH","FY 2018","FY 2018","Currency=INR","Period=FY","BEST_FPERIOD_OVERRIDE=FY","FILING_STATUS=OR","EQY_CONSOLIDATED=Y","Sort=A","Dates=H","DateFormat=P","Fill=—","Direction=H","UseDPDF=Y")</f>
        <v>#NAME?</v>
      </c>
      <c r="AL623" s="1" t="e">
        <f ca="1">_xll.BDH($C$603,"CASH_FLOW_GROWTH","FY 2018","FY 2018","Currency=INR","Period=FY","BEST_FPERIOD_OVERRIDE=FY","FILING_STATUS=OR","EQY_CONSOLIDATED=Y","Sort=A","Dates=H","DateFormat=P","Fill=—","Direction=H","UseDPDF=Y")</f>
        <v>#NAME?</v>
      </c>
      <c r="AM623" s="1" t="e">
        <f ca="1">_xll.BDH($C$603,"GEO_GROW_NET_SALES","FY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623" s="1" t="e">
        <f ca="1">_xll.BDH($C$603,"GEO_GROW_EBITDA","FY 2018","FY 2018","Currency=INR","Period=FY","BEST_FPERIOD_OVERRIDE=FY","FILING_STATUS=OR","EQY_CONSOLIDATED=Y","FA_ADJUSTED=GAAP","Sort=A","Dates=H","DateFormat=P","Fill=—","Direction=H","UseDPDF=Y")</f>
        <v>#NAME?</v>
      </c>
      <c r="AO623" s="1" t="e">
        <f ca="1">_xll.BDH($C$603,"GEO_GROW_OPER_INC","FY 2018","FY 2018","Currency=INR","Period=FY","BEST_FPERIOD_OVERRIDE=FY","FILING_STATUS=OR","EQY_CONSOLIDATED=Y","FA_ADJUSTED=GAAP","Sort=A","Dates=H","DateFormat=P","Fill=—","Direction=H","UseDPDF=Y")</f>
        <v>#NAME?</v>
      </c>
      <c r="AP623" s="1" t="e">
        <f ca="1">_xll.BDH($C$603,"NET_INCOME_TO_COMMON_5_YR_GROWTH","FY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623" s="1" t="e">
        <f ca="1">_xll.BDH($C$603,"5Y_GEO_GROWTH_DILUTED_EPS","FY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623" s="1" t="e">
        <f ca="1">_xll.BDH($C$603,"GEO_GROW_DVD_PER_SH","FY 2018","FY 2018","Currency=INR","Period=FY","BEST_FPERIOD_OVERRIDE=FY","FILING_STATUS=OR","EQY_CONSOLIDATED=Y","Sort=A","Dates=H","DateFormat=P","Fill=—","Direction=H","UseDPDF=Y")</f>
        <v>#NAME?</v>
      </c>
      <c r="AS623" s="1" t="e">
        <f ca="1">_xll.BDH($C$603,"ACCOUNTS_RECEIVABLE_5_YR_GROWTH","FY 2018","FY 2018","Currency=INR","Period=FY","BEST_FPERIOD_OVERRIDE=FY","FILING_STATUS=OR","EQY_CONSOLIDATED=Y","Sort=A","Dates=H","DateFormat=P","Fill=—","Direction=H","UseDPDF=Y")</f>
        <v>#NAME?</v>
      </c>
      <c r="AT623" s="1" t="e">
        <f ca="1">_xll.BDH($C$603,"INVENTORY_5_YEAR_GROWTH","FY 2018","FY 2018","Currency=INR","Period=FY","BEST_FPERIOD_OVERRIDE=FY","FILING_STATUS=OR","EQY_CONSOLIDATED=Y","Sort=A","Dates=H","DateFormat=P","Fill=—","Direction=H","UseDPDF=Y")</f>
        <v>#NAME?</v>
      </c>
      <c r="AU623" s="1" t="e">
        <f ca="1">_xll.BDH($C$603,"NET_FIXED_ASSETS_5_YEAR_GROWTH","FY 2018","FY 2018","Currency=INR","Period=FY","BEST_FPERIOD_OVERRIDE=FY","FILING_STATUS=OR","EQY_CONSOLIDATED=Y","Sort=A","Dates=H","DateFormat=P","Fill=—","Direction=H","UseDPDF=Y")</f>
        <v>#NAME?</v>
      </c>
      <c r="AV623" s="1" t="e">
        <f ca="1">_xll.BDH($C$603,"GEO_GROW_TOT_ASSET","FY 2018","FY 2018","Currency=INR","Period=FY","BEST_FPERIOD_OVERRIDE=FY","FILING_STATUS=OR","EQY_CONSOLIDATED=Y","Sort=A","Dates=H","DateFormat=P","Fill=—","Direction=H","UseDPDF=Y")</f>
        <v>#NAME?</v>
      </c>
      <c r="AW623" s="1" t="e">
        <f ca="1">_xll.BDH($C$603,"MODIFIED_WORKING_CPTL_5YR_GRWTH","FY 2018","FY 2018","Currency=INR","Period=FY","BEST_FPERIOD_OVERRIDE=FY","FILING_STATUS=OR","EQY_CONSOLIDATED=Y","Sort=A","Dates=H","DateFormat=P","Fill=—","Direction=H","UseDPDF=Y")</f>
        <v>#NAME?</v>
      </c>
      <c r="AX623" s="1" t="e">
        <f ca="1">_xll.BDH($C$603,"WORKING_CAPITAL_5_YEAR_GROWTH","FY 2018","FY 2018","Currency=INR","Period=FY","BEST_FPERIOD_OVERRIDE=FY","FILING_STATUS=OR","EQY_CONSOLIDATED=Y","Sort=A","Dates=H","DateFormat=P","Fill=—","Direction=H","UseDPDF=Y")</f>
        <v>#NAME?</v>
      </c>
      <c r="AY623" s="1" t="e">
        <f ca="1">_xll.BDH($C$603,"ACCOUNTS_PAYABLE_5_YEAR_GROWTH","FY 2018","FY 2018","Currency=INR","Period=FY","BEST_FPERIOD_OVERRIDE=FY","FILING_STATUS=OR","EQY_CONSOLIDATED=Y","Sort=A","Dates=H","DateFormat=P","Fill=—","Direction=H","UseDPDF=Y")</f>
        <v>#NAME?</v>
      </c>
      <c r="AZ623" s="1" t="e">
        <f ca="1">_xll.BDH($C$603,"SHORT_TERM_DEBT_5_YEAR_GROWTH","FY 2018","FY 2018","Currency=INR","Period=FY","BEST_FPERIOD_OVERRIDE=FY","FILING_STATUS=OR","EQY_CONSOLIDATED=Y","Sort=A","Dates=H","DateFormat=P","Fill=—","Direction=H","UseDPDF=Y")</f>
        <v>#NAME?</v>
      </c>
      <c r="BA623" s="1" t="e">
        <f ca="1">_xll.BDH($C$603,"TOTAL_DEBT_5_YEAR_GROWTH","FY 2018","FY 2018","Currency=INR","Period=FY","BEST_FPERIOD_OVERRIDE=FY","FILING_STATUS=OR","EQY_CONSOLIDATED=Y","Sort=A","Dates=H","DateFormat=P","Fill=—","Direction=H","UseDPDF=Y")</f>
        <v>#NAME?</v>
      </c>
      <c r="BB623" s="1" t="e">
        <f ca="1">_xll.BDH($C$603,"GEO_GROW_TOT_SHRHLDR_EQY","FY 2018","FY 2018","Currency=INR","Period=FY","BEST_FPERIOD_OVERRIDE=FY","FILING_STATUS=OR","EQY_CONSOLIDATED=Y","Sort=A","Dates=H","DateFormat=P","Fill=—","Direction=H","UseDPDF=Y")</f>
        <v>#NAME?</v>
      </c>
      <c r="BC623" s="1" t="e">
        <f ca="1">_xll.BDH($C$603,"TOTAL_CAPITAL_5_YEAR_GROWTH","FY 2018","FY 2018","Currency=INR","Period=FY","BEST_FPERIOD_OVERRIDE=FY","FILING_STATUS=OR","EQY_CONSOLIDATED=Y","Sort=A","Dates=H","DateFormat=P","Fill=—","Direction=H","UseDPDF=Y")</f>
        <v>#NAME?</v>
      </c>
      <c r="BD623" s="1" t="e">
        <f ca="1">_xll.BDH($C$603,"GEO_GROW_BOOK_VAL","FY 2018","FY 2018","Currency=INR","Period=FY","BEST_FPERIOD_OVERRIDE=FY","FILING_STATUS=OR","EQY_CONSOLIDATED=Y","Sort=A","Dates=H","DateFormat=P","Fill=—","Direction=H","UseDPDF=Y")</f>
        <v>#NAME?</v>
      </c>
      <c r="BE623" s="1" t="e">
        <f ca="1">_xll.BDH($C$603,"GEO_GROW_CASH_OPER_ACT","FY 2018","FY 2018","Currency=INR","Period=FY","BEST_FPERIOD_OVERRIDE=FY","FILING_STATUS=OR","EQY_CONSOLIDATED=Y","Sort=A","Dates=H","DateFormat=P","Fill=—","Direction=H","UseDPDF=Y")</f>
        <v>#NAME?</v>
      </c>
      <c r="BF623" s="1" t="e">
        <f ca="1">_xll.BDH($C$603,"REVENUE_SEQUENTIAL_GROWTH","FY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623" s="1" t="e">
        <f ca="1">_xll.BDH($C$603,"EBITDA_SEQUENTIAL_GROWTH","FY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623" s="1" t="e">
        <f ca="1">_xll.BDH($C$603,"OPERATING_INCOME_SEQ_GROWTH","FY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623" s="1" t="e">
        <f ca="1">_xll.BDH($C$603,"NET_INCOME_TO_COMMON_SEQ_GROWTH","FY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623" s="1" t="e">
        <f ca="1">_xll.BDH($C$603,"EPS_DILUTED_SEQUENTIAL_GROWTH","FY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623" s="1" t="e">
        <f ca="1">_xll.BDH($C$603,"DPS_SEQUENTIAL_GROWTH","FY 2018","FY 2018","Currency=INR","Period=FY","BEST_FPERIOD_OVERRIDE=FY","FILING_STATUS=OR","EQY_CONSOLIDATED=Y","Sort=A","Dates=H","DateFormat=P","Fill=—","Direction=H","UseDPDF=Y")</f>
        <v>#NAME?</v>
      </c>
      <c r="BL623" s="1" t="e">
        <f ca="1">_xll.BDH($C$603,"ACCOUNTS_RECEIVABLE_SEQ_GROWTH","FY 2018","FY 2018","Currency=INR","Period=FY","BEST_FPERIOD_OVERRIDE=FY","FILING_STATUS=OR","EQY_CONSOLIDATED=Y","Sort=A","Dates=H","DateFormat=P","Fill=—","Direction=H","UseDPDF=Y")</f>
        <v>#NAME?</v>
      </c>
      <c r="BM623" s="1" t="e">
        <f ca="1">_xll.BDH($C$603,"INVENTORY_SEQUENTIAL_GROWTH","FY 2018","FY 2018","Currency=INR","Period=FY","BEST_FPERIOD_OVERRIDE=FY","FILING_STATUS=OR","EQY_CONSOLIDATED=Y","Sort=A","Dates=H","DateFormat=P","Fill=—","Direction=H","UseDPDF=Y")</f>
        <v>#NAME?</v>
      </c>
      <c r="BN623" s="1" t="e">
        <f ca="1">_xll.BDH($C$603,"FIXED_ASSETS_SEQUENTIAL_GROWTH","FY 2018","FY 2018","Currency=INR","Period=FY","BEST_FPERIOD_OVERRIDE=FY","FILING_STATUS=OR","EQY_CONSOLIDATED=Y","Sort=A","Dates=H","DateFormat=P","Fill=—","Direction=H","UseDPDF=Y")</f>
        <v>#NAME?</v>
      </c>
      <c r="BO623" s="1" t="e">
        <f ca="1">_xll.BDH($C$603,"TOTAL_ASSETS_SEQUENTIAL_GROWTH","FY 2018","FY 2018","Currency=INR","Period=FY","BEST_FPERIOD_OVERRIDE=FY","FILING_STATUS=OR","EQY_CONSOLIDATED=Y","Sort=A","Dates=H","DateFormat=P","Fill=—","Direction=H","UseDPDF=Y")</f>
        <v>#NAME?</v>
      </c>
      <c r="BP623" s="1" t="e">
        <f ca="1">_xll.BDH($C$603,"MODIFIED_WORKING_CPTL_SEQ_GRWTH","FY 2018","FY 2018","Currency=INR","Period=FY","BEST_FPERIOD_OVERRIDE=FY","FILING_STATUS=OR","EQY_CONSOLIDATED=Y","Sort=A","Dates=H","DateFormat=P","Fill=—","Direction=H","UseDPDF=Y")</f>
        <v>#NAME?</v>
      </c>
      <c r="BQ623" s="1" t="e">
        <f ca="1">_xll.BDH($C$603,"WORKING_CAPITAL_SEQ_GROWTH","FY 2018","FY 2018","Currency=INR","Period=FY","BEST_FPERIOD_OVERRIDE=FY","FILING_STATUS=OR","EQY_CONSOLIDATED=Y","Sort=A","Dates=H","DateFormat=P","Fill=—","Direction=H","UseDPDF=Y")</f>
        <v>#NAME?</v>
      </c>
      <c r="BR623" s="1" t="e">
        <f ca="1">_xll.BDH($C$603,"ACCOUNTS_PAYABLE_SEQ_GROWTH","FY 2018","FY 2018","Currency=INR","Period=FY","BEST_FPERIOD_OVERRIDE=FY","FILING_STATUS=OR","EQY_CONSOLIDATED=Y","Sort=A","Dates=H","DateFormat=P","Fill=—","Direction=H","UseDPDF=Y")</f>
        <v>#NAME?</v>
      </c>
      <c r="BS623" s="1" t="e">
        <f ca="1">_xll.BDH($C$603,"ST_DEBT_SEQUENTIAL_GROWTH","FY 2018","FY 2018","Currency=INR","Period=FY","BEST_FPERIOD_OVERRIDE=FY","FILING_STATUS=OR","EQY_CONSOLIDATED=Y","Sort=A","Dates=H","DateFormat=P","Fill=—","Direction=H","UseDPDF=Y")</f>
        <v>#NAME?</v>
      </c>
      <c r="BT623" s="1" t="e">
        <f ca="1">_xll.BDH($C$603,"TOTAL_DEBT_SEQUENTIAL_GROWTH","FY 2018","FY 2018","Currency=INR","Period=FY","BEST_FPERIOD_OVERRIDE=FY","FILING_STATUS=OR","EQY_CONSOLIDATED=Y","Sort=A","Dates=H","DateFormat=P","Fill=—","Direction=H","UseDPDF=Y")</f>
        <v>#NAME?</v>
      </c>
      <c r="BU623" s="1" t="e">
        <f ca="1">_xll.BDH($C$603,"TOTAL_EQUITY_SEQUENTIAL_GROWTH","FY 2018","FY 2018","Currency=INR","Period=FY","BEST_FPERIOD_OVERRIDE=FY","FILING_STATUS=OR","EQY_CONSOLIDATED=Y","Sort=A","Dates=H","DateFormat=P","Fill=—","Direction=H","UseDPDF=Y")</f>
        <v>#NAME?</v>
      </c>
      <c r="BV623" s="1" t="e">
        <f ca="1">_xll.BDH($C$603,"TOTAL_CAPITAL_SEQUENTIAL_GROWTH","FY 2018","FY 2018","Currency=INR","Period=FY","BEST_FPERIOD_OVERRIDE=FY","FILING_STATUS=OR","EQY_CONSOLIDATED=Y","Sort=A","Dates=H","DateFormat=P","Fill=—","Direction=H","UseDPDF=Y")</f>
        <v>#NAME?</v>
      </c>
      <c r="BW623" s="1" t="e">
        <f ca="1">_xll.BDH($C$603,"BPS_SEQUENTIAL_GROWTH","FY 2018","FY 2018","Currency=INR","Period=FY","BEST_FPERIOD_OVERRIDE=FY","FILING_STATUS=OR","EQY_CONSOLIDATED=Y","Sort=A","Dates=H","DateFormat=P","Fill=—","Direction=H","UseDPDF=Y")</f>
        <v>#NAME?</v>
      </c>
      <c r="BX623" s="1" t="e">
        <f ca="1">_xll.BDH($C$603,"CFO_SEQUENTIAL_GROWTH","FY 2018","FY 2018","Currency=INR","Period=FY","BEST_FPERIOD_OVERRIDE=FY","FILING_STATUS=OR","EQY_CONSOLIDATED=Y","Sort=A","Dates=H","DateFormat=P","Fill=—","Direction=H","UseDPDF=Y")</f>
        <v>#NAME?</v>
      </c>
      <c r="BY623" s="2" t="e">
        <f ca="1">_xll.BDH($C$603,"SHORT_AND_LONG_TERM_DEBT","FY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623" s="2" t="e">
        <f ca="1">_xll.BDH($C$603,"BS_ST_BORROW","FY 2018","FY 2018","Currency=INR","Period=FY","BEST_FPERIOD_OVERRIDE=FY","FILING_STATUS=OR","EQY_CONSOLIDATED=Y","SCALING_FORMAT=MLN","Sort=A","Dates=H","DateFormat=P","Fill=—","Direction=H","UseDPDF=Y")</f>
        <v>#NAME?</v>
      </c>
      <c r="CA623" s="2" t="e">
        <f ca="1">_xll.BDH($C$603,"BS_LT_BORROW","FY 2018","FY 2018","Currency=INR","Period=FY","BEST_FPERIOD_OVERRIDE=FY","FILING_STATUS=OR","EQY_CONSOLIDATED=Y","SCALING_FORMAT=MLN","Sort=A","Dates=H","DateFormat=P","Fill=—","Direction=H","UseDPDF=Y")</f>
        <v>#NAME?</v>
      </c>
      <c r="CB623" s="1" t="e">
        <f ca="1">_xll.BDH($C$603,"TOT_DEBT_TO_EBITDA","FY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623" s="1" t="e">
        <f ca="1">_xll.BDH($C$603,"NET_DEBT_TO_EBITDA","FY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623" s="1" t="e">
        <f ca="1">_xll.BDH($C$603,"TOTAL_DEBT_TO_EBIT","FY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623" s="1" t="e">
        <f ca="1">_xll.BDH($C$603,"NET_DEBT_TO_EBIT","FY 2018","FY 2018","Currency=INR","Period=FY","BEST_FPERIOD_OVERRIDE=FY","FILING_STATUS=OR","EQY_CONSOLIDATED=Y","FA_ADJUSTED=GAAP","Sort=A","Dates=H","DateFormat=P","Fill=—","Direction=H","UseDPDF=Y")</f>
        <v>#NAME?</v>
      </c>
      <c r="CF623" s="1" t="e">
        <f ca="1">_xll.BDH($C$603,"EBITDA_TO_INTEREST_EXPN","FY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623" s="1" t="e">
        <f ca="1">_xll.BDH($C$603,"COM_EQY_TO_TOT_ASSET","FY 2018","FY 2018","Currency=INR","Period=FY","BEST_FPERIOD_OVERRIDE=FY","FILING_STATUS=OR","EQY_CONSOLIDATED=Y","Sort=A","Dates=H","DateFormat=P","Fill=—","Direction=H","UseDPDF=Y")</f>
        <v>#NAME?</v>
      </c>
      <c r="CH623" s="1" t="e">
        <f ca="1">_xll.BDH($C$603,"LT_DEBT_TO_TOT_EQY","FY 2018","FY 2018","Currency=INR","Period=FY","BEST_FPERIOD_OVERRIDE=FY","FILING_STATUS=OR","EQY_CONSOLIDATED=Y","Sort=A","Dates=H","DateFormat=P","Fill=—","Direction=H","UseDPDF=Y")</f>
        <v>#NAME?</v>
      </c>
      <c r="CI623" s="1" t="e">
        <f ca="1">_xll.BDH($C$603,"LT_DEBT_TO_TOT_CAP","FY 2018","FY 2018","Currency=INR","Period=FY","BEST_FPERIOD_OVERRIDE=FY","FILING_STATUS=OR","EQY_CONSOLIDATED=Y","Sort=A","Dates=H","DateFormat=P","Fill=—","Direction=H","UseDPDF=Y")</f>
        <v>#NAME?</v>
      </c>
      <c r="CJ623" s="1" t="e">
        <f ca="1">_xll.BDH($C$603,"LT_DEBT_TO_TOT_ASSET","FY 2018","FY 2018","Currency=INR","Period=FY","BEST_FPERIOD_OVERRIDE=FY","FILING_STATUS=OR","EQY_CONSOLIDATED=Y","Sort=A","Dates=H","DateFormat=P","Fill=—","Direction=H","UseDPDF=Y")</f>
        <v>#NAME?</v>
      </c>
      <c r="CK623" s="1" t="e">
        <f ca="1">_xll.BDH($C$603,"TOT_DEBT_TO_TOT_EQY","FY 2018","FY 2018","Currency=INR","Period=FY","BEST_FPERIOD_OVERRIDE=FY","FILING_STATUS=OR","EQY_CONSOLIDATED=Y","Sort=A","Dates=H","DateFormat=P","Fill=—","Direction=H","UseDPDF=Y")</f>
        <v>#NAME?</v>
      </c>
      <c r="CL623" s="1" t="e">
        <f ca="1">_xll.BDH($C$603,"TOT_DEBT_TO_TOT_CAP","FY 2018","FY 2018","Currency=INR","Period=FY","BEST_FPERIOD_OVERRIDE=FY","FILING_STATUS=OR","EQY_CONSOLIDATED=Y","Sort=A","Dates=H","DateFormat=P","Fill=—","Direction=H","UseDPDF=Y")</f>
        <v>#NAME?</v>
      </c>
      <c r="CM623" s="1" t="e">
        <f ca="1">_xll.BDH($C$603,"TOT_DEBT_TO_TOT_ASSET","FY 2018","FY 2018","Currency=INR","Period=FY","BEST_FPERIOD_OVERRIDE=FY","FILING_STATUS=OR","EQY_CONSOLIDATED=Y","Sort=A","Dates=H","DateFormat=P","Fill=—","Direction=H","UseDPDF=Y")</f>
        <v>#NAME?</v>
      </c>
      <c r="CN623" s="1" t="e">
        <f ca="1">_xll.BDH($C$603,"NET_DEBT_TO_SHRHLDR_EQTY","FY 2018","FY 2018","Currency=INR","Period=FY","BEST_FPERIOD_OVERRIDE=FY","FILING_STATUS=OR","EQY_CONSOLIDATED=Y","Sort=A","Dates=H","DateFormat=P","Fill=—","Direction=H","UseDPDF=Y")</f>
        <v>#NAME?</v>
      </c>
      <c r="CO623" s="1" t="e">
        <f ca="1">_xll.BDH($C$603,"NET_DEBT_%_CAPITAL","FY 2018","FY 2018","Currency=INR","Period=FY","BEST_FPERIOD_OVERRIDE=FY","FILING_STATUS=OR","EQY_CONSOLIDATED=Y","Sort=A","Dates=H","DateFormat=P","Fill=—","Direction=H","UseDPDF=Y")</f>
        <v>#NAME?</v>
      </c>
      <c r="CP623" s="2" t="e">
        <f ca="1">_xll.BDH($C$603,"EBITDA","FY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623" s="2" t="e">
        <f ca="1">_xll.BDH($C$603,"EBITDA_AFTER_CAPEX","FY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623" s="2" t="e">
        <f ca="1">_xll.BDH($C$603,"IS_OPER_INC","FY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623" s="1" t="e">
        <f ca="1">_xll.BDH($C$603,"CASH_RATIO","FY 2018","FY 2018","Currency=INR","Period=FY","BEST_FPERIOD_OVERRIDE=FY","FILING_STATUS=OR","EQY_CONSOLIDATED=Y","Sort=A","Dates=H","DateFormat=P","Fill=—","Direction=H","UseDPDF=Y")</f>
        <v>#NAME?</v>
      </c>
      <c r="CT623" s="1" t="e">
        <f ca="1">_xll.BDH($C$603,"CUR_RATIO","FY 2018","FY 2018","Currency=INR","Period=FY","BEST_FPERIOD_OVERRIDE=FY","FILING_STATUS=OR","EQY_CONSOLIDATED=Y","Sort=A","Dates=H","DateFormat=P","Fill=—","Direction=H","UseDPDF=Y")</f>
        <v>#NAME?</v>
      </c>
      <c r="CU623" s="1" t="e">
        <f ca="1">_xll.BDH($C$603,"QUICK_RATIO","FY 2018","FY 2018","Currency=INR","Period=FY","BEST_FPERIOD_OVERRIDE=FY","FILING_STATUS=OR","EQY_CONSOLIDATED=Y","Sort=A","Dates=H","DateFormat=P","Fill=—","Direction=H","UseDPDF=Y")</f>
        <v>#NAME?</v>
      </c>
      <c r="CV623" s="1" t="e">
        <f ca="1">_xll.BDH($C$603,"ALTMAN_Z_SCORE","FY 2018","FY 2018","Currency=INR","Period=FY","BEST_FPERIOD_OVERRIDE=FY","FILING_STATUS=OR","EQY_CONSOLIDATED=Y","Sort=A","Dates=H","DateFormat=P","Fill=—","Direction=H","UseDPDF=Y")</f>
        <v>#NAME?</v>
      </c>
      <c r="CW623" s="3" t="e">
        <f ca="1">_xll.BDH($C$603,"ACCT_RCV_TURN","FY 2018","FY 2018","Currency=INR","Period=FY","BEST_FPERIOD_OVERRIDE=FY","FILING_STATUS=OR","EQY_CONSOLIDATED=Y","FA_ADJUSTED=GAAP","Sort=A","Dates=H","DateFormat=P","Fill=—","Direction=H","UseDPDF=Y")</f>
        <v>#NAME?</v>
      </c>
      <c r="CX623" s="1" t="e">
        <f ca="1">_xll.BDH($C$603,"ACCT_RCV_DAYS","FY 2018","FY 2018","Currency=INR","Period=FY","BEST_FPERIOD_OVERRIDE=FY","FILING_STATUS=OR","EQY_CONSOLIDATED=Y","FA_ADJUSTED=GAAP","Sort=A","Dates=H","DateFormat=P","Fill=—","Direction=H","UseDPDF=Y")</f>
        <v>#NAME?</v>
      </c>
      <c r="CY623" s="3" t="e">
        <f ca="1">_xll.BDH($C$603,"INVENT_TURN","FY 2018","FY 2018","Currency=INR","Period=FY","BEST_FPERIOD_OVERRIDE=FY","FILING_STATUS=OR","EQY_CONSOLIDATED=Y","FA_ADJUSTED=GAAP","Sort=A","Dates=H","DateFormat=P","Fill=—","Direction=H","UseDPDF=Y")</f>
        <v>#NAME?</v>
      </c>
      <c r="CZ623" s="1" t="e">
        <f ca="1">_xll.BDH($C$603,"INVENT_DAYS","FY 2018","FY 2018","Currency=INR","Period=FY","BEST_FPERIOD_OVERRIDE=FY","FILING_STATUS=OR","EQY_CONSOLIDATED=Y","FA_ADJUSTED=GAAP","Sort=A","Dates=H","DateFormat=P","Fill=—","Direction=H","UseDPDF=Y")</f>
        <v>#NAME?</v>
      </c>
      <c r="DA623" s="3" t="e">
        <f ca="1">_xll.BDH($C$603,"ACCOUNTS_PAYABLE_TURNOVER","FY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623" s="1" t="e">
        <f ca="1">_xll.BDH($C$603,"ACCOUNTS_PAYABLE_TURNOVER_DAYS","FY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623" s="3" t="e">
        <f ca="1">_xll.BDH($C$603,"CASH_CONVERSION_CYCLE","FY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623" s="3" t="e">
        <f ca="1">_xll.BDH($C$603,"INV_TO_CASH_DAYS","FY 2018","FY 2018","Currency=INR","Period=FY","BEST_FPERIOD_OVERRIDE=FY","FILING_STATUS=OR","EQY_CONSOLIDATED=Y","FA_ADJUSTED=GAAP","Sort=A","Dates=H","DateFormat=P","Fill=—","Direction=H","UseDPDF=Y")</f>
        <v>#NAME?</v>
      </c>
      <c r="DE623" s="4" t="e">
        <f ca="1">_xll.BDH($C$603,"BS_INVENTORIES","FY 2018","FY 2018","Currency=INR","Period=FY","BEST_FPERIOD_OVERRIDE=FY","FILING_STATUS=OR","EQY_CONSOLIDATED=Y","SCALING_FORMAT=MLN","Sort=A","Dates=H","DateFormat=P","Fill=—","Direction=H","UseDPDF=Y")</f>
        <v>#NAME?</v>
      </c>
      <c r="DF623" s="2" t="e">
        <f ca="1">_xll.BDH($C$603,"INVTRY_RAW_MATERIALS","FY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623" s="2" t="e">
        <f ca="1">_xll.BDH($C$603,"INVTRY_IN_PROGRESS","FY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623" s="2" t="e">
        <f ca="1">_xll.BDH($C$603,"INVTRY_FINISHED_GOODS","FY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623" s="2" t="e">
        <f ca="1">_xll.BDH($C$603,"BS_OTHER_INV","FY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624" spans="1:113" x14ac:dyDescent="0.3">
      <c r="A624" s="6"/>
      <c r="B624" s="6"/>
      <c r="C624" s="6"/>
      <c r="D624" s="6"/>
      <c r="E624" t="s">
        <v>4</v>
      </c>
      <c r="F624" t="e">
        <f ca="1">_xll.BDH($C$603,"RETURN_COM_EQY","FQ1 2018","FQ1 2018","Currency=INR","Period=FQ","BEST_FPERIOD_OVERRIDE=FQ","FILING_STATUS=OR","EQY_CONSOLIDATED=Y","FA_ADJUSTED=GAAP","Sort=A","Dates=H","DateFormat=P","Fill=—","Direction=H","UseDPDF=Y")</f>
        <v>#NAME?</v>
      </c>
      <c r="G624" t="e">
        <f ca="1">_xll.BDH($C$603,"RETURN_ON_ASSET","FQ1 2018","FQ1 2018","Currency=INR","Period=FQ","BEST_FPERIOD_OVERRIDE=FQ","FILING_STATUS=OR","EQY_CONSOLIDATED=Y","FA_ADJUSTED=GAAP","Sort=A","Dates=H","DateFormat=P","Fill=—","Direction=H","UseDPDF=Y")</f>
        <v>#NAME?</v>
      </c>
      <c r="H624" t="e">
        <f ca="1">_xll.BDH($C$603,"RETURN_ON_CAP","FQ1 2018","FQ1 2018","Currency=INR","Period=FQ","BEST_FPERIOD_OVERRIDE=FQ","FILING_STATUS=OR","EQY_CONSOLIDATED=Y","FA_ADJUSTED=GAAP","Sort=A","Dates=H","DateFormat=P","Fill=—","Direction=H","UseDPDF=Y")</f>
        <v>#NAME?</v>
      </c>
      <c r="I624" t="e">
        <f ca="1">_xll.BDH($C$603,"RETURN_ON_INV_CAPITAL","FQ1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624" t="e">
        <f ca="1">_xll.BDH($C$603,"EBITDA_TO_REVENUE","FQ1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624" t="e">
        <f ca="1">_xll.BDH($C$603,"OPER_MARGIN","FQ1 2018","FQ1 2018","Currency=INR","Period=FQ","BEST_FPERIOD_OVERRIDE=FQ","FILING_STATUS=OR","EQY_CONSOLIDATED=Y","FA_ADJUSTED=GAAP","Sort=A","Dates=H","DateFormat=P","Fill=—","Direction=H","UseDPDF=Y")</f>
        <v>#NAME?</v>
      </c>
      <c r="L624" t="e">
        <f ca="1">_xll.BDH($C$603,"INCREMENTAL_OPERATING_MARGIN","FQ1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624" t="e">
        <f ca="1">_xll.BDH($C$603,"PRETAX_INC_TO_NET_SALES","FQ1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624" t="e">
        <f ca="1">_xll.BDH($C$603,"INC_BEF_XO_ITEMS_TO_NET_SALES","FQ1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624" t="e">
        <f ca="1">_xll.BDH($C$603,"PROF_MARGIN","FQ1 2018","FQ1 2018","Currency=INR","Period=FQ","BEST_FPERIOD_OVERRIDE=FQ","FILING_STATUS=OR","EQY_CONSOLIDATED=Y","FA_ADJUSTED=GAAP","Sort=A","Dates=H","DateFormat=P","Fill=—","Direction=H","UseDPDF=Y")</f>
        <v>#NAME?</v>
      </c>
      <c r="P624" t="e">
        <f ca="1">_xll.BDH($C$603,"NET_INCOME_TO_COMMON_MARGIN","FQ1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624" t="e">
        <f ca="1">_xll.BDH($C$603,"EFF_TAX_RATE","FQ1 2018","FQ1 2018","Currency=INR","Period=FQ","BEST_FPERIOD_OVERRIDE=FQ","FILING_STATUS=OR","EQY_CONSOLIDATED=Y","FA_ADJUSTED=GAAP","Sort=A","Dates=H","DateFormat=P","Fill=—","Direction=H","UseDPDF=Y")</f>
        <v>#NAME?</v>
      </c>
      <c r="R624" t="e">
        <f ca="1">_xll.BDH($C$603,"DVD_PAYOUT_RATIO","FQ1 2018","FQ1 2018","Currency=INR","Period=FQ","BEST_FPERIOD_OVERRIDE=FQ","FILING_STATUS=OR","EQY_CONSOLIDATED=Y","FA_ADJUSTED=GAAP","Sort=A","Dates=H","DateFormat=P","Fill=—","Direction=H","UseDPDF=Y")</f>
        <v>#NAME?</v>
      </c>
      <c r="S624" t="e">
        <f ca="1">_xll.BDH($C$603,"SUSTAIN_GROWTH_RT","FQ1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624" s="1" t="e">
        <f ca="1">_xll.BDH($C$603,"SALES_GROWTH","FQ1 2018","FQ1 2018","Currency=INR","Period=FQ","BEST_FPERIOD_OVERRIDE=FQ","FILING_STATUS=OR","EQY_CONSOLIDATED=Y","FA_ADJUSTED=GAAP","Sort=A","Dates=H","DateFormat=P","Fill=—","Direction=H","UseDPDF=Y")</f>
        <v>#NAME?</v>
      </c>
      <c r="U624" s="1" t="e">
        <f ca="1">_xll.BDH($C$603,"EBITDA_GROWTH","FQ1 2018","FQ1 2018","Currency=INR","Period=FQ","BEST_FPERIOD_OVERRIDE=FQ","FILING_STATUS=OR","EQY_CONSOLIDATED=Y","FA_ADJUSTED=GAAP","Sort=A","Dates=H","DateFormat=P","Fill=—","Direction=H","UseDPDF=Y")</f>
        <v>#NAME?</v>
      </c>
      <c r="V624" s="1" t="e">
        <f ca="1">_xll.BDH($C$603,"OPER_INC_GROWTH","FQ1 2018","FQ1 2018","Currency=INR","Period=FQ","BEST_FPERIOD_OVERRIDE=FQ","FILING_STATUS=OR","EQY_CONSOLIDATED=Y","FA_ADJUSTED=GAAP","Sort=A","Dates=H","DateFormat=P","Fill=—","Direction=H","UseDPDF=Y")</f>
        <v>#NAME?</v>
      </c>
      <c r="W624" s="1" t="e">
        <f ca="1">_xll.BDH($C$603,"EARN_FOR_COM_GROWTH","FQ1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624" s="1" t="e">
        <f ca="1">_xll.BDH($C$603,"DILUTED_EPS_AFT_XO_ITEMS_GROWTH","FQ1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624" s="1" t="e">
        <f ca="1">_xll.BDH($C$603,"DIVIDEND_PER_SHARE_1_YEAR_GROWTH","FQ1 2018","FQ1 2018","Currency=INR","Period=FQ","BEST_FPERIOD_OVERRIDE=FQ","FILING_STATUS=OR","EQY_CONSOLIDATED=Y","Sort=A","Dates=H","DateFormat=P","Fill=—","Direction=H","UseDPDF=Y")</f>
        <v>#NAME?</v>
      </c>
      <c r="Z624" s="1" t="e">
        <f ca="1">_xll.BDH($C$603,"ACCOUNTS_RECEIVABLE_GROWTH","FQ1 2018","FQ1 2018","Currency=INR","Period=FQ","BEST_FPERIOD_OVERRIDE=FQ","FILING_STATUS=OR","EQY_CONSOLIDATED=Y","Sort=A","Dates=H","DateFormat=P","Fill=—","Direction=H","UseDPDF=Y")</f>
        <v>#NAME?</v>
      </c>
      <c r="AA624" s="1" t="e">
        <f ca="1">_xll.BDH($C$603,"INVENTORY_GROWTH","FQ1 2018","FQ1 2018","Currency=INR","Period=FQ","BEST_FPERIOD_OVERRIDE=FQ","FILING_STATUS=OR","EQY_CONSOLIDATED=Y","Sort=A","Dates=H","DateFormat=P","Fill=—","Direction=H","UseDPDF=Y")</f>
        <v>#NAME?</v>
      </c>
      <c r="AB624" s="1" t="e">
        <f ca="1">_xll.BDH($C$603,"NET_FIXED_ASSETS_1_YEAR_GROWTH","FQ1 2018","FQ1 2018","Currency=INR","Period=FQ","BEST_FPERIOD_OVERRIDE=FQ","FILING_STATUS=OR","EQY_CONSOLIDATED=Y","Sort=A","Dates=H","DateFormat=P","Fill=—","Direction=H","UseDPDF=Y")</f>
        <v>#NAME?</v>
      </c>
      <c r="AC624" s="1" t="e">
        <f ca="1">_xll.BDH($C$603,"ASSET_GROWTH","FQ1 2018","FQ1 2018","Currency=INR","Period=FQ","BEST_FPERIOD_OVERRIDE=FQ","FILING_STATUS=OR","EQY_CONSOLIDATED=Y","Sort=A","Dates=H","DateFormat=P","Fill=—","Direction=H","UseDPDF=Y")</f>
        <v>#NAME?</v>
      </c>
      <c r="AD624" s="1" t="e">
        <f ca="1">_xll.BDH($C$603,"MODIFIED_WORK_CAP_GROWTH","FQ1 2018","FQ1 2018","Currency=INR","Period=FQ","BEST_FPERIOD_OVERRIDE=FQ","FILING_STATUS=OR","EQY_CONSOLIDATED=Y","Sort=A","Dates=H","DateFormat=P","Fill=—","Direction=H","UseDPDF=Y")</f>
        <v>#NAME?</v>
      </c>
      <c r="AE624" s="1" t="e">
        <f ca="1">_xll.BDH($C$603,"WORK_CAP_GROWTH","FQ1 2018","FQ1 2018","Currency=INR","Period=FQ","BEST_FPERIOD_OVERRIDE=FQ","FILING_STATUS=OR","EQY_CONSOLIDATED=Y","Sort=A","Dates=H","DateFormat=P","Fill=—","Direction=H","UseDPDF=Y")</f>
        <v>#NAME?</v>
      </c>
      <c r="AF624" s="1" t="e">
        <f ca="1">_xll.BDH($C$603,"ACCOUNTS_PAYABLE_GROWTH_1YR","FQ1 2018","FQ1 2018","Currency=INR","Period=FQ","BEST_FPERIOD_OVERRIDE=FQ","FILING_STATUS=OR","EQY_CONSOLIDATED=Y","Sort=A","Dates=H","DateFormat=P","Fill=—","Direction=H","UseDPDF=Y")</f>
        <v>#NAME?</v>
      </c>
      <c r="AG624" s="1" t="e">
        <f ca="1">_xll.BDH($C$603,"SHORT_TERM_DEBT_1_YEAR_GROWTH","FQ1 2018","FQ1 2018","Currency=INR","Period=FQ","BEST_FPERIOD_OVERRIDE=FQ","FILING_STATUS=OR","EQY_CONSOLIDATED=Y","Sort=A","Dates=H","DateFormat=P","Fill=—","Direction=H","UseDPDF=Y")</f>
        <v>#NAME?</v>
      </c>
      <c r="AH624" s="1" t="e">
        <f ca="1">_xll.BDH($C$603,"TOTAL_DEBT_1_YEAR_GROWTH","FQ1 2018","FQ1 2018","Currency=INR","Period=FQ","BEST_FPERIOD_OVERRIDE=FQ","FILING_STATUS=OR","EQY_CONSOLIDATED=Y","Sort=A","Dates=H","DateFormat=P","Fill=—","Direction=H","UseDPDF=Y")</f>
        <v>#NAME?</v>
      </c>
      <c r="AI624" s="1" t="e">
        <f ca="1">_xll.BDH($C$603,"TOTAL_EQUITY_1_YEAR_GROWTH","FQ1 2018","FQ1 2018","Currency=INR","Period=FQ","BEST_FPERIOD_OVERRIDE=FQ","FILING_STATUS=OR","EQY_CONSOLIDATED=Y","Sort=A","Dates=H","DateFormat=P","Fill=—","Direction=H","UseDPDF=Y")</f>
        <v>#NAME?</v>
      </c>
      <c r="AJ624" s="1" t="e">
        <f ca="1">_xll.BDH($C$603,"GROWTH_IN_CAP","FQ1 2018","FQ1 2018","Currency=INR","Period=FQ","BEST_FPERIOD_OVERRIDE=FQ","FILING_STATUS=OR","EQY_CONSOLIDATED=Y","Sort=A","Dates=H","DateFormat=P","Fill=—","Direction=H","UseDPDF=Y")</f>
        <v>#NAME?</v>
      </c>
      <c r="AK624" s="1" t="e">
        <f ca="1">_xll.BDH($C$603,"BVPS_GROWTH","FQ1 2018","FQ1 2018","Currency=INR","Period=FQ","BEST_FPERIOD_OVERRIDE=FQ","FILING_STATUS=OR","EQY_CONSOLIDATED=Y","Sort=A","Dates=H","DateFormat=P","Fill=—","Direction=H","UseDPDF=Y")</f>
        <v>#NAME?</v>
      </c>
      <c r="AL624" s="1" t="e">
        <f ca="1">_xll.BDH($C$603,"CASH_FLOW_GROWTH","FQ1 2018","FQ1 2018","Currency=INR","Period=FQ","BEST_FPERIOD_OVERRIDE=FQ","FILING_STATUS=OR","EQY_CONSOLIDATED=Y","Sort=A","Dates=H","DateFormat=P","Fill=—","Direction=H","UseDPDF=Y")</f>
        <v>#NAME?</v>
      </c>
      <c r="AM624" s="1" t="e">
        <f ca="1">_xll.BDH($C$603,"GEO_GROW_NET_SALES","FQ1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624" s="1" t="e">
        <f ca="1">_xll.BDH($C$603,"GEO_GROW_EBITDA","FQ1 2018","FQ1 2018","Currency=INR","Period=FQ","BEST_FPERIOD_OVERRIDE=FQ","FILING_STATUS=OR","EQY_CONSOLIDATED=Y","FA_ADJUSTED=GAAP","Sort=A","Dates=H","DateFormat=P","Fill=—","Direction=H","UseDPDF=Y")</f>
        <v>#NAME?</v>
      </c>
      <c r="AO624" s="1" t="e">
        <f ca="1">_xll.BDH($C$603,"GEO_GROW_OPER_INC","FQ1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624" s="1" t="e">
        <f ca="1">_xll.BDH($C$603,"NET_INCOME_TO_COMMON_5_YR_GROWTH","FQ1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624" s="1" t="e">
        <f ca="1">_xll.BDH($C$603,"5Y_GEO_GROWTH_DILUTED_EPS","FQ1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624" s="1" t="e">
        <f ca="1">_xll.BDH($C$603,"GEO_GROW_DVD_PER_SH","FQ1 2018","FQ1 2018","Currency=INR","Period=FQ","BEST_FPERIOD_OVERRIDE=FQ","FILING_STATUS=OR","EQY_CONSOLIDATED=Y","Sort=A","Dates=H","DateFormat=P","Fill=—","Direction=H","UseDPDF=Y")</f>
        <v>#NAME?</v>
      </c>
      <c r="AS624" s="1" t="e">
        <f ca="1">_xll.BDH($C$603,"ACCOUNTS_RECEIVABLE_5_YR_GROWTH","FQ1 2018","FQ1 2018","Currency=INR","Period=FQ","BEST_FPERIOD_OVERRIDE=FQ","FILING_STATUS=OR","EQY_CONSOLIDATED=Y","Sort=A","Dates=H","DateFormat=P","Fill=—","Direction=H","UseDPDF=Y")</f>
        <v>#NAME?</v>
      </c>
      <c r="AT624" s="1" t="e">
        <f ca="1">_xll.BDH($C$603,"INVENTORY_5_YEAR_GROWTH","FQ1 2018","FQ1 2018","Currency=INR","Period=FQ","BEST_FPERIOD_OVERRIDE=FQ","FILING_STATUS=OR","EQY_CONSOLIDATED=Y","Sort=A","Dates=H","DateFormat=P","Fill=—","Direction=H","UseDPDF=Y")</f>
        <v>#NAME?</v>
      </c>
      <c r="AU624" s="1" t="e">
        <f ca="1">_xll.BDH($C$603,"NET_FIXED_ASSETS_5_YEAR_GROWTH","FQ1 2018","FQ1 2018","Currency=INR","Period=FQ","BEST_FPERIOD_OVERRIDE=FQ","FILING_STATUS=OR","EQY_CONSOLIDATED=Y","Sort=A","Dates=H","DateFormat=P","Fill=—","Direction=H","UseDPDF=Y")</f>
        <v>#NAME?</v>
      </c>
      <c r="AV624" s="1" t="e">
        <f ca="1">_xll.BDH($C$603,"GEO_GROW_TOT_ASSET","FQ1 2018","FQ1 2018","Currency=INR","Period=FQ","BEST_FPERIOD_OVERRIDE=FQ","FILING_STATUS=OR","EQY_CONSOLIDATED=Y","Sort=A","Dates=H","DateFormat=P","Fill=—","Direction=H","UseDPDF=Y")</f>
        <v>#NAME?</v>
      </c>
      <c r="AW624" s="1" t="e">
        <f ca="1">_xll.BDH($C$603,"MODIFIED_WORKING_CPTL_5YR_GRWTH","FQ1 2018","FQ1 2018","Currency=INR","Period=FQ","BEST_FPERIOD_OVERRIDE=FQ","FILING_STATUS=OR","EQY_CONSOLIDATED=Y","Sort=A","Dates=H","DateFormat=P","Fill=—","Direction=H","UseDPDF=Y")</f>
        <v>#NAME?</v>
      </c>
      <c r="AX624" s="1" t="e">
        <f ca="1">_xll.BDH($C$603,"WORKING_CAPITAL_5_YEAR_GROWTH","FQ1 2018","FQ1 2018","Currency=INR","Period=FQ","BEST_FPERIOD_OVERRIDE=FQ","FILING_STATUS=OR","EQY_CONSOLIDATED=Y","Sort=A","Dates=H","DateFormat=P","Fill=—","Direction=H","UseDPDF=Y")</f>
        <v>#NAME?</v>
      </c>
      <c r="AY624" s="1" t="e">
        <f ca="1">_xll.BDH($C$603,"ACCOUNTS_PAYABLE_5_YEAR_GROWTH","FQ1 2018","FQ1 2018","Currency=INR","Period=FQ","BEST_FPERIOD_OVERRIDE=FQ","FILING_STATUS=OR","EQY_CONSOLIDATED=Y","Sort=A","Dates=H","DateFormat=P","Fill=—","Direction=H","UseDPDF=Y")</f>
        <v>#NAME?</v>
      </c>
      <c r="AZ624" s="1" t="e">
        <f ca="1">_xll.BDH($C$603,"SHORT_TERM_DEBT_5_YEAR_GROWTH","FQ1 2018","FQ1 2018","Currency=INR","Period=FQ","BEST_FPERIOD_OVERRIDE=FQ","FILING_STATUS=OR","EQY_CONSOLIDATED=Y","Sort=A","Dates=H","DateFormat=P","Fill=—","Direction=H","UseDPDF=Y")</f>
        <v>#NAME?</v>
      </c>
      <c r="BA624" s="1" t="e">
        <f ca="1">_xll.BDH($C$603,"TOTAL_DEBT_5_YEAR_GROWTH","FQ1 2018","FQ1 2018","Currency=INR","Period=FQ","BEST_FPERIOD_OVERRIDE=FQ","FILING_STATUS=OR","EQY_CONSOLIDATED=Y","Sort=A","Dates=H","DateFormat=P","Fill=—","Direction=H","UseDPDF=Y")</f>
        <v>#NAME?</v>
      </c>
      <c r="BB624" s="1" t="e">
        <f ca="1">_xll.BDH($C$603,"GEO_GROW_TOT_SHRHLDR_EQY","FQ1 2018","FQ1 2018","Currency=INR","Period=FQ","BEST_FPERIOD_OVERRIDE=FQ","FILING_STATUS=OR","EQY_CONSOLIDATED=Y","Sort=A","Dates=H","DateFormat=P","Fill=—","Direction=H","UseDPDF=Y")</f>
        <v>#NAME?</v>
      </c>
      <c r="BC624" s="1" t="e">
        <f ca="1">_xll.BDH($C$603,"TOTAL_CAPITAL_5_YEAR_GROWTH","FQ1 2018","FQ1 2018","Currency=INR","Period=FQ","BEST_FPERIOD_OVERRIDE=FQ","FILING_STATUS=OR","EQY_CONSOLIDATED=Y","Sort=A","Dates=H","DateFormat=P","Fill=—","Direction=H","UseDPDF=Y")</f>
        <v>#NAME?</v>
      </c>
      <c r="BD624" s="1" t="e">
        <f ca="1">_xll.BDH($C$603,"GEO_GROW_BOOK_VAL","FQ1 2018","FQ1 2018","Currency=INR","Period=FQ","BEST_FPERIOD_OVERRIDE=FQ","FILING_STATUS=OR","EQY_CONSOLIDATED=Y","Sort=A","Dates=H","DateFormat=P","Fill=—","Direction=H","UseDPDF=Y")</f>
        <v>#NAME?</v>
      </c>
      <c r="BE624" s="1" t="e">
        <f ca="1">_xll.BDH($C$603,"GEO_GROW_CASH_OPER_ACT","FQ1 2018","FQ1 2018","Currency=INR","Period=FQ","BEST_FPERIOD_OVERRIDE=FQ","FILING_STATUS=OR","EQY_CONSOLIDATED=Y","Sort=A","Dates=H","DateFormat=P","Fill=—","Direction=H","UseDPDF=Y")</f>
        <v>#NAME?</v>
      </c>
      <c r="BF624" s="1" t="e">
        <f ca="1">_xll.BDH($C$603,"REVENUE_SEQUENTIAL_GROWTH","FQ1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624" s="1" t="e">
        <f ca="1">_xll.BDH($C$603,"EBITDA_SEQUENTIAL_GROWTH","FQ1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624" s="1" t="e">
        <f ca="1">_xll.BDH($C$603,"OPERATING_INCOME_SEQ_GROWTH","FQ1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624" s="1" t="e">
        <f ca="1">_xll.BDH($C$603,"NET_INCOME_TO_COMMON_SEQ_GROWTH","FQ1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624" s="1" t="e">
        <f ca="1">_xll.BDH($C$603,"EPS_DILUTED_SEQUENTIAL_GROWTH","FQ1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624" s="1" t="e">
        <f ca="1">_xll.BDH($C$603,"DPS_SEQUENTIAL_GROWTH","FQ1 2018","FQ1 2018","Currency=INR","Period=FQ","BEST_FPERIOD_OVERRIDE=FQ","FILING_STATUS=OR","EQY_CONSOLIDATED=Y","Sort=A","Dates=H","DateFormat=P","Fill=—","Direction=H","UseDPDF=Y")</f>
        <v>#NAME?</v>
      </c>
      <c r="BL624" s="1" t="e">
        <f ca="1">_xll.BDH($C$603,"ACCOUNTS_RECEIVABLE_SEQ_GROWTH","FQ1 2018","FQ1 2018","Currency=INR","Period=FQ","BEST_FPERIOD_OVERRIDE=FQ","FILING_STATUS=OR","EQY_CONSOLIDATED=Y","Sort=A","Dates=H","DateFormat=P","Fill=—","Direction=H","UseDPDF=Y")</f>
        <v>#NAME?</v>
      </c>
      <c r="BM624" s="1" t="e">
        <f ca="1">_xll.BDH($C$603,"INVENTORY_SEQUENTIAL_GROWTH","FQ1 2018","FQ1 2018","Currency=INR","Period=FQ","BEST_FPERIOD_OVERRIDE=FQ","FILING_STATUS=OR","EQY_CONSOLIDATED=Y","Sort=A","Dates=H","DateFormat=P","Fill=—","Direction=H","UseDPDF=Y")</f>
        <v>#NAME?</v>
      </c>
      <c r="BN624" s="1" t="e">
        <f ca="1">_xll.BDH($C$603,"FIXED_ASSETS_SEQUENTIAL_GROWTH","FQ1 2018","FQ1 2018","Currency=INR","Period=FQ","BEST_FPERIOD_OVERRIDE=FQ","FILING_STATUS=OR","EQY_CONSOLIDATED=Y","Sort=A","Dates=H","DateFormat=P","Fill=—","Direction=H","UseDPDF=Y")</f>
        <v>#NAME?</v>
      </c>
      <c r="BO624" s="1" t="e">
        <f ca="1">_xll.BDH($C$603,"TOTAL_ASSETS_SEQUENTIAL_GROWTH","FQ1 2018","FQ1 2018","Currency=INR","Period=FQ","BEST_FPERIOD_OVERRIDE=FQ","FILING_STATUS=OR","EQY_CONSOLIDATED=Y","Sort=A","Dates=H","DateFormat=P","Fill=—","Direction=H","UseDPDF=Y")</f>
        <v>#NAME?</v>
      </c>
      <c r="BP624" s="1" t="e">
        <f ca="1">_xll.BDH($C$603,"MODIFIED_WORKING_CPTL_SEQ_GRWTH","FQ1 2018","FQ1 2018","Currency=INR","Period=FQ","BEST_FPERIOD_OVERRIDE=FQ","FILING_STATUS=OR","EQY_CONSOLIDATED=Y","Sort=A","Dates=H","DateFormat=P","Fill=—","Direction=H","UseDPDF=Y")</f>
        <v>#NAME?</v>
      </c>
      <c r="BQ624" s="1" t="e">
        <f ca="1">_xll.BDH($C$603,"WORKING_CAPITAL_SEQ_GROWTH","FQ1 2018","FQ1 2018","Currency=INR","Period=FQ","BEST_FPERIOD_OVERRIDE=FQ","FILING_STATUS=OR","EQY_CONSOLIDATED=Y","Sort=A","Dates=H","DateFormat=P","Fill=—","Direction=H","UseDPDF=Y")</f>
        <v>#NAME?</v>
      </c>
      <c r="BR624" s="1" t="e">
        <f ca="1">_xll.BDH($C$603,"ACCOUNTS_PAYABLE_SEQ_GROWTH","FQ1 2018","FQ1 2018","Currency=INR","Period=FQ","BEST_FPERIOD_OVERRIDE=FQ","FILING_STATUS=OR","EQY_CONSOLIDATED=Y","Sort=A","Dates=H","DateFormat=P","Fill=—","Direction=H","UseDPDF=Y")</f>
        <v>#NAME?</v>
      </c>
      <c r="BS624" s="1" t="e">
        <f ca="1">_xll.BDH($C$603,"ST_DEBT_SEQUENTIAL_GROWTH","FQ1 2018","FQ1 2018","Currency=INR","Period=FQ","BEST_FPERIOD_OVERRIDE=FQ","FILING_STATUS=OR","EQY_CONSOLIDATED=Y","Sort=A","Dates=H","DateFormat=P","Fill=—","Direction=H","UseDPDF=Y")</f>
        <v>#NAME?</v>
      </c>
      <c r="BT624" s="1" t="e">
        <f ca="1">_xll.BDH($C$603,"TOTAL_DEBT_SEQUENTIAL_GROWTH","FQ1 2018","FQ1 2018","Currency=INR","Period=FQ","BEST_FPERIOD_OVERRIDE=FQ","FILING_STATUS=OR","EQY_CONSOLIDATED=Y","Sort=A","Dates=H","DateFormat=P","Fill=—","Direction=H","UseDPDF=Y")</f>
        <v>#NAME?</v>
      </c>
      <c r="BU624" s="1" t="e">
        <f ca="1">_xll.BDH($C$603,"TOTAL_EQUITY_SEQUENTIAL_GROWTH","FQ1 2018","FQ1 2018","Currency=INR","Period=FQ","BEST_FPERIOD_OVERRIDE=FQ","FILING_STATUS=OR","EQY_CONSOLIDATED=Y","Sort=A","Dates=H","DateFormat=P","Fill=—","Direction=H","UseDPDF=Y")</f>
        <v>#NAME?</v>
      </c>
      <c r="BV624" s="1" t="e">
        <f ca="1">_xll.BDH($C$603,"TOTAL_CAPITAL_SEQUENTIAL_GROWTH","FQ1 2018","FQ1 2018","Currency=INR","Period=FQ","BEST_FPERIOD_OVERRIDE=FQ","FILING_STATUS=OR","EQY_CONSOLIDATED=Y","Sort=A","Dates=H","DateFormat=P","Fill=—","Direction=H","UseDPDF=Y")</f>
        <v>#NAME?</v>
      </c>
      <c r="BW624" s="1" t="e">
        <f ca="1">_xll.BDH($C$603,"BPS_SEQUENTIAL_GROWTH","FQ1 2018","FQ1 2018","Currency=INR","Period=FQ","BEST_FPERIOD_OVERRIDE=FQ","FILING_STATUS=OR","EQY_CONSOLIDATED=Y","Sort=A","Dates=H","DateFormat=P","Fill=—","Direction=H","UseDPDF=Y")</f>
        <v>#NAME?</v>
      </c>
      <c r="BX624" s="1" t="e">
        <f ca="1">_xll.BDH($C$603,"CFO_SEQUENTIAL_GROWTH","FQ1 2018","FQ1 2018","Currency=INR","Period=FQ","BEST_FPERIOD_OVERRIDE=FQ","FILING_STATUS=OR","EQY_CONSOLIDATED=Y","Sort=A","Dates=H","DateFormat=P","Fill=—","Direction=H","UseDPDF=Y")</f>
        <v>#NAME?</v>
      </c>
      <c r="BY624" s="2" t="e">
        <f ca="1">_xll.BDH($C$603,"SHORT_AND_LONG_TERM_DEBT","FQ1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624" s="2" t="e">
        <f ca="1">_xll.BDH($C$603,"BS_ST_BORROW","FQ1 2018","FQ1 2018","Currency=INR","Period=FQ","BEST_FPERIOD_OVERRIDE=FQ","FILING_STATUS=OR","EQY_CONSOLIDATED=Y","SCALING_FORMAT=MLN","Sort=A","Dates=H","DateFormat=P","Fill=—","Direction=H","UseDPDF=Y")</f>
        <v>#NAME?</v>
      </c>
      <c r="CA624" s="2" t="e">
        <f ca="1">_xll.BDH($C$603,"BS_LT_BORROW","FQ1 2018","FQ1 2018","Currency=INR","Period=FQ","BEST_FPERIOD_OVERRIDE=FQ","FILING_STATUS=OR","EQY_CONSOLIDATED=Y","SCALING_FORMAT=MLN","Sort=A","Dates=H","DateFormat=P","Fill=—","Direction=H","UseDPDF=Y")</f>
        <v>#NAME?</v>
      </c>
      <c r="CB624" s="1" t="e">
        <f ca="1">_xll.BDH($C$603,"TOT_DEBT_TO_EBITDA","FQ1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624" s="1" t="e">
        <f ca="1">_xll.BDH($C$603,"NET_DEBT_TO_EBITDA","FQ1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624" s="1" t="e">
        <f ca="1">_xll.BDH($C$603,"TOTAL_DEBT_TO_EBIT","FQ1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624" s="1" t="e">
        <f ca="1">_xll.BDH($C$603,"NET_DEBT_TO_EBIT","FQ1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624" s="1" t="e">
        <f ca="1">_xll.BDH($C$603,"EBITDA_TO_INTEREST_EXPN","FQ1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624" s="1" t="e">
        <f ca="1">_xll.BDH($C$603,"COM_EQY_TO_TOT_ASSET","FQ1 2018","FQ1 2018","Currency=INR","Period=FQ","BEST_FPERIOD_OVERRIDE=FQ","FILING_STATUS=OR","EQY_CONSOLIDATED=Y","Sort=A","Dates=H","DateFormat=P","Fill=—","Direction=H","UseDPDF=Y")</f>
        <v>#NAME?</v>
      </c>
      <c r="CH624" s="1" t="e">
        <f ca="1">_xll.BDH($C$603,"LT_DEBT_TO_TOT_EQY","FQ1 2018","FQ1 2018","Currency=INR","Period=FQ","BEST_FPERIOD_OVERRIDE=FQ","FILING_STATUS=OR","EQY_CONSOLIDATED=Y","Sort=A","Dates=H","DateFormat=P","Fill=—","Direction=H","UseDPDF=Y")</f>
        <v>#NAME?</v>
      </c>
      <c r="CI624" s="1" t="e">
        <f ca="1">_xll.BDH($C$603,"LT_DEBT_TO_TOT_CAP","FQ1 2018","FQ1 2018","Currency=INR","Period=FQ","BEST_FPERIOD_OVERRIDE=FQ","FILING_STATUS=OR","EQY_CONSOLIDATED=Y","Sort=A","Dates=H","DateFormat=P","Fill=—","Direction=H","UseDPDF=Y")</f>
        <v>#NAME?</v>
      </c>
      <c r="CJ624" s="1" t="e">
        <f ca="1">_xll.BDH($C$603,"LT_DEBT_TO_TOT_ASSET","FQ1 2018","FQ1 2018","Currency=INR","Period=FQ","BEST_FPERIOD_OVERRIDE=FQ","FILING_STATUS=OR","EQY_CONSOLIDATED=Y","Sort=A","Dates=H","DateFormat=P","Fill=—","Direction=H","UseDPDF=Y")</f>
        <v>#NAME?</v>
      </c>
      <c r="CK624" s="1" t="e">
        <f ca="1">_xll.BDH($C$603,"TOT_DEBT_TO_TOT_EQY","FQ1 2018","FQ1 2018","Currency=INR","Period=FQ","BEST_FPERIOD_OVERRIDE=FQ","FILING_STATUS=OR","EQY_CONSOLIDATED=Y","Sort=A","Dates=H","DateFormat=P","Fill=—","Direction=H","UseDPDF=Y")</f>
        <v>#NAME?</v>
      </c>
      <c r="CL624" s="1" t="e">
        <f ca="1">_xll.BDH($C$603,"TOT_DEBT_TO_TOT_CAP","FQ1 2018","FQ1 2018","Currency=INR","Period=FQ","BEST_FPERIOD_OVERRIDE=FQ","FILING_STATUS=OR","EQY_CONSOLIDATED=Y","Sort=A","Dates=H","DateFormat=P","Fill=—","Direction=H","UseDPDF=Y")</f>
        <v>#NAME?</v>
      </c>
      <c r="CM624" s="1" t="e">
        <f ca="1">_xll.BDH($C$603,"TOT_DEBT_TO_TOT_ASSET","FQ1 2018","FQ1 2018","Currency=INR","Period=FQ","BEST_FPERIOD_OVERRIDE=FQ","FILING_STATUS=OR","EQY_CONSOLIDATED=Y","Sort=A","Dates=H","DateFormat=P","Fill=—","Direction=H","UseDPDF=Y")</f>
        <v>#NAME?</v>
      </c>
      <c r="CN624" s="1" t="e">
        <f ca="1">_xll.BDH($C$603,"NET_DEBT_TO_SHRHLDR_EQTY","FQ1 2018","FQ1 2018","Currency=INR","Period=FQ","BEST_FPERIOD_OVERRIDE=FQ","FILING_STATUS=OR","EQY_CONSOLIDATED=Y","Sort=A","Dates=H","DateFormat=P","Fill=—","Direction=H","UseDPDF=Y")</f>
        <v>#NAME?</v>
      </c>
      <c r="CO624" s="1" t="e">
        <f ca="1">_xll.BDH($C$603,"NET_DEBT_%_CAPITAL","FQ1 2018","FQ1 2018","Currency=INR","Period=FQ","BEST_FPERIOD_OVERRIDE=FQ","FILING_STATUS=OR","EQY_CONSOLIDATED=Y","Sort=A","Dates=H","DateFormat=P","Fill=—","Direction=H","UseDPDF=Y")</f>
        <v>#NAME?</v>
      </c>
      <c r="CP624" s="2" t="e">
        <f ca="1">_xll.BDH($C$603,"EBITDA","FQ1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624" s="2" t="e">
        <f ca="1">_xll.BDH($C$603,"EBITDA_AFTER_CAPEX","FQ1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624" s="2" t="e">
        <f ca="1">_xll.BDH($C$603,"IS_OPER_INC","FQ1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624" s="1" t="e">
        <f ca="1">_xll.BDH($C$603,"CASH_RATIO","FQ1 2018","FQ1 2018","Currency=INR","Period=FQ","BEST_FPERIOD_OVERRIDE=FQ","FILING_STATUS=OR","EQY_CONSOLIDATED=Y","Sort=A","Dates=H","DateFormat=P","Fill=—","Direction=H","UseDPDF=Y")</f>
        <v>#NAME?</v>
      </c>
      <c r="CT624" s="1" t="e">
        <f ca="1">_xll.BDH($C$603,"CUR_RATIO","FQ1 2018","FQ1 2018","Currency=INR","Period=FQ","BEST_FPERIOD_OVERRIDE=FQ","FILING_STATUS=OR","EQY_CONSOLIDATED=Y","Sort=A","Dates=H","DateFormat=P","Fill=—","Direction=H","UseDPDF=Y")</f>
        <v>#NAME?</v>
      </c>
      <c r="CU624" s="1" t="e">
        <f ca="1">_xll.BDH($C$603,"QUICK_RATIO","FQ1 2018","FQ1 2018","Currency=INR","Period=FQ","BEST_FPERIOD_OVERRIDE=FQ","FILING_STATUS=OR","EQY_CONSOLIDATED=Y","Sort=A","Dates=H","DateFormat=P","Fill=—","Direction=H","UseDPDF=Y")</f>
        <v>#NAME?</v>
      </c>
      <c r="CV624" s="1" t="e">
        <f ca="1">_xll.BDH($C$603,"ALTMAN_Z_SCORE","FQ1 2018","FQ1 2018","Currency=INR","Period=FQ","BEST_FPERIOD_OVERRIDE=FQ","FILING_STATUS=OR","EQY_CONSOLIDATED=Y","Sort=A","Dates=H","DateFormat=P","Fill=—","Direction=H","UseDPDF=Y")</f>
        <v>#NAME?</v>
      </c>
      <c r="CW624" s="3" t="e">
        <f ca="1">_xll.BDH($C$603,"ACCT_RCV_TURN","FQ1 2018","FQ1 2018","Currency=INR","Period=FQ","BEST_FPERIOD_OVERRIDE=FQ","FILING_STATUS=OR","EQY_CONSOLIDATED=Y","FA_ADJUSTED=GAAP","Sort=A","Dates=H","DateFormat=P","Fill=—","Direction=H","UseDPDF=Y")</f>
        <v>#NAME?</v>
      </c>
      <c r="CX624" s="1" t="e">
        <f ca="1">_xll.BDH($C$603,"ACCT_RCV_DAYS","FQ1 2018","FQ1 2018","Currency=INR","Period=FQ","BEST_FPERIOD_OVERRIDE=FQ","FILING_STATUS=OR","EQY_CONSOLIDATED=Y","FA_ADJUSTED=GAAP","Sort=A","Dates=H","DateFormat=P","Fill=—","Direction=H","UseDPDF=Y")</f>
        <v>#NAME?</v>
      </c>
      <c r="CY624" s="3" t="e">
        <f ca="1">_xll.BDH($C$603,"INVENT_TURN","FQ1 2018","FQ1 2018","Currency=INR","Period=FQ","BEST_FPERIOD_OVERRIDE=FQ","FILING_STATUS=OR","EQY_CONSOLIDATED=Y","FA_ADJUSTED=GAAP","Sort=A","Dates=H","DateFormat=P","Fill=—","Direction=H","UseDPDF=Y")</f>
        <v>#NAME?</v>
      </c>
      <c r="CZ624" s="1" t="e">
        <f ca="1">_xll.BDH($C$603,"INVENT_DAYS","FQ1 2018","FQ1 2018","Currency=INR","Period=FQ","BEST_FPERIOD_OVERRIDE=FQ","FILING_STATUS=OR","EQY_CONSOLIDATED=Y","FA_ADJUSTED=GAAP","Sort=A","Dates=H","DateFormat=P","Fill=—","Direction=H","UseDPDF=Y")</f>
        <v>#NAME?</v>
      </c>
      <c r="DA624" s="3" t="e">
        <f ca="1">_xll.BDH($C$603,"ACCOUNTS_PAYABLE_TURNOVER","FQ1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624" s="1" t="e">
        <f ca="1">_xll.BDH($C$603,"ACCOUNTS_PAYABLE_TURNOVER_DAYS","FQ1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624" s="3" t="e">
        <f ca="1">_xll.BDH($C$603,"CASH_CONVERSION_CYCLE","FQ1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624" s="3" t="e">
        <f ca="1">_xll.BDH($C$603,"INV_TO_CASH_DAYS","FQ1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624" s="4" t="e">
        <f ca="1">_xll.BDH($C$603,"BS_INVENTORIES","FQ1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624" s="2" t="e">
        <f ca="1">_xll.BDH($C$603,"INVTRY_RAW_MATERIALS","FQ1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624" s="2" t="e">
        <f ca="1">_xll.BDH($C$603,"INVTRY_IN_PROGRESS","FQ1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624" s="2" t="e">
        <f ca="1">_xll.BDH($C$603,"INVTRY_FINISHED_GOODS","FQ1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624" s="2" t="e">
        <f ca="1">_xll.BDH($C$603,"BS_OTHER_INV","FQ1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625" spans="1:113" x14ac:dyDescent="0.3">
      <c r="A625" s="6"/>
      <c r="B625" s="6"/>
      <c r="C625" s="6"/>
      <c r="D625" s="6"/>
      <c r="E625" t="s">
        <v>5</v>
      </c>
      <c r="F625" t="e">
        <f ca="1">_xll.BDH($C$603,"RETURN_COM_EQY","FQ2 2018","FQ2 2018","Currency=INR","Period=FQ","BEST_FPERIOD_OVERRIDE=FQ","FILING_STATUS=OR","EQY_CONSOLIDATED=Y","FA_ADJUSTED=GAAP","Sort=A","Dates=H","DateFormat=P","Fill=—","Direction=H","UseDPDF=Y")</f>
        <v>#NAME?</v>
      </c>
      <c r="G625" t="e">
        <f ca="1">_xll.BDH($C$603,"RETURN_ON_ASSET","FQ2 2018","FQ2 2018","Currency=INR","Period=FQ","BEST_FPERIOD_OVERRIDE=FQ","FILING_STATUS=OR","EQY_CONSOLIDATED=Y","FA_ADJUSTED=GAAP","Sort=A","Dates=H","DateFormat=P","Fill=—","Direction=H","UseDPDF=Y")</f>
        <v>#NAME?</v>
      </c>
      <c r="H625" t="e">
        <f ca="1">_xll.BDH($C$603,"RETURN_ON_CAP","FQ2 2018","FQ2 2018","Currency=INR","Period=FQ","BEST_FPERIOD_OVERRIDE=FQ","FILING_STATUS=OR","EQY_CONSOLIDATED=Y","FA_ADJUSTED=GAAP","Sort=A","Dates=H","DateFormat=P","Fill=—","Direction=H","UseDPDF=Y")</f>
        <v>#NAME?</v>
      </c>
      <c r="I625" t="e">
        <f ca="1">_xll.BDH($C$603,"RETURN_ON_INV_CAPITAL","FQ2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625" t="e">
        <f ca="1">_xll.BDH($C$603,"EBITDA_TO_REVENUE","FQ2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625" t="e">
        <f ca="1">_xll.BDH($C$603,"OPER_MARGIN","FQ2 2018","FQ2 2018","Currency=INR","Period=FQ","BEST_FPERIOD_OVERRIDE=FQ","FILING_STATUS=OR","EQY_CONSOLIDATED=Y","FA_ADJUSTED=GAAP","Sort=A","Dates=H","DateFormat=P","Fill=—","Direction=H","UseDPDF=Y")</f>
        <v>#NAME?</v>
      </c>
      <c r="L625" t="e">
        <f ca="1">_xll.BDH($C$603,"INCREMENTAL_OPERATING_MARGIN","FQ2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625" t="e">
        <f ca="1">_xll.BDH($C$603,"PRETAX_INC_TO_NET_SALES","FQ2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625" t="e">
        <f ca="1">_xll.BDH($C$603,"INC_BEF_XO_ITEMS_TO_NET_SALES","FQ2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625" t="e">
        <f ca="1">_xll.BDH($C$603,"PROF_MARGIN","FQ2 2018","FQ2 2018","Currency=INR","Period=FQ","BEST_FPERIOD_OVERRIDE=FQ","FILING_STATUS=OR","EQY_CONSOLIDATED=Y","FA_ADJUSTED=GAAP","Sort=A","Dates=H","DateFormat=P","Fill=—","Direction=H","UseDPDF=Y")</f>
        <v>#NAME?</v>
      </c>
      <c r="P625" t="e">
        <f ca="1">_xll.BDH($C$603,"NET_INCOME_TO_COMMON_MARGIN","FQ2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625" t="e">
        <f ca="1">_xll.BDH($C$603,"EFF_TAX_RATE","FQ2 2018","FQ2 2018","Currency=INR","Period=FQ","BEST_FPERIOD_OVERRIDE=FQ","FILING_STATUS=OR","EQY_CONSOLIDATED=Y","FA_ADJUSTED=GAAP","Sort=A","Dates=H","DateFormat=P","Fill=—","Direction=H","UseDPDF=Y")</f>
        <v>#NAME?</v>
      </c>
      <c r="R625" t="e">
        <f ca="1">_xll.BDH($C$603,"DVD_PAYOUT_RATIO","FQ2 2018","FQ2 2018","Currency=INR","Period=FQ","BEST_FPERIOD_OVERRIDE=FQ","FILING_STATUS=OR","EQY_CONSOLIDATED=Y","FA_ADJUSTED=GAAP","Sort=A","Dates=H","DateFormat=P","Fill=—","Direction=H","UseDPDF=Y")</f>
        <v>#NAME?</v>
      </c>
      <c r="S625" t="e">
        <f ca="1">_xll.BDH($C$603,"SUSTAIN_GROWTH_RT","FQ2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625" s="1" t="e">
        <f ca="1">_xll.BDH($C$603,"SALES_GROWTH","FQ2 2018","FQ2 2018","Currency=INR","Period=FQ","BEST_FPERIOD_OVERRIDE=FQ","FILING_STATUS=OR","EQY_CONSOLIDATED=Y","FA_ADJUSTED=GAAP","Sort=A","Dates=H","DateFormat=P","Fill=—","Direction=H","UseDPDF=Y")</f>
        <v>#NAME?</v>
      </c>
      <c r="U625" s="1" t="e">
        <f ca="1">_xll.BDH($C$603,"EBITDA_GROWTH","FQ2 2018","FQ2 2018","Currency=INR","Period=FQ","BEST_FPERIOD_OVERRIDE=FQ","FILING_STATUS=OR","EQY_CONSOLIDATED=Y","FA_ADJUSTED=GAAP","Sort=A","Dates=H","DateFormat=P","Fill=—","Direction=H","UseDPDF=Y")</f>
        <v>#NAME?</v>
      </c>
      <c r="V625" s="1" t="e">
        <f ca="1">_xll.BDH($C$603,"OPER_INC_GROWTH","FQ2 2018","FQ2 2018","Currency=INR","Period=FQ","BEST_FPERIOD_OVERRIDE=FQ","FILING_STATUS=OR","EQY_CONSOLIDATED=Y","FA_ADJUSTED=GAAP","Sort=A","Dates=H","DateFormat=P","Fill=—","Direction=H","UseDPDF=Y")</f>
        <v>#NAME?</v>
      </c>
      <c r="W625" s="1" t="e">
        <f ca="1">_xll.BDH($C$603,"EARN_FOR_COM_GROWTH","FQ2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625" s="1" t="e">
        <f ca="1">_xll.BDH($C$603,"DILUTED_EPS_AFT_XO_ITEMS_GROWTH","FQ2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625" s="1" t="e">
        <f ca="1">_xll.BDH($C$603,"DIVIDEND_PER_SHARE_1_YEAR_GROWTH","FQ2 2018","FQ2 2018","Currency=INR","Period=FQ","BEST_FPERIOD_OVERRIDE=FQ","FILING_STATUS=OR","EQY_CONSOLIDATED=Y","Sort=A","Dates=H","DateFormat=P","Fill=—","Direction=H","UseDPDF=Y")</f>
        <v>#NAME?</v>
      </c>
      <c r="Z625" s="1" t="e">
        <f ca="1">_xll.BDH($C$603,"ACCOUNTS_RECEIVABLE_GROWTH","FQ2 2018","FQ2 2018","Currency=INR","Period=FQ","BEST_FPERIOD_OVERRIDE=FQ","FILING_STATUS=OR","EQY_CONSOLIDATED=Y","Sort=A","Dates=H","DateFormat=P","Fill=—","Direction=H","UseDPDF=Y")</f>
        <v>#NAME?</v>
      </c>
      <c r="AA625" s="1" t="e">
        <f ca="1">_xll.BDH($C$603,"INVENTORY_GROWTH","FQ2 2018","FQ2 2018","Currency=INR","Period=FQ","BEST_FPERIOD_OVERRIDE=FQ","FILING_STATUS=OR","EQY_CONSOLIDATED=Y","Sort=A","Dates=H","DateFormat=P","Fill=—","Direction=H","UseDPDF=Y")</f>
        <v>#NAME?</v>
      </c>
      <c r="AB625" s="1" t="e">
        <f ca="1">_xll.BDH($C$603,"NET_FIXED_ASSETS_1_YEAR_GROWTH","FQ2 2018","FQ2 2018","Currency=INR","Period=FQ","BEST_FPERIOD_OVERRIDE=FQ","FILING_STATUS=OR","EQY_CONSOLIDATED=Y","Sort=A","Dates=H","DateFormat=P","Fill=—","Direction=H","UseDPDF=Y")</f>
        <v>#NAME?</v>
      </c>
      <c r="AC625" s="1" t="e">
        <f ca="1">_xll.BDH($C$603,"ASSET_GROWTH","FQ2 2018","FQ2 2018","Currency=INR","Period=FQ","BEST_FPERIOD_OVERRIDE=FQ","FILING_STATUS=OR","EQY_CONSOLIDATED=Y","Sort=A","Dates=H","DateFormat=P","Fill=—","Direction=H","UseDPDF=Y")</f>
        <v>#NAME?</v>
      </c>
      <c r="AD625" s="1" t="e">
        <f ca="1">_xll.BDH($C$603,"MODIFIED_WORK_CAP_GROWTH","FQ2 2018","FQ2 2018","Currency=INR","Period=FQ","BEST_FPERIOD_OVERRIDE=FQ","FILING_STATUS=OR","EQY_CONSOLIDATED=Y","Sort=A","Dates=H","DateFormat=P","Fill=—","Direction=H","UseDPDF=Y")</f>
        <v>#NAME?</v>
      </c>
      <c r="AE625" s="1" t="e">
        <f ca="1">_xll.BDH($C$603,"WORK_CAP_GROWTH","FQ2 2018","FQ2 2018","Currency=INR","Period=FQ","BEST_FPERIOD_OVERRIDE=FQ","FILING_STATUS=OR","EQY_CONSOLIDATED=Y","Sort=A","Dates=H","DateFormat=P","Fill=—","Direction=H","UseDPDF=Y")</f>
        <v>#NAME?</v>
      </c>
      <c r="AF625" s="1" t="e">
        <f ca="1">_xll.BDH($C$603,"ACCOUNTS_PAYABLE_GROWTH_1YR","FQ2 2018","FQ2 2018","Currency=INR","Period=FQ","BEST_FPERIOD_OVERRIDE=FQ","FILING_STATUS=OR","EQY_CONSOLIDATED=Y","Sort=A","Dates=H","DateFormat=P","Fill=—","Direction=H","UseDPDF=Y")</f>
        <v>#NAME?</v>
      </c>
      <c r="AG625" s="1" t="e">
        <f ca="1">_xll.BDH($C$603,"SHORT_TERM_DEBT_1_YEAR_GROWTH","FQ2 2018","FQ2 2018","Currency=INR","Period=FQ","BEST_FPERIOD_OVERRIDE=FQ","FILING_STATUS=OR","EQY_CONSOLIDATED=Y","Sort=A","Dates=H","DateFormat=P","Fill=—","Direction=H","UseDPDF=Y")</f>
        <v>#NAME?</v>
      </c>
      <c r="AH625" s="1" t="e">
        <f ca="1">_xll.BDH($C$603,"TOTAL_DEBT_1_YEAR_GROWTH","FQ2 2018","FQ2 2018","Currency=INR","Period=FQ","BEST_FPERIOD_OVERRIDE=FQ","FILING_STATUS=OR","EQY_CONSOLIDATED=Y","Sort=A","Dates=H","DateFormat=P","Fill=—","Direction=H","UseDPDF=Y")</f>
        <v>#NAME?</v>
      </c>
      <c r="AI625" s="1" t="e">
        <f ca="1">_xll.BDH($C$603,"TOTAL_EQUITY_1_YEAR_GROWTH","FQ2 2018","FQ2 2018","Currency=INR","Period=FQ","BEST_FPERIOD_OVERRIDE=FQ","FILING_STATUS=OR","EQY_CONSOLIDATED=Y","Sort=A","Dates=H","DateFormat=P","Fill=—","Direction=H","UseDPDF=Y")</f>
        <v>#NAME?</v>
      </c>
      <c r="AJ625" s="1" t="e">
        <f ca="1">_xll.BDH($C$603,"GROWTH_IN_CAP","FQ2 2018","FQ2 2018","Currency=INR","Period=FQ","BEST_FPERIOD_OVERRIDE=FQ","FILING_STATUS=OR","EQY_CONSOLIDATED=Y","Sort=A","Dates=H","DateFormat=P","Fill=—","Direction=H","UseDPDF=Y")</f>
        <v>#NAME?</v>
      </c>
      <c r="AK625" s="1" t="e">
        <f ca="1">_xll.BDH($C$603,"BVPS_GROWTH","FQ2 2018","FQ2 2018","Currency=INR","Period=FQ","BEST_FPERIOD_OVERRIDE=FQ","FILING_STATUS=OR","EQY_CONSOLIDATED=Y","Sort=A","Dates=H","DateFormat=P","Fill=—","Direction=H","UseDPDF=Y")</f>
        <v>#NAME?</v>
      </c>
      <c r="AL625" s="1" t="e">
        <f ca="1">_xll.BDH($C$603,"CASH_FLOW_GROWTH","FQ2 2018","FQ2 2018","Currency=INR","Period=FQ","BEST_FPERIOD_OVERRIDE=FQ","FILING_STATUS=OR","EQY_CONSOLIDATED=Y","Sort=A","Dates=H","DateFormat=P","Fill=—","Direction=H","UseDPDF=Y")</f>
        <v>#NAME?</v>
      </c>
      <c r="AM625" s="1" t="e">
        <f ca="1">_xll.BDH($C$603,"GEO_GROW_NET_SALES","FQ2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625" s="1" t="e">
        <f ca="1">_xll.BDH($C$603,"GEO_GROW_EBITDA","FQ2 2018","FQ2 2018","Currency=INR","Period=FQ","BEST_FPERIOD_OVERRIDE=FQ","FILING_STATUS=OR","EQY_CONSOLIDATED=Y","FA_ADJUSTED=GAAP","Sort=A","Dates=H","DateFormat=P","Fill=—","Direction=H","UseDPDF=Y")</f>
        <v>#NAME?</v>
      </c>
      <c r="AO625" s="1" t="e">
        <f ca="1">_xll.BDH($C$603,"GEO_GROW_OPER_INC","FQ2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625" s="1" t="e">
        <f ca="1">_xll.BDH($C$603,"NET_INCOME_TO_COMMON_5_YR_GROWTH","FQ2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625" s="1" t="e">
        <f ca="1">_xll.BDH($C$603,"5Y_GEO_GROWTH_DILUTED_EPS","FQ2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625" s="1" t="e">
        <f ca="1">_xll.BDH($C$603,"GEO_GROW_DVD_PER_SH","FQ2 2018","FQ2 2018","Currency=INR","Period=FQ","BEST_FPERIOD_OVERRIDE=FQ","FILING_STATUS=OR","EQY_CONSOLIDATED=Y","Sort=A","Dates=H","DateFormat=P","Fill=—","Direction=H","UseDPDF=Y")</f>
        <v>#NAME?</v>
      </c>
      <c r="AS625" s="1" t="e">
        <f ca="1">_xll.BDH($C$603,"ACCOUNTS_RECEIVABLE_5_YR_GROWTH","FQ2 2018","FQ2 2018","Currency=INR","Period=FQ","BEST_FPERIOD_OVERRIDE=FQ","FILING_STATUS=OR","EQY_CONSOLIDATED=Y","Sort=A","Dates=H","DateFormat=P","Fill=—","Direction=H","UseDPDF=Y")</f>
        <v>#NAME?</v>
      </c>
      <c r="AT625" s="1" t="e">
        <f ca="1">_xll.BDH($C$603,"INVENTORY_5_YEAR_GROWTH","FQ2 2018","FQ2 2018","Currency=INR","Period=FQ","BEST_FPERIOD_OVERRIDE=FQ","FILING_STATUS=OR","EQY_CONSOLIDATED=Y","Sort=A","Dates=H","DateFormat=P","Fill=—","Direction=H","UseDPDF=Y")</f>
        <v>#NAME?</v>
      </c>
      <c r="AU625" s="1" t="e">
        <f ca="1">_xll.BDH($C$603,"NET_FIXED_ASSETS_5_YEAR_GROWTH","FQ2 2018","FQ2 2018","Currency=INR","Period=FQ","BEST_FPERIOD_OVERRIDE=FQ","FILING_STATUS=OR","EQY_CONSOLIDATED=Y","Sort=A","Dates=H","DateFormat=P","Fill=—","Direction=H","UseDPDF=Y")</f>
        <v>#NAME?</v>
      </c>
      <c r="AV625" s="1" t="e">
        <f ca="1">_xll.BDH($C$603,"GEO_GROW_TOT_ASSET","FQ2 2018","FQ2 2018","Currency=INR","Period=FQ","BEST_FPERIOD_OVERRIDE=FQ","FILING_STATUS=OR","EQY_CONSOLIDATED=Y","Sort=A","Dates=H","DateFormat=P","Fill=—","Direction=H","UseDPDF=Y")</f>
        <v>#NAME?</v>
      </c>
      <c r="AW625" s="1" t="e">
        <f ca="1">_xll.BDH($C$603,"MODIFIED_WORKING_CPTL_5YR_GRWTH","FQ2 2018","FQ2 2018","Currency=INR","Period=FQ","BEST_FPERIOD_OVERRIDE=FQ","FILING_STATUS=OR","EQY_CONSOLIDATED=Y","Sort=A","Dates=H","DateFormat=P","Fill=—","Direction=H","UseDPDF=Y")</f>
        <v>#NAME?</v>
      </c>
      <c r="AX625" s="1" t="e">
        <f ca="1">_xll.BDH($C$603,"WORKING_CAPITAL_5_YEAR_GROWTH","FQ2 2018","FQ2 2018","Currency=INR","Period=FQ","BEST_FPERIOD_OVERRIDE=FQ","FILING_STATUS=OR","EQY_CONSOLIDATED=Y","Sort=A","Dates=H","DateFormat=P","Fill=—","Direction=H","UseDPDF=Y")</f>
        <v>#NAME?</v>
      </c>
      <c r="AY625" s="1" t="e">
        <f ca="1">_xll.BDH($C$603,"ACCOUNTS_PAYABLE_5_YEAR_GROWTH","FQ2 2018","FQ2 2018","Currency=INR","Period=FQ","BEST_FPERIOD_OVERRIDE=FQ","FILING_STATUS=OR","EQY_CONSOLIDATED=Y","Sort=A","Dates=H","DateFormat=P","Fill=—","Direction=H","UseDPDF=Y")</f>
        <v>#NAME?</v>
      </c>
      <c r="AZ625" s="1" t="e">
        <f ca="1">_xll.BDH($C$603,"SHORT_TERM_DEBT_5_YEAR_GROWTH","FQ2 2018","FQ2 2018","Currency=INR","Period=FQ","BEST_FPERIOD_OVERRIDE=FQ","FILING_STATUS=OR","EQY_CONSOLIDATED=Y","Sort=A","Dates=H","DateFormat=P","Fill=—","Direction=H","UseDPDF=Y")</f>
        <v>#NAME?</v>
      </c>
      <c r="BA625" s="1" t="e">
        <f ca="1">_xll.BDH($C$603,"TOTAL_DEBT_5_YEAR_GROWTH","FQ2 2018","FQ2 2018","Currency=INR","Period=FQ","BEST_FPERIOD_OVERRIDE=FQ","FILING_STATUS=OR","EQY_CONSOLIDATED=Y","Sort=A","Dates=H","DateFormat=P","Fill=—","Direction=H","UseDPDF=Y")</f>
        <v>#NAME?</v>
      </c>
      <c r="BB625" s="1" t="e">
        <f ca="1">_xll.BDH($C$603,"GEO_GROW_TOT_SHRHLDR_EQY","FQ2 2018","FQ2 2018","Currency=INR","Period=FQ","BEST_FPERIOD_OVERRIDE=FQ","FILING_STATUS=OR","EQY_CONSOLIDATED=Y","Sort=A","Dates=H","DateFormat=P","Fill=—","Direction=H","UseDPDF=Y")</f>
        <v>#NAME?</v>
      </c>
      <c r="BC625" s="1" t="e">
        <f ca="1">_xll.BDH($C$603,"TOTAL_CAPITAL_5_YEAR_GROWTH","FQ2 2018","FQ2 2018","Currency=INR","Period=FQ","BEST_FPERIOD_OVERRIDE=FQ","FILING_STATUS=OR","EQY_CONSOLIDATED=Y","Sort=A","Dates=H","DateFormat=P","Fill=—","Direction=H","UseDPDF=Y")</f>
        <v>#NAME?</v>
      </c>
      <c r="BD625" s="1" t="e">
        <f ca="1">_xll.BDH($C$603,"GEO_GROW_BOOK_VAL","FQ2 2018","FQ2 2018","Currency=INR","Period=FQ","BEST_FPERIOD_OVERRIDE=FQ","FILING_STATUS=OR","EQY_CONSOLIDATED=Y","Sort=A","Dates=H","DateFormat=P","Fill=—","Direction=H","UseDPDF=Y")</f>
        <v>#NAME?</v>
      </c>
      <c r="BE625" s="1" t="e">
        <f ca="1">_xll.BDH($C$603,"GEO_GROW_CASH_OPER_ACT","FQ2 2018","FQ2 2018","Currency=INR","Period=FQ","BEST_FPERIOD_OVERRIDE=FQ","FILING_STATUS=OR","EQY_CONSOLIDATED=Y","Sort=A","Dates=H","DateFormat=P","Fill=—","Direction=H","UseDPDF=Y")</f>
        <v>#NAME?</v>
      </c>
      <c r="BF625" s="1" t="e">
        <f ca="1">_xll.BDH($C$603,"REVENUE_SEQUENTIAL_GROWTH","FQ2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625" s="1" t="e">
        <f ca="1">_xll.BDH($C$603,"EBITDA_SEQUENTIAL_GROWTH","FQ2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625" s="1" t="e">
        <f ca="1">_xll.BDH($C$603,"OPERATING_INCOME_SEQ_GROWTH","FQ2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625" s="1" t="e">
        <f ca="1">_xll.BDH($C$603,"NET_INCOME_TO_COMMON_SEQ_GROWTH","FQ2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625" s="1" t="e">
        <f ca="1">_xll.BDH($C$603,"EPS_DILUTED_SEQUENTIAL_GROWTH","FQ2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625" s="1" t="e">
        <f ca="1">_xll.BDH($C$603,"DPS_SEQUENTIAL_GROWTH","FQ2 2018","FQ2 2018","Currency=INR","Period=FQ","BEST_FPERIOD_OVERRIDE=FQ","FILING_STATUS=OR","EQY_CONSOLIDATED=Y","Sort=A","Dates=H","DateFormat=P","Fill=—","Direction=H","UseDPDF=Y")</f>
        <v>#NAME?</v>
      </c>
      <c r="BL625" s="1" t="e">
        <f ca="1">_xll.BDH($C$603,"ACCOUNTS_RECEIVABLE_SEQ_GROWTH","FQ2 2018","FQ2 2018","Currency=INR","Period=FQ","BEST_FPERIOD_OVERRIDE=FQ","FILING_STATUS=OR","EQY_CONSOLIDATED=Y","Sort=A","Dates=H","DateFormat=P","Fill=—","Direction=H","UseDPDF=Y")</f>
        <v>#NAME?</v>
      </c>
      <c r="BM625" s="1" t="e">
        <f ca="1">_xll.BDH($C$603,"INVENTORY_SEQUENTIAL_GROWTH","FQ2 2018","FQ2 2018","Currency=INR","Period=FQ","BEST_FPERIOD_OVERRIDE=FQ","FILING_STATUS=OR","EQY_CONSOLIDATED=Y","Sort=A","Dates=H","DateFormat=P","Fill=—","Direction=H","UseDPDF=Y")</f>
        <v>#NAME?</v>
      </c>
      <c r="BN625" s="1" t="e">
        <f ca="1">_xll.BDH($C$603,"FIXED_ASSETS_SEQUENTIAL_GROWTH","FQ2 2018","FQ2 2018","Currency=INR","Period=FQ","BEST_FPERIOD_OVERRIDE=FQ","FILING_STATUS=OR","EQY_CONSOLIDATED=Y","Sort=A","Dates=H","DateFormat=P","Fill=—","Direction=H","UseDPDF=Y")</f>
        <v>#NAME?</v>
      </c>
      <c r="BO625" s="1" t="e">
        <f ca="1">_xll.BDH($C$603,"TOTAL_ASSETS_SEQUENTIAL_GROWTH","FQ2 2018","FQ2 2018","Currency=INR","Period=FQ","BEST_FPERIOD_OVERRIDE=FQ","FILING_STATUS=OR","EQY_CONSOLIDATED=Y","Sort=A","Dates=H","DateFormat=P","Fill=—","Direction=H","UseDPDF=Y")</f>
        <v>#NAME?</v>
      </c>
      <c r="BP625" s="1" t="e">
        <f ca="1">_xll.BDH($C$603,"MODIFIED_WORKING_CPTL_SEQ_GRWTH","FQ2 2018","FQ2 2018","Currency=INR","Period=FQ","BEST_FPERIOD_OVERRIDE=FQ","FILING_STATUS=OR","EQY_CONSOLIDATED=Y","Sort=A","Dates=H","DateFormat=P","Fill=—","Direction=H","UseDPDF=Y")</f>
        <v>#NAME?</v>
      </c>
      <c r="BQ625" s="1" t="e">
        <f ca="1">_xll.BDH($C$603,"WORKING_CAPITAL_SEQ_GROWTH","FQ2 2018","FQ2 2018","Currency=INR","Period=FQ","BEST_FPERIOD_OVERRIDE=FQ","FILING_STATUS=OR","EQY_CONSOLIDATED=Y","Sort=A","Dates=H","DateFormat=P","Fill=—","Direction=H","UseDPDF=Y")</f>
        <v>#NAME?</v>
      </c>
      <c r="BR625" s="1" t="e">
        <f ca="1">_xll.BDH($C$603,"ACCOUNTS_PAYABLE_SEQ_GROWTH","FQ2 2018","FQ2 2018","Currency=INR","Period=FQ","BEST_FPERIOD_OVERRIDE=FQ","FILING_STATUS=OR","EQY_CONSOLIDATED=Y","Sort=A","Dates=H","DateFormat=P","Fill=—","Direction=H","UseDPDF=Y")</f>
        <v>#NAME?</v>
      </c>
      <c r="BS625" s="1" t="e">
        <f ca="1">_xll.BDH($C$603,"ST_DEBT_SEQUENTIAL_GROWTH","FQ2 2018","FQ2 2018","Currency=INR","Period=FQ","BEST_FPERIOD_OVERRIDE=FQ","FILING_STATUS=OR","EQY_CONSOLIDATED=Y","Sort=A","Dates=H","DateFormat=P","Fill=—","Direction=H","UseDPDF=Y")</f>
        <v>#NAME?</v>
      </c>
      <c r="BT625" s="1" t="e">
        <f ca="1">_xll.BDH($C$603,"TOTAL_DEBT_SEQUENTIAL_GROWTH","FQ2 2018","FQ2 2018","Currency=INR","Period=FQ","BEST_FPERIOD_OVERRIDE=FQ","FILING_STATUS=OR","EQY_CONSOLIDATED=Y","Sort=A","Dates=H","DateFormat=P","Fill=—","Direction=H","UseDPDF=Y")</f>
        <v>#NAME?</v>
      </c>
      <c r="BU625" s="1" t="e">
        <f ca="1">_xll.BDH($C$603,"TOTAL_EQUITY_SEQUENTIAL_GROWTH","FQ2 2018","FQ2 2018","Currency=INR","Period=FQ","BEST_FPERIOD_OVERRIDE=FQ","FILING_STATUS=OR","EQY_CONSOLIDATED=Y","Sort=A","Dates=H","DateFormat=P","Fill=—","Direction=H","UseDPDF=Y")</f>
        <v>#NAME?</v>
      </c>
      <c r="BV625" s="1" t="e">
        <f ca="1">_xll.BDH($C$603,"TOTAL_CAPITAL_SEQUENTIAL_GROWTH","FQ2 2018","FQ2 2018","Currency=INR","Period=FQ","BEST_FPERIOD_OVERRIDE=FQ","FILING_STATUS=OR","EQY_CONSOLIDATED=Y","Sort=A","Dates=H","DateFormat=P","Fill=—","Direction=H","UseDPDF=Y")</f>
        <v>#NAME?</v>
      </c>
      <c r="BW625" s="1" t="e">
        <f ca="1">_xll.BDH($C$603,"BPS_SEQUENTIAL_GROWTH","FQ2 2018","FQ2 2018","Currency=INR","Period=FQ","BEST_FPERIOD_OVERRIDE=FQ","FILING_STATUS=OR","EQY_CONSOLIDATED=Y","Sort=A","Dates=H","DateFormat=P","Fill=—","Direction=H","UseDPDF=Y")</f>
        <v>#NAME?</v>
      </c>
      <c r="BX625" s="1" t="e">
        <f ca="1">_xll.BDH($C$603,"CFO_SEQUENTIAL_GROWTH","FQ2 2018","FQ2 2018","Currency=INR","Period=FQ","BEST_FPERIOD_OVERRIDE=FQ","FILING_STATUS=OR","EQY_CONSOLIDATED=Y","Sort=A","Dates=H","DateFormat=P","Fill=—","Direction=H","UseDPDF=Y")</f>
        <v>#NAME?</v>
      </c>
      <c r="BY625" s="2" t="e">
        <f ca="1">_xll.BDH($C$603,"SHORT_AND_LONG_TERM_DEBT","FQ2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625" s="2" t="e">
        <f ca="1">_xll.BDH($C$603,"BS_ST_BORROW","FQ2 2018","FQ2 2018","Currency=INR","Period=FQ","BEST_FPERIOD_OVERRIDE=FQ","FILING_STATUS=OR","EQY_CONSOLIDATED=Y","SCALING_FORMAT=MLN","Sort=A","Dates=H","DateFormat=P","Fill=—","Direction=H","UseDPDF=Y")</f>
        <v>#NAME?</v>
      </c>
      <c r="CA625" s="2" t="e">
        <f ca="1">_xll.BDH($C$603,"BS_LT_BORROW","FQ2 2018","FQ2 2018","Currency=INR","Period=FQ","BEST_FPERIOD_OVERRIDE=FQ","FILING_STATUS=OR","EQY_CONSOLIDATED=Y","SCALING_FORMAT=MLN","Sort=A","Dates=H","DateFormat=P","Fill=—","Direction=H","UseDPDF=Y")</f>
        <v>#NAME?</v>
      </c>
      <c r="CB625" s="1" t="e">
        <f ca="1">_xll.BDH($C$603,"TOT_DEBT_TO_EBITDA","FQ2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625" s="1" t="e">
        <f ca="1">_xll.BDH($C$603,"NET_DEBT_TO_EBITDA","FQ2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625" s="1" t="e">
        <f ca="1">_xll.BDH($C$603,"TOTAL_DEBT_TO_EBIT","FQ2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625" s="1" t="e">
        <f ca="1">_xll.BDH($C$603,"NET_DEBT_TO_EBIT","FQ2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625" s="1" t="e">
        <f ca="1">_xll.BDH($C$603,"EBITDA_TO_INTEREST_EXPN","FQ2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625" s="1" t="e">
        <f ca="1">_xll.BDH($C$603,"COM_EQY_TO_TOT_ASSET","FQ2 2018","FQ2 2018","Currency=INR","Period=FQ","BEST_FPERIOD_OVERRIDE=FQ","FILING_STATUS=OR","EQY_CONSOLIDATED=Y","Sort=A","Dates=H","DateFormat=P","Fill=—","Direction=H","UseDPDF=Y")</f>
        <v>#NAME?</v>
      </c>
      <c r="CH625" s="1" t="e">
        <f ca="1">_xll.BDH($C$603,"LT_DEBT_TO_TOT_EQY","FQ2 2018","FQ2 2018","Currency=INR","Period=FQ","BEST_FPERIOD_OVERRIDE=FQ","FILING_STATUS=OR","EQY_CONSOLIDATED=Y","Sort=A","Dates=H","DateFormat=P","Fill=—","Direction=H","UseDPDF=Y")</f>
        <v>#NAME?</v>
      </c>
      <c r="CI625" s="1" t="e">
        <f ca="1">_xll.BDH($C$603,"LT_DEBT_TO_TOT_CAP","FQ2 2018","FQ2 2018","Currency=INR","Period=FQ","BEST_FPERIOD_OVERRIDE=FQ","FILING_STATUS=OR","EQY_CONSOLIDATED=Y","Sort=A","Dates=H","DateFormat=P","Fill=—","Direction=H","UseDPDF=Y")</f>
        <v>#NAME?</v>
      </c>
      <c r="CJ625" s="1" t="e">
        <f ca="1">_xll.BDH($C$603,"LT_DEBT_TO_TOT_ASSET","FQ2 2018","FQ2 2018","Currency=INR","Period=FQ","BEST_FPERIOD_OVERRIDE=FQ","FILING_STATUS=OR","EQY_CONSOLIDATED=Y","Sort=A","Dates=H","DateFormat=P","Fill=—","Direction=H","UseDPDF=Y")</f>
        <v>#NAME?</v>
      </c>
      <c r="CK625" s="1" t="e">
        <f ca="1">_xll.BDH($C$603,"TOT_DEBT_TO_TOT_EQY","FQ2 2018","FQ2 2018","Currency=INR","Period=FQ","BEST_FPERIOD_OVERRIDE=FQ","FILING_STATUS=OR","EQY_CONSOLIDATED=Y","Sort=A","Dates=H","DateFormat=P","Fill=—","Direction=H","UseDPDF=Y")</f>
        <v>#NAME?</v>
      </c>
      <c r="CL625" s="1" t="e">
        <f ca="1">_xll.BDH($C$603,"TOT_DEBT_TO_TOT_CAP","FQ2 2018","FQ2 2018","Currency=INR","Period=FQ","BEST_FPERIOD_OVERRIDE=FQ","FILING_STATUS=OR","EQY_CONSOLIDATED=Y","Sort=A","Dates=H","DateFormat=P","Fill=—","Direction=H","UseDPDF=Y")</f>
        <v>#NAME?</v>
      </c>
      <c r="CM625" s="1" t="e">
        <f ca="1">_xll.BDH($C$603,"TOT_DEBT_TO_TOT_ASSET","FQ2 2018","FQ2 2018","Currency=INR","Period=FQ","BEST_FPERIOD_OVERRIDE=FQ","FILING_STATUS=OR","EQY_CONSOLIDATED=Y","Sort=A","Dates=H","DateFormat=P","Fill=—","Direction=H","UseDPDF=Y")</f>
        <v>#NAME?</v>
      </c>
      <c r="CN625" s="1" t="e">
        <f ca="1">_xll.BDH($C$603,"NET_DEBT_TO_SHRHLDR_EQTY","FQ2 2018","FQ2 2018","Currency=INR","Period=FQ","BEST_FPERIOD_OVERRIDE=FQ","FILING_STATUS=OR","EQY_CONSOLIDATED=Y","Sort=A","Dates=H","DateFormat=P","Fill=—","Direction=H","UseDPDF=Y")</f>
        <v>#NAME?</v>
      </c>
      <c r="CO625" s="1" t="e">
        <f ca="1">_xll.BDH($C$603,"NET_DEBT_%_CAPITAL","FQ2 2018","FQ2 2018","Currency=INR","Period=FQ","BEST_FPERIOD_OVERRIDE=FQ","FILING_STATUS=OR","EQY_CONSOLIDATED=Y","Sort=A","Dates=H","DateFormat=P","Fill=—","Direction=H","UseDPDF=Y")</f>
        <v>#NAME?</v>
      </c>
      <c r="CP625" s="2" t="e">
        <f ca="1">_xll.BDH($C$603,"EBITDA","FQ2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625" s="2" t="e">
        <f ca="1">_xll.BDH($C$603,"EBITDA_AFTER_CAPEX","FQ2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625" s="2" t="e">
        <f ca="1">_xll.BDH($C$603,"IS_OPER_INC","FQ2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625" s="1" t="e">
        <f ca="1">_xll.BDH($C$603,"CASH_RATIO","FQ2 2018","FQ2 2018","Currency=INR","Period=FQ","BEST_FPERIOD_OVERRIDE=FQ","FILING_STATUS=OR","EQY_CONSOLIDATED=Y","Sort=A","Dates=H","DateFormat=P","Fill=—","Direction=H","UseDPDF=Y")</f>
        <v>#NAME?</v>
      </c>
      <c r="CT625" s="1" t="e">
        <f ca="1">_xll.BDH($C$603,"CUR_RATIO","FQ2 2018","FQ2 2018","Currency=INR","Period=FQ","BEST_FPERIOD_OVERRIDE=FQ","FILING_STATUS=OR","EQY_CONSOLIDATED=Y","Sort=A","Dates=H","DateFormat=P","Fill=—","Direction=H","UseDPDF=Y")</f>
        <v>#NAME?</v>
      </c>
      <c r="CU625" s="1" t="e">
        <f ca="1">_xll.BDH($C$603,"QUICK_RATIO","FQ2 2018","FQ2 2018","Currency=INR","Period=FQ","BEST_FPERIOD_OVERRIDE=FQ","FILING_STATUS=OR","EQY_CONSOLIDATED=Y","Sort=A","Dates=H","DateFormat=P","Fill=—","Direction=H","UseDPDF=Y")</f>
        <v>#NAME?</v>
      </c>
      <c r="CV625" s="1" t="e">
        <f ca="1">_xll.BDH($C$603,"ALTMAN_Z_SCORE","FQ2 2018","FQ2 2018","Currency=INR","Period=FQ","BEST_FPERIOD_OVERRIDE=FQ","FILING_STATUS=OR","EQY_CONSOLIDATED=Y","Sort=A","Dates=H","DateFormat=P","Fill=—","Direction=H","UseDPDF=Y")</f>
        <v>#NAME?</v>
      </c>
      <c r="CW625" s="3" t="e">
        <f ca="1">_xll.BDH($C$603,"ACCT_RCV_TURN","FQ2 2018","FQ2 2018","Currency=INR","Period=FQ","BEST_FPERIOD_OVERRIDE=FQ","FILING_STATUS=OR","EQY_CONSOLIDATED=Y","FA_ADJUSTED=GAAP","Sort=A","Dates=H","DateFormat=P","Fill=—","Direction=H","UseDPDF=Y")</f>
        <v>#NAME?</v>
      </c>
      <c r="CX625" s="1" t="e">
        <f ca="1">_xll.BDH($C$603,"ACCT_RCV_DAYS","FQ2 2018","FQ2 2018","Currency=INR","Period=FQ","BEST_FPERIOD_OVERRIDE=FQ","FILING_STATUS=OR","EQY_CONSOLIDATED=Y","FA_ADJUSTED=GAAP","Sort=A","Dates=H","DateFormat=P","Fill=—","Direction=H","UseDPDF=Y")</f>
        <v>#NAME?</v>
      </c>
      <c r="CY625" s="3" t="e">
        <f ca="1">_xll.BDH($C$603,"INVENT_TURN","FQ2 2018","FQ2 2018","Currency=INR","Period=FQ","BEST_FPERIOD_OVERRIDE=FQ","FILING_STATUS=OR","EQY_CONSOLIDATED=Y","FA_ADJUSTED=GAAP","Sort=A","Dates=H","DateFormat=P","Fill=—","Direction=H","UseDPDF=Y")</f>
        <v>#NAME?</v>
      </c>
      <c r="CZ625" s="1" t="e">
        <f ca="1">_xll.BDH($C$603,"INVENT_DAYS","FQ2 2018","FQ2 2018","Currency=INR","Period=FQ","BEST_FPERIOD_OVERRIDE=FQ","FILING_STATUS=OR","EQY_CONSOLIDATED=Y","FA_ADJUSTED=GAAP","Sort=A","Dates=H","DateFormat=P","Fill=—","Direction=H","UseDPDF=Y")</f>
        <v>#NAME?</v>
      </c>
      <c r="DA625" s="3" t="e">
        <f ca="1">_xll.BDH($C$603,"ACCOUNTS_PAYABLE_TURNOVER","FQ2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625" s="1" t="e">
        <f ca="1">_xll.BDH($C$603,"ACCOUNTS_PAYABLE_TURNOVER_DAYS","FQ2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625" s="3" t="e">
        <f ca="1">_xll.BDH($C$603,"CASH_CONVERSION_CYCLE","FQ2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625" s="3" t="e">
        <f ca="1">_xll.BDH($C$603,"INV_TO_CASH_DAYS","FQ2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625" s="4" t="e">
        <f ca="1">_xll.BDH($C$603,"BS_INVENTORIES","FQ2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625" s="2" t="e">
        <f ca="1">_xll.BDH($C$603,"INVTRY_RAW_MATERIALS","FQ2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625" s="2" t="e">
        <f ca="1">_xll.BDH($C$603,"INVTRY_IN_PROGRESS","FQ2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625" s="2" t="e">
        <f ca="1">_xll.BDH($C$603,"INVTRY_FINISHED_GOODS","FQ2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625" s="2" t="e">
        <f ca="1">_xll.BDH($C$603,"BS_OTHER_INV","FQ2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626" spans="1:113" x14ac:dyDescent="0.3">
      <c r="A626" s="6"/>
      <c r="B626" s="6"/>
      <c r="C626" s="6"/>
      <c r="D626" s="6"/>
      <c r="E626" t="s">
        <v>6</v>
      </c>
      <c r="F626" t="e">
        <f ca="1">_xll.BDH($C$603,"RETURN_COM_EQY","FQ3 2018","FQ3 2018","Currency=INR","Period=FQ","BEST_FPERIOD_OVERRIDE=FQ","FILING_STATUS=OR","EQY_CONSOLIDATED=Y","FA_ADJUSTED=GAAP","Sort=A","Dates=H","DateFormat=P","Fill=—","Direction=H","UseDPDF=Y")</f>
        <v>#NAME?</v>
      </c>
      <c r="G626" t="e">
        <f ca="1">_xll.BDH($C$603,"RETURN_ON_ASSET","FQ3 2018","FQ3 2018","Currency=INR","Period=FQ","BEST_FPERIOD_OVERRIDE=FQ","FILING_STATUS=OR","EQY_CONSOLIDATED=Y","FA_ADJUSTED=GAAP","Sort=A","Dates=H","DateFormat=P","Fill=—","Direction=H","UseDPDF=Y")</f>
        <v>#NAME?</v>
      </c>
      <c r="H626" t="e">
        <f ca="1">_xll.BDH($C$603,"RETURN_ON_CAP","FQ3 2018","FQ3 2018","Currency=INR","Period=FQ","BEST_FPERIOD_OVERRIDE=FQ","FILING_STATUS=OR","EQY_CONSOLIDATED=Y","FA_ADJUSTED=GAAP","Sort=A","Dates=H","DateFormat=P","Fill=—","Direction=H","UseDPDF=Y")</f>
        <v>#NAME?</v>
      </c>
      <c r="I626" t="e">
        <f ca="1">_xll.BDH($C$603,"RETURN_ON_INV_CAPITAL","FQ3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626" t="e">
        <f ca="1">_xll.BDH($C$603,"EBITDA_TO_REVENUE","FQ3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626" t="e">
        <f ca="1">_xll.BDH($C$603,"OPER_MARGIN","FQ3 2018","FQ3 2018","Currency=INR","Period=FQ","BEST_FPERIOD_OVERRIDE=FQ","FILING_STATUS=OR","EQY_CONSOLIDATED=Y","FA_ADJUSTED=GAAP","Sort=A","Dates=H","DateFormat=P","Fill=—","Direction=H","UseDPDF=Y")</f>
        <v>#NAME?</v>
      </c>
      <c r="L626" t="e">
        <f ca="1">_xll.BDH($C$603,"INCREMENTAL_OPERATING_MARGIN","FQ3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626" t="e">
        <f ca="1">_xll.BDH($C$603,"PRETAX_INC_TO_NET_SALES","FQ3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626" t="e">
        <f ca="1">_xll.BDH($C$603,"INC_BEF_XO_ITEMS_TO_NET_SALES","FQ3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626" t="e">
        <f ca="1">_xll.BDH($C$603,"PROF_MARGIN","FQ3 2018","FQ3 2018","Currency=INR","Period=FQ","BEST_FPERIOD_OVERRIDE=FQ","FILING_STATUS=OR","EQY_CONSOLIDATED=Y","FA_ADJUSTED=GAAP","Sort=A","Dates=H","DateFormat=P","Fill=—","Direction=H","UseDPDF=Y")</f>
        <v>#NAME?</v>
      </c>
      <c r="P626" t="e">
        <f ca="1">_xll.BDH($C$603,"NET_INCOME_TO_COMMON_MARGIN","FQ3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626" t="e">
        <f ca="1">_xll.BDH($C$603,"EFF_TAX_RATE","FQ3 2018","FQ3 2018","Currency=INR","Period=FQ","BEST_FPERIOD_OVERRIDE=FQ","FILING_STATUS=OR","EQY_CONSOLIDATED=Y","FA_ADJUSTED=GAAP","Sort=A","Dates=H","DateFormat=P","Fill=—","Direction=H","UseDPDF=Y")</f>
        <v>#NAME?</v>
      </c>
      <c r="R626" t="e">
        <f ca="1">_xll.BDH($C$603,"DVD_PAYOUT_RATIO","FQ3 2018","FQ3 2018","Currency=INR","Period=FQ","BEST_FPERIOD_OVERRIDE=FQ","FILING_STATUS=OR","EQY_CONSOLIDATED=Y","FA_ADJUSTED=GAAP","Sort=A","Dates=H","DateFormat=P","Fill=—","Direction=H","UseDPDF=Y")</f>
        <v>#NAME?</v>
      </c>
      <c r="S626" t="e">
        <f ca="1">_xll.BDH($C$603,"SUSTAIN_GROWTH_RT","FQ3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626" s="1" t="e">
        <f ca="1">_xll.BDH($C$603,"SALES_GROWTH","FQ3 2018","FQ3 2018","Currency=INR","Period=FQ","BEST_FPERIOD_OVERRIDE=FQ","FILING_STATUS=OR","EQY_CONSOLIDATED=Y","FA_ADJUSTED=GAAP","Sort=A","Dates=H","DateFormat=P","Fill=—","Direction=H","UseDPDF=Y")</f>
        <v>#NAME?</v>
      </c>
      <c r="U626" s="1" t="e">
        <f ca="1">_xll.BDH($C$603,"EBITDA_GROWTH","FQ3 2018","FQ3 2018","Currency=INR","Period=FQ","BEST_FPERIOD_OVERRIDE=FQ","FILING_STATUS=OR","EQY_CONSOLIDATED=Y","FA_ADJUSTED=GAAP","Sort=A","Dates=H","DateFormat=P","Fill=—","Direction=H","UseDPDF=Y")</f>
        <v>#NAME?</v>
      </c>
      <c r="V626" s="1" t="e">
        <f ca="1">_xll.BDH($C$603,"OPER_INC_GROWTH","FQ3 2018","FQ3 2018","Currency=INR","Period=FQ","BEST_FPERIOD_OVERRIDE=FQ","FILING_STATUS=OR","EQY_CONSOLIDATED=Y","FA_ADJUSTED=GAAP","Sort=A","Dates=H","DateFormat=P","Fill=—","Direction=H","UseDPDF=Y")</f>
        <v>#NAME?</v>
      </c>
      <c r="W626" s="1" t="e">
        <f ca="1">_xll.BDH($C$603,"EARN_FOR_COM_GROWTH","FQ3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626" s="1" t="e">
        <f ca="1">_xll.BDH($C$603,"DILUTED_EPS_AFT_XO_ITEMS_GROWTH","FQ3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626" s="1" t="e">
        <f ca="1">_xll.BDH($C$603,"DIVIDEND_PER_SHARE_1_YEAR_GROWTH","FQ3 2018","FQ3 2018","Currency=INR","Period=FQ","BEST_FPERIOD_OVERRIDE=FQ","FILING_STATUS=OR","EQY_CONSOLIDATED=Y","Sort=A","Dates=H","DateFormat=P","Fill=—","Direction=H","UseDPDF=Y")</f>
        <v>#NAME?</v>
      </c>
      <c r="Z626" s="1" t="e">
        <f ca="1">_xll.BDH($C$603,"ACCOUNTS_RECEIVABLE_GROWTH","FQ3 2018","FQ3 2018","Currency=INR","Period=FQ","BEST_FPERIOD_OVERRIDE=FQ","FILING_STATUS=OR","EQY_CONSOLIDATED=Y","Sort=A","Dates=H","DateFormat=P","Fill=—","Direction=H","UseDPDF=Y")</f>
        <v>#NAME?</v>
      </c>
      <c r="AA626" s="1" t="e">
        <f ca="1">_xll.BDH($C$603,"INVENTORY_GROWTH","FQ3 2018","FQ3 2018","Currency=INR","Period=FQ","BEST_FPERIOD_OVERRIDE=FQ","FILING_STATUS=OR","EQY_CONSOLIDATED=Y","Sort=A","Dates=H","DateFormat=P","Fill=—","Direction=H","UseDPDF=Y")</f>
        <v>#NAME?</v>
      </c>
      <c r="AB626" s="1" t="e">
        <f ca="1">_xll.BDH($C$603,"NET_FIXED_ASSETS_1_YEAR_GROWTH","FQ3 2018","FQ3 2018","Currency=INR","Period=FQ","BEST_FPERIOD_OVERRIDE=FQ","FILING_STATUS=OR","EQY_CONSOLIDATED=Y","Sort=A","Dates=H","DateFormat=P","Fill=—","Direction=H","UseDPDF=Y")</f>
        <v>#NAME?</v>
      </c>
      <c r="AC626" s="1" t="e">
        <f ca="1">_xll.BDH($C$603,"ASSET_GROWTH","FQ3 2018","FQ3 2018","Currency=INR","Period=FQ","BEST_FPERIOD_OVERRIDE=FQ","FILING_STATUS=OR","EQY_CONSOLIDATED=Y","Sort=A","Dates=H","DateFormat=P","Fill=—","Direction=H","UseDPDF=Y")</f>
        <v>#NAME?</v>
      </c>
      <c r="AD626" s="1" t="e">
        <f ca="1">_xll.BDH($C$603,"MODIFIED_WORK_CAP_GROWTH","FQ3 2018","FQ3 2018","Currency=INR","Period=FQ","BEST_FPERIOD_OVERRIDE=FQ","FILING_STATUS=OR","EQY_CONSOLIDATED=Y","Sort=A","Dates=H","DateFormat=P","Fill=—","Direction=H","UseDPDF=Y")</f>
        <v>#NAME?</v>
      </c>
      <c r="AE626" s="1" t="e">
        <f ca="1">_xll.BDH($C$603,"WORK_CAP_GROWTH","FQ3 2018","FQ3 2018","Currency=INR","Period=FQ","BEST_FPERIOD_OVERRIDE=FQ","FILING_STATUS=OR","EQY_CONSOLIDATED=Y","Sort=A","Dates=H","DateFormat=P","Fill=—","Direction=H","UseDPDF=Y")</f>
        <v>#NAME?</v>
      </c>
      <c r="AF626" s="1" t="e">
        <f ca="1">_xll.BDH($C$603,"ACCOUNTS_PAYABLE_GROWTH_1YR","FQ3 2018","FQ3 2018","Currency=INR","Period=FQ","BEST_FPERIOD_OVERRIDE=FQ","FILING_STATUS=OR","EQY_CONSOLIDATED=Y","Sort=A","Dates=H","DateFormat=P","Fill=—","Direction=H","UseDPDF=Y")</f>
        <v>#NAME?</v>
      </c>
      <c r="AG626" s="1" t="e">
        <f ca="1">_xll.BDH($C$603,"SHORT_TERM_DEBT_1_YEAR_GROWTH","FQ3 2018","FQ3 2018","Currency=INR","Period=FQ","BEST_FPERIOD_OVERRIDE=FQ","FILING_STATUS=OR","EQY_CONSOLIDATED=Y","Sort=A","Dates=H","DateFormat=P","Fill=—","Direction=H","UseDPDF=Y")</f>
        <v>#NAME?</v>
      </c>
      <c r="AH626" s="1" t="e">
        <f ca="1">_xll.BDH($C$603,"TOTAL_DEBT_1_YEAR_GROWTH","FQ3 2018","FQ3 2018","Currency=INR","Period=FQ","BEST_FPERIOD_OVERRIDE=FQ","FILING_STATUS=OR","EQY_CONSOLIDATED=Y","Sort=A","Dates=H","DateFormat=P","Fill=—","Direction=H","UseDPDF=Y")</f>
        <v>#NAME?</v>
      </c>
      <c r="AI626" s="1" t="e">
        <f ca="1">_xll.BDH($C$603,"TOTAL_EQUITY_1_YEAR_GROWTH","FQ3 2018","FQ3 2018","Currency=INR","Period=FQ","BEST_FPERIOD_OVERRIDE=FQ","FILING_STATUS=OR","EQY_CONSOLIDATED=Y","Sort=A","Dates=H","DateFormat=P","Fill=—","Direction=H","UseDPDF=Y")</f>
        <v>#NAME?</v>
      </c>
      <c r="AJ626" s="1" t="e">
        <f ca="1">_xll.BDH($C$603,"GROWTH_IN_CAP","FQ3 2018","FQ3 2018","Currency=INR","Period=FQ","BEST_FPERIOD_OVERRIDE=FQ","FILING_STATUS=OR","EQY_CONSOLIDATED=Y","Sort=A","Dates=H","DateFormat=P","Fill=—","Direction=H","UseDPDF=Y")</f>
        <v>#NAME?</v>
      </c>
      <c r="AK626" s="1" t="e">
        <f ca="1">_xll.BDH($C$603,"BVPS_GROWTH","FQ3 2018","FQ3 2018","Currency=INR","Period=FQ","BEST_FPERIOD_OVERRIDE=FQ","FILING_STATUS=OR","EQY_CONSOLIDATED=Y","Sort=A","Dates=H","DateFormat=P","Fill=—","Direction=H","UseDPDF=Y")</f>
        <v>#NAME?</v>
      </c>
      <c r="AL626" s="1" t="e">
        <f ca="1">_xll.BDH($C$603,"CASH_FLOW_GROWTH","FQ3 2018","FQ3 2018","Currency=INR","Period=FQ","BEST_FPERIOD_OVERRIDE=FQ","FILING_STATUS=OR","EQY_CONSOLIDATED=Y","Sort=A","Dates=H","DateFormat=P","Fill=—","Direction=H","UseDPDF=Y")</f>
        <v>#NAME?</v>
      </c>
      <c r="AM626" s="1" t="e">
        <f ca="1">_xll.BDH($C$603,"GEO_GROW_NET_SALES","FQ3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626" s="1" t="e">
        <f ca="1">_xll.BDH($C$603,"GEO_GROW_EBITDA","FQ3 2018","FQ3 2018","Currency=INR","Period=FQ","BEST_FPERIOD_OVERRIDE=FQ","FILING_STATUS=OR","EQY_CONSOLIDATED=Y","FA_ADJUSTED=GAAP","Sort=A","Dates=H","DateFormat=P","Fill=—","Direction=H","UseDPDF=Y")</f>
        <v>#NAME?</v>
      </c>
      <c r="AO626" s="1" t="e">
        <f ca="1">_xll.BDH($C$603,"GEO_GROW_OPER_INC","FQ3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626" s="1" t="e">
        <f ca="1">_xll.BDH($C$603,"NET_INCOME_TO_COMMON_5_YR_GROWTH","FQ3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626" s="1" t="e">
        <f ca="1">_xll.BDH($C$603,"5Y_GEO_GROWTH_DILUTED_EPS","FQ3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626" s="1" t="e">
        <f ca="1">_xll.BDH($C$603,"GEO_GROW_DVD_PER_SH","FQ3 2018","FQ3 2018","Currency=INR","Period=FQ","BEST_FPERIOD_OVERRIDE=FQ","FILING_STATUS=OR","EQY_CONSOLIDATED=Y","Sort=A","Dates=H","DateFormat=P","Fill=—","Direction=H","UseDPDF=Y")</f>
        <v>#NAME?</v>
      </c>
      <c r="AS626" s="1" t="e">
        <f ca="1">_xll.BDH($C$603,"ACCOUNTS_RECEIVABLE_5_YR_GROWTH","FQ3 2018","FQ3 2018","Currency=INR","Period=FQ","BEST_FPERIOD_OVERRIDE=FQ","FILING_STATUS=OR","EQY_CONSOLIDATED=Y","Sort=A","Dates=H","DateFormat=P","Fill=—","Direction=H","UseDPDF=Y")</f>
        <v>#NAME?</v>
      </c>
      <c r="AT626" s="1" t="e">
        <f ca="1">_xll.BDH($C$603,"INVENTORY_5_YEAR_GROWTH","FQ3 2018","FQ3 2018","Currency=INR","Period=FQ","BEST_FPERIOD_OVERRIDE=FQ","FILING_STATUS=OR","EQY_CONSOLIDATED=Y","Sort=A","Dates=H","DateFormat=P","Fill=—","Direction=H","UseDPDF=Y")</f>
        <v>#NAME?</v>
      </c>
      <c r="AU626" s="1" t="e">
        <f ca="1">_xll.BDH($C$603,"NET_FIXED_ASSETS_5_YEAR_GROWTH","FQ3 2018","FQ3 2018","Currency=INR","Period=FQ","BEST_FPERIOD_OVERRIDE=FQ","FILING_STATUS=OR","EQY_CONSOLIDATED=Y","Sort=A","Dates=H","DateFormat=P","Fill=—","Direction=H","UseDPDF=Y")</f>
        <v>#NAME?</v>
      </c>
      <c r="AV626" s="1" t="e">
        <f ca="1">_xll.BDH($C$603,"GEO_GROW_TOT_ASSET","FQ3 2018","FQ3 2018","Currency=INR","Period=FQ","BEST_FPERIOD_OVERRIDE=FQ","FILING_STATUS=OR","EQY_CONSOLIDATED=Y","Sort=A","Dates=H","DateFormat=P","Fill=—","Direction=H","UseDPDF=Y")</f>
        <v>#NAME?</v>
      </c>
      <c r="AW626" s="1" t="e">
        <f ca="1">_xll.BDH($C$603,"MODIFIED_WORKING_CPTL_5YR_GRWTH","FQ3 2018","FQ3 2018","Currency=INR","Period=FQ","BEST_FPERIOD_OVERRIDE=FQ","FILING_STATUS=OR","EQY_CONSOLIDATED=Y","Sort=A","Dates=H","DateFormat=P","Fill=—","Direction=H","UseDPDF=Y")</f>
        <v>#NAME?</v>
      </c>
      <c r="AX626" s="1" t="e">
        <f ca="1">_xll.BDH($C$603,"WORKING_CAPITAL_5_YEAR_GROWTH","FQ3 2018","FQ3 2018","Currency=INR","Period=FQ","BEST_FPERIOD_OVERRIDE=FQ","FILING_STATUS=OR","EQY_CONSOLIDATED=Y","Sort=A","Dates=H","DateFormat=P","Fill=—","Direction=H","UseDPDF=Y")</f>
        <v>#NAME?</v>
      </c>
      <c r="AY626" s="1" t="e">
        <f ca="1">_xll.BDH($C$603,"ACCOUNTS_PAYABLE_5_YEAR_GROWTH","FQ3 2018","FQ3 2018","Currency=INR","Period=FQ","BEST_FPERIOD_OVERRIDE=FQ","FILING_STATUS=OR","EQY_CONSOLIDATED=Y","Sort=A","Dates=H","DateFormat=P","Fill=—","Direction=H","UseDPDF=Y")</f>
        <v>#NAME?</v>
      </c>
      <c r="AZ626" s="1" t="e">
        <f ca="1">_xll.BDH($C$603,"SHORT_TERM_DEBT_5_YEAR_GROWTH","FQ3 2018","FQ3 2018","Currency=INR","Period=FQ","BEST_FPERIOD_OVERRIDE=FQ","FILING_STATUS=OR","EQY_CONSOLIDATED=Y","Sort=A","Dates=H","DateFormat=P","Fill=—","Direction=H","UseDPDF=Y")</f>
        <v>#NAME?</v>
      </c>
      <c r="BA626" s="1" t="e">
        <f ca="1">_xll.BDH($C$603,"TOTAL_DEBT_5_YEAR_GROWTH","FQ3 2018","FQ3 2018","Currency=INR","Period=FQ","BEST_FPERIOD_OVERRIDE=FQ","FILING_STATUS=OR","EQY_CONSOLIDATED=Y","Sort=A","Dates=H","DateFormat=P","Fill=—","Direction=H","UseDPDF=Y")</f>
        <v>#NAME?</v>
      </c>
      <c r="BB626" s="1" t="e">
        <f ca="1">_xll.BDH($C$603,"GEO_GROW_TOT_SHRHLDR_EQY","FQ3 2018","FQ3 2018","Currency=INR","Period=FQ","BEST_FPERIOD_OVERRIDE=FQ","FILING_STATUS=OR","EQY_CONSOLIDATED=Y","Sort=A","Dates=H","DateFormat=P","Fill=—","Direction=H","UseDPDF=Y")</f>
        <v>#NAME?</v>
      </c>
      <c r="BC626" s="1" t="e">
        <f ca="1">_xll.BDH($C$603,"TOTAL_CAPITAL_5_YEAR_GROWTH","FQ3 2018","FQ3 2018","Currency=INR","Period=FQ","BEST_FPERIOD_OVERRIDE=FQ","FILING_STATUS=OR","EQY_CONSOLIDATED=Y","Sort=A","Dates=H","DateFormat=P","Fill=—","Direction=H","UseDPDF=Y")</f>
        <v>#NAME?</v>
      </c>
      <c r="BD626" s="1" t="e">
        <f ca="1">_xll.BDH($C$603,"GEO_GROW_BOOK_VAL","FQ3 2018","FQ3 2018","Currency=INR","Period=FQ","BEST_FPERIOD_OVERRIDE=FQ","FILING_STATUS=OR","EQY_CONSOLIDATED=Y","Sort=A","Dates=H","DateFormat=P","Fill=—","Direction=H","UseDPDF=Y")</f>
        <v>#NAME?</v>
      </c>
      <c r="BE626" s="1" t="e">
        <f ca="1">_xll.BDH($C$603,"GEO_GROW_CASH_OPER_ACT","FQ3 2018","FQ3 2018","Currency=INR","Period=FQ","BEST_FPERIOD_OVERRIDE=FQ","FILING_STATUS=OR","EQY_CONSOLIDATED=Y","Sort=A","Dates=H","DateFormat=P","Fill=—","Direction=H","UseDPDF=Y")</f>
        <v>#NAME?</v>
      </c>
      <c r="BF626" s="1" t="e">
        <f ca="1">_xll.BDH($C$603,"REVENUE_SEQUENTIAL_GROWTH","FQ3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626" s="1" t="e">
        <f ca="1">_xll.BDH($C$603,"EBITDA_SEQUENTIAL_GROWTH","FQ3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626" s="1" t="e">
        <f ca="1">_xll.BDH($C$603,"OPERATING_INCOME_SEQ_GROWTH","FQ3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626" s="1" t="e">
        <f ca="1">_xll.BDH($C$603,"NET_INCOME_TO_COMMON_SEQ_GROWTH","FQ3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626" s="1" t="e">
        <f ca="1">_xll.BDH($C$603,"EPS_DILUTED_SEQUENTIAL_GROWTH","FQ3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626" s="1" t="e">
        <f ca="1">_xll.BDH($C$603,"DPS_SEQUENTIAL_GROWTH","FQ3 2018","FQ3 2018","Currency=INR","Period=FQ","BEST_FPERIOD_OVERRIDE=FQ","FILING_STATUS=OR","EQY_CONSOLIDATED=Y","Sort=A","Dates=H","DateFormat=P","Fill=—","Direction=H","UseDPDF=Y")</f>
        <v>#NAME?</v>
      </c>
      <c r="BL626" s="1" t="e">
        <f ca="1">_xll.BDH($C$603,"ACCOUNTS_RECEIVABLE_SEQ_GROWTH","FQ3 2018","FQ3 2018","Currency=INR","Period=FQ","BEST_FPERIOD_OVERRIDE=FQ","FILING_STATUS=OR","EQY_CONSOLIDATED=Y","Sort=A","Dates=H","DateFormat=P","Fill=—","Direction=H","UseDPDF=Y")</f>
        <v>#NAME?</v>
      </c>
      <c r="BM626" s="1" t="e">
        <f ca="1">_xll.BDH($C$603,"INVENTORY_SEQUENTIAL_GROWTH","FQ3 2018","FQ3 2018","Currency=INR","Period=FQ","BEST_FPERIOD_OVERRIDE=FQ","FILING_STATUS=OR","EQY_CONSOLIDATED=Y","Sort=A","Dates=H","DateFormat=P","Fill=—","Direction=H","UseDPDF=Y")</f>
        <v>#NAME?</v>
      </c>
      <c r="BN626" s="1" t="e">
        <f ca="1">_xll.BDH($C$603,"FIXED_ASSETS_SEQUENTIAL_GROWTH","FQ3 2018","FQ3 2018","Currency=INR","Period=FQ","BEST_FPERIOD_OVERRIDE=FQ","FILING_STATUS=OR","EQY_CONSOLIDATED=Y","Sort=A","Dates=H","DateFormat=P","Fill=—","Direction=H","UseDPDF=Y")</f>
        <v>#NAME?</v>
      </c>
      <c r="BO626" s="1" t="e">
        <f ca="1">_xll.BDH($C$603,"TOTAL_ASSETS_SEQUENTIAL_GROWTH","FQ3 2018","FQ3 2018","Currency=INR","Period=FQ","BEST_FPERIOD_OVERRIDE=FQ","FILING_STATUS=OR","EQY_CONSOLIDATED=Y","Sort=A","Dates=H","DateFormat=P","Fill=—","Direction=H","UseDPDF=Y")</f>
        <v>#NAME?</v>
      </c>
      <c r="BP626" s="1" t="e">
        <f ca="1">_xll.BDH($C$603,"MODIFIED_WORKING_CPTL_SEQ_GRWTH","FQ3 2018","FQ3 2018","Currency=INR","Period=FQ","BEST_FPERIOD_OVERRIDE=FQ","FILING_STATUS=OR","EQY_CONSOLIDATED=Y","Sort=A","Dates=H","DateFormat=P","Fill=—","Direction=H","UseDPDF=Y")</f>
        <v>#NAME?</v>
      </c>
      <c r="BQ626" s="1" t="e">
        <f ca="1">_xll.BDH($C$603,"WORKING_CAPITAL_SEQ_GROWTH","FQ3 2018","FQ3 2018","Currency=INR","Period=FQ","BEST_FPERIOD_OVERRIDE=FQ","FILING_STATUS=OR","EQY_CONSOLIDATED=Y","Sort=A","Dates=H","DateFormat=P","Fill=—","Direction=H","UseDPDF=Y")</f>
        <v>#NAME?</v>
      </c>
      <c r="BR626" s="1" t="e">
        <f ca="1">_xll.BDH($C$603,"ACCOUNTS_PAYABLE_SEQ_GROWTH","FQ3 2018","FQ3 2018","Currency=INR","Period=FQ","BEST_FPERIOD_OVERRIDE=FQ","FILING_STATUS=OR","EQY_CONSOLIDATED=Y","Sort=A","Dates=H","DateFormat=P","Fill=—","Direction=H","UseDPDF=Y")</f>
        <v>#NAME?</v>
      </c>
      <c r="BS626" s="1" t="e">
        <f ca="1">_xll.BDH($C$603,"ST_DEBT_SEQUENTIAL_GROWTH","FQ3 2018","FQ3 2018","Currency=INR","Period=FQ","BEST_FPERIOD_OVERRIDE=FQ","FILING_STATUS=OR","EQY_CONSOLIDATED=Y","Sort=A","Dates=H","DateFormat=P","Fill=—","Direction=H","UseDPDF=Y")</f>
        <v>#NAME?</v>
      </c>
      <c r="BT626" s="1" t="e">
        <f ca="1">_xll.BDH($C$603,"TOTAL_DEBT_SEQUENTIAL_GROWTH","FQ3 2018","FQ3 2018","Currency=INR","Period=FQ","BEST_FPERIOD_OVERRIDE=FQ","FILING_STATUS=OR","EQY_CONSOLIDATED=Y","Sort=A","Dates=H","DateFormat=P","Fill=—","Direction=H","UseDPDF=Y")</f>
        <v>#NAME?</v>
      </c>
      <c r="BU626" s="1" t="e">
        <f ca="1">_xll.BDH($C$603,"TOTAL_EQUITY_SEQUENTIAL_GROWTH","FQ3 2018","FQ3 2018","Currency=INR","Period=FQ","BEST_FPERIOD_OVERRIDE=FQ","FILING_STATUS=OR","EQY_CONSOLIDATED=Y","Sort=A","Dates=H","DateFormat=P","Fill=—","Direction=H","UseDPDF=Y")</f>
        <v>#NAME?</v>
      </c>
      <c r="BV626" s="1" t="e">
        <f ca="1">_xll.BDH($C$603,"TOTAL_CAPITAL_SEQUENTIAL_GROWTH","FQ3 2018","FQ3 2018","Currency=INR","Period=FQ","BEST_FPERIOD_OVERRIDE=FQ","FILING_STATUS=OR","EQY_CONSOLIDATED=Y","Sort=A","Dates=H","DateFormat=P","Fill=—","Direction=H","UseDPDF=Y")</f>
        <v>#NAME?</v>
      </c>
      <c r="BW626" s="1" t="e">
        <f ca="1">_xll.BDH($C$603,"BPS_SEQUENTIAL_GROWTH","FQ3 2018","FQ3 2018","Currency=INR","Period=FQ","BEST_FPERIOD_OVERRIDE=FQ","FILING_STATUS=OR","EQY_CONSOLIDATED=Y","Sort=A","Dates=H","DateFormat=P","Fill=—","Direction=H","UseDPDF=Y")</f>
        <v>#NAME?</v>
      </c>
      <c r="BX626" s="1" t="e">
        <f ca="1">_xll.BDH($C$603,"CFO_SEQUENTIAL_GROWTH","FQ3 2018","FQ3 2018","Currency=INR","Period=FQ","BEST_FPERIOD_OVERRIDE=FQ","FILING_STATUS=OR","EQY_CONSOLIDATED=Y","Sort=A","Dates=H","DateFormat=P","Fill=—","Direction=H","UseDPDF=Y")</f>
        <v>#NAME?</v>
      </c>
      <c r="BY626" s="2" t="e">
        <f ca="1">_xll.BDH($C$603,"SHORT_AND_LONG_TERM_DEBT","FQ3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626" s="2" t="e">
        <f ca="1">_xll.BDH($C$603,"BS_ST_BORROW","FQ3 2018","FQ3 2018","Currency=INR","Period=FQ","BEST_FPERIOD_OVERRIDE=FQ","FILING_STATUS=OR","EQY_CONSOLIDATED=Y","SCALING_FORMAT=MLN","Sort=A","Dates=H","DateFormat=P","Fill=—","Direction=H","UseDPDF=Y")</f>
        <v>#NAME?</v>
      </c>
      <c r="CA626" s="2" t="e">
        <f ca="1">_xll.BDH($C$603,"BS_LT_BORROW","FQ3 2018","FQ3 2018","Currency=INR","Period=FQ","BEST_FPERIOD_OVERRIDE=FQ","FILING_STATUS=OR","EQY_CONSOLIDATED=Y","SCALING_FORMAT=MLN","Sort=A","Dates=H","DateFormat=P","Fill=—","Direction=H","UseDPDF=Y")</f>
        <v>#NAME?</v>
      </c>
      <c r="CB626" s="1" t="e">
        <f ca="1">_xll.BDH($C$603,"TOT_DEBT_TO_EBITDA","FQ3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626" s="1" t="e">
        <f ca="1">_xll.BDH($C$603,"NET_DEBT_TO_EBITDA","FQ3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626" s="1" t="e">
        <f ca="1">_xll.BDH($C$603,"TOTAL_DEBT_TO_EBIT","FQ3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626" s="1" t="e">
        <f ca="1">_xll.BDH($C$603,"NET_DEBT_TO_EBIT","FQ3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626" s="1" t="e">
        <f ca="1">_xll.BDH($C$603,"EBITDA_TO_INTEREST_EXPN","FQ3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626" s="1" t="e">
        <f ca="1">_xll.BDH($C$603,"COM_EQY_TO_TOT_ASSET","FQ3 2018","FQ3 2018","Currency=INR","Period=FQ","BEST_FPERIOD_OVERRIDE=FQ","FILING_STATUS=OR","EQY_CONSOLIDATED=Y","Sort=A","Dates=H","DateFormat=P","Fill=—","Direction=H","UseDPDF=Y")</f>
        <v>#NAME?</v>
      </c>
      <c r="CH626" s="1" t="e">
        <f ca="1">_xll.BDH($C$603,"LT_DEBT_TO_TOT_EQY","FQ3 2018","FQ3 2018","Currency=INR","Period=FQ","BEST_FPERIOD_OVERRIDE=FQ","FILING_STATUS=OR","EQY_CONSOLIDATED=Y","Sort=A","Dates=H","DateFormat=P","Fill=—","Direction=H","UseDPDF=Y")</f>
        <v>#NAME?</v>
      </c>
      <c r="CI626" s="1" t="e">
        <f ca="1">_xll.BDH($C$603,"LT_DEBT_TO_TOT_CAP","FQ3 2018","FQ3 2018","Currency=INR","Period=FQ","BEST_FPERIOD_OVERRIDE=FQ","FILING_STATUS=OR","EQY_CONSOLIDATED=Y","Sort=A","Dates=H","DateFormat=P","Fill=—","Direction=H","UseDPDF=Y")</f>
        <v>#NAME?</v>
      </c>
      <c r="CJ626" s="1" t="e">
        <f ca="1">_xll.BDH($C$603,"LT_DEBT_TO_TOT_ASSET","FQ3 2018","FQ3 2018","Currency=INR","Period=FQ","BEST_FPERIOD_OVERRIDE=FQ","FILING_STATUS=OR","EQY_CONSOLIDATED=Y","Sort=A","Dates=H","DateFormat=P","Fill=—","Direction=H","UseDPDF=Y")</f>
        <v>#NAME?</v>
      </c>
      <c r="CK626" s="1" t="e">
        <f ca="1">_xll.BDH($C$603,"TOT_DEBT_TO_TOT_EQY","FQ3 2018","FQ3 2018","Currency=INR","Period=FQ","BEST_FPERIOD_OVERRIDE=FQ","FILING_STATUS=OR","EQY_CONSOLIDATED=Y","Sort=A","Dates=H","DateFormat=P","Fill=—","Direction=H","UseDPDF=Y")</f>
        <v>#NAME?</v>
      </c>
      <c r="CL626" s="1" t="e">
        <f ca="1">_xll.BDH($C$603,"TOT_DEBT_TO_TOT_CAP","FQ3 2018","FQ3 2018","Currency=INR","Period=FQ","BEST_FPERIOD_OVERRIDE=FQ","FILING_STATUS=OR","EQY_CONSOLIDATED=Y","Sort=A","Dates=H","DateFormat=P","Fill=—","Direction=H","UseDPDF=Y")</f>
        <v>#NAME?</v>
      </c>
      <c r="CM626" s="1" t="e">
        <f ca="1">_xll.BDH($C$603,"TOT_DEBT_TO_TOT_ASSET","FQ3 2018","FQ3 2018","Currency=INR","Period=FQ","BEST_FPERIOD_OVERRIDE=FQ","FILING_STATUS=OR","EQY_CONSOLIDATED=Y","Sort=A","Dates=H","DateFormat=P","Fill=—","Direction=H","UseDPDF=Y")</f>
        <v>#NAME?</v>
      </c>
      <c r="CN626" s="1" t="e">
        <f ca="1">_xll.BDH($C$603,"NET_DEBT_TO_SHRHLDR_EQTY","FQ3 2018","FQ3 2018","Currency=INR","Period=FQ","BEST_FPERIOD_OVERRIDE=FQ","FILING_STATUS=OR","EQY_CONSOLIDATED=Y","Sort=A","Dates=H","DateFormat=P","Fill=—","Direction=H","UseDPDF=Y")</f>
        <v>#NAME?</v>
      </c>
      <c r="CO626" s="1" t="e">
        <f ca="1">_xll.BDH($C$603,"NET_DEBT_%_CAPITAL","FQ3 2018","FQ3 2018","Currency=INR","Period=FQ","BEST_FPERIOD_OVERRIDE=FQ","FILING_STATUS=OR","EQY_CONSOLIDATED=Y","Sort=A","Dates=H","DateFormat=P","Fill=—","Direction=H","UseDPDF=Y")</f>
        <v>#NAME?</v>
      </c>
      <c r="CP626" s="2" t="e">
        <f ca="1">_xll.BDH($C$603,"EBITDA","FQ3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626" s="2" t="e">
        <f ca="1">_xll.BDH($C$603,"EBITDA_AFTER_CAPEX","FQ3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626" s="2" t="e">
        <f ca="1">_xll.BDH($C$603,"IS_OPER_INC","FQ3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626" s="1" t="e">
        <f ca="1">_xll.BDH($C$603,"CASH_RATIO","FQ3 2018","FQ3 2018","Currency=INR","Period=FQ","BEST_FPERIOD_OVERRIDE=FQ","FILING_STATUS=OR","EQY_CONSOLIDATED=Y","Sort=A","Dates=H","DateFormat=P","Fill=—","Direction=H","UseDPDF=Y")</f>
        <v>#NAME?</v>
      </c>
      <c r="CT626" s="1" t="e">
        <f ca="1">_xll.BDH($C$603,"CUR_RATIO","FQ3 2018","FQ3 2018","Currency=INR","Period=FQ","BEST_FPERIOD_OVERRIDE=FQ","FILING_STATUS=OR","EQY_CONSOLIDATED=Y","Sort=A","Dates=H","DateFormat=P","Fill=—","Direction=H","UseDPDF=Y")</f>
        <v>#NAME?</v>
      </c>
      <c r="CU626" s="1" t="e">
        <f ca="1">_xll.BDH($C$603,"QUICK_RATIO","FQ3 2018","FQ3 2018","Currency=INR","Period=FQ","BEST_FPERIOD_OVERRIDE=FQ","FILING_STATUS=OR","EQY_CONSOLIDATED=Y","Sort=A","Dates=H","DateFormat=P","Fill=—","Direction=H","UseDPDF=Y")</f>
        <v>#NAME?</v>
      </c>
      <c r="CV626" s="1" t="e">
        <f ca="1">_xll.BDH($C$603,"ALTMAN_Z_SCORE","FQ3 2018","FQ3 2018","Currency=INR","Period=FQ","BEST_FPERIOD_OVERRIDE=FQ","FILING_STATUS=OR","EQY_CONSOLIDATED=Y","Sort=A","Dates=H","DateFormat=P","Fill=—","Direction=H","UseDPDF=Y")</f>
        <v>#NAME?</v>
      </c>
      <c r="CW626" s="3" t="e">
        <f ca="1">_xll.BDH($C$603,"ACCT_RCV_TURN","FQ3 2018","FQ3 2018","Currency=INR","Period=FQ","BEST_FPERIOD_OVERRIDE=FQ","FILING_STATUS=OR","EQY_CONSOLIDATED=Y","FA_ADJUSTED=GAAP","Sort=A","Dates=H","DateFormat=P","Fill=—","Direction=H","UseDPDF=Y")</f>
        <v>#NAME?</v>
      </c>
      <c r="CX626" s="1" t="e">
        <f ca="1">_xll.BDH($C$603,"ACCT_RCV_DAYS","FQ3 2018","FQ3 2018","Currency=INR","Period=FQ","BEST_FPERIOD_OVERRIDE=FQ","FILING_STATUS=OR","EQY_CONSOLIDATED=Y","FA_ADJUSTED=GAAP","Sort=A","Dates=H","DateFormat=P","Fill=—","Direction=H","UseDPDF=Y")</f>
        <v>#NAME?</v>
      </c>
      <c r="CY626" s="3" t="e">
        <f ca="1">_xll.BDH($C$603,"INVENT_TURN","FQ3 2018","FQ3 2018","Currency=INR","Period=FQ","BEST_FPERIOD_OVERRIDE=FQ","FILING_STATUS=OR","EQY_CONSOLIDATED=Y","FA_ADJUSTED=GAAP","Sort=A","Dates=H","DateFormat=P","Fill=—","Direction=H","UseDPDF=Y")</f>
        <v>#NAME?</v>
      </c>
      <c r="CZ626" s="1" t="e">
        <f ca="1">_xll.BDH($C$603,"INVENT_DAYS","FQ3 2018","FQ3 2018","Currency=INR","Period=FQ","BEST_FPERIOD_OVERRIDE=FQ","FILING_STATUS=OR","EQY_CONSOLIDATED=Y","FA_ADJUSTED=GAAP","Sort=A","Dates=H","DateFormat=P","Fill=—","Direction=H","UseDPDF=Y")</f>
        <v>#NAME?</v>
      </c>
      <c r="DA626" s="3" t="e">
        <f ca="1">_xll.BDH($C$603,"ACCOUNTS_PAYABLE_TURNOVER","FQ3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626" s="1" t="e">
        <f ca="1">_xll.BDH($C$603,"ACCOUNTS_PAYABLE_TURNOVER_DAYS","FQ3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626" s="3" t="e">
        <f ca="1">_xll.BDH($C$603,"CASH_CONVERSION_CYCLE","FQ3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626" s="3" t="e">
        <f ca="1">_xll.BDH($C$603,"INV_TO_CASH_DAYS","FQ3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626" s="4" t="e">
        <f ca="1">_xll.BDH($C$603,"BS_INVENTORIES","FQ3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626" s="2" t="e">
        <f ca="1">_xll.BDH($C$603,"INVTRY_RAW_MATERIALS","FQ3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626" s="2" t="e">
        <f ca="1">_xll.BDH($C$603,"INVTRY_IN_PROGRESS","FQ3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626" s="2" t="e">
        <f ca="1">_xll.BDH($C$603,"INVTRY_FINISHED_GOODS","FQ3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626" s="2" t="e">
        <f ca="1">_xll.BDH($C$603,"BS_OTHER_INV","FQ3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627" spans="1:113" x14ac:dyDescent="0.3">
      <c r="A627" s="6"/>
      <c r="B627" s="6"/>
      <c r="C627" s="6"/>
      <c r="D627" s="6"/>
      <c r="E627" t="s">
        <v>7</v>
      </c>
      <c r="F627" t="e">
        <f ca="1">_xll.BDH($C$603,"RETURN_COM_EQY","FQ4 2018","FQ4 2018","Currency=INR","Period=FQ","BEST_FPERIOD_OVERRIDE=FQ","FILING_STATUS=OR","EQY_CONSOLIDATED=Y","FA_ADJUSTED=GAAP","Sort=A","Dates=H","DateFormat=P","Fill=—","Direction=H","UseDPDF=Y")</f>
        <v>#NAME?</v>
      </c>
      <c r="G627" t="e">
        <f ca="1">_xll.BDH($C$603,"RETURN_ON_ASSET","FQ4 2018","FQ4 2018","Currency=INR","Period=FQ","BEST_FPERIOD_OVERRIDE=FQ","FILING_STATUS=OR","EQY_CONSOLIDATED=Y","FA_ADJUSTED=GAAP","Sort=A","Dates=H","DateFormat=P","Fill=—","Direction=H","UseDPDF=Y")</f>
        <v>#NAME?</v>
      </c>
      <c r="H627" t="e">
        <f ca="1">_xll.BDH($C$603,"RETURN_ON_CAP","FQ4 2018","FQ4 2018","Currency=INR","Period=FQ","BEST_FPERIOD_OVERRIDE=FQ","FILING_STATUS=OR","EQY_CONSOLIDATED=Y","FA_ADJUSTED=GAAP","Sort=A","Dates=H","DateFormat=P","Fill=—","Direction=H","UseDPDF=Y")</f>
        <v>#NAME?</v>
      </c>
      <c r="I627" t="e">
        <f ca="1">_xll.BDH($C$603,"RETURN_ON_INV_CAPITAL","FQ4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627" t="e">
        <f ca="1">_xll.BDH($C$603,"EBITDA_TO_REVENUE","FQ4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627" t="e">
        <f ca="1">_xll.BDH($C$603,"OPER_MARGIN","FQ4 2018","FQ4 2018","Currency=INR","Period=FQ","BEST_FPERIOD_OVERRIDE=FQ","FILING_STATUS=OR","EQY_CONSOLIDATED=Y","FA_ADJUSTED=GAAP","Sort=A","Dates=H","DateFormat=P","Fill=—","Direction=H","UseDPDF=Y")</f>
        <v>#NAME?</v>
      </c>
      <c r="L627" t="e">
        <f ca="1">_xll.BDH($C$603,"INCREMENTAL_OPERATING_MARGIN","FQ4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627" t="e">
        <f ca="1">_xll.BDH($C$603,"PRETAX_INC_TO_NET_SALES","FQ4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627" t="e">
        <f ca="1">_xll.BDH($C$603,"INC_BEF_XO_ITEMS_TO_NET_SALES","FQ4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627" t="e">
        <f ca="1">_xll.BDH($C$603,"PROF_MARGIN","FQ4 2018","FQ4 2018","Currency=INR","Period=FQ","BEST_FPERIOD_OVERRIDE=FQ","FILING_STATUS=OR","EQY_CONSOLIDATED=Y","FA_ADJUSTED=GAAP","Sort=A","Dates=H","DateFormat=P","Fill=—","Direction=H","UseDPDF=Y")</f>
        <v>#NAME?</v>
      </c>
      <c r="P627" t="e">
        <f ca="1">_xll.BDH($C$603,"NET_INCOME_TO_COMMON_MARGIN","FQ4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627" t="e">
        <f ca="1">_xll.BDH($C$603,"EFF_TAX_RATE","FQ4 2018","FQ4 2018","Currency=INR","Period=FQ","BEST_FPERIOD_OVERRIDE=FQ","FILING_STATUS=OR","EQY_CONSOLIDATED=Y","FA_ADJUSTED=GAAP","Sort=A","Dates=H","DateFormat=P","Fill=—","Direction=H","UseDPDF=Y")</f>
        <v>#NAME?</v>
      </c>
      <c r="R627" t="e">
        <f ca="1">_xll.BDH($C$603,"DVD_PAYOUT_RATIO","FQ4 2018","FQ4 2018","Currency=INR","Period=FQ","BEST_FPERIOD_OVERRIDE=FQ","FILING_STATUS=OR","EQY_CONSOLIDATED=Y","FA_ADJUSTED=GAAP","Sort=A","Dates=H","DateFormat=P","Fill=—","Direction=H","UseDPDF=Y")</f>
        <v>#NAME?</v>
      </c>
      <c r="S627" t="e">
        <f ca="1">_xll.BDH($C$603,"SUSTAIN_GROWTH_RT","FQ4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627" s="1" t="e">
        <f ca="1">_xll.BDH($C$603,"SALES_GROWTH","FQ4 2018","FQ4 2018","Currency=INR","Period=FQ","BEST_FPERIOD_OVERRIDE=FQ","FILING_STATUS=OR","EQY_CONSOLIDATED=Y","FA_ADJUSTED=GAAP","Sort=A","Dates=H","DateFormat=P","Fill=—","Direction=H","UseDPDF=Y")</f>
        <v>#NAME?</v>
      </c>
      <c r="U627" s="1" t="e">
        <f ca="1">_xll.BDH($C$603,"EBITDA_GROWTH","FQ4 2018","FQ4 2018","Currency=INR","Period=FQ","BEST_FPERIOD_OVERRIDE=FQ","FILING_STATUS=OR","EQY_CONSOLIDATED=Y","FA_ADJUSTED=GAAP","Sort=A","Dates=H","DateFormat=P","Fill=—","Direction=H","UseDPDF=Y")</f>
        <v>#NAME?</v>
      </c>
      <c r="V627" s="1" t="e">
        <f ca="1">_xll.BDH($C$603,"OPER_INC_GROWTH","FQ4 2018","FQ4 2018","Currency=INR","Period=FQ","BEST_FPERIOD_OVERRIDE=FQ","FILING_STATUS=OR","EQY_CONSOLIDATED=Y","FA_ADJUSTED=GAAP","Sort=A","Dates=H","DateFormat=P","Fill=—","Direction=H","UseDPDF=Y")</f>
        <v>#NAME?</v>
      </c>
      <c r="W627" s="1" t="e">
        <f ca="1">_xll.BDH($C$603,"EARN_FOR_COM_GROWTH","FQ4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627" s="1" t="e">
        <f ca="1">_xll.BDH($C$603,"DILUTED_EPS_AFT_XO_ITEMS_GROWTH","FQ4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627" s="1" t="e">
        <f ca="1">_xll.BDH($C$603,"DIVIDEND_PER_SHARE_1_YEAR_GROWTH","FQ4 2018","FQ4 2018","Currency=INR","Period=FQ","BEST_FPERIOD_OVERRIDE=FQ","FILING_STATUS=OR","EQY_CONSOLIDATED=Y","Sort=A","Dates=H","DateFormat=P","Fill=—","Direction=H","UseDPDF=Y")</f>
        <v>#NAME?</v>
      </c>
      <c r="Z627" s="1" t="e">
        <f ca="1">_xll.BDH($C$603,"ACCOUNTS_RECEIVABLE_GROWTH","FQ4 2018","FQ4 2018","Currency=INR","Period=FQ","BEST_FPERIOD_OVERRIDE=FQ","FILING_STATUS=OR","EQY_CONSOLIDATED=Y","Sort=A","Dates=H","DateFormat=P","Fill=—","Direction=H","UseDPDF=Y")</f>
        <v>#NAME?</v>
      </c>
      <c r="AA627" s="1" t="e">
        <f ca="1">_xll.BDH($C$603,"INVENTORY_GROWTH","FQ4 2018","FQ4 2018","Currency=INR","Period=FQ","BEST_FPERIOD_OVERRIDE=FQ","FILING_STATUS=OR","EQY_CONSOLIDATED=Y","Sort=A","Dates=H","DateFormat=P","Fill=—","Direction=H","UseDPDF=Y")</f>
        <v>#NAME?</v>
      </c>
      <c r="AB627" s="1" t="e">
        <f ca="1">_xll.BDH($C$603,"NET_FIXED_ASSETS_1_YEAR_GROWTH","FQ4 2018","FQ4 2018","Currency=INR","Period=FQ","BEST_FPERIOD_OVERRIDE=FQ","FILING_STATUS=OR","EQY_CONSOLIDATED=Y","Sort=A","Dates=H","DateFormat=P","Fill=—","Direction=H","UseDPDF=Y")</f>
        <v>#NAME?</v>
      </c>
      <c r="AC627" s="1" t="e">
        <f ca="1">_xll.BDH($C$603,"ASSET_GROWTH","FQ4 2018","FQ4 2018","Currency=INR","Period=FQ","BEST_FPERIOD_OVERRIDE=FQ","FILING_STATUS=OR","EQY_CONSOLIDATED=Y","Sort=A","Dates=H","DateFormat=P","Fill=—","Direction=H","UseDPDF=Y")</f>
        <v>#NAME?</v>
      </c>
      <c r="AD627" s="1" t="e">
        <f ca="1">_xll.BDH($C$603,"MODIFIED_WORK_CAP_GROWTH","FQ4 2018","FQ4 2018","Currency=INR","Period=FQ","BEST_FPERIOD_OVERRIDE=FQ","FILING_STATUS=OR","EQY_CONSOLIDATED=Y","Sort=A","Dates=H","DateFormat=P","Fill=—","Direction=H","UseDPDF=Y")</f>
        <v>#NAME?</v>
      </c>
      <c r="AE627" s="1" t="e">
        <f ca="1">_xll.BDH($C$603,"WORK_CAP_GROWTH","FQ4 2018","FQ4 2018","Currency=INR","Period=FQ","BEST_FPERIOD_OVERRIDE=FQ","FILING_STATUS=OR","EQY_CONSOLIDATED=Y","Sort=A","Dates=H","DateFormat=P","Fill=—","Direction=H","UseDPDF=Y")</f>
        <v>#NAME?</v>
      </c>
      <c r="AF627" s="1" t="e">
        <f ca="1">_xll.BDH($C$603,"ACCOUNTS_PAYABLE_GROWTH_1YR","FQ4 2018","FQ4 2018","Currency=INR","Period=FQ","BEST_FPERIOD_OVERRIDE=FQ","FILING_STATUS=OR","EQY_CONSOLIDATED=Y","Sort=A","Dates=H","DateFormat=P","Fill=—","Direction=H","UseDPDF=Y")</f>
        <v>#NAME?</v>
      </c>
      <c r="AG627" s="1" t="e">
        <f ca="1">_xll.BDH($C$603,"SHORT_TERM_DEBT_1_YEAR_GROWTH","FQ4 2018","FQ4 2018","Currency=INR","Period=FQ","BEST_FPERIOD_OVERRIDE=FQ","FILING_STATUS=OR","EQY_CONSOLIDATED=Y","Sort=A","Dates=H","DateFormat=P","Fill=—","Direction=H","UseDPDF=Y")</f>
        <v>#NAME?</v>
      </c>
      <c r="AH627" s="1" t="e">
        <f ca="1">_xll.BDH($C$603,"TOTAL_DEBT_1_YEAR_GROWTH","FQ4 2018","FQ4 2018","Currency=INR","Period=FQ","BEST_FPERIOD_OVERRIDE=FQ","FILING_STATUS=OR","EQY_CONSOLIDATED=Y","Sort=A","Dates=H","DateFormat=P","Fill=—","Direction=H","UseDPDF=Y")</f>
        <v>#NAME?</v>
      </c>
      <c r="AI627" s="1" t="e">
        <f ca="1">_xll.BDH($C$603,"TOTAL_EQUITY_1_YEAR_GROWTH","FQ4 2018","FQ4 2018","Currency=INR","Period=FQ","BEST_FPERIOD_OVERRIDE=FQ","FILING_STATUS=OR","EQY_CONSOLIDATED=Y","Sort=A","Dates=H","DateFormat=P","Fill=—","Direction=H","UseDPDF=Y")</f>
        <v>#NAME?</v>
      </c>
      <c r="AJ627" s="1" t="e">
        <f ca="1">_xll.BDH($C$603,"GROWTH_IN_CAP","FQ4 2018","FQ4 2018","Currency=INR","Period=FQ","BEST_FPERIOD_OVERRIDE=FQ","FILING_STATUS=OR","EQY_CONSOLIDATED=Y","Sort=A","Dates=H","DateFormat=P","Fill=—","Direction=H","UseDPDF=Y")</f>
        <v>#NAME?</v>
      </c>
      <c r="AK627" s="1" t="e">
        <f ca="1">_xll.BDH($C$603,"BVPS_GROWTH","FQ4 2018","FQ4 2018","Currency=INR","Period=FQ","BEST_FPERIOD_OVERRIDE=FQ","FILING_STATUS=OR","EQY_CONSOLIDATED=Y","Sort=A","Dates=H","DateFormat=P","Fill=—","Direction=H","UseDPDF=Y")</f>
        <v>#NAME?</v>
      </c>
      <c r="AL627" s="1" t="e">
        <f ca="1">_xll.BDH($C$603,"CASH_FLOW_GROWTH","FQ4 2018","FQ4 2018","Currency=INR","Period=FQ","BEST_FPERIOD_OVERRIDE=FQ","FILING_STATUS=OR","EQY_CONSOLIDATED=Y","Sort=A","Dates=H","DateFormat=P","Fill=—","Direction=H","UseDPDF=Y")</f>
        <v>#NAME?</v>
      </c>
      <c r="AM627" s="1" t="e">
        <f ca="1">_xll.BDH($C$603,"GEO_GROW_NET_SALES","FQ4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627" s="1" t="e">
        <f ca="1">_xll.BDH($C$603,"GEO_GROW_EBITDA","FQ4 2018","FQ4 2018","Currency=INR","Period=FQ","BEST_FPERIOD_OVERRIDE=FQ","FILING_STATUS=OR","EQY_CONSOLIDATED=Y","FA_ADJUSTED=GAAP","Sort=A","Dates=H","DateFormat=P","Fill=—","Direction=H","UseDPDF=Y")</f>
        <v>#NAME?</v>
      </c>
      <c r="AO627" s="1" t="e">
        <f ca="1">_xll.BDH($C$603,"GEO_GROW_OPER_INC","FQ4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627" s="1" t="e">
        <f ca="1">_xll.BDH($C$603,"NET_INCOME_TO_COMMON_5_YR_GROWTH","FQ4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627" s="1" t="e">
        <f ca="1">_xll.BDH($C$603,"5Y_GEO_GROWTH_DILUTED_EPS","FQ4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627" s="1" t="e">
        <f ca="1">_xll.BDH($C$603,"GEO_GROW_DVD_PER_SH","FQ4 2018","FQ4 2018","Currency=INR","Period=FQ","BEST_FPERIOD_OVERRIDE=FQ","FILING_STATUS=OR","EQY_CONSOLIDATED=Y","Sort=A","Dates=H","DateFormat=P","Fill=—","Direction=H","UseDPDF=Y")</f>
        <v>#NAME?</v>
      </c>
      <c r="AS627" s="1" t="e">
        <f ca="1">_xll.BDH($C$603,"ACCOUNTS_RECEIVABLE_5_YR_GROWTH","FQ4 2018","FQ4 2018","Currency=INR","Period=FQ","BEST_FPERIOD_OVERRIDE=FQ","FILING_STATUS=OR","EQY_CONSOLIDATED=Y","Sort=A","Dates=H","DateFormat=P","Fill=—","Direction=H","UseDPDF=Y")</f>
        <v>#NAME?</v>
      </c>
      <c r="AT627" s="1" t="e">
        <f ca="1">_xll.BDH($C$603,"INVENTORY_5_YEAR_GROWTH","FQ4 2018","FQ4 2018","Currency=INR","Period=FQ","BEST_FPERIOD_OVERRIDE=FQ","FILING_STATUS=OR","EQY_CONSOLIDATED=Y","Sort=A","Dates=H","DateFormat=P","Fill=—","Direction=H","UseDPDF=Y")</f>
        <v>#NAME?</v>
      </c>
      <c r="AU627" s="1" t="e">
        <f ca="1">_xll.BDH($C$603,"NET_FIXED_ASSETS_5_YEAR_GROWTH","FQ4 2018","FQ4 2018","Currency=INR","Period=FQ","BEST_FPERIOD_OVERRIDE=FQ","FILING_STATUS=OR","EQY_CONSOLIDATED=Y","Sort=A","Dates=H","DateFormat=P","Fill=—","Direction=H","UseDPDF=Y")</f>
        <v>#NAME?</v>
      </c>
      <c r="AV627" s="1" t="e">
        <f ca="1">_xll.BDH($C$603,"GEO_GROW_TOT_ASSET","FQ4 2018","FQ4 2018","Currency=INR","Period=FQ","BEST_FPERIOD_OVERRIDE=FQ","FILING_STATUS=OR","EQY_CONSOLIDATED=Y","Sort=A","Dates=H","DateFormat=P","Fill=—","Direction=H","UseDPDF=Y")</f>
        <v>#NAME?</v>
      </c>
      <c r="AW627" s="1" t="e">
        <f ca="1">_xll.BDH($C$603,"MODIFIED_WORKING_CPTL_5YR_GRWTH","FQ4 2018","FQ4 2018","Currency=INR","Period=FQ","BEST_FPERIOD_OVERRIDE=FQ","FILING_STATUS=OR","EQY_CONSOLIDATED=Y","Sort=A","Dates=H","DateFormat=P","Fill=—","Direction=H","UseDPDF=Y")</f>
        <v>#NAME?</v>
      </c>
      <c r="AX627" s="1" t="e">
        <f ca="1">_xll.BDH($C$603,"WORKING_CAPITAL_5_YEAR_GROWTH","FQ4 2018","FQ4 2018","Currency=INR","Period=FQ","BEST_FPERIOD_OVERRIDE=FQ","FILING_STATUS=OR","EQY_CONSOLIDATED=Y","Sort=A","Dates=H","DateFormat=P","Fill=—","Direction=H","UseDPDF=Y")</f>
        <v>#NAME?</v>
      </c>
      <c r="AY627" s="1" t="e">
        <f ca="1">_xll.BDH($C$603,"ACCOUNTS_PAYABLE_5_YEAR_GROWTH","FQ4 2018","FQ4 2018","Currency=INR","Period=FQ","BEST_FPERIOD_OVERRIDE=FQ","FILING_STATUS=OR","EQY_CONSOLIDATED=Y","Sort=A","Dates=H","DateFormat=P","Fill=—","Direction=H","UseDPDF=Y")</f>
        <v>#NAME?</v>
      </c>
      <c r="AZ627" s="1" t="e">
        <f ca="1">_xll.BDH($C$603,"SHORT_TERM_DEBT_5_YEAR_GROWTH","FQ4 2018","FQ4 2018","Currency=INR","Period=FQ","BEST_FPERIOD_OVERRIDE=FQ","FILING_STATUS=OR","EQY_CONSOLIDATED=Y","Sort=A","Dates=H","DateFormat=P","Fill=—","Direction=H","UseDPDF=Y")</f>
        <v>#NAME?</v>
      </c>
      <c r="BA627" s="1" t="e">
        <f ca="1">_xll.BDH($C$603,"TOTAL_DEBT_5_YEAR_GROWTH","FQ4 2018","FQ4 2018","Currency=INR","Period=FQ","BEST_FPERIOD_OVERRIDE=FQ","FILING_STATUS=OR","EQY_CONSOLIDATED=Y","Sort=A","Dates=H","DateFormat=P","Fill=—","Direction=H","UseDPDF=Y")</f>
        <v>#NAME?</v>
      </c>
      <c r="BB627" s="1" t="e">
        <f ca="1">_xll.BDH($C$603,"GEO_GROW_TOT_SHRHLDR_EQY","FQ4 2018","FQ4 2018","Currency=INR","Period=FQ","BEST_FPERIOD_OVERRIDE=FQ","FILING_STATUS=OR","EQY_CONSOLIDATED=Y","Sort=A","Dates=H","DateFormat=P","Fill=—","Direction=H","UseDPDF=Y")</f>
        <v>#NAME?</v>
      </c>
      <c r="BC627" s="1" t="e">
        <f ca="1">_xll.BDH($C$603,"TOTAL_CAPITAL_5_YEAR_GROWTH","FQ4 2018","FQ4 2018","Currency=INR","Period=FQ","BEST_FPERIOD_OVERRIDE=FQ","FILING_STATUS=OR","EQY_CONSOLIDATED=Y","Sort=A","Dates=H","DateFormat=P","Fill=—","Direction=H","UseDPDF=Y")</f>
        <v>#NAME?</v>
      </c>
      <c r="BD627" s="1" t="e">
        <f ca="1">_xll.BDH($C$603,"GEO_GROW_BOOK_VAL","FQ4 2018","FQ4 2018","Currency=INR","Period=FQ","BEST_FPERIOD_OVERRIDE=FQ","FILING_STATUS=OR","EQY_CONSOLIDATED=Y","Sort=A","Dates=H","DateFormat=P","Fill=—","Direction=H","UseDPDF=Y")</f>
        <v>#NAME?</v>
      </c>
      <c r="BE627" s="1" t="e">
        <f ca="1">_xll.BDH($C$603,"GEO_GROW_CASH_OPER_ACT","FQ4 2018","FQ4 2018","Currency=INR","Period=FQ","BEST_FPERIOD_OVERRIDE=FQ","FILING_STATUS=OR","EQY_CONSOLIDATED=Y","Sort=A","Dates=H","DateFormat=P","Fill=—","Direction=H","UseDPDF=Y")</f>
        <v>#NAME?</v>
      </c>
      <c r="BF627" s="1" t="e">
        <f ca="1">_xll.BDH($C$603,"REVENUE_SEQUENTIAL_GROWTH","FQ4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627" s="1" t="e">
        <f ca="1">_xll.BDH($C$603,"EBITDA_SEQUENTIAL_GROWTH","FQ4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627" s="1" t="e">
        <f ca="1">_xll.BDH($C$603,"OPERATING_INCOME_SEQ_GROWTH","FQ4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627" s="1" t="e">
        <f ca="1">_xll.BDH($C$603,"NET_INCOME_TO_COMMON_SEQ_GROWTH","FQ4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627" s="1" t="e">
        <f ca="1">_xll.BDH($C$603,"EPS_DILUTED_SEQUENTIAL_GROWTH","FQ4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627" s="1" t="e">
        <f ca="1">_xll.BDH($C$603,"DPS_SEQUENTIAL_GROWTH","FQ4 2018","FQ4 2018","Currency=INR","Period=FQ","BEST_FPERIOD_OVERRIDE=FQ","FILING_STATUS=OR","EQY_CONSOLIDATED=Y","Sort=A","Dates=H","DateFormat=P","Fill=—","Direction=H","UseDPDF=Y")</f>
        <v>#NAME?</v>
      </c>
      <c r="BL627" s="1" t="e">
        <f ca="1">_xll.BDH($C$603,"ACCOUNTS_RECEIVABLE_SEQ_GROWTH","FQ4 2018","FQ4 2018","Currency=INR","Period=FQ","BEST_FPERIOD_OVERRIDE=FQ","FILING_STATUS=OR","EQY_CONSOLIDATED=Y","Sort=A","Dates=H","DateFormat=P","Fill=—","Direction=H","UseDPDF=Y")</f>
        <v>#NAME?</v>
      </c>
      <c r="BM627" s="1" t="e">
        <f ca="1">_xll.BDH($C$603,"INVENTORY_SEQUENTIAL_GROWTH","FQ4 2018","FQ4 2018","Currency=INR","Period=FQ","BEST_FPERIOD_OVERRIDE=FQ","FILING_STATUS=OR","EQY_CONSOLIDATED=Y","Sort=A","Dates=H","DateFormat=P","Fill=—","Direction=H","UseDPDF=Y")</f>
        <v>#NAME?</v>
      </c>
      <c r="BN627" s="1" t="e">
        <f ca="1">_xll.BDH($C$603,"FIXED_ASSETS_SEQUENTIAL_GROWTH","FQ4 2018","FQ4 2018","Currency=INR","Period=FQ","BEST_FPERIOD_OVERRIDE=FQ","FILING_STATUS=OR","EQY_CONSOLIDATED=Y","Sort=A","Dates=H","DateFormat=P","Fill=—","Direction=H","UseDPDF=Y")</f>
        <v>#NAME?</v>
      </c>
      <c r="BO627" s="1" t="e">
        <f ca="1">_xll.BDH($C$603,"TOTAL_ASSETS_SEQUENTIAL_GROWTH","FQ4 2018","FQ4 2018","Currency=INR","Period=FQ","BEST_FPERIOD_OVERRIDE=FQ","FILING_STATUS=OR","EQY_CONSOLIDATED=Y","Sort=A","Dates=H","DateFormat=P","Fill=—","Direction=H","UseDPDF=Y")</f>
        <v>#NAME?</v>
      </c>
      <c r="BP627" s="1" t="e">
        <f ca="1">_xll.BDH($C$603,"MODIFIED_WORKING_CPTL_SEQ_GRWTH","FQ4 2018","FQ4 2018","Currency=INR","Period=FQ","BEST_FPERIOD_OVERRIDE=FQ","FILING_STATUS=OR","EQY_CONSOLIDATED=Y","Sort=A","Dates=H","DateFormat=P","Fill=—","Direction=H","UseDPDF=Y")</f>
        <v>#NAME?</v>
      </c>
      <c r="BQ627" s="1" t="e">
        <f ca="1">_xll.BDH($C$603,"WORKING_CAPITAL_SEQ_GROWTH","FQ4 2018","FQ4 2018","Currency=INR","Period=FQ","BEST_FPERIOD_OVERRIDE=FQ","FILING_STATUS=OR","EQY_CONSOLIDATED=Y","Sort=A","Dates=H","DateFormat=P","Fill=—","Direction=H","UseDPDF=Y")</f>
        <v>#NAME?</v>
      </c>
      <c r="BR627" s="1" t="e">
        <f ca="1">_xll.BDH($C$603,"ACCOUNTS_PAYABLE_SEQ_GROWTH","FQ4 2018","FQ4 2018","Currency=INR","Period=FQ","BEST_FPERIOD_OVERRIDE=FQ","FILING_STATUS=OR","EQY_CONSOLIDATED=Y","Sort=A","Dates=H","DateFormat=P","Fill=—","Direction=H","UseDPDF=Y")</f>
        <v>#NAME?</v>
      </c>
      <c r="BS627" s="1" t="e">
        <f ca="1">_xll.BDH($C$603,"ST_DEBT_SEQUENTIAL_GROWTH","FQ4 2018","FQ4 2018","Currency=INR","Period=FQ","BEST_FPERIOD_OVERRIDE=FQ","FILING_STATUS=OR","EQY_CONSOLIDATED=Y","Sort=A","Dates=H","DateFormat=P","Fill=—","Direction=H","UseDPDF=Y")</f>
        <v>#NAME?</v>
      </c>
      <c r="BT627" s="1" t="e">
        <f ca="1">_xll.BDH($C$603,"TOTAL_DEBT_SEQUENTIAL_GROWTH","FQ4 2018","FQ4 2018","Currency=INR","Period=FQ","BEST_FPERIOD_OVERRIDE=FQ","FILING_STATUS=OR","EQY_CONSOLIDATED=Y","Sort=A","Dates=H","DateFormat=P","Fill=—","Direction=H","UseDPDF=Y")</f>
        <v>#NAME?</v>
      </c>
      <c r="BU627" s="1" t="e">
        <f ca="1">_xll.BDH($C$603,"TOTAL_EQUITY_SEQUENTIAL_GROWTH","FQ4 2018","FQ4 2018","Currency=INR","Period=FQ","BEST_FPERIOD_OVERRIDE=FQ","FILING_STATUS=OR","EQY_CONSOLIDATED=Y","Sort=A","Dates=H","DateFormat=P","Fill=—","Direction=H","UseDPDF=Y")</f>
        <v>#NAME?</v>
      </c>
      <c r="BV627" s="1" t="e">
        <f ca="1">_xll.BDH($C$603,"TOTAL_CAPITAL_SEQUENTIAL_GROWTH","FQ4 2018","FQ4 2018","Currency=INR","Period=FQ","BEST_FPERIOD_OVERRIDE=FQ","FILING_STATUS=OR","EQY_CONSOLIDATED=Y","Sort=A","Dates=H","DateFormat=P","Fill=—","Direction=H","UseDPDF=Y")</f>
        <v>#NAME?</v>
      </c>
      <c r="BW627" s="1" t="e">
        <f ca="1">_xll.BDH($C$603,"BPS_SEQUENTIAL_GROWTH","FQ4 2018","FQ4 2018","Currency=INR","Period=FQ","BEST_FPERIOD_OVERRIDE=FQ","FILING_STATUS=OR","EQY_CONSOLIDATED=Y","Sort=A","Dates=H","DateFormat=P","Fill=—","Direction=H","UseDPDF=Y")</f>
        <v>#NAME?</v>
      </c>
      <c r="BX627" s="1" t="e">
        <f ca="1">_xll.BDH($C$603,"CFO_SEQUENTIAL_GROWTH","FQ4 2018","FQ4 2018","Currency=INR","Period=FQ","BEST_FPERIOD_OVERRIDE=FQ","FILING_STATUS=OR","EQY_CONSOLIDATED=Y","Sort=A","Dates=H","DateFormat=P","Fill=—","Direction=H","UseDPDF=Y")</f>
        <v>#NAME?</v>
      </c>
      <c r="BY627" s="2" t="e">
        <f ca="1">_xll.BDH($C$603,"SHORT_AND_LONG_TERM_DEBT","FQ4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627" s="2" t="e">
        <f ca="1">_xll.BDH($C$603,"BS_ST_BORROW","FQ4 2018","FQ4 2018","Currency=INR","Period=FQ","BEST_FPERIOD_OVERRIDE=FQ","FILING_STATUS=OR","EQY_CONSOLIDATED=Y","SCALING_FORMAT=MLN","Sort=A","Dates=H","DateFormat=P","Fill=—","Direction=H","UseDPDF=Y")</f>
        <v>#NAME?</v>
      </c>
      <c r="CA627" s="2" t="e">
        <f ca="1">_xll.BDH($C$603,"BS_LT_BORROW","FQ4 2018","FQ4 2018","Currency=INR","Period=FQ","BEST_FPERIOD_OVERRIDE=FQ","FILING_STATUS=OR","EQY_CONSOLIDATED=Y","SCALING_FORMAT=MLN","Sort=A","Dates=H","DateFormat=P","Fill=—","Direction=H","UseDPDF=Y")</f>
        <v>#NAME?</v>
      </c>
      <c r="CB627" s="1" t="e">
        <f ca="1">_xll.BDH($C$603,"TOT_DEBT_TO_EBITDA","FQ4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627" s="1" t="e">
        <f ca="1">_xll.BDH($C$603,"NET_DEBT_TO_EBITDA","FQ4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627" s="1" t="e">
        <f ca="1">_xll.BDH($C$603,"TOTAL_DEBT_TO_EBIT","FQ4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627" s="1" t="e">
        <f ca="1">_xll.BDH($C$603,"NET_DEBT_TO_EBIT","FQ4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627" s="1" t="e">
        <f ca="1">_xll.BDH($C$603,"EBITDA_TO_INTEREST_EXPN","FQ4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627" s="1" t="e">
        <f ca="1">_xll.BDH($C$603,"COM_EQY_TO_TOT_ASSET","FQ4 2018","FQ4 2018","Currency=INR","Period=FQ","BEST_FPERIOD_OVERRIDE=FQ","FILING_STATUS=OR","EQY_CONSOLIDATED=Y","Sort=A","Dates=H","DateFormat=P","Fill=—","Direction=H","UseDPDF=Y")</f>
        <v>#NAME?</v>
      </c>
      <c r="CH627" s="1" t="e">
        <f ca="1">_xll.BDH($C$603,"LT_DEBT_TO_TOT_EQY","FQ4 2018","FQ4 2018","Currency=INR","Period=FQ","BEST_FPERIOD_OVERRIDE=FQ","FILING_STATUS=OR","EQY_CONSOLIDATED=Y","Sort=A","Dates=H","DateFormat=P","Fill=—","Direction=H","UseDPDF=Y")</f>
        <v>#NAME?</v>
      </c>
      <c r="CI627" s="1" t="e">
        <f ca="1">_xll.BDH($C$603,"LT_DEBT_TO_TOT_CAP","FQ4 2018","FQ4 2018","Currency=INR","Period=FQ","BEST_FPERIOD_OVERRIDE=FQ","FILING_STATUS=OR","EQY_CONSOLIDATED=Y","Sort=A","Dates=H","DateFormat=P","Fill=—","Direction=H","UseDPDF=Y")</f>
        <v>#NAME?</v>
      </c>
      <c r="CJ627" s="1" t="e">
        <f ca="1">_xll.BDH($C$603,"LT_DEBT_TO_TOT_ASSET","FQ4 2018","FQ4 2018","Currency=INR","Period=FQ","BEST_FPERIOD_OVERRIDE=FQ","FILING_STATUS=OR","EQY_CONSOLIDATED=Y","Sort=A","Dates=H","DateFormat=P","Fill=—","Direction=H","UseDPDF=Y")</f>
        <v>#NAME?</v>
      </c>
      <c r="CK627" s="1" t="e">
        <f ca="1">_xll.BDH($C$603,"TOT_DEBT_TO_TOT_EQY","FQ4 2018","FQ4 2018","Currency=INR","Period=FQ","BEST_FPERIOD_OVERRIDE=FQ","FILING_STATUS=OR","EQY_CONSOLIDATED=Y","Sort=A","Dates=H","DateFormat=P","Fill=—","Direction=H","UseDPDF=Y")</f>
        <v>#NAME?</v>
      </c>
      <c r="CL627" s="1" t="e">
        <f ca="1">_xll.BDH($C$603,"TOT_DEBT_TO_TOT_CAP","FQ4 2018","FQ4 2018","Currency=INR","Period=FQ","BEST_FPERIOD_OVERRIDE=FQ","FILING_STATUS=OR","EQY_CONSOLIDATED=Y","Sort=A","Dates=H","DateFormat=P","Fill=—","Direction=H","UseDPDF=Y")</f>
        <v>#NAME?</v>
      </c>
      <c r="CM627" s="1" t="e">
        <f ca="1">_xll.BDH($C$603,"TOT_DEBT_TO_TOT_ASSET","FQ4 2018","FQ4 2018","Currency=INR","Period=FQ","BEST_FPERIOD_OVERRIDE=FQ","FILING_STATUS=OR","EQY_CONSOLIDATED=Y","Sort=A","Dates=H","DateFormat=P","Fill=—","Direction=H","UseDPDF=Y")</f>
        <v>#NAME?</v>
      </c>
      <c r="CN627" s="1" t="e">
        <f ca="1">_xll.BDH($C$603,"NET_DEBT_TO_SHRHLDR_EQTY","FQ4 2018","FQ4 2018","Currency=INR","Period=FQ","BEST_FPERIOD_OVERRIDE=FQ","FILING_STATUS=OR","EQY_CONSOLIDATED=Y","Sort=A","Dates=H","DateFormat=P","Fill=—","Direction=H","UseDPDF=Y")</f>
        <v>#NAME?</v>
      </c>
      <c r="CO627" s="1" t="e">
        <f ca="1">_xll.BDH($C$603,"NET_DEBT_%_CAPITAL","FQ4 2018","FQ4 2018","Currency=INR","Period=FQ","BEST_FPERIOD_OVERRIDE=FQ","FILING_STATUS=OR","EQY_CONSOLIDATED=Y","Sort=A","Dates=H","DateFormat=P","Fill=—","Direction=H","UseDPDF=Y")</f>
        <v>#NAME?</v>
      </c>
      <c r="CP627" s="2" t="e">
        <f ca="1">_xll.BDH($C$603,"EBITDA","FQ4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627" s="2" t="e">
        <f ca="1">_xll.BDH($C$603,"EBITDA_AFTER_CAPEX","FQ4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627" s="2" t="e">
        <f ca="1">_xll.BDH($C$603,"IS_OPER_INC","FQ4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627" s="1" t="e">
        <f ca="1">_xll.BDH($C$603,"CASH_RATIO","FQ4 2018","FQ4 2018","Currency=INR","Period=FQ","BEST_FPERIOD_OVERRIDE=FQ","FILING_STATUS=OR","EQY_CONSOLIDATED=Y","Sort=A","Dates=H","DateFormat=P","Fill=—","Direction=H","UseDPDF=Y")</f>
        <v>#NAME?</v>
      </c>
      <c r="CT627" s="1" t="e">
        <f ca="1">_xll.BDH($C$603,"CUR_RATIO","FQ4 2018","FQ4 2018","Currency=INR","Period=FQ","BEST_FPERIOD_OVERRIDE=FQ","FILING_STATUS=OR","EQY_CONSOLIDATED=Y","Sort=A","Dates=H","DateFormat=P","Fill=—","Direction=H","UseDPDF=Y")</f>
        <v>#NAME?</v>
      </c>
      <c r="CU627" s="1" t="e">
        <f ca="1">_xll.BDH($C$603,"QUICK_RATIO","FQ4 2018","FQ4 2018","Currency=INR","Period=FQ","BEST_FPERIOD_OVERRIDE=FQ","FILING_STATUS=OR","EQY_CONSOLIDATED=Y","Sort=A","Dates=H","DateFormat=P","Fill=—","Direction=H","UseDPDF=Y")</f>
        <v>#NAME?</v>
      </c>
      <c r="CV627" s="1" t="e">
        <f ca="1">_xll.BDH($C$603,"ALTMAN_Z_SCORE","FQ4 2018","FQ4 2018","Currency=INR","Period=FQ","BEST_FPERIOD_OVERRIDE=FQ","FILING_STATUS=OR","EQY_CONSOLIDATED=Y","Sort=A","Dates=H","DateFormat=P","Fill=—","Direction=H","UseDPDF=Y")</f>
        <v>#NAME?</v>
      </c>
      <c r="CW627" s="3" t="e">
        <f ca="1">_xll.BDH($C$603,"ACCT_RCV_TURN","FQ4 2018","FQ4 2018","Currency=INR","Period=FQ","BEST_FPERIOD_OVERRIDE=FQ","FILING_STATUS=OR","EQY_CONSOLIDATED=Y","FA_ADJUSTED=GAAP","Sort=A","Dates=H","DateFormat=P","Fill=—","Direction=H","UseDPDF=Y")</f>
        <v>#NAME?</v>
      </c>
      <c r="CX627" s="1" t="e">
        <f ca="1">_xll.BDH($C$603,"ACCT_RCV_DAYS","FQ4 2018","FQ4 2018","Currency=INR","Period=FQ","BEST_FPERIOD_OVERRIDE=FQ","FILING_STATUS=OR","EQY_CONSOLIDATED=Y","FA_ADJUSTED=GAAP","Sort=A","Dates=H","DateFormat=P","Fill=—","Direction=H","UseDPDF=Y")</f>
        <v>#NAME?</v>
      </c>
      <c r="CY627" s="3" t="e">
        <f ca="1">_xll.BDH($C$603,"INVENT_TURN","FQ4 2018","FQ4 2018","Currency=INR","Period=FQ","BEST_FPERIOD_OVERRIDE=FQ","FILING_STATUS=OR","EQY_CONSOLIDATED=Y","FA_ADJUSTED=GAAP","Sort=A","Dates=H","DateFormat=P","Fill=—","Direction=H","UseDPDF=Y")</f>
        <v>#NAME?</v>
      </c>
      <c r="CZ627" s="1" t="e">
        <f ca="1">_xll.BDH($C$603,"INVENT_DAYS","FQ4 2018","FQ4 2018","Currency=INR","Period=FQ","BEST_FPERIOD_OVERRIDE=FQ","FILING_STATUS=OR","EQY_CONSOLIDATED=Y","FA_ADJUSTED=GAAP","Sort=A","Dates=H","DateFormat=P","Fill=—","Direction=H","UseDPDF=Y")</f>
        <v>#NAME?</v>
      </c>
      <c r="DA627" s="3" t="e">
        <f ca="1">_xll.BDH($C$603,"ACCOUNTS_PAYABLE_TURNOVER","FQ4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627" s="1" t="e">
        <f ca="1">_xll.BDH($C$603,"ACCOUNTS_PAYABLE_TURNOVER_DAYS","FQ4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627" s="3" t="e">
        <f ca="1">_xll.BDH($C$603,"CASH_CONVERSION_CYCLE","FQ4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627" s="3" t="e">
        <f ca="1">_xll.BDH($C$603,"INV_TO_CASH_DAYS","FQ4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627" s="4" t="e">
        <f ca="1">_xll.BDH($C$603,"BS_INVENTORIES","FQ4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627" s="2" t="e">
        <f ca="1">_xll.BDH($C$603,"INVTRY_RAW_MATERIALS","FQ4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627" s="2" t="e">
        <f ca="1">_xll.BDH($C$603,"INVTRY_IN_PROGRESS","FQ4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627" s="2" t="e">
        <f ca="1">_xll.BDH($C$603,"INVTRY_FINISHED_GOODS","FQ4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627" s="2" t="e">
        <f ca="1">_xll.BDH($C$603,"BS_OTHER_INV","FQ4 2018","FQ4 2018","Currency=INR","Period=FQ","BEST_FPERIOD_OVERRIDE=FQ","FILING_STATUS=OR","EQY_CONSOLIDATED=Y","SCALING_FORMAT=MLN","Sort=A","Dates=H","DateFormat=P","Fill=—","Direction=H","UseDPDF=Y")</f>
        <v>#NAME?</v>
      </c>
    </row>
  </sheetData>
  <mergeCells count="200">
    <mergeCell ref="A3:A27"/>
    <mergeCell ref="B3:B27"/>
    <mergeCell ref="C3:C27"/>
    <mergeCell ref="D3:D7"/>
    <mergeCell ref="D8:D12"/>
    <mergeCell ref="D13:D17"/>
    <mergeCell ref="D18:D22"/>
    <mergeCell ref="D23:D27"/>
    <mergeCell ref="A53:A77"/>
    <mergeCell ref="B53:B77"/>
    <mergeCell ref="C53:C77"/>
    <mergeCell ref="D53:D57"/>
    <mergeCell ref="D58:D62"/>
    <mergeCell ref="D63:D67"/>
    <mergeCell ref="D68:D72"/>
    <mergeCell ref="D73:D77"/>
    <mergeCell ref="A28:A52"/>
    <mergeCell ref="B28:B52"/>
    <mergeCell ref="C28:C52"/>
    <mergeCell ref="D28:D32"/>
    <mergeCell ref="D33:D37"/>
    <mergeCell ref="D38:D42"/>
    <mergeCell ref="D43:D47"/>
    <mergeCell ref="D48:D52"/>
    <mergeCell ref="A103:A127"/>
    <mergeCell ref="B103:B127"/>
    <mergeCell ref="C103:C127"/>
    <mergeCell ref="D103:D107"/>
    <mergeCell ref="D108:D112"/>
    <mergeCell ref="D113:D117"/>
    <mergeCell ref="D118:D122"/>
    <mergeCell ref="D123:D127"/>
    <mergeCell ref="A78:A102"/>
    <mergeCell ref="B78:B102"/>
    <mergeCell ref="C78:C102"/>
    <mergeCell ref="D78:D82"/>
    <mergeCell ref="D83:D87"/>
    <mergeCell ref="D88:D92"/>
    <mergeCell ref="D93:D97"/>
    <mergeCell ref="D98:D102"/>
    <mergeCell ref="A153:A177"/>
    <mergeCell ref="B153:B177"/>
    <mergeCell ref="C153:C177"/>
    <mergeCell ref="D153:D157"/>
    <mergeCell ref="D158:D162"/>
    <mergeCell ref="D163:D167"/>
    <mergeCell ref="D168:D172"/>
    <mergeCell ref="D173:D177"/>
    <mergeCell ref="A128:A152"/>
    <mergeCell ref="B128:B152"/>
    <mergeCell ref="C128:C152"/>
    <mergeCell ref="D128:D132"/>
    <mergeCell ref="D133:D137"/>
    <mergeCell ref="D138:D142"/>
    <mergeCell ref="D143:D147"/>
    <mergeCell ref="D148:D152"/>
    <mergeCell ref="A203:A227"/>
    <mergeCell ref="B203:B227"/>
    <mergeCell ref="C203:C227"/>
    <mergeCell ref="D203:D207"/>
    <mergeCell ref="D208:D212"/>
    <mergeCell ref="D213:D217"/>
    <mergeCell ref="D218:D222"/>
    <mergeCell ref="D223:D227"/>
    <mergeCell ref="A178:A202"/>
    <mergeCell ref="B178:B202"/>
    <mergeCell ref="C178:C202"/>
    <mergeCell ref="D178:D182"/>
    <mergeCell ref="D183:D187"/>
    <mergeCell ref="D188:D192"/>
    <mergeCell ref="D193:D197"/>
    <mergeCell ref="D198:D202"/>
    <mergeCell ref="A253:A277"/>
    <mergeCell ref="B253:B277"/>
    <mergeCell ref="C253:C277"/>
    <mergeCell ref="D253:D257"/>
    <mergeCell ref="D258:D262"/>
    <mergeCell ref="D263:D267"/>
    <mergeCell ref="D268:D272"/>
    <mergeCell ref="D273:D277"/>
    <mergeCell ref="A228:A252"/>
    <mergeCell ref="B228:B252"/>
    <mergeCell ref="C228:C252"/>
    <mergeCell ref="D228:D232"/>
    <mergeCell ref="D233:D237"/>
    <mergeCell ref="D238:D242"/>
    <mergeCell ref="D243:D247"/>
    <mergeCell ref="D248:D252"/>
    <mergeCell ref="A303:A327"/>
    <mergeCell ref="B303:B327"/>
    <mergeCell ref="C303:C327"/>
    <mergeCell ref="D303:D307"/>
    <mergeCell ref="D308:D312"/>
    <mergeCell ref="D313:D317"/>
    <mergeCell ref="D318:D322"/>
    <mergeCell ref="D323:D327"/>
    <mergeCell ref="A278:A302"/>
    <mergeCell ref="B278:B302"/>
    <mergeCell ref="C278:C302"/>
    <mergeCell ref="D278:D282"/>
    <mergeCell ref="D283:D287"/>
    <mergeCell ref="D288:D292"/>
    <mergeCell ref="D293:D297"/>
    <mergeCell ref="D298:D302"/>
    <mergeCell ref="A353:A377"/>
    <mergeCell ref="B353:B377"/>
    <mergeCell ref="C353:C377"/>
    <mergeCell ref="D353:D357"/>
    <mergeCell ref="D358:D362"/>
    <mergeCell ref="D363:D367"/>
    <mergeCell ref="D368:D372"/>
    <mergeCell ref="D373:D377"/>
    <mergeCell ref="A328:A352"/>
    <mergeCell ref="B328:B352"/>
    <mergeCell ref="C328:C352"/>
    <mergeCell ref="D328:D332"/>
    <mergeCell ref="D333:D337"/>
    <mergeCell ref="D338:D342"/>
    <mergeCell ref="D343:D347"/>
    <mergeCell ref="D348:D352"/>
    <mergeCell ref="A403:A427"/>
    <mergeCell ref="B403:B427"/>
    <mergeCell ref="C403:C427"/>
    <mergeCell ref="D403:D407"/>
    <mergeCell ref="D408:D412"/>
    <mergeCell ref="D413:D417"/>
    <mergeCell ref="D418:D422"/>
    <mergeCell ref="D423:D427"/>
    <mergeCell ref="A378:A402"/>
    <mergeCell ref="B378:B402"/>
    <mergeCell ref="C378:C402"/>
    <mergeCell ref="D378:D382"/>
    <mergeCell ref="D383:D387"/>
    <mergeCell ref="D388:D392"/>
    <mergeCell ref="D393:D397"/>
    <mergeCell ref="D398:D402"/>
    <mergeCell ref="A453:A477"/>
    <mergeCell ref="B453:B477"/>
    <mergeCell ref="C453:C477"/>
    <mergeCell ref="D453:D457"/>
    <mergeCell ref="D458:D462"/>
    <mergeCell ref="D463:D467"/>
    <mergeCell ref="D468:D472"/>
    <mergeCell ref="D473:D477"/>
    <mergeCell ref="A428:A452"/>
    <mergeCell ref="B428:B452"/>
    <mergeCell ref="C428:C452"/>
    <mergeCell ref="D428:D432"/>
    <mergeCell ref="D433:D437"/>
    <mergeCell ref="D438:D442"/>
    <mergeCell ref="D443:D447"/>
    <mergeCell ref="D448:D452"/>
    <mergeCell ref="A503:A527"/>
    <mergeCell ref="B503:B527"/>
    <mergeCell ref="C503:C527"/>
    <mergeCell ref="D503:D507"/>
    <mergeCell ref="D508:D512"/>
    <mergeCell ref="D513:D517"/>
    <mergeCell ref="D518:D522"/>
    <mergeCell ref="D523:D527"/>
    <mergeCell ref="A478:A502"/>
    <mergeCell ref="B478:B502"/>
    <mergeCell ref="C478:C502"/>
    <mergeCell ref="D478:D482"/>
    <mergeCell ref="D483:D487"/>
    <mergeCell ref="D488:D492"/>
    <mergeCell ref="D493:D497"/>
    <mergeCell ref="D498:D502"/>
    <mergeCell ref="A553:A577"/>
    <mergeCell ref="B553:B577"/>
    <mergeCell ref="C553:C577"/>
    <mergeCell ref="D553:D557"/>
    <mergeCell ref="D558:D562"/>
    <mergeCell ref="D563:D567"/>
    <mergeCell ref="D568:D572"/>
    <mergeCell ref="D573:D577"/>
    <mergeCell ref="A528:A552"/>
    <mergeCell ref="B528:B552"/>
    <mergeCell ref="C528:C552"/>
    <mergeCell ref="D528:D532"/>
    <mergeCell ref="D533:D537"/>
    <mergeCell ref="D538:D542"/>
    <mergeCell ref="D543:D547"/>
    <mergeCell ref="D548:D552"/>
    <mergeCell ref="A603:A627"/>
    <mergeCell ref="B603:B627"/>
    <mergeCell ref="C603:C627"/>
    <mergeCell ref="D603:D607"/>
    <mergeCell ref="D608:D612"/>
    <mergeCell ref="D613:D617"/>
    <mergeCell ref="D618:D622"/>
    <mergeCell ref="D623:D627"/>
    <mergeCell ref="A578:A602"/>
    <mergeCell ref="B578:B602"/>
    <mergeCell ref="C578:C602"/>
    <mergeCell ref="D578:D582"/>
    <mergeCell ref="D583:D587"/>
    <mergeCell ref="D588:D592"/>
    <mergeCell ref="D593:D597"/>
    <mergeCell ref="D598:D60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627"/>
  <sheetViews>
    <sheetView tabSelected="1" workbookViewId="0">
      <selection sqref="A1:XFD1"/>
    </sheetView>
  </sheetViews>
  <sheetFormatPr defaultRowHeight="14.4" x14ac:dyDescent="0.3"/>
  <sheetData>
    <row r="1" spans="1:113" x14ac:dyDescent="0.3">
      <c r="S1" s="7" t="s">
        <v>135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 t="s">
        <v>136</v>
      </c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 t="s">
        <v>137</v>
      </c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</row>
    <row r="2" spans="1:113" x14ac:dyDescent="0.3">
      <c r="A2" t="s">
        <v>60</v>
      </c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66</v>
      </c>
      <c r="H2" t="s">
        <v>67</v>
      </c>
      <c r="I2" t="s">
        <v>68</v>
      </c>
      <c r="J2" t="s">
        <v>69</v>
      </c>
      <c r="K2" t="s">
        <v>70</v>
      </c>
      <c r="L2" t="s">
        <v>71</v>
      </c>
      <c r="M2" t="s">
        <v>72</v>
      </c>
      <c r="N2" t="s">
        <v>73</v>
      </c>
      <c r="O2" t="s">
        <v>74</v>
      </c>
      <c r="P2" t="s">
        <v>75</v>
      </c>
      <c r="Q2" t="s">
        <v>76</v>
      </c>
      <c r="R2" t="s">
        <v>77</v>
      </c>
      <c r="S2" t="s">
        <v>78</v>
      </c>
      <c r="T2" t="s">
        <v>79</v>
      </c>
      <c r="U2" t="s">
        <v>80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t="s">
        <v>87</v>
      </c>
      <c r="AC2" t="s">
        <v>88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 t="s">
        <v>94</v>
      </c>
      <c r="AJ2" t="s">
        <v>95</v>
      </c>
      <c r="AK2" t="s">
        <v>96</v>
      </c>
      <c r="AL2" t="s">
        <v>97</v>
      </c>
      <c r="AM2" t="s">
        <v>79</v>
      </c>
      <c r="AN2" t="s">
        <v>80</v>
      </c>
      <c r="AO2" t="s">
        <v>81</v>
      </c>
      <c r="AP2" t="s">
        <v>82</v>
      </c>
      <c r="AQ2" t="s">
        <v>83</v>
      </c>
      <c r="AR2" t="s">
        <v>84</v>
      </c>
      <c r="AS2" t="s">
        <v>85</v>
      </c>
      <c r="AT2" t="s">
        <v>86</v>
      </c>
      <c r="AU2" t="s">
        <v>87</v>
      </c>
      <c r="AV2" t="s">
        <v>88</v>
      </c>
      <c r="AW2" t="s">
        <v>89</v>
      </c>
      <c r="AX2" t="s">
        <v>90</v>
      </c>
      <c r="AY2" t="s">
        <v>91</v>
      </c>
      <c r="AZ2" t="s">
        <v>92</v>
      </c>
      <c r="BA2" t="s">
        <v>93</v>
      </c>
      <c r="BB2" t="s">
        <v>94</v>
      </c>
      <c r="BC2" t="s">
        <v>95</v>
      </c>
      <c r="BD2" t="s">
        <v>96</v>
      </c>
      <c r="BE2" t="s">
        <v>97</v>
      </c>
      <c r="BF2" t="s">
        <v>79</v>
      </c>
      <c r="BG2" t="s">
        <v>80</v>
      </c>
      <c r="BH2" t="s">
        <v>81</v>
      </c>
      <c r="BI2" t="s">
        <v>82</v>
      </c>
      <c r="BJ2" t="s">
        <v>83</v>
      </c>
      <c r="BK2" t="s">
        <v>84</v>
      </c>
      <c r="BL2" t="s">
        <v>85</v>
      </c>
      <c r="BM2" t="s">
        <v>86</v>
      </c>
      <c r="BN2" t="s">
        <v>87</v>
      </c>
      <c r="BO2" t="s">
        <v>88</v>
      </c>
      <c r="BP2" t="s">
        <v>89</v>
      </c>
      <c r="BQ2" t="s">
        <v>90</v>
      </c>
      <c r="BR2" t="s">
        <v>91</v>
      </c>
      <c r="BS2" t="s">
        <v>92</v>
      </c>
      <c r="BT2" t="s">
        <v>93</v>
      </c>
      <c r="BU2" t="s">
        <v>94</v>
      </c>
      <c r="BV2" t="s">
        <v>95</v>
      </c>
      <c r="BW2" t="s">
        <v>96</v>
      </c>
      <c r="BX2" t="s">
        <v>97</v>
      </c>
      <c r="BY2" t="s">
        <v>98</v>
      </c>
      <c r="BZ2" t="s">
        <v>99</v>
      </c>
      <c r="CA2" t="s">
        <v>100</v>
      </c>
      <c r="CB2" t="s">
        <v>101</v>
      </c>
      <c r="CC2" t="s">
        <v>102</v>
      </c>
      <c r="CD2" t="s">
        <v>103</v>
      </c>
      <c r="CE2" t="s">
        <v>104</v>
      </c>
      <c r="CF2" t="s">
        <v>105</v>
      </c>
      <c r="CG2" t="s">
        <v>106</v>
      </c>
      <c r="CH2" t="s">
        <v>107</v>
      </c>
      <c r="CI2" t="s">
        <v>108</v>
      </c>
      <c r="CJ2" t="s">
        <v>109</v>
      </c>
      <c r="CK2" t="s">
        <v>110</v>
      </c>
      <c r="CL2" t="s">
        <v>111</v>
      </c>
      <c r="CM2" t="s">
        <v>112</v>
      </c>
      <c r="CN2" t="s">
        <v>113</v>
      </c>
      <c r="CO2" t="s">
        <v>114</v>
      </c>
      <c r="CP2" t="s">
        <v>80</v>
      </c>
      <c r="CQ2" t="s">
        <v>115</v>
      </c>
      <c r="CR2" t="s">
        <v>116</v>
      </c>
      <c r="CS2" t="s">
        <v>117</v>
      </c>
      <c r="CT2" t="s">
        <v>118</v>
      </c>
      <c r="CU2" t="s">
        <v>119</v>
      </c>
      <c r="CV2" t="s">
        <v>120</v>
      </c>
      <c r="CW2" t="s">
        <v>121</v>
      </c>
      <c r="CX2" t="s">
        <v>122</v>
      </c>
      <c r="CY2" t="s">
        <v>123</v>
      </c>
      <c r="CZ2" t="s">
        <v>124</v>
      </c>
      <c r="DA2" t="s">
        <v>125</v>
      </c>
      <c r="DB2" t="s">
        <v>126</v>
      </c>
      <c r="DC2" t="s">
        <v>127</v>
      </c>
      <c r="DD2" t="s">
        <v>128</v>
      </c>
      <c r="DE2" t="s">
        <v>129</v>
      </c>
      <c r="DF2" t="s">
        <v>130</v>
      </c>
      <c r="DG2" t="s">
        <v>131</v>
      </c>
      <c r="DH2" t="s">
        <v>132</v>
      </c>
      <c r="DI2" t="s">
        <v>133</v>
      </c>
    </row>
    <row r="3" spans="1:113" x14ac:dyDescent="0.3">
      <c r="A3">
        <v>51</v>
      </c>
      <c r="B3" t="s">
        <v>0</v>
      </c>
      <c r="C3" t="s">
        <v>1</v>
      </c>
      <c r="D3" t="s">
        <v>2</v>
      </c>
      <c r="E3" t="s">
        <v>3</v>
      </c>
      <c r="F3">
        <v>28.7319</v>
      </c>
      <c r="G3">
        <v>3.7438000000000002</v>
      </c>
      <c r="H3">
        <v>4.8141999999999996</v>
      </c>
      <c r="I3">
        <v>4.8400999999999996</v>
      </c>
      <c r="J3">
        <v>88.103300000000004</v>
      </c>
      <c r="K3">
        <v>73.430300000000003</v>
      </c>
      <c r="L3">
        <v>63.907200000000003</v>
      </c>
      <c r="M3">
        <v>33.244199999999999</v>
      </c>
      <c r="N3">
        <v>58.118200000000002</v>
      </c>
      <c r="O3">
        <v>26.238499999999998</v>
      </c>
      <c r="P3">
        <v>57.956099999999999</v>
      </c>
      <c r="Q3">
        <v>20.852499999999999</v>
      </c>
      <c r="R3">
        <v>61.932499999999997</v>
      </c>
      <c r="S3">
        <v>10.9375</v>
      </c>
      <c r="T3">
        <v>24.766999999999999</v>
      </c>
      <c r="U3">
        <v>23.441500000000001</v>
      </c>
      <c r="V3">
        <v>19.735700000000001</v>
      </c>
      <c r="W3">
        <v>24.293500000000002</v>
      </c>
      <c r="X3">
        <v>21.9055</v>
      </c>
      <c r="Y3">
        <v>45</v>
      </c>
      <c r="Z3" t="s">
        <v>134</v>
      </c>
      <c r="AA3" t="s">
        <v>134</v>
      </c>
      <c r="AB3">
        <v>4.0185000000000004</v>
      </c>
      <c r="AC3">
        <v>13.4824</v>
      </c>
      <c r="AD3" t="s">
        <v>134</v>
      </c>
      <c r="AE3" t="s">
        <v>134</v>
      </c>
      <c r="AF3" t="s">
        <v>134</v>
      </c>
      <c r="AG3">
        <v>38.9968</v>
      </c>
      <c r="AH3">
        <v>18.1235</v>
      </c>
      <c r="AI3">
        <v>7.1921999999999997</v>
      </c>
      <c r="AJ3">
        <v>16.192</v>
      </c>
      <c r="AK3">
        <v>3.0526</v>
      </c>
      <c r="AL3">
        <v>32.044499999999999</v>
      </c>
      <c r="AM3" t="s">
        <v>134</v>
      </c>
      <c r="AN3" t="s">
        <v>134</v>
      </c>
      <c r="AO3" t="s">
        <v>134</v>
      </c>
      <c r="AP3" t="s">
        <v>134</v>
      </c>
      <c r="AQ3" t="s">
        <v>134</v>
      </c>
      <c r="AR3" t="s">
        <v>134</v>
      </c>
      <c r="AS3" t="s">
        <v>134</v>
      </c>
      <c r="AT3" t="s">
        <v>134</v>
      </c>
      <c r="AU3" t="s">
        <v>134</v>
      </c>
      <c r="AV3" t="s">
        <v>134</v>
      </c>
      <c r="AW3" t="s">
        <v>134</v>
      </c>
      <c r="AX3" t="s">
        <v>134</v>
      </c>
      <c r="AY3" t="s">
        <v>134</v>
      </c>
      <c r="AZ3" t="s">
        <v>134</v>
      </c>
      <c r="BA3" t="s">
        <v>134</v>
      </c>
      <c r="BB3" t="s">
        <v>134</v>
      </c>
      <c r="BC3" t="s">
        <v>134</v>
      </c>
      <c r="BD3" t="s">
        <v>134</v>
      </c>
      <c r="BE3" t="s">
        <v>134</v>
      </c>
      <c r="BF3">
        <v>24.766999999999999</v>
      </c>
      <c r="BG3">
        <v>23.441500000000001</v>
      </c>
      <c r="BH3">
        <v>19.735700000000001</v>
      </c>
      <c r="BI3">
        <v>24.293500000000002</v>
      </c>
      <c r="BJ3">
        <v>21.9055</v>
      </c>
      <c r="BK3">
        <v>45</v>
      </c>
      <c r="BL3">
        <v>-72.151200000000003</v>
      </c>
      <c r="BM3" t="s">
        <v>134</v>
      </c>
      <c r="BN3">
        <v>4.0185000000000004</v>
      </c>
      <c r="BO3">
        <v>13.4824</v>
      </c>
      <c r="BP3" t="s">
        <v>134</v>
      </c>
      <c r="BQ3" t="s">
        <v>134</v>
      </c>
      <c r="BR3" t="s">
        <v>134</v>
      </c>
      <c r="BS3">
        <v>38.9968</v>
      </c>
      <c r="BT3">
        <v>18.1235</v>
      </c>
      <c r="BU3">
        <v>7.1921999999999997</v>
      </c>
      <c r="BV3">
        <v>16.192</v>
      </c>
      <c r="BW3">
        <v>3.0526</v>
      </c>
      <c r="BX3" t="s">
        <v>134</v>
      </c>
      <c r="BY3">
        <v>293129.15789999999</v>
      </c>
      <c r="BZ3">
        <v>91473.960500000001</v>
      </c>
      <c r="CA3">
        <v>201655.1973</v>
      </c>
      <c r="CB3">
        <v>5.5811999999999999</v>
      </c>
      <c r="CC3">
        <v>4.7397999999999998</v>
      </c>
      <c r="CD3">
        <v>14.7911</v>
      </c>
      <c r="CE3">
        <v>12.561299999999999</v>
      </c>
      <c r="CF3">
        <v>1.6099000000000001</v>
      </c>
      <c r="CG3">
        <v>12.8482</v>
      </c>
      <c r="CH3">
        <v>353.22989999999999</v>
      </c>
      <c r="CI3">
        <v>57.579900000000002</v>
      </c>
      <c r="CJ3">
        <v>45.399000000000001</v>
      </c>
      <c r="CK3">
        <v>513.46050000000002</v>
      </c>
      <c r="CL3">
        <v>83.698999999999998</v>
      </c>
      <c r="CM3">
        <v>65.992699999999999</v>
      </c>
      <c r="CN3">
        <v>436.05430000000001</v>
      </c>
      <c r="CO3">
        <v>81.345200000000006</v>
      </c>
      <c r="CP3">
        <v>52521.114099999999</v>
      </c>
      <c r="CQ3">
        <v>52414.303800000002</v>
      </c>
      <c r="CR3">
        <v>19817.908800000001</v>
      </c>
      <c r="CS3" t="s">
        <v>134</v>
      </c>
      <c r="CT3" t="s">
        <v>134</v>
      </c>
      <c r="CU3" t="s">
        <v>134</v>
      </c>
      <c r="CV3" t="s">
        <v>134</v>
      </c>
      <c r="CW3" t="s">
        <v>134</v>
      </c>
      <c r="CX3" t="s">
        <v>134</v>
      </c>
      <c r="CY3" t="s">
        <v>134</v>
      </c>
      <c r="CZ3" t="s">
        <v>134</v>
      </c>
      <c r="DA3" t="s">
        <v>134</v>
      </c>
      <c r="DB3" t="s">
        <v>134</v>
      </c>
      <c r="DC3" t="s">
        <v>134</v>
      </c>
      <c r="DD3" t="s">
        <v>134</v>
      </c>
      <c r="DE3" t="s">
        <v>134</v>
      </c>
      <c r="DF3" t="s">
        <v>134</v>
      </c>
      <c r="DG3" t="s">
        <v>134</v>
      </c>
      <c r="DH3" t="s">
        <v>134</v>
      </c>
      <c r="DI3" t="s">
        <v>134</v>
      </c>
    </row>
    <row r="4" spans="1:113" x14ac:dyDescent="0.3">
      <c r="E4" t="s">
        <v>4</v>
      </c>
      <c r="F4" t="s">
        <v>134</v>
      </c>
      <c r="G4" t="s">
        <v>134</v>
      </c>
      <c r="H4" t="s">
        <v>134</v>
      </c>
      <c r="I4" t="s">
        <v>134</v>
      </c>
      <c r="J4">
        <v>88.022999999999996</v>
      </c>
      <c r="K4">
        <v>73.402900000000002</v>
      </c>
      <c r="L4" t="s">
        <v>134</v>
      </c>
      <c r="M4">
        <v>35.894800000000004</v>
      </c>
      <c r="N4">
        <v>58.704700000000003</v>
      </c>
      <c r="O4">
        <v>26.550599999999999</v>
      </c>
      <c r="P4">
        <v>58.194899999999997</v>
      </c>
      <c r="Q4">
        <v>25.3841</v>
      </c>
      <c r="R4">
        <v>53.812199999999997</v>
      </c>
      <c r="S4" t="s">
        <v>134</v>
      </c>
      <c r="T4" t="s">
        <v>134</v>
      </c>
      <c r="U4" t="s">
        <v>134</v>
      </c>
      <c r="V4" t="s">
        <v>134</v>
      </c>
      <c r="W4" t="s">
        <v>134</v>
      </c>
      <c r="X4" t="s">
        <v>134</v>
      </c>
      <c r="Y4" t="s">
        <v>134</v>
      </c>
      <c r="Z4" t="s">
        <v>134</v>
      </c>
      <c r="AA4" t="s">
        <v>134</v>
      </c>
      <c r="AB4" t="s">
        <v>134</v>
      </c>
      <c r="AC4" t="s">
        <v>134</v>
      </c>
      <c r="AD4" t="s">
        <v>134</v>
      </c>
      <c r="AE4" t="s">
        <v>134</v>
      </c>
      <c r="AF4" t="s">
        <v>134</v>
      </c>
      <c r="AG4" t="s">
        <v>134</v>
      </c>
      <c r="AH4" t="s">
        <v>134</v>
      </c>
      <c r="AI4" t="s">
        <v>134</v>
      </c>
      <c r="AJ4" t="s">
        <v>134</v>
      </c>
      <c r="AK4" t="s">
        <v>134</v>
      </c>
      <c r="AL4" t="s">
        <v>134</v>
      </c>
      <c r="AM4" t="s">
        <v>134</v>
      </c>
      <c r="AN4" t="s">
        <v>134</v>
      </c>
      <c r="AO4" t="s">
        <v>134</v>
      </c>
      <c r="AP4" t="s">
        <v>134</v>
      </c>
      <c r="AQ4" t="s">
        <v>134</v>
      </c>
      <c r="AR4" t="s">
        <v>134</v>
      </c>
      <c r="AS4" t="s">
        <v>134</v>
      </c>
      <c r="AT4" t="s">
        <v>134</v>
      </c>
      <c r="AU4" t="s">
        <v>134</v>
      </c>
      <c r="AV4" t="s">
        <v>134</v>
      </c>
      <c r="AW4" t="s">
        <v>134</v>
      </c>
      <c r="AX4" t="s">
        <v>134</v>
      </c>
      <c r="AY4" t="s">
        <v>134</v>
      </c>
      <c r="AZ4" t="s">
        <v>134</v>
      </c>
      <c r="BA4" t="s">
        <v>134</v>
      </c>
      <c r="BB4" t="s">
        <v>134</v>
      </c>
      <c r="BC4" t="s">
        <v>134</v>
      </c>
      <c r="BD4" t="s">
        <v>134</v>
      </c>
      <c r="BE4" t="s">
        <v>134</v>
      </c>
      <c r="BF4" t="s">
        <v>134</v>
      </c>
      <c r="BG4" t="s">
        <v>134</v>
      </c>
      <c r="BH4" t="s">
        <v>134</v>
      </c>
      <c r="BI4" t="s">
        <v>134</v>
      </c>
      <c r="BJ4" t="s">
        <v>134</v>
      </c>
      <c r="BK4" t="s">
        <v>134</v>
      </c>
      <c r="BL4" t="s">
        <v>134</v>
      </c>
      <c r="BM4" t="s">
        <v>134</v>
      </c>
      <c r="BN4" t="s">
        <v>134</v>
      </c>
      <c r="BO4" t="s">
        <v>134</v>
      </c>
      <c r="BP4" t="s">
        <v>134</v>
      </c>
      <c r="BQ4" t="s">
        <v>134</v>
      </c>
      <c r="BR4" t="s">
        <v>134</v>
      </c>
      <c r="BS4" t="s">
        <v>134</v>
      </c>
      <c r="BT4" t="s">
        <v>134</v>
      </c>
      <c r="BU4" t="s">
        <v>134</v>
      </c>
      <c r="BV4" t="s">
        <v>134</v>
      </c>
      <c r="BW4" t="s">
        <v>134</v>
      </c>
      <c r="BX4" t="s">
        <v>134</v>
      </c>
      <c r="BY4" t="s">
        <v>134</v>
      </c>
      <c r="BZ4" t="s">
        <v>134</v>
      </c>
      <c r="CA4" t="s">
        <v>134</v>
      </c>
      <c r="CB4" t="s">
        <v>134</v>
      </c>
      <c r="CC4" t="s">
        <v>134</v>
      </c>
      <c r="CD4" t="s">
        <v>134</v>
      </c>
      <c r="CE4" t="s">
        <v>134</v>
      </c>
      <c r="CF4">
        <v>1.6188</v>
      </c>
      <c r="CG4" t="s">
        <v>134</v>
      </c>
      <c r="CH4" t="s">
        <v>134</v>
      </c>
      <c r="CI4" t="s">
        <v>134</v>
      </c>
      <c r="CJ4" t="s">
        <v>134</v>
      </c>
      <c r="CK4" t="s">
        <v>134</v>
      </c>
      <c r="CL4" t="s">
        <v>134</v>
      </c>
      <c r="CM4" t="s">
        <v>134</v>
      </c>
      <c r="CN4" t="s">
        <v>134</v>
      </c>
      <c r="CO4" t="s">
        <v>134</v>
      </c>
      <c r="CP4">
        <v>11552.012000000001</v>
      </c>
      <c r="CQ4" t="s">
        <v>134</v>
      </c>
      <c r="CR4">
        <v>4395.0519999999997</v>
      </c>
      <c r="CS4" t="s">
        <v>134</v>
      </c>
      <c r="CT4" t="s">
        <v>134</v>
      </c>
      <c r="CU4" t="s">
        <v>134</v>
      </c>
      <c r="CV4" t="s">
        <v>134</v>
      </c>
      <c r="CW4" t="s">
        <v>134</v>
      </c>
      <c r="CX4" t="s">
        <v>134</v>
      </c>
      <c r="CY4" t="s">
        <v>134</v>
      </c>
      <c r="CZ4" t="s">
        <v>134</v>
      </c>
      <c r="DA4" t="s">
        <v>134</v>
      </c>
      <c r="DB4" t="s">
        <v>134</v>
      </c>
      <c r="DC4" t="s">
        <v>134</v>
      </c>
      <c r="DD4" t="s">
        <v>134</v>
      </c>
      <c r="DE4" t="s">
        <v>134</v>
      </c>
      <c r="DF4" t="s">
        <v>134</v>
      </c>
      <c r="DG4" t="s">
        <v>134</v>
      </c>
      <c r="DH4" t="s">
        <v>134</v>
      </c>
      <c r="DI4" t="s">
        <v>134</v>
      </c>
    </row>
    <row r="5" spans="1:113" x14ac:dyDescent="0.3">
      <c r="E5" t="s">
        <v>5</v>
      </c>
      <c r="F5" t="s">
        <v>134</v>
      </c>
      <c r="G5" t="s">
        <v>134</v>
      </c>
      <c r="H5" t="s">
        <v>134</v>
      </c>
      <c r="I5" t="s">
        <v>134</v>
      </c>
      <c r="J5">
        <v>89.205500000000001</v>
      </c>
      <c r="K5">
        <v>75.340800000000002</v>
      </c>
      <c r="L5" t="s">
        <v>134</v>
      </c>
      <c r="M5">
        <v>34.740600000000001</v>
      </c>
      <c r="N5">
        <v>57.4375</v>
      </c>
      <c r="O5">
        <v>25.375399999999999</v>
      </c>
      <c r="P5">
        <v>57.241300000000003</v>
      </c>
      <c r="Q5">
        <v>26.707100000000001</v>
      </c>
      <c r="R5">
        <v>62.597200000000001</v>
      </c>
      <c r="S5" t="s">
        <v>134</v>
      </c>
      <c r="T5" t="s">
        <v>134</v>
      </c>
      <c r="U5" t="s">
        <v>134</v>
      </c>
      <c r="V5" t="s">
        <v>134</v>
      </c>
      <c r="W5" t="s">
        <v>134</v>
      </c>
      <c r="X5" t="s">
        <v>134</v>
      </c>
      <c r="Y5" t="s">
        <v>134</v>
      </c>
      <c r="Z5" t="s">
        <v>134</v>
      </c>
      <c r="AA5" t="s">
        <v>134</v>
      </c>
      <c r="AB5" t="s">
        <v>134</v>
      </c>
      <c r="AC5" t="s">
        <v>134</v>
      </c>
      <c r="AD5" t="s">
        <v>134</v>
      </c>
      <c r="AE5" t="s">
        <v>134</v>
      </c>
      <c r="AF5" t="s">
        <v>134</v>
      </c>
      <c r="AG5" t="s">
        <v>134</v>
      </c>
      <c r="AH5" t="s">
        <v>134</v>
      </c>
      <c r="AI5" t="s">
        <v>134</v>
      </c>
      <c r="AJ5" t="s">
        <v>134</v>
      </c>
      <c r="AK5" t="s">
        <v>134</v>
      </c>
      <c r="AL5" t="s">
        <v>134</v>
      </c>
      <c r="AM5" t="s">
        <v>134</v>
      </c>
      <c r="AN5" t="s">
        <v>134</v>
      </c>
      <c r="AO5" t="s">
        <v>134</v>
      </c>
      <c r="AP5" t="s">
        <v>134</v>
      </c>
      <c r="AQ5" t="s">
        <v>134</v>
      </c>
      <c r="AR5" t="s">
        <v>134</v>
      </c>
      <c r="AS5" t="s">
        <v>134</v>
      </c>
      <c r="AT5" t="s">
        <v>134</v>
      </c>
      <c r="AU5" t="s">
        <v>134</v>
      </c>
      <c r="AV5" t="s">
        <v>134</v>
      </c>
      <c r="AW5" t="s">
        <v>134</v>
      </c>
      <c r="AX5" t="s">
        <v>134</v>
      </c>
      <c r="AY5" t="s">
        <v>134</v>
      </c>
      <c r="AZ5" t="s">
        <v>134</v>
      </c>
      <c r="BA5" t="s">
        <v>134</v>
      </c>
      <c r="BB5" t="s">
        <v>134</v>
      </c>
      <c r="BC5" t="s">
        <v>134</v>
      </c>
      <c r="BD5" t="s">
        <v>134</v>
      </c>
      <c r="BE5" t="s">
        <v>134</v>
      </c>
      <c r="BF5">
        <v>20.247299999999999</v>
      </c>
      <c r="BG5">
        <v>23.2867</v>
      </c>
      <c r="BH5">
        <v>44.240099999999998</v>
      </c>
      <c r="BI5">
        <v>5.9332000000000003</v>
      </c>
      <c r="BJ5">
        <v>5.4459999999999997</v>
      </c>
      <c r="BK5">
        <v>16.666699999999999</v>
      </c>
      <c r="BL5" t="s">
        <v>134</v>
      </c>
      <c r="BM5" t="s">
        <v>134</v>
      </c>
      <c r="BN5" t="s">
        <v>134</v>
      </c>
      <c r="BO5" t="s">
        <v>134</v>
      </c>
      <c r="BP5" t="s">
        <v>134</v>
      </c>
      <c r="BQ5" t="s">
        <v>134</v>
      </c>
      <c r="BR5" t="s">
        <v>134</v>
      </c>
      <c r="BS5" t="s">
        <v>134</v>
      </c>
      <c r="BT5" t="s">
        <v>134</v>
      </c>
      <c r="BU5" t="s">
        <v>134</v>
      </c>
      <c r="BV5" t="s">
        <v>134</v>
      </c>
      <c r="BW5" t="s">
        <v>134</v>
      </c>
      <c r="BX5" t="s">
        <v>134</v>
      </c>
      <c r="BY5">
        <v>298296.30900000001</v>
      </c>
      <c r="BZ5">
        <v>81314.335999999996</v>
      </c>
      <c r="CA5">
        <v>216981.973</v>
      </c>
      <c r="CB5" t="s">
        <v>134</v>
      </c>
      <c r="CC5" t="s">
        <v>134</v>
      </c>
      <c r="CD5" t="s">
        <v>134</v>
      </c>
      <c r="CE5" t="s">
        <v>134</v>
      </c>
      <c r="CF5">
        <v>1.6024</v>
      </c>
      <c r="CG5">
        <v>12.889699999999999</v>
      </c>
      <c r="CH5">
        <v>381.4391</v>
      </c>
      <c r="CI5">
        <v>61.090499999999999</v>
      </c>
      <c r="CJ5">
        <v>50.490600000000001</v>
      </c>
      <c r="CK5">
        <v>524.38400000000001</v>
      </c>
      <c r="CL5">
        <v>83.984200000000001</v>
      </c>
      <c r="CM5">
        <v>69.412099999999995</v>
      </c>
      <c r="CN5">
        <v>440.24250000000001</v>
      </c>
      <c r="CO5">
        <v>81.489800000000002</v>
      </c>
      <c r="CP5">
        <v>12976.166999999999</v>
      </c>
      <c r="CQ5" t="s">
        <v>134</v>
      </c>
      <c r="CR5">
        <v>4858.3509999999997</v>
      </c>
      <c r="CS5" t="s">
        <v>134</v>
      </c>
      <c r="CT5" t="s">
        <v>134</v>
      </c>
      <c r="CU5" t="s">
        <v>134</v>
      </c>
      <c r="CV5" t="s">
        <v>134</v>
      </c>
      <c r="CW5" t="s">
        <v>134</v>
      </c>
      <c r="CX5" t="s">
        <v>134</v>
      </c>
      <c r="CY5" t="s">
        <v>134</v>
      </c>
      <c r="CZ5" t="s">
        <v>134</v>
      </c>
      <c r="DA5" t="s">
        <v>134</v>
      </c>
      <c r="DB5" t="s">
        <v>134</v>
      </c>
      <c r="DC5" t="s">
        <v>134</v>
      </c>
      <c r="DD5" t="s">
        <v>134</v>
      </c>
      <c r="DE5" t="s">
        <v>134</v>
      </c>
      <c r="DF5" t="s">
        <v>134</v>
      </c>
      <c r="DG5" t="s">
        <v>134</v>
      </c>
      <c r="DH5" t="s">
        <v>134</v>
      </c>
      <c r="DI5" t="s">
        <v>134</v>
      </c>
    </row>
    <row r="6" spans="1:113" x14ac:dyDescent="0.3">
      <c r="E6" t="s">
        <v>6</v>
      </c>
      <c r="F6" t="s">
        <v>134</v>
      </c>
      <c r="G6" t="s">
        <v>134</v>
      </c>
      <c r="H6" t="s">
        <v>134</v>
      </c>
      <c r="I6" t="s">
        <v>134</v>
      </c>
      <c r="J6">
        <v>91.724599999999995</v>
      </c>
      <c r="K6">
        <v>80.033000000000001</v>
      </c>
      <c r="L6" t="s">
        <v>134</v>
      </c>
      <c r="M6">
        <v>34.245399999999997</v>
      </c>
      <c r="N6">
        <v>59.958500000000001</v>
      </c>
      <c r="O6">
        <v>25.236000000000001</v>
      </c>
      <c r="P6">
        <v>59.958399999999997</v>
      </c>
      <c r="Q6">
        <v>26.3081</v>
      </c>
      <c r="R6">
        <v>59.115000000000002</v>
      </c>
      <c r="S6" t="s">
        <v>134</v>
      </c>
      <c r="T6" t="s">
        <v>134</v>
      </c>
      <c r="U6" t="s">
        <v>134</v>
      </c>
      <c r="V6" t="s">
        <v>134</v>
      </c>
      <c r="W6" t="s">
        <v>134</v>
      </c>
      <c r="X6" t="s">
        <v>134</v>
      </c>
      <c r="Y6" t="s">
        <v>134</v>
      </c>
      <c r="Z6" t="s">
        <v>134</v>
      </c>
      <c r="AA6" t="s">
        <v>134</v>
      </c>
      <c r="AB6" t="s">
        <v>134</v>
      </c>
      <c r="AC6" t="s">
        <v>134</v>
      </c>
      <c r="AD6" t="s">
        <v>134</v>
      </c>
      <c r="AE6" t="s">
        <v>134</v>
      </c>
      <c r="AF6" t="s">
        <v>134</v>
      </c>
      <c r="AG6" t="s">
        <v>134</v>
      </c>
      <c r="AH6" t="s">
        <v>134</v>
      </c>
      <c r="AI6" t="s">
        <v>134</v>
      </c>
      <c r="AJ6" t="s">
        <v>134</v>
      </c>
      <c r="AK6" t="s">
        <v>134</v>
      </c>
      <c r="AL6" t="s">
        <v>134</v>
      </c>
      <c r="AM6" t="s">
        <v>134</v>
      </c>
      <c r="AN6" t="s">
        <v>134</v>
      </c>
      <c r="AO6" t="s">
        <v>134</v>
      </c>
      <c r="AP6" t="s">
        <v>134</v>
      </c>
      <c r="AQ6" t="s">
        <v>134</v>
      </c>
      <c r="AR6" t="s">
        <v>134</v>
      </c>
      <c r="AS6" t="s">
        <v>134</v>
      </c>
      <c r="AT6" t="s">
        <v>134</v>
      </c>
      <c r="AU6" t="s">
        <v>134</v>
      </c>
      <c r="AV6" t="s">
        <v>134</v>
      </c>
      <c r="AW6" t="s">
        <v>134</v>
      </c>
      <c r="AX6" t="s">
        <v>134</v>
      </c>
      <c r="AY6" t="s">
        <v>134</v>
      </c>
      <c r="AZ6" t="s">
        <v>134</v>
      </c>
      <c r="BA6" t="s">
        <v>134</v>
      </c>
      <c r="BB6" t="s">
        <v>134</v>
      </c>
      <c r="BC6" t="s">
        <v>134</v>
      </c>
      <c r="BD6" t="s">
        <v>134</v>
      </c>
      <c r="BE6" t="s">
        <v>134</v>
      </c>
      <c r="BF6">
        <v>11.786899999999999</v>
      </c>
      <c r="BG6">
        <v>15.4817</v>
      </c>
      <c r="BH6">
        <v>22.122199999999999</v>
      </c>
      <c r="BI6">
        <v>7.0506000000000002</v>
      </c>
      <c r="BJ6">
        <v>5.1646999999999998</v>
      </c>
      <c r="BK6">
        <v>0</v>
      </c>
      <c r="BL6" t="s">
        <v>134</v>
      </c>
      <c r="BM6" t="s">
        <v>134</v>
      </c>
      <c r="BN6" t="s">
        <v>134</v>
      </c>
      <c r="BO6" t="s">
        <v>134</v>
      </c>
      <c r="BP6" t="s">
        <v>134</v>
      </c>
      <c r="BQ6" t="s">
        <v>134</v>
      </c>
      <c r="BR6" t="s">
        <v>134</v>
      </c>
      <c r="BS6" t="s">
        <v>134</v>
      </c>
      <c r="BT6" t="s">
        <v>134</v>
      </c>
      <c r="BU6" t="s">
        <v>134</v>
      </c>
      <c r="BV6" t="s">
        <v>134</v>
      </c>
      <c r="BW6" t="s">
        <v>134</v>
      </c>
      <c r="BX6" t="s">
        <v>134</v>
      </c>
      <c r="BY6" t="s">
        <v>134</v>
      </c>
      <c r="BZ6" t="s">
        <v>134</v>
      </c>
      <c r="CA6" t="s">
        <v>134</v>
      </c>
      <c r="CB6" t="s">
        <v>134</v>
      </c>
      <c r="CC6" t="s">
        <v>134</v>
      </c>
      <c r="CD6" t="s">
        <v>134</v>
      </c>
      <c r="CE6" t="s">
        <v>134</v>
      </c>
      <c r="CF6">
        <v>1.5838999999999999</v>
      </c>
      <c r="CG6" t="s">
        <v>134</v>
      </c>
      <c r="CH6" t="s">
        <v>134</v>
      </c>
      <c r="CI6" t="s">
        <v>134</v>
      </c>
      <c r="CJ6" t="s">
        <v>134</v>
      </c>
      <c r="CK6" t="s">
        <v>134</v>
      </c>
      <c r="CL6" t="s">
        <v>134</v>
      </c>
      <c r="CM6" t="s">
        <v>134</v>
      </c>
      <c r="CN6" t="s">
        <v>134</v>
      </c>
      <c r="CO6" t="s">
        <v>134</v>
      </c>
      <c r="CP6">
        <v>14362.226000000001</v>
      </c>
      <c r="CQ6" t="s">
        <v>134</v>
      </c>
      <c r="CR6">
        <v>5274.4350000000004</v>
      </c>
      <c r="CS6" t="s">
        <v>134</v>
      </c>
      <c r="CT6" t="s">
        <v>134</v>
      </c>
      <c r="CU6" t="s">
        <v>134</v>
      </c>
      <c r="CV6" t="s">
        <v>134</v>
      </c>
      <c r="CW6" t="s">
        <v>134</v>
      </c>
      <c r="CX6" t="s">
        <v>134</v>
      </c>
      <c r="CY6" t="s">
        <v>134</v>
      </c>
      <c r="CZ6" t="s">
        <v>134</v>
      </c>
      <c r="DA6" t="s">
        <v>134</v>
      </c>
      <c r="DB6" t="s">
        <v>134</v>
      </c>
      <c r="DC6" t="s">
        <v>134</v>
      </c>
      <c r="DD6" t="s">
        <v>134</v>
      </c>
      <c r="DE6" t="s">
        <v>134</v>
      </c>
      <c r="DF6" t="s">
        <v>134</v>
      </c>
      <c r="DG6" t="s">
        <v>134</v>
      </c>
      <c r="DH6" t="s">
        <v>134</v>
      </c>
      <c r="DI6" t="s">
        <v>134</v>
      </c>
    </row>
    <row r="7" spans="1:113" x14ac:dyDescent="0.3">
      <c r="E7" t="s">
        <v>7</v>
      </c>
      <c r="F7" t="s">
        <v>134</v>
      </c>
      <c r="G7" t="s">
        <v>134</v>
      </c>
      <c r="H7" t="s">
        <v>134</v>
      </c>
      <c r="I7" t="s">
        <v>134</v>
      </c>
      <c r="J7">
        <v>81.436599999999999</v>
      </c>
      <c r="K7">
        <v>47.404600000000002</v>
      </c>
      <c r="L7" t="s">
        <v>134</v>
      </c>
      <c r="M7">
        <v>35.478200000000001</v>
      </c>
      <c r="N7">
        <v>96.031700000000001</v>
      </c>
      <c r="O7">
        <v>34.139699999999998</v>
      </c>
      <c r="P7">
        <v>96.019400000000005</v>
      </c>
      <c r="Q7">
        <v>3.7605</v>
      </c>
      <c r="R7">
        <v>66.594099999999997</v>
      </c>
      <c r="S7" t="s">
        <v>134</v>
      </c>
      <c r="T7" t="s">
        <v>134</v>
      </c>
      <c r="U7" t="s">
        <v>134</v>
      </c>
      <c r="V7" t="s">
        <v>134</v>
      </c>
      <c r="W7" t="s">
        <v>134</v>
      </c>
      <c r="X7" t="s">
        <v>134</v>
      </c>
      <c r="Y7" t="s">
        <v>134</v>
      </c>
      <c r="Z7" t="s">
        <v>134</v>
      </c>
      <c r="AA7" t="s">
        <v>134</v>
      </c>
      <c r="AB7" t="s">
        <v>134</v>
      </c>
      <c r="AC7" t="s">
        <v>134</v>
      </c>
      <c r="AD7" t="s">
        <v>134</v>
      </c>
      <c r="AE7" t="s">
        <v>134</v>
      </c>
      <c r="AF7" t="s">
        <v>134</v>
      </c>
      <c r="AG7" t="s">
        <v>134</v>
      </c>
      <c r="AH7" t="s">
        <v>134</v>
      </c>
      <c r="AI7" t="s">
        <v>134</v>
      </c>
      <c r="AJ7" t="s">
        <v>134</v>
      </c>
      <c r="AK7" t="s">
        <v>134</v>
      </c>
      <c r="AL7" t="s">
        <v>134</v>
      </c>
      <c r="AM7" t="s">
        <v>134</v>
      </c>
      <c r="AN7" t="s">
        <v>134</v>
      </c>
      <c r="AO7" t="s">
        <v>134</v>
      </c>
      <c r="AP7" t="s">
        <v>134</v>
      </c>
      <c r="AQ7" t="s">
        <v>134</v>
      </c>
      <c r="AR7" t="s">
        <v>134</v>
      </c>
      <c r="AS7" t="s">
        <v>134</v>
      </c>
      <c r="AT7" t="s">
        <v>134</v>
      </c>
      <c r="AU7" t="s">
        <v>134</v>
      </c>
      <c r="AV7" t="s">
        <v>134</v>
      </c>
      <c r="AW7" t="s">
        <v>134</v>
      </c>
      <c r="AX7" t="s">
        <v>134</v>
      </c>
      <c r="AY7" t="s">
        <v>134</v>
      </c>
      <c r="AZ7" t="s">
        <v>134</v>
      </c>
      <c r="BA7" t="s">
        <v>134</v>
      </c>
      <c r="BB7" t="s">
        <v>134</v>
      </c>
      <c r="BC7" t="s">
        <v>134</v>
      </c>
      <c r="BD7" t="s">
        <v>134</v>
      </c>
      <c r="BE7" t="s">
        <v>134</v>
      </c>
      <c r="BF7">
        <v>-11.049799999999999</v>
      </c>
      <c r="BG7">
        <v>-20.645299999999999</v>
      </c>
      <c r="BH7">
        <v>-50.2804</v>
      </c>
      <c r="BI7">
        <v>14.248799999999999</v>
      </c>
      <c r="BJ7">
        <v>13.8019</v>
      </c>
      <c r="BK7">
        <v>28.571400000000001</v>
      </c>
      <c r="BL7" t="s">
        <v>134</v>
      </c>
      <c r="BM7" t="s">
        <v>134</v>
      </c>
      <c r="BN7" t="s">
        <v>134</v>
      </c>
      <c r="BO7" t="s">
        <v>134</v>
      </c>
      <c r="BP7" t="s">
        <v>134</v>
      </c>
      <c r="BQ7" t="s">
        <v>134</v>
      </c>
      <c r="BR7" t="s">
        <v>134</v>
      </c>
      <c r="BS7" t="s">
        <v>134</v>
      </c>
      <c r="BT7" t="s">
        <v>134</v>
      </c>
      <c r="BU7" t="s">
        <v>134</v>
      </c>
      <c r="BV7" t="s">
        <v>134</v>
      </c>
      <c r="BW7" t="s">
        <v>134</v>
      </c>
      <c r="BX7" t="s">
        <v>134</v>
      </c>
      <c r="BY7">
        <v>293129.15789999999</v>
      </c>
      <c r="BZ7">
        <v>91473.960500000001</v>
      </c>
      <c r="CA7">
        <v>201655.1973</v>
      </c>
      <c r="CB7">
        <v>6.1970999999999998</v>
      </c>
      <c r="CC7">
        <v>5.2628000000000004</v>
      </c>
      <c r="CD7">
        <v>20.358000000000001</v>
      </c>
      <c r="CE7">
        <v>17.288900000000002</v>
      </c>
      <c r="CF7">
        <v>1.2637</v>
      </c>
      <c r="CG7">
        <v>12.8482</v>
      </c>
      <c r="CH7">
        <v>353.22989999999999</v>
      </c>
      <c r="CI7">
        <v>57.579900000000002</v>
      </c>
      <c r="CJ7">
        <v>45.399000000000001</v>
      </c>
      <c r="CK7">
        <v>513.46050000000002</v>
      </c>
      <c r="CL7">
        <v>83.698999999999998</v>
      </c>
      <c r="CM7">
        <v>65.992699999999999</v>
      </c>
      <c r="CN7">
        <v>436.05430000000001</v>
      </c>
      <c r="CO7">
        <v>81.345200000000006</v>
      </c>
      <c r="CP7">
        <v>10768.84</v>
      </c>
      <c r="CQ7" t="s">
        <v>134</v>
      </c>
      <c r="CR7">
        <v>2228.7939999999999</v>
      </c>
      <c r="CS7" t="s">
        <v>134</v>
      </c>
      <c r="CT7" t="s">
        <v>134</v>
      </c>
      <c r="CU7" t="s">
        <v>134</v>
      </c>
      <c r="CV7" t="s">
        <v>134</v>
      </c>
      <c r="CW7" t="s">
        <v>134</v>
      </c>
      <c r="CX7" t="s">
        <v>134</v>
      </c>
      <c r="CY7" t="s">
        <v>134</v>
      </c>
      <c r="CZ7" t="s">
        <v>134</v>
      </c>
      <c r="DA7" t="s">
        <v>134</v>
      </c>
      <c r="DB7" t="s">
        <v>134</v>
      </c>
      <c r="DC7" t="s">
        <v>134</v>
      </c>
      <c r="DD7" t="s">
        <v>134</v>
      </c>
      <c r="DE7" t="s">
        <v>134</v>
      </c>
      <c r="DF7" t="s">
        <v>134</v>
      </c>
      <c r="DG7" t="s">
        <v>134</v>
      </c>
      <c r="DH7" t="s">
        <v>134</v>
      </c>
      <c r="DI7" t="s">
        <v>134</v>
      </c>
    </row>
    <row r="8" spans="1:113" x14ac:dyDescent="0.3">
      <c r="D8" t="s">
        <v>8</v>
      </c>
      <c r="E8" t="s">
        <v>3</v>
      </c>
      <c r="F8">
        <v>30.815300000000001</v>
      </c>
      <c r="G8">
        <v>3.7404999999999999</v>
      </c>
      <c r="H8">
        <v>4.6021999999999998</v>
      </c>
      <c r="I8">
        <v>4.6127000000000002</v>
      </c>
      <c r="J8">
        <v>88.157200000000003</v>
      </c>
      <c r="K8">
        <v>73.756</v>
      </c>
      <c r="L8">
        <v>69.472300000000004</v>
      </c>
      <c r="M8">
        <v>34.008099999999999</v>
      </c>
      <c r="N8">
        <v>56.714199999999998</v>
      </c>
      <c r="O8">
        <v>26.148499999999999</v>
      </c>
      <c r="P8">
        <v>56.710299999999997</v>
      </c>
      <c r="Q8">
        <v>23.105599999999999</v>
      </c>
      <c r="R8">
        <v>48.628</v>
      </c>
      <c r="S8">
        <v>15.830500000000001</v>
      </c>
      <c r="T8">
        <v>23.130800000000001</v>
      </c>
      <c r="U8">
        <v>22.121600000000001</v>
      </c>
      <c r="V8">
        <v>24.7623</v>
      </c>
      <c r="W8">
        <v>21.541499999999999</v>
      </c>
      <c r="X8">
        <v>12.4078</v>
      </c>
      <c r="Y8">
        <v>-10.344799999999999</v>
      </c>
      <c r="Z8" t="s">
        <v>134</v>
      </c>
      <c r="AA8" t="s">
        <v>134</v>
      </c>
      <c r="AB8">
        <v>14.579499999999999</v>
      </c>
      <c r="AC8">
        <v>28.845700000000001</v>
      </c>
      <c r="AD8" t="s">
        <v>134</v>
      </c>
      <c r="AE8" t="s">
        <v>134</v>
      </c>
      <c r="AF8" t="s">
        <v>134</v>
      </c>
      <c r="AG8">
        <v>29.670500000000001</v>
      </c>
      <c r="AH8">
        <v>39.757300000000001</v>
      </c>
      <c r="AI8">
        <v>16.200199999999999</v>
      </c>
      <c r="AJ8">
        <v>35.917200000000001</v>
      </c>
      <c r="AK8">
        <v>9.1696000000000009</v>
      </c>
      <c r="AL8">
        <v>-262.58859999999999</v>
      </c>
      <c r="AM8" t="s">
        <v>134</v>
      </c>
      <c r="AN8" t="s">
        <v>134</v>
      </c>
      <c r="AO8" t="s">
        <v>134</v>
      </c>
      <c r="AP8" t="s">
        <v>134</v>
      </c>
      <c r="AQ8" t="s">
        <v>134</v>
      </c>
      <c r="AR8" t="s">
        <v>134</v>
      </c>
      <c r="AS8" t="s">
        <v>134</v>
      </c>
      <c r="AT8" t="s">
        <v>134</v>
      </c>
      <c r="AU8" t="s">
        <v>134</v>
      </c>
      <c r="AV8" t="s">
        <v>134</v>
      </c>
      <c r="AW8" t="s">
        <v>134</v>
      </c>
      <c r="AX8" t="s">
        <v>134</v>
      </c>
      <c r="AY8" t="s">
        <v>134</v>
      </c>
      <c r="AZ8" t="s">
        <v>134</v>
      </c>
      <c r="BA8" t="s">
        <v>134</v>
      </c>
      <c r="BB8" t="s">
        <v>134</v>
      </c>
      <c r="BC8" t="s">
        <v>134</v>
      </c>
      <c r="BD8" t="s">
        <v>134</v>
      </c>
      <c r="BE8" t="s">
        <v>134</v>
      </c>
      <c r="BF8">
        <v>23.130800000000001</v>
      </c>
      <c r="BG8">
        <v>22.121600000000001</v>
      </c>
      <c r="BH8">
        <v>24.7623</v>
      </c>
      <c r="BI8">
        <v>21.541499999999999</v>
      </c>
      <c r="BJ8">
        <v>12.4078</v>
      </c>
      <c r="BK8">
        <v>-10.344799999999999</v>
      </c>
      <c r="BL8">
        <v>577.20699999999999</v>
      </c>
      <c r="BM8" t="s">
        <v>134</v>
      </c>
      <c r="BN8">
        <v>14.579499999999999</v>
      </c>
      <c r="BO8">
        <v>28.845700000000001</v>
      </c>
      <c r="BP8" t="s">
        <v>134</v>
      </c>
      <c r="BQ8" t="s">
        <v>134</v>
      </c>
      <c r="BR8" t="s">
        <v>134</v>
      </c>
      <c r="BS8">
        <v>29.670500000000001</v>
      </c>
      <c r="BT8">
        <v>39.757300000000001</v>
      </c>
      <c r="BU8">
        <v>16.200199999999999</v>
      </c>
      <c r="BV8">
        <v>35.917200000000001</v>
      </c>
      <c r="BW8">
        <v>9.1696000000000009</v>
      </c>
      <c r="BX8" t="s">
        <v>134</v>
      </c>
      <c r="BY8">
        <v>409669.25319999998</v>
      </c>
      <c r="BZ8">
        <v>118614.7778</v>
      </c>
      <c r="CA8">
        <v>291054.47529999999</v>
      </c>
      <c r="CB8">
        <v>6.3917000000000002</v>
      </c>
      <c r="CC8">
        <v>5.8472</v>
      </c>
      <c r="CD8">
        <v>16.5688</v>
      </c>
      <c r="CE8">
        <v>15.1572</v>
      </c>
      <c r="CF8">
        <v>1.6358000000000001</v>
      </c>
      <c r="CG8">
        <v>11.5876</v>
      </c>
      <c r="CH8">
        <v>438.7482</v>
      </c>
      <c r="CI8">
        <v>61.145000000000003</v>
      </c>
      <c r="CJ8">
        <v>50.855899999999998</v>
      </c>
      <c r="CK8">
        <v>617.55330000000004</v>
      </c>
      <c r="CL8">
        <v>86.063800000000001</v>
      </c>
      <c r="CM8">
        <v>71.581500000000005</v>
      </c>
      <c r="CN8">
        <v>564.93920000000003</v>
      </c>
      <c r="CO8">
        <v>84.960999999999999</v>
      </c>
      <c r="CP8">
        <v>64093.780700000003</v>
      </c>
      <c r="CQ8">
        <v>63759.253799999999</v>
      </c>
      <c r="CR8">
        <v>24725.2768</v>
      </c>
      <c r="CS8" t="s">
        <v>134</v>
      </c>
      <c r="CT8" t="s">
        <v>134</v>
      </c>
      <c r="CU8" t="s">
        <v>134</v>
      </c>
      <c r="CV8" t="s">
        <v>134</v>
      </c>
      <c r="CW8" t="s">
        <v>134</v>
      </c>
      <c r="CX8" t="s">
        <v>134</v>
      </c>
      <c r="CY8" t="s">
        <v>134</v>
      </c>
      <c r="CZ8" t="s">
        <v>134</v>
      </c>
      <c r="DA8" t="s">
        <v>134</v>
      </c>
      <c r="DB8" t="s">
        <v>134</v>
      </c>
      <c r="DC8" t="s">
        <v>134</v>
      </c>
      <c r="DD8" t="s">
        <v>134</v>
      </c>
      <c r="DE8" t="s">
        <v>134</v>
      </c>
      <c r="DF8" t="s">
        <v>134</v>
      </c>
      <c r="DG8" t="s">
        <v>134</v>
      </c>
      <c r="DH8" t="s">
        <v>134</v>
      </c>
      <c r="DI8" t="s">
        <v>134</v>
      </c>
    </row>
    <row r="9" spans="1:113" x14ac:dyDescent="0.3">
      <c r="E9" t="s">
        <v>4</v>
      </c>
      <c r="F9" t="s">
        <v>134</v>
      </c>
      <c r="G9" t="s">
        <v>134</v>
      </c>
      <c r="H9" t="s">
        <v>134</v>
      </c>
      <c r="I9" t="s">
        <v>134</v>
      </c>
      <c r="J9">
        <v>87.400599999999997</v>
      </c>
      <c r="K9">
        <v>62.8292</v>
      </c>
      <c r="L9">
        <v>-202.97190000000001</v>
      </c>
      <c r="M9">
        <v>39.165599999999998</v>
      </c>
      <c r="N9">
        <v>88.629499999999993</v>
      </c>
      <c r="O9">
        <v>30.984999999999999</v>
      </c>
      <c r="P9">
        <v>88.624200000000002</v>
      </c>
      <c r="Q9">
        <v>20.882400000000001</v>
      </c>
      <c r="R9">
        <v>63.118899999999996</v>
      </c>
      <c r="S9" t="s">
        <v>134</v>
      </c>
      <c r="T9">
        <v>13.0503</v>
      </c>
      <c r="U9">
        <v>13.5625</v>
      </c>
      <c r="V9">
        <v>-10.811500000000001</v>
      </c>
      <c r="W9">
        <v>21.609200000000001</v>
      </c>
      <c r="X9">
        <v>15.2113</v>
      </c>
      <c r="Y9">
        <v>33.333300000000001</v>
      </c>
      <c r="Z9" t="s">
        <v>134</v>
      </c>
      <c r="AA9" t="s">
        <v>134</v>
      </c>
      <c r="AB9" t="s">
        <v>134</v>
      </c>
      <c r="AC9" t="s">
        <v>134</v>
      </c>
      <c r="AD9" t="s">
        <v>134</v>
      </c>
      <c r="AE9" t="s">
        <v>134</v>
      </c>
      <c r="AF9" t="s">
        <v>134</v>
      </c>
      <c r="AG9" t="s">
        <v>134</v>
      </c>
      <c r="AH9" t="s">
        <v>134</v>
      </c>
      <c r="AI9" t="s">
        <v>134</v>
      </c>
      <c r="AJ9" t="s">
        <v>134</v>
      </c>
      <c r="AK9" t="s">
        <v>134</v>
      </c>
      <c r="AL9" t="s">
        <v>134</v>
      </c>
      <c r="AM9" t="s">
        <v>134</v>
      </c>
      <c r="AN9" t="s">
        <v>134</v>
      </c>
      <c r="AO9" t="s">
        <v>134</v>
      </c>
      <c r="AP9" t="s">
        <v>134</v>
      </c>
      <c r="AQ9" t="s">
        <v>134</v>
      </c>
      <c r="AR9" t="s">
        <v>134</v>
      </c>
      <c r="AS9" t="s">
        <v>134</v>
      </c>
      <c r="AT9" t="s">
        <v>134</v>
      </c>
      <c r="AU9" t="s">
        <v>134</v>
      </c>
      <c r="AV9" t="s">
        <v>134</v>
      </c>
      <c r="AW9" t="s">
        <v>134</v>
      </c>
      <c r="AX9" t="s">
        <v>134</v>
      </c>
      <c r="AY9" t="s">
        <v>134</v>
      </c>
      <c r="AZ9" t="s">
        <v>134</v>
      </c>
      <c r="BA9" t="s">
        <v>134</v>
      </c>
      <c r="BB9" t="s">
        <v>134</v>
      </c>
      <c r="BC9" t="s">
        <v>134</v>
      </c>
      <c r="BD9" t="s">
        <v>134</v>
      </c>
      <c r="BE9" t="s">
        <v>134</v>
      </c>
      <c r="BF9">
        <v>3.4192999999999998</v>
      </c>
      <c r="BG9">
        <v>10.9932</v>
      </c>
      <c r="BH9">
        <v>34.7851</v>
      </c>
      <c r="BI9">
        <v>-6.1371000000000002</v>
      </c>
      <c r="BJ9">
        <v>-8.7054000000000009</v>
      </c>
      <c r="BK9">
        <v>-11.1111</v>
      </c>
      <c r="BL9" t="s">
        <v>134</v>
      </c>
      <c r="BM9" t="s">
        <v>134</v>
      </c>
      <c r="BN9" t="s">
        <v>134</v>
      </c>
      <c r="BO9" t="s">
        <v>134</v>
      </c>
      <c r="BP9" t="s">
        <v>134</v>
      </c>
      <c r="BQ9" t="s">
        <v>134</v>
      </c>
      <c r="BR9" t="s">
        <v>134</v>
      </c>
      <c r="BS9" t="s">
        <v>134</v>
      </c>
      <c r="BT9" t="s">
        <v>134</v>
      </c>
      <c r="BU9" t="s">
        <v>134</v>
      </c>
      <c r="BV9" t="s">
        <v>134</v>
      </c>
      <c r="BW9" t="s">
        <v>134</v>
      </c>
      <c r="BX9" t="s">
        <v>134</v>
      </c>
      <c r="BY9" t="s">
        <v>134</v>
      </c>
      <c r="BZ9" t="s">
        <v>134</v>
      </c>
      <c r="CA9" t="s">
        <v>134</v>
      </c>
      <c r="CB9" t="s">
        <v>134</v>
      </c>
      <c r="CC9" t="s">
        <v>134</v>
      </c>
      <c r="CD9" t="s">
        <v>134</v>
      </c>
      <c r="CE9" t="s">
        <v>134</v>
      </c>
      <c r="CF9">
        <v>1.3437999999999999</v>
      </c>
      <c r="CG9" t="s">
        <v>134</v>
      </c>
      <c r="CH9" t="s">
        <v>134</v>
      </c>
      <c r="CI9" t="s">
        <v>134</v>
      </c>
      <c r="CJ9" t="s">
        <v>134</v>
      </c>
      <c r="CK9" t="s">
        <v>134</v>
      </c>
      <c r="CL9" t="s">
        <v>134</v>
      </c>
      <c r="CM9" t="s">
        <v>134</v>
      </c>
      <c r="CN9" t="s">
        <v>134</v>
      </c>
      <c r="CO9" t="s">
        <v>134</v>
      </c>
      <c r="CP9">
        <v>11952.682000000001</v>
      </c>
      <c r="CQ9" t="s">
        <v>134</v>
      </c>
      <c r="CR9">
        <v>3004.0830000000001</v>
      </c>
      <c r="CS9" t="s">
        <v>134</v>
      </c>
      <c r="CT9" t="s">
        <v>134</v>
      </c>
      <c r="CU9" t="s">
        <v>134</v>
      </c>
      <c r="CV9" t="s">
        <v>134</v>
      </c>
      <c r="CW9" t="s">
        <v>134</v>
      </c>
      <c r="CX9" t="s">
        <v>134</v>
      </c>
      <c r="CY9" t="s">
        <v>134</v>
      </c>
      <c r="CZ9" t="s">
        <v>134</v>
      </c>
      <c r="DA9" t="s">
        <v>134</v>
      </c>
      <c r="DB9" t="s">
        <v>134</v>
      </c>
      <c r="DC9" t="s">
        <v>134</v>
      </c>
      <c r="DD9" t="s">
        <v>134</v>
      </c>
      <c r="DE9" t="s">
        <v>134</v>
      </c>
      <c r="DF9" t="s">
        <v>134</v>
      </c>
      <c r="DG9" t="s">
        <v>134</v>
      </c>
      <c r="DH9" t="s">
        <v>134</v>
      </c>
      <c r="DI9" t="s">
        <v>134</v>
      </c>
    </row>
    <row r="10" spans="1:113" x14ac:dyDescent="0.3">
      <c r="E10" t="s">
        <v>5</v>
      </c>
      <c r="F10">
        <v>29.484500000000001</v>
      </c>
      <c r="G10">
        <v>3.7153999999999998</v>
      </c>
      <c r="H10">
        <v>4.5778999999999996</v>
      </c>
      <c r="I10">
        <v>2.8925000000000001</v>
      </c>
      <c r="J10">
        <v>88.067400000000006</v>
      </c>
      <c r="K10">
        <v>67.144000000000005</v>
      </c>
      <c r="L10">
        <v>-194.048</v>
      </c>
      <c r="M10">
        <v>37.229199999999999</v>
      </c>
      <c r="N10">
        <v>79.593699999999998</v>
      </c>
      <c r="O10">
        <v>29.517499999999998</v>
      </c>
      <c r="P10">
        <v>79.585400000000007</v>
      </c>
      <c r="Q10">
        <v>20.7058</v>
      </c>
      <c r="R10">
        <v>142.59710000000001</v>
      </c>
      <c r="S10">
        <v>-12.5596</v>
      </c>
      <c r="T10">
        <v>8.4154999999999998</v>
      </c>
      <c r="U10">
        <v>7.5332999999999997</v>
      </c>
      <c r="V10">
        <v>-12.439399999999999</v>
      </c>
      <c r="W10">
        <v>21.436199999999999</v>
      </c>
      <c r="X10">
        <v>13.802300000000001</v>
      </c>
      <c r="Y10">
        <v>157.1429</v>
      </c>
      <c r="Z10" t="s">
        <v>134</v>
      </c>
      <c r="AA10" t="s">
        <v>134</v>
      </c>
      <c r="AB10">
        <v>-6.1666999999999996</v>
      </c>
      <c r="AC10">
        <v>15.2675</v>
      </c>
      <c r="AD10" t="s">
        <v>134</v>
      </c>
      <c r="AE10" t="s">
        <v>134</v>
      </c>
      <c r="AF10" t="s">
        <v>134</v>
      </c>
      <c r="AG10">
        <v>27.7195</v>
      </c>
      <c r="AH10">
        <v>12.134600000000001</v>
      </c>
      <c r="AI10">
        <v>7.5887000000000002</v>
      </c>
      <c r="AJ10">
        <v>11.406499999999999</v>
      </c>
      <c r="AK10">
        <v>2.6686000000000001</v>
      </c>
      <c r="AL10" t="s">
        <v>134</v>
      </c>
      <c r="AM10" t="s">
        <v>134</v>
      </c>
      <c r="AN10" t="s">
        <v>134</v>
      </c>
      <c r="AO10" t="s">
        <v>134</v>
      </c>
      <c r="AP10" t="s">
        <v>134</v>
      </c>
      <c r="AQ10" t="s">
        <v>134</v>
      </c>
      <c r="AR10" t="s">
        <v>134</v>
      </c>
      <c r="AS10" t="s">
        <v>134</v>
      </c>
      <c r="AT10" t="s">
        <v>134</v>
      </c>
      <c r="AU10" t="s">
        <v>134</v>
      </c>
      <c r="AV10" t="s">
        <v>134</v>
      </c>
      <c r="AW10" t="s">
        <v>134</v>
      </c>
      <c r="AX10" t="s">
        <v>134</v>
      </c>
      <c r="AY10" t="s">
        <v>134</v>
      </c>
      <c r="AZ10" t="s">
        <v>134</v>
      </c>
      <c r="BA10" t="s">
        <v>134</v>
      </c>
      <c r="BB10" t="s">
        <v>134</v>
      </c>
      <c r="BC10" t="s">
        <v>134</v>
      </c>
      <c r="BD10" t="s">
        <v>134</v>
      </c>
      <c r="BE10" t="s">
        <v>134</v>
      </c>
      <c r="BF10">
        <v>11.041600000000001</v>
      </c>
      <c r="BG10">
        <v>11.8886</v>
      </c>
      <c r="BH10">
        <v>25.886199999999999</v>
      </c>
      <c r="BI10">
        <v>5.7824</v>
      </c>
      <c r="BJ10">
        <v>4.1565000000000003</v>
      </c>
      <c r="BK10">
        <v>125</v>
      </c>
      <c r="BL10" t="s">
        <v>134</v>
      </c>
      <c r="BM10" t="s">
        <v>134</v>
      </c>
      <c r="BN10" t="s">
        <v>134</v>
      </c>
      <c r="BO10" t="s">
        <v>134</v>
      </c>
      <c r="BP10" t="s">
        <v>134</v>
      </c>
      <c r="BQ10" t="s">
        <v>134</v>
      </c>
      <c r="BR10" t="s">
        <v>134</v>
      </c>
      <c r="BS10" t="s">
        <v>134</v>
      </c>
      <c r="BT10" t="s">
        <v>134</v>
      </c>
      <c r="BU10" t="s">
        <v>134</v>
      </c>
      <c r="BV10" t="s">
        <v>134</v>
      </c>
      <c r="BW10" t="s">
        <v>134</v>
      </c>
      <c r="BX10" t="s">
        <v>134</v>
      </c>
      <c r="BY10">
        <v>334493.391</v>
      </c>
      <c r="BZ10">
        <v>103854.285</v>
      </c>
      <c r="CA10">
        <v>230639.106</v>
      </c>
      <c r="CB10">
        <v>6.7348999999999997</v>
      </c>
      <c r="CC10">
        <v>6.3121</v>
      </c>
      <c r="CD10">
        <v>24.7822</v>
      </c>
      <c r="CE10">
        <v>23.226500000000001</v>
      </c>
      <c r="CF10">
        <v>1.3998999999999999</v>
      </c>
      <c r="CG10">
        <v>12.351100000000001</v>
      </c>
      <c r="CH10">
        <v>376.84949999999998</v>
      </c>
      <c r="CI10">
        <v>58.286999999999999</v>
      </c>
      <c r="CJ10">
        <v>46.56</v>
      </c>
      <c r="CK10">
        <v>546.54079999999999</v>
      </c>
      <c r="CL10">
        <v>84.533100000000005</v>
      </c>
      <c r="CM10">
        <v>67.525499999999994</v>
      </c>
      <c r="CN10">
        <v>512.23170000000005</v>
      </c>
      <c r="CO10">
        <v>83.666300000000007</v>
      </c>
      <c r="CP10">
        <v>13373.694</v>
      </c>
      <c r="CQ10" t="s">
        <v>134</v>
      </c>
      <c r="CR10">
        <v>3781.7260000000001</v>
      </c>
      <c r="CS10" t="s">
        <v>134</v>
      </c>
      <c r="CT10" t="s">
        <v>134</v>
      </c>
      <c r="CU10" t="s">
        <v>134</v>
      </c>
      <c r="CV10" t="s">
        <v>134</v>
      </c>
      <c r="CW10" t="s">
        <v>134</v>
      </c>
      <c r="CX10" t="s">
        <v>134</v>
      </c>
      <c r="CY10" t="s">
        <v>134</v>
      </c>
      <c r="CZ10" t="s">
        <v>134</v>
      </c>
      <c r="DA10" t="s">
        <v>134</v>
      </c>
      <c r="DB10" t="s">
        <v>134</v>
      </c>
      <c r="DC10" t="s">
        <v>134</v>
      </c>
      <c r="DD10" t="s">
        <v>134</v>
      </c>
      <c r="DE10" t="s">
        <v>134</v>
      </c>
      <c r="DF10" t="s">
        <v>134</v>
      </c>
      <c r="DG10" t="s">
        <v>134</v>
      </c>
      <c r="DH10" t="s">
        <v>134</v>
      </c>
      <c r="DI10" t="s">
        <v>134</v>
      </c>
    </row>
    <row r="11" spans="1:113" x14ac:dyDescent="0.3">
      <c r="E11" t="s">
        <v>6</v>
      </c>
      <c r="F11" t="s">
        <v>134</v>
      </c>
      <c r="G11" t="s">
        <v>134</v>
      </c>
      <c r="H11" t="s">
        <v>134</v>
      </c>
      <c r="I11" t="s">
        <v>134</v>
      </c>
      <c r="J11">
        <v>87.290099999999995</v>
      </c>
      <c r="K11">
        <v>67.171999999999997</v>
      </c>
      <c r="L11">
        <v>4.0522999999999998</v>
      </c>
      <c r="M11">
        <v>36.576799999999999</v>
      </c>
      <c r="N11">
        <v>71.045400000000001</v>
      </c>
      <c r="O11">
        <v>28.104700000000001</v>
      </c>
      <c r="P11">
        <v>71.040899999999993</v>
      </c>
      <c r="Q11">
        <v>23.157599999999999</v>
      </c>
      <c r="R11">
        <v>66.858500000000006</v>
      </c>
      <c r="S11" t="s">
        <v>134</v>
      </c>
      <c r="T11">
        <v>14.425000000000001</v>
      </c>
      <c r="U11">
        <v>9.4187999999999992</v>
      </c>
      <c r="V11">
        <v>0.8417</v>
      </c>
      <c r="W11">
        <v>20.989000000000001</v>
      </c>
      <c r="X11">
        <v>12.0237</v>
      </c>
      <c r="Y11">
        <v>28.571400000000001</v>
      </c>
      <c r="Z11" t="s">
        <v>134</v>
      </c>
      <c r="AA11" t="s">
        <v>134</v>
      </c>
      <c r="AB11" t="s">
        <v>134</v>
      </c>
      <c r="AC11" t="s">
        <v>134</v>
      </c>
      <c r="AD11" t="s">
        <v>134</v>
      </c>
      <c r="AE11" t="s">
        <v>134</v>
      </c>
      <c r="AF11" t="s">
        <v>134</v>
      </c>
      <c r="AG11" t="s">
        <v>134</v>
      </c>
      <c r="AH11" t="s">
        <v>134</v>
      </c>
      <c r="AI11" t="s">
        <v>134</v>
      </c>
      <c r="AJ11" t="s">
        <v>134</v>
      </c>
      <c r="AK11" t="s">
        <v>134</v>
      </c>
      <c r="AL11" t="s">
        <v>134</v>
      </c>
      <c r="AM11" t="s">
        <v>134</v>
      </c>
      <c r="AN11" t="s">
        <v>134</v>
      </c>
      <c r="AO11" t="s">
        <v>134</v>
      </c>
      <c r="AP11" t="s">
        <v>134</v>
      </c>
      <c r="AQ11" t="s">
        <v>134</v>
      </c>
      <c r="AR11" t="s">
        <v>134</v>
      </c>
      <c r="AS11" t="s">
        <v>134</v>
      </c>
      <c r="AT11" t="s">
        <v>134</v>
      </c>
      <c r="AU11" t="s">
        <v>134</v>
      </c>
      <c r="AV11" t="s">
        <v>134</v>
      </c>
      <c r="AW11" t="s">
        <v>134</v>
      </c>
      <c r="AX11" t="s">
        <v>134</v>
      </c>
      <c r="AY11" t="s">
        <v>134</v>
      </c>
      <c r="AZ11" t="s">
        <v>134</v>
      </c>
      <c r="BA11" t="s">
        <v>134</v>
      </c>
      <c r="BB11" t="s">
        <v>134</v>
      </c>
      <c r="BC11" t="s">
        <v>134</v>
      </c>
      <c r="BD11" t="s">
        <v>134</v>
      </c>
      <c r="BE11" t="s">
        <v>134</v>
      </c>
      <c r="BF11">
        <v>12.3331</v>
      </c>
      <c r="BG11">
        <v>10.2639</v>
      </c>
      <c r="BH11">
        <v>16.6708</v>
      </c>
      <c r="BI11">
        <v>6.6563999999999997</v>
      </c>
      <c r="BJ11">
        <v>3.5211000000000001</v>
      </c>
      <c r="BK11">
        <v>0</v>
      </c>
      <c r="BL11" t="s">
        <v>134</v>
      </c>
      <c r="BM11" t="s">
        <v>134</v>
      </c>
      <c r="BN11" t="s">
        <v>134</v>
      </c>
      <c r="BO11" t="s">
        <v>134</v>
      </c>
      <c r="BP11" t="s">
        <v>134</v>
      </c>
      <c r="BQ11" t="s">
        <v>134</v>
      </c>
      <c r="BR11" t="s">
        <v>134</v>
      </c>
      <c r="BS11" t="s">
        <v>134</v>
      </c>
      <c r="BT11" t="s">
        <v>134</v>
      </c>
      <c r="BU11" t="s">
        <v>134</v>
      </c>
      <c r="BV11" t="s">
        <v>134</v>
      </c>
      <c r="BW11" t="s">
        <v>134</v>
      </c>
      <c r="BX11" t="s">
        <v>134</v>
      </c>
      <c r="BY11" t="s">
        <v>134</v>
      </c>
      <c r="BZ11" t="s">
        <v>134</v>
      </c>
      <c r="CA11" t="s">
        <v>134</v>
      </c>
      <c r="CB11" t="s">
        <v>134</v>
      </c>
      <c r="CC11" t="s">
        <v>134</v>
      </c>
      <c r="CD11" t="s">
        <v>134</v>
      </c>
      <c r="CE11" t="s">
        <v>134</v>
      </c>
      <c r="CF11">
        <v>1.4442999999999999</v>
      </c>
      <c r="CG11" t="s">
        <v>134</v>
      </c>
      <c r="CH11" t="s">
        <v>134</v>
      </c>
      <c r="CI11" t="s">
        <v>134</v>
      </c>
      <c r="CJ11" t="s">
        <v>134</v>
      </c>
      <c r="CK11" t="s">
        <v>134</v>
      </c>
      <c r="CL11" t="s">
        <v>134</v>
      </c>
      <c r="CM11" t="s">
        <v>134</v>
      </c>
      <c r="CN11" t="s">
        <v>134</v>
      </c>
      <c r="CO11" t="s">
        <v>134</v>
      </c>
      <c r="CP11">
        <v>14848.703</v>
      </c>
      <c r="CQ11" t="s">
        <v>134</v>
      </c>
      <c r="CR11">
        <v>4520.4579999999996</v>
      </c>
      <c r="CS11" t="s">
        <v>134</v>
      </c>
      <c r="CT11" t="s">
        <v>134</v>
      </c>
      <c r="CU11" t="s">
        <v>134</v>
      </c>
      <c r="CV11" t="s">
        <v>134</v>
      </c>
      <c r="CW11" t="s">
        <v>134</v>
      </c>
      <c r="CX11" t="s">
        <v>134</v>
      </c>
      <c r="CY11" t="s">
        <v>134</v>
      </c>
      <c r="CZ11" t="s">
        <v>134</v>
      </c>
      <c r="DA11" t="s">
        <v>134</v>
      </c>
      <c r="DB11" t="s">
        <v>134</v>
      </c>
      <c r="DC11" t="s">
        <v>134</v>
      </c>
      <c r="DD11" t="s">
        <v>134</v>
      </c>
      <c r="DE11" t="s">
        <v>134</v>
      </c>
      <c r="DF11" t="s">
        <v>134</v>
      </c>
      <c r="DG11" t="s">
        <v>134</v>
      </c>
      <c r="DH11" t="s">
        <v>134</v>
      </c>
      <c r="DI11" t="s">
        <v>134</v>
      </c>
    </row>
    <row r="12" spans="1:113" x14ac:dyDescent="0.3">
      <c r="E12" t="s">
        <v>7</v>
      </c>
      <c r="F12">
        <v>30.815300000000001</v>
      </c>
      <c r="G12">
        <v>3.7404999999999999</v>
      </c>
      <c r="H12">
        <v>4.6021999999999998</v>
      </c>
      <c r="I12">
        <v>3.0878999999999999</v>
      </c>
      <c r="J12">
        <v>84.171599999999998</v>
      </c>
      <c r="K12">
        <v>62.5518</v>
      </c>
      <c r="L12">
        <v>83.731499999999997</v>
      </c>
      <c r="M12">
        <v>39.908000000000001</v>
      </c>
      <c r="N12">
        <v>68.334699999999998</v>
      </c>
      <c r="O12">
        <v>29.345800000000001</v>
      </c>
      <c r="P12">
        <v>68.3309</v>
      </c>
      <c r="Q12">
        <v>26.462399999999999</v>
      </c>
      <c r="R12">
        <v>0</v>
      </c>
      <c r="S12">
        <v>30.815300000000001</v>
      </c>
      <c r="T12">
        <v>41.997300000000003</v>
      </c>
      <c r="U12">
        <v>46.766100000000002</v>
      </c>
      <c r="V12">
        <v>126.3222</v>
      </c>
      <c r="W12">
        <v>22.0581</v>
      </c>
      <c r="X12">
        <v>12.425599999999999</v>
      </c>
      <c r="Y12" t="s">
        <v>134</v>
      </c>
      <c r="Z12" t="s">
        <v>134</v>
      </c>
      <c r="AA12" t="s">
        <v>134</v>
      </c>
      <c r="AB12">
        <v>14.579499999999999</v>
      </c>
      <c r="AC12">
        <v>28.845700000000001</v>
      </c>
      <c r="AD12" t="s">
        <v>134</v>
      </c>
      <c r="AE12" t="s">
        <v>134</v>
      </c>
      <c r="AF12" t="s">
        <v>134</v>
      </c>
      <c r="AG12">
        <v>29.670500000000001</v>
      </c>
      <c r="AH12">
        <v>39.757300000000001</v>
      </c>
      <c r="AI12">
        <v>16.200199999999999</v>
      </c>
      <c r="AJ12">
        <v>35.917200000000001</v>
      </c>
      <c r="AK12">
        <v>9.1696000000000009</v>
      </c>
      <c r="AL12" t="s">
        <v>134</v>
      </c>
      <c r="AM12" t="s">
        <v>134</v>
      </c>
      <c r="AN12" t="s">
        <v>134</v>
      </c>
      <c r="AO12" t="s">
        <v>134</v>
      </c>
      <c r="AP12" t="s">
        <v>134</v>
      </c>
      <c r="AQ12" t="s">
        <v>134</v>
      </c>
      <c r="AR12" t="s">
        <v>134</v>
      </c>
      <c r="AS12" t="s">
        <v>134</v>
      </c>
      <c r="AT12" t="s">
        <v>134</v>
      </c>
      <c r="AU12" t="s">
        <v>134</v>
      </c>
      <c r="AV12" t="s">
        <v>134</v>
      </c>
      <c r="AW12" t="s">
        <v>134</v>
      </c>
      <c r="AX12" t="s">
        <v>134</v>
      </c>
      <c r="AY12" t="s">
        <v>134</v>
      </c>
      <c r="AZ12" t="s">
        <v>134</v>
      </c>
      <c r="BA12" t="s">
        <v>134</v>
      </c>
      <c r="BB12" t="s">
        <v>134</v>
      </c>
      <c r="BC12" t="s">
        <v>134</v>
      </c>
      <c r="BD12" t="s">
        <v>134</v>
      </c>
      <c r="BE12" t="s">
        <v>134</v>
      </c>
      <c r="BF12">
        <v>10.654199999999999</v>
      </c>
      <c r="BG12">
        <v>5.5564</v>
      </c>
      <c r="BH12">
        <v>8.6</v>
      </c>
      <c r="BI12">
        <v>15.2583</v>
      </c>
      <c r="BJ12">
        <v>14.210100000000001</v>
      </c>
      <c r="BK12">
        <v>-100</v>
      </c>
      <c r="BL12" t="s">
        <v>134</v>
      </c>
      <c r="BM12" t="s">
        <v>134</v>
      </c>
      <c r="BN12" t="s">
        <v>134</v>
      </c>
      <c r="BO12" t="s">
        <v>134</v>
      </c>
      <c r="BP12" t="s">
        <v>134</v>
      </c>
      <c r="BQ12" t="s">
        <v>134</v>
      </c>
      <c r="BR12" t="s">
        <v>134</v>
      </c>
      <c r="BS12" t="s">
        <v>134</v>
      </c>
      <c r="BT12" t="s">
        <v>134</v>
      </c>
      <c r="BU12" t="s">
        <v>134</v>
      </c>
      <c r="BV12" t="s">
        <v>134</v>
      </c>
      <c r="BW12" t="s">
        <v>134</v>
      </c>
      <c r="BX12" t="s">
        <v>134</v>
      </c>
      <c r="BY12">
        <v>409669.25319999998</v>
      </c>
      <c r="BZ12">
        <v>118614.7778</v>
      </c>
      <c r="CA12">
        <v>291054.47529999999</v>
      </c>
      <c r="CB12">
        <v>7.2897999999999996</v>
      </c>
      <c r="CC12">
        <v>6.6688000000000001</v>
      </c>
      <c r="CD12">
        <v>24.727</v>
      </c>
      <c r="CE12">
        <v>22.6203</v>
      </c>
      <c r="CF12">
        <v>1.4753000000000001</v>
      </c>
      <c r="CG12">
        <v>11.5876</v>
      </c>
      <c r="CH12">
        <v>438.7482</v>
      </c>
      <c r="CI12">
        <v>61.145000000000003</v>
      </c>
      <c r="CJ12">
        <v>50.855899999999998</v>
      </c>
      <c r="CK12">
        <v>617.55330000000004</v>
      </c>
      <c r="CL12">
        <v>86.063800000000001</v>
      </c>
      <c r="CM12">
        <v>71.581500000000005</v>
      </c>
      <c r="CN12">
        <v>564.93920000000003</v>
      </c>
      <c r="CO12">
        <v>84.960999999999999</v>
      </c>
      <c r="CP12">
        <v>15805.01</v>
      </c>
      <c r="CQ12" t="s">
        <v>134</v>
      </c>
      <c r="CR12">
        <v>5044.2560000000003</v>
      </c>
      <c r="CS12" t="s">
        <v>134</v>
      </c>
      <c r="CT12" t="s">
        <v>134</v>
      </c>
      <c r="CU12" t="s">
        <v>134</v>
      </c>
      <c r="CV12" t="s">
        <v>134</v>
      </c>
      <c r="CW12" t="s">
        <v>134</v>
      </c>
      <c r="CX12" t="s">
        <v>134</v>
      </c>
      <c r="CY12" t="s">
        <v>134</v>
      </c>
      <c r="CZ12" t="s">
        <v>134</v>
      </c>
      <c r="DA12" t="s">
        <v>134</v>
      </c>
      <c r="DB12" t="s">
        <v>134</v>
      </c>
      <c r="DC12" t="s">
        <v>134</v>
      </c>
      <c r="DD12" t="s">
        <v>134</v>
      </c>
      <c r="DE12" t="s">
        <v>134</v>
      </c>
      <c r="DF12" t="s">
        <v>134</v>
      </c>
      <c r="DG12" t="s">
        <v>134</v>
      </c>
      <c r="DH12" t="s">
        <v>134</v>
      </c>
      <c r="DI12" t="s">
        <v>134</v>
      </c>
    </row>
    <row r="13" spans="1:113" x14ac:dyDescent="0.3">
      <c r="D13" t="s">
        <v>9</v>
      </c>
      <c r="E13" t="s">
        <v>3</v>
      </c>
      <c r="F13">
        <v>27.066600000000001</v>
      </c>
      <c r="G13">
        <v>3.5083000000000002</v>
      </c>
      <c r="H13">
        <v>3.6512000000000002</v>
      </c>
      <c r="I13">
        <v>4.4379</v>
      </c>
      <c r="J13">
        <v>87.2898</v>
      </c>
      <c r="K13">
        <v>72.397099999999995</v>
      </c>
      <c r="L13">
        <v>66.370800000000003</v>
      </c>
      <c r="M13">
        <v>33.915199999999999</v>
      </c>
      <c r="N13">
        <v>54.253799999999998</v>
      </c>
      <c r="O13">
        <v>25.415600000000001</v>
      </c>
      <c r="P13">
        <v>54.253500000000003</v>
      </c>
      <c r="Q13">
        <v>24.8003</v>
      </c>
      <c r="R13">
        <v>80.854100000000003</v>
      </c>
      <c r="S13">
        <v>5.1821000000000002</v>
      </c>
      <c r="T13">
        <v>27.207899999999999</v>
      </c>
      <c r="U13">
        <v>25.6173</v>
      </c>
      <c r="V13">
        <v>26.545200000000001</v>
      </c>
      <c r="W13">
        <v>23.3354</v>
      </c>
      <c r="X13">
        <v>10.1012</v>
      </c>
      <c r="Y13">
        <v>73.076899999999995</v>
      </c>
      <c r="Z13" t="s">
        <v>134</v>
      </c>
      <c r="AA13" t="s">
        <v>134</v>
      </c>
      <c r="AB13">
        <v>25.4621</v>
      </c>
      <c r="AC13">
        <v>33.5565</v>
      </c>
      <c r="AD13" t="s">
        <v>134</v>
      </c>
      <c r="AE13" t="s">
        <v>134</v>
      </c>
      <c r="AF13" t="s">
        <v>134</v>
      </c>
      <c r="AG13">
        <v>38.508899999999997</v>
      </c>
      <c r="AH13">
        <v>28.646999999999998</v>
      </c>
      <c r="AI13">
        <v>61.204900000000002</v>
      </c>
      <c r="AJ13">
        <v>32.557699999999997</v>
      </c>
      <c r="AK13">
        <v>36.096600000000002</v>
      </c>
      <c r="AL13">
        <v>-30.941800000000001</v>
      </c>
      <c r="AM13" t="s">
        <v>134</v>
      </c>
      <c r="AN13" t="s">
        <v>134</v>
      </c>
      <c r="AO13" t="s">
        <v>134</v>
      </c>
      <c r="AP13" t="s">
        <v>134</v>
      </c>
      <c r="AQ13" t="s">
        <v>134</v>
      </c>
      <c r="AR13" t="s">
        <v>134</v>
      </c>
      <c r="AS13" t="s">
        <v>134</v>
      </c>
      <c r="AT13" t="s">
        <v>134</v>
      </c>
      <c r="AU13" t="s">
        <v>134</v>
      </c>
      <c r="AV13" t="s">
        <v>134</v>
      </c>
      <c r="AW13" t="s">
        <v>134</v>
      </c>
      <c r="AX13" t="s">
        <v>134</v>
      </c>
      <c r="AY13" t="s">
        <v>134</v>
      </c>
      <c r="AZ13" t="s">
        <v>134</v>
      </c>
      <c r="BA13" t="s">
        <v>134</v>
      </c>
      <c r="BB13" t="s">
        <v>134</v>
      </c>
      <c r="BC13" t="s">
        <v>134</v>
      </c>
      <c r="BD13" t="s">
        <v>134</v>
      </c>
      <c r="BE13" t="s">
        <v>134</v>
      </c>
      <c r="BF13">
        <v>27.207899999999999</v>
      </c>
      <c r="BG13">
        <v>25.6173</v>
      </c>
      <c r="BH13">
        <v>26.545200000000001</v>
      </c>
      <c r="BI13">
        <v>23.3354</v>
      </c>
      <c r="BJ13">
        <v>10.1012</v>
      </c>
      <c r="BK13">
        <v>73.076899999999995</v>
      </c>
      <c r="BL13">
        <v>-34.151699999999998</v>
      </c>
      <c r="BM13" t="s">
        <v>134</v>
      </c>
      <c r="BN13">
        <v>25.4621</v>
      </c>
      <c r="BO13">
        <v>33.5565</v>
      </c>
      <c r="BP13" t="s">
        <v>134</v>
      </c>
      <c r="BQ13" t="s">
        <v>134</v>
      </c>
      <c r="BR13" t="s">
        <v>134</v>
      </c>
      <c r="BS13">
        <v>38.508899999999997</v>
      </c>
      <c r="BT13">
        <v>28.646999999999998</v>
      </c>
      <c r="BU13">
        <v>61.204900000000002</v>
      </c>
      <c r="BV13">
        <v>32.557699999999997</v>
      </c>
      <c r="BW13">
        <v>36.096600000000002</v>
      </c>
      <c r="BX13" t="s">
        <v>134</v>
      </c>
      <c r="BY13">
        <v>625156.78330000001</v>
      </c>
      <c r="BZ13">
        <v>269944.21610000002</v>
      </c>
      <c r="CA13">
        <v>355212.56719999999</v>
      </c>
      <c r="CB13">
        <v>7.7630999999999997</v>
      </c>
      <c r="CC13">
        <v>7.4027000000000003</v>
      </c>
      <c r="CD13">
        <v>19.9803</v>
      </c>
      <c r="CE13">
        <v>19.052900000000001</v>
      </c>
      <c r="CF13">
        <v>1.6421999999999999</v>
      </c>
      <c r="CG13">
        <v>13.9907</v>
      </c>
      <c r="CH13">
        <v>332.16300000000001</v>
      </c>
      <c r="CI13">
        <v>48.5199</v>
      </c>
      <c r="CJ13">
        <v>46.471899999999998</v>
      </c>
      <c r="CK13">
        <v>584.59069999999997</v>
      </c>
      <c r="CL13">
        <v>85.392700000000005</v>
      </c>
      <c r="CM13">
        <v>81.788300000000007</v>
      </c>
      <c r="CN13">
        <v>557.45659999999998</v>
      </c>
      <c r="CO13">
        <v>84.789900000000003</v>
      </c>
      <c r="CP13">
        <v>80529.727400000003</v>
      </c>
      <c r="CQ13">
        <v>80179.2261</v>
      </c>
      <c r="CR13">
        <v>31288.655299999999</v>
      </c>
      <c r="CS13" t="s">
        <v>134</v>
      </c>
      <c r="CT13" t="s">
        <v>134</v>
      </c>
      <c r="CU13" t="s">
        <v>134</v>
      </c>
      <c r="CV13" t="s">
        <v>134</v>
      </c>
      <c r="CW13" t="s">
        <v>134</v>
      </c>
      <c r="CX13" t="s">
        <v>134</v>
      </c>
      <c r="CY13" t="s">
        <v>134</v>
      </c>
      <c r="CZ13" t="s">
        <v>134</v>
      </c>
      <c r="DA13" t="s">
        <v>134</v>
      </c>
      <c r="DB13" t="s">
        <v>134</v>
      </c>
      <c r="DC13" t="s">
        <v>134</v>
      </c>
      <c r="DD13" t="s">
        <v>134</v>
      </c>
      <c r="DE13" t="s">
        <v>134</v>
      </c>
      <c r="DF13" t="s">
        <v>134</v>
      </c>
      <c r="DG13" t="s">
        <v>134</v>
      </c>
      <c r="DH13" t="s">
        <v>134</v>
      </c>
      <c r="DI13" t="s">
        <v>134</v>
      </c>
    </row>
    <row r="14" spans="1:113" x14ac:dyDescent="0.3">
      <c r="E14" t="s">
        <v>4</v>
      </c>
      <c r="F14" t="s">
        <v>134</v>
      </c>
      <c r="G14" t="s">
        <v>134</v>
      </c>
      <c r="H14" t="s">
        <v>134</v>
      </c>
      <c r="I14" t="s">
        <v>134</v>
      </c>
      <c r="J14">
        <v>89.662499999999994</v>
      </c>
      <c r="K14">
        <v>71.928200000000004</v>
      </c>
      <c r="L14">
        <v>92.465699999999998</v>
      </c>
      <c r="M14">
        <v>37.849400000000003</v>
      </c>
      <c r="N14">
        <v>74.102900000000005</v>
      </c>
      <c r="O14">
        <v>27.9543</v>
      </c>
      <c r="P14">
        <v>74.100899999999996</v>
      </c>
      <c r="Q14">
        <v>26.141300000000001</v>
      </c>
      <c r="R14">
        <v>62.6068</v>
      </c>
      <c r="S14" t="s">
        <v>134</v>
      </c>
      <c r="T14">
        <v>33.7378</v>
      </c>
      <c r="U14">
        <v>37.198799999999999</v>
      </c>
      <c r="V14">
        <v>65.2029</v>
      </c>
      <c r="W14">
        <v>20.656700000000001</v>
      </c>
      <c r="X14">
        <v>14.180899999999999</v>
      </c>
      <c r="Y14">
        <v>12.5</v>
      </c>
      <c r="Z14" t="s">
        <v>134</v>
      </c>
      <c r="AA14" t="s">
        <v>134</v>
      </c>
      <c r="AB14" t="s">
        <v>134</v>
      </c>
      <c r="AC14" t="s">
        <v>134</v>
      </c>
      <c r="AD14" t="s">
        <v>134</v>
      </c>
      <c r="AE14" t="s">
        <v>134</v>
      </c>
      <c r="AF14" t="s">
        <v>134</v>
      </c>
      <c r="AG14" t="s">
        <v>134</v>
      </c>
      <c r="AH14" t="s">
        <v>134</v>
      </c>
      <c r="AI14" t="s">
        <v>134</v>
      </c>
      <c r="AJ14" t="s">
        <v>134</v>
      </c>
      <c r="AK14" t="s">
        <v>134</v>
      </c>
      <c r="AL14" t="s">
        <v>134</v>
      </c>
      <c r="AM14" t="s">
        <v>134</v>
      </c>
      <c r="AN14" t="s">
        <v>134</v>
      </c>
      <c r="AO14" t="s">
        <v>134</v>
      </c>
      <c r="AP14" t="s">
        <v>134</v>
      </c>
      <c r="AQ14" t="s">
        <v>134</v>
      </c>
      <c r="AR14" t="s">
        <v>134</v>
      </c>
      <c r="AS14" t="s">
        <v>134</v>
      </c>
      <c r="AT14" t="s">
        <v>134</v>
      </c>
      <c r="AU14" t="s">
        <v>134</v>
      </c>
      <c r="AV14" t="s">
        <v>134</v>
      </c>
      <c r="AW14" t="s">
        <v>134</v>
      </c>
      <c r="AX14" t="s">
        <v>134</v>
      </c>
      <c r="AY14" t="s">
        <v>134</v>
      </c>
      <c r="AZ14" t="s">
        <v>134</v>
      </c>
      <c r="BA14" t="s">
        <v>134</v>
      </c>
      <c r="BB14" t="s">
        <v>134</v>
      </c>
      <c r="BC14" t="s">
        <v>134</v>
      </c>
      <c r="BD14" t="s">
        <v>134</v>
      </c>
      <c r="BE14" t="s">
        <v>134</v>
      </c>
      <c r="BF14">
        <v>-2.3300999999999998</v>
      </c>
      <c r="BG14">
        <v>3.7578</v>
      </c>
      <c r="BH14">
        <v>-68.504499999999993</v>
      </c>
      <c r="BI14">
        <v>-7.2148000000000003</v>
      </c>
      <c r="BJ14">
        <v>-7.2798999999999996</v>
      </c>
      <c r="BK14">
        <v>0</v>
      </c>
      <c r="BL14" t="s">
        <v>134</v>
      </c>
      <c r="BM14" t="s">
        <v>134</v>
      </c>
      <c r="BN14" t="s">
        <v>134</v>
      </c>
      <c r="BO14" t="s">
        <v>134</v>
      </c>
      <c r="BP14" t="s">
        <v>134</v>
      </c>
      <c r="BQ14" t="s">
        <v>134</v>
      </c>
      <c r="BR14" t="s">
        <v>134</v>
      </c>
      <c r="BS14" t="s">
        <v>134</v>
      </c>
      <c r="BT14" t="s">
        <v>134</v>
      </c>
      <c r="BU14" t="s">
        <v>134</v>
      </c>
      <c r="BV14" t="s">
        <v>134</v>
      </c>
      <c r="BW14" t="s">
        <v>134</v>
      </c>
      <c r="BX14" t="s">
        <v>134</v>
      </c>
      <c r="BY14" t="s">
        <v>134</v>
      </c>
      <c r="BZ14" t="s">
        <v>134</v>
      </c>
      <c r="CA14" t="s">
        <v>134</v>
      </c>
      <c r="CB14" t="s">
        <v>134</v>
      </c>
      <c r="CC14" t="s">
        <v>134</v>
      </c>
      <c r="CD14" t="s">
        <v>134</v>
      </c>
      <c r="CE14" t="s">
        <v>134</v>
      </c>
      <c r="CF14">
        <v>1.4398</v>
      </c>
      <c r="CG14" t="s">
        <v>134</v>
      </c>
      <c r="CH14" t="s">
        <v>134</v>
      </c>
      <c r="CI14" t="s">
        <v>134</v>
      </c>
      <c r="CJ14" t="s">
        <v>134</v>
      </c>
      <c r="CK14" t="s">
        <v>134</v>
      </c>
      <c r="CL14" t="s">
        <v>134</v>
      </c>
      <c r="CM14" t="s">
        <v>134</v>
      </c>
      <c r="CN14" t="s">
        <v>134</v>
      </c>
      <c r="CO14" t="s">
        <v>134</v>
      </c>
      <c r="CP14">
        <v>16398.932000000001</v>
      </c>
      <c r="CQ14" t="s">
        <v>134</v>
      </c>
      <c r="CR14">
        <v>4962.8329999999996</v>
      </c>
      <c r="CS14" t="s">
        <v>134</v>
      </c>
      <c r="CT14" t="s">
        <v>134</v>
      </c>
      <c r="CU14" t="s">
        <v>134</v>
      </c>
      <c r="CV14" t="s">
        <v>134</v>
      </c>
      <c r="CW14" t="s">
        <v>134</v>
      </c>
      <c r="CX14" t="s">
        <v>134</v>
      </c>
      <c r="CY14" t="s">
        <v>134</v>
      </c>
      <c r="CZ14" t="s">
        <v>134</v>
      </c>
      <c r="DA14" t="s">
        <v>134</v>
      </c>
      <c r="DB14" t="s">
        <v>134</v>
      </c>
      <c r="DC14" t="s">
        <v>134</v>
      </c>
      <c r="DD14" t="s">
        <v>134</v>
      </c>
      <c r="DE14" t="s">
        <v>134</v>
      </c>
      <c r="DF14" t="s">
        <v>134</v>
      </c>
      <c r="DG14" t="s">
        <v>134</v>
      </c>
      <c r="DH14" t="s">
        <v>134</v>
      </c>
      <c r="DI14" t="s">
        <v>134</v>
      </c>
    </row>
    <row r="15" spans="1:113" x14ac:dyDescent="0.3">
      <c r="E15" t="s">
        <v>5</v>
      </c>
      <c r="F15">
        <v>25.427800000000001</v>
      </c>
      <c r="G15">
        <v>3.6032999999999999</v>
      </c>
      <c r="H15">
        <v>4.4753999999999996</v>
      </c>
      <c r="I15">
        <v>4.7881</v>
      </c>
      <c r="J15">
        <v>87.194599999999994</v>
      </c>
      <c r="K15">
        <v>64.948800000000006</v>
      </c>
      <c r="L15">
        <v>51.460599999999999</v>
      </c>
      <c r="M15">
        <v>37.345599999999997</v>
      </c>
      <c r="N15">
        <v>75.075999999999993</v>
      </c>
      <c r="O15">
        <v>27.986599999999999</v>
      </c>
      <c r="P15">
        <v>75.075999999999993</v>
      </c>
      <c r="Q15">
        <v>25.060500000000001</v>
      </c>
      <c r="R15">
        <v>67.918400000000005</v>
      </c>
      <c r="S15">
        <v>8.1577000000000002</v>
      </c>
      <c r="T15">
        <v>31.083100000000002</v>
      </c>
      <c r="U15">
        <v>28.527699999999999</v>
      </c>
      <c r="V15">
        <v>24.040099999999999</v>
      </c>
      <c r="W15">
        <v>23.935700000000001</v>
      </c>
      <c r="X15">
        <v>14.9452</v>
      </c>
      <c r="Y15">
        <v>0</v>
      </c>
      <c r="Z15" t="s">
        <v>134</v>
      </c>
      <c r="AA15" t="s">
        <v>134</v>
      </c>
      <c r="AB15">
        <v>33.319800000000001</v>
      </c>
      <c r="AC15">
        <v>34.849699999999999</v>
      </c>
      <c r="AD15" t="s">
        <v>134</v>
      </c>
      <c r="AE15" t="s">
        <v>134</v>
      </c>
      <c r="AF15" t="s">
        <v>134</v>
      </c>
      <c r="AG15">
        <v>3.9255</v>
      </c>
      <c r="AH15">
        <v>30.736499999999999</v>
      </c>
      <c r="AI15">
        <v>69.391300000000001</v>
      </c>
      <c r="AJ15">
        <v>36.715200000000003</v>
      </c>
      <c r="AK15">
        <v>43.525399999999998</v>
      </c>
      <c r="AL15" t="s">
        <v>134</v>
      </c>
      <c r="AM15" t="s">
        <v>134</v>
      </c>
      <c r="AN15" t="s">
        <v>134</v>
      </c>
      <c r="AO15" t="s">
        <v>134</v>
      </c>
      <c r="AP15" t="s">
        <v>134</v>
      </c>
      <c r="AQ15" t="s">
        <v>134</v>
      </c>
      <c r="AR15" t="s">
        <v>134</v>
      </c>
      <c r="AS15" t="s">
        <v>134</v>
      </c>
      <c r="AT15" t="s">
        <v>134</v>
      </c>
      <c r="AU15" t="s">
        <v>134</v>
      </c>
      <c r="AV15" t="s">
        <v>134</v>
      </c>
      <c r="AW15" t="s">
        <v>134</v>
      </c>
      <c r="AX15" t="s">
        <v>134</v>
      </c>
      <c r="AY15" t="s">
        <v>134</v>
      </c>
      <c r="AZ15" t="s">
        <v>134</v>
      </c>
      <c r="BA15" t="s">
        <v>134</v>
      </c>
      <c r="BB15" t="s">
        <v>134</v>
      </c>
      <c r="BC15" t="s">
        <v>134</v>
      </c>
      <c r="BD15" t="s">
        <v>134</v>
      </c>
      <c r="BE15" t="s">
        <v>134</v>
      </c>
      <c r="BF15">
        <v>8.5319000000000003</v>
      </c>
      <c r="BG15">
        <v>5.5446</v>
      </c>
      <c r="BH15">
        <v>-3.1604999999999999</v>
      </c>
      <c r="BI15">
        <v>8.6571999999999996</v>
      </c>
      <c r="BJ15">
        <v>4.8536999999999999</v>
      </c>
      <c r="BK15">
        <v>0</v>
      </c>
      <c r="BL15" t="s">
        <v>134</v>
      </c>
      <c r="BM15" t="s">
        <v>134</v>
      </c>
      <c r="BN15" t="s">
        <v>134</v>
      </c>
      <c r="BO15" t="s">
        <v>134</v>
      </c>
      <c r="BP15" t="s">
        <v>134</v>
      </c>
      <c r="BQ15" t="s">
        <v>134</v>
      </c>
      <c r="BR15" t="s">
        <v>134</v>
      </c>
      <c r="BS15" t="s">
        <v>134</v>
      </c>
      <c r="BT15" t="s">
        <v>134</v>
      </c>
      <c r="BU15" t="s">
        <v>134</v>
      </c>
      <c r="BV15" t="s">
        <v>134</v>
      </c>
      <c r="BW15" t="s">
        <v>134</v>
      </c>
      <c r="BX15" t="s">
        <v>134</v>
      </c>
      <c r="BY15">
        <v>437305.00599999999</v>
      </c>
      <c r="BZ15">
        <v>107931.11199999999</v>
      </c>
      <c r="CA15">
        <v>329373.89399999997</v>
      </c>
      <c r="CB15">
        <v>6.7815000000000003</v>
      </c>
      <c r="CC15">
        <v>6.4097</v>
      </c>
      <c r="CD15">
        <v>14.494300000000001</v>
      </c>
      <c r="CE15">
        <v>13.6996</v>
      </c>
      <c r="CF15">
        <v>1.3902000000000001</v>
      </c>
      <c r="CG15">
        <v>15.5198</v>
      </c>
      <c r="CH15">
        <v>317.71159999999998</v>
      </c>
      <c r="CI15">
        <v>60.885199999999998</v>
      </c>
      <c r="CJ15">
        <v>49.308300000000003</v>
      </c>
      <c r="CK15">
        <v>421.82119999999998</v>
      </c>
      <c r="CL15">
        <v>80.836299999999994</v>
      </c>
      <c r="CM15">
        <v>65.465900000000005</v>
      </c>
      <c r="CN15">
        <v>398.6943</v>
      </c>
      <c r="CO15">
        <v>79.947599999999994</v>
      </c>
      <c r="CP15">
        <v>17308.192999999999</v>
      </c>
      <c r="CQ15" t="s">
        <v>134</v>
      </c>
      <c r="CR15">
        <v>4805.9840000000004</v>
      </c>
      <c r="CS15" t="s">
        <v>134</v>
      </c>
      <c r="CT15" t="s">
        <v>134</v>
      </c>
      <c r="CU15" t="s">
        <v>134</v>
      </c>
      <c r="CV15" t="s">
        <v>134</v>
      </c>
      <c r="CW15" t="s">
        <v>134</v>
      </c>
      <c r="CX15" t="s">
        <v>134</v>
      </c>
      <c r="CY15" t="s">
        <v>134</v>
      </c>
      <c r="CZ15" t="s">
        <v>134</v>
      </c>
      <c r="DA15" t="s">
        <v>134</v>
      </c>
      <c r="DB15" t="s">
        <v>134</v>
      </c>
      <c r="DC15" t="s">
        <v>134</v>
      </c>
      <c r="DD15" t="s">
        <v>134</v>
      </c>
      <c r="DE15" t="s">
        <v>134</v>
      </c>
      <c r="DF15" t="s">
        <v>134</v>
      </c>
      <c r="DG15" t="s">
        <v>134</v>
      </c>
      <c r="DH15" t="s">
        <v>134</v>
      </c>
      <c r="DI15" t="s">
        <v>134</v>
      </c>
    </row>
    <row r="16" spans="1:113" x14ac:dyDescent="0.3">
      <c r="E16" t="s">
        <v>6</v>
      </c>
      <c r="F16" t="s">
        <v>134</v>
      </c>
      <c r="G16" t="s">
        <v>134</v>
      </c>
      <c r="H16" t="s">
        <v>134</v>
      </c>
      <c r="I16" t="s">
        <v>134</v>
      </c>
      <c r="J16">
        <v>86.930499999999995</v>
      </c>
      <c r="K16">
        <v>67.449600000000004</v>
      </c>
      <c r="L16">
        <v>60.043999999999997</v>
      </c>
      <c r="M16">
        <v>38.717300000000002</v>
      </c>
      <c r="N16">
        <v>70.929299999999998</v>
      </c>
      <c r="O16">
        <v>29.031199999999998</v>
      </c>
      <c r="P16">
        <v>70.929299999999998</v>
      </c>
      <c r="Q16">
        <v>25.017499999999998</v>
      </c>
      <c r="R16">
        <v>62.832700000000003</v>
      </c>
      <c r="S16" t="s">
        <v>134</v>
      </c>
      <c r="T16">
        <v>22.2851</v>
      </c>
      <c r="U16">
        <v>20.475000000000001</v>
      </c>
      <c r="V16">
        <v>23.3353</v>
      </c>
      <c r="W16">
        <v>26.007899999999999</v>
      </c>
      <c r="X16">
        <v>6.8026999999999997</v>
      </c>
      <c r="Y16">
        <v>0</v>
      </c>
      <c r="Z16" t="s">
        <v>134</v>
      </c>
      <c r="AA16" t="s">
        <v>134</v>
      </c>
      <c r="AB16" t="s">
        <v>134</v>
      </c>
      <c r="AC16" t="s">
        <v>134</v>
      </c>
      <c r="AD16" t="s">
        <v>134</v>
      </c>
      <c r="AE16" t="s">
        <v>134</v>
      </c>
      <c r="AF16" t="s">
        <v>134</v>
      </c>
      <c r="AG16" t="s">
        <v>134</v>
      </c>
      <c r="AH16" t="s">
        <v>134</v>
      </c>
      <c r="AI16" t="s">
        <v>134</v>
      </c>
      <c r="AJ16" t="s">
        <v>134</v>
      </c>
      <c r="AK16" t="s">
        <v>134</v>
      </c>
      <c r="AL16" t="s">
        <v>134</v>
      </c>
      <c r="AM16" t="s">
        <v>134</v>
      </c>
      <c r="AN16" t="s">
        <v>134</v>
      </c>
      <c r="AO16" t="s">
        <v>134</v>
      </c>
      <c r="AP16" t="s">
        <v>134</v>
      </c>
      <c r="AQ16" t="s">
        <v>134</v>
      </c>
      <c r="AR16" t="s">
        <v>134</v>
      </c>
      <c r="AS16" t="s">
        <v>134</v>
      </c>
      <c r="AT16" t="s">
        <v>134</v>
      </c>
      <c r="AU16" t="s">
        <v>134</v>
      </c>
      <c r="AV16" t="s">
        <v>134</v>
      </c>
      <c r="AW16" t="s">
        <v>134</v>
      </c>
      <c r="AX16" t="s">
        <v>134</v>
      </c>
      <c r="AY16" t="s">
        <v>134</v>
      </c>
      <c r="AZ16" t="s">
        <v>134</v>
      </c>
      <c r="BA16" t="s">
        <v>134</v>
      </c>
      <c r="BB16" t="s">
        <v>134</v>
      </c>
      <c r="BC16" t="s">
        <v>134</v>
      </c>
      <c r="BD16" t="s">
        <v>134</v>
      </c>
      <c r="BE16" t="s">
        <v>134</v>
      </c>
      <c r="BF16">
        <v>4.5377000000000001</v>
      </c>
      <c r="BG16">
        <v>4.2210000000000001</v>
      </c>
      <c r="BH16">
        <v>19.199000000000002</v>
      </c>
      <c r="BI16">
        <v>8.4396000000000004</v>
      </c>
      <c r="BJ16">
        <v>-3.8121</v>
      </c>
      <c r="BK16">
        <v>0</v>
      </c>
      <c r="BL16" t="s">
        <v>134</v>
      </c>
      <c r="BM16" t="s">
        <v>134</v>
      </c>
      <c r="BN16" t="s">
        <v>134</v>
      </c>
      <c r="BO16" t="s">
        <v>134</v>
      </c>
      <c r="BP16" t="s">
        <v>134</v>
      </c>
      <c r="BQ16" t="s">
        <v>134</v>
      </c>
      <c r="BR16" t="s">
        <v>134</v>
      </c>
      <c r="BS16" t="s">
        <v>134</v>
      </c>
      <c r="BT16" t="s">
        <v>134</v>
      </c>
      <c r="BU16" t="s">
        <v>134</v>
      </c>
      <c r="BV16" t="s">
        <v>134</v>
      </c>
      <c r="BW16" t="s">
        <v>134</v>
      </c>
      <c r="BX16" t="s">
        <v>134</v>
      </c>
      <c r="BY16" t="s">
        <v>134</v>
      </c>
      <c r="BZ16" t="s">
        <v>134</v>
      </c>
      <c r="CA16" t="s">
        <v>134</v>
      </c>
      <c r="CB16" t="s">
        <v>134</v>
      </c>
      <c r="CC16" t="s">
        <v>134</v>
      </c>
      <c r="CD16" t="s">
        <v>134</v>
      </c>
      <c r="CE16" t="s">
        <v>134</v>
      </c>
      <c r="CF16">
        <v>1.4716</v>
      </c>
      <c r="CG16" t="s">
        <v>134</v>
      </c>
      <c r="CH16" t="s">
        <v>134</v>
      </c>
      <c r="CI16" t="s">
        <v>134</v>
      </c>
      <c r="CJ16" t="s">
        <v>134</v>
      </c>
      <c r="CK16" t="s">
        <v>134</v>
      </c>
      <c r="CL16" t="s">
        <v>134</v>
      </c>
      <c r="CM16" t="s">
        <v>134</v>
      </c>
      <c r="CN16" t="s">
        <v>134</v>
      </c>
      <c r="CO16" t="s">
        <v>134</v>
      </c>
      <c r="CP16">
        <v>18038.778999999999</v>
      </c>
      <c r="CQ16" t="s">
        <v>134</v>
      </c>
      <c r="CR16">
        <v>5728.683</v>
      </c>
      <c r="CS16" t="s">
        <v>134</v>
      </c>
      <c r="CT16" t="s">
        <v>134</v>
      </c>
      <c r="CU16" t="s">
        <v>134</v>
      </c>
      <c r="CV16" t="s">
        <v>134</v>
      </c>
      <c r="CW16" t="s">
        <v>134</v>
      </c>
      <c r="CX16" t="s">
        <v>134</v>
      </c>
      <c r="CY16" t="s">
        <v>134</v>
      </c>
      <c r="CZ16" t="s">
        <v>134</v>
      </c>
      <c r="DA16" t="s">
        <v>134</v>
      </c>
      <c r="DB16" t="s">
        <v>134</v>
      </c>
      <c r="DC16" t="s">
        <v>134</v>
      </c>
      <c r="DD16" t="s">
        <v>134</v>
      </c>
      <c r="DE16" t="s">
        <v>134</v>
      </c>
      <c r="DF16" t="s">
        <v>134</v>
      </c>
      <c r="DG16" t="s">
        <v>134</v>
      </c>
      <c r="DH16" t="s">
        <v>134</v>
      </c>
      <c r="DI16" t="s">
        <v>134</v>
      </c>
    </row>
    <row r="17" spans="1:113" x14ac:dyDescent="0.3">
      <c r="E17" t="s">
        <v>7</v>
      </c>
      <c r="F17">
        <v>27.066600000000001</v>
      </c>
      <c r="G17">
        <v>3.5083000000000002</v>
      </c>
      <c r="H17">
        <v>3.6512000000000002</v>
      </c>
      <c r="I17">
        <v>2.5571000000000002</v>
      </c>
      <c r="J17">
        <v>83.7376</v>
      </c>
      <c r="K17">
        <v>61.9191</v>
      </c>
      <c r="L17">
        <v>-111.86490000000001</v>
      </c>
      <c r="M17">
        <v>37.061300000000003</v>
      </c>
      <c r="N17">
        <v>64.999899999999997</v>
      </c>
      <c r="O17">
        <v>28.1356</v>
      </c>
      <c r="P17">
        <v>64.999899999999997</v>
      </c>
      <c r="Q17">
        <v>23.4024</v>
      </c>
      <c r="R17">
        <v>56.130699999999997</v>
      </c>
      <c r="S17">
        <v>11.874000000000001</v>
      </c>
      <c r="T17">
        <v>28.210999999999999</v>
      </c>
      <c r="U17">
        <v>27.202400000000001</v>
      </c>
      <c r="V17">
        <v>-59.162700000000001</v>
      </c>
      <c r="W17">
        <v>22.588699999999999</v>
      </c>
      <c r="X17">
        <v>4.8974000000000002</v>
      </c>
      <c r="Y17">
        <v>0</v>
      </c>
      <c r="Z17" t="s">
        <v>134</v>
      </c>
      <c r="AA17" t="s">
        <v>134</v>
      </c>
      <c r="AB17">
        <v>25.4621</v>
      </c>
      <c r="AC17">
        <v>33.5565</v>
      </c>
      <c r="AD17" t="s">
        <v>134</v>
      </c>
      <c r="AE17" t="s">
        <v>134</v>
      </c>
      <c r="AF17" t="s">
        <v>134</v>
      </c>
      <c r="AG17">
        <v>38.508899999999997</v>
      </c>
      <c r="AH17">
        <v>28.646999999999998</v>
      </c>
      <c r="AI17">
        <v>61.204900000000002</v>
      </c>
      <c r="AJ17">
        <v>32.557699999999997</v>
      </c>
      <c r="AK17">
        <v>36.096600000000002</v>
      </c>
      <c r="AL17" t="s">
        <v>134</v>
      </c>
      <c r="AM17" t="s">
        <v>134</v>
      </c>
      <c r="AN17" t="s">
        <v>134</v>
      </c>
      <c r="AO17" t="s">
        <v>134</v>
      </c>
      <c r="AP17" t="s">
        <v>134</v>
      </c>
      <c r="AQ17" t="s">
        <v>134</v>
      </c>
      <c r="AR17" t="s">
        <v>134</v>
      </c>
      <c r="AS17" t="s">
        <v>134</v>
      </c>
      <c r="AT17" t="s">
        <v>134</v>
      </c>
      <c r="AU17" t="s">
        <v>134</v>
      </c>
      <c r="AV17" t="s">
        <v>134</v>
      </c>
      <c r="AW17" t="s">
        <v>134</v>
      </c>
      <c r="AX17" t="s">
        <v>134</v>
      </c>
      <c r="AY17" t="s">
        <v>134</v>
      </c>
      <c r="AZ17" t="s">
        <v>134</v>
      </c>
      <c r="BA17" t="s">
        <v>134</v>
      </c>
      <c r="BB17" t="s">
        <v>134</v>
      </c>
      <c r="BC17" t="s">
        <v>134</v>
      </c>
      <c r="BD17" t="s">
        <v>134</v>
      </c>
      <c r="BE17" t="s">
        <v>134</v>
      </c>
      <c r="BF17">
        <v>15.700200000000001</v>
      </c>
      <c r="BG17">
        <v>11.450799999999999</v>
      </c>
      <c r="BH17">
        <v>12.326599999999999</v>
      </c>
      <c r="BI17">
        <v>12.130800000000001</v>
      </c>
      <c r="BJ17">
        <v>12.172700000000001</v>
      </c>
      <c r="BK17">
        <v>0</v>
      </c>
      <c r="BL17" t="s">
        <v>134</v>
      </c>
      <c r="BM17" t="s">
        <v>134</v>
      </c>
      <c r="BN17" t="s">
        <v>134</v>
      </c>
      <c r="BO17" t="s">
        <v>134</v>
      </c>
      <c r="BP17" t="s">
        <v>134</v>
      </c>
      <c r="BQ17" t="s">
        <v>134</v>
      </c>
      <c r="BR17" t="s">
        <v>134</v>
      </c>
      <c r="BS17" t="s">
        <v>134</v>
      </c>
      <c r="BT17" t="s">
        <v>134</v>
      </c>
      <c r="BU17" t="s">
        <v>134</v>
      </c>
      <c r="BV17" t="s">
        <v>134</v>
      </c>
      <c r="BW17" t="s">
        <v>134</v>
      </c>
      <c r="BX17" t="s">
        <v>134</v>
      </c>
      <c r="BY17">
        <v>625156.78330000001</v>
      </c>
      <c r="BZ17">
        <v>269944.21610000002</v>
      </c>
      <c r="CA17">
        <v>355212.56719999999</v>
      </c>
      <c r="CB17">
        <v>8.7007999999999992</v>
      </c>
      <c r="CC17">
        <v>8.2970000000000006</v>
      </c>
      <c r="CD17">
        <v>28.503900000000002</v>
      </c>
      <c r="CE17">
        <v>27.180900000000001</v>
      </c>
      <c r="CF17">
        <v>1.4764999999999999</v>
      </c>
      <c r="CG17">
        <v>13.9907</v>
      </c>
      <c r="CH17">
        <v>332.16300000000001</v>
      </c>
      <c r="CI17">
        <v>48.5199</v>
      </c>
      <c r="CJ17">
        <v>46.471899999999998</v>
      </c>
      <c r="CK17">
        <v>584.59069999999997</v>
      </c>
      <c r="CL17">
        <v>85.392700000000005</v>
      </c>
      <c r="CM17">
        <v>81.788300000000007</v>
      </c>
      <c r="CN17">
        <v>557.45659999999998</v>
      </c>
      <c r="CO17">
        <v>84.789900000000003</v>
      </c>
      <c r="CP17">
        <v>20104.358</v>
      </c>
      <c r="CQ17" t="s">
        <v>134</v>
      </c>
      <c r="CR17">
        <v>6434.8339999999998</v>
      </c>
      <c r="CS17" t="s">
        <v>134</v>
      </c>
      <c r="CT17" t="s">
        <v>134</v>
      </c>
      <c r="CU17" t="s">
        <v>134</v>
      </c>
      <c r="CV17" t="s">
        <v>134</v>
      </c>
      <c r="CW17" t="s">
        <v>134</v>
      </c>
      <c r="CX17" t="s">
        <v>134</v>
      </c>
      <c r="CY17" t="s">
        <v>134</v>
      </c>
      <c r="CZ17" t="s">
        <v>134</v>
      </c>
      <c r="DA17" t="s">
        <v>134</v>
      </c>
      <c r="DB17" t="s">
        <v>134</v>
      </c>
      <c r="DC17" t="s">
        <v>134</v>
      </c>
      <c r="DD17" t="s">
        <v>134</v>
      </c>
      <c r="DE17" t="s">
        <v>134</v>
      </c>
      <c r="DF17" t="s">
        <v>134</v>
      </c>
      <c r="DG17" t="s">
        <v>134</v>
      </c>
      <c r="DH17" t="s">
        <v>134</v>
      </c>
      <c r="DI17" t="s">
        <v>134</v>
      </c>
    </row>
    <row r="18" spans="1:113" x14ac:dyDescent="0.3">
      <c r="D18" t="s">
        <v>10</v>
      </c>
      <c r="E18" t="s">
        <v>3</v>
      </c>
      <c r="F18">
        <v>25.476400000000002</v>
      </c>
      <c r="G18">
        <v>3.2397</v>
      </c>
      <c r="H18">
        <v>3.3725999999999998</v>
      </c>
      <c r="I18">
        <v>3.3689999999999998</v>
      </c>
      <c r="J18">
        <v>86.420500000000004</v>
      </c>
      <c r="K18">
        <v>70.056200000000004</v>
      </c>
      <c r="L18">
        <v>59.575200000000002</v>
      </c>
      <c r="M18">
        <v>32.232799999999997</v>
      </c>
      <c r="N18">
        <v>53.982399999999998</v>
      </c>
      <c r="O18">
        <v>24.837299999999999</v>
      </c>
      <c r="P18">
        <v>53.982399999999998</v>
      </c>
      <c r="Q18">
        <v>22.887</v>
      </c>
      <c r="R18">
        <v>39.375700000000002</v>
      </c>
      <c r="S18">
        <v>15.444900000000001</v>
      </c>
      <c r="T18">
        <v>26.840399999999999</v>
      </c>
      <c r="U18">
        <v>25.311900000000001</v>
      </c>
      <c r="V18">
        <v>20.5486</v>
      </c>
      <c r="W18">
        <v>23.9541</v>
      </c>
      <c r="X18">
        <v>15.710599999999999</v>
      </c>
      <c r="Y18">
        <v>-40</v>
      </c>
      <c r="Z18" t="s">
        <v>134</v>
      </c>
      <c r="AA18" t="s">
        <v>134</v>
      </c>
      <c r="AB18">
        <v>35.7607</v>
      </c>
      <c r="AC18">
        <v>36.959600000000002</v>
      </c>
      <c r="AD18" t="s">
        <v>134</v>
      </c>
      <c r="AE18" t="s">
        <v>134</v>
      </c>
      <c r="AF18" t="s">
        <v>134</v>
      </c>
      <c r="AG18">
        <v>21.890699999999999</v>
      </c>
      <c r="AH18">
        <v>39.196599999999997</v>
      </c>
      <c r="AI18">
        <v>13.358499999999999</v>
      </c>
      <c r="AJ18">
        <v>35.422400000000003</v>
      </c>
      <c r="AK18">
        <v>12.672700000000001</v>
      </c>
      <c r="AL18">
        <v>-46.711100000000002</v>
      </c>
      <c r="AM18" t="s">
        <v>134</v>
      </c>
      <c r="AN18" t="s">
        <v>134</v>
      </c>
      <c r="AO18" t="s">
        <v>134</v>
      </c>
      <c r="AP18" t="s">
        <v>134</v>
      </c>
      <c r="AQ18" t="s">
        <v>134</v>
      </c>
      <c r="AR18" t="s">
        <v>134</v>
      </c>
      <c r="AS18" t="s">
        <v>134</v>
      </c>
      <c r="AT18" t="s">
        <v>134</v>
      </c>
      <c r="AU18" t="s">
        <v>134</v>
      </c>
      <c r="AV18" t="s">
        <v>134</v>
      </c>
      <c r="AW18" t="s">
        <v>134</v>
      </c>
      <c r="AX18" t="s">
        <v>134</v>
      </c>
      <c r="AY18" t="s">
        <v>134</v>
      </c>
      <c r="AZ18" t="s">
        <v>134</v>
      </c>
      <c r="BA18" t="s">
        <v>134</v>
      </c>
      <c r="BB18" t="s">
        <v>134</v>
      </c>
      <c r="BC18" t="s">
        <v>134</v>
      </c>
      <c r="BD18" t="s">
        <v>134</v>
      </c>
      <c r="BE18" t="s">
        <v>134</v>
      </c>
      <c r="BF18">
        <v>26.840399999999999</v>
      </c>
      <c r="BG18">
        <v>25.311900000000001</v>
      </c>
      <c r="BH18">
        <v>20.5486</v>
      </c>
      <c r="BI18">
        <v>23.9541</v>
      </c>
      <c r="BJ18">
        <v>15.710599999999999</v>
      </c>
      <c r="BK18">
        <v>-40</v>
      </c>
      <c r="BL18">
        <v>419.733</v>
      </c>
      <c r="BM18" t="s">
        <v>134</v>
      </c>
      <c r="BN18">
        <v>35.7607</v>
      </c>
      <c r="BO18">
        <v>36.959600000000002</v>
      </c>
      <c r="BP18" t="s">
        <v>134</v>
      </c>
      <c r="BQ18" t="s">
        <v>134</v>
      </c>
      <c r="BR18" t="s">
        <v>134</v>
      </c>
      <c r="BS18">
        <v>21.890699999999999</v>
      </c>
      <c r="BT18">
        <v>39.196599999999997</v>
      </c>
      <c r="BU18">
        <v>13.358499999999999</v>
      </c>
      <c r="BV18">
        <v>35.422400000000003</v>
      </c>
      <c r="BW18">
        <v>12.672700000000001</v>
      </c>
      <c r="BX18" t="s">
        <v>134</v>
      </c>
      <c r="BY18">
        <v>870197.02300000004</v>
      </c>
      <c r="BZ18">
        <v>329036.85029999999</v>
      </c>
      <c r="CA18">
        <v>541160.1727</v>
      </c>
      <c r="CB18">
        <v>8.6050000000000004</v>
      </c>
      <c r="CC18">
        <v>8.0431000000000008</v>
      </c>
      <c r="CD18">
        <v>23.071100000000001</v>
      </c>
      <c r="CE18">
        <v>21.564499999999999</v>
      </c>
      <c r="CF18">
        <v>1.6007</v>
      </c>
      <c r="CG18">
        <v>11.689299999999999</v>
      </c>
      <c r="CH18">
        <v>446.41079999999999</v>
      </c>
      <c r="CI18">
        <v>54.584299999999999</v>
      </c>
      <c r="CJ18">
        <v>52.182499999999997</v>
      </c>
      <c r="CK18">
        <v>717.83799999999997</v>
      </c>
      <c r="CL18">
        <v>87.772599999999997</v>
      </c>
      <c r="CM18">
        <v>83.910499999999999</v>
      </c>
      <c r="CN18">
        <v>670.96199999999999</v>
      </c>
      <c r="CO18">
        <v>87.029200000000003</v>
      </c>
      <c r="CP18">
        <v>101126.97380000001</v>
      </c>
      <c r="CQ18">
        <v>100566.3409</v>
      </c>
      <c r="CR18">
        <v>37718.039199999999</v>
      </c>
      <c r="CS18" t="s">
        <v>134</v>
      </c>
      <c r="CT18" t="s">
        <v>134</v>
      </c>
      <c r="CU18" t="s">
        <v>134</v>
      </c>
      <c r="CV18" t="s">
        <v>134</v>
      </c>
      <c r="CW18" t="s">
        <v>134</v>
      </c>
      <c r="CX18" t="s">
        <v>134</v>
      </c>
      <c r="CY18" t="s">
        <v>134</v>
      </c>
      <c r="CZ18" t="s">
        <v>134</v>
      </c>
      <c r="DA18" t="s">
        <v>134</v>
      </c>
      <c r="DB18" t="s">
        <v>134</v>
      </c>
      <c r="DC18" t="s">
        <v>134</v>
      </c>
      <c r="DD18" t="s">
        <v>134</v>
      </c>
      <c r="DE18" t="s">
        <v>134</v>
      </c>
      <c r="DF18" t="s">
        <v>134</v>
      </c>
      <c r="DG18" t="s">
        <v>134</v>
      </c>
      <c r="DH18" t="s">
        <v>134</v>
      </c>
      <c r="DI18" t="s">
        <v>134</v>
      </c>
    </row>
    <row r="19" spans="1:113" x14ac:dyDescent="0.3">
      <c r="E19" t="s">
        <v>4</v>
      </c>
      <c r="F19" t="s">
        <v>134</v>
      </c>
      <c r="G19" t="s">
        <v>134</v>
      </c>
      <c r="H19" t="s">
        <v>134</v>
      </c>
      <c r="I19" t="s">
        <v>134</v>
      </c>
      <c r="J19">
        <v>87.075800000000001</v>
      </c>
      <c r="K19">
        <v>67.581500000000005</v>
      </c>
      <c r="L19">
        <v>56.521000000000001</v>
      </c>
      <c r="M19">
        <v>36.89</v>
      </c>
      <c r="N19">
        <v>65.554199999999994</v>
      </c>
      <c r="O19">
        <v>26.5625</v>
      </c>
      <c r="P19">
        <v>65.554199999999994</v>
      </c>
      <c r="Q19">
        <v>27.439</v>
      </c>
      <c r="R19">
        <v>60.190300000000001</v>
      </c>
      <c r="S19" t="s">
        <v>134</v>
      </c>
      <c r="T19">
        <v>29.69</v>
      </c>
      <c r="U19">
        <v>25.948499999999999</v>
      </c>
      <c r="V19">
        <v>30.881599999999999</v>
      </c>
      <c r="W19">
        <v>23.233000000000001</v>
      </c>
      <c r="X19">
        <v>5.4246999999999996</v>
      </c>
      <c r="Y19">
        <v>0</v>
      </c>
      <c r="Z19" t="s">
        <v>134</v>
      </c>
      <c r="AA19" t="s">
        <v>134</v>
      </c>
      <c r="AB19" t="s">
        <v>134</v>
      </c>
      <c r="AC19" t="s">
        <v>134</v>
      </c>
      <c r="AD19" t="s">
        <v>134</v>
      </c>
      <c r="AE19" t="s">
        <v>134</v>
      </c>
      <c r="AF19" t="s">
        <v>134</v>
      </c>
      <c r="AG19" t="s">
        <v>134</v>
      </c>
      <c r="AH19" t="s">
        <v>134</v>
      </c>
      <c r="AI19" t="s">
        <v>134</v>
      </c>
      <c r="AJ19" t="s">
        <v>134</v>
      </c>
      <c r="AK19" t="s">
        <v>134</v>
      </c>
      <c r="AL19" t="s">
        <v>134</v>
      </c>
      <c r="AM19" t="s">
        <v>134</v>
      </c>
      <c r="AN19" t="s">
        <v>134</v>
      </c>
      <c r="AO19" t="s">
        <v>134</v>
      </c>
      <c r="AP19" t="s">
        <v>134</v>
      </c>
      <c r="AQ19" t="s">
        <v>134</v>
      </c>
      <c r="AR19" t="s">
        <v>134</v>
      </c>
      <c r="AS19" t="s">
        <v>134</v>
      </c>
      <c r="AT19" t="s">
        <v>134</v>
      </c>
      <c r="AU19" t="s">
        <v>134</v>
      </c>
      <c r="AV19" t="s">
        <v>134</v>
      </c>
      <c r="AW19" t="s">
        <v>134</v>
      </c>
      <c r="AX19" t="s">
        <v>134</v>
      </c>
      <c r="AY19" t="s">
        <v>134</v>
      </c>
      <c r="AZ19" t="s">
        <v>134</v>
      </c>
      <c r="BA19" t="s">
        <v>134</v>
      </c>
      <c r="BB19" t="s">
        <v>134</v>
      </c>
      <c r="BC19" t="s">
        <v>134</v>
      </c>
      <c r="BD19" t="s">
        <v>134</v>
      </c>
      <c r="BE19" t="s">
        <v>134</v>
      </c>
      <c r="BF19">
        <v>-10.396100000000001</v>
      </c>
      <c r="BG19">
        <v>-8.4779</v>
      </c>
      <c r="BH19">
        <v>-27.000699999999998</v>
      </c>
      <c r="BI19">
        <v>-6.7271000000000001</v>
      </c>
      <c r="BJ19">
        <v>-6.8139000000000003</v>
      </c>
      <c r="BK19">
        <v>0</v>
      </c>
      <c r="BL19" t="s">
        <v>134</v>
      </c>
      <c r="BM19" t="s">
        <v>134</v>
      </c>
      <c r="BN19" t="s">
        <v>134</v>
      </c>
      <c r="BO19" t="s">
        <v>134</v>
      </c>
      <c r="BP19" t="s">
        <v>134</v>
      </c>
      <c r="BQ19" t="s">
        <v>134</v>
      </c>
      <c r="BR19" t="s">
        <v>134</v>
      </c>
      <c r="BS19" t="s">
        <v>134</v>
      </c>
      <c r="BT19" t="s">
        <v>134</v>
      </c>
      <c r="BU19" t="s">
        <v>134</v>
      </c>
      <c r="BV19" t="s">
        <v>134</v>
      </c>
      <c r="BW19" t="s">
        <v>134</v>
      </c>
      <c r="BX19" t="s">
        <v>134</v>
      </c>
      <c r="BY19" t="s">
        <v>134</v>
      </c>
      <c r="BZ19" t="s">
        <v>134</v>
      </c>
      <c r="CA19" t="s">
        <v>134</v>
      </c>
      <c r="CB19" t="s">
        <v>134</v>
      </c>
      <c r="CC19" t="s">
        <v>134</v>
      </c>
      <c r="CD19" t="s">
        <v>134</v>
      </c>
      <c r="CE19" t="s">
        <v>134</v>
      </c>
      <c r="CF19">
        <v>1.4639</v>
      </c>
      <c r="CG19" t="s">
        <v>134</v>
      </c>
      <c r="CH19" t="s">
        <v>134</v>
      </c>
      <c r="CI19" t="s">
        <v>134</v>
      </c>
      <c r="CJ19" t="s">
        <v>134</v>
      </c>
      <c r="CK19" t="s">
        <v>134</v>
      </c>
      <c r="CL19" t="s">
        <v>134</v>
      </c>
      <c r="CM19" t="s">
        <v>134</v>
      </c>
      <c r="CN19" t="s">
        <v>134</v>
      </c>
      <c r="CO19" t="s">
        <v>134</v>
      </c>
      <c r="CP19">
        <v>20654.217000000001</v>
      </c>
      <c r="CQ19" t="s">
        <v>134</v>
      </c>
      <c r="CR19">
        <v>6495.4340000000002</v>
      </c>
      <c r="CS19" t="s">
        <v>134</v>
      </c>
      <c r="CT19" t="s">
        <v>134</v>
      </c>
      <c r="CU19" t="s">
        <v>134</v>
      </c>
      <c r="CV19" t="s">
        <v>134</v>
      </c>
      <c r="CW19" t="s">
        <v>134</v>
      </c>
      <c r="CX19" t="s">
        <v>134</v>
      </c>
      <c r="CY19" t="s">
        <v>134</v>
      </c>
      <c r="CZ19" t="s">
        <v>134</v>
      </c>
      <c r="DA19" t="s">
        <v>134</v>
      </c>
      <c r="DB19" t="s">
        <v>134</v>
      </c>
      <c r="DC19" t="s">
        <v>134</v>
      </c>
      <c r="DD19" t="s">
        <v>134</v>
      </c>
      <c r="DE19" t="s">
        <v>134</v>
      </c>
      <c r="DF19" t="s">
        <v>134</v>
      </c>
      <c r="DG19" t="s">
        <v>134</v>
      </c>
      <c r="DH19" t="s">
        <v>134</v>
      </c>
      <c r="DI19" t="s">
        <v>134</v>
      </c>
    </row>
    <row r="20" spans="1:113" x14ac:dyDescent="0.3">
      <c r="E20" t="s">
        <v>5</v>
      </c>
      <c r="F20">
        <v>23.736899999999999</v>
      </c>
      <c r="G20">
        <v>3.2787000000000002</v>
      </c>
      <c r="H20">
        <v>4.0056000000000003</v>
      </c>
      <c r="I20">
        <v>3.0613000000000001</v>
      </c>
      <c r="J20">
        <v>87.228999999999999</v>
      </c>
      <c r="K20">
        <v>63.059800000000003</v>
      </c>
      <c r="L20">
        <v>53.209200000000003</v>
      </c>
      <c r="M20">
        <v>36.705799999999996</v>
      </c>
      <c r="N20">
        <v>77.598600000000005</v>
      </c>
      <c r="O20">
        <v>27.265499999999999</v>
      </c>
      <c r="P20">
        <v>77.598600000000005</v>
      </c>
      <c r="Q20">
        <v>25.528300000000002</v>
      </c>
      <c r="R20">
        <v>55.487499999999997</v>
      </c>
      <c r="S20">
        <v>10.565899999999999</v>
      </c>
      <c r="T20">
        <v>26.437799999999999</v>
      </c>
      <c r="U20">
        <v>26.4878</v>
      </c>
      <c r="V20">
        <v>15.7096</v>
      </c>
      <c r="W20">
        <v>23.18</v>
      </c>
      <c r="X20">
        <v>9.0538000000000007</v>
      </c>
      <c r="Y20">
        <v>0</v>
      </c>
      <c r="Z20" t="s">
        <v>134</v>
      </c>
      <c r="AA20" t="s">
        <v>134</v>
      </c>
      <c r="AB20">
        <v>21.645900000000001</v>
      </c>
      <c r="AC20">
        <v>36.724299999999999</v>
      </c>
      <c r="AD20" t="s">
        <v>134</v>
      </c>
      <c r="AE20" t="s">
        <v>134</v>
      </c>
      <c r="AF20" t="s">
        <v>134</v>
      </c>
      <c r="AG20">
        <v>-9.4500000000000001E-2</v>
      </c>
      <c r="AH20">
        <v>46.029699999999998</v>
      </c>
      <c r="AI20">
        <v>10.6854</v>
      </c>
      <c r="AJ20">
        <v>39.256500000000003</v>
      </c>
      <c r="AK20">
        <v>9.9872999999999994</v>
      </c>
      <c r="AL20" t="s">
        <v>134</v>
      </c>
      <c r="AM20" t="s">
        <v>134</v>
      </c>
      <c r="AN20" t="s">
        <v>134</v>
      </c>
      <c r="AO20" t="s">
        <v>134</v>
      </c>
      <c r="AP20" t="s">
        <v>134</v>
      </c>
      <c r="AQ20" t="s">
        <v>134</v>
      </c>
      <c r="AR20" t="s">
        <v>134</v>
      </c>
      <c r="AS20" t="s">
        <v>134</v>
      </c>
      <c r="AT20" t="s">
        <v>134</v>
      </c>
      <c r="AU20" t="s">
        <v>134</v>
      </c>
      <c r="AV20" t="s">
        <v>134</v>
      </c>
      <c r="AW20" t="s">
        <v>134</v>
      </c>
      <c r="AX20" t="s">
        <v>134</v>
      </c>
      <c r="AY20" t="s">
        <v>134</v>
      </c>
      <c r="AZ20" t="s">
        <v>134</v>
      </c>
      <c r="BA20" t="s">
        <v>134</v>
      </c>
      <c r="BB20" t="s">
        <v>134</v>
      </c>
      <c r="BC20" t="s">
        <v>134</v>
      </c>
      <c r="BD20" t="s">
        <v>134</v>
      </c>
      <c r="BE20" t="s">
        <v>134</v>
      </c>
      <c r="BF20">
        <v>5.8103999999999996</v>
      </c>
      <c r="BG20">
        <v>5.9965000000000002</v>
      </c>
      <c r="BH20">
        <v>-14.386200000000001</v>
      </c>
      <c r="BI20">
        <v>8.6105</v>
      </c>
      <c r="BJ20">
        <v>8.4631000000000007</v>
      </c>
      <c r="BK20">
        <v>0</v>
      </c>
      <c r="BL20" t="s">
        <v>134</v>
      </c>
      <c r="BM20" t="s">
        <v>134</v>
      </c>
      <c r="BN20" t="s">
        <v>134</v>
      </c>
      <c r="BO20" t="s">
        <v>134</v>
      </c>
      <c r="BP20" t="s">
        <v>134</v>
      </c>
      <c r="BQ20" t="s">
        <v>134</v>
      </c>
      <c r="BR20" t="s">
        <v>134</v>
      </c>
      <c r="BS20" t="s">
        <v>134</v>
      </c>
      <c r="BT20" t="s">
        <v>134</v>
      </c>
      <c r="BU20" t="s">
        <v>134</v>
      </c>
      <c r="BV20" t="s">
        <v>134</v>
      </c>
      <c r="BW20" t="s">
        <v>134</v>
      </c>
      <c r="BX20" t="s">
        <v>134</v>
      </c>
      <c r="BY20">
        <v>638595.26100000006</v>
      </c>
      <c r="BZ20">
        <v>107829.10400000001</v>
      </c>
      <c r="CA20">
        <v>530766.15700000001</v>
      </c>
      <c r="CB20">
        <v>7.6797000000000004</v>
      </c>
      <c r="CC20">
        <v>7.359</v>
      </c>
      <c r="CD20">
        <v>23.932600000000001</v>
      </c>
      <c r="CE20">
        <v>22.9331</v>
      </c>
      <c r="CF20">
        <v>1.3448</v>
      </c>
      <c r="CG20">
        <v>12.5641</v>
      </c>
      <c r="CH20">
        <v>462.54790000000003</v>
      </c>
      <c r="CI20">
        <v>70.454700000000003</v>
      </c>
      <c r="CJ20">
        <v>58.115000000000002</v>
      </c>
      <c r="CK20">
        <v>556.51790000000005</v>
      </c>
      <c r="CL20">
        <v>84.768100000000004</v>
      </c>
      <c r="CM20">
        <v>69.921499999999995</v>
      </c>
      <c r="CN20">
        <v>533.27459999999996</v>
      </c>
      <c r="CO20">
        <v>84.209100000000007</v>
      </c>
      <c r="CP20">
        <v>21892.757000000001</v>
      </c>
      <c r="CQ20" t="s">
        <v>134</v>
      </c>
      <c r="CR20">
        <v>5560.9849999999997</v>
      </c>
      <c r="CS20" t="s">
        <v>134</v>
      </c>
      <c r="CT20" t="s">
        <v>134</v>
      </c>
      <c r="CU20" t="s">
        <v>134</v>
      </c>
      <c r="CV20" t="s">
        <v>134</v>
      </c>
      <c r="CW20" t="s">
        <v>134</v>
      </c>
      <c r="CX20" t="s">
        <v>134</v>
      </c>
      <c r="CY20" t="s">
        <v>134</v>
      </c>
      <c r="CZ20" t="s">
        <v>134</v>
      </c>
      <c r="DA20" t="s">
        <v>134</v>
      </c>
      <c r="DB20" t="s">
        <v>134</v>
      </c>
      <c r="DC20" t="s">
        <v>134</v>
      </c>
      <c r="DD20" t="s">
        <v>134</v>
      </c>
      <c r="DE20" t="s">
        <v>134</v>
      </c>
      <c r="DF20" t="s">
        <v>134</v>
      </c>
      <c r="DG20" t="s">
        <v>134</v>
      </c>
      <c r="DH20" t="s">
        <v>134</v>
      </c>
      <c r="DI20" t="s">
        <v>134</v>
      </c>
    </row>
    <row r="21" spans="1:113" x14ac:dyDescent="0.3">
      <c r="E21" t="s">
        <v>6</v>
      </c>
      <c r="F21" t="s">
        <v>134</v>
      </c>
      <c r="G21" t="s">
        <v>134</v>
      </c>
      <c r="H21" t="s">
        <v>134</v>
      </c>
      <c r="I21" t="s">
        <v>134</v>
      </c>
      <c r="J21">
        <v>86.088300000000004</v>
      </c>
      <c r="K21">
        <v>61.610700000000001</v>
      </c>
      <c r="L21">
        <v>13.7666</v>
      </c>
      <c r="M21">
        <v>38.894300000000001</v>
      </c>
      <c r="N21">
        <v>78.856999999999999</v>
      </c>
      <c r="O21">
        <v>29.061599999999999</v>
      </c>
      <c r="P21">
        <v>78.856999999999999</v>
      </c>
      <c r="Q21">
        <v>25.4053</v>
      </c>
      <c r="R21">
        <v>50.749000000000002</v>
      </c>
      <c r="S21" t="s">
        <v>134</v>
      </c>
      <c r="T21">
        <v>24.614699999999999</v>
      </c>
      <c r="U21">
        <v>23.407399999999999</v>
      </c>
      <c r="V21">
        <v>2.4908999999999999</v>
      </c>
      <c r="W21">
        <v>24.745000000000001</v>
      </c>
      <c r="X21">
        <v>24.345400000000001</v>
      </c>
      <c r="Y21">
        <v>0</v>
      </c>
      <c r="Z21" t="s">
        <v>134</v>
      </c>
      <c r="AA21" t="s">
        <v>134</v>
      </c>
      <c r="AB21" t="s">
        <v>134</v>
      </c>
      <c r="AC21" t="s">
        <v>134</v>
      </c>
      <c r="AD21" t="s">
        <v>134</v>
      </c>
      <c r="AE21" t="s">
        <v>134</v>
      </c>
      <c r="AF21" t="s">
        <v>134</v>
      </c>
      <c r="AG21" t="s">
        <v>134</v>
      </c>
      <c r="AH21" t="s">
        <v>134</v>
      </c>
      <c r="AI21" t="s">
        <v>134</v>
      </c>
      <c r="AJ21" t="s">
        <v>134</v>
      </c>
      <c r="AK21" t="s">
        <v>134</v>
      </c>
      <c r="AL21" t="s">
        <v>134</v>
      </c>
      <c r="AM21" t="s">
        <v>134</v>
      </c>
      <c r="AN21" t="s">
        <v>134</v>
      </c>
      <c r="AO21" t="s">
        <v>134</v>
      </c>
      <c r="AP21" t="s">
        <v>134</v>
      </c>
      <c r="AQ21" t="s">
        <v>134</v>
      </c>
      <c r="AR21" t="s">
        <v>134</v>
      </c>
      <c r="AS21" t="s">
        <v>134</v>
      </c>
      <c r="AT21" t="s">
        <v>134</v>
      </c>
      <c r="AU21" t="s">
        <v>134</v>
      </c>
      <c r="AV21" t="s">
        <v>134</v>
      </c>
      <c r="AW21" t="s">
        <v>134</v>
      </c>
      <c r="AX21" t="s">
        <v>134</v>
      </c>
      <c r="AY21" t="s">
        <v>134</v>
      </c>
      <c r="AZ21" t="s">
        <v>134</v>
      </c>
      <c r="BA21" t="s">
        <v>134</v>
      </c>
      <c r="BB21" t="s">
        <v>134</v>
      </c>
      <c r="BC21" t="s">
        <v>134</v>
      </c>
      <c r="BD21" t="s">
        <v>134</v>
      </c>
      <c r="BE21" t="s">
        <v>134</v>
      </c>
      <c r="BF21">
        <v>3.0303</v>
      </c>
      <c r="BG21">
        <v>1.6829000000000001</v>
      </c>
      <c r="BH21">
        <v>5.5815999999999999</v>
      </c>
      <c r="BI21">
        <v>9.8172999999999995</v>
      </c>
      <c r="BJ21">
        <v>9.6753999999999998</v>
      </c>
      <c r="BK21">
        <v>0</v>
      </c>
      <c r="BL21" t="s">
        <v>134</v>
      </c>
      <c r="BM21" t="s">
        <v>134</v>
      </c>
      <c r="BN21" t="s">
        <v>134</v>
      </c>
      <c r="BO21" t="s">
        <v>134</v>
      </c>
      <c r="BP21" t="s">
        <v>134</v>
      </c>
      <c r="BQ21" t="s">
        <v>134</v>
      </c>
      <c r="BR21" t="s">
        <v>134</v>
      </c>
      <c r="BS21" t="s">
        <v>134</v>
      </c>
      <c r="BT21" t="s">
        <v>134</v>
      </c>
      <c r="BU21" t="s">
        <v>134</v>
      </c>
      <c r="BV21" t="s">
        <v>134</v>
      </c>
      <c r="BW21" t="s">
        <v>134</v>
      </c>
      <c r="BX21" t="s">
        <v>134</v>
      </c>
      <c r="BY21" t="s">
        <v>134</v>
      </c>
      <c r="BZ21" t="s">
        <v>134</v>
      </c>
      <c r="CA21" t="s">
        <v>134</v>
      </c>
      <c r="CB21" t="s">
        <v>134</v>
      </c>
      <c r="CC21" t="s">
        <v>134</v>
      </c>
      <c r="CD21" t="s">
        <v>134</v>
      </c>
      <c r="CE21" t="s">
        <v>134</v>
      </c>
      <c r="CF21">
        <v>1.3633</v>
      </c>
      <c r="CG21" t="s">
        <v>134</v>
      </c>
      <c r="CH21" t="s">
        <v>134</v>
      </c>
      <c r="CI21" t="s">
        <v>134</v>
      </c>
      <c r="CJ21" t="s">
        <v>134</v>
      </c>
      <c r="CK21" t="s">
        <v>134</v>
      </c>
      <c r="CL21" t="s">
        <v>134</v>
      </c>
      <c r="CM21" t="s">
        <v>134</v>
      </c>
      <c r="CN21" t="s">
        <v>134</v>
      </c>
      <c r="CO21" t="s">
        <v>134</v>
      </c>
      <c r="CP21">
        <v>22261.192999999999</v>
      </c>
      <c r="CQ21" t="s">
        <v>134</v>
      </c>
      <c r="CR21">
        <v>5871.3770000000004</v>
      </c>
      <c r="CS21" t="s">
        <v>134</v>
      </c>
      <c r="CT21" t="s">
        <v>134</v>
      </c>
      <c r="CU21" t="s">
        <v>134</v>
      </c>
      <c r="CV21" t="s">
        <v>134</v>
      </c>
      <c r="CW21" t="s">
        <v>134</v>
      </c>
      <c r="CX21" t="s">
        <v>134</v>
      </c>
      <c r="CY21" t="s">
        <v>134</v>
      </c>
      <c r="CZ21" t="s">
        <v>134</v>
      </c>
      <c r="DA21" t="s">
        <v>134</v>
      </c>
      <c r="DB21" t="s">
        <v>134</v>
      </c>
      <c r="DC21" t="s">
        <v>134</v>
      </c>
      <c r="DD21" t="s">
        <v>134</v>
      </c>
      <c r="DE21" t="s">
        <v>134</v>
      </c>
      <c r="DF21" t="s">
        <v>134</v>
      </c>
      <c r="DG21" t="s">
        <v>134</v>
      </c>
      <c r="DH21" t="s">
        <v>134</v>
      </c>
      <c r="DI21" t="s">
        <v>134</v>
      </c>
    </row>
    <row r="22" spans="1:113" x14ac:dyDescent="0.3">
      <c r="E22" t="s">
        <v>7</v>
      </c>
      <c r="F22">
        <v>25.476400000000002</v>
      </c>
      <c r="G22">
        <v>3.2397</v>
      </c>
      <c r="H22">
        <v>3.3725999999999998</v>
      </c>
      <c r="I22">
        <v>2.5022000000000002</v>
      </c>
      <c r="J22">
        <v>84.209699999999998</v>
      </c>
      <c r="K22">
        <v>65.272000000000006</v>
      </c>
      <c r="L22">
        <v>39.952199999999998</v>
      </c>
      <c r="M22">
        <v>30.072199999999999</v>
      </c>
      <c r="N22">
        <v>56.572499999999998</v>
      </c>
      <c r="O22">
        <v>26.0642</v>
      </c>
      <c r="P22">
        <v>56.572499999999998</v>
      </c>
      <c r="Q22">
        <v>13.658899999999999</v>
      </c>
      <c r="R22">
        <v>45.384300000000003</v>
      </c>
      <c r="S22">
        <v>13.914099999999999</v>
      </c>
      <c r="T22">
        <v>21.822299999999998</v>
      </c>
      <c r="U22">
        <v>20.334600000000002</v>
      </c>
      <c r="V22">
        <v>8.9899000000000004</v>
      </c>
      <c r="W22">
        <v>24.4312</v>
      </c>
      <c r="X22">
        <v>23.848600000000001</v>
      </c>
      <c r="Y22">
        <v>0</v>
      </c>
      <c r="Z22" t="s">
        <v>134</v>
      </c>
      <c r="AA22" t="s">
        <v>134</v>
      </c>
      <c r="AB22">
        <v>35.7607</v>
      </c>
      <c r="AC22">
        <v>36.959600000000002</v>
      </c>
      <c r="AD22" t="s">
        <v>134</v>
      </c>
      <c r="AE22" t="s">
        <v>134</v>
      </c>
      <c r="AF22" t="s">
        <v>134</v>
      </c>
      <c r="AG22">
        <v>21.890699999999999</v>
      </c>
      <c r="AH22">
        <v>39.196599999999997</v>
      </c>
      <c r="AI22">
        <v>13.358499999999999</v>
      </c>
      <c r="AJ22">
        <v>35.422400000000003</v>
      </c>
      <c r="AK22">
        <v>12.672700000000001</v>
      </c>
      <c r="AL22" t="s">
        <v>134</v>
      </c>
      <c r="AM22" t="s">
        <v>134</v>
      </c>
      <c r="AN22" t="s">
        <v>134</v>
      </c>
      <c r="AO22" t="s">
        <v>134</v>
      </c>
      <c r="AP22" t="s">
        <v>134</v>
      </c>
      <c r="AQ22" t="s">
        <v>134</v>
      </c>
      <c r="AR22" t="s">
        <v>134</v>
      </c>
      <c r="AS22" t="s">
        <v>134</v>
      </c>
      <c r="AT22" t="s">
        <v>134</v>
      </c>
      <c r="AU22" t="s">
        <v>134</v>
      </c>
      <c r="AV22" t="s">
        <v>134</v>
      </c>
      <c r="AW22" t="s">
        <v>134</v>
      </c>
      <c r="AX22" t="s">
        <v>134</v>
      </c>
      <c r="AY22" t="s">
        <v>134</v>
      </c>
      <c r="AZ22" t="s">
        <v>134</v>
      </c>
      <c r="BA22" t="s">
        <v>134</v>
      </c>
      <c r="BB22" t="s">
        <v>134</v>
      </c>
      <c r="BC22" t="s">
        <v>134</v>
      </c>
      <c r="BD22" t="s">
        <v>134</v>
      </c>
      <c r="BE22" t="s">
        <v>134</v>
      </c>
      <c r="BF22">
        <v>24.711500000000001</v>
      </c>
      <c r="BG22">
        <v>21.990099999999998</v>
      </c>
      <c r="BH22">
        <v>65.171800000000005</v>
      </c>
      <c r="BI22">
        <v>11.848700000000001</v>
      </c>
      <c r="BJ22">
        <v>11.724500000000001</v>
      </c>
      <c r="BK22">
        <v>0</v>
      </c>
      <c r="BL22" t="s">
        <v>134</v>
      </c>
      <c r="BM22" t="s">
        <v>134</v>
      </c>
      <c r="BN22" t="s">
        <v>134</v>
      </c>
      <c r="BO22" t="s">
        <v>134</v>
      </c>
      <c r="BP22" t="s">
        <v>134</v>
      </c>
      <c r="BQ22" t="s">
        <v>134</v>
      </c>
      <c r="BR22" t="s">
        <v>134</v>
      </c>
      <c r="BS22" t="s">
        <v>134</v>
      </c>
      <c r="BT22" t="s">
        <v>134</v>
      </c>
      <c r="BU22" t="s">
        <v>134</v>
      </c>
      <c r="BV22" t="s">
        <v>134</v>
      </c>
      <c r="BW22" t="s">
        <v>134</v>
      </c>
      <c r="BX22" t="s">
        <v>134</v>
      </c>
      <c r="BY22">
        <v>870197.02300000004</v>
      </c>
      <c r="BZ22">
        <v>329036.85029999999</v>
      </c>
      <c r="CA22">
        <v>541160.1727</v>
      </c>
      <c r="CB22">
        <v>9.4623000000000008</v>
      </c>
      <c r="CC22">
        <v>8.8444000000000003</v>
      </c>
      <c r="CD22">
        <v>31.499600000000001</v>
      </c>
      <c r="CE22">
        <v>29.442599999999999</v>
      </c>
      <c r="CF22">
        <v>1.5615000000000001</v>
      </c>
      <c r="CG22">
        <v>11.689299999999999</v>
      </c>
      <c r="CH22">
        <v>446.41079999999999</v>
      </c>
      <c r="CI22">
        <v>54.584299999999999</v>
      </c>
      <c r="CJ22">
        <v>52.182499999999997</v>
      </c>
      <c r="CK22">
        <v>717.83799999999997</v>
      </c>
      <c r="CL22">
        <v>87.772599999999997</v>
      </c>
      <c r="CM22">
        <v>83.910499999999999</v>
      </c>
      <c r="CN22">
        <v>670.96199999999999</v>
      </c>
      <c r="CO22">
        <v>87.029200000000003</v>
      </c>
      <c r="CP22">
        <v>27156.462</v>
      </c>
      <c r="CQ22" t="s">
        <v>134</v>
      </c>
      <c r="CR22">
        <v>9697.8590000000004</v>
      </c>
      <c r="CS22" t="s">
        <v>134</v>
      </c>
      <c r="CT22" t="s">
        <v>134</v>
      </c>
      <c r="CU22" t="s">
        <v>134</v>
      </c>
      <c r="CV22" t="s">
        <v>134</v>
      </c>
      <c r="CW22" t="s">
        <v>134</v>
      </c>
      <c r="CX22" t="s">
        <v>134</v>
      </c>
      <c r="CY22" t="s">
        <v>134</v>
      </c>
      <c r="CZ22" t="s">
        <v>134</v>
      </c>
      <c r="DA22" t="s">
        <v>134</v>
      </c>
      <c r="DB22" t="s">
        <v>134</v>
      </c>
      <c r="DC22" t="s">
        <v>134</v>
      </c>
      <c r="DD22" t="s">
        <v>134</v>
      </c>
      <c r="DE22" t="s">
        <v>134</v>
      </c>
      <c r="DF22" t="s">
        <v>134</v>
      </c>
      <c r="DG22" t="s">
        <v>134</v>
      </c>
      <c r="DH22" t="s">
        <v>134</v>
      </c>
      <c r="DI22" t="s">
        <v>134</v>
      </c>
    </row>
    <row r="23" spans="1:113" x14ac:dyDescent="0.3">
      <c r="D23" t="s">
        <v>11</v>
      </c>
      <c r="E23" t="s">
        <v>3</v>
      </c>
      <c r="F23">
        <v>30.121200000000002</v>
      </c>
      <c r="G23">
        <v>3.2659000000000002</v>
      </c>
      <c r="H23">
        <v>3.4028999999999998</v>
      </c>
      <c r="I23">
        <v>3.3996</v>
      </c>
      <c r="J23">
        <v>83.938299999999998</v>
      </c>
      <c r="K23">
        <v>67.565100000000001</v>
      </c>
      <c r="L23">
        <v>60.791699999999999</v>
      </c>
      <c r="M23">
        <v>33.985199999999999</v>
      </c>
      <c r="N23">
        <v>52.244999999999997</v>
      </c>
      <c r="O23">
        <v>26.279199999999999</v>
      </c>
      <c r="P23">
        <v>52.244999999999997</v>
      </c>
      <c r="Q23">
        <v>23.1142</v>
      </c>
      <c r="R23">
        <v>45.4542</v>
      </c>
      <c r="S23">
        <v>16.4298</v>
      </c>
      <c r="T23">
        <v>25.1129</v>
      </c>
      <c r="U23">
        <v>21.519400000000001</v>
      </c>
      <c r="V23">
        <v>31.9148</v>
      </c>
      <c r="W23">
        <v>32.376399999999997</v>
      </c>
      <c r="X23">
        <v>31.5534</v>
      </c>
      <c r="Y23">
        <v>51.851900000000001</v>
      </c>
      <c r="Z23" t="s">
        <v>134</v>
      </c>
      <c r="AA23" t="s">
        <v>134</v>
      </c>
      <c r="AB23">
        <v>10.2263</v>
      </c>
      <c r="AC23">
        <v>27.189900000000002</v>
      </c>
      <c r="AD23" t="s">
        <v>134</v>
      </c>
      <c r="AE23" t="s">
        <v>134</v>
      </c>
      <c r="AF23" t="s">
        <v>134</v>
      </c>
      <c r="AG23">
        <v>35.095399999999998</v>
      </c>
      <c r="AH23">
        <v>30.4937</v>
      </c>
      <c r="AI23">
        <v>10.7326</v>
      </c>
      <c r="AJ23">
        <v>28.077500000000001</v>
      </c>
      <c r="AK23">
        <v>10.036899999999999</v>
      </c>
      <c r="AL23">
        <v>-32.396700000000003</v>
      </c>
      <c r="AM23">
        <v>25.101400000000002</v>
      </c>
      <c r="AN23">
        <v>23.6312</v>
      </c>
      <c r="AO23">
        <v>24.623999999999999</v>
      </c>
      <c r="AP23">
        <v>25.045000000000002</v>
      </c>
      <c r="AQ23">
        <v>18.091200000000001</v>
      </c>
      <c r="AR23">
        <v>15.438499999999999</v>
      </c>
      <c r="AS23">
        <v>69.062299999999993</v>
      </c>
      <c r="AT23" t="s">
        <v>134</v>
      </c>
      <c r="AU23">
        <v>17.478400000000001</v>
      </c>
      <c r="AV23">
        <v>27.504000000000001</v>
      </c>
      <c r="AW23" t="s">
        <v>134</v>
      </c>
      <c r="AX23" t="s">
        <v>134</v>
      </c>
      <c r="AY23" t="s">
        <v>134</v>
      </c>
      <c r="AZ23">
        <v>46.527299999999997</v>
      </c>
      <c r="BA23">
        <v>35.549199999999999</v>
      </c>
      <c r="BB23">
        <v>20.308299999999999</v>
      </c>
      <c r="BC23">
        <v>33.325699999999998</v>
      </c>
      <c r="BD23">
        <v>13.677099999999999</v>
      </c>
      <c r="BE23" t="s">
        <v>134</v>
      </c>
      <c r="BF23">
        <v>25.1129</v>
      </c>
      <c r="BG23">
        <v>21.519400000000001</v>
      </c>
      <c r="BH23">
        <v>31.9148</v>
      </c>
      <c r="BI23">
        <v>32.376399999999997</v>
      </c>
      <c r="BJ23">
        <v>31.5534</v>
      </c>
      <c r="BK23">
        <v>51.851900000000001</v>
      </c>
      <c r="BL23">
        <v>113.9836</v>
      </c>
      <c r="BM23" t="s">
        <v>134</v>
      </c>
      <c r="BN23">
        <v>10.2263</v>
      </c>
      <c r="BO23">
        <v>27.189900000000002</v>
      </c>
      <c r="BP23" t="s">
        <v>134</v>
      </c>
      <c r="BQ23" t="s">
        <v>134</v>
      </c>
      <c r="BR23" t="s">
        <v>134</v>
      </c>
      <c r="BS23">
        <v>35.095399999999998</v>
      </c>
      <c r="BT23">
        <v>30.4937</v>
      </c>
      <c r="BU23">
        <v>10.7326</v>
      </c>
      <c r="BV23">
        <v>28.077500000000001</v>
      </c>
      <c r="BW23">
        <v>10.036899999999999</v>
      </c>
      <c r="BX23" t="s">
        <v>134</v>
      </c>
      <c r="BY23">
        <v>1135552.4066999999</v>
      </c>
      <c r="BZ23">
        <v>444513.69579999999</v>
      </c>
      <c r="CA23">
        <v>691038.71089999995</v>
      </c>
      <c r="CB23">
        <v>9.2405000000000008</v>
      </c>
      <c r="CC23">
        <v>8.8541000000000007</v>
      </c>
      <c r="CD23">
        <v>22.822600000000001</v>
      </c>
      <c r="CE23">
        <v>21.868300000000001</v>
      </c>
      <c r="CF23">
        <v>1.6888999999999998</v>
      </c>
      <c r="CG23">
        <v>10.1768</v>
      </c>
      <c r="CH23">
        <v>514.79669999999999</v>
      </c>
      <c r="CI23">
        <v>54.421599999999998</v>
      </c>
      <c r="CJ23">
        <v>52.39</v>
      </c>
      <c r="CK23">
        <v>845.94190000000003</v>
      </c>
      <c r="CL23">
        <v>89.4285</v>
      </c>
      <c r="CM23">
        <v>86.090100000000007</v>
      </c>
      <c r="CN23">
        <v>810.57259999999997</v>
      </c>
      <c r="CO23">
        <v>89.017899999999997</v>
      </c>
      <c r="CP23">
        <v>122888.9354</v>
      </c>
      <c r="CQ23">
        <v>122427.24460000001</v>
      </c>
      <c r="CR23">
        <v>49755.688900000001</v>
      </c>
      <c r="CS23" t="s">
        <v>134</v>
      </c>
      <c r="CT23" t="s">
        <v>134</v>
      </c>
      <c r="CU23" t="s">
        <v>134</v>
      </c>
      <c r="CV23" t="s">
        <v>134</v>
      </c>
      <c r="CW23" t="s">
        <v>134</v>
      </c>
      <c r="CX23" t="s">
        <v>134</v>
      </c>
      <c r="CY23" t="s">
        <v>134</v>
      </c>
      <c r="CZ23" t="s">
        <v>134</v>
      </c>
      <c r="DA23" t="s">
        <v>134</v>
      </c>
      <c r="DB23" t="s">
        <v>134</v>
      </c>
      <c r="DC23" t="s">
        <v>134</v>
      </c>
      <c r="DD23" t="s">
        <v>134</v>
      </c>
      <c r="DE23" t="s">
        <v>134</v>
      </c>
      <c r="DF23" t="s">
        <v>134</v>
      </c>
      <c r="DG23" t="s">
        <v>134</v>
      </c>
      <c r="DH23" t="s">
        <v>134</v>
      </c>
      <c r="DI23" t="s">
        <v>134</v>
      </c>
    </row>
    <row r="24" spans="1:113" x14ac:dyDescent="0.3">
      <c r="E24" t="s">
        <v>4</v>
      </c>
      <c r="F24" t="s">
        <v>134</v>
      </c>
      <c r="G24" t="s">
        <v>134</v>
      </c>
      <c r="H24" t="s">
        <v>134</v>
      </c>
      <c r="I24" t="s">
        <v>134</v>
      </c>
      <c r="J24">
        <v>88.051199999999994</v>
      </c>
      <c r="K24">
        <v>72.961500000000001</v>
      </c>
      <c r="L24">
        <v>83.478200000000001</v>
      </c>
      <c r="M24">
        <v>32.867699999999999</v>
      </c>
      <c r="N24">
        <v>54.255000000000003</v>
      </c>
      <c r="O24">
        <v>24.440799999999999</v>
      </c>
      <c r="P24">
        <v>54.255000000000003</v>
      </c>
      <c r="Q24">
        <v>26.0731</v>
      </c>
      <c r="R24">
        <v>48.452500000000001</v>
      </c>
      <c r="S24" t="s">
        <v>134</v>
      </c>
      <c r="T24">
        <v>35.963200000000001</v>
      </c>
      <c r="U24">
        <v>37.486199999999997</v>
      </c>
      <c r="V24">
        <v>63.190300000000001</v>
      </c>
      <c r="W24">
        <v>25.102799999999998</v>
      </c>
      <c r="X24">
        <v>24.373699999999999</v>
      </c>
      <c r="Y24">
        <v>0</v>
      </c>
      <c r="Z24" t="s">
        <v>134</v>
      </c>
      <c r="AA24" t="s">
        <v>134</v>
      </c>
      <c r="AB24" t="s">
        <v>134</v>
      </c>
      <c r="AC24" t="s">
        <v>134</v>
      </c>
      <c r="AD24" t="s">
        <v>134</v>
      </c>
      <c r="AE24" t="s">
        <v>134</v>
      </c>
      <c r="AF24" t="s">
        <v>134</v>
      </c>
      <c r="AG24" t="s">
        <v>134</v>
      </c>
      <c r="AH24" t="s">
        <v>134</v>
      </c>
      <c r="AI24" t="s">
        <v>134</v>
      </c>
      <c r="AJ24" t="s">
        <v>134</v>
      </c>
      <c r="AK24" t="s">
        <v>134</v>
      </c>
      <c r="AL24" t="s">
        <v>134</v>
      </c>
      <c r="AM24" t="s">
        <v>134</v>
      </c>
      <c r="AN24" t="s">
        <v>134</v>
      </c>
      <c r="AO24" t="s">
        <v>134</v>
      </c>
      <c r="AP24" t="s">
        <v>134</v>
      </c>
      <c r="AQ24" t="s">
        <v>134</v>
      </c>
      <c r="AR24" t="s">
        <v>134</v>
      </c>
      <c r="AS24" t="s">
        <v>134</v>
      </c>
      <c r="AT24" t="s">
        <v>134</v>
      </c>
      <c r="AU24" t="s">
        <v>134</v>
      </c>
      <c r="AV24" t="s">
        <v>134</v>
      </c>
      <c r="AW24" t="s">
        <v>134</v>
      </c>
      <c r="AX24" t="s">
        <v>134</v>
      </c>
      <c r="AY24" t="s">
        <v>134</v>
      </c>
      <c r="AZ24" t="s">
        <v>134</v>
      </c>
      <c r="BA24" t="s">
        <v>134</v>
      </c>
      <c r="BB24" t="s">
        <v>134</v>
      </c>
      <c r="BC24" t="s">
        <v>134</v>
      </c>
      <c r="BD24" t="s">
        <v>134</v>
      </c>
      <c r="BE24" t="s">
        <v>134</v>
      </c>
      <c r="BF24">
        <v>5.0000000000000001E-3</v>
      </c>
      <c r="BG24">
        <v>4.5670000000000002</v>
      </c>
      <c r="BH24">
        <v>9.3016000000000005</v>
      </c>
      <c r="BI24">
        <v>-6.2236000000000002</v>
      </c>
      <c r="BJ24">
        <v>-6.4187000000000003</v>
      </c>
      <c r="BK24">
        <v>0</v>
      </c>
      <c r="BL24" t="s">
        <v>134</v>
      </c>
      <c r="BM24" t="s">
        <v>134</v>
      </c>
      <c r="BN24" t="s">
        <v>134</v>
      </c>
      <c r="BO24" t="s">
        <v>134</v>
      </c>
      <c r="BP24" t="s">
        <v>134</v>
      </c>
      <c r="BQ24" t="s">
        <v>134</v>
      </c>
      <c r="BR24" t="s">
        <v>134</v>
      </c>
      <c r="BS24" t="s">
        <v>134</v>
      </c>
      <c r="BT24" t="s">
        <v>134</v>
      </c>
      <c r="BU24" t="s">
        <v>134</v>
      </c>
      <c r="BV24" t="s">
        <v>134</v>
      </c>
      <c r="BW24" t="s">
        <v>134</v>
      </c>
      <c r="BX24" t="s">
        <v>134</v>
      </c>
      <c r="BY24" t="s">
        <v>134</v>
      </c>
      <c r="BZ24" t="s">
        <v>134</v>
      </c>
      <c r="CA24" t="s">
        <v>134</v>
      </c>
      <c r="CB24" t="s">
        <v>134</v>
      </c>
      <c r="CC24" t="s">
        <v>134</v>
      </c>
      <c r="CD24" t="s">
        <v>134</v>
      </c>
      <c r="CE24" t="s">
        <v>134</v>
      </c>
      <c r="CF24">
        <v>1.6023000000000001</v>
      </c>
      <c r="CG24" t="s">
        <v>134</v>
      </c>
      <c r="CH24" t="s">
        <v>134</v>
      </c>
      <c r="CI24" t="s">
        <v>134</v>
      </c>
      <c r="CJ24" t="s">
        <v>134</v>
      </c>
      <c r="CK24" t="s">
        <v>134</v>
      </c>
      <c r="CL24" t="s">
        <v>134</v>
      </c>
      <c r="CM24" t="s">
        <v>134</v>
      </c>
      <c r="CN24" t="s">
        <v>134</v>
      </c>
      <c r="CO24" t="s">
        <v>134</v>
      </c>
      <c r="CP24">
        <v>28396.704000000002</v>
      </c>
      <c r="CQ24" t="s">
        <v>134</v>
      </c>
      <c r="CR24">
        <v>10599.915000000001</v>
      </c>
      <c r="CS24" t="s">
        <v>134</v>
      </c>
      <c r="CT24" t="s">
        <v>134</v>
      </c>
      <c r="CU24" t="s">
        <v>134</v>
      </c>
      <c r="CV24" t="s">
        <v>134</v>
      </c>
      <c r="CW24" t="s">
        <v>134</v>
      </c>
      <c r="CX24" t="s">
        <v>134</v>
      </c>
      <c r="CY24" t="s">
        <v>134</v>
      </c>
      <c r="CZ24" t="s">
        <v>134</v>
      </c>
      <c r="DA24" t="s">
        <v>134</v>
      </c>
      <c r="DB24" t="s">
        <v>134</v>
      </c>
      <c r="DC24" t="s">
        <v>134</v>
      </c>
      <c r="DD24" t="s">
        <v>134</v>
      </c>
      <c r="DE24" t="s">
        <v>134</v>
      </c>
      <c r="DF24" t="s">
        <v>134</v>
      </c>
      <c r="DG24" t="s">
        <v>134</v>
      </c>
      <c r="DH24" t="s">
        <v>134</v>
      </c>
      <c r="DI24" t="s">
        <v>134</v>
      </c>
    </row>
    <row r="25" spans="1:113" x14ac:dyDescent="0.3">
      <c r="E25" t="s">
        <v>5</v>
      </c>
      <c r="F25">
        <v>27.2288</v>
      </c>
      <c r="G25">
        <v>3.1509999999999998</v>
      </c>
      <c r="H25">
        <v>3.9111000000000002</v>
      </c>
      <c r="I25">
        <v>3.5318000000000001</v>
      </c>
      <c r="J25">
        <v>88.462000000000003</v>
      </c>
      <c r="K25">
        <v>73.889300000000006</v>
      </c>
      <c r="L25">
        <v>89.165999999999997</v>
      </c>
      <c r="M25">
        <v>33.313800000000001</v>
      </c>
      <c r="N25">
        <v>57.137599999999999</v>
      </c>
      <c r="O25">
        <v>25.761099999999999</v>
      </c>
      <c r="P25">
        <v>57.137599999999999</v>
      </c>
      <c r="Q25">
        <v>23.488800000000001</v>
      </c>
      <c r="R25">
        <v>44.357199999999999</v>
      </c>
      <c r="S25">
        <v>15.1509</v>
      </c>
      <c r="T25">
        <v>33.177300000000002</v>
      </c>
      <c r="U25">
        <v>35.059800000000003</v>
      </c>
      <c r="V25">
        <v>100.2359</v>
      </c>
      <c r="W25">
        <v>25.8291</v>
      </c>
      <c r="X25">
        <v>25.031199999999998</v>
      </c>
      <c r="Y25">
        <v>0</v>
      </c>
      <c r="Z25" t="s">
        <v>134</v>
      </c>
      <c r="AA25" t="s">
        <v>134</v>
      </c>
      <c r="AB25">
        <v>36.762500000000003</v>
      </c>
      <c r="AC25">
        <v>26.740500000000001</v>
      </c>
      <c r="AD25" t="s">
        <v>134</v>
      </c>
      <c r="AE25" t="s">
        <v>134</v>
      </c>
      <c r="AF25" t="s">
        <v>134</v>
      </c>
      <c r="AG25">
        <v>102.28530000000001</v>
      </c>
      <c r="AH25">
        <v>23.729700000000001</v>
      </c>
      <c r="AI25">
        <v>8.8406000000000002</v>
      </c>
      <c r="AJ25">
        <v>21.4619</v>
      </c>
      <c r="AK25">
        <v>8.2033000000000005</v>
      </c>
      <c r="AL25" t="s">
        <v>134</v>
      </c>
      <c r="AM25" t="s">
        <v>134</v>
      </c>
      <c r="AN25" t="s">
        <v>134</v>
      </c>
      <c r="AO25" t="s">
        <v>134</v>
      </c>
      <c r="AP25" t="s">
        <v>134</v>
      </c>
      <c r="AQ25" t="s">
        <v>134</v>
      </c>
      <c r="AR25" t="s">
        <v>134</v>
      </c>
      <c r="AS25" t="s">
        <v>134</v>
      </c>
      <c r="AT25" t="s">
        <v>134</v>
      </c>
      <c r="AU25" t="s">
        <v>134</v>
      </c>
      <c r="AV25" t="s">
        <v>134</v>
      </c>
      <c r="AW25" t="s">
        <v>134</v>
      </c>
      <c r="AX25" t="s">
        <v>134</v>
      </c>
      <c r="AY25" t="s">
        <v>134</v>
      </c>
      <c r="AZ25" t="s">
        <v>134</v>
      </c>
      <c r="BA25" t="s">
        <v>134</v>
      </c>
      <c r="BB25" t="s">
        <v>134</v>
      </c>
      <c r="BC25" t="s">
        <v>134</v>
      </c>
      <c r="BD25" t="s">
        <v>134</v>
      </c>
      <c r="BE25" t="s">
        <v>134</v>
      </c>
      <c r="BF25">
        <v>1.6497000000000002</v>
      </c>
      <c r="BG25">
        <v>1.6036999999999999</v>
      </c>
      <c r="BH25">
        <v>4.8560999999999996</v>
      </c>
      <c r="BI25">
        <v>6.3708</v>
      </c>
      <c r="BJ25">
        <v>6.2035999999999998</v>
      </c>
      <c r="BK25">
        <v>0</v>
      </c>
      <c r="BL25" t="s">
        <v>134</v>
      </c>
      <c r="BM25" t="s">
        <v>134</v>
      </c>
      <c r="BN25" t="s">
        <v>134</v>
      </c>
      <c r="BO25" t="s">
        <v>134</v>
      </c>
      <c r="BP25" t="s">
        <v>134</v>
      </c>
      <c r="BQ25" t="s">
        <v>134</v>
      </c>
      <c r="BR25" t="s">
        <v>134</v>
      </c>
      <c r="BS25" t="s">
        <v>134</v>
      </c>
      <c r="BT25" t="s">
        <v>134</v>
      </c>
      <c r="BU25" t="s">
        <v>134</v>
      </c>
      <c r="BV25" t="s">
        <v>134</v>
      </c>
      <c r="BW25" t="s">
        <v>134</v>
      </c>
      <c r="BX25" t="s">
        <v>134</v>
      </c>
      <c r="BY25">
        <v>790132.31499999994</v>
      </c>
      <c r="BZ25">
        <v>218122.45</v>
      </c>
      <c r="CA25">
        <v>572009.86499999999</v>
      </c>
      <c r="CB25">
        <v>7.3101000000000003</v>
      </c>
      <c r="CC25">
        <v>7.0972999999999997</v>
      </c>
      <c r="CD25">
        <v>21.169699999999999</v>
      </c>
      <c r="CE25">
        <v>20.5534</v>
      </c>
      <c r="CF25">
        <v>1.6109</v>
      </c>
      <c r="CG25">
        <v>10.7896</v>
      </c>
      <c r="CH25">
        <v>458.00049999999999</v>
      </c>
      <c r="CI25">
        <v>62.512999999999998</v>
      </c>
      <c r="CJ25">
        <v>49.416600000000003</v>
      </c>
      <c r="CK25">
        <v>632.6481</v>
      </c>
      <c r="CL25">
        <v>86.350899999999996</v>
      </c>
      <c r="CM25">
        <v>68.260499999999993</v>
      </c>
      <c r="CN25">
        <v>614.23149999999998</v>
      </c>
      <c r="CO25">
        <v>85.998900000000006</v>
      </c>
      <c r="CP25">
        <v>29568.304</v>
      </c>
      <c r="CQ25" t="s">
        <v>134</v>
      </c>
      <c r="CR25">
        <v>11135.085999999999</v>
      </c>
      <c r="CS25" t="s">
        <v>134</v>
      </c>
      <c r="CT25" t="s">
        <v>134</v>
      </c>
      <c r="CU25" t="s">
        <v>134</v>
      </c>
      <c r="CV25" t="s">
        <v>134</v>
      </c>
      <c r="CW25" t="s">
        <v>134</v>
      </c>
      <c r="CX25" t="s">
        <v>134</v>
      </c>
      <c r="CY25" t="s">
        <v>134</v>
      </c>
      <c r="CZ25" t="s">
        <v>134</v>
      </c>
      <c r="DA25" t="s">
        <v>134</v>
      </c>
      <c r="DB25" t="s">
        <v>134</v>
      </c>
      <c r="DC25" t="s">
        <v>134</v>
      </c>
      <c r="DD25" t="s">
        <v>134</v>
      </c>
      <c r="DE25" t="s">
        <v>134</v>
      </c>
      <c r="DF25" t="s">
        <v>134</v>
      </c>
      <c r="DG25" t="s">
        <v>134</v>
      </c>
      <c r="DH25" t="s">
        <v>134</v>
      </c>
      <c r="DI25" t="s">
        <v>134</v>
      </c>
    </row>
    <row r="26" spans="1:113" x14ac:dyDescent="0.3">
      <c r="E26" t="s">
        <v>6</v>
      </c>
      <c r="F26" t="s">
        <v>134</v>
      </c>
      <c r="G26" t="s">
        <v>134</v>
      </c>
      <c r="H26" t="s">
        <v>134</v>
      </c>
      <c r="I26" t="s">
        <v>134</v>
      </c>
      <c r="J26">
        <v>82.529700000000005</v>
      </c>
      <c r="K26">
        <v>57.510800000000003</v>
      </c>
      <c r="L26">
        <v>48.692300000000003</v>
      </c>
      <c r="M26">
        <v>46.5595</v>
      </c>
      <c r="N26">
        <v>83.646799999999999</v>
      </c>
      <c r="O26">
        <v>34.866399999999999</v>
      </c>
      <c r="P26">
        <v>83.646799999999999</v>
      </c>
      <c r="Q26">
        <v>25.26</v>
      </c>
      <c r="R26">
        <v>32.827599999999997</v>
      </c>
      <c r="S26" t="s">
        <v>134</v>
      </c>
      <c r="T26">
        <v>29.518799999999999</v>
      </c>
      <c r="U26">
        <v>24.164999999999999</v>
      </c>
      <c r="V26">
        <v>36.742899999999999</v>
      </c>
      <c r="W26">
        <v>55.389000000000003</v>
      </c>
      <c r="X26">
        <v>54.410899999999998</v>
      </c>
      <c r="Y26">
        <v>0</v>
      </c>
      <c r="Z26" t="s">
        <v>134</v>
      </c>
      <c r="AA26" t="s">
        <v>134</v>
      </c>
      <c r="AB26" t="s">
        <v>134</v>
      </c>
      <c r="AC26" t="s">
        <v>134</v>
      </c>
      <c r="AD26" t="s">
        <v>134</v>
      </c>
      <c r="AE26" t="s">
        <v>134</v>
      </c>
      <c r="AF26" t="s">
        <v>134</v>
      </c>
      <c r="AG26" t="s">
        <v>134</v>
      </c>
      <c r="AH26" t="s">
        <v>134</v>
      </c>
      <c r="AI26" t="s">
        <v>134</v>
      </c>
      <c r="AJ26" t="s">
        <v>134</v>
      </c>
      <c r="AK26" t="s">
        <v>134</v>
      </c>
      <c r="AL26" t="s">
        <v>134</v>
      </c>
      <c r="AM26" t="s">
        <v>134</v>
      </c>
      <c r="AN26" t="s">
        <v>134</v>
      </c>
      <c r="AO26" t="s">
        <v>134</v>
      </c>
      <c r="AP26" t="s">
        <v>134</v>
      </c>
      <c r="AQ26" t="s">
        <v>134</v>
      </c>
      <c r="AR26" t="s">
        <v>134</v>
      </c>
      <c r="AS26" t="s">
        <v>134</v>
      </c>
      <c r="AT26" t="s">
        <v>134</v>
      </c>
      <c r="AU26" t="s">
        <v>134</v>
      </c>
      <c r="AV26" t="s">
        <v>134</v>
      </c>
      <c r="AW26" t="s">
        <v>134</v>
      </c>
      <c r="AX26" t="s">
        <v>134</v>
      </c>
      <c r="AY26" t="s">
        <v>134</v>
      </c>
      <c r="AZ26" t="s">
        <v>134</v>
      </c>
      <c r="BA26" t="s">
        <v>134</v>
      </c>
      <c r="BB26" t="s">
        <v>134</v>
      </c>
      <c r="BC26" t="s">
        <v>134</v>
      </c>
      <c r="BD26" t="s">
        <v>134</v>
      </c>
      <c r="BE26" t="s">
        <v>134</v>
      </c>
      <c r="BF26">
        <v>-2.9914000000000001</v>
      </c>
      <c r="BG26">
        <v>-8.6895000000000007</v>
      </c>
      <c r="BH26">
        <v>-27.536899999999999</v>
      </c>
      <c r="BI26">
        <v>35.570300000000003</v>
      </c>
      <c r="BJ26">
        <v>35.379199999999997</v>
      </c>
      <c r="BK26">
        <v>0</v>
      </c>
      <c r="BL26" t="s">
        <v>134</v>
      </c>
      <c r="BM26" t="s">
        <v>134</v>
      </c>
      <c r="BN26" t="s">
        <v>134</v>
      </c>
      <c r="BO26" t="s">
        <v>134</v>
      </c>
      <c r="BP26" t="s">
        <v>134</v>
      </c>
      <c r="BQ26" t="s">
        <v>134</v>
      </c>
      <c r="BR26" t="s">
        <v>134</v>
      </c>
      <c r="BS26" t="s">
        <v>134</v>
      </c>
      <c r="BT26" t="s">
        <v>134</v>
      </c>
      <c r="BU26" t="s">
        <v>134</v>
      </c>
      <c r="BV26" t="s">
        <v>134</v>
      </c>
      <c r="BW26" t="s">
        <v>134</v>
      </c>
      <c r="BX26" t="s">
        <v>134</v>
      </c>
      <c r="BY26" t="s">
        <v>134</v>
      </c>
      <c r="BZ26" t="s">
        <v>134</v>
      </c>
      <c r="CA26" t="s">
        <v>134</v>
      </c>
      <c r="CB26" t="s">
        <v>134</v>
      </c>
      <c r="CC26" t="s">
        <v>134</v>
      </c>
      <c r="CD26" t="s">
        <v>134</v>
      </c>
      <c r="CE26" t="s">
        <v>134</v>
      </c>
      <c r="CF26">
        <v>1.4152</v>
      </c>
      <c r="CG26" t="s">
        <v>134</v>
      </c>
      <c r="CH26" t="s">
        <v>134</v>
      </c>
      <c r="CI26" t="s">
        <v>134</v>
      </c>
      <c r="CJ26" t="s">
        <v>134</v>
      </c>
      <c r="CK26" t="s">
        <v>134</v>
      </c>
      <c r="CL26" t="s">
        <v>134</v>
      </c>
      <c r="CM26" t="s">
        <v>134</v>
      </c>
      <c r="CN26" t="s">
        <v>134</v>
      </c>
      <c r="CO26" t="s">
        <v>134</v>
      </c>
      <c r="CP26">
        <v>27640.61</v>
      </c>
      <c r="CQ26" t="s">
        <v>134</v>
      </c>
      <c r="CR26">
        <v>8028.69</v>
      </c>
      <c r="CS26" t="s">
        <v>134</v>
      </c>
      <c r="CT26" t="s">
        <v>134</v>
      </c>
      <c r="CU26" t="s">
        <v>134</v>
      </c>
      <c r="CV26" t="s">
        <v>134</v>
      </c>
      <c r="CW26" t="s">
        <v>134</v>
      </c>
      <c r="CX26" t="s">
        <v>134</v>
      </c>
      <c r="CY26" t="s">
        <v>134</v>
      </c>
      <c r="CZ26" t="s">
        <v>134</v>
      </c>
      <c r="DA26" t="s">
        <v>134</v>
      </c>
      <c r="DB26" t="s">
        <v>134</v>
      </c>
      <c r="DC26" t="s">
        <v>134</v>
      </c>
      <c r="DD26" t="s">
        <v>134</v>
      </c>
      <c r="DE26" t="s">
        <v>134</v>
      </c>
      <c r="DF26" t="s">
        <v>134</v>
      </c>
      <c r="DG26" t="s">
        <v>134</v>
      </c>
      <c r="DH26" t="s">
        <v>134</v>
      </c>
      <c r="DI26" t="s">
        <v>134</v>
      </c>
    </row>
    <row r="27" spans="1:113" x14ac:dyDescent="0.3">
      <c r="E27" t="s">
        <v>7</v>
      </c>
      <c r="F27">
        <v>30.091100000000001</v>
      </c>
      <c r="G27">
        <v>3.2625999999999999</v>
      </c>
      <c r="H27">
        <v>3.3995000000000002</v>
      </c>
      <c r="I27">
        <v>3.3961999999999999</v>
      </c>
      <c r="J27">
        <v>84.427599999999998</v>
      </c>
      <c r="K27">
        <v>66.305800000000005</v>
      </c>
      <c r="L27">
        <v>70.260099999999994</v>
      </c>
      <c r="M27">
        <v>31.3245</v>
      </c>
      <c r="N27">
        <v>54.976199999999999</v>
      </c>
      <c r="O27">
        <v>25.972100000000001</v>
      </c>
      <c r="P27">
        <v>54.976199999999999</v>
      </c>
      <c r="Q27">
        <v>17.561599999999999</v>
      </c>
      <c r="R27">
        <v>41.3964</v>
      </c>
      <c r="S27">
        <v>17.634499999999999</v>
      </c>
      <c r="T27">
        <v>23.0199</v>
      </c>
      <c r="U27">
        <v>23.338200000000001</v>
      </c>
      <c r="V27">
        <v>28.142700000000001</v>
      </c>
      <c r="W27">
        <v>22.5853</v>
      </c>
      <c r="X27">
        <v>21.8034</v>
      </c>
      <c r="Y27">
        <v>11.1111</v>
      </c>
      <c r="Z27" t="s">
        <v>134</v>
      </c>
      <c r="AA27" t="s">
        <v>134</v>
      </c>
      <c r="AB27">
        <v>10.2263</v>
      </c>
      <c r="AC27">
        <v>27.189900000000002</v>
      </c>
      <c r="AD27" t="s">
        <v>134</v>
      </c>
      <c r="AE27" t="s">
        <v>134</v>
      </c>
      <c r="AF27" t="s">
        <v>134</v>
      </c>
      <c r="AG27">
        <v>35.095399999999998</v>
      </c>
      <c r="AH27">
        <v>30.4937</v>
      </c>
      <c r="AI27">
        <v>10.7326</v>
      </c>
      <c r="AJ27">
        <v>28.077500000000001</v>
      </c>
      <c r="AK27">
        <v>10.036899999999999</v>
      </c>
      <c r="AL27" t="s">
        <v>134</v>
      </c>
      <c r="AM27" t="s">
        <v>134</v>
      </c>
      <c r="AN27" t="s">
        <v>134</v>
      </c>
      <c r="AO27" t="s">
        <v>134</v>
      </c>
      <c r="AP27" t="s">
        <v>134</v>
      </c>
      <c r="AQ27" t="s">
        <v>134</v>
      </c>
      <c r="AR27" t="s">
        <v>134</v>
      </c>
      <c r="AS27" t="s">
        <v>134</v>
      </c>
      <c r="AT27" t="s">
        <v>134</v>
      </c>
      <c r="AU27" t="s">
        <v>134</v>
      </c>
      <c r="AV27" t="s">
        <v>134</v>
      </c>
      <c r="AW27" t="s">
        <v>134</v>
      </c>
      <c r="AX27" t="s">
        <v>134</v>
      </c>
      <c r="AY27" t="s">
        <v>134</v>
      </c>
      <c r="AZ27" t="s">
        <v>134</v>
      </c>
      <c r="BA27" t="s">
        <v>134</v>
      </c>
      <c r="BB27" t="s">
        <v>134</v>
      </c>
      <c r="BC27" t="s">
        <v>134</v>
      </c>
      <c r="BD27" t="s">
        <v>134</v>
      </c>
      <c r="BE27" t="s">
        <v>134</v>
      </c>
      <c r="BF27">
        <v>-5.0678999999999998</v>
      </c>
      <c r="BG27">
        <v>-6.2046999999999999</v>
      </c>
      <c r="BH27">
        <v>-16.5535</v>
      </c>
      <c r="BI27">
        <v>-9.8002000000000002</v>
      </c>
      <c r="BJ27">
        <v>-9.9095999999999993</v>
      </c>
      <c r="BK27">
        <v>11.1111</v>
      </c>
      <c r="BL27" t="s">
        <v>134</v>
      </c>
      <c r="BM27" t="s">
        <v>134</v>
      </c>
      <c r="BN27" t="s">
        <v>134</v>
      </c>
      <c r="BO27" t="s">
        <v>134</v>
      </c>
      <c r="BP27" t="s">
        <v>134</v>
      </c>
      <c r="BQ27" t="s">
        <v>134</v>
      </c>
      <c r="BR27" t="s">
        <v>134</v>
      </c>
      <c r="BS27" t="s">
        <v>134</v>
      </c>
      <c r="BT27" t="s">
        <v>134</v>
      </c>
      <c r="BU27" t="s">
        <v>134</v>
      </c>
      <c r="BV27" t="s">
        <v>134</v>
      </c>
      <c r="BW27" t="s">
        <v>134</v>
      </c>
      <c r="BX27" t="s">
        <v>134</v>
      </c>
      <c r="BY27">
        <v>1135552.4066999999</v>
      </c>
      <c r="BZ27">
        <v>444513.69579999999</v>
      </c>
      <c r="CA27">
        <v>691038.71089999995</v>
      </c>
      <c r="CB27">
        <v>8.8316999999999997</v>
      </c>
      <c r="CC27">
        <v>8.4624000000000006</v>
      </c>
      <c r="CD27">
        <v>23.165800000000001</v>
      </c>
      <c r="CE27">
        <v>22.197199999999999</v>
      </c>
      <c r="CF27">
        <v>1.6002999999999998</v>
      </c>
      <c r="CG27">
        <v>10.1768</v>
      </c>
      <c r="CH27">
        <v>514.79669999999999</v>
      </c>
      <c r="CI27">
        <v>54.421599999999998</v>
      </c>
      <c r="CJ27">
        <v>52.39</v>
      </c>
      <c r="CK27">
        <v>845.94190000000003</v>
      </c>
      <c r="CL27">
        <v>89.4285</v>
      </c>
      <c r="CM27">
        <v>86.090100000000007</v>
      </c>
      <c r="CN27">
        <v>810.57259999999997</v>
      </c>
      <c r="CO27">
        <v>89.017899999999997</v>
      </c>
      <c r="CP27">
        <v>33494.300000000003</v>
      </c>
      <c r="CQ27" t="s">
        <v>134</v>
      </c>
      <c r="CR27">
        <v>12427.1</v>
      </c>
      <c r="CS27" t="s">
        <v>134</v>
      </c>
      <c r="CT27" t="s">
        <v>134</v>
      </c>
      <c r="CU27" t="s">
        <v>134</v>
      </c>
      <c r="CV27" t="s">
        <v>134</v>
      </c>
      <c r="CW27" t="s">
        <v>134</v>
      </c>
      <c r="CX27" t="s">
        <v>134</v>
      </c>
      <c r="CY27" t="s">
        <v>134</v>
      </c>
      <c r="CZ27" t="s">
        <v>134</v>
      </c>
      <c r="DA27" t="s">
        <v>134</v>
      </c>
      <c r="DB27" t="s">
        <v>134</v>
      </c>
      <c r="DC27" t="s">
        <v>134</v>
      </c>
      <c r="DD27" t="s">
        <v>134</v>
      </c>
      <c r="DE27" t="s">
        <v>134</v>
      </c>
      <c r="DF27" t="s">
        <v>134</v>
      </c>
      <c r="DG27" t="s">
        <v>134</v>
      </c>
      <c r="DH27" t="s">
        <v>134</v>
      </c>
      <c r="DI27" t="s">
        <v>134</v>
      </c>
    </row>
    <row r="28" spans="1:113" x14ac:dyDescent="0.3">
      <c r="A28">
        <v>52</v>
      </c>
      <c r="B28" t="s">
        <v>12</v>
      </c>
      <c r="C28" t="s">
        <v>13</v>
      </c>
      <c r="D28" t="s">
        <v>2</v>
      </c>
      <c r="E28" t="s">
        <v>3</v>
      </c>
      <c r="F28">
        <v>10.8218</v>
      </c>
      <c r="G28">
        <v>2.7873999999999999</v>
      </c>
      <c r="H28">
        <v>5.5674000000000001</v>
      </c>
      <c r="I28">
        <v>6.0438999999999998</v>
      </c>
      <c r="J28">
        <v>4.2686999999999999</v>
      </c>
      <c r="K28">
        <v>2.9615999999999998</v>
      </c>
      <c r="L28">
        <v>17.046199999999999</v>
      </c>
      <c r="M28">
        <v>2.0476999999999999</v>
      </c>
      <c r="N28">
        <v>1.4297</v>
      </c>
      <c r="O28">
        <v>1.4541999999999999</v>
      </c>
      <c r="P28">
        <v>1.4541999999999999</v>
      </c>
      <c r="Q28">
        <v>30.179500000000001</v>
      </c>
      <c r="R28">
        <v>29.811499999999999</v>
      </c>
      <c r="S28">
        <v>7.5956999999999999</v>
      </c>
      <c r="T28">
        <v>5.7536000000000005</v>
      </c>
      <c r="U28">
        <v>33.143999999999998</v>
      </c>
      <c r="V28">
        <v>45.592100000000002</v>
      </c>
      <c r="W28">
        <v>59.2622</v>
      </c>
      <c r="X28">
        <v>59.279499999999999</v>
      </c>
      <c r="Y28">
        <v>40.322600000000001</v>
      </c>
      <c r="Z28">
        <v>0.39729999999999999</v>
      </c>
      <c r="AA28">
        <v>8.6106999999999996</v>
      </c>
      <c r="AB28">
        <v>17.921800000000001</v>
      </c>
      <c r="AC28">
        <v>10.3232</v>
      </c>
      <c r="AD28">
        <v>-3.069</v>
      </c>
      <c r="AE28">
        <v>-99.060900000000004</v>
      </c>
      <c r="AF28">
        <v>21.425899999999999</v>
      </c>
      <c r="AG28">
        <v>-8.9898000000000007</v>
      </c>
      <c r="AH28">
        <v>5.8489000000000004</v>
      </c>
      <c r="AI28">
        <v>7.4413</v>
      </c>
      <c r="AJ28">
        <v>6.5138999999999996</v>
      </c>
      <c r="AK28">
        <v>7.7348999999999997</v>
      </c>
      <c r="AL28">
        <v>432.52350000000001</v>
      </c>
      <c r="AM28">
        <v>11.2338</v>
      </c>
      <c r="AN28">
        <v>11.1088</v>
      </c>
      <c r="AO28">
        <v>10.039400000000001</v>
      </c>
      <c r="AP28">
        <v>22.208300000000001</v>
      </c>
      <c r="AQ28">
        <v>22.205400000000001</v>
      </c>
      <c r="AR28">
        <v>18.3307</v>
      </c>
      <c r="AS28">
        <v>21.289300000000001</v>
      </c>
      <c r="AT28">
        <v>20.7012</v>
      </c>
      <c r="AU28">
        <v>13.7881</v>
      </c>
      <c r="AV28">
        <v>14.3401</v>
      </c>
      <c r="AW28">
        <v>28.9467</v>
      </c>
      <c r="AX28">
        <v>-67.179100000000005</v>
      </c>
      <c r="AY28">
        <v>14.567299999999999</v>
      </c>
      <c r="AZ28">
        <v>22.844100000000001</v>
      </c>
      <c r="BA28">
        <v>14.9237</v>
      </c>
      <c r="BB28">
        <v>7.9726999999999997</v>
      </c>
      <c r="BC28">
        <v>11.674099999999999</v>
      </c>
      <c r="BD28">
        <v>7.9495000000000005</v>
      </c>
      <c r="BE28" t="s">
        <v>134</v>
      </c>
      <c r="BF28">
        <v>5.7536000000000005</v>
      </c>
      <c r="BG28">
        <v>33.143999999999998</v>
      </c>
      <c r="BH28">
        <v>45.592100000000002</v>
      </c>
      <c r="BI28">
        <v>59.2622</v>
      </c>
      <c r="BJ28">
        <v>59.279499999999999</v>
      </c>
      <c r="BK28">
        <v>40.322600000000001</v>
      </c>
      <c r="BL28">
        <v>0.39729999999999999</v>
      </c>
      <c r="BM28">
        <v>8.6106999999999996</v>
      </c>
      <c r="BN28">
        <v>17.921800000000001</v>
      </c>
      <c r="BO28">
        <v>10.3232</v>
      </c>
      <c r="BP28">
        <v>-3.069</v>
      </c>
      <c r="BQ28">
        <v>-99.060900000000004</v>
      </c>
      <c r="BR28">
        <v>21.425899999999999</v>
      </c>
      <c r="BS28">
        <v>-8.9898000000000007</v>
      </c>
      <c r="BT28">
        <v>5.8489000000000004</v>
      </c>
      <c r="BU28">
        <v>7.4413</v>
      </c>
      <c r="BV28">
        <v>6.5138999999999996</v>
      </c>
      <c r="BW28">
        <v>7.7348999999999997</v>
      </c>
      <c r="BX28">
        <v>432.52350000000001</v>
      </c>
      <c r="BY28">
        <v>949158.8</v>
      </c>
      <c r="BZ28">
        <v>590507.19999999995</v>
      </c>
      <c r="CA28">
        <v>358651.6</v>
      </c>
      <c r="CB28">
        <v>4.5632999999999999</v>
      </c>
      <c r="CC28">
        <v>4.0350999999999999</v>
      </c>
      <c r="CD28">
        <v>6.5773999999999999</v>
      </c>
      <c r="CE28">
        <v>5.8159999999999998</v>
      </c>
      <c r="CF28">
        <v>7.7050000000000001</v>
      </c>
      <c r="CG28">
        <v>25.466200000000001</v>
      </c>
      <c r="CH28">
        <v>51.915599999999998</v>
      </c>
      <c r="CI28">
        <v>21.8691</v>
      </c>
      <c r="CJ28">
        <v>13.4488</v>
      </c>
      <c r="CK28">
        <v>137.39279999999999</v>
      </c>
      <c r="CL28">
        <v>57.875700000000002</v>
      </c>
      <c r="CM28">
        <v>35.591900000000003</v>
      </c>
      <c r="CN28">
        <v>121.4879</v>
      </c>
      <c r="CO28">
        <v>54.8508</v>
      </c>
      <c r="CP28">
        <v>207996.4</v>
      </c>
      <c r="CQ28">
        <v>-10246.5</v>
      </c>
      <c r="CR28">
        <v>144305.1</v>
      </c>
      <c r="CS28">
        <v>7.7899999999999997E-2</v>
      </c>
      <c r="CT28">
        <v>1.0002</v>
      </c>
      <c r="CU28">
        <v>0.1668</v>
      </c>
      <c r="CV28">
        <v>2.2580999999999998</v>
      </c>
      <c r="CW28">
        <v>38.897100000000002</v>
      </c>
      <c r="CX28">
        <v>9.3836999999999993</v>
      </c>
      <c r="CY28">
        <v>6.2480000000000002</v>
      </c>
      <c r="CZ28">
        <v>58.418599999999998</v>
      </c>
      <c r="DA28">
        <v>11.848100000000001</v>
      </c>
      <c r="DB28">
        <v>30.8065</v>
      </c>
      <c r="DC28">
        <v>36.995899999999999</v>
      </c>
      <c r="DD28">
        <v>67.802400000000006</v>
      </c>
      <c r="DE28">
        <v>723393.9</v>
      </c>
      <c r="DF28">
        <v>214763.2</v>
      </c>
      <c r="DG28">
        <v>63137.7</v>
      </c>
      <c r="DH28">
        <v>411467.9</v>
      </c>
      <c r="DI28">
        <v>34025.1</v>
      </c>
    </row>
    <row r="29" spans="1:113" x14ac:dyDescent="0.3">
      <c r="E29" t="s">
        <v>4</v>
      </c>
      <c r="F29" t="s">
        <v>134</v>
      </c>
      <c r="G29" t="s">
        <v>134</v>
      </c>
      <c r="H29" t="s">
        <v>134</v>
      </c>
      <c r="I29" t="s">
        <v>134</v>
      </c>
      <c r="J29" t="s">
        <v>134</v>
      </c>
      <c r="K29" t="s">
        <v>134</v>
      </c>
      <c r="L29" t="s">
        <v>134</v>
      </c>
      <c r="M29" t="s">
        <v>134</v>
      </c>
      <c r="N29" t="s">
        <v>134</v>
      </c>
      <c r="O29" t="s">
        <v>134</v>
      </c>
      <c r="P29" t="s">
        <v>134</v>
      </c>
      <c r="Q29" t="s">
        <v>134</v>
      </c>
      <c r="R29" t="s">
        <v>134</v>
      </c>
      <c r="S29" t="s">
        <v>134</v>
      </c>
      <c r="T29" t="s">
        <v>134</v>
      </c>
      <c r="U29" t="s">
        <v>134</v>
      </c>
      <c r="V29" t="s">
        <v>134</v>
      </c>
      <c r="W29" t="s">
        <v>134</v>
      </c>
      <c r="X29" t="s">
        <v>134</v>
      </c>
      <c r="Y29" t="s">
        <v>134</v>
      </c>
      <c r="Z29" t="s">
        <v>134</v>
      </c>
      <c r="AA29" t="s">
        <v>134</v>
      </c>
      <c r="AB29" t="s">
        <v>134</v>
      </c>
      <c r="AC29" t="s">
        <v>134</v>
      </c>
      <c r="AD29" t="s">
        <v>134</v>
      </c>
      <c r="AE29" t="s">
        <v>134</v>
      </c>
      <c r="AF29" t="s">
        <v>134</v>
      </c>
      <c r="AG29" t="s">
        <v>134</v>
      </c>
      <c r="AH29" t="s">
        <v>134</v>
      </c>
      <c r="AI29" t="s">
        <v>134</v>
      </c>
      <c r="AJ29" t="s">
        <v>134</v>
      </c>
      <c r="AK29" t="s">
        <v>134</v>
      </c>
      <c r="AL29" t="s">
        <v>134</v>
      </c>
      <c r="AM29" t="s">
        <v>134</v>
      </c>
      <c r="AN29" t="s">
        <v>134</v>
      </c>
      <c r="AO29" t="s">
        <v>134</v>
      </c>
      <c r="AP29" t="s">
        <v>134</v>
      </c>
      <c r="AQ29" t="s">
        <v>134</v>
      </c>
      <c r="AR29" t="s">
        <v>134</v>
      </c>
      <c r="AS29" t="s">
        <v>134</v>
      </c>
      <c r="AT29" t="s">
        <v>134</v>
      </c>
      <c r="AU29" t="s">
        <v>134</v>
      </c>
      <c r="AV29" t="s">
        <v>134</v>
      </c>
      <c r="AW29" t="s">
        <v>134</v>
      </c>
      <c r="AX29" t="s">
        <v>134</v>
      </c>
      <c r="AY29" t="s">
        <v>134</v>
      </c>
      <c r="AZ29" t="s">
        <v>134</v>
      </c>
      <c r="BA29" t="s">
        <v>134</v>
      </c>
      <c r="BB29" t="s">
        <v>134</v>
      </c>
      <c r="BC29" t="s">
        <v>134</v>
      </c>
      <c r="BD29" t="s">
        <v>134</v>
      </c>
      <c r="BE29" t="s">
        <v>134</v>
      </c>
      <c r="BF29" t="s">
        <v>134</v>
      </c>
      <c r="BG29" t="s">
        <v>134</v>
      </c>
      <c r="BH29" t="s">
        <v>134</v>
      </c>
      <c r="BI29" t="s">
        <v>134</v>
      </c>
      <c r="BJ29" t="s">
        <v>134</v>
      </c>
      <c r="BK29" t="s">
        <v>134</v>
      </c>
      <c r="BL29" t="s">
        <v>134</v>
      </c>
      <c r="BM29" t="s">
        <v>134</v>
      </c>
      <c r="BN29" t="s">
        <v>134</v>
      </c>
      <c r="BO29" t="s">
        <v>134</v>
      </c>
      <c r="BP29" t="s">
        <v>134</v>
      </c>
      <c r="BQ29" t="s">
        <v>134</v>
      </c>
      <c r="BR29" t="s">
        <v>134</v>
      </c>
      <c r="BS29" t="s">
        <v>134</v>
      </c>
      <c r="BT29" t="s">
        <v>134</v>
      </c>
      <c r="BU29" t="s">
        <v>134</v>
      </c>
      <c r="BV29" t="s">
        <v>134</v>
      </c>
      <c r="BW29" t="s">
        <v>134</v>
      </c>
      <c r="BX29" t="s">
        <v>134</v>
      </c>
      <c r="BY29" t="s">
        <v>134</v>
      </c>
      <c r="BZ29" t="s">
        <v>134</v>
      </c>
      <c r="CA29" t="s">
        <v>134</v>
      </c>
      <c r="CB29" t="s">
        <v>134</v>
      </c>
      <c r="CC29" t="s">
        <v>134</v>
      </c>
      <c r="CD29" t="s">
        <v>134</v>
      </c>
      <c r="CE29" t="s">
        <v>134</v>
      </c>
      <c r="CF29" t="s">
        <v>134</v>
      </c>
      <c r="CG29" t="s">
        <v>134</v>
      </c>
      <c r="CH29" t="s">
        <v>134</v>
      </c>
      <c r="CI29" t="s">
        <v>134</v>
      </c>
      <c r="CJ29" t="s">
        <v>134</v>
      </c>
      <c r="CK29" t="s">
        <v>134</v>
      </c>
      <c r="CL29" t="s">
        <v>134</v>
      </c>
      <c r="CM29" t="s">
        <v>134</v>
      </c>
      <c r="CN29" t="s">
        <v>134</v>
      </c>
      <c r="CO29" t="s">
        <v>134</v>
      </c>
      <c r="CP29" t="s">
        <v>134</v>
      </c>
      <c r="CQ29" t="s">
        <v>134</v>
      </c>
      <c r="CR29" t="s">
        <v>134</v>
      </c>
      <c r="CS29" t="s">
        <v>134</v>
      </c>
      <c r="CT29" t="s">
        <v>134</v>
      </c>
      <c r="CU29" t="s">
        <v>134</v>
      </c>
      <c r="CV29" t="s">
        <v>134</v>
      </c>
      <c r="CW29" t="s">
        <v>134</v>
      </c>
      <c r="CX29" t="s">
        <v>134</v>
      </c>
      <c r="CY29" t="s">
        <v>134</v>
      </c>
      <c r="CZ29" t="s">
        <v>134</v>
      </c>
      <c r="DA29" t="s">
        <v>134</v>
      </c>
      <c r="DB29" t="s">
        <v>134</v>
      </c>
      <c r="DC29" t="s">
        <v>134</v>
      </c>
      <c r="DD29" t="s">
        <v>134</v>
      </c>
      <c r="DE29" t="s">
        <v>134</v>
      </c>
      <c r="DF29" t="s">
        <v>134</v>
      </c>
      <c r="DG29" t="s">
        <v>134</v>
      </c>
      <c r="DH29" t="s">
        <v>134</v>
      </c>
      <c r="DI29" t="s">
        <v>134</v>
      </c>
    </row>
    <row r="30" spans="1:113" x14ac:dyDescent="0.3">
      <c r="E30" t="s">
        <v>5</v>
      </c>
      <c r="F30" t="s">
        <v>134</v>
      </c>
      <c r="G30" t="s">
        <v>134</v>
      </c>
      <c r="H30" t="s">
        <v>134</v>
      </c>
      <c r="I30" t="s">
        <v>134</v>
      </c>
      <c r="J30" t="s">
        <v>134</v>
      </c>
      <c r="K30" t="s">
        <v>134</v>
      </c>
      <c r="L30" t="s">
        <v>134</v>
      </c>
      <c r="M30" t="s">
        <v>134</v>
      </c>
      <c r="N30" t="s">
        <v>134</v>
      </c>
      <c r="O30" t="s">
        <v>134</v>
      </c>
      <c r="P30" t="s">
        <v>134</v>
      </c>
      <c r="Q30" t="s">
        <v>134</v>
      </c>
      <c r="R30" t="s">
        <v>134</v>
      </c>
      <c r="S30" t="s">
        <v>134</v>
      </c>
      <c r="T30" t="s">
        <v>134</v>
      </c>
      <c r="U30" t="s">
        <v>134</v>
      </c>
      <c r="V30" t="s">
        <v>134</v>
      </c>
      <c r="W30" t="s">
        <v>134</v>
      </c>
      <c r="X30" t="s">
        <v>134</v>
      </c>
      <c r="Y30" t="s">
        <v>134</v>
      </c>
      <c r="Z30" t="s">
        <v>134</v>
      </c>
      <c r="AA30" t="s">
        <v>134</v>
      </c>
      <c r="AB30" t="s">
        <v>134</v>
      </c>
      <c r="AC30" t="s">
        <v>134</v>
      </c>
      <c r="AD30" t="s">
        <v>134</v>
      </c>
      <c r="AE30" t="s">
        <v>134</v>
      </c>
      <c r="AF30" t="s">
        <v>134</v>
      </c>
      <c r="AG30" t="s">
        <v>134</v>
      </c>
      <c r="AH30" t="s">
        <v>134</v>
      </c>
      <c r="AI30" t="s">
        <v>134</v>
      </c>
      <c r="AJ30" t="s">
        <v>134</v>
      </c>
      <c r="AK30" t="s">
        <v>134</v>
      </c>
      <c r="AL30" t="s">
        <v>134</v>
      </c>
      <c r="AM30" t="s">
        <v>134</v>
      </c>
      <c r="AN30" t="s">
        <v>134</v>
      </c>
      <c r="AO30" t="s">
        <v>134</v>
      </c>
      <c r="AP30" t="s">
        <v>134</v>
      </c>
      <c r="AQ30" t="s">
        <v>134</v>
      </c>
      <c r="AR30" t="s">
        <v>134</v>
      </c>
      <c r="AS30" t="s">
        <v>134</v>
      </c>
      <c r="AT30" t="s">
        <v>134</v>
      </c>
      <c r="AU30" t="s">
        <v>134</v>
      </c>
      <c r="AV30" t="s">
        <v>134</v>
      </c>
      <c r="AW30" t="s">
        <v>134</v>
      </c>
      <c r="AX30" t="s">
        <v>134</v>
      </c>
      <c r="AY30" t="s">
        <v>134</v>
      </c>
      <c r="AZ30" t="s">
        <v>134</v>
      </c>
      <c r="BA30" t="s">
        <v>134</v>
      </c>
      <c r="BB30" t="s">
        <v>134</v>
      </c>
      <c r="BC30" t="s">
        <v>134</v>
      </c>
      <c r="BD30" t="s">
        <v>134</v>
      </c>
      <c r="BE30" t="s">
        <v>134</v>
      </c>
      <c r="BF30" t="s">
        <v>134</v>
      </c>
      <c r="BG30" t="s">
        <v>134</v>
      </c>
      <c r="BH30" t="s">
        <v>134</v>
      </c>
      <c r="BI30" t="s">
        <v>134</v>
      </c>
      <c r="BJ30" t="s">
        <v>134</v>
      </c>
      <c r="BK30" t="s">
        <v>134</v>
      </c>
      <c r="BL30" t="s">
        <v>134</v>
      </c>
      <c r="BM30" t="s">
        <v>134</v>
      </c>
      <c r="BN30" t="s">
        <v>134</v>
      </c>
      <c r="BO30" t="s">
        <v>134</v>
      </c>
      <c r="BP30" t="s">
        <v>134</v>
      </c>
      <c r="BQ30" t="s">
        <v>134</v>
      </c>
      <c r="BR30" t="s">
        <v>134</v>
      </c>
      <c r="BS30" t="s">
        <v>134</v>
      </c>
      <c r="BT30" t="s">
        <v>134</v>
      </c>
      <c r="BU30" t="s">
        <v>134</v>
      </c>
      <c r="BV30" t="s">
        <v>134</v>
      </c>
      <c r="BW30" t="s">
        <v>134</v>
      </c>
      <c r="BX30" t="s">
        <v>134</v>
      </c>
      <c r="BY30" t="s">
        <v>134</v>
      </c>
      <c r="BZ30" t="s">
        <v>134</v>
      </c>
      <c r="CA30" t="s">
        <v>134</v>
      </c>
      <c r="CB30" t="s">
        <v>134</v>
      </c>
      <c r="CC30" t="s">
        <v>134</v>
      </c>
      <c r="CD30" t="s">
        <v>134</v>
      </c>
      <c r="CE30" t="s">
        <v>134</v>
      </c>
      <c r="CF30" t="s">
        <v>134</v>
      </c>
      <c r="CG30" t="s">
        <v>134</v>
      </c>
      <c r="CH30" t="s">
        <v>134</v>
      </c>
      <c r="CI30" t="s">
        <v>134</v>
      </c>
      <c r="CJ30" t="s">
        <v>134</v>
      </c>
      <c r="CK30" t="s">
        <v>134</v>
      </c>
      <c r="CL30" t="s">
        <v>134</v>
      </c>
      <c r="CM30" t="s">
        <v>134</v>
      </c>
      <c r="CN30" t="s">
        <v>134</v>
      </c>
      <c r="CO30" t="s">
        <v>134</v>
      </c>
      <c r="CP30" t="s">
        <v>134</v>
      </c>
      <c r="CQ30" t="s">
        <v>134</v>
      </c>
      <c r="CR30" t="s">
        <v>134</v>
      </c>
      <c r="CS30" t="s">
        <v>134</v>
      </c>
      <c r="CT30" t="s">
        <v>134</v>
      </c>
      <c r="CU30" t="s">
        <v>134</v>
      </c>
      <c r="CV30" t="s">
        <v>134</v>
      </c>
      <c r="CW30" t="s">
        <v>134</v>
      </c>
      <c r="CX30" t="s">
        <v>134</v>
      </c>
      <c r="CY30" t="s">
        <v>134</v>
      </c>
      <c r="CZ30" t="s">
        <v>134</v>
      </c>
      <c r="DA30" t="s">
        <v>134</v>
      </c>
      <c r="DB30" t="s">
        <v>134</v>
      </c>
      <c r="DC30" t="s">
        <v>134</v>
      </c>
      <c r="DD30" t="s">
        <v>134</v>
      </c>
      <c r="DE30" t="s">
        <v>134</v>
      </c>
      <c r="DF30" t="s">
        <v>134</v>
      </c>
      <c r="DG30" t="s">
        <v>134</v>
      </c>
      <c r="DH30" t="s">
        <v>134</v>
      </c>
      <c r="DI30" t="s">
        <v>134</v>
      </c>
    </row>
    <row r="31" spans="1:113" x14ac:dyDescent="0.3">
      <c r="E31" t="s">
        <v>6</v>
      </c>
      <c r="F31" t="s">
        <v>134</v>
      </c>
      <c r="G31" t="s">
        <v>134</v>
      </c>
      <c r="H31" t="s">
        <v>134</v>
      </c>
      <c r="I31" t="s">
        <v>134</v>
      </c>
      <c r="J31" t="s">
        <v>134</v>
      </c>
      <c r="K31" t="s">
        <v>134</v>
      </c>
      <c r="L31" t="s">
        <v>134</v>
      </c>
      <c r="M31" t="s">
        <v>134</v>
      </c>
      <c r="N31" t="s">
        <v>134</v>
      </c>
      <c r="O31" t="s">
        <v>134</v>
      </c>
      <c r="P31" t="s">
        <v>134</v>
      </c>
      <c r="Q31" t="s">
        <v>134</v>
      </c>
      <c r="R31" t="s">
        <v>134</v>
      </c>
      <c r="S31" t="s">
        <v>134</v>
      </c>
      <c r="T31" t="s">
        <v>134</v>
      </c>
      <c r="U31" t="s">
        <v>134</v>
      </c>
      <c r="V31" t="s">
        <v>134</v>
      </c>
      <c r="W31" t="s">
        <v>134</v>
      </c>
      <c r="X31" t="s">
        <v>134</v>
      </c>
      <c r="Y31" t="s">
        <v>134</v>
      </c>
      <c r="Z31" t="s">
        <v>134</v>
      </c>
      <c r="AA31" t="s">
        <v>134</v>
      </c>
      <c r="AB31" t="s">
        <v>134</v>
      </c>
      <c r="AC31" t="s">
        <v>134</v>
      </c>
      <c r="AD31" t="s">
        <v>134</v>
      </c>
      <c r="AE31" t="s">
        <v>134</v>
      </c>
      <c r="AF31" t="s">
        <v>134</v>
      </c>
      <c r="AG31" t="s">
        <v>134</v>
      </c>
      <c r="AH31" t="s">
        <v>134</v>
      </c>
      <c r="AI31" t="s">
        <v>134</v>
      </c>
      <c r="AJ31" t="s">
        <v>134</v>
      </c>
      <c r="AK31" t="s">
        <v>134</v>
      </c>
      <c r="AL31" t="s">
        <v>134</v>
      </c>
      <c r="AM31" t="s">
        <v>134</v>
      </c>
      <c r="AN31" t="s">
        <v>134</v>
      </c>
      <c r="AO31" t="s">
        <v>134</v>
      </c>
      <c r="AP31" t="s">
        <v>134</v>
      </c>
      <c r="AQ31" t="s">
        <v>134</v>
      </c>
      <c r="AR31" t="s">
        <v>134</v>
      </c>
      <c r="AS31" t="s">
        <v>134</v>
      </c>
      <c r="AT31" t="s">
        <v>134</v>
      </c>
      <c r="AU31" t="s">
        <v>134</v>
      </c>
      <c r="AV31" t="s">
        <v>134</v>
      </c>
      <c r="AW31" t="s">
        <v>134</v>
      </c>
      <c r="AX31" t="s">
        <v>134</v>
      </c>
      <c r="AY31" t="s">
        <v>134</v>
      </c>
      <c r="AZ31" t="s">
        <v>134</v>
      </c>
      <c r="BA31" t="s">
        <v>134</v>
      </c>
      <c r="BB31" t="s">
        <v>134</v>
      </c>
      <c r="BC31" t="s">
        <v>134</v>
      </c>
      <c r="BD31" t="s">
        <v>134</v>
      </c>
      <c r="BE31" t="s">
        <v>134</v>
      </c>
      <c r="BF31" t="s">
        <v>134</v>
      </c>
      <c r="BG31" t="s">
        <v>134</v>
      </c>
      <c r="BH31" t="s">
        <v>134</v>
      </c>
      <c r="BI31" t="s">
        <v>134</v>
      </c>
      <c r="BJ31" t="s">
        <v>134</v>
      </c>
      <c r="BK31" t="s">
        <v>134</v>
      </c>
      <c r="BL31" t="s">
        <v>134</v>
      </c>
      <c r="BM31" t="s">
        <v>134</v>
      </c>
      <c r="BN31" t="s">
        <v>134</v>
      </c>
      <c r="BO31" t="s">
        <v>134</v>
      </c>
      <c r="BP31" t="s">
        <v>134</v>
      </c>
      <c r="BQ31" t="s">
        <v>134</v>
      </c>
      <c r="BR31" t="s">
        <v>134</v>
      </c>
      <c r="BS31" t="s">
        <v>134</v>
      </c>
      <c r="BT31" t="s">
        <v>134</v>
      </c>
      <c r="BU31" t="s">
        <v>134</v>
      </c>
      <c r="BV31" t="s">
        <v>134</v>
      </c>
      <c r="BW31" t="s">
        <v>134</v>
      </c>
      <c r="BX31" t="s">
        <v>134</v>
      </c>
      <c r="BY31" t="s">
        <v>134</v>
      </c>
      <c r="BZ31" t="s">
        <v>134</v>
      </c>
      <c r="CA31" t="s">
        <v>134</v>
      </c>
      <c r="CB31" t="s">
        <v>134</v>
      </c>
      <c r="CC31" t="s">
        <v>134</v>
      </c>
      <c r="CD31" t="s">
        <v>134</v>
      </c>
      <c r="CE31" t="s">
        <v>134</v>
      </c>
      <c r="CF31" t="s">
        <v>134</v>
      </c>
      <c r="CG31" t="s">
        <v>134</v>
      </c>
      <c r="CH31" t="s">
        <v>134</v>
      </c>
      <c r="CI31" t="s">
        <v>134</v>
      </c>
      <c r="CJ31" t="s">
        <v>134</v>
      </c>
      <c r="CK31" t="s">
        <v>134</v>
      </c>
      <c r="CL31" t="s">
        <v>134</v>
      </c>
      <c r="CM31" t="s">
        <v>134</v>
      </c>
      <c r="CN31" t="s">
        <v>134</v>
      </c>
      <c r="CO31" t="s">
        <v>134</v>
      </c>
      <c r="CP31" t="s">
        <v>134</v>
      </c>
      <c r="CQ31" t="s">
        <v>134</v>
      </c>
      <c r="CR31" t="s">
        <v>134</v>
      </c>
      <c r="CS31" t="s">
        <v>134</v>
      </c>
      <c r="CT31" t="s">
        <v>134</v>
      </c>
      <c r="CU31" t="s">
        <v>134</v>
      </c>
      <c r="CV31" t="s">
        <v>134</v>
      </c>
      <c r="CW31" t="s">
        <v>134</v>
      </c>
      <c r="CX31" t="s">
        <v>134</v>
      </c>
      <c r="CY31" t="s">
        <v>134</v>
      </c>
      <c r="CZ31" t="s">
        <v>134</v>
      </c>
      <c r="DA31" t="s">
        <v>134</v>
      </c>
      <c r="DB31" t="s">
        <v>134</v>
      </c>
      <c r="DC31" t="s">
        <v>134</v>
      </c>
      <c r="DD31" t="s">
        <v>134</v>
      </c>
      <c r="DE31" t="s">
        <v>134</v>
      </c>
      <c r="DF31" t="s">
        <v>134</v>
      </c>
      <c r="DG31" t="s">
        <v>134</v>
      </c>
      <c r="DH31" t="s">
        <v>134</v>
      </c>
      <c r="DI31" t="s">
        <v>134</v>
      </c>
    </row>
    <row r="32" spans="1:113" x14ac:dyDescent="0.3">
      <c r="E32" t="s">
        <v>7</v>
      </c>
      <c r="F32" t="s">
        <v>134</v>
      </c>
      <c r="G32" t="s">
        <v>134</v>
      </c>
      <c r="H32" t="s">
        <v>134</v>
      </c>
      <c r="I32" t="s">
        <v>134</v>
      </c>
      <c r="J32" t="s">
        <v>134</v>
      </c>
      <c r="K32" t="s">
        <v>134</v>
      </c>
      <c r="L32" t="s">
        <v>134</v>
      </c>
      <c r="M32" t="s">
        <v>134</v>
      </c>
      <c r="N32" t="s">
        <v>134</v>
      </c>
      <c r="O32" t="s">
        <v>134</v>
      </c>
      <c r="P32" t="s">
        <v>134</v>
      </c>
      <c r="Q32" t="s">
        <v>134</v>
      </c>
      <c r="R32" t="s">
        <v>134</v>
      </c>
      <c r="S32" t="s">
        <v>134</v>
      </c>
      <c r="T32" t="s">
        <v>134</v>
      </c>
      <c r="U32" t="s">
        <v>134</v>
      </c>
      <c r="V32" t="s">
        <v>134</v>
      </c>
      <c r="W32" t="s">
        <v>134</v>
      </c>
      <c r="X32" t="s">
        <v>134</v>
      </c>
      <c r="Y32" t="s">
        <v>134</v>
      </c>
      <c r="Z32" t="s">
        <v>134</v>
      </c>
      <c r="AA32" t="s">
        <v>134</v>
      </c>
      <c r="AB32" t="s">
        <v>134</v>
      </c>
      <c r="AC32" t="s">
        <v>134</v>
      </c>
      <c r="AD32" t="s">
        <v>134</v>
      </c>
      <c r="AE32" t="s">
        <v>134</v>
      </c>
      <c r="AF32" t="s">
        <v>134</v>
      </c>
      <c r="AG32" t="s">
        <v>134</v>
      </c>
      <c r="AH32" t="s">
        <v>134</v>
      </c>
      <c r="AI32" t="s">
        <v>134</v>
      </c>
      <c r="AJ32" t="s">
        <v>134</v>
      </c>
      <c r="AK32" t="s">
        <v>134</v>
      </c>
      <c r="AL32" t="s">
        <v>134</v>
      </c>
      <c r="AM32" t="s">
        <v>134</v>
      </c>
      <c r="AN32" t="s">
        <v>134</v>
      </c>
      <c r="AO32" t="s">
        <v>134</v>
      </c>
      <c r="AP32" t="s">
        <v>134</v>
      </c>
      <c r="AQ32" t="s">
        <v>134</v>
      </c>
      <c r="AR32" t="s">
        <v>134</v>
      </c>
      <c r="AS32" t="s">
        <v>134</v>
      </c>
      <c r="AT32" t="s">
        <v>134</v>
      </c>
      <c r="AU32" t="s">
        <v>134</v>
      </c>
      <c r="AV32" t="s">
        <v>134</v>
      </c>
      <c r="AW32" t="s">
        <v>134</v>
      </c>
      <c r="AX32" t="s">
        <v>134</v>
      </c>
      <c r="AY32" t="s">
        <v>134</v>
      </c>
      <c r="AZ32" t="s">
        <v>134</v>
      </c>
      <c r="BA32" t="s">
        <v>134</v>
      </c>
      <c r="BB32" t="s">
        <v>134</v>
      </c>
      <c r="BC32" t="s">
        <v>134</v>
      </c>
      <c r="BD32" t="s">
        <v>134</v>
      </c>
      <c r="BE32" t="s">
        <v>134</v>
      </c>
      <c r="BF32" t="s">
        <v>134</v>
      </c>
      <c r="BG32" t="s">
        <v>134</v>
      </c>
      <c r="BH32" t="s">
        <v>134</v>
      </c>
      <c r="BI32" t="s">
        <v>134</v>
      </c>
      <c r="BJ32" t="s">
        <v>134</v>
      </c>
      <c r="BK32" t="s">
        <v>134</v>
      </c>
      <c r="BL32" t="s">
        <v>134</v>
      </c>
      <c r="BM32" t="s">
        <v>134</v>
      </c>
      <c r="BN32" t="s">
        <v>134</v>
      </c>
      <c r="BO32" t="s">
        <v>134</v>
      </c>
      <c r="BP32" t="s">
        <v>134</v>
      </c>
      <c r="BQ32" t="s">
        <v>134</v>
      </c>
      <c r="BR32" t="s">
        <v>134</v>
      </c>
      <c r="BS32" t="s">
        <v>134</v>
      </c>
      <c r="BT32" t="s">
        <v>134</v>
      </c>
      <c r="BU32" t="s">
        <v>134</v>
      </c>
      <c r="BV32" t="s">
        <v>134</v>
      </c>
      <c r="BW32" t="s">
        <v>134</v>
      </c>
      <c r="BX32" t="s">
        <v>134</v>
      </c>
      <c r="BY32" t="s">
        <v>134</v>
      </c>
      <c r="BZ32" t="s">
        <v>134</v>
      </c>
      <c r="CA32" t="s">
        <v>134</v>
      </c>
      <c r="CB32" t="s">
        <v>134</v>
      </c>
      <c r="CC32" t="s">
        <v>134</v>
      </c>
      <c r="CD32" t="s">
        <v>134</v>
      </c>
      <c r="CE32" t="s">
        <v>134</v>
      </c>
      <c r="CF32" t="s">
        <v>134</v>
      </c>
      <c r="CG32" t="s">
        <v>134</v>
      </c>
      <c r="CH32" t="s">
        <v>134</v>
      </c>
      <c r="CI32" t="s">
        <v>134</v>
      </c>
      <c r="CJ32" t="s">
        <v>134</v>
      </c>
      <c r="CK32" t="s">
        <v>134</v>
      </c>
      <c r="CL32" t="s">
        <v>134</v>
      </c>
      <c r="CM32" t="s">
        <v>134</v>
      </c>
      <c r="CN32" t="s">
        <v>134</v>
      </c>
      <c r="CO32" t="s">
        <v>134</v>
      </c>
      <c r="CP32" t="s">
        <v>134</v>
      </c>
      <c r="CQ32" t="s">
        <v>134</v>
      </c>
      <c r="CR32" t="s">
        <v>134</v>
      </c>
      <c r="CS32" t="s">
        <v>134</v>
      </c>
      <c r="CT32" t="s">
        <v>134</v>
      </c>
      <c r="CU32" t="s">
        <v>134</v>
      </c>
      <c r="CV32" t="s">
        <v>134</v>
      </c>
      <c r="CW32" t="s">
        <v>134</v>
      </c>
      <c r="CX32" t="s">
        <v>134</v>
      </c>
      <c r="CY32" t="s">
        <v>134</v>
      </c>
      <c r="CZ32" t="s">
        <v>134</v>
      </c>
      <c r="DA32" t="s">
        <v>134</v>
      </c>
      <c r="DB32" t="s">
        <v>134</v>
      </c>
      <c r="DC32" t="s">
        <v>134</v>
      </c>
      <c r="DD32" t="s">
        <v>134</v>
      </c>
      <c r="DE32" t="s">
        <v>134</v>
      </c>
      <c r="DF32" t="s">
        <v>134</v>
      </c>
      <c r="DG32" t="s">
        <v>134</v>
      </c>
      <c r="DH32" t="s">
        <v>134</v>
      </c>
      <c r="DI32" t="s">
        <v>134</v>
      </c>
    </row>
    <row r="33" spans="4:113" x14ac:dyDescent="0.3">
      <c r="D33" t="s">
        <v>8</v>
      </c>
      <c r="E33" t="s">
        <v>3</v>
      </c>
      <c r="F33">
        <v>7.1841999999999997</v>
      </c>
      <c r="G33">
        <v>1.9664999999999999</v>
      </c>
      <c r="H33">
        <v>4.1543000000000001</v>
      </c>
      <c r="I33">
        <v>2.7161</v>
      </c>
      <c r="J33">
        <v>2.5247000000000002</v>
      </c>
      <c r="K33">
        <v>1.367</v>
      </c>
      <c r="L33">
        <v>-21.318200000000001</v>
      </c>
      <c r="M33">
        <v>1.5646</v>
      </c>
      <c r="N33">
        <v>1.0867</v>
      </c>
      <c r="O33">
        <v>1.0956999999999999</v>
      </c>
      <c r="P33">
        <v>1.0956999999999999</v>
      </c>
      <c r="Q33">
        <v>30.545500000000001</v>
      </c>
      <c r="R33">
        <v>32.622999999999998</v>
      </c>
      <c r="S33">
        <v>4.8405000000000005</v>
      </c>
      <c r="T33">
        <v>-7.9924999999999997</v>
      </c>
      <c r="U33">
        <v>-45.582099999999997</v>
      </c>
      <c r="V33">
        <v>-57.532299999999999</v>
      </c>
      <c r="W33">
        <v>-30.675899999999999</v>
      </c>
      <c r="X33">
        <v>-30.671700000000001</v>
      </c>
      <c r="Y33">
        <v>-24.137899999999998</v>
      </c>
      <c r="Z33">
        <v>-39.054200000000002</v>
      </c>
      <c r="AA33">
        <v>-30.995799999999999</v>
      </c>
      <c r="AB33">
        <v>6.9716000000000005</v>
      </c>
      <c r="AC33">
        <v>-12.067399999999999</v>
      </c>
      <c r="AD33">
        <v>-41.2729</v>
      </c>
      <c r="AE33">
        <v>-1675.616</v>
      </c>
      <c r="AF33">
        <v>-22.3277</v>
      </c>
      <c r="AG33">
        <v>-52.418900000000001</v>
      </c>
      <c r="AH33">
        <v>-31.6311</v>
      </c>
      <c r="AI33">
        <v>1.1899</v>
      </c>
      <c r="AJ33">
        <v>-17.805499999999999</v>
      </c>
      <c r="AK33">
        <v>1.3536000000000001</v>
      </c>
      <c r="AL33">
        <v>121.5779</v>
      </c>
      <c r="AM33">
        <v>12.379099999999999</v>
      </c>
      <c r="AN33">
        <v>-6.2857000000000003</v>
      </c>
      <c r="AO33">
        <v>-12.708399999999999</v>
      </c>
      <c r="AP33">
        <v>-14.4405</v>
      </c>
      <c r="AQ33">
        <v>-14.4397</v>
      </c>
      <c r="AR33">
        <v>-12.678699999999999</v>
      </c>
      <c r="AS33">
        <v>6.3996000000000004</v>
      </c>
      <c r="AT33">
        <v>3.9756999999999998</v>
      </c>
      <c r="AU33">
        <v>10.741199999999999</v>
      </c>
      <c r="AV33">
        <v>8.5968</v>
      </c>
      <c r="AW33">
        <v>-3.2000000000000001E-2</v>
      </c>
      <c r="AX33" t="s">
        <v>134</v>
      </c>
      <c r="AY33">
        <v>8.8431999999999995</v>
      </c>
      <c r="AZ33">
        <v>4.7515999999999998</v>
      </c>
      <c r="BA33">
        <v>5.5763999999999996</v>
      </c>
      <c r="BB33">
        <v>5.1840999999999999</v>
      </c>
      <c r="BC33">
        <v>5.3718000000000004</v>
      </c>
      <c r="BD33">
        <v>5.5818000000000003</v>
      </c>
      <c r="BE33" t="s">
        <v>134</v>
      </c>
      <c r="BF33">
        <v>-7.9924999999999997</v>
      </c>
      <c r="BG33">
        <v>-45.582099999999997</v>
      </c>
      <c r="BH33">
        <v>-57.532299999999999</v>
      </c>
      <c r="BI33">
        <v>-30.675899999999999</v>
      </c>
      <c r="BJ33">
        <v>-30.671700000000001</v>
      </c>
      <c r="BK33">
        <v>-24.137899999999998</v>
      </c>
      <c r="BL33">
        <v>-39.054200000000002</v>
      </c>
      <c r="BM33">
        <v>-30.995799999999999</v>
      </c>
      <c r="BN33">
        <v>6.9716000000000005</v>
      </c>
      <c r="BO33">
        <v>-12.067399999999999</v>
      </c>
      <c r="BP33">
        <v>-41.2729</v>
      </c>
      <c r="BQ33" t="s">
        <v>134</v>
      </c>
      <c r="BR33">
        <v>-22.3277</v>
      </c>
      <c r="BS33">
        <v>-52.418900000000001</v>
      </c>
      <c r="BT33">
        <v>-31.6311</v>
      </c>
      <c r="BU33">
        <v>1.1899</v>
      </c>
      <c r="BV33">
        <v>-17.805499999999999</v>
      </c>
      <c r="BW33">
        <v>1.3536000000000001</v>
      </c>
      <c r="BX33">
        <v>121.5779</v>
      </c>
      <c r="BY33">
        <v>648929</v>
      </c>
      <c r="BZ33">
        <v>280970.09999999998</v>
      </c>
      <c r="CA33">
        <v>367958.9</v>
      </c>
      <c r="CB33">
        <v>5.7332000000000001</v>
      </c>
      <c r="CC33">
        <v>4.9838000000000005</v>
      </c>
      <c r="CD33">
        <v>10.5891</v>
      </c>
      <c r="CE33">
        <v>9.2048000000000005</v>
      </c>
      <c r="CF33">
        <v>5.8898999999999999</v>
      </c>
      <c r="CG33">
        <v>29.447800000000001</v>
      </c>
      <c r="CH33">
        <v>52.636499999999998</v>
      </c>
      <c r="CI33">
        <v>27.297000000000001</v>
      </c>
      <c r="CJ33">
        <v>15.742000000000001</v>
      </c>
      <c r="CK33">
        <v>92.829300000000003</v>
      </c>
      <c r="CL33">
        <v>48.140700000000002</v>
      </c>
      <c r="CM33">
        <v>27.762499999999999</v>
      </c>
      <c r="CN33">
        <v>80.694400000000002</v>
      </c>
      <c r="CO33">
        <v>44.658000000000001</v>
      </c>
      <c r="CP33">
        <v>113187.2</v>
      </c>
      <c r="CQ33">
        <v>-18403.099999999999</v>
      </c>
      <c r="CR33">
        <v>61283</v>
      </c>
      <c r="CS33">
        <v>8.14E-2</v>
      </c>
      <c r="CT33">
        <v>0.96989999999999998</v>
      </c>
      <c r="CU33">
        <v>0.1547</v>
      </c>
      <c r="CV33">
        <v>2.3425000000000002</v>
      </c>
      <c r="CW33">
        <v>44.4133</v>
      </c>
      <c r="CX33">
        <v>8.2182999999999993</v>
      </c>
      <c r="CY33">
        <v>6.3680000000000003</v>
      </c>
      <c r="CZ33">
        <v>57.317700000000002</v>
      </c>
      <c r="DA33">
        <v>10.1434</v>
      </c>
      <c r="DB33">
        <v>35.984000000000002</v>
      </c>
      <c r="DC33">
        <v>29.552</v>
      </c>
      <c r="DD33">
        <v>65.536000000000001</v>
      </c>
      <c r="DE33">
        <v>499173.9</v>
      </c>
      <c r="DF33">
        <v>114177.7</v>
      </c>
      <c r="DG33">
        <v>46404.800000000003</v>
      </c>
      <c r="DH33">
        <v>300437.2</v>
      </c>
      <c r="DI33">
        <v>38154.199999999997</v>
      </c>
    </row>
    <row r="34" spans="4:113" x14ac:dyDescent="0.3">
      <c r="E34" t="s">
        <v>4</v>
      </c>
      <c r="F34" t="s">
        <v>134</v>
      </c>
      <c r="G34" t="s">
        <v>134</v>
      </c>
      <c r="H34" t="s">
        <v>134</v>
      </c>
      <c r="I34" t="s">
        <v>134</v>
      </c>
      <c r="J34" t="s">
        <v>134</v>
      </c>
      <c r="K34" t="s">
        <v>134</v>
      </c>
      <c r="L34" t="s">
        <v>134</v>
      </c>
      <c r="M34" t="s">
        <v>134</v>
      </c>
      <c r="N34" t="s">
        <v>134</v>
      </c>
      <c r="O34" t="s">
        <v>134</v>
      </c>
      <c r="P34" t="s">
        <v>134</v>
      </c>
      <c r="Q34" t="s">
        <v>134</v>
      </c>
      <c r="R34" t="s">
        <v>134</v>
      </c>
      <c r="S34" t="s">
        <v>134</v>
      </c>
      <c r="T34" t="s">
        <v>134</v>
      </c>
      <c r="U34" t="s">
        <v>134</v>
      </c>
      <c r="V34" t="s">
        <v>134</v>
      </c>
      <c r="W34" t="s">
        <v>134</v>
      </c>
      <c r="X34" t="s">
        <v>134</v>
      </c>
      <c r="Y34" t="s">
        <v>134</v>
      </c>
      <c r="Z34" t="s">
        <v>134</v>
      </c>
      <c r="AA34" t="s">
        <v>134</v>
      </c>
      <c r="AB34" t="s">
        <v>134</v>
      </c>
      <c r="AC34" t="s">
        <v>134</v>
      </c>
      <c r="AD34" t="s">
        <v>134</v>
      </c>
      <c r="AE34" t="s">
        <v>134</v>
      </c>
      <c r="AF34" t="s">
        <v>134</v>
      </c>
      <c r="AG34" t="s">
        <v>134</v>
      </c>
      <c r="AH34" t="s">
        <v>134</v>
      </c>
      <c r="AI34" t="s">
        <v>134</v>
      </c>
      <c r="AJ34" t="s">
        <v>134</v>
      </c>
      <c r="AK34" t="s">
        <v>134</v>
      </c>
      <c r="AL34" t="s">
        <v>134</v>
      </c>
      <c r="AM34" t="s">
        <v>134</v>
      </c>
      <c r="AN34" t="s">
        <v>134</v>
      </c>
      <c r="AO34" t="s">
        <v>134</v>
      </c>
      <c r="AP34" t="s">
        <v>134</v>
      </c>
      <c r="AQ34" t="s">
        <v>134</v>
      </c>
      <c r="AR34" t="s">
        <v>134</v>
      </c>
      <c r="AS34" t="s">
        <v>134</v>
      </c>
      <c r="AT34" t="s">
        <v>134</v>
      </c>
      <c r="AU34" t="s">
        <v>134</v>
      </c>
      <c r="AV34" t="s">
        <v>134</v>
      </c>
      <c r="AW34" t="s">
        <v>134</v>
      </c>
      <c r="AX34" t="s">
        <v>134</v>
      </c>
      <c r="AY34" t="s">
        <v>134</v>
      </c>
      <c r="AZ34" t="s">
        <v>134</v>
      </c>
      <c r="BA34" t="s">
        <v>134</v>
      </c>
      <c r="BB34" t="s">
        <v>134</v>
      </c>
      <c r="BC34" t="s">
        <v>134</v>
      </c>
      <c r="BD34" t="s">
        <v>134</v>
      </c>
      <c r="BE34" t="s">
        <v>134</v>
      </c>
      <c r="BF34" t="s">
        <v>134</v>
      </c>
      <c r="BG34" t="s">
        <v>134</v>
      </c>
      <c r="BH34" t="s">
        <v>134</v>
      </c>
      <c r="BI34" t="s">
        <v>134</v>
      </c>
      <c r="BJ34" t="s">
        <v>134</v>
      </c>
      <c r="BK34" t="s">
        <v>134</v>
      </c>
      <c r="BL34" t="s">
        <v>134</v>
      </c>
      <c r="BM34" t="s">
        <v>134</v>
      </c>
      <c r="BN34" t="s">
        <v>134</v>
      </c>
      <c r="BO34" t="s">
        <v>134</v>
      </c>
      <c r="BP34" t="s">
        <v>134</v>
      </c>
      <c r="BQ34" t="s">
        <v>134</v>
      </c>
      <c r="BR34" t="s">
        <v>134</v>
      </c>
      <c r="BS34" t="s">
        <v>134</v>
      </c>
      <c r="BT34" t="s">
        <v>134</v>
      </c>
      <c r="BU34" t="s">
        <v>134</v>
      </c>
      <c r="BV34" t="s">
        <v>134</v>
      </c>
      <c r="BW34" t="s">
        <v>134</v>
      </c>
      <c r="BX34" t="s">
        <v>134</v>
      </c>
      <c r="BY34" t="s">
        <v>134</v>
      </c>
      <c r="BZ34" t="s">
        <v>134</v>
      </c>
      <c r="CA34" t="s">
        <v>134</v>
      </c>
      <c r="CB34" t="s">
        <v>134</v>
      </c>
      <c r="CC34" t="s">
        <v>134</v>
      </c>
      <c r="CD34" t="s">
        <v>134</v>
      </c>
      <c r="CE34" t="s">
        <v>134</v>
      </c>
      <c r="CF34" t="s">
        <v>134</v>
      </c>
      <c r="CG34" t="s">
        <v>134</v>
      </c>
      <c r="CH34" t="s">
        <v>134</v>
      </c>
      <c r="CI34" t="s">
        <v>134</v>
      </c>
      <c r="CJ34" t="s">
        <v>134</v>
      </c>
      <c r="CK34" t="s">
        <v>134</v>
      </c>
      <c r="CL34" t="s">
        <v>134</v>
      </c>
      <c r="CM34" t="s">
        <v>134</v>
      </c>
      <c r="CN34" t="s">
        <v>134</v>
      </c>
      <c r="CO34" t="s">
        <v>134</v>
      </c>
      <c r="CP34" t="s">
        <v>134</v>
      </c>
      <c r="CQ34" t="s">
        <v>134</v>
      </c>
      <c r="CR34" t="s">
        <v>134</v>
      </c>
      <c r="CS34" t="s">
        <v>134</v>
      </c>
      <c r="CT34" t="s">
        <v>134</v>
      </c>
      <c r="CU34" t="s">
        <v>134</v>
      </c>
      <c r="CV34" t="s">
        <v>134</v>
      </c>
      <c r="CW34" t="s">
        <v>134</v>
      </c>
      <c r="CX34" t="s">
        <v>134</v>
      </c>
      <c r="CY34" t="s">
        <v>134</v>
      </c>
      <c r="CZ34" t="s">
        <v>134</v>
      </c>
      <c r="DA34" t="s">
        <v>134</v>
      </c>
      <c r="DB34" t="s">
        <v>134</v>
      </c>
      <c r="DC34" t="s">
        <v>134</v>
      </c>
      <c r="DD34" t="s">
        <v>134</v>
      </c>
      <c r="DE34" t="s">
        <v>134</v>
      </c>
      <c r="DF34" t="s">
        <v>134</v>
      </c>
      <c r="DG34" t="s">
        <v>134</v>
      </c>
      <c r="DH34" t="s">
        <v>134</v>
      </c>
      <c r="DI34" t="s">
        <v>134</v>
      </c>
    </row>
    <row r="35" spans="4:113" x14ac:dyDescent="0.3">
      <c r="E35" t="s">
        <v>5</v>
      </c>
      <c r="F35" t="s">
        <v>134</v>
      </c>
      <c r="G35" t="s">
        <v>134</v>
      </c>
      <c r="H35" t="s">
        <v>134</v>
      </c>
      <c r="I35" t="s">
        <v>134</v>
      </c>
      <c r="J35" t="s">
        <v>134</v>
      </c>
      <c r="K35" t="s">
        <v>134</v>
      </c>
      <c r="L35" t="s">
        <v>134</v>
      </c>
      <c r="M35" t="s">
        <v>134</v>
      </c>
      <c r="N35" t="s">
        <v>134</v>
      </c>
      <c r="O35" t="s">
        <v>134</v>
      </c>
      <c r="P35" t="s">
        <v>134</v>
      </c>
      <c r="Q35" t="s">
        <v>134</v>
      </c>
      <c r="R35" t="s">
        <v>134</v>
      </c>
      <c r="S35" t="s">
        <v>134</v>
      </c>
      <c r="T35" t="s">
        <v>134</v>
      </c>
      <c r="U35" t="s">
        <v>134</v>
      </c>
      <c r="V35" t="s">
        <v>134</v>
      </c>
      <c r="W35" t="s">
        <v>134</v>
      </c>
      <c r="X35" t="s">
        <v>134</v>
      </c>
      <c r="Y35" t="s">
        <v>134</v>
      </c>
      <c r="Z35" t="s">
        <v>134</v>
      </c>
      <c r="AA35" t="s">
        <v>134</v>
      </c>
      <c r="AB35" t="s">
        <v>134</v>
      </c>
      <c r="AC35" t="s">
        <v>134</v>
      </c>
      <c r="AD35" t="s">
        <v>134</v>
      </c>
      <c r="AE35" t="s">
        <v>134</v>
      </c>
      <c r="AF35" t="s">
        <v>134</v>
      </c>
      <c r="AG35" t="s">
        <v>134</v>
      </c>
      <c r="AH35" t="s">
        <v>134</v>
      </c>
      <c r="AI35" t="s">
        <v>134</v>
      </c>
      <c r="AJ35" t="s">
        <v>134</v>
      </c>
      <c r="AK35" t="s">
        <v>134</v>
      </c>
      <c r="AL35" t="s">
        <v>134</v>
      </c>
      <c r="AM35" t="s">
        <v>134</v>
      </c>
      <c r="AN35" t="s">
        <v>134</v>
      </c>
      <c r="AO35" t="s">
        <v>134</v>
      </c>
      <c r="AP35" t="s">
        <v>134</v>
      </c>
      <c r="AQ35" t="s">
        <v>134</v>
      </c>
      <c r="AR35" t="s">
        <v>134</v>
      </c>
      <c r="AS35" t="s">
        <v>134</v>
      </c>
      <c r="AT35" t="s">
        <v>134</v>
      </c>
      <c r="AU35" t="s">
        <v>134</v>
      </c>
      <c r="AV35" t="s">
        <v>134</v>
      </c>
      <c r="AW35" t="s">
        <v>134</v>
      </c>
      <c r="AX35" t="s">
        <v>134</v>
      </c>
      <c r="AY35" t="s">
        <v>134</v>
      </c>
      <c r="AZ35" t="s">
        <v>134</v>
      </c>
      <c r="BA35" t="s">
        <v>134</v>
      </c>
      <c r="BB35" t="s">
        <v>134</v>
      </c>
      <c r="BC35" t="s">
        <v>134</v>
      </c>
      <c r="BD35" t="s">
        <v>134</v>
      </c>
      <c r="BE35" t="s">
        <v>134</v>
      </c>
      <c r="BF35" t="s">
        <v>134</v>
      </c>
      <c r="BG35" t="s">
        <v>134</v>
      </c>
      <c r="BH35" t="s">
        <v>134</v>
      </c>
      <c r="BI35" t="s">
        <v>134</v>
      </c>
      <c r="BJ35" t="s">
        <v>134</v>
      </c>
      <c r="BK35" t="s">
        <v>134</v>
      </c>
      <c r="BL35" t="s">
        <v>134</v>
      </c>
      <c r="BM35" t="s">
        <v>134</v>
      </c>
      <c r="BN35" t="s">
        <v>134</v>
      </c>
      <c r="BO35" t="s">
        <v>134</v>
      </c>
      <c r="BP35" t="s">
        <v>134</v>
      </c>
      <c r="BQ35" t="s">
        <v>134</v>
      </c>
      <c r="BR35" t="s">
        <v>134</v>
      </c>
      <c r="BS35" t="s">
        <v>134</v>
      </c>
      <c r="BT35" t="s">
        <v>134</v>
      </c>
      <c r="BU35" t="s">
        <v>134</v>
      </c>
      <c r="BV35" t="s">
        <v>134</v>
      </c>
      <c r="BW35" t="s">
        <v>134</v>
      </c>
      <c r="BX35" t="s">
        <v>134</v>
      </c>
      <c r="BY35" t="s">
        <v>134</v>
      </c>
      <c r="BZ35" t="s">
        <v>134</v>
      </c>
      <c r="CA35" t="s">
        <v>134</v>
      </c>
      <c r="CB35" t="s">
        <v>134</v>
      </c>
      <c r="CC35" t="s">
        <v>134</v>
      </c>
      <c r="CD35" t="s">
        <v>134</v>
      </c>
      <c r="CE35" t="s">
        <v>134</v>
      </c>
      <c r="CF35" t="s">
        <v>134</v>
      </c>
      <c r="CG35" t="s">
        <v>134</v>
      </c>
      <c r="CH35" t="s">
        <v>134</v>
      </c>
      <c r="CI35" t="s">
        <v>134</v>
      </c>
      <c r="CJ35" t="s">
        <v>134</v>
      </c>
      <c r="CK35" t="s">
        <v>134</v>
      </c>
      <c r="CL35" t="s">
        <v>134</v>
      </c>
      <c r="CM35" t="s">
        <v>134</v>
      </c>
      <c r="CN35" t="s">
        <v>134</v>
      </c>
      <c r="CO35" t="s">
        <v>134</v>
      </c>
      <c r="CP35" t="s">
        <v>134</v>
      </c>
      <c r="CQ35" t="s">
        <v>134</v>
      </c>
      <c r="CR35" t="s">
        <v>134</v>
      </c>
      <c r="CS35" t="s">
        <v>134</v>
      </c>
      <c r="CT35" t="s">
        <v>134</v>
      </c>
      <c r="CU35" t="s">
        <v>134</v>
      </c>
      <c r="CV35" t="s">
        <v>134</v>
      </c>
      <c r="CW35" t="s">
        <v>134</v>
      </c>
      <c r="CX35" t="s">
        <v>134</v>
      </c>
      <c r="CY35" t="s">
        <v>134</v>
      </c>
      <c r="CZ35" t="s">
        <v>134</v>
      </c>
      <c r="DA35" t="s">
        <v>134</v>
      </c>
      <c r="DB35" t="s">
        <v>134</v>
      </c>
      <c r="DC35" t="s">
        <v>134</v>
      </c>
      <c r="DD35" t="s">
        <v>134</v>
      </c>
      <c r="DE35" t="s">
        <v>134</v>
      </c>
      <c r="DF35" t="s">
        <v>134</v>
      </c>
      <c r="DG35" t="s">
        <v>134</v>
      </c>
      <c r="DH35" t="s">
        <v>134</v>
      </c>
      <c r="DI35" t="s">
        <v>134</v>
      </c>
    </row>
    <row r="36" spans="4:113" x14ac:dyDescent="0.3">
      <c r="E36" t="s">
        <v>6</v>
      </c>
      <c r="F36" t="s">
        <v>134</v>
      </c>
      <c r="G36" t="s">
        <v>134</v>
      </c>
      <c r="H36" t="s">
        <v>134</v>
      </c>
      <c r="I36" t="s">
        <v>134</v>
      </c>
      <c r="J36" t="s">
        <v>134</v>
      </c>
      <c r="K36" t="s">
        <v>134</v>
      </c>
      <c r="L36" t="s">
        <v>134</v>
      </c>
      <c r="M36" t="s">
        <v>134</v>
      </c>
      <c r="N36" t="s">
        <v>134</v>
      </c>
      <c r="O36" t="s">
        <v>134</v>
      </c>
      <c r="P36" t="s">
        <v>134</v>
      </c>
      <c r="Q36" t="s">
        <v>134</v>
      </c>
      <c r="R36" t="s">
        <v>134</v>
      </c>
      <c r="S36" t="s">
        <v>134</v>
      </c>
      <c r="T36" t="s">
        <v>134</v>
      </c>
      <c r="U36" t="s">
        <v>134</v>
      </c>
      <c r="V36" t="s">
        <v>134</v>
      </c>
      <c r="W36" t="s">
        <v>134</v>
      </c>
      <c r="X36" t="s">
        <v>134</v>
      </c>
      <c r="Y36" t="s">
        <v>134</v>
      </c>
      <c r="Z36" t="s">
        <v>134</v>
      </c>
      <c r="AA36" t="s">
        <v>134</v>
      </c>
      <c r="AB36" t="s">
        <v>134</v>
      </c>
      <c r="AC36" t="s">
        <v>134</v>
      </c>
      <c r="AD36" t="s">
        <v>134</v>
      </c>
      <c r="AE36" t="s">
        <v>134</v>
      </c>
      <c r="AF36" t="s">
        <v>134</v>
      </c>
      <c r="AG36" t="s">
        <v>134</v>
      </c>
      <c r="AH36" t="s">
        <v>134</v>
      </c>
      <c r="AI36" t="s">
        <v>134</v>
      </c>
      <c r="AJ36" t="s">
        <v>134</v>
      </c>
      <c r="AK36" t="s">
        <v>134</v>
      </c>
      <c r="AL36" t="s">
        <v>134</v>
      </c>
      <c r="AM36" t="s">
        <v>134</v>
      </c>
      <c r="AN36" t="s">
        <v>134</v>
      </c>
      <c r="AO36" t="s">
        <v>134</v>
      </c>
      <c r="AP36" t="s">
        <v>134</v>
      </c>
      <c r="AQ36" t="s">
        <v>134</v>
      </c>
      <c r="AR36" t="s">
        <v>134</v>
      </c>
      <c r="AS36" t="s">
        <v>134</v>
      </c>
      <c r="AT36" t="s">
        <v>134</v>
      </c>
      <c r="AU36" t="s">
        <v>134</v>
      </c>
      <c r="AV36" t="s">
        <v>134</v>
      </c>
      <c r="AW36" t="s">
        <v>134</v>
      </c>
      <c r="AX36" t="s">
        <v>134</v>
      </c>
      <c r="AY36" t="s">
        <v>134</v>
      </c>
      <c r="AZ36" t="s">
        <v>134</v>
      </c>
      <c r="BA36" t="s">
        <v>134</v>
      </c>
      <c r="BB36" t="s">
        <v>134</v>
      </c>
      <c r="BC36" t="s">
        <v>134</v>
      </c>
      <c r="BD36" t="s">
        <v>134</v>
      </c>
      <c r="BE36" t="s">
        <v>134</v>
      </c>
      <c r="BF36" t="s">
        <v>134</v>
      </c>
      <c r="BG36" t="s">
        <v>134</v>
      </c>
      <c r="BH36" t="s">
        <v>134</v>
      </c>
      <c r="BI36" t="s">
        <v>134</v>
      </c>
      <c r="BJ36" t="s">
        <v>134</v>
      </c>
      <c r="BK36" t="s">
        <v>134</v>
      </c>
      <c r="BL36" t="s">
        <v>134</v>
      </c>
      <c r="BM36" t="s">
        <v>134</v>
      </c>
      <c r="BN36" t="s">
        <v>134</v>
      </c>
      <c r="BO36" t="s">
        <v>134</v>
      </c>
      <c r="BP36" t="s">
        <v>134</v>
      </c>
      <c r="BQ36" t="s">
        <v>134</v>
      </c>
      <c r="BR36" t="s">
        <v>134</v>
      </c>
      <c r="BS36" t="s">
        <v>134</v>
      </c>
      <c r="BT36" t="s">
        <v>134</v>
      </c>
      <c r="BU36" t="s">
        <v>134</v>
      </c>
      <c r="BV36" t="s">
        <v>134</v>
      </c>
      <c r="BW36" t="s">
        <v>134</v>
      </c>
      <c r="BX36" t="s">
        <v>134</v>
      </c>
      <c r="BY36" t="s">
        <v>134</v>
      </c>
      <c r="BZ36" t="s">
        <v>134</v>
      </c>
      <c r="CA36" t="s">
        <v>134</v>
      </c>
      <c r="CB36" t="s">
        <v>134</v>
      </c>
      <c r="CC36" t="s">
        <v>134</v>
      </c>
      <c r="CD36" t="s">
        <v>134</v>
      </c>
      <c r="CE36" t="s">
        <v>134</v>
      </c>
      <c r="CF36" t="s">
        <v>134</v>
      </c>
      <c r="CG36" t="s">
        <v>134</v>
      </c>
      <c r="CH36" t="s">
        <v>134</v>
      </c>
      <c r="CI36" t="s">
        <v>134</v>
      </c>
      <c r="CJ36" t="s">
        <v>134</v>
      </c>
      <c r="CK36" t="s">
        <v>134</v>
      </c>
      <c r="CL36" t="s">
        <v>134</v>
      </c>
      <c r="CM36" t="s">
        <v>134</v>
      </c>
      <c r="CN36" t="s">
        <v>134</v>
      </c>
      <c r="CO36" t="s">
        <v>134</v>
      </c>
      <c r="CP36" t="s">
        <v>134</v>
      </c>
      <c r="CQ36" t="s">
        <v>134</v>
      </c>
      <c r="CR36" t="s">
        <v>134</v>
      </c>
      <c r="CS36" t="s">
        <v>134</v>
      </c>
      <c r="CT36" t="s">
        <v>134</v>
      </c>
      <c r="CU36" t="s">
        <v>134</v>
      </c>
      <c r="CV36" t="s">
        <v>134</v>
      </c>
      <c r="CW36" t="s">
        <v>134</v>
      </c>
      <c r="CX36" t="s">
        <v>134</v>
      </c>
      <c r="CY36" t="s">
        <v>134</v>
      </c>
      <c r="CZ36" t="s">
        <v>134</v>
      </c>
      <c r="DA36" t="s">
        <v>134</v>
      </c>
      <c r="DB36" t="s">
        <v>134</v>
      </c>
      <c r="DC36" t="s">
        <v>134</v>
      </c>
      <c r="DD36" t="s">
        <v>134</v>
      </c>
      <c r="DE36" t="s">
        <v>134</v>
      </c>
      <c r="DF36" t="s">
        <v>134</v>
      </c>
      <c r="DG36" t="s">
        <v>134</v>
      </c>
      <c r="DH36" t="s">
        <v>134</v>
      </c>
      <c r="DI36" t="s">
        <v>134</v>
      </c>
    </row>
    <row r="37" spans="4:113" x14ac:dyDescent="0.3">
      <c r="E37" t="s">
        <v>7</v>
      </c>
      <c r="F37" t="s">
        <v>134</v>
      </c>
      <c r="G37" t="s">
        <v>134</v>
      </c>
      <c r="H37" t="s">
        <v>134</v>
      </c>
      <c r="I37" t="s">
        <v>134</v>
      </c>
      <c r="J37" t="s">
        <v>134</v>
      </c>
      <c r="K37" t="s">
        <v>134</v>
      </c>
      <c r="L37" t="s">
        <v>134</v>
      </c>
      <c r="M37" t="s">
        <v>134</v>
      </c>
      <c r="N37" t="s">
        <v>134</v>
      </c>
      <c r="O37" t="s">
        <v>134</v>
      </c>
      <c r="P37" t="s">
        <v>134</v>
      </c>
      <c r="Q37" t="s">
        <v>134</v>
      </c>
      <c r="R37" t="s">
        <v>134</v>
      </c>
      <c r="S37" t="s">
        <v>134</v>
      </c>
      <c r="T37" t="s">
        <v>134</v>
      </c>
      <c r="U37" t="s">
        <v>134</v>
      </c>
      <c r="V37" t="s">
        <v>134</v>
      </c>
      <c r="W37" t="s">
        <v>134</v>
      </c>
      <c r="X37" t="s">
        <v>134</v>
      </c>
      <c r="Y37" t="s">
        <v>134</v>
      </c>
      <c r="Z37" t="s">
        <v>134</v>
      </c>
      <c r="AA37" t="s">
        <v>134</v>
      </c>
      <c r="AB37" t="s">
        <v>134</v>
      </c>
      <c r="AC37" t="s">
        <v>134</v>
      </c>
      <c r="AD37" t="s">
        <v>134</v>
      </c>
      <c r="AE37" t="s">
        <v>134</v>
      </c>
      <c r="AF37" t="s">
        <v>134</v>
      </c>
      <c r="AG37" t="s">
        <v>134</v>
      </c>
      <c r="AH37" t="s">
        <v>134</v>
      </c>
      <c r="AI37" t="s">
        <v>134</v>
      </c>
      <c r="AJ37" t="s">
        <v>134</v>
      </c>
      <c r="AK37" t="s">
        <v>134</v>
      </c>
      <c r="AL37" t="s">
        <v>134</v>
      </c>
      <c r="AM37" t="s">
        <v>134</v>
      </c>
      <c r="AN37" t="s">
        <v>134</v>
      </c>
      <c r="AO37" t="s">
        <v>134</v>
      </c>
      <c r="AP37" t="s">
        <v>134</v>
      </c>
      <c r="AQ37" t="s">
        <v>134</v>
      </c>
      <c r="AR37" t="s">
        <v>134</v>
      </c>
      <c r="AS37" t="s">
        <v>134</v>
      </c>
      <c r="AT37" t="s">
        <v>134</v>
      </c>
      <c r="AU37" t="s">
        <v>134</v>
      </c>
      <c r="AV37" t="s">
        <v>134</v>
      </c>
      <c r="AW37" t="s">
        <v>134</v>
      </c>
      <c r="AX37" t="s">
        <v>134</v>
      </c>
      <c r="AY37" t="s">
        <v>134</v>
      </c>
      <c r="AZ37" t="s">
        <v>134</v>
      </c>
      <c r="BA37" t="s">
        <v>134</v>
      </c>
      <c r="BB37" t="s">
        <v>134</v>
      </c>
      <c r="BC37" t="s">
        <v>134</v>
      </c>
      <c r="BD37" t="s">
        <v>134</v>
      </c>
      <c r="BE37" t="s">
        <v>134</v>
      </c>
      <c r="BF37" t="s">
        <v>134</v>
      </c>
      <c r="BG37" t="s">
        <v>134</v>
      </c>
      <c r="BH37" t="s">
        <v>134</v>
      </c>
      <c r="BI37" t="s">
        <v>134</v>
      </c>
      <c r="BJ37" t="s">
        <v>134</v>
      </c>
      <c r="BK37" t="s">
        <v>134</v>
      </c>
      <c r="BL37" t="s">
        <v>134</v>
      </c>
      <c r="BM37" t="s">
        <v>134</v>
      </c>
      <c r="BN37" t="s">
        <v>134</v>
      </c>
      <c r="BO37" t="s">
        <v>134</v>
      </c>
      <c r="BP37" t="s">
        <v>134</v>
      </c>
      <c r="BQ37" t="s">
        <v>134</v>
      </c>
      <c r="BR37" t="s">
        <v>134</v>
      </c>
      <c r="BS37" t="s">
        <v>134</v>
      </c>
      <c r="BT37" t="s">
        <v>134</v>
      </c>
      <c r="BU37" t="s">
        <v>134</v>
      </c>
      <c r="BV37" t="s">
        <v>134</v>
      </c>
      <c r="BW37" t="s">
        <v>134</v>
      </c>
      <c r="BX37" t="s">
        <v>134</v>
      </c>
      <c r="BY37" t="s">
        <v>134</v>
      </c>
      <c r="BZ37" t="s">
        <v>134</v>
      </c>
      <c r="CA37" t="s">
        <v>134</v>
      </c>
      <c r="CB37" t="s">
        <v>134</v>
      </c>
      <c r="CC37" t="s">
        <v>134</v>
      </c>
      <c r="CD37" t="s">
        <v>134</v>
      </c>
      <c r="CE37" t="s">
        <v>134</v>
      </c>
      <c r="CF37" t="s">
        <v>134</v>
      </c>
      <c r="CG37" t="s">
        <v>134</v>
      </c>
      <c r="CH37" t="s">
        <v>134</v>
      </c>
      <c r="CI37" t="s">
        <v>134</v>
      </c>
      <c r="CJ37" t="s">
        <v>134</v>
      </c>
      <c r="CK37" t="s">
        <v>134</v>
      </c>
      <c r="CL37" t="s">
        <v>134</v>
      </c>
      <c r="CM37" t="s">
        <v>134</v>
      </c>
      <c r="CN37" t="s">
        <v>134</v>
      </c>
      <c r="CO37" t="s">
        <v>134</v>
      </c>
      <c r="CP37" t="s">
        <v>134</v>
      </c>
      <c r="CQ37" t="s">
        <v>134</v>
      </c>
      <c r="CR37" t="s">
        <v>134</v>
      </c>
      <c r="CS37" t="s">
        <v>134</v>
      </c>
      <c r="CT37" t="s">
        <v>134</v>
      </c>
      <c r="CU37" t="s">
        <v>134</v>
      </c>
      <c r="CV37" t="s">
        <v>134</v>
      </c>
      <c r="CW37" t="s">
        <v>134</v>
      </c>
      <c r="CX37" t="s">
        <v>134</v>
      </c>
      <c r="CY37" t="s">
        <v>134</v>
      </c>
      <c r="CZ37" t="s">
        <v>134</v>
      </c>
      <c r="DA37" t="s">
        <v>134</v>
      </c>
      <c r="DB37" t="s">
        <v>134</v>
      </c>
      <c r="DC37" t="s">
        <v>134</v>
      </c>
      <c r="DD37" t="s">
        <v>134</v>
      </c>
      <c r="DE37" t="s">
        <v>134</v>
      </c>
      <c r="DF37" t="s">
        <v>134</v>
      </c>
      <c r="DG37" t="s">
        <v>134</v>
      </c>
      <c r="DH37" t="s">
        <v>134</v>
      </c>
      <c r="DI37" t="s">
        <v>134</v>
      </c>
    </row>
    <row r="38" spans="4:113" x14ac:dyDescent="0.3">
      <c r="D38" t="s">
        <v>9</v>
      </c>
      <c r="E38" t="s">
        <v>3</v>
      </c>
      <c r="F38">
        <v>15.493399999999999</v>
      </c>
      <c r="G38">
        <v>4.7163000000000004</v>
      </c>
      <c r="H38">
        <v>9.2647999999999993</v>
      </c>
      <c r="I38">
        <v>8.7374000000000009</v>
      </c>
      <c r="J38">
        <v>6.9780999999999995</v>
      </c>
      <c r="K38">
        <v>5.3231999999999999</v>
      </c>
      <c r="L38" t="s">
        <v>134</v>
      </c>
      <c r="M38">
        <v>4.8693999999999997</v>
      </c>
      <c r="N38">
        <v>3.2745000000000002</v>
      </c>
      <c r="O38">
        <v>3.1655000000000002</v>
      </c>
      <c r="P38">
        <v>3.1655000000000002</v>
      </c>
      <c r="Q38">
        <v>32.753799999999998</v>
      </c>
      <c r="R38">
        <v>30.2974</v>
      </c>
      <c r="S38">
        <v>10.799300000000001</v>
      </c>
      <c r="T38">
        <v>-20.912700000000001</v>
      </c>
      <c r="U38">
        <v>118.5421</v>
      </c>
      <c r="V38">
        <v>207.95869999999999</v>
      </c>
      <c r="W38">
        <v>128.4034</v>
      </c>
      <c r="X38">
        <v>128.42310000000001</v>
      </c>
      <c r="Y38">
        <v>112.1212</v>
      </c>
      <c r="Z38">
        <v>13.231999999999999</v>
      </c>
      <c r="AA38">
        <v>-15.6713</v>
      </c>
      <c r="AB38">
        <v>9.8363999999999994</v>
      </c>
      <c r="AC38">
        <v>3.5427</v>
      </c>
      <c r="AD38">
        <v>-0.91679999999999995</v>
      </c>
      <c r="AE38">
        <v>-117.8167</v>
      </c>
      <c r="AF38">
        <v>-20.8673</v>
      </c>
      <c r="AG38">
        <v>10.193199999999999</v>
      </c>
      <c r="AH38">
        <v>-5.4932999999999996</v>
      </c>
      <c r="AI38">
        <v>10.7326</v>
      </c>
      <c r="AJ38">
        <v>2.9213</v>
      </c>
      <c r="AK38">
        <v>10.4046</v>
      </c>
      <c r="AL38">
        <v>-44.256</v>
      </c>
      <c r="AM38">
        <v>2.7866999999999997</v>
      </c>
      <c r="AN38">
        <v>11.0023</v>
      </c>
      <c r="AO38">
        <v>14.1775</v>
      </c>
      <c r="AP38">
        <v>7.4564000000000004</v>
      </c>
      <c r="AQ38">
        <v>7.4585999999999997</v>
      </c>
      <c r="AR38">
        <v>8.0640000000000001</v>
      </c>
      <c r="AS38">
        <v>2.4196</v>
      </c>
      <c r="AT38">
        <v>-5.1753</v>
      </c>
      <c r="AU38">
        <v>11.4198</v>
      </c>
      <c r="AV38">
        <v>5.5661000000000005</v>
      </c>
      <c r="AW38">
        <v>-4.9375999999999998</v>
      </c>
      <c r="AX38" t="s">
        <v>134</v>
      </c>
      <c r="AY38">
        <v>-3.1943999999999999</v>
      </c>
      <c r="AZ38">
        <v>-5.1924000000000001</v>
      </c>
      <c r="BA38">
        <v>1.2051000000000001</v>
      </c>
      <c r="BB38">
        <v>5.3791000000000002</v>
      </c>
      <c r="BC38">
        <v>3.4083000000000001</v>
      </c>
      <c r="BD38">
        <v>5.7081999999999997</v>
      </c>
      <c r="BE38">
        <v>31.220500000000001</v>
      </c>
      <c r="BF38">
        <v>-20.912700000000001</v>
      </c>
      <c r="BG38">
        <v>118.5421</v>
      </c>
      <c r="BH38">
        <v>207.95869999999999</v>
      </c>
      <c r="BI38">
        <v>128.4034</v>
      </c>
      <c r="BJ38">
        <v>128.42310000000001</v>
      </c>
      <c r="BK38">
        <v>112.1212</v>
      </c>
      <c r="BL38">
        <v>13.231999999999999</v>
      </c>
      <c r="BM38">
        <v>-15.6713</v>
      </c>
      <c r="BN38">
        <v>9.8363999999999994</v>
      </c>
      <c r="BO38">
        <v>3.5427</v>
      </c>
      <c r="BP38">
        <v>-0.91679999999999995</v>
      </c>
      <c r="BQ38" t="s">
        <v>134</v>
      </c>
      <c r="BR38">
        <v>-20.8673</v>
      </c>
      <c r="BS38">
        <v>10.193199999999999</v>
      </c>
      <c r="BT38">
        <v>-5.4932999999999996</v>
      </c>
      <c r="BU38">
        <v>10.7326</v>
      </c>
      <c r="BV38">
        <v>2.9213</v>
      </c>
      <c r="BW38">
        <v>10.4046</v>
      </c>
      <c r="BX38">
        <v>-44.256</v>
      </c>
      <c r="BY38">
        <v>613281.1</v>
      </c>
      <c r="BZ38">
        <v>309609.90000000002</v>
      </c>
      <c r="CA38">
        <v>303671.2</v>
      </c>
      <c r="CB38">
        <v>2.4797000000000002</v>
      </c>
      <c r="CC38">
        <v>2.1261999999999999</v>
      </c>
      <c r="CD38">
        <v>3.2505999999999999</v>
      </c>
      <c r="CE38">
        <v>2.7871000000000001</v>
      </c>
      <c r="CF38">
        <v>15.6096</v>
      </c>
      <c r="CG38">
        <v>31.3993</v>
      </c>
      <c r="CH38">
        <v>39.229799999999997</v>
      </c>
      <c r="CI38">
        <v>21.888400000000001</v>
      </c>
      <c r="CJ38">
        <v>12.5471</v>
      </c>
      <c r="CK38">
        <v>79.226799999999997</v>
      </c>
      <c r="CL38">
        <v>44.204799999999999</v>
      </c>
      <c r="CM38">
        <v>25.339700000000001</v>
      </c>
      <c r="CN38">
        <v>67.930999999999997</v>
      </c>
      <c r="CO38">
        <v>40.451700000000002</v>
      </c>
      <c r="CP38">
        <v>247320.2</v>
      </c>
      <c r="CQ38">
        <v>90718.399999999994</v>
      </c>
      <c r="CR38">
        <v>188667.8</v>
      </c>
      <c r="CS38">
        <v>8.4000000000000005E-2</v>
      </c>
      <c r="CT38">
        <v>0.90759999999999996</v>
      </c>
      <c r="CU38">
        <v>0.16719999999999999</v>
      </c>
      <c r="CV38">
        <v>2.1291000000000002</v>
      </c>
      <c r="CW38">
        <v>43.464500000000001</v>
      </c>
      <c r="CX38">
        <v>8.4207000000000001</v>
      </c>
      <c r="CY38">
        <v>6.2058</v>
      </c>
      <c r="CZ38">
        <v>58.977200000000003</v>
      </c>
      <c r="DA38">
        <v>9.8445</v>
      </c>
      <c r="DB38">
        <v>37.178199999999997</v>
      </c>
      <c r="DC38">
        <v>30.2197</v>
      </c>
      <c r="DD38">
        <v>67.397900000000007</v>
      </c>
      <c r="DE38">
        <v>420946.7</v>
      </c>
      <c r="DF38">
        <v>87922.4</v>
      </c>
      <c r="DG38">
        <v>28335.8</v>
      </c>
      <c r="DH38">
        <v>267876.3</v>
      </c>
      <c r="DI38">
        <v>36812.199999999997</v>
      </c>
    </row>
    <row r="39" spans="4:113" x14ac:dyDescent="0.3">
      <c r="E39" t="s">
        <v>4</v>
      </c>
      <c r="F39" t="s">
        <v>134</v>
      </c>
      <c r="G39" t="s">
        <v>134</v>
      </c>
      <c r="H39" t="s">
        <v>134</v>
      </c>
      <c r="I39" t="s">
        <v>134</v>
      </c>
      <c r="J39" t="s">
        <v>134</v>
      </c>
      <c r="K39" t="s">
        <v>134</v>
      </c>
      <c r="L39" t="s">
        <v>134</v>
      </c>
      <c r="M39" t="s">
        <v>134</v>
      </c>
      <c r="N39" t="s">
        <v>134</v>
      </c>
      <c r="O39" t="s">
        <v>134</v>
      </c>
      <c r="P39" t="s">
        <v>134</v>
      </c>
      <c r="Q39" t="s">
        <v>134</v>
      </c>
      <c r="R39" t="s">
        <v>134</v>
      </c>
      <c r="S39" t="s">
        <v>134</v>
      </c>
      <c r="T39" t="s">
        <v>134</v>
      </c>
      <c r="U39" t="s">
        <v>134</v>
      </c>
      <c r="V39" t="s">
        <v>134</v>
      </c>
      <c r="W39" t="s">
        <v>134</v>
      </c>
      <c r="X39" t="s">
        <v>134</v>
      </c>
      <c r="Y39" t="s">
        <v>134</v>
      </c>
      <c r="Z39" t="s">
        <v>134</v>
      </c>
      <c r="AA39" t="s">
        <v>134</v>
      </c>
      <c r="AB39" t="s">
        <v>134</v>
      </c>
      <c r="AC39" t="s">
        <v>134</v>
      </c>
      <c r="AD39" t="s">
        <v>134</v>
      </c>
      <c r="AE39" t="s">
        <v>134</v>
      </c>
      <c r="AF39" t="s">
        <v>134</v>
      </c>
      <c r="AG39" t="s">
        <v>134</v>
      </c>
      <c r="AH39" t="s">
        <v>134</v>
      </c>
      <c r="AI39" t="s">
        <v>134</v>
      </c>
      <c r="AJ39" t="s">
        <v>134</v>
      </c>
      <c r="AK39" t="s">
        <v>134</v>
      </c>
      <c r="AL39" t="s">
        <v>134</v>
      </c>
      <c r="AM39" t="s">
        <v>134</v>
      </c>
      <c r="AN39" t="s">
        <v>134</v>
      </c>
      <c r="AO39" t="s">
        <v>134</v>
      </c>
      <c r="AP39" t="s">
        <v>134</v>
      </c>
      <c r="AQ39" t="s">
        <v>134</v>
      </c>
      <c r="AR39" t="s">
        <v>134</v>
      </c>
      <c r="AS39" t="s">
        <v>134</v>
      </c>
      <c r="AT39" t="s">
        <v>134</v>
      </c>
      <c r="AU39" t="s">
        <v>134</v>
      </c>
      <c r="AV39" t="s">
        <v>134</v>
      </c>
      <c r="AW39" t="s">
        <v>134</v>
      </c>
      <c r="AX39" t="s">
        <v>134</v>
      </c>
      <c r="AY39" t="s">
        <v>134</v>
      </c>
      <c r="AZ39" t="s">
        <v>134</v>
      </c>
      <c r="BA39" t="s">
        <v>134</v>
      </c>
      <c r="BB39" t="s">
        <v>134</v>
      </c>
      <c r="BC39" t="s">
        <v>134</v>
      </c>
      <c r="BD39" t="s">
        <v>134</v>
      </c>
      <c r="BE39" t="s">
        <v>134</v>
      </c>
      <c r="BF39" t="s">
        <v>134</v>
      </c>
      <c r="BG39" t="s">
        <v>134</v>
      </c>
      <c r="BH39" t="s">
        <v>134</v>
      </c>
      <c r="BI39" t="s">
        <v>134</v>
      </c>
      <c r="BJ39" t="s">
        <v>134</v>
      </c>
      <c r="BK39" t="s">
        <v>134</v>
      </c>
      <c r="BL39" t="s">
        <v>134</v>
      </c>
      <c r="BM39" t="s">
        <v>134</v>
      </c>
      <c r="BN39" t="s">
        <v>134</v>
      </c>
      <c r="BO39" t="s">
        <v>134</v>
      </c>
      <c r="BP39" t="s">
        <v>134</v>
      </c>
      <c r="BQ39" t="s">
        <v>134</v>
      </c>
      <c r="BR39" t="s">
        <v>134</v>
      </c>
      <c r="BS39" t="s">
        <v>134</v>
      </c>
      <c r="BT39" t="s">
        <v>134</v>
      </c>
      <c r="BU39" t="s">
        <v>134</v>
      </c>
      <c r="BV39" t="s">
        <v>134</v>
      </c>
      <c r="BW39" t="s">
        <v>134</v>
      </c>
      <c r="BX39" t="s">
        <v>134</v>
      </c>
      <c r="BY39" t="s">
        <v>134</v>
      </c>
      <c r="BZ39" t="s">
        <v>134</v>
      </c>
      <c r="CA39" t="s">
        <v>134</v>
      </c>
      <c r="CB39" t="s">
        <v>134</v>
      </c>
      <c r="CC39" t="s">
        <v>134</v>
      </c>
      <c r="CD39" t="s">
        <v>134</v>
      </c>
      <c r="CE39" t="s">
        <v>134</v>
      </c>
      <c r="CF39" t="s">
        <v>134</v>
      </c>
      <c r="CG39" t="s">
        <v>134</v>
      </c>
      <c r="CH39" t="s">
        <v>134</v>
      </c>
      <c r="CI39" t="s">
        <v>134</v>
      </c>
      <c r="CJ39" t="s">
        <v>134</v>
      </c>
      <c r="CK39" t="s">
        <v>134</v>
      </c>
      <c r="CL39" t="s">
        <v>134</v>
      </c>
      <c r="CM39" t="s">
        <v>134</v>
      </c>
      <c r="CN39" t="s">
        <v>134</v>
      </c>
      <c r="CO39" t="s">
        <v>134</v>
      </c>
      <c r="CP39" t="s">
        <v>134</v>
      </c>
      <c r="CQ39" t="s">
        <v>134</v>
      </c>
      <c r="CR39" t="s">
        <v>134</v>
      </c>
      <c r="CS39" t="s">
        <v>134</v>
      </c>
      <c r="CT39" t="s">
        <v>134</v>
      </c>
      <c r="CU39" t="s">
        <v>134</v>
      </c>
      <c r="CV39" t="s">
        <v>134</v>
      </c>
      <c r="CW39" t="s">
        <v>134</v>
      </c>
      <c r="CX39" t="s">
        <v>134</v>
      </c>
      <c r="CY39" t="s">
        <v>134</v>
      </c>
      <c r="CZ39" t="s">
        <v>134</v>
      </c>
      <c r="DA39" t="s">
        <v>134</v>
      </c>
      <c r="DB39" t="s">
        <v>134</v>
      </c>
      <c r="DC39" t="s">
        <v>134</v>
      </c>
      <c r="DD39" t="s">
        <v>134</v>
      </c>
      <c r="DE39" t="s">
        <v>134</v>
      </c>
      <c r="DF39" t="s">
        <v>134</v>
      </c>
      <c r="DG39" t="s">
        <v>134</v>
      </c>
      <c r="DH39" t="s">
        <v>134</v>
      </c>
      <c r="DI39" t="s">
        <v>134</v>
      </c>
    </row>
    <row r="40" spans="4:113" x14ac:dyDescent="0.3">
      <c r="E40" t="s">
        <v>5</v>
      </c>
      <c r="F40" t="s">
        <v>134</v>
      </c>
      <c r="G40" t="s">
        <v>134</v>
      </c>
      <c r="H40" t="s">
        <v>134</v>
      </c>
      <c r="I40" t="s">
        <v>134</v>
      </c>
      <c r="J40" t="s">
        <v>134</v>
      </c>
      <c r="K40" t="s">
        <v>134</v>
      </c>
      <c r="L40" t="s">
        <v>134</v>
      </c>
      <c r="M40" t="s">
        <v>134</v>
      </c>
      <c r="N40" t="s">
        <v>134</v>
      </c>
      <c r="O40" t="s">
        <v>134</v>
      </c>
      <c r="P40" t="s">
        <v>134</v>
      </c>
      <c r="Q40" t="s">
        <v>134</v>
      </c>
      <c r="R40" t="s">
        <v>134</v>
      </c>
      <c r="S40" t="s">
        <v>134</v>
      </c>
      <c r="T40" t="s">
        <v>134</v>
      </c>
      <c r="U40" t="s">
        <v>134</v>
      </c>
      <c r="V40" t="s">
        <v>134</v>
      </c>
      <c r="W40" t="s">
        <v>134</v>
      </c>
      <c r="X40" t="s">
        <v>134</v>
      </c>
      <c r="Y40" t="s">
        <v>134</v>
      </c>
      <c r="Z40" t="s">
        <v>134</v>
      </c>
      <c r="AA40" t="s">
        <v>134</v>
      </c>
      <c r="AB40" t="s">
        <v>134</v>
      </c>
      <c r="AC40" t="s">
        <v>134</v>
      </c>
      <c r="AD40" t="s">
        <v>134</v>
      </c>
      <c r="AE40" t="s">
        <v>134</v>
      </c>
      <c r="AF40" t="s">
        <v>134</v>
      </c>
      <c r="AG40" t="s">
        <v>134</v>
      </c>
      <c r="AH40" t="s">
        <v>134</v>
      </c>
      <c r="AI40" t="s">
        <v>134</v>
      </c>
      <c r="AJ40" t="s">
        <v>134</v>
      </c>
      <c r="AK40" t="s">
        <v>134</v>
      </c>
      <c r="AL40" t="s">
        <v>134</v>
      </c>
      <c r="AM40" t="s">
        <v>134</v>
      </c>
      <c r="AN40" t="s">
        <v>134</v>
      </c>
      <c r="AO40" t="s">
        <v>134</v>
      </c>
      <c r="AP40" t="s">
        <v>134</v>
      </c>
      <c r="AQ40" t="s">
        <v>134</v>
      </c>
      <c r="AR40" t="s">
        <v>134</v>
      </c>
      <c r="AS40" t="s">
        <v>134</v>
      </c>
      <c r="AT40" t="s">
        <v>134</v>
      </c>
      <c r="AU40" t="s">
        <v>134</v>
      </c>
      <c r="AV40" t="s">
        <v>134</v>
      </c>
      <c r="AW40" t="s">
        <v>134</v>
      </c>
      <c r="AX40" t="s">
        <v>134</v>
      </c>
      <c r="AY40" t="s">
        <v>134</v>
      </c>
      <c r="AZ40" t="s">
        <v>134</v>
      </c>
      <c r="BA40" t="s">
        <v>134</v>
      </c>
      <c r="BB40" t="s">
        <v>134</v>
      </c>
      <c r="BC40" t="s">
        <v>134</v>
      </c>
      <c r="BD40" t="s">
        <v>134</v>
      </c>
      <c r="BE40" t="s">
        <v>134</v>
      </c>
      <c r="BF40" t="s">
        <v>134</v>
      </c>
      <c r="BG40" t="s">
        <v>134</v>
      </c>
      <c r="BH40" t="s">
        <v>134</v>
      </c>
      <c r="BI40" t="s">
        <v>134</v>
      </c>
      <c r="BJ40" t="s">
        <v>134</v>
      </c>
      <c r="BK40" t="s">
        <v>134</v>
      </c>
      <c r="BL40" t="s">
        <v>134</v>
      </c>
      <c r="BM40" t="s">
        <v>134</v>
      </c>
      <c r="BN40" t="s">
        <v>134</v>
      </c>
      <c r="BO40" t="s">
        <v>134</v>
      </c>
      <c r="BP40" t="s">
        <v>134</v>
      </c>
      <c r="BQ40" t="s">
        <v>134</v>
      </c>
      <c r="BR40" t="s">
        <v>134</v>
      </c>
      <c r="BS40" t="s">
        <v>134</v>
      </c>
      <c r="BT40" t="s">
        <v>134</v>
      </c>
      <c r="BU40" t="s">
        <v>134</v>
      </c>
      <c r="BV40" t="s">
        <v>134</v>
      </c>
      <c r="BW40" t="s">
        <v>134</v>
      </c>
      <c r="BX40" t="s">
        <v>134</v>
      </c>
      <c r="BY40" t="s">
        <v>134</v>
      </c>
      <c r="BZ40" t="s">
        <v>134</v>
      </c>
      <c r="CA40" t="s">
        <v>134</v>
      </c>
      <c r="CB40" t="s">
        <v>134</v>
      </c>
      <c r="CC40" t="s">
        <v>134</v>
      </c>
      <c r="CD40" t="s">
        <v>134</v>
      </c>
      <c r="CE40" t="s">
        <v>134</v>
      </c>
      <c r="CF40" t="s">
        <v>134</v>
      </c>
      <c r="CG40" t="s">
        <v>134</v>
      </c>
      <c r="CH40" t="s">
        <v>134</v>
      </c>
      <c r="CI40" t="s">
        <v>134</v>
      </c>
      <c r="CJ40" t="s">
        <v>134</v>
      </c>
      <c r="CK40" t="s">
        <v>134</v>
      </c>
      <c r="CL40" t="s">
        <v>134</v>
      </c>
      <c r="CM40" t="s">
        <v>134</v>
      </c>
      <c r="CN40" t="s">
        <v>134</v>
      </c>
      <c r="CO40" t="s">
        <v>134</v>
      </c>
      <c r="CP40" t="s">
        <v>134</v>
      </c>
      <c r="CQ40" t="s">
        <v>134</v>
      </c>
      <c r="CR40" t="s">
        <v>134</v>
      </c>
      <c r="CS40" t="s">
        <v>134</v>
      </c>
      <c r="CT40" t="s">
        <v>134</v>
      </c>
      <c r="CU40" t="s">
        <v>134</v>
      </c>
      <c r="CV40" t="s">
        <v>134</v>
      </c>
      <c r="CW40" t="s">
        <v>134</v>
      </c>
      <c r="CX40" t="s">
        <v>134</v>
      </c>
      <c r="CY40" t="s">
        <v>134</v>
      </c>
      <c r="CZ40" t="s">
        <v>134</v>
      </c>
      <c r="DA40" t="s">
        <v>134</v>
      </c>
      <c r="DB40" t="s">
        <v>134</v>
      </c>
      <c r="DC40" t="s">
        <v>134</v>
      </c>
      <c r="DD40" t="s">
        <v>134</v>
      </c>
      <c r="DE40" t="s">
        <v>134</v>
      </c>
      <c r="DF40" t="s">
        <v>134</v>
      </c>
      <c r="DG40" t="s">
        <v>134</v>
      </c>
      <c r="DH40" t="s">
        <v>134</v>
      </c>
      <c r="DI40" t="s">
        <v>134</v>
      </c>
    </row>
    <row r="41" spans="4:113" x14ac:dyDescent="0.3">
      <c r="E41" t="s">
        <v>6</v>
      </c>
      <c r="F41" t="s">
        <v>134</v>
      </c>
      <c r="G41" t="s">
        <v>134</v>
      </c>
      <c r="H41" t="s">
        <v>134</v>
      </c>
      <c r="I41" t="s">
        <v>134</v>
      </c>
      <c r="J41" t="s">
        <v>134</v>
      </c>
      <c r="K41" t="s">
        <v>134</v>
      </c>
      <c r="L41" t="s">
        <v>134</v>
      </c>
      <c r="M41" t="s">
        <v>134</v>
      </c>
      <c r="N41" t="s">
        <v>134</v>
      </c>
      <c r="O41" t="s">
        <v>134</v>
      </c>
      <c r="P41" t="s">
        <v>134</v>
      </c>
      <c r="Q41" t="s">
        <v>134</v>
      </c>
      <c r="R41" t="s">
        <v>134</v>
      </c>
      <c r="S41" t="s">
        <v>134</v>
      </c>
      <c r="T41" t="s">
        <v>134</v>
      </c>
      <c r="U41" t="s">
        <v>134</v>
      </c>
      <c r="V41" t="s">
        <v>134</v>
      </c>
      <c r="W41" t="s">
        <v>134</v>
      </c>
      <c r="X41" t="s">
        <v>134</v>
      </c>
      <c r="Y41" t="s">
        <v>134</v>
      </c>
      <c r="Z41" t="s">
        <v>134</v>
      </c>
      <c r="AA41" t="s">
        <v>134</v>
      </c>
      <c r="AB41" t="s">
        <v>134</v>
      </c>
      <c r="AC41" t="s">
        <v>134</v>
      </c>
      <c r="AD41" t="s">
        <v>134</v>
      </c>
      <c r="AE41" t="s">
        <v>134</v>
      </c>
      <c r="AF41" t="s">
        <v>134</v>
      </c>
      <c r="AG41" t="s">
        <v>134</v>
      </c>
      <c r="AH41" t="s">
        <v>134</v>
      </c>
      <c r="AI41" t="s">
        <v>134</v>
      </c>
      <c r="AJ41" t="s">
        <v>134</v>
      </c>
      <c r="AK41" t="s">
        <v>134</v>
      </c>
      <c r="AL41" t="s">
        <v>134</v>
      </c>
      <c r="AM41" t="s">
        <v>134</v>
      </c>
      <c r="AN41" t="s">
        <v>134</v>
      </c>
      <c r="AO41" t="s">
        <v>134</v>
      </c>
      <c r="AP41" t="s">
        <v>134</v>
      </c>
      <c r="AQ41" t="s">
        <v>134</v>
      </c>
      <c r="AR41" t="s">
        <v>134</v>
      </c>
      <c r="AS41" t="s">
        <v>134</v>
      </c>
      <c r="AT41" t="s">
        <v>134</v>
      </c>
      <c r="AU41" t="s">
        <v>134</v>
      </c>
      <c r="AV41" t="s">
        <v>134</v>
      </c>
      <c r="AW41" t="s">
        <v>134</v>
      </c>
      <c r="AX41" t="s">
        <v>134</v>
      </c>
      <c r="AY41" t="s">
        <v>134</v>
      </c>
      <c r="AZ41" t="s">
        <v>134</v>
      </c>
      <c r="BA41" t="s">
        <v>134</v>
      </c>
      <c r="BB41" t="s">
        <v>134</v>
      </c>
      <c r="BC41" t="s">
        <v>134</v>
      </c>
      <c r="BD41" t="s">
        <v>134</v>
      </c>
      <c r="BE41" t="s">
        <v>134</v>
      </c>
      <c r="BF41" t="s">
        <v>134</v>
      </c>
      <c r="BG41" t="s">
        <v>134</v>
      </c>
      <c r="BH41" t="s">
        <v>134</v>
      </c>
      <c r="BI41" t="s">
        <v>134</v>
      </c>
      <c r="BJ41" t="s">
        <v>134</v>
      </c>
      <c r="BK41" t="s">
        <v>134</v>
      </c>
      <c r="BL41" t="s">
        <v>134</v>
      </c>
      <c r="BM41" t="s">
        <v>134</v>
      </c>
      <c r="BN41" t="s">
        <v>134</v>
      </c>
      <c r="BO41" t="s">
        <v>134</v>
      </c>
      <c r="BP41" t="s">
        <v>134</v>
      </c>
      <c r="BQ41" t="s">
        <v>134</v>
      </c>
      <c r="BR41" t="s">
        <v>134</v>
      </c>
      <c r="BS41" t="s">
        <v>134</v>
      </c>
      <c r="BT41" t="s">
        <v>134</v>
      </c>
      <c r="BU41" t="s">
        <v>134</v>
      </c>
      <c r="BV41" t="s">
        <v>134</v>
      </c>
      <c r="BW41" t="s">
        <v>134</v>
      </c>
      <c r="BX41" t="s">
        <v>134</v>
      </c>
      <c r="BY41" t="s">
        <v>134</v>
      </c>
      <c r="BZ41" t="s">
        <v>134</v>
      </c>
      <c r="CA41" t="s">
        <v>134</v>
      </c>
      <c r="CB41" t="s">
        <v>134</v>
      </c>
      <c r="CC41" t="s">
        <v>134</v>
      </c>
      <c r="CD41" t="s">
        <v>134</v>
      </c>
      <c r="CE41" t="s">
        <v>134</v>
      </c>
      <c r="CF41" t="s">
        <v>134</v>
      </c>
      <c r="CG41" t="s">
        <v>134</v>
      </c>
      <c r="CH41" t="s">
        <v>134</v>
      </c>
      <c r="CI41" t="s">
        <v>134</v>
      </c>
      <c r="CJ41" t="s">
        <v>134</v>
      </c>
      <c r="CK41" t="s">
        <v>134</v>
      </c>
      <c r="CL41" t="s">
        <v>134</v>
      </c>
      <c r="CM41" t="s">
        <v>134</v>
      </c>
      <c r="CN41" t="s">
        <v>134</v>
      </c>
      <c r="CO41" t="s">
        <v>134</v>
      </c>
      <c r="CP41" t="s">
        <v>134</v>
      </c>
      <c r="CQ41" t="s">
        <v>134</v>
      </c>
      <c r="CR41" t="s">
        <v>134</v>
      </c>
      <c r="CS41" t="s">
        <v>134</v>
      </c>
      <c r="CT41" t="s">
        <v>134</v>
      </c>
      <c r="CU41" t="s">
        <v>134</v>
      </c>
      <c r="CV41" t="s">
        <v>134</v>
      </c>
      <c r="CW41" t="s">
        <v>134</v>
      </c>
      <c r="CX41" t="s">
        <v>134</v>
      </c>
      <c r="CY41" t="s">
        <v>134</v>
      </c>
      <c r="CZ41" t="s">
        <v>134</v>
      </c>
      <c r="DA41" t="s">
        <v>134</v>
      </c>
      <c r="DB41" t="s">
        <v>134</v>
      </c>
      <c r="DC41" t="s">
        <v>134</v>
      </c>
      <c r="DD41" t="s">
        <v>134</v>
      </c>
      <c r="DE41" t="s">
        <v>134</v>
      </c>
      <c r="DF41" t="s">
        <v>134</v>
      </c>
      <c r="DG41" t="s">
        <v>134</v>
      </c>
      <c r="DH41" t="s">
        <v>134</v>
      </c>
      <c r="DI41" t="s">
        <v>134</v>
      </c>
    </row>
    <row r="42" spans="4:113" x14ac:dyDescent="0.3">
      <c r="E42" t="s">
        <v>7</v>
      </c>
      <c r="F42" t="s">
        <v>134</v>
      </c>
      <c r="G42" t="s">
        <v>134</v>
      </c>
      <c r="H42" t="s">
        <v>134</v>
      </c>
      <c r="I42" t="s">
        <v>134</v>
      </c>
      <c r="J42" t="s">
        <v>134</v>
      </c>
      <c r="K42" t="s">
        <v>134</v>
      </c>
      <c r="L42" t="s">
        <v>134</v>
      </c>
      <c r="M42" t="s">
        <v>134</v>
      </c>
      <c r="N42" t="s">
        <v>134</v>
      </c>
      <c r="O42" t="s">
        <v>134</v>
      </c>
      <c r="P42" t="s">
        <v>134</v>
      </c>
      <c r="Q42" t="s">
        <v>134</v>
      </c>
      <c r="R42" t="s">
        <v>134</v>
      </c>
      <c r="S42" t="s">
        <v>134</v>
      </c>
      <c r="T42" t="s">
        <v>134</v>
      </c>
      <c r="U42" t="s">
        <v>134</v>
      </c>
      <c r="V42" t="s">
        <v>134</v>
      </c>
      <c r="W42" t="s">
        <v>134</v>
      </c>
      <c r="X42" t="s">
        <v>134</v>
      </c>
      <c r="Y42" t="s">
        <v>134</v>
      </c>
      <c r="Z42" t="s">
        <v>134</v>
      </c>
      <c r="AA42" t="s">
        <v>134</v>
      </c>
      <c r="AB42" t="s">
        <v>134</v>
      </c>
      <c r="AC42" t="s">
        <v>134</v>
      </c>
      <c r="AD42" t="s">
        <v>134</v>
      </c>
      <c r="AE42" t="s">
        <v>134</v>
      </c>
      <c r="AF42" t="s">
        <v>134</v>
      </c>
      <c r="AG42" t="s">
        <v>134</v>
      </c>
      <c r="AH42" t="s">
        <v>134</v>
      </c>
      <c r="AI42" t="s">
        <v>134</v>
      </c>
      <c r="AJ42" t="s">
        <v>134</v>
      </c>
      <c r="AK42" t="s">
        <v>134</v>
      </c>
      <c r="AL42" t="s">
        <v>134</v>
      </c>
      <c r="AM42" t="s">
        <v>134</v>
      </c>
      <c r="AN42" t="s">
        <v>134</v>
      </c>
      <c r="AO42" t="s">
        <v>134</v>
      </c>
      <c r="AP42" t="s">
        <v>134</v>
      </c>
      <c r="AQ42" t="s">
        <v>134</v>
      </c>
      <c r="AR42" t="s">
        <v>134</v>
      </c>
      <c r="AS42" t="s">
        <v>134</v>
      </c>
      <c r="AT42" t="s">
        <v>134</v>
      </c>
      <c r="AU42" t="s">
        <v>134</v>
      </c>
      <c r="AV42" t="s">
        <v>134</v>
      </c>
      <c r="AW42" t="s">
        <v>134</v>
      </c>
      <c r="AX42" t="s">
        <v>134</v>
      </c>
      <c r="AY42" t="s">
        <v>134</v>
      </c>
      <c r="AZ42" t="s">
        <v>134</v>
      </c>
      <c r="BA42" t="s">
        <v>134</v>
      </c>
      <c r="BB42" t="s">
        <v>134</v>
      </c>
      <c r="BC42" t="s">
        <v>134</v>
      </c>
      <c r="BD42" t="s">
        <v>134</v>
      </c>
      <c r="BE42" t="s">
        <v>134</v>
      </c>
      <c r="BF42" t="s">
        <v>134</v>
      </c>
      <c r="BG42" t="s">
        <v>134</v>
      </c>
      <c r="BH42" t="s">
        <v>134</v>
      </c>
      <c r="BI42" t="s">
        <v>134</v>
      </c>
      <c r="BJ42" t="s">
        <v>134</v>
      </c>
      <c r="BK42" t="s">
        <v>134</v>
      </c>
      <c r="BL42" t="s">
        <v>134</v>
      </c>
      <c r="BM42" t="s">
        <v>134</v>
      </c>
      <c r="BN42" t="s">
        <v>134</v>
      </c>
      <c r="BO42" t="s">
        <v>134</v>
      </c>
      <c r="BP42" t="s">
        <v>134</v>
      </c>
      <c r="BQ42" t="s">
        <v>134</v>
      </c>
      <c r="BR42" t="s">
        <v>134</v>
      </c>
      <c r="BS42" t="s">
        <v>134</v>
      </c>
      <c r="BT42" t="s">
        <v>134</v>
      </c>
      <c r="BU42" t="s">
        <v>134</v>
      </c>
      <c r="BV42" t="s">
        <v>134</v>
      </c>
      <c r="BW42" t="s">
        <v>134</v>
      </c>
      <c r="BX42" t="s">
        <v>134</v>
      </c>
      <c r="BY42" t="s">
        <v>134</v>
      </c>
      <c r="BZ42" t="s">
        <v>134</v>
      </c>
      <c r="CA42" t="s">
        <v>134</v>
      </c>
      <c r="CB42" t="s">
        <v>134</v>
      </c>
      <c r="CC42" t="s">
        <v>134</v>
      </c>
      <c r="CD42" t="s">
        <v>134</v>
      </c>
      <c r="CE42" t="s">
        <v>134</v>
      </c>
      <c r="CF42" t="s">
        <v>134</v>
      </c>
      <c r="CG42" t="s">
        <v>134</v>
      </c>
      <c r="CH42" t="s">
        <v>134</v>
      </c>
      <c r="CI42" t="s">
        <v>134</v>
      </c>
      <c r="CJ42" t="s">
        <v>134</v>
      </c>
      <c r="CK42" t="s">
        <v>134</v>
      </c>
      <c r="CL42" t="s">
        <v>134</v>
      </c>
      <c r="CM42" t="s">
        <v>134</v>
      </c>
      <c r="CN42" t="s">
        <v>134</v>
      </c>
      <c r="CO42" t="s">
        <v>134</v>
      </c>
      <c r="CP42" t="s">
        <v>134</v>
      </c>
      <c r="CQ42" t="s">
        <v>134</v>
      </c>
      <c r="CR42" t="s">
        <v>134</v>
      </c>
      <c r="CS42" t="s">
        <v>134</v>
      </c>
      <c r="CT42" t="s">
        <v>134</v>
      </c>
      <c r="CU42" t="s">
        <v>134</v>
      </c>
      <c r="CV42" t="s">
        <v>134</v>
      </c>
      <c r="CW42" t="s">
        <v>134</v>
      </c>
      <c r="CX42" t="s">
        <v>134</v>
      </c>
      <c r="CY42" t="s">
        <v>134</v>
      </c>
      <c r="CZ42" t="s">
        <v>134</v>
      </c>
      <c r="DA42" t="s">
        <v>134</v>
      </c>
      <c r="DB42" t="s">
        <v>134</v>
      </c>
      <c r="DC42" t="s">
        <v>134</v>
      </c>
      <c r="DD42" t="s">
        <v>134</v>
      </c>
      <c r="DE42" t="s">
        <v>134</v>
      </c>
      <c r="DF42" t="s">
        <v>134</v>
      </c>
      <c r="DG42" t="s">
        <v>134</v>
      </c>
      <c r="DH42" t="s">
        <v>134</v>
      </c>
      <c r="DI42" t="s">
        <v>134</v>
      </c>
    </row>
    <row r="43" spans="4:113" x14ac:dyDescent="0.3">
      <c r="D43" t="s">
        <v>10</v>
      </c>
      <c r="E43" t="s">
        <v>3</v>
      </c>
      <c r="F43">
        <v>20.668399999999998</v>
      </c>
      <c r="G43">
        <v>7.8593999999999999</v>
      </c>
      <c r="H43">
        <v>14.2538</v>
      </c>
      <c r="I43">
        <v>12.042</v>
      </c>
      <c r="J43">
        <v>9.7561999999999998</v>
      </c>
      <c r="K43">
        <v>7.7918000000000003</v>
      </c>
      <c r="L43">
        <v>75.703400000000002</v>
      </c>
      <c r="M43">
        <v>8.0187000000000008</v>
      </c>
      <c r="N43">
        <v>5.8472999999999997</v>
      </c>
      <c r="O43">
        <v>5.6935000000000002</v>
      </c>
      <c r="P43">
        <v>5.6935000000000002</v>
      </c>
      <c r="Q43">
        <v>27.079899999999999</v>
      </c>
      <c r="R43">
        <v>46.480899999999998</v>
      </c>
      <c r="S43">
        <v>11.061500000000001</v>
      </c>
      <c r="T43">
        <v>3.0501999999999998</v>
      </c>
      <c r="U43">
        <v>35.775700000000001</v>
      </c>
      <c r="V43">
        <v>40.366300000000003</v>
      </c>
      <c r="W43">
        <v>65.103499999999997</v>
      </c>
      <c r="X43">
        <v>230.15369999999999</v>
      </c>
      <c r="Y43">
        <v>171.42859999999999</v>
      </c>
      <c r="Z43">
        <v>15.807</v>
      </c>
      <c r="AA43">
        <v>55.914400000000001</v>
      </c>
      <c r="AB43">
        <v>5.5011000000000001</v>
      </c>
      <c r="AC43">
        <v>18.140599999999999</v>
      </c>
      <c r="AD43">
        <v>70.336100000000002</v>
      </c>
      <c r="AE43">
        <v>-52.473399999999998</v>
      </c>
      <c r="AF43">
        <v>28.077200000000001</v>
      </c>
      <c r="AG43">
        <v>23.2422</v>
      </c>
      <c r="AH43">
        <v>8.0597999999999992</v>
      </c>
      <c r="AI43">
        <v>13.779199999999999</v>
      </c>
      <c r="AJ43">
        <v>11.546099999999999</v>
      </c>
      <c r="AK43">
        <v>13.4658</v>
      </c>
      <c r="AL43">
        <v>17.6524</v>
      </c>
      <c r="AM43">
        <v>-3.0594999999999999</v>
      </c>
      <c r="AN43">
        <v>8.8040000000000003</v>
      </c>
      <c r="AO43">
        <v>9.4158000000000008</v>
      </c>
      <c r="AP43">
        <v>36.258699999999997</v>
      </c>
      <c r="AQ43">
        <v>36.913899999999998</v>
      </c>
      <c r="AR43">
        <v>50.024700000000003</v>
      </c>
      <c r="AS43">
        <v>-5.0929000000000002</v>
      </c>
      <c r="AT43">
        <v>0.62890000000000001</v>
      </c>
      <c r="AU43">
        <v>10.190200000000001</v>
      </c>
      <c r="AV43">
        <v>4.4706999999999999</v>
      </c>
      <c r="AW43">
        <v>0.19159999999999999</v>
      </c>
      <c r="AX43" t="s">
        <v>134</v>
      </c>
      <c r="AY43">
        <v>-0.65449999999999997</v>
      </c>
      <c r="AZ43">
        <v>-9.3722999999999992</v>
      </c>
      <c r="BA43">
        <v>-4.5873999999999997</v>
      </c>
      <c r="BB43">
        <v>10.786200000000001</v>
      </c>
      <c r="BC43">
        <v>3.2816999999999998</v>
      </c>
      <c r="BD43">
        <v>11.0792</v>
      </c>
      <c r="BE43" t="s">
        <v>134</v>
      </c>
      <c r="BF43">
        <v>3.0501999999999998</v>
      </c>
      <c r="BG43">
        <v>35.775700000000001</v>
      </c>
      <c r="BH43">
        <v>40.366300000000003</v>
      </c>
      <c r="BI43">
        <v>65.103499999999997</v>
      </c>
      <c r="BJ43">
        <v>230.15369999999999</v>
      </c>
      <c r="BK43">
        <v>171.42859999999999</v>
      </c>
      <c r="BL43">
        <v>15.807</v>
      </c>
      <c r="BM43">
        <v>55.914400000000001</v>
      </c>
      <c r="BN43">
        <v>5.5011000000000001</v>
      </c>
      <c r="BO43">
        <v>18.140599999999999</v>
      </c>
      <c r="BP43">
        <v>70.336100000000002</v>
      </c>
      <c r="BQ43" t="s">
        <v>134</v>
      </c>
      <c r="BR43">
        <v>28.077200000000001</v>
      </c>
      <c r="BS43">
        <v>23.2422</v>
      </c>
      <c r="BT43">
        <v>8.0597999999999992</v>
      </c>
      <c r="BU43">
        <v>13.779199999999999</v>
      </c>
      <c r="BV43">
        <v>11.546099999999999</v>
      </c>
      <c r="BW43">
        <v>13.4658</v>
      </c>
      <c r="BX43">
        <v>17.6524</v>
      </c>
      <c r="BY43">
        <v>632706.19999999995</v>
      </c>
      <c r="BZ43">
        <v>377246.9</v>
      </c>
      <c r="CA43">
        <v>255459.3</v>
      </c>
      <c r="CB43">
        <v>1.8601999999999999</v>
      </c>
      <c r="CC43">
        <v>1.6297000000000001</v>
      </c>
      <c r="CD43">
        <v>2.3292000000000002</v>
      </c>
      <c r="CE43">
        <v>2.0405000000000002</v>
      </c>
      <c r="CF43">
        <v>11.156700000000001</v>
      </c>
      <c r="CG43">
        <v>37.321100000000001</v>
      </c>
      <c r="CH43">
        <v>24.563199999999998</v>
      </c>
      <c r="CI43">
        <v>15.2722</v>
      </c>
      <c r="CJ43">
        <v>9.3383000000000003</v>
      </c>
      <c r="CK43">
        <v>60.8367</v>
      </c>
      <c r="CL43">
        <v>37.825200000000002</v>
      </c>
      <c r="CM43">
        <v>23.128499999999999</v>
      </c>
      <c r="CN43">
        <v>53.298200000000001</v>
      </c>
      <c r="CO43">
        <v>34.767699999999998</v>
      </c>
      <c r="CP43">
        <v>340132.3</v>
      </c>
      <c r="CQ43">
        <v>192469.5</v>
      </c>
      <c r="CR43">
        <v>271646.09999999998</v>
      </c>
      <c r="CS43">
        <v>6.9400000000000003E-2</v>
      </c>
      <c r="CT43">
        <v>0.85570000000000002</v>
      </c>
      <c r="CU43">
        <v>0.14829999999999999</v>
      </c>
      <c r="CV43">
        <v>2.1385000000000001</v>
      </c>
      <c r="CW43">
        <v>42.045099999999998</v>
      </c>
      <c r="CX43">
        <v>8.6811000000000007</v>
      </c>
      <c r="CY43">
        <v>5.3673000000000002</v>
      </c>
      <c r="CZ43">
        <v>68.004800000000003</v>
      </c>
      <c r="DA43">
        <v>11.308199999999999</v>
      </c>
      <c r="DB43">
        <v>32.2774</v>
      </c>
      <c r="DC43">
        <v>44.408499999999997</v>
      </c>
      <c r="DD43">
        <v>76.685900000000004</v>
      </c>
      <c r="DE43">
        <v>658843.30000000005</v>
      </c>
      <c r="DF43">
        <v>143969.70000000001</v>
      </c>
      <c r="DG43">
        <v>55099.3</v>
      </c>
      <c r="DH43">
        <v>427740.5</v>
      </c>
      <c r="DI43">
        <v>32033.8</v>
      </c>
    </row>
    <row r="44" spans="4:113" x14ac:dyDescent="0.3">
      <c r="E44" t="s">
        <v>4</v>
      </c>
      <c r="F44" t="s">
        <v>134</v>
      </c>
      <c r="G44" t="s">
        <v>134</v>
      </c>
      <c r="H44" t="s">
        <v>134</v>
      </c>
      <c r="I44" t="s">
        <v>134</v>
      </c>
      <c r="J44" t="s">
        <v>134</v>
      </c>
      <c r="K44" t="s">
        <v>134</v>
      </c>
      <c r="L44" t="s">
        <v>134</v>
      </c>
      <c r="M44" t="s">
        <v>134</v>
      </c>
      <c r="N44" t="s">
        <v>134</v>
      </c>
      <c r="O44" t="s">
        <v>134</v>
      </c>
      <c r="P44" t="s">
        <v>134</v>
      </c>
      <c r="Q44" t="s">
        <v>134</v>
      </c>
      <c r="R44" t="s">
        <v>134</v>
      </c>
      <c r="S44" t="s">
        <v>134</v>
      </c>
      <c r="T44" t="s">
        <v>134</v>
      </c>
      <c r="U44" t="s">
        <v>134</v>
      </c>
      <c r="V44" t="s">
        <v>134</v>
      </c>
      <c r="W44" t="s">
        <v>134</v>
      </c>
      <c r="X44" t="s">
        <v>134</v>
      </c>
      <c r="Y44" t="s">
        <v>134</v>
      </c>
      <c r="Z44" t="s">
        <v>134</v>
      </c>
      <c r="AA44" t="s">
        <v>134</v>
      </c>
      <c r="AB44" t="s">
        <v>134</v>
      </c>
      <c r="AC44" t="s">
        <v>134</v>
      </c>
      <c r="AD44" t="s">
        <v>134</v>
      </c>
      <c r="AE44" t="s">
        <v>134</v>
      </c>
      <c r="AF44" t="s">
        <v>134</v>
      </c>
      <c r="AG44" t="s">
        <v>134</v>
      </c>
      <c r="AH44" t="s">
        <v>134</v>
      </c>
      <c r="AI44" t="s">
        <v>134</v>
      </c>
      <c r="AJ44" t="s">
        <v>134</v>
      </c>
      <c r="AK44" t="s">
        <v>134</v>
      </c>
      <c r="AL44" t="s">
        <v>134</v>
      </c>
      <c r="AM44" t="s">
        <v>134</v>
      </c>
      <c r="AN44" t="s">
        <v>134</v>
      </c>
      <c r="AO44" t="s">
        <v>134</v>
      </c>
      <c r="AP44" t="s">
        <v>134</v>
      </c>
      <c r="AQ44" t="s">
        <v>134</v>
      </c>
      <c r="AR44" t="s">
        <v>134</v>
      </c>
      <c r="AS44" t="s">
        <v>134</v>
      </c>
      <c r="AT44" t="s">
        <v>134</v>
      </c>
      <c r="AU44" t="s">
        <v>134</v>
      </c>
      <c r="AV44" t="s">
        <v>134</v>
      </c>
      <c r="AW44" t="s">
        <v>134</v>
      </c>
      <c r="AX44" t="s">
        <v>134</v>
      </c>
      <c r="AY44" t="s">
        <v>134</v>
      </c>
      <c r="AZ44" t="s">
        <v>134</v>
      </c>
      <c r="BA44" t="s">
        <v>134</v>
      </c>
      <c r="BB44" t="s">
        <v>134</v>
      </c>
      <c r="BC44" t="s">
        <v>134</v>
      </c>
      <c r="BD44" t="s">
        <v>134</v>
      </c>
      <c r="BE44" t="s">
        <v>134</v>
      </c>
      <c r="BF44" t="s">
        <v>134</v>
      </c>
      <c r="BG44" t="s">
        <v>134</v>
      </c>
      <c r="BH44" t="s">
        <v>134</v>
      </c>
      <c r="BI44" t="s">
        <v>134</v>
      </c>
      <c r="BJ44" t="s">
        <v>134</v>
      </c>
      <c r="BK44" t="s">
        <v>134</v>
      </c>
      <c r="BL44" t="s">
        <v>134</v>
      </c>
      <c r="BM44" t="s">
        <v>134</v>
      </c>
      <c r="BN44" t="s">
        <v>134</v>
      </c>
      <c r="BO44" t="s">
        <v>134</v>
      </c>
      <c r="BP44" t="s">
        <v>134</v>
      </c>
      <c r="BQ44" t="s">
        <v>134</v>
      </c>
      <c r="BR44" t="s">
        <v>134</v>
      </c>
      <c r="BS44" t="s">
        <v>134</v>
      </c>
      <c r="BT44" t="s">
        <v>134</v>
      </c>
      <c r="BU44" t="s">
        <v>134</v>
      </c>
      <c r="BV44" t="s">
        <v>134</v>
      </c>
      <c r="BW44" t="s">
        <v>134</v>
      </c>
      <c r="BX44" t="s">
        <v>134</v>
      </c>
      <c r="BY44" t="s">
        <v>134</v>
      </c>
      <c r="BZ44" t="s">
        <v>134</v>
      </c>
      <c r="CA44" t="s">
        <v>134</v>
      </c>
      <c r="CB44" t="s">
        <v>134</v>
      </c>
      <c r="CC44" t="s">
        <v>134</v>
      </c>
      <c r="CD44" t="s">
        <v>134</v>
      </c>
      <c r="CE44" t="s">
        <v>134</v>
      </c>
      <c r="CF44" t="s">
        <v>134</v>
      </c>
      <c r="CG44" t="s">
        <v>134</v>
      </c>
      <c r="CH44" t="s">
        <v>134</v>
      </c>
      <c r="CI44" t="s">
        <v>134</v>
      </c>
      <c r="CJ44" t="s">
        <v>134</v>
      </c>
      <c r="CK44" t="s">
        <v>134</v>
      </c>
      <c r="CL44" t="s">
        <v>134</v>
      </c>
      <c r="CM44" t="s">
        <v>134</v>
      </c>
      <c r="CN44" t="s">
        <v>134</v>
      </c>
      <c r="CO44" t="s">
        <v>134</v>
      </c>
      <c r="CP44" t="s">
        <v>134</v>
      </c>
      <c r="CQ44" t="s">
        <v>134</v>
      </c>
      <c r="CR44" t="s">
        <v>134</v>
      </c>
      <c r="CS44" t="s">
        <v>134</v>
      </c>
      <c r="CT44" t="s">
        <v>134</v>
      </c>
      <c r="CU44" t="s">
        <v>134</v>
      </c>
      <c r="CV44" t="s">
        <v>134</v>
      </c>
      <c r="CW44" t="s">
        <v>134</v>
      </c>
      <c r="CX44" t="s">
        <v>134</v>
      </c>
      <c r="CY44" t="s">
        <v>134</v>
      </c>
      <c r="CZ44" t="s">
        <v>134</v>
      </c>
      <c r="DA44" t="s">
        <v>134</v>
      </c>
      <c r="DB44" t="s">
        <v>134</v>
      </c>
      <c r="DC44" t="s">
        <v>134</v>
      </c>
      <c r="DD44" t="s">
        <v>134</v>
      </c>
      <c r="DE44" t="s">
        <v>134</v>
      </c>
      <c r="DF44" t="s">
        <v>134</v>
      </c>
      <c r="DG44" t="s">
        <v>134</v>
      </c>
      <c r="DH44" t="s">
        <v>134</v>
      </c>
      <c r="DI44" t="s">
        <v>134</v>
      </c>
    </row>
    <row r="45" spans="4:113" x14ac:dyDescent="0.3">
      <c r="E45" t="s">
        <v>5</v>
      </c>
      <c r="F45" t="s">
        <v>134</v>
      </c>
      <c r="G45" t="s">
        <v>134</v>
      </c>
      <c r="H45" t="s">
        <v>134</v>
      </c>
      <c r="I45" t="s">
        <v>134</v>
      </c>
      <c r="J45" t="s">
        <v>134</v>
      </c>
      <c r="K45" t="s">
        <v>134</v>
      </c>
      <c r="L45" t="s">
        <v>134</v>
      </c>
      <c r="M45" t="s">
        <v>134</v>
      </c>
      <c r="N45" t="s">
        <v>134</v>
      </c>
      <c r="O45" t="s">
        <v>134</v>
      </c>
      <c r="P45" t="s">
        <v>134</v>
      </c>
      <c r="Q45" t="s">
        <v>134</v>
      </c>
      <c r="R45" t="s">
        <v>134</v>
      </c>
      <c r="S45" t="s">
        <v>134</v>
      </c>
      <c r="T45" t="s">
        <v>134</v>
      </c>
      <c r="U45" t="s">
        <v>134</v>
      </c>
      <c r="V45" t="s">
        <v>134</v>
      </c>
      <c r="W45" t="s">
        <v>134</v>
      </c>
      <c r="X45" t="s">
        <v>134</v>
      </c>
      <c r="Y45" t="s">
        <v>134</v>
      </c>
      <c r="Z45" t="s">
        <v>134</v>
      </c>
      <c r="AA45" t="s">
        <v>134</v>
      </c>
      <c r="AB45" t="s">
        <v>134</v>
      </c>
      <c r="AC45" t="s">
        <v>134</v>
      </c>
      <c r="AD45" t="s">
        <v>134</v>
      </c>
      <c r="AE45" t="s">
        <v>134</v>
      </c>
      <c r="AF45" t="s">
        <v>134</v>
      </c>
      <c r="AG45" t="s">
        <v>134</v>
      </c>
      <c r="AH45" t="s">
        <v>134</v>
      </c>
      <c r="AI45" t="s">
        <v>134</v>
      </c>
      <c r="AJ45" t="s">
        <v>134</v>
      </c>
      <c r="AK45" t="s">
        <v>134</v>
      </c>
      <c r="AL45" t="s">
        <v>134</v>
      </c>
      <c r="AM45" t="s">
        <v>134</v>
      </c>
      <c r="AN45" t="s">
        <v>134</v>
      </c>
      <c r="AO45" t="s">
        <v>134</v>
      </c>
      <c r="AP45" t="s">
        <v>134</v>
      </c>
      <c r="AQ45" t="s">
        <v>134</v>
      </c>
      <c r="AR45" t="s">
        <v>134</v>
      </c>
      <c r="AS45" t="s">
        <v>134</v>
      </c>
      <c r="AT45" t="s">
        <v>134</v>
      </c>
      <c r="AU45" t="s">
        <v>134</v>
      </c>
      <c r="AV45" t="s">
        <v>134</v>
      </c>
      <c r="AW45" t="s">
        <v>134</v>
      </c>
      <c r="AX45" t="s">
        <v>134</v>
      </c>
      <c r="AY45" t="s">
        <v>134</v>
      </c>
      <c r="AZ45" t="s">
        <v>134</v>
      </c>
      <c r="BA45" t="s">
        <v>134</v>
      </c>
      <c r="BB45" t="s">
        <v>134</v>
      </c>
      <c r="BC45" t="s">
        <v>134</v>
      </c>
      <c r="BD45" t="s">
        <v>134</v>
      </c>
      <c r="BE45" t="s">
        <v>134</v>
      </c>
      <c r="BF45" t="s">
        <v>134</v>
      </c>
      <c r="BG45" t="s">
        <v>134</v>
      </c>
      <c r="BH45" t="s">
        <v>134</v>
      </c>
      <c r="BI45" t="s">
        <v>134</v>
      </c>
      <c r="BJ45" t="s">
        <v>134</v>
      </c>
      <c r="BK45" t="s">
        <v>134</v>
      </c>
      <c r="BL45" t="s">
        <v>134</v>
      </c>
      <c r="BM45" t="s">
        <v>134</v>
      </c>
      <c r="BN45" t="s">
        <v>134</v>
      </c>
      <c r="BO45" t="s">
        <v>134</v>
      </c>
      <c r="BP45" t="s">
        <v>134</v>
      </c>
      <c r="BQ45" t="s">
        <v>134</v>
      </c>
      <c r="BR45" t="s">
        <v>134</v>
      </c>
      <c r="BS45" t="s">
        <v>134</v>
      </c>
      <c r="BT45" t="s">
        <v>134</v>
      </c>
      <c r="BU45" t="s">
        <v>134</v>
      </c>
      <c r="BV45" t="s">
        <v>134</v>
      </c>
      <c r="BW45" t="s">
        <v>134</v>
      </c>
      <c r="BX45" t="s">
        <v>134</v>
      </c>
      <c r="BY45" t="s">
        <v>134</v>
      </c>
      <c r="BZ45" t="s">
        <v>134</v>
      </c>
      <c r="CA45" t="s">
        <v>134</v>
      </c>
      <c r="CB45" t="s">
        <v>134</v>
      </c>
      <c r="CC45" t="s">
        <v>134</v>
      </c>
      <c r="CD45" t="s">
        <v>134</v>
      </c>
      <c r="CE45" t="s">
        <v>134</v>
      </c>
      <c r="CF45" t="s">
        <v>134</v>
      </c>
      <c r="CG45" t="s">
        <v>134</v>
      </c>
      <c r="CH45" t="s">
        <v>134</v>
      </c>
      <c r="CI45" t="s">
        <v>134</v>
      </c>
      <c r="CJ45" t="s">
        <v>134</v>
      </c>
      <c r="CK45" t="s">
        <v>134</v>
      </c>
      <c r="CL45" t="s">
        <v>134</v>
      </c>
      <c r="CM45" t="s">
        <v>134</v>
      </c>
      <c r="CN45" t="s">
        <v>134</v>
      </c>
      <c r="CO45" t="s">
        <v>134</v>
      </c>
      <c r="CP45" t="s">
        <v>134</v>
      </c>
      <c r="CQ45" t="s">
        <v>134</v>
      </c>
      <c r="CR45" t="s">
        <v>134</v>
      </c>
      <c r="CS45" t="s">
        <v>134</v>
      </c>
      <c r="CT45" t="s">
        <v>134</v>
      </c>
      <c r="CU45" t="s">
        <v>134</v>
      </c>
      <c r="CV45" t="s">
        <v>134</v>
      </c>
      <c r="CW45" t="s">
        <v>134</v>
      </c>
      <c r="CX45" t="s">
        <v>134</v>
      </c>
      <c r="CY45" t="s">
        <v>134</v>
      </c>
      <c r="CZ45" t="s">
        <v>134</v>
      </c>
      <c r="DA45" t="s">
        <v>134</v>
      </c>
      <c r="DB45" t="s">
        <v>134</v>
      </c>
      <c r="DC45" t="s">
        <v>134</v>
      </c>
      <c r="DD45" t="s">
        <v>134</v>
      </c>
      <c r="DE45" t="s">
        <v>134</v>
      </c>
      <c r="DF45" t="s">
        <v>134</v>
      </c>
      <c r="DG45" t="s">
        <v>134</v>
      </c>
      <c r="DH45" t="s">
        <v>134</v>
      </c>
      <c r="DI45" t="s">
        <v>134</v>
      </c>
    </row>
    <row r="46" spans="4:113" x14ac:dyDescent="0.3">
      <c r="E46" t="s">
        <v>6</v>
      </c>
      <c r="F46" t="s">
        <v>134</v>
      </c>
      <c r="G46" t="s">
        <v>134</v>
      </c>
      <c r="H46" t="s">
        <v>134</v>
      </c>
      <c r="I46" t="s">
        <v>134</v>
      </c>
      <c r="J46" t="s">
        <v>134</v>
      </c>
      <c r="K46" t="s">
        <v>134</v>
      </c>
      <c r="L46" t="s">
        <v>134</v>
      </c>
      <c r="M46" t="s">
        <v>134</v>
      </c>
      <c r="N46" t="s">
        <v>134</v>
      </c>
      <c r="O46" t="s">
        <v>134</v>
      </c>
      <c r="P46" t="s">
        <v>134</v>
      </c>
      <c r="Q46" t="s">
        <v>134</v>
      </c>
      <c r="R46" t="s">
        <v>134</v>
      </c>
      <c r="S46" t="s">
        <v>134</v>
      </c>
      <c r="T46" t="s">
        <v>134</v>
      </c>
      <c r="U46" t="s">
        <v>134</v>
      </c>
      <c r="V46" t="s">
        <v>134</v>
      </c>
      <c r="W46" t="s">
        <v>134</v>
      </c>
      <c r="X46" t="s">
        <v>134</v>
      </c>
      <c r="Y46" t="s">
        <v>134</v>
      </c>
      <c r="Z46" t="s">
        <v>134</v>
      </c>
      <c r="AA46" t="s">
        <v>134</v>
      </c>
      <c r="AB46" t="s">
        <v>134</v>
      </c>
      <c r="AC46" t="s">
        <v>134</v>
      </c>
      <c r="AD46" t="s">
        <v>134</v>
      </c>
      <c r="AE46" t="s">
        <v>134</v>
      </c>
      <c r="AF46" t="s">
        <v>134</v>
      </c>
      <c r="AG46" t="s">
        <v>134</v>
      </c>
      <c r="AH46" t="s">
        <v>134</v>
      </c>
      <c r="AI46" t="s">
        <v>134</v>
      </c>
      <c r="AJ46" t="s">
        <v>134</v>
      </c>
      <c r="AK46" t="s">
        <v>134</v>
      </c>
      <c r="AL46" t="s">
        <v>134</v>
      </c>
      <c r="AM46" t="s">
        <v>134</v>
      </c>
      <c r="AN46" t="s">
        <v>134</v>
      </c>
      <c r="AO46" t="s">
        <v>134</v>
      </c>
      <c r="AP46" t="s">
        <v>134</v>
      </c>
      <c r="AQ46" t="s">
        <v>134</v>
      </c>
      <c r="AR46" t="s">
        <v>134</v>
      </c>
      <c r="AS46" t="s">
        <v>134</v>
      </c>
      <c r="AT46" t="s">
        <v>134</v>
      </c>
      <c r="AU46" t="s">
        <v>134</v>
      </c>
      <c r="AV46" t="s">
        <v>134</v>
      </c>
      <c r="AW46" t="s">
        <v>134</v>
      </c>
      <c r="AX46" t="s">
        <v>134</v>
      </c>
      <c r="AY46" t="s">
        <v>134</v>
      </c>
      <c r="AZ46" t="s">
        <v>134</v>
      </c>
      <c r="BA46" t="s">
        <v>134</v>
      </c>
      <c r="BB46" t="s">
        <v>134</v>
      </c>
      <c r="BC46" t="s">
        <v>134</v>
      </c>
      <c r="BD46" t="s">
        <v>134</v>
      </c>
      <c r="BE46" t="s">
        <v>134</v>
      </c>
      <c r="BF46" t="s">
        <v>134</v>
      </c>
      <c r="BG46" t="s">
        <v>134</v>
      </c>
      <c r="BH46" t="s">
        <v>134</v>
      </c>
      <c r="BI46" t="s">
        <v>134</v>
      </c>
      <c r="BJ46" t="s">
        <v>134</v>
      </c>
      <c r="BK46" t="s">
        <v>134</v>
      </c>
      <c r="BL46" t="s">
        <v>134</v>
      </c>
      <c r="BM46" t="s">
        <v>134</v>
      </c>
      <c r="BN46" t="s">
        <v>134</v>
      </c>
      <c r="BO46" t="s">
        <v>134</v>
      </c>
      <c r="BP46" t="s">
        <v>134</v>
      </c>
      <c r="BQ46" t="s">
        <v>134</v>
      </c>
      <c r="BR46" t="s">
        <v>134</v>
      </c>
      <c r="BS46" t="s">
        <v>134</v>
      </c>
      <c r="BT46" t="s">
        <v>134</v>
      </c>
      <c r="BU46" t="s">
        <v>134</v>
      </c>
      <c r="BV46" t="s">
        <v>134</v>
      </c>
      <c r="BW46" t="s">
        <v>134</v>
      </c>
      <c r="BX46" t="s">
        <v>134</v>
      </c>
      <c r="BY46" t="s">
        <v>134</v>
      </c>
      <c r="BZ46" t="s">
        <v>134</v>
      </c>
      <c r="CA46" t="s">
        <v>134</v>
      </c>
      <c r="CB46" t="s">
        <v>134</v>
      </c>
      <c r="CC46" t="s">
        <v>134</v>
      </c>
      <c r="CD46" t="s">
        <v>134</v>
      </c>
      <c r="CE46" t="s">
        <v>134</v>
      </c>
      <c r="CF46" t="s">
        <v>134</v>
      </c>
      <c r="CG46" t="s">
        <v>134</v>
      </c>
      <c r="CH46" t="s">
        <v>134</v>
      </c>
      <c r="CI46" t="s">
        <v>134</v>
      </c>
      <c r="CJ46" t="s">
        <v>134</v>
      </c>
      <c r="CK46" t="s">
        <v>134</v>
      </c>
      <c r="CL46" t="s">
        <v>134</v>
      </c>
      <c r="CM46" t="s">
        <v>134</v>
      </c>
      <c r="CN46" t="s">
        <v>134</v>
      </c>
      <c r="CO46" t="s">
        <v>134</v>
      </c>
      <c r="CP46" t="s">
        <v>134</v>
      </c>
      <c r="CQ46" t="s">
        <v>134</v>
      </c>
      <c r="CR46" t="s">
        <v>134</v>
      </c>
      <c r="CS46" t="s">
        <v>134</v>
      </c>
      <c r="CT46" t="s">
        <v>134</v>
      </c>
      <c r="CU46" t="s">
        <v>134</v>
      </c>
      <c r="CV46" t="s">
        <v>134</v>
      </c>
      <c r="CW46" t="s">
        <v>134</v>
      </c>
      <c r="CX46" t="s">
        <v>134</v>
      </c>
      <c r="CY46" t="s">
        <v>134</v>
      </c>
      <c r="CZ46" t="s">
        <v>134</v>
      </c>
      <c r="DA46" t="s">
        <v>134</v>
      </c>
      <c r="DB46" t="s">
        <v>134</v>
      </c>
      <c r="DC46" t="s">
        <v>134</v>
      </c>
      <c r="DD46" t="s">
        <v>134</v>
      </c>
      <c r="DE46" t="s">
        <v>134</v>
      </c>
      <c r="DF46" t="s">
        <v>134</v>
      </c>
      <c r="DG46" t="s">
        <v>134</v>
      </c>
      <c r="DH46" t="s">
        <v>134</v>
      </c>
      <c r="DI46" t="s">
        <v>134</v>
      </c>
    </row>
    <row r="47" spans="4:113" x14ac:dyDescent="0.3">
      <c r="E47" t="s">
        <v>7</v>
      </c>
      <c r="F47" t="s">
        <v>134</v>
      </c>
      <c r="G47" t="s">
        <v>134</v>
      </c>
      <c r="H47" t="s">
        <v>134</v>
      </c>
      <c r="I47" t="s">
        <v>134</v>
      </c>
      <c r="J47" t="s">
        <v>134</v>
      </c>
      <c r="K47" t="s">
        <v>134</v>
      </c>
      <c r="L47" t="s">
        <v>134</v>
      </c>
      <c r="M47" t="s">
        <v>134</v>
      </c>
      <c r="N47" t="s">
        <v>134</v>
      </c>
      <c r="O47" t="s">
        <v>134</v>
      </c>
      <c r="P47" t="s">
        <v>134</v>
      </c>
      <c r="Q47" t="s">
        <v>134</v>
      </c>
      <c r="R47" t="s">
        <v>134</v>
      </c>
      <c r="S47" t="s">
        <v>134</v>
      </c>
      <c r="T47" t="s">
        <v>134</v>
      </c>
      <c r="U47" t="s">
        <v>134</v>
      </c>
      <c r="V47" t="s">
        <v>134</v>
      </c>
      <c r="W47" t="s">
        <v>134</v>
      </c>
      <c r="X47" t="s">
        <v>134</v>
      </c>
      <c r="Y47" t="s">
        <v>134</v>
      </c>
      <c r="Z47" t="s">
        <v>134</v>
      </c>
      <c r="AA47" t="s">
        <v>134</v>
      </c>
      <c r="AB47" t="s">
        <v>134</v>
      </c>
      <c r="AC47" t="s">
        <v>134</v>
      </c>
      <c r="AD47" t="s">
        <v>134</v>
      </c>
      <c r="AE47" t="s">
        <v>134</v>
      </c>
      <c r="AF47" t="s">
        <v>134</v>
      </c>
      <c r="AG47" t="s">
        <v>134</v>
      </c>
      <c r="AH47" t="s">
        <v>134</v>
      </c>
      <c r="AI47" t="s">
        <v>134</v>
      </c>
      <c r="AJ47" t="s">
        <v>134</v>
      </c>
      <c r="AK47" t="s">
        <v>134</v>
      </c>
      <c r="AL47" t="s">
        <v>134</v>
      </c>
      <c r="AM47" t="s">
        <v>134</v>
      </c>
      <c r="AN47" t="s">
        <v>134</v>
      </c>
      <c r="AO47" t="s">
        <v>134</v>
      </c>
      <c r="AP47" t="s">
        <v>134</v>
      </c>
      <c r="AQ47" t="s">
        <v>134</v>
      </c>
      <c r="AR47" t="s">
        <v>134</v>
      </c>
      <c r="AS47" t="s">
        <v>134</v>
      </c>
      <c r="AT47" t="s">
        <v>134</v>
      </c>
      <c r="AU47" t="s">
        <v>134</v>
      </c>
      <c r="AV47" t="s">
        <v>134</v>
      </c>
      <c r="AW47" t="s">
        <v>134</v>
      </c>
      <c r="AX47" t="s">
        <v>134</v>
      </c>
      <c r="AY47" t="s">
        <v>134</v>
      </c>
      <c r="AZ47" t="s">
        <v>134</v>
      </c>
      <c r="BA47" t="s">
        <v>134</v>
      </c>
      <c r="BB47" t="s">
        <v>134</v>
      </c>
      <c r="BC47" t="s">
        <v>134</v>
      </c>
      <c r="BD47" t="s">
        <v>134</v>
      </c>
      <c r="BE47" t="s">
        <v>134</v>
      </c>
      <c r="BF47" t="s">
        <v>134</v>
      </c>
      <c r="BG47" t="s">
        <v>134</v>
      </c>
      <c r="BH47" t="s">
        <v>134</v>
      </c>
      <c r="BI47" t="s">
        <v>134</v>
      </c>
      <c r="BJ47" t="s">
        <v>134</v>
      </c>
      <c r="BK47" t="s">
        <v>134</v>
      </c>
      <c r="BL47" t="s">
        <v>134</v>
      </c>
      <c r="BM47" t="s">
        <v>134</v>
      </c>
      <c r="BN47" t="s">
        <v>134</v>
      </c>
      <c r="BO47" t="s">
        <v>134</v>
      </c>
      <c r="BP47" t="s">
        <v>134</v>
      </c>
      <c r="BQ47" t="s">
        <v>134</v>
      </c>
      <c r="BR47" t="s">
        <v>134</v>
      </c>
      <c r="BS47" t="s">
        <v>134</v>
      </c>
      <c r="BT47" t="s">
        <v>134</v>
      </c>
      <c r="BU47" t="s">
        <v>134</v>
      </c>
      <c r="BV47" t="s">
        <v>134</v>
      </c>
      <c r="BW47" t="s">
        <v>134</v>
      </c>
      <c r="BX47" t="s">
        <v>134</v>
      </c>
      <c r="BY47" t="s">
        <v>134</v>
      </c>
      <c r="BZ47" t="s">
        <v>134</v>
      </c>
      <c r="CA47" t="s">
        <v>134</v>
      </c>
      <c r="CB47" t="s">
        <v>134</v>
      </c>
      <c r="CC47" t="s">
        <v>134</v>
      </c>
      <c r="CD47" t="s">
        <v>134</v>
      </c>
      <c r="CE47" t="s">
        <v>134</v>
      </c>
      <c r="CF47" t="s">
        <v>134</v>
      </c>
      <c r="CG47" t="s">
        <v>134</v>
      </c>
      <c r="CH47" t="s">
        <v>134</v>
      </c>
      <c r="CI47" t="s">
        <v>134</v>
      </c>
      <c r="CJ47" t="s">
        <v>134</v>
      </c>
      <c r="CK47" t="s">
        <v>134</v>
      </c>
      <c r="CL47" t="s">
        <v>134</v>
      </c>
      <c r="CM47" t="s">
        <v>134</v>
      </c>
      <c r="CN47" t="s">
        <v>134</v>
      </c>
      <c r="CO47" t="s">
        <v>134</v>
      </c>
      <c r="CP47" t="s">
        <v>134</v>
      </c>
      <c r="CQ47" t="s">
        <v>134</v>
      </c>
      <c r="CR47" t="s">
        <v>134</v>
      </c>
      <c r="CS47" t="s">
        <v>134</v>
      </c>
      <c r="CT47" t="s">
        <v>134</v>
      </c>
      <c r="CU47" t="s">
        <v>134</v>
      </c>
      <c r="CV47" t="s">
        <v>134</v>
      </c>
      <c r="CW47" t="s">
        <v>134</v>
      </c>
      <c r="CX47" t="s">
        <v>134</v>
      </c>
      <c r="CY47" t="s">
        <v>134</v>
      </c>
      <c r="CZ47" t="s">
        <v>134</v>
      </c>
      <c r="DA47" t="s">
        <v>134</v>
      </c>
      <c r="DB47" t="s">
        <v>134</v>
      </c>
      <c r="DC47" t="s">
        <v>134</v>
      </c>
      <c r="DD47" t="s">
        <v>134</v>
      </c>
      <c r="DE47" t="s">
        <v>134</v>
      </c>
      <c r="DF47" t="s">
        <v>134</v>
      </c>
      <c r="DG47" t="s">
        <v>134</v>
      </c>
      <c r="DH47" t="s">
        <v>134</v>
      </c>
      <c r="DI47" t="s">
        <v>134</v>
      </c>
    </row>
    <row r="48" spans="4:113" x14ac:dyDescent="0.3">
      <c r="D48" t="s">
        <v>11</v>
      </c>
      <c r="E48" t="s">
        <v>3</v>
      </c>
      <c r="F48">
        <v>20.5486</v>
      </c>
      <c r="G48">
        <v>7.7963000000000005</v>
      </c>
      <c r="H48">
        <v>14.047000000000001</v>
      </c>
      <c r="I48">
        <v>12.293799999999999</v>
      </c>
      <c r="J48">
        <v>10.084099999999999</v>
      </c>
      <c r="K48">
        <v>8.2253000000000007</v>
      </c>
      <c r="L48">
        <v>10.5853</v>
      </c>
      <c r="M48">
        <v>8.3514999999999997</v>
      </c>
      <c r="N48">
        <v>5.4851000000000001</v>
      </c>
      <c r="O48">
        <v>5.3792</v>
      </c>
      <c r="P48">
        <v>5.3792</v>
      </c>
      <c r="Q48">
        <v>34.321599999999997</v>
      </c>
      <c r="R48">
        <v>91.912199999999999</v>
      </c>
      <c r="S48">
        <v>1.6619000000000002</v>
      </c>
      <c r="T48">
        <v>18.301100000000002</v>
      </c>
      <c r="U48">
        <v>22.193000000000001</v>
      </c>
      <c r="V48">
        <v>24.857199999999999</v>
      </c>
      <c r="W48">
        <v>11.788499999999999</v>
      </c>
      <c r="X48">
        <v>123.5912</v>
      </c>
      <c r="Y48">
        <v>127.027</v>
      </c>
      <c r="Z48">
        <v>20.196100000000001</v>
      </c>
      <c r="AA48">
        <v>7.37</v>
      </c>
      <c r="AB48">
        <v>8.0551999999999992</v>
      </c>
      <c r="AC48">
        <v>8.0826999999999991</v>
      </c>
      <c r="AD48">
        <v>2.4661</v>
      </c>
      <c r="AE48">
        <v>5.9901999999999997</v>
      </c>
      <c r="AF48">
        <v>17.8552</v>
      </c>
      <c r="AG48">
        <v>12.895</v>
      </c>
      <c r="AH48">
        <v>3.7603</v>
      </c>
      <c r="AI48">
        <v>11.5618</v>
      </c>
      <c r="AJ48">
        <v>8.6109000000000009</v>
      </c>
      <c r="AK48">
        <v>11.5359</v>
      </c>
      <c r="AL48">
        <v>2.8685</v>
      </c>
      <c r="AM48">
        <v>-2.1879</v>
      </c>
      <c r="AN48">
        <v>21.6373</v>
      </c>
      <c r="AO48">
        <v>27.904900000000001</v>
      </c>
      <c r="AP48">
        <v>37.9039</v>
      </c>
      <c r="AQ48">
        <v>38.582099999999997</v>
      </c>
      <c r="AR48">
        <v>68.413700000000006</v>
      </c>
      <c r="AS48">
        <v>-3.0714000000000001</v>
      </c>
      <c r="AT48">
        <v>1.1628000000000001</v>
      </c>
      <c r="AU48">
        <v>8.3874999999999993</v>
      </c>
      <c r="AV48">
        <v>4.1113</v>
      </c>
      <c r="AW48">
        <v>-0.47889999999999999</v>
      </c>
      <c r="AX48" t="s">
        <v>134</v>
      </c>
      <c r="AY48">
        <v>1.8616000000000001</v>
      </c>
      <c r="AZ48">
        <v>-8.0751000000000008</v>
      </c>
      <c r="BA48">
        <v>-6.0457999999999998</v>
      </c>
      <c r="BB48">
        <v>12.5303</v>
      </c>
      <c r="BC48">
        <v>3.3645999999999998</v>
      </c>
      <c r="BD48">
        <v>12.555199999999999</v>
      </c>
      <c r="BE48">
        <v>51.473100000000002</v>
      </c>
      <c r="BF48">
        <v>18.301100000000002</v>
      </c>
      <c r="BG48">
        <v>22.193000000000001</v>
      </c>
      <c r="BH48">
        <v>24.857199999999999</v>
      </c>
      <c r="BI48">
        <v>11.788499999999999</v>
      </c>
      <c r="BJ48">
        <v>123.5912</v>
      </c>
      <c r="BK48">
        <v>127.027</v>
      </c>
      <c r="BL48">
        <v>20.196100000000001</v>
      </c>
      <c r="BM48">
        <v>7.37</v>
      </c>
      <c r="BN48">
        <v>8.0551999999999992</v>
      </c>
      <c r="BO48">
        <v>8.0826999999999991</v>
      </c>
      <c r="BP48">
        <v>2.4661</v>
      </c>
      <c r="BQ48" t="s">
        <v>134</v>
      </c>
      <c r="BR48">
        <v>17.8552</v>
      </c>
      <c r="BS48">
        <v>12.895</v>
      </c>
      <c r="BT48">
        <v>3.7603</v>
      </c>
      <c r="BU48">
        <v>11.5618</v>
      </c>
      <c r="BV48">
        <v>8.6109000000000009</v>
      </c>
      <c r="BW48">
        <v>11.5359</v>
      </c>
      <c r="BX48">
        <v>2.8685</v>
      </c>
      <c r="BY48">
        <v>656497.9</v>
      </c>
      <c r="BZ48">
        <v>425892.8</v>
      </c>
      <c r="CA48">
        <v>230605.1</v>
      </c>
      <c r="CB48">
        <v>1.5782</v>
      </c>
      <c r="CC48">
        <v>1.3692</v>
      </c>
      <c r="CD48">
        <v>1.9348999999999998</v>
      </c>
      <c r="CE48">
        <v>1.6787000000000001</v>
      </c>
      <c r="CF48">
        <v>14.517300000000001</v>
      </c>
      <c r="CG48">
        <v>38.513500000000001</v>
      </c>
      <c r="CH48">
        <v>19.875499999999999</v>
      </c>
      <c r="CI48">
        <v>12.693300000000001</v>
      </c>
      <c r="CJ48">
        <v>7.7992999999999997</v>
      </c>
      <c r="CK48">
        <v>56.5824</v>
      </c>
      <c r="CL48">
        <v>36.135899999999999</v>
      </c>
      <c r="CM48">
        <v>22.203600000000002</v>
      </c>
      <c r="CN48">
        <v>49.09</v>
      </c>
      <c r="CO48">
        <v>32.926400000000001</v>
      </c>
      <c r="CP48">
        <v>415975.7</v>
      </c>
      <c r="CQ48">
        <v>191527.3</v>
      </c>
      <c r="CR48">
        <v>339297</v>
      </c>
      <c r="CS48">
        <v>6.2199999999999998E-2</v>
      </c>
      <c r="CT48">
        <v>0.75560000000000005</v>
      </c>
      <c r="CU48">
        <v>0.1386</v>
      </c>
      <c r="CV48">
        <v>2.2427000000000001</v>
      </c>
      <c r="CW48">
        <v>42.101599999999998</v>
      </c>
      <c r="CX48">
        <v>8.6694999999999993</v>
      </c>
      <c r="CY48">
        <v>4.9210000000000003</v>
      </c>
      <c r="CZ48">
        <v>74.172200000000004</v>
      </c>
      <c r="DA48">
        <v>10.010999999999999</v>
      </c>
      <c r="DB48">
        <v>36.46</v>
      </c>
      <c r="DC48">
        <v>46.381700000000002</v>
      </c>
      <c r="DD48">
        <v>82.841700000000003</v>
      </c>
      <c r="DE48">
        <v>705679</v>
      </c>
      <c r="DF48">
        <v>191536.2</v>
      </c>
      <c r="DG48">
        <v>54031</v>
      </c>
      <c r="DH48">
        <v>426800.2</v>
      </c>
      <c r="DI48">
        <v>33311.599999999999</v>
      </c>
    </row>
    <row r="49" spans="1:113" x14ac:dyDescent="0.3">
      <c r="E49" t="s">
        <v>4</v>
      </c>
      <c r="F49" t="s">
        <v>134</v>
      </c>
      <c r="G49" t="s">
        <v>134</v>
      </c>
      <c r="H49" t="s">
        <v>134</v>
      </c>
      <c r="I49" t="s">
        <v>134</v>
      </c>
      <c r="J49" t="s">
        <v>134</v>
      </c>
      <c r="K49" t="s">
        <v>134</v>
      </c>
      <c r="L49" t="s">
        <v>134</v>
      </c>
      <c r="M49" t="s">
        <v>134</v>
      </c>
      <c r="N49" t="s">
        <v>134</v>
      </c>
      <c r="O49" t="s">
        <v>134</v>
      </c>
      <c r="P49" t="s">
        <v>134</v>
      </c>
      <c r="Q49" t="s">
        <v>134</v>
      </c>
      <c r="R49" t="s">
        <v>134</v>
      </c>
      <c r="S49" t="s">
        <v>134</v>
      </c>
      <c r="T49" t="s">
        <v>134</v>
      </c>
      <c r="U49" t="s">
        <v>134</v>
      </c>
      <c r="V49" t="s">
        <v>134</v>
      </c>
      <c r="W49" t="s">
        <v>134</v>
      </c>
      <c r="X49" t="s">
        <v>134</v>
      </c>
      <c r="Y49" t="s">
        <v>134</v>
      </c>
      <c r="Z49" t="s">
        <v>134</v>
      </c>
      <c r="AA49" t="s">
        <v>134</v>
      </c>
      <c r="AB49" t="s">
        <v>134</v>
      </c>
      <c r="AC49" t="s">
        <v>134</v>
      </c>
      <c r="AD49" t="s">
        <v>134</v>
      </c>
      <c r="AE49" t="s">
        <v>134</v>
      </c>
      <c r="AF49" t="s">
        <v>134</v>
      </c>
      <c r="AG49" t="s">
        <v>134</v>
      </c>
      <c r="AH49" t="s">
        <v>134</v>
      </c>
      <c r="AI49" t="s">
        <v>134</v>
      </c>
      <c r="AJ49" t="s">
        <v>134</v>
      </c>
      <c r="AK49" t="s">
        <v>134</v>
      </c>
      <c r="AL49" t="s">
        <v>134</v>
      </c>
      <c r="AM49" t="s">
        <v>134</v>
      </c>
      <c r="AN49" t="s">
        <v>134</v>
      </c>
      <c r="AO49" t="s">
        <v>134</v>
      </c>
      <c r="AP49" t="s">
        <v>134</v>
      </c>
      <c r="AQ49" t="s">
        <v>134</v>
      </c>
      <c r="AR49" t="s">
        <v>134</v>
      </c>
      <c r="AS49" t="s">
        <v>134</v>
      </c>
      <c r="AT49" t="s">
        <v>134</v>
      </c>
      <c r="AU49" t="s">
        <v>134</v>
      </c>
      <c r="AV49" t="s">
        <v>134</v>
      </c>
      <c r="AW49" t="s">
        <v>134</v>
      </c>
      <c r="AX49" t="s">
        <v>134</v>
      </c>
      <c r="AY49" t="s">
        <v>134</v>
      </c>
      <c r="AZ49" t="s">
        <v>134</v>
      </c>
      <c r="BA49" t="s">
        <v>134</v>
      </c>
      <c r="BB49" t="s">
        <v>134</v>
      </c>
      <c r="BC49" t="s">
        <v>134</v>
      </c>
      <c r="BD49" t="s">
        <v>134</v>
      </c>
      <c r="BE49" t="s">
        <v>134</v>
      </c>
      <c r="BF49" t="s">
        <v>134</v>
      </c>
      <c r="BG49" t="s">
        <v>134</v>
      </c>
      <c r="BH49" t="s">
        <v>134</v>
      </c>
      <c r="BI49" t="s">
        <v>134</v>
      </c>
      <c r="BJ49" t="s">
        <v>134</v>
      </c>
      <c r="BK49" t="s">
        <v>134</v>
      </c>
      <c r="BL49" t="s">
        <v>134</v>
      </c>
      <c r="BM49" t="s">
        <v>134</v>
      </c>
      <c r="BN49" t="s">
        <v>134</v>
      </c>
      <c r="BO49" t="s">
        <v>134</v>
      </c>
      <c r="BP49" t="s">
        <v>134</v>
      </c>
      <c r="BQ49" t="s">
        <v>134</v>
      </c>
      <c r="BR49" t="s">
        <v>134</v>
      </c>
      <c r="BS49" t="s">
        <v>134</v>
      </c>
      <c r="BT49" t="s">
        <v>134</v>
      </c>
      <c r="BU49" t="s">
        <v>134</v>
      </c>
      <c r="BV49" t="s">
        <v>134</v>
      </c>
      <c r="BW49" t="s">
        <v>134</v>
      </c>
      <c r="BX49" t="s">
        <v>134</v>
      </c>
      <c r="BY49" t="s">
        <v>134</v>
      </c>
      <c r="BZ49" t="s">
        <v>134</v>
      </c>
      <c r="CA49" t="s">
        <v>134</v>
      </c>
      <c r="CB49" t="s">
        <v>134</v>
      </c>
      <c r="CC49" t="s">
        <v>134</v>
      </c>
      <c r="CD49" t="s">
        <v>134</v>
      </c>
      <c r="CE49" t="s">
        <v>134</v>
      </c>
      <c r="CF49" t="s">
        <v>134</v>
      </c>
      <c r="CG49" t="s">
        <v>134</v>
      </c>
      <c r="CH49" t="s">
        <v>134</v>
      </c>
      <c r="CI49" t="s">
        <v>134</v>
      </c>
      <c r="CJ49" t="s">
        <v>134</v>
      </c>
      <c r="CK49" t="s">
        <v>134</v>
      </c>
      <c r="CL49" t="s">
        <v>134</v>
      </c>
      <c r="CM49" t="s">
        <v>134</v>
      </c>
      <c r="CN49" t="s">
        <v>134</v>
      </c>
      <c r="CO49" t="s">
        <v>134</v>
      </c>
      <c r="CP49" t="s">
        <v>134</v>
      </c>
      <c r="CQ49" t="s">
        <v>134</v>
      </c>
      <c r="CR49" t="s">
        <v>134</v>
      </c>
      <c r="CS49" t="s">
        <v>134</v>
      </c>
      <c r="CT49" t="s">
        <v>134</v>
      </c>
      <c r="CU49" t="s">
        <v>134</v>
      </c>
      <c r="CV49" t="s">
        <v>134</v>
      </c>
      <c r="CW49" t="s">
        <v>134</v>
      </c>
      <c r="CX49" t="s">
        <v>134</v>
      </c>
      <c r="CY49" t="s">
        <v>134</v>
      </c>
      <c r="CZ49" t="s">
        <v>134</v>
      </c>
      <c r="DA49" t="s">
        <v>134</v>
      </c>
      <c r="DB49" t="s">
        <v>134</v>
      </c>
      <c r="DC49" t="s">
        <v>134</v>
      </c>
      <c r="DD49" t="s">
        <v>134</v>
      </c>
      <c r="DE49" t="s">
        <v>134</v>
      </c>
      <c r="DF49" t="s">
        <v>134</v>
      </c>
      <c r="DG49" t="s">
        <v>134</v>
      </c>
      <c r="DH49" t="s">
        <v>134</v>
      </c>
      <c r="DI49" t="s">
        <v>134</v>
      </c>
    </row>
    <row r="50" spans="1:113" x14ac:dyDescent="0.3">
      <c r="E50" t="s">
        <v>5</v>
      </c>
      <c r="F50" t="s">
        <v>134</v>
      </c>
      <c r="G50" t="s">
        <v>134</v>
      </c>
      <c r="H50" t="s">
        <v>134</v>
      </c>
      <c r="I50" t="s">
        <v>134</v>
      </c>
      <c r="J50" t="s">
        <v>134</v>
      </c>
      <c r="K50" t="s">
        <v>134</v>
      </c>
      <c r="L50" t="s">
        <v>134</v>
      </c>
      <c r="M50" t="s">
        <v>134</v>
      </c>
      <c r="N50" t="s">
        <v>134</v>
      </c>
      <c r="O50" t="s">
        <v>134</v>
      </c>
      <c r="P50" t="s">
        <v>134</v>
      </c>
      <c r="Q50" t="s">
        <v>134</v>
      </c>
      <c r="R50" t="s">
        <v>134</v>
      </c>
      <c r="S50" t="s">
        <v>134</v>
      </c>
      <c r="T50" t="s">
        <v>134</v>
      </c>
      <c r="U50" t="s">
        <v>134</v>
      </c>
      <c r="V50" t="s">
        <v>134</v>
      </c>
      <c r="W50" t="s">
        <v>134</v>
      </c>
      <c r="X50" t="s">
        <v>134</v>
      </c>
      <c r="Y50" t="s">
        <v>134</v>
      </c>
      <c r="Z50" t="s">
        <v>134</v>
      </c>
      <c r="AA50" t="s">
        <v>134</v>
      </c>
      <c r="AB50" t="s">
        <v>134</v>
      </c>
      <c r="AC50" t="s">
        <v>134</v>
      </c>
      <c r="AD50" t="s">
        <v>134</v>
      </c>
      <c r="AE50" t="s">
        <v>134</v>
      </c>
      <c r="AF50" t="s">
        <v>134</v>
      </c>
      <c r="AG50" t="s">
        <v>134</v>
      </c>
      <c r="AH50" t="s">
        <v>134</v>
      </c>
      <c r="AI50" t="s">
        <v>134</v>
      </c>
      <c r="AJ50" t="s">
        <v>134</v>
      </c>
      <c r="AK50" t="s">
        <v>134</v>
      </c>
      <c r="AL50" t="s">
        <v>134</v>
      </c>
      <c r="AM50" t="s">
        <v>134</v>
      </c>
      <c r="AN50" t="s">
        <v>134</v>
      </c>
      <c r="AO50" t="s">
        <v>134</v>
      </c>
      <c r="AP50" t="s">
        <v>134</v>
      </c>
      <c r="AQ50" t="s">
        <v>134</v>
      </c>
      <c r="AR50" t="s">
        <v>134</v>
      </c>
      <c r="AS50" t="s">
        <v>134</v>
      </c>
      <c r="AT50" t="s">
        <v>134</v>
      </c>
      <c r="AU50" t="s">
        <v>134</v>
      </c>
      <c r="AV50" t="s">
        <v>134</v>
      </c>
      <c r="AW50" t="s">
        <v>134</v>
      </c>
      <c r="AX50" t="s">
        <v>134</v>
      </c>
      <c r="AY50" t="s">
        <v>134</v>
      </c>
      <c r="AZ50" t="s">
        <v>134</v>
      </c>
      <c r="BA50" t="s">
        <v>134</v>
      </c>
      <c r="BB50" t="s">
        <v>134</v>
      </c>
      <c r="BC50" t="s">
        <v>134</v>
      </c>
      <c r="BD50" t="s">
        <v>134</v>
      </c>
      <c r="BE50" t="s">
        <v>134</v>
      </c>
      <c r="BF50" t="s">
        <v>134</v>
      </c>
      <c r="BG50" t="s">
        <v>134</v>
      </c>
      <c r="BH50" t="s">
        <v>134</v>
      </c>
      <c r="BI50" t="s">
        <v>134</v>
      </c>
      <c r="BJ50" t="s">
        <v>134</v>
      </c>
      <c r="BK50" t="s">
        <v>134</v>
      </c>
      <c r="BL50" t="s">
        <v>134</v>
      </c>
      <c r="BM50" t="s">
        <v>134</v>
      </c>
      <c r="BN50" t="s">
        <v>134</v>
      </c>
      <c r="BO50" t="s">
        <v>134</v>
      </c>
      <c r="BP50" t="s">
        <v>134</v>
      </c>
      <c r="BQ50" t="s">
        <v>134</v>
      </c>
      <c r="BR50" t="s">
        <v>134</v>
      </c>
      <c r="BS50" t="s">
        <v>134</v>
      </c>
      <c r="BT50" t="s">
        <v>134</v>
      </c>
      <c r="BU50" t="s">
        <v>134</v>
      </c>
      <c r="BV50" t="s">
        <v>134</v>
      </c>
      <c r="BW50" t="s">
        <v>134</v>
      </c>
      <c r="BX50" t="s">
        <v>134</v>
      </c>
      <c r="BY50" t="s">
        <v>134</v>
      </c>
      <c r="BZ50" t="s">
        <v>134</v>
      </c>
      <c r="CA50" t="s">
        <v>134</v>
      </c>
      <c r="CB50" t="s">
        <v>134</v>
      </c>
      <c r="CC50" t="s">
        <v>134</v>
      </c>
      <c r="CD50" t="s">
        <v>134</v>
      </c>
      <c r="CE50" t="s">
        <v>134</v>
      </c>
      <c r="CF50" t="s">
        <v>134</v>
      </c>
      <c r="CG50" t="s">
        <v>134</v>
      </c>
      <c r="CH50" t="s">
        <v>134</v>
      </c>
      <c r="CI50" t="s">
        <v>134</v>
      </c>
      <c r="CJ50" t="s">
        <v>134</v>
      </c>
      <c r="CK50" t="s">
        <v>134</v>
      </c>
      <c r="CL50" t="s">
        <v>134</v>
      </c>
      <c r="CM50" t="s">
        <v>134</v>
      </c>
      <c r="CN50" t="s">
        <v>134</v>
      </c>
      <c r="CO50" t="s">
        <v>134</v>
      </c>
      <c r="CP50" t="s">
        <v>134</v>
      </c>
      <c r="CQ50" t="s">
        <v>134</v>
      </c>
      <c r="CR50" t="s">
        <v>134</v>
      </c>
      <c r="CS50" t="s">
        <v>134</v>
      </c>
      <c r="CT50" t="s">
        <v>134</v>
      </c>
      <c r="CU50" t="s">
        <v>134</v>
      </c>
      <c r="CV50" t="s">
        <v>134</v>
      </c>
      <c r="CW50" t="s">
        <v>134</v>
      </c>
      <c r="CX50" t="s">
        <v>134</v>
      </c>
      <c r="CY50" t="s">
        <v>134</v>
      </c>
      <c r="CZ50" t="s">
        <v>134</v>
      </c>
      <c r="DA50" t="s">
        <v>134</v>
      </c>
      <c r="DB50" t="s">
        <v>134</v>
      </c>
      <c r="DC50" t="s">
        <v>134</v>
      </c>
      <c r="DD50" t="s">
        <v>134</v>
      </c>
      <c r="DE50" t="s">
        <v>134</v>
      </c>
      <c r="DF50" t="s">
        <v>134</v>
      </c>
      <c r="DG50" t="s">
        <v>134</v>
      </c>
      <c r="DH50" t="s">
        <v>134</v>
      </c>
      <c r="DI50" t="s">
        <v>134</v>
      </c>
    </row>
    <row r="51" spans="1:113" x14ac:dyDescent="0.3">
      <c r="E51" t="s">
        <v>6</v>
      </c>
      <c r="F51" t="s">
        <v>134</v>
      </c>
      <c r="G51" t="s">
        <v>134</v>
      </c>
      <c r="H51" t="s">
        <v>134</v>
      </c>
      <c r="I51" t="s">
        <v>134</v>
      </c>
      <c r="J51" t="s">
        <v>134</v>
      </c>
      <c r="K51" t="s">
        <v>134</v>
      </c>
      <c r="L51" t="s">
        <v>134</v>
      </c>
      <c r="M51" t="s">
        <v>134</v>
      </c>
      <c r="N51" t="s">
        <v>134</v>
      </c>
      <c r="O51" t="s">
        <v>134</v>
      </c>
      <c r="P51" t="s">
        <v>134</v>
      </c>
      <c r="Q51" t="s">
        <v>134</v>
      </c>
      <c r="R51" t="s">
        <v>134</v>
      </c>
      <c r="S51" t="s">
        <v>134</v>
      </c>
      <c r="T51" t="s">
        <v>134</v>
      </c>
      <c r="U51" t="s">
        <v>134</v>
      </c>
      <c r="V51" t="s">
        <v>134</v>
      </c>
      <c r="W51" t="s">
        <v>134</v>
      </c>
      <c r="X51" t="s">
        <v>134</v>
      </c>
      <c r="Y51" t="s">
        <v>134</v>
      </c>
      <c r="Z51" t="s">
        <v>134</v>
      </c>
      <c r="AA51" t="s">
        <v>134</v>
      </c>
      <c r="AB51" t="s">
        <v>134</v>
      </c>
      <c r="AC51" t="s">
        <v>134</v>
      </c>
      <c r="AD51" t="s">
        <v>134</v>
      </c>
      <c r="AE51" t="s">
        <v>134</v>
      </c>
      <c r="AF51" t="s">
        <v>134</v>
      </c>
      <c r="AG51" t="s">
        <v>134</v>
      </c>
      <c r="AH51" t="s">
        <v>134</v>
      </c>
      <c r="AI51" t="s">
        <v>134</v>
      </c>
      <c r="AJ51" t="s">
        <v>134</v>
      </c>
      <c r="AK51" t="s">
        <v>134</v>
      </c>
      <c r="AL51" t="s">
        <v>134</v>
      </c>
      <c r="AM51" t="s">
        <v>134</v>
      </c>
      <c r="AN51" t="s">
        <v>134</v>
      </c>
      <c r="AO51" t="s">
        <v>134</v>
      </c>
      <c r="AP51" t="s">
        <v>134</v>
      </c>
      <c r="AQ51" t="s">
        <v>134</v>
      </c>
      <c r="AR51" t="s">
        <v>134</v>
      </c>
      <c r="AS51" t="s">
        <v>134</v>
      </c>
      <c r="AT51" t="s">
        <v>134</v>
      </c>
      <c r="AU51" t="s">
        <v>134</v>
      </c>
      <c r="AV51" t="s">
        <v>134</v>
      </c>
      <c r="AW51" t="s">
        <v>134</v>
      </c>
      <c r="AX51" t="s">
        <v>134</v>
      </c>
      <c r="AY51" t="s">
        <v>134</v>
      </c>
      <c r="AZ51" t="s">
        <v>134</v>
      </c>
      <c r="BA51" t="s">
        <v>134</v>
      </c>
      <c r="BB51" t="s">
        <v>134</v>
      </c>
      <c r="BC51" t="s">
        <v>134</v>
      </c>
      <c r="BD51" t="s">
        <v>134</v>
      </c>
      <c r="BE51" t="s">
        <v>134</v>
      </c>
      <c r="BF51" t="s">
        <v>134</v>
      </c>
      <c r="BG51" t="s">
        <v>134</v>
      </c>
      <c r="BH51" t="s">
        <v>134</v>
      </c>
      <c r="BI51" t="s">
        <v>134</v>
      </c>
      <c r="BJ51" t="s">
        <v>134</v>
      </c>
      <c r="BK51" t="s">
        <v>134</v>
      </c>
      <c r="BL51" t="s">
        <v>134</v>
      </c>
      <c r="BM51" t="s">
        <v>134</v>
      </c>
      <c r="BN51" t="s">
        <v>134</v>
      </c>
      <c r="BO51" t="s">
        <v>134</v>
      </c>
      <c r="BP51" t="s">
        <v>134</v>
      </c>
      <c r="BQ51" t="s">
        <v>134</v>
      </c>
      <c r="BR51" t="s">
        <v>134</v>
      </c>
      <c r="BS51" t="s">
        <v>134</v>
      </c>
      <c r="BT51" t="s">
        <v>134</v>
      </c>
      <c r="BU51" t="s">
        <v>134</v>
      </c>
      <c r="BV51" t="s">
        <v>134</v>
      </c>
      <c r="BW51" t="s">
        <v>134</v>
      </c>
      <c r="BX51" t="s">
        <v>134</v>
      </c>
      <c r="BY51" t="s">
        <v>134</v>
      </c>
      <c r="BZ51" t="s">
        <v>134</v>
      </c>
      <c r="CA51" t="s">
        <v>134</v>
      </c>
      <c r="CB51" t="s">
        <v>134</v>
      </c>
      <c r="CC51" t="s">
        <v>134</v>
      </c>
      <c r="CD51" t="s">
        <v>134</v>
      </c>
      <c r="CE51" t="s">
        <v>134</v>
      </c>
      <c r="CF51" t="s">
        <v>134</v>
      </c>
      <c r="CG51" t="s">
        <v>134</v>
      </c>
      <c r="CH51" t="s">
        <v>134</v>
      </c>
      <c r="CI51" t="s">
        <v>134</v>
      </c>
      <c r="CJ51" t="s">
        <v>134</v>
      </c>
      <c r="CK51" t="s">
        <v>134</v>
      </c>
      <c r="CL51" t="s">
        <v>134</v>
      </c>
      <c r="CM51" t="s">
        <v>134</v>
      </c>
      <c r="CN51" t="s">
        <v>134</v>
      </c>
      <c r="CO51" t="s">
        <v>134</v>
      </c>
      <c r="CP51" t="s">
        <v>134</v>
      </c>
      <c r="CQ51" t="s">
        <v>134</v>
      </c>
      <c r="CR51" t="s">
        <v>134</v>
      </c>
      <c r="CS51" t="s">
        <v>134</v>
      </c>
      <c r="CT51" t="s">
        <v>134</v>
      </c>
      <c r="CU51" t="s">
        <v>134</v>
      </c>
      <c r="CV51" t="s">
        <v>134</v>
      </c>
      <c r="CW51" t="s">
        <v>134</v>
      </c>
      <c r="CX51" t="s">
        <v>134</v>
      </c>
      <c r="CY51" t="s">
        <v>134</v>
      </c>
      <c r="CZ51" t="s">
        <v>134</v>
      </c>
      <c r="DA51" t="s">
        <v>134</v>
      </c>
      <c r="DB51" t="s">
        <v>134</v>
      </c>
      <c r="DC51" t="s">
        <v>134</v>
      </c>
      <c r="DD51" t="s">
        <v>134</v>
      </c>
      <c r="DE51" t="s">
        <v>134</v>
      </c>
      <c r="DF51" t="s">
        <v>134</v>
      </c>
      <c r="DG51" t="s">
        <v>134</v>
      </c>
      <c r="DH51" t="s">
        <v>134</v>
      </c>
      <c r="DI51" t="s">
        <v>134</v>
      </c>
    </row>
    <row r="52" spans="1:113" x14ac:dyDescent="0.3">
      <c r="E52" t="s">
        <v>7</v>
      </c>
      <c r="F52" t="s">
        <v>134</v>
      </c>
      <c r="G52" t="s">
        <v>134</v>
      </c>
      <c r="H52" t="s">
        <v>134</v>
      </c>
      <c r="I52" t="s">
        <v>134</v>
      </c>
      <c r="J52" t="s">
        <v>134</v>
      </c>
      <c r="K52" t="s">
        <v>134</v>
      </c>
      <c r="L52" t="s">
        <v>134</v>
      </c>
      <c r="M52" t="s">
        <v>134</v>
      </c>
      <c r="N52" t="s">
        <v>134</v>
      </c>
      <c r="O52" t="s">
        <v>134</v>
      </c>
      <c r="P52" t="s">
        <v>134</v>
      </c>
      <c r="Q52" t="s">
        <v>134</v>
      </c>
      <c r="R52" t="s">
        <v>134</v>
      </c>
      <c r="S52" t="s">
        <v>134</v>
      </c>
      <c r="T52" t="s">
        <v>134</v>
      </c>
      <c r="U52" t="s">
        <v>134</v>
      </c>
      <c r="V52" t="s">
        <v>134</v>
      </c>
      <c r="W52" t="s">
        <v>134</v>
      </c>
      <c r="X52" t="s">
        <v>134</v>
      </c>
      <c r="Y52" t="s">
        <v>134</v>
      </c>
      <c r="Z52" t="s">
        <v>134</v>
      </c>
      <c r="AA52" t="s">
        <v>134</v>
      </c>
      <c r="AB52" t="s">
        <v>134</v>
      </c>
      <c r="AC52" t="s">
        <v>134</v>
      </c>
      <c r="AD52" t="s">
        <v>134</v>
      </c>
      <c r="AE52" t="s">
        <v>134</v>
      </c>
      <c r="AF52" t="s">
        <v>134</v>
      </c>
      <c r="AG52" t="s">
        <v>134</v>
      </c>
      <c r="AH52" t="s">
        <v>134</v>
      </c>
      <c r="AI52" t="s">
        <v>134</v>
      </c>
      <c r="AJ52" t="s">
        <v>134</v>
      </c>
      <c r="AK52" t="s">
        <v>134</v>
      </c>
      <c r="AL52" t="s">
        <v>134</v>
      </c>
      <c r="AM52" t="s">
        <v>134</v>
      </c>
      <c r="AN52" t="s">
        <v>134</v>
      </c>
      <c r="AO52" t="s">
        <v>134</v>
      </c>
      <c r="AP52" t="s">
        <v>134</v>
      </c>
      <c r="AQ52" t="s">
        <v>134</v>
      </c>
      <c r="AR52" t="s">
        <v>134</v>
      </c>
      <c r="AS52" t="s">
        <v>134</v>
      </c>
      <c r="AT52" t="s">
        <v>134</v>
      </c>
      <c r="AU52" t="s">
        <v>134</v>
      </c>
      <c r="AV52" t="s">
        <v>134</v>
      </c>
      <c r="AW52" t="s">
        <v>134</v>
      </c>
      <c r="AX52" t="s">
        <v>134</v>
      </c>
      <c r="AY52" t="s">
        <v>134</v>
      </c>
      <c r="AZ52" t="s">
        <v>134</v>
      </c>
      <c r="BA52" t="s">
        <v>134</v>
      </c>
      <c r="BB52" t="s">
        <v>134</v>
      </c>
      <c r="BC52" t="s">
        <v>134</v>
      </c>
      <c r="BD52" t="s">
        <v>134</v>
      </c>
      <c r="BE52" t="s">
        <v>134</v>
      </c>
      <c r="BF52" t="s">
        <v>134</v>
      </c>
      <c r="BG52" t="s">
        <v>134</v>
      </c>
      <c r="BH52" t="s">
        <v>134</v>
      </c>
      <c r="BI52" t="s">
        <v>134</v>
      </c>
      <c r="BJ52" t="s">
        <v>134</v>
      </c>
      <c r="BK52" t="s">
        <v>134</v>
      </c>
      <c r="BL52" t="s">
        <v>134</v>
      </c>
      <c r="BM52" t="s">
        <v>134</v>
      </c>
      <c r="BN52" t="s">
        <v>134</v>
      </c>
      <c r="BO52" t="s">
        <v>134</v>
      </c>
      <c r="BP52" t="s">
        <v>134</v>
      </c>
      <c r="BQ52" t="s">
        <v>134</v>
      </c>
      <c r="BR52" t="s">
        <v>134</v>
      </c>
      <c r="BS52" t="s">
        <v>134</v>
      </c>
      <c r="BT52" t="s">
        <v>134</v>
      </c>
      <c r="BU52" t="s">
        <v>134</v>
      </c>
      <c r="BV52" t="s">
        <v>134</v>
      </c>
      <c r="BW52" t="s">
        <v>134</v>
      </c>
      <c r="BX52" t="s">
        <v>134</v>
      </c>
      <c r="BY52" t="s">
        <v>134</v>
      </c>
      <c r="BZ52" t="s">
        <v>134</v>
      </c>
      <c r="CA52" t="s">
        <v>134</v>
      </c>
      <c r="CB52" t="s">
        <v>134</v>
      </c>
      <c r="CC52" t="s">
        <v>134</v>
      </c>
      <c r="CD52" t="s">
        <v>134</v>
      </c>
      <c r="CE52" t="s">
        <v>134</v>
      </c>
      <c r="CF52" t="s">
        <v>134</v>
      </c>
      <c r="CG52" t="s">
        <v>134</v>
      </c>
      <c r="CH52" t="s">
        <v>134</v>
      </c>
      <c r="CI52" t="s">
        <v>134</v>
      </c>
      <c r="CJ52" t="s">
        <v>134</v>
      </c>
      <c r="CK52" t="s">
        <v>134</v>
      </c>
      <c r="CL52" t="s">
        <v>134</v>
      </c>
      <c r="CM52" t="s">
        <v>134</v>
      </c>
      <c r="CN52" t="s">
        <v>134</v>
      </c>
      <c r="CO52" t="s">
        <v>134</v>
      </c>
      <c r="CP52" t="s">
        <v>134</v>
      </c>
      <c r="CQ52" t="s">
        <v>134</v>
      </c>
      <c r="CR52" t="s">
        <v>134</v>
      </c>
      <c r="CS52" t="s">
        <v>134</v>
      </c>
      <c r="CT52" t="s">
        <v>134</v>
      </c>
      <c r="CU52" t="s">
        <v>134</v>
      </c>
      <c r="CV52" t="s">
        <v>134</v>
      </c>
      <c r="CW52" t="s">
        <v>134</v>
      </c>
      <c r="CX52" t="s">
        <v>134</v>
      </c>
      <c r="CY52" t="s">
        <v>134</v>
      </c>
      <c r="CZ52" t="s">
        <v>134</v>
      </c>
      <c r="DA52" t="s">
        <v>134</v>
      </c>
      <c r="DB52" t="s">
        <v>134</v>
      </c>
      <c r="DC52" t="s">
        <v>134</v>
      </c>
      <c r="DD52" t="s">
        <v>134</v>
      </c>
      <c r="DE52" t="s">
        <v>134</v>
      </c>
      <c r="DF52" t="s">
        <v>134</v>
      </c>
      <c r="DG52" t="s">
        <v>134</v>
      </c>
      <c r="DH52" t="s">
        <v>134</v>
      </c>
      <c r="DI52" t="s">
        <v>134</v>
      </c>
    </row>
    <row r="53" spans="1:113" x14ac:dyDescent="0.3">
      <c r="A53">
        <v>53</v>
      </c>
      <c r="B53" t="s">
        <v>14</v>
      </c>
      <c r="C53" t="s">
        <v>15</v>
      </c>
      <c r="D53" t="s">
        <v>2</v>
      </c>
      <c r="E53" t="s">
        <v>3</v>
      </c>
      <c r="F53">
        <v>16.889600000000002</v>
      </c>
      <c r="G53">
        <v>1.7564</v>
      </c>
      <c r="H53">
        <v>6.7763</v>
      </c>
      <c r="I53">
        <v>8.4438999999999993</v>
      </c>
      <c r="J53" t="s">
        <v>134</v>
      </c>
      <c r="K53">
        <v>45.3446</v>
      </c>
      <c r="L53">
        <v>50.217599999999997</v>
      </c>
      <c r="M53">
        <v>21.163699999999999</v>
      </c>
      <c r="N53">
        <v>29.998200000000001</v>
      </c>
      <c r="O53">
        <v>29.998200000000001</v>
      </c>
      <c r="P53">
        <v>29.998200000000001</v>
      </c>
      <c r="Q53">
        <v>33.843899999999998</v>
      </c>
      <c r="R53">
        <v>13.073499999999999</v>
      </c>
      <c r="S53">
        <v>14.6816</v>
      </c>
      <c r="T53">
        <v>20.510899999999999</v>
      </c>
      <c r="U53" t="s">
        <v>134</v>
      </c>
      <c r="V53">
        <v>35.0154</v>
      </c>
      <c r="W53">
        <v>32.684199999999997</v>
      </c>
      <c r="X53">
        <v>23.411200000000001</v>
      </c>
      <c r="Y53">
        <v>16.666699999999999</v>
      </c>
      <c r="Z53" t="s">
        <v>134</v>
      </c>
      <c r="AA53" t="s">
        <v>134</v>
      </c>
      <c r="AB53">
        <v>34.4255</v>
      </c>
      <c r="AC53">
        <v>18.7151</v>
      </c>
      <c r="AD53" t="s">
        <v>134</v>
      </c>
      <c r="AE53" t="s">
        <v>134</v>
      </c>
      <c r="AF53" t="s">
        <v>134</v>
      </c>
      <c r="AG53">
        <v>48.6479</v>
      </c>
      <c r="AH53">
        <v>53.636899999999997</v>
      </c>
      <c r="AI53">
        <v>18.514600000000002</v>
      </c>
      <c r="AJ53">
        <v>38.271299999999997</v>
      </c>
      <c r="AK53">
        <v>17.890499999999999</v>
      </c>
      <c r="AL53">
        <v>90.991100000000003</v>
      </c>
      <c r="AM53" t="s">
        <v>134</v>
      </c>
      <c r="AN53" t="s">
        <v>134</v>
      </c>
      <c r="AO53" t="s">
        <v>134</v>
      </c>
      <c r="AP53" t="s">
        <v>134</v>
      </c>
      <c r="AQ53" t="s">
        <v>134</v>
      </c>
      <c r="AR53" t="s">
        <v>134</v>
      </c>
      <c r="AS53" t="s">
        <v>134</v>
      </c>
      <c r="AT53" t="s">
        <v>134</v>
      </c>
      <c r="AU53" t="s">
        <v>134</v>
      </c>
      <c r="AV53" t="s">
        <v>134</v>
      </c>
      <c r="AW53" t="s">
        <v>134</v>
      </c>
      <c r="AX53" t="s">
        <v>134</v>
      </c>
      <c r="AY53" t="s">
        <v>134</v>
      </c>
      <c r="AZ53" t="s">
        <v>134</v>
      </c>
      <c r="BA53" t="s">
        <v>134</v>
      </c>
      <c r="BB53" t="s">
        <v>134</v>
      </c>
      <c r="BC53" t="s">
        <v>134</v>
      </c>
      <c r="BD53" t="s">
        <v>134</v>
      </c>
      <c r="BE53" t="s">
        <v>134</v>
      </c>
      <c r="BF53">
        <v>20.510899999999999</v>
      </c>
      <c r="BG53" t="s">
        <v>134</v>
      </c>
      <c r="BH53">
        <v>35.0154</v>
      </c>
      <c r="BI53">
        <v>32.684199999999997</v>
      </c>
      <c r="BJ53">
        <v>23.411200000000001</v>
      </c>
      <c r="BK53">
        <v>16.666699999999999</v>
      </c>
      <c r="BL53" t="s">
        <v>134</v>
      </c>
      <c r="BM53" t="s">
        <v>134</v>
      </c>
      <c r="BN53">
        <v>34.4255</v>
      </c>
      <c r="BO53">
        <v>18.7151</v>
      </c>
      <c r="BP53" t="s">
        <v>134</v>
      </c>
      <c r="BQ53" t="s">
        <v>134</v>
      </c>
      <c r="BR53" t="s">
        <v>134</v>
      </c>
      <c r="BS53">
        <v>48.6479</v>
      </c>
      <c r="BT53">
        <v>53.636899999999997</v>
      </c>
      <c r="BU53">
        <v>18.514600000000002</v>
      </c>
      <c r="BV53">
        <v>38.271299999999997</v>
      </c>
      <c r="BW53">
        <v>17.890499999999999</v>
      </c>
      <c r="BX53" t="s">
        <v>134</v>
      </c>
      <c r="BY53">
        <v>150730.524</v>
      </c>
      <c r="BZ53">
        <v>94935.953999999998</v>
      </c>
      <c r="CA53">
        <v>55794.57</v>
      </c>
      <c r="CB53" t="s">
        <v>134</v>
      </c>
      <c r="CC53" t="s">
        <v>134</v>
      </c>
      <c r="CD53">
        <v>7.0820999999999996</v>
      </c>
      <c r="CE53">
        <v>3.9015</v>
      </c>
      <c r="CF53" t="s">
        <v>134</v>
      </c>
      <c r="CG53">
        <v>10.3911</v>
      </c>
      <c r="CH53">
        <v>61.699399999999997</v>
      </c>
      <c r="CI53">
        <v>23.135899999999999</v>
      </c>
      <c r="CJ53">
        <v>6.4112999999999998</v>
      </c>
      <c r="CK53">
        <v>166.68270000000001</v>
      </c>
      <c r="CL53">
        <v>62.502299999999998</v>
      </c>
      <c r="CM53">
        <v>17.3202</v>
      </c>
      <c r="CN53">
        <v>91.823999999999998</v>
      </c>
      <c r="CO53">
        <v>47.868899999999996</v>
      </c>
      <c r="CP53" t="s">
        <v>134</v>
      </c>
      <c r="CQ53" t="s">
        <v>134</v>
      </c>
      <c r="CR53">
        <v>21283.32</v>
      </c>
      <c r="CS53" t="s">
        <v>134</v>
      </c>
      <c r="CT53" t="s">
        <v>134</v>
      </c>
      <c r="CU53" t="s">
        <v>134</v>
      </c>
      <c r="CV53" t="s">
        <v>134</v>
      </c>
      <c r="CW53" t="s">
        <v>134</v>
      </c>
      <c r="CX53" t="s">
        <v>134</v>
      </c>
      <c r="CY53" t="s">
        <v>134</v>
      </c>
      <c r="CZ53" t="s">
        <v>134</v>
      </c>
      <c r="DA53" t="s">
        <v>134</v>
      </c>
      <c r="DB53" t="s">
        <v>134</v>
      </c>
      <c r="DC53" t="s">
        <v>134</v>
      </c>
      <c r="DD53" t="s">
        <v>134</v>
      </c>
      <c r="DE53" t="s">
        <v>134</v>
      </c>
      <c r="DF53" t="s">
        <v>134</v>
      </c>
      <c r="DG53" t="s">
        <v>134</v>
      </c>
      <c r="DH53" t="s">
        <v>134</v>
      </c>
      <c r="DI53" t="s">
        <v>134</v>
      </c>
    </row>
    <row r="54" spans="1:113" x14ac:dyDescent="0.3">
      <c r="E54" t="s">
        <v>4</v>
      </c>
      <c r="F54" t="s">
        <v>134</v>
      </c>
      <c r="G54" t="s">
        <v>134</v>
      </c>
      <c r="H54" t="s">
        <v>134</v>
      </c>
      <c r="I54" t="s">
        <v>134</v>
      </c>
      <c r="J54" t="s">
        <v>134</v>
      </c>
      <c r="K54" t="s">
        <v>134</v>
      </c>
      <c r="L54" t="s">
        <v>134</v>
      </c>
      <c r="M54" t="s">
        <v>134</v>
      </c>
      <c r="N54" t="s">
        <v>134</v>
      </c>
      <c r="O54" t="s">
        <v>134</v>
      </c>
      <c r="P54" t="s">
        <v>134</v>
      </c>
      <c r="Q54" t="s">
        <v>134</v>
      </c>
      <c r="R54" t="s">
        <v>134</v>
      </c>
      <c r="S54" t="s">
        <v>134</v>
      </c>
      <c r="T54" t="s">
        <v>134</v>
      </c>
      <c r="U54" t="s">
        <v>134</v>
      </c>
      <c r="V54" t="s">
        <v>134</v>
      </c>
      <c r="W54" t="s">
        <v>134</v>
      </c>
      <c r="X54" t="s">
        <v>134</v>
      </c>
      <c r="Y54" t="s">
        <v>134</v>
      </c>
      <c r="Z54" t="s">
        <v>134</v>
      </c>
      <c r="AA54" t="s">
        <v>134</v>
      </c>
      <c r="AB54" t="s">
        <v>134</v>
      </c>
      <c r="AC54" t="s">
        <v>134</v>
      </c>
      <c r="AD54" t="s">
        <v>134</v>
      </c>
      <c r="AE54" t="s">
        <v>134</v>
      </c>
      <c r="AF54" t="s">
        <v>134</v>
      </c>
      <c r="AG54" t="s">
        <v>134</v>
      </c>
      <c r="AH54" t="s">
        <v>134</v>
      </c>
      <c r="AI54" t="s">
        <v>134</v>
      </c>
      <c r="AJ54" t="s">
        <v>134</v>
      </c>
      <c r="AK54" t="s">
        <v>134</v>
      </c>
      <c r="AL54" t="s">
        <v>134</v>
      </c>
      <c r="AM54" t="s">
        <v>134</v>
      </c>
      <c r="AN54" t="s">
        <v>134</v>
      </c>
      <c r="AO54" t="s">
        <v>134</v>
      </c>
      <c r="AP54" t="s">
        <v>134</v>
      </c>
      <c r="AQ54" t="s">
        <v>134</v>
      </c>
      <c r="AR54" t="s">
        <v>134</v>
      </c>
      <c r="AS54" t="s">
        <v>134</v>
      </c>
      <c r="AT54" t="s">
        <v>134</v>
      </c>
      <c r="AU54" t="s">
        <v>134</v>
      </c>
      <c r="AV54" t="s">
        <v>134</v>
      </c>
      <c r="AW54" t="s">
        <v>134</v>
      </c>
      <c r="AX54" t="s">
        <v>134</v>
      </c>
      <c r="AY54" t="s">
        <v>134</v>
      </c>
      <c r="AZ54" t="s">
        <v>134</v>
      </c>
      <c r="BA54" t="s">
        <v>134</v>
      </c>
      <c r="BB54" t="s">
        <v>134</v>
      </c>
      <c r="BC54" t="s">
        <v>134</v>
      </c>
      <c r="BD54" t="s">
        <v>134</v>
      </c>
      <c r="BE54" t="s">
        <v>134</v>
      </c>
      <c r="BF54" t="s">
        <v>134</v>
      </c>
      <c r="BG54" t="s">
        <v>134</v>
      </c>
      <c r="BH54" t="s">
        <v>134</v>
      </c>
      <c r="BI54" t="s">
        <v>134</v>
      </c>
      <c r="BJ54" t="s">
        <v>134</v>
      </c>
      <c r="BK54" t="s">
        <v>134</v>
      </c>
      <c r="BL54" t="s">
        <v>134</v>
      </c>
      <c r="BM54" t="s">
        <v>134</v>
      </c>
      <c r="BN54" t="s">
        <v>134</v>
      </c>
      <c r="BO54" t="s">
        <v>134</v>
      </c>
      <c r="BP54" t="s">
        <v>134</v>
      </c>
      <c r="BQ54" t="s">
        <v>134</v>
      </c>
      <c r="BR54" t="s">
        <v>134</v>
      </c>
      <c r="BS54" t="s">
        <v>134</v>
      </c>
      <c r="BT54" t="s">
        <v>134</v>
      </c>
      <c r="BU54" t="s">
        <v>134</v>
      </c>
      <c r="BV54" t="s">
        <v>134</v>
      </c>
      <c r="BW54" t="s">
        <v>134</v>
      </c>
      <c r="BX54" t="s">
        <v>134</v>
      </c>
      <c r="BY54" t="s">
        <v>134</v>
      </c>
      <c r="BZ54" t="s">
        <v>134</v>
      </c>
      <c r="CA54" t="s">
        <v>134</v>
      </c>
      <c r="CB54" t="s">
        <v>134</v>
      </c>
      <c r="CC54" t="s">
        <v>134</v>
      </c>
      <c r="CD54" t="s">
        <v>134</v>
      </c>
      <c r="CE54" t="s">
        <v>134</v>
      </c>
      <c r="CF54" t="s">
        <v>134</v>
      </c>
      <c r="CG54" t="s">
        <v>134</v>
      </c>
      <c r="CH54" t="s">
        <v>134</v>
      </c>
      <c r="CI54" t="s">
        <v>134</v>
      </c>
      <c r="CJ54" t="s">
        <v>134</v>
      </c>
      <c r="CK54" t="s">
        <v>134</v>
      </c>
      <c r="CL54" t="s">
        <v>134</v>
      </c>
      <c r="CM54" t="s">
        <v>134</v>
      </c>
      <c r="CN54" t="s">
        <v>134</v>
      </c>
      <c r="CO54" t="s">
        <v>134</v>
      </c>
      <c r="CP54" t="s">
        <v>134</v>
      </c>
      <c r="CQ54" t="s">
        <v>134</v>
      </c>
      <c r="CR54" t="s">
        <v>134</v>
      </c>
      <c r="CS54" t="s">
        <v>134</v>
      </c>
      <c r="CT54" t="s">
        <v>134</v>
      </c>
      <c r="CU54" t="s">
        <v>134</v>
      </c>
      <c r="CV54" t="s">
        <v>134</v>
      </c>
      <c r="CW54" t="s">
        <v>134</v>
      </c>
      <c r="CX54" t="s">
        <v>134</v>
      </c>
      <c r="CY54" t="s">
        <v>134</v>
      </c>
      <c r="CZ54" t="s">
        <v>134</v>
      </c>
      <c r="DA54" t="s">
        <v>134</v>
      </c>
      <c r="DB54" t="s">
        <v>134</v>
      </c>
      <c r="DC54" t="s">
        <v>134</v>
      </c>
      <c r="DD54" t="s">
        <v>134</v>
      </c>
      <c r="DE54" t="s">
        <v>134</v>
      </c>
      <c r="DF54" t="s">
        <v>134</v>
      </c>
      <c r="DG54" t="s">
        <v>134</v>
      </c>
      <c r="DH54" t="s">
        <v>134</v>
      </c>
      <c r="DI54" t="s">
        <v>134</v>
      </c>
    </row>
    <row r="55" spans="1:113" x14ac:dyDescent="0.3">
      <c r="E55" t="s">
        <v>5</v>
      </c>
      <c r="F55" t="s">
        <v>134</v>
      </c>
      <c r="G55" t="s">
        <v>134</v>
      </c>
      <c r="H55" t="s">
        <v>134</v>
      </c>
      <c r="I55" t="s">
        <v>134</v>
      </c>
      <c r="J55" t="s">
        <v>134</v>
      </c>
      <c r="K55" t="s">
        <v>134</v>
      </c>
      <c r="L55" t="s">
        <v>134</v>
      </c>
      <c r="M55" t="s">
        <v>134</v>
      </c>
      <c r="N55" t="s">
        <v>134</v>
      </c>
      <c r="O55" t="s">
        <v>134</v>
      </c>
      <c r="P55" t="s">
        <v>134</v>
      </c>
      <c r="Q55" t="s">
        <v>134</v>
      </c>
      <c r="R55" t="s">
        <v>134</v>
      </c>
      <c r="S55" t="s">
        <v>134</v>
      </c>
      <c r="T55" t="s">
        <v>134</v>
      </c>
      <c r="U55" t="s">
        <v>134</v>
      </c>
      <c r="V55" t="s">
        <v>134</v>
      </c>
      <c r="W55" t="s">
        <v>134</v>
      </c>
      <c r="X55" t="s">
        <v>134</v>
      </c>
      <c r="Y55" t="s">
        <v>134</v>
      </c>
      <c r="Z55" t="s">
        <v>134</v>
      </c>
      <c r="AA55" t="s">
        <v>134</v>
      </c>
      <c r="AB55" t="s">
        <v>134</v>
      </c>
      <c r="AC55" t="s">
        <v>134</v>
      </c>
      <c r="AD55" t="s">
        <v>134</v>
      </c>
      <c r="AE55" t="s">
        <v>134</v>
      </c>
      <c r="AF55" t="s">
        <v>134</v>
      </c>
      <c r="AG55" t="s">
        <v>134</v>
      </c>
      <c r="AH55" t="s">
        <v>134</v>
      </c>
      <c r="AI55" t="s">
        <v>134</v>
      </c>
      <c r="AJ55" t="s">
        <v>134</v>
      </c>
      <c r="AK55" t="s">
        <v>134</v>
      </c>
      <c r="AL55" t="s">
        <v>134</v>
      </c>
      <c r="AM55" t="s">
        <v>134</v>
      </c>
      <c r="AN55" t="s">
        <v>134</v>
      </c>
      <c r="AO55" t="s">
        <v>134</v>
      </c>
      <c r="AP55" t="s">
        <v>134</v>
      </c>
      <c r="AQ55" t="s">
        <v>134</v>
      </c>
      <c r="AR55" t="s">
        <v>134</v>
      </c>
      <c r="AS55" t="s">
        <v>134</v>
      </c>
      <c r="AT55" t="s">
        <v>134</v>
      </c>
      <c r="AU55" t="s">
        <v>134</v>
      </c>
      <c r="AV55" t="s">
        <v>134</v>
      </c>
      <c r="AW55" t="s">
        <v>134</v>
      </c>
      <c r="AX55" t="s">
        <v>134</v>
      </c>
      <c r="AY55" t="s">
        <v>134</v>
      </c>
      <c r="AZ55" t="s">
        <v>134</v>
      </c>
      <c r="BA55" t="s">
        <v>134</v>
      </c>
      <c r="BB55" t="s">
        <v>134</v>
      </c>
      <c r="BC55" t="s">
        <v>134</v>
      </c>
      <c r="BD55" t="s">
        <v>134</v>
      </c>
      <c r="BE55" t="s">
        <v>134</v>
      </c>
      <c r="BF55" t="s">
        <v>134</v>
      </c>
      <c r="BG55" t="s">
        <v>134</v>
      </c>
      <c r="BH55" t="s">
        <v>134</v>
      </c>
      <c r="BI55" t="s">
        <v>134</v>
      </c>
      <c r="BJ55" t="s">
        <v>134</v>
      </c>
      <c r="BK55" t="s">
        <v>134</v>
      </c>
      <c r="BL55" t="s">
        <v>134</v>
      </c>
      <c r="BM55" t="s">
        <v>134</v>
      </c>
      <c r="BN55" t="s">
        <v>134</v>
      </c>
      <c r="BO55" t="s">
        <v>134</v>
      </c>
      <c r="BP55" t="s">
        <v>134</v>
      </c>
      <c r="BQ55" t="s">
        <v>134</v>
      </c>
      <c r="BR55" t="s">
        <v>134</v>
      </c>
      <c r="BS55" t="s">
        <v>134</v>
      </c>
      <c r="BT55" t="s">
        <v>134</v>
      </c>
      <c r="BU55" t="s">
        <v>134</v>
      </c>
      <c r="BV55" t="s">
        <v>134</v>
      </c>
      <c r="BW55" t="s">
        <v>134</v>
      </c>
      <c r="BX55" t="s">
        <v>134</v>
      </c>
      <c r="BY55" t="s">
        <v>134</v>
      </c>
      <c r="BZ55" t="s">
        <v>134</v>
      </c>
      <c r="CA55" t="s">
        <v>134</v>
      </c>
      <c r="CB55" t="s">
        <v>134</v>
      </c>
      <c r="CC55" t="s">
        <v>134</v>
      </c>
      <c r="CD55" t="s">
        <v>134</v>
      </c>
      <c r="CE55" t="s">
        <v>134</v>
      </c>
      <c r="CF55" t="s">
        <v>134</v>
      </c>
      <c r="CG55" t="s">
        <v>134</v>
      </c>
      <c r="CH55" t="s">
        <v>134</v>
      </c>
      <c r="CI55" t="s">
        <v>134</v>
      </c>
      <c r="CJ55" t="s">
        <v>134</v>
      </c>
      <c r="CK55" t="s">
        <v>134</v>
      </c>
      <c r="CL55" t="s">
        <v>134</v>
      </c>
      <c r="CM55" t="s">
        <v>134</v>
      </c>
      <c r="CN55" t="s">
        <v>134</v>
      </c>
      <c r="CO55" t="s">
        <v>134</v>
      </c>
      <c r="CP55" t="s">
        <v>134</v>
      </c>
      <c r="CQ55" t="s">
        <v>134</v>
      </c>
      <c r="CR55" t="s">
        <v>134</v>
      </c>
      <c r="CS55" t="s">
        <v>134</v>
      </c>
      <c r="CT55" t="s">
        <v>134</v>
      </c>
      <c r="CU55" t="s">
        <v>134</v>
      </c>
      <c r="CV55" t="s">
        <v>134</v>
      </c>
      <c r="CW55" t="s">
        <v>134</v>
      </c>
      <c r="CX55" t="s">
        <v>134</v>
      </c>
      <c r="CY55" t="s">
        <v>134</v>
      </c>
      <c r="CZ55" t="s">
        <v>134</v>
      </c>
      <c r="DA55" t="s">
        <v>134</v>
      </c>
      <c r="DB55" t="s">
        <v>134</v>
      </c>
      <c r="DC55" t="s">
        <v>134</v>
      </c>
      <c r="DD55" t="s">
        <v>134</v>
      </c>
      <c r="DE55" t="s">
        <v>134</v>
      </c>
      <c r="DF55" t="s">
        <v>134</v>
      </c>
      <c r="DG55" t="s">
        <v>134</v>
      </c>
      <c r="DH55" t="s">
        <v>134</v>
      </c>
      <c r="DI55" t="s">
        <v>134</v>
      </c>
    </row>
    <row r="56" spans="1:113" x14ac:dyDescent="0.3">
      <c r="E56" t="s">
        <v>6</v>
      </c>
      <c r="F56" t="s">
        <v>134</v>
      </c>
      <c r="G56" t="s">
        <v>134</v>
      </c>
      <c r="H56" t="s">
        <v>134</v>
      </c>
      <c r="I56" t="s">
        <v>134</v>
      </c>
      <c r="J56" t="s">
        <v>134</v>
      </c>
      <c r="K56" t="s">
        <v>134</v>
      </c>
      <c r="L56" t="s">
        <v>134</v>
      </c>
      <c r="M56" t="s">
        <v>134</v>
      </c>
      <c r="N56" t="s">
        <v>134</v>
      </c>
      <c r="O56" t="s">
        <v>134</v>
      </c>
      <c r="P56" t="s">
        <v>134</v>
      </c>
      <c r="Q56" t="s">
        <v>134</v>
      </c>
      <c r="R56" t="s">
        <v>134</v>
      </c>
      <c r="S56" t="s">
        <v>134</v>
      </c>
      <c r="T56" t="s">
        <v>134</v>
      </c>
      <c r="U56" t="s">
        <v>134</v>
      </c>
      <c r="V56" t="s">
        <v>134</v>
      </c>
      <c r="W56" t="s">
        <v>134</v>
      </c>
      <c r="X56" t="s">
        <v>134</v>
      </c>
      <c r="Y56" t="s">
        <v>134</v>
      </c>
      <c r="Z56" t="s">
        <v>134</v>
      </c>
      <c r="AA56" t="s">
        <v>134</v>
      </c>
      <c r="AB56" t="s">
        <v>134</v>
      </c>
      <c r="AC56" t="s">
        <v>134</v>
      </c>
      <c r="AD56" t="s">
        <v>134</v>
      </c>
      <c r="AE56" t="s">
        <v>134</v>
      </c>
      <c r="AF56" t="s">
        <v>134</v>
      </c>
      <c r="AG56" t="s">
        <v>134</v>
      </c>
      <c r="AH56" t="s">
        <v>134</v>
      </c>
      <c r="AI56" t="s">
        <v>134</v>
      </c>
      <c r="AJ56" t="s">
        <v>134</v>
      </c>
      <c r="AK56" t="s">
        <v>134</v>
      </c>
      <c r="AL56" t="s">
        <v>134</v>
      </c>
      <c r="AM56" t="s">
        <v>134</v>
      </c>
      <c r="AN56" t="s">
        <v>134</v>
      </c>
      <c r="AO56" t="s">
        <v>134</v>
      </c>
      <c r="AP56" t="s">
        <v>134</v>
      </c>
      <c r="AQ56" t="s">
        <v>134</v>
      </c>
      <c r="AR56" t="s">
        <v>134</v>
      </c>
      <c r="AS56" t="s">
        <v>134</v>
      </c>
      <c r="AT56" t="s">
        <v>134</v>
      </c>
      <c r="AU56" t="s">
        <v>134</v>
      </c>
      <c r="AV56" t="s">
        <v>134</v>
      </c>
      <c r="AW56" t="s">
        <v>134</v>
      </c>
      <c r="AX56" t="s">
        <v>134</v>
      </c>
      <c r="AY56" t="s">
        <v>134</v>
      </c>
      <c r="AZ56" t="s">
        <v>134</v>
      </c>
      <c r="BA56" t="s">
        <v>134</v>
      </c>
      <c r="BB56" t="s">
        <v>134</v>
      </c>
      <c r="BC56" t="s">
        <v>134</v>
      </c>
      <c r="BD56" t="s">
        <v>134</v>
      </c>
      <c r="BE56" t="s">
        <v>134</v>
      </c>
      <c r="BF56" t="s">
        <v>134</v>
      </c>
      <c r="BG56" t="s">
        <v>134</v>
      </c>
      <c r="BH56" t="s">
        <v>134</v>
      </c>
      <c r="BI56" t="s">
        <v>134</v>
      </c>
      <c r="BJ56" t="s">
        <v>134</v>
      </c>
      <c r="BK56" t="s">
        <v>134</v>
      </c>
      <c r="BL56" t="s">
        <v>134</v>
      </c>
      <c r="BM56" t="s">
        <v>134</v>
      </c>
      <c r="BN56" t="s">
        <v>134</v>
      </c>
      <c r="BO56" t="s">
        <v>134</v>
      </c>
      <c r="BP56" t="s">
        <v>134</v>
      </c>
      <c r="BQ56" t="s">
        <v>134</v>
      </c>
      <c r="BR56" t="s">
        <v>134</v>
      </c>
      <c r="BS56" t="s">
        <v>134</v>
      </c>
      <c r="BT56" t="s">
        <v>134</v>
      </c>
      <c r="BU56" t="s">
        <v>134</v>
      </c>
      <c r="BV56" t="s">
        <v>134</v>
      </c>
      <c r="BW56" t="s">
        <v>134</v>
      </c>
      <c r="BX56" t="s">
        <v>134</v>
      </c>
      <c r="BY56" t="s">
        <v>134</v>
      </c>
      <c r="BZ56" t="s">
        <v>134</v>
      </c>
      <c r="CA56" t="s">
        <v>134</v>
      </c>
      <c r="CB56" t="s">
        <v>134</v>
      </c>
      <c r="CC56" t="s">
        <v>134</v>
      </c>
      <c r="CD56" t="s">
        <v>134</v>
      </c>
      <c r="CE56" t="s">
        <v>134</v>
      </c>
      <c r="CF56" t="s">
        <v>134</v>
      </c>
      <c r="CG56" t="s">
        <v>134</v>
      </c>
      <c r="CH56" t="s">
        <v>134</v>
      </c>
      <c r="CI56" t="s">
        <v>134</v>
      </c>
      <c r="CJ56" t="s">
        <v>134</v>
      </c>
      <c r="CK56" t="s">
        <v>134</v>
      </c>
      <c r="CL56" t="s">
        <v>134</v>
      </c>
      <c r="CM56" t="s">
        <v>134</v>
      </c>
      <c r="CN56" t="s">
        <v>134</v>
      </c>
      <c r="CO56" t="s">
        <v>134</v>
      </c>
      <c r="CP56" t="s">
        <v>134</v>
      </c>
      <c r="CQ56" t="s">
        <v>134</v>
      </c>
      <c r="CR56" t="s">
        <v>134</v>
      </c>
      <c r="CS56" t="s">
        <v>134</v>
      </c>
      <c r="CT56" t="s">
        <v>134</v>
      </c>
      <c r="CU56" t="s">
        <v>134</v>
      </c>
      <c r="CV56" t="s">
        <v>134</v>
      </c>
      <c r="CW56" t="s">
        <v>134</v>
      </c>
      <c r="CX56" t="s">
        <v>134</v>
      </c>
      <c r="CY56" t="s">
        <v>134</v>
      </c>
      <c r="CZ56" t="s">
        <v>134</v>
      </c>
      <c r="DA56" t="s">
        <v>134</v>
      </c>
      <c r="DB56" t="s">
        <v>134</v>
      </c>
      <c r="DC56" t="s">
        <v>134</v>
      </c>
      <c r="DD56" t="s">
        <v>134</v>
      </c>
      <c r="DE56" t="s">
        <v>134</v>
      </c>
      <c r="DF56" t="s">
        <v>134</v>
      </c>
      <c r="DG56" t="s">
        <v>134</v>
      </c>
      <c r="DH56" t="s">
        <v>134</v>
      </c>
      <c r="DI56" t="s">
        <v>134</v>
      </c>
    </row>
    <row r="57" spans="1:113" x14ac:dyDescent="0.3">
      <c r="E57" t="s">
        <v>7</v>
      </c>
      <c r="F57" t="s">
        <v>134</v>
      </c>
      <c r="G57" t="s">
        <v>134</v>
      </c>
      <c r="H57" t="s">
        <v>134</v>
      </c>
      <c r="I57" t="s">
        <v>134</v>
      </c>
      <c r="J57" t="s">
        <v>134</v>
      </c>
      <c r="K57">
        <v>45.895000000000003</v>
      </c>
      <c r="L57">
        <v>49.790900000000001</v>
      </c>
      <c r="M57">
        <v>22.149799999999999</v>
      </c>
      <c r="N57">
        <v>30.3689</v>
      </c>
      <c r="O57">
        <v>30.3689</v>
      </c>
      <c r="P57">
        <v>30.3689</v>
      </c>
      <c r="Q57">
        <v>33.829500000000003</v>
      </c>
      <c r="R57" t="s">
        <v>134</v>
      </c>
      <c r="S57" t="s">
        <v>134</v>
      </c>
      <c r="T57">
        <v>23.3505</v>
      </c>
      <c r="U57" t="s">
        <v>134</v>
      </c>
      <c r="V57">
        <v>29.664200000000001</v>
      </c>
      <c r="W57">
        <v>28.8386</v>
      </c>
      <c r="X57">
        <v>28.373699999999999</v>
      </c>
      <c r="Y57" t="s">
        <v>134</v>
      </c>
      <c r="Z57" t="s">
        <v>134</v>
      </c>
      <c r="AA57" t="s">
        <v>134</v>
      </c>
      <c r="AB57">
        <v>34.4255</v>
      </c>
      <c r="AC57">
        <v>18.7151</v>
      </c>
      <c r="AD57" t="s">
        <v>134</v>
      </c>
      <c r="AE57" t="s">
        <v>134</v>
      </c>
      <c r="AF57" t="s">
        <v>134</v>
      </c>
      <c r="AG57">
        <v>48.6479</v>
      </c>
      <c r="AH57">
        <v>53.636899999999997</v>
      </c>
      <c r="AI57">
        <v>18.514600000000002</v>
      </c>
      <c r="AJ57">
        <v>38.271299999999997</v>
      </c>
      <c r="AK57">
        <v>17.890499999999999</v>
      </c>
      <c r="AL57" t="s">
        <v>134</v>
      </c>
      <c r="AM57" t="s">
        <v>134</v>
      </c>
      <c r="AN57" t="s">
        <v>134</v>
      </c>
      <c r="AO57" t="s">
        <v>134</v>
      </c>
      <c r="AP57" t="s">
        <v>134</v>
      </c>
      <c r="AQ57" t="s">
        <v>134</v>
      </c>
      <c r="AR57" t="s">
        <v>134</v>
      </c>
      <c r="AS57" t="s">
        <v>134</v>
      </c>
      <c r="AT57" t="s">
        <v>134</v>
      </c>
      <c r="AU57" t="s">
        <v>134</v>
      </c>
      <c r="AV57" t="s">
        <v>134</v>
      </c>
      <c r="AW57" t="s">
        <v>134</v>
      </c>
      <c r="AX57" t="s">
        <v>134</v>
      </c>
      <c r="AY57" t="s">
        <v>134</v>
      </c>
      <c r="AZ57" t="s">
        <v>134</v>
      </c>
      <c r="BA57" t="s">
        <v>134</v>
      </c>
      <c r="BB57" t="s">
        <v>134</v>
      </c>
      <c r="BC57" t="s">
        <v>134</v>
      </c>
      <c r="BD57" t="s">
        <v>134</v>
      </c>
      <c r="BE57" t="s">
        <v>134</v>
      </c>
      <c r="BF57" t="s">
        <v>134</v>
      </c>
      <c r="BG57" t="s">
        <v>134</v>
      </c>
      <c r="BH57" t="s">
        <v>134</v>
      </c>
      <c r="BI57" t="s">
        <v>134</v>
      </c>
      <c r="BJ57" t="s">
        <v>134</v>
      </c>
      <c r="BK57" t="s">
        <v>134</v>
      </c>
      <c r="BL57" t="s">
        <v>134</v>
      </c>
      <c r="BM57" t="s">
        <v>134</v>
      </c>
      <c r="BN57" t="s">
        <v>134</v>
      </c>
      <c r="BO57" t="s">
        <v>134</v>
      </c>
      <c r="BP57" t="s">
        <v>134</v>
      </c>
      <c r="BQ57" t="s">
        <v>134</v>
      </c>
      <c r="BR57" t="s">
        <v>134</v>
      </c>
      <c r="BS57" t="s">
        <v>134</v>
      </c>
      <c r="BT57" t="s">
        <v>134</v>
      </c>
      <c r="BU57" t="s">
        <v>134</v>
      </c>
      <c r="BV57" t="s">
        <v>134</v>
      </c>
      <c r="BW57" t="s">
        <v>134</v>
      </c>
      <c r="BX57" t="s">
        <v>134</v>
      </c>
      <c r="BY57">
        <v>150730.524</v>
      </c>
      <c r="BZ57">
        <v>94935.953999999998</v>
      </c>
      <c r="CA57">
        <v>55794.57</v>
      </c>
      <c r="CB57" t="s">
        <v>134</v>
      </c>
      <c r="CC57" t="s">
        <v>134</v>
      </c>
      <c r="CD57" t="s">
        <v>134</v>
      </c>
      <c r="CE57" t="s">
        <v>134</v>
      </c>
      <c r="CF57" t="s">
        <v>134</v>
      </c>
      <c r="CG57">
        <v>10.3911</v>
      </c>
      <c r="CH57">
        <v>61.699399999999997</v>
      </c>
      <c r="CI57">
        <v>23.135899999999999</v>
      </c>
      <c r="CJ57">
        <v>6.4112999999999998</v>
      </c>
      <c r="CK57">
        <v>166.68270000000001</v>
      </c>
      <c r="CL57">
        <v>62.502299999999998</v>
      </c>
      <c r="CM57">
        <v>17.3202</v>
      </c>
      <c r="CN57">
        <v>91.823999999999998</v>
      </c>
      <c r="CO57">
        <v>47.868899999999996</v>
      </c>
      <c r="CP57" t="s">
        <v>134</v>
      </c>
      <c r="CQ57" t="s">
        <v>134</v>
      </c>
      <c r="CR57">
        <v>5985.3</v>
      </c>
      <c r="CS57" t="s">
        <v>134</v>
      </c>
      <c r="CT57" t="s">
        <v>134</v>
      </c>
      <c r="CU57" t="s">
        <v>134</v>
      </c>
      <c r="CV57" t="s">
        <v>134</v>
      </c>
      <c r="CW57" t="s">
        <v>134</v>
      </c>
      <c r="CX57" t="s">
        <v>134</v>
      </c>
      <c r="CY57" t="s">
        <v>134</v>
      </c>
      <c r="CZ57" t="s">
        <v>134</v>
      </c>
      <c r="DA57" t="s">
        <v>134</v>
      </c>
      <c r="DB57" t="s">
        <v>134</v>
      </c>
      <c r="DC57" t="s">
        <v>134</v>
      </c>
      <c r="DD57" t="s">
        <v>134</v>
      </c>
      <c r="DE57" t="s">
        <v>134</v>
      </c>
      <c r="DF57" t="s">
        <v>134</v>
      </c>
      <c r="DG57" t="s">
        <v>134</v>
      </c>
      <c r="DH57" t="s">
        <v>134</v>
      </c>
      <c r="DI57" t="s">
        <v>134</v>
      </c>
    </row>
    <row r="58" spans="1:113" x14ac:dyDescent="0.3">
      <c r="D58" t="s">
        <v>8</v>
      </c>
      <c r="E58" t="s">
        <v>3</v>
      </c>
      <c r="F58">
        <v>18.221900000000002</v>
      </c>
      <c r="G58">
        <v>1.829</v>
      </c>
      <c r="H58">
        <v>6.4367000000000001</v>
      </c>
      <c r="I58">
        <v>7.9139999999999997</v>
      </c>
      <c r="J58" t="s">
        <v>134</v>
      </c>
      <c r="K58">
        <v>45.991500000000002</v>
      </c>
      <c r="L58">
        <v>48.528300000000002</v>
      </c>
      <c r="M58">
        <v>22.275200000000002</v>
      </c>
      <c r="N58">
        <v>30.450600000000001</v>
      </c>
      <c r="O58">
        <v>30.450600000000001</v>
      </c>
      <c r="P58">
        <v>30.450600000000001</v>
      </c>
      <c r="Q58">
        <v>33.790900000000001</v>
      </c>
      <c r="R58">
        <v>11.819800000000001</v>
      </c>
      <c r="S58">
        <v>16.068100000000001</v>
      </c>
      <c r="T58">
        <v>20.939299999999999</v>
      </c>
      <c r="U58" t="s">
        <v>134</v>
      </c>
      <c r="V58">
        <v>27.290500000000002</v>
      </c>
      <c r="W58">
        <v>27.392600000000002</v>
      </c>
      <c r="X58">
        <v>26.505099999999999</v>
      </c>
      <c r="Y58">
        <v>14.2857</v>
      </c>
      <c r="Z58" t="s">
        <v>134</v>
      </c>
      <c r="AA58" t="s">
        <v>134</v>
      </c>
      <c r="AB58">
        <v>13.8847</v>
      </c>
      <c r="AC58">
        <v>25.383199999999999</v>
      </c>
      <c r="AD58" t="s">
        <v>134</v>
      </c>
      <c r="AE58" t="s">
        <v>134</v>
      </c>
      <c r="AF58" t="s">
        <v>134</v>
      </c>
      <c r="AG58">
        <v>34.874400000000001</v>
      </c>
      <c r="AH58">
        <v>39.143900000000002</v>
      </c>
      <c r="AI58">
        <v>17.710699999999999</v>
      </c>
      <c r="AJ58">
        <v>31.1069</v>
      </c>
      <c r="AK58">
        <v>16.905999999999999</v>
      </c>
      <c r="AL58">
        <v>-193.54079999999999</v>
      </c>
      <c r="AM58" t="s">
        <v>134</v>
      </c>
      <c r="AN58" t="s">
        <v>134</v>
      </c>
      <c r="AO58" t="s">
        <v>134</v>
      </c>
      <c r="AP58" t="s">
        <v>134</v>
      </c>
      <c r="AQ58" t="s">
        <v>134</v>
      </c>
      <c r="AR58" t="s">
        <v>134</v>
      </c>
      <c r="AS58" t="s">
        <v>134</v>
      </c>
      <c r="AT58" t="s">
        <v>134</v>
      </c>
      <c r="AU58" t="s">
        <v>134</v>
      </c>
      <c r="AV58" t="s">
        <v>134</v>
      </c>
      <c r="AW58" t="s">
        <v>134</v>
      </c>
      <c r="AX58" t="s">
        <v>134</v>
      </c>
      <c r="AY58" t="s">
        <v>134</v>
      </c>
      <c r="AZ58" t="s">
        <v>134</v>
      </c>
      <c r="BA58" t="s">
        <v>134</v>
      </c>
      <c r="BB58" t="s">
        <v>134</v>
      </c>
      <c r="BC58" t="s">
        <v>134</v>
      </c>
      <c r="BD58" t="s">
        <v>134</v>
      </c>
      <c r="BE58" t="s">
        <v>134</v>
      </c>
      <c r="BF58">
        <v>20.939299999999999</v>
      </c>
      <c r="BG58" t="s">
        <v>134</v>
      </c>
      <c r="BH58">
        <v>27.290500000000002</v>
      </c>
      <c r="BI58">
        <v>27.392600000000002</v>
      </c>
      <c r="BJ58">
        <v>26.505099999999999</v>
      </c>
      <c r="BK58">
        <v>14.2857</v>
      </c>
      <c r="BL58" t="s">
        <v>134</v>
      </c>
      <c r="BM58" t="s">
        <v>134</v>
      </c>
      <c r="BN58">
        <v>13.8847</v>
      </c>
      <c r="BO58">
        <v>25.383199999999999</v>
      </c>
      <c r="BP58" t="s">
        <v>134</v>
      </c>
      <c r="BQ58" t="s">
        <v>134</v>
      </c>
      <c r="BR58" t="s">
        <v>134</v>
      </c>
      <c r="BS58">
        <v>34.874400000000001</v>
      </c>
      <c r="BT58">
        <v>39.143900000000002</v>
      </c>
      <c r="BU58">
        <v>17.710699999999999</v>
      </c>
      <c r="BV58">
        <v>31.1069</v>
      </c>
      <c r="BW58">
        <v>16.905999999999999</v>
      </c>
      <c r="BX58" t="s">
        <v>134</v>
      </c>
      <c r="BY58">
        <v>209732.32399999999</v>
      </c>
      <c r="BZ58">
        <v>128044.262</v>
      </c>
      <c r="CA58">
        <v>81688.062000000005</v>
      </c>
      <c r="CB58" t="s">
        <v>134</v>
      </c>
      <c r="CC58" t="s">
        <v>134</v>
      </c>
      <c r="CD58">
        <v>7.7416</v>
      </c>
      <c r="CE58">
        <v>3.7627999999999999</v>
      </c>
      <c r="CF58" t="s">
        <v>134</v>
      </c>
      <c r="CG58">
        <v>9.7553000000000001</v>
      </c>
      <c r="CH58">
        <v>76.741799999999998</v>
      </c>
      <c r="CI58">
        <v>25.836099999999998</v>
      </c>
      <c r="CJ58">
        <v>7.4863999999999997</v>
      </c>
      <c r="CK58">
        <v>197.03290000000001</v>
      </c>
      <c r="CL58">
        <v>66.333699999999993</v>
      </c>
      <c r="CM58">
        <v>19.2211</v>
      </c>
      <c r="CN58">
        <v>95.768299999999996</v>
      </c>
      <c r="CO58">
        <v>48.919200000000004</v>
      </c>
      <c r="CP58" t="s">
        <v>134</v>
      </c>
      <c r="CQ58" t="s">
        <v>134</v>
      </c>
      <c r="CR58">
        <v>27091.652999999998</v>
      </c>
      <c r="CS58" t="s">
        <v>134</v>
      </c>
      <c r="CT58" t="s">
        <v>134</v>
      </c>
      <c r="CU58" t="s">
        <v>134</v>
      </c>
      <c r="CV58" t="s">
        <v>134</v>
      </c>
      <c r="CW58" t="s">
        <v>134</v>
      </c>
      <c r="CX58" t="s">
        <v>134</v>
      </c>
      <c r="CY58" t="s">
        <v>134</v>
      </c>
      <c r="CZ58" t="s">
        <v>134</v>
      </c>
      <c r="DA58" t="s">
        <v>134</v>
      </c>
      <c r="DB58" t="s">
        <v>134</v>
      </c>
      <c r="DC58" t="s">
        <v>134</v>
      </c>
      <c r="DD58" t="s">
        <v>134</v>
      </c>
      <c r="DE58" t="s">
        <v>134</v>
      </c>
      <c r="DF58" t="s">
        <v>134</v>
      </c>
      <c r="DG58" t="s">
        <v>134</v>
      </c>
      <c r="DH58" t="s">
        <v>134</v>
      </c>
      <c r="DI58" t="s">
        <v>134</v>
      </c>
    </row>
    <row r="59" spans="1:113" x14ac:dyDescent="0.3">
      <c r="E59" t="s">
        <v>4</v>
      </c>
      <c r="F59" t="s">
        <v>134</v>
      </c>
      <c r="G59" t="s">
        <v>134</v>
      </c>
      <c r="H59" t="s">
        <v>134</v>
      </c>
      <c r="I59" t="s">
        <v>134</v>
      </c>
      <c r="J59" t="s">
        <v>134</v>
      </c>
      <c r="K59" t="s">
        <v>134</v>
      </c>
      <c r="L59" t="s">
        <v>134</v>
      </c>
      <c r="M59" t="s">
        <v>134</v>
      </c>
      <c r="N59" t="s">
        <v>134</v>
      </c>
      <c r="O59" t="s">
        <v>134</v>
      </c>
      <c r="P59" t="s">
        <v>134</v>
      </c>
      <c r="Q59" t="s">
        <v>134</v>
      </c>
      <c r="R59" t="s">
        <v>134</v>
      </c>
      <c r="S59" t="s">
        <v>134</v>
      </c>
      <c r="T59" t="s">
        <v>134</v>
      </c>
      <c r="U59" t="s">
        <v>134</v>
      </c>
      <c r="V59" t="s">
        <v>134</v>
      </c>
      <c r="W59" t="s">
        <v>134</v>
      </c>
      <c r="X59" t="s">
        <v>134</v>
      </c>
      <c r="Y59" t="s">
        <v>134</v>
      </c>
      <c r="Z59" t="s">
        <v>134</v>
      </c>
      <c r="AA59" t="s">
        <v>134</v>
      </c>
      <c r="AB59" t="s">
        <v>134</v>
      </c>
      <c r="AC59" t="s">
        <v>134</v>
      </c>
      <c r="AD59" t="s">
        <v>134</v>
      </c>
      <c r="AE59" t="s">
        <v>134</v>
      </c>
      <c r="AF59" t="s">
        <v>134</v>
      </c>
      <c r="AG59" t="s">
        <v>134</v>
      </c>
      <c r="AH59" t="s">
        <v>134</v>
      </c>
      <c r="AI59" t="s">
        <v>134</v>
      </c>
      <c r="AJ59" t="s">
        <v>134</v>
      </c>
      <c r="AK59" t="s">
        <v>134</v>
      </c>
      <c r="AL59" t="s">
        <v>134</v>
      </c>
      <c r="AM59" t="s">
        <v>134</v>
      </c>
      <c r="AN59" t="s">
        <v>134</v>
      </c>
      <c r="AO59" t="s">
        <v>134</v>
      </c>
      <c r="AP59" t="s">
        <v>134</v>
      </c>
      <c r="AQ59" t="s">
        <v>134</v>
      </c>
      <c r="AR59" t="s">
        <v>134</v>
      </c>
      <c r="AS59" t="s">
        <v>134</v>
      </c>
      <c r="AT59" t="s">
        <v>134</v>
      </c>
      <c r="AU59" t="s">
        <v>134</v>
      </c>
      <c r="AV59" t="s">
        <v>134</v>
      </c>
      <c r="AW59" t="s">
        <v>134</v>
      </c>
      <c r="AX59" t="s">
        <v>134</v>
      </c>
      <c r="AY59" t="s">
        <v>134</v>
      </c>
      <c r="AZ59" t="s">
        <v>134</v>
      </c>
      <c r="BA59" t="s">
        <v>134</v>
      </c>
      <c r="BB59" t="s">
        <v>134</v>
      </c>
      <c r="BC59" t="s">
        <v>134</v>
      </c>
      <c r="BD59" t="s">
        <v>134</v>
      </c>
      <c r="BE59" t="s">
        <v>134</v>
      </c>
      <c r="BF59" t="s">
        <v>134</v>
      </c>
      <c r="BG59" t="s">
        <v>134</v>
      </c>
      <c r="BH59" t="s">
        <v>134</v>
      </c>
      <c r="BI59" t="s">
        <v>134</v>
      </c>
      <c r="BJ59" t="s">
        <v>134</v>
      </c>
      <c r="BK59" t="s">
        <v>134</v>
      </c>
      <c r="BL59" t="s">
        <v>134</v>
      </c>
      <c r="BM59" t="s">
        <v>134</v>
      </c>
      <c r="BN59" t="s">
        <v>134</v>
      </c>
      <c r="BO59" t="s">
        <v>134</v>
      </c>
      <c r="BP59" t="s">
        <v>134</v>
      </c>
      <c r="BQ59" t="s">
        <v>134</v>
      </c>
      <c r="BR59" t="s">
        <v>134</v>
      </c>
      <c r="BS59" t="s">
        <v>134</v>
      </c>
      <c r="BT59" t="s">
        <v>134</v>
      </c>
      <c r="BU59" t="s">
        <v>134</v>
      </c>
      <c r="BV59" t="s">
        <v>134</v>
      </c>
      <c r="BW59" t="s">
        <v>134</v>
      </c>
      <c r="BX59" t="s">
        <v>134</v>
      </c>
      <c r="BY59" t="s">
        <v>134</v>
      </c>
      <c r="BZ59" t="s">
        <v>134</v>
      </c>
      <c r="CA59" t="s">
        <v>134</v>
      </c>
      <c r="CB59" t="s">
        <v>134</v>
      </c>
      <c r="CC59" t="s">
        <v>134</v>
      </c>
      <c r="CD59" t="s">
        <v>134</v>
      </c>
      <c r="CE59" t="s">
        <v>134</v>
      </c>
      <c r="CF59" t="s">
        <v>134</v>
      </c>
      <c r="CG59" t="s">
        <v>134</v>
      </c>
      <c r="CH59" t="s">
        <v>134</v>
      </c>
      <c r="CI59" t="s">
        <v>134</v>
      </c>
      <c r="CJ59" t="s">
        <v>134</v>
      </c>
      <c r="CK59" t="s">
        <v>134</v>
      </c>
      <c r="CL59" t="s">
        <v>134</v>
      </c>
      <c r="CM59" t="s">
        <v>134</v>
      </c>
      <c r="CN59" t="s">
        <v>134</v>
      </c>
      <c r="CO59" t="s">
        <v>134</v>
      </c>
      <c r="CP59" t="s">
        <v>134</v>
      </c>
      <c r="CQ59" t="s">
        <v>134</v>
      </c>
      <c r="CR59" t="s">
        <v>134</v>
      </c>
      <c r="CS59" t="s">
        <v>134</v>
      </c>
      <c r="CT59" t="s">
        <v>134</v>
      </c>
      <c r="CU59" t="s">
        <v>134</v>
      </c>
      <c r="CV59" t="s">
        <v>134</v>
      </c>
      <c r="CW59" t="s">
        <v>134</v>
      </c>
      <c r="CX59" t="s">
        <v>134</v>
      </c>
      <c r="CY59" t="s">
        <v>134</v>
      </c>
      <c r="CZ59" t="s">
        <v>134</v>
      </c>
      <c r="DA59" t="s">
        <v>134</v>
      </c>
      <c r="DB59" t="s">
        <v>134</v>
      </c>
      <c r="DC59" t="s">
        <v>134</v>
      </c>
      <c r="DD59" t="s">
        <v>134</v>
      </c>
      <c r="DE59" t="s">
        <v>134</v>
      </c>
      <c r="DF59" t="s">
        <v>134</v>
      </c>
      <c r="DG59" t="s">
        <v>134</v>
      </c>
      <c r="DH59" t="s">
        <v>134</v>
      </c>
      <c r="DI59" t="s">
        <v>134</v>
      </c>
    </row>
    <row r="60" spans="1:113" x14ac:dyDescent="0.3">
      <c r="E60" t="s">
        <v>5</v>
      </c>
      <c r="F60" t="s">
        <v>134</v>
      </c>
      <c r="G60" t="s">
        <v>134</v>
      </c>
      <c r="H60" t="s">
        <v>134</v>
      </c>
      <c r="I60" t="s">
        <v>134</v>
      </c>
      <c r="J60" t="s">
        <v>134</v>
      </c>
      <c r="K60" t="s">
        <v>134</v>
      </c>
      <c r="L60" t="s">
        <v>134</v>
      </c>
      <c r="M60" t="s">
        <v>134</v>
      </c>
      <c r="N60" t="s">
        <v>134</v>
      </c>
      <c r="O60" t="s">
        <v>134</v>
      </c>
      <c r="P60" t="s">
        <v>134</v>
      </c>
      <c r="Q60" t="s">
        <v>134</v>
      </c>
      <c r="R60" t="s">
        <v>134</v>
      </c>
      <c r="S60" t="s">
        <v>134</v>
      </c>
      <c r="T60" t="s">
        <v>134</v>
      </c>
      <c r="U60" t="s">
        <v>134</v>
      </c>
      <c r="V60" t="s">
        <v>134</v>
      </c>
      <c r="W60" t="s">
        <v>134</v>
      </c>
      <c r="X60" t="s">
        <v>134</v>
      </c>
      <c r="Y60" t="s">
        <v>134</v>
      </c>
      <c r="Z60" t="s">
        <v>134</v>
      </c>
      <c r="AA60" t="s">
        <v>134</v>
      </c>
      <c r="AB60" t="s">
        <v>134</v>
      </c>
      <c r="AC60" t="s">
        <v>134</v>
      </c>
      <c r="AD60" t="s">
        <v>134</v>
      </c>
      <c r="AE60" t="s">
        <v>134</v>
      </c>
      <c r="AF60" t="s">
        <v>134</v>
      </c>
      <c r="AG60" t="s">
        <v>134</v>
      </c>
      <c r="AH60" t="s">
        <v>134</v>
      </c>
      <c r="AI60" t="s">
        <v>134</v>
      </c>
      <c r="AJ60" t="s">
        <v>134</v>
      </c>
      <c r="AK60" t="s">
        <v>134</v>
      </c>
      <c r="AL60" t="s">
        <v>134</v>
      </c>
      <c r="AM60" t="s">
        <v>134</v>
      </c>
      <c r="AN60" t="s">
        <v>134</v>
      </c>
      <c r="AO60" t="s">
        <v>134</v>
      </c>
      <c r="AP60" t="s">
        <v>134</v>
      </c>
      <c r="AQ60" t="s">
        <v>134</v>
      </c>
      <c r="AR60" t="s">
        <v>134</v>
      </c>
      <c r="AS60" t="s">
        <v>134</v>
      </c>
      <c r="AT60" t="s">
        <v>134</v>
      </c>
      <c r="AU60" t="s">
        <v>134</v>
      </c>
      <c r="AV60" t="s">
        <v>134</v>
      </c>
      <c r="AW60" t="s">
        <v>134</v>
      </c>
      <c r="AX60" t="s">
        <v>134</v>
      </c>
      <c r="AY60" t="s">
        <v>134</v>
      </c>
      <c r="AZ60" t="s">
        <v>134</v>
      </c>
      <c r="BA60" t="s">
        <v>134</v>
      </c>
      <c r="BB60" t="s">
        <v>134</v>
      </c>
      <c r="BC60" t="s">
        <v>134</v>
      </c>
      <c r="BD60" t="s">
        <v>134</v>
      </c>
      <c r="BE60" t="s">
        <v>134</v>
      </c>
      <c r="BF60" t="s">
        <v>134</v>
      </c>
      <c r="BG60" t="s">
        <v>134</v>
      </c>
      <c r="BH60" t="s">
        <v>134</v>
      </c>
      <c r="BI60" t="s">
        <v>134</v>
      </c>
      <c r="BJ60" t="s">
        <v>134</v>
      </c>
      <c r="BK60" t="s">
        <v>134</v>
      </c>
      <c r="BL60" t="s">
        <v>134</v>
      </c>
      <c r="BM60" t="s">
        <v>134</v>
      </c>
      <c r="BN60" t="s">
        <v>134</v>
      </c>
      <c r="BO60" t="s">
        <v>134</v>
      </c>
      <c r="BP60" t="s">
        <v>134</v>
      </c>
      <c r="BQ60" t="s">
        <v>134</v>
      </c>
      <c r="BR60" t="s">
        <v>134</v>
      </c>
      <c r="BS60" t="s">
        <v>134</v>
      </c>
      <c r="BT60" t="s">
        <v>134</v>
      </c>
      <c r="BU60" t="s">
        <v>134</v>
      </c>
      <c r="BV60" t="s">
        <v>134</v>
      </c>
      <c r="BW60" t="s">
        <v>134</v>
      </c>
      <c r="BX60" t="s">
        <v>134</v>
      </c>
      <c r="BY60" t="s">
        <v>134</v>
      </c>
      <c r="BZ60" t="s">
        <v>134</v>
      </c>
      <c r="CA60" t="s">
        <v>134</v>
      </c>
      <c r="CB60" t="s">
        <v>134</v>
      </c>
      <c r="CC60" t="s">
        <v>134</v>
      </c>
      <c r="CD60" t="s">
        <v>134</v>
      </c>
      <c r="CE60" t="s">
        <v>134</v>
      </c>
      <c r="CF60" t="s">
        <v>134</v>
      </c>
      <c r="CG60" t="s">
        <v>134</v>
      </c>
      <c r="CH60" t="s">
        <v>134</v>
      </c>
      <c r="CI60" t="s">
        <v>134</v>
      </c>
      <c r="CJ60" t="s">
        <v>134</v>
      </c>
      <c r="CK60" t="s">
        <v>134</v>
      </c>
      <c r="CL60" t="s">
        <v>134</v>
      </c>
      <c r="CM60" t="s">
        <v>134</v>
      </c>
      <c r="CN60" t="s">
        <v>134</v>
      </c>
      <c r="CO60" t="s">
        <v>134</v>
      </c>
      <c r="CP60" t="s">
        <v>134</v>
      </c>
      <c r="CQ60" t="s">
        <v>134</v>
      </c>
      <c r="CR60" t="s">
        <v>134</v>
      </c>
      <c r="CS60" t="s">
        <v>134</v>
      </c>
      <c r="CT60" t="s">
        <v>134</v>
      </c>
      <c r="CU60" t="s">
        <v>134</v>
      </c>
      <c r="CV60" t="s">
        <v>134</v>
      </c>
      <c r="CW60" t="s">
        <v>134</v>
      </c>
      <c r="CX60" t="s">
        <v>134</v>
      </c>
      <c r="CY60" t="s">
        <v>134</v>
      </c>
      <c r="CZ60" t="s">
        <v>134</v>
      </c>
      <c r="DA60" t="s">
        <v>134</v>
      </c>
      <c r="DB60" t="s">
        <v>134</v>
      </c>
      <c r="DC60" t="s">
        <v>134</v>
      </c>
      <c r="DD60" t="s">
        <v>134</v>
      </c>
      <c r="DE60" t="s">
        <v>134</v>
      </c>
      <c r="DF60" t="s">
        <v>134</v>
      </c>
      <c r="DG60" t="s">
        <v>134</v>
      </c>
      <c r="DH60" t="s">
        <v>134</v>
      </c>
      <c r="DI60" t="s">
        <v>134</v>
      </c>
    </row>
    <row r="61" spans="1:113" x14ac:dyDescent="0.3">
      <c r="E61" t="s">
        <v>6</v>
      </c>
      <c r="F61" t="s">
        <v>134</v>
      </c>
      <c r="G61" t="s">
        <v>134</v>
      </c>
      <c r="H61" t="s">
        <v>134</v>
      </c>
      <c r="I61" t="s">
        <v>134</v>
      </c>
      <c r="J61" t="s">
        <v>134</v>
      </c>
      <c r="K61" t="s">
        <v>134</v>
      </c>
      <c r="L61" t="s">
        <v>134</v>
      </c>
      <c r="M61" t="s">
        <v>134</v>
      </c>
      <c r="N61" t="s">
        <v>134</v>
      </c>
      <c r="O61" t="s">
        <v>134</v>
      </c>
      <c r="P61" t="s">
        <v>134</v>
      </c>
      <c r="Q61" t="s">
        <v>134</v>
      </c>
      <c r="R61" t="s">
        <v>134</v>
      </c>
      <c r="S61" t="s">
        <v>134</v>
      </c>
      <c r="T61" t="s">
        <v>134</v>
      </c>
      <c r="U61" t="s">
        <v>134</v>
      </c>
      <c r="V61" t="s">
        <v>134</v>
      </c>
      <c r="W61" t="s">
        <v>134</v>
      </c>
      <c r="X61" t="s">
        <v>134</v>
      </c>
      <c r="Y61" t="s">
        <v>134</v>
      </c>
      <c r="Z61" t="s">
        <v>134</v>
      </c>
      <c r="AA61" t="s">
        <v>134</v>
      </c>
      <c r="AB61" t="s">
        <v>134</v>
      </c>
      <c r="AC61" t="s">
        <v>134</v>
      </c>
      <c r="AD61" t="s">
        <v>134</v>
      </c>
      <c r="AE61" t="s">
        <v>134</v>
      </c>
      <c r="AF61" t="s">
        <v>134</v>
      </c>
      <c r="AG61" t="s">
        <v>134</v>
      </c>
      <c r="AH61" t="s">
        <v>134</v>
      </c>
      <c r="AI61" t="s">
        <v>134</v>
      </c>
      <c r="AJ61" t="s">
        <v>134</v>
      </c>
      <c r="AK61" t="s">
        <v>134</v>
      </c>
      <c r="AL61" t="s">
        <v>134</v>
      </c>
      <c r="AM61" t="s">
        <v>134</v>
      </c>
      <c r="AN61" t="s">
        <v>134</v>
      </c>
      <c r="AO61" t="s">
        <v>134</v>
      </c>
      <c r="AP61" t="s">
        <v>134</v>
      </c>
      <c r="AQ61" t="s">
        <v>134</v>
      </c>
      <c r="AR61" t="s">
        <v>134</v>
      </c>
      <c r="AS61" t="s">
        <v>134</v>
      </c>
      <c r="AT61" t="s">
        <v>134</v>
      </c>
      <c r="AU61" t="s">
        <v>134</v>
      </c>
      <c r="AV61" t="s">
        <v>134</v>
      </c>
      <c r="AW61" t="s">
        <v>134</v>
      </c>
      <c r="AX61" t="s">
        <v>134</v>
      </c>
      <c r="AY61" t="s">
        <v>134</v>
      </c>
      <c r="AZ61" t="s">
        <v>134</v>
      </c>
      <c r="BA61" t="s">
        <v>134</v>
      </c>
      <c r="BB61" t="s">
        <v>134</v>
      </c>
      <c r="BC61" t="s">
        <v>134</v>
      </c>
      <c r="BD61" t="s">
        <v>134</v>
      </c>
      <c r="BE61" t="s">
        <v>134</v>
      </c>
      <c r="BF61" t="s">
        <v>134</v>
      </c>
      <c r="BG61" t="s">
        <v>134</v>
      </c>
      <c r="BH61" t="s">
        <v>134</v>
      </c>
      <c r="BI61" t="s">
        <v>134</v>
      </c>
      <c r="BJ61" t="s">
        <v>134</v>
      </c>
      <c r="BK61" t="s">
        <v>134</v>
      </c>
      <c r="BL61" t="s">
        <v>134</v>
      </c>
      <c r="BM61" t="s">
        <v>134</v>
      </c>
      <c r="BN61" t="s">
        <v>134</v>
      </c>
      <c r="BO61" t="s">
        <v>134</v>
      </c>
      <c r="BP61" t="s">
        <v>134</v>
      </c>
      <c r="BQ61" t="s">
        <v>134</v>
      </c>
      <c r="BR61" t="s">
        <v>134</v>
      </c>
      <c r="BS61" t="s">
        <v>134</v>
      </c>
      <c r="BT61" t="s">
        <v>134</v>
      </c>
      <c r="BU61" t="s">
        <v>134</v>
      </c>
      <c r="BV61" t="s">
        <v>134</v>
      </c>
      <c r="BW61" t="s">
        <v>134</v>
      </c>
      <c r="BX61" t="s">
        <v>134</v>
      </c>
      <c r="BY61" t="s">
        <v>134</v>
      </c>
      <c r="BZ61" t="s">
        <v>134</v>
      </c>
      <c r="CA61" t="s">
        <v>134</v>
      </c>
      <c r="CB61" t="s">
        <v>134</v>
      </c>
      <c r="CC61" t="s">
        <v>134</v>
      </c>
      <c r="CD61" t="s">
        <v>134</v>
      </c>
      <c r="CE61" t="s">
        <v>134</v>
      </c>
      <c r="CF61" t="s">
        <v>134</v>
      </c>
      <c r="CG61" t="s">
        <v>134</v>
      </c>
      <c r="CH61" t="s">
        <v>134</v>
      </c>
      <c r="CI61" t="s">
        <v>134</v>
      </c>
      <c r="CJ61" t="s">
        <v>134</v>
      </c>
      <c r="CK61" t="s">
        <v>134</v>
      </c>
      <c r="CL61" t="s">
        <v>134</v>
      </c>
      <c r="CM61" t="s">
        <v>134</v>
      </c>
      <c r="CN61" t="s">
        <v>134</v>
      </c>
      <c r="CO61" t="s">
        <v>134</v>
      </c>
      <c r="CP61" t="s">
        <v>134</v>
      </c>
      <c r="CQ61" t="s">
        <v>134</v>
      </c>
      <c r="CR61" t="s">
        <v>134</v>
      </c>
      <c r="CS61" t="s">
        <v>134</v>
      </c>
      <c r="CT61" t="s">
        <v>134</v>
      </c>
      <c r="CU61" t="s">
        <v>134</v>
      </c>
      <c r="CV61" t="s">
        <v>134</v>
      </c>
      <c r="CW61" t="s">
        <v>134</v>
      </c>
      <c r="CX61" t="s">
        <v>134</v>
      </c>
      <c r="CY61" t="s">
        <v>134</v>
      </c>
      <c r="CZ61" t="s">
        <v>134</v>
      </c>
      <c r="DA61" t="s">
        <v>134</v>
      </c>
      <c r="DB61" t="s">
        <v>134</v>
      </c>
      <c r="DC61" t="s">
        <v>134</v>
      </c>
      <c r="DD61" t="s">
        <v>134</v>
      </c>
      <c r="DE61" t="s">
        <v>134</v>
      </c>
      <c r="DF61" t="s">
        <v>134</v>
      </c>
      <c r="DG61" t="s">
        <v>134</v>
      </c>
      <c r="DH61" t="s">
        <v>134</v>
      </c>
      <c r="DI61" t="s">
        <v>134</v>
      </c>
    </row>
    <row r="62" spans="1:113" x14ac:dyDescent="0.3">
      <c r="E62" t="s">
        <v>7</v>
      </c>
      <c r="F62" t="s">
        <v>134</v>
      </c>
      <c r="G62" t="s">
        <v>134</v>
      </c>
      <c r="H62" t="s">
        <v>134</v>
      </c>
      <c r="I62" t="s">
        <v>134</v>
      </c>
      <c r="J62" t="s">
        <v>134</v>
      </c>
      <c r="K62">
        <v>46.922199999999997</v>
      </c>
      <c r="L62">
        <v>51.715600000000002</v>
      </c>
      <c r="M62">
        <v>22.952500000000001</v>
      </c>
      <c r="N62">
        <v>31.2745</v>
      </c>
      <c r="O62">
        <v>31.2745</v>
      </c>
      <c r="P62">
        <v>31.2745</v>
      </c>
      <c r="Q62">
        <v>33.348100000000002</v>
      </c>
      <c r="R62" t="s">
        <v>134</v>
      </c>
      <c r="S62" t="s">
        <v>134</v>
      </c>
      <c r="T62">
        <v>19.807600000000001</v>
      </c>
      <c r="U62" t="s">
        <v>134</v>
      </c>
      <c r="V62">
        <v>24.1492</v>
      </c>
      <c r="W62">
        <v>25.052399999999999</v>
      </c>
      <c r="X62">
        <v>23.9892</v>
      </c>
      <c r="Y62" t="s">
        <v>134</v>
      </c>
      <c r="Z62" t="s">
        <v>134</v>
      </c>
      <c r="AA62" t="s">
        <v>134</v>
      </c>
      <c r="AB62">
        <v>13.8847</v>
      </c>
      <c r="AC62">
        <v>25.383199999999999</v>
      </c>
      <c r="AD62" t="s">
        <v>134</v>
      </c>
      <c r="AE62" t="s">
        <v>134</v>
      </c>
      <c r="AF62" t="s">
        <v>134</v>
      </c>
      <c r="AG62">
        <v>34.874400000000001</v>
      </c>
      <c r="AH62">
        <v>39.143900000000002</v>
      </c>
      <c r="AI62">
        <v>17.710699999999999</v>
      </c>
      <c r="AJ62">
        <v>31.1069</v>
      </c>
      <c r="AK62">
        <v>16.905999999999999</v>
      </c>
      <c r="AL62" t="s">
        <v>134</v>
      </c>
      <c r="AM62" t="s">
        <v>134</v>
      </c>
      <c r="AN62" t="s">
        <v>134</v>
      </c>
      <c r="AO62" t="s">
        <v>134</v>
      </c>
      <c r="AP62" t="s">
        <v>134</v>
      </c>
      <c r="AQ62" t="s">
        <v>134</v>
      </c>
      <c r="AR62" t="s">
        <v>134</v>
      </c>
      <c r="AS62" t="s">
        <v>134</v>
      </c>
      <c r="AT62" t="s">
        <v>134</v>
      </c>
      <c r="AU62" t="s">
        <v>134</v>
      </c>
      <c r="AV62" t="s">
        <v>134</v>
      </c>
      <c r="AW62" t="s">
        <v>134</v>
      </c>
      <c r="AX62" t="s">
        <v>134</v>
      </c>
      <c r="AY62" t="s">
        <v>134</v>
      </c>
      <c r="AZ62" t="s">
        <v>134</v>
      </c>
      <c r="BA62" t="s">
        <v>134</v>
      </c>
      <c r="BB62" t="s">
        <v>134</v>
      </c>
      <c r="BC62" t="s">
        <v>134</v>
      </c>
      <c r="BD62" t="s">
        <v>134</v>
      </c>
      <c r="BE62" t="s">
        <v>134</v>
      </c>
      <c r="BF62" t="s">
        <v>134</v>
      </c>
      <c r="BG62" t="s">
        <v>134</v>
      </c>
      <c r="BH62" t="s">
        <v>134</v>
      </c>
      <c r="BI62" t="s">
        <v>134</v>
      </c>
      <c r="BJ62" t="s">
        <v>134</v>
      </c>
      <c r="BK62" t="s">
        <v>134</v>
      </c>
      <c r="BL62" t="s">
        <v>134</v>
      </c>
      <c r="BM62" t="s">
        <v>134</v>
      </c>
      <c r="BN62" t="s">
        <v>134</v>
      </c>
      <c r="BO62" t="s">
        <v>134</v>
      </c>
      <c r="BP62" t="s">
        <v>134</v>
      </c>
      <c r="BQ62" t="s">
        <v>134</v>
      </c>
      <c r="BR62" t="s">
        <v>134</v>
      </c>
      <c r="BS62" t="s">
        <v>134</v>
      </c>
      <c r="BT62" t="s">
        <v>134</v>
      </c>
      <c r="BU62" t="s">
        <v>134</v>
      </c>
      <c r="BV62" t="s">
        <v>134</v>
      </c>
      <c r="BW62" t="s">
        <v>134</v>
      </c>
      <c r="BX62" t="s">
        <v>134</v>
      </c>
      <c r="BY62">
        <v>209732.32399999999</v>
      </c>
      <c r="BZ62">
        <v>128044.262</v>
      </c>
      <c r="CA62">
        <v>81688.062000000005</v>
      </c>
      <c r="CB62" t="s">
        <v>134</v>
      </c>
      <c r="CC62" t="s">
        <v>134</v>
      </c>
      <c r="CD62" t="s">
        <v>134</v>
      </c>
      <c r="CE62" t="s">
        <v>134</v>
      </c>
      <c r="CF62" t="s">
        <v>134</v>
      </c>
      <c r="CG62">
        <v>9.7553000000000001</v>
      </c>
      <c r="CH62">
        <v>76.741799999999998</v>
      </c>
      <c r="CI62">
        <v>25.836099999999998</v>
      </c>
      <c r="CJ62">
        <v>7.4863999999999997</v>
      </c>
      <c r="CK62">
        <v>197.03290000000001</v>
      </c>
      <c r="CL62">
        <v>66.333699999999993</v>
      </c>
      <c r="CM62">
        <v>19.2211</v>
      </c>
      <c r="CN62">
        <v>95.768299999999996</v>
      </c>
      <c r="CO62">
        <v>48.919200000000004</v>
      </c>
      <c r="CP62" t="s">
        <v>134</v>
      </c>
      <c r="CQ62" t="s">
        <v>134</v>
      </c>
      <c r="CR62">
        <v>7430.7</v>
      </c>
      <c r="CS62" t="s">
        <v>134</v>
      </c>
      <c r="CT62" t="s">
        <v>134</v>
      </c>
      <c r="CU62" t="s">
        <v>134</v>
      </c>
      <c r="CV62" t="s">
        <v>134</v>
      </c>
      <c r="CW62" t="s">
        <v>134</v>
      </c>
      <c r="CX62" t="s">
        <v>134</v>
      </c>
      <c r="CY62" t="s">
        <v>134</v>
      </c>
      <c r="CZ62" t="s">
        <v>134</v>
      </c>
      <c r="DA62" t="s">
        <v>134</v>
      </c>
      <c r="DB62" t="s">
        <v>134</v>
      </c>
      <c r="DC62" t="s">
        <v>134</v>
      </c>
      <c r="DD62" t="s">
        <v>134</v>
      </c>
      <c r="DE62" t="s">
        <v>134</v>
      </c>
      <c r="DF62" t="s">
        <v>134</v>
      </c>
      <c r="DG62" t="s">
        <v>134</v>
      </c>
      <c r="DH62" t="s">
        <v>134</v>
      </c>
      <c r="DI62" t="s">
        <v>134</v>
      </c>
    </row>
    <row r="63" spans="1:113" x14ac:dyDescent="0.3">
      <c r="D63" t="s">
        <v>9</v>
      </c>
      <c r="E63" t="s">
        <v>3</v>
      </c>
      <c r="F63">
        <v>16.134899999999998</v>
      </c>
      <c r="G63">
        <v>1.8351999999999999</v>
      </c>
      <c r="H63">
        <v>5.8959999999999999</v>
      </c>
      <c r="I63">
        <v>10.5693</v>
      </c>
      <c r="J63" t="s">
        <v>134</v>
      </c>
      <c r="K63">
        <v>29.262699999999999</v>
      </c>
      <c r="L63" t="s">
        <v>134</v>
      </c>
      <c r="M63">
        <v>15.368399999999999</v>
      </c>
      <c r="N63">
        <v>29.262699999999999</v>
      </c>
      <c r="O63">
        <v>29.262699999999999</v>
      </c>
      <c r="P63">
        <v>29.262699999999999</v>
      </c>
      <c r="Q63">
        <v>0</v>
      </c>
      <c r="R63">
        <v>12.798</v>
      </c>
      <c r="S63">
        <v>14.069900000000001</v>
      </c>
      <c r="T63">
        <v>22.325900000000001</v>
      </c>
      <c r="U63" t="s">
        <v>134</v>
      </c>
      <c r="V63">
        <v>-15.603199999999999</v>
      </c>
      <c r="W63">
        <v>27.470099999999999</v>
      </c>
      <c r="X63">
        <v>17.509699999999999</v>
      </c>
      <c r="Y63">
        <v>12.5</v>
      </c>
      <c r="Z63" t="s">
        <v>134</v>
      </c>
      <c r="AA63" t="s">
        <v>134</v>
      </c>
      <c r="AB63">
        <v>8.4441000000000006</v>
      </c>
      <c r="AC63">
        <v>28.357299999999999</v>
      </c>
      <c r="AD63" t="s">
        <v>134</v>
      </c>
      <c r="AE63" t="s">
        <v>134</v>
      </c>
      <c r="AF63" t="s">
        <v>134</v>
      </c>
      <c r="AG63">
        <v>-52.446899999999999</v>
      </c>
      <c r="AH63">
        <v>34.6706</v>
      </c>
      <c r="AI63">
        <v>66.256</v>
      </c>
      <c r="AJ63">
        <v>45.304200000000002</v>
      </c>
      <c r="AK63">
        <v>47.943300000000001</v>
      </c>
      <c r="AL63">
        <v>-490.37549999999999</v>
      </c>
      <c r="AM63" t="s">
        <v>134</v>
      </c>
      <c r="AN63" t="s">
        <v>134</v>
      </c>
      <c r="AO63" t="s">
        <v>134</v>
      </c>
      <c r="AP63" t="s">
        <v>134</v>
      </c>
      <c r="AQ63" t="s">
        <v>134</v>
      </c>
      <c r="AR63" t="s">
        <v>134</v>
      </c>
      <c r="AS63" t="s">
        <v>134</v>
      </c>
      <c r="AT63" t="s">
        <v>134</v>
      </c>
      <c r="AU63" t="s">
        <v>134</v>
      </c>
      <c r="AV63" t="s">
        <v>134</v>
      </c>
      <c r="AW63" t="s">
        <v>134</v>
      </c>
      <c r="AX63" t="s">
        <v>134</v>
      </c>
      <c r="AY63" t="s">
        <v>134</v>
      </c>
      <c r="AZ63" t="s">
        <v>134</v>
      </c>
      <c r="BA63" t="s">
        <v>134</v>
      </c>
      <c r="BB63" t="s">
        <v>134</v>
      </c>
      <c r="BC63" t="s">
        <v>134</v>
      </c>
      <c r="BD63" t="s">
        <v>134</v>
      </c>
      <c r="BE63" t="s">
        <v>134</v>
      </c>
      <c r="BF63">
        <v>22.325900000000001</v>
      </c>
      <c r="BG63" t="s">
        <v>134</v>
      </c>
      <c r="BH63">
        <v>-15.603199999999999</v>
      </c>
      <c r="BI63">
        <v>27.470099999999999</v>
      </c>
      <c r="BJ63">
        <v>17.509699999999999</v>
      </c>
      <c r="BK63">
        <v>12.5</v>
      </c>
      <c r="BL63" t="s">
        <v>134</v>
      </c>
      <c r="BM63" t="s">
        <v>134</v>
      </c>
      <c r="BN63">
        <v>8.4441000000000006</v>
      </c>
      <c r="BO63">
        <v>28.357299999999999</v>
      </c>
      <c r="BP63" t="s">
        <v>134</v>
      </c>
      <c r="BQ63" t="s">
        <v>134</v>
      </c>
      <c r="BR63" t="s">
        <v>134</v>
      </c>
      <c r="BS63">
        <v>-52.446899999999999</v>
      </c>
      <c r="BT63">
        <v>34.6706</v>
      </c>
      <c r="BU63">
        <v>66.256</v>
      </c>
      <c r="BV63">
        <v>45.304200000000002</v>
      </c>
      <c r="BW63">
        <v>47.943300000000001</v>
      </c>
      <c r="BX63" t="s">
        <v>134</v>
      </c>
      <c r="BY63">
        <v>282447.67599999998</v>
      </c>
      <c r="BZ63">
        <v>60889.027999999998</v>
      </c>
      <c r="CA63">
        <v>221558.64799999999</v>
      </c>
      <c r="CB63" t="s">
        <v>134</v>
      </c>
      <c r="CC63" t="s">
        <v>134</v>
      </c>
      <c r="CD63">
        <v>12.3531</v>
      </c>
      <c r="CE63">
        <v>7.9306000000000001</v>
      </c>
      <c r="CF63" t="s">
        <v>134</v>
      </c>
      <c r="CG63">
        <v>12.6356</v>
      </c>
      <c r="CH63">
        <v>125.1943</v>
      </c>
      <c r="CI63">
        <v>48.2258</v>
      </c>
      <c r="CJ63">
        <v>15.818999999999999</v>
      </c>
      <c r="CK63">
        <v>159.60040000000001</v>
      </c>
      <c r="CL63">
        <v>61.479300000000002</v>
      </c>
      <c r="CM63">
        <v>20.166499999999999</v>
      </c>
      <c r="CN63">
        <v>102.46210000000001</v>
      </c>
      <c r="CO63">
        <v>50.607999999999997</v>
      </c>
      <c r="CP63" t="s">
        <v>134</v>
      </c>
      <c r="CQ63" t="s">
        <v>134</v>
      </c>
      <c r="CR63">
        <v>22864.501</v>
      </c>
      <c r="CS63" t="s">
        <v>134</v>
      </c>
      <c r="CT63" t="s">
        <v>134</v>
      </c>
      <c r="CU63" t="s">
        <v>134</v>
      </c>
      <c r="CV63" t="s">
        <v>134</v>
      </c>
      <c r="CW63" t="s">
        <v>134</v>
      </c>
      <c r="CX63" t="s">
        <v>134</v>
      </c>
      <c r="CY63" t="s">
        <v>134</v>
      </c>
      <c r="CZ63" t="s">
        <v>134</v>
      </c>
      <c r="DA63" t="s">
        <v>134</v>
      </c>
      <c r="DB63" t="s">
        <v>134</v>
      </c>
      <c r="DC63" t="s">
        <v>134</v>
      </c>
      <c r="DD63" t="s">
        <v>134</v>
      </c>
      <c r="DE63" t="s">
        <v>134</v>
      </c>
      <c r="DF63" t="s">
        <v>134</v>
      </c>
      <c r="DG63" t="s">
        <v>134</v>
      </c>
      <c r="DH63" t="s">
        <v>134</v>
      </c>
      <c r="DI63" t="s">
        <v>134</v>
      </c>
    </row>
    <row r="64" spans="1:113" x14ac:dyDescent="0.3">
      <c r="E64" t="s">
        <v>4</v>
      </c>
      <c r="F64" t="s">
        <v>134</v>
      </c>
      <c r="G64" t="s">
        <v>134</v>
      </c>
      <c r="H64" t="s">
        <v>134</v>
      </c>
      <c r="I64" t="s">
        <v>134</v>
      </c>
      <c r="J64" t="s">
        <v>134</v>
      </c>
      <c r="K64" t="s">
        <v>134</v>
      </c>
      <c r="L64" t="s">
        <v>134</v>
      </c>
      <c r="M64" t="s">
        <v>134</v>
      </c>
      <c r="N64" t="s">
        <v>134</v>
      </c>
      <c r="O64" t="s">
        <v>134</v>
      </c>
      <c r="P64" t="s">
        <v>134</v>
      </c>
      <c r="Q64" t="s">
        <v>134</v>
      </c>
      <c r="R64" t="s">
        <v>134</v>
      </c>
      <c r="S64" t="s">
        <v>134</v>
      </c>
      <c r="T64" t="s">
        <v>134</v>
      </c>
      <c r="U64" t="s">
        <v>134</v>
      </c>
      <c r="V64" t="s">
        <v>134</v>
      </c>
      <c r="W64" t="s">
        <v>134</v>
      </c>
      <c r="X64" t="s">
        <v>134</v>
      </c>
      <c r="Y64" t="s">
        <v>134</v>
      </c>
      <c r="Z64" t="s">
        <v>134</v>
      </c>
      <c r="AA64" t="s">
        <v>134</v>
      </c>
      <c r="AB64" t="s">
        <v>134</v>
      </c>
      <c r="AC64" t="s">
        <v>134</v>
      </c>
      <c r="AD64" t="s">
        <v>134</v>
      </c>
      <c r="AE64" t="s">
        <v>134</v>
      </c>
      <c r="AF64" t="s">
        <v>134</v>
      </c>
      <c r="AG64" t="s">
        <v>134</v>
      </c>
      <c r="AH64" t="s">
        <v>134</v>
      </c>
      <c r="AI64" t="s">
        <v>134</v>
      </c>
      <c r="AJ64" t="s">
        <v>134</v>
      </c>
      <c r="AK64" t="s">
        <v>134</v>
      </c>
      <c r="AL64" t="s">
        <v>134</v>
      </c>
      <c r="AM64" t="s">
        <v>134</v>
      </c>
      <c r="AN64" t="s">
        <v>134</v>
      </c>
      <c r="AO64" t="s">
        <v>134</v>
      </c>
      <c r="AP64" t="s">
        <v>134</v>
      </c>
      <c r="AQ64" t="s">
        <v>134</v>
      </c>
      <c r="AR64" t="s">
        <v>134</v>
      </c>
      <c r="AS64" t="s">
        <v>134</v>
      </c>
      <c r="AT64" t="s">
        <v>134</v>
      </c>
      <c r="AU64" t="s">
        <v>134</v>
      </c>
      <c r="AV64" t="s">
        <v>134</v>
      </c>
      <c r="AW64" t="s">
        <v>134</v>
      </c>
      <c r="AX64" t="s">
        <v>134</v>
      </c>
      <c r="AY64" t="s">
        <v>134</v>
      </c>
      <c r="AZ64" t="s">
        <v>134</v>
      </c>
      <c r="BA64" t="s">
        <v>134</v>
      </c>
      <c r="BB64" t="s">
        <v>134</v>
      </c>
      <c r="BC64" t="s">
        <v>134</v>
      </c>
      <c r="BD64" t="s">
        <v>134</v>
      </c>
      <c r="BE64" t="s">
        <v>134</v>
      </c>
      <c r="BF64" t="s">
        <v>134</v>
      </c>
      <c r="BG64" t="s">
        <v>134</v>
      </c>
      <c r="BH64" t="s">
        <v>134</v>
      </c>
      <c r="BI64" t="s">
        <v>134</v>
      </c>
      <c r="BJ64" t="s">
        <v>134</v>
      </c>
      <c r="BK64" t="s">
        <v>134</v>
      </c>
      <c r="BL64" t="s">
        <v>134</v>
      </c>
      <c r="BM64" t="s">
        <v>134</v>
      </c>
      <c r="BN64" t="s">
        <v>134</v>
      </c>
      <c r="BO64" t="s">
        <v>134</v>
      </c>
      <c r="BP64" t="s">
        <v>134</v>
      </c>
      <c r="BQ64" t="s">
        <v>134</v>
      </c>
      <c r="BR64" t="s">
        <v>134</v>
      </c>
      <c r="BS64" t="s">
        <v>134</v>
      </c>
      <c r="BT64" t="s">
        <v>134</v>
      </c>
      <c r="BU64" t="s">
        <v>134</v>
      </c>
      <c r="BV64" t="s">
        <v>134</v>
      </c>
      <c r="BW64" t="s">
        <v>134</v>
      </c>
      <c r="BX64" t="s">
        <v>134</v>
      </c>
      <c r="BY64" t="s">
        <v>134</v>
      </c>
      <c r="BZ64" t="s">
        <v>134</v>
      </c>
      <c r="CA64" t="s">
        <v>134</v>
      </c>
      <c r="CB64" t="s">
        <v>134</v>
      </c>
      <c r="CC64" t="s">
        <v>134</v>
      </c>
      <c r="CD64" t="s">
        <v>134</v>
      </c>
      <c r="CE64" t="s">
        <v>134</v>
      </c>
      <c r="CF64" t="s">
        <v>134</v>
      </c>
      <c r="CG64" t="s">
        <v>134</v>
      </c>
      <c r="CH64" t="s">
        <v>134</v>
      </c>
      <c r="CI64" t="s">
        <v>134</v>
      </c>
      <c r="CJ64" t="s">
        <v>134</v>
      </c>
      <c r="CK64" t="s">
        <v>134</v>
      </c>
      <c r="CL64" t="s">
        <v>134</v>
      </c>
      <c r="CM64" t="s">
        <v>134</v>
      </c>
      <c r="CN64" t="s">
        <v>134</v>
      </c>
      <c r="CO64" t="s">
        <v>134</v>
      </c>
      <c r="CP64" t="s">
        <v>134</v>
      </c>
      <c r="CQ64" t="s">
        <v>134</v>
      </c>
      <c r="CR64" t="s">
        <v>134</v>
      </c>
      <c r="CS64" t="s">
        <v>134</v>
      </c>
      <c r="CT64" t="s">
        <v>134</v>
      </c>
      <c r="CU64" t="s">
        <v>134</v>
      </c>
      <c r="CV64" t="s">
        <v>134</v>
      </c>
      <c r="CW64" t="s">
        <v>134</v>
      </c>
      <c r="CX64" t="s">
        <v>134</v>
      </c>
      <c r="CY64" t="s">
        <v>134</v>
      </c>
      <c r="CZ64" t="s">
        <v>134</v>
      </c>
      <c r="DA64" t="s">
        <v>134</v>
      </c>
      <c r="DB64" t="s">
        <v>134</v>
      </c>
      <c r="DC64" t="s">
        <v>134</v>
      </c>
      <c r="DD64" t="s">
        <v>134</v>
      </c>
      <c r="DE64" t="s">
        <v>134</v>
      </c>
      <c r="DF64" t="s">
        <v>134</v>
      </c>
      <c r="DG64" t="s">
        <v>134</v>
      </c>
      <c r="DH64" t="s">
        <v>134</v>
      </c>
      <c r="DI64" t="s">
        <v>134</v>
      </c>
    </row>
    <row r="65" spans="1:113" x14ac:dyDescent="0.3">
      <c r="E65" t="s">
        <v>5</v>
      </c>
      <c r="F65" t="s">
        <v>134</v>
      </c>
      <c r="G65" t="s">
        <v>134</v>
      </c>
      <c r="H65" t="s">
        <v>134</v>
      </c>
      <c r="I65" t="s">
        <v>134</v>
      </c>
      <c r="J65" t="s">
        <v>134</v>
      </c>
      <c r="K65" t="s">
        <v>134</v>
      </c>
      <c r="L65" t="s">
        <v>134</v>
      </c>
      <c r="M65" t="s">
        <v>134</v>
      </c>
      <c r="N65" t="s">
        <v>134</v>
      </c>
      <c r="O65" t="s">
        <v>134</v>
      </c>
      <c r="P65" t="s">
        <v>134</v>
      </c>
      <c r="Q65" t="s">
        <v>134</v>
      </c>
      <c r="R65" t="s">
        <v>134</v>
      </c>
      <c r="S65" t="s">
        <v>134</v>
      </c>
      <c r="T65" t="s">
        <v>134</v>
      </c>
      <c r="U65" t="s">
        <v>134</v>
      </c>
      <c r="V65" t="s">
        <v>134</v>
      </c>
      <c r="W65" t="s">
        <v>134</v>
      </c>
      <c r="X65" t="s">
        <v>134</v>
      </c>
      <c r="Y65" t="s">
        <v>134</v>
      </c>
      <c r="Z65" t="s">
        <v>134</v>
      </c>
      <c r="AA65" t="s">
        <v>134</v>
      </c>
      <c r="AB65" t="s">
        <v>134</v>
      </c>
      <c r="AC65" t="s">
        <v>134</v>
      </c>
      <c r="AD65" t="s">
        <v>134</v>
      </c>
      <c r="AE65" t="s">
        <v>134</v>
      </c>
      <c r="AF65" t="s">
        <v>134</v>
      </c>
      <c r="AG65" t="s">
        <v>134</v>
      </c>
      <c r="AH65" t="s">
        <v>134</v>
      </c>
      <c r="AI65" t="s">
        <v>134</v>
      </c>
      <c r="AJ65" t="s">
        <v>134</v>
      </c>
      <c r="AK65" t="s">
        <v>134</v>
      </c>
      <c r="AL65" t="s">
        <v>134</v>
      </c>
      <c r="AM65" t="s">
        <v>134</v>
      </c>
      <c r="AN65" t="s">
        <v>134</v>
      </c>
      <c r="AO65" t="s">
        <v>134</v>
      </c>
      <c r="AP65" t="s">
        <v>134</v>
      </c>
      <c r="AQ65" t="s">
        <v>134</v>
      </c>
      <c r="AR65" t="s">
        <v>134</v>
      </c>
      <c r="AS65" t="s">
        <v>134</v>
      </c>
      <c r="AT65" t="s">
        <v>134</v>
      </c>
      <c r="AU65" t="s">
        <v>134</v>
      </c>
      <c r="AV65" t="s">
        <v>134</v>
      </c>
      <c r="AW65" t="s">
        <v>134</v>
      </c>
      <c r="AX65" t="s">
        <v>134</v>
      </c>
      <c r="AY65" t="s">
        <v>134</v>
      </c>
      <c r="AZ65" t="s">
        <v>134</v>
      </c>
      <c r="BA65" t="s">
        <v>134</v>
      </c>
      <c r="BB65" t="s">
        <v>134</v>
      </c>
      <c r="BC65" t="s">
        <v>134</v>
      </c>
      <c r="BD65" t="s">
        <v>134</v>
      </c>
      <c r="BE65" t="s">
        <v>134</v>
      </c>
      <c r="BF65" t="s">
        <v>134</v>
      </c>
      <c r="BG65" t="s">
        <v>134</v>
      </c>
      <c r="BH65" t="s">
        <v>134</v>
      </c>
      <c r="BI65" t="s">
        <v>134</v>
      </c>
      <c r="BJ65" t="s">
        <v>134</v>
      </c>
      <c r="BK65" t="s">
        <v>134</v>
      </c>
      <c r="BL65" t="s">
        <v>134</v>
      </c>
      <c r="BM65" t="s">
        <v>134</v>
      </c>
      <c r="BN65" t="s">
        <v>134</v>
      </c>
      <c r="BO65" t="s">
        <v>134</v>
      </c>
      <c r="BP65" t="s">
        <v>134</v>
      </c>
      <c r="BQ65" t="s">
        <v>134</v>
      </c>
      <c r="BR65" t="s">
        <v>134</v>
      </c>
      <c r="BS65" t="s">
        <v>134</v>
      </c>
      <c r="BT65" t="s">
        <v>134</v>
      </c>
      <c r="BU65" t="s">
        <v>134</v>
      </c>
      <c r="BV65" t="s">
        <v>134</v>
      </c>
      <c r="BW65" t="s">
        <v>134</v>
      </c>
      <c r="BX65" t="s">
        <v>134</v>
      </c>
      <c r="BY65" t="s">
        <v>134</v>
      </c>
      <c r="BZ65" t="s">
        <v>134</v>
      </c>
      <c r="CA65" t="s">
        <v>134</v>
      </c>
      <c r="CB65" t="s">
        <v>134</v>
      </c>
      <c r="CC65" t="s">
        <v>134</v>
      </c>
      <c r="CD65" t="s">
        <v>134</v>
      </c>
      <c r="CE65" t="s">
        <v>134</v>
      </c>
      <c r="CF65" t="s">
        <v>134</v>
      </c>
      <c r="CG65" t="s">
        <v>134</v>
      </c>
      <c r="CH65" t="s">
        <v>134</v>
      </c>
      <c r="CI65" t="s">
        <v>134</v>
      </c>
      <c r="CJ65" t="s">
        <v>134</v>
      </c>
      <c r="CK65" t="s">
        <v>134</v>
      </c>
      <c r="CL65" t="s">
        <v>134</v>
      </c>
      <c r="CM65" t="s">
        <v>134</v>
      </c>
      <c r="CN65" t="s">
        <v>134</v>
      </c>
      <c r="CO65" t="s">
        <v>134</v>
      </c>
      <c r="CP65" t="s">
        <v>134</v>
      </c>
      <c r="CQ65" t="s">
        <v>134</v>
      </c>
      <c r="CR65" t="s">
        <v>134</v>
      </c>
      <c r="CS65" t="s">
        <v>134</v>
      </c>
      <c r="CT65" t="s">
        <v>134</v>
      </c>
      <c r="CU65" t="s">
        <v>134</v>
      </c>
      <c r="CV65" t="s">
        <v>134</v>
      </c>
      <c r="CW65" t="s">
        <v>134</v>
      </c>
      <c r="CX65" t="s">
        <v>134</v>
      </c>
      <c r="CY65" t="s">
        <v>134</v>
      </c>
      <c r="CZ65" t="s">
        <v>134</v>
      </c>
      <c r="DA65" t="s">
        <v>134</v>
      </c>
      <c r="DB65" t="s">
        <v>134</v>
      </c>
      <c r="DC65" t="s">
        <v>134</v>
      </c>
      <c r="DD65" t="s">
        <v>134</v>
      </c>
      <c r="DE65" t="s">
        <v>134</v>
      </c>
      <c r="DF65" t="s">
        <v>134</v>
      </c>
      <c r="DG65" t="s">
        <v>134</v>
      </c>
      <c r="DH65" t="s">
        <v>134</v>
      </c>
      <c r="DI65" t="s">
        <v>134</v>
      </c>
    </row>
    <row r="66" spans="1:113" x14ac:dyDescent="0.3">
      <c r="E66" t="s">
        <v>6</v>
      </c>
      <c r="F66" t="s">
        <v>134</v>
      </c>
      <c r="G66" t="s">
        <v>134</v>
      </c>
      <c r="H66" t="s">
        <v>134</v>
      </c>
      <c r="I66" t="s">
        <v>134</v>
      </c>
      <c r="J66" t="s">
        <v>134</v>
      </c>
      <c r="K66" t="s">
        <v>134</v>
      </c>
      <c r="L66" t="s">
        <v>134</v>
      </c>
      <c r="M66" t="s">
        <v>134</v>
      </c>
      <c r="N66" t="s">
        <v>134</v>
      </c>
      <c r="O66" t="s">
        <v>134</v>
      </c>
      <c r="P66" t="s">
        <v>134</v>
      </c>
      <c r="Q66" t="s">
        <v>134</v>
      </c>
      <c r="R66" t="s">
        <v>134</v>
      </c>
      <c r="S66" t="s">
        <v>134</v>
      </c>
      <c r="T66" t="s">
        <v>134</v>
      </c>
      <c r="U66" t="s">
        <v>134</v>
      </c>
      <c r="V66" t="s">
        <v>134</v>
      </c>
      <c r="W66" t="s">
        <v>134</v>
      </c>
      <c r="X66" t="s">
        <v>134</v>
      </c>
      <c r="Y66" t="s">
        <v>134</v>
      </c>
      <c r="Z66" t="s">
        <v>134</v>
      </c>
      <c r="AA66" t="s">
        <v>134</v>
      </c>
      <c r="AB66" t="s">
        <v>134</v>
      </c>
      <c r="AC66" t="s">
        <v>134</v>
      </c>
      <c r="AD66" t="s">
        <v>134</v>
      </c>
      <c r="AE66" t="s">
        <v>134</v>
      </c>
      <c r="AF66" t="s">
        <v>134</v>
      </c>
      <c r="AG66" t="s">
        <v>134</v>
      </c>
      <c r="AH66" t="s">
        <v>134</v>
      </c>
      <c r="AI66" t="s">
        <v>134</v>
      </c>
      <c r="AJ66" t="s">
        <v>134</v>
      </c>
      <c r="AK66" t="s">
        <v>134</v>
      </c>
      <c r="AL66" t="s">
        <v>134</v>
      </c>
      <c r="AM66" t="s">
        <v>134</v>
      </c>
      <c r="AN66" t="s">
        <v>134</v>
      </c>
      <c r="AO66" t="s">
        <v>134</v>
      </c>
      <c r="AP66" t="s">
        <v>134</v>
      </c>
      <c r="AQ66" t="s">
        <v>134</v>
      </c>
      <c r="AR66" t="s">
        <v>134</v>
      </c>
      <c r="AS66" t="s">
        <v>134</v>
      </c>
      <c r="AT66" t="s">
        <v>134</v>
      </c>
      <c r="AU66" t="s">
        <v>134</v>
      </c>
      <c r="AV66" t="s">
        <v>134</v>
      </c>
      <c r="AW66" t="s">
        <v>134</v>
      </c>
      <c r="AX66" t="s">
        <v>134</v>
      </c>
      <c r="AY66" t="s">
        <v>134</v>
      </c>
      <c r="AZ66" t="s">
        <v>134</v>
      </c>
      <c r="BA66" t="s">
        <v>134</v>
      </c>
      <c r="BB66" t="s">
        <v>134</v>
      </c>
      <c r="BC66" t="s">
        <v>134</v>
      </c>
      <c r="BD66" t="s">
        <v>134</v>
      </c>
      <c r="BE66" t="s">
        <v>134</v>
      </c>
      <c r="BF66" t="s">
        <v>134</v>
      </c>
      <c r="BG66" t="s">
        <v>134</v>
      </c>
      <c r="BH66" t="s">
        <v>134</v>
      </c>
      <c r="BI66" t="s">
        <v>134</v>
      </c>
      <c r="BJ66" t="s">
        <v>134</v>
      </c>
      <c r="BK66" t="s">
        <v>134</v>
      </c>
      <c r="BL66" t="s">
        <v>134</v>
      </c>
      <c r="BM66" t="s">
        <v>134</v>
      </c>
      <c r="BN66" t="s">
        <v>134</v>
      </c>
      <c r="BO66" t="s">
        <v>134</v>
      </c>
      <c r="BP66" t="s">
        <v>134</v>
      </c>
      <c r="BQ66" t="s">
        <v>134</v>
      </c>
      <c r="BR66" t="s">
        <v>134</v>
      </c>
      <c r="BS66" t="s">
        <v>134</v>
      </c>
      <c r="BT66" t="s">
        <v>134</v>
      </c>
      <c r="BU66" t="s">
        <v>134</v>
      </c>
      <c r="BV66" t="s">
        <v>134</v>
      </c>
      <c r="BW66" t="s">
        <v>134</v>
      </c>
      <c r="BX66" t="s">
        <v>134</v>
      </c>
      <c r="BY66" t="s">
        <v>134</v>
      </c>
      <c r="BZ66" t="s">
        <v>134</v>
      </c>
      <c r="CA66" t="s">
        <v>134</v>
      </c>
      <c r="CB66" t="s">
        <v>134</v>
      </c>
      <c r="CC66" t="s">
        <v>134</v>
      </c>
      <c r="CD66" t="s">
        <v>134</v>
      </c>
      <c r="CE66" t="s">
        <v>134</v>
      </c>
      <c r="CF66" t="s">
        <v>134</v>
      </c>
      <c r="CG66" t="s">
        <v>134</v>
      </c>
      <c r="CH66" t="s">
        <v>134</v>
      </c>
      <c r="CI66" t="s">
        <v>134</v>
      </c>
      <c r="CJ66" t="s">
        <v>134</v>
      </c>
      <c r="CK66" t="s">
        <v>134</v>
      </c>
      <c r="CL66" t="s">
        <v>134</v>
      </c>
      <c r="CM66" t="s">
        <v>134</v>
      </c>
      <c r="CN66" t="s">
        <v>134</v>
      </c>
      <c r="CO66" t="s">
        <v>134</v>
      </c>
      <c r="CP66" t="s">
        <v>134</v>
      </c>
      <c r="CQ66" t="s">
        <v>134</v>
      </c>
      <c r="CR66" t="s">
        <v>134</v>
      </c>
      <c r="CS66" t="s">
        <v>134</v>
      </c>
      <c r="CT66" t="s">
        <v>134</v>
      </c>
      <c r="CU66" t="s">
        <v>134</v>
      </c>
      <c r="CV66" t="s">
        <v>134</v>
      </c>
      <c r="CW66" t="s">
        <v>134</v>
      </c>
      <c r="CX66" t="s">
        <v>134</v>
      </c>
      <c r="CY66" t="s">
        <v>134</v>
      </c>
      <c r="CZ66" t="s">
        <v>134</v>
      </c>
      <c r="DA66" t="s">
        <v>134</v>
      </c>
      <c r="DB66" t="s">
        <v>134</v>
      </c>
      <c r="DC66" t="s">
        <v>134</v>
      </c>
      <c r="DD66" t="s">
        <v>134</v>
      </c>
      <c r="DE66" t="s">
        <v>134</v>
      </c>
      <c r="DF66" t="s">
        <v>134</v>
      </c>
      <c r="DG66" t="s">
        <v>134</v>
      </c>
      <c r="DH66" t="s">
        <v>134</v>
      </c>
      <c r="DI66" t="s">
        <v>134</v>
      </c>
    </row>
    <row r="67" spans="1:113" x14ac:dyDescent="0.3">
      <c r="E67" t="s">
        <v>7</v>
      </c>
      <c r="F67" t="s">
        <v>134</v>
      </c>
      <c r="G67" t="s">
        <v>134</v>
      </c>
      <c r="H67" t="s">
        <v>134</v>
      </c>
      <c r="I67" t="s">
        <v>134</v>
      </c>
      <c r="J67" t="s">
        <v>134</v>
      </c>
      <c r="K67" t="s">
        <v>134</v>
      </c>
      <c r="L67" t="s">
        <v>134</v>
      </c>
      <c r="M67" t="s">
        <v>134</v>
      </c>
      <c r="N67" t="s">
        <v>134</v>
      </c>
      <c r="O67" t="s">
        <v>134</v>
      </c>
      <c r="P67" t="s">
        <v>134</v>
      </c>
      <c r="Q67" t="s">
        <v>134</v>
      </c>
      <c r="R67" t="s">
        <v>134</v>
      </c>
      <c r="S67" t="s">
        <v>134</v>
      </c>
      <c r="T67" t="s">
        <v>134</v>
      </c>
      <c r="U67" t="s">
        <v>134</v>
      </c>
      <c r="V67" t="s">
        <v>134</v>
      </c>
      <c r="W67" t="s">
        <v>134</v>
      </c>
      <c r="X67" t="s">
        <v>134</v>
      </c>
      <c r="Y67" t="s">
        <v>134</v>
      </c>
      <c r="Z67" t="s">
        <v>134</v>
      </c>
      <c r="AA67" t="s">
        <v>134</v>
      </c>
      <c r="AB67" t="s">
        <v>134</v>
      </c>
      <c r="AC67" t="s">
        <v>134</v>
      </c>
      <c r="AD67" t="s">
        <v>134</v>
      </c>
      <c r="AE67" t="s">
        <v>134</v>
      </c>
      <c r="AF67" t="s">
        <v>134</v>
      </c>
      <c r="AG67" t="s">
        <v>134</v>
      </c>
      <c r="AH67" t="s">
        <v>134</v>
      </c>
      <c r="AI67" t="s">
        <v>134</v>
      </c>
      <c r="AJ67" t="s">
        <v>134</v>
      </c>
      <c r="AK67" t="s">
        <v>134</v>
      </c>
      <c r="AL67" t="s">
        <v>134</v>
      </c>
      <c r="AM67" t="s">
        <v>134</v>
      </c>
      <c r="AN67" t="s">
        <v>134</v>
      </c>
      <c r="AO67" t="s">
        <v>134</v>
      </c>
      <c r="AP67" t="s">
        <v>134</v>
      </c>
      <c r="AQ67" t="s">
        <v>134</v>
      </c>
      <c r="AR67" t="s">
        <v>134</v>
      </c>
      <c r="AS67" t="s">
        <v>134</v>
      </c>
      <c r="AT67" t="s">
        <v>134</v>
      </c>
      <c r="AU67" t="s">
        <v>134</v>
      </c>
      <c r="AV67" t="s">
        <v>134</v>
      </c>
      <c r="AW67" t="s">
        <v>134</v>
      </c>
      <c r="AX67" t="s">
        <v>134</v>
      </c>
      <c r="AY67" t="s">
        <v>134</v>
      </c>
      <c r="AZ67" t="s">
        <v>134</v>
      </c>
      <c r="BA67" t="s">
        <v>134</v>
      </c>
      <c r="BB67" t="s">
        <v>134</v>
      </c>
      <c r="BC67" t="s">
        <v>134</v>
      </c>
      <c r="BD67" t="s">
        <v>134</v>
      </c>
      <c r="BE67" t="s">
        <v>134</v>
      </c>
      <c r="BF67" t="s">
        <v>134</v>
      </c>
      <c r="BG67" t="s">
        <v>134</v>
      </c>
      <c r="BH67" t="s">
        <v>134</v>
      </c>
      <c r="BI67" t="s">
        <v>134</v>
      </c>
      <c r="BJ67" t="s">
        <v>134</v>
      </c>
      <c r="BK67" t="s">
        <v>134</v>
      </c>
      <c r="BL67" t="s">
        <v>134</v>
      </c>
      <c r="BM67" t="s">
        <v>134</v>
      </c>
      <c r="BN67" t="s">
        <v>134</v>
      </c>
      <c r="BO67" t="s">
        <v>134</v>
      </c>
      <c r="BP67" t="s">
        <v>134</v>
      </c>
      <c r="BQ67" t="s">
        <v>134</v>
      </c>
      <c r="BR67" t="s">
        <v>134</v>
      </c>
      <c r="BS67" t="s">
        <v>134</v>
      </c>
      <c r="BT67" t="s">
        <v>134</v>
      </c>
      <c r="BU67" t="s">
        <v>134</v>
      </c>
      <c r="BV67" t="s">
        <v>134</v>
      </c>
      <c r="BW67" t="s">
        <v>134</v>
      </c>
      <c r="BX67" t="s">
        <v>134</v>
      </c>
      <c r="BY67" t="s">
        <v>134</v>
      </c>
      <c r="BZ67" t="s">
        <v>134</v>
      </c>
      <c r="CA67" t="s">
        <v>134</v>
      </c>
      <c r="CB67" t="s">
        <v>134</v>
      </c>
      <c r="CC67" t="s">
        <v>134</v>
      </c>
      <c r="CD67" t="s">
        <v>134</v>
      </c>
      <c r="CE67" t="s">
        <v>134</v>
      </c>
      <c r="CF67" t="s">
        <v>134</v>
      </c>
      <c r="CG67" t="s">
        <v>134</v>
      </c>
      <c r="CH67" t="s">
        <v>134</v>
      </c>
      <c r="CI67" t="s">
        <v>134</v>
      </c>
      <c r="CJ67" t="s">
        <v>134</v>
      </c>
      <c r="CK67" t="s">
        <v>134</v>
      </c>
      <c r="CL67" t="s">
        <v>134</v>
      </c>
      <c r="CM67" t="s">
        <v>134</v>
      </c>
      <c r="CN67" t="s">
        <v>134</v>
      </c>
      <c r="CO67" t="s">
        <v>134</v>
      </c>
      <c r="CP67" t="s">
        <v>134</v>
      </c>
      <c r="CQ67" t="s">
        <v>134</v>
      </c>
      <c r="CR67" t="s">
        <v>134</v>
      </c>
      <c r="CS67" t="s">
        <v>134</v>
      </c>
      <c r="CT67" t="s">
        <v>134</v>
      </c>
      <c r="CU67" t="s">
        <v>134</v>
      </c>
      <c r="CV67" t="s">
        <v>134</v>
      </c>
      <c r="CW67" t="s">
        <v>134</v>
      </c>
      <c r="CX67" t="s">
        <v>134</v>
      </c>
      <c r="CY67" t="s">
        <v>134</v>
      </c>
      <c r="CZ67" t="s">
        <v>134</v>
      </c>
      <c r="DA67" t="s">
        <v>134</v>
      </c>
      <c r="DB67" t="s">
        <v>134</v>
      </c>
      <c r="DC67" t="s">
        <v>134</v>
      </c>
      <c r="DD67" t="s">
        <v>134</v>
      </c>
      <c r="DE67" t="s">
        <v>134</v>
      </c>
      <c r="DF67" t="s">
        <v>134</v>
      </c>
      <c r="DG67" t="s">
        <v>134</v>
      </c>
      <c r="DH67" t="s">
        <v>134</v>
      </c>
      <c r="DI67" t="s">
        <v>134</v>
      </c>
    </row>
    <row r="68" spans="1:113" x14ac:dyDescent="0.3">
      <c r="D68" t="s">
        <v>10</v>
      </c>
      <c r="E68" t="s">
        <v>3</v>
      </c>
      <c r="F68">
        <v>14.958399999999999</v>
      </c>
      <c r="G68">
        <v>1.7838000000000001</v>
      </c>
      <c r="H68">
        <v>6.5993000000000004</v>
      </c>
      <c r="I68">
        <v>12.4551</v>
      </c>
      <c r="J68" t="s">
        <v>134</v>
      </c>
      <c r="K68">
        <v>28.0229</v>
      </c>
      <c r="L68">
        <v>24.020800000000001</v>
      </c>
      <c r="M68">
        <v>15.4377</v>
      </c>
      <c r="N68">
        <v>28.0229</v>
      </c>
      <c r="O68">
        <v>28.0229</v>
      </c>
      <c r="P68">
        <v>28.0229</v>
      </c>
      <c r="Q68">
        <v>0</v>
      </c>
      <c r="R68">
        <v>12.513999999999999</v>
      </c>
      <c r="S68">
        <v>13.086499999999999</v>
      </c>
      <c r="T68">
        <v>22.470400000000001</v>
      </c>
      <c r="U68" t="s">
        <v>134</v>
      </c>
      <c r="V68">
        <v>25.4299</v>
      </c>
      <c r="W68">
        <v>25.4299</v>
      </c>
      <c r="X68">
        <v>21.141100000000002</v>
      </c>
      <c r="Y68">
        <v>33.333300000000001</v>
      </c>
      <c r="Z68" t="s">
        <v>134</v>
      </c>
      <c r="AA68" t="s">
        <v>134</v>
      </c>
      <c r="AB68">
        <v>6.3655999999999997</v>
      </c>
      <c r="AC68">
        <v>25.018999999999998</v>
      </c>
      <c r="AD68" t="s">
        <v>134</v>
      </c>
      <c r="AE68" t="s">
        <v>134</v>
      </c>
      <c r="AF68" t="s">
        <v>134</v>
      </c>
      <c r="AG68">
        <v>-82.1327</v>
      </c>
      <c r="AH68">
        <v>-9.6483000000000008</v>
      </c>
      <c r="AI68">
        <v>16.671700000000001</v>
      </c>
      <c r="AJ68">
        <v>1.1306</v>
      </c>
      <c r="AK68">
        <v>16.0549</v>
      </c>
      <c r="AL68" t="s">
        <v>134</v>
      </c>
      <c r="AM68" t="s">
        <v>134</v>
      </c>
      <c r="AN68" t="s">
        <v>134</v>
      </c>
      <c r="AO68" t="s">
        <v>134</v>
      </c>
      <c r="AP68" t="s">
        <v>134</v>
      </c>
      <c r="AQ68" t="s">
        <v>134</v>
      </c>
      <c r="AR68" t="s">
        <v>134</v>
      </c>
      <c r="AS68" t="s">
        <v>134</v>
      </c>
      <c r="AT68" t="s">
        <v>134</v>
      </c>
      <c r="AU68" t="s">
        <v>134</v>
      </c>
      <c r="AV68" t="s">
        <v>134</v>
      </c>
      <c r="AW68" t="s">
        <v>134</v>
      </c>
      <c r="AX68" t="s">
        <v>134</v>
      </c>
      <c r="AY68" t="s">
        <v>134</v>
      </c>
      <c r="AZ68" t="s">
        <v>134</v>
      </c>
      <c r="BA68" t="s">
        <v>134</v>
      </c>
      <c r="BB68" t="s">
        <v>134</v>
      </c>
      <c r="BC68" t="s">
        <v>134</v>
      </c>
      <c r="BD68" t="s">
        <v>134</v>
      </c>
      <c r="BE68" t="s">
        <v>134</v>
      </c>
      <c r="BF68">
        <v>22.470400000000001</v>
      </c>
      <c r="BG68" t="s">
        <v>134</v>
      </c>
      <c r="BH68">
        <v>25.4299</v>
      </c>
      <c r="BI68">
        <v>25.4299</v>
      </c>
      <c r="BJ68">
        <v>21.141100000000002</v>
      </c>
      <c r="BK68">
        <v>33.333300000000001</v>
      </c>
      <c r="BL68" t="s">
        <v>134</v>
      </c>
      <c r="BM68" t="s">
        <v>134</v>
      </c>
      <c r="BN68">
        <v>6.3655999999999997</v>
      </c>
      <c r="BO68">
        <v>25.018999999999998</v>
      </c>
      <c r="BP68" t="s">
        <v>134</v>
      </c>
      <c r="BQ68" t="s">
        <v>134</v>
      </c>
      <c r="BR68" t="s">
        <v>134</v>
      </c>
      <c r="BS68">
        <v>-82.1327</v>
      </c>
      <c r="BT68">
        <v>-9.6483000000000008</v>
      </c>
      <c r="BU68">
        <v>16.671700000000001</v>
      </c>
      <c r="BV68">
        <v>1.1306</v>
      </c>
      <c r="BW68">
        <v>16.0549</v>
      </c>
      <c r="BX68" t="s">
        <v>134</v>
      </c>
      <c r="BY68">
        <v>230540.42800000001</v>
      </c>
      <c r="BZ68">
        <v>6003.4849999999997</v>
      </c>
      <c r="CA68">
        <v>224536.943</v>
      </c>
      <c r="CB68" t="s">
        <v>134</v>
      </c>
      <c r="CC68" t="s">
        <v>134</v>
      </c>
      <c r="CD68">
        <v>8.0387000000000004</v>
      </c>
      <c r="CE68">
        <v>1.5432000000000001</v>
      </c>
      <c r="CF68" t="s">
        <v>134</v>
      </c>
      <c r="CG68">
        <v>11.557600000000001</v>
      </c>
      <c r="CH68">
        <v>108.74720000000001</v>
      </c>
      <c r="CI68">
        <v>51.3795</v>
      </c>
      <c r="CJ68">
        <v>12.5685</v>
      </c>
      <c r="CK68">
        <v>111.65479999999999</v>
      </c>
      <c r="CL68">
        <v>52.753300000000003</v>
      </c>
      <c r="CM68">
        <v>12.9046</v>
      </c>
      <c r="CN68">
        <v>21.434899999999999</v>
      </c>
      <c r="CO68">
        <v>17.651299999999999</v>
      </c>
      <c r="CP68" t="s">
        <v>134</v>
      </c>
      <c r="CQ68" t="s">
        <v>134</v>
      </c>
      <c r="CR68">
        <v>28678.927</v>
      </c>
      <c r="CS68" t="s">
        <v>134</v>
      </c>
      <c r="CT68" t="s">
        <v>134</v>
      </c>
      <c r="CU68" t="s">
        <v>134</v>
      </c>
      <c r="CV68" t="s">
        <v>134</v>
      </c>
      <c r="CW68" t="s">
        <v>134</v>
      </c>
      <c r="CX68" t="s">
        <v>134</v>
      </c>
      <c r="CY68" t="s">
        <v>134</v>
      </c>
      <c r="CZ68" t="s">
        <v>134</v>
      </c>
      <c r="DA68" t="s">
        <v>134</v>
      </c>
      <c r="DB68" t="s">
        <v>134</v>
      </c>
      <c r="DC68" t="s">
        <v>134</v>
      </c>
      <c r="DD68" t="s">
        <v>134</v>
      </c>
      <c r="DE68" t="s">
        <v>134</v>
      </c>
      <c r="DF68" t="s">
        <v>134</v>
      </c>
      <c r="DG68" t="s">
        <v>134</v>
      </c>
      <c r="DH68" t="s">
        <v>134</v>
      </c>
      <c r="DI68" t="s">
        <v>134</v>
      </c>
    </row>
    <row r="69" spans="1:113" x14ac:dyDescent="0.3">
      <c r="E69" t="s">
        <v>4</v>
      </c>
      <c r="F69" t="s">
        <v>134</v>
      </c>
      <c r="G69" t="s">
        <v>134</v>
      </c>
      <c r="H69" t="s">
        <v>134</v>
      </c>
      <c r="I69" t="s">
        <v>134</v>
      </c>
      <c r="J69" t="s">
        <v>134</v>
      </c>
      <c r="K69" t="s">
        <v>134</v>
      </c>
      <c r="L69" t="s">
        <v>134</v>
      </c>
      <c r="M69" t="s">
        <v>134</v>
      </c>
      <c r="N69" t="s">
        <v>134</v>
      </c>
      <c r="O69" t="s">
        <v>134</v>
      </c>
      <c r="P69" t="s">
        <v>134</v>
      </c>
      <c r="Q69" t="s">
        <v>134</v>
      </c>
      <c r="R69" t="s">
        <v>134</v>
      </c>
      <c r="S69" t="s">
        <v>134</v>
      </c>
      <c r="T69" t="s">
        <v>134</v>
      </c>
      <c r="U69" t="s">
        <v>134</v>
      </c>
      <c r="V69" t="s">
        <v>134</v>
      </c>
      <c r="W69" t="s">
        <v>134</v>
      </c>
      <c r="X69" t="s">
        <v>134</v>
      </c>
      <c r="Y69" t="s">
        <v>134</v>
      </c>
      <c r="Z69" t="s">
        <v>134</v>
      </c>
      <c r="AA69" t="s">
        <v>134</v>
      </c>
      <c r="AB69" t="s">
        <v>134</v>
      </c>
      <c r="AC69" t="s">
        <v>134</v>
      </c>
      <c r="AD69" t="s">
        <v>134</v>
      </c>
      <c r="AE69" t="s">
        <v>134</v>
      </c>
      <c r="AF69" t="s">
        <v>134</v>
      </c>
      <c r="AG69" t="s">
        <v>134</v>
      </c>
      <c r="AH69" t="s">
        <v>134</v>
      </c>
      <c r="AI69" t="s">
        <v>134</v>
      </c>
      <c r="AJ69" t="s">
        <v>134</v>
      </c>
      <c r="AK69" t="s">
        <v>134</v>
      </c>
      <c r="AL69" t="s">
        <v>134</v>
      </c>
      <c r="AM69" t="s">
        <v>134</v>
      </c>
      <c r="AN69" t="s">
        <v>134</v>
      </c>
      <c r="AO69" t="s">
        <v>134</v>
      </c>
      <c r="AP69" t="s">
        <v>134</v>
      </c>
      <c r="AQ69" t="s">
        <v>134</v>
      </c>
      <c r="AR69" t="s">
        <v>134</v>
      </c>
      <c r="AS69" t="s">
        <v>134</v>
      </c>
      <c r="AT69" t="s">
        <v>134</v>
      </c>
      <c r="AU69" t="s">
        <v>134</v>
      </c>
      <c r="AV69" t="s">
        <v>134</v>
      </c>
      <c r="AW69" t="s">
        <v>134</v>
      </c>
      <c r="AX69" t="s">
        <v>134</v>
      </c>
      <c r="AY69" t="s">
        <v>134</v>
      </c>
      <c r="AZ69" t="s">
        <v>134</v>
      </c>
      <c r="BA69" t="s">
        <v>134</v>
      </c>
      <c r="BB69" t="s">
        <v>134</v>
      </c>
      <c r="BC69" t="s">
        <v>134</v>
      </c>
      <c r="BD69" t="s">
        <v>134</v>
      </c>
      <c r="BE69" t="s">
        <v>134</v>
      </c>
      <c r="BF69" t="s">
        <v>134</v>
      </c>
      <c r="BG69" t="s">
        <v>134</v>
      </c>
      <c r="BH69" t="s">
        <v>134</v>
      </c>
      <c r="BI69" t="s">
        <v>134</v>
      </c>
      <c r="BJ69" t="s">
        <v>134</v>
      </c>
      <c r="BK69" t="s">
        <v>134</v>
      </c>
      <c r="BL69" t="s">
        <v>134</v>
      </c>
      <c r="BM69" t="s">
        <v>134</v>
      </c>
      <c r="BN69" t="s">
        <v>134</v>
      </c>
      <c r="BO69" t="s">
        <v>134</v>
      </c>
      <c r="BP69" t="s">
        <v>134</v>
      </c>
      <c r="BQ69" t="s">
        <v>134</v>
      </c>
      <c r="BR69" t="s">
        <v>134</v>
      </c>
      <c r="BS69" t="s">
        <v>134</v>
      </c>
      <c r="BT69" t="s">
        <v>134</v>
      </c>
      <c r="BU69" t="s">
        <v>134</v>
      </c>
      <c r="BV69" t="s">
        <v>134</v>
      </c>
      <c r="BW69" t="s">
        <v>134</v>
      </c>
      <c r="BX69" t="s">
        <v>134</v>
      </c>
      <c r="BY69" t="s">
        <v>134</v>
      </c>
      <c r="BZ69" t="s">
        <v>134</v>
      </c>
      <c r="CA69" t="s">
        <v>134</v>
      </c>
      <c r="CB69" t="s">
        <v>134</v>
      </c>
      <c r="CC69" t="s">
        <v>134</v>
      </c>
      <c r="CD69" t="s">
        <v>134</v>
      </c>
      <c r="CE69" t="s">
        <v>134</v>
      </c>
      <c r="CF69" t="s">
        <v>134</v>
      </c>
      <c r="CG69" t="s">
        <v>134</v>
      </c>
      <c r="CH69" t="s">
        <v>134</v>
      </c>
      <c r="CI69" t="s">
        <v>134</v>
      </c>
      <c r="CJ69" t="s">
        <v>134</v>
      </c>
      <c r="CK69" t="s">
        <v>134</v>
      </c>
      <c r="CL69" t="s">
        <v>134</v>
      </c>
      <c r="CM69" t="s">
        <v>134</v>
      </c>
      <c r="CN69" t="s">
        <v>134</v>
      </c>
      <c r="CO69" t="s">
        <v>134</v>
      </c>
      <c r="CP69" t="s">
        <v>134</v>
      </c>
      <c r="CQ69" t="s">
        <v>134</v>
      </c>
      <c r="CR69" t="s">
        <v>134</v>
      </c>
      <c r="CS69" t="s">
        <v>134</v>
      </c>
      <c r="CT69" t="s">
        <v>134</v>
      </c>
      <c r="CU69" t="s">
        <v>134</v>
      </c>
      <c r="CV69" t="s">
        <v>134</v>
      </c>
      <c r="CW69" t="s">
        <v>134</v>
      </c>
      <c r="CX69" t="s">
        <v>134</v>
      </c>
      <c r="CY69" t="s">
        <v>134</v>
      </c>
      <c r="CZ69" t="s">
        <v>134</v>
      </c>
      <c r="DA69" t="s">
        <v>134</v>
      </c>
      <c r="DB69" t="s">
        <v>134</v>
      </c>
      <c r="DC69" t="s">
        <v>134</v>
      </c>
      <c r="DD69" t="s">
        <v>134</v>
      </c>
      <c r="DE69" t="s">
        <v>134</v>
      </c>
      <c r="DF69" t="s">
        <v>134</v>
      </c>
      <c r="DG69" t="s">
        <v>134</v>
      </c>
      <c r="DH69" t="s">
        <v>134</v>
      </c>
      <c r="DI69" t="s">
        <v>134</v>
      </c>
    </row>
    <row r="70" spans="1:113" x14ac:dyDescent="0.3">
      <c r="E70" t="s">
        <v>5</v>
      </c>
      <c r="F70" t="s">
        <v>134</v>
      </c>
      <c r="G70" t="s">
        <v>134</v>
      </c>
      <c r="H70" t="s">
        <v>134</v>
      </c>
      <c r="I70" t="s">
        <v>134</v>
      </c>
      <c r="J70" t="s">
        <v>134</v>
      </c>
      <c r="K70" t="s">
        <v>134</v>
      </c>
      <c r="L70" t="s">
        <v>134</v>
      </c>
      <c r="M70" t="s">
        <v>134</v>
      </c>
      <c r="N70" t="s">
        <v>134</v>
      </c>
      <c r="O70" t="s">
        <v>134</v>
      </c>
      <c r="P70" t="s">
        <v>134</v>
      </c>
      <c r="Q70" t="s">
        <v>134</v>
      </c>
      <c r="R70" t="s">
        <v>134</v>
      </c>
      <c r="S70" t="s">
        <v>134</v>
      </c>
      <c r="T70" t="s">
        <v>134</v>
      </c>
      <c r="U70" t="s">
        <v>134</v>
      </c>
      <c r="V70" t="s">
        <v>134</v>
      </c>
      <c r="W70" t="s">
        <v>134</v>
      </c>
      <c r="X70" t="s">
        <v>134</v>
      </c>
      <c r="Y70" t="s">
        <v>134</v>
      </c>
      <c r="Z70" t="s">
        <v>134</v>
      </c>
      <c r="AA70" t="s">
        <v>134</v>
      </c>
      <c r="AB70" t="s">
        <v>134</v>
      </c>
      <c r="AC70" t="s">
        <v>134</v>
      </c>
      <c r="AD70" t="s">
        <v>134</v>
      </c>
      <c r="AE70" t="s">
        <v>134</v>
      </c>
      <c r="AF70" t="s">
        <v>134</v>
      </c>
      <c r="AG70" t="s">
        <v>134</v>
      </c>
      <c r="AH70" t="s">
        <v>134</v>
      </c>
      <c r="AI70" t="s">
        <v>134</v>
      </c>
      <c r="AJ70" t="s">
        <v>134</v>
      </c>
      <c r="AK70" t="s">
        <v>134</v>
      </c>
      <c r="AL70" t="s">
        <v>134</v>
      </c>
      <c r="AM70" t="s">
        <v>134</v>
      </c>
      <c r="AN70" t="s">
        <v>134</v>
      </c>
      <c r="AO70" t="s">
        <v>134</v>
      </c>
      <c r="AP70" t="s">
        <v>134</v>
      </c>
      <c r="AQ70" t="s">
        <v>134</v>
      </c>
      <c r="AR70" t="s">
        <v>134</v>
      </c>
      <c r="AS70" t="s">
        <v>134</v>
      </c>
      <c r="AT70" t="s">
        <v>134</v>
      </c>
      <c r="AU70" t="s">
        <v>134</v>
      </c>
      <c r="AV70" t="s">
        <v>134</v>
      </c>
      <c r="AW70" t="s">
        <v>134</v>
      </c>
      <c r="AX70" t="s">
        <v>134</v>
      </c>
      <c r="AY70" t="s">
        <v>134</v>
      </c>
      <c r="AZ70" t="s">
        <v>134</v>
      </c>
      <c r="BA70" t="s">
        <v>134</v>
      </c>
      <c r="BB70" t="s">
        <v>134</v>
      </c>
      <c r="BC70" t="s">
        <v>134</v>
      </c>
      <c r="BD70" t="s">
        <v>134</v>
      </c>
      <c r="BE70" t="s">
        <v>134</v>
      </c>
      <c r="BF70" t="s">
        <v>134</v>
      </c>
      <c r="BG70" t="s">
        <v>134</v>
      </c>
      <c r="BH70" t="s">
        <v>134</v>
      </c>
      <c r="BI70" t="s">
        <v>134</v>
      </c>
      <c r="BJ70" t="s">
        <v>134</v>
      </c>
      <c r="BK70" t="s">
        <v>134</v>
      </c>
      <c r="BL70" t="s">
        <v>134</v>
      </c>
      <c r="BM70" t="s">
        <v>134</v>
      </c>
      <c r="BN70" t="s">
        <v>134</v>
      </c>
      <c r="BO70" t="s">
        <v>134</v>
      </c>
      <c r="BP70" t="s">
        <v>134</v>
      </c>
      <c r="BQ70" t="s">
        <v>134</v>
      </c>
      <c r="BR70" t="s">
        <v>134</v>
      </c>
      <c r="BS70" t="s">
        <v>134</v>
      </c>
      <c r="BT70" t="s">
        <v>134</v>
      </c>
      <c r="BU70" t="s">
        <v>134</v>
      </c>
      <c r="BV70" t="s">
        <v>134</v>
      </c>
      <c r="BW70" t="s">
        <v>134</v>
      </c>
      <c r="BX70" t="s">
        <v>134</v>
      </c>
      <c r="BY70" t="s">
        <v>134</v>
      </c>
      <c r="BZ70" t="s">
        <v>134</v>
      </c>
      <c r="CA70" t="s">
        <v>134</v>
      </c>
      <c r="CB70" t="s">
        <v>134</v>
      </c>
      <c r="CC70" t="s">
        <v>134</v>
      </c>
      <c r="CD70" t="s">
        <v>134</v>
      </c>
      <c r="CE70" t="s">
        <v>134</v>
      </c>
      <c r="CF70" t="s">
        <v>134</v>
      </c>
      <c r="CG70" t="s">
        <v>134</v>
      </c>
      <c r="CH70" t="s">
        <v>134</v>
      </c>
      <c r="CI70" t="s">
        <v>134</v>
      </c>
      <c r="CJ70" t="s">
        <v>134</v>
      </c>
      <c r="CK70" t="s">
        <v>134</v>
      </c>
      <c r="CL70" t="s">
        <v>134</v>
      </c>
      <c r="CM70" t="s">
        <v>134</v>
      </c>
      <c r="CN70" t="s">
        <v>134</v>
      </c>
      <c r="CO70" t="s">
        <v>134</v>
      </c>
      <c r="CP70" t="s">
        <v>134</v>
      </c>
      <c r="CQ70" t="s">
        <v>134</v>
      </c>
      <c r="CR70" t="s">
        <v>134</v>
      </c>
      <c r="CS70" t="s">
        <v>134</v>
      </c>
      <c r="CT70" t="s">
        <v>134</v>
      </c>
      <c r="CU70" t="s">
        <v>134</v>
      </c>
      <c r="CV70" t="s">
        <v>134</v>
      </c>
      <c r="CW70" t="s">
        <v>134</v>
      </c>
      <c r="CX70" t="s">
        <v>134</v>
      </c>
      <c r="CY70" t="s">
        <v>134</v>
      </c>
      <c r="CZ70" t="s">
        <v>134</v>
      </c>
      <c r="DA70" t="s">
        <v>134</v>
      </c>
      <c r="DB70" t="s">
        <v>134</v>
      </c>
      <c r="DC70" t="s">
        <v>134</v>
      </c>
      <c r="DD70" t="s">
        <v>134</v>
      </c>
      <c r="DE70" t="s">
        <v>134</v>
      </c>
      <c r="DF70" t="s">
        <v>134</v>
      </c>
      <c r="DG70" t="s">
        <v>134</v>
      </c>
      <c r="DH70" t="s">
        <v>134</v>
      </c>
      <c r="DI70" t="s">
        <v>134</v>
      </c>
    </row>
    <row r="71" spans="1:113" x14ac:dyDescent="0.3">
      <c r="E71" t="s">
        <v>6</v>
      </c>
      <c r="F71" t="s">
        <v>134</v>
      </c>
      <c r="G71" t="s">
        <v>134</v>
      </c>
      <c r="H71" t="s">
        <v>134</v>
      </c>
      <c r="I71" t="s">
        <v>134</v>
      </c>
      <c r="J71" t="s">
        <v>134</v>
      </c>
      <c r="K71" t="s">
        <v>134</v>
      </c>
      <c r="L71" t="s">
        <v>134</v>
      </c>
      <c r="M71" t="s">
        <v>134</v>
      </c>
      <c r="N71" t="s">
        <v>134</v>
      </c>
      <c r="O71" t="s">
        <v>134</v>
      </c>
      <c r="P71" t="s">
        <v>134</v>
      </c>
      <c r="Q71" t="s">
        <v>134</v>
      </c>
      <c r="R71" t="s">
        <v>134</v>
      </c>
      <c r="S71" t="s">
        <v>134</v>
      </c>
      <c r="T71" t="s">
        <v>134</v>
      </c>
      <c r="U71" t="s">
        <v>134</v>
      </c>
      <c r="V71" t="s">
        <v>134</v>
      </c>
      <c r="W71" t="s">
        <v>134</v>
      </c>
      <c r="X71" t="s">
        <v>134</v>
      </c>
      <c r="Y71" t="s">
        <v>134</v>
      </c>
      <c r="Z71" t="s">
        <v>134</v>
      </c>
      <c r="AA71" t="s">
        <v>134</v>
      </c>
      <c r="AB71" t="s">
        <v>134</v>
      </c>
      <c r="AC71" t="s">
        <v>134</v>
      </c>
      <c r="AD71" t="s">
        <v>134</v>
      </c>
      <c r="AE71" t="s">
        <v>134</v>
      </c>
      <c r="AF71" t="s">
        <v>134</v>
      </c>
      <c r="AG71" t="s">
        <v>134</v>
      </c>
      <c r="AH71" t="s">
        <v>134</v>
      </c>
      <c r="AI71" t="s">
        <v>134</v>
      </c>
      <c r="AJ71" t="s">
        <v>134</v>
      </c>
      <c r="AK71" t="s">
        <v>134</v>
      </c>
      <c r="AL71" t="s">
        <v>134</v>
      </c>
      <c r="AM71" t="s">
        <v>134</v>
      </c>
      <c r="AN71" t="s">
        <v>134</v>
      </c>
      <c r="AO71" t="s">
        <v>134</v>
      </c>
      <c r="AP71" t="s">
        <v>134</v>
      </c>
      <c r="AQ71" t="s">
        <v>134</v>
      </c>
      <c r="AR71" t="s">
        <v>134</v>
      </c>
      <c r="AS71" t="s">
        <v>134</v>
      </c>
      <c r="AT71" t="s">
        <v>134</v>
      </c>
      <c r="AU71" t="s">
        <v>134</v>
      </c>
      <c r="AV71" t="s">
        <v>134</v>
      </c>
      <c r="AW71" t="s">
        <v>134</v>
      </c>
      <c r="AX71" t="s">
        <v>134</v>
      </c>
      <c r="AY71" t="s">
        <v>134</v>
      </c>
      <c r="AZ71" t="s">
        <v>134</v>
      </c>
      <c r="BA71" t="s">
        <v>134</v>
      </c>
      <c r="BB71" t="s">
        <v>134</v>
      </c>
      <c r="BC71" t="s">
        <v>134</v>
      </c>
      <c r="BD71" t="s">
        <v>134</v>
      </c>
      <c r="BE71" t="s">
        <v>134</v>
      </c>
      <c r="BF71" t="s">
        <v>134</v>
      </c>
      <c r="BG71" t="s">
        <v>134</v>
      </c>
      <c r="BH71" t="s">
        <v>134</v>
      </c>
      <c r="BI71" t="s">
        <v>134</v>
      </c>
      <c r="BJ71" t="s">
        <v>134</v>
      </c>
      <c r="BK71" t="s">
        <v>134</v>
      </c>
      <c r="BL71" t="s">
        <v>134</v>
      </c>
      <c r="BM71" t="s">
        <v>134</v>
      </c>
      <c r="BN71" t="s">
        <v>134</v>
      </c>
      <c r="BO71" t="s">
        <v>134</v>
      </c>
      <c r="BP71" t="s">
        <v>134</v>
      </c>
      <c r="BQ71" t="s">
        <v>134</v>
      </c>
      <c r="BR71" t="s">
        <v>134</v>
      </c>
      <c r="BS71" t="s">
        <v>134</v>
      </c>
      <c r="BT71" t="s">
        <v>134</v>
      </c>
      <c r="BU71" t="s">
        <v>134</v>
      </c>
      <c r="BV71" t="s">
        <v>134</v>
      </c>
      <c r="BW71" t="s">
        <v>134</v>
      </c>
      <c r="BX71" t="s">
        <v>134</v>
      </c>
      <c r="BY71" t="s">
        <v>134</v>
      </c>
      <c r="BZ71" t="s">
        <v>134</v>
      </c>
      <c r="CA71" t="s">
        <v>134</v>
      </c>
      <c r="CB71" t="s">
        <v>134</v>
      </c>
      <c r="CC71" t="s">
        <v>134</v>
      </c>
      <c r="CD71" t="s">
        <v>134</v>
      </c>
      <c r="CE71" t="s">
        <v>134</v>
      </c>
      <c r="CF71" t="s">
        <v>134</v>
      </c>
      <c r="CG71" t="s">
        <v>134</v>
      </c>
      <c r="CH71" t="s">
        <v>134</v>
      </c>
      <c r="CI71" t="s">
        <v>134</v>
      </c>
      <c r="CJ71" t="s">
        <v>134</v>
      </c>
      <c r="CK71" t="s">
        <v>134</v>
      </c>
      <c r="CL71" t="s">
        <v>134</v>
      </c>
      <c r="CM71" t="s">
        <v>134</v>
      </c>
      <c r="CN71" t="s">
        <v>134</v>
      </c>
      <c r="CO71" t="s">
        <v>134</v>
      </c>
      <c r="CP71" t="s">
        <v>134</v>
      </c>
      <c r="CQ71" t="s">
        <v>134</v>
      </c>
      <c r="CR71" t="s">
        <v>134</v>
      </c>
      <c r="CS71" t="s">
        <v>134</v>
      </c>
      <c r="CT71" t="s">
        <v>134</v>
      </c>
      <c r="CU71" t="s">
        <v>134</v>
      </c>
      <c r="CV71" t="s">
        <v>134</v>
      </c>
      <c r="CW71" t="s">
        <v>134</v>
      </c>
      <c r="CX71" t="s">
        <v>134</v>
      </c>
      <c r="CY71" t="s">
        <v>134</v>
      </c>
      <c r="CZ71" t="s">
        <v>134</v>
      </c>
      <c r="DA71" t="s">
        <v>134</v>
      </c>
      <c r="DB71" t="s">
        <v>134</v>
      </c>
      <c r="DC71" t="s">
        <v>134</v>
      </c>
      <c r="DD71" t="s">
        <v>134</v>
      </c>
      <c r="DE71" t="s">
        <v>134</v>
      </c>
      <c r="DF71" t="s">
        <v>134</v>
      </c>
      <c r="DG71" t="s">
        <v>134</v>
      </c>
      <c r="DH71" t="s">
        <v>134</v>
      </c>
      <c r="DI71" t="s">
        <v>134</v>
      </c>
    </row>
    <row r="72" spans="1:113" x14ac:dyDescent="0.3">
      <c r="E72" t="s">
        <v>7</v>
      </c>
      <c r="F72" t="s">
        <v>134</v>
      </c>
      <c r="G72" t="s">
        <v>134</v>
      </c>
      <c r="H72" t="s">
        <v>134</v>
      </c>
      <c r="I72" t="s">
        <v>134</v>
      </c>
      <c r="J72" t="s">
        <v>134</v>
      </c>
      <c r="K72" t="s">
        <v>134</v>
      </c>
      <c r="L72" t="s">
        <v>134</v>
      </c>
      <c r="M72" t="s">
        <v>134</v>
      </c>
      <c r="N72" t="s">
        <v>134</v>
      </c>
      <c r="O72" t="s">
        <v>134</v>
      </c>
      <c r="P72" t="s">
        <v>134</v>
      </c>
      <c r="Q72" t="s">
        <v>134</v>
      </c>
      <c r="R72" t="s">
        <v>134</v>
      </c>
      <c r="S72" t="s">
        <v>134</v>
      </c>
      <c r="T72" t="s">
        <v>134</v>
      </c>
      <c r="U72" t="s">
        <v>134</v>
      </c>
      <c r="V72" t="s">
        <v>134</v>
      </c>
      <c r="W72" t="s">
        <v>134</v>
      </c>
      <c r="X72" t="s">
        <v>134</v>
      </c>
      <c r="Y72" t="s">
        <v>134</v>
      </c>
      <c r="Z72" t="s">
        <v>134</v>
      </c>
      <c r="AA72" t="s">
        <v>134</v>
      </c>
      <c r="AB72" t="s">
        <v>134</v>
      </c>
      <c r="AC72" t="s">
        <v>134</v>
      </c>
      <c r="AD72" t="s">
        <v>134</v>
      </c>
      <c r="AE72" t="s">
        <v>134</v>
      </c>
      <c r="AF72" t="s">
        <v>134</v>
      </c>
      <c r="AG72" t="s">
        <v>134</v>
      </c>
      <c r="AH72" t="s">
        <v>134</v>
      </c>
      <c r="AI72" t="s">
        <v>134</v>
      </c>
      <c r="AJ72" t="s">
        <v>134</v>
      </c>
      <c r="AK72" t="s">
        <v>134</v>
      </c>
      <c r="AL72" t="s">
        <v>134</v>
      </c>
      <c r="AM72" t="s">
        <v>134</v>
      </c>
      <c r="AN72" t="s">
        <v>134</v>
      </c>
      <c r="AO72" t="s">
        <v>134</v>
      </c>
      <c r="AP72" t="s">
        <v>134</v>
      </c>
      <c r="AQ72" t="s">
        <v>134</v>
      </c>
      <c r="AR72" t="s">
        <v>134</v>
      </c>
      <c r="AS72" t="s">
        <v>134</v>
      </c>
      <c r="AT72" t="s">
        <v>134</v>
      </c>
      <c r="AU72" t="s">
        <v>134</v>
      </c>
      <c r="AV72" t="s">
        <v>134</v>
      </c>
      <c r="AW72" t="s">
        <v>134</v>
      </c>
      <c r="AX72" t="s">
        <v>134</v>
      </c>
      <c r="AY72" t="s">
        <v>134</v>
      </c>
      <c r="AZ72" t="s">
        <v>134</v>
      </c>
      <c r="BA72" t="s">
        <v>134</v>
      </c>
      <c r="BB72" t="s">
        <v>134</v>
      </c>
      <c r="BC72" t="s">
        <v>134</v>
      </c>
      <c r="BD72" t="s">
        <v>134</v>
      </c>
      <c r="BE72" t="s">
        <v>134</v>
      </c>
      <c r="BF72" t="s">
        <v>134</v>
      </c>
      <c r="BG72" t="s">
        <v>134</v>
      </c>
      <c r="BH72" t="s">
        <v>134</v>
      </c>
      <c r="BI72" t="s">
        <v>134</v>
      </c>
      <c r="BJ72" t="s">
        <v>134</v>
      </c>
      <c r="BK72" t="s">
        <v>134</v>
      </c>
      <c r="BL72" t="s">
        <v>134</v>
      </c>
      <c r="BM72" t="s">
        <v>134</v>
      </c>
      <c r="BN72" t="s">
        <v>134</v>
      </c>
      <c r="BO72" t="s">
        <v>134</v>
      </c>
      <c r="BP72" t="s">
        <v>134</v>
      </c>
      <c r="BQ72" t="s">
        <v>134</v>
      </c>
      <c r="BR72" t="s">
        <v>134</v>
      </c>
      <c r="BS72" t="s">
        <v>134</v>
      </c>
      <c r="BT72" t="s">
        <v>134</v>
      </c>
      <c r="BU72" t="s">
        <v>134</v>
      </c>
      <c r="BV72" t="s">
        <v>134</v>
      </c>
      <c r="BW72" t="s">
        <v>134</v>
      </c>
      <c r="BX72" t="s">
        <v>134</v>
      </c>
      <c r="BY72" t="s">
        <v>134</v>
      </c>
      <c r="BZ72" t="s">
        <v>134</v>
      </c>
      <c r="CA72" t="s">
        <v>134</v>
      </c>
      <c r="CB72" t="s">
        <v>134</v>
      </c>
      <c r="CC72" t="s">
        <v>134</v>
      </c>
      <c r="CD72" t="s">
        <v>134</v>
      </c>
      <c r="CE72" t="s">
        <v>134</v>
      </c>
      <c r="CF72" t="s">
        <v>134</v>
      </c>
      <c r="CG72" t="s">
        <v>134</v>
      </c>
      <c r="CH72" t="s">
        <v>134</v>
      </c>
      <c r="CI72" t="s">
        <v>134</v>
      </c>
      <c r="CJ72" t="s">
        <v>134</v>
      </c>
      <c r="CK72" t="s">
        <v>134</v>
      </c>
      <c r="CL72" t="s">
        <v>134</v>
      </c>
      <c r="CM72" t="s">
        <v>134</v>
      </c>
      <c r="CN72" t="s">
        <v>134</v>
      </c>
      <c r="CO72" t="s">
        <v>134</v>
      </c>
      <c r="CP72" t="s">
        <v>134</v>
      </c>
      <c r="CQ72" t="s">
        <v>134</v>
      </c>
      <c r="CR72" t="s">
        <v>134</v>
      </c>
      <c r="CS72" t="s">
        <v>134</v>
      </c>
      <c r="CT72" t="s">
        <v>134</v>
      </c>
      <c r="CU72" t="s">
        <v>134</v>
      </c>
      <c r="CV72" t="s">
        <v>134</v>
      </c>
      <c r="CW72" t="s">
        <v>134</v>
      </c>
      <c r="CX72" t="s">
        <v>134</v>
      </c>
      <c r="CY72" t="s">
        <v>134</v>
      </c>
      <c r="CZ72" t="s">
        <v>134</v>
      </c>
      <c r="DA72" t="s">
        <v>134</v>
      </c>
      <c r="DB72" t="s">
        <v>134</v>
      </c>
      <c r="DC72" t="s">
        <v>134</v>
      </c>
      <c r="DD72" t="s">
        <v>134</v>
      </c>
      <c r="DE72" t="s">
        <v>134</v>
      </c>
      <c r="DF72" t="s">
        <v>134</v>
      </c>
      <c r="DG72" t="s">
        <v>134</v>
      </c>
      <c r="DH72" t="s">
        <v>134</v>
      </c>
      <c r="DI72" t="s">
        <v>134</v>
      </c>
    </row>
    <row r="73" spans="1:113" x14ac:dyDescent="0.3">
      <c r="D73" t="s">
        <v>11</v>
      </c>
      <c r="E73" t="s">
        <v>3</v>
      </c>
      <c r="F73">
        <v>16.21</v>
      </c>
      <c r="G73">
        <v>1.8016999999999999</v>
      </c>
      <c r="H73">
        <v>6.7717000000000001</v>
      </c>
      <c r="I73">
        <v>12.4277</v>
      </c>
      <c r="J73" t="s">
        <v>134</v>
      </c>
      <c r="K73">
        <v>29.442499999999999</v>
      </c>
      <c r="L73">
        <v>36.658200000000001</v>
      </c>
      <c r="M73">
        <v>16.367899999999999</v>
      </c>
      <c r="N73">
        <v>29.442499999999999</v>
      </c>
      <c r="O73">
        <v>29.442499999999999</v>
      </c>
      <c r="P73">
        <v>29.442499999999999</v>
      </c>
      <c r="Q73">
        <v>0</v>
      </c>
      <c r="R73">
        <v>12.4839</v>
      </c>
      <c r="S73">
        <v>14.186400000000001</v>
      </c>
      <c r="T73">
        <v>18.591000000000001</v>
      </c>
      <c r="U73" t="s">
        <v>134</v>
      </c>
      <c r="V73">
        <v>25.736499999999999</v>
      </c>
      <c r="W73">
        <v>25.736499999999999</v>
      </c>
      <c r="X73">
        <v>25.273299999999999</v>
      </c>
      <c r="Y73">
        <v>25</v>
      </c>
      <c r="Z73" t="s">
        <v>134</v>
      </c>
      <c r="AA73" t="s">
        <v>134</v>
      </c>
      <c r="AB73">
        <v>0.2636</v>
      </c>
      <c r="AC73">
        <v>24.056999999999999</v>
      </c>
      <c r="AD73" t="s">
        <v>134</v>
      </c>
      <c r="AE73" t="s">
        <v>134</v>
      </c>
      <c r="AF73" t="s">
        <v>134</v>
      </c>
      <c r="AG73">
        <v>11.211600000000001</v>
      </c>
      <c r="AH73">
        <v>68.980099999999993</v>
      </c>
      <c r="AI73">
        <v>15.4771</v>
      </c>
      <c r="AJ73">
        <v>43.701700000000002</v>
      </c>
      <c r="AK73">
        <v>15.077999999999999</v>
      </c>
      <c r="AL73" t="s">
        <v>134</v>
      </c>
      <c r="AM73">
        <v>21.428899999999999</v>
      </c>
      <c r="AN73" t="s">
        <v>134</v>
      </c>
      <c r="AO73">
        <v>17.997700000000002</v>
      </c>
      <c r="AP73">
        <v>27.7164</v>
      </c>
      <c r="AQ73">
        <v>22.726199999999999</v>
      </c>
      <c r="AR73">
        <v>20.112400000000001</v>
      </c>
      <c r="AS73" t="s">
        <v>134</v>
      </c>
      <c r="AT73" t="s">
        <v>134</v>
      </c>
      <c r="AU73">
        <v>12.1036</v>
      </c>
      <c r="AV73">
        <v>24.765999999999998</v>
      </c>
      <c r="AW73" t="s">
        <v>134</v>
      </c>
      <c r="AX73" t="s">
        <v>134</v>
      </c>
      <c r="AY73" t="s">
        <v>134</v>
      </c>
      <c r="AZ73">
        <v>-36.341500000000003</v>
      </c>
      <c r="BA73">
        <v>31.7575</v>
      </c>
      <c r="BB73">
        <v>25.593</v>
      </c>
      <c r="BC73">
        <v>29.2044</v>
      </c>
      <c r="BD73">
        <v>22.183700000000002</v>
      </c>
      <c r="BE73" t="s">
        <v>134</v>
      </c>
      <c r="BF73">
        <v>18.591000000000001</v>
      </c>
      <c r="BG73" t="s">
        <v>134</v>
      </c>
      <c r="BH73">
        <v>25.736499999999999</v>
      </c>
      <c r="BI73">
        <v>25.736499999999999</v>
      </c>
      <c r="BJ73">
        <v>25.273299999999999</v>
      </c>
      <c r="BK73">
        <v>25</v>
      </c>
      <c r="BL73" t="s">
        <v>134</v>
      </c>
      <c r="BM73" t="s">
        <v>134</v>
      </c>
      <c r="BN73">
        <v>0.2636</v>
      </c>
      <c r="BO73">
        <v>24.056999999999999</v>
      </c>
      <c r="BP73" t="s">
        <v>134</v>
      </c>
      <c r="BQ73" t="s">
        <v>134</v>
      </c>
      <c r="BR73" t="s">
        <v>134</v>
      </c>
      <c r="BS73">
        <v>11.211600000000001</v>
      </c>
      <c r="BT73">
        <v>68.980099999999993</v>
      </c>
      <c r="BU73">
        <v>15.4771</v>
      </c>
      <c r="BV73">
        <v>43.701700000000002</v>
      </c>
      <c r="BW73">
        <v>15.077999999999999</v>
      </c>
      <c r="BX73" t="s">
        <v>134</v>
      </c>
      <c r="BY73">
        <v>389567.35399999999</v>
      </c>
      <c r="BZ73">
        <v>6676.5720000000001</v>
      </c>
      <c r="CA73">
        <v>382890.78200000001</v>
      </c>
      <c r="CB73" t="s">
        <v>134</v>
      </c>
      <c r="CC73" t="s">
        <v>134</v>
      </c>
      <c r="CD73">
        <v>10.8033</v>
      </c>
      <c r="CE73">
        <v>7.1383999999999999</v>
      </c>
      <c r="CF73" t="s">
        <v>134</v>
      </c>
      <c r="CG73">
        <v>10.7582</v>
      </c>
      <c r="CH73">
        <v>160.5866</v>
      </c>
      <c r="CI73">
        <v>60.969900000000003</v>
      </c>
      <c r="CJ73">
        <v>17.276299999999999</v>
      </c>
      <c r="CK73">
        <v>163.38679999999999</v>
      </c>
      <c r="CL73">
        <v>62.033000000000001</v>
      </c>
      <c r="CM73">
        <v>17.5776</v>
      </c>
      <c r="CN73">
        <v>107.9586</v>
      </c>
      <c r="CO73">
        <v>51.913499999999999</v>
      </c>
      <c r="CP73" t="s">
        <v>134</v>
      </c>
      <c r="CQ73" t="s">
        <v>134</v>
      </c>
      <c r="CR73">
        <v>36059.875</v>
      </c>
      <c r="CS73" t="s">
        <v>134</v>
      </c>
      <c r="CT73" t="s">
        <v>134</v>
      </c>
      <c r="CU73" t="s">
        <v>134</v>
      </c>
      <c r="CV73" t="s">
        <v>134</v>
      </c>
      <c r="CW73" t="s">
        <v>134</v>
      </c>
      <c r="CX73" t="s">
        <v>134</v>
      </c>
      <c r="CY73" t="s">
        <v>134</v>
      </c>
      <c r="CZ73" t="s">
        <v>134</v>
      </c>
      <c r="DA73" t="s">
        <v>134</v>
      </c>
      <c r="DB73" t="s">
        <v>134</v>
      </c>
      <c r="DC73" t="s">
        <v>134</v>
      </c>
      <c r="DD73" t="s">
        <v>134</v>
      </c>
      <c r="DE73" t="s">
        <v>134</v>
      </c>
      <c r="DF73" t="s">
        <v>134</v>
      </c>
      <c r="DG73" t="s">
        <v>134</v>
      </c>
      <c r="DH73" t="s">
        <v>134</v>
      </c>
      <c r="DI73" t="s">
        <v>134</v>
      </c>
    </row>
    <row r="74" spans="1:113" x14ac:dyDescent="0.3">
      <c r="E74" t="s">
        <v>4</v>
      </c>
      <c r="F74" t="s">
        <v>134</v>
      </c>
      <c r="G74" t="s">
        <v>134</v>
      </c>
      <c r="H74" t="s">
        <v>134</v>
      </c>
      <c r="I74" t="s">
        <v>134</v>
      </c>
      <c r="J74" t="s">
        <v>134</v>
      </c>
      <c r="K74" t="s">
        <v>134</v>
      </c>
      <c r="L74" t="s">
        <v>134</v>
      </c>
      <c r="M74" t="s">
        <v>134</v>
      </c>
      <c r="N74" t="s">
        <v>134</v>
      </c>
      <c r="O74" t="s">
        <v>134</v>
      </c>
      <c r="P74" t="s">
        <v>134</v>
      </c>
      <c r="Q74" t="s">
        <v>134</v>
      </c>
      <c r="R74" t="s">
        <v>134</v>
      </c>
      <c r="S74" t="s">
        <v>134</v>
      </c>
      <c r="T74" t="s">
        <v>134</v>
      </c>
      <c r="U74" t="s">
        <v>134</v>
      </c>
      <c r="V74" t="s">
        <v>134</v>
      </c>
      <c r="W74" t="s">
        <v>134</v>
      </c>
      <c r="X74" t="s">
        <v>134</v>
      </c>
      <c r="Y74" t="s">
        <v>134</v>
      </c>
      <c r="Z74" t="s">
        <v>134</v>
      </c>
      <c r="AA74" t="s">
        <v>134</v>
      </c>
      <c r="AB74" t="s">
        <v>134</v>
      </c>
      <c r="AC74" t="s">
        <v>134</v>
      </c>
      <c r="AD74" t="s">
        <v>134</v>
      </c>
      <c r="AE74" t="s">
        <v>134</v>
      </c>
      <c r="AF74" t="s">
        <v>134</v>
      </c>
      <c r="AG74" t="s">
        <v>134</v>
      </c>
      <c r="AH74" t="s">
        <v>134</v>
      </c>
      <c r="AI74" t="s">
        <v>134</v>
      </c>
      <c r="AJ74" t="s">
        <v>134</v>
      </c>
      <c r="AK74" t="s">
        <v>134</v>
      </c>
      <c r="AL74" t="s">
        <v>134</v>
      </c>
      <c r="AM74" t="s">
        <v>134</v>
      </c>
      <c r="AN74" t="s">
        <v>134</v>
      </c>
      <c r="AO74" t="s">
        <v>134</v>
      </c>
      <c r="AP74" t="s">
        <v>134</v>
      </c>
      <c r="AQ74" t="s">
        <v>134</v>
      </c>
      <c r="AR74" t="s">
        <v>134</v>
      </c>
      <c r="AS74" t="s">
        <v>134</v>
      </c>
      <c r="AT74" t="s">
        <v>134</v>
      </c>
      <c r="AU74" t="s">
        <v>134</v>
      </c>
      <c r="AV74" t="s">
        <v>134</v>
      </c>
      <c r="AW74" t="s">
        <v>134</v>
      </c>
      <c r="AX74" t="s">
        <v>134</v>
      </c>
      <c r="AY74" t="s">
        <v>134</v>
      </c>
      <c r="AZ74" t="s">
        <v>134</v>
      </c>
      <c r="BA74" t="s">
        <v>134</v>
      </c>
      <c r="BB74" t="s">
        <v>134</v>
      </c>
      <c r="BC74" t="s">
        <v>134</v>
      </c>
      <c r="BD74" t="s">
        <v>134</v>
      </c>
      <c r="BE74" t="s">
        <v>134</v>
      </c>
      <c r="BF74" t="s">
        <v>134</v>
      </c>
      <c r="BG74" t="s">
        <v>134</v>
      </c>
      <c r="BH74" t="s">
        <v>134</v>
      </c>
      <c r="BI74" t="s">
        <v>134</v>
      </c>
      <c r="BJ74" t="s">
        <v>134</v>
      </c>
      <c r="BK74" t="s">
        <v>134</v>
      </c>
      <c r="BL74" t="s">
        <v>134</v>
      </c>
      <c r="BM74" t="s">
        <v>134</v>
      </c>
      <c r="BN74" t="s">
        <v>134</v>
      </c>
      <c r="BO74" t="s">
        <v>134</v>
      </c>
      <c r="BP74" t="s">
        <v>134</v>
      </c>
      <c r="BQ74" t="s">
        <v>134</v>
      </c>
      <c r="BR74" t="s">
        <v>134</v>
      </c>
      <c r="BS74" t="s">
        <v>134</v>
      </c>
      <c r="BT74" t="s">
        <v>134</v>
      </c>
      <c r="BU74" t="s">
        <v>134</v>
      </c>
      <c r="BV74" t="s">
        <v>134</v>
      </c>
      <c r="BW74" t="s">
        <v>134</v>
      </c>
      <c r="BX74" t="s">
        <v>134</v>
      </c>
      <c r="BY74" t="s">
        <v>134</v>
      </c>
      <c r="BZ74" t="s">
        <v>134</v>
      </c>
      <c r="CA74" t="s">
        <v>134</v>
      </c>
      <c r="CB74" t="s">
        <v>134</v>
      </c>
      <c r="CC74" t="s">
        <v>134</v>
      </c>
      <c r="CD74" t="s">
        <v>134</v>
      </c>
      <c r="CE74" t="s">
        <v>134</v>
      </c>
      <c r="CF74" t="s">
        <v>134</v>
      </c>
      <c r="CG74" t="s">
        <v>134</v>
      </c>
      <c r="CH74" t="s">
        <v>134</v>
      </c>
      <c r="CI74" t="s">
        <v>134</v>
      </c>
      <c r="CJ74" t="s">
        <v>134</v>
      </c>
      <c r="CK74" t="s">
        <v>134</v>
      </c>
      <c r="CL74" t="s">
        <v>134</v>
      </c>
      <c r="CM74" t="s">
        <v>134</v>
      </c>
      <c r="CN74" t="s">
        <v>134</v>
      </c>
      <c r="CO74" t="s">
        <v>134</v>
      </c>
      <c r="CP74" t="s">
        <v>134</v>
      </c>
      <c r="CQ74" t="s">
        <v>134</v>
      </c>
      <c r="CR74" t="s">
        <v>134</v>
      </c>
      <c r="CS74" t="s">
        <v>134</v>
      </c>
      <c r="CT74" t="s">
        <v>134</v>
      </c>
      <c r="CU74" t="s">
        <v>134</v>
      </c>
      <c r="CV74" t="s">
        <v>134</v>
      </c>
      <c r="CW74" t="s">
        <v>134</v>
      </c>
      <c r="CX74" t="s">
        <v>134</v>
      </c>
      <c r="CY74" t="s">
        <v>134</v>
      </c>
      <c r="CZ74" t="s">
        <v>134</v>
      </c>
      <c r="DA74" t="s">
        <v>134</v>
      </c>
      <c r="DB74" t="s">
        <v>134</v>
      </c>
      <c r="DC74" t="s">
        <v>134</v>
      </c>
      <c r="DD74" t="s">
        <v>134</v>
      </c>
      <c r="DE74" t="s">
        <v>134</v>
      </c>
      <c r="DF74" t="s">
        <v>134</v>
      </c>
      <c r="DG74" t="s">
        <v>134</v>
      </c>
      <c r="DH74" t="s">
        <v>134</v>
      </c>
      <c r="DI74" t="s">
        <v>134</v>
      </c>
    </row>
    <row r="75" spans="1:113" x14ac:dyDescent="0.3">
      <c r="E75" t="s">
        <v>5</v>
      </c>
      <c r="F75" t="s">
        <v>134</v>
      </c>
      <c r="G75" t="s">
        <v>134</v>
      </c>
      <c r="H75" t="s">
        <v>134</v>
      </c>
      <c r="I75" t="s">
        <v>134</v>
      </c>
      <c r="J75" t="s">
        <v>134</v>
      </c>
      <c r="K75" t="s">
        <v>134</v>
      </c>
      <c r="L75" t="s">
        <v>134</v>
      </c>
      <c r="M75" t="s">
        <v>134</v>
      </c>
      <c r="N75" t="s">
        <v>134</v>
      </c>
      <c r="O75" t="s">
        <v>134</v>
      </c>
      <c r="P75" t="s">
        <v>134</v>
      </c>
      <c r="Q75" t="s">
        <v>134</v>
      </c>
      <c r="R75" t="s">
        <v>134</v>
      </c>
      <c r="S75" t="s">
        <v>134</v>
      </c>
      <c r="T75" t="s">
        <v>134</v>
      </c>
      <c r="U75" t="s">
        <v>134</v>
      </c>
      <c r="V75" t="s">
        <v>134</v>
      </c>
      <c r="W75" t="s">
        <v>134</v>
      </c>
      <c r="X75" t="s">
        <v>134</v>
      </c>
      <c r="Y75" t="s">
        <v>134</v>
      </c>
      <c r="Z75" t="s">
        <v>134</v>
      </c>
      <c r="AA75" t="s">
        <v>134</v>
      </c>
      <c r="AB75" t="s">
        <v>134</v>
      </c>
      <c r="AC75" t="s">
        <v>134</v>
      </c>
      <c r="AD75" t="s">
        <v>134</v>
      </c>
      <c r="AE75" t="s">
        <v>134</v>
      </c>
      <c r="AF75" t="s">
        <v>134</v>
      </c>
      <c r="AG75" t="s">
        <v>134</v>
      </c>
      <c r="AH75" t="s">
        <v>134</v>
      </c>
      <c r="AI75" t="s">
        <v>134</v>
      </c>
      <c r="AJ75" t="s">
        <v>134</v>
      </c>
      <c r="AK75" t="s">
        <v>134</v>
      </c>
      <c r="AL75" t="s">
        <v>134</v>
      </c>
      <c r="AM75" t="s">
        <v>134</v>
      </c>
      <c r="AN75" t="s">
        <v>134</v>
      </c>
      <c r="AO75" t="s">
        <v>134</v>
      </c>
      <c r="AP75" t="s">
        <v>134</v>
      </c>
      <c r="AQ75" t="s">
        <v>134</v>
      </c>
      <c r="AR75" t="s">
        <v>134</v>
      </c>
      <c r="AS75" t="s">
        <v>134</v>
      </c>
      <c r="AT75" t="s">
        <v>134</v>
      </c>
      <c r="AU75" t="s">
        <v>134</v>
      </c>
      <c r="AV75" t="s">
        <v>134</v>
      </c>
      <c r="AW75" t="s">
        <v>134</v>
      </c>
      <c r="AX75" t="s">
        <v>134</v>
      </c>
      <c r="AY75" t="s">
        <v>134</v>
      </c>
      <c r="AZ75" t="s">
        <v>134</v>
      </c>
      <c r="BA75" t="s">
        <v>134</v>
      </c>
      <c r="BB75" t="s">
        <v>134</v>
      </c>
      <c r="BC75" t="s">
        <v>134</v>
      </c>
      <c r="BD75" t="s">
        <v>134</v>
      </c>
      <c r="BE75" t="s">
        <v>134</v>
      </c>
      <c r="BF75" t="s">
        <v>134</v>
      </c>
      <c r="BG75" t="s">
        <v>134</v>
      </c>
      <c r="BH75" t="s">
        <v>134</v>
      </c>
      <c r="BI75" t="s">
        <v>134</v>
      </c>
      <c r="BJ75" t="s">
        <v>134</v>
      </c>
      <c r="BK75" t="s">
        <v>134</v>
      </c>
      <c r="BL75" t="s">
        <v>134</v>
      </c>
      <c r="BM75" t="s">
        <v>134</v>
      </c>
      <c r="BN75" t="s">
        <v>134</v>
      </c>
      <c r="BO75" t="s">
        <v>134</v>
      </c>
      <c r="BP75" t="s">
        <v>134</v>
      </c>
      <c r="BQ75" t="s">
        <v>134</v>
      </c>
      <c r="BR75" t="s">
        <v>134</v>
      </c>
      <c r="BS75" t="s">
        <v>134</v>
      </c>
      <c r="BT75" t="s">
        <v>134</v>
      </c>
      <c r="BU75" t="s">
        <v>134</v>
      </c>
      <c r="BV75" t="s">
        <v>134</v>
      </c>
      <c r="BW75" t="s">
        <v>134</v>
      </c>
      <c r="BX75" t="s">
        <v>134</v>
      </c>
      <c r="BY75" t="s">
        <v>134</v>
      </c>
      <c r="BZ75" t="s">
        <v>134</v>
      </c>
      <c r="CA75" t="s">
        <v>134</v>
      </c>
      <c r="CB75" t="s">
        <v>134</v>
      </c>
      <c r="CC75" t="s">
        <v>134</v>
      </c>
      <c r="CD75" t="s">
        <v>134</v>
      </c>
      <c r="CE75" t="s">
        <v>134</v>
      </c>
      <c r="CF75" t="s">
        <v>134</v>
      </c>
      <c r="CG75" t="s">
        <v>134</v>
      </c>
      <c r="CH75" t="s">
        <v>134</v>
      </c>
      <c r="CI75" t="s">
        <v>134</v>
      </c>
      <c r="CJ75" t="s">
        <v>134</v>
      </c>
      <c r="CK75" t="s">
        <v>134</v>
      </c>
      <c r="CL75" t="s">
        <v>134</v>
      </c>
      <c r="CM75" t="s">
        <v>134</v>
      </c>
      <c r="CN75" t="s">
        <v>134</v>
      </c>
      <c r="CO75" t="s">
        <v>134</v>
      </c>
      <c r="CP75" t="s">
        <v>134</v>
      </c>
      <c r="CQ75" t="s">
        <v>134</v>
      </c>
      <c r="CR75" t="s">
        <v>134</v>
      </c>
      <c r="CS75" t="s">
        <v>134</v>
      </c>
      <c r="CT75" t="s">
        <v>134</v>
      </c>
      <c r="CU75" t="s">
        <v>134</v>
      </c>
      <c r="CV75" t="s">
        <v>134</v>
      </c>
      <c r="CW75" t="s">
        <v>134</v>
      </c>
      <c r="CX75" t="s">
        <v>134</v>
      </c>
      <c r="CY75" t="s">
        <v>134</v>
      </c>
      <c r="CZ75" t="s">
        <v>134</v>
      </c>
      <c r="DA75" t="s">
        <v>134</v>
      </c>
      <c r="DB75" t="s">
        <v>134</v>
      </c>
      <c r="DC75" t="s">
        <v>134</v>
      </c>
      <c r="DD75" t="s">
        <v>134</v>
      </c>
      <c r="DE75" t="s">
        <v>134</v>
      </c>
      <c r="DF75" t="s">
        <v>134</v>
      </c>
      <c r="DG75" t="s">
        <v>134</v>
      </c>
      <c r="DH75" t="s">
        <v>134</v>
      </c>
      <c r="DI75" t="s">
        <v>134</v>
      </c>
    </row>
    <row r="76" spans="1:113" x14ac:dyDescent="0.3">
      <c r="E76" t="s">
        <v>6</v>
      </c>
      <c r="F76" t="s">
        <v>134</v>
      </c>
      <c r="G76" t="s">
        <v>134</v>
      </c>
      <c r="H76" t="s">
        <v>134</v>
      </c>
      <c r="I76" t="s">
        <v>134</v>
      </c>
      <c r="J76" t="s">
        <v>134</v>
      </c>
      <c r="K76" t="s">
        <v>134</v>
      </c>
      <c r="L76" t="s">
        <v>134</v>
      </c>
      <c r="M76" t="s">
        <v>134</v>
      </c>
      <c r="N76" t="s">
        <v>134</v>
      </c>
      <c r="O76" t="s">
        <v>134</v>
      </c>
      <c r="P76" t="s">
        <v>134</v>
      </c>
      <c r="Q76" t="s">
        <v>134</v>
      </c>
      <c r="R76" t="s">
        <v>134</v>
      </c>
      <c r="S76" t="s">
        <v>134</v>
      </c>
      <c r="T76" t="s">
        <v>134</v>
      </c>
      <c r="U76" t="s">
        <v>134</v>
      </c>
      <c r="V76" t="s">
        <v>134</v>
      </c>
      <c r="W76" t="s">
        <v>134</v>
      </c>
      <c r="X76" t="s">
        <v>134</v>
      </c>
      <c r="Y76" t="s">
        <v>134</v>
      </c>
      <c r="Z76" t="s">
        <v>134</v>
      </c>
      <c r="AA76" t="s">
        <v>134</v>
      </c>
      <c r="AB76" t="s">
        <v>134</v>
      </c>
      <c r="AC76" t="s">
        <v>134</v>
      </c>
      <c r="AD76" t="s">
        <v>134</v>
      </c>
      <c r="AE76" t="s">
        <v>134</v>
      </c>
      <c r="AF76" t="s">
        <v>134</v>
      </c>
      <c r="AG76" t="s">
        <v>134</v>
      </c>
      <c r="AH76" t="s">
        <v>134</v>
      </c>
      <c r="AI76" t="s">
        <v>134</v>
      </c>
      <c r="AJ76" t="s">
        <v>134</v>
      </c>
      <c r="AK76" t="s">
        <v>134</v>
      </c>
      <c r="AL76" t="s">
        <v>134</v>
      </c>
      <c r="AM76" t="s">
        <v>134</v>
      </c>
      <c r="AN76" t="s">
        <v>134</v>
      </c>
      <c r="AO76" t="s">
        <v>134</v>
      </c>
      <c r="AP76" t="s">
        <v>134</v>
      </c>
      <c r="AQ76" t="s">
        <v>134</v>
      </c>
      <c r="AR76" t="s">
        <v>134</v>
      </c>
      <c r="AS76" t="s">
        <v>134</v>
      </c>
      <c r="AT76" t="s">
        <v>134</v>
      </c>
      <c r="AU76" t="s">
        <v>134</v>
      </c>
      <c r="AV76" t="s">
        <v>134</v>
      </c>
      <c r="AW76" t="s">
        <v>134</v>
      </c>
      <c r="AX76" t="s">
        <v>134</v>
      </c>
      <c r="AY76" t="s">
        <v>134</v>
      </c>
      <c r="AZ76" t="s">
        <v>134</v>
      </c>
      <c r="BA76" t="s">
        <v>134</v>
      </c>
      <c r="BB76" t="s">
        <v>134</v>
      </c>
      <c r="BC76" t="s">
        <v>134</v>
      </c>
      <c r="BD76" t="s">
        <v>134</v>
      </c>
      <c r="BE76" t="s">
        <v>134</v>
      </c>
      <c r="BF76" t="s">
        <v>134</v>
      </c>
      <c r="BG76" t="s">
        <v>134</v>
      </c>
      <c r="BH76" t="s">
        <v>134</v>
      </c>
      <c r="BI76" t="s">
        <v>134</v>
      </c>
      <c r="BJ76" t="s">
        <v>134</v>
      </c>
      <c r="BK76" t="s">
        <v>134</v>
      </c>
      <c r="BL76" t="s">
        <v>134</v>
      </c>
      <c r="BM76" t="s">
        <v>134</v>
      </c>
      <c r="BN76" t="s">
        <v>134</v>
      </c>
      <c r="BO76" t="s">
        <v>134</v>
      </c>
      <c r="BP76" t="s">
        <v>134</v>
      </c>
      <c r="BQ76" t="s">
        <v>134</v>
      </c>
      <c r="BR76" t="s">
        <v>134</v>
      </c>
      <c r="BS76" t="s">
        <v>134</v>
      </c>
      <c r="BT76" t="s">
        <v>134</v>
      </c>
      <c r="BU76" t="s">
        <v>134</v>
      </c>
      <c r="BV76" t="s">
        <v>134</v>
      </c>
      <c r="BW76" t="s">
        <v>134</v>
      </c>
      <c r="BX76" t="s">
        <v>134</v>
      </c>
      <c r="BY76" t="s">
        <v>134</v>
      </c>
      <c r="BZ76" t="s">
        <v>134</v>
      </c>
      <c r="CA76" t="s">
        <v>134</v>
      </c>
      <c r="CB76" t="s">
        <v>134</v>
      </c>
      <c r="CC76" t="s">
        <v>134</v>
      </c>
      <c r="CD76" t="s">
        <v>134</v>
      </c>
      <c r="CE76" t="s">
        <v>134</v>
      </c>
      <c r="CF76" t="s">
        <v>134</v>
      </c>
      <c r="CG76" t="s">
        <v>134</v>
      </c>
      <c r="CH76" t="s">
        <v>134</v>
      </c>
      <c r="CI76" t="s">
        <v>134</v>
      </c>
      <c r="CJ76" t="s">
        <v>134</v>
      </c>
      <c r="CK76" t="s">
        <v>134</v>
      </c>
      <c r="CL76" t="s">
        <v>134</v>
      </c>
      <c r="CM76" t="s">
        <v>134</v>
      </c>
      <c r="CN76" t="s">
        <v>134</v>
      </c>
      <c r="CO76" t="s">
        <v>134</v>
      </c>
      <c r="CP76" t="s">
        <v>134</v>
      </c>
      <c r="CQ76" t="s">
        <v>134</v>
      </c>
      <c r="CR76" t="s">
        <v>134</v>
      </c>
      <c r="CS76" t="s">
        <v>134</v>
      </c>
      <c r="CT76" t="s">
        <v>134</v>
      </c>
      <c r="CU76" t="s">
        <v>134</v>
      </c>
      <c r="CV76" t="s">
        <v>134</v>
      </c>
      <c r="CW76" t="s">
        <v>134</v>
      </c>
      <c r="CX76" t="s">
        <v>134</v>
      </c>
      <c r="CY76" t="s">
        <v>134</v>
      </c>
      <c r="CZ76" t="s">
        <v>134</v>
      </c>
      <c r="DA76" t="s">
        <v>134</v>
      </c>
      <c r="DB76" t="s">
        <v>134</v>
      </c>
      <c r="DC76" t="s">
        <v>134</v>
      </c>
      <c r="DD76" t="s">
        <v>134</v>
      </c>
      <c r="DE76" t="s">
        <v>134</v>
      </c>
      <c r="DF76" t="s">
        <v>134</v>
      </c>
      <c r="DG76" t="s">
        <v>134</v>
      </c>
      <c r="DH76" t="s">
        <v>134</v>
      </c>
      <c r="DI76" t="s">
        <v>134</v>
      </c>
    </row>
    <row r="77" spans="1:113" x14ac:dyDescent="0.3">
      <c r="E77" t="s">
        <v>7</v>
      </c>
      <c r="F77" t="s">
        <v>134</v>
      </c>
      <c r="G77" t="s">
        <v>134</v>
      </c>
      <c r="H77" t="s">
        <v>134</v>
      </c>
      <c r="I77" t="s">
        <v>134</v>
      </c>
      <c r="J77" t="s">
        <v>134</v>
      </c>
      <c r="K77" t="s">
        <v>134</v>
      </c>
      <c r="L77" t="s">
        <v>134</v>
      </c>
      <c r="M77" t="s">
        <v>134</v>
      </c>
      <c r="N77" t="s">
        <v>134</v>
      </c>
      <c r="O77" t="s">
        <v>134</v>
      </c>
      <c r="P77" t="s">
        <v>134</v>
      </c>
      <c r="Q77" t="s">
        <v>134</v>
      </c>
      <c r="R77" t="s">
        <v>134</v>
      </c>
      <c r="S77" t="s">
        <v>134</v>
      </c>
      <c r="T77" t="s">
        <v>134</v>
      </c>
      <c r="U77" t="s">
        <v>134</v>
      </c>
      <c r="V77" t="s">
        <v>134</v>
      </c>
      <c r="W77" t="s">
        <v>134</v>
      </c>
      <c r="X77" t="s">
        <v>134</v>
      </c>
      <c r="Y77" t="s">
        <v>134</v>
      </c>
      <c r="Z77" t="s">
        <v>134</v>
      </c>
      <c r="AA77" t="s">
        <v>134</v>
      </c>
      <c r="AB77" t="s">
        <v>134</v>
      </c>
      <c r="AC77" t="s">
        <v>134</v>
      </c>
      <c r="AD77" t="s">
        <v>134</v>
      </c>
      <c r="AE77" t="s">
        <v>134</v>
      </c>
      <c r="AF77" t="s">
        <v>134</v>
      </c>
      <c r="AG77" t="s">
        <v>134</v>
      </c>
      <c r="AH77" t="s">
        <v>134</v>
      </c>
      <c r="AI77" t="s">
        <v>134</v>
      </c>
      <c r="AJ77" t="s">
        <v>134</v>
      </c>
      <c r="AK77" t="s">
        <v>134</v>
      </c>
      <c r="AL77" t="s">
        <v>134</v>
      </c>
      <c r="AM77" t="s">
        <v>134</v>
      </c>
      <c r="AN77" t="s">
        <v>134</v>
      </c>
      <c r="AO77" t="s">
        <v>134</v>
      </c>
      <c r="AP77" t="s">
        <v>134</v>
      </c>
      <c r="AQ77" t="s">
        <v>134</v>
      </c>
      <c r="AR77" t="s">
        <v>134</v>
      </c>
      <c r="AS77" t="s">
        <v>134</v>
      </c>
      <c r="AT77" t="s">
        <v>134</v>
      </c>
      <c r="AU77" t="s">
        <v>134</v>
      </c>
      <c r="AV77" t="s">
        <v>134</v>
      </c>
      <c r="AW77" t="s">
        <v>134</v>
      </c>
      <c r="AX77" t="s">
        <v>134</v>
      </c>
      <c r="AY77" t="s">
        <v>134</v>
      </c>
      <c r="AZ77" t="s">
        <v>134</v>
      </c>
      <c r="BA77" t="s">
        <v>134</v>
      </c>
      <c r="BB77" t="s">
        <v>134</v>
      </c>
      <c r="BC77" t="s">
        <v>134</v>
      </c>
      <c r="BD77" t="s">
        <v>134</v>
      </c>
      <c r="BE77" t="s">
        <v>134</v>
      </c>
      <c r="BF77" t="s">
        <v>134</v>
      </c>
      <c r="BG77" t="s">
        <v>134</v>
      </c>
      <c r="BH77" t="s">
        <v>134</v>
      </c>
      <c r="BI77" t="s">
        <v>134</v>
      </c>
      <c r="BJ77" t="s">
        <v>134</v>
      </c>
      <c r="BK77" t="s">
        <v>134</v>
      </c>
      <c r="BL77" t="s">
        <v>134</v>
      </c>
      <c r="BM77" t="s">
        <v>134</v>
      </c>
      <c r="BN77" t="s">
        <v>134</v>
      </c>
      <c r="BO77" t="s">
        <v>134</v>
      </c>
      <c r="BP77" t="s">
        <v>134</v>
      </c>
      <c r="BQ77" t="s">
        <v>134</v>
      </c>
      <c r="BR77" t="s">
        <v>134</v>
      </c>
      <c r="BS77" t="s">
        <v>134</v>
      </c>
      <c r="BT77" t="s">
        <v>134</v>
      </c>
      <c r="BU77" t="s">
        <v>134</v>
      </c>
      <c r="BV77" t="s">
        <v>134</v>
      </c>
      <c r="BW77" t="s">
        <v>134</v>
      </c>
      <c r="BX77" t="s">
        <v>134</v>
      </c>
      <c r="BY77" t="s">
        <v>134</v>
      </c>
      <c r="BZ77" t="s">
        <v>134</v>
      </c>
      <c r="CA77" t="s">
        <v>134</v>
      </c>
      <c r="CB77" t="s">
        <v>134</v>
      </c>
      <c r="CC77" t="s">
        <v>134</v>
      </c>
      <c r="CD77" t="s">
        <v>134</v>
      </c>
      <c r="CE77" t="s">
        <v>134</v>
      </c>
      <c r="CF77" t="s">
        <v>134</v>
      </c>
      <c r="CG77" t="s">
        <v>134</v>
      </c>
      <c r="CH77" t="s">
        <v>134</v>
      </c>
      <c r="CI77" t="s">
        <v>134</v>
      </c>
      <c r="CJ77" t="s">
        <v>134</v>
      </c>
      <c r="CK77" t="s">
        <v>134</v>
      </c>
      <c r="CL77" t="s">
        <v>134</v>
      </c>
      <c r="CM77" t="s">
        <v>134</v>
      </c>
      <c r="CN77" t="s">
        <v>134</v>
      </c>
      <c r="CO77" t="s">
        <v>134</v>
      </c>
      <c r="CP77" t="s">
        <v>134</v>
      </c>
      <c r="CQ77" t="s">
        <v>134</v>
      </c>
      <c r="CR77" t="s">
        <v>134</v>
      </c>
      <c r="CS77" t="s">
        <v>134</v>
      </c>
      <c r="CT77" t="s">
        <v>134</v>
      </c>
      <c r="CU77" t="s">
        <v>134</v>
      </c>
      <c r="CV77" t="s">
        <v>134</v>
      </c>
      <c r="CW77" t="s">
        <v>134</v>
      </c>
      <c r="CX77" t="s">
        <v>134</v>
      </c>
      <c r="CY77" t="s">
        <v>134</v>
      </c>
      <c r="CZ77" t="s">
        <v>134</v>
      </c>
      <c r="DA77" t="s">
        <v>134</v>
      </c>
      <c r="DB77" t="s">
        <v>134</v>
      </c>
      <c r="DC77" t="s">
        <v>134</v>
      </c>
      <c r="DD77" t="s">
        <v>134</v>
      </c>
      <c r="DE77" t="s">
        <v>134</v>
      </c>
      <c r="DF77" t="s">
        <v>134</v>
      </c>
      <c r="DG77" t="s">
        <v>134</v>
      </c>
      <c r="DH77" t="s">
        <v>134</v>
      </c>
      <c r="DI77" t="s">
        <v>134</v>
      </c>
    </row>
    <row r="78" spans="1:113" x14ac:dyDescent="0.3">
      <c r="A78">
        <v>54</v>
      </c>
      <c r="B78" t="s">
        <v>16</v>
      </c>
      <c r="C78" t="s">
        <v>17</v>
      </c>
      <c r="D78" t="s">
        <v>2</v>
      </c>
      <c r="E78" t="s">
        <v>3</v>
      </c>
      <c r="F78">
        <v>24.386500000000002</v>
      </c>
      <c r="G78">
        <v>20.5945</v>
      </c>
      <c r="H78">
        <v>24.386500000000002</v>
      </c>
      <c r="I78">
        <v>19.013500000000001</v>
      </c>
      <c r="J78">
        <v>26.3</v>
      </c>
      <c r="K78">
        <v>23.5593</v>
      </c>
      <c r="L78">
        <v>16.767199999999999</v>
      </c>
      <c r="M78">
        <v>29.341999999999999</v>
      </c>
      <c r="N78">
        <v>21.2395</v>
      </c>
      <c r="O78">
        <v>21.2395</v>
      </c>
      <c r="P78">
        <v>21.2395</v>
      </c>
      <c r="Q78">
        <v>27.613900000000001</v>
      </c>
      <c r="R78">
        <v>33.978200000000001</v>
      </c>
      <c r="S78">
        <v>16.1004</v>
      </c>
      <c r="T78">
        <v>24.2392</v>
      </c>
      <c r="U78">
        <v>16.6814</v>
      </c>
      <c r="V78">
        <v>16.124300000000002</v>
      </c>
      <c r="W78">
        <v>13.024100000000001</v>
      </c>
      <c r="X78">
        <v>13.0284</v>
      </c>
      <c r="Y78">
        <v>50</v>
      </c>
      <c r="Z78">
        <v>17.902000000000001</v>
      </c>
      <c r="AA78" t="s">
        <v>134</v>
      </c>
      <c r="AB78">
        <v>21.938800000000001</v>
      </c>
      <c r="AC78">
        <v>23.093399999999999</v>
      </c>
      <c r="AD78">
        <v>18.6249</v>
      </c>
      <c r="AE78">
        <v>16.7224</v>
      </c>
      <c r="AF78">
        <v>-8.4656000000000002</v>
      </c>
      <c r="AG78" t="s">
        <v>134</v>
      </c>
      <c r="AH78" t="s">
        <v>134</v>
      </c>
      <c r="AI78">
        <v>19.431100000000001</v>
      </c>
      <c r="AJ78">
        <v>19.431100000000001</v>
      </c>
      <c r="AK78">
        <v>19.431100000000001</v>
      </c>
      <c r="AL78">
        <v>27.7028</v>
      </c>
      <c r="AM78">
        <v>18.239000000000001</v>
      </c>
      <c r="AN78">
        <v>11.548999999999999</v>
      </c>
      <c r="AO78">
        <v>11.4367</v>
      </c>
      <c r="AP78">
        <v>12.2011</v>
      </c>
      <c r="AQ78">
        <v>12.2796</v>
      </c>
      <c r="AR78">
        <v>21.802</v>
      </c>
      <c r="AS78" t="s">
        <v>134</v>
      </c>
      <c r="AT78" t="s">
        <v>134</v>
      </c>
      <c r="AU78">
        <v>11.0739</v>
      </c>
      <c r="AV78">
        <v>20.8184</v>
      </c>
      <c r="AW78" t="s">
        <v>134</v>
      </c>
      <c r="AX78">
        <v>21.541899999999998</v>
      </c>
      <c r="AY78" t="s">
        <v>134</v>
      </c>
      <c r="AZ78" t="s">
        <v>134</v>
      </c>
      <c r="BA78" t="s">
        <v>134</v>
      </c>
      <c r="BB78">
        <v>21.093800000000002</v>
      </c>
      <c r="BC78">
        <v>21.093800000000002</v>
      </c>
      <c r="BD78">
        <v>21.154299999999999</v>
      </c>
      <c r="BE78">
        <v>14.194100000000001</v>
      </c>
      <c r="BF78">
        <v>24.2392</v>
      </c>
      <c r="BG78">
        <v>16.6814</v>
      </c>
      <c r="BH78">
        <v>16.124300000000002</v>
      </c>
      <c r="BI78">
        <v>13.024100000000001</v>
      </c>
      <c r="BJ78">
        <v>13.0284</v>
      </c>
      <c r="BK78">
        <v>50</v>
      </c>
      <c r="BL78">
        <v>17.902000000000001</v>
      </c>
      <c r="BM78" t="s">
        <v>134</v>
      </c>
      <c r="BN78">
        <v>21.938800000000001</v>
      </c>
      <c r="BO78">
        <v>23.093399999999999</v>
      </c>
      <c r="BP78">
        <v>18.6249</v>
      </c>
      <c r="BQ78">
        <v>16.7224</v>
      </c>
      <c r="BR78">
        <v>-8.4656000000000002</v>
      </c>
      <c r="BS78" t="s">
        <v>134</v>
      </c>
      <c r="BT78" t="s">
        <v>134</v>
      </c>
      <c r="BU78">
        <v>19.431100000000001</v>
      </c>
      <c r="BV78">
        <v>19.431100000000001</v>
      </c>
      <c r="BW78">
        <v>19.431100000000001</v>
      </c>
      <c r="BX78">
        <v>27.7028</v>
      </c>
      <c r="BY78">
        <v>0</v>
      </c>
      <c r="BZ78">
        <v>0</v>
      </c>
      <c r="CA78">
        <v>0</v>
      </c>
      <c r="CB78">
        <v>0</v>
      </c>
      <c r="CC78">
        <v>-1.9681</v>
      </c>
      <c r="CD78">
        <v>0</v>
      </c>
      <c r="CE78">
        <v>-2.1970999999999998</v>
      </c>
      <c r="CF78" t="s">
        <v>134</v>
      </c>
      <c r="CG78">
        <v>83.305599999999998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-54.597099999999998</v>
      </c>
      <c r="CO78">
        <v>-120.25020000000001</v>
      </c>
      <c r="CP78">
        <v>131850</v>
      </c>
      <c r="CQ78">
        <v>104400</v>
      </c>
      <c r="CR78">
        <v>118110</v>
      </c>
      <c r="CS78">
        <v>2.8397999999999999</v>
      </c>
      <c r="CT78">
        <v>4.7077</v>
      </c>
      <c r="CU78">
        <v>3.7537000000000003</v>
      </c>
      <c r="CV78">
        <v>15.371700000000001</v>
      </c>
      <c r="CW78">
        <v>6.4964000000000004</v>
      </c>
      <c r="CX78">
        <v>56.184600000000003</v>
      </c>
      <c r="CY78" t="s">
        <v>134</v>
      </c>
      <c r="CZ78" t="s">
        <v>134</v>
      </c>
      <c r="DA78">
        <v>177.5746</v>
      </c>
      <c r="DB78">
        <v>2.0554999999999999</v>
      </c>
      <c r="DC78" t="s">
        <v>134</v>
      </c>
      <c r="DD78" t="s">
        <v>134</v>
      </c>
      <c r="DE78">
        <v>0</v>
      </c>
      <c r="DF78">
        <v>0</v>
      </c>
      <c r="DG78">
        <v>0</v>
      </c>
      <c r="DH78">
        <v>0</v>
      </c>
      <c r="DI78">
        <v>0</v>
      </c>
    </row>
    <row r="79" spans="1:113" x14ac:dyDescent="0.3">
      <c r="E79" t="s">
        <v>4</v>
      </c>
      <c r="F79">
        <v>26.765000000000001</v>
      </c>
      <c r="G79">
        <v>22.627199999999998</v>
      </c>
      <c r="H79" t="s">
        <v>134</v>
      </c>
      <c r="I79">
        <v>21.013300000000001</v>
      </c>
      <c r="J79">
        <v>26.469100000000001</v>
      </c>
      <c r="K79">
        <v>23.656500000000001</v>
      </c>
      <c r="L79" t="s">
        <v>134</v>
      </c>
      <c r="M79">
        <v>28.679099999999998</v>
      </c>
      <c r="N79">
        <v>20.994499999999999</v>
      </c>
      <c r="O79">
        <v>20.994499999999999</v>
      </c>
      <c r="P79">
        <v>20.994499999999999</v>
      </c>
      <c r="Q79">
        <v>26.795100000000001</v>
      </c>
      <c r="R79">
        <v>92.955399999999997</v>
      </c>
      <c r="S79">
        <v>1.8855</v>
      </c>
      <c r="T79">
        <v>13.6416</v>
      </c>
      <c r="U79">
        <v>-1.4953000000000001</v>
      </c>
      <c r="V79">
        <v>-3.681</v>
      </c>
      <c r="W79">
        <v>0.48080000000000001</v>
      </c>
      <c r="X79">
        <v>0</v>
      </c>
      <c r="Y79">
        <v>-13.793100000000001</v>
      </c>
      <c r="Z79">
        <v>10.8871</v>
      </c>
      <c r="AA79" t="s">
        <v>134</v>
      </c>
      <c r="AB79">
        <v>11.397399999999999</v>
      </c>
      <c r="AC79">
        <v>14.249599999999999</v>
      </c>
      <c r="AD79">
        <v>10.5434</v>
      </c>
      <c r="AE79">
        <v>8.2660999999999998</v>
      </c>
      <c r="AF79">
        <v>71.428600000000003</v>
      </c>
      <c r="AG79" t="s">
        <v>134</v>
      </c>
      <c r="AH79" t="s">
        <v>134</v>
      </c>
      <c r="AI79">
        <v>12.7951</v>
      </c>
      <c r="AJ79">
        <v>12.7951</v>
      </c>
      <c r="AK79">
        <v>12.794</v>
      </c>
      <c r="AL79">
        <v>10.129899999999999</v>
      </c>
      <c r="AM79">
        <v>11.5059</v>
      </c>
      <c r="AN79">
        <v>8.5297000000000001</v>
      </c>
      <c r="AO79">
        <v>8.7256</v>
      </c>
      <c r="AP79">
        <v>6.298</v>
      </c>
      <c r="AQ79">
        <v>6.2149999999999999</v>
      </c>
      <c r="AR79">
        <v>-8.9718</v>
      </c>
      <c r="AS79">
        <v>12.1502</v>
      </c>
      <c r="AT79" t="s">
        <v>134</v>
      </c>
      <c r="AU79">
        <v>2.5714000000000001</v>
      </c>
      <c r="AV79">
        <v>14.3568</v>
      </c>
      <c r="AW79">
        <v>12.069699999999999</v>
      </c>
      <c r="AX79">
        <v>17.292999999999999</v>
      </c>
      <c r="AY79">
        <v>24.5731</v>
      </c>
      <c r="AZ79" t="s">
        <v>134</v>
      </c>
      <c r="BA79" t="s">
        <v>134</v>
      </c>
      <c r="BB79">
        <v>14.1052</v>
      </c>
      <c r="BC79">
        <v>14.1052</v>
      </c>
      <c r="BD79">
        <v>14.1427</v>
      </c>
      <c r="BE79">
        <v>5.077</v>
      </c>
      <c r="BF79">
        <v>3.1856</v>
      </c>
      <c r="BG79">
        <v>7.8666</v>
      </c>
      <c r="BH79">
        <v>9.0990000000000002</v>
      </c>
      <c r="BI79">
        <v>-5.4019000000000004</v>
      </c>
      <c r="BJ79">
        <v>-5.5846</v>
      </c>
      <c r="BK79" t="s">
        <v>134</v>
      </c>
      <c r="BL79">
        <v>5.77</v>
      </c>
      <c r="BM79" t="s">
        <v>134</v>
      </c>
      <c r="BN79">
        <v>-5.3167</v>
      </c>
      <c r="BO79">
        <v>-4.4329000000000001</v>
      </c>
      <c r="BP79">
        <v>7.7213000000000003</v>
      </c>
      <c r="BQ79">
        <v>-6.8235000000000001</v>
      </c>
      <c r="BR79">
        <v>-65.406300000000002</v>
      </c>
      <c r="BS79" t="s">
        <v>134</v>
      </c>
      <c r="BT79" t="s">
        <v>134</v>
      </c>
      <c r="BU79">
        <v>-6.4649000000000001</v>
      </c>
      <c r="BV79">
        <v>-6.4649000000000001</v>
      </c>
      <c r="BW79">
        <v>-6.4649000000000001</v>
      </c>
      <c r="BX79">
        <v>8.0999999999999996E-3</v>
      </c>
      <c r="BY79">
        <v>0</v>
      </c>
      <c r="BZ79">
        <v>0</v>
      </c>
      <c r="CA79">
        <v>0</v>
      </c>
      <c r="CB79">
        <v>0</v>
      </c>
      <c r="CC79">
        <v>-1.7075</v>
      </c>
      <c r="CD79">
        <v>0</v>
      </c>
      <c r="CE79">
        <v>-1.9060000000000001</v>
      </c>
      <c r="CF79" t="s">
        <v>134</v>
      </c>
      <c r="CG79">
        <v>84.034400000000005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-52.049199999999999</v>
      </c>
      <c r="CO79">
        <v>-108.547</v>
      </c>
      <c r="CP79">
        <v>29502.006799999999</v>
      </c>
      <c r="CQ79">
        <v>24631.656500000001</v>
      </c>
      <c r="CR79">
        <v>26367.0687</v>
      </c>
      <c r="CS79">
        <v>2.8677000000000001</v>
      </c>
      <c r="CT79">
        <v>5.0031999999999996</v>
      </c>
      <c r="CU79">
        <v>3.9765999999999999</v>
      </c>
      <c r="CV79">
        <v>14.9489</v>
      </c>
      <c r="CW79">
        <v>5.8344000000000005</v>
      </c>
      <c r="CX79">
        <v>62.5595</v>
      </c>
      <c r="CY79" t="s">
        <v>134</v>
      </c>
      <c r="CZ79" t="s">
        <v>134</v>
      </c>
      <c r="DA79">
        <v>512.47059999999999</v>
      </c>
      <c r="DB79">
        <v>0.71220000000000006</v>
      </c>
      <c r="DC79" t="s">
        <v>134</v>
      </c>
      <c r="DD79" t="s">
        <v>134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 x14ac:dyDescent="0.3">
      <c r="E80" t="s">
        <v>5</v>
      </c>
      <c r="F80">
        <v>24.456600000000002</v>
      </c>
      <c r="G80">
        <v>20.605399999999999</v>
      </c>
      <c r="H80" t="s">
        <v>134</v>
      </c>
      <c r="I80">
        <v>19.4666</v>
      </c>
      <c r="J80">
        <v>23.765699999999999</v>
      </c>
      <c r="K80">
        <v>21.152000000000001</v>
      </c>
      <c r="L80" t="s">
        <v>134</v>
      </c>
      <c r="M80">
        <v>25.7502</v>
      </c>
      <c r="N80">
        <v>18.5382</v>
      </c>
      <c r="O80">
        <v>18.5382</v>
      </c>
      <c r="P80">
        <v>18.5382</v>
      </c>
      <c r="Q80">
        <v>28.0075</v>
      </c>
      <c r="R80">
        <v>0</v>
      </c>
      <c r="S80">
        <v>24.456600000000002</v>
      </c>
      <c r="T80">
        <v>14.9694</v>
      </c>
      <c r="U80">
        <v>-5.9386999999999999</v>
      </c>
      <c r="V80">
        <v>-7.4153000000000002</v>
      </c>
      <c r="W80">
        <v>-11.136900000000001</v>
      </c>
      <c r="X80">
        <v>-10.666700000000001</v>
      </c>
      <c r="Y80" t="s">
        <v>134</v>
      </c>
      <c r="Z80">
        <v>5.4588999999999999</v>
      </c>
      <c r="AA80" t="s">
        <v>134</v>
      </c>
      <c r="AB80">
        <v>2.0966</v>
      </c>
      <c r="AC80">
        <v>6.5743999999999998</v>
      </c>
      <c r="AD80">
        <v>4.6899999999999995</v>
      </c>
      <c r="AE80">
        <v>-5.4978999999999996</v>
      </c>
      <c r="AF80">
        <v>166.66669999999999</v>
      </c>
      <c r="AG80" t="s">
        <v>134</v>
      </c>
      <c r="AH80" t="s">
        <v>134</v>
      </c>
      <c r="AI80">
        <v>1.2770000000000001</v>
      </c>
      <c r="AJ80">
        <v>1.2770000000000001</v>
      </c>
      <c r="AK80">
        <v>1.2763</v>
      </c>
      <c r="AL80">
        <v>24.611999999999998</v>
      </c>
      <c r="AM80">
        <v>11.183199999999999</v>
      </c>
      <c r="AN80">
        <v>4.0808999999999997</v>
      </c>
      <c r="AO80">
        <v>3.895</v>
      </c>
      <c r="AP80">
        <v>3.6597</v>
      </c>
      <c r="AQ80">
        <v>3.6518999999999999</v>
      </c>
      <c r="AR80" t="s">
        <v>134</v>
      </c>
      <c r="AS80">
        <v>12.1004</v>
      </c>
      <c r="AT80" t="s">
        <v>134</v>
      </c>
      <c r="AU80">
        <v>3.3689999999999998</v>
      </c>
      <c r="AV80">
        <v>15.0319</v>
      </c>
      <c r="AW80">
        <v>11.979100000000001</v>
      </c>
      <c r="AX80">
        <v>16.345700000000001</v>
      </c>
      <c r="AY80">
        <v>26.191500000000001</v>
      </c>
      <c r="AZ80" t="s">
        <v>134</v>
      </c>
      <c r="BA80" t="s">
        <v>134</v>
      </c>
      <c r="BB80">
        <v>14.2926</v>
      </c>
      <c r="BC80">
        <v>14.2926</v>
      </c>
      <c r="BD80">
        <v>14.336500000000001</v>
      </c>
      <c r="BE80">
        <v>8.7782</v>
      </c>
      <c r="BF80">
        <v>3.7669999999999999</v>
      </c>
      <c r="BG80">
        <v>-6.8311000000000002</v>
      </c>
      <c r="BH80">
        <v>-7.2187000000000001</v>
      </c>
      <c r="BI80">
        <v>-8.3732000000000006</v>
      </c>
      <c r="BJ80">
        <v>-8.2192000000000007</v>
      </c>
      <c r="BK80">
        <v>-100</v>
      </c>
      <c r="BL80">
        <v>-3.0545</v>
      </c>
      <c r="BM80" t="s">
        <v>134</v>
      </c>
      <c r="BN80">
        <v>-0.35589999999999999</v>
      </c>
      <c r="BO80">
        <v>3.2841</v>
      </c>
      <c r="BP80">
        <v>-3.3749000000000002</v>
      </c>
      <c r="BQ80">
        <v>-0.96699999999999997</v>
      </c>
      <c r="BR80">
        <v>33.333300000000001</v>
      </c>
      <c r="BS80" t="s">
        <v>134</v>
      </c>
      <c r="BT80" t="s">
        <v>134</v>
      </c>
      <c r="BU80">
        <v>0.99529999999999996</v>
      </c>
      <c r="BV80">
        <v>0.99529999999999996</v>
      </c>
      <c r="BW80">
        <v>0.99529999999999996</v>
      </c>
      <c r="BX80">
        <v>32.547199999999997</v>
      </c>
      <c r="BY80">
        <v>0</v>
      </c>
      <c r="BZ80">
        <v>0</v>
      </c>
      <c r="CA80">
        <v>0</v>
      </c>
      <c r="CB80">
        <v>0</v>
      </c>
      <c r="CC80">
        <v>-1.7962</v>
      </c>
      <c r="CD80">
        <v>0</v>
      </c>
      <c r="CE80">
        <v>-2.0129000000000001</v>
      </c>
      <c r="CF80" t="s">
        <v>134</v>
      </c>
      <c r="CG80">
        <v>82.172200000000004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-53.405799999999999</v>
      </c>
      <c r="CO80">
        <v>-114.619</v>
      </c>
      <c r="CP80">
        <v>30487.8632</v>
      </c>
      <c r="CQ80">
        <v>23533.4015</v>
      </c>
      <c r="CR80">
        <v>27134.819200000002</v>
      </c>
      <c r="CS80">
        <v>2.5554999999999999</v>
      </c>
      <c r="CT80">
        <v>4.4092000000000002</v>
      </c>
      <c r="CU80">
        <v>3.4798999999999998</v>
      </c>
      <c r="CV80">
        <v>14.8177</v>
      </c>
      <c r="CW80">
        <v>6.0819999999999999</v>
      </c>
      <c r="CX80">
        <v>60.012700000000002</v>
      </c>
      <c r="CY80" t="s">
        <v>134</v>
      </c>
      <c r="CZ80" t="s">
        <v>134</v>
      </c>
      <c r="DA80">
        <v>462.86090000000002</v>
      </c>
      <c r="DB80">
        <v>0.78859999999999997</v>
      </c>
      <c r="DC80" t="s">
        <v>134</v>
      </c>
      <c r="DD80" t="s">
        <v>134</v>
      </c>
      <c r="DE80">
        <v>0</v>
      </c>
      <c r="DF80">
        <v>0</v>
      </c>
      <c r="DG80">
        <v>0</v>
      </c>
      <c r="DH80">
        <v>0</v>
      </c>
      <c r="DI80">
        <v>0</v>
      </c>
    </row>
    <row r="81" spans="4:113" x14ac:dyDescent="0.3">
      <c r="E81" t="s">
        <v>6</v>
      </c>
      <c r="F81">
        <v>24.293199999999999</v>
      </c>
      <c r="G81">
        <v>20.444299999999998</v>
      </c>
      <c r="H81" t="s">
        <v>134</v>
      </c>
      <c r="I81">
        <v>19.41</v>
      </c>
      <c r="J81">
        <v>28.714300000000001</v>
      </c>
      <c r="K81">
        <v>25.952400000000001</v>
      </c>
      <c r="L81">
        <v>28.571400000000001</v>
      </c>
      <c r="M81">
        <v>30.619</v>
      </c>
      <c r="N81">
        <v>22.047599999999999</v>
      </c>
      <c r="O81">
        <v>22.047599999999999</v>
      </c>
      <c r="P81">
        <v>22.047599999999999</v>
      </c>
      <c r="Q81">
        <v>27.9938</v>
      </c>
      <c r="R81">
        <v>39.492199999999997</v>
      </c>
      <c r="S81">
        <v>14.699300000000001</v>
      </c>
      <c r="T81">
        <v>9.8901000000000003</v>
      </c>
      <c r="U81">
        <v>10.642200000000001</v>
      </c>
      <c r="V81">
        <v>10.997999999999999</v>
      </c>
      <c r="W81">
        <v>6.6820000000000004</v>
      </c>
      <c r="X81">
        <v>6.5789</v>
      </c>
      <c r="Y81">
        <v>14.2857</v>
      </c>
      <c r="Z81">
        <v>14.297000000000001</v>
      </c>
      <c r="AA81" t="s">
        <v>134</v>
      </c>
      <c r="AB81">
        <v>7.8026999999999997</v>
      </c>
      <c r="AC81">
        <v>9.7799999999999994</v>
      </c>
      <c r="AD81">
        <v>13.1684</v>
      </c>
      <c r="AE81">
        <v>2.3106</v>
      </c>
      <c r="AF81">
        <v>123.07689999999999</v>
      </c>
      <c r="AG81" t="s">
        <v>134</v>
      </c>
      <c r="AH81" t="s">
        <v>134</v>
      </c>
      <c r="AI81">
        <v>6.1353</v>
      </c>
      <c r="AJ81">
        <v>6.1353</v>
      </c>
      <c r="AK81">
        <v>6.1353</v>
      </c>
      <c r="AL81">
        <v>-6.6253000000000002</v>
      </c>
      <c r="AM81">
        <v>12.3912</v>
      </c>
      <c r="AN81">
        <v>7.9154999999999998</v>
      </c>
      <c r="AO81">
        <v>7.8792</v>
      </c>
      <c r="AP81">
        <v>6.8780999999999999</v>
      </c>
      <c r="AQ81">
        <v>6.9082999999999997</v>
      </c>
      <c r="AR81">
        <v>5.9223999999999997</v>
      </c>
      <c r="AS81">
        <v>14.949400000000001</v>
      </c>
      <c r="AT81" t="s">
        <v>134</v>
      </c>
      <c r="AU81">
        <v>5.0849000000000002</v>
      </c>
      <c r="AV81">
        <v>15.6785</v>
      </c>
      <c r="AW81">
        <v>14.580400000000001</v>
      </c>
      <c r="AX81">
        <v>16.302499999999998</v>
      </c>
      <c r="AY81">
        <v>57.418300000000002</v>
      </c>
      <c r="AZ81" t="s">
        <v>134</v>
      </c>
      <c r="BA81" t="s">
        <v>134</v>
      </c>
      <c r="BB81">
        <v>14.943</v>
      </c>
      <c r="BC81">
        <v>14.943</v>
      </c>
      <c r="BD81">
        <v>14.992900000000001</v>
      </c>
      <c r="BE81">
        <v>2.6352000000000002</v>
      </c>
      <c r="BF81">
        <v>1.6457000000000002</v>
      </c>
      <c r="BG81">
        <v>22.810600000000001</v>
      </c>
      <c r="BH81">
        <v>24.713999999999999</v>
      </c>
      <c r="BI81">
        <v>20.887699999999999</v>
      </c>
      <c r="BJ81">
        <v>20.895499999999998</v>
      </c>
      <c r="BK81" t="s">
        <v>134</v>
      </c>
      <c r="BL81">
        <v>8.5520999999999994</v>
      </c>
      <c r="BM81" t="s">
        <v>134</v>
      </c>
      <c r="BN81">
        <v>7.3213999999999997</v>
      </c>
      <c r="BO81">
        <v>4.0014000000000003</v>
      </c>
      <c r="BP81">
        <v>7.6688999999999998</v>
      </c>
      <c r="BQ81">
        <v>3.5800999999999998</v>
      </c>
      <c r="BR81">
        <v>81.25</v>
      </c>
      <c r="BS81" t="s">
        <v>134</v>
      </c>
      <c r="BT81" t="s">
        <v>134</v>
      </c>
      <c r="BU81">
        <v>4.7971000000000004</v>
      </c>
      <c r="BV81">
        <v>4.7971000000000004</v>
      </c>
      <c r="BW81">
        <v>4.7971000000000004</v>
      </c>
      <c r="BX81">
        <v>-19.750900000000001</v>
      </c>
      <c r="BY81">
        <v>0</v>
      </c>
      <c r="BZ81">
        <v>0</v>
      </c>
      <c r="CA81">
        <v>0</v>
      </c>
      <c r="CB81">
        <v>0</v>
      </c>
      <c r="CC81">
        <v>-1.8098999999999998</v>
      </c>
      <c r="CD81">
        <v>0</v>
      </c>
      <c r="CE81">
        <v>-2.0257999999999998</v>
      </c>
      <c r="CF81" t="s">
        <v>134</v>
      </c>
      <c r="CG81">
        <v>82.800899999999999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-52.800400000000003</v>
      </c>
      <c r="CO81">
        <v>-111.8664</v>
      </c>
      <c r="CP81">
        <v>37393.050499999998</v>
      </c>
      <c r="CQ81">
        <v>29765.612300000001</v>
      </c>
      <c r="CR81">
        <v>33796.372300000003</v>
      </c>
      <c r="CS81">
        <v>2.6476999999999999</v>
      </c>
      <c r="CT81">
        <v>4.5312000000000001</v>
      </c>
      <c r="CU81">
        <v>3.6512000000000002</v>
      </c>
      <c r="CV81">
        <v>16.707100000000001</v>
      </c>
      <c r="CW81">
        <v>5.9612999999999996</v>
      </c>
      <c r="CX81">
        <v>61.228000000000002</v>
      </c>
      <c r="CY81" t="s">
        <v>134</v>
      </c>
      <c r="CZ81" t="s">
        <v>134</v>
      </c>
      <c r="DA81">
        <v>249.0224</v>
      </c>
      <c r="DB81">
        <v>1.4657</v>
      </c>
      <c r="DC81" t="s">
        <v>134</v>
      </c>
      <c r="DD81" t="s">
        <v>134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4:113" x14ac:dyDescent="0.3">
      <c r="E82" t="s">
        <v>7</v>
      </c>
      <c r="F82">
        <v>24.2348</v>
      </c>
      <c r="G82">
        <v>20.4665</v>
      </c>
      <c r="H82" t="s">
        <v>134</v>
      </c>
      <c r="I82">
        <v>19.038799999999998</v>
      </c>
      <c r="J82">
        <v>26.866</v>
      </c>
      <c r="K82">
        <v>24.062100000000001</v>
      </c>
      <c r="L82">
        <v>31.3507</v>
      </c>
      <c r="M82">
        <v>32.093200000000003</v>
      </c>
      <c r="N82">
        <v>23.238800000000001</v>
      </c>
      <c r="O82">
        <v>23.238800000000001</v>
      </c>
      <c r="P82">
        <v>23.238800000000001</v>
      </c>
      <c r="Q82">
        <v>27.589500000000001</v>
      </c>
      <c r="R82" t="s">
        <v>134</v>
      </c>
      <c r="S82" t="s">
        <v>134</v>
      </c>
      <c r="T82">
        <v>23.1586</v>
      </c>
      <c r="U82">
        <v>30.676200000000001</v>
      </c>
      <c r="V82">
        <v>32.449800000000003</v>
      </c>
      <c r="W82">
        <v>24.979099999999999</v>
      </c>
      <c r="X82">
        <v>24.994</v>
      </c>
      <c r="Y82" t="s">
        <v>134</v>
      </c>
      <c r="Z82">
        <v>17.902000000000001</v>
      </c>
      <c r="AA82" t="s">
        <v>134</v>
      </c>
      <c r="AB82">
        <v>21.938800000000001</v>
      </c>
      <c r="AC82">
        <v>23.093399999999999</v>
      </c>
      <c r="AD82">
        <v>18.6249</v>
      </c>
      <c r="AE82">
        <v>16.7224</v>
      </c>
      <c r="AF82">
        <v>-8.4656000000000002</v>
      </c>
      <c r="AG82" t="s">
        <v>134</v>
      </c>
      <c r="AH82" t="s">
        <v>134</v>
      </c>
      <c r="AI82">
        <v>19.431100000000001</v>
      </c>
      <c r="AJ82">
        <v>19.431100000000001</v>
      </c>
      <c r="AK82">
        <v>19.431100000000001</v>
      </c>
      <c r="AL82">
        <v>60.383099999999999</v>
      </c>
      <c r="AM82">
        <v>17.969799999999999</v>
      </c>
      <c r="AN82">
        <v>12.658899999999999</v>
      </c>
      <c r="AO82">
        <v>13.0467</v>
      </c>
      <c r="AP82">
        <v>13.152799999999999</v>
      </c>
      <c r="AQ82">
        <v>13.231199999999999</v>
      </c>
      <c r="AR82" t="s">
        <v>134</v>
      </c>
      <c r="AS82">
        <v>17.860199999999999</v>
      </c>
      <c r="AT82" t="s">
        <v>134</v>
      </c>
      <c r="AU82">
        <v>11.0739</v>
      </c>
      <c r="AV82">
        <v>20.858799999999999</v>
      </c>
      <c r="AW82">
        <v>17.367799999999999</v>
      </c>
      <c r="AX82">
        <v>21.541899999999998</v>
      </c>
      <c r="AY82" t="s">
        <v>134</v>
      </c>
      <c r="AZ82" t="s">
        <v>134</v>
      </c>
      <c r="BA82" t="s">
        <v>134</v>
      </c>
      <c r="BB82">
        <v>21.093800000000002</v>
      </c>
      <c r="BC82">
        <v>21.093800000000002</v>
      </c>
      <c r="BD82">
        <v>21.154299999999999</v>
      </c>
      <c r="BE82">
        <v>19.6388</v>
      </c>
      <c r="BF82">
        <v>-1.1478999999999999</v>
      </c>
      <c r="BG82">
        <v>-7.5106999999999999</v>
      </c>
      <c r="BH82">
        <v>-8.3477999999999994</v>
      </c>
      <c r="BI82">
        <v>4.1929999999999996</v>
      </c>
      <c r="BJ82">
        <v>4.2252000000000001</v>
      </c>
      <c r="BK82" t="s">
        <v>134</v>
      </c>
      <c r="BL82">
        <v>-6.6970999999999998</v>
      </c>
      <c r="BM82" t="s">
        <v>134</v>
      </c>
      <c r="BN82">
        <v>6.0797999999999996</v>
      </c>
      <c r="BO82">
        <v>5.6223000000000001</v>
      </c>
      <c r="BP82">
        <v>-6.7613000000000003</v>
      </c>
      <c r="BQ82">
        <v>7.5705</v>
      </c>
      <c r="BR82">
        <v>-3.5564</v>
      </c>
      <c r="BS82" t="s">
        <v>134</v>
      </c>
      <c r="BT82" t="s">
        <v>134</v>
      </c>
      <c r="BU82">
        <v>6.2660999999999998</v>
      </c>
      <c r="BV82">
        <v>6.2660999999999998</v>
      </c>
      <c r="BW82">
        <v>6.2660999999999998</v>
      </c>
      <c r="BX82">
        <v>31.704699999999999</v>
      </c>
      <c r="BY82">
        <v>0</v>
      </c>
      <c r="BZ82">
        <v>0</v>
      </c>
      <c r="CA82">
        <v>0</v>
      </c>
      <c r="CB82">
        <v>0</v>
      </c>
      <c r="CC82">
        <v>-1.9661999999999999</v>
      </c>
      <c r="CD82">
        <v>0</v>
      </c>
      <c r="CE82">
        <v>-2.1939000000000002</v>
      </c>
      <c r="CF82" t="s">
        <v>134</v>
      </c>
      <c r="CG82">
        <v>83.305599999999998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-54.597099999999998</v>
      </c>
      <c r="CO82">
        <v>-120.25020000000001</v>
      </c>
      <c r="CP82">
        <v>34590</v>
      </c>
      <c r="CQ82">
        <v>26670</v>
      </c>
      <c r="CR82">
        <v>30980</v>
      </c>
      <c r="CS82">
        <v>2.8397999999999999</v>
      </c>
      <c r="CT82">
        <v>4.7077</v>
      </c>
      <c r="CU82">
        <v>3.7537000000000003</v>
      </c>
      <c r="CV82">
        <v>15.371700000000001</v>
      </c>
      <c r="CW82">
        <v>6.4629000000000003</v>
      </c>
      <c r="CX82">
        <v>56.476599999999998</v>
      </c>
      <c r="CY82" t="s">
        <v>134</v>
      </c>
      <c r="CZ82" t="s">
        <v>134</v>
      </c>
      <c r="DA82">
        <v>176.74639999999999</v>
      </c>
      <c r="DB82">
        <v>2.0651000000000002</v>
      </c>
      <c r="DC82" t="s">
        <v>134</v>
      </c>
      <c r="DD82" t="s">
        <v>134</v>
      </c>
      <c r="DE82">
        <v>0</v>
      </c>
      <c r="DF82">
        <v>0</v>
      </c>
      <c r="DG82">
        <v>0</v>
      </c>
      <c r="DH82">
        <v>0</v>
      </c>
      <c r="DI82">
        <v>0</v>
      </c>
    </row>
    <row r="83" spans="4:113" x14ac:dyDescent="0.3">
      <c r="D83" t="s">
        <v>8</v>
      </c>
      <c r="E83" t="s">
        <v>3</v>
      </c>
      <c r="F83">
        <v>24.1053</v>
      </c>
      <c r="G83">
        <v>19.981000000000002</v>
      </c>
      <c r="H83">
        <v>24.1053</v>
      </c>
      <c r="I83">
        <v>17.910599999999999</v>
      </c>
      <c r="J83">
        <v>27.056000000000001</v>
      </c>
      <c r="K83">
        <v>25.051100000000002</v>
      </c>
      <c r="L83">
        <v>48.524799999999999</v>
      </c>
      <c r="M83">
        <v>32.367400000000004</v>
      </c>
      <c r="N83">
        <v>23.123100000000001</v>
      </c>
      <c r="O83">
        <v>23.123100000000001</v>
      </c>
      <c r="P83">
        <v>23.123100000000001</v>
      </c>
      <c r="Q83">
        <v>28.560700000000001</v>
      </c>
      <c r="R83">
        <v>41.455100000000002</v>
      </c>
      <c r="S83">
        <v>14.112399999999999</v>
      </c>
      <c r="T83">
        <v>6.3551000000000002</v>
      </c>
      <c r="U83">
        <v>9.4122000000000003</v>
      </c>
      <c r="V83">
        <v>13.089499999999999</v>
      </c>
      <c r="W83">
        <v>15.787000000000001</v>
      </c>
      <c r="X83">
        <v>15.7821</v>
      </c>
      <c r="Y83">
        <v>88.888900000000007</v>
      </c>
      <c r="Z83">
        <v>16.3094</v>
      </c>
      <c r="AA83" t="s">
        <v>134</v>
      </c>
      <c r="AB83">
        <v>15.6967</v>
      </c>
      <c r="AC83">
        <v>16.294799999999999</v>
      </c>
      <c r="AD83">
        <v>17.058</v>
      </c>
      <c r="AE83">
        <v>5.7023000000000001</v>
      </c>
      <c r="AF83">
        <v>-19.075099999999999</v>
      </c>
      <c r="AG83" t="s">
        <v>134</v>
      </c>
      <c r="AH83" t="s">
        <v>134</v>
      </c>
      <c r="AI83">
        <v>15.2178</v>
      </c>
      <c r="AJ83">
        <v>15.2178</v>
      </c>
      <c r="AK83">
        <v>15.2178</v>
      </c>
      <c r="AL83">
        <v>-10.5883</v>
      </c>
      <c r="AM83">
        <v>18.579799999999999</v>
      </c>
      <c r="AN83">
        <v>13.0227</v>
      </c>
      <c r="AO83">
        <v>14.189</v>
      </c>
      <c r="AP83">
        <v>14.6678</v>
      </c>
      <c r="AQ83">
        <v>14.6538</v>
      </c>
      <c r="AR83">
        <v>36.622199999999999</v>
      </c>
      <c r="AS83" t="s">
        <v>134</v>
      </c>
      <c r="AT83" t="s">
        <v>134</v>
      </c>
      <c r="AU83">
        <v>15.502000000000001</v>
      </c>
      <c r="AV83">
        <v>19.165700000000001</v>
      </c>
      <c r="AW83" t="s">
        <v>134</v>
      </c>
      <c r="AX83">
        <v>15.091100000000001</v>
      </c>
      <c r="AY83" t="s">
        <v>134</v>
      </c>
      <c r="AZ83" t="s">
        <v>134</v>
      </c>
      <c r="BA83" t="s">
        <v>134</v>
      </c>
      <c r="BB83">
        <v>17.866800000000001</v>
      </c>
      <c r="BC83">
        <v>17.866800000000001</v>
      </c>
      <c r="BD83">
        <v>17.849799999999998</v>
      </c>
      <c r="BE83">
        <v>9.6302000000000003</v>
      </c>
      <c r="BF83">
        <v>6.3551000000000002</v>
      </c>
      <c r="BG83">
        <v>9.4122000000000003</v>
      </c>
      <c r="BH83">
        <v>13.089499999999999</v>
      </c>
      <c r="BI83">
        <v>15.787000000000001</v>
      </c>
      <c r="BJ83">
        <v>15.7821</v>
      </c>
      <c r="BK83">
        <v>88.888900000000007</v>
      </c>
      <c r="BL83">
        <v>16.3094</v>
      </c>
      <c r="BM83" t="s">
        <v>134</v>
      </c>
      <c r="BN83">
        <v>15.6967</v>
      </c>
      <c r="BO83">
        <v>16.294799999999999</v>
      </c>
      <c r="BP83">
        <v>17.058</v>
      </c>
      <c r="BQ83">
        <v>5.7023000000000001</v>
      </c>
      <c r="BR83">
        <v>-19.075099999999999</v>
      </c>
      <c r="BS83" t="s">
        <v>134</v>
      </c>
      <c r="BT83" t="s">
        <v>134</v>
      </c>
      <c r="BU83">
        <v>15.2178</v>
      </c>
      <c r="BV83">
        <v>15.2178</v>
      </c>
      <c r="BW83">
        <v>15.2178</v>
      </c>
      <c r="BX83">
        <v>-10.5883</v>
      </c>
      <c r="BY83">
        <v>0</v>
      </c>
      <c r="BZ83">
        <v>0</v>
      </c>
      <c r="CA83">
        <v>0</v>
      </c>
      <c r="CB83">
        <v>0</v>
      </c>
      <c r="CC83">
        <v>-2.105</v>
      </c>
      <c r="CD83">
        <v>0</v>
      </c>
      <c r="CE83">
        <v>-2.2734999999999999</v>
      </c>
      <c r="CF83" t="s">
        <v>134</v>
      </c>
      <c r="CG83">
        <v>82.534099999999995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-55.451700000000002</v>
      </c>
      <c r="CO83">
        <v>-124.4753</v>
      </c>
      <c r="CP83">
        <v>144260</v>
      </c>
      <c r="CQ83">
        <v>121790</v>
      </c>
      <c r="CR83">
        <v>133570</v>
      </c>
      <c r="CS83">
        <v>2.6677999999999997</v>
      </c>
      <c r="CT83">
        <v>4.1462000000000003</v>
      </c>
      <c r="CU83">
        <v>3.5209999999999999</v>
      </c>
      <c r="CV83">
        <v>16.5716</v>
      </c>
      <c r="CW83">
        <v>5.9032999999999998</v>
      </c>
      <c r="CX83">
        <v>61.8294</v>
      </c>
      <c r="CY83" t="s">
        <v>134</v>
      </c>
      <c r="CZ83" t="s">
        <v>134</v>
      </c>
      <c r="DA83">
        <v>210.11500000000001</v>
      </c>
      <c r="DB83">
        <v>1.7370999999999999</v>
      </c>
      <c r="DC83" t="s">
        <v>134</v>
      </c>
      <c r="DD83" t="s">
        <v>134</v>
      </c>
      <c r="DE83">
        <v>0</v>
      </c>
      <c r="DF83">
        <v>0</v>
      </c>
      <c r="DG83">
        <v>0</v>
      </c>
      <c r="DH83">
        <v>0</v>
      </c>
      <c r="DI83">
        <v>0</v>
      </c>
    </row>
    <row r="84" spans="4:113" x14ac:dyDescent="0.3">
      <c r="E84" t="s">
        <v>4</v>
      </c>
      <c r="F84">
        <v>24.605699999999999</v>
      </c>
      <c r="G84">
        <v>20.4163</v>
      </c>
      <c r="H84" t="s">
        <v>134</v>
      </c>
      <c r="I84">
        <v>19.007300000000001</v>
      </c>
      <c r="J84">
        <v>26.9573</v>
      </c>
      <c r="K84">
        <v>25.128900000000002</v>
      </c>
      <c r="L84">
        <v>45.7746</v>
      </c>
      <c r="M84">
        <v>31.645600000000002</v>
      </c>
      <c r="N84">
        <v>22.597300000000001</v>
      </c>
      <c r="O84">
        <v>22.597300000000001</v>
      </c>
      <c r="P84">
        <v>22.597300000000001</v>
      </c>
      <c r="Q84">
        <v>28.592600000000001</v>
      </c>
      <c r="R84" t="s">
        <v>134</v>
      </c>
      <c r="S84" t="s">
        <v>134</v>
      </c>
      <c r="T84">
        <v>7.1321000000000003</v>
      </c>
      <c r="U84">
        <v>9.1082000000000001</v>
      </c>
      <c r="V84">
        <v>13.8004</v>
      </c>
      <c r="W84">
        <v>15.311</v>
      </c>
      <c r="X84">
        <v>15.0685</v>
      </c>
      <c r="Y84" t="s">
        <v>134</v>
      </c>
      <c r="Z84">
        <v>10.836399999999999</v>
      </c>
      <c r="AA84" t="s">
        <v>134</v>
      </c>
      <c r="AB84">
        <v>20.462599999999998</v>
      </c>
      <c r="AC84">
        <v>18.3887</v>
      </c>
      <c r="AD84">
        <v>10.5649</v>
      </c>
      <c r="AE84">
        <v>12.570499999999999</v>
      </c>
      <c r="AF84">
        <v>41.666699999999999</v>
      </c>
      <c r="AG84" t="s">
        <v>134</v>
      </c>
      <c r="AH84" t="s">
        <v>134</v>
      </c>
      <c r="AI84">
        <v>15.632300000000001</v>
      </c>
      <c r="AJ84">
        <v>15.632300000000001</v>
      </c>
      <c r="AK84">
        <v>15.632300000000001</v>
      </c>
      <c r="AL84">
        <v>9.6698000000000004</v>
      </c>
      <c r="AM84">
        <v>13.7102</v>
      </c>
      <c r="AN84">
        <v>8.4094999999999995</v>
      </c>
      <c r="AO84">
        <v>9.6602999999999994</v>
      </c>
      <c r="AP84">
        <v>9.0185999999999993</v>
      </c>
      <c r="AQ84">
        <v>8.8386999999999993</v>
      </c>
      <c r="AR84" t="s">
        <v>134</v>
      </c>
      <c r="AS84">
        <v>16.407</v>
      </c>
      <c r="AT84" t="s">
        <v>134</v>
      </c>
      <c r="AU84">
        <v>7.1643999999999997</v>
      </c>
      <c r="AV84">
        <v>14.8103</v>
      </c>
      <c r="AW84">
        <v>16.211400000000001</v>
      </c>
      <c r="AX84">
        <v>14.096299999999999</v>
      </c>
      <c r="AY84">
        <v>53.4206</v>
      </c>
      <c r="AZ84" t="s">
        <v>134</v>
      </c>
      <c r="BA84" t="s">
        <v>134</v>
      </c>
      <c r="BB84">
        <v>13.7516</v>
      </c>
      <c r="BC84">
        <v>13.7516</v>
      </c>
      <c r="BD84">
        <v>13.817500000000001</v>
      </c>
      <c r="BE84">
        <v>3.7404999999999999</v>
      </c>
      <c r="BF84">
        <v>2.3170999999999999</v>
      </c>
      <c r="BG84">
        <v>2.6649000000000003</v>
      </c>
      <c r="BH84">
        <v>6.8532999999999999</v>
      </c>
      <c r="BI84">
        <v>-0.50760000000000005</v>
      </c>
      <c r="BJ84">
        <v>-0.9204</v>
      </c>
      <c r="BK84" t="s">
        <v>134</v>
      </c>
      <c r="BL84">
        <v>9.2979000000000003</v>
      </c>
      <c r="BM84" t="s">
        <v>134</v>
      </c>
      <c r="BN84">
        <v>2.8186999999999998</v>
      </c>
      <c r="BO84">
        <v>1.0350999999999999</v>
      </c>
      <c r="BP84">
        <v>10.365</v>
      </c>
      <c r="BQ84">
        <v>-1.2208000000000001</v>
      </c>
      <c r="BR84">
        <v>-41.147100000000002</v>
      </c>
      <c r="BS84" t="s">
        <v>134</v>
      </c>
      <c r="BT84" t="s">
        <v>134</v>
      </c>
      <c r="BU84">
        <v>-0.45390000000000003</v>
      </c>
      <c r="BV84">
        <v>-0.45390000000000003</v>
      </c>
      <c r="BW84">
        <v>-0.45390000000000003</v>
      </c>
      <c r="BX84">
        <v>-22.046099999999999</v>
      </c>
      <c r="BY84">
        <v>0</v>
      </c>
      <c r="BZ84">
        <v>0</v>
      </c>
      <c r="CA84">
        <v>0</v>
      </c>
      <c r="CB84">
        <v>0</v>
      </c>
      <c r="CC84">
        <v>-2.1211000000000002</v>
      </c>
      <c r="CD84">
        <v>0</v>
      </c>
      <c r="CE84">
        <v>-2.3410000000000002</v>
      </c>
      <c r="CF84" t="s">
        <v>134</v>
      </c>
      <c r="CG84">
        <v>82.0779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-59.848100000000002</v>
      </c>
      <c r="CO84">
        <v>-149.05420000000001</v>
      </c>
      <c r="CP84">
        <v>34375.681299999997</v>
      </c>
      <c r="CQ84">
        <v>29891.896799999999</v>
      </c>
      <c r="CR84">
        <v>32044.113399999998</v>
      </c>
      <c r="CS84">
        <v>2.8551000000000002</v>
      </c>
      <c r="CT84">
        <v>4.3743999999999996</v>
      </c>
      <c r="CU84">
        <v>3.7753999999999999</v>
      </c>
      <c r="CV84">
        <v>14.5801</v>
      </c>
      <c r="CW84">
        <v>5.7839</v>
      </c>
      <c r="CX84">
        <v>63.106699999999996</v>
      </c>
      <c r="CY84" t="s">
        <v>134</v>
      </c>
      <c r="CZ84" t="s">
        <v>134</v>
      </c>
      <c r="DA84">
        <v>368.01990000000001</v>
      </c>
      <c r="DB84">
        <v>0.99180000000000001</v>
      </c>
      <c r="DC84" t="s">
        <v>134</v>
      </c>
      <c r="DD84" t="s">
        <v>134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4:113" x14ac:dyDescent="0.3">
      <c r="E85" t="s">
        <v>5</v>
      </c>
      <c r="F85">
        <v>25.7151</v>
      </c>
      <c r="G85">
        <v>21.108000000000001</v>
      </c>
      <c r="H85" t="s">
        <v>134</v>
      </c>
      <c r="I85">
        <v>19.7758</v>
      </c>
      <c r="J85">
        <v>28.259900000000002</v>
      </c>
      <c r="K85">
        <v>26.124500000000001</v>
      </c>
      <c r="L85">
        <v>102.2222</v>
      </c>
      <c r="M85">
        <v>32.667000000000002</v>
      </c>
      <c r="N85">
        <v>23.216699999999999</v>
      </c>
      <c r="O85">
        <v>23.216699999999999</v>
      </c>
      <c r="P85">
        <v>23.216699999999999</v>
      </c>
      <c r="Q85">
        <v>28.929099999999998</v>
      </c>
      <c r="R85">
        <v>54.792000000000002</v>
      </c>
      <c r="S85">
        <v>11.625299999999999</v>
      </c>
      <c r="T85">
        <v>6.5343999999999998</v>
      </c>
      <c r="U85">
        <v>26.680199999999999</v>
      </c>
      <c r="V85">
        <v>31.578900000000001</v>
      </c>
      <c r="W85">
        <v>33.420400000000001</v>
      </c>
      <c r="X85">
        <v>32.835799999999999</v>
      </c>
      <c r="Y85" t="s">
        <v>134</v>
      </c>
      <c r="Z85">
        <v>9.8275000000000006</v>
      </c>
      <c r="AA85" t="s">
        <v>134</v>
      </c>
      <c r="AB85">
        <v>21.428599999999999</v>
      </c>
      <c r="AC85">
        <v>18.959199999999999</v>
      </c>
      <c r="AD85">
        <v>9.4913000000000007</v>
      </c>
      <c r="AE85">
        <v>20.056999999999999</v>
      </c>
      <c r="AF85">
        <v>37.5</v>
      </c>
      <c r="AG85" t="s">
        <v>134</v>
      </c>
      <c r="AH85" t="s">
        <v>134</v>
      </c>
      <c r="AI85">
        <v>18.724599999999999</v>
      </c>
      <c r="AJ85">
        <v>18.724599999999999</v>
      </c>
      <c r="AK85">
        <v>18.724599999999999</v>
      </c>
      <c r="AL85">
        <v>25.622800000000002</v>
      </c>
      <c r="AM85">
        <v>13.7844</v>
      </c>
      <c r="AN85">
        <v>9.3406000000000002</v>
      </c>
      <c r="AO85">
        <v>10.4384</v>
      </c>
      <c r="AP85">
        <v>10.020200000000001</v>
      </c>
      <c r="AQ85">
        <v>9.7085000000000008</v>
      </c>
      <c r="AR85" t="s">
        <v>134</v>
      </c>
      <c r="AS85">
        <v>15.901400000000001</v>
      </c>
      <c r="AT85" t="s">
        <v>134</v>
      </c>
      <c r="AU85">
        <v>7.53</v>
      </c>
      <c r="AV85">
        <v>13.9999</v>
      </c>
      <c r="AW85">
        <v>15.617100000000001</v>
      </c>
      <c r="AX85">
        <v>13.0662</v>
      </c>
      <c r="AY85">
        <v>61.539400000000001</v>
      </c>
      <c r="AZ85" t="s">
        <v>134</v>
      </c>
      <c r="BA85" t="s">
        <v>134</v>
      </c>
      <c r="BB85">
        <v>12.8748</v>
      </c>
      <c r="BC85">
        <v>12.8748</v>
      </c>
      <c r="BD85">
        <v>12.8383</v>
      </c>
      <c r="BE85">
        <v>10.579700000000001</v>
      </c>
      <c r="BF85">
        <v>3.1880000000000002</v>
      </c>
      <c r="BG85">
        <v>8.1738999999999997</v>
      </c>
      <c r="BH85">
        <v>7.2760999999999996</v>
      </c>
      <c r="BI85">
        <v>6.0166000000000004</v>
      </c>
      <c r="BJ85">
        <v>5.9523999999999999</v>
      </c>
      <c r="BK85" t="s">
        <v>134</v>
      </c>
      <c r="BL85">
        <v>-3.9370000000000003</v>
      </c>
      <c r="BM85" t="s">
        <v>134</v>
      </c>
      <c r="BN85">
        <v>0.44309999999999999</v>
      </c>
      <c r="BO85">
        <v>3.7818000000000001</v>
      </c>
      <c r="BP85">
        <v>-4.3132000000000001</v>
      </c>
      <c r="BQ85">
        <v>5.6192000000000002</v>
      </c>
      <c r="BR85">
        <v>29.411799999999999</v>
      </c>
      <c r="BS85" t="s">
        <v>134</v>
      </c>
      <c r="BT85" t="s">
        <v>134</v>
      </c>
      <c r="BU85">
        <v>3.6962000000000002</v>
      </c>
      <c r="BV85">
        <v>3.6962000000000002</v>
      </c>
      <c r="BW85">
        <v>3.6962000000000002</v>
      </c>
      <c r="BX85">
        <v>51.828000000000003</v>
      </c>
      <c r="BY85">
        <v>0</v>
      </c>
      <c r="BZ85">
        <v>0</v>
      </c>
      <c r="CA85">
        <v>0</v>
      </c>
      <c r="CB85">
        <v>0</v>
      </c>
      <c r="CC85">
        <v>-2.2168999999999999</v>
      </c>
      <c r="CD85">
        <v>0</v>
      </c>
      <c r="CE85">
        <v>-2.4249000000000001</v>
      </c>
      <c r="CF85" t="s">
        <v>134</v>
      </c>
      <c r="CG85">
        <v>82.010199999999998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-63.867199999999997</v>
      </c>
      <c r="CO85">
        <v>-176.7568</v>
      </c>
      <c r="CP85">
        <v>37692.042099999999</v>
      </c>
      <c r="CQ85">
        <v>32056.415199999999</v>
      </c>
      <c r="CR85">
        <v>34843.929600000003</v>
      </c>
      <c r="CS85">
        <v>3.0329999999999999</v>
      </c>
      <c r="CT85">
        <v>4.4214000000000002</v>
      </c>
      <c r="CU85">
        <v>3.8816999999999999</v>
      </c>
      <c r="CV85">
        <v>15.321</v>
      </c>
      <c r="CW85">
        <v>6.0913000000000004</v>
      </c>
      <c r="CX85">
        <v>59.921399999999998</v>
      </c>
      <c r="CY85" t="s">
        <v>134</v>
      </c>
      <c r="CZ85" t="s">
        <v>134</v>
      </c>
      <c r="DA85">
        <v>281.69940000000003</v>
      </c>
      <c r="DB85">
        <v>1.2957000000000001</v>
      </c>
      <c r="DC85" t="s">
        <v>134</v>
      </c>
      <c r="DD85" t="s">
        <v>134</v>
      </c>
      <c r="DE85">
        <v>0</v>
      </c>
      <c r="DF85">
        <v>0</v>
      </c>
      <c r="DG85">
        <v>0</v>
      </c>
      <c r="DH85">
        <v>0</v>
      </c>
      <c r="DI85">
        <v>0</v>
      </c>
    </row>
    <row r="86" spans="4:113" x14ac:dyDescent="0.3">
      <c r="E86" t="s">
        <v>6</v>
      </c>
      <c r="F86">
        <v>25.3218</v>
      </c>
      <c r="G86">
        <v>20.8462</v>
      </c>
      <c r="H86">
        <v>25.3218</v>
      </c>
      <c r="I86">
        <v>19.185300000000002</v>
      </c>
      <c r="J86">
        <v>28.058900000000001</v>
      </c>
      <c r="K86">
        <v>26.138000000000002</v>
      </c>
      <c r="L86">
        <v>29.271799999999999</v>
      </c>
      <c r="M86">
        <v>32.828400000000002</v>
      </c>
      <c r="N86">
        <v>23.557600000000001</v>
      </c>
      <c r="O86">
        <v>23.557600000000001</v>
      </c>
      <c r="P86">
        <v>23.557600000000001</v>
      </c>
      <c r="Q86">
        <v>28.240200000000002</v>
      </c>
      <c r="R86">
        <v>105.4897</v>
      </c>
      <c r="S86">
        <v>-1.3900999999999999</v>
      </c>
      <c r="T86">
        <v>5.9234</v>
      </c>
      <c r="U86">
        <v>3.5056000000000003</v>
      </c>
      <c r="V86">
        <v>6.6810999999999998</v>
      </c>
      <c r="W86">
        <v>13.1776</v>
      </c>
      <c r="X86">
        <v>13.2225</v>
      </c>
      <c r="Y86">
        <v>202.31479999999999</v>
      </c>
      <c r="Z86">
        <v>1.2355</v>
      </c>
      <c r="AA86" t="s">
        <v>134</v>
      </c>
      <c r="AB86">
        <v>17.445</v>
      </c>
      <c r="AC86">
        <v>17.033300000000001</v>
      </c>
      <c r="AD86">
        <v>1.3107</v>
      </c>
      <c r="AE86">
        <v>17.4636</v>
      </c>
      <c r="AF86">
        <v>-2.4415</v>
      </c>
      <c r="AG86" t="s">
        <v>134</v>
      </c>
      <c r="AH86" t="s">
        <v>134</v>
      </c>
      <c r="AI86">
        <v>15.786</v>
      </c>
      <c r="AJ86">
        <v>15.786</v>
      </c>
      <c r="AK86">
        <v>15.786</v>
      </c>
      <c r="AL86">
        <v>39.247999999999998</v>
      </c>
      <c r="AM86">
        <v>19.145299999999999</v>
      </c>
      <c r="AN86">
        <v>13.688599999999999</v>
      </c>
      <c r="AO86">
        <v>15.1439</v>
      </c>
      <c r="AP86">
        <v>15.8446</v>
      </c>
      <c r="AQ86">
        <v>15.629799999999999</v>
      </c>
      <c r="AR86">
        <v>43.692700000000002</v>
      </c>
      <c r="AS86">
        <v>21.883700000000001</v>
      </c>
      <c r="AT86" t="s">
        <v>134</v>
      </c>
      <c r="AU86">
        <v>14.323700000000001</v>
      </c>
      <c r="AV86">
        <v>19.490099999999998</v>
      </c>
      <c r="AW86">
        <v>21.510100000000001</v>
      </c>
      <c r="AX86">
        <v>18.257899999999999</v>
      </c>
      <c r="AY86">
        <v>65.821700000000007</v>
      </c>
      <c r="AZ86" t="s">
        <v>134</v>
      </c>
      <c r="BA86" t="s">
        <v>134</v>
      </c>
      <c r="BB86">
        <v>18.230799999999999</v>
      </c>
      <c r="BC86">
        <v>18.230799999999999</v>
      </c>
      <c r="BD86">
        <v>18.201799999999999</v>
      </c>
      <c r="BE86">
        <v>21.300999999999998</v>
      </c>
      <c r="BF86">
        <v>3.4508000000000001</v>
      </c>
      <c r="BG86">
        <v>2.7149000000000001</v>
      </c>
      <c r="BH86">
        <v>3.5044</v>
      </c>
      <c r="BI86">
        <v>4.9695</v>
      </c>
      <c r="BJ86">
        <v>5.4801000000000002</v>
      </c>
      <c r="BK86">
        <v>102.09520000000001</v>
      </c>
      <c r="BL86">
        <v>-3.78E-2</v>
      </c>
      <c r="BM86" t="s">
        <v>134</v>
      </c>
      <c r="BN86">
        <v>3.6992000000000003</v>
      </c>
      <c r="BO86">
        <v>2.2176999999999998</v>
      </c>
      <c r="BP86">
        <v>-0.4728</v>
      </c>
      <c r="BQ86">
        <v>1.2437</v>
      </c>
      <c r="BR86">
        <v>28.4742</v>
      </c>
      <c r="BS86" t="s">
        <v>134</v>
      </c>
      <c r="BT86" t="s">
        <v>134</v>
      </c>
      <c r="BU86">
        <v>2.1032999999999999</v>
      </c>
      <c r="BV86">
        <v>2.1032999999999999</v>
      </c>
      <c r="BW86">
        <v>2.1032999999999999</v>
      </c>
      <c r="BX86">
        <v>-8.9451000000000001</v>
      </c>
      <c r="BY86">
        <v>0</v>
      </c>
      <c r="BZ86">
        <v>0</v>
      </c>
      <c r="CA86">
        <v>0</v>
      </c>
      <c r="CB86">
        <v>0</v>
      </c>
      <c r="CC86">
        <v>-2.2029999999999998</v>
      </c>
      <c r="CD86">
        <v>0</v>
      </c>
      <c r="CE86">
        <v>-2.3910999999999998</v>
      </c>
      <c r="CF86" t="s">
        <v>134</v>
      </c>
      <c r="CG86">
        <v>81.918400000000005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-61.834800000000001</v>
      </c>
      <c r="CO86">
        <v>-162.0187</v>
      </c>
      <c r="CP86">
        <v>38710</v>
      </c>
      <c r="CQ86">
        <v>32920</v>
      </c>
      <c r="CR86">
        <v>36060</v>
      </c>
      <c r="CS86">
        <v>2.8300999999999998</v>
      </c>
      <c r="CT86">
        <v>4.2697000000000003</v>
      </c>
      <c r="CU86">
        <v>3.6309</v>
      </c>
      <c r="CV86">
        <v>15.315</v>
      </c>
      <c r="CW86">
        <v>5.8583999999999996</v>
      </c>
      <c r="CX86">
        <v>62.304099999999998</v>
      </c>
      <c r="CY86" t="s">
        <v>134</v>
      </c>
      <c r="CZ86" t="s">
        <v>134</v>
      </c>
      <c r="DA86">
        <v>185.17850000000001</v>
      </c>
      <c r="DB86">
        <v>1.9710999999999999</v>
      </c>
      <c r="DC86" t="s">
        <v>134</v>
      </c>
      <c r="DD86" t="s">
        <v>134</v>
      </c>
      <c r="DE86">
        <v>0</v>
      </c>
      <c r="DF86">
        <v>0</v>
      </c>
      <c r="DG86">
        <v>0</v>
      </c>
      <c r="DH86">
        <v>0</v>
      </c>
      <c r="DI86">
        <v>0</v>
      </c>
    </row>
    <row r="87" spans="4:113" x14ac:dyDescent="0.3">
      <c r="E87" t="s">
        <v>7</v>
      </c>
      <c r="F87">
        <v>24.096900000000002</v>
      </c>
      <c r="G87">
        <v>19.9741</v>
      </c>
      <c r="H87">
        <v>24.096900000000002</v>
      </c>
      <c r="I87">
        <v>18.276499999999999</v>
      </c>
      <c r="J87">
        <v>26.970400000000001</v>
      </c>
      <c r="K87">
        <v>24.860199999999999</v>
      </c>
      <c r="L87">
        <v>44.029899999999998</v>
      </c>
      <c r="M87">
        <v>32.279499999999999</v>
      </c>
      <c r="N87">
        <v>23.093</v>
      </c>
      <c r="O87">
        <v>23.093</v>
      </c>
      <c r="P87">
        <v>23.093</v>
      </c>
      <c r="Q87">
        <v>28.459199999999999</v>
      </c>
      <c r="R87" t="s">
        <v>134</v>
      </c>
      <c r="S87" t="s">
        <v>134</v>
      </c>
      <c r="T87">
        <v>4.1631</v>
      </c>
      <c r="U87">
        <v>4.5678000000000001</v>
      </c>
      <c r="V87">
        <v>7.6177999999999999</v>
      </c>
      <c r="W87">
        <v>3.5093999999999999</v>
      </c>
      <c r="X87">
        <v>3.5141</v>
      </c>
      <c r="Y87" t="s">
        <v>134</v>
      </c>
      <c r="Z87">
        <v>16.3094</v>
      </c>
      <c r="AA87" t="s">
        <v>134</v>
      </c>
      <c r="AB87">
        <v>15.6967</v>
      </c>
      <c r="AC87">
        <v>16.294799999999999</v>
      </c>
      <c r="AD87">
        <v>17.058</v>
      </c>
      <c r="AE87">
        <v>5.7023000000000001</v>
      </c>
      <c r="AF87">
        <v>-19.075099999999999</v>
      </c>
      <c r="AG87" t="s">
        <v>134</v>
      </c>
      <c r="AH87" t="s">
        <v>134</v>
      </c>
      <c r="AI87">
        <v>15.2178</v>
      </c>
      <c r="AJ87">
        <v>15.2178</v>
      </c>
      <c r="AK87">
        <v>15.2178</v>
      </c>
      <c r="AL87" t="s">
        <v>134</v>
      </c>
      <c r="AM87">
        <v>17.672899999999998</v>
      </c>
      <c r="AN87">
        <v>11.9497</v>
      </c>
      <c r="AO87">
        <v>12.660399999999999</v>
      </c>
      <c r="AP87">
        <v>13.8797</v>
      </c>
      <c r="AQ87">
        <v>13.886800000000001</v>
      </c>
      <c r="AR87" t="s">
        <v>134</v>
      </c>
      <c r="AS87">
        <v>22.6891</v>
      </c>
      <c r="AT87" t="s">
        <v>134</v>
      </c>
      <c r="AU87">
        <v>15.502000000000001</v>
      </c>
      <c r="AV87">
        <v>19.058900000000001</v>
      </c>
      <c r="AW87">
        <v>22.333400000000001</v>
      </c>
      <c r="AX87">
        <v>21.044699999999999</v>
      </c>
      <c r="AY87" t="s">
        <v>134</v>
      </c>
      <c r="AZ87" t="s">
        <v>134</v>
      </c>
      <c r="BA87" t="s">
        <v>134</v>
      </c>
      <c r="BB87">
        <v>18.895900000000001</v>
      </c>
      <c r="BC87">
        <v>18.895900000000001</v>
      </c>
      <c r="BD87">
        <v>18.878799999999998</v>
      </c>
      <c r="BE87" t="s">
        <v>134</v>
      </c>
      <c r="BF87">
        <v>-2.7907000000000002</v>
      </c>
      <c r="BG87">
        <v>-6.5616000000000003</v>
      </c>
      <c r="BH87">
        <v>-7.5430000000000001</v>
      </c>
      <c r="BI87">
        <v>-4.7077</v>
      </c>
      <c r="BJ87">
        <v>-4.7117000000000004</v>
      </c>
      <c r="BK87" t="s">
        <v>134</v>
      </c>
      <c r="BL87">
        <v>7.1957000000000004</v>
      </c>
      <c r="BM87" t="s">
        <v>134</v>
      </c>
      <c r="BN87">
        <v>4.5007000000000001</v>
      </c>
      <c r="BO87">
        <v>4.9558</v>
      </c>
      <c r="BP87">
        <v>7.7313000000000001</v>
      </c>
      <c r="BQ87">
        <v>-3.2002999999999999</v>
      </c>
      <c r="BR87">
        <v>-20</v>
      </c>
      <c r="BS87" t="s">
        <v>134</v>
      </c>
      <c r="BT87" t="s">
        <v>134</v>
      </c>
      <c r="BU87">
        <v>5.7446000000000002</v>
      </c>
      <c r="BV87">
        <v>5.7446000000000002</v>
      </c>
      <c r="BW87">
        <v>5.7446000000000002</v>
      </c>
      <c r="BX87">
        <v>-101.2067</v>
      </c>
      <c r="BY87">
        <v>0</v>
      </c>
      <c r="BZ87">
        <v>0</v>
      </c>
      <c r="CA87">
        <v>0</v>
      </c>
      <c r="CB87">
        <v>0</v>
      </c>
      <c r="CC87">
        <v>-2.0666000000000002</v>
      </c>
      <c r="CD87">
        <v>0</v>
      </c>
      <c r="CE87">
        <v>-2.2282000000000002</v>
      </c>
      <c r="CF87" t="s">
        <v>134</v>
      </c>
      <c r="CG87">
        <v>82.534099999999995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-55.451700000000002</v>
      </c>
      <c r="CO87">
        <v>-124.4753</v>
      </c>
      <c r="CP87">
        <v>36170</v>
      </c>
      <c r="CQ87">
        <v>29620</v>
      </c>
      <c r="CR87">
        <v>33340</v>
      </c>
      <c r="CS87">
        <v>2.6677999999999997</v>
      </c>
      <c r="CT87">
        <v>4.1462000000000003</v>
      </c>
      <c r="CU87">
        <v>3.5209999999999999</v>
      </c>
      <c r="CV87">
        <v>16.5716</v>
      </c>
      <c r="CW87">
        <v>5.9006999999999996</v>
      </c>
      <c r="CX87">
        <v>61.857599999999998</v>
      </c>
      <c r="CY87" t="s">
        <v>134</v>
      </c>
      <c r="CZ87" t="s">
        <v>134</v>
      </c>
      <c r="DA87">
        <v>210.0239</v>
      </c>
      <c r="DB87">
        <v>1.7379</v>
      </c>
      <c r="DC87" t="s">
        <v>134</v>
      </c>
      <c r="DD87" t="s">
        <v>134</v>
      </c>
      <c r="DE87">
        <v>0</v>
      </c>
      <c r="DF87">
        <v>0</v>
      </c>
      <c r="DG87">
        <v>0</v>
      </c>
      <c r="DH87">
        <v>0</v>
      </c>
      <c r="DI87">
        <v>0</v>
      </c>
    </row>
    <row r="88" spans="4:113" x14ac:dyDescent="0.3">
      <c r="D88" t="s">
        <v>9</v>
      </c>
      <c r="E88" t="s">
        <v>3</v>
      </c>
      <c r="F88">
        <v>23.152200000000001</v>
      </c>
      <c r="G88">
        <v>19.036100000000001</v>
      </c>
      <c r="H88">
        <v>23.152200000000001</v>
      </c>
      <c r="I88">
        <v>18.1922</v>
      </c>
      <c r="J88">
        <v>27.081600000000002</v>
      </c>
      <c r="K88">
        <v>24.745000000000001</v>
      </c>
      <c r="L88">
        <v>22.955500000000001</v>
      </c>
      <c r="M88">
        <v>30.015499999999999</v>
      </c>
      <c r="N88">
        <v>21.606000000000002</v>
      </c>
      <c r="O88">
        <v>21.606000000000002</v>
      </c>
      <c r="P88">
        <v>21.606000000000002</v>
      </c>
      <c r="Q88">
        <v>28.017299999999999</v>
      </c>
      <c r="R88">
        <v>41.286799999999999</v>
      </c>
      <c r="S88">
        <v>13.593400000000001</v>
      </c>
      <c r="T88">
        <v>17.1083</v>
      </c>
      <c r="U88">
        <v>17.218900000000001</v>
      </c>
      <c r="V88">
        <v>15.677199999999999</v>
      </c>
      <c r="W88">
        <v>9.4248999999999992</v>
      </c>
      <c r="X88">
        <v>9.4178999999999995</v>
      </c>
      <c r="Y88">
        <v>-18.487400000000001</v>
      </c>
      <c r="Z88">
        <v>16.6478</v>
      </c>
      <c r="AA88" t="s">
        <v>134</v>
      </c>
      <c r="AB88">
        <v>15.3973</v>
      </c>
      <c r="AC88">
        <v>13.6198</v>
      </c>
      <c r="AD88">
        <v>14.3215</v>
      </c>
      <c r="AE88">
        <v>7.38</v>
      </c>
      <c r="AF88">
        <v>175.71430000000001</v>
      </c>
      <c r="AG88" t="s">
        <v>134</v>
      </c>
      <c r="AH88" t="s">
        <v>134</v>
      </c>
      <c r="AI88">
        <v>12.8116</v>
      </c>
      <c r="AJ88">
        <v>12.8116</v>
      </c>
      <c r="AK88">
        <v>12.811</v>
      </c>
      <c r="AL88">
        <v>12.0227</v>
      </c>
      <c r="AM88">
        <v>17.821400000000001</v>
      </c>
      <c r="AN88">
        <v>13.6311</v>
      </c>
      <c r="AO88">
        <v>13.866300000000001</v>
      </c>
      <c r="AP88">
        <v>14.567399999999999</v>
      </c>
      <c r="AQ88">
        <v>14.562899999999999</v>
      </c>
      <c r="AR88">
        <v>26.453299999999999</v>
      </c>
      <c r="AS88">
        <v>19.481100000000001</v>
      </c>
      <c r="AT88" t="s">
        <v>134</v>
      </c>
      <c r="AU88">
        <v>18.101600000000001</v>
      </c>
      <c r="AV88">
        <v>19.226299999999998</v>
      </c>
      <c r="AW88">
        <v>18.6557</v>
      </c>
      <c r="AX88">
        <v>15.414</v>
      </c>
      <c r="AY88" t="s">
        <v>134</v>
      </c>
      <c r="AZ88" t="s">
        <v>134</v>
      </c>
      <c r="BA88" t="s">
        <v>134</v>
      </c>
      <c r="BB88">
        <v>18.919699999999999</v>
      </c>
      <c r="BC88">
        <v>18.919699999999999</v>
      </c>
      <c r="BD88">
        <v>18.916</v>
      </c>
      <c r="BE88">
        <v>16.035499999999999</v>
      </c>
      <c r="BF88">
        <v>17.1083</v>
      </c>
      <c r="BG88">
        <v>17.218900000000001</v>
      </c>
      <c r="BH88">
        <v>15.677199999999999</v>
      </c>
      <c r="BI88">
        <v>9.4248999999999992</v>
      </c>
      <c r="BJ88">
        <v>9.4178999999999995</v>
      </c>
      <c r="BK88">
        <v>-18.487400000000001</v>
      </c>
      <c r="BL88">
        <v>16.6478</v>
      </c>
      <c r="BM88" t="s">
        <v>134</v>
      </c>
      <c r="BN88">
        <v>15.3973</v>
      </c>
      <c r="BO88">
        <v>13.6198</v>
      </c>
      <c r="BP88">
        <v>14.3215</v>
      </c>
      <c r="BQ88">
        <v>7.38</v>
      </c>
      <c r="BR88">
        <v>175.71430000000001</v>
      </c>
      <c r="BS88" t="s">
        <v>134</v>
      </c>
      <c r="BT88" t="s">
        <v>134</v>
      </c>
      <c r="BU88">
        <v>12.8116</v>
      </c>
      <c r="BV88">
        <v>12.8116</v>
      </c>
      <c r="BW88">
        <v>12.811</v>
      </c>
      <c r="BX88">
        <v>12.0227</v>
      </c>
      <c r="BY88">
        <v>0</v>
      </c>
      <c r="BZ88">
        <v>0</v>
      </c>
      <c r="CA88">
        <v>0</v>
      </c>
      <c r="CB88">
        <v>0</v>
      </c>
      <c r="CC88">
        <v>-1.9336</v>
      </c>
      <c r="CD88">
        <v>0</v>
      </c>
      <c r="CE88">
        <v>-2.1162000000000001</v>
      </c>
      <c r="CF88" t="s">
        <v>134</v>
      </c>
      <c r="CG88">
        <v>81.947000000000003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-52.925800000000002</v>
      </c>
      <c r="CO88">
        <v>-112.43040000000001</v>
      </c>
      <c r="CP88">
        <v>169100</v>
      </c>
      <c r="CQ88">
        <v>141870</v>
      </c>
      <c r="CR88">
        <v>154510</v>
      </c>
      <c r="CS88">
        <v>2.4697</v>
      </c>
      <c r="CT88">
        <v>3.9047999999999998</v>
      </c>
      <c r="CU88">
        <v>3.3256000000000001</v>
      </c>
      <c r="CV88">
        <v>15.583</v>
      </c>
      <c r="CW88">
        <v>5.9345999999999997</v>
      </c>
      <c r="CX88">
        <v>61.6721</v>
      </c>
      <c r="CY88" t="s">
        <v>134</v>
      </c>
      <c r="CZ88" t="s">
        <v>134</v>
      </c>
      <c r="DA88">
        <v>148.66159999999999</v>
      </c>
      <c r="DB88">
        <v>2.4620000000000002</v>
      </c>
      <c r="DC88" t="s">
        <v>134</v>
      </c>
      <c r="DD88" t="s">
        <v>134</v>
      </c>
      <c r="DE88">
        <v>0</v>
      </c>
      <c r="DF88">
        <v>0</v>
      </c>
      <c r="DG88">
        <v>0</v>
      </c>
      <c r="DH88">
        <v>0</v>
      </c>
      <c r="DI88">
        <v>0</v>
      </c>
    </row>
    <row r="89" spans="4:113" x14ac:dyDescent="0.3">
      <c r="E89" t="s">
        <v>4</v>
      </c>
      <c r="F89">
        <v>24.555700000000002</v>
      </c>
      <c r="G89">
        <v>19.878299999999999</v>
      </c>
      <c r="H89">
        <v>24.555700000000002</v>
      </c>
      <c r="I89">
        <v>19.4648</v>
      </c>
      <c r="J89">
        <v>26.1525</v>
      </c>
      <c r="K89">
        <v>23.980499999999999</v>
      </c>
      <c r="L89">
        <v>4.0650000000000004</v>
      </c>
      <c r="M89">
        <v>29.255299999999998</v>
      </c>
      <c r="N89">
        <v>21.099299999999999</v>
      </c>
      <c r="O89">
        <v>21.099299999999999</v>
      </c>
      <c r="P89">
        <v>21.099299999999999</v>
      </c>
      <c r="Q89">
        <v>27.878799999999998</v>
      </c>
      <c r="R89">
        <v>225.68</v>
      </c>
      <c r="S89">
        <v>-30.861699999999999</v>
      </c>
      <c r="T89">
        <v>5.7664999999999997</v>
      </c>
      <c r="U89">
        <v>2.6086999999999998</v>
      </c>
      <c r="V89">
        <v>0.93279999999999996</v>
      </c>
      <c r="W89">
        <v>-1.2447999999999999</v>
      </c>
      <c r="X89">
        <v>0</v>
      </c>
      <c r="Y89" t="s">
        <v>134</v>
      </c>
      <c r="Z89">
        <v>8.7270000000000003</v>
      </c>
      <c r="AA89" t="s">
        <v>134</v>
      </c>
      <c r="AB89">
        <v>10.339700000000001</v>
      </c>
      <c r="AC89">
        <v>9.9947999999999997</v>
      </c>
      <c r="AD89">
        <v>7.8964999999999996</v>
      </c>
      <c r="AE89">
        <v>-6.3708</v>
      </c>
      <c r="AF89">
        <v>82.352900000000005</v>
      </c>
      <c r="AG89" t="s">
        <v>134</v>
      </c>
      <c r="AH89" t="s">
        <v>134</v>
      </c>
      <c r="AI89">
        <v>7.1139000000000001</v>
      </c>
      <c r="AJ89">
        <v>7.1139000000000001</v>
      </c>
      <c r="AK89">
        <v>7.1139000000000001</v>
      </c>
      <c r="AL89">
        <v>-25.8065</v>
      </c>
      <c r="AM89">
        <v>10.684799999999999</v>
      </c>
      <c r="AN89">
        <v>6.5808</v>
      </c>
      <c r="AO89">
        <v>7.0960000000000001</v>
      </c>
      <c r="AP89">
        <v>7.8643000000000001</v>
      </c>
      <c r="AQ89">
        <v>8.0640000000000001</v>
      </c>
      <c r="AR89" t="s">
        <v>134</v>
      </c>
      <c r="AS89">
        <v>14.883699999999999</v>
      </c>
      <c r="AT89" t="s">
        <v>134</v>
      </c>
      <c r="AU89">
        <v>9.3628</v>
      </c>
      <c r="AV89">
        <v>11.6029</v>
      </c>
      <c r="AW89">
        <v>14.5893</v>
      </c>
      <c r="AX89">
        <v>6.1669999999999998</v>
      </c>
      <c r="AY89">
        <v>44.038400000000003</v>
      </c>
      <c r="AZ89" t="s">
        <v>134</v>
      </c>
      <c r="BA89" t="s">
        <v>134</v>
      </c>
      <c r="BB89">
        <v>9.8757999999999999</v>
      </c>
      <c r="BC89">
        <v>9.8757999999999999</v>
      </c>
      <c r="BD89">
        <v>9.8628999999999998</v>
      </c>
      <c r="BE89">
        <v>0.4108</v>
      </c>
      <c r="BF89">
        <v>4.7088999999999999</v>
      </c>
      <c r="BG89">
        <v>1.5335000000000001</v>
      </c>
      <c r="BH89">
        <v>1.0037</v>
      </c>
      <c r="BI89">
        <v>-4.3308999999999997</v>
      </c>
      <c r="BJ89">
        <v>-3.5314000000000001</v>
      </c>
      <c r="BK89" t="s">
        <v>134</v>
      </c>
      <c r="BL89">
        <v>6.2965999999999998</v>
      </c>
      <c r="BM89" t="s">
        <v>134</v>
      </c>
      <c r="BN89">
        <v>2.0158999999999998</v>
      </c>
      <c r="BO89">
        <v>-0.58109999999999995</v>
      </c>
      <c r="BP89">
        <v>5.8334000000000001</v>
      </c>
      <c r="BQ89">
        <v>-8.9716000000000005</v>
      </c>
      <c r="BR89">
        <v>37.969700000000003</v>
      </c>
      <c r="BS89" t="s">
        <v>134</v>
      </c>
      <c r="BT89" t="s">
        <v>134</v>
      </c>
      <c r="BU89">
        <v>-3.7199999999999998</v>
      </c>
      <c r="BV89">
        <v>-3.7199999999999998</v>
      </c>
      <c r="BW89">
        <v>-3.7199999999999998</v>
      </c>
      <c r="BX89" t="s">
        <v>134</v>
      </c>
      <c r="BY89">
        <v>0</v>
      </c>
      <c r="BZ89">
        <v>0</v>
      </c>
      <c r="CA89">
        <v>0</v>
      </c>
      <c r="CB89">
        <v>0</v>
      </c>
      <c r="CC89">
        <v>-1.8766</v>
      </c>
      <c r="CD89">
        <v>0</v>
      </c>
      <c r="CE89">
        <v>-2.0314000000000001</v>
      </c>
      <c r="CF89" t="s">
        <v>134</v>
      </c>
      <c r="CG89">
        <v>79.928200000000004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-53.616199999999999</v>
      </c>
      <c r="CO89">
        <v>-115.5924</v>
      </c>
      <c r="CP89">
        <v>37425.324399999998</v>
      </c>
      <c r="CQ89">
        <v>30764.885300000002</v>
      </c>
      <c r="CR89">
        <v>34317.119500000001</v>
      </c>
      <c r="CS89">
        <v>2.2002999999999999</v>
      </c>
      <c r="CT89">
        <v>3.5373000000000001</v>
      </c>
      <c r="CU89">
        <v>3.0038999999999998</v>
      </c>
      <c r="CV89">
        <v>13.683199999999999</v>
      </c>
      <c r="CW89">
        <v>5.5564</v>
      </c>
      <c r="CX89">
        <v>65.690399999999997</v>
      </c>
      <c r="CY89" t="s">
        <v>134</v>
      </c>
      <c r="CZ89" t="s">
        <v>134</v>
      </c>
      <c r="DA89">
        <v>227.72739999999999</v>
      </c>
      <c r="DB89">
        <v>1.6028</v>
      </c>
      <c r="DC89" t="s">
        <v>134</v>
      </c>
      <c r="DD89" t="s">
        <v>134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4:113" x14ac:dyDescent="0.3">
      <c r="E90" t="s">
        <v>5</v>
      </c>
      <c r="F90">
        <v>23.819400000000002</v>
      </c>
      <c r="G90">
        <v>19.394300000000001</v>
      </c>
      <c r="H90">
        <v>23.819400000000002</v>
      </c>
      <c r="I90">
        <v>19.121099999999998</v>
      </c>
      <c r="J90">
        <v>27.800999999999998</v>
      </c>
      <c r="K90">
        <v>25.5017</v>
      </c>
      <c r="L90">
        <v>18.3246</v>
      </c>
      <c r="M90">
        <v>30.560200000000002</v>
      </c>
      <c r="N90">
        <v>21.697299999999998</v>
      </c>
      <c r="O90">
        <v>21.697299999999998</v>
      </c>
      <c r="P90">
        <v>21.697299999999998</v>
      </c>
      <c r="Q90">
        <v>29.0014</v>
      </c>
      <c r="R90">
        <v>0</v>
      </c>
      <c r="S90">
        <v>23.819400000000002</v>
      </c>
      <c r="T90">
        <v>8.6778999999999993</v>
      </c>
      <c r="U90">
        <v>6.9131999999999998</v>
      </c>
      <c r="V90">
        <v>6.0869999999999997</v>
      </c>
      <c r="W90">
        <v>1.5655999999999999</v>
      </c>
      <c r="X90">
        <v>3.3708</v>
      </c>
      <c r="Y90" t="s">
        <v>134</v>
      </c>
      <c r="Z90">
        <v>8.2650000000000006</v>
      </c>
      <c r="AA90" t="s">
        <v>134</v>
      </c>
      <c r="AB90">
        <v>8.6029</v>
      </c>
      <c r="AC90">
        <v>8.2189999999999994</v>
      </c>
      <c r="AD90">
        <v>8.7378999999999998</v>
      </c>
      <c r="AE90">
        <v>-7.2179000000000002</v>
      </c>
      <c r="AF90">
        <v>-22.7273</v>
      </c>
      <c r="AG90" t="s">
        <v>134</v>
      </c>
      <c r="AH90" t="s">
        <v>134</v>
      </c>
      <c r="AI90">
        <v>6.7260999999999997</v>
      </c>
      <c r="AJ90">
        <v>6.7260999999999997</v>
      </c>
      <c r="AK90">
        <v>6.7256</v>
      </c>
      <c r="AL90">
        <v>-31.869700000000002</v>
      </c>
      <c r="AM90">
        <v>9.8414000000000001</v>
      </c>
      <c r="AN90">
        <v>5.9118000000000004</v>
      </c>
      <c r="AO90">
        <v>6.1788999999999996</v>
      </c>
      <c r="AP90">
        <v>6.7724000000000002</v>
      </c>
      <c r="AQ90">
        <v>7.1951000000000001</v>
      </c>
      <c r="AR90" t="s">
        <v>134</v>
      </c>
      <c r="AS90">
        <v>11.3003</v>
      </c>
      <c r="AT90" t="s">
        <v>134</v>
      </c>
      <c r="AU90">
        <v>7.9404000000000003</v>
      </c>
      <c r="AV90">
        <v>9.9024999999999999</v>
      </c>
      <c r="AW90">
        <v>11.253</v>
      </c>
      <c r="AX90">
        <v>4.5391000000000004</v>
      </c>
      <c r="AY90">
        <v>16.271100000000001</v>
      </c>
      <c r="AZ90" t="s">
        <v>134</v>
      </c>
      <c r="BA90" t="s">
        <v>134</v>
      </c>
      <c r="BB90">
        <v>8.3346999999999998</v>
      </c>
      <c r="BC90">
        <v>8.3346999999999998</v>
      </c>
      <c r="BD90">
        <v>8.3269000000000002</v>
      </c>
      <c r="BE90">
        <v>7.1219000000000001</v>
      </c>
      <c r="BF90">
        <v>6.0284000000000004</v>
      </c>
      <c r="BG90">
        <v>12.7119</v>
      </c>
      <c r="BH90">
        <v>12.754200000000001</v>
      </c>
      <c r="BI90">
        <v>9.0335999999999999</v>
      </c>
      <c r="BJ90">
        <v>9.5237999999999996</v>
      </c>
      <c r="BK90">
        <v>-100</v>
      </c>
      <c r="BL90">
        <v>-4.3452000000000002</v>
      </c>
      <c r="BM90" t="s">
        <v>134</v>
      </c>
      <c r="BN90">
        <v>-1.1378999999999999</v>
      </c>
      <c r="BO90">
        <v>2.1063999999999998</v>
      </c>
      <c r="BP90">
        <v>-3.5670000000000002</v>
      </c>
      <c r="BQ90">
        <v>4.6635999999999997</v>
      </c>
      <c r="BR90">
        <v>-45.161299999999997</v>
      </c>
      <c r="BS90" t="s">
        <v>134</v>
      </c>
      <c r="BT90" t="s">
        <v>134</v>
      </c>
      <c r="BU90">
        <v>3.3207</v>
      </c>
      <c r="BV90">
        <v>3.3207</v>
      </c>
      <c r="BW90">
        <v>3.3203</v>
      </c>
      <c r="BX90">
        <v>39.420299999999997</v>
      </c>
      <c r="BY90">
        <v>0</v>
      </c>
      <c r="BZ90">
        <v>0</v>
      </c>
      <c r="CA90">
        <v>0</v>
      </c>
      <c r="CB90">
        <v>0</v>
      </c>
      <c r="CC90">
        <v>-1.8917999999999999</v>
      </c>
      <c r="CD90">
        <v>0</v>
      </c>
      <c r="CE90">
        <v>-2.0520999999999998</v>
      </c>
      <c r="CF90" t="s">
        <v>134</v>
      </c>
      <c r="CG90">
        <v>80.878799999999998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-53.242600000000003</v>
      </c>
      <c r="CO90">
        <v>-113.8699</v>
      </c>
      <c r="CP90">
        <v>43203.224399999999</v>
      </c>
      <c r="CQ90">
        <v>37356.171499999997</v>
      </c>
      <c r="CR90">
        <v>39630.025399999999</v>
      </c>
      <c r="CS90">
        <v>2.3205</v>
      </c>
      <c r="CT90">
        <v>3.7298</v>
      </c>
      <c r="CU90">
        <v>3.1107</v>
      </c>
      <c r="CV90">
        <v>15.494300000000001</v>
      </c>
      <c r="CW90">
        <v>5.9222000000000001</v>
      </c>
      <c r="CX90">
        <v>61.6325</v>
      </c>
      <c r="CY90" t="s">
        <v>134</v>
      </c>
      <c r="CZ90" t="s">
        <v>134</v>
      </c>
      <c r="DA90">
        <v>287.20299999999997</v>
      </c>
      <c r="DB90">
        <v>1.2708999999999999</v>
      </c>
      <c r="DC90" t="s">
        <v>134</v>
      </c>
      <c r="DD90" t="s">
        <v>134</v>
      </c>
      <c r="DE90">
        <v>0</v>
      </c>
      <c r="DF90">
        <v>0</v>
      </c>
      <c r="DG90">
        <v>0</v>
      </c>
      <c r="DH90">
        <v>0</v>
      </c>
      <c r="DI90">
        <v>0</v>
      </c>
    </row>
    <row r="91" spans="4:113" x14ac:dyDescent="0.3">
      <c r="E91" t="s">
        <v>6</v>
      </c>
      <c r="F91">
        <v>23.768799999999999</v>
      </c>
      <c r="G91">
        <v>19.4178</v>
      </c>
      <c r="H91">
        <v>23.768799999999999</v>
      </c>
      <c r="I91">
        <v>19.334399999999999</v>
      </c>
      <c r="J91">
        <v>27.212299999999999</v>
      </c>
      <c r="K91">
        <v>24.8857</v>
      </c>
      <c r="L91">
        <v>9.4984000000000002</v>
      </c>
      <c r="M91">
        <v>29.912800000000001</v>
      </c>
      <c r="N91">
        <v>21.7698</v>
      </c>
      <c r="O91">
        <v>21.7698</v>
      </c>
      <c r="P91">
        <v>21.7698</v>
      </c>
      <c r="Q91">
        <v>27.222200000000001</v>
      </c>
      <c r="R91">
        <v>0</v>
      </c>
      <c r="S91">
        <v>23.768799999999999</v>
      </c>
      <c r="T91">
        <v>8.1381999999999994</v>
      </c>
      <c r="U91">
        <v>4.8756000000000004</v>
      </c>
      <c r="V91">
        <v>2.9573999999999998</v>
      </c>
      <c r="W91">
        <v>-6.8099999999999994E-2</v>
      </c>
      <c r="X91">
        <v>0.25009999999999999</v>
      </c>
      <c r="Y91" t="s">
        <v>134</v>
      </c>
      <c r="Z91">
        <v>14.504200000000001</v>
      </c>
      <c r="AA91" t="s">
        <v>134</v>
      </c>
      <c r="AB91">
        <v>9.84</v>
      </c>
      <c r="AC91">
        <v>7.7202000000000002</v>
      </c>
      <c r="AD91">
        <v>15.3362</v>
      </c>
      <c r="AE91">
        <v>-7.0517000000000003</v>
      </c>
      <c r="AF91">
        <v>-27.742899999999999</v>
      </c>
      <c r="AG91" t="s">
        <v>134</v>
      </c>
      <c r="AH91" t="s">
        <v>134</v>
      </c>
      <c r="AI91">
        <v>7.1534000000000004</v>
      </c>
      <c r="AJ91">
        <v>7.1534000000000004</v>
      </c>
      <c r="AK91">
        <v>7.1528999999999998</v>
      </c>
      <c r="AL91">
        <v>-24.572900000000001</v>
      </c>
      <c r="AM91">
        <v>8.7149999999999999</v>
      </c>
      <c r="AN91">
        <v>4.4446000000000003</v>
      </c>
      <c r="AO91">
        <v>4.5727000000000002</v>
      </c>
      <c r="AP91">
        <v>5.7081</v>
      </c>
      <c r="AQ91">
        <v>5.9223999999999997</v>
      </c>
      <c r="AR91">
        <v>-100</v>
      </c>
      <c r="AS91">
        <v>11.111000000000001</v>
      </c>
      <c r="AT91" t="s">
        <v>134</v>
      </c>
      <c r="AU91">
        <v>7.4935</v>
      </c>
      <c r="AV91">
        <v>10.432499999999999</v>
      </c>
      <c r="AW91">
        <v>10.976599999999999</v>
      </c>
      <c r="AX91">
        <v>5.5689000000000002</v>
      </c>
      <c r="AY91">
        <v>27.225999999999999</v>
      </c>
      <c r="AZ91" t="s">
        <v>134</v>
      </c>
      <c r="BA91" t="s">
        <v>134</v>
      </c>
      <c r="BB91">
        <v>9.0360999999999994</v>
      </c>
      <c r="BC91">
        <v>9.0360999999999994</v>
      </c>
      <c r="BD91">
        <v>9.032</v>
      </c>
      <c r="BE91">
        <v>5.4809999999999999</v>
      </c>
      <c r="BF91">
        <v>0.62709999999999999</v>
      </c>
      <c r="BG91">
        <v>-1.5038</v>
      </c>
      <c r="BH91">
        <v>-1.8033000000000001</v>
      </c>
      <c r="BI91">
        <v>0.96340000000000003</v>
      </c>
      <c r="BJ91">
        <v>0</v>
      </c>
      <c r="BK91" t="s">
        <v>134</v>
      </c>
      <c r="BL91">
        <v>3.5331000000000001</v>
      </c>
      <c r="BM91" t="s">
        <v>134</v>
      </c>
      <c r="BN91">
        <v>2.7082000000000002</v>
      </c>
      <c r="BO91">
        <v>-0.36080000000000001</v>
      </c>
      <c r="BP91">
        <v>3.3801000000000001</v>
      </c>
      <c r="BQ91">
        <v>-0.67569999999999997</v>
      </c>
      <c r="BR91">
        <v>17.647100000000002</v>
      </c>
      <c r="BS91" t="s">
        <v>134</v>
      </c>
      <c r="BT91" t="s">
        <v>134</v>
      </c>
      <c r="BU91">
        <v>0.38890000000000002</v>
      </c>
      <c r="BV91">
        <v>0.38890000000000002</v>
      </c>
      <c r="BW91">
        <v>0.38890000000000002</v>
      </c>
      <c r="BX91">
        <v>-1.4553</v>
      </c>
      <c r="BY91">
        <v>0</v>
      </c>
      <c r="BZ91">
        <v>0</v>
      </c>
      <c r="CA91">
        <v>0</v>
      </c>
      <c r="CB91">
        <v>0</v>
      </c>
      <c r="CC91">
        <v>-1.8157000000000001</v>
      </c>
      <c r="CD91">
        <v>0</v>
      </c>
      <c r="CE91">
        <v>-1.9788999999999999</v>
      </c>
      <c r="CF91" t="s">
        <v>134</v>
      </c>
      <c r="CG91">
        <v>81.487300000000005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-51.532400000000003</v>
      </c>
      <c r="CO91">
        <v>-106.3235</v>
      </c>
      <c r="CP91">
        <v>43166.966399999998</v>
      </c>
      <c r="CQ91">
        <v>36378.878499999999</v>
      </c>
      <c r="CR91">
        <v>39476.355499999998</v>
      </c>
      <c r="CS91">
        <v>2.3435000000000001</v>
      </c>
      <c r="CT91">
        <v>3.8181000000000003</v>
      </c>
      <c r="CU91">
        <v>3.1938</v>
      </c>
      <c r="CV91">
        <v>15.267200000000001</v>
      </c>
      <c r="CW91">
        <v>5.9916</v>
      </c>
      <c r="CX91">
        <v>60.918300000000002</v>
      </c>
      <c r="CY91" t="s">
        <v>134</v>
      </c>
      <c r="CZ91" t="s">
        <v>134</v>
      </c>
      <c r="DA91">
        <v>241.07900000000001</v>
      </c>
      <c r="DB91">
        <v>1.514</v>
      </c>
      <c r="DC91" t="s">
        <v>134</v>
      </c>
      <c r="DD91" t="s">
        <v>134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4:113" x14ac:dyDescent="0.3">
      <c r="E92" t="s">
        <v>7</v>
      </c>
      <c r="F92">
        <v>23.063500000000001</v>
      </c>
      <c r="G92">
        <v>18.9633</v>
      </c>
      <c r="H92">
        <v>23.063500000000001</v>
      </c>
      <c r="I92">
        <v>18.234400000000001</v>
      </c>
      <c r="J92">
        <v>27.583100000000002</v>
      </c>
      <c r="K92">
        <v>25.051400000000001</v>
      </c>
      <c r="L92">
        <v>25.868099999999998</v>
      </c>
      <c r="M92">
        <v>30.1571</v>
      </c>
      <c r="N92">
        <v>21.734100000000002</v>
      </c>
      <c r="O92">
        <v>21.734100000000002</v>
      </c>
      <c r="P92">
        <v>21.734100000000002</v>
      </c>
      <c r="Q92">
        <v>27.930299999999999</v>
      </c>
      <c r="R92" t="s">
        <v>134</v>
      </c>
      <c r="S92" t="s">
        <v>134</v>
      </c>
      <c r="T92">
        <v>23.406199999999998</v>
      </c>
      <c r="U92">
        <v>26.209600000000002</v>
      </c>
      <c r="V92">
        <v>24.3551</v>
      </c>
      <c r="W92">
        <v>16.1447</v>
      </c>
      <c r="X92">
        <v>16.162400000000002</v>
      </c>
      <c r="Y92" t="s">
        <v>134</v>
      </c>
      <c r="Z92">
        <v>16.6478</v>
      </c>
      <c r="AA92" t="s">
        <v>134</v>
      </c>
      <c r="AB92">
        <v>15.3973</v>
      </c>
      <c r="AC92">
        <v>13.6198</v>
      </c>
      <c r="AD92">
        <v>14.3215</v>
      </c>
      <c r="AE92">
        <v>7.38</v>
      </c>
      <c r="AF92">
        <v>175.71430000000001</v>
      </c>
      <c r="AG92" t="s">
        <v>134</v>
      </c>
      <c r="AH92" t="s">
        <v>134</v>
      </c>
      <c r="AI92">
        <v>12.8116</v>
      </c>
      <c r="AJ92">
        <v>12.8116</v>
      </c>
      <c r="AK92">
        <v>12.811</v>
      </c>
      <c r="AL92" t="s">
        <v>134</v>
      </c>
      <c r="AM92">
        <v>17.948399999999999</v>
      </c>
      <c r="AN92">
        <v>14.945499999999999</v>
      </c>
      <c r="AO92">
        <v>15.003299999999999</v>
      </c>
      <c r="AP92">
        <v>14.622400000000001</v>
      </c>
      <c r="AQ92">
        <v>14.6233</v>
      </c>
      <c r="AR92" t="s">
        <v>134</v>
      </c>
      <c r="AS92">
        <v>19.481100000000001</v>
      </c>
      <c r="AT92" t="s">
        <v>134</v>
      </c>
      <c r="AU92">
        <v>18.101600000000001</v>
      </c>
      <c r="AV92">
        <v>19.226299999999998</v>
      </c>
      <c r="AW92">
        <v>18.6557</v>
      </c>
      <c r="AX92">
        <v>15.414</v>
      </c>
      <c r="AY92" t="s">
        <v>134</v>
      </c>
      <c r="AZ92" t="s">
        <v>134</v>
      </c>
      <c r="BA92" t="s">
        <v>134</v>
      </c>
      <c r="BB92">
        <v>18.919699999999999</v>
      </c>
      <c r="BC92">
        <v>18.919699999999999</v>
      </c>
      <c r="BD92">
        <v>18.916</v>
      </c>
      <c r="BE92">
        <v>27.5425</v>
      </c>
      <c r="BF92">
        <v>4.3398000000000003</v>
      </c>
      <c r="BG92">
        <v>5.7614999999999998</v>
      </c>
      <c r="BH92">
        <v>5.0340999999999996</v>
      </c>
      <c r="BI92">
        <v>4.1687000000000003</v>
      </c>
      <c r="BJ92">
        <v>3.8496000000000001</v>
      </c>
      <c r="BK92" t="s">
        <v>134</v>
      </c>
      <c r="BL92">
        <v>4.2422000000000004</v>
      </c>
      <c r="BM92" t="s">
        <v>134</v>
      </c>
      <c r="BN92">
        <v>4.8009000000000004</v>
      </c>
      <c r="BO92">
        <v>5.6754999999999995</v>
      </c>
      <c r="BP92">
        <v>1.9331</v>
      </c>
      <c r="BQ92">
        <v>6.7499000000000002</v>
      </c>
      <c r="BR92">
        <v>191.39330000000001</v>
      </c>
      <c r="BS92" t="s">
        <v>134</v>
      </c>
      <c r="BT92" t="s">
        <v>134</v>
      </c>
      <c r="BU92">
        <v>6.2716000000000003</v>
      </c>
      <c r="BV92">
        <v>6.2716000000000003</v>
      </c>
      <c r="BW92">
        <v>6.2714999999999996</v>
      </c>
      <c r="BX92">
        <v>21.88</v>
      </c>
      <c r="BY92">
        <v>0</v>
      </c>
      <c r="BZ92">
        <v>0</v>
      </c>
      <c r="CA92">
        <v>0</v>
      </c>
      <c r="CB92">
        <v>0</v>
      </c>
      <c r="CC92">
        <v>-1.9300000000000002</v>
      </c>
      <c r="CD92">
        <v>0</v>
      </c>
      <c r="CE92">
        <v>-2.1114000000000002</v>
      </c>
      <c r="CF92" t="s">
        <v>134</v>
      </c>
      <c r="CG92">
        <v>81.947000000000003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-52.925800000000002</v>
      </c>
      <c r="CO92">
        <v>-112.43040000000001</v>
      </c>
      <c r="CP92">
        <v>45650</v>
      </c>
      <c r="CQ92">
        <v>37850</v>
      </c>
      <c r="CR92">
        <v>41460</v>
      </c>
      <c r="CS92">
        <v>2.4697</v>
      </c>
      <c r="CT92">
        <v>3.9047999999999998</v>
      </c>
      <c r="CU92">
        <v>3.3256000000000001</v>
      </c>
      <c r="CV92">
        <v>15.583</v>
      </c>
      <c r="CW92">
        <v>5.9168000000000003</v>
      </c>
      <c r="CX92">
        <v>61.857999999999997</v>
      </c>
      <c r="CY92" t="s">
        <v>134</v>
      </c>
      <c r="CZ92" t="s">
        <v>134</v>
      </c>
      <c r="DA92">
        <v>148.22659999999999</v>
      </c>
      <c r="DB92">
        <v>2.4691999999999998</v>
      </c>
      <c r="DC92" t="s">
        <v>134</v>
      </c>
      <c r="DD92" t="s">
        <v>134</v>
      </c>
      <c r="DE92">
        <v>0</v>
      </c>
      <c r="DF92">
        <v>0</v>
      </c>
      <c r="DG92">
        <v>0</v>
      </c>
      <c r="DH92">
        <v>0</v>
      </c>
      <c r="DI92">
        <v>0</v>
      </c>
    </row>
    <row r="93" spans="4:113" x14ac:dyDescent="0.3">
      <c r="D93" t="s">
        <v>10</v>
      </c>
      <c r="E93" t="s">
        <v>3</v>
      </c>
      <c r="F93">
        <v>21.9589</v>
      </c>
      <c r="G93">
        <v>18.087599999999998</v>
      </c>
      <c r="H93">
        <v>21.9589</v>
      </c>
      <c r="I93">
        <v>17.660699999999999</v>
      </c>
      <c r="J93">
        <v>27.165500000000002</v>
      </c>
      <c r="K93">
        <v>24.678799999999999</v>
      </c>
      <c r="L93">
        <v>21.1981</v>
      </c>
      <c r="M93">
        <v>29.132400000000001</v>
      </c>
      <c r="N93">
        <v>20.958200000000001</v>
      </c>
      <c r="O93">
        <v>20.958200000000001</v>
      </c>
      <c r="P93">
        <v>20.958200000000001</v>
      </c>
      <c r="Q93">
        <v>28.058700000000002</v>
      </c>
      <c r="R93">
        <v>41.005800000000001</v>
      </c>
      <c r="S93">
        <v>12.954499999999999</v>
      </c>
      <c r="T93">
        <v>9.6778999999999993</v>
      </c>
      <c r="U93">
        <v>8.9291</v>
      </c>
      <c r="V93">
        <v>8.2010000000000005</v>
      </c>
      <c r="W93">
        <v>6.4051999999999998</v>
      </c>
      <c r="X93">
        <v>6.3537999999999997</v>
      </c>
      <c r="Y93">
        <v>6.1856</v>
      </c>
      <c r="Z93">
        <v>8.7554999999999996</v>
      </c>
      <c r="AA93" t="s">
        <v>134</v>
      </c>
      <c r="AB93">
        <v>22.079799999999999</v>
      </c>
      <c r="AC93">
        <v>10.623799999999999</v>
      </c>
      <c r="AD93">
        <v>9.2378999999999998</v>
      </c>
      <c r="AE93">
        <v>3.0586000000000002</v>
      </c>
      <c r="AF93">
        <v>-4.9222999999999999</v>
      </c>
      <c r="AG93" t="s">
        <v>134</v>
      </c>
      <c r="AH93" t="s">
        <v>134</v>
      </c>
      <c r="AI93">
        <v>11.7226</v>
      </c>
      <c r="AJ93">
        <v>11.7226</v>
      </c>
      <c r="AK93">
        <v>11.7209</v>
      </c>
      <c r="AL93">
        <v>15.0915</v>
      </c>
      <c r="AM93">
        <v>15.213699999999999</v>
      </c>
      <c r="AN93">
        <v>11.773099999999999</v>
      </c>
      <c r="AO93">
        <v>11.6829</v>
      </c>
      <c r="AP93">
        <v>11.5336</v>
      </c>
      <c r="AQ93">
        <v>11.523400000000001</v>
      </c>
      <c r="AR93">
        <v>22.723300000000002</v>
      </c>
      <c r="AS93">
        <v>15.939500000000001</v>
      </c>
      <c r="AT93" t="s">
        <v>134</v>
      </c>
      <c r="AU93">
        <v>16.7166</v>
      </c>
      <c r="AV93">
        <v>16.7986</v>
      </c>
      <c r="AW93">
        <v>15.3308</v>
      </c>
      <c r="AX93">
        <v>9.2698999999999998</v>
      </c>
      <c r="AY93">
        <v>74.0154</v>
      </c>
      <c r="AZ93" t="s">
        <v>134</v>
      </c>
      <c r="BA93" t="s">
        <v>134</v>
      </c>
      <c r="BB93">
        <v>15.5685</v>
      </c>
      <c r="BC93">
        <v>15.5685</v>
      </c>
      <c r="BD93">
        <v>15.5678</v>
      </c>
      <c r="BE93">
        <v>11.633599999999999</v>
      </c>
      <c r="BF93">
        <v>9.6778999999999993</v>
      </c>
      <c r="BG93">
        <v>8.9291</v>
      </c>
      <c r="BH93">
        <v>8.2010000000000005</v>
      </c>
      <c r="BI93">
        <v>6.4051999999999998</v>
      </c>
      <c r="BJ93">
        <v>6.3537999999999997</v>
      </c>
      <c r="BK93">
        <v>6.1856</v>
      </c>
      <c r="BL93">
        <v>8.7554999999999996</v>
      </c>
      <c r="BM93" t="s">
        <v>134</v>
      </c>
      <c r="BN93">
        <v>22.079799999999999</v>
      </c>
      <c r="BO93">
        <v>10.623799999999999</v>
      </c>
      <c r="BP93">
        <v>9.2378999999999998</v>
      </c>
      <c r="BQ93">
        <v>3.0586000000000002</v>
      </c>
      <c r="BR93">
        <v>-4.9222999999999999</v>
      </c>
      <c r="BS93" t="s">
        <v>134</v>
      </c>
      <c r="BT93" t="s">
        <v>134</v>
      </c>
      <c r="BU93">
        <v>11.7226</v>
      </c>
      <c r="BV93">
        <v>11.7226</v>
      </c>
      <c r="BW93">
        <v>11.7209</v>
      </c>
      <c r="BX93">
        <v>15.0915</v>
      </c>
      <c r="BY93">
        <v>0</v>
      </c>
      <c r="BZ93">
        <v>0</v>
      </c>
      <c r="CA93">
        <v>0</v>
      </c>
      <c r="CB93">
        <v>0</v>
      </c>
      <c r="CC93">
        <v>-1.752</v>
      </c>
      <c r="CD93">
        <v>0</v>
      </c>
      <c r="CE93">
        <v>-1.9285999999999999</v>
      </c>
      <c r="CF93" t="s">
        <v>134</v>
      </c>
      <c r="CG93">
        <v>82.756900000000002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-47.2515</v>
      </c>
      <c r="CO93">
        <v>-89.578699999999998</v>
      </c>
      <c r="CP93">
        <v>186040</v>
      </c>
      <c r="CQ93">
        <v>158440</v>
      </c>
      <c r="CR93">
        <v>169010</v>
      </c>
      <c r="CS93">
        <v>2.3260999999999998</v>
      </c>
      <c r="CT93">
        <v>3.8325</v>
      </c>
      <c r="CU93">
        <v>3.2054</v>
      </c>
      <c r="CV93">
        <v>13.133699999999999</v>
      </c>
      <c r="CW93">
        <v>5.7910000000000004</v>
      </c>
      <c r="CX93">
        <v>63.029200000000003</v>
      </c>
      <c r="CY93" t="s">
        <v>134</v>
      </c>
      <c r="CZ93" t="s">
        <v>134</v>
      </c>
      <c r="DA93">
        <v>114.8818</v>
      </c>
      <c r="DB93">
        <v>3.1772</v>
      </c>
      <c r="DC93" t="s">
        <v>134</v>
      </c>
      <c r="DD93" t="s">
        <v>134</v>
      </c>
      <c r="DE93">
        <v>0</v>
      </c>
      <c r="DF93">
        <v>0</v>
      </c>
      <c r="DG93">
        <v>0</v>
      </c>
      <c r="DH93">
        <v>0</v>
      </c>
      <c r="DI93">
        <v>0</v>
      </c>
    </row>
    <row r="94" spans="4:113" x14ac:dyDescent="0.3">
      <c r="E94" t="s">
        <v>4</v>
      </c>
      <c r="F94">
        <v>23.801400000000001</v>
      </c>
      <c r="G94">
        <v>19.057200000000002</v>
      </c>
      <c r="H94">
        <v>23.801400000000001</v>
      </c>
      <c r="I94">
        <v>20.523499999999999</v>
      </c>
      <c r="J94">
        <v>26.4694</v>
      </c>
      <c r="K94">
        <v>24.070399999999999</v>
      </c>
      <c r="L94">
        <v>24.898</v>
      </c>
      <c r="M94">
        <v>28.5486</v>
      </c>
      <c r="N94">
        <v>20.431799999999999</v>
      </c>
      <c r="O94">
        <v>20.431799999999999</v>
      </c>
      <c r="P94">
        <v>20.431799999999999</v>
      </c>
      <c r="Q94">
        <v>28.4314</v>
      </c>
      <c r="R94" t="s">
        <v>134</v>
      </c>
      <c r="S94" t="s">
        <v>134</v>
      </c>
      <c r="T94">
        <v>10.8599</v>
      </c>
      <c r="U94">
        <v>12.2034</v>
      </c>
      <c r="V94">
        <v>11.275399999999999</v>
      </c>
      <c r="W94">
        <v>7.3529</v>
      </c>
      <c r="X94">
        <v>4.7618999999999998</v>
      </c>
      <c r="Y94" t="s">
        <v>134</v>
      </c>
      <c r="Z94">
        <v>6.2763999999999998</v>
      </c>
      <c r="AA94" t="s">
        <v>134</v>
      </c>
      <c r="AB94">
        <v>8.7014999999999993</v>
      </c>
      <c r="AC94">
        <v>6.8952</v>
      </c>
      <c r="AD94">
        <v>5.9040999999999997</v>
      </c>
      <c r="AE94">
        <v>6.1927000000000003</v>
      </c>
      <c r="AF94">
        <v>25.8065</v>
      </c>
      <c r="AG94" t="s">
        <v>134</v>
      </c>
      <c r="AH94" t="s">
        <v>134</v>
      </c>
      <c r="AI94">
        <v>7.2560000000000002</v>
      </c>
      <c r="AJ94">
        <v>7.2560000000000002</v>
      </c>
      <c r="AK94">
        <v>7.2549000000000001</v>
      </c>
      <c r="AL94">
        <v>31.014500000000002</v>
      </c>
      <c r="AM94">
        <v>8.3994999999999997</v>
      </c>
      <c r="AN94">
        <v>6.42</v>
      </c>
      <c r="AO94">
        <v>6.7140000000000004</v>
      </c>
      <c r="AP94">
        <v>5.8810000000000002</v>
      </c>
      <c r="AQ94">
        <v>5.6043000000000003</v>
      </c>
      <c r="AR94" t="s">
        <v>134</v>
      </c>
      <c r="AS94">
        <v>10.029</v>
      </c>
      <c r="AT94" t="s">
        <v>134</v>
      </c>
      <c r="AU94">
        <v>8.2413000000000007</v>
      </c>
      <c r="AV94">
        <v>9.6311</v>
      </c>
      <c r="AW94">
        <v>9.6379000000000001</v>
      </c>
      <c r="AX94">
        <v>3.3108</v>
      </c>
      <c r="AY94">
        <v>50.806100000000001</v>
      </c>
      <c r="AZ94" t="s">
        <v>134</v>
      </c>
      <c r="BA94" t="s">
        <v>134</v>
      </c>
      <c r="BB94">
        <v>7.8917999999999999</v>
      </c>
      <c r="BC94">
        <v>7.8917999999999999</v>
      </c>
      <c r="BD94">
        <v>7.8898000000000001</v>
      </c>
      <c r="BE94">
        <v>3.6954000000000002</v>
      </c>
      <c r="BF94">
        <v>1.9561999999999999</v>
      </c>
      <c r="BG94">
        <v>-3.7210000000000001</v>
      </c>
      <c r="BH94">
        <v>-3.7542</v>
      </c>
      <c r="BI94">
        <v>-4.1531000000000002</v>
      </c>
      <c r="BJ94">
        <v>-5.6990999999999996</v>
      </c>
      <c r="BK94" t="s">
        <v>134</v>
      </c>
      <c r="BL94">
        <v>2.8115000000000001</v>
      </c>
      <c r="BM94" t="s">
        <v>134</v>
      </c>
      <c r="BN94">
        <v>11.934200000000001</v>
      </c>
      <c r="BO94">
        <v>-0.65180000000000005</v>
      </c>
      <c r="BP94">
        <v>4.0804999999999998</v>
      </c>
      <c r="BQ94">
        <v>-4.5763999999999996</v>
      </c>
      <c r="BR94">
        <v>-33.167200000000001</v>
      </c>
      <c r="BS94" t="s">
        <v>134</v>
      </c>
      <c r="BT94" t="s">
        <v>134</v>
      </c>
      <c r="BU94">
        <v>-2.7673999999999999</v>
      </c>
      <c r="BV94">
        <v>-2.7673999999999999</v>
      </c>
      <c r="BW94">
        <v>-2.7679</v>
      </c>
      <c r="BX94" t="s">
        <v>134</v>
      </c>
      <c r="BY94">
        <v>0</v>
      </c>
      <c r="BZ94">
        <v>0</v>
      </c>
      <c r="CA94">
        <v>0</v>
      </c>
      <c r="CB94">
        <v>0</v>
      </c>
      <c r="CC94">
        <v>-1.7534999999999998</v>
      </c>
      <c r="CD94">
        <v>0</v>
      </c>
      <c r="CE94">
        <v>-1.9212</v>
      </c>
      <c r="CF94" t="s">
        <v>134</v>
      </c>
      <c r="CG94">
        <v>80.197900000000004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-51.575600000000001</v>
      </c>
      <c r="CO94">
        <v>-106.5074</v>
      </c>
      <c r="CP94">
        <v>44288.039299999997</v>
      </c>
      <c r="CQ94">
        <v>35724.792999999998</v>
      </c>
      <c r="CR94">
        <v>40274.017599999999</v>
      </c>
      <c r="CS94">
        <v>2.1433</v>
      </c>
      <c r="CT94">
        <v>3.544</v>
      </c>
      <c r="CU94">
        <v>2.9496000000000002</v>
      </c>
      <c r="CV94">
        <v>14.3893</v>
      </c>
      <c r="CW94">
        <v>5.7069000000000001</v>
      </c>
      <c r="CX94">
        <v>64.133399999999995</v>
      </c>
      <c r="CY94" t="s">
        <v>134</v>
      </c>
      <c r="CZ94" t="s">
        <v>134</v>
      </c>
      <c r="DA94" t="s">
        <v>134</v>
      </c>
      <c r="DB94" t="s">
        <v>134</v>
      </c>
      <c r="DC94" t="s">
        <v>134</v>
      </c>
      <c r="DD94" t="s">
        <v>134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4:113" x14ac:dyDescent="0.3">
      <c r="E95" t="s">
        <v>5</v>
      </c>
      <c r="F95">
        <v>23.0504</v>
      </c>
      <c r="G95">
        <v>18.7728</v>
      </c>
      <c r="H95">
        <v>23.0504</v>
      </c>
      <c r="I95">
        <v>19.7849</v>
      </c>
      <c r="J95">
        <v>27.342600000000001</v>
      </c>
      <c r="K95">
        <v>24.8931</v>
      </c>
      <c r="L95">
        <v>19.565899999999999</v>
      </c>
      <c r="M95">
        <v>29.266300000000001</v>
      </c>
      <c r="N95">
        <v>20.831900000000001</v>
      </c>
      <c r="O95">
        <v>20.831900000000001</v>
      </c>
      <c r="P95">
        <v>20.831900000000001</v>
      </c>
      <c r="Q95">
        <v>28.819600000000001</v>
      </c>
      <c r="R95" t="s">
        <v>134</v>
      </c>
      <c r="S95" t="s">
        <v>134</v>
      </c>
      <c r="T95">
        <v>11.423400000000001</v>
      </c>
      <c r="U95">
        <v>9.5861000000000001</v>
      </c>
      <c r="V95">
        <v>8.7645</v>
      </c>
      <c r="W95">
        <v>6.9790999999999999</v>
      </c>
      <c r="X95">
        <v>5.5709999999999997</v>
      </c>
      <c r="Y95" t="s">
        <v>134</v>
      </c>
      <c r="Z95">
        <v>11.4084</v>
      </c>
      <c r="AA95" t="s">
        <v>134</v>
      </c>
      <c r="AB95">
        <v>15.6905</v>
      </c>
      <c r="AC95">
        <v>11.6761</v>
      </c>
      <c r="AD95">
        <v>9.6283999999999992</v>
      </c>
      <c r="AE95">
        <v>13.4636</v>
      </c>
      <c r="AF95">
        <v>175.5915</v>
      </c>
      <c r="AG95" t="s">
        <v>134</v>
      </c>
      <c r="AH95" t="s">
        <v>134</v>
      </c>
      <c r="AI95">
        <v>13.151</v>
      </c>
      <c r="AJ95">
        <v>13.151</v>
      </c>
      <c r="AK95">
        <v>13.1494</v>
      </c>
      <c r="AL95">
        <v>20.008199999999999</v>
      </c>
      <c r="AM95">
        <v>16.7224</v>
      </c>
      <c r="AN95">
        <v>13.8391</v>
      </c>
      <c r="AO95">
        <v>13.9566</v>
      </c>
      <c r="AP95">
        <v>13.904299999999999</v>
      </c>
      <c r="AQ95">
        <v>13.871600000000001</v>
      </c>
      <c r="AR95" t="s">
        <v>134</v>
      </c>
      <c r="AS95">
        <v>16.334499999999998</v>
      </c>
      <c r="AT95" t="s">
        <v>134</v>
      </c>
      <c r="AU95">
        <v>17.384699999999999</v>
      </c>
      <c r="AV95">
        <v>18.052099999999999</v>
      </c>
      <c r="AW95">
        <v>15.815099999999999</v>
      </c>
      <c r="AX95">
        <v>12.9894</v>
      </c>
      <c r="AY95">
        <v>65.826599999999999</v>
      </c>
      <c r="AZ95" t="s">
        <v>134</v>
      </c>
      <c r="BA95" t="s">
        <v>134</v>
      </c>
      <c r="BB95">
        <v>16.927700000000002</v>
      </c>
      <c r="BC95">
        <v>16.927700000000002</v>
      </c>
      <c r="BD95">
        <v>16.925999999999998</v>
      </c>
      <c r="BE95">
        <v>12.5318</v>
      </c>
      <c r="BF95">
        <v>3.4737</v>
      </c>
      <c r="BG95">
        <v>6.8871000000000002</v>
      </c>
      <c r="BH95">
        <v>7.0106000000000002</v>
      </c>
      <c r="BI95">
        <v>5.4998000000000005</v>
      </c>
      <c r="BJ95">
        <v>7.1657000000000002</v>
      </c>
      <c r="BK95" t="s">
        <v>134</v>
      </c>
      <c r="BL95">
        <v>-2.6959999999999997</v>
      </c>
      <c r="BM95" t="s">
        <v>134</v>
      </c>
      <c r="BN95">
        <v>2.1021999999999998</v>
      </c>
      <c r="BO95">
        <v>3.5135999999999998</v>
      </c>
      <c r="BP95">
        <v>-3.1322999999999999</v>
      </c>
      <c r="BQ95">
        <v>8.5177999999999994</v>
      </c>
      <c r="BR95">
        <v>16.5717</v>
      </c>
      <c r="BS95" t="s">
        <v>134</v>
      </c>
      <c r="BT95" t="s">
        <v>134</v>
      </c>
      <c r="BU95">
        <v>5.7712000000000003</v>
      </c>
      <c r="BV95">
        <v>5.7712000000000003</v>
      </c>
      <c r="BW95">
        <v>5.7702999999999998</v>
      </c>
      <c r="BX95">
        <v>24.000599999999999</v>
      </c>
      <c r="BY95">
        <v>0</v>
      </c>
      <c r="BZ95">
        <v>0</v>
      </c>
      <c r="CA95">
        <v>0</v>
      </c>
      <c r="CB95">
        <v>0</v>
      </c>
      <c r="CC95">
        <v>-1.7516</v>
      </c>
      <c r="CD95">
        <v>0</v>
      </c>
      <c r="CE95">
        <v>-1.9228000000000001</v>
      </c>
      <c r="CF95" t="s">
        <v>134</v>
      </c>
      <c r="CG95">
        <v>81.947000000000003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-48.950299999999999</v>
      </c>
      <c r="CO95">
        <v>-95.887299999999996</v>
      </c>
      <c r="CP95">
        <v>47330</v>
      </c>
      <c r="CQ95">
        <v>41230</v>
      </c>
      <c r="CR95">
        <v>43090</v>
      </c>
      <c r="CS95">
        <v>2.2837000000000001</v>
      </c>
      <c r="CT95">
        <v>3.9300999999999999</v>
      </c>
      <c r="CU95">
        <v>3.1164000000000001</v>
      </c>
      <c r="CV95">
        <v>13.4222</v>
      </c>
      <c r="CW95">
        <v>6.0528000000000004</v>
      </c>
      <c r="CX95">
        <v>60.468299999999999</v>
      </c>
      <c r="CY95" t="s">
        <v>134</v>
      </c>
      <c r="CZ95" t="s">
        <v>134</v>
      </c>
      <c r="DA95" t="s">
        <v>134</v>
      </c>
      <c r="DB95" t="s">
        <v>134</v>
      </c>
      <c r="DC95" t="s">
        <v>134</v>
      </c>
      <c r="DD95" t="s">
        <v>134</v>
      </c>
      <c r="DE95">
        <v>0</v>
      </c>
      <c r="DF95">
        <v>0</v>
      </c>
      <c r="DG95">
        <v>0</v>
      </c>
      <c r="DH95">
        <v>0</v>
      </c>
      <c r="DI95">
        <v>0</v>
      </c>
    </row>
    <row r="96" spans="4:113" x14ac:dyDescent="0.3">
      <c r="E96" t="s">
        <v>6</v>
      </c>
      <c r="F96">
        <v>23.1769</v>
      </c>
      <c r="G96">
        <v>18.856400000000001</v>
      </c>
      <c r="H96">
        <v>23.1769</v>
      </c>
      <c r="I96">
        <v>19.9787</v>
      </c>
      <c r="J96">
        <v>27.597999999999999</v>
      </c>
      <c r="K96">
        <v>25.091200000000001</v>
      </c>
      <c r="L96">
        <v>27.4</v>
      </c>
      <c r="M96">
        <v>29.8385</v>
      </c>
      <c r="N96">
        <v>21.466999999999999</v>
      </c>
      <c r="O96">
        <v>21.466999999999999</v>
      </c>
      <c r="P96">
        <v>21.466999999999999</v>
      </c>
      <c r="Q96">
        <v>28.055900000000001</v>
      </c>
      <c r="R96" t="s">
        <v>134</v>
      </c>
      <c r="S96" t="s">
        <v>134</v>
      </c>
      <c r="T96">
        <v>8.8978999999999999</v>
      </c>
      <c r="U96">
        <v>10.4414</v>
      </c>
      <c r="V96">
        <v>9.7969000000000008</v>
      </c>
      <c r="W96">
        <v>7.3832000000000004</v>
      </c>
      <c r="X96">
        <v>7.0164999999999997</v>
      </c>
      <c r="Y96" t="s">
        <v>134</v>
      </c>
      <c r="Z96">
        <v>19.073499999999999</v>
      </c>
      <c r="AA96" t="s">
        <v>134</v>
      </c>
      <c r="AB96">
        <v>13.559200000000001</v>
      </c>
      <c r="AC96">
        <v>13.036</v>
      </c>
      <c r="AD96">
        <v>17.4224</v>
      </c>
      <c r="AE96">
        <v>4.5708000000000002</v>
      </c>
      <c r="AF96">
        <v>152.89320000000001</v>
      </c>
      <c r="AG96" t="s">
        <v>134</v>
      </c>
      <c r="AH96" t="s">
        <v>134</v>
      </c>
      <c r="AI96">
        <v>12.6999</v>
      </c>
      <c r="AJ96">
        <v>12.6999</v>
      </c>
      <c r="AK96">
        <v>12.6983</v>
      </c>
      <c r="AL96">
        <v>20.439299999999999</v>
      </c>
      <c r="AM96">
        <v>13.410500000000001</v>
      </c>
      <c r="AN96">
        <v>9.0991999999999997</v>
      </c>
      <c r="AO96">
        <v>8.7085000000000008</v>
      </c>
      <c r="AP96">
        <v>9.6928000000000001</v>
      </c>
      <c r="AQ96">
        <v>9.7306000000000008</v>
      </c>
      <c r="AR96" t="s">
        <v>134</v>
      </c>
      <c r="AS96">
        <v>16.410499999999999</v>
      </c>
      <c r="AT96" t="s">
        <v>134</v>
      </c>
      <c r="AU96">
        <v>17.606000000000002</v>
      </c>
      <c r="AV96">
        <v>17.3066</v>
      </c>
      <c r="AW96">
        <v>15.9238</v>
      </c>
      <c r="AX96">
        <v>9.5442999999999998</v>
      </c>
      <c r="AY96">
        <v>60.0854</v>
      </c>
      <c r="AZ96" t="s">
        <v>134</v>
      </c>
      <c r="BA96" t="s">
        <v>134</v>
      </c>
      <c r="BB96">
        <v>16.019100000000002</v>
      </c>
      <c r="BC96">
        <v>16.019100000000002</v>
      </c>
      <c r="BD96">
        <v>16.018000000000001</v>
      </c>
      <c r="BE96">
        <v>10.8459</v>
      </c>
      <c r="BF96">
        <v>-0.2137</v>
      </c>
      <c r="BG96">
        <v>0.71840000000000004</v>
      </c>
      <c r="BH96">
        <v>0.58020000000000005</v>
      </c>
      <c r="BI96">
        <v>2.8285999999999998</v>
      </c>
      <c r="BJ96">
        <v>2.8534999999999999</v>
      </c>
      <c r="BK96" t="s">
        <v>134</v>
      </c>
      <c r="BL96">
        <v>11.848599999999999</v>
      </c>
      <c r="BM96" t="s">
        <v>134</v>
      </c>
      <c r="BN96">
        <v>1.9022999999999999</v>
      </c>
      <c r="BO96">
        <v>1.9392</v>
      </c>
      <c r="BP96">
        <v>11.9229</v>
      </c>
      <c r="BQ96">
        <v>-7.4741</v>
      </c>
      <c r="BR96">
        <v>9.1204999999999998</v>
      </c>
      <c r="BS96" t="s">
        <v>134</v>
      </c>
      <c r="BT96" t="s">
        <v>134</v>
      </c>
      <c r="BU96">
        <v>1.0659000000000001</v>
      </c>
      <c r="BV96">
        <v>1.0659000000000001</v>
      </c>
      <c r="BW96">
        <v>1.0659000000000001</v>
      </c>
      <c r="BX96">
        <v>0.3468</v>
      </c>
      <c r="BY96">
        <v>0</v>
      </c>
      <c r="BZ96">
        <v>0</v>
      </c>
      <c r="CA96">
        <v>0</v>
      </c>
      <c r="CB96">
        <v>0</v>
      </c>
      <c r="CC96">
        <v>-1.6415999999999999</v>
      </c>
      <c r="CD96">
        <v>0</v>
      </c>
      <c r="CE96">
        <v>-1.8046</v>
      </c>
      <c r="CF96" t="s">
        <v>134</v>
      </c>
      <c r="CG96">
        <v>81.245000000000005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-46.523000000000003</v>
      </c>
      <c r="CO96">
        <v>-86.996200000000002</v>
      </c>
      <c r="CP96">
        <v>47670</v>
      </c>
      <c r="CQ96">
        <v>41390</v>
      </c>
      <c r="CR96">
        <v>43340</v>
      </c>
      <c r="CS96">
        <v>2.0701000000000001</v>
      </c>
      <c r="CT96">
        <v>3.5585</v>
      </c>
      <c r="CU96">
        <v>2.9491000000000001</v>
      </c>
      <c r="CV96">
        <v>12.561299999999999</v>
      </c>
      <c r="CW96">
        <v>5.7000999999999999</v>
      </c>
      <c r="CX96">
        <v>64.209800000000001</v>
      </c>
      <c r="CY96" t="s">
        <v>134</v>
      </c>
      <c r="CZ96" t="s">
        <v>134</v>
      </c>
      <c r="DA96" t="s">
        <v>134</v>
      </c>
      <c r="DB96" t="s">
        <v>134</v>
      </c>
      <c r="DC96" t="s">
        <v>134</v>
      </c>
      <c r="DD96" t="s">
        <v>134</v>
      </c>
      <c r="DE96">
        <v>0</v>
      </c>
      <c r="DF96">
        <v>0</v>
      </c>
      <c r="DG96">
        <v>0</v>
      </c>
      <c r="DH96">
        <v>0</v>
      </c>
      <c r="DI96">
        <v>0</v>
      </c>
    </row>
    <row r="97" spans="1:113" x14ac:dyDescent="0.3">
      <c r="E97" t="s">
        <v>7</v>
      </c>
      <c r="F97">
        <v>21.9314</v>
      </c>
      <c r="G97">
        <v>18.065000000000001</v>
      </c>
      <c r="H97">
        <v>21.9314</v>
      </c>
      <c r="I97">
        <v>17.638500000000001</v>
      </c>
      <c r="J97">
        <v>27.207899999999999</v>
      </c>
      <c r="K97">
        <v>24.602799999999998</v>
      </c>
      <c r="L97" t="s">
        <v>134</v>
      </c>
      <c r="M97">
        <v>28.814299999999999</v>
      </c>
      <c r="N97">
        <v>21.0456</v>
      </c>
      <c r="O97">
        <v>21.0456</v>
      </c>
      <c r="P97">
        <v>21.0456</v>
      </c>
      <c r="Q97">
        <v>26.961300000000001</v>
      </c>
      <c r="R97" t="s">
        <v>134</v>
      </c>
      <c r="S97" t="s">
        <v>134</v>
      </c>
      <c r="T97">
        <v>3.4441000000000002</v>
      </c>
      <c r="U97">
        <v>0.40960000000000002</v>
      </c>
      <c r="V97">
        <v>-0.18959999999999999</v>
      </c>
      <c r="W97">
        <v>0.1668</v>
      </c>
      <c r="X97">
        <v>0.12709999999999999</v>
      </c>
      <c r="Y97" t="s">
        <v>134</v>
      </c>
      <c r="Z97">
        <v>8.7554999999999996</v>
      </c>
      <c r="AA97" t="s">
        <v>134</v>
      </c>
      <c r="AB97">
        <v>22.079799999999999</v>
      </c>
      <c r="AC97">
        <v>10.623799999999999</v>
      </c>
      <c r="AD97">
        <v>9.2378999999999998</v>
      </c>
      <c r="AE97">
        <v>3.0586000000000002</v>
      </c>
      <c r="AF97">
        <v>-4.9222999999999999</v>
      </c>
      <c r="AG97" t="s">
        <v>134</v>
      </c>
      <c r="AH97" t="s">
        <v>134</v>
      </c>
      <c r="AI97">
        <v>11.7226</v>
      </c>
      <c r="AJ97">
        <v>11.7226</v>
      </c>
      <c r="AK97">
        <v>11.7209</v>
      </c>
      <c r="AL97" t="s">
        <v>134</v>
      </c>
      <c r="AM97">
        <v>149.4922</v>
      </c>
      <c r="AN97">
        <v>140.66050000000001</v>
      </c>
      <c r="AO97">
        <v>140.0882</v>
      </c>
      <c r="AP97">
        <v>138.90029999999999</v>
      </c>
      <c r="AQ97">
        <v>138.88839999999999</v>
      </c>
      <c r="AR97" t="s">
        <v>134</v>
      </c>
      <c r="AS97">
        <v>154.4161</v>
      </c>
      <c r="AT97" t="s">
        <v>134</v>
      </c>
      <c r="AU97">
        <v>156.1234</v>
      </c>
      <c r="AV97">
        <v>156.2988</v>
      </c>
      <c r="AW97">
        <v>153.10159999999999</v>
      </c>
      <c r="AX97">
        <v>139.77709999999999</v>
      </c>
      <c r="AY97">
        <v>274.23050000000001</v>
      </c>
      <c r="AZ97" t="s">
        <v>134</v>
      </c>
      <c r="BA97" t="s">
        <v>134</v>
      </c>
      <c r="BB97">
        <v>153.60319999999999</v>
      </c>
      <c r="BC97">
        <v>153.60319999999999</v>
      </c>
      <c r="BD97">
        <v>153.60169999999999</v>
      </c>
      <c r="BE97" t="s">
        <v>134</v>
      </c>
      <c r="BF97">
        <v>-0.88580000000000003</v>
      </c>
      <c r="BG97">
        <v>-2.2866</v>
      </c>
      <c r="BH97">
        <v>-2.8149999999999999</v>
      </c>
      <c r="BI97">
        <v>-2.8317000000000001</v>
      </c>
      <c r="BJ97">
        <v>-2.8359999999999999</v>
      </c>
      <c r="BK97" t="s">
        <v>134</v>
      </c>
      <c r="BL97">
        <v>-4.7905999999999995</v>
      </c>
      <c r="BM97" t="s">
        <v>134</v>
      </c>
      <c r="BN97">
        <v>2.6818999999999997</v>
      </c>
      <c r="BO97">
        <v>3.3668</v>
      </c>
      <c r="BP97">
        <v>-5.1717000000000004</v>
      </c>
      <c r="BQ97">
        <v>5.3649000000000004</v>
      </c>
      <c r="BR97">
        <v>9.5521999999999991</v>
      </c>
      <c r="BS97" t="s">
        <v>134</v>
      </c>
      <c r="BT97" t="s">
        <v>134</v>
      </c>
      <c r="BU97">
        <v>5.2903000000000002</v>
      </c>
      <c r="BV97">
        <v>5.2903000000000002</v>
      </c>
      <c r="BW97">
        <v>5.2902000000000005</v>
      </c>
      <c r="BX97">
        <v>-1.4885999999999999</v>
      </c>
      <c r="BY97">
        <v>0</v>
      </c>
      <c r="BZ97">
        <v>0</v>
      </c>
      <c r="CA97">
        <v>0</v>
      </c>
      <c r="CB97">
        <v>0</v>
      </c>
      <c r="CC97">
        <v>-1.7537</v>
      </c>
      <c r="CD97">
        <v>0</v>
      </c>
      <c r="CE97">
        <v>-1.9308000000000001</v>
      </c>
      <c r="CF97" t="s">
        <v>134</v>
      </c>
      <c r="CG97">
        <v>82.756900000000002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-47.2515</v>
      </c>
      <c r="CO97">
        <v>-89.578699999999998</v>
      </c>
      <c r="CP97">
        <v>46580</v>
      </c>
      <c r="CQ97">
        <v>39950</v>
      </c>
      <c r="CR97">
        <v>42120</v>
      </c>
      <c r="CS97">
        <v>2.3260999999999998</v>
      </c>
      <c r="CT97">
        <v>3.8325</v>
      </c>
      <c r="CU97">
        <v>3.2054</v>
      </c>
      <c r="CV97">
        <v>13.133699999999999</v>
      </c>
      <c r="CW97">
        <v>5.7866</v>
      </c>
      <c r="CX97">
        <v>63.077199999999998</v>
      </c>
      <c r="CY97" t="s">
        <v>134</v>
      </c>
      <c r="CZ97" t="s">
        <v>134</v>
      </c>
      <c r="DA97">
        <v>114.79600000000001</v>
      </c>
      <c r="DB97">
        <v>3.1796000000000002</v>
      </c>
      <c r="DC97" t="s">
        <v>134</v>
      </c>
      <c r="DD97" t="s">
        <v>134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 x14ac:dyDescent="0.3">
      <c r="D98" t="s">
        <v>11</v>
      </c>
      <c r="E98" t="s">
        <v>3</v>
      </c>
      <c r="F98">
        <v>23.940899999999999</v>
      </c>
      <c r="G98">
        <v>19.638000000000002</v>
      </c>
      <c r="H98">
        <v>23.9407</v>
      </c>
      <c r="I98">
        <v>19.544799999999999</v>
      </c>
      <c r="J98">
        <v>26.9575</v>
      </c>
      <c r="K98">
        <v>24.315799999999999</v>
      </c>
      <c r="L98">
        <v>12.1197</v>
      </c>
      <c r="M98">
        <v>28.742799999999999</v>
      </c>
      <c r="N98">
        <v>22.729099999999999</v>
      </c>
      <c r="O98">
        <v>22.729099999999999</v>
      </c>
      <c r="P98">
        <v>22.729099999999999</v>
      </c>
      <c r="Q98">
        <v>20.922499999999999</v>
      </c>
      <c r="R98">
        <v>58.98</v>
      </c>
      <c r="S98">
        <v>9.8204999999999991</v>
      </c>
      <c r="T98">
        <v>2.9759000000000002</v>
      </c>
      <c r="U98">
        <v>2.1877</v>
      </c>
      <c r="V98">
        <v>1.4615</v>
      </c>
      <c r="W98">
        <v>11.677</v>
      </c>
      <c r="X98">
        <v>13.1114</v>
      </c>
      <c r="Y98">
        <v>30.097100000000001</v>
      </c>
      <c r="Z98">
        <v>6.6547999999999998</v>
      </c>
      <c r="AA98" t="s">
        <v>134</v>
      </c>
      <c r="AB98">
        <v>3.6446000000000001</v>
      </c>
      <c r="AC98">
        <v>-4.1569000000000003</v>
      </c>
      <c r="AD98">
        <v>4.1238000000000001</v>
      </c>
      <c r="AE98">
        <v>-9.5233000000000008</v>
      </c>
      <c r="AF98">
        <v>89.100800000000007</v>
      </c>
      <c r="AG98" t="s">
        <v>134</v>
      </c>
      <c r="AH98" t="s">
        <v>134</v>
      </c>
      <c r="AI98">
        <v>-5.8826999999999998</v>
      </c>
      <c r="AJ98">
        <v>-5.8826999999999998</v>
      </c>
      <c r="AK98">
        <v>-1.0190999999999999</v>
      </c>
      <c r="AL98">
        <v>4.9146000000000001</v>
      </c>
      <c r="AM98">
        <v>11.812899999999999</v>
      </c>
      <c r="AN98">
        <v>10.9648</v>
      </c>
      <c r="AO98">
        <v>11.012</v>
      </c>
      <c r="AP98">
        <v>11.214600000000001</v>
      </c>
      <c r="AQ98">
        <v>11.4899</v>
      </c>
      <c r="AR98">
        <v>26.116299999999999</v>
      </c>
      <c r="AS98">
        <v>13.158899999999999</v>
      </c>
      <c r="AT98" t="s">
        <v>134</v>
      </c>
      <c r="AU98">
        <v>13.425599999999999</v>
      </c>
      <c r="AV98">
        <v>11.503</v>
      </c>
      <c r="AW98">
        <v>12.5449</v>
      </c>
      <c r="AX98">
        <v>4.3487999999999998</v>
      </c>
      <c r="AY98">
        <v>29.7118</v>
      </c>
      <c r="AZ98" t="s">
        <v>134</v>
      </c>
      <c r="BA98" t="s">
        <v>134</v>
      </c>
      <c r="BB98">
        <v>10.2836</v>
      </c>
      <c r="BC98">
        <v>10.2836</v>
      </c>
      <c r="BD98">
        <v>11.4001</v>
      </c>
      <c r="BE98">
        <v>9.0826999999999991</v>
      </c>
      <c r="BF98">
        <v>2.9759000000000002</v>
      </c>
      <c r="BG98">
        <v>2.1877</v>
      </c>
      <c r="BH98">
        <v>1.4615</v>
      </c>
      <c r="BI98">
        <v>11.677</v>
      </c>
      <c r="BJ98">
        <v>13.1114</v>
      </c>
      <c r="BK98">
        <v>30.097100000000001</v>
      </c>
      <c r="BL98">
        <v>6.6547999999999998</v>
      </c>
      <c r="BM98" t="s">
        <v>134</v>
      </c>
      <c r="BN98">
        <v>3.6446000000000001</v>
      </c>
      <c r="BO98">
        <v>-4.1569000000000003</v>
      </c>
      <c r="BP98">
        <v>4.1238000000000001</v>
      </c>
      <c r="BQ98">
        <v>-9.5233000000000008</v>
      </c>
      <c r="BR98">
        <v>89.100800000000007</v>
      </c>
      <c r="BS98" t="s">
        <v>134</v>
      </c>
      <c r="BT98" t="s">
        <v>134</v>
      </c>
      <c r="BU98">
        <v>-5.8826999999999998</v>
      </c>
      <c r="BV98">
        <v>-5.8826999999999998</v>
      </c>
      <c r="BW98">
        <v>-1.0190999999999999</v>
      </c>
      <c r="BX98">
        <v>4.9146000000000001</v>
      </c>
      <c r="BY98">
        <v>0</v>
      </c>
      <c r="BZ98">
        <v>0</v>
      </c>
      <c r="CA98">
        <v>0</v>
      </c>
      <c r="CB98">
        <v>0</v>
      </c>
      <c r="CC98">
        <v>-1.3794999999999999</v>
      </c>
      <c r="CD98">
        <v>0</v>
      </c>
      <c r="CE98">
        <v>-1.5293000000000001</v>
      </c>
      <c r="CF98" t="s">
        <v>134</v>
      </c>
      <c r="CG98">
        <v>81.265500000000003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-40.3934</v>
      </c>
      <c r="CO98">
        <v>-67.766599999999997</v>
      </c>
      <c r="CP98">
        <v>190110</v>
      </c>
      <c r="CQ98">
        <v>170130</v>
      </c>
      <c r="CR98">
        <v>171480</v>
      </c>
      <c r="CS98">
        <v>1.8593</v>
      </c>
      <c r="CT98">
        <v>3.5460000000000003</v>
      </c>
      <c r="CU98">
        <v>2.7909999999999999</v>
      </c>
      <c r="CV98">
        <v>13.2158</v>
      </c>
      <c r="CW98">
        <v>5.5389999999999997</v>
      </c>
      <c r="CX98">
        <v>65.896900000000002</v>
      </c>
      <c r="CY98" t="s">
        <v>134</v>
      </c>
      <c r="CZ98" t="s">
        <v>134</v>
      </c>
      <c r="DA98">
        <v>85.070700000000002</v>
      </c>
      <c r="DB98">
        <v>4.2904999999999998</v>
      </c>
      <c r="DC98" t="s">
        <v>134</v>
      </c>
      <c r="DD98" t="s">
        <v>134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 x14ac:dyDescent="0.3">
      <c r="E99" t="s">
        <v>4</v>
      </c>
      <c r="F99">
        <v>22.1876</v>
      </c>
      <c r="G99">
        <v>17.8278</v>
      </c>
      <c r="H99">
        <v>22.1876</v>
      </c>
      <c r="I99">
        <v>18.449100000000001</v>
      </c>
      <c r="J99">
        <v>26.706900000000001</v>
      </c>
      <c r="K99">
        <v>24.071899999999999</v>
      </c>
      <c r="L99">
        <v>24.145399999999999</v>
      </c>
      <c r="M99">
        <v>28.422499999999999</v>
      </c>
      <c r="N99">
        <v>20.3947</v>
      </c>
      <c r="O99">
        <v>20.3947</v>
      </c>
      <c r="P99">
        <v>20.3947</v>
      </c>
      <c r="Q99">
        <v>28.244700000000002</v>
      </c>
      <c r="R99" t="s">
        <v>134</v>
      </c>
      <c r="S99" t="s">
        <v>134</v>
      </c>
      <c r="T99">
        <v>2.0869</v>
      </c>
      <c r="U99">
        <v>3.0028000000000001</v>
      </c>
      <c r="V99">
        <v>2.0933999999999999</v>
      </c>
      <c r="W99">
        <v>1.9012</v>
      </c>
      <c r="X99">
        <v>3.4961000000000002</v>
      </c>
      <c r="Y99" t="s">
        <v>134</v>
      </c>
      <c r="Z99">
        <v>5.0153999999999996</v>
      </c>
      <c r="AA99" t="s">
        <v>134</v>
      </c>
      <c r="AB99">
        <v>8.0385000000000009</v>
      </c>
      <c r="AC99">
        <v>11.389699999999999</v>
      </c>
      <c r="AD99">
        <v>5.1577999999999999</v>
      </c>
      <c r="AE99">
        <v>3.8879999999999999</v>
      </c>
      <c r="AF99">
        <v>-1.2747999999999999</v>
      </c>
      <c r="AG99" t="s">
        <v>134</v>
      </c>
      <c r="AH99" t="s">
        <v>134</v>
      </c>
      <c r="AI99">
        <v>11.7903</v>
      </c>
      <c r="AJ99">
        <v>11.7903</v>
      </c>
      <c r="AK99">
        <v>11.788</v>
      </c>
      <c r="AL99">
        <v>37.296999999999997</v>
      </c>
      <c r="AM99">
        <v>12.463100000000001</v>
      </c>
      <c r="AN99">
        <v>9.4890000000000008</v>
      </c>
      <c r="AO99">
        <v>9.1835000000000004</v>
      </c>
      <c r="AP99">
        <v>9.0940999999999992</v>
      </c>
      <c r="AQ99">
        <v>9.0226000000000006</v>
      </c>
      <c r="AR99" t="s">
        <v>134</v>
      </c>
      <c r="AS99">
        <v>12.6462</v>
      </c>
      <c r="AT99" t="s">
        <v>134</v>
      </c>
      <c r="AU99">
        <v>16.159099999999999</v>
      </c>
      <c r="AV99">
        <v>16.5914</v>
      </c>
      <c r="AW99">
        <v>12.3003</v>
      </c>
      <c r="AX99">
        <v>8.8919999999999995</v>
      </c>
      <c r="AY99">
        <v>46.2438</v>
      </c>
      <c r="AZ99" t="s">
        <v>134</v>
      </c>
      <c r="BA99" t="s">
        <v>134</v>
      </c>
      <c r="BB99">
        <v>15.294</v>
      </c>
      <c r="BC99">
        <v>15.294</v>
      </c>
      <c r="BD99">
        <v>15.292999999999999</v>
      </c>
      <c r="BE99">
        <v>14.754</v>
      </c>
      <c r="BF99">
        <v>-0.24529999999999999</v>
      </c>
      <c r="BG99">
        <v>-2.0823999999999998</v>
      </c>
      <c r="BH99">
        <v>-2.3978999999999999</v>
      </c>
      <c r="BI99">
        <v>-3.3306</v>
      </c>
      <c r="BJ99">
        <v>-3.3628999999999998</v>
      </c>
      <c r="BK99" t="s">
        <v>134</v>
      </c>
      <c r="BL99">
        <v>1.3472</v>
      </c>
      <c r="BM99" t="s">
        <v>134</v>
      </c>
      <c r="BN99">
        <v>1.1267</v>
      </c>
      <c r="BO99">
        <v>2.1234000000000002</v>
      </c>
      <c r="BP99">
        <v>2.2835999999999999</v>
      </c>
      <c r="BQ99">
        <v>-1.8014000000000001</v>
      </c>
      <c r="BR99">
        <v>-29.1553</v>
      </c>
      <c r="BS99" t="s">
        <v>134</v>
      </c>
      <c r="BT99" t="s">
        <v>134</v>
      </c>
      <c r="BU99">
        <v>-0.6784</v>
      </c>
      <c r="BV99">
        <v>-0.6784</v>
      </c>
      <c r="BW99">
        <v>-0.67949999999999999</v>
      </c>
      <c r="BX99">
        <v>12.0076</v>
      </c>
      <c r="BY99">
        <v>0</v>
      </c>
      <c r="BZ99">
        <v>0</v>
      </c>
      <c r="CA99">
        <v>0</v>
      </c>
      <c r="CB99">
        <v>0</v>
      </c>
      <c r="CC99">
        <v>-1.7899</v>
      </c>
      <c r="CD99">
        <v>0</v>
      </c>
      <c r="CE99">
        <v>-1.9748000000000001</v>
      </c>
      <c r="CF99" t="s">
        <v>134</v>
      </c>
      <c r="CG99">
        <v>80.4863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-48.9024</v>
      </c>
      <c r="CO99">
        <v>-95.703999999999994</v>
      </c>
      <c r="CP99">
        <v>45610</v>
      </c>
      <c r="CQ99">
        <v>40080</v>
      </c>
      <c r="CR99">
        <v>41110</v>
      </c>
      <c r="CS99">
        <v>2.0558999999999998</v>
      </c>
      <c r="CT99">
        <v>3.3917000000000002</v>
      </c>
      <c r="CU99">
        <v>2.8222</v>
      </c>
      <c r="CV99">
        <v>11.0008</v>
      </c>
      <c r="CW99">
        <v>5.6425000000000001</v>
      </c>
      <c r="CX99">
        <v>64.687600000000003</v>
      </c>
      <c r="CY99" t="s">
        <v>134</v>
      </c>
      <c r="CZ99" t="s">
        <v>134</v>
      </c>
      <c r="DA99">
        <v>166.12739999999999</v>
      </c>
      <c r="DB99">
        <v>2.1970999999999998</v>
      </c>
      <c r="DC99" t="s">
        <v>134</v>
      </c>
      <c r="DD99" t="s">
        <v>134</v>
      </c>
      <c r="DE99">
        <v>0</v>
      </c>
      <c r="DF99">
        <v>0</v>
      </c>
      <c r="DG99">
        <v>0</v>
      </c>
      <c r="DH99">
        <v>0</v>
      </c>
      <c r="DI99">
        <v>0</v>
      </c>
    </row>
    <row r="100" spans="1:113" x14ac:dyDescent="0.3">
      <c r="E100" t="s">
        <v>5</v>
      </c>
      <c r="F100">
        <v>21.167000000000002</v>
      </c>
      <c r="G100">
        <v>17.328600000000002</v>
      </c>
      <c r="H100">
        <v>21.167000000000002</v>
      </c>
      <c r="I100">
        <v>17.366099999999999</v>
      </c>
      <c r="J100">
        <v>26.766100000000002</v>
      </c>
      <c r="K100">
        <v>24.170300000000001</v>
      </c>
      <c r="L100" t="s">
        <v>134</v>
      </c>
      <c r="M100">
        <v>29.1968</v>
      </c>
      <c r="N100">
        <v>21.2102</v>
      </c>
      <c r="O100">
        <v>21.2102</v>
      </c>
      <c r="P100">
        <v>21.2102</v>
      </c>
      <c r="Q100">
        <v>27.354299999999999</v>
      </c>
      <c r="R100" t="s">
        <v>134</v>
      </c>
      <c r="S100" t="s">
        <v>134</v>
      </c>
      <c r="T100">
        <v>1.4847000000000001</v>
      </c>
      <c r="U100">
        <v>-0.65500000000000003</v>
      </c>
      <c r="V100">
        <v>-1.4621</v>
      </c>
      <c r="W100">
        <v>3.3277999999999999</v>
      </c>
      <c r="X100">
        <v>3.2974000000000001</v>
      </c>
      <c r="Y100" t="s">
        <v>134</v>
      </c>
      <c r="Z100">
        <v>16.005500000000001</v>
      </c>
      <c r="AA100" t="s">
        <v>134</v>
      </c>
      <c r="AB100">
        <v>5.7961999999999998</v>
      </c>
      <c r="AC100">
        <v>11.8474</v>
      </c>
      <c r="AD100">
        <v>14.391</v>
      </c>
      <c r="AE100">
        <v>4.2614000000000001</v>
      </c>
      <c r="AF100">
        <v>75.244299999999996</v>
      </c>
      <c r="AG100" t="s">
        <v>134</v>
      </c>
      <c r="AH100" t="s">
        <v>134</v>
      </c>
      <c r="AI100">
        <v>11.638999999999999</v>
      </c>
      <c r="AJ100">
        <v>11.638999999999999</v>
      </c>
      <c r="AK100">
        <v>11.617800000000001</v>
      </c>
      <c r="AL100">
        <v>-18.565000000000001</v>
      </c>
      <c r="AM100">
        <v>12.139200000000001</v>
      </c>
      <c r="AN100">
        <v>10.318899999999999</v>
      </c>
      <c r="AO100">
        <v>10.2898</v>
      </c>
      <c r="AP100">
        <v>9.4160000000000004</v>
      </c>
      <c r="AQ100">
        <v>9.5245999999999995</v>
      </c>
      <c r="AR100" t="s">
        <v>134</v>
      </c>
      <c r="AS100">
        <v>14.975</v>
      </c>
      <c r="AT100" t="s">
        <v>134</v>
      </c>
      <c r="AU100">
        <v>15.360099999999999</v>
      </c>
      <c r="AV100">
        <v>16.2668</v>
      </c>
      <c r="AW100">
        <v>14.146699999999999</v>
      </c>
      <c r="AX100">
        <v>9.0741999999999994</v>
      </c>
      <c r="AY100">
        <v>76.160700000000006</v>
      </c>
      <c r="AZ100" t="s">
        <v>134</v>
      </c>
      <c r="BA100" t="s">
        <v>134</v>
      </c>
      <c r="BB100">
        <v>14.981199999999999</v>
      </c>
      <c r="BC100">
        <v>14.981199999999999</v>
      </c>
      <c r="BD100">
        <v>14.9762</v>
      </c>
      <c r="BE100">
        <v>4.1928000000000001</v>
      </c>
      <c r="BF100">
        <v>2.8632999999999997</v>
      </c>
      <c r="BG100">
        <v>3.0914000000000001</v>
      </c>
      <c r="BH100">
        <v>3.2839</v>
      </c>
      <c r="BI100">
        <v>6.9767000000000001</v>
      </c>
      <c r="BJ100">
        <v>6.9599000000000002</v>
      </c>
      <c r="BK100" t="s">
        <v>134</v>
      </c>
      <c r="BL100">
        <v>7.4871999999999996</v>
      </c>
      <c r="BM100" t="s">
        <v>134</v>
      </c>
      <c r="BN100">
        <v>-1.6899999999999998E-2</v>
      </c>
      <c r="BO100">
        <v>3.9388999999999998</v>
      </c>
      <c r="BP100">
        <v>5.3728999999999996</v>
      </c>
      <c r="BQ100">
        <v>8.9077999999999999</v>
      </c>
      <c r="BR100">
        <v>106.92310000000001</v>
      </c>
      <c r="BS100" t="s">
        <v>134</v>
      </c>
      <c r="BT100" t="s">
        <v>134</v>
      </c>
      <c r="BU100">
        <v>5.6280000000000001</v>
      </c>
      <c r="BV100">
        <v>5.6280000000000001</v>
      </c>
      <c r="BW100">
        <v>5.6091999999999995</v>
      </c>
      <c r="BX100">
        <v>-26.451499999999999</v>
      </c>
      <c r="BY100">
        <v>0</v>
      </c>
      <c r="BZ100">
        <v>0</v>
      </c>
      <c r="CA100">
        <v>0</v>
      </c>
      <c r="CB100">
        <v>0</v>
      </c>
      <c r="CC100">
        <v>-1.8975</v>
      </c>
      <c r="CD100">
        <v>0</v>
      </c>
      <c r="CE100">
        <v>-2.0979000000000001</v>
      </c>
      <c r="CF100" t="s">
        <v>134</v>
      </c>
      <c r="CG100">
        <v>81.794300000000007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-48.999600000000001</v>
      </c>
      <c r="CO100">
        <v>-96.076800000000006</v>
      </c>
      <c r="CP100">
        <v>47020</v>
      </c>
      <c r="CQ100">
        <v>42960</v>
      </c>
      <c r="CR100">
        <v>42460</v>
      </c>
      <c r="CS100">
        <v>2.2464</v>
      </c>
      <c r="CT100">
        <v>3.6890000000000001</v>
      </c>
      <c r="CU100">
        <v>3.0966999999999998</v>
      </c>
      <c r="CV100">
        <v>10.917199999999999</v>
      </c>
      <c r="CW100">
        <v>5.5244</v>
      </c>
      <c r="CX100">
        <v>66.070899999999995</v>
      </c>
      <c r="CY100" t="s">
        <v>134</v>
      </c>
      <c r="CZ100" t="s">
        <v>134</v>
      </c>
      <c r="DA100">
        <v>103.51949999999999</v>
      </c>
      <c r="DB100">
        <v>3.5259</v>
      </c>
      <c r="DC100" t="s">
        <v>134</v>
      </c>
      <c r="DD100" t="s">
        <v>134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 x14ac:dyDescent="0.3">
      <c r="E101" t="s">
        <v>6</v>
      </c>
      <c r="F101">
        <v>25.205200000000001</v>
      </c>
      <c r="G101">
        <v>20.359500000000001</v>
      </c>
      <c r="H101">
        <v>25.205200000000001</v>
      </c>
      <c r="I101">
        <v>20.774999999999999</v>
      </c>
      <c r="J101">
        <v>27.070900000000002</v>
      </c>
      <c r="K101">
        <v>24.272200000000002</v>
      </c>
      <c r="L101" t="s">
        <v>134</v>
      </c>
      <c r="M101">
        <v>29.6785</v>
      </c>
      <c r="N101">
        <v>28.824300000000001</v>
      </c>
      <c r="O101">
        <v>28.824300000000001</v>
      </c>
      <c r="P101">
        <v>28.824300000000001</v>
      </c>
      <c r="Q101">
        <v>2.8782000000000001</v>
      </c>
      <c r="R101" t="s">
        <v>134</v>
      </c>
      <c r="S101" t="s">
        <v>134</v>
      </c>
      <c r="T101">
        <v>3.0163000000000002</v>
      </c>
      <c r="U101">
        <v>1.0488999999999999</v>
      </c>
      <c r="V101">
        <v>-0.34610000000000002</v>
      </c>
      <c r="W101">
        <v>38.322499999999998</v>
      </c>
      <c r="X101">
        <v>38.9026</v>
      </c>
      <c r="Y101" t="s">
        <v>134</v>
      </c>
      <c r="Z101">
        <v>1.5531000000000001</v>
      </c>
      <c r="AA101" t="s">
        <v>134</v>
      </c>
      <c r="AB101">
        <v>3.7248000000000001</v>
      </c>
      <c r="AC101">
        <v>-5.8098000000000001</v>
      </c>
      <c r="AD101">
        <v>0.2697</v>
      </c>
      <c r="AE101">
        <v>-14.6479</v>
      </c>
      <c r="AF101">
        <v>49.850700000000003</v>
      </c>
      <c r="AG101" t="s">
        <v>134</v>
      </c>
      <c r="AH101" t="s">
        <v>134</v>
      </c>
      <c r="AI101">
        <v>-6.9326999999999996</v>
      </c>
      <c r="AJ101">
        <v>-6.9326999999999996</v>
      </c>
      <c r="AK101">
        <v>-2.1143999999999998</v>
      </c>
      <c r="AL101">
        <v>15.895799999999999</v>
      </c>
      <c r="AM101">
        <v>11.455400000000001</v>
      </c>
      <c r="AN101">
        <v>10.2997</v>
      </c>
      <c r="AO101">
        <v>10.1942</v>
      </c>
      <c r="AP101">
        <v>16.898</v>
      </c>
      <c r="AQ101">
        <v>16.976800000000001</v>
      </c>
      <c r="AR101" t="s">
        <v>134</v>
      </c>
      <c r="AS101">
        <v>13.6349</v>
      </c>
      <c r="AT101" t="s">
        <v>134</v>
      </c>
      <c r="AU101">
        <v>14.1401</v>
      </c>
      <c r="AV101">
        <v>11.748799999999999</v>
      </c>
      <c r="AW101">
        <v>12.9863</v>
      </c>
      <c r="AX101">
        <v>3.35</v>
      </c>
      <c r="AY101">
        <v>47.778700000000001</v>
      </c>
      <c r="AZ101" t="s">
        <v>134</v>
      </c>
      <c r="BA101" t="s">
        <v>134</v>
      </c>
      <c r="BB101">
        <v>10.3116</v>
      </c>
      <c r="BC101">
        <v>10.3116</v>
      </c>
      <c r="BD101">
        <v>11.430400000000001</v>
      </c>
      <c r="BE101">
        <v>10.7659</v>
      </c>
      <c r="BF101">
        <v>1.2922</v>
      </c>
      <c r="BG101">
        <v>2.4458000000000002</v>
      </c>
      <c r="BH101">
        <v>1.7193000000000001</v>
      </c>
      <c r="BI101">
        <v>37.654299999999999</v>
      </c>
      <c r="BJ101">
        <v>38.305700000000002</v>
      </c>
      <c r="BK101" t="s">
        <v>134</v>
      </c>
      <c r="BL101">
        <v>-2.0859999999999999</v>
      </c>
      <c r="BM101" t="s">
        <v>134</v>
      </c>
      <c r="BN101">
        <v>-9.2899999999999996E-2</v>
      </c>
      <c r="BO101">
        <v>-14.1538</v>
      </c>
      <c r="BP101">
        <v>-1.8936999999999999</v>
      </c>
      <c r="BQ101">
        <v>-24.254999999999999</v>
      </c>
      <c r="BR101">
        <v>-6.6913999999999998</v>
      </c>
      <c r="BS101" t="s">
        <v>134</v>
      </c>
      <c r="BT101" t="s">
        <v>134</v>
      </c>
      <c r="BU101">
        <v>-15.7469</v>
      </c>
      <c r="BV101">
        <v>-15.7469</v>
      </c>
      <c r="BW101">
        <v>-11.368</v>
      </c>
      <c r="BX101">
        <v>42.810400000000001</v>
      </c>
      <c r="BY101">
        <v>0</v>
      </c>
      <c r="BZ101">
        <v>0</v>
      </c>
      <c r="CA101">
        <v>0</v>
      </c>
      <c r="CB101">
        <v>0</v>
      </c>
      <c r="CC101">
        <v>-1.2323999999999999</v>
      </c>
      <c r="CD101">
        <v>0</v>
      </c>
      <c r="CE101">
        <v>-1.3673999999999999</v>
      </c>
      <c r="CF101" t="s">
        <v>134</v>
      </c>
      <c r="CG101">
        <v>80.276499999999999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-37.871899999999997</v>
      </c>
      <c r="CO101">
        <v>-60.957700000000003</v>
      </c>
      <c r="CP101">
        <v>48170</v>
      </c>
      <c r="CQ101">
        <v>44020</v>
      </c>
      <c r="CR101">
        <v>43190</v>
      </c>
      <c r="CS101">
        <v>1.6423999999999999</v>
      </c>
      <c r="CT101">
        <v>3.2867999999999999</v>
      </c>
      <c r="CU101">
        <v>2.5771999999999999</v>
      </c>
      <c r="CV101">
        <v>12.5379</v>
      </c>
      <c r="CW101">
        <v>5.3333000000000004</v>
      </c>
      <c r="CX101">
        <v>68.438500000000005</v>
      </c>
      <c r="CY101" t="s">
        <v>134</v>
      </c>
      <c r="CZ101" t="s">
        <v>134</v>
      </c>
      <c r="DA101">
        <v>105.9665</v>
      </c>
      <c r="DB101">
        <v>3.4445000000000001</v>
      </c>
      <c r="DC101" t="s">
        <v>134</v>
      </c>
      <c r="DD101" t="s">
        <v>134</v>
      </c>
      <c r="DE101">
        <v>0</v>
      </c>
      <c r="DF101">
        <v>0</v>
      </c>
      <c r="DG101">
        <v>0</v>
      </c>
      <c r="DH101">
        <v>0</v>
      </c>
      <c r="DI101">
        <v>0</v>
      </c>
    </row>
    <row r="102" spans="1:113" x14ac:dyDescent="0.3">
      <c r="E102" t="s">
        <v>7</v>
      </c>
      <c r="F102">
        <v>23.939399999999999</v>
      </c>
      <c r="G102">
        <v>19.636700000000001</v>
      </c>
      <c r="H102">
        <v>23.9392</v>
      </c>
      <c r="I102">
        <v>19.494800000000001</v>
      </c>
      <c r="J102">
        <v>27.268699999999999</v>
      </c>
      <c r="K102">
        <v>24.730399999999999</v>
      </c>
      <c r="L102">
        <v>26.998999999999999</v>
      </c>
      <c r="M102">
        <v>27.683499999999999</v>
      </c>
      <c r="N102">
        <v>20.405899999999999</v>
      </c>
      <c r="O102">
        <v>20.405899999999999</v>
      </c>
      <c r="P102">
        <v>20.405899999999999</v>
      </c>
      <c r="Q102">
        <v>26.288499999999999</v>
      </c>
      <c r="R102" t="s">
        <v>134</v>
      </c>
      <c r="S102" t="s">
        <v>134</v>
      </c>
      <c r="T102">
        <v>5.625</v>
      </c>
      <c r="U102">
        <v>5.8609</v>
      </c>
      <c r="V102">
        <v>6.1727999999999996</v>
      </c>
      <c r="W102">
        <v>2.4146999999999998</v>
      </c>
      <c r="X102">
        <v>7.6776999999999997</v>
      </c>
      <c r="Y102" t="s">
        <v>134</v>
      </c>
      <c r="Z102">
        <v>6.6547999999999998</v>
      </c>
      <c r="AA102" t="s">
        <v>134</v>
      </c>
      <c r="AB102">
        <v>3.6446000000000001</v>
      </c>
      <c r="AC102">
        <v>-4.1569000000000003</v>
      </c>
      <c r="AD102">
        <v>4.1238000000000001</v>
      </c>
      <c r="AE102">
        <v>-9.5233000000000008</v>
      </c>
      <c r="AF102">
        <v>89.100800000000007</v>
      </c>
      <c r="AG102" t="s">
        <v>134</v>
      </c>
      <c r="AH102" t="s">
        <v>134</v>
      </c>
      <c r="AI102">
        <v>-5.8826999999999998</v>
      </c>
      <c r="AJ102">
        <v>-5.8826999999999998</v>
      </c>
      <c r="AK102">
        <v>-1.0190999999999999</v>
      </c>
      <c r="AL102">
        <v>-7.6631999999999998</v>
      </c>
      <c r="AM102">
        <v>11.5829</v>
      </c>
      <c r="AN102">
        <v>13.249499999999999</v>
      </c>
      <c r="AO102">
        <v>13.8398</v>
      </c>
      <c r="AP102">
        <v>9.0386000000000006</v>
      </c>
      <c r="AQ102">
        <v>10.135199999999999</v>
      </c>
      <c r="AR102" t="s">
        <v>134</v>
      </c>
      <c r="AS102">
        <v>13.158899999999999</v>
      </c>
      <c r="AT102" t="s">
        <v>134</v>
      </c>
      <c r="AU102">
        <v>13.425599999999999</v>
      </c>
      <c r="AV102">
        <v>11.503</v>
      </c>
      <c r="AW102">
        <v>12.5449</v>
      </c>
      <c r="AX102">
        <v>4.3487999999999998</v>
      </c>
      <c r="AY102">
        <v>29.7118</v>
      </c>
      <c r="AZ102" t="s">
        <v>134</v>
      </c>
      <c r="BA102" t="s">
        <v>134</v>
      </c>
      <c r="BB102">
        <v>10.2836</v>
      </c>
      <c r="BC102">
        <v>10.2836</v>
      </c>
      <c r="BD102">
        <v>11.4001</v>
      </c>
      <c r="BE102" t="s">
        <v>134</v>
      </c>
      <c r="BF102">
        <v>1.6240999999999999</v>
      </c>
      <c r="BG102">
        <v>2.3666</v>
      </c>
      <c r="BH102">
        <v>3.5425</v>
      </c>
      <c r="BI102">
        <v>-28.0562</v>
      </c>
      <c r="BJ102">
        <v>-24.6782</v>
      </c>
      <c r="BK102" t="s">
        <v>134</v>
      </c>
      <c r="BL102">
        <v>-7.6E-3</v>
      </c>
      <c r="BM102" t="s">
        <v>134</v>
      </c>
      <c r="BN102">
        <v>2.6025</v>
      </c>
      <c r="BO102">
        <v>5.1806999999999999</v>
      </c>
      <c r="BP102">
        <v>-1.5268000000000002</v>
      </c>
      <c r="BQ102">
        <v>11.691000000000001</v>
      </c>
      <c r="BR102">
        <v>38.247</v>
      </c>
      <c r="BS102" t="s">
        <v>134</v>
      </c>
      <c r="BT102" t="s">
        <v>134</v>
      </c>
      <c r="BU102">
        <v>6.4782000000000002</v>
      </c>
      <c r="BV102">
        <v>6.4782000000000002</v>
      </c>
      <c r="BW102">
        <v>6.4683000000000002</v>
      </c>
      <c r="BX102">
        <v>-21.5138</v>
      </c>
      <c r="BY102">
        <v>0</v>
      </c>
      <c r="BZ102">
        <v>0</v>
      </c>
      <c r="CA102">
        <v>0</v>
      </c>
      <c r="CB102">
        <v>0</v>
      </c>
      <c r="CC102">
        <v>-1.3794999999999999</v>
      </c>
      <c r="CD102">
        <v>0</v>
      </c>
      <c r="CE102">
        <v>-1.5293000000000001</v>
      </c>
      <c r="CF102" t="s">
        <v>134</v>
      </c>
      <c r="CG102">
        <v>81.265500000000003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-40.3934</v>
      </c>
      <c r="CO102">
        <v>-67.766599999999997</v>
      </c>
      <c r="CP102">
        <v>49310</v>
      </c>
      <c r="CQ102">
        <v>43070</v>
      </c>
      <c r="CR102">
        <v>44720</v>
      </c>
      <c r="CS102">
        <v>1.8593</v>
      </c>
      <c r="CT102">
        <v>3.5460000000000003</v>
      </c>
      <c r="CU102">
        <v>2.7909999999999999</v>
      </c>
      <c r="CV102">
        <v>13.2158</v>
      </c>
      <c r="CW102">
        <v>5.5389999999999997</v>
      </c>
      <c r="CX102">
        <v>65.896900000000002</v>
      </c>
      <c r="CY102" t="s">
        <v>134</v>
      </c>
      <c r="CZ102" t="s">
        <v>134</v>
      </c>
      <c r="DA102">
        <v>85.072599999999994</v>
      </c>
      <c r="DB102">
        <v>4.2904999999999998</v>
      </c>
      <c r="DC102" t="s">
        <v>134</v>
      </c>
      <c r="DD102" t="s">
        <v>134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 x14ac:dyDescent="0.3">
      <c r="A103">
        <v>55</v>
      </c>
      <c r="B103" t="s">
        <v>18</v>
      </c>
      <c r="C103" t="s">
        <v>19</v>
      </c>
      <c r="D103" t="s">
        <v>2</v>
      </c>
      <c r="E103" t="s">
        <v>3</v>
      </c>
      <c r="F103">
        <v>117.0316</v>
      </c>
      <c r="G103">
        <v>6.3445</v>
      </c>
      <c r="H103">
        <v>18.643999999999998</v>
      </c>
      <c r="I103">
        <v>11.446899999999999</v>
      </c>
      <c r="J103">
        <v>4.5728</v>
      </c>
      <c r="K103">
        <v>2.5329000000000002</v>
      </c>
      <c r="L103" t="s">
        <v>134</v>
      </c>
      <c r="M103">
        <v>4.2744999999999997</v>
      </c>
      <c r="N103">
        <v>4.2821999999999996</v>
      </c>
      <c r="O103">
        <v>4.2821999999999996</v>
      </c>
      <c r="P103">
        <v>4.2821999999999996</v>
      </c>
      <c r="Q103" t="s">
        <v>134</v>
      </c>
      <c r="R103" t="s">
        <v>134</v>
      </c>
      <c r="S103" t="s">
        <v>134</v>
      </c>
      <c r="T103">
        <v>20.5321</v>
      </c>
      <c r="U103">
        <v>-43.306399999999996</v>
      </c>
      <c r="V103">
        <v>-65.2697</v>
      </c>
      <c r="W103">
        <v>-39.434899999999999</v>
      </c>
      <c r="X103" t="s">
        <v>134</v>
      </c>
      <c r="Y103" t="s">
        <v>134</v>
      </c>
      <c r="Z103">
        <v>30.063300000000002</v>
      </c>
      <c r="AA103">
        <v>28.715399999999999</v>
      </c>
      <c r="AB103">
        <v>123.6966</v>
      </c>
      <c r="AC103">
        <v>55.548000000000002</v>
      </c>
      <c r="AD103">
        <v>-57.195399999999999</v>
      </c>
      <c r="AE103">
        <v>-94.579800000000006</v>
      </c>
      <c r="AF103">
        <v>44.551699999999997</v>
      </c>
      <c r="AG103">
        <v>45.013800000000003</v>
      </c>
      <c r="AH103">
        <v>85.859099999999998</v>
      </c>
      <c r="AI103">
        <v>8.4032999999999998</v>
      </c>
      <c r="AJ103">
        <v>72.0959</v>
      </c>
      <c r="AK103" t="s">
        <v>134</v>
      </c>
      <c r="AL103">
        <v>-6.7653999999999996</v>
      </c>
      <c r="AM103" t="s">
        <v>134</v>
      </c>
      <c r="AN103" t="s">
        <v>134</v>
      </c>
      <c r="AO103" t="s">
        <v>134</v>
      </c>
      <c r="AP103" t="s">
        <v>134</v>
      </c>
      <c r="AQ103" t="s">
        <v>134</v>
      </c>
      <c r="AR103" t="s">
        <v>134</v>
      </c>
      <c r="AS103" t="s">
        <v>134</v>
      </c>
      <c r="AT103" t="s">
        <v>134</v>
      </c>
      <c r="AU103" t="s">
        <v>134</v>
      </c>
      <c r="AV103" t="s">
        <v>134</v>
      </c>
      <c r="AW103" t="s">
        <v>134</v>
      </c>
      <c r="AX103" t="s">
        <v>134</v>
      </c>
      <c r="AY103" t="s">
        <v>134</v>
      </c>
      <c r="AZ103" t="s">
        <v>134</v>
      </c>
      <c r="BA103" t="s">
        <v>134</v>
      </c>
      <c r="BB103" t="s">
        <v>134</v>
      </c>
      <c r="BC103" t="s">
        <v>134</v>
      </c>
      <c r="BD103" t="s">
        <v>134</v>
      </c>
      <c r="BE103" t="s">
        <v>134</v>
      </c>
      <c r="BF103">
        <v>20.5321</v>
      </c>
      <c r="BG103">
        <v>-43.306399999999996</v>
      </c>
      <c r="BH103">
        <v>-65.2697</v>
      </c>
      <c r="BI103">
        <v>-39.434899999999999</v>
      </c>
      <c r="BJ103" t="s">
        <v>134</v>
      </c>
      <c r="BK103" t="s">
        <v>134</v>
      </c>
      <c r="BL103">
        <v>30.063300000000002</v>
      </c>
      <c r="BM103">
        <v>28.715399999999999</v>
      </c>
      <c r="BN103">
        <v>123.6966</v>
      </c>
      <c r="BO103">
        <v>55.548000000000002</v>
      </c>
      <c r="BP103" t="s">
        <v>134</v>
      </c>
      <c r="BQ103">
        <v>-94.579800000000006</v>
      </c>
      <c r="BR103">
        <v>44.551699999999997</v>
      </c>
      <c r="BS103">
        <v>45.013800000000003</v>
      </c>
      <c r="BT103">
        <v>85.859099999999998</v>
      </c>
      <c r="BU103">
        <v>8.4032999999999998</v>
      </c>
      <c r="BV103">
        <v>72.0959</v>
      </c>
      <c r="BW103" t="s">
        <v>134</v>
      </c>
      <c r="BX103">
        <v>-6.7653999999999996</v>
      </c>
      <c r="BY103">
        <v>33462.400000000001</v>
      </c>
      <c r="BZ103">
        <v>2655</v>
      </c>
      <c r="CA103">
        <v>30807.4</v>
      </c>
      <c r="CB103">
        <v>6.6048</v>
      </c>
      <c r="CC103">
        <v>1.921</v>
      </c>
      <c r="CD103">
        <v>11.924200000000001</v>
      </c>
      <c r="CE103">
        <v>3.468</v>
      </c>
      <c r="CF103">
        <v>4.1332000000000004</v>
      </c>
      <c r="CG103">
        <v>4.6327999999999996</v>
      </c>
      <c r="CH103">
        <v>730.47979999999995</v>
      </c>
      <c r="CI103">
        <v>81.760999999999996</v>
      </c>
      <c r="CJ103">
        <v>33.841500000000003</v>
      </c>
      <c r="CK103">
        <v>793.43299999999999</v>
      </c>
      <c r="CL103">
        <v>88.807199999999995</v>
      </c>
      <c r="CM103">
        <v>36.758000000000003</v>
      </c>
      <c r="CN103">
        <v>230.76259999999999</v>
      </c>
      <c r="CO103">
        <v>69.766800000000003</v>
      </c>
      <c r="CP103">
        <v>5066.34</v>
      </c>
      <c r="CQ103">
        <v>-18175.330000000002</v>
      </c>
      <c r="CR103">
        <v>2806.26</v>
      </c>
      <c r="CS103">
        <v>0.83260000000000001</v>
      </c>
      <c r="CT103">
        <v>1.0226999999999999</v>
      </c>
      <c r="CU103">
        <v>0.8639</v>
      </c>
      <c r="CV103" t="s">
        <v>134</v>
      </c>
      <c r="CW103">
        <v>140.56120000000001</v>
      </c>
      <c r="CX103">
        <v>2.5967000000000002</v>
      </c>
      <c r="CY103">
        <v>0.97689999999999999</v>
      </c>
      <c r="CZ103">
        <v>373.64729999999997</v>
      </c>
      <c r="DA103">
        <v>0.22670000000000001</v>
      </c>
      <c r="DB103">
        <v>1609.8797999999999</v>
      </c>
      <c r="DC103">
        <v>-1233.6358</v>
      </c>
      <c r="DD103">
        <v>376.2441</v>
      </c>
      <c r="DE103">
        <v>672.86</v>
      </c>
      <c r="DF103" t="s">
        <v>134</v>
      </c>
      <c r="DG103" t="s">
        <v>134</v>
      </c>
      <c r="DH103" t="s">
        <v>134</v>
      </c>
      <c r="DI103" t="s">
        <v>134</v>
      </c>
    </row>
    <row r="104" spans="1:113" x14ac:dyDescent="0.3">
      <c r="E104" t="s">
        <v>4</v>
      </c>
      <c r="F104" t="s">
        <v>134</v>
      </c>
      <c r="G104" t="s">
        <v>134</v>
      </c>
      <c r="H104" t="s">
        <v>134</v>
      </c>
      <c r="I104" t="s">
        <v>134</v>
      </c>
      <c r="J104" t="s">
        <v>134</v>
      </c>
      <c r="K104" t="s">
        <v>134</v>
      </c>
      <c r="L104" t="s">
        <v>134</v>
      </c>
      <c r="M104" t="s">
        <v>134</v>
      </c>
      <c r="N104" t="s">
        <v>134</v>
      </c>
      <c r="O104" t="s">
        <v>134</v>
      </c>
      <c r="P104" t="s">
        <v>134</v>
      </c>
      <c r="Q104" t="s">
        <v>134</v>
      </c>
      <c r="R104" t="s">
        <v>134</v>
      </c>
      <c r="S104" t="s">
        <v>134</v>
      </c>
      <c r="T104" t="s">
        <v>134</v>
      </c>
      <c r="U104" t="s">
        <v>134</v>
      </c>
      <c r="V104" t="s">
        <v>134</v>
      </c>
      <c r="W104" t="s">
        <v>134</v>
      </c>
      <c r="X104" t="s">
        <v>134</v>
      </c>
      <c r="Y104" t="s">
        <v>134</v>
      </c>
      <c r="Z104" t="s">
        <v>134</v>
      </c>
      <c r="AA104" t="s">
        <v>134</v>
      </c>
      <c r="AB104" t="s">
        <v>134</v>
      </c>
      <c r="AC104" t="s">
        <v>134</v>
      </c>
      <c r="AD104" t="s">
        <v>134</v>
      </c>
      <c r="AE104" t="s">
        <v>134</v>
      </c>
      <c r="AF104" t="s">
        <v>134</v>
      </c>
      <c r="AG104" t="s">
        <v>134</v>
      </c>
      <c r="AH104" t="s">
        <v>134</v>
      </c>
      <c r="AI104" t="s">
        <v>134</v>
      </c>
      <c r="AJ104" t="s">
        <v>134</v>
      </c>
      <c r="AK104" t="s">
        <v>134</v>
      </c>
      <c r="AL104" t="s">
        <v>134</v>
      </c>
      <c r="AM104" t="s">
        <v>134</v>
      </c>
      <c r="AN104" t="s">
        <v>134</v>
      </c>
      <c r="AO104" t="s">
        <v>134</v>
      </c>
      <c r="AP104" t="s">
        <v>134</v>
      </c>
      <c r="AQ104" t="s">
        <v>134</v>
      </c>
      <c r="AR104" t="s">
        <v>134</v>
      </c>
      <c r="AS104" t="s">
        <v>134</v>
      </c>
      <c r="AT104" t="s">
        <v>134</v>
      </c>
      <c r="AU104" t="s">
        <v>134</v>
      </c>
      <c r="AV104" t="s">
        <v>134</v>
      </c>
      <c r="AW104" t="s">
        <v>134</v>
      </c>
      <c r="AX104" t="s">
        <v>134</v>
      </c>
      <c r="AY104" t="s">
        <v>134</v>
      </c>
      <c r="AZ104" t="s">
        <v>134</v>
      </c>
      <c r="BA104" t="s">
        <v>134</v>
      </c>
      <c r="BB104" t="s">
        <v>134</v>
      </c>
      <c r="BC104" t="s">
        <v>134</v>
      </c>
      <c r="BD104" t="s">
        <v>134</v>
      </c>
      <c r="BE104" t="s">
        <v>134</v>
      </c>
      <c r="BF104" t="s">
        <v>134</v>
      </c>
      <c r="BG104" t="s">
        <v>134</v>
      </c>
      <c r="BH104" t="s">
        <v>134</v>
      </c>
      <c r="BI104" t="s">
        <v>134</v>
      </c>
      <c r="BJ104" t="s">
        <v>134</v>
      </c>
      <c r="BK104" t="s">
        <v>134</v>
      </c>
      <c r="BL104" t="s">
        <v>134</v>
      </c>
      <c r="BM104" t="s">
        <v>134</v>
      </c>
      <c r="BN104" t="s">
        <v>134</v>
      </c>
      <c r="BO104" t="s">
        <v>134</v>
      </c>
      <c r="BP104" t="s">
        <v>134</v>
      </c>
      <c r="BQ104" t="s">
        <v>134</v>
      </c>
      <c r="BR104" t="s">
        <v>134</v>
      </c>
      <c r="BS104" t="s">
        <v>134</v>
      </c>
      <c r="BT104" t="s">
        <v>134</v>
      </c>
      <c r="BU104" t="s">
        <v>134</v>
      </c>
      <c r="BV104" t="s">
        <v>134</v>
      </c>
      <c r="BW104" t="s">
        <v>134</v>
      </c>
      <c r="BX104" t="s">
        <v>134</v>
      </c>
      <c r="BY104" t="s">
        <v>134</v>
      </c>
      <c r="BZ104" t="s">
        <v>134</v>
      </c>
      <c r="CA104" t="s">
        <v>134</v>
      </c>
      <c r="CB104" t="s">
        <v>134</v>
      </c>
      <c r="CC104" t="s">
        <v>134</v>
      </c>
      <c r="CD104" t="s">
        <v>134</v>
      </c>
      <c r="CE104" t="s">
        <v>134</v>
      </c>
      <c r="CF104" t="s">
        <v>134</v>
      </c>
      <c r="CG104" t="s">
        <v>134</v>
      </c>
      <c r="CH104" t="s">
        <v>134</v>
      </c>
      <c r="CI104" t="s">
        <v>134</v>
      </c>
      <c r="CJ104" t="s">
        <v>134</v>
      </c>
      <c r="CK104" t="s">
        <v>134</v>
      </c>
      <c r="CL104" t="s">
        <v>134</v>
      </c>
      <c r="CM104" t="s">
        <v>134</v>
      </c>
      <c r="CN104" t="s">
        <v>134</v>
      </c>
      <c r="CO104" t="s">
        <v>134</v>
      </c>
      <c r="CP104" t="s">
        <v>134</v>
      </c>
      <c r="CQ104" t="s">
        <v>134</v>
      </c>
      <c r="CR104" t="s">
        <v>134</v>
      </c>
      <c r="CS104" t="s">
        <v>134</v>
      </c>
      <c r="CT104" t="s">
        <v>134</v>
      </c>
      <c r="CU104" t="s">
        <v>134</v>
      </c>
      <c r="CV104" t="s">
        <v>134</v>
      </c>
      <c r="CW104" t="s">
        <v>134</v>
      </c>
      <c r="CX104" t="s">
        <v>134</v>
      </c>
      <c r="CY104" t="s">
        <v>134</v>
      </c>
      <c r="CZ104" t="s">
        <v>134</v>
      </c>
      <c r="DA104" t="s">
        <v>134</v>
      </c>
      <c r="DB104" t="s">
        <v>134</v>
      </c>
      <c r="DC104" t="s">
        <v>134</v>
      </c>
      <c r="DD104" t="s">
        <v>134</v>
      </c>
      <c r="DE104" t="s">
        <v>134</v>
      </c>
      <c r="DF104" t="s">
        <v>134</v>
      </c>
      <c r="DG104" t="s">
        <v>134</v>
      </c>
      <c r="DH104" t="s">
        <v>134</v>
      </c>
      <c r="DI104" t="s">
        <v>134</v>
      </c>
    </row>
    <row r="105" spans="1:113" x14ac:dyDescent="0.3">
      <c r="E105" t="s">
        <v>5</v>
      </c>
      <c r="F105" t="s">
        <v>134</v>
      </c>
      <c r="G105" t="s">
        <v>134</v>
      </c>
      <c r="H105" t="s">
        <v>134</v>
      </c>
      <c r="I105" t="s">
        <v>134</v>
      </c>
      <c r="J105" t="s">
        <v>134</v>
      </c>
      <c r="K105" t="s">
        <v>134</v>
      </c>
      <c r="L105" t="s">
        <v>134</v>
      </c>
      <c r="M105" t="s">
        <v>134</v>
      </c>
      <c r="N105" t="s">
        <v>134</v>
      </c>
      <c r="O105" t="s">
        <v>134</v>
      </c>
      <c r="P105" t="s">
        <v>134</v>
      </c>
      <c r="Q105" t="s">
        <v>134</v>
      </c>
      <c r="R105" t="s">
        <v>134</v>
      </c>
      <c r="S105" t="s">
        <v>134</v>
      </c>
      <c r="T105" t="s">
        <v>134</v>
      </c>
      <c r="U105" t="s">
        <v>134</v>
      </c>
      <c r="V105" t="s">
        <v>134</v>
      </c>
      <c r="W105" t="s">
        <v>134</v>
      </c>
      <c r="X105" t="s">
        <v>134</v>
      </c>
      <c r="Y105" t="s">
        <v>134</v>
      </c>
      <c r="Z105" t="s">
        <v>134</v>
      </c>
      <c r="AA105" t="s">
        <v>134</v>
      </c>
      <c r="AB105" t="s">
        <v>134</v>
      </c>
      <c r="AC105" t="s">
        <v>134</v>
      </c>
      <c r="AD105" t="s">
        <v>134</v>
      </c>
      <c r="AE105" t="s">
        <v>134</v>
      </c>
      <c r="AF105" t="s">
        <v>134</v>
      </c>
      <c r="AG105" t="s">
        <v>134</v>
      </c>
      <c r="AH105" t="s">
        <v>134</v>
      </c>
      <c r="AI105" t="s">
        <v>134</v>
      </c>
      <c r="AJ105" t="s">
        <v>134</v>
      </c>
      <c r="AK105" t="s">
        <v>134</v>
      </c>
      <c r="AL105" t="s">
        <v>134</v>
      </c>
      <c r="AM105" t="s">
        <v>134</v>
      </c>
      <c r="AN105" t="s">
        <v>134</v>
      </c>
      <c r="AO105" t="s">
        <v>134</v>
      </c>
      <c r="AP105" t="s">
        <v>134</v>
      </c>
      <c r="AQ105" t="s">
        <v>134</v>
      </c>
      <c r="AR105" t="s">
        <v>134</v>
      </c>
      <c r="AS105" t="s">
        <v>134</v>
      </c>
      <c r="AT105" t="s">
        <v>134</v>
      </c>
      <c r="AU105" t="s">
        <v>134</v>
      </c>
      <c r="AV105" t="s">
        <v>134</v>
      </c>
      <c r="AW105" t="s">
        <v>134</v>
      </c>
      <c r="AX105" t="s">
        <v>134</v>
      </c>
      <c r="AY105" t="s">
        <v>134</v>
      </c>
      <c r="AZ105" t="s">
        <v>134</v>
      </c>
      <c r="BA105" t="s">
        <v>134</v>
      </c>
      <c r="BB105" t="s">
        <v>134</v>
      </c>
      <c r="BC105" t="s">
        <v>134</v>
      </c>
      <c r="BD105" t="s">
        <v>134</v>
      </c>
      <c r="BE105" t="s">
        <v>134</v>
      </c>
      <c r="BF105" t="s">
        <v>134</v>
      </c>
      <c r="BG105" t="s">
        <v>134</v>
      </c>
      <c r="BH105" t="s">
        <v>134</v>
      </c>
      <c r="BI105" t="s">
        <v>134</v>
      </c>
      <c r="BJ105" t="s">
        <v>134</v>
      </c>
      <c r="BK105" t="s">
        <v>134</v>
      </c>
      <c r="BL105" t="s">
        <v>134</v>
      </c>
      <c r="BM105" t="s">
        <v>134</v>
      </c>
      <c r="BN105" t="s">
        <v>134</v>
      </c>
      <c r="BO105" t="s">
        <v>134</v>
      </c>
      <c r="BP105" t="s">
        <v>134</v>
      </c>
      <c r="BQ105" t="s">
        <v>134</v>
      </c>
      <c r="BR105" t="s">
        <v>134</v>
      </c>
      <c r="BS105" t="s">
        <v>134</v>
      </c>
      <c r="BT105" t="s">
        <v>134</v>
      </c>
      <c r="BU105" t="s">
        <v>134</v>
      </c>
      <c r="BV105" t="s">
        <v>134</v>
      </c>
      <c r="BW105" t="s">
        <v>134</v>
      </c>
      <c r="BX105" t="s">
        <v>134</v>
      </c>
      <c r="BY105" t="s">
        <v>134</v>
      </c>
      <c r="BZ105" t="s">
        <v>134</v>
      </c>
      <c r="CA105" t="s">
        <v>134</v>
      </c>
      <c r="CB105" t="s">
        <v>134</v>
      </c>
      <c r="CC105" t="s">
        <v>134</v>
      </c>
      <c r="CD105" t="s">
        <v>134</v>
      </c>
      <c r="CE105" t="s">
        <v>134</v>
      </c>
      <c r="CF105" t="s">
        <v>134</v>
      </c>
      <c r="CG105" t="s">
        <v>134</v>
      </c>
      <c r="CH105" t="s">
        <v>134</v>
      </c>
      <c r="CI105" t="s">
        <v>134</v>
      </c>
      <c r="CJ105" t="s">
        <v>134</v>
      </c>
      <c r="CK105" t="s">
        <v>134</v>
      </c>
      <c r="CL105" t="s">
        <v>134</v>
      </c>
      <c r="CM105" t="s">
        <v>134</v>
      </c>
      <c r="CN105" t="s">
        <v>134</v>
      </c>
      <c r="CO105" t="s">
        <v>134</v>
      </c>
      <c r="CP105" t="s">
        <v>134</v>
      </c>
      <c r="CQ105" t="s">
        <v>134</v>
      </c>
      <c r="CR105" t="s">
        <v>134</v>
      </c>
      <c r="CS105" t="s">
        <v>134</v>
      </c>
      <c r="CT105" t="s">
        <v>134</v>
      </c>
      <c r="CU105" t="s">
        <v>134</v>
      </c>
      <c r="CV105" t="s">
        <v>134</v>
      </c>
      <c r="CW105" t="s">
        <v>134</v>
      </c>
      <c r="CX105" t="s">
        <v>134</v>
      </c>
      <c r="CY105" t="s">
        <v>134</v>
      </c>
      <c r="CZ105" t="s">
        <v>134</v>
      </c>
      <c r="DA105" t="s">
        <v>134</v>
      </c>
      <c r="DB105" t="s">
        <v>134</v>
      </c>
      <c r="DC105" t="s">
        <v>134</v>
      </c>
      <c r="DD105" t="s">
        <v>134</v>
      </c>
      <c r="DE105" t="s">
        <v>134</v>
      </c>
      <c r="DF105" t="s">
        <v>134</v>
      </c>
      <c r="DG105" t="s">
        <v>134</v>
      </c>
      <c r="DH105" t="s">
        <v>134</v>
      </c>
      <c r="DI105" t="s">
        <v>134</v>
      </c>
    </row>
    <row r="106" spans="1:113" x14ac:dyDescent="0.3">
      <c r="E106" t="s">
        <v>6</v>
      </c>
      <c r="F106" t="s">
        <v>134</v>
      </c>
      <c r="G106" t="s">
        <v>134</v>
      </c>
      <c r="H106" t="s">
        <v>134</v>
      </c>
      <c r="I106" t="s">
        <v>134</v>
      </c>
      <c r="J106" t="s">
        <v>134</v>
      </c>
      <c r="K106" t="s">
        <v>134</v>
      </c>
      <c r="L106" t="s">
        <v>134</v>
      </c>
      <c r="M106" t="s">
        <v>134</v>
      </c>
      <c r="N106" t="s">
        <v>134</v>
      </c>
      <c r="O106" t="s">
        <v>134</v>
      </c>
      <c r="P106" t="s">
        <v>134</v>
      </c>
      <c r="Q106" t="s">
        <v>134</v>
      </c>
      <c r="R106" t="s">
        <v>134</v>
      </c>
      <c r="S106" t="s">
        <v>134</v>
      </c>
      <c r="T106" t="s">
        <v>134</v>
      </c>
      <c r="U106" t="s">
        <v>134</v>
      </c>
      <c r="V106" t="s">
        <v>134</v>
      </c>
      <c r="W106" t="s">
        <v>134</v>
      </c>
      <c r="X106" t="s">
        <v>134</v>
      </c>
      <c r="Y106" t="s">
        <v>134</v>
      </c>
      <c r="Z106" t="s">
        <v>134</v>
      </c>
      <c r="AA106" t="s">
        <v>134</v>
      </c>
      <c r="AB106" t="s">
        <v>134</v>
      </c>
      <c r="AC106" t="s">
        <v>134</v>
      </c>
      <c r="AD106" t="s">
        <v>134</v>
      </c>
      <c r="AE106" t="s">
        <v>134</v>
      </c>
      <c r="AF106" t="s">
        <v>134</v>
      </c>
      <c r="AG106" t="s">
        <v>134</v>
      </c>
      <c r="AH106" t="s">
        <v>134</v>
      </c>
      <c r="AI106" t="s">
        <v>134</v>
      </c>
      <c r="AJ106" t="s">
        <v>134</v>
      </c>
      <c r="AK106" t="s">
        <v>134</v>
      </c>
      <c r="AL106" t="s">
        <v>134</v>
      </c>
      <c r="AM106" t="s">
        <v>134</v>
      </c>
      <c r="AN106" t="s">
        <v>134</v>
      </c>
      <c r="AO106" t="s">
        <v>134</v>
      </c>
      <c r="AP106" t="s">
        <v>134</v>
      </c>
      <c r="AQ106" t="s">
        <v>134</v>
      </c>
      <c r="AR106" t="s">
        <v>134</v>
      </c>
      <c r="AS106" t="s">
        <v>134</v>
      </c>
      <c r="AT106" t="s">
        <v>134</v>
      </c>
      <c r="AU106" t="s">
        <v>134</v>
      </c>
      <c r="AV106" t="s">
        <v>134</v>
      </c>
      <c r="AW106" t="s">
        <v>134</v>
      </c>
      <c r="AX106" t="s">
        <v>134</v>
      </c>
      <c r="AY106" t="s">
        <v>134</v>
      </c>
      <c r="AZ106" t="s">
        <v>134</v>
      </c>
      <c r="BA106" t="s">
        <v>134</v>
      </c>
      <c r="BB106" t="s">
        <v>134</v>
      </c>
      <c r="BC106" t="s">
        <v>134</v>
      </c>
      <c r="BD106" t="s">
        <v>134</v>
      </c>
      <c r="BE106" t="s">
        <v>134</v>
      </c>
      <c r="BF106" t="s">
        <v>134</v>
      </c>
      <c r="BG106" t="s">
        <v>134</v>
      </c>
      <c r="BH106" t="s">
        <v>134</v>
      </c>
      <c r="BI106" t="s">
        <v>134</v>
      </c>
      <c r="BJ106" t="s">
        <v>134</v>
      </c>
      <c r="BK106" t="s">
        <v>134</v>
      </c>
      <c r="BL106" t="s">
        <v>134</v>
      </c>
      <c r="BM106" t="s">
        <v>134</v>
      </c>
      <c r="BN106" t="s">
        <v>134</v>
      </c>
      <c r="BO106" t="s">
        <v>134</v>
      </c>
      <c r="BP106" t="s">
        <v>134</v>
      </c>
      <c r="BQ106" t="s">
        <v>134</v>
      </c>
      <c r="BR106" t="s">
        <v>134</v>
      </c>
      <c r="BS106" t="s">
        <v>134</v>
      </c>
      <c r="BT106" t="s">
        <v>134</v>
      </c>
      <c r="BU106" t="s">
        <v>134</v>
      </c>
      <c r="BV106" t="s">
        <v>134</v>
      </c>
      <c r="BW106" t="s">
        <v>134</v>
      </c>
      <c r="BX106" t="s">
        <v>134</v>
      </c>
      <c r="BY106" t="s">
        <v>134</v>
      </c>
      <c r="BZ106" t="s">
        <v>134</v>
      </c>
      <c r="CA106" t="s">
        <v>134</v>
      </c>
      <c r="CB106" t="s">
        <v>134</v>
      </c>
      <c r="CC106" t="s">
        <v>134</v>
      </c>
      <c r="CD106" t="s">
        <v>134</v>
      </c>
      <c r="CE106" t="s">
        <v>134</v>
      </c>
      <c r="CF106" t="s">
        <v>134</v>
      </c>
      <c r="CG106" t="s">
        <v>134</v>
      </c>
      <c r="CH106" t="s">
        <v>134</v>
      </c>
      <c r="CI106" t="s">
        <v>134</v>
      </c>
      <c r="CJ106" t="s">
        <v>134</v>
      </c>
      <c r="CK106" t="s">
        <v>134</v>
      </c>
      <c r="CL106" t="s">
        <v>134</v>
      </c>
      <c r="CM106" t="s">
        <v>134</v>
      </c>
      <c r="CN106" t="s">
        <v>134</v>
      </c>
      <c r="CO106" t="s">
        <v>134</v>
      </c>
      <c r="CP106" t="s">
        <v>134</v>
      </c>
      <c r="CQ106" t="s">
        <v>134</v>
      </c>
      <c r="CR106" t="s">
        <v>134</v>
      </c>
      <c r="CS106" t="s">
        <v>134</v>
      </c>
      <c r="CT106" t="s">
        <v>134</v>
      </c>
      <c r="CU106" t="s">
        <v>134</v>
      </c>
      <c r="CV106" t="s">
        <v>134</v>
      </c>
      <c r="CW106" t="s">
        <v>134</v>
      </c>
      <c r="CX106" t="s">
        <v>134</v>
      </c>
      <c r="CY106" t="s">
        <v>134</v>
      </c>
      <c r="CZ106" t="s">
        <v>134</v>
      </c>
      <c r="DA106" t="s">
        <v>134</v>
      </c>
      <c r="DB106" t="s">
        <v>134</v>
      </c>
      <c r="DC106" t="s">
        <v>134</v>
      </c>
      <c r="DD106" t="s">
        <v>134</v>
      </c>
      <c r="DE106" t="s">
        <v>134</v>
      </c>
      <c r="DF106" t="s">
        <v>134</v>
      </c>
      <c r="DG106" t="s">
        <v>134</v>
      </c>
      <c r="DH106" t="s">
        <v>134</v>
      </c>
      <c r="DI106" t="s">
        <v>134</v>
      </c>
    </row>
    <row r="107" spans="1:113" x14ac:dyDescent="0.3">
      <c r="E107" t="s">
        <v>7</v>
      </c>
      <c r="F107" t="s">
        <v>134</v>
      </c>
      <c r="G107" t="s">
        <v>134</v>
      </c>
      <c r="H107" t="s">
        <v>134</v>
      </c>
      <c r="I107" t="s">
        <v>134</v>
      </c>
      <c r="J107" t="s">
        <v>134</v>
      </c>
      <c r="K107" t="s">
        <v>134</v>
      </c>
      <c r="L107" t="s">
        <v>134</v>
      </c>
      <c r="M107" t="s">
        <v>134</v>
      </c>
      <c r="N107" t="s">
        <v>134</v>
      </c>
      <c r="O107" t="s">
        <v>134</v>
      </c>
      <c r="P107" t="s">
        <v>134</v>
      </c>
      <c r="Q107" t="s">
        <v>134</v>
      </c>
      <c r="R107" t="s">
        <v>134</v>
      </c>
      <c r="S107" t="s">
        <v>134</v>
      </c>
      <c r="T107" t="s">
        <v>134</v>
      </c>
      <c r="U107" t="s">
        <v>134</v>
      </c>
      <c r="V107" t="s">
        <v>134</v>
      </c>
      <c r="W107" t="s">
        <v>134</v>
      </c>
      <c r="X107" t="s">
        <v>134</v>
      </c>
      <c r="Y107" t="s">
        <v>134</v>
      </c>
      <c r="Z107" t="s">
        <v>134</v>
      </c>
      <c r="AA107" t="s">
        <v>134</v>
      </c>
      <c r="AB107" t="s">
        <v>134</v>
      </c>
      <c r="AC107" t="s">
        <v>134</v>
      </c>
      <c r="AD107" t="s">
        <v>134</v>
      </c>
      <c r="AE107" t="s">
        <v>134</v>
      </c>
      <c r="AF107" t="s">
        <v>134</v>
      </c>
      <c r="AG107" t="s">
        <v>134</v>
      </c>
      <c r="AH107" t="s">
        <v>134</v>
      </c>
      <c r="AI107" t="s">
        <v>134</v>
      </c>
      <c r="AJ107" t="s">
        <v>134</v>
      </c>
      <c r="AK107" t="s">
        <v>134</v>
      </c>
      <c r="AL107" t="s">
        <v>134</v>
      </c>
      <c r="AM107" t="s">
        <v>134</v>
      </c>
      <c r="AN107" t="s">
        <v>134</v>
      </c>
      <c r="AO107" t="s">
        <v>134</v>
      </c>
      <c r="AP107" t="s">
        <v>134</v>
      </c>
      <c r="AQ107" t="s">
        <v>134</v>
      </c>
      <c r="AR107" t="s">
        <v>134</v>
      </c>
      <c r="AS107" t="s">
        <v>134</v>
      </c>
      <c r="AT107" t="s">
        <v>134</v>
      </c>
      <c r="AU107" t="s">
        <v>134</v>
      </c>
      <c r="AV107" t="s">
        <v>134</v>
      </c>
      <c r="AW107" t="s">
        <v>134</v>
      </c>
      <c r="AX107" t="s">
        <v>134</v>
      </c>
      <c r="AY107" t="s">
        <v>134</v>
      </c>
      <c r="AZ107" t="s">
        <v>134</v>
      </c>
      <c r="BA107" t="s">
        <v>134</v>
      </c>
      <c r="BB107" t="s">
        <v>134</v>
      </c>
      <c r="BC107" t="s">
        <v>134</v>
      </c>
      <c r="BD107" t="s">
        <v>134</v>
      </c>
      <c r="BE107" t="s">
        <v>134</v>
      </c>
      <c r="BF107" t="s">
        <v>134</v>
      </c>
      <c r="BG107" t="s">
        <v>134</v>
      </c>
      <c r="BH107" t="s">
        <v>134</v>
      </c>
      <c r="BI107" t="s">
        <v>134</v>
      </c>
      <c r="BJ107" t="s">
        <v>134</v>
      </c>
      <c r="BK107" t="s">
        <v>134</v>
      </c>
      <c r="BL107" t="s">
        <v>134</v>
      </c>
      <c r="BM107" t="s">
        <v>134</v>
      </c>
      <c r="BN107" t="s">
        <v>134</v>
      </c>
      <c r="BO107" t="s">
        <v>134</v>
      </c>
      <c r="BP107" t="s">
        <v>134</v>
      </c>
      <c r="BQ107" t="s">
        <v>134</v>
      </c>
      <c r="BR107" t="s">
        <v>134</v>
      </c>
      <c r="BS107" t="s">
        <v>134</v>
      </c>
      <c r="BT107" t="s">
        <v>134</v>
      </c>
      <c r="BU107" t="s">
        <v>134</v>
      </c>
      <c r="BV107" t="s">
        <v>134</v>
      </c>
      <c r="BW107" t="s">
        <v>134</v>
      </c>
      <c r="BX107" t="s">
        <v>134</v>
      </c>
      <c r="BY107" t="s">
        <v>134</v>
      </c>
      <c r="BZ107" t="s">
        <v>134</v>
      </c>
      <c r="CA107" t="s">
        <v>134</v>
      </c>
      <c r="CB107" t="s">
        <v>134</v>
      </c>
      <c r="CC107" t="s">
        <v>134</v>
      </c>
      <c r="CD107" t="s">
        <v>134</v>
      </c>
      <c r="CE107" t="s">
        <v>134</v>
      </c>
      <c r="CF107" t="s">
        <v>134</v>
      </c>
      <c r="CG107" t="s">
        <v>134</v>
      </c>
      <c r="CH107" t="s">
        <v>134</v>
      </c>
      <c r="CI107" t="s">
        <v>134</v>
      </c>
      <c r="CJ107" t="s">
        <v>134</v>
      </c>
      <c r="CK107" t="s">
        <v>134</v>
      </c>
      <c r="CL107" t="s">
        <v>134</v>
      </c>
      <c r="CM107" t="s">
        <v>134</v>
      </c>
      <c r="CN107" t="s">
        <v>134</v>
      </c>
      <c r="CO107" t="s">
        <v>134</v>
      </c>
      <c r="CP107" t="s">
        <v>134</v>
      </c>
      <c r="CQ107" t="s">
        <v>134</v>
      </c>
      <c r="CR107" t="s">
        <v>134</v>
      </c>
      <c r="CS107" t="s">
        <v>134</v>
      </c>
      <c r="CT107" t="s">
        <v>134</v>
      </c>
      <c r="CU107" t="s">
        <v>134</v>
      </c>
      <c r="CV107" t="s">
        <v>134</v>
      </c>
      <c r="CW107" t="s">
        <v>134</v>
      </c>
      <c r="CX107" t="s">
        <v>134</v>
      </c>
      <c r="CY107" t="s">
        <v>134</v>
      </c>
      <c r="CZ107" t="s">
        <v>134</v>
      </c>
      <c r="DA107" t="s">
        <v>134</v>
      </c>
      <c r="DB107" t="s">
        <v>134</v>
      </c>
      <c r="DC107" t="s">
        <v>134</v>
      </c>
      <c r="DD107" t="s">
        <v>134</v>
      </c>
      <c r="DE107" t="s">
        <v>134</v>
      </c>
      <c r="DF107" t="s">
        <v>134</v>
      </c>
      <c r="DG107" t="s">
        <v>134</v>
      </c>
      <c r="DH107" t="s">
        <v>134</v>
      </c>
      <c r="DI107" t="s">
        <v>134</v>
      </c>
    </row>
    <row r="108" spans="1:113" x14ac:dyDescent="0.3">
      <c r="D108" t="s">
        <v>8</v>
      </c>
      <c r="E108" t="s">
        <v>3</v>
      </c>
      <c r="F108">
        <v>305.57619999999997</v>
      </c>
      <c r="G108">
        <v>13.0359</v>
      </c>
      <c r="H108">
        <v>33.917699999999996</v>
      </c>
      <c r="I108">
        <v>25.758199999999999</v>
      </c>
      <c r="J108">
        <v>13.483599999999999</v>
      </c>
      <c r="K108">
        <v>11.3041</v>
      </c>
      <c r="L108">
        <v>46.171900000000001</v>
      </c>
      <c r="M108">
        <v>13.238799999999999</v>
      </c>
      <c r="N108">
        <v>9.3432999999999993</v>
      </c>
      <c r="O108">
        <v>9.3432999999999993</v>
      </c>
      <c r="P108">
        <v>9.3432999999999993</v>
      </c>
      <c r="Q108">
        <v>29.424600000000002</v>
      </c>
      <c r="R108" t="s">
        <v>134</v>
      </c>
      <c r="S108" t="s">
        <v>134</v>
      </c>
      <c r="T108">
        <v>25.1557</v>
      </c>
      <c r="U108">
        <v>269.04079999999999</v>
      </c>
      <c r="V108">
        <v>458.56259999999997</v>
      </c>
      <c r="W108">
        <v>173.0761</v>
      </c>
      <c r="X108" t="s">
        <v>134</v>
      </c>
      <c r="Y108" t="s">
        <v>134</v>
      </c>
      <c r="Z108">
        <v>17.3111</v>
      </c>
      <c r="AA108">
        <v>94.028499999999994</v>
      </c>
      <c r="AB108">
        <v>23.5017</v>
      </c>
      <c r="AC108">
        <v>18.348400000000002</v>
      </c>
      <c r="AD108">
        <v>-6.1935000000000002</v>
      </c>
      <c r="AE108">
        <v>238.74639999999999</v>
      </c>
      <c r="AF108">
        <v>24.222799999999999</v>
      </c>
      <c r="AG108">
        <v>27.216899999999999</v>
      </c>
      <c r="AH108">
        <v>17.3306</v>
      </c>
      <c r="AI108">
        <v>1.0618000000000001</v>
      </c>
      <c r="AJ108">
        <v>15.5097</v>
      </c>
      <c r="AK108" t="s">
        <v>134</v>
      </c>
      <c r="AL108">
        <v>43.777799999999999</v>
      </c>
      <c r="AM108" t="s">
        <v>134</v>
      </c>
      <c r="AN108" t="s">
        <v>134</v>
      </c>
      <c r="AO108" t="s">
        <v>134</v>
      </c>
      <c r="AP108" t="s">
        <v>134</v>
      </c>
      <c r="AQ108" t="s">
        <v>134</v>
      </c>
      <c r="AR108" t="s">
        <v>134</v>
      </c>
      <c r="AS108" t="s">
        <v>134</v>
      </c>
      <c r="AT108" t="s">
        <v>134</v>
      </c>
      <c r="AU108" t="s">
        <v>134</v>
      </c>
      <c r="AV108" t="s">
        <v>134</v>
      </c>
      <c r="AW108" t="s">
        <v>134</v>
      </c>
      <c r="AX108" t="s">
        <v>134</v>
      </c>
      <c r="AY108" t="s">
        <v>134</v>
      </c>
      <c r="AZ108" t="s">
        <v>134</v>
      </c>
      <c r="BA108" t="s">
        <v>134</v>
      </c>
      <c r="BB108" t="s">
        <v>134</v>
      </c>
      <c r="BC108" t="s">
        <v>134</v>
      </c>
      <c r="BD108" t="s">
        <v>134</v>
      </c>
      <c r="BE108" t="s">
        <v>134</v>
      </c>
      <c r="BF108">
        <v>25.1557</v>
      </c>
      <c r="BG108">
        <v>269.04079999999999</v>
      </c>
      <c r="BH108">
        <v>458.56259999999997</v>
      </c>
      <c r="BI108">
        <v>173.0761</v>
      </c>
      <c r="BJ108" t="s">
        <v>134</v>
      </c>
      <c r="BK108" t="s">
        <v>134</v>
      </c>
      <c r="BL108">
        <v>17.3111</v>
      </c>
      <c r="BM108">
        <v>94.028499999999994</v>
      </c>
      <c r="BN108">
        <v>23.5017</v>
      </c>
      <c r="BO108">
        <v>18.348400000000002</v>
      </c>
      <c r="BP108" t="s">
        <v>134</v>
      </c>
      <c r="BQ108">
        <v>238.74639999999999</v>
      </c>
      <c r="BR108">
        <v>24.222799999999999</v>
      </c>
      <c r="BS108">
        <v>27.216899999999999</v>
      </c>
      <c r="BT108">
        <v>17.3306</v>
      </c>
      <c r="BU108">
        <v>1.0618000000000001</v>
      </c>
      <c r="BV108">
        <v>15.5097</v>
      </c>
      <c r="BW108" t="s">
        <v>134</v>
      </c>
      <c r="BX108">
        <v>43.777799999999999</v>
      </c>
      <c r="BY108">
        <v>39261.629999999997</v>
      </c>
      <c r="BZ108">
        <v>3377.61</v>
      </c>
      <c r="CA108">
        <v>35884.019999999997</v>
      </c>
      <c r="CB108">
        <v>2.0998999999999999</v>
      </c>
      <c r="CC108">
        <v>0.75419999999999998</v>
      </c>
      <c r="CD108">
        <v>2.5047999999999999</v>
      </c>
      <c r="CE108">
        <v>0.89959999999999996</v>
      </c>
      <c r="CF108">
        <v>16.183299999999999</v>
      </c>
      <c r="CG108">
        <v>3.9561000000000002</v>
      </c>
      <c r="CH108">
        <v>841.91309999999999</v>
      </c>
      <c r="CI108">
        <v>82.446799999999996</v>
      </c>
      <c r="CJ108">
        <v>33.306800000000003</v>
      </c>
      <c r="CK108">
        <v>921.15880000000004</v>
      </c>
      <c r="CL108">
        <v>90.2072</v>
      </c>
      <c r="CM108">
        <v>36.441899999999997</v>
      </c>
      <c r="CN108">
        <v>330.82229999999998</v>
      </c>
      <c r="CO108">
        <v>76.788600000000002</v>
      </c>
      <c r="CP108">
        <v>18696.86</v>
      </c>
      <c r="CQ108">
        <v>8525.7099999999991</v>
      </c>
      <c r="CR108">
        <v>15674.72</v>
      </c>
      <c r="CS108">
        <v>0.85319999999999996</v>
      </c>
      <c r="CT108">
        <v>1.0743</v>
      </c>
      <c r="CU108">
        <v>0.88870000000000005</v>
      </c>
      <c r="CV108" t="s">
        <v>134</v>
      </c>
      <c r="CW108">
        <v>143.19460000000001</v>
      </c>
      <c r="CX108">
        <v>2.5489999999999999</v>
      </c>
      <c r="CY108">
        <v>0.82599999999999996</v>
      </c>
      <c r="CZ108">
        <v>441.87740000000002</v>
      </c>
      <c r="DA108">
        <v>0.33789999999999998</v>
      </c>
      <c r="DB108">
        <v>1080.3561999999999</v>
      </c>
      <c r="DC108">
        <v>-635.92989999999998</v>
      </c>
      <c r="DD108">
        <v>444.4264</v>
      </c>
      <c r="DE108">
        <v>1305.54</v>
      </c>
      <c r="DF108" t="s">
        <v>134</v>
      </c>
      <c r="DG108" t="s">
        <v>134</v>
      </c>
      <c r="DH108" t="s">
        <v>134</v>
      </c>
      <c r="DI108" t="s">
        <v>134</v>
      </c>
    </row>
    <row r="109" spans="1:113" x14ac:dyDescent="0.3">
      <c r="E109" t="s">
        <v>4</v>
      </c>
      <c r="F109" t="s">
        <v>134</v>
      </c>
      <c r="G109" t="s">
        <v>134</v>
      </c>
      <c r="H109" t="s">
        <v>134</v>
      </c>
      <c r="I109" t="s">
        <v>134</v>
      </c>
      <c r="J109" t="s">
        <v>134</v>
      </c>
      <c r="K109" t="s">
        <v>134</v>
      </c>
      <c r="L109" t="s">
        <v>134</v>
      </c>
      <c r="M109" t="s">
        <v>134</v>
      </c>
      <c r="N109" t="s">
        <v>134</v>
      </c>
      <c r="O109" t="s">
        <v>134</v>
      </c>
      <c r="P109" t="s">
        <v>134</v>
      </c>
      <c r="Q109" t="s">
        <v>134</v>
      </c>
      <c r="R109" t="s">
        <v>134</v>
      </c>
      <c r="S109" t="s">
        <v>134</v>
      </c>
      <c r="T109" t="s">
        <v>134</v>
      </c>
      <c r="U109" t="s">
        <v>134</v>
      </c>
      <c r="V109" t="s">
        <v>134</v>
      </c>
      <c r="W109" t="s">
        <v>134</v>
      </c>
      <c r="X109" t="s">
        <v>134</v>
      </c>
      <c r="Y109" t="s">
        <v>134</v>
      </c>
      <c r="Z109" t="s">
        <v>134</v>
      </c>
      <c r="AA109" t="s">
        <v>134</v>
      </c>
      <c r="AB109" t="s">
        <v>134</v>
      </c>
      <c r="AC109" t="s">
        <v>134</v>
      </c>
      <c r="AD109" t="s">
        <v>134</v>
      </c>
      <c r="AE109" t="s">
        <v>134</v>
      </c>
      <c r="AF109" t="s">
        <v>134</v>
      </c>
      <c r="AG109" t="s">
        <v>134</v>
      </c>
      <c r="AH109" t="s">
        <v>134</v>
      </c>
      <c r="AI109" t="s">
        <v>134</v>
      </c>
      <c r="AJ109" t="s">
        <v>134</v>
      </c>
      <c r="AK109" t="s">
        <v>134</v>
      </c>
      <c r="AL109" t="s">
        <v>134</v>
      </c>
      <c r="AM109" t="s">
        <v>134</v>
      </c>
      <c r="AN109" t="s">
        <v>134</v>
      </c>
      <c r="AO109" t="s">
        <v>134</v>
      </c>
      <c r="AP109" t="s">
        <v>134</v>
      </c>
      <c r="AQ109" t="s">
        <v>134</v>
      </c>
      <c r="AR109" t="s">
        <v>134</v>
      </c>
      <c r="AS109" t="s">
        <v>134</v>
      </c>
      <c r="AT109" t="s">
        <v>134</v>
      </c>
      <c r="AU109" t="s">
        <v>134</v>
      </c>
      <c r="AV109" t="s">
        <v>134</v>
      </c>
      <c r="AW109" t="s">
        <v>134</v>
      </c>
      <c r="AX109" t="s">
        <v>134</v>
      </c>
      <c r="AY109" t="s">
        <v>134</v>
      </c>
      <c r="AZ109" t="s">
        <v>134</v>
      </c>
      <c r="BA109" t="s">
        <v>134</v>
      </c>
      <c r="BB109" t="s">
        <v>134</v>
      </c>
      <c r="BC109" t="s">
        <v>134</v>
      </c>
      <c r="BD109" t="s">
        <v>134</v>
      </c>
      <c r="BE109" t="s">
        <v>134</v>
      </c>
      <c r="BF109" t="s">
        <v>134</v>
      </c>
      <c r="BG109" t="s">
        <v>134</v>
      </c>
      <c r="BH109" t="s">
        <v>134</v>
      </c>
      <c r="BI109" t="s">
        <v>134</v>
      </c>
      <c r="BJ109" t="s">
        <v>134</v>
      </c>
      <c r="BK109" t="s">
        <v>134</v>
      </c>
      <c r="BL109" t="s">
        <v>134</v>
      </c>
      <c r="BM109" t="s">
        <v>134</v>
      </c>
      <c r="BN109" t="s">
        <v>134</v>
      </c>
      <c r="BO109" t="s">
        <v>134</v>
      </c>
      <c r="BP109" t="s">
        <v>134</v>
      </c>
      <c r="BQ109" t="s">
        <v>134</v>
      </c>
      <c r="BR109" t="s">
        <v>134</v>
      </c>
      <c r="BS109" t="s">
        <v>134</v>
      </c>
      <c r="BT109" t="s">
        <v>134</v>
      </c>
      <c r="BU109" t="s">
        <v>134</v>
      </c>
      <c r="BV109" t="s">
        <v>134</v>
      </c>
      <c r="BW109" t="s">
        <v>134</v>
      </c>
      <c r="BX109" t="s">
        <v>134</v>
      </c>
      <c r="BY109" t="s">
        <v>134</v>
      </c>
      <c r="BZ109" t="s">
        <v>134</v>
      </c>
      <c r="CA109" t="s">
        <v>134</v>
      </c>
      <c r="CB109" t="s">
        <v>134</v>
      </c>
      <c r="CC109" t="s">
        <v>134</v>
      </c>
      <c r="CD109" t="s">
        <v>134</v>
      </c>
      <c r="CE109" t="s">
        <v>134</v>
      </c>
      <c r="CF109" t="s">
        <v>134</v>
      </c>
      <c r="CG109" t="s">
        <v>134</v>
      </c>
      <c r="CH109" t="s">
        <v>134</v>
      </c>
      <c r="CI109" t="s">
        <v>134</v>
      </c>
      <c r="CJ109" t="s">
        <v>134</v>
      </c>
      <c r="CK109" t="s">
        <v>134</v>
      </c>
      <c r="CL109" t="s">
        <v>134</v>
      </c>
      <c r="CM109" t="s">
        <v>134</v>
      </c>
      <c r="CN109" t="s">
        <v>134</v>
      </c>
      <c r="CO109" t="s">
        <v>134</v>
      </c>
      <c r="CP109" t="s">
        <v>134</v>
      </c>
      <c r="CQ109" t="s">
        <v>134</v>
      </c>
      <c r="CR109" t="s">
        <v>134</v>
      </c>
      <c r="CS109" t="s">
        <v>134</v>
      </c>
      <c r="CT109" t="s">
        <v>134</v>
      </c>
      <c r="CU109" t="s">
        <v>134</v>
      </c>
      <c r="CV109" t="s">
        <v>134</v>
      </c>
      <c r="CW109" t="s">
        <v>134</v>
      </c>
      <c r="CX109" t="s">
        <v>134</v>
      </c>
      <c r="CY109" t="s">
        <v>134</v>
      </c>
      <c r="CZ109" t="s">
        <v>134</v>
      </c>
      <c r="DA109" t="s">
        <v>134</v>
      </c>
      <c r="DB109" t="s">
        <v>134</v>
      </c>
      <c r="DC109" t="s">
        <v>134</v>
      </c>
      <c r="DD109" t="s">
        <v>134</v>
      </c>
      <c r="DE109" t="s">
        <v>134</v>
      </c>
      <c r="DF109" t="s">
        <v>134</v>
      </c>
      <c r="DG109" t="s">
        <v>134</v>
      </c>
      <c r="DH109" t="s">
        <v>134</v>
      </c>
      <c r="DI109" t="s">
        <v>134</v>
      </c>
    </row>
    <row r="110" spans="1:113" x14ac:dyDescent="0.3">
      <c r="E110" t="s">
        <v>5</v>
      </c>
      <c r="F110" t="s">
        <v>134</v>
      </c>
      <c r="G110" t="s">
        <v>134</v>
      </c>
      <c r="H110" t="s">
        <v>134</v>
      </c>
      <c r="I110" t="s">
        <v>134</v>
      </c>
      <c r="J110" t="s">
        <v>134</v>
      </c>
      <c r="K110" t="s">
        <v>134</v>
      </c>
      <c r="L110" t="s">
        <v>134</v>
      </c>
      <c r="M110" t="s">
        <v>134</v>
      </c>
      <c r="N110" t="s">
        <v>134</v>
      </c>
      <c r="O110" t="s">
        <v>134</v>
      </c>
      <c r="P110" t="s">
        <v>134</v>
      </c>
      <c r="Q110" t="s">
        <v>134</v>
      </c>
      <c r="R110" t="s">
        <v>134</v>
      </c>
      <c r="S110" t="s">
        <v>134</v>
      </c>
      <c r="T110" t="s">
        <v>134</v>
      </c>
      <c r="U110" t="s">
        <v>134</v>
      </c>
      <c r="V110" t="s">
        <v>134</v>
      </c>
      <c r="W110" t="s">
        <v>134</v>
      </c>
      <c r="X110" t="s">
        <v>134</v>
      </c>
      <c r="Y110" t="s">
        <v>134</v>
      </c>
      <c r="Z110" t="s">
        <v>134</v>
      </c>
      <c r="AA110" t="s">
        <v>134</v>
      </c>
      <c r="AB110" t="s">
        <v>134</v>
      </c>
      <c r="AC110" t="s">
        <v>134</v>
      </c>
      <c r="AD110" t="s">
        <v>134</v>
      </c>
      <c r="AE110" t="s">
        <v>134</v>
      </c>
      <c r="AF110" t="s">
        <v>134</v>
      </c>
      <c r="AG110" t="s">
        <v>134</v>
      </c>
      <c r="AH110" t="s">
        <v>134</v>
      </c>
      <c r="AI110" t="s">
        <v>134</v>
      </c>
      <c r="AJ110" t="s">
        <v>134</v>
      </c>
      <c r="AK110" t="s">
        <v>134</v>
      </c>
      <c r="AL110" t="s">
        <v>134</v>
      </c>
      <c r="AM110" t="s">
        <v>134</v>
      </c>
      <c r="AN110" t="s">
        <v>134</v>
      </c>
      <c r="AO110" t="s">
        <v>134</v>
      </c>
      <c r="AP110" t="s">
        <v>134</v>
      </c>
      <c r="AQ110" t="s">
        <v>134</v>
      </c>
      <c r="AR110" t="s">
        <v>134</v>
      </c>
      <c r="AS110" t="s">
        <v>134</v>
      </c>
      <c r="AT110" t="s">
        <v>134</v>
      </c>
      <c r="AU110" t="s">
        <v>134</v>
      </c>
      <c r="AV110" t="s">
        <v>134</v>
      </c>
      <c r="AW110" t="s">
        <v>134</v>
      </c>
      <c r="AX110" t="s">
        <v>134</v>
      </c>
      <c r="AY110" t="s">
        <v>134</v>
      </c>
      <c r="AZ110" t="s">
        <v>134</v>
      </c>
      <c r="BA110" t="s">
        <v>134</v>
      </c>
      <c r="BB110" t="s">
        <v>134</v>
      </c>
      <c r="BC110" t="s">
        <v>134</v>
      </c>
      <c r="BD110" t="s">
        <v>134</v>
      </c>
      <c r="BE110" t="s">
        <v>134</v>
      </c>
      <c r="BF110" t="s">
        <v>134</v>
      </c>
      <c r="BG110" t="s">
        <v>134</v>
      </c>
      <c r="BH110" t="s">
        <v>134</v>
      </c>
      <c r="BI110" t="s">
        <v>134</v>
      </c>
      <c r="BJ110" t="s">
        <v>134</v>
      </c>
      <c r="BK110" t="s">
        <v>134</v>
      </c>
      <c r="BL110" t="s">
        <v>134</v>
      </c>
      <c r="BM110" t="s">
        <v>134</v>
      </c>
      <c r="BN110" t="s">
        <v>134</v>
      </c>
      <c r="BO110" t="s">
        <v>134</v>
      </c>
      <c r="BP110" t="s">
        <v>134</v>
      </c>
      <c r="BQ110" t="s">
        <v>134</v>
      </c>
      <c r="BR110" t="s">
        <v>134</v>
      </c>
      <c r="BS110" t="s">
        <v>134</v>
      </c>
      <c r="BT110" t="s">
        <v>134</v>
      </c>
      <c r="BU110" t="s">
        <v>134</v>
      </c>
      <c r="BV110" t="s">
        <v>134</v>
      </c>
      <c r="BW110" t="s">
        <v>134</v>
      </c>
      <c r="BX110" t="s">
        <v>134</v>
      </c>
      <c r="BY110" t="s">
        <v>134</v>
      </c>
      <c r="BZ110" t="s">
        <v>134</v>
      </c>
      <c r="CA110" t="s">
        <v>134</v>
      </c>
      <c r="CB110" t="s">
        <v>134</v>
      </c>
      <c r="CC110" t="s">
        <v>134</v>
      </c>
      <c r="CD110" t="s">
        <v>134</v>
      </c>
      <c r="CE110" t="s">
        <v>134</v>
      </c>
      <c r="CF110" t="s">
        <v>134</v>
      </c>
      <c r="CG110" t="s">
        <v>134</v>
      </c>
      <c r="CH110" t="s">
        <v>134</v>
      </c>
      <c r="CI110" t="s">
        <v>134</v>
      </c>
      <c r="CJ110" t="s">
        <v>134</v>
      </c>
      <c r="CK110" t="s">
        <v>134</v>
      </c>
      <c r="CL110" t="s">
        <v>134</v>
      </c>
      <c r="CM110" t="s">
        <v>134</v>
      </c>
      <c r="CN110" t="s">
        <v>134</v>
      </c>
      <c r="CO110" t="s">
        <v>134</v>
      </c>
      <c r="CP110" t="s">
        <v>134</v>
      </c>
      <c r="CQ110" t="s">
        <v>134</v>
      </c>
      <c r="CR110" t="s">
        <v>134</v>
      </c>
      <c r="CS110" t="s">
        <v>134</v>
      </c>
      <c r="CT110" t="s">
        <v>134</v>
      </c>
      <c r="CU110" t="s">
        <v>134</v>
      </c>
      <c r="CV110" t="s">
        <v>134</v>
      </c>
      <c r="CW110" t="s">
        <v>134</v>
      </c>
      <c r="CX110" t="s">
        <v>134</v>
      </c>
      <c r="CY110" t="s">
        <v>134</v>
      </c>
      <c r="CZ110" t="s">
        <v>134</v>
      </c>
      <c r="DA110" t="s">
        <v>134</v>
      </c>
      <c r="DB110" t="s">
        <v>134</v>
      </c>
      <c r="DC110" t="s">
        <v>134</v>
      </c>
      <c r="DD110" t="s">
        <v>134</v>
      </c>
      <c r="DE110" t="s">
        <v>134</v>
      </c>
      <c r="DF110" t="s">
        <v>134</v>
      </c>
      <c r="DG110" t="s">
        <v>134</v>
      </c>
      <c r="DH110" t="s">
        <v>134</v>
      </c>
      <c r="DI110" t="s">
        <v>134</v>
      </c>
    </row>
    <row r="111" spans="1:113" x14ac:dyDescent="0.3">
      <c r="E111" t="s">
        <v>6</v>
      </c>
      <c r="F111" t="s">
        <v>134</v>
      </c>
      <c r="G111" t="s">
        <v>134</v>
      </c>
      <c r="H111" t="s">
        <v>134</v>
      </c>
      <c r="I111" t="s">
        <v>134</v>
      </c>
      <c r="J111" t="s">
        <v>134</v>
      </c>
      <c r="K111" t="s">
        <v>134</v>
      </c>
      <c r="L111" t="s">
        <v>134</v>
      </c>
      <c r="M111" t="s">
        <v>134</v>
      </c>
      <c r="N111" t="s">
        <v>134</v>
      </c>
      <c r="O111" t="s">
        <v>134</v>
      </c>
      <c r="P111" t="s">
        <v>134</v>
      </c>
      <c r="Q111" t="s">
        <v>134</v>
      </c>
      <c r="R111" t="s">
        <v>134</v>
      </c>
      <c r="S111" t="s">
        <v>134</v>
      </c>
      <c r="T111" t="s">
        <v>134</v>
      </c>
      <c r="U111" t="s">
        <v>134</v>
      </c>
      <c r="V111" t="s">
        <v>134</v>
      </c>
      <c r="W111" t="s">
        <v>134</v>
      </c>
      <c r="X111" t="s">
        <v>134</v>
      </c>
      <c r="Y111" t="s">
        <v>134</v>
      </c>
      <c r="Z111" t="s">
        <v>134</v>
      </c>
      <c r="AA111" t="s">
        <v>134</v>
      </c>
      <c r="AB111" t="s">
        <v>134</v>
      </c>
      <c r="AC111" t="s">
        <v>134</v>
      </c>
      <c r="AD111" t="s">
        <v>134</v>
      </c>
      <c r="AE111" t="s">
        <v>134</v>
      </c>
      <c r="AF111" t="s">
        <v>134</v>
      </c>
      <c r="AG111" t="s">
        <v>134</v>
      </c>
      <c r="AH111" t="s">
        <v>134</v>
      </c>
      <c r="AI111" t="s">
        <v>134</v>
      </c>
      <c r="AJ111" t="s">
        <v>134</v>
      </c>
      <c r="AK111" t="s">
        <v>134</v>
      </c>
      <c r="AL111" t="s">
        <v>134</v>
      </c>
      <c r="AM111" t="s">
        <v>134</v>
      </c>
      <c r="AN111" t="s">
        <v>134</v>
      </c>
      <c r="AO111" t="s">
        <v>134</v>
      </c>
      <c r="AP111" t="s">
        <v>134</v>
      </c>
      <c r="AQ111" t="s">
        <v>134</v>
      </c>
      <c r="AR111" t="s">
        <v>134</v>
      </c>
      <c r="AS111" t="s">
        <v>134</v>
      </c>
      <c r="AT111" t="s">
        <v>134</v>
      </c>
      <c r="AU111" t="s">
        <v>134</v>
      </c>
      <c r="AV111" t="s">
        <v>134</v>
      </c>
      <c r="AW111" t="s">
        <v>134</v>
      </c>
      <c r="AX111" t="s">
        <v>134</v>
      </c>
      <c r="AY111" t="s">
        <v>134</v>
      </c>
      <c r="AZ111" t="s">
        <v>134</v>
      </c>
      <c r="BA111" t="s">
        <v>134</v>
      </c>
      <c r="BB111" t="s">
        <v>134</v>
      </c>
      <c r="BC111" t="s">
        <v>134</v>
      </c>
      <c r="BD111" t="s">
        <v>134</v>
      </c>
      <c r="BE111" t="s">
        <v>134</v>
      </c>
      <c r="BF111" t="s">
        <v>134</v>
      </c>
      <c r="BG111" t="s">
        <v>134</v>
      </c>
      <c r="BH111" t="s">
        <v>134</v>
      </c>
      <c r="BI111" t="s">
        <v>134</v>
      </c>
      <c r="BJ111" t="s">
        <v>134</v>
      </c>
      <c r="BK111" t="s">
        <v>134</v>
      </c>
      <c r="BL111" t="s">
        <v>134</v>
      </c>
      <c r="BM111" t="s">
        <v>134</v>
      </c>
      <c r="BN111" t="s">
        <v>134</v>
      </c>
      <c r="BO111" t="s">
        <v>134</v>
      </c>
      <c r="BP111" t="s">
        <v>134</v>
      </c>
      <c r="BQ111" t="s">
        <v>134</v>
      </c>
      <c r="BR111" t="s">
        <v>134</v>
      </c>
      <c r="BS111" t="s">
        <v>134</v>
      </c>
      <c r="BT111" t="s">
        <v>134</v>
      </c>
      <c r="BU111" t="s">
        <v>134</v>
      </c>
      <c r="BV111" t="s">
        <v>134</v>
      </c>
      <c r="BW111" t="s">
        <v>134</v>
      </c>
      <c r="BX111" t="s">
        <v>134</v>
      </c>
      <c r="BY111" t="s">
        <v>134</v>
      </c>
      <c r="BZ111" t="s">
        <v>134</v>
      </c>
      <c r="CA111" t="s">
        <v>134</v>
      </c>
      <c r="CB111" t="s">
        <v>134</v>
      </c>
      <c r="CC111" t="s">
        <v>134</v>
      </c>
      <c r="CD111" t="s">
        <v>134</v>
      </c>
      <c r="CE111" t="s">
        <v>134</v>
      </c>
      <c r="CF111" t="s">
        <v>134</v>
      </c>
      <c r="CG111" t="s">
        <v>134</v>
      </c>
      <c r="CH111" t="s">
        <v>134</v>
      </c>
      <c r="CI111" t="s">
        <v>134</v>
      </c>
      <c r="CJ111" t="s">
        <v>134</v>
      </c>
      <c r="CK111" t="s">
        <v>134</v>
      </c>
      <c r="CL111" t="s">
        <v>134</v>
      </c>
      <c r="CM111" t="s">
        <v>134</v>
      </c>
      <c r="CN111" t="s">
        <v>134</v>
      </c>
      <c r="CO111" t="s">
        <v>134</v>
      </c>
      <c r="CP111" t="s">
        <v>134</v>
      </c>
      <c r="CQ111" t="s">
        <v>134</v>
      </c>
      <c r="CR111" t="s">
        <v>134</v>
      </c>
      <c r="CS111" t="s">
        <v>134</v>
      </c>
      <c r="CT111" t="s">
        <v>134</v>
      </c>
      <c r="CU111" t="s">
        <v>134</v>
      </c>
      <c r="CV111" t="s">
        <v>134</v>
      </c>
      <c r="CW111" t="s">
        <v>134</v>
      </c>
      <c r="CX111" t="s">
        <v>134</v>
      </c>
      <c r="CY111" t="s">
        <v>134</v>
      </c>
      <c r="CZ111" t="s">
        <v>134</v>
      </c>
      <c r="DA111" t="s">
        <v>134</v>
      </c>
      <c r="DB111" t="s">
        <v>134</v>
      </c>
      <c r="DC111" t="s">
        <v>134</v>
      </c>
      <c r="DD111" t="s">
        <v>134</v>
      </c>
      <c r="DE111" t="s">
        <v>134</v>
      </c>
      <c r="DF111" t="s">
        <v>134</v>
      </c>
      <c r="DG111" t="s">
        <v>134</v>
      </c>
      <c r="DH111" t="s">
        <v>134</v>
      </c>
      <c r="DI111" t="s">
        <v>134</v>
      </c>
    </row>
    <row r="112" spans="1:113" x14ac:dyDescent="0.3">
      <c r="E112" t="s">
        <v>7</v>
      </c>
      <c r="F112" t="s">
        <v>134</v>
      </c>
      <c r="G112" t="s">
        <v>134</v>
      </c>
      <c r="H112" t="s">
        <v>134</v>
      </c>
      <c r="I112" t="s">
        <v>134</v>
      </c>
      <c r="J112" t="s">
        <v>134</v>
      </c>
      <c r="K112" t="s">
        <v>134</v>
      </c>
      <c r="L112" t="s">
        <v>134</v>
      </c>
      <c r="M112" t="s">
        <v>134</v>
      </c>
      <c r="N112" t="s">
        <v>134</v>
      </c>
      <c r="O112" t="s">
        <v>134</v>
      </c>
      <c r="P112" t="s">
        <v>134</v>
      </c>
      <c r="Q112" t="s">
        <v>134</v>
      </c>
      <c r="R112" t="s">
        <v>134</v>
      </c>
      <c r="S112" t="s">
        <v>134</v>
      </c>
      <c r="T112" t="s">
        <v>134</v>
      </c>
      <c r="U112" t="s">
        <v>134</v>
      </c>
      <c r="V112" t="s">
        <v>134</v>
      </c>
      <c r="W112" t="s">
        <v>134</v>
      </c>
      <c r="X112" t="s">
        <v>134</v>
      </c>
      <c r="Y112" t="s">
        <v>134</v>
      </c>
      <c r="Z112" t="s">
        <v>134</v>
      </c>
      <c r="AA112" t="s">
        <v>134</v>
      </c>
      <c r="AB112" t="s">
        <v>134</v>
      </c>
      <c r="AC112" t="s">
        <v>134</v>
      </c>
      <c r="AD112" t="s">
        <v>134</v>
      </c>
      <c r="AE112" t="s">
        <v>134</v>
      </c>
      <c r="AF112" t="s">
        <v>134</v>
      </c>
      <c r="AG112" t="s">
        <v>134</v>
      </c>
      <c r="AH112" t="s">
        <v>134</v>
      </c>
      <c r="AI112" t="s">
        <v>134</v>
      </c>
      <c r="AJ112" t="s">
        <v>134</v>
      </c>
      <c r="AK112" t="s">
        <v>134</v>
      </c>
      <c r="AL112" t="s">
        <v>134</v>
      </c>
      <c r="AM112" t="s">
        <v>134</v>
      </c>
      <c r="AN112" t="s">
        <v>134</v>
      </c>
      <c r="AO112" t="s">
        <v>134</v>
      </c>
      <c r="AP112" t="s">
        <v>134</v>
      </c>
      <c r="AQ112" t="s">
        <v>134</v>
      </c>
      <c r="AR112" t="s">
        <v>134</v>
      </c>
      <c r="AS112" t="s">
        <v>134</v>
      </c>
      <c r="AT112" t="s">
        <v>134</v>
      </c>
      <c r="AU112" t="s">
        <v>134</v>
      </c>
      <c r="AV112" t="s">
        <v>134</v>
      </c>
      <c r="AW112" t="s">
        <v>134</v>
      </c>
      <c r="AX112" t="s">
        <v>134</v>
      </c>
      <c r="AY112" t="s">
        <v>134</v>
      </c>
      <c r="AZ112" t="s">
        <v>134</v>
      </c>
      <c r="BA112" t="s">
        <v>134</v>
      </c>
      <c r="BB112" t="s">
        <v>134</v>
      </c>
      <c r="BC112" t="s">
        <v>134</v>
      </c>
      <c r="BD112" t="s">
        <v>134</v>
      </c>
      <c r="BE112" t="s">
        <v>134</v>
      </c>
      <c r="BF112" t="s">
        <v>134</v>
      </c>
      <c r="BG112" t="s">
        <v>134</v>
      </c>
      <c r="BH112" t="s">
        <v>134</v>
      </c>
      <c r="BI112" t="s">
        <v>134</v>
      </c>
      <c r="BJ112" t="s">
        <v>134</v>
      </c>
      <c r="BK112" t="s">
        <v>134</v>
      </c>
      <c r="BL112" t="s">
        <v>134</v>
      </c>
      <c r="BM112" t="s">
        <v>134</v>
      </c>
      <c r="BN112" t="s">
        <v>134</v>
      </c>
      <c r="BO112" t="s">
        <v>134</v>
      </c>
      <c r="BP112" t="s">
        <v>134</v>
      </c>
      <c r="BQ112" t="s">
        <v>134</v>
      </c>
      <c r="BR112" t="s">
        <v>134</v>
      </c>
      <c r="BS112" t="s">
        <v>134</v>
      </c>
      <c r="BT112" t="s">
        <v>134</v>
      </c>
      <c r="BU112" t="s">
        <v>134</v>
      </c>
      <c r="BV112" t="s">
        <v>134</v>
      </c>
      <c r="BW112" t="s">
        <v>134</v>
      </c>
      <c r="BX112" t="s">
        <v>134</v>
      </c>
      <c r="BY112" t="s">
        <v>134</v>
      </c>
      <c r="BZ112" t="s">
        <v>134</v>
      </c>
      <c r="CA112" t="s">
        <v>134</v>
      </c>
      <c r="CB112" t="s">
        <v>134</v>
      </c>
      <c r="CC112" t="s">
        <v>134</v>
      </c>
      <c r="CD112" t="s">
        <v>134</v>
      </c>
      <c r="CE112" t="s">
        <v>134</v>
      </c>
      <c r="CF112" t="s">
        <v>134</v>
      </c>
      <c r="CG112" t="s">
        <v>134</v>
      </c>
      <c r="CH112" t="s">
        <v>134</v>
      </c>
      <c r="CI112" t="s">
        <v>134</v>
      </c>
      <c r="CJ112" t="s">
        <v>134</v>
      </c>
      <c r="CK112" t="s">
        <v>134</v>
      </c>
      <c r="CL112" t="s">
        <v>134</v>
      </c>
      <c r="CM112" t="s">
        <v>134</v>
      </c>
      <c r="CN112" t="s">
        <v>134</v>
      </c>
      <c r="CO112" t="s">
        <v>134</v>
      </c>
      <c r="CP112" t="s">
        <v>134</v>
      </c>
      <c r="CQ112" t="s">
        <v>134</v>
      </c>
      <c r="CR112" t="s">
        <v>134</v>
      </c>
      <c r="CS112" t="s">
        <v>134</v>
      </c>
      <c r="CT112" t="s">
        <v>134</v>
      </c>
      <c r="CU112" t="s">
        <v>134</v>
      </c>
      <c r="CV112" t="s">
        <v>134</v>
      </c>
      <c r="CW112" t="s">
        <v>134</v>
      </c>
      <c r="CX112" t="s">
        <v>134</v>
      </c>
      <c r="CY112" t="s">
        <v>134</v>
      </c>
      <c r="CZ112" t="s">
        <v>134</v>
      </c>
      <c r="DA112" t="s">
        <v>134</v>
      </c>
      <c r="DB112" t="s">
        <v>134</v>
      </c>
      <c r="DC112" t="s">
        <v>134</v>
      </c>
      <c r="DD112" t="s">
        <v>134</v>
      </c>
      <c r="DE112" t="s">
        <v>134</v>
      </c>
      <c r="DF112" t="s">
        <v>134</v>
      </c>
      <c r="DG112" t="s">
        <v>134</v>
      </c>
      <c r="DH112" t="s">
        <v>134</v>
      </c>
      <c r="DI112" t="s">
        <v>134</v>
      </c>
    </row>
    <row r="113" spans="1:113" x14ac:dyDescent="0.3">
      <c r="D113" t="s">
        <v>9</v>
      </c>
      <c r="E113" t="s">
        <v>3</v>
      </c>
      <c r="F113" t="s">
        <v>134</v>
      </c>
      <c r="G113" t="s">
        <v>134</v>
      </c>
      <c r="H113" t="s">
        <v>134</v>
      </c>
      <c r="I113" t="s">
        <v>134</v>
      </c>
      <c r="J113" t="s">
        <v>134</v>
      </c>
      <c r="K113" t="s">
        <v>134</v>
      </c>
      <c r="L113" t="s">
        <v>134</v>
      </c>
      <c r="M113" t="s">
        <v>134</v>
      </c>
      <c r="N113" t="s">
        <v>134</v>
      </c>
      <c r="O113" t="s">
        <v>134</v>
      </c>
      <c r="P113" t="s">
        <v>134</v>
      </c>
      <c r="Q113" t="s">
        <v>134</v>
      </c>
      <c r="R113" t="s">
        <v>134</v>
      </c>
      <c r="S113" t="s">
        <v>134</v>
      </c>
      <c r="T113" t="s">
        <v>134</v>
      </c>
      <c r="U113" t="s">
        <v>134</v>
      </c>
      <c r="V113" t="s">
        <v>134</v>
      </c>
      <c r="W113" t="s">
        <v>134</v>
      </c>
      <c r="X113" t="s">
        <v>134</v>
      </c>
      <c r="Y113" t="s">
        <v>134</v>
      </c>
      <c r="Z113" t="s">
        <v>134</v>
      </c>
      <c r="AA113" t="s">
        <v>134</v>
      </c>
      <c r="AB113" t="s">
        <v>134</v>
      </c>
      <c r="AC113" t="s">
        <v>134</v>
      </c>
      <c r="AD113" t="s">
        <v>134</v>
      </c>
      <c r="AE113" t="s">
        <v>134</v>
      </c>
      <c r="AF113" t="s">
        <v>134</v>
      </c>
      <c r="AG113" t="s">
        <v>134</v>
      </c>
      <c r="AH113" t="s">
        <v>134</v>
      </c>
      <c r="AI113" t="s">
        <v>134</v>
      </c>
      <c r="AJ113" t="s">
        <v>134</v>
      </c>
      <c r="AK113" t="s">
        <v>134</v>
      </c>
      <c r="AL113" t="s">
        <v>134</v>
      </c>
      <c r="AM113" t="s">
        <v>134</v>
      </c>
      <c r="AN113" t="s">
        <v>134</v>
      </c>
      <c r="AO113" t="s">
        <v>134</v>
      </c>
      <c r="AP113" t="s">
        <v>134</v>
      </c>
      <c r="AQ113" t="s">
        <v>134</v>
      </c>
      <c r="AR113" t="s">
        <v>134</v>
      </c>
      <c r="AS113" t="s">
        <v>134</v>
      </c>
      <c r="AT113" t="s">
        <v>134</v>
      </c>
      <c r="AU113" t="s">
        <v>134</v>
      </c>
      <c r="AV113" t="s">
        <v>134</v>
      </c>
      <c r="AW113" t="s">
        <v>134</v>
      </c>
      <c r="AX113" t="s">
        <v>134</v>
      </c>
      <c r="AY113" t="s">
        <v>134</v>
      </c>
      <c r="AZ113" t="s">
        <v>134</v>
      </c>
      <c r="BA113" t="s">
        <v>134</v>
      </c>
      <c r="BB113" t="s">
        <v>134</v>
      </c>
      <c r="BC113" t="s">
        <v>134</v>
      </c>
      <c r="BD113" t="s">
        <v>134</v>
      </c>
      <c r="BE113" t="s">
        <v>134</v>
      </c>
      <c r="BF113" t="s">
        <v>134</v>
      </c>
      <c r="BG113" t="s">
        <v>134</v>
      </c>
      <c r="BH113" t="s">
        <v>134</v>
      </c>
      <c r="BI113" t="s">
        <v>134</v>
      </c>
      <c r="BJ113" t="s">
        <v>134</v>
      </c>
      <c r="BK113" t="s">
        <v>134</v>
      </c>
      <c r="BL113" t="s">
        <v>134</v>
      </c>
      <c r="BM113" t="s">
        <v>134</v>
      </c>
      <c r="BN113" t="s">
        <v>134</v>
      </c>
      <c r="BO113" t="s">
        <v>134</v>
      </c>
      <c r="BP113" t="s">
        <v>134</v>
      </c>
      <c r="BQ113" t="s">
        <v>134</v>
      </c>
      <c r="BR113" t="s">
        <v>134</v>
      </c>
      <c r="BS113" t="s">
        <v>134</v>
      </c>
      <c r="BT113" t="s">
        <v>134</v>
      </c>
      <c r="BU113" t="s">
        <v>134</v>
      </c>
      <c r="BV113" t="s">
        <v>134</v>
      </c>
      <c r="BW113" t="s">
        <v>134</v>
      </c>
      <c r="BX113" t="s">
        <v>134</v>
      </c>
      <c r="BY113" t="s">
        <v>134</v>
      </c>
      <c r="BZ113" t="s">
        <v>134</v>
      </c>
      <c r="CA113" t="s">
        <v>134</v>
      </c>
      <c r="CB113" t="s">
        <v>134</v>
      </c>
      <c r="CC113" t="s">
        <v>134</v>
      </c>
      <c r="CD113" t="s">
        <v>134</v>
      </c>
      <c r="CE113" t="s">
        <v>134</v>
      </c>
      <c r="CF113" t="s">
        <v>134</v>
      </c>
      <c r="CG113" t="s">
        <v>134</v>
      </c>
      <c r="CH113" t="s">
        <v>134</v>
      </c>
      <c r="CI113" t="s">
        <v>134</v>
      </c>
      <c r="CJ113" t="s">
        <v>134</v>
      </c>
      <c r="CK113" t="s">
        <v>134</v>
      </c>
      <c r="CL113" t="s">
        <v>134</v>
      </c>
      <c r="CM113" t="s">
        <v>134</v>
      </c>
      <c r="CN113" t="s">
        <v>134</v>
      </c>
      <c r="CO113" t="s">
        <v>134</v>
      </c>
      <c r="CP113" t="s">
        <v>134</v>
      </c>
      <c r="CQ113" t="s">
        <v>134</v>
      </c>
      <c r="CR113" t="s">
        <v>134</v>
      </c>
      <c r="CS113" t="s">
        <v>134</v>
      </c>
      <c r="CT113" t="s">
        <v>134</v>
      </c>
      <c r="CU113" t="s">
        <v>134</v>
      </c>
      <c r="CV113">
        <v>4.1677999999999997</v>
      </c>
      <c r="CW113" t="s">
        <v>134</v>
      </c>
      <c r="CX113" t="s">
        <v>134</v>
      </c>
      <c r="CY113" t="s">
        <v>134</v>
      </c>
      <c r="CZ113" t="s">
        <v>134</v>
      </c>
      <c r="DA113" t="s">
        <v>134</v>
      </c>
      <c r="DB113" t="s">
        <v>134</v>
      </c>
      <c r="DC113" t="s">
        <v>134</v>
      </c>
      <c r="DD113" t="s">
        <v>134</v>
      </c>
      <c r="DE113" t="s">
        <v>134</v>
      </c>
      <c r="DF113" t="s">
        <v>134</v>
      </c>
      <c r="DG113" t="s">
        <v>134</v>
      </c>
      <c r="DH113" t="s">
        <v>134</v>
      </c>
      <c r="DI113" t="s">
        <v>134</v>
      </c>
    </row>
    <row r="114" spans="1:113" x14ac:dyDescent="0.3">
      <c r="E114" t="s">
        <v>4</v>
      </c>
      <c r="F114" t="s">
        <v>134</v>
      </c>
      <c r="G114" t="s">
        <v>134</v>
      </c>
      <c r="H114" t="s">
        <v>134</v>
      </c>
      <c r="I114" t="s">
        <v>134</v>
      </c>
      <c r="J114">
        <v>23.1785</v>
      </c>
      <c r="K114">
        <v>20.318999999999999</v>
      </c>
      <c r="L114" t="s">
        <v>134</v>
      </c>
      <c r="M114">
        <v>22.0547</v>
      </c>
      <c r="N114">
        <v>15.2654</v>
      </c>
      <c r="O114">
        <v>15.2654</v>
      </c>
      <c r="P114">
        <v>15.2654</v>
      </c>
      <c r="Q114">
        <v>30.783999999999999</v>
      </c>
      <c r="R114" t="s">
        <v>134</v>
      </c>
      <c r="S114" t="s">
        <v>134</v>
      </c>
      <c r="T114" t="s">
        <v>134</v>
      </c>
      <c r="U114" t="s">
        <v>134</v>
      </c>
      <c r="V114" t="s">
        <v>134</v>
      </c>
      <c r="W114" t="s">
        <v>134</v>
      </c>
      <c r="X114" t="s">
        <v>134</v>
      </c>
      <c r="Y114" t="s">
        <v>134</v>
      </c>
      <c r="Z114" t="s">
        <v>134</v>
      </c>
      <c r="AA114" t="s">
        <v>134</v>
      </c>
      <c r="AB114" t="s">
        <v>134</v>
      </c>
      <c r="AC114" t="s">
        <v>134</v>
      </c>
      <c r="AD114" t="s">
        <v>134</v>
      </c>
      <c r="AE114" t="s">
        <v>134</v>
      </c>
      <c r="AF114" t="s">
        <v>134</v>
      </c>
      <c r="AG114" t="s">
        <v>134</v>
      </c>
      <c r="AH114" t="s">
        <v>134</v>
      </c>
      <c r="AI114" t="s">
        <v>134</v>
      </c>
      <c r="AJ114" t="s">
        <v>134</v>
      </c>
      <c r="AK114" t="s">
        <v>134</v>
      </c>
      <c r="AL114" t="s">
        <v>134</v>
      </c>
      <c r="AM114" t="s">
        <v>134</v>
      </c>
      <c r="AN114" t="s">
        <v>134</v>
      </c>
      <c r="AO114" t="s">
        <v>134</v>
      </c>
      <c r="AP114" t="s">
        <v>134</v>
      </c>
      <c r="AQ114" t="s">
        <v>134</v>
      </c>
      <c r="AR114" t="s">
        <v>134</v>
      </c>
      <c r="AS114" t="s">
        <v>134</v>
      </c>
      <c r="AT114" t="s">
        <v>134</v>
      </c>
      <c r="AU114" t="s">
        <v>134</v>
      </c>
      <c r="AV114" t="s">
        <v>134</v>
      </c>
      <c r="AW114" t="s">
        <v>134</v>
      </c>
      <c r="AX114" t="s">
        <v>134</v>
      </c>
      <c r="AY114" t="s">
        <v>134</v>
      </c>
      <c r="AZ114" t="s">
        <v>134</v>
      </c>
      <c r="BA114" t="s">
        <v>134</v>
      </c>
      <c r="BB114" t="s">
        <v>134</v>
      </c>
      <c r="BC114" t="s">
        <v>134</v>
      </c>
      <c r="BD114" t="s">
        <v>134</v>
      </c>
      <c r="BE114" t="s">
        <v>134</v>
      </c>
      <c r="BF114" t="s">
        <v>134</v>
      </c>
      <c r="BG114" t="s">
        <v>134</v>
      </c>
      <c r="BH114" t="s">
        <v>134</v>
      </c>
      <c r="BI114" t="s">
        <v>134</v>
      </c>
      <c r="BJ114" t="s">
        <v>134</v>
      </c>
      <c r="BK114" t="s">
        <v>134</v>
      </c>
      <c r="BL114" t="s">
        <v>134</v>
      </c>
      <c r="BM114" t="s">
        <v>134</v>
      </c>
      <c r="BN114" t="s">
        <v>134</v>
      </c>
      <c r="BO114" t="s">
        <v>134</v>
      </c>
      <c r="BP114" t="s">
        <v>134</v>
      </c>
      <c r="BQ114" t="s">
        <v>134</v>
      </c>
      <c r="BR114" t="s">
        <v>134</v>
      </c>
      <c r="BS114" t="s">
        <v>134</v>
      </c>
      <c r="BT114" t="s">
        <v>134</v>
      </c>
      <c r="BU114" t="s">
        <v>134</v>
      </c>
      <c r="BV114" t="s">
        <v>134</v>
      </c>
      <c r="BW114" t="s">
        <v>134</v>
      </c>
      <c r="BX114" t="s">
        <v>134</v>
      </c>
      <c r="BY114">
        <v>39123.75</v>
      </c>
      <c r="BZ114">
        <v>3456.6</v>
      </c>
      <c r="CA114">
        <v>35667.15</v>
      </c>
      <c r="CB114" t="s">
        <v>134</v>
      </c>
      <c r="CC114" t="s">
        <v>134</v>
      </c>
      <c r="CD114" t="s">
        <v>134</v>
      </c>
      <c r="CE114" t="s">
        <v>134</v>
      </c>
      <c r="CF114">
        <v>29.615200000000002</v>
      </c>
      <c r="CG114">
        <v>-1.3180000000000001</v>
      </c>
      <c r="CH114" t="s">
        <v>134</v>
      </c>
      <c r="CI114">
        <v>94.532899999999998</v>
      </c>
      <c r="CJ114">
        <v>33.726399999999998</v>
      </c>
      <c r="CK114" t="s">
        <v>134</v>
      </c>
      <c r="CL114">
        <v>103.6943</v>
      </c>
      <c r="CM114">
        <v>36.994900000000001</v>
      </c>
      <c r="CN114" t="s">
        <v>134</v>
      </c>
      <c r="CO114">
        <v>109.2704</v>
      </c>
      <c r="CP114">
        <v>9724.14</v>
      </c>
      <c r="CQ114">
        <v>9385.99</v>
      </c>
      <c r="CR114">
        <v>8524.48</v>
      </c>
      <c r="CS114">
        <v>0.6986</v>
      </c>
      <c r="CT114">
        <v>0.94469999999999998</v>
      </c>
      <c r="CU114">
        <v>0.73470000000000002</v>
      </c>
      <c r="CV114" t="s">
        <v>134</v>
      </c>
      <c r="CW114" t="s">
        <v>134</v>
      </c>
      <c r="CX114" t="s">
        <v>134</v>
      </c>
      <c r="CY114" t="s">
        <v>134</v>
      </c>
      <c r="CZ114" t="s">
        <v>134</v>
      </c>
      <c r="DA114" t="s">
        <v>134</v>
      </c>
      <c r="DB114" t="s">
        <v>134</v>
      </c>
      <c r="DC114" t="s">
        <v>134</v>
      </c>
      <c r="DD114" t="s">
        <v>134</v>
      </c>
      <c r="DE114">
        <v>1683.71</v>
      </c>
      <c r="DF114" t="s">
        <v>134</v>
      </c>
      <c r="DG114" t="s">
        <v>134</v>
      </c>
      <c r="DH114" t="s">
        <v>134</v>
      </c>
      <c r="DI114" t="s">
        <v>134</v>
      </c>
    </row>
    <row r="115" spans="1:113" x14ac:dyDescent="0.3">
      <c r="E115" t="s">
        <v>5</v>
      </c>
      <c r="F115" t="s">
        <v>134</v>
      </c>
      <c r="G115" t="s">
        <v>134</v>
      </c>
      <c r="H115" t="s">
        <v>134</v>
      </c>
      <c r="I115" t="s">
        <v>134</v>
      </c>
      <c r="J115" t="s">
        <v>134</v>
      </c>
      <c r="K115" t="s">
        <v>134</v>
      </c>
      <c r="L115" t="s">
        <v>134</v>
      </c>
      <c r="M115" t="s">
        <v>134</v>
      </c>
      <c r="N115" t="s">
        <v>134</v>
      </c>
      <c r="O115" t="s">
        <v>134</v>
      </c>
      <c r="P115" t="s">
        <v>134</v>
      </c>
      <c r="Q115" t="s">
        <v>134</v>
      </c>
      <c r="R115" t="s">
        <v>134</v>
      </c>
      <c r="S115" t="s">
        <v>134</v>
      </c>
      <c r="T115" t="s">
        <v>134</v>
      </c>
      <c r="U115" t="s">
        <v>134</v>
      </c>
      <c r="V115" t="s">
        <v>134</v>
      </c>
      <c r="W115" t="s">
        <v>134</v>
      </c>
      <c r="X115" t="s">
        <v>134</v>
      </c>
      <c r="Y115" t="s">
        <v>134</v>
      </c>
      <c r="Z115" t="s">
        <v>134</v>
      </c>
      <c r="AA115" t="s">
        <v>134</v>
      </c>
      <c r="AB115" t="s">
        <v>134</v>
      </c>
      <c r="AC115" t="s">
        <v>134</v>
      </c>
      <c r="AD115" t="s">
        <v>134</v>
      </c>
      <c r="AE115" t="s">
        <v>134</v>
      </c>
      <c r="AF115" t="s">
        <v>134</v>
      </c>
      <c r="AG115" t="s">
        <v>134</v>
      </c>
      <c r="AH115" t="s">
        <v>134</v>
      </c>
      <c r="AI115" t="s">
        <v>134</v>
      </c>
      <c r="AJ115" t="s">
        <v>134</v>
      </c>
      <c r="AK115" t="s">
        <v>134</v>
      </c>
      <c r="AL115" t="s">
        <v>134</v>
      </c>
      <c r="AM115" t="s">
        <v>134</v>
      </c>
      <c r="AN115" t="s">
        <v>134</v>
      </c>
      <c r="AO115" t="s">
        <v>134</v>
      </c>
      <c r="AP115" t="s">
        <v>134</v>
      </c>
      <c r="AQ115" t="s">
        <v>134</v>
      </c>
      <c r="AR115" t="s">
        <v>134</v>
      </c>
      <c r="AS115" t="s">
        <v>134</v>
      </c>
      <c r="AT115" t="s">
        <v>134</v>
      </c>
      <c r="AU115" t="s">
        <v>134</v>
      </c>
      <c r="AV115" t="s">
        <v>134</v>
      </c>
      <c r="AW115" t="s">
        <v>134</v>
      </c>
      <c r="AX115" t="s">
        <v>134</v>
      </c>
      <c r="AY115" t="s">
        <v>134</v>
      </c>
      <c r="AZ115" t="s">
        <v>134</v>
      </c>
      <c r="BA115" t="s">
        <v>134</v>
      </c>
      <c r="BB115" t="s">
        <v>134</v>
      </c>
      <c r="BC115" t="s">
        <v>134</v>
      </c>
      <c r="BD115" t="s">
        <v>134</v>
      </c>
      <c r="BE115" t="s">
        <v>134</v>
      </c>
      <c r="BF115" t="s">
        <v>134</v>
      </c>
      <c r="BG115" t="s">
        <v>134</v>
      </c>
      <c r="BH115" t="s">
        <v>134</v>
      </c>
      <c r="BI115" t="s">
        <v>134</v>
      </c>
      <c r="BJ115" t="s">
        <v>134</v>
      </c>
      <c r="BK115" t="s">
        <v>134</v>
      </c>
      <c r="BL115" t="s">
        <v>134</v>
      </c>
      <c r="BM115" t="s">
        <v>134</v>
      </c>
      <c r="BN115" t="s">
        <v>134</v>
      </c>
      <c r="BO115" t="s">
        <v>134</v>
      </c>
      <c r="BP115" t="s">
        <v>134</v>
      </c>
      <c r="BQ115" t="s">
        <v>134</v>
      </c>
      <c r="BR115" t="s">
        <v>134</v>
      </c>
      <c r="BS115" t="s">
        <v>134</v>
      </c>
      <c r="BT115" t="s">
        <v>134</v>
      </c>
      <c r="BU115" t="s">
        <v>134</v>
      </c>
      <c r="BV115" t="s">
        <v>134</v>
      </c>
      <c r="BW115" t="s">
        <v>134</v>
      </c>
      <c r="BX115" t="s">
        <v>134</v>
      </c>
      <c r="BY115" t="s">
        <v>134</v>
      </c>
      <c r="BZ115" t="s">
        <v>134</v>
      </c>
      <c r="CA115" t="s">
        <v>134</v>
      </c>
      <c r="CB115" t="s">
        <v>134</v>
      </c>
      <c r="CC115" t="s">
        <v>134</v>
      </c>
      <c r="CD115" t="s">
        <v>134</v>
      </c>
      <c r="CE115" t="s">
        <v>134</v>
      </c>
      <c r="CF115" t="s">
        <v>134</v>
      </c>
      <c r="CG115" t="s">
        <v>134</v>
      </c>
      <c r="CH115" t="s">
        <v>134</v>
      </c>
      <c r="CI115" t="s">
        <v>134</v>
      </c>
      <c r="CJ115" t="s">
        <v>134</v>
      </c>
      <c r="CK115" t="s">
        <v>134</v>
      </c>
      <c r="CL115" t="s">
        <v>134</v>
      </c>
      <c r="CM115" t="s">
        <v>134</v>
      </c>
      <c r="CN115" t="s">
        <v>134</v>
      </c>
      <c r="CO115" t="s">
        <v>134</v>
      </c>
      <c r="CP115" t="s">
        <v>134</v>
      </c>
      <c r="CQ115" t="s">
        <v>134</v>
      </c>
      <c r="CR115" t="s">
        <v>134</v>
      </c>
      <c r="CS115" t="s">
        <v>134</v>
      </c>
      <c r="CT115" t="s">
        <v>134</v>
      </c>
      <c r="CU115" t="s">
        <v>134</v>
      </c>
      <c r="CV115" t="s">
        <v>134</v>
      </c>
      <c r="CW115" t="s">
        <v>134</v>
      </c>
      <c r="CX115" t="s">
        <v>134</v>
      </c>
      <c r="CY115" t="s">
        <v>134</v>
      </c>
      <c r="CZ115" t="s">
        <v>134</v>
      </c>
      <c r="DA115" t="s">
        <v>134</v>
      </c>
      <c r="DB115" t="s">
        <v>134</v>
      </c>
      <c r="DC115" t="s">
        <v>134</v>
      </c>
      <c r="DD115" t="s">
        <v>134</v>
      </c>
      <c r="DE115" t="s">
        <v>134</v>
      </c>
      <c r="DF115" t="s">
        <v>134</v>
      </c>
      <c r="DG115" t="s">
        <v>134</v>
      </c>
      <c r="DH115" t="s">
        <v>134</v>
      </c>
      <c r="DI115" t="s">
        <v>134</v>
      </c>
    </row>
    <row r="116" spans="1:113" x14ac:dyDescent="0.3">
      <c r="E116" t="s">
        <v>6</v>
      </c>
      <c r="F116" t="s">
        <v>134</v>
      </c>
      <c r="G116" t="s">
        <v>134</v>
      </c>
      <c r="H116" t="s">
        <v>134</v>
      </c>
      <c r="I116" t="s">
        <v>134</v>
      </c>
      <c r="J116" t="s">
        <v>134</v>
      </c>
      <c r="K116" t="s">
        <v>134</v>
      </c>
      <c r="L116" t="s">
        <v>134</v>
      </c>
      <c r="M116" t="s">
        <v>134</v>
      </c>
      <c r="N116" t="s">
        <v>134</v>
      </c>
      <c r="O116" t="s">
        <v>134</v>
      </c>
      <c r="P116" t="s">
        <v>134</v>
      </c>
      <c r="Q116" t="s">
        <v>134</v>
      </c>
      <c r="R116" t="s">
        <v>134</v>
      </c>
      <c r="S116" t="s">
        <v>134</v>
      </c>
      <c r="T116" t="s">
        <v>134</v>
      </c>
      <c r="U116" t="s">
        <v>134</v>
      </c>
      <c r="V116" t="s">
        <v>134</v>
      </c>
      <c r="W116" t="s">
        <v>134</v>
      </c>
      <c r="X116" t="s">
        <v>134</v>
      </c>
      <c r="Y116" t="s">
        <v>134</v>
      </c>
      <c r="Z116" t="s">
        <v>134</v>
      </c>
      <c r="AA116" t="s">
        <v>134</v>
      </c>
      <c r="AB116" t="s">
        <v>134</v>
      </c>
      <c r="AC116" t="s">
        <v>134</v>
      </c>
      <c r="AD116" t="s">
        <v>134</v>
      </c>
      <c r="AE116" t="s">
        <v>134</v>
      </c>
      <c r="AF116" t="s">
        <v>134</v>
      </c>
      <c r="AG116" t="s">
        <v>134</v>
      </c>
      <c r="AH116" t="s">
        <v>134</v>
      </c>
      <c r="AI116" t="s">
        <v>134</v>
      </c>
      <c r="AJ116" t="s">
        <v>134</v>
      </c>
      <c r="AK116" t="s">
        <v>134</v>
      </c>
      <c r="AL116" t="s">
        <v>134</v>
      </c>
      <c r="AM116" t="s">
        <v>134</v>
      </c>
      <c r="AN116" t="s">
        <v>134</v>
      </c>
      <c r="AO116" t="s">
        <v>134</v>
      </c>
      <c r="AP116" t="s">
        <v>134</v>
      </c>
      <c r="AQ116" t="s">
        <v>134</v>
      </c>
      <c r="AR116" t="s">
        <v>134</v>
      </c>
      <c r="AS116" t="s">
        <v>134</v>
      </c>
      <c r="AT116" t="s">
        <v>134</v>
      </c>
      <c r="AU116" t="s">
        <v>134</v>
      </c>
      <c r="AV116" t="s">
        <v>134</v>
      </c>
      <c r="AW116" t="s">
        <v>134</v>
      </c>
      <c r="AX116" t="s">
        <v>134</v>
      </c>
      <c r="AY116" t="s">
        <v>134</v>
      </c>
      <c r="AZ116" t="s">
        <v>134</v>
      </c>
      <c r="BA116" t="s">
        <v>134</v>
      </c>
      <c r="BB116" t="s">
        <v>134</v>
      </c>
      <c r="BC116" t="s">
        <v>134</v>
      </c>
      <c r="BD116" t="s">
        <v>134</v>
      </c>
      <c r="BE116" t="s">
        <v>134</v>
      </c>
      <c r="BF116" t="s">
        <v>134</v>
      </c>
      <c r="BG116" t="s">
        <v>134</v>
      </c>
      <c r="BH116" t="s">
        <v>134</v>
      </c>
      <c r="BI116" t="s">
        <v>134</v>
      </c>
      <c r="BJ116" t="s">
        <v>134</v>
      </c>
      <c r="BK116" t="s">
        <v>134</v>
      </c>
      <c r="BL116" t="s">
        <v>134</v>
      </c>
      <c r="BM116" t="s">
        <v>134</v>
      </c>
      <c r="BN116" t="s">
        <v>134</v>
      </c>
      <c r="BO116" t="s">
        <v>134</v>
      </c>
      <c r="BP116" t="s">
        <v>134</v>
      </c>
      <c r="BQ116" t="s">
        <v>134</v>
      </c>
      <c r="BR116" t="s">
        <v>134</v>
      </c>
      <c r="BS116" t="s">
        <v>134</v>
      </c>
      <c r="BT116" t="s">
        <v>134</v>
      </c>
      <c r="BU116" t="s">
        <v>134</v>
      </c>
      <c r="BV116" t="s">
        <v>134</v>
      </c>
      <c r="BW116" t="s">
        <v>134</v>
      </c>
      <c r="BX116" t="s">
        <v>134</v>
      </c>
      <c r="BY116" t="s">
        <v>134</v>
      </c>
      <c r="BZ116" t="s">
        <v>134</v>
      </c>
      <c r="CA116" t="s">
        <v>134</v>
      </c>
      <c r="CB116" t="s">
        <v>134</v>
      </c>
      <c r="CC116" t="s">
        <v>134</v>
      </c>
      <c r="CD116" t="s">
        <v>134</v>
      </c>
      <c r="CE116" t="s">
        <v>134</v>
      </c>
      <c r="CF116" t="s">
        <v>134</v>
      </c>
      <c r="CG116" t="s">
        <v>134</v>
      </c>
      <c r="CH116" t="s">
        <v>134</v>
      </c>
      <c r="CI116" t="s">
        <v>134</v>
      </c>
      <c r="CJ116" t="s">
        <v>134</v>
      </c>
      <c r="CK116" t="s">
        <v>134</v>
      </c>
      <c r="CL116" t="s">
        <v>134</v>
      </c>
      <c r="CM116" t="s">
        <v>134</v>
      </c>
      <c r="CN116" t="s">
        <v>134</v>
      </c>
      <c r="CO116" t="s">
        <v>134</v>
      </c>
      <c r="CP116" t="s">
        <v>134</v>
      </c>
      <c r="CQ116" t="s">
        <v>134</v>
      </c>
      <c r="CR116" t="s">
        <v>134</v>
      </c>
      <c r="CS116" t="s">
        <v>134</v>
      </c>
      <c r="CT116" t="s">
        <v>134</v>
      </c>
      <c r="CU116" t="s">
        <v>134</v>
      </c>
      <c r="CV116" t="s">
        <v>134</v>
      </c>
      <c r="CW116" t="s">
        <v>134</v>
      </c>
      <c r="CX116" t="s">
        <v>134</v>
      </c>
      <c r="CY116" t="s">
        <v>134</v>
      </c>
      <c r="CZ116" t="s">
        <v>134</v>
      </c>
      <c r="DA116" t="s">
        <v>134</v>
      </c>
      <c r="DB116" t="s">
        <v>134</v>
      </c>
      <c r="DC116" t="s">
        <v>134</v>
      </c>
      <c r="DD116" t="s">
        <v>134</v>
      </c>
      <c r="DE116" t="s">
        <v>134</v>
      </c>
      <c r="DF116" t="s">
        <v>134</v>
      </c>
      <c r="DG116" t="s">
        <v>134</v>
      </c>
      <c r="DH116" t="s">
        <v>134</v>
      </c>
      <c r="DI116" t="s">
        <v>134</v>
      </c>
    </row>
    <row r="117" spans="1:113" x14ac:dyDescent="0.3">
      <c r="E117" t="s">
        <v>7</v>
      </c>
      <c r="F117" t="s">
        <v>134</v>
      </c>
      <c r="G117" t="s">
        <v>134</v>
      </c>
      <c r="H117" t="s">
        <v>134</v>
      </c>
      <c r="I117" t="s">
        <v>134</v>
      </c>
      <c r="J117" t="s">
        <v>134</v>
      </c>
      <c r="K117" t="s">
        <v>134</v>
      </c>
      <c r="L117" t="s">
        <v>134</v>
      </c>
      <c r="M117" t="s">
        <v>134</v>
      </c>
      <c r="N117" t="s">
        <v>134</v>
      </c>
      <c r="O117" t="s">
        <v>134</v>
      </c>
      <c r="P117" t="s">
        <v>134</v>
      </c>
      <c r="Q117" t="s">
        <v>134</v>
      </c>
      <c r="R117" t="s">
        <v>134</v>
      </c>
      <c r="S117" t="s">
        <v>134</v>
      </c>
      <c r="T117" t="s">
        <v>134</v>
      </c>
      <c r="U117" t="s">
        <v>134</v>
      </c>
      <c r="V117" t="s">
        <v>134</v>
      </c>
      <c r="W117" t="s">
        <v>134</v>
      </c>
      <c r="X117" t="s">
        <v>134</v>
      </c>
      <c r="Y117" t="s">
        <v>134</v>
      </c>
      <c r="Z117" t="s">
        <v>134</v>
      </c>
      <c r="AA117" t="s">
        <v>134</v>
      </c>
      <c r="AB117" t="s">
        <v>134</v>
      </c>
      <c r="AC117" t="s">
        <v>134</v>
      </c>
      <c r="AD117" t="s">
        <v>134</v>
      </c>
      <c r="AE117" t="s">
        <v>134</v>
      </c>
      <c r="AF117" t="s">
        <v>134</v>
      </c>
      <c r="AG117" t="s">
        <v>134</v>
      </c>
      <c r="AH117" t="s">
        <v>134</v>
      </c>
      <c r="AI117" t="s">
        <v>134</v>
      </c>
      <c r="AJ117" t="s">
        <v>134</v>
      </c>
      <c r="AK117" t="s">
        <v>134</v>
      </c>
      <c r="AL117" t="s">
        <v>134</v>
      </c>
      <c r="AM117" t="s">
        <v>134</v>
      </c>
      <c r="AN117" t="s">
        <v>134</v>
      </c>
      <c r="AO117" t="s">
        <v>134</v>
      </c>
      <c r="AP117" t="s">
        <v>134</v>
      </c>
      <c r="AQ117" t="s">
        <v>134</v>
      </c>
      <c r="AR117" t="s">
        <v>134</v>
      </c>
      <c r="AS117" t="s">
        <v>134</v>
      </c>
      <c r="AT117" t="s">
        <v>134</v>
      </c>
      <c r="AU117" t="s">
        <v>134</v>
      </c>
      <c r="AV117" t="s">
        <v>134</v>
      </c>
      <c r="AW117" t="s">
        <v>134</v>
      </c>
      <c r="AX117" t="s">
        <v>134</v>
      </c>
      <c r="AY117" t="s">
        <v>134</v>
      </c>
      <c r="AZ117" t="s">
        <v>134</v>
      </c>
      <c r="BA117" t="s">
        <v>134</v>
      </c>
      <c r="BB117" t="s">
        <v>134</v>
      </c>
      <c r="BC117" t="s">
        <v>134</v>
      </c>
      <c r="BD117" t="s">
        <v>134</v>
      </c>
      <c r="BE117" t="s">
        <v>134</v>
      </c>
      <c r="BF117" t="s">
        <v>134</v>
      </c>
      <c r="BG117" t="s">
        <v>134</v>
      </c>
      <c r="BH117" t="s">
        <v>134</v>
      </c>
      <c r="BI117" t="s">
        <v>134</v>
      </c>
      <c r="BJ117" t="s">
        <v>134</v>
      </c>
      <c r="BK117" t="s">
        <v>134</v>
      </c>
      <c r="BL117" t="s">
        <v>134</v>
      </c>
      <c r="BM117" t="s">
        <v>134</v>
      </c>
      <c r="BN117" t="s">
        <v>134</v>
      </c>
      <c r="BO117" t="s">
        <v>134</v>
      </c>
      <c r="BP117" t="s">
        <v>134</v>
      </c>
      <c r="BQ117" t="s">
        <v>134</v>
      </c>
      <c r="BR117" t="s">
        <v>134</v>
      </c>
      <c r="BS117" t="s">
        <v>134</v>
      </c>
      <c r="BT117" t="s">
        <v>134</v>
      </c>
      <c r="BU117" t="s">
        <v>134</v>
      </c>
      <c r="BV117" t="s">
        <v>134</v>
      </c>
      <c r="BW117" t="s">
        <v>134</v>
      </c>
      <c r="BX117" t="s">
        <v>134</v>
      </c>
      <c r="BY117" t="s">
        <v>134</v>
      </c>
      <c r="BZ117" t="s">
        <v>134</v>
      </c>
      <c r="CA117" t="s">
        <v>134</v>
      </c>
      <c r="CB117" t="s">
        <v>134</v>
      </c>
      <c r="CC117" t="s">
        <v>134</v>
      </c>
      <c r="CD117" t="s">
        <v>134</v>
      </c>
      <c r="CE117" t="s">
        <v>134</v>
      </c>
      <c r="CF117" t="s">
        <v>134</v>
      </c>
      <c r="CG117" t="s">
        <v>134</v>
      </c>
      <c r="CH117" t="s">
        <v>134</v>
      </c>
      <c r="CI117" t="s">
        <v>134</v>
      </c>
      <c r="CJ117" t="s">
        <v>134</v>
      </c>
      <c r="CK117" t="s">
        <v>134</v>
      </c>
      <c r="CL117" t="s">
        <v>134</v>
      </c>
      <c r="CM117" t="s">
        <v>134</v>
      </c>
      <c r="CN117" t="s">
        <v>134</v>
      </c>
      <c r="CO117" t="s">
        <v>134</v>
      </c>
      <c r="CP117" t="s">
        <v>134</v>
      </c>
      <c r="CQ117" t="s">
        <v>134</v>
      </c>
      <c r="CR117" t="s">
        <v>134</v>
      </c>
      <c r="CS117" t="s">
        <v>134</v>
      </c>
      <c r="CT117" t="s">
        <v>134</v>
      </c>
      <c r="CU117" t="s">
        <v>134</v>
      </c>
      <c r="CV117">
        <v>4.1677999999999997</v>
      </c>
      <c r="CW117" t="s">
        <v>134</v>
      </c>
      <c r="CX117" t="s">
        <v>134</v>
      </c>
      <c r="CY117" t="s">
        <v>134</v>
      </c>
      <c r="CZ117" t="s">
        <v>134</v>
      </c>
      <c r="DA117" t="s">
        <v>134</v>
      </c>
      <c r="DB117" t="s">
        <v>134</v>
      </c>
      <c r="DC117" t="s">
        <v>134</v>
      </c>
      <c r="DD117" t="s">
        <v>134</v>
      </c>
      <c r="DE117" t="s">
        <v>134</v>
      </c>
      <c r="DF117" t="s">
        <v>134</v>
      </c>
      <c r="DG117" t="s">
        <v>134</v>
      </c>
      <c r="DH117" t="s">
        <v>134</v>
      </c>
      <c r="DI117" t="s">
        <v>134</v>
      </c>
    </row>
    <row r="118" spans="1:113" x14ac:dyDescent="0.3">
      <c r="D118" t="s">
        <v>10</v>
      </c>
      <c r="E118" t="s">
        <v>3</v>
      </c>
      <c r="F118">
        <v>51.0321</v>
      </c>
      <c r="G118">
        <v>11.924099999999999</v>
      </c>
      <c r="H118">
        <v>29.402200000000001</v>
      </c>
      <c r="I118">
        <v>20.5122</v>
      </c>
      <c r="J118">
        <v>11.6229</v>
      </c>
      <c r="K118">
        <v>9.1432000000000002</v>
      </c>
      <c r="L118" t="s">
        <v>134</v>
      </c>
      <c r="M118">
        <v>11.628500000000001</v>
      </c>
      <c r="N118">
        <v>8.9975000000000005</v>
      </c>
      <c r="O118">
        <v>8.9975000000000005</v>
      </c>
      <c r="P118">
        <v>8.9975000000000005</v>
      </c>
      <c r="Q118">
        <v>22.6252</v>
      </c>
      <c r="R118">
        <v>74.073700000000002</v>
      </c>
      <c r="S118">
        <v>13.230700000000001</v>
      </c>
      <c r="T118">
        <v>14.9452</v>
      </c>
      <c r="U118">
        <v>-31.260999999999999</v>
      </c>
      <c r="V118">
        <v>-35.463799999999999</v>
      </c>
      <c r="W118">
        <v>-16.464600000000001</v>
      </c>
      <c r="X118">
        <v>-18.691299999999998</v>
      </c>
      <c r="Y118">
        <v>126.66670000000001</v>
      </c>
      <c r="Z118">
        <v>1.0106999999999999</v>
      </c>
      <c r="AA118">
        <v>113.8775</v>
      </c>
      <c r="AB118">
        <v>-20.634799999999998</v>
      </c>
      <c r="AC118">
        <v>20.5334</v>
      </c>
      <c r="AD118">
        <v>10.844899999999999</v>
      </c>
      <c r="AE118">
        <v>141.90530000000001</v>
      </c>
      <c r="AF118">
        <v>4.5036000000000005</v>
      </c>
      <c r="AG118">
        <v>-15.6135</v>
      </c>
      <c r="AH118">
        <v>-19.985500000000002</v>
      </c>
      <c r="AI118">
        <v>38.777799999999999</v>
      </c>
      <c r="AJ118">
        <v>6.8289</v>
      </c>
      <c r="AK118">
        <v>38.350999999999999</v>
      </c>
      <c r="AL118">
        <v>19.793199999999999</v>
      </c>
      <c r="AM118">
        <v>27.119</v>
      </c>
      <c r="AN118">
        <v>112.9923</v>
      </c>
      <c r="AO118" t="s">
        <v>134</v>
      </c>
      <c r="AP118">
        <v>63.826300000000003</v>
      </c>
      <c r="AQ118" t="s">
        <v>134</v>
      </c>
      <c r="AR118" t="s">
        <v>134</v>
      </c>
      <c r="AS118">
        <v>32.459099999999999</v>
      </c>
      <c r="AT118">
        <v>34.267499999999998</v>
      </c>
      <c r="AU118">
        <v>33.739699999999999</v>
      </c>
      <c r="AV118">
        <v>33.056399999999996</v>
      </c>
      <c r="AW118" t="s">
        <v>134</v>
      </c>
      <c r="AX118">
        <v>36.5886</v>
      </c>
      <c r="AY118">
        <v>37.347099999999998</v>
      </c>
      <c r="AZ118">
        <v>22.789200000000001</v>
      </c>
      <c r="BA118">
        <v>21.578099999999999</v>
      </c>
      <c r="BB118">
        <v>73.076899999999995</v>
      </c>
      <c r="BC118">
        <v>39.180700000000002</v>
      </c>
      <c r="BD118" t="s">
        <v>134</v>
      </c>
      <c r="BE118">
        <v>33.066699999999997</v>
      </c>
      <c r="BF118">
        <v>14.9452</v>
      </c>
      <c r="BG118">
        <v>-31.260999999999999</v>
      </c>
      <c r="BH118">
        <v>-35.463799999999999</v>
      </c>
      <c r="BI118">
        <v>-16.464600000000001</v>
      </c>
      <c r="BJ118">
        <v>-18.691299999999998</v>
      </c>
      <c r="BK118">
        <v>126.66670000000001</v>
      </c>
      <c r="BL118">
        <v>1.0106999999999999</v>
      </c>
      <c r="BM118">
        <v>113.8775</v>
      </c>
      <c r="BN118">
        <v>-20.634799999999998</v>
      </c>
      <c r="BO118">
        <v>20.5334</v>
      </c>
      <c r="BP118" t="s">
        <v>134</v>
      </c>
      <c r="BQ118">
        <v>141.90530000000001</v>
      </c>
      <c r="BR118">
        <v>4.5036000000000005</v>
      </c>
      <c r="BS118">
        <v>-15.6135</v>
      </c>
      <c r="BT118">
        <v>-19.985500000000002</v>
      </c>
      <c r="BU118">
        <v>38.777799999999999</v>
      </c>
      <c r="BV118">
        <v>6.8289</v>
      </c>
      <c r="BW118">
        <v>38.350999999999999</v>
      </c>
      <c r="BX118">
        <v>19.793199999999999</v>
      </c>
      <c r="BY118">
        <v>25961.74</v>
      </c>
      <c r="BZ118">
        <v>2004.66</v>
      </c>
      <c r="CA118">
        <v>23957.08</v>
      </c>
      <c r="CB118">
        <v>1.2113</v>
      </c>
      <c r="CC118">
        <v>-2.6827000000000001</v>
      </c>
      <c r="CD118">
        <v>1.5398000000000001</v>
      </c>
      <c r="CE118">
        <v>-3.4102999999999999</v>
      </c>
      <c r="CF118">
        <v>10.6693</v>
      </c>
      <c r="CG118">
        <v>24.847100000000001</v>
      </c>
      <c r="CH118">
        <v>63.392299999999999</v>
      </c>
      <c r="CI118">
        <v>37.5777</v>
      </c>
      <c r="CJ118">
        <v>15.751099999999999</v>
      </c>
      <c r="CK118">
        <v>68.696799999999996</v>
      </c>
      <c r="CL118">
        <v>40.722099999999998</v>
      </c>
      <c r="CM118">
        <v>17.069199999999999</v>
      </c>
      <c r="CN118">
        <v>-152.1438</v>
      </c>
      <c r="CO118">
        <v>291.7774</v>
      </c>
      <c r="CP118">
        <v>21432.62</v>
      </c>
      <c r="CQ118">
        <v>19060.240000000002</v>
      </c>
      <c r="CR118">
        <v>16860.09</v>
      </c>
      <c r="CS118">
        <v>1.7443</v>
      </c>
      <c r="CT118">
        <v>1.9742999999999999</v>
      </c>
      <c r="CU118">
        <v>1.7774999999999999</v>
      </c>
      <c r="CV118">
        <v>4.1374000000000004</v>
      </c>
      <c r="CW118">
        <v>116.7773</v>
      </c>
      <c r="CX118">
        <v>3.1255999999999999</v>
      </c>
      <c r="CY118">
        <v>1.0344</v>
      </c>
      <c r="CZ118">
        <v>352.86790000000002</v>
      </c>
      <c r="DA118">
        <v>0.27800000000000002</v>
      </c>
      <c r="DB118">
        <v>1312.9589000000001</v>
      </c>
      <c r="DC118">
        <v>-956.96529999999996</v>
      </c>
      <c r="DD118">
        <v>355.99349999999998</v>
      </c>
      <c r="DE118">
        <v>1631.5</v>
      </c>
      <c r="DF118">
        <v>0</v>
      </c>
      <c r="DG118">
        <v>0</v>
      </c>
      <c r="DH118">
        <v>757.34</v>
      </c>
      <c r="DI118">
        <v>874.16</v>
      </c>
    </row>
    <row r="119" spans="1:113" x14ac:dyDescent="0.3">
      <c r="E119" t="s">
        <v>4</v>
      </c>
      <c r="F119" t="s">
        <v>134</v>
      </c>
      <c r="G119" t="s">
        <v>134</v>
      </c>
      <c r="H119" t="s">
        <v>134</v>
      </c>
      <c r="I119" t="s">
        <v>134</v>
      </c>
      <c r="J119" t="s">
        <v>134</v>
      </c>
      <c r="K119" t="s">
        <v>134</v>
      </c>
      <c r="L119" t="s">
        <v>134</v>
      </c>
      <c r="M119" t="s">
        <v>134</v>
      </c>
      <c r="N119" t="s">
        <v>134</v>
      </c>
      <c r="O119" t="s">
        <v>134</v>
      </c>
      <c r="P119" t="s">
        <v>134</v>
      </c>
      <c r="Q119" t="s">
        <v>134</v>
      </c>
      <c r="R119" t="s">
        <v>134</v>
      </c>
      <c r="S119" t="s">
        <v>134</v>
      </c>
      <c r="T119" t="s">
        <v>134</v>
      </c>
      <c r="U119" t="s">
        <v>134</v>
      </c>
      <c r="V119" t="s">
        <v>134</v>
      </c>
      <c r="W119" t="s">
        <v>134</v>
      </c>
      <c r="X119" t="s">
        <v>134</v>
      </c>
      <c r="Y119" t="s">
        <v>134</v>
      </c>
      <c r="Z119" t="s">
        <v>134</v>
      </c>
      <c r="AA119" t="s">
        <v>134</v>
      </c>
      <c r="AB119" t="s">
        <v>134</v>
      </c>
      <c r="AC119" t="s">
        <v>134</v>
      </c>
      <c r="AD119" t="s">
        <v>134</v>
      </c>
      <c r="AE119" t="s">
        <v>134</v>
      </c>
      <c r="AF119" t="s">
        <v>134</v>
      </c>
      <c r="AG119" t="s">
        <v>134</v>
      </c>
      <c r="AH119" t="s">
        <v>134</v>
      </c>
      <c r="AI119" t="s">
        <v>134</v>
      </c>
      <c r="AJ119" t="s">
        <v>134</v>
      </c>
      <c r="AK119" t="s">
        <v>134</v>
      </c>
      <c r="AL119" t="s">
        <v>134</v>
      </c>
      <c r="AM119" t="s">
        <v>134</v>
      </c>
      <c r="AN119" t="s">
        <v>134</v>
      </c>
      <c r="AO119" t="s">
        <v>134</v>
      </c>
      <c r="AP119" t="s">
        <v>134</v>
      </c>
      <c r="AQ119" t="s">
        <v>134</v>
      </c>
      <c r="AR119" t="s">
        <v>134</v>
      </c>
      <c r="AS119" t="s">
        <v>134</v>
      </c>
      <c r="AT119" t="s">
        <v>134</v>
      </c>
      <c r="AU119" t="s">
        <v>134</v>
      </c>
      <c r="AV119" t="s">
        <v>134</v>
      </c>
      <c r="AW119" t="s">
        <v>134</v>
      </c>
      <c r="AX119" t="s">
        <v>134</v>
      </c>
      <c r="AY119" t="s">
        <v>134</v>
      </c>
      <c r="AZ119" t="s">
        <v>134</v>
      </c>
      <c r="BA119" t="s">
        <v>134</v>
      </c>
      <c r="BB119" t="s">
        <v>134</v>
      </c>
      <c r="BC119" t="s">
        <v>134</v>
      </c>
      <c r="BD119" t="s">
        <v>134</v>
      </c>
      <c r="BE119" t="s">
        <v>134</v>
      </c>
      <c r="BF119" t="s">
        <v>134</v>
      </c>
      <c r="BG119" t="s">
        <v>134</v>
      </c>
      <c r="BH119" t="s">
        <v>134</v>
      </c>
      <c r="BI119" t="s">
        <v>134</v>
      </c>
      <c r="BJ119" t="s">
        <v>134</v>
      </c>
      <c r="BK119" t="s">
        <v>134</v>
      </c>
      <c r="BL119" t="s">
        <v>134</v>
      </c>
      <c r="BM119" t="s">
        <v>134</v>
      </c>
      <c r="BN119" t="s">
        <v>134</v>
      </c>
      <c r="BO119" t="s">
        <v>134</v>
      </c>
      <c r="BP119" t="s">
        <v>134</v>
      </c>
      <c r="BQ119" t="s">
        <v>134</v>
      </c>
      <c r="BR119" t="s">
        <v>134</v>
      </c>
      <c r="BS119" t="s">
        <v>134</v>
      </c>
      <c r="BT119" t="s">
        <v>134</v>
      </c>
      <c r="BU119" t="s">
        <v>134</v>
      </c>
      <c r="BV119" t="s">
        <v>134</v>
      </c>
      <c r="BW119" t="s">
        <v>134</v>
      </c>
      <c r="BX119" t="s">
        <v>134</v>
      </c>
      <c r="BY119" t="s">
        <v>134</v>
      </c>
      <c r="BZ119" t="s">
        <v>134</v>
      </c>
      <c r="CA119" t="s">
        <v>134</v>
      </c>
      <c r="CB119" t="s">
        <v>134</v>
      </c>
      <c r="CC119" t="s">
        <v>134</v>
      </c>
      <c r="CD119" t="s">
        <v>134</v>
      </c>
      <c r="CE119" t="s">
        <v>134</v>
      </c>
      <c r="CF119" t="s">
        <v>134</v>
      </c>
      <c r="CG119" t="s">
        <v>134</v>
      </c>
      <c r="CH119" t="s">
        <v>134</v>
      </c>
      <c r="CI119" t="s">
        <v>134</v>
      </c>
      <c r="CJ119" t="s">
        <v>134</v>
      </c>
      <c r="CK119" t="s">
        <v>134</v>
      </c>
      <c r="CL119" t="s">
        <v>134</v>
      </c>
      <c r="CM119" t="s">
        <v>134</v>
      </c>
      <c r="CN119" t="s">
        <v>134</v>
      </c>
      <c r="CO119" t="s">
        <v>134</v>
      </c>
      <c r="CP119" t="s">
        <v>134</v>
      </c>
      <c r="CQ119" t="s">
        <v>134</v>
      </c>
      <c r="CR119" t="s">
        <v>134</v>
      </c>
      <c r="CS119" t="s">
        <v>134</v>
      </c>
      <c r="CT119" t="s">
        <v>134</v>
      </c>
      <c r="CU119" t="s">
        <v>134</v>
      </c>
      <c r="CV119" t="s">
        <v>134</v>
      </c>
      <c r="CW119" t="s">
        <v>134</v>
      </c>
      <c r="CX119" t="s">
        <v>134</v>
      </c>
      <c r="CY119" t="s">
        <v>134</v>
      </c>
      <c r="CZ119" t="s">
        <v>134</v>
      </c>
      <c r="DA119" t="s">
        <v>134</v>
      </c>
      <c r="DB119" t="s">
        <v>134</v>
      </c>
      <c r="DC119" t="s">
        <v>134</v>
      </c>
      <c r="DD119" t="s">
        <v>134</v>
      </c>
      <c r="DE119" t="s">
        <v>134</v>
      </c>
      <c r="DF119" t="s">
        <v>134</v>
      </c>
      <c r="DG119" t="s">
        <v>134</v>
      </c>
      <c r="DH119" t="s">
        <v>134</v>
      </c>
      <c r="DI119" t="s">
        <v>134</v>
      </c>
    </row>
    <row r="120" spans="1:113" x14ac:dyDescent="0.3">
      <c r="E120" t="s">
        <v>5</v>
      </c>
      <c r="F120" t="s">
        <v>134</v>
      </c>
      <c r="G120" t="s">
        <v>134</v>
      </c>
      <c r="H120" t="s">
        <v>134</v>
      </c>
      <c r="I120" t="s">
        <v>134</v>
      </c>
      <c r="J120" t="s">
        <v>134</v>
      </c>
      <c r="K120" t="s">
        <v>134</v>
      </c>
      <c r="L120" t="s">
        <v>134</v>
      </c>
      <c r="M120" t="s">
        <v>134</v>
      </c>
      <c r="N120" t="s">
        <v>134</v>
      </c>
      <c r="O120" t="s">
        <v>134</v>
      </c>
      <c r="P120" t="s">
        <v>134</v>
      </c>
      <c r="Q120" t="s">
        <v>134</v>
      </c>
      <c r="R120" t="s">
        <v>134</v>
      </c>
      <c r="S120" t="s">
        <v>134</v>
      </c>
      <c r="T120" t="s">
        <v>134</v>
      </c>
      <c r="U120" t="s">
        <v>134</v>
      </c>
      <c r="V120" t="s">
        <v>134</v>
      </c>
      <c r="W120" t="s">
        <v>134</v>
      </c>
      <c r="X120" t="s">
        <v>134</v>
      </c>
      <c r="Y120" t="s">
        <v>134</v>
      </c>
      <c r="Z120" t="s">
        <v>134</v>
      </c>
      <c r="AA120" t="s">
        <v>134</v>
      </c>
      <c r="AB120" t="s">
        <v>134</v>
      </c>
      <c r="AC120" t="s">
        <v>134</v>
      </c>
      <c r="AD120" t="s">
        <v>134</v>
      </c>
      <c r="AE120" t="s">
        <v>134</v>
      </c>
      <c r="AF120" t="s">
        <v>134</v>
      </c>
      <c r="AG120" t="s">
        <v>134</v>
      </c>
      <c r="AH120" t="s">
        <v>134</v>
      </c>
      <c r="AI120" t="s">
        <v>134</v>
      </c>
      <c r="AJ120" t="s">
        <v>134</v>
      </c>
      <c r="AK120" t="s">
        <v>134</v>
      </c>
      <c r="AL120" t="s">
        <v>134</v>
      </c>
      <c r="AM120" t="s">
        <v>134</v>
      </c>
      <c r="AN120" t="s">
        <v>134</v>
      </c>
      <c r="AO120" t="s">
        <v>134</v>
      </c>
      <c r="AP120" t="s">
        <v>134</v>
      </c>
      <c r="AQ120" t="s">
        <v>134</v>
      </c>
      <c r="AR120" t="s">
        <v>134</v>
      </c>
      <c r="AS120" t="s">
        <v>134</v>
      </c>
      <c r="AT120" t="s">
        <v>134</v>
      </c>
      <c r="AU120" t="s">
        <v>134</v>
      </c>
      <c r="AV120" t="s">
        <v>134</v>
      </c>
      <c r="AW120" t="s">
        <v>134</v>
      </c>
      <c r="AX120" t="s">
        <v>134</v>
      </c>
      <c r="AY120" t="s">
        <v>134</v>
      </c>
      <c r="AZ120" t="s">
        <v>134</v>
      </c>
      <c r="BA120" t="s">
        <v>134</v>
      </c>
      <c r="BB120" t="s">
        <v>134</v>
      </c>
      <c r="BC120" t="s">
        <v>134</v>
      </c>
      <c r="BD120" t="s">
        <v>134</v>
      </c>
      <c r="BE120" t="s">
        <v>134</v>
      </c>
      <c r="BF120" t="s">
        <v>134</v>
      </c>
      <c r="BG120" t="s">
        <v>134</v>
      </c>
      <c r="BH120" t="s">
        <v>134</v>
      </c>
      <c r="BI120" t="s">
        <v>134</v>
      </c>
      <c r="BJ120" t="s">
        <v>134</v>
      </c>
      <c r="BK120" t="s">
        <v>134</v>
      </c>
      <c r="BL120" t="s">
        <v>134</v>
      </c>
      <c r="BM120" t="s">
        <v>134</v>
      </c>
      <c r="BN120" t="s">
        <v>134</v>
      </c>
      <c r="BO120" t="s">
        <v>134</v>
      </c>
      <c r="BP120" t="s">
        <v>134</v>
      </c>
      <c r="BQ120" t="s">
        <v>134</v>
      </c>
      <c r="BR120" t="s">
        <v>134</v>
      </c>
      <c r="BS120" t="s">
        <v>134</v>
      </c>
      <c r="BT120" t="s">
        <v>134</v>
      </c>
      <c r="BU120" t="s">
        <v>134</v>
      </c>
      <c r="BV120" t="s">
        <v>134</v>
      </c>
      <c r="BW120" t="s">
        <v>134</v>
      </c>
      <c r="BX120" t="s">
        <v>134</v>
      </c>
      <c r="BY120" t="s">
        <v>134</v>
      </c>
      <c r="BZ120" t="s">
        <v>134</v>
      </c>
      <c r="CA120" t="s">
        <v>134</v>
      </c>
      <c r="CB120" t="s">
        <v>134</v>
      </c>
      <c r="CC120" t="s">
        <v>134</v>
      </c>
      <c r="CD120" t="s">
        <v>134</v>
      </c>
      <c r="CE120" t="s">
        <v>134</v>
      </c>
      <c r="CF120" t="s">
        <v>134</v>
      </c>
      <c r="CG120" t="s">
        <v>134</v>
      </c>
      <c r="CH120" t="s">
        <v>134</v>
      </c>
      <c r="CI120" t="s">
        <v>134</v>
      </c>
      <c r="CJ120" t="s">
        <v>134</v>
      </c>
      <c r="CK120" t="s">
        <v>134</v>
      </c>
      <c r="CL120" t="s">
        <v>134</v>
      </c>
      <c r="CM120" t="s">
        <v>134</v>
      </c>
      <c r="CN120" t="s">
        <v>134</v>
      </c>
      <c r="CO120" t="s">
        <v>134</v>
      </c>
      <c r="CP120" t="s">
        <v>134</v>
      </c>
      <c r="CQ120" t="s">
        <v>134</v>
      </c>
      <c r="CR120" t="s">
        <v>134</v>
      </c>
      <c r="CS120" t="s">
        <v>134</v>
      </c>
      <c r="CT120" t="s">
        <v>134</v>
      </c>
      <c r="CU120" t="s">
        <v>134</v>
      </c>
      <c r="CV120" t="s">
        <v>134</v>
      </c>
      <c r="CW120" t="s">
        <v>134</v>
      </c>
      <c r="CX120" t="s">
        <v>134</v>
      </c>
      <c r="CY120" t="s">
        <v>134</v>
      </c>
      <c r="CZ120" t="s">
        <v>134</v>
      </c>
      <c r="DA120" t="s">
        <v>134</v>
      </c>
      <c r="DB120" t="s">
        <v>134</v>
      </c>
      <c r="DC120" t="s">
        <v>134</v>
      </c>
      <c r="DD120" t="s">
        <v>134</v>
      </c>
      <c r="DE120" t="s">
        <v>134</v>
      </c>
      <c r="DF120" t="s">
        <v>134</v>
      </c>
      <c r="DG120" t="s">
        <v>134</v>
      </c>
      <c r="DH120" t="s">
        <v>134</v>
      </c>
      <c r="DI120" t="s">
        <v>134</v>
      </c>
    </row>
    <row r="121" spans="1:113" x14ac:dyDescent="0.3">
      <c r="E121" t="s">
        <v>6</v>
      </c>
      <c r="F121" t="s">
        <v>134</v>
      </c>
      <c r="G121" t="s">
        <v>134</v>
      </c>
      <c r="H121" t="s">
        <v>134</v>
      </c>
      <c r="I121" t="s">
        <v>134</v>
      </c>
      <c r="J121" t="s">
        <v>134</v>
      </c>
      <c r="K121" t="s">
        <v>134</v>
      </c>
      <c r="L121" t="s">
        <v>134</v>
      </c>
      <c r="M121" t="s">
        <v>134</v>
      </c>
      <c r="N121" t="s">
        <v>134</v>
      </c>
      <c r="O121" t="s">
        <v>134</v>
      </c>
      <c r="P121" t="s">
        <v>134</v>
      </c>
      <c r="Q121" t="s">
        <v>134</v>
      </c>
      <c r="R121" t="s">
        <v>134</v>
      </c>
      <c r="S121" t="s">
        <v>134</v>
      </c>
      <c r="T121" t="s">
        <v>134</v>
      </c>
      <c r="U121" t="s">
        <v>134</v>
      </c>
      <c r="V121" t="s">
        <v>134</v>
      </c>
      <c r="W121" t="s">
        <v>134</v>
      </c>
      <c r="X121" t="s">
        <v>134</v>
      </c>
      <c r="Y121" t="s">
        <v>134</v>
      </c>
      <c r="Z121" t="s">
        <v>134</v>
      </c>
      <c r="AA121" t="s">
        <v>134</v>
      </c>
      <c r="AB121" t="s">
        <v>134</v>
      </c>
      <c r="AC121" t="s">
        <v>134</v>
      </c>
      <c r="AD121" t="s">
        <v>134</v>
      </c>
      <c r="AE121" t="s">
        <v>134</v>
      </c>
      <c r="AF121" t="s">
        <v>134</v>
      </c>
      <c r="AG121" t="s">
        <v>134</v>
      </c>
      <c r="AH121" t="s">
        <v>134</v>
      </c>
      <c r="AI121" t="s">
        <v>134</v>
      </c>
      <c r="AJ121" t="s">
        <v>134</v>
      </c>
      <c r="AK121" t="s">
        <v>134</v>
      </c>
      <c r="AL121" t="s">
        <v>134</v>
      </c>
      <c r="AM121" t="s">
        <v>134</v>
      </c>
      <c r="AN121" t="s">
        <v>134</v>
      </c>
      <c r="AO121" t="s">
        <v>134</v>
      </c>
      <c r="AP121" t="s">
        <v>134</v>
      </c>
      <c r="AQ121" t="s">
        <v>134</v>
      </c>
      <c r="AR121" t="s">
        <v>134</v>
      </c>
      <c r="AS121" t="s">
        <v>134</v>
      </c>
      <c r="AT121" t="s">
        <v>134</v>
      </c>
      <c r="AU121" t="s">
        <v>134</v>
      </c>
      <c r="AV121" t="s">
        <v>134</v>
      </c>
      <c r="AW121" t="s">
        <v>134</v>
      </c>
      <c r="AX121" t="s">
        <v>134</v>
      </c>
      <c r="AY121" t="s">
        <v>134</v>
      </c>
      <c r="AZ121" t="s">
        <v>134</v>
      </c>
      <c r="BA121" t="s">
        <v>134</v>
      </c>
      <c r="BB121" t="s">
        <v>134</v>
      </c>
      <c r="BC121" t="s">
        <v>134</v>
      </c>
      <c r="BD121" t="s">
        <v>134</v>
      </c>
      <c r="BE121" t="s">
        <v>134</v>
      </c>
      <c r="BF121" t="s">
        <v>134</v>
      </c>
      <c r="BG121" t="s">
        <v>134</v>
      </c>
      <c r="BH121" t="s">
        <v>134</v>
      </c>
      <c r="BI121" t="s">
        <v>134</v>
      </c>
      <c r="BJ121" t="s">
        <v>134</v>
      </c>
      <c r="BK121" t="s">
        <v>134</v>
      </c>
      <c r="BL121" t="s">
        <v>134</v>
      </c>
      <c r="BM121" t="s">
        <v>134</v>
      </c>
      <c r="BN121" t="s">
        <v>134</v>
      </c>
      <c r="BO121" t="s">
        <v>134</v>
      </c>
      <c r="BP121" t="s">
        <v>134</v>
      </c>
      <c r="BQ121" t="s">
        <v>134</v>
      </c>
      <c r="BR121" t="s">
        <v>134</v>
      </c>
      <c r="BS121" t="s">
        <v>134</v>
      </c>
      <c r="BT121" t="s">
        <v>134</v>
      </c>
      <c r="BU121" t="s">
        <v>134</v>
      </c>
      <c r="BV121" t="s">
        <v>134</v>
      </c>
      <c r="BW121" t="s">
        <v>134</v>
      </c>
      <c r="BX121" t="s">
        <v>134</v>
      </c>
      <c r="BY121" t="s">
        <v>134</v>
      </c>
      <c r="BZ121" t="s">
        <v>134</v>
      </c>
      <c r="CA121" t="s">
        <v>134</v>
      </c>
      <c r="CB121" t="s">
        <v>134</v>
      </c>
      <c r="CC121" t="s">
        <v>134</v>
      </c>
      <c r="CD121" t="s">
        <v>134</v>
      </c>
      <c r="CE121" t="s">
        <v>134</v>
      </c>
      <c r="CF121" t="s">
        <v>134</v>
      </c>
      <c r="CG121" t="s">
        <v>134</v>
      </c>
      <c r="CH121" t="s">
        <v>134</v>
      </c>
      <c r="CI121" t="s">
        <v>134</v>
      </c>
      <c r="CJ121" t="s">
        <v>134</v>
      </c>
      <c r="CK121" t="s">
        <v>134</v>
      </c>
      <c r="CL121" t="s">
        <v>134</v>
      </c>
      <c r="CM121" t="s">
        <v>134</v>
      </c>
      <c r="CN121" t="s">
        <v>134</v>
      </c>
      <c r="CO121" t="s">
        <v>134</v>
      </c>
      <c r="CP121" t="s">
        <v>134</v>
      </c>
      <c r="CQ121" t="s">
        <v>134</v>
      </c>
      <c r="CR121" t="s">
        <v>134</v>
      </c>
      <c r="CS121" t="s">
        <v>134</v>
      </c>
      <c r="CT121" t="s">
        <v>134</v>
      </c>
      <c r="CU121" t="s">
        <v>134</v>
      </c>
      <c r="CV121" t="s">
        <v>134</v>
      </c>
      <c r="CW121" t="s">
        <v>134</v>
      </c>
      <c r="CX121" t="s">
        <v>134</v>
      </c>
      <c r="CY121" t="s">
        <v>134</v>
      </c>
      <c r="CZ121" t="s">
        <v>134</v>
      </c>
      <c r="DA121" t="s">
        <v>134</v>
      </c>
      <c r="DB121" t="s">
        <v>134</v>
      </c>
      <c r="DC121" t="s">
        <v>134</v>
      </c>
      <c r="DD121" t="s">
        <v>134</v>
      </c>
      <c r="DE121" t="s">
        <v>134</v>
      </c>
      <c r="DF121" t="s">
        <v>134</v>
      </c>
      <c r="DG121" t="s">
        <v>134</v>
      </c>
      <c r="DH121" t="s">
        <v>134</v>
      </c>
      <c r="DI121" t="s">
        <v>134</v>
      </c>
    </row>
    <row r="122" spans="1:113" x14ac:dyDescent="0.3">
      <c r="E122" t="s">
        <v>7</v>
      </c>
      <c r="F122" t="s">
        <v>134</v>
      </c>
      <c r="G122" t="s">
        <v>134</v>
      </c>
      <c r="H122" t="s">
        <v>134</v>
      </c>
      <c r="I122" t="s">
        <v>134</v>
      </c>
      <c r="J122" t="s">
        <v>134</v>
      </c>
      <c r="K122" t="s">
        <v>134</v>
      </c>
      <c r="L122" t="s">
        <v>134</v>
      </c>
      <c r="M122" t="s">
        <v>134</v>
      </c>
      <c r="N122" t="s">
        <v>134</v>
      </c>
      <c r="O122" t="s">
        <v>134</v>
      </c>
      <c r="P122" t="s">
        <v>134</v>
      </c>
      <c r="Q122" t="s">
        <v>134</v>
      </c>
      <c r="R122" t="s">
        <v>134</v>
      </c>
      <c r="S122" t="s">
        <v>134</v>
      </c>
      <c r="T122" t="s">
        <v>134</v>
      </c>
      <c r="U122" t="s">
        <v>134</v>
      </c>
      <c r="V122" t="s">
        <v>134</v>
      </c>
      <c r="W122" t="s">
        <v>134</v>
      </c>
      <c r="X122" t="s">
        <v>134</v>
      </c>
      <c r="Y122" t="s">
        <v>134</v>
      </c>
      <c r="Z122" t="s">
        <v>134</v>
      </c>
      <c r="AA122" t="s">
        <v>134</v>
      </c>
      <c r="AB122" t="s">
        <v>134</v>
      </c>
      <c r="AC122" t="s">
        <v>134</v>
      </c>
      <c r="AD122" t="s">
        <v>134</v>
      </c>
      <c r="AE122" t="s">
        <v>134</v>
      </c>
      <c r="AF122" t="s">
        <v>134</v>
      </c>
      <c r="AG122" t="s">
        <v>134</v>
      </c>
      <c r="AH122" t="s">
        <v>134</v>
      </c>
      <c r="AI122" t="s">
        <v>134</v>
      </c>
      <c r="AJ122" t="s">
        <v>134</v>
      </c>
      <c r="AK122" t="s">
        <v>134</v>
      </c>
      <c r="AL122" t="s">
        <v>134</v>
      </c>
      <c r="AM122" t="s">
        <v>134</v>
      </c>
      <c r="AN122" t="s">
        <v>134</v>
      </c>
      <c r="AO122" t="s">
        <v>134</v>
      </c>
      <c r="AP122" t="s">
        <v>134</v>
      </c>
      <c r="AQ122" t="s">
        <v>134</v>
      </c>
      <c r="AR122" t="s">
        <v>134</v>
      </c>
      <c r="AS122" t="s">
        <v>134</v>
      </c>
      <c r="AT122" t="s">
        <v>134</v>
      </c>
      <c r="AU122" t="s">
        <v>134</v>
      </c>
      <c r="AV122" t="s">
        <v>134</v>
      </c>
      <c r="AW122" t="s">
        <v>134</v>
      </c>
      <c r="AX122" t="s">
        <v>134</v>
      </c>
      <c r="AY122" t="s">
        <v>134</v>
      </c>
      <c r="AZ122" t="s">
        <v>134</v>
      </c>
      <c r="BA122" t="s">
        <v>134</v>
      </c>
      <c r="BB122" t="s">
        <v>134</v>
      </c>
      <c r="BC122" t="s">
        <v>134</v>
      </c>
      <c r="BD122" t="s">
        <v>134</v>
      </c>
      <c r="BE122" t="s">
        <v>134</v>
      </c>
      <c r="BF122" t="s">
        <v>134</v>
      </c>
      <c r="BG122" t="s">
        <v>134</v>
      </c>
      <c r="BH122" t="s">
        <v>134</v>
      </c>
      <c r="BI122" t="s">
        <v>134</v>
      </c>
      <c r="BJ122" t="s">
        <v>134</v>
      </c>
      <c r="BK122" t="s">
        <v>134</v>
      </c>
      <c r="BL122" t="s">
        <v>134</v>
      </c>
      <c r="BM122" t="s">
        <v>134</v>
      </c>
      <c r="BN122" t="s">
        <v>134</v>
      </c>
      <c r="BO122" t="s">
        <v>134</v>
      </c>
      <c r="BP122" t="s">
        <v>134</v>
      </c>
      <c r="BQ122" t="s">
        <v>134</v>
      </c>
      <c r="BR122" t="s">
        <v>134</v>
      </c>
      <c r="BS122" t="s">
        <v>134</v>
      </c>
      <c r="BT122" t="s">
        <v>134</v>
      </c>
      <c r="BU122" t="s">
        <v>134</v>
      </c>
      <c r="BV122" t="s">
        <v>134</v>
      </c>
      <c r="BW122" t="s">
        <v>134</v>
      </c>
      <c r="BX122" t="s">
        <v>134</v>
      </c>
      <c r="BY122" t="s">
        <v>134</v>
      </c>
      <c r="BZ122" t="s">
        <v>134</v>
      </c>
      <c r="CA122" t="s">
        <v>134</v>
      </c>
      <c r="CB122" t="s">
        <v>134</v>
      </c>
      <c r="CC122" t="s">
        <v>134</v>
      </c>
      <c r="CD122" t="s">
        <v>134</v>
      </c>
      <c r="CE122" t="s">
        <v>134</v>
      </c>
      <c r="CF122" t="s">
        <v>134</v>
      </c>
      <c r="CG122" t="s">
        <v>134</v>
      </c>
      <c r="CH122" t="s">
        <v>134</v>
      </c>
      <c r="CI122" t="s">
        <v>134</v>
      </c>
      <c r="CJ122" t="s">
        <v>134</v>
      </c>
      <c r="CK122" t="s">
        <v>134</v>
      </c>
      <c r="CL122" t="s">
        <v>134</v>
      </c>
      <c r="CM122" t="s">
        <v>134</v>
      </c>
      <c r="CN122" t="s">
        <v>134</v>
      </c>
      <c r="CO122" t="s">
        <v>134</v>
      </c>
      <c r="CP122" t="s">
        <v>134</v>
      </c>
      <c r="CQ122" t="s">
        <v>134</v>
      </c>
      <c r="CR122" t="s">
        <v>134</v>
      </c>
      <c r="CS122" t="s">
        <v>134</v>
      </c>
      <c r="CT122" t="s">
        <v>134</v>
      </c>
      <c r="CU122" t="s">
        <v>134</v>
      </c>
      <c r="CV122" t="s">
        <v>134</v>
      </c>
      <c r="CW122" t="s">
        <v>134</v>
      </c>
      <c r="CX122" t="s">
        <v>134</v>
      </c>
      <c r="CY122" t="s">
        <v>134</v>
      </c>
      <c r="CZ122" t="s">
        <v>134</v>
      </c>
      <c r="DA122" t="s">
        <v>134</v>
      </c>
      <c r="DB122" t="s">
        <v>134</v>
      </c>
      <c r="DC122" t="s">
        <v>134</v>
      </c>
      <c r="DD122" t="s">
        <v>134</v>
      </c>
      <c r="DE122" t="s">
        <v>134</v>
      </c>
      <c r="DF122" t="s">
        <v>134</v>
      </c>
      <c r="DG122" t="s">
        <v>134</v>
      </c>
      <c r="DH122" t="s">
        <v>134</v>
      </c>
      <c r="DI122" t="s">
        <v>134</v>
      </c>
    </row>
    <row r="123" spans="1:113" x14ac:dyDescent="0.3">
      <c r="D123" t="s">
        <v>11</v>
      </c>
      <c r="E123" t="s">
        <v>3</v>
      </c>
      <c r="F123">
        <v>41.308300000000003</v>
      </c>
      <c r="G123">
        <v>12.341100000000001</v>
      </c>
      <c r="H123">
        <v>30.4495</v>
      </c>
      <c r="I123">
        <v>21.891400000000001</v>
      </c>
      <c r="J123">
        <v>13.1395</v>
      </c>
      <c r="K123">
        <v>11.197900000000001</v>
      </c>
      <c r="L123">
        <v>20.529199999999999</v>
      </c>
      <c r="M123">
        <v>13.895799999999999</v>
      </c>
      <c r="N123">
        <v>9.9657</v>
      </c>
      <c r="O123">
        <v>9.9657</v>
      </c>
      <c r="P123">
        <v>9.9657</v>
      </c>
      <c r="Q123">
        <v>28.283000000000001</v>
      </c>
      <c r="R123">
        <v>10.2859</v>
      </c>
      <c r="S123">
        <v>37.059399999999997</v>
      </c>
      <c r="T123">
        <v>22.0197</v>
      </c>
      <c r="U123">
        <v>37.9422</v>
      </c>
      <c r="V123">
        <v>49.440800000000003</v>
      </c>
      <c r="W123">
        <v>35.1492</v>
      </c>
      <c r="X123">
        <v>30.6434</v>
      </c>
      <c r="Y123">
        <v>-82.352900000000005</v>
      </c>
      <c r="Z123">
        <v>42.603700000000003</v>
      </c>
      <c r="AA123">
        <v>12.305899999999999</v>
      </c>
      <c r="AB123">
        <v>21.040800000000001</v>
      </c>
      <c r="AC123">
        <v>38.919499999999999</v>
      </c>
      <c r="AD123">
        <v>-30.457999999999998</v>
      </c>
      <c r="AE123">
        <v>82.517399999999995</v>
      </c>
      <c r="AF123">
        <v>29.123200000000001</v>
      </c>
      <c r="AG123">
        <v>5.4298000000000002</v>
      </c>
      <c r="AH123">
        <v>-5.5255999999999998</v>
      </c>
      <c r="AI123">
        <v>87.272400000000005</v>
      </c>
      <c r="AJ123">
        <v>49.483199999999997</v>
      </c>
      <c r="AK123">
        <v>76.097399999999993</v>
      </c>
      <c r="AL123">
        <v>7.3456000000000001</v>
      </c>
      <c r="AM123">
        <v>19.606999999999999</v>
      </c>
      <c r="AN123">
        <v>27.034700000000001</v>
      </c>
      <c r="AO123">
        <v>25.54</v>
      </c>
      <c r="AP123">
        <v>23.409300000000002</v>
      </c>
      <c r="AQ123" t="s">
        <v>134</v>
      </c>
      <c r="AR123" t="s">
        <v>134</v>
      </c>
      <c r="AS123">
        <v>26.992100000000001</v>
      </c>
      <c r="AT123">
        <v>28.5106</v>
      </c>
      <c r="AU123">
        <v>20.973199999999999</v>
      </c>
      <c r="AV123">
        <v>29.273299999999999</v>
      </c>
      <c r="AW123" t="s">
        <v>134</v>
      </c>
      <c r="AX123">
        <v>48.137799999999999</v>
      </c>
      <c r="AY123">
        <v>30.447800000000001</v>
      </c>
      <c r="AZ123">
        <v>2.9129</v>
      </c>
      <c r="BA123">
        <v>6.3788</v>
      </c>
      <c r="BB123">
        <v>78.637799999999999</v>
      </c>
      <c r="BC123">
        <v>34.1997</v>
      </c>
      <c r="BD123" t="s">
        <v>134</v>
      </c>
      <c r="BE123">
        <v>18.7607</v>
      </c>
      <c r="BF123">
        <v>22.0197</v>
      </c>
      <c r="BG123">
        <v>37.9422</v>
      </c>
      <c r="BH123">
        <v>49.440800000000003</v>
      </c>
      <c r="BI123">
        <v>35.1492</v>
      </c>
      <c r="BJ123">
        <v>30.6434</v>
      </c>
      <c r="BK123">
        <v>-82.352900000000005</v>
      </c>
      <c r="BL123">
        <v>42.603700000000003</v>
      </c>
      <c r="BM123">
        <v>12.305899999999999</v>
      </c>
      <c r="BN123">
        <v>21.040800000000001</v>
      </c>
      <c r="BO123">
        <v>38.919499999999999</v>
      </c>
      <c r="BP123" t="s">
        <v>134</v>
      </c>
      <c r="BQ123">
        <v>82.517399999999995</v>
      </c>
      <c r="BR123">
        <v>29.123200000000001</v>
      </c>
      <c r="BS123">
        <v>5.4298000000000002</v>
      </c>
      <c r="BT123">
        <v>-5.5255999999999998</v>
      </c>
      <c r="BU123">
        <v>87.272400000000005</v>
      </c>
      <c r="BV123">
        <v>49.483199999999997</v>
      </c>
      <c r="BW123">
        <v>76.097399999999993</v>
      </c>
      <c r="BX123">
        <v>7.3456000000000001</v>
      </c>
      <c r="BY123">
        <v>24527.21</v>
      </c>
      <c r="BZ123">
        <v>2113.5100000000002</v>
      </c>
      <c r="CA123">
        <v>22413.7</v>
      </c>
      <c r="CB123">
        <v>0.8296</v>
      </c>
      <c r="CC123">
        <v>-3.5419999999999998</v>
      </c>
      <c r="CD123">
        <v>0.97350000000000003</v>
      </c>
      <c r="CE123">
        <v>-4.1562000000000001</v>
      </c>
      <c r="CF123">
        <v>11.8293</v>
      </c>
      <c r="CG123">
        <v>33.4955</v>
      </c>
      <c r="CH123">
        <v>31.669599999999999</v>
      </c>
      <c r="CI123">
        <v>23.518899999999999</v>
      </c>
      <c r="CJ123">
        <v>10.607900000000001</v>
      </c>
      <c r="CK123">
        <v>34.655900000000003</v>
      </c>
      <c r="CL123">
        <v>25.736599999999999</v>
      </c>
      <c r="CM123">
        <v>11.6082</v>
      </c>
      <c r="CN123">
        <v>-147.9632</v>
      </c>
      <c r="CO123">
        <v>308.49310000000003</v>
      </c>
      <c r="CP123">
        <v>29564.63</v>
      </c>
      <c r="CQ123">
        <v>17362.48</v>
      </c>
      <c r="CR123">
        <v>25195.86</v>
      </c>
      <c r="CS123">
        <v>2.1107999999999998</v>
      </c>
      <c r="CT123">
        <v>2.3896000000000002</v>
      </c>
      <c r="CU123">
        <v>2.1478000000000002</v>
      </c>
      <c r="CV123">
        <v>4.2515999999999998</v>
      </c>
      <c r="CW123">
        <v>116.8806</v>
      </c>
      <c r="CX123">
        <v>3.1227999999999998</v>
      </c>
      <c r="CY123">
        <v>0.71530000000000005</v>
      </c>
      <c r="CZ123">
        <v>510.29899999999998</v>
      </c>
      <c r="DA123">
        <v>0.16220000000000001</v>
      </c>
      <c r="DB123">
        <v>2250.0608000000002</v>
      </c>
      <c r="DC123">
        <v>-1736.6389999999999</v>
      </c>
      <c r="DD123">
        <v>513.42190000000005</v>
      </c>
      <c r="DE123">
        <v>1832.27</v>
      </c>
      <c r="DF123">
        <v>0</v>
      </c>
      <c r="DG123">
        <v>0</v>
      </c>
      <c r="DH123">
        <v>79.739999999999995</v>
      </c>
      <c r="DI123">
        <v>1752.53</v>
      </c>
    </row>
    <row r="124" spans="1:113" x14ac:dyDescent="0.3">
      <c r="E124" t="s">
        <v>4</v>
      </c>
      <c r="F124" t="s">
        <v>134</v>
      </c>
      <c r="G124" t="s">
        <v>134</v>
      </c>
      <c r="H124" t="s">
        <v>134</v>
      </c>
      <c r="I124" t="s">
        <v>134</v>
      </c>
      <c r="J124" t="s">
        <v>134</v>
      </c>
      <c r="K124" t="s">
        <v>134</v>
      </c>
      <c r="L124" t="s">
        <v>134</v>
      </c>
      <c r="M124" t="s">
        <v>134</v>
      </c>
      <c r="N124" t="s">
        <v>134</v>
      </c>
      <c r="O124" t="s">
        <v>134</v>
      </c>
      <c r="P124" t="s">
        <v>134</v>
      </c>
      <c r="Q124" t="s">
        <v>134</v>
      </c>
      <c r="R124" t="s">
        <v>134</v>
      </c>
      <c r="S124" t="s">
        <v>134</v>
      </c>
      <c r="T124" t="s">
        <v>134</v>
      </c>
      <c r="U124" t="s">
        <v>134</v>
      </c>
      <c r="V124" t="s">
        <v>134</v>
      </c>
      <c r="W124" t="s">
        <v>134</v>
      </c>
      <c r="X124" t="s">
        <v>134</v>
      </c>
      <c r="Y124" t="s">
        <v>134</v>
      </c>
      <c r="Z124" t="s">
        <v>134</v>
      </c>
      <c r="AA124" t="s">
        <v>134</v>
      </c>
      <c r="AB124" t="s">
        <v>134</v>
      </c>
      <c r="AC124" t="s">
        <v>134</v>
      </c>
      <c r="AD124" t="s">
        <v>134</v>
      </c>
      <c r="AE124" t="s">
        <v>134</v>
      </c>
      <c r="AF124" t="s">
        <v>134</v>
      </c>
      <c r="AG124" t="s">
        <v>134</v>
      </c>
      <c r="AH124" t="s">
        <v>134</v>
      </c>
      <c r="AI124" t="s">
        <v>134</v>
      </c>
      <c r="AJ124" t="s">
        <v>134</v>
      </c>
      <c r="AK124" t="s">
        <v>134</v>
      </c>
      <c r="AL124" t="s">
        <v>134</v>
      </c>
      <c r="AM124" t="s">
        <v>134</v>
      </c>
      <c r="AN124" t="s">
        <v>134</v>
      </c>
      <c r="AO124" t="s">
        <v>134</v>
      </c>
      <c r="AP124" t="s">
        <v>134</v>
      </c>
      <c r="AQ124" t="s">
        <v>134</v>
      </c>
      <c r="AR124" t="s">
        <v>134</v>
      </c>
      <c r="AS124" t="s">
        <v>134</v>
      </c>
      <c r="AT124" t="s">
        <v>134</v>
      </c>
      <c r="AU124" t="s">
        <v>134</v>
      </c>
      <c r="AV124" t="s">
        <v>134</v>
      </c>
      <c r="AW124" t="s">
        <v>134</v>
      </c>
      <c r="AX124" t="s">
        <v>134</v>
      </c>
      <c r="AY124" t="s">
        <v>134</v>
      </c>
      <c r="AZ124" t="s">
        <v>134</v>
      </c>
      <c r="BA124" t="s">
        <v>134</v>
      </c>
      <c r="BB124" t="s">
        <v>134</v>
      </c>
      <c r="BC124" t="s">
        <v>134</v>
      </c>
      <c r="BD124" t="s">
        <v>134</v>
      </c>
      <c r="BE124" t="s">
        <v>134</v>
      </c>
      <c r="BF124" t="s">
        <v>134</v>
      </c>
      <c r="BG124" t="s">
        <v>134</v>
      </c>
      <c r="BH124" t="s">
        <v>134</v>
      </c>
      <c r="BI124" t="s">
        <v>134</v>
      </c>
      <c r="BJ124" t="s">
        <v>134</v>
      </c>
      <c r="BK124" t="s">
        <v>134</v>
      </c>
      <c r="BL124" t="s">
        <v>134</v>
      </c>
      <c r="BM124" t="s">
        <v>134</v>
      </c>
      <c r="BN124" t="s">
        <v>134</v>
      </c>
      <c r="BO124" t="s">
        <v>134</v>
      </c>
      <c r="BP124" t="s">
        <v>134</v>
      </c>
      <c r="BQ124" t="s">
        <v>134</v>
      </c>
      <c r="BR124" t="s">
        <v>134</v>
      </c>
      <c r="BS124" t="s">
        <v>134</v>
      </c>
      <c r="BT124" t="s">
        <v>134</v>
      </c>
      <c r="BU124" t="s">
        <v>134</v>
      </c>
      <c r="BV124" t="s">
        <v>134</v>
      </c>
      <c r="BW124" t="s">
        <v>134</v>
      </c>
      <c r="BX124" t="s">
        <v>134</v>
      </c>
      <c r="BY124" t="s">
        <v>134</v>
      </c>
      <c r="BZ124" t="s">
        <v>134</v>
      </c>
      <c r="CA124" t="s">
        <v>134</v>
      </c>
      <c r="CB124" t="s">
        <v>134</v>
      </c>
      <c r="CC124" t="s">
        <v>134</v>
      </c>
      <c r="CD124" t="s">
        <v>134</v>
      </c>
      <c r="CE124" t="s">
        <v>134</v>
      </c>
      <c r="CF124" t="s">
        <v>134</v>
      </c>
      <c r="CG124" t="s">
        <v>134</v>
      </c>
      <c r="CH124" t="s">
        <v>134</v>
      </c>
      <c r="CI124" t="s">
        <v>134</v>
      </c>
      <c r="CJ124" t="s">
        <v>134</v>
      </c>
      <c r="CK124" t="s">
        <v>134</v>
      </c>
      <c r="CL124" t="s">
        <v>134</v>
      </c>
      <c r="CM124" t="s">
        <v>134</v>
      </c>
      <c r="CN124" t="s">
        <v>134</v>
      </c>
      <c r="CO124" t="s">
        <v>134</v>
      </c>
      <c r="CP124" t="s">
        <v>134</v>
      </c>
      <c r="CQ124" t="s">
        <v>134</v>
      </c>
      <c r="CR124" t="s">
        <v>134</v>
      </c>
      <c r="CS124" t="s">
        <v>134</v>
      </c>
      <c r="CT124" t="s">
        <v>134</v>
      </c>
      <c r="CU124" t="s">
        <v>134</v>
      </c>
      <c r="CV124" t="s">
        <v>134</v>
      </c>
      <c r="CW124" t="s">
        <v>134</v>
      </c>
      <c r="CX124" t="s">
        <v>134</v>
      </c>
      <c r="CY124" t="s">
        <v>134</v>
      </c>
      <c r="CZ124" t="s">
        <v>134</v>
      </c>
      <c r="DA124" t="s">
        <v>134</v>
      </c>
      <c r="DB124" t="s">
        <v>134</v>
      </c>
      <c r="DC124" t="s">
        <v>134</v>
      </c>
      <c r="DD124" t="s">
        <v>134</v>
      </c>
      <c r="DE124" t="s">
        <v>134</v>
      </c>
      <c r="DF124" t="s">
        <v>134</v>
      </c>
      <c r="DG124" t="s">
        <v>134</v>
      </c>
      <c r="DH124" t="s">
        <v>134</v>
      </c>
      <c r="DI124" t="s">
        <v>134</v>
      </c>
    </row>
    <row r="125" spans="1:113" x14ac:dyDescent="0.3">
      <c r="E125" t="s">
        <v>5</v>
      </c>
      <c r="F125" t="s">
        <v>134</v>
      </c>
      <c r="G125" t="s">
        <v>134</v>
      </c>
      <c r="H125" t="s">
        <v>134</v>
      </c>
      <c r="I125" t="s">
        <v>134</v>
      </c>
      <c r="J125" t="s">
        <v>134</v>
      </c>
      <c r="K125" t="s">
        <v>134</v>
      </c>
      <c r="L125" t="s">
        <v>134</v>
      </c>
      <c r="M125" t="s">
        <v>134</v>
      </c>
      <c r="N125" t="s">
        <v>134</v>
      </c>
      <c r="O125" t="s">
        <v>134</v>
      </c>
      <c r="P125" t="s">
        <v>134</v>
      </c>
      <c r="Q125" t="s">
        <v>134</v>
      </c>
      <c r="R125" t="s">
        <v>134</v>
      </c>
      <c r="S125" t="s">
        <v>134</v>
      </c>
      <c r="T125" t="s">
        <v>134</v>
      </c>
      <c r="U125" t="s">
        <v>134</v>
      </c>
      <c r="V125" t="s">
        <v>134</v>
      </c>
      <c r="W125" t="s">
        <v>134</v>
      </c>
      <c r="X125" t="s">
        <v>134</v>
      </c>
      <c r="Y125" t="s">
        <v>134</v>
      </c>
      <c r="Z125" t="s">
        <v>134</v>
      </c>
      <c r="AA125" t="s">
        <v>134</v>
      </c>
      <c r="AB125" t="s">
        <v>134</v>
      </c>
      <c r="AC125" t="s">
        <v>134</v>
      </c>
      <c r="AD125" t="s">
        <v>134</v>
      </c>
      <c r="AE125" t="s">
        <v>134</v>
      </c>
      <c r="AF125" t="s">
        <v>134</v>
      </c>
      <c r="AG125" t="s">
        <v>134</v>
      </c>
      <c r="AH125" t="s">
        <v>134</v>
      </c>
      <c r="AI125" t="s">
        <v>134</v>
      </c>
      <c r="AJ125" t="s">
        <v>134</v>
      </c>
      <c r="AK125" t="s">
        <v>134</v>
      </c>
      <c r="AL125" t="s">
        <v>134</v>
      </c>
      <c r="AM125" t="s">
        <v>134</v>
      </c>
      <c r="AN125" t="s">
        <v>134</v>
      </c>
      <c r="AO125" t="s">
        <v>134</v>
      </c>
      <c r="AP125" t="s">
        <v>134</v>
      </c>
      <c r="AQ125" t="s">
        <v>134</v>
      </c>
      <c r="AR125" t="s">
        <v>134</v>
      </c>
      <c r="AS125" t="s">
        <v>134</v>
      </c>
      <c r="AT125" t="s">
        <v>134</v>
      </c>
      <c r="AU125" t="s">
        <v>134</v>
      </c>
      <c r="AV125" t="s">
        <v>134</v>
      </c>
      <c r="AW125" t="s">
        <v>134</v>
      </c>
      <c r="AX125" t="s">
        <v>134</v>
      </c>
      <c r="AY125" t="s">
        <v>134</v>
      </c>
      <c r="AZ125" t="s">
        <v>134</v>
      </c>
      <c r="BA125" t="s">
        <v>134</v>
      </c>
      <c r="BB125" t="s">
        <v>134</v>
      </c>
      <c r="BC125" t="s">
        <v>134</v>
      </c>
      <c r="BD125" t="s">
        <v>134</v>
      </c>
      <c r="BE125" t="s">
        <v>134</v>
      </c>
      <c r="BF125" t="s">
        <v>134</v>
      </c>
      <c r="BG125" t="s">
        <v>134</v>
      </c>
      <c r="BH125" t="s">
        <v>134</v>
      </c>
      <c r="BI125" t="s">
        <v>134</v>
      </c>
      <c r="BJ125" t="s">
        <v>134</v>
      </c>
      <c r="BK125" t="s">
        <v>134</v>
      </c>
      <c r="BL125" t="s">
        <v>134</v>
      </c>
      <c r="BM125" t="s">
        <v>134</v>
      </c>
      <c r="BN125" t="s">
        <v>134</v>
      </c>
      <c r="BO125" t="s">
        <v>134</v>
      </c>
      <c r="BP125" t="s">
        <v>134</v>
      </c>
      <c r="BQ125" t="s">
        <v>134</v>
      </c>
      <c r="BR125" t="s">
        <v>134</v>
      </c>
      <c r="BS125" t="s">
        <v>134</v>
      </c>
      <c r="BT125" t="s">
        <v>134</v>
      </c>
      <c r="BU125" t="s">
        <v>134</v>
      </c>
      <c r="BV125" t="s">
        <v>134</v>
      </c>
      <c r="BW125" t="s">
        <v>134</v>
      </c>
      <c r="BX125" t="s">
        <v>134</v>
      </c>
      <c r="BY125" t="s">
        <v>134</v>
      </c>
      <c r="BZ125" t="s">
        <v>134</v>
      </c>
      <c r="CA125" t="s">
        <v>134</v>
      </c>
      <c r="CB125" t="s">
        <v>134</v>
      </c>
      <c r="CC125" t="s">
        <v>134</v>
      </c>
      <c r="CD125" t="s">
        <v>134</v>
      </c>
      <c r="CE125" t="s">
        <v>134</v>
      </c>
      <c r="CF125" t="s">
        <v>134</v>
      </c>
      <c r="CG125" t="s">
        <v>134</v>
      </c>
      <c r="CH125" t="s">
        <v>134</v>
      </c>
      <c r="CI125" t="s">
        <v>134</v>
      </c>
      <c r="CJ125" t="s">
        <v>134</v>
      </c>
      <c r="CK125" t="s">
        <v>134</v>
      </c>
      <c r="CL125" t="s">
        <v>134</v>
      </c>
      <c r="CM125" t="s">
        <v>134</v>
      </c>
      <c r="CN125" t="s">
        <v>134</v>
      </c>
      <c r="CO125" t="s">
        <v>134</v>
      </c>
      <c r="CP125" t="s">
        <v>134</v>
      </c>
      <c r="CQ125" t="s">
        <v>134</v>
      </c>
      <c r="CR125" t="s">
        <v>134</v>
      </c>
      <c r="CS125" t="s">
        <v>134</v>
      </c>
      <c r="CT125" t="s">
        <v>134</v>
      </c>
      <c r="CU125" t="s">
        <v>134</v>
      </c>
      <c r="CV125" t="s">
        <v>134</v>
      </c>
      <c r="CW125" t="s">
        <v>134</v>
      </c>
      <c r="CX125" t="s">
        <v>134</v>
      </c>
      <c r="CY125" t="s">
        <v>134</v>
      </c>
      <c r="CZ125" t="s">
        <v>134</v>
      </c>
      <c r="DA125" t="s">
        <v>134</v>
      </c>
      <c r="DB125" t="s">
        <v>134</v>
      </c>
      <c r="DC125" t="s">
        <v>134</v>
      </c>
      <c r="DD125" t="s">
        <v>134</v>
      </c>
      <c r="DE125" t="s">
        <v>134</v>
      </c>
      <c r="DF125" t="s">
        <v>134</v>
      </c>
      <c r="DG125" t="s">
        <v>134</v>
      </c>
      <c r="DH125" t="s">
        <v>134</v>
      </c>
      <c r="DI125" t="s">
        <v>134</v>
      </c>
    </row>
    <row r="126" spans="1:113" x14ac:dyDescent="0.3">
      <c r="E126" t="s">
        <v>6</v>
      </c>
      <c r="F126" t="s">
        <v>134</v>
      </c>
      <c r="G126" t="s">
        <v>134</v>
      </c>
      <c r="H126" t="s">
        <v>134</v>
      </c>
      <c r="I126" t="s">
        <v>134</v>
      </c>
      <c r="J126" t="s">
        <v>134</v>
      </c>
      <c r="K126" t="s">
        <v>134</v>
      </c>
      <c r="L126" t="s">
        <v>134</v>
      </c>
      <c r="M126" t="s">
        <v>134</v>
      </c>
      <c r="N126" t="s">
        <v>134</v>
      </c>
      <c r="O126" t="s">
        <v>134</v>
      </c>
      <c r="P126" t="s">
        <v>134</v>
      </c>
      <c r="Q126" t="s">
        <v>134</v>
      </c>
      <c r="R126" t="s">
        <v>134</v>
      </c>
      <c r="S126" t="s">
        <v>134</v>
      </c>
      <c r="T126" t="s">
        <v>134</v>
      </c>
      <c r="U126" t="s">
        <v>134</v>
      </c>
      <c r="V126" t="s">
        <v>134</v>
      </c>
      <c r="W126" t="s">
        <v>134</v>
      </c>
      <c r="X126" t="s">
        <v>134</v>
      </c>
      <c r="Y126" t="s">
        <v>134</v>
      </c>
      <c r="Z126" t="s">
        <v>134</v>
      </c>
      <c r="AA126" t="s">
        <v>134</v>
      </c>
      <c r="AB126" t="s">
        <v>134</v>
      </c>
      <c r="AC126" t="s">
        <v>134</v>
      </c>
      <c r="AD126" t="s">
        <v>134</v>
      </c>
      <c r="AE126" t="s">
        <v>134</v>
      </c>
      <c r="AF126" t="s">
        <v>134</v>
      </c>
      <c r="AG126" t="s">
        <v>134</v>
      </c>
      <c r="AH126" t="s">
        <v>134</v>
      </c>
      <c r="AI126" t="s">
        <v>134</v>
      </c>
      <c r="AJ126" t="s">
        <v>134</v>
      </c>
      <c r="AK126" t="s">
        <v>134</v>
      </c>
      <c r="AL126" t="s">
        <v>134</v>
      </c>
      <c r="AM126" t="s">
        <v>134</v>
      </c>
      <c r="AN126" t="s">
        <v>134</v>
      </c>
      <c r="AO126" t="s">
        <v>134</v>
      </c>
      <c r="AP126" t="s">
        <v>134</v>
      </c>
      <c r="AQ126" t="s">
        <v>134</v>
      </c>
      <c r="AR126" t="s">
        <v>134</v>
      </c>
      <c r="AS126" t="s">
        <v>134</v>
      </c>
      <c r="AT126" t="s">
        <v>134</v>
      </c>
      <c r="AU126" t="s">
        <v>134</v>
      </c>
      <c r="AV126" t="s">
        <v>134</v>
      </c>
      <c r="AW126" t="s">
        <v>134</v>
      </c>
      <c r="AX126" t="s">
        <v>134</v>
      </c>
      <c r="AY126" t="s">
        <v>134</v>
      </c>
      <c r="AZ126" t="s">
        <v>134</v>
      </c>
      <c r="BA126" t="s">
        <v>134</v>
      </c>
      <c r="BB126" t="s">
        <v>134</v>
      </c>
      <c r="BC126" t="s">
        <v>134</v>
      </c>
      <c r="BD126" t="s">
        <v>134</v>
      </c>
      <c r="BE126" t="s">
        <v>134</v>
      </c>
      <c r="BF126" t="s">
        <v>134</v>
      </c>
      <c r="BG126" t="s">
        <v>134</v>
      </c>
      <c r="BH126" t="s">
        <v>134</v>
      </c>
      <c r="BI126" t="s">
        <v>134</v>
      </c>
      <c r="BJ126" t="s">
        <v>134</v>
      </c>
      <c r="BK126" t="s">
        <v>134</v>
      </c>
      <c r="BL126" t="s">
        <v>134</v>
      </c>
      <c r="BM126" t="s">
        <v>134</v>
      </c>
      <c r="BN126" t="s">
        <v>134</v>
      </c>
      <c r="BO126" t="s">
        <v>134</v>
      </c>
      <c r="BP126" t="s">
        <v>134</v>
      </c>
      <c r="BQ126" t="s">
        <v>134</v>
      </c>
      <c r="BR126" t="s">
        <v>134</v>
      </c>
      <c r="BS126" t="s">
        <v>134</v>
      </c>
      <c r="BT126" t="s">
        <v>134</v>
      </c>
      <c r="BU126" t="s">
        <v>134</v>
      </c>
      <c r="BV126" t="s">
        <v>134</v>
      </c>
      <c r="BW126" t="s">
        <v>134</v>
      </c>
      <c r="BX126" t="s">
        <v>134</v>
      </c>
      <c r="BY126" t="s">
        <v>134</v>
      </c>
      <c r="BZ126" t="s">
        <v>134</v>
      </c>
      <c r="CA126" t="s">
        <v>134</v>
      </c>
      <c r="CB126" t="s">
        <v>134</v>
      </c>
      <c r="CC126" t="s">
        <v>134</v>
      </c>
      <c r="CD126" t="s">
        <v>134</v>
      </c>
      <c r="CE126" t="s">
        <v>134</v>
      </c>
      <c r="CF126" t="s">
        <v>134</v>
      </c>
      <c r="CG126" t="s">
        <v>134</v>
      </c>
      <c r="CH126" t="s">
        <v>134</v>
      </c>
      <c r="CI126" t="s">
        <v>134</v>
      </c>
      <c r="CJ126" t="s">
        <v>134</v>
      </c>
      <c r="CK126" t="s">
        <v>134</v>
      </c>
      <c r="CL126" t="s">
        <v>134</v>
      </c>
      <c r="CM126" t="s">
        <v>134</v>
      </c>
      <c r="CN126" t="s">
        <v>134</v>
      </c>
      <c r="CO126" t="s">
        <v>134</v>
      </c>
      <c r="CP126" t="s">
        <v>134</v>
      </c>
      <c r="CQ126" t="s">
        <v>134</v>
      </c>
      <c r="CR126" t="s">
        <v>134</v>
      </c>
      <c r="CS126" t="s">
        <v>134</v>
      </c>
      <c r="CT126" t="s">
        <v>134</v>
      </c>
      <c r="CU126" t="s">
        <v>134</v>
      </c>
      <c r="CV126" t="s">
        <v>134</v>
      </c>
      <c r="CW126" t="s">
        <v>134</v>
      </c>
      <c r="CX126" t="s">
        <v>134</v>
      </c>
      <c r="CY126" t="s">
        <v>134</v>
      </c>
      <c r="CZ126" t="s">
        <v>134</v>
      </c>
      <c r="DA126" t="s">
        <v>134</v>
      </c>
      <c r="DB126" t="s">
        <v>134</v>
      </c>
      <c r="DC126" t="s">
        <v>134</v>
      </c>
      <c r="DD126" t="s">
        <v>134</v>
      </c>
      <c r="DE126" t="s">
        <v>134</v>
      </c>
      <c r="DF126" t="s">
        <v>134</v>
      </c>
      <c r="DG126" t="s">
        <v>134</v>
      </c>
      <c r="DH126" t="s">
        <v>134</v>
      </c>
      <c r="DI126" t="s">
        <v>134</v>
      </c>
    </row>
    <row r="127" spans="1:113" x14ac:dyDescent="0.3">
      <c r="E127" t="s">
        <v>7</v>
      </c>
      <c r="F127" t="s">
        <v>134</v>
      </c>
      <c r="G127" t="s">
        <v>134</v>
      </c>
      <c r="H127" t="s">
        <v>134</v>
      </c>
      <c r="I127" t="s">
        <v>134</v>
      </c>
      <c r="J127" t="s">
        <v>134</v>
      </c>
      <c r="K127" t="s">
        <v>134</v>
      </c>
      <c r="L127" t="s">
        <v>134</v>
      </c>
      <c r="M127" t="s">
        <v>134</v>
      </c>
      <c r="N127" t="s">
        <v>134</v>
      </c>
      <c r="O127" t="s">
        <v>134</v>
      </c>
      <c r="P127" t="s">
        <v>134</v>
      </c>
      <c r="Q127" t="s">
        <v>134</v>
      </c>
      <c r="R127" t="s">
        <v>134</v>
      </c>
      <c r="S127" t="s">
        <v>134</v>
      </c>
      <c r="T127" t="s">
        <v>134</v>
      </c>
      <c r="U127" t="s">
        <v>134</v>
      </c>
      <c r="V127" t="s">
        <v>134</v>
      </c>
      <c r="W127" t="s">
        <v>134</v>
      </c>
      <c r="X127" t="s">
        <v>134</v>
      </c>
      <c r="Y127" t="s">
        <v>134</v>
      </c>
      <c r="Z127" t="s">
        <v>134</v>
      </c>
      <c r="AA127" t="s">
        <v>134</v>
      </c>
      <c r="AB127" t="s">
        <v>134</v>
      </c>
      <c r="AC127" t="s">
        <v>134</v>
      </c>
      <c r="AD127" t="s">
        <v>134</v>
      </c>
      <c r="AE127" t="s">
        <v>134</v>
      </c>
      <c r="AF127" t="s">
        <v>134</v>
      </c>
      <c r="AG127" t="s">
        <v>134</v>
      </c>
      <c r="AH127" t="s">
        <v>134</v>
      </c>
      <c r="AI127" t="s">
        <v>134</v>
      </c>
      <c r="AJ127" t="s">
        <v>134</v>
      </c>
      <c r="AK127" t="s">
        <v>134</v>
      </c>
      <c r="AL127" t="s">
        <v>134</v>
      </c>
      <c r="AM127" t="s">
        <v>134</v>
      </c>
      <c r="AN127" t="s">
        <v>134</v>
      </c>
      <c r="AO127" t="s">
        <v>134</v>
      </c>
      <c r="AP127" t="s">
        <v>134</v>
      </c>
      <c r="AQ127" t="s">
        <v>134</v>
      </c>
      <c r="AR127" t="s">
        <v>134</v>
      </c>
      <c r="AS127" t="s">
        <v>134</v>
      </c>
      <c r="AT127" t="s">
        <v>134</v>
      </c>
      <c r="AU127" t="s">
        <v>134</v>
      </c>
      <c r="AV127" t="s">
        <v>134</v>
      </c>
      <c r="AW127" t="s">
        <v>134</v>
      </c>
      <c r="AX127" t="s">
        <v>134</v>
      </c>
      <c r="AY127" t="s">
        <v>134</v>
      </c>
      <c r="AZ127" t="s">
        <v>134</v>
      </c>
      <c r="BA127" t="s">
        <v>134</v>
      </c>
      <c r="BB127" t="s">
        <v>134</v>
      </c>
      <c r="BC127" t="s">
        <v>134</v>
      </c>
      <c r="BD127" t="s">
        <v>134</v>
      </c>
      <c r="BE127" t="s">
        <v>134</v>
      </c>
      <c r="BF127" t="s">
        <v>134</v>
      </c>
      <c r="BG127" t="s">
        <v>134</v>
      </c>
      <c r="BH127" t="s">
        <v>134</v>
      </c>
      <c r="BI127" t="s">
        <v>134</v>
      </c>
      <c r="BJ127" t="s">
        <v>134</v>
      </c>
      <c r="BK127" t="s">
        <v>134</v>
      </c>
      <c r="BL127" t="s">
        <v>134</v>
      </c>
      <c r="BM127" t="s">
        <v>134</v>
      </c>
      <c r="BN127" t="s">
        <v>134</v>
      </c>
      <c r="BO127" t="s">
        <v>134</v>
      </c>
      <c r="BP127" t="s">
        <v>134</v>
      </c>
      <c r="BQ127" t="s">
        <v>134</v>
      </c>
      <c r="BR127" t="s">
        <v>134</v>
      </c>
      <c r="BS127" t="s">
        <v>134</v>
      </c>
      <c r="BT127" t="s">
        <v>134</v>
      </c>
      <c r="BU127" t="s">
        <v>134</v>
      </c>
      <c r="BV127" t="s">
        <v>134</v>
      </c>
      <c r="BW127" t="s">
        <v>134</v>
      </c>
      <c r="BX127" t="s">
        <v>134</v>
      </c>
      <c r="BY127" t="s">
        <v>134</v>
      </c>
      <c r="BZ127" t="s">
        <v>134</v>
      </c>
      <c r="CA127" t="s">
        <v>134</v>
      </c>
      <c r="CB127" t="s">
        <v>134</v>
      </c>
      <c r="CC127" t="s">
        <v>134</v>
      </c>
      <c r="CD127" t="s">
        <v>134</v>
      </c>
      <c r="CE127" t="s">
        <v>134</v>
      </c>
      <c r="CF127" t="s">
        <v>134</v>
      </c>
      <c r="CG127" t="s">
        <v>134</v>
      </c>
      <c r="CH127" t="s">
        <v>134</v>
      </c>
      <c r="CI127" t="s">
        <v>134</v>
      </c>
      <c r="CJ127" t="s">
        <v>134</v>
      </c>
      <c r="CK127" t="s">
        <v>134</v>
      </c>
      <c r="CL127" t="s">
        <v>134</v>
      </c>
      <c r="CM127" t="s">
        <v>134</v>
      </c>
      <c r="CN127" t="s">
        <v>134</v>
      </c>
      <c r="CO127" t="s">
        <v>134</v>
      </c>
      <c r="CP127" t="s">
        <v>134</v>
      </c>
      <c r="CQ127" t="s">
        <v>134</v>
      </c>
      <c r="CR127" t="s">
        <v>134</v>
      </c>
      <c r="CS127" t="s">
        <v>134</v>
      </c>
      <c r="CT127" t="s">
        <v>134</v>
      </c>
      <c r="CU127" t="s">
        <v>134</v>
      </c>
      <c r="CV127" t="s">
        <v>134</v>
      </c>
      <c r="CW127" t="s">
        <v>134</v>
      </c>
      <c r="CX127" t="s">
        <v>134</v>
      </c>
      <c r="CY127" t="s">
        <v>134</v>
      </c>
      <c r="CZ127" t="s">
        <v>134</v>
      </c>
      <c r="DA127" t="s">
        <v>134</v>
      </c>
      <c r="DB127" t="s">
        <v>134</v>
      </c>
      <c r="DC127" t="s">
        <v>134</v>
      </c>
      <c r="DD127" t="s">
        <v>134</v>
      </c>
      <c r="DE127" t="s">
        <v>134</v>
      </c>
      <c r="DF127" t="s">
        <v>134</v>
      </c>
      <c r="DG127" t="s">
        <v>134</v>
      </c>
      <c r="DH127" t="s">
        <v>134</v>
      </c>
      <c r="DI127" t="s">
        <v>134</v>
      </c>
    </row>
    <row r="128" spans="1:113" x14ac:dyDescent="0.3">
      <c r="A128">
        <v>56</v>
      </c>
      <c r="B128" t="s">
        <v>20</v>
      </c>
      <c r="C128" t="s">
        <v>21</v>
      </c>
      <c r="D128" t="s">
        <v>2</v>
      </c>
      <c r="E128" t="s">
        <v>3</v>
      </c>
      <c r="F128">
        <v>2.2179000000000002</v>
      </c>
      <c r="G128">
        <v>0.66769999999999996</v>
      </c>
      <c r="H128">
        <v>2.5720000000000001</v>
      </c>
      <c r="I128">
        <v>3.4712000000000001</v>
      </c>
      <c r="J128">
        <v>17.894400000000001</v>
      </c>
      <c r="K128">
        <v>11.6808</v>
      </c>
      <c r="L128">
        <v>13.193</v>
      </c>
      <c r="M128">
        <v>2.5537999999999998</v>
      </c>
      <c r="N128">
        <v>0.75749999999999995</v>
      </c>
      <c r="O128">
        <v>0.88239999999999996</v>
      </c>
      <c r="P128">
        <v>0.82789999999999997</v>
      </c>
      <c r="Q128">
        <v>70.339799999999997</v>
      </c>
      <c r="R128">
        <v>64.770700000000005</v>
      </c>
      <c r="S128">
        <v>0.78139999999999998</v>
      </c>
      <c r="T128">
        <v>34.048900000000003</v>
      </c>
      <c r="U128">
        <v>40.9221</v>
      </c>
      <c r="V128">
        <v>40.230499999999999</v>
      </c>
      <c r="W128">
        <v>-54.657200000000003</v>
      </c>
      <c r="X128">
        <v>-58.607300000000002</v>
      </c>
      <c r="Y128">
        <v>10</v>
      </c>
      <c r="Z128">
        <v>8.8377999999999997</v>
      </c>
      <c r="AA128">
        <v>48.403599999999997</v>
      </c>
      <c r="AB128">
        <v>39.572400000000002</v>
      </c>
      <c r="AC128">
        <v>34.492600000000003</v>
      </c>
      <c r="AD128">
        <v>52.76</v>
      </c>
      <c r="AE128">
        <v>-52.843499999999999</v>
      </c>
      <c r="AF128">
        <v>14.1251</v>
      </c>
      <c r="AG128">
        <v>96.4893</v>
      </c>
      <c r="AH128">
        <v>62.036200000000001</v>
      </c>
      <c r="AI128">
        <v>26.021799999999999</v>
      </c>
      <c r="AJ128">
        <v>45.933700000000002</v>
      </c>
      <c r="AK128">
        <v>14.5299</v>
      </c>
      <c r="AL128">
        <v>-94.5946</v>
      </c>
      <c r="AM128">
        <v>26.304200000000002</v>
      </c>
      <c r="AN128">
        <v>22.980599999999999</v>
      </c>
      <c r="AO128">
        <v>21.433900000000001</v>
      </c>
      <c r="AP128">
        <v>11.5128</v>
      </c>
      <c r="AQ128">
        <v>6.1394000000000002</v>
      </c>
      <c r="AR128">
        <v>61.539400000000001</v>
      </c>
      <c r="AS128" t="s">
        <v>134</v>
      </c>
      <c r="AT128">
        <v>22.764800000000001</v>
      </c>
      <c r="AU128">
        <v>14.4244</v>
      </c>
      <c r="AV128">
        <v>17.741399999999999</v>
      </c>
      <c r="AW128" t="s">
        <v>134</v>
      </c>
      <c r="AX128" t="s">
        <v>134</v>
      </c>
      <c r="AY128" t="s">
        <v>134</v>
      </c>
      <c r="AZ128" t="s">
        <v>134</v>
      </c>
      <c r="BA128">
        <v>16.2561</v>
      </c>
      <c r="BB128">
        <v>22.306000000000001</v>
      </c>
      <c r="BC128">
        <v>18.378900000000002</v>
      </c>
      <c r="BD128">
        <v>15.991199999999999</v>
      </c>
      <c r="BE128">
        <v>-42.094700000000003</v>
      </c>
      <c r="BF128">
        <v>34.048900000000003</v>
      </c>
      <c r="BG128">
        <v>40.9221</v>
      </c>
      <c r="BH128">
        <v>40.230499999999999</v>
      </c>
      <c r="BI128">
        <v>-54.657200000000003</v>
      </c>
      <c r="BJ128">
        <v>-58.607300000000002</v>
      </c>
      <c r="BK128">
        <v>10</v>
      </c>
      <c r="BL128">
        <v>8.8377999999999997</v>
      </c>
      <c r="BM128">
        <v>48.403599999999997</v>
      </c>
      <c r="BN128">
        <v>39.572400000000002</v>
      </c>
      <c r="BO128">
        <v>34.492600000000003</v>
      </c>
      <c r="BP128" t="s">
        <v>134</v>
      </c>
      <c r="BQ128" t="s">
        <v>134</v>
      </c>
      <c r="BR128">
        <v>14.1251</v>
      </c>
      <c r="BS128">
        <v>96.4893</v>
      </c>
      <c r="BT128">
        <v>62.036200000000001</v>
      </c>
      <c r="BU128">
        <v>26.021799999999999</v>
      </c>
      <c r="BV128">
        <v>45.933700000000002</v>
      </c>
      <c r="BW128">
        <v>14.5299</v>
      </c>
      <c r="BX128">
        <v>-94.5946</v>
      </c>
      <c r="BY128">
        <v>351465.5</v>
      </c>
      <c r="BZ128">
        <v>84439.3</v>
      </c>
      <c r="CA128">
        <v>267026.2</v>
      </c>
      <c r="CB128">
        <v>3.8346999999999998</v>
      </c>
      <c r="CC128">
        <v>3.7549000000000001</v>
      </c>
      <c r="CD128">
        <v>5.8745000000000003</v>
      </c>
      <c r="CE128">
        <v>5.7523999999999997</v>
      </c>
      <c r="CF128">
        <v>3.2389999999999999</v>
      </c>
      <c r="CG128">
        <v>27.271899999999999</v>
      </c>
      <c r="CH128">
        <v>120.7971</v>
      </c>
      <c r="CI128">
        <v>46.640599999999999</v>
      </c>
      <c r="CJ128">
        <v>34.392899999999997</v>
      </c>
      <c r="CK128">
        <v>158.9957</v>
      </c>
      <c r="CL128">
        <v>61.389299999999999</v>
      </c>
      <c r="CM128">
        <v>45.268700000000003</v>
      </c>
      <c r="CN128">
        <v>155.68889999999999</v>
      </c>
      <c r="CO128">
        <v>60.89</v>
      </c>
      <c r="CP128">
        <v>91654.6</v>
      </c>
      <c r="CQ128">
        <v>34026.1</v>
      </c>
      <c r="CR128">
        <v>59828.5</v>
      </c>
      <c r="CS128">
        <v>2.8400000000000002E-2</v>
      </c>
      <c r="CT128">
        <v>0.60029999999999994</v>
      </c>
      <c r="CU128">
        <v>0.11749999999999999</v>
      </c>
      <c r="CV128">
        <v>1.0630999999999999</v>
      </c>
      <c r="CW128">
        <v>23.288399999999999</v>
      </c>
      <c r="CX128">
        <v>15.6731</v>
      </c>
      <c r="CY128">
        <v>3.3999999999999998E-3</v>
      </c>
      <c r="CZ128">
        <v>106461.06299999999</v>
      </c>
      <c r="DA128">
        <v>0.2445</v>
      </c>
      <c r="DB128">
        <v>1492.9395999999999</v>
      </c>
      <c r="DC128">
        <v>104983.7965</v>
      </c>
      <c r="DD128">
        <v>106476.73609999999</v>
      </c>
      <c r="DE128">
        <v>81551.199999999997</v>
      </c>
      <c r="DF128">
        <v>35732</v>
      </c>
      <c r="DG128">
        <v>5932.4</v>
      </c>
      <c r="DH128">
        <v>28111.3</v>
      </c>
      <c r="DI128">
        <v>11775.5</v>
      </c>
    </row>
    <row r="129" spans="4:113" x14ac:dyDescent="0.3">
      <c r="E129" t="s">
        <v>4</v>
      </c>
      <c r="F129" t="s">
        <v>134</v>
      </c>
      <c r="G129" t="s">
        <v>134</v>
      </c>
      <c r="H129" t="s">
        <v>134</v>
      </c>
      <c r="I129" t="s">
        <v>134</v>
      </c>
      <c r="J129">
        <v>18.533000000000001</v>
      </c>
      <c r="K129">
        <v>11.133800000000001</v>
      </c>
      <c r="L129" t="s">
        <v>134</v>
      </c>
      <c r="M129">
        <v>-4.2538</v>
      </c>
      <c r="N129">
        <v>-3.8988</v>
      </c>
      <c r="O129">
        <v>-3.7650999999999999</v>
      </c>
      <c r="P129">
        <v>-3.7650999999999999</v>
      </c>
      <c r="Q129" t="s">
        <v>134</v>
      </c>
      <c r="R129" t="s">
        <v>134</v>
      </c>
      <c r="S129" t="s">
        <v>134</v>
      </c>
      <c r="T129">
        <v>2.4150999999999998</v>
      </c>
      <c r="U129">
        <v>-1.5201</v>
      </c>
      <c r="V129">
        <v>-17.889099999999999</v>
      </c>
      <c r="W129" t="s">
        <v>134</v>
      </c>
      <c r="X129" t="s">
        <v>134</v>
      </c>
      <c r="Y129" t="s">
        <v>134</v>
      </c>
      <c r="Z129" t="s">
        <v>134</v>
      </c>
      <c r="AA129" t="s">
        <v>134</v>
      </c>
      <c r="AB129" t="s">
        <v>134</v>
      </c>
      <c r="AC129" t="s">
        <v>134</v>
      </c>
      <c r="AD129" t="s">
        <v>134</v>
      </c>
      <c r="AE129" t="s">
        <v>134</v>
      </c>
      <c r="AF129" t="s">
        <v>134</v>
      </c>
      <c r="AG129" t="s">
        <v>134</v>
      </c>
      <c r="AH129" t="s">
        <v>134</v>
      </c>
      <c r="AI129" t="s">
        <v>134</v>
      </c>
      <c r="AJ129" t="s">
        <v>134</v>
      </c>
      <c r="AK129" t="s">
        <v>134</v>
      </c>
      <c r="AL129" t="s">
        <v>134</v>
      </c>
      <c r="AM129">
        <v>17.876000000000001</v>
      </c>
      <c r="AN129">
        <v>17.501200000000001</v>
      </c>
      <c r="AO129">
        <v>12.764900000000001</v>
      </c>
      <c r="AP129" t="s">
        <v>134</v>
      </c>
      <c r="AQ129" t="s">
        <v>134</v>
      </c>
      <c r="AR129" t="s">
        <v>134</v>
      </c>
      <c r="AS129" t="s">
        <v>134</v>
      </c>
      <c r="AT129" t="s">
        <v>134</v>
      </c>
      <c r="AU129" t="s">
        <v>134</v>
      </c>
      <c r="AV129" t="s">
        <v>134</v>
      </c>
      <c r="AW129" t="s">
        <v>134</v>
      </c>
      <c r="AX129" t="s">
        <v>134</v>
      </c>
      <c r="AY129" t="s">
        <v>134</v>
      </c>
      <c r="AZ129" t="s">
        <v>134</v>
      </c>
      <c r="BA129" t="s">
        <v>134</v>
      </c>
      <c r="BB129" t="s">
        <v>134</v>
      </c>
      <c r="BC129" t="s">
        <v>134</v>
      </c>
      <c r="BD129" t="s">
        <v>134</v>
      </c>
      <c r="BE129" t="s">
        <v>134</v>
      </c>
      <c r="BF129">
        <v>2.9394</v>
      </c>
      <c r="BG129">
        <v>11.4382</v>
      </c>
      <c r="BH129">
        <v>3.4087999999999998</v>
      </c>
      <c r="BI129">
        <v>-229.0325</v>
      </c>
      <c r="BJ129">
        <v>-225.041</v>
      </c>
      <c r="BK129" t="s">
        <v>134</v>
      </c>
      <c r="BL129" t="s">
        <v>134</v>
      </c>
      <c r="BM129" t="s">
        <v>134</v>
      </c>
      <c r="BN129" t="s">
        <v>134</v>
      </c>
      <c r="BO129" t="s">
        <v>134</v>
      </c>
      <c r="BP129" t="s">
        <v>134</v>
      </c>
      <c r="BQ129" t="s">
        <v>134</v>
      </c>
      <c r="BR129" t="s">
        <v>134</v>
      </c>
      <c r="BS129" t="s">
        <v>134</v>
      </c>
      <c r="BT129" t="s">
        <v>134</v>
      </c>
      <c r="BU129" t="s">
        <v>134</v>
      </c>
      <c r="BV129" t="s">
        <v>134</v>
      </c>
      <c r="BW129" t="s">
        <v>134</v>
      </c>
      <c r="BX129" t="s">
        <v>134</v>
      </c>
      <c r="BY129" t="s">
        <v>134</v>
      </c>
      <c r="BZ129" t="s">
        <v>134</v>
      </c>
      <c r="CA129" t="s">
        <v>134</v>
      </c>
      <c r="CB129" t="s">
        <v>134</v>
      </c>
      <c r="CC129" t="s">
        <v>134</v>
      </c>
      <c r="CD129" t="s">
        <v>134</v>
      </c>
      <c r="CE129" t="s">
        <v>134</v>
      </c>
      <c r="CF129" t="s">
        <v>134</v>
      </c>
      <c r="CG129" t="s">
        <v>134</v>
      </c>
      <c r="CH129" t="s">
        <v>134</v>
      </c>
      <c r="CI129" t="s">
        <v>134</v>
      </c>
      <c r="CJ129" t="s">
        <v>134</v>
      </c>
      <c r="CK129" t="s">
        <v>134</v>
      </c>
      <c r="CL129" t="s">
        <v>134</v>
      </c>
      <c r="CM129" t="s">
        <v>134</v>
      </c>
      <c r="CN129" t="s">
        <v>134</v>
      </c>
      <c r="CO129" t="s">
        <v>134</v>
      </c>
      <c r="CP129">
        <v>18794.5</v>
      </c>
      <c r="CQ129" t="s">
        <v>134</v>
      </c>
      <c r="CR129">
        <v>11290.9</v>
      </c>
      <c r="CS129" t="s">
        <v>134</v>
      </c>
      <c r="CT129" t="s">
        <v>134</v>
      </c>
      <c r="CU129" t="s">
        <v>134</v>
      </c>
      <c r="CV129" t="s">
        <v>134</v>
      </c>
      <c r="CW129" t="s">
        <v>134</v>
      </c>
      <c r="CX129" t="s">
        <v>134</v>
      </c>
      <c r="CY129" t="s">
        <v>134</v>
      </c>
      <c r="CZ129" t="s">
        <v>134</v>
      </c>
      <c r="DA129" t="s">
        <v>134</v>
      </c>
      <c r="DB129" t="s">
        <v>134</v>
      </c>
      <c r="DC129" t="s">
        <v>134</v>
      </c>
      <c r="DD129" t="s">
        <v>134</v>
      </c>
      <c r="DE129" t="s">
        <v>134</v>
      </c>
      <c r="DF129" t="s">
        <v>134</v>
      </c>
      <c r="DG129" t="s">
        <v>134</v>
      </c>
      <c r="DH129" t="s">
        <v>134</v>
      </c>
      <c r="DI129" t="s">
        <v>134</v>
      </c>
    </row>
    <row r="130" spans="4:113" x14ac:dyDescent="0.3">
      <c r="E130" t="s">
        <v>5</v>
      </c>
      <c r="F130">
        <v>-1.4330000000000001</v>
      </c>
      <c r="G130">
        <v>-0.41520000000000001</v>
      </c>
      <c r="H130" t="s">
        <v>134</v>
      </c>
      <c r="I130">
        <v>-0.1986</v>
      </c>
      <c r="J130">
        <v>18.349</v>
      </c>
      <c r="K130">
        <v>12.077400000000001</v>
      </c>
      <c r="L130">
        <v>16.890899999999998</v>
      </c>
      <c r="M130">
        <v>-8.4900000000000003E-2</v>
      </c>
      <c r="N130">
        <v>-0.9849</v>
      </c>
      <c r="O130">
        <v>-0.90300000000000002</v>
      </c>
      <c r="P130">
        <v>-0.90300000000000002</v>
      </c>
      <c r="Q130" t="s">
        <v>134</v>
      </c>
      <c r="R130" t="s">
        <v>134</v>
      </c>
      <c r="S130" t="s">
        <v>134</v>
      </c>
      <c r="T130">
        <v>35.049500000000002</v>
      </c>
      <c r="U130">
        <v>53.336100000000002</v>
      </c>
      <c r="V130">
        <v>56.977600000000002</v>
      </c>
      <c r="W130" t="s">
        <v>134</v>
      </c>
      <c r="X130" t="s">
        <v>134</v>
      </c>
      <c r="Y130" t="s">
        <v>134</v>
      </c>
      <c r="Z130" t="s">
        <v>134</v>
      </c>
      <c r="AA130">
        <v>16.212199999999999</v>
      </c>
      <c r="AB130">
        <v>44.754199999999997</v>
      </c>
      <c r="AC130">
        <v>33.861800000000002</v>
      </c>
      <c r="AD130" t="s">
        <v>134</v>
      </c>
      <c r="AE130">
        <v>-95.820400000000006</v>
      </c>
      <c r="AF130" t="s">
        <v>134</v>
      </c>
      <c r="AG130">
        <v>99.956800000000001</v>
      </c>
      <c r="AH130">
        <v>62.028700000000001</v>
      </c>
      <c r="AI130">
        <v>19.708400000000001</v>
      </c>
      <c r="AJ130">
        <v>40.671100000000003</v>
      </c>
      <c r="AK130">
        <v>10.872</v>
      </c>
      <c r="AL130" t="s">
        <v>134</v>
      </c>
      <c r="AM130">
        <v>22.486000000000001</v>
      </c>
      <c r="AN130">
        <v>14.3773</v>
      </c>
      <c r="AO130">
        <v>9.9320000000000004</v>
      </c>
      <c r="AP130" t="s">
        <v>134</v>
      </c>
      <c r="AQ130" t="s">
        <v>134</v>
      </c>
      <c r="AR130" t="s">
        <v>134</v>
      </c>
      <c r="AS130" t="s">
        <v>134</v>
      </c>
      <c r="AT130" t="s">
        <v>134</v>
      </c>
      <c r="AU130" t="s">
        <v>134</v>
      </c>
      <c r="AV130" t="s">
        <v>134</v>
      </c>
      <c r="AW130" t="s">
        <v>134</v>
      </c>
      <c r="AX130" t="s">
        <v>134</v>
      </c>
      <c r="AY130" t="s">
        <v>134</v>
      </c>
      <c r="AZ130" t="s">
        <v>134</v>
      </c>
      <c r="BA130" t="s">
        <v>134</v>
      </c>
      <c r="BB130" t="s">
        <v>134</v>
      </c>
      <c r="BC130" t="s">
        <v>134</v>
      </c>
      <c r="BD130" t="s">
        <v>134</v>
      </c>
      <c r="BE130" t="s">
        <v>134</v>
      </c>
      <c r="BF130">
        <v>26.181899999999999</v>
      </c>
      <c r="BG130">
        <v>24.929600000000001</v>
      </c>
      <c r="BH130">
        <v>36.876600000000003</v>
      </c>
      <c r="BI130" t="s">
        <v>134</v>
      </c>
      <c r="BJ130" t="s">
        <v>134</v>
      </c>
      <c r="BK130" t="s">
        <v>134</v>
      </c>
      <c r="BL130" t="s">
        <v>134</v>
      </c>
      <c r="BM130" t="s">
        <v>134</v>
      </c>
      <c r="BN130" t="s">
        <v>134</v>
      </c>
      <c r="BO130" t="s">
        <v>134</v>
      </c>
      <c r="BP130" t="s">
        <v>134</v>
      </c>
      <c r="BQ130" t="s">
        <v>134</v>
      </c>
      <c r="BR130" t="s">
        <v>134</v>
      </c>
      <c r="BS130" t="s">
        <v>134</v>
      </c>
      <c r="BT130" t="s">
        <v>134</v>
      </c>
      <c r="BU130" t="s">
        <v>134</v>
      </c>
      <c r="BV130" t="s">
        <v>134</v>
      </c>
      <c r="BW130" t="s">
        <v>134</v>
      </c>
      <c r="BX130" t="s">
        <v>134</v>
      </c>
      <c r="BY130">
        <v>281067.7</v>
      </c>
      <c r="BZ130">
        <v>43941.5</v>
      </c>
      <c r="CA130">
        <v>237126.2</v>
      </c>
      <c r="CB130">
        <v>3.8795000000000002</v>
      </c>
      <c r="CC130">
        <v>3.7281</v>
      </c>
      <c r="CD130">
        <v>6.1980000000000004</v>
      </c>
      <c r="CE130">
        <v>5.9562999999999997</v>
      </c>
      <c r="CF130" t="s">
        <v>134</v>
      </c>
      <c r="CG130">
        <v>27.6204</v>
      </c>
      <c r="CH130">
        <v>112.0804</v>
      </c>
      <c r="CI130">
        <v>48.1342</v>
      </c>
      <c r="CJ130">
        <v>31.254100000000001</v>
      </c>
      <c r="CK130">
        <v>132.84979999999999</v>
      </c>
      <c r="CL130">
        <v>57.053899999999999</v>
      </c>
      <c r="CM130">
        <v>37.0458</v>
      </c>
      <c r="CN130">
        <v>127.6678</v>
      </c>
      <c r="CO130">
        <v>56.0764</v>
      </c>
      <c r="CP130">
        <v>23479.9</v>
      </c>
      <c r="CQ130" t="s">
        <v>134</v>
      </c>
      <c r="CR130">
        <v>15454.6</v>
      </c>
      <c r="CS130">
        <v>3.8300000000000001E-2</v>
      </c>
      <c r="CT130">
        <v>0.53900000000000003</v>
      </c>
      <c r="CU130">
        <v>3.8300000000000001E-2</v>
      </c>
      <c r="CV130">
        <v>1.1179999999999999</v>
      </c>
      <c r="CW130" t="s">
        <v>134</v>
      </c>
      <c r="CX130" t="s">
        <v>134</v>
      </c>
      <c r="CY130">
        <v>3.516</v>
      </c>
      <c r="CZ130">
        <v>103.8113</v>
      </c>
      <c r="DA130" t="s">
        <v>134</v>
      </c>
      <c r="DB130" t="s">
        <v>134</v>
      </c>
      <c r="DC130" t="s">
        <v>134</v>
      </c>
      <c r="DD130" t="s">
        <v>134</v>
      </c>
      <c r="DE130">
        <v>77924.800000000003</v>
      </c>
      <c r="DF130" t="s">
        <v>134</v>
      </c>
      <c r="DG130" t="s">
        <v>134</v>
      </c>
      <c r="DH130" t="s">
        <v>134</v>
      </c>
      <c r="DI130" t="s">
        <v>134</v>
      </c>
    </row>
    <row r="131" spans="4:113" x14ac:dyDescent="0.3">
      <c r="E131" t="s">
        <v>6</v>
      </c>
      <c r="F131" t="s">
        <v>134</v>
      </c>
      <c r="G131" t="s">
        <v>134</v>
      </c>
      <c r="H131" t="s">
        <v>134</v>
      </c>
      <c r="I131" t="s">
        <v>134</v>
      </c>
      <c r="J131">
        <v>18.003</v>
      </c>
      <c r="K131">
        <v>11.982099999999999</v>
      </c>
      <c r="L131">
        <v>18.490300000000001</v>
      </c>
      <c r="M131">
        <v>6.1921999999999997</v>
      </c>
      <c r="N131">
        <v>3.4165000000000001</v>
      </c>
      <c r="O131">
        <v>3.4855999999999998</v>
      </c>
      <c r="P131">
        <v>3.4855999999999998</v>
      </c>
      <c r="Q131">
        <v>45.094799999999999</v>
      </c>
      <c r="R131" t="s">
        <v>134</v>
      </c>
      <c r="S131" t="s">
        <v>134</v>
      </c>
      <c r="T131">
        <v>50.948300000000003</v>
      </c>
      <c r="U131">
        <v>81.017099999999999</v>
      </c>
      <c r="V131">
        <v>108.7028</v>
      </c>
      <c r="W131" t="s">
        <v>134</v>
      </c>
      <c r="X131" t="s">
        <v>134</v>
      </c>
      <c r="Y131" t="s">
        <v>134</v>
      </c>
      <c r="Z131" t="s">
        <v>134</v>
      </c>
      <c r="AA131" t="s">
        <v>134</v>
      </c>
      <c r="AB131" t="s">
        <v>134</v>
      </c>
      <c r="AC131" t="s">
        <v>134</v>
      </c>
      <c r="AD131" t="s">
        <v>134</v>
      </c>
      <c r="AE131" t="s">
        <v>134</v>
      </c>
      <c r="AF131" t="s">
        <v>134</v>
      </c>
      <c r="AG131" t="s">
        <v>134</v>
      </c>
      <c r="AH131" t="s">
        <v>134</v>
      </c>
      <c r="AI131" t="s">
        <v>134</v>
      </c>
      <c r="AJ131" t="s">
        <v>134</v>
      </c>
      <c r="AK131" t="s">
        <v>134</v>
      </c>
      <c r="AL131" t="s">
        <v>134</v>
      </c>
      <c r="AM131">
        <v>32.566299999999998</v>
      </c>
      <c r="AN131">
        <v>36.708199999999998</v>
      </c>
      <c r="AO131">
        <v>45.513500000000001</v>
      </c>
      <c r="AP131" t="s">
        <v>134</v>
      </c>
      <c r="AQ131" t="s">
        <v>134</v>
      </c>
      <c r="AR131" t="s">
        <v>134</v>
      </c>
      <c r="AS131" t="s">
        <v>134</v>
      </c>
      <c r="AT131" t="s">
        <v>134</v>
      </c>
      <c r="AU131" t="s">
        <v>134</v>
      </c>
      <c r="AV131" t="s">
        <v>134</v>
      </c>
      <c r="AW131" t="s">
        <v>134</v>
      </c>
      <c r="AX131" t="s">
        <v>134</v>
      </c>
      <c r="AY131" t="s">
        <v>134</v>
      </c>
      <c r="AZ131" t="s">
        <v>134</v>
      </c>
      <c r="BA131" t="s">
        <v>134</v>
      </c>
      <c r="BB131" t="s">
        <v>134</v>
      </c>
      <c r="BC131" t="s">
        <v>134</v>
      </c>
      <c r="BD131" t="s">
        <v>134</v>
      </c>
      <c r="BE131" t="s">
        <v>134</v>
      </c>
      <c r="BF131">
        <v>4.5881999999999996</v>
      </c>
      <c r="BG131">
        <v>2.6158999999999999</v>
      </c>
      <c r="BH131">
        <v>3.7625999999999999</v>
      </c>
      <c r="BI131" t="s">
        <v>134</v>
      </c>
      <c r="BJ131" t="s">
        <v>134</v>
      </c>
      <c r="BK131" t="s">
        <v>134</v>
      </c>
      <c r="BL131" t="s">
        <v>134</v>
      </c>
      <c r="BM131" t="s">
        <v>134</v>
      </c>
      <c r="BN131" t="s">
        <v>134</v>
      </c>
      <c r="BO131" t="s">
        <v>134</v>
      </c>
      <c r="BP131" t="s">
        <v>134</v>
      </c>
      <c r="BQ131" t="s">
        <v>134</v>
      </c>
      <c r="BR131" t="s">
        <v>134</v>
      </c>
      <c r="BS131" t="s">
        <v>134</v>
      </c>
      <c r="BT131" t="s">
        <v>134</v>
      </c>
      <c r="BU131" t="s">
        <v>134</v>
      </c>
      <c r="BV131" t="s">
        <v>134</v>
      </c>
      <c r="BW131" t="s">
        <v>134</v>
      </c>
      <c r="BX131" t="s">
        <v>134</v>
      </c>
      <c r="BY131" t="s">
        <v>134</v>
      </c>
      <c r="BZ131" t="s">
        <v>134</v>
      </c>
      <c r="CA131" t="s">
        <v>134</v>
      </c>
      <c r="CB131" t="s">
        <v>134</v>
      </c>
      <c r="CC131" t="s">
        <v>134</v>
      </c>
      <c r="CD131" t="s">
        <v>134</v>
      </c>
      <c r="CE131" t="s">
        <v>134</v>
      </c>
      <c r="CF131" t="s">
        <v>134</v>
      </c>
      <c r="CG131" t="s">
        <v>134</v>
      </c>
      <c r="CH131" t="s">
        <v>134</v>
      </c>
      <c r="CI131" t="s">
        <v>134</v>
      </c>
      <c r="CJ131" t="s">
        <v>134</v>
      </c>
      <c r="CK131" t="s">
        <v>134</v>
      </c>
      <c r="CL131" t="s">
        <v>134</v>
      </c>
      <c r="CM131" t="s">
        <v>134</v>
      </c>
      <c r="CN131" t="s">
        <v>134</v>
      </c>
      <c r="CO131" t="s">
        <v>134</v>
      </c>
      <c r="CP131">
        <v>24094.1</v>
      </c>
      <c r="CQ131" t="s">
        <v>134</v>
      </c>
      <c r="CR131">
        <v>16036.1</v>
      </c>
      <c r="CS131" t="s">
        <v>134</v>
      </c>
      <c r="CT131" t="s">
        <v>134</v>
      </c>
      <c r="CU131" t="s">
        <v>134</v>
      </c>
      <c r="CV131" t="s">
        <v>134</v>
      </c>
      <c r="CW131" t="s">
        <v>134</v>
      </c>
      <c r="CX131" t="s">
        <v>134</v>
      </c>
      <c r="CY131" t="s">
        <v>134</v>
      </c>
      <c r="CZ131" t="s">
        <v>134</v>
      </c>
      <c r="DA131" t="s">
        <v>134</v>
      </c>
      <c r="DB131" t="s">
        <v>134</v>
      </c>
      <c r="DC131" t="s">
        <v>134</v>
      </c>
      <c r="DD131" t="s">
        <v>134</v>
      </c>
      <c r="DE131" t="s">
        <v>134</v>
      </c>
      <c r="DF131" t="s">
        <v>134</v>
      </c>
      <c r="DG131" t="s">
        <v>134</v>
      </c>
      <c r="DH131" t="s">
        <v>134</v>
      </c>
      <c r="DI131" t="s">
        <v>134</v>
      </c>
    </row>
    <row r="132" spans="4:113" x14ac:dyDescent="0.3">
      <c r="E132" t="s">
        <v>7</v>
      </c>
      <c r="F132">
        <v>2.3637999999999999</v>
      </c>
      <c r="G132">
        <v>0.66769999999999996</v>
      </c>
      <c r="H132" t="s">
        <v>134</v>
      </c>
      <c r="I132">
        <v>1.2142999999999999</v>
      </c>
      <c r="J132">
        <v>16.1435</v>
      </c>
      <c r="K132">
        <v>10.2951</v>
      </c>
      <c r="L132">
        <v>8.4625000000000004</v>
      </c>
      <c r="M132">
        <v>6.5415000000000001</v>
      </c>
      <c r="N132">
        <v>3.3054999999999999</v>
      </c>
      <c r="O132">
        <v>3.4272</v>
      </c>
      <c r="P132">
        <v>3.4272</v>
      </c>
      <c r="Q132">
        <v>49.858899999999998</v>
      </c>
      <c r="R132" t="s">
        <v>134</v>
      </c>
      <c r="S132" t="s">
        <v>134</v>
      </c>
      <c r="T132">
        <v>43.004100000000001</v>
      </c>
      <c r="U132">
        <v>34.8506</v>
      </c>
      <c r="V132">
        <v>32.8354</v>
      </c>
      <c r="W132">
        <v>63.167900000000003</v>
      </c>
      <c r="X132">
        <v>54.837200000000003</v>
      </c>
      <c r="Y132" t="s">
        <v>134</v>
      </c>
      <c r="Z132">
        <v>8.8377999999999997</v>
      </c>
      <c r="AA132">
        <v>48.403599999999997</v>
      </c>
      <c r="AB132">
        <v>39.572400000000002</v>
      </c>
      <c r="AC132">
        <v>34.492600000000003</v>
      </c>
      <c r="AD132">
        <v>52.76</v>
      </c>
      <c r="AE132">
        <v>-52.843499999999999</v>
      </c>
      <c r="AF132">
        <v>14.1251</v>
      </c>
      <c r="AG132">
        <v>96.4893</v>
      </c>
      <c r="AH132">
        <v>62.036200000000001</v>
      </c>
      <c r="AI132">
        <v>26.021799999999999</v>
      </c>
      <c r="AJ132">
        <v>45.933700000000002</v>
      </c>
      <c r="AK132">
        <v>14.5299</v>
      </c>
      <c r="AL132" t="s">
        <v>134</v>
      </c>
      <c r="AM132">
        <v>31.606200000000001</v>
      </c>
      <c r="AN132">
        <v>57.328000000000003</v>
      </c>
      <c r="AO132" t="s">
        <v>134</v>
      </c>
      <c r="AP132" t="s">
        <v>134</v>
      </c>
      <c r="AQ132" t="s">
        <v>134</v>
      </c>
      <c r="AR132" t="s">
        <v>134</v>
      </c>
      <c r="AS132" t="s">
        <v>134</v>
      </c>
      <c r="AT132" t="s">
        <v>134</v>
      </c>
      <c r="AU132" t="s">
        <v>134</v>
      </c>
      <c r="AV132" t="s">
        <v>134</v>
      </c>
      <c r="AW132" t="s">
        <v>134</v>
      </c>
      <c r="AX132" t="s">
        <v>134</v>
      </c>
      <c r="AY132" t="s">
        <v>134</v>
      </c>
      <c r="AZ132" t="s">
        <v>134</v>
      </c>
      <c r="BA132" t="s">
        <v>134</v>
      </c>
      <c r="BB132" t="s">
        <v>134</v>
      </c>
      <c r="BC132" t="s">
        <v>134</v>
      </c>
      <c r="BD132" t="s">
        <v>134</v>
      </c>
      <c r="BE132" t="s">
        <v>134</v>
      </c>
      <c r="BF132">
        <v>5.2656999999999998</v>
      </c>
      <c r="BG132">
        <v>-5.6071999999999997</v>
      </c>
      <c r="BH132">
        <v>-9.5547000000000004</v>
      </c>
      <c r="BI132">
        <v>3.5028000000000001</v>
      </c>
      <c r="BJ132">
        <v>3.4922</v>
      </c>
      <c r="BK132" t="s">
        <v>134</v>
      </c>
      <c r="BL132" t="s">
        <v>134</v>
      </c>
      <c r="BM132" t="s">
        <v>134</v>
      </c>
      <c r="BN132" t="s">
        <v>134</v>
      </c>
      <c r="BO132" t="s">
        <v>134</v>
      </c>
      <c r="BP132" t="s">
        <v>134</v>
      </c>
      <c r="BQ132" t="s">
        <v>134</v>
      </c>
      <c r="BR132" t="s">
        <v>134</v>
      </c>
      <c r="BS132" t="s">
        <v>134</v>
      </c>
      <c r="BT132" t="s">
        <v>134</v>
      </c>
      <c r="BU132" t="s">
        <v>134</v>
      </c>
      <c r="BV132" t="s">
        <v>134</v>
      </c>
      <c r="BW132" t="s">
        <v>134</v>
      </c>
      <c r="BX132" t="s">
        <v>134</v>
      </c>
      <c r="BY132">
        <v>351465.5</v>
      </c>
      <c r="BZ132">
        <v>84439.3</v>
      </c>
      <c r="CA132">
        <v>267026.2</v>
      </c>
      <c r="CB132">
        <v>3.9441000000000002</v>
      </c>
      <c r="CC132">
        <v>3.8620999999999999</v>
      </c>
      <c r="CD132">
        <v>6.1353</v>
      </c>
      <c r="CE132">
        <v>6.0076999999999998</v>
      </c>
      <c r="CF132">
        <v>2.9001000000000001</v>
      </c>
      <c r="CG132">
        <v>27.271899999999999</v>
      </c>
      <c r="CH132">
        <v>120.7971</v>
      </c>
      <c r="CI132">
        <v>46.640599999999999</v>
      </c>
      <c r="CJ132">
        <v>34.392899999999997</v>
      </c>
      <c r="CK132">
        <v>158.9957</v>
      </c>
      <c r="CL132">
        <v>61.389299999999999</v>
      </c>
      <c r="CM132">
        <v>45.268700000000003</v>
      </c>
      <c r="CN132">
        <v>155.68889999999999</v>
      </c>
      <c r="CO132">
        <v>60.89</v>
      </c>
      <c r="CP132">
        <v>22743.1</v>
      </c>
      <c r="CQ132" t="s">
        <v>134</v>
      </c>
      <c r="CR132">
        <v>14503.9</v>
      </c>
      <c r="CS132">
        <v>2.8400000000000002E-2</v>
      </c>
      <c r="CT132">
        <v>0.60029999999999994</v>
      </c>
      <c r="CU132">
        <v>0.11749999999999999</v>
      </c>
      <c r="CV132">
        <v>1.0630999999999999</v>
      </c>
      <c r="CW132">
        <v>22.919699999999999</v>
      </c>
      <c r="CX132">
        <v>15.9251</v>
      </c>
      <c r="CY132">
        <v>4.4710999999999999</v>
      </c>
      <c r="CZ132">
        <v>81.636099999999999</v>
      </c>
      <c r="DA132">
        <v>3.0228000000000002</v>
      </c>
      <c r="DB132">
        <v>120.7508</v>
      </c>
      <c r="DC132">
        <v>-23.189599999999999</v>
      </c>
      <c r="DD132">
        <v>97.561199999999999</v>
      </c>
      <c r="DE132">
        <v>81551.199999999997</v>
      </c>
      <c r="DF132">
        <v>35732</v>
      </c>
      <c r="DG132">
        <v>5932.4</v>
      </c>
      <c r="DH132">
        <v>28111.3</v>
      </c>
      <c r="DI132">
        <v>11775.5</v>
      </c>
    </row>
    <row r="133" spans="4:113" x14ac:dyDescent="0.3">
      <c r="D133" t="s">
        <v>8</v>
      </c>
      <c r="E133" t="s">
        <v>3</v>
      </c>
      <c r="F133">
        <v>8.1125000000000007</v>
      </c>
      <c r="G133">
        <v>2.1968000000000001</v>
      </c>
      <c r="H133">
        <v>6.5227000000000004</v>
      </c>
      <c r="I133">
        <v>7.0366999999999997</v>
      </c>
      <c r="J133">
        <v>19.049700000000001</v>
      </c>
      <c r="K133">
        <v>12.4514</v>
      </c>
      <c r="L133">
        <v>59.9495</v>
      </c>
      <c r="M133">
        <v>4.8781999999999996</v>
      </c>
      <c r="N133">
        <v>3.3079000000000001</v>
      </c>
      <c r="O133">
        <v>3.4516</v>
      </c>
      <c r="P133">
        <v>3.3871000000000002</v>
      </c>
      <c r="Q133">
        <v>32.271500000000003</v>
      </c>
      <c r="R133">
        <v>15.081799999999999</v>
      </c>
      <c r="S133">
        <v>6.8890000000000002</v>
      </c>
      <c r="T133">
        <v>1.6223000000000001</v>
      </c>
      <c r="U133">
        <v>8.1831999999999994</v>
      </c>
      <c r="V133">
        <v>8.3262999999999998</v>
      </c>
      <c r="W133">
        <v>315.75049999999999</v>
      </c>
      <c r="X133">
        <v>320.3458</v>
      </c>
      <c r="Y133">
        <v>0</v>
      </c>
      <c r="Z133">
        <v>9.0432000000000006</v>
      </c>
      <c r="AA133">
        <v>34.995399999999997</v>
      </c>
      <c r="AB133">
        <v>7.0304000000000002</v>
      </c>
      <c r="AC133">
        <v>10.6637</v>
      </c>
      <c r="AD133">
        <v>40.573300000000003</v>
      </c>
      <c r="AE133">
        <v>37.430399999999999</v>
      </c>
      <c r="AF133">
        <v>21.8248</v>
      </c>
      <c r="AG133">
        <v>-40.268900000000002</v>
      </c>
      <c r="AH133">
        <v>10.168100000000001</v>
      </c>
      <c r="AI133">
        <v>4.7336</v>
      </c>
      <c r="AJ133">
        <v>8.0698000000000008</v>
      </c>
      <c r="AK133">
        <v>5.2694000000000001</v>
      </c>
      <c r="AL133">
        <v>1753.1855</v>
      </c>
      <c r="AM133">
        <v>22.3856</v>
      </c>
      <c r="AN133">
        <v>16.569600000000001</v>
      </c>
      <c r="AO133">
        <v>14.3971</v>
      </c>
      <c r="AP133">
        <v>2.3637000000000001</v>
      </c>
      <c r="AQ133">
        <v>-2.6215999999999999</v>
      </c>
      <c r="AR133">
        <v>2.9755000000000003</v>
      </c>
      <c r="AS133" t="s">
        <v>134</v>
      </c>
      <c r="AT133">
        <v>30.8797</v>
      </c>
      <c r="AU133">
        <v>15.566599999999999</v>
      </c>
      <c r="AV133">
        <v>19.211200000000002</v>
      </c>
      <c r="AW133" t="s">
        <v>134</v>
      </c>
      <c r="AX133" t="s">
        <v>134</v>
      </c>
      <c r="AY133" t="s">
        <v>134</v>
      </c>
      <c r="AZ133" t="s">
        <v>134</v>
      </c>
      <c r="BA133">
        <v>19.077400000000001</v>
      </c>
      <c r="BB133">
        <v>19.562100000000001</v>
      </c>
      <c r="BC133">
        <v>19.257400000000001</v>
      </c>
      <c r="BD133">
        <v>13.949199999999999</v>
      </c>
      <c r="BE133">
        <v>14.533899999999999</v>
      </c>
      <c r="BF133">
        <v>1.6223000000000001</v>
      </c>
      <c r="BG133">
        <v>8.1831999999999994</v>
      </c>
      <c r="BH133">
        <v>8.3262999999999998</v>
      </c>
      <c r="BI133">
        <v>315.75049999999999</v>
      </c>
      <c r="BJ133">
        <v>320.3458</v>
      </c>
      <c r="BK133">
        <v>0</v>
      </c>
      <c r="BL133">
        <v>9.0432000000000006</v>
      </c>
      <c r="BM133">
        <v>34.995399999999997</v>
      </c>
      <c r="BN133">
        <v>7.0304000000000002</v>
      </c>
      <c r="BO133">
        <v>10.6637</v>
      </c>
      <c r="BP133" t="s">
        <v>134</v>
      </c>
      <c r="BQ133" t="s">
        <v>134</v>
      </c>
      <c r="BR133">
        <v>21.8248</v>
      </c>
      <c r="BS133">
        <v>-40.268900000000002</v>
      </c>
      <c r="BT133">
        <v>10.168100000000001</v>
      </c>
      <c r="BU133">
        <v>4.7336</v>
      </c>
      <c r="BV133">
        <v>8.0698000000000008</v>
      </c>
      <c r="BW133">
        <v>5.2694000000000001</v>
      </c>
      <c r="BX133">
        <v>1753.1855</v>
      </c>
      <c r="BY133">
        <v>387202.8</v>
      </c>
      <c r="BZ133">
        <v>50436.5</v>
      </c>
      <c r="CA133">
        <v>336766.3</v>
      </c>
      <c r="CB133">
        <v>3.9050000000000002</v>
      </c>
      <c r="CC133">
        <v>3.7147999999999999</v>
      </c>
      <c r="CD133">
        <v>5.9744000000000002</v>
      </c>
      <c r="CE133">
        <v>5.6833999999999998</v>
      </c>
      <c r="CF133">
        <v>3.1044</v>
      </c>
      <c r="CG133">
        <v>25.942599999999999</v>
      </c>
      <c r="CH133">
        <v>145.4606</v>
      </c>
      <c r="CI133">
        <v>54.429499999999997</v>
      </c>
      <c r="CJ133">
        <v>39.195700000000002</v>
      </c>
      <c r="CK133">
        <v>167.2458</v>
      </c>
      <c r="CL133">
        <v>62.581299999999999</v>
      </c>
      <c r="CM133">
        <v>45.065899999999999</v>
      </c>
      <c r="CN133">
        <v>159.09800000000001</v>
      </c>
      <c r="CO133">
        <v>61.404600000000002</v>
      </c>
      <c r="CP133">
        <v>99154.9</v>
      </c>
      <c r="CQ133">
        <v>31948.9</v>
      </c>
      <c r="CR133">
        <v>64810</v>
      </c>
      <c r="CS133">
        <v>7.4700000000000003E-2</v>
      </c>
      <c r="CT133">
        <v>0.74509999999999998</v>
      </c>
      <c r="CU133">
        <v>0.17369999999999999</v>
      </c>
      <c r="CV133">
        <v>1.0284</v>
      </c>
      <c r="CW133">
        <v>21.723099999999999</v>
      </c>
      <c r="CX133">
        <v>16.802399999999999</v>
      </c>
      <c r="CY133">
        <v>3.2499000000000002</v>
      </c>
      <c r="CZ133">
        <v>112.3125</v>
      </c>
      <c r="DA133">
        <v>2.6198000000000001</v>
      </c>
      <c r="DB133">
        <v>139.32429999999999</v>
      </c>
      <c r="DC133">
        <v>-10.2094</v>
      </c>
      <c r="DD133">
        <v>129.11490000000001</v>
      </c>
      <c r="DE133">
        <v>110090.4</v>
      </c>
      <c r="DF133">
        <v>44437.2</v>
      </c>
      <c r="DG133">
        <v>9178.5</v>
      </c>
      <c r="DH133">
        <v>40471</v>
      </c>
      <c r="DI133">
        <v>16003.7</v>
      </c>
    </row>
    <row r="134" spans="4:113" x14ac:dyDescent="0.3">
      <c r="E134" t="s">
        <v>4</v>
      </c>
      <c r="F134" t="s">
        <v>134</v>
      </c>
      <c r="G134" t="s">
        <v>134</v>
      </c>
      <c r="H134" t="s">
        <v>134</v>
      </c>
      <c r="I134" t="s">
        <v>134</v>
      </c>
      <c r="J134">
        <v>19.985700000000001</v>
      </c>
      <c r="K134">
        <v>13.8992</v>
      </c>
      <c r="L134">
        <v>23.482399999999998</v>
      </c>
      <c r="M134">
        <v>7.8548</v>
      </c>
      <c r="N134">
        <v>4.9533000000000005</v>
      </c>
      <c r="O134">
        <v>5.0237999999999996</v>
      </c>
      <c r="P134">
        <v>5.0237999999999996</v>
      </c>
      <c r="Q134">
        <v>37.289400000000001</v>
      </c>
      <c r="R134" t="s">
        <v>134</v>
      </c>
      <c r="S134" t="s">
        <v>134</v>
      </c>
      <c r="T134">
        <v>28.856400000000001</v>
      </c>
      <c r="U134">
        <v>38.957099999999997</v>
      </c>
      <c r="V134">
        <v>60.861400000000003</v>
      </c>
      <c r="W134" t="s">
        <v>134</v>
      </c>
      <c r="X134" t="s">
        <v>134</v>
      </c>
      <c r="Y134" t="s">
        <v>134</v>
      </c>
      <c r="Z134" t="s">
        <v>134</v>
      </c>
      <c r="AA134" t="s">
        <v>134</v>
      </c>
      <c r="AB134" t="s">
        <v>134</v>
      </c>
      <c r="AC134" t="s">
        <v>134</v>
      </c>
      <c r="AD134" t="s">
        <v>134</v>
      </c>
      <c r="AE134" t="s">
        <v>134</v>
      </c>
      <c r="AF134" t="s">
        <v>134</v>
      </c>
      <c r="AG134" t="s">
        <v>134</v>
      </c>
      <c r="AH134" t="s">
        <v>134</v>
      </c>
      <c r="AI134" t="s">
        <v>134</v>
      </c>
      <c r="AJ134" t="s">
        <v>134</v>
      </c>
      <c r="AK134" t="s">
        <v>134</v>
      </c>
      <c r="AL134" t="s">
        <v>134</v>
      </c>
      <c r="AM134">
        <v>26.776800000000001</v>
      </c>
      <c r="AN134">
        <v>30.5623</v>
      </c>
      <c r="AO134">
        <v>37.336500000000001</v>
      </c>
      <c r="AP134">
        <v>22.905899999999999</v>
      </c>
      <c r="AQ134">
        <v>16.469000000000001</v>
      </c>
      <c r="AR134" t="s">
        <v>134</v>
      </c>
      <c r="AS134" t="s">
        <v>134</v>
      </c>
      <c r="AT134" t="s">
        <v>134</v>
      </c>
      <c r="AU134" t="s">
        <v>134</v>
      </c>
      <c r="AV134" t="s">
        <v>134</v>
      </c>
      <c r="AW134" t="s">
        <v>134</v>
      </c>
      <c r="AX134" t="s">
        <v>134</v>
      </c>
      <c r="AY134" t="s">
        <v>134</v>
      </c>
      <c r="AZ134" t="s">
        <v>134</v>
      </c>
      <c r="BA134" t="s">
        <v>134</v>
      </c>
      <c r="BB134" t="s">
        <v>134</v>
      </c>
      <c r="BC134" t="s">
        <v>134</v>
      </c>
      <c r="BD134" t="s">
        <v>134</v>
      </c>
      <c r="BE134" t="s">
        <v>134</v>
      </c>
      <c r="BF134">
        <v>-7.2446000000000002</v>
      </c>
      <c r="BG134">
        <v>14.831799999999999</v>
      </c>
      <c r="BH134">
        <v>25.226299999999998</v>
      </c>
      <c r="BI134">
        <v>35.967100000000002</v>
      </c>
      <c r="BJ134">
        <v>34.2746</v>
      </c>
      <c r="BK134" t="s">
        <v>134</v>
      </c>
      <c r="BL134" t="s">
        <v>134</v>
      </c>
      <c r="BM134" t="s">
        <v>134</v>
      </c>
      <c r="BN134" t="s">
        <v>134</v>
      </c>
      <c r="BO134" t="s">
        <v>134</v>
      </c>
      <c r="BP134" t="s">
        <v>134</v>
      </c>
      <c r="BQ134" t="s">
        <v>134</v>
      </c>
      <c r="BR134" t="s">
        <v>134</v>
      </c>
      <c r="BS134" t="s">
        <v>134</v>
      </c>
      <c r="BT134" t="s">
        <v>134</v>
      </c>
      <c r="BU134" t="s">
        <v>134</v>
      </c>
      <c r="BV134" t="s">
        <v>134</v>
      </c>
      <c r="BW134" t="s">
        <v>134</v>
      </c>
      <c r="BX134" t="s">
        <v>134</v>
      </c>
      <c r="BY134" t="s">
        <v>134</v>
      </c>
      <c r="BZ134" t="s">
        <v>134</v>
      </c>
      <c r="CA134" t="s">
        <v>134</v>
      </c>
      <c r="CB134" t="s">
        <v>134</v>
      </c>
      <c r="CC134" t="s">
        <v>134</v>
      </c>
      <c r="CD134" t="s">
        <v>134</v>
      </c>
      <c r="CE134" t="s">
        <v>134</v>
      </c>
      <c r="CF134">
        <v>3.0960999999999999</v>
      </c>
      <c r="CG134" t="s">
        <v>134</v>
      </c>
      <c r="CH134" t="s">
        <v>134</v>
      </c>
      <c r="CI134" t="s">
        <v>134</v>
      </c>
      <c r="CJ134" t="s">
        <v>134</v>
      </c>
      <c r="CK134" t="s">
        <v>134</v>
      </c>
      <c r="CL134" t="s">
        <v>134</v>
      </c>
      <c r="CM134" t="s">
        <v>134</v>
      </c>
      <c r="CN134" t="s">
        <v>134</v>
      </c>
      <c r="CO134" t="s">
        <v>134</v>
      </c>
      <c r="CP134">
        <v>26116.3</v>
      </c>
      <c r="CQ134" t="s">
        <v>134</v>
      </c>
      <c r="CR134">
        <v>18162.7</v>
      </c>
      <c r="CS134" t="s">
        <v>134</v>
      </c>
      <c r="CT134" t="s">
        <v>134</v>
      </c>
      <c r="CU134" t="s">
        <v>134</v>
      </c>
      <c r="CV134" t="s">
        <v>134</v>
      </c>
      <c r="CW134" t="s">
        <v>134</v>
      </c>
      <c r="CX134" t="s">
        <v>134</v>
      </c>
      <c r="CY134" t="s">
        <v>134</v>
      </c>
      <c r="CZ134" t="s">
        <v>134</v>
      </c>
      <c r="DA134" t="s">
        <v>134</v>
      </c>
      <c r="DB134" t="s">
        <v>134</v>
      </c>
      <c r="DC134" t="s">
        <v>134</v>
      </c>
      <c r="DD134" t="s">
        <v>134</v>
      </c>
      <c r="DE134" t="s">
        <v>134</v>
      </c>
      <c r="DF134" t="s">
        <v>134</v>
      </c>
      <c r="DG134" t="s">
        <v>134</v>
      </c>
      <c r="DH134" t="s">
        <v>134</v>
      </c>
      <c r="DI134" t="s">
        <v>134</v>
      </c>
    </row>
    <row r="135" spans="4:113" x14ac:dyDescent="0.3">
      <c r="E135" t="s">
        <v>5</v>
      </c>
      <c r="F135">
        <v>10.754799999999999</v>
      </c>
      <c r="G135">
        <v>2.9990999999999999</v>
      </c>
      <c r="H135" t="s">
        <v>134</v>
      </c>
      <c r="I135">
        <v>7.3932000000000002</v>
      </c>
      <c r="J135">
        <v>20.386099999999999</v>
      </c>
      <c r="K135">
        <v>14.171200000000001</v>
      </c>
      <c r="L135">
        <v>44.089300000000001</v>
      </c>
      <c r="M135">
        <v>8.1198999999999995</v>
      </c>
      <c r="N135">
        <v>5.3761999999999999</v>
      </c>
      <c r="O135">
        <v>5.4687000000000001</v>
      </c>
      <c r="P135">
        <v>5.4687000000000001</v>
      </c>
      <c r="Q135">
        <v>33.6098</v>
      </c>
      <c r="R135" t="s">
        <v>134</v>
      </c>
      <c r="S135" t="s">
        <v>134</v>
      </c>
      <c r="T135">
        <v>6.9981</v>
      </c>
      <c r="U135">
        <v>18.876999999999999</v>
      </c>
      <c r="V135">
        <v>25.5471</v>
      </c>
      <c r="W135" t="s">
        <v>134</v>
      </c>
      <c r="X135" t="s">
        <v>134</v>
      </c>
      <c r="Y135" t="s">
        <v>134</v>
      </c>
      <c r="Z135" t="s">
        <v>134</v>
      </c>
      <c r="AA135">
        <v>32.784599999999998</v>
      </c>
      <c r="AB135">
        <v>6.1246999999999998</v>
      </c>
      <c r="AC135">
        <v>6.9573999999999998</v>
      </c>
      <c r="AD135" t="s">
        <v>134</v>
      </c>
      <c r="AE135">
        <v>29.2364</v>
      </c>
      <c r="AF135" t="s">
        <v>134</v>
      </c>
      <c r="AG135">
        <v>22.428899999999999</v>
      </c>
      <c r="AH135">
        <v>17.344200000000001</v>
      </c>
      <c r="AI135">
        <v>8.6138999999999992</v>
      </c>
      <c r="AJ135">
        <v>13.594899999999999</v>
      </c>
      <c r="AK135">
        <v>8.9464000000000006</v>
      </c>
      <c r="AL135" t="s">
        <v>134</v>
      </c>
      <c r="AM135">
        <v>23.6875</v>
      </c>
      <c r="AN135">
        <v>21.019300000000001</v>
      </c>
      <c r="AO135">
        <v>20.944800000000001</v>
      </c>
      <c r="AP135" t="s">
        <v>134</v>
      </c>
      <c r="AQ135" t="s">
        <v>134</v>
      </c>
      <c r="AR135" t="s">
        <v>134</v>
      </c>
      <c r="AS135" t="s">
        <v>134</v>
      </c>
      <c r="AT135" t="s">
        <v>134</v>
      </c>
      <c r="AU135" t="s">
        <v>134</v>
      </c>
      <c r="AV135" t="s">
        <v>134</v>
      </c>
      <c r="AW135" t="s">
        <v>134</v>
      </c>
      <c r="AX135" t="s">
        <v>134</v>
      </c>
      <c r="AY135" t="s">
        <v>134</v>
      </c>
      <c r="AZ135" t="s">
        <v>134</v>
      </c>
      <c r="BA135" t="s">
        <v>134</v>
      </c>
      <c r="BB135" t="s">
        <v>134</v>
      </c>
      <c r="BC135" t="s">
        <v>134</v>
      </c>
      <c r="BD135" t="s">
        <v>134</v>
      </c>
      <c r="BE135" t="s">
        <v>134</v>
      </c>
      <c r="BF135">
        <v>4.7774000000000001</v>
      </c>
      <c r="BG135">
        <v>6.8765000000000001</v>
      </c>
      <c r="BH135">
        <v>6.8277000000000001</v>
      </c>
      <c r="BI135">
        <v>14.055099999999999</v>
      </c>
      <c r="BJ135">
        <v>-42.575699999999998</v>
      </c>
      <c r="BK135" t="s">
        <v>134</v>
      </c>
      <c r="BL135" t="s">
        <v>134</v>
      </c>
      <c r="BM135" t="s">
        <v>134</v>
      </c>
      <c r="BN135" t="s">
        <v>134</v>
      </c>
      <c r="BO135" t="s">
        <v>134</v>
      </c>
      <c r="BP135" t="s">
        <v>134</v>
      </c>
      <c r="BQ135" t="s">
        <v>134</v>
      </c>
      <c r="BR135" t="s">
        <v>134</v>
      </c>
      <c r="BS135" t="s">
        <v>134</v>
      </c>
      <c r="BT135" t="s">
        <v>134</v>
      </c>
      <c r="BU135" t="s">
        <v>134</v>
      </c>
      <c r="BV135" t="s">
        <v>134</v>
      </c>
      <c r="BW135" t="s">
        <v>134</v>
      </c>
      <c r="BX135" t="s">
        <v>134</v>
      </c>
      <c r="BY135">
        <v>329816.59999999998</v>
      </c>
      <c r="BZ135">
        <v>53797.1</v>
      </c>
      <c r="CA135">
        <v>276019.5</v>
      </c>
      <c r="CB135">
        <v>3.2698999999999998</v>
      </c>
      <c r="CC135">
        <v>3.2198000000000002</v>
      </c>
      <c r="CD135">
        <v>4.8426999999999998</v>
      </c>
      <c r="CE135">
        <v>4.7686000000000002</v>
      </c>
      <c r="CF135">
        <v>3.2646000000000002</v>
      </c>
      <c r="CG135">
        <v>28.1341</v>
      </c>
      <c r="CH135">
        <v>120.1169</v>
      </c>
      <c r="CI135">
        <v>49.323599999999999</v>
      </c>
      <c r="CJ135">
        <v>34.0139</v>
      </c>
      <c r="CK135">
        <v>143.52809999999999</v>
      </c>
      <c r="CL135">
        <v>58.936999999999998</v>
      </c>
      <c r="CM135">
        <v>40.643299999999996</v>
      </c>
      <c r="CN135">
        <v>141.33029999999999</v>
      </c>
      <c r="CO135">
        <v>58.563000000000002</v>
      </c>
      <c r="CP135">
        <v>27912.2</v>
      </c>
      <c r="CQ135" t="s">
        <v>134</v>
      </c>
      <c r="CR135">
        <v>19402.8</v>
      </c>
      <c r="CS135">
        <v>1.8800000000000001E-2</v>
      </c>
      <c r="CT135">
        <v>0.65300000000000002</v>
      </c>
      <c r="CU135">
        <v>0.1206</v>
      </c>
      <c r="CV135">
        <v>1.4946999999999999</v>
      </c>
      <c r="CW135" t="s">
        <v>134</v>
      </c>
      <c r="CX135" t="s">
        <v>134</v>
      </c>
      <c r="CY135">
        <v>3.6306000000000003</v>
      </c>
      <c r="CZ135">
        <v>100.5352</v>
      </c>
      <c r="DA135" t="s">
        <v>134</v>
      </c>
      <c r="DB135" t="s">
        <v>134</v>
      </c>
      <c r="DC135" t="s">
        <v>134</v>
      </c>
      <c r="DD135" t="s">
        <v>134</v>
      </c>
      <c r="DE135">
        <v>103472.1</v>
      </c>
      <c r="DF135" t="s">
        <v>134</v>
      </c>
      <c r="DG135" t="s">
        <v>134</v>
      </c>
      <c r="DH135" t="s">
        <v>134</v>
      </c>
      <c r="DI135" t="s">
        <v>134</v>
      </c>
    </row>
    <row r="136" spans="4:113" x14ac:dyDescent="0.3">
      <c r="E136" t="s">
        <v>6</v>
      </c>
      <c r="F136" t="s">
        <v>134</v>
      </c>
      <c r="G136" t="s">
        <v>134</v>
      </c>
      <c r="H136" t="s">
        <v>134</v>
      </c>
      <c r="I136" t="s">
        <v>134</v>
      </c>
      <c r="J136">
        <v>17.7592</v>
      </c>
      <c r="K136">
        <v>10.874000000000001</v>
      </c>
      <c r="L136">
        <v>-43.366700000000002</v>
      </c>
      <c r="M136">
        <v>3.7292999999999998</v>
      </c>
      <c r="N136">
        <v>2.3773</v>
      </c>
      <c r="O136">
        <v>2.5446</v>
      </c>
      <c r="P136">
        <v>2.5446</v>
      </c>
      <c r="Q136">
        <v>36.359099999999998</v>
      </c>
      <c r="R136" t="s">
        <v>134</v>
      </c>
      <c r="S136" t="s">
        <v>134</v>
      </c>
      <c r="T136">
        <v>-3.4102999999999999</v>
      </c>
      <c r="U136">
        <v>-4.7186000000000003</v>
      </c>
      <c r="V136">
        <v>-12.3428</v>
      </c>
      <c r="W136">
        <v>-29.4862</v>
      </c>
      <c r="X136">
        <v>-29.490600000000001</v>
      </c>
      <c r="Y136" t="s">
        <v>134</v>
      </c>
      <c r="Z136" t="s">
        <v>134</v>
      </c>
      <c r="AA136" t="s">
        <v>134</v>
      </c>
      <c r="AB136" t="s">
        <v>134</v>
      </c>
      <c r="AC136" t="s">
        <v>134</v>
      </c>
      <c r="AD136" t="s">
        <v>134</v>
      </c>
      <c r="AE136" t="s">
        <v>134</v>
      </c>
      <c r="AF136" t="s">
        <v>134</v>
      </c>
      <c r="AG136" t="s">
        <v>134</v>
      </c>
      <c r="AH136" t="s">
        <v>134</v>
      </c>
      <c r="AI136" t="s">
        <v>134</v>
      </c>
      <c r="AJ136" t="s">
        <v>134</v>
      </c>
      <c r="AK136" t="s">
        <v>134</v>
      </c>
      <c r="AL136" t="s">
        <v>134</v>
      </c>
      <c r="AM136">
        <v>21.933599999999998</v>
      </c>
      <c r="AN136">
        <v>16.3047</v>
      </c>
      <c r="AO136">
        <v>13.4183</v>
      </c>
      <c r="AP136" t="s">
        <v>134</v>
      </c>
      <c r="AQ136" t="s">
        <v>134</v>
      </c>
      <c r="AR136" t="s">
        <v>134</v>
      </c>
      <c r="AS136" t="s">
        <v>134</v>
      </c>
      <c r="AT136" t="s">
        <v>134</v>
      </c>
      <c r="AU136" t="s">
        <v>134</v>
      </c>
      <c r="AV136" t="s">
        <v>134</v>
      </c>
      <c r="AW136" t="s">
        <v>134</v>
      </c>
      <c r="AX136" t="s">
        <v>134</v>
      </c>
      <c r="AY136" t="s">
        <v>134</v>
      </c>
      <c r="AZ136" t="s">
        <v>134</v>
      </c>
      <c r="BA136" t="s">
        <v>134</v>
      </c>
      <c r="BB136" t="s">
        <v>134</v>
      </c>
      <c r="BC136" t="s">
        <v>134</v>
      </c>
      <c r="BD136" t="s">
        <v>134</v>
      </c>
      <c r="BE136" t="s">
        <v>134</v>
      </c>
      <c r="BF136">
        <v>-5.5857999999999999</v>
      </c>
      <c r="BG136">
        <v>-17.752099999999999</v>
      </c>
      <c r="BH136">
        <v>-27.552700000000002</v>
      </c>
      <c r="BI136">
        <v>-56.0687</v>
      </c>
      <c r="BJ136">
        <v>-11.6412</v>
      </c>
      <c r="BK136" t="s">
        <v>134</v>
      </c>
      <c r="BL136" t="s">
        <v>134</v>
      </c>
      <c r="BM136" t="s">
        <v>134</v>
      </c>
      <c r="BN136" t="s">
        <v>134</v>
      </c>
      <c r="BO136" t="s">
        <v>134</v>
      </c>
      <c r="BP136" t="s">
        <v>134</v>
      </c>
      <c r="BQ136" t="s">
        <v>134</v>
      </c>
      <c r="BR136" t="s">
        <v>134</v>
      </c>
      <c r="BS136" t="s">
        <v>134</v>
      </c>
      <c r="BT136" t="s">
        <v>134</v>
      </c>
      <c r="BU136" t="s">
        <v>134</v>
      </c>
      <c r="BV136" t="s">
        <v>134</v>
      </c>
      <c r="BW136" t="s">
        <v>134</v>
      </c>
      <c r="BX136" t="s">
        <v>134</v>
      </c>
      <c r="BY136" t="s">
        <v>134</v>
      </c>
      <c r="BZ136" t="s">
        <v>134</v>
      </c>
      <c r="CA136" t="s">
        <v>134</v>
      </c>
      <c r="CB136" t="s">
        <v>134</v>
      </c>
      <c r="CC136" t="s">
        <v>134</v>
      </c>
      <c r="CD136" t="s">
        <v>134</v>
      </c>
      <c r="CE136" t="s">
        <v>134</v>
      </c>
      <c r="CF136">
        <v>2.4510999999999998</v>
      </c>
      <c r="CG136" t="s">
        <v>134</v>
      </c>
      <c r="CH136" t="s">
        <v>134</v>
      </c>
      <c r="CI136" t="s">
        <v>134</v>
      </c>
      <c r="CJ136" t="s">
        <v>134</v>
      </c>
      <c r="CK136" t="s">
        <v>134</v>
      </c>
      <c r="CL136" t="s">
        <v>134</v>
      </c>
      <c r="CM136" t="s">
        <v>134</v>
      </c>
      <c r="CN136" t="s">
        <v>134</v>
      </c>
      <c r="CO136" t="s">
        <v>134</v>
      </c>
      <c r="CP136">
        <v>22957.200000000001</v>
      </c>
      <c r="CQ136" t="s">
        <v>134</v>
      </c>
      <c r="CR136">
        <v>14056.8</v>
      </c>
      <c r="CS136" t="s">
        <v>134</v>
      </c>
      <c r="CT136" t="s">
        <v>134</v>
      </c>
      <c r="CU136" t="s">
        <v>134</v>
      </c>
      <c r="CV136" t="s">
        <v>134</v>
      </c>
      <c r="CW136" t="s">
        <v>134</v>
      </c>
      <c r="CX136" t="s">
        <v>134</v>
      </c>
      <c r="CY136" t="s">
        <v>134</v>
      </c>
      <c r="CZ136" t="s">
        <v>134</v>
      </c>
      <c r="DA136" t="s">
        <v>134</v>
      </c>
      <c r="DB136" t="s">
        <v>134</v>
      </c>
      <c r="DC136" t="s">
        <v>134</v>
      </c>
      <c r="DD136" t="s">
        <v>134</v>
      </c>
      <c r="DE136" t="s">
        <v>134</v>
      </c>
      <c r="DF136" t="s">
        <v>134</v>
      </c>
      <c r="DG136" t="s">
        <v>134</v>
      </c>
      <c r="DH136" t="s">
        <v>134</v>
      </c>
      <c r="DI136" t="s">
        <v>134</v>
      </c>
    </row>
    <row r="137" spans="4:113" x14ac:dyDescent="0.3">
      <c r="E137" t="s">
        <v>7</v>
      </c>
      <c r="F137">
        <v>8.2669999999999995</v>
      </c>
      <c r="G137">
        <v>2.1968000000000001</v>
      </c>
      <c r="H137">
        <v>6.8627000000000002</v>
      </c>
      <c r="I137">
        <v>6.3150000000000004</v>
      </c>
      <c r="J137">
        <v>13.607799999999999</v>
      </c>
      <c r="K137">
        <v>6.3437999999999999</v>
      </c>
      <c r="L137">
        <v>-38.637900000000002</v>
      </c>
      <c r="M137">
        <v>-0.65639999999999998</v>
      </c>
      <c r="N137">
        <v>0.25169999999999998</v>
      </c>
      <c r="O137">
        <v>0.50449999999999995</v>
      </c>
      <c r="P137">
        <v>0.50449999999999995</v>
      </c>
      <c r="Q137" t="s">
        <v>134</v>
      </c>
      <c r="R137" t="s">
        <v>134</v>
      </c>
      <c r="S137" t="s">
        <v>134</v>
      </c>
      <c r="T137">
        <v>-12.2355</v>
      </c>
      <c r="U137">
        <v>-26.020600000000002</v>
      </c>
      <c r="V137">
        <v>-45.920099999999998</v>
      </c>
      <c r="W137">
        <v>-87.080299999999994</v>
      </c>
      <c r="X137">
        <v>-88.835499999999996</v>
      </c>
      <c r="Y137" t="s">
        <v>134</v>
      </c>
      <c r="Z137">
        <v>9.0432000000000006</v>
      </c>
      <c r="AA137">
        <v>34.995399999999997</v>
      </c>
      <c r="AB137">
        <v>7.0304000000000002</v>
      </c>
      <c r="AC137">
        <v>10.6637</v>
      </c>
      <c r="AD137">
        <v>40.573300000000003</v>
      </c>
      <c r="AE137">
        <v>37.430399999999999</v>
      </c>
      <c r="AF137">
        <v>21.8248</v>
      </c>
      <c r="AG137">
        <v>-40.268900000000002</v>
      </c>
      <c r="AH137">
        <v>10.168100000000001</v>
      </c>
      <c r="AI137">
        <v>4.7336</v>
      </c>
      <c r="AJ137">
        <v>8.0698000000000008</v>
      </c>
      <c r="AK137">
        <v>5.2694000000000001</v>
      </c>
      <c r="AL137" t="s">
        <v>134</v>
      </c>
      <c r="AM137">
        <v>17.840299999999999</v>
      </c>
      <c r="AN137">
        <v>4.9192</v>
      </c>
      <c r="AO137">
        <v>-4.6774000000000004</v>
      </c>
      <c r="AP137">
        <v>-36.642499999999998</v>
      </c>
      <c r="AQ137">
        <v>-32.849800000000002</v>
      </c>
      <c r="AR137" t="s">
        <v>134</v>
      </c>
      <c r="AS137" t="s">
        <v>134</v>
      </c>
      <c r="AT137" t="s">
        <v>134</v>
      </c>
      <c r="AU137" t="s">
        <v>134</v>
      </c>
      <c r="AV137" t="s">
        <v>134</v>
      </c>
      <c r="AW137" t="s">
        <v>134</v>
      </c>
      <c r="AX137" t="s">
        <v>134</v>
      </c>
      <c r="AY137" t="s">
        <v>134</v>
      </c>
      <c r="AZ137" t="s">
        <v>134</v>
      </c>
      <c r="BA137" t="s">
        <v>134</v>
      </c>
      <c r="BB137" t="s">
        <v>134</v>
      </c>
      <c r="BC137" t="s">
        <v>134</v>
      </c>
      <c r="BD137" t="s">
        <v>134</v>
      </c>
      <c r="BE137" t="s">
        <v>134</v>
      </c>
      <c r="BF137">
        <v>-4.3521999999999998</v>
      </c>
      <c r="BG137">
        <v>-26.710599999999999</v>
      </c>
      <c r="BH137">
        <v>-44.2</v>
      </c>
      <c r="BI137">
        <v>-81.036100000000005</v>
      </c>
      <c r="BJ137">
        <v>-83.613</v>
      </c>
      <c r="BK137" t="s">
        <v>134</v>
      </c>
      <c r="BL137" t="s">
        <v>134</v>
      </c>
      <c r="BM137" t="s">
        <v>134</v>
      </c>
      <c r="BN137" t="s">
        <v>134</v>
      </c>
      <c r="BO137" t="s">
        <v>134</v>
      </c>
      <c r="BP137" t="s">
        <v>134</v>
      </c>
      <c r="BQ137" t="s">
        <v>134</v>
      </c>
      <c r="BR137" t="s">
        <v>134</v>
      </c>
      <c r="BS137" t="s">
        <v>134</v>
      </c>
      <c r="BT137" t="s">
        <v>134</v>
      </c>
      <c r="BU137" t="s">
        <v>134</v>
      </c>
      <c r="BV137" t="s">
        <v>134</v>
      </c>
      <c r="BW137" t="s">
        <v>134</v>
      </c>
      <c r="BX137" t="s">
        <v>134</v>
      </c>
      <c r="BY137">
        <v>387202.8</v>
      </c>
      <c r="BZ137">
        <v>50436.5</v>
      </c>
      <c r="CA137">
        <v>336766.3</v>
      </c>
      <c r="CB137">
        <v>4.1275000000000004</v>
      </c>
      <c r="CC137">
        <v>3.9264000000000001</v>
      </c>
      <c r="CD137">
        <v>6.5113000000000003</v>
      </c>
      <c r="CE137">
        <v>6.1940999999999997</v>
      </c>
      <c r="CF137">
        <v>1.9611000000000001</v>
      </c>
      <c r="CG137">
        <v>25.942599999999999</v>
      </c>
      <c r="CH137">
        <v>145.4606</v>
      </c>
      <c r="CI137">
        <v>54.429499999999997</v>
      </c>
      <c r="CJ137">
        <v>39.195700000000002</v>
      </c>
      <c r="CK137">
        <v>167.2458</v>
      </c>
      <c r="CL137">
        <v>62.581299999999999</v>
      </c>
      <c r="CM137">
        <v>45.065899999999999</v>
      </c>
      <c r="CN137">
        <v>159.09800000000001</v>
      </c>
      <c r="CO137">
        <v>61.404600000000002</v>
      </c>
      <c r="CP137">
        <v>16825.2</v>
      </c>
      <c r="CQ137" t="s">
        <v>134</v>
      </c>
      <c r="CR137">
        <v>7843.7</v>
      </c>
      <c r="CS137">
        <v>7.4700000000000003E-2</v>
      </c>
      <c r="CT137">
        <v>0.74509999999999998</v>
      </c>
      <c r="CU137">
        <v>0.17369999999999999</v>
      </c>
      <c r="CV137">
        <v>1.0284</v>
      </c>
      <c r="CW137">
        <v>21.723099999999999</v>
      </c>
      <c r="CX137">
        <v>16.802399999999999</v>
      </c>
      <c r="CY137">
        <v>3.2534000000000001</v>
      </c>
      <c r="CZ137">
        <v>112.191</v>
      </c>
      <c r="DA137">
        <v>2.6223999999999998</v>
      </c>
      <c r="DB137">
        <v>139.18620000000001</v>
      </c>
      <c r="DC137">
        <v>-10.1928</v>
      </c>
      <c r="DD137">
        <v>128.99340000000001</v>
      </c>
      <c r="DE137">
        <v>110090.4</v>
      </c>
      <c r="DF137">
        <v>44437.2</v>
      </c>
      <c r="DG137">
        <v>9178.5</v>
      </c>
      <c r="DH137">
        <v>40471</v>
      </c>
      <c r="DI137">
        <v>16003.7</v>
      </c>
    </row>
    <row r="138" spans="4:113" x14ac:dyDescent="0.3">
      <c r="D138" t="s">
        <v>9</v>
      </c>
      <c r="E138" t="s">
        <v>3</v>
      </c>
      <c r="F138">
        <v>-3.593</v>
      </c>
      <c r="G138">
        <v>-0.88219999999999998</v>
      </c>
      <c r="H138">
        <v>1.9041999999999999</v>
      </c>
      <c r="I138">
        <v>5.07</v>
      </c>
      <c r="J138">
        <v>16.4863</v>
      </c>
      <c r="K138">
        <v>8.7518999999999991</v>
      </c>
      <c r="L138">
        <v>-26.526599999999998</v>
      </c>
      <c r="M138">
        <v>-5.7617000000000003</v>
      </c>
      <c r="N138">
        <v>-2.0306999999999999</v>
      </c>
      <c r="O138">
        <v>-1.8001</v>
      </c>
      <c r="P138">
        <v>-1.8816000000000002</v>
      </c>
      <c r="Q138" t="s">
        <v>134</v>
      </c>
      <c r="R138" t="s">
        <v>134</v>
      </c>
      <c r="S138" t="s">
        <v>134</v>
      </c>
      <c r="T138">
        <v>-20.812999999999999</v>
      </c>
      <c r="U138">
        <v>-31.468599999999999</v>
      </c>
      <c r="V138">
        <v>-44.340400000000002</v>
      </c>
      <c r="W138" t="s">
        <v>134</v>
      </c>
      <c r="X138" t="s">
        <v>134</v>
      </c>
      <c r="Y138">
        <v>-31.818200000000001</v>
      </c>
      <c r="Z138">
        <v>12.075200000000001</v>
      </c>
      <c r="AA138">
        <v>-23.668600000000001</v>
      </c>
      <c r="AB138">
        <v>1.5615999999999999</v>
      </c>
      <c r="AC138">
        <v>-4.2186000000000003</v>
      </c>
      <c r="AD138">
        <v>-116.0819</v>
      </c>
      <c r="AE138">
        <v>-64.676900000000003</v>
      </c>
      <c r="AF138">
        <v>-10.105700000000001</v>
      </c>
      <c r="AG138">
        <v>46.961799999999997</v>
      </c>
      <c r="AH138">
        <v>3.8357000000000001</v>
      </c>
      <c r="AI138">
        <v>-6.4835000000000003</v>
      </c>
      <c r="AJ138">
        <v>-2.5600000000000001E-2</v>
      </c>
      <c r="AK138">
        <v>-6.3266</v>
      </c>
      <c r="AL138">
        <v>-25.984400000000001</v>
      </c>
      <c r="AM138">
        <v>11.3246</v>
      </c>
      <c r="AN138">
        <v>6.8986999999999998</v>
      </c>
      <c r="AO138">
        <v>1.7462</v>
      </c>
      <c r="AP138" t="s">
        <v>134</v>
      </c>
      <c r="AQ138" t="s">
        <v>134</v>
      </c>
      <c r="AR138">
        <v>-9.3463999999999992</v>
      </c>
      <c r="AS138" t="s">
        <v>134</v>
      </c>
      <c r="AT138">
        <v>13.765000000000001</v>
      </c>
      <c r="AU138">
        <v>13.3592</v>
      </c>
      <c r="AV138">
        <v>12.2568</v>
      </c>
      <c r="AW138" t="s">
        <v>134</v>
      </c>
      <c r="AX138" t="s">
        <v>134</v>
      </c>
      <c r="AY138">
        <v>16.209900000000001</v>
      </c>
      <c r="AZ138">
        <v>6.4946999999999999</v>
      </c>
      <c r="BA138">
        <v>19.144300000000001</v>
      </c>
      <c r="BB138">
        <v>5.2652999999999999</v>
      </c>
      <c r="BC138">
        <v>13.051</v>
      </c>
      <c r="BD138">
        <v>3.4701</v>
      </c>
      <c r="BE138">
        <v>16.0808</v>
      </c>
      <c r="BF138">
        <v>-20.812999999999999</v>
      </c>
      <c r="BG138">
        <v>-31.468599999999999</v>
      </c>
      <c r="BH138">
        <v>-44.340400000000002</v>
      </c>
      <c r="BI138">
        <v>-143.98949999999999</v>
      </c>
      <c r="BJ138">
        <v>-143.9922</v>
      </c>
      <c r="BK138">
        <v>-31.818200000000001</v>
      </c>
      <c r="BL138">
        <v>12.075200000000001</v>
      </c>
      <c r="BM138">
        <v>-23.668600000000001</v>
      </c>
      <c r="BN138">
        <v>1.5615999999999999</v>
      </c>
      <c r="BO138">
        <v>-4.2186000000000003</v>
      </c>
      <c r="BP138" t="s">
        <v>134</v>
      </c>
      <c r="BQ138" t="s">
        <v>134</v>
      </c>
      <c r="BR138">
        <v>-10.105700000000001</v>
      </c>
      <c r="BS138">
        <v>46.961799999999997</v>
      </c>
      <c r="BT138">
        <v>3.8357000000000001</v>
      </c>
      <c r="BU138">
        <v>-6.4835000000000003</v>
      </c>
      <c r="BV138">
        <v>-2.5600000000000001E-2</v>
      </c>
      <c r="BW138">
        <v>-6.3266</v>
      </c>
      <c r="BX138">
        <v>-25.984400000000001</v>
      </c>
      <c r="BY138">
        <v>402054.6</v>
      </c>
      <c r="BZ138">
        <v>74122.399999999994</v>
      </c>
      <c r="CA138">
        <v>327932.2</v>
      </c>
      <c r="CB138">
        <v>5.9166999999999996</v>
      </c>
      <c r="CC138">
        <v>5.8087</v>
      </c>
      <c r="CD138">
        <v>11.1456</v>
      </c>
      <c r="CE138">
        <v>10.9421</v>
      </c>
      <c r="CF138">
        <v>2.2052</v>
      </c>
      <c r="CG138">
        <v>25.371600000000001</v>
      </c>
      <c r="CH138">
        <v>151.46510000000001</v>
      </c>
      <c r="CI138">
        <v>53.015300000000003</v>
      </c>
      <c r="CJ138">
        <v>39.848599999999998</v>
      </c>
      <c r="CK138">
        <v>185.70070000000001</v>
      </c>
      <c r="CL138">
        <v>64.9983</v>
      </c>
      <c r="CM138">
        <v>48.855499999999999</v>
      </c>
      <c r="CN138">
        <v>182.31059999999999</v>
      </c>
      <c r="CO138">
        <v>64.578000000000003</v>
      </c>
      <c r="CP138">
        <v>67952.2</v>
      </c>
      <c r="CQ138">
        <v>16165.4</v>
      </c>
      <c r="CR138">
        <v>36073</v>
      </c>
      <c r="CS138">
        <v>2.86E-2</v>
      </c>
      <c r="CT138">
        <v>0.58660000000000001</v>
      </c>
      <c r="CU138">
        <v>0.13789999999999999</v>
      </c>
      <c r="CV138">
        <v>0.7349</v>
      </c>
      <c r="CW138">
        <v>15.5497</v>
      </c>
      <c r="CX138">
        <v>23.537400000000002</v>
      </c>
      <c r="CY138">
        <v>2.1917</v>
      </c>
      <c r="CZ138">
        <v>166.99369999999999</v>
      </c>
      <c r="DA138">
        <v>1.3794</v>
      </c>
      <c r="DB138">
        <v>265.32380000000001</v>
      </c>
      <c r="DC138">
        <v>-74.792699999999996</v>
      </c>
      <c r="DD138">
        <v>190.53110000000001</v>
      </c>
      <c r="DE138">
        <v>84033.5</v>
      </c>
      <c r="DF138">
        <v>33357.199999999997</v>
      </c>
      <c r="DG138">
        <v>6355.5</v>
      </c>
      <c r="DH138">
        <v>28846.799999999999</v>
      </c>
      <c r="DI138">
        <v>15474</v>
      </c>
    </row>
    <row r="139" spans="4:113" x14ac:dyDescent="0.3">
      <c r="E139" t="s">
        <v>4</v>
      </c>
      <c r="F139" t="s">
        <v>134</v>
      </c>
      <c r="G139" t="s">
        <v>134</v>
      </c>
      <c r="H139" t="s">
        <v>134</v>
      </c>
      <c r="I139" t="s">
        <v>134</v>
      </c>
      <c r="J139">
        <v>14.2971</v>
      </c>
      <c r="K139">
        <v>6.0514999999999999</v>
      </c>
      <c r="L139">
        <v>-66.889700000000005</v>
      </c>
      <c r="M139">
        <v>-0.95250000000000001</v>
      </c>
      <c r="N139">
        <v>-1.1131</v>
      </c>
      <c r="O139">
        <v>-0.93840000000000001</v>
      </c>
      <c r="P139">
        <v>-0.93840000000000001</v>
      </c>
      <c r="Q139" t="s">
        <v>134</v>
      </c>
      <c r="R139" t="s">
        <v>134</v>
      </c>
      <c r="S139" t="s">
        <v>134</v>
      </c>
      <c r="T139">
        <v>-12.8993</v>
      </c>
      <c r="U139">
        <v>-37.691000000000003</v>
      </c>
      <c r="V139">
        <v>-62.077800000000003</v>
      </c>
      <c r="W139" t="s">
        <v>134</v>
      </c>
      <c r="X139" t="s">
        <v>134</v>
      </c>
      <c r="Y139" t="s">
        <v>134</v>
      </c>
      <c r="Z139" t="s">
        <v>134</v>
      </c>
      <c r="AA139" t="s">
        <v>134</v>
      </c>
      <c r="AB139" t="s">
        <v>134</v>
      </c>
      <c r="AC139" t="s">
        <v>134</v>
      </c>
      <c r="AD139" t="s">
        <v>134</v>
      </c>
      <c r="AE139" t="s">
        <v>134</v>
      </c>
      <c r="AF139" t="s">
        <v>134</v>
      </c>
      <c r="AG139" t="s">
        <v>134</v>
      </c>
      <c r="AH139" t="s">
        <v>134</v>
      </c>
      <c r="AI139" t="s">
        <v>134</v>
      </c>
      <c r="AJ139" t="s">
        <v>134</v>
      </c>
      <c r="AK139" t="s">
        <v>134</v>
      </c>
      <c r="AL139" t="s">
        <v>134</v>
      </c>
      <c r="AM139">
        <v>18.759799999999998</v>
      </c>
      <c r="AN139">
        <v>8.5767000000000007</v>
      </c>
      <c r="AO139">
        <v>-0.80510000000000004</v>
      </c>
      <c r="AP139" t="s">
        <v>134</v>
      </c>
      <c r="AQ139" t="s">
        <v>134</v>
      </c>
      <c r="AR139" t="s">
        <v>134</v>
      </c>
      <c r="AS139" t="s">
        <v>134</v>
      </c>
      <c r="AT139" t="s">
        <v>134</v>
      </c>
      <c r="AU139" t="s">
        <v>134</v>
      </c>
      <c r="AV139" t="s">
        <v>134</v>
      </c>
      <c r="AW139" t="s">
        <v>134</v>
      </c>
      <c r="AX139" t="s">
        <v>134</v>
      </c>
      <c r="AY139" t="s">
        <v>134</v>
      </c>
      <c r="AZ139" t="s">
        <v>134</v>
      </c>
      <c r="BA139" t="s">
        <v>134</v>
      </c>
      <c r="BB139" t="s">
        <v>134</v>
      </c>
      <c r="BC139" t="s">
        <v>134</v>
      </c>
      <c r="BD139" t="s">
        <v>134</v>
      </c>
      <c r="BE139" t="s">
        <v>134</v>
      </c>
      <c r="BF139">
        <v>-7.9461000000000004</v>
      </c>
      <c r="BG139">
        <v>-3.2831999999999999</v>
      </c>
      <c r="BH139">
        <v>-12.1881</v>
      </c>
      <c r="BI139">
        <v>-271.22480000000002</v>
      </c>
      <c r="BJ139">
        <v>-298.15019999999998</v>
      </c>
      <c r="BK139" t="s">
        <v>134</v>
      </c>
      <c r="BL139" t="s">
        <v>134</v>
      </c>
      <c r="BM139" t="s">
        <v>134</v>
      </c>
      <c r="BN139" t="s">
        <v>134</v>
      </c>
      <c r="BO139" t="s">
        <v>134</v>
      </c>
      <c r="BP139" t="s">
        <v>134</v>
      </c>
      <c r="BQ139" t="s">
        <v>134</v>
      </c>
      <c r="BR139" t="s">
        <v>134</v>
      </c>
      <c r="BS139" t="s">
        <v>134</v>
      </c>
      <c r="BT139" t="s">
        <v>134</v>
      </c>
      <c r="BU139">
        <v>-100</v>
      </c>
      <c r="BV139" t="s">
        <v>134</v>
      </c>
      <c r="BW139">
        <v>-100</v>
      </c>
      <c r="BX139" t="s">
        <v>134</v>
      </c>
      <c r="BY139" t="s">
        <v>134</v>
      </c>
      <c r="BZ139" t="s">
        <v>134</v>
      </c>
      <c r="CA139" t="s">
        <v>134</v>
      </c>
      <c r="CB139" t="s">
        <v>134</v>
      </c>
      <c r="CC139" t="s">
        <v>134</v>
      </c>
      <c r="CD139" t="s">
        <v>134</v>
      </c>
      <c r="CE139" t="s">
        <v>134</v>
      </c>
      <c r="CF139">
        <v>1.9790999999999999</v>
      </c>
      <c r="CG139" t="s">
        <v>134</v>
      </c>
      <c r="CH139" t="s">
        <v>134</v>
      </c>
      <c r="CI139" t="s">
        <v>134</v>
      </c>
      <c r="CJ139" t="s">
        <v>134</v>
      </c>
      <c r="CK139" t="s">
        <v>134</v>
      </c>
      <c r="CL139" t="s">
        <v>134</v>
      </c>
      <c r="CM139" t="s">
        <v>134</v>
      </c>
      <c r="CN139" t="s">
        <v>134</v>
      </c>
      <c r="CO139" t="s">
        <v>134</v>
      </c>
      <c r="CP139">
        <v>16272.8</v>
      </c>
      <c r="CQ139" t="s">
        <v>134</v>
      </c>
      <c r="CR139">
        <v>6887.7</v>
      </c>
      <c r="CS139" t="s">
        <v>134</v>
      </c>
      <c r="CT139" t="s">
        <v>134</v>
      </c>
      <c r="CU139" t="s">
        <v>134</v>
      </c>
      <c r="CV139" t="s">
        <v>134</v>
      </c>
      <c r="CW139" t="s">
        <v>134</v>
      </c>
      <c r="CX139" t="s">
        <v>134</v>
      </c>
      <c r="CY139" t="s">
        <v>134</v>
      </c>
      <c r="CZ139" t="s">
        <v>134</v>
      </c>
      <c r="DA139" t="s">
        <v>134</v>
      </c>
      <c r="DB139" t="s">
        <v>134</v>
      </c>
      <c r="DC139" t="s">
        <v>134</v>
      </c>
      <c r="DD139" t="s">
        <v>134</v>
      </c>
      <c r="DE139" t="s">
        <v>134</v>
      </c>
      <c r="DF139" t="s">
        <v>134</v>
      </c>
      <c r="DG139" t="s">
        <v>134</v>
      </c>
      <c r="DH139" t="s">
        <v>134</v>
      </c>
      <c r="DI139" t="s">
        <v>134</v>
      </c>
    </row>
    <row r="140" spans="4:113" x14ac:dyDescent="0.3">
      <c r="E140" t="s">
        <v>5</v>
      </c>
      <c r="F140">
        <v>2.3334000000000001</v>
      </c>
      <c r="G140">
        <v>0.63580000000000003</v>
      </c>
      <c r="H140">
        <v>4.8941999999999997</v>
      </c>
      <c r="I140">
        <v>4.2328000000000001</v>
      </c>
      <c r="J140">
        <v>16.097000000000001</v>
      </c>
      <c r="K140">
        <v>9.7466000000000008</v>
      </c>
      <c r="L140">
        <v>-30.288900000000002</v>
      </c>
      <c r="M140">
        <v>2.3117000000000001</v>
      </c>
      <c r="N140">
        <v>0.96599999999999997</v>
      </c>
      <c r="O140">
        <v>1.0886</v>
      </c>
      <c r="P140">
        <v>1.0886</v>
      </c>
      <c r="Q140">
        <v>57.320599999999999</v>
      </c>
      <c r="R140" t="s">
        <v>134</v>
      </c>
      <c r="S140" t="s">
        <v>134</v>
      </c>
      <c r="T140">
        <v>-21.538699999999999</v>
      </c>
      <c r="U140">
        <v>-38.046399999999998</v>
      </c>
      <c r="V140">
        <v>-46.036099999999998</v>
      </c>
      <c r="W140">
        <v>-84.380799999999994</v>
      </c>
      <c r="X140">
        <v>-68.585300000000004</v>
      </c>
      <c r="Y140" t="s">
        <v>134</v>
      </c>
      <c r="Z140">
        <v>15.2293</v>
      </c>
      <c r="AA140">
        <v>-9.1577000000000002</v>
      </c>
      <c r="AB140">
        <v>7.1520999999999999</v>
      </c>
      <c r="AC140">
        <v>5.2529000000000003</v>
      </c>
      <c r="AD140">
        <v>0.28199999999999997</v>
      </c>
      <c r="AE140">
        <v>20.866499999999998</v>
      </c>
      <c r="AF140">
        <v>-4.2735000000000003</v>
      </c>
      <c r="AG140">
        <v>-47.953299999999999</v>
      </c>
      <c r="AH140">
        <v>13.287000000000001</v>
      </c>
      <c r="AI140">
        <v>-1.5659999999999998</v>
      </c>
      <c r="AJ140">
        <v>7.1879</v>
      </c>
      <c r="AK140">
        <v>-1.2242999999999999</v>
      </c>
      <c r="AL140" t="s">
        <v>134</v>
      </c>
      <c r="AM140">
        <v>12.702500000000001</v>
      </c>
      <c r="AN140">
        <v>11.077</v>
      </c>
      <c r="AO140">
        <v>10.2218</v>
      </c>
      <c r="AP140" t="s">
        <v>134</v>
      </c>
      <c r="AQ140" t="s">
        <v>134</v>
      </c>
      <c r="AR140" t="s">
        <v>134</v>
      </c>
      <c r="AS140" t="s">
        <v>134</v>
      </c>
      <c r="AT140" t="s">
        <v>134</v>
      </c>
      <c r="AU140" t="s">
        <v>134</v>
      </c>
      <c r="AV140" t="s">
        <v>134</v>
      </c>
      <c r="AW140" t="s">
        <v>134</v>
      </c>
      <c r="AX140" t="s">
        <v>134</v>
      </c>
      <c r="AY140" t="s">
        <v>134</v>
      </c>
      <c r="AZ140" t="s">
        <v>134</v>
      </c>
      <c r="BA140" t="s">
        <v>134</v>
      </c>
      <c r="BB140" t="s">
        <v>134</v>
      </c>
      <c r="BC140" t="s">
        <v>134</v>
      </c>
      <c r="BD140" t="s">
        <v>134</v>
      </c>
      <c r="BE140" t="s">
        <v>134</v>
      </c>
      <c r="BF140">
        <v>-4.7294999999999998</v>
      </c>
      <c r="BG140">
        <v>1.3397000000000001</v>
      </c>
      <c r="BH140">
        <v>19.792899999999999</v>
      </c>
      <c r="BI140">
        <v>451.91129999999998</v>
      </c>
      <c r="BJ140">
        <v>446.13440000000003</v>
      </c>
      <c r="BK140" t="s">
        <v>134</v>
      </c>
      <c r="BL140" t="s">
        <v>134</v>
      </c>
      <c r="BM140" t="s">
        <v>134</v>
      </c>
      <c r="BN140" t="s">
        <v>134</v>
      </c>
      <c r="BO140" t="s">
        <v>134</v>
      </c>
      <c r="BP140" t="s">
        <v>134</v>
      </c>
      <c r="BQ140" t="s">
        <v>134</v>
      </c>
      <c r="BR140" t="s">
        <v>134</v>
      </c>
      <c r="BS140" t="s">
        <v>134</v>
      </c>
      <c r="BT140" t="s">
        <v>134</v>
      </c>
      <c r="BU140" t="s">
        <v>134</v>
      </c>
      <c r="BV140" t="s">
        <v>134</v>
      </c>
      <c r="BW140" t="s">
        <v>134</v>
      </c>
      <c r="BX140" t="s">
        <v>134</v>
      </c>
      <c r="BY140">
        <v>373639.4</v>
      </c>
      <c r="BZ140">
        <v>27999.599999999999</v>
      </c>
      <c r="CA140">
        <v>345639.8</v>
      </c>
      <c r="CB140">
        <v>5.0396999999999998</v>
      </c>
      <c r="CC140">
        <v>4.8918999999999997</v>
      </c>
      <c r="CD140">
        <v>9.0884</v>
      </c>
      <c r="CE140">
        <v>8.8218999999999994</v>
      </c>
      <c r="CF140">
        <v>2.0676999999999999</v>
      </c>
      <c r="CG140">
        <v>26.402699999999999</v>
      </c>
      <c r="CH140">
        <v>152.80690000000001</v>
      </c>
      <c r="CI140">
        <v>57.622700000000002</v>
      </c>
      <c r="CJ140">
        <v>40.467500000000001</v>
      </c>
      <c r="CK140">
        <v>165.18549999999999</v>
      </c>
      <c r="CL140">
        <v>62.290599999999998</v>
      </c>
      <c r="CM140">
        <v>43.745699999999999</v>
      </c>
      <c r="CN140">
        <v>160.34110000000001</v>
      </c>
      <c r="CO140">
        <v>61.588900000000002</v>
      </c>
      <c r="CP140">
        <v>17292.599999999999</v>
      </c>
      <c r="CQ140" t="s">
        <v>134</v>
      </c>
      <c r="CR140">
        <v>10470.5</v>
      </c>
      <c r="CS140">
        <v>4.5100000000000001E-2</v>
      </c>
      <c r="CT140">
        <v>0.69620000000000004</v>
      </c>
      <c r="CU140">
        <v>0.1749</v>
      </c>
      <c r="CV140">
        <v>1.181</v>
      </c>
      <c r="CW140">
        <v>16.061399999999999</v>
      </c>
      <c r="CX140">
        <v>22.725300000000001</v>
      </c>
      <c r="CY140">
        <v>2.6545000000000001</v>
      </c>
      <c r="CZ140">
        <v>137.50399999999999</v>
      </c>
      <c r="DA140">
        <v>2.0716000000000001</v>
      </c>
      <c r="DB140">
        <v>176.19120000000001</v>
      </c>
      <c r="DC140">
        <v>-15.9619</v>
      </c>
      <c r="DD140">
        <v>160.22929999999999</v>
      </c>
      <c r="DE140">
        <v>93996.4</v>
      </c>
      <c r="DF140" t="s">
        <v>134</v>
      </c>
      <c r="DG140" t="s">
        <v>134</v>
      </c>
      <c r="DH140" t="s">
        <v>134</v>
      </c>
      <c r="DI140" t="s">
        <v>134</v>
      </c>
    </row>
    <row r="141" spans="4:113" x14ac:dyDescent="0.3">
      <c r="E141" t="s">
        <v>6</v>
      </c>
      <c r="F141" t="s">
        <v>134</v>
      </c>
      <c r="G141" t="s">
        <v>134</v>
      </c>
      <c r="H141" t="s">
        <v>134</v>
      </c>
      <c r="I141" t="s">
        <v>134</v>
      </c>
      <c r="J141">
        <v>10.343999999999999</v>
      </c>
      <c r="K141">
        <v>1.3738999999999999</v>
      </c>
      <c r="L141">
        <v>-29.897500000000001</v>
      </c>
      <c r="M141">
        <v>-32.380800000000001</v>
      </c>
      <c r="N141">
        <v>-11.417400000000001</v>
      </c>
      <c r="O141">
        <v>-10.7097</v>
      </c>
      <c r="P141">
        <v>-10.7097</v>
      </c>
      <c r="Q141" t="s">
        <v>134</v>
      </c>
      <c r="R141" t="s">
        <v>134</v>
      </c>
      <c r="S141" t="s">
        <v>134</v>
      </c>
      <c r="T141">
        <v>-33.306199999999997</v>
      </c>
      <c r="U141">
        <v>-61.153399999999998</v>
      </c>
      <c r="V141">
        <v>-91.573499999999996</v>
      </c>
      <c r="W141" t="s">
        <v>134</v>
      </c>
      <c r="X141" t="s">
        <v>134</v>
      </c>
      <c r="Y141" t="s">
        <v>134</v>
      </c>
      <c r="Z141" t="s">
        <v>134</v>
      </c>
      <c r="AA141" t="s">
        <v>134</v>
      </c>
      <c r="AB141" t="s">
        <v>134</v>
      </c>
      <c r="AC141" t="s">
        <v>134</v>
      </c>
      <c r="AD141" t="s">
        <v>134</v>
      </c>
      <c r="AE141" t="s">
        <v>134</v>
      </c>
      <c r="AF141" t="s">
        <v>134</v>
      </c>
      <c r="AG141" t="s">
        <v>134</v>
      </c>
      <c r="AH141" t="s">
        <v>134</v>
      </c>
      <c r="AI141" t="s">
        <v>134</v>
      </c>
      <c r="AJ141" t="s">
        <v>134</v>
      </c>
      <c r="AK141" t="s">
        <v>134</v>
      </c>
      <c r="AL141" t="s">
        <v>134</v>
      </c>
      <c r="AM141">
        <v>7.6458000000000004</v>
      </c>
      <c r="AN141">
        <v>-2.5821000000000001</v>
      </c>
      <c r="AO141">
        <v>-28.316400000000002</v>
      </c>
      <c r="AP141" t="s">
        <v>134</v>
      </c>
      <c r="AQ141" t="s">
        <v>134</v>
      </c>
      <c r="AR141" t="s">
        <v>134</v>
      </c>
      <c r="AS141" t="s">
        <v>134</v>
      </c>
      <c r="AT141" t="s">
        <v>134</v>
      </c>
      <c r="AU141" t="s">
        <v>134</v>
      </c>
      <c r="AV141" t="s">
        <v>134</v>
      </c>
      <c r="AW141" t="s">
        <v>134</v>
      </c>
      <c r="AX141" t="s">
        <v>134</v>
      </c>
      <c r="AY141" t="s">
        <v>134</v>
      </c>
      <c r="AZ141" t="s">
        <v>134</v>
      </c>
      <c r="BA141" t="s">
        <v>134</v>
      </c>
      <c r="BB141" t="s">
        <v>134</v>
      </c>
      <c r="BC141" t="s">
        <v>134</v>
      </c>
      <c r="BD141" t="s">
        <v>134</v>
      </c>
      <c r="BE141" t="s">
        <v>134</v>
      </c>
      <c r="BF141">
        <v>-18.985099999999999</v>
      </c>
      <c r="BG141">
        <v>-50.267400000000002</v>
      </c>
      <c r="BH141">
        <v>-87.676599999999993</v>
      </c>
      <c r="BI141">
        <v>-1741.2016000000001</v>
      </c>
      <c r="BJ141">
        <v>-1739.431</v>
      </c>
      <c r="BK141" t="s">
        <v>134</v>
      </c>
      <c r="BL141" t="s">
        <v>134</v>
      </c>
      <c r="BM141" t="s">
        <v>134</v>
      </c>
      <c r="BN141" t="s">
        <v>134</v>
      </c>
      <c r="BO141" t="s">
        <v>134</v>
      </c>
      <c r="BP141" t="s">
        <v>134</v>
      </c>
      <c r="BQ141" t="s">
        <v>134</v>
      </c>
      <c r="BR141" t="s">
        <v>134</v>
      </c>
      <c r="BS141" t="s">
        <v>134</v>
      </c>
      <c r="BT141" t="s">
        <v>134</v>
      </c>
      <c r="BU141" t="s">
        <v>134</v>
      </c>
      <c r="BV141" t="s">
        <v>134</v>
      </c>
      <c r="BW141" t="s">
        <v>134</v>
      </c>
      <c r="BX141" t="s">
        <v>134</v>
      </c>
      <c r="BY141" t="s">
        <v>134</v>
      </c>
      <c r="BZ141" t="s">
        <v>134</v>
      </c>
      <c r="CA141" t="s">
        <v>134</v>
      </c>
      <c r="CB141" t="s">
        <v>134</v>
      </c>
      <c r="CC141" t="s">
        <v>134</v>
      </c>
      <c r="CD141" t="s">
        <v>134</v>
      </c>
      <c r="CE141" t="s">
        <v>134</v>
      </c>
      <c r="CF141">
        <v>1.1001000000000001</v>
      </c>
      <c r="CG141" t="s">
        <v>134</v>
      </c>
      <c r="CH141" t="s">
        <v>134</v>
      </c>
      <c r="CI141" t="s">
        <v>134</v>
      </c>
      <c r="CJ141" t="s">
        <v>134</v>
      </c>
      <c r="CK141" t="s">
        <v>134</v>
      </c>
      <c r="CL141" t="s">
        <v>134</v>
      </c>
      <c r="CM141" t="s">
        <v>134</v>
      </c>
      <c r="CN141" t="s">
        <v>134</v>
      </c>
      <c r="CO141" t="s">
        <v>134</v>
      </c>
      <c r="CP141">
        <v>8918.1</v>
      </c>
      <c r="CQ141" t="s">
        <v>134</v>
      </c>
      <c r="CR141">
        <v>1184.5</v>
      </c>
      <c r="CS141" t="s">
        <v>134</v>
      </c>
      <c r="CT141" t="s">
        <v>134</v>
      </c>
      <c r="CU141" t="s">
        <v>134</v>
      </c>
      <c r="CV141" t="s">
        <v>134</v>
      </c>
      <c r="CW141" t="s">
        <v>134</v>
      </c>
      <c r="CX141" t="s">
        <v>134</v>
      </c>
      <c r="CY141" t="s">
        <v>134</v>
      </c>
      <c r="CZ141" t="s">
        <v>134</v>
      </c>
      <c r="DA141" t="s">
        <v>134</v>
      </c>
      <c r="DB141" t="s">
        <v>134</v>
      </c>
      <c r="DC141" t="s">
        <v>134</v>
      </c>
      <c r="DD141" t="s">
        <v>134</v>
      </c>
      <c r="DE141" t="s">
        <v>134</v>
      </c>
      <c r="DF141" t="s">
        <v>134</v>
      </c>
      <c r="DG141" t="s">
        <v>134</v>
      </c>
      <c r="DH141" t="s">
        <v>134</v>
      </c>
      <c r="DI141" t="s">
        <v>134</v>
      </c>
    </row>
    <row r="142" spans="4:113" x14ac:dyDescent="0.3">
      <c r="E142" t="s">
        <v>7</v>
      </c>
      <c r="F142">
        <v>-2.133</v>
      </c>
      <c r="G142">
        <v>-0.5474</v>
      </c>
      <c r="H142">
        <v>2.7949000000000002</v>
      </c>
      <c r="I142">
        <v>4.3899999999999997</v>
      </c>
      <c r="J142">
        <v>17.4251</v>
      </c>
      <c r="K142">
        <v>9.8440999999999992</v>
      </c>
      <c r="L142" t="s">
        <v>134</v>
      </c>
      <c r="M142">
        <v>2.6451000000000002</v>
      </c>
      <c r="N142">
        <v>1.6263000000000001</v>
      </c>
      <c r="O142">
        <v>1.6354</v>
      </c>
      <c r="P142">
        <v>1.6354</v>
      </c>
      <c r="Q142">
        <v>45.842500000000001</v>
      </c>
      <c r="R142" t="s">
        <v>134</v>
      </c>
      <c r="S142" t="s">
        <v>134</v>
      </c>
      <c r="T142">
        <v>-15.311299999999999</v>
      </c>
      <c r="U142">
        <v>8.4457000000000004</v>
      </c>
      <c r="V142">
        <v>31.4176</v>
      </c>
      <c r="W142">
        <v>174.52709999999999</v>
      </c>
      <c r="X142">
        <v>217.697</v>
      </c>
      <c r="Y142" t="s">
        <v>134</v>
      </c>
      <c r="Z142">
        <v>12.075200000000001</v>
      </c>
      <c r="AA142">
        <v>-23.668600000000001</v>
      </c>
      <c r="AB142">
        <v>1.5615999999999999</v>
      </c>
      <c r="AC142">
        <v>-4.2186000000000003</v>
      </c>
      <c r="AD142">
        <v>-116.0819</v>
      </c>
      <c r="AE142">
        <v>-64.676900000000003</v>
      </c>
      <c r="AF142">
        <v>-10.105700000000001</v>
      </c>
      <c r="AG142">
        <v>46.961799999999997</v>
      </c>
      <c r="AH142">
        <v>3.8357000000000001</v>
      </c>
      <c r="AI142">
        <v>-6.4835000000000003</v>
      </c>
      <c r="AJ142">
        <v>-2.5600000000000001E-2</v>
      </c>
      <c r="AK142">
        <v>-6.3266</v>
      </c>
      <c r="AL142" t="s">
        <v>134</v>
      </c>
      <c r="AM142">
        <v>7.7507000000000001</v>
      </c>
      <c r="AN142">
        <v>2.7989000000000002</v>
      </c>
      <c r="AO142">
        <v>-2.3439999999999999</v>
      </c>
      <c r="AP142">
        <v>-26.412800000000001</v>
      </c>
      <c r="AQ142">
        <v>-27.3185</v>
      </c>
      <c r="AR142" t="s">
        <v>134</v>
      </c>
      <c r="AS142" t="s">
        <v>134</v>
      </c>
      <c r="AT142">
        <v>13.765000000000001</v>
      </c>
      <c r="AU142">
        <v>13.3592</v>
      </c>
      <c r="AV142">
        <v>12.2568</v>
      </c>
      <c r="AW142" t="s">
        <v>134</v>
      </c>
      <c r="AX142" t="s">
        <v>134</v>
      </c>
      <c r="AY142">
        <v>16.209900000000001</v>
      </c>
      <c r="AZ142">
        <v>6.4946999999999999</v>
      </c>
      <c r="BA142">
        <v>19.144300000000001</v>
      </c>
      <c r="BB142">
        <v>5.2652999999999999</v>
      </c>
      <c r="BC142">
        <v>13.051</v>
      </c>
      <c r="BD142">
        <v>3.4701</v>
      </c>
      <c r="BE142" t="s">
        <v>134</v>
      </c>
      <c r="BF142">
        <v>22.188500000000001</v>
      </c>
      <c r="BG142">
        <v>86.745999999999995</v>
      </c>
      <c r="BH142">
        <v>601.98860000000002</v>
      </c>
      <c r="BI142" t="s">
        <v>134</v>
      </c>
      <c r="BJ142" t="s">
        <v>134</v>
      </c>
      <c r="BK142" t="s">
        <v>134</v>
      </c>
      <c r="BL142" t="s">
        <v>134</v>
      </c>
      <c r="BM142" t="s">
        <v>134</v>
      </c>
      <c r="BN142" t="s">
        <v>134</v>
      </c>
      <c r="BO142" t="s">
        <v>134</v>
      </c>
      <c r="BP142" t="s">
        <v>134</v>
      </c>
      <c r="BQ142" t="s">
        <v>134</v>
      </c>
      <c r="BR142" t="s">
        <v>134</v>
      </c>
      <c r="BS142" t="s">
        <v>134</v>
      </c>
      <c r="BT142" t="s">
        <v>134</v>
      </c>
      <c r="BU142" t="s">
        <v>134</v>
      </c>
      <c r="BV142" t="s">
        <v>134</v>
      </c>
      <c r="BW142" t="s">
        <v>134</v>
      </c>
      <c r="BX142" t="s">
        <v>134</v>
      </c>
      <c r="BY142">
        <v>402054.6</v>
      </c>
      <c r="BZ142">
        <v>74122.399999999994</v>
      </c>
      <c r="CA142">
        <v>327932.2</v>
      </c>
      <c r="CB142">
        <v>6.3804999999999996</v>
      </c>
      <c r="CC142">
        <v>6.2640000000000002</v>
      </c>
      <c r="CD142">
        <v>13.3446</v>
      </c>
      <c r="CE142">
        <v>13.101000000000001</v>
      </c>
      <c r="CF142">
        <v>2.1892</v>
      </c>
      <c r="CG142">
        <v>25.371600000000001</v>
      </c>
      <c r="CH142">
        <v>151.46510000000001</v>
      </c>
      <c r="CI142">
        <v>53.015300000000003</v>
      </c>
      <c r="CJ142">
        <v>39.848599999999998</v>
      </c>
      <c r="CK142">
        <v>185.70070000000001</v>
      </c>
      <c r="CL142">
        <v>64.9983</v>
      </c>
      <c r="CM142">
        <v>48.855499999999999</v>
      </c>
      <c r="CN142">
        <v>182.31059999999999</v>
      </c>
      <c r="CO142">
        <v>64.578000000000003</v>
      </c>
      <c r="CP142">
        <v>18246.2</v>
      </c>
      <c r="CQ142" t="s">
        <v>134</v>
      </c>
      <c r="CR142">
        <v>10308</v>
      </c>
      <c r="CS142">
        <v>2.86E-2</v>
      </c>
      <c r="CT142">
        <v>0.58660000000000001</v>
      </c>
      <c r="CU142">
        <v>0.13789999999999999</v>
      </c>
      <c r="CV142">
        <v>0.7349</v>
      </c>
      <c r="CW142">
        <v>15.452199999999999</v>
      </c>
      <c r="CX142">
        <v>23.6859</v>
      </c>
      <c r="CY142">
        <v>2.1865999999999999</v>
      </c>
      <c r="CZ142">
        <v>167.37970000000001</v>
      </c>
      <c r="DA142">
        <v>1.3757999999999999</v>
      </c>
      <c r="DB142">
        <v>266.02289999999999</v>
      </c>
      <c r="DC142">
        <v>-74.957300000000004</v>
      </c>
      <c r="DD142">
        <v>191.06559999999999</v>
      </c>
      <c r="DE142">
        <v>84033.5</v>
      </c>
      <c r="DF142">
        <v>33357.199999999997</v>
      </c>
      <c r="DG142">
        <v>6355.5</v>
      </c>
      <c r="DH142">
        <v>28846.799999999999</v>
      </c>
      <c r="DI142">
        <v>15474</v>
      </c>
    </row>
    <row r="143" spans="4:113" x14ac:dyDescent="0.3">
      <c r="D143" t="s">
        <v>10</v>
      </c>
      <c r="E143" t="s">
        <v>3</v>
      </c>
      <c r="F143">
        <v>16.9328</v>
      </c>
      <c r="G143">
        <v>4.1326000000000001</v>
      </c>
      <c r="H143">
        <v>9.1759000000000004</v>
      </c>
      <c r="I143">
        <v>9.0105000000000004</v>
      </c>
      <c r="J143">
        <v>22.285599999999999</v>
      </c>
      <c r="K143">
        <v>16.007000000000001</v>
      </c>
      <c r="L143">
        <v>41.1447</v>
      </c>
      <c r="M143">
        <v>9.3878000000000004</v>
      </c>
      <c r="N143">
        <v>6.3469999999999995</v>
      </c>
      <c r="O143">
        <v>6.4493</v>
      </c>
      <c r="P143">
        <v>6.4493</v>
      </c>
      <c r="Q143">
        <v>32.648099999999999</v>
      </c>
      <c r="R143">
        <v>15.346399999999999</v>
      </c>
      <c r="S143">
        <v>14.334199999999999</v>
      </c>
      <c r="T143">
        <v>33.704099999999997</v>
      </c>
      <c r="U143">
        <v>90.1922</v>
      </c>
      <c r="V143">
        <v>184.0504</v>
      </c>
      <c r="W143" t="s">
        <v>134</v>
      </c>
      <c r="X143" t="s">
        <v>134</v>
      </c>
      <c r="Y143">
        <v>200</v>
      </c>
      <c r="Z143">
        <v>52.140700000000002</v>
      </c>
      <c r="AA143">
        <v>36.9392</v>
      </c>
      <c r="AB143">
        <v>-0.42859999999999998</v>
      </c>
      <c r="AC143">
        <v>6.7611999999999997</v>
      </c>
      <c r="AD143" t="s">
        <v>134</v>
      </c>
      <c r="AE143">
        <v>23.25</v>
      </c>
      <c r="AF143">
        <v>12.5002</v>
      </c>
      <c r="AG143">
        <v>62.103200000000001</v>
      </c>
      <c r="AH143">
        <v>2.6775000000000002</v>
      </c>
      <c r="AI143">
        <v>19.345400000000001</v>
      </c>
      <c r="AJ143">
        <v>7.8086000000000002</v>
      </c>
      <c r="AK143">
        <v>19.203900000000001</v>
      </c>
      <c r="AL143">
        <v>15.8063</v>
      </c>
      <c r="AM143">
        <v>9.7116000000000007</v>
      </c>
      <c r="AN143">
        <v>14.8141</v>
      </c>
      <c r="AO143">
        <v>15.9697</v>
      </c>
      <c r="AP143">
        <v>47.200400000000002</v>
      </c>
      <c r="AQ143">
        <v>44.871000000000002</v>
      </c>
      <c r="AR143">
        <v>24.5731</v>
      </c>
      <c r="AS143">
        <v>23.200199999999999</v>
      </c>
      <c r="AT143">
        <v>14.503299999999999</v>
      </c>
      <c r="AU143">
        <v>11.8566</v>
      </c>
      <c r="AV143">
        <v>10.173</v>
      </c>
      <c r="AW143" t="s">
        <v>134</v>
      </c>
      <c r="AX143" t="s">
        <v>134</v>
      </c>
      <c r="AY143">
        <v>8.1195000000000004</v>
      </c>
      <c r="AZ143">
        <v>6.8921000000000001</v>
      </c>
      <c r="BA143">
        <v>15.908899999999999</v>
      </c>
      <c r="BB143">
        <v>5.7145999999999999</v>
      </c>
      <c r="BC143">
        <v>11.773199999999999</v>
      </c>
      <c r="BD143">
        <v>5.0072999999999999</v>
      </c>
      <c r="BE143">
        <v>12.781700000000001</v>
      </c>
      <c r="BF143">
        <v>33.704099999999997</v>
      </c>
      <c r="BG143">
        <v>90.1922</v>
      </c>
      <c r="BH143">
        <v>184.0504</v>
      </c>
      <c r="BI143" t="s">
        <v>134</v>
      </c>
      <c r="BJ143" t="s">
        <v>134</v>
      </c>
      <c r="BK143">
        <v>200</v>
      </c>
      <c r="BL143">
        <v>52.140700000000002</v>
      </c>
      <c r="BM143">
        <v>36.9392</v>
      </c>
      <c r="BN143">
        <v>-0.42859999999999998</v>
      </c>
      <c r="BO143">
        <v>6.7611999999999997</v>
      </c>
      <c r="BP143" t="s">
        <v>134</v>
      </c>
      <c r="BQ143" t="s">
        <v>134</v>
      </c>
      <c r="BR143">
        <v>12.5002</v>
      </c>
      <c r="BS143">
        <v>62.103200000000001</v>
      </c>
      <c r="BT143">
        <v>2.6775000000000002</v>
      </c>
      <c r="BU143">
        <v>19.345400000000001</v>
      </c>
      <c r="BV143">
        <v>7.8086000000000002</v>
      </c>
      <c r="BW143">
        <v>19.203900000000001</v>
      </c>
      <c r="BX143">
        <v>15.8063</v>
      </c>
      <c r="BY143">
        <v>433340.4</v>
      </c>
      <c r="BZ143">
        <v>109182.8</v>
      </c>
      <c r="CA143">
        <v>324157.59999999998</v>
      </c>
      <c r="CB143">
        <v>3.5594999999999999</v>
      </c>
      <c r="CC143">
        <v>3.4152</v>
      </c>
      <c r="CD143">
        <v>4.9557000000000002</v>
      </c>
      <c r="CE143">
        <v>4.7548000000000004</v>
      </c>
      <c r="CF143">
        <v>3.4948999999999999</v>
      </c>
      <c r="CG143">
        <v>25.724</v>
      </c>
      <c r="CH143">
        <v>144.70089999999999</v>
      </c>
      <c r="CI143">
        <v>49.312100000000001</v>
      </c>
      <c r="CJ143">
        <v>36.819099999999999</v>
      </c>
      <c r="CK143">
        <v>193.43899999999999</v>
      </c>
      <c r="CL143">
        <v>65.921400000000006</v>
      </c>
      <c r="CM143">
        <v>49.220500000000001</v>
      </c>
      <c r="CN143">
        <v>185.5977</v>
      </c>
      <c r="CO143">
        <v>64.985699999999994</v>
      </c>
      <c r="CP143">
        <v>121742.2</v>
      </c>
      <c r="CQ143">
        <v>77391.3</v>
      </c>
      <c r="CR143">
        <v>87443.5</v>
      </c>
      <c r="CS143">
        <v>5.9499999999999997E-2</v>
      </c>
      <c r="CT143">
        <v>0.72050000000000003</v>
      </c>
      <c r="CU143">
        <v>0.2001</v>
      </c>
      <c r="CV143">
        <v>1.2901</v>
      </c>
      <c r="CW143">
        <v>15.887700000000001</v>
      </c>
      <c r="CX143">
        <v>22.973800000000001</v>
      </c>
      <c r="CY143">
        <v>3.0177</v>
      </c>
      <c r="CZ143">
        <v>120.95350000000001</v>
      </c>
      <c r="DA143">
        <v>2.4214000000000002</v>
      </c>
      <c r="DB143">
        <v>150.73759999999999</v>
      </c>
      <c r="DC143">
        <v>-6.8102</v>
      </c>
      <c r="DD143">
        <v>143.9273</v>
      </c>
      <c r="DE143">
        <v>113949.6</v>
      </c>
      <c r="DF143">
        <v>47031.3</v>
      </c>
      <c r="DG143">
        <v>7751.8</v>
      </c>
      <c r="DH143">
        <v>44988.4</v>
      </c>
      <c r="DI143">
        <v>14178.1</v>
      </c>
    </row>
    <row r="144" spans="4:113" x14ac:dyDescent="0.3">
      <c r="E144" t="s">
        <v>4</v>
      </c>
      <c r="F144" t="s">
        <v>134</v>
      </c>
      <c r="G144" t="s">
        <v>134</v>
      </c>
      <c r="H144" t="s">
        <v>134</v>
      </c>
      <c r="I144" t="s">
        <v>134</v>
      </c>
      <c r="J144">
        <v>28.325399999999998</v>
      </c>
      <c r="K144">
        <v>21.1218</v>
      </c>
      <c r="L144">
        <v>587.1635</v>
      </c>
      <c r="M144">
        <v>13.303699999999999</v>
      </c>
      <c r="N144">
        <v>9.4954000000000001</v>
      </c>
      <c r="O144">
        <v>9.6081000000000003</v>
      </c>
      <c r="P144">
        <v>9.6081000000000003</v>
      </c>
      <c r="Q144">
        <v>29.3522</v>
      </c>
      <c r="R144" t="s">
        <v>134</v>
      </c>
      <c r="S144" t="s">
        <v>134</v>
      </c>
      <c r="T144">
        <v>2.3620999999999999</v>
      </c>
      <c r="U144">
        <v>91.598100000000002</v>
      </c>
      <c r="V144">
        <v>178.92679999999999</v>
      </c>
      <c r="W144">
        <v>5133.6008000000002</v>
      </c>
      <c r="X144">
        <v>5107.9061000000002</v>
      </c>
      <c r="Y144" t="s">
        <v>134</v>
      </c>
      <c r="Z144" t="s">
        <v>134</v>
      </c>
      <c r="AA144" t="s">
        <v>134</v>
      </c>
      <c r="AB144" t="s">
        <v>134</v>
      </c>
      <c r="AC144" t="s">
        <v>134</v>
      </c>
      <c r="AD144" t="s">
        <v>134</v>
      </c>
      <c r="AE144" t="s">
        <v>134</v>
      </c>
      <c r="AF144" t="s">
        <v>134</v>
      </c>
      <c r="AG144" t="s">
        <v>134</v>
      </c>
      <c r="AH144" t="s">
        <v>134</v>
      </c>
      <c r="AI144" t="s">
        <v>134</v>
      </c>
      <c r="AJ144" t="s">
        <v>134</v>
      </c>
      <c r="AK144" t="s">
        <v>134</v>
      </c>
      <c r="AL144" t="s">
        <v>134</v>
      </c>
      <c r="AM144">
        <v>9.2027000000000001</v>
      </c>
      <c r="AN144">
        <v>17.9056</v>
      </c>
      <c r="AO144">
        <v>19.6374</v>
      </c>
      <c r="AP144">
        <v>17.9802</v>
      </c>
      <c r="AQ144">
        <v>16.640499999999999</v>
      </c>
      <c r="AR144" t="s">
        <v>134</v>
      </c>
      <c r="AS144" t="s">
        <v>134</v>
      </c>
      <c r="AT144" t="s">
        <v>134</v>
      </c>
      <c r="AU144" t="s">
        <v>134</v>
      </c>
      <c r="AV144" t="s">
        <v>134</v>
      </c>
      <c r="AW144" t="s">
        <v>134</v>
      </c>
      <c r="AX144" t="s">
        <v>134</v>
      </c>
      <c r="AY144" t="s">
        <v>134</v>
      </c>
      <c r="AZ144" t="s">
        <v>134</v>
      </c>
      <c r="BA144" t="s">
        <v>134</v>
      </c>
      <c r="BB144" t="s">
        <v>134</v>
      </c>
      <c r="BC144" t="s">
        <v>134</v>
      </c>
      <c r="BD144" t="s">
        <v>134</v>
      </c>
      <c r="BE144" t="s">
        <v>134</v>
      </c>
      <c r="BF144">
        <v>11.3064</v>
      </c>
      <c r="BG144">
        <v>69.900499999999994</v>
      </c>
      <c r="BH144">
        <v>122.3686</v>
      </c>
      <c r="BI144">
        <v>274.44709999999998</v>
      </c>
      <c r="BJ144">
        <v>275.0992</v>
      </c>
      <c r="BK144" t="s">
        <v>134</v>
      </c>
      <c r="BL144" t="s">
        <v>134</v>
      </c>
      <c r="BM144" t="s">
        <v>134</v>
      </c>
      <c r="BN144" t="s">
        <v>134</v>
      </c>
      <c r="BO144" t="s">
        <v>134</v>
      </c>
      <c r="BP144" t="s">
        <v>134</v>
      </c>
      <c r="BQ144" t="s">
        <v>134</v>
      </c>
      <c r="BR144" t="s">
        <v>134</v>
      </c>
      <c r="BS144" t="s">
        <v>134</v>
      </c>
      <c r="BT144" t="s">
        <v>134</v>
      </c>
      <c r="BU144">
        <v>-100</v>
      </c>
      <c r="BV144" t="s">
        <v>134</v>
      </c>
      <c r="BW144">
        <v>-100</v>
      </c>
      <c r="BX144" t="s">
        <v>134</v>
      </c>
      <c r="BY144" t="s">
        <v>134</v>
      </c>
      <c r="BZ144" t="s">
        <v>134</v>
      </c>
      <c r="CA144" t="s">
        <v>134</v>
      </c>
      <c r="CB144" t="s">
        <v>134</v>
      </c>
      <c r="CC144" t="s">
        <v>134</v>
      </c>
      <c r="CD144" t="s">
        <v>134</v>
      </c>
      <c r="CE144" t="s">
        <v>134</v>
      </c>
      <c r="CF144">
        <v>3.4937</v>
      </c>
      <c r="CG144" t="s">
        <v>134</v>
      </c>
      <c r="CH144" t="s">
        <v>134</v>
      </c>
      <c r="CI144" t="s">
        <v>134</v>
      </c>
      <c r="CJ144" t="s">
        <v>134</v>
      </c>
      <c r="CK144" t="s">
        <v>134</v>
      </c>
      <c r="CL144" t="s">
        <v>134</v>
      </c>
      <c r="CM144" t="s">
        <v>134</v>
      </c>
      <c r="CN144" t="s">
        <v>134</v>
      </c>
      <c r="CO144" t="s">
        <v>134</v>
      </c>
      <c r="CP144">
        <v>32694.3</v>
      </c>
      <c r="CQ144" t="s">
        <v>134</v>
      </c>
      <c r="CR144">
        <v>24379.599999999999</v>
      </c>
      <c r="CS144" t="s">
        <v>134</v>
      </c>
      <c r="CT144" t="s">
        <v>134</v>
      </c>
      <c r="CU144" t="s">
        <v>134</v>
      </c>
      <c r="CV144" t="s">
        <v>134</v>
      </c>
      <c r="CW144" t="s">
        <v>134</v>
      </c>
      <c r="CX144" t="s">
        <v>134</v>
      </c>
      <c r="CY144" t="s">
        <v>134</v>
      </c>
      <c r="CZ144" t="s">
        <v>134</v>
      </c>
      <c r="DA144" t="s">
        <v>134</v>
      </c>
      <c r="DB144" t="s">
        <v>134</v>
      </c>
      <c r="DC144" t="s">
        <v>134</v>
      </c>
      <c r="DD144" t="s">
        <v>134</v>
      </c>
      <c r="DE144" t="s">
        <v>134</v>
      </c>
      <c r="DF144" t="s">
        <v>134</v>
      </c>
      <c r="DG144" t="s">
        <v>134</v>
      </c>
      <c r="DH144" t="s">
        <v>134</v>
      </c>
      <c r="DI144" t="s">
        <v>134</v>
      </c>
    </row>
    <row r="145" spans="1:113" x14ac:dyDescent="0.3">
      <c r="E145" t="s">
        <v>5</v>
      </c>
      <c r="F145">
        <v>6.6291000000000002</v>
      </c>
      <c r="G145">
        <v>1.6779999999999999</v>
      </c>
      <c r="H145">
        <v>6.0655999999999999</v>
      </c>
      <c r="I145">
        <v>8.2507999999999999</v>
      </c>
      <c r="J145">
        <v>22.7819</v>
      </c>
      <c r="K145">
        <v>15.917</v>
      </c>
      <c r="L145">
        <v>47.164499999999997</v>
      </c>
      <c r="M145">
        <v>8.7169000000000008</v>
      </c>
      <c r="N145">
        <v>4.9816000000000003</v>
      </c>
      <c r="O145">
        <v>5.5938999999999997</v>
      </c>
      <c r="P145">
        <v>5.5938999999999997</v>
      </c>
      <c r="Q145">
        <v>41.816000000000003</v>
      </c>
      <c r="R145" t="s">
        <v>134</v>
      </c>
      <c r="S145" t="s">
        <v>134</v>
      </c>
      <c r="T145">
        <v>22.0335</v>
      </c>
      <c r="U145">
        <v>64.989000000000004</v>
      </c>
      <c r="V145">
        <v>115.0565</v>
      </c>
      <c r="W145">
        <v>1191.2548999999999</v>
      </c>
      <c r="X145">
        <v>1189.6995999999999</v>
      </c>
      <c r="Y145" t="s">
        <v>134</v>
      </c>
      <c r="Z145">
        <v>5.4612999999999996</v>
      </c>
      <c r="AA145">
        <v>7.0571000000000002</v>
      </c>
      <c r="AB145">
        <v>2.7181999999999999</v>
      </c>
      <c r="AC145">
        <v>4.6600000000000003E-2</v>
      </c>
      <c r="AD145">
        <v>341.72919999999999</v>
      </c>
      <c r="AE145">
        <v>-36.319499999999998</v>
      </c>
      <c r="AF145">
        <v>-10.9278</v>
      </c>
      <c r="AG145">
        <v>111.25409999999999</v>
      </c>
      <c r="AH145">
        <v>4.0618999999999996</v>
      </c>
      <c r="AI145">
        <v>-9.5007000000000001</v>
      </c>
      <c r="AJ145">
        <v>-1.0525</v>
      </c>
      <c r="AK145">
        <v>-7.6890999999999998</v>
      </c>
      <c r="AL145" t="s">
        <v>134</v>
      </c>
      <c r="AM145">
        <v>9.8093000000000004</v>
      </c>
      <c r="AN145">
        <v>16.246300000000002</v>
      </c>
      <c r="AO145">
        <v>17.110199999999999</v>
      </c>
      <c r="AP145" t="s">
        <v>134</v>
      </c>
      <c r="AQ145" t="s">
        <v>134</v>
      </c>
      <c r="AR145" t="s">
        <v>134</v>
      </c>
      <c r="AS145" t="s">
        <v>134</v>
      </c>
      <c r="AT145">
        <v>9.2260000000000009</v>
      </c>
      <c r="AU145">
        <v>12.238200000000001</v>
      </c>
      <c r="AV145">
        <v>10.9727</v>
      </c>
      <c r="AW145" t="s">
        <v>134</v>
      </c>
      <c r="AX145" t="s">
        <v>134</v>
      </c>
      <c r="AY145" t="s">
        <v>134</v>
      </c>
      <c r="AZ145" t="s">
        <v>134</v>
      </c>
      <c r="BA145">
        <v>16.117799999999999</v>
      </c>
      <c r="BB145">
        <v>4.3807999999999998</v>
      </c>
      <c r="BC145">
        <v>11.1797</v>
      </c>
      <c r="BD145">
        <v>3.4066999999999998</v>
      </c>
      <c r="BE145" t="s">
        <v>134</v>
      </c>
      <c r="BF145">
        <v>12.3703</v>
      </c>
      <c r="BG145">
        <v>-9.1339000000000006</v>
      </c>
      <c r="BH145">
        <v>-15.248900000000001</v>
      </c>
      <c r="BI145">
        <v>-35.137500000000003</v>
      </c>
      <c r="BJ145">
        <v>-35.097200000000001</v>
      </c>
      <c r="BK145" t="s">
        <v>134</v>
      </c>
      <c r="BL145" t="s">
        <v>134</v>
      </c>
      <c r="BM145" t="s">
        <v>134</v>
      </c>
      <c r="BN145" t="s">
        <v>134</v>
      </c>
      <c r="BO145" t="s">
        <v>134</v>
      </c>
      <c r="BP145" t="s">
        <v>134</v>
      </c>
      <c r="BQ145" t="s">
        <v>134</v>
      </c>
      <c r="BR145" t="s">
        <v>134</v>
      </c>
      <c r="BS145" t="s">
        <v>134</v>
      </c>
      <c r="BT145" t="s">
        <v>134</v>
      </c>
      <c r="BU145" t="s">
        <v>134</v>
      </c>
      <c r="BV145" t="s">
        <v>134</v>
      </c>
      <c r="BW145" t="s">
        <v>134</v>
      </c>
      <c r="BX145" t="s">
        <v>134</v>
      </c>
      <c r="BY145">
        <v>388816.2</v>
      </c>
      <c r="BZ145">
        <v>59150.3</v>
      </c>
      <c r="CA145">
        <v>329665.90000000002</v>
      </c>
      <c r="CB145">
        <v>4.2652000000000001</v>
      </c>
      <c r="CC145">
        <v>4.0499000000000001</v>
      </c>
      <c r="CD145">
        <v>6.7629000000000001</v>
      </c>
      <c r="CE145">
        <v>6.4215</v>
      </c>
      <c r="CF145">
        <v>3.0670999999999999</v>
      </c>
      <c r="CG145">
        <v>24.223199999999999</v>
      </c>
      <c r="CH145">
        <v>161.0454</v>
      </c>
      <c r="CI145">
        <v>55.544200000000004</v>
      </c>
      <c r="CJ145">
        <v>38.579300000000003</v>
      </c>
      <c r="CK145">
        <v>189.941</v>
      </c>
      <c r="CL145">
        <v>65.510199999999998</v>
      </c>
      <c r="CM145">
        <v>45.501399999999997</v>
      </c>
      <c r="CN145">
        <v>180.35300000000001</v>
      </c>
      <c r="CO145">
        <v>64.330699999999993</v>
      </c>
      <c r="CP145">
        <v>29586</v>
      </c>
      <c r="CQ145" t="s">
        <v>134</v>
      </c>
      <c r="CR145">
        <v>20670.8</v>
      </c>
      <c r="CS145">
        <v>6.7799999999999999E-2</v>
      </c>
      <c r="CT145">
        <v>0.65239999999999998</v>
      </c>
      <c r="CU145">
        <v>0.1827</v>
      </c>
      <c r="CV145">
        <v>1.3287</v>
      </c>
      <c r="CW145">
        <v>13.420199999999999</v>
      </c>
      <c r="CX145">
        <v>27.272200000000002</v>
      </c>
      <c r="CY145">
        <v>2.2686999999999999</v>
      </c>
      <c r="CZ145">
        <v>161.32570000000001</v>
      </c>
      <c r="DA145">
        <v>2.0167000000000002</v>
      </c>
      <c r="DB145">
        <v>181.48050000000001</v>
      </c>
      <c r="DC145">
        <v>7.1173999999999999</v>
      </c>
      <c r="DD145">
        <v>188.59790000000001</v>
      </c>
      <c r="DE145">
        <v>100629.8</v>
      </c>
      <c r="DF145" t="s">
        <v>134</v>
      </c>
      <c r="DG145" t="s">
        <v>134</v>
      </c>
      <c r="DH145" t="s">
        <v>134</v>
      </c>
      <c r="DI145" t="s">
        <v>134</v>
      </c>
    </row>
    <row r="146" spans="1:113" x14ac:dyDescent="0.3">
      <c r="E146" t="s">
        <v>6</v>
      </c>
      <c r="F146" t="s">
        <v>134</v>
      </c>
      <c r="G146" t="s">
        <v>134</v>
      </c>
      <c r="H146" t="s">
        <v>134</v>
      </c>
      <c r="I146" t="s">
        <v>134</v>
      </c>
      <c r="J146">
        <v>20.778300000000002</v>
      </c>
      <c r="K146">
        <v>14.15</v>
      </c>
      <c r="L146">
        <v>34.5366</v>
      </c>
      <c r="M146">
        <v>7.7225999999999999</v>
      </c>
      <c r="N146">
        <v>5.1875</v>
      </c>
      <c r="O146">
        <v>5.2911999999999999</v>
      </c>
      <c r="P146">
        <v>5.2911999999999999</v>
      </c>
      <c r="Q146">
        <v>32.946399999999997</v>
      </c>
      <c r="R146" t="s">
        <v>134</v>
      </c>
      <c r="S146" t="s">
        <v>134</v>
      </c>
      <c r="T146">
        <v>61.002899999999997</v>
      </c>
      <c r="U146">
        <v>193.42009999999999</v>
      </c>
      <c r="V146">
        <v>1229.5696</v>
      </c>
      <c r="W146" t="s">
        <v>134</v>
      </c>
      <c r="X146" t="s">
        <v>134</v>
      </c>
      <c r="Y146" t="s">
        <v>134</v>
      </c>
      <c r="Z146" t="s">
        <v>134</v>
      </c>
      <c r="AA146" t="s">
        <v>134</v>
      </c>
      <c r="AB146" t="s">
        <v>134</v>
      </c>
      <c r="AC146" t="s">
        <v>134</v>
      </c>
      <c r="AD146" t="s">
        <v>134</v>
      </c>
      <c r="AE146" t="s">
        <v>134</v>
      </c>
      <c r="AF146" t="s">
        <v>134</v>
      </c>
      <c r="AG146" t="s">
        <v>134</v>
      </c>
      <c r="AH146" t="s">
        <v>134</v>
      </c>
      <c r="AI146" t="s">
        <v>134</v>
      </c>
      <c r="AJ146" t="s">
        <v>134</v>
      </c>
      <c r="AK146" t="s">
        <v>134</v>
      </c>
      <c r="AL146" t="s">
        <v>134</v>
      </c>
      <c r="AM146">
        <v>10.4221</v>
      </c>
      <c r="AN146">
        <v>16.825399999999998</v>
      </c>
      <c r="AO146">
        <v>18.9328</v>
      </c>
      <c r="AP146" t="s">
        <v>134</v>
      </c>
      <c r="AQ146" t="s">
        <v>134</v>
      </c>
      <c r="AR146" t="s">
        <v>134</v>
      </c>
      <c r="AS146" t="s">
        <v>134</v>
      </c>
      <c r="AT146" t="s">
        <v>134</v>
      </c>
      <c r="AU146" t="s">
        <v>134</v>
      </c>
      <c r="AV146" t="s">
        <v>134</v>
      </c>
      <c r="AW146" t="s">
        <v>134</v>
      </c>
      <c r="AX146" t="s">
        <v>134</v>
      </c>
      <c r="AY146" t="s">
        <v>134</v>
      </c>
      <c r="AZ146" t="s">
        <v>134</v>
      </c>
      <c r="BA146" t="s">
        <v>134</v>
      </c>
      <c r="BB146" t="s">
        <v>134</v>
      </c>
      <c r="BC146" t="s">
        <v>134</v>
      </c>
      <c r="BD146" t="s">
        <v>134</v>
      </c>
      <c r="BE146" t="s">
        <v>134</v>
      </c>
      <c r="BF146">
        <v>6.2439</v>
      </c>
      <c r="BG146">
        <v>-3.0998000000000001</v>
      </c>
      <c r="BH146">
        <v>-5.5507999999999997</v>
      </c>
      <c r="BI146">
        <v>0.49419999999999997</v>
      </c>
      <c r="BJ146">
        <v>0.49919999999999998</v>
      </c>
      <c r="BK146" t="s">
        <v>134</v>
      </c>
      <c r="BL146" t="s">
        <v>134</v>
      </c>
      <c r="BM146" t="s">
        <v>134</v>
      </c>
      <c r="BN146" t="s">
        <v>134</v>
      </c>
      <c r="BO146" t="s">
        <v>134</v>
      </c>
      <c r="BP146" t="s">
        <v>134</v>
      </c>
      <c r="BQ146" t="s">
        <v>134</v>
      </c>
      <c r="BR146" t="s">
        <v>134</v>
      </c>
      <c r="BS146" t="s">
        <v>134</v>
      </c>
      <c r="BT146" t="s">
        <v>134</v>
      </c>
      <c r="BU146" t="s">
        <v>134</v>
      </c>
      <c r="BV146" t="s">
        <v>134</v>
      </c>
      <c r="BW146" t="s">
        <v>134</v>
      </c>
      <c r="BX146" t="s">
        <v>134</v>
      </c>
      <c r="BY146" t="s">
        <v>134</v>
      </c>
      <c r="BZ146" t="s">
        <v>134</v>
      </c>
      <c r="CA146" t="s">
        <v>134</v>
      </c>
      <c r="CB146" t="s">
        <v>134</v>
      </c>
      <c r="CC146" t="s">
        <v>134</v>
      </c>
      <c r="CD146" t="s">
        <v>134</v>
      </c>
      <c r="CE146" t="s">
        <v>134</v>
      </c>
      <c r="CF146">
        <v>3.1158000000000001</v>
      </c>
      <c r="CG146" t="s">
        <v>134</v>
      </c>
      <c r="CH146" t="s">
        <v>134</v>
      </c>
      <c r="CI146" t="s">
        <v>134</v>
      </c>
      <c r="CJ146" t="s">
        <v>134</v>
      </c>
      <c r="CK146" t="s">
        <v>134</v>
      </c>
      <c r="CL146" t="s">
        <v>134</v>
      </c>
      <c r="CM146" t="s">
        <v>134</v>
      </c>
      <c r="CN146" t="s">
        <v>134</v>
      </c>
      <c r="CO146" t="s">
        <v>134</v>
      </c>
      <c r="CP146">
        <v>28668.9</v>
      </c>
      <c r="CQ146" t="s">
        <v>134</v>
      </c>
      <c r="CR146">
        <v>19523.400000000001</v>
      </c>
      <c r="CS146" t="s">
        <v>134</v>
      </c>
      <c r="CT146" t="s">
        <v>134</v>
      </c>
      <c r="CU146" t="s">
        <v>134</v>
      </c>
      <c r="CV146" t="s">
        <v>134</v>
      </c>
      <c r="CW146" t="s">
        <v>134</v>
      </c>
      <c r="CX146" t="s">
        <v>134</v>
      </c>
      <c r="CY146" t="s">
        <v>134</v>
      </c>
      <c r="CZ146" t="s">
        <v>134</v>
      </c>
      <c r="DA146" t="s">
        <v>134</v>
      </c>
      <c r="DB146" t="s">
        <v>134</v>
      </c>
      <c r="DC146" t="s">
        <v>134</v>
      </c>
      <c r="DD146" t="s">
        <v>134</v>
      </c>
      <c r="DE146" t="s">
        <v>134</v>
      </c>
      <c r="DF146" t="s">
        <v>134</v>
      </c>
      <c r="DG146" t="s">
        <v>134</v>
      </c>
      <c r="DH146" t="s">
        <v>134</v>
      </c>
      <c r="DI146" t="s">
        <v>134</v>
      </c>
    </row>
    <row r="147" spans="1:113" x14ac:dyDescent="0.3">
      <c r="E147" t="s">
        <v>7</v>
      </c>
      <c r="F147">
        <v>17.2578</v>
      </c>
      <c r="G147">
        <v>4.2119</v>
      </c>
      <c r="H147">
        <v>9.4798000000000009</v>
      </c>
      <c r="I147">
        <v>8.9770000000000003</v>
      </c>
      <c r="J147">
        <v>19.4315</v>
      </c>
      <c r="K147">
        <v>14.041499999999999</v>
      </c>
      <c r="L147">
        <v>20.120699999999999</v>
      </c>
      <c r="M147">
        <v>8.5665999999999993</v>
      </c>
      <c r="N147">
        <v>6.1924000000000001</v>
      </c>
      <c r="O147">
        <v>6.2275</v>
      </c>
      <c r="P147">
        <v>6.2275</v>
      </c>
      <c r="Q147">
        <v>28.609000000000002</v>
      </c>
      <c r="R147" t="s">
        <v>134</v>
      </c>
      <c r="S147" t="s">
        <v>134</v>
      </c>
      <c r="T147">
        <v>57.062899999999999</v>
      </c>
      <c r="U147">
        <v>64.466899999999995</v>
      </c>
      <c r="V147">
        <v>108.5975</v>
      </c>
      <c r="W147">
        <v>242.46889999999999</v>
      </c>
      <c r="X147">
        <v>241.46340000000001</v>
      </c>
      <c r="Y147" t="s">
        <v>134</v>
      </c>
      <c r="Z147">
        <v>52.140700000000002</v>
      </c>
      <c r="AA147">
        <v>36.9392</v>
      </c>
      <c r="AB147">
        <v>-0.42859999999999998</v>
      </c>
      <c r="AC147">
        <v>6.7611999999999997</v>
      </c>
      <c r="AD147" t="s">
        <v>134</v>
      </c>
      <c r="AE147">
        <v>23.25</v>
      </c>
      <c r="AF147">
        <v>12.5002</v>
      </c>
      <c r="AG147">
        <v>62.103200000000001</v>
      </c>
      <c r="AH147">
        <v>2.6775000000000002</v>
      </c>
      <c r="AI147">
        <v>19.345400000000001</v>
      </c>
      <c r="AJ147">
        <v>7.8086000000000002</v>
      </c>
      <c r="AK147">
        <v>19.203900000000001</v>
      </c>
      <c r="AL147" t="s">
        <v>134</v>
      </c>
      <c r="AM147">
        <v>9.9141999999999992</v>
      </c>
      <c r="AN147">
        <v>13.5169</v>
      </c>
      <c r="AO147">
        <v>14.711</v>
      </c>
      <c r="AP147">
        <v>5.6731999999999996</v>
      </c>
      <c r="AQ147">
        <v>4.2310999999999996</v>
      </c>
      <c r="AR147" t="s">
        <v>134</v>
      </c>
      <c r="AS147">
        <v>23.200199999999999</v>
      </c>
      <c r="AT147">
        <v>14.503299999999999</v>
      </c>
      <c r="AU147">
        <v>11.8566</v>
      </c>
      <c r="AV147">
        <v>10.173</v>
      </c>
      <c r="AW147" t="s">
        <v>134</v>
      </c>
      <c r="AX147" t="s">
        <v>134</v>
      </c>
      <c r="AY147">
        <v>8.1195000000000004</v>
      </c>
      <c r="AZ147">
        <v>6.8921000000000001</v>
      </c>
      <c r="BA147">
        <v>15.908899999999999</v>
      </c>
      <c r="BB147">
        <v>5.7145999999999999</v>
      </c>
      <c r="BC147">
        <v>11.773199999999999</v>
      </c>
      <c r="BD147">
        <v>5.0072999999999999</v>
      </c>
      <c r="BE147" t="s">
        <v>134</v>
      </c>
      <c r="BF147">
        <v>18.0581</v>
      </c>
      <c r="BG147">
        <v>12.1896</v>
      </c>
      <c r="BH147">
        <v>17.100899999999999</v>
      </c>
      <c r="BI147">
        <v>38.943800000000003</v>
      </c>
      <c r="BJ147">
        <v>38.0822</v>
      </c>
      <c r="BK147" t="s">
        <v>134</v>
      </c>
      <c r="BL147" t="s">
        <v>134</v>
      </c>
      <c r="BM147" t="s">
        <v>134</v>
      </c>
      <c r="BN147" t="s">
        <v>134</v>
      </c>
      <c r="BO147" t="s">
        <v>134</v>
      </c>
      <c r="BP147" t="s">
        <v>134</v>
      </c>
      <c r="BQ147" t="s">
        <v>134</v>
      </c>
      <c r="BR147" t="s">
        <v>134</v>
      </c>
      <c r="BS147" t="s">
        <v>134</v>
      </c>
      <c r="BT147" t="s">
        <v>134</v>
      </c>
      <c r="BU147" t="s">
        <v>134</v>
      </c>
      <c r="BV147" t="s">
        <v>134</v>
      </c>
      <c r="BW147" t="s">
        <v>134</v>
      </c>
      <c r="BX147" t="s">
        <v>134</v>
      </c>
      <c r="BY147">
        <v>433340.4</v>
      </c>
      <c r="BZ147">
        <v>109182.8</v>
      </c>
      <c r="CA147">
        <v>324157.59999999998</v>
      </c>
      <c r="CB147">
        <v>3.5518000000000001</v>
      </c>
      <c r="CC147">
        <v>3.4079000000000002</v>
      </c>
      <c r="CD147">
        <v>4.9546999999999999</v>
      </c>
      <c r="CE147">
        <v>4.7538</v>
      </c>
      <c r="CF147">
        <v>3.34</v>
      </c>
      <c r="CG147">
        <v>25.724</v>
      </c>
      <c r="CH147">
        <v>144.70089999999999</v>
      </c>
      <c r="CI147">
        <v>49.312100000000001</v>
      </c>
      <c r="CJ147">
        <v>36.819099999999999</v>
      </c>
      <c r="CK147">
        <v>193.43899999999999</v>
      </c>
      <c r="CL147">
        <v>65.921400000000006</v>
      </c>
      <c r="CM147">
        <v>49.220500000000001</v>
      </c>
      <c r="CN147">
        <v>185.5977</v>
      </c>
      <c r="CO147">
        <v>64.985699999999994</v>
      </c>
      <c r="CP147">
        <v>31648.7</v>
      </c>
      <c r="CQ147" t="s">
        <v>134</v>
      </c>
      <c r="CR147">
        <v>22869.8</v>
      </c>
      <c r="CS147">
        <v>5.9499999999999997E-2</v>
      </c>
      <c r="CT147">
        <v>0.72050000000000003</v>
      </c>
      <c r="CU147">
        <v>0.2001</v>
      </c>
      <c r="CV147">
        <v>1.2901</v>
      </c>
      <c r="CW147">
        <v>15.8873</v>
      </c>
      <c r="CX147">
        <v>22.974299999999999</v>
      </c>
      <c r="CY147">
        <v>3.0112999999999999</v>
      </c>
      <c r="CZ147">
        <v>121.2118</v>
      </c>
      <c r="DA147">
        <v>2.4167999999999998</v>
      </c>
      <c r="DB147">
        <v>151.0292</v>
      </c>
      <c r="DC147">
        <v>-6.8430999999999997</v>
      </c>
      <c r="DD147">
        <v>144.18620000000001</v>
      </c>
      <c r="DE147">
        <v>113949.6</v>
      </c>
      <c r="DF147">
        <v>47031.3</v>
      </c>
      <c r="DG147">
        <v>7751.8</v>
      </c>
      <c r="DH147">
        <v>44988.4</v>
      </c>
      <c r="DI147">
        <v>14178.1</v>
      </c>
    </row>
    <row r="148" spans="1:113" x14ac:dyDescent="0.3">
      <c r="D148" t="s">
        <v>11</v>
      </c>
      <c r="E148" t="s">
        <v>3</v>
      </c>
      <c r="F148">
        <v>24.539400000000001</v>
      </c>
      <c r="G148">
        <v>6.9002999999999997</v>
      </c>
      <c r="H148">
        <v>13.350099999999999</v>
      </c>
      <c r="I148">
        <v>13.374000000000001</v>
      </c>
      <c r="J148">
        <v>21.498799999999999</v>
      </c>
      <c r="K148">
        <v>16.576799999999999</v>
      </c>
      <c r="L148">
        <v>18.773399999999999</v>
      </c>
      <c r="M148">
        <v>11.057499999999999</v>
      </c>
      <c r="N148">
        <v>8.8834999999999997</v>
      </c>
      <c r="O148">
        <v>9.0303000000000004</v>
      </c>
      <c r="P148">
        <v>9.0303000000000004</v>
      </c>
      <c r="Q148">
        <v>20.212900000000001</v>
      </c>
      <c r="R148">
        <v>12.391299999999999</v>
      </c>
      <c r="S148">
        <v>21.498699999999999</v>
      </c>
      <c r="T148">
        <v>25.9665</v>
      </c>
      <c r="U148">
        <v>21.5213</v>
      </c>
      <c r="V148">
        <v>30.455200000000001</v>
      </c>
      <c r="W148">
        <v>76.383799999999994</v>
      </c>
      <c r="X148">
        <v>76.337400000000002</v>
      </c>
      <c r="Y148">
        <v>42.222200000000001</v>
      </c>
      <c r="Z148">
        <v>13.3767</v>
      </c>
      <c r="AA148">
        <v>10.5222</v>
      </c>
      <c r="AB148">
        <v>1.319</v>
      </c>
      <c r="AC148">
        <v>4.4603000000000002</v>
      </c>
      <c r="AD148">
        <v>-38.342399999999998</v>
      </c>
      <c r="AE148">
        <v>30.323499999999999</v>
      </c>
      <c r="AF148">
        <v>19.448599999999999</v>
      </c>
      <c r="AG148">
        <v>-29.748999999999999</v>
      </c>
      <c r="AH148">
        <v>-9.0945</v>
      </c>
      <c r="AI148">
        <v>22.914200000000001</v>
      </c>
      <c r="AJ148">
        <v>1.8132999999999999</v>
      </c>
      <c r="AK148">
        <v>23.460999999999999</v>
      </c>
      <c r="AL148">
        <v>102.7045</v>
      </c>
      <c r="AM148">
        <v>12.4863</v>
      </c>
      <c r="AN148">
        <v>17.8642</v>
      </c>
      <c r="AO148">
        <v>21.736599999999999</v>
      </c>
      <c r="AP148">
        <v>46.046900000000001</v>
      </c>
      <c r="AQ148">
        <v>43.729300000000002</v>
      </c>
      <c r="AR148">
        <v>26.191500000000001</v>
      </c>
      <c r="AS148">
        <v>17.4329</v>
      </c>
      <c r="AT148">
        <v>18.041699999999999</v>
      </c>
      <c r="AU148">
        <v>9.8419000000000008</v>
      </c>
      <c r="AV148">
        <v>9.7734000000000005</v>
      </c>
      <c r="AW148" t="s">
        <v>134</v>
      </c>
      <c r="AX148" t="s">
        <v>134</v>
      </c>
      <c r="AY148">
        <v>9.2354000000000003</v>
      </c>
      <c r="AZ148">
        <v>12.284000000000001</v>
      </c>
      <c r="BA148">
        <v>12.6755</v>
      </c>
      <c r="BB148">
        <v>9.4367999999999999</v>
      </c>
      <c r="BC148">
        <v>11.273899999999999</v>
      </c>
      <c r="BD148">
        <v>8.7538999999999998</v>
      </c>
      <c r="BE148">
        <v>15.482699999999999</v>
      </c>
      <c r="BF148">
        <v>25.9665</v>
      </c>
      <c r="BG148">
        <v>21.5213</v>
      </c>
      <c r="BH148">
        <v>30.455200000000001</v>
      </c>
      <c r="BI148">
        <v>76.383799999999994</v>
      </c>
      <c r="BJ148">
        <v>76.337400000000002</v>
      </c>
      <c r="BK148">
        <v>42.222200000000001</v>
      </c>
      <c r="BL148">
        <v>13.3767</v>
      </c>
      <c r="BM148">
        <v>10.5222</v>
      </c>
      <c r="BN148">
        <v>1.319</v>
      </c>
      <c r="BO148">
        <v>4.4603000000000002</v>
      </c>
      <c r="BP148">
        <v>-38.342399999999998</v>
      </c>
      <c r="BQ148" t="s">
        <v>134</v>
      </c>
      <c r="BR148">
        <v>19.448599999999999</v>
      </c>
      <c r="BS148">
        <v>-29.748999999999999</v>
      </c>
      <c r="BT148">
        <v>-9.0945</v>
      </c>
      <c r="BU148">
        <v>22.914200000000001</v>
      </c>
      <c r="BV148">
        <v>1.8132999999999999</v>
      </c>
      <c r="BW148">
        <v>23.460999999999999</v>
      </c>
      <c r="BX148">
        <v>102.7045</v>
      </c>
      <c r="BY148">
        <v>393930</v>
      </c>
      <c r="BZ148">
        <v>76700</v>
      </c>
      <c r="CA148">
        <v>317230</v>
      </c>
      <c r="CB148">
        <v>2.6627999999999998</v>
      </c>
      <c r="CC148">
        <v>2.5911</v>
      </c>
      <c r="CD148">
        <v>3.4534000000000002</v>
      </c>
      <c r="CE148">
        <v>3.3605</v>
      </c>
      <c r="CF148">
        <v>4.3042999999999996</v>
      </c>
      <c r="CG148">
        <v>30.4267</v>
      </c>
      <c r="CH148">
        <v>115.2139</v>
      </c>
      <c r="CI148">
        <v>47.3994</v>
      </c>
      <c r="CJ148">
        <v>34.474800000000002</v>
      </c>
      <c r="CK148">
        <v>143.07040000000001</v>
      </c>
      <c r="CL148">
        <v>58.859699999999997</v>
      </c>
      <c r="CM148">
        <v>42.810099999999998</v>
      </c>
      <c r="CN148">
        <v>139.22059999999999</v>
      </c>
      <c r="CO148">
        <v>58.197600000000001</v>
      </c>
      <c r="CP148">
        <v>147940</v>
      </c>
      <c r="CQ148">
        <v>100580</v>
      </c>
      <c r="CR148">
        <v>114070</v>
      </c>
      <c r="CS148">
        <v>3.6600000000000001E-2</v>
      </c>
      <c r="CT148">
        <v>0.80069999999999997</v>
      </c>
      <c r="CU148">
        <v>0.19900000000000001</v>
      </c>
      <c r="CV148">
        <v>1.8589</v>
      </c>
      <c r="CW148">
        <v>15.5457</v>
      </c>
      <c r="CX148">
        <v>23.479199999999999</v>
      </c>
      <c r="CY148">
        <v>3.2332000000000001</v>
      </c>
      <c r="CZ148">
        <v>112.8901</v>
      </c>
      <c r="DA148">
        <v>2.7298</v>
      </c>
      <c r="DB148">
        <v>133.7116</v>
      </c>
      <c r="DC148">
        <v>2.6577000000000002</v>
      </c>
      <c r="DD148">
        <v>136.36930000000001</v>
      </c>
      <c r="DE148">
        <v>125940</v>
      </c>
      <c r="DF148">
        <v>62630</v>
      </c>
      <c r="DG148">
        <v>7730</v>
      </c>
      <c r="DH148">
        <v>37000</v>
      </c>
      <c r="DI148">
        <v>18580</v>
      </c>
    </row>
    <row r="149" spans="1:113" x14ac:dyDescent="0.3">
      <c r="E149" t="s">
        <v>4</v>
      </c>
      <c r="F149" t="s">
        <v>134</v>
      </c>
      <c r="G149" t="s">
        <v>134</v>
      </c>
      <c r="H149" t="s">
        <v>134</v>
      </c>
      <c r="I149" t="s">
        <v>134</v>
      </c>
      <c r="J149">
        <v>18.0745</v>
      </c>
      <c r="K149">
        <v>12.417999999999999</v>
      </c>
      <c r="L149" t="s">
        <v>134</v>
      </c>
      <c r="M149">
        <v>6.1745000000000001</v>
      </c>
      <c r="N149">
        <v>4.3097000000000003</v>
      </c>
      <c r="O149">
        <v>4.3235000000000001</v>
      </c>
      <c r="P149">
        <v>4.3235000000000001</v>
      </c>
      <c r="Q149">
        <v>31.767299999999999</v>
      </c>
      <c r="R149" t="s">
        <v>134</v>
      </c>
      <c r="S149" t="s">
        <v>134</v>
      </c>
      <c r="T149">
        <v>25.2834</v>
      </c>
      <c r="U149">
        <v>-19.625299999999999</v>
      </c>
      <c r="V149">
        <v>-26.281300000000002</v>
      </c>
      <c r="W149">
        <v>-44.107100000000003</v>
      </c>
      <c r="X149">
        <v>-44.060499999999998</v>
      </c>
      <c r="Y149" t="s">
        <v>134</v>
      </c>
      <c r="Z149" t="s">
        <v>134</v>
      </c>
      <c r="AA149" t="s">
        <v>134</v>
      </c>
      <c r="AB149" t="s">
        <v>134</v>
      </c>
      <c r="AC149" t="s">
        <v>134</v>
      </c>
      <c r="AD149" t="s">
        <v>134</v>
      </c>
      <c r="AE149" t="s">
        <v>134</v>
      </c>
      <c r="AF149" t="s">
        <v>134</v>
      </c>
      <c r="AG149" t="s">
        <v>134</v>
      </c>
      <c r="AH149" t="s">
        <v>134</v>
      </c>
      <c r="AI149" t="s">
        <v>134</v>
      </c>
      <c r="AJ149" t="s">
        <v>134</v>
      </c>
      <c r="AK149" t="s">
        <v>134</v>
      </c>
      <c r="AL149" t="s">
        <v>134</v>
      </c>
      <c r="AM149">
        <v>7.8955000000000002</v>
      </c>
      <c r="AN149">
        <v>6.5183</v>
      </c>
      <c r="AO149">
        <v>5.5097000000000005</v>
      </c>
      <c r="AP149">
        <v>66.008799999999994</v>
      </c>
      <c r="AQ149">
        <v>63.378100000000003</v>
      </c>
      <c r="AR149" t="s">
        <v>134</v>
      </c>
      <c r="AS149" t="s">
        <v>134</v>
      </c>
      <c r="AT149" t="s">
        <v>134</v>
      </c>
      <c r="AU149" t="s">
        <v>134</v>
      </c>
      <c r="AV149" t="s">
        <v>134</v>
      </c>
      <c r="AW149" t="s">
        <v>134</v>
      </c>
      <c r="AX149" t="s">
        <v>134</v>
      </c>
      <c r="AY149" t="s">
        <v>134</v>
      </c>
      <c r="AZ149" t="s">
        <v>134</v>
      </c>
      <c r="BA149" t="s">
        <v>134</v>
      </c>
      <c r="BB149" t="s">
        <v>134</v>
      </c>
      <c r="BC149" t="s">
        <v>134</v>
      </c>
      <c r="BD149" t="s">
        <v>134</v>
      </c>
      <c r="BE149" t="s">
        <v>134</v>
      </c>
      <c r="BF149">
        <v>-11.102499999999999</v>
      </c>
      <c r="BG149">
        <v>-17.311</v>
      </c>
      <c r="BH149">
        <v>-21.381</v>
      </c>
      <c r="BI149">
        <v>-38.281999999999996</v>
      </c>
      <c r="BJ149">
        <v>-38.333300000000001</v>
      </c>
      <c r="BK149" t="s">
        <v>134</v>
      </c>
      <c r="BL149" t="s">
        <v>134</v>
      </c>
      <c r="BM149" t="s">
        <v>134</v>
      </c>
      <c r="BN149" t="s">
        <v>134</v>
      </c>
      <c r="BO149" t="s">
        <v>134</v>
      </c>
      <c r="BP149" t="s">
        <v>134</v>
      </c>
      <c r="BQ149" t="s">
        <v>134</v>
      </c>
      <c r="BR149" t="s">
        <v>134</v>
      </c>
      <c r="BS149" t="s">
        <v>134</v>
      </c>
      <c r="BT149" t="s">
        <v>134</v>
      </c>
      <c r="BU149" t="s">
        <v>134</v>
      </c>
      <c r="BV149" t="s">
        <v>134</v>
      </c>
      <c r="BW149" t="s">
        <v>134</v>
      </c>
      <c r="BX149" t="s">
        <v>134</v>
      </c>
      <c r="BY149" t="s">
        <v>134</v>
      </c>
      <c r="BZ149" t="s">
        <v>134</v>
      </c>
      <c r="CA149" t="s">
        <v>134</v>
      </c>
      <c r="CB149" t="s">
        <v>134</v>
      </c>
      <c r="CC149" t="s">
        <v>134</v>
      </c>
      <c r="CD149" t="s">
        <v>134</v>
      </c>
      <c r="CE149" t="s">
        <v>134</v>
      </c>
      <c r="CF149">
        <v>2.7692999999999999</v>
      </c>
      <c r="CG149" t="s">
        <v>134</v>
      </c>
      <c r="CH149" t="s">
        <v>134</v>
      </c>
      <c r="CI149" t="s">
        <v>134</v>
      </c>
      <c r="CJ149" t="s">
        <v>134</v>
      </c>
      <c r="CK149" t="s">
        <v>134</v>
      </c>
      <c r="CL149" t="s">
        <v>134</v>
      </c>
      <c r="CM149" t="s">
        <v>134</v>
      </c>
      <c r="CN149" t="s">
        <v>134</v>
      </c>
      <c r="CO149" t="s">
        <v>134</v>
      </c>
      <c r="CP149">
        <v>26170</v>
      </c>
      <c r="CQ149" t="s">
        <v>134</v>
      </c>
      <c r="CR149">
        <v>17980</v>
      </c>
      <c r="CS149" t="s">
        <v>134</v>
      </c>
      <c r="CT149" t="s">
        <v>134</v>
      </c>
      <c r="CU149" t="s">
        <v>134</v>
      </c>
      <c r="CV149" t="s">
        <v>134</v>
      </c>
      <c r="CW149" t="s">
        <v>134</v>
      </c>
      <c r="CX149" t="s">
        <v>134</v>
      </c>
      <c r="CY149" t="s">
        <v>134</v>
      </c>
      <c r="CZ149" t="s">
        <v>134</v>
      </c>
      <c r="DA149" t="s">
        <v>134</v>
      </c>
      <c r="DB149" t="s">
        <v>134</v>
      </c>
      <c r="DC149" t="s">
        <v>134</v>
      </c>
      <c r="DD149" t="s">
        <v>134</v>
      </c>
      <c r="DE149" t="s">
        <v>134</v>
      </c>
      <c r="DF149" t="s">
        <v>134</v>
      </c>
      <c r="DG149" t="s">
        <v>134</v>
      </c>
      <c r="DH149" t="s">
        <v>134</v>
      </c>
      <c r="DI149" t="s">
        <v>134</v>
      </c>
    </row>
    <row r="150" spans="1:113" x14ac:dyDescent="0.3">
      <c r="E150" t="s">
        <v>5</v>
      </c>
      <c r="F150">
        <v>14.5943</v>
      </c>
      <c r="G150">
        <v>3.6212</v>
      </c>
      <c r="H150">
        <v>9.4366000000000003</v>
      </c>
      <c r="I150">
        <v>8.8537999999999997</v>
      </c>
      <c r="J150">
        <v>18.247399999999999</v>
      </c>
      <c r="K150">
        <v>13.1326</v>
      </c>
      <c r="L150">
        <v>3.2294999999999998</v>
      </c>
      <c r="M150">
        <v>7.6571999999999996</v>
      </c>
      <c r="N150">
        <v>5.0246000000000004</v>
      </c>
      <c r="O150">
        <v>5.0427</v>
      </c>
      <c r="P150">
        <v>5.0427</v>
      </c>
      <c r="Q150">
        <v>34.929400000000001</v>
      </c>
      <c r="R150" t="s">
        <v>134</v>
      </c>
      <c r="S150" t="s">
        <v>134</v>
      </c>
      <c r="T150">
        <v>28.116399999999999</v>
      </c>
      <c r="U150">
        <v>2.6160999999999999</v>
      </c>
      <c r="V150">
        <v>5.7046999999999999</v>
      </c>
      <c r="W150">
        <v>15.4916</v>
      </c>
      <c r="X150">
        <v>15.4742</v>
      </c>
      <c r="Y150" t="s">
        <v>134</v>
      </c>
      <c r="Z150">
        <v>43.3446</v>
      </c>
      <c r="AA150">
        <v>22.379300000000001</v>
      </c>
      <c r="AB150">
        <v>0.86270000000000002</v>
      </c>
      <c r="AC150">
        <v>7.4294000000000002</v>
      </c>
      <c r="AD150">
        <v>-64.809600000000003</v>
      </c>
      <c r="AE150">
        <v>24.7376</v>
      </c>
      <c r="AF150">
        <v>51.633899999999997</v>
      </c>
      <c r="AG150">
        <v>1.3182</v>
      </c>
      <c r="AH150">
        <v>1.6316000000000002</v>
      </c>
      <c r="AI150">
        <v>11.864100000000001</v>
      </c>
      <c r="AJ150">
        <v>5.1608000000000001</v>
      </c>
      <c r="AK150">
        <v>12.170500000000001</v>
      </c>
      <c r="AL150" t="s">
        <v>134</v>
      </c>
      <c r="AM150">
        <v>11.9186</v>
      </c>
      <c r="AN150">
        <v>14.67</v>
      </c>
      <c r="AO150">
        <v>17.286000000000001</v>
      </c>
      <c r="AP150">
        <v>3.9502000000000002</v>
      </c>
      <c r="AQ150">
        <v>2.2932000000000001</v>
      </c>
      <c r="AR150" t="s">
        <v>134</v>
      </c>
      <c r="AS150" t="s">
        <v>134</v>
      </c>
      <c r="AT150">
        <v>12.928100000000001</v>
      </c>
      <c r="AU150">
        <v>11.2667</v>
      </c>
      <c r="AV150">
        <v>10.1249</v>
      </c>
      <c r="AW150" t="s">
        <v>134</v>
      </c>
      <c r="AX150" t="s">
        <v>134</v>
      </c>
      <c r="AY150" t="s">
        <v>134</v>
      </c>
      <c r="AZ150">
        <v>22.2197</v>
      </c>
      <c r="BA150">
        <v>17.8992</v>
      </c>
      <c r="BB150">
        <v>5.3169000000000004</v>
      </c>
      <c r="BC150">
        <v>12.251899999999999</v>
      </c>
      <c r="BD150">
        <v>4.3189000000000002</v>
      </c>
      <c r="BE150" t="s">
        <v>134</v>
      </c>
      <c r="BF150">
        <v>14.911300000000001</v>
      </c>
      <c r="BG150">
        <v>16.0107</v>
      </c>
      <c r="BH150">
        <v>21.523900000000001</v>
      </c>
      <c r="BI150">
        <v>34.025599999999997</v>
      </c>
      <c r="BJ150">
        <v>33.976799999999997</v>
      </c>
      <c r="BK150" t="s">
        <v>134</v>
      </c>
      <c r="BL150" t="s">
        <v>134</v>
      </c>
      <c r="BM150" t="s">
        <v>134</v>
      </c>
      <c r="BN150" t="s">
        <v>134</v>
      </c>
      <c r="BO150" t="s">
        <v>134</v>
      </c>
      <c r="BP150" t="s">
        <v>134</v>
      </c>
      <c r="BQ150" t="s">
        <v>134</v>
      </c>
      <c r="BR150" t="s">
        <v>134</v>
      </c>
      <c r="BS150" t="s">
        <v>134</v>
      </c>
      <c r="BT150" t="s">
        <v>134</v>
      </c>
      <c r="BU150" t="s">
        <v>134</v>
      </c>
      <c r="BV150" t="s">
        <v>134</v>
      </c>
      <c r="BW150" t="s">
        <v>134</v>
      </c>
      <c r="BX150" t="s">
        <v>134</v>
      </c>
      <c r="BY150">
        <v>395160</v>
      </c>
      <c r="BZ150">
        <v>59930</v>
      </c>
      <c r="CA150">
        <v>335230</v>
      </c>
      <c r="CB150">
        <v>3.3952</v>
      </c>
      <c r="CC150">
        <v>3.2953000000000001</v>
      </c>
      <c r="CD150">
        <v>4.8056000000000001</v>
      </c>
      <c r="CE150">
        <v>4.6641000000000004</v>
      </c>
      <c r="CF150">
        <v>3.1958000000000002</v>
      </c>
      <c r="CG150">
        <v>25.360600000000002</v>
      </c>
      <c r="CH150">
        <v>146.39500000000001</v>
      </c>
      <c r="CI150">
        <v>53.709800000000001</v>
      </c>
      <c r="CJ150">
        <v>36.517400000000002</v>
      </c>
      <c r="CK150">
        <v>172.56649999999999</v>
      </c>
      <c r="CL150">
        <v>63.311700000000002</v>
      </c>
      <c r="CM150">
        <v>43.0458</v>
      </c>
      <c r="CN150">
        <v>167.48769999999999</v>
      </c>
      <c r="CO150">
        <v>62.615099999999998</v>
      </c>
      <c r="CP150">
        <v>30360</v>
      </c>
      <c r="CQ150" t="s">
        <v>134</v>
      </c>
      <c r="CR150">
        <v>21850</v>
      </c>
      <c r="CS150">
        <v>3.7699999999999997E-2</v>
      </c>
      <c r="CT150">
        <v>0.75429999999999997</v>
      </c>
      <c r="CU150">
        <v>0.1925</v>
      </c>
      <c r="CV150">
        <v>1.7608000000000001</v>
      </c>
      <c r="CW150">
        <v>15.1219</v>
      </c>
      <c r="CX150">
        <v>24.1371</v>
      </c>
      <c r="CY150">
        <v>3.1814999999999998</v>
      </c>
      <c r="CZ150">
        <v>114.7265</v>
      </c>
      <c r="DA150">
        <v>2.8315000000000001</v>
      </c>
      <c r="DB150">
        <v>128.90520000000001</v>
      </c>
      <c r="DC150">
        <v>9.9585000000000008</v>
      </c>
      <c r="DD150">
        <v>138.86369999999999</v>
      </c>
      <c r="DE150">
        <v>123150</v>
      </c>
      <c r="DF150" t="s">
        <v>134</v>
      </c>
      <c r="DG150" t="s">
        <v>134</v>
      </c>
      <c r="DH150" t="s">
        <v>134</v>
      </c>
      <c r="DI150" t="s">
        <v>134</v>
      </c>
    </row>
    <row r="151" spans="1:113" x14ac:dyDescent="0.3">
      <c r="E151" t="s">
        <v>6</v>
      </c>
      <c r="F151" t="s">
        <v>134</v>
      </c>
      <c r="G151" t="s">
        <v>134</v>
      </c>
      <c r="H151" t="s">
        <v>134</v>
      </c>
      <c r="I151" t="s">
        <v>134</v>
      </c>
      <c r="J151">
        <v>21.795200000000001</v>
      </c>
      <c r="K151">
        <v>16.973199999999999</v>
      </c>
      <c r="L151">
        <v>27.0075</v>
      </c>
      <c r="M151">
        <v>10.493</v>
      </c>
      <c r="N151">
        <v>10.0402</v>
      </c>
      <c r="O151">
        <v>9.9213000000000005</v>
      </c>
      <c r="P151">
        <v>9.9213000000000005</v>
      </c>
      <c r="Q151">
        <v>5.0701000000000001</v>
      </c>
      <c r="R151" t="s">
        <v>134</v>
      </c>
      <c r="S151" t="s">
        <v>134</v>
      </c>
      <c r="T151">
        <v>28.073399999999999</v>
      </c>
      <c r="U151">
        <v>36.511899999999997</v>
      </c>
      <c r="V151">
        <v>53.558599999999998</v>
      </c>
      <c r="W151">
        <v>140.137</v>
      </c>
      <c r="X151">
        <v>138.3562</v>
      </c>
      <c r="Y151" t="s">
        <v>134</v>
      </c>
      <c r="Z151" t="s">
        <v>134</v>
      </c>
      <c r="AA151" t="s">
        <v>134</v>
      </c>
      <c r="AB151" t="s">
        <v>134</v>
      </c>
      <c r="AC151" t="s">
        <v>134</v>
      </c>
      <c r="AD151" t="s">
        <v>134</v>
      </c>
      <c r="AE151" t="s">
        <v>134</v>
      </c>
      <c r="AF151" t="s">
        <v>134</v>
      </c>
      <c r="AG151" t="s">
        <v>134</v>
      </c>
      <c r="AH151" t="s">
        <v>134</v>
      </c>
      <c r="AI151" t="s">
        <v>134</v>
      </c>
      <c r="AJ151" t="s">
        <v>134</v>
      </c>
      <c r="AK151" t="s">
        <v>134</v>
      </c>
      <c r="AL151" t="s">
        <v>134</v>
      </c>
      <c r="AM151">
        <v>14.787599999999999</v>
      </c>
      <c r="AN151">
        <v>23.673500000000001</v>
      </c>
      <c r="AO151">
        <v>31.305</v>
      </c>
      <c r="AP151" t="s">
        <v>134</v>
      </c>
      <c r="AQ151" t="s">
        <v>134</v>
      </c>
      <c r="AR151" t="s">
        <v>134</v>
      </c>
      <c r="AS151" t="s">
        <v>134</v>
      </c>
      <c r="AT151" t="s">
        <v>134</v>
      </c>
      <c r="AU151" t="s">
        <v>134</v>
      </c>
      <c r="AV151" t="s">
        <v>134</v>
      </c>
      <c r="AW151" t="s">
        <v>134</v>
      </c>
      <c r="AX151" t="s">
        <v>134</v>
      </c>
      <c r="AY151" t="s">
        <v>134</v>
      </c>
      <c r="AZ151" t="s">
        <v>134</v>
      </c>
      <c r="BA151" t="s">
        <v>134</v>
      </c>
      <c r="BB151" t="s">
        <v>134</v>
      </c>
      <c r="BC151" t="s">
        <v>134</v>
      </c>
      <c r="BD151" t="s">
        <v>134</v>
      </c>
      <c r="BE151" t="s">
        <v>134</v>
      </c>
      <c r="BF151">
        <v>4.4885000000000002</v>
      </c>
      <c r="BG151">
        <v>26.8445</v>
      </c>
      <c r="BH151">
        <v>37.253999999999998</v>
      </c>
      <c r="BI151">
        <v>108.9392</v>
      </c>
      <c r="BJ151">
        <v>108.9337</v>
      </c>
      <c r="BK151" t="s">
        <v>134</v>
      </c>
      <c r="BL151" t="s">
        <v>134</v>
      </c>
      <c r="BM151" t="s">
        <v>134</v>
      </c>
      <c r="BN151" t="s">
        <v>134</v>
      </c>
      <c r="BO151" t="s">
        <v>134</v>
      </c>
      <c r="BP151" t="s">
        <v>134</v>
      </c>
      <c r="BQ151" t="s">
        <v>134</v>
      </c>
      <c r="BR151" t="s">
        <v>134</v>
      </c>
      <c r="BS151" t="s">
        <v>134</v>
      </c>
      <c r="BT151" t="s">
        <v>134</v>
      </c>
      <c r="BU151" t="s">
        <v>134</v>
      </c>
      <c r="BV151" t="s">
        <v>134</v>
      </c>
      <c r="BW151" t="s">
        <v>134</v>
      </c>
      <c r="BX151" t="s">
        <v>134</v>
      </c>
      <c r="BY151" t="s">
        <v>134</v>
      </c>
      <c r="BZ151" t="s">
        <v>134</v>
      </c>
      <c r="CA151" t="s">
        <v>134</v>
      </c>
      <c r="CB151" t="s">
        <v>134</v>
      </c>
      <c r="CC151" t="s">
        <v>134</v>
      </c>
      <c r="CD151" t="s">
        <v>134</v>
      </c>
      <c r="CE151" t="s">
        <v>134</v>
      </c>
      <c r="CF151">
        <v>4.1722999999999999</v>
      </c>
      <c r="CG151" t="s">
        <v>134</v>
      </c>
      <c r="CH151" t="s">
        <v>134</v>
      </c>
      <c r="CI151" t="s">
        <v>134</v>
      </c>
      <c r="CJ151" t="s">
        <v>134</v>
      </c>
      <c r="CK151" t="s">
        <v>134</v>
      </c>
      <c r="CL151" t="s">
        <v>134</v>
      </c>
      <c r="CM151" t="s">
        <v>134</v>
      </c>
      <c r="CN151" t="s">
        <v>134</v>
      </c>
      <c r="CO151" t="s">
        <v>134</v>
      </c>
      <c r="CP151">
        <v>38510</v>
      </c>
      <c r="CQ151" t="s">
        <v>134</v>
      </c>
      <c r="CR151">
        <v>29990</v>
      </c>
      <c r="CS151" t="s">
        <v>134</v>
      </c>
      <c r="CT151" t="s">
        <v>134</v>
      </c>
      <c r="CU151" t="s">
        <v>134</v>
      </c>
      <c r="CV151" t="s">
        <v>134</v>
      </c>
      <c r="CW151" t="s">
        <v>134</v>
      </c>
      <c r="CX151" t="s">
        <v>134</v>
      </c>
      <c r="CY151" t="s">
        <v>134</v>
      </c>
      <c r="CZ151" t="s">
        <v>134</v>
      </c>
      <c r="DA151" t="s">
        <v>134</v>
      </c>
      <c r="DB151" t="s">
        <v>134</v>
      </c>
      <c r="DC151" t="s">
        <v>134</v>
      </c>
      <c r="DD151" t="s">
        <v>134</v>
      </c>
      <c r="DE151" t="s">
        <v>134</v>
      </c>
      <c r="DF151" t="s">
        <v>134</v>
      </c>
      <c r="DG151" t="s">
        <v>134</v>
      </c>
      <c r="DH151" t="s">
        <v>134</v>
      </c>
      <c r="DI151" t="s">
        <v>134</v>
      </c>
    </row>
    <row r="152" spans="1:113" x14ac:dyDescent="0.3">
      <c r="E152" t="s">
        <v>7</v>
      </c>
      <c r="F152">
        <v>24.539400000000001</v>
      </c>
      <c r="G152">
        <v>6.9002999999999997</v>
      </c>
      <c r="H152">
        <v>13.6677</v>
      </c>
      <c r="I152">
        <v>13.0875</v>
      </c>
      <c r="J152">
        <v>26.414300000000001</v>
      </c>
      <c r="K152">
        <v>22.095199999999998</v>
      </c>
      <c r="L152">
        <v>57.170900000000003</v>
      </c>
      <c r="M152">
        <v>17.910800000000002</v>
      </c>
      <c r="N152">
        <v>14.3756</v>
      </c>
      <c r="O152">
        <v>14.9598</v>
      </c>
      <c r="P152">
        <v>14.9598</v>
      </c>
      <c r="Q152">
        <v>19.9331</v>
      </c>
      <c r="R152" t="s">
        <v>134</v>
      </c>
      <c r="S152" t="s">
        <v>134</v>
      </c>
      <c r="T152">
        <v>22.960799999999999</v>
      </c>
      <c r="U152">
        <v>67.147499999999994</v>
      </c>
      <c r="V152">
        <v>93.486599999999996</v>
      </c>
      <c r="W152">
        <v>195.37899999999999</v>
      </c>
      <c r="X152">
        <v>195.2381</v>
      </c>
      <c r="Y152" t="s">
        <v>134</v>
      </c>
      <c r="Z152">
        <v>13.3767</v>
      </c>
      <c r="AA152">
        <v>10.5222</v>
      </c>
      <c r="AB152">
        <v>1.319</v>
      </c>
      <c r="AC152">
        <v>4.4603000000000002</v>
      </c>
      <c r="AD152">
        <v>-38.342399999999998</v>
      </c>
      <c r="AE152">
        <v>30.323499999999999</v>
      </c>
      <c r="AF152">
        <v>19.448599999999999</v>
      </c>
      <c r="AG152">
        <v>-29.748999999999999</v>
      </c>
      <c r="AH152">
        <v>-9.0945</v>
      </c>
      <c r="AI152">
        <v>22.914200000000001</v>
      </c>
      <c r="AJ152">
        <v>1.8132999999999999</v>
      </c>
      <c r="AK152">
        <v>23.460999999999999</v>
      </c>
      <c r="AL152" t="s">
        <v>134</v>
      </c>
      <c r="AM152">
        <v>15.245100000000001</v>
      </c>
      <c r="AN152">
        <v>25.6874</v>
      </c>
      <c r="AO152">
        <v>32.296500000000002</v>
      </c>
      <c r="AP152">
        <v>58.882599999999996</v>
      </c>
      <c r="AQ152">
        <v>57.241199999999999</v>
      </c>
      <c r="AR152" t="s">
        <v>134</v>
      </c>
      <c r="AS152">
        <v>17.4329</v>
      </c>
      <c r="AT152">
        <v>18.041699999999999</v>
      </c>
      <c r="AU152">
        <v>9.8419000000000008</v>
      </c>
      <c r="AV152">
        <v>9.7734000000000005</v>
      </c>
      <c r="AW152" t="s">
        <v>134</v>
      </c>
      <c r="AX152" t="s">
        <v>134</v>
      </c>
      <c r="AY152">
        <v>9.2354000000000003</v>
      </c>
      <c r="AZ152">
        <v>12.284000000000001</v>
      </c>
      <c r="BA152">
        <v>12.6755</v>
      </c>
      <c r="BB152">
        <v>9.4367999999999999</v>
      </c>
      <c r="BC152">
        <v>11.273899999999999</v>
      </c>
      <c r="BD152">
        <v>8.7538999999999998</v>
      </c>
      <c r="BE152" t="s">
        <v>134</v>
      </c>
      <c r="BF152">
        <v>13.3454</v>
      </c>
      <c r="BG152">
        <v>37.366900000000001</v>
      </c>
      <c r="BH152">
        <v>47.549199999999999</v>
      </c>
      <c r="BI152">
        <v>70.906999999999996</v>
      </c>
      <c r="BJ152">
        <v>71.034499999999994</v>
      </c>
      <c r="BK152" t="s">
        <v>134</v>
      </c>
      <c r="BL152" t="s">
        <v>134</v>
      </c>
      <c r="BM152" t="s">
        <v>134</v>
      </c>
      <c r="BN152" t="s">
        <v>134</v>
      </c>
      <c r="BO152" t="s">
        <v>134</v>
      </c>
      <c r="BP152" t="s">
        <v>134</v>
      </c>
      <c r="BQ152" t="s">
        <v>134</v>
      </c>
      <c r="BR152" t="s">
        <v>134</v>
      </c>
      <c r="BS152" t="s">
        <v>134</v>
      </c>
      <c r="BT152" t="s">
        <v>134</v>
      </c>
      <c r="BU152" t="s">
        <v>134</v>
      </c>
      <c r="BV152" t="s">
        <v>134</v>
      </c>
      <c r="BW152" t="s">
        <v>134</v>
      </c>
      <c r="BX152" t="s">
        <v>134</v>
      </c>
      <c r="BY152">
        <v>393930</v>
      </c>
      <c r="BZ152">
        <v>76700</v>
      </c>
      <c r="CA152">
        <v>317230</v>
      </c>
      <c r="CB152">
        <v>2.6627999999999998</v>
      </c>
      <c r="CC152">
        <v>2.5911</v>
      </c>
      <c r="CD152">
        <v>3.4534000000000002</v>
      </c>
      <c r="CE152">
        <v>3.3605</v>
      </c>
      <c r="CF152">
        <v>5.9908999999999999</v>
      </c>
      <c r="CG152">
        <v>30.4267</v>
      </c>
      <c r="CH152">
        <v>115.2139</v>
      </c>
      <c r="CI152">
        <v>47.3994</v>
      </c>
      <c r="CJ152">
        <v>34.474800000000002</v>
      </c>
      <c r="CK152">
        <v>143.07040000000001</v>
      </c>
      <c r="CL152">
        <v>58.859699999999997</v>
      </c>
      <c r="CM152">
        <v>42.810099999999998</v>
      </c>
      <c r="CN152">
        <v>139.22059999999999</v>
      </c>
      <c r="CO152">
        <v>58.197600000000001</v>
      </c>
      <c r="CP152">
        <v>52900</v>
      </c>
      <c r="CQ152" t="s">
        <v>134</v>
      </c>
      <c r="CR152">
        <v>44250</v>
      </c>
      <c r="CS152">
        <v>3.6600000000000001E-2</v>
      </c>
      <c r="CT152">
        <v>0.80069999999999997</v>
      </c>
      <c r="CU152">
        <v>0.19900000000000001</v>
      </c>
      <c r="CV152">
        <v>1.8589</v>
      </c>
      <c r="CW152">
        <v>15.607099999999999</v>
      </c>
      <c r="CX152">
        <v>23.386700000000001</v>
      </c>
      <c r="CY152">
        <v>3.2332000000000001</v>
      </c>
      <c r="CZ152">
        <v>112.8901</v>
      </c>
      <c r="DA152">
        <v>2.7298</v>
      </c>
      <c r="DB152">
        <v>133.7116</v>
      </c>
      <c r="DC152">
        <v>2.5653000000000001</v>
      </c>
      <c r="DD152">
        <v>136.27690000000001</v>
      </c>
      <c r="DE152">
        <v>125940</v>
      </c>
      <c r="DF152">
        <v>62630</v>
      </c>
      <c r="DG152">
        <v>7730</v>
      </c>
      <c r="DH152">
        <v>37000</v>
      </c>
      <c r="DI152">
        <v>18580</v>
      </c>
    </row>
    <row r="153" spans="1:113" x14ac:dyDescent="0.3">
      <c r="A153">
        <v>57</v>
      </c>
      <c r="B153" t="s">
        <v>22</v>
      </c>
      <c r="C153" t="s">
        <v>23</v>
      </c>
      <c r="D153" t="s">
        <v>2</v>
      </c>
      <c r="E153" t="s">
        <v>3</v>
      </c>
      <c r="F153">
        <v>14.3514</v>
      </c>
      <c r="G153">
        <v>2.0708000000000002</v>
      </c>
      <c r="H153">
        <v>4.8975</v>
      </c>
      <c r="I153">
        <v>5.2237</v>
      </c>
      <c r="J153" t="s">
        <v>134</v>
      </c>
      <c r="K153">
        <v>34.185600000000001</v>
      </c>
      <c r="L153">
        <v>64.831000000000003</v>
      </c>
      <c r="M153">
        <v>21.583100000000002</v>
      </c>
      <c r="N153">
        <v>23.377800000000001</v>
      </c>
      <c r="O153">
        <v>22.802700000000002</v>
      </c>
      <c r="P153">
        <v>22.802700000000002</v>
      </c>
      <c r="Q153">
        <v>32.0379</v>
      </c>
      <c r="R153">
        <v>2.5590000000000002</v>
      </c>
      <c r="S153">
        <v>13.9842</v>
      </c>
      <c r="T153">
        <v>7.1199000000000003</v>
      </c>
      <c r="U153" t="s">
        <v>134</v>
      </c>
      <c r="V153">
        <v>17.535299999999999</v>
      </c>
      <c r="W153">
        <v>12.6357</v>
      </c>
      <c r="X153">
        <v>9.5806000000000004</v>
      </c>
      <c r="Y153">
        <v>14.0413</v>
      </c>
      <c r="Z153" t="s">
        <v>134</v>
      </c>
      <c r="AA153" t="s">
        <v>134</v>
      </c>
      <c r="AB153">
        <v>111.81059999999999</v>
      </c>
      <c r="AC153">
        <v>5.5267999999999997</v>
      </c>
      <c r="AD153" t="s">
        <v>134</v>
      </c>
      <c r="AE153" t="s">
        <v>134</v>
      </c>
      <c r="AF153" t="s">
        <v>134</v>
      </c>
      <c r="AG153">
        <v>-12.279199999999999</v>
      </c>
      <c r="AH153">
        <v>-19.4696</v>
      </c>
      <c r="AI153">
        <v>25.067</v>
      </c>
      <c r="AJ153">
        <v>-6.5499000000000001</v>
      </c>
      <c r="AK153">
        <v>21.156199999999998</v>
      </c>
      <c r="AL153">
        <v>56.183399999999999</v>
      </c>
      <c r="AM153">
        <v>18.683800000000002</v>
      </c>
      <c r="AN153" t="s">
        <v>134</v>
      </c>
      <c r="AO153">
        <v>29.460899999999999</v>
      </c>
      <c r="AP153">
        <v>30.455400000000001</v>
      </c>
      <c r="AQ153">
        <v>27.779399999999999</v>
      </c>
      <c r="AR153">
        <v>16.362200000000001</v>
      </c>
      <c r="AS153" t="s">
        <v>134</v>
      </c>
      <c r="AT153" t="s">
        <v>134</v>
      </c>
      <c r="AU153">
        <v>32.363100000000003</v>
      </c>
      <c r="AV153">
        <v>24.888400000000001</v>
      </c>
      <c r="AW153" t="s">
        <v>134</v>
      </c>
      <c r="AX153" t="s">
        <v>134</v>
      </c>
      <c r="AY153" t="s">
        <v>134</v>
      </c>
      <c r="AZ153">
        <v>12.9741</v>
      </c>
      <c r="BA153">
        <v>18.9831</v>
      </c>
      <c r="BB153">
        <v>23.720099999999999</v>
      </c>
      <c r="BC153">
        <v>20.692699999999999</v>
      </c>
      <c r="BD153">
        <v>20.9602</v>
      </c>
      <c r="BE153" t="s">
        <v>134</v>
      </c>
      <c r="BF153">
        <v>7.1199000000000003</v>
      </c>
      <c r="BG153" t="s">
        <v>134</v>
      </c>
      <c r="BH153">
        <v>17.535299999999999</v>
      </c>
      <c r="BI153">
        <v>12.6357</v>
      </c>
      <c r="BJ153">
        <v>9.5806000000000004</v>
      </c>
      <c r="BK153">
        <v>14.0413</v>
      </c>
      <c r="BL153" t="s">
        <v>134</v>
      </c>
      <c r="BM153" t="s">
        <v>134</v>
      </c>
      <c r="BN153">
        <v>111.81059999999999</v>
      </c>
      <c r="BO153">
        <v>5.5267999999999997</v>
      </c>
      <c r="BP153" t="s">
        <v>134</v>
      </c>
      <c r="BQ153" t="s">
        <v>134</v>
      </c>
      <c r="BR153" t="s">
        <v>134</v>
      </c>
      <c r="BS153">
        <v>-12.279199999999999</v>
      </c>
      <c r="BT153">
        <v>-19.4696</v>
      </c>
      <c r="BU153">
        <v>25.067</v>
      </c>
      <c r="BV153">
        <v>-6.5499000000000001</v>
      </c>
      <c r="BW153">
        <v>21.156199999999998</v>
      </c>
      <c r="BX153" t="s">
        <v>134</v>
      </c>
      <c r="BY153">
        <v>304990.315</v>
      </c>
      <c r="BZ153">
        <v>14918.950999999999</v>
      </c>
      <c r="CA153">
        <v>290071.364</v>
      </c>
      <c r="CB153" t="s">
        <v>134</v>
      </c>
      <c r="CC153" t="s">
        <v>134</v>
      </c>
      <c r="CD153">
        <v>8.2530000000000001</v>
      </c>
      <c r="CE153">
        <v>6.4554</v>
      </c>
      <c r="CF153" t="s">
        <v>134</v>
      </c>
      <c r="CG153">
        <v>15.6128</v>
      </c>
      <c r="CH153">
        <v>149.8656</v>
      </c>
      <c r="CI153">
        <v>58.183599999999998</v>
      </c>
      <c r="CJ153">
        <v>23.7303</v>
      </c>
      <c r="CK153">
        <v>157.5735</v>
      </c>
      <c r="CL153">
        <v>61.176099999999998</v>
      </c>
      <c r="CM153">
        <v>24.950800000000001</v>
      </c>
      <c r="CN153">
        <v>123.25190000000001</v>
      </c>
      <c r="CO153">
        <v>55.207500000000003</v>
      </c>
      <c r="CP153" t="s">
        <v>134</v>
      </c>
      <c r="CQ153" t="s">
        <v>134</v>
      </c>
      <c r="CR153">
        <v>36955</v>
      </c>
      <c r="CS153" t="s">
        <v>134</v>
      </c>
      <c r="CT153" t="s">
        <v>134</v>
      </c>
      <c r="CU153" t="s">
        <v>134</v>
      </c>
      <c r="CV153" t="s">
        <v>134</v>
      </c>
      <c r="CW153" t="s">
        <v>134</v>
      </c>
      <c r="CX153" t="s">
        <v>134</v>
      </c>
      <c r="CY153" t="s">
        <v>134</v>
      </c>
      <c r="CZ153" t="s">
        <v>134</v>
      </c>
      <c r="DA153" t="s">
        <v>134</v>
      </c>
      <c r="DB153" t="s">
        <v>134</v>
      </c>
      <c r="DC153" t="s">
        <v>134</v>
      </c>
      <c r="DD153" t="s">
        <v>134</v>
      </c>
      <c r="DE153" t="s">
        <v>134</v>
      </c>
      <c r="DF153" t="s">
        <v>134</v>
      </c>
      <c r="DG153" t="s">
        <v>134</v>
      </c>
      <c r="DH153" t="s">
        <v>134</v>
      </c>
      <c r="DI153" t="s">
        <v>134</v>
      </c>
    </row>
    <row r="154" spans="1:113" x14ac:dyDescent="0.3">
      <c r="E154" t="s">
        <v>4</v>
      </c>
      <c r="F154" t="s">
        <v>134</v>
      </c>
      <c r="G154" t="s">
        <v>134</v>
      </c>
      <c r="H154" t="s">
        <v>134</v>
      </c>
      <c r="I154" t="s">
        <v>134</v>
      </c>
      <c r="J154" t="s">
        <v>134</v>
      </c>
      <c r="K154">
        <v>34.611699999999999</v>
      </c>
      <c r="L154">
        <v>39.882300000000001</v>
      </c>
      <c r="M154">
        <v>21.809200000000001</v>
      </c>
      <c r="N154">
        <v>23.655999999999999</v>
      </c>
      <c r="O154">
        <v>22.9832</v>
      </c>
      <c r="P154">
        <v>22.9832</v>
      </c>
      <c r="Q154">
        <v>32.121000000000002</v>
      </c>
      <c r="R154" t="s">
        <v>134</v>
      </c>
      <c r="S154" t="s">
        <v>134</v>
      </c>
      <c r="T154">
        <v>30.055599999999998</v>
      </c>
      <c r="U154" t="s">
        <v>134</v>
      </c>
      <c r="V154">
        <v>47.941299999999998</v>
      </c>
      <c r="W154">
        <v>41.495600000000003</v>
      </c>
      <c r="X154">
        <v>38.823500000000003</v>
      </c>
      <c r="Y154" t="s">
        <v>134</v>
      </c>
      <c r="Z154" t="s">
        <v>134</v>
      </c>
      <c r="AA154" t="s">
        <v>134</v>
      </c>
      <c r="AB154" t="s">
        <v>134</v>
      </c>
      <c r="AC154" t="s">
        <v>134</v>
      </c>
      <c r="AD154" t="s">
        <v>134</v>
      </c>
      <c r="AE154" t="s">
        <v>134</v>
      </c>
      <c r="AF154" t="s">
        <v>134</v>
      </c>
      <c r="AG154" t="s">
        <v>134</v>
      </c>
      <c r="AH154" t="s">
        <v>134</v>
      </c>
      <c r="AI154" t="s">
        <v>134</v>
      </c>
      <c r="AJ154" t="s">
        <v>134</v>
      </c>
      <c r="AK154" t="s">
        <v>134</v>
      </c>
      <c r="AL154" t="s">
        <v>134</v>
      </c>
      <c r="AM154">
        <v>23.845600000000001</v>
      </c>
      <c r="AN154" t="s">
        <v>134</v>
      </c>
      <c r="AO154">
        <v>32.3598</v>
      </c>
      <c r="AP154">
        <v>33.165599999999998</v>
      </c>
      <c r="AQ154">
        <v>30.951499999999999</v>
      </c>
      <c r="AR154" t="s">
        <v>134</v>
      </c>
      <c r="AS154" t="s">
        <v>134</v>
      </c>
      <c r="AT154" t="s">
        <v>134</v>
      </c>
      <c r="AU154" t="s">
        <v>134</v>
      </c>
      <c r="AV154" t="s">
        <v>134</v>
      </c>
      <c r="AW154" t="s">
        <v>134</v>
      </c>
      <c r="AX154" t="s">
        <v>134</v>
      </c>
      <c r="AY154" t="s">
        <v>134</v>
      </c>
      <c r="AZ154" t="s">
        <v>134</v>
      </c>
      <c r="BA154" t="s">
        <v>134</v>
      </c>
      <c r="BB154" t="s">
        <v>134</v>
      </c>
      <c r="BC154" t="s">
        <v>134</v>
      </c>
      <c r="BD154" t="s">
        <v>134</v>
      </c>
      <c r="BE154" t="s">
        <v>134</v>
      </c>
      <c r="BF154">
        <v>-1.2671000000000001</v>
      </c>
      <c r="BG154" t="s">
        <v>134</v>
      </c>
      <c r="BH154">
        <v>-4.1300000000000003E-2</v>
      </c>
      <c r="BI154">
        <v>-5.7241999999999997</v>
      </c>
      <c r="BJ154">
        <v>-7.1909999999999998</v>
      </c>
      <c r="BK154" t="s">
        <v>134</v>
      </c>
      <c r="BL154" t="s">
        <v>134</v>
      </c>
      <c r="BM154" t="s">
        <v>134</v>
      </c>
      <c r="BN154" t="s">
        <v>134</v>
      </c>
      <c r="BO154" t="s">
        <v>134</v>
      </c>
      <c r="BP154" t="s">
        <v>134</v>
      </c>
      <c r="BQ154" t="s">
        <v>134</v>
      </c>
      <c r="BR154" t="s">
        <v>134</v>
      </c>
      <c r="BS154" t="s">
        <v>134</v>
      </c>
      <c r="BT154" t="s">
        <v>134</v>
      </c>
      <c r="BU154" t="s">
        <v>134</v>
      </c>
      <c r="BV154" t="s">
        <v>134</v>
      </c>
      <c r="BW154" t="s">
        <v>134</v>
      </c>
      <c r="BX154" t="s">
        <v>134</v>
      </c>
      <c r="BY154" t="s">
        <v>134</v>
      </c>
      <c r="BZ154" t="s">
        <v>134</v>
      </c>
      <c r="CA154" t="s">
        <v>134</v>
      </c>
      <c r="CB154" t="s">
        <v>134</v>
      </c>
      <c r="CC154" t="s">
        <v>134</v>
      </c>
      <c r="CD154" t="s">
        <v>134</v>
      </c>
      <c r="CE154" t="s">
        <v>134</v>
      </c>
      <c r="CF154" t="s">
        <v>134</v>
      </c>
      <c r="CG154" t="s">
        <v>134</v>
      </c>
      <c r="CH154" t="s">
        <v>134</v>
      </c>
      <c r="CI154" t="s">
        <v>134</v>
      </c>
      <c r="CJ154" t="s">
        <v>134</v>
      </c>
      <c r="CK154" t="s">
        <v>134</v>
      </c>
      <c r="CL154" t="s">
        <v>134</v>
      </c>
      <c r="CM154" t="s">
        <v>134</v>
      </c>
      <c r="CN154" t="s">
        <v>134</v>
      </c>
      <c r="CO154" t="s">
        <v>134</v>
      </c>
      <c r="CP154" t="s">
        <v>134</v>
      </c>
      <c r="CQ154" t="s">
        <v>134</v>
      </c>
      <c r="CR154">
        <v>9449.9</v>
      </c>
      <c r="CS154" t="s">
        <v>134</v>
      </c>
      <c r="CT154" t="s">
        <v>134</v>
      </c>
      <c r="CU154" t="s">
        <v>134</v>
      </c>
      <c r="CV154" t="s">
        <v>134</v>
      </c>
      <c r="CW154" t="s">
        <v>134</v>
      </c>
      <c r="CX154" t="s">
        <v>134</v>
      </c>
      <c r="CY154" t="s">
        <v>134</v>
      </c>
      <c r="CZ154" t="s">
        <v>134</v>
      </c>
      <c r="DA154" t="s">
        <v>134</v>
      </c>
      <c r="DB154" t="s">
        <v>134</v>
      </c>
      <c r="DC154" t="s">
        <v>134</v>
      </c>
      <c r="DD154" t="s">
        <v>134</v>
      </c>
      <c r="DE154" t="s">
        <v>134</v>
      </c>
      <c r="DF154" t="s">
        <v>134</v>
      </c>
      <c r="DG154" t="s">
        <v>134</v>
      </c>
      <c r="DH154" t="s">
        <v>134</v>
      </c>
      <c r="DI154" t="s">
        <v>134</v>
      </c>
    </row>
    <row r="155" spans="1:113" x14ac:dyDescent="0.3">
      <c r="E155" t="s">
        <v>5</v>
      </c>
      <c r="F155">
        <v>15.4011</v>
      </c>
      <c r="G155">
        <v>2.2622</v>
      </c>
      <c r="H155">
        <v>5.4649000000000001</v>
      </c>
      <c r="I155">
        <v>6.2225999999999999</v>
      </c>
      <c r="J155" t="s">
        <v>134</v>
      </c>
      <c r="K155">
        <v>41.4848</v>
      </c>
      <c r="L155" t="s">
        <v>134</v>
      </c>
      <c r="M155">
        <v>23.9054</v>
      </c>
      <c r="N155">
        <v>27.9023</v>
      </c>
      <c r="O155">
        <v>27.3703</v>
      </c>
      <c r="P155">
        <v>27.3703</v>
      </c>
      <c r="Q155">
        <v>32.769300000000001</v>
      </c>
      <c r="R155" t="s">
        <v>134</v>
      </c>
      <c r="S155" t="s">
        <v>134</v>
      </c>
      <c r="T155">
        <v>-8.4190000000000005</v>
      </c>
      <c r="U155" t="s">
        <v>134</v>
      </c>
      <c r="V155">
        <v>21.813800000000001</v>
      </c>
      <c r="W155">
        <v>16.0822</v>
      </c>
      <c r="X155">
        <v>12.6488</v>
      </c>
      <c r="Y155" t="s">
        <v>134</v>
      </c>
      <c r="Z155" t="s">
        <v>134</v>
      </c>
      <c r="AA155" t="s">
        <v>134</v>
      </c>
      <c r="AB155">
        <v>105.1165</v>
      </c>
      <c r="AC155">
        <v>12.1004</v>
      </c>
      <c r="AD155" t="s">
        <v>134</v>
      </c>
      <c r="AE155" t="s">
        <v>134</v>
      </c>
      <c r="AF155" t="s">
        <v>134</v>
      </c>
      <c r="AG155" t="s">
        <v>134</v>
      </c>
      <c r="AH155">
        <v>2.7644000000000002</v>
      </c>
      <c r="AI155">
        <v>28.022600000000001</v>
      </c>
      <c r="AJ155">
        <v>10.9703</v>
      </c>
      <c r="AK155">
        <v>23.826499999999999</v>
      </c>
      <c r="AL155" t="s">
        <v>134</v>
      </c>
      <c r="AM155">
        <v>14.850899999999999</v>
      </c>
      <c r="AN155" t="s">
        <v>134</v>
      </c>
      <c r="AO155">
        <v>28.676500000000001</v>
      </c>
      <c r="AP155">
        <v>29.3522</v>
      </c>
      <c r="AQ155">
        <v>26.793399999999998</v>
      </c>
      <c r="AR155" t="s">
        <v>134</v>
      </c>
      <c r="AS155" t="s">
        <v>134</v>
      </c>
      <c r="AT155" t="s">
        <v>134</v>
      </c>
      <c r="AU155" t="s">
        <v>134</v>
      </c>
      <c r="AV155" t="s">
        <v>134</v>
      </c>
      <c r="AW155" t="s">
        <v>134</v>
      </c>
      <c r="AX155" t="s">
        <v>134</v>
      </c>
      <c r="AY155" t="s">
        <v>134</v>
      </c>
      <c r="AZ155" t="s">
        <v>134</v>
      </c>
      <c r="BA155" t="s">
        <v>134</v>
      </c>
      <c r="BB155" t="s">
        <v>134</v>
      </c>
      <c r="BC155" t="s">
        <v>134</v>
      </c>
      <c r="BD155" t="s">
        <v>134</v>
      </c>
      <c r="BE155" t="s">
        <v>134</v>
      </c>
      <c r="BF155">
        <v>-14.7012</v>
      </c>
      <c r="BG155" t="s">
        <v>134</v>
      </c>
      <c r="BH155">
        <v>-6.5026999999999999</v>
      </c>
      <c r="BI155">
        <v>-7.1028000000000002</v>
      </c>
      <c r="BJ155">
        <v>-8.3535000000000004</v>
      </c>
      <c r="BK155" t="s">
        <v>134</v>
      </c>
      <c r="BL155" t="s">
        <v>134</v>
      </c>
      <c r="BM155" t="s">
        <v>134</v>
      </c>
      <c r="BN155" t="s">
        <v>134</v>
      </c>
      <c r="BO155" t="s">
        <v>134</v>
      </c>
      <c r="BP155" t="s">
        <v>134</v>
      </c>
      <c r="BQ155" t="s">
        <v>134</v>
      </c>
      <c r="BR155" t="s">
        <v>134</v>
      </c>
      <c r="BS155" t="s">
        <v>134</v>
      </c>
      <c r="BT155" t="s">
        <v>134</v>
      </c>
      <c r="BU155" t="s">
        <v>134</v>
      </c>
      <c r="BV155" t="s">
        <v>134</v>
      </c>
      <c r="BW155" t="s">
        <v>134</v>
      </c>
      <c r="BX155" t="s">
        <v>134</v>
      </c>
      <c r="BY155">
        <v>302283.8</v>
      </c>
      <c r="BZ155" t="s">
        <v>134</v>
      </c>
      <c r="CA155">
        <v>302283.8</v>
      </c>
      <c r="CB155" t="s">
        <v>134</v>
      </c>
      <c r="CC155" t="s">
        <v>134</v>
      </c>
      <c r="CD155">
        <v>8.3766999999999996</v>
      </c>
      <c r="CE155">
        <v>6.7305000000000001</v>
      </c>
      <c r="CF155" t="s">
        <v>134</v>
      </c>
      <c r="CG155">
        <v>15.600899999999999</v>
      </c>
      <c r="CH155">
        <v>166.80600000000001</v>
      </c>
      <c r="CI155">
        <v>62.519599999999997</v>
      </c>
      <c r="CJ155">
        <v>26.370100000000001</v>
      </c>
      <c r="CK155">
        <v>166.80600000000001</v>
      </c>
      <c r="CL155">
        <v>62.519599999999997</v>
      </c>
      <c r="CM155">
        <v>26.370100000000001</v>
      </c>
      <c r="CN155">
        <v>134.0241</v>
      </c>
      <c r="CO155">
        <v>57.269399999999997</v>
      </c>
      <c r="CP155" t="s">
        <v>134</v>
      </c>
      <c r="CQ155" t="s">
        <v>134</v>
      </c>
      <c r="CR155">
        <v>8835.4</v>
      </c>
      <c r="CS155" t="s">
        <v>134</v>
      </c>
      <c r="CT155" t="s">
        <v>134</v>
      </c>
      <c r="CU155" t="s">
        <v>134</v>
      </c>
      <c r="CV155" t="s">
        <v>134</v>
      </c>
      <c r="CW155" t="s">
        <v>134</v>
      </c>
      <c r="CX155" t="s">
        <v>134</v>
      </c>
      <c r="CY155" t="s">
        <v>134</v>
      </c>
      <c r="CZ155" t="s">
        <v>134</v>
      </c>
      <c r="DA155" t="s">
        <v>134</v>
      </c>
      <c r="DB155" t="s">
        <v>134</v>
      </c>
      <c r="DC155" t="s">
        <v>134</v>
      </c>
      <c r="DD155" t="s">
        <v>134</v>
      </c>
      <c r="DE155" t="s">
        <v>134</v>
      </c>
      <c r="DF155" t="s">
        <v>134</v>
      </c>
      <c r="DG155" t="s">
        <v>134</v>
      </c>
      <c r="DH155" t="s">
        <v>134</v>
      </c>
      <c r="DI155" t="s">
        <v>134</v>
      </c>
    </row>
    <row r="156" spans="1:113" x14ac:dyDescent="0.3">
      <c r="E156" t="s">
        <v>6</v>
      </c>
      <c r="F156" t="s">
        <v>134</v>
      </c>
      <c r="G156" t="s">
        <v>134</v>
      </c>
      <c r="H156" t="s">
        <v>134</v>
      </c>
      <c r="I156" t="s">
        <v>134</v>
      </c>
      <c r="J156" t="s">
        <v>134</v>
      </c>
      <c r="K156">
        <v>31.351900000000001</v>
      </c>
      <c r="L156">
        <v>20.768899999999999</v>
      </c>
      <c r="M156">
        <v>20.049700000000001</v>
      </c>
      <c r="N156">
        <v>21.448699999999999</v>
      </c>
      <c r="O156">
        <v>20.896000000000001</v>
      </c>
      <c r="P156">
        <v>20.896000000000001</v>
      </c>
      <c r="Q156">
        <v>32.3887</v>
      </c>
      <c r="R156" t="s">
        <v>134</v>
      </c>
      <c r="S156" t="s">
        <v>134</v>
      </c>
      <c r="T156">
        <v>6.4318999999999997</v>
      </c>
      <c r="U156" t="s">
        <v>134</v>
      </c>
      <c r="V156">
        <v>6.2777000000000003</v>
      </c>
      <c r="W156">
        <v>2.4323999999999999</v>
      </c>
      <c r="X156">
        <v>-0.64770000000000005</v>
      </c>
      <c r="Y156" t="s">
        <v>134</v>
      </c>
      <c r="Z156" t="s">
        <v>134</v>
      </c>
      <c r="AA156" t="s">
        <v>134</v>
      </c>
      <c r="AB156" t="s">
        <v>134</v>
      </c>
      <c r="AC156" t="s">
        <v>134</v>
      </c>
      <c r="AD156" t="s">
        <v>134</v>
      </c>
      <c r="AE156" t="s">
        <v>134</v>
      </c>
      <c r="AF156" t="s">
        <v>134</v>
      </c>
      <c r="AG156" t="s">
        <v>134</v>
      </c>
      <c r="AH156" t="s">
        <v>134</v>
      </c>
      <c r="AI156" t="s">
        <v>134</v>
      </c>
      <c r="AJ156" t="s">
        <v>134</v>
      </c>
      <c r="AK156" t="s">
        <v>134</v>
      </c>
      <c r="AL156" t="s">
        <v>134</v>
      </c>
      <c r="AM156">
        <v>21.301400000000001</v>
      </c>
      <c r="AN156" t="s">
        <v>134</v>
      </c>
      <c r="AO156">
        <v>34.328499999999998</v>
      </c>
      <c r="AP156">
        <v>35.196399999999997</v>
      </c>
      <c r="AQ156">
        <v>32.828200000000002</v>
      </c>
      <c r="AR156" t="s">
        <v>134</v>
      </c>
      <c r="AS156" t="s">
        <v>134</v>
      </c>
      <c r="AT156" t="s">
        <v>134</v>
      </c>
      <c r="AU156" t="s">
        <v>134</v>
      </c>
      <c r="AV156" t="s">
        <v>134</v>
      </c>
      <c r="AW156" t="s">
        <v>134</v>
      </c>
      <c r="AX156" t="s">
        <v>134</v>
      </c>
      <c r="AY156" t="s">
        <v>134</v>
      </c>
      <c r="AZ156" t="s">
        <v>134</v>
      </c>
      <c r="BA156" t="s">
        <v>134</v>
      </c>
      <c r="BB156" t="s">
        <v>134</v>
      </c>
      <c r="BC156" t="s">
        <v>134</v>
      </c>
      <c r="BD156" t="s">
        <v>134</v>
      </c>
      <c r="BE156" t="s">
        <v>134</v>
      </c>
      <c r="BF156">
        <v>19.711099999999998</v>
      </c>
      <c r="BG156" t="s">
        <v>134</v>
      </c>
      <c r="BH156">
        <v>0.40289999999999998</v>
      </c>
      <c r="BI156">
        <v>1.4273</v>
      </c>
      <c r="BJ156">
        <v>1.321</v>
      </c>
      <c r="BK156" t="s">
        <v>134</v>
      </c>
      <c r="BL156" t="s">
        <v>134</v>
      </c>
      <c r="BM156" t="s">
        <v>134</v>
      </c>
      <c r="BN156">
        <v>-0.1263</v>
      </c>
      <c r="BO156">
        <v>2.1894</v>
      </c>
      <c r="BP156" t="s">
        <v>134</v>
      </c>
      <c r="BQ156" t="s">
        <v>134</v>
      </c>
      <c r="BR156" t="s">
        <v>134</v>
      </c>
      <c r="BS156" t="s">
        <v>134</v>
      </c>
      <c r="BT156">
        <v>-4.6856</v>
      </c>
      <c r="BU156">
        <v>1.8382000000000001</v>
      </c>
      <c r="BV156">
        <v>-2.2404000000000002</v>
      </c>
      <c r="BW156">
        <v>3.0697000000000001</v>
      </c>
      <c r="BX156" t="s">
        <v>134</v>
      </c>
      <c r="BY156">
        <v>288120</v>
      </c>
      <c r="BZ156" t="s">
        <v>134</v>
      </c>
      <c r="CA156">
        <v>288120</v>
      </c>
      <c r="CB156" t="s">
        <v>134</v>
      </c>
      <c r="CC156" t="s">
        <v>134</v>
      </c>
      <c r="CD156">
        <v>7.87</v>
      </c>
      <c r="CE156">
        <v>6.6052999999999997</v>
      </c>
      <c r="CF156" t="s">
        <v>134</v>
      </c>
      <c r="CG156">
        <v>15.7545</v>
      </c>
      <c r="CH156">
        <v>156.12029999999999</v>
      </c>
      <c r="CI156">
        <v>60.955799999999996</v>
      </c>
      <c r="CJ156">
        <v>24.596</v>
      </c>
      <c r="CK156">
        <v>156.12029999999999</v>
      </c>
      <c r="CL156">
        <v>60.955799999999996</v>
      </c>
      <c r="CM156">
        <v>24.596</v>
      </c>
      <c r="CN156">
        <v>131.03219999999999</v>
      </c>
      <c r="CO156">
        <v>56.716000000000001</v>
      </c>
      <c r="CP156" t="s">
        <v>134</v>
      </c>
      <c r="CQ156" t="s">
        <v>134</v>
      </c>
      <c r="CR156">
        <v>8871</v>
      </c>
      <c r="CS156" t="s">
        <v>134</v>
      </c>
      <c r="CT156" t="s">
        <v>134</v>
      </c>
      <c r="CU156" t="s">
        <v>134</v>
      </c>
      <c r="CV156" t="s">
        <v>134</v>
      </c>
      <c r="CW156" t="s">
        <v>134</v>
      </c>
      <c r="CX156" t="s">
        <v>134</v>
      </c>
      <c r="CY156" t="s">
        <v>134</v>
      </c>
      <c r="CZ156" t="s">
        <v>134</v>
      </c>
      <c r="DA156" t="s">
        <v>134</v>
      </c>
      <c r="DB156" t="s">
        <v>134</v>
      </c>
      <c r="DC156" t="s">
        <v>134</v>
      </c>
      <c r="DD156" t="s">
        <v>134</v>
      </c>
      <c r="DE156" t="s">
        <v>134</v>
      </c>
      <c r="DF156" t="s">
        <v>134</v>
      </c>
      <c r="DG156" t="s">
        <v>134</v>
      </c>
      <c r="DH156" t="s">
        <v>134</v>
      </c>
      <c r="DI156" t="s">
        <v>134</v>
      </c>
    </row>
    <row r="157" spans="1:113" x14ac:dyDescent="0.3">
      <c r="E157" t="s">
        <v>7</v>
      </c>
      <c r="F157">
        <v>14.3514</v>
      </c>
      <c r="G157">
        <v>2.0708000000000002</v>
      </c>
      <c r="H157">
        <v>4.8974000000000002</v>
      </c>
      <c r="I157">
        <v>5.4943</v>
      </c>
      <c r="J157" t="s">
        <v>134</v>
      </c>
      <c r="K157">
        <v>30.299299999999999</v>
      </c>
      <c r="L157">
        <v>7.3128000000000002</v>
      </c>
      <c r="M157">
        <v>20.490099999999998</v>
      </c>
      <c r="N157">
        <v>21.031099999999999</v>
      </c>
      <c r="O157">
        <v>20.5107</v>
      </c>
      <c r="P157">
        <v>20.5107</v>
      </c>
      <c r="Q157">
        <v>30.980599999999999</v>
      </c>
      <c r="R157" t="s">
        <v>134</v>
      </c>
      <c r="S157" t="s">
        <v>134</v>
      </c>
      <c r="T157">
        <v>8.9682999999999993</v>
      </c>
      <c r="U157" t="s">
        <v>134</v>
      </c>
      <c r="V157">
        <v>3.6482999999999999</v>
      </c>
      <c r="W157">
        <v>-0.34410000000000002</v>
      </c>
      <c r="X157">
        <v>-3.3708</v>
      </c>
      <c r="Y157" t="s">
        <v>134</v>
      </c>
      <c r="Z157" t="s">
        <v>134</v>
      </c>
      <c r="AA157" t="s">
        <v>134</v>
      </c>
      <c r="AB157">
        <v>111.81059999999999</v>
      </c>
      <c r="AC157">
        <v>5.5267999999999997</v>
      </c>
      <c r="AD157" t="s">
        <v>134</v>
      </c>
      <c r="AE157" t="s">
        <v>134</v>
      </c>
      <c r="AF157" t="s">
        <v>134</v>
      </c>
      <c r="AG157">
        <v>-12.279199999999999</v>
      </c>
      <c r="AH157">
        <v>-19.4696</v>
      </c>
      <c r="AI157">
        <v>25.067</v>
      </c>
      <c r="AJ157">
        <v>-6.5499000000000001</v>
      </c>
      <c r="AK157">
        <v>21.156199999999998</v>
      </c>
      <c r="AL157" t="s">
        <v>134</v>
      </c>
      <c r="AM157">
        <v>16.403400000000001</v>
      </c>
      <c r="AN157" t="s">
        <v>134</v>
      </c>
      <c r="AO157">
        <v>24.294699999999999</v>
      </c>
      <c r="AP157">
        <v>25.783899999999999</v>
      </c>
      <c r="AQ157">
        <v>23.078499999999998</v>
      </c>
      <c r="AR157" t="s">
        <v>134</v>
      </c>
      <c r="AS157" t="s">
        <v>134</v>
      </c>
      <c r="AT157" t="s">
        <v>134</v>
      </c>
      <c r="AU157">
        <v>32.363100000000003</v>
      </c>
      <c r="AV157">
        <v>24.888400000000001</v>
      </c>
      <c r="AW157" t="s">
        <v>134</v>
      </c>
      <c r="AX157" t="s">
        <v>134</v>
      </c>
      <c r="AY157" t="s">
        <v>134</v>
      </c>
      <c r="AZ157">
        <v>12.9741</v>
      </c>
      <c r="BA157">
        <v>18.9831</v>
      </c>
      <c r="BB157">
        <v>23.720099999999999</v>
      </c>
      <c r="BC157">
        <v>20.692699999999999</v>
      </c>
      <c r="BD157">
        <v>20.9602</v>
      </c>
      <c r="BE157" t="s">
        <v>134</v>
      </c>
      <c r="BF157">
        <v>8.0838999999999999</v>
      </c>
      <c r="BG157" t="s">
        <v>134</v>
      </c>
      <c r="BH157">
        <v>10.457699999999999</v>
      </c>
      <c r="BI157">
        <v>12.1877</v>
      </c>
      <c r="BJ157">
        <v>12.1252</v>
      </c>
      <c r="BK157" t="s">
        <v>134</v>
      </c>
      <c r="BL157" t="s">
        <v>134</v>
      </c>
      <c r="BM157" t="s">
        <v>134</v>
      </c>
      <c r="BN157">
        <v>-2.4579</v>
      </c>
      <c r="BO157">
        <v>4.3499999999999996</v>
      </c>
      <c r="BP157" t="s">
        <v>134</v>
      </c>
      <c r="BQ157" t="s">
        <v>134</v>
      </c>
      <c r="BR157" t="s">
        <v>134</v>
      </c>
      <c r="BS157" t="s">
        <v>134</v>
      </c>
      <c r="BT157">
        <v>5.8552999999999997</v>
      </c>
      <c r="BU157">
        <v>4.8789999999999996</v>
      </c>
      <c r="BV157">
        <v>5.4741</v>
      </c>
      <c r="BW157">
        <v>3.2513000000000001</v>
      </c>
      <c r="BX157" t="s">
        <v>134</v>
      </c>
      <c r="BY157">
        <v>304990.315</v>
      </c>
      <c r="BZ157">
        <v>14918.950999999999</v>
      </c>
      <c r="CA157">
        <v>290071.364</v>
      </c>
      <c r="CB157" t="s">
        <v>134</v>
      </c>
      <c r="CC157" t="s">
        <v>134</v>
      </c>
      <c r="CD157">
        <v>8.2530000000000001</v>
      </c>
      <c r="CE157">
        <v>6.4554</v>
      </c>
      <c r="CF157" t="s">
        <v>134</v>
      </c>
      <c r="CG157">
        <v>15.6128</v>
      </c>
      <c r="CH157">
        <v>149.8656</v>
      </c>
      <c r="CI157">
        <v>58.183599999999998</v>
      </c>
      <c r="CJ157">
        <v>23.7303</v>
      </c>
      <c r="CK157">
        <v>157.5735</v>
      </c>
      <c r="CL157">
        <v>61.176099999999998</v>
      </c>
      <c r="CM157">
        <v>24.950800000000001</v>
      </c>
      <c r="CN157">
        <v>123.25190000000001</v>
      </c>
      <c r="CO157">
        <v>55.207500000000003</v>
      </c>
      <c r="CP157" t="s">
        <v>134</v>
      </c>
      <c r="CQ157" t="s">
        <v>134</v>
      </c>
      <c r="CR157">
        <v>9798.7000000000007</v>
      </c>
      <c r="CS157" t="s">
        <v>134</v>
      </c>
      <c r="CT157" t="s">
        <v>134</v>
      </c>
      <c r="CU157" t="s">
        <v>134</v>
      </c>
      <c r="CV157" t="s">
        <v>134</v>
      </c>
      <c r="CW157" t="s">
        <v>134</v>
      </c>
      <c r="CX157" t="s">
        <v>134</v>
      </c>
      <c r="CY157" t="s">
        <v>134</v>
      </c>
      <c r="CZ157" t="s">
        <v>134</v>
      </c>
      <c r="DA157" t="s">
        <v>134</v>
      </c>
      <c r="DB157" t="s">
        <v>134</v>
      </c>
      <c r="DC157" t="s">
        <v>134</v>
      </c>
      <c r="DD157" t="s">
        <v>134</v>
      </c>
      <c r="DE157" t="s">
        <v>134</v>
      </c>
      <c r="DF157" t="s">
        <v>134</v>
      </c>
      <c r="DG157" t="s">
        <v>134</v>
      </c>
      <c r="DH157" t="s">
        <v>134</v>
      </c>
      <c r="DI157" t="s">
        <v>134</v>
      </c>
    </row>
    <row r="158" spans="1:113" x14ac:dyDescent="0.3">
      <c r="D158" t="s">
        <v>8</v>
      </c>
      <c r="E158" t="s">
        <v>3</v>
      </c>
      <c r="F158">
        <v>14.7691</v>
      </c>
      <c r="G158">
        <v>2.2490999999999999</v>
      </c>
      <c r="H158">
        <v>5.8559000000000001</v>
      </c>
      <c r="I158">
        <v>6.3720999999999997</v>
      </c>
      <c r="J158" t="s">
        <v>134</v>
      </c>
      <c r="K158">
        <v>31.118300000000001</v>
      </c>
      <c r="L158">
        <v>22.418700000000001</v>
      </c>
      <c r="M158">
        <v>21.076799999999999</v>
      </c>
      <c r="N158">
        <v>21.235499999999998</v>
      </c>
      <c r="O158">
        <v>20.828499999999998</v>
      </c>
      <c r="P158">
        <v>20.828499999999998</v>
      </c>
      <c r="Q158">
        <v>32.635300000000001</v>
      </c>
      <c r="R158">
        <v>2.6947000000000001</v>
      </c>
      <c r="S158">
        <v>14.3711</v>
      </c>
      <c r="T158">
        <v>26.079799999999999</v>
      </c>
      <c r="U158" t="s">
        <v>134</v>
      </c>
      <c r="V158">
        <v>23.1221</v>
      </c>
      <c r="W158">
        <v>23.548200000000001</v>
      </c>
      <c r="X158">
        <v>22.588699999999999</v>
      </c>
      <c r="Y158">
        <v>12.5</v>
      </c>
      <c r="Z158" t="s">
        <v>134</v>
      </c>
      <c r="AA158" t="s">
        <v>134</v>
      </c>
      <c r="AB158">
        <v>9.3150999999999993</v>
      </c>
      <c r="AC158">
        <v>21.547699999999999</v>
      </c>
      <c r="AD158" t="s">
        <v>134</v>
      </c>
      <c r="AE158" t="s">
        <v>134</v>
      </c>
      <c r="AF158" t="s">
        <v>134</v>
      </c>
      <c r="AG158">
        <v>53.116999999999997</v>
      </c>
      <c r="AH158">
        <v>10.492800000000001</v>
      </c>
      <c r="AI158">
        <v>16.205200000000001</v>
      </c>
      <c r="AJ158">
        <v>12.7105</v>
      </c>
      <c r="AK158">
        <v>15.7887</v>
      </c>
      <c r="AL158">
        <v>-16.136299999999999</v>
      </c>
      <c r="AM158">
        <v>16.395900000000001</v>
      </c>
      <c r="AN158" t="s">
        <v>134</v>
      </c>
      <c r="AO158">
        <v>19.047599999999999</v>
      </c>
      <c r="AP158">
        <v>18.433700000000002</v>
      </c>
      <c r="AQ158">
        <v>16.147600000000001</v>
      </c>
      <c r="AR158">
        <v>16.1905</v>
      </c>
      <c r="AS158" t="s">
        <v>134</v>
      </c>
      <c r="AT158" t="s">
        <v>134</v>
      </c>
      <c r="AU158">
        <v>18.881599999999999</v>
      </c>
      <c r="AV158">
        <v>21.937100000000001</v>
      </c>
      <c r="AW158" t="s">
        <v>134</v>
      </c>
      <c r="AX158" t="s">
        <v>134</v>
      </c>
      <c r="AY158" t="s">
        <v>134</v>
      </c>
      <c r="AZ158">
        <v>22.355699999999999</v>
      </c>
      <c r="BA158">
        <v>18.0185</v>
      </c>
      <c r="BB158">
        <v>22.824000000000002</v>
      </c>
      <c r="BC158">
        <v>19.806100000000001</v>
      </c>
      <c r="BD158">
        <v>20.1844</v>
      </c>
      <c r="BE158" t="s">
        <v>134</v>
      </c>
      <c r="BF158">
        <v>26.079799999999999</v>
      </c>
      <c r="BG158" t="s">
        <v>134</v>
      </c>
      <c r="BH158">
        <v>23.1221</v>
      </c>
      <c r="BI158">
        <v>23.548200000000001</v>
      </c>
      <c r="BJ158">
        <v>22.588699999999999</v>
      </c>
      <c r="BK158">
        <v>12.5</v>
      </c>
      <c r="BL158" t="s">
        <v>134</v>
      </c>
      <c r="BM158" t="s">
        <v>134</v>
      </c>
      <c r="BN158">
        <v>9.3150999999999993</v>
      </c>
      <c r="BO158">
        <v>21.547699999999999</v>
      </c>
      <c r="BP158" t="s">
        <v>134</v>
      </c>
      <c r="BQ158" t="s">
        <v>134</v>
      </c>
      <c r="BR158" t="s">
        <v>134</v>
      </c>
      <c r="BS158">
        <v>53.116999999999997</v>
      </c>
      <c r="BT158">
        <v>10.492800000000001</v>
      </c>
      <c r="BU158">
        <v>16.205200000000001</v>
      </c>
      <c r="BV158">
        <v>12.7105</v>
      </c>
      <c r="BW158">
        <v>15.7887</v>
      </c>
      <c r="BX158" t="s">
        <v>134</v>
      </c>
      <c r="BY158">
        <v>336992.24900000001</v>
      </c>
      <c r="BZ158">
        <v>22843.455999999998</v>
      </c>
      <c r="CA158">
        <v>314148.79300000001</v>
      </c>
      <c r="CB158" t="s">
        <v>134</v>
      </c>
      <c r="CC158" t="s">
        <v>134</v>
      </c>
      <c r="CD158">
        <v>7.4065000000000003</v>
      </c>
      <c r="CE158">
        <v>5.8891999999999998</v>
      </c>
      <c r="CF158" t="s">
        <v>134</v>
      </c>
      <c r="CG158">
        <v>14.9125</v>
      </c>
      <c r="CH158">
        <v>139.6713</v>
      </c>
      <c r="CI158">
        <v>55.9071</v>
      </c>
      <c r="CJ158">
        <v>21.143999999999998</v>
      </c>
      <c r="CK158">
        <v>149.82759999999999</v>
      </c>
      <c r="CL158">
        <v>59.9724</v>
      </c>
      <c r="CM158">
        <v>22.6815</v>
      </c>
      <c r="CN158">
        <v>119.1347</v>
      </c>
      <c r="CO158">
        <v>54.366</v>
      </c>
      <c r="CP158" t="s">
        <v>134</v>
      </c>
      <c r="CQ158" t="s">
        <v>134</v>
      </c>
      <c r="CR158">
        <v>45499.788999999997</v>
      </c>
      <c r="CS158" t="s">
        <v>134</v>
      </c>
      <c r="CT158" t="s">
        <v>134</v>
      </c>
      <c r="CU158" t="s">
        <v>134</v>
      </c>
      <c r="CV158" t="s">
        <v>134</v>
      </c>
      <c r="CW158" t="s">
        <v>134</v>
      </c>
      <c r="CX158" t="s">
        <v>134</v>
      </c>
      <c r="CY158" t="s">
        <v>134</v>
      </c>
      <c r="CZ158" t="s">
        <v>134</v>
      </c>
      <c r="DA158" t="s">
        <v>134</v>
      </c>
      <c r="DB158" t="s">
        <v>134</v>
      </c>
      <c r="DC158" t="s">
        <v>134</v>
      </c>
      <c r="DD158" t="s">
        <v>134</v>
      </c>
      <c r="DE158" t="s">
        <v>134</v>
      </c>
      <c r="DF158" t="s">
        <v>134</v>
      </c>
      <c r="DG158" t="s">
        <v>134</v>
      </c>
      <c r="DH158" t="s">
        <v>134</v>
      </c>
      <c r="DI158" t="s">
        <v>134</v>
      </c>
    </row>
    <row r="159" spans="1:113" x14ac:dyDescent="0.3">
      <c r="E159" t="s">
        <v>4</v>
      </c>
      <c r="F159" t="s">
        <v>134</v>
      </c>
      <c r="G159" t="s">
        <v>134</v>
      </c>
      <c r="H159" t="s">
        <v>134</v>
      </c>
      <c r="I159" t="s">
        <v>134</v>
      </c>
      <c r="J159" t="s">
        <v>134</v>
      </c>
      <c r="K159">
        <v>30.499199999999998</v>
      </c>
      <c r="L159">
        <v>13.253399999999999</v>
      </c>
      <c r="M159">
        <v>20.598300000000002</v>
      </c>
      <c r="N159">
        <v>21.030999999999999</v>
      </c>
      <c r="O159">
        <v>20.651900000000001</v>
      </c>
      <c r="P159">
        <v>20.651900000000001</v>
      </c>
      <c r="Q159">
        <v>32.443199999999997</v>
      </c>
      <c r="R159" t="s">
        <v>134</v>
      </c>
      <c r="S159" t="s">
        <v>134</v>
      </c>
      <c r="T159">
        <v>15.547000000000001</v>
      </c>
      <c r="U159" t="s">
        <v>134</v>
      </c>
      <c r="V159">
        <v>9.1312999999999995</v>
      </c>
      <c r="W159">
        <v>11.2845</v>
      </c>
      <c r="X159">
        <v>9.5641999999999996</v>
      </c>
      <c r="Y159" t="s">
        <v>134</v>
      </c>
      <c r="Z159" t="s">
        <v>134</v>
      </c>
      <c r="AA159" t="s">
        <v>134</v>
      </c>
      <c r="AB159" t="s">
        <v>134</v>
      </c>
      <c r="AC159" t="s">
        <v>134</v>
      </c>
      <c r="AD159" t="s">
        <v>134</v>
      </c>
      <c r="AE159" t="s">
        <v>134</v>
      </c>
      <c r="AF159" t="s">
        <v>134</v>
      </c>
      <c r="AG159" t="s">
        <v>134</v>
      </c>
      <c r="AH159" t="s">
        <v>134</v>
      </c>
      <c r="AI159" t="s">
        <v>134</v>
      </c>
      <c r="AJ159" t="s">
        <v>134</v>
      </c>
      <c r="AK159" t="s">
        <v>134</v>
      </c>
      <c r="AL159" t="s">
        <v>134</v>
      </c>
      <c r="AM159">
        <v>16.3781</v>
      </c>
      <c r="AN159" t="s">
        <v>134</v>
      </c>
      <c r="AO159">
        <v>22.128299999999999</v>
      </c>
      <c r="AP159">
        <v>22.103000000000002</v>
      </c>
      <c r="AQ159">
        <v>19.5562</v>
      </c>
      <c r="AR159" t="s">
        <v>134</v>
      </c>
      <c r="AS159" t="s">
        <v>134</v>
      </c>
      <c r="AT159" t="s">
        <v>134</v>
      </c>
      <c r="AU159" t="s">
        <v>134</v>
      </c>
      <c r="AV159" t="s">
        <v>134</v>
      </c>
      <c r="AW159" t="s">
        <v>134</v>
      </c>
      <c r="AX159" t="s">
        <v>134</v>
      </c>
      <c r="AY159" t="s">
        <v>134</v>
      </c>
      <c r="AZ159" t="s">
        <v>134</v>
      </c>
      <c r="BA159" t="s">
        <v>134</v>
      </c>
      <c r="BB159" t="s">
        <v>134</v>
      </c>
      <c r="BC159" t="s">
        <v>134</v>
      </c>
      <c r="BD159" t="s">
        <v>134</v>
      </c>
      <c r="BE159" t="s">
        <v>134</v>
      </c>
      <c r="BF159">
        <v>4.6936999999999998</v>
      </c>
      <c r="BG159" t="s">
        <v>134</v>
      </c>
      <c r="BH159">
        <v>5.2465999999999999</v>
      </c>
      <c r="BI159">
        <v>5.2766000000000002</v>
      </c>
      <c r="BJ159">
        <v>5.2325999999999997</v>
      </c>
      <c r="BK159" t="s">
        <v>134</v>
      </c>
      <c r="BL159" t="s">
        <v>134</v>
      </c>
      <c r="BM159" t="s">
        <v>134</v>
      </c>
      <c r="BN159" t="s">
        <v>134</v>
      </c>
      <c r="BO159" t="s">
        <v>134</v>
      </c>
      <c r="BP159" t="s">
        <v>134</v>
      </c>
      <c r="BQ159" t="s">
        <v>134</v>
      </c>
      <c r="BR159" t="s">
        <v>134</v>
      </c>
      <c r="BS159" t="s">
        <v>134</v>
      </c>
      <c r="BT159" t="s">
        <v>134</v>
      </c>
      <c r="BU159" t="s">
        <v>134</v>
      </c>
      <c r="BV159" t="s">
        <v>134</v>
      </c>
      <c r="BW159" t="s">
        <v>134</v>
      </c>
      <c r="BX159" t="s">
        <v>134</v>
      </c>
      <c r="BY159" t="s">
        <v>134</v>
      </c>
      <c r="BZ159" t="s">
        <v>134</v>
      </c>
      <c r="CA159" t="s">
        <v>134</v>
      </c>
      <c r="CB159" t="s">
        <v>134</v>
      </c>
      <c r="CC159" t="s">
        <v>134</v>
      </c>
      <c r="CD159" t="s">
        <v>134</v>
      </c>
      <c r="CE159" t="s">
        <v>134</v>
      </c>
      <c r="CF159" t="s">
        <v>134</v>
      </c>
      <c r="CG159" t="s">
        <v>134</v>
      </c>
      <c r="CH159" t="s">
        <v>134</v>
      </c>
      <c r="CI159" t="s">
        <v>134</v>
      </c>
      <c r="CJ159" t="s">
        <v>134</v>
      </c>
      <c r="CK159" t="s">
        <v>134</v>
      </c>
      <c r="CL159" t="s">
        <v>134</v>
      </c>
      <c r="CM159" t="s">
        <v>134</v>
      </c>
      <c r="CN159" t="s">
        <v>134</v>
      </c>
      <c r="CO159" t="s">
        <v>134</v>
      </c>
      <c r="CP159" t="s">
        <v>134</v>
      </c>
      <c r="CQ159" t="s">
        <v>134</v>
      </c>
      <c r="CR159">
        <v>10312.799999999999</v>
      </c>
      <c r="CS159" t="s">
        <v>134</v>
      </c>
      <c r="CT159" t="s">
        <v>134</v>
      </c>
      <c r="CU159" t="s">
        <v>134</v>
      </c>
      <c r="CV159" t="s">
        <v>134</v>
      </c>
      <c r="CW159" t="s">
        <v>134</v>
      </c>
      <c r="CX159" t="s">
        <v>134</v>
      </c>
      <c r="CY159" t="s">
        <v>134</v>
      </c>
      <c r="CZ159" t="s">
        <v>134</v>
      </c>
      <c r="DA159" t="s">
        <v>134</v>
      </c>
      <c r="DB159" t="s">
        <v>134</v>
      </c>
      <c r="DC159" t="s">
        <v>134</v>
      </c>
      <c r="DD159" t="s">
        <v>134</v>
      </c>
      <c r="DE159" t="s">
        <v>134</v>
      </c>
      <c r="DF159" t="s">
        <v>134</v>
      </c>
      <c r="DG159" t="s">
        <v>134</v>
      </c>
      <c r="DH159" t="s">
        <v>134</v>
      </c>
      <c r="DI159" t="s">
        <v>134</v>
      </c>
    </row>
    <row r="160" spans="1:113" x14ac:dyDescent="0.3">
      <c r="E160" t="s">
        <v>5</v>
      </c>
      <c r="F160">
        <v>13.894500000000001</v>
      </c>
      <c r="G160">
        <v>2.1448999999999998</v>
      </c>
      <c r="H160">
        <v>5.6022999999999996</v>
      </c>
      <c r="I160">
        <v>5.9074999999999998</v>
      </c>
      <c r="J160" t="s">
        <v>134</v>
      </c>
      <c r="K160">
        <v>33.3005</v>
      </c>
      <c r="L160">
        <v>17.5365</v>
      </c>
      <c r="M160">
        <v>21.897600000000001</v>
      </c>
      <c r="N160">
        <v>22.609200000000001</v>
      </c>
      <c r="O160">
        <v>22.1889</v>
      </c>
      <c r="P160">
        <v>22.1889</v>
      </c>
      <c r="Q160">
        <v>33.225700000000003</v>
      </c>
      <c r="R160" t="s">
        <v>134</v>
      </c>
      <c r="S160" t="s">
        <v>134</v>
      </c>
      <c r="T160">
        <v>33.128399999999999</v>
      </c>
      <c r="U160" t="s">
        <v>134</v>
      </c>
      <c r="V160">
        <v>21.946899999999999</v>
      </c>
      <c r="W160">
        <v>23.158899999999999</v>
      </c>
      <c r="X160">
        <v>22.721299999999999</v>
      </c>
      <c r="Y160" t="s">
        <v>134</v>
      </c>
      <c r="Z160" t="s">
        <v>134</v>
      </c>
      <c r="AA160" t="s">
        <v>134</v>
      </c>
      <c r="AB160">
        <v>-0.95179999999999998</v>
      </c>
      <c r="AC160">
        <v>17.246500000000001</v>
      </c>
      <c r="AD160" t="s">
        <v>134</v>
      </c>
      <c r="AE160" t="s">
        <v>134</v>
      </c>
      <c r="AF160" t="s">
        <v>134</v>
      </c>
      <c r="AG160" t="s">
        <v>134</v>
      </c>
      <c r="AH160">
        <v>-6.5743999999999998</v>
      </c>
      <c r="AI160">
        <v>15.097099999999999</v>
      </c>
      <c r="AJ160">
        <v>1.5482</v>
      </c>
      <c r="AK160">
        <v>14.4979</v>
      </c>
      <c r="AL160" t="s">
        <v>134</v>
      </c>
      <c r="AM160">
        <v>16.296900000000001</v>
      </c>
      <c r="AN160" t="s">
        <v>134</v>
      </c>
      <c r="AO160">
        <v>20.555299999999999</v>
      </c>
      <c r="AP160">
        <v>19.085699999999999</v>
      </c>
      <c r="AQ160">
        <v>16.738199999999999</v>
      </c>
      <c r="AR160" t="s">
        <v>134</v>
      </c>
      <c r="AS160" t="s">
        <v>134</v>
      </c>
      <c r="AT160" t="s">
        <v>134</v>
      </c>
      <c r="AU160" t="s">
        <v>134</v>
      </c>
      <c r="AV160" t="s">
        <v>134</v>
      </c>
      <c r="AW160" t="s">
        <v>134</v>
      </c>
      <c r="AX160" t="s">
        <v>134</v>
      </c>
      <c r="AY160" t="s">
        <v>134</v>
      </c>
      <c r="AZ160" t="s">
        <v>134</v>
      </c>
      <c r="BA160" t="s">
        <v>134</v>
      </c>
      <c r="BB160" t="s">
        <v>134</v>
      </c>
      <c r="BC160" t="s">
        <v>134</v>
      </c>
      <c r="BD160" t="s">
        <v>134</v>
      </c>
      <c r="BE160" t="s">
        <v>134</v>
      </c>
      <c r="BF160">
        <v>-1.7223000000000002</v>
      </c>
      <c r="BG160" t="s">
        <v>134</v>
      </c>
      <c r="BH160">
        <v>4.4770000000000003</v>
      </c>
      <c r="BI160">
        <v>2.8096000000000001</v>
      </c>
      <c r="BJ160">
        <v>2.6518999999999999</v>
      </c>
      <c r="BK160" t="s">
        <v>134</v>
      </c>
      <c r="BL160" t="s">
        <v>134</v>
      </c>
      <c r="BM160" t="s">
        <v>134</v>
      </c>
      <c r="BN160" t="s">
        <v>134</v>
      </c>
      <c r="BO160" t="s">
        <v>134</v>
      </c>
      <c r="BP160" t="s">
        <v>134</v>
      </c>
      <c r="BQ160" t="s">
        <v>134</v>
      </c>
      <c r="BR160" t="s">
        <v>134</v>
      </c>
      <c r="BS160" t="s">
        <v>134</v>
      </c>
      <c r="BT160" t="s">
        <v>134</v>
      </c>
      <c r="BU160" t="s">
        <v>134</v>
      </c>
      <c r="BV160" t="s">
        <v>134</v>
      </c>
      <c r="BW160" t="s">
        <v>134</v>
      </c>
      <c r="BX160" t="s">
        <v>134</v>
      </c>
      <c r="BY160">
        <v>282410.59999999998</v>
      </c>
      <c r="BZ160" t="s">
        <v>134</v>
      </c>
      <c r="CA160">
        <v>282410.59999999998</v>
      </c>
      <c r="CB160" t="s">
        <v>134</v>
      </c>
      <c r="CC160" t="s">
        <v>134</v>
      </c>
      <c r="CD160">
        <v>7.1033999999999997</v>
      </c>
      <c r="CE160">
        <v>5.9086999999999996</v>
      </c>
      <c r="CF160" t="s">
        <v>134</v>
      </c>
      <c r="CG160">
        <v>15.297800000000001</v>
      </c>
      <c r="CH160">
        <v>135.39830000000001</v>
      </c>
      <c r="CI160">
        <v>57.518799999999999</v>
      </c>
      <c r="CJ160">
        <v>21.012499999999999</v>
      </c>
      <c r="CK160">
        <v>135.39830000000001</v>
      </c>
      <c r="CL160">
        <v>57.518799999999999</v>
      </c>
      <c r="CM160">
        <v>21.012499999999999</v>
      </c>
      <c r="CN160">
        <v>112.62479999999999</v>
      </c>
      <c r="CO160">
        <v>52.968800000000002</v>
      </c>
      <c r="CP160" t="s">
        <v>134</v>
      </c>
      <c r="CQ160" t="s">
        <v>134</v>
      </c>
      <c r="CR160">
        <v>10774.5</v>
      </c>
      <c r="CS160" t="s">
        <v>134</v>
      </c>
      <c r="CT160" t="s">
        <v>134</v>
      </c>
      <c r="CU160" t="s">
        <v>134</v>
      </c>
      <c r="CV160" t="s">
        <v>134</v>
      </c>
      <c r="CW160" t="s">
        <v>134</v>
      </c>
      <c r="CX160" t="s">
        <v>134</v>
      </c>
      <c r="CY160" t="s">
        <v>134</v>
      </c>
      <c r="CZ160" t="s">
        <v>134</v>
      </c>
      <c r="DA160" t="s">
        <v>134</v>
      </c>
      <c r="DB160" t="s">
        <v>134</v>
      </c>
      <c r="DC160" t="s">
        <v>134</v>
      </c>
      <c r="DD160" t="s">
        <v>134</v>
      </c>
      <c r="DE160" t="s">
        <v>134</v>
      </c>
      <c r="DF160" t="s">
        <v>134</v>
      </c>
      <c r="DG160" t="s">
        <v>134</v>
      </c>
      <c r="DH160" t="s">
        <v>134</v>
      </c>
      <c r="DI160" t="s">
        <v>134</v>
      </c>
    </row>
    <row r="161" spans="4:113" x14ac:dyDescent="0.3">
      <c r="E161" t="s">
        <v>6</v>
      </c>
      <c r="F161" t="s">
        <v>134</v>
      </c>
      <c r="G161" t="s">
        <v>134</v>
      </c>
      <c r="H161" t="s">
        <v>134</v>
      </c>
      <c r="I161" t="s">
        <v>134</v>
      </c>
      <c r="J161" t="s">
        <v>134</v>
      </c>
      <c r="K161">
        <v>30.7638</v>
      </c>
      <c r="L161">
        <v>28.298200000000001</v>
      </c>
      <c r="M161">
        <v>20.2517</v>
      </c>
      <c r="N161">
        <v>20.8278</v>
      </c>
      <c r="O161">
        <v>20.448799999999999</v>
      </c>
      <c r="P161">
        <v>20.448799999999999</v>
      </c>
      <c r="Q161">
        <v>33.255099999999999</v>
      </c>
      <c r="R161" t="s">
        <v>134</v>
      </c>
      <c r="S161" t="s">
        <v>134</v>
      </c>
      <c r="T161">
        <v>20.317799999999998</v>
      </c>
      <c r="U161" t="s">
        <v>134</v>
      </c>
      <c r="V161">
        <v>21.529699999999998</v>
      </c>
      <c r="W161">
        <v>21.202500000000001</v>
      </c>
      <c r="X161">
        <v>20.860500000000002</v>
      </c>
      <c r="Y161" t="s">
        <v>134</v>
      </c>
      <c r="Z161" t="s">
        <v>134</v>
      </c>
      <c r="AA161" t="s">
        <v>134</v>
      </c>
      <c r="AB161" t="s">
        <v>134</v>
      </c>
      <c r="AC161" t="s">
        <v>134</v>
      </c>
      <c r="AD161" t="s">
        <v>134</v>
      </c>
      <c r="AE161" t="s">
        <v>134</v>
      </c>
      <c r="AF161" t="s">
        <v>134</v>
      </c>
      <c r="AG161" t="s">
        <v>134</v>
      </c>
      <c r="AH161" t="s">
        <v>134</v>
      </c>
      <c r="AI161" t="s">
        <v>134</v>
      </c>
      <c r="AJ161" t="s">
        <v>134</v>
      </c>
      <c r="AK161" t="s">
        <v>134</v>
      </c>
      <c r="AL161" t="s">
        <v>134</v>
      </c>
      <c r="AM161">
        <v>17.2029</v>
      </c>
      <c r="AN161" t="s">
        <v>134</v>
      </c>
      <c r="AO161">
        <v>17.518999999999998</v>
      </c>
      <c r="AP161">
        <v>16.677499999999998</v>
      </c>
      <c r="AQ161">
        <v>14.453099999999999</v>
      </c>
      <c r="AR161" t="s">
        <v>134</v>
      </c>
      <c r="AS161" t="s">
        <v>134</v>
      </c>
      <c r="AT161" t="s">
        <v>134</v>
      </c>
      <c r="AU161" t="s">
        <v>134</v>
      </c>
      <c r="AV161" t="s">
        <v>134</v>
      </c>
      <c r="AW161" t="s">
        <v>134</v>
      </c>
      <c r="AX161" t="s">
        <v>134</v>
      </c>
      <c r="AY161" t="s">
        <v>134</v>
      </c>
      <c r="AZ161" t="s">
        <v>134</v>
      </c>
      <c r="BA161" t="s">
        <v>134</v>
      </c>
      <c r="BB161" t="s">
        <v>134</v>
      </c>
      <c r="BC161" t="s">
        <v>134</v>
      </c>
      <c r="BD161" t="s">
        <v>134</v>
      </c>
      <c r="BE161" t="s">
        <v>134</v>
      </c>
      <c r="BF161">
        <v>8.1915999999999993</v>
      </c>
      <c r="BG161" t="s">
        <v>134</v>
      </c>
      <c r="BH161">
        <v>5.9400000000000001E-2</v>
      </c>
      <c r="BI161">
        <v>-0.18390000000000001</v>
      </c>
      <c r="BJ161">
        <v>-0.21529999999999999</v>
      </c>
      <c r="BK161" t="s">
        <v>134</v>
      </c>
      <c r="BL161" t="s">
        <v>134</v>
      </c>
      <c r="BM161" t="s">
        <v>134</v>
      </c>
      <c r="BN161" t="s">
        <v>134</v>
      </c>
      <c r="BO161" t="s">
        <v>134</v>
      </c>
      <c r="BP161" t="s">
        <v>134</v>
      </c>
      <c r="BQ161" t="s">
        <v>134</v>
      </c>
      <c r="BR161" t="s">
        <v>134</v>
      </c>
      <c r="BS161" t="s">
        <v>134</v>
      </c>
      <c r="BT161" t="s">
        <v>134</v>
      </c>
      <c r="BU161" t="s">
        <v>134</v>
      </c>
      <c r="BV161" t="s">
        <v>134</v>
      </c>
      <c r="BW161" t="s">
        <v>134</v>
      </c>
      <c r="BX161" t="s">
        <v>134</v>
      </c>
      <c r="BY161" t="s">
        <v>134</v>
      </c>
      <c r="BZ161" t="s">
        <v>134</v>
      </c>
      <c r="CA161" t="s">
        <v>134</v>
      </c>
      <c r="CB161" t="s">
        <v>134</v>
      </c>
      <c r="CC161" t="s">
        <v>134</v>
      </c>
      <c r="CD161" t="s">
        <v>134</v>
      </c>
      <c r="CE161" t="s">
        <v>134</v>
      </c>
      <c r="CF161" t="s">
        <v>134</v>
      </c>
      <c r="CG161" t="s">
        <v>134</v>
      </c>
      <c r="CH161" t="s">
        <v>134</v>
      </c>
      <c r="CI161" t="s">
        <v>134</v>
      </c>
      <c r="CJ161" t="s">
        <v>134</v>
      </c>
      <c r="CK161" t="s">
        <v>134</v>
      </c>
      <c r="CL161" t="s">
        <v>134</v>
      </c>
      <c r="CM161" t="s">
        <v>134</v>
      </c>
      <c r="CN161" t="s">
        <v>134</v>
      </c>
      <c r="CO161" t="s">
        <v>134</v>
      </c>
      <c r="CP161" t="s">
        <v>134</v>
      </c>
      <c r="CQ161" t="s">
        <v>134</v>
      </c>
      <c r="CR161">
        <v>10780.9</v>
      </c>
      <c r="CS161" t="s">
        <v>134</v>
      </c>
      <c r="CT161" t="s">
        <v>134</v>
      </c>
      <c r="CU161" t="s">
        <v>134</v>
      </c>
      <c r="CV161" t="s">
        <v>134</v>
      </c>
      <c r="CW161" t="s">
        <v>134</v>
      </c>
      <c r="CX161" t="s">
        <v>134</v>
      </c>
      <c r="CY161" t="s">
        <v>134</v>
      </c>
      <c r="CZ161" t="s">
        <v>134</v>
      </c>
      <c r="DA161" t="s">
        <v>134</v>
      </c>
      <c r="DB161" t="s">
        <v>134</v>
      </c>
      <c r="DC161" t="s">
        <v>134</v>
      </c>
      <c r="DD161" t="s">
        <v>134</v>
      </c>
      <c r="DE161" t="s">
        <v>134</v>
      </c>
      <c r="DF161" t="s">
        <v>134</v>
      </c>
      <c r="DG161" t="s">
        <v>134</v>
      </c>
      <c r="DH161" t="s">
        <v>134</v>
      </c>
      <c r="DI161" t="s">
        <v>134</v>
      </c>
    </row>
    <row r="162" spans="4:113" x14ac:dyDescent="0.3">
      <c r="E162" t="s">
        <v>7</v>
      </c>
      <c r="F162">
        <v>14.7691</v>
      </c>
      <c r="G162">
        <v>2.2490999999999999</v>
      </c>
      <c r="H162">
        <v>5.8559000000000001</v>
      </c>
      <c r="I162">
        <v>6.1974</v>
      </c>
      <c r="J162" t="s">
        <v>134</v>
      </c>
      <c r="K162">
        <v>31.442799999999998</v>
      </c>
      <c r="L162">
        <v>34.800600000000003</v>
      </c>
      <c r="M162">
        <v>22.0853</v>
      </c>
      <c r="N162">
        <v>21.507100000000001</v>
      </c>
      <c r="O162">
        <v>21.0502</v>
      </c>
      <c r="P162">
        <v>21.0502</v>
      </c>
      <c r="Q162">
        <v>31.823899999999998</v>
      </c>
      <c r="R162" t="s">
        <v>134</v>
      </c>
      <c r="S162" t="s">
        <v>134</v>
      </c>
      <c r="T162">
        <v>29.068200000000001</v>
      </c>
      <c r="U162" t="s">
        <v>134</v>
      </c>
      <c r="V162">
        <v>39.116399999999999</v>
      </c>
      <c r="W162">
        <v>37.582700000000003</v>
      </c>
      <c r="X162">
        <v>37.093000000000004</v>
      </c>
      <c r="Y162" t="s">
        <v>134</v>
      </c>
      <c r="Z162" t="s">
        <v>134</v>
      </c>
      <c r="AA162" t="s">
        <v>134</v>
      </c>
      <c r="AB162">
        <v>9.3150999999999993</v>
      </c>
      <c r="AC162">
        <v>21.547699999999999</v>
      </c>
      <c r="AD162" t="s">
        <v>134</v>
      </c>
      <c r="AE162" t="s">
        <v>134</v>
      </c>
      <c r="AF162" t="s">
        <v>134</v>
      </c>
      <c r="AG162">
        <v>53.116999999999997</v>
      </c>
      <c r="AH162">
        <v>10.492800000000001</v>
      </c>
      <c r="AI162">
        <v>16.205200000000001</v>
      </c>
      <c r="AJ162">
        <v>12.7105</v>
      </c>
      <c r="AK162">
        <v>15.7887</v>
      </c>
      <c r="AL162" t="s">
        <v>134</v>
      </c>
      <c r="AM162">
        <v>15.947800000000001</v>
      </c>
      <c r="AN162" t="s">
        <v>134</v>
      </c>
      <c r="AO162">
        <v>17.0962</v>
      </c>
      <c r="AP162">
        <v>16.870899999999999</v>
      </c>
      <c r="AQ162">
        <v>14.656700000000001</v>
      </c>
      <c r="AR162" t="s">
        <v>134</v>
      </c>
      <c r="AS162" t="s">
        <v>134</v>
      </c>
      <c r="AT162" t="s">
        <v>134</v>
      </c>
      <c r="AU162">
        <v>18.881599999999999</v>
      </c>
      <c r="AV162">
        <v>21.937100000000001</v>
      </c>
      <c r="AW162" t="s">
        <v>134</v>
      </c>
      <c r="AX162" t="s">
        <v>134</v>
      </c>
      <c r="AY162" t="s">
        <v>134</v>
      </c>
      <c r="AZ162">
        <v>22.355699999999999</v>
      </c>
      <c r="BA162">
        <v>18.0185</v>
      </c>
      <c r="BB162">
        <v>22.824000000000002</v>
      </c>
      <c r="BC162">
        <v>19.806100000000001</v>
      </c>
      <c r="BD162">
        <v>20.1844</v>
      </c>
      <c r="BE162" t="s">
        <v>134</v>
      </c>
      <c r="BF162">
        <v>15.9445</v>
      </c>
      <c r="BG162" t="s">
        <v>134</v>
      </c>
      <c r="BH162">
        <v>26.4421</v>
      </c>
      <c r="BI162">
        <v>27.349599999999999</v>
      </c>
      <c r="BJ162">
        <v>27.1845</v>
      </c>
      <c r="BK162" t="s">
        <v>134</v>
      </c>
      <c r="BL162" t="s">
        <v>134</v>
      </c>
      <c r="BM162" t="s">
        <v>134</v>
      </c>
      <c r="BN162" t="s">
        <v>134</v>
      </c>
      <c r="BO162" t="s">
        <v>134</v>
      </c>
      <c r="BP162" t="s">
        <v>134</v>
      </c>
      <c r="BQ162" t="s">
        <v>134</v>
      </c>
      <c r="BR162" t="s">
        <v>134</v>
      </c>
      <c r="BS162" t="s">
        <v>134</v>
      </c>
      <c r="BT162" t="s">
        <v>134</v>
      </c>
      <c r="BU162" t="s">
        <v>134</v>
      </c>
      <c r="BV162" t="s">
        <v>134</v>
      </c>
      <c r="BW162" t="s">
        <v>134</v>
      </c>
      <c r="BX162" t="s">
        <v>134</v>
      </c>
      <c r="BY162">
        <v>336992.24900000001</v>
      </c>
      <c r="BZ162">
        <v>22843.455999999998</v>
      </c>
      <c r="CA162">
        <v>314148.79300000001</v>
      </c>
      <c r="CB162" t="s">
        <v>134</v>
      </c>
      <c r="CC162" t="s">
        <v>134</v>
      </c>
      <c r="CD162">
        <v>7.4065000000000003</v>
      </c>
      <c r="CE162">
        <v>5.8891999999999998</v>
      </c>
      <c r="CF162" t="s">
        <v>134</v>
      </c>
      <c r="CG162">
        <v>14.9125</v>
      </c>
      <c r="CH162">
        <v>139.6713</v>
      </c>
      <c r="CI162">
        <v>55.9071</v>
      </c>
      <c r="CJ162">
        <v>21.143999999999998</v>
      </c>
      <c r="CK162">
        <v>149.82759999999999</v>
      </c>
      <c r="CL162">
        <v>59.9724</v>
      </c>
      <c r="CM162">
        <v>22.6815</v>
      </c>
      <c r="CN162">
        <v>119.1347</v>
      </c>
      <c r="CO162">
        <v>54.366</v>
      </c>
      <c r="CP162" t="s">
        <v>134</v>
      </c>
      <c r="CQ162" t="s">
        <v>134</v>
      </c>
      <c r="CR162">
        <v>13631.6</v>
      </c>
      <c r="CS162" t="s">
        <v>134</v>
      </c>
      <c r="CT162" t="s">
        <v>134</v>
      </c>
      <c r="CU162" t="s">
        <v>134</v>
      </c>
      <c r="CV162" t="s">
        <v>134</v>
      </c>
      <c r="CW162" t="s">
        <v>134</v>
      </c>
      <c r="CX162" t="s">
        <v>134</v>
      </c>
      <c r="CY162" t="s">
        <v>134</v>
      </c>
      <c r="CZ162" t="s">
        <v>134</v>
      </c>
      <c r="DA162" t="s">
        <v>134</v>
      </c>
      <c r="DB162" t="s">
        <v>134</v>
      </c>
      <c r="DC162" t="s">
        <v>134</v>
      </c>
      <c r="DD162" t="s">
        <v>134</v>
      </c>
      <c r="DE162" t="s">
        <v>134</v>
      </c>
      <c r="DF162" t="s">
        <v>134</v>
      </c>
      <c r="DG162" t="s">
        <v>134</v>
      </c>
      <c r="DH162" t="s">
        <v>134</v>
      </c>
      <c r="DI162" t="s">
        <v>134</v>
      </c>
    </row>
    <row r="163" spans="4:113" x14ac:dyDescent="0.3">
      <c r="D163" t="s">
        <v>9</v>
      </c>
      <c r="E163" t="s">
        <v>3</v>
      </c>
      <c r="F163">
        <v>12.4597</v>
      </c>
      <c r="G163">
        <v>1.7766</v>
      </c>
      <c r="H163">
        <v>5.1872999999999996</v>
      </c>
      <c r="I163">
        <v>6.2625000000000002</v>
      </c>
      <c r="J163" t="s">
        <v>134</v>
      </c>
      <c r="K163">
        <v>29.957699999999999</v>
      </c>
      <c r="L163">
        <v>22.057300000000001</v>
      </c>
      <c r="M163">
        <v>18.011199999999999</v>
      </c>
      <c r="N163">
        <v>21.014700000000001</v>
      </c>
      <c r="O163">
        <v>20.625900000000001</v>
      </c>
      <c r="P163">
        <v>20.625900000000001</v>
      </c>
      <c r="Q163">
        <v>31.701899999999998</v>
      </c>
      <c r="R163">
        <v>2.6551</v>
      </c>
      <c r="S163">
        <v>12.1289</v>
      </c>
      <c r="T163">
        <v>29.205300000000001</v>
      </c>
      <c r="U163" t="s">
        <v>134</v>
      </c>
      <c r="V163">
        <v>10.4124</v>
      </c>
      <c r="W163">
        <v>13.574300000000001</v>
      </c>
      <c r="X163">
        <v>-4.2131999999999996</v>
      </c>
      <c r="Y163">
        <v>11.1111</v>
      </c>
      <c r="Z163" t="s">
        <v>134</v>
      </c>
      <c r="AA163" t="s">
        <v>134</v>
      </c>
      <c r="AB163">
        <v>25.334800000000001</v>
      </c>
      <c r="AC163">
        <v>62.074599999999997</v>
      </c>
      <c r="AD163" t="s">
        <v>134</v>
      </c>
      <c r="AE163" t="s">
        <v>134</v>
      </c>
      <c r="AF163" t="s">
        <v>134</v>
      </c>
      <c r="AG163">
        <v>-4.1154999999999999</v>
      </c>
      <c r="AH163">
        <v>36.264600000000002</v>
      </c>
      <c r="AI163">
        <v>50.096200000000003</v>
      </c>
      <c r="AJ163">
        <v>41.801099999999998</v>
      </c>
      <c r="AK163">
        <v>26.805199999999999</v>
      </c>
      <c r="AL163">
        <v>-15.5837</v>
      </c>
      <c r="AM163">
        <v>20.491399999999999</v>
      </c>
      <c r="AN163" t="s">
        <v>134</v>
      </c>
      <c r="AO163">
        <v>17.454499999999999</v>
      </c>
      <c r="AP163">
        <v>17.161999999999999</v>
      </c>
      <c r="AQ163">
        <v>11.8072</v>
      </c>
      <c r="AR163">
        <v>14.8698</v>
      </c>
      <c r="AS163" t="s">
        <v>134</v>
      </c>
      <c r="AT163" t="s">
        <v>134</v>
      </c>
      <c r="AU163">
        <v>24.650500000000001</v>
      </c>
      <c r="AV163">
        <v>26.724699999999999</v>
      </c>
      <c r="AW163" t="s">
        <v>134</v>
      </c>
      <c r="AX163" t="s">
        <v>134</v>
      </c>
      <c r="AY163" t="s">
        <v>134</v>
      </c>
      <c r="AZ163">
        <v>17.280100000000001</v>
      </c>
      <c r="BA163">
        <v>14.769600000000001</v>
      </c>
      <c r="BB163">
        <v>24.8992</v>
      </c>
      <c r="BC163">
        <v>18.453199999999999</v>
      </c>
      <c r="BD163">
        <v>19.499099999999999</v>
      </c>
      <c r="BE163" t="s">
        <v>134</v>
      </c>
      <c r="BF163">
        <v>29.205300000000001</v>
      </c>
      <c r="BG163" t="s">
        <v>134</v>
      </c>
      <c r="BH163">
        <v>10.4124</v>
      </c>
      <c r="BI163">
        <v>13.574300000000001</v>
      </c>
      <c r="BJ163">
        <v>-4.2131999999999996</v>
      </c>
      <c r="BK163">
        <v>11.1111</v>
      </c>
      <c r="BL163" t="s">
        <v>134</v>
      </c>
      <c r="BM163" t="s">
        <v>134</v>
      </c>
      <c r="BN163">
        <v>25.334800000000001</v>
      </c>
      <c r="BO163">
        <v>62.074599999999997</v>
      </c>
      <c r="BP163" t="s">
        <v>134</v>
      </c>
      <c r="BQ163" t="s">
        <v>134</v>
      </c>
      <c r="BR163" t="s">
        <v>134</v>
      </c>
      <c r="BS163">
        <v>-4.1154999999999999</v>
      </c>
      <c r="BT163">
        <v>36.264600000000002</v>
      </c>
      <c r="BU163">
        <v>50.096200000000003</v>
      </c>
      <c r="BV163">
        <v>41.801099999999998</v>
      </c>
      <c r="BW163">
        <v>26.805199999999999</v>
      </c>
      <c r="BX163" t="s">
        <v>134</v>
      </c>
      <c r="BY163">
        <v>459201.25900000002</v>
      </c>
      <c r="BZ163">
        <v>21903.323</v>
      </c>
      <c r="CA163">
        <v>437297.93599999999</v>
      </c>
      <c r="CB163" t="s">
        <v>134</v>
      </c>
      <c r="CC163" t="s">
        <v>134</v>
      </c>
      <c r="CD163">
        <v>9.1405999999999992</v>
      </c>
      <c r="CE163">
        <v>6.8316999999999997</v>
      </c>
      <c r="CF163" t="s">
        <v>134</v>
      </c>
      <c r="CG163">
        <v>13.8553</v>
      </c>
      <c r="CH163">
        <v>129.53270000000001</v>
      </c>
      <c r="CI163">
        <v>54.881900000000002</v>
      </c>
      <c r="CJ163">
        <v>18.1599</v>
      </c>
      <c r="CK163">
        <v>136.02070000000001</v>
      </c>
      <c r="CL163">
        <v>57.630800000000001</v>
      </c>
      <c r="CM163">
        <v>19.069500000000001</v>
      </c>
      <c r="CN163">
        <v>101.6619</v>
      </c>
      <c r="CO163">
        <v>50.412100000000002</v>
      </c>
      <c r="CP163" t="s">
        <v>134</v>
      </c>
      <c r="CQ163" t="s">
        <v>134</v>
      </c>
      <c r="CR163">
        <v>50237.413</v>
      </c>
      <c r="CS163" t="s">
        <v>134</v>
      </c>
      <c r="CT163" t="s">
        <v>134</v>
      </c>
      <c r="CU163" t="s">
        <v>134</v>
      </c>
      <c r="CV163" t="s">
        <v>134</v>
      </c>
      <c r="CW163" t="s">
        <v>134</v>
      </c>
      <c r="CX163" t="s">
        <v>134</v>
      </c>
      <c r="CY163" t="s">
        <v>134</v>
      </c>
      <c r="CZ163" t="s">
        <v>134</v>
      </c>
      <c r="DA163" t="s">
        <v>134</v>
      </c>
      <c r="DB163" t="s">
        <v>134</v>
      </c>
      <c r="DC163" t="s">
        <v>134</v>
      </c>
      <c r="DD163" t="s">
        <v>134</v>
      </c>
      <c r="DE163" t="s">
        <v>134</v>
      </c>
      <c r="DF163" t="s">
        <v>134</v>
      </c>
      <c r="DG163" t="s">
        <v>134</v>
      </c>
      <c r="DH163" t="s">
        <v>134</v>
      </c>
      <c r="DI163" t="s">
        <v>134</v>
      </c>
    </row>
    <row r="164" spans="4:113" x14ac:dyDescent="0.3">
      <c r="E164" t="s">
        <v>4</v>
      </c>
      <c r="F164" t="s">
        <v>134</v>
      </c>
      <c r="G164" t="s">
        <v>134</v>
      </c>
      <c r="H164" t="s">
        <v>134</v>
      </c>
      <c r="I164" t="s">
        <v>134</v>
      </c>
      <c r="J164" t="s">
        <v>134</v>
      </c>
      <c r="K164">
        <v>20.741800000000001</v>
      </c>
      <c r="L164" t="s">
        <v>134</v>
      </c>
      <c r="M164">
        <v>11.7156</v>
      </c>
      <c r="N164">
        <v>14.8005</v>
      </c>
      <c r="O164">
        <v>14.324299999999999</v>
      </c>
      <c r="P164">
        <v>14.324299999999999</v>
      </c>
      <c r="Q164">
        <v>30.526699999999998</v>
      </c>
      <c r="R164" t="s">
        <v>134</v>
      </c>
      <c r="S164" t="s">
        <v>134</v>
      </c>
      <c r="T164">
        <v>27.523499999999999</v>
      </c>
      <c r="U164" t="s">
        <v>134</v>
      </c>
      <c r="V164">
        <v>-27.468800000000002</v>
      </c>
      <c r="W164">
        <v>-26.025700000000001</v>
      </c>
      <c r="X164">
        <v>-37.679600000000001</v>
      </c>
      <c r="Y164" t="s">
        <v>134</v>
      </c>
      <c r="Z164" t="s">
        <v>134</v>
      </c>
      <c r="AA164" t="s">
        <v>134</v>
      </c>
      <c r="AB164" t="s">
        <v>134</v>
      </c>
      <c r="AC164" t="s">
        <v>134</v>
      </c>
      <c r="AD164" t="s">
        <v>134</v>
      </c>
      <c r="AE164" t="s">
        <v>134</v>
      </c>
      <c r="AF164" t="s">
        <v>134</v>
      </c>
      <c r="AG164" t="s">
        <v>134</v>
      </c>
      <c r="AH164" t="s">
        <v>134</v>
      </c>
      <c r="AI164" t="s">
        <v>134</v>
      </c>
      <c r="AJ164" t="s">
        <v>134</v>
      </c>
      <c r="AK164" t="s">
        <v>134</v>
      </c>
      <c r="AL164" t="s">
        <v>134</v>
      </c>
      <c r="AM164">
        <v>22.373100000000001</v>
      </c>
      <c r="AN164" t="s">
        <v>134</v>
      </c>
      <c r="AO164">
        <v>9.7045999999999992</v>
      </c>
      <c r="AP164">
        <v>9.5297999999999998</v>
      </c>
      <c r="AQ164">
        <v>3.8912</v>
      </c>
      <c r="AR164" t="s">
        <v>134</v>
      </c>
      <c r="AS164" t="s">
        <v>134</v>
      </c>
      <c r="AT164" t="s">
        <v>134</v>
      </c>
      <c r="AU164" t="s">
        <v>134</v>
      </c>
      <c r="AV164" t="s">
        <v>134</v>
      </c>
      <c r="AW164" t="s">
        <v>134</v>
      </c>
      <c r="AX164" t="s">
        <v>134</v>
      </c>
      <c r="AY164" t="s">
        <v>134</v>
      </c>
      <c r="AZ164" t="s">
        <v>134</v>
      </c>
      <c r="BA164" t="s">
        <v>134</v>
      </c>
      <c r="BB164" t="s">
        <v>134</v>
      </c>
      <c r="BC164" t="s">
        <v>134</v>
      </c>
      <c r="BD164" t="s">
        <v>134</v>
      </c>
      <c r="BE164" t="s">
        <v>134</v>
      </c>
      <c r="BF164">
        <v>3.4407000000000001</v>
      </c>
      <c r="BG164" t="s">
        <v>134</v>
      </c>
      <c r="BH164">
        <v>-45.127499999999998</v>
      </c>
      <c r="BI164">
        <v>-43.395800000000001</v>
      </c>
      <c r="BJ164">
        <v>-52.162799999999997</v>
      </c>
      <c r="BK164" t="s">
        <v>134</v>
      </c>
      <c r="BL164" t="s">
        <v>134</v>
      </c>
      <c r="BM164" t="s">
        <v>134</v>
      </c>
      <c r="BN164" t="s">
        <v>134</v>
      </c>
      <c r="BO164" t="s">
        <v>134</v>
      </c>
      <c r="BP164" t="s">
        <v>134</v>
      </c>
      <c r="BQ164" t="s">
        <v>134</v>
      </c>
      <c r="BR164" t="s">
        <v>134</v>
      </c>
      <c r="BS164" t="s">
        <v>134</v>
      </c>
      <c r="BT164" t="s">
        <v>134</v>
      </c>
      <c r="BU164" t="s">
        <v>134</v>
      </c>
      <c r="BV164" t="s">
        <v>134</v>
      </c>
      <c r="BW164" t="s">
        <v>134</v>
      </c>
      <c r="BX164" t="s">
        <v>134</v>
      </c>
      <c r="BY164" t="s">
        <v>134</v>
      </c>
      <c r="BZ164" t="s">
        <v>134</v>
      </c>
      <c r="CA164" t="s">
        <v>134</v>
      </c>
      <c r="CB164" t="s">
        <v>134</v>
      </c>
      <c r="CC164" t="s">
        <v>134</v>
      </c>
      <c r="CD164" t="s">
        <v>134</v>
      </c>
      <c r="CE164" t="s">
        <v>134</v>
      </c>
      <c r="CF164" t="s">
        <v>134</v>
      </c>
      <c r="CG164" t="s">
        <v>134</v>
      </c>
      <c r="CH164" t="s">
        <v>134</v>
      </c>
      <c r="CI164" t="s">
        <v>134</v>
      </c>
      <c r="CJ164" t="s">
        <v>134</v>
      </c>
      <c r="CK164" t="s">
        <v>134</v>
      </c>
      <c r="CL164" t="s">
        <v>134</v>
      </c>
      <c r="CM164" t="s">
        <v>134</v>
      </c>
      <c r="CN164" t="s">
        <v>134</v>
      </c>
      <c r="CO164" t="s">
        <v>134</v>
      </c>
      <c r="CP164" t="s">
        <v>134</v>
      </c>
      <c r="CQ164" t="s">
        <v>134</v>
      </c>
      <c r="CR164">
        <v>7480</v>
      </c>
      <c r="CS164" t="s">
        <v>134</v>
      </c>
      <c r="CT164" t="s">
        <v>134</v>
      </c>
      <c r="CU164" t="s">
        <v>134</v>
      </c>
      <c r="CV164" t="s">
        <v>134</v>
      </c>
      <c r="CW164" t="s">
        <v>134</v>
      </c>
      <c r="CX164" t="s">
        <v>134</v>
      </c>
      <c r="CY164" t="s">
        <v>134</v>
      </c>
      <c r="CZ164" t="s">
        <v>134</v>
      </c>
      <c r="DA164" t="s">
        <v>134</v>
      </c>
      <c r="DB164" t="s">
        <v>134</v>
      </c>
      <c r="DC164" t="s">
        <v>134</v>
      </c>
      <c r="DD164" t="s">
        <v>134</v>
      </c>
      <c r="DE164" t="s">
        <v>134</v>
      </c>
      <c r="DF164" t="s">
        <v>134</v>
      </c>
      <c r="DG164" t="s">
        <v>134</v>
      </c>
      <c r="DH164" t="s">
        <v>134</v>
      </c>
      <c r="DI164" t="s">
        <v>134</v>
      </c>
    </row>
    <row r="165" spans="4:113" x14ac:dyDescent="0.3">
      <c r="E165" t="s">
        <v>5</v>
      </c>
      <c r="F165">
        <v>11.8994</v>
      </c>
      <c r="G165">
        <v>1.7448000000000001</v>
      </c>
      <c r="H165">
        <v>5.1063000000000001</v>
      </c>
      <c r="I165">
        <v>6.1417999999999999</v>
      </c>
      <c r="J165" t="s">
        <v>134</v>
      </c>
      <c r="K165">
        <v>33.918799999999997</v>
      </c>
      <c r="L165">
        <v>36.4998</v>
      </c>
      <c r="M165">
        <v>20.216799999999999</v>
      </c>
      <c r="N165">
        <v>23.798300000000001</v>
      </c>
      <c r="O165">
        <v>23.484100000000002</v>
      </c>
      <c r="P165">
        <v>23.484100000000002</v>
      </c>
      <c r="Q165">
        <v>32.625700000000002</v>
      </c>
      <c r="R165" t="s">
        <v>134</v>
      </c>
      <c r="S165" t="s">
        <v>134</v>
      </c>
      <c r="T165">
        <v>36.758600000000001</v>
      </c>
      <c r="U165" t="s">
        <v>134</v>
      </c>
      <c r="V165">
        <v>26.261099999999999</v>
      </c>
      <c r="W165">
        <v>31.1952</v>
      </c>
      <c r="X165">
        <v>16.254000000000001</v>
      </c>
      <c r="Y165" t="s">
        <v>134</v>
      </c>
      <c r="Z165" t="s">
        <v>134</v>
      </c>
      <c r="AA165" t="s">
        <v>134</v>
      </c>
      <c r="AB165">
        <v>44.387999999999998</v>
      </c>
      <c r="AC165">
        <v>63.337499999999999</v>
      </c>
      <c r="AD165" t="s">
        <v>134</v>
      </c>
      <c r="AE165" t="s">
        <v>134</v>
      </c>
      <c r="AF165" t="s">
        <v>134</v>
      </c>
      <c r="AG165" t="s">
        <v>134</v>
      </c>
      <c r="AH165">
        <v>50.851500000000001</v>
      </c>
      <c r="AI165">
        <v>51.962000000000003</v>
      </c>
      <c r="AJ165">
        <v>51.3232</v>
      </c>
      <c r="AK165">
        <v>28.442299999999999</v>
      </c>
      <c r="AL165" t="s">
        <v>134</v>
      </c>
      <c r="AM165">
        <v>18.003</v>
      </c>
      <c r="AN165" t="s">
        <v>134</v>
      </c>
      <c r="AO165">
        <v>21.1599</v>
      </c>
      <c r="AP165">
        <v>20.935600000000001</v>
      </c>
      <c r="AQ165">
        <v>16.465900000000001</v>
      </c>
      <c r="AR165" t="s">
        <v>134</v>
      </c>
      <c r="AS165" t="s">
        <v>134</v>
      </c>
      <c r="AT165" t="s">
        <v>134</v>
      </c>
      <c r="AU165" t="s">
        <v>134</v>
      </c>
      <c r="AV165" t="s">
        <v>134</v>
      </c>
      <c r="AW165" t="s">
        <v>134</v>
      </c>
      <c r="AX165" t="s">
        <v>134</v>
      </c>
      <c r="AY165" t="s">
        <v>134</v>
      </c>
      <c r="AZ165" t="s">
        <v>134</v>
      </c>
      <c r="BA165" t="s">
        <v>134</v>
      </c>
      <c r="BB165" t="s">
        <v>134</v>
      </c>
      <c r="BC165" t="s">
        <v>134</v>
      </c>
      <c r="BD165" t="s">
        <v>134</v>
      </c>
      <c r="BE165" t="s">
        <v>134</v>
      </c>
      <c r="BF165">
        <v>5.3948</v>
      </c>
      <c r="BG165" t="s">
        <v>134</v>
      </c>
      <c r="BH165">
        <v>81.871700000000004</v>
      </c>
      <c r="BI165">
        <v>82.335400000000007</v>
      </c>
      <c r="BJ165">
        <v>91.489400000000003</v>
      </c>
      <c r="BK165" t="s">
        <v>134</v>
      </c>
      <c r="BL165" t="s">
        <v>134</v>
      </c>
      <c r="BM165" t="s">
        <v>134</v>
      </c>
      <c r="BN165" t="s">
        <v>134</v>
      </c>
      <c r="BO165" t="s">
        <v>134</v>
      </c>
      <c r="BP165" t="s">
        <v>134</v>
      </c>
      <c r="BQ165" t="s">
        <v>134</v>
      </c>
      <c r="BR165" t="s">
        <v>134</v>
      </c>
      <c r="BS165" t="s">
        <v>134</v>
      </c>
      <c r="BT165" t="s">
        <v>134</v>
      </c>
      <c r="BU165" t="s">
        <v>134</v>
      </c>
      <c r="BV165" t="s">
        <v>134</v>
      </c>
      <c r="BW165" t="s">
        <v>134</v>
      </c>
      <c r="BX165" t="s">
        <v>134</v>
      </c>
      <c r="BY165">
        <v>426020.7</v>
      </c>
      <c r="BZ165" t="s">
        <v>134</v>
      </c>
      <c r="CA165">
        <v>426020.7</v>
      </c>
      <c r="CB165" t="s">
        <v>134</v>
      </c>
      <c r="CC165" t="s">
        <v>134</v>
      </c>
      <c r="CD165">
        <v>9.3637999999999995</v>
      </c>
      <c r="CE165">
        <v>7.0206999999999997</v>
      </c>
      <c r="CF165" t="s">
        <v>134</v>
      </c>
      <c r="CG165">
        <v>14.2742</v>
      </c>
      <c r="CH165">
        <v>134.40889999999999</v>
      </c>
      <c r="CI165">
        <v>57.339500000000001</v>
      </c>
      <c r="CJ165">
        <v>19.406300000000002</v>
      </c>
      <c r="CK165">
        <v>134.40889999999999</v>
      </c>
      <c r="CL165">
        <v>57.339500000000001</v>
      </c>
      <c r="CM165">
        <v>19.406300000000002</v>
      </c>
      <c r="CN165">
        <v>100.77509999999999</v>
      </c>
      <c r="CO165">
        <v>50.192999999999998</v>
      </c>
      <c r="CP165" t="s">
        <v>134</v>
      </c>
      <c r="CQ165" t="s">
        <v>134</v>
      </c>
      <c r="CR165">
        <v>13604</v>
      </c>
      <c r="CS165" t="s">
        <v>134</v>
      </c>
      <c r="CT165" t="s">
        <v>134</v>
      </c>
      <c r="CU165" t="s">
        <v>134</v>
      </c>
      <c r="CV165" t="s">
        <v>134</v>
      </c>
      <c r="CW165" t="s">
        <v>134</v>
      </c>
      <c r="CX165" t="s">
        <v>134</v>
      </c>
      <c r="CY165" t="s">
        <v>134</v>
      </c>
      <c r="CZ165" t="s">
        <v>134</v>
      </c>
      <c r="DA165" t="s">
        <v>134</v>
      </c>
      <c r="DB165" t="s">
        <v>134</v>
      </c>
      <c r="DC165" t="s">
        <v>134</v>
      </c>
      <c r="DD165" t="s">
        <v>134</v>
      </c>
      <c r="DE165" t="s">
        <v>134</v>
      </c>
      <c r="DF165" t="s">
        <v>134</v>
      </c>
      <c r="DG165" t="s">
        <v>134</v>
      </c>
      <c r="DH165" t="s">
        <v>134</v>
      </c>
      <c r="DI165" t="s">
        <v>134</v>
      </c>
    </row>
    <row r="166" spans="4:113" x14ac:dyDescent="0.3">
      <c r="E166" t="s">
        <v>6</v>
      </c>
      <c r="F166" t="s">
        <v>134</v>
      </c>
      <c r="G166" t="s">
        <v>134</v>
      </c>
      <c r="H166" t="s">
        <v>134</v>
      </c>
      <c r="I166" t="s">
        <v>134</v>
      </c>
      <c r="J166" t="s">
        <v>134</v>
      </c>
      <c r="K166">
        <v>33.9251</v>
      </c>
      <c r="L166">
        <v>50.453600000000002</v>
      </c>
      <c r="M166">
        <v>20.3766</v>
      </c>
      <c r="N166">
        <v>23.011399999999998</v>
      </c>
      <c r="O166">
        <v>22.6404</v>
      </c>
      <c r="P166">
        <v>22.6404</v>
      </c>
      <c r="Q166">
        <v>33.747300000000003</v>
      </c>
      <c r="R166" t="s">
        <v>134</v>
      </c>
      <c r="S166" t="s">
        <v>134</v>
      </c>
      <c r="T166">
        <v>30.561900000000001</v>
      </c>
      <c r="U166" t="s">
        <v>134</v>
      </c>
      <c r="V166">
        <v>31.3675</v>
      </c>
      <c r="W166">
        <v>31.8932</v>
      </c>
      <c r="X166">
        <v>11.1111</v>
      </c>
      <c r="Y166" t="s">
        <v>134</v>
      </c>
      <c r="Z166" t="s">
        <v>134</v>
      </c>
      <c r="AA166" t="s">
        <v>134</v>
      </c>
      <c r="AB166" t="s">
        <v>134</v>
      </c>
      <c r="AC166" t="s">
        <v>134</v>
      </c>
      <c r="AD166" t="s">
        <v>134</v>
      </c>
      <c r="AE166" t="s">
        <v>134</v>
      </c>
      <c r="AF166" t="s">
        <v>134</v>
      </c>
      <c r="AG166" t="s">
        <v>134</v>
      </c>
      <c r="AH166" t="s">
        <v>134</v>
      </c>
      <c r="AI166" t="s">
        <v>134</v>
      </c>
      <c r="AJ166" t="s">
        <v>134</v>
      </c>
      <c r="AK166" t="s">
        <v>134</v>
      </c>
      <c r="AL166" t="s">
        <v>134</v>
      </c>
      <c r="AM166">
        <v>21.101500000000001</v>
      </c>
      <c r="AN166" t="s">
        <v>134</v>
      </c>
      <c r="AO166">
        <v>21.157399999999999</v>
      </c>
      <c r="AP166">
        <v>19.765899999999998</v>
      </c>
      <c r="AQ166">
        <v>14.6922</v>
      </c>
      <c r="AR166" t="s">
        <v>134</v>
      </c>
      <c r="AS166" t="s">
        <v>134</v>
      </c>
      <c r="AT166" t="s">
        <v>134</v>
      </c>
      <c r="AU166" t="s">
        <v>134</v>
      </c>
      <c r="AV166" t="s">
        <v>134</v>
      </c>
      <c r="AW166" t="s">
        <v>134</v>
      </c>
      <c r="AX166" t="s">
        <v>134</v>
      </c>
      <c r="AY166" t="s">
        <v>134</v>
      </c>
      <c r="AZ166" t="s">
        <v>134</v>
      </c>
      <c r="BA166" t="s">
        <v>134</v>
      </c>
      <c r="BB166" t="s">
        <v>134</v>
      </c>
      <c r="BC166" t="s">
        <v>134</v>
      </c>
      <c r="BD166" t="s">
        <v>134</v>
      </c>
      <c r="BE166" t="s">
        <v>134</v>
      </c>
      <c r="BF166">
        <v>3.2892999999999999</v>
      </c>
      <c r="BG166" t="s">
        <v>134</v>
      </c>
      <c r="BH166">
        <v>4.1060999999999996</v>
      </c>
      <c r="BI166">
        <v>0.34720000000000001</v>
      </c>
      <c r="BJ166">
        <v>-4.6295999999999999</v>
      </c>
      <c r="BK166" t="s">
        <v>134</v>
      </c>
      <c r="BL166" t="s">
        <v>134</v>
      </c>
      <c r="BM166" t="s">
        <v>134</v>
      </c>
      <c r="BN166" t="s">
        <v>134</v>
      </c>
      <c r="BO166" t="s">
        <v>134</v>
      </c>
      <c r="BP166" t="s">
        <v>134</v>
      </c>
      <c r="BQ166" t="s">
        <v>134</v>
      </c>
      <c r="BR166" t="s">
        <v>134</v>
      </c>
      <c r="BS166" t="s">
        <v>134</v>
      </c>
      <c r="BT166" t="s">
        <v>134</v>
      </c>
      <c r="BU166" t="s">
        <v>134</v>
      </c>
      <c r="BV166" t="s">
        <v>134</v>
      </c>
      <c r="BW166" t="s">
        <v>134</v>
      </c>
      <c r="BX166" t="s">
        <v>134</v>
      </c>
      <c r="BY166" t="s">
        <v>134</v>
      </c>
      <c r="BZ166" t="s">
        <v>134</v>
      </c>
      <c r="CA166" t="s">
        <v>134</v>
      </c>
      <c r="CB166" t="s">
        <v>134</v>
      </c>
      <c r="CC166" t="s">
        <v>134</v>
      </c>
      <c r="CD166" t="s">
        <v>134</v>
      </c>
      <c r="CE166" t="s">
        <v>134</v>
      </c>
      <c r="CF166" t="s">
        <v>134</v>
      </c>
      <c r="CG166" t="s">
        <v>134</v>
      </c>
      <c r="CH166" t="s">
        <v>134</v>
      </c>
      <c r="CI166" t="s">
        <v>134</v>
      </c>
      <c r="CJ166" t="s">
        <v>134</v>
      </c>
      <c r="CK166" t="s">
        <v>134</v>
      </c>
      <c r="CL166" t="s">
        <v>134</v>
      </c>
      <c r="CM166" t="s">
        <v>134</v>
      </c>
      <c r="CN166" t="s">
        <v>134</v>
      </c>
      <c r="CO166" t="s">
        <v>134</v>
      </c>
      <c r="CP166" t="s">
        <v>134</v>
      </c>
      <c r="CQ166" t="s">
        <v>134</v>
      </c>
      <c r="CR166">
        <v>14162.6</v>
      </c>
      <c r="CS166" t="s">
        <v>134</v>
      </c>
      <c r="CT166" t="s">
        <v>134</v>
      </c>
      <c r="CU166" t="s">
        <v>134</v>
      </c>
      <c r="CV166" t="s">
        <v>134</v>
      </c>
      <c r="CW166" t="s">
        <v>134</v>
      </c>
      <c r="CX166" t="s">
        <v>134</v>
      </c>
      <c r="CY166" t="s">
        <v>134</v>
      </c>
      <c r="CZ166" t="s">
        <v>134</v>
      </c>
      <c r="DA166" t="s">
        <v>134</v>
      </c>
      <c r="DB166" t="s">
        <v>134</v>
      </c>
      <c r="DC166" t="s">
        <v>134</v>
      </c>
      <c r="DD166" t="s">
        <v>134</v>
      </c>
      <c r="DE166" t="s">
        <v>134</v>
      </c>
      <c r="DF166" t="s">
        <v>134</v>
      </c>
      <c r="DG166" t="s">
        <v>134</v>
      </c>
      <c r="DH166" t="s">
        <v>134</v>
      </c>
      <c r="DI166" t="s">
        <v>134</v>
      </c>
    </row>
    <row r="167" spans="4:113" x14ac:dyDescent="0.3">
      <c r="E167" t="s">
        <v>7</v>
      </c>
      <c r="F167">
        <v>12.4598</v>
      </c>
      <c r="G167">
        <v>1.7766</v>
      </c>
      <c r="H167">
        <v>5.1872999999999996</v>
      </c>
      <c r="I167">
        <v>6.5586000000000002</v>
      </c>
      <c r="J167" t="s">
        <v>134</v>
      </c>
      <c r="K167">
        <v>29.6267</v>
      </c>
      <c r="L167">
        <v>18.759699999999999</v>
      </c>
      <c r="M167">
        <v>18.950700000000001</v>
      </c>
      <c r="N167">
        <v>21.248699999999999</v>
      </c>
      <c r="O167">
        <v>20.854800000000001</v>
      </c>
      <c r="P167">
        <v>20.854800000000001</v>
      </c>
      <c r="Q167">
        <v>29.517399999999999</v>
      </c>
      <c r="R167" t="s">
        <v>134</v>
      </c>
      <c r="S167" t="s">
        <v>134</v>
      </c>
      <c r="T167">
        <v>28.160699999999999</v>
      </c>
      <c r="U167" t="s">
        <v>134</v>
      </c>
      <c r="V167">
        <v>9.9709000000000003</v>
      </c>
      <c r="W167">
        <v>15.629</v>
      </c>
      <c r="X167">
        <v>-2.6292999999999997</v>
      </c>
      <c r="Y167" t="s">
        <v>134</v>
      </c>
      <c r="Z167" t="s">
        <v>134</v>
      </c>
      <c r="AA167" t="s">
        <v>134</v>
      </c>
      <c r="AB167">
        <v>25.334800000000001</v>
      </c>
      <c r="AC167">
        <v>62.074599999999997</v>
      </c>
      <c r="AD167" t="s">
        <v>134</v>
      </c>
      <c r="AE167" t="s">
        <v>134</v>
      </c>
      <c r="AF167" t="s">
        <v>134</v>
      </c>
      <c r="AG167">
        <v>-4.1154999999999999</v>
      </c>
      <c r="AH167">
        <v>36.264600000000002</v>
      </c>
      <c r="AI167">
        <v>50.096200000000003</v>
      </c>
      <c r="AJ167">
        <v>41.801099999999998</v>
      </c>
      <c r="AK167">
        <v>26.805199999999999</v>
      </c>
      <c r="AL167" t="s">
        <v>134</v>
      </c>
      <c r="AM167">
        <v>21.1755</v>
      </c>
      <c r="AN167" t="s">
        <v>134</v>
      </c>
      <c r="AO167">
        <v>16.019500000000001</v>
      </c>
      <c r="AP167">
        <v>16.516200000000001</v>
      </c>
      <c r="AQ167">
        <v>11.605499999999999</v>
      </c>
      <c r="AR167" t="s">
        <v>134</v>
      </c>
      <c r="AS167" t="s">
        <v>134</v>
      </c>
      <c r="AT167" t="s">
        <v>134</v>
      </c>
      <c r="AU167">
        <v>24.650500000000001</v>
      </c>
      <c r="AV167">
        <v>26.724699999999999</v>
      </c>
      <c r="AW167" t="s">
        <v>134</v>
      </c>
      <c r="AX167" t="s">
        <v>134</v>
      </c>
      <c r="AY167" t="s">
        <v>134</v>
      </c>
      <c r="AZ167">
        <v>17.280100000000001</v>
      </c>
      <c r="BA167">
        <v>14.769600000000001</v>
      </c>
      <c r="BB167">
        <v>24.8992</v>
      </c>
      <c r="BC167">
        <v>18.453199999999999</v>
      </c>
      <c r="BD167">
        <v>19.499099999999999</v>
      </c>
      <c r="BE167" t="s">
        <v>134</v>
      </c>
      <c r="BF167">
        <v>13.812100000000001</v>
      </c>
      <c r="BG167" t="s">
        <v>134</v>
      </c>
      <c r="BH167">
        <v>5.8478000000000003</v>
      </c>
      <c r="BI167">
        <v>11.6456</v>
      </c>
      <c r="BJ167">
        <v>11.456300000000001</v>
      </c>
      <c r="BK167" t="s">
        <v>134</v>
      </c>
      <c r="BL167" t="s">
        <v>134</v>
      </c>
      <c r="BM167" t="s">
        <v>134</v>
      </c>
      <c r="BN167" t="s">
        <v>134</v>
      </c>
      <c r="BO167" t="s">
        <v>134</v>
      </c>
      <c r="BP167" t="s">
        <v>134</v>
      </c>
      <c r="BQ167" t="s">
        <v>134</v>
      </c>
      <c r="BR167" t="s">
        <v>134</v>
      </c>
      <c r="BS167" t="s">
        <v>134</v>
      </c>
      <c r="BT167" t="s">
        <v>134</v>
      </c>
      <c r="BU167" t="s">
        <v>134</v>
      </c>
      <c r="BV167" t="s">
        <v>134</v>
      </c>
      <c r="BW167" t="s">
        <v>134</v>
      </c>
      <c r="BX167" t="s">
        <v>134</v>
      </c>
      <c r="BY167">
        <v>459201.25900000002</v>
      </c>
      <c r="BZ167">
        <v>21903.323</v>
      </c>
      <c r="CA167">
        <v>437297.93599999999</v>
      </c>
      <c r="CB167" t="s">
        <v>134</v>
      </c>
      <c r="CC167" t="s">
        <v>134</v>
      </c>
      <c r="CD167">
        <v>9.1405999999999992</v>
      </c>
      <c r="CE167">
        <v>6.8316999999999997</v>
      </c>
      <c r="CF167" t="s">
        <v>134</v>
      </c>
      <c r="CG167">
        <v>13.8553</v>
      </c>
      <c r="CH167">
        <v>129.53270000000001</v>
      </c>
      <c r="CI167">
        <v>54.881900000000002</v>
      </c>
      <c r="CJ167">
        <v>18.1599</v>
      </c>
      <c r="CK167">
        <v>136.02070000000001</v>
      </c>
      <c r="CL167">
        <v>57.630800000000001</v>
      </c>
      <c r="CM167">
        <v>19.069500000000001</v>
      </c>
      <c r="CN167">
        <v>101.6619</v>
      </c>
      <c r="CO167">
        <v>50.412100000000002</v>
      </c>
      <c r="CP167" t="s">
        <v>134</v>
      </c>
      <c r="CQ167" t="s">
        <v>134</v>
      </c>
      <c r="CR167">
        <v>14990.8</v>
      </c>
      <c r="CS167" t="s">
        <v>134</v>
      </c>
      <c r="CT167" t="s">
        <v>134</v>
      </c>
      <c r="CU167" t="s">
        <v>134</v>
      </c>
      <c r="CV167" t="s">
        <v>134</v>
      </c>
      <c r="CW167" t="s">
        <v>134</v>
      </c>
      <c r="CX167" t="s">
        <v>134</v>
      </c>
      <c r="CY167" t="s">
        <v>134</v>
      </c>
      <c r="CZ167" t="s">
        <v>134</v>
      </c>
      <c r="DA167" t="s">
        <v>134</v>
      </c>
      <c r="DB167" t="s">
        <v>134</v>
      </c>
      <c r="DC167" t="s">
        <v>134</v>
      </c>
      <c r="DD167" t="s">
        <v>134</v>
      </c>
      <c r="DE167" t="s">
        <v>134</v>
      </c>
      <c r="DF167" t="s">
        <v>134</v>
      </c>
      <c r="DG167" t="s">
        <v>134</v>
      </c>
      <c r="DH167" t="s">
        <v>134</v>
      </c>
      <c r="DI167" t="s">
        <v>134</v>
      </c>
    </row>
    <row r="168" spans="4:113" x14ac:dyDescent="0.3">
      <c r="D168" t="s">
        <v>10</v>
      </c>
      <c r="E168" t="s">
        <v>3</v>
      </c>
      <c r="F168">
        <v>13.7508</v>
      </c>
      <c r="G168">
        <v>1.9112</v>
      </c>
      <c r="H168">
        <v>5.9170999999999996</v>
      </c>
      <c r="I168" t="s">
        <v>134</v>
      </c>
      <c r="J168" t="s">
        <v>134</v>
      </c>
      <c r="K168">
        <v>32.548400000000001</v>
      </c>
      <c r="L168">
        <v>40.094799999999999</v>
      </c>
      <c r="M168">
        <v>21.5748</v>
      </c>
      <c r="N168">
        <v>22.2818</v>
      </c>
      <c r="O168">
        <v>21.931899999999999</v>
      </c>
      <c r="P168">
        <v>21.931899999999999</v>
      </c>
      <c r="Q168">
        <v>32.499600000000001</v>
      </c>
      <c r="R168">
        <v>2.2357</v>
      </c>
      <c r="S168">
        <v>13.4434</v>
      </c>
      <c r="T168">
        <v>21.838799999999999</v>
      </c>
      <c r="U168" t="s">
        <v>134</v>
      </c>
      <c r="V168">
        <v>45.945700000000002</v>
      </c>
      <c r="W168">
        <v>42.834600000000002</v>
      </c>
      <c r="X168">
        <v>42.342300000000002</v>
      </c>
      <c r="Y168">
        <v>20</v>
      </c>
      <c r="Z168" t="s">
        <v>134</v>
      </c>
      <c r="AA168" t="s">
        <v>134</v>
      </c>
      <c r="AB168">
        <v>6.4309000000000003</v>
      </c>
      <c r="AC168">
        <v>14.694100000000001</v>
      </c>
      <c r="AD168" t="s">
        <v>134</v>
      </c>
      <c r="AE168" t="s">
        <v>134</v>
      </c>
      <c r="AF168" t="s">
        <v>134</v>
      </c>
      <c r="AG168">
        <v>-39.974400000000003</v>
      </c>
      <c r="AH168">
        <v>11.0726</v>
      </c>
      <c r="AI168">
        <v>15.4252</v>
      </c>
      <c r="AJ168">
        <v>12.916700000000001</v>
      </c>
      <c r="AK168">
        <v>14.9635</v>
      </c>
      <c r="AL168">
        <v>365.6225</v>
      </c>
      <c r="AM168">
        <v>21.188400000000001</v>
      </c>
      <c r="AN168" t="s">
        <v>134</v>
      </c>
      <c r="AO168">
        <v>22.512499999999999</v>
      </c>
      <c r="AP168">
        <v>21.943000000000001</v>
      </c>
      <c r="AQ168">
        <v>16.840499999999999</v>
      </c>
      <c r="AR168">
        <v>14.8698</v>
      </c>
      <c r="AS168" t="s">
        <v>134</v>
      </c>
      <c r="AT168" t="s">
        <v>134</v>
      </c>
      <c r="AU168">
        <v>25.766300000000001</v>
      </c>
      <c r="AV168">
        <v>24.4956</v>
      </c>
      <c r="AW168" t="s">
        <v>134</v>
      </c>
      <c r="AX168" t="s">
        <v>134</v>
      </c>
      <c r="AY168" t="s">
        <v>134</v>
      </c>
      <c r="AZ168">
        <v>4.9394</v>
      </c>
      <c r="BA168">
        <v>11.030099999999999</v>
      </c>
      <c r="BB168">
        <v>24.3691</v>
      </c>
      <c r="BC168">
        <v>15.738</v>
      </c>
      <c r="BD168">
        <v>19.081399999999999</v>
      </c>
      <c r="BE168" t="s">
        <v>134</v>
      </c>
      <c r="BF168">
        <v>21.838799999999999</v>
      </c>
      <c r="BG168" t="s">
        <v>134</v>
      </c>
      <c r="BH168">
        <v>45.945700000000002</v>
      </c>
      <c r="BI168">
        <v>42.834600000000002</v>
      </c>
      <c r="BJ168">
        <v>42.342300000000002</v>
      </c>
      <c r="BK168">
        <v>20</v>
      </c>
      <c r="BL168" t="s">
        <v>134</v>
      </c>
      <c r="BM168" t="s">
        <v>134</v>
      </c>
      <c r="BN168">
        <v>6.4309000000000003</v>
      </c>
      <c r="BO168">
        <v>14.694100000000001</v>
      </c>
      <c r="BP168" t="s">
        <v>134</v>
      </c>
      <c r="BQ168" t="s">
        <v>134</v>
      </c>
      <c r="BR168" t="s">
        <v>134</v>
      </c>
      <c r="BS168">
        <v>-39.974400000000003</v>
      </c>
      <c r="BT168">
        <v>11.0726</v>
      </c>
      <c r="BU168">
        <v>15.4252</v>
      </c>
      <c r="BV168">
        <v>12.916700000000001</v>
      </c>
      <c r="BW168">
        <v>14.9635</v>
      </c>
      <c r="BX168" t="s">
        <v>134</v>
      </c>
      <c r="BY168">
        <v>510046.69</v>
      </c>
      <c r="BZ168">
        <v>13147.598</v>
      </c>
      <c r="CA168">
        <v>496899.092</v>
      </c>
      <c r="CB168" t="s">
        <v>134</v>
      </c>
      <c r="CC168" t="s">
        <v>134</v>
      </c>
      <c r="CD168">
        <v>6.9565000000000001</v>
      </c>
      <c r="CE168">
        <v>3.4664999999999999</v>
      </c>
      <c r="CF168" t="s">
        <v>134</v>
      </c>
      <c r="CG168">
        <v>13.937200000000001</v>
      </c>
      <c r="CH168">
        <v>127.5175</v>
      </c>
      <c r="CI168">
        <v>55.228299999999997</v>
      </c>
      <c r="CJ168">
        <v>17.991399999999999</v>
      </c>
      <c r="CK168">
        <v>130.89150000000001</v>
      </c>
      <c r="CL168">
        <v>56.689599999999999</v>
      </c>
      <c r="CM168">
        <v>18.467400000000001</v>
      </c>
      <c r="CN168">
        <v>65.224500000000006</v>
      </c>
      <c r="CO168">
        <v>39.476300000000002</v>
      </c>
      <c r="CP168" t="s">
        <v>134</v>
      </c>
      <c r="CQ168" t="s">
        <v>134</v>
      </c>
      <c r="CR168">
        <v>73319.331999999995</v>
      </c>
      <c r="CS168" t="s">
        <v>134</v>
      </c>
      <c r="CT168" t="s">
        <v>134</v>
      </c>
      <c r="CU168" t="s">
        <v>134</v>
      </c>
      <c r="CV168" t="s">
        <v>134</v>
      </c>
      <c r="CW168" t="s">
        <v>134</v>
      </c>
      <c r="CX168" t="s">
        <v>134</v>
      </c>
      <c r="CY168" t="s">
        <v>134</v>
      </c>
      <c r="CZ168" t="s">
        <v>134</v>
      </c>
      <c r="DA168" t="s">
        <v>134</v>
      </c>
      <c r="DB168" t="s">
        <v>134</v>
      </c>
      <c r="DC168" t="s">
        <v>134</v>
      </c>
      <c r="DD168" t="s">
        <v>134</v>
      </c>
      <c r="DE168" t="s">
        <v>134</v>
      </c>
      <c r="DF168" t="s">
        <v>134</v>
      </c>
      <c r="DG168" t="s">
        <v>134</v>
      </c>
      <c r="DH168" t="s">
        <v>134</v>
      </c>
      <c r="DI168" t="s">
        <v>134</v>
      </c>
    </row>
    <row r="169" spans="4:113" x14ac:dyDescent="0.3">
      <c r="E169" t="s">
        <v>4</v>
      </c>
      <c r="F169" t="s">
        <v>134</v>
      </c>
      <c r="G169" t="s">
        <v>134</v>
      </c>
      <c r="H169" t="s">
        <v>134</v>
      </c>
      <c r="I169" t="s">
        <v>134</v>
      </c>
      <c r="J169" t="s">
        <v>134</v>
      </c>
      <c r="K169">
        <v>32.7288</v>
      </c>
      <c r="L169">
        <v>64.592699999999994</v>
      </c>
      <c r="M169">
        <v>20.647200000000002</v>
      </c>
      <c r="N169">
        <v>21.875599999999999</v>
      </c>
      <c r="O169">
        <v>21.5016</v>
      </c>
      <c r="P169">
        <v>21.5016</v>
      </c>
      <c r="Q169">
        <v>33.337000000000003</v>
      </c>
      <c r="R169" t="s">
        <v>134</v>
      </c>
      <c r="S169" t="s">
        <v>134</v>
      </c>
      <c r="T169">
        <v>23.215900000000001</v>
      </c>
      <c r="U169" t="s">
        <v>134</v>
      </c>
      <c r="V169">
        <v>117.1511</v>
      </c>
      <c r="W169">
        <v>106.5741</v>
      </c>
      <c r="X169">
        <v>105.6738</v>
      </c>
      <c r="Y169" t="s">
        <v>134</v>
      </c>
      <c r="Z169" t="s">
        <v>134</v>
      </c>
      <c r="AA169" t="s">
        <v>134</v>
      </c>
      <c r="AB169" t="s">
        <v>134</v>
      </c>
      <c r="AC169" t="s">
        <v>134</v>
      </c>
      <c r="AD169" t="s">
        <v>134</v>
      </c>
      <c r="AE169" t="s">
        <v>134</v>
      </c>
      <c r="AF169" t="s">
        <v>134</v>
      </c>
      <c r="AG169" t="s">
        <v>134</v>
      </c>
      <c r="AH169" t="s">
        <v>134</v>
      </c>
      <c r="AI169" t="s">
        <v>134</v>
      </c>
      <c r="AJ169" t="s">
        <v>134</v>
      </c>
      <c r="AK169" t="s">
        <v>134</v>
      </c>
      <c r="AL169" t="s">
        <v>134</v>
      </c>
      <c r="AM169">
        <v>23.7593</v>
      </c>
      <c r="AN169" t="s">
        <v>134</v>
      </c>
      <c r="AO169">
        <v>21.9389</v>
      </c>
      <c r="AP169">
        <v>20.726099999999999</v>
      </c>
      <c r="AQ169">
        <v>15.637599999999999</v>
      </c>
      <c r="AR169" t="s">
        <v>134</v>
      </c>
      <c r="AS169" t="s">
        <v>134</v>
      </c>
      <c r="AT169" t="s">
        <v>134</v>
      </c>
      <c r="AU169" t="s">
        <v>134</v>
      </c>
      <c r="AV169" t="s">
        <v>134</v>
      </c>
      <c r="AW169" t="s">
        <v>134</v>
      </c>
      <c r="AX169" t="s">
        <v>134</v>
      </c>
      <c r="AY169" t="s">
        <v>134</v>
      </c>
      <c r="AZ169" t="s">
        <v>134</v>
      </c>
      <c r="BA169" t="s">
        <v>134</v>
      </c>
      <c r="BB169" t="s">
        <v>134</v>
      </c>
      <c r="BC169" t="s">
        <v>134</v>
      </c>
      <c r="BD169" t="s">
        <v>134</v>
      </c>
      <c r="BE169" t="s">
        <v>134</v>
      </c>
      <c r="BF169">
        <v>-0.55030000000000001</v>
      </c>
      <c r="BG169" t="s">
        <v>134</v>
      </c>
      <c r="BH169">
        <v>8.3524999999999991</v>
      </c>
      <c r="BI169">
        <v>1.1249</v>
      </c>
      <c r="BJ169">
        <v>1.0452999999999999</v>
      </c>
      <c r="BK169" t="s">
        <v>134</v>
      </c>
      <c r="BL169" t="s">
        <v>134</v>
      </c>
      <c r="BM169" t="s">
        <v>134</v>
      </c>
      <c r="BN169" t="s">
        <v>134</v>
      </c>
      <c r="BO169" t="s">
        <v>134</v>
      </c>
      <c r="BP169" t="s">
        <v>134</v>
      </c>
      <c r="BQ169" t="s">
        <v>134</v>
      </c>
      <c r="BR169" t="s">
        <v>134</v>
      </c>
      <c r="BS169" t="s">
        <v>134</v>
      </c>
      <c r="BT169" t="s">
        <v>134</v>
      </c>
      <c r="BU169" t="s">
        <v>134</v>
      </c>
      <c r="BV169" t="s">
        <v>134</v>
      </c>
      <c r="BW169" t="s">
        <v>134</v>
      </c>
      <c r="BX169" t="s">
        <v>134</v>
      </c>
      <c r="BY169" t="s">
        <v>134</v>
      </c>
      <c r="BZ169" t="s">
        <v>134</v>
      </c>
      <c r="CA169" t="s">
        <v>134</v>
      </c>
      <c r="CB169" t="s">
        <v>134</v>
      </c>
      <c r="CC169" t="s">
        <v>134</v>
      </c>
      <c r="CD169" t="s">
        <v>134</v>
      </c>
      <c r="CE169" t="s">
        <v>134</v>
      </c>
      <c r="CF169" t="s">
        <v>134</v>
      </c>
      <c r="CG169" t="s">
        <v>134</v>
      </c>
      <c r="CH169" t="s">
        <v>134</v>
      </c>
      <c r="CI169" t="s">
        <v>134</v>
      </c>
      <c r="CJ169" t="s">
        <v>134</v>
      </c>
      <c r="CK169" t="s">
        <v>134</v>
      </c>
      <c r="CL169" t="s">
        <v>134</v>
      </c>
      <c r="CM169" t="s">
        <v>134</v>
      </c>
      <c r="CN169" t="s">
        <v>134</v>
      </c>
      <c r="CO169" t="s">
        <v>134</v>
      </c>
      <c r="CP169" t="s">
        <v>134</v>
      </c>
      <c r="CQ169" t="s">
        <v>134</v>
      </c>
      <c r="CR169">
        <v>16242.9</v>
      </c>
      <c r="CS169" t="s">
        <v>134</v>
      </c>
      <c r="CT169" t="s">
        <v>134</v>
      </c>
      <c r="CU169" t="s">
        <v>134</v>
      </c>
      <c r="CV169" t="s">
        <v>134</v>
      </c>
      <c r="CW169" t="s">
        <v>134</v>
      </c>
      <c r="CX169" t="s">
        <v>134</v>
      </c>
      <c r="CY169" t="s">
        <v>134</v>
      </c>
      <c r="CZ169" t="s">
        <v>134</v>
      </c>
      <c r="DA169" t="s">
        <v>134</v>
      </c>
      <c r="DB169" t="s">
        <v>134</v>
      </c>
      <c r="DC169" t="s">
        <v>134</v>
      </c>
      <c r="DD169" t="s">
        <v>134</v>
      </c>
      <c r="DE169" t="s">
        <v>134</v>
      </c>
      <c r="DF169" t="s">
        <v>134</v>
      </c>
      <c r="DG169" t="s">
        <v>134</v>
      </c>
      <c r="DH169" t="s">
        <v>134</v>
      </c>
      <c r="DI169" t="s">
        <v>134</v>
      </c>
    </row>
    <row r="170" spans="4:113" x14ac:dyDescent="0.3">
      <c r="E170" t="s">
        <v>5</v>
      </c>
      <c r="F170">
        <v>12.7407</v>
      </c>
      <c r="G170">
        <v>1.8214999999999999</v>
      </c>
      <c r="H170">
        <v>5.5896999999999997</v>
      </c>
      <c r="I170">
        <v>6.7545999999999999</v>
      </c>
      <c r="J170" t="s">
        <v>134</v>
      </c>
      <c r="K170">
        <v>32.101500000000001</v>
      </c>
      <c r="L170">
        <v>27.3522</v>
      </c>
      <c r="M170">
        <v>21.155100000000001</v>
      </c>
      <c r="N170">
        <v>21.976500000000001</v>
      </c>
      <c r="O170">
        <v>21.682400000000001</v>
      </c>
      <c r="P170">
        <v>21.682400000000001</v>
      </c>
      <c r="Q170">
        <v>32.874600000000001</v>
      </c>
      <c r="R170" t="s">
        <v>134</v>
      </c>
      <c r="S170" t="s">
        <v>134</v>
      </c>
      <c r="T170">
        <v>25.053699999999999</v>
      </c>
      <c r="U170" t="s">
        <v>134</v>
      </c>
      <c r="V170">
        <v>30.857800000000001</v>
      </c>
      <c r="W170">
        <v>27.658200000000001</v>
      </c>
      <c r="X170">
        <v>21.1111</v>
      </c>
      <c r="Y170" t="s">
        <v>134</v>
      </c>
      <c r="Z170" t="s">
        <v>134</v>
      </c>
      <c r="AA170" t="s">
        <v>134</v>
      </c>
      <c r="AB170">
        <v>-2.3763000000000001</v>
      </c>
      <c r="AC170">
        <v>13.5593</v>
      </c>
      <c r="AD170" t="s">
        <v>134</v>
      </c>
      <c r="AE170" t="s">
        <v>134</v>
      </c>
      <c r="AF170" t="s">
        <v>134</v>
      </c>
      <c r="AG170" t="s">
        <v>134</v>
      </c>
      <c r="AH170">
        <v>5.3273000000000001</v>
      </c>
      <c r="AI170">
        <v>13.966100000000001</v>
      </c>
      <c r="AJ170">
        <v>9.0126000000000008</v>
      </c>
      <c r="AK170">
        <v>13.4831</v>
      </c>
      <c r="AL170" t="s">
        <v>134</v>
      </c>
      <c r="AM170">
        <v>25.1508</v>
      </c>
      <c r="AN170" t="s">
        <v>134</v>
      </c>
      <c r="AO170">
        <v>23.1586</v>
      </c>
      <c r="AP170">
        <v>22.686399999999999</v>
      </c>
      <c r="AQ170">
        <v>17.540600000000001</v>
      </c>
      <c r="AR170" t="s">
        <v>134</v>
      </c>
      <c r="AS170" t="s">
        <v>134</v>
      </c>
      <c r="AT170" t="s">
        <v>134</v>
      </c>
      <c r="AU170" t="s">
        <v>134</v>
      </c>
      <c r="AV170" t="s">
        <v>134</v>
      </c>
      <c r="AW170" t="s">
        <v>134</v>
      </c>
      <c r="AX170" t="s">
        <v>134</v>
      </c>
      <c r="AY170" t="s">
        <v>134</v>
      </c>
      <c r="AZ170" t="s">
        <v>134</v>
      </c>
      <c r="BA170" t="s">
        <v>134</v>
      </c>
      <c r="BB170" t="s">
        <v>134</v>
      </c>
      <c r="BC170" t="s">
        <v>134</v>
      </c>
      <c r="BD170" t="s">
        <v>134</v>
      </c>
      <c r="BE170" t="s">
        <v>134</v>
      </c>
      <c r="BF170">
        <v>6.9668000000000001</v>
      </c>
      <c r="BG170" t="s">
        <v>134</v>
      </c>
      <c r="BH170">
        <v>9.5980000000000008</v>
      </c>
      <c r="BI170">
        <v>12.6792</v>
      </c>
      <c r="BJ170">
        <v>12.758599999999999</v>
      </c>
      <c r="BK170" t="s">
        <v>134</v>
      </c>
      <c r="BL170" t="s">
        <v>134</v>
      </c>
      <c r="BM170" t="s">
        <v>134</v>
      </c>
      <c r="BN170" t="s">
        <v>134</v>
      </c>
      <c r="BO170" t="s">
        <v>134</v>
      </c>
      <c r="BP170" t="s">
        <v>134</v>
      </c>
      <c r="BQ170" t="s">
        <v>134</v>
      </c>
      <c r="BR170" t="s">
        <v>134</v>
      </c>
      <c r="BS170" t="s">
        <v>134</v>
      </c>
      <c r="BT170" t="s">
        <v>134</v>
      </c>
      <c r="BU170" t="s">
        <v>134</v>
      </c>
      <c r="BV170" t="s">
        <v>134</v>
      </c>
      <c r="BW170" t="s">
        <v>134</v>
      </c>
      <c r="BX170" t="s">
        <v>134</v>
      </c>
      <c r="BY170">
        <v>448716.1</v>
      </c>
      <c r="BZ170" t="s">
        <v>134</v>
      </c>
      <c r="CA170">
        <v>448716.1</v>
      </c>
      <c r="CB170" t="s">
        <v>134</v>
      </c>
      <c r="CC170" t="s">
        <v>134</v>
      </c>
      <c r="CD170">
        <v>7.1001000000000003</v>
      </c>
      <c r="CE170">
        <v>5.3635000000000002</v>
      </c>
      <c r="CF170" t="s">
        <v>134</v>
      </c>
      <c r="CG170">
        <v>14.317299999999999</v>
      </c>
      <c r="CH170">
        <v>124.2206</v>
      </c>
      <c r="CI170">
        <v>55.4011</v>
      </c>
      <c r="CJ170">
        <v>17.999500000000001</v>
      </c>
      <c r="CK170">
        <v>124.2206</v>
      </c>
      <c r="CL170">
        <v>55.4011</v>
      </c>
      <c r="CM170">
        <v>17.999500000000001</v>
      </c>
      <c r="CN170">
        <v>93.836299999999994</v>
      </c>
      <c r="CO170">
        <v>48.4101</v>
      </c>
      <c r="CP170" t="s">
        <v>134</v>
      </c>
      <c r="CQ170" t="s">
        <v>134</v>
      </c>
      <c r="CR170">
        <v>17801.900000000001</v>
      </c>
      <c r="CS170" t="s">
        <v>134</v>
      </c>
      <c r="CT170" t="s">
        <v>134</v>
      </c>
      <c r="CU170" t="s">
        <v>134</v>
      </c>
      <c r="CV170" t="s">
        <v>134</v>
      </c>
      <c r="CW170" t="s">
        <v>134</v>
      </c>
      <c r="CX170" t="s">
        <v>134</v>
      </c>
      <c r="CY170" t="s">
        <v>134</v>
      </c>
      <c r="CZ170" t="s">
        <v>134</v>
      </c>
      <c r="DA170" t="s">
        <v>134</v>
      </c>
      <c r="DB170" t="s">
        <v>134</v>
      </c>
      <c r="DC170" t="s">
        <v>134</v>
      </c>
      <c r="DD170" t="s">
        <v>134</v>
      </c>
      <c r="DE170" t="s">
        <v>134</v>
      </c>
      <c r="DF170" t="s">
        <v>134</v>
      </c>
      <c r="DG170" t="s">
        <v>134</v>
      </c>
      <c r="DH170" t="s">
        <v>134</v>
      </c>
      <c r="DI170" t="s">
        <v>134</v>
      </c>
    </row>
    <row r="171" spans="4:113" x14ac:dyDescent="0.3">
      <c r="E171" t="s">
        <v>6</v>
      </c>
      <c r="F171" t="s">
        <v>134</v>
      </c>
      <c r="G171" t="s">
        <v>134</v>
      </c>
      <c r="H171" t="s">
        <v>134</v>
      </c>
      <c r="I171" t="s">
        <v>134</v>
      </c>
      <c r="J171" t="s">
        <v>134</v>
      </c>
      <c r="K171">
        <v>39.179000000000002</v>
      </c>
      <c r="L171">
        <v>77.234300000000005</v>
      </c>
      <c r="M171">
        <v>24.2685</v>
      </c>
      <c r="N171">
        <v>27.030200000000001</v>
      </c>
      <c r="O171">
        <v>26.659300000000002</v>
      </c>
      <c r="P171">
        <v>26.659300000000002</v>
      </c>
      <c r="Q171">
        <v>32.849499999999999</v>
      </c>
      <c r="R171" t="s">
        <v>134</v>
      </c>
      <c r="S171" t="s">
        <v>134</v>
      </c>
      <c r="T171">
        <v>10.3538</v>
      </c>
      <c r="U171" t="s">
        <v>134</v>
      </c>
      <c r="V171">
        <v>31.430700000000002</v>
      </c>
      <c r="W171">
        <v>34.008000000000003</v>
      </c>
      <c r="X171">
        <v>33.592199999999998</v>
      </c>
      <c r="Y171" t="s">
        <v>134</v>
      </c>
      <c r="Z171" t="s">
        <v>134</v>
      </c>
      <c r="AA171" t="s">
        <v>134</v>
      </c>
      <c r="AB171" t="s">
        <v>134</v>
      </c>
      <c r="AC171" t="s">
        <v>134</v>
      </c>
      <c r="AD171" t="s">
        <v>134</v>
      </c>
      <c r="AE171" t="s">
        <v>134</v>
      </c>
      <c r="AF171" t="s">
        <v>134</v>
      </c>
      <c r="AG171" t="s">
        <v>134</v>
      </c>
      <c r="AH171" t="s">
        <v>134</v>
      </c>
      <c r="AI171" t="s">
        <v>134</v>
      </c>
      <c r="AJ171" t="s">
        <v>134</v>
      </c>
      <c r="AK171" t="s">
        <v>134</v>
      </c>
      <c r="AL171" t="s">
        <v>134</v>
      </c>
      <c r="AM171">
        <v>19.684100000000001</v>
      </c>
      <c r="AN171" t="s">
        <v>134</v>
      </c>
      <c r="AO171">
        <v>22.5077</v>
      </c>
      <c r="AP171">
        <v>22.315200000000001</v>
      </c>
      <c r="AQ171">
        <v>17.172599999999999</v>
      </c>
      <c r="AR171" t="s">
        <v>134</v>
      </c>
      <c r="AS171" t="s">
        <v>134</v>
      </c>
      <c r="AT171" t="s">
        <v>134</v>
      </c>
      <c r="AU171" t="s">
        <v>134</v>
      </c>
      <c r="AV171" t="s">
        <v>134</v>
      </c>
      <c r="AW171" t="s">
        <v>134</v>
      </c>
      <c r="AX171" t="s">
        <v>134</v>
      </c>
      <c r="AY171" t="s">
        <v>134</v>
      </c>
      <c r="AZ171" t="s">
        <v>134</v>
      </c>
      <c r="BA171" t="s">
        <v>134</v>
      </c>
      <c r="BB171" t="s">
        <v>134</v>
      </c>
      <c r="BC171" t="s">
        <v>134</v>
      </c>
      <c r="BD171" t="s">
        <v>134</v>
      </c>
      <c r="BE171" t="s">
        <v>134</v>
      </c>
      <c r="BF171">
        <v>-8.8521999999999998</v>
      </c>
      <c r="BG171" t="s">
        <v>134</v>
      </c>
      <c r="BH171">
        <v>4.5618999999999996</v>
      </c>
      <c r="BI171">
        <v>5.3384999999999998</v>
      </c>
      <c r="BJ171">
        <v>5.1988000000000003</v>
      </c>
      <c r="BK171" t="s">
        <v>134</v>
      </c>
      <c r="BL171" t="s">
        <v>134</v>
      </c>
      <c r="BM171" t="s">
        <v>134</v>
      </c>
      <c r="BN171" t="s">
        <v>134</v>
      </c>
      <c r="BO171" t="s">
        <v>134</v>
      </c>
      <c r="BP171" t="s">
        <v>134</v>
      </c>
      <c r="BQ171" t="s">
        <v>134</v>
      </c>
      <c r="BR171" t="s">
        <v>134</v>
      </c>
      <c r="BS171" t="s">
        <v>134</v>
      </c>
      <c r="BT171" t="s">
        <v>134</v>
      </c>
      <c r="BU171">
        <v>-100</v>
      </c>
      <c r="BV171" t="s">
        <v>134</v>
      </c>
      <c r="BW171">
        <v>-100</v>
      </c>
      <c r="BX171" t="s">
        <v>134</v>
      </c>
      <c r="BY171" t="s">
        <v>134</v>
      </c>
      <c r="BZ171" t="s">
        <v>134</v>
      </c>
      <c r="CA171" t="s">
        <v>134</v>
      </c>
      <c r="CB171" t="s">
        <v>134</v>
      </c>
      <c r="CC171" t="s">
        <v>134</v>
      </c>
      <c r="CD171" t="s">
        <v>134</v>
      </c>
      <c r="CE171" t="s">
        <v>134</v>
      </c>
      <c r="CF171" t="s">
        <v>134</v>
      </c>
      <c r="CG171" t="s">
        <v>134</v>
      </c>
      <c r="CH171" t="s">
        <v>134</v>
      </c>
      <c r="CI171" t="s">
        <v>134</v>
      </c>
      <c r="CJ171" t="s">
        <v>134</v>
      </c>
      <c r="CK171" t="s">
        <v>134</v>
      </c>
      <c r="CL171" t="s">
        <v>134</v>
      </c>
      <c r="CM171" t="s">
        <v>134</v>
      </c>
      <c r="CN171" t="s">
        <v>134</v>
      </c>
      <c r="CO171" t="s">
        <v>134</v>
      </c>
      <c r="CP171" t="s">
        <v>134</v>
      </c>
      <c r="CQ171" t="s">
        <v>134</v>
      </c>
      <c r="CR171">
        <v>18614</v>
      </c>
      <c r="CS171" t="s">
        <v>134</v>
      </c>
      <c r="CT171" t="s">
        <v>134</v>
      </c>
      <c r="CU171" t="s">
        <v>134</v>
      </c>
      <c r="CV171" t="s">
        <v>134</v>
      </c>
      <c r="CW171" t="s">
        <v>134</v>
      </c>
      <c r="CX171" t="s">
        <v>134</v>
      </c>
      <c r="CY171" t="s">
        <v>134</v>
      </c>
      <c r="CZ171" t="s">
        <v>134</v>
      </c>
      <c r="DA171" t="s">
        <v>134</v>
      </c>
      <c r="DB171" t="s">
        <v>134</v>
      </c>
      <c r="DC171" t="s">
        <v>134</v>
      </c>
      <c r="DD171" t="s">
        <v>134</v>
      </c>
      <c r="DE171" t="s">
        <v>134</v>
      </c>
      <c r="DF171" t="s">
        <v>134</v>
      </c>
      <c r="DG171" t="s">
        <v>134</v>
      </c>
      <c r="DH171" t="s">
        <v>134</v>
      </c>
      <c r="DI171" t="s">
        <v>134</v>
      </c>
    </row>
    <row r="172" spans="4:113" x14ac:dyDescent="0.3">
      <c r="E172" t="s">
        <v>7</v>
      </c>
      <c r="F172">
        <v>13.7508</v>
      </c>
      <c r="G172">
        <v>1.9112</v>
      </c>
      <c r="H172">
        <v>5.9170999999999996</v>
      </c>
      <c r="I172">
        <v>6.9196</v>
      </c>
      <c r="J172" t="s">
        <v>134</v>
      </c>
      <c r="K172">
        <v>28.741</v>
      </c>
      <c r="L172">
        <v>26.635400000000001</v>
      </c>
      <c r="M172">
        <v>20.756900000000002</v>
      </c>
      <c r="N172">
        <v>19.9023</v>
      </c>
      <c r="O172">
        <v>19.535900000000002</v>
      </c>
      <c r="P172">
        <v>19.535900000000002</v>
      </c>
      <c r="Q172">
        <v>31.202999999999999</v>
      </c>
      <c r="R172" t="s">
        <v>134</v>
      </c>
      <c r="S172" t="s">
        <v>134</v>
      </c>
      <c r="T172">
        <v>25.828700000000001</v>
      </c>
      <c r="U172" t="s">
        <v>134</v>
      </c>
      <c r="V172">
        <v>37.821199999999997</v>
      </c>
      <c r="W172">
        <v>33.083799999999997</v>
      </c>
      <c r="X172">
        <v>32.752600000000001</v>
      </c>
      <c r="Y172" t="s">
        <v>134</v>
      </c>
      <c r="Z172" t="s">
        <v>134</v>
      </c>
      <c r="AA172" t="s">
        <v>134</v>
      </c>
      <c r="AB172">
        <v>6.4309000000000003</v>
      </c>
      <c r="AC172">
        <v>14.694100000000001</v>
      </c>
      <c r="AD172" t="s">
        <v>134</v>
      </c>
      <c r="AE172" t="s">
        <v>134</v>
      </c>
      <c r="AF172" t="s">
        <v>134</v>
      </c>
      <c r="AG172">
        <v>-39.974400000000003</v>
      </c>
      <c r="AH172">
        <v>11.0726</v>
      </c>
      <c r="AI172">
        <v>15.4252</v>
      </c>
      <c r="AJ172">
        <v>12.916700000000001</v>
      </c>
      <c r="AK172">
        <v>14.9635</v>
      </c>
      <c r="AL172" t="s">
        <v>134</v>
      </c>
      <c r="AM172">
        <v>17.930700000000002</v>
      </c>
      <c r="AN172" t="s">
        <v>134</v>
      </c>
      <c r="AO172">
        <v>22.426300000000001</v>
      </c>
      <c r="AP172">
        <v>21.938099999999999</v>
      </c>
      <c r="AQ172">
        <v>16.836200000000002</v>
      </c>
      <c r="AR172" t="s">
        <v>134</v>
      </c>
      <c r="AS172" t="s">
        <v>134</v>
      </c>
      <c r="AT172" t="s">
        <v>134</v>
      </c>
      <c r="AU172">
        <v>25.766300000000001</v>
      </c>
      <c r="AV172">
        <v>24.4956</v>
      </c>
      <c r="AW172" t="s">
        <v>134</v>
      </c>
      <c r="AX172" t="s">
        <v>134</v>
      </c>
      <c r="AY172" t="s">
        <v>134</v>
      </c>
      <c r="AZ172">
        <v>4.9394</v>
      </c>
      <c r="BA172">
        <v>11.030099999999999</v>
      </c>
      <c r="BB172">
        <v>24.3691</v>
      </c>
      <c r="BC172">
        <v>15.738</v>
      </c>
      <c r="BD172">
        <v>19.081399999999999</v>
      </c>
      <c r="BE172" t="s">
        <v>134</v>
      </c>
      <c r="BF172">
        <v>29.772100000000002</v>
      </c>
      <c r="BG172" t="s">
        <v>134</v>
      </c>
      <c r="BH172">
        <v>10.994400000000001</v>
      </c>
      <c r="BI172">
        <v>10.8757</v>
      </c>
      <c r="BJ172">
        <v>10.755800000000001</v>
      </c>
      <c r="BK172" t="s">
        <v>134</v>
      </c>
      <c r="BL172" t="s">
        <v>134</v>
      </c>
      <c r="BM172" t="s">
        <v>134</v>
      </c>
      <c r="BN172" t="s">
        <v>134</v>
      </c>
      <c r="BO172" t="s">
        <v>134</v>
      </c>
      <c r="BP172" t="s">
        <v>134</v>
      </c>
      <c r="BQ172" t="s">
        <v>134</v>
      </c>
      <c r="BR172" t="s">
        <v>134</v>
      </c>
      <c r="BS172" t="s">
        <v>134</v>
      </c>
      <c r="BT172" t="s">
        <v>134</v>
      </c>
      <c r="BU172" t="s">
        <v>134</v>
      </c>
      <c r="BV172" t="s">
        <v>134</v>
      </c>
      <c r="BW172" t="s">
        <v>134</v>
      </c>
      <c r="BX172" t="s">
        <v>134</v>
      </c>
      <c r="BY172">
        <v>510046.69</v>
      </c>
      <c r="BZ172">
        <v>13147.598</v>
      </c>
      <c r="CA172">
        <v>496899.092</v>
      </c>
      <c r="CB172" t="s">
        <v>134</v>
      </c>
      <c r="CC172" t="s">
        <v>134</v>
      </c>
      <c r="CD172">
        <v>6.9565000000000001</v>
      </c>
      <c r="CE172">
        <v>3.4664999999999999</v>
      </c>
      <c r="CF172" t="s">
        <v>134</v>
      </c>
      <c r="CG172">
        <v>13.937200000000001</v>
      </c>
      <c r="CH172">
        <v>127.5175</v>
      </c>
      <c r="CI172">
        <v>55.228299999999997</v>
      </c>
      <c r="CJ172">
        <v>17.991399999999999</v>
      </c>
      <c r="CK172">
        <v>130.89150000000001</v>
      </c>
      <c r="CL172">
        <v>56.689599999999999</v>
      </c>
      <c r="CM172">
        <v>18.467400000000001</v>
      </c>
      <c r="CN172">
        <v>65.224500000000006</v>
      </c>
      <c r="CO172">
        <v>39.476300000000002</v>
      </c>
      <c r="CP172" t="s">
        <v>134</v>
      </c>
      <c r="CQ172" t="s">
        <v>134</v>
      </c>
      <c r="CR172">
        <v>20660.5</v>
      </c>
      <c r="CS172" t="s">
        <v>134</v>
      </c>
      <c r="CT172" t="s">
        <v>134</v>
      </c>
      <c r="CU172" t="s">
        <v>134</v>
      </c>
      <c r="CV172" t="s">
        <v>134</v>
      </c>
      <c r="CW172" t="s">
        <v>134</v>
      </c>
      <c r="CX172" t="s">
        <v>134</v>
      </c>
      <c r="CY172" t="s">
        <v>134</v>
      </c>
      <c r="CZ172" t="s">
        <v>134</v>
      </c>
      <c r="DA172" t="s">
        <v>134</v>
      </c>
      <c r="DB172" t="s">
        <v>134</v>
      </c>
      <c r="DC172" t="s">
        <v>134</v>
      </c>
      <c r="DD172" t="s">
        <v>134</v>
      </c>
      <c r="DE172" t="s">
        <v>134</v>
      </c>
      <c r="DF172" t="s">
        <v>134</v>
      </c>
      <c r="DG172" t="s">
        <v>134</v>
      </c>
      <c r="DH172" t="s">
        <v>134</v>
      </c>
      <c r="DI172" t="s">
        <v>134</v>
      </c>
    </row>
    <row r="173" spans="4:113" x14ac:dyDescent="0.3">
      <c r="D173" t="s">
        <v>11</v>
      </c>
      <c r="E173" t="s">
        <v>3</v>
      </c>
      <c r="F173">
        <v>13.937799999999999</v>
      </c>
      <c r="G173">
        <v>2.0202</v>
      </c>
      <c r="H173">
        <v>6.2404999999999999</v>
      </c>
      <c r="I173" t="s">
        <v>134</v>
      </c>
      <c r="J173" t="s">
        <v>134</v>
      </c>
      <c r="K173">
        <v>34.7607</v>
      </c>
      <c r="L173">
        <v>47.806100000000001</v>
      </c>
      <c r="M173">
        <v>23.595600000000001</v>
      </c>
      <c r="N173">
        <v>23.7514</v>
      </c>
      <c r="O173">
        <v>23.536300000000001</v>
      </c>
      <c r="P173">
        <v>23.536300000000001</v>
      </c>
      <c r="Q173">
        <v>32.878500000000003</v>
      </c>
      <c r="R173">
        <v>2.1512000000000002</v>
      </c>
      <c r="S173">
        <v>13.6379</v>
      </c>
      <c r="T173">
        <v>14.2113</v>
      </c>
      <c r="U173" t="s">
        <v>134</v>
      </c>
      <c r="V173">
        <v>24.9087</v>
      </c>
      <c r="W173">
        <v>25.514800000000001</v>
      </c>
      <c r="X173">
        <v>21.593399999999999</v>
      </c>
      <c r="Y173">
        <v>16.666699999999999</v>
      </c>
      <c r="Z173" t="s">
        <v>134</v>
      </c>
      <c r="AA173" t="s">
        <v>134</v>
      </c>
      <c r="AB173">
        <v>-0.30609999999999998</v>
      </c>
      <c r="AC173">
        <v>22.279399999999999</v>
      </c>
      <c r="AD173" t="s">
        <v>134</v>
      </c>
      <c r="AE173" t="s">
        <v>134</v>
      </c>
      <c r="AF173" t="s">
        <v>134</v>
      </c>
      <c r="AG173">
        <v>12.9582</v>
      </c>
      <c r="AH173">
        <v>17.811</v>
      </c>
      <c r="AI173">
        <v>29.566199999999998</v>
      </c>
      <c r="AJ173">
        <v>22.902200000000001</v>
      </c>
      <c r="AK173">
        <v>26.706399999999999</v>
      </c>
      <c r="AL173" t="s">
        <v>134</v>
      </c>
      <c r="AM173">
        <v>19.4148</v>
      </c>
      <c r="AN173" t="s">
        <v>134</v>
      </c>
      <c r="AO173">
        <v>23.8401</v>
      </c>
      <c r="AP173">
        <v>23.1584</v>
      </c>
      <c r="AQ173">
        <v>17.3672</v>
      </c>
      <c r="AR173">
        <v>14.8207</v>
      </c>
      <c r="AS173" t="s">
        <v>134</v>
      </c>
      <c r="AT173" t="s">
        <v>134</v>
      </c>
      <c r="AU173">
        <v>25.2239</v>
      </c>
      <c r="AV173">
        <v>23.863600000000002</v>
      </c>
      <c r="AW173" t="s">
        <v>134</v>
      </c>
      <c r="AX173" t="s">
        <v>134</v>
      </c>
      <c r="AY173" t="s">
        <v>134</v>
      </c>
      <c r="AZ173">
        <v>-2.6747000000000001</v>
      </c>
      <c r="BA173">
        <v>9.6715</v>
      </c>
      <c r="BB173">
        <v>26.679400000000001</v>
      </c>
      <c r="BC173">
        <v>15.693300000000001</v>
      </c>
      <c r="BD173">
        <v>20.976600000000001</v>
      </c>
      <c r="BE173" t="s">
        <v>134</v>
      </c>
      <c r="BF173">
        <v>14.2113</v>
      </c>
      <c r="BG173" t="s">
        <v>134</v>
      </c>
      <c r="BH173">
        <v>24.9087</v>
      </c>
      <c r="BI173">
        <v>25.514800000000001</v>
      </c>
      <c r="BJ173">
        <v>21.593399999999999</v>
      </c>
      <c r="BK173">
        <v>16.666699999999999</v>
      </c>
      <c r="BL173" t="s">
        <v>134</v>
      </c>
      <c r="BM173" t="s">
        <v>134</v>
      </c>
      <c r="BN173">
        <v>-0.30609999999999998</v>
      </c>
      <c r="BO173">
        <v>22.279399999999999</v>
      </c>
      <c r="BP173" t="s">
        <v>134</v>
      </c>
      <c r="BQ173" t="s">
        <v>134</v>
      </c>
      <c r="BR173" t="s">
        <v>134</v>
      </c>
      <c r="BS173">
        <v>12.9582</v>
      </c>
      <c r="BT173">
        <v>17.811</v>
      </c>
      <c r="BU173">
        <v>29.566199999999998</v>
      </c>
      <c r="BV173">
        <v>22.902200000000001</v>
      </c>
      <c r="BW173">
        <v>26.706399999999999</v>
      </c>
      <c r="BX173" t="s">
        <v>134</v>
      </c>
      <c r="BY173">
        <v>600891.01899999997</v>
      </c>
      <c r="BZ173">
        <v>14851.284</v>
      </c>
      <c r="CA173">
        <v>586039.73499999999</v>
      </c>
      <c r="CB173" t="s">
        <v>134</v>
      </c>
      <c r="CC173" t="s">
        <v>134</v>
      </c>
      <c r="CD173">
        <v>6.5612000000000004</v>
      </c>
      <c r="CE173">
        <v>3.8969</v>
      </c>
      <c r="CF173" t="s">
        <v>134</v>
      </c>
      <c r="CG173">
        <v>14.9497</v>
      </c>
      <c r="CH173">
        <v>116.0745</v>
      </c>
      <c r="CI173">
        <v>52.998199999999997</v>
      </c>
      <c r="CJ173">
        <v>17.352799999999998</v>
      </c>
      <c r="CK173">
        <v>119.01600000000001</v>
      </c>
      <c r="CL173">
        <v>54.341200000000001</v>
      </c>
      <c r="CM173">
        <v>17.7926</v>
      </c>
      <c r="CN173">
        <v>70.686700000000002</v>
      </c>
      <c r="CO173">
        <v>41.4131</v>
      </c>
      <c r="CP173" t="s">
        <v>134</v>
      </c>
      <c r="CQ173" t="s">
        <v>134</v>
      </c>
      <c r="CR173">
        <v>91582.255000000005</v>
      </c>
      <c r="CS173" t="s">
        <v>134</v>
      </c>
      <c r="CT173" t="s">
        <v>134</v>
      </c>
      <c r="CU173" t="s">
        <v>134</v>
      </c>
      <c r="CV173" t="s">
        <v>134</v>
      </c>
      <c r="CW173" t="s">
        <v>134</v>
      </c>
      <c r="CX173" t="s">
        <v>134</v>
      </c>
      <c r="CY173" t="s">
        <v>134</v>
      </c>
      <c r="CZ173" t="s">
        <v>134</v>
      </c>
      <c r="DA173" t="s">
        <v>134</v>
      </c>
      <c r="DB173" t="s">
        <v>134</v>
      </c>
      <c r="DC173" t="s">
        <v>134</v>
      </c>
      <c r="DD173" t="s">
        <v>134</v>
      </c>
      <c r="DE173" t="s">
        <v>134</v>
      </c>
      <c r="DF173" t="s">
        <v>134</v>
      </c>
      <c r="DG173" t="s">
        <v>134</v>
      </c>
      <c r="DH173" t="s">
        <v>134</v>
      </c>
      <c r="DI173" t="s">
        <v>134</v>
      </c>
    </row>
    <row r="174" spans="4:113" x14ac:dyDescent="0.3">
      <c r="E174" t="s">
        <v>4</v>
      </c>
      <c r="F174" t="s">
        <v>134</v>
      </c>
      <c r="G174" t="s">
        <v>134</v>
      </c>
      <c r="H174" t="s">
        <v>134</v>
      </c>
      <c r="I174" t="s">
        <v>134</v>
      </c>
      <c r="J174" t="s">
        <v>134</v>
      </c>
      <c r="K174">
        <v>35.215899999999998</v>
      </c>
      <c r="L174">
        <v>52.4285</v>
      </c>
      <c r="M174">
        <v>23.2301</v>
      </c>
      <c r="N174">
        <v>24.181699999999999</v>
      </c>
      <c r="O174">
        <v>23.7117</v>
      </c>
      <c r="P174">
        <v>23.7117</v>
      </c>
      <c r="Q174">
        <v>33.183199999999999</v>
      </c>
      <c r="R174" t="s">
        <v>134</v>
      </c>
      <c r="S174" t="s">
        <v>134</v>
      </c>
      <c r="T174">
        <v>9.4542000000000002</v>
      </c>
      <c r="U174" t="s">
        <v>134</v>
      </c>
      <c r="V174">
        <v>23.146699999999999</v>
      </c>
      <c r="W174">
        <v>26.213100000000001</v>
      </c>
      <c r="X174">
        <v>23.965499999999999</v>
      </c>
      <c r="Y174" t="s">
        <v>134</v>
      </c>
      <c r="Z174" t="s">
        <v>134</v>
      </c>
      <c r="AA174" t="s">
        <v>134</v>
      </c>
      <c r="AB174" t="s">
        <v>134</v>
      </c>
      <c r="AC174" t="s">
        <v>134</v>
      </c>
      <c r="AD174" t="s">
        <v>134</v>
      </c>
      <c r="AE174" t="s">
        <v>134</v>
      </c>
      <c r="AF174" t="s">
        <v>134</v>
      </c>
      <c r="AG174" t="s">
        <v>134</v>
      </c>
      <c r="AH174" t="s">
        <v>134</v>
      </c>
      <c r="AI174" t="s">
        <v>134</v>
      </c>
      <c r="AJ174" t="s">
        <v>134</v>
      </c>
      <c r="AK174" t="s">
        <v>134</v>
      </c>
      <c r="AL174" t="s">
        <v>134</v>
      </c>
      <c r="AM174">
        <v>20.913699999999999</v>
      </c>
      <c r="AN174" t="s">
        <v>134</v>
      </c>
      <c r="AO174">
        <v>25.6463</v>
      </c>
      <c r="AP174">
        <v>24.878499999999999</v>
      </c>
      <c r="AQ174">
        <v>19.302199999999999</v>
      </c>
      <c r="AR174" t="s">
        <v>134</v>
      </c>
      <c r="AS174" t="s">
        <v>134</v>
      </c>
      <c r="AT174" t="s">
        <v>134</v>
      </c>
      <c r="AU174" t="s">
        <v>134</v>
      </c>
      <c r="AV174" t="s">
        <v>134</v>
      </c>
      <c r="AW174" t="s">
        <v>134</v>
      </c>
      <c r="AX174" t="s">
        <v>134</v>
      </c>
      <c r="AY174" t="s">
        <v>134</v>
      </c>
      <c r="AZ174" t="s">
        <v>134</v>
      </c>
      <c r="BA174" t="s">
        <v>134</v>
      </c>
      <c r="BB174" t="s">
        <v>134</v>
      </c>
      <c r="BC174" t="s">
        <v>134</v>
      </c>
      <c r="BD174" t="s">
        <v>134</v>
      </c>
      <c r="BE174" t="s">
        <v>134</v>
      </c>
      <c r="BF174">
        <v>-13.492000000000001</v>
      </c>
      <c r="BG174" t="s">
        <v>134</v>
      </c>
      <c r="BH174">
        <v>-3.1842999999999999</v>
      </c>
      <c r="BI174">
        <v>-4.0959000000000003</v>
      </c>
      <c r="BJ174">
        <v>-5.6429999999999998</v>
      </c>
      <c r="BK174" t="s">
        <v>134</v>
      </c>
      <c r="BL174" t="s">
        <v>134</v>
      </c>
      <c r="BM174" t="s">
        <v>134</v>
      </c>
      <c r="BN174" t="s">
        <v>134</v>
      </c>
      <c r="BO174" t="s">
        <v>134</v>
      </c>
      <c r="BP174" t="s">
        <v>134</v>
      </c>
      <c r="BQ174" t="s">
        <v>134</v>
      </c>
      <c r="BR174" t="s">
        <v>134</v>
      </c>
      <c r="BS174" t="s">
        <v>134</v>
      </c>
      <c r="BT174" t="s">
        <v>134</v>
      </c>
      <c r="BU174" t="s">
        <v>134</v>
      </c>
      <c r="BV174" t="s">
        <v>134</v>
      </c>
      <c r="BW174" t="s">
        <v>134</v>
      </c>
      <c r="BX174" t="s">
        <v>134</v>
      </c>
      <c r="BY174" t="s">
        <v>134</v>
      </c>
      <c r="BZ174" t="s">
        <v>134</v>
      </c>
      <c r="CA174" t="s">
        <v>134</v>
      </c>
      <c r="CB174" t="s">
        <v>134</v>
      </c>
      <c r="CC174" t="s">
        <v>134</v>
      </c>
      <c r="CD174" t="s">
        <v>134</v>
      </c>
      <c r="CE174" t="s">
        <v>134</v>
      </c>
      <c r="CF174" t="s">
        <v>134</v>
      </c>
      <c r="CG174" t="s">
        <v>134</v>
      </c>
      <c r="CH174" t="s">
        <v>134</v>
      </c>
      <c r="CI174" t="s">
        <v>134</v>
      </c>
      <c r="CJ174" t="s">
        <v>134</v>
      </c>
      <c r="CK174" t="s">
        <v>134</v>
      </c>
      <c r="CL174" t="s">
        <v>134</v>
      </c>
      <c r="CM174" t="s">
        <v>134</v>
      </c>
      <c r="CN174" t="s">
        <v>134</v>
      </c>
      <c r="CO174" t="s">
        <v>134</v>
      </c>
      <c r="CP174" t="s">
        <v>134</v>
      </c>
      <c r="CQ174" t="s">
        <v>134</v>
      </c>
      <c r="CR174">
        <v>20002.599999999999</v>
      </c>
      <c r="CS174" t="s">
        <v>134</v>
      </c>
      <c r="CT174" t="s">
        <v>134</v>
      </c>
      <c r="CU174" t="s">
        <v>134</v>
      </c>
      <c r="CV174" t="s">
        <v>134</v>
      </c>
      <c r="CW174" t="s">
        <v>134</v>
      </c>
      <c r="CX174" t="s">
        <v>134</v>
      </c>
      <c r="CY174" t="s">
        <v>134</v>
      </c>
      <c r="CZ174" t="s">
        <v>134</v>
      </c>
      <c r="DA174" t="s">
        <v>134</v>
      </c>
      <c r="DB174" t="s">
        <v>134</v>
      </c>
      <c r="DC174" t="s">
        <v>134</v>
      </c>
      <c r="DD174" t="s">
        <v>134</v>
      </c>
      <c r="DE174" t="s">
        <v>134</v>
      </c>
      <c r="DF174" t="s">
        <v>134</v>
      </c>
      <c r="DG174" t="s">
        <v>134</v>
      </c>
      <c r="DH174" t="s">
        <v>134</v>
      </c>
      <c r="DI174" t="s">
        <v>134</v>
      </c>
    </row>
    <row r="175" spans="4:113" x14ac:dyDescent="0.3">
      <c r="E175" t="s">
        <v>5</v>
      </c>
      <c r="F175">
        <v>13.2056</v>
      </c>
      <c r="G175">
        <v>1.9699</v>
      </c>
      <c r="H175">
        <v>5.9657999999999998</v>
      </c>
      <c r="I175">
        <v>7.0423999999999998</v>
      </c>
      <c r="J175" t="s">
        <v>134</v>
      </c>
      <c r="K175">
        <v>35.2928</v>
      </c>
      <c r="L175">
        <v>64.119699999999995</v>
      </c>
      <c r="M175">
        <v>23.765499999999999</v>
      </c>
      <c r="N175">
        <v>23.811399999999999</v>
      </c>
      <c r="O175">
        <v>23.389800000000001</v>
      </c>
      <c r="P175">
        <v>23.389800000000001</v>
      </c>
      <c r="Q175">
        <v>32.721400000000003</v>
      </c>
      <c r="R175" t="s">
        <v>134</v>
      </c>
      <c r="S175" t="s">
        <v>134</v>
      </c>
      <c r="T175">
        <v>8.6997999999999998</v>
      </c>
      <c r="U175" t="s">
        <v>134</v>
      </c>
      <c r="V175">
        <v>22.1128</v>
      </c>
      <c r="W175">
        <v>19.817</v>
      </c>
      <c r="X175">
        <v>15.596299999999999</v>
      </c>
      <c r="Y175" t="s">
        <v>134</v>
      </c>
      <c r="Z175" t="s">
        <v>134</v>
      </c>
      <c r="AA175" t="s">
        <v>134</v>
      </c>
      <c r="AB175">
        <v>0.2006</v>
      </c>
      <c r="AC175">
        <v>22.2988</v>
      </c>
      <c r="AD175" t="s">
        <v>134</v>
      </c>
      <c r="AE175" t="s">
        <v>134</v>
      </c>
      <c r="AF175" t="s">
        <v>134</v>
      </c>
      <c r="AG175" t="s">
        <v>134</v>
      </c>
      <c r="AH175">
        <v>28.662600000000001</v>
      </c>
      <c r="AI175">
        <v>31.508600000000001</v>
      </c>
      <c r="AJ175">
        <v>29.931899999999999</v>
      </c>
      <c r="AK175">
        <v>27.0045</v>
      </c>
      <c r="AL175" t="s">
        <v>134</v>
      </c>
      <c r="AM175">
        <v>17.779900000000001</v>
      </c>
      <c r="AN175" t="s">
        <v>134</v>
      </c>
      <c r="AO175">
        <v>24.5488</v>
      </c>
      <c r="AP175">
        <v>23.4649</v>
      </c>
      <c r="AQ175">
        <v>17.607900000000001</v>
      </c>
      <c r="AR175" t="s">
        <v>134</v>
      </c>
      <c r="AS175" t="s">
        <v>134</v>
      </c>
      <c r="AT175" t="s">
        <v>134</v>
      </c>
      <c r="AU175">
        <v>23.469799999999999</v>
      </c>
      <c r="AV175">
        <v>24.4192</v>
      </c>
      <c r="AW175" t="s">
        <v>134</v>
      </c>
      <c r="AX175" t="s">
        <v>134</v>
      </c>
      <c r="AY175" t="s">
        <v>134</v>
      </c>
      <c r="AZ175" t="s">
        <v>134</v>
      </c>
      <c r="BA175">
        <v>14.438000000000001</v>
      </c>
      <c r="BB175">
        <v>27.398199999999999</v>
      </c>
      <c r="BC175">
        <v>19.287700000000001</v>
      </c>
      <c r="BD175">
        <v>21.286899999999999</v>
      </c>
      <c r="BE175" t="s">
        <v>134</v>
      </c>
      <c r="BF175">
        <v>6.2294999999999998</v>
      </c>
      <c r="BG175" t="s">
        <v>134</v>
      </c>
      <c r="BH175">
        <v>8.6778999999999993</v>
      </c>
      <c r="BI175">
        <v>6.9690000000000003</v>
      </c>
      <c r="BJ175">
        <v>5.1459999999999999</v>
      </c>
      <c r="BK175" t="s">
        <v>134</v>
      </c>
      <c r="BL175" t="s">
        <v>134</v>
      </c>
      <c r="BM175" t="s">
        <v>134</v>
      </c>
      <c r="BN175" t="s">
        <v>134</v>
      </c>
      <c r="BO175" t="s">
        <v>134</v>
      </c>
      <c r="BP175" t="s">
        <v>134</v>
      </c>
      <c r="BQ175" t="s">
        <v>134</v>
      </c>
      <c r="BR175" t="s">
        <v>134</v>
      </c>
      <c r="BS175" t="s">
        <v>134</v>
      </c>
      <c r="BT175" t="s">
        <v>134</v>
      </c>
      <c r="BU175" t="s">
        <v>134</v>
      </c>
      <c r="BV175" t="s">
        <v>134</v>
      </c>
      <c r="BW175" t="s">
        <v>134</v>
      </c>
      <c r="BX175" t="s">
        <v>134</v>
      </c>
      <c r="BY175">
        <v>577330</v>
      </c>
      <c r="BZ175" t="s">
        <v>134</v>
      </c>
      <c r="CA175">
        <v>577330</v>
      </c>
      <c r="CB175" t="s">
        <v>134</v>
      </c>
      <c r="CC175" t="s">
        <v>134</v>
      </c>
      <c r="CD175">
        <v>7.1261999999999999</v>
      </c>
      <c r="CE175">
        <v>4.1317000000000004</v>
      </c>
      <c r="CF175" t="s">
        <v>134</v>
      </c>
      <c r="CG175">
        <v>15.408099999999999</v>
      </c>
      <c r="CH175">
        <v>121.53230000000001</v>
      </c>
      <c r="CI175">
        <v>54.859900000000003</v>
      </c>
      <c r="CJ175">
        <v>18.9361</v>
      </c>
      <c r="CK175">
        <v>121.53230000000001</v>
      </c>
      <c r="CL175">
        <v>54.859900000000003</v>
      </c>
      <c r="CM175">
        <v>18.9361</v>
      </c>
      <c r="CN175">
        <v>70.464100000000002</v>
      </c>
      <c r="CO175">
        <v>41.336599999999997</v>
      </c>
      <c r="CP175" t="s">
        <v>134</v>
      </c>
      <c r="CQ175" t="s">
        <v>134</v>
      </c>
      <c r="CR175">
        <v>21738.400000000001</v>
      </c>
      <c r="CS175" t="s">
        <v>134</v>
      </c>
      <c r="CT175" t="s">
        <v>134</v>
      </c>
      <c r="CU175" t="s">
        <v>134</v>
      </c>
      <c r="CV175" t="s">
        <v>134</v>
      </c>
      <c r="CW175" t="s">
        <v>134</v>
      </c>
      <c r="CX175" t="s">
        <v>134</v>
      </c>
      <c r="CY175" t="s">
        <v>134</v>
      </c>
      <c r="CZ175" t="s">
        <v>134</v>
      </c>
      <c r="DA175" t="s">
        <v>134</v>
      </c>
      <c r="DB175" t="s">
        <v>134</v>
      </c>
      <c r="DC175" t="s">
        <v>134</v>
      </c>
      <c r="DD175" t="s">
        <v>134</v>
      </c>
      <c r="DE175" t="s">
        <v>134</v>
      </c>
      <c r="DF175" t="s">
        <v>134</v>
      </c>
      <c r="DG175" t="s">
        <v>134</v>
      </c>
      <c r="DH175" t="s">
        <v>134</v>
      </c>
      <c r="DI175" t="s">
        <v>134</v>
      </c>
    </row>
    <row r="176" spans="4:113" x14ac:dyDescent="0.3">
      <c r="E176" t="s">
        <v>6</v>
      </c>
      <c r="F176" t="s">
        <v>134</v>
      </c>
      <c r="G176" t="s">
        <v>134</v>
      </c>
      <c r="H176" t="s">
        <v>134</v>
      </c>
      <c r="I176" t="s">
        <v>134</v>
      </c>
      <c r="J176" t="s">
        <v>134</v>
      </c>
      <c r="K176">
        <v>53.653100000000002</v>
      </c>
      <c r="L176">
        <v>85.524799999999999</v>
      </c>
      <c r="M176">
        <v>23.869199999999999</v>
      </c>
      <c r="N176">
        <v>23.567699999999999</v>
      </c>
      <c r="O176">
        <v>23.510300000000001</v>
      </c>
      <c r="P176">
        <v>23.510300000000001</v>
      </c>
      <c r="Q176">
        <v>32.971800000000002</v>
      </c>
      <c r="R176" t="s">
        <v>134</v>
      </c>
      <c r="S176" t="s">
        <v>134</v>
      </c>
      <c r="T176">
        <v>31.8565</v>
      </c>
      <c r="U176" t="s">
        <v>134</v>
      </c>
      <c r="V176">
        <v>99.135099999999994</v>
      </c>
      <c r="W176">
        <v>28.237200000000001</v>
      </c>
      <c r="X176">
        <v>23.837199999999999</v>
      </c>
      <c r="Y176" t="s">
        <v>134</v>
      </c>
      <c r="Z176" t="s">
        <v>134</v>
      </c>
      <c r="AA176" t="s">
        <v>134</v>
      </c>
      <c r="AB176" t="s">
        <v>134</v>
      </c>
      <c r="AC176" t="s">
        <v>134</v>
      </c>
      <c r="AD176" t="s">
        <v>134</v>
      </c>
      <c r="AE176" t="s">
        <v>134</v>
      </c>
      <c r="AF176" t="s">
        <v>134</v>
      </c>
      <c r="AG176" t="s">
        <v>134</v>
      </c>
      <c r="AH176" t="s">
        <v>134</v>
      </c>
      <c r="AI176" t="s">
        <v>134</v>
      </c>
      <c r="AJ176" t="s">
        <v>134</v>
      </c>
      <c r="AK176" t="s">
        <v>134</v>
      </c>
      <c r="AL176" t="s">
        <v>134</v>
      </c>
      <c r="AM176">
        <v>19.459700000000002</v>
      </c>
      <c r="AN176" t="s">
        <v>134</v>
      </c>
      <c r="AO176">
        <v>34.738399999999999</v>
      </c>
      <c r="AP176">
        <v>22.988199999999999</v>
      </c>
      <c r="AQ176">
        <v>17.157599999999999</v>
      </c>
      <c r="AR176" t="s">
        <v>134</v>
      </c>
      <c r="AS176" t="s">
        <v>134</v>
      </c>
      <c r="AT176" t="s">
        <v>134</v>
      </c>
      <c r="AU176" t="s">
        <v>134</v>
      </c>
      <c r="AV176" t="s">
        <v>134</v>
      </c>
      <c r="AW176" t="s">
        <v>134</v>
      </c>
      <c r="AX176" t="s">
        <v>134</v>
      </c>
      <c r="AY176" t="s">
        <v>134</v>
      </c>
      <c r="AZ176" t="s">
        <v>134</v>
      </c>
      <c r="BA176" t="s">
        <v>134</v>
      </c>
      <c r="BB176" t="s">
        <v>134</v>
      </c>
      <c r="BC176" t="s">
        <v>134</v>
      </c>
      <c r="BD176" t="s">
        <v>134</v>
      </c>
      <c r="BE176" t="s">
        <v>134</v>
      </c>
      <c r="BF176">
        <v>10.5654</v>
      </c>
      <c r="BG176" t="s">
        <v>134</v>
      </c>
      <c r="BH176">
        <v>70.513900000000007</v>
      </c>
      <c r="BI176">
        <v>12.741199999999999</v>
      </c>
      <c r="BJ176">
        <v>12.698399999999999</v>
      </c>
      <c r="BK176" t="s">
        <v>134</v>
      </c>
      <c r="BL176" t="s">
        <v>134</v>
      </c>
      <c r="BM176" t="s">
        <v>134</v>
      </c>
      <c r="BN176" t="s">
        <v>134</v>
      </c>
      <c r="BO176" t="s">
        <v>134</v>
      </c>
      <c r="BP176" t="s">
        <v>134</v>
      </c>
      <c r="BQ176" t="s">
        <v>134</v>
      </c>
      <c r="BR176" t="s">
        <v>134</v>
      </c>
      <c r="BS176" t="s">
        <v>134</v>
      </c>
      <c r="BT176" t="s">
        <v>134</v>
      </c>
      <c r="BU176" t="s">
        <v>134</v>
      </c>
      <c r="BV176" t="s">
        <v>134</v>
      </c>
      <c r="BW176" t="s">
        <v>134</v>
      </c>
      <c r="BX176" t="s">
        <v>134</v>
      </c>
      <c r="BY176" t="s">
        <v>134</v>
      </c>
      <c r="BZ176" t="s">
        <v>134</v>
      </c>
      <c r="CA176" t="s">
        <v>134</v>
      </c>
      <c r="CB176" t="s">
        <v>134</v>
      </c>
      <c r="CC176" t="s">
        <v>134</v>
      </c>
      <c r="CD176" t="s">
        <v>134</v>
      </c>
      <c r="CE176" t="s">
        <v>134</v>
      </c>
      <c r="CF176" t="s">
        <v>134</v>
      </c>
      <c r="CG176" t="s">
        <v>134</v>
      </c>
      <c r="CH176" t="s">
        <v>134</v>
      </c>
      <c r="CI176" t="s">
        <v>134</v>
      </c>
      <c r="CJ176" t="s">
        <v>134</v>
      </c>
      <c r="CK176" t="s">
        <v>134</v>
      </c>
      <c r="CL176" t="s">
        <v>134</v>
      </c>
      <c r="CM176" t="s">
        <v>134</v>
      </c>
      <c r="CN176" t="s">
        <v>134</v>
      </c>
      <c r="CO176" t="s">
        <v>134</v>
      </c>
      <c r="CP176" t="s">
        <v>134</v>
      </c>
      <c r="CQ176" t="s">
        <v>134</v>
      </c>
      <c r="CR176">
        <v>37067</v>
      </c>
      <c r="CS176" t="s">
        <v>134</v>
      </c>
      <c r="CT176" t="s">
        <v>134</v>
      </c>
      <c r="CU176" t="s">
        <v>134</v>
      </c>
      <c r="CV176" t="s">
        <v>134</v>
      </c>
      <c r="CW176" t="s">
        <v>134</v>
      </c>
      <c r="CX176" t="s">
        <v>134</v>
      </c>
      <c r="CY176" t="s">
        <v>134</v>
      </c>
      <c r="CZ176" t="s">
        <v>134</v>
      </c>
      <c r="DA176" t="s">
        <v>134</v>
      </c>
      <c r="DB176" t="s">
        <v>134</v>
      </c>
      <c r="DC176" t="s">
        <v>134</v>
      </c>
      <c r="DD176" t="s">
        <v>134</v>
      </c>
      <c r="DE176" t="s">
        <v>134</v>
      </c>
      <c r="DF176" t="s">
        <v>134</v>
      </c>
      <c r="DG176" t="s">
        <v>134</v>
      </c>
      <c r="DH176" t="s">
        <v>134</v>
      </c>
      <c r="DI176" t="s">
        <v>134</v>
      </c>
    </row>
    <row r="177" spans="1:113" x14ac:dyDescent="0.3">
      <c r="E177" t="s">
        <v>7</v>
      </c>
      <c r="F177">
        <v>13.937799999999999</v>
      </c>
      <c r="G177">
        <v>2.0202</v>
      </c>
      <c r="H177">
        <v>6.2404999999999999</v>
      </c>
      <c r="I177">
        <v>7.9798999999999998</v>
      </c>
      <c r="J177" t="s">
        <v>134</v>
      </c>
      <c r="K177">
        <v>34.130499999999998</v>
      </c>
      <c r="L177">
        <v>147.48240000000001</v>
      </c>
      <c r="M177">
        <v>23.635300000000001</v>
      </c>
      <c r="N177">
        <v>23.760899999999999</v>
      </c>
      <c r="O177">
        <v>23.7605</v>
      </c>
      <c r="P177">
        <v>23.7605</v>
      </c>
      <c r="Q177">
        <v>32.686700000000002</v>
      </c>
      <c r="R177" t="s">
        <v>134</v>
      </c>
      <c r="S177" t="s">
        <v>134</v>
      </c>
      <c r="T177">
        <v>9.2484000000000002</v>
      </c>
      <c r="U177" t="s">
        <v>134</v>
      </c>
      <c r="V177">
        <v>24.398199999999999</v>
      </c>
      <c r="W177">
        <v>27.407900000000001</v>
      </c>
      <c r="X177">
        <v>23.097100000000001</v>
      </c>
      <c r="Y177" t="s">
        <v>134</v>
      </c>
      <c r="Z177" t="s">
        <v>134</v>
      </c>
      <c r="AA177" t="s">
        <v>134</v>
      </c>
      <c r="AB177">
        <v>-0.30609999999999998</v>
      </c>
      <c r="AC177">
        <v>22.279399999999999</v>
      </c>
      <c r="AD177" t="s">
        <v>134</v>
      </c>
      <c r="AE177" t="s">
        <v>134</v>
      </c>
      <c r="AF177" t="s">
        <v>134</v>
      </c>
      <c r="AG177">
        <v>12.9582</v>
      </c>
      <c r="AH177">
        <v>17.811</v>
      </c>
      <c r="AI177">
        <v>29.566199999999998</v>
      </c>
      <c r="AJ177">
        <v>22.902200000000001</v>
      </c>
      <c r="AK177">
        <v>26.706399999999999</v>
      </c>
      <c r="AL177" t="s">
        <v>134</v>
      </c>
      <c r="AM177">
        <v>19.898499999999999</v>
      </c>
      <c r="AN177" t="s">
        <v>134</v>
      </c>
      <c r="AO177">
        <v>22.1433</v>
      </c>
      <c r="AP177">
        <v>21.868400000000001</v>
      </c>
      <c r="AQ177">
        <v>16.082999999999998</v>
      </c>
      <c r="AR177" t="s">
        <v>134</v>
      </c>
      <c r="AS177" t="s">
        <v>134</v>
      </c>
      <c r="AT177" t="s">
        <v>134</v>
      </c>
      <c r="AU177">
        <v>25.2239</v>
      </c>
      <c r="AV177">
        <v>23.863600000000002</v>
      </c>
      <c r="AW177" t="s">
        <v>134</v>
      </c>
      <c r="AX177" t="s">
        <v>134</v>
      </c>
      <c r="AY177" t="s">
        <v>134</v>
      </c>
      <c r="AZ177">
        <v>-2.6747000000000001</v>
      </c>
      <c r="BA177">
        <v>9.6715</v>
      </c>
      <c r="BB177">
        <v>26.679400000000001</v>
      </c>
      <c r="BC177">
        <v>15.693300000000001</v>
      </c>
      <c r="BD177">
        <v>20.976600000000001</v>
      </c>
      <c r="BE177" t="s">
        <v>134</v>
      </c>
      <c r="BF177">
        <v>7.5213999999999999</v>
      </c>
      <c r="BG177" t="s">
        <v>134</v>
      </c>
      <c r="BH177">
        <v>-30.662600000000001</v>
      </c>
      <c r="BI177">
        <v>10.1586</v>
      </c>
      <c r="BJ177">
        <v>10.0939</v>
      </c>
      <c r="BK177" t="s">
        <v>134</v>
      </c>
      <c r="BL177" t="s">
        <v>134</v>
      </c>
      <c r="BM177" t="s">
        <v>134</v>
      </c>
      <c r="BN177" t="s">
        <v>134</v>
      </c>
      <c r="BO177" t="s">
        <v>134</v>
      </c>
      <c r="BP177" t="s">
        <v>134</v>
      </c>
      <c r="BQ177" t="s">
        <v>134</v>
      </c>
      <c r="BR177" t="s">
        <v>134</v>
      </c>
      <c r="BS177" t="s">
        <v>134</v>
      </c>
      <c r="BT177" t="s">
        <v>134</v>
      </c>
      <c r="BU177" t="s">
        <v>134</v>
      </c>
      <c r="BV177" t="s">
        <v>134</v>
      </c>
      <c r="BW177" t="s">
        <v>134</v>
      </c>
      <c r="BX177" t="s">
        <v>134</v>
      </c>
      <c r="BY177">
        <v>600891.01899999997</v>
      </c>
      <c r="BZ177">
        <v>14851.284</v>
      </c>
      <c r="CA177">
        <v>586039.73499999999</v>
      </c>
      <c r="CB177" t="s">
        <v>134</v>
      </c>
      <c r="CC177" t="s">
        <v>134</v>
      </c>
      <c r="CD177">
        <v>5.7496</v>
      </c>
      <c r="CE177">
        <v>3.4148999999999998</v>
      </c>
      <c r="CF177" t="s">
        <v>134</v>
      </c>
      <c r="CG177">
        <v>14.9497</v>
      </c>
      <c r="CH177">
        <v>116.0745</v>
      </c>
      <c r="CI177">
        <v>52.998199999999997</v>
      </c>
      <c r="CJ177">
        <v>17.352799999999998</v>
      </c>
      <c r="CK177">
        <v>119.01600000000001</v>
      </c>
      <c r="CL177">
        <v>54.341200000000001</v>
      </c>
      <c r="CM177">
        <v>17.7926</v>
      </c>
      <c r="CN177">
        <v>70.686700000000002</v>
      </c>
      <c r="CO177">
        <v>41.4131</v>
      </c>
      <c r="CP177" t="s">
        <v>134</v>
      </c>
      <c r="CQ177" t="s">
        <v>134</v>
      </c>
      <c r="CR177">
        <v>25701.3</v>
      </c>
      <c r="CS177" t="s">
        <v>134</v>
      </c>
      <c r="CT177" t="s">
        <v>134</v>
      </c>
      <c r="CU177" t="s">
        <v>134</v>
      </c>
      <c r="CV177" t="s">
        <v>134</v>
      </c>
      <c r="CW177" t="s">
        <v>134</v>
      </c>
      <c r="CX177" t="s">
        <v>134</v>
      </c>
      <c r="CY177" t="s">
        <v>134</v>
      </c>
      <c r="CZ177" t="s">
        <v>134</v>
      </c>
      <c r="DA177" t="s">
        <v>134</v>
      </c>
      <c r="DB177" t="s">
        <v>134</v>
      </c>
      <c r="DC177" t="s">
        <v>134</v>
      </c>
      <c r="DD177" t="s">
        <v>134</v>
      </c>
      <c r="DE177" t="s">
        <v>134</v>
      </c>
      <c r="DF177" t="s">
        <v>134</v>
      </c>
      <c r="DG177" t="s">
        <v>134</v>
      </c>
      <c r="DH177" t="s">
        <v>134</v>
      </c>
      <c r="DI177" t="s">
        <v>134</v>
      </c>
    </row>
    <row r="178" spans="1:113" x14ac:dyDescent="0.3">
      <c r="A178">
        <v>58</v>
      </c>
      <c r="B178" t="s">
        <v>24</v>
      </c>
      <c r="C178" t="s">
        <v>25</v>
      </c>
      <c r="D178" t="s">
        <v>2</v>
      </c>
      <c r="E178" t="s">
        <v>3</v>
      </c>
      <c r="F178">
        <v>7.8780000000000001</v>
      </c>
      <c r="G178">
        <v>1.466</v>
      </c>
      <c r="H178">
        <v>1.5474000000000001</v>
      </c>
      <c r="I178">
        <v>2.4584999999999999</v>
      </c>
      <c r="J178">
        <v>75.937700000000007</v>
      </c>
      <c r="K178">
        <v>38.086399999999998</v>
      </c>
      <c r="L178">
        <v>10.9278</v>
      </c>
      <c r="M178">
        <v>15.742900000000001</v>
      </c>
      <c r="N178">
        <v>27.559699999999999</v>
      </c>
      <c r="O178">
        <v>11.3918</v>
      </c>
      <c r="P178">
        <v>20.543900000000001</v>
      </c>
      <c r="Q178">
        <v>27.887599999999999</v>
      </c>
      <c r="R178">
        <v>28.9663</v>
      </c>
      <c r="S178">
        <v>5.5960000000000001</v>
      </c>
      <c r="T178">
        <v>31.062899999999999</v>
      </c>
      <c r="U178">
        <v>25.741199999999999</v>
      </c>
      <c r="V178">
        <v>7.0419</v>
      </c>
      <c r="W178">
        <v>-38.962899999999998</v>
      </c>
      <c r="X178">
        <v>-39.1248</v>
      </c>
      <c r="Y178">
        <v>0</v>
      </c>
      <c r="Z178" t="s">
        <v>134</v>
      </c>
      <c r="AA178" t="s">
        <v>134</v>
      </c>
      <c r="AB178">
        <v>20.2531</v>
      </c>
      <c r="AC178">
        <v>22.672799999999999</v>
      </c>
      <c r="AD178" t="s">
        <v>134</v>
      </c>
      <c r="AE178" t="s">
        <v>134</v>
      </c>
      <c r="AF178" t="s">
        <v>134</v>
      </c>
      <c r="AG178">
        <v>24.0398</v>
      </c>
      <c r="AH178">
        <v>26.9269</v>
      </c>
      <c r="AI178">
        <v>9.7333999999999996</v>
      </c>
      <c r="AJ178">
        <v>23.824100000000001</v>
      </c>
      <c r="AK178">
        <v>6.3929999999999998</v>
      </c>
      <c r="AL178">
        <v>0.2162</v>
      </c>
      <c r="AM178" t="s">
        <v>134</v>
      </c>
      <c r="AN178" t="s">
        <v>134</v>
      </c>
      <c r="AO178" t="s">
        <v>134</v>
      </c>
      <c r="AP178" t="s">
        <v>134</v>
      </c>
      <c r="AQ178" t="s">
        <v>134</v>
      </c>
      <c r="AR178" t="s">
        <v>134</v>
      </c>
      <c r="AS178" t="s">
        <v>134</v>
      </c>
      <c r="AT178" t="s">
        <v>134</v>
      </c>
      <c r="AU178" t="s">
        <v>134</v>
      </c>
      <c r="AV178" t="s">
        <v>134</v>
      </c>
      <c r="AW178" t="s">
        <v>134</v>
      </c>
      <c r="AX178" t="s">
        <v>134</v>
      </c>
      <c r="AY178" t="s">
        <v>134</v>
      </c>
      <c r="AZ178" t="s">
        <v>134</v>
      </c>
      <c r="BA178" t="s">
        <v>134</v>
      </c>
      <c r="BB178" t="s">
        <v>134</v>
      </c>
      <c r="BC178" t="s">
        <v>134</v>
      </c>
      <c r="BD178" t="s">
        <v>134</v>
      </c>
      <c r="BE178" t="s">
        <v>134</v>
      </c>
      <c r="BF178">
        <v>31.062899999999999</v>
      </c>
      <c r="BG178">
        <v>25.741199999999999</v>
      </c>
      <c r="BH178">
        <v>7.0419</v>
      </c>
      <c r="BI178">
        <v>-38.962899999999998</v>
      </c>
      <c r="BJ178">
        <v>-39.1248</v>
      </c>
      <c r="BK178">
        <v>0</v>
      </c>
      <c r="BL178">
        <v>4.4135999999999997</v>
      </c>
      <c r="BM178" t="s">
        <v>134</v>
      </c>
      <c r="BN178">
        <v>20.2531</v>
      </c>
      <c r="BO178">
        <v>22.672799999999999</v>
      </c>
      <c r="BP178" t="s">
        <v>134</v>
      </c>
      <c r="BQ178" t="s">
        <v>134</v>
      </c>
      <c r="BR178" t="s">
        <v>134</v>
      </c>
      <c r="BS178">
        <v>24.0398</v>
      </c>
      <c r="BT178">
        <v>26.9269</v>
      </c>
      <c r="BU178">
        <v>9.7333999999999996</v>
      </c>
      <c r="BV178">
        <v>23.824100000000001</v>
      </c>
      <c r="BW178">
        <v>6.3929999999999998</v>
      </c>
      <c r="BX178" t="s">
        <v>134</v>
      </c>
      <c r="BY178">
        <v>358535.66899999999</v>
      </c>
      <c r="BZ178">
        <v>125653.182</v>
      </c>
      <c r="CA178">
        <v>232882.48699999999</v>
      </c>
      <c r="CB178">
        <v>9.0108999999999995</v>
      </c>
      <c r="CC178">
        <v>8.8141999999999996</v>
      </c>
      <c r="CD178">
        <v>43.465200000000003</v>
      </c>
      <c r="CE178">
        <v>42.516199999999998</v>
      </c>
      <c r="CF178">
        <v>1.2944</v>
      </c>
      <c r="CG178">
        <v>12.986000000000001</v>
      </c>
      <c r="CH178">
        <v>341.18709999999999</v>
      </c>
      <c r="CI178">
        <v>54.565800000000003</v>
      </c>
      <c r="CJ178">
        <v>51.912100000000002</v>
      </c>
      <c r="CK178">
        <v>525.27670000000001</v>
      </c>
      <c r="CL178">
        <v>84.007099999999994</v>
      </c>
      <c r="CM178">
        <v>79.921599999999998</v>
      </c>
      <c r="CN178">
        <v>513.80909999999994</v>
      </c>
      <c r="CO178">
        <v>83.708299999999994</v>
      </c>
      <c r="CP178">
        <v>39789.010999999999</v>
      </c>
      <c r="CQ178">
        <v>37121.830999999998</v>
      </c>
      <c r="CR178">
        <v>8248.8070000000007</v>
      </c>
      <c r="CS178" t="s">
        <v>134</v>
      </c>
      <c r="CT178" t="s">
        <v>134</v>
      </c>
      <c r="CU178" t="s">
        <v>134</v>
      </c>
      <c r="CV178" t="s">
        <v>134</v>
      </c>
      <c r="CW178" t="s">
        <v>134</v>
      </c>
      <c r="CX178" t="s">
        <v>134</v>
      </c>
      <c r="CY178" t="s">
        <v>134</v>
      </c>
      <c r="CZ178" t="s">
        <v>134</v>
      </c>
      <c r="DA178" t="s">
        <v>134</v>
      </c>
      <c r="DB178" t="s">
        <v>134</v>
      </c>
      <c r="DC178" t="s">
        <v>134</v>
      </c>
      <c r="DD178" t="s">
        <v>134</v>
      </c>
      <c r="DE178" t="s">
        <v>134</v>
      </c>
      <c r="DF178" t="s">
        <v>134</v>
      </c>
      <c r="DG178" t="s">
        <v>134</v>
      </c>
      <c r="DH178" t="s">
        <v>134</v>
      </c>
      <c r="DI178" t="s">
        <v>134</v>
      </c>
    </row>
    <row r="179" spans="1:113" x14ac:dyDescent="0.3">
      <c r="E179" t="s">
        <v>4</v>
      </c>
      <c r="F179" t="s">
        <v>134</v>
      </c>
      <c r="G179" t="s">
        <v>134</v>
      </c>
      <c r="H179" t="s">
        <v>134</v>
      </c>
      <c r="I179" t="s">
        <v>134</v>
      </c>
      <c r="J179">
        <v>76.856399999999994</v>
      </c>
      <c r="K179">
        <v>40.8309</v>
      </c>
      <c r="L179">
        <v>21.3629</v>
      </c>
      <c r="M179">
        <v>17.037600000000001</v>
      </c>
      <c r="N179">
        <v>29.36</v>
      </c>
      <c r="O179">
        <v>12.251099999999999</v>
      </c>
      <c r="P179">
        <v>29.36</v>
      </c>
      <c r="Q179">
        <v>28.213000000000001</v>
      </c>
      <c r="R179" t="s">
        <v>134</v>
      </c>
      <c r="S179" t="s">
        <v>134</v>
      </c>
      <c r="T179">
        <v>30.533799999999999</v>
      </c>
      <c r="U179">
        <v>24.349499999999999</v>
      </c>
      <c r="V179">
        <v>15.897600000000001</v>
      </c>
      <c r="W179">
        <v>20.105499999999999</v>
      </c>
      <c r="X179">
        <v>20.602599999999999</v>
      </c>
      <c r="Y179" t="s">
        <v>134</v>
      </c>
      <c r="Z179" t="s">
        <v>134</v>
      </c>
      <c r="AA179" t="s">
        <v>134</v>
      </c>
      <c r="AB179" t="s">
        <v>134</v>
      </c>
      <c r="AC179" t="s">
        <v>134</v>
      </c>
      <c r="AD179" t="s">
        <v>134</v>
      </c>
      <c r="AE179" t="s">
        <v>134</v>
      </c>
      <c r="AF179" t="s">
        <v>134</v>
      </c>
      <c r="AG179" t="s">
        <v>134</v>
      </c>
      <c r="AH179" t="s">
        <v>134</v>
      </c>
      <c r="AI179" t="s">
        <v>134</v>
      </c>
      <c r="AJ179" t="s">
        <v>134</v>
      </c>
      <c r="AK179" t="s">
        <v>134</v>
      </c>
      <c r="AL179" t="s">
        <v>134</v>
      </c>
      <c r="AM179" t="s">
        <v>134</v>
      </c>
      <c r="AN179" t="s">
        <v>134</v>
      </c>
      <c r="AO179" t="s">
        <v>134</v>
      </c>
      <c r="AP179" t="s">
        <v>134</v>
      </c>
      <c r="AQ179" t="s">
        <v>134</v>
      </c>
      <c r="AR179" t="s">
        <v>134</v>
      </c>
      <c r="AS179" t="s">
        <v>134</v>
      </c>
      <c r="AT179" t="s">
        <v>134</v>
      </c>
      <c r="AU179" t="s">
        <v>134</v>
      </c>
      <c r="AV179" t="s">
        <v>134</v>
      </c>
      <c r="AW179" t="s">
        <v>134</v>
      </c>
      <c r="AX179" t="s">
        <v>134</v>
      </c>
      <c r="AY179" t="s">
        <v>134</v>
      </c>
      <c r="AZ179" t="s">
        <v>134</v>
      </c>
      <c r="BA179" t="s">
        <v>134</v>
      </c>
      <c r="BB179" t="s">
        <v>134</v>
      </c>
      <c r="BC179" t="s">
        <v>134</v>
      </c>
      <c r="BD179" t="s">
        <v>134</v>
      </c>
      <c r="BE179" t="s">
        <v>134</v>
      </c>
      <c r="BF179">
        <v>2.1909999999999998</v>
      </c>
      <c r="BG179">
        <v>2.3824000000000001</v>
      </c>
      <c r="BH179">
        <v>-6.3187999999999995</v>
      </c>
      <c r="BI179">
        <v>-15.4533</v>
      </c>
      <c r="BJ179">
        <v>-15.578200000000001</v>
      </c>
      <c r="BK179" t="s">
        <v>134</v>
      </c>
      <c r="BL179" t="s">
        <v>134</v>
      </c>
      <c r="BM179" t="s">
        <v>134</v>
      </c>
      <c r="BN179" t="s">
        <v>134</v>
      </c>
      <c r="BO179" t="s">
        <v>134</v>
      </c>
      <c r="BP179" t="s">
        <v>134</v>
      </c>
      <c r="BQ179" t="s">
        <v>134</v>
      </c>
      <c r="BR179" t="s">
        <v>134</v>
      </c>
      <c r="BS179" t="s">
        <v>134</v>
      </c>
      <c r="BT179" t="s">
        <v>134</v>
      </c>
      <c r="BU179" t="s">
        <v>134</v>
      </c>
      <c r="BV179" t="s">
        <v>134</v>
      </c>
      <c r="BW179" t="s">
        <v>134</v>
      </c>
      <c r="BX179" t="s">
        <v>134</v>
      </c>
      <c r="BY179" t="s">
        <v>134</v>
      </c>
      <c r="BZ179" t="s">
        <v>134</v>
      </c>
      <c r="CA179" t="s">
        <v>134</v>
      </c>
      <c r="CB179" t="s">
        <v>134</v>
      </c>
      <c r="CC179" t="s">
        <v>134</v>
      </c>
      <c r="CD179" t="s">
        <v>134</v>
      </c>
      <c r="CE179" t="s">
        <v>134</v>
      </c>
      <c r="CF179">
        <v>1.3189</v>
      </c>
      <c r="CG179" t="s">
        <v>134</v>
      </c>
      <c r="CH179" t="s">
        <v>134</v>
      </c>
      <c r="CI179" t="s">
        <v>134</v>
      </c>
      <c r="CJ179" t="s">
        <v>134</v>
      </c>
      <c r="CK179" t="s">
        <v>134</v>
      </c>
      <c r="CL179" t="s">
        <v>134</v>
      </c>
      <c r="CM179" t="s">
        <v>134</v>
      </c>
      <c r="CN179" t="s">
        <v>134</v>
      </c>
      <c r="CO179" t="s">
        <v>134</v>
      </c>
      <c r="CP179">
        <v>9092.6119999999992</v>
      </c>
      <c r="CQ179" t="s">
        <v>134</v>
      </c>
      <c r="CR179">
        <v>2015.6659999999999</v>
      </c>
      <c r="CS179" t="s">
        <v>134</v>
      </c>
      <c r="CT179" t="s">
        <v>134</v>
      </c>
      <c r="CU179" t="s">
        <v>134</v>
      </c>
      <c r="CV179" t="s">
        <v>134</v>
      </c>
      <c r="CW179" t="s">
        <v>134</v>
      </c>
      <c r="CX179" t="s">
        <v>134</v>
      </c>
      <c r="CY179" t="s">
        <v>134</v>
      </c>
      <c r="CZ179" t="s">
        <v>134</v>
      </c>
      <c r="DA179" t="s">
        <v>134</v>
      </c>
      <c r="DB179" t="s">
        <v>134</v>
      </c>
      <c r="DC179" t="s">
        <v>134</v>
      </c>
      <c r="DD179" t="s">
        <v>134</v>
      </c>
      <c r="DE179" t="s">
        <v>134</v>
      </c>
      <c r="DF179" t="s">
        <v>134</v>
      </c>
      <c r="DG179" t="s">
        <v>134</v>
      </c>
      <c r="DH179" t="s">
        <v>134</v>
      </c>
      <c r="DI179" t="s">
        <v>134</v>
      </c>
    </row>
    <row r="180" spans="1:113" x14ac:dyDescent="0.3">
      <c r="E180" t="s">
        <v>5</v>
      </c>
      <c r="F180">
        <v>13.3254</v>
      </c>
      <c r="G180">
        <v>2.1808000000000001</v>
      </c>
      <c r="H180">
        <v>2.4813000000000001</v>
      </c>
      <c r="I180">
        <v>1.6934</v>
      </c>
      <c r="J180">
        <v>75.139600000000002</v>
      </c>
      <c r="K180">
        <v>29.251100000000001</v>
      </c>
      <c r="L180" t="s">
        <v>134</v>
      </c>
      <c r="M180">
        <v>18.035399999999999</v>
      </c>
      <c r="N180">
        <v>33.772300000000001</v>
      </c>
      <c r="O180">
        <v>12.6335</v>
      </c>
      <c r="P180">
        <v>33.772300000000001</v>
      </c>
      <c r="Q180">
        <v>30.140699999999999</v>
      </c>
      <c r="R180" t="s">
        <v>134</v>
      </c>
      <c r="S180" t="s">
        <v>134</v>
      </c>
      <c r="T180">
        <v>31.811599999999999</v>
      </c>
      <c r="U180">
        <v>21.741199999999999</v>
      </c>
      <c r="V180">
        <v>-32.594700000000003</v>
      </c>
      <c r="W180">
        <v>8.3385999999999996</v>
      </c>
      <c r="X180">
        <v>7.9748999999999999</v>
      </c>
      <c r="Y180" t="s">
        <v>134</v>
      </c>
      <c r="Z180" t="s">
        <v>134</v>
      </c>
      <c r="AA180" t="s">
        <v>134</v>
      </c>
      <c r="AB180">
        <v>139.96430000000001</v>
      </c>
      <c r="AC180">
        <v>35.643700000000003</v>
      </c>
      <c r="AD180" t="s">
        <v>134</v>
      </c>
      <c r="AE180" t="s">
        <v>134</v>
      </c>
      <c r="AF180" t="s">
        <v>134</v>
      </c>
      <c r="AG180">
        <v>292.37939999999998</v>
      </c>
      <c r="AH180">
        <v>75.966899999999995</v>
      </c>
      <c r="AI180">
        <v>29.460999999999999</v>
      </c>
      <c r="AJ180">
        <v>65.930899999999994</v>
      </c>
      <c r="AK180">
        <v>29.2972</v>
      </c>
      <c r="AL180" t="s">
        <v>134</v>
      </c>
      <c r="AM180" t="s">
        <v>134</v>
      </c>
      <c r="AN180" t="s">
        <v>134</v>
      </c>
      <c r="AO180" t="s">
        <v>134</v>
      </c>
      <c r="AP180" t="s">
        <v>134</v>
      </c>
      <c r="AQ180" t="s">
        <v>134</v>
      </c>
      <c r="AR180" t="s">
        <v>134</v>
      </c>
      <c r="AS180" t="s">
        <v>134</v>
      </c>
      <c r="AT180" t="s">
        <v>134</v>
      </c>
      <c r="AU180" t="s">
        <v>134</v>
      </c>
      <c r="AV180" t="s">
        <v>134</v>
      </c>
      <c r="AW180" t="s">
        <v>134</v>
      </c>
      <c r="AX180" t="s">
        <v>134</v>
      </c>
      <c r="AY180" t="s">
        <v>134</v>
      </c>
      <c r="AZ180" t="s">
        <v>134</v>
      </c>
      <c r="BA180" t="s">
        <v>134</v>
      </c>
      <c r="BB180" t="s">
        <v>134</v>
      </c>
      <c r="BC180" t="s">
        <v>134</v>
      </c>
      <c r="BD180" t="s">
        <v>134</v>
      </c>
      <c r="BE180" t="s">
        <v>134</v>
      </c>
      <c r="BF180">
        <v>6.8516000000000004</v>
      </c>
      <c r="BG180">
        <v>5.0015000000000001</v>
      </c>
      <c r="BH180">
        <v>-23.435500000000001</v>
      </c>
      <c r="BI180">
        <v>7.4410999999999996</v>
      </c>
      <c r="BJ180">
        <v>7.4353999999999996</v>
      </c>
      <c r="BK180" t="s">
        <v>134</v>
      </c>
      <c r="BL180" t="s">
        <v>134</v>
      </c>
      <c r="BM180" t="s">
        <v>134</v>
      </c>
      <c r="BN180" t="s">
        <v>134</v>
      </c>
      <c r="BO180" t="s">
        <v>134</v>
      </c>
      <c r="BP180" t="s">
        <v>134</v>
      </c>
      <c r="BQ180" t="s">
        <v>134</v>
      </c>
      <c r="BR180" t="s">
        <v>134</v>
      </c>
      <c r="BS180" t="s">
        <v>134</v>
      </c>
      <c r="BT180" t="s">
        <v>134</v>
      </c>
      <c r="BU180" t="s">
        <v>134</v>
      </c>
      <c r="BV180" t="s">
        <v>134</v>
      </c>
      <c r="BW180" t="s">
        <v>134</v>
      </c>
      <c r="BX180" t="s">
        <v>134</v>
      </c>
      <c r="BY180">
        <v>320685.18800000002</v>
      </c>
      <c r="BZ180">
        <v>112225.38499999999</v>
      </c>
      <c r="CA180">
        <v>208459.80300000001</v>
      </c>
      <c r="CB180">
        <v>9.2454999999999998</v>
      </c>
      <c r="CC180">
        <v>8.9545999999999992</v>
      </c>
      <c r="CD180">
        <v>46.356400000000001</v>
      </c>
      <c r="CE180">
        <v>44.898200000000003</v>
      </c>
      <c r="CF180">
        <v>1.2004999999999999</v>
      </c>
      <c r="CG180">
        <v>16.040299999999998</v>
      </c>
      <c r="CH180">
        <v>321.0752</v>
      </c>
      <c r="CI180">
        <v>54.059600000000003</v>
      </c>
      <c r="CJ180">
        <v>51.501600000000003</v>
      </c>
      <c r="CK180">
        <v>493.92759999999998</v>
      </c>
      <c r="CL180">
        <v>83.162899999999993</v>
      </c>
      <c r="CM180">
        <v>79.227699999999999</v>
      </c>
      <c r="CN180">
        <v>478.38990000000001</v>
      </c>
      <c r="CO180">
        <v>82.710599999999999</v>
      </c>
      <c r="CP180">
        <v>9261.9220000000005</v>
      </c>
      <c r="CQ180" t="s">
        <v>134</v>
      </c>
      <c r="CR180">
        <v>1348.77</v>
      </c>
      <c r="CS180" t="s">
        <v>134</v>
      </c>
      <c r="CT180" t="s">
        <v>134</v>
      </c>
      <c r="CU180" t="s">
        <v>134</v>
      </c>
      <c r="CV180" t="s">
        <v>134</v>
      </c>
      <c r="CW180" t="s">
        <v>134</v>
      </c>
      <c r="CX180" t="s">
        <v>134</v>
      </c>
      <c r="CY180" t="s">
        <v>134</v>
      </c>
      <c r="CZ180" t="s">
        <v>134</v>
      </c>
      <c r="DA180" t="s">
        <v>134</v>
      </c>
      <c r="DB180" t="s">
        <v>134</v>
      </c>
      <c r="DC180" t="s">
        <v>134</v>
      </c>
      <c r="DD180" t="s">
        <v>134</v>
      </c>
      <c r="DE180" t="s">
        <v>134</v>
      </c>
      <c r="DF180" t="s">
        <v>134</v>
      </c>
      <c r="DG180" t="s">
        <v>134</v>
      </c>
      <c r="DH180" t="s">
        <v>134</v>
      </c>
      <c r="DI180" t="s">
        <v>134</v>
      </c>
    </row>
    <row r="181" spans="1:113" x14ac:dyDescent="0.3">
      <c r="E181" t="s">
        <v>6</v>
      </c>
      <c r="F181" t="s">
        <v>134</v>
      </c>
      <c r="G181" t="s">
        <v>134</v>
      </c>
      <c r="H181" t="s">
        <v>134</v>
      </c>
      <c r="I181" t="s">
        <v>134</v>
      </c>
      <c r="J181">
        <v>72.827299999999994</v>
      </c>
      <c r="K181">
        <v>24.111799999999999</v>
      </c>
      <c r="L181" t="s">
        <v>134</v>
      </c>
      <c r="M181">
        <v>11.614800000000001</v>
      </c>
      <c r="N181">
        <v>22.567399999999999</v>
      </c>
      <c r="O181">
        <v>8.5469000000000008</v>
      </c>
      <c r="P181">
        <v>22.567399999999999</v>
      </c>
      <c r="Q181">
        <v>26.8658</v>
      </c>
      <c r="R181" t="s">
        <v>134</v>
      </c>
      <c r="S181" t="s">
        <v>134</v>
      </c>
      <c r="T181">
        <v>29.235199999999999</v>
      </c>
      <c r="U181">
        <v>21.038</v>
      </c>
      <c r="V181">
        <v>-29.221900000000002</v>
      </c>
      <c r="W181">
        <v>-62.770200000000003</v>
      </c>
      <c r="X181">
        <v>-62.654000000000003</v>
      </c>
      <c r="Y181" t="s">
        <v>134</v>
      </c>
      <c r="Z181" t="s">
        <v>134</v>
      </c>
      <c r="AA181" t="s">
        <v>134</v>
      </c>
      <c r="AB181" t="s">
        <v>134</v>
      </c>
      <c r="AC181" t="s">
        <v>134</v>
      </c>
      <c r="AD181" t="s">
        <v>134</v>
      </c>
      <c r="AE181" t="s">
        <v>134</v>
      </c>
      <c r="AF181" t="s">
        <v>134</v>
      </c>
      <c r="AG181" t="s">
        <v>134</v>
      </c>
      <c r="AH181" t="s">
        <v>134</v>
      </c>
      <c r="AI181" t="s">
        <v>134</v>
      </c>
      <c r="AJ181" t="s">
        <v>134</v>
      </c>
      <c r="AK181" t="s">
        <v>134</v>
      </c>
      <c r="AL181" t="s">
        <v>134</v>
      </c>
      <c r="AM181" t="s">
        <v>134</v>
      </c>
      <c r="AN181" t="s">
        <v>134</v>
      </c>
      <c r="AO181" t="s">
        <v>134</v>
      </c>
      <c r="AP181" t="s">
        <v>134</v>
      </c>
      <c r="AQ181" t="s">
        <v>134</v>
      </c>
      <c r="AR181" t="s">
        <v>134</v>
      </c>
      <c r="AS181" t="s">
        <v>134</v>
      </c>
      <c r="AT181" t="s">
        <v>134</v>
      </c>
      <c r="AU181" t="s">
        <v>134</v>
      </c>
      <c r="AV181" t="s">
        <v>134</v>
      </c>
      <c r="AW181" t="s">
        <v>134</v>
      </c>
      <c r="AX181" t="s">
        <v>134</v>
      </c>
      <c r="AY181" t="s">
        <v>134</v>
      </c>
      <c r="AZ181" t="s">
        <v>134</v>
      </c>
      <c r="BA181" t="s">
        <v>134</v>
      </c>
      <c r="BB181" t="s">
        <v>134</v>
      </c>
      <c r="BC181" t="s">
        <v>134</v>
      </c>
      <c r="BD181" t="s">
        <v>134</v>
      </c>
      <c r="BE181" t="s">
        <v>134</v>
      </c>
      <c r="BF181">
        <v>4.1614000000000004</v>
      </c>
      <c r="BG181">
        <v>0.80920000000000003</v>
      </c>
      <c r="BH181">
        <v>-13.7903</v>
      </c>
      <c r="BI181">
        <v>-29.562100000000001</v>
      </c>
      <c r="BJ181">
        <v>-29.589300000000001</v>
      </c>
      <c r="BK181" t="s">
        <v>134</v>
      </c>
      <c r="BL181" t="s">
        <v>134</v>
      </c>
      <c r="BM181" t="s">
        <v>134</v>
      </c>
      <c r="BN181" t="s">
        <v>134</v>
      </c>
      <c r="BO181" t="s">
        <v>134</v>
      </c>
      <c r="BP181" t="s">
        <v>134</v>
      </c>
      <c r="BQ181" t="s">
        <v>134</v>
      </c>
      <c r="BR181" t="s">
        <v>134</v>
      </c>
      <c r="BS181" t="s">
        <v>134</v>
      </c>
      <c r="BT181" t="s">
        <v>134</v>
      </c>
      <c r="BU181" t="s">
        <v>134</v>
      </c>
      <c r="BV181" t="s">
        <v>134</v>
      </c>
      <c r="BW181" t="s">
        <v>134</v>
      </c>
      <c r="BX181" t="s">
        <v>134</v>
      </c>
      <c r="BY181" t="s">
        <v>134</v>
      </c>
      <c r="BZ181" t="s">
        <v>134</v>
      </c>
      <c r="CA181" t="s">
        <v>134</v>
      </c>
      <c r="CB181" t="s">
        <v>134</v>
      </c>
      <c r="CC181" t="s">
        <v>134</v>
      </c>
      <c r="CD181" t="s">
        <v>134</v>
      </c>
      <c r="CE181" t="s">
        <v>134</v>
      </c>
      <c r="CF181">
        <v>1.1721999999999999</v>
      </c>
      <c r="CG181" t="s">
        <v>134</v>
      </c>
      <c r="CH181" t="s">
        <v>134</v>
      </c>
      <c r="CI181" t="s">
        <v>134</v>
      </c>
      <c r="CJ181" t="s">
        <v>134</v>
      </c>
      <c r="CK181" t="s">
        <v>134</v>
      </c>
      <c r="CL181" t="s">
        <v>134</v>
      </c>
      <c r="CM181" t="s">
        <v>134</v>
      </c>
      <c r="CN181" t="s">
        <v>134</v>
      </c>
      <c r="CO181" t="s">
        <v>134</v>
      </c>
      <c r="CP181">
        <v>9346.4459999999999</v>
      </c>
      <c r="CQ181" t="s">
        <v>134</v>
      </c>
      <c r="CR181">
        <v>1171.953</v>
      </c>
      <c r="CS181" t="s">
        <v>134</v>
      </c>
      <c r="CT181" t="s">
        <v>134</v>
      </c>
      <c r="CU181" t="s">
        <v>134</v>
      </c>
      <c r="CV181" t="s">
        <v>134</v>
      </c>
      <c r="CW181" t="s">
        <v>134</v>
      </c>
      <c r="CX181" t="s">
        <v>134</v>
      </c>
      <c r="CY181" t="s">
        <v>134</v>
      </c>
      <c r="CZ181" t="s">
        <v>134</v>
      </c>
      <c r="DA181" t="s">
        <v>134</v>
      </c>
      <c r="DB181" t="s">
        <v>134</v>
      </c>
      <c r="DC181" t="s">
        <v>134</v>
      </c>
      <c r="DD181" t="s">
        <v>134</v>
      </c>
      <c r="DE181" t="s">
        <v>134</v>
      </c>
      <c r="DF181" t="s">
        <v>134</v>
      </c>
      <c r="DG181" t="s">
        <v>134</v>
      </c>
      <c r="DH181" t="s">
        <v>134</v>
      </c>
      <c r="DI181" t="s">
        <v>134</v>
      </c>
    </row>
    <row r="182" spans="1:113" x14ac:dyDescent="0.3">
      <c r="E182" t="s">
        <v>7</v>
      </c>
      <c r="F182">
        <v>10.568300000000001</v>
      </c>
      <c r="G182">
        <v>1.466</v>
      </c>
      <c r="H182">
        <v>1.5474000000000001</v>
      </c>
      <c r="I182">
        <v>2.8597000000000001</v>
      </c>
      <c r="J182">
        <v>133.42590000000001</v>
      </c>
      <c r="K182">
        <v>74.747500000000002</v>
      </c>
      <c r="L182">
        <v>92.115300000000005</v>
      </c>
      <c r="M182">
        <v>17.601700000000001</v>
      </c>
      <c r="N182">
        <v>13.032500000000001</v>
      </c>
      <c r="O182">
        <v>13.032500000000001</v>
      </c>
      <c r="P182">
        <v>13.032500000000001</v>
      </c>
      <c r="Q182">
        <v>26.243600000000001</v>
      </c>
      <c r="R182" t="s">
        <v>134</v>
      </c>
      <c r="S182" t="s">
        <v>134</v>
      </c>
      <c r="T182">
        <v>23.638100000000001</v>
      </c>
      <c r="U182">
        <v>115.0432</v>
      </c>
      <c r="V182">
        <v>397.25470000000001</v>
      </c>
      <c r="W182">
        <v>8.8147000000000002</v>
      </c>
      <c r="X182">
        <v>-4</v>
      </c>
      <c r="Y182" t="s">
        <v>134</v>
      </c>
      <c r="Z182" t="s">
        <v>134</v>
      </c>
      <c r="AA182" t="s">
        <v>134</v>
      </c>
      <c r="AB182">
        <v>20.2531</v>
      </c>
      <c r="AC182">
        <v>22.672799999999999</v>
      </c>
      <c r="AD182" t="s">
        <v>134</v>
      </c>
      <c r="AE182" t="s">
        <v>134</v>
      </c>
      <c r="AF182" t="s">
        <v>134</v>
      </c>
      <c r="AG182">
        <v>24.0398</v>
      </c>
      <c r="AH182">
        <v>26.9269</v>
      </c>
      <c r="AI182">
        <v>9.7333999999999996</v>
      </c>
      <c r="AJ182">
        <v>23.824100000000001</v>
      </c>
      <c r="AK182">
        <v>6.3929999999999998</v>
      </c>
      <c r="AL182" t="s">
        <v>134</v>
      </c>
      <c r="AM182" t="s">
        <v>134</v>
      </c>
      <c r="AN182" t="s">
        <v>134</v>
      </c>
      <c r="AO182" t="s">
        <v>134</v>
      </c>
      <c r="AP182" t="s">
        <v>134</v>
      </c>
      <c r="AQ182" t="s">
        <v>134</v>
      </c>
      <c r="AR182" t="s">
        <v>134</v>
      </c>
      <c r="AS182" t="s">
        <v>134</v>
      </c>
      <c r="AT182" t="s">
        <v>134</v>
      </c>
      <c r="AU182" t="s">
        <v>134</v>
      </c>
      <c r="AV182" t="s">
        <v>134</v>
      </c>
      <c r="AW182" t="s">
        <v>134</v>
      </c>
      <c r="AX182" t="s">
        <v>134</v>
      </c>
      <c r="AY182" t="s">
        <v>134</v>
      </c>
      <c r="AZ182" t="s">
        <v>134</v>
      </c>
      <c r="BA182" t="s">
        <v>134</v>
      </c>
      <c r="BB182" t="s">
        <v>134</v>
      </c>
      <c r="BC182" t="s">
        <v>134</v>
      </c>
      <c r="BD182" t="s">
        <v>134</v>
      </c>
      <c r="BE182" t="s">
        <v>134</v>
      </c>
      <c r="BF182">
        <v>12.1585</v>
      </c>
      <c r="BG182">
        <v>104.4975</v>
      </c>
      <c r="BH182">
        <v>812.92460000000005</v>
      </c>
      <c r="BI182">
        <v>70.064599999999999</v>
      </c>
      <c r="BJ182">
        <v>50.324800000000003</v>
      </c>
      <c r="BK182" t="s">
        <v>134</v>
      </c>
      <c r="BL182" t="s">
        <v>134</v>
      </c>
      <c r="BM182" t="s">
        <v>134</v>
      </c>
      <c r="BN182" t="s">
        <v>134</v>
      </c>
      <c r="BO182" t="s">
        <v>134</v>
      </c>
      <c r="BP182" t="s">
        <v>134</v>
      </c>
      <c r="BQ182" t="s">
        <v>134</v>
      </c>
      <c r="BR182" t="s">
        <v>134</v>
      </c>
      <c r="BS182" t="s">
        <v>134</v>
      </c>
      <c r="BT182" t="s">
        <v>134</v>
      </c>
      <c r="BU182" t="s">
        <v>134</v>
      </c>
      <c r="BV182" t="s">
        <v>134</v>
      </c>
      <c r="BW182" t="s">
        <v>134</v>
      </c>
      <c r="BX182" t="s">
        <v>134</v>
      </c>
      <c r="BY182">
        <v>358535.66899999999</v>
      </c>
      <c r="BZ182">
        <v>125653.182</v>
      </c>
      <c r="CA182">
        <v>232882.48699999999</v>
      </c>
      <c r="CB182">
        <v>7.7056000000000004</v>
      </c>
      <c r="CC182">
        <v>7.5373999999999999</v>
      </c>
      <c r="CD182">
        <v>23.915099999999999</v>
      </c>
      <c r="CE182">
        <v>23.393000000000001</v>
      </c>
      <c r="CF182">
        <v>2.3348</v>
      </c>
      <c r="CG182">
        <v>12.986000000000001</v>
      </c>
      <c r="CH182">
        <v>341.18709999999999</v>
      </c>
      <c r="CI182">
        <v>54.565800000000003</v>
      </c>
      <c r="CJ182">
        <v>51.912100000000002</v>
      </c>
      <c r="CK182">
        <v>525.27670000000001</v>
      </c>
      <c r="CL182">
        <v>84.007099999999994</v>
      </c>
      <c r="CM182">
        <v>79.921599999999998</v>
      </c>
      <c r="CN182">
        <v>513.80909999999994</v>
      </c>
      <c r="CO182">
        <v>83.708299999999994</v>
      </c>
      <c r="CP182">
        <v>19098.046999999999</v>
      </c>
      <c r="CQ182" t="s">
        <v>134</v>
      </c>
      <c r="CR182">
        <v>10699.047</v>
      </c>
      <c r="CS182" t="s">
        <v>134</v>
      </c>
      <c r="CT182" t="s">
        <v>134</v>
      </c>
      <c r="CU182" t="s">
        <v>134</v>
      </c>
      <c r="CV182" t="s">
        <v>134</v>
      </c>
      <c r="CW182" t="s">
        <v>134</v>
      </c>
      <c r="CX182" t="s">
        <v>134</v>
      </c>
      <c r="CY182" t="s">
        <v>134</v>
      </c>
      <c r="CZ182" t="s">
        <v>134</v>
      </c>
      <c r="DA182" t="s">
        <v>134</v>
      </c>
      <c r="DB182" t="s">
        <v>134</v>
      </c>
      <c r="DC182" t="s">
        <v>134</v>
      </c>
      <c r="DD182" t="s">
        <v>134</v>
      </c>
      <c r="DE182" t="s">
        <v>134</v>
      </c>
      <c r="DF182" t="s">
        <v>134</v>
      </c>
      <c r="DG182" t="s">
        <v>134</v>
      </c>
      <c r="DH182" t="s">
        <v>134</v>
      </c>
      <c r="DI182" t="s">
        <v>134</v>
      </c>
    </row>
    <row r="183" spans="1:113" x14ac:dyDescent="0.3">
      <c r="D183" t="s">
        <v>8</v>
      </c>
      <c r="E183" t="s">
        <v>3</v>
      </c>
      <c r="F183">
        <v>12.108700000000001</v>
      </c>
      <c r="G183">
        <v>1.7513000000000001</v>
      </c>
      <c r="H183">
        <v>1.8458000000000001</v>
      </c>
      <c r="I183">
        <v>3.0703999999999998</v>
      </c>
      <c r="J183">
        <v>74.071100000000001</v>
      </c>
      <c r="K183">
        <v>37.222200000000001</v>
      </c>
      <c r="L183">
        <v>34.122599999999998</v>
      </c>
      <c r="M183">
        <v>18.537800000000001</v>
      </c>
      <c r="N183">
        <v>30.858599999999999</v>
      </c>
      <c r="O183">
        <v>13.4862</v>
      </c>
      <c r="P183">
        <v>26.673300000000001</v>
      </c>
      <c r="Q183">
        <v>27.587800000000001</v>
      </c>
      <c r="R183">
        <v>18.628900000000002</v>
      </c>
      <c r="S183">
        <v>9.8529999999999998</v>
      </c>
      <c r="T183">
        <v>20.950800000000001</v>
      </c>
      <c r="U183">
        <v>17.977799999999998</v>
      </c>
      <c r="V183">
        <v>24.979099999999999</v>
      </c>
      <c r="W183">
        <v>66.034499999999994</v>
      </c>
      <c r="X183">
        <v>65.816599999999994</v>
      </c>
      <c r="Y183">
        <v>6.6666999999999996</v>
      </c>
      <c r="Z183" t="s">
        <v>134</v>
      </c>
      <c r="AA183" t="s">
        <v>134</v>
      </c>
      <c r="AB183">
        <v>23.4649</v>
      </c>
      <c r="AC183">
        <v>17.568200000000001</v>
      </c>
      <c r="AD183" t="s">
        <v>134</v>
      </c>
      <c r="AE183" t="s">
        <v>134</v>
      </c>
      <c r="AF183" t="s">
        <v>134</v>
      </c>
      <c r="AG183">
        <v>0.99009999999999998</v>
      </c>
      <c r="AH183">
        <v>17.396000000000001</v>
      </c>
      <c r="AI183">
        <v>14.8634</v>
      </c>
      <c r="AJ183">
        <v>16.9909</v>
      </c>
      <c r="AK183">
        <v>9.3382000000000005</v>
      </c>
      <c r="AL183">
        <v>-6.4211999999999998</v>
      </c>
      <c r="AM183">
        <v>48.501399999999997</v>
      </c>
      <c r="AN183">
        <v>34.783499999999997</v>
      </c>
      <c r="AO183">
        <v>9.0860000000000003</v>
      </c>
      <c r="AP183">
        <v>36.399700000000003</v>
      </c>
      <c r="AQ183">
        <v>-11.2468</v>
      </c>
      <c r="AR183" t="s">
        <v>134</v>
      </c>
      <c r="AS183">
        <v>-36.853299999999997</v>
      </c>
      <c r="AT183" t="s">
        <v>134</v>
      </c>
      <c r="AU183" t="s">
        <v>134</v>
      </c>
      <c r="AV183">
        <v>48.5884</v>
      </c>
      <c r="AW183" t="s">
        <v>134</v>
      </c>
      <c r="AX183" t="s">
        <v>134</v>
      </c>
      <c r="AY183" t="s">
        <v>134</v>
      </c>
      <c r="AZ183">
        <v>21.975000000000001</v>
      </c>
      <c r="BA183">
        <v>55.0306</v>
      </c>
      <c r="BB183">
        <v>69.406599999999997</v>
      </c>
      <c r="BC183">
        <v>56.835700000000003</v>
      </c>
      <c r="BD183">
        <v>-1.3203</v>
      </c>
      <c r="BE183" t="s">
        <v>134</v>
      </c>
      <c r="BF183">
        <v>20.950800000000001</v>
      </c>
      <c r="BG183">
        <v>17.977799999999998</v>
      </c>
      <c r="BH183">
        <v>24.979099999999999</v>
      </c>
      <c r="BI183">
        <v>66.034499999999994</v>
      </c>
      <c r="BJ183">
        <v>65.816599999999994</v>
      </c>
      <c r="BK183">
        <v>6.6666999999999996</v>
      </c>
      <c r="BL183">
        <v>-30.422499999999999</v>
      </c>
      <c r="BM183" t="s">
        <v>134</v>
      </c>
      <c r="BN183">
        <v>23.4649</v>
      </c>
      <c r="BO183">
        <v>17.568200000000001</v>
      </c>
      <c r="BP183" t="s">
        <v>134</v>
      </c>
      <c r="BQ183" t="s">
        <v>134</v>
      </c>
      <c r="BR183" t="s">
        <v>134</v>
      </c>
      <c r="BS183">
        <v>0.99009999999999998</v>
      </c>
      <c r="BT183">
        <v>17.396000000000001</v>
      </c>
      <c r="BU183">
        <v>14.8634</v>
      </c>
      <c r="BV183">
        <v>16.9909</v>
      </c>
      <c r="BW183">
        <v>9.3382000000000005</v>
      </c>
      <c r="BX183" t="s">
        <v>134</v>
      </c>
      <c r="BY183">
        <v>420906.37599999999</v>
      </c>
      <c r="BZ183">
        <v>126897.236</v>
      </c>
      <c r="CA183">
        <v>294009.14</v>
      </c>
      <c r="CB183">
        <v>8.9664999999999999</v>
      </c>
      <c r="CC183">
        <v>8.7827999999999999</v>
      </c>
      <c r="CD183">
        <v>40.8279</v>
      </c>
      <c r="CE183">
        <v>39.991399999999999</v>
      </c>
      <c r="CF183">
        <v>1.3157000000000001</v>
      </c>
      <c r="CG183">
        <v>12.0899</v>
      </c>
      <c r="CH183">
        <v>375.00330000000002</v>
      </c>
      <c r="CI183">
        <v>58.883299999999998</v>
      </c>
      <c r="CJ183">
        <v>55.744599999999998</v>
      </c>
      <c r="CK183">
        <v>536.85839999999996</v>
      </c>
      <c r="CL183">
        <v>84.297899999999998</v>
      </c>
      <c r="CM183">
        <v>79.804500000000004</v>
      </c>
      <c r="CN183">
        <v>525.8596</v>
      </c>
      <c r="CO183">
        <v>84.022000000000006</v>
      </c>
      <c r="CP183">
        <v>46942.199000000001</v>
      </c>
      <c r="CQ183">
        <v>45724.614999999998</v>
      </c>
      <c r="CR183">
        <v>10309.285</v>
      </c>
      <c r="CS183" t="s">
        <v>134</v>
      </c>
      <c r="CT183" t="s">
        <v>134</v>
      </c>
      <c r="CU183" t="s">
        <v>134</v>
      </c>
      <c r="CV183" t="s">
        <v>134</v>
      </c>
      <c r="CW183" t="s">
        <v>134</v>
      </c>
      <c r="CX183" t="s">
        <v>134</v>
      </c>
      <c r="CY183" t="s">
        <v>134</v>
      </c>
      <c r="CZ183" t="s">
        <v>134</v>
      </c>
      <c r="DA183" t="s">
        <v>134</v>
      </c>
      <c r="DB183" t="s">
        <v>134</v>
      </c>
      <c r="DC183" t="s">
        <v>134</v>
      </c>
      <c r="DD183" t="s">
        <v>134</v>
      </c>
      <c r="DE183" t="s">
        <v>134</v>
      </c>
      <c r="DF183" t="s">
        <v>134</v>
      </c>
      <c r="DG183" t="s">
        <v>134</v>
      </c>
      <c r="DH183" t="s">
        <v>134</v>
      </c>
      <c r="DI183" t="s">
        <v>134</v>
      </c>
    </row>
    <row r="184" spans="1:113" x14ac:dyDescent="0.3">
      <c r="E184" t="s">
        <v>4</v>
      </c>
      <c r="F184" t="s">
        <v>134</v>
      </c>
      <c r="G184" t="s">
        <v>134</v>
      </c>
      <c r="H184" t="s">
        <v>134</v>
      </c>
      <c r="I184" t="s">
        <v>134</v>
      </c>
      <c r="J184">
        <v>76.259600000000006</v>
      </c>
      <c r="K184">
        <v>35.725299999999997</v>
      </c>
      <c r="L184">
        <v>27.000800000000002</v>
      </c>
      <c r="M184">
        <v>26.4864</v>
      </c>
      <c r="N184">
        <v>49.539499999999997</v>
      </c>
      <c r="O184">
        <v>19.883099999999999</v>
      </c>
      <c r="P184">
        <v>49.539499999999997</v>
      </c>
      <c r="Q184">
        <v>25.007899999999999</v>
      </c>
      <c r="R184" t="s">
        <v>134</v>
      </c>
      <c r="S184" t="s">
        <v>134</v>
      </c>
      <c r="T184">
        <v>24.6358</v>
      </c>
      <c r="U184">
        <v>24.3035</v>
      </c>
      <c r="V184">
        <v>17.0289</v>
      </c>
      <c r="W184">
        <v>97.239599999999996</v>
      </c>
      <c r="X184">
        <v>97.029600000000002</v>
      </c>
      <c r="Y184" t="s">
        <v>134</v>
      </c>
      <c r="Z184" t="s">
        <v>134</v>
      </c>
      <c r="AA184" t="s">
        <v>134</v>
      </c>
      <c r="AB184" t="s">
        <v>134</v>
      </c>
      <c r="AC184" t="s">
        <v>134</v>
      </c>
      <c r="AD184" t="s">
        <v>134</v>
      </c>
      <c r="AE184" t="s">
        <v>134</v>
      </c>
      <c r="AF184" t="s">
        <v>134</v>
      </c>
      <c r="AG184" t="s">
        <v>134</v>
      </c>
      <c r="AH184" t="s">
        <v>134</v>
      </c>
      <c r="AI184" t="s">
        <v>134</v>
      </c>
      <c r="AJ184" t="s">
        <v>134</v>
      </c>
      <c r="AK184" t="s">
        <v>134</v>
      </c>
      <c r="AL184" t="s">
        <v>134</v>
      </c>
      <c r="AM184" t="s">
        <v>134</v>
      </c>
      <c r="AN184" t="s">
        <v>134</v>
      </c>
      <c r="AO184" t="s">
        <v>134</v>
      </c>
      <c r="AP184" t="s">
        <v>134</v>
      </c>
      <c r="AQ184" t="s">
        <v>134</v>
      </c>
      <c r="AR184" t="s">
        <v>134</v>
      </c>
      <c r="AS184" t="s">
        <v>134</v>
      </c>
      <c r="AT184" t="s">
        <v>134</v>
      </c>
      <c r="AU184" t="s">
        <v>134</v>
      </c>
      <c r="AV184" t="s">
        <v>134</v>
      </c>
      <c r="AW184" t="s">
        <v>134</v>
      </c>
      <c r="AX184" t="s">
        <v>134</v>
      </c>
      <c r="AY184" t="s">
        <v>134</v>
      </c>
      <c r="AZ184" t="s">
        <v>134</v>
      </c>
      <c r="BA184" t="s">
        <v>134</v>
      </c>
      <c r="BB184" t="s">
        <v>134</v>
      </c>
      <c r="BC184" t="s">
        <v>134</v>
      </c>
      <c r="BD184" t="s">
        <v>134</v>
      </c>
      <c r="BE184" t="s">
        <v>134</v>
      </c>
      <c r="BF184">
        <v>0.44900000000000001</v>
      </c>
      <c r="BG184">
        <v>-42.588299999999997</v>
      </c>
      <c r="BH184">
        <v>-80.730999999999995</v>
      </c>
      <c r="BI184">
        <v>53.250900000000001</v>
      </c>
      <c r="BJ184">
        <v>73.266599999999997</v>
      </c>
      <c r="BK184" t="s">
        <v>134</v>
      </c>
      <c r="BL184" t="s">
        <v>134</v>
      </c>
      <c r="BM184" t="s">
        <v>134</v>
      </c>
      <c r="BN184" t="s">
        <v>134</v>
      </c>
      <c r="BO184" t="s">
        <v>134</v>
      </c>
      <c r="BP184" t="s">
        <v>134</v>
      </c>
      <c r="BQ184" t="s">
        <v>134</v>
      </c>
      <c r="BR184" t="s">
        <v>134</v>
      </c>
      <c r="BS184" t="s">
        <v>134</v>
      </c>
      <c r="BT184" t="s">
        <v>134</v>
      </c>
      <c r="BU184" t="s">
        <v>134</v>
      </c>
      <c r="BV184" t="s">
        <v>134</v>
      </c>
      <c r="BW184" t="s">
        <v>134</v>
      </c>
      <c r="BX184" t="s">
        <v>134</v>
      </c>
      <c r="BY184" t="s">
        <v>134</v>
      </c>
      <c r="BZ184" t="s">
        <v>134</v>
      </c>
      <c r="CA184" t="s">
        <v>134</v>
      </c>
      <c r="CB184" t="s">
        <v>134</v>
      </c>
      <c r="CC184" t="s">
        <v>134</v>
      </c>
      <c r="CD184" t="s">
        <v>134</v>
      </c>
      <c r="CE184" t="s">
        <v>134</v>
      </c>
      <c r="CF184">
        <v>1.2739</v>
      </c>
      <c r="CG184" t="s">
        <v>134</v>
      </c>
      <c r="CH184" t="s">
        <v>134</v>
      </c>
      <c r="CI184" t="s">
        <v>134</v>
      </c>
      <c r="CJ184" t="s">
        <v>134</v>
      </c>
      <c r="CK184" t="s">
        <v>134</v>
      </c>
      <c r="CL184" t="s">
        <v>134</v>
      </c>
      <c r="CM184" t="s">
        <v>134</v>
      </c>
      <c r="CN184" t="s">
        <v>134</v>
      </c>
      <c r="CO184" t="s">
        <v>134</v>
      </c>
      <c r="CP184">
        <v>10964.505999999999</v>
      </c>
      <c r="CQ184" t="s">
        <v>134</v>
      </c>
      <c r="CR184">
        <v>2061.5949999999998</v>
      </c>
      <c r="CS184" t="s">
        <v>134</v>
      </c>
      <c r="CT184" t="s">
        <v>134</v>
      </c>
      <c r="CU184" t="s">
        <v>134</v>
      </c>
      <c r="CV184" t="s">
        <v>134</v>
      </c>
      <c r="CW184" t="s">
        <v>134</v>
      </c>
      <c r="CX184" t="s">
        <v>134</v>
      </c>
      <c r="CY184" t="s">
        <v>134</v>
      </c>
      <c r="CZ184" t="s">
        <v>134</v>
      </c>
      <c r="DA184" t="s">
        <v>134</v>
      </c>
      <c r="DB184" t="s">
        <v>134</v>
      </c>
      <c r="DC184" t="s">
        <v>134</v>
      </c>
      <c r="DD184" t="s">
        <v>134</v>
      </c>
      <c r="DE184" t="s">
        <v>134</v>
      </c>
      <c r="DF184" t="s">
        <v>134</v>
      </c>
      <c r="DG184" t="s">
        <v>134</v>
      </c>
      <c r="DH184" t="s">
        <v>134</v>
      </c>
      <c r="DI184" t="s">
        <v>134</v>
      </c>
    </row>
    <row r="185" spans="1:113" x14ac:dyDescent="0.3">
      <c r="E185" t="s">
        <v>5</v>
      </c>
      <c r="F185">
        <v>10.800699999999999</v>
      </c>
      <c r="G185">
        <v>1.72</v>
      </c>
      <c r="H185">
        <v>1.8058999999999998</v>
      </c>
      <c r="I185">
        <v>2.8254000000000001</v>
      </c>
      <c r="J185">
        <v>73.312899999999999</v>
      </c>
      <c r="K185">
        <v>34.824599999999997</v>
      </c>
      <c r="L185">
        <v>46.590299999999999</v>
      </c>
      <c r="M185">
        <v>17.252300000000002</v>
      </c>
      <c r="N185">
        <v>27.1571</v>
      </c>
      <c r="O185">
        <v>11.704800000000001</v>
      </c>
      <c r="P185">
        <v>27.1571</v>
      </c>
      <c r="Q185">
        <v>32.155200000000001</v>
      </c>
      <c r="R185" t="s">
        <v>134</v>
      </c>
      <c r="S185" t="s">
        <v>134</v>
      </c>
      <c r="T185">
        <v>25.9482</v>
      </c>
      <c r="U185">
        <v>22.707699999999999</v>
      </c>
      <c r="V185">
        <v>71.335999999999999</v>
      </c>
      <c r="W185">
        <v>16.639399999999998</v>
      </c>
      <c r="X185">
        <v>16.4908</v>
      </c>
      <c r="Y185" t="s">
        <v>134</v>
      </c>
      <c r="Z185" t="s">
        <v>134</v>
      </c>
      <c r="AA185" t="s">
        <v>134</v>
      </c>
      <c r="AB185">
        <v>-43.383299999999998</v>
      </c>
      <c r="AC185">
        <v>19.402899999999999</v>
      </c>
      <c r="AD185" t="s">
        <v>134</v>
      </c>
      <c r="AE185" t="s">
        <v>134</v>
      </c>
      <c r="AF185" t="s">
        <v>134</v>
      </c>
      <c r="AG185">
        <v>14.218400000000001</v>
      </c>
      <c r="AH185">
        <v>19.3491</v>
      </c>
      <c r="AI185">
        <v>19.371300000000002</v>
      </c>
      <c r="AJ185">
        <v>19.352799999999998</v>
      </c>
      <c r="AK185">
        <v>17.676400000000001</v>
      </c>
      <c r="AL185" t="s">
        <v>134</v>
      </c>
      <c r="AM185" t="s">
        <v>134</v>
      </c>
      <c r="AN185" t="s">
        <v>134</v>
      </c>
      <c r="AO185" t="s">
        <v>134</v>
      </c>
      <c r="AP185" t="s">
        <v>134</v>
      </c>
      <c r="AQ185" t="s">
        <v>134</v>
      </c>
      <c r="AR185" t="s">
        <v>134</v>
      </c>
      <c r="AS185" t="s">
        <v>134</v>
      </c>
      <c r="AT185" t="s">
        <v>134</v>
      </c>
      <c r="AU185" t="s">
        <v>134</v>
      </c>
      <c r="AV185" t="s">
        <v>134</v>
      </c>
      <c r="AW185" t="s">
        <v>134</v>
      </c>
      <c r="AX185" t="s">
        <v>134</v>
      </c>
      <c r="AY185" t="s">
        <v>134</v>
      </c>
      <c r="AZ185" t="s">
        <v>134</v>
      </c>
      <c r="BA185" t="s">
        <v>134</v>
      </c>
      <c r="BB185" t="s">
        <v>134</v>
      </c>
      <c r="BC185" t="s">
        <v>134</v>
      </c>
      <c r="BD185" t="s">
        <v>134</v>
      </c>
      <c r="BE185" t="s">
        <v>134</v>
      </c>
      <c r="BF185">
        <v>7.9302999999999999</v>
      </c>
      <c r="BG185">
        <v>3.7598000000000003</v>
      </c>
      <c r="BH185">
        <v>12.9795</v>
      </c>
      <c r="BI185">
        <v>-36.463799999999999</v>
      </c>
      <c r="BJ185">
        <v>-36.480400000000003</v>
      </c>
      <c r="BK185" t="s">
        <v>134</v>
      </c>
      <c r="BL185" t="s">
        <v>134</v>
      </c>
      <c r="BM185" t="s">
        <v>134</v>
      </c>
      <c r="BN185" t="s">
        <v>134</v>
      </c>
      <c r="BO185" t="s">
        <v>134</v>
      </c>
      <c r="BP185" t="s">
        <v>134</v>
      </c>
      <c r="BQ185" t="s">
        <v>134</v>
      </c>
      <c r="BR185" t="s">
        <v>134</v>
      </c>
      <c r="BS185" t="s">
        <v>134</v>
      </c>
      <c r="BT185" t="s">
        <v>134</v>
      </c>
      <c r="BU185" t="s">
        <v>134</v>
      </c>
      <c r="BV185" t="s">
        <v>134</v>
      </c>
      <c r="BW185" t="s">
        <v>134</v>
      </c>
      <c r="BX185" t="s">
        <v>134</v>
      </c>
      <c r="BY185">
        <v>382734.96</v>
      </c>
      <c r="BZ185">
        <v>128182.004</v>
      </c>
      <c r="CA185">
        <v>254552.95600000001</v>
      </c>
      <c r="CB185">
        <v>7.5373999999999999</v>
      </c>
      <c r="CC185">
        <v>7.4588999999999999</v>
      </c>
      <c r="CD185">
        <v>23.535900000000002</v>
      </c>
      <c r="CE185">
        <v>23.290800000000001</v>
      </c>
      <c r="CF185">
        <v>1.2885</v>
      </c>
      <c r="CG185">
        <v>15.8286</v>
      </c>
      <c r="CH185">
        <v>328.44510000000002</v>
      </c>
      <c r="CI185">
        <v>55.309100000000001</v>
      </c>
      <c r="CJ185">
        <v>52.669800000000002</v>
      </c>
      <c r="CK185">
        <v>493.83600000000001</v>
      </c>
      <c r="CL185">
        <v>83.160300000000007</v>
      </c>
      <c r="CM185">
        <v>79.192099999999996</v>
      </c>
      <c r="CN185">
        <v>488.69470000000001</v>
      </c>
      <c r="CO185">
        <v>83.013300000000001</v>
      </c>
      <c r="CP185">
        <v>11376.753000000001</v>
      </c>
      <c r="CQ185" t="s">
        <v>134</v>
      </c>
      <c r="CR185">
        <v>2329.1790000000001</v>
      </c>
      <c r="CS185" t="s">
        <v>134</v>
      </c>
      <c r="CT185" t="s">
        <v>134</v>
      </c>
      <c r="CU185" t="s">
        <v>134</v>
      </c>
      <c r="CV185" t="s">
        <v>134</v>
      </c>
      <c r="CW185" t="s">
        <v>134</v>
      </c>
      <c r="CX185" t="s">
        <v>134</v>
      </c>
      <c r="CY185" t="s">
        <v>134</v>
      </c>
      <c r="CZ185" t="s">
        <v>134</v>
      </c>
      <c r="DA185" t="s">
        <v>134</v>
      </c>
      <c r="DB185" t="s">
        <v>134</v>
      </c>
      <c r="DC185" t="s">
        <v>134</v>
      </c>
      <c r="DD185" t="s">
        <v>134</v>
      </c>
      <c r="DE185" t="s">
        <v>134</v>
      </c>
      <c r="DF185" t="s">
        <v>134</v>
      </c>
      <c r="DG185" t="s">
        <v>134</v>
      </c>
      <c r="DH185" t="s">
        <v>134</v>
      </c>
      <c r="DI185" t="s">
        <v>134</v>
      </c>
    </row>
    <row r="186" spans="1:113" x14ac:dyDescent="0.3">
      <c r="E186" t="s">
        <v>6</v>
      </c>
      <c r="F186" t="s">
        <v>134</v>
      </c>
      <c r="G186" t="s">
        <v>134</v>
      </c>
      <c r="H186" t="s">
        <v>134</v>
      </c>
      <c r="I186" t="s">
        <v>134</v>
      </c>
      <c r="J186">
        <v>72.729399999999998</v>
      </c>
      <c r="K186">
        <v>33.421399999999998</v>
      </c>
      <c r="L186">
        <v>55.258099999999999</v>
      </c>
      <c r="M186">
        <v>16.907699999999998</v>
      </c>
      <c r="N186">
        <v>26.8262</v>
      </c>
      <c r="O186">
        <v>11.5527</v>
      </c>
      <c r="P186">
        <v>26.8262</v>
      </c>
      <c r="Q186">
        <v>31.904199999999999</v>
      </c>
      <c r="R186" t="s">
        <v>134</v>
      </c>
      <c r="S186" t="s">
        <v>134</v>
      </c>
      <c r="T186">
        <v>23.178100000000001</v>
      </c>
      <c r="U186">
        <v>22.421900000000001</v>
      </c>
      <c r="V186">
        <v>93.058599999999998</v>
      </c>
      <c r="W186">
        <v>65.566400000000002</v>
      </c>
      <c r="X186">
        <v>65.3874</v>
      </c>
      <c r="Y186" t="s">
        <v>134</v>
      </c>
      <c r="Z186" t="s">
        <v>134</v>
      </c>
      <c r="AA186" t="s">
        <v>134</v>
      </c>
      <c r="AB186" t="s">
        <v>134</v>
      </c>
      <c r="AC186" t="s">
        <v>134</v>
      </c>
      <c r="AD186" t="s">
        <v>134</v>
      </c>
      <c r="AE186" t="s">
        <v>134</v>
      </c>
      <c r="AF186" t="s">
        <v>134</v>
      </c>
      <c r="AG186" t="s">
        <v>134</v>
      </c>
      <c r="AH186" t="s">
        <v>134</v>
      </c>
      <c r="AI186" t="s">
        <v>134</v>
      </c>
      <c r="AJ186" t="s">
        <v>134</v>
      </c>
      <c r="AK186" t="s">
        <v>134</v>
      </c>
      <c r="AL186" t="s">
        <v>134</v>
      </c>
      <c r="AM186" t="s">
        <v>134</v>
      </c>
      <c r="AN186" t="s">
        <v>134</v>
      </c>
      <c r="AO186" t="s">
        <v>134</v>
      </c>
      <c r="AP186" t="s">
        <v>134</v>
      </c>
      <c r="AQ186" t="s">
        <v>134</v>
      </c>
      <c r="AR186" t="s">
        <v>134</v>
      </c>
      <c r="AS186" t="s">
        <v>134</v>
      </c>
      <c r="AT186" t="s">
        <v>134</v>
      </c>
      <c r="AU186" t="s">
        <v>134</v>
      </c>
      <c r="AV186" t="s">
        <v>134</v>
      </c>
      <c r="AW186" t="s">
        <v>134</v>
      </c>
      <c r="AX186" t="s">
        <v>134</v>
      </c>
      <c r="AY186" t="s">
        <v>134</v>
      </c>
      <c r="AZ186" t="s">
        <v>134</v>
      </c>
      <c r="BA186" t="s">
        <v>134</v>
      </c>
      <c r="BB186" t="s">
        <v>134</v>
      </c>
      <c r="BC186" t="s">
        <v>134</v>
      </c>
      <c r="BD186" t="s">
        <v>134</v>
      </c>
      <c r="BE186" t="s">
        <v>134</v>
      </c>
      <c r="BF186">
        <v>1.3006</v>
      </c>
      <c r="BG186">
        <v>0.49440000000000001</v>
      </c>
      <c r="BH186">
        <v>-2.8604000000000003</v>
      </c>
      <c r="BI186">
        <v>-1.5299999999999999E-2</v>
      </c>
      <c r="BJ186">
        <v>-3.4700000000000002E-2</v>
      </c>
      <c r="BK186" t="s">
        <v>134</v>
      </c>
      <c r="BL186" t="s">
        <v>134</v>
      </c>
      <c r="BM186" t="s">
        <v>134</v>
      </c>
      <c r="BN186" t="s">
        <v>134</v>
      </c>
      <c r="BO186" t="s">
        <v>134</v>
      </c>
      <c r="BP186" t="s">
        <v>134</v>
      </c>
      <c r="BQ186" t="s">
        <v>134</v>
      </c>
      <c r="BR186" t="s">
        <v>134</v>
      </c>
      <c r="BS186" t="s">
        <v>134</v>
      </c>
      <c r="BT186" t="s">
        <v>134</v>
      </c>
      <c r="BU186" t="s">
        <v>134</v>
      </c>
      <c r="BV186" t="s">
        <v>134</v>
      </c>
      <c r="BW186" t="s">
        <v>134</v>
      </c>
      <c r="BX186" t="s">
        <v>134</v>
      </c>
      <c r="BY186" t="s">
        <v>134</v>
      </c>
      <c r="BZ186" t="s">
        <v>134</v>
      </c>
      <c r="CA186" t="s">
        <v>134</v>
      </c>
      <c r="CB186" t="s">
        <v>134</v>
      </c>
      <c r="CC186" t="s">
        <v>134</v>
      </c>
      <c r="CD186" t="s">
        <v>134</v>
      </c>
      <c r="CE186" t="s">
        <v>134</v>
      </c>
      <c r="CF186">
        <v>1.2774000000000001</v>
      </c>
      <c r="CG186" t="s">
        <v>134</v>
      </c>
      <c r="CH186" t="s">
        <v>134</v>
      </c>
      <c r="CI186" t="s">
        <v>134</v>
      </c>
      <c r="CJ186" t="s">
        <v>134</v>
      </c>
      <c r="CK186" t="s">
        <v>134</v>
      </c>
      <c r="CL186" t="s">
        <v>134</v>
      </c>
      <c r="CM186" t="s">
        <v>134</v>
      </c>
      <c r="CN186" t="s">
        <v>134</v>
      </c>
      <c r="CO186" t="s">
        <v>134</v>
      </c>
      <c r="CP186">
        <v>11432.995000000001</v>
      </c>
      <c r="CQ186" t="s">
        <v>134</v>
      </c>
      <c r="CR186">
        <v>2262.556</v>
      </c>
      <c r="CS186" t="s">
        <v>134</v>
      </c>
      <c r="CT186" t="s">
        <v>134</v>
      </c>
      <c r="CU186" t="s">
        <v>134</v>
      </c>
      <c r="CV186" t="s">
        <v>134</v>
      </c>
      <c r="CW186" t="s">
        <v>134</v>
      </c>
      <c r="CX186" t="s">
        <v>134</v>
      </c>
      <c r="CY186" t="s">
        <v>134</v>
      </c>
      <c r="CZ186" t="s">
        <v>134</v>
      </c>
      <c r="DA186" t="s">
        <v>134</v>
      </c>
      <c r="DB186" t="s">
        <v>134</v>
      </c>
      <c r="DC186" t="s">
        <v>134</v>
      </c>
      <c r="DD186" t="s">
        <v>134</v>
      </c>
      <c r="DE186" t="s">
        <v>134</v>
      </c>
      <c r="DF186" t="s">
        <v>134</v>
      </c>
      <c r="DG186" t="s">
        <v>134</v>
      </c>
      <c r="DH186" t="s">
        <v>134</v>
      </c>
      <c r="DI186" t="s">
        <v>134</v>
      </c>
    </row>
    <row r="187" spans="1:113" x14ac:dyDescent="0.3">
      <c r="E187" t="s">
        <v>7</v>
      </c>
      <c r="F187">
        <v>14.008699999999999</v>
      </c>
      <c r="G187">
        <v>1.7513000000000001</v>
      </c>
      <c r="H187">
        <v>1.8458000000000001</v>
      </c>
      <c r="I187">
        <v>2.9741999999999997</v>
      </c>
      <c r="J187">
        <v>71.916200000000003</v>
      </c>
      <c r="K187">
        <v>70.563199999999995</v>
      </c>
      <c r="L187">
        <v>41.100900000000003</v>
      </c>
      <c r="M187">
        <v>15.9359</v>
      </c>
      <c r="N187">
        <v>12.575200000000001</v>
      </c>
      <c r="O187">
        <v>12.575200000000001</v>
      </c>
      <c r="P187">
        <v>12.575200000000001</v>
      </c>
      <c r="Q187">
        <v>22.003499999999999</v>
      </c>
      <c r="R187" t="s">
        <v>134</v>
      </c>
      <c r="S187" t="s">
        <v>134</v>
      </c>
      <c r="T187">
        <v>14.202199999999999</v>
      </c>
      <c r="U187">
        <v>-38.445300000000003</v>
      </c>
      <c r="V187">
        <v>7.8093000000000004</v>
      </c>
      <c r="W187">
        <v>10.194699999999999</v>
      </c>
      <c r="X187">
        <v>5.2083000000000004</v>
      </c>
      <c r="Y187" t="s">
        <v>134</v>
      </c>
      <c r="Z187" t="s">
        <v>134</v>
      </c>
      <c r="AA187" t="s">
        <v>134</v>
      </c>
      <c r="AB187">
        <v>23.4649</v>
      </c>
      <c r="AC187">
        <v>17.568200000000001</v>
      </c>
      <c r="AD187" t="s">
        <v>134</v>
      </c>
      <c r="AE187" t="s">
        <v>134</v>
      </c>
      <c r="AF187" t="s">
        <v>134</v>
      </c>
      <c r="AG187">
        <v>0.99009999999999998</v>
      </c>
      <c r="AH187">
        <v>17.396000000000001</v>
      </c>
      <c r="AI187">
        <v>14.8634</v>
      </c>
      <c r="AJ187">
        <v>16.9909</v>
      </c>
      <c r="AK187">
        <v>9.3382000000000005</v>
      </c>
      <c r="AL187" t="s">
        <v>134</v>
      </c>
      <c r="AM187" t="s">
        <v>134</v>
      </c>
      <c r="AN187" t="s">
        <v>134</v>
      </c>
      <c r="AO187" t="s">
        <v>134</v>
      </c>
      <c r="AP187" t="s">
        <v>134</v>
      </c>
      <c r="AQ187" t="s">
        <v>134</v>
      </c>
      <c r="AR187" t="s">
        <v>134</v>
      </c>
      <c r="AS187" t="s">
        <v>134</v>
      </c>
      <c r="AT187" t="s">
        <v>134</v>
      </c>
      <c r="AU187" t="s">
        <v>134</v>
      </c>
      <c r="AV187" t="s">
        <v>134</v>
      </c>
      <c r="AW187" t="s">
        <v>134</v>
      </c>
      <c r="AX187" t="s">
        <v>134</v>
      </c>
      <c r="AY187" t="s">
        <v>134</v>
      </c>
      <c r="AZ187" t="s">
        <v>134</v>
      </c>
      <c r="BA187" t="s">
        <v>134</v>
      </c>
      <c r="BB187" t="s">
        <v>134</v>
      </c>
      <c r="BC187" t="s">
        <v>134</v>
      </c>
      <c r="BD187" t="s">
        <v>134</v>
      </c>
      <c r="BE187" t="s">
        <v>134</v>
      </c>
      <c r="BF187">
        <v>3.9855999999999998</v>
      </c>
      <c r="BG187">
        <v>2.8228999999999997</v>
      </c>
      <c r="BH187">
        <v>409.80250000000001</v>
      </c>
      <c r="BI187">
        <v>13.188599999999999</v>
      </c>
      <c r="BJ187">
        <v>-4.3734000000000002</v>
      </c>
      <c r="BK187" t="s">
        <v>134</v>
      </c>
      <c r="BL187" t="s">
        <v>134</v>
      </c>
      <c r="BM187" t="s">
        <v>134</v>
      </c>
      <c r="BN187" t="s">
        <v>134</v>
      </c>
      <c r="BO187" t="s">
        <v>134</v>
      </c>
      <c r="BP187" t="s">
        <v>134</v>
      </c>
      <c r="BQ187" t="s">
        <v>134</v>
      </c>
      <c r="BR187" t="s">
        <v>134</v>
      </c>
      <c r="BS187" t="s">
        <v>134</v>
      </c>
      <c r="BT187" t="s">
        <v>134</v>
      </c>
      <c r="BU187" t="s">
        <v>134</v>
      </c>
      <c r="BV187" t="s">
        <v>134</v>
      </c>
      <c r="BW187" t="s">
        <v>134</v>
      </c>
      <c r="BX187" t="s">
        <v>134</v>
      </c>
      <c r="BY187">
        <v>420906.37599999999</v>
      </c>
      <c r="BZ187">
        <v>126897.236</v>
      </c>
      <c r="CA187">
        <v>294009.14</v>
      </c>
      <c r="CB187">
        <v>9.2446000000000002</v>
      </c>
      <c r="CC187">
        <v>9.0551999999999992</v>
      </c>
      <c r="CD187">
        <v>23.142099999999999</v>
      </c>
      <c r="CE187">
        <v>22.667999999999999</v>
      </c>
      <c r="CF187" t="s">
        <v>134</v>
      </c>
      <c r="CG187">
        <v>12.0899</v>
      </c>
      <c r="CH187">
        <v>375.00330000000002</v>
      </c>
      <c r="CI187">
        <v>58.883299999999998</v>
      </c>
      <c r="CJ187">
        <v>55.744599999999998</v>
      </c>
      <c r="CK187">
        <v>536.85839999999996</v>
      </c>
      <c r="CL187">
        <v>84.297899999999998</v>
      </c>
      <c r="CM187">
        <v>79.804500000000004</v>
      </c>
      <c r="CN187">
        <v>525.8596</v>
      </c>
      <c r="CO187">
        <v>84.022000000000006</v>
      </c>
      <c r="CP187">
        <v>11755.737999999999</v>
      </c>
      <c r="CQ187" t="s">
        <v>134</v>
      </c>
      <c r="CR187">
        <v>11534.567999999999</v>
      </c>
      <c r="CS187" t="s">
        <v>134</v>
      </c>
      <c r="CT187" t="s">
        <v>134</v>
      </c>
      <c r="CU187" t="s">
        <v>134</v>
      </c>
      <c r="CV187" t="s">
        <v>134</v>
      </c>
      <c r="CW187" t="s">
        <v>134</v>
      </c>
      <c r="CX187" t="s">
        <v>134</v>
      </c>
      <c r="CY187" t="s">
        <v>134</v>
      </c>
      <c r="CZ187" t="s">
        <v>134</v>
      </c>
      <c r="DA187" t="s">
        <v>134</v>
      </c>
      <c r="DB187" t="s">
        <v>134</v>
      </c>
      <c r="DC187" t="s">
        <v>134</v>
      </c>
      <c r="DD187" t="s">
        <v>134</v>
      </c>
      <c r="DE187" t="s">
        <v>134</v>
      </c>
      <c r="DF187" t="s">
        <v>134</v>
      </c>
      <c r="DG187" t="s">
        <v>134</v>
      </c>
      <c r="DH187" t="s">
        <v>134</v>
      </c>
      <c r="DI187" t="s">
        <v>134</v>
      </c>
    </row>
    <row r="188" spans="1:113" x14ac:dyDescent="0.3">
      <c r="D188" t="s">
        <v>9</v>
      </c>
      <c r="E188" t="s">
        <v>3</v>
      </c>
      <c r="F188">
        <v>9.6607000000000003</v>
      </c>
      <c r="G188">
        <v>1.4702</v>
      </c>
      <c r="H188">
        <v>1.5568</v>
      </c>
      <c r="I188">
        <v>2.5204</v>
      </c>
      <c r="J188">
        <v>70.824200000000005</v>
      </c>
      <c r="K188">
        <v>35.351999999999997</v>
      </c>
      <c r="L188">
        <v>29.1662</v>
      </c>
      <c r="M188">
        <v>16.2501</v>
      </c>
      <c r="N188">
        <v>23.750599999999999</v>
      </c>
      <c r="O188">
        <v>11.113300000000001</v>
      </c>
      <c r="P188">
        <v>18.174399999999999</v>
      </c>
      <c r="Q188">
        <v>31.850300000000001</v>
      </c>
      <c r="R188">
        <v>21.397400000000001</v>
      </c>
      <c r="S188">
        <v>7.5936000000000003</v>
      </c>
      <c r="T188">
        <v>21.637</v>
      </c>
      <c r="U188">
        <v>16.305099999999999</v>
      </c>
      <c r="V188">
        <v>23.6905</v>
      </c>
      <c r="W188">
        <v>-11.262499999999999</v>
      </c>
      <c r="X188">
        <v>-11.654999999999999</v>
      </c>
      <c r="Y188">
        <v>0</v>
      </c>
      <c r="Z188" t="s">
        <v>134</v>
      </c>
      <c r="AA188" t="s">
        <v>134</v>
      </c>
      <c r="AB188">
        <v>-2.4338000000000002</v>
      </c>
      <c r="AC188">
        <v>20.9678</v>
      </c>
      <c r="AD188" t="s">
        <v>134</v>
      </c>
      <c r="AE188" t="s">
        <v>134</v>
      </c>
      <c r="AF188" t="s">
        <v>134</v>
      </c>
      <c r="AG188">
        <v>-47.236600000000003</v>
      </c>
      <c r="AH188">
        <v>22.629799999999999</v>
      </c>
      <c r="AI188">
        <v>8.5289000000000001</v>
      </c>
      <c r="AJ188">
        <v>20.415600000000001</v>
      </c>
      <c r="AK188">
        <v>10.7081</v>
      </c>
      <c r="AL188">
        <v>-42.310400000000001</v>
      </c>
      <c r="AM188">
        <v>29.540800000000001</v>
      </c>
      <c r="AN188">
        <v>30.715299999999999</v>
      </c>
      <c r="AO188">
        <v>15.829700000000001</v>
      </c>
      <c r="AP188">
        <v>10.879</v>
      </c>
      <c r="AQ188">
        <v>6.3944000000000001</v>
      </c>
      <c r="AR188" t="s">
        <v>134</v>
      </c>
      <c r="AS188">
        <v>30.670400000000001</v>
      </c>
      <c r="AT188" t="s">
        <v>134</v>
      </c>
      <c r="AU188" t="s">
        <v>134</v>
      </c>
      <c r="AV188">
        <v>26.653500000000001</v>
      </c>
      <c r="AW188" t="s">
        <v>134</v>
      </c>
      <c r="AX188" t="s">
        <v>134</v>
      </c>
      <c r="AY188" t="s">
        <v>134</v>
      </c>
      <c r="AZ188">
        <v>17.3034</v>
      </c>
      <c r="BA188">
        <v>31.491800000000001</v>
      </c>
      <c r="BB188">
        <v>24.096</v>
      </c>
      <c r="BC188">
        <v>30.276900000000001</v>
      </c>
      <c r="BD188">
        <v>14.998200000000001</v>
      </c>
      <c r="BE188" t="s">
        <v>134</v>
      </c>
      <c r="BF188">
        <v>21.637</v>
      </c>
      <c r="BG188">
        <v>16.305099999999999</v>
      </c>
      <c r="BH188">
        <v>23.6905</v>
      </c>
      <c r="BI188">
        <v>-11.262499999999999</v>
      </c>
      <c r="BJ188">
        <v>-11.654999999999999</v>
      </c>
      <c r="BK188">
        <v>0</v>
      </c>
      <c r="BL188">
        <v>24.889199999999999</v>
      </c>
      <c r="BM188" t="s">
        <v>134</v>
      </c>
      <c r="BN188">
        <v>-2.4338000000000002</v>
      </c>
      <c r="BO188">
        <v>20.9678</v>
      </c>
      <c r="BP188" t="s">
        <v>134</v>
      </c>
      <c r="BQ188" t="s">
        <v>134</v>
      </c>
      <c r="BR188" t="s">
        <v>134</v>
      </c>
      <c r="BS188">
        <v>-47.236600000000003</v>
      </c>
      <c r="BT188">
        <v>22.629799999999999</v>
      </c>
      <c r="BU188">
        <v>8.5289000000000001</v>
      </c>
      <c r="BV188">
        <v>20.415600000000001</v>
      </c>
      <c r="BW188">
        <v>10.7081</v>
      </c>
      <c r="BX188" t="s">
        <v>134</v>
      </c>
      <c r="BY188">
        <v>516156.58</v>
      </c>
      <c r="BZ188">
        <v>66955.289999999994</v>
      </c>
      <c r="CA188">
        <v>449201.29</v>
      </c>
      <c r="CB188">
        <v>9.4541000000000004</v>
      </c>
      <c r="CC188">
        <v>9.3804999999999996</v>
      </c>
      <c r="CD188">
        <v>40.477800000000002</v>
      </c>
      <c r="CE188">
        <v>40.1629</v>
      </c>
      <c r="CF188">
        <v>1.3310999999999999</v>
      </c>
      <c r="CG188">
        <v>11.2775</v>
      </c>
      <c r="CH188">
        <v>527.92229999999995</v>
      </c>
      <c r="CI188">
        <v>74.711799999999997</v>
      </c>
      <c r="CJ188">
        <v>70.406599999999997</v>
      </c>
      <c r="CK188">
        <v>606.61130000000003</v>
      </c>
      <c r="CL188">
        <v>85.847899999999996</v>
      </c>
      <c r="CM188">
        <v>80.900900000000007</v>
      </c>
      <c r="CN188">
        <v>601.89229999999998</v>
      </c>
      <c r="CO188">
        <v>85.752799999999993</v>
      </c>
      <c r="CP188">
        <v>54596.154999999999</v>
      </c>
      <c r="CQ188">
        <v>53674.154000000002</v>
      </c>
      <c r="CR188">
        <v>12751.609</v>
      </c>
      <c r="CS188" t="s">
        <v>134</v>
      </c>
      <c r="CT188" t="s">
        <v>134</v>
      </c>
      <c r="CU188" t="s">
        <v>134</v>
      </c>
      <c r="CV188" t="s">
        <v>134</v>
      </c>
      <c r="CW188" t="s">
        <v>134</v>
      </c>
      <c r="CX188" t="s">
        <v>134</v>
      </c>
      <c r="CY188" t="s">
        <v>134</v>
      </c>
      <c r="CZ188" t="s">
        <v>134</v>
      </c>
      <c r="DA188" t="s">
        <v>134</v>
      </c>
      <c r="DB188" t="s">
        <v>134</v>
      </c>
      <c r="DC188" t="s">
        <v>134</v>
      </c>
      <c r="DD188" t="s">
        <v>134</v>
      </c>
      <c r="DE188" t="s">
        <v>134</v>
      </c>
      <c r="DF188" t="s">
        <v>134</v>
      </c>
      <c r="DG188" t="s">
        <v>134</v>
      </c>
      <c r="DH188" t="s">
        <v>134</v>
      </c>
      <c r="DI188" t="s">
        <v>134</v>
      </c>
    </row>
    <row r="189" spans="1:113" x14ac:dyDescent="0.3">
      <c r="E189" t="s">
        <v>4</v>
      </c>
      <c r="F189" t="s">
        <v>134</v>
      </c>
      <c r="G189" t="s">
        <v>134</v>
      </c>
      <c r="H189" t="s">
        <v>134</v>
      </c>
      <c r="I189" t="s">
        <v>134</v>
      </c>
      <c r="J189">
        <v>72.474299999999999</v>
      </c>
      <c r="K189">
        <v>32.647599999999997</v>
      </c>
      <c r="L189">
        <v>21.267099999999999</v>
      </c>
      <c r="M189">
        <v>16.328900000000001</v>
      </c>
      <c r="N189">
        <v>26.251999999999999</v>
      </c>
      <c r="O189">
        <v>11.2051</v>
      </c>
      <c r="P189">
        <v>26.251999999999999</v>
      </c>
      <c r="Q189">
        <v>31.378799999999998</v>
      </c>
      <c r="R189" t="s">
        <v>134</v>
      </c>
      <c r="S189" t="s">
        <v>134</v>
      </c>
      <c r="T189">
        <v>19.463699999999999</v>
      </c>
      <c r="U189">
        <v>13.533799999999999</v>
      </c>
      <c r="V189">
        <v>16.099399999999999</v>
      </c>
      <c r="W189">
        <v>-32.676499999999997</v>
      </c>
      <c r="X189">
        <v>-32.755800000000001</v>
      </c>
      <c r="Y189" t="s">
        <v>134</v>
      </c>
      <c r="Z189" t="s">
        <v>134</v>
      </c>
      <c r="AA189" t="s">
        <v>134</v>
      </c>
      <c r="AB189" t="s">
        <v>134</v>
      </c>
      <c r="AC189" t="s">
        <v>134</v>
      </c>
      <c r="AD189" t="s">
        <v>134</v>
      </c>
      <c r="AE189" t="s">
        <v>134</v>
      </c>
      <c r="AF189" t="s">
        <v>134</v>
      </c>
      <c r="AG189" t="s">
        <v>134</v>
      </c>
      <c r="AH189" t="s">
        <v>134</v>
      </c>
      <c r="AI189" t="s">
        <v>134</v>
      </c>
      <c r="AJ189" t="s">
        <v>134</v>
      </c>
      <c r="AK189" t="s">
        <v>134</v>
      </c>
      <c r="AL189" t="s">
        <v>134</v>
      </c>
      <c r="AM189" t="s">
        <v>134</v>
      </c>
      <c r="AN189" t="s">
        <v>134</v>
      </c>
      <c r="AO189" t="s">
        <v>134</v>
      </c>
      <c r="AP189" t="s">
        <v>134</v>
      </c>
      <c r="AQ189" t="s">
        <v>134</v>
      </c>
      <c r="AR189" t="s">
        <v>134</v>
      </c>
      <c r="AS189" t="s">
        <v>134</v>
      </c>
      <c r="AT189" t="s">
        <v>134</v>
      </c>
      <c r="AU189" t="s">
        <v>134</v>
      </c>
      <c r="AV189" t="s">
        <v>134</v>
      </c>
      <c r="AW189" t="s">
        <v>134</v>
      </c>
      <c r="AX189" t="s">
        <v>134</v>
      </c>
      <c r="AY189" t="s">
        <v>134</v>
      </c>
      <c r="AZ189" t="s">
        <v>134</v>
      </c>
      <c r="BA189" t="s">
        <v>134</v>
      </c>
      <c r="BB189" t="s">
        <v>134</v>
      </c>
      <c r="BC189" t="s">
        <v>134</v>
      </c>
      <c r="BD189" t="s">
        <v>134</v>
      </c>
      <c r="BE189" t="s">
        <v>134</v>
      </c>
      <c r="BF189">
        <v>5.0768000000000004</v>
      </c>
      <c r="BG189">
        <v>5.8922999999999996</v>
      </c>
      <c r="BH189">
        <v>-79.249300000000005</v>
      </c>
      <c r="BI189">
        <v>-6.3712999999999997</v>
      </c>
      <c r="BJ189">
        <v>10.7438</v>
      </c>
      <c r="BK189" t="s">
        <v>134</v>
      </c>
      <c r="BL189" t="s">
        <v>134</v>
      </c>
      <c r="BM189" t="s">
        <v>134</v>
      </c>
      <c r="BN189" t="s">
        <v>134</v>
      </c>
      <c r="BO189" t="s">
        <v>134</v>
      </c>
      <c r="BP189" t="s">
        <v>134</v>
      </c>
      <c r="BQ189" t="s">
        <v>134</v>
      </c>
      <c r="BR189" t="s">
        <v>134</v>
      </c>
      <c r="BS189" t="s">
        <v>134</v>
      </c>
      <c r="BT189" t="s">
        <v>134</v>
      </c>
      <c r="BU189" t="s">
        <v>134</v>
      </c>
      <c r="BV189" t="s">
        <v>134</v>
      </c>
      <c r="BW189" t="s">
        <v>134</v>
      </c>
      <c r="BX189" t="s">
        <v>134</v>
      </c>
      <c r="BY189" t="s">
        <v>134</v>
      </c>
      <c r="BZ189" t="s">
        <v>134</v>
      </c>
      <c r="CA189" t="s">
        <v>134</v>
      </c>
      <c r="CB189" t="s">
        <v>134</v>
      </c>
      <c r="CC189" t="s">
        <v>134</v>
      </c>
      <c r="CD189" t="s">
        <v>134</v>
      </c>
      <c r="CE189" t="s">
        <v>134</v>
      </c>
      <c r="CF189">
        <v>1.2644</v>
      </c>
      <c r="CG189" t="s">
        <v>134</v>
      </c>
      <c r="CH189" t="s">
        <v>134</v>
      </c>
      <c r="CI189" t="s">
        <v>134</v>
      </c>
      <c r="CJ189" t="s">
        <v>134</v>
      </c>
      <c r="CK189" t="s">
        <v>134</v>
      </c>
      <c r="CL189" t="s">
        <v>134</v>
      </c>
      <c r="CM189" t="s">
        <v>134</v>
      </c>
      <c r="CN189" t="s">
        <v>134</v>
      </c>
      <c r="CO189" t="s">
        <v>134</v>
      </c>
      <c r="CP189">
        <v>12448.416999999999</v>
      </c>
      <c r="CQ189" t="s">
        <v>134</v>
      </c>
      <c r="CR189">
        <v>2393.4989999999998</v>
      </c>
      <c r="CS189" t="s">
        <v>134</v>
      </c>
      <c r="CT189" t="s">
        <v>134</v>
      </c>
      <c r="CU189" t="s">
        <v>134</v>
      </c>
      <c r="CV189" t="s">
        <v>134</v>
      </c>
      <c r="CW189" t="s">
        <v>134</v>
      </c>
      <c r="CX189" t="s">
        <v>134</v>
      </c>
      <c r="CY189" t="s">
        <v>134</v>
      </c>
      <c r="CZ189" t="s">
        <v>134</v>
      </c>
      <c r="DA189" t="s">
        <v>134</v>
      </c>
      <c r="DB189" t="s">
        <v>134</v>
      </c>
      <c r="DC189" t="s">
        <v>134</v>
      </c>
      <c r="DD189" t="s">
        <v>134</v>
      </c>
      <c r="DE189" t="s">
        <v>134</v>
      </c>
      <c r="DF189" t="s">
        <v>134</v>
      </c>
      <c r="DG189" t="s">
        <v>134</v>
      </c>
      <c r="DH189" t="s">
        <v>134</v>
      </c>
      <c r="DI189" t="s">
        <v>134</v>
      </c>
    </row>
    <row r="190" spans="1:113" x14ac:dyDescent="0.3">
      <c r="E190" t="s">
        <v>5</v>
      </c>
      <c r="F190">
        <v>11.043799999999999</v>
      </c>
      <c r="G190">
        <v>1.5085</v>
      </c>
      <c r="H190">
        <v>1.5876000000000001</v>
      </c>
      <c r="I190">
        <v>3.1924000000000001</v>
      </c>
      <c r="J190">
        <v>72.012200000000007</v>
      </c>
      <c r="K190">
        <v>34.321300000000001</v>
      </c>
      <c r="L190">
        <v>31.668500000000002</v>
      </c>
      <c r="M190">
        <v>17.690200000000001</v>
      </c>
      <c r="N190">
        <v>27.070799999999998</v>
      </c>
      <c r="O190">
        <v>12.0116</v>
      </c>
      <c r="P190">
        <v>27.070799999999998</v>
      </c>
      <c r="Q190">
        <v>32.435099999999998</v>
      </c>
      <c r="R190" t="s">
        <v>134</v>
      </c>
      <c r="S190" t="s">
        <v>134</v>
      </c>
      <c r="T190">
        <v>15.567299999999999</v>
      </c>
      <c r="U190">
        <v>13.5168</v>
      </c>
      <c r="V190">
        <v>17.254999999999999</v>
      </c>
      <c r="W190">
        <v>18.596399999999999</v>
      </c>
      <c r="X190">
        <v>18.462599999999998</v>
      </c>
      <c r="Y190" t="s">
        <v>134</v>
      </c>
      <c r="Z190" t="s">
        <v>134</v>
      </c>
      <c r="AA190" t="s">
        <v>134</v>
      </c>
      <c r="AB190">
        <v>-0.61550000000000005</v>
      </c>
      <c r="AC190">
        <v>18.103999999999999</v>
      </c>
      <c r="AD190" t="s">
        <v>134</v>
      </c>
      <c r="AE190" t="s">
        <v>134</v>
      </c>
      <c r="AF190" t="s">
        <v>134</v>
      </c>
      <c r="AG190">
        <v>-2.5446999999999997</v>
      </c>
      <c r="AH190">
        <v>18.4161</v>
      </c>
      <c r="AI190">
        <v>13.697100000000001</v>
      </c>
      <c r="AJ190">
        <v>17.621400000000001</v>
      </c>
      <c r="AK190">
        <v>-11.888500000000001</v>
      </c>
      <c r="AL190" t="s">
        <v>134</v>
      </c>
      <c r="AM190" t="s">
        <v>134</v>
      </c>
      <c r="AN190" t="s">
        <v>134</v>
      </c>
      <c r="AO190" t="s">
        <v>134</v>
      </c>
      <c r="AP190" t="s">
        <v>134</v>
      </c>
      <c r="AQ190" t="s">
        <v>134</v>
      </c>
      <c r="AR190" t="s">
        <v>134</v>
      </c>
      <c r="AS190" t="s">
        <v>134</v>
      </c>
      <c r="AT190" t="s">
        <v>134</v>
      </c>
      <c r="AU190" t="s">
        <v>134</v>
      </c>
      <c r="AV190" t="s">
        <v>134</v>
      </c>
      <c r="AW190" t="s">
        <v>134</v>
      </c>
      <c r="AX190" t="s">
        <v>134</v>
      </c>
      <c r="AY190" t="s">
        <v>134</v>
      </c>
      <c r="AZ190" t="s">
        <v>134</v>
      </c>
      <c r="BA190" t="s">
        <v>134</v>
      </c>
      <c r="BB190" t="s">
        <v>134</v>
      </c>
      <c r="BC190" t="s">
        <v>134</v>
      </c>
      <c r="BD190" t="s">
        <v>134</v>
      </c>
      <c r="BE190" t="s">
        <v>134</v>
      </c>
      <c r="BF190">
        <v>4.4100999999999999</v>
      </c>
      <c r="BG190">
        <v>3.7443999999999997</v>
      </c>
      <c r="BH190">
        <v>14.104100000000001</v>
      </c>
      <c r="BI190">
        <v>11.924799999999999</v>
      </c>
      <c r="BJ190">
        <v>11.9011</v>
      </c>
      <c r="BK190" t="s">
        <v>134</v>
      </c>
      <c r="BL190" t="s">
        <v>134</v>
      </c>
      <c r="BM190" t="s">
        <v>134</v>
      </c>
      <c r="BN190" t="s">
        <v>134</v>
      </c>
      <c r="BO190" t="s">
        <v>134</v>
      </c>
      <c r="BP190" t="s">
        <v>134</v>
      </c>
      <c r="BQ190" t="s">
        <v>134</v>
      </c>
      <c r="BR190" t="s">
        <v>134</v>
      </c>
      <c r="BS190" t="s">
        <v>134</v>
      </c>
      <c r="BT190" t="s">
        <v>134</v>
      </c>
      <c r="BU190" t="s">
        <v>134</v>
      </c>
      <c r="BV190" t="s">
        <v>134</v>
      </c>
      <c r="BW190" t="s">
        <v>134</v>
      </c>
      <c r="BX190" t="s">
        <v>134</v>
      </c>
      <c r="BY190">
        <v>453219.67800000001</v>
      </c>
      <c r="BZ190">
        <v>124920.163</v>
      </c>
      <c r="CA190">
        <v>328299.51500000001</v>
      </c>
      <c r="CB190">
        <v>9.3347999999999995</v>
      </c>
      <c r="CC190">
        <v>9.2134</v>
      </c>
      <c r="CD190">
        <v>23.952400000000001</v>
      </c>
      <c r="CE190">
        <v>23.640999999999998</v>
      </c>
      <c r="CF190">
        <v>1.2945</v>
      </c>
      <c r="CG190">
        <v>11.8223</v>
      </c>
      <c r="CH190">
        <v>372.56810000000002</v>
      </c>
      <c r="CI190">
        <v>60.646000000000001</v>
      </c>
      <c r="CJ190">
        <v>57.515999999999998</v>
      </c>
      <c r="CK190">
        <v>514.33270000000005</v>
      </c>
      <c r="CL190">
        <v>83.722200000000001</v>
      </c>
      <c r="CM190">
        <v>79.401300000000006</v>
      </c>
      <c r="CN190">
        <v>507.6456</v>
      </c>
      <c r="CO190">
        <v>83.543000000000006</v>
      </c>
      <c r="CP190">
        <v>12914.53</v>
      </c>
      <c r="CQ190" t="s">
        <v>134</v>
      </c>
      <c r="CR190">
        <v>2731.08</v>
      </c>
      <c r="CS190" t="s">
        <v>134</v>
      </c>
      <c r="CT190" t="s">
        <v>134</v>
      </c>
      <c r="CU190" t="s">
        <v>134</v>
      </c>
      <c r="CV190" t="s">
        <v>134</v>
      </c>
      <c r="CW190" t="s">
        <v>134</v>
      </c>
      <c r="CX190" t="s">
        <v>134</v>
      </c>
      <c r="CY190" t="s">
        <v>134</v>
      </c>
      <c r="CZ190" t="s">
        <v>134</v>
      </c>
      <c r="DA190" t="s">
        <v>134</v>
      </c>
      <c r="DB190" t="s">
        <v>134</v>
      </c>
      <c r="DC190" t="s">
        <v>134</v>
      </c>
      <c r="DD190" t="s">
        <v>134</v>
      </c>
      <c r="DE190" t="s">
        <v>134</v>
      </c>
      <c r="DF190" t="s">
        <v>134</v>
      </c>
      <c r="DG190" t="s">
        <v>134</v>
      </c>
      <c r="DH190" t="s">
        <v>134</v>
      </c>
      <c r="DI190" t="s">
        <v>134</v>
      </c>
    </row>
    <row r="191" spans="1:113" x14ac:dyDescent="0.3">
      <c r="E191" t="s">
        <v>6</v>
      </c>
      <c r="F191" t="s">
        <v>134</v>
      </c>
      <c r="G191" t="s">
        <v>134</v>
      </c>
      <c r="H191" t="s">
        <v>134</v>
      </c>
      <c r="I191" t="s">
        <v>134</v>
      </c>
      <c r="J191">
        <v>72.337100000000007</v>
      </c>
      <c r="K191">
        <v>34.985999999999997</v>
      </c>
      <c r="L191">
        <v>43.248699999999999</v>
      </c>
      <c r="M191">
        <v>17.909199999999998</v>
      </c>
      <c r="N191">
        <v>26.325500000000002</v>
      </c>
      <c r="O191">
        <v>11.6477</v>
      </c>
      <c r="P191">
        <v>26.325500000000002</v>
      </c>
      <c r="Q191">
        <v>35.183700000000002</v>
      </c>
      <c r="R191" t="s">
        <v>134</v>
      </c>
      <c r="S191" t="s">
        <v>134</v>
      </c>
      <c r="T191">
        <v>15.7645</v>
      </c>
      <c r="U191">
        <v>15.14</v>
      </c>
      <c r="V191">
        <v>24.503900000000002</v>
      </c>
      <c r="W191">
        <v>16.715900000000001</v>
      </c>
      <c r="X191">
        <v>14.4696</v>
      </c>
      <c r="Y191" t="s">
        <v>134</v>
      </c>
      <c r="Z191" t="s">
        <v>134</v>
      </c>
      <c r="AA191" t="s">
        <v>134</v>
      </c>
      <c r="AB191" t="s">
        <v>134</v>
      </c>
      <c r="AC191" t="s">
        <v>134</v>
      </c>
      <c r="AD191" t="s">
        <v>134</v>
      </c>
      <c r="AE191" t="s">
        <v>134</v>
      </c>
      <c r="AF191" t="s">
        <v>134</v>
      </c>
      <c r="AG191" t="s">
        <v>134</v>
      </c>
      <c r="AH191" t="s">
        <v>134</v>
      </c>
      <c r="AI191" t="s">
        <v>134</v>
      </c>
      <c r="AJ191" t="s">
        <v>134</v>
      </c>
      <c r="AK191" t="s">
        <v>134</v>
      </c>
      <c r="AL191" t="s">
        <v>134</v>
      </c>
      <c r="AM191" t="s">
        <v>134</v>
      </c>
      <c r="AN191" t="s">
        <v>134</v>
      </c>
      <c r="AO191" t="s">
        <v>134</v>
      </c>
      <c r="AP191" t="s">
        <v>134</v>
      </c>
      <c r="AQ191" t="s">
        <v>134</v>
      </c>
      <c r="AR191" t="s">
        <v>134</v>
      </c>
      <c r="AS191" t="s">
        <v>134</v>
      </c>
      <c r="AT191" t="s">
        <v>134</v>
      </c>
      <c r="AU191" t="s">
        <v>134</v>
      </c>
      <c r="AV191" t="s">
        <v>134</v>
      </c>
      <c r="AW191" t="s">
        <v>134</v>
      </c>
      <c r="AX191" t="s">
        <v>134</v>
      </c>
      <c r="AY191" t="s">
        <v>134</v>
      </c>
      <c r="AZ191" t="s">
        <v>134</v>
      </c>
      <c r="BA191" t="s">
        <v>134</v>
      </c>
      <c r="BB191" t="s">
        <v>134</v>
      </c>
      <c r="BC191" t="s">
        <v>134</v>
      </c>
      <c r="BD191" t="s">
        <v>134</v>
      </c>
      <c r="BE191" t="s">
        <v>134</v>
      </c>
      <c r="BF191">
        <v>1.4735</v>
      </c>
      <c r="BG191">
        <v>1.9313</v>
      </c>
      <c r="BH191">
        <v>3.1448999999999998</v>
      </c>
      <c r="BI191">
        <v>-1.6006</v>
      </c>
      <c r="BJ191">
        <v>-3.4041999999999999</v>
      </c>
      <c r="BK191" t="s">
        <v>134</v>
      </c>
      <c r="BL191" t="s">
        <v>134</v>
      </c>
      <c r="BM191" t="s">
        <v>134</v>
      </c>
      <c r="BN191" t="s">
        <v>134</v>
      </c>
      <c r="BO191" t="s">
        <v>134</v>
      </c>
      <c r="BP191" t="s">
        <v>134</v>
      </c>
      <c r="BQ191" t="s">
        <v>134</v>
      </c>
      <c r="BR191" t="s">
        <v>134</v>
      </c>
      <c r="BS191" t="s">
        <v>134</v>
      </c>
      <c r="BT191" t="s">
        <v>134</v>
      </c>
      <c r="BU191" t="s">
        <v>134</v>
      </c>
      <c r="BV191" t="s">
        <v>134</v>
      </c>
      <c r="BW191" t="s">
        <v>134</v>
      </c>
      <c r="BX191" t="s">
        <v>134</v>
      </c>
      <c r="BY191" t="s">
        <v>134</v>
      </c>
      <c r="BZ191" t="s">
        <v>134</v>
      </c>
      <c r="CA191" t="s">
        <v>134</v>
      </c>
      <c r="CB191" t="s">
        <v>134</v>
      </c>
      <c r="CC191" t="s">
        <v>134</v>
      </c>
      <c r="CD191" t="s">
        <v>134</v>
      </c>
      <c r="CE191" t="s">
        <v>134</v>
      </c>
      <c r="CF191">
        <v>1.2974000000000001</v>
      </c>
      <c r="CG191" t="s">
        <v>134</v>
      </c>
      <c r="CH191" t="s">
        <v>134</v>
      </c>
      <c r="CI191" t="s">
        <v>134</v>
      </c>
      <c r="CJ191" t="s">
        <v>134</v>
      </c>
      <c r="CK191" t="s">
        <v>134</v>
      </c>
      <c r="CL191" t="s">
        <v>134</v>
      </c>
      <c r="CM191" t="s">
        <v>134</v>
      </c>
      <c r="CN191" t="s">
        <v>134</v>
      </c>
      <c r="CO191" t="s">
        <v>134</v>
      </c>
      <c r="CP191">
        <v>13163.95</v>
      </c>
      <c r="CQ191" t="s">
        <v>134</v>
      </c>
      <c r="CR191">
        <v>2816.97</v>
      </c>
      <c r="CS191" t="s">
        <v>134</v>
      </c>
      <c r="CT191" t="s">
        <v>134</v>
      </c>
      <c r="CU191" t="s">
        <v>134</v>
      </c>
      <c r="CV191" t="s">
        <v>134</v>
      </c>
      <c r="CW191" t="s">
        <v>134</v>
      </c>
      <c r="CX191" t="s">
        <v>134</v>
      </c>
      <c r="CY191" t="s">
        <v>134</v>
      </c>
      <c r="CZ191" t="s">
        <v>134</v>
      </c>
      <c r="DA191" t="s">
        <v>134</v>
      </c>
      <c r="DB191" t="s">
        <v>134</v>
      </c>
      <c r="DC191" t="s">
        <v>134</v>
      </c>
      <c r="DD191" t="s">
        <v>134</v>
      </c>
      <c r="DE191" t="s">
        <v>134</v>
      </c>
      <c r="DF191" t="s">
        <v>134</v>
      </c>
      <c r="DG191" t="s">
        <v>134</v>
      </c>
      <c r="DH191" t="s">
        <v>134</v>
      </c>
      <c r="DI191" t="s">
        <v>134</v>
      </c>
    </row>
    <row r="192" spans="1:113" x14ac:dyDescent="0.3">
      <c r="E192" t="s">
        <v>7</v>
      </c>
      <c r="F192">
        <v>12.6248</v>
      </c>
      <c r="G192">
        <v>1.4702</v>
      </c>
      <c r="H192">
        <v>1.5568</v>
      </c>
      <c r="I192">
        <v>1.6754</v>
      </c>
      <c r="J192">
        <v>73.029899999999998</v>
      </c>
      <c r="K192">
        <v>33.889200000000002</v>
      </c>
      <c r="L192">
        <v>-108.4491</v>
      </c>
      <c r="M192">
        <v>17.0716</v>
      </c>
      <c r="N192">
        <v>28.515499999999999</v>
      </c>
      <c r="O192">
        <v>12.0968</v>
      </c>
      <c r="P192">
        <v>28.515499999999999</v>
      </c>
      <c r="Q192">
        <v>29.401199999999999</v>
      </c>
      <c r="R192" t="s">
        <v>134</v>
      </c>
      <c r="S192" t="s">
        <v>134</v>
      </c>
      <c r="T192">
        <v>19.779399999999999</v>
      </c>
      <c r="U192">
        <v>21.634399999999999</v>
      </c>
      <c r="V192">
        <v>-75.596199999999996</v>
      </c>
      <c r="W192">
        <v>15.2235</v>
      </c>
      <c r="X192">
        <v>-33.127800000000001</v>
      </c>
      <c r="Y192" t="s">
        <v>134</v>
      </c>
      <c r="Z192" t="s">
        <v>134</v>
      </c>
      <c r="AA192" t="s">
        <v>134</v>
      </c>
      <c r="AB192">
        <v>-2.4338000000000002</v>
      </c>
      <c r="AC192">
        <v>20.9678</v>
      </c>
      <c r="AD192" t="s">
        <v>134</v>
      </c>
      <c r="AE192" t="s">
        <v>134</v>
      </c>
      <c r="AF192" t="s">
        <v>134</v>
      </c>
      <c r="AG192">
        <v>-47.236600000000003</v>
      </c>
      <c r="AH192">
        <v>22.629799999999999</v>
      </c>
      <c r="AI192">
        <v>8.5289000000000001</v>
      </c>
      <c r="AJ192">
        <v>20.415600000000001</v>
      </c>
      <c r="AK192">
        <v>10.7081</v>
      </c>
      <c r="AL192" t="s">
        <v>134</v>
      </c>
      <c r="AM192" t="s">
        <v>134</v>
      </c>
      <c r="AN192" t="s">
        <v>134</v>
      </c>
      <c r="AO192" t="s">
        <v>134</v>
      </c>
      <c r="AP192" t="s">
        <v>134</v>
      </c>
      <c r="AQ192" t="s">
        <v>134</v>
      </c>
      <c r="AR192" t="s">
        <v>134</v>
      </c>
      <c r="AS192" t="s">
        <v>134</v>
      </c>
      <c r="AT192" t="s">
        <v>134</v>
      </c>
      <c r="AU192" t="s">
        <v>134</v>
      </c>
      <c r="AV192" t="s">
        <v>134</v>
      </c>
      <c r="AW192" t="s">
        <v>134</v>
      </c>
      <c r="AX192" t="s">
        <v>134</v>
      </c>
      <c r="AY192" t="s">
        <v>134</v>
      </c>
      <c r="AZ192" t="s">
        <v>134</v>
      </c>
      <c r="BA192" t="s">
        <v>134</v>
      </c>
      <c r="BB192" t="s">
        <v>134</v>
      </c>
      <c r="BC192" t="s">
        <v>134</v>
      </c>
      <c r="BD192" t="s">
        <v>134</v>
      </c>
      <c r="BE192" t="s">
        <v>134</v>
      </c>
      <c r="BF192">
        <v>7.5921000000000003</v>
      </c>
      <c r="BG192">
        <v>8.6226000000000003</v>
      </c>
      <c r="BH192">
        <v>-7.46E-2</v>
      </c>
      <c r="BI192">
        <v>11.741199999999999</v>
      </c>
      <c r="BJ192">
        <v>-44.135800000000003</v>
      </c>
      <c r="BK192" t="s">
        <v>134</v>
      </c>
      <c r="BL192" t="s">
        <v>134</v>
      </c>
      <c r="BM192" t="s">
        <v>134</v>
      </c>
      <c r="BN192" t="s">
        <v>134</v>
      </c>
      <c r="BO192" t="s">
        <v>134</v>
      </c>
      <c r="BP192" t="s">
        <v>134</v>
      </c>
      <c r="BQ192" t="s">
        <v>134</v>
      </c>
      <c r="BR192" t="s">
        <v>134</v>
      </c>
      <c r="BS192" t="s">
        <v>134</v>
      </c>
      <c r="BT192" t="s">
        <v>134</v>
      </c>
      <c r="BU192" t="s">
        <v>134</v>
      </c>
      <c r="BV192" t="s">
        <v>134</v>
      </c>
      <c r="BW192" t="s">
        <v>134</v>
      </c>
      <c r="BX192" t="s">
        <v>134</v>
      </c>
      <c r="BY192">
        <v>516156.58</v>
      </c>
      <c r="BZ192">
        <v>66955.289999999994</v>
      </c>
      <c r="CA192">
        <v>449201.29</v>
      </c>
      <c r="CB192">
        <v>9.7708999999999993</v>
      </c>
      <c r="CC192">
        <v>9.6949000000000005</v>
      </c>
      <c r="CD192">
        <v>47.985900000000001</v>
      </c>
      <c r="CE192">
        <v>47.6126</v>
      </c>
      <c r="CF192">
        <v>1.2684</v>
      </c>
      <c r="CG192">
        <v>11.2775</v>
      </c>
      <c r="CH192">
        <v>527.92229999999995</v>
      </c>
      <c r="CI192">
        <v>74.711799999999997</v>
      </c>
      <c r="CJ192">
        <v>70.406599999999997</v>
      </c>
      <c r="CK192">
        <v>606.61130000000003</v>
      </c>
      <c r="CL192">
        <v>85.847899999999996</v>
      </c>
      <c r="CM192">
        <v>80.900900000000007</v>
      </c>
      <c r="CN192">
        <v>601.89229999999998</v>
      </c>
      <c r="CO192">
        <v>85.752799999999993</v>
      </c>
      <c r="CP192">
        <v>14299.022000000001</v>
      </c>
      <c r="CQ192" t="s">
        <v>134</v>
      </c>
      <c r="CR192">
        <v>2814.8679999999999</v>
      </c>
      <c r="CS192" t="s">
        <v>134</v>
      </c>
      <c r="CT192" t="s">
        <v>134</v>
      </c>
      <c r="CU192" t="s">
        <v>134</v>
      </c>
      <c r="CV192" t="s">
        <v>134</v>
      </c>
      <c r="CW192" t="s">
        <v>134</v>
      </c>
      <c r="CX192" t="s">
        <v>134</v>
      </c>
      <c r="CY192" t="s">
        <v>134</v>
      </c>
      <c r="CZ192" t="s">
        <v>134</v>
      </c>
      <c r="DA192" t="s">
        <v>134</v>
      </c>
      <c r="DB192" t="s">
        <v>134</v>
      </c>
      <c r="DC192" t="s">
        <v>134</v>
      </c>
      <c r="DD192" t="s">
        <v>134</v>
      </c>
      <c r="DE192" t="s">
        <v>134</v>
      </c>
      <c r="DF192" t="s">
        <v>134</v>
      </c>
      <c r="DG192" t="s">
        <v>134</v>
      </c>
      <c r="DH192" t="s">
        <v>134</v>
      </c>
      <c r="DI192" t="s">
        <v>134</v>
      </c>
    </row>
    <row r="193" spans="1:113" x14ac:dyDescent="0.3">
      <c r="D193" t="s">
        <v>10</v>
      </c>
      <c r="E193" t="s">
        <v>3</v>
      </c>
      <c r="F193">
        <v>12.1196</v>
      </c>
      <c r="G193">
        <v>1.5291000000000001</v>
      </c>
      <c r="H193">
        <v>1.6231</v>
      </c>
      <c r="I193">
        <v>3.8974000000000002</v>
      </c>
      <c r="J193">
        <v>67.347499999999997</v>
      </c>
      <c r="K193">
        <v>27.9405</v>
      </c>
      <c r="L193" t="s">
        <v>134</v>
      </c>
      <c r="M193">
        <v>12.585900000000001</v>
      </c>
      <c r="N193">
        <v>26.351600000000001</v>
      </c>
      <c r="O193">
        <v>12.1576</v>
      </c>
      <c r="P193">
        <v>22.986799999999999</v>
      </c>
      <c r="Q193">
        <v>3.3772000000000002</v>
      </c>
      <c r="R193">
        <v>15.3612</v>
      </c>
      <c r="S193">
        <v>10.257899999999999</v>
      </c>
      <c r="T193">
        <v>11.2033</v>
      </c>
      <c r="U193">
        <v>5.7443</v>
      </c>
      <c r="V193">
        <v>-12.8414</v>
      </c>
      <c r="W193">
        <v>39.479500000000002</v>
      </c>
      <c r="X193">
        <v>35.620100000000001</v>
      </c>
      <c r="Y193">
        <v>0</v>
      </c>
      <c r="Z193" t="s">
        <v>134</v>
      </c>
      <c r="AA193" t="s">
        <v>134</v>
      </c>
      <c r="AB193">
        <v>-11.8154</v>
      </c>
      <c r="AC193">
        <v>13.655799999999999</v>
      </c>
      <c r="AD193" t="s">
        <v>134</v>
      </c>
      <c r="AE193" t="s">
        <v>134</v>
      </c>
      <c r="AF193" t="s">
        <v>134</v>
      </c>
      <c r="AG193">
        <v>75.700800000000001</v>
      </c>
      <c r="AH193">
        <v>15.877700000000001</v>
      </c>
      <c r="AI193">
        <v>8.4270999999999994</v>
      </c>
      <c r="AJ193">
        <v>14.8233</v>
      </c>
      <c r="AK193">
        <v>9.5667000000000009</v>
      </c>
      <c r="AL193">
        <v>37.410699999999999</v>
      </c>
      <c r="AM193">
        <v>23.437000000000001</v>
      </c>
      <c r="AN193">
        <v>21.724699999999999</v>
      </c>
      <c r="AO193">
        <v>10.1875</v>
      </c>
      <c r="AP193">
        <v>14.9902</v>
      </c>
      <c r="AQ193">
        <v>12.837</v>
      </c>
      <c r="AR193" t="s">
        <v>134</v>
      </c>
      <c r="AS193">
        <v>55.849200000000003</v>
      </c>
      <c r="AT193" t="s">
        <v>134</v>
      </c>
      <c r="AU193" t="s">
        <v>134</v>
      </c>
      <c r="AV193">
        <v>21.906700000000001</v>
      </c>
      <c r="AW193" t="s">
        <v>134</v>
      </c>
      <c r="AX193" t="s">
        <v>134</v>
      </c>
      <c r="AY193" t="s">
        <v>134</v>
      </c>
      <c r="AZ193">
        <v>41.876199999999997</v>
      </c>
      <c r="BA193">
        <v>27.4803</v>
      </c>
      <c r="BB193">
        <v>14.186</v>
      </c>
      <c r="BC193">
        <v>25.115500000000001</v>
      </c>
      <c r="BD193">
        <v>10.158899999999999</v>
      </c>
      <c r="BE193" t="s">
        <v>134</v>
      </c>
      <c r="BF193">
        <v>11.2033</v>
      </c>
      <c r="BG193">
        <v>5.7443</v>
      </c>
      <c r="BH193">
        <v>-12.8414</v>
      </c>
      <c r="BI193">
        <v>39.479500000000002</v>
      </c>
      <c r="BJ193">
        <v>35.620100000000001</v>
      </c>
      <c r="BK193">
        <v>0</v>
      </c>
      <c r="BL193">
        <v>195.4127</v>
      </c>
      <c r="BM193" t="s">
        <v>134</v>
      </c>
      <c r="BN193">
        <v>-11.8154</v>
      </c>
      <c r="BO193">
        <v>13.655799999999999</v>
      </c>
      <c r="BP193" t="s">
        <v>134</v>
      </c>
      <c r="BQ193" t="s">
        <v>134</v>
      </c>
      <c r="BR193" t="s">
        <v>134</v>
      </c>
      <c r="BS193">
        <v>75.700800000000001</v>
      </c>
      <c r="BT193">
        <v>15.877700000000001</v>
      </c>
      <c r="BU193">
        <v>8.4270999999999994</v>
      </c>
      <c r="BV193">
        <v>14.8233</v>
      </c>
      <c r="BW193">
        <v>9.5667000000000009</v>
      </c>
      <c r="BX193" t="s">
        <v>134</v>
      </c>
      <c r="BY193">
        <v>598110.54799999995</v>
      </c>
      <c r="BZ193">
        <v>117640.993</v>
      </c>
      <c r="CA193">
        <v>480469.55499999999</v>
      </c>
      <c r="CB193">
        <v>10.360099999999999</v>
      </c>
      <c r="CC193">
        <v>10.257099999999999</v>
      </c>
      <c r="CD193">
        <v>53.815399999999997</v>
      </c>
      <c r="CE193">
        <v>53.2806</v>
      </c>
      <c r="CF193">
        <v>1.2565</v>
      </c>
      <c r="CG193">
        <v>10.886100000000001</v>
      </c>
      <c r="CH193">
        <v>520.78319999999997</v>
      </c>
      <c r="CI193">
        <v>69.596000000000004</v>
      </c>
      <c r="CJ193">
        <v>66.259200000000007</v>
      </c>
      <c r="CK193">
        <v>648.29480000000001</v>
      </c>
      <c r="CL193">
        <v>86.636300000000006</v>
      </c>
      <c r="CM193">
        <v>82.482500000000002</v>
      </c>
      <c r="CN193">
        <v>641.85220000000004</v>
      </c>
      <c r="CO193">
        <v>86.520200000000003</v>
      </c>
      <c r="CP193">
        <v>57732.338000000003</v>
      </c>
      <c r="CQ193">
        <v>57399.487999999998</v>
      </c>
      <c r="CR193">
        <v>11114.119000000001</v>
      </c>
      <c r="CS193" t="s">
        <v>134</v>
      </c>
      <c r="CT193" t="s">
        <v>134</v>
      </c>
      <c r="CU193" t="s">
        <v>134</v>
      </c>
      <c r="CV193" t="s">
        <v>134</v>
      </c>
      <c r="CW193" t="s">
        <v>134</v>
      </c>
      <c r="CX193" t="s">
        <v>134</v>
      </c>
      <c r="CY193" t="s">
        <v>134</v>
      </c>
      <c r="CZ193" t="s">
        <v>134</v>
      </c>
      <c r="DA193" t="s">
        <v>134</v>
      </c>
      <c r="DB193" t="s">
        <v>134</v>
      </c>
      <c r="DC193" t="s">
        <v>134</v>
      </c>
      <c r="DD193" t="s">
        <v>134</v>
      </c>
      <c r="DE193" t="s">
        <v>134</v>
      </c>
      <c r="DF193" t="s">
        <v>134</v>
      </c>
      <c r="DG193" t="s">
        <v>134</v>
      </c>
      <c r="DH193" t="s">
        <v>134</v>
      </c>
      <c r="DI193" t="s">
        <v>134</v>
      </c>
    </row>
    <row r="194" spans="1:113" x14ac:dyDescent="0.3">
      <c r="E194" t="s">
        <v>4</v>
      </c>
      <c r="F194" t="s">
        <v>134</v>
      </c>
      <c r="G194" t="s">
        <v>134</v>
      </c>
      <c r="H194" t="s">
        <v>134</v>
      </c>
      <c r="I194" t="s">
        <v>134</v>
      </c>
      <c r="J194">
        <v>72.122100000000003</v>
      </c>
      <c r="K194">
        <v>31.5946</v>
      </c>
      <c r="L194">
        <v>24.427399999999999</v>
      </c>
      <c r="M194">
        <v>15.0214</v>
      </c>
      <c r="N194">
        <v>24.665800000000001</v>
      </c>
      <c r="O194">
        <v>10.388199999999999</v>
      </c>
      <c r="P194">
        <v>24.665800000000001</v>
      </c>
      <c r="Q194">
        <v>30.843599999999999</v>
      </c>
      <c r="R194" t="s">
        <v>134</v>
      </c>
      <c r="S194" t="s">
        <v>134</v>
      </c>
      <c r="T194">
        <v>16.234999999999999</v>
      </c>
      <c r="U194">
        <v>15.6701</v>
      </c>
      <c r="V194">
        <v>10.9923</v>
      </c>
      <c r="W194">
        <v>7.7614000000000001</v>
      </c>
      <c r="X194">
        <v>-10.595499999999999</v>
      </c>
      <c r="Y194" t="s">
        <v>134</v>
      </c>
      <c r="Z194" t="s">
        <v>134</v>
      </c>
      <c r="AA194" t="s">
        <v>134</v>
      </c>
      <c r="AB194" t="s">
        <v>134</v>
      </c>
      <c r="AC194" t="s">
        <v>134</v>
      </c>
      <c r="AD194" t="s">
        <v>134</v>
      </c>
      <c r="AE194" t="s">
        <v>134</v>
      </c>
      <c r="AF194" t="s">
        <v>134</v>
      </c>
      <c r="AG194" t="s">
        <v>134</v>
      </c>
      <c r="AH194" t="s">
        <v>134</v>
      </c>
      <c r="AI194" t="s">
        <v>134</v>
      </c>
      <c r="AJ194" t="s">
        <v>134</v>
      </c>
      <c r="AK194" t="s">
        <v>134</v>
      </c>
      <c r="AL194" t="s">
        <v>134</v>
      </c>
      <c r="AM194">
        <v>25.965</v>
      </c>
      <c r="AN194">
        <v>22.3703</v>
      </c>
      <c r="AO194">
        <v>13.926299999999999</v>
      </c>
      <c r="AP194">
        <v>16.588999999999999</v>
      </c>
      <c r="AQ194">
        <v>8.0184999999999995</v>
      </c>
      <c r="AR194" t="s">
        <v>134</v>
      </c>
      <c r="AS194" t="s">
        <v>134</v>
      </c>
      <c r="AT194" t="s">
        <v>134</v>
      </c>
      <c r="AU194" t="s">
        <v>134</v>
      </c>
      <c r="AV194" t="s">
        <v>134</v>
      </c>
      <c r="AW194" t="s">
        <v>134</v>
      </c>
      <c r="AX194" t="s">
        <v>134</v>
      </c>
      <c r="AY194" t="s">
        <v>134</v>
      </c>
      <c r="AZ194" t="s">
        <v>134</v>
      </c>
      <c r="BA194" t="s">
        <v>134</v>
      </c>
      <c r="BB194" t="s">
        <v>134</v>
      </c>
      <c r="BC194" t="s">
        <v>134</v>
      </c>
      <c r="BD194" t="s">
        <v>134</v>
      </c>
      <c r="BE194" t="s">
        <v>134</v>
      </c>
      <c r="BF194">
        <v>1.9675</v>
      </c>
      <c r="BG194">
        <v>0.69989999999999997</v>
      </c>
      <c r="BH194">
        <v>-5.6226000000000003</v>
      </c>
      <c r="BI194">
        <v>-12.434900000000001</v>
      </c>
      <c r="BJ194">
        <v>-25.970800000000001</v>
      </c>
      <c r="BK194" t="s">
        <v>134</v>
      </c>
      <c r="BL194" t="s">
        <v>134</v>
      </c>
      <c r="BM194" t="s">
        <v>134</v>
      </c>
      <c r="BN194" t="s">
        <v>134</v>
      </c>
      <c r="BO194" t="s">
        <v>134</v>
      </c>
      <c r="BP194" t="s">
        <v>134</v>
      </c>
      <c r="BQ194" t="s">
        <v>134</v>
      </c>
      <c r="BR194" t="s">
        <v>134</v>
      </c>
      <c r="BS194" t="s">
        <v>134</v>
      </c>
      <c r="BT194" t="s">
        <v>134</v>
      </c>
      <c r="BU194" t="s">
        <v>134</v>
      </c>
      <c r="BV194" t="s">
        <v>134</v>
      </c>
      <c r="BW194" t="s">
        <v>134</v>
      </c>
      <c r="BX194" t="s">
        <v>134</v>
      </c>
      <c r="BY194" t="s">
        <v>134</v>
      </c>
      <c r="BZ194" t="s">
        <v>134</v>
      </c>
      <c r="CA194" t="s">
        <v>134</v>
      </c>
      <c r="CB194" t="s">
        <v>134</v>
      </c>
      <c r="CC194" t="s">
        <v>134</v>
      </c>
      <c r="CD194" t="s">
        <v>134</v>
      </c>
      <c r="CE194" t="s">
        <v>134</v>
      </c>
      <c r="CF194">
        <v>1.246</v>
      </c>
      <c r="CG194" t="s">
        <v>134</v>
      </c>
      <c r="CH194" t="s">
        <v>134</v>
      </c>
      <c r="CI194" t="s">
        <v>134</v>
      </c>
      <c r="CJ194" t="s">
        <v>134</v>
      </c>
      <c r="CK194" t="s">
        <v>134</v>
      </c>
      <c r="CL194" t="s">
        <v>134</v>
      </c>
      <c r="CM194" t="s">
        <v>134</v>
      </c>
      <c r="CN194" t="s">
        <v>134</v>
      </c>
      <c r="CO194" t="s">
        <v>134</v>
      </c>
      <c r="CP194">
        <v>14399.1</v>
      </c>
      <c r="CQ194" t="s">
        <v>134</v>
      </c>
      <c r="CR194">
        <v>2656.6</v>
      </c>
      <c r="CS194" t="s">
        <v>134</v>
      </c>
      <c r="CT194" t="s">
        <v>134</v>
      </c>
      <c r="CU194" t="s">
        <v>134</v>
      </c>
      <c r="CV194" t="s">
        <v>134</v>
      </c>
      <c r="CW194" t="s">
        <v>134</v>
      </c>
      <c r="CX194" t="s">
        <v>134</v>
      </c>
      <c r="CY194" t="s">
        <v>134</v>
      </c>
      <c r="CZ194" t="s">
        <v>134</v>
      </c>
      <c r="DA194" t="s">
        <v>134</v>
      </c>
      <c r="DB194" t="s">
        <v>134</v>
      </c>
      <c r="DC194" t="s">
        <v>134</v>
      </c>
      <c r="DD194" t="s">
        <v>134</v>
      </c>
      <c r="DE194" t="s">
        <v>134</v>
      </c>
      <c r="DF194" t="s">
        <v>134</v>
      </c>
      <c r="DG194" t="s">
        <v>134</v>
      </c>
      <c r="DH194" t="s">
        <v>134</v>
      </c>
      <c r="DI194" t="s">
        <v>134</v>
      </c>
    </row>
    <row r="195" spans="1:113" x14ac:dyDescent="0.3">
      <c r="E195" t="s">
        <v>5</v>
      </c>
      <c r="F195">
        <v>12.5647</v>
      </c>
      <c r="G195">
        <v>1.4687999999999999</v>
      </c>
      <c r="H195">
        <v>1.6395999999999999</v>
      </c>
      <c r="I195">
        <v>1.4156</v>
      </c>
      <c r="J195">
        <v>69.586799999999997</v>
      </c>
      <c r="K195">
        <v>30.1206</v>
      </c>
      <c r="L195">
        <v>5.9984000000000002</v>
      </c>
      <c r="M195">
        <v>16.0686</v>
      </c>
      <c r="N195">
        <v>26.5501</v>
      </c>
      <c r="O195">
        <v>11.8828</v>
      </c>
      <c r="P195">
        <v>26.5501</v>
      </c>
      <c r="Q195">
        <v>26.4816</v>
      </c>
      <c r="R195" t="s">
        <v>134</v>
      </c>
      <c r="S195" t="s">
        <v>134</v>
      </c>
      <c r="T195">
        <v>16.402999999999999</v>
      </c>
      <c r="U195">
        <v>12.4826</v>
      </c>
      <c r="V195">
        <v>3.0434999999999999</v>
      </c>
      <c r="W195">
        <v>15.1555</v>
      </c>
      <c r="X195">
        <v>12.9854</v>
      </c>
      <c r="Y195" t="s">
        <v>134</v>
      </c>
      <c r="Z195" t="s">
        <v>134</v>
      </c>
      <c r="AA195" t="s">
        <v>134</v>
      </c>
      <c r="AB195">
        <v>-9.3508999999999993</v>
      </c>
      <c r="AC195">
        <v>15.725099999999999</v>
      </c>
      <c r="AD195" t="s">
        <v>134</v>
      </c>
      <c r="AE195" t="s">
        <v>134</v>
      </c>
      <c r="AF195" t="s">
        <v>134</v>
      </c>
      <c r="AG195">
        <v>-35.089100000000002</v>
      </c>
      <c r="AH195">
        <v>4.1566000000000001</v>
      </c>
      <c r="AI195">
        <v>1.7334000000000001</v>
      </c>
      <c r="AJ195">
        <v>3.7621000000000002</v>
      </c>
      <c r="AK195">
        <v>11.1685</v>
      </c>
      <c r="AL195" t="s">
        <v>134</v>
      </c>
      <c r="AM195">
        <v>23.299700000000001</v>
      </c>
      <c r="AN195">
        <v>19.096499999999999</v>
      </c>
      <c r="AO195">
        <v>9.3704000000000001</v>
      </c>
      <c r="AP195">
        <v>14.831</v>
      </c>
      <c r="AQ195">
        <v>12.927899999999999</v>
      </c>
      <c r="AR195" t="s">
        <v>134</v>
      </c>
      <c r="AS195">
        <v>55.004800000000003</v>
      </c>
      <c r="AT195" t="s">
        <v>134</v>
      </c>
      <c r="AU195">
        <v>5.1471999999999998</v>
      </c>
      <c r="AV195">
        <v>23.483599999999999</v>
      </c>
      <c r="AW195" t="s">
        <v>134</v>
      </c>
      <c r="AX195" t="s">
        <v>134</v>
      </c>
      <c r="AY195" t="s">
        <v>134</v>
      </c>
      <c r="AZ195" t="s">
        <v>134</v>
      </c>
      <c r="BA195">
        <v>21.8307</v>
      </c>
      <c r="BB195">
        <v>14.424099999999999</v>
      </c>
      <c r="BC195">
        <v>20.4467</v>
      </c>
      <c r="BD195">
        <v>10.3378</v>
      </c>
      <c r="BE195" t="s">
        <v>134</v>
      </c>
      <c r="BF195">
        <v>4.5609999999999999</v>
      </c>
      <c r="BG195">
        <v>0.88549999999999995</v>
      </c>
      <c r="BH195">
        <v>5.9324000000000003</v>
      </c>
      <c r="BI195">
        <v>19.604600000000001</v>
      </c>
      <c r="BJ195">
        <v>41.415599999999998</v>
      </c>
      <c r="BK195" t="s">
        <v>134</v>
      </c>
      <c r="BL195" t="s">
        <v>134</v>
      </c>
      <c r="BM195" t="s">
        <v>134</v>
      </c>
      <c r="BN195" t="s">
        <v>134</v>
      </c>
      <c r="BO195" t="s">
        <v>134</v>
      </c>
      <c r="BP195" t="s">
        <v>134</v>
      </c>
      <c r="BQ195" t="s">
        <v>134</v>
      </c>
      <c r="BR195" t="s">
        <v>134</v>
      </c>
      <c r="BS195" t="s">
        <v>134</v>
      </c>
      <c r="BT195" t="s">
        <v>134</v>
      </c>
      <c r="BU195" t="s">
        <v>134</v>
      </c>
      <c r="BV195" t="s">
        <v>134</v>
      </c>
      <c r="BW195" t="s">
        <v>134</v>
      </c>
      <c r="BX195" t="s">
        <v>134</v>
      </c>
      <c r="BY195">
        <v>472058.2</v>
      </c>
      <c r="BZ195">
        <v>81086.8</v>
      </c>
      <c r="CA195">
        <v>390971.4</v>
      </c>
      <c r="CB195">
        <v>8.3714999999999993</v>
      </c>
      <c r="CC195">
        <v>8.2417999999999996</v>
      </c>
      <c r="CD195">
        <v>42.517699999999998</v>
      </c>
      <c r="CE195">
        <v>41.859000000000002</v>
      </c>
      <c r="CF195">
        <v>1.2596000000000001</v>
      </c>
      <c r="CG195">
        <v>11.5749</v>
      </c>
      <c r="CH195">
        <v>436.13099999999997</v>
      </c>
      <c r="CI195">
        <v>69.604600000000005</v>
      </c>
      <c r="CJ195">
        <v>59.188299999999998</v>
      </c>
      <c r="CK195">
        <v>526.58389999999997</v>
      </c>
      <c r="CL195">
        <v>84.040400000000005</v>
      </c>
      <c r="CM195">
        <v>71.463899999999995</v>
      </c>
      <c r="CN195">
        <v>518.42679999999996</v>
      </c>
      <c r="CO195">
        <v>83.829899999999995</v>
      </c>
      <c r="CP195">
        <v>14526.6</v>
      </c>
      <c r="CQ195" t="s">
        <v>134</v>
      </c>
      <c r="CR195">
        <v>2814.2</v>
      </c>
      <c r="CS195" t="s">
        <v>134</v>
      </c>
      <c r="CT195" t="s">
        <v>134</v>
      </c>
      <c r="CU195" t="s">
        <v>134</v>
      </c>
      <c r="CV195" t="s">
        <v>134</v>
      </c>
      <c r="CW195" t="s">
        <v>134</v>
      </c>
      <c r="CX195" t="s">
        <v>134</v>
      </c>
      <c r="CY195" t="s">
        <v>134</v>
      </c>
      <c r="CZ195" t="s">
        <v>134</v>
      </c>
      <c r="DA195" t="s">
        <v>134</v>
      </c>
      <c r="DB195" t="s">
        <v>134</v>
      </c>
      <c r="DC195" t="s">
        <v>134</v>
      </c>
      <c r="DD195" t="s">
        <v>134</v>
      </c>
      <c r="DE195" t="s">
        <v>134</v>
      </c>
      <c r="DF195" t="s">
        <v>134</v>
      </c>
      <c r="DG195" t="s">
        <v>134</v>
      </c>
      <c r="DH195" t="s">
        <v>134</v>
      </c>
      <c r="DI195" t="s">
        <v>134</v>
      </c>
    </row>
    <row r="196" spans="1:113" x14ac:dyDescent="0.3">
      <c r="E196" t="s">
        <v>6</v>
      </c>
      <c r="F196" t="s">
        <v>134</v>
      </c>
      <c r="G196" t="s">
        <v>134</v>
      </c>
      <c r="H196" t="s">
        <v>134</v>
      </c>
      <c r="I196" t="s">
        <v>134</v>
      </c>
      <c r="J196">
        <v>70.019400000000005</v>
      </c>
      <c r="K196">
        <v>31.085999999999999</v>
      </c>
      <c r="L196">
        <v>6.6788999999999996</v>
      </c>
      <c r="M196">
        <v>17.107099999999999</v>
      </c>
      <c r="N196">
        <v>29.506399999999999</v>
      </c>
      <c r="O196">
        <v>12.936500000000001</v>
      </c>
      <c r="P196">
        <v>26.021899999999999</v>
      </c>
      <c r="Q196">
        <v>22.6341</v>
      </c>
      <c r="R196" t="s">
        <v>134</v>
      </c>
      <c r="S196" t="s">
        <v>134</v>
      </c>
      <c r="T196">
        <v>15.066599999999999</v>
      </c>
      <c r="U196">
        <v>11.379899999999999</v>
      </c>
      <c r="V196">
        <v>3.0503999999999998</v>
      </c>
      <c r="W196">
        <v>14.6416</v>
      </c>
      <c r="X196">
        <v>13.315</v>
      </c>
      <c r="Y196" t="s">
        <v>134</v>
      </c>
      <c r="Z196" t="s">
        <v>134</v>
      </c>
      <c r="AA196" t="s">
        <v>134</v>
      </c>
      <c r="AB196" t="s">
        <v>134</v>
      </c>
      <c r="AC196" t="s">
        <v>134</v>
      </c>
      <c r="AD196" t="s">
        <v>134</v>
      </c>
      <c r="AE196" t="s">
        <v>134</v>
      </c>
      <c r="AF196" t="s">
        <v>134</v>
      </c>
      <c r="AG196" t="s">
        <v>134</v>
      </c>
      <c r="AH196" t="s">
        <v>134</v>
      </c>
      <c r="AI196" t="s">
        <v>134</v>
      </c>
      <c r="AJ196" t="s">
        <v>134</v>
      </c>
      <c r="AK196" t="s">
        <v>134</v>
      </c>
      <c r="AL196" t="s">
        <v>134</v>
      </c>
      <c r="AM196">
        <v>21.6782</v>
      </c>
      <c r="AN196">
        <v>19.068899999999999</v>
      </c>
      <c r="AO196">
        <v>15.137600000000001</v>
      </c>
      <c r="AP196">
        <v>21.0197</v>
      </c>
      <c r="AQ196">
        <v>20.024999999999999</v>
      </c>
      <c r="AR196" t="s">
        <v>134</v>
      </c>
      <c r="AS196" t="s">
        <v>134</v>
      </c>
      <c r="AT196" t="s">
        <v>134</v>
      </c>
      <c r="AU196" t="s">
        <v>134</v>
      </c>
      <c r="AV196" t="s">
        <v>134</v>
      </c>
      <c r="AW196" t="s">
        <v>134</v>
      </c>
      <c r="AX196" t="s">
        <v>134</v>
      </c>
      <c r="AY196" t="s">
        <v>134</v>
      </c>
      <c r="AZ196" t="s">
        <v>134</v>
      </c>
      <c r="BA196" t="s">
        <v>134</v>
      </c>
      <c r="BB196" t="s">
        <v>134</v>
      </c>
      <c r="BC196" t="s">
        <v>134</v>
      </c>
      <c r="BD196" t="s">
        <v>134</v>
      </c>
      <c r="BE196" t="s">
        <v>134</v>
      </c>
      <c r="BF196">
        <v>0.3085</v>
      </c>
      <c r="BG196">
        <v>0.93210000000000004</v>
      </c>
      <c r="BH196">
        <v>3.1518999999999999</v>
      </c>
      <c r="BI196">
        <v>-2.0398000000000001</v>
      </c>
      <c r="BJ196">
        <v>-3.1223999999999998</v>
      </c>
      <c r="BK196" t="s">
        <v>134</v>
      </c>
      <c r="BL196" t="s">
        <v>134</v>
      </c>
      <c r="BM196" t="s">
        <v>134</v>
      </c>
      <c r="BN196" t="s">
        <v>134</v>
      </c>
      <c r="BO196" t="s">
        <v>134</v>
      </c>
      <c r="BP196" t="s">
        <v>134</v>
      </c>
      <c r="BQ196" t="s">
        <v>134</v>
      </c>
      <c r="BR196" t="s">
        <v>134</v>
      </c>
      <c r="BS196" t="s">
        <v>134</v>
      </c>
      <c r="BT196" t="s">
        <v>134</v>
      </c>
      <c r="BU196" t="s">
        <v>134</v>
      </c>
      <c r="BV196" t="s">
        <v>134</v>
      </c>
      <c r="BW196" t="s">
        <v>134</v>
      </c>
      <c r="BX196" t="s">
        <v>134</v>
      </c>
      <c r="BY196" t="s">
        <v>134</v>
      </c>
      <c r="BZ196" t="s">
        <v>134</v>
      </c>
      <c r="CA196" t="s">
        <v>134</v>
      </c>
      <c r="CB196" t="s">
        <v>134</v>
      </c>
      <c r="CC196" t="s">
        <v>134</v>
      </c>
      <c r="CD196" t="s">
        <v>134</v>
      </c>
      <c r="CE196" t="s">
        <v>134</v>
      </c>
      <c r="CF196">
        <v>1.2638</v>
      </c>
      <c r="CG196" t="s">
        <v>134</v>
      </c>
      <c r="CH196" t="s">
        <v>134</v>
      </c>
      <c r="CI196" t="s">
        <v>134</v>
      </c>
      <c r="CJ196" t="s">
        <v>134</v>
      </c>
      <c r="CK196" t="s">
        <v>134</v>
      </c>
      <c r="CL196" t="s">
        <v>134</v>
      </c>
      <c r="CM196" t="s">
        <v>134</v>
      </c>
      <c r="CN196" t="s">
        <v>134</v>
      </c>
      <c r="CO196" t="s">
        <v>134</v>
      </c>
      <c r="CP196">
        <v>14662</v>
      </c>
      <c r="CQ196" t="s">
        <v>134</v>
      </c>
      <c r="CR196">
        <v>2902.9</v>
      </c>
      <c r="CS196" t="s">
        <v>134</v>
      </c>
      <c r="CT196" t="s">
        <v>134</v>
      </c>
      <c r="CU196" t="s">
        <v>134</v>
      </c>
      <c r="CV196" t="s">
        <v>134</v>
      </c>
      <c r="CW196" t="s">
        <v>134</v>
      </c>
      <c r="CX196" t="s">
        <v>134</v>
      </c>
      <c r="CY196" t="s">
        <v>134</v>
      </c>
      <c r="CZ196" t="s">
        <v>134</v>
      </c>
      <c r="DA196" t="s">
        <v>134</v>
      </c>
      <c r="DB196" t="s">
        <v>134</v>
      </c>
      <c r="DC196" t="s">
        <v>134</v>
      </c>
      <c r="DD196" t="s">
        <v>134</v>
      </c>
      <c r="DE196" t="s">
        <v>134</v>
      </c>
      <c r="DF196" t="s">
        <v>134</v>
      </c>
      <c r="DG196" t="s">
        <v>134</v>
      </c>
      <c r="DH196" t="s">
        <v>134</v>
      </c>
      <c r="DI196" t="s">
        <v>134</v>
      </c>
    </row>
    <row r="197" spans="1:113" x14ac:dyDescent="0.3">
      <c r="E197" t="s">
        <v>7</v>
      </c>
      <c r="F197">
        <v>12.9757</v>
      </c>
      <c r="G197">
        <v>1.5291000000000001</v>
      </c>
      <c r="H197">
        <v>1.6137999999999999</v>
      </c>
      <c r="I197">
        <v>1.4563999999999999</v>
      </c>
      <c r="J197">
        <v>56.220700000000001</v>
      </c>
      <c r="K197">
        <v>7.9009999999999998</v>
      </c>
      <c r="L197" t="s">
        <v>134</v>
      </c>
      <c r="M197">
        <v>3.8130999999999999</v>
      </c>
      <c r="N197">
        <v>29.368300000000001</v>
      </c>
      <c r="O197">
        <v>14.111599999999999</v>
      </c>
      <c r="P197">
        <v>25.9696</v>
      </c>
      <c r="Q197" t="s">
        <v>134</v>
      </c>
      <c r="R197" t="s">
        <v>134</v>
      </c>
      <c r="S197" t="s">
        <v>134</v>
      </c>
      <c r="T197">
        <v>14.306800000000001</v>
      </c>
      <c r="U197">
        <v>-12.0031</v>
      </c>
      <c r="V197">
        <v>-69.682400000000001</v>
      </c>
      <c r="W197">
        <v>18.4282</v>
      </c>
      <c r="X197">
        <v>16.966200000000001</v>
      </c>
      <c r="Y197" t="s">
        <v>134</v>
      </c>
      <c r="Z197" t="s">
        <v>134</v>
      </c>
      <c r="AA197" t="s">
        <v>134</v>
      </c>
      <c r="AB197">
        <v>-11.8154</v>
      </c>
      <c r="AC197">
        <v>13.655799999999999</v>
      </c>
      <c r="AD197" t="s">
        <v>134</v>
      </c>
      <c r="AE197" t="s">
        <v>134</v>
      </c>
      <c r="AF197" t="s">
        <v>134</v>
      </c>
      <c r="AG197">
        <v>75.700800000000001</v>
      </c>
      <c r="AH197">
        <v>15.877700000000001</v>
      </c>
      <c r="AI197">
        <v>8.4270999999999994</v>
      </c>
      <c r="AJ197">
        <v>14.8233</v>
      </c>
      <c r="AK197">
        <v>9.5667000000000009</v>
      </c>
      <c r="AL197" t="s">
        <v>134</v>
      </c>
      <c r="AM197">
        <v>21.313400000000001</v>
      </c>
      <c r="AN197">
        <v>12.4457</v>
      </c>
      <c r="AO197">
        <v>-16.896999999999998</v>
      </c>
      <c r="AP197">
        <v>14.801500000000001</v>
      </c>
      <c r="AQ197">
        <v>14.0167</v>
      </c>
      <c r="AR197" t="s">
        <v>134</v>
      </c>
      <c r="AS197">
        <v>55.849200000000003</v>
      </c>
      <c r="AT197" t="s">
        <v>134</v>
      </c>
      <c r="AU197" t="s">
        <v>134</v>
      </c>
      <c r="AV197">
        <v>21.906700000000001</v>
      </c>
      <c r="AW197" t="s">
        <v>134</v>
      </c>
      <c r="AX197" t="s">
        <v>134</v>
      </c>
      <c r="AY197" t="s">
        <v>134</v>
      </c>
      <c r="AZ197">
        <v>41.876199999999997</v>
      </c>
      <c r="BA197">
        <v>27.4803</v>
      </c>
      <c r="BB197">
        <v>14.186</v>
      </c>
      <c r="BC197">
        <v>25.115500000000001</v>
      </c>
      <c r="BD197">
        <v>10.158899999999999</v>
      </c>
      <c r="BE197" t="s">
        <v>134</v>
      </c>
      <c r="BF197">
        <v>6.8815999999999997</v>
      </c>
      <c r="BG197">
        <v>-14.1816</v>
      </c>
      <c r="BH197">
        <v>-70.601799999999997</v>
      </c>
      <c r="BI197">
        <v>15.4321</v>
      </c>
      <c r="BJ197">
        <v>15.3285</v>
      </c>
      <c r="BK197" t="s">
        <v>134</v>
      </c>
      <c r="BL197" t="s">
        <v>134</v>
      </c>
      <c r="BM197" t="s">
        <v>134</v>
      </c>
      <c r="BN197" t="s">
        <v>134</v>
      </c>
      <c r="BO197" t="s">
        <v>134</v>
      </c>
      <c r="BP197" t="s">
        <v>134</v>
      </c>
      <c r="BQ197" t="s">
        <v>134</v>
      </c>
      <c r="BR197" t="s">
        <v>134</v>
      </c>
      <c r="BS197" t="s">
        <v>134</v>
      </c>
      <c r="BT197" t="s">
        <v>134</v>
      </c>
      <c r="BU197" t="s">
        <v>134</v>
      </c>
      <c r="BV197" t="s">
        <v>134</v>
      </c>
      <c r="BW197" t="s">
        <v>134</v>
      </c>
      <c r="BX197" t="s">
        <v>134</v>
      </c>
      <c r="BY197">
        <v>598110.54799999995</v>
      </c>
      <c r="BZ197">
        <v>117640.993</v>
      </c>
      <c r="CA197">
        <v>480469.55499999999</v>
      </c>
      <c r="CB197">
        <v>10.648099999999999</v>
      </c>
      <c r="CC197">
        <v>10.542300000000001</v>
      </c>
      <c r="CD197">
        <v>64.821100000000001</v>
      </c>
      <c r="CE197">
        <v>64.176900000000003</v>
      </c>
      <c r="CF197">
        <v>1.0866</v>
      </c>
      <c r="CG197">
        <v>10.886100000000001</v>
      </c>
      <c r="CH197">
        <v>520.78319999999997</v>
      </c>
      <c r="CI197">
        <v>69.596000000000004</v>
      </c>
      <c r="CJ197">
        <v>66.259200000000007</v>
      </c>
      <c r="CK197">
        <v>648.29480000000001</v>
      </c>
      <c r="CL197">
        <v>86.636300000000006</v>
      </c>
      <c r="CM197">
        <v>82.482500000000002</v>
      </c>
      <c r="CN197">
        <v>641.85220000000004</v>
      </c>
      <c r="CO197">
        <v>86.520200000000003</v>
      </c>
      <c r="CP197">
        <v>12582.7</v>
      </c>
      <c r="CQ197" t="s">
        <v>134</v>
      </c>
      <c r="CR197">
        <v>853.4</v>
      </c>
      <c r="CS197" t="s">
        <v>134</v>
      </c>
      <c r="CT197" t="s">
        <v>134</v>
      </c>
      <c r="CU197" t="s">
        <v>134</v>
      </c>
      <c r="CV197" t="s">
        <v>134</v>
      </c>
      <c r="CW197" t="s">
        <v>134</v>
      </c>
      <c r="CX197" t="s">
        <v>134</v>
      </c>
      <c r="CY197" t="s">
        <v>134</v>
      </c>
      <c r="CZ197" t="s">
        <v>134</v>
      </c>
      <c r="DA197" t="s">
        <v>134</v>
      </c>
      <c r="DB197" t="s">
        <v>134</v>
      </c>
      <c r="DC197" t="s">
        <v>134</v>
      </c>
      <c r="DD197" t="s">
        <v>134</v>
      </c>
      <c r="DE197" t="s">
        <v>134</v>
      </c>
      <c r="DF197" t="s">
        <v>134</v>
      </c>
      <c r="DG197" t="s">
        <v>134</v>
      </c>
      <c r="DH197" t="s">
        <v>134</v>
      </c>
      <c r="DI197" t="s">
        <v>134</v>
      </c>
    </row>
    <row r="198" spans="1:113" x14ac:dyDescent="0.3">
      <c r="D198" t="s">
        <v>11</v>
      </c>
      <c r="E198" t="s">
        <v>3</v>
      </c>
      <c r="F198">
        <v>13.367599999999999</v>
      </c>
      <c r="G198">
        <v>1.8047</v>
      </c>
      <c r="H198">
        <v>1.8997000000000002</v>
      </c>
      <c r="I198">
        <v>3.7101999999999999</v>
      </c>
      <c r="J198">
        <v>67.789500000000004</v>
      </c>
      <c r="K198">
        <v>34.143099999999997</v>
      </c>
      <c r="L198">
        <v>54.095700000000001</v>
      </c>
      <c r="M198">
        <v>16.569800000000001</v>
      </c>
      <c r="N198">
        <v>28.1114</v>
      </c>
      <c r="O198">
        <v>13.9</v>
      </c>
      <c r="P198">
        <v>26.205100000000002</v>
      </c>
      <c r="Q198">
        <v>15.7966</v>
      </c>
      <c r="R198">
        <v>11.684100000000001</v>
      </c>
      <c r="S198">
        <v>11.8057</v>
      </c>
      <c r="T198">
        <v>22.486699999999999</v>
      </c>
      <c r="U198">
        <v>23.290600000000001</v>
      </c>
      <c r="V198">
        <v>60.186999999999998</v>
      </c>
      <c r="W198">
        <v>49.439100000000003</v>
      </c>
      <c r="X198">
        <v>44.357999999999997</v>
      </c>
      <c r="Y198">
        <v>0</v>
      </c>
      <c r="Z198" t="s">
        <v>134</v>
      </c>
      <c r="AA198" t="s">
        <v>134</v>
      </c>
      <c r="AB198">
        <v>-16.6309</v>
      </c>
      <c r="AC198">
        <v>23.053599999999999</v>
      </c>
      <c r="AD198" t="s">
        <v>134</v>
      </c>
      <c r="AE198" t="s">
        <v>134</v>
      </c>
      <c r="AF198" t="s">
        <v>134</v>
      </c>
      <c r="AG198">
        <v>-8.1700999999999997</v>
      </c>
      <c r="AH198">
        <v>19.671900000000001</v>
      </c>
      <c r="AI198">
        <v>48.575299999999999</v>
      </c>
      <c r="AJ198">
        <v>23.534500000000001</v>
      </c>
      <c r="AK198">
        <v>39.865699999999997</v>
      </c>
      <c r="AL198">
        <v>-169.7655</v>
      </c>
      <c r="AM198">
        <v>21.3032</v>
      </c>
      <c r="AN198">
        <v>17.601500000000001</v>
      </c>
      <c r="AO198">
        <v>18.2315</v>
      </c>
      <c r="AP198">
        <v>13.39</v>
      </c>
      <c r="AQ198">
        <v>11.79</v>
      </c>
      <c r="AR198">
        <v>1.2990999999999999</v>
      </c>
      <c r="AS198">
        <v>33.874699999999997</v>
      </c>
      <c r="AT198" t="s">
        <v>134</v>
      </c>
      <c r="AU198">
        <v>1.2669000000000001</v>
      </c>
      <c r="AV198">
        <v>19.5305</v>
      </c>
      <c r="AW198" t="s">
        <v>134</v>
      </c>
      <c r="AX198" t="s">
        <v>134</v>
      </c>
      <c r="AY198" t="s">
        <v>134</v>
      </c>
      <c r="AZ198">
        <v>1.2945</v>
      </c>
      <c r="BA198">
        <v>20.436699999999998</v>
      </c>
      <c r="BB198">
        <v>17.119700000000002</v>
      </c>
      <c r="BC198">
        <v>19.864799999999999</v>
      </c>
      <c r="BD198">
        <v>14.5647</v>
      </c>
      <c r="BE198" t="s">
        <v>134</v>
      </c>
      <c r="BF198">
        <v>22.486699999999999</v>
      </c>
      <c r="BG198">
        <v>23.290600000000001</v>
      </c>
      <c r="BH198">
        <v>60.186999999999998</v>
      </c>
      <c r="BI198">
        <v>49.439100000000003</v>
      </c>
      <c r="BJ198">
        <v>44.357999999999997</v>
      </c>
      <c r="BK198">
        <v>0</v>
      </c>
      <c r="BL198">
        <v>60.439900000000002</v>
      </c>
      <c r="BM198" t="s">
        <v>134</v>
      </c>
      <c r="BN198">
        <v>-16.6309</v>
      </c>
      <c r="BO198">
        <v>23.053599999999999</v>
      </c>
      <c r="BP198" t="s">
        <v>134</v>
      </c>
      <c r="BQ198" t="s">
        <v>134</v>
      </c>
      <c r="BR198" t="s">
        <v>134</v>
      </c>
      <c r="BS198">
        <v>-8.1700999999999997</v>
      </c>
      <c r="BT198">
        <v>19.671900000000001</v>
      </c>
      <c r="BU198">
        <v>48.575299999999999</v>
      </c>
      <c r="BV198">
        <v>23.534500000000001</v>
      </c>
      <c r="BW198">
        <v>39.865699999999997</v>
      </c>
      <c r="BX198" t="s">
        <v>134</v>
      </c>
      <c r="BY198">
        <v>715770.53799999994</v>
      </c>
      <c r="BZ198">
        <v>108029.55100000001</v>
      </c>
      <c r="CA198">
        <v>607740.98699999996</v>
      </c>
      <c r="CB198">
        <v>10.055999999999999</v>
      </c>
      <c r="CC198">
        <v>9.9065999999999992</v>
      </c>
      <c r="CD198">
        <v>40.2042</v>
      </c>
      <c r="CE198">
        <v>39.606900000000003</v>
      </c>
      <c r="CF198">
        <v>1.3467</v>
      </c>
      <c r="CG198">
        <v>14.064500000000001</v>
      </c>
      <c r="CH198">
        <v>443.36660000000001</v>
      </c>
      <c r="CI198">
        <v>71.260499999999993</v>
      </c>
      <c r="CJ198">
        <v>68.109099999999998</v>
      </c>
      <c r="CK198">
        <v>522.17759999999998</v>
      </c>
      <c r="CL198">
        <v>83.927400000000006</v>
      </c>
      <c r="CM198">
        <v>80.215800000000002</v>
      </c>
      <c r="CN198">
        <v>514.42039999999997</v>
      </c>
      <c r="CO198">
        <v>83.724500000000006</v>
      </c>
      <c r="CP198">
        <v>71178.573999999993</v>
      </c>
      <c r="CQ198">
        <v>70346.028999999995</v>
      </c>
      <c r="CR198">
        <v>17803.379000000001</v>
      </c>
      <c r="CS198" t="s">
        <v>134</v>
      </c>
      <c r="CT198" t="s">
        <v>134</v>
      </c>
      <c r="CU198" t="s">
        <v>134</v>
      </c>
      <c r="CV198" t="s">
        <v>134</v>
      </c>
      <c r="CW198" t="s">
        <v>134</v>
      </c>
      <c r="CX198" t="s">
        <v>134</v>
      </c>
      <c r="CY198" t="s">
        <v>134</v>
      </c>
      <c r="CZ198" t="s">
        <v>134</v>
      </c>
      <c r="DA198" t="s">
        <v>134</v>
      </c>
      <c r="DB198" t="s">
        <v>134</v>
      </c>
      <c r="DC198" t="s">
        <v>134</v>
      </c>
      <c r="DD198" t="s">
        <v>134</v>
      </c>
      <c r="DE198" t="s">
        <v>134</v>
      </c>
      <c r="DF198" t="s">
        <v>134</v>
      </c>
      <c r="DG198" t="s">
        <v>134</v>
      </c>
      <c r="DH198" t="s">
        <v>134</v>
      </c>
      <c r="DI198" t="s">
        <v>134</v>
      </c>
    </row>
    <row r="199" spans="1:113" x14ac:dyDescent="0.3">
      <c r="E199" t="s">
        <v>4</v>
      </c>
      <c r="F199" t="s">
        <v>134</v>
      </c>
      <c r="G199" t="s">
        <v>134</v>
      </c>
      <c r="H199" t="s">
        <v>134</v>
      </c>
      <c r="I199" t="s">
        <v>134</v>
      </c>
      <c r="J199">
        <v>65.792299999999997</v>
      </c>
      <c r="K199">
        <v>23.3672</v>
      </c>
      <c r="L199" t="s">
        <v>134</v>
      </c>
      <c r="M199">
        <v>15.355700000000001</v>
      </c>
      <c r="N199">
        <v>30.2834</v>
      </c>
      <c r="O199">
        <v>13.688000000000001</v>
      </c>
      <c r="P199">
        <v>27.145399999999999</v>
      </c>
      <c r="Q199">
        <v>10.907</v>
      </c>
      <c r="R199" t="s">
        <v>134</v>
      </c>
      <c r="S199" t="s">
        <v>134</v>
      </c>
      <c r="T199">
        <v>13.1335</v>
      </c>
      <c r="U199">
        <v>3.2044000000000001</v>
      </c>
      <c r="V199">
        <v>-9.7417999999999996</v>
      </c>
      <c r="W199">
        <v>34.305700000000002</v>
      </c>
      <c r="X199">
        <v>54</v>
      </c>
      <c r="Y199" t="s">
        <v>134</v>
      </c>
      <c r="Z199" t="s">
        <v>134</v>
      </c>
      <c r="AA199" t="s">
        <v>134</v>
      </c>
      <c r="AB199" t="s">
        <v>134</v>
      </c>
      <c r="AC199" t="s">
        <v>134</v>
      </c>
      <c r="AD199" t="s">
        <v>134</v>
      </c>
      <c r="AE199" t="s">
        <v>134</v>
      </c>
      <c r="AF199" t="s">
        <v>134</v>
      </c>
      <c r="AG199" t="s">
        <v>134</v>
      </c>
      <c r="AH199" t="s">
        <v>134</v>
      </c>
      <c r="AI199" t="s">
        <v>134</v>
      </c>
      <c r="AJ199" t="s">
        <v>134</v>
      </c>
      <c r="AK199" t="s">
        <v>134</v>
      </c>
      <c r="AL199" t="s">
        <v>134</v>
      </c>
      <c r="AM199">
        <v>20.036799999999999</v>
      </c>
      <c r="AN199">
        <v>15.2385</v>
      </c>
      <c r="AO199">
        <v>6.6334999999999997</v>
      </c>
      <c r="AP199">
        <v>18.2105</v>
      </c>
      <c r="AQ199">
        <v>17.080500000000001</v>
      </c>
      <c r="AR199" t="s">
        <v>134</v>
      </c>
      <c r="AS199" t="s">
        <v>134</v>
      </c>
      <c r="AT199" t="s">
        <v>134</v>
      </c>
      <c r="AU199" t="s">
        <v>134</v>
      </c>
      <c r="AV199" t="s">
        <v>134</v>
      </c>
      <c r="AW199" t="s">
        <v>134</v>
      </c>
      <c r="AX199" t="s">
        <v>134</v>
      </c>
      <c r="AY199" t="s">
        <v>134</v>
      </c>
      <c r="AZ199" t="s">
        <v>134</v>
      </c>
      <c r="BA199" t="s">
        <v>134</v>
      </c>
      <c r="BB199" t="s">
        <v>134</v>
      </c>
      <c r="BC199" t="s">
        <v>134</v>
      </c>
      <c r="BD199" t="s">
        <v>134</v>
      </c>
      <c r="BE199" t="s">
        <v>134</v>
      </c>
      <c r="BF199">
        <v>0.92090000000000005</v>
      </c>
      <c r="BG199">
        <v>18.102599999999999</v>
      </c>
      <c r="BH199">
        <v>180.97020000000001</v>
      </c>
      <c r="BI199">
        <v>-0.69520000000000004</v>
      </c>
      <c r="BJ199">
        <v>-2.5316000000000001</v>
      </c>
      <c r="BK199" t="s">
        <v>134</v>
      </c>
      <c r="BL199" t="s">
        <v>134</v>
      </c>
      <c r="BM199" t="s">
        <v>134</v>
      </c>
      <c r="BN199" t="s">
        <v>134</v>
      </c>
      <c r="BO199" t="s">
        <v>134</v>
      </c>
      <c r="BP199" t="s">
        <v>134</v>
      </c>
      <c r="BQ199" t="s">
        <v>134</v>
      </c>
      <c r="BR199" t="s">
        <v>134</v>
      </c>
      <c r="BS199" t="s">
        <v>134</v>
      </c>
      <c r="BT199" t="s">
        <v>134</v>
      </c>
      <c r="BU199" t="s">
        <v>134</v>
      </c>
      <c r="BV199" t="s">
        <v>134</v>
      </c>
      <c r="BW199" t="s">
        <v>134</v>
      </c>
      <c r="BX199" t="s">
        <v>134</v>
      </c>
      <c r="BY199" t="s">
        <v>134</v>
      </c>
      <c r="BZ199" t="s">
        <v>134</v>
      </c>
      <c r="CA199" t="s">
        <v>134</v>
      </c>
      <c r="CB199" t="s">
        <v>134</v>
      </c>
      <c r="CC199" t="s">
        <v>134</v>
      </c>
      <c r="CD199" t="s">
        <v>134</v>
      </c>
      <c r="CE199" t="s">
        <v>134</v>
      </c>
      <c r="CF199">
        <v>1.2057</v>
      </c>
      <c r="CG199" t="s">
        <v>134</v>
      </c>
      <c r="CH199" t="s">
        <v>134</v>
      </c>
      <c r="CI199" t="s">
        <v>134</v>
      </c>
      <c r="CJ199" t="s">
        <v>134</v>
      </c>
      <c r="CK199" t="s">
        <v>134</v>
      </c>
      <c r="CL199" t="s">
        <v>134</v>
      </c>
      <c r="CM199" t="s">
        <v>134</v>
      </c>
      <c r="CN199" t="s">
        <v>134</v>
      </c>
      <c r="CO199" t="s">
        <v>134</v>
      </c>
      <c r="CP199">
        <v>14860.5</v>
      </c>
      <c r="CQ199" t="s">
        <v>134</v>
      </c>
      <c r="CR199">
        <v>2397.8000000000002</v>
      </c>
      <c r="CS199" t="s">
        <v>134</v>
      </c>
      <c r="CT199" t="s">
        <v>134</v>
      </c>
      <c r="CU199" t="s">
        <v>134</v>
      </c>
      <c r="CV199" t="s">
        <v>134</v>
      </c>
      <c r="CW199" t="s">
        <v>134</v>
      </c>
      <c r="CX199" t="s">
        <v>134</v>
      </c>
      <c r="CY199" t="s">
        <v>134</v>
      </c>
      <c r="CZ199" t="s">
        <v>134</v>
      </c>
      <c r="DA199" t="s">
        <v>134</v>
      </c>
      <c r="DB199" t="s">
        <v>134</v>
      </c>
      <c r="DC199" t="s">
        <v>134</v>
      </c>
      <c r="DD199" t="s">
        <v>134</v>
      </c>
      <c r="DE199" t="s">
        <v>134</v>
      </c>
      <c r="DF199" t="s">
        <v>134</v>
      </c>
      <c r="DG199" t="s">
        <v>134</v>
      </c>
      <c r="DH199" t="s">
        <v>134</v>
      </c>
      <c r="DI199" t="s">
        <v>134</v>
      </c>
    </row>
    <row r="200" spans="1:113" x14ac:dyDescent="0.3">
      <c r="E200" t="s">
        <v>5</v>
      </c>
      <c r="F200">
        <v>13.642200000000001</v>
      </c>
      <c r="G200">
        <v>1.7431999999999999</v>
      </c>
      <c r="H200">
        <v>1.9790000000000001</v>
      </c>
      <c r="I200">
        <v>4.1432000000000002</v>
      </c>
      <c r="J200">
        <v>66.427000000000007</v>
      </c>
      <c r="K200">
        <v>65.9161</v>
      </c>
      <c r="L200">
        <v>88.988699999999994</v>
      </c>
      <c r="M200">
        <v>16.1707</v>
      </c>
      <c r="N200">
        <v>15.1782</v>
      </c>
      <c r="O200">
        <v>15.1119</v>
      </c>
      <c r="P200">
        <v>15.1119</v>
      </c>
      <c r="Q200">
        <v>5.9691999999999998</v>
      </c>
      <c r="R200" t="s">
        <v>134</v>
      </c>
      <c r="S200" t="s">
        <v>134</v>
      </c>
      <c r="T200">
        <v>14.1922</v>
      </c>
      <c r="U200">
        <v>9.0068999999999999</v>
      </c>
      <c r="V200">
        <v>458.35410000000002</v>
      </c>
      <c r="W200">
        <v>45.222900000000003</v>
      </c>
      <c r="X200">
        <v>39.834899999999998</v>
      </c>
      <c r="Y200" t="s">
        <v>134</v>
      </c>
      <c r="Z200" t="s">
        <v>134</v>
      </c>
      <c r="AA200" t="s">
        <v>134</v>
      </c>
      <c r="AB200">
        <v>-16.398</v>
      </c>
      <c r="AC200">
        <v>19.065100000000001</v>
      </c>
      <c r="AD200" t="s">
        <v>134</v>
      </c>
      <c r="AE200" t="s">
        <v>134</v>
      </c>
      <c r="AF200" t="s">
        <v>134</v>
      </c>
      <c r="AG200">
        <v>46.170200000000001</v>
      </c>
      <c r="AH200">
        <v>36.574599999999997</v>
      </c>
      <c r="AI200">
        <v>11.9773</v>
      </c>
      <c r="AJ200">
        <v>32.649000000000001</v>
      </c>
      <c r="AK200">
        <v>24.902899999999999</v>
      </c>
      <c r="AL200" t="s">
        <v>134</v>
      </c>
      <c r="AM200">
        <v>20.581</v>
      </c>
      <c r="AN200">
        <v>15.79</v>
      </c>
      <c r="AO200">
        <v>51.009399999999999</v>
      </c>
      <c r="AP200">
        <v>20.1722</v>
      </c>
      <c r="AQ200">
        <v>18.677</v>
      </c>
      <c r="AR200" t="s">
        <v>134</v>
      </c>
      <c r="AS200">
        <v>71.700500000000005</v>
      </c>
      <c r="AT200" t="s">
        <v>134</v>
      </c>
      <c r="AU200">
        <v>0.46110000000000001</v>
      </c>
      <c r="AV200">
        <v>21.3887</v>
      </c>
      <c r="AW200" t="s">
        <v>134</v>
      </c>
      <c r="AX200" t="s">
        <v>134</v>
      </c>
      <c r="AY200" t="s">
        <v>134</v>
      </c>
      <c r="AZ200">
        <v>32.887700000000002</v>
      </c>
      <c r="BA200">
        <v>28.748899999999999</v>
      </c>
      <c r="BB200">
        <v>14.888400000000001</v>
      </c>
      <c r="BC200">
        <v>26.240200000000002</v>
      </c>
      <c r="BD200">
        <v>13.233000000000001</v>
      </c>
      <c r="BE200" t="s">
        <v>134</v>
      </c>
      <c r="BF200">
        <v>3.5975000000000001</v>
      </c>
      <c r="BG200">
        <v>4.5277000000000003</v>
      </c>
      <c r="BH200">
        <v>580.51969999999994</v>
      </c>
      <c r="BI200">
        <v>14.6166</v>
      </c>
      <c r="BJ200">
        <v>13.648400000000001</v>
      </c>
      <c r="BK200" t="s">
        <v>134</v>
      </c>
      <c r="BL200" t="s">
        <v>134</v>
      </c>
      <c r="BM200" t="s">
        <v>134</v>
      </c>
      <c r="BN200" t="s">
        <v>134</v>
      </c>
      <c r="BO200" t="s">
        <v>134</v>
      </c>
      <c r="BP200" t="s">
        <v>134</v>
      </c>
      <c r="BQ200" t="s">
        <v>134</v>
      </c>
      <c r="BR200" t="s">
        <v>134</v>
      </c>
      <c r="BS200" t="s">
        <v>134</v>
      </c>
      <c r="BT200" t="s">
        <v>134</v>
      </c>
      <c r="BU200" t="s">
        <v>134</v>
      </c>
      <c r="BV200" t="s">
        <v>134</v>
      </c>
      <c r="BW200" t="s">
        <v>134</v>
      </c>
      <c r="BX200" t="s">
        <v>134</v>
      </c>
      <c r="BY200">
        <v>644711.6</v>
      </c>
      <c r="BZ200">
        <v>118524.7</v>
      </c>
      <c r="CA200">
        <v>526186.9</v>
      </c>
      <c r="CB200">
        <v>11.071999999999999</v>
      </c>
      <c r="CC200">
        <v>10.886699999999999</v>
      </c>
      <c r="CD200">
        <v>29.603100000000001</v>
      </c>
      <c r="CE200">
        <v>29.107500000000002</v>
      </c>
      <c r="CF200" t="s">
        <v>134</v>
      </c>
      <c r="CG200">
        <v>12.610300000000001</v>
      </c>
      <c r="CH200">
        <v>524.18190000000004</v>
      </c>
      <c r="CI200">
        <v>70.620199999999997</v>
      </c>
      <c r="CJ200">
        <v>66.903199999999998</v>
      </c>
      <c r="CK200">
        <v>642.255</v>
      </c>
      <c r="CL200">
        <v>86.527500000000003</v>
      </c>
      <c r="CM200">
        <v>81.973200000000006</v>
      </c>
      <c r="CN200">
        <v>631.50310000000002</v>
      </c>
      <c r="CO200">
        <v>86.329499999999996</v>
      </c>
      <c r="CP200">
        <v>15835</v>
      </c>
      <c r="CQ200" t="s">
        <v>134</v>
      </c>
      <c r="CR200">
        <v>15713.2</v>
      </c>
      <c r="CS200" t="s">
        <v>134</v>
      </c>
      <c r="CT200" t="s">
        <v>134</v>
      </c>
      <c r="CU200" t="s">
        <v>134</v>
      </c>
      <c r="CV200" t="s">
        <v>134</v>
      </c>
      <c r="CW200" t="s">
        <v>134</v>
      </c>
      <c r="CX200" t="s">
        <v>134</v>
      </c>
      <c r="CY200" t="s">
        <v>134</v>
      </c>
      <c r="CZ200" t="s">
        <v>134</v>
      </c>
      <c r="DA200" t="s">
        <v>134</v>
      </c>
      <c r="DB200" t="s">
        <v>134</v>
      </c>
      <c r="DC200" t="s">
        <v>134</v>
      </c>
      <c r="DD200" t="s">
        <v>134</v>
      </c>
      <c r="DE200" t="s">
        <v>134</v>
      </c>
      <c r="DF200" t="s">
        <v>134</v>
      </c>
      <c r="DG200" t="s">
        <v>134</v>
      </c>
      <c r="DH200" t="s">
        <v>134</v>
      </c>
      <c r="DI200" t="s">
        <v>134</v>
      </c>
    </row>
    <row r="201" spans="1:113" x14ac:dyDescent="0.3">
      <c r="E201" t="s">
        <v>6</v>
      </c>
      <c r="F201" t="s">
        <v>134</v>
      </c>
      <c r="G201" t="s">
        <v>134</v>
      </c>
      <c r="H201" t="s">
        <v>134</v>
      </c>
      <c r="I201" t="s">
        <v>134</v>
      </c>
      <c r="J201">
        <v>66.520399999999995</v>
      </c>
      <c r="K201">
        <v>66.031899999999993</v>
      </c>
      <c r="L201">
        <v>85.269499999999994</v>
      </c>
      <c r="M201">
        <v>17.034600000000001</v>
      </c>
      <c r="N201">
        <v>14.6652</v>
      </c>
      <c r="O201">
        <v>14.603199999999999</v>
      </c>
      <c r="P201">
        <v>14.603199999999999</v>
      </c>
      <c r="Q201">
        <v>14.1907</v>
      </c>
      <c r="R201" t="s">
        <v>134</v>
      </c>
      <c r="S201" t="s">
        <v>134</v>
      </c>
      <c r="T201">
        <v>25.605699999999999</v>
      </c>
      <c r="U201">
        <v>19.328900000000001</v>
      </c>
      <c r="V201">
        <v>498.28100000000001</v>
      </c>
      <c r="W201">
        <v>58.061700000000002</v>
      </c>
      <c r="X201">
        <v>53.737699999999997</v>
      </c>
      <c r="Y201" t="s">
        <v>134</v>
      </c>
      <c r="Z201" t="s">
        <v>134</v>
      </c>
      <c r="AA201" t="s">
        <v>134</v>
      </c>
      <c r="AB201" t="s">
        <v>134</v>
      </c>
      <c r="AC201" t="s">
        <v>134</v>
      </c>
      <c r="AD201" t="s">
        <v>134</v>
      </c>
      <c r="AE201" t="s">
        <v>134</v>
      </c>
      <c r="AF201" t="s">
        <v>134</v>
      </c>
      <c r="AG201" t="s">
        <v>134</v>
      </c>
      <c r="AH201" t="s">
        <v>134</v>
      </c>
      <c r="AI201" t="s">
        <v>134</v>
      </c>
      <c r="AJ201" t="s">
        <v>134</v>
      </c>
      <c r="AK201" t="s">
        <v>134</v>
      </c>
      <c r="AL201" t="s">
        <v>134</v>
      </c>
      <c r="AM201">
        <v>21.507300000000001</v>
      </c>
      <c r="AN201">
        <v>17.772200000000002</v>
      </c>
      <c r="AO201">
        <v>60.009300000000003</v>
      </c>
      <c r="AP201">
        <v>5.4465000000000003</v>
      </c>
      <c r="AQ201">
        <v>4.2560000000000002</v>
      </c>
      <c r="AR201" t="s">
        <v>134</v>
      </c>
      <c r="AS201" t="s">
        <v>134</v>
      </c>
      <c r="AT201" t="s">
        <v>134</v>
      </c>
      <c r="AU201" t="s">
        <v>134</v>
      </c>
      <c r="AV201" t="s">
        <v>134</v>
      </c>
      <c r="AW201" t="s">
        <v>134</v>
      </c>
      <c r="AX201" t="s">
        <v>134</v>
      </c>
      <c r="AY201" t="s">
        <v>134</v>
      </c>
      <c r="AZ201" t="s">
        <v>134</v>
      </c>
      <c r="BA201" t="s">
        <v>134</v>
      </c>
      <c r="BB201" t="s">
        <v>134</v>
      </c>
      <c r="BC201" t="s">
        <v>134</v>
      </c>
      <c r="BD201" t="s">
        <v>134</v>
      </c>
      <c r="BE201" t="s">
        <v>134</v>
      </c>
      <c r="BF201">
        <v>1.2882</v>
      </c>
      <c r="BG201">
        <v>5.4204999999999997</v>
      </c>
      <c r="BH201">
        <v>420.37450000000001</v>
      </c>
      <c r="BI201">
        <v>13.7943</v>
      </c>
      <c r="BJ201">
        <v>13.675699999999999</v>
      </c>
      <c r="BK201" t="s">
        <v>134</v>
      </c>
      <c r="BL201" t="s">
        <v>134</v>
      </c>
      <c r="BM201" t="s">
        <v>134</v>
      </c>
      <c r="BN201" t="s">
        <v>134</v>
      </c>
      <c r="BO201" t="s">
        <v>134</v>
      </c>
      <c r="BP201" t="s">
        <v>134</v>
      </c>
      <c r="BQ201" t="s">
        <v>134</v>
      </c>
      <c r="BR201" t="s">
        <v>134</v>
      </c>
      <c r="BS201" t="s">
        <v>134</v>
      </c>
      <c r="BT201" t="s">
        <v>134</v>
      </c>
      <c r="BU201" t="s">
        <v>134</v>
      </c>
      <c r="BV201" t="s">
        <v>134</v>
      </c>
      <c r="BW201" t="s">
        <v>134</v>
      </c>
      <c r="BX201" t="s">
        <v>134</v>
      </c>
      <c r="BY201" t="s">
        <v>134</v>
      </c>
      <c r="BZ201" t="s">
        <v>134</v>
      </c>
      <c r="CA201" t="s">
        <v>134</v>
      </c>
      <c r="CB201" t="s">
        <v>134</v>
      </c>
      <c r="CC201" t="s">
        <v>134</v>
      </c>
      <c r="CD201" t="s">
        <v>134</v>
      </c>
      <c r="CE201" t="s">
        <v>134</v>
      </c>
      <c r="CF201" t="s">
        <v>134</v>
      </c>
      <c r="CG201" t="s">
        <v>134</v>
      </c>
      <c r="CH201" t="s">
        <v>134</v>
      </c>
      <c r="CI201" t="s">
        <v>134</v>
      </c>
      <c r="CJ201" t="s">
        <v>134</v>
      </c>
      <c r="CK201" t="s">
        <v>134</v>
      </c>
      <c r="CL201" t="s">
        <v>134</v>
      </c>
      <c r="CM201" t="s">
        <v>134</v>
      </c>
      <c r="CN201" t="s">
        <v>134</v>
      </c>
      <c r="CO201" t="s">
        <v>134</v>
      </c>
      <c r="CP201">
        <v>17496</v>
      </c>
      <c r="CQ201" t="s">
        <v>134</v>
      </c>
      <c r="CR201">
        <v>17367.5</v>
      </c>
      <c r="CS201" t="s">
        <v>134</v>
      </c>
      <c r="CT201" t="s">
        <v>134</v>
      </c>
      <c r="CU201" t="s">
        <v>134</v>
      </c>
      <c r="CV201" t="s">
        <v>134</v>
      </c>
      <c r="CW201" t="s">
        <v>134</v>
      </c>
      <c r="CX201" t="s">
        <v>134</v>
      </c>
      <c r="CY201" t="s">
        <v>134</v>
      </c>
      <c r="CZ201" t="s">
        <v>134</v>
      </c>
      <c r="DA201" t="s">
        <v>134</v>
      </c>
      <c r="DB201" t="s">
        <v>134</v>
      </c>
      <c r="DC201" t="s">
        <v>134</v>
      </c>
      <c r="DD201" t="s">
        <v>134</v>
      </c>
      <c r="DE201" t="s">
        <v>134</v>
      </c>
      <c r="DF201" t="s">
        <v>134</v>
      </c>
      <c r="DG201" t="s">
        <v>134</v>
      </c>
      <c r="DH201" t="s">
        <v>134</v>
      </c>
      <c r="DI201" t="s">
        <v>134</v>
      </c>
    </row>
    <row r="202" spans="1:113" x14ac:dyDescent="0.3">
      <c r="E202" t="s">
        <v>7</v>
      </c>
      <c r="F202">
        <v>13.4869</v>
      </c>
      <c r="G202">
        <v>1.7046999999999999</v>
      </c>
      <c r="H202">
        <v>1.837</v>
      </c>
      <c r="I202">
        <v>3.6753999999999998</v>
      </c>
      <c r="J202">
        <v>66.214500000000001</v>
      </c>
      <c r="K202">
        <v>28.172000000000001</v>
      </c>
      <c r="L202">
        <v>122.96299999999999</v>
      </c>
      <c r="M202">
        <v>20.356300000000001</v>
      </c>
      <c r="N202">
        <v>31.084099999999999</v>
      </c>
      <c r="O202">
        <v>14.7722</v>
      </c>
      <c r="P202">
        <v>30.965800000000002</v>
      </c>
      <c r="Q202">
        <v>26.884900000000002</v>
      </c>
      <c r="R202" t="s">
        <v>134</v>
      </c>
      <c r="S202" t="s">
        <v>134</v>
      </c>
      <c r="T202">
        <v>22.798500000000001</v>
      </c>
      <c r="U202">
        <v>44.627099999999999</v>
      </c>
      <c r="V202">
        <v>332.80990000000003</v>
      </c>
      <c r="W202">
        <v>44.738</v>
      </c>
      <c r="X202">
        <v>33.5443</v>
      </c>
      <c r="Y202" t="s">
        <v>134</v>
      </c>
      <c r="Z202" t="s">
        <v>134</v>
      </c>
      <c r="AA202" t="s">
        <v>134</v>
      </c>
      <c r="AB202">
        <v>-16.6309</v>
      </c>
      <c r="AC202">
        <v>23.053599999999999</v>
      </c>
      <c r="AD202" t="s">
        <v>134</v>
      </c>
      <c r="AE202" t="s">
        <v>134</v>
      </c>
      <c r="AF202" t="s">
        <v>134</v>
      </c>
      <c r="AG202">
        <v>-8.1700999999999997</v>
      </c>
      <c r="AH202">
        <v>19.671900000000001</v>
      </c>
      <c r="AI202">
        <v>48.575299999999999</v>
      </c>
      <c r="AJ202">
        <v>23.534500000000001</v>
      </c>
      <c r="AK202">
        <v>39.865699999999997</v>
      </c>
      <c r="AL202" t="s">
        <v>134</v>
      </c>
      <c r="AM202">
        <v>18.876200000000001</v>
      </c>
      <c r="AN202">
        <v>15.4282</v>
      </c>
      <c r="AO202">
        <v>11.4132</v>
      </c>
      <c r="AP202">
        <v>18.818899999999999</v>
      </c>
      <c r="AQ202">
        <v>16.1065</v>
      </c>
      <c r="AR202" t="s">
        <v>134</v>
      </c>
      <c r="AS202">
        <v>33.874699999999997</v>
      </c>
      <c r="AT202" t="s">
        <v>134</v>
      </c>
      <c r="AU202">
        <v>1.2669000000000001</v>
      </c>
      <c r="AV202">
        <v>19.5305</v>
      </c>
      <c r="AW202" t="s">
        <v>134</v>
      </c>
      <c r="AX202" t="s">
        <v>134</v>
      </c>
      <c r="AY202" t="s">
        <v>134</v>
      </c>
      <c r="AZ202">
        <v>1.2945</v>
      </c>
      <c r="BA202">
        <v>20.436699999999998</v>
      </c>
      <c r="BB202">
        <v>17.119700000000002</v>
      </c>
      <c r="BC202">
        <v>19.864799999999999</v>
      </c>
      <c r="BD202">
        <v>14.5647</v>
      </c>
      <c r="BE202" t="s">
        <v>134</v>
      </c>
      <c r="BF202">
        <v>5.9245999999999999</v>
      </c>
      <c r="BG202">
        <v>1.6188</v>
      </c>
      <c r="BH202">
        <v>-79.226200000000006</v>
      </c>
      <c r="BI202">
        <v>26.555499999999999</v>
      </c>
      <c r="BJ202">
        <v>19.886399999999998</v>
      </c>
      <c r="BK202" t="s">
        <v>134</v>
      </c>
      <c r="BL202" t="s">
        <v>134</v>
      </c>
      <c r="BM202" t="s">
        <v>134</v>
      </c>
      <c r="BN202" t="s">
        <v>134</v>
      </c>
      <c r="BO202" t="s">
        <v>134</v>
      </c>
      <c r="BP202" t="s">
        <v>134</v>
      </c>
      <c r="BQ202" t="s">
        <v>134</v>
      </c>
      <c r="BR202" t="s">
        <v>134</v>
      </c>
      <c r="BS202" t="s">
        <v>134</v>
      </c>
      <c r="BT202" t="s">
        <v>134</v>
      </c>
      <c r="BU202" t="s">
        <v>134</v>
      </c>
      <c r="BV202" t="s">
        <v>134</v>
      </c>
      <c r="BW202" t="s">
        <v>134</v>
      </c>
      <c r="BX202" t="s">
        <v>134</v>
      </c>
      <c r="BY202">
        <v>715770.53799999994</v>
      </c>
      <c r="BZ202">
        <v>108029.55100000001</v>
      </c>
      <c r="CA202">
        <v>607740.98699999996</v>
      </c>
      <c r="CB202">
        <v>10.549099999999999</v>
      </c>
      <c r="CC202">
        <v>10.392300000000001</v>
      </c>
      <c r="CD202">
        <v>26.392499999999998</v>
      </c>
      <c r="CE202">
        <v>26.000499999999999</v>
      </c>
      <c r="CF202">
        <v>1.2662</v>
      </c>
      <c r="CG202">
        <v>14.064500000000001</v>
      </c>
      <c r="CH202">
        <v>443.36660000000001</v>
      </c>
      <c r="CI202">
        <v>71.260499999999993</v>
      </c>
      <c r="CJ202">
        <v>68.109099999999998</v>
      </c>
      <c r="CK202">
        <v>522.17759999999998</v>
      </c>
      <c r="CL202">
        <v>83.927400000000006</v>
      </c>
      <c r="CM202">
        <v>80.215800000000002</v>
      </c>
      <c r="CN202">
        <v>514.42039999999997</v>
      </c>
      <c r="CO202">
        <v>83.724500000000006</v>
      </c>
      <c r="CP202">
        <v>18198</v>
      </c>
      <c r="CQ202" t="s">
        <v>134</v>
      </c>
      <c r="CR202">
        <v>3693.6</v>
      </c>
      <c r="CS202" t="s">
        <v>134</v>
      </c>
      <c r="CT202" t="s">
        <v>134</v>
      </c>
      <c r="CU202" t="s">
        <v>134</v>
      </c>
      <c r="CV202" t="s">
        <v>134</v>
      </c>
      <c r="CW202" t="s">
        <v>134</v>
      </c>
      <c r="CX202" t="s">
        <v>134</v>
      </c>
      <c r="CY202" t="s">
        <v>134</v>
      </c>
      <c r="CZ202" t="s">
        <v>134</v>
      </c>
      <c r="DA202" t="s">
        <v>134</v>
      </c>
      <c r="DB202" t="s">
        <v>134</v>
      </c>
      <c r="DC202" t="s">
        <v>134</v>
      </c>
      <c r="DD202" t="s">
        <v>134</v>
      </c>
      <c r="DE202" t="s">
        <v>134</v>
      </c>
      <c r="DF202" t="s">
        <v>134</v>
      </c>
      <c r="DG202" t="s">
        <v>134</v>
      </c>
      <c r="DH202" t="s">
        <v>134</v>
      </c>
      <c r="DI202" t="s">
        <v>134</v>
      </c>
    </row>
    <row r="203" spans="1:113" x14ac:dyDescent="0.3">
      <c r="A203">
        <v>59</v>
      </c>
      <c r="B203" t="s">
        <v>26</v>
      </c>
      <c r="C203" t="s">
        <v>27</v>
      </c>
      <c r="D203" t="s">
        <v>2</v>
      </c>
      <c r="E203" t="s">
        <v>3</v>
      </c>
      <c r="F203">
        <v>18.6724</v>
      </c>
      <c r="G203">
        <v>1.4937</v>
      </c>
      <c r="H203">
        <v>1.8277999999999999</v>
      </c>
      <c r="I203">
        <v>1.83</v>
      </c>
      <c r="J203">
        <v>96.177800000000005</v>
      </c>
      <c r="K203">
        <v>83.149199999999993</v>
      </c>
      <c r="L203">
        <v>125.9083</v>
      </c>
      <c r="M203">
        <v>19.636399999999998</v>
      </c>
      <c r="N203">
        <v>60.911700000000003</v>
      </c>
      <c r="O203">
        <v>14.1149</v>
      </c>
      <c r="P203">
        <v>60.896599999999999</v>
      </c>
      <c r="Q203">
        <v>27.9435</v>
      </c>
      <c r="R203">
        <v>17.228000000000002</v>
      </c>
      <c r="S203">
        <v>15.4556</v>
      </c>
      <c r="T203">
        <v>20.5608</v>
      </c>
      <c r="U203">
        <v>22.862100000000002</v>
      </c>
      <c r="V203">
        <v>26.928599999999999</v>
      </c>
      <c r="W203">
        <v>25.8414</v>
      </c>
      <c r="X203">
        <v>25.818899999999999</v>
      </c>
      <c r="Y203">
        <v>18.421099999999999</v>
      </c>
      <c r="Z203" t="s">
        <v>134</v>
      </c>
      <c r="AA203" t="s">
        <v>134</v>
      </c>
      <c r="AB203">
        <v>20.4453</v>
      </c>
      <c r="AC203">
        <v>18.863600000000002</v>
      </c>
      <c r="AD203" t="s">
        <v>134</v>
      </c>
      <c r="AE203" t="s">
        <v>134</v>
      </c>
      <c r="AF203" t="s">
        <v>134</v>
      </c>
      <c r="AG203">
        <v>53.374499999999998</v>
      </c>
      <c r="AH203">
        <v>21.710599999999999</v>
      </c>
      <c r="AI203">
        <v>16.1129</v>
      </c>
      <c r="AJ203">
        <v>21.15</v>
      </c>
      <c r="AK203">
        <v>16.1098</v>
      </c>
      <c r="AL203">
        <v>-8.2423999999999999</v>
      </c>
      <c r="AM203">
        <v>26.325099999999999</v>
      </c>
      <c r="AN203">
        <v>26.737500000000001</v>
      </c>
      <c r="AO203">
        <v>19.936299999999999</v>
      </c>
      <c r="AP203">
        <v>19.6557</v>
      </c>
      <c r="AQ203">
        <v>15.593999999999999</v>
      </c>
      <c r="AR203">
        <v>11.595800000000001</v>
      </c>
      <c r="AS203">
        <v>213.2938</v>
      </c>
      <c r="AT203" t="s">
        <v>134</v>
      </c>
      <c r="AU203">
        <v>8.2472999999999992</v>
      </c>
      <c r="AV203">
        <v>26.649100000000001</v>
      </c>
      <c r="AW203" t="s">
        <v>134</v>
      </c>
      <c r="AX203" t="s">
        <v>134</v>
      </c>
      <c r="AY203" t="s">
        <v>134</v>
      </c>
      <c r="AZ203" t="s">
        <v>134</v>
      </c>
      <c r="BA203">
        <v>22.294899999999998</v>
      </c>
      <c r="BB203">
        <v>27.376899999999999</v>
      </c>
      <c r="BC203">
        <v>22.731999999999999</v>
      </c>
      <c r="BD203">
        <v>23.051500000000001</v>
      </c>
      <c r="BE203" t="s">
        <v>134</v>
      </c>
      <c r="BF203">
        <v>20.5608</v>
      </c>
      <c r="BG203">
        <v>22.862100000000002</v>
      </c>
      <c r="BH203">
        <v>26.928599999999999</v>
      </c>
      <c r="BI203">
        <v>25.8414</v>
      </c>
      <c r="BJ203">
        <v>25.818899999999999</v>
      </c>
      <c r="BK203">
        <v>18.421099999999999</v>
      </c>
      <c r="BL203">
        <v>11.9297</v>
      </c>
      <c r="BM203" t="s">
        <v>134</v>
      </c>
      <c r="BN203">
        <v>20.4453</v>
      </c>
      <c r="BO203">
        <v>18.863600000000002</v>
      </c>
      <c r="BP203" t="s">
        <v>134</v>
      </c>
      <c r="BQ203" t="s">
        <v>134</v>
      </c>
      <c r="BR203" t="s">
        <v>134</v>
      </c>
      <c r="BS203">
        <v>53.374499999999998</v>
      </c>
      <c r="BT203">
        <v>21.710599999999999</v>
      </c>
      <c r="BU203">
        <v>16.1129</v>
      </c>
      <c r="BV203">
        <v>21.15</v>
      </c>
      <c r="BW203">
        <v>16.1098</v>
      </c>
      <c r="BX203" t="s">
        <v>134</v>
      </c>
      <c r="BY203">
        <v>714504.39599999995</v>
      </c>
      <c r="BZ203">
        <v>37381.108</v>
      </c>
      <c r="CA203">
        <v>677123.28799999994</v>
      </c>
      <c r="CB203">
        <v>7.9546999999999999</v>
      </c>
      <c r="CC203">
        <v>7.6124999999999998</v>
      </c>
      <c r="CD203">
        <v>39.696899999999999</v>
      </c>
      <c r="CE203">
        <v>37.988900000000001</v>
      </c>
      <c r="CF203">
        <v>1.252</v>
      </c>
      <c r="CG203">
        <v>7.9135</v>
      </c>
      <c r="CH203">
        <v>892.48239999999998</v>
      </c>
      <c r="CI203">
        <v>85.671199999999999</v>
      </c>
      <c r="CJ203">
        <v>70.636600000000001</v>
      </c>
      <c r="CK203">
        <v>941.75250000000005</v>
      </c>
      <c r="CL203">
        <v>90.400800000000004</v>
      </c>
      <c r="CM203">
        <v>74.536199999999994</v>
      </c>
      <c r="CN203">
        <v>901.2328</v>
      </c>
      <c r="CO203">
        <v>90.012299999999996</v>
      </c>
      <c r="CP203">
        <v>89821.26</v>
      </c>
      <c r="CQ203">
        <v>89745.264999999999</v>
      </c>
      <c r="CR203">
        <v>17998.984</v>
      </c>
      <c r="CS203" t="s">
        <v>134</v>
      </c>
      <c r="CT203" t="s">
        <v>134</v>
      </c>
      <c r="CU203" t="s">
        <v>134</v>
      </c>
      <c r="CV203" t="s">
        <v>134</v>
      </c>
      <c r="CW203" t="s">
        <v>134</v>
      </c>
      <c r="CX203" t="s">
        <v>134</v>
      </c>
      <c r="CY203" t="s">
        <v>134</v>
      </c>
      <c r="CZ203" t="s">
        <v>134</v>
      </c>
      <c r="DA203" t="s">
        <v>134</v>
      </c>
      <c r="DB203" t="s">
        <v>134</v>
      </c>
      <c r="DC203" t="s">
        <v>134</v>
      </c>
      <c r="DD203" t="s">
        <v>134</v>
      </c>
      <c r="DE203" t="s">
        <v>134</v>
      </c>
      <c r="DF203" t="s">
        <v>134</v>
      </c>
      <c r="DG203" t="s">
        <v>134</v>
      </c>
      <c r="DH203" t="s">
        <v>134</v>
      </c>
      <c r="DI203" t="s">
        <v>134</v>
      </c>
    </row>
    <row r="204" spans="1:113" x14ac:dyDescent="0.3">
      <c r="E204" t="s">
        <v>4</v>
      </c>
      <c r="F204" t="s">
        <v>134</v>
      </c>
      <c r="G204" t="s">
        <v>134</v>
      </c>
      <c r="H204" t="s">
        <v>134</v>
      </c>
      <c r="I204" t="s">
        <v>134</v>
      </c>
      <c r="J204" t="s">
        <v>134</v>
      </c>
      <c r="K204" t="s">
        <v>134</v>
      </c>
      <c r="L204" t="s">
        <v>134</v>
      </c>
      <c r="M204" t="s">
        <v>134</v>
      </c>
      <c r="N204" t="s">
        <v>134</v>
      </c>
      <c r="O204" t="s">
        <v>134</v>
      </c>
      <c r="P204" t="s">
        <v>134</v>
      </c>
      <c r="Q204" t="s">
        <v>134</v>
      </c>
      <c r="R204" t="s">
        <v>134</v>
      </c>
      <c r="S204" t="s">
        <v>134</v>
      </c>
      <c r="T204" t="s">
        <v>134</v>
      </c>
      <c r="U204" t="s">
        <v>134</v>
      </c>
      <c r="V204" t="s">
        <v>134</v>
      </c>
      <c r="W204" t="s">
        <v>134</v>
      </c>
      <c r="X204" t="s">
        <v>134</v>
      </c>
      <c r="Y204" t="s">
        <v>134</v>
      </c>
      <c r="Z204" t="s">
        <v>134</v>
      </c>
      <c r="AA204" t="s">
        <v>134</v>
      </c>
      <c r="AB204" t="s">
        <v>134</v>
      </c>
      <c r="AC204" t="s">
        <v>134</v>
      </c>
      <c r="AD204" t="s">
        <v>134</v>
      </c>
      <c r="AE204" t="s">
        <v>134</v>
      </c>
      <c r="AF204" t="s">
        <v>134</v>
      </c>
      <c r="AG204" t="s">
        <v>134</v>
      </c>
      <c r="AH204" t="s">
        <v>134</v>
      </c>
      <c r="AI204" t="s">
        <v>134</v>
      </c>
      <c r="AJ204" t="s">
        <v>134</v>
      </c>
      <c r="AK204" t="s">
        <v>134</v>
      </c>
      <c r="AL204" t="s">
        <v>134</v>
      </c>
      <c r="AM204" t="s">
        <v>134</v>
      </c>
      <c r="AN204" t="s">
        <v>134</v>
      </c>
      <c r="AO204" t="s">
        <v>134</v>
      </c>
      <c r="AP204" t="s">
        <v>134</v>
      </c>
      <c r="AQ204" t="s">
        <v>134</v>
      </c>
      <c r="AR204" t="s">
        <v>134</v>
      </c>
      <c r="AS204" t="s">
        <v>134</v>
      </c>
      <c r="AT204" t="s">
        <v>134</v>
      </c>
      <c r="AU204" t="s">
        <v>134</v>
      </c>
      <c r="AV204" t="s">
        <v>134</v>
      </c>
      <c r="AW204" t="s">
        <v>134</v>
      </c>
      <c r="AX204" t="s">
        <v>134</v>
      </c>
      <c r="AY204" t="s">
        <v>134</v>
      </c>
      <c r="AZ204" t="s">
        <v>134</v>
      </c>
      <c r="BA204" t="s">
        <v>134</v>
      </c>
      <c r="BB204" t="s">
        <v>134</v>
      </c>
      <c r="BC204" t="s">
        <v>134</v>
      </c>
      <c r="BD204" t="s">
        <v>134</v>
      </c>
      <c r="BE204" t="s">
        <v>134</v>
      </c>
      <c r="BF204" t="s">
        <v>134</v>
      </c>
      <c r="BG204" t="s">
        <v>134</v>
      </c>
      <c r="BH204" t="s">
        <v>134</v>
      </c>
      <c r="BI204" t="s">
        <v>134</v>
      </c>
      <c r="BJ204" t="s">
        <v>134</v>
      </c>
      <c r="BK204" t="s">
        <v>134</v>
      </c>
      <c r="BL204" t="s">
        <v>134</v>
      </c>
      <c r="BM204" t="s">
        <v>134</v>
      </c>
      <c r="BN204" t="s">
        <v>134</v>
      </c>
      <c r="BO204" t="s">
        <v>134</v>
      </c>
      <c r="BP204" t="s">
        <v>134</v>
      </c>
      <c r="BQ204" t="s">
        <v>134</v>
      </c>
      <c r="BR204" t="s">
        <v>134</v>
      </c>
      <c r="BS204" t="s">
        <v>134</v>
      </c>
      <c r="BT204" t="s">
        <v>134</v>
      </c>
      <c r="BU204" t="s">
        <v>134</v>
      </c>
      <c r="BV204" t="s">
        <v>134</v>
      </c>
      <c r="BW204" t="s">
        <v>134</v>
      </c>
      <c r="BX204" t="s">
        <v>134</v>
      </c>
      <c r="BY204" t="s">
        <v>134</v>
      </c>
      <c r="BZ204" t="s">
        <v>134</v>
      </c>
      <c r="CA204" t="s">
        <v>134</v>
      </c>
      <c r="CB204" t="s">
        <v>134</v>
      </c>
      <c r="CC204" t="s">
        <v>134</v>
      </c>
      <c r="CD204" t="s">
        <v>134</v>
      </c>
      <c r="CE204" t="s">
        <v>134</v>
      </c>
      <c r="CF204" t="s">
        <v>134</v>
      </c>
      <c r="CG204" t="s">
        <v>134</v>
      </c>
      <c r="CH204" t="s">
        <v>134</v>
      </c>
      <c r="CI204" t="s">
        <v>134</v>
      </c>
      <c r="CJ204" t="s">
        <v>134</v>
      </c>
      <c r="CK204" t="s">
        <v>134</v>
      </c>
      <c r="CL204" t="s">
        <v>134</v>
      </c>
      <c r="CM204" t="s">
        <v>134</v>
      </c>
      <c r="CN204" t="s">
        <v>134</v>
      </c>
      <c r="CO204" t="s">
        <v>134</v>
      </c>
      <c r="CP204" t="s">
        <v>134</v>
      </c>
      <c r="CQ204" t="s">
        <v>134</v>
      </c>
      <c r="CR204" t="s">
        <v>134</v>
      </c>
      <c r="CS204" t="s">
        <v>134</v>
      </c>
      <c r="CT204" t="s">
        <v>134</v>
      </c>
      <c r="CU204" t="s">
        <v>134</v>
      </c>
      <c r="CV204" t="s">
        <v>134</v>
      </c>
      <c r="CW204" t="s">
        <v>134</v>
      </c>
      <c r="CX204" t="s">
        <v>134</v>
      </c>
      <c r="CY204" t="s">
        <v>134</v>
      </c>
      <c r="CZ204" t="s">
        <v>134</v>
      </c>
      <c r="DA204" t="s">
        <v>134</v>
      </c>
      <c r="DB204" t="s">
        <v>134</v>
      </c>
      <c r="DC204" t="s">
        <v>134</v>
      </c>
      <c r="DD204" t="s">
        <v>134</v>
      </c>
      <c r="DE204" t="s">
        <v>134</v>
      </c>
      <c r="DF204" t="s">
        <v>134</v>
      </c>
      <c r="DG204" t="s">
        <v>134</v>
      </c>
      <c r="DH204" t="s">
        <v>134</v>
      </c>
      <c r="DI204" t="s">
        <v>134</v>
      </c>
    </row>
    <row r="205" spans="1:113" x14ac:dyDescent="0.3">
      <c r="E205" t="s">
        <v>5</v>
      </c>
      <c r="F205" t="s">
        <v>134</v>
      </c>
      <c r="G205" t="s">
        <v>134</v>
      </c>
      <c r="H205" t="s">
        <v>134</v>
      </c>
      <c r="I205" t="s">
        <v>134</v>
      </c>
      <c r="J205" t="s">
        <v>134</v>
      </c>
      <c r="K205" t="s">
        <v>134</v>
      </c>
      <c r="L205" t="s">
        <v>134</v>
      </c>
      <c r="M205" t="s">
        <v>134</v>
      </c>
      <c r="N205" t="s">
        <v>134</v>
      </c>
      <c r="O205" t="s">
        <v>134</v>
      </c>
      <c r="P205" t="s">
        <v>134</v>
      </c>
      <c r="Q205" t="s">
        <v>134</v>
      </c>
      <c r="R205" t="s">
        <v>134</v>
      </c>
      <c r="S205" t="s">
        <v>134</v>
      </c>
      <c r="T205" t="s">
        <v>134</v>
      </c>
      <c r="U205" t="s">
        <v>134</v>
      </c>
      <c r="V205" t="s">
        <v>134</v>
      </c>
      <c r="W205" t="s">
        <v>134</v>
      </c>
      <c r="X205" t="s">
        <v>134</v>
      </c>
      <c r="Y205" t="s">
        <v>134</v>
      </c>
      <c r="Z205" t="s">
        <v>134</v>
      </c>
      <c r="AA205" t="s">
        <v>134</v>
      </c>
      <c r="AB205" t="s">
        <v>134</v>
      </c>
      <c r="AC205" t="s">
        <v>134</v>
      </c>
      <c r="AD205" t="s">
        <v>134</v>
      </c>
      <c r="AE205" t="s">
        <v>134</v>
      </c>
      <c r="AF205" t="s">
        <v>134</v>
      </c>
      <c r="AG205" t="s">
        <v>134</v>
      </c>
      <c r="AH205" t="s">
        <v>134</v>
      </c>
      <c r="AI205" t="s">
        <v>134</v>
      </c>
      <c r="AJ205" t="s">
        <v>134</v>
      </c>
      <c r="AK205" t="s">
        <v>134</v>
      </c>
      <c r="AL205" t="s">
        <v>134</v>
      </c>
      <c r="AM205" t="s">
        <v>134</v>
      </c>
      <c r="AN205" t="s">
        <v>134</v>
      </c>
      <c r="AO205" t="s">
        <v>134</v>
      </c>
      <c r="AP205" t="s">
        <v>134</v>
      </c>
      <c r="AQ205" t="s">
        <v>134</v>
      </c>
      <c r="AR205" t="s">
        <v>134</v>
      </c>
      <c r="AS205" t="s">
        <v>134</v>
      </c>
      <c r="AT205" t="s">
        <v>134</v>
      </c>
      <c r="AU205" t="s">
        <v>134</v>
      </c>
      <c r="AV205" t="s">
        <v>134</v>
      </c>
      <c r="AW205" t="s">
        <v>134</v>
      </c>
      <c r="AX205" t="s">
        <v>134</v>
      </c>
      <c r="AY205" t="s">
        <v>134</v>
      </c>
      <c r="AZ205" t="s">
        <v>134</v>
      </c>
      <c r="BA205" t="s">
        <v>134</v>
      </c>
      <c r="BB205" t="s">
        <v>134</v>
      </c>
      <c r="BC205" t="s">
        <v>134</v>
      </c>
      <c r="BD205" t="s">
        <v>134</v>
      </c>
      <c r="BE205" t="s">
        <v>134</v>
      </c>
      <c r="BF205" t="s">
        <v>134</v>
      </c>
      <c r="BG205" t="s">
        <v>134</v>
      </c>
      <c r="BH205" t="s">
        <v>134</v>
      </c>
      <c r="BI205" t="s">
        <v>134</v>
      </c>
      <c r="BJ205" t="s">
        <v>134</v>
      </c>
      <c r="BK205" t="s">
        <v>134</v>
      </c>
      <c r="BL205" t="s">
        <v>134</v>
      </c>
      <c r="BM205" t="s">
        <v>134</v>
      </c>
      <c r="BN205" t="s">
        <v>134</v>
      </c>
      <c r="BO205" t="s">
        <v>134</v>
      </c>
      <c r="BP205" t="s">
        <v>134</v>
      </c>
      <c r="BQ205" t="s">
        <v>134</v>
      </c>
      <c r="BR205" t="s">
        <v>134</v>
      </c>
      <c r="BS205" t="s">
        <v>134</v>
      </c>
      <c r="BT205" t="s">
        <v>134</v>
      </c>
      <c r="BU205" t="s">
        <v>134</v>
      </c>
      <c r="BV205" t="s">
        <v>134</v>
      </c>
      <c r="BW205" t="s">
        <v>134</v>
      </c>
      <c r="BX205" t="s">
        <v>134</v>
      </c>
      <c r="BY205" t="s">
        <v>134</v>
      </c>
      <c r="BZ205" t="s">
        <v>134</v>
      </c>
      <c r="CA205" t="s">
        <v>134</v>
      </c>
      <c r="CB205" t="s">
        <v>134</v>
      </c>
      <c r="CC205" t="s">
        <v>134</v>
      </c>
      <c r="CD205" t="s">
        <v>134</v>
      </c>
      <c r="CE205" t="s">
        <v>134</v>
      </c>
      <c r="CF205" t="s">
        <v>134</v>
      </c>
      <c r="CG205" t="s">
        <v>134</v>
      </c>
      <c r="CH205" t="s">
        <v>134</v>
      </c>
      <c r="CI205" t="s">
        <v>134</v>
      </c>
      <c r="CJ205" t="s">
        <v>134</v>
      </c>
      <c r="CK205" t="s">
        <v>134</v>
      </c>
      <c r="CL205" t="s">
        <v>134</v>
      </c>
      <c r="CM205" t="s">
        <v>134</v>
      </c>
      <c r="CN205" t="s">
        <v>134</v>
      </c>
      <c r="CO205" t="s">
        <v>134</v>
      </c>
      <c r="CP205" t="s">
        <v>134</v>
      </c>
      <c r="CQ205" t="s">
        <v>134</v>
      </c>
      <c r="CR205" t="s">
        <v>134</v>
      </c>
      <c r="CS205" t="s">
        <v>134</v>
      </c>
      <c r="CT205" t="s">
        <v>134</v>
      </c>
      <c r="CU205" t="s">
        <v>134</v>
      </c>
      <c r="CV205" t="s">
        <v>134</v>
      </c>
      <c r="CW205" t="s">
        <v>134</v>
      </c>
      <c r="CX205" t="s">
        <v>134</v>
      </c>
      <c r="CY205" t="s">
        <v>134</v>
      </c>
      <c r="CZ205" t="s">
        <v>134</v>
      </c>
      <c r="DA205" t="s">
        <v>134</v>
      </c>
      <c r="DB205" t="s">
        <v>134</v>
      </c>
      <c r="DC205" t="s">
        <v>134</v>
      </c>
      <c r="DD205" t="s">
        <v>134</v>
      </c>
      <c r="DE205" t="s">
        <v>134</v>
      </c>
      <c r="DF205" t="s">
        <v>134</v>
      </c>
      <c r="DG205" t="s">
        <v>134</v>
      </c>
      <c r="DH205" t="s">
        <v>134</v>
      </c>
      <c r="DI205" t="s">
        <v>134</v>
      </c>
    </row>
    <row r="206" spans="1:113" x14ac:dyDescent="0.3">
      <c r="E206" t="s">
        <v>6</v>
      </c>
      <c r="F206" t="s">
        <v>134</v>
      </c>
      <c r="G206" t="s">
        <v>134</v>
      </c>
      <c r="H206" t="s">
        <v>134</v>
      </c>
      <c r="I206" t="s">
        <v>134</v>
      </c>
      <c r="J206" t="s">
        <v>134</v>
      </c>
      <c r="K206" t="s">
        <v>134</v>
      </c>
      <c r="L206" t="s">
        <v>134</v>
      </c>
      <c r="M206" t="s">
        <v>134</v>
      </c>
      <c r="N206" t="s">
        <v>134</v>
      </c>
      <c r="O206" t="s">
        <v>134</v>
      </c>
      <c r="P206" t="s">
        <v>134</v>
      </c>
      <c r="Q206" t="s">
        <v>134</v>
      </c>
      <c r="R206" t="s">
        <v>134</v>
      </c>
      <c r="S206" t="s">
        <v>134</v>
      </c>
      <c r="T206" t="s">
        <v>134</v>
      </c>
      <c r="U206" t="s">
        <v>134</v>
      </c>
      <c r="V206" t="s">
        <v>134</v>
      </c>
      <c r="W206" t="s">
        <v>134</v>
      </c>
      <c r="X206" t="s">
        <v>134</v>
      </c>
      <c r="Y206" t="s">
        <v>134</v>
      </c>
      <c r="Z206" t="s">
        <v>134</v>
      </c>
      <c r="AA206" t="s">
        <v>134</v>
      </c>
      <c r="AB206" t="s">
        <v>134</v>
      </c>
      <c r="AC206" t="s">
        <v>134</v>
      </c>
      <c r="AD206" t="s">
        <v>134</v>
      </c>
      <c r="AE206" t="s">
        <v>134</v>
      </c>
      <c r="AF206" t="s">
        <v>134</v>
      </c>
      <c r="AG206" t="s">
        <v>134</v>
      </c>
      <c r="AH206" t="s">
        <v>134</v>
      </c>
      <c r="AI206" t="s">
        <v>134</v>
      </c>
      <c r="AJ206" t="s">
        <v>134</v>
      </c>
      <c r="AK206" t="s">
        <v>134</v>
      </c>
      <c r="AL206" t="s">
        <v>134</v>
      </c>
      <c r="AM206" t="s">
        <v>134</v>
      </c>
      <c r="AN206" t="s">
        <v>134</v>
      </c>
      <c r="AO206" t="s">
        <v>134</v>
      </c>
      <c r="AP206" t="s">
        <v>134</v>
      </c>
      <c r="AQ206" t="s">
        <v>134</v>
      </c>
      <c r="AR206" t="s">
        <v>134</v>
      </c>
      <c r="AS206" t="s">
        <v>134</v>
      </c>
      <c r="AT206" t="s">
        <v>134</v>
      </c>
      <c r="AU206" t="s">
        <v>134</v>
      </c>
      <c r="AV206" t="s">
        <v>134</v>
      </c>
      <c r="AW206" t="s">
        <v>134</v>
      </c>
      <c r="AX206" t="s">
        <v>134</v>
      </c>
      <c r="AY206" t="s">
        <v>134</v>
      </c>
      <c r="AZ206" t="s">
        <v>134</v>
      </c>
      <c r="BA206" t="s">
        <v>134</v>
      </c>
      <c r="BB206" t="s">
        <v>134</v>
      </c>
      <c r="BC206" t="s">
        <v>134</v>
      </c>
      <c r="BD206" t="s">
        <v>134</v>
      </c>
      <c r="BE206" t="s">
        <v>134</v>
      </c>
      <c r="BF206" t="s">
        <v>134</v>
      </c>
      <c r="BG206" t="s">
        <v>134</v>
      </c>
      <c r="BH206" t="s">
        <v>134</v>
      </c>
      <c r="BI206" t="s">
        <v>134</v>
      </c>
      <c r="BJ206" t="s">
        <v>134</v>
      </c>
      <c r="BK206" t="s">
        <v>134</v>
      </c>
      <c r="BL206" t="s">
        <v>134</v>
      </c>
      <c r="BM206" t="s">
        <v>134</v>
      </c>
      <c r="BN206" t="s">
        <v>134</v>
      </c>
      <c r="BO206" t="s">
        <v>134</v>
      </c>
      <c r="BP206" t="s">
        <v>134</v>
      </c>
      <c r="BQ206" t="s">
        <v>134</v>
      </c>
      <c r="BR206" t="s">
        <v>134</v>
      </c>
      <c r="BS206" t="s">
        <v>134</v>
      </c>
      <c r="BT206" t="s">
        <v>134</v>
      </c>
      <c r="BU206" t="s">
        <v>134</v>
      </c>
      <c r="BV206" t="s">
        <v>134</v>
      </c>
      <c r="BW206" t="s">
        <v>134</v>
      </c>
      <c r="BX206" t="s">
        <v>134</v>
      </c>
      <c r="BY206" t="s">
        <v>134</v>
      </c>
      <c r="BZ206" t="s">
        <v>134</v>
      </c>
      <c r="CA206" t="s">
        <v>134</v>
      </c>
      <c r="CB206" t="s">
        <v>134</v>
      </c>
      <c r="CC206" t="s">
        <v>134</v>
      </c>
      <c r="CD206" t="s">
        <v>134</v>
      </c>
      <c r="CE206" t="s">
        <v>134</v>
      </c>
      <c r="CF206" t="s">
        <v>134</v>
      </c>
      <c r="CG206" t="s">
        <v>134</v>
      </c>
      <c r="CH206" t="s">
        <v>134</v>
      </c>
      <c r="CI206" t="s">
        <v>134</v>
      </c>
      <c r="CJ206" t="s">
        <v>134</v>
      </c>
      <c r="CK206" t="s">
        <v>134</v>
      </c>
      <c r="CL206" t="s">
        <v>134</v>
      </c>
      <c r="CM206" t="s">
        <v>134</v>
      </c>
      <c r="CN206" t="s">
        <v>134</v>
      </c>
      <c r="CO206" t="s">
        <v>134</v>
      </c>
      <c r="CP206" t="s">
        <v>134</v>
      </c>
      <c r="CQ206" t="s">
        <v>134</v>
      </c>
      <c r="CR206" t="s">
        <v>134</v>
      </c>
      <c r="CS206" t="s">
        <v>134</v>
      </c>
      <c r="CT206" t="s">
        <v>134</v>
      </c>
      <c r="CU206" t="s">
        <v>134</v>
      </c>
      <c r="CV206" t="s">
        <v>134</v>
      </c>
      <c r="CW206" t="s">
        <v>134</v>
      </c>
      <c r="CX206" t="s">
        <v>134</v>
      </c>
      <c r="CY206" t="s">
        <v>134</v>
      </c>
      <c r="CZ206" t="s">
        <v>134</v>
      </c>
      <c r="DA206" t="s">
        <v>134</v>
      </c>
      <c r="DB206" t="s">
        <v>134</v>
      </c>
      <c r="DC206" t="s">
        <v>134</v>
      </c>
      <c r="DD206" t="s">
        <v>134</v>
      </c>
      <c r="DE206" t="s">
        <v>134</v>
      </c>
      <c r="DF206" t="s">
        <v>134</v>
      </c>
      <c r="DG206" t="s">
        <v>134</v>
      </c>
      <c r="DH206" t="s">
        <v>134</v>
      </c>
      <c r="DI206" t="s">
        <v>134</v>
      </c>
    </row>
    <row r="207" spans="1:113" x14ac:dyDescent="0.3">
      <c r="E207" t="s">
        <v>7</v>
      </c>
      <c r="F207" t="s">
        <v>134</v>
      </c>
      <c r="G207" t="s">
        <v>134</v>
      </c>
      <c r="H207" t="s">
        <v>134</v>
      </c>
      <c r="I207" t="s">
        <v>134</v>
      </c>
      <c r="J207" t="s">
        <v>134</v>
      </c>
      <c r="K207" t="s">
        <v>134</v>
      </c>
      <c r="L207" t="s">
        <v>134</v>
      </c>
      <c r="M207" t="s">
        <v>134</v>
      </c>
      <c r="N207" t="s">
        <v>134</v>
      </c>
      <c r="O207" t="s">
        <v>134</v>
      </c>
      <c r="P207" t="s">
        <v>134</v>
      </c>
      <c r="Q207" t="s">
        <v>134</v>
      </c>
      <c r="R207" t="s">
        <v>134</v>
      </c>
      <c r="S207" t="s">
        <v>134</v>
      </c>
      <c r="T207" t="s">
        <v>134</v>
      </c>
      <c r="U207" t="s">
        <v>134</v>
      </c>
      <c r="V207" t="s">
        <v>134</v>
      </c>
      <c r="W207" t="s">
        <v>134</v>
      </c>
      <c r="X207" t="s">
        <v>134</v>
      </c>
      <c r="Y207" t="s">
        <v>134</v>
      </c>
      <c r="Z207" t="s">
        <v>134</v>
      </c>
      <c r="AA207" t="s">
        <v>134</v>
      </c>
      <c r="AB207" t="s">
        <v>134</v>
      </c>
      <c r="AC207" t="s">
        <v>134</v>
      </c>
      <c r="AD207" t="s">
        <v>134</v>
      </c>
      <c r="AE207" t="s">
        <v>134</v>
      </c>
      <c r="AF207" t="s">
        <v>134</v>
      </c>
      <c r="AG207" t="s">
        <v>134</v>
      </c>
      <c r="AH207" t="s">
        <v>134</v>
      </c>
      <c r="AI207" t="s">
        <v>134</v>
      </c>
      <c r="AJ207" t="s">
        <v>134</v>
      </c>
      <c r="AK207" t="s">
        <v>134</v>
      </c>
      <c r="AL207" t="s">
        <v>134</v>
      </c>
      <c r="AM207" t="s">
        <v>134</v>
      </c>
      <c r="AN207" t="s">
        <v>134</v>
      </c>
      <c r="AO207" t="s">
        <v>134</v>
      </c>
      <c r="AP207" t="s">
        <v>134</v>
      </c>
      <c r="AQ207" t="s">
        <v>134</v>
      </c>
      <c r="AR207" t="s">
        <v>134</v>
      </c>
      <c r="AS207" t="s">
        <v>134</v>
      </c>
      <c r="AT207" t="s">
        <v>134</v>
      </c>
      <c r="AU207" t="s">
        <v>134</v>
      </c>
      <c r="AV207" t="s">
        <v>134</v>
      </c>
      <c r="AW207" t="s">
        <v>134</v>
      </c>
      <c r="AX207" t="s">
        <v>134</v>
      </c>
      <c r="AY207" t="s">
        <v>134</v>
      </c>
      <c r="AZ207" t="s">
        <v>134</v>
      </c>
      <c r="BA207" t="s">
        <v>134</v>
      </c>
      <c r="BB207" t="s">
        <v>134</v>
      </c>
      <c r="BC207" t="s">
        <v>134</v>
      </c>
      <c r="BD207" t="s">
        <v>134</v>
      </c>
      <c r="BE207" t="s">
        <v>134</v>
      </c>
      <c r="BF207" t="s">
        <v>134</v>
      </c>
      <c r="BG207" t="s">
        <v>134</v>
      </c>
      <c r="BH207" t="s">
        <v>134</v>
      </c>
      <c r="BI207" t="s">
        <v>134</v>
      </c>
      <c r="BJ207" t="s">
        <v>134</v>
      </c>
      <c r="BK207" t="s">
        <v>134</v>
      </c>
      <c r="BL207" t="s">
        <v>134</v>
      </c>
      <c r="BM207" t="s">
        <v>134</v>
      </c>
      <c r="BN207" t="s">
        <v>134</v>
      </c>
      <c r="BO207" t="s">
        <v>134</v>
      </c>
      <c r="BP207" t="s">
        <v>134</v>
      </c>
      <c r="BQ207" t="s">
        <v>134</v>
      </c>
      <c r="BR207" t="s">
        <v>134</v>
      </c>
      <c r="BS207" t="s">
        <v>134</v>
      </c>
      <c r="BT207" t="s">
        <v>134</v>
      </c>
      <c r="BU207" t="s">
        <v>134</v>
      </c>
      <c r="BV207" t="s">
        <v>134</v>
      </c>
      <c r="BW207" t="s">
        <v>134</v>
      </c>
      <c r="BX207" t="s">
        <v>134</v>
      </c>
      <c r="BY207" t="s">
        <v>134</v>
      </c>
      <c r="BZ207" t="s">
        <v>134</v>
      </c>
      <c r="CA207" t="s">
        <v>134</v>
      </c>
      <c r="CB207" t="s">
        <v>134</v>
      </c>
      <c r="CC207" t="s">
        <v>134</v>
      </c>
      <c r="CD207" t="s">
        <v>134</v>
      </c>
      <c r="CE207" t="s">
        <v>134</v>
      </c>
      <c r="CF207" t="s">
        <v>134</v>
      </c>
      <c r="CG207" t="s">
        <v>134</v>
      </c>
      <c r="CH207" t="s">
        <v>134</v>
      </c>
      <c r="CI207" t="s">
        <v>134</v>
      </c>
      <c r="CJ207" t="s">
        <v>134</v>
      </c>
      <c r="CK207" t="s">
        <v>134</v>
      </c>
      <c r="CL207" t="s">
        <v>134</v>
      </c>
      <c r="CM207" t="s">
        <v>134</v>
      </c>
      <c r="CN207" t="s">
        <v>134</v>
      </c>
      <c r="CO207" t="s">
        <v>134</v>
      </c>
      <c r="CP207" t="s">
        <v>134</v>
      </c>
      <c r="CQ207" t="s">
        <v>134</v>
      </c>
      <c r="CR207" t="s">
        <v>134</v>
      </c>
      <c r="CS207" t="s">
        <v>134</v>
      </c>
      <c r="CT207" t="s">
        <v>134</v>
      </c>
      <c r="CU207" t="s">
        <v>134</v>
      </c>
      <c r="CV207" t="s">
        <v>134</v>
      </c>
      <c r="CW207" t="s">
        <v>134</v>
      </c>
      <c r="CX207" t="s">
        <v>134</v>
      </c>
      <c r="CY207" t="s">
        <v>134</v>
      </c>
      <c r="CZ207" t="s">
        <v>134</v>
      </c>
      <c r="DA207" t="s">
        <v>134</v>
      </c>
      <c r="DB207" t="s">
        <v>134</v>
      </c>
      <c r="DC207" t="s">
        <v>134</v>
      </c>
      <c r="DD207" t="s">
        <v>134</v>
      </c>
      <c r="DE207" t="s">
        <v>134</v>
      </c>
      <c r="DF207" t="s">
        <v>134</v>
      </c>
      <c r="DG207" t="s">
        <v>134</v>
      </c>
      <c r="DH207" t="s">
        <v>134</v>
      </c>
      <c r="DI207" t="s">
        <v>134</v>
      </c>
    </row>
    <row r="208" spans="1:113" x14ac:dyDescent="0.3">
      <c r="D208" t="s">
        <v>8</v>
      </c>
      <c r="E208" t="s">
        <v>3</v>
      </c>
      <c r="F208">
        <v>18.047499999999999</v>
      </c>
      <c r="G208">
        <v>1.3388</v>
      </c>
      <c r="H208">
        <v>1.4031</v>
      </c>
      <c r="I208">
        <v>1.3963000000000001</v>
      </c>
      <c r="J208">
        <v>96.295699999999997</v>
      </c>
      <c r="K208">
        <v>83.676000000000002</v>
      </c>
      <c r="L208">
        <v>86.952600000000004</v>
      </c>
      <c r="M208">
        <v>19.601299999999998</v>
      </c>
      <c r="N208">
        <v>55.555700000000002</v>
      </c>
      <c r="O208">
        <v>12.9079</v>
      </c>
      <c r="P208">
        <v>55.543599999999998</v>
      </c>
      <c r="Q208">
        <v>34.057699999999997</v>
      </c>
      <c r="R208">
        <v>18.080300000000001</v>
      </c>
      <c r="S208">
        <v>14.7845</v>
      </c>
      <c r="T208">
        <v>15.7721</v>
      </c>
      <c r="U208">
        <v>15.914</v>
      </c>
      <c r="V208">
        <v>16.8108</v>
      </c>
      <c r="W208">
        <v>5.8719999999999999</v>
      </c>
      <c r="X208">
        <v>5.8575999999999997</v>
      </c>
      <c r="Y208">
        <v>11.1111</v>
      </c>
      <c r="Z208" t="s">
        <v>134</v>
      </c>
      <c r="AA208" t="s">
        <v>134</v>
      </c>
      <c r="AB208">
        <v>2.3810000000000002</v>
      </c>
      <c r="AC208">
        <v>17.4922</v>
      </c>
      <c r="AD208" t="s">
        <v>134</v>
      </c>
      <c r="AE208" t="s">
        <v>134</v>
      </c>
      <c r="AF208" t="s">
        <v>134</v>
      </c>
      <c r="AG208">
        <v>15.1944</v>
      </c>
      <c r="AH208">
        <v>18.187899999999999</v>
      </c>
      <c r="AI208">
        <v>3.883</v>
      </c>
      <c r="AJ208">
        <v>17.004300000000001</v>
      </c>
      <c r="AK208">
        <v>3.8780000000000001</v>
      </c>
      <c r="AL208">
        <v>-24.724599999999999</v>
      </c>
      <c r="AM208">
        <v>25.456</v>
      </c>
      <c r="AN208">
        <v>12.756</v>
      </c>
      <c r="AO208">
        <v>-8.6454000000000004</v>
      </c>
      <c r="AP208">
        <v>15.167400000000001</v>
      </c>
      <c r="AQ208">
        <v>55.348999999999997</v>
      </c>
      <c r="AR208">
        <v>10.756600000000001</v>
      </c>
      <c r="AS208">
        <v>123.72839999999999</v>
      </c>
      <c r="AT208" t="s">
        <v>134</v>
      </c>
      <c r="AU208">
        <v>11.198700000000001</v>
      </c>
      <c r="AV208">
        <v>22.817299999999999</v>
      </c>
      <c r="AW208" t="s">
        <v>134</v>
      </c>
      <c r="AX208" t="s">
        <v>134</v>
      </c>
      <c r="AY208" t="s">
        <v>134</v>
      </c>
      <c r="AZ208" t="s">
        <v>134</v>
      </c>
      <c r="BA208">
        <v>23.3872</v>
      </c>
      <c r="BB208">
        <v>18.015499999999999</v>
      </c>
      <c r="BC208">
        <v>22.940200000000001</v>
      </c>
      <c r="BD208">
        <v>16.5733</v>
      </c>
      <c r="BE208" t="s">
        <v>134</v>
      </c>
      <c r="BF208">
        <v>15.7721</v>
      </c>
      <c r="BG208">
        <v>15.914</v>
      </c>
      <c r="BH208">
        <v>16.8108</v>
      </c>
      <c r="BI208">
        <v>5.8719999999999999</v>
      </c>
      <c r="BJ208">
        <v>5.8575999999999997</v>
      </c>
      <c r="BK208">
        <v>11.1111</v>
      </c>
      <c r="BL208">
        <v>0.97240000000000004</v>
      </c>
      <c r="BM208" t="s">
        <v>134</v>
      </c>
      <c r="BN208">
        <v>2.3810000000000002</v>
      </c>
      <c r="BO208">
        <v>17.4922</v>
      </c>
      <c r="BP208" t="s">
        <v>134</v>
      </c>
      <c r="BQ208" t="s">
        <v>134</v>
      </c>
      <c r="BR208" t="s">
        <v>134</v>
      </c>
      <c r="BS208">
        <v>15.1944</v>
      </c>
      <c r="BT208">
        <v>18.187899999999999</v>
      </c>
      <c r="BU208">
        <v>3.883</v>
      </c>
      <c r="BV208">
        <v>17.004300000000001</v>
      </c>
      <c r="BW208">
        <v>3.8780000000000001</v>
      </c>
      <c r="BX208" t="s">
        <v>134</v>
      </c>
      <c r="BY208">
        <v>994048.08</v>
      </c>
      <c r="BZ208">
        <v>188862.576</v>
      </c>
      <c r="CA208">
        <v>805185.50399999996</v>
      </c>
      <c r="CB208">
        <v>9.5475999999999992</v>
      </c>
      <c r="CC208">
        <v>9.2600999999999996</v>
      </c>
      <c r="CD208">
        <v>47.279899999999998</v>
      </c>
      <c r="CE208">
        <v>45.856400000000001</v>
      </c>
      <c r="CF208">
        <v>1.2544999999999999</v>
      </c>
      <c r="CG208">
        <v>6.9963999999999995</v>
      </c>
      <c r="CH208">
        <v>1021.6061999999999</v>
      </c>
      <c r="CI208">
        <v>75.0501</v>
      </c>
      <c r="CJ208">
        <v>71.4893</v>
      </c>
      <c r="CK208">
        <v>1261.232</v>
      </c>
      <c r="CL208">
        <v>92.653700000000001</v>
      </c>
      <c r="CM208">
        <v>88.257599999999996</v>
      </c>
      <c r="CN208">
        <v>1223.2583999999999</v>
      </c>
      <c r="CO208">
        <v>92.442899999999995</v>
      </c>
      <c r="CP208">
        <v>104115.397</v>
      </c>
      <c r="CQ208">
        <v>103930.329</v>
      </c>
      <c r="CR208">
        <v>21024.749</v>
      </c>
      <c r="CS208" t="s">
        <v>134</v>
      </c>
      <c r="CT208" t="s">
        <v>134</v>
      </c>
      <c r="CU208" t="s">
        <v>134</v>
      </c>
      <c r="CV208" t="s">
        <v>134</v>
      </c>
      <c r="CW208" t="s">
        <v>134</v>
      </c>
      <c r="CX208" t="s">
        <v>134</v>
      </c>
      <c r="CY208" t="s">
        <v>134</v>
      </c>
      <c r="CZ208" t="s">
        <v>134</v>
      </c>
      <c r="DA208" t="s">
        <v>134</v>
      </c>
      <c r="DB208" t="s">
        <v>134</v>
      </c>
      <c r="DC208" t="s">
        <v>134</v>
      </c>
      <c r="DD208" t="s">
        <v>134</v>
      </c>
      <c r="DE208" t="s">
        <v>134</v>
      </c>
      <c r="DF208" t="s">
        <v>134</v>
      </c>
      <c r="DG208" t="s">
        <v>134</v>
      </c>
      <c r="DH208" t="s">
        <v>134</v>
      </c>
      <c r="DI208" t="s">
        <v>134</v>
      </c>
    </row>
    <row r="209" spans="4:113" x14ac:dyDescent="0.3">
      <c r="E209" t="s">
        <v>4</v>
      </c>
      <c r="F209" t="s">
        <v>134</v>
      </c>
      <c r="G209" t="s">
        <v>134</v>
      </c>
      <c r="H209" t="s">
        <v>134</v>
      </c>
      <c r="I209" t="s">
        <v>134</v>
      </c>
      <c r="J209" t="s">
        <v>134</v>
      </c>
      <c r="K209" t="s">
        <v>134</v>
      </c>
      <c r="L209" t="s">
        <v>134</v>
      </c>
      <c r="M209" t="s">
        <v>134</v>
      </c>
      <c r="N209" t="s">
        <v>134</v>
      </c>
      <c r="O209" t="s">
        <v>134</v>
      </c>
      <c r="P209" t="s">
        <v>134</v>
      </c>
      <c r="Q209" t="s">
        <v>134</v>
      </c>
      <c r="R209" t="s">
        <v>134</v>
      </c>
      <c r="S209" t="s">
        <v>134</v>
      </c>
      <c r="T209" t="s">
        <v>134</v>
      </c>
      <c r="U209" t="s">
        <v>134</v>
      </c>
      <c r="V209" t="s">
        <v>134</v>
      </c>
      <c r="W209" t="s">
        <v>134</v>
      </c>
      <c r="X209" t="s">
        <v>134</v>
      </c>
      <c r="Y209" t="s">
        <v>134</v>
      </c>
      <c r="Z209" t="s">
        <v>134</v>
      </c>
      <c r="AA209" t="s">
        <v>134</v>
      </c>
      <c r="AB209" t="s">
        <v>134</v>
      </c>
      <c r="AC209" t="s">
        <v>134</v>
      </c>
      <c r="AD209" t="s">
        <v>134</v>
      </c>
      <c r="AE209" t="s">
        <v>134</v>
      </c>
      <c r="AF209" t="s">
        <v>134</v>
      </c>
      <c r="AG209" t="s">
        <v>134</v>
      </c>
      <c r="AH209" t="s">
        <v>134</v>
      </c>
      <c r="AI209" t="s">
        <v>134</v>
      </c>
      <c r="AJ209" t="s">
        <v>134</v>
      </c>
      <c r="AK209" t="s">
        <v>134</v>
      </c>
      <c r="AL209" t="s">
        <v>134</v>
      </c>
      <c r="AM209" t="s">
        <v>134</v>
      </c>
      <c r="AN209" t="s">
        <v>134</v>
      </c>
      <c r="AO209" t="s">
        <v>134</v>
      </c>
      <c r="AP209" t="s">
        <v>134</v>
      </c>
      <c r="AQ209" t="s">
        <v>134</v>
      </c>
      <c r="AR209" t="s">
        <v>134</v>
      </c>
      <c r="AS209" t="s">
        <v>134</v>
      </c>
      <c r="AT209" t="s">
        <v>134</v>
      </c>
      <c r="AU209" t="s">
        <v>134</v>
      </c>
      <c r="AV209" t="s">
        <v>134</v>
      </c>
      <c r="AW209" t="s">
        <v>134</v>
      </c>
      <c r="AX209" t="s">
        <v>134</v>
      </c>
      <c r="AY209" t="s">
        <v>134</v>
      </c>
      <c r="AZ209" t="s">
        <v>134</v>
      </c>
      <c r="BA209" t="s">
        <v>134</v>
      </c>
      <c r="BB209" t="s">
        <v>134</v>
      </c>
      <c r="BC209" t="s">
        <v>134</v>
      </c>
      <c r="BD209" t="s">
        <v>134</v>
      </c>
      <c r="BE209" t="s">
        <v>134</v>
      </c>
      <c r="BF209" t="s">
        <v>134</v>
      </c>
      <c r="BG209" t="s">
        <v>134</v>
      </c>
      <c r="BH209" t="s">
        <v>134</v>
      </c>
      <c r="BI209" t="s">
        <v>134</v>
      </c>
      <c r="BJ209" t="s">
        <v>134</v>
      </c>
      <c r="BK209" t="s">
        <v>134</v>
      </c>
      <c r="BL209" t="s">
        <v>134</v>
      </c>
      <c r="BM209" t="s">
        <v>134</v>
      </c>
      <c r="BN209" t="s">
        <v>134</v>
      </c>
      <c r="BO209" t="s">
        <v>134</v>
      </c>
      <c r="BP209" t="s">
        <v>134</v>
      </c>
      <c r="BQ209" t="s">
        <v>134</v>
      </c>
      <c r="BR209" t="s">
        <v>134</v>
      </c>
      <c r="BS209" t="s">
        <v>134</v>
      </c>
      <c r="BT209" t="s">
        <v>134</v>
      </c>
      <c r="BU209" t="s">
        <v>134</v>
      </c>
      <c r="BV209" t="s">
        <v>134</v>
      </c>
      <c r="BW209" t="s">
        <v>134</v>
      </c>
      <c r="BX209" t="s">
        <v>134</v>
      </c>
      <c r="BY209" t="s">
        <v>134</v>
      </c>
      <c r="BZ209" t="s">
        <v>134</v>
      </c>
      <c r="CA209" t="s">
        <v>134</v>
      </c>
      <c r="CB209" t="s">
        <v>134</v>
      </c>
      <c r="CC209" t="s">
        <v>134</v>
      </c>
      <c r="CD209" t="s">
        <v>134</v>
      </c>
      <c r="CE209" t="s">
        <v>134</v>
      </c>
      <c r="CF209" t="s">
        <v>134</v>
      </c>
      <c r="CG209" t="s">
        <v>134</v>
      </c>
      <c r="CH209" t="s">
        <v>134</v>
      </c>
      <c r="CI209" t="s">
        <v>134</v>
      </c>
      <c r="CJ209" t="s">
        <v>134</v>
      </c>
      <c r="CK209" t="s">
        <v>134</v>
      </c>
      <c r="CL209" t="s">
        <v>134</v>
      </c>
      <c r="CM209" t="s">
        <v>134</v>
      </c>
      <c r="CN209" t="s">
        <v>134</v>
      </c>
      <c r="CO209" t="s">
        <v>134</v>
      </c>
      <c r="CP209" t="s">
        <v>134</v>
      </c>
      <c r="CQ209" t="s">
        <v>134</v>
      </c>
      <c r="CR209" t="s">
        <v>134</v>
      </c>
      <c r="CS209" t="s">
        <v>134</v>
      </c>
      <c r="CT209" t="s">
        <v>134</v>
      </c>
      <c r="CU209" t="s">
        <v>134</v>
      </c>
      <c r="CV209" t="s">
        <v>134</v>
      </c>
      <c r="CW209" t="s">
        <v>134</v>
      </c>
      <c r="CX209" t="s">
        <v>134</v>
      </c>
      <c r="CY209" t="s">
        <v>134</v>
      </c>
      <c r="CZ209" t="s">
        <v>134</v>
      </c>
      <c r="DA209" t="s">
        <v>134</v>
      </c>
      <c r="DB209" t="s">
        <v>134</v>
      </c>
      <c r="DC209" t="s">
        <v>134</v>
      </c>
      <c r="DD209" t="s">
        <v>134</v>
      </c>
      <c r="DE209" t="s">
        <v>134</v>
      </c>
      <c r="DF209" t="s">
        <v>134</v>
      </c>
      <c r="DG209" t="s">
        <v>134</v>
      </c>
      <c r="DH209" t="s">
        <v>134</v>
      </c>
      <c r="DI209" t="s">
        <v>134</v>
      </c>
    </row>
    <row r="210" spans="4:113" x14ac:dyDescent="0.3">
      <c r="E210" t="s">
        <v>5</v>
      </c>
      <c r="F210" t="s">
        <v>134</v>
      </c>
      <c r="G210" t="s">
        <v>134</v>
      </c>
      <c r="H210" t="s">
        <v>134</v>
      </c>
      <c r="I210" t="s">
        <v>134</v>
      </c>
      <c r="J210" t="s">
        <v>134</v>
      </c>
      <c r="K210" t="s">
        <v>134</v>
      </c>
      <c r="L210" t="s">
        <v>134</v>
      </c>
      <c r="M210" t="s">
        <v>134</v>
      </c>
      <c r="N210" t="s">
        <v>134</v>
      </c>
      <c r="O210" t="s">
        <v>134</v>
      </c>
      <c r="P210" t="s">
        <v>134</v>
      </c>
      <c r="Q210" t="s">
        <v>134</v>
      </c>
      <c r="R210" t="s">
        <v>134</v>
      </c>
      <c r="S210" t="s">
        <v>134</v>
      </c>
      <c r="T210" t="s">
        <v>134</v>
      </c>
      <c r="U210" t="s">
        <v>134</v>
      </c>
      <c r="V210" t="s">
        <v>134</v>
      </c>
      <c r="W210" t="s">
        <v>134</v>
      </c>
      <c r="X210" t="s">
        <v>134</v>
      </c>
      <c r="Y210" t="s">
        <v>134</v>
      </c>
      <c r="Z210" t="s">
        <v>134</v>
      </c>
      <c r="AA210" t="s">
        <v>134</v>
      </c>
      <c r="AB210" t="s">
        <v>134</v>
      </c>
      <c r="AC210" t="s">
        <v>134</v>
      </c>
      <c r="AD210" t="s">
        <v>134</v>
      </c>
      <c r="AE210" t="s">
        <v>134</v>
      </c>
      <c r="AF210" t="s">
        <v>134</v>
      </c>
      <c r="AG210" t="s">
        <v>134</v>
      </c>
      <c r="AH210" t="s">
        <v>134</v>
      </c>
      <c r="AI210" t="s">
        <v>134</v>
      </c>
      <c r="AJ210" t="s">
        <v>134</v>
      </c>
      <c r="AK210" t="s">
        <v>134</v>
      </c>
      <c r="AL210" t="s">
        <v>134</v>
      </c>
      <c r="AM210" t="s">
        <v>134</v>
      </c>
      <c r="AN210" t="s">
        <v>134</v>
      </c>
      <c r="AO210" t="s">
        <v>134</v>
      </c>
      <c r="AP210" t="s">
        <v>134</v>
      </c>
      <c r="AQ210" t="s">
        <v>134</v>
      </c>
      <c r="AR210" t="s">
        <v>134</v>
      </c>
      <c r="AS210" t="s">
        <v>134</v>
      </c>
      <c r="AT210" t="s">
        <v>134</v>
      </c>
      <c r="AU210" t="s">
        <v>134</v>
      </c>
      <c r="AV210" t="s">
        <v>134</v>
      </c>
      <c r="AW210" t="s">
        <v>134</v>
      </c>
      <c r="AX210" t="s">
        <v>134</v>
      </c>
      <c r="AY210" t="s">
        <v>134</v>
      </c>
      <c r="AZ210" t="s">
        <v>134</v>
      </c>
      <c r="BA210" t="s">
        <v>134</v>
      </c>
      <c r="BB210" t="s">
        <v>134</v>
      </c>
      <c r="BC210" t="s">
        <v>134</v>
      </c>
      <c r="BD210" t="s">
        <v>134</v>
      </c>
      <c r="BE210" t="s">
        <v>134</v>
      </c>
      <c r="BF210" t="s">
        <v>134</v>
      </c>
      <c r="BG210" t="s">
        <v>134</v>
      </c>
      <c r="BH210" t="s">
        <v>134</v>
      </c>
      <c r="BI210" t="s">
        <v>134</v>
      </c>
      <c r="BJ210" t="s">
        <v>134</v>
      </c>
      <c r="BK210" t="s">
        <v>134</v>
      </c>
      <c r="BL210" t="s">
        <v>134</v>
      </c>
      <c r="BM210" t="s">
        <v>134</v>
      </c>
      <c r="BN210" t="s">
        <v>134</v>
      </c>
      <c r="BO210" t="s">
        <v>134</v>
      </c>
      <c r="BP210" t="s">
        <v>134</v>
      </c>
      <c r="BQ210" t="s">
        <v>134</v>
      </c>
      <c r="BR210" t="s">
        <v>134</v>
      </c>
      <c r="BS210" t="s">
        <v>134</v>
      </c>
      <c r="BT210" t="s">
        <v>134</v>
      </c>
      <c r="BU210" t="s">
        <v>134</v>
      </c>
      <c r="BV210" t="s">
        <v>134</v>
      </c>
      <c r="BW210" t="s">
        <v>134</v>
      </c>
      <c r="BX210" t="s">
        <v>134</v>
      </c>
      <c r="BY210" t="s">
        <v>134</v>
      </c>
      <c r="BZ210" t="s">
        <v>134</v>
      </c>
      <c r="CA210" t="s">
        <v>134</v>
      </c>
      <c r="CB210" t="s">
        <v>134</v>
      </c>
      <c r="CC210" t="s">
        <v>134</v>
      </c>
      <c r="CD210" t="s">
        <v>134</v>
      </c>
      <c r="CE210" t="s">
        <v>134</v>
      </c>
      <c r="CF210" t="s">
        <v>134</v>
      </c>
      <c r="CG210" t="s">
        <v>134</v>
      </c>
      <c r="CH210" t="s">
        <v>134</v>
      </c>
      <c r="CI210" t="s">
        <v>134</v>
      </c>
      <c r="CJ210" t="s">
        <v>134</v>
      </c>
      <c r="CK210" t="s">
        <v>134</v>
      </c>
      <c r="CL210" t="s">
        <v>134</v>
      </c>
      <c r="CM210" t="s">
        <v>134</v>
      </c>
      <c r="CN210" t="s">
        <v>134</v>
      </c>
      <c r="CO210" t="s">
        <v>134</v>
      </c>
      <c r="CP210" t="s">
        <v>134</v>
      </c>
      <c r="CQ210" t="s">
        <v>134</v>
      </c>
      <c r="CR210" t="s">
        <v>134</v>
      </c>
      <c r="CS210" t="s">
        <v>134</v>
      </c>
      <c r="CT210" t="s">
        <v>134</v>
      </c>
      <c r="CU210" t="s">
        <v>134</v>
      </c>
      <c r="CV210" t="s">
        <v>134</v>
      </c>
      <c r="CW210" t="s">
        <v>134</v>
      </c>
      <c r="CX210" t="s">
        <v>134</v>
      </c>
      <c r="CY210" t="s">
        <v>134</v>
      </c>
      <c r="CZ210" t="s">
        <v>134</v>
      </c>
      <c r="DA210" t="s">
        <v>134</v>
      </c>
      <c r="DB210" t="s">
        <v>134</v>
      </c>
      <c r="DC210" t="s">
        <v>134</v>
      </c>
      <c r="DD210" t="s">
        <v>134</v>
      </c>
      <c r="DE210" t="s">
        <v>134</v>
      </c>
      <c r="DF210" t="s">
        <v>134</v>
      </c>
      <c r="DG210" t="s">
        <v>134</v>
      </c>
      <c r="DH210" t="s">
        <v>134</v>
      </c>
      <c r="DI210" t="s">
        <v>134</v>
      </c>
    </row>
    <row r="211" spans="4:113" x14ac:dyDescent="0.3">
      <c r="E211" t="s">
        <v>6</v>
      </c>
      <c r="F211" t="s">
        <v>134</v>
      </c>
      <c r="G211" t="s">
        <v>134</v>
      </c>
      <c r="H211" t="s">
        <v>134</v>
      </c>
      <c r="I211" t="s">
        <v>134</v>
      </c>
      <c r="J211" t="s">
        <v>134</v>
      </c>
      <c r="K211" t="s">
        <v>134</v>
      </c>
      <c r="L211" t="s">
        <v>134</v>
      </c>
      <c r="M211" t="s">
        <v>134</v>
      </c>
      <c r="N211" t="s">
        <v>134</v>
      </c>
      <c r="O211" t="s">
        <v>134</v>
      </c>
      <c r="P211" t="s">
        <v>134</v>
      </c>
      <c r="Q211" t="s">
        <v>134</v>
      </c>
      <c r="R211" t="s">
        <v>134</v>
      </c>
      <c r="S211" t="s">
        <v>134</v>
      </c>
      <c r="T211" t="s">
        <v>134</v>
      </c>
      <c r="U211" t="s">
        <v>134</v>
      </c>
      <c r="V211" t="s">
        <v>134</v>
      </c>
      <c r="W211" t="s">
        <v>134</v>
      </c>
      <c r="X211" t="s">
        <v>134</v>
      </c>
      <c r="Y211" t="s">
        <v>134</v>
      </c>
      <c r="Z211" t="s">
        <v>134</v>
      </c>
      <c r="AA211" t="s">
        <v>134</v>
      </c>
      <c r="AB211" t="s">
        <v>134</v>
      </c>
      <c r="AC211" t="s">
        <v>134</v>
      </c>
      <c r="AD211" t="s">
        <v>134</v>
      </c>
      <c r="AE211" t="s">
        <v>134</v>
      </c>
      <c r="AF211" t="s">
        <v>134</v>
      </c>
      <c r="AG211" t="s">
        <v>134</v>
      </c>
      <c r="AH211" t="s">
        <v>134</v>
      </c>
      <c r="AI211" t="s">
        <v>134</v>
      </c>
      <c r="AJ211" t="s">
        <v>134</v>
      </c>
      <c r="AK211" t="s">
        <v>134</v>
      </c>
      <c r="AL211" t="s">
        <v>134</v>
      </c>
      <c r="AM211" t="s">
        <v>134</v>
      </c>
      <c r="AN211" t="s">
        <v>134</v>
      </c>
      <c r="AO211" t="s">
        <v>134</v>
      </c>
      <c r="AP211" t="s">
        <v>134</v>
      </c>
      <c r="AQ211" t="s">
        <v>134</v>
      </c>
      <c r="AR211" t="s">
        <v>134</v>
      </c>
      <c r="AS211" t="s">
        <v>134</v>
      </c>
      <c r="AT211" t="s">
        <v>134</v>
      </c>
      <c r="AU211" t="s">
        <v>134</v>
      </c>
      <c r="AV211" t="s">
        <v>134</v>
      </c>
      <c r="AW211" t="s">
        <v>134</v>
      </c>
      <c r="AX211" t="s">
        <v>134</v>
      </c>
      <c r="AY211" t="s">
        <v>134</v>
      </c>
      <c r="AZ211" t="s">
        <v>134</v>
      </c>
      <c r="BA211" t="s">
        <v>134</v>
      </c>
      <c r="BB211" t="s">
        <v>134</v>
      </c>
      <c r="BC211" t="s">
        <v>134</v>
      </c>
      <c r="BD211" t="s">
        <v>134</v>
      </c>
      <c r="BE211" t="s">
        <v>134</v>
      </c>
      <c r="BF211" t="s">
        <v>134</v>
      </c>
      <c r="BG211" t="s">
        <v>134</v>
      </c>
      <c r="BH211" t="s">
        <v>134</v>
      </c>
      <c r="BI211" t="s">
        <v>134</v>
      </c>
      <c r="BJ211" t="s">
        <v>134</v>
      </c>
      <c r="BK211" t="s">
        <v>134</v>
      </c>
      <c r="BL211" t="s">
        <v>134</v>
      </c>
      <c r="BM211" t="s">
        <v>134</v>
      </c>
      <c r="BN211" t="s">
        <v>134</v>
      </c>
      <c r="BO211" t="s">
        <v>134</v>
      </c>
      <c r="BP211" t="s">
        <v>134</v>
      </c>
      <c r="BQ211" t="s">
        <v>134</v>
      </c>
      <c r="BR211" t="s">
        <v>134</v>
      </c>
      <c r="BS211" t="s">
        <v>134</v>
      </c>
      <c r="BT211" t="s">
        <v>134</v>
      </c>
      <c r="BU211" t="s">
        <v>134</v>
      </c>
      <c r="BV211" t="s">
        <v>134</v>
      </c>
      <c r="BW211" t="s">
        <v>134</v>
      </c>
      <c r="BX211" t="s">
        <v>134</v>
      </c>
      <c r="BY211" t="s">
        <v>134</v>
      </c>
      <c r="BZ211" t="s">
        <v>134</v>
      </c>
      <c r="CA211" t="s">
        <v>134</v>
      </c>
      <c r="CB211" t="s">
        <v>134</v>
      </c>
      <c r="CC211" t="s">
        <v>134</v>
      </c>
      <c r="CD211" t="s">
        <v>134</v>
      </c>
      <c r="CE211" t="s">
        <v>134</v>
      </c>
      <c r="CF211" t="s">
        <v>134</v>
      </c>
      <c r="CG211" t="s">
        <v>134</v>
      </c>
      <c r="CH211" t="s">
        <v>134</v>
      </c>
      <c r="CI211" t="s">
        <v>134</v>
      </c>
      <c r="CJ211" t="s">
        <v>134</v>
      </c>
      <c r="CK211" t="s">
        <v>134</v>
      </c>
      <c r="CL211" t="s">
        <v>134</v>
      </c>
      <c r="CM211" t="s">
        <v>134</v>
      </c>
      <c r="CN211" t="s">
        <v>134</v>
      </c>
      <c r="CO211" t="s">
        <v>134</v>
      </c>
      <c r="CP211" t="s">
        <v>134</v>
      </c>
      <c r="CQ211" t="s">
        <v>134</v>
      </c>
      <c r="CR211" t="s">
        <v>134</v>
      </c>
      <c r="CS211" t="s">
        <v>134</v>
      </c>
      <c r="CT211" t="s">
        <v>134</v>
      </c>
      <c r="CU211" t="s">
        <v>134</v>
      </c>
      <c r="CV211" t="s">
        <v>134</v>
      </c>
      <c r="CW211" t="s">
        <v>134</v>
      </c>
      <c r="CX211" t="s">
        <v>134</v>
      </c>
      <c r="CY211" t="s">
        <v>134</v>
      </c>
      <c r="CZ211" t="s">
        <v>134</v>
      </c>
      <c r="DA211" t="s">
        <v>134</v>
      </c>
      <c r="DB211" t="s">
        <v>134</v>
      </c>
      <c r="DC211" t="s">
        <v>134</v>
      </c>
      <c r="DD211" t="s">
        <v>134</v>
      </c>
      <c r="DE211" t="s">
        <v>134</v>
      </c>
      <c r="DF211" t="s">
        <v>134</v>
      </c>
      <c r="DG211" t="s">
        <v>134</v>
      </c>
      <c r="DH211" t="s">
        <v>134</v>
      </c>
      <c r="DI211" t="s">
        <v>134</v>
      </c>
    </row>
    <row r="212" spans="4:113" x14ac:dyDescent="0.3">
      <c r="E212" t="s">
        <v>7</v>
      </c>
      <c r="F212" t="s">
        <v>134</v>
      </c>
      <c r="G212" t="s">
        <v>134</v>
      </c>
      <c r="H212" t="s">
        <v>134</v>
      </c>
      <c r="I212" t="s">
        <v>134</v>
      </c>
      <c r="J212" t="s">
        <v>134</v>
      </c>
      <c r="K212" t="s">
        <v>134</v>
      </c>
      <c r="L212" t="s">
        <v>134</v>
      </c>
      <c r="M212" t="s">
        <v>134</v>
      </c>
      <c r="N212" t="s">
        <v>134</v>
      </c>
      <c r="O212" t="s">
        <v>134</v>
      </c>
      <c r="P212" t="s">
        <v>134</v>
      </c>
      <c r="Q212" t="s">
        <v>134</v>
      </c>
      <c r="R212" t="s">
        <v>134</v>
      </c>
      <c r="S212" t="s">
        <v>134</v>
      </c>
      <c r="T212" t="s">
        <v>134</v>
      </c>
      <c r="U212" t="s">
        <v>134</v>
      </c>
      <c r="V212" t="s">
        <v>134</v>
      </c>
      <c r="W212" t="s">
        <v>134</v>
      </c>
      <c r="X212" t="s">
        <v>134</v>
      </c>
      <c r="Y212" t="s">
        <v>134</v>
      </c>
      <c r="Z212" t="s">
        <v>134</v>
      </c>
      <c r="AA212" t="s">
        <v>134</v>
      </c>
      <c r="AB212" t="s">
        <v>134</v>
      </c>
      <c r="AC212" t="s">
        <v>134</v>
      </c>
      <c r="AD212" t="s">
        <v>134</v>
      </c>
      <c r="AE212" t="s">
        <v>134</v>
      </c>
      <c r="AF212" t="s">
        <v>134</v>
      </c>
      <c r="AG212" t="s">
        <v>134</v>
      </c>
      <c r="AH212" t="s">
        <v>134</v>
      </c>
      <c r="AI212" t="s">
        <v>134</v>
      </c>
      <c r="AJ212" t="s">
        <v>134</v>
      </c>
      <c r="AK212" t="s">
        <v>134</v>
      </c>
      <c r="AL212" t="s">
        <v>134</v>
      </c>
      <c r="AM212" t="s">
        <v>134</v>
      </c>
      <c r="AN212" t="s">
        <v>134</v>
      </c>
      <c r="AO212" t="s">
        <v>134</v>
      </c>
      <c r="AP212" t="s">
        <v>134</v>
      </c>
      <c r="AQ212" t="s">
        <v>134</v>
      </c>
      <c r="AR212" t="s">
        <v>134</v>
      </c>
      <c r="AS212" t="s">
        <v>134</v>
      </c>
      <c r="AT212" t="s">
        <v>134</v>
      </c>
      <c r="AU212" t="s">
        <v>134</v>
      </c>
      <c r="AV212" t="s">
        <v>134</v>
      </c>
      <c r="AW212" t="s">
        <v>134</v>
      </c>
      <c r="AX212" t="s">
        <v>134</v>
      </c>
      <c r="AY212" t="s">
        <v>134</v>
      </c>
      <c r="AZ212" t="s">
        <v>134</v>
      </c>
      <c r="BA212" t="s">
        <v>134</v>
      </c>
      <c r="BB212" t="s">
        <v>134</v>
      </c>
      <c r="BC212" t="s">
        <v>134</v>
      </c>
      <c r="BD212" t="s">
        <v>134</v>
      </c>
      <c r="BE212" t="s">
        <v>134</v>
      </c>
      <c r="BF212" t="s">
        <v>134</v>
      </c>
      <c r="BG212" t="s">
        <v>134</v>
      </c>
      <c r="BH212" t="s">
        <v>134</v>
      </c>
      <c r="BI212" t="s">
        <v>134</v>
      </c>
      <c r="BJ212" t="s">
        <v>134</v>
      </c>
      <c r="BK212" t="s">
        <v>134</v>
      </c>
      <c r="BL212" t="s">
        <v>134</v>
      </c>
      <c r="BM212" t="s">
        <v>134</v>
      </c>
      <c r="BN212" t="s">
        <v>134</v>
      </c>
      <c r="BO212" t="s">
        <v>134</v>
      </c>
      <c r="BP212" t="s">
        <v>134</v>
      </c>
      <c r="BQ212" t="s">
        <v>134</v>
      </c>
      <c r="BR212" t="s">
        <v>134</v>
      </c>
      <c r="BS212" t="s">
        <v>134</v>
      </c>
      <c r="BT212" t="s">
        <v>134</v>
      </c>
      <c r="BU212" t="s">
        <v>134</v>
      </c>
      <c r="BV212" t="s">
        <v>134</v>
      </c>
      <c r="BW212" t="s">
        <v>134</v>
      </c>
      <c r="BX212" t="s">
        <v>134</v>
      </c>
      <c r="BY212" t="s">
        <v>134</v>
      </c>
      <c r="BZ212" t="s">
        <v>134</v>
      </c>
      <c r="CA212" t="s">
        <v>134</v>
      </c>
      <c r="CB212" t="s">
        <v>134</v>
      </c>
      <c r="CC212" t="s">
        <v>134</v>
      </c>
      <c r="CD212" t="s">
        <v>134</v>
      </c>
      <c r="CE212" t="s">
        <v>134</v>
      </c>
      <c r="CF212" t="s">
        <v>134</v>
      </c>
      <c r="CG212" t="s">
        <v>134</v>
      </c>
      <c r="CH212" t="s">
        <v>134</v>
      </c>
      <c r="CI212" t="s">
        <v>134</v>
      </c>
      <c r="CJ212" t="s">
        <v>134</v>
      </c>
      <c r="CK212" t="s">
        <v>134</v>
      </c>
      <c r="CL212" t="s">
        <v>134</v>
      </c>
      <c r="CM212" t="s">
        <v>134</v>
      </c>
      <c r="CN212" t="s">
        <v>134</v>
      </c>
      <c r="CO212" t="s">
        <v>134</v>
      </c>
      <c r="CP212" t="s">
        <v>134</v>
      </c>
      <c r="CQ212" t="s">
        <v>134</v>
      </c>
      <c r="CR212" t="s">
        <v>134</v>
      </c>
      <c r="CS212" t="s">
        <v>134</v>
      </c>
      <c r="CT212" t="s">
        <v>134</v>
      </c>
      <c r="CU212" t="s">
        <v>134</v>
      </c>
      <c r="CV212" t="s">
        <v>134</v>
      </c>
      <c r="CW212" t="s">
        <v>134</v>
      </c>
      <c r="CX212" t="s">
        <v>134</v>
      </c>
      <c r="CY212" t="s">
        <v>134</v>
      </c>
      <c r="CZ212" t="s">
        <v>134</v>
      </c>
      <c r="DA212" t="s">
        <v>134</v>
      </c>
      <c r="DB212" t="s">
        <v>134</v>
      </c>
      <c r="DC212" t="s">
        <v>134</v>
      </c>
      <c r="DD212" t="s">
        <v>134</v>
      </c>
      <c r="DE212" t="s">
        <v>134</v>
      </c>
      <c r="DF212" t="s">
        <v>134</v>
      </c>
      <c r="DG212" t="s">
        <v>134</v>
      </c>
      <c r="DH212" t="s">
        <v>134</v>
      </c>
      <c r="DI212" t="s">
        <v>134</v>
      </c>
    </row>
    <row r="213" spans="4:113" x14ac:dyDescent="0.3">
      <c r="D213" t="s">
        <v>9</v>
      </c>
      <c r="E213" t="s">
        <v>3</v>
      </c>
      <c r="F213">
        <v>19.511299999999999</v>
      </c>
      <c r="G213">
        <v>1.3714</v>
      </c>
      <c r="H213">
        <v>1.4422999999999999</v>
      </c>
      <c r="I213">
        <v>1.5524</v>
      </c>
      <c r="J213">
        <v>95.020700000000005</v>
      </c>
      <c r="K213">
        <v>80.220600000000005</v>
      </c>
      <c r="L213">
        <v>67.498099999999994</v>
      </c>
      <c r="M213">
        <v>20.6159</v>
      </c>
      <c r="N213">
        <v>52.205199999999998</v>
      </c>
      <c r="O213">
        <v>13.351599999999999</v>
      </c>
      <c r="P213">
        <v>52.196100000000001</v>
      </c>
      <c r="Q213">
        <v>35.239699999999999</v>
      </c>
      <c r="R213">
        <v>16.6433</v>
      </c>
      <c r="S213">
        <v>16.263999999999999</v>
      </c>
      <c r="T213">
        <v>15.524900000000001</v>
      </c>
      <c r="U213">
        <v>13.9953</v>
      </c>
      <c r="V213">
        <v>21.9086</v>
      </c>
      <c r="W213">
        <v>19.495899999999999</v>
      </c>
      <c r="X213">
        <v>19.529800000000002</v>
      </c>
      <c r="Y213">
        <v>10</v>
      </c>
      <c r="Z213" t="s">
        <v>134</v>
      </c>
      <c r="AA213" t="s">
        <v>134</v>
      </c>
      <c r="AB213">
        <v>15.853400000000001</v>
      </c>
      <c r="AC213">
        <v>15.943300000000001</v>
      </c>
      <c r="AD213" t="s">
        <v>134</v>
      </c>
      <c r="AE213" t="s">
        <v>134</v>
      </c>
      <c r="AF213" t="s">
        <v>134</v>
      </c>
      <c r="AG213">
        <v>39.576500000000003</v>
      </c>
      <c r="AH213">
        <v>15.4726</v>
      </c>
      <c r="AI213">
        <v>16.933700000000002</v>
      </c>
      <c r="AJ213">
        <v>15.5799</v>
      </c>
      <c r="AK213">
        <v>16.935300000000002</v>
      </c>
      <c r="AL213" t="s">
        <v>134</v>
      </c>
      <c r="AM213">
        <v>20.7057</v>
      </c>
      <c r="AN213">
        <v>22.030200000000001</v>
      </c>
      <c r="AO213">
        <v>14.719899999999999</v>
      </c>
      <c r="AP213">
        <v>11.8683</v>
      </c>
      <c r="AQ213">
        <v>10.512499999999999</v>
      </c>
      <c r="AR213">
        <v>9.4609000000000005</v>
      </c>
      <c r="AS213">
        <v>14.2879</v>
      </c>
      <c r="AT213" t="s">
        <v>134</v>
      </c>
      <c r="AU213">
        <v>18.952400000000001</v>
      </c>
      <c r="AV213">
        <v>19.959</v>
      </c>
      <c r="AW213" t="s">
        <v>134</v>
      </c>
      <c r="AX213" t="s">
        <v>134</v>
      </c>
      <c r="AY213" t="s">
        <v>134</v>
      </c>
      <c r="AZ213">
        <v>104.7932</v>
      </c>
      <c r="BA213">
        <v>24.779900000000001</v>
      </c>
      <c r="BB213">
        <v>17.066400000000002</v>
      </c>
      <c r="BC213">
        <v>24.0943</v>
      </c>
      <c r="BD213">
        <v>15.6365</v>
      </c>
      <c r="BE213" t="s">
        <v>134</v>
      </c>
      <c r="BF213">
        <v>15.524900000000001</v>
      </c>
      <c r="BG213">
        <v>13.9953</v>
      </c>
      <c r="BH213">
        <v>21.9086</v>
      </c>
      <c r="BI213">
        <v>19.495899999999999</v>
      </c>
      <c r="BJ213">
        <v>19.529800000000002</v>
      </c>
      <c r="BK213">
        <v>10</v>
      </c>
      <c r="BL213">
        <v>20.892700000000001</v>
      </c>
      <c r="BM213" t="s">
        <v>134</v>
      </c>
      <c r="BN213">
        <v>15.853400000000001</v>
      </c>
      <c r="BO213">
        <v>15.943300000000001</v>
      </c>
      <c r="BP213" t="s">
        <v>134</v>
      </c>
      <c r="BQ213" t="s">
        <v>134</v>
      </c>
      <c r="BR213" t="s">
        <v>134</v>
      </c>
      <c r="BS213">
        <v>39.576500000000003</v>
      </c>
      <c r="BT213">
        <v>15.4726</v>
      </c>
      <c r="BU213">
        <v>16.933700000000002</v>
      </c>
      <c r="BV213">
        <v>15.5799</v>
      </c>
      <c r="BW213">
        <v>16.935300000000002</v>
      </c>
      <c r="BX213" t="s">
        <v>134</v>
      </c>
      <c r="BY213">
        <v>1147853.2009999999</v>
      </c>
      <c r="BZ213">
        <v>263607.74699999997</v>
      </c>
      <c r="CA213">
        <v>884245.45400000003</v>
      </c>
      <c r="CB213">
        <v>9.6713000000000005</v>
      </c>
      <c r="CC213">
        <v>9.3353999999999999</v>
      </c>
      <c r="CD213">
        <v>44.783799999999999</v>
      </c>
      <c r="CE213">
        <v>43.228200000000001</v>
      </c>
      <c r="CF213">
        <v>1.2767999999999999</v>
      </c>
      <c r="CG213">
        <v>7.0563000000000002</v>
      </c>
      <c r="CH213">
        <v>959.44659999999999</v>
      </c>
      <c r="CI213">
        <v>71.309200000000004</v>
      </c>
      <c r="CJ213">
        <v>67.712999999999994</v>
      </c>
      <c r="CK213">
        <v>1245.473</v>
      </c>
      <c r="CL213">
        <v>92.567700000000002</v>
      </c>
      <c r="CM213">
        <v>87.899299999999997</v>
      </c>
      <c r="CN213">
        <v>1202.2109</v>
      </c>
      <c r="CO213">
        <v>92.320800000000006</v>
      </c>
      <c r="CP213">
        <v>118686.69100000001</v>
      </c>
      <c r="CQ213">
        <v>118464.118</v>
      </c>
      <c r="CR213">
        <v>25630.971000000001</v>
      </c>
      <c r="CS213" t="s">
        <v>134</v>
      </c>
      <c r="CT213" t="s">
        <v>134</v>
      </c>
      <c r="CU213" t="s">
        <v>134</v>
      </c>
      <c r="CV213" t="s">
        <v>134</v>
      </c>
      <c r="CW213" t="s">
        <v>134</v>
      </c>
      <c r="CX213" t="s">
        <v>134</v>
      </c>
      <c r="CY213" t="s">
        <v>134</v>
      </c>
      <c r="CZ213" t="s">
        <v>134</v>
      </c>
      <c r="DA213" t="s">
        <v>134</v>
      </c>
      <c r="DB213" t="s">
        <v>134</v>
      </c>
      <c r="DC213" t="s">
        <v>134</v>
      </c>
      <c r="DD213" t="s">
        <v>134</v>
      </c>
      <c r="DE213" t="s">
        <v>134</v>
      </c>
      <c r="DF213" t="s">
        <v>134</v>
      </c>
      <c r="DG213" t="s">
        <v>134</v>
      </c>
      <c r="DH213" t="s">
        <v>134</v>
      </c>
      <c r="DI213" t="s">
        <v>134</v>
      </c>
    </row>
    <row r="214" spans="4:113" x14ac:dyDescent="0.3">
      <c r="E214" t="s">
        <v>4</v>
      </c>
      <c r="F214" t="s">
        <v>134</v>
      </c>
      <c r="G214" t="s">
        <v>134</v>
      </c>
      <c r="H214" t="s">
        <v>134</v>
      </c>
      <c r="I214" t="s">
        <v>134</v>
      </c>
      <c r="J214" t="s">
        <v>134</v>
      </c>
      <c r="K214" t="s">
        <v>134</v>
      </c>
      <c r="L214" t="s">
        <v>134</v>
      </c>
      <c r="M214" t="s">
        <v>134</v>
      </c>
      <c r="N214" t="s">
        <v>134</v>
      </c>
      <c r="O214" t="s">
        <v>134</v>
      </c>
      <c r="P214" t="s">
        <v>134</v>
      </c>
      <c r="Q214" t="s">
        <v>134</v>
      </c>
      <c r="R214" t="s">
        <v>134</v>
      </c>
      <c r="S214" t="s">
        <v>134</v>
      </c>
      <c r="T214" t="s">
        <v>134</v>
      </c>
      <c r="U214" t="s">
        <v>134</v>
      </c>
      <c r="V214" t="s">
        <v>134</v>
      </c>
      <c r="W214" t="s">
        <v>134</v>
      </c>
      <c r="X214" t="s">
        <v>134</v>
      </c>
      <c r="Y214" t="s">
        <v>134</v>
      </c>
      <c r="Z214" t="s">
        <v>134</v>
      </c>
      <c r="AA214" t="s">
        <v>134</v>
      </c>
      <c r="AB214" t="s">
        <v>134</v>
      </c>
      <c r="AC214" t="s">
        <v>134</v>
      </c>
      <c r="AD214" t="s">
        <v>134</v>
      </c>
      <c r="AE214" t="s">
        <v>134</v>
      </c>
      <c r="AF214" t="s">
        <v>134</v>
      </c>
      <c r="AG214" t="s">
        <v>134</v>
      </c>
      <c r="AH214" t="s">
        <v>134</v>
      </c>
      <c r="AI214" t="s">
        <v>134</v>
      </c>
      <c r="AJ214" t="s">
        <v>134</v>
      </c>
      <c r="AK214" t="s">
        <v>134</v>
      </c>
      <c r="AL214" t="s">
        <v>134</v>
      </c>
      <c r="AM214" t="s">
        <v>134</v>
      </c>
      <c r="AN214" t="s">
        <v>134</v>
      </c>
      <c r="AO214" t="s">
        <v>134</v>
      </c>
      <c r="AP214" t="s">
        <v>134</v>
      </c>
      <c r="AQ214" t="s">
        <v>134</v>
      </c>
      <c r="AR214" t="s">
        <v>134</v>
      </c>
      <c r="AS214" t="s">
        <v>134</v>
      </c>
      <c r="AT214" t="s">
        <v>134</v>
      </c>
      <c r="AU214" t="s">
        <v>134</v>
      </c>
      <c r="AV214" t="s">
        <v>134</v>
      </c>
      <c r="AW214" t="s">
        <v>134</v>
      </c>
      <c r="AX214" t="s">
        <v>134</v>
      </c>
      <c r="AY214" t="s">
        <v>134</v>
      </c>
      <c r="AZ214" t="s">
        <v>134</v>
      </c>
      <c r="BA214" t="s">
        <v>134</v>
      </c>
      <c r="BB214" t="s">
        <v>134</v>
      </c>
      <c r="BC214" t="s">
        <v>134</v>
      </c>
      <c r="BD214" t="s">
        <v>134</v>
      </c>
      <c r="BE214" t="s">
        <v>134</v>
      </c>
      <c r="BF214" t="s">
        <v>134</v>
      </c>
      <c r="BG214" t="s">
        <v>134</v>
      </c>
      <c r="BH214" t="s">
        <v>134</v>
      </c>
      <c r="BI214" t="s">
        <v>134</v>
      </c>
      <c r="BJ214" t="s">
        <v>134</v>
      </c>
      <c r="BK214" t="s">
        <v>134</v>
      </c>
      <c r="BL214" t="s">
        <v>134</v>
      </c>
      <c r="BM214" t="s">
        <v>134</v>
      </c>
      <c r="BN214" t="s">
        <v>134</v>
      </c>
      <c r="BO214" t="s">
        <v>134</v>
      </c>
      <c r="BP214" t="s">
        <v>134</v>
      </c>
      <c r="BQ214" t="s">
        <v>134</v>
      </c>
      <c r="BR214" t="s">
        <v>134</v>
      </c>
      <c r="BS214" t="s">
        <v>134</v>
      </c>
      <c r="BT214" t="s">
        <v>134</v>
      </c>
      <c r="BU214" t="s">
        <v>134</v>
      </c>
      <c r="BV214" t="s">
        <v>134</v>
      </c>
      <c r="BW214" t="s">
        <v>134</v>
      </c>
      <c r="BX214" t="s">
        <v>134</v>
      </c>
      <c r="BY214" t="s">
        <v>134</v>
      </c>
      <c r="BZ214" t="s">
        <v>134</v>
      </c>
      <c r="CA214" t="s">
        <v>134</v>
      </c>
      <c r="CB214" t="s">
        <v>134</v>
      </c>
      <c r="CC214" t="s">
        <v>134</v>
      </c>
      <c r="CD214" t="s">
        <v>134</v>
      </c>
      <c r="CE214" t="s">
        <v>134</v>
      </c>
      <c r="CF214" t="s">
        <v>134</v>
      </c>
      <c r="CG214" t="s">
        <v>134</v>
      </c>
      <c r="CH214" t="s">
        <v>134</v>
      </c>
      <c r="CI214" t="s">
        <v>134</v>
      </c>
      <c r="CJ214" t="s">
        <v>134</v>
      </c>
      <c r="CK214" t="s">
        <v>134</v>
      </c>
      <c r="CL214" t="s">
        <v>134</v>
      </c>
      <c r="CM214" t="s">
        <v>134</v>
      </c>
      <c r="CN214" t="s">
        <v>134</v>
      </c>
      <c r="CO214" t="s">
        <v>134</v>
      </c>
      <c r="CP214" t="s">
        <v>134</v>
      </c>
      <c r="CQ214" t="s">
        <v>134</v>
      </c>
      <c r="CR214" t="s">
        <v>134</v>
      </c>
      <c r="CS214" t="s">
        <v>134</v>
      </c>
      <c r="CT214" t="s">
        <v>134</v>
      </c>
      <c r="CU214" t="s">
        <v>134</v>
      </c>
      <c r="CV214" t="s">
        <v>134</v>
      </c>
      <c r="CW214" t="s">
        <v>134</v>
      </c>
      <c r="CX214" t="s">
        <v>134</v>
      </c>
      <c r="CY214" t="s">
        <v>134</v>
      </c>
      <c r="CZ214" t="s">
        <v>134</v>
      </c>
      <c r="DA214" t="s">
        <v>134</v>
      </c>
      <c r="DB214" t="s">
        <v>134</v>
      </c>
      <c r="DC214" t="s">
        <v>134</v>
      </c>
      <c r="DD214" t="s">
        <v>134</v>
      </c>
      <c r="DE214" t="s">
        <v>134</v>
      </c>
      <c r="DF214" t="s">
        <v>134</v>
      </c>
      <c r="DG214" t="s">
        <v>134</v>
      </c>
      <c r="DH214" t="s">
        <v>134</v>
      </c>
      <c r="DI214" t="s">
        <v>134</v>
      </c>
    </row>
    <row r="215" spans="4:113" x14ac:dyDescent="0.3">
      <c r="E215" t="s">
        <v>5</v>
      </c>
      <c r="F215" t="s">
        <v>134</v>
      </c>
      <c r="G215" t="s">
        <v>134</v>
      </c>
      <c r="H215" t="s">
        <v>134</v>
      </c>
      <c r="I215" t="s">
        <v>134</v>
      </c>
      <c r="J215" t="s">
        <v>134</v>
      </c>
      <c r="K215" t="s">
        <v>134</v>
      </c>
      <c r="L215" t="s">
        <v>134</v>
      </c>
      <c r="M215" t="s">
        <v>134</v>
      </c>
      <c r="N215" t="s">
        <v>134</v>
      </c>
      <c r="O215" t="s">
        <v>134</v>
      </c>
      <c r="P215" t="s">
        <v>134</v>
      </c>
      <c r="Q215" t="s">
        <v>134</v>
      </c>
      <c r="R215" t="s">
        <v>134</v>
      </c>
      <c r="S215" t="s">
        <v>134</v>
      </c>
      <c r="T215" t="s">
        <v>134</v>
      </c>
      <c r="U215" t="s">
        <v>134</v>
      </c>
      <c r="V215" t="s">
        <v>134</v>
      </c>
      <c r="W215" t="s">
        <v>134</v>
      </c>
      <c r="X215" t="s">
        <v>134</v>
      </c>
      <c r="Y215" t="s">
        <v>134</v>
      </c>
      <c r="Z215" t="s">
        <v>134</v>
      </c>
      <c r="AA215" t="s">
        <v>134</v>
      </c>
      <c r="AB215" t="s">
        <v>134</v>
      </c>
      <c r="AC215" t="s">
        <v>134</v>
      </c>
      <c r="AD215" t="s">
        <v>134</v>
      </c>
      <c r="AE215" t="s">
        <v>134</v>
      </c>
      <c r="AF215" t="s">
        <v>134</v>
      </c>
      <c r="AG215" t="s">
        <v>134</v>
      </c>
      <c r="AH215" t="s">
        <v>134</v>
      </c>
      <c r="AI215" t="s">
        <v>134</v>
      </c>
      <c r="AJ215" t="s">
        <v>134</v>
      </c>
      <c r="AK215" t="s">
        <v>134</v>
      </c>
      <c r="AL215" t="s">
        <v>134</v>
      </c>
      <c r="AM215" t="s">
        <v>134</v>
      </c>
      <c r="AN215" t="s">
        <v>134</v>
      </c>
      <c r="AO215" t="s">
        <v>134</v>
      </c>
      <c r="AP215" t="s">
        <v>134</v>
      </c>
      <c r="AQ215" t="s">
        <v>134</v>
      </c>
      <c r="AR215" t="s">
        <v>134</v>
      </c>
      <c r="AS215" t="s">
        <v>134</v>
      </c>
      <c r="AT215" t="s">
        <v>134</v>
      </c>
      <c r="AU215" t="s">
        <v>134</v>
      </c>
      <c r="AV215" t="s">
        <v>134</v>
      </c>
      <c r="AW215" t="s">
        <v>134</v>
      </c>
      <c r="AX215" t="s">
        <v>134</v>
      </c>
      <c r="AY215" t="s">
        <v>134</v>
      </c>
      <c r="AZ215" t="s">
        <v>134</v>
      </c>
      <c r="BA215" t="s">
        <v>134</v>
      </c>
      <c r="BB215" t="s">
        <v>134</v>
      </c>
      <c r="BC215" t="s">
        <v>134</v>
      </c>
      <c r="BD215" t="s">
        <v>134</v>
      </c>
      <c r="BE215" t="s">
        <v>134</v>
      </c>
      <c r="BF215" t="s">
        <v>134</v>
      </c>
      <c r="BG215" t="s">
        <v>134</v>
      </c>
      <c r="BH215" t="s">
        <v>134</v>
      </c>
      <c r="BI215" t="s">
        <v>134</v>
      </c>
      <c r="BJ215" t="s">
        <v>134</v>
      </c>
      <c r="BK215" t="s">
        <v>134</v>
      </c>
      <c r="BL215" t="s">
        <v>134</v>
      </c>
      <c r="BM215" t="s">
        <v>134</v>
      </c>
      <c r="BN215" t="s">
        <v>134</v>
      </c>
      <c r="BO215" t="s">
        <v>134</v>
      </c>
      <c r="BP215" t="s">
        <v>134</v>
      </c>
      <c r="BQ215" t="s">
        <v>134</v>
      </c>
      <c r="BR215" t="s">
        <v>134</v>
      </c>
      <c r="BS215" t="s">
        <v>134</v>
      </c>
      <c r="BT215" t="s">
        <v>134</v>
      </c>
      <c r="BU215" t="s">
        <v>134</v>
      </c>
      <c r="BV215" t="s">
        <v>134</v>
      </c>
      <c r="BW215" t="s">
        <v>134</v>
      </c>
      <c r="BX215" t="s">
        <v>134</v>
      </c>
      <c r="BY215" t="s">
        <v>134</v>
      </c>
      <c r="BZ215" t="s">
        <v>134</v>
      </c>
      <c r="CA215" t="s">
        <v>134</v>
      </c>
      <c r="CB215" t="s">
        <v>134</v>
      </c>
      <c r="CC215" t="s">
        <v>134</v>
      </c>
      <c r="CD215" t="s">
        <v>134</v>
      </c>
      <c r="CE215" t="s">
        <v>134</v>
      </c>
      <c r="CF215" t="s">
        <v>134</v>
      </c>
      <c r="CG215" t="s">
        <v>134</v>
      </c>
      <c r="CH215" t="s">
        <v>134</v>
      </c>
      <c r="CI215" t="s">
        <v>134</v>
      </c>
      <c r="CJ215" t="s">
        <v>134</v>
      </c>
      <c r="CK215" t="s">
        <v>134</v>
      </c>
      <c r="CL215" t="s">
        <v>134</v>
      </c>
      <c r="CM215" t="s">
        <v>134</v>
      </c>
      <c r="CN215" t="s">
        <v>134</v>
      </c>
      <c r="CO215" t="s">
        <v>134</v>
      </c>
      <c r="CP215" t="s">
        <v>134</v>
      </c>
      <c r="CQ215" t="s">
        <v>134</v>
      </c>
      <c r="CR215" t="s">
        <v>134</v>
      </c>
      <c r="CS215" t="s">
        <v>134</v>
      </c>
      <c r="CT215" t="s">
        <v>134</v>
      </c>
      <c r="CU215" t="s">
        <v>134</v>
      </c>
      <c r="CV215" t="s">
        <v>134</v>
      </c>
      <c r="CW215" t="s">
        <v>134</v>
      </c>
      <c r="CX215" t="s">
        <v>134</v>
      </c>
      <c r="CY215" t="s">
        <v>134</v>
      </c>
      <c r="CZ215" t="s">
        <v>134</v>
      </c>
      <c r="DA215" t="s">
        <v>134</v>
      </c>
      <c r="DB215" t="s">
        <v>134</v>
      </c>
      <c r="DC215" t="s">
        <v>134</v>
      </c>
      <c r="DD215" t="s">
        <v>134</v>
      </c>
      <c r="DE215" t="s">
        <v>134</v>
      </c>
      <c r="DF215" t="s">
        <v>134</v>
      </c>
      <c r="DG215" t="s">
        <v>134</v>
      </c>
      <c r="DH215" t="s">
        <v>134</v>
      </c>
      <c r="DI215" t="s">
        <v>134</v>
      </c>
    </row>
    <row r="216" spans="4:113" x14ac:dyDescent="0.3">
      <c r="E216" t="s">
        <v>6</v>
      </c>
      <c r="F216" t="s">
        <v>134</v>
      </c>
      <c r="G216" t="s">
        <v>134</v>
      </c>
      <c r="H216" t="s">
        <v>134</v>
      </c>
      <c r="I216" t="s">
        <v>134</v>
      </c>
      <c r="J216" t="s">
        <v>134</v>
      </c>
      <c r="K216" t="s">
        <v>134</v>
      </c>
      <c r="L216" t="s">
        <v>134</v>
      </c>
      <c r="M216" t="s">
        <v>134</v>
      </c>
      <c r="N216" t="s">
        <v>134</v>
      </c>
      <c r="O216" t="s">
        <v>134</v>
      </c>
      <c r="P216" t="s">
        <v>134</v>
      </c>
      <c r="Q216" t="s">
        <v>134</v>
      </c>
      <c r="R216" t="s">
        <v>134</v>
      </c>
      <c r="S216" t="s">
        <v>134</v>
      </c>
      <c r="T216" t="s">
        <v>134</v>
      </c>
      <c r="U216" t="s">
        <v>134</v>
      </c>
      <c r="V216" t="s">
        <v>134</v>
      </c>
      <c r="W216" t="s">
        <v>134</v>
      </c>
      <c r="X216" t="s">
        <v>134</v>
      </c>
      <c r="Y216" t="s">
        <v>134</v>
      </c>
      <c r="Z216" t="s">
        <v>134</v>
      </c>
      <c r="AA216" t="s">
        <v>134</v>
      </c>
      <c r="AB216" t="s">
        <v>134</v>
      </c>
      <c r="AC216" t="s">
        <v>134</v>
      </c>
      <c r="AD216" t="s">
        <v>134</v>
      </c>
      <c r="AE216" t="s">
        <v>134</v>
      </c>
      <c r="AF216" t="s">
        <v>134</v>
      </c>
      <c r="AG216" t="s">
        <v>134</v>
      </c>
      <c r="AH216" t="s">
        <v>134</v>
      </c>
      <c r="AI216" t="s">
        <v>134</v>
      </c>
      <c r="AJ216" t="s">
        <v>134</v>
      </c>
      <c r="AK216" t="s">
        <v>134</v>
      </c>
      <c r="AL216" t="s">
        <v>134</v>
      </c>
      <c r="AM216" t="s">
        <v>134</v>
      </c>
      <c r="AN216" t="s">
        <v>134</v>
      </c>
      <c r="AO216" t="s">
        <v>134</v>
      </c>
      <c r="AP216" t="s">
        <v>134</v>
      </c>
      <c r="AQ216" t="s">
        <v>134</v>
      </c>
      <c r="AR216" t="s">
        <v>134</v>
      </c>
      <c r="AS216" t="s">
        <v>134</v>
      </c>
      <c r="AT216" t="s">
        <v>134</v>
      </c>
      <c r="AU216" t="s">
        <v>134</v>
      </c>
      <c r="AV216" t="s">
        <v>134</v>
      </c>
      <c r="AW216" t="s">
        <v>134</v>
      </c>
      <c r="AX216" t="s">
        <v>134</v>
      </c>
      <c r="AY216" t="s">
        <v>134</v>
      </c>
      <c r="AZ216" t="s">
        <v>134</v>
      </c>
      <c r="BA216" t="s">
        <v>134</v>
      </c>
      <c r="BB216" t="s">
        <v>134</v>
      </c>
      <c r="BC216" t="s">
        <v>134</v>
      </c>
      <c r="BD216" t="s">
        <v>134</v>
      </c>
      <c r="BE216" t="s">
        <v>134</v>
      </c>
      <c r="BF216" t="s">
        <v>134</v>
      </c>
      <c r="BG216" t="s">
        <v>134</v>
      </c>
      <c r="BH216" t="s">
        <v>134</v>
      </c>
      <c r="BI216" t="s">
        <v>134</v>
      </c>
      <c r="BJ216" t="s">
        <v>134</v>
      </c>
      <c r="BK216" t="s">
        <v>134</v>
      </c>
      <c r="BL216" t="s">
        <v>134</v>
      </c>
      <c r="BM216" t="s">
        <v>134</v>
      </c>
      <c r="BN216" t="s">
        <v>134</v>
      </c>
      <c r="BO216" t="s">
        <v>134</v>
      </c>
      <c r="BP216" t="s">
        <v>134</v>
      </c>
      <c r="BQ216" t="s">
        <v>134</v>
      </c>
      <c r="BR216" t="s">
        <v>134</v>
      </c>
      <c r="BS216" t="s">
        <v>134</v>
      </c>
      <c r="BT216" t="s">
        <v>134</v>
      </c>
      <c r="BU216" t="s">
        <v>134</v>
      </c>
      <c r="BV216" t="s">
        <v>134</v>
      </c>
      <c r="BW216" t="s">
        <v>134</v>
      </c>
      <c r="BX216" t="s">
        <v>134</v>
      </c>
      <c r="BY216" t="s">
        <v>134</v>
      </c>
      <c r="BZ216" t="s">
        <v>134</v>
      </c>
      <c r="CA216" t="s">
        <v>134</v>
      </c>
      <c r="CB216" t="s">
        <v>134</v>
      </c>
      <c r="CC216" t="s">
        <v>134</v>
      </c>
      <c r="CD216" t="s">
        <v>134</v>
      </c>
      <c r="CE216" t="s">
        <v>134</v>
      </c>
      <c r="CF216" t="s">
        <v>134</v>
      </c>
      <c r="CG216" t="s">
        <v>134</v>
      </c>
      <c r="CH216" t="s">
        <v>134</v>
      </c>
      <c r="CI216" t="s">
        <v>134</v>
      </c>
      <c r="CJ216" t="s">
        <v>134</v>
      </c>
      <c r="CK216" t="s">
        <v>134</v>
      </c>
      <c r="CL216" t="s">
        <v>134</v>
      </c>
      <c r="CM216" t="s">
        <v>134</v>
      </c>
      <c r="CN216" t="s">
        <v>134</v>
      </c>
      <c r="CO216" t="s">
        <v>134</v>
      </c>
      <c r="CP216" t="s">
        <v>134</v>
      </c>
      <c r="CQ216" t="s">
        <v>134</v>
      </c>
      <c r="CR216" t="s">
        <v>134</v>
      </c>
      <c r="CS216" t="s">
        <v>134</v>
      </c>
      <c r="CT216" t="s">
        <v>134</v>
      </c>
      <c r="CU216" t="s">
        <v>134</v>
      </c>
      <c r="CV216" t="s">
        <v>134</v>
      </c>
      <c r="CW216" t="s">
        <v>134</v>
      </c>
      <c r="CX216" t="s">
        <v>134</v>
      </c>
      <c r="CY216" t="s">
        <v>134</v>
      </c>
      <c r="CZ216" t="s">
        <v>134</v>
      </c>
      <c r="DA216" t="s">
        <v>134</v>
      </c>
      <c r="DB216" t="s">
        <v>134</v>
      </c>
      <c r="DC216" t="s">
        <v>134</v>
      </c>
      <c r="DD216" t="s">
        <v>134</v>
      </c>
      <c r="DE216" t="s">
        <v>134</v>
      </c>
      <c r="DF216" t="s">
        <v>134</v>
      </c>
      <c r="DG216" t="s">
        <v>134</v>
      </c>
      <c r="DH216" t="s">
        <v>134</v>
      </c>
      <c r="DI216" t="s">
        <v>134</v>
      </c>
    </row>
    <row r="217" spans="4:113" x14ac:dyDescent="0.3">
      <c r="E217" t="s">
        <v>7</v>
      </c>
      <c r="F217" t="s">
        <v>134</v>
      </c>
      <c r="G217" t="s">
        <v>134</v>
      </c>
      <c r="H217" t="s">
        <v>134</v>
      </c>
      <c r="I217" t="s">
        <v>134</v>
      </c>
      <c r="J217" t="s">
        <v>134</v>
      </c>
      <c r="K217" t="s">
        <v>134</v>
      </c>
      <c r="L217" t="s">
        <v>134</v>
      </c>
      <c r="M217" t="s">
        <v>134</v>
      </c>
      <c r="N217" t="s">
        <v>134</v>
      </c>
      <c r="O217" t="s">
        <v>134</v>
      </c>
      <c r="P217" t="s">
        <v>134</v>
      </c>
      <c r="Q217" t="s">
        <v>134</v>
      </c>
      <c r="R217" t="s">
        <v>134</v>
      </c>
      <c r="S217" t="s">
        <v>134</v>
      </c>
      <c r="T217" t="s">
        <v>134</v>
      </c>
      <c r="U217" t="s">
        <v>134</v>
      </c>
      <c r="V217" t="s">
        <v>134</v>
      </c>
      <c r="W217" t="s">
        <v>134</v>
      </c>
      <c r="X217" t="s">
        <v>134</v>
      </c>
      <c r="Y217" t="s">
        <v>134</v>
      </c>
      <c r="Z217" t="s">
        <v>134</v>
      </c>
      <c r="AA217" t="s">
        <v>134</v>
      </c>
      <c r="AB217" t="s">
        <v>134</v>
      </c>
      <c r="AC217" t="s">
        <v>134</v>
      </c>
      <c r="AD217" t="s">
        <v>134</v>
      </c>
      <c r="AE217" t="s">
        <v>134</v>
      </c>
      <c r="AF217" t="s">
        <v>134</v>
      </c>
      <c r="AG217" t="s">
        <v>134</v>
      </c>
      <c r="AH217" t="s">
        <v>134</v>
      </c>
      <c r="AI217" t="s">
        <v>134</v>
      </c>
      <c r="AJ217" t="s">
        <v>134</v>
      </c>
      <c r="AK217" t="s">
        <v>134</v>
      </c>
      <c r="AL217" t="s">
        <v>134</v>
      </c>
      <c r="AM217" t="s">
        <v>134</v>
      </c>
      <c r="AN217" t="s">
        <v>134</v>
      </c>
      <c r="AO217" t="s">
        <v>134</v>
      </c>
      <c r="AP217" t="s">
        <v>134</v>
      </c>
      <c r="AQ217" t="s">
        <v>134</v>
      </c>
      <c r="AR217" t="s">
        <v>134</v>
      </c>
      <c r="AS217" t="s">
        <v>134</v>
      </c>
      <c r="AT217" t="s">
        <v>134</v>
      </c>
      <c r="AU217" t="s">
        <v>134</v>
      </c>
      <c r="AV217" t="s">
        <v>134</v>
      </c>
      <c r="AW217" t="s">
        <v>134</v>
      </c>
      <c r="AX217" t="s">
        <v>134</v>
      </c>
      <c r="AY217" t="s">
        <v>134</v>
      </c>
      <c r="AZ217" t="s">
        <v>134</v>
      </c>
      <c r="BA217" t="s">
        <v>134</v>
      </c>
      <c r="BB217" t="s">
        <v>134</v>
      </c>
      <c r="BC217" t="s">
        <v>134</v>
      </c>
      <c r="BD217" t="s">
        <v>134</v>
      </c>
      <c r="BE217" t="s">
        <v>134</v>
      </c>
      <c r="BF217" t="s">
        <v>134</v>
      </c>
      <c r="BG217" t="s">
        <v>134</v>
      </c>
      <c r="BH217" t="s">
        <v>134</v>
      </c>
      <c r="BI217" t="s">
        <v>134</v>
      </c>
      <c r="BJ217" t="s">
        <v>134</v>
      </c>
      <c r="BK217" t="s">
        <v>134</v>
      </c>
      <c r="BL217" t="s">
        <v>134</v>
      </c>
      <c r="BM217" t="s">
        <v>134</v>
      </c>
      <c r="BN217" t="s">
        <v>134</v>
      </c>
      <c r="BO217" t="s">
        <v>134</v>
      </c>
      <c r="BP217" t="s">
        <v>134</v>
      </c>
      <c r="BQ217" t="s">
        <v>134</v>
      </c>
      <c r="BR217" t="s">
        <v>134</v>
      </c>
      <c r="BS217" t="s">
        <v>134</v>
      </c>
      <c r="BT217" t="s">
        <v>134</v>
      </c>
      <c r="BU217" t="s">
        <v>134</v>
      </c>
      <c r="BV217" t="s">
        <v>134</v>
      </c>
      <c r="BW217" t="s">
        <v>134</v>
      </c>
      <c r="BX217" t="s">
        <v>134</v>
      </c>
      <c r="BY217" t="s">
        <v>134</v>
      </c>
      <c r="BZ217" t="s">
        <v>134</v>
      </c>
      <c r="CA217" t="s">
        <v>134</v>
      </c>
      <c r="CB217" t="s">
        <v>134</v>
      </c>
      <c r="CC217" t="s">
        <v>134</v>
      </c>
      <c r="CD217" t="s">
        <v>134</v>
      </c>
      <c r="CE217" t="s">
        <v>134</v>
      </c>
      <c r="CF217" t="s">
        <v>134</v>
      </c>
      <c r="CG217" t="s">
        <v>134</v>
      </c>
      <c r="CH217" t="s">
        <v>134</v>
      </c>
      <c r="CI217" t="s">
        <v>134</v>
      </c>
      <c r="CJ217" t="s">
        <v>134</v>
      </c>
      <c r="CK217" t="s">
        <v>134</v>
      </c>
      <c r="CL217" t="s">
        <v>134</v>
      </c>
      <c r="CM217" t="s">
        <v>134</v>
      </c>
      <c r="CN217" t="s">
        <v>134</v>
      </c>
      <c r="CO217" t="s">
        <v>134</v>
      </c>
      <c r="CP217" t="s">
        <v>134</v>
      </c>
      <c r="CQ217" t="s">
        <v>134</v>
      </c>
      <c r="CR217" t="s">
        <v>134</v>
      </c>
      <c r="CS217" t="s">
        <v>134</v>
      </c>
      <c r="CT217" t="s">
        <v>134</v>
      </c>
      <c r="CU217" t="s">
        <v>134</v>
      </c>
      <c r="CV217" t="s">
        <v>134</v>
      </c>
      <c r="CW217" t="s">
        <v>134</v>
      </c>
      <c r="CX217" t="s">
        <v>134</v>
      </c>
      <c r="CY217" t="s">
        <v>134</v>
      </c>
      <c r="CZ217" t="s">
        <v>134</v>
      </c>
      <c r="DA217" t="s">
        <v>134</v>
      </c>
      <c r="DB217" t="s">
        <v>134</v>
      </c>
      <c r="DC217" t="s">
        <v>134</v>
      </c>
      <c r="DD217" t="s">
        <v>134</v>
      </c>
      <c r="DE217" t="s">
        <v>134</v>
      </c>
      <c r="DF217" t="s">
        <v>134</v>
      </c>
      <c r="DG217" t="s">
        <v>134</v>
      </c>
      <c r="DH217" t="s">
        <v>134</v>
      </c>
      <c r="DI217" t="s">
        <v>134</v>
      </c>
    </row>
    <row r="218" spans="4:113" x14ac:dyDescent="0.3">
      <c r="D218" t="s">
        <v>10</v>
      </c>
      <c r="E218" t="s">
        <v>3</v>
      </c>
      <c r="F218">
        <v>19.069500000000001</v>
      </c>
      <c r="G218">
        <v>1.3794999999999999</v>
      </c>
      <c r="H218">
        <v>1.4536</v>
      </c>
      <c r="I218">
        <v>1.6493</v>
      </c>
      <c r="J218">
        <v>93.642399999999995</v>
      </c>
      <c r="K218">
        <v>76.6006</v>
      </c>
      <c r="L218">
        <v>59.472700000000003</v>
      </c>
      <c r="M218">
        <v>21.0977</v>
      </c>
      <c r="N218">
        <v>50.183700000000002</v>
      </c>
      <c r="O218">
        <v>13.782399999999999</v>
      </c>
      <c r="P218">
        <v>50.183500000000002</v>
      </c>
      <c r="Q218">
        <v>34.688600000000001</v>
      </c>
      <c r="R218">
        <v>16.109500000000001</v>
      </c>
      <c r="S218">
        <v>15.9975</v>
      </c>
      <c r="T218">
        <v>12.824199999999999</v>
      </c>
      <c r="U218">
        <v>11.1877</v>
      </c>
      <c r="V218">
        <v>15.668799999999999</v>
      </c>
      <c r="W218">
        <v>16.464500000000001</v>
      </c>
      <c r="X218">
        <v>16.459900000000001</v>
      </c>
      <c r="Y218">
        <v>12.7273</v>
      </c>
      <c r="Z218" t="s">
        <v>134</v>
      </c>
      <c r="AA218" t="s">
        <v>134</v>
      </c>
      <c r="AB218">
        <v>6.1230000000000002</v>
      </c>
      <c r="AC218">
        <v>15.6294</v>
      </c>
      <c r="AD218" t="s">
        <v>134</v>
      </c>
      <c r="AE218" t="s">
        <v>134</v>
      </c>
      <c r="AF218" t="s">
        <v>134</v>
      </c>
      <c r="AG218">
        <v>7.5049000000000001</v>
      </c>
      <c r="AH218">
        <v>15.065200000000001</v>
      </c>
      <c r="AI218">
        <v>21.063800000000001</v>
      </c>
      <c r="AJ218">
        <v>15.511100000000001</v>
      </c>
      <c r="AK218">
        <v>21.067399999999999</v>
      </c>
      <c r="AL218">
        <v>34.880699999999997</v>
      </c>
      <c r="AM218">
        <v>17.6784</v>
      </c>
      <c r="AN218">
        <v>17.8675</v>
      </c>
      <c r="AO218">
        <v>19.1389</v>
      </c>
      <c r="AP218">
        <v>16.123000000000001</v>
      </c>
      <c r="AQ218">
        <v>14.7805</v>
      </c>
      <c r="AR218">
        <v>11.4854</v>
      </c>
      <c r="AS218">
        <v>9.3091000000000008</v>
      </c>
      <c r="AT218" t="s">
        <v>134</v>
      </c>
      <c r="AU218">
        <v>8.5691000000000006</v>
      </c>
      <c r="AV218">
        <v>18.0565</v>
      </c>
      <c r="AW218" t="s">
        <v>134</v>
      </c>
      <c r="AX218" t="s">
        <v>134</v>
      </c>
      <c r="AY218" t="s">
        <v>134</v>
      </c>
      <c r="AZ218">
        <v>74.358400000000003</v>
      </c>
      <c r="BA218">
        <v>22.504899999999999</v>
      </c>
      <c r="BB218">
        <v>14.335599999999999</v>
      </c>
      <c r="BC218">
        <v>21.7333</v>
      </c>
      <c r="BD218">
        <v>14.332599999999999</v>
      </c>
      <c r="BE218" t="s">
        <v>134</v>
      </c>
      <c r="BF218">
        <v>12.824199999999999</v>
      </c>
      <c r="BG218">
        <v>11.1877</v>
      </c>
      <c r="BH218">
        <v>15.668799999999999</v>
      </c>
      <c r="BI218">
        <v>16.464500000000001</v>
      </c>
      <c r="BJ218">
        <v>16.459900000000001</v>
      </c>
      <c r="BK218">
        <v>12.7273</v>
      </c>
      <c r="BL218">
        <v>31.5992</v>
      </c>
      <c r="BM218" t="s">
        <v>134</v>
      </c>
      <c r="BN218">
        <v>6.1230000000000002</v>
      </c>
      <c r="BO218">
        <v>15.6294</v>
      </c>
      <c r="BP218" t="s">
        <v>134</v>
      </c>
      <c r="BQ218" t="s">
        <v>134</v>
      </c>
      <c r="BR218" t="s">
        <v>134</v>
      </c>
      <c r="BS218">
        <v>7.5049000000000001</v>
      </c>
      <c r="BT218">
        <v>15.065200000000001</v>
      </c>
      <c r="BU218">
        <v>21.063800000000001</v>
      </c>
      <c r="BV218">
        <v>15.511100000000001</v>
      </c>
      <c r="BW218">
        <v>21.067399999999999</v>
      </c>
      <c r="BX218" t="s">
        <v>134</v>
      </c>
      <c r="BY218">
        <v>1320780.1100000001</v>
      </c>
      <c r="BZ218">
        <v>283391.23700000002</v>
      </c>
      <c r="CA218">
        <v>1037388.873</v>
      </c>
      <c r="CB218">
        <v>10.008599999999999</v>
      </c>
      <c r="CC218">
        <v>9.6659000000000006</v>
      </c>
      <c r="CD218">
        <v>44.550199999999997</v>
      </c>
      <c r="CE218">
        <v>43.024700000000003</v>
      </c>
      <c r="CF218">
        <v>1.2909999999999999</v>
      </c>
      <c r="CG218">
        <v>7.3880999999999997</v>
      </c>
      <c r="CH218">
        <v>929.76980000000003</v>
      </c>
      <c r="CI218">
        <v>72.425399999999996</v>
      </c>
      <c r="CJ218">
        <v>68.702500000000001</v>
      </c>
      <c r="CK218">
        <v>1183.7619</v>
      </c>
      <c r="CL218">
        <v>92.210400000000007</v>
      </c>
      <c r="CM218">
        <v>87.470500000000001</v>
      </c>
      <c r="CN218">
        <v>1143.2282</v>
      </c>
      <c r="CO218">
        <v>91.956400000000002</v>
      </c>
      <c r="CP218">
        <v>131964.97700000001</v>
      </c>
      <c r="CQ218">
        <v>131820.049</v>
      </c>
      <c r="CR218">
        <v>29647.031999999999</v>
      </c>
      <c r="CS218" t="s">
        <v>134</v>
      </c>
      <c r="CT218" t="s">
        <v>134</v>
      </c>
      <c r="CU218" t="s">
        <v>134</v>
      </c>
      <c r="CV218" t="s">
        <v>134</v>
      </c>
      <c r="CW218" t="s">
        <v>134</v>
      </c>
      <c r="CX218" t="s">
        <v>134</v>
      </c>
      <c r="CY218" t="s">
        <v>134</v>
      </c>
      <c r="CZ218" t="s">
        <v>134</v>
      </c>
      <c r="DA218" t="s">
        <v>134</v>
      </c>
      <c r="DB218" t="s">
        <v>134</v>
      </c>
      <c r="DC218" t="s">
        <v>134</v>
      </c>
      <c r="DD218" t="s">
        <v>134</v>
      </c>
      <c r="DE218" t="s">
        <v>134</v>
      </c>
      <c r="DF218" t="s">
        <v>134</v>
      </c>
      <c r="DG218" t="s">
        <v>134</v>
      </c>
      <c r="DH218" t="s">
        <v>134</v>
      </c>
      <c r="DI218" t="s">
        <v>134</v>
      </c>
    </row>
    <row r="219" spans="4:113" x14ac:dyDescent="0.3">
      <c r="E219" t="s">
        <v>4</v>
      </c>
      <c r="F219" t="s">
        <v>134</v>
      </c>
      <c r="G219" t="s">
        <v>134</v>
      </c>
      <c r="H219" t="s">
        <v>134</v>
      </c>
      <c r="I219" t="s">
        <v>134</v>
      </c>
      <c r="J219" t="s">
        <v>134</v>
      </c>
      <c r="K219" t="s">
        <v>134</v>
      </c>
      <c r="L219" t="s">
        <v>134</v>
      </c>
      <c r="M219" t="s">
        <v>134</v>
      </c>
      <c r="N219" t="s">
        <v>134</v>
      </c>
      <c r="O219" t="s">
        <v>134</v>
      </c>
      <c r="P219" t="s">
        <v>134</v>
      </c>
      <c r="Q219" t="s">
        <v>134</v>
      </c>
      <c r="R219" t="s">
        <v>134</v>
      </c>
      <c r="S219" t="s">
        <v>134</v>
      </c>
      <c r="T219" t="s">
        <v>134</v>
      </c>
      <c r="U219" t="s">
        <v>134</v>
      </c>
      <c r="V219" t="s">
        <v>134</v>
      </c>
      <c r="W219" t="s">
        <v>134</v>
      </c>
      <c r="X219" t="s">
        <v>134</v>
      </c>
      <c r="Y219" t="s">
        <v>134</v>
      </c>
      <c r="Z219" t="s">
        <v>134</v>
      </c>
      <c r="AA219" t="s">
        <v>134</v>
      </c>
      <c r="AB219" t="s">
        <v>134</v>
      </c>
      <c r="AC219" t="s">
        <v>134</v>
      </c>
      <c r="AD219" t="s">
        <v>134</v>
      </c>
      <c r="AE219" t="s">
        <v>134</v>
      </c>
      <c r="AF219" t="s">
        <v>134</v>
      </c>
      <c r="AG219" t="s">
        <v>134</v>
      </c>
      <c r="AH219" t="s">
        <v>134</v>
      </c>
      <c r="AI219" t="s">
        <v>134</v>
      </c>
      <c r="AJ219" t="s">
        <v>134</v>
      </c>
      <c r="AK219" t="s">
        <v>134</v>
      </c>
      <c r="AL219" t="s">
        <v>134</v>
      </c>
      <c r="AM219" t="s">
        <v>134</v>
      </c>
      <c r="AN219" t="s">
        <v>134</v>
      </c>
      <c r="AO219" t="s">
        <v>134</v>
      </c>
      <c r="AP219" t="s">
        <v>134</v>
      </c>
      <c r="AQ219" t="s">
        <v>134</v>
      </c>
      <c r="AR219" t="s">
        <v>134</v>
      </c>
      <c r="AS219" t="s">
        <v>134</v>
      </c>
      <c r="AT219" t="s">
        <v>134</v>
      </c>
      <c r="AU219" t="s">
        <v>134</v>
      </c>
      <c r="AV219" t="s">
        <v>134</v>
      </c>
      <c r="AW219" t="s">
        <v>134</v>
      </c>
      <c r="AX219" t="s">
        <v>134</v>
      </c>
      <c r="AY219" t="s">
        <v>134</v>
      </c>
      <c r="AZ219" t="s">
        <v>134</v>
      </c>
      <c r="BA219" t="s">
        <v>134</v>
      </c>
      <c r="BB219" t="s">
        <v>134</v>
      </c>
      <c r="BC219" t="s">
        <v>134</v>
      </c>
      <c r="BD219" t="s">
        <v>134</v>
      </c>
      <c r="BE219" t="s">
        <v>134</v>
      </c>
      <c r="BF219" t="s">
        <v>134</v>
      </c>
      <c r="BG219" t="s">
        <v>134</v>
      </c>
      <c r="BH219" t="s">
        <v>134</v>
      </c>
      <c r="BI219" t="s">
        <v>134</v>
      </c>
      <c r="BJ219" t="s">
        <v>134</v>
      </c>
      <c r="BK219" t="s">
        <v>134</v>
      </c>
      <c r="BL219" t="s">
        <v>134</v>
      </c>
      <c r="BM219" t="s">
        <v>134</v>
      </c>
      <c r="BN219" t="s">
        <v>134</v>
      </c>
      <c r="BO219" t="s">
        <v>134</v>
      </c>
      <c r="BP219" t="s">
        <v>134</v>
      </c>
      <c r="BQ219" t="s">
        <v>134</v>
      </c>
      <c r="BR219" t="s">
        <v>134</v>
      </c>
      <c r="BS219" t="s">
        <v>134</v>
      </c>
      <c r="BT219" t="s">
        <v>134</v>
      </c>
      <c r="BU219" t="s">
        <v>134</v>
      </c>
      <c r="BV219" t="s">
        <v>134</v>
      </c>
      <c r="BW219" t="s">
        <v>134</v>
      </c>
      <c r="BX219" t="s">
        <v>134</v>
      </c>
      <c r="BY219" t="s">
        <v>134</v>
      </c>
      <c r="BZ219" t="s">
        <v>134</v>
      </c>
      <c r="CA219" t="s">
        <v>134</v>
      </c>
      <c r="CB219" t="s">
        <v>134</v>
      </c>
      <c r="CC219" t="s">
        <v>134</v>
      </c>
      <c r="CD219" t="s">
        <v>134</v>
      </c>
      <c r="CE219" t="s">
        <v>134</v>
      </c>
      <c r="CF219" t="s">
        <v>134</v>
      </c>
      <c r="CG219" t="s">
        <v>134</v>
      </c>
      <c r="CH219" t="s">
        <v>134</v>
      </c>
      <c r="CI219" t="s">
        <v>134</v>
      </c>
      <c r="CJ219" t="s">
        <v>134</v>
      </c>
      <c r="CK219" t="s">
        <v>134</v>
      </c>
      <c r="CL219" t="s">
        <v>134</v>
      </c>
      <c r="CM219" t="s">
        <v>134</v>
      </c>
      <c r="CN219" t="s">
        <v>134</v>
      </c>
      <c r="CO219" t="s">
        <v>134</v>
      </c>
      <c r="CP219" t="s">
        <v>134</v>
      </c>
      <c r="CQ219" t="s">
        <v>134</v>
      </c>
      <c r="CR219" t="s">
        <v>134</v>
      </c>
      <c r="CS219" t="s">
        <v>134</v>
      </c>
      <c r="CT219" t="s">
        <v>134</v>
      </c>
      <c r="CU219" t="s">
        <v>134</v>
      </c>
      <c r="CV219" t="s">
        <v>134</v>
      </c>
      <c r="CW219" t="s">
        <v>134</v>
      </c>
      <c r="CX219" t="s">
        <v>134</v>
      </c>
      <c r="CY219" t="s">
        <v>134</v>
      </c>
      <c r="CZ219" t="s">
        <v>134</v>
      </c>
      <c r="DA219" t="s">
        <v>134</v>
      </c>
      <c r="DB219" t="s">
        <v>134</v>
      </c>
      <c r="DC219" t="s">
        <v>134</v>
      </c>
      <c r="DD219" t="s">
        <v>134</v>
      </c>
      <c r="DE219" t="s">
        <v>134</v>
      </c>
      <c r="DF219" t="s">
        <v>134</v>
      </c>
      <c r="DG219" t="s">
        <v>134</v>
      </c>
      <c r="DH219" t="s">
        <v>134</v>
      </c>
      <c r="DI219" t="s">
        <v>134</v>
      </c>
    </row>
    <row r="220" spans="4:113" x14ac:dyDescent="0.3">
      <c r="E220" t="s">
        <v>5</v>
      </c>
      <c r="F220" t="s">
        <v>134</v>
      </c>
      <c r="G220" t="s">
        <v>134</v>
      </c>
      <c r="H220" t="s">
        <v>134</v>
      </c>
      <c r="I220" t="s">
        <v>134</v>
      </c>
      <c r="J220" t="s">
        <v>134</v>
      </c>
      <c r="K220" t="s">
        <v>134</v>
      </c>
      <c r="L220" t="s">
        <v>134</v>
      </c>
      <c r="M220" t="s">
        <v>134</v>
      </c>
      <c r="N220" t="s">
        <v>134</v>
      </c>
      <c r="O220" t="s">
        <v>134</v>
      </c>
      <c r="P220" t="s">
        <v>134</v>
      </c>
      <c r="Q220" t="s">
        <v>134</v>
      </c>
      <c r="R220" t="s">
        <v>134</v>
      </c>
      <c r="S220" t="s">
        <v>134</v>
      </c>
      <c r="T220" t="s">
        <v>134</v>
      </c>
      <c r="U220" t="s">
        <v>134</v>
      </c>
      <c r="V220" t="s">
        <v>134</v>
      </c>
      <c r="W220" t="s">
        <v>134</v>
      </c>
      <c r="X220" t="s">
        <v>134</v>
      </c>
      <c r="Y220" t="s">
        <v>134</v>
      </c>
      <c r="Z220" t="s">
        <v>134</v>
      </c>
      <c r="AA220" t="s">
        <v>134</v>
      </c>
      <c r="AB220" t="s">
        <v>134</v>
      </c>
      <c r="AC220" t="s">
        <v>134</v>
      </c>
      <c r="AD220" t="s">
        <v>134</v>
      </c>
      <c r="AE220" t="s">
        <v>134</v>
      </c>
      <c r="AF220" t="s">
        <v>134</v>
      </c>
      <c r="AG220" t="s">
        <v>134</v>
      </c>
      <c r="AH220" t="s">
        <v>134</v>
      </c>
      <c r="AI220" t="s">
        <v>134</v>
      </c>
      <c r="AJ220" t="s">
        <v>134</v>
      </c>
      <c r="AK220" t="s">
        <v>134</v>
      </c>
      <c r="AL220" t="s">
        <v>134</v>
      </c>
      <c r="AM220" t="s">
        <v>134</v>
      </c>
      <c r="AN220" t="s">
        <v>134</v>
      </c>
      <c r="AO220" t="s">
        <v>134</v>
      </c>
      <c r="AP220" t="s">
        <v>134</v>
      </c>
      <c r="AQ220" t="s">
        <v>134</v>
      </c>
      <c r="AR220" t="s">
        <v>134</v>
      </c>
      <c r="AS220" t="s">
        <v>134</v>
      </c>
      <c r="AT220" t="s">
        <v>134</v>
      </c>
      <c r="AU220" t="s">
        <v>134</v>
      </c>
      <c r="AV220" t="s">
        <v>134</v>
      </c>
      <c r="AW220" t="s">
        <v>134</v>
      </c>
      <c r="AX220" t="s">
        <v>134</v>
      </c>
      <c r="AY220" t="s">
        <v>134</v>
      </c>
      <c r="AZ220" t="s">
        <v>134</v>
      </c>
      <c r="BA220" t="s">
        <v>134</v>
      </c>
      <c r="BB220" t="s">
        <v>134</v>
      </c>
      <c r="BC220" t="s">
        <v>134</v>
      </c>
      <c r="BD220" t="s">
        <v>134</v>
      </c>
      <c r="BE220" t="s">
        <v>134</v>
      </c>
      <c r="BF220" t="s">
        <v>134</v>
      </c>
      <c r="BG220" t="s">
        <v>134</v>
      </c>
      <c r="BH220" t="s">
        <v>134</v>
      </c>
      <c r="BI220" t="s">
        <v>134</v>
      </c>
      <c r="BJ220" t="s">
        <v>134</v>
      </c>
      <c r="BK220" t="s">
        <v>134</v>
      </c>
      <c r="BL220" t="s">
        <v>134</v>
      </c>
      <c r="BM220" t="s">
        <v>134</v>
      </c>
      <c r="BN220" t="s">
        <v>134</v>
      </c>
      <c r="BO220" t="s">
        <v>134</v>
      </c>
      <c r="BP220" t="s">
        <v>134</v>
      </c>
      <c r="BQ220" t="s">
        <v>134</v>
      </c>
      <c r="BR220" t="s">
        <v>134</v>
      </c>
      <c r="BS220" t="s">
        <v>134</v>
      </c>
      <c r="BT220" t="s">
        <v>134</v>
      </c>
      <c r="BU220" t="s">
        <v>134</v>
      </c>
      <c r="BV220" t="s">
        <v>134</v>
      </c>
      <c r="BW220" t="s">
        <v>134</v>
      </c>
      <c r="BX220" t="s">
        <v>134</v>
      </c>
      <c r="BY220" t="s">
        <v>134</v>
      </c>
      <c r="BZ220" t="s">
        <v>134</v>
      </c>
      <c r="CA220" t="s">
        <v>134</v>
      </c>
      <c r="CB220" t="s">
        <v>134</v>
      </c>
      <c r="CC220" t="s">
        <v>134</v>
      </c>
      <c r="CD220" t="s">
        <v>134</v>
      </c>
      <c r="CE220" t="s">
        <v>134</v>
      </c>
      <c r="CF220" t="s">
        <v>134</v>
      </c>
      <c r="CG220" t="s">
        <v>134</v>
      </c>
      <c r="CH220" t="s">
        <v>134</v>
      </c>
      <c r="CI220" t="s">
        <v>134</v>
      </c>
      <c r="CJ220" t="s">
        <v>134</v>
      </c>
      <c r="CK220" t="s">
        <v>134</v>
      </c>
      <c r="CL220" t="s">
        <v>134</v>
      </c>
      <c r="CM220" t="s">
        <v>134</v>
      </c>
      <c r="CN220" t="s">
        <v>134</v>
      </c>
      <c r="CO220" t="s">
        <v>134</v>
      </c>
      <c r="CP220" t="s">
        <v>134</v>
      </c>
      <c r="CQ220" t="s">
        <v>134</v>
      </c>
      <c r="CR220" t="s">
        <v>134</v>
      </c>
      <c r="CS220" t="s">
        <v>134</v>
      </c>
      <c r="CT220" t="s">
        <v>134</v>
      </c>
      <c r="CU220" t="s">
        <v>134</v>
      </c>
      <c r="CV220" t="s">
        <v>134</v>
      </c>
      <c r="CW220" t="s">
        <v>134</v>
      </c>
      <c r="CX220" t="s">
        <v>134</v>
      </c>
      <c r="CY220" t="s">
        <v>134</v>
      </c>
      <c r="CZ220" t="s">
        <v>134</v>
      </c>
      <c r="DA220" t="s">
        <v>134</v>
      </c>
      <c r="DB220" t="s">
        <v>134</v>
      </c>
      <c r="DC220" t="s">
        <v>134</v>
      </c>
      <c r="DD220" t="s">
        <v>134</v>
      </c>
      <c r="DE220" t="s">
        <v>134</v>
      </c>
      <c r="DF220" t="s">
        <v>134</v>
      </c>
      <c r="DG220" t="s">
        <v>134</v>
      </c>
      <c r="DH220" t="s">
        <v>134</v>
      </c>
      <c r="DI220" t="s">
        <v>134</v>
      </c>
    </row>
    <row r="221" spans="4:113" x14ac:dyDescent="0.3">
      <c r="E221" t="s">
        <v>6</v>
      </c>
      <c r="F221" t="s">
        <v>134</v>
      </c>
      <c r="G221" t="s">
        <v>134</v>
      </c>
      <c r="H221" t="s">
        <v>134</v>
      </c>
      <c r="I221" t="s">
        <v>134</v>
      </c>
      <c r="J221" t="s">
        <v>134</v>
      </c>
      <c r="K221" t="s">
        <v>134</v>
      </c>
      <c r="L221" t="s">
        <v>134</v>
      </c>
      <c r="M221" t="s">
        <v>134</v>
      </c>
      <c r="N221" t="s">
        <v>134</v>
      </c>
      <c r="O221" t="s">
        <v>134</v>
      </c>
      <c r="P221" t="s">
        <v>134</v>
      </c>
      <c r="Q221" t="s">
        <v>134</v>
      </c>
      <c r="R221" t="s">
        <v>134</v>
      </c>
      <c r="S221" t="s">
        <v>134</v>
      </c>
      <c r="T221" t="s">
        <v>134</v>
      </c>
      <c r="U221" t="s">
        <v>134</v>
      </c>
      <c r="V221" t="s">
        <v>134</v>
      </c>
      <c r="W221" t="s">
        <v>134</v>
      </c>
      <c r="X221" t="s">
        <v>134</v>
      </c>
      <c r="Y221" t="s">
        <v>134</v>
      </c>
      <c r="Z221" t="s">
        <v>134</v>
      </c>
      <c r="AA221" t="s">
        <v>134</v>
      </c>
      <c r="AB221" t="s">
        <v>134</v>
      </c>
      <c r="AC221" t="s">
        <v>134</v>
      </c>
      <c r="AD221" t="s">
        <v>134</v>
      </c>
      <c r="AE221" t="s">
        <v>134</v>
      </c>
      <c r="AF221" t="s">
        <v>134</v>
      </c>
      <c r="AG221" t="s">
        <v>134</v>
      </c>
      <c r="AH221" t="s">
        <v>134</v>
      </c>
      <c r="AI221" t="s">
        <v>134</v>
      </c>
      <c r="AJ221" t="s">
        <v>134</v>
      </c>
      <c r="AK221" t="s">
        <v>134</v>
      </c>
      <c r="AL221" t="s">
        <v>134</v>
      </c>
      <c r="AM221" t="s">
        <v>134</v>
      </c>
      <c r="AN221" t="s">
        <v>134</v>
      </c>
      <c r="AO221" t="s">
        <v>134</v>
      </c>
      <c r="AP221" t="s">
        <v>134</v>
      </c>
      <c r="AQ221" t="s">
        <v>134</v>
      </c>
      <c r="AR221" t="s">
        <v>134</v>
      </c>
      <c r="AS221" t="s">
        <v>134</v>
      </c>
      <c r="AT221" t="s">
        <v>134</v>
      </c>
      <c r="AU221" t="s">
        <v>134</v>
      </c>
      <c r="AV221" t="s">
        <v>134</v>
      </c>
      <c r="AW221" t="s">
        <v>134</v>
      </c>
      <c r="AX221" t="s">
        <v>134</v>
      </c>
      <c r="AY221" t="s">
        <v>134</v>
      </c>
      <c r="AZ221" t="s">
        <v>134</v>
      </c>
      <c r="BA221" t="s">
        <v>134</v>
      </c>
      <c r="BB221" t="s">
        <v>134</v>
      </c>
      <c r="BC221" t="s">
        <v>134</v>
      </c>
      <c r="BD221" t="s">
        <v>134</v>
      </c>
      <c r="BE221" t="s">
        <v>134</v>
      </c>
      <c r="BF221" t="s">
        <v>134</v>
      </c>
      <c r="BG221" t="s">
        <v>134</v>
      </c>
      <c r="BH221" t="s">
        <v>134</v>
      </c>
      <c r="BI221" t="s">
        <v>134</v>
      </c>
      <c r="BJ221" t="s">
        <v>134</v>
      </c>
      <c r="BK221" t="s">
        <v>134</v>
      </c>
      <c r="BL221" t="s">
        <v>134</v>
      </c>
      <c r="BM221" t="s">
        <v>134</v>
      </c>
      <c r="BN221" t="s">
        <v>134</v>
      </c>
      <c r="BO221" t="s">
        <v>134</v>
      </c>
      <c r="BP221" t="s">
        <v>134</v>
      </c>
      <c r="BQ221" t="s">
        <v>134</v>
      </c>
      <c r="BR221" t="s">
        <v>134</v>
      </c>
      <c r="BS221" t="s">
        <v>134</v>
      </c>
      <c r="BT221" t="s">
        <v>134</v>
      </c>
      <c r="BU221" t="s">
        <v>134</v>
      </c>
      <c r="BV221" t="s">
        <v>134</v>
      </c>
      <c r="BW221" t="s">
        <v>134</v>
      </c>
      <c r="BX221" t="s">
        <v>134</v>
      </c>
      <c r="BY221" t="s">
        <v>134</v>
      </c>
      <c r="BZ221" t="s">
        <v>134</v>
      </c>
      <c r="CA221" t="s">
        <v>134</v>
      </c>
      <c r="CB221" t="s">
        <v>134</v>
      </c>
      <c r="CC221" t="s">
        <v>134</v>
      </c>
      <c r="CD221" t="s">
        <v>134</v>
      </c>
      <c r="CE221" t="s">
        <v>134</v>
      </c>
      <c r="CF221" t="s">
        <v>134</v>
      </c>
      <c r="CG221" t="s">
        <v>134</v>
      </c>
      <c r="CH221" t="s">
        <v>134</v>
      </c>
      <c r="CI221" t="s">
        <v>134</v>
      </c>
      <c r="CJ221" t="s">
        <v>134</v>
      </c>
      <c r="CK221" t="s">
        <v>134</v>
      </c>
      <c r="CL221" t="s">
        <v>134</v>
      </c>
      <c r="CM221" t="s">
        <v>134</v>
      </c>
      <c r="CN221" t="s">
        <v>134</v>
      </c>
      <c r="CO221" t="s">
        <v>134</v>
      </c>
      <c r="CP221" t="s">
        <v>134</v>
      </c>
      <c r="CQ221" t="s">
        <v>134</v>
      </c>
      <c r="CR221" t="s">
        <v>134</v>
      </c>
      <c r="CS221" t="s">
        <v>134</v>
      </c>
      <c r="CT221" t="s">
        <v>134</v>
      </c>
      <c r="CU221" t="s">
        <v>134</v>
      </c>
      <c r="CV221" t="s">
        <v>134</v>
      </c>
      <c r="CW221" t="s">
        <v>134</v>
      </c>
      <c r="CX221" t="s">
        <v>134</v>
      </c>
      <c r="CY221" t="s">
        <v>134</v>
      </c>
      <c r="CZ221" t="s">
        <v>134</v>
      </c>
      <c r="DA221" t="s">
        <v>134</v>
      </c>
      <c r="DB221" t="s">
        <v>134</v>
      </c>
      <c r="DC221" t="s">
        <v>134</v>
      </c>
      <c r="DD221" t="s">
        <v>134</v>
      </c>
      <c r="DE221" t="s">
        <v>134</v>
      </c>
      <c r="DF221" t="s">
        <v>134</v>
      </c>
      <c r="DG221" t="s">
        <v>134</v>
      </c>
      <c r="DH221" t="s">
        <v>134</v>
      </c>
      <c r="DI221" t="s">
        <v>134</v>
      </c>
    </row>
    <row r="222" spans="4:113" x14ac:dyDescent="0.3">
      <c r="E222" t="s">
        <v>7</v>
      </c>
      <c r="F222" t="s">
        <v>134</v>
      </c>
      <c r="G222" t="s">
        <v>134</v>
      </c>
      <c r="H222" t="s">
        <v>134</v>
      </c>
      <c r="I222" t="s">
        <v>134</v>
      </c>
      <c r="J222" t="s">
        <v>134</v>
      </c>
      <c r="K222" t="s">
        <v>134</v>
      </c>
      <c r="L222" t="s">
        <v>134</v>
      </c>
      <c r="M222" t="s">
        <v>134</v>
      </c>
      <c r="N222" t="s">
        <v>134</v>
      </c>
      <c r="O222" t="s">
        <v>134</v>
      </c>
      <c r="P222" t="s">
        <v>134</v>
      </c>
      <c r="Q222" t="s">
        <v>134</v>
      </c>
      <c r="R222" t="s">
        <v>134</v>
      </c>
      <c r="S222" t="s">
        <v>134</v>
      </c>
      <c r="T222" t="s">
        <v>134</v>
      </c>
      <c r="U222" t="s">
        <v>134</v>
      </c>
      <c r="V222" t="s">
        <v>134</v>
      </c>
      <c r="W222" t="s">
        <v>134</v>
      </c>
      <c r="X222" t="s">
        <v>134</v>
      </c>
      <c r="Y222" t="s">
        <v>134</v>
      </c>
      <c r="Z222" t="s">
        <v>134</v>
      </c>
      <c r="AA222" t="s">
        <v>134</v>
      </c>
      <c r="AB222" t="s">
        <v>134</v>
      </c>
      <c r="AC222" t="s">
        <v>134</v>
      </c>
      <c r="AD222" t="s">
        <v>134</v>
      </c>
      <c r="AE222" t="s">
        <v>134</v>
      </c>
      <c r="AF222" t="s">
        <v>134</v>
      </c>
      <c r="AG222" t="s">
        <v>134</v>
      </c>
      <c r="AH222" t="s">
        <v>134</v>
      </c>
      <c r="AI222" t="s">
        <v>134</v>
      </c>
      <c r="AJ222" t="s">
        <v>134</v>
      </c>
      <c r="AK222" t="s">
        <v>134</v>
      </c>
      <c r="AL222" t="s">
        <v>134</v>
      </c>
      <c r="AM222" t="s">
        <v>134</v>
      </c>
      <c r="AN222" t="s">
        <v>134</v>
      </c>
      <c r="AO222" t="s">
        <v>134</v>
      </c>
      <c r="AP222" t="s">
        <v>134</v>
      </c>
      <c r="AQ222" t="s">
        <v>134</v>
      </c>
      <c r="AR222" t="s">
        <v>134</v>
      </c>
      <c r="AS222" t="s">
        <v>134</v>
      </c>
      <c r="AT222" t="s">
        <v>134</v>
      </c>
      <c r="AU222" t="s">
        <v>134</v>
      </c>
      <c r="AV222" t="s">
        <v>134</v>
      </c>
      <c r="AW222" t="s">
        <v>134</v>
      </c>
      <c r="AX222" t="s">
        <v>134</v>
      </c>
      <c r="AY222" t="s">
        <v>134</v>
      </c>
      <c r="AZ222" t="s">
        <v>134</v>
      </c>
      <c r="BA222" t="s">
        <v>134</v>
      </c>
      <c r="BB222" t="s">
        <v>134</v>
      </c>
      <c r="BC222" t="s">
        <v>134</v>
      </c>
      <c r="BD222" t="s">
        <v>134</v>
      </c>
      <c r="BE222" t="s">
        <v>134</v>
      </c>
      <c r="BF222" t="s">
        <v>134</v>
      </c>
      <c r="BG222" t="s">
        <v>134</v>
      </c>
      <c r="BH222" t="s">
        <v>134</v>
      </c>
      <c r="BI222" t="s">
        <v>134</v>
      </c>
      <c r="BJ222" t="s">
        <v>134</v>
      </c>
      <c r="BK222" t="s">
        <v>134</v>
      </c>
      <c r="BL222" t="s">
        <v>134</v>
      </c>
      <c r="BM222" t="s">
        <v>134</v>
      </c>
      <c r="BN222" t="s">
        <v>134</v>
      </c>
      <c r="BO222" t="s">
        <v>134</v>
      </c>
      <c r="BP222" t="s">
        <v>134</v>
      </c>
      <c r="BQ222" t="s">
        <v>134</v>
      </c>
      <c r="BR222" t="s">
        <v>134</v>
      </c>
      <c r="BS222" t="s">
        <v>134</v>
      </c>
      <c r="BT222" t="s">
        <v>134</v>
      </c>
      <c r="BU222" t="s">
        <v>134</v>
      </c>
      <c r="BV222" t="s">
        <v>134</v>
      </c>
      <c r="BW222" t="s">
        <v>134</v>
      </c>
      <c r="BX222" t="s">
        <v>134</v>
      </c>
      <c r="BY222" t="s">
        <v>134</v>
      </c>
      <c r="BZ222" t="s">
        <v>134</v>
      </c>
      <c r="CA222" t="s">
        <v>134</v>
      </c>
      <c r="CB222" t="s">
        <v>134</v>
      </c>
      <c r="CC222" t="s">
        <v>134</v>
      </c>
      <c r="CD222" t="s">
        <v>134</v>
      </c>
      <c r="CE222" t="s">
        <v>134</v>
      </c>
      <c r="CF222" t="s">
        <v>134</v>
      </c>
      <c r="CG222" t="s">
        <v>134</v>
      </c>
      <c r="CH222" t="s">
        <v>134</v>
      </c>
      <c r="CI222" t="s">
        <v>134</v>
      </c>
      <c r="CJ222" t="s">
        <v>134</v>
      </c>
      <c r="CK222" t="s">
        <v>134</v>
      </c>
      <c r="CL222" t="s">
        <v>134</v>
      </c>
      <c r="CM222" t="s">
        <v>134</v>
      </c>
      <c r="CN222" t="s">
        <v>134</v>
      </c>
      <c r="CO222" t="s">
        <v>134</v>
      </c>
      <c r="CP222" t="s">
        <v>134</v>
      </c>
      <c r="CQ222" t="s">
        <v>134</v>
      </c>
      <c r="CR222" t="s">
        <v>134</v>
      </c>
      <c r="CS222" t="s">
        <v>134</v>
      </c>
      <c r="CT222" t="s">
        <v>134</v>
      </c>
      <c r="CU222" t="s">
        <v>134</v>
      </c>
      <c r="CV222" t="s">
        <v>134</v>
      </c>
      <c r="CW222" t="s">
        <v>134</v>
      </c>
      <c r="CX222" t="s">
        <v>134</v>
      </c>
      <c r="CY222" t="s">
        <v>134</v>
      </c>
      <c r="CZ222" t="s">
        <v>134</v>
      </c>
      <c r="DA222" t="s">
        <v>134</v>
      </c>
      <c r="DB222" t="s">
        <v>134</v>
      </c>
      <c r="DC222" t="s">
        <v>134</v>
      </c>
      <c r="DD222" t="s">
        <v>134</v>
      </c>
      <c r="DE222" t="s">
        <v>134</v>
      </c>
      <c r="DF222" t="s">
        <v>134</v>
      </c>
      <c r="DG222" t="s">
        <v>134</v>
      </c>
      <c r="DH222" t="s">
        <v>134</v>
      </c>
      <c r="DI222" t="s">
        <v>134</v>
      </c>
    </row>
    <row r="223" spans="4:113" x14ac:dyDescent="0.3">
      <c r="D223" t="s">
        <v>11</v>
      </c>
      <c r="E223" t="s">
        <v>3</v>
      </c>
      <c r="F223">
        <v>16.818300000000001</v>
      </c>
      <c r="G223">
        <v>1.2471000000000001</v>
      </c>
      <c r="H223">
        <v>1.3147</v>
      </c>
      <c r="I223">
        <v>1.4612000000000001</v>
      </c>
      <c r="J223">
        <v>94.146699999999996</v>
      </c>
      <c r="K223">
        <v>77.576099999999997</v>
      </c>
      <c r="L223">
        <v>109.5224</v>
      </c>
      <c r="M223">
        <v>20.483899999999998</v>
      </c>
      <c r="N223">
        <v>50.501300000000001</v>
      </c>
      <c r="O223">
        <v>13.3325</v>
      </c>
      <c r="P223">
        <v>50.492600000000003</v>
      </c>
      <c r="Q223">
        <v>34.979999999999997</v>
      </c>
      <c r="R223">
        <v>17.04</v>
      </c>
      <c r="S223">
        <v>13.952500000000001</v>
      </c>
      <c r="T223">
        <v>7.1870000000000003</v>
      </c>
      <c r="U223">
        <v>7.7641999999999998</v>
      </c>
      <c r="V223">
        <v>4.3658000000000001</v>
      </c>
      <c r="W223">
        <v>3.6880999999999999</v>
      </c>
      <c r="X223">
        <v>3.6893000000000002</v>
      </c>
      <c r="Y223">
        <v>0</v>
      </c>
      <c r="Z223" t="s">
        <v>134</v>
      </c>
      <c r="AA223" t="s">
        <v>134</v>
      </c>
      <c r="AB223">
        <v>25.080300000000001</v>
      </c>
      <c r="AC223">
        <v>13.888999999999999</v>
      </c>
      <c r="AD223" t="s">
        <v>134</v>
      </c>
      <c r="AE223" t="s">
        <v>134</v>
      </c>
      <c r="AF223" t="s">
        <v>134</v>
      </c>
      <c r="AG223">
        <v>41.748399999999997</v>
      </c>
      <c r="AH223">
        <v>13.866300000000001</v>
      </c>
      <c r="AI223">
        <v>14.677199999999999</v>
      </c>
      <c r="AJ223">
        <v>13.929500000000001</v>
      </c>
      <c r="AK223">
        <v>14.6762</v>
      </c>
      <c r="AL223">
        <v>-53.999699999999997</v>
      </c>
      <c r="AM223">
        <v>14.289400000000001</v>
      </c>
      <c r="AN223">
        <v>14.233700000000001</v>
      </c>
      <c r="AO223">
        <v>16.888100000000001</v>
      </c>
      <c r="AP223">
        <v>13.966200000000001</v>
      </c>
      <c r="AQ223">
        <v>13.9648</v>
      </c>
      <c r="AR223">
        <v>10.286300000000001</v>
      </c>
      <c r="AS223">
        <v>18.897400000000001</v>
      </c>
      <c r="AT223" t="s">
        <v>134</v>
      </c>
      <c r="AU223">
        <v>13.653600000000001</v>
      </c>
      <c r="AV223">
        <v>16.351600000000001</v>
      </c>
      <c r="AW223" t="s">
        <v>134</v>
      </c>
      <c r="AX223" t="s">
        <v>134</v>
      </c>
      <c r="AY223" t="s">
        <v>134</v>
      </c>
      <c r="AZ223">
        <v>75.147400000000005</v>
      </c>
      <c r="BA223">
        <v>20.700900000000001</v>
      </c>
      <c r="BB223">
        <v>14.3855</v>
      </c>
      <c r="BC223">
        <v>20.125699999999998</v>
      </c>
      <c r="BD223">
        <v>14.3847</v>
      </c>
      <c r="BE223" t="s">
        <v>134</v>
      </c>
      <c r="BF223">
        <v>7.1870000000000003</v>
      </c>
      <c r="BG223">
        <v>7.7641999999999998</v>
      </c>
      <c r="BH223">
        <v>4.3658000000000001</v>
      </c>
      <c r="BI223">
        <v>3.6880999999999999</v>
      </c>
      <c r="BJ223">
        <v>3.6893000000000002</v>
      </c>
      <c r="BK223">
        <v>0</v>
      </c>
      <c r="BL223">
        <v>32.148000000000003</v>
      </c>
      <c r="BM223" t="s">
        <v>134</v>
      </c>
      <c r="BN223">
        <v>25.080300000000001</v>
      </c>
      <c r="BO223">
        <v>13.888999999999999</v>
      </c>
      <c r="BP223" t="s">
        <v>134</v>
      </c>
      <c r="BQ223" t="s">
        <v>134</v>
      </c>
      <c r="BR223" t="s">
        <v>134</v>
      </c>
      <c r="BS223">
        <v>41.748399999999997</v>
      </c>
      <c r="BT223">
        <v>13.866300000000001</v>
      </c>
      <c r="BU223">
        <v>14.677199999999999</v>
      </c>
      <c r="BV223">
        <v>13.929500000000001</v>
      </c>
      <c r="BW223">
        <v>14.6762</v>
      </c>
      <c r="BX223" t="s">
        <v>134</v>
      </c>
      <c r="BY223">
        <v>1503933.1159999999</v>
      </c>
      <c r="BZ223">
        <v>401714.27799999999</v>
      </c>
      <c r="CA223">
        <v>1102218.838</v>
      </c>
      <c r="CB223">
        <v>10.5754</v>
      </c>
      <c r="CC223">
        <v>10.3605</v>
      </c>
      <c r="CD223">
        <v>48.605899999999998</v>
      </c>
      <c r="CE223">
        <v>47.618400000000001</v>
      </c>
      <c r="CF223">
        <v>1.2793000000000001</v>
      </c>
      <c r="CG223">
        <v>7.4391999999999996</v>
      </c>
      <c r="CH223">
        <v>861.43899999999996</v>
      </c>
      <c r="CI223">
        <v>67.542699999999996</v>
      </c>
      <c r="CJ223">
        <v>64.093999999999994</v>
      </c>
      <c r="CK223">
        <v>1175.3987</v>
      </c>
      <c r="CL223">
        <v>92.159300000000002</v>
      </c>
      <c r="CM223">
        <v>87.453699999999998</v>
      </c>
      <c r="CN223">
        <v>1151.5196000000001</v>
      </c>
      <c r="CO223">
        <v>92.009699999999995</v>
      </c>
      <c r="CP223">
        <v>142211.00099999999</v>
      </c>
      <c r="CQ223">
        <v>141861.37400000001</v>
      </c>
      <c r="CR223">
        <v>30941.374</v>
      </c>
      <c r="CS223" t="s">
        <v>134</v>
      </c>
      <c r="CT223" t="s">
        <v>134</v>
      </c>
      <c r="CU223" t="s">
        <v>134</v>
      </c>
      <c r="CV223" t="s">
        <v>134</v>
      </c>
      <c r="CW223" t="s">
        <v>134</v>
      </c>
      <c r="CX223" t="s">
        <v>134</v>
      </c>
      <c r="CY223" t="s">
        <v>134</v>
      </c>
      <c r="CZ223" t="s">
        <v>134</v>
      </c>
      <c r="DA223" t="s">
        <v>134</v>
      </c>
      <c r="DB223" t="s">
        <v>134</v>
      </c>
      <c r="DC223" t="s">
        <v>134</v>
      </c>
      <c r="DD223" t="s">
        <v>134</v>
      </c>
      <c r="DE223" t="s">
        <v>134</v>
      </c>
      <c r="DF223" t="s">
        <v>134</v>
      </c>
      <c r="DG223" t="s">
        <v>134</v>
      </c>
      <c r="DH223" t="s">
        <v>134</v>
      </c>
      <c r="DI223" t="s">
        <v>134</v>
      </c>
    </row>
    <row r="224" spans="4:113" x14ac:dyDescent="0.3">
      <c r="E224" t="s">
        <v>4</v>
      </c>
      <c r="F224" t="s">
        <v>134</v>
      </c>
      <c r="G224" t="s">
        <v>134</v>
      </c>
      <c r="H224" t="s">
        <v>134</v>
      </c>
      <c r="I224" t="s">
        <v>134</v>
      </c>
      <c r="J224" t="s">
        <v>134</v>
      </c>
      <c r="K224" t="s">
        <v>134</v>
      </c>
      <c r="L224" t="s">
        <v>134</v>
      </c>
      <c r="M224" t="s">
        <v>134</v>
      </c>
      <c r="N224" t="s">
        <v>134</v>
      </c>
      <c r="O224" t="s">
        <v>134</v>
      </c>
      <c r="P224" t="s">
        <v>134</v>
      </c>
      <c r="Q224" t="s">
        <v>134</v>
      </c>
      <c r="R224" t="s">
        <v>134</v>
      </c>
      <c r="S224" t="s">
        <v>134</v>
      </c>
      <c r="T224" t="s">
        <v>134</v>
      </c>
      <c r="U224" t="s">
        <v>134</v>
      </c>
      <c r="V224" t="s">
        <v>134</v>
      </c>
      <c r="W224" t="s">
        <v>134</v>
      </c>
      <c r="X224" t="s">
        <v>134</v>
      </c>
      <c r="Y224" t="s">
        <v>134</v>
      </c>
      <c r="Z224" t="s">
        <v>134</v>
      </c>
      <c r="AA224" t="s">
        <v>134</v>
      </c>
      <c r="AB224" t="s">
        <v>134</v>
      </c>
      <c r="AC224" t="s">
        <v>134</v>
      </c>
      <c r="AD224" t="s">
        <v>134</v>
      </c>
      <c r="AE224" t="s">
        <v>134</v>
      </c>
      <c r="AF224" t="s">
        <v>134</v>
      </c>
      <c r="AG224" t="s">
        <v>134</v>
      </c>
      <c r="AH224" t="s">
        <v>134</v>
      </c>
      <c r="AI224" t="s">
        <v>134</v>
      </c>
      <c r="AJ224" t="s">
        <v>134</v>
      </c>
      <c r="AK224" t="s">
        <v>134</v>
      </c>
      <c r="AL224" t="s">
        <v>134</v>
      </c>
      <c r="AM224" t="s">
        <v>134</v>
      </c>
      <c r="AN224" t="s">
        <v>134</v>
      </c>
      <c r="AO224" t="s">
        <v>134</v>
      </c>
      <c r="AP224" t="s">
        <v>134</v>
      </c>
      <c r="AQ224" t="s">
        <v>134</v>
      </c>
      <c r="AR224" t="s">
        <v>134</v>
      </c>
      <c r="AS224" t="s">
        <v>134</v>
      </c>
      <c r="AT224" t="s">
        <v>134</v>
      </c>
      <c r="AU224" t="s">
        <v>134</v>
      </c>
      <c r="AV224" t="s">
        <v>134</v>
      </c>
      <c r="AW224" t="s">
        <v>134</v>
      </c>
      <c r="AX224" t="s">
        <v>134</v>
      </c>
      <c r="AY224" t="s">
        <v>134</v>
      </c>
      <c r="AZ224" t="s">
        <v>134</v>
      </c>
      <c r="BA224" t="s">
        <v>134</v>
      </c>
      <c r="BB224" t="s">
        <v>134</v>
      </c>
      <c r="BC224" t="s">
        <v>134</v>
      </c>
      <c r="BD224" t="s">
        <v>134</v>
      </c>
      <c r="BE224" t="s">
        <v>134</v>
      </c>
      <c r="BF224" t="s">
        <v>134</v>
      </c>
      <c r="BG224" t="s">
        <v>134</v>
      </c>
      <c r="BH224" t="s">
        <v>134</v>
      </c>
      <c r="BI224" t="s">
        <v>134</v>
      </c>
      <c r="BJ224" t="s">
        <v>134</v>
      </c>
      <c r="BK224" t="s">
        <v>134</v>
      </c>
      <c r="BL224" t="s">
        <v>134</v>
      </c>
      <c r="BM224" t="s">
        <v>134</v>
      </c>
      <c r="BN224" t="s">
        <v>134</v>
      </c>
      <c r="BO224" t="s">
        <v>134</v>
      </c>
      <c r="BP224" t="s">
        <v>134</v>
      </c>
      <c r="BQ224" t="s">
        <v>134</v>
      </c>
      <c r="BR224" t="s">
        <v>134</v>
      </c>
      <c r="BS224" t="s">
        <v>134</v>
      </c>
      <c r="BT224" t="s">
        <v>134</v>
      </c>
      <c r="BU224" t="s">
        <v>134</v>
      </c>
      <c r="BV224" t="s">
        <v>134</v>
      </c>
      <c r="BW224" t="s">
        <v>134</v>
      </c>
      <c r="BX224" t="s">
        <v>134</v>
      </c>
      <c r="BY224" t="s">
        <v>134</v>
      </c>
      <c r="BZ224" t="s">
        <v>134</v>
      </c>
      <c r="CA224" t="s">
        <v>134</v>
      </c>
      <c r="CB224" t="s">
        <v>134</v>
      </c>
      <c r="CC224" t="s">
        <v>134</v>
      </c>
      <c r="CD224" t="s">
        <v>134</v>
      </c>
      <c r="CE224" t="s">
        <v>134</v>
      </c>
      <c r="CF224" t="s">
        <v>134</v>
      </c>
      <c r="CG224" t="s">
        <v>134</v>
      </c>
      <c r="CH224" t="s">
        <v>134</v>
      </c>
      <c r="CI224" t="s">
        <v>134</v>
      </c>
      <c r="CJ224" t="s">
        <v>134</v>
      </c>
      <c r="CK224" t="s">
        <v>134</v>
      </c>
      <c r="CL224" t="s">
        <v>134</v>
      </c>
      <c r="CM224" t="s">
        <v>134</v>
      </c>
      <c r="CN224" t="s">
        <v>134</v>
      </c>
      <c r="CO224" t="s">
        <v>134</v>
      </c>
      <c r="CP224" t="s">
        <v>134</v>
      </c>
      <c r="CQ224" t="s">
        <v>134</v>
      </c>
      <c r="CR224" t="s">
        <v>134</v>
      </c>
      <c r="CS224" t="s">
        <v>134</v>
      </c>
      <c r="CT224" t="s">
        <v>134</v>
      </c>
      <c r="CU224" t="s">
        <v>134</v>
      </c>
      <c r="CV224" t="s">
        <v>134</v>
      </c>
      <c r="CW224" t="s">
        <v>134</v>
      </c>
      <c r="CX224" t="s">
        <v>134</v>
      </c>
      <c r="CY224" t="s">
        <v>134</v>
      </c>
      <c r="CZ224" t="s">
        <v>134</v>
      </c>
      <c r="DA224" t="s">
        <v>134</v>
      </c>
      <c r="DB224" t="s">
        <v>134</v>
      </c>
      <c r="DC224" t="s">
        <v>134</v>
      </c>
      <c r="DD224" t="s">
        <v>134</v>
      </c>
      <c r="DE224" t="s">
        <v>134</v>
      </c>
      <c r="DF224" t="s">
        <v>134</v>
      </c>
      <c r="DG224" t="s">
        <v>134</v>
      </c>
      <c r="DH224" t="s">
        <v>134</v>
      </c>
      <c r="DI224" t="s">
        <v>134</v>
      </c>
    </row>
    <row r="225" spans="1:113" x14ac:dyDescent="0.3">
      <c r="E225" t="s">
        <v>5</v>
      </c>
      <c r="F225" t="s">
        <v>134</v>
      </c>
      <c r="G225" t="s">
        <v>134</v>
      </c>
      <c r="H225" t="s">
        <v>134</v>
      </c>
      <c r="I225" t="s">
        <v>134</v>
      </c>
      <c r="J225" t="s">
        <v>134</v>
      </c>
      <c r="K225" t="s">
        <v>134</v>
      </c>
      <c r="L225" t="s">
        <v>134</v>
      </c>
      <c r="M225" t="s">
        <v>134</v>
      </c>
      <c r="N225" t="s">
        <v>134</v>
      </c>
      <c r="O225" t="s">
        <v>134</v>
      </c>
      <c r="P225" t="s">
        <v>134</v>
      </c>
      <c r="Q225" t="s">
        <v>134</v>
      </c>
      <c r="R225" t="s">
        <v>134</v>
      </c>
      <c r="S225" t="s">
        <v>134</v>
      </c>
      <c r="T225" t="s">
        <v>134</v>
      </c>
      <c r="U225" t="s">
        <v>134</v>
      </c>
      <c r="V225" t="s">
        <v>134</v>
      </c>
      <c r="W225" t="s">
        <v>134</v>
      </c>
      <c r="X225" t="s">
        <v>134</v>
      </c>
      <c r="Y225" t="s">
        <v>134</v>
      </c>
      <c r="Z225" t="s">
        <v>134</v>
      </c>
      <c r="AA225" t="s">
        <v>134</v>
      </c>
      <c r="AB225" t="s">
        <v>134</v>
      </c>
      <c r="AC225" t="s">
        <v>134</v>
      </c>
      <c r="AD225" t="s">
        <v>134</v>
      </c>
      <c r="AE225" t="s">
        <v>134</v>
      </c>
      <c r="AF225" t="s">
        <v>134</v>
      </c>
      <c r="AG225" t="s">
        <v>134</v>
      </c>
      <c r="AH225" t="s">
        <v>134</v>
      </c>
      <c r="AI225" t="s">
        <v>134</v>
      </c>
      <c r="AJ225" t="s">
        <v>134</v>
      </c>
      <c r="AK225" t="s">
        <v>134</v>
      </c>
      <c r="AL225" t="s">
        <v>134</v>
      </c>
      <c r="AM225" t="s">
        <v>134</v>
      </c>
      <c r="AN225" t="s">
        <v>134</v>
      </c>
      <c r="AO225" t="s">
        <v>134</v>
      </c>
      <c r="AP225" t="s">
        <v>134</v>
      </c>
      <c r="AQ225" t="s">
        <v>134</v>
      </c>
      <c r="AR225" t="s">
        <v>134</v>
      </c>
      <c r="AS225" t="s">
        <v>134</v>
      </c>
      <c r="AT225" t="s">
        <v>134</v>
      </c>
      <c r="AU225" t="s">
        <v>134</v>
      </c>
      <c r="AV225" t="s">
        <v>134</v>
      </c>
      <c r="AW225" t="s">
        <v>134</v>
      </c>
      <c r="AX225" t="s">
        <v>134</v>
      </c>
      <c r="AY225" t="s">
        <v>134</v>
      </c>
      <c r="AZ225" t="s">
        <v>134</v>
      </c>
      <c r="BA225" t="s">
        <v>134</v>
      </c>
      <c r="BB225" t="s">
        <v>134</v>
      </c>
      <c r="BC225" t="s">
        <v>134</v>
      </c>
      <c r="BD225" t="s">
        <v>134</v>
      </c>
      <c r="BE225" t="s">
        <v>134</v>
      </c>
      <c r="BF225" t="s">
        <v>134</v>
      </c>
      <c r="BG225" t="s">
        <v>134</v>
      </c>
      <c r="BH225" t="s">
        <v>134</v>
      </c>
      <c r="BI225" t="s">
        <v>134</v>
      </c>
      <c r="BJ225" t="s">
        <v>134</v>
      </c>
      <c r="BK225" t="s">
        <v>134</v>
      </c>
      <c r="BL225" t="s">
        <v>134</v>
      </c>
      <c r="BM225" t="s">
        <v>134</v>
      </c>
      <c r="BN225" t="s">
        <v>134</v>
      </c>
      <c r="BO225" t="s">
        <v>134</v>
      </c>
      <c r="BP225" t="s">
        <v>134</v>
      </c>
      <c r="BQ225" t="s">
        <v>134</v>
      </c>
      <c r="BR225" t="s">
        <v>134</v>
      </c>
      <c r="BS225" t="s">
        <v>134</v>
      </c>
      <c r="BT225" t="s">
        <v>134</v>
      </c>
      <c r="BU225" t="s">
        <v>134</v>
      </c>
      <c r="BV225" t="s">
        <v>134</v>
      </c>
      <c r="BW225" t="s">
        <v>134</v>
      </c>
      <c r="BX225" t="s">
        <v>134</v>
      </c>
      <c r="BY225" t="s">
        <v>134</v>
      </c>
      <c r="BZ225" t="s">
        <v>134</v>
      </c>
      <c r="CA225" t="s">
        <v>134</v>
      </c>
      <c r="CB225" t="s">
        <v>134</v>
      </c>
      <c r="CC225" t="s">
        <v>134</v>
      </c>
      <c r="CD225" t="s">
        <v>134</v>
      </c>
      <c r="CE225" t="s">
        <v>134</v>
      </c>
      <c r="CF225" t="s">
        <v>134</v>
      </c>
      <c r="CG225" t="s">
        <v>134</v>
      </c>
      <c r="CH225" t="s">
        <v>134</v>
      </c>
      <c r="CI225" t="s">
        <v>134</v>
      </c>
      <c r="CJ225" t="s">
        <v>134</v>
      </c>
      <c r="CK225" t="s">
        <v>134</v>
      </c>
      <c r="CL225" t="s">
        <v>134</v>
      </c>
      <c r="CM225" t="s">
        <v>134</v>
      </c>
      <c r="CN225" t="s">
        <v>134</v>
      </c>
      <c r="CO225" t="s">
        <v>134</v>
      </c>
      <c r="CP225" t="s">
        <v>134</v>
      </c>
      <c r="CQ225" t="s">
        <v>134</v>
      </c>
      <c r="CR225" t="s">
        <v>134</v>
      </c>
      <c r="CS225" t="s">
        <v>134</v>
      </c>
      <c r="CT225" t="s">
        <v>134</v>
      </c>
      <c r="CU225" t="s">
        <v>134</v>
      </c>
      <c r="CV225" t="s">
        <v>134</v>
      </c>
      <c r="CW225" t="s">
        <v>134</v>
      </c>
      <c r="CX225" t="s">
        <v>134</v>
      </c>
      <c r="CY225" t="s">
        <v>134</v>
      </c>
      <c r="CZ225" t="s">
        <v>134</v>
      </c>
      <c r="DA225" t="s">
        <v>134</v>
      </c>
      <c r="DB225" t="s">
        <v>134</v>
      </c>
      <c r="DC225" t="s">
        <v>134</v>
      </c>
      <c r="DD225" t="s">
        <v>134</v>
      </c>
      <c r="DE225" t="s">
        <v>134</v>
      </c>
      <c r="DF225" t="s">
        <v>134</v>
      </c>
      <c r="DG225" t="s">
        <v>134</v>
      </c>
      <c r="DH225" t="s">
        <v>134</v>
      </c>
      <c r="DI225" t="s">
        <v>134</v>
      </c>
    </row>
    <row r="226" spans="1:113" x14ac:dyDescent="0.3">
      <c r="E226" t="s">
        <v>6</v>
      </c>
      <c r="F226" t="s">
        <v>134</v>
      </c>
      <c r="G226" t="s">
        <v>134</v>
      </c>
      <c r="H226" t="s">
        <v>134</v>
      </c>
      <c r="I226" t="s">
        <v>134</v>
      </c>
      <c r="J226" t="s">
        <v>134</v>
      </c>
      <c r="K226" t="s">
        <v>134</v>
      </c>
      <c r="L226" t="s">
        <v>134</v>
      </c>
      <c r="M226" t="s">
        <v>134</v>
      </c>
      <c r="N226" t="s">
        <v>134</v>
      </c>
      <c r="O226" t="s">
        <v>134</v>
      </c>
      <c r="P226" t="s">
        <v>134</v>
      </c>
      <c r="Q226" t="s">
        <v>134</v>
      </c>
      <c r="R226" t="s">
        <v>134</v>
      </c>
      <c r="S226" t="s">
        <v>134</v>
      </c>
      <c r="T226" t="s">
        <v>134</v>
      </c>
      <c r="U226" t="s">
        <v>134</v>
      </c>
      <c r="V226" t="s">
        <v>134</v>
      </c>
      <c r="W226" t="s">
        <v>134</v>
      </c>
      <c r="X226" t="s">
        <v>134</v>
      </c>
      <c r="Y226" t="s">
        <v>134</v>
      </c>
      <c r="Z226" t="s">
        <v>134</v>
      </c>
      <c r="AA226" t="s">
        <v>134</v>
      </c>
      <c r="AB226" t="s">
        <v>134</v>
      </c>
      <c r="AC226" t="s">
        <v>134</v>
      </c>
      <c r="AD226" t="s">
        <v>134</v>
      </c>
      <c r="AE226" t="s">
        <v>134</v>
      </c>
      <c r="AF226" t="s">
        <v>134</v>
      </c>
      <c r="AG226" t="s">
        <v>134</v>
      </c>
      <c r="AH226" t="s">
        <v>134</v>
      </c>
      <c r="AI226" t="s">
        <v>134</v>
      </c>
      <c r="AJ226" t="s">
        <v>134</v>
      </c>
      <c r="AK226" t="s">
        <v>134</v>
      </c>
      <c r="AL226" t="s">
        <v>134</v>
      </c>
      <c r="AM226" t="s">
        <v>134</v>
      </c>
      <c r="AN226" t="s">
        <v>134</v>
      </c>
      <c r="AO226" t="s">
        <v>134</v>
      </c>
      <c r="AP226" t="s">
        <v>134</v>
      </c>
      <c r="AQ226" t="s">
        <v>134</v>
      </c>
      <c r="AR226" t="s">
        <v>134</v>
      </c>
      <c r="AS226" t="s">
        <v>134</v>
      </c>
      <c r="AT226" t="s">
        <v>134</v>
      </c>
      <c r="AU226" t="s">
        <v>134</v>
      </c>
      <c r="AV226" t="s">
        <v>134</v>
      </c>
      <c r="AW226" t="s">
        <v>134</v>
      </c>
      <c r="AX226" t="s">
        <v>134</v>
      </c>
      <c r="AY226" t="s">
        <v>134</v>
      </c>
      <c r="AZ226" t="s">
        <v>134</v>
      </c>
      <c r="BA226" t="s">
        <v>134</v>
      </c>
      <c r="BB226" t="s">
        <v>134</v>
      </c>
      <c r="BC226" t="s">
        <v>134</v>
      </c>
      <c r="BD226" t="s">
        <v>134</v>
      </c>
      <c r="BE226" t="s">
        <v>134</v>
      </c>
      <c r="BF226" t="s">
        <v>134</v>
      </c>
      <c r="BG226" t="s">
        <v>134</v>
      </c>
      <c r="BH226" t="s">
        <v>134</v>
      </c>
      <c r="BI226" t="s">
        <v>134</v>
      </c>
      <c r="BJ226" t="s">
        <v>134</v>
      </c>
      <c r="BK226" t="s">
        <v>134</v>
      </c>
      <c r="BL226" t="s">
        <v>134</v>
      </c>
      <c r="BM226" t="s">
        <v>134</v>
      </c>
      <c r="BN226" t="s">
        <v>134</v>
      </c>
      <c r="BO226" t="s">
        <v>134</v>
      </c>
      <c r="BP226" t="s">
        <v>134</v>
      </c>
      <c r="BQ226" t="s">
        <v>134</v>
      </c>
      <c r="BR226" t="s">
        <v>134</v>
      </c>
      <c r="BS226" t="s">
        <v>134</v>
      </c>
      <c r="BT226" t="s">
        <v>134</v>
      </c>
      <c r="BU226" t="s">
        <v>134</v>
      </c>
      <c r="BV226" t="s">
        <v>134</v>
      </c>
      <c r="BW226" t="s">
        <v>134</v>
      </c>
      <c r="BX226" t="s">
        <v>134</v>
      </c>
      <c r="BY226" t="s">
        <v>134</v>
      </c>
      <c r="BZ226" t="s">
        <v>134</v>
      </c>
      <c r="CA226" t="s">
        <v>134</v>
      </c>
      <c r="CB226" t="s">
        <v>134</v>
      </c>
      <c r="CC226" t="s">
        <v>134</v>
      </c>
      <c r="CD226" t="s">
        <v>134</v>
      </c>
      <c r="CE226" t="s">
        <v>134</v>
      </c>
      <c r="CF226" t="s">
        <v>134</v>
      </c>
      <c r="CG226" t="s">
        <v>134</v>
      </c>
      <c r="CH226" t="s">
        <v>134</v>
      </c>
      <c r="CI226" t="s">
        <v>134</v>
      </c>
      <c r="CJ226" t="s">
        <v>134</v>
      </c>
      <c r="CK226" t="s">
        <v>134</v>
      </c>
      <c r="CL226" t="s">
        <v>134</v>
      </c>
      <c r="CM226" t="s">
        <v>134</v>
      </c>
      <c r="CN226" t="s">
        <v>134</v>
      </c>
      <c r="CO226" t="s">
        <v>134</v>
      </c>
      <c r="CP226" t="s">
        <v>134</v>
      </c>
      <c r="CQ226" t="s">
        <v>134</v>
      </c>
      <c r="CR226" t="s">
        <v>134</v>
      </c>
      <c r="CS226" t="s">
        <v>134</v>
      </c>
      <c r="CT226" t="s">
        <v>134</v>
      </c>
      <c r="CU226" t="s">
        <v>134</v>
      </c>
      <c r="CV226" t="s">
        <v>134</v>
      </c>
      <c r="CW226" t="s">
        <v>134</v>
      </c>
      <c r="CX226" t="s">
        <v>134</v>
      </c>
      <c r="CY226" t="s">
        <v>134</v>
      </c>
      <c r="CZ226" t="s">
        <v>134</v>
      </c>
      <c r="DA226" t="s">
        <v>134</v>
      </c>
      <c r="DB226" t="s">
        <v>134</v>
      </c>
      <c r="DC226" t="s">
        <v>134</v>
      </c>
      <c r="DD226" t="s">
        <v>134</v>
      </c>
      <c r="DE226" t="s">
        <v>134</v>
      </c>
      <c r="DF226" t="s">
        <v>134</v>
      </c>
      <c r="DG226" t="s">
        <v>134</v>
      </c>
      <c r="DH226" t="s">
        <v>134</v>
      </c>
      <c r="DI226" t="s">
        <v>134</v>
      </c>
    </row>
    <row r="227" spans="1:113" x14ac:dyDescent="0.3">
      <c r="E227" t="s">
        <v>7</v>
      </c>
      <c r="F227" t="s">
        <v>134</v>
      </c>
      <c r="G227" t="s">
        <v>134</v>
      </c>
      <c r="H227" t="s">
        <v>134</v>
      </c>
      <c r="I227" t="s">
        <v>134</v>
      </c>
      <c r="J227" t="s">
        <v>134</v>
      </c>
      <c r="K227" t="s">
        <v>134</v>
      </c>
      <c r="L227" t="s">
        <v>134</v>
      </c>
      <c r="M227" t="s">
        <v>134</v>
      </c>
      <c r="N227" t="s">
        <v>134</v>
      </c>
      <c r="O227" t="s">
        <v>134</v>
      </c>
      <c r="P227" t="s">
        <v>134</v>
      </c>
      <c r="Q227" t="s">
        <v>134</v>
      </c>
      <c r="R227" t="s">
        <v>134</v>
      </c>
      <c r="S227" t="s">
        <v>134</v>
      </c>
      <c r="T227" t="s">
        <v>134</v>
      </c>
      <c r="U227" t="s">
        <v>134</v>
      </c>
      <c r="V227" t="s">
        <v>134</v>
      </c>
      <c r="W227" t="s">
        <v>134</v>
      </c>
      <c r="X227" t="s">
        <v>134</v>
      </c>
      <c r="Y227" t="s">
        <v>134</v>
      </c>
      <c r="Z227" t="s">
        <v>134</v>
      </c>
      <c r="AA227" t="s">
        <v>134</v>
      </c>
      <c r="AB227" t="s">
        <v>134</v>
      </c>
      <c r="AC227" t="s">
        <v>134</v>
      </c>
      <c r="AD227" t="s">
        <v>134</v>
      </c>
      <c r="AE227" t="s">
        <v>134</v>
      </c>
      <c r="AF227" t="s">
        <v>134</v>
      </c>
      <c r="AG227" t="s">
        <v>134</v>
      </c>
      <c r="AH227" t="s">
        <v>134</v>
      </c>
      <c r="AI227" t="s">
        <v>134</v>
      </c>
      <c r="AJ227" t="s">
        <v>134</v>
      </c>
      <c r="AK227" t="s">
        <v>134</v>
      </c>
      <c r="AL227" t="s">
        <v>134</v>
      </c>
      <c r="AM227" t="s">
        <v>134</v>
      </c>
      <c r="AN227" t="s">
        <v>134</v>
      </c>
      <c r="AO227" t="s">
        <v>134</v>
      </c>
      <c r="AP227" t="s">
        <v>134</v>
      </c>
      <c r="AQ227" t="s">
        <v>134</v>
      </c>
      <c r="AR227" t="s">
        <v>134</v>
      </c>
      <c r="AS227" t="s">
        <v>134</v>
      </c>
      <c r="AT227" t="s">
        <v>134</v>
      </c>
      <c r="AU227" t="s">
        <v>134</v>
      </c>
      <c r="AV227" t="s">
        <v>134</v>
      </c>
      <c r="AW227" t="s">
        <v>134</v>
      </c>
      <c r="AX227" t="s">
        <v>134</v>
      </c>
      <c r="AY227" t="s">
        <v>134</v>
      </c>
      <c r="AZ227" t="s">
        <v>134</v>
      </c>
      <c r="BA227" t="s">
        <v>134</v>
      </c>
      <c r="BB227" t="s">
        <v>134</v>
      </c>
      <c r="BC227" t="s">
        <v>134</v>
      </c>
      <c r="BD227" t="s">
        <v>134</v>
      </c>
      <c r="BE227" t="s">
        <v>134</v>
      </c>
      <c r="BF227" t="s">
        <v>134</v>
      </c>
      <c r="BG227" t="s">
        <v>134</v>
      </c>
      <c r="BH227" t="s">
        <v>134</v>
      </c>
      <c r="BI227" t="s">
        <v>134</v>
      </c>
      <c r="BJ227" t="s">
        <v>134</v>
      </c>
      <c r="BK227" t="s">
        <v>134</v>
      </c>
      <c r="BL227" t="s">
        <v>134</v>
      </c>
      <c r="BM227" t="s">
        <v>134</v>
      </c>
      <c r="BN227" t="s">
        <v>134</v>
      </c>
      <c r="BO227" t="s">
        <v>134</v>
      </c>
      <c r="BP227" t="s">
        <v>134</v>
      </c>
      <c r="BQ227" t="s">
        <v>134</v>
      </c>
      <c r="BR227" t="s">
        <v>134</v>
      </c>
      <c r="BS227" t="s">
        <v>134</v>
      </c>
      <c r="BT227" t="s">
        <v>134</v>
      </c>
      <c r="BU227" t="s">
        <v>134</v>
      </c>
      <c r="BV227" t="s">
        <v>134</v>
      </c>
      <c r="BW227" t="s">
        <v>134</v>
      </c>
      <c r="BX227" t="s">
        <v>134</v>
      </c>
      <c r="BY227" t="s">
        <v>134</v>
      </c>
      <c r="BZ227" t="s">
        <v>134</v>
      </c>
      <c r="CA227" t="s">
        <v>134</v>
      </c>
      <c r="CB227" t="s">
        <v>134</v>
      </c>
      <c r="CC227" t="s">
        <v>134</v>
      </c>
      <c r="CD227" t="s">
        <v>134</v>
      </c>
      <c r="CE227" t="s">
        <v>134</v>
      </c>
      <c r="CF227" t="s">
        <v>134</v>
      </c>
      <c r="CG227" t="s">
        <v>134</v>
      </c>
      <c r="CH227" t="s">
        <v>134</v>
      </c>
      <c r="CI227" t="s">
        <v>134</v>
      </c>
      <c r="CJ227" t="s">
        <v>134</v>
      </c>
      <c r="CK227" t="s">
        <v>134</v>
      </c>
      <c r="CL227" t="s">
        <v>134</v>
      </c>
      <c r="CM227" t="s">
        <v>134</v>
      </c>
      <c r="CN227" t="s">
        <v>134</v>
      </c>
      <c r="CO227" t="s">
        <v>134</v>
      </c>
      <c r="CP227" t="s">
        <v>134</v>
      </c>
      <c r="CQ227" t="s">
        <v>134</v>
      </c>
      <c r="CR227" t="s">
        <v>134</v>
      </c>
      <c r="CS227" t="s">
        <v>134</v>
      </c>
      <c r="CT227" t="s">
        <v>134</v>
      </c>
      <c r="CU227" t="s">
        <v>134</v>
      </c>
      <c r="CV227" t="s">
        <v>134</v>
      </c>
      <c r="CW227" t="s">
        <v>134</v>
      </c>
      <c r="CX227" t="s">
        <v>134</v>
      </c>
      <c r="CY227" t="s">
        <v>134</v>
      </c>
      <c r="CZ227" t="s">
        <v>134</v>
      </c>
      <c r="DA227" t="s">
        <v>134</v>
      </c>
      <c r="DB227" t="s">
        <v>134</v>
      </c>
      <c r="DC227" t="s">
        <v>134</v>
      </c>
      <c r="DD227" t="s">
        <v>134</v>
      </c>
      <c r="DE227" t="s">
        <v>134</v>
      </c>
      <c r="DF227" t="s">
        <v>134</v>
      </c>
      <c r="DG227" t="s">
        <v>134</v>
      </c>
      <c r="DH227" t="s">
        <v>134</v>
      </c>
      <c r="DI227" t="s">
        <v>134</v>
      </c>
    </row>
    <row r="228" spans="1:113" x14ac:dyDescent="0.3">
      <c r="A228">
        <v>60</v>
      </c>
      <c r="B228" t="s">
        <v>28</v>
      </c>
      <c r="C228" t="s">
        <v>29</v>
      </c>
      <c r="D228" t="s">
        <v>2</v>
      </c>
      <c r="E228" t="s">
        <v>3</v>
      </c>
      <c r="F228">
        <v>13.6982</v>
      </c>
      <c r="G228">
        <v>3.1307999999999998</v>
      </c>
      <c r="H228">
        <v>6.1599000000000004</v>
      </c>
      <c r="I228">
        <v>5.6213999999999995</v>
      </c>
      <c r="J228">
        <v>13.1313</v>
      </c>
      <c r="K228">
        <v>11.420199999999999</v>
      </c>
      <c r="L228">
        <v>9.4291</v>
      </c>
      <c r="M228">
        <v>8.8562999999999992</v>
      </c>
      <c r="N228">
        <v>5.7565</v>
      </c>
      <c r="O228">
        <v>5.8015999999999996</v>
      </c>
      <c r="P228">
        <v>5.8015999999999996</v>
      </c>
      <c r="Q228">
        <v>35.124899999999997</v>
      </c>
      <c r="R228">
        <v>26.9451</v>
      </c>
      <c r="S228">
        <v>10.007199999999999</v>
      </c>
      <c r="T228">
        <v>14.1838</v>
      </c>
      <c r="U228">
        <v>7.7538999999999998</v>
      </c>
      <c r="V228">
        <v>11.4283</v>
      </c>
      <c r="W228">
        <v>-5.8334000000000001</v>
      </c>
      <c r="X228">
        <v>-6.0938999999999997</v>
      </c>
      <c r="Y228">
        <v>15.5405</v>
      </c>
      <c r="Z228">
        <v>14.659000000000001</v>
      </c>
      <c r="AA228">
        <v>6.9253</v>
      </c>
      <c r="AB228">
        <v>0.61409999999999998</v>
      </c>
      <c r="AC228">
        <v>18.795500000000001</v>
      </c>
      <c r="AD228">
        <v>9.0282</v>
      </c>
      <c r="AE228">
        <v>-20.354900000000001</v>
      </c>
      <c r="AF228">
        <v>15.6031</v>
      </c>
      <c r="AG228">
        <v>60.1113</v>
      </c>
      <c r="AH228">
        <v>27.752199999999998</v>
      </c>
      <c r="AI228">
        <v>11.991</v>
      </c>
      <c r="AJ228">
        <v>21.977599999999999</v>
      </c>
      <c r="AK228">
        <v>10.9155</v>
      </c>
      <c r="AL228">
        <v>-55.519300000000001</v>
      </c>
      <c r="AM228">
        <v>16.024000000000001</v>
      </c>
      <c r="AN228">
        <v>17.483499999999999</v>
      </c>
      <c r="AO228">
        <v>17.9373</v>
      </c>
      <c r="AP228">
        <v>5.2831999999999999</v>
      </c>
      <c r="AQ228">
        <v>4.3304999999999998</v>
      </c>
      <c r="AR228">
        <v>15.277200000000001</v>
      </c>
      <c r="AS228">
        <v>18.085699999999999</v>
      </c>
      <c r="AT228">
        <v>17.1816</v>
      </c>
      <c r="AU228">
        <v>21.355799999999999</v>
      </c>
      <c r="AV228">
        <v>25.1022</v>
      </c>
      <c r="AW228">
        <v>41.778300000000002</v>
      </c>
      <c r="AX228">
        <v>17.922499999999999</v>
      </c>
      <c r="AY228">
        <v>11.5832</v>
      </c>
      <c r="AZ228">
        <v>47.457700000000003</v>
      </c>
      <c r="BA228">
        <v>34.393099999999997</v>
      </c>
      <c r="BB228">
        <v>22.134799999999998</v>
      </c>
      <c r="BC228">
        <v>29.445799999999998</v>
      </c>
      <c r="BD228">
        <v>20.639499999999998</v>
      </c>
      <c r="BE228" t="s">
        <v>134</v>
      </c>
      <c r="BF228">
        <v>14.1838</v>
      </c>
      <c r="BG228">
        <v>7.7538999999999998</v>
      </c>
      <c r="BH228">
        <v>11.4283</v>
      </c>
      <c r="BI228">
        <v>-5.8334000000000001</v>
      </c>
      <c r="BJ228">
        <v>-6.0938999999999997</v>
      </c>
      <c r="BK228">
        <v>15.5405</v>
      </c>
      <c r="BL228">
        <v>14.659000000000001</v>
      </c>
      <c r="BM228">
        <v>6.9253</v>
      </c>
      <c r="BN228">
        <v>0.61409999999999998</v>
      </c>
      <c r="BO228">
        <v>18.795500000000001</v>
      </c>
      <c r="BP228">
        <v>9.0282</v>
      </c>
      <c r="BQ228">
        <v>-20.354900000000001</v>
      </c>
      <c r="BR228">
        <v>15.6031</v>
      </c>
      <c r="BS228">
        <v>60.1113</v>
      </c>
      <c r="BT228">
        <v>27.752199999999998</v>
      </c>
      <c r="BU228">
        <v>11.991</v>
      </c>
      <c r="BV228">
        <v>21.977599999999999</v>
      </c>
      <c r="BW228">
        <v>10.9155</v>
      </c>
      <c r="BX228" t="s">
        <v>134</v>
      </c>
      <c r="BY228">
        <v>806680.4</v>
      </c>
      <c r="BZ228">
        <v>252207.7</v>
      </c>
      <c r="CA228">
        <v>554472.69999999995</v>
      </c>
      <c r="CB228">
        <v>7.2706</v>
      </c>
      <c r="CC228">
        <v>6.3029999999999999</v>
      </c>
      <c r="CD228">
        <v>8.36</v>
      </c>
      <c r="CE228">
        <v>7.2473999999999998</v>
      </c>
      <c r="CF228">
        <v>3.6922000000000001</v>
      </c>
      <c r="CG228">
        <v>22.180299999999999</v>
      </c>
      <c r="CH228">
        <v>135.5984</v>
      </c>
      <c r="CI228">
        <v>45.613500000000002</v>
      </c>
      <c r="CJ228">
        <v>32.611699999999999</v>
      </c>
      <c r="CK228">
        <v>197.27680000000001</v>
      </c>
      <c r="CL228">
        <v>66.3613</v>
      </c>
      <c r="CM228">
        <v>47.445399999999999</v>
      </c>
      <c r="CN228">
        <v>171.02180000000001</v>
      </c>
      <c r="CO228">
        <v>63.102600000000002</v>
      </c>
      <c r="CP228">
        <v>110951.3</v>
      </c>
      <c r="CQ228">
        <v>41272.800000000003</v>
      </c>
      <c r="CR228">
        <v>96493.1</v>
      </c>
      <c r="CS228">
        <v>0.15609999999999999</v>
      </c>
      <c r="CT228">
        <v>1.2524999999999999</v>
      </c>
      <c r="CU228">
        <v>0.53990000000000005</v>
      </c>
      <c r="CV228">
        <v>1.7347999999999999</v>
      </c>
      <c r="CW228">
        <v>3.4211</v>
      </c>
      <c r="CX228">
        <v>106.6915</v>
      </c>
      <c r="CY228">
        <v>5.5426000000000002</v>
      </c>
      <c r="CZ228">
        <v>65.853999999999999</v>
      </c>
      <c r="DA228">
        <v>1.5415999999999999</v>
      </c>
      <c r="DB228">
        <v>236.77199999999999</v>
      </c>
      <c r="DC228">
        <v>-64.226500000000001</v>
      </c>
      <c r="DD228">
        <v>172.5455</v>
      </c>
      <c r="DE228">
        <v>55274.6</v>
      </c>
      <c r="DF228">
        <v>17960.7</v>
      </c>
      <c r="DG228">
        <v>7268.7</v>
      </c>
      <c r="DH228">
        <v>7625.9</v>
      </c>
      <c r="DI228">
        <v>22419.3</v>
      </c>
    </row>
    <row r="229" spans="1:113" x14ac:dyDescent="0.3">
      <c r="E229" t="s">
        <v>4</v>
      </c>
      <c r="F229" t="s">
        <v>134</v>
      </c>
      <c r="G229" t="s">
        <v>134</v>
      </c>
      <c r="H229" t="s">
        <v>134</v>
      </c>
      <c r="I229" t="s">
        <v>134</v>
      </c>
      <c r="J229" t="s">
        <v>134</v>
      </c>
      <c r="K229" t="s">
        <v>134</v>
      </c>
      <c r="L229" t="s">
        <v>134</v>
      </c>
      <c r="M229" t="s">
        <v>134</v>
      </c>
      <c r="N229" t="s">
        <v>134</v>
      </c>
      <c r="O229" t="s">
        <v>134</v>
      </c>
      <c r="P229" t="s">
        <v>134</v>
      </c>
      <c r="Q229" t="s">
        <v>134</v>
      </c>
      <c r="R229" t="s">
        <v>134</v>
      </c>
      <c r="S229" t="s">
        <v>134</v>
      </c>
      <c r="T229" t="s">
        <v>134</v>
      </c>
      <c r="U229" t="s">
        <v>134</v>
      </c>
      <c r="V229" t="s">
        <v>134</v>
      </c>
      <c r="W229" t="s">
        <v>134</v>
      </c>
      <c r="X229" t="s">
        <v>134</v>
      </c>
      <c r="Y229" t="s">
        <v>134</v>
      </c>
      <c r="Z229" t="s">
        <v>134</v>
      </c>
      <c r="AA229" t="s">
        <v>134</v>
      </c>
      <c r="AB229" t="s">
        <v>134</v>
      </c>
      <c r="AC229" t="s">
        <v>134</v>
      </c>
      <c r="AD229" t="s">
        <v>134</v>
      </c>
      <c r="AE229" t="s">
        <v>134</v>
      </c>
      <c r="AF229" t="s">
        <v>134</v>
      </c>
      <c r="AG229" t="s">
        <v>134</v>
      </c>
      <c r="AH229" t="s">
        <v>134</v>
      </c>
      <c r="AI229" t="s">
        <v>134</v>
      </c>
      <c r="AJ229" t="s">
        <v>134</v>
      </c>
      <c r="AK229" t="s">
        <v>134</v>
      </c>
      <c r="AL229" t="s">
        <v>134</v>
      </c>
      <c r="AM229" t="s">
        <v>134</v>
      </c>
      <c r="AN229" t="s">
        <v>134</v>
      </c>
      <c r="AO229" t="s">
        <v>134</v>
      </c>
      <c r="AP229" t="s">
        <v>134</v>
      </c>
      <c r="AQ229" t="s">
        <v>134</v>
      </c>
      <c r="AR229" t="s">
        <v>134</v>
      </c>
      <c r="AS229" t="s">
        <v>134</v>
      </c>
      <c r="AT229" t="s">
        <v>134</v>
      </c>
      <c r="AU229" t="s">
        <v>134</v>
      </c>
      <c r="AV229" t="s">
        <v>134</v>
      </c>
      <c r="AW229" t="s">
        <v>134</v>
      </c>
      <c r="AX229" t="s">
        <v>134</v>
      </c>
      <c r="AY229" t="s">
        <v>134</v>
      </c>
      <c r="AZ229" t="s">
        <v>134</v>
      </c>
      <c r="BA229" t="s">
        <v>134</v>
      </c>
      <c r="BB229" t="s">
        <v>134</v>
      </c>
      <c r="BC229" t="s">
        <v>134</v>
      </c>
      <c r="BD229" t="s">
        <v>134</v>
      </c>
      <c r="BE229" t="s">
        <v>134</v>
      </c>
      <c r="BF229" t="s">
        <v>134</v>
      </c>
      <c r="BG229" t="s">
        <v>134</v>
      </c>
      <c r="BH229" t="s">
        <v>134</v>
      </c>
      <c r="BI229" t="s">
        <v>134</v>
      </c>
      <c r="BJ229" t="s">
        <v>134</v>
      </c>
      <c r="BK229" t="s">
        <v>134</v>
      </c>
      <c r="BL229" t="s">
        <v>134</v>
      </c>
      <c r="BM229" t="s">
        <v>134</v>
      </c>
      <c r="BN229" t="s">
        <v>134</v>
      </c>
      <c r="BO229" t="s">
        <v>134</v>
      </c>
      <c r="BP229" t="s">
        <v>134</v>
      </c>
      <c r="BQ229" t="s">
        <v>134</v>
      </c>
      <c r="BR229" t="s">
        <v>134</v>
      </c>
      <c r="BS229" t="s">
        <v>134</v>
      </c>
      <c r="BT229" t="s">
        <v>134</v>
      </c>
      <c r="BU229" t="s">
        <v>134</v>
      </c>
      <c r="BV229" t="s">
        <v>134</v>
      </c>
      <c r="BW229" t="s">
        <v>134</v>
      </c>
      <c r="BX229" t="s">
        <v>134</v>
      </c>
      <c r="BY229" t="s">
        <v>134</v>
      </c>
      <c r="BZ229" t="s">
        <v>134</v>
      </c>
      <c r="CA229" t="s">
        <v>134</v>
      </c>
      <c r="CB229" t="s">
        <v>134</v>
      </c>
      <c r="CC229" t="s">
        <v>134</v>
      </c>
      <c r="CD229" t="s">
        <v>134</v>
      </c>
      <c r="CE229" t="s">
        <v>134</v>
      </c>
      <c r="CF229" t="s">
        <v>134</v>
      </c>
      <c r="CG229" t="s">
        <v>134</v>
      </c>
      <c r="CH229" t="s">
        <v>134</v>
      </c>
      <c r="CI229" t="s">
        <v>134</v>
      </c>
      <c r="CJ229" t="s">
        <v>134</v>
      </c>
      <c r="CK229" t="s">
        <v>134</v>
      </c>
      <c r="CL229" t="s">
        <v>134</v>
      </c>
      <c r="CM229" t="s">
        <v>134</v>
      </c>
      <c r="CN229" t="s">
        <v>134</v>
      </c>
      <c r="CO229" t="s">
        <v>134</v>
      </c>
      <c r="CP229" t="s">
        <v>134</v>
      </c>
      <c r="CQ229" t="s">
        <v>134</v>
      </c>
      <c r="CR229" t="s">
        <v>134</v>
      </c>
      <c r="CS229" t="s">
        <v>134</v>
      </c>
      <c r="CT229" t="s">
        <v>134</v>
      </c>
      <c r="CU229" t="s">
        <v>134</v>
      </c>
      <c r="CV229" t="s">
        <v>134</v>
      </c>
      <c r="CW229" t="s">
        <v>134</v>
      </c>
      <c r="CX229" t="s">
        <v>134</v>
      </c>
      <c r="CY229" t="s">
        <v>134</v>
      </c>
      <c r="CZ229" t="s">
        <v>134</v>
      </c>
      <c r="DA229" t="s">
        <v>134</v>
      </c>
      <c r="DB229" t="s">
        <v>134</v>
      </c>
      <c r="DC229" t="s">
        <v>134</v>
      </c>
      <c r="DD229" t="s">
        <v>134</v>
      </c>
      <c r="DE229" t="s">
        <v>134</v>
      </c>
      <c r="DF229" t="s">
        <v>134</v>
      </c>
      <c r="DG229" t="s">
        <v>134</v>
      </c>
      <c r="DH229" t="s">
        <v>134</v>
      </c>
      <c r="DI229" t="s">
        <v>134</v>
      </c>
    </row>
    <row r="230" spans="1:113" x14ac:dyDescent="0.3">
      <c r="E230" t="s">
        <v>5</v>
      </c>
      <c r="F230" t="s">
        <v>134</v>
      </c>
      <c r="G230" t="s">
        <v>134</v>
      </c>
      <c r="H230" t="s">
        <v>134</v>
      </c>
      <c r="I230" t="s">
        <v>134</v>
      </c>
      <c r="J230" t="s">
        <v>134</v>
      </c>
      <c r="K230" t="s">
        <v>134</v>
      </c>
      <c r="L230" t="s">
        <v>134</v>
      </c>
      <c r="M230" t="s">
        <v>134</v>
      </c>
      <c r="N230" t="s">
        <v>134</v>
      </c>
      <c r="O230" t="s">
        <v>134</v>
      </c>
      <c r="P230" t="s">
        <v>134</v>
      </c>
      <c r="Q230" t="s">
        <v>134</v>
      </c>
      <c r="R230" t="s">
        <v>134</v>
      </c>
      <c r="S230" t="s">
        <v>134</v>
      </c>
      <c r="T230" t="s">
        <v>134</v>
      </c>
      <c r="U230" t="s">
        <v>134</v>
      </c>
      <c r="V230" t="s">
        <v>134</v>
      </c>
      <c r="W230" t="s">
        <v>134</v>
      </c>
      <c r="X230" t="s">
        <v>134</v>
      </c>
      <c r="Y230" t="s">
        <v>134</v>
      </c>
      <c r="Z230" t="s">
        <v>134</v>
      </c>
      <c r="AA230" t="s">
        <v>134</v>
      </c>
      <c r="AB230" t="s">
        <v>134</v>
      </c>
      <c r="AC230" t="s">
        <v>134</v>
      </c>
      <c r="AD230" t="s">
        <v>134</v>
      </c>
      <c r="AE230" t="s">
        <v>134</v>
      </c>
      <c r="AF230" t="s">
        <v>134</v>
      </c>
      <c r="AG230" t="s">
        <v>134</v>
      </c>
      <c r="AH230" t="s">
        <v>134</v>
      </c>
      <c r="AI230" t="s">
        <v>134</v>
      </c>
      <c r="AJ230" t="s">
        <v>134</v>
      </c>
      <c r="AK230" t="s">
        <v>134</v>
      </c>
      <c r="AL230" t="s">
        <v>134</v>
      </c>
      <c r="AM230" t="s">
        <v>134</v>
      </c>
      <c r="AN230" t="s">
        <v>134</v>
      </c>
      <c r="AO230" t="s">
        <v>134</v>
      </c>
      <c r="AP230" t="s">
        <v>134</v>
      </c>
      <c r="AQ230" t="s">
        <v>134</v>
      </c>
      <c r="AR230" t="s">
        <v>134</v>
      </c>
      <c r="AS230" t="s">
        <v>134</v>
      </c>
      <c r="AT230" t="s">
        <v>134</v>
      </c>
      <c r="AU230" t="s">
        <v>134</v>
      </c>
      <c r="AV230" t="s">
        <v>134</v>
      </c>
      <c r="AW230" t="s">
        <v>134</v>
      </c>
      <c r="AX230" t="s">
        <v>134</v>
      </c>
      <c r="AY230" t="s">
        <v>134</v>
      </c>
      <c r="AZ230" t="s">
        <v>134</v>
      </c>
      <c r="BA230" t="s">
        <v>134</v>
      </c>
      <c r="BB230" t="s">
        <v>134</v>
      </c>
      <c r="BC230" t="s">
        <v>134</v>
      </c>
      <c r="BD230" t="s">
        <v>134</v>
      </c>
      <c r="BE230" t="s">
        <v>134</v>
      </c>
      <c r="BF230" t="s">
        <v>134</v>
      </c>
      <c r="BG230" t="s">
        <v>134</v>
      </c>
      <c r="BH230" t="s">
        <v>134</v>
      </c>
      <c r="BI230" t="s">
        <v>134</v>
      </c>
      <c r="BJ230" t="s">
        <v>134</v>
      </c>
      <c r="BK230" t="s">
        <v>134</v>
      </c>
      <c r="BL230" t="s">
        <v>134</v>
      </c>
      <c r="BM230" t="s">
        <v>134</v>
      </c>
      <c r="BN230" t="s">
        <v>134</v>
      </c>
      <c r="BO230" t="s">
        <v>134</v>
      </c>
      <c r="BP230" t="s">
        <v>134</v>
      </c>
      <c r="BQ230" t="s">
        <v>134</v>
      </c>
      <c r="BR230" t="s">
        <v>134</v>
      </c>
      <c r="BS230" t="s">
        <v>134</v>
      </c>
      <c r="BT230" t="s">
        <v>134</v>
      </c>
      <c r="BU230" t="s">
        <v>134</v>
      </c>
      <c r="BV230" t="s">
        <v>134</v>
      </c>
      <c r="BW230" t="s">
        <v>134</v>
      </c>
      <c r="BX230" t="s">
        <v>134</v>
      </c>
      <c r="BY230" t="s">
        <v>134</v>
      </c>
      <c r="BZ230" t="s">
        <v>134</v>
      </c>
      <c r="CA230" t="s">
        <v>134</v>
      </c>
      <c r="CB230" t="s">
        <v>134</v>
      </c>
      <c r="CC230" t="s">
        <v>134</v>
      </c>
      <c r="CD230" t="s">
        <v>134</v>
      </c>
      <c r="CE230" t="s">
        <v>134</v>
      </c>
      <c r="CF230" t="s">
        <v>134</v>
      </c>
      <c r="CG230" t="s">
        <v>134</v>
      </c>
      <c r="CH230" t="s">
        <v>134</v>
      </c>
      <c r="CI230" t="s">
        <v>134</v>
      </c>
      <c r="CJ230" t="s">
        <v>134</v>
      </c>
      <c r="CK230" t="s">
        <v>134</v>
      </c>
      <c r="CL230" t="s">
        <v>134</v>
      </c>
      <c r="CM230" t="s">
        <v>134</v>
      </c>
      <c r="CN230" t="s">
        <v>134</v>
      </c>
      <c r="CO230" t="s">
        <v>134</v>
      </c>
      <c r="CP230" t="s">
        <v>134</v>
      </c>
      <c r="CQ230" t="s">
        <v>134</v>
      </c>
      <c r="CR230" t="s">
        <v>134</v>
      </c>
      <c r="CS230" t="s">
        <v>134</v>
      </c>
      <c r="CT230" t="s">
        <v>134</v>
      </c>
      <c r="CU230" t="s">
        <v>134</v>
      </c>
      <c r="CV230" t="s">
        <v>134</v>
      </c>
      <c r="CW230" t="s">
        <v>134</v>
      </c>
      <c r="CX230" t="s">
        <v>134</v>
      </c>
      <c r="CY230" t="s">
        <v>134</v>
      </c>
      <c r="CZ230" t="s">
        <v>134</v>
      </c>
      <c r="DA230" t="s">
        <v>134</v>
      </c>
      <c r="DB230" t="s">
        <v>134</v>
      </c>
      <c r="DC230" t="s">
        <v>134</v>
      </c>
      <c r="DD230" t="s">
        <v>134</v>
      </c>
      <c r="DE230" t="s">
        <v>134</v>
      </c>
      <c r="DF230" t="s">
        <v>134</v>
      </c>
      <c r="DG230" t="s">
        <v>134</v>
      </c>
      <c r="DH230" t="s">
        <v>134</v>
      </c>
      <c r="DI230" t="s">
        <v>134</v>
      </c>
    </row>
    <row r="231" spans="1:113" x14ac:dyDescent="0.3">
      <c r="E231" t="s">
        <v>6</v>
      </c>
      <c r="F231" t="s">
        <v>134</v>
      </c>
      <c r="G231" t="s">
        <v>134</v>
      </c>
      <c r="H231" t="s">
        <v>134</v>
      </c>
      <c r="I231" t="s">
        <v>134</v>
      </c>
      <c r="J231" t="s">
        <v>134</v>
      </c>
      <c r="K231" t="s">
        <v>134</v>
      </c>
      <c r="L231" t="s">
        <v>134</v>
      </c>
      <c r="M231" t="s">
        <v>134</v>
      </c>
      <c r="N231" t="s">
        <v>134</v>
      </c>
      <c r="O231" t="s">
        <v>134</v>
      </c>
      <c r="P231" t="s">
        <v>134</v>
      </c>
      <c r="Q231" t="s">
        <v>134</v>
      </c>
      <c r="R231" t="s">
        <v>134</v>
      </c>
      <c r="S231" t="s">
        <v>134</v>
      </c>
      <c r="T231" t="s">
        <v>134</v>
      </c>
      <c r="U231" t="s">
        <v>134</v>
      </c>
      <c r="V231" t="s">
        <v>134</v>
      </c>
      <c r="W231" t="s">
        <v>134</v>
      </c>
      <c r="X231" t="s">
        <v>134</v>
      </c>
      <c r="Y231" t="s">
        <v>134</v>
      </c>
      <c r="Z231" t="s">
        <v>134</v>
      </c>
      <c r="AA231" t="s">
        <v>134</v>
      </c>
      <c r="AB231" t="s">
        <v>134</v>
      </c>
      <c r="AC231" t="s">
        <v>134</v>
      </c>
      <c r="AD231" t="s">
        <v>134</v>
      </c>
      <c r="AE231" t="s">
        <v>134</v>
      </c>
      <c r="AF231" t="s">
        <v>134</v>
      </c>
      <c r="AG231" t="s">
        <v>134</v>
      </c>
      <c r="AH231" t="s">
        <v>134</v>
      </c>
      <c r="AI231" t="s">
        <v>134</v>
      </c>
      <c r="AJ231" t="s">
        <v>134</v>
      </c>
      <c r="AK231" t="s">
        <v>134</v>
      </c>
      <c r="AL231" t="s">
        <v>134</v>
      </c>
      <c r="AM231" t="s">
        <v>134</v>
      </c>
      <c r="AN231" t="s">
        <v>134</v>
      </c>
      <c r="AO231" t="s">
        <v>134</v>
      </c>
      <c r="AP231" t="s">
        <v>134</v>
      </c>
      <c r="AQ231" t="s">
        <v>134</v>
      </c>
      <c r="AR231" t="s">
        <v>134</v>
      </c>
      <c r="AS231" t="s">
        <v>134</v>
      </c>
      <c r="AT231" t="s">
        <v>134</v>
      </c>
      <c r="AU231" t="s">
        <v>134</v>
      </c>
      <c r="AV231" t="s">
        <v>134</v>
      </c>
      <c r="AW231" t="s">
        <v>134</v>
      </c>
      <c r="AX231" t="s">
        <v>134</v>
      </c>
      <c r="AY231" t="s">
        <v>134</v>
      </c>
      <c r="AZ231" t="s">
        <v>134</v>
      </c>
      <c r="BA231" t="s">
        <v>134</v>
      </c>
      <c r="BB231" t="s">
        <v>134</v>
      </c>
      <c r="BC231" t="s">
        <v>134</v>
      </c>
      <c r="BD231" t="s">
        <v>134</v>
      </c>
      <c r="BE231" t="s">
        <v>134</v>
      </c>
      <c r="BF231" t="s">
        <v>134</v>
      </c>
      <c r="BG231" t="s">
        <v>134</v>
      </c>
      <c r="BH231" t="s">
        <v>134</v>
      </c>
      <c r="BI231" t="s">
        <v>134</v>
      </c>
      <c r="BJ231" t="s">
        <v>134</v>
      </c>
      <c r="BK231" t="s">
        <v>134</v>
      </c>
      <c r="BL231" t="s">
        <v>134</v>
      </c>
      <c r="BM231" t="s">
        <v>134</v>
      </c>
      <c r="BN231" t="s">
        <v>134</v>
      </c>
      <c r="BO231" t="s">
        <v>134</v>
      </c>
      <c r="BP231" t="s">
        <v>134</v>
      </c>
      <c r="BQ231" t="s">
        <v>134</v>
      </c>
      <c r="BR231" t="s">
        <v>134</v>
      </c>
      <c r="BS231" t="s">
        <v>134</v>
      </c>
      <c r="BT231" t="s">
        <v>134</v>
      </c>
      <c r="BU231" t="s">
        <v>134</v>
      </c>
      <c r="BV231" t="s">
        <v>134</v>
      </c>
      <c r="BW231" t="s">
        <v>134</v>
      </c>
      <c r="BX231" t="s">
        <v>134</v>
      </c>
      <c r="BY231" t="s">
        <v>134</v>
      </c>
      <c r="BZ231" t="s">
        <v>134</v>
      </c>
      <c r="CA231" t="s">
        <v>134</v>
      </c>
      <c r="CB231" t="s">
        <v>134</v>
      </c>
      <c r="CC231" t="s">
        <v>134</v>
      </c>
      <c r="CD231" t="s">
        <v>134</v>
      </c>
      <c r="CE231" t="s">
        <v>134</v>
      </c>
      <c r="CF231" t="s">
        <v>134</v>
      </c>
      <c r="CG231" t="s">
        <v>134</v>
      </c>
      <c r="CH231" t="s">
        <v>134</v>
      </c>
      <c r="CI231" t="s">
        <v>134</v>
      </c>
      <c r="CJ231" t="s">
        <v>134</v>
      </c>
      <c r="CK231" t="s">
        <v>134</v>
      </c>
      <c r="CL231" t="s">
        <v>134</v>
      </c>
      <c r="CM231" t="s">
        <v>134</v>
      </c>
      <c r="CN231" t="s">
        <v>134</v>
      </c>
      <c r="CO231" t="s">
        <v>134</v>
      </c>
      <c r="CP231" t="s">
        <v>134</v>
      </c>
      <c r="CQ231" t="s">
        <v>134</v>
      </c>
      <c r="CR231" t="s">
        <v>134</v>
      </c>
      <c r="CS231" t="s">
        <v>134</v>
      </c>
      <c r="CT231" t="s">
        <v>134</v>
      </c>
      <c r="CU231" t="s">
        <v>134</v>
      </c>
      <c r="CV231" t="s">
        <v>134</v>
      </c>
      <c r="CW231" t="s">
        <v>134</v>
      </c>
      <c r="CX231" t="s">
        <v>134</v>
      </c>
      <c r="CY231" t="s">
        <v>134</v>
      </c>
      <c r="CZ231" t="s">
        <v>134</v>
      </c>
      <c r="DA231" t="s">
        <v>134</v>
      </c>
      <c r="DB231" t="s">
        <v>134</v>
      </c>
      <c r="DC231" t="s">
        <v>134</v>
      </c>
      <c r="DD231" t="s">
        <v>134</v>
      </c>
      <c r="DE231" t="s">
        <v>134</v>
      </c>
      <c r="DF231" t="s">
        <v>134</v>
      </c>
      <c r="DG231" t="s">
        <v>134</v>
      </c>
      <c r="DH231" t="s">
        <v>134</v>
      </c>
      <c r="DI231" t="s">
        <v>134</v>
      </c>
    </row>
    <row r="232" spans="1:113" x14ac:dyDescent="0.3">
      <c r="E232" t="s">
        <v>7</v>
      </c>
      <c r="F232" t="s">
        <v>134</v>
      </c>
      <c r="G232" t="s">
        <v>134</v>
      </c>
      <c r="H232" t="s">
        <v>134</v>
      </c>
      <c r="I232" t="s">
        <v>134</v>
      </c>
      <c r="J232" t="s">
        <v>134</v>
      </c>
      <c r="K232" t="s">
        <v>134</v>
      </c>
      <c r="L232" t="s">
        <v>134</v>
      </c>
      <c r="M232" t="s">
        <v>134</v>
      </c>
      <c r="N232" t="s">
        <v>134</v>
      </c>
      <c r="O232" t="s">
        <v>134</v>
      </c>
      <c r="P232" t="s">
        <v>134</v>
      </c>
      <c r="Q232" t="s">
        <v>134</v>
      </c>
      <c r="R232" t="s">
        <v>134</v>
      </c>
      <c r="S232" t="s">
        <v>134</v>
      </c>
      <c r="T232" t="s">
        <v>134</v>
      </c>
      <c r="U232" t="s">
        <v>134</v>
      </c>
      <c r="V232" t="s">
        <v>134</v>
      </c>
      <c r="W232" t="s">
        <v>134</v>
      </c>
      <c r="X232" t="s">
        <v>134</v>
      </c>
      <c r="Y232" t="s">
        <v>134</v>
      </c>
      <c r="Z232" t="s">
        <v>134</v>
      </c>
      <c r="AA232" t="s">
        <v>134</v>
      </c>
      <c r="AB232" t="s">
        <v>134</v>
      </c>
      <c r="AC232" t="s">
        <v>134</v>
      </c>
      <c r="AD232" t="s">
        <v>134</v>
      </c>
      <c r="AE232" t="s">
        <v>134</v>
      </c>
      <c r="AF232" t="s">
        <v>134</v>
      </c>
      <c r="AG232" t="s">
        <v>134</v>
      </c>
      <c r="AH232" t="s">
        <v>134</v>
      </c>
      <c r="AI232" t="s">
        <v>134</v>
      </c>
      <c r="AJ232" t="s">
        <v>134</v>
      </c>
      <c r="AK232" t="s">
        <v>134</v>
      </c>
      <c r="AL232" t="s">
        <v>134</v>
      </c>
      <c r="AM232" t="s">
        <v>134</v>
      </c>
      <c r="AN232" t="s">
        <v>134</v>
      </c>
      <c r="AO232" t="s">
        <v>134</v>
      </c>
      <c r="AP232" t="s">
        <v>134</v>
      </c>
      <c r="AQ232" t="s">
        <v>134</v>
      </c>
      <c r="AR232" t="s">
        <v>134</v>
      </c>
      <c r="AS232" t="s">
        <v>134</v>
      </c>
      <c r="AT232" t="s">
        <v>134</v>
      </c>
      <c r="AU232" t="s">
        <v>134</v>
      </c>
      <c r="AV232" t="s">
        <v>134</v>
      </c>
      <c r="AW232" t="s">
        <v>134</v>
      </c>
      <c r="AX232" t="s">
        <v>134</v>
      </c>
      <c r="AY232" t="s">
        <v>134</v>
      </c>
      <c r="AZ232" t="s">
        <v>134</v>
      </c>
      <c r="BA232" t="s">
        <v>134</v>
      </c>
      <c r="BB232" t="s">
        <v>134</v>
      </c>
      <c r="BC232" t="s">
        <v>134</v>
      </c>
      <c r="BD232" t="s">
        <v>134</v>
      </c>
      <c r="BE232" t="s">
        <v>134</v>
      </c>
      <c r="BF232" t="s">
        <v>134</v>
      </c>
      <c r="BG232" t="s">
        <v>134</v>
      </c>
      <c r="BH232" t="s">
        <v>134</v>
      </c>
      <c r="BI232" t="s">
        <v>134</v>
      </c>
      <c r="BJ232" t="s">
        <v>134</v>
      </c>
      <c r="BK232" t="s">
        <v>134</v>
      </c>
      <c r="BL232" t="s">
        <v>134</v>
      </c>
      <c r="BM232" t="s">
        <v>134</v>
      </c>
      <c r="BN232" t="s">
        <v>134</v>
      </c>
      <c r="BO232" t="s">
        <v>134</v>
      </c>
      <c r="BP232" t="s">
        <v>134</v>
      </c>
      <c r="BQ232" t="s">
        <v>134</v>
      </c>
      <c r="BR232" t="s">
        <v>134</v>
      </c>
      <c r="BS232" t="s">
        <v>134</v>
      </c>
      <c r="BT232" t="s">
        <v>134</v>
      </c>
      <c r="BU232" t="s">
        <v>134</v>
      </c>
      <c r="BV232" t="s">
        <v>134</v>
      </c>
      <c r="BW232" t="s">
        <v>134</v>
      </c>
      <c r="BX232" t="s">
        <v>134</v>
      </c>
      <c r="BY232" t="s">
        <v>134</v>
      </c>
      <c r="BZ232" t="s">
        <v>134</v>
      </c>
      <c r="CA232" t="s">
        <v>134</v>
      </c>
      <c r="CB232" t="s">
        <v>134</v>
      </c>
      <c r="CC232" t="s">
        <v>134</v>
      </c>
      <c r="CD232" t="s">
        <v>134</v>
      </c>
      <c r="CE232" t="s">
        <v>134</v>
      </c>
      <c r="CF232" t="s">
        <v>134</v>
      </c>
      <c r="CG232" t="s">
        <v>134</v>
      </c>
      <c r="CH232" t="s">
        <v>134</v>
      </c>
      <c r="CI232" t="s">
        <v>134</v>
      </c>
      <c r="CJ232" t="s">
        <v>134</v>
      </c>
      <c r="CK232" t="s">
        <v>134</v>
      </c>
      <c r="CL232" t="s">
        <v>134</v>
      </c>
      <c r="CM232" t="s">
        <v>134</v>
      </c>
      <c r="CN232" t="s">
        <v>134</v>
      </c>
      <c r="CO232" t="s">
        <v>134</v>
      </c>
      <c r="CP232" t="s">
        <v>134</v>
      </c>
      <c r="CQ232" t="s">
        <v>134</v>
      </c>
      <c r="CR232" t="s">
        <v>134</v>
      </c>
      <c r="CS232" t="s">
        <v>134</v>
      </c>
      <c r="CT232" t="s">
        <v>134</v>
      </c>
      <c r="CU232" t="s">
        <v>134</v>
      </c>
      <c r="CV232" t="s">
        <v>134</v>
      </c>
      <c r="CW232" t="s">
        <v>134</v>
      </c>
      <c r="CX232" t="s">
        <v>134</v>
      </c>
      <c r="CY232" t="s">
        <v>134</v>
      </c>
      <c r="CZ232" t="s">
        <v>134</v>
      </c>
      <c r="DA232" t="s">
        <v>134</v>
      </c>
      <c r="DB232" t="s">
        <v>134</v>
      </c>
      <c r="DC232" t="s">
        <v>134</v>
      </c>
      <c r="DD232" t="s">
        <v>134</v>
      </c>
      <c r="DE232" t="s">
        <v>134</v>
      </c>
      <c r="DF232" t="s">
        <v>134</v>
      </c>
      <c r="DG232" t="s">
        <v>134</v>
      </c>
      <c r="DH232" t="s">
        <v>134</v>
      </c>
      <c r="DI232" t="s">
        <v>134</v>
      </c>
    </row>
    <row r="233" spans="1:113" x14ac:dyDescent="0.3">
      <c r="D233" t="s">
        <v>8</v>
      </c>
      <c r="E233" t="s">
        <v>3</v>
      </c>
      <c r="F233">
        <v>12.121</v>
      </c>
      <c r="G233">
        <v>2.6227</v>
      </c>
      <c r="H233">
        <v>5.2308000000000003</v>
      </c>
      <c r="I233">
        <v>4.6760000000000002</v>
      </c>
      <c r="J233">
        <v>12.7759</v>
      </c>
      <c r="K233">
        <v>9.8487000000000009</v>
      </c>
      <c r="L233" t="s">
        <v>134</v>
      </c>
      <c r="M233">
        <v>8.0558999999999994</v>
      </c>
      <c r="N233">
        <v>5.5094000000000003</v>
      </c>
      <c r="O233">
        <v>5.3185000000000002</v>
      </c>
      <c r="P233">
        <v>5.3185000000000002</v>
      </c>
      <c r="Q233">
        <v>31.6404</v>
      </c>
      <c r="R233">
        <v>31.701899999999998</v>
      </c>
      <c r="S233">
        <v>8.2783999999999995</v>
      </c>
      <c r="T233">
        <v>6.0312999999999999</v>
      </c>
      <c r="U233">
        <v>3.1615000000000002</v>
      </c>
      <c r="V233">
        <v>-8.5593000000000004</v>
      </c>
      <c r="W233">
        <v>-2.7984</v>
      </c>
      <c r="X233">
        <v>-3.1718999999999999</v>
      </c>
      <c r="Y233">
        <v>14.0351</v>
      </c>
      <c r="Z233">
        <v>14.041600000000001</v>
      </c>
      <c r="AA233">
        <v>17.9236</v>
      </c>
      <c r="AB233">
        <v>-3.1126</v>
      </c>
      <c r="AC233">
        <v>14.7919</v>
      </c>
      <c r="AD233">
        <v>6.2051999999999996</v>
      </c>
      <c r="AE233">
        <v>-0.70150000000000001</v>
      </c>
      <c r="AF233">
        <v>19.2285</v>
      </c>
      <c r="AG233">
        <v>7.8700000000000006E-2</v>
      </c>
      <c r="AH233">
        <v>12.1876</v>
      </c>
      <c r="AI233">
        <v>12.269</v>
      </c>
      <c r="AJ233">
        <v>12.2149</v>
      </c>
      <c r="AK233">
        <v>8.1694999999999993</v>
      </c>
      <c r="AL233">
        <v>60.680199999999999</v>
      </c>
      <c r="AM233">
        <v>15.538499999999999</v>
      </c>
      <c r="AN233">
        <v>12.257899999999999</v>
      </c>
      <c r="AO233">
        <v>10.151199999999999</v>
      </c>
      <c r="AP233">
        <v>-2.6539999999999999</v>
      </c>
      <c r="AQ233">
        <v>-3.2401</v>
      </c>
      <c r="AR233">
        <v>14.2897</v>
      </c>
      <c r="AS233">
        <v>19.153400000000001</v>
      </c>
      <c r="AT233">
        <v>22.341699999999999</v>
      </c>
      <c r="AU233">
        <v>14.9659</v>
      </c>
      <c r="AV233">
        <v>22.302700000000002</v>
      </c>
      <c r="AW233">
        <v>75.446600000000004</v>
      </c>
      <c r="AX233">
        <v>7.5389999999999997</v>
      </c>
      <c r="AY233">
        <v>11.851599999999999</v>
      </c>
      <c r="AZ233">
        <v>48.331400000000002</v>
      </c>
      <c r="BA233">
        <v>31.9724</v>
      </c>
      <c r="BB233">
        <v>15.7666</v>
      </c>
      <c r="BC233">
        <v>25.015999999999998</v>
      </c>
      <c r="BD233">
        <v>13.622999999999999</v>
      </c>
      <c r="BE233" t="s">
        <v>134</v>
      </c>
      <c r="BF233">
        <v>6.0312999999999999</v>
      </c>
      <c r="BG233">
        <v>3.1615000000000002</v>
      </c>
      <c r="BH233">
        <v>-8.5593000000000004</v>
      </c>
      <c r="BI233">
        <v>-2.7984</v>
      </c>
      <c r="BJ233">
        <v>-3.1718999999999999</v>
      </c>
      <c r="BK233">
        <v>14.0351</v>
      </c>
      <c r="BL233">
        <v>14.041600000000001</v>
      </c>
      <c r="BM233">
        <v>17.9236</v>
      </c>
      <c r="BN233">
        <v>-3.1126</v>
      </c>
      <c r="BO233">
        <v>14.7919</v>
      </c>
      <c r="BP233">
        <v>6.2051999999999996</v>
      </c>
      <c r="BQ233">
        <v>-0.70150000000000001</v>
      </c>
      <c r="BR233">
        <v>19.2285</v>
      </c>
      <c r="BS233">
        <v>7.8700000000000006E-2</v>
      </c>
      <c r="BT233">
        <v>12.1876</v>
      </c>
      <c r="BU233">
        <v>12.269</v>
      </c>
      <c r="BV233">
        <v>12.2149</v>
      </c>
      <c r="BW233">
        <v>8.1694999999999993</v>
      </c>
      <c r="BX233" t="s">
        <v>134</v>
      </c>
      <c r="BY233">
        <v>906986.1</v>
      </c>
      <c r="BZ233">
        <v>254206.3</v>
      </c>
      <c r="CA233">
        <v>652779.80000000005</v>
      </c>
      <c r="CB233">
        <v>7.9241000000000001</v>
      </c>
      <c r="CC233">
        <v>6.7291999999999996</v>
      </c>
      <c r="CD233">
        <v>10.279299999999999</v>
      </c>
      <c r="CE233">
        <v>8.7292000000000005</v>
      </c>
      <c r="CF233">
        <v>4.2969999999999997</v>
      </c>
      <c r="CG233">
        <v>21.0672</v>
      </c>
      <c r="CH233">
        <v>142.19399999999999</v>
      </c>
      <c r="CI233">
        <v>47.785499999999999</v>
      </c>
      <c r="CJ233">
        <v>33.616500000000002</v>
      </c>
      <c r="CK233">
        <v>197.56739999999999</v>
      </c>
      <c r="CL233">
        <v>66.394199999999998</v>
      </c>
      <c r="CM233">
        <v>46.707500000000003</v>
      </c>
      <c r="CN233">
        <v>167.77420000000001</v>
      </c>
      <c r="CO233">
        <v>62.655099999999997</v>
      </c>
      <c r="CP233">
        <v>114459</v>
      </c>
      <c r="CQ233">
        <v>45167.1</v>
      </c>
      <c r="CR233">
        <v>88234</v>
      </c>
      <c r="CS233">
        <v>0.17599999999999999</v>
      </c>
      <c r="CT233">
        <v>1.2223999999999999</v>
      </c>
      <c r="CU233">
        <v>0.56320000000000003</v>
      </c>
      <c r="CV233">
        <v>1.7185000000000001</v>
      </c>
      <c r="CW233">
        <v>3.1728000000000001</v>
      </c>
      <c r="CX233">
        <v>115.041</v>
      </c>
      <c r="CY233">
        <v>5.3231999999999999</v>
      </c>
      <c r="CZ233">
        <v>68.567300000000003</v>
      </c>
      <c r="DA233">
        <v>1.4461999999999999</v>
      </c>
      <c r="DB233">
        <v>252.3887</v>
      </c>
      <c r="DC233">
        <v>-68.7804</v>
      </c>
      <c r="DD233">
        <v>183.60839999999999</v>
      </c>
      <c r="DE233">
        <v>65181.9</v>
      </c>
      <c r="DF233">
        <v>19275.2</v>
      </c>
      <c r="DG233">
        <v>11457.4</v>
      </c>
      <c r="DH233">
        <v>8333.2000000000007</v>
      </c>
      <c r="DI233">
        <v>26116.1</v>
      </c>
    </row>
    <row r="234" spans="1:113" x14ac:dyDescent="0.3">
      <c r="E234" t="s">
        <v>4</v>
      </c>
      <c r="F234" t="s">
        <v>134</v>
      </c>
      <c r="G234" t="s">
        <v>134</v>
      </c>
      <c r="H234" t="s">
        <v>134</v>
      </c>
      <c r="I234" t="s">
        <v>134</v>
      </c>
      <c r="J234">
        <v>13.255800000000001</v>
      </c>
      <c r="K234">
        <v>9.0009999999999994</v>
      </c>
      <c r="L234" t="s">
        <v>134</v>
      </c>
      <c r="M234">
        <v>7.6711</v>
      </c>
      <c r="N234">
        <v>5.3132000000000001</v>
      </c>
      <c r="O234">
        <v>5.0956999999999999</v>
      </c>
      <c r="P234">
        <v>5.0956999999999999</v>
      </c>
      <c r="Q234">
        <v>30.845400000000001</v>
      </c>
      <c r="R234" t="s">
        <v>134</v>
      </c>
      <c r="S234" t="s">
        <v>134</v>
      </c>
      <c r="T234" t="s">
        <v>134</v>
      </c>
      <c r="U234" t="s">
        <v>134</v>
      </c>
      <c r="V234" t="s">
        <v>134</v>
      </c>
      <c r="W234" t="s">
        <v>134</v>
      </c>
      <c r="X234" t="s">
        <v>134</v>
      </c>
      <c r="Y234" t="s">
        <v>134</v>
      </c>
      <c r="Z234" t="s">
        <v>134</v>
      </c>
      <c r="AA234" t="s">
        <v>134</v>
      </c>
      <c r="AB234" t="s">
        <v>134</v>
      </c>
      <c r="AC234" t="s">
        <v>134</v>
      </c>
      <c r="AD234" t="s">
        <v>134</v>
      </c>
      <c r="AE234" t="s">
        <v>134</v>
      </c>
      <c r="AF234" t="s">
        <v>134</v>
      </c>
      <c r="AG234" t="s">
        <v>134</v>
      </c>
      <c r="AH234" t="s">
        <v>134</v>
      </c>
      <c r="AI234" t="s">
        <v>134</v>
      </c>
      <c r="AJ234" t="s">
        <v>134</v>
      </c>
      <c r="AK234" t="s">
        <v>134</v>
      </c>
      <c r="AL234" t="s">
        <v>134</v>
      </c>
      <c r="AM234" t="s">
        <v>134</v>
      </c>
      <c r="AN234" t="s">
        <v>134</v>
      </c>
      <c r="AO234" t="s">
        <v>134</v>
      </c>
      <c r="AP234" t="s">
        <v>134</v>
      </c>
      <c r="AQ234" t="s">
        <v>134</v>
      </c>
      <c r="AR234" t="s">
        <v>134</v>
      </c>
      <c r="AS234" t="s">
        <v>134</v>
      </c>
      <c r="AT234" t="s">
        <v>134</v>
      </c>
      <c r="AU234" t="s">
        <v>134</v>
      </c>
      <c r="AV234" t="s">
        <v>134</v>
      </c>
      <c r="AW234" t="s">
        <v>134</v>
      </c>
      <c r="AX234" t="s">
        <v>134</v>
      </c>
      <c r="AY234" t="s">
        <v>134</v>
      </c>
      <c r="AZ234" t="s">
        <v>134</v>
      </c>
      <c r="BA234" t="s">
        <v>134</v>
      </c>
      <c r="BB234" t="s">
        <v>134</v>
      </c>
      <c r="BC234" t="s">
        <v>134</v>
      </c>
      <c r="BD234" t="s">
        <v>134</v>
      </c>
      <c r="BE234" t="s">
        <v>134</v>
      </c>
      <c r="BF234" t="s">
        <v>134</v>
      </c>
      <c r="BG234" t="s">
        <v>134</v>
      </c>
      <c r="BH234" t="s">
        <v>134</v>
      </c>
      <c r="BI234" t="s">
        <v>134</v>
      </c>
      <c r="BJ234" t="s">
        <v>134</v>
      </c>
      <c r="BK234" t="s">
        <v>134</v>
      </c>
      <c r="BL234" t="s">
        <v>134</v>
      </c>
      <c r="BM234" t="s">
        <v>134</v>
      </c>
      <c r="BN234" t="s">
        <v>134</v>
      </c>
      <c r="BO234" t="s">
        <v>134</v>
      </c>
      <c r="BP234" t="s">
        <v>134</v>
      </c>
      <c r="BQ234" t="s">
        <v>134</v>
      </c>
      <c r="BR234" t="s">
        <v>134</v>
      </c>
      <c r="BS234" t="s">
        <v>134</v>
      </c>
      <c r="BT234" t="s">
        <v>134</v>
      </c>
      <c r="BU234" t="s">
        <v>134</v>
      </c>
      <c r="BV234" t="s">
        <v>134</v>
      </c>
      <c r="BW234" t="s">
        <v>134</v>
      </c>
      <c r="BX234" t="s">
        <v>134</v>
      </c>
      <c r="BY234" t="s">
        <v>134</v>
      </c>
      <c r="BZ234" t="s">
        <v>134</v>
      </c>
      <c r="CA234" t="s">
        <v>134</v>
      </c>
      <c r="CB234" t="s">
        <v>134</v>
      </c>
      <c r="CC234" t="s">
        <v>134</v>
      </c>
      <c r="CD234" t="s">
        <v>134</v>
      </c>
      <c r="CE234" t="s">
        <v>134</v>
      </c>
      <c r="CF234">
        <v>3.2302</v>
      </c>
      <c r="CG234" t="s">
        <v>134</v>
      </c>
      <c r="CH234" t="s">
        <v>134</v>
      </c>
      <c r="CI234" t="s">
        <v>134</v>
      </c>
      <c r="CJ234" t="s">
        <v>134</v>
      </c>
      <c r="CK234" t="s">
        <v>134</v>
      </c>
      <c r="CL234" t="s">
        <v>134</v>
      </c>
      <c r="CM234" t="s">
        <v>134</v>
      </c>
      <c r="CN234" t="s">
        <v>134</v>
      </c>
      <c r="CO234" t="s">
        <v>134</v>
      </c>
      <c r="CP234">
        <v>25152.5</v>
      </c>
      <c r="CQ234" t="s">
        <v>134</v>
      </c>
      <c r="CR234">
        <v>17079.2</v>
      </c>
      <c r="CS234" t="s">
        <v>134</v>
      </c>
      <c r="CT234" t="s">
        <v>134</v>
      </c>
      <c r="CU234" t="s">
        <v>134</v>
      </c>
      <c r="CV234" t="s">
        <v>134</v>
      </c>
      <c r="CW234" t="s">
        <v>134</v>
      </c>
      <c r="CX234" t="s">
        <v>134</v>
      </c>
      <c r="CY234" t="s">
        <v>134</v>
      </c>
      <c r="CZ234" t="s">
        <v>134</v>
      </c>
      <c r="DA234" t="s">
        <v>134</v>
      </c>
      <c r="DB234" t="s">
        <v>134</v>
      </c>
      <c r="DC234" t="s">
        <v>134</v>
      </c>
      <c r="DD234" t="s">
        <v>134</v>
      </c>
      <c r="DE234" t="s">
        <v>134</v>
      </c>
      <c r="DF234" t="s">
        <v>134</v>
      </c>
      <c r="DG234" t="s">
        <v>134</v>
      </c>
      <c r="DH234" t="s">
        <v>134</v>
      </c>
      <c r="DI234" t="s">
        <v>134</v>
      </c>
    </row>
    <row r="235" spans="1:113" x14ac:dyDescent="0.3">
      <c r="E235" t="s">
        <v>5</v>
      </c>
      <c r="F235" t="s">
        <v>134</v>
      </c>
      <c r="G235" t="s">
        <v>134</v>
      </c>
      <c r="H235" t="s">
        <v>134</v>
      </c>
      <c r="I235" t="s">
        <v>134</v>
      </c>
      <c r="J235">
        <v>11.031499999999999</v>
      </c>
      <c r="K235">
        <v>8.4390000000000001</v>
      </c>
      <c r="L235" t="s">
        <v>134</v>
      </c>
      <c r="M235">
        <v>6.1898</v>
      </c>
      <c r="N235">
        <v>3.9756999999999998</v>
      </c>
      <c r="O235">
        <v>4.0727000000000002</v>
      </c>
      <c r="P235">
        <v>4.0727000000000002</v>
      </c>
      <c r="Q235">
        <v>35.822699999999998</v>
      </c>
      <c r="R235" t="s">
        <v>134</v>
      </c>
      <c r="S235" t="s">
        <v>134</v>
      </c>
      <c r="T235" t="s">
        <v>134</v>
      </c>
      <c r="U235" t="s">
        <v>134</v>
      </c>
      <c r="V235" t="s">
        <v>134</v>
      </c>
      <c r="W235" t="s">
        <v>134</v>
      </c>
      <c r="X235" t="s">
        <v>134</v>
      </c>
      <c r="Y235" t="s">
        <v>134</v>
      </c>
      <c r="Z235" t="s">
        <v>134</v>
      </c>
      <c r="AA235" t="s">
        <v>134</v>
      </c>
      <c r="AB235" t="s">
        <v>134</v>
      </c>
      <c r="AC235" t="s">
        <v>134</v>
      </c>
      <c r="AD235" t="s">
        <v>134</v>
      </c>
      <c r="AE235" t="s">
        <v>134</v>
      </c>
      <c r="AF235" t="s">
        <v>134</v>
      </c>
      <c r="AG235" t="s">
        <v>134</v>
      </c>
      <c r="AH235" t="s">
        <v>134</v>
      </c>
      <c r="AI235" t="s">
        <v>134</v>
      </c>
      <c r="AJ235" t="s">
        <v>134</v>
      </c>
      <c r="AK235" t="s">
        <v>134</v>
      </c>
      <c r="AL235" t="s">
        <v>134</v>
      </c>
      <c r="AM235" t="s">
        <v>134</v>
      </c>
      <c r="AN235" t="s">
        <v>134</v>
      </c>
      <c r="AO235" t="s">
        <v>134</v>
      </c>
      <c r="AP235" t="s">
        <v>134</v>
      </c>
      <c r="AQ235" t="s">
        <v>134</v>
      </c>
      <c r="AR235" t="s">
        <v>134</v>
      </c>
      <c r="AS235" t="s">
        <v>134</v>
      </c>
      <c r="AT235" t="s">
        <v>134</v>
      </c>
      <c r="AU235" t="s">
        <v>134</v>
      </c>
      <c r="AV235" t="s">
        <v>134</v>
      </c>
      <c r="AW235" t="s">
        <v>134</v>
      </c>
      <c r="AX235" t="s">
        <v>134</v>
      </c>
      <c r="AY235" t="s">
        <v>134</v>
      </c>
      <c r="AZ235" t="s">
        <v>134</v>
      </c>
      <c r="BA235" t="s">
        <v>134</v>
      </c>
      <c r="BB235" t="s">
        <v>134</v>
      </c>
      <c r="BC235" t="s">
        <v>134</v>
      </c>
      <c r="BD235" t="s">
        <v>134</v>
      </c>
      <c r="BE235" t="s">
        <v>134</v>
      </c>
      <c r="BF235">
        <v>11.513199999999999</v>
      </c>
      <c r="BG235">
        <v>-7.1981000000000002</v>
      </c>
      <c r="BH235">
        <v>4.5506000000000002</v>
      </c>
      <c r="BI235">
        <v>-10.874000000000001</v>
      </c>
      <c r="BJ235">
        <v>-10.907299999999999</v>
      </c>
      <c r="BK235" t="s">
        <v>134</v>
      </c>
      <c r="BL235" t="s">
        <v>134</v>
      </c>
      <c r="BM235" t="s">
        <v>134</v>
      </c>
      <c r="BN235" t="s">
        <v>134</v>
      </c>
      <c r="BO235" t="s">
        <v>134</v>
      </c>
      <c r="BP235" t="s">
        <v>134</v>
      </c>
      <c r="BQ235" t="s">
        <v>134</v>
      </c>
      <c r="BR235" t="s">
        <v>134</v>
      </c>
      <c r="BS235" t="s">
        <v>134</v>
      </c>
      <c r="BT235" t="s">
        <v>134</v>
      </c>
      <c r="BU235" t="s">
        <v>134</v>
      </c>
      <c r="BV235" t="s">
        <v>134</v>
      </c>
      <c r="BW235" t="s">
        <v>134</v>
      </c>
      <c r="BX235" t="s">
        <v>134</v>
      </c>
      <c r="BY235">
        <v>852563.2</v>
      </c>
      <c r="BZ235">
        <v>275203.7</v>
      </c>
      <c r="CA235">
        <v>577359.5</v>
      </c>
      <c r="CB235" t="s">
        <v>134</v>
      </c>
      <c r="CC235" t="s">
        <v>134</v>
      </c>
      <c r="CD235" t="s">
        <v>134</v>
      </c>
      <c r="CE235" t="s">
        <v>134</v>
      </c>
      <c r="CF235">
        <v>3.3807</v>
      </c>
      <c r="CG235">
        <v>22.3674</v>
      </c>
      <c r="CH235">
        <v>133.3288</v>
      </c>
      <c r="CI235">
        <v>44.909799999999997</v>
      </c>
      <c r="CJ235">
        <v>32.595700000000001</v>
      </c>
      <c r="CK235">
        <v>196.88120000000001</v>
      </c>
      <c r="CL235">
        <v>66.316500000000005</v>
      </c>
      <c r="CM235">
        <v>48.1327</v>
      </c>
      <c r="CN235">
        <v>171.01689999999999</v>
      </c>
      <c r="CO235">
        <v>63.101900000000001</v>
      </c>
      <c r="CP235">
        <v>23342</v>
      </c>
      <c r="CQ235" t="s">
        <v>134</v>
      </c>
      <c r="CR235">
        <v>17856.400000000001</v>
      </c>
      <c r="CS235">
        <v>0.15790000000000001</v>
      </c>
      <c r="CT235">
        <v>1.2004999999999999</v>
      </c>
      <c r="CU235">
        <v>0.52459999999999996</v>
      </c>
      <c r="CV235">
        <v>1.0730999999999999</v>
      </c>
      <c r="CW235" t="s">
        <v>134</v>
      </c>
      <c r="CX235" t="s">
        <v>134</v>
      </c>
      <c r="CY235" t="s">
        <v>134</v>
      </c>
      <c r="CZ235" t="s">
        <v>134</v>
      </c>
      <c r="DA235" t="s">
        <v>134</v>
      </c>
      <c r="DB235" t="s">
        <v>134</v>
      </c>
      <c r="DC235" t="s">
        <v>134</v>
      </c>
      <c r="DD235" t="s">
        <v>134</v>
      </c>
      <c r="DE235">
        <v>61230.1</v>
      </c>
      <c r="DF235" t="s">
        <v>134</v>
      </c>
      <c r="DG235" t="s">
        <v>134</v>
      </c>
      <c r="DH235" t="s">
        <v>134</v>
      </c>
      <c r="DI235" t="s">
        <v>134</v>
      </c>
    </row>
    <row r="236" spans="1:113" x14ac:dyDescent="0.3">
      <c r="E236" t="s">
        <v>6</v>
      </c>
      <c r="F236" t="s">
        <v>134</v>
      </c>
      <c r="G236" t="s">
        <v>134</v>
      </c>
      <c r="H236" t="s">
        <v>134</v>
      </c>
      <c r="I236" t="s">
        <v>134</v>
      </c>
      <c r="J236">
        <v>12.118399999999999</v>
      </c>
      <c r="K236">
        <v>9.2708999999999993</v>
      </c>
      <c r="L236" t="s">
        <v>134</v>
      </c>
      <c r="M236">
        <v>6.3956</v>
      </c>
      <c r="N236">
        <v>4.0155000000000003</v>
      </c>
      <c r="O236">
        <v>3.6335999999999999</v>
      </c>
      <c r="P236">
        <v>3.6335999999999999</v>
      </c>
      <c r="Q236">
        <v>37.3264</v>
      </c>
      <c r="R236" t="s">
        <v>134</v>
      </c>
      <c r="S236" t="s">
        <v>134</v>
      </c>
      <c r="T236" t="s">
        <v>134</v>
      </c>
      <c r="U236" t="s">
        <v>134</v>
      </c>
      <c r="V236" t="s">
        <v>134</v>
      </c>
      <c r="W236" t="s">
        <v>134</v>
      </c>
      <c r="X236" t="s">
        <v>134</v>
      </c>
      <c r="Y236" t="s">
        <v>134</v>
      </c>
      <c r="Z236" t="s">
        <v>134</v>
      </c>
      <c r="AA236" t="s">
        <v>134</v>
      </c>
      <c r="AB236" t="s">
        <v>134</v>
      </c>
      <c r="AC236" t="s">
        <v>134</v>
      </c>
      <c r="AD236" t="s">
        <v>134</v>
      </c>
      <c r="AE236" t="s">
        <v>134</v>
      </c>
      <c r="AF236" t="s">
        <v>134</v>
      </c>
      <c r="AG236" t="s">
        <v>134</v>
      </c>
      <c r="AH236" t="s">
        <v>134</v>
      </c>
      <c r="AI236" t="s">
        <v>134</v>
      </c>
      <c r="AJ236" t="s">
        <v>134</v>
      </c>
      <c r="AK236" t="s">
        <v>134</v>
      </c>
      <c r="AL236" t="s">
        <v>134</v>
      </c>
      <c r="AM236" t="s">
        <v>134</v>
      </c>
      <c r="AN236" t="s">
        <v>134</v>
      </c>
      <c r="AO236" t="s">
        <v>134</v>
      </c>
      <c r="AP236" t="s">
        <v>134</v>
      </c>
      <c r="AQ236" t="s">
        <v>134</v>
      </c>
      <c r="AR236" t="s">
        <v>134</v>
      </c>
      <c r="AS236" t="s">
        <v>134</v>
      </c>
      <c r="AT236" t="s">
        <v>134</v>
      </c>
      <c r="AU236" t="s">
        <v>134</v>
      </c>
      <c r="AV236" t="s">
        <v>134</v>
      </c>
      <c r="AW236" t="s">
        <v>134</v>
      </c>
      <c r="AX236" t="s">
        <v>134</v>
      </c>
      <c r="AY236" t="s">
        <v>134</v>
      </c>
      <c r="AZ236" t="s">
        <v>134</v>
      </c>
      <c r="BA236" t="s">
        <v>134</v>
      </c>
      <c r="BB236" t="s">
        <v>134</v>
      </c>
      <c r="BC236" t="s">
        <v>134</v>
      </c>
      <c r="BD236" t="s">
        <v>134</v>
      </c>
      <c r="BE236" t="s">
        <v>134</v>
      </c>
      <c r="BF236">
        <v>12.706</v>
      </c>
      <c r="BG236">
        <v>23.810700000000001</v>
      </c>
      <c r="BH236">
        <v>23.816700000000001</v>
      </c>
      <c r="BI236">
        <v>0.55579999999999996</v>
      </c>
      <c r="BJ236">
        <v>0.43340000000000001</v>
      </c>
      <c r="BK236" t="s">
        <v>134</v>
      </c>
      <c r="BL236" t="s">
        <v>134</v>
      </c>
      <c r="BM236" t="s">
        <v>134</v>
      </c>
      <c r="BN236" t="s">
        <v>134</v>
      </c>
      <c r="BO236" t="s">
        <v>134</v>
      </c>
      <c r="BP236" t="s">
        <v>134</v>
      </c>
      <c r="BQ236" t="s">
        <v>134</v>
      </c>
      <c r="BR236" t="s">
        <v>134</v>
      </c>
      <c r="BS236" t="s">
        <v>134</v>
      </c>
      <c r="BT236" t="s">
        <v>134</v>
      </c>
      <c r="BU236" t="s">
        <v>134</v>
      </c>
      <c r="BV236" t="s">
        <v>134</v>
      </c>
      <c r="BW236" t="s">
        <v>134</v>
      </c>
      <c r="BX236" t="s">
        <v>134</v>
      </c>
      <c r="BY236" t="s">
        <v>134</v>
      </c>
      <c r="BZ236" t="s">
        <v>134</v>
      </c>
      <c r="CA236" t="s">
        <v>134</v>
      </c>
      <c r="CB236" t="s">
        <v>134</v>
      </c>
      <c r="CC236" t="s">
        <v>134</v>
      </c>
      <c r="CD236" t="s">
        <v>134</v>
      </c>
      <c r="CE236" t="s">
        <v>134</v>
      </c>
      <c r="CF236">
        <v>3.1398999999999999</v>
      </c>
      <c r="CG236" t="s">
        <v>134</v>
      </c>
      <c r="CH236" t="s">
        <v>134</v>
      </c>
      <c r="CI236" t="s">
        <v>134</v>
      </c>
      <c r="CJ236" t="s">
        <v>134</v>
      </c>
      <c r="CK236" t="s">
        <v>134</v>
      </c>
      <c r="CL236" t="s">
        <v>134</v>
      </c>
      <c r="CM236" t="s">
        <v>134</v>
      </c>
      <c r="CN236" t="s">
        <v>134</v>
      </c>
      <c r="CO236" t="s">
        <v>134</v>
      </c>
      <c r="CP236">
        <v>28899.9</v>
      </c>
      <c r="CQ236" t="s">
        <v>134</v>
      </c>
      <c r="CR236">
        <v>22109.200000000001</v>
      </c>
      <c r="CS236" t="s">
        <v>134</v>
      </c>
      <c r="CT236" t="s">
        <v>134</v>
      </c>
      <c r="CU236" t="s">
        <v>134</v>
      </c>
      <c r="CV236" t="s">
        <v>134</v>
      </c>
      <c r="CW236" t="s">
        <v>134</v>
      </c>
      <c r="CX236" t="s">
        <v>134</v>
      </c>
      <c r="CY236" t="s">
        <v>134</v>
      </c>
      <c r="CZ236" t="s">
        <v>134</v>
      </c>
      <c r="DA236" t="s">
        <v>134</v>
      </c>
      <c r="DB236" t="s">
        <v>134</v>
      </c>
      <c r="DC236" t="s">
        <v>134</v>
      </c>
      <c r="DD236" t="s">
        <v>134</v>
      </c>
      <c r="DE236" t="s">
        <v>134</v>
      </c>
      <c r="DF236" t="s">
        <v>134</v>
      </c>
      <c r="DG236" t="s">
        <v>134</v>
      </c>
      <c r="DH236" t="s">
        <v>134</v>
      </c>
      <c r="DI236" t="s">
        <v>134</v>
      </c>
    </row>
    <row r="237" spans="1:113" x14ac:dyDescent="0.3">
      <c r="E237" t="s">
        <v>7</v>
      </c>
      <c r="F237" t="s">
        <v>134</v>
      </c>
      <c r="G237" t="s">
        <v>134</v>
      </c>
      <c r="H237" t="s">
        <v>134</v>
      </c>
      <c r="I237" t="s">
        <v>134</v>
      </c>
      <c r="J237">
        <v>12.8787</v>
      </c>
      <c r="K237">
        <v>10.782</v>
      </c>
      <c r="L237" t="s">
        <v>134</v>
      </c>
      <c r="M237">
        <v>10.444100000000001</v>
      </c>
      <c r="N237">
        <v>7.5968</v>
      </c>
      <c r="O237">
        <v>7.3856000000000002</v>
      </c>
      <c r="P237">
        <v>7.3856000000000002</v>
      </c>
      <c r="Q237">
        <v>27.200900000000001</v>
      </c>
      <c r="R237" t="s">
        <v>134</v>
      </c>
      <c r="S237" t="s">
        <v>134</v>
      </c>
      <c r="T237" t="s">
        <v>134</v>
      </c>
      <c r="U237" t="s">
        <v>134</v>
      </c>
      <c r="V237" t="s">
        <v>134</v>
      </c>
      <c r="W237" t="s">
        <v>134</v>
      </c>
      <c r="X237" t="s">
        <v>134</v>
      </c>
      <c r="Y237" t="s">
        <v>134</v>
      </c>
      <c r="Z237" t="s">
        <v>134</v>
      </c>
      <c r="AA237" t="s">
        <v>134</v>
      </c>
      <c r="AB237" t="s">
        <v>134</v>
      </c>
      <c r="AC237" t="s">
        <v>134</v>
      </c>
      <c r="AD237" t="s">
        <v>134</v>
      </c>
      <c r="AE237" t="s">
        <v>134</v>
      </c>
      <c r="AF237" t="s">
        <v>134</v>
      </c>
      <c r="AG237" t="s">
        <v>134</v>
      </c>
      <c r="AH237" t="s">
        <v>134</v>
      </c>
      <c r="AI237" t="s">
        <v>134</v>
      </c>
      <c r="AJ237" t="s">
        <v>134</v>
      </c>
      <c r="AK237" t="s">
        <v>134</v>
      </c>
      <c r="AL237" t="s">
        <v>134</v>
      </c>
      <c r="AM237" t="s">
        <v>134</v>
      </c>
      <c r="AN237" t="s">
        <v>134</v>
      </c>
      <c r="AO237" t="s">
        <v>134</v>
      </c>
      <c r="AP237" t="s">
        <v>134</v>
      </c>
      <c r="AQ237" t="s">
        <v>134</v>
      </c>
      <c r="AR237" t="s">
        <v>134</v>
      </c>
      <c r="AS237" t="s">
        <v>134</v>
      </c>
      <c r="AT237" t="s">
        <v>134</v>
      </c>
      <c r="AU237" t="s">
        <v>134</v>
      </c>
      <c r="AV237" t="s">
        <v>134</v>
      </c>
      <c r="AW237" t="s">
        <v>134</v>
      </c>
      <c r="AX237" t="s">
        <v>134</v>
      </c>
      <c r="AY237" t="s">
        <v>134</v>
      </c>
      <c r="AZ237" t="s">
        <v>134</v>
      </c>
      <c r="BA237" t="s">
        <v>134</v>
      </c>
      <c r="BB237" t="s">
        <v>134</v>
      </c>
      <c r="BC237" t="s">
        <v>134</v>
      </c>
      <c r="BD237" t="s">
        <v>134</v>
      </c>
      <c r="BE237" t="s">
        <v>134</v>
      </c>
      <c r="BF237">
        <v>18.796600000000002</v>
      </c>
      <c r="BG237">
        <v>25.058499999999999</v>
      </c>
      <c r="BH237">
        <v>36.916899999999998</v>
      </c>
      <c r="BI237">
        <v>138.83949999999999</v>
      </c>
      <c r="BJ237">
        <v>137.86410000000001</v>
      </c>
      <c r="BK237" t="s">
        <v>134</v>
      </c>
      <c r="BL237" t="s">
        <v>134</v>
      </c>
      <c r="BM237" t="s">
        <v>134</v>
      </c>
      <c r="BN237" t="s">
        <v>134</v>
      </c>
      <c r="BO237" t="s">
        <v>134</v>
      </c>
      <c r="BP237" t="s">
        <v>134</v>
      </c>
      <c r="BQ237" t="s">
        <v>134</v>
      </c>
      <c r="BR237" t="s">
        <v>134</v>
      </c>
      <c r="BS237" t="s">
        <v>134</v>
      </c>
      <c r="BT237" t="s">
        <v>134</v>
      </c>
      <c r="BU237" t="s">
        <v>134</v>
      </c>
      <c r="BV237" t="s">
        <v>134</v>
      </c>
      <c r="BW237" t="s">
        <v>134</v>
      </c>
      <c r="BX237" t="s">
        <v>134</v>
      </c>
      <c r="BY237">
        <v>906986.1</v>
      </c>
      <c r="BZ237">
        <v>254206.3</v>
      </c>
      <c r="CA237">
        <v>652779.80000000005</v>
      </c>
      <c r="CB237">
        <v>7.9950999999999999</v>
      </c>
      <c r="CC237">
        <v>6.7895000000000003</v>
      </c>
      <c r="CD237">
        <v>10.3992</v>
      </c>
      <c r="CE237">
        <v>8.8309999999999995</v>
      </c>
      <c r="CF237">
        <v>7.6151</v>
      </c>
      <c r="CG237">
        <v>21.0672</v>
      </c>
      <c r="CH237">
        <v>142.19399999999999</v>
      </c>
      <c r="CI237">
        <v>47.785499999999999</v>
      </c>
      <c r="CJ237">
        <v>33.616500000000002</v>
      </c>
      <c r="CK237">
        <v>197.56739999999999</v>
      </c>
      <c r="CL237">
        <v>66.394199999999998</v>
      </c>
      <c r="CM237">
        <v>46.707500000000003</v>
      </c>
      <c r="CN237">
        <v>167.77420000000001</v>
      </c>
      <c r="CO237">
        <v>62.655099999999997</v>
      </c>
      <c r="CP237">
        <v>36089.5</v>
      </c>
      <c r="CQ237" t="s">
        <v>134</v>
      </c>
      <c r="CR237">
        <v>30214</v>
      </c>
      <c r="CS237">
        <v>0.17599999999999999</v>
      </c>
      <c r="CT237">
        <v>1.2223999999999999</v>
      </c>
      <c r="CU237">
        <v>0.56320000000000003</v>
      </c>
      <c r="CV237">
        <v>1.7185000000000001</v>
      </c>
      <c r="CW237" t="s">
        <v>134</v>
      </c>
      <c r="CX237" t="s">
        <v>134</v>
      </c>
      <c r="CY237" t="s">
        <v>134</v>
      </c>
      <c r="CZ237" t="s">
        <v>134</v>
      </c>
      <c r="DA237" t="s">
        <v>134</v>
      </c>
      <c r="DB237" t="s">
        <v>134</v>
      </c>
      <c r="DC237" t="s">
        <v>134</v>
      </c>
      <c r="DD237" t="s">
        <v>134</v>
      </c>
      <c r="DE237">
        <v>65181.9</v>
      </c>
      <c r="DF237">
        <v>19275.2</v>
      </c>
      <c r="DG237">
        <v>11457.4</v>
      </c>
      <c r="DH237">
        <v>8333.2000000000007</v>
      </c>
      <c r="DI237">
        <v>26116.1</v>
      </c>
    </row>
    <row r="238" spans="1:113" x14ac:dyDescent="0.3">
      <c r="D238" t="s">
        <v>9</v>
      </c>
      <c r="E238" t="s">
        <v>3</v>
      </c>
      <c r="F238">
        <v>11.9917</v>
      </c>
      <c r="G238">
        <v>2.4163999999999999</v>
      </c>
      <c r="H238">
        <v>5.1798000000000002</v>
      </c>
      <c r="I238">
        <v>4.6218000000000004</v>
      </c>
      <c r="J238">
        <v>12.3393</v>
      </c>
      <c r="K238">
        <v>9.6196000000000002</v>
      </c>
      <c r="L238">
        <v>7.8726000000000003</v>
      </c>
      <c r="M238">
        <v>7.98</v>
      </c>
      <c r="N238">
        <v>5.4625000000000004</v>
      </c>
      <c r="O238">
        <v>5.0233999999999996</v>
      </c>
      <c r="P238">
        <v>5.0233999999999996</v>
      </c>
      <c r="Q238">
        <v>31.5169</v>
      </c>
      <c r="R238">
        <v>33.394399999999997</v>
      </c>
      <c r="S238">
        <v>7.9871999999999996</v>
      </c>
      <c r="T238">
        <v>13.1113</v>
      </c>
      <c r="U238">
        <v>9.2411999999999992</v>
      </c>
      <c r="V238">
        <v>10.480499999999999</v>
      </c>
      <c r="W238">
        <v>6.8357000000000001</v>
      </c>
      <c r="X238">
        <v>6.7869999999999999</v>
      </c>
      <c r="Y238">
        <v>12.307700000000001</v>
      </c>
      <c r="Z238">
        <v>19.610099999999999</v>
      </c>
      <c r="AA238">
        <v>-17.614899999999999</v>
      </c>
      <c r="AB238">
        <v>0.75009999999999999</v>
      </c>
      <c r="AC238">
        <v>17.398399999999999</v>
      </c>
      <c r="AD238">
        <v>0.107</v>
      </c>
      <c r="AE238">
        <v>-3.8140999999999998</v>
      </c>
      <c r="AF238">
        <v>19.2349</v>
      </c>
      <c r="AG238">
        <v>10.3439</v>
      </c>
      <c r="AH238">
        <v>11.928699999999999</v>
      </c>
      <c r="AI238">
        <v>10.5708</v>
      </c>
      <c r="AJ238">
        <v>11.4724</v>
      </c>
      <c r="AK238">
        <v>7.3140999999999998</v>
      </c>
      <c r="AL238">
        <v>-30.285299999999999</v>
      </c>
      <c r="AM238">
        <v>14.4457</v>
      </c>
      <c r="AN238">
        <v>9.7274999999999991</v>
      </c>
      <c r="AO238">
        <v>8.3031000000000006</v>
      </c>
      <c r="AP238">
        <v>2.6976</v>
      </c>
      <c r="AQ238">
        <v>2.4222000000000001</v>
      </c>
      <c r="AR238">
        <v>13.5526</v>
      </c>
      <c r="AS238">
        <v>20.5793</v>
      </c>
      <c r="AT238">
        <v>12.016500000000001</v>
      </c>
      <c r="AU238">
        <v>5.468</v>
      </c>
      <c r="AV238">
        <v>19.152799999999999</v>
      </c>
      <c r="AW238">
        <v>37.070300000000003</v>
      </c>
      <c r="AX238">
        <v>2.7757000000000001</v>
      </c>
      <c r="AY238">
        <v>14.882</v>
      </c>
      <c r="AZ238">
        <v>28.092300000000002</v>
      </c>
      <c r="BA238">
        <v>25.2822</v>
      </c>
      <c r="BB238">
        <v>14.249700000000001</v>
      </c>
      <c r="BC238">
        <v>20.8935</v>
      </c>
      <c r="BD238">
        <v>11.48</v>
      </c>
      <c r="BE238" t="s">
        <v>134</v>
      </c>
      <c r="BF238">
        <v>13.1113</v>
      </c>
      <c r="BG238">
        <v>9.2411999999999992</v>
      </c>
      <c r="BH238">
        <v>10.480499999999999</v>
      </c>
      <c r="BI238">
        <v>6.8357000000000001</v>
      </c>
      <c r="BJ238">
        <v>6.7869999999999999</v>
      </c>
      <c r="BK238">
        <v>12.307700000000001</v>
      </c>
      <c r="BL238">
        <v>19.610099999999999</v>
      </c>
      <c r="BM238">
        <v>-17.614899999999999</v>
      </c>
      <c r="BN238">
        <v>0.75009999999999999</v>
      </c>
      <c r="BO238">
        <v>17.398399999999999</v>
      </c>
      <c r="BP238">
        <v>0.107</v>
      </c>
      <c r="BQ238">
        <v>-3.8140999999999998</v>
      </c>
      <c r="BR238">
        <v>19.2349</v>
      </c>
      <c r="BS238">
        <v>10.3439</v>
      </c>
      <c r="BT238">
        <v>11.928699999999999</v>
      </c>
      <c r="BU238">
        <v>10.5708</v>
      </c>
      <c r="BV238">
        <v>11.4724</v>
      </c>
      <c r="BW238">
        <v>7.3140999999999998</v>
      </c>
      <c r="BX238" t="s">
        <v>134</v>
      </c>
      <c r="BY238">
        <v>1015171</v>
      </c>
      <c r="BZ238">
        <v>277633.90000000002</v>
      </c>
      <c r="CA238">
        <v>737537.1</v>
      </c>
      <c r="CB238">
        <v>8.1187000000000005</v>
      </c>
      <c r="CC238">
        <v>7.0030000000000001</v>
      </c>
      <c r="CD238">
        <v>10.414</v>
      </c>
      <c r="CE238">
        <v>8.9829000000000008</v>
      </c>
      <c r="CF238">
        <v>4.3997999999999999</v>
      </c>
      <c r="CG238">
        <v>19.334900000000001</v>
      </c>
      <c r="CH238">
        <v>145.29740000000001</v>
      </c>
      <c r="CI238">
        <v>48.433700000000002</v>
      </c>
      <c r="CJ238">
        <v>32.415700000000001</v>
      </c>
      <c r="CK238">
        <v>199.9923</v>
      </c>
      <c r="CL238">
        <v>66.665800000000004</v>
      </c>
      <c r="CM238">
        <v>44.618099999999998</v>
      </c>
      <c r="CN238">
        <v>172.5094</v>
      </c>
      <c r="CO238">
        <v>63.304000000000002</v>
      </c>
      <c r="CP238">
        <v>125041.3</v>
      </c>
      <c r="CQ238">
        <v>72400.2</v>
      </c>
      <c r="CR238">
        <v>97481.4</v>
      </c>
      <c r="CS238">
        <v>0.15609999999999999</v>
      </c>
      <c r="CT238">
        <v>1.1801999999999999</v>
      </c>
      <c r="CU238">
        <v>0.55889999999999995</v>
      </c>
      <c r="CV238">
        <v>1.5702</v>
      </c>
      <c r="CW238">
        <v>3.0670999999999999</v>
      </c>
      <c r="CX238">
        <v>119.3308</v>
      </c>
      <c r="CY238">
        <v>5.8830999999999998</v>
      </c>
      <c r="CZ238">
        <v>62.212200000000003</v>
      </c>
      <c r="DA238">
        <v>1.2498</v>
      </c>
      <c r="DB238">
        <v>292.84039999999999</v>
      </c>
      <c r="DC238">
        <v>-111.2974</v>
      </c>
      <c r="DD238">
        <v>181.54300000000001</v>
      </c>
      <c r="DE238">
        <v>53619.5</v>
      </c>
      <c r="DF238">
        <v>19067.7</v>
      </c>
      <c r="DG238">
        <v>9125.5</v>
      </c>
      <c r="DH238">
        <v>6540.5</v>
      </c>
      <c r="DI238">
        <v>18885.8</v>
      </c>
    </row>
    <row r="239" spans="1:113" x14ac:dyDescent="0.3">
      <c r="E239" t="s">
        <v>4</v>
      </c>
      <c r="F239" t="s">
        <v>134</v>
      </c>
      <c r="G239" t="s">
        <v>134</v>
      </c>
      <c r="H239" t="s">
        <v>134</v>
      </c>
      <c r="I239" t="s">
        <v>134</v>
      </c>
      <c r="J239">
        <v>11.3085</v>
      </c>
      <c r="K239">
        <v>8.2361000000000004</v>
      </c>
      <c r="L239" t="s">
        <v>134</v>
      </c>
      <c r="M239">
        <v>6.0171999999999999</v>
      </c>
      <c r="N239">
        <v>3.3313999999999999</v>
      </c>
      <c r="O239">
        <v>2.9931999999999999</v>
      </c>
      <c r="P239">
        <v>2.9931999999999999</v>
      </c>
      <c r="Q239">
        <v>44.791600000000003</v>
      </c>
      <c r="R239" t="s">
        <v>134</v>
      </c>
      <c r="S239" t="s">
        <v>134</v>
      </c>
      <c r="T239">
        <v>6.7321999999999997</v>
      </c>
      <c r="U239">
        <v>-8.9466000000000001</v>
      </c>
      <c r="V239">
        <v>-2.3378999999999999</v>
      </c>
      <c r="W239">
        <v>-37.305199999999999</v>
      </c>
      <c r="X239">
        <v>-37.451700000000002</v>
      </c>
      <c r="Y239" t="s">
        <v>134</v>
      </c>
      <c r="Z239" t="s">
        <v>134</v>
      </c>
      <c r="AA239" t="s">
        <v>134</v>
      </c>
      <c r="AB239" t="s">
        <v>134</v>
      </c>
      <c r="AC239" t="s">
        <v>134</v>
      </c>
      <c r="AD239" t="s">
        <v>134</v>
      </c>
      <c r="AE239" t="s">
        <v>134</v>
      </c>
      <c r="AF239" t="s">
        <v>134</v>
      </c>
      <c r="AG239" t="s">
        <v>134</v>
      </c>
      <c r="AH239" t="s">
        <v>134</v>
      </c>
      <c r="AI239" t="s">
        <v>134</v>
      </c>
      <c r="AJ239" t="s">
        <v>134</v>
      </c>
      <c r="AK239" t="s">
        <v>134</v>
      </c>
      <c r="AL239" t="s">
        <v>134</v>
      </c>
      <c r="AM239" t="s">
        <v>134</v>
      </c>
      <c r="AN239" t="s">
        <v>134</v>
      </c>
      <c r="AO239" t="s">
        <v>134</v>
      </c>
      <c r="AP239" t="s">
        <v>134</v>
      </c>
      <c r="AQ239" t="s">
        <v>134</v>
      </c>
      <c r="AR239" t="s">
        <v>134</v>
      </c>
      <c r="AS239" t="s">
        <v>134</v>
      </c>
      <c r="AT239" t="s">
        <v>134</v>
      </c>
      <c r="AU239" t="s">
        <v>134</v>
      </c>
      <c r="AV239" t="s">
        <v>134</v>
      </c>
      <c r="AW239" t="s">
        <v>134</v>
      </c>
      <c r="AX239" t="s">
        <v>134</v>
      </c>
      <c r="AY239" t="s">
        <v>134</v>
      </c>
      <c r="AZ239" t="s">
        <v>134</v>
      </c>
      <c r="BA239" t="s">
        <v>134</v>
      </c>
      <c r="BB239" t="s">
        <v>134</v>
      </c>
      <c r="BC239" t="s">
        <v>134</v>
      </c>
      <c r="BD239" t="s">
        <v>134</v>
      </c>
      <c r="BE239" t="s">
        <v>134</v>
      </c>
      <c r="BF239">
        <v>-26.8535</v>
      </c>
      <c r="BG239">
        <v>-36.540500000000002</v>
      </c>
      <c r="BH239">
        <v>-44.7941</v>
      </c>
      <c r="BI239">
        <v>-70.710400000000007</v>
      </c>
      <c r="BJ239">
        <v>-70.612200000000001</v>
      </c>
      <c r="BK239" t="s">
        <v>134</v>
      </c>
      <c r="BL239" t="s">
        <v>134</v>
      </c>
      <c r="BM239" t="s">
        <v>134</v>
      </c>
      <c r="BN239" t="s">
        <v>134</v>
      </c>
      <c r="BO239" t="s">
        <v>134</v>
      </c>
      <c r="BP239" t="s">
        <v>134</v>
      </c>
      <c r="BQ239" t="s">
        <v>134</v>
      </c>
      <c r="BR239" t="s">
        <v>134</v>
      </c>
      <c r="BS239" t="s">
        <v>134</v>
      </c>
      <c r="BT239" t="s">
        <v>134</v>
      </c>
      <c r="BU239" t="s">
        <v>134</v>
      </c>
      <c r="BV239" t="s">
        <v>134</v>
      </c>
      <c r="BW239" t="s">
        <v>134</v>
      </c>
      <c r="BX239" t="s">
        <v>134</v>
      </c>
      <c r="BY239" t="s">
        <v>134</v>
      </c>
      <c r="BZ239" t="s">
        <v>134</v>
      </c>
      <c r="CA239" t="s">
        <v>134</v>
      </c>
      <c r="CB239" t="s">
        <v>134</v>
      </c>
      <c r="CC239" t="s">
        <v>134</v>
      </c>
      <c r="CD239" t="s">
        <v>134</v>
      </c>
      <c r="CE239" t="s">
        <v>134</v>
      </c>
      <c r="CF239">
        <v>3.2406000000000001</v>
      </c>
      <c r="CG239" t="s">
        <v>134</v>
      </c>
      <c r="CH239" t="s">
        <v>134</v>
      </c>
      <c r="CI239" t="s">
        <v>134</v>
      </c>
      <c r="CJ239" t="s">
        <v>134</v>
      </c>
      <c r="CK239" t="s">
        <v>134</v>
      </c>
      <c r="CL239" t="s">
        <v>134</v>
      </c>
      <c r="CM239" t="s">
        <v>134</v>
      </c>
      <c r="CN239" t="s">
        <v>134</v>
      </c>
      <c r="CO239" t="s">
        <v>134</v>
      </c>
      <c r="CP239">
        <v>22902.2</v>
      </c>
      <c r="CQ239" t="s">
        <v>134</v>
      </c>
      <c r="CR239">
        <v>16679.900000000001</v>
      </c>
      <c r="CS239" t="s">
        <v>134</v>
      </c>
      <c r="CT239" t="s">
        <v>134</v>
      </c>
      <c r="CU239" t="s">
        <v>134</v>
      </c>
      <c r="CV239" t="s">
        <v>134</v>
      </c>
      <c r="CW239" t="s">
        <v>134</v>
      </c>
      <c r="CX239" t="s">
        <v>134</v>
      </c>
      <c r="CY239" t="s">
        <v>134</v>
      </c>
      <c r="CZ239" t="s">
        <v>134</v>
      </c>
      <c r="DA239" t="s">
        <v>134</v>
      </c>
      <c r="DB239" t="s">
        <v>134</v>
      </c>
      <c r="DC239" t="s">
        <v>134</v>
      </c>
      <c r="DD239" t="s">
        <v>134</v>
      </c>
      <c r="DE239" t="s">
        <v>134</v>
      </c>
      <c r="DF239" t="s">
        <v>134</v>
      </c>
      <c r="DG239" t="s">
        <v>134</v>
      </c>
      <c r="DH239" t="s">
        <v>134</v>
      </c>
      <c r="DI239" t="s">
        <v>134</v>
      </c>
    </row>
    <row r="240" spans="1:113" x14ac:dyDescent="0.3">
      <c r="E240" t="s">
        <v>5</v>
      </c>
      <c r="F240">
        <v>10.637599999999999</v>
      </c>
      <c r="G240">
        <v>2.2231000000000001</v>
      </c>
      <c r="H240">
        <v>4.6584000000000003</v>
      </c>
      <c r="I240">
        <v>3.9304999999999999</v>
      </c>
      <c r="J240">
        <v>11.0787</v>
      </c>
      <c r="K240">
        <v>8.1137999999999995</v>
      </c>
      <c r="L240">
        <v>5.0339</v>
      </c>
      <c r="M240">
        <v>6.8352000000000004</v>
      </c>
      <c r="N240">
        <v>4.7213000000000003</v>
      </c>
      <c r="O240">
        <v>4.2572000000000001</v>
      </c>
      <c r="P240">
        <v>4.2572000000000001</v>
      </c>
      <c r="Q240">
        <v>30.868400000000001</v>
      </c>
      <c r="R240" t="s">
        <v>134</v>
      </c>
      <c r="S240" t="s">
        <v>134</v>
      </c>
      <c r="T240">
        <v>10.557399999999999</v>
      </c>
      <c r="U240">
        <v>11.0299</v>
      </c>
      <c r="V240">
        <v>6.2975000000000003</v>
      </c>
      <c r="W240">
        <v>15.5672</v>
      </c>
      <c r="X240">
        <v>15.384600000000001</v>
      </c>
      <c r="Y240" t="s">
        <v>134</v>
      </c>
      <c r="Z240">
        <v>19.100100000000001</v>
      </c>
      <c r="AA240">
        <v>-2.3856000000000002</v>
      </c>
      <c r="AB240">
        <v>31.051600000000001</v>
      </c>
      <c r="AC240">
        <v>20.994800000000001</v>
      </c>
      <c r="AD240">
        <v>6.5621</v>
      </c>
      <c r="AE240">
        <v>12.46</v>
      </c>
      <c r="AF240">
        <v>20.192799999999998</v>
      </c>
      <c r="AG240">
        <v>9.1218000000000004</v>
      </c>
      <c r="AH240">
        <v>15.2583</v>
      </c>
      <c r="AI240">
        <v>11.384399999999999</v>
      </c>
      <c r="AJ240">
        <v>13.9534</v>
      </c>
      <c r="AK240">
        <v>6.1402000000000001</v>
      </c>
      <c r="AL240" t="s">
        <v>134</v>
      </c>
      <c r="AM240" t="s">
        <v>134</v>
      </c>
      <c r="AN240" t="s">
        <v>134</v>
      </c>
      <c r="AO240" t="s">
        <v>134</v>
      </c>
      <c r="AP240" t="s">
        <v>134</v>
      </c>
      <c r="AQ240" t="s">
        <v>134</v>
      </c>
      <c r="AR240" t="s">
        <v>134</v>
      </c>
      <c r="AS240" t="s">
        <v>134</v>
      </c>
      <c r="AT240" t="s">
        <v>134</v>
      </c>
      <c r="AU240" t="s">
        <v>134</v>
      </c>
      <c r="AV240" t="s">
        <v>134</v>
      </c>
      <c r="AW240" t="s">
        <v>134</v>
      </c>
      <c r="AX240" t="s">
        <v>134</v>
      </c>
      <c r="AY240" t="s">
        <v>134</v>
      </c>
      <c r="AZ240" t="s">
        <v>134</v>
      </c>
      <c r="BA240" t="s">
        <v>134</v>
      </c>
      <c r="BB240" t="s">
        <v>134</v>
      </c>
      <c r="BC240" t="s">
        <v>134</v>
      </c>
      <c r="BD240" t="s">
        <v>134</v>
      </c>
      <c r="BE240" t="s">
        <v>134</v>
      </c>
      <c r="BF240">
        <v>17.756599999999999</v>
      </c>
      <c r="BG240">
        <v>57.926000000000002</v>
      </c>
      <c r="BH240">
        <v>61.508000000000003</v>
      </c>
      <c r="BI240">
        <v>137.71899999999999</v>
      </c>
      <c r="BJ240">
        <v>137.72319999999999</v>
      </c>
      <c r="BK240" t="s">
        <v>134</v>
      </c>
      <c r="BL240" t="s">
        <v>134</v>
      </c>
      <c r="BM240" t="s">
        <v>134</v>
      </c>
      <c r="BN240" t="s">
        <v>134</v>
      </c>
      <c r="BO240" t="s">
        <v>134</v>
      </c>
      <c r="BP240" t="s">
        <v>134</v>
      </c>
      <c r="BQ240" t="s">
        <v>134</v>
      </c>
      <c r="BR240" t="s">
        <v>134</v>
      </c>
      <c r="BS240" t="s">
        <v>134</v>
      </c>
      <c r="BT240" t="s">
        <v>134</v>
      </c>
      <c r="BU240" t="s">
        <v>134</v>
      </c>
      <c r="BV240" t="s">
        <v>134</v>
      </c>
      <c r="BW240" t="s">
        <v>134</v>
      </c>
      <c r="BX240" t="s">
        <v>134</v>
      </c>
      <c r="BY240">
        <v>982649.7</v>
      </c>
      <c r="BZ240">
        <v>300307.3</v>
      </c>
      <c r="CA240">
        <v>682342.40000000002</v>
      </c>
      <c r="CB240">
        <v>9.1600999999999999</v>
      </c>
      <c r="CC240">
        <v>7.7670000000000003</v>
      </c>
      <c r="CD240">
        <v>11.8371</v>
      </c>
      <c r="CE240">
        <v>10.036899999999999</v>
      </c>
      <c r="CF240">
        <v>3.1309</v>
      </c>
      <c r="CG240">
        <v>19.683800000000002</v>
      </c>
      <c r="CH240">
        <v>141.46719999999999</v>
      </c>
      <c r="CI240">
        <v>46.576799999999999</v>
      </c>
      <c r="CJ240">
        <v>31.8383</v>
      </c>
      <c r="CK240">
        <v>203.7286</v>
      </c>
      <c r="CL240">
        <v>67.075900000000004</v>
      </c>
      <c r="CM240">
        <v>45.850700000000003</v>
      </c>
      <c r="CN240">
        <v>172.74520000000001</v>
      </c>
      <c r="CO240">
        <v>63.335700000000003</v>
      </c>
      <c r="CP240">
        <v>25916.6</v>
      </c>
      <c r="CQ240" t="s">
        <v>134</v>
      </c>
      <c r="CR240">
        <v>18980.900000000001</v>
      </c>
      <c r="CS240">
        <v>0.1777</v>
      </c>
      <c r="CT240">
        <v>1.1900999999999999</v>
      </c>
      <c r="CU240">
        <v>0.54579999999999995</v>
      </c>
      <c r="CV240">
        <v>1.5488</v>
      </c>
      <c r="CW240">
        <v>3.3185000000000002</v>
      </c>
      <c r="CX240">
        <v>109.9909</v>
      </c>
      <c r="CY240">
        <v>2.8563000000000001</v>
      </c>
      <c r="CZ240">
        <v>127.78740000000001</v>
      </c>
      <c r="DA240">
        <v>0.78210000000000002</v>
      </c>
      <c r="DB240">
        <v>466.71510000000001</v>
      </c>
      <c r="DC240">
        <v>-228.93680000000001</v>
      </c>
      <c r="DD240">
        <v>237.7783</v>
      </c>
      <c r="DE240">
        <v>59769.4</v>
      </c>
      <c r="DF240" t="s">
        <v>134</v>
      </c>
      <c r="DG240" t="s">
        <v>134</v>
      </c>
      <c r="DH240" t="s">
        <v>134</v>
      </c>
      <c r="DI240" t="s">
        <v>134</v>
      </c>
    </row>
    <row r="241" spans="1:113" x14ac:dyDescent="0.3">
      <c r="E241" t="s">
        <v>6</v>
      </c>
      <c r="F241" t="s">
        <v>134</v>
      </c>
      <c r="G241" t="s">
        <v>134</v>
      </c>
      <c r="H241" t="s">
        <v>134</v>
      </c>
      <c r="I241" t="s">
        <v>134</v>
      </c>
      <c r="J241">
        <v>10.437900000000001</v>
      </c>
      <c r="K241">
        <v>7.9963999999999995</v>
      </c>
      <c r="L241" t="s">
        <v>134</v>
      </c>
      <c r="M241">
        <v>6.8426</v>
      </c>
      <c r="N241">
        <v>4.6467999999999998</v>
      </c>
      <c r="O241">
        <v>4.0761000000000003</v>
      </c>
      <c r="P241">
        <v>4.0761000000000003</v>
      </c>
      <c r="Q241">
        <v>31.978200000000001</v>
      </c>
      <c r="R241" t="s">
        <v>134</v>
      </c>
      <c r="S241" t="s">
        <v>134</v>
      </c>
      <c r="T241">
        <v>7.6239999999999997</v>
      </c>
      <c r="U241">
        <v>-8.1752000000000002</v>
      </c>
      <c r="V241">
        <v>-8.0059000000000005</v>
      </c>
      <c r="W241">
        <v>19.4175</v>
      </c>
      <c r="X241">
        <v>19.4175</v>
      </c>
      <c r="Y241" t="s">
        <v>134</v>
      </c>
      <c r="Z241" t="s">
        <v>134</v>
      </c>
      <c r="AA241" t="s">
        <v>134</v>
      </c>
      <c r="AB241" t="s">
        <v>134</v>
      </c>
      <c r="AC241" t="s">
        <v>134</v>
      </c>
      <c r="AD241" t="s">
        <v>134</v>
      </c>
      <c r="AE241" t="s">
        <v>134</v>
      </c>
      <c r="AF241" t="s">
        <v>134</v>
      </c>
      <c r="AG241" t="s">
        <v>134</v>
      </c>
      <c r="AH241" t="s">
        <v>134</v>
      </c>
      <c r="AI241" t="s">
        <v>134</v>
      </c>
      <c r="AJ241" t="s">
        <v>134</v>
      </c>
      <c r="AK241" t="s">
        <v>134</v>
      </c>
      <c r="AL241" t="s">
        <v>134</v>
      </c>
      <c r="AM241" t="s">
        <v>134</v>
      </c>
      <c r="AN241" t="s">
        <v>134</v>
      </c>
      <c r="AO241" t="s">
        <v>134</v>
      </c>
      <c r="AP241" t="s">
        <v>134</v>
      </c>
      <c r="AQ241" t="s">
        <v>134</v>
      </c>
      <c r="AR241" t="s">
        <v>134</v>
      </c>
      <c r="AS241" t="s">
        <v>134</v>
      </c>
      <c r="AT241" t="s">
        <v>134</v>
      </c>
      <c r="AU241" t="s">
        <v>134</v>
      </c>
      <c r="AV241" t="s">
        <v>134</v>
      </c>
      <c r="AW241" t="s">
        <v>134</v>
      </c>
      <c r="AX241" t="s">
        <v>134</v>
      </c>
      <c r="AY241" t="s">
        <v>134</v>
      </c>
      <c r="AZ241" t="s">
        <v>134</v>
      </c>
      <c r="BA241" t="s">
        <v>134</v>
      </c>
      <c r="BB241" t="s">
        <v>134</v>
      </c>
      <c r="BC241" t="s">
        <v>134</v>
      </c>
      <c r="BD241" t="s">
        <v>134</v>
      </c>
      <c r="BE241" t="s">
        <v>134</v>
      </c>
      <c r="BF241">
        <v>10.4918</v>
      </c>
      <c r="BG241">
        <v>24.351400000000002</v>
      </c>
      <c r="BH241">
        <v>26.687799999999999</v>
      </c>
      <c r="BI241">
        <v>32.944499999999998</v>
      </c>
      <c r="BJ241">
        <v>33.052900000000001</v>
      </c>
      <c r="BK241" t="s">
        <v>134</v>
      </c>
      <c r="BL241" t="s">
        <v>134</v>
      </c>
      <c r="BM241" t="s">
        <v>134</v>
      </c>
      <c r="BN241" t="s">
        <v>134</v>
      </c>
      <c r="BO241" t="s">
        <v>134</v>
      </c>
      <c r="BP241" t="s">
        <v>134</v>
      </c>
      <c r="BQ241" t="s">
        <v>134</v>
      </c>
      <c r="BR241" t="s">
        <v>134</v>
      </c>
      <c r="BS241" t="s">
        <v>134</v>
      </c>
      <c r="BT241" t="s">
        <v>134</v>
      </c>
      <c r="BU241" t="s">
        <v>134</v>
      </c>
      <c r="BV241" t="s">
        <v>134</v>
      </c>
      <c r="BW241" t="s">
        <v>134</v>
      </c>
      <c r="BX241" t="s">
        <v>134</v>
      </c>
      <c r="BY241" t="s">
        <v>134</v>
      </c>
      <c r="BZ241" t="s">
        <v>134</v>
      </c>
      <c r="CA241" t="s">
        <v>134</v>
      </c>
      <c r="CB241" t="s">
        <v>134</v>
      </c>
      <c r="CC241" t="s">
        <v>134</v>
      </c>
      <c r="CD241" t="s">
        <v>134</v>
      </c>
      <c r="CE241" t="s">
        <v>134</v>
      </c>
      <c r="CF241">
        <v>3.5587999999999997</v>
      </c>
      <c r="CG241" t="s">
        <v>134</v>
      </c>
      <c r="CH241" t="s">
        <v>134</v>
      </c>
      <c r="CI241" t="s">
        <v>134</v>
      </c>
      <c r="CJ241" t="s">
        <v>134</v>
      </c>
      <c r="CK241" t="s">
        <v>134</v>
      </c>
      <c r="CL241" t="s">
        <v>134</v>
      </c>
      <c r="CM241" t="s">
        <v>134</v>
      </c>
      <c r="CN241" t="s">
        <v>134</v>
      </c>
      <c r="CO241" t="s">
        <v>134</v>
      </c>
      <c r="CP241">
        <v>26498.9</v>
      </c>
      <c r="CQ241" t="s">
        <v>134</v>
      </c>
      <c r="CR241">
        <v>20300.7</v>
      </c>
      <c r="CS241" t="s">
        <v>134</v>
      </c>
      <c r="CT241" t="s">
        <v>134</v>
      </c>
      <c r="CU241" t="s">
        <v>134</v>
      </c>
      <c r="CV241" t="s">
        <v>134</v>
      </c>
      <c r="CW241" t="s">
        <v>134</v>
      </c>
      <c r="CX241" t="s">
        <v>134</v>
      </c>
      <c r="CY241" t="s">
        <v>134</v>
      </c>
      <c r="CZ241" t="s">
        <v>134</v>
      </c>
      <c r="DA241" t="s">
        <v>134</v>
      </c>
      <c r="DB241" t="s">
        <v>134</v>
      </c>
      <c r="DC241" t="s">
        <v>134</v>
      </c>
      <c r="DD241" t="s">
        <v>134</v>
      </c>
      <c r="DE241" t="s">
        <v>134</v>
      </c>
      <c r="DF241" t="s">
        <v>134</v>
      </c>
      <c r="DG241" t="s">
        <v>134</v>
      </c>
      <c r="DH241" t="s">
        <v>134</v>
      </c>
      <c r="DI241" t="s">
        <v>134</v>
      </c>
    </row>
    <row r="242" spans="1:113" x14ac:dyDescent="0.3">
      <c r="E242" t="s">
        <v>7</v>
      </c>
      <c r="F242">
        <v>10.250299999999999</v>
      </c>
      <c r="G242">
        <v>2.0655000000000001</v>
      </c>
      <c r="H242">
        <v>4.1638999999999999</v>
      </c>
      <c r="I242">
        <v>3.6021000000000001</v>
      </c>
      <c r="J242">
        <v>14.808999999999999</v>
      </c>
      <c r="K242">
        <v>12.309100000000001</v>
      </c>
      <c r="L242">
        <v>19.853200000000001</v>
      </c>
      <c r="M242">
        <v>10.763999999999999</v>
      </c>
      <c r="N242">
        <v>7.8527000000000005</v>
      </c>
      <c r="O242">
        <v>7.4778000000000002</v>
      </c>
      <c r="P242">
        <v>7.4778000000000002</v>
      </c>
      <c r="Q242">
        <v>27.003299999999999</v>
      </c>
      <c r="R242" t="s">
        <v>134</v>
      </c>
      <c r="S242" t="s">
        <v>134</v>
      </c>
      <c r="T242">
        <v>18.5108</v>
      </c>
      <c r="U242">
        <v>34.642200000000003</v>
      </c>
      <c r="V242">
        <v>33.676400000000001</v>
      </c>
      <c r="W242">
        <v>18.553999999999998</v>
      </c>
      <c r="X242">
        <v>18.684799999999999</v>
      </c>
      <c r="Y242" t="s">
        <v>134</v>
      </c>
      <c r="Z242">
        <v>19.610099999999999</v>
      </c>
      <c r="AA242">
        <v>-17.614899999999999</v>
      </c>
      <c r="AB242">
        <v>0.75009999999999999</v>
      </c>
      <c r="AC242">
        <v>17.398399999999999</v>
      </c>
      <c r="AD242">
        <v>0.107</v>
      </c>
      <c r="AE242">
        <v>-3.8140999999999998</v>
      </c>
      <c r="AF242">
        <v>19.2349</v>
      </c>
      <c r="AG242">
        <v>10.3439</v>
      </c>
      <c r="AH242">
        <v>11.928699999999999</v>
      </c>
      <c r="AI242">
        <v>10.5708</v>
      </c>
      <c r="AJ242">
        <v>11.4724</v>
      </c>
      <c r="AK242">
        <v>7.3140999999999998</v>
      </c>
      <c r="AL242" t="s">
        <v>134</v>
      </c>
      <c r="AM242" t="s">
        <v>134</v>
      </c>
      <c r="AN242" t="s">
        <v>134</v>
      </c>
      <c r="AO242" t="s">
        <v>134</v>
      </c>
      <c r="AP242" t="s">
        <v>134</v>
      </c>
      <c r="AQ242" t="s">
        <v>134</v>
      </c>
      <c r="AR242" t="s">
        <v>134</v>
      </c>
      <c r="AS242" t="s">
        <v>134</v>
      </c>
      <c r="AT242" t="s">
        <v>134</v>
      </c>
      <c r="AU242" t="s">
        <v>134</v>
      </c>
      <c r="AV242" t="s">
        <v>134</v>
      </c>
      <c r="AW242" t="s">
        <v>134</v>
      </c>
      <c r="AX242" t="s">
        <v>134</v>
      </c>
      <c r="AY242" t="s">
        <v>134</v>
      </c>
      <c r="AZ242" t="s">
        <v>134</v>
      </c>
      <c r="BA242" t="s">
        <v>134</v>
      </c>
      <c r="BB242" t="s">
        <v>134</v>
      </c>
      <c r="BC242" t="s">
        <v>134</v>
      </c>
      <c r="BD242" t="s">
        <v>134</v>
      </c>
      <c r="BE242" t="s">
        <v>134</v>
      </c>
      <c r="BF242">
        <v>28.2179</v>
      </c>
      <c r="BG242">
        <v>128.55500000000001</v>
      </c>
      <c r="BH242">
        <v>129.73490000000001</v>
      </c>
      <c r="BI242">
        <v>250.34979999999999</v>
      </c>
      <c r="BJ242">
        <v>249.39920000000001</v>
      </c>
      <c r="BK242" t="s">
        <v>134</v>
      </c>
      <c r="BL242" t="s">
        <v>134</v>
      </c>
      <c r="BM242" t="s">
        <v>134</v>
      </c>
      <c r="BN242" t="s">
        <v>134</v>
      </c>
      <c r="BO242" t="s">
        <v>134</v>
      </c>
      <c r="BP242" t="s">
        <v>134</v>
      </c>
      <c r="BQ242" t="s">
        <v>134</v>
      </c>
      <c r="BR242" t="s">
        <v>134</v>
      </c>
      <c r="BS242" t="s">
        <v>134</v>
      </c>
      <c r="BT242" t="s">
        <v>134</v>
      </c>
      <c r="BU242" t="s">
        <v>134</v>
      </c>
      <c r="BV242" t="s">
        <v>134</v>
      </c>
      <c r="BW242" t="s">
        <v>134</v>
      </c>
      <c r="BX242" t="s">
        <v>134</v>
      </c>
      <c r="BY242">
        <v>1015171</v>
      </c>
      <c r="BZ242">
        <v>277633.90000000002</v>
      </c>
      <c r="CA242">
        <v>737537.1</v>
      </c>
      <c r="CB242">
        <v>9.4370999999999992</v>
      </c>
      <c r="CC242">
        <v>8.1402999999999999</v>
      </c>
      <c r="CD242">
        <v>11.8393</v>
      </c>
      <c r="CE242">
        <v>10.212300000000001</v>
      </c>
      <c r="CF242">
        <v>6.2801</v>
      </c>
      <c r="CG242">
        <v>19.334900000000001</v>
      </c>
      <c r="CH242">
        <v>145.29740000000001</v>
      </c>
      <c r="CI242">
        <v>48.433700000000002</v>
      </c>
      <c r="CJ242">
        <v>32.415700000000001</v>
      </c>
      <c r="CK242">
        <v>199.9923</v>
      </c>
      <c r="CL242">
        <v>66.665800000000004</v>
      </c>
      <c r="CM242">
        <v>44.618099999999998</v>
      </c>
      <c r="CN242">
        <v>172.5094</v>
      </c>
      <c r="CO242">
        <v>63.304000000000002</v>
      </c>
      <c r="CP242">
        <v>48591.7</v>
      </c>
      <c r="CQ242" t="s">
        <v>134</v>
      </c>
      <c r="CR242">
        <v>40389</v>
      </c>
      <c r="CS242">
        <v>0.15609999999999999</v>
      </c>
      <c r="CT242">
        <v>1.1801999999999999</v>
      </c>
      <c r="CU242">
        <v>0.55889999999999995</v>
      </c>
      <c r="CV242">
        <v>1.5702</v>
      </c>
      <c r="CW242">
        <v>3.0644</v>
      </c>
      <c r="CX242">
        <v>119.4376</v>
      </c>
      <c r="CY242">
        <v>3.9060999999999999</v>
      </c>
      <c r="CZ242">
        <v>93.700500000000005</v>
      </c>
      <c r="DA242">
        <v>0.81559999999999999</v>
      </c>
      <c r="DB242">
        <v>448.77080000000001</v>
      </c>
      <c r="DC242">
        <v>-235.6327</v>
      </c>
      <c r="DD242">
        <v>213.13810000000001</v>
      </c>
      <c r="DE242">
        <v>53619.5</v>
      </c>
      <c r="DF242">
        <v>19067.7</v>
      </c>
      <c r="DG242">
        <v>9125.5</v>
      </c>
      <c r="DH242">
        <v>6540.5</v>
      </c>
      <c r="DI242">
        <v>18885.8</v>
      </c>
    </row>
    <row r="243" spans="1:113" x14ac:dyDescent="0.3">
      <c r="D243" t="s">
        <v>10</v>
      </c>
      <c r="E243" t="s">
        <v>3</v>
      </c>
      <c r="F243">
        <v>12.7996</v>
      </c>
      <c r="G243">
        <v>2.9702000000000002</v>
      </c>
      <c r="H243">
        <v>5.2797999999999998</v>
      </c>
      <c r="I243">
        <v>5.9215999999999998</v>
      </c>
      <c r="J243">
        <v>10.287599999999999</v>
      </c>
      <c r="K243">
        <v>8.0858000000000008</v>
      </c>
      <c r="L243">
        <v>0.43280000000000002</v>
      </c>
      <c r="M243">
        <v>8.2568000000000001</v>
      </c>
      <c r="N243">
        <v>6.0254000000000003</v>
      </c>
      <c r="O243">
        <v>5.6126000000000005</v>
      </c>
      <c r="P243">
        <v>5.6126000000000005</v>
      </c>
      <c r="Q243">
        <v>22.577999999999999</v>
      </c>
      <c r="R243">
        <v>30.502199999999998</v>
      </c>
      <c r="S243">
        <v>8.8955000000000002</v>
      </c>
      <c r="T243">
        <v>7.6010999999999997</v>
      </c>
      <c r="U243">
        <v>5.8917999999999999</v>
      </c>
      <c r="V243">
        <v>0.37959999999999999</v>
      </c>
      <c r="W243">
        <v>42.721499999999999</v>
      </c>
      <c r="X243">
        <v>42.655200000000001</v>
      </c>
      <c r="Y243">
        <v>15.0685</v>
      </c>
      <c r="Z243">
        <v>7.4721000000000002</v>
      </c>
      <c r="AA243">
        <v>-14.7186</v>
      </c>
      <c r="AB243">
        <v>-4.3103999999999996</v>
      </c>
      <c r="AC243">
        <v>8.9015000000000004</v>
      </c>
      <c r="AD243">
        <v>-39.749400000000001</v>
      </c>
      <c r="AE243">
        <v>43.579300000000003</v>
      </c>
      <c r="AF243">
        <v>10.2605</v>
      </c>
      <c r="AG243">
        <v>-1.0254000000000001</v>
      </c>
      <c r="AH243">
        <v>6.6269999999999998</v>
      </c>
      <c r="AI243">
        <v>14.2479</v>
      </c>
      <c r="AJ243">
        <v>9.2802000000000007</v>
      </c>
      <c r="AK243">
        <v>13.481400000000001</v>
      </c>
      <c r="AL243" t="s">
        <v>134</v>
      </c>
      <c r="AM243">
        <v>11.050700000000001</v>
      </c>
      <c r="AN243">
        <v>3.5249999999999999</v>
      </c>
      <c r="AO243">
        <v>2.3954</v>
      </c>
      <c r="AP243">
        <v>5.1772999999999998</v>
      </c>
      <c r="AQ243">
        <v>4.9503000000000004</v>
      </c>
      <c r="AR243">
        <v>13.806000000000001</v>
      </c>
      <c r="AS243">
        <v>6.2548000000000004</v>
      </c>
      <c r="AT243">
        <v>-0.42180000000000001</v>
      </c>
      <c r="AU243">
        <v>-9.6341999999999999</v>
      </c>
      <c r="AV243">
        <v>12.190300000000001</v>
      </c>
      <c r="AW243">
        <v>-20.767499999999998</v>
      </c>
      <c r="AX243">
        <v>12.0535</v>
      </c>
      <c r="AY243">
        <v>11.340199999999999</v>
      </c>
      <c r="AZ243">
        <v>19.439599999999999</v>
      </c>
      <c r="BA243">
        <v>14.5662</v>
      </c>
      <c r="BB243">
        <v>11.547499999999999</v>
      </c>
      <c r="BC243">
        <v>13.4108</v>
      </c>
      <c r="BD243">
        <v>10.966200000000001</v>
      </c>
      <c r="BE243" t="s">
        <v>134</v>
      </c>
      <c r="BF243">
        <v>7.6010999999999997</v>
      </c>
      <c r="BG243">
        <v>5.8917999999999999</v>
      </c>
      <c r="BH243">
        <v>0.37959999999999999</v>
      </c>
      <c r="BI243">
        <v>42.721499999999999</v>
      </c>
      <c r="BJ243">
        <v>42.655200000000001</v>
      </c>
      <c r="BK243">
        <v>15.0685</v>
      </c>
      <c r="BL243">
        <v>7.4721000000000002</v>
      </c>
      <c r="BM243">
        <v>-14.7186</v>
      </c>
      <c r="BN243">
        <v>-4.3103999999999996</v>
      </c>
      <c r="BO243">
        <v>8.9015000000000004</v>
      </c>
      <c r="BP243">
        <v>-39.749400000000001</v>
      </c>
      <c r="BQ243">
        <v>43.579300000000003</v>
      </c>
      <c r="BR243">
        <v>10.2605</v>
      </c>
      <c r="BS243">
        <v>-1.0254000000000001</v>
      </c>
      <c r="BT243">
        <v>6.6269999999999998</v>
      </c>
      <c r="BU243">
        <v>14.2479</v>
      </c>
      <c r="BV243">
        <v>9.2802000000000007</v>
      </c>
      <c r="BW243">
        <v>13.481400000000001</v>
      </c>
      <c r="BX243" t="s">
        <v>134</v>
      </c>
      <c r="BY243">
        <v>939762.7</v>
      </c>
      <c r="BZ243">
        <v>266356.90000000002</v>
      </c>
      <c r="CA243">
        <v>673405.8</v>
      </c>
      <c r="CB243">
        <v>8.4868000000000006</v>
      </c>
      <c r="CC243">
        <v>6.7416</v>
      </c>
      <c r="CD243">
        <v>10.797800000000001</v>
      </c>
      <c r="CE243">
        <v>8.5774000000000008</v>
      </c>
      <c r="CF243">
        <v>8.7079000000000004</v>
      </c>
      <c r="CG243">
        <v>23.680399999999999</v>
      </c>
      <c r="CH243">
        <v>125.2146</v>
      </c>
      <c r="CI243">
        <v>45.575400000000002</v>
      </c>
      <c r="CJ243">
        <v>31.755500000000001</v>
      </c>
      <c r="CK243">
        <v>174.74170000000001</v>
      </c>
      <c r="CL243">
        <v>63.602200000000003</v>
      </c>
      <c r="CM243">
        <v>44.316000000000003</v>
      </c>
      <c r="CN243">
        <v>138.80840000000001</v>
      </c>
      <c r="CO243">
        <v>58.125399999999999</v>
      </c>
      <c r="CP243">
        <v>110731.8</v>
      </c>
      <c r="CQ243">
        <v>80944.7</v>
      </c>
      <c r="CR243">
        <v>87032.5</v>
      </c>
      <c r="CS243">
        <v>0.21609999999999999</v>
      </c>
      <c r="CT243">
        <v>1.3597000000000001</v>
      </c>
      <c r="CU243">
        <v>0.52880000000000005</v>
      </c>
      <c r="CV243">
        <v>1.7185999999999999</v>
      </c>
      <c r="CW243">
        <v>3.9868999999999999</v>
      </c>
      <c r="CX243">
        <v>91.549000000000007</v>
      </c>
      <c r="CY243">
        <v>8.1530000000000005</v>
      </c>
      <c r="CZ243">
        <v>44.768700000000003</v>
      </c>
      <c r="DA243">
        <v>1.2663</v>
      </c>
      <c r="DB243">
        <v>288.23649999999998</v>
      </c>
      <c r="DC243">
        <v>-151.9188</v>
      </c>
      <c r="DD243">
        <v>136.3177</v>
      </c>
      <c r="DE243">
        <v>41397.4</v>
      </c>
      <c r="DF243">
        <v>12587.8</v>
      </c>
      <c r="DG243">
        <v>8283.6</v>
      </c>
      <c r="DH243">
        <v>5294.1</v>
      </c>
      <c r="DI243">
        <v>15231.9</v>
      </c>
    </row>
    <row r="244" spans="1:113" x14ac:dyDescent="0.3">
      <c r="E244" t="s">
        <v>4</v>
      </c>
      <c r="F244" t="s">
        <v>134</v>
      </c>
      <c r="G244" t="s">
        <v>134</v>
      </c>
      <c r="H244" t="s">
        <v>134</v>
      </c>
      <c r="I244" t="s">
        <v>134</v>
      </c>
      <c r="J244">
        <v>8.7713000000000001</v>
      </c>
      <c r="K244">
        <v>6.6312999999999995</v>
      </c>
      <c r="L244">
        <v>14.302099999999999</v>
      </c>
      <c r="M244">
        <v>6.4699</v>
      </c>
      <c r="N244">
        <v>3.1438999999999999</v>
      </c>
      <c r="O244">
        <v>2.8068</v>
      </c>
      <c r="P244">
        <v>2.8068</v>
      </c>
      <c r="Q244">
        <v>39.055799999999998</v>
      </c>
      <c r="R244" t="s">
        <v>134</v>
      </c>
      <c r="S244" t="s">
        <v>134</v>
      </c>
      <c r="T244">
        <v>9.327</v>
      </c>
      <c r="U244">
        <v>16.084099999999999</v>
      </c>
      <c r="V244">
        <v>22.5488</v>
      </c>
      <c r="W244">
        <v>45.510100000000001</v>
      </c>
      <c r="X244">
        <v>45.535699999999999</v>
      </c>
      <c r="Y244" t="s">
        <v>134</v>
      </c>
      <c r="Z244" t="s">
        <v>134</v>
      </c>
      <c r="AA244" t="s">
        <v>134</v>
      </c>
      <c r="AB244" t="s">
        <v>134</v>
      </c>
      <c r="AC244" t="s">
        <v>134</v>
      </c>
      <c r="AD244" t="s">
        <v>134</v>
      </c>
      <c r="AE244" t="s">
        <v>134</v>
      </c>
      <c r="AF244" t="s">
        <v>134</v>
      </c>
      <c r="AG244" t="s">
        <v>134</v>
      </c>
      <c r="AH244" t="s">
        <v>134</v>
      </c>
      <c r="AI244" t="s">
        <v>134</v>
      </c>
      <c r="AJ244" t="s">
        <v>134</v>
      </c>
      <c r="AK244" t="s">
        <v>134</v>
      </c>
      <c r="AL244" t="s">
        <v>134</v>
      </c>
      <c r="AM244" t="s">
        <v>134</v>
      </c>
      <c r="AN244" t="s">
        <v>134</v>
      </c>
      <c r="AO244" t="s">
        <v>134</v>
      </c>
      <c r="AP244" t="s">
        <v>134</v>
      </c>
      <c r="AQ244" t="s">
        <v>134</v>
      </c>
      <c r="AR244" t="s">
        <v>134</v>
      </c>
      <c r="AS244" t="s">
        <v>134</v>
      </c>
      <c r="AT244" t="s">
        <v>134</v>
      </c>
      <c r="AU244" t="s">
        <v>134</v>
      </c>
      <c r="AV244" t="s">
        <v>134</v>
      </c>
      <c r="AW244" t="s">
        <v>134</v>
      </c>
      <c r="AX244" t="s">
        <v>134</v>
      </c>
      <c r="AY244" t="s">
        <v>134</v>
      </c>
      <c r="AZ244" t="s">
        <v>134</v>
      </c>
      <c r="BA244" t="s">
        <v>134</v>
      </c>
      <c r="BB244" t="s">
        <v>134</v>
      </c>
      <c r="BC244" t="s">
        <v>134</v>
      </c>
      <c r="BD244" t="s">
        <v>134</v>
      </c>
      <c r="BE244" t="s">
        <v>134</v>
      </c>
      <c r="BF244">
        <v>-33.936799999999998</v>
      </c>
      <c r="BG244">
        <v>-57.616700000000002</v>
      </c>
      <c r="BH244">
        <v>-64.616600000000005</v>
      </c>
      <c r="BI244">
        <v>-73.895200000000003</v>
      </c>
      <c r="BJ244">
        <v>-73.8887</v>
      </c>
      <c r="BK244" t="s">
        <v>134</v>
      </c>
      <c r="BL244" t="s">
        <v>134</v>
      </c>
      <c r="BM244" t="s">
        <v>134</v>
      </c>
      <c r="BN244" t="s">
        <v>134</v>
      </c>
      <c r="BO244" t="s">
        <v>134</v>
      </c>
      <c r="BP244" t="s">
        <v>134</v>
      </c>
      <c r="BQ244" t="s">
        <v>134</v>
      </c>
      <c r="BR244" t="s">
        <v>134</v>
      </c>
      <c r="BS244" t="s">
        <v>134</v>
      </c>
      <c r="BT244" t="s">
        <v>134</v>
      </c>
      <c r="BU244" t="s">
        <v>134</v>
      </c>
      <c r="BV244" t="s">
        <v>134</v>
      </c>
      <c r="BW244" t="s">
        <v>134</v>
      </c>
      <c r="BX244" t="s">
        <v>134</v>
      </c>
      <c r="BY244" t="s">
        <v>134</v>
      </c>
      <c r="BZ244" t="s">
        <v>134</v>
      </c>
      <c r="CA244" t="s">
        <v>134</v>
      </c>
      <c r="CB244" t="s">
        <v>134</v>
      </c>
      <c r="CC244" t="s">
        <v>134</v>
      </c>
      <c r="CD244" t="s">
        <v>134</v>
      </c>
      <c r="CE244" t="s">
        <v>134</v>
      </c>
      <c r="CF244">
        <v>5.6448</v>
      </c>
      <c r="CG244" t="s">
        <v>134</v>
      </c>
      <c r="CH244" t="s">
        <v>134</v>
      </c>
      <c r="CI244" t="s">
        <v>134</v>
      </c>
      <c r="CJ244" t="s">
        <v>134</v>
      </c>
      <c r="CK244" t="s">
        <v>134</v>
      </c>
      <c r="CL244" t="s">
        <v>134</v>
      </c>
      <c r="CM244" t="s">
        <v>134</v>
      </c>
      <c r="CN244" t="s">
        <v>134</v>
      </c>
      <c r="CO244" t="s">
        <v>134</v>
      </c>
      <c r="CP244">
        <v>19050.099999999999</v>
      </c>
      <c r="CQ244" t="s">
        <v>134</v>
      </c>
      <c r="CR244">
        <v>14402.3</v>
      </c>
      <c r="CS244" t="s">
        <v>134</v>
      </c>
      <c r="CT244" t="s">
        <v>134</v>
      </c>
      <c r="CU244" t="s">
        <v>134</v>
      </c>
      <c r="CV244" t="s">
        <v>134</v>
      </c>
      <c r="CW244" t="s">
        <v>134</v>
      </c>
      <c r="CX244" t="s">
        <v>134</v>
      </c>
      <c r="CY244" t="s">
        <v>134</v>
      </c>
      <c r="CZ244" t="s">
        <v>134</v>
      </c>
      <c r="DA244" t="s">
        <v>134</v>
      </c>
      <c r="DB244" t="s">
        <v>134</v>
      </c>
      <c r="DC244" t="s">
        <v>134</v>
      </c>
      <c r="DD244" t="s">
        <v>134</v>
      </c>
      <c r="DE244" t="s">
        <v>134</v>
      </c>
      <c r="DF244" t="s">
        <v>134</v>
      </c>
      <c r="DG244" t="s">
        <v>134</v>
      </c>
      <c r="DH244" t="s">
        <v>134</v>
      </c>
      <c r="DI244" t="s">
        <v>134</v>
      </c>
    </row>
    <row r="245" spans="1:113" x14ac:dyDescent="0.3">
      <c r="E245" t="s">
        <v>5</v>
      </c>
      <c r="F245">
        <v>11.4893</v>
      </c>
      <c r="G245">
        <v>2.4626999999999999</v>
      </c>
      <c r="H245">
        <v>4.5696000000000003</v>
      </c>
      <c r="I245">
        <v>3.7789000000000001</v>
      </c>
      <c r="J245">
        <v>9.2187999999999999</v>
      </c>
      <c r="K245">
        <v>7.3726000000000003</v>
      </c>
      <c r="L245">
        <v>12.073</v>
      </c>
      <c r="M245">
        <v>9.5070999999999994</v>
      </c>
      <c r="N245">
        <v>6.1472999999999995</v>
      </c>
      <c r="O245">
        <v>5.7560000000000002</v>
      </c>
      <c r="P245">
        <v>5.7560000000000002</v>
      </c>
      <c r="Q245">
        <v>28.727399999999999</v>
      </c>
      <c r="R245" t="s">
        <v>134</v>
      </c>
      <c r="S245" t="s">
        <v>134</v>
      </c>
      <c r="T245">
        <v>8.4759999999999991</v>
      </c>
      <c r="U245">
        <v>7.8236999999999997</v>
      </c>
      <c r="V245">
        <v>14.672800000000001</v>
      </c>
      <c r="W245">
        <v>84.312100000000001</v>
      </c>
      <c r="X245">
        <v>84.375</v>
      </c>
      <c r="Y245" t="s">
        <v>134</v>
      </c>
      <c r="Z245">
        <v>-16.9511</v>
      </c>
      <c r="AA245">
        <v>-26.483599999999999</v>
      </c>
      <c r="AB245">
        <v>-76.745099999999994</v>
      </c>
      <c r="AC245">
        <v>-7.5060000000000002</v>
      </c>
      <c r="AD245">
        <v>-51.4405</v>
      </c>
      <c r="AE245">
        <v>23.128799999999998</v>
      </c>
      <c r="AF245">
        <v>-0.54549999999999998</v>
      </c>
      <c r="AG245">
        <v>-2.4596</v>
      </c>
      <c r="AH245">
        <v>-7.6004000000000005</v>
      </c>
      <c r="AI245">
        <v>2.4510999999999998</v>
      </c>
      <c r="AJ245">
        <v>-4.2910000000000004</v>
      </c>
      <c r="AK245">
        <v>9.4133999999999993</v>
      </c>
      <c r="AL245" t="s">
        <v>134</v>
      </c>
      <c r="AM245" t="s">
        <v>134</v>
      </c>
      <c r="AN245" t="s">
        <v>134</v>
      </c>
      <c r="AO245" t="s">
        <v>134</v>
      </c>
      <c r="AP245" t="s">
        <v>134</v>
      </c>
      <c r="AQ245" t="s">
        <v>134</v>
      </c>
      <c r="AR245" t="s">
        <v>134</v>
      </c>
      <c r="AS245" t="s">
        <v>134</v>
      </c>
      <c r="AT245" t="s">
        <v>134</v>
      </c>
      <c r="AU245" t="s">
        <v>134</v>
      </c>
      <c r="AV245" t="s">
        <v>134</v>
      </c>
      <c r="AW245" t="s">
        <v>134</v>
      </c>
      <c r="AX245" t="s">
        <v>134</v>
      </c>
      <c r="AY245" t="s">
        <v>134</v>
      </c>
      <c r="AZ245" t="s">
        <v>134</v>
      </c>
      <c r="BA245" t="s">
        <v>134</v>
      </c>
      <c r="BB245" t="s">
        <v>134</v>
      </c>
      <c r="BC245" t="s">
        <v>134</v>
      </c>
      <c r="BD245" t="s">
        <v>134</v>
      </c>
      <c r="BE245" t="s">
        <v>134</v>
      </c>
      <c r="BF245">
        <v>14.716799999999999</v>
      </c>
      <c r="BG245">
        <v>21.635899999999999</v>
      </c>
      <c r="BH245">
        <v>29.021699999999999</v>
      </c>
      <c r="BI245">
        <v>135.33959999999999</v>
      </c>
      <c r="BJ245">
        <v>134.52889999999999</v>
      </c>
      <c r="BK245" t="s">
        <v>134</v>
      </c>
      <c r="BL245" t="s">
        <v>134</v>
      </c>
      <c r="BM245" t="s">
        <v>134</v>
      </c>
      <c r="BN245" t="s">
        <v>134</v>
      </c>
      <c r="BO245" t="s">
        <v>134</v>
      </c>
      <c r="BP245" t="s">
        <v>134</v>
      </c>
      <c r="BQ245" t="s">
        <v>134</v>
      </c>
      <c r="BR245" t="s">
        <v>134</v>
      </c>
      <c r="BS245" t="s">
        <v>134</v>
      </c>
      <c r="BT245" t="s">
        <v>134</v>
      </c>
      <c r="BU245" t="s">
        <v>134</v>
      </c>
      <c r="BV245" t="s">
        <v>134</v>
      </c>
      <c r="BW245" t="s">
        <v>134</v>
      </c>
      <c r="BX245" t="s">
        <v>134</v>
      </c>
      <c r="BY245">
        <v>907964.5</v>
      </c>
      <c r="BZ245">
        <v>292921</v>
      </c>
      <c r="CA245">
        <v>615043.5</v>
      </c>
      <c r="CB245">
        <v>8.4012999999999991</v>
      </c>
      <c r="CC245">
        <v>7.0004999999999997</v>
      </c>
      <c r="CD245">
        <v>9.9884000000000004</v>
      </c>
      <c r="CE245">
        <v>8.3230000000000004</v>
      </c>
      <c r="CF245">
        <v>6.5335000000000001</v>
      </c>
      <c r="CG245">
        <v>23.326899999999998</v>
      </c>
      <c r="CH245">
        <v>124.4636</v>
      </c>
      <c r="CI245">
        <v>43.865299999999998</v>
      </c>
      <c r="CJ245">
        <v>31.026900000000001</v>
      </c>
      <c r="CK245">
        <v>183.7407</v>
      </c>
      <c r="CL245">
        <v>64.756600000000006</v>
      </c>
      <c r="CM245">
        <v>45.803899999999999</v>
      </c>
      <c r="CN245">
        <v>153.10489999999999</v>
      </c>
      <c r="CO245">
        <v>60.490699999999997</v>
      </c>
      <c r="CP245">
        <v>22976.9</v>
      </c>
      <c r="CQ245" t="s">
        <v>134</v>
      </c>
      <c r="CR245">
        <v>18375.400000000001</v>
      </c>
      <c r="CS245">
        <v>0.17660000000000001</v>
      </c>
      <c r="CT245">
        <v>1.2298</v>
      </c>
      <c r="CU245">
        <v>0.47670000000000001</v>
      </c>
      <c r="CV245">
        <v>1.766</v>
      </c>
      <c r="CW245">
        <v>3.7082999999999999</v>
      </c>
      <c r="CX245">
        <v>98.696200000000005</v>
      </c>
      <c r="CY245">
        <v>6.5833000000000004</v>
      </c>
      <c r="CZ245">
        <v>55.595399999999998</v>
      </c>
      <c r="DA245">
        <v>1.3648</v>
      </c>
      <c r="DB245">
        <v>268.17540000000002</v>
      </c>
      <c r="DC245">
        <v>-113.8837</v>
      </c>
      <c r="DD245">
        <v>154.29159999999999</v>
      </c>
      <c r="DE245">
        <v>43940.3</v>
      </c>
      <c r="DF245" t="s">
        <v>134</v>
      </c>
      <c r="DG245" t="s">
        <v>134</v>
      </c>
      <c r="DH245" t="s">
        <v>134</v>
      </c>
      <c r="DI245" t="s">
        <v>134</v>
      </c>
    </row>
    <row r="246" spans="1:113" x14ac:dyDescent="0.3">
      <c r="E246" t="s">
        <v>6</v>
      </c>
      <c r="F246" t="s">
        <v>134</v>
      </c>
      <c r="G246" t="s">
        <v>134</v>
      </c>
      <c r="H246" t="s">
        <v>134</v>
      </c>
      <c r="I246" t="s">
        <v>134</v>
      </c>
      <c r="J246">
        <v>9.6959</v>
      </c>
      <c r="K246">
        <v>6.9198000000000004</v>
      </c>
      <c r="L246">
        <v>9.9122000000000003</v>
      </c>
      <c r="M246">
        <v>6.4512</v>
      </c>
      <c r="N246">
        <v>4.1901999999999999</v>
      </c>
      <c r="O246">
        <v>3.7377000000000002</v>
      </c>
      <c r="P246">
        <v>3.7377000000000002</v>
      </c>
      <c r="Q246">
        <v>26.205400000000001</v>
      </c>
      <c r="R246" t="s">
        <v>134</v>
      </c>
      <c r="S246" t="s">
        <v>134</v>
      </c>
      <c r="T246">
        <v>1.6691</v>
      </c>
      <c r="U246">
        <v>18.6572</v>
      </c>
      <c r="V246">
        <v>2.4083000000000001</v>
      </c>
      <c r="W246">
        <v>38.8568</v>
      </c>
      <c r="X246">
        <v>38.851799999999997</v>
      </c>
      <c r="Y246" t="s">
        <v>134</v>
      </c>
      <c r="Z246" t="s">
        <v>134</v>
      </c>
      <c r="AA246" t="s">
        <v>134</v>
      </c>
      <c r="AB246" t="s">
        <v>134</v>
      </c>
      <c r="AC246" t="s">
        <v>134</v>
      </c>
      <c r="AD246" t="s">
        <v>134</v>
      </c>
      <c r="AE246" t="s">
        <v>134</v>
      </c>
      <c r="AF246" t="s">
        <v>134</v>
      </c>
      <c r="AG246" t="s">
        <v>134</v>
      </c>
      <c r="AH246" t="s">
        <v>134</v>
      </c>
      <c r="AI246" t="s">
        <v>134</v>
      </c>
      <c r="AJ246" t="s">
        <v>134</v>
      </c>
      <c r="AK246" t="s">
        <v>134</v>
      </c>
      <c r="AL246" t="s">
        <v>134</v>
      </c>
      <c r="AM246" t="s">
        <v>134</v>
      </c>
      <c r="AN246" t="s">
        <v>134</v>
      </c>
      <c r="AO246" t="s">
        <v>134</v>
      </c>
      <c r="AP246" t="s">
        <v>134</v>
      </c>
      <c r="AQ246" t="s">
        <v>134</v>
      </c>
      <c r="AR246" t="s">
        <v>134</v>
      </c>
      <c r="AS246" t="s">
        <v>134</v>
      </c>
      <c r="AT246" t="s">
        <v>134</v>
      </c>
      <c r="AU246" t="s">
        <v>134</v>
      </c>
      <c r="AV246" t="s">
        <v>134</v>
      </c>
      <c r="AW246" t="s">
        <v>134</v>
      </c>
      <c r="AX246" t="s">
        <v>134</v>
      </c>
      <c r="AY246" t="s">
        <v>134</v>
      </c>
      <c r="AZ246" t="s">
        <v>134</v>
      </c>
      <c r="BA246" t="s">
        <v>134</v>
      </c>
      <c r="BB246" t="s">
        <v>134</v>
      </c>
      <c r="BC246" t="s">
        <v>134</v>
      </c>
      <c r="BD246" t="s">
        <v>134</v>
      </c>
      <c r="BE246" t="s">
        <v>134</v>
      </c>
      <c r="BF246">
        <v>4.6748000000000003</v>
      </c>
      <c r="BG246">
        <v>-31.2636</v>
      </c>
      <c r="BH246">
        <v>-43.911799999999999</v>
      </c>
      <c r="BI246">
        <v>-32.214599999999997</v>
      </c>
      <c r="BJ246">
        <v>-32.400700000000001</v>
      </c>
      <c r="BK246" t="s">
        <v>134</v>
      </c>
      <c r="BL246" t="s">
        <v>134</v>
      </c>
      <c r="BM246" t="s">
        <v>134</v>
      </c>
      <c r="BN246" t="s">
        <v>134</v>
      </c>
      <c r="BO246" t="s">
        <v>134</v>
      </c>
      <c r="BP246" t="s">
        <v>134</v>
      </c>
      <c r="BQ246" t="s">
        <v>134</v>
      </c>
      <c r="BR246" t="s">
        <v>134</v>
      </c>
      <c r="BS246" t="s">
        <v>134</v>
      </c>
      <c r="BT246" t="s">
        <v>134</v>
      </c>
      <c r="BU246" t="s">
        <v>134</v>
      </c>
      <c r="BV246" t="s">
        <v>134</v>
      </c>
      <c r="BW246" t="s">
        <v>134</v>
      </c>
      <c r="BX246" t="s">
        <v>134</v>
      </c>
      <c r="BY246" t="s">
        <v>134</v>
      </c>
      <c r="BZ246" t="s">
        <v>134</v>
      </c>
      <c r="CA246" t="s">
        <v>134</v>
      </c>
      <c r="CB246" t="s">
        <v>134</v>
      </c>
      <c r="CC246" t="s">
        <v>134</v>
      </c>
      <c r="CD246" t="s">
        <v>134</v>
      </c>
      <c r="CE246" t="s">
        <v>134</v>
      </c>
      <c r="CF246">
        <v>6.6601999999999997</v>
      </c>
      <c r="CG246" t="s">
        <v>134</v>
      </c>
      <c r="CH246" t="s">
        <v>134</v>
      </c>
      <c r="CI246" t="s">
        <v>134</v>
      </c>
      <c r="CJ246" t="s">
        <v>134</v>
      </c>
      <c r="CK246" t="s">
        <v>134</v>
      </c>
      <c r="CL246" t="s">
        <v>134</v>
      </c>
      <c r="CM246" t="s">
        <v>134</v>
      </c>
      <c r="CN246" t="s">
        <v>134</v>
      </c>
      <c r="CO246" t="s">
        <v>134</v>
      </c>
      <c r="CP246">
        <v>25227</v>
      </c>
      <c r="CQ246" t="s">
        <v>134</v>
      </c>
      <c r="CR246">
        <v>18004.099999999999</v>
      </c>
      <c r="CS246" t="s">
        <v>134</v>
      </c>
      <c r="CT246" t="s">
        <v>134</v>
      </c>
      <c r="CU246" t="s">
        <v>134</v>
      </c>
      <c r="CV246" t="s">
        <v>134</v>
      </c>
      <c r="CW246" t="s">
        <v>134</v>
      </c>
      <c r="CX246" t="s">
        <v>134</v>
      </c>
      <c r="CY246" t="s">
        <v>134</v>
      </c>
      <c r="CZ246" t="s">
        <v>134</v>
      </c>
      <c r="DA246" t="s">
        <v>134</v>
      </c>
      <c r="DB246" t="s">
        <v>134</v>
      </c>
      <c r="DC246" t="s">
        <v>134</v>
      </c>
      <c r="DD246" t="s">
        <v>134</v>
      </c>
      <c r="DE246" t="s">
        <v>134</v>
      </c>
      <c r="DF246" t="s">
        <v>134</v>
      </c>
      <c r="DG246" t="s">
        <v>134</v>
      </c>
      <c r="DH246" t="s">
        <v>134</v>
      </c>
      <c r="DI246" t="s">
        <v>134</v>
      </c>
    </row>
    <row r="247" spans="1:113" x14ac:dyDescent="0.3">
      <c r="E247" t="s">
        <v>7</v>
      </c>
      <c r="F247">
        <v>12.7997</v>
      </c>
      <c r="G247">
        <v>2.9702000000000002</v>
      </c>
      <c r="H247">
        <v>6.0587</v>
      </c>
      <c r="I247">
        <v>5.1311999999999998</v>
      </c>
      <c r="J247">
        <v>11.7712</v>
      </c>
      <c r="K247">
        <v>9.8087999999999997</v>
      </c>
      <c r="L247" t="s">
        <v>134</v>
      </c>
      <c r="M247">
        <v>9.3251000000000008</v>
      </c>
      <c r="N247">
        <v>8.6358999999999995</v>
      </c>
      <c r="O247">
        <v>8.2127999999999997</v>
      </c>
      <c r="P247">
        <v>8.2127999999999997</v>
      </c>
      <c r="Q247">
        <v>9.8193000000000001</v>
      </c>
      <c r="R247" t="s">
        <v>134</v>
      </c>
      <c r="S247" t="s">
        <v>134</v>
      </c>
      <c r="T247">
        <v>12.022600000000001</v>
      </c>
      <c r="U247">
        <v>-3.5512999999999999</v>
      </c>
      <c r="V247">
        <v>-11.251099999999999</v>
      </c>
      <c r="W247">
        <v>29.522500000000001</v>
      </c>
      <c r="X247">
        <v>28.4742</v>
      </c>
      <c r="Y247" t="s">
        <v>134</v>
      </c>
      <c r="Z247">
        <v>7.4721000000000002</v>
      </c>
      <c r="AA247">
        <v>-14.7186</v>
      </c>
      <c r="AB247">
        <v>-4.3103999999999996</v>
      </c>
      <c r="AC247">
        <v>8.9015000000000004</v>
      </c>
      <c r="AD247">
        <v>-39.749400000000001</v>
      </c>
      <c r="AE247">
        <v>43.579300000000003</v>
      </c>
      <c r="AF247">
        <v>10.2605</v>
      </c>
      <c r="AG247">
        <v>-1.0254000000000001</v>
      </c>
      <c r="AH247">
        <v>6.6269999999999998</v>
      </c>
      <c r="AI247">
        <v>14.2479</v>
      </c>
      <c r="AJ247">
        <v>9.2802000000000007</v>
      </c>
      <c r="AK247">
        <v>13.481400000000001</v>
      </c>
      <c r="AL247" t="s">
        <v>134</v>
      </c>
      <c r="AM247" t="s">
        <v>134</v>
      </c>
      <c r="AN247" t="s">
        <v>134</v>
      </c>
      <c r="AO247" t="s">
        <v>134</v>
      </c>
      <c r="AP247" t="s">
        <v>134</v>
      </c>
      <c r="AQ247" t="s">
        <v>134</v>
      </c>
      <c r="AR247" t="s">
        <v>134</v>
      </c>
      <c r="AS247" t="s">
        <v>134</v>
      </c>
      <c r="AT247" t="s">
        <v>134</v>
      </c>
      <c r="AU247" t="s">
        <v>134</v>
      </c>
      <c r="AV247" t="s">
        <v>134</v>
      </c>
      <c r="AW247" t="s">
        <v>134</v>
      </c>
      <c r="AX247" t="s">
        <v>134</v>
      </c>
      <c r="AY247" t="s">
        <v>134</v>
      </c>
      <c r="AZ247" t="s">
        <v>134</v>
      </c>
      <c r="BA247" t="s">
        <v>134</v>
      </c>
      <c r="BB247" t="s">
        <v>134</v>
      </c>
      <c r="BC247" t="s">
        <v>134</v>
      </c>
      <c r="BD247" t="s">
        <v>134</v>
      </c>
      <c r="BE247" t="s">
        <v>134</v>
      </c>
      <c r="BF247">
        <v>41.0473</v>
      </c>
      <c r="BG247">
        <v>73.042699999999996</v>
      </c>
      <c r="BH247">
        <v>102.6103</v>
      </c>
      <c r="BI247">
        <v>211.04589999999999</v>
      </c>
      <c r="BJ247">
        <v>362.91489999999999</v>
      </c>
      <c r="BK247" t="s">
        <v>134</v>
      </c>
      <c r="BL247" t="s">
        <v>134</v>
      </c>
      <c r="BM247" t="s">
        <v>134</v>
      </c>
      <c r="BN247" t="s">
        <v>134</v>
      </c>
      <c r="BO247" t="s">
        <v>134</v>
      </c>
      <c r="BP247" t="s">
        <v>134</v>
      </c>
      <c r="BQ247" t="s">
        <v>134</v>
      </c>
      <c r="BR247" t="s">
        <v>134</v>
      </c>
      <c r="BS247" t="s">
        <v>134</v>
      </c>
      <c r="BT247" t="s">
        <v>134</v>
      </c>
      <c r="BU247" t="s">
        <v>134</v>
      </c>
      <c r="BV247" t="s">
        <v>134</v>
      </c>
      <c r="BW247" t="s">
        <v>134</v>
      </c>
      <c r="BX247" t="s">
        <v>134</v>
      </c>
      <c r="BY247">
        <v>939762.7</v>
      </c>
      <c r="BZ247">
        <v>266356.90000000002</v>
      </c>
      <c r="CA247">
        <v>673405.8</v>
      </c>
      <c r="CB247">
        <v>7.5791000000000004</v>
      </c>
      <c r="CC247">
        <v>6.0205000000000002</v>
      </c>
      <c r="CD247">
        <v>9.3699999999999992</v>
      </c>
      <c r="CE247">
        <v>7.4432</v>
      </c>
      <c r="CF247">
        <v>14.6145</v>
      </c>
      <c r="CG247">
        <v>23.680399999999999</v>
      </c>
      <c r="CH247">
        <v>125.2146</v>
      </c>
      <c r="CI247">
        <v>45.575400000000002</v>
      </c>
      <c r="CJ247">
        <v>31.755500000000001</v>
      </c>
      <c r="CK247">
        <v>174.74170000000001</v>
      </c>
      <c r="CL247">
        <v>63.602200000000003</v>
      </c>
      <c r="CM247">
        <v>44.316000000000003</v>
      </c>
      <c r="CN247">
        <v>138.80840000000001</v>
      </c>
      <c r="CO247">
        <v>58.125399999999999</v>
      </c>
      <c r="CP247">
        <v>43351</v>
      </c>
      <c r="CQ247" t="s">
        <v>134</v>
      </c>
      <c r="CR247">
        <v>36124</v>
      </c>
      <c r="CS247">
        <v>0.21609999999999999</v>
      </c>
      <c r="CT247">
        <v>1.3597000000000001</v>
      </c>
      <c r="CU247">
        <v>0.52880000000000005</v>
      </c>
      <c r="CV247">
        <v>1.7185999999999999</v>
      </c>
      <c r="CW247">
        <v>4.0567000000000002</v>
      </c>
      <c r="CX247">
        <v>89.973699999999994</v>
      </c>
      <c r="CY247">
        <v>8.2750000000000004</v>
      </c>
      <c r="CZ247">
        <v>44.108800000000002</v>
      </c>
      <c r="DA247">
        <v>1.2856000000000001</v>
      </c>
      <c r="DB247">
        <v>283.90519999999998</v>
      </c>
      <c r="DC247">
        <v>-149.8227</v>
      </c>
      <c r="DD247">
        <v>134.08250000000001</v>
      </c>
      <c r="DE247">
        <v>41397.4</v>
      </c>
      <c r="DF247">
        <v>12587.8</v>
      </c>
      <c r="DG247">
        <v>8283.6</v>
      </c>
      <c r="DH247">
        <v>5294.1</v>
      </c>
      <c r="DI247">
        <v>15231.9</v>
      </c>
    </row>
    <row r="248" spans="1:113" x14ac:dyDescent="0.3">
      <c r="D248" t="s">
        <v>11</v>
      </c>
      <c r="E248" t="s">
        <v>3</v>
      </c>
      <c r="F248">
        <v>13.922000000000001</v>
      </c>
      <c r="G248">
        <v>3.2237</v>
      </c>
      <c r="H248">
        <v>8.5078999999999994</v>
      </c>
      <c r="I248">
        <v>9.1248000000000005</v>
      </c>
      <c r="J248">
        <v>16.615600000000001</v>
      </c>
      <c r="K248">
        <v>14.979800000000001</v>
      </c>
      <c r="L248">
        <v>87.221800000000002</v>
      </c>
      <c r="M248">
        <v>9.8713999999999995</v>
      </c>
      <c r="N248">
        <v>6.7887000000000004</v>
      </c>
      <c r="O248">
        <v>6.2504999999999997</v>
      </c>
      <c r="P248">
        <v>6.2504999999999997</v>
      </c>
      <c r="Q248">
        <v>27.483699999999999</v>
      </c>
      <c r="R248">
        <v>30.919</v>
      </c>
      <c r="S248">
        <v>9.6174999999999997</v>
      </c>
      <c r="T248">
        <v>9.5428999999999995</v>
      </c>
      <c r="U248">
        <v>76.924099999999996</v>
      </c>
      <c r="V248">
        <v>102.9402</v>
      </c>
      <c r="W248">
        <v>21.992699999999999</v>
      </c>
      <c r="X248">
        <v>21.918500000000002</v>
      </c>
      <c r="Y248">
        <v>14.2857</v>
      </c>
      <c r="Z248">
        <v>20.792300000000001</v>
      </c>
      <c r="AA248">
        <v>17.103999999999999</v>
      </c>
      <c r="AB248">
        <v>-2.9790999999999999</v>
      </c>
      <c r="AC248">
        <v>15.4923</v>
      </c>
      <c r="AD248">
        <v>-32.635300000000001</v>
      </c>
      <c r="AE248">
        <v>-16.558599999999998</v>
      </c>
      <c r="AF248">
        <v>24.757000000000001</v>
      </c>
      <c r="AG248">
        <v>30.044899999999998</v>
      </c>
      <c r="AH248">
        <v>14.4434</v>
      </c>
      <c r="AI248">
        <v>13.949199999999999</v>
      </c>
      <c r="AJ248">
        <v>14.263500000000001</v>
      </c>
      <c r="AK248">
        <v>10.6821</v>
      </c>
      <c r="AL248" t="s">
        <v>134</v>
      </c>
      <c r="AM248">
        <v>9.7652999999999999</v>
      </c>
      <c r="AN248">
        <v>13.729200000000001</v>
      </c>
      <c r="AO248">
        <v>15.321400000000001</v>
      </c>
      <c r="AP248">
        <v>7.2004000000000001</v>
      </c>
      <c r="AQ248">
        <v>7.0267999999999997</v>
      </c>
      <c r="AR248">
        <v>14.242100000000001</v>
      </c>
      <c r="AS248">
        <v>8.5332000000000008</v>
      </c>
      <c r="AT248">
        <v>-1.2766</v>
      </c>
      <c r="AU248">
        <v>-12.465299999999999</v>
      </c>
      <c r="AV248">
        <v>11.3553</v>
      </c>
      <c r="AW248">
        <v>-29.960100000000001</v>
      </c>
      <c r="AX248">
        <v>4.3436000000000003</v>
      </c>
      <c r="AY248">
        <v>15.924099999999999</v>
      </c>
      <c r="AZ248">
        <v>17.05</v>
      </c>
      <c r="BA248">
        <v>11.2332</v>
      </c>
      <c r="BB248">
        <v>10.911899999999999</v>
      </c>
      <c r="BC248">
        <v>11.1159</v>
      </c>
      <c r="BD248">
        <v>10.1851</v>
      </c>
      <c r="BE248" t="s">
        <v>134</v>
      </c>
      <c r="BF248">
        <v>9.5428999999999995</v>
      </c>
      <c r="BG248">
        <v>76.924099999999996</v>
      </c>
      <c r="BH248">
        <v>102.9402</v>
      </c>
      <c r="BI248">
        <v>21.992699999999999</v>
      </c>
      <c r="BJ248">
        <v>21.918500000000002</v>
      </c>
      <c r="BK248">
        <v>14.2857</v>
      </c>
      <c r="BL248">
        <v>20.792300000000001</v>
      </c>
      <c r="BM248">
        <v>17.103999999999999</v>
      </c>
      <c r="BN248">
        <v>-2.9790999999999999</v>
      </c>
      <c r="BO248">
        <v>15.4923</v>
      </c>
      <c r="BP248">
        <v>-32.635300000000001</v>
      </c>
      <c r="BQ248">
        <v>-16.558599999999998</v>
      </c>
      <c r="BR248">
        <v>24.757000000000001</v>
      </c>
      <c r="BS248">
        <v>30.044899999999998</v>
      </c>
      <c r="BT248">
        <v>14.4434</v>
      </c>
      <c r="BU248">
        <v>13.949199999999999</v>
      </c>
      <c r="BV248">
        <v>14.263500000000001</v>
      </c>
      <c r="BW248">
        <v>10.6821</v>
      </c>
      <c r="BX248">
        <v>-263.4692</v>
      </c>
      <c r="BY248">
        <v>1075240.8</v>
      </c>
      <c r="BZ248">
        <v>346093.2</v>
      </c>
      <c r="CA248">
        <v>729147.6</v>
      </c>
      <c r="CB248">
        <v>5.4884000000000004</v>
      </c>
      <c r="CC248">
        <v>4.5990000000000002</v>
      </c>
      <c r="CD248">
        <v>6.0876999999999999</v>
      </c>
      <c r="CE248">
        <v>5.1012000000000004</v>
      </c>
      <c r="CF248">
        <v>2.6015000000000001</v>
      </c>
      <c r="CG248">
        <v>22.712199999999999</v>
      </c>
      <c r="CH248">
        <v>118.9824</v>
      </c>
      <c r="CI248">
        <v>43.194400000000002</v>
      </c>
      <c r="CJ248">
        <v>29.7546</v>
      </c>
      <c r="CK248">
        <v>175.4579</v>
      </c>
      <c r="CL248">
        <v>63.696800000000003</v>
      </c>
      <c r="CM248">
        <v>43.877800000000001</v>
      </c>
      <c r="CN248">
        <v>147.0241</v>
      </c>
      <c r="CO248">
        <v>59.518099999999997</v>
      </c>
      <c r="CP248">
        <v>195911.2</v>
      </c>
      <c r="CQ248">
        <v>167139.5</v>
      </c>
      <c r="CR248">
        <v>176623.9</v>
      </c>
      <c r="CS248">
        <v>0.1595</v>
      </c>
      <c r="CT248">
        <v>1.2467999999999999</v>
      </c>
      <c r="CU248">
        <v>0.47660000000000002</v>
      </c>
      <c r="CV248">
        <v>1.7806999999999999</v>
      </c>
      <c r="CW248">
        <v>3.7227999999999999</v>
      </c>
      <c r="CX248">
        <v>98.043300000000002</v>
      </c>
      <c r="CY248">
        <v>9.0775000000000006</v>
      </c>
      <c r="CZ248">
        <v>40.209299999999999</v>
      </c>
      <c r="DA248">
        <v>1.2190000000000001</v>
      </c>
      <c r="DB248">
        <v>299.42950000000002</v>
      </c>
      <c r="DC248">
        <v>-161.17679999999999</v>
      </c>
      <c r="DD248">
        <v>138.2527</v>
      </c>
      <c r="DE248">
        <v>48478</v>
      </c>
      <c r="DF248">
        <v>12405.1</v>
      </c>
      <c r="DG248">
        <v>6302.7</v>
      </c>
      <c r="DH248">
        <v>4458.8</v>
      </c>
      <c r="DI248">
        <v>25311.4</v>
      </c>
    </row>
    <row r="249" spans="1:113" x14ac:dyDescent="0.3">
      <c r="E249" t="s">
        <v>4</v>
      </c>
      <c r="F249" t="s">
        <v>134</v>
      </c>
      <c r="G249" t="s">
        <v>134</v>
      </c>
      <c r="H249" t="s">
        <v>134</v>
      </c>
      <c r="I249" t="s">
        <v>134</v>
      </c>
      <c r="J249">
        <v>8.6378000000000004</v>
      </c>
      <c r="K249">
        <v>6.3225999999999996</v>
      </c>
      <c r="L249">
        <v>3.8980999999999999</v>
      </c>
      <c r="M249">
        <v>6.4057000000000004</v>
      </c>
      <c r="N249">
        <v>4.3186</v>
      </c>
      <c r="O249">
        <v>3.7484999999999999</v>
      </c>
      <c r="P249">
        <v>3.7484999999999999</v>
      </c>
      <c r="Q249">
        <v>30.1404</v>
      </c>
      <c r="R249" t="s">
        <v>134</v>
      </c>
      <c r="S249" t="s">
        <v>134</v>
      </c>
      <c r="T249">
        <v>9.5935000000000006</v>
      </c>
      <c r="U249">
        <v>8.8798999999999992</v>
      </c>
      <c r="V249">
        <v>5.7049000000000003</v>
      </c>
      <c r="W249">
        <v>46.414000000000001</v>
      </c>
      <c r="X249">
        <v>46.194400000000002</v>
      </c>
      <c r="Y249" t="s">
        <v>134</v>
      </c>
      <c r="Z249" t="s">
        <v>134</v>
      </c>
      <c r="AA249" t="s">
        <v>134</v>
      </c>
      <c r="AB249" t="s">
        <v>134</v>
      </c>
      <c r="AC249" t="s">
        <v>134</v>
      </c>
      <c r="AD249" t="s">
        <v>134</v>
      </c>
      <c r="AE249" t="s">
        <v>134</v>
      </c>
      <c r="AF249" t="s">
        <v>134</v>
      </c>
      <c r="AG249" t="s">
        <v>134</v>
      </c>
      <c r="AH249" t="s">
        <v>134</v>
      </c>
      <c r="AI249" t="s">
        <v>134</v>
      </c>
      <c r="AJ249" t="s">
        <v>134</v>
      </c>
      <c r="AK249" t="s">
        <v>134</v>
      </c>
      <c r="AL249" t="s">
        <v>134</v>
      </c>
      <c r="AM249" t="s">
        <v>134</v>
      </c>
      <c r="AN249" t="s">
        <v>134</v>
      </c>
      <c r="AO249" t="s">
        <v>134</v>
      </c>
      <c r="AP249" t="s">
        <v>134</v>
      </c>
      <c r="AQ249" t="s">
        <v>134</v>
      </c>
      <c r="AR249" t="s">
        <v>134</v>
      </c>
      <c r="AS249" t="s">
        <v>134</v>
      </c>
      <c r="AT249" t="s">
        <v>134</v>
      </c>
      <c r="AU249" t="s">
        <v>134</v>
      </c>
      <c r="AV249" t="s">
        <v>134</v>
      </c>
      <c r="AW249" t="s">
        <v>134</v>
      </c>
      <c r="AX249" t="s">
        <v>134</v>
      </c>
      <c r="AY249" t="s">
        <v>134</v>
      </c>
      <c r="AZ249" t="s">
        <v>134</v>
      </c>
      <c r="BA249" t="s">
        <v>134</v>
      </c>
      <c r="BB249" t="s">
        <v>134</v>
      </c>
      <c r="BC249" t="s">
        <v>134</v>
      </c>
      <c r="BD249" t="s">
        <v>134</v>
      </c>
      <c r="BE249" t="s">
        <v>134</v>
      </c>
      <c r="BF249">
        <v>-35.345799999999997</v>
      </c>
      <c r="BG249">
        <v>-52.5563</v>
      </c>
      <c r="BH249">
        <v>-58.325200000000002</v>
      </c>
      <c r="BI249">
        <v>-70.490700000000004</v>
      </c>
      <c r="BJ249">
        <v>-70.192499999999995</v>
      </c>
      <c r="BK249" t="s">
        <v>134</v>
      </c>
      <c r="BL249" t="s">
        <v>134</v>
      </c>
      <c r="BM249" t="s">
        <v>134</v>
      </c>
      <c r="BN249" t="s">
        <v>134</v>
      </c>
      <c r="BO249" t="s">
        <v>134</v>
      </c>
      <c r="BP249" t="s">
        <v>134</v>
      </c>
      <c r="BQ249" t="s">
        <v>134</v>
      </c>
      <c r="BR249" t="s">
        <v>134</v>
      </c>
      <c r="BS249" t="s">
        <v>134</v>
      </c>
      <c r="BT249" t="s">
        <v>134</v>
      </c>
      <c r="BU249" t="s">
        <v>134</v>
      </c>
      <c r="BV249" t="s">
        <v>134</v>
      </c>
      <c r="BW249" t="s">
        <v>134</v>
      </c>
      <c r="BX249" t="s">
        <v>134</v>
      </c>
      <c r="BY249" t="s">
        <v>134</v>
      </c>
      <c r="BZ249" t="s">
        <v>134</v>
      </c>
      <c r="CA249" t="s">
        <v>134</v>
      </c>
      <c r="CB249" t="s">
        <v>134</v>
      </c>
      <c r="CC249" t="s">
        <v>134</v>
      </c>
      <c r="CD249" t="s">
        <v>134</v>
      </c>
      <c r="CE249" t="s">
        <v>134</v>
      </c>
      <c r="CF249">
        <v>5.6341000000000001</v>
      </c>
      <c r="CG249" t="s">
        <v>134</v>
      </c>
      <c r="CH249" t="s">
        <v>134</v>
      </c>
      <c r="CI249" t="s">
        <v>134</v>
      </c>
      <c r="CJ249" t="s">
        <v>134</v>
      </c>
      <c r="CK249" t="s">
        <v>134</v>
      </c>
      <c r="CL249" t="s">
        <v>134</v>
      </c>
      <c r="CM249" t="s">
        <v>134</v>
      </c>
      <c r="CN249" t="s">
        <v>134</v>
      </c>
      <c r="CO249" t="s">
        <v>134</v>
      </c>
      <c r="CP249">
        <v>20567.3</v>
      </c>
      <c r="CQ249" t="s">
        <v>134</v>
      </c>
      <c r="CR249">
        <v>15054.6</v>
      </c>
      <c r="CS249" t="s">
        <v>134</v>
      </c>
      <c r="CT249" t="s">
        <v>134</v>
      </c>
      <c r="CU249" t="s">
        <v>134</v>
      </c>
      <c r="CV249" t="s">
        <v>134</v>
      </c>
      <c r="CW249" t="s">
        <v>134</v>
      </c>
      <c r="CX249" t="s">
        <v>134</v>
      </c>
      <c r="CY249" t="s">
        <v>134</v>
      </c>
      <c r="CZ249" t="s">
        <v>134</v>
      </c>
      <c r="DA249" t="s">
        <v>134</v>
      </c>
      <c r="DB249" t="s">
        <v>134</v>
      </c>
      <c r="DC249" t="s">
        <v>134</v>
      </c>
      <c r="DD249" t="s">
        <v>134</v>
      </c>
      <c r="DE249" t="s">
        <v>134</v>
      </c>
      <c r="DF249" t="s">
        <v>134</v>
      </c>
      <c r="DG249" t="s">
        <v>134</v>
      </c>
      <c r="DH249" t="s">
        <v>134</v>
      </c>
      <c r="DI249" t="s">
        <v>134</v>
      </c>
    </row>
    <row r="250" spans="1:113" x14ac:dyDescent="0.3">
      <c r="E250" t="s">
        <v>5</v>
      </c>
      <c r="F250">
        <v>13.824999999999999</v>
      </c>
      <c r="G250">
        <v>3.1734999999999998</v>
      </c>
      <c r="H250">
        <v>6.5152999999999999</v>
      </c>
      <c r="I250">
        <v>5.8281000000000001</v>
      </c>
      <c r="J250">
        <v>16.942699999999999</v>
      </c>
      <c r="K250">
        <v>15.3146</v>
      </c>
      <c r="L250">
        <v>52.826300000000003</v>
      </c>
      <c r="M250">
        <v>10.114599999999999</v>
      </c>
      <c r="N250">
        <v>7.6391</v>
      </c>
      <c r="O250">
        <v>6.8812999999999995</v>
      </c>
      <c r="P250">
        <v>6.8812999999999995</v>
      </c>
      <c r="Q250">
        <v>20.334399999999999</v>
      </c>
      <c r="R250" t="s">
        <v>134</v>
      </c>
      <c r="S250" t="s">
        <v>134</v>
      </c>
      <c r="T250">
        <v>6.3992000000000004</v>
      </c>
      <c r="U250">
        <v>22.088999999999999</v>
      </c>
      <c r="V250">
        <v>26.176300000000001</v>
      </c>
      <c r="W250">
        <v>26.8536</v>
      </c>
      <c r="X250">
        <v>26.358699999999999</v>
      </c>
      <c r="Y250" t="s">
        <v>134</v>
      </c>
      <c r="Z250">
        <v>13.641500000000001</v>
      </c>
      <c r="AA250">
        <v>8.6966000000000001</v>
      </c>
      <c r="AB250">
        <v>-6.0255999999999998</v>
      </c>
      <c r="AC250">
        <v>13.309900000000001</v>
      </c>
      <c r="AD250">
        <v>-10.9145</v>
      </c>
      <c r="AE250">
        <v>16.715499999999999</v>
      </c>
      <c r="AF250">
        <v>19.259399999999999</v>
      </c>
      <c r="AG250">
        <v>20.095800000000001</v>
      </c>
      <c r="AH250">
        <v>13.225899999999999</v>
      </c>
      <c r="AI250">
        <v>11.2536</v>
      </c>
      <c r="AJ250">
        <v>12.530799999999999</v>
      </c>
      <c r="AK250">
        <v>9.7477</v>
      </c>
      <c r="AL250" t="s">
        <v>134</v>
      </c>
      <c r="AM250" t="s">
        <v>134</v>
      </c>
      <c r="AN250" t="s">
        <v>134</v>
      </c>
      <c r="AO250" t="s">
        <v>134</v>
      </c>
      <c r="AP250" t="s">
        <v>134</v>
      </c>
      <c r="AQ250" t="s">
        <v>134</v>
      </c>
      <c r="AR250" t="s">
        <v>134</v>
      </c>
      <c r="AS250" t="s">
        <v>134</v>
      </c>
      <c r="AT250" t="s">
        <v>134</v>
      </c>
      <c r="AU250" t="s">
        <v>134</v>
      </c>
      <c r="AV250" t="s">
        <v>134</v>
      </c>
      <c r="AW250" t="s">
        <v>134</v>
      </c>
      <c r="AX250" t="s">
        <v>134</v>
      </c>
      <c r="AY250" t="s">
        <v>134</v>
      </c>
      <c r="AZ250" t="s">
        <v>134</v>
      </c>
      <c r="BA250" t="s">
        <v>134</v>
      </c>
      <c r="BB250" t="s">
        <v>134</v>
      </c>
      <c r="BC250" t="s">
        <v>134</v>
      </c>
      <c r="BD250" t="s">
        <v>134</v>
      </c>
      <c r="BE250" t="s">
        <v>134</v>
      </c>
      <c r="BF250">
        <v>11.0702</v>
      </c>
      <c r="BG250">
        <v>115.9224</v>
      </c>
      <c r="BH250">
        <v>165.7758</v>
      </c>
      <c r="BI250">
        <v>103.899</v>
      </c>
      <c r="BJ250">
        <v>103.29949999999999</v>
      </c>
      <c r="BK250" t="s">
        <v>134</v>
      </c>
      <c r="BL250" t="s">
        <v>134</v>
      </c>
      <c r="BM250" t="s">
        <v>134</v>
      </c>
      <c r="BN250" t="s">
        <v>134</v>
      </c>
      <c r="BO250" t="s">
        <v>134</v>
      </c>
      <c r="BP250" t="s">
        <v>134</v>
      </c>
      <c r="BQ250" t="s">
        <v>134</v>
      </c>
      <c r="BR250" t="s">
        <v>134</v>
      </c>
      <c r="BS250" t="s">
        <v>134</v>
      </c>
      <c r="BT250" t="s">
        <v>134</v>
      </c>
      <c r="BU250" t="s">
        <v>134</v>
      </c>
      <c r="BV250" t="s">
        <v>134</v>
      </c>
      <c r="BW250" t="s">
        <v>134</v>
      </c>
      <c r="BX250" t="s">
        <v>134</v>
      </c>
      <c r="BY250">
        <v>1028051.3</v>
      </c>
      <c r="BZ250">
        <v>351785.9</v>
      </c>
      <c r="CA250">
        <v>676265.4</v>
      </c>
      <c r="CB250">
        <v>7.6741000000000001</v>
      </c>
      <c r="CC250">
        <v>6.1988000000000003</v>
      </c>
      <c r="CD250">
        <v>9.3719000000000001</v>
      </c>
      <c r="CE250">
        <v>7.5701999999999998</v>
      </c>
      <c r="CF250">
        <v>2.3420000000000001</v>
      </c>
      <c r="CG250">
        <v>22.626300000000001</v>
      </c>
      <c r="CH250">
        <v>123.0097</v>
      </c>
      <c r="CI250">
        <v>42.860799999999998</v>
      </c>
      <c r="CJ250">
        <v>30.108000000000001</v>
      </c>
      <c r="CK250">
        <v>186.99809999999999</v>
      </c>
      <c r="CL250">
        <v>65.156599999999997</v>
      </c>
      <c r="CM250">
        <v>45.7699</v>
      </c>
      <c r="CN250">
        <v>151.0471</v>
      </c>
      <c r="CO250">
        <v>60.166800000000002</v>
      </c>
      <c r="CP250">
        <v>44808</v>
      </c>
      <c r="CQ250" t="s">
        <v>134</v>
      </c>
      <c r="CR250">
        <v>40502.1</v>
      </c>
      <c r="CS250">
        <v>0.19689999999999999</v>
      </c>
      <c r="CT250">
        <v>1.2290000000000001</v>
      </c>
      <c r="CU250">
        <v>0.48809999999999998</v>
      </c>
      <c r="CV250">
        <v>1.7471999999999999</v>
      </c>
      <c r="CW250">
        <v>4.1199000000000003</v>
      </c>
      <c r="CX250">
        <v>88.594499999999996</v>
      </c>
      <c r="CY250">
        <v>8.4431999999999992</v>
      </c>
      <c r="CZ250">
        <v>43.2303</v>
      </c>
      <c r="DA250">
        <v>1.4990999999999999</v>
      </c>
      <c r="DB250">
        <v>243.4795</v>
      </c>
      <c r="DC250">
        <v>-111.65470000000001</v>
      </c>
      <c r="DD250">
        <v>131.82480000000001</v>
      </c>
      <c r="DE250">
        <v>47761.599999999999</v>
      </c>
      <c r="DF250" t="s">
        <v>134</v>
      </c>
      <c r="DG250" t="s">
        <v>134</v>
      </c>
      <c r="DH250" t="s">
        <v>134</v>
      </c>
      <c r="DI250" t="s">
        <v>134</v>
      </c>
    </row>
    <row r="251" spans="1:113" x14ac:dyDescent="0.3">
      <c r="E251" t="s">
        <v>6</v>
      </c>
      <c r="F251" t="s">
        <v>134</v>
      </c>
      <c r="G251" t="s">
        <v>134</v>
      </c>
      <c r="H251" t="s">
        <v>134</v>
      </c>
      <c r="I251" t="s">
        <v>134</v>
      </c>
      <c r="J251">
        <v>10.9366</v>
      </c>
      <c r="K251">
        <v>9.3556000000000008</v>
      </c>
      <c r="L251">
        <v>34.377899999999997</v>
      </c>
      <c r="M251">
        <v>8.7874999999999996</v>
      </c>
      <c r="N251">
        <v>5.6279000000000003</v>
      </c>
      <c r="O251">
        <v>5.1829999999999998</v>
      </c>
      <c r="P251">
        <v>5.1829999999999998</v>
      </c>
      <c r="Q251">
        <v>29.184000000000001</v>
      </c>
      <c r="R251" t="s">
        <v>134</v>
      </c>
      <c r="S251" t="s">
        <v>134</v>
      </c>
      <c r="T251">
        <v>10.0997</v>
      </c>
      <c r="U251">
        <v>25.497599999999998</v>
      </c>
      <c r="V251">
        <v>50.847200000000001</v>
      </c>
      <c r="W251">
        <v>53.2271</v>
      </c>
      <c r="X251">
        <v>128.78790000000001</v>
      </c>
      <c r="Y251" t="s">
        <v>134</v>
      </c>
      <c r="Z251" t="s">
        <v>134</v>
      </c>
      <c r="AA251" t="s">
        <v>134</v>
      </c>
      <c r="AB251" t="s">
        <v>134</v>
      </c>
      <c r="AC251" t="s">
        <v>134</v>
      </c>
      <c r="AD251" t="s">
        <v>134</v>
      </c>
      <c r="AE251" t="s">
        <v>134</v>
      </c>
      <c r="AF251" t="s">
        <v>134</v>
      </c>
      <c r="AG251" t="s">
        <v>134</v>
      </c>
      <c r="AH251" t="s">
        <v>134</v>
      </c>
      <c r="AI251" t="s">
        <v>134</v>
      </c>
      <c r="AJ251" t="s">
        <v>134</v>
      </c>
      <c r="AK251" t="s">
        <v>134</v>
      </c>
      <c r="AL251" t="s">
        <v>134</v>
      </c>
      <c r="AM251" t="s">
        <v>134</v>
      </c>
      <c r="AN251" t="s">
        <v>134</v>
      </c>
      <c r="AO251" t="s">
        <v>134</v>
      </c>
      <c r="AP251" t="s">
        <v>134</v>
      </c>
      <c r="AQ251" t="s">
        <v>134</v>
      </c>
      <c r="AR251" t="s">
        <v>134</v>
      </c>
      <c r="AS251" t="s">
        <v>134</v>
      </c>
      <c r="AT251" t="s">
        <v>134</v>
      </c>
      <c r="AU251" t="s">
        <v>134</v>
      </c>
      <c r="AV251" t="s">
        <v>134</v>
      </c>
      <c r="AW251" t="s">
        <v>134</v>
      </c>
      <c r="AX251" t="s">
        <v>134</v>
      </c>
      <c r="AY251" t="s">
        <v>134</v>
      </c>
      <c r="AZ251" t="s">
        <v>134</v>
      </c>
      <c r="BA251" t="s">
        <v>134</v>
      </c>
      <c r="BB251" t="s">
        <v>134</v>
      </c>
      <c r="BC251" t="s">
        <v>134</v>
      </c>
      <c r="BD251" t="s">
        <v>134</v>
      </c>
      <c r="BE251" t="s">
        <v>134</v>
      </c>
      <c r="BF251">
        <v>8.6993000000000009</v>
      </c>
      <c r="BG251">
        <v>-29.834199999999999</v>
      </c>
      <c r="BH251">
        <v>-33.595999999999997</v>
      </c>
      <c r="BI251">
        <v>-18.127600000000001</v>
      </c>
      <c r="BJ251">
        <v>-18.441400000000002</v>
      </c>
      <c r="BK251" t="s">
        <v>134</v>
      </c>
      <c r="BL251" t="s">
        <v>134</v>
      </c>
      <c r="BM251" t="s">
        <v>134</v>
      </c>
      <c r="BN251" t="s">
        <v>134</v>
      </c>
      <c r="BO251" t="s">
        <v>134</v>
      </c>
      <c r="BP251" t="s">
        <v>134</v>
      </c>
      <c r="BQ251" t="s">
        <v>134</v>
      </c>
      <c r="BR251" t="s">
        <v>134</v>
      </c>
      <c r="BS251" t="s">
        <v>134</v>
      </c>
      <c r="BT251" t="s">
        <v>134</v>
      </c>
      <c r="BU251" t="s">
        <v>134</v>
      </c>
      <c r="BV251" t="s">
        <v>134</v>
      </c>
      <c r="BW251" t="s">
        <v>134</v>
      </c>
      <c r="BX251" t="s">
        <v>134</v>
      </c>
      <c r="BY251" t="s">
        <v>134</v>
      </c>
      <c r="BZ251" t="s">
        <v>134</v>
      </c>
      <c r="CA251" t="s">
        <v>134</v>
      </c>
      <c r="CB251" t="s">
        <v>134</v>
      </c>
      <c r="CC251" t="s">
        <v>134</v>
      </c>
      <c r="CD251" t="s">
        <v>134</v>
      </c>
      <c r="CE251" t="s">
        <v>134</v>
      </c>
      <c r="CF251">
        <v>8.6736000000000004</v>
      </c>
      <c r="CG251" t="s">
        <v>134</v>
      </c>
      <c r="CH251" t="s">
        <v>134</v>
      </c>
      <c r="CI251" t="s">
        <v>134</v>
      </c>
      <c r="CJ251" t="s">
        <v>134</v>
      </c>
      <c r="CK251" t="s">
        <v>134</v>
      </c>
      <c r="CL251" t="s">
        <v>134</v>
      </c>
      <c r="CM251" t="s">
        <v>134</v>
      </c>
      <c r="CN251" t="s">
        <v>134</v>
      </c>
      <c r="CO251" t="s">
        <v>134</v>
      </c>
      <c r="CP251">
        <v>31439.9</v>
      </c>
      <c r="CQ251" t="s">
        <v>134</v>
      </c>
      <c r="CR251">
        <v>26895</v>
      </c>
      <c r="CS251" t="s">
        <v>134</v>
      </c>
      <c r="CT251" t="s">
        <v>134</v>
      </c>
      <c r="CU251" t="s">
        <v>134</v>
      </c>
      <c r="CV251" t="s">
        <v>134</v>
      </c>
      <c r="CW251" t="s">
        <v>134</v>
      </c>
      <c r="CX251" t="s">
        <v>134</v>
      </c>
      <c r="CY251" t="s">
        <v>134</v>
      </c>
      <c r="CZ251" t="s">
        <v>134</v>
      </c>
      <c r="DA251" t="s">
        <v>134</v>
      </c>
      <c r="DB251" t="s">
        <v>134</v>
      </c>
      <c r="DC251" t="s">
        <v>134</v>
      </c>
      <c r="DD251" t="s">
        <v>134</v>
      </c>
      <c r="DE251" t="s">
        <v>134</v>
      </c>
      <c r="DF251" t="s">
        <v>134</v>
      </c>
      <c r="DG251" t="s">
        <v>134</v>
      </c>
      <c r="DH251" t="s">
        <v>134</v>
      </c>
      <c r="DI251" t="s">
        <v>134</v>
      </c>
    </row>
    <row r="252" spans="1:113" x14ac:dyDescent="0.3">
      <c r="E252" t="s">
        <v>7</v>
      </c>
      <c r="F252">
        <v>13.922000000000001</v>
      </c>
      <c r="G252">
        <v>3.2237</v>
      </c>
      <c r="H252">
        <v>7.1810999999999998</v>
      </c>
      <c r="I252">
        <v>6.4401999999999999</v>
      </c>
      <c r="J252">
        <v>17.127500000000001</v>
      </c>
      <c r="K252">
        <v>15.917</v>
      </c>
      <c r="L252">
        <v>74.3446</v>
      </c>
      <c r="M252">
        <v>12.0771</v>
      </c>
      <c r="N252">
        <v>8.2058</v>
      </c>
      <c r="O252">
        <v>7.7866999999999997</v>
      </c>
      <c r="P252">
        <v>7.7866999999999997</v>
      </c>
      <c r="Q252">
        <v>29.677499999999998</v>
      </c>
      <c r="R252" t="s">
        <v>134</v>
      </c>
      <c r="S252" t="s">
        <v>134</v>
      </c>
      <c r="T252">
        <v>10.4543</v>
      </c>
      <c r="U252">
        <v>60.714599999999997</v>
      </c>
      <c r="V252">
        <v>79.236800000000002</v>
      </c>
      <c r="W252">
        <v>4.7233000000000001</v>
      </c>
      <c r="X252">
        <v>5.4394999999999998</v>
      </c>
      <c r="Y252" t="s">
        <v>134</v>
      </c>
      <c r="Z252">
        <v>20.792300000000001</v>
      </c>
      <c r="AA252">
        <v>17.103999999999999</v>
      </c>
      <c r="AB252">
        <v>-2.9790999999999999</v>
      </c>
      <c r="AC252">
        <v>15.4923</v>
      </c>
      <c r="AD252">
        <v>-32.635300000000001</v>
      </c>
      <c r="AE252">
        <v>-16.558599999999998</v>
      </c>
      <c r="AF252">
        <v>24.757000000000001</v>
      </c>
      <c r="AG252">
        <v>30.044899999999998</v>
      </c>
      <c r="AH252">
        <v>14.4434</v>
      </c>
      <c r="AI252">
        <v>13.949199999999999</v>
      </c>
      <c r="AJ252">
        <v>14.263500000000001</v>
      </c>
      <c r="AK252">
        <v>10.6821</v>
      </c>
      <c r="AL252" t="s">
        <v>134</v>
      </c>
      <c r="AM252" t="s">
        <v>134</v>
      </c>
      <c r="AN252" t="s">
        <v>134</v>
      </c>
      <c r="AO252" t="s">
        <v>134</v>
      </c>
      <c r="AP252" t="s">
        <v>134</v>
      </c>
      <c r="AQ252" t="s">
        <v>134</v>
      </c>
      <c r="AR252" t="s">
        <v>134</v>
      </c>
      <c r="AS252" t="s">
        <v>134</v>
      </c>
      <c r="AT252" t="s">
        <v>134</v>
      </c>
      <c r="AU252" t="s">
        <v>134</v>
      </c>
      <c r="AV252" t="s">
        <v>134</v>
      </c>
      <c r="AW252" t="s">
        <v>134</v>
      </c>
      <c r="AX252" t="s">
        <v>134</v>
      </c>
      <c r="AY252" t="s">
        <v>134</v>
      </c>
      <c r="AZ252" t="s">
        <v>134</v>
      </c>
      <c r="BA252" t="s">
        <v>134</v>
      </c>
      <c r="BB252" t="s">
        <v>134</v>
      </c>
      <c r="BC252" t="s">
        <v>134</v>
      </c>
      <c r="BD252" t="s">
        <v>134</v>
      </c>
      <c r="BE252" t="s">
        <v>134</v>
      </c>
      <c r="BF252">
        <v>41.501600000000003</v>
      </c>
      <c r="BG252">
        <v>121.6018</v>
      </c>
      <c r="BH252">
        <v>140.74180000000001</v>
      </c>
      <c r="BI252">
        <v>112.5847</v>
      </c>
      <c r="BJ252">
        <v>113.3396</v>
      </c>
      <c r="BK252" t="s">
        <v>134</v>
      </c>
      <c r="BL252" t="s">
        <v>134</v>
      </c>
      <c r="BM252" t="s">
        <v>134</v>
      </c>
      <c r="BN252" t="s">
        <v>134</v>
      </c>
      <c r="BO252" t="s">
        <v>134</v>
      </c>
      <c r="BP252" t="s">
        <v>134</v>
      </c>
      <c r="BQ252" t="s">
        <v>134</v>
      </c>
      <c r="BR252" t="s">
        <v>134</v>
      </c>
      <c r="BS252" t="s">
        <v>134</v>
      </c>
      <c r="BT252" t="s">
        <v>134</v>
      </c>
      <c r="BU252" t="s">
        <v>134</v>
      </c>
      <c r="BV252" t="s">
        <v>134</v>
      </c>
      <c r="BW252" t="s">
        <v>134</v>
      </c>
      <c r="BX252" t="s">
        <v>134</v>
      </c>
      <c r="BY252">
        <v>1075240.8</v>
      </c>
      <c r="BZ252">
        <v>346093.2</v>
      </c>
      <c r="CA252">
        <v>729147.6</v>
      </c>
      <c r="CB252">
        <v>6.4512999999999998</v>
      </c>
      <c r="CC252">
        <v>5.4058000000000002</v>
      </c>
      <c r="CD252">
        <v>7.2954999999999997</v>
      </c>
      <c r="CE252">
        <v>6.1132</v>
      </c>
      <c r="CF252">
        <v>3.4927000000000001</v>
      </c>
      <c r="CG252">
        <v>22.712199999999999</v>
      </c>
      <c r="CH252">
        <v>118.9824</v>
      </c>
      <c r="CI252">
        <v>43.194400000000002</v>
      </c>
      <c r="CJ252">
        <v>29.7546</v>
      </c>
      <c r="CK252">
        <v>175.4579</v>
      </c>
      <c r="CL252">
        <v>63.696800000000003</v>
      </c>
      <c r="CM252">
        <v>43.877800000000001</v>
      </c>
      <c r="CN252">
        <v>147.0241</v>
      </c>
      <c r="CO252">
        <v>59.518099999999997</v>
      </c>
      <c r="CP252">
        <v>69671.399999999994</v>
      </c>
      <c r="CQ252" t="s">
        <v>134</v>
      </c>
      <c r="CR252">
        <v>64747.5</v>
      </c>
      <c r="CS252">
        <v>0.1595</v>
      </c>
      <c r="CT252">
        <v>1.2467999999999999</v>
      </c>
      <c r="CU252">
        <v>0.47660000000000002</v>
      </c>
      <c r="CV252">
        <v>1.7806999999999999</v>
      </c>
      <c r="CW252">
        <v>3.7789000000000001</v>
      </c>
      <c r="CX252">
        <v>96.589200000000005</v>
      </c>
      <c r="CY252">
        <v>9.1990999999999996</v>
      </c>
      <c r="CZ252">
        <v>39.677599999999998</v>
      </c>
      <c r="DA252">
        <v>1.2349999999999999</v>
      </c>
      <c r="DB252">
        <v>295.53629999999998</v>
      </c>
      <c r="DC252">
        <v>-159.26949999999999</v>
      </c>
      <c r="DD252">
        <v>136.26679999999999</v>
      </c>
      <c r="DE252">
        <v>48478</v>
      </c>
      <c r="DF252">
        <v>12405.1</v>
      </c>
      <c r="DG252">
        <v>6302.7</v>
      </c>
      <c r="DH252">
        <v>4458.8</v>
      </c>
      <c r="DI252">
        <v>25311.4</v>
      </c>
    </row>
    <row r="253" spans="1:113" x14ac:dyDescent="0.3">
      <c r="A253">
        <v>61</v>
      </c>
      <c r="B253" t="s">
        <v>30</v>
      </c>
      <c r="C253" t="s">
        <v>31</v>
      </c>
      <c r="D253" t="s">
        <v>2</v>
      </c>
      <c r="E253" t="s">
        <v>3</v>
      </c>
      <c r="F253">
        <v>30.2638</v>
      </c>
      <c r="G253">
        <v>19.209</v>
      </c>
      <c r="H253">
        <v>26.647500000000001</v>
      </c>
      <c r="I253">
        <v>25.811299999999999</v>
      </c>
      <c r="J253">
        <v>27.519600000000001</v>
      </c>
      <c r="K253">
        <v>25.165700000000001</v>
      </c>
      <c r="L253">
        <v>50.948599999999999</v>
      </c>
      <c r="M253">
        <v>25.5411</v>
      </c>
      <c r="N253">
        <v>16.8626</v>
      </c>
      <c r="O253">
        <v>16.563800000000001</v>
      </c>
      <c r="P253">
        <v>16.563800000000001</v>
      </c>
      <c r="Q253">
        <v>33.978400000000001</v>
      </c>
      <c r="R253">
        <v>14.649000000000001</v>
      </c>
      <c r="S253">
        <v>25.830500000000001</v>
      </c>
      <c r="T253">
        <v>17.174700000000001</v>
      </c>
      <c r="U253">
        <v>32.981700000000004</v>
      </c>
      <c r="V253">
        <v>42.195399999999999</v>
      </c>
      <c r="W253">
        <v>39.737200000000001</v>
      </c>
      <c r="X253">
        <v>39.405299999999997</v>
      </c>
      <c r="Y253">
        <v>50</v>
      </c>
      <c r="Z253">
        <v>12.6708</v>
      </c>
      <c r="AA253">
        <v>9.2624999999999993</v>
      </c>
      <c r="AB253">
        <v>8.4491999999999994</v>
      </c>
      <c r="AC253">
        <v>14.4962</v>
      </c>
      <c r="AD253">
        <v>15.6813</v>
      </c>
      <c r="AE253">
        <v>62.479300000000002</v>
      </c>
      <c r="AF253">
        <v>3.3075999999999999</v>
      </c>
      <c r="AG253">
        <v>-45.196899999999999</v>
      </c>
      <c r="AH253">
        <v>-43.860399999999998</v>
      </c>
      <c r="AI253">
        <v>32.959800000000001</v>
      </c>
      <c r="AJ253">
        <v>19.043399999999998</v>
      </c>
      <c r="AK253">
        <v>32.941000000000003</v>
      </c>
      <c r="AL253">
        <v>63.273499999999999</v>
      </c>
      <c r="AM253">
        <v>24.038499999999999</v>
      </c>
      <c r="AN253">
        <v>32.148499999999999</v>
      </c>
      <c r="AO253">
        <v>33.053899999999999</v>
      </c>
      <c r="AP253">
        <v>29.637599999999999</v>
      </c>
      <c r="AQ253">
        <v>27.6311</v>
      </c>
      <c r="AR253">
        <v>19.1358</v>
      </c>
      <c r="AS253">
        <v>21.833300000000001</v>
      </c>
      <c r="AT253">
        <v>17.3428</v>
      </c>
      <c r="AU253">
        <v>15.427899999999999</v>
      </c>
      <c r="AV253">
        <v>20.499600000000001</v>
      </c>
      <c r="AW253">
        <v>20.823399999999999</v>
      </c>
      <c r="AX253">
        <v>56.710599999999999</v>
      </c>
      <c r="AY253">
        <v>17.55</v>
      </c>
      <c r="AZ253">
        <v>-4.9317000000000002</v>
      </c>
      <c r="BA253">
        <v>-11.7781</v>
      </c>
      <c r="BB253">
        <v>37.209699999999998</v>
      </c>
      <c r="BC253">
        <v>23.510899999999999</v>
      </c>
      <c r="BD253">
        <v>35.053699999999999</v>
      </c>
      <c r="BE253">
        <v>36.280299999999997</v>
      </c>
      <c r="BF253">
        <v>17.174700000000001</v>
      </c>
      <c r="BG253">
        <v>32.981700000000004</v>
      </c>
      <c r="BH253">
        <v>42.195399999999999</v>
      </c>
      <c r="BI253">
        <v>39.737200000000001</v>
      </c>
      <c r="BJ253">
        <v>39.405299999999997</v>
      </c>
      <c r="BK253">
        <v>50</v>
      </c>
      <c r="BL253">
        <v>12.6708</v>
      </c>
      <c r="BM253">
        <v>9.2624999999999993</v>
      </c>
      <c r="BN253">
        <v>8.4491999999999994</v>
      </c>
      <c r="BO253">
        <v>14.4962</v>
      </c>
      <c r="BP253">
        <v>15.6813</v>
      </c>
      <c r="BQ253">
        <v>62.479300000000002</v>
      </c>
      <c r="BR253">
        <v>3.3075999999999999</v>
      </c>
      <c r="BS253">
        <v>-45.196899999999999</v>
      </c>
      <c r="BT253">
        <v>-43.860399999999998</v>
      </c>
      <c r="BU253">
        <v>32.959800000000001</v>
      </c>
      <c r="BV253">
        <v>19.043399999999998</v>
      </c>
      <c r="BW253">
        <v>32.941000000000003</v>
      </c>
      <c r="BX253">
        <v>63.273499999999999</v>
      </c>
      <c r="BY253">
        <v>6537.4</v>
      </c>
      <c r="BZ253">
        <v>5027.8</v>
      </c>
      <c r="CA253">
        <v>1509.6</v>
      </c>
      <c r="CB253">
        <v>0.21429999999999999</v>
      </c>
      <c r="CC253">
        <v>-0.10390000000000001</v>
      </c>
      <c r="CD253">
        <v>0.23430000000000001</v>
      </c>
      <c r="CE253">
        <v>-0.11360000000000001</v>
      </c>
      <c r="CF253">
        <v>308.18180000000001</v>
      </c>
      <c r="CG253">
        <v>67.916399999999996</v>
      </c>
      <c r="CH253">
        <v>2.157</v>
      </c>
      <c r="CI253">
        <v>1.9727999999999999</v>
      </c>
      <c r="CJ253">
        <v>1.4791000000000001</v>
      </c>
      <c r="CK253">
        <v>9.3411000000000008</v>
      </c>
      <c r="CL253">
        <v>8.5431000000000008</v>
      </c>
      <c r="CM253">
        <v>6.4054000000000002</v>
      </c>
      <c r="CN253">
        <v>-4.5292000000000003</v>
      </c>
      <c r="CO253">
        <v>-4.7440999999999995</v>
      </c>
      <c r="CP253">
        <v>30510</v>
      </c>
      <c r="CQ253">
        <v>25223.599999999999</v>
      </c>
      <c r="CR253">
        <v>27900.3</v>
      </c>
      <c r="CS253">
        <v>0.36919999999999997</v>
      </c>
      <c r="CT253">
        <v>2.3199999999999998</v>
      </c>
      <c r="CU253">
        <v>1.3062</v>
      </c>
      <c r="CV253">
        <v>11.077999999999999</v>
      </c>
      <c r="CW253">
        <v>4.7672999999999996</v>
      </c>
      <c r="CX253">
        <v>76.562799999999996</v>
      </c>
      <c r="CY253">
        <v>1.7995000000000001</v>
      </c>
      <c r="CZ253">
        <v>202.83430000000001</v>
      </c>
      <c r="DA253">
        <v>2.4544000000000001</v>
      </c>
      <c r="DB253">
        <v>148.71080000000001</v>
      </c>
      <c r="DC253">
        <v>130.68620000000001</v>
      </c>
      <c r="DD253">
        <v>279.39699999999999</v>
      </c>
      <c r="DE253">
        <v>21294.5</v>
      </c>
      <c r="DF253">
        <v>4516.1000000000004</v>
      </c>
      <c r="DG253">
        <v>3656.7</v>
      </c>
      <c r="DH253">
        <v>6270.2</v>
      </c>
      <c r="DI253">
        <v>6851.5</v>
      </c>
    </row>
    <row r="254" spans="1:113" x14ac:dyDescent="0.3">
      <c r="E254" t="s">
        <v>4</v>
      </c>
      <c r="F254" t="s">
        <v>134</v>
      </c>
      <c r="G254" t="s">
        <v>134</v>
      </c>
      <c r="H254" t="s">
        <v>134</v>
      </c>
      <c r="I254" t="s">
        <v>134</v>
      </c>
      <c r="J254">
        <v>24.354099999999999</v>
      </c>
      <c r="K254">
        <v>21.776299999999999</v>
      </c>
      <c r="L254">
        <v>66.924700000000001</v>
      </c>
      <c r="M254">
        <v>25.721499999999999</v>
      </c>
      <c r="N254">
        <v>16.750399999999999</v>
      </c>
      <c r="O254">
        <v>16.568200000000001</v>
      </c>
      <c r="P254">
        <v>16.568200000000001</v>
      </c>
      <c r="Q254">
        <v>34.877899999999997</v>
      </c>
      <c r="R254" t="s">
        <v>134</v>
      </c>
      <c r="S254" t="s">
        <v>134</v>
      </c>
      <c r="T254">
        <v>9.0805000000000007</v>
      </c>
      <c r="U254">
        <v>28.822400000000002</v>
      </c>
      <c r="V254">
        <v>34.379399999999997</v>
      </c>
      <c r="W254">
        <v>43.036499999999997</v>
      </c>
      <c r="X254">
        <v>42.72</v>
      </c>
      <c r="Y254" t="s">
        <v>134</v>
      </c>
      <c r="Z254" t="s">
        <v>134</v>
      </c>
      <c r="AA254" t="s">
        <v>134</v>
      </c>
      <c r="AB254" t="s">
        <v>134</v>
      </c>
      <c r="AC254" t="s">
        <v>134</v>
      </c>
      <c r="AD254" t="s">
        <v>134</v>
      </c>
      <c r="AE254" t="s">
        <v>134</v>
      </c>
      <c r="AF254" t="s">
        <v>134</v>
      </c>
      <c r="AG254" t="s">
        <v>134</v>
      </c>
      <c r="AH254" t="s">
        <v>134</v>
      </c>
      <c r="AI254" t="s">
        <v>134</v>
      </c>
      <c r="AJ254" t="s">
        <v>134</v>
      </c>
      <c r="AK254" t="s">
        <v>134</v>
      </c>
      <c r="AL254" t="s">
        <v>134</v>
      </c>
      <c r="AM254">
        <v>22.928599999999999</v>
      </c>
      <c r="AN254" t="s">
        <v>134</v>
      </c>
      <c r="AO254" t="s">
        <v>134</v>
      </c>
      <c r="AP254">
        <v>29.052700000000002</v>
      </c>
      <c r="AQ254" t="s">
        <v>134</v>
      </c>
      <c r="AR254" t="s">
        <v>134</v>
      </c>
      <c r="AS254" t="s">
        <v>134</v>
      </c>
      <c r="AT254" t="s">
        <v>134</v>
      </c>
      <c r="AU254" t="s">
        <v>134</v>
      </c>
      <c r="AV254" t="s">
        <v>134</v>
      </c>
      <c r="AW254" t="s">
        <v>134</v>
      </c>
      <c r="AX254" t="s">
        <v>134</v>
      </c>
      <c r="AY254" t="s">
        <v>134</v>
      </c>
      <c r="AZ254" t="s">
        <v>134</v>
      </c>
      <c r="BA254" t="s">
        <v>134</v>
      </c>
      <c r="BB254" t="s">
        <v>134</v>
      </c>
      <c r="BC254" t="s">
        <v>134</v>
      </c>
      <c r="BD254" t="s">
        <v>134</v>
      </c>
      <c r="BE254" t="s">
        <v>134</v>
      </c>
      <c r="BF254">
        <v>-4.5989000000000004</v>
      </c>
      <c r="BG254">
        <v>-10.500999999999999</v>
      </c>
      <c r="BH254">
        <v>-0.48139999999999999</v>
      </c>
      <c r="BI254">
        <v>-1.7202999999999999</v>
      </c>
      <c r="BJ254">
        <v>-1.8702000000000001</v>
      </c>
      <c r="BK254" t="s">
        <v>134</v>
      </c>
      <c r="BL254" t="s">
        <v>134</v>
      </c>
      <c r="BM254" t="s">
        <v>134</v>
      </c>
      <c r="BN254" t="s">
        <v>134</v>
      </c>
      <c r="BO254" t="s">
        <v>134</v>
      </c>
      <c r="BP254" t="s">
        <v>134</v>
      </c>
      <c r="BQ254" t="s">
        <v>134</v>
      </c>
      <c r="BR254" t="s">
        <v>134</v>
      </c>
      <c r="BS254" t="s">
        <v>134</v>
      </c>
      <c r="BT254" t="s">
        <v>134</v>
      </c>
      <c r="BU254">
        <v>-100</v>
      </c>
      <c r="BV254" t="s">
        <v>134</v>
      </c>
      <c r="BW254">
        <v>-100</v>
      </c>
      <c r="BX254" t="s">
        <v>134</v>
      </c>
      <c r="BY254" t="s">
        <v>134</v>
      </c>
      <c r="BZ254" t="s">
        <v>134</v>
      </c>
      <c r="CA254" t="s">
        <v>134</v>
      </c>
      <c r="CB254" t="s">
        <v>134</v>
      </c>
      <c r="CC254" t="s">
        <v>134</v>
      </c>
      <c r="CD254" t="s">
        <v>134</v>
      </c>
      <c r="CE254" t="s">
        <v>134</v>
      </c>
      <c r="CF254">
        <v>108.56910000000001</v>
      </c>
      <c r="CG254" t="s">
        <v>134</v>
      </c>
      <c r="CH254" t="s">
        <v>134</v>
      </c>
      <c r="CI254" t="s">
        <v>134</v>
      </c>
      <c r="CJ254" t="s">
        <v>134</v>
      </c>
      <c r="CK254" t="s">
        <v>134</v>
      </c>
      <c r="CL254" t="s">
        <v>134</v>
      </c>
      <c r="CM254" t="s">
        <v>134</v>
      </c>
      <c r="CN254" t="s">
        <v>134</v>
      </c>
      <c r="CO254" t="s">
        <v>134</v>
      </c>
      <c r="CP254">
        <v>5895.3</v>
      </c>
      <c r="CQ254" t="s">
        <v>134</v>
      </c>
      <c r="CR254">
        <v>5271.3</v>
      </c>
      <c r="CS254" t="s">
        <v>134</v>
      </c>
      <c r="CT254" t="s">
        <v>134</v>
      </c>
      <c r="CU254" t="s">
        <v>134</v>
      </c>
      <c r="CV254" t="s">
        <v>134</v>
      </c>
      <c r="CW254" t="s">
        <v>134</v>
      </c>
      <c r="CX254" t="s">
        <v>134</v>
      </c>
      <c r="CY254" t="s">
        <v>134</v>
      </c>
      <c r="CZ254" t="s">
        <v>134</v>
      </c>
      <c r="DA254" t="s">
        <v>134</v>
      </c>
      <c r="DB254" t="s">
        <v>134</v>
      </c>
      <c r="DC254" t="s">
        <v>134</v>
      </c>
      <c r="DD254" t="s">
        <v>134</v>
      </c>
      <c r="DE254" t="s">
        <v>134</v>
      </c>
      <c r="DF254" t="s">
        <v>134</v>
      </c>
      <c r="DG254" t="s">
        <v>134</v>
      </c>
      <c r="DH254" t="s">
        <v>134</v>
      </c>
      <c r="DI254" t="s">
        <v>134</v>
      </c>
    </row>
    <row r="255" spans="1:113" x14ac:dyDescent="0.3">
      <c r="E255" t="s">
        <v>5</v>
      </c>
      <c r="F255">
        <v>28.380500000000001</v>
      </c>
      <c r="G255">
        <v>17.039300000000001</v>
      </c>
      <c r="H255">
        <v>24.148499999999999</v>
      </c>
      <c r="I255">
        <v>21.6082</v>
      </c>
      <c r="J255">
        <v>25.0656</v>
      </c>
      <c r="K255">
        <v>22.762599999999999</v>
      </c>
      <c r="L255">
        <v>38.773600000000002</v>
      </c>
      <c r="M255">
        <v>25.669</v>
      </c>
      <c r="N255">
        <v>15.8574</v>
      </c>
      <c r="O255">
        <v>15.435499999999999</v>
      </c>
      <c r="P255">
        <v>15.435499999999999</v>
      </c>
      <c r="Q255">
        <v>38.223799999999997</v>
      </c>
      <c r="R255" t="s">
        <v>134</v>
      </c>
      <c r="S255" t="s">
        <v>134</v>
      </c>
      <c r="T255">
        <v>17.514700000000001</v>
      </c>
      <c r="U255">
        <v>27.844899999999999</v>
      </c>
      <c r="V255">
        <v>34.026200000000003</v>
      </c>
      <c r="W255">
        <v>39.840299999999999</v>
      </c>
      <c r="X255">
        <v>39.5672</v>
      </c>
      <c r="Y255" t="s">
        <v>134</v>
      </c>
      <c r="Z255">
        <v>-1.4495</v>
      </c>
      <c r="AA255">
        <v>17.0444</v>
      </c>
      <c r="AB255" t="s">
        <v>134</v>
      </c>
      <c r="AC255">
        <v>7.8350999999999997</v>
      </c>
      <c r="AD255">
        <v>24.741099999999999</v>
      </c>
      <c r="AE255">
        <v>78.454800000000006</v>
      </c>
      <c r="AF255">
        <v>-16.408999999999999</v>
      </c>
      <c r="AG255">
        <v>-36.184899999999999</v>
      </c>
      <c r="AH255">
        <v>-34.9148</v>
      </c>
      <c r="AI255">
        <v>31.0365</v>
      </c>
      <c r="AJ255">
        <v>15.840299999999999</v>
      </c>
      <c r="AK255">
        <v>30.745799999999999</v>
      </c>
      <c r="AL255" t="s">
        <v>134</v>
      </c>
      <c r="AM255">
        <v>23.704899999999999</v>
      </c>
      <c r="AN255" t="s">
        <v>134</v>
      </c>
      <c r="AO255" t="s">
        <v>134</v>
      </c>
      <c r="AP255">
        <v>28.569299999999998</v>
      </c>
      <c r="AQ255" t="s">
        <v>134</v>
      </c>
      <c r="AR255" t="s">
        <v>134</v>
      </c>
      <c r="AS255" t="s">
        <v>134</v>
      </c>
      <c r="AT255" t="s">
        <v>134</v>
      </c>
      <c r="AU255" t="s">
        <v>134</v>
      </c>
      <c r="AV255" t="s">
        <v>134</v>
      </c>
      <c r="AW255" t="s">
        <v>134</v>
      </c>
      <c r="AX255" t="s">
        <v>134</v>
      </c>
      <c r="AY255" t="s">
        <v>134</v>
      </c>
      <c r="AZ255" t="s">
        <v>134</v>
      </c>
      <c r="BA255" t="s">
        <v>134</v>
      </c>
      <c r="BB255" t="s">
        <v>134</v>
      </c>
      <c r="BC255" t="s">
        <v>134</v>
      </c>
      <c r="BD255" t="s">
        <v>134</v>
      </c>
      <c r="BE255" t="s">
        <v>134</v>
      </c>
      <c r="BF255">
        <v>8.7083999999999993</v>
      </c>
      <c r="BG255">
        <v>11.884</v>
      </c>
      <c r="BH255">
        <v>13.632300000000001</v>
      </c>
      <c r="BI255">
        <v>1.2766</v>
      </c>
      <c r="BJ255">
        <v>1.2332000000000001</v>
      </c>
      <c r="BK255" t="s">
        <v>134</v>
      </c>
      <c r="BL255" t="s">
        <v>134</v>
      </c>
      <c r="BM255" t="s">
        <v>134</v>
      </c>
      <c r="BN255" t="s">
        <v>134</v>
      </c>
      <c r="BO255" t="s">
        <v>134</v>
      </c>
      <c r="BP255" t="s">
        <v>134</v>
      </c>
      <c r="BQ255" t="s">
        <v>134</v>
      </c>
      <c r="BR255" t="s">
        <v>134</v>
      </c>
      <c r="BS255" t="s">
        <v>134</v>
      </c>
      <c r="BT255" t="s">
        <v>134</v>
      </c>
      <c r="BU255" t="s">
        <v>134</v>
      </c>
      <c r="BV255" t="s">
        <v>134</v>
      </c>
      <c r="BW255" t="s">
        <v>134</v>
      </c>
      <c r="BX255" t="s">
        <v>134</v>
      </c>
      <c r="BY255">
        <v>9216.2000000000007</v>
      </c>
      <c r="BZ255">
        <v>6917.3</v>
      </c>
      <c r="CA255">
        <v>2298.9</v>
      </c>
      <c r="CB255">
        <v>0.36680000000000001</v>
      </c>
      <c r="CC255">
        <v>0.111</v>
      </c>
      <c r="CD255">
        <v>0.42049999999999998</v>
      </c>
      <c r="CE255">
        <v>0.12720000000000001</v>
      </c>
      <c r="CF255">
        <v>135.1619</v>
      </c>
      <c r="CG255">
        <v>65.630200000000002</v>
      </c>
      <c r="CH255">
        <v>3.7095000000000002</v>
      </c>
      <c r="CI255">
        <v>3.2292999999999998</v>
      </c>
      <c r="CJ255">
        <v>2.4344999999999999</v>
      </c>
      <c r="CK255">
        <v>14.8711</v>
      </c>
      <c r="CL255">
        <v>12.9459</v>
      </c>
      <c r="CM255">
        <v>9.76</v>
      </c>
      <c r="CN255">
        <v>4.5004999999999997</v>
      </c>
      <c r="CO255">
        <v>4.3065999999999995</v>
      </c>
      <c r="CP255">
        <v>6595.9</v>
      </c>
      <c r="CQ255" t="s">
        <v>134</v>
      </c>
      <c r="CR255">
        <v>5989.9</v>
      </c>
      <c r="CS255">
        <v>0.24740000000000001</v>
      </c>
      <c r="CT255">
        <v>2.0918000000000001</v>
      </c>
      <c r="CU255">
        <v>1.0114000000000001</v>
      </c>
      <c r="CV255">
        <v>10.427899999999999</v>
      </c>
      <c r="CW255">
        <v>5.0297000000000001</v>
      </c>
      <c r="CX255">
        <v>72.569000000000003</v>
      </c>
      <c r="CY255">
        <v>1.8855</v>
      </c>
      <c r="CZ255">
        <v>193.5873</v>
      </c>
      <c r="DA255">
        <v>2.7896999999999998</v>
      </c>
      <c r="DB255">
        <v>130.83779999999999</v>
      </c>
      <c r="DC255">
        <v>135.3184</v>
      </c>
      <c r="DD255">
        <v>266.15629999999999</v>
      </c>
      <c r="DE255">
        <v>22109.1</v>
      </c>
      <c r="DF255" t="s">
        <v>134</v>
      </c>
      <c r="DG255" t="s">
        <v>134</v>
      </c>
      <c r="DH255" t="s">
        <v>134</v>
      </c>
      <c r="DI255" t="s">
        <v>134</v>
      </c>
    </row>
    <row r="256" spans="1:113" x14ac:dyDescent="0.3">
      <c r="E256" t="s">
        <v>6</v>
      </c>
      <c r="F256" t="s">
        <v>134</v>
      </c>
      <c r="G256" t="s">
        <v>134</v>
      </c>
      <c r="H256" t="s">
        <v>134</v>
      </c>
      <c r="I256" t="s">
        <v>134</v>
      </c>
      <c r="J256">
        <v>25.9238</v>
      </c>
      <c r="K256">
        <v>23.789400000000001</v>
      </c>
      <c r="L256">
        <v>33.550600000000003</v>
      </c>
      <c r="M256">
        <v>24.736799999999999</v>
      </c>
      <c r="N256">
        <v>16.216699999999999</v>
      </c>
      <c r="O256">
        <v>15.961600000000001</v>
      </c>
      <c r="P256">
        <v>15.961600000000001</v>
      </c>
      <c r="Q256">
        <v>34.442799999999998</v>
      </c>
      <c r="R256" t="s">
        <v>134</v>
      </c>
      <c r="S256" t="s">
        <v>134</v>
      </c>
      <c r="T256">
        <v>20.970300000000002</v>
      </c>
      <c r="U256">
        <v>27.8309</v>
      </c>
      <c r="V256">
        <v>32.359099999999998</v>
      </c>
      <c r="W256">
        <v>42.030799999999999</v>
      </c>
      <c r="X256">
        <v>41.823099999999997</v>
      </c>
      <c r="Y256" t="s">
        <v>134</v>
      </c>
      <c r="Z256" t="s">
        <v>134</v>
      </c>
      <c r="AA256" t="s">
        <v>134</v>
      </c>
      <c r="AB256" t="s">
        <v>134</v>
      </c>
      <c r="AC256" t="s">
        <v>134</v>
      </c>
      <c r="AD256" t="s">
        <v>134</v>
      </c>
      <c r="AE256" t="s">
        <v>134</v>
      </c>
      <c r="AF256" t="s">
        <v>134</v>
      </c>
      <c r="AG256" t="s">
        <v>134</v>
      </c>
      <c r="AH256" t="s">
        <v>134</v>
      </c>
      <c r="AI256" t="s">
        <v>134</v>
      </c>
      <c r="AJ256" t="s">
        <v>134</v>
      </c>
      <c r="AK256" t="s">
        <v>134</v>
      </c>
      <c r="AL256" t="s">
        <v>134</v>
      </c>
      <c r="AM256">
        <v>25.403400000000001</v>
      </c>
      <c r="AN256">
        <v>34.477899999999998</v>
      </c>
      <c r="AO256">
        <v>35.7577</v>
      </c>
      <c r="AP256">
        <v>32.519500000000001</v>
      </c>
      <c r="AQ256">
        <v>30.700099999999999</v>
      </c>
      <c r="AR256" t="s">
        <v>134</v>
      </c>
      <c r="AS256" t="s">
        <v>134</v>
      </c>
      <c r="AT256" t="s">
        <v>134</v>
      </c>
      <c r="AU256" t="s">
        <v>134</v>
      </c>
      <c r="AV256" t="s">
        <v>134</v>
      </c>
      <c r="AW256" t="s">
        <v>134</v>
      </c>
      <c r="AX256" t="s">
        <v>134</v>
      </c>
      <c r="AY256" t="s">
        <v>134</v>
      </c>
      <c r="AZ256" t="s">
        <v>134</v>
      </c>
      <c r="BA256" t="s">
        <v>134</v>
      </c>
      <c r="BB256" t="s">
        <v>134</v>
      </c>
      <c r="BC256" t="s">
        <v>134</v>
      </c>
      <c r="BD256" t="s">
        <v>134</v>
      </c>
      <c r="BE256" t="s">
        <v>134</v>
      </c>
      <c r="BF256">
        <v>13.358000000000001</v>
      </c>
      <c r="BG256">
        <v>17.2395</v>
      </c>
      <c r="BH256">
        <v>18.4711</v>
      </c>
      <c r="BI256">
        <v>17.221399999999999</v>
      </c>
      <c r="BJ256">
        <v>17.164999999999999</v>
      </c>
      <c r="BK256" t="s">
        <v>134</v>
      </c>
      <c r="BL256" t="s">
        <v>134</v>
      </c>
      <c r="BM256" t="s">
        <v>134</v>
      </c>
      <c r="BN256" t="s">
        <v>134</v>
      </c>
      <c r="BO256" t="s">
        <v>134</v>
      </c>
      <c r="BP256" t="s">
        <v>134</v>
      </c>
      <c r="BQ256" t="s">
        <v>134</v>
      </c>
      <c r="BR256" t="s">
        <v>134</v>
      </c>
      <c r="BS256" t="s">
        <v>134</v>
      </c>
      <c r="BT256" t="s">
        <v>134</v>
      </c>
      <c r="BU256" t="s">
        <v>134</v>
      </c>
      <c r="BV256" t="s">
        <v>134</v>
      </c>
      <c r="BW256" t="s">
        <v>134</v>
      </c>
      <c r="BX256" t="s">
        <v>134</v>
      </c>
      <c r="BY256" t="s">
        <v>134</v>
      </c>
      <c r="BZ256" t="s">
        <v>134</v>
      </c>
      <c r="CA256" t="s">
        <v>134</v>
      </c>
      <c r="CB256" t="s">
        <v>134</v>
      </c>
      <c r="CC256" t="s">
        <v>134</v>
      </c>
      <c r="CD256" t="s">
        <v>134</v>
      </c>
      <c r="CE256" t="s">
        <v>134</v>
      </c>
      <c r="CF256">
        <v>185.88939999999999</v>
      </c>
      <c r="CG256" t="s">
        <v>134</v>
      </c>
      <c r="CH256" t="s">
        <v>134</v>
      </c>
      <c r="CI256" t="s">
        <v>134</v>
      </c>
      <c r="CJ256" t="s">
        <v>134</v>
      </c>
      <c r="CK256" t="s">
        <v>134</v>
      </c>
      <c r="CL256" t="s">
        <v>134</v>
      </c>
      <c r="CM256" t="s">
        <v>134</v>
      </c>
      <c r="CN256" t="s">
        <v>134</v>
      </c>
      <c r="CO256" t="s">
        <v>134</v>
      </c>
      <c r="CP256">
        <v>7733</v>
      </c>
      <c r="CQ256" t="s">
        <v>134</v>
      </c>
      <c r="CR256">
        <v>7096.3</v>
      </c>
      <c r="CS256" t="s">
        <v>134</v>
      </c>
      <c r="CT256" t="s">
        <v>134</v>
      </c>
      <c r="CU256" t="s">
        <v>134</v>
      </c>
      <c r="CV256" t="s">
        <v>134</v>
      </c>
      <c r="CW256" t="s">
        <v>134</v>
      </c>
      <c r="CX256" t="s">
        <v>134</v>
      </c>
      <c r="CY256" t="s">
        <v>134</v>
      </c>
      <c r="CZ256" t="s">
        <v>134</v>
      </c>
      <c r="DA256" t="s">
        <v>134</v>
      </c>
      <c r="DB256" t="s">
        <v>134</v>
      </c>
      <c r="DC256" t="s">
        <v>134</v>
      </c>
      <c r="DD256" t="s">
        <v>134</v>
      </c>
      <c r="DE256" t="s">
        <v>134</v>
      </c>
      <c r="DF256" t="s">
        <v>134</v>
      </c>
      <c r="DG256" t="s">
        <v>134</v>
      </c>
      <c r="DH256" t="s">
        <v>134</v>
      </c>
      <c r="DI256" t="s">
        <v>134</v>
      </c>
    </row>
    <row r="257" spans="4:113" x14ac:dyDescent="0.3">
      <c r="E257" t="s">
        <v>7</v>
      </c>
      <c r="F257">
        <v>30.2638</v>
      </c>
      <c r="G257">
        <v>19.209</v>
      </c>
      <c r="H257">
        <v>26.804600000000001</v>
      </c>
      <c r="I257">
        <v>24.1343</v>
      </c>
      <c r="J257">
        <v>28.737500000000001</v>
      </c>
      <c r="K257">
        <v>26.302700000000002</v>
      </c>
      <c r="L257">
        <v>53.084400000000002</v>
      </c>
      <c r="M257">
        <v>26.074000000000002</v>
      </c>
      <c r="N257">
        <v>18.45</v>
      </c>
      <c r="O257">
        <v>18.1219</v>
      </c>
      <c r="P257">
        <v>18.1219</v>
      </c>
      <c r="Q257">
        <v>29.239899999999999</v>
      </c>
      <c r="R257" t="s">
        <v>134</v>
      </c>
      <c r="S257" t="s">
        <v>134</v>
      </c>
      <c r="T257">
        <v>20.2652</v>
      </c>
      <c r="U257">
        <v>33.131900000000002</v>
      </c>
      <c r="V257">
        <v>51.533000000000001</v>
      </c>
      <c r="W257">
        <v>35.512599999999999</v>
      </c>
      <c r="X257">
        <v>35.093499999999999</v>
      </c>
      <c r="Y257" t="s">
        <v>134</v>
      </c>
      <c r="Z257">
        <v>12.6708</v>
      </c>
      <c r="AA257">
        <v>9.2624999999999993</v>
      </c>
      <c r="AB257">
        <v>8.4491999999999994</v>
      </c>
      <c r="AC257">
        <v>14.4962</v>
      </c>
      <c r="AD257">
        <v>15.6813</v>
      </c>
      <c r="AE257">
        <v>62.479300000000002</v>
      </c>
      <c r="AF257">
        <v>3.3075999999999999</v>
      </c>
      <c r="AG257">
        <v>-45.196899999999999</v>
      </c>
      <c r="AH257">
        <v>-43.860399999999998</v>
      </c>
      <c r="AI257">
        <v>32.959800000000001</v>
      </c>
      <c r="AJ257">
        <v>19.043399999999998</v>
      </c>
      <c r="AK257">
        <v>32.941000000000003</v>
      </c>
      <c r="AL257" t="s">
        <v>134</v>
      </c>
      <c r="AM257">
        <v>23.9419</v>
      </c>
      <c r="AN257">
        <v>32.5505</v>
      </c>
      <c r="AO257">
        <v>33.727400000000003</v>
      </c>
      <c r="AP257">
        <v>28.5746</v>
      </c>
      <c r="AQ257">
        <v>26.667000000000002</v>
      </c>
      <c r="AR257" t="s">
        <v>134</v>
      </c>
      <c r="AS257">
        <v>21.833300000000001</v>
      </c>
      <c r="AT257">
        <v>17.3428</v>
      </c>
      <c r="AU257">
        <v>15.427899999999999</v>
      </c>
      <c r="AV257">
        <v>20.499600000000001</v>
      </c>
      <c r="AW257">
        <v>20.823399999999999</v>
      </c>
      <c r="AX257">
        <v>56.710599999999999</v>
      </c>
      <c r="AY257">
        <v>17.55</v>
      </c>
      <c r="AZ257">
        <v>-4.9317000000000002</v>
      </c>
      <c r="BA257">
        <v>-11.7781</v>
      </c>
      <c r="BB257">
        <v>37.209699999999998</v>
      </c>
      <c r="BC257">
        <v>23.510899999999999</v>
      </c>
      <c r="BD257">
        <v>35.053699999999999</v>
      </c>
      <c r="BE257" t="s">
        <v>134</v>
      </c>
      <c r="BF257">
        <v>2.2991000000000001</v>
      </c>
      <c r="BG257">
        <v>13.4023</v>
      </c>
      <c r="BH257">
        <v>13.1068</v>
      </c>
      <c r="BI257">
        <v>16.1448</v>
      </c>
      <c r="BJ257">
        <v>16.068100000000001</v>
      </c>
      <c r="BK257" t="s">
        <v>134</v>
      </c>
      <c r="BL257" t="s">
        <v>134</v>
      </c>
      <c r="BM257" t="s">
        <v>134</v>
      </c>
      <c r="BN257" t="s">
        <v>134</v>
      </c>
      <c r="BO257" t="s">
        <v>134</v>
      </c>
      <c r="BP257" t="s">
        <v>134</v>
      </c>
      <c r="BQ257" t="s">
        <v>134</v>
      </c>
      <c r="BR257" t="s">
        <v>134</v>
      </c>
      <c r="BS257" t="s">
        <v>134</v>
      </c>
      <c r="BT257" t="s">
        <v>134</v>
      </c>
      <c r="BU257" t="s">
        <v>134</v>
      </c>
      <c r="BV257" t="s">
        <v>134</v>
      </c>
      <c r="BW257" t="s">
        <v>134</v>
      </c>
      <c r="BX257" t="s">
        <v>134</v>
      </c>
      <c r="BY257">
        <v>6537.4</v>
      </c>
      <c r="BZ257">
        <v>5027.8</v>
      </c>
      <c r="CA257">
        <v>1509.6</v>
      </c>
      <c r="CB257">
        <v>0.22550000000000001</v>
      </c>
      <c r="CC257">
        <v>-0.10929999999999999</v>
      </c>
      <c r="CD257">
        <v>0.24779999999999999</v>
      </c>
      <c r="CE257">
        <v>-0.1201</v>
      </c>
      <c r="CF257">
        <v>71.998400000000004</v>
      </c>
      <c r="CG257">
        <v>67.916399999999996</v>
      </c>
      <c r="CH257">
        <v>2.157</v>
      </c>
      <c r="CI257">
        <v>1.9727999999999999</v>
      </c>
      <c r="CJ257">
        <v>1.4791000000000001</v>
      </c>
      <c r="CK257">
        <v>9.3411000000000008</v>
      </c>
      <c r="CL257">
        <v>8.5431000000000008</v>
      </c>
      <c r="CM257">
        <v>6.4054000000000002</v>
      </c>
      <c r="CN257">
        <v>-4.5292000000000003</v>
      </c>
      <c r="CO257">
        <v>-4.7440999999999995</v>
      </c>
      <c r="CP257">
        <v>8769.4</v>
      </c>
      <c r="CQ257" t="s">
        <v>134</v>
      </c>
      <c r="CR257">
        <v>8026.4</v>
      </c>
      <c r="CS257">
        <v>0.36919999999999997</v>
      </c>
      <c r="CT257">
        <v>2.3199999999999998</v>
      </c>
      <c r="CU257">
        <v>1.3062</v>
      </c>
      <c r="CV257">
        <v>11.077999999999999</v>
      </c>
      <c r="CW257">
        <v>4.7672999999999996</v>
      </c>
      <c r="CX257">
        <v>76.562799999999996</v>
      </c>
      <c r="CY257">
        <v>1.9702999999999999</v>
      </c>
      <c r="CZ257">
        <v>185.25219999999999</v>
      </c>
      <c r="DA257">
        <v>2.6764999999999999</v>
      </c>
      <c r="DB257">
        <v>136.37459999999999</v>
      </c>
      <c r="DC257">
        <v>125.4404</v>
      </c>
      <c r="DD257">
        <v>261.815</v>
      </c>
      <c r="DE257">
        <v>21294.5</v>
      </c>
      <c r="DF257">
        <v>4516.1000000000004</v>
      </c>
      <c r="DG257">
        <v>3656.7</v>
      </c>
      <c r="DH257">
        <v>6270.2</v>
      </c>
      <c r="DI257">
        <v>6851.5</v>
      </c>
    </row>
    <row r="258" spans="4:113" x14ac:dyDescent="0.3">
      <c r="D258" t="s">
        <v>8</v>
      </c>
      <c r="E258" t="s">
        <v>3</v>
      </c>
      <c r="F258">
        <v>30.4099</v>
      </c>
      <c r="G258">
        <v>20.59</v>
      </c>
      <c r="H258">
        <v>28.657499999999999</v>
      </c>
      <c r="I258">
        <v>26.9819</v>
      </c>
      <c r="J258">
        <v>29.709399999999999</v>
      </c>
      <c r="K258">
        <v>26.2593</v>
      </c>
      <c r="L258">
        <v>34.2727</v>
      </c>
      <c r="M258">
        <v>27.102399999999999</v>
      </c>
      <c r="N258">
        <v>19.400700000000001</v>
      </c>
      <c r="O258">
        <v>19.073799999999999</v>
      </c>
      <c r="P258">
        <v>19.073799999999999</v>
      </c>
      <c r="Q258">
        <v>28.418700000000001</v>
      </c>
      <c r="R258">
        <v>14.027699999999999</v>
      </c>
      <c r="S258">
        <v>26.144100000000002</v>
      </c>
      <c r="T258">
        <v>13.6477</v>
      </c>
      <c r="U258">
        <v>22.690899999999999</v>
      </c>
      <c r="V258">
        <v>18.586500000000001</v>
      </c>
      <c r="W258">
        <v>30.8691</v>
      </c>
      <c r="X258">
        <v>30.424099999999999</v>
      </c>
      <c r="Y258">
        <v>25</v>
      </c>
      <c r="Z258">
        <v>7.8109999999999999</v>
      </c>
      <c r="AA258">
        <v>17.5684</v>
      </c>
      <c r="AB258">
        <v>8.9588999999999999</v>
      </c>
      <c r="AC258">
        <v>28.725300000000001</v>
      </c>
      <c r="AD258">
        <v>6.8230000000000004</v>
      </c>
      <c r="AE258">
        <v>18.2149</v>
      </c>
      <c r="AF258">
        <v>22.703900000000001</v>
      </c>
      <c r="AG258">
        <v>-13.423400000000001</v>
      </c>
      <c r="AH258">
        <v>-17.838899999999999</v>
      </c>
      <c r="AI258">
        <v>27.143599999999999</v>
      </c>
      <c r="AJ258">
        <v>23.300699999999999</v>
      </c>
      <c r="AK258">
        <v>27.706900000000001</v>
      </c>
      <c r="AL258">
        <v>40.254600000000003</v>
      </c>
      <c r="AM258">
        <v>21.423400000000001</v>
      </c>
      <c r="AN258">
        <v>30.787500000000001</v>
      </c>
      <c r="AO258">
        <v>31.101800000000001</v>
      </c>
      <c r="AP258">
        <v>28.661799999999999</v>
      </c>
      <c r="AQ258">
        <v>27.8735</v>
      </c>
      <c r="AR258">
        <v>22.670300000000001</v>
      </c>
      <c r="AS258">
        <v>18.716899999999999</v>
      </c>
      <c r="AT258">
        <v>20.843699999999998</v>
      </c>
      <c r="AU258">
        <v>12.185700000000001</v>
      </c>
      <c r="AV258">
        <v>20.903300000000002</v>
      </c>
      <c r="AW258">
        <v>21.382999999999999</v>
      </c>
      <c r="AX258">
        <v>41.640999999999998</v>
      </c>
      <c r="AY258">
        <v>17.265699999999999</v>
      </c>
      <c r="AZ258">
        <v>-12.862500000000001</v>
      </c>
      <c r="BA258">
        <v>-13.971</v>
      </c>
      <c r="BB258">
        <v>27.964300000000001</v>
      </c>
      <c r="BC258">
        <v>20.3748</v>
      </c>
      <c r="BD258">
        <v>27.874700000000001</v>
      </c>
      <c r="BE258">
        <v>34.334800000000001</v>
      </c>
      <c r="BF258">
        <v>13.6477</v>
      </c>
      <c r="BG258">
        <v>22.690899999999999</v>
      </c>
      <c r="BH258">
        <v>18.586500000000001</v>
      </c>
      <c r="BI258">
        <v>30.8691</v>
      </c>
      <c r="BJ258">
        <v>30.424099999999999</v>
      </c>
      <c r="BK258">
        <v>25</v>
      </c>
      <c r="BL258">
        <v>7.8109999999999999</v>
      </c>
      <c r="BM258">
        <v>17.5684</v>
      </c>
      <c r="BN258">
        <v>8.9588999999999999</v>
      </c>
      <c r="BO258">
        <v>28.725300000000001</v>
      </c>
      <c r="BP258">
        <v>6.8230000000000004</v>
      </c>
      <c r="BQ258">
        <v>18.2149</v>
      </c>
      <c r="BR258">
        <v>22.703900000000001</v>
      </c>
      <c r="BS258">
        <v>-13.423400000000001</v>
      </c>
      <c r="BT258">
        <v>-17.838899999999999</v>
      </c>
      <c r="BU258">
        <v>27.143599999999999</v>
      </c>
      <c r="BV258">
        <v>23.300699999999999</v>
      </c>
      <c r="BW258">
        <v>27.706900000000001</v>
      </c>
      <c r="BX258">
        <v>40.254600000000003</v>
      </c>
      <c r="BY258">
        <v>5371.2</v>
      </c>
      <c r="BZ258">
        <v>4352.8999999999996</v>
      </c>
      <c r="CA258">
        <v>1018.3</v>
      </c>
      <c r="CB258">
        <v>0.14349999999999999</v>
      </c>
      <c r="CC258">
        <v>-0.41930000000000001</v>
      </c>
      <c r="CD258">
        <v>0.1623</v>
      </c>
      <c r="CE258">
        <v>-0.47439999999999999</v>
      </c>
      <c r="CF258">
        <v>669.6422</v>
      </c>
      <c r="CG258">
        <v>67.546300000000002</v>
      </c>
      <c r="CH258">
        <v>1.1444000000000001</v>
      </c>
      <c r="CI258">
        <v>1.0791999999999999</v>
      </c>
      <c r="CJ258">
        <v>0.77510000000000001</v>
      </c>
      <c r="CK258">
        <v>6.0362999999999998</v>
      </c>
      <c r="CL258">
        <v>5.6927000000000003</v>
      </c>
      <c r="CM258">
        <v>4.0884</v>
      </c>
      <c r="CN258">
        <v>-17.6402</v>
      </c>
      <c r="CO258">
        <v>-21.418399999999998</v>
      </c>
      <c r="CP258">
        <v>37433</v>
      </c>
      <c r="CQ258">
        <v>28721.200000000001</v>
      </c>
      <c r="CR258">
        <v>33086</v>
      </c>
      <c r="CS258">
        <v>0.56489999999999996</v>
      </c>
      <c r="CT258">
        <v>2.1002999999999998</v>
      </c>
      <c r="CU258">
        <v>1.2772999999999999</v>
      </c>
      <c r="CV258">
        <v>16.071300000000001</v>
      </c>
      <c r="CW258">
        <v>4.9211</v>
      </c>
      <c r="CX258">
        <v>74.170100000000005</v>
      </c>
      <c r="CY258">
        <v>1.7</v>
      </c>
      <c r="CZ258">
        <v>214.702</v>
      </c>
      <c r="DA258">
        <v>2.4293</v>
      </c>
      <c r="DB258">
        <v>150.249</v>
      </c>
      <c r="DC258">
        <v>138.62309999999999</v>
      </c>
      <c r="DD258">
        <v>288.87209999999999</v>
      </c>
      <c r="DE258">
        <v>25035.599999999999</v>
      </c>
      <c r="DF258">
        <v>5945.8</v>
      </c>
      <c r="DG258">
        <v>4099.1000000000004</v>
      </c>
      <c r="DH258">
        <v>7344</v>
      </c>
      <c r="DI258">
        <v>7646.7</v>
      </c>
    </row>
    <row r="259" spans="4:113" x14ac:dyDescent="0.3">
      <c r="E259" t="s">
        <v>4</v>
      </c>
      <c r="F259" t="s">
        <v>134</v>
      </c>
      <c r="G259" t="s">
        <v>134</v>
      </c>
      <c r="H259" t="s">
        <v>134</v>
      </c>
      <c r="I259" t="s">
        <v>134</v>
      </c>
      <c r="J259">
        <v>33.945399999999999</v>
      </c>
      <c r="K259">
        <v>30.638999999999999</v>
      </c>
      <c r="L259">
        <v>55.49</v>
      </c>
      <c r="M259">
        <v>31.441099999999999</v>
      </c>
      <c r="N259">
        <v>19.171099999999999</v>
      </c>
      <c r="O259">
        <v>19.024000000000001</v>
      </c>
      <c r="P259">
        <v>19.024000000000001</v>
      </c>
      <c r="Q259">
        <v>39.025300000000001</v>
      </c>
      <c r="R259" t="s">
        <v>134</v>
      </c>
      <c r="S259" t="s">
        <v>134</v>
      </c>
      <c r="T259">
        <v>35.663400000000003</v>
      </c>
      <c r="U259">
        <v>89.091300000000004</v>
      </c>
      <c r="V259">
        <v>90.876999999999995</v>
      </c>
      <c r="W259">
        <v>55.772199999999998</v>
      </c>
      <c r="X259">
        <v>55.493299999999998</v>
      </c>
      <c r="Y259" t="s">
        <v>134</v>
      </c>
      <c r="Z259" t="s">
        <v>134</v>
      </c>
      <c r="AA259" t="s">
        <v>134</v>
      </c>
      <c r="AB259" t="s">
        <v>134</v>
      </c>
      <c r="AC259" t="s">
        <v>134</v>
      </c>
      <c r="AD259" t="s">
        <v>134</v>
      </c>
      <c r="AE259" t="s">
        <v>134</v>
      </c>
      <c r="AF259" t="s">
        <v>134</v>
      </c>
      <c r="AG259" t="s">
        <v>134</v>
      </c>
      <c r="AH259" t="s">
        <v>134</v>
      </c>
      <c r="AI259" t="s">
        <v>134</v>
      </c>
      <c r="AJ259" t="s">
        <v>134</v>
      </c>
      <c r="AK259" t="s">
        <v>134</v>
      </c>
      <c r="AL259" t="s">
        <v>134</v>
      </c>
      <c r="AM259">
        <v>24.7803</v>
      </c>
      <c r="AN259">
        <v>39.748800000000003</v>
      </c>
      <c r="AO259">
        <v>40.148899999999998</v>
      </c>
      <c r="AP259">
        <v>34.848500000000001</v>
      </c>
      <c r="AQ259">
        <v>33.070900000000002</v>
      </c>
      <c r="AR259" t="s">
        <v>134</v>
      </c>
      <c r="AS259" t="s">
        <v>134</v>
      </c>
      <c r="AT259" t="s">
        <v>134</v>
      </c>
      <c r="AU259" t="s">
        <v>134</v>
      </c>
      <c r="AV259" t="s">
        <v>134</v>
      </c>
      <c r="AW259" t="s">
        <v>134</v>
      </c>
      <c r="AX259" t="s">
        <v>134</v>
      </c>
      <c r="AY259" t="s">
        <v>134</v>
      </c>
      <c r="AZ259" t="s">
        <v>134</v>
      </c>
      <c r="BA259" t="s">
        <v>134</v>
      </c>
      <c r="BB259" t="s">
        <v>134</v>
      </c>
      <c r="BC259" t="s">
        <v>134</v>
      </c>
      <c r="BD259" t="s">
        <v>134</v>
      </c>
      <c r="BE259" t="s">
        <v>134</v>
      </c>
      <c r="BF259">
        <v>7.6158000000000001</v>
      </c>
      <c r="BG259">
        <v>27.118200000000002</v>
      </c>
      <c r="BH259">
        <v>25.357600000000001</v>
      </c>
      <c r="BI259">
        <v>12.972899999999999</v>
      </c>
      <c r="BJ259">
        <v>12.947900000000001</v>
      </c>
      <c r="BK259" t="s">
        <v>134</v>
      </c>
      <c r="BL259" t="s">
        <v>134</v>
      </c>
      <c r="BM259" t="s">
        <v>134</v>
      </c>
      <c r="BN259" t="s">
        <v>134</v>
      </c>
      <c r="BO259" t="s">
        <v>134</v>
      </c>
      <c r="BP259" t="s">
        <v>134</v>
      </c>
      <c r="BQ259" t="s">
        <v>134</v>
      </c>
      <c r="BR259" t="s">
        <v>134</v>
      </c>
      <c r="BS259" t="s">
        <v>134</v>
      </c>
      <c r="BT259" t="s">
        <v>134</v>
      </c>
      <c r="BU259">
        <v>-100</v>
      </c>
      <c r="BV259" t="s">
        <v>134</v>
      </c>
      <c r="BW259">
        <v>-100</v>
      </c>
      <c r="BX259" t="s">
        <v>134</v>
      </c>
      <c r="BY259" t="s">
        <v>134</v>
      </c>
      <c r="BZ259" t="s">
        <v>134</v>
      </c>
      <c r="CA259" t="s">
        <v>134</v>
      </c>
      <c r="CB259" t="s">
        <v>134</v>
      </c>
      <c r="CC259" t="s">
        <v>134</v>
      </c>
      <c r="CD259" t="s">
        <v>134</v>
      </c>
      <c r="CE259" t="s">
        <v>134</v>
      </c>
      <c r="CF259">
        <v>433.75490000000002</v>
      </c>
      <c r="CG259" t="s">
        <v>134</v>
      </c>
      <c r="CH259" t="s">
        <v>134</v>
      </c>
      <c r="CI259" t="s">
        <v>134</v>
      </c>
      <c r="CJ259" t="s">
        <v>134</v>
      </c>
      <c r="CK259" t="s">
        <v>134</v>
      </c>
      <c r="CL259" t="s">
        <v>134</v>
      </c>
      <c r="CM259" t="s">
        <v>134</v>
      </c>
      <c r="CN259" t="s">
        <v>134</v>
      </c>
      <c r="CO259" t="s">
        <v>134</v>
      </c>
      <c r="CP259">
        <v>11147.5</v>
      </c>
      <c r="CQ259" t="s">
        <v>134</v>
      </c>
      <c r="CR259">
        <v>10061.700000000001</v>
      </c>
      <c r="CS259" t="s">
        <v>134</v>
      </c>
      <c r="CT259" t="s">
        <v>134</v>
      </c>
      <c r="CU259" t="s">
        <v>134</v>
      </c>
      <c r="CV259" t="s">
        <v>134</v>
      </c>
      <c r="CW259" t="s">
        <v>134</v>
      </c>
      <c r="CX259" t="s">
        <v>134</v>
      </c>
      <c r="CY259" t="s">
        <v>134</v>
      </c>
      <c r="CZ259" t="s">
        <v>134</v>
      </c>
      <c r="DA259" t="s">
        <v>134</v>
      </c>
      <c r="DB259" t="s">
        <v>134</v>
      </c>
      <c r="DC259" t="s">
        <v>134</v>
      </c>
      <c r="DD259" t="s">
        <v>134</v>
      </c>
      <c r="DE259" t="s">
        <v>134</v>
      </c>
      <c r="DF259" t="s">
        <v>134</v>
      </c>
      <c r="DG259" t="s">
        <v>134</v>
      </c>
      <c r="DH259" t="s">
        <v>134</v>
      </c>
      <c r="DI259" t="s">
        <v>134</v>
      </c>
    </row>
    <row r="260" spans="4:113" x14ac:dyDescent="0.3">
      <c r="E260" t="s">
        <v>5</v>
      </c>
      <c r="F260">
        <v>31.666599999999999</v>
      </c>
      <c r="G260">
        <v>21.708500000000001</v>
      </c>
      <c r="H260">
        <v>29.407599999999999</v>
      </c>
      <c r="I260">
        <v>27.3476</v>
      </c>
      <c r="J260">
        <v>26.711300000000001</v>
      </c>
      <c r="K260">
        <v>23.224399999999999</v>
      </c>
      <c r="L260">
        <v>25.727799999999998</v>
      </c>
      <c r="M260">
        <v>26.693000000000001</v>
      </c>
      <c r="N260">
        <v>20.514900000000001</v>
      </c>
      <c r="O260">
        <v>20.214300000000001</v>
      </c>
      <c r="P260">
        <v>20.214300000000001</v>
      </c>
      <c r="Q260">
        <v>23.145099999999999</v>
      </c>
      <c r="R260" t="s">
        <v>134</v>
      </c>
      <c r="S260" t="s">
        <v>134</v>
      </c>
      <c r="T260">
        <v>18.444099999999999</v>
      </c>
      <c r="U260">
        <v>26.220800000000001</v>
      </c>
      <c r="V260">
        <v>20.846800000000002</v>
      </c>
      <c r="W260">
        <v>55.113500000000002</v>
      </c>
      <c r="X260">
        <v>54.706499999999998</v>
      </c>
      <c r="Y260" t="s">
        <v>134</v>
      </c>
      <c r="Z260">
        <v>41.058100000000003</v>
      </c>
      <c r="AA260">
        <v>0.49619999999999997</v>
      </c>
      <c r="AB260" t="s">
        <v>134</v>
      </c>
      <c r="AC260">
        <v>22.830300000000001</v>
      </c>
      <c r="AD260">
        <v>14.0265</v>
      </c>
      <c r="AE260">
        <v>43.935499999999998</v>
      </c>
      <c r="AF260">
        <v>31.390999999999998</v>
      </c>
      <c r="AG260">
        <v>-43.781500000000001</v>
      </c>
      <c r="AH260">
        <v>-45.709699999999998</v>
      </c>
      <c r="AI260">
        <v>32.755800000000001</v>
      </c>
      <c r="AJ260">
        <v>22.5977</v>
      </c>
      <c r="AK260">
        <v>32.488700000000001</v>
      </c>
      <c r="AL260" t="s">
        <v>134</v>
      </c>
      <c r="AM260">
        <v>22.831900000000001</v>
      </c>
      <c r="AN260">
        <v>31.0947</v>
      </c>
      <c r="AO260">
        <v>30.564299999999999</v>
      </c>
      <c r="AP260">
        <v>31.488199999999999</v>
      </c>
      <c r="AQ260">
        <v>30.198</v>
      </c>
      <c r="AR260" t="s">
        <v>134</v>
      </c>
      <c r="AS260" t="s">
        <v>134</v>
      </c>
      <c r="AT260" t="s">
        <v>134</v>
      </c>
      <c r="AU260" t="s">
        <v>134</v>
      </c>
      <c r="AV260" t="s">
        <v>134</v>
      </c>
      <c r="AW260" t="s">
        <v>134</v>
      </c>
      <c r="AX260" t="s">
        <v>134</v>
      </c>
      <c r="AY260" t="s">
        <v>134</v>
      </c>
      <c r="AZ260" t="s">
        <v>134</v>
      </c>
      <c r="BA260" t="s">
        <v>134</v>
      </c>
      <c r="BB260" t="s">
        <v>134</v>
      </c>
      <c r="BC260" t="s">
        <v>134</v>
      </c>
      <c r="BD260" t="s">
        <v>134</v>
      </c>
      <c r="BE260" t="s">
        <v>134</v>
      </c>
      <c r="BF260">
        <v>-5.0895999999999999</v>
      </c>
      <c r="BG260">
        <v>-25.315999999999999</v>
      </c>
      <c r="BH260">
        <v>-28.0579</v>
      </c>
      <c r="BI260">
        <v>0.84840000000000004</v>
      </c>
      <c r="BJ260">
        <v>0.72099999999999997</v>
      </c>
      <c r="BK260" t="s">
        <v>134</v>
      </c>
      <c r="BL260" t="s">
        <v>134</v>
      </c>
      <c r="BM260" t="s">
        <v>134</v>
      </c>
      <c r="BN260" t="s">
        <v>134</v>
      </c>
      <c r="BO260" t="s">
        <v>134</v>
      </c>
      <c r="BP260" t="s">
        <v>134</v>
      </c>
      <c r="BQ260" t="s">
        <v>134</v>
      </c>
      <c r="BR260" t="s">
        <v>134</v>
      </c>
      <c r="BS260" t="s">
        <v>134</v>
      </c>
      <c r="BT260" t="s">
        <v>134</v>
      </c>
      <c r="BU260" t="s">
        <v>134</v>
      </c>
      <c r="BV260" t="s">
        <v>134</v>
      </c>
      <c r="BW260" t="s">
        <v>134</v>
      </c>
      <c r="BX260" t="s">
        <v>134</v>
      </c>
      <c r="BY260">
        <v>5003.5</v>
      </c>
      <c r="BZ260">
        <v>3888.8</v>
      </c>
      <c r="CA260">
        <v>1114.7</v>
      </c>
      <c r="CB260">
        <v>0.1391</v>
      </c>
      <c r="CC260">
        <v>-0.2482</v>
      </c>
      <c r="CD260">
        <v>0.15429999999999999</v>
      </c>
      <c r="CE260">
        <v>-0.27539999999999998</v>
      </c>
      <c r="CF260">
        <v>390.86380000000003</v>
      </c>
      <c r="CG260">
        <v>70.933499999999995</v>
      </c>
      <c r="CH260">
        <v>1.3549</v>
      </c>
      <c r="CI260">
        <v>1.2772000000000001</v>
      </c>
      <c r="CJ260">
        <v>0.96109999999999995</v>
      </c>
      <c r="CK260">
        <v>6.0815000000000001</v>
      </c>
      <c r="CL260">
        <v>5.7328999999999999</v>
      </c>
      <c r="CM260">
        <v>4.3137999999999996</v>
      </c>
      <c r="CN260">
        <v>-10.8546</v>
      </c>
      <c r="CO260">
        <v>-12.176299999999999</v>
      </c>
      <c r="CP260">
        <v>8325.4</v>
      </c>
      <c r="CQ260" t="s">
        <v>134</v>
      </c>
      <c r="CR260">
        <v>7238.6</v>
      </c>
      <c r="CS260">
        <v>0.4864</v>
      </c>
      <c r="CT260">
        <v>2.4249000000000001</v>
      </c>
      <c r="CU260">
        <v>1.4637</v>
      </c>
      <c r="CV260">
        <v>14.803699999999999</v>
      </c>
      <c r="CW260">
        <v>5.1986999999999997</v>
      </c>
      <c r="CX260">
        <v>70.210499999999996</v>
      </c>
      <c r="CY260">
        <v>1.8822999999999999</v>
      </c>
      <c r="CZ260">
        <v>193.90799999999999</v>
      </c>
      <c r="DA260">
        <v>2.6454</v>
      </c>
      <c r="DB260">
        <v>137.97720000000001</v>
      </c>
      <c r="DC260">
        <v>126.1413</v>
      </c>
      <c r="DD260">
        <v>264.11849999999998</v>
      </c>
      <c r="DE260">
        <v>22218.799999999999</v>
      </c>
      <c r="DF260" t="s">
        <v>134</v>
      </c>
      <c r="DG260" t="s">
        <v>134</v>
      </c>
      <c r="DH260" t="s">
        <v>134</v>
      </c>
      <c r="DI260" t="s">
        <v>134</v>
      </c>
    </row>
    <row r="261" spans="4:113" x14ac:dyDescent="0.3">
      <c r="E261" t="s">
        <v>6</v>
      </c>
      <c r="F261" t="s">
        <v>134</v>
      </c>
      <c r="G261" t="s">
        <v>134</v>
      </c>
      <c r="H261" t="s">
        <v>134</v>
      </c>
      <c r="I261" t="s">
        <v>134</v>
      </c>
      <c r="J261">
        <v>28.074300000000001</v>
      </c>
      <c r="K261">
        <v>24.568000000000001</v>
      </c>
      <c r="L261">
        <v>38.909500000000001</v>
      </c>
      <c r="M261">
        <v>27.1356</v>
      </c>
      <c r="N261">
        <v>19.546800000000001</v>
      </c>
      <c r="O261">
        <v>19.124600000000001</v>
      </c>
      <c r="P261">
        <v>19.124600000000001</v>
      </c>
      <c r="Q261">
        <v>27.966100000000001</v>
      </c>
      <c r="R261" t="s">
        <v>134</v>
      </c>
      <c r="S261" t="s">
        <v>134</v>
      </c>
      <c r="T261">
        <v>5.4287999999999998</v>
      </c>
      <c r="U261">
        <v>14.174300000000001</v>
      </c>
      <c r="V261">
        <v>8.8793000000000006</v>
      </c>
      <c r="W261">
        <v>26.320499999999999</v>
      </c>
      <c r="X261">
        <v>25.9924</v>
      </c>
      <c r="Y261" t="s">
        <v>134</v>
      </c>
      <c r="Z261" t="s">
        <v>134</v>
      </c>
      <c r="AA261" t="s">
        <v>134</v>
      </c>
      <c r="AB261" t="s">
        <v>134</v>
      </c>
      <c r="AC261" t="s">
        <v>134</v>
      </c>
      <c r="AD261" t="s">
        <v>134</v>
      </c>
      <c r="AE261" t="s">
        <v>134</v>
      </c>
      <c r="AF261" t="s">
        <v>134</v>
      </c>
      <c r="AG261" t="s">
        <v>134</v>
      </c>
      <c r="AH261" t="s">
        <v>134</v>
      </c>
      <c r="AI261" t="s">
        <v>134</v>
      </c>
      <c r="AJ261" t="s">
        <v>134</v>
      </c>
      <c r="AK261" t="s">
        <v>134</v>
      </c>
      <c r="AL261" t="s">
        <v>134</v>
      </c>
      <c r="AM261">
        <v>20.160900000000002</v>
      </c>
      <c r="AN261">
        <v>27.526199999999999</v>
      </c>
      <c r="AO261">
        <v>27.8794</v>
      </c>
      <c r="AP261">
        <v>30.2239</v>
      </c>
      <c r="AQ261">
        <v>29.316800000000001</v>
      </c>
      <c r="AR261" t="s">
        <v>134</v>
      </c>
      <c r="AS261" t="s">
        <v>134</v>
      </c>
      <c r="AT261" t="s">
        <v>134</v>
      </c>
      <c r="AU261" t="s">
        <v>134</v>
      </c>
      <c r="AV261" t="s">
        <v>134</v>
      </c>
      <c r="AW261" t="s">
        <v>134</v>
      </c>
      <c r="AX261" t="s">
        <v>134</v>
      </c>
      <c r="AY261" t="s">
        <v>134</v>
      </c>
      <c r="AZ261" t="s">
        <v>134</v>
      </c>
      <c r="BA261" t="s">
        <v>134</v>
      </c>
      <c r="BB261" t="s">
        <v>134</v>
      </c>
      <c r="BC261" t="s">
        <v>134</v>
      </c>
      <c r="BD261" t="s">
        <v>134</v>
      </c>
      <c r="BE261" t="s">
        <v>134</v>
      </c>
      <c r="BF261">
        <v>0.90159999999999996</v>
      </c>
      <c r="BG261">
        <v>6.0502000000000002</v>
      </c>
      <c r="BH261">
        <v>6.7389000000000001</v>
      </c>
      <c r="BI261">
        <v>-4.5377999999999998</v>
      </c>
      <c r="BJ261">
        <v>-4.5811999999999999</v>
      </c>
      <c r="BK261" t="s">
        <v>134</v>
      </c>
      <c r="BL261" t="s">
        <v>134</v>
      </c>
      <c r="BM261" t="s">
        <v>134</v>
      </c>
      <c r="BN261" t="s">
        <v>134</v>
      </c>
      <c r="BO261" t="s">
        <v>134</v>
      </c>
      <c r="BP261" t="s">
        <v>134</v>
      </c>
      <c r="BQ261" t="s">
        <v>134</v>
      </c>
      <c r="BR261" t="s">
        <v>134</v>
      </c>
      <c r="BS261" t="s">
        <v>134</v>
      </c>
      <c r="BT261" t="s">
        <v>134</v>
      </c>
      <c r="BU261" t="s">
        <v>134</v>
      </c>
      <c r="BV261" t="s">
        <v>134</v>
      </c>
      <c r="BW261" t="s">
        <v>134</v>
      </c>
      <c r="BX261" t="s">
        <v>134</v>
      </c>
      <c r="BY261" t="s">
        <v>134</v>
      </c>
      <c r="BZ261" t="s">
        <v>134</v>
      </c>
      <c r="CA261" t="s">
        <v>134</v>
      </c>
      <c r="CB261" t="s">
        <v>134</v>
      </c>
      <c r="CC261" t="s">
        <v>134</v>
      </c>
      <c r="CD261" t="s">
        <v>134</v>
      </c>
      <c r="CE261" t="s">
        <v>134</v>
      </c>
      <c r="CF261">
        <v>333.17360000000002</v>
      </c>
      <c r="CG261" t="s">
        <v>134</v>
      </c>
      <c r="CH261" t="s">
        <v>134</v>
      </c>
      <c r="CI261" t="s">
        <v>134</v>
      </c>
      <c r="CJ261" t="s">
        <v>134</v>
      </c>
      <c r="CK261" t="s">
        <v>134</v>
      </c>
      <c r="CL261" t="s">
        <v>134</v>
      </c>
      <c r="CM261" t="s">
        <v>134</v>
      </c>
      <c r="CN261" t="s">
        <v>134</v>
      </c>
      <c r="CO261" t="s">
        <v>134</v>
      </c>
      <c r="CP261">
        <v>8829.1</v>
      </c>
      <c r="CQ261" t="s">
        <v>134</v>
      </c>
      <c r="CR261">
        <v>7726.4</v>
      </c>
      <c r="CS261" t="s">
        <v>134</v>
      </c>
      <c r="CT261" t="s">
        <v>134</v>
      </c>
      <c r="CU261" t="s">
        <v>134</v>
      </c>
      <c r="CV261" t="s">
        <v>134</v>
      </c>
      <c r="CW261" t="s">
        <v>134</v>
      </c>
      <c r="CX261" t="s">
        <v>134</v>
      </c>
      <c r="CY261" t="s">
        <v>134</v>
      </c>
      <c r="CZ261" t="s">
        <v>134</v>
      </c>
      <c r="DA261" t="s">
        <v>134</v>
      </c>
      <c r="DB261" t="s">
        <v>134</v>
      </c>
      <c r="DC261" t="s">
        <v>134</v>
      </c>
      <c r="DD261" t="s">
        <v>134</v>
      </c>
      <c r="DE261" t="s">
        <v>134</v>
      </c>
      <c r="DF261" t="s">
        <v>134</v>
      </c>
      <c r="DG261" t="s">
        <v>134</v>
      </c>
      <c r="DH261" t="s">
        <v>134</v>
      </c>
      <c r="DI261" t="s">
        <v>134</v>
      </c>
    </row>
    <row r="262" spans="4:113" x14ac:dyDescent="0.3">
      <c r="E262" t="s">
        <v>7</v>
      </c>
      <c r="F262">
        <v>30.4099</v>
      </c>
      <c r="G262">
        <v>20.59</v>
      </c>
      <c r="H262">
        <v>28.692900000000002</v>
      </c>
      <c r="I262">
        <v>26.083100000000002</v>
      </c>
      <c r="J262">
        <v>25.8474</v>
      </c>
      <c r="K262">
        <v>22.3383</v>
      </c>
      <c r="L262" t="s">
        <v>134</v>
      </c>
      <c r="M262">
        <v>22.820900000000002</v>
      </c>
      <c r="N262">
        <v>18.3599</v>
      </c>
      <c r="O262">
        <v>17.911000000000001</v>
      </c>
      <c r="P262">
        <v>17.911000000000001</v>
      </c>
      <c r="Q262">
        <v>19.547799999999999</v>
      </c>
      <c r="R262" t="s">
        <v>134</v>
      </c>
      <c r="S262" t="s">
        <v>134</v>
      </c>
      <c r="T262">
        <v>8.1600000000000006E-2</v>
      </c>
      <c r="U262">
        <v>-9.9835999999999991</v>
      </c>
      <c r="V262">
        <v>-15.003</v>
      </c>
      <c r="W262">
        <v>-1.0831999999999999</v>
      </c>
      <c r="X262">
        <v>-1.4658</v>
      </c>
      <c r="Y262" t="s">
        <v>134</v>
      </c>
      <c r="Z262">
        <v>7.8109999999999999</v>
      </c>
      <c r="AA262">
        <v>17.5684</v>
      </c>
      <c r="AB262">
        <v>8.9588999999999999</v>
      </c>
      <c r="AC262">
        <v>28.725300000000001</v>
      </c>
      <c r="AD262">
        <v>6.8230000000000004</v>
      </c>
      <c r="AE262">
        <v>18.2149</v>
      </c>
      <c r="AF262">
        <v>22.703900000000001</v>
      </c>
      <c r="AG262">
        <v>-13.423400000000001</v>
      </c>
      <c r="AH262">
        <v>-17.838899999999999</v>
      </c>
      <c r="AI262">
        <v>27.143599999999999</v>
      </c>
      <c r="AJ262">
        <v>23.300699999999999</v>
      </c>
      <c r="AK262">
        <v>27.706900000000001</v>
      </c>
      <c r="AL262" t="s">
        <v>134</v>
      </c>
      <c r="AM262">
        <v>18.883299999999998</v>
      </c>
      <c r="AN262">
        <v>21.971900000000002</v>
      </c>
      <c r="AO262">
        <v>22.076599999999999</v>
      </c>
      <c r="AP262">
        <v>19.914100000000001</v>
      </c>
      <c r="AQ262">
        <v>18.955400000000001</v>
      </c>
      <c r="AR262" t="s">
        <v>134</v>
      </c>
      <c r="AS262">
        <v>18.716899999999999</v>
      </c>
      <c r="AT262">
        <v>20.843699999999998</v>
      </c>
      <c r="AU262">
        <v>12.185700000000001</v>
      </c>
      <c r="AV262">
        <v>20.903300000000002</v>
      </c>
      <c r="AW262">
        <v>21.382999999999999</v>
      </c>
      <c r="AX262">
        <v>41.640999999999998</v>
      </c>
      <c r="AY262">
        <v>17.265699999999999</v>
      </c>
      <c r="AZ262">
        <v>-12.862500000000001</v>
      </c>
      <c r="BA262">
        <v>-13.971</v>
      </c>
      <c r="BB262">
        <v>27.964300000000001</v>
      </c>
      <c r="BC262">
        <v>20.3748</v>
      </c>
      <c r="BD262">
        <v>27.874700000000001</v>
      </c>
      <c r="BE262" t="s">
        <v>134</v>
      </c>
      <c r="BF262">
        <v>-2.8894000000000002</v>
      </c>
      <c r="BG262">
        <v>-10.5922</v>
      </c>
      <c r="BH262">
        <v>-11.7027</v>
      </c>
      <c r="BI262">
        <v>-9.0515000000000008</v>
      </c>
      <c r="BJ262">
        <v>-9.2272999999999996</v>
      </c>
      <c r="BK262" t="s">
        <v>134</v>
      </c>
      <c r="BL262" t="s">
        <v>134</v>
      </c>
      <c r="BM262" t="s">
        <v>134</v>
      </c>
      <c r="BN262" t="s">
        <v>134</v>
      </c>
      <c r="BO262" t="s">
        <v>134</v>
      </c>
      <c r="BP262" t="s">
        <v>134</v>
      </c>
      <c r="BQ262" t="s">
        <v>134</v>
      </c>
      <c r="BR262" t="s">
        <v>134</v>
      </c>
      <c r="BS262" t="s">
        <v>134</v>
      </c>
      <c r="BT262" t="s">
        <v>134</v>
      </c>
      <c r="BU262" t="s">
        <v>134</v>
      </c>
      <c r="BV262" t="s">
        <v>134</v>
      </c>
      <c r="BW262" t="s">
        <v>134</v>
      </c>
      <c r="BX262" t="s">
        <v>134</v>
      </c>
      <c r="BY262">
        <v>5371.2</v>
      </c>
      <c r="BZ262">
        <v>4352.8999999999996</v>
      </c>
      <c r="CA262">
        <v>1018.3</v>
      </c>
      <c r="CB262">
        <v>0.1484</v>
      </c>
      <c r="CC262">
        <v>-0.43369999999999997</v>
      </c>
      <c r="CD262">
        <v>0.1686</v>
      </c>
      <c r="CE262">
        <v>-0.49280000000000002</v>
      </c>
      <c r="CF262">
        <v>320.89019999999999</v>
      </c>
      <c r="CG262">
        <v>67.546300000000002</v>
      </c>
      <c r="CH262">
        <v>1.1444000000000001</v>
      </c>
      <c r="CI262">
        <v>1.0791999999999999</v>
      </c>
      <c r="CJ262">
        <v>0.77510000000000001</v>
      </c>
      <c r="CK262">
        <v>6.0362999999999998</v>
      </c>
      <c r="CL262">
        <v>5.6927000000000003</v>
      </c>
      <c r="CM262">
        <v>4.0884</v>
      </c>
      <c r="CN262">
        <v>-17.6402</v>
      </c>
      <c r="CO262">
        <v>-21.418399999999998</v>
      </c>
      <c r="CP262">
        <v>7893.9</v>
      </c>
      <c r="CQ262" t="s">
        <v>134</v>
      </c>
      <c r="CR262">
        <v>6822.2</v>
      </c>
      <c r="CS262">
        <v>0.56489999999999996</v>
      </c>
      <c r="CT262">
        <v>2.1002999999999998</v>
      </c>
      <c r="CU262">
        <v>1.2772999999999999</v>
      </c>
      <c r="CV262">
        <v>16.071300000000001</v>
      </c>
      <c r="CW262">
        <v>4.9211</v>
      </c>
      <c r="CX262">
        <v>74.170100000000005</v>
      </c>
      <c r="CY262">
        <v>1.8574000000000002</v>
      </c>
      <c r="CZ262">
        <v>196.50880000000001</v>
      </c>
      <c r="DA262">
        <v>2.6347</v>
      </c>
      <c r="DB262">
        <v>138.53579999999999</v>
      </c>
      <c r="DC262">
        <v>132.14320000000001</v>
      </c>
      <c r="DD262">
        <v>270.6789</v>
      </c>
      <c r="DE262">
        <v>25035.599999999999</v>
      </c>
      <c r="DF262">
        <v>5945.8</v>
      </c>
      <c r="DG262">
        <v>4099.1000000000004</v>
      </c>
      <c r="DH262">
        <v>7344</v>
      </c>
      <c r="DI262">
        <v>7646.7</v>
      </c>
    </row>
    <row r="263" spans="4:113" x14ac:dyDescent="0.3">
      <c r="D263" t="s">
        <v>9</v>
      </c>
      <c r="E263" t="s">
        <v>3</v>
      </c>
      <c r="F263">
        <v>22.8688</v>
      </c>
      <c r="G263">
        <v>12.765499999999999</v>
      </c>
      <c r="H263">
        <v>16.647200000000002</v>
      </c>
      <c r="I263">
        <v>15.908300000000001</v>
      </c>
      <c r="J263">
        <v>27.644200000000001</v>
      </c>
      <c r="K263">
        <v>24.261399999999998</v>
      </c>
      <c r="L263">
        <v>1.4149</v>
      </c>
      <c r="M263">
        <v>25.055800000000001</v>
      </c>
      <c r="N263">
        <v>16.636399999999998</v>
      </c>
      <c r="O263">
        <v>16.572500000000002</v>
      </c>
      <c r="P263">
        <v>16.572500000000002</v>
      </c>
      <c r="Q263">
        <v>33.5167</v>
      </c>
      <c r="R263">
        <v>14.8827</v>
      </c>
      <c r="S263">
        <v>19.465299999999999</v>
      </c>
      <c r="T263">
        <v>8.7449999999999992</v>
      </c>
      <c r="U263">
        <v>1.1859</v>
      </c>
      <c r="V263">
        <v>0.47120000000000001</v>
      </c>
      <c r="W263">
        <v>-5.5155000000000003</v>
      </c>
      <c r="X263">
        <v>-5.7331000000000003</v>
      </c>
      <c r="Y263">
        <v>0</v>
      </c>
      <c r="Z263">
        <v>71.266300000000001</v>
      </c>
      <c r="AA263">
        <v>26.968800000000002</v>
      </c>
      <c r="AB263">
        <v>34.856700000000004</v>
      </c>
      <c r="AC263">
        <v>70.788499999999999</v>
      </c>
      <c r="AD263">
        <v>72.802099999999996</v>
      </c>
      <c r="AE263">
        <v>7.0354000000000001</v>
      </c>
      <c r="AF263">
        <v>12.0543</v>
      </c>
      <c r="AG263">
        <v>314.34910000000002</v>
      </c>
      <c r="AH263">
        <v>1236.2973</v>
      </c>
      <c r="AI263">
        <v>23.805900000000001</v>
      </c>
      <c r="AJ263">
        <v>92.829099999999997</v>
      </c>
      <c r="AK263">
        <v>23.48</v>
      </c>
      <c r="AL263" t="s">
        <v>134</v>
      </c>
      <c r="AM263">
        <v>19.1448</v>
      </c>
      <c r="AN263">
        <v>26.3048</v>
      </c>
      <c r="AO263">
        <v>26.974499999999999</v>
      </c>
      <c r="AP263">
        <v>21.3598</v>
      </c>
      <c r="AQ263">
        <v>21.1067</v>
      </c>
      <c r="AR263">
        <v>20.112400000000001</v>
      </c>
      <c r="AS263">
        <v>29.367599999999999</v>
      </c>
      <c r="AT263">
        <v>21.511600000000001</v>
      </c>
      <c r="AU263">
        <v>15.8855</v>
      </c>
      <c r="AV263">
        <v>29.653300000000002</v>
      </c>
      <c r="AW263">
        <v>30.504899999999999</v>
      </c>
      <c r="AX263">
        <v>34.524799999999999</v>
      </c>
      <c r="AY263">
        <v>17.157399999999999</v>
      </c>
      <c r="AZ263">
        <v>15.8787</v>
      </c>
      <c r="BA263">
        <v>43.921100000000003</v>
      </c>
      <c r="BB263">
        <v>27.014099999999999</v>
      </c>
      <c r="BC263">
        <v>32.263500000000001</v>
      </c>
      <c r="BD263">
        <v>27.087499999999999</v>
      </c>
      <c r="BE263" t="s">
        <v>134</v>
      </c>
      <c r="BF263">
        <v>8.7449999999999992</v>
      </c>
      <c r="BG263">
        <v>1.1859</v>
      </c>
      <c r="BH263">
        <v>0.47120000000000001</v>
      </c>
      <c r="BI263">
        <v>-5.5155000000000003</v>
      </c>
      <c r="BJ263">
        <v>-5.7331000000000003</v>
      </c>
      <c r="BK263">
        <v>0</v>
      </c>
      <c r="BL263">
        <v>71.266300000000001</v>
      </c>
      <c r="BM263">
        <v>26.968800000000002</v>
      </c>
      <c r="BN263">
        <v>34.856700000000004</v>
      </c>
      <c r="BO263">
        <v>70.788499999999999</v>
      </c>
      <c r="BP263">
        <v>72.802099999999996</v>
      </c>
      <c r="BQ263">
        <v>7.0354000000000001</v>
      </c>
      <c r="BR263">
        <v>12.0543</v>
      </c>
      <c r="BS263">
        <v>314.34910000000002</v>
      </c>
      <c r="BT263">
        <v>1236.2973</v>
      </c>
      <c r="BU263">
        <v>23.805900000000001</v>
      </c>
      <c r="BV263">
        <v>92.829099999999997</v>
      </c>
      <c r="BW263">
        <v>23.48</v>
      </c>
      <c r="BX263">
        <v>-113.1023</v>
      </c>
      <c r="BY263">
        <v>71775.199999999997</v>
      </c>
      <c r="BZ263">
        <v>18036.2</v>
      </c>
      <c r="CA263">
        <v>53739</v>
      </c>
      <c r="CB263">
        <v>1.895</v>
      </c>
      <c r="CC263">
        <v>1.6781999999999999</v>
      </c>
      <c r="CD263">
        <v>2.1592000000000002</v>
      </c>
      <c r="CE263">
        <v>1.9121999999999999</v>
      </c>
      <c r="CF263">
        <v>124.0645</v>
      </c>
      <c r="CG263">
        <v>48.954900000000002</v>
      </c>
      <c r="CH263">
        <v>48.780700000000003</v>
      </c>
      <c r="CI263">
        <v>29.5367</v>
      </c>
      <c r="CJ263">
        <v>23.950299999999999</v>
      </c>
      <c r="CK263">
        <v>65.152699999999996</v>
      </c>
      <c r="CL263">
        <v>39.450000000000003</v>
      </c>
      <c r="CM263">
        <v>31.988600000000002</v>
      </c>
      <c r="CN263">
        <v>57.701700000000002</v>
      </c>
      <c r="CO263">
        <v>36.589100000000002</v>
      </c>
      <c r="CP263">
        <v>37876.9</v>
      </c>
      <c r="CQ263">
        <v>-20280.3</v>
      </c>
      <c r="CR263">
        <v>33241.9</v>
      </c>
      <c r="CS263">
        <v>0.15240000000000001</v>
      </c>
      <c r="CT263">
        <v>1.8151999999999999</v>
      </c>
      <c r="CU263">
        <v>0.99690000000000001</v>
      </c>
      <c r="CV263">
        <v>6.2150999999999996</v>
      </c>
      <c r="CW263">
        <v>3.8026</v>
      </c>
      <c r="CX263">
        <v>96.249399999999994</v>
      </c>
      <c r="CY263">
        <v>1.5272000000000001</v>
      </c>
      <c r="CZ263">
        <v>239.64680000000001</v>
      </c>
      <c r="DA263">
        <v>2.4178000000000002</v>
      </c>
      <c r="DB263">
        <v>151.38</v>
      </c>
      <c r="DC263">
        <v>184.5163</v>
      </c>
      <c r="DD263">
        <v>335.89620000000002</v>
      </c>
      <c r="DE263">
        <v>31787.4</v>
      </c>
      <c r="DF263">
        <v>7268.4</v>
      </c>
      <c r="DG263">
        <v>4697.8999999999996</v>
      </c>
      <c r="DH263">
        <v>9738.9</v>
      </c>
      <c r="DI263">
        <v>10082.200000000001</v>
      </c>
    </row>
    <row r="264" spans="4:113" x14ac:dyDescent="0.3">
      <c r="E264" t="s">
        <v>4</v>
      </c>
      <c r="F264" t="s">
        <v>134</v>
      </c>
      <c r="G264" t="s">
        <v>134</v>
      </c>
      <c r="H264" t="s">
        <v>134</v>
      </c>
      <c r="I264" t="s">
        <v>134</v>
      </c>
      <c r="J264">
        <v>26.563199999999998</v>
      </c>
      <c r="K264">
        <v>23.288</v>
      </c>
      <c r="L264">
        <v>-138.4289</v>
      </c>
      <c r="M264">
        <v>25.667999999999999</v>
      </c>
      <c r="N264">
        <v>17.068300000000001</v>
      </c>
      <c r="O264">
        <v>17.0778</v>
      </c>
      <c r="P264">
        <v>17.0778</v>
      </c>
      <c r="Q264">
        <v>33.503599999999999</v>
      </c>
      <c r="R264" t="s">
        <v>134</v>
      </c>
      <c r="S264" t="s">
        <v>134</v>
      </c>
      <c r="T264">
        <v>-6.3844000000000003</v>
      </c>
      <c r="U264">
        <v>-26.743200000000002</v>
      </c>
      <c r="V264">
        <v>-28.844999999999999</v>
      </c>
      <c r="W264">
        <v>-15.9618</v>
      </c>
      <c r="X264">
        <v>-16.366299999999999</v>
      </c>
      <c r="Y264" t="s">
        <v>134</v>
      </c>
      <c r="Z264" t="s">
        <v>134</v>
      </c>
      <c r="AA264" t="s">
        <v>134</v>
      </c>
      <c r="AB264" t="s">
        <v>134</v>
      </c>
      <c r="AC264" t="s">
        <v>134</v>
      </c>
      <c r="AD264" t="s">
        <v>134</v>
      </c>
      <c r="AE264" t="s">
        <v>134</v>
      </c>
      <c r="AF264" t="s">
        <v>134</v>
      </c>
      <c r="AG264" t="s">
        <v>134</v>
      </c>
      <c r="AH264" t="s">
        <v>134</v>
      </c>
      <c r="AI264" t="s">
        <v>134</v>
      </c>
      <c r="AJ264" t="s">
        <v>134</v>
      </c>
      <c r="AK264" t="s">
        <v>134</v>
      </c>
      <c r="AL264" t="s">
        <v>134</v>
      </c>
      <c r="AM264">
        <v>18.4847</v>
      </c>
      <c r="AN264">
        <v>23.488099999999999</v>
      </c>
      <c r="AO264">
        <v>23.990099999999998</v>
      </c>
      <c r="AP264">
        <v>21.745000000000001</v>
      </c>
      <c r="AQ264">
        <v>21.450299999999999</v>
      </c>
      <c r="AR264" t="s">
        <v>134</v>
      </c>
      <c r="AS264" t="s">
        <v>134</v>
      </c>
      <c r="AT264" t="s">
        <v>134</v>
      </c>
      <c r="AU264" t="s">
        <v>134</v>
      </c>
      <c r="AV264" t="s">
        <v>134</v>
      </c>
      <c r="AW264" t="s">
        <v>134</v>
      </c>
      <c r="AX264" t="s">
        <v>134</v>
      </c>
      <c r="AY264" t="s">
        <v>134</v>
      </c>
      <c r="AZ264" t="s">
        <v>134</v>
      </c>
      <c r="BA264" t="s">
        <v>134</v>
      </c>
      <c r="BB264" t="s">
        <v>134</v>
      </c>
      <c r="BC264" t="s">
        <v>134</v>
      </c>
      <c r="BD264" t="s">
        <v>134</v>
      </c>
      <c r="BE264" t="s">
        <v>134</v>
      </c>
      <c r="BF264">
        <v>0.66310000000000002</v>
      </c>
      <c r="BG264">
        <v>3.4508000000000001</v>
      </c>
      <c r="BH264">
        <v>4.9427000000000003</v>
      </c>
      <c r="BI264">
        <v>-4.0199999999999996</v>
      </c>
      <c r="BJ264">
        <v>-4.1322000000000001</v>
      </c>
      <c r="BK264" t="s">
        <v>134</v>
      </c>
      <c r="BL264" t="s">
        <v>134</v>
      </c>
      <c r="BM264" t="s">
        <v>134</v>
      </c>
      <c r="BN264" t="s">
        <v>134</v>
      </c>
      <c r="BO264" t="s">
        <v>134</v>
      </c>
      <c r="BP264" t="s">
        <v>134</v>
      </c>
      <c r="BQ264" t="s">
        <v>134</v>
      </c>
      <c r="BR264" t="s">
        <v>134</v>
      </c>
      <c r="BS264" t="s">
        <v>134</v>
      </c>
      <c r="BT264" t="s">
        <v>134</v>
      </c>
      <c r="BU264">
        <v>-100</v>
      </c>
      <c r="BV264" t="s">
        <v>134</v>
      </c>
      <c r="BW264">
        <v>-100</v>
      </c>
      <c r="BX264" t="s">
        <v>134</v>
      </c>
      <c r="BY264" t="s">
        <v>134</v>
      </c>
      <c r="BZ264" t="s">
        <v>134</v>
      </c>
      <c r="CA264" t="s">
        <v>134</v>
      </c>
      <c r="CB264" t="s">
        <v>134</v>
      </c>
      <c r="CC264" t="s">
        <v>134</v>
      </c>
      <c r="CD264" t="s">
        <v>134</v>
      </c>
      <c r="CE264" t="s">
        <v>134</v>
      </c>
      <c r="CF264">
        <v>338.85059999999999</v>
      </c>
      <c r="CG264" t="s">
        <v>134</v>
      </c>
      <c r="CH264" t="s">
        <v>134</v>
      </c>
      <c r="CI264" t="s">
        <v>134</v>
      </c>
      <c r="CJ264" t="s">
        <v>134</v>
      </c>
      <c r="CK264" t="s">
        <v>134</v>
      </c>
      <c r="CL264" t="s">
        <v>134</v>
      </c>
      <c r="CM264" t="s">
        <v>134</v>
      </c>
      <c r="CN264" t="s">
        <v>134</v>
      </c>
      <c r="CO264" t="s">
        <v>134</v>
      </c>
      <c r="CP264">
        <v>8166.3</v>
      </c>
      <c r="CQ264" t="s">
        <v>134</v>
      </c>
      <c r="CR264">
        <v>7159.4</v>
      </c>
      <c r="CS264" t="s">
        <v>134</v>
      </c>
      <c r="CT264" t="s">
        <v>134</v>
      </c>
      <c r="CU264" t="s">
        <v>134</v>
      </c>
      <c r="CV264" t="s">
        <v>134</v>
      </c>
      <c r="CW264" t="s">
        <v>134</v>
      </c>
      <c r="CX264" t="s">
        <v>134</v>
      </c>
      <c r="CY264" t="s">
        <v>134</v>
      </c>
      <c r="CZ264" t="s">
        <v>134</v>
      </c>
      <c r="DA264" t="s">
        <v>134</v>
      </c>
      <c r="DB264" t="s">
        <v>134</v>
      </c>
      <c r="DC264" t="s">
        <v>134</v>
      </c>
      <c r="DD264" t="s">
        <v>134</v>
      </c>
      <c r="DE264" t="s">
        <v>134</v>
      </c>
      <c r="DF264" t="s">
        <v>134</v>
      </c>
      <c r="DG264" t="s">
        <v>134</v>
      </c>
      <c r="DH264" t="s">
        <v>134</v>
      </c>
      <c r="DI264" t="s">
        <v>134</v>
      </c>
    </row>
    <row r="265" spans="4:113" x14ac:dyDescent="0.3">
      <c r="E265" t="s">
        <v>5</v>
      </c>
      <c r="F265">
        <v>23.4526</v>
      </c>
      <c r="G265">
        <v>16.052</v>
      </c>
      <c r="H265">
        <v>21.191199999999998</v>
      </c>
      <c r="I265">
        <v>19.414000000000001</v>
      </c>
      <c r="J265">
        <v>21.147500000000001</v>
      </c>
      <c r="K265">
        <v>17.786300000000001</v>
      </c>
      <c r="L265" t="s">
        <v>134</v>
      </c>
      <c r="M265">
        <v>18.7727</v>
      </c>
      <c r="N265">
        <v>12.9475</v>
      </c>
      <c r="O265">
        <v>12.8635</v>
      </c>
      <c r="P265">
        <v>12.8635</v>
      </c>
      <c r="Q265">
        <v>31.029900000000001</v>
      </c>
      <c r="R265" t="s">
        <v>134</v>
      </c>
      <c r="S265" t="s">
        <v>134</v>
      </c>
      <c r="T265">
        <v>1.9725000000000001</v>
      </c>
      <c r="U265">
        <v>-19.267499999999998</v>
      </c>
      <c r="V265">
        <v>-21.904800000000002</v>
      </c>
      <c r="W265">
        <v>-35.108899999999998</v>
      </c>
      <c r="X265">
        <v>-35.361499999999999</v>
      </c>
      <c r="Y265" t="s">
        <v>134</v>
      </c>
      <c r="Z265">
        <v>9.8580000000000005</v>
      </c>
      <c r="AA265">
        <v>30.539899999999999</v>
      </c>
      <c r="AB265" t="s">
        <v>134</v>
      </c>
      <c r="AC265">
        <v>28.362500000000001</v>
      </c>
      <c r="AD265">
        <v>20.8764</v>
      </c>
      <c r="AE265">
        <v>1.2020999999999999</v>
      </c>
      <c r="AF265">
        <v>15.6563</v>
      </c>
      <c r="AG265">
        <v>360.87479999999999</v>
      </c>
      <c r="AH265">
        <v>272.83300000000003</v>
      </c>
      <c r="AI265">
        <v>20.349</v>
      </c>
      <c r="AJ265">
        <v>34.823599999999999</v>
      </c>
      <c r="AK265">
        <v>20.012799999999999</v>
      </c>
      <c r="AL265" t="s">
        <v>134</v>
      </c>
      <c r="AM265">
        <v>17.661100000000001</v>
      </c>
      <c r="AN265">
        <v>17.613</v>
      </c>
      <c r="AO265">
        <v>17.244700000000002</v>
      </c>
      <c r="AP265">
        <v>13.7143</v>
      </c>
      <c r="AQ265">
        <v>13.472200000000001</v>
      </c>
      <c r="AR265" t="s">
        <v>134</v>
      </c>
      <c r="AS265">
        <v>19.866199999999999</v>
      </c>
      <c r="AT265">
        <v>20.5869</v>
      </c>
      <c r="AU265" t="s">
        <v>134</v>
      </c>
      <c r="AV265">
        <v>21.1555</v>
      </c>
      <c r="AW265">
        <v>10.372299999999999</v>
      </c>
      <c r="AX265">
        <v>15.619</v>
      </c>
      <c r="AY265" t="s">
        <v>134</v>
      </c>
      <c r="AZ265" t="s">
        <v>134</v>
      </c>
      <c r="BA265" t="s">
        <v>134</v>
      </c>
      <c r="BB265">
        <v>26.516500000000001</v>
      </c>
      <c r="BC265" t="s">
        <v>134</v>
      </c>
      <c r="BD265">
        <v>26.2621</v>
      </c>
      <c r="BE265" t="s">
        <v>134</v>
      </c>
      <c r="BF265">
        <v>3.1621000000000001</v>
      </c>
      <c r="BG265">
        <v>-18.512899999999998</v>
      </c>
      <c r="BH265">
        <v>-21.863800000000001</v>
      </c>
      <c r="BI265">
        <v>-28.090800000000002</v>
      </c>
      <c r="BJ265">
        <v>-28.162299999999998</v>
      </c>
      <c r="BK265" t="s">
        <v>134</v>
      </c>
      <c r="BL265" t="s">
        <v>134</v>
      </c>
      <c r="BM265" t="s">
        <v>134</v>
      </c>
      <c r="BN265" t="s">
        <v>134</v>
      </c>
      <c r="BO265" t="s">
        <v>134</v>
      </c>
      <c r="BP265" t="s">
        <v>134</v>
      </c>
      <c r="BQ265" t="s">
        <v>134</v>
      </c>
      <c r="BR265" t="s">
        <v>134</v>
      </c>
      <c r="BS265" t="s">
        <v>134</v>
      </c>
      <c r="BT265" t="s">
        <v>134</v>
      </c>
      <c r="BU265" t="s">
        <v>134</v>
      </c>
      <c r="BV265" t="s">
        <v>134</v>
      </c>
      <c r="BW265" t="s">
        <v>134</v>
      </c>
      <c r="BX265" t="s">
        <v>134</v>
      </c>
      <c r="BY265">
        <v>18654.7</v>
      </c>
      <c r="BZ265">
        <v>17922.5</v>
      </c>
      <c r="CA265">
        <v>732.2</v>
      </c>
      <c r="CB265">
        <v>0.58860000000000001</v>
      </c>
      <c r="CC265">
        <v>3.0999999999999999E-3</v>
      </c>
      <c r="CD265">
        <v>0.67989999999999995</v>
      </c>
      <c r="CE265">
        <v>3.5999999999999999E-3</v>
      </c>
      <c r="CF265">
        <v>66.219700000000003</v>
      </c>
      <c r="CG265">
        <v>66.505200000000002</v>
      </c>
      <c r="CH265">
        <v>0.73950000000000005</v>
      </c>
      <c r="CI265">
        <v>0.62219999999999998</v>
      </c>
      <c r="CJ265">
        <v>0.49180000000000001</v>
      </c>
      <c r="CK265">
        <v>18.840199999999999</v>
      </c>
      <c r="CL265">
        <v>15.853400000000001</v>
      </c>
      <c r="CM265">
        <v>12.5297</v>
      </c>
      <c r="CN265">
        <v>0.1002</v>
      </c>
      <c r="CO265">
        <v>0.10009999999999999</v>
      </c>
      <c r="CP265">
        <v>6721.3</v>
      </c>
      <c r="CQ265" t="s">
        <v>134</v>
      </c>
      <c r="CR265">
        <v>5653</v>
      </c>
      <c r="CS265">
        <v>0.41399999999999998</v>
      </c>
      <c r="CT265">
        <v>1.9216</v>
      </c>
      <c r="CU265">
        <v>1.1001000000000001</v>
      </c>
      <c r="CV265">
        <v>14.092000000000001</v>
      </c>
      <c r="CW265">
        <v>4.2412000000000001</v>
      </c>
      <c r="CX265">
        <v>86.061199999999999</v>
      </c>
      <c r="CY265">
        <v>1.7947</v>
      </c>
      <c r="CZ265">
        <v>203.38120000000001</v>
      </c>
      <c r="DA265">
        <v>2.7241999999999997</v>
      </c>
      <c r="DB265">
        <v>133.98410000000001</v>
      </c>
      <c r="DC265">
        <v>155.45830000000001</v>
      </c>
      <c r="DD265">
        <v>289.44240000000002</v>
      </c>
      <c r="DE265">
        <v>29004.400000000001</v>
      </c>
      <c r="DF265" t="s">
        <v>134</v>
      </c>
      <c r="DG265" t="s">
        <v>134</v>
      </c>
      <c r="DH265" t="s">
        <v>134</v>
      </c>
      <c r="DI265" t="s">
        <v>134</v>
      </c>
    </row>
    <row r="266" spans="4:113" x14ac:dyDescent="0.3">
      <c r="E266" t="s">
        <v>6</v>
      </c>
      <c r="F266" t="s">
        <v>134</v>
      </c>
      <c r="G266" t="s">
        <v>134</v>
      </c>
      <c r="H266" t="s">
        <v>134</v>
      </c>
      <c r="I266" t="s">
        <v>134</v>
      </c>
      <c r="J266">
        <v>26.123799999999999</v>
      </c>
      <c r="K266">
        <v>22.8064</v>
      </c>
      <c r="L266" t="s">
        <v>134</v>
      </c>
      <c r="M266">
        <v>24.478400000000001</v>
      </c>
      <c r="N266">
        <v>15.8146</v>
      </c>
      <c r="O266">
        <v>15.7774</v>
      </c>
      <c r="P266">
        <v>15.7774</v>
      </c>
      <c r="Q266">
        <v>35.393599999999999</v>
      </c>
      <c r="R266" t="s">
        <v>134</v>
      </c>
      <c r="S266" t="s">
        <v>134</v>
      </c>
      <c r="T266">
        <v>6.7648999999999999</v>
      </c>
      <c r="U266">
        <v>-0.65239999999999998</v>
      </c>
      <c r="V266">
        <v>-0.89049999999999996</v>
      </c>
      <c r="W266">
        <v>-11.921200000000001</v>
      </c>
      <c r="X266">
        <v>-12.2281</v>
      </c>
      <c r="Y266" t="s">
        <v>134</v>
      </c>
      <c r="Z266" t="s">
        <v>134</v>
      </c>
      <c r="AA266" t="s">
        <v>134</v>
      </c>
      <c r="AB266" t="s">
        <v>134</v>
      </c>
      <c r="AC266" t="s">
        <v>134</v>
      </c>
      <c r="AD266" t="s">
        <v>134</v>
      </c>
      <c r="AE266" t="s">
        <v>134</v>
      </c>
      <c r="AF266" t="s">
        <v>134</v>
      </c>
      <c r="AG266" t="s">
        <v>134</v>
      </c>
      <c r="AH266" t="s">
        <v>134</v>
      </c>
      <c r="AI266" t="s">
        <v>134</v>
      </c>
      <c r="AJ266" t="s">
        <v>134</v>
      </c>
      <c r="AK266" t="s">
        <v>134</v>
      </c>
      <c r="AL266" t="s">
        <v>134</v>
      </c>
      <c r="AM266">
        <v>17.9727</v>
      </c>
      <c r="AN266">
        <v>24.1617</v>
      </c>
      <c r="AO266">
        <v>24.5062</v>
      </c>
      <c r="AP266">
        <v>18.782599999999999</v>
      </c>
      <c r="AQ266">
        <v>18.534099999999999</v>
      </c>
      <c r="AR266" t="s">
        <v>134</v>
      </c>
      <c r="AS266" t="s">
        <v>134</v>
      </c>
      <c r="AT266" t="s">
        <v>134</v>
      </c>
      <c r="AU266" t="s">
        <v>134</v>
      </c>
      <c r="AV266" t="s">
        <v>134</v>
      </c>
      <c r="AW266" t="s">
        <v>134</v>
      </c>
      <c r="AX266" t="s">
        <v>134</v>
      </c>
      <c r="AY266" t="s">
        <v>134</v>
      </c>
      <c r="AZ266" t="s">
        <v>134</v>
      </c>
      <c r="BA266" t="s">
        <v>134</v>
      </c>
      <c r="BB266" t="s">
        <v>134</v>
      </c>
      <c r="BC266" t="s">
        <v>134</v>
      </c>
      <c r="BD266" t="s">
        <v>134</v>
      </c>
      <c r="BE266" t="s">
        <v>134</v>
      </c>
      <c r="BF266">
        <v>5.1698000000000004</v>
      </c>
      <c r="BG266">
        <v>32.380000000000003</v>
      </c>
      <c r="BH266">
        <v>39.964500000000001</v>
      </c>
      <c r="BI266">
        <v>26.206099999999999</v>
      </c>
      <c r="BJ266">
        <v>26.2136</v>
      </c>
      <c r="BK266" t="s">
        <v>134</v>
      </c>
      <c r="BL266" t="s">
        <v>134</v>
      </c>
      <c r="BM266" t="s">
        <v>134</v>
      </c>
      <c r="BN266" t="s">
        <v>134</v>
      </c>
      <c r="BO266" t="s">
        <v>134</v>
      </c>
      <c r="BP266" t="s">
        <v>134</v>
      </c>
      <c r="BQ266" t="s">
        <v>134</v>
      </c>
      <c r="BR266" t="s">
        <v>134</v>
      </c>
      <c r="BS266" t="s">
        <v>134</v>
      </c>
      <c r="BT266" t="s">
        <v>134</v>
      </c>
      <c r="BU266" t="s">
        <v>134</v>
      </c>
      <c r="BV266" t="s">
        <v>134</v>
      </c>
      <c r="BW266" t="s">
        <v>134</v>
      </c>
      <c r="BX266" t="s">
        <v>134</v>
      </c>
      <c r="BY266" t="s">
        <v>134</v>
      </c>
      <c r="BZ266" t="s">
        <v>134</v>
      </c>
      <c r="CA266" t="s">
        <v>134</v>
      </c>
      <c r="CB266" t="s">
        <v>134</v>
      </c>
      <c r="CC266" t="s">
        <v>134</v>
      </c>
      <c r="CD266" t="s">
        <v>134</v>
      </c>
      <c r="CE266" t="s">
        <v>134</v>
      </c>
      <c r="CF266">
        <v>95.5501</v>
      </c>
      <c r="CG266" t="s">
        <v>134</v>
      </c>
      <c r="CH266" t="s">
        <v>134</v>
      </c>
      <c r="CI266" t="s">
        <v>134</v>
      </c>
      <c r="CJ266" t="s">
        <v>134</v>
      </c>
      <c r="CK266" t="s">
        <v>134</v>
      </c>
      <c r="CL266" t="s">
        <v>134</v>
      </c>
      <c r="CM266" t="s">
        <v>134</v>
      </c>
      <c r="CN266" t="s">
        <v>134</v>
      </c>
      <c r="CO266" t="s">
        <v>134</v>
      </c>
      <c r="CP266">
        <v>8771.5</v>
      </c>
      <c r="CQ266" t="s">
        <v>134</v>
      </c>
      <c r="CR266">
        <v>7657.6</v>
      </c>
      <c r="CS266" t="s">
        <v>134</v>
      </c>
      <c r="CT266" t="s">
        <v>134</v>
      </c>
      <c r="CU266" t="s">
        <v>134</v>
      </c>
      <c r="CV266" t="s">
        <v>134</v>
      </c>
      <c r="CW266" t="s">
        <v>134</v>
      </c>
      <c r="CX266" t="s">
        <v>134</v>
      </c>
      <c r="CY266" t="s">
        <v>134</v>
      </c>
      <c r="CZ266" t="s">
        <v>134</v>
      </c>
      <c r="DA266" t="s">
        <v>134</v>
      </c>
      <c r="DB266" t="s">
        <v>134</v>
      </c>
      <c r="DC266" t="s">
        <v>134</v>
      </c>
      <c r="DD266" t="s">
        <v>134</v>
      </c>
      <c r="DE266" t="s">
        <v>134</v>
      </c>
      <c r="DF266" t="s">
        <v>134</v>
      </c>
      <c r="DG266" t="s">
        <v>134</v>
      </c>
      <c r="DH266" t="s">
        <v>134</v>
      </c>
      <c r="DI266" t="s">
        <v>134</v>
      </c>
    </row>
    <row r="267" spans="4:113" x14ac:dyDescent="0.3">
      <c r="E267" t="s">
        <v>7</v>
      </c>
      <c r="F267">
        <v>23.364799999999999</v>
      </c>
      <c r="G267">
        <v>13.042400000000001</v>
      </c>
      <c r="H267">
        <v>17.174900000000001</v>
      </c>
      <c r="I267">
        <v>15.8583</v>
      </c>
      <c r="J267">
        <v>33.422199999999997</v>
      </c>
      <c r="K267">
        <v>29.888200000000001</v>
      </c>
      <c r="L267">
        <v>52.117100000000001</v>
      </c>
      <c r="M267">
        <v>29.950500000000002</v>
      </c>
      <c r="N267">
        <v>19.852</v>
      </c>
      <c r="O267">
        <v>19.726600000000001</v>
      </c>
      <c r="P267">
        <v>19.726600000000001</v>
      </c>
      <c r="Q267">
        <v>33.717199999999998</v>
      </c>
      <c r="R267" t="s">
        <v>134</v>
      </c>
      <c r="S267" t="s">
        <v>134</v>
      </c>
      <c r="T267">
        <v>33.964199999999998</v>
      </c>
      <c r="U267">
        <v>73.223600000000005</v>
      </c>
      <c r="V267">
        <v>79.241299999999995</v>
      </c>
      <c r="W267">
        <v>47.543900000000001</v>
      </c>
      <c r="X267">
        <v>47.2727</v>
      </c>
      <c r="Y267" t="s">
        <v>134</v>
      </c>
      <c r="Z267">
        <v>71.266300000000001</v>
      </c>
      <c r="AA267">
        <v>26.968800000000002</v>
      </c>
      <c r="AB267">
        <v>34.856700000000004</v>
      </c>
      <c r="AC267">
        <v>70.788499999999999</v>
      </c>
      <c r="AD267">
        <v>72.802099999999996</v>
      </c>
      <c r="AE267">
        <v>7.0354000000000001</v>
      </c>
      <c r="AF267">
        <v>12.0543</v>
      </c>
      <c r="AG267">
        <v>314.34910000000002</v>
      </c>
      <c r="AH267">
        <v>1236.2973</v>
      </c>
      <c r="AI267">
        <v>23.805900000000001</v>
      </c>
      <c r="AJ267">
        <v>92.829099999999997</v>
      </c>
      <c r="AK267">
        <v>23.48</v>
      </c>
      <c r="AL267" t="s">
        <v>134</v>
      </c>
      <c r="AM267">
        <v>22.036200000000001</v>
      </c>
      <c r="AN267">
        <v>35.650399999999998</v>
      </c>
      <c r="AO267">
        <v>37.2121</v>
      </c>
      <c r="AP267">
        <v>28.8551</v>
      </c>
      <c r="AQ267">
        <v>28.581900000000001</v>
      </c>
      <c r="AR267" t="s">
        <v>134</v>
      </c>
      <c r="AS267">
        <v>29.367599999999999</v>
      </c>
      <c r="AT267">
        <v>21.511600000000001</v>
      </c>
      <c r="AU267">
        <v>15.8855</v>
      </c>
      <c r="AV267">
        <v>29.653300000000002</v>
      </c>
      <c r="AW267">
        <v>30.504899999999999</v>
      </c>
      <c r="AX267">
        <v>34.524799999999999</v>
      </c>
      <c r="AY267">
        <v>17.157399999999999</v>
      </c>
      <c r="AZ267">
        <v>15.8787</v>
      </c>
      <c r="BA267">
        <v>43.921100000000003</v>
      </c>
      <c r="BB267">
        <v>27.014099999999999</v>
      </c>
      <c r="BC267">
        <v>32.263500000000001</v>
      </c>
      <c r="BD267">
        <v>27.087499999999999</v>
      </c>
      <c r="BE267" t="s">
        <v>134</v>
      </c>
      <c r="BF267">
        <v>22.116900000000001</v>
      </c>
      <c r="BG267">
        <v>61.611400000000003</v>
      </c>
      <c r="BH267">
        <v>68.771900000000002</v>
      </c>
      <c r="BI267">
        <v>53.858499999999999</v>
      </c>
      <c r="BJ267">
        <v>53.7532</v>
      </c>
      <c r="BK267" t="s">
        <v>134</v>
      </c>
      <c r="BL267" t="s">
        <v>134</v>
      </c>
      <c r="BM267" t="s">
        <v>134</v>
      </c>
      <c r="BN267" t="s">
        <v>134</v>
      </c>
      <c r="BO267" t="s">
        <v>134</v>
      </c>
      <c r="BP267" t="s">
        <v>134</v>
      </c>
      <c r="BQ267" t="s">
        <v>134</v>
      </c>
      <c r="BR267" t="s">
        <v>134</v>
      </c>
      <c r="BS267" t="s">
        <v>134</v>
      </c>
      <c r="BT267" t="s">
        <v>134</v>
      </c>
      <c r="BU267" t="s">
        <v>134</v>
      </c>
      <c r="BV267" t="s">
        <v>134</v>
      </c>
      <c r="BW267" t="s">
        <v>134</v>
      </c>
      <c r="BX267" t="s">
        <v>134</v>
      </c>
      <c r="BY267">
        <v>71775.199999999997</v>
      </c>
      <c r="BZ267">
        <v>18036.2</v>
      </c>
      <c r="CA267">
        <v>53739</v>
      </c>
      <c r="CB267">
        <v>1.9394</v>
      </c>
      <c r="CC267">
        <v>1.7176</v>
      </c>
      <c r="CD267">
        <v>2.2305000000000001</v>
      </c>
      <c r="CE267">
        <v>1.9754</v>
      </c>
      <c r="CF267">
        <v>59.764400000000002</v>
      </c>
      <c r="CG267">
        <v>48.954900000000002</v>
      </c>
      <c r="CH267">
        <v>48.780700000000003</v>
      </c>
      <c r="CI267">
        <v>29.5367</v>
      </c>
      <c r="CJ267">
        <v>23.950299999999999</v>
      </c>
      <c r="CK267">
        <v>65.152699999999996</v>
      </c>
      <c r="CL267">
        <v>39.450000000000003</v>
      </c>
      <c r="CM267">
        <v>31.988600000000002</v>
      </c>
      <c r="CN267">
        <v>57.701700000000002</v>
      </c>
      <c r="CO267">
        <v>36.589100000000002</v>
      </c>
      <c r="CP267">
        <v>13674.1</v>
      </c>
      <c r="CQ267" t="s">
        <v>134</v>
      </c>
      <c r="CR267">
        <v>12228.2</v>
      </c>
      <c r="CS267">
        <v>0.15240000000000001</v>
      </c>
      <c r="CT267">
        <v>1.8151999999999999</v>
      </c>
      <c r="CU267">
        <v>0.99690000000000001</v>
      </c>
      <c r="CV267">
        <v>6.2150999999999996</v>
      </c>
      <c r="CW267">
        <v>3.8064</v>
      </c>
      <c r="CX267">
        <v>96.154200000000003</v>
      </c>
      <c r="CY267">
        <v>1.6825000000000001</v>
      </c>
      <c r="CZ267">
        <v>217.53370000000001</v>
      </c>
      <c r="DA267">
        <v>2.6303999999999998</v>
      </c>
      <c r="DB267">
        <v>139.1403</v>
      </c>
      <c r="DC267">
        <v>174.54750000000001</v>
      </c>
      <c r="DD267">
        <v>313.68790000000001</v>
      </c>
      <c r="DE267">
        <v>31787.4</v>
      </c>
      <c r="DF267">
        <v>7268.4</v>
      </c>
      <c r="DG267">
        <v>4697.8999999999996</v>
      </c>
      <c r="DH267">
        <v>9738.9</v>
      </c>
      <c r="DI267">
        <v>10082.200000000001</v>
      </c>
    </row>
    <row r="268" spans="4:113" x14ac:dyDescent="0.3">
      <c r="D268" t="s">
        <v>10</v>
      </c>
      <c r="E268" t="s">
        <v>3</v>
      </c>
      <c r="F268">
        <v>20.741</v>
      </c>
      <c r="G268">
        <v>10.3894</v>
      </c>
      <c r="H268">
        <v>13.276199999999999</v>
      </c>
      <c r="I268">
        <v>13.089600000000001</v>
      </c>
      <c r="J268">
        <v>26.712</v>
      </c>
      <c r="K268">
        <v>21.383500000000002</v>
      </c>
      <c r="L268">
        <v>12.741199999999999</v>
      </c>
      <c r="M268">
        <v>20.696200000000001</v>
      </c>
      <c r="N268">
        <v>15.028700000000001</v>
      </c>
      <c r="O268">
        <v>14.938599999999999</v>
      </c>
      <c r="P268">
        <v>14.938599999999999</v>
      </c>
      <c r="Q268">
        <v>27.617000000000001</v>
      </c>
      <c r="R268">
        <v>13.200200000000001</v>
      </c>
      <c r="S268">
        <v>18.0031</v>
      </c>
      <c r="T268">
        <v>24.436399999999999</v>
      </c>
      <c r="U268">
        <v>22.944700000000001</v>
      </c>
      <c r="V268">
        <v>13.2515</v>
      </c>
      <c r="W268">
        <v>13.1249</v>
      </c>
      <c r="X268">
        <v>13.010400000000001</v>
      </c>
      <c r="Y268">
        <v>0</v>
      </c>
      <c r="Z268">
        <v>-5.3074000000000003</v>
      </c>
      <c r="AA268">
        <v>11.2605</v>
      </c>
      <c r="AB268">
        <v>23.575399999999998</v>
      </c>
      <c r="AC268">
        <v>17.602</v>
      </c>
      <c r="AD268">
        <v>-8.1059999999999999</v>
      </c>
      <c r="AE268">
        <v>20.872399999999999</v>
      </c>
      <c r="AF268">
        <v>30.172699999999999</v>
      </c>
      <c r="AG268">
        <v>28.5365</v>
      </c>
      <c r="AH268">
        <v>10.986700000000001</v>
      </c>
      <c r="AI268">
        <v>20.871300000000002</v>
      </c>
      <c r="AJ268">
        <v>17.009799999999998</v>
      </c>
      <c r="AK268">
        <v>20.6433</v>
      </c>
      <c r="AL268" t="s">
        <v>134</v>
      </c>
      <c r="AM268">
        <v>19.7241</v>
      </c>
      <c r="AN268">
        <v>25.532800000000002</v>
      </c>
      <c r="AO268">
        <v>24.185300000000002</v>
      </c>
      <c r="AP268">
        <v>24.134599999999999</v>
      </c>
      <c r="AQ268">
        <v>23.8703</v>
      </c>
      <c r="AR268">
        <v>18.571999999999999</v>
      </c>
      <c r="AS268">
        <v>19.332100000000001</v>
      </c>
      <c r="AT268">
        <v>16.019600000000001</v>
      </c>
      <c r="AU268">
        <v>16.918600000000001</v>
      </c>
      <c r="AV268">
        <v>27.2258</v>
      </c>
      <c r="AW268">
        <v>20.2348</v>
      </c>
      <c r="AX268">
        <v>36.700899999999997</v>
      </c>
      <c r="AY268">
        <v>13.4208</v>
      </c>
      <c r="AZ268">
        <v>13.960599999999999</v>
      </c>
      <c r="BA268">
        <v>37.191699999999997</v>
      </c>
      <c r="BB268">
        <v>27.066400000000002</v>
      </c>
      <c r="BC268">
        <v>30.297499999999999</v>
      </c>
      <c r="BD268">
        <v>27.175999999999998</v>
      </c>
      <c r="BE268">
        <v>49.966299999999997</v>
      </c>
      <c r="BF268">
        <v>24.436399999999999</v>
      </c>
      <c r="BG268">
        <v>22.944700000000001</v>
      </c>
      <c r="BH268">
        <v>13.2515</v>
      </c>
      <c r="BI268">
        <v>13.1249</v>
      </c>
      <c r="BJ268">
        <v>13.010400000000001</v>
      </c>
      <c r="BK268">
        <v>0</v>
      </c>
      <c r="BL268">
        <v>-5.3074000000000003</v>
      </c>
      <c r="BM268">
        <v>11.2605</v>
      </c>
      <c r="BN268">
        <v>23.575399999999998</v>
      </c>
      <c r="BO268">
        <v>17.602</v>
      </c>
      <c r="BP268">
        <v>-8.1059999999999999</v>
      </c>
      <c r="BQ268">
        <v>20.872399999999999</v>
      </c>
      <c r="BR268">
        <v>30.172699999999999</v>
      </c>
      <c r="BS268">
        <v>28.5365</v>
      </c>
      <c r="BT268">
        <v>10.986700000000001</v>
      </c>
      <c r="BU268">
        <v>20.871300000000002</v>
      </c>
      <c r="BV268">
        <v>17.009799999999998</v>
      </c>
      <c r="BW268">
        <v>20.6433</v>
      </c>
      <c r="BX268" t="s">
        <v>134</v>
      </c>
      <c r="BY268">
        <v>79660.899999999994</v>
      </c>
      <c r="BZ268">
        <v>23183.1</v>
      </c>
      <c r="CA268">
        <v>56477.8</v>
      </c>
      <c r="CB268">
        <v>1.742</v>
      </c>
      <c r="CC268">
        <v>1.1305000000000001</v>
      </c>
      <c r="CD268">
        <v>2.1760000000000002</v>
      </c>
      <c r="CE268">
        <v>1.4123000000000001</v>
      </c>
      <c r="CF268">
        <v>40.340899999999998</v>
      </c>
      <c r="CG268">
        <v>50.728900000000003</v>
      </c>
      <c r="CH268">
        <v>41.736199999999997</v>
      </c>
      <c r="CI268">
        <v>26.271000000000001</v>
      </c>
      <c r="CJ268">
        <v>21.226400000000002</v>
      </c>
      <c r="CK268">
        <v>58.868099999999998</v>
      </c>
      <c r="CL268">
        <v>37.054699999999997</v>
      </c>
      <c r="CM268">
        <v>29.939499999999999</v>
      </c>
      <c r="CN268">
        <v>38.205599999999997</v>
      </c>
      <c r="CO268">
        <v>27.643999999999998</v>
      </c>
      <c r="CP268">
        <v>45730.400000000001</v>
      </c>
      <c r="CQ268">
        <v>19362.5</v>
      </c>
      <c r="CR268">
        <v>36608.1</v>
      </c>
      <c r="CS268">
        <v>0.45679999999999998</v>
      </c>
      <c r="CT268">
        <v>1.9531000000000001</v>
      </c>
      <c r="CU268">
        <v>1.1606000000000001</v>
      </c>
      <c r="CV268">
        <v>5.7186000000000003</v>
      </c>
      <c r="CW268">
        <v>3.8662000000000001</v>
      </c>
      <c r="CX268">
        <v>94.407499999999999</v>
      </c>
      <c r="CY268">
        <v>1.5441</v>
      </c>
      <c r="CZ268">
        <v>236.3896</v>
      </c>
      <c r="DA268">
        <v>2.4938000000000002</v>
      </c>
      <c r="DB268">
        <v>146.36349999999999</v>
      </c>
      <c r="DC268">
        <v>184.43360000000001</v>
      </c>
      <c r="DD268">
        <v>330.7971</v>
      </c>
      <c r="DE268">
        <v>36422.800000000003</v>
      </c>
      <c r="DF268">
        <v>7233.9</v>
      </c>
      <c r="DG268">
        <v>4906</v>
      </c>
      <c r="DH268">
        <v>11200.7</v>
      </c>
      <c r="DI268">
        <v>13082.2</v>
      </c>
    </row>
    <row r="269" spans="4:113" x14ac:dyDescent="0.3">
      <c r="E269" t="s">
        <v>4</v>
      </c>
      <c r="F269" t="s">
        <v>134</v>
      </c>
      <c r="G269" t="s">
        <v>134</v>
      </c>
      <c r="H269" t="s">
        <v>134</v>
      </c>
      <c r="I269" t="s">
        <v>134</v>
      </c>
      <c r="J269">
        <v>30.323899999999998</v>
      </c>
      <c r="K269">
        <v>25.624500000000001</v>
      </c>
      <c r="L269">
        <v>30.977</v>
      </c>
      <c r="M269">
        <v>26.798300000000001</v>
      </c>
      <c r="N269">
        <v>20.4604</v>
      </c>
      <c r="O269">
        <v>20.446000000000002</v>
      </c>
      <c r="P269">
        <v>20.446000000000002</v>
      </c>
      <c r="Q269">
        <v>23.652200000000001</v>
      </c>
      <c r="R269" t="s">
        <v>134</v>
      </c>
      <c r="S269" t="s">
        <v>134</v>
      </c>
      <c r="T269">
        <v>40.011099999999999</v>
      </c>
      <c r="U269">
        <v>58.582999999999998</v>
      </c>
      <c r="V269">
        <v>52.779600000000002</v>
      </c>
      <c r="W269">
        <v>55.122700000000002</v>
      </c>
      <c r="X269">
        <v>54.892600000000002</v>
      </c>
      <c r="Y269" t="s">
        <v>134</v>
      </c>
      <c r="Z269" t="s">
        <v>134</v>
      </c>
      <c r="AA269" t="s">
        <v>134</v>
      </c>
      <c r="AB269" t="s">
        <v>134</v>
      </c>
      <c r="AC269" t="s">
        <v>134</v>
      </c>
      <c r="AD269" t="s">
        <v>134</v>
      </c>
      <c r="AE269" t="s">
        <v>134</v>
      </c>
      <c r="AF269" t="s">
        <v>134</v>
      </c>
      <c r="AG269" t="s">
        <v>134</v>
      </c>
      <c r="AH269" t="s">
        <v>134</v>
      </c>
      <c r="AI269" t="s">
        <v>134</v>
      </c>
      <c r="AJ269" t="s">
        <v>134</v>
      </c>
      <c r="AK269" t="s">
        <v>134</v>
      </c>
      <c r="AL269" t="s">
        <v>134</v>
      </c>
      <c r="AM269">
        <v>22.824200000000001</v>
      </c>
      <c r="AN269">
        <v>34.756100000000004</v>
      </c>
      <c r="AO269">
        <v>34.921700000000001</v>
      </c>
      <c r="AP269">
        <v>33.232999999999997</v>
      </c>
      <c r="AQ269">
        <v>32.934800000000003</v>
      </c>
      <c r="AR269" t="s">
        <v>134</v>
      </c>
      <c r="AS269" t="s">
        <v>134</v>
      </c>
      <c r="AT269" t="s">
        <v>134</v>
      </c>
      <c r="AU269" t="s">
        <v>134</v>
      </c>
      <c r="AV269" t="s">
        <v>134</v>
      </c>
      <c r="AW269" t="s">
        <v>134</v>
      </c>
      <c r="AX269" t="s">
        <v>134</v>
      </c>
      <c r="AY269" t="s">
        <v>134</v>
      </c>
      <c r="AZ269" t="s">
        <v>134</v>
      </c>
      <c r="BA269" t="s">
        <v>134</v>
      </c>
      <c r="BB269" t="s">
        <v>134</v>
      </c>
      <c r="BC269" t="s">
        <v>134</v>
      </c>
      <c r="BD269" t="s">
        <v>134</v>
      </c>
      <c r="BE269" t="s">
        <v>134</v>
      </c>
      <c r="BF269">
        <v>4.9789000000000003</v>
      </c>
      <c r="BG269">
        <v>-0.51190000000000002</v>
      </c>
      <c r="BH269">
        <v>-5.2073</v>
      </c>
      <c r="BI269">
        <v>17.9267</v>
      </c>
      <c r="BJ269">
        <v>17.857099999999999</v>
      </c>
      <c r="BK269" t="s">
        <v>134</v>
      </c>
      <c r="BL269" t="s">
        <v>134</v>
      </c>
      <c r="BM269" t="s">
        <v>134</v>
      </c>
      <c r="BN269" t="s">
        <v>134</v>
      </c>
      <c r="BO269" t="s">
        <v>134</v>
      </c>
      <c r="BP269" t="s">
        <v>134</v>
      </c>
      <c r="BQ269" t="s">
        <v>134</v>
      </c>
      <c r="BR269" t="s">
        <v>134</v>
      </c>
      <c r="BS269" t="s">
        <v>134</v>
      </c>
      <c r="BT269" t="s">
        <v>134</v>
      </c>
      <c r="BU269">
        <v>-100</v>
      </c>
      <c r="BV269" t="s">
        <v>134</v>
      </c>
      <c r="BW269">
        <v>-100</v>
      </c>
      <c r="BX269" t="s">
        <v>134</v>
      </c>
      <c r="BY269" t="s">
        <v>134</v>
      </c>
      <c r="BZ269" t="s">
        <v>134</v>
      </c>
      <c r="CA269" t="s">
        <v>134</v>
      </c>
      <c r="CB269" t="s">
        <v>134</v>
      </c>
      <c r="CC269" t="s">
        <v>134</v>
      </c>
      <c r="CD269" t="s">
        <v>134</v>
      </c>
      <c r="CE269" t="s">
        <v>134</v>
      </c>
      <c r="CF269">
        <v>40.901800000000001</v>
      </c>
      <c r="CG269" t="s">
        <v>134</v>
      </c>
      <c r="CH269" t="s">
        <v>134</v>
      </c>
      <c r="CI269" t="s">
        <v>134</v>
      </c>
      <c r="CJ269" t="s">
        <v>134</v>
      </c>
      <c r="CK269" t="s">
        <v>134</v>
      </c>
      <c r="CL269" t="s">
        <v>134</v>
      </c>
      <c r="CM269" t="s">
        <v>134</v>
      </c>
      <c r="CN269" t="s">
        <v>134</v>
      </c>
      <c r="CO269" t="s">
        <v>134</v>
      </c>
      <c r="CP269">
        <v>13080.4</v>
      </c>
      <c r="CQ269" t="s">
        <v>134</v>
      </c>
      <c r="CR269">
        <v>11053.3</v>
      </c>
      <c r="CS269" t="s">
        <v>134</v>
      </c>
      <c r="CT269" t="s">
        <v>134</v>
      </c>
      <c r="CU269" t="s">
        <v>134</v>
      </c>
      <c r="CV269" t="s">
        <v>134</v>
      </c>
      <c r="CW269" t="s">
        <v>134</v>
      </c>
      <c r="CX269" t="s">
        <v>134</v>
      </c>
      <c r="CY269" t="s">
        <v>134</v>
      </c>
      <c r="CZ269" t="s">
        <v>134</v>
      </c>
      <c r="DA269" t="s">
        <v>134</v>
      </c>
      <c r="DB269" t="s">
        <v>134</v>
      </c>
      <c r="DC269" t="s">
        <v>134</v>
      </c>
      <c r="DD269" t="s">
        <v>134</v>
      </c>
      <c r="DE269" t="s">
        <v>134</v>
      </c>
      <c r="DF269" t="s">
        <v>134</v>
      </c>
      <c r="DG269" t="s">
        <v>134</v>
      </c>
      <c r="DH269" t="s">
        <v>134</v>
      </c>
      <c r="DI269" t="s">
        <v>134</v>
      </c>
    </row>
    <row r="270" spans="4:113" x14ac:dyDescent="0.3">
      <c r="E270" t="s">
        <v>5</v>
      </c>
      <c r="F270">
        <v>25.153700000000001</v>
      </c>
      <c r="G270">
        <v>14.401</v>
      </c>
      <c r="H270">
        <v>18.613800000000001</v>
      </c>
      <c r="I270">
        <v>17.518000000000001</v>
      </c>
      <c r="J270">
        <v>24.4129</v>
      </c>
      <c r="K270">
        <v>19.3979</v>
      </c>
      <c r="L270">
        <v>26.485199999999999</v>
      </c>
      <c r="M270">
        <v>19.417100000000001</v>
      </c>
      <c r="N270">
        <v>15.742900000000001</v>
      </c>
      <c r="O270">
        <v>15.724600000000001</v>
      </c>
      <c r="P270">
        <v>15.724600000000001</v>
      </c>
      <c r="Q270">
        <v>19.4377</v>
      </c>
      <c r="R270" t="s">
        <v>134</v>
      </c>
      <c r="S270" t="s">
        <v>134</v>
      </c>
      <c r="T270">
        <v>31.904</v>
      </c>
      <c r="U270">
        <v>55.156999999999996</v>
      </c>
      <c r="V270">
        <v>49.308199999999999</v>
      </c>
      <c r="W270">
        <v>57.758200000000002</v>
      </c>
      <c r="X270">
        <v>57.713099999999997</v>
      </c>
      <c r="Y270" t="s">
        <v>134</v>
      </c>
      <c r="Z270">
        <v>30.4252</v>
      </c>
      <c r="AA270">
        <v>14.719799999999999</v>
      </c>
      <c r="AB270" t="s">
        <v>134</v>
      </c>
      <c r="AC270">
        <v>62.730600000000003</v>
      </c>
      <c r="AD270">
        <v>33.248800000000003</v>
      </c>
      <c r="AE270">
        <v>37.442700000000002</v>
      </c>
      <c r="AF270">
        <v>3.1918000000000002</v>
      </c>
      <c r="AG270">
        <v>-38.6631</v>
      </c>
      <c r="AH270">
        <v>266.78210000000001</v>
      </c>
      <c r="AI270">
        <v>26.487100000000002</v>
      </c>
      <c r="AJ270">
        <v>64.581999999999994</v>
      </c>
      <c r="AK270">
        <v>25.905999999999999</v>
      </c>
      <c r="AL270" t="s">
        <v>134</v>
      </c>
      <c r="AM270">
        <v>19.313099999999999</v>
      </c>
      <c r="AN270">
        <v>20.6007</v>
      </c>
      <c r="AO270">
        <v>18.419899999999998</v>
      </c>
      <c r="AP270">
        <v>19.932400000000001</v>
      </c>
      <c r="AQ270">
        <v>19.697800000000001</v>
      </c>
      <c r="AR270" t="s">
        <v>134</v>
      </c>
      <c r="AS270">
        <v>20.903500000000001</v>
      </c>
      <c r="AT270">
        <v>17.319400000000002</v>
      </c>
      <c r="AU270" t="s">
        <v>134</v>
      </c>
      <c r="AV270">
        <v>28.275700000000001</v>
      </c>
      <c r="AW270">
        <v>11.242100000000001</v>
      </c>
      <c r="AX270">
        <v>18.0397</v>
      </c>
      <c r="AY270" t="s">
        <v>134</v>
      </c>
      <c r="AZ270" t="s">
        <v>134</v>
      </c>
      <c r="BA270" t="s">
        <v>134</v>
      </c>
      <c r="BB270">
        <v>26.625</v>
      </c>
      <c r="BC270" t="s">
        <v>134</v>
      </c>
      <c r="BD270">
        <v>26.301100000000002</v>
      </c>
      <c r="BE270" t="s">
        <v>134</v>
      </c>
      <c r="BF270">
        <v>-3.0084</v>
      </c>
      <c r="BG270">
        <v>-21.5687</v>
      </c>
      <c r="BH270">
        <v>-26.279699999999998</v>
      </c>
      <c r="BI270">
        <v>-24.9175</v>
      </c>
      <c r="BJ270">
        <v>-24.9101</v>
      </c>
      <c r="BK270" t="s">
        <v>134</v>
      </c>
      <c r="BL270" t="s">
        <v>134</v>
      </c>
      <c r="BM270" t="s">
        <v>134</v>
      </c>
      <c r="BN270" t="s">
        <v>134</v>
      </c>
      <c r="BO270" t="s">
        <v>134</v>
      </c>
      <c r="BP270" t="s">
        <v>134</v>
      </c>
      <c r="BQ270" t="s">
        <v>134</v>
      </c>
      <c r="BR270" t="s">
        <v>134</v>
      </c>
      <c r="BS270" t="s">
        <v>134</v>
      </c>
      <c r="BT270" t="s">
        <v>134</v>
      </c>
      <c r="BU270" t="s">
        <v>134</v>
      </c>
      <c r="BV270" t="s">
        <v>134</v>
      </c>
      <c r="BW270" t="s">
        <v>134</v>
      </c>
      <c r="BX270" t="s">
        <v>134</v>
      </c>
      <c r="BY270">
        <v>68422.100000000006</v>
      </c>
      <c r="BZ270">
        <v>10993.1</v>
      </c>
      <c r="CA270">
        <v>57429</v>
      </c>
      <c r="CB270">
        <v>1.5206</v>
      </c>
      <c r="CC270">
        <v>1.1184000000000001</v>
      </c>
      <c r="CD270">
        <v>1.7932000000000001</v>
      </c>
      <c r="CE270">
        <v>1.3189</v>
      </c>
      <c r="CF270">
        <v>39.0901</v>
      </c>
      <c r="CG270">
        <v>51.566099999999999</v>
      </c>
      <c r="CH270">
        <v>45.854399999999998</v>
      </c>
      <c r="CI270">
        <v>29.6539</v>
      </c>
      <c r="CJ270">
        <v>23.703600000000002</v>
      </c>
      <c r="CK270">
        <v>54.631900000000002</v>
      </c>
      <c r="CL270">
        <v>35.330300000000001</v>
      </c>
      <c r="CM270">
        <v>28.241</v>
      </c>
      <c r="CN270">
        <v>40.181199999999997</v>
      </c>
      <c r="CO270">
        <v>28.663699999999999</v>
      </c>
      <c r="CP270">
        <v>10280.700000000001</v>
      </c>
      <c r="CQ270" t="s">
        <v>134</v>
      </c>
      <c r="CR270">
        <v>8168.8</v>
      </c>
      <c r="CS270">
        <v>0.3725</v>
      </c>
      <c r="CT270">
        <v>2.1686999999999999</v>
      </c>
      <c r="CU270">
        <v>1.1981999999999999</v>
      </c>
      <c r="CV270">
        <v>6.5167999999999999</v>
      </c>
      <c r="CW270">
        <v>4.5190999999999999</v>
      </c>
      <c r="CX270">
        <v>80.989900000000006</v>
      </c>
      <c r="CY270">
        <v>1.5803</v>
      </c>
      <c r="CZ270">
        <v>231.6045</v>
      </c>
      <c r="DA270">
        <v>2.5343999999999998</v>
      </c>
      <c r="DB270">
        <v>144.4111</v>
      </c>
      <c r="DC270">
        <v>168.1833</v>
      </c>
      <c r="DD270">
        <v>312.59440000000001</v>
      </c>
      <c r="DE270">
        <v>33273.800000000003</v>
      </c>
      <c r="DF270" t="s">
        <v>134</v>
      </c>
      <c r="DG270" t="s">
        <v>134</v>
      </c>
      <c r="DH270" t="s">
        <v>134</v>
      </c>
      <c r="DI270" t="s">
        <v>134</v>
      </c>
    </row>
    <row r="271" spans="4:113" x14ac:dyDescent="0.3">
      <c r="E271" t="s">
        <v>6</v>
      </c>
      <c r="F271" t="s">
        <v>134</v>
      </c>
      <c r="G271" t="s">
        <v>134</v>
      </c>
      <c r="H271" t="s">
        <v>134</v>
      </c>
      <c r="I271" t="s">
        <v>134</v>
      </c>
      <c r="J271">
        <v>27.601500000000001</v>
      </c>
      <c r="K271">
        <v>22.359400000000001</v>
      </c>
      <c r="L271">
        <v>24.689699999999998</v>
      </c>
      <c r="M271">
        <v>23.668199999999999</v>
      </c>
      <c r="N271">
        <v>14.426299999999999</v>
      </c>
      <c r="O271">
        <v>14.3727</v>
      </c>
      <c r="P271">
        <v>14.3727</v>
      </c>
      <c r="Q271">
        <v>39.276000000000003</v>
      </c>
      <c r="R271" t="s">
        <v>134</v>
      </c>
      <c r="S271" t="s">
        <v>134</v>
      </c>
      <c r="T271">
        <v>31.477799999999998</v>
      </c>
      <c r="U271">
        <v>43.696399999999997</v>
      </c>
      <c r="V271">
        <v>35.9373</v>
      </c>
      <c r="W271">
        <v>20.6935</v>
      </c>
      <c r="X271">
        <v>20.621200000000002</v>
      </c>
      <c r="Y271" t="s">
        <v>134</v>
      </c>
      <c r="Z271" t="s">
        <v>134</v>
      </c>
      <c r="AA271" t="s">
        <v>134</v>
      </c>
      <c r="AB271" t="s">
        <v>134</v>
      </c>
      <c r="AC271" t="s">
        <v>134</v>
      </c>
      <c r="AD271" t="s">
        <v>134</v>
      </c>
      <c r="AE271" t="s">
        <v>134</v>
      </c>
      <c r="AF271" t="s">
        <v>134</v>
      </c>
      <c r="AG271" t="s">
        <v>134</v>
      </c>
      <c r="AH271" t="s">
        <v>134</v>
      </c>
      <c r="AI271" t="s">
        <v>134</v>
      </c>
      <c r="AJ271" t="s">
        <v>134</v>
      </c>
      <c r="AK271" t="s">
        <v>134</v>
      </c>
      <c r="AL271" t="s">
        <v>134</v>
      </c>
      <c r="AM271">
        <v>19.711200000000002</v>
      </c>
      <c r="AN271">
        <v>26.532800000000002</v>
      </c>
      <c r="AO271">
        <v>25.430299999999999</v>
      </c>
      <c r="AP271">
        <v>21.915800000000001</v>
      </c>
      <c r="AQ271">
        <v>21.6845</v>
      </c>
      <c r="AR271" t="s">
        <v>134</v>
      </c>
      <c r="AS271" t="s">
        <v>134</v>
      </c>
      <c r="AT271" t="s">
        <v>134</v>
      </c>
      <c r="AU271" t="s">
        <v>134</v>
      </c>
      <c r="AV271" t="s">
        <v>134</v>
      </c>
      <c r="AW271" t="s">
        <v>134</v>
      </c>
      <c r="AX271" t="s">
        <v>134</v>
      </c>
      <c r="AY271" t="s">
        <v>134</v>
      </c>
      <c r="AZ271" t="s">
        <v>134</v>
      </c>
      <c r="BA271" t="s">
        <v>134</v>
      </c>
      <c r="BB271" t="s">
        <v>134</v>
      </c>
      <c r="BC271" t="s">
        <v>134</v>
      </c>
      <c r="BD271" t="s">
        <v>134</v>
      </c>
      <c r="BE271" t="s">
        <v>134</v>
      </c>
      <c r="BF271">
        <v>4.6010999999999997</v>
      </c>
      <c r="BG271">
        <v>18.263300000000001</v>
      </c>
      <c r="BH271">
        <v>20.571000000000002</v>
      </c>
      <c r="BI271">
        <v>-4.3914999999999997</v>
      </c>
      <c r="BJ271">
        <v>-4.3776000000000002</v>
      </c>
      <c r="BK271" t="s">
        <v>134</v>
      </c>
      <c r="BL271" t="s">
        <v>134</v>
      </c>
      <c r="BM271" t="s">
        <v>134</v>
      </c>
      <c r="BN271" t="s">
        <v>134</v>
      </c>
      <c r="BO271" t="s">
        <v>134</v>
      </c>
      <c r="BP271" t="s">
        <v>134</v>
      </c>
      <c r="BQ271" t="s">
        <v>134</v>
      </c>
      <c r="BR271" t="s">
        <v>134</v>
      </c>
      <c r="BS271" t="s">
        <v>134</v>
      </c>
      <c r="BT271" t="s">
        <v>134</v>
      </c>
      <c r="BU271" t="s">
        <v>134</v>
      </c>
      <c r="BV271" t="s">
        <v>134</v>
      </c>
      <c r="BW271" t="s">
        <v>134</v>
      </c>
      <c r="BX271" t="s">
        <v>134</v>
      </c>
      <c r="BY271" t="s">
        <v>134</v>
      </c>
      <c r="BZ271" t="s">
        <v>134</v>
      </c>
      <c r="CA271" t="s">
        <v>134</v>
      </c>
      <c r="CB271" t="s">
        <v>134</v>
      </c>
      <c r="CC271" t="s">
        <v>134</v>
      </c>
      <c r="CD271" t="s">
        <v>134</v>
      </c>
      <c r="CE271" t="s">
        <v>134</v>
      </c>
      <c r="CF271">
        <v>26.471399999999999</v>
      </c>
      <c r="CG271" t="s">
        <v>134</v>
      </c>
      <c r="CH271" t="s">
        <v>134</v>
      </c>
      <c r="CI271" t="s">
        <v>134</v>
      </c>
      <c r="CJ271" t="s">
        <v>134</v>
      </c>
      <c r="CK271" t="s">
        <v>134</v>
      </c>
      <c r="CL271" t="s">
        <v>134</v>
      </c>
      <c r="CM271" t="s">
        <v>134</v>
      </c>
      <c r="CN271" t="s">
        <v>134</v>
      </c>
      <c r="CO271" t="s">
        <v>134</v>
      </c>
      <c r="CP271">
        <v>12158.3</v>
      </c>
      <c r="CQ271" t="s">
        <v>134</v>
      </c>
      <c r="CR271">
        <v>9849.2000000000007</v>
      </c>
      <c r="CS271" t="s">
        <v>134</v>
      </c>
      <c r="CT271" t="s">
        <v>134</v>
      </c>
      <c r="CU271" t="s">
        <v>134</v>
      </c>
      <c r="CV271" t="s">
        <v>134</v>
      </c>
      <c r="CW271" t="s">
        <v>134</v>
      </c>
      <c r="CX271" t="s">
        <v>134</v>
      </c>
      <c r="CY271" t="s">
        <v>134</v>
      </c>
      <c r="CZ271" t="s">
        <v>134</v>
      </c>
      <c r="DA271" t="s">
        <v>134</v>
      </c>
      <c r="DB271" t="s">
        <v>134</v>
      </c>
      <c r="DC271" t="s">
        <v>134</v>
      </c>
      <c r="DD271" t="s">
        <v>134</v>
      </c>
      <c r="DE271" t="s">
        <v>134</v>
      </c>
      <c r="DF271" t="s">
        <v>134</v>
      </c>
      <c r="DG271" t="s">
        <v>134</v>
      </c>
      <c r="DH271" t="s">
        <v>134</v>
      </c>
      <c r="DI271" t="s">
        <v>134</v>
      </c>
    </row>
    <row r="272" spans="4:113" x14ac:dyDescent="0.3">
      <c r="E272" t="s">
        <v>7</v>
      </c>
      <c r="F272">
        <v>20.741</v>
      </c>
      <c r="G272">
        <v>10.3894</v>
      </c>
      <c r="H272">
        <v>13.4</v>
      </c>
      <c r="I272">
        <v>12.183</v>
      </c>
      <c r="J272">
        <v>18.7744</v>
      </c>
      <c r="K272">
        <v>12.349</v>
      </c>
      <c r="L272" t="s">
        <v>134</v>
      </c>
      <c r="M272">
        <v>12.462400000000001</v>
      </c>
      <c r="N272">
        <v>9.2177000000000007</v>
      </c>
      <c r="O272">
        <v>9.1355000000000004</v>
      </c>
      <c r="P272">
        <v>9.1355000000000004</v>
      </c>
      <c r="Q272">
        <v>26.352</v>
      </c>
      <c r="R272" t="s">
        <v>134</v>
      </c>
      <c r="S272" t="s">
        <v>134</v>
      </c>
      <c r="T272">
        <v>1.2873999999999999</v>
      </c>
      <c r="U272">
        <v>-40.569800000000001</v>
      </c>
      <c r="V272">
        <v>-55.9238</v>
      </c>
      <c r="W272">
        <v>-49.1616</v>
      </c>
      <c r="X272">
        <v>-49.213099999999997</v>
      </c>
      <c r="Y272" t="s">
        <v>134</v>
      </c>
      <c r="Z272">
        <v>-5.3074000000000003</v>
      </c>
      <c r="AA272">
        <v>11.2605</v>
      </c>
      <c r="AB272">
        <v>23.575399999999998</v>
      </c>
      <c r="AC272">
        <v>17.602</v>
      </c>
      <c r="AD272">
        <v>-8.1059999999999999</v>
      </c>
      <c r="AE272">
        <v>20.872399999999999</v>
      </c>
      <c r="AF272">
        <v>30.172699999999999</v>
      </c>
      <c r="AG272">
        <v>28.5365</v>
      </c>
      <c r="AH272">
        <v>10.986700000000001</v>
      </c>
      <c r="AI272">
        <v>20.871300000000002</v>
      </c>
      <c r="AJ272">
        <v>17.009799999999998</v>
      </c>
      <c r="AK272">
        <v>20.6433</v>
      </c>
      <c r="AL272" t="s">
        <v>134</v>
      </c>
      <c r="AM272">
        <v>17.1873</v>
      </c>
      <c r="AN272">
        <v>15.950799999999999</v>
      </c>
      <c r="AO272">
        <v>11.202999999999999</v>
      </c>
      <c r="AP272">
        <v>19.558499999999999</v>
      </c>
      <c r="AQ272">
        <v>19.3127</v>
      </c>
      <c r="AR272" t="s">
        <v>134</v>
      </c>
      <c r="AS272">
        <v>19.332100000000001</v>
      </c>
      <c r="AT272">
        <v>16.019600000000001</v>
      </c>
      <c r="AU272">
        <v>16.918600000000001</v>
      </c>
      <c r="AV272">
        <v>27.2258</v>
      </c>
      <c r="AW272">
        <v>20.2348</v>
      </c>
      <c r="AX272">
        <v>36.700899999999997</v>
      </c>
      <c r="AY272">
        <v>13.4208</v>
      </c>
      <c r="AZ272">
        <v>13.960599999999999</v>
      </c>
      <c r="BA272">
        <v>37.191699999999997</v>
      </c>
      <c r="BB272">
        <v>27.066400000000002</v>
      </c>
      <c r="BC272">
        <v>30.297499999999999</v>
      </c>
      <c r="BD272">
        <v>27.175999999999998</v>
      </c>
      <c r="BE272" t="s">
        <v>134</v>
      </c>
      <c r="BF272">
        <v>-5.5179</v>
      </c>
      <c r="BG272">
        <v>-35.733600000000003</v>
      </c>
      <c r="BH272">
        <v>-47.818100000000001</v>
      </c>
      <c r="BI272">
        <v>-39.945700000000002</v>
      </c>
      <c r="BJ272">
        <v>-39.985700000000001</v>
      </c>
      <c r="BK272" t="s">
        <v>134</v>
      </c>
      <c r="BL272" t="s">
        <v>134</v>
      </c>
      <c r="BM272" t="s">
        <v>134</v>
      </c>
      <c r="BN272" t="s">
        <v>134</v>
      </c>
      <c r="BO272" t="s">
        <v>134</v>
      </c>
      <c r="BP272" t="s">
        <v>134</v>
      </c>
      <c r="BQ272" t="s">
        <v>134</v>
      </c>
      <c r="BR272" t="s">
        <v>134</v>
      </c>
      <c r="BS272" t="s">
        <v>134</v>
      </c>
      <c r="BT272" t="s">
        <v>134</v>
      </c>
      <c r="BU272" t="s">
        <v>134</v>
      </c>
      <c r="BV272" t="s">
        <v>134</v>
      </c>
      <c r="BW272" t="s">
        <v>134</v>
      </c>
      <c r="BX272" t="s">
        <v>134</v>
      </c>
      <c r="BY272">
        <v>79660.899999999994</v>
      </c>
      <c r="BZ272">
        <v>23183.1</v>
      </c>
      <c r="CA272">
        <v>56477.8</v>
      </c>
      <c r="CB272">
        <v>1.8372000000000002</v>
      </c>
      <c r="CC272">
        <v>1.1922999999999999</v>
      </c>
      <c r="CD272">
        <v>2.3266999999999998</v>
      </c>
      <c r="CE272">
        <v>1.51</v>
      </c>
      <c r="CF272">
        <v>19.2361</v>
      </c>
      <c r="CG272">
        <v>50.728900000000003</v>
      </c>
      <c r="CH272">
        <v>41.736199999999997</v>
      </c>
      <c r="CI272">
        <v>26.271000000000001</v>
      </c>
      <c r="CJ272">
        <v>21.226400000000002</v>
      </c>
      <c r="CK272">
        <v>58.868099999999998</v>
      </c>
      <c r="CL272">
        <v>37.054699999999997</v>
      </c>
      <c r="CM272">
        <v>29.939499999999999</v>
      </c>
      <c r="CN272">
        <v>38.205599999999997</v>
      </c>
      <c r="CO272">
        <v>27.643999999999998</v>
      </c>
      <c r="CP272">
        <v>7813.7</v>
      </c>
      <c r="CQ272" t="s">
        <v>134</v>
      </c>
      <c r="CR272">
        <v>5139.5</v>
      </c>
      <c r="CS272">
        <v>0.45679999999999998</v>
      </c>
      <c r="CT272">
        <v>1.9531000000000001</v>
      </c>
      <c r="CU272">
        <v>1.1606000000000001</v>
      </c>
      <c r="CV272">
        <v>5.7186000000000003</v>
      </c>
      <c r="CW272">
        <v>3.8662000000000001</v>
      </c>
      <c r="CX272">
        <v>94.407499999999999</v>
      </c>
      <c r="CY272">
        <v>1.5441</v>
      </c>
      <c r="CZ272">
        <v>236.3896</v>
      </c>
      <c r="DA272">
        <v>2.4938000000000002</v>
      </c>
      <c r="DB272">
        <v>146.36349999999999</v>
      </c>
      <c r="DC272">
        <v>184.43360000000001</v>
      </c>
      <c r="DD272">
        <v>330.7971</v>
      </c>
      <c r="DE272">
        <v>36422.800000000003</v>
      </c>
      <c r="DF272">
        <v>7233.9</v>
      </c>
      <c r="DG272">
        <v>4906</v>
      </c>
      <c r="DH272">
        <v>11200.7</v>
      </c>
      <c r="DI272">
        <v>13082.2</v>
      </c>
    </row>
    <row r="273" spans="1:113" x14ac:dyDescent="0.3">
      <c r="D273" t="s">
        <v>11</v>
      </c>
      <c r="E273" t="s">
        <v>3</v>
      </c>
      <c r="F273">
        <v>1.8561000000000001</v>
      </c>
      <c r="G273">
        <v>0.94969999999999999</v>
      </c>
      <c r="H273">
        <v>1.542</v>
      </c>
      <c r="I273">
        <v>4.6707000000000001</v>
      </c>
      <c r="J273">
        <v>20.228400000000001</v>
      </c>
      <c r="K273">
        <v>13.2498</v>
      </c>
      <c r="L273">
        <v>-102.51349999999999</v>
      </c>
      <c r="M273">
        <v>3.5141999999999998</v>
      </c>
      <c r="N273">
        <v>1.6604000000000001</v>
      </c>
      <c r="O273">
        <v>1.6148</v>
      </c>
      <c r="P273">
        <v>1.6148</v>
      </c>
      <c r="Q273">
        <v>52.7532</v>
      </c>
      <c r="R273">
        <v>89.9666</v>
      </c>
      <c r="S273">
        <v>0.1862</v>
      </c>
      <c r="T273">
        <v>-9.1120000000000001</v>
      </c>
      <c r="U273">
        <v>-31.172499999999999</v>
      </c>
      <c r="V273">
        <v>-43.683500000000002</v>
      </c>
      <c r="W273">
        <v>-90.175399999999996</v>
      </c>
      <c r="X273">
        <v>-90.187700000000007</v>
      </c>
      <c r="Y273">
        <v>-33.333300000000001</v>
      </c>
      <c r="Z273">
        <v>20.543299999999999</v>
      </c>
      <c r="AA273">
        <v>0.55489999999999995</v>
      </c>
      <c r="AB273">
        <v>9.5763999999999996</v>
      </c>
      <c r="AC273">
        <v>-1.1347</v>
      </c>
      <c r="AD273">
        <v>17.135400000000001</v>
      </c>
      <c r="AE273">
        <v>21.974900000000002</v>
      </c>
      <c r="AF273">
        <v>-0.52149999999999996</v>
      </c>
      <c r="AG273">
        <v>-69.016199999999998</v>
      </c>
      <c r="AH273">
        <v>-10.334899999999999</v>
      </c>
      <c r="AI273">
        <v>0.62849999999999995</v>
      </c>
      <c r="AJ273">
        <v>-3.4340000000000002</v>
      </c>
      <c r="AK273">
        <v>0.4763</v>
      </c>
      <c r="AL273">
        <v>-60.524900000000002</v>
      </c>
      <c r="AM273">
        <v>10.460699999999999</v>
      </c>
      <c r="AN273">
        <v>6.5278999999999998</v>
      </c>
      <c r="AO273">
        <v>0.99450000000000005</v>
      </c>
      <c r="AP273">
        <v>-28.171800000000001</v>
      </c>
      <c r="AQ273">
        <v>-28.311900000000001</v>
      </c>
      <c r="AR273">
        <v>4.5640000000000001</v>
      </c>
      <c r="AS273">
        <v>18.8779</v>
      </c>
      <c r="AT273">
        <v>13.447800000000001</v>
      </c>
      <c r="AU273">
        <v>17.100300000000001</v>
      </c>
      <c r="AV273">
        <v>24.164000000000001</v>
      </c>
      <c r="AW273">
        <v>19.351400000000002</v>
      </c>
      <c r="AX273">
        <v>27.202000000000002</v>
      </c>
      <c r="AY273">
        <v>10.7875</v>
      </c>
      <c r="AZ273">
        <v>-4.7759999999999998</v>
      </c>
      <c r="BA273">
        <v>43.729700000000001</v>
      </c>
      <c r="BB273">
        <v>20.9373</v>
      </c>
      <c r="BC273">
        <v>26.4237</v>
      </c>
      <c r="BD273">
        <v>20.895900000000001</v>
      </c>
      <c r="BE273">
        <v>5.4062999999999999</v>
      </c>
      <c r="BF273">
        <v>-9.1120000000000001</v>
      </c>
      <c r="BG273">
        <v>-31.172499999999999</v>
      </c>
      <c r="BH273">
        <v>-43.683500000000002</v>
      </c>
      <c r="BI273">
        <v>-90.175399999999996</v>
      </c>
      <c r="BJ273">
        <v>-90.187700000000007</v>
      </c>
      <c r="BK273">
        <v>-33.333300000000001</v>
      </c>
      <c r="BL273">
        <v>20.543299999999999</v>
      </c>
      <c r="BM273">
        <v>0.55489999999999995</v>
      </c>
      <c r="BN273">
        <v>9.5763999999999996</v>
      </c>
      <c r="BO273">
        <v>-1.1347</v>
      </c>
      <c r="BP273">
        <v>17.135400000000001</v>
      </c>
      <c r="BQ273">
        <v>21.974900000000002</v>
      </c>
      <c r="BR273">
        <v>-0.52149999999999996</v>
      </c>
      <c r="BS273">
        <v>-69.016199999999998</v>
      </c>
      <c r="BT273">
        <v>-10.334899999999999</v>
      </c>
      <c r="BU273">
        <v>0.62849999999999995</v>
      </c>
      <c r="BV273">
        <v>-3.4340000000000002</v>
      </c>
      <c r="BW273">
        <v>0.4763</v>
      </c>
      <c r="BX273">
        <v>-60.524900000000002</v>
      </c>
      <c r="BY273">
        <v>71428</v>
      </c>
      <c r="BZ273">
        <v>7183</v>
      </c>
      <c r="CA273">
        <v>64245</v>
      </c>
      <c r="CB273">
        <v>2.2692999999999999</v>
      </c>
      <c r="CC273">
        <v>1.7497</v>
      </c>
      <c r="CD273">
        <v>3.4645999999999999</v>
      </c>
      <c r="CE273">
        <v>2.6713</v>
      </c>
      <c r="CF273">
        <v>22.042899999999999</v>
      </c>
      <c r="CG273">
        <v>51.613199999999999</v>
      </c>
      <c r="CH273">
        <v>47.179499999999997</v>
      </c>
      <c r="CI273">
        <v>30.9466</v>
      </c>
      <c r="CJ273">
        <v>24.422799999999999</v>
      </c>
      <c r="CK273">
        <v>52.454500000000003</v>
      </c>
      <c r="CL273">
        <v>34.406700000000001</v>
      </c>
      <c r="CM273">
        <v>27.153400000000001</v>
      </c>
      <c r="CN273">
        <v>40.443199999999997</v>
      </c>
      <c r="CO273">
        <v>28.796800000000001</v>
      </c>
      <c r="CP273">
        <v>31475.1</v>
      </c>
      <c r="CQ273">
        <v>15940.9</v>
      </c>
      <c r="CR273">
        <v>20616.400000000001</v>
      </c>
      <c r="CS273">
        <v>0.32100000000000001</v>
      </c>
      <c r="CT273">
        <v>2.3961000000000001</v>
      </c>
      <c r="CU273">
        <v>1.34</v>
      </c>
      <c r="CV273">
        <v>3.9506999999999999</v>
      </c>
      <c r="CW273">
        <v>3.2759</v>
      </c>
      <c r="CX273">
        <v>111.4194</v>
      </c>
      <c r="CY273">
        <v>1.3995</v>
      </c>
      <c r="CZ273">
        <v>260.80200000000002</v>
      </c>
      <c r="DA273">
        <v>1.9874000000000001</v>
      </c>
      <c r="DB273">
        <v>183.65469999999999</v>
      </c>
      <c r="DC273">
        <v>188.56659999999999</v>
      </c>
      <c r="DD273">
        <v>372.22140000000002</v>
      </c>
      <c r="DE273">
        <v>36624.9</v>
      </c>
      <c r="DF273">
        <v>8297.1</v>
      </c>
      <c r="DG273">
        <v>5699.8</v>
      </c>
      <c r="DH273">
        <v>11747.3</v>
      </c>
      <c r="DI273">
        <v>10880.7</v>
      </c>
    </row>
    <row r="274" spans="1:113" x14ac:dyDescent="0.3">
      <c r="E274" t="s">
        <v>4</v>
      </c>
      <c r="F274" t="s">
        <v>134</v>
      </c>
      <c r="G274" t="s">
        <v>134</v>
      </c>
      <c r="H274" t="s">
        <v>134</v>
      </c>
      <c r="I274" t="s">
        <v>134</v>
      </c>
      <c r="J274">
        <v>20.184000000000001</v>
      </c>
      <c r="K274">
        <v>13.3408</v>
      </c>
      <c r="L274">
        <v>-112.1969</v>
      </c>
      <c r="M274">
        <v>12.967700000000001</v>
      </c>
      <c r="N274">
        <v>9.3739000000000008</v>
      </c>
      <c r="O274">
        <v>9.4056999999999995</v>
      </c>
      <c r="P274">
        <v>9.4056999999999995</v>
      </c>
      <c r="Q274">
        <v>27.7134</v>
      </c>
      <c r="R274" t="s">
        <v>134</v>
      </c>
      <c r="S274" t="s">
        <v>134</v>
      </c>
      <c r="T274">
        <v>-12.321400000000001</v>
      </c>
      <c r="U274">
        <v>-41.3812</v>
      </c>
      <c r="V274">
        <v>-54.1676</v>
      </c>
      <c r="W274">
        <v>-59.401299999999999</v>
      </c>
      <c r="X274">
        <v>-59.476100000000002</v>
      </c>
      <c r="Y274" t="s">
        <v>134</v>
      </c>
      <c r="Z274" t="s">
        <v>134</v>
      </c>
      <c r="AA274" t="s">
        <v>134</v>
      </c>
      <c r="AB274" t="s">
        <v>134</v>
      </c>
      <c r="AC274" t="s">
        <v>134</v>
      </c>
      <c r="AD274" t="s">
        <v>134</v>
      </c>
      <c r="AE274" t="s">
        <v>134</v>
      </c>
      <c r="AF274" t="s">
        <v>134</v>
      </c>
      <c r="AG274" t="s">
        <v>134</v>
      </c>
      <c r="AH274" t="s">
        <v>134</v>
      </c>
      <c r="AI274" t="s">
        <v>134</v>
      </c>
      <c r="AJ274" t="s">
        <v>134</v>
      </c>
      <c r="AK274" t="s">
        <v>134</v>
      </c>
      <c r="AL274" t="s">
        <v>134</v>
      </c>
      <c r="AM274">
        <v>11.397500000000001</v>
      </c>
      <c r="AN274">
        <v>10.920299999999999</v>
      </c>
      <c r="AO274">
        <v>5.3007999999999997</v>
      </c>
      <c r="AP274">
        <v>5.0118999999999998</v>
      </c>
      <c r="AQ274">
        <v>4.7706</v>
      </c>
      <c r="AR274" t="s">
        <v>134</v>
      </c>
      <c r="AS274" t="s">
        <v>134</v>
      </c>
      <c r="AT274" t="s">
        <v>134</v>
      </c>
      <c r="AU274" t="s">
        <v>134</v>
      </c>
      <c r="AV274" t="s">
        <v>134</v>
      </c>
      <c r="AW274" t="s">
        <v>134</v>
      </c>
      <c r="AX274" t="s">
        <v>134</v>
      </c>
      <c r="AY274" t="s">
        <v>134</v>
      </c>
      <c r="AZ274" t="s">
        <v>134</v>
      </c>
      <c r="BA274" t="s">
        <v>134</v>
      </c>
      <c r="BB274" t="s">
        <v>134</v>
      </c>
      <c r="BC274" t="s">
        <v>134</v>
      </c>
      <c r="BD274" t="s">
        <v>134</v>
      </c>
      <c r="BE274" t="s">
        <v>134</v>
      </c>
      <c r="BF274">
        <v>-8.5310000000000006</v>
      </c>
      <c r="BG274">
        <v>-1.6637</v>
      </c>
      <c r="BH274">
        <v>-1.1849000000000001</v>
      </c>
      <c r="BI274">
        <v>-5.8257000000000003</v>
      </c>
      <c r="BJ274">
        <v>-6.2945000000000002</v>
      </c>
      <c r="BK274" t="s">
        <v>134</v>
      </c>
      <c r="BL274" t="s">
        <v>134</v>
      </c>
      <c r="BM274" t="s">
        <v>134</v>
      </c>
      <c r="BN274" t="s">
        <v>134</v>
      </c>
      <c r="BO274" t="s">
        <v>134</v>
      </c>
      <c r="BP274" t="s">
        <v>134</v>
      </c>
      <c r="BQ274" t="s">
        <v>134</v>
      </c>
      <c r="BR274" t="s">
        <v>134</v>
      </c>
      <c r="BS274" t="s">
        <v>134</v>
      </c>
      <c r="BT274" t="s">
        <v>134</v>
      </c>
      <c r="BU274" t="s">
        <v>134</v>
      </c>
      <c r="BV274" t="s">
        <v>134</v>
      </c>
      <c r="BW274" t="s">
        <v>134</v>
      </c>
      <c r="BX274" t="s">
        <v>134</v>
      </c>
      <c r="BY274" t="s">
        <v>134</v>
      </c>
      <c r="BZ274" t="s">
        <v>134</v>
      </c>
      <c r="CA274" t="s">
        <v>134</v>
      </c>
      <c r="CB274" t="s">
        <v>134</v>
      </c>
      <c r="CC274" t="s">
        <v>134</v>
      </c>
      <c r="CD274" t="s">
        <v>134</v>
      </c>
      <c r="CE274" t="s">
        <v>134</v>
      </c>
      <c r="CF274">
        <v>17.502700000000001</v>
      </c>
      <c r="CG274" t="s">
        <v>134</v>
      </c>
      <c r="CH274" t="s">
        <v>134</v>
      </c>
      <c r="CI274" t="s">
        <v>134</v>
      </c>
      <c r="CJ274" t="s">
        <v>134</v>
      </c>
      <c r="CK274" t="s">
        <v>134</v>
      </c>
      <c r="CL274" t="s">
        <v>134</v>
      </c>
      <c r="CM274" t="s">
        <v>134</v>
      </c>
      <c r="CN274" t="s">
        <v>134</v>
      </c>
      <c r="CO274" t="s">
        <v>134</v>
      </c>
      <c r="CP274">
        <v>7683.7</v>
      </c>
      <c r="CQ274" t="s">
        <v>134</v>
      </c>
      <c r="CR274">
        <v>5078.6000000000004</v>
      </c>
      <c r="CS274" t="s">
        <v>134</v>
      </c>
      <c r="CT274" t="s">
        <v>134</v>
      </c>
      <c r="CU274" t="s">
        <v>134</v>
      </c>
      <c r="CV274" t="s">
        <v>134</v>
      </c>
      <c r="CW274" t="s">
        <v>134</v>
      </c>
      <c r="CX274" t="s">
        <v>134</v>
      </c>
      <c r="CY274" t="s">
        <v>134</v>
      </c>
      <c r="CZ274" t="s">
        <v>134</v>
      </c>
      <c r="DA274" t="s">
        <v>134</v>
      </c>
      <c r="DB274" t="s">
        <v>134</v>
      </c>
      <c r="DC274" t="s">
        <v>134</v>
      </c>
      <c r="DD274" t="s">
        <v>134</v>
      </c>
      <c r="DE274" t="s">
        <v>134</v>
      </c>
      <c r="DF274" t="s">
        <v>134</v>
      </c>
      <c r="DG274" t="s">
        <v>134</v>
      </c>
      <c r="DH274" t="s">
        <v>134</v>
      </c>
      <c r="DI274" t="s">
        <v>134</v>
      </c>
    </row>
    <row r="275" spans="1:113" x14ac:dyDescent="0.3">
      <c r="E275" t="s">
        <v>5</v>
      </c>
      <c r="F275">
        <v>13.8102</v>
      </c>
      <c r="G275">
        <v>7.1806000000000001</v>
      </c>
      <c r="H275">
        <v>9.5251999999999999</v>
      </c>
      <c r="I275">
        <v>8.6652000000000005</v>
      </c>
      <c r="J275">
        <v>22.018999999999998</v>
      </c>
      <c r="K275">
        <v>14.993399999999999</v>
      </c>
      <c r="L275">
        <v>-70.028499999999994</v>
      </c>
      <c r="M275">
        <v>15.6677</v>
      </c>
      <c r="N275">
        <v>11.7927</v>
      </c>
      <c r="O275">
        <v>11.7447</v>
      </c>
      <c r="P275">
        <v>11.7447</v>
      </c>
      <c r="Q275">
        <v>25.381</v>
      </c>
      <c r="R275" t="s">
        <v>134</v>
      </c>
      <c r="S275" t="s">
        <v>134</v>
      </c>
      <c r="T275">
        <v>-8.0030000000000001</v>
      </c>
      <c r="U275">
        <v>-17.024100000000001</v>
      </c>
      <c r="V275">
        <v>-28.8916</v>
      </c>
      <c r="W275">
        <v>-31.287099999999999</v>
      </c>
      <c r="X275">
        <v>-31.326899999999998</v>
      </c>
      <c r="Y275" t="s">
        <v>134</v>
      </c>
      <c r="Z275">
        <v>21.629899999999999</v>
      </c>
      <c r="AA275">
        <v>4.4912000000000001</v>
      </c>
      <c r="AB275">
        <v>12.387499999999999</v>
      </c>
      <c r="AC275">
        <v>9.9635999999999996</v>
      </c>
      <c r="AD275">
        <v>18.109300000000001</v>
      </c>
      <c r="AE275">
        <v>23.643799999999999</v>
      </c>
      <c r="AF275">
        <v>3.5558999999999998</v>
      </c>
      <c r="AG275">
        <v>10.839499999999999</v>
      </c>
      <c r="AH275">
        <v>12.482799999999999</v>
      </c>
      <c r="AI275">
        <v>11.6914</v>
      </c>
      <c r="AJ275">
        <v>11.971</v>
      </c>
      <c r="AK275">
        <v>11.710900000000001</v>
      </c>
      <c r="AL275" t="s">
        <v>134</v>
      </c>
      <c r="AM275">
        <v>11.587300000000001</v>
      </c>
      <c r="AN275">
        <v>10.58</v>
      </c>
      <c r="AO275">
        <v>5.3827999999999996</v>
      </c>
      <c r="AP275">
        <v>9.3923000000000005</v>
      </c>
      <c r="AQ275">
        <v>9.1857000000000006</v>
      </c>
      <c r="AR275" t="s">
        <v>134</v>
      </c>
      <c r="AS275">
        <v>19.3598</v>
      </c>
      <c r="AT275">
        <v>12.977600000000001</v>
      </c>
      <c r="AU275" t="s">
        <v>134</v>
      </c>
      <c r="AV275">
        <v>24.9236</v>
      </c>
      <c r="AW275">
        <v>22.028400000000001</v>
      </c>
      <c r="AX275">
        <v>34.597200000000001</v>
      </c>
      <c r="AY275">
        <v>6.3024000000000004</v>
      </c>
      <c r="AZ275">
        <v>2.3670999999999998</v>
      </c>
      <c r="BA275">
        <v>40.295099999999998</v>
      </c>
      <c r="BB275">
        <v>24.219799999999999</v>
      </c>
      <c r="BC275">
        <v>28.682400000000001</v>
      </c>
      <c r="BD275">
        <v>23.935400000000001</v>
      </c>
      <c r="BE275" t="s">
        <v>134</v>
      </c>
      <c r="BF275">
        <v>1.7686999999999999</v>
      </c>
      <c r="BG275">
        <v>11.0207</v>
      </c>
      <c r="BH275">
        <v>14.375999999999999</v>
      </c>
      <c r="BI275">
        <v>27.076499999999999</v>
      </c>
      <c r="BJ275">
        <v>27.249700000000001</v>
      </c>
      <c r="BK275" t="s">
        <v>134</v>
      </c>
      <c r="BL275" t="s">
        <v>134</v>
      </c>
      <c r="BM275" t="s">
        <v>134</v>
      </c>
      <c r="BN275" t="s">
        <v>134</v>
      </c>
      <c r="BO275" t="s">
        <v>134</v>
      </c>
      <c r="BP275" t="s">
        <v>134</v>
      </c>
      <c r="BQ275" t="s">
        <v>134</v>
      </c>
      <c r="BR275" t="s">
        <v>134</v>
      </c>
      <c r="BS275" t="s">
        <v>134</v>
      </c>
      <c r="BT275" t="s">
        <v>134</v>
      </c>
      <c r="BU275" t="s">
        <v>134</v>
      </c>
      <c r="BV275" t="s">
        <v>134</v>
      </c>
      <c r="BW275" t="s">
        <v>134</v>
      </c>
      <c r="BX275" t="s">
        <v>134</v>
      </c>
      <c r="BY275">
        <v>76963.100000000006</v>
      </c>
      <c r="BZ275">
        <v>12184.7</v>
      </c>
      <c r="CA275">
        <v>64778.400000000001</v>
      </c>
      <c r="CB275">
        <v>2.1269</v>
      </c>
      <c r="CC275">
        <v>1.4782999999999999</v>
      </c>
      <c r="CD275">
        <v>2.9742999999999999</v>
      </c>
      <c r="CE275">
        <v>2.0674000000000001</v>
      </c>
      <c r="CF275">
        <v>17.801500000000001</v>
      </c>
      <c r="CG275">
        <v>52.385399999999997</v>
      </c>
      <c r="CH275">
        <v>46.308500000000002</v>
      </c>
      <c r="CI275">
        <v>29.872800000000002</v>
      </c>
      <c r="CJ275">
        <v>24.314399999999999</v>
      </c>
      <c r="CK275">
        <v>55.018999999999998</v>
      </c>
      <c r="CL275">
        <v>35.491799999999998</v>
      </c>
      <c r="CM275">
        <v>28.887899999999998</v>
      </c>
      <c r="CN275">
        <v>38.2425</v>
      </c>
      <c r="CO275">
        <v>27.6633</v>
      </c>
      <c r="CP275">
        <v>8530.5</v>
      </c>
      <c r="CQ275" t="s">
        <v>134</v>
      </c>
      <c r="CR275">
        <v>5808.7</v>
      </c>
      <c r="CS275">
        <v>0.4466</v>
      </c>
      <c r="CT275">
        <v>2.3359999999999999</v>
      </c>
      <c r="CU275">
        <v>1.375</v>
      </c>
      <c r="CV275">
        <v>4.9821</v>
      </c>
      <c r="CW275">
        <v>3.6554000000000002</v>
      </c>
      <c r="CX275">
        <v>99.852999999999994</v>
      </c>
      <c r="CY275">
        <v>1.4876</v>
      </c>
      <c r="CZ275">
        <v>245.36179999999999</v>
      </c>
      <c r="DA275">
        <v>2.3887</v>
      </c>
      <c r="DB275">
        <v>152.80520000000001</v>
      </c>
      <c r="DC275">
        <v>192.40960000000001</v>
      </c>
      <c r="DD275">
        <v>345.21480000000003</v>
      </c>
      <c r="DE275">
        <v>34768.199999999997</v>
      </c>
      <c r="DF275" t="s">
        <v>134</v>
      </c>
      <c r="DG275" t="s">
        <v>134</v>
      </c>
      <c r="DH275" t="s">
        <v>134</v>
      </c>
      <c r="DI275" t="s">
        <v>134</v>
      </c>
    </row>
    <row r="276" spans="1:113" x14ac:dyDescent="0.3">
      <c r="E276" t="s">
        <v>6</v>
      </c>
      <c r="F276" t="s">
        <v>134</v>
      </c>
      <c r="G276" t="s">
        <v>134</v>
      </c>
      <c r="H276" t="s">
        <v>134</v>
      </c>
      <c r="I276" t="s">
        <v>134</v>
      </c>
      <c r="J276">
        <v>17.648099999999999</v>
      </c>
      <c r="K276">
        <v>10.4603</v>
      </c>
      <c r="L276">
        <v>-114.3387</v>
      </c>
      <c r="M276">
        <v>9.8195999999999994</v>
      </c>
      <c r="N276">
        <v>5.6977000000000002</v>
      </c>
      <c r="O276">
        <v>5.6848999999999998</v>
      </c>
      <c r="P276">
        <v>5.6848999999999998</v>
      </c>
      <c r="Q276">
        <v>41.976500000000001</v>
      </c>
      <c r="R276" t="s">
        <v>134</v>
      </c>
      <c r="S276" t="s">
        <v>134</v>
      </c>
      <c r="T276">
        <v>-11.4549</v>
      </c>
      <c r="U276">
        <v>-43.385199999999998</v>
      </c>
      <c r="V276">
        <v>-58.576300000000003</v>
      </c>
      <c r="W276">
        <v>-64.977699999999999</v>
      </c>
      <c r="X276">
        <v>-65.021500000000003</v>
      </c>
      <c r="Y276" t="s">
        <v>134</v>
      </c>
      <c r="Z276" t="s">
        <v>134</v>
      </c>
      <c r="AA276" t="s">
        <v>134</v>
      </c>
      <c r="AB276" t="s">
        <v>134</v>
      </c>
      <c r="AC276" t="s">
        <v>134</v>
      </c>
      <c r="AD276" t="s">
        <v>134</v>
      </c>
      <c r="AE276" t="s">
        <v>134</v>
      </c>
      <c r="AF276" t="s">
        <v>134</v>
      </c>
      <c r="AG276" t="s">
        <v>134</v>
      </c>
      <c r="AH276" t="s">
        <v>134</v>
      </c>
      <c r="AI276" t="s">
        <v>134</v>
      </c>
      <c r="AJ276" t="s">
        <v>134</v>
      </c>
      <c r="AK276" t="s">
        <v>134</v>
      </c>
      <c r="AL276" t="s">
        <v>134</v>
      </c>
      <c r="AM276">
        <v>9.6041000000000007</v>
      </c>
      <c r="AN276">
        <v>2.6166999999999998</v>
      </c>
      <c r="AO276">
        <v>-5.3164999999999996</v>
      </c>
      <c r="AP276">
        <v>-7.9345999999999997</v>
      </c>
      <c r="AQ276">
        <v>-8.1003000000000007</v>
      </c>
      <c r="AR276" t="s">
        <v>134</v>
      </c>
      <c r="AS276" t="s">
        <v>134</v>
      </c>
      <c r="AT276" t="s">
        <v>134</v>
      </c>
      <c r="AU276" t="s">
        <v>134</v>
      </c>
      <c r="AV276" t="s">
        <v>134</v>
      </c>
      <c r="AW276" t="s">
        <v>134</v>
      </c>
      <c r="AX276" t="s">
        <v>134</v>
      </c>
      <c r="AY276" t="s">
        <v>134</v>
      </c>
      <c r="AZ276" t="s">
        <v>134</v>
      </c>
      <c r="BA276" t="s">
        <v>134</v>
      </c>
      <c r="BB276" t="s">
        <v>134</v>
      </c>
      <c r="BC276" t="s">
        <v>134</v>
      </c>
      <c r="BD276" t="s">
        <v>134</v>
      </c>
      <c r="BE276" t="s">
        <v>134</v>
      </c>
      <c r="BF276">
        <v>0.67630000000000001</v>
      </c>
      <c r="BG276">
        <v>-19.308399999999999</v>
      </c>
      <c r="BH276">
        <v>-29.7623</v>
      </c>
      <c r="BI276">
        <v>-51.269199999999998</v>
      </c>
      <c r="BJ276">
        <v>-51.294800000000002</v>
      </c>
      <c r="BK276" t="s">
        <v>134</v>
      </c>
      <c r="BL276" t="s">
        <v>134</v>
      </c>
      <c r="BM276" t="s">
        <v>134</v>
      </c>
      <c r="BN276" t="s">
        <v>134</v>
      </c>
      <c r="BO276" t="s">
        <v>134</v>
      </c>
      <c r="BP276" t="s">
        <v>134</v>
      </c>
      <c r="BQ276" t="s">
        <v>134</v>
      </c>
      <c r="BR276" t="s">
        <v>134</v>
      </c>
      <c r="BS276" t="s">
        <v>134</v>
      </c>
      <c r="BT276" t="s">
        <v>134</v>
      </c>
      <c r="BU276" t="s">
        <v>134</v>
      </c>
      <c r="BV276" t="s">
        <v>134</v>
      </c>
      <c r="BW276" t="s">
        <v>134</v>
      </c>
      <c r="BX276" t="s">
        <v>134</v>
      </c>
      <c r="BY276" t="s">
        <v>134</v>
      </c>
      <c r="BZ276" t="s">
        <v>134</v>
      </c>
      <c r="CA276" t="s">
        <v>134</v>
      </c>
      <c r="CB276" t="s">
        <v>134</v>
      </c>
      <c r="CC276" t="s">
        <v>134</v>
      </c>
      <c r="CD276" t="s">
        <v>134</v>
      </c>
      <c r="CE276" t="s">
        <v>134</v>
      </c>
      <c r="CF276">
        <v>12.747</v>
      </c>
      <c r="CG276" t="s">
        <v>134</v>
      </c>
      <c r="CH276" t="s">
        <v>134</v>
      </c>
      <c r="CI276" t="s">
        <v>134</v>
      </c>
      <c r="CJ276" t="s">
        <v>134</v>
      </c>
      <c r="CK276" t="s">
        <v>134</v>
      </c>
      <c r="CL276" t="s">
        <v>134</v>
      </c>
      <c r="CM276" t="s">
        <v>134</v>
      </c>
      <c r="CN276" t="s">
        <v>134</v>
      </c>
      <c r="CO276" t="s">
        <v>134</v>
      </c>
      <c r="CP276">
        <v>6883.4</v>
      </c>
      <c r="CQ276" t="s">
        <v>134</v>
      </c>
      <c r="CR276">
        <v>4079.9</v>
      </c>
      <c r="CS276" t="s">
        <v>134</v>
      </c>
      <c r="CT276" t="s">
        <v>134</v>
      </c>
      <c r="CU276" t="s">
        <v>134</v>
      </c>
      <c r="CV276" t="s">
        <v>134</v>
      </c>
      <c r="CW276" t="s">
        <v>134</v>
      </c>
      <c r="CX276" t="s">
        <v>134</v>
      </c>
      <c r="CY276" t="s">
        <v>134</v>
      </c>
      <c r="CZ276" t="s">
        <v>134</v>
      </c>
      <c r="DA276" t="s">
        <v>134</v>
      </c>
      <c r="DB276" t="s">
        <v>134</v>
      </c>
      <c r="DC276" t="s">
        <v>134</v>
      </c>
      <c r="DD276" t="s">
        <v>134</v>
      </c>
      <c r="DE276" t="s">
        <v>134</v>
      </c>
      <c r="DF276" t="s">
        <v>134</v>
      </c>
      <c r="DG276" t="s">
        <v>134</v>
      </c>
      <c r="DH276" t="s">
        <v>134</v>
      </c>
      <c r="DI276" t="s">
        <v>134</v>
      </c>
    </row>
    <row r="277" spans="1:113" x14ac:dyDescent="0.3">
      <c r="E277" t="s">
        <v>7</v>
      </c>
      <c r="F277">
        <v>1.8561000000000001</v>
      </c>
      <c r="G277">
        <v>0.94969999999999999</v>
      </c>
      <c r="H277">
        <v>1.6760000000000002</v>
      </c>
      <c r="I277">
        <v>4.3315999999999999</v>
      </c>
      <c r="J277">
        <v>17.823499999999999</v>
      </c>
      <c r="K277">
        <v>10.962400000000001</v>
      </c>
      <c r="L277">
        <v>-42.089599999999997</v>
      </c>
      <c r="M277">
        <v>-23.6586</v>
      </c>
      <c r="N277">
        <v>-19.5549</v>
      </c>
      <c r="O277">
        <v>-19.7043</v>
      </c>
      <c r="P277">
        <v>-19.7043</v>
      </c>
      <c r="Q277" t="s">
        <v>134</v>
      </c>
      <c r="R277" t="s">
        <v>134</v>
      </c>
      <c r="S277" t="s">
        <v>134</v>
      </c>
      <c r="T277">
        <v>-4.4545000000000003</v>
      </c>
      <c r="U277">
        <v>-9.2939000000000007</v>
      </c>
      <c r="V277">
        <v>-15.182399999999999</v>
      </c>
      <c r="W277" t="s">
        <v>134</v>
      </c>
      <c r="X277" t="s">
        <v>134</v>
      </c>
      <c r="Y277" t="s">
        <v>134</v>
      </c>
      <c r="Z277">
        <v>20.543299999999999</v>
      </c>
      <c r="AA277">
        <v>0.55489999999999995</v>
      </c>
      <c r="AB277">
        <v>9.5763999999999996</v>
      </c>
      <c r="AC277">
        <v>-1.1347</v>
      </c>
      <c r="AD277">
        <v>17.135400000000001</v>
      </c>
      <c r="AE277">
        <v>21.974900000000002</v>
      </c>
      <c r="AF277">
        <v>-0.52149999999999996</v>
      </c>
      <c r="AG277">
        <v>-69.016199999999998</v>
      </c>
      <c r="AH277">
        <v>-10.334899999999999</v>
      </c>
      <c r="AI277">
        <v>0.62849999999999995</v>
      </c>
      <c r="AJ277">
        <v>-3.4340000000000002</v>
      </c>
      <c r="AK277">
        <v>0.4763</v>
      </c>
      <c r="AL277" t="s">
        <v>134</v>
      </c>
      <c r="AM277">
        <v>9.4016999999999999</v>
      </c>
      <c r="AN277">
        <v>1.4755</v>
      </c>
      <c r="AO277">
        <v>-3.8214000000000001</v>
      </c>
      <c r="AP277" t="s">
        <v>134</v>
      </c>
      <c r="AQ277" t="s">
        <v>134</v>
      </c>
      <c r="AR277" t="s">
        <v>134</v>
      </c>
      <c r="AS277">
        <v>18.8779</v>
      </c>
      <c r="AT277">
        <v>13.447800000000001</v>
      </c>
      <c r="AU277">
        <v>17.100300000000001</v>
      </c>
      <c r="AV277">
        <v>24.164000000000001</v>
      </c>
      <c r="AW277">
        <v>19.351400000000002</v>
      </c>
      <c r="AX277">
        <v>27.202000000000002</v>
      </c>
      <c r="AY277">
        <v>10.7875</v>
      </c>
      <c r="AZ277">
        <v>-4.7759999999999998</v>
      </c>
      <c r="BA277">
        <v>43.729700000000001</v>
      </c>
      <c r="BB277">
        <v>20.9373</v>
      </c>
      <c r="BC277">
        <v>26.4237</v>
      </c>
      <c r="BD277">
        <v>20.895900000000001</v>
      </c>
      <c r="BE277" t="s">
        <v>134</v>
      </c>
      <c r="BF277">
        <v>1.9519</v>
      </c>
      <c r="BG277">
        <v>2.9651000000000001</v>
      </c>
      <c r="BH277">
        <v>6.8457999999999997</v>
      </c>
      <c r="BI277">
        <v>-453.37569999999999</v>
      </c>
      <c r="BJ277">
        <v>-454.41969999999998</v>
      </c>
      <c r="BK277" t="s">
        <v>134</v>
      </c>
      <c r="BL277" t="s">
        <v>134</v>
      </c>
      <c r="BM277" t="s">
        <v>134</v>
      </c>
      <c r="BN277" t="s">
        <v>134</v>
      </c>
      <c r="BO277" t="s">
        <v>134</v>
      </c>
      <c r="BP277" t="s">
        <v>134</v>
      </c>
      <c r="BQ277" t="s">
        <v>134</v>
      </c>
      <c r="BR277" t="s">
        <v>134</v>
      </c>
      <c r="BS277" t="s">
        <v>134</v>
      </c>
      <c r="BT277" t="s">
        <v>134</v>
      </c>
      <c r="BU277" t="s">
        <v>134</v>
      </c>
      <c r="BV277" t="s">
        <v>134</v>
      </c>
      <c r="BW277" t="s">
        <v>134</v>
      </c>
      <c r="BX277" t="s">
        <v>134</v>
      </c>
      <c r="BY277">
        <v>71428</v>
      </c>
      <c r="BZ277">
        <v>7183</v>
      </c>
      <c r="CA277">
        <v>64245</v>
      </c>
      <c r="CB277">
        <v>2.3662999999999998</v>
      </c>
      <c r="CC277">
        <v>1.8245</v>
      </c>
      <c r="CD277">
        <v>3.6959</v>
      </c>
      <c r="CE277">
        <v>2.8496000000000001</v>
      </c>
      <c r="CF277">
        <v>12.1092</v>
      </c>
      <c r="CG277">
        <v>51.613199999999999</v>
      </c>
      <c r="CH277">
        <v>47.179499999999997</v>
      </c>
      <c r="CI277">
        <v>30.9466</v>
      </c>
      <c r="CJ277">
        <v>24.422799999999999</v>
      </c>
      <c r="CK277">
        <v>52.454500000000003</v>
      </c>
      <c r="CL277">
        <v>34.406700000000001</v>
      </c>
      <c r="CM277">
        <v>27.153400000000001</v>
      </c>
      <c r="CN277">
        <v>40.443199999999997</v>
      </c>
      <c r="CO277">
        <v>28.796800000000001</v>
      </c>
      <c r="CP277">
        <v>7087.5</v>
      </c>
      <c r="CQ277" t="s">
        <v>134</v>
      </c>
      <c r="CR277">
        <v>4359.2</v>
      </c>
      <c r="CS277">
        <v>0.32100000000000001</v>
      </c>
      <c r="CT277">
        <v>2.3961000000000001</v>
      </c>
      <c r="CU277">
        <v>1.34</v>
      </c>
      <c r="CV277">
        <v>3.9506999999999999</v>
      </c>
      <c r="CW277">
        <v>3.2755000000000001</v>
      </c>
      <c r="CX277">
        <v>111.4337</v>
      </c>
      <c r="CY277">
        <v>1.3995</v>
      </c>
      <c r="CZ277">
        <v>260.80200000000002</v>
      </c>
      <c r="DA277">
        <v>1.9874000000000001</v>
      </c>
      <c r="DB277">
        <v>183.65469999999999</v>
      </c>
      <c r="DC277">
        <v>188.58099999999999</v>
      </c>
      <c r="DD277">
        <v>372.23570000000001</v>
      </c>
      <c r="DE277">
        <v>36624.9</v>
      </c>
      <c r="DF277">
        <v>8297.1</v>
      </c>
      <c r="DG277">
        <v>5699.8</v>
      </c>
      <c r="DH277">
        <v>11747.3</v>
      </c>
      <c r="DI277">
        <v>10880.7</v>
      </c>
    </row>
    <row r="278" spans="1:113" x14ac:dyDescent="0.3">
      <c r="A278">
        <v>62</v>
      </c>
      <c r="B278" t="s">
        <v>32</v>
      </c>
      <c r="C278" t="s">
        <v>33</v>
      </c>
      <c r="D278" t="s">
        <v>2</v>
      </c>
      <c r="E278" t="s">
        <v>3</v>
      </c>
      <c r="F278">
        <v>22.1677</v>
      </c>
      <c r="G278">
        <v>10.029500000000001</v>
      </c>
      <c r="H278">
        <v>18.511700000000001</v>
      </c>
      <c r="I278">
        <v>17.1295</v>
      </c>
      <c r="J278">
        <v>14.5677</v>
      </c>
      <c r="K278">
        <v>11.387600000000001</v>
      </c>
      <c r="L278">
        <v>7.9976000000000003</v>
      </c>
      <c r="M278">
        <v>10.151299999999999</v>
      </c>
      <c r="N278">
        <v>6.8144999999999998</v>
      </c>
      <c r="O278">
        <v>6.8144999999999998</v>
      </c>
      <c r="P278">
        <v>6.8144999999999998</v>
      </c>
      <c r="Q278">
        <v>32.869900000000001</v>
      </c>
      <c r="R278">
        <v>2.3340000000000001</v>
      </c>
      <c r="S278">
        <v>21.650300000000001</v>
      </c>
      <c r="T278">
        <v>8.8262999999999998</v>
      </c>
      <c r="U278">
        <v>7.5694999999999997</v>
      </c>
      <c r="V278">
        <v>6.0400999999999998</v>
      </c>
      <c r="W278">
        <v>12.3324</v>
      </c>
      <c r="X278">
        <v>12.3315</v>
      </c>
      <c r="Y278">
        <v>66.666700000000006</v>
      </c>
      <c r="Z278">
        <v>10.040100000000001</v>
      </c>
      <c r="AA278">
        <v>0.51349999999999996</v>
      </c>
      <c r="AB278">
        <v>21.8935</v>
      </c>
      <c r="AC278">
        <v>18.782599999999999</v>
      </c>
      <c r="AD278">
        <v>1.8871</v>
      </c>
      <c r="AE278">
        <v>15.7758</v>
      </c>
      <c r="AF278">
        <v>11.815300000000001</v>
      </c>
      <c r="AG278">
        <v>29.401800000000001</v>
      </c>
      <c r="AH278">
        <v>27.042100000000001</v>
      </c>
      <c r="AI278">
        <v>24.1858</v>
      </c>
      <c r="AJ278">
        <v>24.988399999999999</v>
      </c>
      <c r="AK278">
        <v>24.1861</v>
      </c>
      <c r="AL278">
        <v>21.7303</v>
      </c>
      <c r="AM278">
        <v>18.6509</v>
      </c>
      <c r="AN278">
        <v>22.1919</v>
      </c>
      <c r="AO278">
        <v>26.834900000000001</v>
      </c>
      <c r="AP278">
        <v>29.3568</v>
      </c>
      <c r="AQ278">
        <v>29.3569</v>
      </c>
      <c r="AR278">
        <v>14.8698</v>
      </c>
      <c r="AS278" t="s">
        <v>134</v>
      </c>
      <c r="AT278">
        <v>22.841999999999999</v>
      </c>
      <c r="AU278">
        <v>27.273099999999999</v>
      </c>
      <c r="AV278">
        <v>26.306100000000001</v>
      </c>
      <c r="AW278" t="s">
        <v>134</v>
      </c>
      <c r="AX278">
        <v>33.543999999999997</v>
      </c>
      <c r="AY278">
        <v>18.628900000000002</v>
      </c>
      <c r="AZ278" t="s">
        <v>134</v>
      </c>
      <c r="BA278">
        <v>23.962399999999999</v>
      </c>
      <c r="BB278">
        <v>27.341000000000001</v>
      </c>
      <c r="BC278">
        <v>26.319199999999999</v>
      </c>
      <c r="BD278">
        <v>27.3415</v>
      </c>
      <c r="BE278">
        <v>13.722200000000001</v>
      </c>
      <c r="BF278">
        <v>8.8262999999999998</v>
      </c>
      <c r="BG278">
        <v>7.5694999999999997</v>
      </c>
      <c r="BH278">
        <v>6.0400999999999998</v>
      </c>
      <c r="BI278">
        <v>12.3324</v>
      </c>
      <c r="BJ278">
        <v>12.3315</v>
      </c>
      <c r="BK278">
        <v>66.666700000000006</v>
      </c>
      <c r="BL278">
        <v>10.040100000000001</v>
      </c>
      <c r="BM278">
        <v>0.51349999999999996</v>
      </c>
      <c r="BN278">
        <v>21.8935</v>
      </c>
      <c r="BO278">
        <v>18.782599999999999</v>
      </c>
      <c r="BP278">
        <v>1.8871</v>
      </c>
      <c r="BQ278">
        <v>15.7758</v>
      </c>
      <c r="BR278">
        <v>11.815300000000001</v>
      </c>
      <c r="BS278">
        <v>29.401800000000001</v>
      </c>
      <c r="BT278">
        <v>27.042100000000001</v>
      </c>
      <c r="BU278">
        <v>24.1858</v>
      </c>
      <c r="BV278">
        <v>24.988399999999999</v>
      </c>
      <c r="BW278">
        <v>24.1861</v>
      </c>
      <c r="BX278">
        <v>21.7303</v>
      </c>
      <c r="BY278">
        <v>18150</v>
      </c>
      <c r="BZ278">
        <v>6162.5</v>
      </c>
      <c r="CA278">
        <v>11987.5</v>
      </c>
      <c r="CB278">
        <v>0.93469999999999998</v>
      </c>
      <c r="CC278">
        <v>7.4200000000000002E-2</v>
      </c>
      <c r="CD278">
        <v>1.1957</v>
      </c>
      <c r="CE278">
        <v>9.4899999999999998E-2</v>
      </c>
      <c r="CF278">
        <v>8.6651000000000007</v>
      </c>
      <c r="CG278">
        <v>46.161799999999999</v>
      </c>
      <c r="CH278">
        <v>26.406199999999998</v>
      </c>
      <c r="CI278">
        <v>18.864100000000001</v>
      </c>
      <c r="CJ278">
        <v>12.1899</v>
      </c>
      <c r="CK278">
        <v>39.981000000000002</v>
      </c>
      <c r="CL278">
        <v>28.561699999999998</v>
      </c>
      <c r="CM278">
        <v>18.456399999999999</v>
      </c>
      <c r="CN278">
        <v>3.1722999999999999</v>
      </c>
      <c r="CO278">
        <v>3.0747</v>
      </c>
      <c r="CP278">
        <v>19417.7</v>
      </c>
      <c r="CQ278">
        <v>6956</v>
      </c>
      <c r="CR278">
        <v>15178.9</v>
      </c>
      <c r="CS278">
        <v>0.63700000000000001</v>
      </c>
      <c r="CT278">
        <v>2.0503999999999998</v>
      </c>
      <c r="CU278">
        <v>1.2908999999999999</v>
      </c>
      <c r="CV278">
        <v>3.7734999999999999</v>
      </c>
      <c r="CW278">
        <v>8.1419999999999995</v>
      </c>
      <c r="CX278">
        <v>44.829300000000003</v>
      </c>
      <c r="CY278">
        <v>4.6345000000000001</v>
      </c>
      <c r="CZ278">
        <v>78.757599999999996</v>
      </c>
      <c r="DA278">
        <v>7.7569999999999997</v>
      </c>
      <c r="DB278">
        <v>47.054400000000001</v>
      </c>
      <c r="DC278">
        <v>76.532499999999999</v>
      </c>
      <c r="DD278">
        <v>123.5869</v>
      </c>
      <c r="DE278">
        <v>18262.5</v>
      </c>
      <c r="DF278">
        <v>7856.9</v>
      </c>
      <c r="DG278">
        <v>1799.6</v>
      </c>
      <c r="DH278">
        <v>6672.6</v>
      </c>
      <c r="DI278">
        <v>1933.4</v>
      </c>
    </row>
    <row r="279" spans="1:113" x14ac:dyDescent="0.3">
      <c r="E279" t="s">
        <v>4</v>
      </c>
      <c r="F279" t="s">
        <v>134</v>
      </c>
      <c r="G279" t="s">
        <v>134</v>
      </c>
      <c r="H279" t="s">
        <v>134</v>
      </c>
      <c r="I279" t="s">
        <v>134</v>
      </c>
      <c r="J279" t="s">
        <v>134</v>
      </c>
      <c r="K279" t="s">
        <v>134</v>
      </c>
      <c r="L279" t="s">
        <v>134</v>
      </c>
      <c r="M279" t="s">
        <v>134</v>
      </c>
      <c r="N279" t="s">
        <v>134</v>
      </c>
      <c r="O279" t="s">
        <v>134</v>
      </c>
      <c r="P279" t="s">
        <v>134</v>
      </c>
      <c r="Q279" t="s">
        <v>134</v>
      </c>
      <c r="R279" t="s">
        <v>134</v>
      </c>
      <c r="S279" t="s">
        <v>134</v>
      </c>
      <c r="T279" t="s">
        <v>134</v>
      </c>
      <c r="U279" t="s">
        <v>134</v>
      </c>
      <c r="V279" t="s">
        <v>134</v>
      </c>
      <c r="W279" t="s">
        <v>134</v>
      </c>
      <c r="X279" t="s">
        <v>134</v>
      </c>
      <c r="Y279" t="s">
        <v>134</v>
      </c>
      <c r="Z279" t="s">
        <v>134</v>
      </c>
      <c r="AA279" t="s">
        <v>134</v>
      </c>
      <c r="AB279" t="s">
        <v>134</v>
      </c>
      <c r="AC279" t="s">
        <v>134</v>
      </c>
      <c r="AD279" t="s">
        <v>134</v>
      </c>
      <c r="AE279" t="s">
        <v>134</v>
      </c>
      <c r="AF279" t="s">
        <v>134</v>
      </c>
      <c r="AG279" t="s">
        <v>134</v>
      </c>
      <c r="AH279" t="s">
        <v>134</v>
      </c>
      <c r="AI279" t="s">
        <v>134</v>
      </c>
      <c r="AJ279" t="s">
        <v>134</v>
      </c>
      <c r="AK279" t="s">
        <v>134</v>
      </c>
      <c r="AL279" t="s">
        <v>134</v>
      </c>
      <c r="AM279" t="s">
        <v>134</v>
      </c>
      <c r="AN279" t="s">
        <v>134</v>
      </c>
      <c r="AO279" t="s">
        <v>134</v>
      </c>
      <c r="AP279" t="s">
        <v>134</v>
      </c>
      <c r="AQ279" t="s">
        <v>134</v>
      </c>
      <c r="AR279" t="s">
        <v>134</v>
      </c>
      <c r="AS279" t="s">
        <v>134</v>
      </c>
      <c r="AT279" t="s">
        <v>134</v>
      </c>
      <c r="AU279" t="s">
        <v>134</v>
      </c>
      <c r="AV279" t="s">
        <v>134</v>
      </c>
      <c r="AW279" t="s">
        <v>134</v>
      </c>
      <c r="AX279" t="s">
        <v>134</v>
      </c>
      <c r="AY279" t="s">
        <v>134</v>
      </c>
      <c r="AZ279" t="s">
        <v>134</v>
      </c>
      <c r="BA279" t="s">
        <v>134</v>
      </c>
      <c r="BB279" t="s">
        <v>134</v>
      </c>
      <c r="BC279" t="s">
        <v>134</v>
      </c>
      <c r="BD279" t="s">
        <v>134</v>
      </c>
      <c r="BE279" t="s">
        <v>134</v>
      </c>
      <c r="BF279" t="s">
        <v>134</v>
      </c>
      <c r="BG279" t="s">
        <v>134</v>
      </c>
      <c r="BH279" t="s">
        <v>134</v>
      </c>
      <c r="BI279" t="s">
        <v>134</v>
      </c>
      <c r="BJ279" t="s">
        <v>134</v>
      </c>
      <c r="BK279" t="s">
        <v>134</v>
      </c>
      <c r="BL279" t="s">
        <v>134</v>
      </c>
      <c r="BM279" t="s">
        <v>134</v>
      </c>
      <c r="BN279" t="s">
        <v>134</v>
      </c>
      <c r="BO279" t="s">
        <v>134</v>
      </c>
      <c r="BP279" t="s">
        <v>134</v>
      </c>
      <c r="BQ279" t="s">
        <v>134</v>
      </c>
      <c r="BR279" t="s">
        <v>134</v>
      </c>
      <c r="BS279" t="s">
        <v>134</v>
      </c>
      <c r="BT279" t="s">
        <v>134</v>
      </c>
      <c r="BU279" t="s">
        <v>134</v>
      </c>
      <c r="BV279" t="s">
        <v>134</v>
      </c>
      <c r="BW279" t="s">
        <v>134</v>
      </c>
      <c r="BX279" t="s">
        <v>134</v>
      </c>
      <c r="BY279" t="s">
        <v>134</v>
      </c>
      <c r="BZ279" t="s">
        <v>134</v>
      </c>
      <c r="CA279" t="s">
        <v>134</v>
      </c>
      <c r="CB279" t="s">
        <v>134</v>
      </c>
      <c r="CC279" t="s">
        <v>134</v>
      </c>
      <c r="CD279" t="s">
        <v>134</v>
      </c>
      <c r="CE279" t="s">
        <v>134</v>
      </c>
      <c r="CF279" t="s">
        <v>134</v>
      </c>
      <c r="CG279" t="s">
        <v>134</v>
      </c>
      <c r="CH279" t="s">
        <v>134</v>
      </c>
      <c r="CI279" t="s">
        <v>134</v>
      </c>
      <c r="CJ279" t="s">
        <v>134</v>
      </c>
      <c r="CK279" t="s">
        <v>134</v>
      </c>
      <c r="CL279" t="s">
        <v>134</v>
      </c>
      <c r="CM279" t="s">
        <v>134</v>
      </c>
      <c r="CN279" t="s">
        <v>134</v>
      </c>
      <c r="CO279" t="s">
        <v>134</v>
      </c>
      <c r="CP279" t="s">
        <v>134</v>
      </c>
      <c r="CQ279" t="s">
        <v>134</v>
      </c>
      <c r="CR279" t="s">
        <v>134</v>
      </c>
      <c r="CS279" t="s">
        <v>134</v>
      </c>
      <c r="CT279" t="s">
        <v>134</v>
      </c>
      <c r="CU279" t="s">
        <v>134</v>
      </c>
      <c r="CV279" t="s">
        <v>134</v>
      </c>
      <c r="CW279" t="s">
        <v>134</v>
      </c>
      <c r="CX279" t="s">
        <v>134</v>
      </c>
      <c r="CY279" t="s">
        <v>134</v>
      </c>
      <c r="CZ279" t="s">
        <v>134</v>
      </c>
      <c r="DA279" t="s">
        <v>134</v>
      </c>
      <c r="DB279" t="s">
        <v>134</v>
      </c>
      <c r="DC279" t="s">
        <v>134</v>
      </c>
      <c r="DD279" t="s">
        <v>134</v>
      </c>
      <c r="DE279" t="s">
        <v>134</v>
      </c>
      <c r="DF279" t="s">
        <v>134</v>
      </c>
      <c r="DG279" t="s">
        <v>134</v>
      </c>
      <c r="DH279" t="s">
        <v>134</v>
      </c>
      <c r="DI279" t="s">
        <v>134</v>
      </c>
    </row>
    <row r="280" spans="1:113" x14ac:dyDescent="0.3">
      <c r="E280" t="s">
        <v>5</v>
      </c>
      <c r="F280" t="s">
        <v>134</v>
      </c>
      <c r="G280" t="s">
        <v>134</v>
      </c>
      <c r="H280" t="s">
        <v>134</v>
      </c>
      <c r="I280" t="s">
        <v>134</v>
      </c>
      <c r="J280" t="s">
        <v>134</v>
      </c>
      <c r="K280" t="s">
        <v>134</v>
      </c>
      <c r="L280" t="s">
        <v>134</v>
      </c>
      <c r="M280" t="s">
        <v>134</v>
      </c>
      <c r="N280" t="s">
        <v>134</v>
      </c>
      <c r="O280" t="s">
        <v>134</v>
      </c>
      <c r="P280" t="s">
        <v>134</v>
      </c>
      <c r="Q280" t="s">
        <v>134</v>
      </c>
      <c r="R280" t="s">
        <v>134</v>
      </c>
      <c r="S280" t="s">
        <v>134</v>
      </c>
      <c r="T280" t="s">
        <v>134</v>
      </c>
      <c r="U280" t="s">
        <v>134</v>
      </c>
      <c r="V280" t="s">
        <v>134</v>
      </c>
      <c r="W280" t="s">
        <v>134</v>
      </c>
      <c r="X280" t="s">
        <v>134</v>
      </c>
      <c r="Y280" t="s">
        <v>134</v>
      </c>
      <c r="Z280" t="s">
        <v>134</v>
      </c>
      <c r="AA280" t="s">
        <v>134</v>
      </c>
      <c r="AB280" t="s">
        <v>134</v>
      </c>
      <c r="AC280" t="s">
        <v>134</v>
      </c>
      <c r="AD280" t="s">
        <v>134</v>
      </c>
      <c r="AE280" t="s">
        <v>134</v>
      </c>
      <c r="AF280" t="s">
        <v>134</v>
      </c>
      <c r="AG280" t="s">
        <v>134</v>
      </c>
      <c r="AH280" t="s">
        <v>134</v>
      </c>
      <c r="AI280" t="s">
        <v>134</v>
      </c>
      <c r="AJ280" t="s">
        <v>134</v>
      </c>
      <c r="AK280" t="s">
        <v>134</v>
      </c>
      <c r="AL280" t="s">
        <v>134</v>
      </c>
      <c r="AM280" t="s">
        <v>134</v>
      </c>
      <c r="AN280" t="s">
        <v>134</v>
      </c>
      <c r="AO280" t="s">
        <v>134</v>
      </c>
      <c r="AP280" t="s">
        <v>134</v>
      </c>
      <c r="AQ280" t="s">
        <v>134</v>
      </c>
      <c r="AR280" t="s">
        <v>134</v>
      </c>
      <c r="AS280" t="s">
        <v>134</v>
      </c>
      <c r="AT280" t="s">
        <v>134</v>
      </c>
      <c r="AU280" t="s">
        <v>134</v>
      </c>
      <c r="AV280" t="s">
        <v>134</v>
      </c>
      <c r="AW280" t="s">
        <v>134</v>
      </c>
      <c r="AX280" t="s">
        <v>134</v>
      </c>
      <c r="AY280" t="s">
        <v>134</v>
      </c>
      <c r="AZ280" t="s">
        <v>134</v>
      </c>
      <c r="BA280" t="s">
        <v>134</v>
      </c>
      <c r="BB280" t="s">
        <v>134</v>
      </c>
      <c r="BC280" t="s">
        <v>134</v>
      </c>
      <c r="BD280" t="s">
        <v>134</v>
      </c>
      <c r="BE280" t="s">
        <v>134</v>
      </c>
      <c r="BF280" t="s">
        <v>134</v>
      </c>
      <c r="BG280" t="s">
        <v>134</v>
      </c>
      <c r="BH280" t="s">
        <v>134</v>
      </c>
      <c r="BI280" t="s">
        <v>134</v>
      </c>
      <c r="BJ280" t="s">
        <v>134</v>
      </c>
      <c r="BK280" t="s">
        <v>134</v>
      </c>
      <c r="BL280" t="s">
        <v>134</v>
      </c>
      <c r="BM280" t="s">
        <v>134</v>
      </c>
      <c r="BN280" t="s">
        <v>134</v>
      </c>
      <c r="BO280" t="s">
        <v>134</v>
      </c>
      <c r="BP280" t="s">
        <v>134</v>
      </c>
      <c r="BQ280" t="s">
        <v>134</v>
      </c>
      <c r="BR280" t="s">
        <v>134</v>
      </c>
      <c r="BS280" t="s">
        <v>134</v>
      </c>
      <c r="BT280" t="s">
        <v>134</v>
      </c>
      <c r="BU280" t="s">
        <v>134</v>
      </c>
      <c r="BV280" t="s">
        <v>134</v>
      </c>
      <c r="BW280" t="s">
        <v>134</v>
      </c>
      <c r="BX280" t="s">
        <v>134</v>
      </c>
      <c r="BY280" t="s">
        <v>134</v>
      </c>
      <c r="BZ280" t="s">
        <v>134</v>
      </c>
      <c r="CA280" t="s">
        <v>134</v>
      </c>
      <c r="CB280" t="s">
        <v>134</v>
      </c>
      <c r="CC280" t="s">
        <v>134</v>
      </c>
      <c r="CD280" t="s">
        <v>134</v>
      </c>
      <c r="CE280" t="s">
        <v>134</v>
      </c>
      <c r="CF280" t="s">
        <v>134</v>
      </c>
      <c r="CG280" t="s">
        <v>134</v>
      </c>
      <c r="CH280" t="s">
        <v>134</v>
      </c>
      <c r="CI280" t="s">
        <v>134</v>
      </c>
      <c r="CJ280" t="s">
        <v>134</v>
      </c>
      <c r="CK280" t="s">
        <v>134</v>
      </c>
      <c r="CL280" t="s">
        <v>134</v>
      </c>
      <c r="CM280" t="s">
        <v>134</v>
      </c>
      <c r="CN280" t="s">
        <v>134</v>
      </c>
      <c r="CO280" t="s">
        <v>134</v>
      </c>
      <c r="CP280" t="s">
        <v>134</v>
      </c>
      <c r="CQ280" t="s">
        <v>134</v>
      </c>
      <c r="CR280" t="s">
        <v>134</v>
      </c>
      <c r="CS280" t="s">
        <v>134</v>
      </c>
      <c r="CT280" t="s">
        <v>134</v>
      </c>
      <c r="CU280" t="s">
        <v>134</v>
      </c>
      <c r="CV280" t="s">
        <v>134</v>
      </c>
      <c r="CW280" t="s">
        <v>134</v>
      </c>
      <c r="CX280" t="s">
        <v>134</v>
      </c>
      <c r="CY280" t="s">
        <v>134</v>
      </c>
      <c r="CZ280" t="s">
        <v>134</v>
      </c>
      <c r="DA280" t="s">
        <v>134</v>
      </c>
      <c r="DB280" t="s">
        <v>134</v>
      </c>
      <c r="DC280" t="s">
        <v>134</v>
      </c>
      <c r="DD280" t="s">
        <v>134</v>
      </c>
      <c r="DE280" t="s">
        <v>134</v>
      </c>
      <c r="DF280" t="s">
        <v>134</v>
      </c>
      <c r="DG280" t="s">
        <v>134</v>
      </c>
      <c r="DH280" t="s">
        <v>134</v>
      </c>
      <c r="DI280" t="s">
        <v>134</v>
      </c>
    </row>
    <row r="281" spans="1:113" x14ac:dyDescent="0.3">
      <c r="E281" t="s">
        <v>6</v>
      </c>
      <c r="F281" t="s">
        <v>134</v>
      </c>
      <c r="G281" t="s">
        <v>134</v>
      </c>
      <c r="H281" t="s">
        <v>134</v>
      </c>
      <c r="I281" t="s">
        <v>134</v>
      </c>
      <c r="J281" t="s">
        <v>134</v>
      </c>
      <c r="K281" t="s">
        <v>134</v>
      </c>
      <c r="L281" t="s">
        <v>134</v>
      </c>
      <c r="M281" t="s">
        <v>134</v>
      </c>
      <c r="N281" t="s">
        <v>134</v>
      </c>
      <c r="O281" t="s">
        <v>134</v>
      </c>
      <c r="P281" t="s">
        <v>134</v>
      </c>
      <c r="Q281" t="s">
        <v>134</v>
      </c>
      <c r="R281" t="s">
        <v>134</v>
      </c>
      <c r="S281" t="s">
        <v>134</v>
      </c>
      <c r="T281" t="s">
        <v>134</v>
      </c>
      <c r="U281" t="s">
        <v>134</v>
      </c>
      <c r="V281" t="s">
        <v>134</v>
      </c>
      <c r="W281" t="s">
        <v>134</v>
      </c>
      <c r="X281" t="s">
        <v>134</v>
      </c>
      <c r="Y281" t="s">
        <v>134</v>
      </c>
      <c r="Z281" t="s">
        <v>134</v>
      </c>
      <c r="AA281" t="s">
        <v>134</v>
      </c>
      <c r="AB281" t="s">
        <v>134</v>
      </c>
      <c r="AC281" t="s">
        <v>134</v>
      </c>
      <c r="AD281" t="s">
        <v>134</v>
      </c>
      <c r="AE281" t="s">
        <v>134</v>
      </c>
      <c r="AF281" t="s">
        <v>134</v>
      </c>
      <c r="AG281" t="s">
        <v>134</v>
      </c>
      <c r="AH281" t="s">
        <v>134</v>
      </c>
      <c r="AI281" t="s">
        <v>134</v>
      </c>
      <c r="AJ281" t="s">
        <v>134</v>
      </c>
      <c r="AK281" t="s">
        <v>134</v>
      </c>
      <c r="AL281" t="s">
        <v>134</v>
      </c>
      <c r="AM281" t="s">
        <v>134</v>
      </c>
      <c r="AN281" t="s">
        <v>134</v>
      </c>
      <c r="AO281" t="s">
        <v>134</v>
      </c>
      <c r="AP281" t="s">
        <v>134</v>
      </c>
      <c r="AQ281" t="s">
        <v>134</v>
      </c>
      <c r="AR281" t="s">
        <v>134</v>
      </c>
      <c r="AS281" t="s">
        <v>134</v>
      </c>
      <c r="AT281" t="s">
        <v>134</v>
      </c>
      <c r="AU281" t="s">
        <v>134</v>
      </c>
      <c r="AV281" t="s">
        <v>134</v>
      </c>
      <c r="AW281" t="s">
        <v>134</v>
      </c>
      <c r="AX281" t="s">
        <v>134</v>
      </c>
      <c r="AY281" t="s">
        <v>134</v>
      </c>
      <c r="AZ281" t="s">
        <v>134</v>
      </c>
      <c r="BA281" t="s">
        <v>134</v>
      </c>
      <c r="BB281" t="s">
        <v>134</v>
      </c>
      <c r="BC281" t="s">
        <v>134</v>
      </c>
      <c r="BD281" t="s">
        <v>134</v>
      </c>
      <c r="BE281" t="s">
        <v>134</v>
      </c>
      <c r="BF281" t="s">
        <v>134</v>
      </c>
      <c r="BG281" t="s">
        <v>134</v>
      </c>
      <c r="BH281" t="s">
        <v>134</v>
      </c>
      <c r="BI281" t="s">
        <v>134</v>
      </c>
      <c r="BJ281" t="s">
        <v>134</v>
      </c>
      <c r="BK281" t="s">
        <v>134</v>
      </c>
      <c r="BL281" t="s">
        <v>134</v>
      </c>
      <c r="BM281" t="s">
        <v>134</v>
      </c>
      <c r="BN281" t="s">
        <v>134</v>
      </c>
      <c r="BO281" t="s">
        <v>134</v>
      </c>
      <c r="BP281" t="s">
        <v>134</v>
      </c>
      <c r="BQ281" t="s">
        <v>134</v>
      </c>
      <c r="BR281" t="s">
        <v>134</v>
      </c>
      <c r="BS281" t="s">
        <v>134</v>
      </c>
      <c r="BT281" t="s">
        <v>134</v>
      </c>
      <c r="BU281" t="s">
        <v>134</v>
      </c>
      <c r="BV281" t="s">
        <v>134</v>
      </c>
      <c r="BW281" t="s">
        <v>134</v>
      </c>
      <c r="BX281" t="s">
        <v>134</v>
      </c>
      <c r="BY281" t="s">
        <v>134</v>
      </c>
      <c r="BZ281" t="s">
        <v>134</v>
      </c>
      <c r="CA281" t="s">
        <v>134</v>
      </c>
      <c r="CB281" t="s">
        <v>134</v>
      </c>
      <c r="CC281" t="s">
        <v>134</v>
      </c>
      <c r="CD281" t="s">
        <v>134</v>
      </c>
      <c r="CE281" t="s">
        <v>134</v>
      </c>
      <c r="CF281" t="s">
        <v>134</v>
      </c>
      <c r="CG281" t="s">
        <v>134</v>
      </c>
      <c r="CH281" t="s">
        <v>134</v>
      </c>
      <c r="CI281" t="s">
        <v>134</v>
      </c>
      <c r="CJ281" t="s">
        <v>134</v>
      </c>
      <c r="CK281" t="s">
        <v>134</v>
      </c>
      <c r="CL281" t="s">
        <v>134</v>
      </c>
      <c r="CM281" t="s">
        <v>134</v>
      </c>
      <c r="CN281" t="s">
        <v>134</v>
      </c>
      <c r="CO281" t="s">
        <v>134</v>
      </c>
      <c r="CP281" t="s">
        <v>134</v>
      </c>
      <c r="CQ281" t="s">
        <v>134</v>
      </c>
      <c r="CR281" t="s">
        <v>134</v>
      </c>
      <c r="CS281" t="s">
        <v>134</v>
      </c>
      <c r="CT281" t="s">
        <v>134</v>
      </c>
      <c r="CU281" t="s">
        <v>134</v>
      </c>
      <c r="CV281" t="s">
        <v>134</v>
      </c>
      <c r="CW281" t="s">
        <v>134</v>
      </c>
      <c r="CX281" t="s">
        <v>134</v>
      </c>
      <c r="CY281" t="s">
        <v>134</v>
      </c>
      <c r="CZ281" t="s">
        <v>134</v>
      </c>
      <c r="DA281" t="s">
        <v>134</v>
      </c>
      <c r="DB281" t="s">
        <v>134</v>
      </c>
      <c r="DC281" t="s">
        <v>134</v>
      </c>
      <c r="DD281" t="s">
        <v>134</v>
      </c>
      <c r="DE281" t="s">
        <v>134</v>
      </c>
      <c r="DF281" t="s">
        <v>134</v>
      </c>
      <c r="DG281" t="s">
        <v>134</v>
      </c>
      <c r="DH281" t="s">
        <v>134</v>
      </c>
      <c r="DI281" t="s">
        <v>134</v>
      </c>
    </row>
    <row r="282" spans="1:113" x14ac:dyDescent="0.3">
      <c r="E282" t="s">
        <v>7</v>
      </c>
      <c r="F282" t="s">
        <v>134</v>
      </c>
      <c r="G282" t="s">
        <v>134</v>
      </c>
      <c r="H282" t="s">
        <v>134</v>
      </c>
      <c r="I282" t="s">
        <v>134</v>
      </c>
      <c r="J282" t="s">
        <v>134</v>
      </c>
      <c r="K282" t="s">
        <v>134</v>
      </c>
      <c r="L282" t="s">
        <v>134</v>
      </c>
      <c r="M282" t="s">
        <v>134</v>
      </c>
      <c r="N282" t="s">
        <v>134</v>
      </c>
      <c r="O282" t="s">
        <v>134</v>
      </c>
      <c r="P282" t="s">
        <v>134</v>
      </c>
      <c r="Q282" t="s">
        <v>134</v>
      </c>
      <c r="R282" t="s">
        <v>134</v>
      </c>
      <c r="S282" t="s">
        <v>134</v>
      </c>
      <c r="T282" t="s">
        <v>134</v>
      </c>
      <c r="U282" t="s">
        <v>134</v>
      </c>
      <c r="V282" t="s">
        <v>134</v>
      </c>
      <c r="W282" t="s">
        <v>134</v>
      </c>
      <c r="X282" t="s">
        <v>134</v>
      </c>
      <c r="Y282" t="s">
        <v>134</v>
      </c>
      <c r="Z282" t="s">
        <v>134</v>
      </c>
      <c r="AA282" t="s">
        <v>134</v>
      </c>
      <c r="AB282" t="s">
        <v>134</v>
      </c>
      <c r="AC282" t="s">
        <v>134</v>
      </c>
      <c r="AD282" t="s">
        <v>134</v>
      </c>
      <c r="AE282" t="s">
        <v>134</v>
      </c>
      <c r="AF282" t="s">
        <v>134</v>
      </c>
      <c r="AG282" t="s">
        <v>134</v>
      </c>
      <c r="AH282" t="s">
        <v>134</v>
      </c>
      <c r="AI282" t="s">
        <v>134</v>
      </c>
      <c r="AJ282" t="s">
        <v>134</v>
      </c>
      <c r="AK282" t="s">
        <v>134</v>
      </c>
      <c r="AL282" t="s">
        <v>134</v>
      </c>
      <c r="AM282" t="s">
        <v>134</v>
      </c>
      <c r="AN282" t="s">
        <v>134</v>
      </c>
      <c r="AO282" t="s">
        <v>134</v>
      </c>
      <c r="AP282" t="s">
        <v>134</v>
      </c>
      <c r="AQ282" t="s">
        <v>134</v>
      </c>
      <c r="AR282" t="s">
        <v>134</v>
      </c>
      <c r="AS282" t="s">
        <v>134</v>
      </c>
      <c r="AT282" t="s">
        <v>134</v>
      </c>
      <c r="AU282" t="s">
        <v>134</v>
      </c>
      <c r="AV282" t="s">
        <v>134</v>
      </c>
      <c r="AW282" t="s">
        <v>134</v>
      </c>
      <c r="AX282" t="s">
        <v>134</v>
      </c>
      <c r="AY282" t="s">
        <v>134</v>
      </c>
      <c r="AZ282" t="s">
        <v>134</v>
      </c>
      <c r="BA282" t="s">
        <v>134</v>
      </c>
      <c r="BB282" t="s">
        <v>134</v>
      </c>
      <c r="BC282" t="s">
        <v>134</v>
      </c>
      <c r="BD282" t="s">
        <v>134</v>
      </c>
      <c r="BE282" t="s">
        <v>134</v>
      </c>
      <c r="BF282" t="s">
        <v>134</v>
      </c>
      <c r="BG282" t="s">
        <v>134</v>
      </c>
      <c r="BH282" t="s">
        <v>134</v>
      </c>
      <c r="BI282" t="s">
        <v>134</v>
      </c>
      <c r="BJ282" t="s">
        <v>134</v>
      </c>
      <c r="BK282" t="s">
        <v>134</v>
      </c>
      <c r="BL282" t="s">
        <v>134</v>
      </c>
      <c r="BM282" t="s">
        <v>134</v>
      </c>
      <c r="BN282" t="s">
        <v>134</v>
      </c>
      <c r="BO282" t="s">
        <v>134</v>
      </c>
      <c r="BP282" t="s">
        <v>134</v>
      </c>
      <c r="BQ282" t="s">
        <v>134</v>
      </c>
      <c r="BR282" t="s">
        <v>134</v>
      </c>
      <c r="BS282" t="s">
        <v>134</v>
      </c>
      <c r="BT282" t="s">
        <v>134</v>
      </c>
      <c r="BU282" t="s">
        <v>134</v>
      </c>
      <c r="BV282" t="s">
        <v>134</v>
      </c>
      <c r="BW282" t="s">
        <v>134</v>
      </c>
      <c r="BX282" t="s">
        <v>134</v>
      </c>
      <c r="BY282" t="s">
        <v>134</v>
      </c>
      <c r="BZ282" t="s">
        <v>134</v>
      </c>
      <c r="CA282" t="s">
        <v>134</v>
      </c>
      <c r="CB282" t="s">
        <v>134</v>
      </c>
      <c r="CC282" t="s">
        <v>134</v>
      </c>
      <c r="CD282" t="s">
        <v>134</v>
      </c>
      <c r="CE282" t="s">
        <v>134</v>
      </c>
      <c r="CF282" t="s">
        <v>134</v>
      </c>
      <c r="CG282" t="s">
        <v>134</v>
      </c>
      <c r="CH282" t="s">
        <v>134</v>
      </c>
      <c r="CI282" t="s">
        <v>134</v>
      </c>
      <c r="CJ282" t="s">
        <v>134</v>
      </c>
      <c r="CK282" t="s">
        <v>134</v>
      </c>
      <c r="CL282" t="s">
        <v>134</v>
      </c>
      <c r="CM282" t="s">
        <v>134</v>
      </c>
      <c r="CN282" t="s">
        <v>134</v>
      </c>
      <c r="CO282" t="s">
        <v>134</v>
      </c>
      <c r="CP282" t="s">
        <v>134</v>
      </c>
      <c r="CQ282" t="s">
        <v>134</v>
      </c>
      <c r="CR282" t="s">
        <v>134</v>
      </c>
      <c r="CS282" t="s">
        <v>134</v>
      </c>
      <c r="CT282" t="s">
        <v>134</v>
      </c>
      <c r="CU282" t="s">
        <v>134</v>
      </c>
      <c r="CV282" t="s">
        <v>134</v>
      </c>
      <c r="CW282" t="s">
        <v>134</v>
      </c>
      <c r="CX282" t="s">
        <v>134</v>
      </c>
      <c r="CY282" t="s">
        <v>134</v>
      </c>
      <c r="CZ282" t="s">
        <v>134</v>
      </c>
      <c r="DA282" t="s">
        <v>134</v>
      </c>
      <c r="DB282" t="s">
        <v>134</v>
      </c>
      <c r="DC282" t="s">
        <v>134</v>
      </c>
      <c r="DD282" t="s">
        <v>134</v>
      </c>
      <c r="DE282" t="s">
        <v>134</v>
      </c>
      <c r="DF282" t="s">
        <v>134</v>
      </c>
      <c r="DG282" t="s">
        <v>134</v>
      </c>
      <c r="DH282" t="s">
        <v>134</v>
      </c>
      <c r="DI282" t="s">
        <v>134</v>
      </c>
    </row>
    <row r="283" spans="1:113" x14ac:dyDescent="0.3">
      <c r="D283" t="s">
        <v>8</v>
      </c>
      <c r="E283" t="s">
        <v>3</v>
      </c>
      <c r="F283" t="s">
        <v>134</v>
      </c>
      <c r="G283" t="s">
        <v>134</v>
      </c>
      <c r="H283" t="s">
        <v>134</v>
      </c>
      <c r="I283" t="s">
        <v>134</v>
      </c>
      <c r="J283" t="s">
        <v>134</v>
      </c>
      <c r="K283" t="s">
        <v>134</v>
      </c>
      <c r="L283" t="s">
        <v>134</v>
      </c>
      <c r="M283" t="s">
        <v>134</v>
      </c>
      <c r="N283" t="s">
        <v>134</v>
      </c>
      <c r="O283" t="s">
        <v>134</v>
      </c>
      <c r="P283" t="s">
        <v>134</v>
      </c>
      <c r="Q283" t="s">
        <v>134</v>
      </c>
      <c r="R283" t="s">
        <v>134</v>
      </c>
      <c r="S283" t="s">
        <v>134</v>
      </c>
      <c r="T283" t="s">
        <v>134</v>
      </c>
      <c r="U283" t="s">
        <v>134</v>
      </c>
      <c r="V283" t="s">
        <v>134</v>
      </c>
      <c r="W283" t="s">
        <v>134</v>
      </c>
      <c r="X283" t="s">
        <v>134</v>
      </c>
      <c r="Y283" t="s">
        <v>134</v>
      </c>
      <c r="Z283" t="s">
        <v>134</v>
      </c>
      <c r="AA283" t="s">
        <v>134</v>
      </c>
      <c r="AB283" t="s">
        <v>134</v>
      </c>
      <c r="AC283" t="s">
        <v>134</v>
      </c>
      <c r="AD283" t="s">
        <v>134</v>
      </c>
      <c r="AE283" t="s">
        <v>134</v>
      </c>
      <c r="AF283" t="s">
        <v>134</v>
      </c>
      <c r="AG283" t="s">
        <v>134</v>
      </c>
      <c r="AH283" t="s">
        <v>134</v>
      </c>
      <c r="AI283" t="s">
        <v>134</v>
      </c>
      <c r="AJ283" t="s">
        <v>134</v>
      </c>
      <c r="AK283" t="s">
        <v>134</v>
      </c>
      <c r="AL283" t="s">
        <v>134</v>
      </c>
      <c r="AM283" t="s">
        <v>134</v>
      </c>
      <c r="AN283" t="s">
        <v>134</v>
      </c>
      <c r="AO283" t="s">
        <v>134</v>
      </c>
      <c r="AP283" t="s">
        <v>134</v>
      </c>
      <c r="AQ283" t="s">
        <v>134</v>
      </c>
      <c r="AR283" t="s">
        <v>134</v>
      </c>
      <c r="AS283" t="s">
        <v>134</v>
      </c>
      <c r="AT283" t="s">
        <v>134</v>
      </c>
      <c r="AU283" t="s">
        <v>134</v>
      </c>
      <c r="AV283" t="s">
        <v>134</v>
      </c>
      <c r="AW283" t="s">
        <v>134</v>
      </c>
      <c r="AX283" t="s">
        <v>134</v>
      </c>
      <c r="AY283" t="s">
        <v>134</v>
      </c>
      <c r="AZ283" t="s">
        <v>134</v>
      </c>
      <c r="BA283" t="s">
        <v>134</v>
      </c>
      <c r="BB283" t="s">
        <v>134</v>
      </c>
      <c r="BC283" t="s">
        <v>134</v>
      </c>
      <c r="BD283" t="s">
        <v>134</v>
      </c>
      <c r="BE283" t="s">
        <v>134</v>
      </c>
      <c r="BF283" t="s">
        <v>134</v>
      </c>
      <c r="BG283" t="s">
        <v>134</v>
      </c>
      <c r="BH283" t="s">
        <v>134</v>
      </c>
      <c r="BI283" t="s">
        <v>134</v>
      </c>
      <c r="BJ283" t="s">
        <v>134</v>
      </c>
      <c r="BK283" t="s">
        <v>134</v>
      </c>
      <c r="BL283" t="s">
        <v>134</v>
      </c>
      <c r="BM283" t="s">
        <v>134</v>
      </c>
      <c r="BN283" t="s">
        <v>134</v>
      </c>
      <c r="BO283" t="s">
        <v>134</v>
      </c>
      <c r="BP283" t="s">
        <v>134</v>
      </c>
      <c r="BQ283" t="s">
        <v>134</v>
      </c>
      <c r="BR283" t="s">
        <v>134</v>
      </c>
      <c r="BS283" t="s">
        <v>134</v>
      </c>
      <c r="BT283" t="s">
        <v>134</v>
      </c>
      <c r="BU283" t="s">
        <v>134</v>
      </c>
      <c r="BV283" t="s">
        <v>134</v>
      </c>
      <c r="BW283" t="s">
        <v>134</v>
      </c>
      <c r="BX283" t="s">
        <v>134</v>
      </c>
      <c r="BY283" t="s">
        <v>134</v>
      </c>
      <c r="BZ283" t="s">
        <v>134</v>
      </c>
      <c r="CA283" t="s">
        <v>134</v>
      </c>
      <c r="CB283" t="s">
        <v>134</v>
      </c>
      <c r="CC283" t="s">
        <v>134</v>
      </c>
      <c r="CD283" t="s">
        <v>134</v>
      </c>
      <c r="CE283" t="s">
        <v>134</v>
      </c>
      <c r="CF283" t="s">
        <v>134</v>
      </c>
      <c r="CG283" t="s">
        <v>134</v>
      </c>
      <c r="CH283" t="s">
        <v>134</v>
      </c>
      <c r="CI283" t="s">
        <v>134</v>
      </c>
      <c r="CJ283" t="s">
        <v>134</v>
      </c>
      <c r="CK283" t="s">
        <v>134</v>
      </c>
      <c r="CL283" t="s">
        <v>134</v>
      </c>
      <c r="CM283" t="s">
        <v>134</v>
      </c>
      <c r="CN283" t="s">
        <v>134</v>
      </c>
      <c r="CO283" t="s">
        <v>134</v>
      </c>
      <c r="CP283" t="s">
        <v>134</v>
      </c>
      <c r="CQ283" t="s">
        <v>134</v>
      </c>
      <c r="CR283" t="s">
        <v>134</v>
      </c>
      <c r="CS283" t="s">
        <v>134</v>
      </c>
      <c r="CT283" t="s">
        <v>134</v>
      </c>
      <c r="CU283" t="s">
        <v>134</v>
      </c>
      <c r="CV283" t="s">
        <v>134</v>
      </c>
      <c r="CW283" t="s">
        <v>134</v>
      </c>
      <c r="CX283" t="s">
        <v>134</v>
      </c>
      <c r="CY283" t="s">
        <v>134</v>
      </c>
      <c r="CZ283" t="s">
        <v>134</v>
      </c>
      <c r="DA283" t="s">
        <v>134</v>
      </c>
      <c r="DB283" t="s">
        <v>134</v>
      </c>
      <c r="DC283" t="s">
        <v>134</v>
      </c>
      <c r="DD283" t="s">
        <v>134</v>
      </c>
      <c r="DE283" t="s">
        <v>134</v>
      </c>
      <c r="DF283" t="s">
        <v>134</v>
      </c>
      <c r="DG283" t="s">
        <v>134</v>
      </c>
      <c r="DH283" t="s">
        <v>134</v>
      </c>
      <c r="DI283" t="s">
        <v>134</v>
      </c>
    </row>
    <row r="284" spans="1:113" x14ac:dyDescent="0.3">
      <c r="E284" t="s">
        <v>4</v>
      </c>
      <c r="F284" t="s">
        <v>134</v>
      </c>
      <c r="G284" t="s">
        <v>134</v>
      </c>
      <c r="H284" t="s">
        <v>134</v>
      </c>
      <c r="I284" t="s">
        <v>134</v>
      </c>
      <c r="J284" t="s">
        <v>134</v>
      </c>
      <c r="K284" t="s">
        <v>134</v>
      </c>
      <c r="L284" t="s">
        <v>134</v>
      </c>
      <c r="M284" t="s">
        <v>134</v>
      </c>
      <c r="N284" t="s">
        <v>134</v>
      </c>
      <c r="O284" t="s">
        <v>134</v>
      </c>
      <c r="P284" t="s">
        <v>134</v>
      </c>
      <c r="Q284" t="s">
        <v>134</v>
      </c>
      <c r="R284" t="s">
        <v>134</v>
      </c>
      <c r="S284" t="s">
        <v>134</v>
      </c>
      <c r="T284" t="s">
        <v>134</v>
      </c>
      <c r="U284" t="s">
        <v>134</v>
      </c>
      <c r="V284" t="s">
        <v>134</v>
      </c>
      <c r="W284" t="s">
        <v>134</v>
      </c>
      <c r="X284" t="s">
        <v>134</v>
      </c>
      <c r="Y284" t="s">
        <v>134</v>
      </c>
      <c r="Z284" t="s">
        <v>134</v>
      </c>
      <c r="AA284" t="s">
        <v>134</v>
      </c>
      <c r="AB284" t="s">
        <v>134</v>
      </c>
      <c r="AC284" t="s">
        <v>134</v>
      </c>
      <c r="AD284" t="s">
        <v>134</v>
      </c>
      <c r="AE284" t="s">
        <v>134</v>
      </c>
      <c r="AF284" t="s">
        <v>134</v>
      </c>
      <c r="AG284" t="s">
        <v>134</v>
      </c>
      <c r="AH284" t="s">
        <v>134</v>
      </c>
      <c r="AI284" t="s">
        <v>134</v>
      </c>
      <c r="AJ284" t="s">
        <v>134</v>
      </c>
      <c r="AK284" t="s">
        <v>134</v>
      </c>
      <c r="AL284" t="s">
        <v>134</v>
      </c>
      <c r="AM284" t="s">
        <v>134</v>
      </c>
      <c r="AN284" t="s">
        <v>134</v>
      </c>
      <c r="AO284" t="s">
        <v>134</v>
      </c>
      <c r="AP284" t="s">
        <v>134</v>
      </c>
      <c r="AQ284" t="s">
        <v>134</v>
      </c>
      <c r="AR284" t="s">
        <v>134</v>
      </c>
      <c r="AS284" t="s">
        <v>134</v>
      </c>
      <c r="AT284" t="s">
        <v>134</v>
      </c>
      <c r="AU284" t="s">
        <v>134</v>
      </c>
      <c r="AV284" t="s">
        <v>134</v>
      </c>
      <c r="AW284" t="s">
        <v>134</v>
      </c>
      <c r="AX284" t="s">
        <v>134</v>
      </c>
      <c r="AY284" t="s">
        <v>134</v>
      </c>
      <c r="AZ284" t="s">
        <v>134</v>
      </c>
      <c r="BA284" t="s">
        <v>134</v>
      </c>
      <c r="BB284" t="s">
        <v>134</v>
      </c>
      <c r="BC284" t="s">
        <v>134</v>
      </c>
      <c r="BD284" t="s">
        <v>134</v>
      </c>
      <c r="BE284" t="s">
        <v>134</v>
      </c>
      <c r="BF284" t="s">
        <v>134</v>
      </c>
      <c r="BG284" t="s">
        <v>134</v>
      </c>
      <c r="BH284" t="s">
        <v>134</v>
      </c>
      <c r="BI284" t="s">
        <v>134</v>
      </c>
      <c r="BJ284" t="s">
        <v>134</v>
      </c>
      <c r="BK284" t="s">
        <v>134</v>
      </c>
      <c r="BL284" t="s">
        <v>134</v>
      </c>
      <c r="BM284" t="s">
        <v>134</v>
      </c>
      <c r="BN284" t="s">
        <v>134</v>
      </c>
      <c r="BO284" t="s">
        <v>134</v>
      </c>
      <c r="BP284" t="s">
        <v>134</v>
      </c>
      <c r="BQ284" t="s">
        <v>134</v>
      </c>
      <c r="BR284" t="s">
        <v>134</v>
      </c>
      <c r="BS284" t="s">
        <v>134</v>
      </c>
      <c r="BT284" t="s">
        <v>134</v>
      </c>
      <c r="BU284" t="s">
        <v>134</v>
      </c>
      <c r="BV284" t="s">
        <v>134</v>
      </c>
      <c r="BW284" t="s">
        <v>134</v>
      </c>
      <c r="BX284" t="s">
        <v>134</v>
      </c>
      <c r="BY284" t="s">
        <v>134</v>
      </c>
      <c r="BZ284" t="s">
        <v>134</v>
      </c>
      <c r="CA284" t="s">
        <v>134</v>
      </c>
      <c r="CB284" t="s">
        <v>134</v>
      </c>
      <c r="CC284" t="s">
        <v>134</v>
      </c>
      <c r="CD284" t="s">
        <v>134</v>
      </c>
      <c r="CE284" t="s">
        <v>134</v>
      </c>
      <c r="CF284" t="s">
        <v>134</v>
      </c>
      <c r="CG284" t="s">
        <v>134</v>
      </c>
      <c r="CH284" t="s">
        <v>134</v>
      </c>
      <c r="CI284" t="s">
        <v>134</v>
      </c>
      <c r="CJ284" t="s">
        <v>134</v>
      </c>
      <c r="CK284" t="s">
        <v>134</v>
      </c>
      <c r="CL284" t="s">
        <v>134</v>
      </c>
      <c r="CM284" t="s">
        <v>134</v>
      </c>
      <c r="CN284" t="s">
        <v>134</v>
      </c>
      <c r="CO284" t="s">
        <v>134</v>
      </c>
      <c r="CP284" t="s">
        <v>134</v>
      </c>
      <c r="CQ284" t="s">
        <v>134</v>
      </c>
      <c r="CR284" t="s">
        <v>134</v>
      </c>
      <c r="CS284" t="s">
        <v>134</v>
      </c>
      <c r="CT284" t="s">
        <v>134</v>
      </c>
      <c r="CU284" t="s">
        <v>134</v>
      </c>
      <c r="CV284" t="s">
        <v>134</v>
      </c>
      <c r="CW284" t="s">
        <v>134</v>
      </c>
      <c r="CX284" t="s">
        <v>134</v>
      </c>
      <c r="CY284" t="s">
        <v>134</v>
      </c>
      <c r="CZ284" t="s">
        <v>134</v>
      </c>
      <c r="DA284" t="s">
        <v>134</v>
      </c>
      <c r="DB284" t="s">
        <v>134</v>
      </c>
      <c r="DC284" t="s">
        <v>134</v>
      </c>
      <c r="DD284" t="s">
        <v>134</v>
      </c>
      <c r="DE284" t="s">
        <v>134</v>
      </c>
      <c r="DF284" t="s">
        <v>134</v>
      </c>
      <c r="DG284" t="s">
        <v>134</v>
      </c>
      <c r="DH284" t="s">
        <v>134</v>
      </c>
      <c r="DI284" t="s">
        <v>134</v>
      </c>
    </row>
    <row r="285" spans="1:113" x14ac:dyDescent="0.3">
      <c r="E285" t="s">
        <v>5</v>
      </c>
      <c r="F285" t="s">
        <v>134</v>
      </c>
      <c r="G285" t="s">
        <v>134</v>
      </c>
      <c r="H285" t="s">
        <v>134</v>
      </c>
      <c r="I285" t="s">
        <v>134</v>
      </c>
      <c r="J285" t="s">
        <v>134</v>
      </c>
      <c r="K285" t="s">
        <v>134</v>
      </c>
      <c r="L285" t="s">
        <v>134</v>
      </c>
      <c r="M285" t="s">
        <v>134</v>
      </c>
      <c r="N285" t="s">
        <v>134</v>
      </c>
      <c r="O285" t="s">
        <v>134</v>
      </c>
      <c r="P285" t="s">
        <v>134</v>
      </c>
      <c r="Q285" t="s">
        <v>134</v>
      </c>
      <c r="R285" t="s">
        <v>134</v>
      </c>
      <c r="S285" t="s">
        <v>134</v>
      </c>
      <c r="T285" t="s">
        <v>134</v>
      </c>
      <c r="U285" t="s">
        <v>134</v>
      </c>
      <c r="V285" t="s">
        <v>134</v>
      </c>
      <c r="W285" t="s">
        <v>134</v>
      </c>
      <c r="X285" t="s">
        <v>134</v>
      </c>
      <c r="Y285" t="s">
        <v>134</v>
      </c>
      <c r="Z285" t="s">
        <v>134</v>
      </c>
      <c r="AA285" t="s">
        <v>134</v>
      </c>
      <c r="AB285" t="s">
        <v>134</v>
      </c>
      <c r="AC285" t="s">
        <v>134</v>
      </c>
      <c r="AD285" t="s">
        <v>134</v>
      </c>
      <c r="AE285" t="s">
        <v>134</v>
      </c>
      <c r="AF285" t="s">
        <v>134</v>
      </c>
      <c r="AG285" t="s">
        <v>134</v>
      </c>
      <c r="AH285" t="s">
        <v>134</v>
      </c>
      <c r="AI285" t="s">
        <v>134</v>
      </c>
      <c r="AJ285" t="s">
        <v>134</v>
      </c>
      <c r="AK285" t="s">
        <v>134</v>
      </c>
      <c r="AL285" t="s">
        <v>134</v>
      </c>
      <c r="AM285" t="s">
        <v>134</v>
      </c>
      <c r="AN285" t="s">
        <v>134</v>
      </c>
      <c r="AO285" t="s">
        <v>134</v>
      </c>
      <c r="AP285" t="s">
        <v>134</v>
      </c>
      <c r="AQ285" t="s">
        <v>134</v>
      </c>
      <c r="AR285" t="s">
        <v>134</v>
      </c>
      <c r="AS285" t="s">
        <v>134</v>
      </c>
      <c r="AT285" t="s">
        <v>134</v>
      </c>
      <c r="AU285" t="s">
        <v>134</v>
      </c>
      <c r="AV285" t="s">
        <v>134</v>
      </c>
      <c r="AW285" t="s">
        <v>134</v>
      </c>
      <c r="AX285" t="s">
        <v>134</v>
      </c>
      <c r="AY285" t="s">
        <v>134</v>
      </c>
      <c r="AZ285" t="s">
        <v>134</v>
      </c>
      <c r="BA285" t="s">
        <v>134</v>
      </c>
      <c r="BB285" t="s">
        <v>134</v>
      </c>
      <c r="BC285" t="s">
        <v>134</v>
      </c>
      <c r="BD285" t="s">
        <v>134</v>
      </c>
      <c r="BE285" t="s">
        <v>134</v>
      </c>
      <c r="BF285" t="s">
        <v>134</v>
      </c>
      <c r="BG285" t="s">
        <v>134</v>
      </c>
      <c r="BH285" t="s">
        <v>134</v>
      </c>
      <c r="BI285" t="s">
        <v>134</v>
      </c>
      <c r="BJ285" t="s">
        <v>134</v>
      </c>
      <c r="BK285" t="s">
        <v>134</v>
      </c>
      <c r="BL285" t="s">
        <v>134</v>
      </c>
      <c r="BM285" t="s">
        <v>134</v>
      </c>
      <c r="BN285" t="s">
        <v>134</v>
      </c>
      <c r="BO285" t="s">
        <v>134</v>
      </c>
      <c r="BP285" t="s">
        <v>134</v>
      </c>
      <c r="BQ285" t="s">
        <v>134</v>
      </c>
      <c r="BR285" t="s">
        <v>134</v>
      </c>
      <c r="BS285" t="s">
        <v>134</v>
      </c>
      <c r="BT285" t="s">
        <v>134</v>
      </c>
      <c r="BU285" t="s">
        <v>134</v>
      </c>
      <c r="BV285" t="s">
        <v>134</v>
      </c>
      <c r="BW285" t="s">
        <v>134</v>
      </c>
      <c r="BX285" t="s">
        <v>134</v>
      </c>
      <c r="BY285" t="s">
        <v>134</v>
      </c>
      <c r="BZ285" t="s">
        <v>134</v>
      </c>
      <c r="CA285" t="s">
        <v>134</v>
      </c>
      <c r="CB285" t="s">
        <v>134</v>
      </c>
      <c r="CC285" t="s">
        <v>134</v>
      </c>
      <c r="CD285" t="s">
        <v>134</v>
      </c>
      <c r="CE285" t="s">
        <v>134</v>
      </c>
      <c r="CF285" t="s">
        <v>134</v>
      </c>
      <c r="CG285" t="s">
        <v>134</v>
      </c>
      <c r="CH285" t="s">
        <v>134</v>
      </c>
      <c r="CI285" t="s">
        <v>134</v>
      </c>
      <c r="CJ285" t="s">
        <v>134</v>
      </c>
      <c r="CK285" t="s">
        <v>134</v>
      </c>
      <c r="CL285" t="s">
        <v>134</v>
      </c>
      <c r="CM285" t="s">
        <v>134</v>
      </c>
      <c r="CN285" t="s">
        <v>134</v>
      </c>
      <c r="CO285" t="s">
        <v>134</v>
      </c>
      <c r="CP285" t="s">
        <v>134</v>
      </c>
      <c r="CQ285" t="s">
        <v>134</v>
      </c>
      <c r="CR285" t="s">
        <v>134</v>
      </c>
      <c r="CS285" t="s">
        <v>134</v>
      </c>
      <c r="CT285" t="s">
        <v>134</v>
      </c>
      <c r="CU285" t="s">
        <v>134</v>
      </c>
      <c r="CV285" t="s">
        <v>134</v>
      </c>
      <c r="CW285" t="s">
        <v>134</v>
      </c>
      <c r="CX285" t="s">
        <v>134</v>
      </c>
      <c r="CY285" t="s">
        <v>134</v>
      </c>
      <c r="CZ285" t="s">
        <v>134</v>
      </c>
      <c r="DA285" t="s">
        <v>134</v>
      </c>
      <c r="DB285" t="s">
        <v>134</v>
      </c>
      <c r="DC285" t="s">
        <v>134</v>
      </c>
      <c r="DD285" t="s">
        <v>134</v>
      </c>
      <c r="DE285" t="s">
        <v>134</v>
      </c>
      <c r="DF285" t="s">
        <v>134</v>
      </c>
      <c r="DG285" t="s">
        <v>134</v>
      </c>
      <c r="DH285" t="s">
        <v>134</v>
      </c>
      <c r="DI285" t="s">
        <v>134</v>
      </c>
    </row>
    <row r="286" spans="1:113" x14ac:dyDescent="0.3">
      <c r="E286" t="s">
        <v>6</v>
      </c>
      <c r="F286" t="s">
        <v>134</v>
      </c>
      <c r="G286" t="s">
        <v>134</v>
      </c>
      <c r="H286" t="s">
        <v>134</v>
      </c>
      <c r="I286" t="s">
        <v>134</v>
      </c>
      <c r="J286" t="s">
        <v>134</v>
      </c>
      <c r="K286" t="s">
        <v>134</v>
      </c>
      <c r="L286" t="s">
        <v>134</v>
      </c>
      <c r="M286" t="s">
        <v>134</v>
      </c>
      <c r="N286" t="s">
        <v>134</v>
      </c>
      <c r="O286" t="s">
        <v>134</v>
      </c>
      <c r="P286" t="s">
        <v>134</v>
      </c>
      <c r="Q286" t="s">
        <v>134</v>
      </c>
      <c r="R286" t="s">
        <v>134</v>
      </c>
      <c r="S286" t="s">
        <v>134</v>
      </c>
      <c r="T286" t="s">
        <v>134</v>
      </c>
      <c r="U286" t="s">
        <v>134</v>
      </c>
      <c r="V286" t="s">
        <v>134</v>
      </c>
      <c r="W286" t="s">
        <v>134</v>
      </c>
      <c r="X286" t="s">
        <v>134</v>
      </c>
      <c r="Y286" t="s">
        <v>134</v>
      </c>
      <c r="Z286" t="s">
        <v>134</v>
      </c>
      <c r="AA286" t="s">
        <v>134</v>
      </c>
      <c r="AB286" t="s">
        <v>134</v>
      </c>
      <c r="AC286" t="s">
        <v>134</v>
      </c>
      <c r="AD286" t="s">
        <v>134</v>
      </c>
      <c r="AE286" t="s">
        <v>134</v>
      </c>
      <c r="AF286" t="s">
        <v>134</v>
      </c>
      <c r="AG286" t="s">
        <v>134</v>
      </c>
      <c r="AH286" t="s">
        <v>134</v>
      </c>
      <c r="AI286" t="s">
        <v>134</v>
      </c>
      <c r="AJ286" t="s">
        <v>134</v>
      </c>
      <c r="AK286" t="s">
        <v>134</v>
      </c>
      <c r="AL286" t="s">
        <v>134</v>
      </c>
      <c r="AM286" t="s">
        <v>134</v>
      </c>
      <c r="AN286" t="s">
        <v>134</v>
      </c>
      <c r="AO286" t="s">
        <v>134</v>
      </c>
      <c r="AP286" t="s">
        <v>134</v>
      </c>
      <c r="AQ286" t="s">
        <v>134</v>
      </c>
      <c r="AR286" t="s">
        <v>134</v>
      </c>
      <c r="AS286" t="s">
        <v>134</v>
      </c>
      <c r="AT286" t="s">
        <v>134</v>
      </c>
      <c r="AU286" t="s">
        <v>134</v>
      </c>
      <c r="AV286" t="s">
        <v>134</v>
      </c>
      <c r="AW286" t="s">
        <v>134</v>
      </c>
      <c r="AX286" t="s">
        <v>134</v>
      </c>
      <c r="AY286" t="s">
        <v>134</v>
      </c>
      <c r="AZ286" t="s">
        <v>134</v>
      </c>
      <c r="BA286" t="s">
        <v>134</v>
      </c>
      <c r="BB286" t="s">
        <v>134</v>
      </c>
      <c r="BC286" t="s">
        <v>134</v>
      </c>
      <c r="BD286" t="s">
        <v>134</v>
      </c>
      <c r="BE286" t="s">
        <v>134</v>
      </c>
      <c r="BF286" t="s">
        <v>134</v>
      </c>
      <c r="BG286" t="s">
        <v>134</v>
      </c>
      <c r="BH286" t="s">
        <v>134</v>
      </c>
      <c r="BI286" t="s">
        <v>134</v>
      </c>
      <c r="BJ286" t="s">
        <v>134</v>
      </c>
      <c r="BK286" t="s">
        <v>134</v>
      </c>
      <c r="BL286" t="s">
        <v>134</v>
      </c>
      <c r="BM286" t="s">
        <v>134</v>
      </c>
      <c r="BN286" t="s">
        <v>134</v>
      </c>
      <c r="BO286" t="s">
        <v>134</v>
      </c>
      <c r="BP286" t="s">
        <v>134</v>
      </c>
      <c r="BQ286" t="s">
        <v>134</v>
      </c>
      <c r="BR286" t="s">
        <v>134</v>
      </c>
      <c r="BS286" t="s">
        <v>134</v>
      </c>
      <c r="BT286" t="s">
        <v>134</v>
      </c>
      <c r="BU286" t="s">
        <v>134</v>
      </c>
      <c r="BV286" t="s">
        <v>134</v>
      </c>
      <c r="BW286" t="s">
        <v>134</v>
      </c>
      <c r="BX286" t="s">
        <v>134</v>
      </c>
      <c r="BY286" t="s">
        <v>134</v>
      </c>
      <c r="BZ286" t="s">
        <v>134</v>
      </c>
      <c r="CA286" t="s">
        <v>134</v>
      </c>
      <c r="CB286" t="s">
        <v>134</v>
      </c>
      <c r="CC286" t="s">
        <v>134</v>
      </c>
      <c r="CD286" t="s">
        <v>134</v>
      </c>
      <c r="CE286" t="s">
        <v>134</v>
      </c>
      <c r="CF286" t="s">
        <v>134</v>
      </c>
      <c r="CG286" t="s">
        <v>134</v>
      </c>
      <c r="CH286" t="s">
        <v>134</v>
      </c>
      <c r="CI286" t="s">
        <v>134</v>
      </c>
      <c r="CJ286" t="s">
        <v>134</v>
      </c>
      <c r="CK286" t="s">
        <v>134</v>
      </c>
      <c r="CL286" t="s">
        <v>134</v>
      </c>
      <c r="CM286" t="s">
        <v>134</v>
      </c>
      <c r="CN286" t="s">
        <v>134</v>
      </c>
      <c r="CO286" t="s">
        <v>134</v>
      </c>
      <c r="CP286" t="s">
        <v>134</v>
      </c>
      <c r="CQ286" t="s">
        <v>134</v>
      </c>
      <c r="CR286" t="s">
        <v>134</v>
      </c>
      <c r="CS286" t="s">
        <v>134</v>
      </c>
      <c r="CT286" t="s">
        <v>134</v>
      </c>
      <c r="CU286" t="s">
        <v>134</v>
      </c>
      <c r="CV286" t="s">
        <v>134</v>
      </c>
      <c r="CW286" t="s">
        <v>134</v>
      </c>
      <c r="CX286" t="s">
        <v>134</v>
      </c>
      <c r="CY286" t="s">
        <v>134</v>
      </c>
      <c r="CZ286" t="s">
        <v>134</v>
      </c>
      <c r="DA286" t="s">
        <v>134</v>
      </c>
      <c r="DB286" t="s">
        <v>134</v>
      </c>
      <c r="DC286" t="s">
        <v>134</v>
      </c>
      <c r="DD286" t="s">
        <v>134</v>
      </c>
      <c r="DE286" t="s">
        <v>134</v>
      </c>
      <c r="DF286" t="s">
        <v>134</v>
      </c>
      <c r="DG286" t="s">
        <v>134</v>
      </c>
      <c r="DH286" t="s">
        <v>134</v>
      </c>
      <c r="DI286" t="s">
        <v>134</v>
      </c>
    </row>
    <row r="287" spans="1:113" x14ac:dyDescent="0.3">
      <c r="E287" t="s">
        <v>7</v>
      </c>
      <c r="F287" t="s">
        <v>134</v>
      </c>
      <c r="G287" t="s">
        <v>134</v>
      </c>
      <c r="H287" t="s">
        <v>134</v>
      </c>
      <c r="I287" t="s">
        <v>134</v>
      </c>
      <c r="J287" t="s">
        <v>134</v>
      </c>
      <c r="K287" t="s">
        <v>134</v>
      </c>
      <c r="L287" t="s">
        <v>134</v>
      </c>
      <c r="M287" t="s">
        <v>134</v>
      </c>
      <c r="N287" t="s">
        <v>134</v>
      </c>
      <c r="O287" t="s">
        <v>134</v>
      </c>
      <c r="P287" t="s">
        <v>134</v>
      </c>
      <c r="Q287" t="s">
        <v>134</v>
      </c>
      <c r="R287" t="s">
        <v>134</v>
      </c>
      <c r="S287" t="s">
        <v>134</v>
      </c>
      <c r="T287" t="s">
        <v>134</v>
      </c>
      <c r="U287" t="s">
        <v>134</v>
      </c>
      <c r="V287" t="s">
        <v>134</v>
      </c>
      <c r="W287" t="s">
        <v>134</v>
      </c>
      <c r="X287" t="s">
        <v>134</v>
      </c>
      <c r="Y287" t="s">
        <v>134</v>
      </c>
      <c r="Z287" t="s">
        <v>134</v>
      </c>
      <c r="AA287" t="s">
        <v>134</v>
      </c>
      <c r="AB287" t="s">
        <v>134</v>
      </c>
      <c r="AC287" t="s">
        <v>134</v>
      </c>
      <c r="AD287" t="s">
        <v>134</v>
      </c>
      <c r="AE287" t="s">
        <v>134</v>
      </c>
      <c r="AF287" t="s">
        <v>134</v>
      </c>
      <c r="AG287" t="s">
        <v>134</v>
      </c>
      <c r="AH287" t="s">
        <v>134</v>
      </c>
      <c r="AI287" t="s">
        <v>134</v>
      </c>
      <c r="AJ287" t="s">
        <v>134</v>
      </c>
      <c r="AK287" t="s">
        <v>134</v>
      </c>
      <c r="AL287" t="s">
        <v>134</v>
      </c>
      <c r="AM287" t="s">
        <v>134</v>
      </c>
      <c r="AN287" t="s">
        <v>134</v>
      </c>
      <c r="AO287" t="s">
        <v>134</v>
      </c>
      <c r="AP287" t="s">
        <v>134</v>
      </c>
      <c r="AQ287" t="s">
        <v>134</v>
      </c>
      <c r="AR287" t="s">
        <v>134</v>
      </c>
      <c r="AS287" t="s">
        <v>134</v>
      </c>
      <c r="AT287" t="s">
        <v>134</v>
      </c>
      <c r="AU287" t="s">
        <v>134</v>
      </c>
      <c r="AV287" t="s">
        <v>134</v>
      </c>
      <c r="AW287" t="s">
        <v>134</v>
      </c>
      <c r="AX287" t="s">
        <v>134</v>
      </c>
      <c r="AY287" t="s">
        <v>134</v>
      </c>
      <c r="AZ287" t="s">
        <v>134</v>
      </c>
      <c r="BA287" t="s">
        <v>134</v>
      </c>
      <c r="BB287" t="s">
        <v>134</v>
      </c>
      <c r="BC287" t="s">
        <v>134</v>
      </c>
      <c r="BD287" t="s">
        <v>134</v>
      </c>
      <c r="BE287" t="s">
        <v>134</v>
      </c>
      <c r="BF287" t="s">
        <v>134</v>
      </c>
      <c r="BG287" t="s">
        <v>134</v>
      </c>
      <c r="BH287" t="s">
        <v>134</v>
      </c>
      <c r="BI287" t="s">
        <v>134</v>
      </c>
      <c r="BJ287" t="s">
        <v>134</v>
      </c>
      <c r="BK287" t="s">
        <v>134</v>
      </c>
      <c r="BL287" t="s">
        <v>134</v>
      </c>
      <c r="BM287" t="s">
        <v>134</v>
      </c>
      <c r="BN287" t="s">
        <v>134</v>
      </c>
      <c r="BO287" t="s">
        <v>134</v>
      </c>
      <c r="BP287" t="s">
        <v>134</v>
      </c>
      <c r="BQ287" t="s">
        <v>134</v>
      </c>
      <c r="BR287" t="s">
        <v>134</v>
      </c>
      <c r="BS287" t="s">
        <v>134</v>
      </c>
      <c r="BT287" t="s">
        <v>134</v>
      </c>
      <c r="BU287" t="s">
        <v>134</v>
      </c>
      <c r="BV287" t="s">
        <v>134</v>
      </c>
      <c r="BW287" t="s">
        <v>134</v>
      </c>
      <c r="BX287" t="s">
        <v>134</v>
      </c>
      <c r="BY287" t="s">
        <v>134</v>
      </c>
      <c r="BZ287" t="s">
        <v>134</v>
      </c>
      <c r="CA287" t="s">
        <v>134</v>
      </c>
      <c r="CB287" t="s">
        <v>134</v>
      </c>
      <c r="CC287" t="s">
        <v>134</v>
      </c>
      <c r="CD287" t="s">
        <v>134</v>
      </c>
      <c r="CE287" t="s">
        <v>134</v>
      </c>
      <c r="CF287" t="s">
        <v>134</v>
      </c>
      <c r="CG287" t="s">
        <v>134</v>
      </c>
      <c r="CH287" t="s">
        <v>134</v>
      </c>
      <c r="CI287" t="s">
        <v>134</v>
      </c>
      <c r="CJ287" t="s">
        <v>134</v>
      </c>
      <c r="CK287" t="s">
        <v>134</v>
      </c>
      <c r="CL287" t="s">
        <v>134</v>
      </c>
      <c r="CM287" t="s">
        <v>134</v>
      </c>
      <c r="CN287" t="s">
        <v>134</v>
      </c>
      <c r="CO287" t="s">
        <v>134</v>
      </c>
      <c r="CP287" t="s">
        <v>134</v>
      </c>
      <c r="CQ287" t="s">
        <v>134</v>
      </c>
      <c r="CR287" t="s">
        <v>134</v>
      </c>
      <c r="CS287" t="s">
        <v>134</v>
      </c>
      <c r="CT287" t="s">
        <v>134</v>
      </c>
      <c r="CU287" t="s">
        <v>134</v>
      </c>
      <c r="CV287" t="s">
        <v>134</v>
      </c>
      <c r="CW287" t="s">
        <v>134</v>
      </c>
      <c r="CX287" t="s">
        <v>134</v>
      </c>
      <c r="CY287" t="s">
        <v>134</v>
      </c>
      <c r="CZ287" t="s">
        <v>134</v>
      </c>
      <c r="DA287" t="s">
        <v>134</v>
      </c>
      <c r="DB287" t="s">
        <v>134</v>
      </c>
      <c r="DC287" t="s">
        <v>134</v>
      </c>
      <c r="DD287" t="s">
        <v>134</v>
      </c>
      <c r="DE287" t="s">
        <v>134</v>
      </c>
      <c r="DF287" t="s">
        <v>134</v>
      </c>
      <c r="DG287" t="s">
        <v>134</v>
      </c>
      <c r="DH287" t="s">
        <v>134</v>
      </c>
      <c r="DI287" t="s">
        <v>134</v>
      </c>
    </row>
    <row r="288" spans="1:113" x14ac:dyDescent="0.3">
      <c r="D288" t="s">
        <v>9</v>
      </c>
      <c r="E288" t="s">
        <v>3</v>
      </c>
      <c r="F288" t="s">
        <v>134</v>
      </c>
      <c r="G288" t="s">
        <v>134</v>
      </c>
      <c r="H288" t="s">
        <v>134</v>
      </c>
      <c r="I288" t="s">
        <v>134</v>
      </c>
      <c r="J288" t="s">
        <v>134</v>
      </c>
      <c r="K288" t="s">
        <v>134</v>
      </c>
      <c r="L288" t="s">
        <v>134</v>
      </c>
      <c r="M288" t="s">
        <v>134</v>
      </c>
      <c r="N288" t="s">
        <v>134</v>
      </c>
      <c r="O288" t="s">
        <v>134</v>
      </c>
      <c r="P288" t="s">
        <v>134</v>
      </c>
      <c r="Q288" t="s">
        <v>134</v>
      </c>
      <c r="R288" t="s">
        <v>134</v>
      </c>
      <c r="S288" t="s">
        <v>134</v>
      </c>
      <c r="T288" t="s">
        <v>134</v>
      </c>
      <c r="U288" t="s">
        <v>134</v>
      </c>
      <c r="V288" t="s">
        <v>134</v>
      </c>
      <c r="W288" t="s">
        <v>134</v>
      </c>
      <c r="X288" t="s">
        <v>134</v>
      </c>
      <c r="Y288" t="s">
        <v>134</v>
      </c>
      <c r="Z288" t="s">
        <v>134</v>
      </c>
      <c r="AA288" t="s">
        <v>134</v>
      </c>
      <c r="AB288" t="s">
        <v>134</v>
      </c>
      <c r="AC288" t="s">
        <v>134</v>
      </c>
      <c r="AD288" t="s">
        <v>134</v>
      </c>
      <c r="AE288" t="s">
        <v>134</v>
      </c>
      <c r="AF288" t="s">
        <v>134</v>
      </c>
      <c r="AG288" t="s">
        <v>134</v>
      </c>
      <c r="AH288" t="s">
        <v>134</v>
      </c>
      <c r="AI288" t="s">
        <v>134</v>
      </c>
      <c r="AJ288" t="s">
        <v>134</v>
      </c>
      <c r="AK288" t="s">
        <v>134</v>
      </c>
      <c r="AL288" t="s">
        <v>134</v>
      </c>
      <c r="AM288" t="s">
        <v>134</v>
      </c>
      <c r="AN288" t="s">
        <v>134</v>
      </c>
      <c r="AO288" t="s">
        <v>134</v>
      </c>
      <c r="AP288" t="s">
        <v>134</v>
      </c>
      <c r="AQ288" t="s">
        <v>134</v>
      </c>
      <c r="AR288" t="s">
        <v>134</v>
      </c>
      <c r="AS288" t="s">
        <v>134</v>
      </c>
      <c r="AT288" t="s">
        <v>134</v>
      </c>
      <c r="AU288" t="s">
        <v>134</v>
      </c>
      <c r="AV288" t="s">
        <v>134</v>
      </c>
      <c r="AW288" t="s">
        <v>134</v>
      </c>
      <c r="AX288" t="s">
        <v>134</v>
      </c>
      <c r="AY288" t="s">
        <v>134</v>
      </c>
      <c r="AZ288" t="s">
        <v>134</v>
      </c>
      <c r="BA288" t="s">
        <v>134</v>
      </c>
      <c r="BB288" t="s">
        <v>134</v>
      </c>
      <c r="BC288" t="s">
        <v>134</v>
      </c>
      <c r="BD288" t="s">
        <v>134</v>
      </c>
      <c r="BE288" t="s">
        <v>134</v>
      </c>
      <c r="BF288" t="s">
        <v>134</v>
      </c>
      <c r="BG288" t="s">
        <v>134</v>
      </c>
      <c r="BH288" t="s">
        <v>134</v>
      </c>
      <c r="BI288" t="s">
        <v>134</v>
      </c>
      <c r="BJ288" t="s">
        <v>134</v>
      </c>
      <c r="BK288" t="s">
        <v>134</v>
      </c>
      <c r="BL288" t="s">
        <v>134</v>
      </c>
      <c r="BM288" t="s">
        <v>134</v>
      </c>
      <c r="BN288" t="s">
        <v>134</v>
      </c>
      <c r="BO288" t="s">
        <v>134</v>
      </c>
      <c r="BP288" t="s">
        <v>134</v>
      </c>
      <c r="BQ288" t="s">
        <v>134</v>
      </c>
      <c r="BR288" t="s">
        <v>134</v>
      </c>
      <c r="BS288" t="s">
        <v>134</v>
      </c>
      <c r="BT288" t="s">
        <v>134</v>
      </c>
      <c r="BU288" t="s">
        <v>134</v>
      </c>
      <c r="BV288" t="s">
        <v>134</v>
      </c>
      <c r="BW288" t="s">
        <v>134</v>
      </c>
      <c r="BX288" t="s">
        <v>134</v>
      </c>
      <c r="BY288">
        <v>24625.4</v>
      </c>
      <c r="BZ288">
        <v>9774.5</v>
      </c>
      <c r="CA288">
        <v>14850.9</v>
      </c>
      <c r="CB288" t="s">
        <v>134</v>
      </c>
      <c r="CC288" t="s">
        <v>134</v>
      </c>
      <c r="CD288" t="s">
        <v>134</v>
      </c>
      <c r="CE288" t="s">
        <v>134</v>
      </c>
      <c r="CF288" t="s">
        <v>134</v>
      </c>
      <c r="CG288">
        <v>53.182600000000001</v>
      </c>
      <c r="CH288">
        <v>21.6616</v>
      </c>
      <c r="CI288">
        <v>15.937100000000001</v>
      </c>
      <c r="CJ288">
        <v>11.5204</v>
      </c>
      <c r="CK288">
        <v>35.918700000000001</v>
      </c>
      <c r="CL288">
        <v>26.426600000000001</v>
      </c>
      <c r="CM288">
        <v>19.102799999999998</v>
      </c>
      <c r="CN288">
        <v>7.0513000000000003</v>
      </c>
      <c r="CO288">
        <v>6.5869</v>
      </c>
      <c r="CP288" t="s">
        <v>134</v>
      </c>
      <c r="CQ288" t="s">
        <v>134</v>
      </c>
      <c r="CR288" t="s">
        <v>134</v>
      </c>
      <c r="CS288">
        <v>0.68369999999999997</v>
      </c>
      <c r="CT288">
        <v>2.0924</v>
      </c>
      <c r="CU288">
        <v>1.3189</v>
      </c>
      <c r="CV288">
        <v>2.6528999999999998</v>
      </c>
      <c r="CW288" t="s">
        <v>134</v>
      </c>
      <c r="CX288" t="s">
        <v>134</v>
      </c>
      <c r="CY288" t="s">
        <v>134</v>
      </c>
      <c r="CZ288" t="s">
        <v>134</v>
      </c>
      <c r="DA288" t="s">
        <v>134</v>
      </c>
      <c r="DB288" t="s">
        <v>134</v>
      </c>
      <c r="DC288" t="s">
        <v>134</v>
      </c>
      <c r="DD288" t="s">
        <v>134</v>
      </c>
      <c r="DE288">
        <v>18998.099999999999</v>
      </c>
      <c r="DF288">
        <v>7417</v>
      </c>
      <c r="DG288">
        <v>1484.4</v>
      </c>
      <c r="DH288">
        <v>7522</v>
      </c>
      <c r="DI288">
        <v>2574.6999999999998</v>
      </c>
    </row>
    <row r="289" spans="1:113" x14ac:dyDescent="0.3">
      <c r="E289" t="s">
        <v>4</v>
      </c>
      <c r="F289" t="s">
        <v>134</v>
      </c>
      <c r="G289" t="s">
        <v>134</v>
      </c>
      <c r="H289" t="s">
        <v>134</v>
      </c>
      <c r="I289" t="s">
        <v>134</v>
      </c>
      <c r="J289" t="s">
        <v>134</v>
      </c>
      <c r="K289" t="s">
        <v>134</v>
      </c>
      <c r="L289" t="s">
        <v>134</v>
      </c>
      <c r="M289" t="s">
        <v>134</v>
      </c>
      <c r="N289" t="s">
        <v>134</v>
      </c>
      <c r="O289" t="s">
        <v>134</v>
      </c>
      <c r="P289" t="s">
        <v>134</v>
      </c>
      <c r="Q289" t="s">
        <v>134</v>
      </c>
      <c r="R289" t="s">
        <v>134</v>
      </c>
      <c r="S289" t="s">
        <v>134</v>
      </c>
      <c r="T289" t="s">
        <v>134</v>
      </c>
      <c r="U289" t="s">
        <v>134</v>
      </c>
      <c r="V289" t="s">
        <v>134</v>
      </c>
      <c r="W289" t="s">
        <v>134</v>
      </c>
      <c r="X289" t="s">
        <v>134</v>
      </c>
      <c r="Y289" t="s">
        <v>134</v>
      </c>
      <c r="Z289" t="s">
        <v>134</v>
      </c>
      <c r="AA289" t="s">
        <v>134</v>
      </c>
      <c r="AB289" t="s">
        <v>134</v>
      </c>
      <c r="AC289" t="s">
        <v>134</v>
      </c>
      <c r="AD289" t="s">
        <v>134</v>
      </c>
      <c r="AE289" t="s">
        <v>134</v>
      </c>
      <c r="AF289" t="s">
        <v>134</v>
      </c>
      <c r="AG289" t="s">
        <v>134</v>
      </c>
      <c r="AH289" t="s">
        <v>134</v>
      </c>
      <c r="AI289" t="s">
        <v>134</v>
      </c>
      <c r="AJ289" t="s">
        <v>134</v>
      </c>
      <c r="AK289" t="s">
        <v>134</v>
      </c>
      <c r="AL289" t="s">
        <v>134</v>
      </c>
      <c r="AM289" t="s">
        <v>134</v>
      </c>
      <c r="AN289" t="s">
        <v>134</v>
      </c>
      <c r="AO289" t="s">
        <v>134</v>
      </c>
      <c r="AP289" t="s">
        <v>134</v>
      </c>
      <c r="AQ289" t="s">
        <v>134</v>
      </c>
      <c r="AR289" t="s">
        <v>134</v>
      </c>
      <c r="AS289" t="s">
        <v>134</v>
      </c>
      <c r="AT289" t="s">
        <v>134</v>
      </c>
      <c r="AU289" t="s">
        <v>134</v>
      </c>
      <c r="AV289" t="s">
        <v>134</v>
      </c>
      <c r="AW289" t="s">
        <v>134</v>
      </c>
      <c r="AX289" t="s">
        <v>134</v>
      </c>
      <c r="AY289" t="s">
        <v>134</v>
      </c>
      <c r="AZ289" t="s">
        <v>134</v>
      </c>
      <c r="BA289" t="s">
        <v>134</v>
      </c>
      <c r="BB289" t="s">
        <v>134</v>
      </c>
      <c r="BC289" t="s">
        <v>134</v>
      </c>
      <c r="BD289" t="s">
        <v>134</v>
      </c>
      <c r="BE289" t="s">
        <v>134</v>
      </c>
      <c r="BF289" t="s">
        <v>134</v>
      </c>
      <c r="BG289" t="s">
        <v>134</v>
      </c>
      <c r="BH289" t="s">
        <v>134</v>
      </c>
      <c r="BI289" t="s">
        <v>134</v>
      </c>
      <c r="BJ289" t="s">
        <v>134</v>
      </c>
      <c r="BK289" t="s">
        <v>134</v>
      </c>
      <c r="BL289" t="s">
        <v>134</v>
      </c>
      <c r="BM289" t="s">
        <v>134</v>
      </c>
      <c r="BN289" t="s">
        <v>134</v>
      </c>
      <c r="BO289" t="s">
        <v>134</v>
      </c>
      <c r="BP289" t="s">
        <v>134</v>
      </c>
      <c r="BQ289" t="s">
        <v>134</v>
      </c>
      <c r="BR289" t="s">
        <v>134</v>
      </c>
      <c r="BS289" t="s">
        <v>134</v>
      </c>
      <c r="BT289" t="s">
        <v>134</v>
      </c>
      <c r="BU289" t="s">
        <v>134</v>
      </c>
      <c r="BV289" t="s">
        <v>134</v>
      </c>
      <c r="BW289" t="s">
        <v>134</v>
      </c>
      <c r="BX289" t="s">
        <v>134</v>
      </c>
      <c r="BY289" t="s">
        <v>134</v>
      </c>
      <c r="BZ289" t="s">
        <v>134</v>
      </c>
      <c r="CA289" t="s">
        <v>134</v>
      </c>
      <c r="CB289" t="s">
        <v>134</v>
      </c>
      <c r="CC289" t="s">
        <v>134</v>
      </c>
      <c r="CD289" t="s">
        <v>134</v>
      </c>
      <c r="CE289" t="s">
        <v>134</v>
      </c>
      <c r="CF289" t="s">
        <v>134</v>
      </c>
      <c r="CG289" t="s">
        <v>134</v>
      </c>
      <c r="CH289" t="s">
        <v>134</v>
      </c>
      <c r="CI289" t="s">
        <v>134</v>
      </c>
      <c r="CJ289" t="s">
        <v>134</v>
      </c>
      <c r="CK289" t="s">
        <v>134</v>
      </c>
      <c r="CL289" t="s">
        <v>134</v>
      </c>
      <c r="CM289" t="s">
        <v>134</v>
      </c>
      <c r="CN289" t="s">
        <v>134</v>
      </c>
      <c r="CO289" t="s">
        <v>134</v>
      </c>
      <c r="CP289" t="s">
        <v>134</v>
      </c>
      <c r="CQ289" t="s">
        <v>134</v>
      </c>
      <c r="CR289" t="s">
        <v>134</v>
      </c>
      <c r="CS289" t="s">
        <v>134</v>
      </c>
      <c r="CT289" t="s">
        <v>134</v>
      </c>
      <c r="CU289" t="s">
        <v>134</v>
      </c>
      <c r="CV289" t="s">
        <v>134</v>
      </c>
      <c r="CW289" t="s">
        <v>134</v>
      </c>
      <c r="CX289" t="s">
        <v>134</v>
      </c>
      <c r="CY289" t="s">
        <v>134</v>
      </c>
      <c r="CZ289" t="s">
        <v>134</v>
      </c>
      <c r="DA289" t="s">
        <v>134</v>
      </c>
      <c r="DB289" t="s">
        <v>134</v>
      </c>
      <c r="DC289" t="s">
        <v>134</v>
      </c>
      <c r="DD289" t="s">
        <v>134</v>
      </c>
      <c r="DE289" t="s">
        <v>134</v>
      </c>
      <c r="DF289" t="s">
        <v>134</v>
      </c>
      <c r="DG289" t="s">
        <v>134</v>
      </c>
      <c r="DH289" t="s">
        <v>134</v>
      </c>
      <c r="DI289" t="s">
        <v>134</v>
      </c>
    </row>
    <row r="290" spans="1:113" x14ac:dyDescent="0.3">
      <c r="E290" t="s">
        <v>5</v>
      </c>
      <c r="F290" t="s">
        <v>134</v>
      </c>
      <c r="G290" t="s">
        <v>134</v>
      </c>
      <c r="H290" t="s">
        <v>134</v>
      </c>
      <c r="I290" t="s">
        <v>134</v>
      </c>
      <c r="J290" t="s">
        <v>134</v>
      </c>
      <c r="K290" t="s">
        <v>134</v>
      </c>
      <c r="L290" t="s">
        <v>134</v>
      </c>
      <c r="M290" t="s">
        <v>134</v>
      </c>
      <c r="N290" t="s">
        <v>134</v>
      </c>
      <c r="O290" t="s">
        <v>134</v>
      </c>
      <c r="P290" t="s">
        <v>134</v>
      </c>
      <c r="Q290" t="s">
        <v>134</v>
      </c>
      <c r="R290" t="s">
        <v>134</v>
      </c>
      <c r="S290" t="s">
        <v>134</v>
      </c>
      <c r="T290" t="s">
        <v>134</v>
      </c>
      <c r="U290" t="s">
        <v>134</v>
      </c>
      <c r="V290" t="s">
        <v>134</v>
      </c>
      <c r="W290" t="s">
        <v>134</v>
      </c>
      <c r="X290" t="s">
        <v>134</v>
      </c>
      <c r="Y290" t="s">
        <v>134</v>
      </c>
      <c r="Z290" t="s">
        <v>134</v>
      </c>
      <c r="AA290" t="s">
        <v>134</v>
      </c>
      <c r="AB290" t="s">
        <v>134</v>
      </c>
      <c r="AC290" t="s">
        <v>134</v>
      </c>
      <c r="AD290" t="s">
        <v>134</v>
      </c>
      <c r="AE290" t="s">
        <v>134</v>
      </c>
      <c r="AF290" t="s">
        <v>134</v>
      </c>
      <c r="AG290" t="s">
        <v>134</v>
      </c>
      <c r="AH290" t="s">
        <v>134</v>
      </c>
      <c r="AI290" t="s">
        <v>134</v>
      </c>
      <c r="AJ290" t="s">
        <v>134</v>
      </c>
      <c r="AK290" t="s">
        <v>134</v>
      </c>
      <c r="AL290" t="s">
        <v>134</v>
      </c>
      <c r="AM290" t="s">
        <v>134</v>
      </c>
      <c r="AN290" t="s">
        <v>134</v>
      </c>
      <c r="AO290" t="s">
        <v>134</v>
      </c>
      <c r="AP290" t="s">
        <v>134</v>
      </c>
      <c r="AQ290" t="s">
        <v>134</v>
      </c>
      <c r="AR290" t="s">
        <v>134</v>
      </c>
      <c r="AS290" t="s">
        <v>134</v>
      </c>
      <c r="AT290" t="s">
        <v>134</v>
      </c>
      <c r="AU290" t="s">
        <v>134</v>
      </c>
      <c r="AV290" t="s">
        <v>134</v>
      </c>
      <c r="AW290" t="s">
        <v>134</v>
      </c>
      <c r="AX290" t="s">
        <v>134</v>
      </c>
      <c r="AY290" t="s">
        <v>134</v>
      </c>
      <c r="AZ290" t="s">
        <v>134</v>
      </c>
      <c r="BA290" t="s">
        <v>134</v>
      </c>
      <c r="BB290" t="s">
        <v>134</v>
      </c>
      <c r="BC290" t="s">
        <v>134</v>
      </c>
      <c r="BD290" t="s">
        <v>134</v>
      </c>
      <c r="BE290" t="s">
        <v>134</v>
      </c>
      <c r="BF290" t="s">
        <v>134</v>
      </c>
      <c r="BG290" t="s">
        <v>134</v>
      </c>
      <c r="BH290" t="s">
        <v>134</v>
      </c>
      <c r="BI290" t="s">
        <v>134</v>
      </c>
      <c r="BJ290" t="s">
        <v>134</v>
      </c>
      <c r="BK290" t="s">
        <v>134</v>
      </c>
      <c r="BL290" t="s">
        <v>134</v>
      </c>
      <c r="BM290" t="s">
        <v>134</v>
      </c>
      <c r="BN290" t="s">
        <v>134</v>
      </c>
      <c r="BO290" t="s">
        <v>134</v>
      </c>
      <c r="BP290" t="s">
        <v>134</v>
      </c>
      <c r="BQ290" t="s">
        <v>134</v>
      </c>
      <c r="BR290" t="s">
        <v>134</v>
      </c>
      <c r="BS290" t="s">
        <v>134</v>
      </c>
      <c r="BT290" t="s">
        <v>134</v>
      </c>
      <c r="BU290" t="s">
        <v>134</v>
      </c>
      <c r="BV290" t="s">
        <v>134</v>
      </c>
      <c r="BW290" t="s">
        <v>134</v>
      </c>
      <c r="BX290" t="s">
        <v>134</v>
      </c>
      <c r="BY290" t="s">
        <v>134</v>
      </c>
      <c r="BZ290" t="s">
        <v>134</v>
      </c>
      <c r="CA290" t="s">
        <v>134</v>
      </c>
      <c r="CB290" t="s">
        <v>134</v>
      </c>
      <c r="CC290" t="s">
        <v>134</v>
      </c>
      <c r="CD290" t="s">
        <v>134</v>
      </c>
      <c r="CE290" t="s">
        <v>134</v>
      </c>
      <c r="CF290" t="s">
        <v>134</v>
      </c>
      <c r="CG290" t="s">
        <v>134</v>
      </c>
      <c r="CH290" t="s">
        <v>134</v>
      </c>
      <c r="CI290" t="s">
        <v>134</v>
      </c>
      <c r="CJ290" t="s">
        <v>134</v>
      </c>
      <c r="CK290" t="s">
        <v>134</v>
      </c>
      <c r="CL290" t="s">
        <v>134</v>
      </c>
      <c r="CM290" t="s">
        <v>134</v>
      </c>
      <c r="CN290" t="s">
        <v>134</v>
      </c>
      <c r="CO290" t="s">
        <v>134</v>
      </c>
      <c r="CP290" t="s">
        <v>134</v>
      </c>
      <c r="CQ290" t="s">
        <v>134</v>
      </c>
      <c r="CR290" t="s">
        <v>134</v>
      </c>
      <c r="CS290" t="s">
        <v>134</v>
      </c>
      <c r="CT290" t="s">
        <v>134</v>
      </c>
      <c r="CU290" t="s">
        <v>134</v>
      </c>
      <c r="CV290" t="s">
        <v>134</v>
      </c>
      <c r="CW290" t="s">
        <v>134</v>
      </c>
      <c r="CX290" t="s">
        <v>134</v>
      </c>
      <c r="CY290" t="s">
        <v>134</v>
      </c>
      <c r="CZ290" t="s">
        <v>134</v>
      </c>
      <c r="DA290" t="s">
        <v>134</v>
      </c>
      <c r="DB290" t="s">
        <v>134</v>
      </c>
      <c r="DC290" t="s">
        <v>134</v>
      </c>
      <c r="DD290" t="s">
        <v>134</v>
      </c>
      <c r="DE290" t="s">
        <v>134</v>
      </c>
      <c r="DF290" t="s">
        <v>134</v>
      </c>
      <c r="DG290" t="s">
        <v>134</v>
      </c>
      <c r="DH290" t="s">
        <v>134</v>
      </c>
      <c r="DI290" t="s">
        <v>134</v>
      </c>
    </row>
    <row r="291" spans="1:113" x14ac:dyDescent="0.3">
      <c r="E291" t="s">
        <v>6</v>
      </c>
      <c r="F291" t="s">
        <v>134</v>
      </c>
      <c r="G291" t="s">
        <v>134</v>
      </c>
      <c r="H291" t="s">
        <v>134</v>
      </c>
      <c r="I291" t="s">
        <v>134</v>
      </c>
      <c r="J291" t="s">
        <v>134</v>
      </c>
      <c r="K291" t="s">
        <v>134</v>
      </c>
      <c r="L291" t="s">
        <v>134</v>
      </c>
      <c r="M291" t="s">
        <v>134</v>
      </c>
      <c r="N291" t="s">
        <v>134</v>
      </c>
      <c r="O291" t="s">
        <v>134</v>
      </c>
      <c r="P291" t="s">
        <v>134</v>
      </c>
      <c r="Q291" t="s">
        <v>134</v>
      </c>
      <c r="R291" t="s">
        <v>134</v>
      </c>
      <c r="S291" t="s">
        <v>134</v>
      </c>
      <c r="T291" t="s">
        <v>134</v>
      </c>
      <c r="U291" t="s">
        <v>134</v>
      </c>
      <c r="V291" t="s">
        <v>134</v>
      </c>
      <c r="W291" t="s">
        <v>134</v>
      </c>
      <c r="X291" t="s">
        <v>134</v>
      </c>
      <c r="Y291" t="s">
        <v>134</v>
      </c>
      <c r="Z291" t="s">
        <v>134</v>
      </c>
      <c r="AA291" t="s">
        <v>134</v>
      </c>
      <c r="AB291" t="s">
        <v>134</v>
      </c>
      <c r="AC291" t="s">
        <v>134</v>
      </c>
      <c r="AD291" t="s">
        <v>134</v>
      </c>
      <c r="AE291" t="s">
        <v>134</v>
      </c>
      <c r="AF291" t="s">
        <v>134</v>
      </c>
      <c r="AG291" t="s">
        <v>134</v>
      </c>
      <c r="AH291" t="s">
        <v>134</v>
      </c>
      <c r="AI291" t="s">
        <v>134</v>
      </c>
      <c r="AJ291" t="s">
        <v>134</v>
      </c>
      <c r="AK291" t="s">
        <v>134</v>
      </c>
      <c r="AL291" t="s">
        <v>134</v>
      </c>
      <c r="AM291" t="s">
        <v>134</v>
      </c>
      <c r="AN291" t="s">
        <v>134</v>
      </c>
      <c r="AO291" t="s">
        <v>134</v>
      </c>
      <c r="AP291" t="s">
        <v>134</v>
      </c>
      <c r="AQ291" t="s">
        <v>134</v>
      </c>
      <c r="AR291" t="s">
        <v>134</v>
      </c>
      <c r="AS291" t="s">
        <v>134</v>
      </c>
      <c r="AT291" t="s">
        <v>134</v>
      </c>
      <c r="AU291" t="s">
        <v>134</v>
      </c>
      <c r="AV291" t="s">
        <v>134</v>
      </c>
      <c r="AW291" t="s">
        <v>134</v>
      </c>
      <c r="AX291" t="s">
        <v>134</v>
      </c>
      <c r="AY291" t="s">
        <v>134</v>
      </c>
      <c r="AZ291" t="s">
        <v>134</v>
      </c>
      <c r="BA291" t="s">
        <v>134</v>
      </c>
      <c r="BB291" t="s">
        <v>134</v>
      </c>
      <c r="BC291" t="s">
        <v>134</v>
      </c>
      <c r="BD291" t="s">
        <v>134</v>
      </c>
      <c r="BE291" t="s">
        <v>134</v>
      </c>
      <c r="BF291" t="s">
        <v>134</v>
      </c>
      <c r="BG291" t="s">
        <v>134</v>
      </c>
      <c r="BH291" t="s">
        <v>134</v>
      </c>
      <c r="BI291" t="s">
        <v>134</v>
      </c>
      <c r="BJ291" t="s">
        <v>134</v>
      </c>
      <c r="BK291" t="s">
        <v>134</v>
      </c>
      <c r="BL291" t="s">
        <v>134</v>
      </c>
      <c r="BM291" t="s">
        <v>134</v>
      </c>
      <c r="BN291" t="s">
        <v>134</v>
      </c>
      <c r="BO291" t="s">
        <v>134</v>
      </c>
      <c r="BP291" t="s">
        <v>134</v>
      </c>
      <c r="BQ291" t="s">
        <v>134</v>
      </c>
      <c r="BR291" t="s">
        <v>134</v>
      </c>
      <c r="BS291" t="s">
        <v>134</v>
      </c>
      <c r="BT291" t="s">
        <v>134</v>
      </c>
      <c r="BU291" t="s">
        <v>134</v>
      </c>
      <c r="BV291" t="s">
        <v>134</v>
      </c>
      <c r="BW291" t="s">
        <v>134</v>
      </c>
      <c r="BX291" t="s">
        <v>134</v>
      </c>
      <c r="BY291" t="s">
        <v>134</v>
      </c>
      <c r="BZ291" t="s">
        <v>134</v>
      </c>
      <c r="CA291" t="s">
        <v>134</v>
      </c>
      <c r="CB291" t="s">
        <v>134</v>
      </c>
      <c r="CC291" t="s">
        <v>134</v>
      </c>
      <c r="CD291" t="s">
        <v>134</v>
      </c>
      <c r="CE291" t="s">
        <v>134</v>
      </c>
      <c r="CF291" t="s">
        <v>134</v>
      </c>
      <c r="CG291" t="s">
        <v>134</v>
      </c>
      <c r="CH291" t="s">
        <v>134</v>
      </c>
      <c r="CI291" t="s">
        <v>134</v>
      </c>
      <c r="CJ291" t="s">
        <v>134</v>
      </c>
      <c r="CK291" t="s">
        <v>134</v>
      </c>
      <c r="CL291" t="s">
        <v>134</v>
      </c>
      <c r="CM291" t="s">
        <v>134</v>
      </c>
      <c r="CN291" t="s">
        <v>134</v>
      </c>
      <c r="CO291" t="s">
        <v>134</v>
      </c>
      <c r="CP291" t="s">
        <v>134</v>
      </c>
      <c r="CQ291" t="s">
        <v>134</v>
      </c>
      <c r="CR291" t="s">
        <v>134</v>
      </c>
      <c r="CS291" t="s">
        <v>134</v>
      </c>
      <c r="CT291" t="s">
        <v>134</v>
      </c>
      <c r="CU291" t="s">
        <v>134</v>
      </c>
      <c r="CV291" t="s">
        <v>134</v>
      </c>
      <c r="CW291" t="s">
        <v>134</v>
      </c>
      <c r="CX291" t="s">
        <v>134</v>
      </c>
      <c r="CY291" t="s">
        <v>134</v>
      </c>
      <c r="CZ291" t="s">
        <v>134</v>
      </c>
      <c r="DA291" t="s">
        <v>134</v>
      </c>
      <c r="DB291" t="s">
        <v>134</v>
      </c>
      <c r="DC291" t="s">
        <v>134</v>
      </c>
      <c r="DD291" t="s">
        <v>134</v>
      </c>
      <c r="DE291" t="s">
        <v>134</v>
      </c>
      <c r="DF291" t="s">
        <v>134</v>
      </c>
      <c r="DG291" t="s">
        <v>134</v>
      </c>
      <c r="DH291" t="s">
        <v>134</v>
      </c>
      <c r="DI291" t="s">
        <v>134</v>
      </c>
    </row>
    <row r="292" spans="1:113" x14ac:dyDescent="0.3">
      <c r="E292" t="s">
        <v>7</v>
      </c>
      <c r="F292" t="s">
        <v>134</v>
      </c>
      <c r="G292" t="s">
        <v>134</v>
      </c>
      <c r="H292" t="s">
        <v>134</v>
      </c>
      <c r="I292" t="s">
        <v>134</v>
      </c>
      <c r="J292" t="s">
        <v>134</v>
      </c>
      <c r="K292" t="s">
        <v>134</v>
      </c>
      <c r="L292" t="s">
        <v>134</v>
      </c>
      <c r="M292" t="s">
        <v>134</v>
      </c>
      <c r="N292" t="s">
        <v>134</v>
      </c>
      <c r="O292" t="s">
        <v>134</v>
      </c>
      <c r="P292" t="s">
        <v>134</v>
      </c>
      <c r="Q292" t="s">
        <v>134</v>
      </c>
      <c r="R292" t="s">
        <v>134</v>
      </c>
      <c r="S292" t="s">
        <v>134</v>
      </c>
      <c r="T292" t="s">
        <v>134</v>
      </c>
      <c r="U292" t="s">
        <v>134</v>
      </c>
      <c r="V292" t="s">
        <v>134</v>
      </c>
      <c r="W292" t="s">
        <v>134</v>
      </c>
      <c r="X292" t="s">
        <v>134</v>
      </c>
      <c r="Y292" t="s">
        <v>134</v>
      </c>
      <c r="Z292" t="s">
        <v>134</v>
      </c>
      <c r="AA292" t="s">
        <v>134</v>
      </c>
      <c r="AB292" t="s">
        <v>134</v>
      </c>
      <c r="AC292" t="s">
        <v>134</v>
      </c>
      <c r="AD292" t="s">
        <v>134</v>
      </c>
      <c r="AE292" t="s">
        <v>134</v>
      </c>
      <c r="AF292" t="s">
        <v>134</v>
      </c>
      <c r="AG292" t="s">
        <v>134</v>
      </c>
      <c r="AH292" t="s">
        <v>134</v>
      </c>
      <c r="AI292" t="s">
        <v>134</v>
      </c>
      <c r="AJ292" t="s">
        <v>134</v>
      </c>
      <c r="AK292" t="s">
        <v>134</v>
      </c>
      <c r="AL292" t="s">
        <v>134</v>
      </c>
      <c r="AM292" t="s">
        <v>134</v>
      </c>
      <c r="AN292" t="s">
        <v>134</v>
      </c>
      <c r="AO292" t="s">
        <v>134</v>
      </c>
      <c r="AP292" t="s">
        <v>134</v>
      </c>
      <c r="AQ292" t="s">
        <v>134</v>
      </c>
      <c r="AR292" t="s">
        <v>134</v>
      </c>
      <c r="AS292" t="s">
        <v>134</v>
      </c>
      <c r="AT292" t="s">
        <v>134</v>
      </c>
      <c r="AU292" t="s">
        <v>134</v>
      </c>
      <c r="AV292" t="s">
        <v>134</v>
      </c>
      <c r="AW292" t="s">
        <v>134</v>
      </c>
      <c r="AX292" t="s">
        <v>134</v>
      </c>
      <c r="AY292" t="s">
        <v>134</v>
      </c>
      <c r="AZ292" t="s">
        <v>134</v>
      </c>
      <c r="BA292" t="s">
        <v>134</v>
      </c>
      <c r="BB292" t="s">
        <v>134</v>
      </c>
      <c r="BC292" t="s">
        <v>134</v>
      </c>
      <c r="BD292" t="s">
        <v>134</v>
      </c>
      <c r="BE292" t="s">
        <v>134</v>
      </c>
      <c r="BF292" t="s">
        <v>134</v>
      </c>
      <c r="BG292" t="s">
        <v>134</v>
      </c>
      <c r="BH292" t="s">
        <v>134</v>
      </c>
      <c r="BI292" t="s">
        <v>134</v>
      </c>
      <c r="BJ292" t="s">
        <v>134</v>
      </c>
      <c r="BK292" t="s">
        <v>134</v>
      </c>
      <c r="BL292" t="s">
        <v>134</v>
      </c>
      <c r="BM292" t="s">
        <v>134</v>
      </c>
      <c r="BN292" t="s">
        <v>134</v>
      </c>
      <c r="BO292" t="s">
        <v>134</v>
      </c>
      <c r="BP292" t="s">
        <v>134</v>
      </c>
      <c r="BQ292" t="s">
        <v>134</v>
      </c>
      <c r="BR292" t="s">
        <v>134</v>
      </c>
      <c r="BS292" t="s">
        <v>134</v>
      </c>
      <c r="BT292" t="s">
        <v>134</v>
      </c>
      <c r="BU292" t="s">
        <v>134</v>
      </c>
      <c r="BV292" t="s">
        <v>134</v>
      </c>
      <c r="BW292" t="s">
        <v>134</v>
      </c>
      <c r="BX292" t="s">
        <v>134</v>
      </c>
      <c r="BY292" t="s">
        <v>134</v>
      </c>
      <c r="BZ292" t="s">
        <v>134</v>
      </c>
      <c r="CA292" t="s">
        <v>134</v>
      </c>
      <c r="CB292" t="s">
        <v>134</v>
      </c>
      <c r="CC292" t="s">
        <v>134</v>
      </c>
      <c r="CD292" t="s">
        <v>134</v>
      </c>
      <c r="CE292" t="s">
        <v>134</v>
      </c>
      <c r="CF292" t="s">
        <v>134</v>
      </c>
      <c r="CG292" t="s">
        <v>134</v>
      </c>
      <c r="CH292" t="s">
        <v>134</v>
      </c>
      <c r="CI292" t="s">
        <v>134</v>
      </c>
      <c r="CJ292" t="s">
        <v>134</v>
      </c>
      <c r="CK292" t="s">
        <v>134</v>
      </c>
      <c r="CL292" t="s">
        <v>134</v>
      </c>
      <c r="CM292" t="s">
        <v>134</v>
      </c>
      <c r="CN292" t="s">
        <v>134</v>
      </c>
      <c r="CO292" t="s">
        <v>134</v>
      </c>
      <c r="CP292" t="s">
        <v>134</v>
      </c>
      <c r="CQ292" t="s">
        <v>134</v>
      </c>
      <c r="CR292" t="s">
        <v>134</v>
      </c>
      <c r="CS292" t="s">
        <v>134</v>
      </c>
      <c r="CT292" t="s">
        <v>134</v>
      </c>
      <c r="CU292" t="s">
        <v>134</v>
      </c>
      <c r="CV292" t="s">
        <v>134</v>
      </c>
      <c r="CW292" t="s">
        <v>134</v>
      </c>
      <c r="CX292" t="s">
        <v>134</v>
      </c>
      <c r="CY292" t="s">
        <v>134</v>
      </c>
      <c r="CZ292" t="s">
        <v>134</v>
      </c>
      <c r="DA292" t="s">
        <v>134</v>
      </c>
      <c r="DB292" t="s">
        <v>134</v>
      </c>
      <c r="DC292" t="s">
        <v>134</v>
      </c>
      <c r="DD292" t="s">
        <v>134</v>
      </c>
      <c r="DE292" t="s">
        <v>134</v>
      </c>
      <c r="DF292" t="s">
        <v>134</v>
      </c>
      <c r="DG292" t="s">
        <v>134</v>
      </c>
      <c r="DH292" t="s">
        <v>134</v>
      </c>
      <c r="DI292" t="s">
        <v>134</v>
      </c>
    </row>
    <row r="293" spans="1:113" x14ac:dyDescent="0.3">
      <c r="D293" t="s">
        <v>10</v>
      </c>
      <c r="E293" t="s">
        <v>3</v>
      </c>
      <c r="F293">
        <v>19.1813</v>
      </c>
      <c r="G293">
        <v>10.6257</v>
      </c>
      <c r="H293">
        <v>14.9986</v>
      </c>
      <c r="I293">
        <v>13.444800000000001</v>
      </c>
      <c r="J293">
        <v>19.648499999999999</v>
      </c>
      <c r="K293">
        <v>15.0939</v>
      </c>
      <c r="L293" t="s">
        <v>134</v>
      </c>
      <c r="M293">
        <v>15.7347</v>
      </c>
      <c r="N293">
        <v>11.086399999999999</v>
      </c>
      <c r="O293">
        <v>11.086399999999999</v>
      </c>
      <c r="P293">
        <v>11.086399999999999</v>
      </c>
      <c r="Q293">
        <v>29.542000000000002</v>
      </c>
      <c r="R293">
        <v>1.7122000000000002</v>
      </c>
      <c r="S293">
        <v>18.852899999999998</v>
      </c>
      <c r="T293" t="s">
        <v>134</v>
      </c>
      <c r="U293" t="s">
        <v>134</v>
      </c>
      <c r="V293" t="s">
        <v>134</v>
      </c>
      <c r="W293" t="s">
        <v>134</v>
      </c>
      <c r="X293" t="s">
        <v>134</v>
      </c>
      <c r="Y293" t="s">
        <v>134</v>
      </c>
      <c r="Z293">
        <v>7.0848000000000004</v>
      </c>
      <c r="AA293">
        <v>27.6586</v>
      </c>
      <c r="AB293">
        <v>11.9901</v>
      </c>
      <c r="AC293">
        <v>17.004100000000001</v>
      </c>
      <c r="AD293">
        <v>14.765499999999999</v>
      </c>
      <c r="AE293">
        <v>-11.082699999999999</v>
      </c>
      <c r="AF293">
        <v>23.888999999999999</v>
      </c>
      <c r="AG293">
        <v>11.9771</v>
      </c>
      <c r="AH293">
        <v>-5.2668999999999997</v>
      </c>
      <c r="AI293">
        <v>26.036000000000001</v>
      </c>
      <c r="AJ293">
        <v>17.7637</v>
      </c>
      <c r="AK293">
        <v>26.0365</v>
      </c>
      <c r="AL293" t="s">
        <v>134</v>
      </c>
      <c r="AM293" t="s">
        <v>134</v>
      </c>
      <c r="AN293" t="s">
        <v>134</v>
      </c>
      <c r="AO293" t="s">
        <v>134</v>
      </c>
      <c r="AP293" t="s">
        <v>134</v>
      </c>
      <c r="AQ293" t="s">
        <v>134</v>
      </c>
      <c r="AR293" t="s">
        <v>134</v>
      </c>
      <c r="AS293" t="s">
        <v>134</v>
      </c>
      <c r="AT293" t="s">
        <v>134</v>
      </c>
      <c r="AU293" t="s">
        <v>134</v>
      </c>
      <c r="AV293" t="s">
        <v>134</v>
      </c>
      <c r="AW293" t="s">
        <v>134</v>
      </c>
      <c r="AX293" t="s">
        <v>134</v>
      </c>
      <c r="AY293" t="s">
        <v>134</v>
      </c>
      <c r="AZ293" t="s">
        <v>134</v>
      </c>
      <c r="BA293" t="s">
        <v>134</v>
      </c>
      <c r="BB293" t="s">
        <v>134</v>
      </c>
      <c r="BC293" t="s">
        <v>134</v>
      </c>
      <c r="BD293" t="s">
        <v>134</v>
      </c>
      <c r="BE293" t="s">
        <v>134</v>
      </c>
      <c r="BF293" t="s">
        <v>134</v>
      </c>
      <c r="BG293" t="s">
        <v>134</v>
      </c>
      <c r="BH293" t="s">
        <v>134</v>
      </c>
      <c r="BI293" t="s">
        <v>134</v>
      </c>
      <c r="BJ293" t="s">
        <v>134</v>
      </c>
      <c r="BK293" t="s">
        <v>134</v>
      </c>
      <c r="BL293">
        <v>7.0848000000000004</v>
      </c>
      <c r="BM293">
        <v>27.6586</v>
      </c>
      <c r="BN293">
        <v>11.9901</v>
      </c>
      <c r="BO293">
        <v>17.004100000000001</v>
      </c>
      <c r="BP293">
        <v>14.765499999999999</v>
      </c>
      <c r="BQ293">
        <v>-11.082699999999999</v>
      </c>
      <c r="BR293">
        <v>23.888999999999999</v>
      </c>
      <c r="BS293">
        <v>11.9771</v>
      </c>
      <c r="BT293">
        <v>-5.2668999999999997</v>
      </c>
      <c r="BU293">
        <v>26.036000000000001</v>
      </c>
      <c r="BV293">
        <v>17.7637</v>
      </c>
      <c r="BW293">
        <v>26.0365</v>
      </c>
      <c r="BX293" t="s">
        <v>134</v>
      </c>
      <c r="BY293">
        <v>23328.400000000001</v>
      </c>
      <c r="BZ293">
        <v>10945.2</v>
      </c>
      <c r="CA293">
        <v>12383.2</v>
      </c>
      <c r="CB293">
        <v>0.88570000000000004</v>
      </c>
      <c r="CC293">
        <v>-0.12620000000000001</v>
      </c>
      <c r="CD293">
        <v>1.1529</v>
      </c>
      <c r="CE293">
        <v>-0.1643</v>
      </c>
      <c r="CF293">
        <v>52.210900000000002</v>
      </c>
      <c r="CG293">
        <v>57.288200000000003</v>
      </c>
      <c r="CH293">
        <v>14.3309</v>
      </c>
      <c r="CI293">
        <v>11.2844</v>
      </c>
      <c r="CJ293">
        <v>8.2101000000000006</v>
      </c>
      <c r="CK293">
        <v>26.997700000000002</v>
      </c>
      <c r="CL293">
        <v>21.258400000000002</v>
      </c>
      <c r="CM293">
        <v>15.466699999999999</v>
      </c>
      <c r="CN293">
        <v>-3.8477999999999999</v>
      </c>
      <c r="CO293">
        <v>-4.0016999999999996</v>
      </c>
      <c r="CP293">
        <v>26340.400000000001</v>
      </c>
      <c r="CQ293">
        <v>12655</v>
      </c>
      <c r="CR293">
        <v>20234.599999999999</v>
      </c>
      <c r="CS293">
        <v>0.59199999999999997</v>
      </c>
      <c r="CT293">
        <v>1.6245000000000001</v>
      </c>
      <c r="CU293">
        <v>1.0294000000000001</v>
      </c>
      <c r="CV293">
        <v>3.9826999999999999</v>
      </c>
      <c r="CW293">
        <v>7.0414000000000003</v>
      </c>
      <c r="CX293">
        <v>51.836500000000001</v>
      </c>
      <c r="CY293">
        <v>3.5712000000000002</v>
      </c>
      <c r="CZ293">
        <v>102.20740000000001</v>
      </c>
      <c r="DA293">
        <v>6.4814999999999996</v>
      </c>
      <c r="DB293">
        <v>56.314100000000003</v>
      </c>
      <c r="DC293">
        <v>97.729699999999994</v>
      </c>
      <c r="DD293">
        <v>154.04390000000001</v>
      </c>
      <c r="DE293">
        <v>24252.7</v>
      </c>
      <c r="DF293">
        <v>10225.700000000001</v>
      </c>
      <c r="DG293">
        <v>2225.9</v>
      </c>
      <c r="DH293">
        <v>9076</v>
      </c>
      <c r="DI293">
        <v>2725.1</v>
      </c>
    </row>
    <row r="294" spans="1:113" x14ac:dyDescent="0.3">
      <c r="E294" t="s">
        <v>4</v>
      </c>
      <c r="F294" t="s">
        <v>134</v>
      </c>
      <c r="G294" t="s">
        <v>134</v>
      </c>
      <c r="H294" t="s">
        <v>134</v>
      </c>
      <c r="I294" t="s">
        <v>134</v>
      </c>
      <c r="J294" t="s">
        <v>134</v>
      </c>
      <c r="K294" t="s">
        <v>134</v>
      </c>
      <c r="L294" t="s">
        <v>134</v>
      </c>
      <c r="M294" t="s">
        <v>134</v>
      </c>
      <c r="N294" t="s">
        <v>134</v>
      </c>
      <c r="O294" t="s">
        <v>134</v>
      </c>
      <c r="P294" t="s">
        <v>134</v>
      </c>
      <c r="Q294" t="s">
        <v>134</v>
      </c>
      <c r="R294" t="s">
        <v>134</v>
      </c>
      <c r="S294" t="s">
        <v>134</v>
      </c>
      <c r="T294" t="s">
        <v>134</v>
      </c>
      <c r="U294" t="s">
        <v>134</v>
      </c>
      <c r="V294" t="s">
        <v>134</v>
      </c>
      <c r="W294" t="s">
        <v>134</v>
      </c>
      <c r="X294" t="s">
        <v>134</v>
      </c>
      <c r="Y294" t="s">
        <v>134</v>
      </c>
      <c r="Z294" t="s">
        <v>134</v>
      </c>
      <c r="AA294" t="s">
        <v>134</v>
      </c>
      <c r="AB294" t="s">
        <v>134</v>
      </c>
      <c r="AC294" t="s">
        <v>134</v>
      </c>
      <c r="AD294" t="s">
        <v>134</v>
      </c>
      <c r="AE294" t="s">
        <v>134</v>
      </c>
      <c r="AF294" t="s">
        <v>134</v>
      </c>
      <c r="AG294" t="s">
        <v>134</v>
      </c>
      <c r="AH294" t="s">
        <v>134</v>
      </c>
      <c r="AI294" t="s">
        <v>134</v>
      </c>
      <c r="AJ294" t="s">
        <v>134</v>
      </c>
      <c r="AK294" t="s">
        <v>134</v>
      </c>
      <c r="AL294" t="s">
        <v>134</v>
      </c>
      <c r="AM294" t="s">
        <v>134</v>
      </c>
      <c r="AN294" t="s">
        <v>134</v>
      </c>
      <c r="AO294" t="s">
        <v>134</v>
      </c>
      <c r="AP294" t="s">
        <v>134</v>
      </c>
      <c r="AQ294" t="s">
        <v>134</v>
      </c>
      <c r="AR294" t="s">
        <v>134</v>
      </c>
      <c r="AS294" t="s">
        <v>134</v>
      </c>
      <c r="AT294" t="s">
        <v>134</v>
      </c>
      <c r="AU294" t="s">
        <v>134</v>
      </c>
      <c r="AV294" t="s">
        <v>134</v>
      </c>
      <c r="AW294" t="s">
        <v>134</v>
      </c>
      <c r="AX294" t="s">
        <v>134</v>
      </c>
      <c r="AY294" t="s">
        <v>134</v>
      </c>
      <c r="AZ294" t="s">
        <v>134</v>
      </c>
      <c r="BA294" t="s">
        <v>134</v>
      </c>
      <c r="BB294" t="s">
        <v>134</v>
      </c>
      <c r="BC294" t="s">
        <v>134</v>
      </c>
      <c r="BD294" t="s">
        <v>134</v>
      </c>
      <c r="BE294" t="s">
        <v>134</v>
      </c>
      <c r="BF294" t="s">
        <v>134</v>
      </c>
      <c r="BG294" t="s">
        <v>134</v>
      </c>
      <c r="BH294" t="s">
        <v>134</v>
      </c>
      <c r="BI294" t="s">
        <v>134</v>
      </c>
      <c r="BJ294" t="s">
        <v>134</v>
      </c>
      <c r="BK294" t="s">
        <v>134</v>
      </c>
      <c r="BL294" t="s">
        <v>134</v>
      </c>
      <c r="BM294" t="s">
        <v>134</v>
      </c>
      <c r="BN294" t="s">
        <v>134</v>
      </c>
      <c r="BO294" t="s">
        <v>134</v>
      </c>
      <c r="BP294" t="s">
        <v>134</v>
      </c>
      <c r="BQ294" t="s">
        <v>134</v>
      </c>
      <c r="BR294" t="s">
        <v>134</v>
      </c>
      <c r="BS294" t="s">
        <v>134</v>
      </c>
      <c r="BT294" t="s">
        <v>134</v>
      </c>
      <c r="BU294" t="s">
        <v>134</v>
      </c>
      <c r="BV294" t="s">
        <v>134</v>
      </c>
      <c r="BW294" t="s">
        <v>134</v>
      </c>
      <c r="BX294" t="s">
        <v>134</v>
      </c>
      <c r="BY294" t="s">
        <v>134</v>
      </c>
      <c r="BZ294" t="s">
        <v>134</v>
      </c>
      <c r="CA294" t="s">
        <v>134</v>
      </c>
      <c r="CB294" t="s">
        <v>134</v>
      </c>
      <c r="CC294" t="s">
        <v>134</v>
      </c>
      <c r="CD294" t="s">
        <v>134</v>
      </c>
      <c r="CE294" t="s">
        <v>134</v>
      </c>
      <c r="CF294" t="s">
        <v>134</v>
      </c>
      <c r="CG294" t="s">
        <v>134</v>
      </c>
      <c r="CH294" t="s">
        <v>134</v>
      </c>
      <c r="CI294" t="s">
        <v>134</v>
      </c>
      <c r="CJ294" t="s">
        <v>134</v>
      </c>
      <c r="CK294" t="s">
        <v>134</v>
      </c>
      <c r="CL294" t="s">
        <v>134</v>
      </c>
      <c r="CM294" t="s">
        <v>134</v>
      </c>
      <c r="CN294" t="s">
        <v>134</v>
      </c>
      <c r="CO294" t="s">
        <v>134</v>
      </c>
      <c r="CP294" t="s">
        <v>134</v>
      </c>
      <c r="CQ294" t="s">
        <v>134</v>
      </c>
      <c r="CR294" t="s">
        <v>134</v>
      </c>
      <c r="CS294" t="s">
        <v>134</v>
      </c>
      <c r="CT294" t="s">
        <v>134</v>
      </c>
      <c r="CU294" t="s">
        <v>134</v>
      </c>
      <c r="CV294" t="s">
        <v>134</v>
      </c>
      <c r="CW294" t="s">
        <v>134</v>
      </c>
      <c r="CX294" t="s">
        <v>134</v>
      </c>
      <c r="CY294" t="s">
        <v>134</v>
      </c>
      <c r="CZ294" t="s">
        <v>134</v>
      </c>
      <c r="DA294" t="s">
        <v>134</v>
      </c>
      <c r="DB294" t="s">
        <v>134</v>
      </c>
      <c r="DC294" t="s">
        <v>134</v>
      </c>
      <c r="DD294" t="s">
        <v>134</v>
      </c>
      <c r="DE294" t="s">
        <v>134</v>
      </c>
      <c r="DF294" t="s">
        <v>134</v>
      </c>
      <c r="DG294" t="s">
        <v>134</v>
      </c>
      <c r="DH294" t="s">
        <v>134</v>
      </c>
      <c r="DI294" t="s">
        <v>134</v>
      </c>
    </row>
    <row r="295" spans="1:113" x14ac:dyDescent="0.3">
      <c r="E295" t="s">
        <v>5</v>
      </c>
      <c r="F295" t="s">
        <v>134</v>
      </c>
      <c r="G295" t="s">
        <v>134</v>
      </c>
      <c r="H295" t="s">
        <v>134</v>
      </c>
      <c r="I295" t="s">
        <v>134</v>
      </c>
      <c r="J295" t="s">
        <v>134</v>
      </c>
      <c r="K295" t="s">
        <v>134</v>
      </c>
      <c r="L295" t="s">
        <v>134</v>
      </c>
      <c r="M295" t="s">
        <v>134</v>
      </c>
      <c r="N295" t="s">
        <v>134</v>
      </c>
      <c r="O295" t="s">
        <v>134</v>
      </c>
      <c r="P295" t="s">
        <v>134</v>
      </c>
      <c r="Q295" t="s">
        <v>134</v>
      </c>
      <c r="R295" t="s">
        <v>134</v>
      </c>
      <c r="S295" t="s">
        <v>134</v>
      </c>
      <c r="T295" t="s">
        <v>134</v>
      </c>
      <c r="U295" t="s">
        <v>134</v>
      </c>
      <c r="V295" t="s">
        <v>134</v>
      </c>
      <c r="W295" t="s">
        <v>134</v>
      </c>
      <c r="X295" t="s">
        <v>134</v>
      </c>
      <c r="Y295" t="s">
        <v>134</v>
      </c>
      <c r="Z295" t="s">
        <v>134</v>
      </c>
      <c r="AA295" t="s">
        <v>134</v>
      </c>
      <c r="AB295" t="s">
        <v>134</v>
      </c>
      <c r="AC295" t="s">
        <v>134</v>
      </c>
      <c r="AD295" t="s">
        <v>134</v>
      </c>
      <c r="AE295" t="s">
        <v>134</v>
      </c>
      <c r="AF295" t="s">
        <v>134</v>
      </c>
      <c r="AG295" t="s">
        <v>134</v>
      </c>
      <c r="AH295" t="s">
        <v>134</v>
      </c>
      <c r="AI295" t="s">
        <v>134</v>
      </c>
      <c r="AJ295" t="s">
        <v>134</v>
      </c>
      <c r="AK295" t="s">
        <v>134</v>
      </c>
      <c r="AL295" t="s">
        <v>134</v>
      </c>
      <c r="AM295" t="s">
        <v>134</v>
      </c>
      <c r="AN295" t="s">
        <v>134</v>
      </c>
      <c r="AO295" t="s">
        <v>134</v>
      </c>
      <c r="AP295" t="s">
        <v>134</v>
      </c>
      <c r="AQ295" t="s">
        <v>134</v>
      </c>
      <c r="AR295" t="s">
        <v>134</v>
      </c>
      <c r="AS295" t="s">
        <v>134</v>
      </c>
      <c r="AT295" t="s">
        <v>134</v>
      </c>
      <c r="AU295" t="s">
        <v>134</v>
      </c>
      <c r="AV295" t="s">
        <v>134</v>
      </c>
      <c r="AW295" t="s">
        <v>134</v>
      </c>
      <c r="AX295" t="s">
        <v>134</v>
      </c>
      <c r="AY295" t="s">
        <v>134</v>
      </c>
      <c r="AZ295" t="s">
        <v>134</v>
      </c>
      <c r="BA295" t="s">
        <v>134</v>
      </c>
      <c r="BB295" t="s">
        <v>134</v>
      </c>
      <c r="BC295" t="s">
        <v>134</v>
      </c>
      <c r="BD295" t="s">
        <v>134</v>
      </c>
      <c r="BE295" t="s">
        <v>134</v>
      </c>
      <c r="BF295" t="s">
        <v>134</v>
      </c>
      <c r="BG295" t="s">
        <v>134</v>
      </c>
      <c r="BH295" t="s">
        <v>134</v>
      </c>
      <c r="BI295" t="s">
        <v>134</v>
      </c>
      <c r="BJ295" t="s">
        <v>134</v>
      </c>
      <c r="BK295" t="s">
        <v>134</v>
      </c>
      <c r="BL295" t="s">
        <v>134</v>
      </c>
      <c r="BM295" t="s">
        <v>134</v>
      </c>
      <c r="BN295" t="s">
        <v>134</v>
      </c>
      <c r="BO295" t="s">
        <v>134</v>
      </c>
      <c r="BP295" t="s">
        <v>134</v>
      </c>
      <c r="BQ295" t="s">
        <v>134</v>
      </c>
      <c r="BR295" t="s">
        <v>134</v>
      </c>
      <c r="BS295" t="s">
        <v>134</v>
      </c>
      <c r="BT295" t="s">
        <v>134</v>
      </c>
      <c r="BU295" t="s">
        <v>134</v>
      </c>
      <c r="BV295" t="s">
        <v>134</v>
      </c>
      <c r="BW295" t="s">
        <v>134</v>
      </c>
      <c r="BX295" t="s">
        <v>134</v>
      </c>
      <c r="BY295" t="s">
        <v>134</v>
      </c>
      <c r="BZ295" t="s">
        <v>134</v>
      </c>
      <c r="CA295" t="s">
        <v>134</v>
      </c>
      <c r="CB295" t="s">
        <v>134</v>
      </c>
      <c r="CC295" t="s">
        <v>134</v>
      </c>
      <c r="CD295" t="s">
        <v>134</v>
      </c>
      <c r="CE295" t="s">
        <v>134</v>
      </c>
      <c r="CF295" t="s">
        <v>134</v>
      </c>
      <c r="CG295" t="s">
        <v>134</v>
      </c>
      <c r="CH295" t="s">
        <v>134</v>
      </c>
      <c r="CI295" t="s">
        <v>134</v>
      </c>
      <c r="CJ295" t="s">
        <v>134</v>
      </c>
      <c r="CK295" t="s">
        <v>134</v>
      </c>
      <c r="CL295" t="s">
        <v>134</v>
      </c>
      <c r="CM295" t="s">
        <v>134</v>
      </c>
      <c r="CN295" t="s">
        <v>134</v>
      </c>
      <c r="CO295" t="s">
        <v>134</v>
      </c>
      <c r="CP295" t="s">
        <v>134</v>
      </c>
      <c r="CQ295" t="s">
        <v>134</v>
      </c>
      <c r="CR295" t="s">
        <v>134</v>
      </c>
      <c r="CS295" t="s">
        <v>134</v>
      </c>
      <c r="CT295" t="s">
        <v>134</v>
      </c>
      <c r="CU295" t="s">
        <v>134</v>
      </c>
      <c r="CV295" t="s">
        <v>134</v>
      </c>
      <c r="CW295" t="s">
        <v>134</v>
      </c>
      <c r="CX295" t="s">
        <v>134</v>
      </c>
      <c r="CY295" t="s">
        <v>134</v>
      </c>
      <c r="CZ295" t="s">
        <v>134</v>
      </c>
      <c r="DA295" t="s">
        <v>134</v>
      </c>
      <c r="DB295" t="s">
        <v>134</v>
      </c>
      <c r="DC295" t="s">
        <v>134</v>
      </c>
      <c r="DD295" t="s">
        <v>134</v>
      </c>
      <c r="DE295" t="s">
        <v>134</v>
      </c>
      <c r="DF295" t="s">
        <v>134</v>
      </c>
      <c r="DG295" t="s">
        <v>134</v>
      </c>
      <c r="DH295" t="s">
        <v>134</v>
      </c>
      <c r="DI295" t="s">
        <v>134</v>
      </c>
    </row>
    <row r="296" spans="1:113" x14ac:dyDescent="0.3">
      <c r="E296" t="s">
        <v>6</v>
      </c>
      <c r="F296" t="s">
        <v>134</v>
      </c>
      <c r="G296" t="s">
        <v>134</v>
      </c>
      <c r="H296" t="s">
        <v>134</v>
      </c>
      <c r="I296" t="s">
        <v>134</v>
      </c>
      <c r="J296" t="s">
        <v>134</v>
      </c>
      <c r="K296" t="s">
        <v>134</v>
      </c>
      <c r="L296" t="s">
        <v>134</v>
      </c>
      <c r="M296" t="s">
        <v>134</v>
      </c>
      <c r="N296" t="s">
        <v>134</v>
      </c>
      <c r="O296" t="s">
        <v>134</v>
      </c>
      <c r="P296" t="s">
        <v>134</v>
      </c>
      <c r="Q296" t="s">
        <v>134</v>
      </c>
      <c r="R296" t="s">
        <v>134</v>
      </c>
      <c r="S296" t="s">
        <v>134</v>
      </c>
      <c r="T296" t="s">
        <v>134</v>
      </c>
      <c r="U296" t="s">
        <v>134</v>
      </c>
      <c r="V296" t="s">
        <v>134</v>
      </c>
      <c r="W296" t="s">
        <v>134</v>
      </c>
      <c r="X296" t="s">
        <v>134</v>
      </c>
      <c r="Y296" t="s">
        <v>134</v>
      </c>
      <c r="Z296" t="s">
        <v>134</v>
      </c>
      <c r="AA296" t="s">
        <v>134</v>
      </c>
      <c r="AB296" t="s">
        <v>134</v>
      </c>
      <c r="AC296" t="s">
        <v>134</v>
      </c>
      <c r="AD296" t="s">
        <v>134</v>
      </c>
      <c r="AE296" t="s">
        <v>134</v>
      </c>
      <c r="AF296" t="s">
        <v>134</v>
      </c>
      <c r="AG296" t="s">
        <v>134</v>
      </c>
      <c r="AH296" t="s">
        <v>134</v>
      </c>
      <c r="AI296" t="s">
        <v>134</v>
      </c>
      <c r="AJ296" t="s">
        <v>134</v>
      </c>
      <c r="AK296" t="s">
        <v>134</v>
      </c>
      <c r="AL296" t="s">
        <v>134</v>
      </c>
      <c r="AM296" t="s">
        <v>134</v>
      </c>
      <c r="AN296" t="s">
        <v>134</v>
      </c>
      <c r="AO296" t="s">
        <v>134</v>
      </c>
      <c r="AP296" t="s">
        <v>134</v>
      </c>
      <c r="AQ296" t="s">
        <v>134</v>
      </c>
      <c r="AR296" t="s">
        <v>134</v>
      </c>
      <c r="AS296" t="s">
        <v>134</v>
      </c>
      <c r="AT296" t="s">
        <v>134</v>
      </c>
      <c r="AU296" t="s">
        <v>134</v>
      </c>
      <c r="AV296" t="s">
        <v>134</v>
      </c>
      <c r="AW296" t="s">
        <v>134</v>
      </c>
      <c r="AX296" t="s">
        <v>134</v>
      </c>
      <c r="AY296" t="s">
        <v>134</v>
      </c>
      <c r="AZ296" t="s">
        <v>134</v>
      </c>
      <c r="BA296" t="s">
        <v>134</v>
      </c>
      <c r="BB296" t="s">
        <v>134</v>
      </c>
      <c r="BC296" t="s">
        <v>134</v>
      </c>
      <c r="BD296" t="s">
        <v>134</v>
      </c>
      <c r="BE296" t="s">
        <v>134</v>
      </c>
      <c r="BF296" t="s">
        <v>134</v>
      </c>
      <c r="BG296" t="s">
        <v>134</v>
      </c>
      <c r="BH296" t="s">
        <v>134</v>
      </c>
      <c r="BI296" t="s">
        <v>134</v>
      </c>
      <c r="BJ296" t="s">
        <v>134</v>
      </c>
      <c r="BK296" t="s">
        <v>134</v>
      </c>
      <c r="BL296" t="s">
        <v>134</v>
      </c>
      <c r="BM296" t="s">
        <v>134</v>
      </c>
      <c r="BN296" t="s">
        <v>134</v>
      </c>
      <c r="BO296" t="s">
        <v>134</v>
      </c>
      <c r="BP296" t="s">
        <v>134</v>
      </c>
      <c r="BQ296" t="s">
        <v>134</v>
      </c>
      <c r="BR296" t="s">
        <v>134</v>
      </c>
      <c r="BS296" t="s">
        <v>134</v>
      </c>
      <c r="BT296" t="s">
        <v>134</v>
      </c>
      <c r="BU296" t="s">
        <v>134</v>
      </c>
      <c r="BV296" t="s">
        <v>134</v>
      </c>
      <c r="BW296" t="s">
        <v>134</v>
      </c>
      <c r="BX296" t="s">
        <v>134</v>
      </c>
      <c r="BY296" t="s">
        <v>134</v>
      </c>
      <c r="BZ296" t="s">
        <v>134</v>
      </c>
      <c r="CA296" t="s">
        <v>134</v>
      </c>
      <c r="CB296" t="s">
        <v>134</v>
      </c>
      <c r="CC296" t="s">
        <v>134</v>
      </c>
      <c r="CD296" t="s">
        <v>134</v>
      </c>
      <c r="CE296" t="s">
        <v>134</v>
      </c>
      <c r="CF296" t="s">
        <v>134</v>
      </c>
      <c r="CG296" t="s">
        <v>134</v>
      </c>
      <c r="CH296" t="s">
        <v>134</v>
      </c>
      <c r="CI296" t="s">
        <v>134</v>
      </c>
      <c r="CJ296" t="s">
        <v>134</v>
      </c>
      <c r="CK296" t="s">
        <v>134</v>
      </c>
      <c r="CL296" t="s">
        <v>134</v>
      </c>
      <c r="CM296" t="s">
        <v>134</v>
      </c>
      <c r="CN296" t="s">
        <v>134</v>
      </c>
      <c r="CO296" t="s">
        <v>134</v>
      </c>
      <c r="CP296" t="s">
        <v>134</v>
      </c>
      <c r="CQ296" t="s">
        <v>134</v>
      </c>
      <c r="CR296" t="s">
        <v>134</v>
      </c>
      <c r="CS296" t="s">
        <v>134</v>
      </c>
      <c r="CT296" t="s">
        <v>134</v>
      </c>
      <c r="CU296" t="s">
        <v>134</v>
      </c>
      <c r="CV296" t="s">
        <v>134</v>
      </c>
      <c r="CW296" t="s">
        <v>134</v>
      </c>
      <c r="CX296" t="s">
        <v>134</v>
      </c>
      <c r="CY296" t="s">
        <v>134</v>
      </c>
      <c r="CZ296" t="s">
        <v>134</v>
      </c>
      <c r="DA296" t="s">
        <v>134</v>
      </c>
      <c r="DB296" t="s">
        <v>134</v>
      </c>
      <c r="DC296" t="s">
        <v>134</v>
      </c>
      <c r="DD296" t="s">
        <v>134</v>
      </c>
      <c r="DE296" t="s">
        <v>134</v>
      </c>
      <c r="DF296" t="s">
        <v>134</v>
      </c>
      <c r="DG296" t="s">
        <v>134</v>
      </c>
      <c r="DH296" t="s">
        <v>134</v>
      </c>
      <c r="DI296" t="s">
        <v>134</v>
      </c>
    </row>
    <row r="297" spans="1:113" x14ac:dyDescent="0.3">
      <c r="E297" t="s">
        <v>7</v>
      </c>
      <c r="F297" t="s">
        <v>134</v>
      </c>
      <c r="G297" t="s">
        <v>134</v>
      </c>
      <c r="H297" t="s">
        <v>134</v>
      </c>
      <c r="I297" t="s">
        <v>134</v>
      </c>
      <c r="J297" t="s">
        <v>134</v>
      </c>
      <c r="K297" t="s">
        <v>134</v>
      </c>
      <c r="L297" t="s">
        <v>134</v>
      </c>
      <c r="M297" t="s">
        <v>134</v>
      </c>
      <c r="N297" t="s">
        <v>134</v>
      </c>
      <c r="O297" t="s">
        <v>134</v>
      </c>
      <c r="P297" t="s">
        <v>134</v>
      </c>
      <c r="Q297" t="s">
        <v>134</v>
      </c>
      <c r="R297" t="s">
        <v>134</v>
      </c>
      <c r="S297" t="s">
        <v>134</v>
      </c>
      <c r="T297" t="s">
        <v>134</v>
      </c>
      <c r="U297" t="s">
        <v>134</v>
      </c>
      <c r="V297" t="s">
        <v>134</v>
      </c>
      <c r="W297" t="s">
        <v>134</v>
      </c>
      <c r="X297" t="s">
        <v>134</v>
      </c>
      <c r="Y297" t="s">
        <v>134</v>
      </c>
      <c r="Z297" t="s">
        <v>134</v>
      </c>
      <c r="AA297" t="s">
        <v>134</v>
      </c>
      <c r="AB297" t="s">
        <v>134</v>
      </c>
      <c r="AC297" t="s">
        <v>134</v>
      </c>
      <c r="AD297" t="s">
        <v>134</v>
      </c>
      <c r="AE297" t="s">
        <v>134</v>
      </c>
      <c r="AF297" t="s">
        <v>134</v>
      </c>
      <c r="AG297" t="s">
        <v>134</v>
      </c>
      <c r="AH297" t="s">
        <v>134</v>
      </c>
      <c r="AI297" t="s">
        <v>134</v>
      </c>
      <c r="AJ297" t="s">
        <v>134</v>
      </c>
      <c r="AK297" t="s">
        <v>134</v>
      </c>
      <c r="AL297" t="s">
        <v>134</v>
      </c>
      <c r="AM297" t="s">
        <v>134</v>
      </c>
      <c r="AN297" t="s">
        <v>134</v>
      </c>
      <c r="AO297" t="s">
        <v>134</v>
      </c>
      <c r="AP297" t="s">
        <v>134</v>
      </c>
      <c r="AQ297" t="s">
        <v>134</v>
      </c>
      <c r="AR297" t="s">
        <v>134</v>
      </c>
      <c r="AS297" t="s">
        <v>134</v>
      </c>
      <c r="AT297" t="s">
        <v>134</v>
      </c>
      <c r="AU297" t="s">
        <v>134</v>
      </c>
      <c r="AV297" t="s">
        <v>134</v>
      </c>
      <c r="AW297" t="s">
        <v>134</v>
      </c>
      <c r="AX297" t="s">
        <v>134</v>
      </c>
      <c r="AY297" t="s">
        <v>134</v>
      </c>
      <c r="AZ297" t="s">
        <v>134</v>
      </c>
      <c r="BA297" t="s">
        <v>134</v>
      </c>
      <c r="BB297" t="s">
        <v>134</v>
      </c>
      <c r="BC297" t="s">
        <v>134</v>
      </c>
      <c r="BD297" t="s">
        <v>134</v>
      </c>
      <c r="BE297" t="s">
        <v>134</v>
      </c>
      <c r="BF297" t="s">
        <v>134</v>
      </c>
      <c r="BG297" t="s">
        <v>134</v>
      </c>
      <c r="BH297" t="s">
        <v>134</v>
      </c>
      <c r="BI297" t="s">
        <v>134</v>
      </c>
      <c r="BJ297" t="s">
        <v>134</v>
      </c>
      <c r="BK297" t="s">
        <v>134</v>
      </c>
      <c r="BL297" t="s">
        <v>134</v>
      </c>
      <c r="BM297" t="s">
        <v>134</v>
      </c>
      <c r="BN297" t="s">
        <v>134</v>
      </c>
      <c r="BO297" t="s">
        <v>134</v>
      </c>
      <c r="BP297" t="s">
        <v>134</v>
      </c>
      <c r="BQ297" t="s">
        <v>134</v>
      </c>
      <c r="BR297" t="s">
        <v>134</v>
      </c>
      <c r="BS297" t="s">
        <v>134</v>
      </c>
      <c r="BT297" t="s">
        <v>134</v>
      </c>
      <c r="BU297" t="s">
        <v>134</v>
      </c>
      <c r="BV297" t="s">
        <v>134</v>
      </c>
      <c r="BW297" t="s">
        <v>134</v>
      </c>
      <c r="BX297" t="s">
        <v>134</v>
      </c>
      <c r="BY297" t="s">
        <v>134</v>
      </c>
      <c r="BZ297" t="s">
        <v>134</v>
      </c>
      <c r="CA297" t="s">
        <v>134</v>
      </c>
      <c r="CB297" t="s">
        <v>134</v>
      </c>
      <c r="CC297" t="s">
        <v>134</v>
      </c>
      <c r="CD297" t="s">
        <v>134</v>
      </c>
      <c r="CE297" t="s">
        <v>134</v>
      </c>
      <c r="CF297" t="s">
        <v>134</v>
      </c>
      <c r="CG297" t="s">
        <v>134</v>
      </c>
      <c r="CH297" t="s">
        <v>134</v>
      </c>
      <c r="CI297" t="s">
        <v>134</v>
      </c>
      <c r="CJ297" t="s">
        <v>134</v>
      </c>
      <c r="CK297" t="s">
        <v>134</v>
      </c>
      <c r="CL297" t="s">
        <v>134</v>
      </c>
      <c r="CM297" t="s">
        <v>134</v>
      </c>
      <c r="CN297" t="s">
        <v>134</v>
      </c>
      <c r="CO297" t="s">
        <v>134</v>
      </c>
      <c r="CP297" t="s">
        <v>134</v>
      </c>
      <c r="CQ297" t="s">
        <v>134</v>
      </c>
      <c r="CR297" t="s">
        <v>134</v>
      </c>
      <c r="CS297" t="s">
        <v>134</v>
      </c>
      <c r="CT297" t="s">
        <v>134</v>
      </c>
      <c r="CU297" t="s">
        <v>134</v>
      </c>
      <c r="CV297" t="s">
        <v>134</v>
      </c>
      <c r="CW297" t="s">
        <v>134</v>
      </c>
      <c r="CX297" t="s">
        <v>134</v>
      </c>
      <c r="CY297" t="s">
        <v>134</v>
      </c>
      <c r="CZ297" t="s">
        <v>134</v>
      </c>
      <c r="DA297" t="s">
        <v>134</v>
      </c>
      <c r="DB297" t="s">
        <v>134</v>
      </c>
      <c r="DC297" t="s">
        <v>134</v>
      </c>
      <c r="DD297" t="s">
        <v>134</v>
      </c>
      <c r="DE297" t="s">
        <v>134</v>
      </c>
      <c r="DF297" t="s">
        <v>134</v>
      </c>
      <c r="DG297" t="s">
        <v>134</v>
      </c>
      <c r="DH297" t="s">
        <v>134</v>
      </c>
      <c r="DI297" t="s">
        <v>134</v>
      </c>
    </row>
    <row r="298" spans="1:113" x14ac:dyDescent="0.3">
      <c r="D298" t="s">
        <v>11</v>
      </c>
      <c r="E298" t="s">
        <v>3</v>
      </c>
      <c r="F298">
        <v>12.3142</v>
      </c>
      <c r="G298">
        <v>7.1787000000000001</v>
      </c>
      <c r="H298">
        <v>11.367699999999999</v>
      </c>
      <c r="I298">
        <v>9.2192000000000007</v>
      </c>
      <c r="J298">
        <v>15.518700000000001</v>
      </c>
      <c r="K298">
        <v>10.8073</v>
      </c>
      <c r="L298" t="s">
        <v>134</v>
      </c>
      <c r="M298">
        <v>11.0174</v>
      </c>
      <c r="N298">
        <v>7.5438999999999998</v>
      </c>
      <c r="O298">
        <v>7.5438999999999998</v>
      </c>
      <c r="P298">
        <v>7.5438999999999998</v>
      </c>
      <c r="Q298">
        <v>31.5275</v>
      </c>
      <c r="R298">
        <v>2.2486999999999999</v>
      </c>
      <c r="S298">
        <v>12.0373</v>
      </c>
      <c r="T298">
        <v>11.841200000000001</v>
      </c>
      <c r="U298">
        <v>-11.8385</v>
      </c>
      <c r="V298">
        <v>-20.1358</v>
      </c>
      <c r="W298">
        <v>-23.8599</v>
      </c>
      <c r="X298">
        <v>-23.8599</v>
      </c>
      <c r="Y298">
        <v>0</v>
      </c>
      <c r="Z298">
        <v>9.1889000000000003</v>
      </c>
      <c r="AA298">
        <v>-9.3985000000000003</v>
      </c>
      <c r="AB298">
        <v>12.887499999999999</v>
      </c>
      <c r="AC298">
        <v>9.5027000000000008</v>
      </c>
      <c r="AD298">
        <v>-6.9375999999999998</v>
      </c>
      <c r="AE298">
        <v>16.405999999999999</v>
      </c>
      <c r="AF298">
        <v>11.3706</v>
      </c>
      <c r="AG298">
        <v>-22.8612</v>
      </c>
      <c r="AH298">
        <v>-7.2534000000000001</v>
      </c>
      <c r="AI298">
        <v>12.7004</v>
      </c>
      <c r="AJ298">
        <v>8.4586000000000006</v>
      </c>
      <c r="AK298">
        <v>12.7006</v>
      </c>
      <c r="AL298">
        <v>26.0791</v>
      </c>
      <c r="AM298" t="s">
        <v>134</v>
      </c>
      <c r="AN298" t="s">
        <v>134</v>
      </c>
      <c r="AO298" t="s">
        <v>134</v>
      </c>
      <c r="AP298" t="s">
        <v>134</v>
      </c>
      <c r="AQ298" t="s">
        <v>134</v>
      </c>
      <c r="AR298" t="s">
        <v>134</v>
      </c>
      <c r="AS298" t="s">
        <v>134</v>
      </c>
      <c r="AT298" t="s">
        <v>134</v>
      </c>
      <c r="AU298" t="s">
        <v>134</v>
      </c>
      <c r="AV298" t="s">
        <v>134</v>
      </c>
      <c r="AW298" t="s">
        <v>134</v>
      </c>
      <c r="AX298" t="s">
        <v>134</v>
      </c>
      <c r="AY298" t="s">
        <v>134</v>
      </c>
      <c r="AZ298" t="s">
        <v>134</v>
      </c>
      <c r="BA298" t="s">
        <v>134</v>
      </c>
      <c r="BB298" t="s">
        <v>134</v>
      </c>
      <c r="BC298" t="s">
        <v>134</v>
      </c>
      <c r="BD298" t="s">
        <v>134</v>
      </c>
      <c r="BE298" t="s">
        <v>134</v>
      </c>
      <c r="BF298">
        <v>11.841200000000001</v>
      </c>
      <c r="BG298">
        <v>-11.8385</v>
      </c>
      <c r="BH298">
        <v>-20.1358</v>
      </c>
      <c r="BI298">
        <v>-23.8599</v>
      </c>
      <c r="BJ298">
        <v>-23.8599</v>
      </c>
      <c r="BK298">
        <v>0</v>
      </c>
      <c r="BL298">
        <v>9.1889000000000003</v>
      </c>
      <c r="BM298">
        <v>-9.3985000000000003</v>
      </c>
      <c r="BN298">
        <v>12.887499999999999</v>
      </c>
      <c r="BO298">
        <v>9.5027000000000008</v>
      </c>
      <c r="BP298">
        <v>-6.9375999999999998</v>
      </c>
      <c r="BQ298">
        <v>16.405999999999999</v>
      </c>
      <c r="BR298">
        <v>11.3706</v>
      </c>
      <c r="BS298">
        <v>-22.8612</v>
      </c>
      <c r="BT298">
        <v>-7.2534000000000001</v>
      </c>
      <c r="BU298">
        <v>12.7004</v>
      </c>
      <c r="BV298">
        <v>8.4586000000000006</v>
      </c>
      <c r="BW298">
        <v>12.7006</v>
      </c>
      <c r="BX298">
        <v>26.0791</v>
      </c>
      <c r="BY298">
        <v>21636.3</v>
      </c>
      <c r="BZ298">
        <v>8443</v>
      </c>
      <c r="CA298">
        <v>13193.3</v>
      </c>
      <c r="CB298">
        <v>0.92949999999999999</v>
      </c>
      <c r="CC298">
        <v>-0.49130000000000001</v>
      </c>
      <c r="CD298">
        <v>1.3346</v>
      </c>
      <c r="CE298">
        <v>-0.70550000000000002</v>
      </c>
      <c r="CF298">
        <v>9.4532000000000007</v>
      </c>
      <c r="CG298">
        <v>59.096400000000003</v>
      </c>
      <c r="CH298">
        <v>13.547800000000001</v>
      </c>
      <c r="CI298">
        <v>11.085000000000001</v>
      </c>
      <c r="CJ298">
        <v>8.0063999999999993</v>
      </c>
      <c r="CK298">
        <v>22.217700000000001</v>
      </c>
      <c r="CL298">
        <v>18.178799999999999</v>
      </c>
      <c r="CM298">
        <v>13.13</v>
      </c>
      <c r="CN298">
        <v>-11.745200000000001</v>
      </c>
      <c r="CO298">
        <v>-13.308199999999999</v>
      </c>
      <c r="CP298">
        <v>23278.6</v>
      </c>
      <c r="CQ298">
        <v>7611.1</v>
      </c>
      <c r="CR298">
        <v>16211.4</v>
      </c>
      <c r="CS298">
        <v>0.72060000000000002</v>
      </c>
      <c r="CT298">
        <v>1.7130999999999998</v>
      </c>
      <c r="CU298">
        <v>1.1890000000000001</v>
      </c>
      <c r="CV298">
        <v>4.2125000000000004</v>
      </c>
      <c r="CW298">
        <v>7.2835999999999999</v>
      </c>
      <c r="CX298">
        <v>50.112299999999998</v>
      </c>
      <c r="CY298">
        <v>3.9074999999999998</v>
      </c>
      <c r="CZ298">
        <v>93.410799999999995</v>
      </c>
      <c r="DA298">
        <v>5.9145000000000003</v>
      </c>
      <c r="DB298">
        <v>61.712600000000002</v>
      </c>
      <c r="DC298">
        <v>81.810500000000005</v>
      </c>
      <c r="DD298">
        <v>143.5231</v>
      </c>
      <c r="DE298">
        <v>21973.3</v>
      </c>
      <c r="DF298">
        <v>9538.4</v>
      </c>
      <c r="DG298">
        <v>2104.8000000000002</v>
      </c>
      <c r="DH298">
        <v>7330.5</v>
      </c>
      <c r="DI298">
        <v>2999.6</v>
      </c>
    </row>
    <row r="299" spans="1:113" x14ac:dyDescent="0.3">
      <c r="E299" t="s">
        <v>4</v>
      </c>
      <c r="F299" t="s">
        <v>134</v>
      </c>
      <c r="G299" t="s">
        <v>134</v>
      </c>
      <c r="H299" t="s">
        <v>134</v>
      </c>
      <c r="I299" t="s">
        <v>134</v>
      </c>
      <c r="J299" t="s">
        <v>134</v>
      </c>
      <c r="K299" t="s">
        <v>134</v>
      </c>
      <c r="L299" t="s">
        <v>134</v>
      </c>
      <c r="M299" t="s">
        <v>134</v>
      </c>
      <c r="N299" t="s">
        <v>134</v>
      </c>
      <c r="O299" t="s">
        <v>134</v>
      </c>
      <c r="P299" t="s">
        <v>134</v>
      </c>
      <c r="Q299" t="s">
        <v>134</v>
      </c>
      <c r="R299" t="s">
        <v>134</v>
      </c>
      <c r="S299" t="s">
        <v>134</v>
      </c>
      <c r="T299" t="s">
        <v>134</v>
      </c>
      <c r="U299" t="s">
        <v>134</v>
      </c>
      <c r="V299" t="s">
        <v>134</v>
      </c>
      <c r="W299" t="s">
        <v>134</v>
      </c>
      <c r="X299" t="s">
        <v>134</v>
      </c>
      <c r="Y299" t="s">
        <v>134</v>
      </c>
      <c r="Z299" t="s">
        <v>134</v>
      </c>
      <c r="AA299" t="s">
        <v>134</v>
      </c>
      <c r="AB299" t="s">
        <v>134</v>
      </c>
      <c r="AC299" t="s">
        <v>134</v>
      </c>
      <c r="AD299" t="s">
        <v>134</v>
      </c>
      <c r="AE299" t="s">
        <v>134</v>
      </c>
      <c r="AF299" t="s">
        <v>134</v>
      </c>
      <c r="AG299" t="s">
        <v>134</v>
      </c>
      <c r="AH299" t="s">
        <v>134</v>
      </c>
      <c r="AI299" t="s">
        <v>134</v>
      </c>
      <c r="AJ299" t="s">
        <v>134</v>
      </c>
      <c r="AK299" t="s">
        <v>134</v>
      </c>
      <c r="AL299" t="s">
        <v>134</v>
      </c>
      <c r="AM299" t="s">
        <v>134</v>
      </c>
      <c r="AN299" t="s">
        <v>134</v>
      </c>
      <c r="AO299" t="s">
        <v>134</v>
      </c>
      <c r="AP299" t="s">
        <v>134</v>
      </c>
      <c r="AQ299" t="s">
        <v>134</v>
      </c>
      <c r="AR299" t="s">
        <v>134</v>
      </c>
      <c r="AS299" t="s">
        <v>134</v>
      </c>
      <c r="AT299" t="s">
        <v>134</v>
      </c>
      <c r="AU299" t="s">
        <v>134</v>
      </c>
      <c r="AV299" t="s">
        <v>134</v>
      </c>
      <c r="AW299" t="s">
        <v>134</v>
      </c>
      <c r="AX299" t="s">
        <v>134</v>
      </c>
      <c r="AY299" t="s">
        <v>134</v>
      </c>
      <c r="AZ299" t="s">
        <v>134</v>
      </c>
      <c r="BA299" t="s">
        <v>134</v>
      </c>
      <c r="BB299" t="s">
        <v>134</v>
      </c>
      <c r="BC299" t="s">
        <v>134</v>
      </c>
      <c r="BD299" t="s">
        <v>134</v>
      </c>
      <c r="BE299" t="s">
        <v>134</v>
      </c>
      <c r="BF299" t="s">
        <v>134</v>
      </c>
      <c r="BG299" t="s">
        <v>134</v>
      </c>
      <c r="BH299" t="s">
        <v>134</v>
      </c>
      <c r="BI299" t="s">
        <v>134</v>
      </c>
      <c r="BJ299" t="s">
        <v>134</v>
      </c>
      <c r="BK299" t="s">
        <v>134</v>
      </c>
      <c r="BL299" t="s">
        <v>134</v>
      </c>
      <c r="BM299" t="s">
        <v>134</v>
      </c>
      <c r="BN299" t="s">
        <v>134</v>
      </c>
      <c r="BO299" t="s">
        <v>134</v>
      </c>
      <c r="BP299" t="s">
        <v>134</v>
      </c>
      <c r="BQ299" t="s">
        <v>134</v>
      </c>
      <c r="BR299" t="s">
        <v>134</v>
      </c>
      <c r="BS299" t="s">
        <v>134</v>
      </c>
      <c r="BT299" t="s">
        <v>134</v>
      </c>
      <c r="BU299" t="s">
        <v>134</v>
      </c>
      <c r="BV299" t="s">
        <v>134</v>
      </c>
      <c r="BW299" t="s">
        <v>134</v>
      </c>
      <c r="BX299" t="s">
        <v>134</v>
      </c>
      <c r="BY299" t="s">
        <v>134</v>
      </c>
      <c r="BZ299" t="s">
        <v>134</v>
      </c>
      <c r="CA299" t="s">
        <v>134</v>
      </c>
      <c r="CB299" t="s">
        <v>134</v>
      </c>
      <c r="CC299" t="s">
        <v>134</v>
      </c>
      <c r="CD299" t="s">
        <v>134</v>
      </c>
      <c r="CE299" t="s">
        <v>134</v>
      </c>
      <c r="CF299" t="s">
        <v>134</v>
      </c>
      <c r="CG299" t="s">
        <v>134</v>
      </c>
      <c r="CH299" t="s">
        <v>134</v>
      </c>
      <c r="CI299" t="s">
        <v>134</v>
      </c>
      <c r="CJ299" t="s">
        <v>134</v>
      </c>
      <c r="CK299" t="s">
        <v>134</v>
      </c>
      <c r="CL299" t="s">
        <v>134</v>
      </c>
      <c r="CM299" t="s">
        <v>134</v>
      </c>
      <c r="CN299" t="s">
        <v>134</v>
      </c>
      <c r="CO299" t="s">
        <v>134</v>
      </c>
      <c r="CP299" t="s">
        <v>134</v>
      </c>
      <c r="CQ299" t="s">
        <v>134</v>
      </c>
      <c r="CR299" t="s">
        <v>134</v>
      </c>
      <c r="CS299" t="s">
        <v>134</v>
      </c>
      <c r="CT299" t="s">
        <v>134</v>
      </c>
      <c r="CU299" t="s">
        <v>134</v>
      </c>
      <c r="CV299" t="s">
        <v>134</v>
      </c>
      <c r="CW299" t="s">
        <v>134</v>
      </c>
      <c r="CX299" t="s">
        <v>134</v>
      </c>
      <c r="CY299" t="s">
        <v>134</v>
      </c>
      <c r="CZ299" t="s">
        <v>134</v>
      </c>
      <c r="DA299" t="s">
        <v>134</v>
      </c>
      <c r="DB299" t="s">
        <v>134</v>
      </c>
      <c r="DC299" t="s">
        <v>134</v>
      </c>
      <c r="DD299" t="s">
        <v>134</v>
      </c>
      <c r="DE299" t="s">
        <v>134</v>
      </c>
      <c r="DF299" t="s">
        <v>134</v>
      </c>
      <c r="DG299" t="s">
        <v>134</v>
      </c>
      <c r="DH299" t="s">
        <v>134</v>
      </c>
      <c r="DI299" t="s">
        <v>134</v>
      </c>
    </row>
    <row r="300" spans="1:113" x14ac:dyDescent="0.3">
      <c r="E300" t="s">
        <v>5</v>
      </c>
      <c r="F300" t="s">
        <v>134</v>
      </c>
      <c r="G300" t="s">
        <v>134</v>
      </c>
      <c r="H300" t="s">
        <v>134</v>
      </c>
      <c r="I300" t="s">
        <v>134</v>
      </c>
      <c r="J300" t="s">
        <v>134</v>
      </c>
      <c r="K300" t="s">
        <v>134</v>
      </c>
      <c r="L300" t="s">
        <v>134</v>
      </c>
      <c r="M300" t="s">
        <v>134</v>
      </c>
      <c r="N300" t="s">
        <v>134</v>
      </c>
      <c r="O300" t="s">
        <v>134</v>
      </c>
      <c r="P300" t="s">
        <v>134</v>
      </c>
      <c r="Q300" t="s">
        <v>134</v>
      </c>
      <c r="R300" t="s">
        <v>134</v>
      </c>
      <c r="S300" t="s">
        <v>134</v>
      </c>
      <c r="T300" t="s">
        <v>134</v>
      </c>
      <c r="U300" t="s">
        <v>134</v>
      </c>
      <c r="V300" t="s">
        <v>134</v>
      </c>
      <c r="W300" t="s">
        <v>134</v>
      </c>
      <c r="X300" t="s">
        <v>134</v>
      </c>
      <c r="Y300" t="s">
        <v>134</v>
      </c>
      <c r="Z300" t="s">
        <v>134</v>
      </c>
      <c r="AA300" t="s">
        <v>134</v>
      </c>
      <c r="AB300" t="s">
        <v>134</v>
      </c>
      <c r="AC300" t="s">
        <v>134</v>
      </c>
      <c r="AD300" t="s">
        <v>134</v>
      </c>
      <c r="AE300" t="s">
        <v>134</v>
      </c>
      <c r="AF300" t="s">
        <v>134</v>
      </c>
      <c r="AG300" t="s">
        <v>134</v>
      </c>
      <c r="AH300" t="s">
        <v>134</v>
      </c>
      <c r="AI300" t="s">
        <v>134</v>
      </c>
      <c r="AJ300" t="s">
        <v>134</v>
      </c>
      <c r="AK300" t="s">
        <v>134</v>
      </c>
      <c r="AL300" t="s">
        <v>134</v>
      </c>
      <c r="AM300" t="s">
        <v>134</v>
      </c>
      <c r="AN300" t="s">
        <v>134</v>
      </c>
      <c r="AO300" t="s">
        <v>134</v>
      </c>
      <c r="AP300" t="s">
        <v>134</v>
      </c>
      <c r="AQ300" t="s">
        <v>134</v>
      </c>
      <c r="AR300" t="s">
        <v>134</v>
      </c>
      <c r="AS300" t="s">
        <v>134</v>
      </c>
      <c r="AT300" t="s">
        <v>134</v>
      </c>
      <c r="AU300" t="s">
        <v>134</v>
      </c>
      <c r="AV300" t="s">
        <v>134</v>
      </c>
      <c r="AW300" t="s">
        <v>134</v>
      </c>
      <c r="AX300" t="s">
        <v>134</v>
      </c>
      <c r="AY300" t="s">
        <v>134</v>
      </c>
      <c r="AZ300" t="s">
        <v>134</v>
      </c>
      <c r="BA300" t="s">
        <v>134</v>
      </c>
      <c r="BB300" t="s">
        <v>134</v>
      </c>
      <c r="BC300" t="s">
        <v>134</v>
      </c>
      <c r="BD300" t="s">
        <v>134</v>
      </c>
      <c r="BE300" t="s">
        <v>134</v>
      </c>
      <c r="BF300" t="s">
        <v>134</v>
      </c>
      <c r="BG300" t="s">
        <v>134</v>
      </c>
      <c r="BH300" t="s">
        <v>134</v>
      </c>
      <c r="BI300" t="s">
        <v>134</v>
      </c>
      <c r="BJ300" t="s">
        <v>134</v>
      </c>
      <c r="BK300" t="s">
        <v>134</v>
      </c>
      <c r="BL300" t="s">
        <v>134</v>
      </c>
      <c r="BM300" t="s">
        <v>134</v>
      </c>
      <c r="BN300" t="s">
        <v>134</v>
      </c>
      <c r="BO300" t="s">
        <v>134</v>
      </c>
      <c r="BP300" t="s">
        <v>134</v>
      </c>
      <c r="BQ300" t="s">
        <v>134</v>
      </c>
      <c r="BR300" t="s">
        <v>134</v>
      </c>
      <c r="BS300" t="s">
        <v>134</v>
      </c>
      <c r="BT300" t="s">
        <v>134</v>
      </c>
      <c r="BU300" t="s">
        <v>134</v>
      </c>
      <c r="BV300" t="s">
        <v>134</v>
      </c>
      <c r="BW300" t="s">
        <v>134</v>
      </c>
      <c r="BX300" t="s">
        <v>134</v>
      </c>
      <c r="BY300" t="s">
        <v>134</v>
      </c>
      <c r="BZ300" t="s">
        <v>134</v>
      </c>
      <c r="CA300" t="s">
        <v>134</v>
      </c>
      <c r="CB300" t="s">
        <v>134</v>
      </c>
      <c r="CC300" t="s">
        <v>134</v>
      </c>
      <c r="CD300" t="s">
        <v>134</v>
      </c>
      <c r="CE300" t="s">
        <v>134</v>
      </c>
      <c r="CF300" t="s">
        <v>134</v>
      </c>
      <c r="CG300" t="s">
        <v>134</v>
      </c>
      <c r="CH300" t="s">
        <v>134</v>
      </c>
      <c r="CI300" t="s">
        <v>134</v>
      </c>
      <c r="CJ300" t="s">
        <v>134</v>
      </c>
      <c r="CK300" t="s">
        <v>134</v>
      </c>
      <c r="CL300" t="s">
        <v>134</v>
      </c>
      <c r="CM300" t="s">
        <v>134</v>
      </c>
      <c r="CN300" t="s">
        <v>134</v>
      </c>
      <c r="CO300" t="s">
        <v>134</v>
      </c>
      <c r="CP300" t="s">
        <v>134</v>
      </c>
      <c r="CQ300" t="s">
        <v>134</v>
      </c>
      <c r="CR300" t="s">
        <v>134</v>
      </c>
      <c r="CS300" t="s">
        <v>134</v>
      </c>
      <c r="CT300" t="s">
        <v>134</v>
      </c>
      <c r="CU300" t="s">
        <v>134</v>
      </c>
      <c r="CV300" t="s">
        <v>134</v>
      </c>
      <c r="CW300" t="s">
        <v>134</v>
      </c>
      <c r="CX300" t="s">
        <v>134</v>
      </c>
      <c r="CY300" t="s">
        <v>134</v>
      </c>
      <c r="CZ300" t="s">
        <v>134</v>
      </c>
      <c r="DA300" t="s">
        <v>134</v>
      </c>
      <c r="DB300" t="s">
        <v>134</v>
      </c>
      <c r="DC300" t="s">
        <v>134</v>
      </c>
      <c r="DD300" t="s">
        <v>134</v>
      </c>
      <c r="DE300" t="s">
        <v>134</v>
      </c>
      <c r="DF300" t="s">
        <v>134</v>
      </c>
      <c r="DG300" t="s">
        <v>134</v>
      </c>
      <c r="DH300" t="s">
        <v>134</v>
      </c>
      <c r="DI300" t="s">
        <v>134</v>
      </c>
    </row>
    <row r="301" spans="1:113" x14ac:dyDescent="0.3">
      <c r="E301" t="s">
        <v>6</v>
      </c>
      <c r="F301" t="s">
        <v>134</v>
      </c>
      <c r="G301" t="s">
        <v>134</v>
      </c>
      <c r="H301" t="s">
        <v>134</v>
      </c>
      <c r="I301" t="s">
        <v>134</v>
      </c>
      <c r="J301" t="s">
        <v>134</v>
      </c>
      <c r="K301" t="s">
        <v>134</v>
      </c>
      <c r="L301" t="s">
        <v>134</v>
      </c>
      <c r="M301" t="s">
        <v>134</v>
      </c>
      <c r="N301" t="s">
        <v>134</v>
      </c>
      <c r="O301" t="s">
        <v>134</v>
      </c>
      <c r="P301" t="s">
        <v>134</v>
      </c>
      <c r="Q301" t="s">
        <v>134</v>
      </c>
      <c r="R301" t="s">
        <v>134</v>
      </c>
      <c r="S301" t="s">
        <v>134</v>
      </c>
      <c r="T301" t="s">
        <v>134</v>
      </c>
      <c r="U301" t="s">
        <v>134</v>
      </c>
      <c r="V301" t="s">
        <v>134</v>
      </c>
      <c r="W301" t="s">
        <v>134</v>
      </c>
      <c r="X301" t="s">
        <v>134</v>
      </c>
      <c r="Y301" t="s">
        <v>134</v>
      </c>
      <c r="Z301" t="s">
        <v>134</v>
      </c>
      <c r="AA301" t="s">
        <v>134</v>
      </c>
      <c r="AB301" t="s">
        <v>134</v>
      </c>
      <c r="AC301" t="s">
        <v>134</v>
      </c>
      <c r="AD301" t="s">
        <v>134</v>
      </c>
      <c r="AE301" t="s">
        <v>134</v>
      </c>
      <c r="AF301" t="s">
        <v>134</v>
      </c>
      <c r="AG301" t="s">
        <v>134</v>
      </c>
      <c r="AH301" t="s">
        <v>134</v>
      </c>
      <c r="AI301" t="s">
        <v>134</v>
      </c>
      <c r="AJ301" t="s">
        <v>134</v>
      </c>
      <c r="AK301" t="s">
        <v>134</v>
      </c>
      <c r="AL301" t="s">
        <v>134</v>
      </c>
      <c r="AM301" t="s">
        <v>134</v>
      </c>
      <c r="AN301" t="s">
        <v>134</v>
      </c>
      <c r="AO301" t="s">
        <v>134</v>
      </c>
      <c r="AP301" t="s">
        <v>134</v>
      </c>
      <c r="AQ301" t="s">
        <v>134</v>
      </c>
      <c r="AR301" t="s">
        <v>134</v>
      </c>
      <c r="AS301" t="s">
        <v>134</v>
      </c>
      <c r="AT301" t="s">
        <v>134</v>
      </c>
      <c r="AU301" t="s">
        <v>134</v>
      </c>
      <c r="AV301" t="s">
        <v>134</v>
      </c>
      <c r="AW301" t="s">
        <v>134</v>
      </c>
      <c r="AX301" t="s">
        <v>134</v>
      </c>
      <c r="AY301" t="s">
        <v>134</v>
      </c>
      <c r="AZ301" t="s">
        <v>134</v>
      </c>
      <c r="BA301" t="s">
        <v>134</v>
      </c>
      <c r="BB301" t="s">
        <v>134</v>
      </c>
      <c r="BC301" t="s">
        <v>134</v>
      </c>
      <c r="BD301" t="s">
        <v>134</v>
      </c>
      <c r="BE301" t="s">
        <v>134</v>
      </c>
      <c r="BF301" t="s">
        <v>134</v>
      </c>
      <c r="BG301" t="s">
        <v>134</v>
      </c>
      <c r="BH301" t="s">
        <v>134</v>
      </c>
      <c r="BI301" t="s">
        <v>134</v>
      </c>
      <c r="BJ301" t="s">
        <v>134</v>
      </c>
      <c r="BK301" t="s">
        <v>134</v>
      </c>
      <c r="BL301" t="s">
        <v>134</v>
      </c>
      <c r="BM301" t="s">
        <v>134</v>
      </c>
      <c r="BN301" t="s">
        <v>134</v>
      </c>
      <c r="BO301" t="s">
        <v>134</v>
      </c>
      <c r="BP301" t="s">
        <v>134</v>
      </c>
      <c r="BQ301" t="s">
        <v>134</v>
      </c>
      <c r="BR301" t="s">
        <v>134</v>
      </c>
      <c r="BS301" t="s">
        <v>134</v>
      </c>
      <c r="BT301" t="s">
        <v>134</v>
      </c>
      <c r="BU301" t="s">
        <v>134</v>
      </c>
      <c r="BV301" t="s">
        <v>134</v>
      </c>
      <c r="BW301" t="s">
        <v>134</v>
      </c>
      <c r="BX301" t="s">
        <v>134</v>
      </c>
      <c r="BY301" t="s">
        <v>134</v>
      </c>
      <c r="BZ301" t="s">
        <v>134</v>
      </c>
      <c r="CA301" t="s">
        <v>134</v>
      </c>
      <c r="CB301" t="s">
        <v>134</v>
      </c>
      <c r="CC301" t="s">
        <v>134</v>
      </c>
      <c r="CD301" t="s">
        <v>134</v>
      </c>
      <c r="CE301" t="s">
        <v>134</v>
      </c>
      <c r="CF301" t="s">
        <v>134</v>
      </c>
      <c r="CG301" t="s">
        <v>134</v>
      </c>
      <c r="CH301" t="s">
        <v>134</v>
      </c>
      <c r="CI301" t="s">
        <v>134</v>
      </c>
      <c r="CJ301" t="s">
        <v>134</v>
      </c>
      <c r="CK301" t="s">
        <v>134</v>
      </c>
      <c r="CL301" t="s">
        <v>134</v>
      </c>
      <c r="CM301" t="s">
        <v>134</v>
      </c>
      <c r="CN301" t="s">
        <v>134</v>
      </c>
      <c r="CO301" t="s">
        <v>134</v>
      </c>
      <c r="CP301" t="s">
        <v>134</v>
      </c>
      <c r="CQ301" t="s">
        <v>134</v>
      </c>
      <c r="CR301" t="s">
        <v>134</v>
      </c>
      <c r="CS301" t="s">
        <v>134</v>
      </c>
      <c r="CT301" t="s">
        <v>134</v>
      </c>
      <c r="CU301" t="s">
        <v>134</v>
      </c>
      <c r="CV301" t="s">
        <v>134</v>
      </c>
      <c r="CW301" t="s">
        <v>134</v>
      </c>
      <c r="CX301" t="s">
        <v>134</v>
      </c>
      <c r="CY301" t="s">
        <v>134</v>
      </c>
      <c r="CZ301" t="s">
        <v>134</v>
      </c>
      <c r="DA301" t="s">
        <v>134</v>
      </c>
      <c r="DB301" t="s">
        <v>134</v>
      </c>
      <c r="DC301" t="s">
        <v>134</v>
      </c>
      <c r="DD301" t="s">
        <v>134</v>
      </c>
      <c r="DE301" t="s">
        <v>134</v>
      </c>
      <c r="DF301" t="s">
        <v>134</v>
      </c>
      <c r="DG301" t="s">
        <v>134</v>
      </c>
      <c r="DH301" t="s">
        <v>134</v>
      </c>
      <c r="DI301" t="s">
        <v>134</v>
      </c>
    </row>
    <row r="302" spans="1:113" x14ac:dyDescent="0.3">
      <c r="E302" t="s">
        <v>7</v>
      </c>
      <c r="F302" t="s">
        <v>134</v>
      </c>
      <c r="G302" t="s">
        <v>134</v>
      </c>
      <c r="H302" t="s">
        <v>134</v>
      </c>
      <c r="I302" t="s">
        <v>134</v>
      </c>
      <c r="J302" t="s">
        <v>134</v>
      </c>
      <c r="K302" t="s">
        <v>134</v>
      </c>
      <c r="L302" t="s">
        <v>134</v>
      </c>
      <c r="M302" t="s">
        <v>134</v>
      </c>
      <c r="N302" t="s">
        <v>134</v>
      </c>
      <c r="O302" t="s">
        <v>134</v>
      </c>
      <c r="P302" t="s">
        <v>134</v>
      </c>
      <c r="Q302" t="s">
        <v>134</v>
      </c>
      <c r="R302" t="s">
        <v>134</v>
      </c>
      <c r="S302" t="s">
        <v>134</v>
      </c>
      <c r="T302" t="s">
        <v>134</v>
      </c>
      <c r="U302" t="s">
        <v>134</v>
      </c>
      <c r="V302" t="s">
        <v>134</v>
      </c>
      <c r="W302" t="s">
        <v>134</v>
      </c>
      <c r="X302" t="s">
        <v>134</v>
      </c>
      <c r="Y302" t="s">
        <v>134</v>
      </c>
      <c r="Z302" t="s">
        <v>134</v>
      </c>
      <c r="AA302" t="s">
        <v>134</v>
      </c>
      <c r="AB302" t="s">
        <v>134</v>
      </c>
      <c r="AC302" t="s">
        <v>134</v>
      </c>
      <c r="AD302" t="s">
        <v>134</v>
      </c>
      <c r="AE302" t="s">
        <v>134</v>
      </c>
      <c r="AF302" t="s">
        <v>134</v>
      </c>
      <c r="AG302" t="s">
        <v>134</v>
      </c>
      <c r="AH302" t="s">
        <v>134</v>
      </c>
      <c r="AI302" t="s">
        <v>134</v>
      </c>
      <c r="AJ302" t="s">
        <v>134</v>
      </c>
      <c r="AK302" t="s">
        <v>134</v>
      </c>
      <c r="AL302" t="s">
        <v>134</v>
      </c>
      <c r="AM302" t="s">
        <v>134</v>
      </c>
      <c r="AN302" t="s">
        <v>134</v>
      </c>
      <c r="AO302" t="s">
        <v>134</v>
      </c>
      <c r="AP302" t="s">
        <v>134</v>
      </c>
      <c r="AQ302" t="s">
        <v>134</v>
      </c>
      <c r="AR302" t="s">
        <v>134</v>
      </c>
      <c r="AS302" t="s">
        <v>134</v>
      </c>
      <c r="AT302" t="s">
        <v>134</v>
      </c>
      <c r="AU302" t="s">
        <v>134</v>
      </c>
      <c r="AV302" t="s">
        <v>134</v>
      </c>
      <c r="AW302" t="s">
        <v>134</v>
      </c>
      <c r="AX302" t="s">
        <v>134</v>
      </c>
      <c r="AY302" t="s">
        <v>134</v>
      </c>
      <c r="AZ302" t="s">
        <v>134</v>
      </c>
      <c r="BA302" t="s">
        <v>134</v>
      </c>
      <c r="BB302" t="s">
        <v>134</v>
      </c>
      <c r="BC302" t="s">
        <v>134</v>
      </c>
      <c r="BD302" t="s">
        <v>134</v>
      </c>
      <c r="BE302" t="s">
        <v>134</v>
      </c>
      <c r="BF302" t="s">
        <v>134</v>
      </c>
      <c r="BG302" t="s">
        <v>134</v>
      </c>
      <c r="BH302" t="s">
        <v>134</v>
      </c>
      <c r="BI302" t="s">
        <v>134</v>
      </c>
      <c r="BJ302" t="s">
        <v>134</v>
      </c>
      <c r="BK302" t="s">
        <v>134</v>
      </c>
      <c r="BL302" t="s">
        <v>134</v>
      </c>
      <c r="BM302" t="s">
        <v>134</v>
      </c>
      <c r="BN302" t="s">
        <v>134</v>
      </c>
      <c r="BO302" t="s">
        <v>134</v>
      </c>
      <c r="BP302" t="s">
        <v>134</v>
      </c>
      <c r="BQ302" t="s">
        <v>134</v>
      </c>
      <c r="BR302" t="s">
        <v>134</v>
      </c>
      <c r="BS302" t="s">
        <v>134</v>
      </c>
      <c r="BT302" t="s">
        <v>134</v>
      </c>
      <c r="BU302" t="s">
        <v>134</v>
      </c>
      <c r="BV302" t="s">
        <v>134</v>
      </c>
      <c r="BW302" t="s">
        <v>134</v>
      </c>
      <c r="BX302" t="s">
        <v>134</v>
      </c>
      <c r="BY302" t="s">
        <v>134</v>
      </c>
      <c r="BZ302" t="s">
        <v>134</v>
      </c>
      <c r="CA302" t="s">
        <v>134</v>
      </c>
      <c r="CB302" t="s">
        <v>134</v>
      </c>
      <c r="CC302" t="s">
        <v>134</v>
      </c>
      <c r="CD302" t="s">
        <v>134</v>
      </c>
      <c r="CE302" t="s">
        <v>134</v>
      </c>
      <c r="CF302" t="s">
        <v>134</v>
      </c>
      <c r="CG302" t="s">
        <v>134</v>
      </c>
      <c r="CH302" t="s">
        <v>134</v>
      </c>
      <c r="CI302" t="s">
        <v>134</v>
      </c>
      <c r="CJ302" t="s">
        <v>134</v>
      </c>
      <c r="CK302" t="s">
        <v>134</v>
      </c>
      <c r="CL302" t="s">
        <v>134</v>
      </c>
      <c r="CM302" t="s">
        <v>134</v>
      </c>
      <c r="CN302" t="s">
        <v>134</v>
      </c>
      <c r="CO302" t="s">
        <v>134</v>
      </c>
      <c r="CP302" t="s">
        <v>134</v>
      </c>
      <c r="CQ302" t="s">
        <v>134</v>
      </c>
      <c r="CR302" t="s">
        <v>134</v>
      </c>
      <c r="CS302" t="s">
        <v>134</v>
      </c>
      <c r="CT302" t="s">
        <v>134</v>
      </c>
      <c r="CU302" t="s">
        <v>134</v>
      </c>
      <c r="CV302" t="s">
        <v>134</v>
      </c>
      <c r="CW302" t="s">
        <v>134</v>
      </c>
      <c r="CX302" t="s">
        <v>134</v>
      </c>
      <c r="CY302" t="s">
        <v>134</v>
      </c>
      <c r="CZ302" t="s">
        <v>134</v>
      </c>
      <c r="DA302" t="s">
        <v>134</v>
      </c>
      <c r="DB302" t="s">
        <v>134</v>
      </c>
      <c r="DC302" t="s">
        <v>134</v>
      </c>
      <c r="DD302" t="s">
        <v>134</v>
      </c>
      <c r="DE302" t="s">
        <v>134</v>
      </c>
      <c r="DF302" t="s">
        <v>134</v>
      </c>
      <c r="DG302" t="s">
        <v>134</v>
      </c>
      <c r="DH302" t="s">
        <v>134</v>
      </c>
      <c r="DI302" t="s">
        <v>134</v>
      </c>
    </row>
    <row r="303" spans="1:113" x14ac:dyDescent="0.3">
      <c r="A303">
        <v>63</v>
      </c>
      <c r="B303" t="s">
        <v>34</v>
      </c>
      <c r="C303" t="s">
        <v>35</v>
      </c>
      <c r="D303" t="s">
        <v>2</v>
      </c>
      <c r="E303" t="s">
        <v>3</v>
      </c>
      <c r="F303">
        <v>21.572400000000002</v>
      </c>
      <c r="G303">
        <v>5.6657999999999999</v>
      </c>
      <c r="H303">
        <v>12.248699999999999</v>
      </c>
      <c r="I303">
        <v>4.8663999999999996</v>
      </c>
      <c r="J303">
        <v>7.4871999999999996</v>
      </c>
      <c r="K303">
        <v>4.2375999999999996</v>
      </c>
      <c r="L303" t="s">
        <v>134</v>
      </c>
      <c r="M303">
        <v>8.6949000000000005</v>
      </c>
      <c r="N303">
        <v>7.7001999999999997</v>
      </c>
      <c r="O303">
        <v>6.9728000000000003</v>
      </c>
      <c r="P303">
        <v>6.9728000000000003</v>
      </c>
      <c r="Q303">
        <v>25.71</v>
      </c>
      <c r="R303">
        <v>18.4757</v>
      </c>
      <c r="S303">
        <v>17.5868</v>
      </c>
      <c r="T303">
        <v>6.8441999999999998</v>
      </c>
      <c r="U303">
        <v>-2.5800999999999998</v>
      </c>
      <c r="V303">
        <v>-7.2929000000000004</v>
      </c>
      <c r="W303">
        <v>13.8498</v>
      </c>
      <c r="X303">
        <v>13.586</v>
      </c>
      <c r="Y303">
        <v>8</v>
      </c>
      <c r="Z303">
        <v>10.593999999999999</v>
      </c>
      <c r="AA303">
        <v>-0.75280000000000002</v>
      </c>
      <c r="AB303">
        <v>3.9123000000000001</v>
      </c>
      <c r="AC303">
        <v>15.4315</v>
      </c>
      <c r="AD303">
        <v>35.400799999999997</v>
      </c>
      <c r="AE303">
        <v>48.72</v>
      </c>
      <c r="AF303">
        <v>-0.93020000000000003</v>
      </c>
      <c r="AG303">
        <v>10.757400000000001</v>
      </c>
      <c r="AH303">
        <v>22.8872</v>
      </c>
      <c r="AI303">
        <v>14.9748</v>
      </c>
      <c r="AJ303">
        <v>19.191199999999998</v>
      </c>
      <c r="AK303">
        <v>16.7637</v>
      </c>
      <c r="AL303">
        <v>57.720999999999997</v>
      </c>
      <c r="AM303">
        <v>28.658000000000001</v>
      </c>
      <c r="AN303" t="s">
        <v>134</v>
      </c>
      <c r="AO303" t="s">
        <v>134</v>
      </c>
      <c r="AP303">
        <v>27.129300000000001</v>
      </c>
      <c r="AQ303">
        <v>25.73</v>
      </c>
      <c r="AR303">
        <v>21.9755</v>
      </c>
      <c r="AS303">
        <v>10.4383</v>
      </c>
      <c r="AT303">
        <v>20.6218</v>
      </c>
      <c r="AU303">
        <v>19.2897</v>
      </c>
      <c r="AV303">
        <v>23.025200000000002</v>
      </c>
      <c r="AW303">
        <v>11.929500000000001</v>
      </c>
      <c r="AX303">
        <v>2.3721000000000001</v>
      </c>
      <c r="AY303">
        <v>16.667400000000001</v>
      </c>
      <c r="AZ303">
        <v>54.5227</v>
      </c>
      <c r="BA303">
        <v>23.770900000000001</v>
      </c>
      <c r="BB303">
        <v>23.52</v>
      </c>
      <c r="BC303">
        <v>23.657499999999999</v>
      </c>
      <c r="BD303">
        <v>25.040299999999998</v>
      </c>
      <c r="BE303" t="s">
        <v>134</v>
      </c>
      <c r="BF303">
        <v>6.8441999999999998</v>
      </c>
      <c r="BG303">
        <v>-2.5800999999999998</v>
      </c>
      <c r="BH303">
        <v>-7.2929000000000004</v>
      </c>
      <c r="BI303">
        <v>13.8498</v>
      </c>
      <c r="BJ303">
        <v>13.586</v>
      </c>
      <c r="BK303">
        <v>8</v>
      </c>
      <c r="BL303">
        <v>10.593999999999999</v>
      </c>
      <c r="BM303">
        <v>-0.75280000000000002</v>
      </c>
      <c r="BN303">
        <v>3.9123000000000001</v>
      </c>
      <c r="BO303">
        <v>15.4315</v>
      </c>
      <c r="BP303">
        <v>35.400799999999997</v>
      </c>
      <c r="BQ303">
        <v>48.72</v>
      </c>
      <c r="BR303">
        <v>-0.93020000000000003</v>
      </c>
      <c r="BS303">
        <v>10.757400000000001</v>
      </c>
      <c r="BT303">
        <v>22.8872</v>
      </c>
      <c r="BU303">
        <v>14.9748</v>
      </c>
      <c r="BV303">
        <v>19.191199999999998</v>
      </c>
      <c r="BW303">
        <v>16.7637</v>
      </c>
      <c r="BX303" t="s">
        <v>134</v>
      </c>
      <c r="BY303">
        <v>354084.7</v>
      </c>
      <c r="BZ303">
        <v>99167.2</v>
      </c>
      <c r="CA303">
        <v>254917.5</v>
      </c>
      <c r="CB303">
        <v>7.0658000000000003</v>
      </c>
      <c r="CC303">
        <v>5.4175000000000004</v>
      </c>
      <c r="CD303">
        <v>12.4841</v>
      </c>
      <c r="CE303">
        <v>9.5717999999999996</v>
      </c>
      <c r="CF303">
        <v>1.7688000000000001</v>
      </c>
      <c r="CG303">
        <v>26.404</v>
      </c>
      <c r="CH303">
        <v>87.781599999999997</v>
      </c>
      <c r="CI303">
        <v>39.553699999999999</v>
      </c>
      <c r="CJ303">
        <v>28.879200000000001</v>
      </c>
      <c r="CK303">
        <v>121.9302</v>
      </c>
      <c r="CL303">
        <v>54.940800000000003</v>
      </c>
      <c r="CM303">
        <v>40.113700000000001</v>
      </c>
      <c r="CN303">
        <v>93.486400000000003</v>
      </c>
      <c r="CO303">
        <v>48.316800000000001</v>
      </c>
      <c r="CP303">
        <v>50112.3</v>
      </c>
      <c r="CQ303">
        <v>13459.5</v>
      </c>
      <c r="CR303">
        <v>28362.799999999999</v>
      </c>
      <c r="CS303">
        <v>0.29970000000000002</v>
      </c>
      <c r="CT303">
        <v>1.4367000000000001</v>
      </c>
      <c r="CU303">
        <v>0.50749999999999995</v>
      </c>
      <c r="CV303">
        <v>1.9306999999999999</v>
      </c>
      <c r="CW303">
        <v>12.2782</v>
      </c>
      <c r="CX303">
        <v>29.727399999999999</v>
      </c>
      <c r="CY303">
        <v>5.3822999999999999</v>
      </c>
      <c r="CZ303">
        <v>67.815200000000004</v>
      </c>
      <c r="DA303">
        <v>3.8014999999999999</v>
      </c>
      <c r="DB303">
        <v>96.013599999999997</v>
      </c>
      <c r="DC303">
        <v>1.5289999999999999</v>
      </c>
      <c r="DD303">
        <v>97.542599999999993</v>
      </c>
      <c r="DE303">
        <v>83535.399999999994</v>
      </c>
      <c r="DF303">
        <v>23883.599999999999</v>
      </c>
      <c r="DG303">
        <v>21165.5</v>
      </c>
      <c r="DH303">
        <v>29105.7</v>
      </c>
      <c r="DI303">
        <v>9380.6</v>
      </c>
    </row>
    <row r="304" spans="1:113" x14ac:dyDescent="0.3">
      <c r="E304" t="s">
        <v>4</v>
      </c>
      <c r="F304" t="s">
        <v>134</v>
      </c>
      <c r="G304" t="s">
        <v>134</v>
      </c>
      <c r="H304" t="s">
        <v>134</v>
      </c>
      <c r="I304" t="s">
        <v>134</v>
      </c>
      <c r="J304" t="s">
        <v>134</v>
      </c>
      <c r="K304" t="s">
        <v>134</v>
      </c>
      <c r="L304" t="s">
        <v>134</v>
      </c>
      <c r="M304" t="s">
        <v>134</v>
      </c>
      <c r="N304" t="s">
        <v>134</v>
      </c>
      <c r="O304" t="s">
        <v>134</v>
      </c>
      <c r="P304" t="s">
        <v>134</v>
      </c>
      <c r="Q304" t="s">
        <v>134</v>
      </c>
      <c r="R304" t="s">
        <v>134</v>
      </c>
      <c r="S304" t="s">
        <v>134</v>
      </c>
      <c r="T304" t="s">
        <v>134</v>
      </c>
      <c r="U304" t="s">
        <v>134</v>
      </c>
      <c r="V304" t="s">
        <v>134</v>
      </c>
      <c r="W304" t="s">
        <v>134</v>
      </c>
      <c r="X304" t="s">
        <v>134</v>
      </c>
      <c r="Y304" t="s">
        <v>134</v>
      </c>
      <c r="Z304" t="s">
        <v>134</v>
      </c>
      <c r="AA304" t="s">
        <v>134</v>
      </c>
      <c r="AB304" t="s">
        <v>134</v>
      </c>
      <c r="AC304" t="s">
        <v>134</v>
      </c>
      <c r="AD304" t="s">
        <v>134</v>
      </c>
      <c r="AE304" t="s">
        <v>134</v>
      </c>
      <c r="AF304" t="s">
        <v>134</v>
      </c>
      <c r="AG304" t="s">
        <v>134</v>
      </c>
      <c r="AH304" t="s">
        <v>134</v>
      </c>
      <c r="AI304" t="s">
        <v>134</v>
      </c>
      <c r="AJ304" t="s">
        <v>134</v>
      </c>
      <c r="AK304" t="s">
        <v>134</v>
      </c>
      <c r="AL304" t="s">
        <v>134</v>
      </c>
      <c r="AM304" t="s">
        <v>134</v>
      </c>
      <c r="AN304" t="s">
        <v>134</v>
      </c>
      <c r="AO304" t="s">
        <v>134</v>
      </c>
      <c r="AP304" t="s">
        <v>134</v>
      </c>
      <c r="AQ304" t="s">
        <v>134</v>
      </c>
      <c r="AR304" t="s">
        <v>134</v>
      </c>
      <c r="AS304" t="s">
        <v>134</v>
      </c>
      <c r="AT304" t="s">
        <v>134</v>
      </c>
      <c r="AU304" t="s">
        <v>134</v>
      </c>
      <c r="AV304" t="s">
        <v>134</v>
      </c>
      <c r="AW304" t="s">
        <v>134</v>
      </c>
      <c r="AX304" t="s">
        <v>134</v>
      </c>
      <c r="AY304" t="s">
        <v>134</v>
      </c>
      <c r="AZ304" t="s">
        <v>134</v>
      </c>
      <c r="BA304" t="s">
        <v>134</v>
      </c>
      <c r="BB304" t="s">
        <v>134</v>
      </c>
      <c r="BC304" t="s">
        <v>134</v>
      </c>
      <c r="BD304" t="s">
        <v>134</v>
      </c>
      <c r="BE304" t="s">
        <v>134</v>
      </c>
      <c r="BF304" t="s">
        <v>134</v>
      </c>
      <c r="BG304" t="s">
        <v>134</v>
      </c>
      <c r="BH304" t="s">
        <v>134</v>
      </c>
      <c r="BI304" t="s">
        <v>134</v>
      </c>
      <c r="BJ304" t="s">
        <v>134</v>
      </c>
      <c r="BK304" t="s">
        <v>134</v>
      </c>
      <c r="BL304" t="s">
        <v>134</v>
      </c>
      <c r="BM304" t="s">
        <v>134</v>
      </c>
      <c r="BN304" t="s">
        <v>134</v>
      </c>
      <c r="BO304" t="s">
        <v>134</v>
      </c>
      <c r="BP304" t="s">
        <v>134</v>
      </c>
      <c r="BQ304" t="s">
        <v>134</v>
      </c>
      <c r="BR304" t="s">
        <v>134</v>
      </c>
      <c r="BS304" t="s">
        <v>134</v>
      </c>
      <c r="BT304" t="s">
        <v>134</v>
      </c>
      <c r="BU304" t="s">
        <v>134</v>
      </c>
      <c r="BV304" t="s">
        <v>134</v>
      </c>
      <c r="BW304" t="s">
        <v>134</v>
      </c>
      <c r="BX304" t="s">
        <v>134</v>
      </c>
      <c r="BY304" t="s">
        <v>134</v>
      </c>
      <c r="BZ304" t="s">
        <v>134</v>
      </c>
      <c r="CA304" t="s">
        <v>134</v>
      </c>
      <c r="CB304" t="s">
        <v>134</v>
      </c>
      <c r="CC304" t="s">
        <v>134</v>
      </c>
      <c r="CD304" t="s">
        <v>134</v>
      </c>
      <c r="CE304" t="s">
        <v>134</v>
      </c>
      <c r="CF304" t="s">
        <v>134</v>
      </c>
      <c r="CG304" t="s">
        <v>134</v>
      </c>
      <c r="CH304" t="s">
        <v>134</v>
      </c>
      <c r="CI304" t="s">
        <v>134</v>
      </c>
      <c r="CJ304" t="s">
        <v>134</v>
      </c>
      <c r="CK304" t="s">
        <v>134</v>
      </c>
      <c r="CL304" t="s">
        <v>134</v>
      </c>
      <c r="CM304" t="s">
        <v>134</v>
      </c>
      <c r="CN304" t="s">
        <v>134</v>
      </c>
      <c r="CO304" t="s">
        <v>134</v>
      </c>
      <c r="CP304" t="s">
        <v>134</v>
      </c>
      <c r="CQ304" t="s">
        <v>134</v>
      </c>
      <c r="CR304" t="s">
        <v>134</v>
      </c>
      <c r="CS304" t="s">
        <v>134</v>
      </c>
      <c r="CT304" t="s">
        <v>134</v>
      </c>
      <c r="CU304" t="s">
        <v>134</v>
      </c>
      <c r="CV304" t="s">
        <v>134</v>
      </c>
      <c r="CW304" t="s">
        <v>134</v>
      </c>
      <c r="CX304" t="s">
        <v>134</v>
      </c>
      <c r="CY304" t="s">
        <v>134</v>
      </c>
      <c r="CZ304" t="s">
        <v>134</v>
      </c>
      <c r="DA304" t="s">
        <v>134</v>
      </c>
      <c r="DB304" t="s">
        <v>134</v>
      </c>
      <c r="DC304" t="s">
        <v>134</v>
      </c>
      <c r="DD304" t="s">
        <v>134</v>
      </c>
      <c r="DE304" t="s">
        <v>134</v>
      </c>
      <c r="DF304" t="s">
        <v>134</v>
      </c>
      <c r="DG304" t="s">
        <v>134</v>
      </c>
      <c r="DH304" t="s">
        <v>134</v>
      </c>
      <c r="DI304" t="s">
        <v>134</v>
      </c>
    </row>
    <row r="305" spans="4:113" x14ac:dyDescent="0.3">
      <c r="E305" t="s">
        <v>5</v>
      </c>
      <c r="F305" t="s">
        <v>134</v>
      </c>
      <c r="G305" t="s">
        <v>134</v>
      </c>
      <c r="H305" t="s">
        <v>134</v>
      </c>
      <c r="I305" t="s">
        <v>134</v>
      </c>
      <c r="J305" t="s">
        <v>134</v>
      </c>
      <c r="K305" t="s">
        <v>134</v>
      </c>
      <c r="L305" t="s">
        <v>134</v>
      </c>
      <c r="M305" t="s">
        <v>134</v>
      </c>
      <c r="N305" t="s">
        <v>134</v>
      </c>
      <c r="O305" t="s">
        <v>134</v>
      </c>
      <c r="P305" t="s">
        <v>134</v>
      </c>
      <c r="Q305" t="s">
        <v>134</v>
      </c>
      <c r="R305" t="s">
        <v>134</v>
      </c>
      <c r="S305" t="s">
        <v>134</v>
      </c>
      <c r="T305" t="s">
        <v>134</v>
      </c>
      <c r="U305" t="s">
        <v>134</v>
      </c>
      <c r="V305" t="s">
        <v>134</v>
      </c>
      <c r="W305" t="s">
        <v>134</v>
      </c>
      <c r="X305" t="s">
        <v>134</v>
      </c>
      <c r="Y305" t="s">
        <v>134</v>
      </c>
      <c r="Z305" t="s">
        <v>134</v>
      </c>
      <c r="AA305" t="s">
        <v>134</v>
      </c>
      <c r="AB305" t="s">
        <v>134</v>
      </c>
      <c r="AC305" t="s">
        <v>134</v>
      </c>
      <c r="AD305" t="s">
        <v>134</v>
      </c>
      <c r="AE305" t="s">
        <v>134</v>
      </c>
      <c r="AF305" t="s">
        <v>134</v>
      </c>
      <c r="AG305" t="s">
        <v>134</v>
      </c>
      <c r="AH305" t="s">
        <v>134</v>
      </c>
      <c r="AI305" t="s">
        <v>134</v>
      </c>
      <c r="AJ305" t="s">
        <v>134</v>
      </c>
      <c r="AK305" t="s">
        <v>134</v>
      </c>
      <c r="AL305" t="s">
        <v>134</v>
      </c>
      <c r="AM305" t="s">
        <v>134</v>
      </c>
      <c r="AN305" t="s">
        <v>134</v>
      </c>
      <c r="AO305" t="s">
        <v>134</v>
      </c>
      <c r="AP305" t="s">
        <v>134</v>
      </c>
      <c r="AQ305" t="s">
        <v>134</v>
      </c>
      <c r="AR305" t="s">
        <v>134</v>
      </c>
      <c r="AS305" t="s">
        <v>134</v>
      </c>
      <c r="AT305" t="s">
        <v>134</v>
      </c>
      <c r="AU305" t="s">
        <v>134</v>
      </c>
      <c r="AV305" t="s">
        <v>134</v>
      </c>
      <c r="AW305" t="s">
        <v>134</v>
      </c>
      <c r="AX305" t="s">
        <v>134</v>
      </c>
      <c r="AY305" t="s">
        <v>134</v>
      </c>
      <c r="AZ305" t="s">
        <v>134</v>
      </c>
      <c r="BA305" t="s">
        <v>134</v>
      </c>
      <c r="BB305" t="s">
        <v>134</v>
      </c>
      <c r="BC305" t="s">
        <v>134</v>
      </c>
      <c r="BD305" t="s">
        <v>134</v>
      </c>
      <c r="BE305" t="s">
        <v>134</v>
      </c>
      <c r="BF305" t="s">
        <v>134</v>
      </c>
      <c r="BG305" t="s">
        <v>134</v>
      </c>
      <c r="BH305" t="s">
        <v>134</v>
      </c>
      <c r="BI305" t="s">
        <v>134</v>
      </c>
      <c r="BJ305" t="s">
        <v>134</v>
      </c>
      <c r="BK305" t="s">
        <v>134</v>
      </c>
      <c r="BL305" t="s">
        <v>134</v>
      </c>
      <c r="BM305" t="s">
        <v>134</v>
      </c>
      <c r="BN305" t="s">
        <v>134</v>
      </c>
      <c r="BO305" t="s">
        <v>134</v>
      </c>
      <c r="BP305" t="s">
        <v>134</v>
      </c>
      <c r="BQ305" t="s">
        <v>134</v>
      </c>
      <c r="BR305" t="s">
        <v>134</v>
      </c>
      <c r="BS305" t="s">
        <v>134</v>
      </c>
      <c r="BT305" t="s">
        <v>134</v>
      </c>
      <c r="BU305" t="s">
        <v>134</v>
      </c>
      <c r="BV305" t="s">
        <v>134</v>
      </c>
      <c r="BW305" t="s">
        <v>134</v>
      </c>
      <c r="BX305" t="s">
        <v>134</v>
      </c>
      <c r="BY305" t="s">
        <v>134</v>
      </c>
      <c r="BZ305" t="s">
        <v>134</v>
      </c>
      <c r="CA305" t="s">
        <v>134</v>
      </c>
      <c r="CB305" t="s">
        <v>134</v>
      </c>
      <c r="CC305" t="s">
        <v>134</v>
      </c>
      <c r="CD305" t="s">
        <v>134</v>
      </c>
      <c r="CE305" t="s">
        <v>134</v>
      </c>
      <c r="CF305" t="s">
        <v>134</v>
      </c>
      <c r="CG305" t="s">
        <v>134</v>
      </c>
      <c r="CH305" t="s">
        <v>134</v>
      </c>
      <c r="CI305" t="s">
        <v>134</v>
      </c>
      <c r="CJ305" t="s">
        <v>134</v>
      </c>
      <c r="CK305" t="s">
        <v>134</v>
      </c>
      <c r="CL305" t="s">
        <v>134</v>
      </c>
      <c r="CM305" t="s">
        <v>134</v>
      </c>
      <c r="CN305" t="s">
        <v>134</v>
      </c>
      <c r="CO305" t="s">
        <v>134</v>
      </c>
      <c r="CP305" t="s">
        <v>134</v>
      </c>
      <c r="CQ305" t="s">
        <v>134</v>
      </c>
      <c r="CR305" t="s">
        <v>134</v>
      </c>
      <c r="CS305" t="s">
        <v>134</v>
      </c>
      <c r="CT305" t="s">
        <v>134</v>
      </c>
      <c r="CU305" t="s">
        <v>134</v>
      </c>
      <c r="CV305" t="s">
        <v>134</v>
      </c>
      <c r="CW305" t="s">
        <v>134</v>
      </c>
      <c r="CX305" t="s">
        <v>134</v>
      </c>
      <c r="CY305" t="s">
        <v>134</v>
      </c>
      <c r="CZ305" t="s">
        <v>134</v>
      </c>
      <c r="DA305" t="s">
        <v>134</v>
      </c>
      <c r="DB305" t="s">
        <v>134</v>
      </c>
      <c r="DC305" t="s">
        <v>134</v>
      </c>
      <c r="DD305" t="s">
        <v>134</v>
      </c>
      <c r="DE305" t="s">
        <v>134</v>
      </c>
      <c r="DF305" t="s">
        <v>134</v>
      </c>
      <c r="DG305" t="s">
        <v>134</v>
      </c>
      <c r="DH305" t="s">
        <v>134</v>
      </c>
      <c r="DI305" t="s">
        <v>134</v>
      </c>
    </row>
    <row r="306" spans="4:113" x14ac:dyDescent="0.3">
      <c r="E306" t="s">
        <v>6</v>
      </c>
      <c r="F306" t="s">
        <v>134</v>
      </c>
      <c r="G306" t="s">
        <v>134</v>
      </c>
      <c r="H306" t="s">
        <v>134</v>
      </c>
      <c r="I306" t="s">
        <v>134</v>
      </c>
      <c r="J306" t="s">
        <v>134</v>
      </c>
      <c r="K306" t="s">
        <v>134</v>
      </c>
      <c r="L306" t="s">
        <v>134</v>
      </c>
      <c r="M306" t="s">
        <v>134</v>
      </c>
      <c r="N306" t="s">
        <v>134</v>
      </c>
      <c r="O306" t="s">
        <v>134</v>
      </c>
      <c r="P306" t="s">
        <v>134</v>
      </c>
      <c r="Q306" t="s">
        <v>134</v>
      </c>
      <c r="R306" t="s">
        <v>134</v>
      </c>
      <c r="S306" t="s">
        <v>134</v>
      </c>
      <c r="T306" t="s">
        <v>134</v>
      </c>
      <c r="U306" t="s">
        <v>134</v>
      </c>
      <c r="V306" t="s">
        <v>134</v>
      </c>
      <c r="W306" t="s">
        <v>134</v>
      </c>
      <c r="X306" t="s">
        <v>134</v>
      </c>
      <c r="Y306" t="s">
        <v>134</v>
      </c>
      <c r="Z306" t="s">
        <v>134</v>
      </c>
      <c r="AA306" t="s">
        <v>134</v>
      </c>
      <c r="AB306" t="s">
        <v>134</v>
      </c>
      <c r="AC306" t="s">
        <v>134</v>
      </c>
      <c r="AD306" t="s">
        <v>134</v>
      </c>
      <c r="AE306" t="s">
        <v>134</v>
      </c>
      <c r="AF306" t="s">
        <v>134</v>
      </c>
      <c r="AG306" t="s">
        <v>134</v>
      </c>
      <c r="AH306" t="s">
        <v>134</v>
      </c>
      <c r="AI306" t="s">
        <v>134</v>
      </c>
      <c r="AJ306" t="s">
        <v>134</v>
      </c>
      <c r="AK306" t="s">
        <v>134</v>
      </c>
      <c r="AL306" t="s">
        <v>134</v>
      </c>
      <c r="AM306" t="s">
        <v>134</v>
      </c>
      <c r="AN306" t="s">
        <v>134</v>
      </c>
      <c r="AO306" t="s">
        <v>134</v>
      </c>
      <c r="AP306" t="s">
        <v>134</v>
      </c>
      <c r="AQ306" t="s">
        <v>134</v>
      </c>
      <c r="AR306" t="s">
        <v>134</v>
      </c>
      <c r="AS306" t="s">
        <v>134</v>
      </c>
      <c r="AT306" t="s">
        <v>134</v>
      </c>
      <c r="AU306" t="s">
        <v>134</v>
      </c>
      <c r="AV306" t="s">
        <v>134</v>
      </c>
      <c r="AW306" t="s">
        <v>134</v>
      </c>
      <c r="AX306" t="s">
        <v>134</v>
      </c>
      <c r="AY306" t="s">
        <v>134</v>
      </c>
      <c r="AZ306" t="s">
        <v>134</v>
      </c>
      <c r="BA306" t="s">
        <v>134</v>
      </c>
      <c r="BB306" t="s">
        <v>134</v>
      </c>
      <c r="BC306" t="s">
        <v>134</v>
      </c>
      <c r="BD306" t="s">
        <v>134</v>
      </c>
      <c r="BE306" t="s">
        <v>134</v>
      </c>
      <c r="BF306" t="s">
        <v>134</v>
      </c>
      <c r="BG306" t="s">
        <v>134</v>
      </c>
      <c r="BH306" t="s">
        <v>134</v>
      </c>
      <c r="BI306" t="s">
        <v>134</v>
      </c>
      <c r="BJ306" t="s">
        <v>134</v>
      </c>
      <c r="BK306" t="s">
        <v>134</v>
      </c>
      <c r="BL306" t="s">
        <v>134</v>
      </c>
      <c r="BM306" t="s">
        <v>134</v>
      </c>
      <c r="BN306" t="s">
        <v>134</v>
      </c>
      <c r="BO306" t="s">
        <v>134</v>
      </c>
      <c r="BP306" t="s">
        <v>134</v>
      </c>
      <c r="BQ306" t="s">
        <v>134</v>
      </c>
      <c r="BR306" t="s">
        <v>134</v>
      </c>
      <c r="BS306" t="s">
        <v>134</v>
      </c>
      <c r="BT306" t="s">
        <v>134</v>
      </c>
      <c r="BU306" t="s">
        <v>134</v>
      </c>
      <c r="BV306" t="s">
        <v>134</v>
      </c>
      <c r="BW306" t="s">
        <v>134</v>
      </c>
      <c r="BX306" t="s">
        <v>134</v>
      </c>
      <c r="BY306" t="s">
        <v>134</v>
      </c>
      <c r="BZ306" t="s">
        <v>134</v>
      </c>
      <c r="CA306" t="s">
        <v>134</v>
      </c>
      <c r="CB306" t="s">
        <v>134</v>
      </c>
      <c r="CC306" t="s">
        <v>134</v>
      </c>
      <c r="CD306" t="s">
        <v>134</v>
      </c>
      <c r="CE306" t="s">
        <v>134</v>
      </c>
      <c r="CF306" t="s">
        <v>134</v>
      </c>
      <c r="CG306" t="s">
        <v>134</v>
      </c>
      <c r="CH306" t="s">
        <v>134</v>
      </c>
      <c r="CI306" t="s">
        <v>134</v>
      </c>
      <c r="CJ306" t="s">
        <v>134</v>
      </c>
      <c r="CK306" t="s">
        <v>134</v>
      </c>
      <c r="CL306" t="s">
        <v>134</v>
      </c>
      <c r="CM306" t="s">
        <v>134</v>
      </c>
      <c r="CN306" t="s">
        <v>134</v>
      </c>
      <c r="CO306" t="s">
        <v>134</v>
      </c>
      <c r="CP306" t="s">
        <v>134</v>
      </c>
      <c r="CQ306" t="s">
        <v>134</v>
      </c>
      <c r="CR306" t="s">
        <v>134</v>
      </c>
      <c r="CS306" t="s">
        <v>134</v>
      </c>
      <c r="CT306" t="s">
        <v>134</v>
      </c>
      <c r="CU306" t="s">
        <v>134</v>
      </c>
      <c r="CV306" t="s">
        <v>134</v>
      </c>
      <c r="CW306" t="s">
        <v>134</v>
      </c>
      <c r="CX306" t="s">
        <v>134</v>
      </c>
      <c r="CY306" t="s">
        <v>134</v>
      </c>
      <c r="CZ306" t="s">
        <v>134</v>
      </c>
      <c r="DA306" t="s">
        <v>134</v>
      </c>
      <c r="DB306" t="s">
        <v>134</v>
      </c>
      <c r="DC306" t="s">
        <v>134</v>
      </c>
      <c r="DD306" t="s">
        <v>134</v>
      </c>
      <c r="DE306" t="s">
        <v>134</v>
      </c>
      <c r="DF306" t="s">
        <v>134</v>
      </c>
      <c r="DG306" t="s">
        <v>134</v>
      </c>
      <c r="DH306" t="s">
        <v>134</v>
      </c>
      <c r="DI306" t="s">
        <v>134</v>
      </c>
    </row>
    <row r="307" spans="4:113" x14ac:dyDescent="0.3">
      <c r="E307" t="s">
        <v>7</v>
      </c>
      <c r="F307" t="s">
        <v>134</v>
      </c>
      <c r="G307" t="s">
        <v>134</v>
      </c>
      <c r="H307" t="s">
        <v>134</v>
      </c>
      <c r="I307" t="s">
        <v>134</v>
      </c>
      <c r="J307" t="s">
        <v>134</v>
      </c>
      <c r="K307" t="s">
        <v>134</v>
      </c>
      <c r="L307" t="s">
        <v>134</v>
      </c>
      <c r="M307" t="s">
        <v>134</v>
      </c>
      <c r="N307" t="s">
        <v>134</v>
      </c>
      <c r="O307" t="s">
        <v>134</v>
      </c>
      <c r="P307" t="s">
        <v>134</v>
      </c>
      <c r="Q307" t="s">
        <v>134</v>
      </c>
      <c r="R307" t="s">
        <v>134</v>
      </c>
      <c r="S307" t="s">
        <v>134</v>
      </c>
      <c r="T307" t="s">
        <v>134</v>
      </c>
      <c r="U307" t="s">
        <v>134</v>
      </c>
      <c r="V307" t="s">
        <v>134</v>
      </c>
      <c r="W307" t="s">
        <v>134</v>
      </c>
      <c r="X307" t="s">
        <v>134</v>
      </c>
      <c r="Y307" t="s">
        <v>134</v>
      </c>
      <c r="Z307" t="s">
        <v>134</v>
      </c>
      <c r="AA307" t="s">
        <v>134</v>
      </c>
      <c r="AB307" t="s">
        <v>134</v>
      </c>
      <c r="AC307" t="s">
        <v>134</v>
      </c>
      <c r="AD307" t="s">
        <v>134</v>
      </c>
      <c r="AE307" t="s">
        <v>134</v>
      </c>
      <c r="AF307" t="s">
        <v>134</v>
      </c>
      <c r="AG307" t="s">
        <v>134</v>
      </c>
      <c r="AH307" t="s">
        <v>134</v>
      </c>
      <c r="AI307" t="s">
        <v>134</v>
      </c>
      <c r="AJ307" t="s">
        <v>134</v>
      </c>
      <c r="AK307" t="s">
        <v>134</v>
      </c>
      <c r="AL307" t="s">
        <v>134</v>
      </c>
      <c r="AM307" t="s">
        <v>134</v>
      </c>
      <c r="AN307" t="s">
        <v>134</v>
      </c>
      <c r="AO307" t="s">
        <v>134</v>
      </c>
      <c r="AP307" t="s">
        <v>134</v>
      </c>
      <c r="AQ307" t="s">
        <v>134</v>
      </c>
      <c r="AR307" t="s">
        <v>134</v>
      </c>
      <c r="AS307" t="s">
        <v>134</v>
      </c>
      <c r="AT307" t="s">
        <v>134</v>
      </c>
      <c r="AU307" t="s">
        <v>134</v>
      </c>
      <c r="AV307" t="s">
        <v>134</v>
      </c>
      <c r="AW307" t="s">
        <v>134</v>
      </c>
      <c r="AX307" t="s">
        <v>134</v>
      </c>
      <c r="AY307" t="s">
        <v>134</v>
      </c>
      <c r="AZ307" t="s">
        <v>134</v>
      </c>
      <c r="BA307" t="s">
        <v>134</v>
      </c>
      <c r="BB307" t="s">
        <v>134</v>
      </c>
      <c r="BC307" t="s">
        <v>134</v>
      </c>
      <c r="BD307" t="s">
        <v>134</v>
      </c>
      <c r="BE307" t="s">
        <v>134</v>
      </c>
      <c r="BF307" t="s">
        <v>134</v>
      </c>
      <c r="BG307" t="s">
        <v>134</v>
      </c>
      <c r="BH307" t="s">
        <v>134</v>
      </c>
      <c r="BI307" t="s">
        <v>134</v>
      </c>
      <c r="BJ307" t="s">
        <v>134</v>
      </c>
      <c r="BK307" t="s">
        <v>134</v>
      </c>
      <c r="BL307" t="s">
        <v>134</v>
      </c>
      <c r="BM307" t="s">
        <v>134</v>
      </c>
      <c r="BN307" t="s">
        <v>134</v>
      </c>
      <c r="BO307" t="s">
        <v>134</v>
      </c>
      <c r="BP307" t="s">
        <v>134</v>
      </c>
      <c r="BQ307" t="s">
        <v>134</v>
      </c>
      <c r="BR307" t="s">
        <v>134</v>
      </c>
      <c r="BS307" t="s">
        <v>134</v>
      </c>
      <c r="BT307" t="s">
        <v>134</v>
      </c>
      <c r="BU307" t="s">
        <v>134</v>
      </c>
      <c r="BV307" t="s">
        <v>134</v>
      </c>
      <c r="BW307" t="s">
        <v>134</v>
      </c>
      <c r="BX307" t="s">
        <v>134</v>
      </c>
      <c r="BY307" t="s">
        <v>134</v>
      </c>
      <c r="BZ307" t="s">
        <v>134</v>
      </c>
      <c r="CA307" t="s">
        <v>134</v>
      </c>
      <c r="CB307" t="s">
        <v>134</v>
      </c>
      <c r="CC307" t="s">
        <v>134</v>
      </c>
      <c r="CD307" t="s">
        <v>134</v>
      </c>
      <c r="CE307" t="s">
        <v>134</v>
      </c>
      <c r="CF307" t="s">
        <v>134</v>
      </c>
      <c r="CG307" t="s">
        <v>134</v>
      </c>
      <c r="CH307" t="s">
        <v>134</v>
      </c>
      <c r="CI307" t="s">
        <v>134</v>
      </c>
      <c r="CJ307" t="s">
        <v>134</v>
      </c>
      <c r="CK307" t="s">
        <v>134</v>
      </c>
      <c r="CL307" t="s">
        <v>134</v>
      </c>
      <c r="CM307" t="s">
        <v>134</v>
      </c>
      <c r="CN307" t="s">
        <v>134</v>
      </c>
      <c r="CO307" t="s">
        <v>134</v>
      </c>
      <c r="CP307" t="s">
        <v>134</v>
      </c>
      <c r="CQ307" t="s">
        <v>134</v>
      </c>
      <c r="CR307" t="s">
        <v>134</v>
      </c>
      <c r="CS307" t="s">
        <v>134</v>
      </c>
      <c r="CT307" t="s">
        <v>134</v>
      </c>
      <c r="CU307" t="s">
        <v>134</v>
      </c>
      <c r="CV307" t="s">
        <v>134</v>
      </c>
      <c r="CW307" t="s">
        <v>134</v>
      </c>
      <c r="CX307" t="s">
        <v>134</v>
      </c>
      <c r="CY307" t="s">
        <v>134</v>
      </c>
      <c r="CZ307" t="s">
        <v>134</v>
      </c>
      <c r="DA307" t="s">
        <v>134</v>
      </c>
      <c r="DB307" t="s">
        <v>134</v>
      </c>
      <c r="DC307" t="s">
        <v>134</v>
      </c>
      <c r="DD307" t="s">
        <v>134</v>
      </c>
      <c r="DE307" t="s">
        <v>134</v>
      </c>
      <c r="DF307" t="s">
        <v>134</v>
      </c>
      <c r="DG307" t="s">
        <v>134</v>
      </c>
      <c r="DH307" t="s">
        <v>134</v>
      </c>
      <c r="DI307" t="s">
        <v>134</v>
      </c>
    </row>
    <row r="308" spans="4:113" x14ac:dyDescent="0.3">
      <c r="D308" t="s">
        <v>8</v>
      </c>
      <c r="E308" t="s">
        <v>3</v>
      </c>
      <c r="F308">
        <v>12.763500000000001</v>
      </c>
      <c r="G308">
        <v>3.4268000000000001</v>
      </c>
      <c r="H308">
        <v>7.7480000000000002</v>
      </c>
      <c r="I308">
        <v>4.5265000000000004</v>
      </c>
      <c r="J308">
        <v>9.3426000000000009</v>
      </c>
      <c r="K308">
        <v>6.0153999999999996</v>
      </c>
      <c r="L308" t="s">
        <v>134</v>
      </c>
      <c r="M308">
        <v>6.7443999999999997</v>
      </c>
      <c r="N308">
        <v>5.2880000000000003</v>
      </c>
      <c r="O308">
        <v>4.9065000000000003</v>
      </c>
      <c r="P308">
        <v>4.9065000000000003</v>
      </c>
      <c r="Q308">
        <v>39.8827</v>
      </c>
      <c r="R308">
        <v>23.755099999999999</v>
      </c>
      <c r="S308">
        <v>9.7315000000000005</v>
      </c>
      <c r="T308">
        <v>-4.4615999999999998</v>
      </c>
      <c r="U308">
        <v>19.2148</v>
      </c>
      <c r="V308">
        <v>35.619500000000002</v>
      </c>
      <c r="W308">
        <v>-32.772300000000001</v>
      </c>
      <c r="X308">
        <v>-33.153100000000002</v>
      </c>
      <c r="Y308">
        <v>-11.1111</v>
      </c>
      <c r="Z308">
        <v>-4.3536000000000001</v>
      </c>
      <c r="AA308">
        <v>1.1953</v>
      </c>
      <c r="AB308">
        <v>7.0381999999999998</v>
      </c>
      <c r="AC308">
        <v>7.4473000000000003</v>
      </c>
      <c r="AD308">
        <v>12.9537</v>
      </c>
      <c r="AE308">
        <v>-50.006</v>
      </c>
      <c r="AF308">
        <v>-3.7682000000000002</v>
      </c>
      <c r="AG308">
        <v>57.153100000000002</v>
      </c>
      <c r="AH308">
        <v>7.0689000000000002</v>
      </c>
      <c r="AI308">
        <v>9.3272999999999993</v>
      </c>
      <c r="AJ308">
        <v>8.0864999999999991</v>
      </c>
      <c r="AK308">
        <v>10.7384</v>
      </c>
      <c r="AL308" t="s">
        <v>134</v>
      </c>
      <c r="AM308">
        <v>22.480899999999998</v>
      </c>
      <c r="AN308" t="s">
        <v>134</v>
      </c>
      <c r="AO308" t="s">
        <v>134</v>
      </c>
      <c r="AP308">
        <v>4.8277000000000001</v>
      </c>
      <c r="AQ308">
        <v>3.7490000000000001</v>
      </c>
      <c r="AR308">
        <v>6.5209000000000001</v>
      </c>
      <c r="AS308">
        <v>10.9649</v>
      </c>
      <c r="AT308">
        <v>18.9557</v>
      </c>
      <c r="AU308">
        <v>17.322299999999998</v>
      </c>
      <c r="AV308">
        <v>21.639900000000001</v>
      </c>
      <c r="AW308">
        <v>10.74</v>
      </c>
      <c r="AX308">
        <v>-14.098100000000001</v>
      </c>
      <c r="AY308">
        <v>16.6465</v>
      </c>
      <c r="AZ308">
        <v>81.643900000000002</v>
      </c>
      <c r="BA308">
        <v>22.964099999999998</v>
      </c>
      <c r="BB308">
        <v>20.2667</v>
      </c>
      <c r="BC308">
        <v>21.690100000000001</v>
      </c>
      <c r="BD308">
        <v>19.493400000000001</v>
      </c>
      <c r="BE308" t="s">
        <v>134</v>
      </c>
      <c r="BF308">
        <v>-4.4615999999999998</v>
      </c>
      <c r="BG308">
        <v>19.2148</v>
      </c>
      <c r="BH308">
        <v>35.619500000000002</v>
      </c>
      <c r="BI308">
        <v>-32.772300000000001</v>
      </c>
      <c r="BJ308">
        <v>-33.153100000000002</v>
      </c>
      <c r="BK308">
        <v>-11.1111</v>
      </c>
      <c r="BL308">
        <v>-4.3536000000000001</v>
      </c>
      <c r="BM308">
        <v>1.1953</v>
      </c>
      <c r="BN308">
        <v>7.0381999999999998</v>
      </c>
      <c r="BO308">
        <v>7.4473000000000003</v>
      </c>
      <c r="BP308">
        <v>12.9537</v>
      </c>
      <c r="BQ308">
        <v>-50.006</v>
      </c>
      <c r="BR308">
        <v>-3.7682000000000002</v>
      </c>
      <c r="BS308">
        <v>57.153100000000002</v>
      </c>
      <c r="BT308">
        <v>7.0689000000000002</v>
      </c>
      <c r="BU308">
        <v>9.3272999999999993</v>
      </c>
      <c r="BV308">
        <v>8.0864999999999991</v>
      </c>
      <c r="BW308">
        <v>10.7384</v>
      </c>
      <c r="BX308" t="s">
        <v>134</v>
      </c>
      <c r="BY308">
        <v>379114.6</v>
      </c>
      <c r="BZ308">
        <v>155844.29999999999</v>
      </c>
      <c r="CA308">
        <v>223270.3</v>
      </c>
      <c r="CB308">
        <v>6.3459000000000003</v>
      </c>
      <c r="CC308">
        <v>5.2129000000000003</v>
      </c>
      <c r="CD308">
        <v>9.8559999999999999</v>
      </c>
      <c r="CE308">
        <v>8.0962999999999994</v>
      </c>
      <c r="CF308">
        <v>1.9799</v>
      </c>
      <c r="CG308">
        <v>27.262</v>
      </c>
      <c r="CH308">
        <v>70.324399999999997</v>
      </c>
      <c r="CI308">
        <v>32.051400000000001</v>
      </c>
      <c r="CJ308">
        <v>23.540800000000001</v>
      </c>
      <c r="CK308">
        <v>119.4114</v>
      </c>
      <c r="CL308">
        <v>54.423499999999997</v>
      </c>
      <c r="CM308">
        <v>39.9724</v>
      </c>
      <c r="CN308">
        <v>98.0916</v>
      </c>
      <c r="CO308">
        <v>49.518299999999996</v>
      </c>
      <c r="CP308">
        <v>59741.3</v>
      </c>
      <c r="CQ308">
        <v>12152</v>
      </c>
      <c r="CR308">
        <v>38465.5</v>
      </c>
      <c r="CS308">
        <v>0.20069999999999999</v>
      </c>
      <c r="CT308">
        <v>1.1783999999999999</v>
      </c>
      <c r="CU308">
        <v>0.36299999999999999</v>
      </c>
      <c r="CV308">
        <v>1.7753000000000001</v>
      </c>
      <c r="CW308">
        <v>11.4171</v>
      </c>
      <c r="CX308">
        <v>31.9696</v>
      </c>
      <c r="CY308">
        <v>5.0663999999999998</v>
      </c>
      <c r="CZ308">
        <v>72.042900000000003</v>
      </c>
      <c r="DA308">
        <v>3.6861000000000002</v>
      </c>
      <c r="DB308">
        <v>99.021799999999999</v>
      </c>
      <c r="DC308">
        <v>4.9907000000000004</v>
      </c>
      <c r="DD308">
        <v>104.0124</v>
      </c>
      <c r="DE308">
        <v>84533.9</v>
      </c>
      <c r="DF308">
        <v>23608.9</v>
      </c>
      <c r="DG308">
        <v>21983.5</v>
      </c>
      <c r="DH308">
        <v>29577.3</v>
      </c>
      <c r="DI308">
        <v>9364.2000000000007</v>
      </c>
    </row>
    <row r="309" spans="4:113" x14ac:dyDescent="0.3">
      <c r="E309" t="s">
        <v>4</v>
      </c>
      <c r="F309" t="s">
        <v>134</v>
      </c>
      <c r="G309" t="s">
        <v>134</v>
      </c>
      <c r="H309" t="s">
        <v>134</v>
      </c>
      <c r="I309" t="s">
        <v>134</v>
      </c>
      <c r="J309" t="s">
        <v>134</v>
      </c>
      <c r="K309" t="s">
        <v>134</v>
      </c>
      <c r="L309" t="s">
        <v>134</v>
      </c>
      <c r="M309" t="s">
        <v>134</v>
      </c>
      <c r="N309" t="s">
        <v>134</v>
      </c>
      <c r="O309" t="s">
        <v>134</v>
      </c>
      <c r="P309" t="s">
        <v>134</v>
      </c>
      <c r="Q309" t="s">
        <v>134</v>
      </c>
      <c r="R309" t="s">
        <v>134</v>
      </c>
      <c r="S309" t="s">
        <v>134</v>
      </c>
      <c r="T309" t="s">
        <v>134</v>
      </c>
      <c r="U309" t="s">
        <v>134</v>
      </c>
      <c r="V309" t="s">
        <v>134</v>
      </c>
      <c r="W309" t="s">
        <v>134</v>
      </c>
      <c r="X309" t="s">
        <v>134</v>
      </c>
      <c r="Y309" t="s">
        <v>134</v>
      </c>
      <c r="Z309" t="s">
        <v>134</v>
      </c>
      <c r="AA309" t="s">
        <v>134</v>
      </c>
      <c r="AB309" t="s">
        <v>134</v>
      </c>
      <c r="AC309" t="s">
        <v>134</v>
      </c>
      <c r="AD309" t="s">
        <v>134</v>
      </c>
      <c r="AE309" t="s">
        <v>134</v>
      </c>
      <c r="AF309" t="s">
        <v>134</v>
      </c>
      <c r="AG309" t="s">
        <v>134</v>
      </c>
      <c r="AH309" t="s">
        <v>134</v>
      </c>
      <c r="AI309" t="s">
        <v>134</v>
      </c>
      <c r="AJ309" t="s">
        <v>134</v>
      </c>
      <c r="AK309" t="s">
        <v>134</v>
      </c>
      <c r="AL309" t="s">
        <v>134</v>
      </c>
      <c r="AM309" t="s">
        <v>134</v>
      </c>
      <c r="AN309" t="s">
        <v>134</v>
      </c>
      <c r="AO309" t="s">
        <v>134</v>
      </c>
      <c r="AP309" t="s">
        <v>134</v>
      </c>
      <c r="AQ309" t="s">
        <v>134</v>
      </c>
      <c r="AR309" t="s">
        <v>134</v>
      </c>
      <c r="AS309" t="s">
        <v>134</v>
      </c>
      <c r="AT309" t="s">
        <v>134</v>
      </c>
      <c r="AU309" t="s">
        <v>134</v>
      </c>
      <c r="AV309" t="s">
        <v>134</v>
      </c>
      <c r="AW309" t="s">
        <v>134</v>
      </c>
      <c r="AX309" t="s">
        <v>134</v>
      </c>
      <c r="AY309" t="s">
        <v>134</v>
      </c>
      <c r="AZ309" t="s">
        <v>134</v>
      </c>
      <c r="BA309" t="s">
        <v>134</v>
      </c>
      <c r="BB309" t="s">
        <v>134</v>
      </c>
      <c r="BC309" t="s">
        <v>134</v>
      </c>
      <c r="BD309" t="s">
        <v>134</v>
      </c>
      <c r="BE309" t="s">
        <v>134</v>
      </c>
      <c r="BF309" t="s">
        <v>134</v>
      </c>
      <c r="BG309" t="s">
        <v>134</v>
      </c>
      <c r="BH309" t="s">
        <v>134</v>
      </c>
      <c r="BI309" t="s">
        <v>134</v>
      </c>
      <c r="BJ309" t="s">
        <v>134</v>
      </c>
      <c r="BK309" t="s">
        <v>134</v>
      </c>
      <c r="BL309" t="s">
        <v>134</v>
      </c>
      <c r="BM309" t="s">
        <v>134</v>
      </c>
      <c r="BN309" t="s">
        <v>134</v>
      </c>
      <c r="BO309" t="s">
        <v>134</v>
      </c>
      <c r="BP309" t="s">
        <v>134</v>
      </c>
      <c r="BQ309" t="s">
        <v>134</v>
      </c>
      <c r="BR309" t="s">
        <v>134</v>
      </c>
      <c r="BS309" t="s">
        <v>134</v>
      </c>
      <c r="BT309" t="s">
        <v>134</v>
      </c>
      <c r="BU309" t="s">
        <v>134</v>
      </c>
      <c r="BV309" t="s">
        <v>134</v>
      </c>
      <c r="BW309" t="s">
        <v>134</v>
      </c>
      <c r="BX309" t="s">
        <v>134</v>
      </c>
      <c r="BY309" t="s">
        <v>134</v>
      </c>
      <c r="BZ309" t="s">
        <v>134</v>
      </c>
      <c r="CA309" t="s">
        <v>134</v>
      </c>
      <c r="CB309" t="s">
        <v>134</v>
      </c>
      <c r="CC309" t="s">
        <v>134</v>
      </c>
      <c r="CD309" t="s">
        <v>134</v>
      </c>
      <c r="CE309" t="s">
        <v>134</v>
      </c>
      <c r="CF309" t="s">
        <v>134</v>
      </c>
      <c r="CG309" t="s">
        <v>134</v>
      </c>
      <c r="CH309" t="s">
        <v>134</v>
      </c>
      <c r="CI309" t="s">
        <v>134</v>
      </c>
      <c r="CJ309" t="s">
        <v>134</v>
      </c>
      <c r="CK309" t="s">
        <v>134</v>
      </c>
      <c r="CL309" t="s">
        <v>134</v>
      </c>
      <c r="CM309" t="s">
        <v>134</v>
      </c>
      <c r="CN309" t="s">
        <v>134</v>
      </c>
      <c r="CO309" t="s">
        <v>134</v>
      </c>
      <c r="CP309" t="s">
        <v>134</v>
      </c>
      <c r="CQ309" t="s">
        <v>134</v>
      </c>
      <c r="CR309" t="s">
        <v>134</v>
      </c>
      <c r="CS309" t="s">
        <v>134</v>
      </c>
      <c r="CT309" t="s">
        <v>134</v>
      </c>
      <c r="CU309" t="s">
        <v>134</v>
      </c>
      <c r="CV309" t="s">
        <v>134</v>
      </c>
      <c r="CW309" t="s">
        <v>134</v>
      </c>
      <c r="CX309" t="s">
        <v>134</v>
      </c>
      <c r="CY309" t="s">
        <v>134</v>
      </c>
      <c r="CZ309" t="s">
        <v>134</v>
      </c>
      <c r="DA309" t="s">
        <v>134</v>
      </c>
      <c r="DB309" t="s">
        <v>134</v>
      </c>
      <c r="DC309" t="s">
        <v>134</v>
      </c>
      <c r="DD309" t="s">
        <v>134</v>
      </c>
      <c r="DE309" t="s">
        <v>134</v>
      </c>
      <c r="DF309" t="s">
        <v>134</v>
      </c>
      <c r="DG309" t="s">
        <v>134</v>
      </c>
      <c r="DH309" t="s">
        <v>134</v>
      </c>
      <c r="DI309" t="s">
        <v>134</v>
      </c>
    </row>
    <row r="310" spans="4:113" x14ac:dyDescent="0.3">
      <c r="E310" t="s">
        <v>5</v>
      </c>
      <c r="F310" t="s">
        <v>134</v>
      </c>
      <c r="G310" t="s">
        <v>134</v>
      </c>
      <c r="H310" t="s">
        <v>134</v>
      </c>
      <c r="I310" t="s">
        <v>134</v>
      </c>
      <c r="J310" t="s">
        <v>134</v>
      </c>
      <c r="K310" t="s">
        <v>134</v>
      </c>
      <c r="L310" t="s">
        <v>134</v>
      </c>
      <c r="M310" t="s">
        <v>134</v>
      </c>
      <c r="N310" t="s">
        <v>134</v>
      </c>
      <c r="O310" t="s">
        <v>134</v>
      </c>
      <c r="P310" t="s">
        <v>134</v>
      </c>
      <c r="Q310" t="s">
        <v>134</v>
      </c>
      <c r="R310" t="s">
        <v>134</v>
      </c>
      <c r="S310" t="s">
        <v>134</v>
      </c>
      <c r="T310" t="s">
        <v>134</v>
      </c>
      <c r="U310" t="s">
        <v>134</v>
      </c>
      <c r="V310" t="s">
        <v>134</v>
      </c>
      <c r="W310" t="s">
        <v>134</v>
      </c>
      <c r="X310" t="s">
        <v>134</v>
      </c>
      <c r="Y310" t="s">
        <v>134</v>
      </c>
      <c r="Z310" t="s">
        <v>134</v>
      </c>
      <c r="AA310" t="s">
        <v>134</v>
      </c>
      <c r="AB310" t="s">
        <v>134</v>
      </c>
      <c r="AC310" t="s">
        <v>134</v>
      </c>
      <c r="AD310" t="s">
        <v>134</v>
      </c>
      <c r="AE310" t="s">
        <v>134</v>
      </c>
      <c r="AF310" t="s">
        <v>134</v>
      </c>
      <c r="AG310" t="s">
        <v>134</v>
      </c>
      <c r="AH310" t="s">
        <v>134</v>
      </c>
      <c r="AI310" t="s">
        <v>134</v>
      </c>
      <c r="AJ310" t="s">
        <v>134</v>
      </c>
      <c r="AK310" t="s">
        <v>134</v>
      </c>
      <c r="AL310" t="s">
        <v>134</v>
      </c>
      <c r="AM310" t="s">
        <v>134</v>
      </c>
      <c r="AN310" t="s">
        <v>134</v>
      </c>
      <c r="AO310" t="s">
        <v>134</v>
      </c>
      <c r="AP310" t="s">
        <v>134</v>
      </c>
      <c r="AQ310" t="s">
        <v>134</v>
      </c>
      <c r="AR310" t="s">
        <v>134</v>
      </c>
      <c r="AS310" t="s">
        <v>134</v>
      </c>
      <c r="AT310" t="s">
        <v>134</v>
      </c>
      <c r="AU310" t="s">
        <v>134</v>
      </c>
      <c r="AV310" t="s">
        <v>134</v>
      </c>
      <c r="AW310" t="s">
        <v>134</v>
      </c>
      <c r="AX310" t="s">
        <v>134</v>
      </c>
      <c r="AY310" t="s">
        <v>134</v>
      </c>
      <c r="AZ310" t="s">
        <v>134</v>
      </c>
      <c r="BA310" t="s">
        <v>134</v>
      </c>
      <c r="BB310" t="s">
        <v>134</v>
      </c>
      <c r="BC310" t="s">
        <v>134</v>
      </c>
      <c r="BD310" t="s">
        <v>134</v>
      </c>
      <c r="BE310" t="s">
        <v>134</v>
      </c>
      <c r="BF310" t="s">
        <v>134</v>
      </c>
      <c r="BG310" t="s">
        <v>134</v>
      </c>
      <c r="BH310" t="s">
        <v>134</v>
      </c>
      <c r="BI310" t="s">
        <v>134</v>
      </c>
      <c r="BJ310" t="s">
        <v>134</v>
      </c>
      <c r="BK310" t="s">
        <v>134</v>
      </c>
      <c r="BL310" t="s">
        <v>134</v>
      </c>
      <c r="BM310" t="s">
        <v>134</v>
      </c>
      <c r="BN310" t="s">
        <v>134</v>
      </c>
      <c r="BO310" t="s">
        <v>134</v>
      </c>
      <c r="BP310" t="s">
        <v>134</v>
      </c>
      <c r="BQ310" t="s">
        <v>134</v>
      </c>
      <c r="BR310" t="s">
        <v>134</v>
      </c>
      <c r="BS310" t="s">
        <v>134</v>
      </c>
      <c r="BT310" t="s">
        <v>134</v>
      </c>
      <c r="BU310" t="s">
        <v>134</v>
      </c>
      <c r="BV310" t="s">
        <v>134</v>
      </c>
      <c r="BW310" t="s">
        <v>134</v>
      </c>
      <c r="BX310" t="s">
        <v>134</v>
      </c>
      <c r="BY310" t="s">
        <v>134</v>
      </c>
      <c r="BZ310" t="s">
        <v>134</v>
      </c>
      <c r="CA310" t="s">
        <v>134</v>
      </c>
      <c r="CB310" t="s">
        <v>134</v>
      </c>
      <c r="CC310" t="s">
        <v>134</v>
      </c>
      <c r="CD310" t="s">
        <v>134</v>
      </c>
      <c r="CE310" t="s">
        <v>134</v>
      </c>
      <c r="CF310" t="s">
        <v>134</v>
      </c>
      <c r="CG310" t="s">
        <v>134</v>
      </c>
      <c r="CH310" t="s">
        <v>134</v>
      </c>
      <c r="CI310" t="s">
        <v>134</v>
      </c>
      <c r="CJ310" t="s">
        <v>134</v>
      </c>
      <c r="CK310" t="s">
        <v>134</v>
      </c>
      <c r="CL310" t="s">
        <v>134</v>
      </c>
      <c r="CM310" t="s">
        <v>134</v>
      </c>
      <c r="CN310" t="s">
        <v>134</v>
      </c>
      <c r="CO310" t="s">
        <v>134</v>
      </c>
      <c r="CP310" t="s">
        <v>134</v>
      </c>
      <c r="CQ310" t="s">
        <v>134</v>
      </c>
      <c r="CR310" t="s">
        <v>134</v>
      </c>
      <c r="CS310" t="s">
        <v>134</v>
      </c>
      <c r="CT310" t="s">
        <v>134</v>
      </c>
      <c r="CU310" t="s">
        <v>134</v>
      </c>
      <c r="CV310" t="s">
        <v>134</v>
      </c>
      <c r="CW310" t="s">
        <v>134</v>
      </c>
      <c r="CX310" t="s">
        <v>134</v>
      </c>
      <c r="CY310" t="s">
        <v>134</v>
      </c>
      <c r="CZ310" t="s">
        <v>134</v>
      </c>
      <c r="DA310" t="s">
        <v>134</v>
      </c>
      <c r="DB310" t="s">
        <v>134</v>
      </c>
      <c r="DC310" t="s">
        <v>134</v>
      </c>
      <c r="DD310" t="s">
        <v>134</v>
      </c>
      <c r="DE310" t="s">
        <v>134</v>
      </c>
      <c r="DF310" t="s">
        <v>134</v>
      </c>
      <c r="DG310" t="s">
        <v>134</v>
      </c>
      <c r="DH310" t="s">
        <v>134</v>
      </c>
      <c r="DI310" t="s">
        <v>134</v>
      </c>
    </row>
    <row r="311" spans="4:113" x14ac:dyDescent="0.3">
      <c r="E311" t="s">
        <v>6</v>
      </c>
      <c r="F311" t="s">
        <v>134</v>
      </c>
      <c r="G311" t="s">
        <v>134</v>
      </c>
      <c r="H311" t="s">
        <v>134</v>
      </c>
      <c r="I311" t="s">
        <v>134</v>
      </c>
      <c r="J311" t="s">
        <v>134</v>
      </c>
      <c r="K311" t="s">
        <v>134</v>
      </c>
      <c r="L311" t="s">
        <v>134</v>
      </c>
      <c r="M311" t="s">
        <v>134</v>
      </c>
      <c r="N311" t="s">
        <v>134</v>
      </c>
      <c r="O311" t="s">
        <v>134</v>
      </c>
      <c r="P311" t="s">
        <v>134</v>
      </c>
      <c r="Q311" t="s">
        <v>134</v>
      </c>
      <c r="R311" t="s">
        <v>134</v>
      </c>
      <c r="S311" t="s">
        <v>134</v>
      </c>
      <c r="T311" t="s">
        <v>134</v>
      </c>
      <c r="U311" t="s">
        <v>134</v>
      </c>
      <c r="V311" t="s">
        <v>134</v>
      </c>
      <c r="W311" t="s">
        <v>134</v>
      </c>
      <c r="X311" t="s">
        <v>134</v>
      </c>
      <c r="Y311" t="s">
        <v>134</v>
      </c>
      <c r="Z311" t="s">
        <v>134</v>
      </c>
      <c r="AA311" t="s">
        <v>134</v>
      </c>
      <c r="AB311" t="s">
        <v>134</v>
      </c>
      <c r="AC311" t="s">
        <v>134</v>
      </c>
      <c r="AD311" t="s">
        <v>134</v>
      </c>
      <c r="AE311" t="s">
        <v>134</v>
      </c>
      <c r="AF311" t="s">
        <v>134</v>
      </c>
      <c r="AG311" t="s">
        <v>134</v>
      </c>
      <c r="AH311" t="s">
        <v>134</v>
      </c>
      <c r="AI311" t="s">
        <v>134</v>
      </c>
      <c r="AJ311" t="s">
        <v>134</v>
      </c>
      <c r="AK311" t="s">
        <v>134</v>
      </c>
      <c r="AL311" t="s">
        <v>134</v>
      </c>
      <c r="AM311" t="s">
        <v>134</v>
      </c>
      <c r="AN311" t="s">
        <v>134</v>
      </c>
      <c r="AO311" t="s">
        <v>134</v>
      </c>
      <c r="AP311" t="s">
        <v>134</v>
      </c>
      <c r="AQ311" t="s">
        <v>134</v>
      </c>
      <c r="AR311" t="s">
        <v>134</v>
      </c>
      <c r="AS311" t="s">
        <v>134</v>
      </c>
      <c r="AT311" t="s">
        <v>134</v>
      </c>
      <c r="AU311" t="s">
        <v>134</v>
      </c>
      <c r="AV311" t="s">
        <v>134</v>
      </c>
      <c r="AW311" t="s">
        <v>134</v>
      </c>
      <c r="AX311" t="s">
        <v>134</v>
      </c>
      <c r="AY311" t="s">
        <v>134</v>
      </c>
      <c r="AZ311" t="s">
        <v>134</v>
      </c>
      <c r="BA311" t="s">
        <v>134</v>
      </c>
      <c r="BB311" t="s">
        <v>134</v>
      </c>
      <c r="BC311" t="s">
        <v>134</v>
      </c>
      <c r="BD311" t="s">
        <v>134</v>
      </c>
      <c r="BE311" t="s">
        <v>134</v>
      </c>
      <c r="BF311" t="s">
        <v>134</v>
      </c>
      <c r="BG311" t="s">
        <v>134</v>
      </c>
      <c r="BH311" t="s">
        <v>134</v>
      </c>
      <c r="BI311" t="s">
        <v>134</v>
      </c>
      <c r="BJ311" t="s">
        <v>134</v>
      </c>
      <c r="BK311" t="s">
        <v>134</v>
      </c>
      <c r="BL311" t="s">
        <v>134</v>
      </c>
      <c r="BM311" t="s">
        <v>134</v>
      </c>
      <c r="BN311" t="s">
        <v>134</v>
      </c>
      <c r="BO311" t="s">
        <v>134</v>
      </c>
      <c r="BP311" t="s">
        <v>134</v>
      </c>
      <c r="BQ311" t="s">
        <v>134</v>
      </c>
      <c r="BR311" t="s">
        <v>134</v>
      </c>
      <c r="BS311" t="s">
        <v>134</v>
      </c>
      <c r="BT311" t="s">
        <v>134</v>
      </c>
      <c r="BU311" t="s">
        <v>134</v>
      </c>
      <c r="BV311" t="s">
        <v>134</v>
      </c>
      <c r="BW311" t="s">
        <v>134</v>
      </c>
      <c r="BX311" t="s">
        <v>134</v>
      </c>
      <c r="BY311" t="s">
        <v>134</v>
      </c>
      <c r="BZ311" t="s">
        <v>134</v>
      </c>
      <c r="CA311" t="s">
        <v>134</v>
      </c>
      <c r="CB311" t="s">
        <v>134</v>
      </c>
      <c r="CC311" t="s">
        <v>134</v>
      </c>
      <c r="CD311" t="s">
        <v>134</v>
      </c>
      <c r="CE311" t="s">
        <v>134</v>
      </c>
      <c r="CF311" t="s">
        <v>134</v>
      </c>
      <c r="CG311" t="s">
        <v>134</v>
      </c>
      <c r="CH311" t="s">
        <v>134</v>
      </c>
      <c r="CI311" t="s">
        <v>134</v>
      </c>
      <c r="CJ311" t="s">
        <v>134</v>
      </c>
      <c r="CK311" t="s">
        <v>134</v>
      </c>
      <c r="CL311" t="s">
        <v>134</v>
      </c>
      <c r="CM311" t="s">
        <v>134</v>
      </c>
      <c r="CN311" t="s">
        <v>134</v>
      </c>
      <c r="CO311" t="s">
        <v>134</v>
      </c>
      <c r="CP311" t="s">
        <v>134</v>
      </c>
      <c r="CQ311" t="s">
        <v>134</v>
      </c>
      <c r="CR311" t="s">
        <v>134</v>
      </c>
      <c r="CS311" t="s">
        <v>134</v>
      </c>
      <c r="CT311" t="s">
        <v>134</v>
      </c>
      <c r="CU311" t="s">
        <v>134</v>
      </c>
      <c r="CV311" t="s">
        <v>134</v>
      </c>
      <c r="CW311" t="s">
        <v>134</v>
      </c>
      <c r="CX311" t="s">
        <v>134</v>
      </c>
      <c r="CY311" t="s">
        <v>134</v>
      </c>
      <c r="CZ311" t="s">
        <v>134</v>
      </c>
      <c r="DA311" t="s">
        <v>134</v>
      </c>
      <c r="DB311" t="s">
        <v>134</v>
      </c>
      <c r="DC311" t="s">
        <v>134</v>
      </c>
      <c r="DD311" t="s">
        <v>134</v>
      </c>
      <c r="DE311" t="s">
        <v>134</v>
      </c>
      <c r="DF311" t="s">
        <v>134</v>
      </c>
      <c r="DG311" t="s">
        <v>134</v>
      </c>
      <c r="DH311" t="s">
        <v>134</v>
      </c>
      <c r="DI311" t="s">
        <v>134</v>
      </c>
    </row>
    <row r="312" spans="4:113" x14ac:dyDescent="0.3">
      <c r="E312" t="s">
        <v>7</v>
      </c>
      <c r="F312" t="s">
        <v>134</v>
      </c>
      <c r="G312" t="s">
        <v>134</v>
      </c>
      <c r="H312" t="s">
        <v>134</v>
      </c>
      <c r="I312" t="s">
        <v>134</v>
      </c>
      <c r="J312" t="s">
        <v>134</v>
      </c>
      <c r="K312" t="s">
        <v>134</v>
      </c>
      <c r="L312" t="s">
        <v>134</v>
      </c>
      <c r="M312" t="s">
        <v>134</v>
      </c>
      <c r="N312" t="s">
        <v>134</v>
      </c>
      <c r="O312" t="s">
        <v>134</v>
      </c>
      <c r="P312" t="s">
        <v>134</v>
      </c>
      <c r="Q312" t="s">
        <v>134</v>
      </c>
      <c r="R312" t="s">
        <v>134</v>
      </c>
      <c r="S312" t="s">
        <v>134</v>
      </c>
      <c r="T312" t="s">
        <v>134</v>
      </c>
      <c r="U312" t="s">
        <v>134</v>
      </c>
      <c r="V312" t="s">
        <v>134</v>
      </c>
      <c r="W312" t="s">
        <v>134</v>
      </c>
      <c r="X312" t="s">
        <v>134</v>
      </c>
      <c r="Y312" t="s">
        <v>134</v>
      </c>
      <c r="Z312" t="s">
        <v>134</v>
      </c>
      <c r="AA312" t="s">
        <v>134</v>
      </c>
      <c r="AB312" t="s">
        <v>134</v>
      </c>
      <c r="AC312" t="s">
        <v>134</v>
      </c>
      <c r="AD312" t="s">
        <v>134</v>
      </c>
      <c r="AE312" t="s">
        <v>134</v>
      </c>
      <c r="AF312" t="s">
        <v>134</v>
      </c>
      <c r="AG312" t="s">
        <v>134</v>
      </c>
      <c r="AH312" t="s">
        <v>134</v>
      </c>
      <c r="AI312" t="s">
        <v>134</v>
      </c>
      <c r="AJ312" t="s">
        <v>134</v>
      </c>
      <c r="AK312" t="s">
        <v>134</v>
      </c>
      <c r="AL312" t="s">
        <v>134</v>
      </c>
      <c r="AM312" t="s">
        <v>134</v>
      </c>
      <c r="AN312" t="s">
        <v>134</v>
      </c>
      <c r="AO312" t="s">
        <v>134</v>
      </c>
      <c r="AP312" t="s">
        <v>134</v>
      </c>
      <c r="AQ312" t="s">
        <v>134</v>
      </c>
      <c r="AR312" t="s">
        <v>134</v>
      </c>
      <c r="AS312" t="s">
        <v>134</v>
      </c>
      <c r="AT312" t="s">
        <v>134</v>
      </c>
      <c r="AU312" t="s">
        <v>134</v>
      </c>
      <c r="AV312" t="s">
        <v>134</v>
      </c>
      <c r="AW312" t="s">
        <v>134</v>
      </c>
      <c r="AX312" t="s">
        <v>134</v>
      </c>
      <c r="AY312" t="s">
        <v>134</v>
      </c>
      <c r="AZ312" t="s">
        <v>134</v>
      </c>
      <c r="BA312" t="s">
        <v>134</v>
      </c>
      <c r="BB312" t="s">
        <v>134</v>
      </c>
      <c r="BC312" t="s">
        <v>134</v>
      </c>
      <c r="BD312" t="s">
        <v>134</v>
      </c>
      <c r="BE312" t="s">
        <v>134</v>
      </c>
      <c r="BF312" t="s">
        <v>134</v>
      </c>
      <c r="BG312" t="s">
        <v>134</v>
      </c>
      <c r="BH312" t="s">
        <v>134</v>
      </c>
      <c r="BI312" t="s">
        <v>134</v>
      </c>
      <c r="BJ312" t="s">
        <v>134</v>
      </c>
      <c r="BK312" t="s">
        <v>134</v>
      </c>
      <c r="BL312" t="s">
        <v>134</v>
      </c>
      <c r="BM312" t="s">
        <v>134</v>
      </c>
      <c r="BN312" t="s">
        <v>134</v>
      </c>
      <c r="BO312" t="s">
        <v>134</v>
      </c>
      <c r="BP312" t="s">
        <v>134</v>
      </c>
      <c r="BQ312" t="s">
        <v>134</v>
      </c>
      <c r="BR312" t="s">
        <v>134</v>
      </c>
      <c r="BS312" t="s">
        <v>134</v>
      </c>
      <c r="BT312" t="s">
        <v>134</v>
      </c>
      <c r="BU312" t="s">
        <v>134</v>
      </c>
      <c r="BV312" t="s">
        <v>134</v>
      </c>
      <c r="BW312" t="s">
        <v>134</v>
      </c>
      <c r="BX312" t="s">
        <v>134</v>
      </c>
      <c r="BY312" t="s">
        <v>134</v>
      </c>
      <c r="BZ312" t="s">
        <v>134</v>
      </c>
      <c r="CA312" t="s">
        <v>134</v>
      </c>
      <c r="CB312" t="s">
        <v>134</v>
      </c>
      <c r="CC312" t="s">
        <v>134</v>
      </c>
      <c r="CD312" t="s">
        <v>134</v>
      </c>
      <c r="CE312" t="s">
        <v>134</v>
      </c>
      <c r="CF312" t="s">
        <v>134</v>
      </c>
      <c r="CG312" t="s">
        <v>134</v>
      </c>
      <c r="CH312" t="s">
        <v>134</v>
      </c>
      <c r="CI312" t="s">
        <v>134</v>
      </c>
      <c r="CJ312" t="s">
        <v>134</v>
      </c>
      <c r="CK312" t="s">
        <v>134</v>
      </c>
      <c r="CL312" t="s">
        <v>134</v>
      </c>
      <c r="CM312" t="s">
        <v>134</v>
      </c>
      <c r="CN312" t="s">
        <v>134</v>
      </c>
      <c r="CO312" t="s">
        <v>134</v>
      </c>
      <c r="CP312" t="s">
        <v>134</v>
      </c>
      <c r="CQ312" t="s">
        <v>134</v>
      </c>
      <c r="CR312" t="s">
        <v>134</v>
      </c>
      <c r="CS312" t="s">
        <v>134</v>
      </c>
      <c r="CT312" t="s">
        <v>134</v>
      </c>
      <c r="CU312" t="s">
        <v>134</v>
      </c>
      <c r="CV312" t="s">
        <v>134</v>
      </c>
      <c r="CW312" t="s">
        <v>134</v>
      </c>
      <c r="CX312" t="s">
        <v>134</v>
      </c>
      <c r="CY312" t="s">
        <v>134</v>
      </c>
      <c r="CZ312" t="s">
        <v>134</v>
      </c>
      <c r="DA312" t="s">
        <v>134</v>
      </c>
      <c r="DB312" t="s">
        <v>134</v>
      </c>
      <c r="DC312" t="s">
        <v>134</v>
      </c>
      <c r="DD312" t="s">
        <v>134</v>
      </c>
      <c r="DE312" t="s">
        <v>134</v>
      </c>
      <c r="DF312" t="s">
        <v>134</v>
      </c>
      <c r="DG312" t="s">
        <v>134</v>
      </c>
      <c r="DH312" t="s">
        <v>134</v>
      </c>
      <c r="DI312" t="s">
        <v>134</v>
      </c>
    </row>
    <row r="313" spans="4:113" x14ac:dyDescent="0.3">
      <c r="D313" t="s">
        <v>9</v>
      </c>
      <c r="E313" t="s">
        <v>3</v>
      </c>
      <c r="F313">
        <v>11.7896</v>
      </c>
      <c r="G313">
        <v>3.1627999999999998</v>
      </c>
      <c r="H313">
        <v>6.8978000000000002</v>
      </c>
      <c r="I313">
        <v>1.8296999999999999</v>
      </c>
      <c r="J313">
        <v>4.8025000000000002</v>
      </c>
      <c r="K313">
        <v>1.0591999999999999</v>
      </c>
      <c r="L313" t="s">
        <v>134</v>
      </c>
      <c r="M313">
        <v>6.0740999999999996</v>
      </c>
      <c r="N313">
        <v>4.8019999999999996</v>
      </c>
      <c r="O313">
        <v>4.6016000000000004</v>
      </c>
      <c r="P313">
        <v>4.6016000000000004</v>
      </c>
      <c r="Q313">
        <v>43.966000000000001</v>
      </c>
      <c r="R313">
        <v>23.209299999999999</v>
      </c>
      <c r="S313">
        <v>9.0533000000000001</v>
      </c>
      <c r="T313">
        <v>10.1386</v>
      </c>
      <c r="U313">
        <v>13.350999999999999</v>
      </c>
      <c r="V313">
        <v>-10.851100000000001</v>
      </c>
      <c r="W313">
        <v>2.3519000000000001</v>
      </c>
      <c r="X313">
        <v>1.9925000000000002</v>
      </c>
      <c r="Y313">
        <v>0</v>
      </c>
      <c r="Z313">
        <v>17.2179</v>
      </c>
      <c r="AA313">
        <v>25.7364</v>
      </c>
      <c r="AB313">
        <v>10.0693</v>
      </c>
      <c r="AC313">
        <v>14.106199999999999</v>
      </c>
      <c r="AD313">
        <v>36.364800000000002</v>
      </c>
      <c r="AE313">
        <v>7.8201000000000001</v>
      </c>
      <c r="AF313">
        <v>19.317900000000002</v>
      </c>
      <c r="AG313">
        <v>21.8537</v>
      </c>
      <c r="AH313">
        <v>16.341000000000001</v>
      </c>
      <c r="AI313">
        <v>10.0731</v>
      </c>
      <c r="AJ313">
        <v>13.4992</v>
      </c>
      <c r="AK313">
        <v>10.4551</v>
      </c>
      <c r="AL313">
        <v>-16.225300000000001</v>
      </c>
      <c r="AM313">
        <v>15.8468</v>
      </c>
      <c r="AN313">
        <v>-3.8647999999999998</v>
      </c>
      <c r="AO313">
        <v>-24.968699999999998</v>
      </c>
      <c r="AP313">
        <v>0.83989999999999998</v>
      </c>
      <c r="AQ313">
        <v>0.15939999999999999</v>
      </c>
      <c r="AR313">
        <v>2.7065999999999999</v>
      </c>
      <c r="AS313">
        <v>8.8015000000000008</v>
      </c>
      <c r="AT313">
        <v>14.2964</v>
      </c>
      <c r="AU313">
        <v>9.2403999999999993</v>
      </c>
      <c r="AV313">
        <v>16.3904</v>
      </c>
      <c r="AW313">
        <v>4.5545</v>
      </c>
      <c r="AX313">
        <v>5.5857999999999999</v>
      </c>
      <c r="AY313">
        <v>14.509399999999999</v>
      </c>
      <c r="AZ313">
        <v>31.2209</v>
      </c>
      <c r="BA313">
        <v>21.171099999999999</v>
      </c>
      <c r="BB313">
        <v>13.417999999999999</v>
      </c>
      <c r="BC313">
        <v>17.3794</v>
      </c>
      <c r="BD313">
        <v>14.701499999999999</v>
      </c>
      <c r="BE313" t="s">
        <v>134</v>
      </c>
      <c r="BF313">
        <v>10.1386</v>
      </c>
      <c r="BG313">
        <v>13.350999999999999</v>
      </c>
      <c r="BH313">
        <v>-10.851100000000001</v>
      </c>
      <c r="BI313">
        <v>2.3519000000000001</v>
      </c>
      <c r="BJ313">
        <v>1.9925000000000002</v>
      </c>
      <c r="BK313">
        <v>0</v>
      </c>
      <c r="BL313">
        <v>17.2179</v>
      </c>
      <c r="BM313">
        <v>25.7364</v>
      </c>
      <c r="BN313">
        <v>10.0693</v>
      </c>
      <c r="BO313">
        <v>14.106199999999999</v>
      </c>
      <c r="BP313">
        <v>36.364800000000002</v>
      </c>
      <c r="BQ313">
        <v>7.8201000000000001</v>
      </c>
      <c r="BR313">
        <v>19.317900000000002</v>
      </c>
      <c r="BS313">
        <v>21.8537</v>
      </c>
      <c r="BT313">
        <v>16.341000000000001</v>
      </c>
      <c r="BU313">
        <v>10.0731</v>
      </c>
      <c r="BV313">
        <v>13.4992</v>
      </c>
      <c r="BW313">
        <v>10.4551</v>
      </c>
      <c r="BX313">
        <v>-16.225300000000001</v>
      </c>
      <c r="BY313">
        <v>445302</v>
      </c>
      <c r="BZ313">
        <v>194339</v>
      </c>
      <c r="CA313">
        <v>250963</v>
      </c>
      <c r="CB313">
        <v>13.286799999999999</v>
      </c>
      <c r="CC313">
        <v>10.843500000000001</v>
      </c>
      <c r="CD313">
        <v>60.244300000000003</v>
      </c>
      <c r="CE313">
        <v>49.165999999999997</v>
      </c>
      <c r="CF313">
        <v>1.0404</v>
      </c>
      <c r="CG313">
        <v>26.4451</v>
      </c>
      <c r="CH313">
        <v>71.813100000000006</v>
      </c>
      <c r="CI313">
        <v>31.576899999999998</v>
      </c>
      <c r="CJ313">
        <v>23.189499999999999</v>
      </c>
      <c r="CK313">
        <v>127.4233</v>
      </c>
      <c r="CL313">
        <v>56.0291</v>
      </c>
      <c r="CM313">
        <v>41.146700000000003</v>
      </c>
      <c r="CN313">
        <v>103.9915</v>
      </c>
      <c r="CO313">
        <v>50.978299999999997</v>
      </c>
      <c r="CP313">
        <v>33514.6</v>
      </c>
      <c r="CQ313">
        <v>-9828.1</v>
      </c>
      <c r="CR313">
        <v>7391.6</v>
      </c>
      <c r="CS313">
        <v>0.2044</v>
      </c>
      <c r="CT313">
        <v>1.1619999999999999</v>
      </c>
      <c r="CU313">
        <v>0.36470000000000002</v>
      </c>
      <c r="CV313">
        <v>1.7435</v>
      </c>
      <c r="CW313">
        <v>11.733499999999999</v>
      </c>
      <c r="CX313">
        <v>31.192799999999998</v>
      </c>
      <c r="CY313">
        <v>4.8068999999999997</v>
      </c>
      <c r="CZ313">
        <v>76.139899999999997</v>
      </c>
      <c r="DA313">
        <v>3.8357000000000001</v>
      </c>
      <c r="DB313">
        <v>95.420299999999997</v>
      </c>
      <c r="DC313">
        <v>11.9124</v>
      </c>
      <c r="DD313">
        <v>107.3327</v>
      </c>
      <c r="DE313">
        <v>106289.9</v>
      </c>
      <c r="DF313">
        <v>27292.3</v>
      </c>
      <c r="DG313">
        <v>30910.5</v>
      </c>
      <c r="DH313">
        <v>33419.1</v>
      </c>
      <c r="DI313">
        <v>14668</v>
      </c>
    </row>
    <row r="314" spans="4:113" x14ac:dyDescent="0.3">
      <c r="E314" t="s">
        <v>4</v>
      </c>
      <c r="F314" t="s">
        <v>134</v>
      </c>
      <c r="G314" t="s">
        <v>134</v>
      </c>
      <c r="H314" t="s">
        <v>134</v>
      </c>
      <c r="I314" t="s">
        <v>134</v>
      </c>
      <c r="J314" t="s">
        <v>134</v>
      </c>
      <c r="K314" t="s">
        <v>134</v>
      </c>
      <c r="L314" t="s">
        <v>134</v>
      </c>
      <c r="M314" t="s">
        <v>134</v>
      </c>
      <c r="N314" t="s">
        <v>134</v>
      </c>
      <c r="O314" t="s">
        <v>134</v>
      </c>
      <c r="P314" t="s">
        <v>134</v>
      </c>
      <c r="Q314" t="s">
        <v>134</v>
      </c>
      <c r="R314" t="s">
        <v>134</v>
      </c>
      <c r="S314" t="s">
        <v>134</v>
      </c>
      <c r="T314" t="s">
        <v>134</v>
      </c>
      <c r="U314" t="s">
        <v>134</v>
      </c>
      <c r="V314" t="s">
        <v>134</v>
      </c>
      <c r="W314" t="s">
        <v>134</v>
      </c>
      <c r="X314" t="s">
        <v>134</v>
      </c>
      <c r="Y314" t="s">
        <v>134</v>
      </c>
      <c r="Z314" t="s">
        <v>134</v>
      </c>
      <c r="AA314" t="s">
        <v>134</v>
      </c>
      <c r="AB314" t="s">
        <v>134</v>
      </c>
      <c r="AC314" t="s">
        <v>134</v>
      </c>
      <c r="AD314" t="s">
        <v>134</v>
      </c>
      <c r="AE314" t="s">
        <v>134</v>
      </c>
      <c r="AF314" t="s">
        <v>134</v>
      </c>
      <c r="AG314" t="s">
        <v>134</v>
      </c>
      <c r="AH314" t="s">
        <v>134</v>
      </c>
      <c r="AI314" t="s">
        <v>134</v>
      </c>
      <c r="AJ314" t="s">
        <v>134</v>
      </c>
      <c r="AK314" t="s">
        <v>134</v>
      </c>
      <c r="AL314" t="s">
        <v>134</v>
      </c>
      <c r="AM314" t="s">
        <v>134</v>
      </c>
      <c r="AN314" t="s">
        <v>134</v>
      </c>
      <c r="AO314" t="s">
        <v>134</v>
      </c>
      <c r="AP314" t="s">
        <v>134</v>
      </c>
      <c r="AQ314" t="s">
        <v>134</v>
      </c>
      <c r="AR314" t="s">
        <v>134</v>
      </c>
      <c r="AS314" t="s">
        <v>134</v>
      </c>
      <c r="AT314" t="s">
        <v>134</v>
      </c>
      <c r="AU314" t="s">
        <v>134</v>
      </c>
      <c r="AV314" t="s">
        <v>134</v>
      </c>
      <c r="AW314" t="s">
        <v>134</v>
      </c>
      <c r="AX314" t="s">
        <v>134</v>
      </c>
      <c r="AY314" t="s">
        <v>134</v>
      </c>
      <c r="AZ314" t="s">
        <v>134</v>
      </c>
      <c r="BA314" t="s">
        <v>134</v>
      </c>
      <c r="BB314" t="s">
        <v>134</v>
      </c>
      <c r="BC314" t="s">
        <v>134</v>
      </c>
      <c r="BD314" t="s">
        <v>134</v>
      </c>
      <c r="BE314" t="s">
        <v>134</v>
      </c>
      <c r="BF314" t="s">
        <v>134</v>
      </c>
      <c r="BG314" t="s">
        <v>134</v>
      </c>
      <c r="BH314" t="s">
        <v>134</v>
      </c>
      <c r="BI314" t="s">
        <v>134</v>
      </c>
      <c r="BJ314" t="s">
        <v>134</v>
      </c>
      <c r="BK314" t="s">
        <v>134</v>
      </c>
      <c r="BL314" t="s">
        <v>134</v>
      </c>
      <c r="BM314" t="s">
        <v>134</v>
      </c>
      <c r="BN314" t="s">
        <v>134</v>
      </c>
      <c r="BO314" t="s">
        <v>134</v>
      </c>
      <c r="BP314" t="s">
        <v>134</v>
      </c>
      <c r="BQ314" t="s">
        <v>134</v>
      </c>
      <c r="BR314" t="s">
        <v>134</v>
      </c>
      <c r="BS314" t="s">
        <v>134</v>
      </c>
      <c r="BT314" t="s">
        <v>134</v>
      </c>
      <c r="BU314" t="s">
        <v>134</v>
      </c>
      <c r="BV314" t="s">
        <v>134</v>
      </c>
      <c r="BW314" t="s">
        <v>134</v>
      </c>
      <c r="BX314" t="s">
        <v>134</v>
      </c>
      <c r="BY314" t="s">
        <v>134</v>
      </c>
      <c r="BZ314" t="s">
        <v>134</v>
      </c>
      <c r="CA314" t="s">
        <v>134</v>
      </c>
      <c r="CB314" t="s">
        <v>134</v>
      </c>
      <c r="CC314" t="s">
        <v>134</v>
      </c>
      <c r="CD314" t="s">
        <v>134</v>
      </c>
      <c r="CE314" t="s">
        <v>134</v>
      </c>
      <c r="CF314" t="s">
        <v>134</v>
      </c>
      <c r="CG314" t="s">
        <v>134</v>
      </c>
      <c r="CH314" t="s">
        <v>134</v>
      </c>
      <c r="CI314" t="s">
        <v>134</v>
      </c>
      <c r="CJ314" t="s">
        <v>134</v>
      </c>
      <c r="CK314" t="s">
        <v>134</v>
      </c>
      <c r="CL314" t="s">
        <v>134</v>
      </c>
      <c r="CM314" t="s">
        <v>134</v>
      </c>
      <c r="CN314" t="s">
        <v>134</v>
      </c>
      <c r="CO314" t="s">
        <v>134</v>
      </c>
      <c r="CP314" t="s">
        <v>134</v>
      </c>
      <c r="CQ314" t="s">
        <v>134</v>
      </c>
      <c r="CR314" t="s">
        <v>134</v>
      </c>
      <c r="CS314" t="s">
        <v>134</v>
      </c>
      <c r="CT314" t="s">
        <v>134</v>
      </c>
      <c r="CU314" t="s">
        <v>134</v>
      </c>
      <c r="CV314" t="s">
        <v>134</v>
      </c>
      <c r="CW314" t="s">
        <v>134</v>
      </c>
      <c r="CX314" t="s">
        <v>134</v>
      </c>
      <c r="CY314" t="s">
        <v>134</v>
      </c>
      <c r="CZ314" t="s">
        <v>134</v>
      </c>
      <c r="DA314" t="s">
        <v>134</v>
      </c>
      <c r="DB314" t="s">
        <v>134</v>
      </c>
      <c r="DC314" t="s">
        <v>134</v>
      </c>
      <c r="DD314" t="s">
        <v>134</v>
      </c>
      <c r="DE314" t="s">
        <v>134</v>
      </c>
      <c r="DF314" t="s">
        <v>134</v>
      </c>
      <c r="DG314" t="s">
        <v>134</v>
      </c>
      <c r="DH314" t="s">
        <v>134</v>
      </c>
      <c r="DI314" t="s">
        <v>134</v>
      </c>
    </row>
    <row r="315" spans="4:113" x14ac:dyDescent="0.3">
      <c r="E315" t="s">
        <v>5</v>
      </c>
      <c r="F315" t="s">
        <v>134</v>
      </c>
      <c r="G315" t="s">
        <v>134</v>
      </c>
      <c r="H315" t="s">
        <v>134</v>
      </c>
      <c r="I315" t="s">
        <v>134</v>
      </c>
      <c r="J315" t="s">
        <v>134</v>
      </c>
      <c r="K315" t="s">
        <v>134</v>
      </c>
      <c r="L315" t="s">
        <v>134</v>
      </c>
      <c r="M315" t="s">
        <v>134</v>
      </c>
      <c r="N315" t="s">
        <v>134</v>
      </c>
      <c r="O315" t="s">
        <v>134</v>
      </c>
      <c r="P315" t="s">
        <v>134</v>
      </c>
      <c r="Q315" t="s">
        <v>134</v>
      </c>
      <c r="R315" t="s">
        <v>134</v>
      </c>
      <c r="S315" t="s">
        <v>134</v>
      </c>
      <c r="T315" t="s">
        <v>134</v>
      </c>
      <c r="U315" t="s">
        <v>134</v>
      </c>
      <c r="V315" t="s">
        <v>134</v>
      </c>
      <c r="W315" t="s">
        <v>134</v>
      </c>
      <c r="X315" t="s">
        <v>134</v>
      </c>
      <c r="Y315" t="s">
        <v>134</v>
      </c>
      <c r="Z315" t="s">
        <v>134</v>
      </c>
      <c r="AA315" t="s">
        <v>134</v>
      </c>
      <c r="AB315" t="s">
        <v>134</v>
      </c>
      <c r="AC315" t="s">
        <v>134</v>
      </c>
      <c r="AD315" t="s">
        <v>134</v>
      </c>
      <c r="AE315" t="s">
        <v>134</v>
      </c>
      <c r="AF315" t="s">
        <v>134</v>
      </c>
      <c r="AG315" t="s">
        <v>134</v>
      </c>
      <c r="AH315" t="s">
        <v>134</v>
      </c>
      <c r="AI315" t="s">
        <v>134</v>
      </c>
      <c r="AJ315" t="s">
        <v>134</v>
      </c>
      <c r="AK315" t="s">
        <v>134</v>
      </c>
      <c r="AL315" t="s">
        <v>134</v>
      </c>
      <c r="AM315" t="s">
        <v>134</v>
      </c>
      <c r="AN315" t="s">
        <v>134</v>
      </c>
      <c r="AO315" t="s">
        <v>134</v>
      </c>
      <c r="AP315" t="s">
        <v>134</v>
      </c>
      <c r="AQ315" t="s">
        <v>134</v>
      </c>
      <c r="AR315" t="s">
        <v>134</v>
      </c>
      <c r="AS315" t="s">
        <v>134</v>
      </c>
      <c r="AT315" t="s">
        <v>134</v>
      </c>
      <c r="AU315" t="s">
        <v>134</v>
      </c>
      <c r="AV315" t="s">
        <v>134</v>
      </c>
      <c r="AW315" t="s">
        <v>134</v>
      </c>
      <c r="AX315" t="s">
        <v>134</v>
      </c>
      <c r="AY315" t="s">
        <v>134</v>
      </c>
      <c r="AZ315" t="s">
        <v>134</v>
      </c>
      <c r="BA315" t="s">
        <v>134</v>
      </c>
      <c r="BB315" t="s">
        <v>134</v>
      </c>
      <c r="BC315" t="s">
        <v>134</v>
      </c>
      <c r="BD315" t="s">
        <v>134</v>
      </c>
      <c r="BE315" t="s">
        <v>134</v>
      </c>
      <c r="BF315" t="s">
        <v>134</v>
      </c>
      <c r="BG315" t="s">
        <v>134</v>
      </c>
      <c r="BH315" t="s">
        <v>134</v>
      </c>
      <c r="BI315" t="s">
        <v>134</v>
      </c>
      <c r="BJ315" t="s">
        <v>134</v>
      </c>
      <c r="BK315" t="s">
        <v>134</v>
      </c>
      <c r="BL315" t="s">
        <v>134</v>
      </c>
      <c r="BM315" t="s">
        <v>134</v>
      </c>
      <c r="BN315" t="s">
        <v>134</v>
      </c>
      <c r="BO315" t="s">
        <v>134</v>
      </c>
      <c r="BP315" t="s">
        <v>134</v>
      </c>
      <c r="BQ315" t="s">
        <v>134</v>
      </c>
      <c r="BR315" t="s">
        <v>134</v>
      </c>
      <c r="BS315" t="s">
        <v>134</v>
      </c>
      <c r="BT315" t="s">
        <v>134</v>
      </c>
      <c r="BU315" t="s">
        <v>134</v>
      </c>
      <c r="BV315" t="s">
        <v>134</v>
      </c>
      <c r="BW315" t="s">
        <v>134</v>
      </c>
      <c r="BX315" t="s">
        <v>134</v>
      </c>
      <c r="BY315" t="s">
        <v>134</v>
      </c>
      <c r="BZ315" t="s">
        <v>134</v>
      </c>
      <c r="CA315" t="s">
        <v>134</v>
      </c>
      <c r="CB315" t="s">
        <v>134</v>
      </c>
      <c r="CC315" t="s">
        <v>134</v>
      </c>
      <c r="CD315" t="s">
        <v>134</v>
      </c>
      <c r="CE315" t="s">
        <v>134</v>
      </c>
      <c r="CF315" t="s">
        <v>134</v>
      </c>
      <c r="CG315" t="s">
        <v>134</v>
      </c>
      <c r="CH315" t="s">
        <v>134</v>
      </c>
      <c r="CI315" t="s">
        <v>134</v>
      </c>
      <c r="CJ315" t="s">
        <v>134</v>
      </c>
      <c r="CK315" t="s">
        <v>134</v>
      </c>
      <c r="CL315" t="s">
        <v>134</v>
      </c>
      <c r="CM315" t="s">
        <v>134</v>
      </c>
      <c r="CN315" t="s">
        <v>134</v>
      </c>
      <c r="CO315" t="s">
        <v>134</v>
      </c>
      <c r="CP315" t="s">
        <v>134</v>
      </c>
      <c r="CQ315" t="s">
        <v>134</v>
      </c>
      <c r="CR315" t="s">
        <v>134</v>
      </c>
      <c r="CS315" t="s">
        <v>134</v>
      </c>
      <c r="CT315" t="s">
        <v>134</v>
      </c>
      <c r="CU315" t="s">
        <v>134</v>
      </c>
      <c r="CV315" t="s">
        <v>134</v>
      </c>
      <c r="CW315" t="s">
        <v>134</v>
      </c>
      <c r="CX315" t="s">
        <v>134</v>
      </c>
      <c r="CY315" t="s">
        <v>134</v>
      </c>
      <c r="CZ315" t="s">
        <v>134</v>
      </c>
      <c r="DA315" t="s">
        <v>134</v>
      </c>
      <c r="DB315" t="s">
        <v>134</v>
      </c>
      <c r="DC315" t="s">
        <v>134</v>
      </c>
      <c r="DD315" t="s">
        <v>134</v>
      </c>
      <c r="DE315" t="s">
        <v>134</v>
      </c>
      <c r="DF315" t="s">
        <v>134</v>
      </c>
      <c r="DG315" t="s">
        <v>134</v>
      </c>
      <c r="DH315" t="s">
        <v>134</v>
      </c>
      <c r="DI315" t="s">
        <v>134</v>
      </c>
    </row>
    <row r="316" spans="4:113" x14ac:dyDescent="0.3">
      <c r="E316" t="s">
        <v>6</v>
      </c>
      <c r="F316" t="s">
        <v>134</v>
      </c>
      <c r="G316" t="s">
        <v>134</v>
      </c>
      <c r="H316" t="s">
        <v>134</v>
      </c>
      <c r="I316" t="s">
        <v>134</v>
      </c>
      <c r="J316" t="s">
        <v>134</v>
      </c>
      <c r="K316" t="s">
        <v>134</v>
      </c>
      <c r="L316" t="s">
        <v>134</v>
      </c>
      <c r="M316" t="s">
        <v>134</v>
      </c>
      <c r="N316" t="s">
        <v>134</v>
      </c>
      <c r="O316" t="s">
        <v>134</v>
      </c>
      <c r="P316" t="s">
        <v>134</v>
      </c>
      <c r="Q316" t="s">
        <v>134</v>
      </c>
      <c r="R316" t="s">
        <v>134</v>
      </c>
      <c r="S316" t="s">
        <v>134</v>
      </c>
      <c r="T316" t="s">
        <v>134</v>
      </c>
      <c r="U316" t="s">
        <v>134</v>
      </c>
      <c r="V316" t="s">
        <v>134</v>
      </c>
      <c r="W316" t="s">
        <v>134</v>
      </c>
      <c r="X316" t="s">
        <v>134</v>
      </c>
      <c r="Y316" t="s">
        <v>134</v>
      </c>
      <c r="Z316" t="s">
        <v>134</v>
      </c>
      <c r="AA316" t="s">
        <v>134</v>
      </c>
      <c r="AB316" t="s">
        <v>134</v>
      </c>
      <c r="AC316" t="s">
        <v>134</v>
      </c>
      <c r="AD316" t="s">
        <v>134</v>
      </c>
      <c r="AE316" t="s">
        <v>134</v>
      </c>
      <c r="AF316" t="s">
        <v>134</v>
      </c>
      <c r="AG316" t="s">
        <v>134</v>
      </c>
      <c r="AH316" t="s">
        <v>134</v>
      </c>
      <c r="AI316" t="s">
        <v>134</v>
      </c>
      <c r="AJ316" t="s">
        <v>134</v>
      </c>
      <c r="AK316" t="s">
        <v>134</v>
      </c>
      <c r="AL316" t="s">
        <v>134</v>
      </c>
      <c r="AM316" t="s">
        <v>134</v>
      </c>
      <c r="AN316" t="s">
        <v>134</v>
      </c>
      <c r="AO316" t="s">
        <v>134</v>
      </c>
      <c r="AP316" t="s">
        <v>134</v>
      </c>
      <c r="AQ316" t="s">
        <v>134</v>
      </c>
      <c r="AR316" t="s">
        <v>134</v>
      </c>
      <c r="AS316" t="s">
        <v>134</v>
      </c>
      <c r="AT316" t="s">
        <v>134</v>
      </c>
      <c r="AU316" t="s">
        <v>134</v>
      </c>
      <c r="AV316" t="s">
        <v>134</v>
      </c>
      <c r="AW316" t="s">
        <v>134</v>
      </c>
      <c r="AX316" t="s">
        <v>134</v>
      </c>
      <c r="AY316" t="s">
        <v>134</v>
      </c>
      <c r="AZ316" t="s">
        <v>134</v>
      </c>
      <c r="BA316" t="s">
        <v>134</v>
      </c>
      <c r="BB316" t="s">
        <v>134</v>
      </c>
      <c r="BC316" t="s">
        <v>134</v>
      </c>
      <c r="BD316" t="s">
        <v>134</v>
      </c>
      <c r="BE316" t="s">
        <v>134</v>
      </c>
      <c r="BF316" t="s">
        <v>134</v>
      </c>
      <c r="BG316" t="s">
        <v>134</v>
      </c>
      <c r="BH316" t="s">
        <v>134</v>
      </c>
      <c r="BI316" t="s">
        <v>134</v>
      </c>
      <c r="BJ316" t="s">
        <v>134</v>
      </c>
      <c r="BK316" t="s">
        <v>134</v>
      </c>
      <c r="BL316" t="s">
        <v>134</v>
      </c>
      <c r="BM316" t="s">
        <v>134</v>
      </c>
      <c r="BN316" t="s">
        <v>134</v>
      </c>
      <c r="BO316" t="s">
        <v>134</v>
      </c>
      <c r="BP316" t="s">
        <v>134</v>
      </c>
      <c r="BQ316" t="s">
        <v>134</v>
      </c>
      <c r="BR316" t="s">
        <v>134</v>
      </c>
      <c r="BS316" t="s">
        <v>134</v>
      </c>
      <c r="BT316" t="s">
        <v>134</v>
      </c>
      <c r="BU316" t="s">
        <v>134</v>
      </c>
      <c r="BV316" t="s">
        <v>134</v>
      </c>
      <c r="BW316" t="s">
        <v>134</v>
      </c>
      <c r="BX316" t="s">
        <v>134</v>
      </c>
      <c r="BY316" t="s">
        <v>134</v>
      </c>
      <c r="BZ316" t="s">
        <v>134</v>
      </c>
      <c r="CA316" t="s">
        <v>134</v>
      </c>
      <c r="CB316" t="s">
        <v>134</v>
      </c>
      <c r="CC316" t="s">
        <v>134</v>
      </c>
      <c r="CD316" t="s">
        <v>134</v>
      </c>
      <c r="CE316" t="s">
        <v>134</v>
      </c>
      <c r="CF316" t="s">
        <v>134</v>
      </c>
      <c r="CG316" t="s">
        <v>134</v>
      </c>
      <c r="CH316" t="s">
        <v>134</v>
      </c>
      <c r="CI316" t="s">
        <v>134</v>
      </c>
      <c r="CJ316" t="s">
        <v>134</v>
      </c>
      <c r="CK316" t="s">
        <v>134</v>
      </c>
      <c r="CL316" t="s">
        <v>134</v>
      </c>
      <c r="CM316" t="s">
        <v>134</v>
      </c>
      <c r="CN316" t="s">
        <v>134</v>
      </c>
      <c r="CO316" t="s">
        <v>134</v>
      </c>
      <c r="CP316" t="s">
        <v>134</v>
      </c>
      <c r="CQ316" t="s">
        <v>134</v>
      </c>
      <c r="CR316" t="s">
        <v>134</v>
      </c>
      <c r="CS316" t="s">
        <v>134</v>
      </c>
      <c r="CT316" t="s">
        <v>134</v>
      </c>
      <c r="CU316" t="s">
        <v>134</v>
      </c>
      <c r="CV316" t="s">
        <v>134</v>
      </c>
      <c r="CW316" t="s">
        <v>134</v>
      </c>
      <c r="CX316" t="s">
        <v>134</v>
      </c>
      <c r="CY316" t="s">
        <v>134</v>
      </c>
      <c r="CZ316" t="s">
        <v>134</v>
      </c>
      <c r="DA316" t="s">
        <v>134</v>
      </c>
      <c r="DB316" t="s">
        <v>134</v>
      </c>
      <c r="DC316" t="s">
        <v>134</v>
      </c>
      <c r="DD316" t="s">
        <v>134</v>
      </c>
      <c r="DE316" t="s">
        <v>134</v>
      </c>
      <c r="DF316" t="s">
        <v>134</v>
      </c>
      <c r="DG316" t="s">
        <v>134</v>
      </c>
      <c r="DH316" t="s">
        <v>134</v>
      </c>
      <c r="DI316" t="s">
        <v>134</v>
      </c>
    </row>
    <row r="317" spans="4:113" x14ac:dyDescent="0.3">
      <c r="E317" t="s">
        <v>7</v>
      </c>
      <c r="F317" t="s">
        <v>134</v>
      </c>
      <c r="G317" t="s">
        <v>134</v>
      </c>
      <c r="H317" t="s">
        <v>134</v>
      </c>
      <c r="I317" t="s">
        <v>134</v>
      </c>
      <c r="J317" t="s">
        <v>134</v>
      </c>
      <c r="K317" t="s">
        <v>134</v>
      </c>
      <c r="L317" t="s">
        <v>134</v>
      </c>
      <c r="M317" t="s">
        <v>134</v>
      </c>
      <c r="N317" t="s">
        <v>134</v>
      </c>
      <c r="O317" t="s">
        <v>134</v>
      </c>
      <c r="P317" t="s">
        <v>134</v>
      </c>
      <c r="Q317" t="s">
        <v>134</v>
      </c>
      <c r="R317" t="s">
        <v>134</v>
      </c>
      <c r="S317" t="s">
        <v>134</v>
      </c>
      <c r="T317" t="s">
        <v>134</v>
      </c>
      <c r="U317" t="s">
        <v>134</v>
      </c>
      <c r="V317" t="s">
        <v>134</v>
      </c>
      <c r="W317" t="s">
        <v>134</v>
      </c>
      <c r="X317" t="s">
        <v>134</v>
      </c>
      <c r="Y317" t="s">
        <v>134</v>
      </c>
      <c r="Z317" t="s">
        <v>134</v>
      </c>
      <c r="AA317" t="s">
        <v>134</v>
      </c>
      <c r="AB317" t="s">
        <v>134</v>
      </c>
      <c r="AC317" t="s">
        <v>134</v>
      </c>
      <c r="AD317" t="s">
        <v>134</v>
      </c>
      <c r="AE317" t="s">
        <v>134</v>
      </c>
      <c r="AF317" t="s">
        <v>134</v>
      </c>
      <c r="AG317" t="s">
        <v>134</v>
      </c>
      <c r="AH317" t="s">
        <v>134</v>
      </c>
      <c r="AI317" t="s">
        <v>134</v>
      </c>
      <c r="AJ317" t="s">
        <v>134</v>
      </c>
      <c r="AK317" t="s">
        <v>134</v>
      </c>
      <c r="AL317" t="s">
        <v>134</v>
      </c>
      <c r="AM317" t="s">
        <v>134</v>
      </c>
      <c r="AN317" t="s">
        <v>134</v>
      </c>
      <c r="AO317" t="s">
        <v>134</v>
      </c>
      <c r="AP317" t="s">
        <v>134</v>
      </c>
      <c r="AQ317" t="s">
        <v>134</v>
      </c>
      <c r="AR317" t="s">
        <v>134</v>
      </c>
      <c r="AS317" t="s">
        <v>134</v>
      </c>
      <c r="AT317" t="s">
        <v>134</v>
      </c>
      <c r="AU317" t="s">
        <v>134</v>
      </c>
      <c r="AV317" t="s">
        <v>134</v>
      </c>
      <c r="AW317" t="s">
        <v>134</v>
      </c>
      <c r="AX317" t="s">
        <v>134</v>
      </c>
      <c r="AY317" t="s">
        <v>134</v>
      </c>
      <c r="AZ317" t="s">
        <v>134</v>
      </c>
      <c r="BA317" t="s">
        <v>134</v>
      </c>
      <c r="BB317" t="s">
        <v>134</v>
      </c>
      <c r="BC317" t="s">
        <v>134</v>
      </c>
      <c r="BD317" t="s">
        <v>134</v>
      </c>
      <c r="BE317" t="s">
        <v>134</v>
      </c>
      <c r="BF317" t="s">
        <v>134</v>
      </c>
      <c r="BG317" t="s">
        <v>134</v>
      </c>
      <c r="BH317" t="s">
        <v>134</v>
      </c>
      <c r="BI317" t="s">
        <v>134</v>
      </c>
      <c r="BJ317" t="s">
        <v>134</v>
      </c>
      <c r="BK317" t="s">
        <v>134</v>
      </c>
      <c r="BL317" t="s">
        <v>134</v>
      </c>
      <c r="BM317" t="s">
        <v>134</v>
      </c>
      <c r="BN317" t="s">
        <v>134</v>
      </c>
      <c r="BO317" t="s">
        <v>134</v>
      </c>
      <c r="BP317" t="s">
        <v>134</v>
      </c>
      <c r="BQ317" t="s">
        <v>134</v>
      </c>
      <c r="BR317" t="s">
        <v>134</v>
      </c>
      <c r="BS317" t="s">
        <v>134</v>
      </c>
      <c r="BT317" t="s">
        <v>134</v>
      </c>
      <c r="BU317" t="s">
        <v>134</v>
      </c>
      <c r="BV317" t="s">
        <v>134</v>
      </c>
      <c r="BW317" t="s">
        <v>134</v>
      </c>
      <c r="BX317" t="s">
        <v>134</v>
      </c>
      <c r="BY317" t="s">
        <v>134</v>
      </c>
      <c r="BZ317" t="s">
        <v>134</v>
      </c>
      <c r="CA317" t="s">
        <v>134</v>
      </c>
      <c r="CB317" t="s">
        <v>134</v>
      </c>
      <c r="CC317" t="s">
        <v>134</v>
      </c>
      <c r="CD317" t="s">
        <v>134</v>
      </c>
      <c r="CE317" t="s">
        <v>134</v>
      </c>
      <c r="CF317" t="s">
        <v>134</v>
      </c>
      <c r="CG317" t="s">
        <v>134</v>
      </c>
      <c r="CH317" t="s">
        <v>134</v>
      </c>
      <c r="CI317" t="s">
        <v>134</v>
      </c>
      <c r="CJ317" t="s">
        <v>134</v>
      </c>
      <c r="CK317" t="s">
        <v>134</v>
      </c>
      <c r="CL317" t="s">
        <v>134</v>
      </c>
      <c r="CM317" t="s">
        <v>134</v>
      </c>
      <c r="CN317" t="s">
        <v>134</v>
      </c>
      <c r="CO317" t="s">
        <v>134</v>
      </c>
      <c r="CP317" t="s">
        <v>134</v>
      </c>
      <c r="CQ317" t="s">
        <v>134</v>
      </c>
      <c r="CR317" t="s">
        <v>134</v>
      </c>
      <c r="CS317" t="s">
        <v>134</v>
      </c>
      <c r="CT317" t="s">
        <v>134</v>
      </c>
      <c r="CU317" t="s">
        <v>134</v>
      </c>
      <c r="CV317" t="s">
        <v>134</v>
      </c>
      <c r="CW317" t="s">
        <v>134</v>
      </c>
      <c r="CX317" t="s">
        <v>134</v>
      </c>
      <c r="CY317" t="s">
        <v>134</v>
      </c>
      <c r="CZ317" t="s">
        <v>134</v>
      </c>
      <c r="DA317" t="s">
        <v>134</v>
      </c>
      <c r="DB317" t="s">
        <v>134</v>
      </c>
      <c r="DC317" t="s">
        <v>134</v>
      </c>
      <c r="DD317" t="s">
        <v>134</v>
      </c>
      <c r="DE317" t="s">
        <v>134</v>
      </c>
      <c r="DF317" t="s">
        <v>134</v>
      </c>
      <c r="DG317" t="s">
        <v>134</v>
      </c>
      <c r="DH317" t="s">
        <v>134</v>
      </c>
      <c r="DI317" t="s">
        <v>134</v>
      </c>
    </row>
    <row r="318" spans="4:113" x14ac:dyDescent="0.3">
      <c r="D318" t="s">
        <v>10</v>
      </c>
      <c r="E318" t="s">
        <v>3</v>
      </c>
      <c r="F318">
        <v>13.1531</v>
      </c>
      <c r="G318">
        <v>3.4327000000000001</v>
      </c>
      <c r="H318">
        <v>9.0607000000000006</v>
      </c>
      <c r="I318">
        <v>1.778</v>
      </c>
      <c r="J318">
        <v>4.7888000000000002</v>
      </c>
      <c r="K318">
        <v>0.81379999999999997</v>
      </c>
      <c r="L318" t="s">
        <v>134</v>
      </c>
      <c r="M318">
        <v>8.5815000000000001</v>
      </c>
      <c r="N318">
        <v>5.4737</v>
      </c>
      <c r="O318">
        <v>4.9973999999999998</v>
      </c>
      <c r="P318">
        <v>4.9973999999999998</v>
      </c>
      <c r="Q318">
        <v>36.214700000000001</v>
      </c>
      <c r="R318">
        <v>19.045400000000001</v>
      </c>
      <c r="S318">
        <v>10.648</v>
      </c>
      <c r="T318">
        <v>9.8705999999999996</v>
      </c>
      <c r="U318">
        <v>7.8266</v>
      </c>
      <c r="V318">
        <v>-26.035699999999999</v>
      </c>
      <c r="W318">
        <v>17.456600000000002</v>
      </c>
      <c r="X318">
        <v>17.148499999999999</v>
      </c>
      <c r="Y318">
        <v>8.3332999999999995</v>
      </c>
      <c r="Z318">
        <v>23.749700000000001</v>
      </c>
      <c r="AA318">
        <v>-2.5242</v>
      </c>
      <c r="AB318">
        <v>5.8989000000000003</v>
      </c>
      <c r="AC318">
        <v>14.1044</v>
      </c>
      <c r="AD318">
        <v>-65.28</v>
      </c>
      <c r="AE318">
        <v>23.880500000000001</v>
      </c>
      <c r="AF318">
        <v>16.208400000000001</v>
      </c>
      <c r="AG318">
        <v>43.053699999999999</v>
      </c>
      <c r="AH318">
        <v>31.312899999999999</v>
      </c>
      <c r="AI318">
        <v>11.3598</v>
      </c>
      <c r="AJ318">
        <v>21.061699999999998</v>
      </c>
      <c r="AK318">
        <v>12.047599999999999</v>
      </c>
      <c r="AL318">
        <v>-84.640199999999993</v>
      </c>
      <c r="AM318">
        <v>6.2281000000000004</v>
      </c>
      <c r="AN318">
        <v>-4.8924000000000003</v>
      </c>
      <c r="AO318">
        <v>-26.1996</v>
      </c>
      <c r="AP318">
        <v>3.4137</v>
      </c>
      <c r="AQ318">
        <v>5.9401000000000002</v>
      </c>
      <c r="AR318">
        <v>0.78749999999999998</v>
      </c>
      <c r="AS318">
        <v>6.1371000000000002</v>
      </c>
      <c r="AT318">
        <v>4.4207999999999998</v>
      </c>
      <c r="AU318">
        <v>5.1269999999999998</v>
      </c>
      <c r="AV318">
        <v>12.476800000000001</v>
      </c>
      <c r="AW318">
        <v>-26.1372</v>
      </c>
      <c r="AX318">
        <v>4.9610000000000003</v>
      </c>
      <c r="AY318">
        <v>9.1287000000000003</v>
      </c>
      <c r="AZ318">
        <v>7.4127999999999998</v>
      </c>
      <c r="BA318">
        <v>11.7433</v>
      </c>
      <c r="BB318">
        <v>11.1996</v>
      </c>
      <c r="BC318">
        <v>11.484400000000001</v>
      </c>
      <c r="BD318">
        <v>14.1203</v>
      </c>
      <c r="BE318" t="s">
        <v>134</v>
      </c>
      <c r="BF318">
        <v>9.8705999999999996</v>
      </c>
      <c r="BG318">
        <v>7.8266</v>
      </c>
      <c r="BH318">
        <v>-26.035699999999999</v>
      </c>
      <c r="BI318">
        <v>17.456600000000002</v>
      </c>
      <c r="BJ318">
        <v>17.148499999999999</v>
      </c>
      <c r="BK318">
        <v>8.3332999999999995</v>
      </c>
      <c r="BL318">
        <v>23.749700000000001</v>
      </c>
      <c r="BM318">
        <v>-2.5242</v>
      </c>
      <c r="BN318">
        <v>5.8989000000000003</v>
      </c>
      <c r="BO318">
        <v>14.1044</v>
      </c>
      <c r="BP318">
        <v>-65.28</v>
      </c>
      <c r="BQ318">
        <v>23.880500000000001</v>
      </c>
      <c r="BR318">
        <v>16.208400000000001</v>
      </c>
      <c r="BS318">
        <v>43.053699999999999</v>
      </c>
      <c r="BT318">
        <v>31.312899999999999</v>
      </c>
      <c r="BU318">
        <v>11.3598</v>
      </c>
      <c r="BV318">
        <v>21.061699999999998</v>
      </c>
      <c r="BW318">
        <v>12.047599999999999</v>
      </c>
      <c r="BX318">
        <v>-84.640199999999993</v>
      </c>
      <c r="BY318">
        <v>402814.1</v>
      </c>
      <c r="BZ318">
        <v>101240.8</v>
      </c>
      <c r="CA318">
        <v>301573.3</v>
      </c>
      <c r="CB318">
        <v>11.367100000000001</v>
      </c>
      <c r="CC318">
        <v>8.7605000000000004</v>
      </c>
      <c r="CD318">
        <v>66.892600000000002</v>
      </c>
      <c r="CE318">
        <v>51.5535</v>
      </c>
      <c r="CF318">
        <v>0.99670000000000003</v>
      </c>
      <c r="CG318">
        <v>25.898399999999999</v>
      </c>
      <c r="CH318">
        <v>83.5501</v>
      </c>
      <c r="CI318">
        <v>39.485199999999999</v>
      </c>
      <c r="CJ318">
        <v>26.2636</v>
      </c>
      <c r="CK318">
        <v>111.59869999999999</v>
      </c>
      <c r="CL318">
        <v>52.740699999999997</v>
      </c>
      <c r="CM318">
        <v>35.080500000000001</v>
      </c>
      <c r="CN318">
        <v>86.007999999999996</v>
      </c>
      <c r="CO318">
        <v>46.238900000000001</v>
      </c>
      <c r="CP318">
        <v>35436.9</v>
      </c>
      <c r="CQ318">
        <v>-14824.6</v>
      </c>
      <c r="CR318">
        <v>6021.8</v>
      </c>
      <c r="CS318">
        <v>0.2316</v>
      </c>
      <c r="CT318">
        <v>1.2257</v>
      </c>
      <c r="CU318">
        <v>0.41210000000000002</v>
      </c>
      <c r="CV318">
        <v>1.6731</v>
      </c>
      <c r="CW318">
        <v>11.3698</v>
      </c>
      <c r="CX318">
        <v>32.102499999999999</v>
      </c>
      <c r="CY318">
        <v>5.5637999999999996</v>
      </c>
      <c r="CZ318">
        <v>65.602199999999996</v>
      </c>
      <c r="DA318">
        <v>3.4472999999999998</v>
      </c>
      <c r="DB318">
        <v>105.8788</v>
      </c>
      <c r="DC318">
        <v>-8.1740999999999993</v>
      </c>
      <c r="DD318">
        <v>97.704599999999999</v>
      </c>
      <c r="DE318">
        <v>88860.1</v>
      </c>
      <c r="DF318">
        <v>23321.599999999999</v>
      </c>
      <c r="DG318">
        <v>17796.2</v>
      </c>
      <c r="DH318">
        <v>35144.400000000001</v>
      </c>
      <c r="DI318">
        <v>12597.9</v>
      </c>
    </row>
    <row r="319" spans="4:113" x14ac:dyDescent="0.3">
      <c r="E319" t="s">
        <v>4</v>
      </c>
      <c r="F319" t="s">
        <v>134</v>
      </c>
      <c r="G319" t="s">
        <v>134</v>
      </c>
      <c r="H319" t="s">
        <v>134</v>
      </c>
      <c r="I319" t="s">
        <v>134</v>
      </c>
      <c r="J319" t="s">
        <v>134</v>
      </c>
      <c r="K319" t="s">
        <v>134</v>
      </c>
      <c r="L319" t="s">
        <v>134</v>
      </c>
      <c r="M319" t="s">
        <v>134</v>
      </c>
      <c r="N319" t="s">
        <v>134</v>
      </c>
      <c r="O319" t="s">
        <v>134</v>
      </c>
      <c r="P319" t="s">
        <v>134</v>
      </c>
      <c r="Q319" t="s">
        <v>134</v>
      </c>
      <c r="R319" t="s">
        <v>134</v>
      </c>
      <c r="S319" t="s">
        <v>134</v>
      </c>
      <c r="T319" t="s">
        <v>134</v>
      </c>
      <c r="U319" t="s">
        <v>134</v>
      </c>
      <c r="V319" t="s">
        <v>134</v>
      </c>
      <c r="W319" t="s">
        <v>134</v>
      </c>
      <c r="X319" t="s">
        <v>134</v>
      </c>
      <c r="Y319" t="s">
        <v>134</v>
      </c>
      <c r="Z319" t="s">
        <v>134</v>
      </c>
      <c r="AA319" t="s">
        <v>134</v>
      </c>
      <c r="AB319" t="s">
        <v>134</v>
      </c>
      <c r="AC319" t="s">
        <v>134</v>
      </c>
      <c r="AD319" t="s">
        <v>134</v>
      </c>
      <c r="AE319" t="s">
        <v>134</v>
      </c>
      <c r="AF319" t="s">
        <v>134</v>
      </c>
      <c r="AG319" t="s">
        <v>134</v>
      </c>
      <c r="AH319" t="s">
        <v>134</v>
      </c>
      <c r="AI319" t="s">
        <v>134</v>
      </c>
      <c r="AJ319" t="s">
        <v>134</v>
      </c>
      <c r="AK319" t="s">
        <v>134</v>
      </c>
      <c r="AL319" t="s">
        <v>134</v>
      </c>
      <c r="AM319" t="s">
        <v>134</v>
      </c>
      <c r="AN319" t="s">
        <v>134</v>
      </c>
      <c r="AO319" t="s">
        <v>134</v>
      </c>
      <c r="AP319" t="s">
        <v>134</v>
      </c>
      <c r="AQ319" t="s">
        <v>134</v>
      </c>
      <c r="AR319" t="s">
        <v>134</v>
      </c>
      <c r="AS319" t="s">
        <v>134</v>
      </c>
      <c r="AT319" t="s">
        <v>134</v>
      </c>
      <c r="AU319" t="s">
        <v>134</v>
      </c>
      <c r="AV319" t="s">
        <v>134</v>
      </c>
      <c r="AW319" t="s">
        <v>134</v>
      </c>
      <c r="AX319" t="s">
        <v>134</v>
      </c>
      <c r="AY319" t="s">
        <v>134</v>
      </c>
      <c r="AZ319" t="s">
        <v>134</v>
      </c>
      <c r="BA319" t="s">
        <v>134</v>
      </c>
      <c r="BB319" t="s">
        <v>134</v>
      </c>
      <c r="BC319" t="s">
        <v>134</v>
      </c>
      <c r="BD319" t="s">
        <v>134</v>
      </c>
      <c r="BE319" t="s">
        <v>134</v>
      </c>
      <c r="BF319" t="s">
        <v>134</v>
      </c>
      <c r="BG319" t="s">
        <v>134</v>
      </c>
      <c r="BH319" t="s">
        <v>134</v>
      </c>
      <c r="BI319" t="s">
        <v>134</v>
      </c>
      <c r="BJ319" t="s">
        <v>134</v>
      </c>
      <c r="BK319" t="s">
        <v>134</v>
      </c>
      <c r="BL319" t="s">
        <v>134</v>
      </c>
      <c r="BM319" t="s">
        <v>134</v>
      </c>
      <c r="BN319" t="s">
        <v>134</v>
      </c>
      <c r="BO319" t="s">
        <v>134</v>
      </c>
      <c r="BP319" t="s">
        <v>134</v>
      </c>
      <c r="BQ319" t="s">
        <v>134</v>
      </c>
      <c r="BR319" t="s">
        <v>134</v>
      </c>
      <c r="BS319" t="s">
        <v>134</v>
      </c>
      <c r="BT319" t="s">
        <v>134</v>
      </c>
      <c r="BU319" t="s">
        <v>134</v>
      </c>
      <c r="BV319" t="s">
        <v>134</v>
      </c>
      <c r="BW319" t="s">
        <v>134</v>
      </c>
      <c r="BX319" t="s">
        <v>134</v>
      </c>
      <c r="BY319" t="s">
        <v>134</v>
      </c>
      <c r="BZ319" t="s">
        <v>134</v>
      </c>
      <c r="CA319" t="s">
        <v>134</v>
      </c>
      <c r="CB319" t="s">
        <v>134</v>
      </c>
      <c r="CC319" t="s">
        <v>134</v>
      </c>
      <c r="CD319" t="s">
        <v>134</v>
      </c>
      <c r="CE319" t="s">
        <v>134</v>
      </c>
      <c r="CF319" t="s">
        <v>134</v>
      </c>
      <c r="CG319" t="s">
        <v>134</v>
      </c>
      <c r="CH319" t="s">
        <v>134</v>
      </c>
      <c r="CI319" t="s">
        <v>134</v>
      </c>
      <c r="CJ319" t="s">
        <v>134</v>
      </c>
      <c r="CK319" t="s">
        <v>134</v>
      </c>
      <c r="CL319" t="s">
        <v>134</v>
      </c>
      <c r="CM319" t="s">
        <v>134</v>
      </c>
      <c r="CN319" t="s">
        <v>134</v>
      </c>
      <c r="CO319" t="s">
        <v>134</v>
      </c>
      <c r="CP319" t="s">
        <v>134</v>
      </c>
      <c r="CQ319" t="s">
        <v>134</v>
      </c>
      <c r="CR319" t="s">
        <v>134</v>
      </c>
      <c r="CS319" t="s">
        <v>134</v>
      </c>
      <c r="CT319" t="s">
        <v>134</v>
      </c>
      <c r="CU319" t="s">
        <v>134</v>
      </c>
      <c r="CV319" t="s">
        <v>134</v>
      </c>
      <c r="CW319" t="s">
        <v>134</v>
      </c>
      <c r="CX319" t="s">
        <v>134</v>
      </c>
      <c r="CY319" t="s">
        <v>134</v>
      </c>
      <c r="CZ319" t="s">
        <v>134</v>
      </c>
      <c r="DA319" t="s">
        <v>134</v>
      </c>
      <c r="DB319" t="s">
        <v>134</v>
      </c>
      <c r="DC319" t="s">
        <v>134</v>
      </c>
      <c r="DD319" t="s">
        <v>134</v>
      </c>
      <c r="DE319" t="s">
        <v>134</v>
      </c>
      <c r="DF319" t="s">
        <v>134</v>
      </c>
      <c r="DG319" t="s">
        <v>134</v>
      </c>
      <c r="DH319" t="s">
        <v>134</v>
      </c>
      <c r="DI319" t="s">
        <v>134</v>
      </c>
    </row>
    <row r="320" spans="4:113" x14ac:dyDescent="0.3">
      <c r="E320" t="s">
        <v>5</v>
      </c>
      <c r="F320" t="s">
        <v>134</v>
      </c>
      <c r="G320" t="s">
        <v>134</v>
      </c>
      <c r="H320" t="s">
        <v>134</v>
      </c>
      <c r="I320" t="s">
        <v>134</v>
      </c>
      <c r="J320" t="s">
        <v>134</v>
      </c>
      <c r="K320" t="s">
        <v>134</v>
      </c>
      <c r="L320" t="s">
        <v>134</v>
      </c>
      <c r="M320" t="s">
        <v>134</v>
      </c>
      <c r="N320" t="s">
        <v>134</v>
      </c>
      <c r="O320" t="s">
        <v>134</v>
      </c>
      <c r="P320" t="s">
        <v>134</v>
      </c>
      <c r="Q320" t="s">
        <v>134</v>
      </c>
      <c r="R320" t="s">
        <v>134</v>
      </c>
      <c r="S320" t="s">
        <v>134</v>
      </c>
      <c r="T320" t="s">
        <v>134</v>
      </c>
      <c r="U320" t="s">
        <v>134</v>
      </c>
      <c r="V320" t="s">
        <v>134</v>
      </c>
      <c r="W320" t="s">
        <v>134</v>
      </c>
      <c r="X320" t="s">
        <v>134</v>
      </c>
      <c r="Y320" t="s">
        <v>134</v>
      </c>
      <c r="Z320" t="s">
        <v>134</v>
      </c>
      <c r="AA320" t="s">
        <v>134</v>
      </c>
      <c r="AB320" t="s">
        <v>134</v>
      </c>
      <c r="AC320" t="s">
        <v>134</v>
      </c>
      <c r="AD320" t="s">
        <v>134</v>
      </c>
      <c r="AE320" t="s">
        <v>134</v>
      </c>
      <c r="AF320" t="s">
        <v>134</v>
      </c>
      <c r="AG320" t="s">
        <v>134</v>
      </c>
      <c r="AH320" t="s">
        <v>134</v>
      </c>
      <c r="AI320" t="s">
        <v>134</v>
      </c>
      <c r="AJ320" t="s">
        <v>134</v>
      </c>
      <c r="AK320" t="s">
        <v>134</v>
      </c>
      <c r="AL320" t="s">
        <v>134</v>
      </c>
      <c r="AM320" t="s">
        <v>134</v>
      </c>
      <c r="AN320" t="s">
        <v>134</v>
      </c>
      <c r="AO320" t="s">
        <v>134</v>
      </c>
      <c r="AP320" t="s">
        <v>134</v>
      </c>
      <c r="AQ320" t="s">
        <v>134</v>
      </c>
      <c r="AR320" t="s">
        <v>134</v>
      </c>
      <c r="AS320" t="s">
        <v>134</v>
      </c>
      <c r="AT320" t="s">
        <v>134</v>
      </c>
      <c r="AU320" t="s">
        <v>134</v>
      </c>
      <c r="AV320" t="s">
        <v>134</v>
      </c>
      <c r="AW320" t="s">
        <v>134</v>
      </c>
      <c r="AX320" t="s">
        <v>134</v>
      </c>
      <c r="AY320" t="s">
        <v>134</v>
      </c>
      <c r="AZ320" t="s">
        <v>134</v>
      </c>
      <c r="BA320" t="s">
        <v>134</v>
      </c>
      <c r="BB320" t="s">
        <v>134</v>
      </c>
      <c r="BC320" t="s">
        <v>134</v>
      </c>
      <c r="BD320" t="s">
        <v>134</v>
      </c>
      <c r="BE320" t="s">
        <v>134</v>
      </c>
      <c r="BF320" t="s">
        <v>134</v>
      </c>
      <c r="BG320" t="s">
        <v>134</v>
      </c>
      <c r="BH320" t="s">
        <v>134</v>
      </c>
      <c r="BI320" t="s">
        <v>134</v>
      </c>
      <c r="BJ320" t="s">
        <v>134</v>
      </c>
      <c r="BK320" t="s">
        <v>134</v>
      </c>
      <c r="BL320" t="s">
        <v>134</v>
      </c>
      <c r="BM320" t="s">
        <v>134</v>
      </c>
      <c r="BN320" t="s">
        <v>134</v>
      </c>
      <c r="BO320" t="s">
        <v>134</v>
      </c>
      <c r="BP320" t="s">
        <v>134</v>
      </c>
      <c r="BQ320" t="s">
        <v>134</v>
      </c>
      <c r="BR320" t="s">
        <v>134</v>
      </c>
      <c r="BS320" t="s">
        <v>134</v>
      </c>
      <c r="BT320" t="s">
        <v>134</v>
      </c>
      <c r="BU320" t="s">
        <v>134</v>
      </c>
      <c r="BV320" t="s">
        <v>134</v>
      </c>
      <c r="BW320" t="s">
        <v>134</v>
      </c>
      <c r="BX320" t="s">
        <v>134</v>
      </c>
      <c r="BY320" t="s">
        <v>134</v>
      </c>
      <c r="BZ320" t="s">
        <v>134</v>
      </c>
      <c r="CA320" t="s">
        <v>134</v>
      </c>
      <c r="CB320" t="s">
        <v>134</v>
      </c>
      <c r="CC320" t="s">
        <v>134</v>
      </c>
      <c r="CD320" t="s">
        <v>134</v>
      </c>
      <c r="CE320" t="s">
        <v>134</v>
      </c>
      <c r="CF320" t="s">
        <v>134</v>
      </c>
      <c r="CG320" t="s">
        <v>134</v>
      </c>
      <c r="CH320" t="s">
        <v>134</v>
      </c>
      <c r="CI320" t="s">
        <v>134</v>
      </c>
      <c r="CJ320" t="s">
        <v>134</v>
      </c>
      <c r="CK320" t="s">
        <v>134</v>
      </c>
      <c r="CL320" t="s">
        <v>134</v>
      </c>
      <c r="CM320" t="s">
        <v>134</v>
      </c>
      <c r="CN320" t="s">
        <v>134</v>
      </c>
      <c r="CO320" t="s">
        <v>134</v>
      </c>
      <c r="CP320" t="s">
        <v>134</v>
      </c>
      <c r="CQ320" t="s">
        <v>134</v>
      </c>
      <c r="CR320" t="s">
        <v>134</v>
      </c>
      <c r="CS320" t="s">
        <v>134</v>
      </c>
      <c r="CT320" t="s">
        <v>134</v>
      </c>
      <c r="CU320" t="s">
        <v>134</v>
      </c>
      <c r="CV320" t="s">
        <v>134</v>
      </c>
      <c r="CW320" t="s">
        <v>134</v>
      </c>
      <c r="CX320" t="s">
        <v>134</v>
      </c>
      <c r="CY320" t="s">
        <v>134</v>
      </c>
      <c r="CZ320" t="s">
        <v>134</v>
      </c>
      <c r="DA320" t="s">
        <v>134</v>
      </c>
      <c r="DB320" t="s">
        <v>134</v>
      </c>
      <c r="DC320" t="s">
        <v>134</v>
      </c>
      <c r="DD320" t="s">
        <v>134</v>
      </c>
      <c r="DE320" t="s">
        <v>134</v>
      </c>
      <c r="DF320" t="s">
        <v>134</v>
      </c>
      <c r="DG320" t="s">
        <v>134</v>
      </c>
      <c r="DH320" t="s">
        <v>134</v>
      </c>
      <c r="DI320" t="s">
        <v>134</v>
      </c>
    </row>
    <row r="321" spans="1:113" x14ac:dyDescent="0.3">
      <c r="E321" t="s">
        <v>6</v>
      </c>
      <c r="F321" t="s">
        <v>134</v>
      </c>
      <c r="G321" t="s">
        <v>134</v>
      </c>
      <c r="H321" t="s">
        <v>134</v>
      </c>
      <c r="I321" t="s">
        <v>134</v>
      </c>
      <c r="J321" t="s">
        <v>134</v>
      </c>
      <c r="K321" t="s">
        <v>134</v>
      </c>
      <c r="L321" t="s">
        <v>134</v>
      </c>
      <c r="M321" t="s">
        <v>134</v>
      </c>
      <c r="N321" t="s">
        <v>134</v>
      </c>
      <c r="O321" t="s">
        <v>134</v>
      </c>
      <c r="P321" t="s">
        <v>134</v>
      </c>
      <c r="Q321" t="s">
        <v>134</v>
      </c>
      <c r="R321" t="s">
        <v>134</v>
      </c>
      <c r="S321" t="s">
        <v>134</v>
      </c>
      <c r="T321" t="s">
        <v>134</v>
      </c>
      <c r="U321" t="s">
        <v>134</v>
      </c>
      <c r="V321" t="s">
        <v>134</v>
      </c>
      <c r="W321" t="s">
        <v>134</v>
      </c>
      <c r="X321" t="s">
        <v>134</v>
      </c>
      <c r="Y321" t="s">
        <v>134</v>
      </c>
      <c r="Z321" t="s">
        <v>134</v>
      </c>
      <c r="AA321" t="s">
        <v>134</v>
      </c>
      <c r="AB321" t="s">
        <v>134</v>
      </c>
      <c r="AC321" t="s">
        <v>134</v>
      </c>
      <c r="AD321" t="s">
        <v>134</v>
      </c>
      <c r="AE321" t="s">
        <v>134</v>
      </c>
      <c r="AF321" t="s">
        <v>134</v>
      </c>
      <c r="AG321" t="s">
        <v>134</v>
      </c>
      <c r="AH321" t="s">
        <v>134</v>
      </c>
      <c r="AI321" t="s">
        <v>134</v>
      </c>
      <c r="AJ321" t="s">
        <v>134</v>
      </c>
      <c r="AK321" t="s">
        <v>134</v>
      </c>
      <c r="AL321" t="s">
        <v>134</v>
      </c>
      <c r="AM321" t="s">
        <v>134</v>
      </c>
      <c r="AN321" t="s">
        <v>134</v>
      </c>
      <c r="AO321" t="s">
        <v>134</v>
      </c>
      <c r="AP321" t="s">
        <v>134</v>
      </c>
      <c r="AQ321" t="s">
        <v>134</v>
      </c>
      <c r="AR321" t="s">
        <v>134</v>
      </c>
      <c r="AS321" t="s">
        <v>134</v>
      </c>
      <c r="AT321" t="s">
        <v>134</v>
      </c>
      <c r="AU321" t="s">
        <v>134</v>
      </c>
      <c r="AV321" t="s">
        <v>134</v>
      </c>
      <c r="AW321" t="s">
        <v>134</v>
      </c>
      <c r="AX321" t="s">
        <v>134</v>
      </c>
      <c r="AY321" t="s">
        <v>134</v>
      </c>
      <c r="AZ321" t="s">
        <v>134</v>
      </c>
      <c r="BA321" t="s">
        <v>134</v>
      </c>
      <c r="BB321" t="s">
        <v>134</v>
      </c>
      <c r="BC321" t="s">
        <v>134</v>
      </c>
      <c r="BD321" t="s">
        <v>134</v>
      </c>
      <c r="BE321" t="s">
        <v>134</v>
      </c>
      <c r="BF321" t="s">
        <v>134</v>
      </c>
      <c r="BG321" t="s">
        <v>134</v>
      </c>
      <c r="BH321" t="s">
        <v>134</v>
      </c>
      <c r="BI321" t="s">
        <v>134</v>
      </c>
      <c r="BJ321" t="s">
        <v>134</v>
      </c>
      <c r="BK321" t="s">
        <v>134</v>
      </c>
      <c r="BL321" t="s">
        <v>134</v>
      </c>
      <c r="BM321" t="s">
        <v>134</v>
      </c>
      <c r="BN321" t="s">
        <v>134</v>
      </c>
      <c r="BO321" t="s">
        <v>134</v>
      </c>
      <c r="BP321" t="s">
        <v>134</v>
      </c>
      <c r="BQ321" t="s">
        <v>134</v>
      </c>
      <c r="BR321" t="s">
        <v>134</v>
      </c>
      <c r="BS321" t="s">
        <v>134</v>
      </c>
      <c r="BT321" t="s">
        <v>134</v>
      </c>
      <c r="BU321" t="s">
        <v>134</v>
      </c>
      <c r="BV321" t="s">
        <v>134</v>
      </c>
      <c r="BW321" t="s">
        <v>134</v>
      </c>
      <c r="BX321" t="s">
        <v>134</v>
      </c>
      <c r="BY321" t="s">
        <v>134</v>
      </c>
      <c r="BZ321" t="s">
        <v>134</v>
      </c>
      <c r="CA321" t="s">
        <v>134</v>
      </c>
      <c r="CB321" t="s">
        <v>134</v>
      </c>
      <c r="CC321" t="s">
        <v>134</v>
      </c>
      <c r="CD321" t="s">
        <v>134</v>
      </c>
      <c r="CE321" t="s">
        <v>134</v>
      </c>
      <c r="CF321" t="s">
        <v>134</v>
      </c>
      <c r="CG321" t="s">
        <v>134</v>
      </c>
      <c r="CH321" t="s">
        <v>134</v>
      </c>
      <c r="CI321" t="s">
        <v>134</v>
      </c>
      <c r="CJ321" t="s">
        <v>134</v>
      </c>
      <c r="CK321" t="s">
        <v>134</v>
      </c>
      <c r="CL321" t="s">
        <v>134</v>
      </c>
      <c r="CM321" t="s">
        <v>134</v>
      </c>
      <c r="CN321" t="s">
        <v>134</v>
      </c>
      <c r="CO321" t="s">
        <v>134</v>
      </c>
      <c r="CP321" t="s">
        <v>134</v>
      </c>
      <c r="CQ321" t="s">
        <v>134</v>
      </c>
      <c r="CR321" t="s">
        <v>134</v>
      </c>
      <c r="CS321" t="s">
        <v>134</v>
      </c>
      <c r="CT321" t="s">
        <v>134</v>
      </c>
      <c r="CU321" t="s">
        <v>134</v>
      </c>
      <c r="CV321" t="s">
        <v>134</v>
      </c>
      <c r="CW321" t="s">
        <v>134</v>
      </c>
      <c r="CX321" t="s">
        <v>134</v>
      </c>
      <c r="CY321" t="s">
        <v>134</v>
      </c>
      <c r="CZ321" t="s">
        <v>134</v>
      </c>
      <c r="DA321" t="s">
        <v>134</v>
      </c>
      <c r="DB321" t="s">
        <v>134</v>
      </c>
      <c r="DC321" t="s">
        <v>134</v>
      </c>
      <c r="DD321" t="s">
        <v>134</v>
      </c>
      <c r="DE321" t="s">
        <v>134</v>
      </c>
      <c r="DF321" t="s">
        <v>134</v>
      </c>
      <c r="DG321" t="s">
        <v>134</v>
      </c>
      <c r="DH321" t="s">
        <v>134</v>
      </c>
      <c r="DI321" t="s">
        <v>134</v>
      </c>
    </row>
    <row r="322" spans="1:113" x14ac:dyDescent="0.3">
      <c r="E322" t="s">
        <v>7</v>
      </c>
      <c r="F322" t="s">
        <v>134</v>
      </c>
      <c r="G322" t="s">
        <v>134</v>
      </c>
      <c r="H322" t="s">
        <v>134</v>
      </c>
      <c r="I322" t="s">
        <v>134</v>
      </c>
      <c r="J322" t="s">
        <v>134</v>
      </c>
      <c r="K322" t="s">
        <v>134</v>
      </c>
      <c r="L322" t="s">
        <v>134</v>
      </c>
      <c r="M322" t="s">
        <v>134</v>
      </c>
      <c r="N322" t="s">
        <v>134</v>
      </c>
      <c r="O322" t="s">
        <v>134</v>
      </c>
      <c r="P322" t="s">
        <v>134</v>
      </c>
      <c r="Q322" t="s">
        <v>134</v>
      </c>
      <c r="R322" t="s">
        <v>134</v>
      </c>
      <c r="S322" t="s">
        <v>134</v>
      </c>
      <c r="T322" t="s">
        <v>134</v>
      </c>
      <c r="U322" t="s">
        <v>134</v>
      </c>
      <c r="V322" t="s">
        <v>134</v>
      </c>
      <c r="W322" t="s">
        <v>134</v>
      </c>
      <c r="X322" t="s">
        <v>134</v>
      </c>
      <c r="Y322" t="s">
        <v>134</v>
      </c>
      <c r="Z322" t="s">
        <v>134</v>
      </c>
      <c r="AA322" t="s">
        <v>134</v>
      </c>
      <c r="AB322" t="s">
        <v>134</v>
      </c>
      <c r="AC322" t="s">
        <v>134</v>
      </c>
      <c r="AD322" t="s">
        <v>134</v>
      </c>
      <c r="AE322" t="s">
        <v>134</v>
      </c>
      <c r="AF322" t="s">
        <v>134</v>
      </c>
      <c r="AG322" t="s">
        <v>134</v>
      </c>
      <c r="AH322" t="s">
        <v>134</v>
      </c>
      <c r="AI322" t="s">
        <v>134</v>
      </c>
      <c r="AJ322" t="s">
        <v>134</v>
      </c>
      <c r="AK322" t="s">
        <v>134</v>
      </c>
      <c r="AL322" t="s">
        <v>134</v>
      </c>
      <c r="AM322" t="s">
        <v>134</v>
      </c>
      <c r="AN322" t="s">
        <v>134</v>
      </c>
      <c r="AO322" t="s">
        <v>134</v>
      </c>
      <c r="AP322" t="s">
        <v>134</v>
      </c>
      <c r="AQ322" t="s">
        <v>134</v>
      </c>
      <c r="AR322" t="s">
        <v>134</v>
      </c>
      <c r="AS322" t="s">
        <v>134</v>
      </c>
      <c r="AT322" t="s">
        <v>134</v>
      </c>
      <c r="AU322" t="s">
        <v>134</v>
      </c>
      <c r="AV322" t="s">
        <v>134</v>
      </c>
      <c r="AW322" t="s">
        <v>134</v>
      </c>
      <c r="AX322" t="s">
        <v>134</v>
      </c>
      <c r="AY322" t="s">
        <v>134</v>
      </c>
      <c r="AZ322" t="s">
        <v>134</v>
      </c>
      <c r="BA322" t="s">
        <v>134</v>
      </c>
      <c r="BB322" t="s">
        <v>134</v>
      </c>
      <c r="BC322" t="s">
        <v>134</v>
      </c>
      <c r="BD322" t="s">
        <v>134</v>
      </c>
      <c r="BE322" t="s">
        <v>134</v>
      </c>
      <c r="BF322" t="s">
        <v>134</v>
      </c>
      <c r="BG322" t="s">
        <v>134</v>
      </c>
      <c r="BH322" t="s">
        <v>134</v>
      </c>
      <c r="BI322" t="s">
        <v>134</v>
      </c>
      <c r="BJ322" t="s">
        <v>134</v>
      </c>
      <c r="BK322" t="s">
        <v>134</v>
      </c>
      <c r="BL322" t="s">
        <v>134</v>
      </c>
      <c r="BM322" t="s">
        <v>134</v>
      </c>
      <c r="BN322" t="s">
        <v>134</v>
      </c>
      <c r="BO322" t="s">
        <v>134</v>
      </c>
      <c r="BP322" t="s">
        <v>134</v>
      </c>
      <c r="BQ322" t="s">
        <v>134</v>
      </c>
      <c r="BR322" t="s">
        <v>134</v>
      </c>
      <c r="BS322" t="s">
        <v>134</v>
      </c>
      <c r="BT322" t="s">
        <v>134</v>
      </c>
      <c r="BU322" t="s">
        <v>134</v>
      </c>
      <c r="BV322" t="s">
        <v>134</v>
      </c>
      <c r="BW322" t="s">
        <v>134</v>
      </c>
      <c r="BX322" t="s">
        <v>134</v>
      </c>
      <c r="BY322" t="s">
        <v>134</v>
      </c>
      <c r="BZ322" t="s">
        <v>134</v>
      </c>
      <c r="CA322" t="s">
        <v>134</v>
      </c>
      <c r="CB322" t="s">
        <v>134</v>
      </c>
      <c r="CC322" t="s">
        <v>134</v>
      </c>
      <c r="CD322" t="s">
        <v>134</v>
      </c>
      <c r="CE322" t="s">
        <v>134</v>
      </c>
      <c r="CF322" t="s">
        <v>134</v>
      </c>
      <c r="CG322" t="s">
        <v>134</v>
      </c>
      <c r="CH322" t="s">
        <v>134</v>
      </c>
      <c r="CI322" t="s">
        <v>134</v>
      </c>
      <c r="CJ322" t="s">
        <v>134</v>
      </c>
      <c r="CK322" t="s">
        <v>134</v>
      </c>
      <c r="CL322" t="s">
        <v>134</v>
      </c>
      <c r="CM322" t="s">
        <v>134</v>
      </c>
      <c r="CN322" t="s">
        <v>134</v>
      </c>
      <c r="CO322" t="s">
        <v>134</v>
      </c>
      <c r="CP322" t="s">
        <v>134</v>
      </c>
      <c r="CQ322" t="s">
        <v>134</v>
      </c>
      <c r="CR322" t="s">
        <v>134</v>
      </c>
      <c r="CS322" t="s">
        <v>134</v>
      </c>
      <c r="CT322" t="s">
        <v>134</v>
      </c>
      <c r="CU322" t="s">
        <v>134</v>
      </c>
      <c r="CV322" t="s">
        <v>134</v>
      </c>
      <c r="CW322" t="s">
        <v>134</v>
      </c>
      <c r="CX322" t="s">
        <v>134</v>
      </c>
      <c r="CY322" t="s">
        <v>134</v>
      </c>
      <c r="CZ322" t="s">
        <v>134</v>
      </c>
      <c r="DA322" t="s">
        <v>134</v>
      </c>
      <c r="DB322" t="s">
        <v>134</v>
      </c>
      <c r="DC322" t="s">
        <v>134</v>
      </c>
      <c r="DD322" t="s">
        <v>134</v>
      </c>
      <c r="DE322" t="s">
        <v>134</v>
      </c>
      <c r="DF322" t="s">
        <v>134</v>
      </c>
      <c r="DG322" t="s">
        <v>134</v>
      </c>
      <c r="DH322" t="s">
        <v>134</v>
      </c>
      <c r="DI322" t="s">
        <v>134</v>
      </c>
    </row>
    <row r="323" spans="1:113" x14ac:dyDescent="0.3">
      <c r="D323" t="s">
        <v>11</v>
      </c>
      <c r="E323" t="s">
        <v>3</v>
      </c>
      <c r="F323">
        <v>22.583200000000001</v>
      </c>
      <c r="G323">
        <v>5.9617000000000004</v>
      </c>
      <c r="H323">
        <v>13.149800000000001</v>
      </c>
      <c r="I323">
        <v>10.119999999999999</v>
      </c>
      <c r="J323">
        <v>16.1526</v>
      </c>
      <c r="K323">
        <v>12.147</v>
      </c>
      <c r="L323">
        <v>118.5442</v>
      </c>
      <c r="M323">
        <v>12.610200000000001</v>
      </c>
      <c r="N323">
        <v>9.7186000000000003</v>
      </c>
      <c r="O323">
        <v>9.1722000000000001</v>
      </c>
      <c r="P323">
        <v>9.1722000000000001</v>
      </c>
      <c r="Q323">
        <v>22.930900000000001</v>
      </c>
      <c r="R323">
        <v>10.8476</v>
      </c>
      <c r="S323">
        <v>20.133400000000002</v>
      </c>
      <c r="T323">
        <v>10.6518</v>
      </c>
      <c r="U323">
        <v>273.2296</v>
      </c>
      <c r="V323">
        <v>1551.6987999999999</v>
      </c>
      <c r="W323">
        <v>103.0911</v>
      </c>
      <c r="X323">
        <v>102.6784</v>
      </c>
      <c r="Y323">
        <v>15.384600000000001</v>
      </c>
      <c r="Z323">
        <v>17.926300000000001</v>
      </c>
      <c r="AA323">
        <v>5.0591999999999997</v>
      </c>
      <c r="AB323">
        <v>12.083399999999999</v>
      </c>
      <c r="AC323">
        <v>19.582000000000001</v>
      </c>
      <c r="AD323" t="s">
        <v>134</v>
      </c>
      <c r="AE323">
        <v>10.844899999999999</v>
      </c>
      <c r="AF323">
        <v>23.589199999999998</v>
      </c>
      <c r="AG323">
        <v>11.8942</v>
      </c>
      <c r="AH323">
        <v>12.146599999999999</v>
      </c>
      <c r="AI323">
        <v>24.7425</v>
      </c>
      <c r="AJ323">
        <v>18.1021</v>
      </c>
      <c r="AK323">
        <v>28.986799999999999</v>
      </c>
      <c r="AL323">
        <v>56.548299999999998</v>
      </c>
      <c r="AM323">
        <v>5.5023999999999997</v>
      </c>
      <c r="AN323">
        <v>20.788900000000002</v>
      </c>
      <c r="AO323">
        <v>26.5914</v>
      </c>
      <c r="AP323">
        <v>12.873699999999999</v>
      </c>
      <c r="AQ323">
        <v>15.583600000000001</v>
      </c>
      <c r="AR323">
        <v>3.7137000000000002</v>
      </c>
      <c r="AS323">
        <v>10.398899999999999</v>
      </c>
      <c r="AT323">
        <v>2.0933999999999999</v>
      </c>
      <c r="AU323">
        <v>6.3337000000000003</v>
      </c>
      <c r="AV323">
        <v>12.403499999999999</v>
      </c>
      <c r="AW323" t="s">
        <v>134</v>
      </c>
      <c r="AX323">
        <v>4.1684000000000001</v>
      </c>
      <c r="AY323">
        <v>8.9540000000000006</v>
      </c>
      <c r="AZ323">
        <v>4.8124000000000002</v>
      </c>
      <c r="BA323">
        <v>9.3910999999999998</v>
      </c>
      <c r="BB323">
        <v>12.257</v>
      </c>
      <c r="BC323">
        <v>10.7668</v>
      </c>
      <c r="BD323">
        <v>14.898099999999999</v>
      </c>
      <c r="BE323" t="s">
        <v>134</v>
      </c>
      <c r="BF323">
        <v>10.6518</v>
      </c>
      <c r="BG323">
        <v>273.2296</v>
      </c>
      <c r="BH323">
        <v>1551.6987999999999</v>
      </c>
      <c r="BI323">
        <v>103.0911</v>
      </c>
      <c r="BJ323">
        <v>102.6784</v>
      </c>
      <c r="BK323">
        <v>15.384600000000001</v>
      </c>
      <c r="BL323">
        <v>17.926300000000001</v>
      </c>
      <c r="BM323">
        <v>5.0591999999999997</v>
      </c>
      <c r="BN323">
        <v>12.083399999999999</v>
      </c>
      <c r="BO323">
        <v>19.582000000000001</v>
      </c>
      <c r="BP323">
        <v>-135.8545</v>
      </c>
      <c r="BQ323">
        <v>10.844899999999999</v>
      </c>
      <c r="BR323">
        <v>23.589199999999998</v>
      </c>
      <c r="BS323">
        <v>11.8942</v>
      </c>
      <c r="BT323">
        <v>12.146599999999999</v>
      </c>
      <c r="BU323">
        <v>24.7425</v>
      </c>
      <c r="BV323">
        <v>18.1021</v>
      </c>
      <c r="BW323">
        <v>28.986799999999999</v>
      </c>
      <c r="BX323">
        <v>56.548299999999998</v>
      </c>
      <c r="BY323">
        <v>451347.20000000001</v>
      </c>
      <c r="BZ323">
        <v>113255.4</v>
      </c>
      <c r="CA323">
        <v>338091.8</v>
      </c>
      <c r="CB323">
        <v>3.4125000000000001</v>
      </c>
      <c r="CC323">
        <v>2.5205000000000002</v>
      </c>
      <c r="CD323">
        <v>4.5379000000000005</v>
      </c>
      <c r="CE323">
        <v>3.3517000000000001</v>
      </c>
      <c r="CF323">
        <v>3.4096000000000002</v>
      </c>
      <c r="CG323">
        <v>26.8019</v>
      </c>
      <c r="CH323">
        <v>75.088700000000003</v>
      </c>
      <c r="CI323">
        <v>37.498899999999999</v>
      </c>
      <c r="CJ323">
        <v>24.6403</v>
      </c>
      <c r="CK323">
        <v>100.2422</v>
      </c>
      <c r="CL323">
        <v>50.060499999999998</v>
      </c>
      <c r="CM323">
        <v>32.894399999999997</v>
      </c>
      <c r="CN323">
        <v>74.039100000000005</v>
      </c>
      <c r="CO323">
        <v>42.541699999999999</v>
      </c>
      <c r="CP323">
        <v>132261</v>
      </c>
      <c r="CQ323">
        <v>73203.199999999997</v>
      </c>
      <c r="CR323">
        <v>99462</v>
      </c>
      <c r="CS323">
        <v>0.24</v>
      </c>
      <c r="CT323">
        <v>1.202</v>
      </c>
      <c r="CU323">
        <v>0.4128</v>
      </c>
      <c r="CV323">
        <v>1.8774</v>
      </c>
      <c r="CW323">
        <v>10.4381</v>
      </c>
      <c r="CX323">
        <v>34.9681</v>
      </c>
      <c r="CY323">
        <v>5.8674999999999997</v>
      </c>
      <c r="CZ323">
        <v>62.2074</v>
      </c>
      <c r="DA323">
        <v>3.2587999999999999</v>
      </c>
      <c r="DB323">
        <v>112.0056</v>
      </c>
      <c r="DC323">
        <v>-14.8301</v>
      </c>
      <c r="DD323">
        <v>97.175399999999996</v>
      </c>
      <c r="DE323">
        <v>93355.7</v>
      </c>
      <c r="DF323">
        <v>25931</v>
      </c>
      <c r="DG323">
        <v>19014.400000000001</v>
      </c>
      <c r="DH323">
        <v>35608.5</v>
      </c>
      <c r="DI323">
        <v>12801.8</v>
      </c>
    </row>
    <row r="324" spans="1:113" x14ac:dyDescent="0.3">
      <c r="E324" t="s">
        <v>4</v>
      </c>
      <c r="F324" t="s">
        <v>134</v>
      </c>
      <c r="G324" t="s">
        <v>134</v>
      </c>
      <c r="H324" t="s">
        <v>134</v>
      </c>
      <c r="I324" t="s">
        <v>134</v>
      </c>
      <c r="J324" t="s">
        <v>134</v>
      </c>
      <c r="K324" t="s">
        <v>134</v>
      </c>
      <c r="L324" t="s">
        <v>134</v>
      </c>
      <c r="M324" t="s">
        <v>134</v>
      </c>
      <c r="N324" t="s">
        <v>134</v>
      </c>
      <c r="O324" t="s">
        <v>134</v>
      </c>
      <c r="P324" t="s">
        <v>134</v>
      </c>
      <c r="Q324" t="s">
        <v>134</v>
      </c>
      <c r="R324" t="s">
        <v>134</v>
      </c>
      <c r="S324" t="s">
        <v>134</v>
      </c>
      <c r="T324" t="s">
        <v>134</v>
      </c>
      <c r="U324" t="s">
        <v>134</v>
      </c>
      <c r="V324" t="s">
        <v>134</v>
      </c>
      <c r="W324" t="s">
        <v>134</v>
      </c>
      <c r="X324" t="s">
        <v>134</v>
      </c>
      <c r="Y324" t="s">
        <v>134</v>
      </c>
      <c r="Z324" t="s">
        <v>134</v>
      </c>
      <c r="AA324" t="s">
        <v>134</v>
      </c>
      <c r="AB324" t="s">
        <v>134</v>
      </c>
      <c r="AC324" t="s">
        <v>134</v>
      </c>
      <c r="AD324" t="s">
        <v>134</v>
      </c>
      <c r="AE324" t="s">
        <v>134</v>
      </c>
      <c r="AF324" t="s">
        <v>134</v>
      </c>
      <c r="AG324" t="s">
        <v>134</v>
      </c>
      <c r="AH324" t="s">
        <v>134</v>
      </c>
      <c r="AI324" t="s">
        <v>134</v>
      </c>
      <c r="AJ324" t="s">
        <v>134</v>
      </c>
      <c r="AK324" t="s">
        <v>134</v>
      </c>
      <c r="AL324" t="s">
        <v>134</v>
      </c>
      <c r="AM324" t="s">
        <v>134</v>
      </c>
      <c r="AN324" t="s">
        <v>134</v>
      </c>
      <c r="AO324" t="s">
        <v>134</v>
      </c>
      <c r="AP324" t="s">
        <v>134</v>
      </c>
      <c r="AQ324" t="s">
        <v>134</v>
      </c>
      <c r="AR324" t="s">
        <v>134</v>
      </c>
      <c r="AS324" t="s">
        <v>134</v>
      </c>
      <c r="AT324" t="s">
        <v>134</v>
      </c>
      <c r="AU324" t="s">
        <v>134</v>
      </c>
      <c r="AV324" t="s">
        <v>134</v>
      </c>
      <c r="AW324" t="s">
        <v>134</v>
      </c>
      <c r="AX324" t="s">
        <v>134</v>
      </c>
      <c r="AY324" t="s">
        <v>134</v>
      </c>
      <c r="AZ324" t="s">
        <v>134</v>
      </c>
      <c r="BA324" t="s">
        <v>134</v>
      </c>
      <c r="BB324" t="s">
        <v>134</v>
      </c>
      <c r="BC324" t="s">
        <v>134</v>
      </c>
      <c r="BD324" t="s">
        <v>134</v>
      </c>
      <c r="BE324" t="s">
        <v>134</v>
      </c>
      <c r="BF324" t="s">
        <v>134</v>
      </c>
      <c r="BG324" t="s">
        <v>134</v>
      </c>
      <c r="BH324" t="s">
        <v>134</v>
      </c>
      <c r="BI324" t="s">
        <v>134</v>
      </c>
      <c r="BJ324" t="s">
        <v>134</v>
      </c>
      <c r="BK324" t="s">
        <v>134</v>
      </c>
      <c r="BL324" t="s">
        <v>134</v>
      </c>
      <c r="BM324" t="s">
        <v>134</v>
      </c>
      <c r="BN324" t="s">
        <v>134</v>
      </c>
      <c r="BO324" t="s">
        <v>134</v>
      </c>
      <c r="BP324" t="s">
        <v>134</v>
      </c>
      <c r="BQ324" t="s">
        <v>134</v>
      </c>
      <c r="BR324" t="s">
        <v>134</v>
      </c>
      <c r="BS324" t="s">
        <v>134</v>
      </c>
      <c r="BT324" t="s">
        <v>134</v>
      </c>
      <c r="BU324" t="s">
        <v>134</v>
      </c>
      <c r="BV324" t="s">
        <v>134</v>
      </c>
      <c r="BW324" t="s">
        <v>134</v>
      </c>
      <c r="BX324" t="s">
        <v>134</v>
      </c>
      <c r="BY324" t="s">
        <v>134</v>
      </c>
      <c r="BZ324" t="s">
        <v>134</v>
      </c>
      <c r="CA324" t="s">
        <v>134</v>
      </c>
      <c r="CB324" t="s">
        <v>134</v>
      </c>
      <c r="CC324" t="s">
        <v>134</v>
      </c>
      <c r="CD324" t="s">
        <v>134</v>
      </c>
      <c r="CE324" t="s">
        <v>134</v>
      </c>
      <c r="CF324" t="s">
        <v>134</v>
      </c>
      <c r="CG324" t="s">
        <v>134</v>
      </c>
      <c r="CH324" t="s">
        <v>134</v>
      </c>
      <c r="CI324" t="s">
        <v>134</v>
      </c>
      <c r="CJ324" t="s">
        <v>134</v>
      </c>
      <c r="CK324" t="s">
        <v>134</v>
      </c>
      <c r="CL324" t="s">
        <v>134</v>
      </c>
      <c r="CM324" t="s">
        <v>134</v>
      </c>
      <c r="CN324" t="s">
        <v>134</v>
      </c>
      <c r="CO324" t="s">
        <v>134</v>
      </c>
      <c r="CP324" t="s">
        <v>134</v>
      </c>
      <c r="CQ324" t="s">
        <v>134</v>
      </c>
      <c r="CR324" t="s">
        <v>134</v>
      </c>
      <c r="CS324" t="s">
        <v>134</v>
      </c>
      <c r="CT324" t="s">
        <v>134</v>
      </c>
      <c r="CU324" t="s">
        <v>134</v>
      </c>
      <c r="CV324" t="s">
        <v>134</v>
      </c>
      <c r="CW324" t="s">
        <v>134</v>
      </c>
      <c r="CX324" t="s">
        <v>134</v>
      </c>
      <c r="CY324" t="s">
        <v>134</v>
      </c>
      <c r="CZ324" t="s">
        <v>134</v>
      </c>
      <c r="DA324" t="s">
        <v>134</v>
      </c>
      <c r="DB324" t="s">
        <v>134</v>
      </c>
      <c r="DC324" t="s">
        <v>134</v>
      </c>
      <c r="DD324" t="s">
        <v>134</v>
      </c>
      <c r="DE324" t="s">
        <v>134</v>
      </c>
      <c r="DF324" t="s">
        <v>134</v>
      </c>
      <c r="DG324" t="s">
        <v>134</v>
      </c>
      <c r="DH324" t="s">
        <v>134</v>
      </c>
      <c r="DI324" t="s">
        <v>134</v>
      </c>
    </row>
    <row r="325" spans="1:113" x14ac:dyDescent="0.3">
      <c r="E325" t="s">
        <v>5</v>
      </c>
      <c r="F325" t="s">
        <v>134</v>
      </c>
      <c r="G325" t="s">
        <v>134</v>
      </c>
      <c r="H325" t="s">
        <v>134</v>
      </c>
      <c r="I325" t="s">
        <v>134</v>
      </c>
      <c r="J325" t="s">
        <v>134</v>
      </c>
      <c r="K325" t="s">
        <v>134</v>
      </c>
      <c r="L325" t="s">
        <v>134</v>
      </c>
      <c r="M325" t="s">
        <v>134</v>
      </c>
      <c r="N325" t="s">
        <v>134</v>
      </c>
      <c r="O325" t="s">
        <v>134</v>
      </c>
      <c r="P325" t="s">
        <v>134</v>
      </c>
      <c r="Q325" t="s">
        <v>134</v>
      </c>
      <c r="R325" t="s">
        <v>134</v>
      </c>
      <c r="S325" t="s">
        <v>134</v>
      </c>
      <c r="T325" t="s">
        <v>134</v>
      </c>
      <c r="U325" t="s">
        <v>134</v>
      </c>
      <c r="V325" t="s">
        <v>134</v>
      </c>
      <c r="W325" t="s">
        <v>134</v>
      </c>
      <c r="X325" t="s">
        <v>134</v>
      </c>
      <c r="Y325" t="s">
        <v>134</v>
      </c>
      <c r="Z325" t="s">
        <v>134</v>
      </c>
      <c r="AA325" t="s">
        <v>134</v>
      </c>
      <c r="AB325" t="s">
        <v>134</v>
      </c>
      <c r="AC325" t="s">
        <v>134</v>
      </c>
      <c r="AD325" t="s">
        <v>134</v>
      </c>
      <c r="AE325" t="s">
        <v>134</v>
      </c>
      <c r="AF325" t="s">
        <v>134</v>
      </c>
      <c r="AG325" t="s">
        <v>134</v>
      </c>
      <c r="AH325" t="s">
        <v>134</v>
      </c>
      <c r="AI325" t="s">
        <v>134</v>
      </c>
      <c r="AJ325" t="s">
        <v>134</v>
      </c>
      <c r="AK325" t="s">
        <v>134</v>
      </c>
      <c r="AL325" t="s">
        <v>134</v>
      </c>
      <c r="AM325" t="s">
        <v>134</v>
      </c>
      <c r="AN325" t="s">
        <v>134</v>
      </c>
      <c r="AO325" t="s">
        <v>134</v>
      </c>
      <c r="AP325" t="s">
        <v>134</v>
      </c>
      <c r="AQ325" t="s">
        <v>134</v>
      </c>
      <c r="AR325" t="s">
        <v>134</v>
      </c>
      <c r="AS325" t="s">
        <v>134</v>
      </c>
      <c r="AT325" t="s">
        <v>134</v>
      </c>
      <c r="AU325" t="s">
        <v>134</v>
      </c>
      <c r="AV325" t="s">
        <v>134</v>
      </c>
      <c r="AW325" t="s">
        <v>134</v>
      </c>
      <c r="AX325" t="s">
        <v>134</v>
      </c>
      <c r="AY325" t="s">
        <v>134</v>
      </c>
      <c r="AZ325" t="s">
        <v>134</v>
      </c>
      <c r="BA325" t="s">
        <v>134</v>
      </c>
      <c r="BB325" t="s">
        <v>134</v>
      </c>
      <c r="BC325" t="s">
        <v>134</v>
      </c>
      <c r="BD325" t="s">
        <v>134</v>
      </c>
      <c r="BE325" t="s">
        <v>134</v>
      </c>
      <c r="BF325" t="s">
        <v>134</v>
      </c>
      <c r="BG325" t="s">
        <v>134</v>
      </c>
      <c r="BH325" t="s">
        <v>134</v>
      </c>
      <c r="BI325" t="s">
        <v>134</v>
      </c>
      <c r="BJ325" t="s">
        <v>134</v>
      </c>
      <c r="BK325" t="s">
        <v>134</v>
      </c>
      <c r="BL325" t="s">
        <v>134</v>
      </c>
      <c r="BM325" t="s">
        <v>134</v>
      </c>
      <c r="BN325" t="s">
        <v>134</v>
      </c>
      <c r="BO325" t="s">
        <v>134</v>
      </c>
      <c r="BP325" t="s">
        <v>134</v>
      </c>
      <c r="BQ325" t="s">
        <v>134</v>
      </c>
      <c r="BR325" t="s">
        <v>134</v>
      </c>
      <c r="BS325" t="s">
        <v>134</v>
      </c>
      <c r="BT325" t="s">
        <v>134</v>
      </c>
      <c r="BU325" t="s">
        <v>134</v>
      </c>
      <c r="BV325" t="s">
        <v>134</v>
      </c>
      <c r="BW325" t="s">
        <v>134</v>
      </c>
      <c r="BX325" t="s">
        <v>134</v>
      </c>
      <c r="BY325" t="s">
        <v>134</v>
      </c>
      <c r="BZ325" t="s">
        <v>134</v>
      </c>
      <c r="CA325" t="s">
        <v>134</v>
      </c>
      <c r="CB325" t="s">
        <v>134</v>
      </c>
      <c r="CC325" t="s">
        <v>134</v>
      </c>
      <c r="CD325" t="s">
        <v>134</v>
      </c>
      <c r="CE325" t="s">
        <v>134</v>
      </c>
      <c r="CF325" t="s">
        <v>134</v>
      </c>
      <c r="CG325" t="s">
        <v>134</v>
      </c>
      <c r="CH325" t="s">
        <v>134</v>
      </c>
      <c r="CI325" t="s">
        <v>134</v>
      </c>
      <c r="CJ325" t="s">
        <v>134</v>
      </c>
      <c r="CK325" t="s">
        <v>134</v>
      </c>
      <c r="CL325" t="s">
        <v>134</v>
      </c>
      <c r="CM325" t="s">
        <v>134</v>
      </c>
      <c r="CN325" t="s">
        <v>134</v>
      </c>
      <c r="CO325" t="s">
        <v>134</v>
      </c>
      <c r="CP325" t="s">
        <v>134</v>
      </c>
      <c r="CQ325" t="s">
        <v>134</v>
      </c>
      <c r="CR325" t="s">
        <v>134</v>
      </c>
      <c r="CS325" t="s">
        <v>134</v>
      </c>
      <c r="CT325" t="s">
        <v>134</v>
      </c>
      <c r="CU325" t="s">
        <v>134</v>
      </c>
      <c r="CV325" t="s">
        <v>134</v>
      </c>
      <c r="CW325" t="s">
        <v>134</v>
      </c>
      <c r="CX325" t="s">
        <v>134</v>
      </c>
      <c r="CY325" t="s">
        <v>134</v>
      </c>
      <c r="CZ325" t="s">
        <v>134</v>
      </c>
      <c r="DA325" t="s">
        <v>134</v>
      </c>
      <c r="DB325" t="s">
        <v>134</v>
      </c>
      <c r="DC325" t="s">
        <v>134</v>
      </c>
      <c r="DD325" t="s">
        <v>134</v>
      </c>
      <c r="DE325" t="s">
        <v>134</v>
      </c>
      <c r="DF325" t="s">
        <v>134</v>
      </c>
      <c r="DG325" t="s">
        <v>134</v>
      </c>
      <c r="DH325" t="s">
        <v>134</v>
      </c>
      <c r="DI325" t="s">
        <v>134</v>
      </c>
    </row>
    <row r="326" spans="1:113" x14ac:dyDescent="0.3">
      <c r="E326" t="s">
        <v>6</v>
      </c>
      <c r="F326" t="s">
        <v>134</v>
      </c>
      <c r="G326" t="s">
        <v>134</v>
      </c>
      <c r="H326" t="s">
        <v>134</v>
      </c>
      <c r="I326" t="s">
        <v>134</v>
      </c>
      <c r="J326" t="s">
        <v>134</v>
      </c>
      <c r="K326" t="s">
        <v>134</v>
      </c>
      <c r="L326" t="s">
        <v>134</v>
      </c>
      <c r="M326" t="s">
        <v>134</v>
      </c>
      <c r="N326" t="s">
        <v>134</v>
      </c>
      <c r="O326" t="s">
        <v>134</v>
      </c>
      <c r="P326" t="s">
        <v>134</v>
      </c>
      <c r="Q326" t="s">
        <v>134</v>
      </c>
      <c r="R326" t="s">
        <v>134</v>
      </c>
      <c r="S326" t="s">
        <v>134</v>
      </c>
      <c r="T326" t="s">
        <v>134</v>
      </c>
      <c r="U326" t="s">
        <v>134</v>
      </c>
      <c r="V326" t="s">
        <v>134</v>
      </c>
      <c r="W326" t="s">
        <v>134</v>
      </c>
      <c r="X326" t="s">
        <v>134</v>
      </c>
      <c r="Y326" t="s">
        <v>134</v>
      </c>
      <c r="Z326" t="s">
        <v>134</v>
      </c>
      <c r="AA326" t="s">
        <v>134</v>
      </c>
      <c r="AB326" t="s">
        <v>134</v>
      </c>
      <c r="AC326" t="s">
        <v>134</v>
      </c>
      <c r="AD326" t="s">
        <v>134</v>
      </c>
      <c r="AE326" t="s">
        <v>134</v>
      </c>
      <c r="AF326" t="s">
        <v>134</v>
      </c>
      <c r="AG326" t="s">
        <v>134</v>
      </c>
      <c r="AH326" t="s">
        <v>134</v>
      </c>
      <c r="AI326" t="s">
        <v>134</v>
      </c>
      <c r="AJ326" t="s">
        <v>134</v>
      </c>
      <c r="AK326" t="s">
        <v>134</v>
      </c>
      <c r="AL326" t="s">
        <v>134</v>
      </c>
      <c r="AM326" t="s">
        <v>134</v>
      </c>
      <c r="AN326" t="s">
        <v>134</v>
      </c>
      <c r="AO326" t="s">
        <v>134</v>
      </c>
      <c r="AP326" t="s">
        <v>134</v>
      </c>
      <c r="AQ326" t="s">
        <v>134</v>
      </c>
      <c r="AR326" t="s">
        <v>134</v>
      </c>
      <c r="AS326" t="s">
        <v>134</v>
      </c>
      <c r="AT326" t="s">
        <v>134</v>
      </c>
      <c r="AU326" t="s">
        <v>134</v>
      </c>
      <c r="AV326" t="s">
        <v>134</v>
      </c>
      <c r="AW326" t="s">
        <v>134</v>
      </c>
      <c r="AX326" t="s">
        <v>134</v>
      </c>
      <c r="AY326" t="s">
        <v>134</v>
      </c>
      <c r="AZ326" t="s">
        <v>134</v>
      </c>
      <c r="BA326" t="s">
        <v>134</v>
      </c>
      <c r="BB326" t="s">
        <v>134</v>
      </c>
      <c r="BC326" t="s">
        <v>134</v>
      </c>
      <c r="BD326" t="s">
        <v>134</v>
      </c>
      <c r="BE326" t="s">
        <v>134</v>
      </c>
      <c r="BF326" t="s">
        <v>134</v>
      </c>
      <c r="BG326" t="s">
        <v>134</v>
      </c>
      <c r="BH326" t="s">
        <v>134</v>
      </c>
      <c r="BI326" t="s">
        <v>134</v>
      </c>
      <c r="BJ326" t="s">
        <v>134</v>
      </c>
      <c r="BK326" t="s">
        <v>134</v>
      </c>
      <c r="BL326" t="s">
        <v>134</v>
      </c>
      <c r="BM326" t="s">
        <v>134</v>
      </c>
      <c r="BN326" t="s">
        <v>134</v>
      </c>
      <c r="BO326" t="s">
        <v>134</v>
      </c>
      <c r="BP326" t="s">
        <v>134</v>
      </c>
      <c r="BQ326" t="s">
        <v>134</v>
      </c>
      <c r="BR326" t="s">
        <v>134</v>
      </c>
      <c r="BS326" t="s">
        <v>134</v>
      </c>
      <c r="BT326" t="s">
        <v>134</v>
      </c>
      <c r="BU326" t="s">
        <v>134</v>
      </c>
      <c r="BV326" t="s">
        <v>134</v>
      </c>
      <c r="BW326" t="s">
        <v>134</v>
      </c>
      <c r="BX326" t="s">
        <v>134</v>
      </c>
      <c r="BY326" t="s">
        <v>134</v>
      </c>
      <c r="BZ326" t="s">
        <v>134</v>
      </c>
      <c r="CA326" t="s">
        <v>134</v>
      </c>
      <c r="CB326" t="s">
        <v>134</v>
      </c>
      <c r="CC326" t="s">
        <v>134</v>
      </c>
      <c r="CD326" t="s">
        <v>134</v>
      </c>
      <c r="CE326" t="s">
        <v>134</v>
      </c>
      <c r="CF326" t="s">
        <v>134</v>
      </c>
      <c r="CG326" t="s">
        <v>134</v>
      </c>
      <c r="CH326" t="s">
        <v>134</v>
      </c>
      <c r="CI326" t="s">
        <v>134</v>
      </c>
      <c r="CJ326" t="s">
        <v>134</v>
      </c>
      <c r="CK326" t="s">
        <v>134</v>
      </c>
      <c r="CL326" t="s">
        <v>134</v>
      </c>
      <c r="CM326" t="s">
        <v>134</v>
      </c>
      <c r="CN326" t="s">
        <v>134</v>
      </c>
      <c r="CO326" t="s">
        <v>134</v>
      </c>
      <c r="CP326" t="s">
        <v>134</v>
      </c>
      <c r="CQ326" t="s">
        <v>134</v>
      </c>
      <c r="CR326" t="s">
        <v>134</v>
      </c>
      <c r="CS326" t="s">
        <v>134</v>
      </c>
      <c r="CT326" t="s">
        <v>134</v>
      </c>
      <c r="CU326" t="s">
        <v>134</v>
      </c>
      <c r="CV326" t="s">
        <v>134</v>
      </c>
      <c r="CW326" t="s">
        <v>134</v>
      </c>
      <c r="CX326" t="s">
        <v>134</v>
      </c>
      <c r="CY326" t="s">
        <v>134</v>
      </c>
      <c r="CZ326" t="s">
        <v>134</v>
      </c>
      <c r="DA326" t="s">
        <v>134</v>
      </c>
      <c r="DB326" t="s">
        <v>134</v>
      </c>
      <c r="DC326" t="s">
        <v>134</v>
      </c>
      <c r="DD326" t="s">
        <v>134</v>
      </c>
      <c r="DE326" t="s">
        <v>134</v>
      </c>
      <c r="DF326" t="s">
        <v>134</v>
      </c>
      <c r="DG326" t="s">
        <v>134</v>
      </c>
      <c r="DH326" t="s">
        <v>134</v>
      </c>
      <c r="DI326" t="s">
        <v>134</v>
      </c>
    </row>
    <row r="327" spans="1:113" x14ac:dyDescent="0.3">
      <c r="E327" t="s">
        <v>7</v>
      </c>
      <c r="F327" t="s">
        <v>134</v>
      </c>
      <c r="G327" t="s">
        <v>134</v>
      </c>
      <c r="H327" t="s">
        <v>134</v>
      </c>
      <c r="I327" t="s">
        <v>134</v>
      </c>
      <c r="J327" t="s">
        <v>134</v>
      </c>
      <c r="K327" t="s">
        <v>134</v>
      </c>
      <c r="L327" t="s">
        <v>134</v>
      </c>
      <c r="M327" t="s">
        <v>134</v>
      </c>
      <c r="N327" t="s">
        <v>134</v>
      </c>
      <c r="O327" t="s">
        <v>134</v>
      </c>
      <c r="P327" t="s">
        <v>134</v>
      </c>
      <c r="Q327" t="s">
        <v>134</v>
      </c>
      <c r="R327" t="s">
        <v>134</v>
      </c>
      <c r="S327" t="s">
        <v>134</v>
      </c>
      <c r="T327" t="s">
        <v>134</v>
      </c>
      <c r="U327" t="s">
        <v>134</v>
      </c>
      <c r="V327" t="s">
        <v>134</v>
      </c>
      <c r="W327" t="s">
        <v>134</v>
      </c>
      <c r="X327" t="s">
        <v>134</v>
      </c>
      <c r="Y327" t="s">
        <v>134</v>
      </c>
      <c r="Z327" t="s">
        <v>134</v>
      </c>
      <c r="AA327" t="s">
        <v>134</v>
      </c>
      <c r="AB327" t="s">
        <v>134</v>
      </c>
      <c r="AC327" t="s">
        <v>134</v>
      </c>
      <c r="AD327" t="s">
        <v>134</v>
      </c>
      <c r="AE327" t="s">
        <v>134</v>
      </c>
      <c r="AF327" t="s">
        <v>134</v>
      </c>
      <c r="AG327" t="s">
        <v>134</v>
      </c>
      <c r="AH327" t="s">
        <v>134</v>
      </c>
      <c r="AI327" t="s">
        <v>134</v>
      </c>
      <c r="AJ327" t="s">
        <v>134</v>
      </c>
      <c r="AK327" t="s">
        <v>134</v>
      </c>
      <c r="AL327" t="s">
        <v>134</v>
      </c>
      <c r="AM327" t="s">
        <v>134</v>
      </c>
      <c r="AN327" t="s">
        <v>134</v>
      </c>
      <c r="AO327" t="s">
        <v>134</v>
      </c>
      <c r="AP327" t="s">
        <v>134</v>
      </c>
      <c r="AQ327" t="s">
        <v>134</v>
      </c>
      <c r="AR327" t="s">
        <v>134</v>
      </c>
      <c r="AS327" t="s">
        <v>134</v>
      </c>
      <c r="AT327" t="s">
        <v>134</v>
      </c>
      <c r="AU327" t="s">
        <v>134</v>
      </c>
      <c r="AV327" t="s">
        <v>134</v>
      </c>
      <c r="AW327" t="s">
        <v>134</v>
      </c>
      <c r="AX327" t="s">
        <v>134</v>
      </c>
      <c r="AY327" t="s">
        <v>134</v>
      </c>
      <c r="AZ327" t="s">
        <v>134</v>
      </c>
      <c r="BA327" t="s">
        <v>134</v>
      </c>
      <c r="BB327" t="s">
        <v>134</v>
      </c>
      <c r="BC327" t="s">
        <v>134</v>
      </c>
      <c r="BD327" t="s">
        <v>134</v>
      </c>
      <c r="BE327" t="s">
        <v>134</v>
      </c>
      <c r="BF327" t="s">
        <v>134</v>
      </c>
      <c r="BG327" t="s">
        <v>134</v>
      </c>
      <c r="BH327" t="s">
        <v>134</v>
      </c>
      <c r="BI327" t="s">
        <v>134</v>
      </c>
      <c r="BJ327" t="s">
        <v>134</v>
      </c>
      <c r="BK327" t="s">
        <v>134</v>
      </c>
      <c r="BL327" t="s">
        <v>134</v>
      </c>
      <c r="BM327" t="s">
        <v>134</v>
      </c>
      <c r="BN327" t="s">
        <v>134</v>
      </c>
      <c r="BO327" t="s">
        <v>134</v>
      </c>
      <c r="BP327" t="s">
        <v>134</v>
      </c>
      <c r="BQ327" t="s">
        <v>134</v>
      </c>
      <c r="BR327" t="s">
        <v>134</v>
      </c>
      <c r="BS327" t="s">
        <v>134</v>
      </c>
      <c r="BT327" t="s">
        <v>134</v>
      </c>
      <c r="BU327" t="s">
        <v>134</v>
      </c>
      <c r="BV327" t="s">
        <v>134</v>
      </c>
      <c r="BW327" t="s">
        <v>134</v>
      </c>
      <c r="BX327" t="s">
        <v>134</v>
      </c>
      <c r="BY327" t="s">
        <v>134</v>
      </c>
      <c r="BZ327" t="s">
        <v>134</v>
      </c>
      <c r="CA327" t="s">
        <v>134</v>
      </c>
      <c r="CB327" t="s">
        <v>134</v>
      </c>
      <c r="CC327" t="s">
        <v>134</v>
      </c>
      <c r="CD327" t="s">
        <v>134</v>
      </c>
      <c r="CE327" t="s">
        <v>134</v>
      </c>
      <c r="CF327" t="s">
        <v>134</v>
      </c>
      <c r="CG327" t="s">
        <v>134</v>
      </c>
      <c r="CH327" t="s">
        <v>134</v>
      </c>
      <c r="CI327" t="s">
        <v>134</v>
      </c>
      <c r="CJ327" t="s">
        <v>134</v>
      </c>
      <c r="CK327" t="s">
        <v>134</v>
      </c>
      <c r="CL327" t="s">
        <v>134</v>
      </c>
      <c r="CM327" t="s">
        <v>134</v>
      </c>
      <c r="CN327" t="s">
        <v>134</v>
      </c>
      <c r="CO327" t="s">
        <v>134</v>
      </c>
      <c r="CP327" t="s">
        <v>134</v>
      </c>
      <c r="CQ327" t="s">
        <v>134</v>
      </c>
      <c r="CR327" t="s">
        <v>134</v>
      </c>
      <c r="CS327" t="s">
        <v>134</v>
      </c>
      <c r="CT327" t="s">
        <v>134</v>
      </c>
      <c r="CU327" t="s">
        <v>134</v>
      </c>
      <c r="CV327" t="s">
        <v>134</v>
      </c>
      <c r="CW327" t="s">
        <v>134</v>
      </c>
      <c r="CX327" t="s">
        <v>134</v>
      </c>
      <c r="CY327" t="s">
        <v>134</v>
      </c>
      <c r="CZ327" t="s">
        <v>134</v>
      </c>
      <c r="DA327" t="s">
        <v>134</v>
      </c>
      <c r="DB327" t="s">
        <v>134</v>
      </c>
      <c r="DC327" t="s">
        <v>134</v>
      </c>
      <c r="DD327" t="s">
        <v>134</v>
      </c>
      <c r="DE327" t="s">
        <v>134</v>
      </c>
      <c r="DF327" t="s">
        <v>134</v>
      </c>
      <c r="DG327" t="s">
        <v>134</v>
      </c>
      <c r="DH327" t="s">
        <v>134</v>
      </c>
      <c r="DI327" t="s">
        <v>134</v>
      </c>
    </row>
    <row r="328" spans="1:113" x14ac:dyDescent="0.3">
      <c r="A328">
        <v>64</v>
      </c>
      <c r="B328" t="s">
        <v>36</v>
      </c>
      <c r="C328" t="s">
        <v>37</v>
      </c>
      <c r="D328" t="s">
        <v>2</v>
      </c>
      <c r="E328" t="s">
        <v>3</v>
      </c>
      <c r="F328">
        <v>29.046099999999999</v>
      </c>
      <c r="G328">
        <v>14.5494</v>
      </c>
      <c r="H328">
        <v>22.101600000000001</v>
      </c>
      <c r="I328">
        <v>20.9482</v>
      </c>
      <c r="J328">
        <v>16.272400000000001</v>
      </c>
      <c r="K328">
        <v>14.632400000000001</v>
      </c>
      <c r="L328">
        <v>155.4461</v>
      </c>
      <c r="M328">
        <v>14.8208</v>
      </c>
      <c r="N328">
        <v>10.756399999999999</v>
      </c>
      <c r="O328">
        <v>10.3569</v>
      </c>
      <c r="P328">
        <v>10.3569</v>
      </c>
      <c r="Q328">
        <v>27.4238</v>
      </c>
      <c r="R328">
        <v>53.1419</v>
      </c>
      <c r="S328">
        <v>13.6105</v>
      </c>
      <c r="T328">
        <v>1.9655</v>
      </c>
      <c r="U328">
        <v>20.677599999999998</v>
      </c>
      <c r="V328">
        <v>25.751899999999999</v>
      </c>
      <c r="W328">
        <v>22.614100000000001</v>
      </c>
      <c r="X328">
        <v>22.042100000000001</v>
      </c>
      <c r="Y328">
        <v>250</v>
      </c>
      <c r="Z328">
        <v>13.553800000000001</v>
      </c>
      <c r="AA328">
        <v>-7.7027000000000001</v>
      </c>
      <c r="AB328">
        <v>-1.6655</v>
      </c>
      <c r="AC328">
        <v>-20.022500000000001</v>
      </c>
      <c r="AD328">
        <v>-3.7584</v>
      </c>
      <c r="AE328">
        <v>44.351700000000001</v>
      </c>
      <c r="AF328" t="s">
        <v>134</v>
      </c>
      <c r="AG328">
        <v>-23.382999999999999</v>
      </c>
      <c r="AH328">
        <v>-33.491399999999999</v>
      </c>
      <c r="AI328">
        <v>-30.755099999999999</v>
      </c>
      <c r="AJ328">
        <v>-31.5258</v>
      </c>
      <c r="AK328">
        <v>-31.344100000000001</v>
      </c>
      <c r="AL328">
        <v>65.272400000000005</v>
      </c>
      <c r="AM328">
        <v>14.4321</v>
      </c>
      <c r="AN328">
        <v>20.195599999999999</v>
      </c>
      <c r="AO328">
        <v>20.6539</v>
      </c>
      <c r="AP328">
        <v>20.796099999999999</v>
      </c>
      <c r="AQ328">
        <v>19.422599999999999</v>
      </c>
      <c r="AR328">
        <v>5.1718999999999999</v>
      </c>
      <c r="AS328">
        <v>15.0342</v>
      </c>
      <c r="AT328">
        <v>18.620200000000001</v>
      </c>
      <c r="AU328">
        <v>7.1571999999999996</v>
      </c>
      <c r="AV328">
        <v>17.7652</v>
      </c>
      <c r="AW328">
        <v>38.040199999999999</v>
      </c>
      <c r="AX328" t="s">
        <v>134</v>
      </c>
      <c r="AY328" t="s">
        <v>134</v>
      </c>
      <c r="AZ328">
        <v>-9.6160999999999994</v>
      </c>
      <c r="BA328">
        <v>-10.6318</v>
      </c>
      <c r="BB328">
        <v>21.472999999999999</v>
      </c>
      <c r="BC328">
        <v>5.7938999999999998</v>
      </c>
      <c r="BD328">
        <v>19.468399999999999</v>
      </c>
      <c r="BE328">
        <v>35.537100000000002</v>
      </c>
      <c r="BF328">
        <v>1.9655</v>
      </c>
      <c r="BG328">
        <v>20.677599999999998</v>
      </c>
      <c r="BH328">
        <v>25.751899999999999</v>
      </c>
      <c r="BI328">
        <v>22.614100000000001</v>
      </c>
      <c r="BJ328">
        <v>22.042100000000001</v>
      </c>
      <c r="BK328">
        <v>250</v>
      </c>
      <c r="BL328">
        <v>13.553800000000001</v>
      </c>
      <c r="BM328">
        <v>-7.7027000000000001</v>
      </c>
      <c r="BN328">
        <v>-1.6655</v>
      </c>
      <c r="BO328">
        <v>-20.022500000000001</v>
      </c>
      <c r="BP328">
        <v>-3.7584</v>
      </c>
      <c r="BQ328">
        <v>44.351700000000001</v>
      </c>
      <c r="BR328" t="s">
        <v>134</v>
      </c>
      <c r="BS328">
        <v>-23.382999999999999</v>
      </c>
      <c r="BT328">
        <v>-33.491399999999999</v>
      </c>
      <c r="BU328">
        <v>-30.755099999999999</v>
      </c>
      <c r="BV328">
        <v>-31.5258</v>
      </c>
      <c r="BW328">
        <v>-31.344100000000001</v>
      </c>
      <c r="BX328">
        <v>65.272400000000005</v>
      </c>
      <c r="BY328">
        <v>5258.9</v>
      </c>
      <c r="BZ328">
        <v>2743.5</v>
      </c>
      <c r="CA328">
        <v>2515.4</v>
      </c>
      <c r="CB328">
        <v>0.68959999999999999</v>
      </c>
      <c r="CC328">
        <v>-3.6799999999999999E-2</v>
      </c>
      <c r="CD328">
        <v>0.76690000000000003</v>
      </c>
      <c r="CE328">
        <v>-4.1000000000000002E-2</v>
      </c>
      <c r="CF328">
        <v>29.8127</v>
      </c>
      <c r="CG328">
        <v>45.890500000000003</v>
      </c>
      <c r="CH328">
        <v>18.013200000000001</v>
      </c>
      <c r="CI328">
        <v>13.0853</v>
      </c>
      <c r="CJ328">
        <v>8.4838000000000005</v>
      </c>
      <c r="CK328">
        <v>37.6599</v>
      </c>
      <c r="CL328">
        <v>27.357199999999999</v>
      </c>
      <c r="CM328">
        <v>17.736899999999999</v>
      </c>
      <c r="CN328">
        <v>-2.0123000000000002</v>
      </c>
      <c r="CO328">
        <v>-2.0535999999999999</v>
      </c>
      <c r="CP328">
        <v>7626.1</v>
      </c>
      <c r="CQ328">
        <v>6852</v>
      </c>
      <c r="CR328">
        <v>6857.5</v>
      </c>
      <c r="CS328">
        <v>0.42480000000000001</v>
      </c>
      <c r="CT328">
        <v>1.3857999999999999</v>
      </c>
      <c r="CU328">
        <v>0.59599999999999997</v>
      </c>
      <c r="CV328">
        <v>8.6648999999999994</v>
      </c>
      <c r="CW328">
        <v>22.3306</v>
      </c>
      <c r="CX328">
        <v>16.345300000000002</v>
      </c>
      <c r="CY328">
        <v>2.8378999999999999</v>
      </c>
      <c r="CZ328">
        <v>128.6156</v>
      </c>
      <c r="DA328" t="s">
        <v>134</v>
      </c>
      <c r="DB328" t="s">
        <v>134</v>
      </c>
      <c r="DC328" t="s">
        <v>134</v>
      </c>
      <c r="DD328">
        <v>144.96090000000001</v>
      </c>
      <c r="DE328">
        <v>7962.4</v>
      </c>
      <c r="DF328">
        <v>2796.8</v>
      </c>
      <c r="DG328">
        <v>1396.2</v>
      </c>
      <c r="DH328">
        <v>2724.6</v>
      </c>
      <c r="DI328">
        <v>1044.8</v>
      </c>
    </row>
    <row r="329" spans="1:113" x14ac:dyDescent="0.3">
      <c r="E329" t="s">
        <v>4</v>
      </c>
      <c r="F329" t="s">
        <v>134</v>
      </c>
      <c r="G329" t="s">
        <v>134</v>
      </c>
      <c r="H329" t="s">
        <v>134</v>
      </c>
      <c r="I329" t="s">
        <v>134</v>
      </c>
      <c r="J329">
        <v>16.648099999999999</v>
      </c>
      <c r="K329">
        <v>15.1546</v>
      </c>
      <c r="L329">
        <v>36.030099999999997</v>
      </c>
      <c r="M329">
        <v>15.4648</v>
      </c>
      <c r="N329">
        <v>11.750299999999999</v>
      </c>
      <c r="O329">
        <v>11.4322</v>
      </c>
      <c r="P329">
        <v>11.4322</v>
      </c>
      <c r="Q329">
        <v>24.019300000000001</v>
      </c>
      <c r="R329" t="s">
        <v>134</v>
      </c>
      <c r="S329" t="s">
        <v>134</v>
      </c>
      <c r="T329">
        <v>8.8746000000000009</v>
      </c>
      <c r="U329">
        <v>22.2456</v>
      </c>
      <c r="V329">
        <v>24.0379</v>
      </c>
      <c r="W329">
        <v>27.367999999999999</v>
      </c>
      <c r="X329">
        <v>27.604199999999999</v>
      </c>
      <c r="Y329" t="s">
        <v>134</v>
      </c>
      <c r="Z329" t="s">
        <v>134</v>
      </c>
      <c r="AA329" t="s">
        <v>134</v>
      </c>
      <c r="AB329" t="s">
        <v>134</v>
      </c>
      <c r="AC329" t="s">
        <v>134</v>
      </c>
      <c r="AD329" t="s">
        <v>134</v>
      </c>
      <c r="AE329" t="s">
        <v>134</v>
      </c>
      <c r="AF329" t="s">
        <v>134</v>
      </c>
      <c r="AG329" t="s">
        <v>134</v>
      </c>
      <c r="AH329" t="s">
        <v>134</v>
      </c>
      <c r="AI329" t="s">
        <v>134</v>
      </c>
      <c r="AJ329" t="s">
        <v>134</v>
      </c>
      <c r="AK329" t="s">
        <v>134</v>
      </c>
      <c r="AL329" t="s">
        <v>134</v>
      </c>
      <c r="AM329">
        <v>18.255400000000002</v>
      </c>
      <c r="AN329">
        <v>24.866</v>
      </c>
      <c r="AO329">
        <v>25.1067</v>
      </c>
      <c r="AP329">
        <v>27.783999999999999</v>
      </c>
      <c r="AQ329">
        <v>26.377700000000001</v>
      </c>
      <c r="AR329" t="s">
        <v>134</v>
      </c>
      <c r="AS329" t="s">
        <v>134</v>
      </c>
      <c r="AT329" t="s">
        <v>134</v>
      </c>
      <c r="AU329" t="s">
        <v>134</v>
      </c>
      <c r="AV329" t="s">
        <v>134</v>
      </c>
      <c r="AW329" t="s">
        <v>134</v>
      </c>
      <c r="AX329" t="s">
        <v>134</v>
      </c>
      <c r="AY329" t="s">
        <v>134</v>
      </c>
      <c r="AZ329" t="s">
        <v>134</v>
      </c>
      <c r="BA329" t="s">
        <v>134</v>
      </c>
      <c r="BB329" t="s">
        <v>134</v>
      </c>
      <c r="BC329" t="s">
        <v>134</v>
      </c>
      <c r="BD329" t="s">
        <v>134</v>
      </c>
      <c r="BE329" t="s">
        <v>134</v>
      </c>
      <c r="BF329">
        <v>38.345799999999997</v>
      </c>
      <c r="BG329">
        <v>90.953900000000004</v>
      </c>
      <c r="BH329">
        <v>120.194</v>
      </c>
      <c r="BI329">
        <v>88.075999999999993</v>
      </c>
      <c r="BJ329">
        <v>88.461500000000001</v>
      </c>
      <c r="BK329" t="s">
        <v>134</v>
      </c>
      <c r="BL329" t="s">
        <v>134</v>
      </c>
      <c r="BM329" t="s">
        <v>134</v>
      </c>
      <c r="BN329" t="s">
        <v>134</v>
      </c>
      <c r="BO329" t="s">
        <v>134</v>
      </c>
      <c r="BP329" t="s">
        <v>134</v>
      </c>
      <c r="BQ329" t="s">
        <v>134</v>
      </c>
      <c r="BR329" t="s">
        <v>134</v>
      </c>
      <c r="BS329" t="s">
        <v>134</v>
      </c>
      <c r="BT329" t="s">
        <v>134</v>
      </c>
      <c r="BU329" t="s">
        <v>134</v>
      </c>
      <c r="BV329" t="s">
        <v>134</v>
      </c>
      <c r="BW329" t="s">
        <v>134</v>
      </c>
      <c r="BX329" t="s">
        <v>134</v>
      </c>
      <c r="BY329" t="s">
        <v>134</v>
      </c>
      <c r="BZ329" t="s">
        <v>134</v>
      </c>
      <c r="CA329" t="s">
        <v>134</v>
      </c>
      <c r="CB329" t="s">
        <v>134</v>
      </c>
      <c r="CC329" t="s">
        <v>134</v>
      </c>
      <c r="CD329" t="s">
        <v>134</v>
      </c>
      <c r="CE329" t="s">
        <v>134</v>
      </c>
      <c r="CF329" t="s">
        <v>134</v>
      </c>
      <c r="CG329" t="s">
        <v>134</v>
      </c>
      <c r="CH329" t="s">
        <v>134</v>
      </c>
      <c r="CI329" t="s">
        <v>134</v>
      </c>
      <c r="CJ329" t="s">
        <v>134</v>
      </c>
      <c r="CK329" t="s">
        <v>134</v>
      </c>
      <c r="CL329" t="s">
        <v>134</v>
      </c>
      <c r="CM329" t="s">
        <v>134</v>
      </c>
      <c r="CN329" t="s">
        <v>134</v>
      </c>
      <c r="CO329" t="s">
        <v>134</v>
      </c>
      <c r="CP329">
        <v>2296.88</v>
      </c>
      <c r="CQ329" t="s">
        <v>134</v>
      </c>
      <c r="CR329">
        <v>2090.8150000000001</v>
      </c>
      <c r="CS329" t="s">
        <v>134</v>
      </c>
      <c r="CT329" t="s">
        <v>134</v>
      </c>
      <c r="CU329" t="s">
        <v>134</v>
      </c>
      <c r="CV329" t="s">
        <v>134</v>
      </c>
      <c r="CW329" t="s">
        <v>134</v>
      </c>
      <c r="CX329" t="s">
        <v>134</v>
      </c>
      <c r="CY329" t="s">
        <v>134</v>
      </c>
      <c r="CZ329" t="s">
        <v>134</v>
      </c>
      <c r="DA329" t="s">
        <v>134</v>
      </c>
      <c r="DB329" t="s">
        <v>134</v>
      </c>
      <c r="DC329" t="s">
        <v>134</v>
      </c>
      <c r="DD329" t="s">
        <v>134</v>
      </c>
      <c r="DE329" t="s">
        <v>134</v>
      </c>
      <c r="DF329" t="s">
        <v>134</v>
      </c>
      <c r="DG329" t="s">
        <v>134</v>
      </c>
      <c r="DH329" t="s">
        <v>134</v>
      </c>
      <c r="DI329" t="s">
        <v>134</v>
      </c>
    </row>
    <row r="330" spans="1:113" x14ac:dyDescent="0.3">
      <c r="E330" t="s">
        <v>5</v>
      </c>
      <c r="F330">
        <v>28.442</v>
      </c>
      <c r="G330">
        <v>13.6633</v>
      </c>
      <c r="H330" t="s">
        <v>134</v>
      </c>
      <c r="I330">
        <v>18.851800000000001</v>
      </c>
      <c r="J330">
        <v>15.1075</v>
      </c>
      <c r="K330">
        <v>13.603199999999999</v>
      </c>
      <c r="L330" t="s">
        <v>134</v>
      </c>
      <c r="M330">
        <v>13.8195</v>
      </c>
      <c r="N330">
        <v>9.9593000000000007</v>
      </c>
      <c r="O330">
        <v>9.4915000000000003</v>
      </c>
      <c r="P330">
        <v>9.4915000000000003</v>
      </c>
      <c r="Q330">
        <v>27.933</v>
      </c>
      <c r="R330" t="s">
        <v>134</v>
      </c>
      <c r="S330" t="s">
        <v>134</v>
      </c>
      <c r="T330">
        <v>-3.5064000000000002</v>
      </c>
      <c r="U330">
        <v>11.4183</v>
      </c>
      <c r="V330">
        <v>17.8233</v>
      </c>
      <c r="W330">
        <v>23.280200000000001</v>
      </c>
      <c r="X330">
        <v>23.308299999999999</v>
      </c>
      <c r="Y330" t="s">
        <v>134</v>
      </c>
      <c r="Z330">
        <v>18.7121</v>
      </c>
      <c r="AA330">
        <v>-1.5636000000000001</v>
      </c>
      <c r="AB330">
        <v>-47.432200000000002</v>
      </c>
      <c r="AC330">
        <v>-14.814</v>
      </c>
      <c r="AD330">
        <v>3.4596999999999998</v>
      </c>
      <c r="AE330">
        <v>613.91819999999996</v>
      </c>
      <c r="AF330" t="s">
        <v>134</v>
      </c>
      <c r="AG330">
        <v>-22.167899999999999</v>
      </c>
      <c r="AH330">
        <v>-4.7930000000000001</v>
      </c>
      <c r="AI330">
        <v>-23.14</v>
      </c>
      <c r="AJ330">
        <v>-17.8169</v>
      </c>
      <c r="AK330">
        <v>-24.489899999999999</v>
      </c>
      <c r="AL330" t="s">
        <v>134</v>
      </c>
      <c r="AM330">
        <v>13.0703</v>
      </c>
      <c r="AN330">
        <v>17.924900000000001</v>
      </c>
      <c r="AO330">
        <v>18.2179</v>
      </c>
      <c r="AP330">
        <v>17.571200000000001</v>
      </c>
      <c r="AQ330">
        <v>16.324300000000001</v>
      </c>
      <c r="AR330" t="s">
        <v>134</v>
      </c>
      <c r="AS330" t="s">
        <v>134</v>
      </c>
      <c r="AT330" t="s">
        <v>134</v>
      </c>
      <c r="AU330" t="s">
        <v>134</v>
      </c>
      <c r="AV330" t="s">
        <v>134</v>
      </c>
      <c r="AW330" t="s">
        <v>134</v>
      </c>
      <c r="AX330" t="s">
        <v>134</v>
      </c>
      <c r="AY330" t="s">
        <v>134</v>
      </c>
      <c r="AZ330" t="s">
        <v>134</v>
      </c>
      <c r="BA330" t="s">
        <v>134</v>
      </c>
      <c r="BB330" t="s">
        <v>134</v>
      </c>
      <c r="BC330" t="s">
        <v>134</v>
      </c>
      <c r="BD330" t="s">
        <v>134</v>
      </c>
      <c r="BE330" t="s">
        <v>134</v>
      </c>
      <c r="BF330">
        <v>-19.156600000000001</v>
      </c>
      <c r="BG330">
        <v>-26.638200000000001</v>
      </c>
      <c r="BH330">
        <v>-27.432300000000001</v>
      </c>
      <c r="BI330">
        <v>-32.880299999999998</v>
      </c>
      <c r="BJ330">
        <v>-33.061199999999999</v>
      </c>
      <c r="BK330" t="s">
        <v>134</v>
      </c>
      <c r="BL330" t="s">
        <v>134</v>
      </c>
      <c r="BM330" t="s">
        <v>134</v>
      </c>
      <c r="BN330" t="s">
        <v>134</v>
      </c>
      <c r="BO330" t="s">
        <v>134</v>
      </c>
      <c r="BP330" t="s">
        <v>134</v>
      </c>
      <c r="BQ330" t="s">
        <v>134</v>
      </c>
      <c r="BR330" t="s">
        <v>134</v>
      </c>
      <c r="BS330" t="s">
        <v>134</v>
      </c>
      <c r="BT330" t="s">
        <v>134</v>
      </c>
      <c r="BU330" t="s">
        <v>134</v>
      </c>
      <c r="BV330" t="s">
        <v>134</v>
      </c>
      <c r="BW330" t="s">
        <v>134</v>
      </c>
      <c r="BX330" t="s">
        <v>134</v>
      </c>
      <c r="BY330">
        <v>7121.2759999999998</v>
      </c>
      <c r="BZ330">
        <v>3115.6390000000001</v>
      </c>
      <c r="CA330">
        <v>4005.6370000000002</v>
      </c>
      <c r="CB330">
        <v>1.0407</v>
      </c>
      <c r="CC330">
        <v>5.8599999999999999E-2</v>
      </c>
      <c r="CD330">
        <v>1.1828000000000001</v>
      </c>
      <c r="CE330">
        <v>6.6699999999999995E-2</v>
      </c>
      <c r="CF330" t="s">
        <v>134</v>
      </c>
      <c r="CG330">
        <v>44.942</v>
      </c>
      <c r="CH330">
        <v>28.477499999999999</v>
      </c>
      <c r="CI330">
        <v>18.905899999999999</v>
      </c>
      <c r="CJ330">
        <v>13.2272</v>
      </c>
      <c r="CK330">
        <v>50.627600000000001</v>
      </c>
      <c r="CL330">
        <v>33.6111</v>
      </c>
      <c r="CM330">
        <v>23.515499999999999</v>
      </c>
      <c r="CN330">
        <v>2.8529</v>
      </c>
      <c r="CO330">
        <v>2.7736999999999998</v>
      </c>
      <c r="CP330">
        <v>1685.0329999999999</v>
      </c>
      <c r="CQ330" t="s">
        <v>134</v>
      </c>
      <c r="CR330">
        <v>1517.2560000000001</v>
      </c>
      <c r="CS330">
        <v>0.55689999999999995</v>
      </c>
      <c r="CT330">
        <v>1.5282</v>
      </c>
      <c r="CU330">
        <v>0.8</v>
      </c>
      <c r="CV330">
        <v>8.5710999999999995</v>
      </c>
      <c r="CW330">
        <v>17.238299999999999</v>
      </c>
      <c r="CX330">
        <v>21.1738</v>
      </c>
      <c r="CY330">
        <v>3.0341</v>
      </c>
      <c r="CZ330">
        <v>120.3</v>
      </c>
      <c r="DA330" t="s">
        <v>134</v>
      </c>
      <c r="DB330" t="s">
        <v>134</v>
      </c>
      <c r="DC330" t="s">
        <v>134</v>
      </c>
      <c r="DD330">
        <v>141.47380000000001</v>
      </c>
      <c r="DE330">
        <v>7382.5649999999996</v>
      </c>
      <c r="DF330" t="s">
        <v>134</v>
      </c>
      <c r="DG330" t="s">
        <v>134</v>
      </c>
      <c r="DH330" t="s">
        <v>134</v>
      </c>
      <c r="DI330" t="s">
        <v>134</v>
      </c>
    </row>
    <row r="331" spans="1:113" x14ac:dyDescent="0.3">
      <c r="E331" t="s">
        <v>6</v>
      </c>
      <c r="F331" t="s">
        <v>134</v>
      </c>
      <c r="G331" t="s">
        <v>134</v>
      </c>
      <c r="H331" t="s">
        <v>134</v>
      </c>
      <c r="I331" t="s">
        <v>134</v>
      </c>
      <c r="J331">
        <v>16.840800000000002</v>
      </c>
      <c r="K331">
        <v>15.113200000000001</v>
      </c>
      <c r="L331">
        <v>101.328</v>
      </c>
      <c r="M331">
        <v>16.008800000000001</v>
      </c>
      <c r="N331">
        <v>11.824400000000001</v>
      </c>
      <c r="O331">
        <v>11.296099999999999</v>
      </c>
      <c r="P331">
        <v>11.296099999999999</v>
      </c>
      <c r="Q331">
        <v>26.138000000000002</v>
      </c>
      <c r="R331" t="s">
        <v>134</v>
      </c>
      <c r="S331" t="s">
        <v>134</v>
      </c>
      <c r="T331">
        <v>2.9518</v>
      </c>
      <c r="U331">
        <v>21.721499999999999</v>
      </c>
      <c r="V331">
        <v>23.798100000000002</v>
      </c>
      <c r="W331">
        <v>32.332900000000002</v>
      </c>
      <c r="X331">
        <v>32.075499999999998</v>
      </c>
      <c r="Y331" t="s">
        <v>134</v>
      </c>
      <c r="Z331" t="s">
        <v>134</v>
      </c>
      <c r="AA331" t="s">
        <v>134</v>
      </c>
      <c r="AB331" t="s">
        <v>134</v>
      </c>
      <c r="AC331" t="s">
        <v>134</v>
      </c>
      <c r="AD331" t="s">
        <v>134</v>
      </c>
      <c r="AE331" t="s">
        <v>134</v>
      </c>
      <c r="AF331" t="s">
        <v>134</v>
      </c>
      <c r="AG331" t="s">
        <v>134</v>
      </c>
      <c r="AH331" t="s">
        <v>134</v>
      </c>
      <c r="AI331" t="s">
        <v>134</v>
      </c>
      <c r="AJ331" t="s">
        <v>134</v>
      </c>
      <c r="AK331" t="s">
        <v>134</v>
      </c>
      <c r="AL331" t="s">
        <v>134</v>
      </c>
      <c r="AM331">
        <v>13.986499999999999</v>
      </c>
      <c r="AN331">
        <v>20.589199999999998</v>
      </c>
      <c r="AO331">
        <v>21.1525</v>
      </c>
      <c r="AP331">
        <v>21.611699999999999</v>
      </c>
      <c r="AQ331">
        <v>20.112400000000001</v>
      </c>
      <c r="AR331" t="s">
        <v>134</v>
      </c>
      <c r="AS331" t="s">
        <v>134</v>
      </c>
      <c r="AT331" t="s">
        <v>134</v>
      </c>
      <c r="AU331" t="s">
        <v>134</v>
      </c>
      <c r="AV331" t="s">
        <v>134</v>
      </c>
      <c r="AW331" t="s">
        <v>134</v>
      </c>
      <c r="AX331" t="s">
        <v>134</v>
      </c>
      <c r="AY331" t="s">
        <v>134</v>
      </c>
      <c r="AZ331" t="s">
        <v>134</v>
      </c>
      <c r="BA331" t="s">
        <v>134</v>
      </c>
      <c r="BB331" t="s">
        <v>134</v>
      </c>
      <c r="BC331" t="s">
        <v>134</v>
      </c>
      <c r="BD331" t="s">
        <v>134</v>
      </c>
      <c r="BE331" t="s">
        <v>134</v>
      </c>
      <c r="BF331">
        <v>7.4401999999999999</v>
      </c>
      <c r="BG331">
        <v>19.7669</v>
      </c>
      <c r="BH331">
        <v>19.366299999999999</v>
      </c>
      <c r="BI331">
        <v>27.8675</v>
      </c>
      <c r="BJ331">
        <v>28.0488</v>
      </c>
      <c r="BK331" t="s">
        <v>134</v>
      </c>
      <c r="BL331" t="s">
        <v>134</v>
      </c>
      <c r="BM331" t="s">
        <v>134</v>
      </c>
      <c r="BN331" t="s">
        <v>134</v>
      </c>
      <c r="BO331" t="s">
        <v>134</v>
      </c>
      <c r="BP331" t="s">
        <v>134</v>
      </c>
      <c r="BQ331" t="s">
        <v>134</v>
      </c>
      <c r="BR331" t="s">
        <v>134</v>
      </c>
      <c r="BS331" t="s">
        <v>134</v>
      </c>
      <c r="BT331" t="s">
        <v>134</v>
      </c>
      <c r="BU331" t="s">
        <v>134</v>
      </c>
      <c r="BV331" t="s">
        <v>134</v>
      </c>
      <c r="BW331" t="s">
        <v>134</v>
      </c>
      <c r="BX331" t="s">
        <v>134</v>
      </c>
      <c r="BY331" t="s">
        <v>134</v>
      </c>
      <c r="BZ331" t="s">
        <v>134</v>
      </c>
      <c r="CA331" t="s">
        <v>134</v>
      </c>
      <c r="CB331" t="s">
        <v>134</v>
      </c>
      <c r="CC331" t="s">
        <v>134</v>
      </c>
      <c r="CD331" t="s">
        <v>134</v>
      </c>
      <c r="CE331" t="s">
        <v>134</v>
      </c>
      <c r="CF331" t="s">
        <v>134</v>
      </c>
      <c r="CG331" t="s">
        <v>134</v>
      </c>
      <c r="CH331" t="s">
        <v>134</v>
      </c>
      <c r="CI331" t="s">
        <v>134</v>
      </c>
      <c r="CJ331" t="s">
        <v>134</v>
      </c>
      <c r="CK331" t="s">
        <v>134</v>
      </c>
      <c r="CL331" t="s">
        <v>134</v>
      </c>
      <c r="CM331" t="s">
        <v>134</v>
      </c>
      <c r="CN331" t="s">
        <v>134</v>
      </c>
      <c r="CO331" t="s">
        <v>134</v>
      </c>
      <c r="CP331">
        <v>2018.1120000000001</v>
      </c>
      <c r="CQ331" t="s">
        <v>134</v>
      </c>
      <c r="CR331">
        <v>1811.0930000000001</v>
      </c>
      <c r="CS331" t="s">
        <v>134</v>
      </c>
      <c r="CT331" t="s">
        <v>134</v>
      </c>
      <c r="CU331" t="s">
        <v>134</v>
      </c>
      <c r="CV331" t="s">
        <v>134</v>
      </c>
      <c r="CW331" t="s">
        <v>134</v>
      </c>
      <c r="CX331" t="s">
        <v>134</v>
      </c>
      <c r="CY331" t="s">
        <v>134</v>
      </c>
      <c r="CZ331" t="s">
        <v>134</v>
      </c>
      <c r="DA331" t="s">
        <v>134</v>
      </c>
      <c r="DB331" t="s">
        <v>134</v>
      </c>
      <c r="DC331" t="s">
        <v>134</v>
      </c>
      <c r="DD331" t="s">
        <v>134</v>
      </c>
      <c r="DE331" t="s">
        <v>134</v>
      </c>
      <c r="DF331" t="s">
        <v>134</v>
      </c>
      <c r="DG331" t="s">
        <v>134</v>
      </c>
      <c r="DH331" t="s">
        <v>134</v>
      </c>
      <c r="DI331" t="s">
        <v>134</v>
      </c>
    </row>
    <row r="332" spans="1:113" x14ac:dyDescent="0.3">
      <c r="E332" t="s">
        <v>7</v>
      </c>
      <c r="F332">
        <v>29.186800000000002</v>
      </c>
      <c r="G332">
        <v>14.6198</v>
      </c>
      <c r="H332" t="s">
        <v>134</v>
      </c>
      <c r="I332">
        <v>20.587900000000001</v>
      </c>
      <c r="J332">
        <v>14.420299999999999</v>
      </c>
      <c r="K332">
        <v>12.4062</v>
      </c>
      <c r="L332">
        <v>52.052199999999999</v>
      </c>
      <c r="M332">
        <v>12.9756</v>
      </c>
      <c r="N332">
        <v>8.5580999999999996</v>
      </c>
      <c r="O332">
        <v>8.2978000000000005</v>
      </c>
      <c r="P332">
        <v>8.2978000000000005</v>
      </c>
      <c r="Q332">
        <v>34.044899999999998</v>
      </c>
      <c r="R332" t="s">
        <v>134</v>
      </c>
      <c r="S332" t="s">
        <v>134</v>
      </c>
      <c r="T332">
        <v>7.2760999999999996</v>
      </c>
      <c r="U332">
        <v>28.254999999999999</v>
      </c>
      <c r="V332">
        <v>39.777299999999997</v>
      </c>
      <c r="W332">
        <v>5.8521999999999998</v>
      </c>
      <c r="X332">
        <v>6.1538000000000004</v>
      </c>
      <c r="Y332" t="s">
        <v>134</v>
      </c>
      <c r="Z332">
        <v>13.553800000000001</v>
      </c>
      <c r="AA332">
        <v>-7.7027000000000001</v>
      </c>
      <c r="AB332">
        <v>-1.6655</v>
      </c>
      <c r="AC332">
        <v>-20.022500000000001</v>
      </c>
      <c r="AD332">
        <v>-3.7584</v>
      </c>
      <c r="AE332">
        <v>44.351700000000001</v>
      </c>
      <c r="AF332" t="s">
        <v>134</v>
      </c>
      <c r="AG332">
        <v>-23.382999999999999</v>
      </c>
      <c r="AH332">
        <v>-33.491399999999999</v>
      </c>
      <c r="AI332">
        <v>-30.755099999999999</v>
      </c>
      <c r="AJ332">
        <v>-31.5258</v>
      </c>
      <c r="AK332">
        <v>-31.344100000000001</v>
      </c>
      <c r="AL332" t="s">
        <v>134</v>
      </c>
      <c r="AM332">
        <v>13.7743</v>
      </c>
      <c r="AN332">
        <v>16.049800000000001</v>
      </c>
      <c r="AO332">
        <v>16.118300000000001</v>
      </c>
      <c r="AP332">
        <v>14.858700000000001</v>
      </c>
      <c r="AQ332">
        <v>13.5825</v>
      </c>
      <c r="AR332" t="s">
        <v>134</v>
      </c>
      <c r="AS332" t="s">
        <v>134</v>
      </c>
      <c r="AT332" t="s">
        <v>134</v>
      </c>
      <c r="AU332" t="s">
        <v>134</v>
      </c>
      <c r="AV332" t="s">
        <v>134</v>
      </c>
      <c r="AW332" t="s">
        <v>134</v>
      </c>
      <c r="AX332" t="s">
        <v>134</v>
      </c>
      <c r="AY332" t="s">
        <v>134</v>
      </c>
      <c r="AZ332" t="s">
        <v>134</v>
      </c>
      <c r="BA332" t="s">
        <v>134</v>
      </c>
      <c r="BB332" t="s">
        <v>134</v>
      </c>
      <c r="BC332" t="s">
        <v>134</v>
      </c>
      <c r="BD332" t="s">
        <v>134</v>
      </c>
      <c r="BE332" t="s">
        <v>134</v>
      </c>
      <c r="BF332">
        <v>-10.7258</v>
      </c>
      <c r="BG332">
        <v>-23.556799999999999</v>
      </c>
      <c r="BH332">
        <v>-26.7165</v>
      </c>
      <c r="BI332">
        <v>-34.4223</v>
      </c>
      <c r="BJ332">
        <v>-34.285699999999999</v>
      </c>
      <c r="BK332" t="s">
        <v>134</v>
      </c>
      <c r="BL332" t="s">
        <v>134</v>
      </c>
      <c r="BM332" t="s">
        <v>134</v>
      </c>
      <c r="BN332" t="s">
        <v>134</v>
      </c>
      <c r="BO332" t="s">
        <v>134</v>
      </c>
      <c r="BP332" t="s">
        <v>134</v>
      </c>
      <c r="BQ332" t="s">
        <v>134</v>
      </c>
      <c r="BR332" t="s">
        <v>134</v>
      </c>
      <c r="BS332" t="s">
        <v>134</v>
      </c>
      <c r="BT332" t="s">
        <v>134</v>
      </c>
      <c r="BU332" t="s">
        <v>134</v>
      </c>
      <c r="BV332" t="s">
        <v>134</v>
      </c>
      <c r="BW332" t="s">
        <v>134</v>
      </c>
      <c r="BX332" t="s">
        <v>134</v>
      </c>
      <c r="BY332">
        <v>5258.9</v>
      </c>
      <c r="BZ332">
        <v>2743.5</v>
      </c>
      <c r="CA332">
        <v>2515.4</v>
      </c>
      <c r="CB332">
        <v>0.69720000000000004</v>
      </c>
      <c r="CC332">
        <v>-3.73E-2</v>
      </c>
      <c r="CD332">
        <v>0.77949999999999997</v>
      </c>
      <c r="CE332">
        <v>-4.1700000000000001E-2</v>
      </c>
      <c r="CF332" t="s">
        <v>134</v>
      </c>
      <c r="CG332">
        <v>45.890500000000003</v>
      </c>
      <c r="CH332">
        <v>18.013200000000001</v>
      </c>
      <c r="CI332">
        <v>13.0853</v>
      </c>
      <c r="CJ332">
        <v>8.4838000000000005</v>
      </c>
      <c r="CK332">
        <v>37.6599</v>
      </c>
      <c r="CL332">
        <v>27.357199999999999</v>
      </c>
      <c r="CM332">
        <v>17.736899999999999</v>
      </c>
      <c r="CN332">
        <v>-2.0123000000000002</v>
      </c>
      <c r="CO332">
        <v>-2.0535999999999999</v>
      </c>
      <c r="CP332">
        <v>1542.7090000000001</v>
      </c>
      <c r="CQ332" t="s">
        <v>134</v>
      </c>
      <c r="CR332">
        <v>1327.232</v>
      </c>
      <c r="CS332">
        <v>0.42480000000000001</v>
      </c>
      <c r="CT332">
        <v>1.3857999999999999</v>
      </c>
      <c r="CU332">
        <v>0.59599999999999997</v>
      </c>
      <c r="CV332">
        <v>8.6648999999999994</v>
      </c>
      <c r="CW332">
        <v>22.695900000000002</v>
      </c>
      <c r="CX332">
        <v>16.0822</v>
      </c>
      <c r="CY332">
        <v>2.8759000000000001</v>
      </c>
      <c r="CZ332">
        <v>126.9166</v>
      </c>
      <c r="DA332" t="s">
        <v>134</v>
      </c>
      <c r="DB332" t="s">
        <v>134</v>
      </c>
      <c r="DC332" t="s">
        <v>134</v>
      </c>
      <c r="DD332">
        <v>142.99879999999999</v>
      </c>
      <c r="DE332">
        <v>7962.4</v>
      </c>
      <c r="DF332">
        <v>2796.8</v>
      </c>
      <c r="DG332">
        <v>1396.2</v>
      </c>
      <c r="DH332">
        <v>2724.6</v>
      </c>
      <c r="DI332">
        <v>1044.8</v>
      </c>
    </row>
    <row r="333" spans="1:113" x14ac:dyDescent="0.3">
      <c r="D333" t="s">
        <v>8</v>
      </c>
      <c r="E333" t="s">
        <v>3</v>
      </c>
      <c r="F333">
        <v>36.004800000000003</v>
      </c>
      <c r="G333">
        <v>18.831800000000001</v>
      </c>
      <c r="H333">
        <v>29.143699999999999</v>
      </c>
      <c r="I333">
        <v>29.516500000000001</v>
      </c>
      <c r="J333">
        <v>16.203399999999998</v>
      </c>
      <c r="K333">
        <v>14.7323</v>
      </c>
      <c r="L333">
        <v>15.1797</v>
      </c>
      <c r="M333">
        <v>14.332000000000001</v>
      </c>
      <c r="N333">
        <v>10.202</v>
      </c>
      <c r="O333">
        <v>10.002700000000001</v>
      </c>
      <c r="P333">
        <v>10.002700000000001</v>
      </c>
      <c r="Q333">
        <v>28.816400000000002</v>
      </c>
      <c r="R333">
        <v>28.1175</v>
      </c>
      <c r="S333">
        <v>25.8811</v>
      </c>
      <c r="T333">
        <v>22.3291</v>
      </c>
      <c r="U333">
        <v>21.810600000000001</v>
      </c>
      <c r="V333">
        <v>23.164400000000001</v>
      </c>
      <c r="W333">
        <v>18.144500000000001</v>
      </c>
      <c r="X333">
        <v>18.0611</v>
      </c>
      <c r="Y333">
        <v>42.857100000000003</v>
      </c>
      <c r="Z333">
        <v>-20.807400000000001</v>
      </c>
      <c r="AA333">
        <v>24.925899999999999</v>
      </c>
      <c r="AB333">
        <v>-6.6044999999999998</v>
      </c>
      <c r="AC333">
        <v>5.4074999999999998</v>
      </c>
      <c r="AD333">
        <v>-40.443199999999997</v>
      </c>
      <c r="AE333">
        <v>44.627099999999999</v>
      </c>
      <c r="AF333" t="s">
        <v>134</v>
      </c>
      <c r="AG333">
        <v>-39.701099999999997</v>
      </c>
      <c r="AH333">
        <v>-36.456299999999999</v>
      </c>
      <c r="AI333">
        <v>31.653099999999998</v>
      </c>
      <c r="AJ333">
        <v>13.020300000000001</v>
      </c>
      <c r="AK333">
        <v>34.090200000000003</v>
      </c>
      <c r="AL333">
        <v>1.3682000000000001</v>
      </c>
      <c r="AM333">
        <v>16.593699999999998</v>
      </c>
      <c r="AN333">
        <v>19.8827</v>
      </c>
      <c r="AO333">
        <v>21.7989</v>
      </c>
      <c r="AP333">
        <v>19.873999999999999</v>
      </c>
      <c r="AQ333">
        <v>18.591200000000001</v>
      </c>
      <c r="AR333">
        <v>30.520600000000002</v>
      </c>
      <c r="AS333">
        <v>3.2416999999999998</v>
      </c>
      <c r="AT333">
        <v>17.463899999999999</v>
      </c>
      <c r="AU333">
        <v>37.264699999999998</v>
      </c>
      <c r="AV333">
        <v>18.069400000000002</v>
      </c>
      <c r="AW333">
        <v>0.38790000000000002</v>
      </c>
      <c r="AX333">
        <v>25.102699999999999</v>
      </c>
      <c r="AY333" t="s">
        <v>134</v>
      </c>
      <c r="AZ333" t="s">
        <v>134</v>
      </c>
      <c r="BA333">
        <v>-1.7909000000000002</v>
      </c>
      <c r="BB333">
        <v>24.032599999999999</v>
      </c>
      <c r="BC333">
        <v>16.974</v>
      </c>
      <c r="BD333">
        <v>21.963000000000001</v>
      </c>
      <c r="BE333">
        <v>28.773900000000001</v>
      </c>
      <c r="BF333">
        <v>22.3291</v>
      </c>
      <c r="BG333">
        <v>21.810600000000001</v>
      </c>
      <c r="BH333">
        <v>23.164400000000001</v>
      </c>
      <c r="BI333">
        <v>18.144500000000001</v>
      </c>
      <c r="BJ333">
        <v>18.0611</v>
      </c>
      <c r="BK333">
        <v>42.857100000000003</v>
      </c>
      <c r="BL333">
        <v>-20.807400000000001</v>
      </c>
      <c r="BM333">
        <v>24.925899999999999</v>
      </c>
      <c r="BN333">
        <v>-6.6044999999999998</v>
      </c>
      <c r="BO333">
        <v>5.4074999999999998</v>
      </c>
      <c r="BP333">
        <v>-40.443199999999997</v>
      </c>
      <c r="BQ333">
        <v>44.627099999999999</v>
      </c>
      <c r="BR333" t="s">
        <v>134</v>
      </c>
      <c r="BS333">
        <v>-39.701099999999997</v>
      </c>
      <c r="BT333">
        <v>-36.456299999999999</v>
      </c>
      <c r="BU333">
        <v>31.653099999999998</v>
      </c>
      <c r="BV333">
        <v>13.020300000000001</v>
      </c>
      <c r="BW333">
        <v>34.090200000000003</v>
      </c>
      <c r="BX333">
        <v>1.3682000000000001</v>
      </c>
      <c r="BY333">
        <v>3341.7</v>
      </c>
      <c r="BZ333">
        <v>1654.3</v>
      </c>
      <c r="CA333">
        <v>1687.4</v>
      </c>
      <c r="CB333">
        <v>0.35970000000000002</v>
      </c>
      <c r="CC333">
        <v>-0.1169</v>
      </c>
      <c r="CD333">
        <v>0.3957</v>
      </c>
      <c r="CE333">
        <v>-0.1285</v>
      </c>
      <c r="CF333">
        <v>55.926600000000001</v>
      </c>
      <c r="CG333">
        <v>58.387700000000002</v>
      </c>
      <c r="CH333">
        <v>9.1784999999999997</v>
      </c>
      <c r="CI333">
        <v>7.7667000000000002</v>
      </c>
      <c r="CJ333">
        <v>5.3992000000000004</v>
      </c>
      <c r="CK333">
        <v>18.1769</v>
      </c>
      <c r="CL333">
        <v>15.3811</v>
      </c>
      <c r="CM333">
        <v>10.692500000000001</v>
      </c>
      <c r="CN333">
        <v>-5.9044999999999996</v>
      </c>
      <c r="CO333">
        <v>-6.2750000000000004</v>
      </c>
      <c r="CP333">
        <v>9289.4</v>
      </c>
      <c r="CQ333">
        <v>8698.7999999999993</v>
      </c>
      <c r="CR333">
        <v>8446</v>
      </c>
      <c r="CS333">
        <v>0.40189999999999998</v>
      </c>
      <c r="CT333">
        <v>1.6604999999999999</v>
      </c>
      <c r="CU333">
        <v>0.56230000000000002</v>
      </c>
      <c r="CV333">
        <v>15.9786</v>
      </c>
      <c r="CW333">
        <v>28.6692</v>
      </c>
      <c r="CX333">
        <v>12.731400000000001</v>
      </c>
      <c r="CY333">
        <v>3.6053999999999999</v>
      </c>
      <c r="CZ333">
        <v>101.2363</v>
      </c>
      <c r="DA333" t="s">
        <v>134</v>
      </c>
      <c r="DB333" t="s">
        <v>134</v>
      </c>
      <c r="DC333" t="s">
        <v>134</v>
      </c>
      <c r="DD333">
        <v>113.96769999999999</v>
      </c>
      <c r="DE333">
        <v>9947.1</v>
      </c>
      <c r="DF333">
        <v>3565.6</v>
      </c>
      <c r="DG333">
        <v>1287.8</v>
      </c>
      <c r="DH333">
        <v>3979</v>
      </c>
      <c r="DI333">
        <v>1114.7</v>
      </c>
    </row>
    <row r="334" spans="1:113" x14ac:dyDescent="0.3">
      <c r="E334" t="s">
        <v>4</v>
      </c>
      <c r="F334" t="s">
        <v>134</v>
      </c>
      <c r="G334" t="s">
        <v>134</v>
      </c>
      <c r="H334" t="s">
        <v>134</v>
      </c>
      <c r="I334" t="s">
        <v>134</v>
      </c>
      <c r="J334">
        <v>16.467300000000002</v>
      </c>
      <c r="K334">
        <v>15.209</v>
      </c>
      <c r="L334">
        <v>15.5228</v>
      </c>
      <c r="M334">
        <v>15.9057</v>
      </c>
      <c r="N334">
        <v>11.7156</v>
      </c>
      <c r="O334">
        <v>11.442399999999999</v>
      </c>
      <c r="P334">
        <v>11.442399999999999</v>
      </c>
      <c r="Q334">
        <v>26.343399999999999</v>
      </c>
      <c r="R334" t="s">
        <v>134</v>
      </c>
      <c r="S334" t="s">
        <v>134</v>
      </c>
      <c r="T334">
        <v>17.364699999999999</v>
      </c>
      <c r="U334">
        <v>16.0899</v>
      </c>
      <c r="V334">
        <v>17.7867</v>
      </c>
      <c r="W334">
        <v>17.468599999999999</v>
      </c>
      <c r="X334">
        <v>17.142900000000001</v>
      </c>
      <c r="Y334" t="s">
        <v>134</v>
      </c>
      <c r="Z334" t="s">
        <v>134</v>
      </c>
      <c r="AA334" t="s">
        <v>134</v>
      </c>
      <c r="AB334" t="s">
        <v>134</v>
      </c>
      <c r="AC334" t="s">
        <v>134</v>
      </c>
      <c r="AD334" t="s">
        <v>134</v>
      </c>
      <c r="AE334" t="s">
        <v>134</v>
      </c>
      <c r="AF334" t="s">
        <v>134</v>
      </c>
      <c r="AG334" t="s">
        <v>134</v>
      </c>
      <c r="AH334" t="s">
        <v>134</v>
      </c>
      <c r="AI334" t="s">
        <v>134</v>
      </c>
      <c r="AJ334" t="s">
        <v>134</v>
      </c>
      <c r="AK334" t="s">
        <v>134</v>
      </c>
      <c r="AL334" t="s">
        <v>134</v>
      </c>
      <c r="AM334">
        <v>18.372199999999999</v>
      </c>
      <c r="AN334">
        <v>22.549199999999999</v>
      </c>
      <c r="AO334">
        <v>23.2638</v>
      </c>
      <c r="AP334">
        <v>27.048500000000001</v>
      </c>
      <c r="AQ334">
        <v>25.550599999999999</v>
      </c>
      <c r="AR334" t="s">
        <v>134</v>
      </c>
      <c r="AS334" t="s">
        <v>134</v>
      </c>
      <c r="AT334" t="s">
        <v>134</v>
      </c>
      <c r="AU334" t="s">
        <v>134</v>
      </c>
      <c r="AV334" t="s">
        <v>134</v>
      </c>
      <c r="AW334" t="s">
        <v>134</v>
      </c>
      <c r="AX334" t="s">
        <v>134</v>
      </c>
      <c r="AY334" t="s">
        <v>134</v>
      </c>
      <c r="AZ334" t="s">
        <v>134</v>
      </c>
      <c r="BA334" t="s">
        <v>134</v>
      </c>
      <c r="BB334" t="s">
        <v>134</v>
      </c>
      <c r="BC334" t="s">
        <v>134</v>
      </c>
      <c r="BD334" t="s">
        <v>134</v>
      </c>
      <c r="BE334" t="s">
        <v>134</v>
      </c>
      <c r="BF334">
        <v>51.356299999999997</v>
      </c>
      <c r="BG334">
        <v>72.841800000000006</v>
      </c>
      <c r="BH334">
        <v>85.551699999999997</v>
      </c>
      <c r="BI334">
        <v>108.7158</v>
      </c>
      <c r="BJ334">
        <v>107.971</v>
      </c>
      <c r="BK334" t="s">
        <v>134</v>
      </c>
      <c r="BL334" t="s">
        <v>134</v>
      </c>
      <c r="BM334" t="s">
        <v>134</v>
      </c>
      <c r="BN334" t="s">
        <v>134</v>
      </c>
      <c r="BO334" t="s">
        <v>134</v>
      </c>
      <c r="BP334" t="s">
        <v>134</v>
      </c>
      <c r="BQ334" t="s">
        <v>134</v>
      </c>
      <c r="BR334" t="s">
        <v>134</v>
      </c>
      <c r="BS334" t="s">
        <v>134</v>
      </c>
      <c r="BT334" t="s">
        <v>134</v>
      </c>
      <c r="BU334" t="s">
        <v>134</v>
      </c>
      <c r="BV334" t="s">
        <v>134</v>
      </c>
      <c r="BW334" t="s">
        <v>134</v>
      </c>
      <c r="BX334" t="s">
        <v>134</v>
      </c>
      <c r="BY334" t="s">
        <v>134</v>
      </c>
      <c r="BZ334" t="s">
        <v>134</v>
      </c>
      <c r="CA334" t="s">
        <v>134</v>
      </c>
      <c r="CB334" t="s">
        <v>134</v>
      </c>
      <c r="CC334" t="s">
        <v>134</v>
      </c>
      <c r="CD334" t="s">
        <v>134</v>
      </c>
      <c r="CE334" t="s">
        <v>134</v>
      </c>
      <c r="CF334" t="s">
        <v>134</v>
      </c>
      <c r="CG334" t="s">
        <v>134</v>
      </c>
      <c r="CH334" t="s">
        <v>134</v>
      </c>
      <c r="CI334" t="s">
        <v>134</v>
      </c>
      <c r="CJ334" t="s">
        <v>134</v>
      </c>
      <c r="CK334" t="s">
        <v>134</v>
      </c>
      <c r="CL334" t="s">
        <v>134</v>
      </c>
      <c r="CM334" t="s">
        <v>134</v>
      </c>
      <c r="CN334" t="s">
        <v>134</v>
      </c>
      <c r="CO334" t="s">
        <v>134</v>
      </c>
      <c r="CP334">
        <v>2666.4459999999999</v>
      </c>
      <c r="CQ334" t="s">
        <v>134</v>
      </c>
      <c r="CR334">
        <v>2462.701</v>
      </c>
      <c r="CS334" t="s">
        <v>134</v>
      </c>
      <c r="CT334" t="s">
        <v>134</v>
      </c>
      <c r="CU334" t="s">
        <v>134</v>
      </c>
      <c r="CV334" t="s">
        <v>134</v>
      </c>
      <c r="CW334" t="s">
        <v>134</v>
      </c>
      <c r="CX334" t="s">
        <v>134</v>
      </c>
      <c r="CY334" t="s">
        <v>134</v>
      </c>
      <c r="CZ334" t="s">
        <v>134</v>
      </c>
      <c r="DA334" t="s">
        <v>134</v>
      </c>
      <c r="DB334" t="s">
        <v>134</v>
      </c>
      <c r="DC334" t="s">
        <v>134</v>
      </c>
      <c r="DD334" t="s">
        <v>134</v>
      </c>
      <c r="DE334" t="s">
        <v>134</v>
      </c>
      <c r="DF334" t="s">
        <v>134</v>
      </c>
      <c r="DG334" t="s">
        <v>134</v>
      </c>
      <c r="DH334" t="s">
        <v>134</v>
      </c>
      <c r="DI334" t="s">
        <v>134</v>
      </c>
    </row>
    <row r="335" spans="1:113" x14ac:dyDescent="0.3">
      <c r="E335" t="s">
        <v>5</v>
      </c>
      <c r="F335">
        <v>34.968899999999998</v>
      </c>
      <c r="G335">
        <v>17.018599999999999</v>
      </c>
      <c r="H335" t="s">
        <v>134</v>
      </c>
      <c r="I335">
        <v>24.6022</v>
      </c>
      <c r="J335">
        <v>13.6623</v>
      </c>
      <c r="K335">
        <v>12.2287</v>
      </c>
      <c r="L335">
        <v>7.3429000000000002</v>
      </c>
      <c r="M335">
        <v>12.6876</v>
      </c>
      <c r="N335">
        <v>8.4951000000000008</v>
      </c>
      <c r="O335">
        <v>8.2750000000000004</v>
      </c>
      <c r="P335">
        <v>8.2750000000000004</v>
      </c>
      <c r="Q335">
        <v>33.0441</v>
      </c>
      <c r="R335" t="s">
        <v>134</v>
      </c>
      <c r="S335" t="s">
        <v>134</v>
      </c>
      <c r="T335">
        <v>28.132300000000001</v>
      </c>
      <c r="U335">
        <v>15.8757</v>
      </c>
      <c r="V335">
        <v>15.185600000000001</v>
      </c>
      <c r="W335">
        <v>11.709199999999999</v>
      </c>
      <c r="X335">
        <v>11.5854</v>
      </c>
      <c r="Y335" t="s">
        <v>134</v>
      </c>
      <c r="Z335">
        <v>14.344099999999999</v>
      </c>
      <c r="AA335">
        <v>23.585699999999999</v>
      </c>
      <c r="AB335">
        <v>-4.9413999999999998</v>
      </c>
      <c r="AC335">
        <v>4.7716000000000003</v>
      </c>
      <c r="AD335">
        <v>20.958600000000001</v>
      </c>
      <c r="AE335">
        <v>-3.5468000000000002</v>
      </c>
      <c r="AF335" t="s">
        <v>134</v>
      </c>
      <c r="AG335">
        <v>-38.022500000000001</v>
      </c>
      <c r="AH335">
        <v>-41.663800000000002</v>
      </c>
      <c r="AI335">
        <v>18.903300000000002</v>
      </c>
      <c r="AJ335">
        <v>-1.454</v>
      </c>
      <c r="AK335">
        <v>21.745100000000001</v>
      </c>
      <c r="AL335" t="s">
        <v>134</v>
      </c>
      <c r="AM335">
        <v>15.6027</v>
      </c>
      <c r="AN335">
        <v>15.5052</v>
      </c>
      <c r="AO335">
        <v>17.781300000000002</v>
      </c>
      <c r="AP335">
        <v>13.656599999999999</v>
      </c>
      <c r="AQ335">
        <v>12.401</v>
      </c>
      <c r="AR335" t="s">
        <v>134</v>
      </c>
      <c r="AS335" t="s">
        <v>134</v>
      </c>
      <c r="AT335" t="s">
        <v>134</v>
      </c>
      <c r="AU335" t="s">
        <v>134</v>
      </c>
      <c r="AV335" t="s">
        <v>134</v>
      </c>
      <c r="AW335" t="s">
        <v>134</v>
      </c>
      <c r="AX335" t="s">
        <v>134</v>
      </c>
      <c r="AY335" t="s">
        <v>134</v>
      </c>
      <c r="AZ335" t="s">
        <v>134</v>
      </c>
      <c r="BA335" t="s">
        <v>134</v>
      </c>
      <c r="BB335" t="s">
        <v>134</v>
      </c>
      <c r="BC335" t="s">
        <v>134</v>
      </c>
      <c r="BD335" t="s">
        <v>134</v>
      </c>
      <c r="BE335" t="s">
        <v>134</v>
      </c>
      <c r="BF335">
        <v>-11.739699999999999</v>
      </c>
      <c r="BG335">
        <v>-26.773599999999998</v>
      </c>
      <c r="BH335">
        <v>-29.034800000000001</v>
      </c>
      <c r="BI335">
        <v>-36.171100000000003</v>
      </c>
      <c r="BJ335">
        <v>-36.236899999999999</v>
      </c>
      <c r="BK335" t="s">
        <v>134</v>
      </c>
      <c r="BL335" t="s">
        <v>134</v>
      </c>
      <c r="BM335" t="s">
        <v>134</v>
      </c>
      <c r="BN335" t="s">
        <v>134</v>
      </c>
      <c r="BO335" t="s">
        <v>134</v>
      </c>
      <c r="BP335" t="s">
        <v>134</v>
      </c>
      <c r="BQ335" t="s">
        <v>134</v>
      </c>
      <c r="BR335" t="s">
        <v>134</v>
      </c>
      <c r="BS335" t="s">
        <v>134</v>
      </c>
      <c r="BT335" t="s">
        <v>134</v>
      </c>
      <c r="BU335" t="s">
        <v>134</v>
      </c>
      <c r="BV335" t="s">
        <v>134</v>
      </c>
      <c r="BW335" t="s">
        <v>134</v>
      </c>
      <c r="BX335" t="s">
        <v>134</v>
      </c>
      <c r="BY335">
        <v>4154.2830000000004</v>
      </c>
      <c r="BZ335">
        <v>1930.9949999999999</v>
      </c>
      <c r="CA335">
        <v>2223.288</v>
      </c>
      <c r="CB335">
        <v>0.50790000000000002</v>
      </c>
      <c r="CC335">
        <v>-6.9199999999999998E-2</v>
      </c>
      <c r="CD335">
        <v>0.56530000000000002</v>
      </c>
      <c r="CE335">
        <v>-7.6999999999999999E-2</v>
      </c>
      <c r="CF335" t="s">
        <v>134</v>
      </c>
      <c r="CG335">
        <v>52.224200000000003</v>
      </c>
      <c r="CH335">
        <v>13.2933</v>
      </c>
      <c r="CI335">
        <v>10.648300000000001</v>
      </c>
      <c r="CJ335">
        <v>7.0072999999999999</v>
      </c>
      <c r="CK335">
        <v>24.838899999999999</v>
      </c>
      <c r="CL335">
        <v>19.896699999999999</v>
      </c>
      <c r="CM335">
        <v>13.093299999999999</v>
      </c>
      <c r="CN335">
        <v>-3.3849999999999998</v>
      </c>
      <c r="CO335">
        <v>-3.5036</v>
      </c>
      <c r="CP335">
        <v>1952.5429999999999</v>
      </c>
      <c r="CQ335" t="s">
        <v>134</v>
      </c>
      <c r="CR335">
        <v>1747.6610000000001</v>
      </c>
      <c r="CS335">
        <v>0.37430000000000002</v>
      </c>
      <c r="CT335">
        <v>1.4875</v>
      </c>
      <c r="CU335">
        <v>0.64019999999999999</v>
      </c>
      <c r="CV335">
        <v>11.879799999999999</v>
      </c>
      <c r="CW335">
        <v>16.918099999999999</v>
      </c>
      <c r="CX335">
        <v>21.5746</v>
      </c>
      <c r="CY335">
        <v>3.5968</v>
      </c>
      <c r="CZ335">
        <v>101.4778</v>
      </c>
      <c r="DA335" t="s">
        <v>134</v>
      </c>
      <c r="DB335" t="s">
        <v>134</v>
      </c>
      <c r="DC335" t="s">
        <v>134</v>
      </c>
      <c r="DD335">
        <v>123.05240000000001</v>
      </c>
      <c r="DE335">
        <v>9123.7960000000003</v>
      </c>
      <c r="DF335" t="s">
        <v>134</v>
      </c>
      <c r="DG335" t="s">
        <v>134</v>
      </c>
      <c r="DH335" t="s">
        <v>134</v>
      </c>
      <c r="DI335" t="s">
        <v>134</v>
      </c>
    </row>
    <row r="336" spans="1:113" x14ac:dyDescent="0.3">
      <c r="E336" t="s">
        <v>6</v>
      </c>
      <c r="F336" t="s">
        <v>134</v>
      </c>
      <c r="G336" t="s">
        <v>134</v>
      </c>
      <c r="H336" t="s">
        <v>134</v>
      </c>
      <c r="I336" t="s">
        <v>134</v>
      </c>
      <c r="J336">
        <v>16.350100000000001</v>
      </c>
      <c r="K336">
        <v>14.7315</v>
      </c>
      <c r="L336">
        <v>12.905799999999999</v>
      </c>
      <c r="M336">
        <v>15.0732</v>
      </c>
      <c r="N336">
        <v>11.1919</v>
      </c>
      <c r="O336">
        <v>11.0344</v>
      </c>
      <c r="P336">
        <v>11.0344</v>
      </c>
      <c r="Q336">
        <v>25.7498</v>
      </c>
      <c r="R336" t="s">
        <v>134</v>
      </c>
      <c r="S336" t="s">
        <v>134</v>
      </c>
      <c r="T336">
        <v>20.909700000000001</v>
      </c>
      <c r="U336">
        <v>17.3871</v>
      </c>
      <c r="V336">
        <v>17.855599999999999</v>
      </c>
      <c r="W336">
        <v>18.108599999999999</v>
      </c>
      <c r="X336">
        <v>18.095199999999998</v>
      </c>
      <c r="Y336" t="s">
        <v>134</v>
      </c>
      <c r="Z336" t="s">
        <v>134</v>
      </c>
      <c r="AA336" t="s">
        <v>134</v>
      </c>
      <c r="AB336" t="s">
        <v>134</v>
      </c>
      <c r="AC336" t="s">
        <v>134</v>
      </c>
      <c r="AD336" t="s">
        <v>134</v>
      </c>
      <c r="AE336" t="s">
        <v>134</v>
      </c>
      <c r="AF336" t="s">
        <v>134</v>
      </c>
      <c r="AG336" t="s">
        <v>134</v>
      </c>
      <c r="AH336" t="s">
        <v>134</v>
      </c>
      <c r="AI336" t="s">
        <v>134</v>
      </c>
      <c r="AJ336" t="s">
        <v>134</v>
      </c>
      <c r="AK336" t="s">
        <v>134</v>
      </c>
      <c r="AL336" t="s">
        <v>134</v>
      </c>
      <c r="AM336">
        <v>16.694400000000002</v>
      </c>
      <c r="AN336">
        <v>19.119199999999999</v>
      </c>
      <c r="AO336">
        <v>21.0259</v>
      </c>
      <c r="AP336">
        <v>20.781700000000001</v>
      </c>
      <c r="AQ336">
        <v>19.445599999999999</v>
      </c>
      <c r="AR336" t="s">
        <v>134</v>
      </c>
      <c r="AS336" t="s">
        <v>134</v>
      </c>
      <c r="AT336" t="s">
        <v>134</v>
      </c>
      <c r="AU336" t="s">
        <v>134</v>
      </c>
      <c r="AV336" t="s">
        <v>134</v>
      </c>
      <c r="AW336" t="s">
        <v>134</v>
      </c>
      <c r="AX336" t="s">
        <v>134</v>
      </c>
      <c r="AY336" t="s">
        <v>134</v>
      </c>
      <c r="AZ336" t="s">
        <v>134</v>
      </c>
      <c r="BA336" t="s">
        <v>134</v>
      </c>
      <c r="BB336" t="s">
        <v>134</v>
      </c>
      <c r="BC336" t="s">
        <v>134</v>
      </c>
      <c r="BD336" t="s">
        <v>134</v>
      </c>
      <c r="BE336" t="s">
        <v>134</v>
      </c>
      <c r="BF336">
        <v>1.3841000000000001</v>
      </c>
      <c r="BG336">
        <v>21.3291</v>
      </c>
      <c r="BH336">
        <v>22.133199999999999</v>
      </c>
      <c r="BI336">
        <v>35.192500000000003</v>
      </c>
      <c r="BJ336">
        <v>35.519100000000002</v>
      </c>
      <c r="BK336" t="s">
        <v>134</v>
      </c>
      <c r="BL336" t="s">
        <v>134</v>
      </c>
      <c r="BM336" t="s">
        <v>134</v>
      </c>
      <c r="BN336" t="s">
        <v>134</v>
      </c>
      <c r="BO336" t="s">
        <v>134</v>
      </c>
      <c r="BP336" t="s">
        <v>134</v>
      </c>
      <c r="BQ336" t="s">
        <v>134</v>
      </c>
      <c r="BR336" t="s">
        <v>134</v>
      </c>
      <c r="BS336" t="s">
        <v>134</v>
      </c>
      <c r="BT336" t="s">
        <v>134</v>
      </c>
      <c r="BU336" t="s">
        <v>134</v>
      </c>
      <c r="BV336" t="s">
        <v>134</v>
      </c>
      <c r="BW336" t="s">
        <v>134</v>
      </c>
      <c r="BX336" t="s">
        <v>134</v>
      </c>
      <c r="BY336" t="s">
        <v>134</v>
      </c>
      <c r="BZ336" t="s">
        <v>134</v>
      </c>
      <c r="CA336" t="s">
        <v>134</v>
      </c>
      <c r="CB336" t="s">
        <v>134</v>
      </c>
      <c r="CC336" t="s">
        <v>134</v>
      </c>
      <c r="CD336" t="s">
        <v>134</v>
      </c>
      <c r="CE336" t="s">
        <v>134</v>
      </c>
      <c r="CF336" t="s">
        <v>134</v>
      </c>
      <c r="CG336" t="s">
        <v>134</v>
      </c>
      <c r="CH336" t="s">
        <v>134</v>
      </c>
      <c r="CI336" t="s">
        <v>134</v>
      </c>
      <c r="CJ336" t="s">
        <v>134</v>
      </c>
      <c r="CK336" t="s">
        <v>134</v>
      </c>
      <c r="CL336" t="s">
        <v>134</v>
      </c>
      <c r="CM336" t="s">
        <v>134</v>
      </c>
      <c r="CN336" t="s">
        <v>134</v>
      </c>
      <c r="CO336" t="s">
        <v>134</v>
      </c>
      <c r="CP336">
        <v>2369.0030000000002</v>
      </c>
      <c r="CQ336" t="s">
        <v>134</v>
      </c>
      <c r="CR336">
        <v>2134.4749999999999</v>
      </c>
      <c r="CS336" t="s">
        <v>134</v>
      </c>
      <c r="CT336" t="s">
        <v>134</v>
      </c>
      <c r="CU336" t="s">
        <v>134</v>
      </c>
      <c r="CV336" t="s">
        <v>134</v>
      </c>
      <c r="CW336" t="s">
        <v>134</v>
      </c>
      <c r="CX336" t="s">
        <v>134</v>
      </c>
      <c r="CY336" t="s">
        <v>134</v>
      </c>
      <c r="CZ336" t="s">
        <v>134</v>
      </c>
      <c r="DA336" t="s">
        <v>134</v>
      </c>
      <c r="DB336" t="s">
        <v>134</v>
      </c>
      <c r="DC336" t="s">
        <v>134</v>
      </c>
      <c r="DD336" t="s">
        <v>134</v>
      </c>
      <c r="DE336" t="s">
        <v>134</v>
      </c>
      <c r="DF336" t="s">
        <v>134</v>
      </c>
      <c r="DG336" t="s">
        <v>134</v>
      </c>
      <c r="DH336" t="s">
        <v>134</v>
      </c>
      <c r="DI336" t="s">
        <v>134</v>
      </c>
    </row>
    <row r="337" spans="4:113" x14ac:dyDescent="0.3">
      <c r="E337" t="s">
        <v>7</v>
      </c>
      <c r="F337">
        <v>36.005099999999999</v>
      </c>
      <c r="G337">
        <v>18.832000000000001</v>
      </c>
      <c r="H337" t="s">
        <v>134</v>
      </c>
      <c r="I337">
        <v>27.174099999999999</v>
      </c>
      <c r="J337">
        <v>14.004899999999999</v>
      </c>
      <c r="K337">
        <v>12.3659</v>
      </c>
      <c r="L337">
        <v>12.085100000000001</v>
      </c>
      <c r="M337">
        <v>13.4413</v>
      </c>
      <c r="N337">
        <v>9.1262000000000008</v>
      </c>
      <c r="O337">
        <v>8.9972999999999992</v>
      </c>
      <c r="P337">
        <v>8.9972999999999992</v>
      </c>
      <c r="Q337">
        <v>32.103499999999997</v>
      </c>
      <c r="R337" t="s">
        <v>134</v>
      </c>
      <c r="S337" t="s">
        <v>134</v>
      </c>
      <c r="T337">
        <v>14.317</v>
      </c>
      <c r="U337">
        <v>11.0236</v>
      </c>
      <c r="V337">
        <v>13.9465</v>
      </c>
      <c r="W337">
        <v>23.954000000000001</v>
      </c>
      <c r="X337">
        <v>23.188400000000001</v>
      </c>
      <c r="Y337" t="s">
        <v>134</v>
      </c>
      <c r="Z337">
        <v>-20.807400000000001</v>
      </c>
      <c r="AA337">
        <v>24.925899999999999</v>
      </c>
      <c r="AB337">
        <v>-6.6044999999999998</v>
      </c>
      <c r="AC337">
        <v>5.4074999999999998</v>
      </c>
      <c r="AD337">
        <v>-40.443199999999997</v>
      </c>
      <c r="AE337">
        <v>44.627099999999999</v>
      </c>
      <c r="AF337" t="s">
        <v>134</v>
      </c>
      <c r="AG337">
        <v>-39.701099999999997</v>
      </c>
      <c r="AH337">
        <v>-36.456299999999999</v>
      </c>
      <c r="AI337">
        <v>31.653099999999998</v>
      </c>
      <c r="AJ337">
        <v>13.020300000000001</v>
      </c>
      <c r="AK337">
        <v>34.090200000000003</v>
      </c>
      <c r="AL337" t="s">
        <v>134</v>
      </c>
      <c r="AM337">
        <v>15.22</v>
      </c>
      <c r="AN337">
        <v>15.062200000000001</v>
      </c>
      <c r="AO337">
        <v>16.916899999999998</v>
      </c>
      <c r="AP337">
        <v>16.558800000000002</v>
      </c>
      <c r="AQ337">
        <v>14.8698</v>
      </c>
      <c r="AR337" t="s">
        <v>134</v>
      </c>
      <c r="AS337" t="s">
        <v>134</v>
      </c>
      <c r="AT337" t="s">
        <v>134</v>
      </c>
      <c r="AU337" t="s">
        <v>134</v>
      </c>
      <c r="AV337" t="s">
        <v>134</v>
      </c>
      <c r="AW337" t="s">
        <v>134</v>
      </c>
      <c r="AX337" t="s">
        <v>134</v>
      </c>
      <c r="AY337" t="s">
        <v>134</v>
      </c>
      <c r="AZ337" t="s">
        <v>134</v>
      </c>
      <c r="BA337" t="s">
        <v>134</v>
      </c>
      <c r="BB337" t="s">
        <v>134</v>
      </c>
      <c r="BC337" t="s">
        <v>134</v>
      </c>
      <c r="BD337" t="s">
        <v>134</v>
      </c>
      <c r="BE337" t="s">
        <v>134</v>
      </c>
      <c r="BF337">
        <v>-15.5936</v>
      </c>
      <c r="BG337">
        <v>-27.700800000000001</v>
      </c>
      <c r="BH337">
        <v>-29.147300000000001</v>
      </c>
      <c r="BI337">
        <v>-31.1767</v>
      </c>
      <c r="BJ337">
        <v>-31.451599999999999</v>
      </c>
      <c r="BK337" t="s">
        <v>134</v>
      </c>
      <c r="BL337" t="s">
        <v>134</v>
      </c>
      <c r="BM337" t="s">
        <v>134</v>
      </c>
      <c r="BN337" t="s">
        <v>134</v>
      </c>
      <c r="BO337" t="s">
        <v>134</v>
      </c>
      <c r="BP337" t="s">
        <v>134</v>
      </c>
      <c r="BQ337" t="s">
        <v>134</v>
      </c>
      <c r="BR337" t="s">
        <v>134</v>
      </c>
      <c r="BS337" t="s">
        <v>134</v>
      </c>
      <c r="BT337" t="s">
        <v>134</v>
      </c>
      <c r="BU337" t="s">
        <v>134</v>
      </c>
      <c r="BV337" t="s">
        <v>134</v>
      </c>
      <c r="BW337" t="s">
        <v>134</v>
      </c>
      <c r="BX337" t="s">
        <v>134</v>
      </c>
      <c r="BY337">
        <v>3341.7</v>
      </c>
      <c r="BZ337">
        <v>1654.3</v>
      </c>
      <c r="CA337">
        <v>1687.4</v>
      </c>
      <c r="CB337">
        <v>0.3841</v>
      </c>
      <c r="CC337">
        <v>-0.12479999999999999</v>
      </c>
      <c r="CD337">
        <v>0.42530000000000001</v>
      </c>
      <c r="CE337">
        <v>-0.13819999999999999</v>
      </c>
      <c r="CF337" t="s">
        <v>134</v>
      </c>
      <c r="CG337">
        <v>58.387700000000002</v>
      </c>
      <c r="CH337">
        <v>9.1784999999999997</v>
      </c>
      <c r="CI337">
        <v>7.7667000000000002</v>
      </c>
      <c r="CJ337">
        <v>5.3992000000000004</v>
      </c>
      <c r="CK337">
        <v>18.1769</v>
      </c>
      <c r="CL337">
        <v>15.3811</v>
      </c>
      <c r="CM337">
        <v>10.692500000000001</v>
      </c>
      <c r="CN337">
        <v>-5.9044999999999996</v>
      </c>
      <c r="CO337">
        <v>-6.2750000000000004</v>
      </c>
      <c r="CP337">
        <v>1712.771</v>
      </c>
      <c r="CQ337" t="s">
        <v>134</v>
      </c>
      <c r="CR337">
        <v>1512.3340000000001</v>
      </c>
      <c r="CS337">
        <v>0.40189999999999998</v>
      </c>
      <c r="CT337">
        <v>1.6604999999999999</v>
      </c>
      <c r="CU337">
        <v>0.56230000000000002</v>
      </c>
      <c r="CV337">
        <v>15.9786</v>
      </c>
      <c r="CW337">
        <v>28.605699999999999</v>
      </c>
      <c r="CX337">
        <v>12.7597</v>
      </c>
      <c r="CY337">
        <v>3.6053999999999999</v>
      </c>
      <c r="CZ337">
        <v>101.23609999999999</v>
      </c>
      <c r="DA337" t="s">
        <v>134</v>
      </c>
      <c r="DB337" t="s">
        <v>134</v>
      </c>
      <c r="DC337" t="s">
        <v>134</v>
      </c>
      <c r="DD337">
        <v>113.9958</v>
      </c>
      <c r="DE337">
        <v>9947.1</v>
      </c>
      <c r="DF337">
        <v>3565.6</v>
      </c>
      <c r="DG337">
        <v>1287.8</v>
      </c>
      <c r="DH337">
        <v>3979</v>
      </c>
      <c r="DI337">
        <v>1114.7</v>
      </c>
    </row>
    <row r="338" spans="4:113" x14ac:dyDescent="0.3">
      <c r="D338" t="s">
        <v>9</v>
      </c>
      <c r="E338" t="s">
        <v>3</v>
      </c>
      <c r="F338">
        <v>36.963299999999997</v>
      </c>
      <c r="G338">
        <v>22.0867</v>
      </c>
      <c r="H338">
        <v>31.464600000000001</v>
      </c>
      <c r="I338">
        <v>28.843</v>
      </c>
      <c r="J338">
        <v>17.353999999999999</v>
      </c>
      <c r="K338">
        <v>15.6906</v>
      </c>
      <c r="L338">
        <v>43.503</v>
      </c>
      <c r="M338">
        <v>16.884699999999999</v>
      </c>
      <c r="N338">
        <v>12.031599999999999</v>
      </c>
      <c r="O338">
        <v>11.838200000000001</v>
      </c>
      <c r="P338">
        <v>11.838200000000001</v>
      </c>
      <c r="Q338">
        <v>28.742899999999999</v>
      </c>
      <c r="R338">
        <v>75.653700000000001</v>
      </c>
      <c r="S338">
        <v>8.9992000000000001</v>
      </c>
      <c r="T338">
        <v>7.0296000000000003</v>
      </c>
      <c r="U338">
        <v>22.117100000000001</v>
      </c>
      <c r="V338">
        <v>22.2639</v>
      </c>
      <c r="W338">
        <v>26.389399999999998</v>
      </c>
      <c r="X338">
        <v>26.209199999999999</v>
      </c>
      <c r="Y338">
        <v>240</v>
      </c>
      <c r="Z338">
        <v>42.811900000000001</v>
      </c>
      <c r="AA338">
        <v>-6.9276</v>
      </c>
      <c r="AB338">
        <v>0.24299999999999999</v>
      </c>
      <c r="AC338">
        <v>9.7009000000000007</v>
      </c>
      <c r="AD338">
        <v>-16.131399999999999</v>
      </c>
      <c r="AE338">
        <v>12.0892</v>
      </c>
      <c r="AF338">
        <v>18.5533</v>
      </c>
      <c r="AG338">
        <v>30.609000000000002</v>
      </c>
      <c r="AH338">
        <v>-20.278099999999998</v>
      </c>
      <c r="AI338">
        <v>14.834899999999999</v>
      </c>
      <c r="AJ338">
        <v>8.1502999999999997</v>
      </c>
      <c r="AK338">
        <v>14.890700000000001</v>
      </c>
      <c r="AL338">
        <v>28.0991</v>
      </c>
      <c r="AM338">
        <v>14.3239</v>
      </c>
      <c r="AN338">
        <v>20.3582</v>
      </c>
      <c r="AO338">
        <v>22.3857</v>
      </c>
      <c r="AP338">
        <v>20.402200000000001</v>
      </c>
      <c r="AQ338">
        <v>19.2636</v>
      </c>
      <c r="AR338">
        <v>66.715100000000007</v>
      </c>
      <c r="AS338">
        <v>7.2469000000000001</v>
      </c>
      <c r="AT338">
        <v>9.0205000000000002</v>
      </c>
      <c r="AU338">
        <v>8.7129999999999992</v>
      </c>
      <c r="AV338">
        <v>8.9833999999999996</v>
      </c>
      <c r="AW338">
        <v>-1.9199999999999998E-2</v>
      </c>
      <c r="AX338">
        <v>22.6234</v>
      </c>
      <c r="AY338" t="s">
        <v>134</v>
      </c>
      <c r="AZ338">
        <v>0.23930000000000001</v>
      </c>
      <c r="BA338">
        <v>-13.745799999999999</v>
      </c>
      <c r="BB338">
        <v>17.6313</v>
      </c>
      <c r="BC338">
        <v>8.1577000000000002</v>
      </c>
      <c r="BD338">
        <v>16.8826</v>
      </c>
      <c r="BE338">
        <v>31.126799999999999</v>
      </c>
      <c r="BF338">
        <v>7.0296000000000003</v>
      </c>
      <c r="BG338">
        <v>22.117100000000001</v>
      </c>
      <c r="BH338">
        <v>22.2639</v>
      </c>
      <c r="BI338">
        <v>26.389399999999998</v>
      </c>
      <c r="BJ338">
        <v>26.209199999999999</v>
      </c>
      <c r="BK338">
        <v>240</v>
      </c>
      <c r="BL338">
        <v>42.811900000000001</v>
      </c>
      <c r="BM338">
        <v>-6.9276</v>
      </c>
      <c r="BN338">
        <v>0.24299999999999999</v>
      </c>
      <c r="BO338">
        <v>9.7009000000000007</v>
      </c>
      <c r="BP338">
        <v>-16.131399999999999</v>
      </c>
      <c r="BQ338">
        <v>12.0892</v>
      </c>
      <c r="BR338">
        <v>18.5533</v>
      </c>
      <c r="BS338">
        <v>30.609000000000002</v>
      </c>
      <c r="BT338">
        <v>-20.278099999999998</v>
      </c>
      <c r="BU338">
        <v>14.834899999999999</v>
      </c>
      <c r="BV338">
        <v>8.1502999999999997</v>
      </c>
      <c r="BW338">
        <v>14.890700000000001</v>
      </c>
      <c r="BX338">
        <v>28.0991</v>
      </c>
      <c r="BY338">
        <v>3446.3</v>
      </c>
      <c r="BZ338">
        <v>3442.2</v>
      </c>
      <c r="CA338">
        <v>4.0999999999999996</v>
      </c>
      <c r="CB338">
        <v>0.32440000000000002</v>
      </c>
      <c r="CC338">
        <v>-0.29330000000000001</v>
      </c>
      <c r="CD338">
        <v>0.35880000000000001</v>
      </c>
      <c r="CE338">
        <v>-0.32440000000000002</v>
      </c>
      <c r="CF338">
        <v>108.63800000000001</v>
      </c>
      <c r="CG338">
        <v>61.073099999999997</v>
      </c>
      <c r="CH338">
        <v>1.9400000000000001E-2</v>
      </c>
      <c r="CI338">
        <v>1.67E-2</v>
      </c>
      <c r="CJ338">
        <v>1.1900000000000001E-2</v>
      </c>
      <c r="CK338">
        <v>16.324200000000001</v>
      </c>
      <c r="CL338">
        <v>14.0334</v>
      </c>
      <c r="CM338">
        <v>10.037800000000001</v>
      </c>
      <c r="CN338">
        <v>-14.7601</v>
      </c>
      <c r="CO338">
        <v>-17.315999999999999</v>
      </c>
      <c r="CP338">
        <v>10624.8</v>
      </c>
      <c r="CQ338">
        <v>9617.4</v>
      </c>
      <c r="CR338">
        <v>9606.4</v>
      </c>
      <c r="CS338">
        <v>0.50470000000000004</v>
      </c>
      <c r="CT338">
        <v>1.6263999999999998</v>
      </c>
      <c r="CU338">
        <v>0.69889999999999997</v>
      </c>
      <c r="CV338">
        <v>18.520800000000001</v>
      </c>
      <c r="CW338">
        <v>28.531300000000002</v>
      </c>
      <c r="CX338">
        <v>12.827999999999999</v>
      </c>
      <c r="CY338">
        <v>3.1259000000000001</v>
      </c>
      <c r="CZ338">
        <v>117.0879</v>
      </c>
      <c r="DA338">
        <v>4.7557</v>
      </c>
      <c r="DB338">
        <v>76.959999999999994</v>
      </c>
      <c r="DC338">
        <v>52.9559</v>
      </c>
      <c r="DD338">
        <v>129.91589999999999</v>
      </c>
      <c r="DE338">
        <v>9258</v>
      </c>
      <c r="DF338">
        <v>3592.4</v>
      </c>
      <c r="DG338">
        <v>1372.1</v>
      </c>
      <c r="DH338">
        <v>3408.8</v>
      </c>
      <c r="DI338">
        <v>884.7</v>
      </c>
    </row>
    <row r="339" spans="4:113" x14ac:dyDescent="0.3">
      <c r="E339" t="s">
        <v>4</v>
      </c>
      <c r="F339" t="s">
        <v>134</v>
      </c>
      <c r="G339" t="s">
        <v>134</v>
      </c>
      <c r="H339" t="s">
        <v>134</v>
      </c>
      <c r="I339" t="s">
        <v>134</v>
      </c>
      <c r="J339">
        <v>18.261500000000002</v>
      </c>
      <c r="K339">
        <v>17.102799999999998</v>
      </c>
      <c r="L339">
        <v>36.004199999999997</v>
      </c>
      <c r="M339">
        <v>18.634499999999999</v>
      </c>
      <c r="N339">
        <v>13.557600000000001</v>
      </c>
      <c r="O339">
        <v>13.3504</v>
      </c>
      <c r="P339">
        <v>13.3504</v>
      </c>
      <c r="Q339">
        <v>27.245000000000001</v>
      </c>
      <c r="R339" t="s">
        <v>134</v>
      </c>
      <c r="S339" t="s">
        <v>134</v>
      </c>
      <c r="T339">
        <v>10.019500000000001</v>
      </c>
      <c r="U339">
        <v>22.006399999999999</v>
      </c>
      <c r="V339">
        <v>23.719000000000001</v>
      </c>
      <c r="W339">
        <v>28.365300000000001</v>
      </c>
      <c r="X339">
        <v>28.222999999999999</v>
      </c>
      <c r="Y339" t="s">
        <v>134</v>
      </c>
      <c r="Z339" t="s">
        <v>134</v>
      </c>
      <c r="AA339" t="s">
        <v>134</v>
      </c>
      <c r="AB339" t="s">
        <v>134</v>
      </c>
      <c r="AC339" t="s">
        <v>134</v>
      </c>
      <c r="AD339" t="s">
        <v>134</v>
      </c>
      <c r="AE339" t="s">
        <v>134</v>
      </c>
      <c r="AF339" t="s">
        <v>134</v>
      </c>
      <c r="AG339" t="s">
        <v>134</v>
      </c>
      <c r="AH339" t="s">
        <v>134</v>
      </c>
      <c r="AI339" t="s">
        <v>134</v>
      </c>
      <c r="AJ339" t="s">
        <v>134</v>
      </c>
      <c r="AK339" t="s">
        <v>134</v>
      </c>
      <c r="AL339" t="s">
        <v>134</v>
      </c>
      <c r="AM339">
        <v>17.656099999999999</v>
      </c>
      <c r="AN339">
        <v>25.264600000000002</v>
      </c>
      <c r="AO339">
        <v>26.667100000000001</v>
      </c>
      <c r="AP339">
        <v>26.392099999999999</v>
      </c>
      <c r="AQ339">
        <v>43.489199999999997</v>
      </c>
      <c r="AR339" t="s">
        <v>134</v>
      </c>
      <c r="AS339" t="s">
        <v>134</v>
      </c>
      <c r="AT339" t="s">
        <v>134</v>
      </c>
      <c r="AU339" t="s">
        <v>134</v>
      </c>
      <c r="AV339" t="s">
        <v>134</v>
      </c>
      <c r="AW339" t="s">
        <v>134</v>
      </c>
      <c r="AX339" t="s">
        <v>134</v>
      </c>
      <c r="AY339" t="s">
        <v>134</v>
      </c>
      <c r="AZ339" t="s">
        <v>134</v>
      </c>
      <c r="BA339" t="s">
        <v>134</v>
      </c>
      <c r="BB339" t="s">
        <v>134</v>
      </c>
      <c r="BC339" t="s">
        <v>134</v>
      </c>
      <c r="BD339" t="s">
        <v>134</v>
      </c>
      <c r="BE339" t="s">
        <v>134</v>
      </c>
      <c r="BF339">
        <v>45.666400000000003</v>
      </c>
      <c r="BG339">
        <v>89.939800000000005</v>
      </c>
      <c r="BH339">
        <v>101.4653</v>
      </c>
      <c r="BI339">
        <v>116.14360000000001</v>
      </c>
      <c r="BJ339">
        <v>116.4706</v>
      </c>
      <c r="BK339" t="s">
        <v>134</v>
      </c>
      <c r="BL339" t="s">
        <v>134</v>
      </c>
      <c r="BM339" t="s">
        <v>134</v>
      </c>
      <c r="BN339" t="s">
        <v>134</v>
      </c>
      <c r="BO339" t="s">
        <v>134</v>
      </c>
      <c r="BP339" t="s">
        <v>134</v>
      </c>
      <c r="BQ339" t="s">
        <v>134</v>
      </c>
      <c r="BR339" t="s">
        <v>134</v>
      </c>
      <c r="BS339" t="s">
        <v>134</v>
      </c>
      <c r="BT339" t="s">
        <v>134</v>
      </c>
      <c r="BU339" t="s">
        <v>134</v>
      </c>
      <c r="BV339" t="s">
        <v>134</v>
      </c>
      <c r="BW339" t="s">
        <v>134</v>
      </c>
      <c r="BX339" t="s">
        <v>134</v>
      </c>
      <c r="BY339" t="s">
        <v>134</v>
      </c>
      <c r="BZ339" t="s">
        <v>134</v>
      </c>
      <c r="CA339" t="s">
        <v>134</v>
      </c>
      <c r="CB339" t="s">
        <v>134</v>
      </c>
      <c r="CC339" t="s">
        <v>134</v>
      </c>
      <c r="CD339" t="s">
        <v>134</v>
      </c>
      <c r="CE339" t="s">
        <v>134</v>
      </c>
      <c r="CF339">
        <v>73.799599999999998</v>
      </c>
      <c r="CG339" t="s">
        <v>134</v>
      </c>
      <c r="CH339" t="s">
        <v>134</v>
      </c>
      <c r="CI339" t="s">
        <v>134</v>
      </c>
      <c r="CJ339" t="s">
        <v>134</v>
      </c>
      <c r="CK339" t="s">
        <v>134</v>
      </c>
      <c r="CL339" t="s">
        <v>134</v>
      </c>
      <c r="CM339" t="s">
        <v>134</v>
      </c>
      <c r="CN339" t="s">
        <v>134</v>
      </c>
      <c r="CO339" t="s">
        <v>134</v>
      </c>
      <c r="CP339">
        <v>3253.2339999999999</v>
      </c>
      <c r="CQ339" t="s">
        <v>134</v>
      </c>
      <c r="CR339">
        <v>3046.828</v>
      </c>
      <c r="CS339" t="s">
        <v>134</v>
      </c>
      <c r="CT339" t="s">
        <v>134</v>
      </c>
      <c r="CU339" t="s">
        <v>134</v>
      </c>
      <c r="CV339" t="s">
        <v>134</v>
      </c>
      <c r="CW339" t="s">
        <v>134</v>
      </c>
      <c r="CX339" t="s">
        <v>134</v>
      </c>
      <c r="CY339" t="s">
        <v>134</v>
      </c>
      <c r="CZ339" t="s">
        <v>134</v>
      </c>
      <c r="DA339" t="s">
        <v>134</v>
      </c>
      <c r="DB339" t="s">
        <v>134</v>
      </c>
      <c r="DC339" t="s">
        <v>134</v>
      </c>
      <c r="DD339" t="s">
        <v>134</v>
      </c>
      <c r="DE339" t="s">
        <v>134</v>
      </c>
      <c r="DF339" t="s">
        <v>134</v>
      </c>
      <c r="DG339" t="s">
        <v>134</v>
      </c>
      <c r="DH339" t="s">
        <v>134</v>
      </c>
      <c r="DI339" t="s">
        <v>134</v>
      </c>
    </row>
    <row r="340" spans="4:113" x14ac:dyDescent="0.3">
      <c r="E340" t="s">
        <v>5</v>
      </c>
      <c r="F340">
        <v>33.301099999999998</v>
      </c>
      <c r="G340">
        <v>19.009</v>
      </c>
      <c r="H340" t="s">
        <v>134</v>
      </c>
      <c r="I340">
        <v>26.888000000000002</v>
      </c>
      <c r="J340">
        <v>15.4817</v>
      </c>
      <c r="K340">
        <v>13.871</v>
      </c>
      <c r="L340">
        <v>57.020499999999998</v>
      </c>
      <c r="M340">
        <v>14.5891</v>
      </c>
      <c r="N340">
        <v>10.385300000000001</v>
      </c>
      <c r="O340">
        <v>10.1595</v>
      </c>
      <c r="P340">
        <v>10.1595</v>
      </c>
      <c r="Q340">
        <v>28.815000000000001</v>
      </c>
      <c r="R340" t="s">
        <v>134</v>
      </c>
      <c r="S340" t="s">
        <v>134</v>
      </c>
      <c r="T340">
        <v>3.806</v>
      </c>
      <c r="U340">
        <v>17.6294</v>
      </c>
      <c r="V340">
        <v>17.7468</v>
      </c>
      <c r="W340">
        <v>27.4468</v>
      </c>
      <c r="X340">
        <v>27.8689</v>
      </c>
      <c r="Y340" t="s">
        <v>134</v>
      </c>
      <c r="Z340">
        <v>-3.4935999999999998</v>
      </c>
      <c r="AA340">
        <v>-6.5027999999999997</v>
      </c>
      <c r="AB340">
        <v>-6.3781999999999996</v>
      </c>
      <c r="AC340">
        <v>14.047000000000001</v>
      </c>
      <c r="AD340">
        <v>-58.723700000000001</v>
      </c>
      <c r="AE340">
        <v>67.232600000000005</v>
      </c>
      <c r="AF340" t="s">
        <v>134</v>
      </c>
      <c r="AG340">
        <v>-27.227799999999998</v>
      </c>
      <c r="AH340">
        <v>-42.491199999999999</v>
      </c>
      <c r="AI340">
        <v>33.927399999999999</v>
      </c>
      <c r="AJ340">
        <v>18.7226</v>
      </c>
      <c r="AK340">
        <v>33.913699999999999</v>
      </c>
      <c r="AL340" t="s">
        <v>134</v>
      </c>
      <c r="AM340">
        <v>13.757</v>
      </c>
      <c r="AN340">
        <v>18.270700000000001</v>
      </c>
      <c r="AO340">
        <v>19.2607</v>
      </c>
      <c r="AP340">
        <v>16.064699999999998</v>
      </c>
      <c r="AQ340">
        <v>32.056199999999997</v>
      </c>
      <c r="AR340" t="s">
        <v>134</v>
      </c>
      <c r="AS340">
        <v>9.5639000000000003</v>
      </c>
      <c r="AT340">
        <v>15.974299999999999</v>
      </c>
      <c r="AU340">
        <v>1.4733000000000001</v>
      </c>
      <c r="AV340">
        <v>15.1782</v>
      </c>
      <c r="AW340">
        <v>-3.3782999999999999</v>
      </c>
      <c r="AX340">
        <v>15.954599999999999</v>
      </c>
      <c r="AY340" t="s">
        <v>134</v>
      </c>
      <c r="AZ340" t="s">
        <v>134</v>
      </c>
      <c r="BA340">
        <v>-9.9449000000000005</v>
      </c>
      <c r="BB340">
        <v>21.635100000000001</v>
      </c>
      <c r="BC340">
        <v>14.773400000000001</v>
      </c>
      <c r="BD340">
        <v>20.628399999999999</v>
      </c>
      <c r="BE340" t="s">
        <v>134</v>
      </c>
      <c r="BF340">
        <v>-15.1412</v>
      </c>
      <c r="BG340">
        <v>-27.8065</v>
      </c>
      <c r="BH340">
        <v>-31.252600000000001</v>
      </c>
      <c r="BI340">
        <v>-32.968600000000002</v>
      </c>
      <c r="BJ340">
        <v>-32.866399999999999</v>
      </c>
      <c r="BK340" t="s">
        <v>134</v>
      </c>
      <c r="BL340" t="s">
        <v>134</v>
      </c>
      <c r="BM340" t="s">
        <v>134</v>
      </c>
      <c r="BN340" t="s">
        <v>134</v>
      </c>
      <c r="BO340" t="s">
        <v>134</v>
      </c>
      <c r="BP340" t="s">
        <v>134</v>
      </c>
      <c r="BQ340" t="s">
        <v>134</v>
      </c>
      <c r="BR340" t="s">
        <v>134</v>
      </c>
      <c r="BS340" t="s">
        <v>134</v>
      </c>
      <c r="BT340" t="s">
        <v>134</v>
      </c>
      <c r="BU340" t="s">
        <v>134</v>
      </c>
      <c r="BV340" t="s">
        <v>134</v>
      </c>
      <c r="BW340" t="s">
        <v>134</v>
      </c>
      <c r="BX340" t="s">
        <v>134</v>
      </c>
      <c r="BY340">
        <v>2389.0770000000002</v>
      </c>
      <c r="BZ340">
        <v>1405.2270000000001</v>
      </c>
      <c r="CA340">
        <v>983.85</v>
      </c>
      <c r="CB340">
        <v>0.24990000000000001</v>
      </c>
      <c r="CC340">
        <v>-0.67110000000000003</v>
      </c>
      <c r="CD340">
        <v>0.2747</v>
      </c>
      <c r="CE340">
        <v>-0.73770000000000002</v>
      </c>
      <c r="CF340">
        <v>64.365799999999993</v>
      </c>
      <c r="CG340">
        <v>61.341799999999999</v>
      </c>
      <c r="CH340">
        <v>4.3922999999999996</v>
      </c>
      <c r="CI340">
        <v>3.9689999999999999</v>
      </c>
      <c r="CJ340">
        <v>2.7189000000000001</v>
      </c>
      <c r="CK340">
        <v>10.665900000000001</v>
      </c>
      <c r="CL340">
        <v>9.6379000000000001</v>
      </c>
      <c r="CM340">
        <v>6.6024000000000003</v>
      </c>
      <c r="CN340">
        <v>-28.643999999999998</v>
      </c>
      <c r="CO340">
        <v>-40.142400000000002</v>
      </c>
      <c r="CP340">
        <v>2296.7640000000001</v>
      </c>
      <c r="CQ340" t="s">
        <v>134</v>
      </c>
      <c r="CR340">
        <v>2057.8150000000001</v>
      </c>
      <c r="CS340">
        <v>0.69869999999999999</v>
      </c>
      <c r="CT340">
        <v>1.8157999999999999</v>
      </c>
      <c r="CU340">
        <v>0.95550000000000002</v>
      </c>
      <c r="CV340">
        <v>15.503500000000001</v>
      </c>
      <c r="CW340">
        <v>17.921099999999999</v>
      </c>
      <c r="CX340">
        <v>20.367000000000001</v>
      </c>
      <c r="CY340">
        <v>3.4756999999999998</v>
      </c>
      <c r="CZ340">
        <v>105.01390000000001</v>
      </c>
      <c r="DA340" t="s">
        <v>134</v>
      </c>
      <c r="DB340" t="s">
        <v>134</v>
      </c>
      <c r="DC340" t="s">
        <v>134</v>
      </c>
      <c r="DD340">
        <v>125.3809</v>
      </c>
      <c r="DE340">
        <v>8530.4950000000008</v>
      </c>
      <c r="DF340" t="s">
        <v>134</v>
      </c>
      <c r="DG340" t="s">
        <v>134</v>
      </c>
      <c r="DH340" t="s">
        <v>134</v>
      </c>
      <c r="DI340" t="s">
        <v>134</v>
      </c>
    </row>
    <row r="341" spans="4:113" x14ac:dyDescent="0.3">
      <c r="E341" t="s">
        <v>6</v>
      </c>
      <c r="F341" t="s">
        <v>134</v>
      </c>
      <c r="G341" t="s">
        <v>134</v>
      </c>
      <c r="H341" t="s">
        <v>134</v>
      </c>
      <c r="I341" t="s">
        <v>134</v>
      </c>
      <c r="J341">
        <v>18.9009</v>
      </c>
      <c r="K341">
        <v>17.311599999999999</v>
      </c>
      <c r="L341">
        <v>52.686</v>
      </c>
      <c r="M341">
        <v>18.0427</v>
      </c>
      <c r="N341">
        <v>12.899800000000001</v>
      </c>
      <c r="O341">
        <v>12.7241</v>
      </c>
      <c r="P341">
        <v>12.7241</v>
      </c>
      <c r="Q341">
        <v>28.504300000000001</v>
      </c>
      <c r="R341" t="s">
        <v>134</v>
      </c>
      <c r="S341" t="s">
        <v>134</v>
      </c>
      <c r="T341">
        <v>7.2938000000000001</v>
      </c>
      <c r="U341">
        <v>24.032599999999999</v>
      </c>
      <c r="V341">
        <v>26.085699999999999</v>
      </c>
      <c r="W341">
        <v>23.723099999999999</v>
      </c>
      <c r="X341">
        <v>23.3871</v>
      </c>
      <c r="Y341" t="s">
        <v>134</v>
      </c>
      <c r="Z341" t="s">
        <v>134</v>
      </c>
      <c r="AA341" t="s">
        <v>134</v>
      </c>
      <c r="AB341" t="s">
        <v>134</v>
      </c>
      <c r="AC341" t="s">
        <v>134</v>
      </c>
      <c r="AD341" t="s">
        <v>134</v>
      </c>
      <c r="AE341" t="s">
        <v>134</v>
      </c>
      <c r="AF341" t="s">
        <v>134</v>
      </c>
      <c r="AG341" t="s">
        <v>134</v>
      </c>
      <c r="AH341" t="s">
        <v>134</v>
      </c>
      <c r="AI341" t="s">
        <v>134</v>
      </c>
      <c r="AJ341" t="s">
        <v>134</v>
      </c>
      <c r="AK341" t="s">
        <v>134</v>
      </c>
      <c r="AL341" t="s">
        <v>134</v>
      </c>
      <c r="AM341">
        <v>13.710599999999999</v>
      </c>
      <c r="AN341">
        <v>24.133400000000002</v>
      </c>
      <c r="AO341">
        <v>25.905000000000001</v>
      </c>
      <c r="AP341">
        <v>23.258700000000001</v>
      </c>
      <c r="AQ341">
        <v>21.619900000000001</v>
      </c>
      <c r="AR341" t="s">
        <v>134</v>
      </c>
      <c r="AS341" t="s">
        <v>134</v>
      </c>
      <c r="AT341" t="s">
        <v>134</v>
      </c>
      <c r="AU341" t="s">
        <v>134</v>
      </c>
      <c r="AV341" t="s">
        <v>134</v>
      </c>
      <c r="AW341" t="s">
        <v>134</v>
      </c>
      <c r="AX341" t="s">
        <v>134</v>
      </c>
      <c r="AY341" t="s">
        <v>134</v>
      </c>
      <c r="AZ341" t="s">
        <v>134</v>
      </c>
      <c r="BA341" t="s">
        <v>134</v>
      </c>
      <c r="BB341" t="s">
        <v>134</v>
      </c>
      <c r="BC341" t="s">
        <v>134</v>
      </c>
      <c r="BD341" t="s">
        <v>134</v>
      </c>
      <c r="BE341" t="s">
        <v>134</v>
      </c>
      <c r="BF341">
        <v>7.0839999999999996</v>
      </c>
      <c r="BG341">
        <v>28.362100000000002</v>
      </c>
      <c r="BH341">
        <v>30.132300000000001</v>
      </c>
      <c r="BI341">
        <v>32.234099999999998</v>
      </c>
      <c r="BJ341">
        <v>31.958200000000001</v>
      </c>
      <c r="BK341" t="s">
        <v>134</v>
      </c>
      <c r="BL341" t="s">
        <v>134</v>
      </c>
      <c r="BM341" t="s">
        <v>134</v>
      </c>
      <c r="BN341" t="s">
        <v>134</v>
      </c>
      <c r="BO341" t="s">
        <v>134</v>
      </c>
      <c r="BP341" t="s">
        <v>134</v>
      </c>
      <c r="BQ341" t="s">
        <v>134</v>
      </c>
      <c r="BR341" t="s">
        <v>134</v>
      </c>
      <c r="BS341" t="s">
        <v>134</v>
      </c>
      <c r="BT341" t="s">
        <v>134</v>
      </c>
      <c r="BU341" t="s">
        <v>134</v>
      </c>
      <c r="BV341" t="s">
        <v>134</v>
      </c>
      <c r="BW341" t="s">
        <v>134</v>
      </c>
      <c r="BX341" t="s">
        <v>134</v>
      </c>
      <c r="BY341" t="s">
        <v>134</v>
      </c>
      <c r="BZ341" t="s">
        <v>134</v>
      </c>
      <c r="CA341" t="s">
        <v>134</v>
      </c>
      <c r="CB341" t="s">
        <v>134</v>
      </c>
      <c r="CC341" t="s">
        <v>134</v>
      </c>
      <c r="CD341" t="s">
        <v>134</v>
      </c>
      <c r="CE341" t="s">
        <v>134</v>
      </c>
      <c r="CF341">
        <v>52.669699999999999</v>
      </c>
      <c r="CG341" t="s">
        <v>134</v>
      </c>
      <c r="CH341" t="s">
        <v>134</v>
      </c>
      <c r="CI341" t="s">
        <v>134</v>
      </c>
      <c r="CJ341" t="s">
        <v>134</v>
      </c>
      <c r="CK341" t="s">
        <v>134</v>
      </c>
      <c r="CL341" t="s">
        <v>134</v>
      </c>
      <c r="CM341" t="s">
        <v>134</v>
      </c>
      <c r="CN341" t="s">
        <v>134</v>
      </c>
      <c r="CO341" t="s">
        <v>134</v>
      </c>
      <c r="CP341">
        <v>2938.3359999999998</v>
      </c>
      <c r="CQ341" t="s">
        <v>134</v>
      </c>
      <c r="CR341">
        <v>2691.2669999999998</v>
      </c>
      <c r="CS341" t="s">
        <v>134</v>
      </c>
      <c r="CT341" t="s">
        <v>134</v>
      </c>
      <c r="CU341" t="s">
        <v>134</v>
      </c>
      <c r="CV341" t="s">
        <v>134</v>
      </c>
      <c r="CW341" t="s">
        <v>134</v>
      </c>
      <c r="CX341" t="s">
        <v>134</v>
      </c>
      <c r="CY341" t="s">
        <v>134</v>
      </c>
      <c r="CZ341" t="s">
        <v>134</v>
      </c>
      <c r="DA341" t="s">
        <v>134</v>
      </c>
      <c r="DB341" t="s">
        <v>134</v>
      </c>
      <c r="DC341" t="s">
        <v>134</v>
      </c>
      <c r="DD341" t="s">
        <v>134</v>
      </c>
      <c r="DE341" t="s">
        <v>134</v>
      </c>
      <c r="DF341" t="s">
        <v>134</v>
      </c>
      <c r="DG341" t="s">
        <v>134</v>
      </c>
      <c r="DH341" t="s">
        <v>134</v>
      </c>
      <c r="DI341" t="s">
        <v>134</v>
      </c>
    </row>
    <row r="342" spans="4:113" x14ac:dyDescent="0.3">
      <c r="E342" t="s">
        <v>7</v>
      </c>
      <c r="F342">
        <v>36.506799999999998</v>
      </c>
      <c r="G342">
        <v>21.8139</v>
      </c>
      <c r="H342">
        <v>31.405000000000001</v>
      </c>
      <c r="I342">
        <v>28.505199999999999</v>
      </c>
      <c r="J342">
        <v>16.625800000000002</v>
      </c>
      <c r="K342">
        <v>14.124000000000001</v>
      </c>
      <c r="L342">
        <v>41.068300000000001</v>
      </c>
      <c r="M342">
        <v>15.725899999999999</v>
      </c>
      <c r="N342">
        <v>10.7851</v>
      </c>
      <c r="O342">
        <v>10.6264</v>
      </c>
      <c r="P342">
        <v>10.6264</v>
      </c>
      <c r="Q342">
        <v>31.418199999999999</v>
      </c>
      <c r="R342" t="s">
        <v>134</v>
      </c>
      <c r="S342" t="s">
        <v>134</v>
      </c>
      <c r="T342">
        <v>6.5248999999999997</v>
      </c>
      <c r="U342">
        <v>26.460100000000001</v>
      </c>
      <c r="V342">
        <v>21.669599999999999</v>
      </c>
      <c r="W342">
        <v>25.813199999999998</v>
      </c>
      <c r="X342">
        <v>25.882400000000001</v>
      </c>
      <c r="Y342" t="s">
        <v>134</v>
      </c>
      <c r="Z342">
        <v>42.811900000000001</v>
      </c>
      <c r="AA342">
        <v>-6.9276</v>
      </c>
      <c r="AB342">
        <v>0.24299999999999999</v>
      </c>
      <c r="AC342">
        <v>9.7009000000000007</v>
      </c>
      <c r="AD342">
        <v>-16.131399999999999</v>
      </c>
      <c r="AE342">
        <v>12.0892</v>
      </c>
      <c r="AF342">
        <v>18.5533</v>
      </c>
      <c r="AG342">
        <v>30.609000000000002</v>
      </c>
      <c r="AH342">
        <v>-20.278099999999998</v>
      </c>
      <c r="AI342">
        <v>14.834899999999999</v>
      </c>
      <c r="AJ342">
        <v>8.1502999999999997</v>
      </c>
      <c r="AK342">
        <v>14.890700000000001</v>
      </c>
      <c r="AL342" t="s">
        <v>134</v>
      </c>
      <c r="AM342">
        <v>11.755700000000001</v>
      </c>
      <c r="AN342">
        <v>22.4255</v>
      </c>
      <c r="AO342">
        <v>30.516500000000001</v>
      </c>
      <c r="AP342">
        <v>14.0906</v>
      </c>
      <c r="AQ342">
        <v>13.029299999999999</v>
      </c>
      <c r="AR342" t="s">
        <v>134</v>
      </c>
      <c r="AS342">
        <v>7.2469000000000001</v>
      </c>
      <c r="AT342">
        <v>9.0205000000000002</v>
      </c>
      <c r="AU342">
        <v>8.7129999999999992</v>
      </c>
      <c r="AV342">
        <v>8.9833999999999996</v>
      </c>
      <c r="AW342">
        <v>-1.9199999999999998E-2</v>
      </c>
      <c r="AX342">
        <v>22.6234</v>
      </c>
      <c r="AY342" t="s">
        <v>134</v>
      </c>
      <c r="AZ342">
        <v>0.23930000000000001</v>
      </c>
      <c r="BA342">
        <v>-13.745799999999999</v>
      </c>
      <c r="BB342">
        <v>17.6313</v>
      </c>
      <c r="BC342">
        <v>8.1577000000000002</v>
      </c>
      <c r="BD342">
        <v>16.8826</v>
      </c>
      <c r="BE342" t="s">
        <v>134</v>
      </c>
      <c r="BF342">
        <v>-14.765700000000001</v>
      </c>
      <c r="BG342">
        <v>-25.2959</v>
      </c>
      <c r="BH342">
        <v>-31.1023</v>
      </c>
      <c r="BI342">
        <v>-31.786799999999999</v>
      </c>
      <c r="BJ342">
        <v>-33.125</v>
      </c>
      <c r="BK342" t="s">
        <v>134</v>
      </c>
      <c r="BL342" t="s">
        <v>134</v>
      </c>
      <c r="BM342" t="s">
        <v>134</v>
      </c>
      <c r="BN342" t="s">
        <v>134</v>
      </c>
      <c r="BO342" t="s">
        <v>134</v>
      </c>
      <c r="BP342" t="s">
        <v>134</v>
      </c>
      <c r="BQ342" t="s">
        <v>134</v>
      </c>
      <c r="BR342" t="s">
        <v>134</v>
      </c>
      <c r="BS342" t="s">
        <v>134</v>
      </c>
      <c r="BT342" t="s">
        <v>134</v>
      </c>
      <c r="BU342" t="s">
        <v>134</v>
      </c>
      <c r="BV342" t="s">
        <v>134</v>
      </c>
      <c r="BW342" t="s">
        <v>134</v>
      </c>
      <c r="BX342" t="s">
        <v>134</v>
      </c>
      <c r="BY342">
        <v>3446.3</v>
      </c>
      <c r="BZ342">
        <v>3442.2</v>
      </c>
      <c r="CA342">
        <v>4.0999999999999996</v>
      </c>
      <c r="CB342">
        <v>0.3271</v>
      </c>
      <c r="CC342">
        <v>-0.29580000000000001</v>
      </c>
      <c r="CD342">
        <v>0.36</v>
      </c>
      <c r="CE342">
        <v>-0.32550000000000001</v>
      </c>
      <c r="CF342">
        <v>32.354500000000002</v>
      </c>
      <c r="CG342">
        <v>61.073099999999997</v>
      </c>
      <c r="CH342">
        <v>1.9400000000000001E-2</v>
      </c>
      <c r="CI342">
        <v>1.67E-2</v>
      </c>
      <c r="CJ342">
        <v>1.1900000000000001E-2</v>
      </c>
      <c r="CK342">
        <v>16.324200000000001</v>
      </c>
      <c r="CL342">
        <v>14.0334</v>
      </c>
      <c r="CM342">
        <v>10.037800000000001</v>
      </c>
      <c r="CN342">
        <v>-14.7601</v>
      </c>
      <c r="CO342">
        <v>-17.315999999999999</v>
      </c>
      <c r="CP342">
        <v>2165.9720000000002</v>
      </c>
      <c r="CQ342" t="s">
        <v>134</v>
      </c>
      <c r="CR342">
        <v>1840.05</v>
      </c>
      <c r="CS342">
        <v>0.50470000000000004</v>
      </c>
      <c r="CT342">
        <v>1.6263999999999998</v>
      </c>
      <c r="CU342">
        <v>0.69889999999999997</v>
      </c>
      <c r="CV342">
        <v>18.520800000000001</v>
      </c>
      <c r="CW342">
        <v>28.1066</v>
      </c>
      <c r="CX342">
        <v>13.0219</v>
      </c>
      <c r="CY342">
        <v>3.1396000000000002</v>
      </c>
      <c r="CZ342">
        <v>116.5744</v>
      </c>
      <c r="DA342">
        <v>4.7771999999999997</v>
      </c>
      <c r="DB342">
        <v>76.614599999999996</v>
      </c>
      <c r="DC342">
        <v>52.981700000000004</v>
      </c>
      <c r="DD342">
        <v>129.59630000000001</v>
      </c>
      <c r="DE342">
        <v>9258</v>
      </c>
      <c r="DF342">
        <v>3592.4</v>
      </c>
      <c r="DG342">
        <v>1372.1</v>
      </c>
      <c r="DH342">
        <v>3408.8</v>
      </c>
      <c r="DI342">
        <v>884.7</v>
      </c>
    </row>
    <row r="343" spans="4:113" x14ac:dyDescent="0.3">
      <c r="D343" t="s">
        <v>10</v>
      </c>
      <c r="E343" t="s">
        <v>3</v>
      </c>
      <c r="F343">
        <v>36.775500000000001</v>
      </c>
      <c r="G343">
        <v>22.88</v>
      </c>
      <c r="H343">
        <v>32.996400000000001</v>
      </c>
      <c r="I343">
        <v>30.145900000000001</v>
      </c>
      <c r="J343">
        <v>19.649000000000001</v>
      </c>
      <c r="K343">
        <v>18.118400000000001</v>
      </c>
      <c r="L343" t="s">
        <v>134</v>
      </c>
      <c r="M343">
        <v>19.469799999999999</v>
      </c>
      <c r="N343">
        <v>13.7285</v>
      </c>
      <c r="O343">
        <v>13.5357</v>
      </c>
      <c r="P343">
        <v>13.5357</v>
      </c>
      <c r="Q343">
        <v>29.4011</v>
      </c>
      <c r="R343">
        <v>56.628700000000002</v>
      </c>
      <c r="S343">
        <v>15.95</v>
      </c>
      <c r="T343">
        <v>-1.7936999999999999</v>
      </c>
      <c r="U343">
        <v>10.261799999999999</v>
      </c>
      <c r="V343">
        <v>11.7562</v>
      </c>
      <c r="W343">
        <v>12.243499999999999</v>
      </c>
      <c r="X343">
        <v>12.2966</v>
      </c>
      <c r="Y343">
        <v>-17.647100000000002</v>
      </c>
      <c r="Z343">
        <v>-2.0230999999999999</v>
      </c>
      <c r="AA343">
        <v>35.424999999999997</v>
      </c>
      <c r="AB343">
        <v>-0.57630000000000003</v>
      </c>
      <c r="AC343">
        <v>6.4577999999999998</v>
      </c>
      <c r="AD343">
        <v>58.044499999999999</v>
      </c>
      <c r="AE343">
        <v>46.153100000000002</v>
      </c>
      <c r="AF343">
        <v>4.1193</v>
      </c>
      <c r="AG343">
        <v>-30.555199999999999</v>
      </c>
      <c r="AH343">
        <v>-30.555199999999999</v>
      </c>
      <c r="AI343">
        <v>15.1274</v>
      </c>
      <c r="AJ343">
        <v>8.5146999999999995</v>
      </c>
      <c r="AK343">
        <v>15.2828</v>
      </c>
      <c r="AL343">
        <v>-26.4742</v>
      </c>
      <c r="AM343">
        <v>8.1930999999999994</v>
      </c>
      <c r="AN343">
        <v>18.927700000000002</v>
      </c>
      <c r="AO343">
        <v>20.847000000000001</v>
      </c>
      <c r="AP343">
        <v>20.2881</v>
      </c>
      <c r="AQ343">
        <v>19.251200000000001</v>
      </c>
      <c r="AR343">
        <v>58.4893</v>
      </c>
      <c r="AS343">
        <v>3.4681000000000002</v>
      </c>
      <c r="AT343">
        <v>11.719200000000001</v>
      </c>
      <c r="AU343">
        <v>7.3067000000000002</v>
      </c>
      <c r="AV343">
        <v>6.5829000000000004</v>
      </c>
      <c r="AW343">
        <v>-2.8425000000000002</v>
      </c>
      <c r="AX343">
        <v>23.4499</v>
      </c>
      <c r="AY343" t="s">
        <v>134</v>
      </c>
      <c r="AZ343">
        <v>-8.4631000000000007</v>
      </c>
      <c r="BA343">
        <v>-20.715699999999998</v>
      </c>
      <c r="BB343">
        <v>14.901299999999999</v>
      </c>
      <c r="BC343">
        <v>5.9574999999999996</v>
      </c>
      <c r="BD343">
        <v>14.162100000000001</v>
      </c>
      <c r="BE343">
        <v>10.3187</v>
      </c>
      <c r="BF343">
        <v>-1.7936999999999999</v>
      </c>
      <c r="BG343">
        <v>10.261799999999999</v>
      </c>
      <c r="BH343">
        <v>11.7562</v>
      </c>
      <c r="BI343">
        <v>12.243499999999999</v>
      </c>
      <c r="BJ343">
        <v>12.2966</v>
      </c>
      <c r="BK343">
        <v>-17.647100000000002</v>
      </c>
      <c r="BL343">
        <v>-2.0230999999999999</v>
      </c>
      <c r="BM343">
        <v>35.424999999999997</v>
      </c>
      <c r="BN343">
        <v>-0.57630000000000003</v>
      </c>
      <c r="BO343">
        <v>6.4577999999999998</v>
      </c>
      <c r="BP343">
        <v>58.044499999999999</v>
      </c>
      <c r="BQ343">
        <v>46.153100000000002</v>
      </c>
      <c r="BR343">
        <v>4.1193</v>
      </c>
      <c r="BS343">
        <v>-30.555199999999999</v>
      </c>
      <c r="BT343">
        <v>-30.555199999999999</v>
      </c>
      <c r="BU343">
        <v>15.1274</v>
      </c>
      <c r="BV343">
        <v>8.5146999999999995</v>
      </c>
      <c r="BW343">
        <v>15.2828</v>
      </c>
      <c r="BX343">
        <v>-26.4742</v>
      </c>
      <c r="BY343">
        <v>2388</v>
      </c>
      <c r="BZ343">
        <v>2388</v>
      </c>
      <c r="CA343">
        <v>0</v>
      </c>
      <c r="CB343">
        <v>0.20599999999999999</v>
      </c>
      <c r="CC343">
        <v>-0.44750000000000001</v>
      </c>
      <c r="CD343">
        <v>0.22339999999999999</v>
      </c>
      <c r="CE343">
        <v>-0.48530000000000001</v>
      </c>
      <c r="CF343">
        <v>130.99100000000001</v>
      </c>
      <c r="CG343">
        <v>64.610799999999998</v>
      </c>
      <c r="CH343">
        <v>0</v>
      </c>
      <c r="CI343">
        <v>0</v>
      </c>
      <c r="CJ343">
        <v>0</v>
      </c>
      <c r="CK343">
        <v>10.2094</v>
      </c>
      <c r="CL343">
        <v>9.2636000000000003</v>
      </c>
      <c r="CM343">
        <v>6.6341999999999999</v>
      </c>
      <c r="CN343">
        <v>-22.178899999999999</v>
      </c>
      <c r="CO343">
        <v>-28.4999</v>
      </c>
      <c r="CP343">
        <v>11592.7</v>
      </c>
      <c r="CQ343">
        <v>10721.8</v>
      </c>
      <c r="CR343">
        <v>10689.7</v>
      </c>
      <c r="CS343">
        <v>0.61960000000000004</v>
      </c>
      <c r="CT343">
        <v>1.9481000000000002</v>
      </c>
      <c r="CU343">
        <v>0.8216</v>
      </c>
      <c r="CV343">
        <v>22.1097</v>
      </c>
      <c r="CW343">
        <v>23.6431</v>
      </c>
      <c r="CX343">
        <v>15.437900000000001</v>
      </c>
      <c r="CY343">
        <v>2.6503999999999999</v>
      </c>
      <c r="CZ343">
        <v>137.71459999999999</v>
      </c>
      <c r="DA343">
        <v>4.7091000000000003</v>
      </c>
      <c r="DB343">
        <v>77.508700000000005</v>
      </c>
      <c r="DC343">
        <v>75.643799999999999</v>
      </c>
      <c r="DD343">
        <v>153.1525</v>
      </c>
      <c r="DE343">
        <v>12534.4</v>
      </c>
      <c r="DF343">
        <v>5690.3</v>
      </c>
      <c r="DG343">
        <v>1593.5</v>
      </c>
      <c r="DH343">
        <v>4260.8999999999996</v>
      </c>
      <c r="DI343">
        <v>989.7</v>
      </c>
    </row>
    <row r="344" spans="4:113" x14ac:dyDescent="0.3">
      <c r="E344" t="s">
        <v>4</v>
      </c>
      <c r="F344" t="s">
        <v>134</v>
      </c>
      <c r="G344" t="s">
        <v>134</v>
      </c>
      <c r="H344" t="s">
        <v>134</v>
      </c>
      <c r="I344" t="s">
        <v>134</v>
      </c>
      <c r="J344">
        <v>21.3704</v>
      </c>
      <c r="K344">
        <v>20.1829</v>
      </c>
      <c r="L344">
        <v>3344.0994000000001</v>
      </c>
      <c r="M344">
        <v>21.4498</v>
      </c>
      <c r="N344">
        <v>15.309900000000001</v>
      </c>
      <c r="O344">
        <v>15.0922</v>
      </c>
      <c r="P344">
        <v>15.0922</v>
      </c>
      <c r="Q344">
        <v>28.5688</v>
      </c>
      <c r="R344" t="s">
        <v>134</v>
      </c>
      <c r="S344" t="s">
        <v>134</v>
      </c>
      <c r="T344">
        <v>9.2100000000000001E-2</v>
      </c>
      <c r="U344">
        <v>17.5426</v>
      </c>
      <c r="V344">
        <v>17.986799999999999</v>
      </c>
      <c r="W344">
        <v>17.451599999999999</v>
      </c>
      <c r="X344">
        <v>17.448899999999998</v>
      </c>
      <c r="Y344" t="s">
        <v>134</v>
      </c>
      <c r="Z344" t="s">
        <v>134</v>
      </c>
      <c r="AA344" t="s">
        <v>134</v>
      </c>
      <c r="AB344" t="s">
        <v>134</v>
      </c>
      <c r="AC344" t="s">
        <v>134</v>
      </c>
      <c r="AD344" t="s">
        <v>134</v>
      </c>
      <c r="AE344" t="s">
        <v>134</v>
      </c>
      <c r="AF344" t="s">
        <v>134</v>
      </c>
      <c r="AG344" t="s">
        <v>134</v>
      </c>
      <c r="AH344" t="s">
        <v>134</v>
      </c>
      <c r="AI344" t="s">
        <v>134</v>
      </c>
      <c r="AJ344" t="s">
        <v>134</v>
      </c>
      <c r="AK344" t="s">
        <v>134</v>
      </c>
      <c r="AL344" t="s">
        <v>134</v>
      </c>
      <c r="AM344">
        <v>10.783899999999999</v>
      </c>
      <c r="AN344">
        <v>24.478999999999999</v>
      </c>
      <c r="AO344">
        <v>26.687000000000001</v>
      </c>
      <c r="AP344">
        <v>25.4483</v>
      </c>
      <c r="AQ344">
        <v>23.760200000000001</v>
      </c>
      <c r="AR344" t="s">
        <v>134</v>
      </c>
      <c r="AS344" t="s">
        <v>134</v>
      </c>
      <c r="AT344" t="s">
        <v>134</v>
      </c>
      <c r="AU344" t="s">
        <v>134</v>
      </c>
      <c r="AV344" t="s">
        <v>134</v>
      </c>
      <c r="AW344" t="s">
        <v>134</v>
      </c>
      <c r="AX344" t="s">
        <v>134</v>
      </c>
      <c r="AY344" t="s">
        <v>134</v>
      </c>
      <c r="AZ344" t="s">
        <v>134</v>
      </c>
      <c r="BA344" t="s">
        <v>134</v>
      </c>
      <c r="BB344" t="s">
        <v>134</v>
      </c>
      <c r="BC344" t="s">
        <v>134</v>
      </c>
      <c r="BD344" t="s">
        <v>134</v>
      </c>
      <c r="BE344" t="s">
        <v>134</v>
      </c>
      <c r="BF344">
        <v>36.034300000000002</v>
      </c>
      <c r="BG344">
        <v>74.376300000000001</v>
      </c>
      <c r="BH344">
        <v>92.599699999999999</v>
      </c>
      <c r="BI344">
        <v>96.935100000000006</v>
      </c>
      <c r="BJ344">
        <v>96.816500000000005</v>
      </c>
      <c r="BK344" t="s">
        <v>134</v>
      </c>
      <c r="BL344" t="s">
        <v>134</v>
      </c>
      <c r="BM344" t="s">
        <v>134</v>
      </c>
      <c r="BN344" t="s">
        <v>134</v>
      </c>
      <c r="BO344" t="s">
        <v>134</v>
      </c>
      <c r="BP344" t="s">
        <v>134</v>
      </c>
      <c r="BQ344" t="s">
        <v>134</v>
      </c>
      <c r="BR344" t="s">
        <v>134</v>
      </c>
      <c r="BS344" t="s">
        <v>134</v>
      </c>
      <c r="BT344" t="s">
        <v>134</v>
      </c>
      <c r="BU344" t="s">
        <v>134</v>
      </c>
      <c r="BV344" t="s">
        <v>134</v>
      </c>
      <c r="BW344" t="s">
        <v>134</v>
      </c>
      <c r="BX344" t="s">
        <v>134</v>
      </c>
      <c r="BY344" t="s">
        <v>134</v>
      </c>
      <c r="BZ344" t="s">
        <v>134</v>
      </c>
      <c r="CA344" t="s">
        <v>134</v>
      </c>
      <c r="CB344" t="s">
        <v>134</v>
      </c>
      <c r="CC344" t="s">
        <v>134</v>
      </c>
      <c r="CD344" t="s">
        <v>134</v>
      </c>
      <c r="CE344" t="s">
        <v>134</v>
      </c>
      <c r="CF344">
        <v>69.897199999999998</v>
      </c>
      <c r="CG344" t="s">
        <v>134</v>
      </c>
      <c r="CH344" t="s">
        <v>134</v>
      </c>
      <c r="CI344" t="s">
        <v>134</v>
      </c>
      <c r="CJ344" t="s">
        <v>134</v>
      </c>
      <c r="CK344" t="s">
        <v>134</v>
      </c>
      <c r="CL344" t="s">
        <v>134</v>
      </c>
      <c r="CM344" t="s">
        <v>134</v>
      </c>
      <c r="CN344" t="s">
        <v>134</v>
      </c>
      <c r="CO344" t="s">
        <v>134</v>
      </c>
      <c r="CP344">
        <v>3739.5</v>
      </c>
      <c r="CQ344" t="s">
        <v>134</v>
      </c>
      <c r="CR344">
        <v>3531.7</v>
      </c>
      <c r="CS344" t="s">
        <v>134</v>
      </c>
      <c r="CT344" t="s">
        <v>134</v>
      </c>
      <c r="CU344" t="s">
        <v>134</v>
      </c>
      <c r="CV344" t="s">
        <v>134</v>
      </c>
      <c r="CW344" t="s">
        <v>134</v>
      </c>
      <c r="CX344" t="s">
        <v>134</v>
      </c>
      <c r="CY344" t="s">
        <v>134</v>
      </c>
      <c r="CZ344" t="s">
        <v>134</v>
      </c>
      <c r="DA344" t="s">
        <v>134</v>
      </c>
      <c r="DB344" t="s">
        <v>134</v>
      </c>
      <c r="DC344" t="s">
        <v>134</v>
      </c>
      <c r="DD344" t="s">
        <v>134</v>
      </c>
      <c r="DE344" t="s">
        <v>134</v>
      </c>
      <c r="DF344" t="s">
        <v>134</v>
      </c>
      <c r="DG344" t="s">
        <v>134</v>
      </c>
      <c r="DH344" t="s">
        <v>134</v>
      </c>
      <c r="DI344" t="s">
        <v>134</v>
      </c>
    </row>
    <row r="345" spans="4:113" x14ac:dyDescent="0.3">
      <c r="E345" t="s">
        <v>5</v>
      </c>
      <c r="F345">
        <v>33.150399999999998</v>
      </c>
      <c r="G345">
        <v>20.6599</v>
      </c>
      <c r="H345">
        <v>31.014500000000002</v>
      </c>
      <c r="I345">
        <v>28.038799999999998</v>
      </c>
      <c r="J345">
        <v>17.584800000000001</v>
      </c>
      <c r="K345">
        <v>16.130299999999998</v>
      </c>
      <c r="L345" t="s">
        <v>134</v>
      </c>
      <c r="M345">
        <v>17.703600000000002</v>
      </c>
      <c r="N345">
        <v>12.5473</v>
      </c>
      <c r="O345">
        <v>12.2951</v>
      </c>
      <c r="P345">
        <v>12.2951</v>
      </c>
      <c r="Q345">
        <v>29.0626</v>
      </c>
      <c r="R345" t="s">
        <v>134</v>
      </c>
      <c r="S345" t="s">
        <v>134</v>
      </c>
      <c r="T345">
        <v>-0.87690000000000001</v>
      </c>
      <c r="U345">
        <v>10.5456</v>
      </c>
      <c r="V345">
        <v>12.238300000000001</v>
      </c>
      <c r="W345">
        <v>18.276599999999998</v>
      </c>
      <c r="X345">
        <v>20.746099999999998</v>
      </c>
      <c r="Y345" t="s">
        <v>134</v>
      </c>
      <c r="Z345">
        <v>24.965499999999999</v>
      </c>
      <c r="AA345">
        <v>3.3856000000000002</v>
      </c>
      <c r="AB345">
        <v>-2.0430999999999999</v>
      </c>
      <c r="AC345">
        <v>8.1582000000000008</v>
      </c>
      <c r="AD345">
        <v>14.538499999999999</v>
      </c>
      <c r="AE345">
        <v>19.5395</v>
      </c>
      <c r="AF345">
        <v>5.2580999999999998</v>
      </c>
      <c r="AG345">
        <v>53.989400000000003</v>
      </c>
      <c r="AH345">
        <v>-9.4253</v>
      </c>
      <c r="AI345">
        <v>11.268800000000001</v>
      </c>
      <c r="AJ345">
        <v>9.2743000000000002</v>
      </c>
      <c r="AK345">
        <v>11.481299999999999</v>
      </c>
      <c r="AL345" t="s">
        <v>134</v>
      </c>
      <c r="AM345">
        <v>8.109</v>
      </c>
      <c r="AN345">
        <v>16.749500000000001</v>
      </c>
      <c r="AO345">
        <v>18.593900000000001</v>
      </c>
      <c r="AP345">
        <v>17.709900000000001</v>
      </c>
      <c r="AQ345">
        <v>17.130700000000001</v>
      </c>
      <c r="AR345" t="s">
        <v>134</v>
      </c>
      <c r="AS345">
        <v>12.029299999999999</v>
      </c>
      <c r="AT345">
        <v>8.2596000000000007</v>
      </c>
      <c r="AU345">
        <v>2.1713</v>
      </c>
      <c r="AV345">
        <v>10.5296</v>
      </c>
      <c r="AW345">
        <v>-6.4263000000000003</v>
      </c>
      <c r="AX345">
        <v>11.4663</v>
      </c>
      <c r="AY345" t="s">
        <v>134</v>
      </c>
      <c r="AZ345" t="s">
        <v>134</v>
      </c>
      <c r="BA345">
        <v>-21.604399999999998</v>
      </c>
      <c r="BB345">
        <v>18.538699999999999</v>
      </c>
      <c r="BC345">
        <v>8.5695999999999994</v>
      </c>
      <c r="BD345">
        <v>17.815200000000001</v>
      </c>
      <c r="BE345" t="s">
        <v>134</v>
      </c>
      <c r="BF345">
        <v>-17.8781</v>
      </c>
      <c r="BG345">
        <v>-32.330500000000001</v>
      </c>
      <c r="BH345">
        <v>-34.275300000000001</v>
      </c>
      <c r="BI345">
        <v>-33.006399999999999</v>
      </c>
      <c r="BJ345">
        <v>-31.606200000000001</v>
      </c>
      <c r="BK345" t="s">
        <v>134</v>
      </c>
      <c r="BL345" t="s">
        <v>134</v>
      </c>
      <c r="BM345" t="s">
        <v>134</v>
      </c>
      <c r="BN345" t="s">
        <v>134</v>
      </c>
      <c r="BO345" t="s">
        <v>134</v>
      </c>
      <c r="BP345" t="s">
        <v>134</v>
      </c>
      <c r="BQ345" t="s">
        <v>134</v>
      </c>
      <c r="BR345" t="s">
        <v>134</v>
      </c>
      <c r="BS345" t="s">
        <v>134</v>
      </c>
      <c r="BT345" t="s">
        <v>134</v>
      </c>
      <c r="BU345" t="s">
        <v>134</v>
      </c>
      <c r="BV345" t="s">
        <v>134</v>
      </c>
      <c r="BW345" t="s">
        <v>134</v>
      </c>
      <c r="BX345" t="s">
        <v>134</v>
      </c>
      <c r="BY345">
        <v>2163.9</v>
      </c>
      <c r="BZ345">
        <v>2163.9</v>
      </c>
      <c r="CA345">
        <v>0</v>
      </c>
      <c r="CB345">
        <v>0.1913</v>
      </c>
      <c r="CC345">
        <v>-0.75590000000000002</v>
      </c>
      <c r="CD345">
        <v>0.2089</v>
      </c>
      <c r="CE345">
        <v>-0.82569999999999999</v>
      </c>
      <c r="CF345">
        <v>122.8398</v>
      </c>
      <c r="CG345">
        <v>63.227899999999998</v>
      </c>
      <c r="CH345">
        <v>0</v>
      </c>
      <c r="CI345">
        <v>0</v>
      </c>
      <c r="CJ345">
        <v>0</v>
      </c>
      <c r="CK345">
        <v>8.6821999999999999</v>
      </c>
      <c r="CL345">
        <v>7.9885999999999999</v>
      </c>
      <c r="CM345">
        <v>5.5289999999999999</v>
      </c>
      <c r="CN345">
        <v>-34.3127</v>
      </c>
      <c r="CO345">
        <v>-52.236499999999999</v>
      </c>
      <c r="CP345">
        <v>2530.5</v>
      </c>
      <c r="CQ345" t="s">
        <v>134</v>
      </c>
      <c r="CR345">
        <v>2321.1999999999998</v>
      </c>
      <c r="CS345">
        <v>0.78120000000000001</v>
      </c>
      <c r="CT345">
        <v>1.8959000000000001</v>
      </c>
      <c r="CU345">
        <v>1.0759000000000001</v>
      </c>
      <c r="CV345">
        <v>19.249199999999998</v>
      </c>
      <c r="CW345">
        <v>16.502199999999998</v>
      </c>
      <c r="CX345">
        <v>22.178799999999999</v>
      </c>
      <c r="CY345">
        <v>3.2709000000000001</v>
      </c>
      <c r="CZ345">
        <v>111.89709999999999</v>
      </c>
      <c r="DA345">
        <v>4.2211999999999996</v>
      </c>
      <c r="DB345">
        <v>86.704599999999999</v>
      </c>
      <c r="DC345">
        <v>47.371299999999998</v>
      </c>
      <c r="DD345">
        <v>134.07589999999999</v>
      </c>
      <c r="DE345">
        <v>8819.2999999999993</v>
      </c>
      <c r="DF345" t="s">
        <v>134</v>
      </c>
      <c r="DG345" t="s">
        <v>134</v>
      </c>
      <c r="DH345" t="s">
        <v>134</v>
      </c>
      <c r="DI345" t="s">
        <v>134</v>
      </c>
    </row>
    <row r="346" spans="4:113" x14ac:dyDescent="0.3">
      <c r="E346" t="s">
        <v>6</v>
      </c>
      <c r="F346" t="s">
        <v>134</v>
      </c>
      <c r="G346" t="s">
        <v>134</v>
      </c>
      <c r="H346" t="s">
        <v>134</v>
      </c>
      <c r="I346" t="s">
        <v>134</v>
      </c>
      <c r="J346">
        <v>19.263400000000001</v>
      </c>
      <c r="K346">
        <v>17.7591</v>
      </c>
      <c r="L346">
        <v>-13.940099999999999</v>
      </c>
      <c r="M346">
        <v>19.092199999999998</v>
      </c>
      <c r="N346">
        <v>13.5532</v>
      </c>
      <c r="O346">
        <v>13.360200000000001</v>
      </c>
      <c r="P346">
        <v>13.360200000000001</v>
      </c>
      <c r="Q346">
        <v>28.933900000000001</v>
      </c>
      <c r="R346" t="s">
        <v>134</v>
      </c>
      <c r="S346" t="s">
        <v>134</v>
      </c>
      <c r="T346">
        <v>-7.4904999999999999</v>
      </c>
      <c r="U346">
        <v>-6.0564</v>
      </c>
      <c r="V346">
        <v>-5.976</v>
      </c>
      <c r="W346">
        <v>-6.9180000000000001</v>
      </c>
      <c r="X346">
        <v>-6.875</v>
      </c>
      <c r="Y346" t="s">
        <v>134</v>
      </c>
      <c r="Z346" t="s">
        <v>134</v>
      </c>
      <c r="AA346" t="s">
        <v>134</v>
      </c>
      <c r="AB346" t="s">
        <v>134</v>
      </c>
      <c r="AC346" t="s">
        <v>134</v>
      </c>
      <c r="AD346" t="s">
        <v>134</v>
      </c>
      <c r="AE346" t="s">
        <v>134</v>
      </c>
      <c r="AF346" t="s">
        <v>134</v>
      </c>
      <c r="AG346" t="s">
        <v>134</v>
      </c>
      <c r="AH346" t="s">
        <v>134</v>
      </c>
      <c r="AI346" t="s">
        <v>134</v>
      </c>
      <c r="AJ346" t="s">
        <v>134</v>
      </c>
      <c r="AK346" t="s">
        <v>134</v>
      </c>
      <c r="AL346" t="s">
        <v>134</v>
      </c>
      <c r="AM346">
        <v>5.9757999999999996</v>
      </c>
      <c r="AN346">
        <v>17.4756</v>
      </c>
      <c r="AO346">
        <v>19.5352</v>
      </c>
      <c r="AP346">
        <v>17.564</v>
      </c>
      <c r="AQ346">
        <v>16.815100000000001</v>
      </c>
      <c r="AR346" t="s">
        <v>134</v>
      </c>
      <c r="AS346" t="s">
        <v>134</v>
      </c>
      <c r="AT346" t="s">
        <v>134</v>
      </c>
      <c r="AU346" t="s">
        <v>134</v>
      </c>
      <c r="AV346" t="s">
        <v>134</v>
      </c>
      <c r="AW346" t="s">
        <v>134</v>
      </c>
      <c r="AX346" t="s">
        <v>134</v>
      </c>
      <c r="AY346" t="s">
        <v>134</v>
      </c>
      <c r="AZ346" t="s">
        <v>134</v>
      </c>
      <c r="BA346" t="s">
        <v>134</v>
      </c>
      <c r="BB346" t="s">
        <v>134</v>
      </c>
      <c r="BC346" t="s">
        <v>134</v>
      </c>
      <c r="BD346" t="s">
        <v>134</v>
      </c>
      <c r="BE346" t="s">
        <v>134</v>
      </c>
      <c r="BF346">
        <v>-1.7734999999999999</v>
      </c>
      <c r="BG346">
        <v>7.6431000000000004</v>
      </c>
      <c r="BH346">
        <v>8.1858000000000004</v>
      </c>
      <c r="BI346">
        <v>6.7590000000000003</v>
      </c>
      <c r="BJ346">
        <v>6.4286000000000003</v>
      </c>
      <c r="BK346" t="s">
        <v>134</v>
      </c>
      <c r="BL346" t="s">
        <v>134</v>
      </c>
      <c r="BM346" t="s">
        <v>134</v>
      </c>
      <c r="BN346" t="s">
        <v>134</v>
      </c>
      <c r="BO346" t="s">
        <v>134</v>
      </c>
      <c r="BP346" t="s">
        <v>134</v>
      </c>
      <c r="BQ346" t="s">
        <v>134</v>
      </c>
      <c r="BR346" t="s">
        <v>134</v>
      </c>
      <c r="BS346" t="s">
        <v>134</v>
      </c>
      <c r="BT346" t="s">
        <v>134</v>
      </c>
      <c r="BU346" t="s">
        <v>134</v>
      </c>
      <c r="BV346" t="s">
        <v>134</v>
      </c>
      <c r="BW346" t="s">
        <v>134</v>
      </c>
      <c r="BX346" t="s">
        <v>134</v>
      </c>
      <c r="BY346" t="s">
        <v>134</v>
      </c>
      <c r="BZ346" t="s">
        <v>134</v>
      </c>
      <c r="CA346" t="s">
        <v>134</v>
      </c>
      <c r="CB346" t="s">
        <v>134</v>
      </c>
      <c r="CC346" t="s">
        <v>134</v>
      </c>
      <c r="CD346" t="s">
        <v>134</v>
      </c>
      <c r="CE346" t="s">
        <v>134</v>
      </c>
      <c r="CF346">
        <v>61.485300000000002</v>
      </c>
      <c r="CG346" t="s">
        <v>134</v>
      </c>
      <c r="CH346" t="s">
        <v>134</v>
      </c>
      <c r="CI346" t="s">
        <v>134</v>
      </c>
      <c r="CJ346" t="s">
        <v>134</v>
      </c>
      <c r="CK346" t="s">
        <v>134</v>
      </c>
      <c r="CL346" t="s">
        <v>134</v>
      </c>
      <c r="CM346" t="s">
        <v>134</v>
      </c>
      <c r="CN346" t="s">
        <v>134</v>
      </c>
      <c r="CO346" t="s">
        <v>134</v>
      </c>
      <c r="CP346">
        <v>2723.8</v>
      </c>
      <c r="CQ346" t="s">
        <v>134</v>
      </c>
      <c r="CR346">
        <v>2511.1</v>
      </c>
      <c r="CS346" t="s">
        <v>134</v>
      </c>
      <c r="CT346" t="s">
        <v>134</v>
      </c>
      <c r="CU346" t="s">
        <v>134</v>
      </c>
      <c r="CV346" t="s">
        <v>134</v>
      </c>
      <c r="CW346" t="s">
        <v>134</v>
      </c>
      <c r="CX346" t="s">
        <v>134</v>
      </c>
      <c r="CY346" t="s">
        <v>134</v>
      </c>
      <c r="CZ346" t="s">
        <v>134</v>
      </c>
      <c r="DA346" t="s">
        <v>134</v>
      </c>
      <c r="DB346" t="s">
        <v>134</v>
      </c>
      <c r="DC346" t="s">
        <v>134</v>
      </c>
      <c r="DD346" t="s">
        <v>134</v>
      </c>
      <c r="DE346" t="s">
        <v>134</v>
      </c>
      <c r="DF346" t="s">
        <v>134</v>
      </c>
      <c r="DG346" t="s">
        <v>134</v>
      </c>
      <c r="DH346" t="s">
        <v>134</v>
      </c>
      <c r="DI346" t="s">
        <v>134</v>
      </c>
    </row>
    <row r="347" spans="4:113" x14ac:dyDescent="0.3">
      <c r="E347" t="s">
        <v>7</v>
      </c>
      <c r="F347">
        <v>36.778300000000002</v>
      </c>
      <c r="G347">
        <v>22.881699999999999</v>
      </c>
      <c r="H347">
        <v>33.218499999999999</v>
      </c>
      <c r="I347">
        <v>30.154299999999999</v>
      </c>
      <c r="J347">
        <v>19.728200000000001</v>
      </c>
      <c r="K347">
        <v>17.651</v>
      </c>
      <c r="L347">
        <v>169.1054</v>
      </c>
      <c r="M347">
        <v>18.9846</v>
      </c>
      <c r="N347">
        <v>12.9953</v>
      </c>
      <c r="O347">
        <v>12.826499999999999</v>
      </c>
      <c r="P347">
        <v>12.826499999999999</v>
      </c>
      <c r="Q347">
        <v>31.380199999999999</v>
      </c>
      <c r="R347" t="s">
        <v>134</v>
      </c>
      <c r="S347" t="s">
        <v>134</v>
      </c>
      <c r="T347">
        <v>2.242</v>
      </c>
      <c r="U347">
        <v>20.988600000000002</v>
      </c>
      <c r="V347">
        <v>26.596499999999999</v>
      </c>
      <c r="W347">
        <v>25.7942</v>
      </c>
      <c r="X347">
        <v>25.961500000000001</v>
      </c>
      <c r="Y347" t="s">
        <v>134</v>
      </c>
      <c r="Z347">
        <v>-2.0230999999999999</v>
      </c>
      <c r="AA347">
        <v>35.424999999999997</v>
      </c>
      <c r="AB347">
        <v>-0.57630000000000003</v>
      </c>
      <c r="AC347">
        <v>6.4577999999999998</v>
      </c>
      <c r="AD347">
        <v>58.044499999999999</v>
      </c>
      <c r="AE347">
        <v>46.153100000000002</v>
      </c>
      <c r="AF347">
        <v>4.1193</v>
      </c>
      <c r="AG347">
        <v>-30.555199999999999</v>
      </c>
      <c r="AH347">
        <v>-30.555199999999999</v>
      </c>
      <c r="AI347">
        <v>15.1274</v>
      </c>
      <c r="AJ347">
        <v>8.5146999999999995</v>
      </c>
      <c r="AK347">
        <v>15.2828</v>
      </c>
      <c r="AL347" t="s">
        <v>134</v>
      </c>
      <c r="AM347">
        <v>7.4619999999999997</v>
      </c>
      <c r="AN347">
        <v>17.930800000000001</v>
      </c>
      <c r="AO347">
        <v>19.6448</v>
      </c>
      <c r="AP347">
        <v>19.3369</v>
      </c>
      <c r="AQ347">
        <v>18.316299999999998</v>
      </c>
      <c r="AR347" t="s">
        <v>134</v>
      </c>
      <c r="AS347">
        <v>3.4681000000000002</v>
      </c>
      <c r="AT347">
        <v>11.719200000000001</v>
      </c>
      <c r="AU347">
        <v>7.3067000000000002</v>
      </c>
      <c r="AV347">
        <v>6.5829000000000004</v>
      </c>
      <c r="AW347">
        <v>-2.8425000000000002</v>
      </c>
      <c r="AX347">
        <v>23.4499</v>
      </c>
      <c r="AY347" t="s">
        <v>134</v>
      </c>
      <c r="AZ347">
        <v>-8.4631000000000007</v>
      </c>
      <c r="BA347">
        <v>-20.715699999999998</v>
      </c>
      <c r="BB347">
        <v>14.901299999999999</v>
      </c>
      <c r="BC347">
        <v>5.9574999999999996</v>
      </c>
      <c r="BD347">
        <v>14.162100000000001</v>
      </c>
      <c r="BE347" t="s">
        <v>134</v>
      </c>
      <c r="BF347">
        <v>-6.8161000000000005</v>
      </c>
      <c r="BG347">
        <v>-4.9108999999999998</v>
      </c>
      <c r="BH347">
        <v>-7.5545</v>
      </c>
      <c r="BI347">
        <v>-10.7035</v>
      </c>
      <c r="BJ347">
        <v>-12.080500000000001</v>
      </c>
      <c r="BK347" t="s">
        <v>134</v>
      </c>
      <c r="BL347" t="s">
        <v>134</v>
      </c>
      <c r="BM347" t="s">
        <v>134</v>
      </c>
      <c r="BN347" t="s">
        <v>134</v>
      </c>
      <c r="BO347" t="s">
        <v>134</v>
      </c>
      <c r="BP347" t="s">
        <v>134</v>
      </c>
      <c r="BQ347" t="s">
        <v>134</v>
      </c>
      <c r="BR347" t="s">
        <v>134</v>
      </c>
      <c r="BS347" t="s">
        <v>134</v>
      </c>
      <c r="BT347" t="s">
        <v>134</v>
      </c>
      <c r="BU347" t="s">
        <v>134</v>
      </c>
      <c r="BV347" t="s">
        <v>134</v>
      </c>
      <c r="BW347" t="s">
        <v>134</v>
      </c>
      <c r="BX347" t="s">
        <v>134</v>
      </c>
      <c r="BY347">
        <v>2388</v>
      </c>
      <c r="BZ347">
        <v>2388</v>
      </c>
      <c r="CA347">
        <v>0</v>
      </c>
      <c r="CB347">
        <v>0.20599999999999999</v>
      </c>
      <c r="CC347">
        <v>-0.44750000000000001</v>
      </c>
      <c r="CD347">
        <v>0.2235</v>
      </c>
      <c r="CE347">
        <v>-0.48549999999999999</v>
      </c>
      <c r="CF347">
        <v>54.738399999999999</v>
      </c>
      <c r="CG347">
        <v>64.610799999999998</v>
      </c>
      <c r="CH347">
        <v>0</v>
      </c>
      <c r="CI347">
        <v>0</v>
      </c>
      <c r="CJ347">
        <v>0</v>
      </c>
      <c r="CK347">
        <v>10.2094</v>
      </c>
      <c r="CL347">
        <v>9.2636000000000003</v>
      </c>
      <c r="CM347">
        <v>6.6341999999999999</v>
      </c>
      <c r="CN347">
        <v>-22.178899999999999</v>
      </c>
      <c r="CO347">
        <v>-28.4999</v>
      </c>
      <c r="CP347">
        <v>2594.6</v>
      </c>
      <c r="CQ347" t="s">
        <v>134</v>
      </c>
      <c r="CR347">
        <v>2321.4</v>
      </c>
      <c r="CS347">
        <v>0.61960000000000004</v>
      </c>
      <c r="CT347">
        <v>1.9481000000000002</v>
      </c>
      <c r="CU347">
        <v>0.8216</v>
      </c>
      <c r="CV347">
        <v>22.1097</v>
      </c>
      <c r="CW347">
        <v>23.717099999999999</v>
      </c>
      <c r="CX347">
        <v>15.389799999999999</v>
      </c>
      <c r="CY347">
        <v>2.6555</v>
      </c>
      <c r="CZ347">
        <v>137.4504</v>
      </c>
      <c r="DA347">
        <v>4.7172999999999998</v>
      </c>
      <c r="DB347">
        <v>77.375200000000007</v>
      </c>
      <c r="DC347">
        <v>75.465000000000003</v>
      </c>
      <c r="DD347">
        <v>152.84020000000001</v>
      </c>
      <c r="DE347">
        <v>12534.4</v>
      </c>
      <c r="DF347">
        <v>5690.3</v>
      </c>
      <c r="DG347">
        <v>1593.5</v>
      </c>
      <c r="DH347">
        <v>4260.8999999999996</v>
      </c>
      <c r="DI347">
        <v>989.7</v>
      </c>
    </row>
    <row r="348" spans="4:113" x14ac:dyDescent="0.3">
      <c r="D348" t="s">
        <v>11</v>
      </c>
      <c r="E348" t="s">
        <v>3</v>
      </c>
      <c r="F348">
        <v>33.459200000000003</v>
      </c>
      <c r="G348">
        <v>21.116499999999998</v>
      </c>
      <c r="H348">
        <v>30.667100000000001</v>
      </c>
      <c r="I348">
        <v>27.815899999999999</v>
      </c>
      <c r="J348">
        <v>18.088799999999999</v>
      </c>
      <c r="K348">
        <v>16.672499999999999</v>
      </c>
      <c r="L348" t="s">
        <v>134</v>
      </c>
      <c r="M348">
        <v>17.7591</v>
      </c>
      <c r="N348">
        <v>13.1553</v>
      </c>
      <c r="O348">
        <v>12.949300000000001</v>
      </c>
      <c r="P348">
        <v>12.949300000000001</v>
      </c>
      <c r="Q348">
        <v>25.923400000000001</v>
      </c>
      <c r="R348">
        <v>67.357200000000006</v>
      </c>
      <c r="S348">
        <v>10.922000000000001</v>
      </c>
      <c r="T348">
        <v>6.6096000000000004</v>
      </c>
      <c r="U348">
        <v>-1.8555000000000001</v>
      </c>
      <c r="V348">
        <v>-1.8980999999999999</v>
      </c>
      <c r="W348">
        <v>1.9910000000000001</v>
      </c>
      <c r="X348">
        <v>1.7713000000000001</v>
      </c>
      <c r="Y348">
        <v>21.428599999999999</v>
      </c>
      <c r="Z348">
        <v>37.884099999999997</v>
      </c>
      <c r="AA348">
        <v>20.538699999999999</v>
      </c>
      <c r="AB348">
        <v>0.43340000000000001</v>
      </c>
      <c r="AC348">
        <v>12.352600000000001</v>
      </c>
      <c r="AD348">
        <v>28.110399999999998</v>
      </c>
      <c r="AE348">
        <v>17.142700000000001</v>
      </c>
      <c r="AF348">
        <v>17.951499999999999</v>
      </c>
      <c r="AG348">
        <v>21.2102</v>
      </c>
      <c r="AH348">
        <v>29.514199999999999</v>
      </c>
      <c r="AI348">
        <v>9.25</v>
      </c>
      <c r="AJ348">
        <v>11.1272</v>
      </c>
      <c r="AK348">
        <v>9.3055000000000003</v>
      </c>
      <c r="AL348">
        <v>-13.824199999999999</v>
      </c>
      <c r="AM348">
        <v>6.4752999999999998</v>
      </c>
      <c r="AN348">
        <v>12.479900000000001</v>
      </c>
      <c r="AO348">
        <v>13.972</v>
      </c>
      <c r="AP348">
        <v>15.523099999999999</v>
      </c>
      <c r="AQ348">
        <v>15.423</v>
      </c>
      <c r="AR348">
        <v>76.233999999999995</v>
      </c>
      <c r="AS348">
        <v>11.6205</v>
      </c>
      <c r="AT348">
        <v>11.860099999999999</v>
      </c>
      <c r="AU348">
        <v>-0.61660000000000004</v>
      </c>
      <c r="AV348">
        <v>1.9422000000000001</v>
      </c>
      <c r="AW348">
        <v>-0.56230000000000002</v>
      </c>
      <c r="AX348">
        <v>30.8292</v>
      </c>
      <c r="AY348" t="s">
        <v>134</v>
      </c>
      <c r="AZ348">
        <v>-4.1661999999999999</v>
      </c>
      <c r="BA348">
        <v>-17.116700000000002</v>
      </c>
      <c r="BB348">
        <v>4.8493000000000004</v>
      </c>
      <c r="BC348">
        <v>0.40500000000000003</v>
      </c>
      <c r="BD348">
        <v>5.0937999999999999</v>
      </c>
      <c r="BE348">
        <v>7.2971000000000004</v>
      </c>
      <c r="BF348">
        <v>6.6096000000000004</v>
      </c>
      <c r="BG348">
        <v>-1.8555000000000001</v>
      </c>
      <c r="BH348">
        <v>-1.8980999999999999</v>
      </c>
      <c r="BI348">
        <v>1.9910000000000001</v>
      </c>
      <c r="BJ348">
        <v>1.7713000000000001</v>
      </c>
      <c r="BK348">
        <v>21.428599999999999</v>
      </c>
      <c r="BL348">
        <v>37.884099999999997</v>
      </c>
      <c r="BM348">
        <v>20.538699999999999</v>
      </c>
      <c r="BN348">
        <v>0.43340000000000001</v>
      </c>
      <c r="BO348">
        <v>12.352600000000001</v>
      </c>
      <c r="BP348">
        <v>28.110399999999998</v>
      </c>
      <c r="BQ348">
        <v>17.142700000000001</v>
      </c>
      <c r="BR348">
        <v>17.951499999999999</v>
      </c>
      <c r="BS348">
        <v>21.2102</v>
      </c>
      <c r="BT348">
        <v>29.514199999999999</v>
      </c>
      <c r="BU348">
        <v>9.25</v>
      </c>
      <c r="BV348">
        <v>11.1272</v>
      </c>
      <c r="BW348">
        <v>9.3055000000000003</v>
      </c>
      <c r="BX348">
        <v>-13.824199999999999</v>
      </c>
      <c r="BY348">
        <v>3092.8</v>
      </c>
      <c r="BZ348">
        <v>2894.5</v>
      </c>
      <c r="CA348">
        <v>198.3</v>
      </c>
      <c r="CB348">
        <v>0.27179999999999999</v>
      </c>
      <c r="CC348">
        <v>-0.33100000000000002</v>
      </c>
      <c r="CD348">
        <v>0.2949</v>
      </c>
      <c r="CE348">
        <v>-0.35909999999999997</v>
      </c>
      <c r="CF348">
        <v>119.13720000000001</v>
      </c>
      <c r="CG348">
        <v>62.302500000000002</v>
      </c>
      <c r="CH348">
        <v>0.77600000000000002</v>
      </c>
      <c r="CI348">
        <v>0.69220000000000004</v>
      </c>
      <c r="CJ348">
        <v>0.4859</v>
      </c>
      <c r="CK348">
        <v>12.1031</v>
      </c>
      <c r="CL348">
        <v>10.7964</v>
      </c>
      <c r="CM348">
        <v>7.5776000000000003</v>
      </c>
      <c r="CN348">
        <v>-14.7387</v>
      </c>
      <c r="CO348">
        <v>-17.2865</v>
      </c>
      <c r="CP348">
        <v>11377.6</v>
      </c>
      <c r="CQ348">
        <v>10098</v>
      </c>
      <c r="CR348">
        <v>10486.8</v>
      </c>
      <c r="CS348">
        <v>0.47060000000000002</v>
      </c>
      <c r="CT348">
        <v>1.9163999999999999</v>
      </c>
      <c r="CU348">
        <v>0.70420000000000005</v>
      </c>
      <c r="CV348">
        <v>20.7225</v>
      </c>
      <c r="CW348">
        <v>21.410499999999999</v>
      </c>
      <c r="CX348">
        <v>17.047699999999999</v>
      </c>
      <c r="CY348">
        <v>2.5811999999999999</v>
      </c>
      <c r="CZ348">
        <v>141.40520000000001</v>
      </c>
      <c r="DA348">
        <v>5.0388999999999999</v>
      </c>
      <c r="DB348">
        <v>72.437100000000001</v>
      </c>
      <c r="DC348">
        <v>86.015799999999999</v>
      </c>
      <c r="DD348">
        <v>158.4529</v>
      </c>
      <c r="DE348">
        <v>15108.8</v>
      </c>
      <c r="DF348">
        <v>6143.8</v>
      </c>
      <c r="DG348">
        <v>2578.4</v>
      </c>
      <c r="DH348">
        <v>5279.7</v>
      </c>
      <c r="DI348">
        <v>1106.9000000000001</v>
      </c>
    </row>
    <row r="349" spans="4:113" x14ac:dyDescent="0.3">
      <c r="E349" t="s">
        <v>4</v>
      </c>
      <c r="F349" t="s">
        <v>134</v>
      </c>
      <c r="G349" t="s">
        <v>134</v>
      </c>
      <c r="H349" t="s">
        <v>134</v>
      </c>
      <c r="I349" t="s">
        <v>134</v>
      </c>
      <c r="J349">
        <v>19.2867</v>
      </c>
      <c r="K349">
        <v>18.029499999999999</v>
      </c>
      <c r="L349">
        <v>-70.595699999999994</v>
      </c>
      <c r="M349">
        <v>19.181999999999999</v>
      </c>
      <c r="N349">
        <v>14.0312</v>
      </c>
      <c r="O349">
        <v>13.7963</v>
      </c>
      <c r="P349">
        <v>13.7963</v>
      </c>
      <c r="Q349">
        <v>26.852499999999999</v>
      </c>
      <c r="R349" t="s">
        <v>134</v>
      </c>
      <c r="S349" t="s">
        <v>134</v>
      </c>
      <c r="T349">
        <v>-4.0427</v>
      </c>
      <c r="U349">
        <v>-13.277200000000001</v>
      </c>
      <c r="V349">
        <v>-14.160299999999999</v>
      </c>
      <c r="W349">
        <v>-12.162100000000001</v>
      </c>
      <c r="X349">
        <v>-12.065099999999999</v>
      </c>
      <c r="Y349" t="s">
        <v>134</v>
      </c>
      <c r="Z349" t="s">
        <v>134</v>
      </c>
      <c r="AA349" t="s">
        <v>134</v>
      </c>
      <c r="AB349" t="s">
        <v>134</v>
      </c>
      <c r="AC349" t="s">
        <v>134</v>
      </c>
      <c r="AD349" t="s">
        <v>134</v>
      </c>
      <c r="AE349" t="s">
        <v>134</v>
      </c>
      <c r="AF349" t="s">
        <v>134</v>
      </c>
      <c r="AG349" t="s">
        <v>134</v>
      </c>
      <c r="AH349" t="s">
        <v>134</v>
      </c>
      <c r="AI349" t="s">
        <v>134</v>
      </c>
      <c r="AJ349" t="s">
        <v>134</v>
      </c>
      <c r="AK349" t="s">
        <v>134</v>
      </c>
      <c r="AL349" t="s">
        <v>134</v>
      </c>
      <c r="AM349">
        <v>5.8201999999999998</v>
      </c>
      <c r="AN349">
        <v>11.5343</v>
      </c>
      <c r="AO349">
        <v>12.4559</v>
      </c>
      <c r="AP349">
        <v>13.376099999999999</v>
      </c>
      <c r="AQ349">
        <v>13.396699999999999</v>
      </c>
      <c r="AR349" t="s">
        <v>134</v>
      </c>
      <c r="AS349" t="s">
        <v>134</v>
      </c>
      <c r="AT349" t="s">
        <v>134</v>
      </c>
      <c r="AU349" t="s">
        <v>134</v>
      </c>
      <c r="AV349" t="s">
        <v>134</v>
      </c>
      <c r="AW349" t="s">
        <v>134</v>
      </c>
      <c r="AX349" t="s">
        <v>134</v>
      </c>
      <c r="AY349" t="s">
        <v>134</v>
      </c>
      <c r="AZ349" t="s">
        <v>134</v>
      </c>
      <c r="BA349" t="s">
        <v>134</v>
      </c>
      <c r="BB349" t="s">
        <v>134</v>
      </c>
      <c r="BC349" t="s">
        <v>134</v>
      </c>
      <c r="BD349" t="s">
        <v>134</v>
      </c>
      <c r="BE349" t="s">
        <v>134</v>
      </c>
      <c r="BF349">
        <v>27.907299999999999</v>
      </c>
      <c r="BG349">
        <v>25.386600000000001</v>
      </c>
      <c r="BH349">
        <v>30.593599999999999</v>
      </c>
      <c r="BI349">
        <v>37.518500000000003</v>
      </c>
      <c r="BJ349">
        <v>37.404600000000002</v>
      </c>
      <c r="BK349" t="s">
        <v>134</v>
      </c>
      <c r="BL349" t="s">
        <v>134</v>
      </c>
      <c r="BM349" t="s">
        <v>134</v>
      </c>
      <c r="BN349" t="s">
        <v>134</v>
      </c>
      <c r="BO349" t="s">
        <v>134</v>
      </c>
      <c r="BP349" t="s">
        <v>134</v>
      </c>
      <c r="BQ349" t="s">
        <v>134</v>
      </c>
      <c r="BR349" t="s">
        <v>134</v>
      </c>
      <c r="BS349" t="s">
        <v>134</v>
      </c>
      <c r="BT349" t="s">
        <v>134</v>
      </c>
      <c r="BU349" t="s">
        <v>134</v>
      </c>
      <c r="BV349" t="s">
        <v>134</v>
      </c>
      <c r="BW349" t="s">
        <v>134</v>
      </c>
      <c r="BX349" t="s">
        <v>134</v>
      </c>
      <c r="BY349" t="s">
        <v>134</v>
      </c>
      <c r="BZ349" t="s">
        <v>134</v>
      </c>
      <c r="CA349" t="s">
        <v>134</v>
      </c>
      <c r="CB349" t="s">
        <v>134</v>
      </c>
      <c r="CC349" t="s">
        <v>134</v>
      </c>
      <c r="CD349" t="s">
        <v>134</v>
      </c>
      <c r="CE349" t="s">
        <v>134</v>
      </c>
      <c r="CF349">
        <v>93.458200000000005</v>
      </c>
      <c r="CG349" t="s">
        <v>134</v>
      </c>
      <c r="CH349" t="s">
        <v>134</v>
      </c>
      <c r="CI349" t="s">
        <v>134</v>
      </c>
      <c r="CJ349" t="s">
        <v>134</v>
      </c>
      <c r="CK349" t="s">
        <v>134</v>
      </c>
      <c r="CL349" t="s">
        <v>134</v>
      </c>
      <c r="CM349" t="s">
        <v>134</v>
      </c>
      <c r="CN349" t="s">
        <v>134</v>
      </c>
      <c r="CO349" t="s">
        <v>134</v>
      </c>
      <c r="CP349">
        <v>3243</v>
      </c>
      <c r="CQ349" t="s">
        <v>134</v>
      </c>
      <c r="CR349">
        <v>3031.6</v>
      </c>
      <c r="CS349" t="s">
        <v>134</v>
      </c>
      <c r="CT349" t="s">
        <v>134</v>
      </c>
      <c r="CU349" t="s">
        <v>134</v>
      </c>
      <c r="CV349" t="s">
        <v>134</v>
      </c>
      <c r="CW349" t="s">
        <v>134</v>
      </c>
      <c r="CX349" t="s">
        <v>134</v>
      </c>
      <c r="CY349" t="s">
        <v>134</v>
      </c>
      <c r="CZ349" t="s">
        <v>134</v>
      </c>
      <c r="DA349" t="s">
        <v>134</v>
      </c>
      <c r="DB349" t="s">
        <v>134</v>
      </c>
      <c r="DC349" t="s">
        <v>134</v>
      </c>
      <c r="DD349" t="s">
        <v>134</v>
      </c>
      <c r="DE349" t="s">
        <v>134</v>
      </c>
      <c r="DF349" t="s">
        <v>134</v>
      </c>
      <c r="DG349" t="s">
        <v>134</v>
      </c>
      <c r="DH349" t="s">
        <v>134</v>
      </c>
      <c r="DI349" t="s">
        <v>134</v>
      </c>
    </row>
    <row r="350" spans="4:113" x14ac:dyDescent="0.3">
      <c r="E350" t="s">
        <v>5</v>
      </c>
      <c r="F350">
        <v>31.0975</v>
      </c>
      <c r="G350">
        <v>19.116199999999999</v>
      </c>
      <c r="H350">
        <v>29.002300000000002</v>
      </c>
      <c r="I350">
        <v>26.023199999999999</v>
      </c>
      <c r="J350">
        <v>16.865300000000001</v>
      </c>
      <c r="K350">
        <v>15.334300000000001</v>
      </c>
      <c r="L350">
        <v>3.5855000000000001</v>
      </c>
      <c r="M350">
        <v>16.500800000000002</v>
      </c>
      <c r="N350">
        <v>12.044600000000001</v>
      </c>
      <c r="O350">
        <v>11.8096</v>
      </c>
      <c r="P350">
        <v>11.8096</v>
      </c>
      <c r="Q350">
        <v>26.777100000000001</v>
      </c>
      <c r="R350" t="s">
        <v>134</v>
      </c>
      <c r="S350" t="s">
        <v>134</v>
      </c>
      <c r="T350">
        <v>6.7230999999999996</v>
      </c>
      <c r="U350">
        <v>2.3948999999999998</v>
      </c>
      <c r="V350">
        <v>1.4950000000000001</v>
      </c>
      <c r="W350">
        <v>2.5318000000000001</v>
      </c>
      <c r="X350">
        <v>0.71430000000000005</v>
      </c>
      <c r="Y350" t="s">
        <v>134</v>
      </c>
      <c r="Z350">
        <v>7.4416000000000002</v>
      </c>
      <c r="AA350">
        <v>23.3828</v>
      </c>
      <c r="AB350">
        <v>-3.8635000000000002</v>
      </c>
      <c r="AC350">
        <v>6.1094999999999997</v>
      </c>
      <c r="AD350">
        <v>26.226600000000001</v>
      </c>
      <c r="AE350">
        <v>31.790600000000001</v>
      </c>
      <c r="AF350">
        <v>11.718500000000001</v>
      </c>
      <c r="AG350">
        <v>16.941600000000001</v>
      </c>
      <c r="AH350">
        <v>25.597300000000001</v>
      </c>
      <c r="AI350">
        <v>11.349299999999999</v>
      </c>
      <c r="AJ350">
        <v>12.5444</v>
      </c>
      <c r="AK350">
        <v>11.3558</v>
      </c>
      <c r="AL350" t="s">
        <v>134</v>
      </c>
      <c r="AM350">
        <v>5.8548999999999998</v>
      </c>
      <c r="AN350">
        <v>11.3687</v>
      </c>
      <c r="AO350">
        <v>12.839700000000001</v>
      </c>
      <c r="AP350">
        <v>16.136800000000001</v>
      </c>
      <c r="AQ350">
        <v>16.2196</v>
      </c>
      <c r="AR350" t="s">
        <v>134</v>
      </c>
      <c r="AS350">
        <v>11.955500000000001</v>
      </c>
      <c r="AT350">
        <v>7.7277000000000005</v>
      </c>
      <c r="AU350">
        <v>-15.1206</v>
      </c>
      <c r="AV350">
        <v>3.1577999999999999</v>
      </c>
      <c r="AW350">
        <v>-5.6716999999999995</v>
      </c>
      <c r="AX350">
        <v>78.540300000000002</v>
      </c>
      <c r="AY350" t="s">
        <v>134</v>
      </c>
      <c r="AZ350">
        <v>-8.7645999999999997</v>
      </c>
      <c r="BA350">
        <v>-18.3294</v>
      </c>
      <c r="BB350">
        <v>7.5344999999999995</v>
      </c>
      <c r="BC350">
        <v>2.4047999999999998</v>
      </c>
      <c r="BD350">
        <v>7.6932</v>
      </c>
      <c r="BE350" t="s">
        <v>134</v>
      </c>
      <c r="BF350">
        <v>-8.6341000000000001</v>
      </c>
      <c r="BG350">
        <v>-20.104800000000001</v>
      </c>
      <c r="BH350">
        <v>-22.291899999999998</v>
      </c>
      <c r="BI350">
        <v>-21.790700000000001</v>
      </c>
      <c r="BJ350">
        <v>-21.666699999999999</v>
      </c>
      <c r="BK350" t="s">
        <v>134</v>
      </c>
      <c r="BL350" t="s">
        <v>134</v>
      </c>
      <c r="BM350" t="s">
        <v>134</v>
      </c>
      <c r="BN350" t="s">
        <v>134</v>
      </c>
      <c r="BO350" t="s">
        <v>134</v>
      </c>
      <c r="BP350" t="s">
        <v>134</v>
      </c>
      <c r="BQ350" t="s">
        <v>134</v>
      </c>
      <c r="BR350" t="s">
        <v>134</v>
      </c>
      <c r="BS350" t="s">
        <v>134</v>
      </c>
      <c r="BT350" t="s">
        <v>134</v>
      </c>
      <c r="BU350" t="s">
        <v>134</v>
      </c>
      <c r="BV350" t="s">
        <v>134</v>
      </c>
      <c r="BW350" t="s">
        <v>134</v>
      </c>
      <c r="BX350" t="s">
        <v>134</v>
      </c>
      <c r="BY350">
        <v>2717.8</v>
      </c>
      <c r="BZ350">
        <v>2530.5</v>
      </c>
      <c r="CA350">
        <v>187.3</v>
      </c>
      <c r="CB350">
        <v>0.24379999999999999</v>
      </c>
      <c r="CC350">
        <v>-0.91500000000000004</v>
      </c>
      <c r="CD350">
        <v>0.26590000000000003</v>
      </c>
      <c r="CE350">
        <v>-0.99809999999999999</v>
      </c>
      <c r="CF350">
        <v>73.608000000000004</v>
      </c>
      <c r="CG350">
        <v>62.923699999999997</v>
      </c>
      <c r="CH350">
        <v>0.71179999999999999</v>
      </c>
      <c r="CI350">
        <v>0.64510000000000001</v>
      </c>
      <c r="CJ350">
        <v>0.45100000000000001</v>
      </c>
      <c r="CK350">
        <v>10.3278</v>
      </c>
      <c r="CL350">
        <v>9.3610000000000007</v>
      </c>
      <c r="CM350">
        <v>6.5443999999999996</v>
      </c>
      <c r="CN350">
        <v>-38.763599999999997</v>
      </c>
      <c r="CO350">
        <v>-63.301600000000001</v>
      </c>
      <c r="CP350">
        <v>2591</v>
      </c>
      <c r="CQ350" t="s">
        <v>134</v>
      </c>
      <c r="CR350">
        <v>2355.8000000000002</v>
      </c>
      <c r="CS350">
        <v>0.98199999999999998</v>
      </c>
      <c r="CT350">
        <v>2.2311000000000001</v>
      </c>
      <c r="CU350">
        <v>1.3122</v>
      </c>
      <c r="CV350">
        <v>21.46</v>
      </c>
      <c r="CW350">
        <v>14.1722</v>
      </c>
      <c r="CX350">
        <v>25.7547</v>
      </c>
      <c r="CY350">
        <v>3.1724000000000001</v>
      </c>
      <c r="CZ350">
        <v>115.056</v>
      </c>
      <c r="DA350">
        <v>4.5184999999999995</v>
      </c>
      <c r="DB350">
        <v>80.779499999999999</v>
      </c>
      <c r="DC350">
        <v>60.031199999999998</v>
      </c>
      <c r="DD350">
        <v>140.8107</v>
      </c>
      <c r="DE350">
        <v>10881.5</v>
      </c>
      <c r="DF350" t="s">
        <v>134</v>
      </c>
      <c r="DG350" t="s">
        <v>134</v>
      </c>
      <c r="DH350" t="s">
        <v>134</v>
      </c>
      <c r="DI350" t="s">
        <v>134</v>
      </c>
    </row>
    <row r="351" spans="4:113" x14ac:dyDescent="0.3">
      <c r="E351" t="s">
        <v>6</v>
      </c>
      <c r="F351" t="s">
        <v>134</v>
      </c>
      <c r="G351" t="s">
        <v>134</v>
      </c>
      <c r="H351" t="s">
        <v>134</v>
      </c>
      <c r="I351" t="s">
        <v>134</v>
      </c>
      <c r="J351">
        <v>18.596</v>
      </c>
      <c r="K351">
        <v>17.2834</v>
      </c>
      <c r="L351">
        <v>13.913399999999999</v>
      </c>
      <c r="M351">
        <v>18.1084</v>
      </c>
      <c r="N351">
        <v>13.746</v>
      </c>
      <c r="O351">
        <v>13.5754</v>
      </c>
      <c r="P351">
        <v>13.5754</v>
      </c>
      <c r="Q351">
        <v>24.090599999999998</v>
      </c>
      <c r="R351" t="s">
        <v>134</v>
      </c>
      <c r="S351" t="s">
        <v>134</v>
      </c>
      <c r="T351">
        <v>15.088900000000001</v>
      </c>
      <c r="U351">
        <v>10.701499999999999</v>
      </c>
      <c r="V351">
        <v>11.7996</v>
      </c>
      <c r="W351">
        <v>16.727499999999999</v>
      </c>
      <c r="X351">
        <v>14.7651</v>
      </c>
      <c r="Y351" t="s">
        <v>134</v>
      </c>
      <c r="Z351" t="s">
        <v>134</v>
      </c>
      <c r="AA351" t="s">
        <v>134</v>
      </c>
      <c r="AB351" t="s">
        <v>134</v>
      </c>
      <c r="AC351" t="s">
        <v>134</v>
      </c>
      <c r="AD351" t="s">
        <v>134</v>
      </c>
      <c r="AE351" t="s">
        <v>134</v>
      </c>
      <c r="AF351" t="s">
        <v>134</v>
      </c>
      <c r="AG351" t="s">
        <v>134</v>
      </c>
      <c r="AH351" t="s">
        <v>134</v>
      </c>
      <c r="AI351" t="s">
        <v>134</v>
      </c>
      <c r="AJ351" t="s">
        <v>134</v>
      </c>
      <c r="AK351" t="s">
        <v>134</v>
      </c>
      <c r="AL351" t="s">
        <v>134</v>
      </c>
      <c r="AM351">
        <v>6.8918999999999997</v>
      </c>
      <c r="AN351">
        <v>12.746499999999999</v>
      </c>
      <c r="AO351">
        <v>13.924099999999999</v>
      </c>
      <c r="AP351">
        <v>16.604800000000001</v>
      </c>
      <c r="AQ351">
        <v>16.553599999999999</v>
      </c>
      <c r="AR351" t="s">
        <v>134</v>
      </c>
      <c r="AS351" t="s">
        <v>134</v>
      </c>
      <c r="AT351" t="s">
        <v>134</v>
      </c>
      <c r="AU351" t="s">
        <v>134</v>
      </c>
      <c r="AV351" t="s">
        <v>134</v>
      </c>
      <c r="AW351" t="s">
        <v>134</v>
      </c>
      <c r="AX351" t="s">
        <v>134</v>
      </c>
      <c r="AY351" t="s">
        <v>134</v>
      </c>
      <c r="AZ351" t="s">
        <v>134</v>
      </c>
      <c r="BA351" t="s">
        <v>134</v>
      </c>
      <c r="BB351" t="s">
        <v>134</v>
      </c>
      <c r="BC351" t="s">
        <v>134</v>
      </c>
      <c r="BD351" t="s">
        <v>134</v>
      </c>
      <c r="BE351" t="s">
        <v>134</v>
      </c>
      <c r="BF351">
        <v>5.7306999999999997</v>
      </c>
      <c r="BG351">
        <v>16.580500000000001</v>
      </c>
      <c r="BH351">
        <v>19.169699999999999</v>
      </c>
      <c r="BI351">
        <v>21.54</v>
      </c>
      <c r="BJ351">
        <v>21.276599999999998</v>
      </c>
      <c r="BK351" t="s">
        <v>134</v>
      </c>
      <c r="BL351" t="s">
        <v>134</v>
      </c>
      <c r="BM351" t="s">
        <v>134</v>
      </c>
      <c r="BN351" t="s">
        <v>134</v>
      </c>
      <c r="BO351" t="s">
        <v>134</v>
      </c>
      <c r="BP351" t="s">
        <v>134</v>
      </c>
      <c r="BQ351" t="s">
        <v>134</v>
      </c>
      <c r="BR351" t="s">
        <v>134</v>
      </c>
      <c r="BS351" t="s">
        <v>134</v>
      </c>
      <c r="BT351" t="s">
        <v>134</v>
      </c>
      <c r="BU351" t="s">
        <v>134</v>
      </c>
      <c r="BV351" t="s">
        <v>134</v>
      </c>
      <c r="BW351" t="s">
        <v>134</v>
      </c>
      <c r="BX351" t="s">
        <v>134</v>
      </c>
      <c r="BY351" t="s">
        <v>134</v>
      </c>
      <c r="BZ351" t="s">
        <v>134</v>
      </c>
      <c r="CA351" t="s">
        <v>134</v>
      </c>
      <c r="CB351" t="s">
        <v>134</v>
      </c>
      <c r="CC351" t="s">
        <v>134</v>
      </c>
      <c r="CD351" t="s">
        <v>134</v>
      </c>
      <c r="CE351" t="s">
        <v>134</v>
      </c>
      <c r="CF351">
        <v>77.850499999999997</v>
      </c>
      <c r="CG351" t="s">
        <v>134</v>
      </c>
      <c r="CH351" t="s">
        <v>134</v>
      </c>
      <c r="CI351" t="s">
        <v>134</v>
      </c>
      <c r="CJ351" t="s">
        <v>134</v>
      </c>
      <c r="CK351" t="s">
        <v>134</v>
      </c>
      <c r="CL351" t="s">
        <v>134</v>
      </c>
      <c r="CM351" t="s">
        <v>134</v>
      </c>
      <c r="CN351" t="s">
        <v>134</v>
      </c>
      <c r="CO351" t="s">
        <v>134</v>
      </c>
      <c r="CP351">
        <v>3020.6</v>
      </c>
      <c r="CQ351" t="s">
        <v>134</v>
      </c>
      <c r="CR351">
        <v>2807.4</v>
      </c>
      <c r="CS351" t="s">
        <v>134</v>
      </c>
      <c r="CT351" t="s">
        <v>134</v>
      </c>
      <c r="CU351" t="s">
        <v>134</v>
      </c>
      <c r="CV351" t="s">
        <v>134</v>
      </c>
      <c r="CW351" t="s">
        <v>134</v>
      </c>
      <c r="CX351" t="s">
        <v>134</v>
      </c>
      <c r="CY351" t="s">
        <v>134</v>
      </c>
      <c r="CZ351" t="s">
        <v>134</v>
      </c>
      <c r="DA351" t="s">
        <v>134</v>
      </c>
      <c r="DB351" t="s">
        <v>134</v>
      </c>
      <c r="DC351" t="s">
        <v>134</v>
      </c>
      <c r="DD351" t="s">
        <v>134</v>
      </c>
      <c r="DE351" t="s">
        <v>134</v>
      </c>
      <c r="DF351" t="s">
        <v>134</v>
      </c>
      <c r="DG351" t="s">
        <v>134</v>
      </c>
      <c r="DH351" t="s">
        <v>134</v>
      </c>
      <c r="DI351" t="s">
        <v>134</v>
      </c>
    </row>
    <row r="352" spans="4:113" x14ac:dyDescent="0.3">
      <c r="E352" t="s">
        <v>7</v>
      </c>
      <c r="F352">
        <v>33.459699999999998</v>
      </c>
      <c r="G352">
        <v>21.116800000000001</v>
      </c>
      <c r="H352">
        <v>30.847100000000001</v>
      </c>
      <c r="I352">
        <v>27.776699999999998</v>
      </c>
      <c r="J352">
        <v>17.0442</v>
      </c>
      <c r="K352">
        <v>15.4842</v>
      </c>
      <c r="L352" t="s">
        <v>134</v>
      </c>
      <c r="M352">
        <v>16.715900000000001</v>
      </c>
      <c r="N352">
        <v>12.377599999999999</v>
      </c>
      <c r="O352">
        <v>12.2006</v>
      </c>
      <c r="P352">
        <v>12.2006</v>
      </c>
      <c r="Q352">
        <v>25.9529</v>
      </c>
      <c r="R352" t="s">
        <v>134</v>
      </c>
      <c r="S352" t="s">
        <v>134</v>
      </c>
      <c r="T352">
        <v>12.5886</v>
      </c>
      <c r="U352">
        <v>-2.4628999999999999</v>
      </c>
      <c r="V352">
        <v>-1.2751000000000001</v>
      </c>
      <c r="W352">
        <v>7.0484</v>
      </c>
      <c r="X352">
        <v>6.8701999999999996</v>
      </c>
      <c r="Y352" t="s">
        <v>134</v>
      </c>
      <c r="Z352">
        <v>37.884099999999997</v>
      </c>
      <c r="AA352">
        <v>20.538699999999999</v>
      </c>
      <c r="AB352">
        <v>0.43340000000000001</v>
      </c>
      <c r="AC352">
        <v>12.352600000000001</v>
      </c>
      <c r="AD352">
        <v>28.110399999999998</v>
      </c>
      <c r="AE352">
        <v>17.142700000000001</v>
      </c>
      <c r="AF352">
        <v>17.951499999999999</v>
      </c>
      <c r="AG352">
        <v>21.2102</v>
      </c>
      <c r="AH352">
        <v>29.514199999999999</v>
      </c>
      <c r="AI352">
        <v>9.25</v>
      </c>
      <c r="AJ352">
        <v>11.1272</v>
      </c>
      <c r="AK352">
        <v>9.3055000000000003</v>
      </c>
      <c r="AL352" t="s">
        <v>134</v>
      </c>
      <c r="AM352">
        <v>8.2172000000000001</v>
      </c>
      <c r="AN352">
        <v>15.966100000000001</v>
      </c>
      <c r="AO352">
        <v>19.270600000000002</v>
      </c>
      <c r="AP352">
        <v>16.578900000000001</v>
      </c>
      <c r="AQ352">
        <v>16.585100000000001</v>
      </c>
      <c r="AR352" t="s">
        <v>134</v>
      </c>
      <c r="AS352">
        <v>11.6205</v>
      </c>
      <c r="AT352">
        <v>11.860099999999999</v>
      </c>
      <c r="AU352">
        <v>-0.61660000000000004</v>
      </c>
      <c r="AV352">
        <v>1.9422000000000001</v>
      </c>
      <c r="AW352">
        <v>-0.56230000000000002</v>
      </c>
      <c r="AX352">
        <v>30.8292</v>
      </c>
      <c r="AY352" t="s">
        <v>134</v>
      </c>
      <c r="AZ352">
        <v>-4.1661999999999999</v>
      </c>
      <c r="BA352">
        <v>-17.116700000000002</v>
      </c>
      <c r="BB352">
        <v>4.8493000000000004</v>
      </c>
      <c r="BC352">
        <v>0.40500000000000003</v>
      </c>
      <c r="BD352">
        <v>5.0937999999999999</v>
      </c>
      <c r="BE352" t="s">
        <v>134</v>
      </c>
      <c r="BF352">
        <v>-8.8800000000000008</v>
      </c>
      <c r="BG352">
        <v>-16.483499999999999</v>
      </c>
      <c r="BH352">
        <v>-18.3657</v>
      </c>
      <c r="BI352">
        <v>-18.108000000000001</v>
      </c>
      <c r="BJ352">
        <v>-18.128699999999998</v>
      </c>
      <c r="BK352" t="s">
        <v>134</v>
      </c>
      <c r="BL352" t="s">
        <v>134</v>
      </c>
      <c r="BM352" t="s">
        <v>134</v>
      </c>
      <c r="BN352" t="s">
        <v>134</v>
      </c>
      <c r="BO352" t="s">
        <v>134</v>
      </c>
      <c r="BP352" t="s">
        <v>134</v>
      </c>
      <c r="BQ352" t="s">
        <v>134</v>
      </c>
      <c r="BR352" t="s">
        <v>134</v>
      </c>
      <c r="BS352" t="s">
        <v>134</v>
      </c>
      <c r="BT352" t="s">
        <v>134</v>
      </c>
      <c r="BU352" t="s">
        <v>134</v>
      </c>
      <c r="BV352" t="s">
        <v>134</v>
      </c>
      <c r="BW352" t="s">
        <v>134</v>
      </c>
      <c r="BX352" t="s">
        <v>134</v>
      </c>
      <c r="BY352">
        <v>3092.8</v>
      </c>
      <c r="BZ352">
        <v>2894.5</v>
      </c>
      <c r="CA352">
        <v>198.3</v>
      </c>
      <c r="CB352">
        <v>0.27179999999999999</v>
      </c>
      <c r="CC352">
        <v>-0.33100000000000002</v>
      </c>
      <c r="CD352">
        <v>0.2949</v>
      </c>
      <c r="CE352">
        <v>-0.35920000000000002</v>
      </c>
      <c r="CF352">
        <v>47.688099999999999</v>
      </c>
      <c r="CG352">
        <v>62.302500000000002</v>
      </c>
      <c r="CH352">
        <v>0.77600000000000002</v>
      </c>
      <c r="CI352">
        <v>0.69220000000000004</v>
      </c>
      <c r="CJ352">
        <v>0.4859</v>
      </c>
      <c r="CK352">
        <v>12.1031</v>
      </c>
      <c r="CL352">
        <v>10.7964</v>
      </c>
      <c r="CM352">
        <v>7.5776000000000003</v>
      </c>
      <c r="CN352">
        <v>-14.7387</v>
      </c>
      <c r="CO352">
        <v>-17.2865</v>
      </c>
      <c r="CP352">
        <v>2522.6999999999998</v>
      </c>
      <c r="CQ352" t="s">
        <v>134</v>
      </c>
      <c r="CR352">
        <v>2291.8000000000002</v>
      </c>
      <c r="CS352">
        <v>0.47060000000000002</v>
      </c>
      <c r="CT352">
        <v>1.9163999999999999</v>
      </c>
      <c r="CU352">
        <v>0.70420000000000005</v>
      </c>
      <c r="CV352">
        <v>20.7225</v>
      </c>
      <c r="CW352">
        <v>21.520499999999998</v>
      </c>
      <c r="CX352">
        <v>16.960599999999999</v>
      </c>
      <c r="CY352">
        <v>2.5863</v>
      </c>
      <c r="CZ352">
        <v>141.13059999999999</v>
      </c>
      <c r="DA352">
        <v>5.048</v>
      </c>
      <c r="DB352">
        <v>72.305899999999994</v>
      </c>
      <c r="DC352">
        <v>85.785300000000007</v>
      </c>
      <c r="DD352">
        <v>158.09119999999999</v>
      </c>
      <c r="DE352">
        <v>15108.8</v>
      </c>
      <c r="DF352">
        <v>6143.8</v>
      </c>
      <c r="DG352">
        <v>2578.4</v>
      </c>
      <c r="DH352">
        <v>5279.7</v>
      </c>
      <c r="DI352">
        <v>1106.9000000000001</v>
      </c>
    </row>
    <row r="353" spans="1:113" x14ac:dyDescent="0.3">
      <c r="A353">
        <v>65</v>
      </c>
      <c r="B353" t="s">
        <v>38</v>
      </c>
      <c r="C353" t="s">
        <v>39</v>
      </c>
      <c r="D353" t="s">
        <v>2</v>
      </c>
      <c r="E353" t="s">
        <v>3</v>
      </c>
      <c r="F353">
        <v>14.08</v>
      </c>
      <c r="G353">
        <v>9.6826000000000008</v>
      </c>
      <c r="H353">
        <v>13.5723</v>
      </c>
      <c r="I353">
        <v>11.3583</v>
      </c>
      <c r="J353">
        <v>12.674099999999999</v>
      </c>
      <c r="K353">
        <v>7.7841000000000005</v>
      </c>
      <c r="L353">
        <v>1392.8444</v>
      </c>
      <c r="M353">
        <v>8.6287000000000003</v>
      </c>
      <c r="N353">
        <v>6.5967000000000002</v>
      </c>
      <c r="O353">
        <v>6.593</v>
      </c>
      <c r="P353">
        <v>6.593</v>
      </c>
      <c r="Q353">
        <v>24.1631</v>
      </c>
      <c r="R353">
        <v>12.7064</v>
      </c>
      <c r="S353">
        <v>12.290900000000001</v>
      </c>
      <c r="T353">
        <v>0.12939999999999999</v>
      </c>
      <c r="U353">
        <v>22.433800000000002</v>
      </c>
      <c r="V353">
        <v>30.065300000000001</v>
      </c>
      <c r="W353">
        <v>15.539400000000001</v>
      </c>
      <c r="X353">
        <v>15.537100000000001</v>
      </c>
      <c r="Y353">
        <v>50</v>
      </c>
      <c r="Z353">
        <v>-3.0217999999999998</v>
      </c>
      <c r="AA353">
        <v>-6.5705999999999998</v>
      </c>
      <c r="AB353">
        <v>14.659700000000001</v>
      </c>
      <c r="AC353">
        <v>14.152699999999999</v>
      </c>
      <c r="AD353">
        <v>-104.5056</v>
      </c>
      <c r="AE353">
        <v>46.902900000000002</v>
      </c>
      <c r="AF353">
        <v>16.894200000000001</v>
      </c>
      <c r="AG353">
        <v>59.358699999999999</v>
      </c>
      <c r="AH353">
        <v>27.747299999999999</v>
      </c>
      <c r="AI353">
        <v>12.9748</v>
      </c>
      <c r="AJ353">
        <v>14.099399999999999</v>
      </c>
      <c r="AK353">
        <v>12.973599999999999</v>
      </c>
      <c r="AL353">
        <v>19.569199999999999</v>
      </c>
      <c r="AM353">
        <v>16.05</v>
      </c>
      <c r="AN353">
        <v>17.5748</v>
      </c>
      <c r="AO353">
        <v>14.3285</v>
      </c>
      <c r="AP353">
        <v>18.375</v>
      </c>
      <c r="AQ353">
        <v>17.326000000000001</v>
      </c>
      <c r="AR353">
        <v>27.944800000000001</v>
      </c>
      <c r="AS353">
        <v>8.7542000000000009</v>
      </c>
      <c r="AT353">
        <v>13.862299999999999</v>
      </c>
      <c r="AU353">
        <v>21.550999999999998</v>
      </c>
      <c r="AV353">
        <v>17.407</v>
      </c>
      <c r="AW353" t="s">
        <v>134</v>
      </c>
      <c r="AX353">
        <v>15.6579</v>
      </c>
      <c r="AY353">
        <v>13.996</v>
      </c>
      <c r="AZ353">
        <v>42.281599999999997</v>
      </c>
      <c r="BA353">
        <v>21.4391</v>
      </c>
      <c r="BB353">
        <v>17.593299999999999</v>
      </c>
      <c r="BC353">
        <v>17.893599999999999</v>
      </c>
      <c r="BD353">
        <v>16.5364</v>
      </c>
      <c r="BE353">
        <v>26.7669</v>
      </c>
      <c r="BF353">
        <v>0.12939999999999999</v>
      </c>
      <c r="BG353">
        <v>22.433800000000002</v>
      </c>
      <c r="BH353">
        <v>30.065300000000001</v>
      </c>
      <c r="BI353">
        <v>15.539400000000001</v>
      </c>
      <c r="BJ353">
        <v>15.537100000000001</v>
      </c>
      <c r="BK353">
        <v>50</v>
      </c>
      <c r="BL353">
        <v>-3.0217999999999998</v>
      </c>
      <c r="BM353">
        <v>-6.5705999999999998</v>
      </c>
      <c r="BN353">
        <v>14.659700000000001</v>
      </c>
      <c r="BO353">
        <v>14.152699999999999</v>
      </c>
      <c r="BP353" t="s">
        <v>134</v>
      </c>
      <c r="BQ353">
        <v>46.902900000000002</v>
      </c>
      <c r="BR353">
        <v>16.894200000000001</v>
      </c>
      <c r="BS353">
        <v>59.358699999999999</v>
      </c>
      <c r="BT353">
        <v>27.747299999999999</v>
      </c>
      <c r="BU353">
        <v>12.9748</v>
      </c>
      <c r="BV353">
        <v>14.099399999999999</v>
      </c>
      <c r="BW353">
        <v>12.973599999999999</v>
      </c>
      <c r="BX353">
        <v>19.569199999999999</v>
      </c>
      <c r="BY353">
        <v>20041</v>
      </c>
      <c r="BZ353">
        <v>13767</v>
      </c>
      <c r="CA353">
        <v>6274</v>
      </c>
      <c r="CB353">
        <v>0.3654</v>
      </c>
      <c r="CC353">
        <v>-1.395</v>
      </c>
      <c r="CD353">
        <v>0.59499999999999997</v>
      </c>
      <c r="CE353">
        <v>-2.2713000000000001</v>
      </c>
      <c r="CF353">
        <v>29.806000000000001</v>
      </c>
      <c r="CG353">
        <v>68.435000000000002</v>
      </c>
      <c r="CH353">
        <v>2.9169999999999998</v>
      </c>
      <c r="CI353">
        <v>2.6682999999999999</v>
      </c>
      <c r="CJ353">
        <v>1.9973999999999998</v>
      </c>
      <c r="CK353">
        <v>9.3177000000000003</v>
      </c>
      <c r="CL353">
        <v>8.5235000000000003</v>
      </c>
      <c r="CM353">
        <v>6.3802000000000003</v>
      </c>
      <c r="CN353">
        <v>-35.569000000000003</v>
      </c>
      <c r="CO353">
        <v>-55.204900000000002</v>
      </c>
      <c r="CP353">
        <v>54843</v>
      </c>
      <c r="CQ353">
        <v>19394</v>
      </c>
      <c r="CR353">
        <v>33683</v>
      </c>
      <c r="CS353">
        <v>1.173</v>
      </c>
      <c r="CT353">
        <v>1.7682</v>
      </c>
      <c r="CU353">
        <v>1.3538999999999999</v>
      </c>
      <c r="CV353">
        <v>6.3746999999999998</v>
      </c>
      <c r="CW353">
        <v>28.613199999999999</v>
      </c>
      <c r="CX353">
        <v>12.7563</v>
      </c>
      <c r="CY353">
        <v>17.4406</v>
      </c>
      <c r="CZ353">
        <v>20.9282</v>
      </c>
      <c r="DA353">
        <v>6.8360000000000003</v>
      </c>
      <c r="DB353">
        <v>53.394100000000002</v>
      </c>
      <c r="DC353">
        <v>-19.709600000000002</v>
      </c>
      <c r="DD353">
        <v>33.6845</v>
      </c>
      <c r="DE353">
        <v>17632</v>
      </c>
      <c r="DF353">
        <v>8764</v>
      </c>
      <c r="DG353">
        <v>1527</v>
      </c>
      <c r="DH353">
        <v>5690</v>
      </c>
      <c r="DI353">
        <v>1651</v>
      </c>
    </row>
    <row r="354" spans="1:113" x14ac:dyDescent="0.3">
      <c r="E354" t="s">
        <v>4</v>
      </c>
      <c r="F354" t="s">
        <v>134</v>
      </c>
      <c r="G354" t="s">
        <v>134</v>
      </c>
      <c r="H354" t="s">
        <v>134</v>
      </c>
      <c r="I354" t="s">
        <v>134</v>
      </c>
      <c r="J354" t="s">
        <v>134</v>
      </c>
      <c r="K354" t="s">
        <v>134</v>
      </c>
      <c r="L354" t="s">
        <v>134</v>
      </c>
      <c r="M354" t="s">
        <v>134</v>
      </c>
      <c r="N354" t="s">
        <v>134</v>
      </c>
      <c r="O354" t="s">
        <v>134</v>
      </c>
      <c r="P354" t="s">
        <v>134</v>
      </c>
      <c r="Q354" t="s">
        <v>134</v>
      </c>
      <c r="R354" t="s">
        <v>134</v>
      </c>
      <c r="S354" t="s">
        <v>134</v>
      </c>
      <c r="T354" t="s">
        <v>134</v>
      </c>
      <c r="U354" t="s">
        <v>134</v>
      </c>
      <c r="V354" t="s">
        <v>134</v>
      </c>
      <c r="W354" t="s">
        <v>134</v>
      </c>
      <c r="X354" t="s">
        <v>134</v>
      </c>
      <c r="Y354" t="s">
        <v>134</v>
      </c>
      <c r="Z354" t="s">
        <v>134</v>
      </c>
      <c r="AA354" t="s">
        <v>134</v>
      </c>
      <c r="AB354" t="s">
        <v>134</v>
      </c>
      <c r="AC354" t="s">
        <v>134</v>
      </c>
      <c r="AD354" t="s">
        <v>134</v>
      </c>
      <c r="AE354" t="s">
        <v>134</v>
      </c>
      <c r="AF354" t="s">
        <v>134</v>
      </c>
      <c r="AG354" t="s">
        <v>134</v>
      </c>
      <c r="AH354" t="s">
        <v>134</v>
      </c>
      <c r="AI354" t="s">
        <v>134</v>
      </c>
      <c r="AJ354" t="s">
        <v>134</v>
      </c>
      <c r="AK354" t="s">
        <v>134</v>
      </c>
      <c r="AL354" t="s">
        <v>134</v>
      </c>
      <c r="AM354" t="s">
        <v>134</v>
      </c>
      <c r="AN354" t="s">
        <v>134</v>
      </c>
      <c r="AO354" t="s">
        <v>134</v>
      </c>
      <c r="AP354" t="s">
        <v>134</v>
      </c>
      <c r="AQ354" t="s">
        <v>134</v>
      </c>
      <c r="AR354" t="s">
        <v>134</v>
      </c>
      <c r="AS354" t="s">
        <v>134</v>
      </c>
      <c r="AT354" t="s">
        <v>134</v>
      </c>
      <c r="AU354" t="s">
        <v>134</v>
      </c>
      <c r="AV354" t="s">
        <v>134</v>
      </c>
      <c r="AW354" t="s">
        <v>134</v>
      </c>
      <c r="AX354" t="s">
        <v>134</v>
      </c>
      <c r="AY354" t="s">
        <v>134</v>
      </c>
      <c r="AZ354" t="s">
        <v>134</v>
      </c>
      <c r="BA354" t="s">
        <v>134</v>
      </c>
      <c r="BB354" t="s">
        <v>134</v>
      </c>
      <c r="BC354" t="s">
        <v>134</v>
      </c>
      <c r="BD354" t="s">
        <v>134</v>
      </c>
      <c r="BE354" t="s">
        <v>134</v>
      </c>
      <c r="BF354" t="s">
        <v>134</v>
      </c>
      <c r="BG354" t="s">
        <v>134</v>
      </c>
      <c r="BH354" t="s">
        <v>134</v>
      </c>
      <c r="BI354" t="s">
        <v>134</v>
      </c>
      <c r="BJ354" t="s">
        <v>134</v>
      </c>
      <c r="BK354" t="s">
        <v>134</v>
      </c>
      <c r="BL354" t="s">
        <v>134</v>
      </c>
      <c r="BM354" t="s">
        <v>134</v>
      </c>
      <c r="BN354" t="s">
        <v>134</v>
      </c>
      <c r="BO354" t="s">
        <v>134</v>
      </c>
      <c r="BP354" t="s">
        <v>134</v>
      </c>
      <c r="BQ354" t="s">
        <v>134</v>
      </c>
      <c r="BR354" t="s">
        <v>134</v>
      </c>
      <c r="BS354" t="s">
        <v>134</v>
      </c>
      <c r="BT354" t="s">
        <v>134</v>
      </c>
      <c r="BU354" t="s">
        <v>134</v>
      </c>
      <c r="BV354" t="s">
        <v>134</v>
      </c>
      <c r="BW354" t="s">
        <v>134</v>
      </c>
      <c r="BX354" t="s">
        <v>134</v>
      </c>
      <c r="BY354" t="s">
        <v>134</v>
      </c>
      <c r="BZ354" t="s">
        <v>134</v>
      </c>
      <c r="CA354" t="s">
        <v>134</v>
      </c>
      <c r="CB354" t="s">
        <v>134</v>
      </c>
      <c r="CC354" t="s">
        <v>134</v>
      </c>
      <c r="CD354" t="s">
        <v>134</v>
      </c>
      <c r="CE354" t="s">
        <v>134</v>
      </c>
      <c r="CF354" t="s">
        <v>134</v>
      </c>
      <c r="CG354" t="s">
        <v>134</v>
      </c>
      <c r="CH354" t="s">
        <v>134</v>
      </c>
      <c r="CI354" t="s">
        <v>134</v>
      </c>
      <c r="CJ354" t="s">
        <v>134</v>
      </c>
      <c r="CK354" t="s">
        <v>134</v>
      </c>
      <c r="CL354" t="s">
        <v>134</v>
      </c>
      <c r="CM354" t="s">
        <v>134</v>
      </c>
      <c r="CN354" t="s">
        <v>134</v>
      </c>
      <c r="CO354" t="s">
        <v>134</v>
      </c>
      <c r="CP354" t="s">
        <v>134</v>
      </c>
      <c r="CQ354" t="s">
        <v>134</v>
      </c>
      <c r="CR354" t="s">
        <v>134</v>
      </c>
      <c r="CS354" t="s">
        <v>134</v>
      </c>
      <c r="CT354" t="s">
        <v>134</v>
      </c>
      <c r="CU354" t="s">
        <v>134</v>
      </c>
      <c r="CV354" t="s">
        <v>134</v>
      </c>
      <c r="CW354" t="s">
        <v>134</v>
      </c>
      <c r="CX354" t="s">
        <v>134</v>
      </c>
      <c r="CY354" t="s">
        <v>134</v>
      </c>
      <c r="CZ354" t="s">
        <v>134</v>
      </c>
      <c r="DA354" t="s">
        <v>134</v>
      </c>
      <c r="DB354" t="s">
        <v>134</v>
      </c>
      <c r="DC354" t="s">
        <v>134</v>
      </c>
      <c r="DD354" t="s">
        <v>134</v>
      </c>
      <c r="DE354" t="s">
        <v>134</v>
      </c>
      <c r="DF354" t="s">
        <v>134</v>
      </c>
      <c r="DG354" t="s">
        <v>134</v>
      </c>
      <c r="DH354" t="s">
        <v>134</v>
      </c>
      <c r="DI354" t="s">
        <v>134</v>
      </c>
    </row>
    <row r="355" spans="1:113" x14ac:dyDescent="0.3">
      <c r="E355" t="s">
        <v>5</v>
      </c>
      <c r="F355" t="s">
        <v>134</v>
      </c>
      <c r="G355" t="s">
        <v>134</v>
      </c>
      <c r="H355" t="s">
        <v>134</v>
      </c>
      <c r="I355" t="s">
        <v>134</v>
      </c>
      <c r="J355" t="s">
        <v>134</v>
      </c>
      <c r="K355" t="s">
        <v>134</v>
      </c>
      <c r="L355" t="s">
        <v>134</v>
      </c>
      <c r="M355" t="s">
        <v>134</v>
      </c>
      <c r="N355" t="s">
        <v>134</v>
      </c>
      <c r="O355" t="s">
        <v>134</v>
      </c>
      <c r="P355" t="s">
        <v>134</v>
      </c>
      <c r="Q355" t="s">
        <v>134</v>
      </c>
      <c r="R355" t="s">
        <v>134</v>
      </c>
      <c r="S355" t="s">
        <v>134</v>
      </c>
      <c r="T355" t="s">
        <v>134</v>
      </c>
      <c r="U355" t="s">
        <v>134</v>
      </c>
      <c r="V355" t="s">
        <v>134</v>
      </c>
      <c r="W355" t="s">
        <v>134</v>
      </c>
      <c r="X355" t="s">
        <v>134</v>
      </c>
      <c r="Y355" t="s">
        <v>134</v>
      </c>
      <c r="Z355" t="s">
        <v>134</v>
      </c>
      <c r="AA355" t="s">
        <v>134</v>
      </c>
      <c r="AB355" t="s">
        <v>134</v>
      </c>
      <c r="AC355" t="s">
        <v>134</v>
      </c>
      <c r="AD355" t="s">
        <v>134</v>
      </c>
      <c r="AE355" t="s">
        <v>134</v>
      </c>
      <c r="AF355" t="s">
        <v>134</v>
      </c>
      <c r="AG355" t="s">
        <v>134</v>
      </c>
      <c r="AH355" t="s">
        <v>134</v>
      </c>
      <c r="AI355" t="s">
        <v>134</v>
      </c>
      <c r="AJ355" t="s">
        <v>134</v>
      </c>
      <c r="AK355" t="s">
        <v>134</v>
      </c>
      <c r="AL355" t="s">
        <v>134</v>
      </c>
      <c r="AM355" t="s">
        <v>134</v>
      </c>
      <c r="AN355" t="s">
        <v>134</v>
      </c>
      <c r="AO355" t="s">
        <v>134</v>
      </c>
      <c r="AP355" t="s">
        <v>134</v>
      </c>
      <c r="AQ355" t="s">
        <v>134</v>
      </c>
      <c r="AR355" t="s">
        <v>134</v>
      </c>
      <c r="AS355" t="s">
        <v>134</v>
      </c>
      <c r="AT355" t="s">
        <v>134</v>
      </c>
      <c r="AU355" t="s">
        <v>134</v>
      </c>
      <c r="AV355" t="s">
        <v>134</v>
      </c>
      <c r="AW355" t="s">
        <v>134</v>
      </c>
      <c r="AX355" t="s">
        <v>134</v>
      </c>
      <c r="AY355" t="s">
        <v>134</v>
      </c>
      <c r="AZ355" t="s">
        <v>134</v>
      </c>
      <c r="BA355" t="s">
        <v>134</v>
      </c>
      <c r="BB355" t="s">
        <v>134</v>
      </c>
      <c r="BC355" t="s">
        <v>134</v>
      </c>
      <c r="BD355" t="s">
        <v>134</v>
      </c>
      <c r="BE355" t="s">
        <v>134</v>
      </c>
      <c r="BF355" t="s">
        <v>134</v>
      </c>
      <c r="BG355" t="s">
        <v>134</v>
      </c>
      <c r="BH355" t="s">
        <v>134</v>
      </c>
      <c r="BI355" t="s">
        <v>134</v>
      </c>
      <c r="BJ355" t="s">
        <v>134</v>
      </c>
      <c r="BK355" t="s">
        <v>134</v>
      </c>
      <c r="BL355" t="s">
        <v>134</v>
      </c>
      <c r="BM355" t="s">
        <v>134</v>
      </c>
      <c r="BN355" t="s">
        <v>134</v>
      </c>
      <c r="BO355" t="s">
        <v>134</v>
      </c>
      <c r="BP355" t="s">
        <v>134</v>
      </c>
      <c r="BQ355" t="s">
        <v>134</v>
      </c>
      <c r="BR355" t="s">
        <v>134</v>
      </c>
      <c r="BS355" t="s">
        <v>134</v>
      </c>
      <c r="BT355" t="s">
        <v>134</v>
      </c>
      <c r="BU355" t="s">
        <v>134</v>
      </c>
      <c r="BV355" t="s">
        <v>134</v>
      </c>
      <c r="BW355" t="s">
        <v>134</v>
      </c>
      <c r="BX355" t="s">
        <v>134</v>
      </c>
      <c r="BY355" t="s">
        <v>134</v>
      </c>
      <c r="BZ355" t="s">
        <v>134</v>
      </c>
      <c r="CA355" t="s">
        <v>134</v>
      </c>
      <c r="CB355" t="s">
        <v>134</v>
      </c>
      <c r="CC355" t="s">
        <v>134</v>
      </c>
      <c r="CD355" t="s">
        <v>134</v>
      </c>
      <c r="CE355" t="s">
        <v>134</v>
      </c>
      <c r="CF355" t="s">
        <v>134</v>
      </c>
      <c r="CG355" t="s">
        <v>134</v>
      </c>
      <c r="CH355" t="s">
        <v>134</v>
      </c>
      <c r="CI355" t="s">
        <v>134</v>
      </c>
      <c r="CJ355" t="s">
        <v>134</v>
      </c>
      <c r="CK355" t="s">
        <v>134</v>
      </c>
      <c r="CL355" t="s">
        <v>134</v>
      </c>
      <c r="CM355" t="s">
        <v>134</v>
      </c>
      <c r="CN355" t="s">
        <v>134</v>
      </c>
      <c r="CO355" t="s">
        <v>134</v>
      </c>
      <c r="CP355" t="s">
        <v>134</v>
      </c>
      <c r="CQ355" t="s">
        <v>134</v>
      </c>
      <c r="CR355" t="s">
        <v>134</v>
      </c>
      <c r="CS355" t="s">
        <v>134</v>
      </c>
      <c r="CT355" t="s">
        <v>134</v>
      </c>
      <c r="CU355" t="s">
        <v>134</v>
      </c>
      <c r="CV355" t="s">
        <v>134</v>
      </c>
      <c r="CW355" t="s">
        <v>134</v>
      </c>
      <c r="CX355" t="s">
        <v>134</v>
      </c>
      <c r="CY355" t="s">
        <v>134</v>
      </c>
      <c r="CZ355" t="s">
        <v>134</v>
      </c>
      <c r="DA355" t="s">
        <v>134</v>
      </c>
      <c r="DB355" t="s">
        <v>134</v>
      </c>
      <c r="DC355" t="s">
        <v>134</v>
      </c>
      <c r="DD355" t="s">
        <v>134</v>
      </c>
      <c r="DE355" t="s">
        <v>134</v>
      </c>
      <c r="DF355" t="s">
        <v>134</v>
      </c>
      <c r="DG355" t="s">
        <v>134</v>
      </c>
      <c r="DH355" t="s">
        <v>134</v>
      </c>
      <c r="DI355" t="s">
        <v>134</v>
      </c>
    </row>
    <row r="356" spans="1:113" x14ac:dyDescent="0.3">
      <c r="E356" t="s">
        <v>6</v>
      </c>
      <c r="F356" t="s">
        <v>134</v>
      </c>
      <c r="G356" t="s">
        <v>134</v>
      </c>
      <c r="H356" t="s">
        <v>134</v>
      </c>
      <c r="I356" t="s">
        <v>134</v>
      </c>
      <c r="J356" t="s">
        <v>134</v>
      </c>
      <c r="K356" t="s">
        <v>134</v>
      </c>
      <c r="L356" t="s">
        <v>134</v>
      </c>
      <c r="M356" t="s">
        <v>134</v>
      </c>
      <c r="N356" t="s">
        <v>134</v>
      </c>
      <c r="O356" t="s">
        <v>134</v>
      </c>
      <c r="P356" t="s">
        <v>134</v>
      </c>
      <c r="Q356" t="s">
        <v>134</v>
      </c>
      <c r="R356" t="s">
        <v>134</v>
      </c>
      <c r="S356" t="s">
        <v>134</v>
      </c>
      <c r="T356" t="s">
        <v>134</v>
      </c>
      <c r="U356" t="s">
        <v>134</v>
      </c>
      <c r="V356" t="s">
        <v>134</v>
      </c>
      <c r="W356" t="s">
        <v>134</v>
      </c>
      <c r="X356" t="s">
        <v>134</v>
      </c>
      <c r="Y356" t="s">
        <v>134</v>
      </c>
      <c r="Z356" t="s">
        <v>134</v>
      </c>
      <c r="AA356" t="s">
        <v>134</v>
      </c>
      <c r="AB356" t="s">
        <v>134</v>
      </c>
      <c r="AC356" t="s">
        <v>134</v>
      </c>
      <c r="AD356" t="s">
        <v>134</v>
      </c>
      <c r="AE356" t="s">
        <v>134</v>
      </c>
      <c r="AF356" t="s">
        <v>134</v>
      </c>
      <c r="AG356" t="s">
        <v>134</v>
      </c>
      <c r="AH356" t="s">
        <v>134</v>
      </c>
      <c r="AI356" t="s">
        <v>134</v>
      </c>
      <c r="AJ356" t="s">
        <v>134</v>
      </c>
      <c r="AK356" t="s">
        <v>134</v>
      </c>
      <c r="AL356" t="s">
        <v>134</v>
      </c>
      <c r="AM356" t="s">
        <v>134</v>
      </c>
      <c r="AN356" t="s">
        <v>134</v>
      </c>
      <c r="AO356" t="s">
        <v>134</v>
      </c>
      <c r="AP356" t="s">
        <v>134</v>
      </c>
      <c r="AQ356" t="s">
        <v>134</v>
      </c>
      <c r="AR356" t="s">
        <v>134</v>
      </c>
      <c r="AS356" t="s">
        <v>134</v>
      </c>
      <c r="AT356" t="s">
        <v>134</v>
      </c>
      <c r="AU356" t="s">
        <v>134</v>
      </c>
      <c r="AV356" t="s">
        <v>134</v>
      </c>
      <c r="AW356" t="s">
        <v>134</v>
      </c>
      <c r="AX356" t="s">
        <v>134</v>
      </c>
      <c r="AY356" t="s">
        <v>134</v>
      </c>
      <c r="AZ356" t="s">
        <v>134</v>
      </c>
      <c r="BA356" t="s">
        <v>134</v>
      </c>
      <c r="BB356" t="s">
        <v>134</v>
      </c>
      <c r="BC356" t="s">
        <v>134</v>
      </c>
      <c r="BD356" t="s">
        <v>134</v>
      </c>
      <c r="BE356" t="s">
        <v>134</v>
      </c>
      <c r="BF356" t="s">
        <v>134</v>
      </c>
      <c r="BG356" t="s">
        <v>134</v>
      </c>
      <c r="BH356" t="s">
        <v>134</v>
      </c>
      <c r="BI356" t="s">
        <v>134</v>
      </c>
      <c r="BJ356" t="s">
        <v>134</v>
      </c>
      <c r="BK356" t="s">
        <v>134</v>
      </c>
      <c r="BL356" t="s">
        <v>134</v>
      </c>
      <c r="BM356" t="s">
        <v>134</v>
      </c>
      <c r="BN356" t="s">
        <v>134</v>
      </c>
      <c r="BO356" t="s">
        <v>134</v>
      </c>
      <c r="BP356" t="s">
        <v>134</v>
      </c>
      <c r="BQ356" t="s">
        <v>134</v>
      </c>
      <c r="BR356" t="s">
        <v>134</v>
      </c>
      <c r="BS356" t="s">
        <v>134</v>
      </c>
      <c r="BT356" t="s">
        <v>134</v>
      </c>
      <c r="BU356" t="s">
        <v>134</v>
      </c>
      <c r="BV356" t="s">
        <v>134</v>
      </c>
      <c r="BW356" t="s">
        <v>134</v>
      </c>
      <c r="BX356" t="s">
        <v>134</v>
      </c>
      <c r="BY356" t="s">
        <v>134</v>
      </c>
      <c r="BZ356" t="s">
        <v>134</v>
      </c>
      <c r="CA356" t="s">
        <v>134</v>
      </c>
      <c r="CB356" t="s">
        <v>134</v>
      </c>
      <c r="CC356" t="s">
        <v>134</v>
      </c>
      <c r="CD356" t="s">
        <v>134</v>
      </c>
      <c r="CE356" t="s">
        <v>134</v>
      </c>
      <c r="CF356" t="s">
        <v>134</v>
      </c>
      <c r="CG356" t="s">
        <v>134</v>
      </c>
      <c r="CH356" t="s">
        <v>134</v>
      </c>
      <c r="CI356" t="s">
        <v>134</v>
      </c>
      <c r="CJ356" t="s">
        <v>134</v>
      </c>
      <c r="CK356" t="s">
        <v>134</v>
      </c>
      <c r="CL356" t="s">
        <v>134</v>
      </c>
      <c r="CM356" t="s">
        <v>134</v>
      </c>
      <c r="CN356" t="s">
        <v>134</v>
      </c>
      <c r="CO356" t="s">
        <v>134</v>
      </c>
      <c r="CP356" t="s">
        <v>134</v>
      </c>
      <c r="CQ356" t="s">
        <v>134</v>
      </c>
      <c r="CR356" t="s">
        <v>134</v>
      </c>
      <c r="CS356" t="s">
        <v>134</v>
      </c>
      <c r="CT356" t="s">
        <v>134</v>
      </c>
      <c r="CU356" t="s">
        <v>134</v>
      </c>
      <c r="CV356" t="s">
        <v>134</v>
      </c>
      <c r="CW356" t="s">
        <v>134</v>
      </c>
      <c r="CX356" t="s">
        <v>134</v>
      </c>
      <c r="CY356" t="s">
        <v>134</v>
      </c>
      <c r="CZ356" t="s">
        <v>134</v>
      </c>
      <c r="DA356" t="s">
        <v>134</v>
      </c>
      <c r="DB356" t="s">
        <v>134</v>
      </c>
      <c r="DC356" t="s">
        <v>134</v>
      </c>
      <c r="DD356" t="s">
        <v>134</v>
      </c>
      <c r="DE356" t="s">
        <v>134</v>
      </c>
      <c r="DF356" t="s">
        <v>134</v>
      </c>
      <c r="DG356" t="s">
        <v>134</v>
      </c>
      <c r="DH356" t="s">
        <v>134</v>
      </c>
      <c r="DI356" t="s">
        <v>134</v>
      </c>
    </row>
    <row r="357" spans="1:113" x14ac:dyDescent="0.3">
      <c r="E357" t="s">
        <v>7</v>
      </c>
      <c r="F357" t="s">
        <v>134</v>
      </c>
      <c r="G357" t="s">
        <v>134</v>
      </c>
      <c r="H357" t="s">
        <v>134</v>
      </c>
      <c r="I357" t="s">
        <v>134</v>
      </c>
      <c r="J357" t="s">
        <v>134</v>
      </c>
      <c r="K357" t="s">
        <v>134</v>
      </c>
      <c r="L357" t="s">
        <v>134</v>
      </c>
      <c r="M357" t="s">
        <v>134</v>
      </c>
      <c r="N357" t="s">
        <v>134</v>
      </c>
      <c r="O357" t="s">
        <v>134</v>
      </c>
      <c r="P357" t="s">
        <v>134</v>
      </c>
      <c r="Q357" t="s">
        <v>134</v>
      </c>
      <c r="R357" t="s">
        <v>134</v>
      </c>
      <c r="S357" t="s">
        <v>134</v>
      </c>
      <c r="T357" t="s">
        <v>134</v>
      </c>
      <c r="U357" t="s">
        <v>134</v>
      </c>
      <c r="V357" t="s">
        <v>134</v>
      </c>
      <c r="W357" t="s">
        <v>134</v>
      </c>
      <c r="X357" t="s">
        <v>134</v>
      </c>
      <c r="Y357" t="s">
        <v>134</v>
      </c>
      <c r="Z357" t="s">
        <v>134</v>
      </c>
      <c r="AA357" t="s">
        <v>134</v>
      </c>
      <c r="AB357" t="s">
        <v>134</v>
      </c>
      <c r="AC357" t="s">
        <v>134</v>
      </c>
      <c r="AD357" t="s">
        <v>134</v>
      </c>
      <c r="AE357" t="s">
        <v>134</v>
      </c>
      <c r="AF357" t="s">
        <v>134</v>
      </c>
      <c r="AG357" t="s">
        <v>134</v>
      </c>
      <c r="AH357" t="s">
        <v>134</v>
      </c>
      <c r="AI357" t="s">
        <v>134</v>
      </c>
      <c r="AJ357" t="s">
        <v>134</v>
      </c>
      <c r="AK357" t="s">
        <v>134</v>
      </c>
      <c r="AL357" t="s">
        <v>134</v>
      </c>
      <c r="AM357" t="s">
        <v>134</v>
      </c>
      <c r="AN357" t="s">
        <v>134</v>
      </c>
      <c r="AO357" t="s">
        <v>134</v>
      </c>
      <c r="AP357" t="s">
        <v>134</v>
      </c>
      <c r="AQ357" t="s">
        <v>134</v>
      </c>
      <c r="AR357" t="s">
        <v>134</v>
      </c>
      <c r="AS357" t="s">
        <v>134</v>
      </c>
      <c r="AT357" t="s">
        <v>134</v>
      </c>
      <c r="AU357" t="s">
        <v>134</v>
      </c>
      <c r="AV357" t="s">
        <v>134</v>
      </c>
      <c r="AW357" t="s">
        <v>134</v>
      </c>
      <c r="AX357" t="s">
        <v>134</v>
      </c>
      <c r="AY357" t="s">
        <v>134</v>
      </c>
      <c r="AZ357" t="s">
        <v>134</v>
      </c>
      <c r="BA357" t="s">
        <v>134</v>
      </c>
      <c r="BB357" t="s">
        <v>134</v>
      </c>
      <c r="BC357" t="s">
        <v>134</v>
      </c>
      <c r="BD357" t="s">
        <v>134</v>
      </c>
      <c r="BE357" t="s">
        <v>134</v>
      </c>
      <c r="BF357" t="s">
        <v>134</v>
      </c>
      <c r="BG357" t="s">
        <v>134</v>
      </c>
      <c r="BH357" t="s">
        <v>134</v>
      </c>
      <c r="BI357" t="s">
        <v>134</v>
      </c>
      <c r="BJ357" t="s">
        <v>134</v>
      </c>
      <c r="BK357" t="s">
        <v>134</v>
      </c>
      <c r="BL357" t="s">
        <v>134</v>
      </c>
      <c r="BM357" t="s">
        <v>134</v>
      </c>
      <c r="BN357" t="s">
        <v>134</v>
      </c>
      <c r="BO357" t="s">
        <v>134</v>
      </c>
      <c r="BP357" t="s">
        <v>134</v>
      </c>
      <c r="BQ357" t="s">
        <v>134</v>
      </c>
      <c r="BR357" t="s">
        <v>134</v>
      </c>
      <c r="BS357" t="s">
        <v>134</v>
      </c>
      <c r="BT357" t="s">
        <v>134</v>
      </c>
      <c r="BU357" t="s">
        <v>134</v>
      </c>
      <c r="BV357" t="s">
        <v>134</v>
      </c>
      <c r="BW357" t="s">
        <v>134</v>
      </c>
      <c r="BX357" t="s">
        <v>134</v>
      </c>
      <c r="BY357" t="s">
        <v>134</v>
      </c>
      <c r="BZ357" t="s">
        <v>134</v>
      </c>
      <c r="CA357" t="s">
        <v>134</v>
      </c>
      <c r="CB357" t="s">
        <v>134</v>
      </c>
      <c r="CC357" t="s">
        <v>134</v>
      </c>
      <c r="CD357" t="s">
        <v>134</v>
      </c>
      <c r="CE357" t="s">
        <v>134</v>
      </c>
      <c r="CF357" t="s">
        <v>134</v>
      </c>
      <c r="CG357" t="s">
        <v>134</v>
      </c>
      <c r="CH357" t="s">
        <v>134</v>
      </c>
      <c r="CI357" t="s">
        <v>134</v>
      </c>
      <c r="CJ357" t="s">
        <v>134</v>
      </c>
      <c r="CK357" t="s">
        <v>134</v>
      </c>
      <c r="CL357" t="s">
        <v>134</v>
      </c>
      <c r="CM357" t="s">
        <v>134</v>
      </c>
      <c r="CN357" t="s">
        <v>134</v>
      </c>
      <c r="CO357" t="s">
        <v>134</v>
      </c>
      <c r="CP357" t="s">
        <v>134</v>
      </c>
      <c r="CQ357" t="s">
        <v>134</v>
      </c>
      <c r="CR357" t="s">
        <v>134</v>
      </c>
      <c r="CS357" t="s">
        <v>134</v>
      </c>
      <c r="CT357" t="s">
        <v>134</v>
      </c>
      <c r="CU357" t="s">
        <v>134</v>
      </c>
      <c r="CV357" t="s">
        <v>134</v>
      </c>
      <c r="CW357" t="s">
        <v>134</v>
      </c>
      <c r="CX357" t="s">
        <v>134</v>
      </c>
      <c r="CY357" t="s">
        <v>134</v>
      </c>
      <c r="CZ357" t="s">
        <v>134</v>
      </c>
      <c r="DA357" t="s">
        <v>134</v>
      </c>
      <c r="DB357" t="s">
        <v>134</v>
      </c>
      <c r="DC357" t="s">
        <v>134</v>
      </c>
      <c r="DD357" t="s">
        <v>134</v>
      </c>
      <c r="DE357" t="s">
        <v>134</v>
      </c>
      <c r="DF357" t="s">
        <v>134</v>
      </c>
      <c r="DG357" t="s">
        <v>134</v>
      </c>
      <c r="DH357" t="s">
        <v>134</v>
      </c>
      <c r="DI357" t="s">
        <v>134</v>
      </c>
    </row>
    <row r="358" spans="1:113" x14ac:dyDescent="0.3">
      <c r="D358" t="s">
        <v>8</v>
      </c>
      <c r="E358" t="s">
        <v>3</v>
      </c>
      <c r="F358">
        <v>16.620799999999999</v>
      </c>
      <c r="G358">
        <v>11.5456</v>
      </c>
      <c r="H358">
        <v>16.384599999999999</v>
      </c>
      <c r="I358">
        <v>13.500399999999999</v>
      </c>
      <c r="J358">
        <v>14.0215</v>
      </c>
      <c r="K358">
        <v>8.9190000000000005</v>
      </c>
      <c r="L358">
        <v>15.558199999999999</v>
      </c>
      <c r="M358">
        <v>10.0943</v>
      </c>
      <c r="N358">
        <v>7.7260999999999997</v>
      </c>
      <c r="O358">
        <v>7.7237</v>
      </c>
      <c r="P358">
        <v>7.7237</v>
      </c>
      <c r="Q358">
        <v>23.822299999999998</v>
      </c>
      <c r="R358">
        <v>19.835100000000001</v>
      </c>
      <c r="S358">
        <v>13.3241</v>
      </c>
      <c r="T358">
        <v>13.919499999999999</v>
      </c>
      <c r="U358">
        <v>23.969200000000001</v>
      </c>
      <c r="V358">
        <v>27.087700000000002</v>
      </c>
      <c r="W358">
        <v>33.4572</v>
      </c>
      <c r="X358">
        <v>33.4604</v>
      </c>
      <c r="Y358">
        <v>108.33329999999999</v>
      </c>
      <c r="Z358">
        <v>-23.154900000000001</v>
      </c>
      <c r="AA358">
        <v>51.678800000000003</v>
      </c>
      <c r="AB358">
        <v>4.4184999999999999</v>
      </c>
      <c r="AC358">
        <v>9.5411000000000001</v>
      </c>
      <c r="AD358">
        <v>-5.2386999999999997</v>
      </c>
      <c r="AE358" t="s">
        <v>134</v>
      </c>
      <c r="AF358">
        <v>13.1609</v>
      </c>
      <c r="AG358">
        <v>-71.823899999999995</v>
      </c>
      <c r="AH358">
        <v>-66.758099999999999</v>
      </c>
      <c r="AI358">
        <v>13.1259</v>
      </c>
      <c r="AJ358">
        <v>6.3170000000000002</v>
      </c>
      <c r="AK358">
        <v>13.127800000000001</v>
      </c>
      <c r="AL358">
        <v>28.572299999999998</v>
      </c>
      <c r="AM358">
        <v>10.963100000000001</v>
      </c>
      <c r="AN358">
        <v>11.244999999999999</v>
      </c>
      <c r="AO358">
        <v>6.4569000000000001</v>
      </c>
      <c r="AP358">
        <v>7.7233000000000001</v>
      </c>
      <c r="AQ358">
        <v>6.7668999999999997</v>
      </c>
      <c r="AR358">
        <v>33.032499999999999</v>
      </c>
      <c r="AS358">
        <v>6.1416000000000004</v>
      </c>
      <c r="AT358">
        <v>16.851400000000002</v>
      </c>
      <c r="AU358">
        <v>20.483899999999998</v>
      </c>
      <c r="AV358">
        <v>15.235799999999999</v>
      </c>
      <c r="AW358" t="s">
        <v>134</v>
      </c>
      <c r="AX358" t="s">
        <v>134</v>
      </c>
      <c r="AY358">
        <v>19.246300000000002</v>
      </c>
      <c r="AZ358">
        <v>-6.7858000000000001</v>
      </c>
      <c r="BA358">
        <v>-5.9534000000000002</v>
      </c>
      <c r="BB358">
        <v>14.8383</v>
      </c>
      <c r="BC358">
        <v>13.816599999999999</v>
      </c>
      <c r="BD358">
        <v>13.8065</v>
      </c>
      <c r="BE358">
        <v>13.996</v>
      </c>
      <c r="BF358">
        <v>13.919499999999999</v>
      </c>
      <c r="BG358">
        <v>23.969200000000001</v>
      </c>
      <c r="BH358">
        <v>27.087700000000002</v>
      </c>
      <c r="BI358">
        <v>33.4572</v>
      </c>
      <c r="BJ358">
        <v>33.4604</v>
      </c>
      <c r="BK358">
        <v>108.33329999999999</v>
      </c>
      <c r="BL358">
        <v>-23.154900000000001</v>
      </c>
      <c r="BM358">
        <v>51.678800000000003</v>
      </c>
      <c r="BN358">
        <v>4.4184999999999999</v>
      </c>
      <c r="BO358">
        <v>9.5411000000000001</v>
      </c>
      <c r="BP358" t="s">
        <v>134</v>
      </c>
      <c r="BQ358">
        <v>-104.5549</v>
      </c>
      <c r="BR358">
        <v>13.1609</v>
      </c>
      <c r="BS358">
        <v>-71.823899999999995</v>
      </c>
      <c r="BT358">
        <v>-66.758099999999999</v>
      </c>
      <c r="BU358">
        <v>13.1259</v>
      </c>
      <c r="BV358">
        <v>6.3170000000000002</v>
      </c>
      <c r="BW358">
        <v>13.127800000000001</v>
      </c>
      <c r="BX358">
        <v>28.572299999999998</v>
      </c>
      <c r="BY358">
        <v>6662</v>
      </c>
      <c r="BZ358">
        <v>3879</v>
      </c>
      <c r="CA358">
        <v>2783</v>
      </c>
      <c r="CB358">
        <v>9.64E-2</v>
      </c>
      <c r="CC358">
        <v>-0.38819999999999999</v>
      </c>
      <c r="CD358">
        <v>0.1515</v>
      </c>
      <c r="CE358">
        <v>-0.61019999999999996</v>
      </c>
      <c r="CF358">
        <v>31.8081</v>
      </c>
      <c r="CG358">
        <v>70.531899999999993</v>
      </c>
      <c r="CH358">
        <v>1.1437999999999999</v>
      </c>
      <c r="CI358">
        <v>1.1133</v>
      </c>
      <c r="CJ358">
        <v>0.80720000000000003</v>
      </c>
      <c r="CK358">
        <v>2.738</v>
      </c>
      <c r="CL358">
        <v>2.665</v>
      </c>
      <c r="CM358">
        <v>1.9321999999999999</v>
      </c>
      <c r="CN358">
        <v>-11.026300000000001</v>
      </c>
      <c r="CO358">
        <v>-12.392799999999999</v>
      </c>
      <c r="CP358">
        <v>69119</v>
      </c>
      <c r="CQ358">
        <v>36327</v>
      </c>
      <c r="CR358">
        <v>43966</v>
      </c>
      <c r="CS358">
        <v>0.37290000000000001</v>
      </c>
      <c r="CT358">
        <v>0.96819999999999995</v>
      </c>
      <c r="CU358">
        <v>0.50019999999999998</v>
      </c>
      <c r="CV358">
        <v>9.2949999999999999</v>
      </c>
      <c r="CW358">
        <v>37.438299999999998</v>
      </c>
      <c r="CX358">
        <v>9.7493999999999996</v>
      </c>
      <c r="CY358">
        <v>16.2591</v>
      </c>
      <c r="CZ358">
        <v>22.449000000000002</v>
      </c>
      <c r="DA358">
        <v>6.9421999999999997</v>
      </c>
      <c r="DB358">
        <v>52.577300000000001</v>
      </c>
      <c r="DC358">
        <v>-20.378900000000002</v>
      </c>
      <c r="DD358">
        <v>32.198399999999999</v>
      </c>
      <c r="DE358">
        <v>26744</v>
      </c>
      <c r="DF358">
        <v>12480</v>
      </c>
      <c r="DG358">
        <v>1232</v>
      </c>
      <c r="DH358">
        <v>11010</v>
      </c>
      <c r="DI358">
        <v>2022</v>
      </c>
    </row>
    <row r="359" spans="1:113" x14ac:dyDescent="0.3">
      <c r="E359" t="s">
        <v>4</v>
      </c>
      <c r="F359" t="s">
        <v>134</v>
      </c>
      <c r="G359" t="s">
        <v>134</v>
      </c>
      <c r="H359" t="s">
        <v>134</v>
      </c>
      <c r="I359" t="s">
        <v>134</v>
      </c>
      <c r="J359" t="s">
        <v>134</v>
      </c>
      <c r="K359" t="s">
        <v>134</v>
      </c>
      <c r="L359" t="s">
        <v>134</v>
      </c>
      <c r="M359" t="s">
        <v>134</v>
      </c>
      <c r="N359" t="s">
        <v>134</v>
      </c>
      <c r="O359" t="s">
        <v>134</v>
      </c>
      <c r="P359" t="s">
        <v>134</v>
      </c>
      <c r="Q359" t="s">
        <v>134</v>
      </c>
      <c r="R359" t="s">
        <v>134</v>
      </c>
      <c r="S359" t="s">
        <v>134</v>
      </c>
      <c r="T359" t="s">
        <v>134</v>
      </c>
      <c r="U359" t="s">
        <v>134</v>
      </c>
      <c r="V359" t="s">
        <v>134</v>
      </c>
      <c r="W359" t="s">
        <v>134</v>
      </c>
      <c r="X359" t="s">
        <v>134</v>
      </c>
      <c r="Y359" t="s">
        <v>134</v>
      </c>
      <c r="Z359" t="s">
        <v>134</v>
      </c>
      <c r="AA359" t="s">
        <v>134</v>
      </c>
      <c r="AB359" t="s">
        <v>134</v>
      </c>
      <c r="AC359" t="s">
        <v>134</v>
      </c>
      <c r="AD359" t="s">
        <v>134</v>
      </c>
      <c r="AE359" t="s">
        <v>134</v>
      </c>
      <c r="AF359" t="s">
        <v>134</v>
      </c>
      <c r="AG359" t="s">
        <v>134</v>
      </c>
      <c r="AH359" t="s">
        <v>134</v>
      </c>
      <c r="AI359" t="s">
        <v>134</v>
      </c>
      <c r="AJ359" t="s">
        <v>134</v>
      </c>
      <c r="AK359" t="s">
        <v>134</v>
      </c>
      <c r="AL359" t="s">
        <v>134</v>
      </c>
      <c r="AM359" t="s">
        <v>134</v>
      </c>
      <c r="AN359" t="s">
        <v>134</v>
      </c>
      <c r="AO359" t="s">
        <v>134</v>
      </c>
      <c r="AP359" t="s">
        <v>134</v>
      </c>
      <c r="AQ359" t="s">
        <v>134</v>
      </c>
      <c r="AR359" t="s">
        <v>134</v>
      </c>
      <c r="AS359" t="s">
        <v>134</v>
      </c>
      <c r="AT359" t="s">
        <v>134</v>
      </c>
      <c r="AU359" t="s">
        <v>134</v>
      </c>
      <c r="AV359" t="s">
        <v>134</v>
      </c>
      <c r="AW359" t="s">
        <v>134</v>
      </c>
      <c r="AX359" t="s">
        <v>134</v>
      </c>
      <c r="AY359" t="s">
        <v>134</v>
      </c>
      <c r="AZ359" t="s">
        <v>134</v>
      </c>
      <c r="BA359" t="s">
        <v>134</v>
      </c>
      <c r="BB359" t="s">
        <v>134</v>
      </c>
      <c r="BC359" t="s">
        <v>134</v>
      </c>
      <c r="BD359" t="s">
        <v>134</v>
      </c>
      <c r="BE359" t="s">
        <v>134</v>
      </c>
      <c r="BF359" t="s">
        <v>134</v>
      </c>
      <c r="BG359" t="s">
        <v>134</v>
      </c>
      <c r="BH359" t="s">
        <v>134</v>
      </c>
      <c r="BI359" t="s">
        <v>134</v>
      </c>
      <c r="BJ359" t="s">
        <v>134</v>
      </c>
      <c r="BK359" t="s">
        <v>134</v>
      </c>
      <c r="BL359" t="s">
        <v>134</v>
      </c>
      <c r="BM359" t="s">
        <v>134</v>
      </c>
      <c r="BN359" t="s">
        <v>134</v>
      </c>
      <c r="BO359" t="s">
        <v>134</v>
      </c>
      <c r="BP359" t="s">
        <v>134</v>
      </c>
      <c r="BQ359" t="s">
        <v>134</v>
      </c>
      <c r="BR359" t="s">
        <v>134</v>
      </c>
      <c r="BS359" t="s">
        <v>134</v>
      </c>
      <c r="BT359" t="s">
        <v>134</v>
      </c>
      <c r="BU359" t="s">
        <v>134</v>
      </c>
      <c r="BV359" t="s">
        <v>134</v>
      </c>
      <c r="BW359" t="s">
        <v>134</v>
      </c>
      <c r="BX359" t="s">
        <v>134</v>
      </c>
      <c r="BY359" t="s">
        <v>134</v>
      </c>
      <c r="BZ359" t="s">
        <v>134</v>
      </c>
      <c r="CA359" t="s">
        <v>134</v>
      </c>
      <c r="CB359" t="s">
        <v>134</v>
      </c>
      <c r="CC359" t="s">
        <v>134</v>
      </c>
      <c r="CD359" t="s">
        <v>134</v>
      </c>
      <c r="CE359" t="s">
        <v>134</v>
      </c>
      <c r="CF359" t="s">
        <v>134</v>
      </c>
      <c r="CG359" t="s">
        <v>134</v>
      </c>
      <c r="CH359" t="s">
        <v>134</v>
      </c>
      <c r="CI359" t="s">
        <v>134</v>
      </c>
      <c r="CJ359" t="s">
        <v>134</v>
      </c>
      <c r="CK359" t="s">
        <v>134</v>
      </c>
      <c r="CL359" t="s">
        <v>134</v>
      </c>
      <c r="CM359" t="s">
        <v>134</v>
      </c>
      <c r="CN359" t="s">
        <v>134</v>
      </c>
      <c r="CO359" t="s">
        <v>134</v>
      </c>
      <c r="CP359" t="s">
        <v>134</v>
      </c>
      <c r="CQ359" t="s">
        <v>134</v>
      </c>
      <c r="CR359" t="s">
        <v>134</v>
      </c>
      <c r="CS359" t="s">
        <v>134</v>
      </c>
      <c r="CT359" t="s">
        <v>134</v>
      </c>
      <c r="CU359" t="s">
        <v>134</v>
      </c>
      <c r="CV359" t="s">
        <v>134</v>
      </c>
      <c r="CW359" t="s">
        <v>134</v>
      </c>
      <c r="CX359" t="s">
        <v>134</v>
      </c>
      <c r="CY359" t="s">
        <v>134</v>
      </c>
      <c r="CZ359" t="s">
        <v>134</v>
      </c>
      <c r="DA359" t="s">
        <v>134</v>
      </c>
      <c r="DB359" t="s">
        <v>134</v>
      </c>
      <c r="DC359" t="s">
        <v>134</v>
      </c>
      <c r="DD359" t="s">
        <v>134</v>
      </c>
      <c r="DE359" t="s">
        <v>134</v>
      </c>
      <c r="DF359" t="s">
        <v>134</v>
      </c>
      <c r="DG359" t="s">
        <v>134</v>
      </c>
      <c r="DH359" t="s">
        <v>134</v>
      </c>
      <c r="DI359" t="s">
        <v>134</v>
      </c>
    </row>
    <row r="360" spans="1:113" x14ac:dyDescent="0.3">
      <c r="E360" t="s">
        <v>5</v>
      </c>
      <c r="F360" t="s">
        <v>134</v>
      </c>
      <c r="G360" t="s">
        <v>134</v>
      </c>
      <c r="H360" t="s">
        <v>134</v>
      </c>
      <c r="I360" t="s">
        <v>134</v>
      </c>
      <c r="J360" t="s">
        <v>134</v>
      </c>
      <c r="K360" t="s">
        <v>134</v>
      </c>
      <c r="L360" t="s">
        <v>134</v>
      </c>
      <c r="M360" t="s">
        <v>134</v>
      </c>
      <c r="N360" t="s">
        <v>134</v>
      </c>
      <c r="O360" t="s">
        <v>134</v>
      </c>
      <c r="P360" t="s">
        <v>134</v>
      </c>
      <c r="Q360" t="s">
        <v>134</v>
      </c>
      <c r="R360" t="s">
        <v>134</v>
      </c>
      <c r="S360" t="s">
        <v>134</v>
      </c>
      <c r="T360" t="s">
        <v>134</v>
      </c>
      <c r="U360" t="s">
        <v>134</v>
      </c>
      <c r="V360" t="s">
        <v>134</v>
      </c>
      <c r="W360" t="s">
        <v>134</v>
      </c>
      <c r="X360" t="s">
        <v>134</v>
      </c>
      <c r="Y360" t="s">
        <v>134</v>
      </c>
      <c r="Z360" t="s">
        <v>134</v>
      </c>
      <c r="AA360" t="s">
        <v>134</v>
      </c>
      <c r="AB360" t="s">
        <v>134</v>
      </c>
      <c r="AC360" t="s">
        <v>134</v>
      </c>
      <c r="AD360" t="s">
        <v>134</v>
      </c>
      <c r="AE360" t="s">
        <v>134</v>
      </c>
      <c r="AF360" t="s">
        <v>134</v>
      </c>
      <c r="AG360" t="s">
        <v>134</v>
      </c>
      <c r="AH360" t="s">
        <v>134</v>
      </c>
      <c r="AI360" t="s">
        <v>134</v>
      </c>
      <c r="AJ360" t="s">
        <v>134</v>
      </c>
      <c r="AK360" t="s">
        <v>134</v>
      </c>
      <c r="AL360" t="s">
        <v>134</v>
      </c>
      <c r="AM360" t="s">
        <v>134</v>
      </c>
      <c r="AN360" t="s">
        <v>134</v>
      </c>
      <c r="AO360" t="s">
        <v>134</v>
      </c>
      <c r="AP360" t="s">
        <v>134</v>
      </c>
      <c r="AQ360" t="s">
        <v>134</v>
      </c>
      <c r="AR360" t="s">
        <v>134</v>
      </c>
      <c r="AS360" t="s">
        <v>134</v>
      </c>
      <c r="AT360" t="s">
        <v>134</v>
      </c>
      <c r="AU360" t="s">
        <v>134</v>
      </c>
      <c r="AV360" t="s">
        <v>134</v>
      </c>
      <c r="AW360" t="s">
        <v>134</v>
      </c>
      <c r="AX360" t="s">
        <v>134</v>
      </c>
      <c r="AY360" t="s">
        <v>134</v>
      </c>
      <c r="AZ360" t="s">
        <v>134</v>
      </c>
      <c r="BA360" t="s">
        <v>134</v>
      </c>
      <c r="BB360" t="s">
        <v>134</v>
      </c>
      <c r="BC360" t="s">
        <v>134</v>
      </c>
      <c r="BD360" t="s">
        <v>134</v>
      </c>
      <c r="BE360" t="s">
        <v>134</v>
      </c>
      <c r="BF360" t="s">
        <v>134</v>
      </c>
      <c r="BG360" t="s">
        <v>134</v>
      </c>
      <c r="BH360" t="s">
        <v>134</v>
      </c>
      <c r="BI360" t="s">
        <v>134</v>
      </c>
      <c r="BJ360" t="s">
        <v>134</v>
      </c>
      <c r="BK360" t="s">
        <v>134</v>
      </c>
      <c r="BL360" t="s">
        <v>134</v>
      </c>
      <c r="BM360" t="s">
        <v>134</v>
      </c>
      <c r="BN360" t="s">
        <v>134</v>
      </c>
      <c r="BO360" t="s">
        <v>134</v>
      </c>
      <c r="BP360" t="s">
        <v>134</v>
      </c>
      <c r="BQ360" t="s">
        <v>134</v>
      </c>
      <c r="BR360" t="s">
        <v>134</v>
      </c>
      <c r="BS360" t="s">
        <v>134</v>
      </c>
      <c r="BT360" t="s">
        <v>134</v>
      </c>
      <c r="BU360" t="s">
        <v>134</v>
      </c>
      <c r="BV360" t="s">
        <v>134</v>
      </c>
      <c r="BW360" t="s">
        <v>134</v>
      </c>
      <c r="BX360" t="s">
        <v>134</v>
      </c>
      <c r="BY360" t="s">
        <v>134</v>
      </c>
      <c r="BZ360" t="s">
        <v>134</v>
      </c>
      <c r="CA360" t="s">
        <v>134</v>
      </c>
      <c r="CB360" t="s">
        <v>134</v>
      </c>
      <c r="CC360" t="s">
        <v>134</v>
      </c>
      <c r="CD360" t="s">
        <v>134</v>
      </c>
      <c r="CE360" t="s">
        <v>134</v>
      </c>
      <c r="CF360" t="s">
        <v>134</v>
      </c>
      <c r="CG360" t="s">
        <v>134</v>
      </c>
      <c r="CH360" t="s">
        <v>134</v>
      </c>
      <c r="CI360" t="s">
        <v>134</v>
      </c>
      <c r="CJ360" t="s">
        <v>134</v>
      </c>
      <c r="CK360" t="s">
        <v>134</v>
      </c>
      <c r="CL360" t="s">
        <v>134</v>
      </c>
      <c r="CM360" t="s">
        <v>134</v>
      </c>
      <c r="CN360" t="s">
        <v>134</v>
      </c>
      <c r="CO360" t="s">
        <v>134</v>
      </c>
      <c r="CP360" t="s">
        <v>134</v>
      </c>
      <c r="CQ360" t="s">
        <v>134</v>
      </c>
      <c r="CR360" t="s">
        <v>134</v>
      </c>
      <c r="CS360" t="s">
        <v>134</v>
      </c>
      <c r="CT360" t="s">
        <v>134</v>
      </c>
      <c r="CU360" t="s">
        <v>134</v>
      </c>
      <c r="CV360" t="s">
        <v>134</v>
      </c>
      <c r="CW360" t="s">
        <v>134</v>
      </c>
      <c r="CX360" t="s">
        <v>134</v>
      </c>
      <c r="CY360" t="s">
        <v>134</v>
      </c>
      <c r="CZ360" t="s">
        <v>134</v>
      </c>
      <c r="DA360" t="s">
        <v>134</v>
      </c>
      <c r="DB360" t="s">
        <v>134</v>
      </c>
      <c r="DC360" t="s">
        <v>134</v>
      </c>
      <c r="DD360" t="s">
        <v>134</v>
      </c>
      <c r="DE360" t="s">
        <v>134</v>
      </c>
      <c r="DF360" t="s">
        <v>134</v>
      </c>
      <c r="DG360" t="s">
        <v>134</v>
      </c>
      <c r="DH360" t="s">
        <v>134</v>
      </c>
      <c r="DI360" t="s">
        <v>134</v>
      </c>
    </row>
    <row r="361" spans="1:113" x14ac:dyDescent="0.3">
      <c r="E361" t="s">
        <v>6</v>
      </c>
      <c r="F361" t="s">
        <v>134</v>
      </c>
      <c r="G361" t="s">
        <v>134</v>
      </c>
      <c r="H361" t="s">
        <v>134</v>
      </c>
      <c r="I361" t="s">
        <v>134</v>
      </c>
      <c r="J361" t="s">
        <v>134</v>
      </c>
      <c r="K361" t="s">
        <v>134</v>
      </c>
      <c r="L361" t="s">
        <v>134</v>
      </c>
      <c r="M361" t="s">
        <v>134</v>
      </c>
      <c r="N361" t="s">
        <v>134</v>
      </c>
      <c r="O361" t="s">
        <v>134</v>
      </c>
      <c r="P361" t="s">
        <v>134</v>
      </c>
      <c r="Q361" t="s">
        <v>134</v>
      </c>
      <c r="R361" t="s">
        <v>134</v>
      </c>
      <c r="S361" t="s">
        <v>134</v>
      </c>
      <c r="T361" t="s">
        <v>134</v>
      </c>
      <c r="U361" t="s">
        <v>134</v>
      </c>
      <c r="V361" t="s">
        <v>134</v>
      </c>
      <c r="W361" t="s">
        <v>134</v>
      </c>
      <c r="X361" t="s">
        <v>134</v>
      </c>
      <c r="Y361" t="s">
        <v>134</v>
      </c>
      <c r="Z361" t="s">
        <v>134</v>
      </c>
      <c r="AA361" t="s">
        <v>134</v>
      </c>
      <c r="AB361" t="s">
        <v>134</v>
      </c>
      <c r="AC361" t="s">
        <v>134</v>
      </c>
      <c r="AD361" t="s">
        <v>134</v>
      </c>
      <c r="AE361" t="s">
        <v>134</v>
      </c>
      <c r="AF361" t="s">
        <v>134</v>
      </c>
      <c r="AG361" t="s">
        <v>134</v>
      </c>
      <c r="AH361" t="s">
        <v>134</v>
      </c>
      <c r="AI361" t="s">
        <v>134</v>
      </c>
      <c r="AJ361" t="s">
        <v>134</v>
      </c>
      <c r="AK361" t="s">
        <v>134</v>
      </c>
      <c r="AL361" t="s">
        <v>134</v>
      </c>
      <c r="AM361" t="s">
        <v>134</v>
      </c>
      <c r="AN361" t="s">
        <v>134</v>
      </c>
      <c r="AO361" t="s">
        <v>134</v>
      </c>
      <c r="AP361" t="s">
        <v>134</v>
      </c>
      <c r="AQ361" t="s">
        <v>134</v>
      </c>
      <c r="AR361" t="s">
        <v>134</v>
      </c>
      <c r="AS361" t="s">
        <v>134</v>
      </c>
      <c r="AT361" t="s">
        <v>134</v>
      </c>
      <c r="AU361" t="s">
        <v>134</v>
      </c>
      <c r="AV361" t="s">
        <v>134</v>
      </c>
      <c r="AW361" t="s">
        <v>134</v>
      </c>
      <c r="AX361" t="s">
        <v>134</v>
      </c>
      <c r="AY361" t="s">
        <v>134</v>
      </c>
      <c r="AZ361" t="s">
        <v>134</v>
      </c>
      <c r="BA361" t="s">
        <v>134</v>
      </c>
      <c r="BB361" t="s">
        <v>134</v>
      </c>
      <c r="BC361" t="s">
        <v>134</v>
      </c>
      <c r="BD361" t="s">
        <v>134</v>
      </c>
      <c r="BE361" t="s">
        <v>134</v>
      </c>
      <c r="BF361" t="s">
        <v>134</v>
      </c>
      <c r="BG361" t="s">
        <v>134</v>
      </c>
      <c r="BH361" t="s">
        <v>134</v>
      </c>
      <c r="BI361" t="s">
        <v>134</v>
      </c>
      <c r="BJ361" t="s">
        <v>134</v>
      </c>
      <c r="BK361" t="s">
        <v>134</v>
      </c>
      <c r="BL361" t="s">
        <v>134</v>
      </c>
      <c r="BM361" t="s">
        <v>134</v>
      </c>
      <c r="BN361" t="s">
        <v>134</v>
      </c>
      <c r="BO361" t="s">
        <v>134</v>
      </c>
      <c r="BP361" t="s">
        <v>134</v>
      </c>
      <c r="BQ361" t="s">
        <v>134</v>
      </c>
      <c r="BR361" t="s">
        <v>134</v>
      </c>
      <c r="BS361" t="s">
        <v>134</v>
      </c>
      <c r="BT361" t="s">
        <v>134</v>
      </c>
      <c r="BU361" t="s">
        <v>134</v>
      </c>
      <c r="BV361" t="s">
        <v>134</v>
      </c>
      <c r="BW361" t="s">
        <v>134</v>
      </c>
      <c r="BX361" t="s">
        <v>134</v>
      </c>
      <c r="BY361" t="s">
        <v>134</v>
      </c>
      <c r="BZ361" t="s">
        <v>134</v>
      </c>
      <c r="CA361" t="s">
        <v>134</v>
      </c>
      <c r="CB361" t="s">
        <v>134</v>
      </c>
      <c r="CC361" t="s">
        <v>134</v>
      </c>
      <c r="CD361" t="s">
        <v>134</v>
      </c>
      <c r="CE361" t="s">
        <v>134</v>
      </c>
      <c r="CF361" t="s">
        <v>134</v>
      </c>
      <c r="CG361" t="s">
        <v>134</v>
      </c>
      <c r="CH361" t="s">
        <v>134</v>
      </c>
      <c r="CI361" t="s">
        <v>134</v>
      </c>
      <c r="CJ361" t="s">
        <v>134</v>
      </c>
      <c r="CK361" t="s">
        <v>134</v>
      </c>
      <c r="CL361" t="s">
        <v>134</v>
      </c>
      <c r="CM361" t="s">
        <v>134</v>
      </c>
      <c r="CN361" t="s">
        <v>134</v>
      </c>
      <c r="CO361" t="s">
        <v>134</v>
      </c>
      <c r="CP361" t="s">
        <v>134</v>
      </c>
      <c r="CQ361" t="s">
        <v>134</v>
      </c>
      <c r="CR361" t="s">
        <v>134</v>
      </c>
      <c r="CS361" t="s">
        <v>134</v>
      </c>
      <c r="CT361" t="s">
        <v>134</v>
      </c>
      <c r="CU361" t="s">
        <v>134</v>
      </c>
      <c r="CV361" t="s">
        <v>134</v>
      </c>
      <c r="CW361" t="s">
        <v>134</v>
      </c>
      <c r="CX361" t="s">
        <v>134</v>
      </c>
      <c r="CY361" t="s">
        <v>134</v>
      </c>
      <c r="CZ361" t="s">
        <v>134</v>
      </c>
      <c r="DA361" t="s">
        <v>134</v>
      </c>
      <c r="DB361" t="s">
        <v>134</v>
      </c>
      <c r="DC361" t="s">
        <v>134</v>
      </c>
      <c r="DD361" t="s">
        <v>134</v>
      </c>
      <c r="DE361" t="s">
        <v>134</v>
      </c>
      <c r="DF361" t="s">
        <v>134</v>
      </c>
      <c r="DG361" t="s">
        <v>134</v>
      </c>
      <c r="DH361" t="s">
        <v>134</v>
      </c>
      <c r="DI361" t="s">
        <v>134</v>
      </c>
    </row>
    <row r="362" spans="1:113" x14ac:dyDescent="0.3">
      <c r="E362" t="s">
        <v>7</v>
      </c>
      <c r="F362" t="s">
        <v>134</v>
      </c>
      <c r="G362" t="s">
        <v>134</v>
      </c>
      <c r="H362" t="s">
        <v>134</v>
      </c>
      <c r="I362" t="s">
        <v>134</v>
      </c>
      <c r="J362" t="s">
        <v>134</v>
      </c>
      <c r="K362" t="s">
        <v>134</v>
      </c>
      <c r="L362" t="s">
        <v>134</v>
      </c>
      <c r="M362" t="s">
        <v>134</v>
      </c>
      <c r="N362" t="s">
        <v>134</v>
      </c>
      <c r="O362" t="s">
        <v>134</v>
      </c>
      <c r="P362" t="s">
        <v>134</v>
      </c>
      <c r="Q362" t="s">
        <v>134</v>
      </c>
      <c r="R362" t="s">
        <v>134</v>
      </c>
      <c r="S362" t="s">
        <v>134</v>
      </c>
      <c r="T362" t="s">
        <v>134</v>
      </c>
      <c r="U362" t="s">
        <v>134</v>
      </c>
      <c r="V362" t="s">
        <v>134</v>
      </c>
      <c r="W362" t="s">
        <v>134</v>
      </c>
      <c r="X362" t="s">
        <v>134</v>
      </c>
      <c r="Y362" t="s">
        <v>134</v>
      </c>
      <c r="Z362" t="s">
        <v>134</v>
      </c>
      <c r="AA362" t="s">
        <v>134</v>
      </c>
      <c r="AB362" t="s">
        <v>134</v>
      </c>
      <c r="AC362" t="s">
        <v>134</v>
      </c>
      <c r="AD362" t="s">
        <v>134</v>
      </c>
      <c r="AE362" t="s">
        <v>134</v>
      </c>
      <c r="AF362" t="s">
        <v>134</v>
      </c>
      <c r="AG362" t="s">
        <v>134</v>
      </c>
      <c r="AH362" t="s">
        <v>134</v>
      </c>
      <c r="AI362" t="s">
        <v>134</v>
      </c>
      <c r="AJ362" t="s">
        <v>134</v>
      </c>
      <c r="AK362" t="s">
        <v>134</v>
      </c>
      <c r="AL362" t="s">
        <v>134</v>
      </c>
      <c r="AM362" t="s">
        <v>134</v>
      </c>
      <c r="AN362" t="s">
        <v>134</v>
      </c>
      <c r="AO362" t="s">
        <v>134</v>
      </c>
      <c r="AP362" t="s">
        <v>134</v>
      </c>
      <c r="AQ362" t="s">
        <v>134</v>
      </c>
      <c r="AR362" t="s">
        <v>134</v>
      </c>
      <c r="AS362" t="s">
        <v>134</v>
      </c>
      <c r="AT362" t="s">
        <v>134</v>
      </c>
      <c r="AU362" t="s">
        <v>134</v>
      </c>
      <c r="AV362" t="s">
        <v>134</v>
      </c>
      <c r="AW362" t="s">
        <v>134</v>
      </c>
      <c r="AX362" t="s">
        <v>134</v>
      </c>
      <c r="AY362" t="s">
        <v>134</v>
      </c>
      <c r="AZ362" t="s">
        <v>134</v>
      </c>
      <c r="BA362" t="s">
        <v>134</v>
      </c>
      <c r="BB362" t="s">
        <v>134</v>
      </c>
      <c r="BC362" t="s">
        <v>134</v>
      </c>
      <c r="BD362" t="s">
        <v>134</v>
      </c>
      <c r="BE362" t="s">
        <v>134</v>
      </c>
      <c r="BF362" t="s">
        <v>134</v>
      </c>
      <c r="BG362" t="s">
        <v>134</v>
      </c>
      <c r="BH362" t="s">
        <v>134</v>
      </c>
      <c r="BI362" t="s">
        <v>134</v>
      </c>
      <c r="BJ362" t="s">
        <v>134</v>
      </c>
      <c r="BK362" t="s">
        <v>134</v>
      </c>
      <c r="BL362" t="s">
        <v>134</v>
      </c>
      <c r="BM362" t="s">
        <v>134</v>
      </c>
      <c r="BN362" t="s">
        <v>134</v>
      </c>
      <c r="BO362" t="s">
        <v>134</v>
      </c>
      <c r="BP362" t="s">
        <v>134</v>
      </c>
      <c r="BQ362" t="s">
        <v>134</v>
      </c>
      <c r="BR362" t="s">
        <v>134</v>
      </c>
      <c r="BS362" t="s">
        <v>134</v>
      </c>
      <c r="BT362" t="s">
        <v>134</v>
      </c>
      <c r="BU362" t="s">
        <v>134</v>
      </c>
      <c r="BV362" t="s">
        <v>134</v>
      </c>
      <c r="BW362" t="s">
        <v>134</v>
      </c>
      <c r="BX362" t="s">
        <v>134</v>
      </c>
      <c r="BY362" t="s">
        <v>134</v>
      </c>
      <c r="BZ362" t="s">
        <v>134</v>
      </c>
      <c r="CA362" t="s">
        <v>134</v>
      </c>
      <c r="CB362" t="s">
        <v>134</v>
      </c>
      <c r="CC362" t="s">
        <v>134</v>
      </c>
      <c r="CD362" t="s">
        <v>134</v>
      </c>
      <c r="CE362" t="s">
        <v>134</v>
      </c>
      <c r="CF362" t="s">
        <v>134</v>
      </c>
      <c r="CG362" t="s">
        <v>134</v>
      </c>
      <c r="CH362" t="s">
        <v>134</v>
      </c>
      <c r="CI362" t="s">
        <v>134</v>
      </c>
      <c r="CJ362" t="s">
        <v>134</v>
      </c>
      <c r="CK362" t="s">
        <v>134</v>
      </c>
      <c r="CL362" t="s">
        <v>134</v>
      </c>
      <c r="CM362" t="s">
        <v>134</v>
      </c>
      <c r="CN362" t="s">
        <v>134</v>
      </c>
      <c r="CO362" t="s">
        <v>134</v>
      </c>
      <c r="CP362" t="s">
        <v>134</v>
      </c>
      <c r="CQ362" t="s">
        <v>134</v>
      </c>
      <c r="CR362" t="s">
        <v>134</v>
      </c>
      <c r="CS362" t="s">
        <v>134</v>
      </c>
      <c r="CT362" t="s">
        <v>134</v>
      </c>
      <c r="CU362" t="s">
        <v>134</v>
      </c>
      <c r="CV362" t="s">
        <v>134</v>
      </c>
      <c r="CW362" t="s">
        <v>134</v>
      </c>
      <c r="CX362" t="s">
        <v>134</v>
      </c>
      <c r="CY362" t="s">
        <v>134</v>
      </c>
      <c r="CZ362" t="s">
        <v>134</v>
      </c>
      <c r="DA362" t="s">
        <v>134</v>
      </c>
      <c r="DB362" t="s">
        <v>134</v>
      </c>
      <c r="DC362" t="s">
        <v>134</v>
      </c>
      <c r="DD362" t="s">
        <v>134</v>
      </c>
      <c r="DE362" t="s">
        <v>134</v>
      </c>
      <c r="DF362" t="s">
        <v>134</v>
      </c>
      <c r="DG362" t="s">
        <v>134</v>
      </c>
      <c r="DH362" t="s">
        <v>134</v>
      </c>
      <c r="DI362" t="s">
        <v>134</v>
      </c>
    </row>
    <row r="363" spans="1:113" x14ac:dyDescent="0.3">
      <c r="D363" t="s">
        <v>9</v>
      </c>
      <c r="E363" t="s">
        <v>3</v>
      </c>
      <c r="F363">
        <v>18.048999999999999</v>
      </c>
      <c r="G363">
        <v>12.5726</v>
      </c>
      <c r="H363">
        <v>17.9297</v>
      </c>
      <c r="I363">
        <v>16.4937</v>
      </c>
      <c r="J363">
        <v>16.157299999999999</v>
      </c>
      <c r="K363">
        <v>11.132899999999999</v>
      </c>
      <c r="L363">
        <v>25.185099999999998</v>
      </c>
      <c r="M363">
        <v>11.6183</v>
      </c>
      <c r="N363">
        <v>8.2363999999999997</v>
      </c>
      <c r="O363">
        <v>8.2346000000000004</v>
      </c>
      <c r="P363">
        <v>8.2346000000000004</v>
      </c>
      <c r="Q363">
        <v>30.148099999999999</v>
      </c>
      <c r="R363">
        <v>22.5015</v>
      </c>
      <c r="S363">
        <v>13.9877</v>
      </c>
      <c r="T363">
        <v>15.755100000000001</v>
      </c>
      <c r="U363">
        <v>33.387300000000003</v>
      </c>
      <c r="V363">
        <v>44.488900000000001</v>
      </c>
      <c r="W363">
        <v>23.412299999999998</v>
      </c>
      <c r="X363">
        <v>23.4132</v>
      </c>
      <c r="Y363">
        <v>40</v>
      </c>
      <c r="Z363">
        <v>21.235700000000001</v>
      </c>
      <c r="AA363">
        <v>16.555599999999998</v>
      </c>
      <c r="AB363">
        <v>-3.1686999999999999</v>
      </c>
      <c r="AC363">
        <v>16.802599999999998</v>
      </c>
      <c r="AD363">
        <v>-56.413600000000002</v>
      </c>
      <c r="AE363">
        <v>-1318.1119000000001</v>
      </c>
      <c r="AF363">
        <v>29.266300000000001</v>
      </c>
      <c r="AG363">
        <v>-37.0456</v>
      </c>
      <c r="AH363">
        <v>-41.2639</v>
      </c>
      <c r="AI363">
        <v>14.1021</v>
      </c>
      <c r="AJ363">
        <v>12.6266</v>
      </c>
      <c r="AK363">
        <v>14.1058</v>
      </c>
      <c r="AL363">
        <v>33.015700000000002</v>
      </c>
      <c r="AM363">
        <v>9.4481000000000002</v>
      </c>
      <c r="AN363">
        <v>20.1557</v>
      </c>
      <c r="AO363">
        <v>19.109000000000002</v>
      </c>
      <c r="AP363">
        <v>14.549799999999999</v>
      </c>
      <c r="AQ363">
        <v>13.533799999999999</v>
      </c>
      <c r="AR363">
        <v>36.0822</v>
      </c>
      <c r="AS363">
        <v>9.4987999999999992</v>
      </c>
      <c r="AT363">
        <v>17.337399999999999</v>
      </c>
      <c r="AU363">
        <v>15.957800000000001</v>
      </c>
      <c r="AV363">
        <v>16.0809</v>
      </c>
      <c r="AW363" t="s">
        <v>134</v>
      </c>
      <c r="AX363" t="s">
        <v>134</v>
      </c>
      <c r="AY363">
        <v>21.494900000000001</v>
      </c>
      <c r="AZ363">
        <v>6.3734000000000002</v>
      </c>
      <c r="BA363">
        <v>-2.9287000000000001</v>
      </c>
      <c r="BB363">
        <v>14.1755</v>
      </c>
      <c r="BC363">
        <v>13.782500000000001</v>
      </c>
      <c r="BD363">
        <v>13.150399999999999</v>
      </c>
      <c r="BE363">
        <v>20.289200000000001</v>
      </c>
      <c r="BF363">
        <v>15.755100000000001</v>
      </c>
      <c r="BG363">
        <v>33.387300000000003</v>
      </c>
      <c r="BH363">
        <v>44.488900000000001</v>
      </c>
      <c r="BI363">
        <v>23.412299999999998</v>
      </c>
      <c r="BJ363">
        <v>23.4132</v>
      </c>
      <c r="BK363">
        <v>40</v>
      </c>
      <c r="BL363">
        <v>21.235700000000001</v>
      </c>
      <c r="BM363">
        <v>16.555599999999998</v>
      </c>
      <c r="BN363">
        <v>-3.1686999999999999</v>
      </c>
      <c r="BO363">
        <v>16.802599999999998</v>
      </c>
      <c r="BP363" t="s">
        <v>134</v>
      </c>
      <c r="BQ363" t="s">
        <v>134</v>
      </c>
      <c r="BR363">
        <v>29.266300000000001</v>
      </c>
      <c r="BS363">
        <v>-37.0456</v>
      </c>
      <c r="BT363">
        <v>-41.2639</v>
      </c>
      <c r="BU363">
        <v>14.1021</v>
      </c>
      <c r="BV363">
        <v>12.6266</v>
      </c>
      <c r="BW363">
        <v>14.1058</v>
      </c>
      <c r="BX363">
        <v>33.015700000000002</v>
      </c>
      <c r="BY363">
        <v>3913</v>
      </c>
      <c r="BZ363">
        <v>2442</v>
      </c>
      <c r="CA363">
        <v>1471</v>
      </c>
      <c r="CB363">
        <v>4.24E-2</v>
      </c>
      <c r="CC363">
        <v>-6.08E-2</v>
      </c>
      <c r="CD363">
        <v>6.1600000000000002E-2</v>
      </c>
      <c r="CE363">
        <v>-8.8200000000000001E-2</v>
      </c>
      <c r="CF363">
        <v>98.710899999999995</v>
      </c>
      <c r="CG363">
        <v>68.906800000000004</v>
      </c>
      <c r="CH363">
        <v>0.52980000000000005</v>
      </c>
      <c r="CI363">
        <v>0.52249999999999996</v>
      </c>
      <c r="CJ363">
        <v>0.36530000000000001</v>
      </c>
      <c r="CK363">
        <v>1.4094</v>
      </c>
      <c r="CL363">
        <v>1.3897999999999999</v>
      </c>
      <c r="CM363">
        <v>0.97170000000000001</v>
      </c>
      <c r="CN363">
        <v>-2.0181</v>
      </c>
      <c r="CO363">
        <v>-2.0596999999999999</v>
      </c>
      <c r="CP363">
        <v>92196</v>
      </c>
      <c r="CQ363">
        <v>67767</v>
      </c>
      <c r="CR363">
        <v>63526</v>
      </c>
      <c r="CS363">
        <v>8.3000000000000004E-2</v>
      </c>
      <c r="CT363">
        <v>0.64610000000000001</v>
      </c>
      <c r="CU363">
        <v>0.2041</v>
      </c>
      <c r="CV363">
        <v>8.1361000000000008</v>
      </c>
      <c r="CW363">
        <v>45.0794</v>
      </c>
      <c r="CX363">
        <v>8.1189999999999998</v>
      </c>
      <c r="CY363">
        <v>13.2453</v>
      </c>
      <c r="CZ363">
        <v>27.6325</v>
      </c>
      <c r="DA363">
        <v>6.3014000000000001</v>
      </c>
      <c r="DB363">
        <v>58.0824</v>
      </c>
      <c r="DC363">
        <v>-22.3309</v>
      </c>
      <c r="DD363">
        <v>35.7515</v>
      </c>
      <c r="DE363">
        <v>31998</v>
      </c>
      <c r="DF363">
        <v>17317</v>
      </c>
      <c r="DG363">
        <v>1643</v>
      </c>
      <c r="DH363">
        <v>10662</v>
      </c>
      <c r="DI363">
        <v>2376</v>
      </c>
    </row>
    <row r="364" spans="1:113" x14ac:dyDescent="0.3">
      <c r="E364" t="s">
        <v>4</v>
      </c>
      <c r="F364" t="s">
        <v>134</v>
      </c>
      <c r="G364" t="s">
        <v>134</v>
      </c>
      <c r="H364" t="s">
        <v>134</v>
      </c>
      <c r="I364" t="s">
        <v>134</v>
      </c>
      <c r="J364" t="s">
        <v>134</v>
      </c>
      <c r="K364" t="s">
        <v>134</v>
      </c>
      <c r="L364" t="s">
        <v>134</v>
      </c>
      <c r="M364" t="s">
        <v>134</v>
      </c>
      <c r="N364" t="s">
        <v>134</v>
      </c>
      <c r="O364" t="s">
        <v>134</v>
      </c>
      <c r="P364" t="s">
        <v>134</v>
      </c>
      <c r="Q364" t="s">
        <v>134</v>
      </c>
      <c r="R364" t="s">
        <v>134</v>
      </c>
      <c r="S364" t="s">
        <v>134</v>
      </c>
      <c r="T364" t="s">
        <v>134</v>
      </c>
      <c r="U364" t="s">
        <v>134</v>
      </c>
      <c r="V364" t="s">
        <v>134</v>
      </c>
      <c r="W364" t="s">
        <v>134</v>
      </c>
      <c r="X364" t="s">
        <v>134</v>
      </c>
      <c r="Y364" t="s">
        <v>134</v>
      </c>
      <c r="Z364" t="s">
        <v>134</v>
      </c>
      <c r="AA364" t="s">
        <v>134</v>
      </c>
      <c r="AB364" t="s">
        <v>134</v>
      </c>
      <c r="AC364" t="s">
        <v>134</v>
      </c>
      <c r="AD364" t="s">
        <v>134</v>
      </c>
      <c r="AE364" t="s">
        <v>134</v>
      </c>
      <c r="AF364" t="s">
        <v>134</v>
      </c>
      <c r="AG364" t="s">
        <v>134</v>
      </c>
      <c r="AH364" t="s">
        <v>134</v>
      </c>
      <c r="AI364" t="s">
        <v>134</v>
      </c>
      <c r="AJ364" t="s">
        <v>134</v>
      </c>
      <c r="AK364" t="s">
        <v>134</v>
      </c>
      <c r="AL364" t="s">
        <v>134</v>
      </c>
      <c r="AM364" t="s">
        <v>134</v>
      </c>
      <c r="AN364" t="s">
        <v>134</v>
      </c>
      <c r="AO364" t="s">
        <v>134</v>
      </c>
      <c r="AP364" t="s">
        <v>134</v>
      </c>
      <c r="AQ364" t="s">
        <v>134</v>
      </c>
      <c r="AR364" t="s">
        <v>134</v>
      </c>
      <c r="AS364" t="s">
        <v>134</v>
      </c>
      <c r="AT364" t="s">
        <v>134</v>
      </c>
      <c r="AU364" t="s">
        <v>134</v>
      </c>
      <c r="AV364" t="s">
        <v>134</v>
      </c>
      <c r="AW364" t="s">
        <v>134</v>
      </c>
      <c r="AX364" t="s">
        <v>134</v>
      </c>
      <c r="AY364" t="s">
        <v>134</v>
      </c>
      <c r="AZ364" t="s">
        <v>134</v>
      </c>
      <c r="BA364" t="s">
        <v>134</v>
      </c>
      <c r="BB364" t="s">
        <v>134</v>
      </c>
      <c r="BC364" t="s">
        <v>134</v>
      </c>
      <c r="BD364" t="s">
        <v>134</v>
      </c>
      <c r="BE364" t="s">
        <v>134</v>
      </c>
      <c r="BF364" t="s">
        <v>134</v>
      </c>
      <c r="BG364" t="s">
        <v>134</v>
      </c>
      <c r="BH364" t="s">
        <v>134</v>
      </c>
      <c r="BI364" t="s">
        <v>134</v>
      </c>
      <c r="BJ364" t="s">
        <v>134</v>
      </c>
      <c r="BK364" t="s">
        <v>134</v>
      </c>
      <c r="BL364" t="s">
        <v>134</v>
      </c>
      <c r="BM364" t="s">
        <v>134</v>
      </c>
      <c r="BN364" t="s">
        <v>134</v>
      </c>
      <c r="BO364" t="s">
        <v>134</v>
      </c>
      <c r="BP364" t="s">
        <v>134</v>
      </c>
      <c r="BQ364" t="s">
        <v>134</v>
      </c>
      <c r="BR364" t="s">
        <v>134</v>
      </c>
      <c r="BS364" t="s">
        <v>134</v>
      </c>
      <c r="BT364" t="s">
        <v>134</v>
      </c>
      <c r="BU364" t="s">
        <v>134</v>
      </c>
      <c r="BV364" t="s">
        <v>134</v>
      </c>
      <c r="BW364" t="s">
        <v>134</v>
      </c>
      <c r="BX364" t="s">
        <v>134</v>
      </c>
      <c r="BY364" t="s">
        <v>134</v>
      </c>
      <c r="BZ364" t="s">
        <v>134</v>
      </c>
      <c r="CA364" t="s">
        <v>134</v>
      </c>
      <c r="CB364" t="s">
        <v>134</v>
      </c>
      <c r="CC364" t="s">
        <v>134</v>
      </c>
      <c r="CD364" t="s">
        <v>134</v>
      </c>
      <c r="CE364" t="s">
        <v>134</v>
      </c>
      <c r="CF364" t="s">
        <v>134</v>
      </c>
      <c r="CG364" t="s">
        <v>134</v>
      </c>
      <c r="CH364" t="s">
        <v>134</v>
      </c>
      <c r="CI364" t="s">
        <v>134</v>
      </c>
      <c r="CJ364" t="s">
        <v>134</v>
      </c>
      <c r="CK364" t="s">
        <v>134</v>
      </c>
      <c r="CL364" t="s">
        <v>134</v>
      </c>
      <c r="CM364" t="s">
        <v>134</v>
      </c>
      <c r="CN364" t="s">
        <v>134</v>
      </c>
      <c r="CO364" t="s">
        <v>134</v>
      </c>
      <c r="CP364" t="s">
        <v>134</v>
      </c>
      <c r="CQ364" t="s">
        <v>134</v>
      </c>
      <c r="CR364" t="s">
        <v>134</v>
      </c>
      <c r="CS364" t="s">
        <v>134</v>
      </c>
      <c r="CT364" t="s">
        <v>134</v>
      </c>
      <c r="CU364" t="s">
        <v>134</v>
      </c>
      <c r="CV364" t="s">
        <v>134</v>
      </c>
      <c r="CW364" t="s">
        <v>134</v>
      </c>
      <c r="CX364" t="s">
        <v>134</v>
      </c>
      <c r="CY364" t="s">
        <v>134</v>
      </c>
      <c r="CZ364" t="s">
        <v>134</v>
      </c>
      <c r="DA364" t="s">
        <v>134</v>
      </c>
      <c r="DB364" t="s">
        <v>134</v>
      </c>
      <c r="DC364" t="s">
        <v>134</v>
      </c>
      <c r="DD364" t="s">
        <v>134</v>
      </c>
      <c r="DE364" t="s">
        <v>134</v>
      </c>
      <c r="DF364" t="s">
        <v>134</v>
      </c>
      <c r="DG364" t="s">
        <v>134</v>
      </c>
      <c r="DH364" t="s">
        <v>134</v>
      </c>
      <c r="DI364" t="s">
        <v>134</v>
      </c>
    </row>
    <row r="365" spans="1:113" x14ac:dyDescent="0.3">
      <c r="E365" t="s">
        <v>5</v>
      </c>
      <c r="F365" t="s">
        <v>134</v>
      </c>
      <c r="G365" t="s">
        <v>134</v>
      </c>
      <c r="H365" t="s">
        <v>134</v>
      </c>
      <c r="I365" t="s">
        <v>134</v>
      </c>
      <c r="J365" t="s">
        <v>134</v>
      </c>
      <c r="K365" t="s">
        <v>134</v>
      </c>
      <c r="L365" t="s">
        <v>134</v>
      </c>
      <c r="M365" t="s">
        <v>134</v>
      </c>
      <c r="N365" t="s">
        <v>134</v>
      </c>
      <c r="O365" t="s">
        <v>134</v>
      </c>
      <c r="P365" t="s">
        <v>134</v>
      </c>
      <c r="Q365" t="s">
        <v>134</v>
      </c>
      <c r="R365" t="s">
        <v>134</v>
      </c>
      <c r="S365" t="s">
        <v>134</v>
      </c>
      <c r="T365" t="s">
        <v>134</v>
      </c>
      <c r="U365" t="s">
        <v>134</v>
      </c>
      <c r="V365" t="s">
        <v>134</v>
      </c>
      <c r="W365" t="s">
        <v>134</v>
      </c>
      <c r="X365" t="s">
        <v>134</v>
      </c>
      <c r="Y365" t="s">
        <v>134</v>
      </c>
      <c r="Z365" t="s">
        <v>134</v>
      </c>
      <c r="AA365" t="s">
        <v>134</v>
      </c>
      <c r="AB365" t="s">
        <v>134</v>
      </c>
      <c r="AC365" t="s">
        <v>134</v>
      </c>
      <c r="AD365" t="s">
        <v>134</v>
      </c>
      <c r="AE365" t="s">
        <v>134</v>
      </c>
      <c r="AF365" t="s">
        <v>134</v>
      </c>
      <c r="AG365" t="s">
        <v>134</v>
      </c>
      <c r="AH365" t="s">
        <v>134</v>
      </c>
      <c r="AI365" t="s">
        <v>134</v>
      </c>
      <c r="AJ365" t="s">
        <v>134</v>
      </c>
      <c r="AK365" t="s">
        <v>134</v>
      </c>
      <c r="AL365" t="s">
        <v>134</v>
      </c>
      <c r="AM365" t="s">
        <v>134</v>
      </c>
      <c r="AN365" t="s">
        <v>134</v>
      </c>
      <c r="AO365" t="s">
        <v>134</v>
      </c>
      <c r="AP365" t="s">
        <v>134</v>
      </c>
      <c r="AQ365" t="s">
        <v>134</v>
      </c>
      <c r="AR365" t="s">
        <v>134</v>
      </c>
      <c r="AS365" t="s">
        <v>134</v>
      </c>
      <c r="AT365" t="s">
        <v>134</v>
      </c>
      <c r="AU365" t="s">
        <v>134</v>
      </c>
      <c r="AV365" t="s">
        <v>134</v>
      </c>
      <c r="AW365" t="s">
        <v>134</v>
      </c>
      <c r="AX365" t="s">
        <v>134</v>
      </c>
      <c r="AY365" t="s">
        <v>134</v>
      </c>
      <c r="AZ365" t="s">
        <v>134</v>
      </c>
      <c r="BA365" t="s">
        <v>134</v>
      </c>
      <c r="BB365" t="s">
        <v>134</v>
      </c>
      <c r="BC365" t="s">
        <v>134</v>
      </c>
      <c r="BD365" t="s">
        <v>134</v>
      </c>
      <c r="BE365" t="s">
        <v>134</v>
      </c>
      <c r="BF365" t="s">
        <v>134</v>
      </c>
      <c r="BG365" t="s">
        <v>134</v>
      </c>
      <c r="BH365" t="s">
        <v>134</v>
      </c>
      <c r="BI365" t="s">
        <v>134</v>
      </c>
      <c r="BJ365" t="s">
        <v>134</v>
      </c>
      <c r="BK365" t="s">
        <v>134</v>
      </c>
      <c r="BL365" t="s">
        <v>134</v>
      </c>
      <c r="BM365" t="s">
        <v>134</v>
      </c>
      <c r="BN365" t="s">
        <v>134</v>
      </c>
      <c r="BO365" t="s">
        <v>134</v>
      </c>
      <c r="BP365" t="s">
        <v>134</v>
      </c>
      <c r="BQ365" t="s">
        <v>134</v>
      </c>
      <c r="BR365" t="s">
        <v>134</v>
      </c>
      <c r="BS365" t="s">
        <v>134</v>
      </c>
      <c r="BT365" t="s">
        <v>134</v>
      </c>
      <c r="BU365" t="s">
        <v>134</v>
      </c>
      <c r="BV365" t="s">
        <v>134</v>
      </c>
      <c r="BW365" t="s">
        <v>134</v>
      </c>
      <c r="BX365" t="s">
        <v>134</v>
      </c>
      <c r="BY365" t="s">
        <v>134</v>
      </c>
      <c r="BZ365" t="s">
        <v>134</v>
      </c>
      <c r="CA365" t="s">
        <v>134</v>
      </c>
      <c r="CB365" t="s">
        <v>134</v>
      </c>
      <c r="CC365" t="s">
        <v>134</v>
      </c>
      <c r="CD365" t="s">
        <v>134</v>
      </c>
      <c r="CE365" t="s">
        <v>134</v>
      </c>
      <c r="CF365" t="s">
        <v>134</v>
      </c>
      <c r="CG365" t="s">
        <v>134</v>
      </c>
      <c r="CH365" t="s">
        <v>134</v>
      </c>
      <c r="CI365" t="s">
        <v>134</v>
      </c>
      <c r="CJ365" t="s">
        <v>134</v>
      </c>
      <c r="CK365" t="s">
        <v>134</v>
      </c>
      <c r="CL365" t="s">
        <v>134</v>
      </c>
      <c r="CM365" t="s">
        <v>134</v>
      </c>
      <c r="CN365" t="s">
        <v>134</v>
      </c>
      <c r="CO365" t="s">
        <v>134</v>
      </c>
      <c r="CP365" t="s">
        <v>134</v>
      </c>
      <c r="CQ365" t="s">
        <v>134</v>
      </c>
      <c r="CR365" t="s">
        <v>134</v>
      </c>
      <c r="CS365" t="s">
        <v>134</v>
      </c>
      <c r="CT365" t="s">
        <v>134</v>
      </c>
      <c r="CU365" t="s">
        <v>134</v>
      </c>
      <c r="CV365" t="s">
        <v>134</v>
      </c>
      <c r="CW365" t="s">
        <v>134</v>
      </c>
      <c r="CX365" t="s">
        <v>134</v>
      </c>
      <c r="CY365" t="s">
        <v>134</v>
      </c>
      <c r="CZ365" t="s">
        <v>134</v>
      </c>
      <c r="DA365" t="s">
        <v>134</v>
      </c>
      <c r="DB365" t="s">
        <v>134</v>
      </c>
      <c r="DC365" t="s">
        <v>134</v>
      </c>
      <c r="DD365" t="s">
        <v>134</v>
      </c>
      <c r="DE365" t="s">
        <v>134</v>
      </c>
      <c r="DF365" t="s">
        <v>134</v>
      </c>
      <c r="DG365" t="s">
        <v>134</v>
      </c>
      <c r="DH365" t="s">
        <v>134</v>
      </c>
      <c r="DI365" t="s">
        <v>134</v>
      </c>
    </row>
    <row r="366" spans="1:113" x14ac:dyDescent="0.3">
      <c r="E366" t="s">
        <v>6</v>
      </c>
      <c r="F366" t="s">
        <v>134</v>
      </c>
      <c r="G366" t="s">
        <v>134</v>
      </c>
      <c r="H366" t="s">
        <v>134</v>
      </c>
      <c r="I366" t="s">
        <v>134</v>
      </c>
      <c r="J366" t="s">
        <v>134</v>
      </c>
      <c r="K366" t="s">
        <v>134</v>
      </c>
      <c r="L366" t="s">
        <v>134</v>
      </c>
      <c r="M366" t="s">
        <v>134</v>
      </c>
      <c r="N366" t="s">
        <v>134</v>
      </c>
      <c r="O366" t="s">
        <v>134</v>
      </c>
      <c r="P366" t="s">
        <v>134</v>
      </c>
      <c r="Q366" t="s">
        <v>134</v>
      </c>
      <c r="R366" t="s">
        <v>134</v>
      </c>
      <c r="S366" t="s">
        <v>134</v>
      </c>
      <c r="T366" t="s">
        <v>134</v>
      </c>
      <c r="U366" t="s">
        <v>134</v>
      </c>
      <c r="V366" t="s">
        <v>134</v>
      </c>
      <c r="W366" t="s">
        <v>134</v>
      </c>
      <c r="X366" t="s">
        <v>134</v>
      </c>
      <c r="Y366" t="s">
        <v>134</v>
      </c>
      <c r="Z366" t="s">
        <v>134</v>
      </c>
      <c r="AA366" t="s">
        <v>134</v>
      </c>
      <c r="AB366" t="s">
        <v>134</v>
      </c>
      <c r="AC366" t="s">
        <v>134</v>
      </c>
      <c r="AD366" t="s">
        <v>134</v>
      </c>
      <c r="AE366" t="s">
        <v>134</v>
      </c>
      <c r="AF366" t="s">
        <v>134</v>
      </c>
      <c r="AG366" t="s">
        <v>134</v>
      </c>
      <c r="AH366" t="s">
        <v>134</v>
      </c>
      <c r="AI366" t="s">
        <v>134</v>
      </c>
      <c r="AJ366" t="s">
        <v>134</v>
      </c>
      <c r="AK366" t="s">
        <v>134</v>
      </c>
      <c r="AL366" t="s">
        <v>134</v>
      </c>
      <c r="AM366" t="s">
        <v>134</v>
      </c>
      <c r="AN366" t="s">
        <v>134</v>
      </c>
      <c r="AO366" t="s">
        <v>134</v>
      </c>
      <c r="AP366" t="s">
        <v>134</v>
      </c>
      <c r="AQ366" t="s">
        <v>134</v>
      </c>
      <c r="AR366" t="s">
        <v>134</v>
      </c>
      <c r="AS366" t="s">
        <v>134</v>
      </c>
      <c r="AT366" t="s">
        <v>134</v>
      </c>
      <c r="AU366" t="s">
        <v>134</v>
      </c>
      <c r="AV366" t="s">
        <v>134</v>
      </c>
      <c r="AW366" t="s">
        <v>134</v>
      </c>
      <c r="AX366" t="s">
        <v>134</v>
      </c>
      <c r="AY366" t="s">
        <v>134</v>
      </c>
      <c r="AZ366" t="s">
        <v>134</v>
      </c>
      <c r="BA366" t="s">
        <v>134</v>
      </c>
      <c r="BB366" t="s">
        <v>134</v>
      </c>
      <c r="BC366" t="s">
        <v>134</v>
      </c>
      <c r="BD366" t="s">
        <v>134</v>
      </c>
      <c r="BE366" t="s">
        <v>134</v>
      </c>
      <c r="BF366" t="s">
        <v>134</v>
      </c>
      <c r="BG366" t="s">
        <v>134</v>
      </c>
      <c r="BH366" t="s">
        <v>134</v>
      </c>
      <c r="BI366" t="s">
        <v>134</v>
      </c>
      <c r="BJ366" t="s">
        <v>134</v>
      </c>
      <c r="BK366" t="s">
        <v>134</v>
      </c>
      <c r="BL366" t="s">
        <v>134</v>
      </c>
      <c r="BM366" t="s">
        <v>134</v>
      </c>
      <c r="BN366" t="s">
        <v>134</v>
      </c>
      <c r="BO366" t="s">
        <v>134</v>
      </c>
      <c r="BP366" t="s">
        <v>134</v>
      </c>
      <c r="BQ366" t="s">
        <v>134</v>
      </c>
      <c r="BR366" t="s">
        <v>134</v>
      </c>
      <c r="BS366" t="s">
        <v>134</v>
      </c>
      <c r="BT366" t="s">
        <v>134</v>
      </c>
      <c r="BU366" t="s">
        <v>134</v>
      </c>
      <c r="BV366" t="s">
        <v>134</v>
      </c>
      <c r="BW366" t="s">
        <v>134</v>
      </c>
      <c r="BX366" t="s">
        <v>134</v>
      </c>
      <c r="BY366" t="s">
        <v>134</v>
      </c>
      <c r="BZ366" t="s">
        <v>134</v>
      </c>
      <c r="CA366" t="s">
        <v>134</v>
      </c>
      <c r="CB366" t="s">
        <v>134</v>
      </c>
      <c r="CC366" t="s">
        <v>134</v>
      </c>
      <c r="CD366" t="s">
        <v>134</v>
      </c>
      <c r="CE366" t="s">
        <v>134</v>
      </c>
      <c r="CF366" t="s">
        <v>134</v>
      </c>
      <c r="CG366" t="s">
        <v>134</v>
      </c>
      <c r="CH366" t="s">
        <v>134</v>
      </c>
      <c r="CI366" t="s">
        <v>134</v>
      </c>
      <c r="CJ366" t="s">
        <v>134</v>
      </c>
      <c r="CK366" t="s">
        <v>134</v>
      </c>
      <c r="CL366" t="s">
        <v>134</v>
      </c>
      <c r="CM366" t="s">
        <v>134</v>
      </c>
      <c r="CN366" t="s">
        <v>134</v>
      </c>
      <c r="CO366" t="s">
        <v>134</v>
      </c>
      <c r="CP366" t="s">
        <v>134</v>
      </c>
      <c r="CQ366" t="s">
        <v>134</v>
      </c>
      <c r="CR366" t="s">
        <v>134</v>
      </c>
      <c r="CS366" t="s">
        <v>134</v>
      </c>
      <c r="CT366" t="s">
        <v>134</v>
      </c>
      <c r="CU366" t="s">
        <v>134</v>
      </c>
      <c r="CV366" t="s">
        <v>134</v>
      </c>
      <c r="CW366" t="s">
        <v>134</v>
      </c>
      <c r="CX366" t="s">
        <v>134</v>
      </c>
      <c r="CY366" t="s">
        <v>134</v>
      </c>
      <c r="CZ366" t="s">
        <v>134</v>
      </c>
      <c r="DA366" t="s">
        <v>134</v>
      </c>
      <c r="DB366" t="s">
        <v>134</v>
      </c>
      <c r="DC366" t="s">
        <v>134</v>
      </c>
      <c r="DD366" t="s">
        <v>134</v>
      </c>
      <c r="DE366" t="s">
        <v>134</v>
      </c>
      <c r="DF366" t="s">
        <v>134</v>
      </c>
      <c r="DG366" t="s">
        <v>134</v>
      </c>
      <c r="DH366" t="s">
        <v>134</v>
      </c>
      <c r="DI366" t="s">
        <v>134</v>
      </c>
    </row>
    <row r="367" spans="1:113" x14ac:dyDescent="0.3">
      <c r="E367" t="s">
        <v>7</v>
      </c>
      <c r="F367" t="s">
        <v>134</v>
      </c>
      <c r="G367" t="s">
        <v>134</v>
      </c>
      <c r="H367" t="s">
        <v>134</v>
      </c>
      <c r="I367" t="s">
        <v>134</v>
      </c>
      <c r="J367" t="s">
        <v>134</v>
      </c>
      <c r="K367" t="s">
        <v>134</v>
      </c>
      <c r="L367" t="s">
        <v>134</v>
      </c>
      <c r="M367" t="s">
        <v>134</v>
      </c>
      <c r="N367" t="s">
        <v>134</v>
      </c>
      <c r="O367" t="s">
        <v>134</v>
      </c>
      <c r="P367" t="s">
        <v>134</v>
      </c>
      <c r="Q367" t="s">
        <v>134</v>
      </c>
      <c r="R367" t="s">
        <v>134</v>
      </c>
      <c r="S367" t="s">
        <v>134</v>
      </c>
      <c r="T367" t="s">
        <v>134</v>
      </c>
      <c r="U367" t="s">
        <v>134</v>
      </c>
      <c r="V367" t="s">
        <v>134</v>
      </c>
      <c r="W367" t="s">
        <v>134</v>
      </c>
      <c r="X367" t="s">
        <v>134</v>
      </c>
      <c r="Y367" t="s">
        <v>134</v>
      </c>
      <c r="Z367" t="s">
        <v>134</v>
      </c>
      <c r="AA367" t="s">
        <v>134</v>
      </c>
      <c r="AB367" t="s">
        <v>134</v>
      </c>
      <c r="AC367" t="s">
        <v>134</v>
      </c>
      <c r="AD367" t="s">
        <v>134</v>
      </c>
      <c r="AE367" t="s">
        <v>134</v>
      </c>
      <c r="AF367" t="s">
        <v>134</v>
      </c>
      <c r="AG367" t="s">
        <v>134</v>
      </c>
      <c r="AH367" t="s">
        <v>134</v>
      </c>
      <c r="AI367" t="s">
        <v>134</v>
      </c>
      <c r="AJ367" t="s">
        <v>134</v>
      </c>
      <c r="AK367" t="s">
        <v>134</v>
      </c>
      <c r="AL367" t="s">
        <v>134</v>
      </c>
      <c r="AM367" t="s">
        <v>134</v>
      </c>
      <c r="AN367" t="s">
        <v>134</v>
      </c>
      <c r="AO367" t="s">
        <v>134</v>
      </c>
      <c r="AP367" t="s">
        <v>134</v>
      </c>
      <c r="AQ367" t="s">
        <v>134</v>
      </c>
      <c r="AR367" t="s">
        <v>134</v>
      </c>
      <c r="AS367" t="s">
        <v>134</v>
      </c>
      <c r="AT367" t="s">
        <v>134</v>
      </c>
      <c r="AU367" t="s">
        <v>134</v>
      </c>
      <c r="AV367" t="s">
        <v>134</v>
      </c>
      <c r="AW367" t="s">
        <v>134</v>
      </c>
      <c r="AX367" t="s">
        <v>134</v>
      </c>
      <c r="AY367" t="s">
        <v>134</v>
      </c>
      <c r="AZ367" t="s">
        <v>134</v>
      </c>
      <c r="BA367" t="s">
        <v>134</v>
      </c>
      <c r="BB367" t="s">
        <v>134</v>
      </c>
      <c r="BC367" t="s">
        <v>134</v>
      </c>
      <c r="BD367" t="s">
        <v>134</v>
      </c>
      <c r="BE367" t="s">
        <v>134</v>
      </c>
      <c r="BF367" t="s">
        <v>134</v>
      </c>
      <c r="BG367" t="s">
        <v>134</v>
      </c>
      <c r="BH367" t="s">
        <v>134</v>
      </c>
      <c r="BI367" t="s">
        <v>134</v>
      </c>
      <c r="BJ367" t="s">
        <v>134</v>
      </c>
      <c r="BK367" t="s">
        <v>134</v>
      </c>
      <c r="BL367" t="s">
        <v>134</v>
      </c>
      <c r="BM367" t="s">
        <v>134</v>
      </c>
      <c r="BN367" t="s">
        <v>134</v>
      </c>
      <c r="BO367" t="s">
        <v>134</v>
      </c>
      <c r="BP367" t="s">
        <v>134</v>
      </c>
      <c r="BQ367" t="s">
        <v>134</v>
      </c>
      <c r="BR367" t="s">
        <v>134</v>
      </c>
      <c r="BS367" t="s">
        <v>134</v>
      </c>
      <c r="BT367" t="s">
        <v>134</v>
      </c>
      <c r="BU367" t="s">
        <v>134</v>
      </c>
      <c r="BV367" t="s">
        <v>134</v>
      </c>
      <c r="BW367" t="s">
        <v>134</v>
      </c>
      <c r="BX367" t="s">
        <v>134</v>
      </c>
      <c r="BY367" t="s">
        <v>134</v>
      </c>
      <c r="BZ367" t="s">
        <v>134</v>
      </c>
      <c r="CA367" t="s">
        <v>134</v>
      </c>
      <c r="CB367" t="s">
        <v>134</v>
      </c>
      <c r="CC367" t="s">
        <v>134</v>
      </c>
      <c r="CD367" t="s">
        <v>134</v>
      </c>
      <c r="CE367" t="s">
        <v>134</v>
      </c>
      <c r="CF367" t="s">
        <v>134</v>
      </c>
      <c r="CG367" t="s">
        <v>134</v>
      </c>
      <c r="CH367" t="s">
        <v>134</v>
      </c>
      <c r="CI367" t="s">
        <v>134</v>
      </c>
      <c r="CJ367" t="s">
        <v>134</v>
      </c>
      <c r="CK367" t="s">
        <v>134</v>
      </c>
      <c r="CL367" t="s">
        <v>134</v>
      </c>
      <c r="CM367" t="s">
        <v>134</v>
      </c>
      <c r="CN367" t="s">
        <v>134</v>
      </c>
      <c r="CO367" t="s">
        <v>134</v>
      </c>
      <c r="CP367" t="s">
        <v>134</v>
      </c>
      <c r="CQ367" t="s">
        <v>134</v>
      </c>
      <c r="CR367" t="s">
        <v>134</v>
      </c>
      <c r="CS367" t="s">
        <v>134</v>
      </c>
      <c r="CT367" t="s">
        <v>134</v>
      </c>
      <c r="CU367" t="s">
        <v>134</v>
      </c>
      <c r="CV367" t="s">
        <v>134</v>
      </c>
      <c r="CW367" t="s">
        <v>134</v>
      </c>
      <c r="CX367" t="s">
        <v>134</v>
      </c>
      <c r="CY367" t="s">
        <v>134</v>
      </c>
      <c r="CZ367" t="s">
        <v>134</v>
      </c>
      <c r="DA367" t="s">
        <v>134</v>
      </c>
      <c r="DB367" t="s">
        <v>134</v>
      </c>
      <c r="DC367" t="s">
        <v>134</v>
      </c>
      <c r="DD367" t="s">
        <v>134</v>
      </c>
      <c r="DE367" t="s">
        <v>134</v>
      </c>
      <c r="DF367" t="s">
        <v>134</v>
      </c>
      <c r="DG367" t="s">
        <v>134</v>
      </c>
      <c r="DH367" t="s">
        <v>134</v>
      </c>
      <c r="DI367" t="s">
        <v>134</v>
      </c>
    </row>
    <row r="368" spans="1:113" x14ac:dyDescent="0.3">
      <c r="D368" t="s">
        <v>10</v>
      </c>
      <c r="E368" t="s">
        <v>3</v>
      </c>
      <c r="F368">
        <v>22.188700000000001</v>
      </c>
      <c r="G368">
        <v>15.8627</v>
      </c>
      <c r="H368">
        <v>22.095800000000001</v>
      </c>
      <c r="I368">
        <v>16.218299999999999</v>
      </c>
      <c r="J368">
        <v>15.4772</v>
      </c>
      <c r="K368">
        <v>11.586500000000001</v>
      </c>
      <c r="L368">
        <v>16.1126</v>
      </c>
      <c r="M368">
        <v>15.132199999999999</v>
      </c>
      <c r="N368">
        <v>11.223100000000001</v>
      </c>
      <c r="O368">
        <v>11.221399999999999</v>
      </c>
      <c r="P368">
        <v>11.221399999999999</v>
      </c>
      <c r="Q368">
        <v>25.833400000000001</v>
      </c>
      <c r="R368">
        <v>30.168199999999999</v>
      </c>
      <c r="S368">
        <v>15.4948</v>
      </c>
      <c r="T368">
        <v>18.549800000000001</v>
      </c>
      <c r="U368">
        <v>16.531099999999999</v>
      </c>
      <c r="V368">
        <v>27.811599999999999</v>
      </c>
      <c r="W368">
        <v>36.640500000000003</v>
      </c>
      <c r="X368">
        <v>36.640500000000003</v>
      </c>
      <c r="Y368">
        <v>114.28570000000001</v>
      </c>
      <c r="Z368">
        <v>-9.1280000000000001</v>
      </c>
      <c r="AA368">
        <v>4.1849999999999996</v>
      </c>
      <c r="AB368">
        <v>7.5847999999999995</v>
      </c>
      <c r="AC368">
        <v>21.614699999999999</v>
      </c>
      <c r="AD368">
        <v>-32.171799999999998</v>
      </c>
      <c r="AE368">
        <v>-43.511200000000002</v>
      </c>
      <c r="AF368">
        <v>12.961399999999999</v>
      </c>
      <c r="AG368">
        <v>98.755600000000001</v>
      </c>
      <c r="AH368">
        <v>98.755600000000001</v>
      </c>
      <c r="AI368">
        <v>21.090499999999999</v>
      </c>
      <c r="AJ368">
        <v>21.8172</v>
      </c>
      <c r="AK368">
        <v>21.097100000000001</v>
      </c>
      <c r="AL368">
        <v>20.708500000000001</v>
      </c>
      <c r="AM368">
        <v>13.714499999999999</v>
      </c>
      <c r="AN368">
        <v>30.791899999999998</v>
      </c>
      <c r="AO368">
        <v>38.102200000000003</v>
      </c>
      <c r="AP368">
        <v>34.897199999999998</v>
      </c>
      <c r="AQ368">
        <v>33.700400000000002</v>
      </c>
      <c r="AR368">
        <v>58.4893</v>
      </c>
      <c r="AS368">
        <v>3.6221999999999999</v>
      </c>
      <c r="AT368">
        <v>12.1715</v>
      </c>
      <c r="AU368">
        <v>10.853899999999999</v>
      </c>
      <c r="AV368">
        <v>17.6022</v>
      </c>
      <c r="AW368" t="s">
        <v>134</v>
      </c>
      <c r="AX368" t="s">
        <v>134</v>
      </c>
      <c r="AY368">
        <v>19.282299999999999</v>
      </c>
      <c r="AZ368">
        <v>-14.398400000000001</v>
      </c>
      <c r="BA368">
        <v>-16.549900000000001</v>
      </c>
      <c r="BB368">
        <v>18.798999999999999</v>
      </c>
      <c r="BC368">
        <v>17.114999999999998</v>
      </c>
      <c r="BD368">
        <v>17.7348</v>
      </c>
      <c r="BE368">
        <v>26.904599999999999</v>
      </c>
      <c r="BF368">
        <v>18.549800000000001</v>
      </c>
      <c r="BG368">
        <v>16.531099999999999</v>
      </c>
      <c r="BH368">
        <v>27.811599999999999</v>
      </c>
      <c r="BI368">
        <v>36.640500000000003</v>
      </c>
      <c r="BJ368">
        <v>36.640500000000003</v>
      </c>
      <c r="BK368">
        <v>114.28570000000001</v>
      </c>
      <c r="BL368">
        <v>-9.1280000000000001</v>
      </c>
      <c r="BM368">
        <v>4.1849999999999996</v>
      </c>
      <c r="BN368">
        <v>7.5847999999999995</v>
      </c>
      <c r="BO368">
        <v>21.614699999999999</v>
      </c>
      <c r="BP368" t="s">
        <v>134</v>
      </c>
      <c r="BQ368" t="s">
        <v>134</v>
      </c>
      <c r="BR368">
        <v>12.961399999999999</v>
      </c>
      <c r="BS368">
        <v>98.755600000000001</v>
      </c>
      <c r="BT368">
        <v>98.755600000000001</v>
      </c>
      <c r="BU368">
        <v>21.090499999999999</v>
      </c>
      <c r="BV368">
        <v>21.8172</v>
      </c>
      <c r="BW368">
        <v>21.097100000000001</v>
      </c>
      <c r="BX368">
        <v>20.708500000000001</v>
      </c>
      <c r="BY368">
        <v>5750</v>
      </c>
      <c r="BZ368">
        <v>5750</v>
      </c>
      <c r="CA368">
        <v>0</v>
      </c>
      <c r="CB368">
        <v>5.5500000000000001E-2</v>
      </c>
      <c r="CC368">
        <v>-0.157</v>
      </c>
      <c r="CD368">
        <v>7.4200000000000002E-2</v>
      </c>
      <c r="CE368">
        <v>-0.20979999999999999</v>
      </c>
      <c r="CF368">
        <v>115.9922</v>
      </c>
      <c r="CG368">
        <v>71.352500000000006</v>
      </c>
      <c r="CH368">
        <v>0</v>
      </c>
      <c r="CI368">
        <v>0</v>
      </c>
      <c r="CJ368">
        <v>0</v>
      </c>
      <c r="CK368">
        <v>1.5503</v>
      </c>
      <c r="CL368">
        <v>1.5266</v>
      </c>
      <c r="CM368">
        <v>1.1066</v>
      </c>
      <c r="CN368">
        <v>-4.3852000000000002</v>
      </c>
      <c r="CO368">
        <v>-4.5862999999999996</v>
      </c>
      <c r="CP368">
        <v>103581</v>
      </c>
      <c r="CQ368">
        <v>71057</v>
      </c>
      <c r="CR368">
        <v>77542</v>
      </c>
      <c r="CS368">
        <v>0.1663</v>
      </c>
      <c r="CT368">
        <v>0.66469999999999996</v>
      </c>
      <c r="CU368">
        <v>0.25719999999999998</v>
      </c>
      <c r="CV368">
        <v>9.8899000000000008</v>
      </c>
      <c r="CW368">
        <v>52.988700000000001</v>
      </c>
      <c r="CX368">
        <v>6.8883000000000001</v>
      </c>
      <c r="CY368">
        <v>14.734</v>
      </c>
      <c r="CZ368">
        <v>24.7727</v>
      </c>
      <c r="DA368">
        <v>5.9896000000000003</v>
      </c>
      <c r="DB368">
        <v>60.938499999999998</v>
      </c>
      <c r="DC368">
        <v>-29.2776</v>
      </c>
      <c r="DD368">
        <v>31.660900000000002</v>
      </c>
      <c r="DE368">
        <v>32637</v>
      </c>
      <c r="DF368">
        <v>8757</v>
      </c>
      <c r="DG368">
        <v>1546</v>
      </c>
      <c r="DH368">
        <v>20333</v>
      </c>
      <c r="DI368">
        <v>2001</v>
      </c>
    </row>
    <row r="369" spans="1:113" x14ac:dyDescent="0.3">
      <c r="E369" t="s">
        <v>4</v>
      </c>
      <c r="F369" t="s">
        <v>134</v>
      </c>
      <c r="G369" t="s">
        <v>134</v>
      </c>
      <c r="H369" t="s">
        <v>134</v>
      </c>
      <c r="I369" t="s">
        <v>134</v>
      </c>
      <c r="J369" t="s">
        <v>134</v>
      </c>
      <c r="K369" t="s">
        <v>134</v>
      </c>
      <c r="L369" t="s">
        <v>134</v>
      </c>
      <c r="M369" t="s">
        <v>134</v>
      </c>
      <c r="N369" t="s">
        <v>134</v>
      </c>
      <c r="O369" t="s">
        <v>134</v>
      </c>
      <c r="P369" t="s">
        <v>134</v>
      </c>
      <c r="Q369" t="s">
        <v>134</v>
      </c>
      <c r="R369" t="s">
        <v>134</v>
      </c>
      <c r="S369" t="s">
        <v>134</v>
      </c>
      <c r="T369" t="s">
        <v>134</v>
      </c>
      <c r="U369" t="s">
        <v>134</v>
      </c>
      <c r="V369" t="s">
        <v>134</v>
      </c>
      <c r="W369" t="s">
        <v>134</v>
      </c>
      <c r="X369" t="s">
        <v>134</v>
      </c>
      <c r="Y369" t="s">
        <v>134</v>
      </c>
      <c r="Z369" t="s">
        <v>134</v>
      </c>
      <c r="AA369" t="s">
        <v>134</v>
      </c>
      <c r="AB369" t="s">
        <v>134</v>
      </c>
      <c r="AC369" t="s">
        <v>134</v>
      </c>
      <c r="AD369" t="s">
        <v>134</v>
      </c>
      <c r="AE369" t="s">
        <v>134</v>
      </c>
      <c r="AF369" t="s">
        <v>134</v>
      </c>
      <c r="AG369" t="s">
        <v>134</v>
      </c>
      <c r="AH369" t="s">
        <v>134</v>
      </c>
      <c r="AI369" t="s">
        <v>134</v>
      </c>
      <c r="AJ369" t="s">
        <v>134</v>
      </c>
      <c r="AK369" t="s">
        <v>134</v>
      </c>
      <c r="AL369" t="s">
        <v>134</v>
      </c>
      <c r="AM369" t="s">
        <v>134</v>
      </c>
      <c r="AN369" t="s">
        <v>134</v>
      </c>
      <c r="AO369" t="s">
        <v>134</v>
      </c>
      <c r="AP369" t="s">
        <v>134</v>
      </c>
      <c r="AQ369" t="s">
        <v>134</v>
      </c>
      <c r="AR369" t="s">
        <v>134</v>
      </c>
      <c r="AS369" t="s">
        <v>134</v>
      </c>
      <c r="AT369" t="s">
        <v>134</v>
      </c>
      <c r="AU369" t="s">
        <v>134</v>
      </c>
      <c r="AV369" t="s">
        <v>134</v>
      </c>
      <c r="AW369" t="s">
        <v>134</v>
      </c>
      <c r="AX369" t="s">
        <v>134</v>
      </c>
      <c r="AY369" t="s">
        <v>134</v>
      </c>
      <c r="AZ369" t="s">
        <v>134</v>
      </c>
      <c r="BA369" t="s">
        <v>134</v>
      </c>
      <c r="BB369" t="s">
        <v>134</v>
      </c>
      <c r="BC369" t="s">
        <v>134</v>
      </c>
      <c r="BD369" t="s">
        <v>134</v>
      </c>
      <c r="BE369" t="s">
        <v>134</v>
      </c>
      <c r="BF369" t="s">
        <v>134</v>
      </c>
      <c r="BG369" t="s">
        <v>134</v>
      </c>
      <c r="BH369" t="s">
        <v>134</v>
      </c>
      <c r="BI369" t="s">
        <v>134</v>
      </c>
      <c r="BJ369" t="s">
        <v>134</v>
      </c>
      <c r="BK369" t="s">
        <v>134</v>
      </c>
      <c r="BL369" t="s">
        <v>134</v>
      </c>
      <c r="BM369" t="s">
        <v>134</v>
      </c>
      <c r="BN369" t="s">
        <v>134</v>
      </c>
      <c r="BO369" t="s">
        <v>134</v>
      </c>
      <c r="BP369" t="s">
        <v>134</v>
      </c>
      <c r="BQ369" t="s">
        <v>134</v>
      </c>
      <c r="BR369" t="s">
        <v>134</v>
      </c>
      <c r="BS369" t="s">
        <v>134</v>
      </c>
      <c r="BT369" t="s">
        <v>134</v>
      </c>
      <c r="BU369" t="s">
        <v>134</v>
      </c>
      <c r="BV369" t="s">
        <v>134</v>
      </c>
      <c r="BW369" t="s">
        <v>134</v>
      </c>
      <c r="BX369" t="s">
        <v>134</v>
      </c>
      <c r="BY369" t="s">
        <v>134</v>
      </c>
      <c r="BZ369" t="s">
        <v>134</v>
      </c>
      <c r="CA369" t="s">
        <v>134</v>
      </c>
      <c r="CB369" t="s">
        <v>134</v>
      </c>
      <c r="CC369" t="s">
        <v>134</v>
      </c>
      <c r="CD369" t="s">
        <v>134</v>
      </c>
      <c r="CE369" t="s">
        <v>134</v>
      </c>
      <c r="CF369" t="s">
        <v>134</v>
      </c>
      <c r="CG369" t="s">
        <v>134</v>
      </c>
      <c r="CH369" t="s">
        <v>134</v>
      </c>
      <c r="CI369" t="s">
        <v>134</v>
      </c>
      <c r="CJ369" t="s">
        <v>134</v>
      </c>
      <c r="CK369" t="s">
        <v>134</v>
      </c>
      <c r="CL369" t="s">
        <v>134</v>
      </c>
      <c r="CM369" t="s">
        <v>134</v>
      </c>
      <c r="CN369" t="s">
        <v>134</v>
      </c>
      <c r="CO369" t="s">
        <v>134</v>
      </c>
      <c r="CP369" t="s">
        <v>134</v>
      </c>
      <c r="CQ369" t="s">
        <v>134</v>
      </c>
      <c r="CR369" t="s">
        <v>134</v>
      </c>
      <c r="CS369" t="s">
        <v>134</v>
      </c>
      <c r="CT369" t="s">
        <v>134</v>
      </c>
      <c r="CU369" t="s">
        <v>134</v>
      </c>
      <c r="CV369" t="s">
        <v>134</v>
      </c>
      <c r="CW369" t="s">
        <v>134</v>
      </c>
      <c r="CX369" t="s">
        <v>134</v>
      </c>
      <c r="CY369" t="s">
        <v>134</v>
      </c>
      <c r="CZ369" t="s">
        <v>134</v>
      </c>
      <c r="DA369" t="s">
        <v>134</v>
      </c>
      <c r="DB369" t="s">
        <v>134</v>
      </c>
      <c r="DC369" t="s">
        <v>134</v>
      </c>
      <c r="DD369" t="s">
        <v>134</v>
      </c>
      <c r="DE369" t="s">
        <v>134</v>
      </c>
      <c r="DF369" t="s">
        <v>134</v>
      </c>
      <c r="DG369" t="s">
        <v>134</v>
      </c>
      <c r="DH369" t="s">
        <v>134</v>
      </c>
      <c r="DI369" t="s">
        <v>134</v>
      </c>
    </row>
    <row r="370" spans="1:113" x14ac:dyDescent="0.3">
      <c r="E370" t="s">
        <v>5</v>
      </c>
      <c r="F370" t="s">
        <v>134</v>
      </c>
      <c r="G370" t="s">
        <v>134</v>
      </c>
      <c r="H370" t="s">
        <v>134</v>
      </c>
      <c r="I370" t="s">
        <v>134</v>
      </c>
      <c r="J370" t="s">
        <v>134</v>
      </c>
      <c r="K370" t="s">
        <v>134</v>
      </c>
      <c r="L370" t="s">
        <v>134</v>
      </c>
      <c r="M370" t="s">
        <v>134</v>
      </c>
      <c r="N370" t="s">
        <v>134</v>
      </c>
      <c r="O370" t="s">
        <v>134</v>
      </c>
      <c r="P370" t="s">
        <v>134</v>
      </c>
      <c r="Q370" t="s">
        <v>134</v>
      </c>
      <c r="R370" t="s">
        <v>134</v>
      </c>
      <c r="S370" t="s">
        <v>134</v>
      </c>
      <c r="T370" t="s">
        <v>134</v>
      </c>
      <c r="U370" t="s">
        <v>134</v>
      </c>
      <c r="V370" t="s">
        <v>134</v>
      </c>
      <c r="W370" t="s">
        <v>134</v>
      </c>
      <c r="X370" t="s">
        <v>134</v>
      </c>
      <c r="Y370" t="s">
        <v>134</v>
      </c>
      <c r="Z370" t="s">
        <v>134</v>
      </c>
      <c r="AA370" t="s">
        <v>134</v>
      </c>
      <c r="AB370" t="s">
        <v>134</v>
      </c>
      <c r="AC370" t="s">
        <v>134</v>
      </c>
      <c r="AD370" t="s">
        <v>134</v>
      </c>
      <c r="AE370" t="s">
        <v>134</v>
      </c>
      <c r="AF370" t="s">
        <v>134</v>
      </c>
      <c r="AG370" t="s">
        <v>134</v>
      </c>
      <c r="AH370" t="s">
        <v>134</v>
      </c>
      <c r="AI370" t="s">
        <v>134</v>
      </c>
      <c r="AJ370" t="s">
        <v>134</v>
      </c>
      <c r="AK370" t="s">
        <v>134</v>
      </c>
      <c r="AL370" t="s">
        <v>134</v>
      </c>
      <c r="AM370" t="s">
        <v>134</v>
      </c>
      <c r="AN370" t="s">
        <v>134</v>
      </c>
      <c r="AO370" t="s">
        <v>134</v>
      </c>
      <c r="AP370" t="s">
        <v>134</v>
      </c>
      <c r="AQ370" t="s">
        <v>134</v>
      </c>
      <c r="AR370" t="s">
        <v>134</v>
      </c>
      <c r="AS370" t="s">
        <v>134</v>
      </c>
      <c r="AT370" t="s">
        <v>134</v>
      </c>
      <c r="AU370" t="s">
        <v>134</v>
      </c>
      <c r="AV370" t="s">
        <v>134</v>
      </c>
      <c r="AW370" t="s">
        <v>134</v>
      </c>
      <c r="AX370" t="s">
        <v>134</v>
      </c>
      <c r="AY370" t="s">
        <v>134</v>
      </c>
      <c r="AZ370" t="s">
        <v>134</v>
      </c>
      <c r="BA370" t="s">
        <v>134</v>
      </c>
      <c r="BB370" t="s">
        <v>134</v>
      </c>
      <c r="BC370" t="s">
        <v>134</v>
      </c>
      <c r="BD370" t="s">
        <v>134</v>
      </c>
      <c r="BE370" t="s">
        <v>134</v>
      </c>
      <c r="BF370" t="s">
        <v>134</v>
      </c>
      <c r="BG370" t="s">
        <v>134</v>
      </c>
      <c r="BH370" t="s">
        <v>134</v>
      </c>
      <c r="BI370" t="s">
        <v>134</v>
      </c>
      <c r="BJ370" t="s">
        <v>134</v>
      </c>
      <c r="BK370" t="s">
        <v>134</v>
      </c>
      <c r="BL370" t="s">
        <v>134</v>
      </c>
      <c r="BM370" t="s">
        <v>134</v>
      </c>
      <c r="BN370" t="s">
        <v>134</v>
      </c>
      <c r="BO370" t="s">
        <v>134</v>
      </c>
      <c r="BP370" t="s">
        <v>134</v>
      </c>
      <c r="BQ370" t="s">
        <v>134</v>
      </c>
      <c r="BR370" t="s">
        <v>134</v>
      </c>
      <c r="BS370" t="s">
        <v>134</v>
      </c>
      <c r="BT370" t="s">
        <v>134</v>
      </c>
      <c r="BU370" t="s">
        <v>134</v>
      </c>
      <c r="BV370" t="s">
        <v>134</v>
      </c>
      <c r="BW370" t="s">
        <v>134</v>
      </c>
      <c r="BX370" t="s">
        <v>134</v>
      </c>
      <c r="BY370" t="s">
        <v>134</v>
      </c>
      <c r="BZ370" t="s">
        <v>134</v>
      </c>
      <c r="CA370" t="s">
        <v>134</v>
      </c>
      <c r="CB370" t="s">
        <v>134</v>
      </c>
      <c r="CC370" t="s">
        <v>134</v>
      </c>
      <c r="CD370" t="s">
        <v>134</v>
      </c>
      <c r="CE370" t="s">
        <v>134</v>
      </c>
      <c r="CF370" t="s">
        <v>134</v>
      </c>
      <c r="CG370" t="s">
        <v>134</v>
      </c>
      <c r="CH370" t="s">
        <v>134</v>
      </c>
      <c r="CI370" t="s">
        <v>134</v>
      </c>
      <c r="CJ370" t="s">
        <v>134</v>
      </c>
      <c r="CK370" t="s">
        <v>134</v>
      </c>
      <c r="CL370" t="s">
        <v>134</v>
      </c>
      <c r="CM370" t="s">
        <v>134</v>
      </c>
      <c r="CN370" t="s">
        <v>134</v>
      </c>
      <c r="CO370" t="s">
        <v>134</v>
      </c>
      <c r="CP370" t="s">
        <v>134</v>
      </c>
      <c r="CQ370" t="s">
        <v>134</v>
      </c>
      <c r="CR370" t="s">
        <v>134</v>
      </c>
      <c r="CS370" t="s">
        <v>134</v>
      </c>
      <c r="CT370" t="s">
        <v>134</v>
      </c>
      <c r="CU370" t="s">
        <v>134</v>
      </c>
      <c r="CV370" t="s">
        <v>134</v>
      </c>
      <c r="CW370" t="s">
        <v>134</v>
      </c>
      <c r="CX370" t="s">
        <v>134</v>
      </c>
      <c r="CY370" t="s">
        <v>134</v>
      </c>
      <c r="CZ370" t="s">
        <v>134</v>
      </c>
      <c r="DA370" t="s">
        <v>134</v>
      </c>
      <c r="DB370" t="s">
        <v>134</v>
      </c>
      <c r="DC370" t="s">
        <v>134</v>
      </c>
      <c r="DD370" t="s">
        <v>134</v>
      </c>
      <c r="DE370" t="s">
        <v>134</v>
      </c>
      <c r="DF370" t="s">
        <v>134</v>
      </c>
      <c r="DG370" t="s">
        <v>134</v>
      </c>
      <c r="DH370" t="s">
        <v>134</v>
      </c>
      <c r="DI370" t="s">
        <v>134</v>
      </c>
    </row>
    <row r="371" spans="1:113" x14ac:dyDescent="0.3">
      <c r="E371" t="s">
        <v>6</v>
      </c>
      <c r="F371" t="s">
        <v>134</v>
      </c>
      <c r="G371" t="s">
        <v>134</v>
      </c>
      <c r="H371" t="s">
        <v>134</v>
      </c>
      <c r="I371" t="s">
        <v>134</v>
      </c>
      <c r="J371" t="s">
        <v>134</v>
      </c>
      <c r="K371" t="s">
        <v>134</v>
      </c>
      <c r="L371" t="s">
        <v>134</v>
      </c>
      <c r="M371" t="s">
        <v>134</v>
      </c>
      <c r="N371" t="s">
        <v>134</v>
      </c>
      <c r="O371" t="s">
        <v>134</v>
      </c>
      <c r="P371" t="s">
        <v>134</v>
      </c>
      <c r="Q371" t="s">
        <v>134</v>
      </c>
      <c r="R371" t="s">
        <v>134</v>
      </c>
      <c r="S371" t="s">
        <v>134</v>
      </c>
      <c r="T371" t="s">
        <v>134</v>
      </c>
      <c r="U371" t="s">
        <v>134</v>
      </c>
      <c r="V371" t="s">
        <v>134</v>
      </c>
      <c r="W371" t="s">
        <v>134</v>
      </c>
      <c r="X371" t="s">
        <v>134</v>
      </c>
      <c r="Y371" t="s">
        <v>134</v>
      </c>
      <c r="Z371" t="s">
        <v>134</v>
      </c>
      <c r="AA371" t="s">
        <v>134</v>
      </c>
      <c r="AB371" t="s">
        <v>134</v>
      </c>
      <c r="AC371" t="s">
        <v>134</v>
      </c>
      <c r="AD371" t="s">
        <v>134</v>
      </c>
      <c r="AE371" t="s">
        <v>134</v>
      </c>
      <c r="AF371" t="s">
        <v>134</v>
      </c>
      <c r="AG371" t="s">
        <v>134</v>
      </c>
      <c r="AH371" t="s">
        <v>134</v>
      </c>
      <c r="AI371" t="s">
        <v>134</v>
      </c>
      <c r="AJ371" t="s">
        <v>134</v>
      </c>
      <c r="AK371" t="s">
        <v>134</v>
      </c>
      <c r="AL371" t="s">
        <v>134</v>
      </c>
      <c r="AM371" t="s">
        <v>134</v>
      </c>
      <c r="AN371" t="s">
        <v>134</v>
      </c>
      <c r="AO371" t="s">
        <v>134</v>
      </c>
      <c r="AP371" t="s">
        <v>134</v>
      </c>
      <c r="AQ371" t="s">
        <v>134</v>
      </c>
      <c r="AR371" t="s">
        <v>134</v>
      </c>
      <c r="AS371" t="s">
        <v>134</v>
      </c>
      <c r="AT371" t="s">
        <v>134</v>
      </c>
      <c r="AU371" t="s">
        <v>134</v>
      </c>
      <c r="AV371" t="s">
        <v>134</v>
      </c>
      <c r="AW371" t="s">
        <v>134</v>
      </c>
      <c r="AX371" t="s">
        <v>134</v>
      </c>
      <c r="AY371" t="s">
        <v>134</v>
      </c>
      <c r="AZ371" t="s">
        <v>134</v>
      </c>
      <c r="BA371" t="s">
        <v>134</v>
      </c>
      <c r="BB371" t="s">
        <v>134</v>
      </c>
      <c r="BC371" t="s">
        <v>134</v>
      </c>
      <c r="BD371" t="s">
        <v>134</v>
      </c>
      <c r="BE371" t="s">
        <v>134</v>
      </c>
      <c r="BF371" t="s">
        <v>134</v>
      </c>
      <c r="BG371" t="s">
        <v>134</v>
      </c>
      <c r="BH371" t="s">
        <v>134</v>
      </c>
      <c r="BI371" t="s">
        <v>134</v>
      </c>
      <c r="BJ371" t="s">
        <v>134</v>
      </c>
      <c r="BK371" t="s">
        <v>134</v>
      </c>
      <c r="BL371" t="s">
        <v>134</v>
      </c>
      <c r="BM371" t="s">
        <v>134</v>
      </c>
      <c r="BN371" t="s">
        <v>134</v>
      </c>
      <c r="BO371" t="s">
        <v>134</v>
      </c>
      <c r="BP371" t="s">
        <v>134</v>
      </c>
      <c r="BQ371" t="s">
        <v>134</v>
      </c>
      <c r="BR371" t="s">
        <v>134</v>
      </c>
      <c r="BS371" t="s">
        <v>134</v>
      </c>
      <c r="BT371" t="s">
        <v>134</v>
      </c>
      <c r="BU371" t="s">
        <v>134</v>
      </c>
      <c r="BV371" t="s">
        <v>134</v>
      </c>
      <c r="BW371" t="s">
        <v>134</v>
      </c>
      <c r="BX371" t="s">
        <v>134</v>
      </c>
      <c r="BY371" t="s">
        <v>134</v>
      </c>
      <c r="BZ371" t="s">
        <v>134</v>
      </c>
      <c r="CA371" t="s">
        <v>134</v>
      </c>
      <c r="CB371" t="s">
        <v>134</v>
      </c>
      <c r="CC371" t="s">
        <v>134</v>
      </c>
      <c r="CD371" t="s">
        <v>134</v>
      </c>
      <c r="CE371" t="s">
        <v>134</v>
      </c>
      <c r="CF371" t="s">
        <v>134</v>
      </c>
      <c r="CG371" t="s">
        <v>134</v>
      </c>
      <c r="CH371" t="s">
        <v>134</v>
      </c>
      <c r="CI371" t="s">
        <v>134</v>
      </c>
      <c r="CJ371" t="s">
        <v>134</v>
      </c>
      <c r="CK371" t="s">
        <v>134</v>
      </c>
      <c r="CL371" t="s">
        <v>134</v>
      </c>
      <c r="CM371" t="s">
        <v>134</v>
      </c>
      <c r="CN371" t="s">
        <v>134</v>
      </c>
      <c r="CO371" t="s">
        <v>134</v>
      </c>
      <c r="CP371" t="s">
        <v>134</v>
      </c>
      <c r="CQ371" t="s">
        <v>134</v>
      </c>
      <c r="CR371" t="s">
        <v>134</v>
      </c>
      <c r="CS371" t="s">
        <v>134</v>
      </c>
      <c r="CT371" t="s">
        <v>134</v>
      </c>
      <c r="CU371" t="s">
        <v>134</v>
      </c>
      <c r="CV371" t="s">
        <v>134</v>
      </c>
      <c r="CW371" t="s">
        <v>134</v>
      </c>
      <c r="CX371" t="s">
        <v>134</v>
      </c>
      <c r="CY371" t="s">
        <v>134</v>
      </c>
      <c r="CZ371" t="s">
        <v>134</v>
      </c>
      <c r="DA371" t="s">
        <v>134</v>
      </c>
      <c r="DB371" t="s">
        <v>134</v>
      </c>
      <c r="DC371" t="s">
        <v>134</v>
      </c>
      <c r="DD371" t="s">
        <v>134</v>
      </c>
      <c r="DE371" t="s">
        <v>134</v>
      </c>
      <c r="DF371" t="s">
        <v>134</v>
      </c>
      <c r="DG371" t="s">
        <v>134</v>
      </c>
      <c r="DH371" t="s">
        <v>134</v>
      </c>
      <c r="DI371" t="s">
        <v>134</v>
      </c>
    </row>
    <row r="372" spans="1:113" x14ac:dyDescent="0.3">
      <c r="E372" t="s">
        <v>7</v>
      </c>
      <c r="F372" t="s">
        <v>134</v>
      </c>
      <c r="G372" t="s">
        <v>134</v>
      </c>
      <c r="H372" t="s">
        <v>134</v>
      </c>
      <c r="I372" t="s">
        <v>134</v>
      </c>
      <c r="J372" t="s">
        <v>134</v>
      </c>
      <c r="K372" t="s">
        <v>134</v>
      </c>
      <c r="L372" t="s">
        <v>134</v>
      </c>
      <c r="M372" t="s">
        <v>134</v>
      </c>
      <c r="N372" t="s">
        <v>134</v>
      </c>
      <c r="O372" t="s">
        <v>134</v>
      </c>
      <c r="P372" t="s">
        <v>134</v>
      </c>
      <c r="Q372" t="s">
        <v>134</v>
      </c>
      <c r="R372" t="s">
        <v>134</v>
      </c>
      <c r="S372" t="s">
        <v>134</v>
      </c>
      <c r="T372" t="s">
        <v>134</v>
      </c>
      <c r="U372" t="s">
        <v>134</v>
      </c>
      <c r="V372" t="s">
        <v>134</v>
      </c>
      <c r="W372" t="s">
        <v>134</v>
      </c>
      <c r="X372" t="s">
        <v>134</v>
      </c>
      <c r="Y372" t="s">
        <v>134</v>
      </c>
      <c r="Z372" t="s">
        <v>134</v>
      </c>
      <c r="AA372" t="s">
        <v>134</v>
      </c>
      <c r="AB372" t="s">
        <v>134</v>
      </c>
      <c r="AC372" t="s">
        <v>134</v>
      </c>
      <c r="AD372" t="s">
        <v>134</v>
      </c>
      <c r="AE372" t="s">
        <v>134</v>
      </c>
      <c r="AF372" t="s">
        <v>134</v>
      </c>
      <c r="AG372" t="s">
        <v>134</v>
      </c>
      <c r="AH372" t="s">
        <v>134</v>
      </c>
      <c r="AI372" t="s">
        <v>134</v>
      </c>
      <c r="AJ372" t="s">
        <v>134</v>
      </c>
      <c r="AK372" t="s">
        <v>134</v>
      </c>
      <c r="AL372" t="s">
        <v>134</v>
      </c>
      <c r="AM372" t="s">
        <v>134</v>
      </c>
      <c r="AN372" t="s">
        <v>134</v>
      </c>
      <c r="AO372" t="s">
        <v>134</v>
      </c>
      <c r="AP372" t="s">
        <v>134</v>
      </c>
      <c r="AQ372" t="s">
        <v>134</v>
      </c>
      <c r="AR372" t="s">
        <v>134</v>
      </c>
      <c r="AS372" t="s">
        <v>134</v>
      </c>
      <c r="AT372" t="s">
        <v>134</v>
      </c>
      <c r="AU372" t="s">
        <v>134</v>
      </c>
      <c r="AV372" t="s">
        <v>134</v>
      </c>
      <c r="AW372" t="s">
        <v>134</v>
      </c>
      <c r="AX372" t="s">
        <v>134</v>
      </c>
      <c r="AY372" t="s">
        <v>134</v>
      </c>
      <c r="AZ372" t="s">
        <v>134</v>
      </c>
      <c r="BA372" t="s">
        <v>134</v>
      </c>
      <c r="BB372" t="s">
        <v>134</v>
      </c>
      <c r="BC372" t="s">
        <v>134</v>
      </c>
      <c r="BD372" t="s">
        <v>134</v>
      </c>
      <c r="BE372" t="s">
        <v>134</v>
      </c>
      <c r="BF372" t="s">
        <v>134</v>
      </c>
      <c r="BG372" t="s">
        <v>134</v>
      </c>
      <c r="BH372" t="s">
        <v>134</v>
      </c>
      <c r="BI372" t="s">
        <v>134</v>
      </c>
      <c r="BJ372" t="s">
        <v>134</v>
      </c>
      <c r="BK372" t="s">
        <v>134</v>
      </c>
      <c r="BL372" t="s">
        <v>134</v>
      </c>
      <c r="BM372" t="s">
        <v>134</v>
      </c>
      <c r="BN372" t="s">
        <v>134</v>
      </c>
      <c r="BO372" t="s">
        <v>134</v>
      </c>
      <c r="BP372" t="s">
        <v>134</v>
      </c>
      <c r="BQ372" t="s">
        <v>134</v>
      </c>
      <c r="BR372" t="s">
        <v>134</v>
      </c>
      <c r="BS372" t="s">
        <v>134</v>
      </c>
      <c r="BT372" t="s">
        <v>134</v>
      </c>
      <c r="BU372" t="s">
        <v>134</v>
      </c>
      <c r="BV372" t="s">
        <v>134</v>
      </c>
      <c r="BW372" t="s">
        <v>134</v>
      </c>
      <c r="BX372" t="s">
        <v>134</v>
      </c>
      <c r="BY372" t="s">
        <v>134</v>
      </c>
      <c r="BZ372" t="s">
        <v>134</v>
      </c>
      <c r="CA372" t="s">
        <v>134</v>
      </c>
      <c r="CB372" t="s">
        <v>134</v>
      </c>
      <c r="CC372" t="s">
        <v>134</v>
      </c>
      <c r="CD372" t="s">
        <v>134</v>
      </c>
      <c r="CE372" t="s">
        <v>134</v>
      </c>
      <c r="CF372" t="s">
        <v>134</v>
      </c>
      <c r="CG372" t="s">
        <v>134</v>
      </c>
      <c r="CH372" t="s">
        <v>134</v>
      </c>
      <c r="CI372" t="s">
        <v>134</v>
      </c>
      <c r="CJ372" t="s">
        <v>134</v>
      </c>
      <c r="CK372" t="s">
        <v>134</v>
      </c>
      <c r="CL372" t="s">
        <v>134</v>
      </c>
      <c r="CM372" t="s">
        <v>134</v>
      </c>
      <c r="CN372" t="s">
        <v>134</v>
      </c>
      <c r="CO372" t="s">
        <v>134</v>
      </c>
      <c r="CP372" t="s">
        <v>134</v>
      </c>
      <c r="CQ372" t="s">
        <v>134</v>
      </c>
      <c r="CR372" t="s">
        <v>134</v>
      </c>
      <c r="CS372" t="s">
        <v>134</v>
      </c>
      <c r="CT372" t="s">
        <v>134</v>
      </c>
      <c r="CU372" t="s">
        <v>134</v>
      </c>
      <c r="CV372" t="s">
        <v>134</v>
      </c>
      <c r="CW372" t="s">
        <v>134</v>
      </c>
      <c r="CX372" t="s">
        <v>134</v>
      </c>
      <c r="CY372" t="s">
        <v>134</v>
      </c>
      <c r="CZ372" t="s">
        <v>134</v>
      </c>
      <c r="DA372" t="s">
        <v>134</v>
      </c>
      <c r="DB372" t="s">
        <v>134</v>
      </c>
      <c r="DC372" t="s">
        <v>134</v>
      </c>
      <c r="DD372" t="s">
        <v>134</v>
      </c>
      <c r="DE372" t="s">
        <v>134</v>
      </c>
      <c r="DF372" t="s">
        <v>134</v>
      </c>
      <c r="DG372" t="s">
        <v>134</v>
      </c>
      <c r="DH372" t="s">
        <v>134</v>
      </c>
      <c r="DI372" t="s">
        <v>134</v>
      </c>
    </row>
    <row r="373" spans="1:113" x14ac:dyDescent="0.3">
      <c r="D373" t="s">
        <v>11</v>
      </c>
      <c r="E373" t="s">
        <v>3</v>
      </c>
      <c r="F373">
        <v>19.790399999999998</v>
      </c>
      <c r="G373">
        <v>14.045199999999999</v>
      </c>
      <c r="H373">
        <v>20.206600000000002</v>
      </c>
      <c r="I373">
        <v>15.94</v>
      </c>
      <c r="J373">
        <v>15.559100000000001</v>
      </c>
      <c r="K373">
        <v>12.026199999999999</v>
      </c>
      <c r="L373">
        <v>14.6555</v>
      </c>
      <c r="M373">
        <v>14.2951</v>
      </c>
      <c r="N373">
        <v>10.0883</v>
      </c>
      <c r="O373">
        <v>10.087400000000001</v>
      </c>
      <c r="P373">
        <v>10.087400000000001</v>
      </c>
      <c r="Q373">
        <v>29.428000000000001</v>
      </c>
      <c r="R373">
        <v>30.667999999999999</v>
      </c>
      <c r="S373">
        <v>13.7211</v>
      </c>
      <c r="T373">
        <v>16.7239</v>
      </c>
      <c r="U373">
        <v>17.341000000000001</v>
      </c>
      <c r="V373">
        <v>21.153700000000001</v>
      </c>
      <c r="W373">
        <v>4.9282000000000004</v>
      </c>
      <c r="X373">
        <v>4.9370000000000003</v>
      </c>
      <c r="Y373">
        <v>6.6666999999999996</v>
      </c>
      <c r="Z373">
        <v>21.852699999999999</v>
      </c>
      <c r="AA373">
        <v>-3.1711999999999998</v>
      </c>
      <c r="AB373">
        <v>7.1825000000000001</v>
      </c>
      <c r="AC373">
        <v>15.9504</v>
      </c>
      <c r="AD373">
        <v>-50.495800000000003</v>
      </c>
      <c r="AE373">
        <v>-69.381399999999999</v>
      </c>
      <c r="AF373">
        <v>25.451699999999999</v>
      </c>
      <c r="AG373">
        <v>-71.2</v>
      </c>
      <c r="AH373">
        <v>-69.460899999999995</v>
      </c>
      <c r="AI373">
        <v>14.7882</v>
      </c>
      <c r="AJ373">
        <v>13.502000000000001</v>
      </c>
      <c r="AK373">
        <v>14.792400000000001</v>
      </c>
      <c r="AL373">
        <v>12.795500000000001</v>
      </c>
      <c r="AM373">
        <v>12.5694</v>
      </c>
      <c r="AN373">
        <v>22.0962</v>
      </c>
      <c r="AO373">
        <v>29.397200000000002</v>
      </c>
      <c r="AP373">
        <v>26.122900000000001</v>
      </c>
      <c r="AQ373">
        <v>26.125</v>
      </c>
      <c r="AR373">
        <v>58.4893</v>
      </c>
      <c r="AS373">
        <v>-0.93020000000000003</v>
      </c>
      <c r="AT373">
        <v>10.8611</v>
      </c>
      <c r="AU373">
        <v>5.2709999999999999</v>
      </c>
      <c r="AV373">
        <v>16.968499999999999</v>
      </c>
      <c r="AW373" t="s">
        <v>134</v>
      </c>
      <c r="AX373" t="s">
        <v>134</v>
      </c>
      <c r="AY373">
        <v>19.674099999999999</v>
      </c>
      <c r="AZ373">
        <v>-28.134699999999999</v>
      </c>
      <c r="BA373">
        <v>-35.465600000000002</v>
      </c>
      <c r="BB373">
        <v>17.464300000000001</v>
      </c>
      <c r="BC373">
        <v>15.713900000000001</v>
      </c>
      <c r="BD373">
        <v>17.468499999999999</v>
      </c>
      <c r="BE373">
        <v>22.129100000000001</v>
      </c>
      <c r="BF373">
        <v>16.7239</v>
      </c>
      <c r="BG373">
        <v>17.341000000000001</v>
      </c>
      <c r="BH373">
        <v>21.153700000000001</v>
      </c>
      <c r="BI373">
        <v>4.9282000000000004</v>
      </c>
      <c r="BJ373">
        <v>4.9370000000000003</v>
      </c>
      <c r="BK373">
        <v>6.6666999999999996</v>
      </c>
      <c r="BL373">
        <v>21.852699999999999</v>
      </c>
      <c r="BM373">
        <v>-3.1711999999999998</v>
      </c>
      <c r="BN373">
        <v>7.1825000000000001</v>
      </c>
      <c r="BO373">
        <v>15.9504</v>
      </c>
      <c r="BP373" t="s">
        <v>134</v>
      </c>
      <c r="BQ373" t="s">
        <v>134</v>
      </c>
      <c r="BR373">
        <v>25.451699999999999</v>
      </c>
      <c r="BS373">
        <v>-71.2</v>
      </c>
      <c r="BT373">
        <v>-69.460899999999995</v>
      </c>
      <c r="BU373">
        <v>14.7882</v>
      </c>
      <c r="BV373">
        <v>13.502000000000001</v>
      </c>
      <c r="BW373">
        <v>14.792400000000001</v>
      </c>
      <c r="BX373">
        <v>12.795500000000001</v>
      </c>
      <c r="BY373">
        <v>1756</v>
      </c>
      <c r="BZ373">
        <v>1656</v>
      </c>
      <c r="CA373">
        <v>100</v>
      </c>
      <c r="CB373">
        <v>1.44E-2</v>
      </c>
      <c r="CC373">
        <v>-9.1700000000000004E-2</v>
      </c>
      <c r="CD373">
        <v>1.8700000000000001E-2</v>
      </c>
      <c r="CE373">
        <v>-0.1186</v>
      </c>
      <c r="CF373">
        <v>35.148400000000002</v>
      </c>
      <c r="CG373">
        <v>70.639899999999997</v>
      </c>
      <c r="CH373">
        <v>2.35E-2</v>
      </c>
      <c r="CI373">
        <v>2.3400000000000001E-2</v>
      </c>
      <c r="CJ373">
        <v>1.66E-2</v>
      </c>
      <c r="CK373">
        <v>0.41239999999999999</v>
      </c>
      <c r="CL373">
        <v>0.41070000000000001</v>
      </c>
      <c r="CM373">
        <v>0.29149999999999998</v>
      </c>
      <c r="CN373">
        <v>-2.6177000000000001</v>
      </c>
      <c r="CO373">
        <v>-2.6880999999999999</v>
      </c>
      <c r="CP373">
        <v>121543</v>
      </c>
      <c r="CQ373">
        <v>82427</v>
      </c>
      <c r="CR373">
        <v>93945</v>
      </c>
      <c r="CS373">
        <v>8.3500000000000005E-2</v>
      </c>
      <c r="CT373">
        <v>0.51329999999999998</v>
      </c>
      <c r="CU373">
        <v>0.1784</v>
      </c>
      <c r="CV373">
        <v>11.6244</v>
      </c>
      <c r="CW373">
        <v>58.558500000000002</v>
      </c>
      <c r="CX373">
        <v>6.2331000000000003</v>
      </c>
      <c r="CY373">
        <v>17.1065</v>
      </c>
      <c r="CZ373">
        <v>21.3369</v>
      </c>
      <c r="DA373">
        <v>5.8131000000000004</v>
      </c>
      <c r="DB373">
        <v>62.789700000000003</v>
      </c>
      <c r="DC373">
        <v>-35.219799999999999</v>
      </c>
      <c r="DD373">
        <v>27.57</v>
      </c>
      <c r="DE373">
        <v>31602</v>
      </c>
      <c r="DF373">
        <v>10667</v>
      </c>
      <c r="DG373">
        <v>1772</v>
      </c>
      <c r="DH373">
        <v>16635</v>
      </c>
      <c r="DI373">
        <v>2528</v>
      </c>
    </row>
    <row r="374" spans="1:113" x14ac:dyDescent="0.3">
      <c r="E374" t="s">
        <v>4</v>
      </c>
      <c r="F374" t="s">
        <v>134</v>
      </c>
      <c r="G374" t="s">
        <v>134</v>
      </c>
      <c r="H374" t="s">
        <v>134</v>
      </c>
      <c r="I374" t="s">
        <v>134</v>
      </c>
      <c r="J374" t="s">
        <v>134</v>
      </c>
      <c r="K374" t="s">
        <v>134</v>
      </c>
      <c r="L374" t="s">
        <v>134</v>
      </c>
      <c r="M374" t="s">
        <v>134</v>
      </c>
      <c r="N374" t="s">
        <v>134</v>
      </c>
      <c r="O374" t="s">
        <v>134</v>
      </c>
      <c r="P374" t="s">
        <v>134</v>
      </c>
      <c r="Q374" t="s">
        <v>134</v>
      </c>
      <c r="R374" t="s">
        <v>134</v>
      </c>
      <c r="S374" t="s">
        <v>134</v>
      </c>
      <c r="T374" t="s">
        <v>134</v>
      </c>
      <c r="U374" t="s">
        <v>134</v>
      </c>
      <c r="V374" t="s">
        <v>134</v>
      </c>
      <c r="W374" t="s">
        <v>134</v>
      </c>
      <c r="X374" t="s">
        <v>134</v>
      </c>
      <c r="Y374" t="s">
        <v>134</v>
      </c>
      <c r="Z374" t="s">
        <v>134</v>
      </c>
      <c r="AA374" t="s">
        <v>134</v>
      </c>
      <c r="AB374" t="s">
        <v>134</v>
      </c>
      <c r="AC374" t="s">
        <v>134</v>
      </c>
      <c r="AD374" t="s">
        <v>134</v>
      </c>
      <c r="AE374" t="s">
        <v>134</v>
      </c>
      <c r="AF374" t="s">
        <v>134</v>
      </c>
      <c r="AG374" t="s">
        <v>134</v>
      </c>
      <c r="AH374" t="s">
        <v>134</v>
      </c>
      <c r="AI374" t="s">
        <v>134</v>
      </c>
      <c r="AJ374" t="s">
        <v>134</v>
      </c>
      <c r="AK374" t="s">
        <v>134</v>
      </c>
      <c r="AL374" t="s">
        <v>134</v>
      </c>
      <c r="AM374" t="s">
        <v>134</v>
      </c>
      <c r="AN374" t="s">
        <v>134</v>
      </c>
      <c r="AO374" t="s">
        <v>134</v>
      </c>
      <c r="AP374" t="s">
        <v>134</v>
      </c>
      <c r="AQ374" t="s">
        <v>134</v>
      </c>
      <c r="AR374" t="s">
        <v>134</v>
      </c>
      <c r="AS374" t="s">
        <v>134</v>
      </c>
      <c r="AT374" t="s">
        <v>134</v>
      </c>
      <c r="AU374" t="s">
        <v>134</v>
      </c>
      <c r="AV374" t="s">
        <v>134</v>
      </c>
      <c r="AW374" t="s">
        <v>134</v>
      </c>
      <c r="AX374" t="s">
        <v>134</v>
      </c>
      <c r="AY374" t="s">
        <v>134</v>
      </c>
      <c r="AZ374" t="s">
        <v>134</v>
      </c>
      <c r="BA374" t="s">
        <v>134</v>
      </c>
      <c r="BB374" t="s">
        <v>134</v>
      </c>
      <c r="BC374" t="s">
        <v>134</v>
      </c>
      <c r="BD374" t="s">
        <v>134</v>
      </c>
      <c r="BE374" t="s">
        <v>134</v>
      </c>
      <c r="BF374" t="s">
        <v>134</v>
      </c>
      <c r="BG374" t="s">
        <v>134</v>
      </c>
      <c r="BH374" t="s">
        <v>134</v>
      </c>
      <c r="BI374" t="s">
        <v>134</v>
      </c>
      <c r="BJ374" t="s">
        <v>134</v>
      </c>
      <c r="BK374" t="s">
        <v>134</v>
      </c>
      <c r="BL374" t="s">
        <v>134</v>
      </c>
      <c r="BM374" t="s">
        <v>134</v>
      </c>
      <c r="BN374" t="s">
        <v>134</v>
      </c>
      <c r="BO374" t="s">
        <v>134</v>
      </c>
      <c r="BP374" t="s">
        <v>134</v>
      </c>
      <c r="BQ374" t="s">
        <v>134</v>
      </c>
      <c r="BR374" t="s">
        <v>134</v>
      </c>
      <c r="BS374" t="s">
        <v>134</v>
      </c>
      <c r="BT374" t="s">
        <v>134</v>
      </c>
      <c r="BU374" t="s">
        <v>134</v>
      </c>
      <c r="BV374" t="s">
        <v>134</v>
      </c>
      <c r="BW374" t="s">
        <v>134</v>
      </c>
      <c r="BX374" t="s">
        <v>134</v>
      </c>
      <c r="BY374" t="s">
        <v>134</v>
      </c>
      <c r="BZ374" t="s">
        <v>134</v>
      </c>
      <c r="CA374" t="s">
        <v>134</v>
      </c>
      <c r="CB374" t="s">
        <v>134</v>
      </c>
      <c r="CC374" t="s">
        <v>134</v>
      </c>
      <c r="CD374" t="s">
        <v>134</v>
      </c>
      <c r="CE374" t="s">
        <v>134</v>
      </c>
      <c r="CF374" t="s">
        <v>134</v>
      </c>
      <c r="CG374" t="s">
        <v>134</v>
      </c>
      <c r="CH374" t="s">
        <v>134</v>
      </c>
      <c r="CI374" t="s">
        <v>134</v>
      </c>
      <c r="CJ374" t="s">
        <v>134</v>
      </c>
      <c r="CK374" t="s">
        <v>134</v>
      </c>
      <c r="CL374" t="s">
        <v>134</v>
      </c>
      <c r="CM374" t="s">
        <v>134</v>
      </c>
      <c r="CN374" t="s">
        <v>134</v>
      </c>
      <c r="CO374" t="s">
        <v>134</v>
      </c>
      <c r="CP374" t="s">
        <v>134</v>
      </c>
      <c r="CQ374" t="s">
        <v>134</v>
      </c>
      <c r="CR374" t="s">
        <v>134</v>
      </c>
      <c r="CS374" t="s">
        <v>134</v>
      </c>
      <c r="CT374" t="s">
        <v>134</v>
      </c>
      <c r="CU374" t="s">
        <v>134</v>
      </c>
      <c r="CV374" t="s">
        <v>134</v>
      </c>
      <c r="CW374" t="s">
        <v>134</v>
      </c>
      <c r="CX374" t="s">
        <v>134</v>
      </c>
      <c r="CY374" t="s">
        <v>134</v>
      </c>
      <c r="CZ374" t="s">
        <v>134</v>
      </c>
      <c r="DA374" t="s">
        <v>134</v>
      </c>
      <c r="DB374" t="s">
        <v>134</v>
      </c>
      <c r="DC374" t="s">
        <v>134</v>
      </c>
      <c r="DD374" t="s">
        <v>134</v>
      </c>
      <c r="DE374" t="s">
        <v>134</v>
      </c>
      <c r="DF374" t="s">
        <v>134</v>
      </c>
      <c r="DG374" t="s">
        <v>134</v>
      </c>
      <c r="DH374" t="s">
        <v>134</v>
      </c>
      <c r="DI374" t="s">
        <v>134</v>
      </c>
    </row>
    <row r="375" spans="1:113" x14ac:dyDescent="0.3">
      <c r="E375" t="s">
        <v>5</v>
      </c>
      <c r="F375" t="s">
        <v>134</v>
      </c>
      <c r="G375" t="s">
        <v>134</v>
      </c>
      <c r="H375" t="s">
        <v>134</v>
      </c>
      <c r="I375" t="s">
        <v>134</v>
      </c>
      <c r="J375" t="s">
        <v>134</v>
      </c>
      <c r="K375" t="s">
        <v>134</v>
      </c>
      <c r="L375" t="s">
        <v>134</v>
      </c>
      <c r="M375" t="s">
        <v>134</v>
      </c>
      <c r="N375" t="s">
        <v>134</v>
      </c>
      <c r="O375" t="s">
        <v>134</v>
      </c>
      <c r="P375" t="s">
        <v>134</v>
      </c>
      <c r="Q375" t="s">
        <v>134</v>
      </c>
      <c r="R375" t="s">
        <v>134</v>
      </c>
      <c r="S375" t="s">
        <v>134</v>
      </c>
      <c r="T375" t="s">
        <v>134</v>
      </c>
      <c r="U375" t="s">
        <v>134</v>
      </c>
      <c r="V375" t="s">
        <v>134</v>
      </c>
      <c r="W375" t="s">
        <v>134</v>
      </c>
      <c r="X375" t="s">
        <v>134</v>
      </c>
      <c r="Y375" t="s">
        <v>134</v>
      </c>
      <c r="Z375" t="s">
        <v>134</v>
      </c>
      <c r="AA375" t="s">
        <v>134</v>
      </c>
      <c r="AB375" t="s">
        <v>134</v>
      </c>
      <c r="AC375" t="s">
        <v>134</v>
      </c>
      <c r="AD375" t="s">
        <v>134</v>
      </c>
      <c r="AE375" t="s">
        <v>134</v>
      </c>
      <c r="AF375" t="s">
        <v>134</v>
      </c>
      <c r="AG375" t="s">
        <v>134</v>
      </c>
      <c r="AH375" t="s">
        <v>134</v>
      </c>
      <c r="AI375" t="s">
        <v>134</v>
      </c>
      <c r="AJ375" t="s">
        <v>134</v>
      </c>
      <c r="AK375" t="s">
        <v>134</v>
      </c>
      <c r="AL375" t="s">
        <v>134</v>
      </c>
      <c r="AM375" t="s">
        <v>134</v>
      </c>
      <c r="AN375" t="s">
        <v>134</v>
      </c>
      <c r="AO375" t="s">
        <v>134</v>
      </c>
      <c r="AP375" t="s">
        <v>134</v>
      </c>
      <c r="AQ375" t="s">
        <v>134</v>
      </c>
      <c r="AR375" t="s">
        <v>134</v>
      </c>
      <c r="AS375" t="s">
        <v>134</v>
      </c>
      <c r="AT375" t="s">
        <v>134</v>
      </c>
      <c r="AU375" t="s">
        <v>134</v>
      </c>
      <c r="AV375" t="s">
        <v>134</v>
      </c>
      <c r="AW375" t="s">
        <v>134</v>
      </c>
      <c r="AX375" t="s">
        <v>134</v>
      </c>
      <c r="AY375" t="s">
        <v>134</v>
      </c>
      <c r="AZ375" t="s">
        <v>134</v>
      </c>
      <c r="BA375" t="s">
        <v>134</v>
      </c>
      <c r="BB375" t="s">
        <v>134</v>
      </c>
      <c r="BC375" t="s">
        <v>134</v>
      </c>
      <c r="BD375" t="s">
        <v>134</v>
      </c>
      <c r="BE375" t="s">
        <v>134</v>
      </c>
      <c r="BF375" t="s">
        <v>134</v>
      </c>
      <c r="BG375" t="s">
        <v>134</v>
      </c>
      <c r="BH375" t="s">
        <v>134</v>
      </c>
      <c r="BI375" t="s">
        <v>134</v>
      </c>
      <c r="BJ375" t="s">
        <v>134</v>
      </c>
      <c r="BK375" t="s">
        <v>134</v>
      </c>
      <c r="BL375" t="s">
        <v>134</v>
      </c>
      <c r="BM375" t="s">
        <v>134</v>
      </c>
      <c r="BN375" t="s">
        <v>134</v>
      </c>
      <c r="BO375" t="s">
        <v>134</v>
      </c>
      <c r="BP375" t="s">
        <v>134</v>
      </c>
      <c r="BQ375" t="s">
        <v>134</v>
      </c>
      <c r="BR375" t="s">
        <v>134</v>
      </c>
      <c r="BS375" t="s">
        <v>134</v>
      </c>
      <c r="BT375" t="s">
        <v>134</v>
      </c>
      <c r="BU375" t="s">
        <v>134</v>
      </c>
      <c r="BV375" t="s">
        <v>134</v>
      </c>
      <c r="BW375" t="s">
        <v>134</v>
      </c>
      <c r="BX375" t="s">
        <v>134</v>
      </c>
      <c r="BY375" t="s">
        <v>134</v>
      </c>
      <c r="BZ375" t="s">
        <v>134</v>
      </c>
      <c r="CA375" t="s">
        <v>134</v>
      </c>
      <c r="CB375" t="s">
        <v>134</v>
      </c>
      <c r="CC375" t="s">
        <v>134</v>
      </c>
      <c r="CD375" t="s">
        <v>134</v>
      </c>
      <c r="CE375" t="s">
        <v>134</v>
      </c>
      <c r="CF375" t="s">
        <v>134</v>
      </c>
      <c r="CG375" t="s">
        <v>134</v>
      </c>
      <c r="CH375" t="s">
        <v>134</v>
      </c>
      <c r="CI375" t="s">
        <v>134</v>
      </c>
      <c r="CJ375" t="s">
        <v>134</v>
      </c>
      <c r="CK375" t="s">
        <v>134</v>
      </c>
      <c r="CL375" t="s">
        <v>134</v>
      </c>
      <c r="CM375" t="s">
        <v>134</v>
      </c>
      <c r="CN375" t="s">
        <v>134</v>
      </c>
      <c r="CO375" t="s">
        <v>134</v>
      </c>
      <c r="CP375" t="s">
        <v>134</v>
      </c>
      <c r="CQ375" t="s">
        <v>134</v>
      </c>
      <c r="CR375" t="s">
        <v>134</v>
      </c>
      <c r="CS375" t="s">
        <v>134</v>
      </c>
      <c r="CT375" t="s">
        <v>134</v>
      </c>
      <c r="CU375" t="s">
        <v>134</v>
      </c>
      <c r="CV375" t="s">
        <v>134</v>
      </c>
      <c r="CW375" t="s">
        <v>134</v>
      </c>
      <c r="CX375" t="s">
        <v>134</v>
      </c>
      <c r="CY375" t="s">
        <v>134</v>
      </c>
      <c r="CZ375" t="s">
        <v>134</v>
      </c>
      <c r="DA375" t="s">
        <v>134</v>
      </c>
      <c r="DB375" t="s">
        <v>134</v>
      </c>
      <c r="DC375" t="s">
        <v>134</v>
      </c>
      <c r="DD375" t="s">
        <v>134</v>
      </c>
      <c r="DE375" t="s">
        <v>134</v>
      </c>
      <c r="DF375" t="s">
        <v>134</v>
      </c>
      <c r="DG375" t="s">
        <v>134</v>
      </c>
      <c r="DH375" t="s">
        <v>134</v>
      </c>
      <c r="DI375" t="s">
        <v>134</v>
      </c>
    </row>
    <row r="376" spans="1:113" x14ac:dyDescent="0.3">
      <c r="E376" t="s">
        <v>6</v>
      </c>
      <c r="F376" t="s">
        <v>134</v>
      </c>
      <c r="G376" t="s">
        <v>134</v>
      </c>
      <c r="H376" t="s">
        <v>134</v>
      </c>
      <c r="I376" t="s">
        <v>134</v>
      </c>
      <c r="J376" t="s">
        <v>134</v>
      </c>
      <c r="K376" t="s">
        <v>134</v>
      </c>
      <c r="L376" t="s">
        <v>134</v>
      </c>
      <c r="M376" t="s">
        <v>134</v>
      </c>
      <c r="N376" t="s">
        <v>134</v>
      </c>
      <c r="O376" t="s">
        <v>134</v>
      </c>
      <c r="P376" t="s">
        <v>134</v>
      </c>
      <c r="Q376" t="s">
        <v>134</v>
      </c>
      <c r="R376" t="s">
        <v>134</v>
      </c>
      <c r="S376" t="s">
        <v>134</v>
      </c>
      <c r="T376" t="s">
        <v>134</v>
      </c>
      <c r="U376" t="s">
        <v>134</v>
      </c>
      <c r="V376" t="s">
        <v>134</v>
      </c>
      <c r="W376" t="s">
        <v>134</v>
      </c>
      <c r="X376" t="s">
        <v>134</v>
      </c>
      <c r="Y376" t="s">
        <v>134</v>
      </c>
      <c r="Z376" t="s">
        <v>134</v>
      </c>
      <c r="AA376" t="s">
        <v>134</v>
      </c>
      <c r="AB376" t="s">
        <v>134</v>
      </c>
      <c r="AC376" t="s">
        <v>134</v>
      </c>
      <c r="AD376" t="s">
        <v>134</v>
      </c>
      <c r="AE376" t="s">
        <v>134</v>
      </c>
      <c r="AF376" t="s">
        <v>134</v>
      </c>
      <c r="AG376" t="s">
        <v>134</v>
      </c>
      <c r="AH376" t="s">
        <v>134</v>
      </c>
      <c r="AI376" t="s">
        <v>134</v>
      </c>
      <c r="AJ376" t="s">
        <v>134</v>
      </c>
      <c r="AK376" t="s">
        <v>134</v>
      </c>
      <c r="AL376" t="s">
        <v>134</v>
      </c>
      <c r="AM376" t="s">
        <v>134</v>
      </c>
      <c r="AN376" t="s">
        <v>134</v>
      </c>
      <c r="AO376" t="s">
        <v>134</v>
      </c>
      <c r="AP376" t="s">
        <v>134</v>
      </c>
      <c r="AQ376" t="s">
        <v>134</v>
      </c>
      <c r="AR376" t="s">
        <v>134</v>
      </c>
      <c r="AS376" t="s">
        <v>134</v>
      </c>
      <c r="AT376" t="s">
        <v>134</v>
      </c>
      <c r="AU376" t="s">
        <v>134</v>
      </c>
      <c r="AV376" t="s">
        <v>134</v>
      </c>
      <c r="AW376" t="s">
        <v>134</v>
      </c>
      <c r="AX376" t="s">
        <v>134</v>
      </c>
      <c r="AY376" t="s">
        <v>134</v>
      </c>
      <c r="AZ376" t="s">
        <v>134</v>
      </c>
      <c r="BA376" t="s">
        <v>134</v>
      </c>
      <c r="BB376" t="s">
        <v>134</v>
      </c>
      <c r="BC376" t="s">
        <v>134</v>
      </c>
      <c r="BD376" t="s">
        <v>134</v>
      </c>
      <c r="BE376" t="s">
        <v>134</v>
      </c>
      <c r="BF376" t="s">
        <v>134</v>
      </c>
      <c r="BG376" t="s">
        <v>134</v>
      </c>
      <c r="BH376" t="s">
        <v>134</v>
      </c>
      <c r="BI376" t="s">
        <v>134</v>
      </c>
      <c r="BJ376" t="s">
        <v>134</v>
      </c>
      <c r="BK376" t="s">
        <v>134</v>
      </c>
      <c r="BL376" t="s">
        <v>134</v>
      </c>
      <c r="BM376" t="s">
        <v>134</v>
      </c>
      <c r="BN376" t="s">
        <v>134</v>
      </c>
      <c r="BO376" t="s">
        <v>134</v>
      </c>
      <c r="BP376" t="s">
        <v>134</v>
      </c>
      <c r="BQ376" t="s">
        <v>134</v>
      </c>
      <c r="BR376" t="s">
        <v>134</v>
      </c>
      <c r="BS376" t="s">
        <v>134</v>
      </c>
      <c r="BT376" t="s">
        <v>134</v>
      </c>
      <c r="BU376" t="s">
        <v>134</v>
      </c>
      <c r="BV376" t="s">
        <v>134</v>
      </c>
      <c r="BW376" t="s">
        <v>134</v>
      </c>
      <c r="BX376" t="s">
        <v>134</v>
      </c>
      <c r="BY376" t="s">
        <v>134</v>
      </c>
      <c r="BZ376" t="s">
        <v>134</v>
      </c>
      <c r="CA376" t="s">
        <v>134</v>
      </c>
      <c r="CB376" t="s">
        <v>134</v>
      </c>
      <c r="CC376" t="s">
        <v>134</v>
      </c>
      <c r="CD376" t="s">
        <v>134</v>
      </c>
      <c r="CE376" t="s">
        <v>134</v>
      </c>
      <c r="CF376" t="s">
        <v>134</v>
      </c>
      <c r="CG376" t="s">
        <v>134</v>
      </c>
      <c r="CH376" t="s">
        <v>134</v>
      </c>
      <c r="CI376" t="s">
        <v>134</v>
      </c>
      <c r="CJ376" t="s">
        <v>134</v>
      </c>
      <c r="CK376" t="s">
        <v>134</v>
      </c>
      <c r="CL376" t="s">
        <v>134</v>
      </c>
      <c r="CM376" t="s">
        <v>134</v>
      </c>
      <c r="CN376" t="s">
        <v>134</v>
      </c>
      <c r="CO376" t="s">
        <v>134</v>
      </c>
      <c r="CP376" t="s">
        <v>134</v>
      </c>
      <c r="CQ376" t="s">
        <v>134</v>
      </c>
      <c r="CR376" t="s">
        <v>134</v>
      </c>
      <c r="CS376" t="s">
        <v>134</v>
      </c>
      <c r="CT376" t="s">
        <v>134</v>
      </c>
      <c r="CU376" t="s">
        <v>134</v>
      </c>
      <c r="CV376" t="s">
        <v>134</v>
      </c>
      <c r="CW376" t="s">
        <v>134</v>
      </c>
      <c r="CX376" t="s">
        <v>134</v>
      </c>
      <c r="CY376" t="s">
        <v>134</v>
      </c>
      <c r="CZ376" t="s">
        <v>134</v>
      </c>
      <c r="DA376" t="s">
        <v>134</v>
      </c>
      <c r="DB376" t="s">
        <v>134</v>
      </c>
      <c r="DC376" t="s">
        <v>134</v>
      </c>
      <c r="DD376" t="s">
        <v>134</v>
      </c>
      <c r="DE376" t="s">
        <v>134</v>
      </c>
      <c r="DF376" t="s">
        <v>134</v>
      </c>
      <c r="DG376" t="s">
        <v>134</v>
      </c>
      <c r="DH376" t="s">
        <v>134</v>
      </c>
      <c r="DI376" t="s">
        <v>134</v>
      </c>
    </row>
    <row r="377" spans="1:113" x14ac:dyDescent="0.3">
      <c r="E377" t="s">
        <v>7</v>
      </c>
      <c r="F377" t="s">
        <v>134</v>
      </c>
      <c r="G377" t="s">
        <v>134</v>
      </c>
      <c r="H377" t="s">
        <v>134</v>
      </c>
      <c r="I377" t="s">
        <v>134</v>
      </c>
      <c r="J377" t="s">
        <v>134</v>
      </c>
      <c r="K377" t="s">
        <v>134</v>
      </c>
      <c r="L377" t="s">
        <v>134</v>
      </c>
      <c r="M377" t="s">
        <v>134</v>
      </c>
      <c r="N377" t="s">
        <v>134</v>
      </c>
      <c r="O377" t="s">
        <v>134</v>
      </c>
      <c r="P377" t="s">
        <v>134</v>
      </c>
      <c r="Q377" t="s">
        <v>134</v>
      </c>
      <c r="R377" t="s">
        <v>134</v>
      </c>
      <c r="S377" t="s">
        <v>134</v>
      </c>
      <c r="T377" t="s">
        <v>134</v>
      </c>
      <c r="U377" t="s">
        <v>134</v>
      </c>
      <c r="V377" t="s">
        <v>134</v>
      </c>
      <c r="W377" t="s">
        <v>134</v>
      </c>
      <c r="X377" t="s">
        <v>134</v>
      </c>
      <c r="Y377" t="s">
        <v>134</v>
      </c>
      <c r="Z377" t="s">
        <v>134</v>
      </c>
      <c r="AA377" t="s">
        <v>134</v>
      </c>
      <c r="AB377" t="s">
        <v>134</v>
      </c>
      <c r="AC377" t="s">
        <v>134</v>
      </c>
      <c r="AD377" t="s">
        <v>134</v>
      </c>
      <c r="AE377" t="s">
        <v>134</v>
      </c>
      <c r="AF377" t="s">
        <v>134</v>
      </c>
      <c r="AG377" t="s">
        <v>134</v>
      </c>
      <c r="AH377" t="s">
        <v>134</v>
      </c>
      <c r="AI377" t="s">
        <v>134</v>
      </c>
      <c r="AJ377" t="s">
        <v>134</v>
      </c>
      <c r="AK377" t="s">
        <v>134</v>
      </c>
      <c r="AL377" t="s">
        <v>134</v>
      </c>
      <c r="AM377" t="s">
        <v>134</v>
      </c>
      <c r="AN377" t="s">
        <v>134</v>
      </c>
      <c r="AO377" t="s">
        <v>134</v>
      </c>
      <c r="AP377" t="s">
        <v>134</v>
      </c>
      <c r="AQ377" t="s">
        <v>134</v>
      </c>
      <c r="AR377" t="s">
        <v>134</v>
      </c>
      <c r="AS377" t="s">
        <v>134</v>
      </c>
      <c r="AT377" t="s">
        <v>134</v>
      </c>
      <c r="AU377" t="s">
        <v>134</v>
      </c>
      <c r="AV377" t="s">
        <v>134</v>
      </c>
      <c r="AW377" t="s">
        <v>134</v>
      </c>
      <c r="AX377" t="s">
        <v>134</v>
      </c>
      <c r="AY377" t="s">
        <v>134</v>
      </c>
      <c r="AZ377" t="s">
        <v>134</v>
      </c>
      <c r="BA377" t="s">
        <v>134</v>
      </c>
      <c r="BB377" t="s">
        <v>134</v>
      </c>
      <c r="BC377" t="s">
        <v>134</v>
      </c>
      <c r="BD377" t="s">
        <v>134</v>
      </c>
      <c r="BE377" t="s">
        <v>134</v>
      </c>
      <c r="BF377" t="s">
        <v>134</v>
      </c>
      <c r="BG377" t="s">
        <v>134</v>
      </c>
      <c r="BH377" t="s">
        <v>134</v>
      </c>
      <c r="BI377" t="s">
        <v>134</v>
      </c>
      <c r="BJ377" t="s">
        <v>134</v>
      </c>
      <c r="BK377" t="s">
        <v>134</v>
      </c>
      <c r="BL377" t="s">
        <v>134</v>
      </c>
      <c r="BM377" t="s">
        <v>134</v>
      </c>
      <c r="BN377" t="s">
        <v>134</v>
      </c>
      <c r="BO377" t="s">
        <v>134</v>
      </c>
      <c r="BP377" t="s">
        <v>134</v>
      </c>
      <c r="BQ377" t="s">
        <v>134</v>
      </c>
      <c r="BR377" t="s">
        <v>134</v>
      </c>
      <c r="BS377" t="s">
        <v>134</v>
      </c>
      <c r="BT377" t="s">
        <v>134</v>
      </c>
      <c r="BU377" t="s">
        <v>134</v>
      </c>
      <c r="BV377" t="s">
        <v>134</v>
      </c>
      <c r="BW377" t="s">
        <v>134</v>
      </c>
      <c r="BX377" t="s">
        <v>134</v>
      </c>
      <c r="BY377" t="s">
        <v>134</v>
      </c>
      <c r="BZ377" t="s">
        <v>134</v>
      </c>
      <c r="CA377" t="s">
        <v>134</v>
      </c>
      <c r="CB377" t="s">
        <v>134</v>
      </c>
      <c r="CC377" t="s">
        <v>134</v>
      </c>
      <c r="CD377" t="s">
        <v>134</v>
      </c>
      <c r="CE377" t="s">
        <v>134</v>
      </c>
      <c r="CF377" t="s">
        <v>134</v>
      </c>
      <c r="CG377" t="s">
        <v>134</v>
      </c>
      <c r="CH377" t="s">
        <v>134</v>
      </c>
      <c r="CI377" t="s">
        <v>134</v>
      </c>
      <c r="CJ377" t="s">
        <v>134</v>
      </c>
      <c r="CK377" t="s">
        <v>134</v>
      </c>
      <c r="CL377" t="s">
        <v>134</v>
      </c>
      <c r="CM377" t="s">
        <v>134</v>
      </c>
      <c r="CN377" t="s">
        <v>134</v>
      </c>
      <c r="CO377" t="s">
        <v>134</v>
      </c>
      <c r="CP377" t="s">
        <v>134</v>
      </c>
      <c r="CQ377" t="s">
        <v>134</v>
      </c>
      <c r="CR377" t="s">
        <v>134</v>
      </c>
      <c r="CS377" t="s">
        <v>134</v>
      </c>
      <c r="CT377" t="s">
        <v>134</v>
      </c>
      <c r="CU377" t="s">
        <v>134</v>
      </c>
      <c r="CV377" t="s">
        <v>134</v>
      </c>
      <c r="CW377" t="s">
        <v>134</v>
      </c>
      <c r="CX377" t="s">
        <v>134</v>
      </c>
      <c r="CY377" t="s">
        <v>134</v>
      </c>
      <c r="CZ377" t="s">
        <v>134</v>
      </c>
      <c r="DA377" t="s">
        <v>134</v>
      </c>
      <c r="DB377" t="s">
        <v>134</v>
      </c>
      <c r="DC377" t="s">
        <v>134</v>
      </c>
      <c r="DD377" t="s">
        <v>134</v>
      </c>
      <c r="DE377" t="s">
        <v>134</v>
      </c>
      <c r="DF377" t="s">
        <v>134</v>
      </c>
      <c r="DG377" t="s">
        <v>134</v>
      </c>
      <c r="DH377" t="s">
        <v>134</v>
      </c>
      <c r="DI377" t="s">
        <v>134</v>
      </c>
    </row>
    <row r="378" spans="1:113" x14ac:dyDescent="0.3">
      <c r="A378">
        <v>66</v>
      </c>
      <c r="B378" t="s">
        <v>40</v>
      </c>
      <c r="C378" t="s">
        <v>41</v>
      </c>
      <c r="D378" t="s">
        <v>2</v>
      </c>
      <c r="E378" t="s">
        <v>3</v>
      </c>
      <c r="F378">
        <v>29.1523</v>
      </c>
      <c r="G378">
        <v>5.4275000000000002</v>
      </c>
      <c r="H378">
        <v>16.050699999999999</v>
      </c>
      <c r="I378">
        <v>17.175699999999999</v>
      </c>
      <c r="J378">
        <v>9.5159000000000002</v>
      </c>
      <c r="K378">
        <v>6.8301999999999996</v>
      </c>
      <c r="L378">
        <v>16.266200000000001</v>
      </c>
      <c r="M378">
        <v>5.2458</v>
      </c>
      <c r="N378">
        <v>3.6038999999999999</v>
      </c>
      <c r="O378">
        <v>2.5141</v>
      </c>
      <c r="P378">
        <v>2.5141</v>
      </c>
      <c r="Q378">
        <v>31.286799999999999</v>
      </c>
      <c r="R378">
        <v>28.823499999999999</v>
      </c>
      <c r="S378">
        <v>20.749600000000001</v>
      </c>
      <c r="T378">
        <v>20.209499999999998</v>
      </c>
      <c r="U378">
        <v>47.676900000000003</v>
      </c>
      <c r="V378">
        <v>66.771000000000001</v>
      </c>
      <c r="W378">
        <v>72.103499999999997</v>
      </c>
      <c r="X378">
        <v>71.710499999999996</v>
      </c>
      <c r="Y378">
        <v>87.5</v>
      </c>
      <c r="Z378">
        <v>10.149699999999999</v>
      </c>
      <c r="AA378">
        <v>26.0639</v>
      </c>
      <c r="AB378">
        <v>15.6823</v>
      </c>
      <c r="AC378">
        <v>19.7607</v>
      </c>
      <c r="AD378">
        <v>2.7974999999999999</v>
      </c>
      <c r="AE378" t="s">
        <v>134</v>
      </c>
      <c r="AF378">
        <v>28.6374</v>
      </c>
      <c r="AG378">
        <v>-15.16</v>
      </c>
      <c r="AH378">
        <v>-1.3091999999999999</v>
      </c>
      <c r="AI378">
        <v>39.2866</v>
      </c>
      <c r="AJ378">
        <v>13.0763</v>
      </c>
      <c r="AK378">
        <v>29.2835</v>
      </c>
      <c r="AL378">
        <v>94.751199999999997</v>
      </c>
      <c r="AM378">
        <v>63.608400000000003</v>
      </c>
      <c r="AN378">
        <v>46.200200000000002</v>
      </c>
      <c r="AO378">
        <v>44.982399999999998</v>
      </c>
      <c r="AP378">
        <v>34.123600000000003</v>
      </c>
      <c r="AQ378">
        <v>31.596399999999999</v>
      </c>
      <c r="AR378">
        <v>33.032499999999999</v>
      </c>
      <c r="AS378">
        <v>39.489600000000003</v>
      </c>
      <c r="AT378">
        <v>39.959800000000001</v>
      </c>
      <c r="AU378">
        <v>33.766599999999997</v>
      </c>
      <c r="AV378">
        <v>34.502800000000001</v>
      </c>
      <c r="AW378">
        <v>67.016000000000005</v>
      </c>
      <c r="AX378">
        <v>-39.272199999999998</v>
      </c>
      <c r="AY378">
        <v>31.578600000000002</v>
      </c>
      <c r="AZ378">
        <v>50.171999999999997</v>
      </c>
      <c r="BA378">
        <v>40.149000000000001</v>
      </c>
      <c r="BB378">
        <v>30.6951</v>
      </c>
      <c r="BC378">
        <v>35.53</v>
      </c>
      <c r="BD378">
        <v>27.939599999999999</v>
      </c>
      <c r="BE378">
        <v>59.963999999999999</v>
      </c>
      <c r="BF378">
        <v>20.209499999999998</v>
      </c>
      <c r="BG378">
        <v>47.676900000000003</v>
      </c>
      <c r="BH378">
        <v>66.771000000000001</v>
      </c>
      <c r="BI378">
        <v>72.103499999999997</v>
      </c>
      <c r="BJ378">
        <v>71.710499999999996</v>
      </c>
      <c r="BK378">
        <v>87.5</v>
      </c>
      <c r="BL378">
        <v>10.149699999999999</v>
      </c>
      <c r="BM378">
        <v>26.0639</v>
      </c>
      <c r="BN378">
        <v>15.6823</v>
      </c>
      <c r="BO378">
        <v>19.7607</v>
      </c>
      <c r="BP378">
        <v>2.7974999999999999</v>
      </c>
      <c r="BQ378" t="s">
        <v>134</v>
      </c>
      <c r="BR378">
        <v>28.6374</v>
      </c>
      <c r="BS378">
        <v>-15.16</v>
      </c>
      <c r="BT378">
        <v>-1.3091999999999999</v>
      </c>
      <c r="BU378">
        <v>39.2866</v>
      </c>
      <c r="BV378">
        <v>13.0763</v>
      </c>
      <c r="BW378">
        <v>29.2835</v>
      </c>
      <c r="BX378">
        <v>94.751199999999997</v>
      </c>
      <c r="BY378">
        <v>48397</v>
      </c>
      <c r="BZ378">
        <v>18563</v>
      </c>
      <c r="CA378">
        <v>29834</v>
      </c>
      <c r="CB378">
        <v>1.6715</v>
      </c>
      <c r="CC378">
        <v>1.3585</v>
      </c>
      <c r="CD378">
        <v>2.3287</v>
      </c>
      <c r="CE378">
        <v>1.8927</v>
      </c>
      <c r="CF378">
        <v>9.8385999999999996</v>
      </c>
      <c r="CG378">
        <v>19.263400000000001</v>
      </c>
      <c r="CH378">
        <v>79.580699999999993</v>
      </c>
      <c r="CI378">
        <v>34.736699999999999</v>
      </c>
      <c r="CJ378">
        <v>19.420300000000001</v>
      </c>
      <c r="CK378">
        <v>129.09649999999999</v>
      </c>
      <c r="CL378">
        <v>56.350299999999997</v>
      </c>
      <c r="CM378">
        <v>31.503699999999998</v>
      </c>
      <c r="CN378">
        <v>104.9268</v>
      </c>
      <c r="CO378">
        <v>51.202100000000002</v>
      </c>
      <c r="CP378">
        <v>28955</v>
      </c>
      <c r="CQ378">
        <v>14835</v>
      </c>
      <c r="CR378">
        <v>20783</v>
      </c>
      <c r="CS378">
        <v>0.11260000000000001</v>
      </c>
      <c r="CT378">
        <v>1.0007999999999999</v>
      </c>
      <c r="CU378">
        <v>0.51490000000000002</v>
      </c>
      <c r="CV378">
        <v>3.7746</v>
      </c>
      <c r="CW378">
        <v>9.8498000000000001</v>
      </c>
      <c r="CX378">
        <v>37.056699999999999</v>
      </c>
      <c r="CY378">
        <v>6.6821999999999999</v>
      </c>
      <c r="CZ378">
        <v>54.622900000000001</v>
      </c>
      <c r="DA378">
        <v>5.5946999999999996</v>
      </c>
      <c r="DB378">
        <v>65.240700000000004</v>
      </c>
      <c r="DC378">
        <v>26.438800000000001</v>
      </c>
      <c r="DD378">
        <v>91.679599999999994</v>
      </c>
      <c r="DE378">
        <v>32822</v>
      </c>
      <c r="DF378">
        <v>10499</v>
      </c>
      <c r="DG378">
        <v>15273</v>
      </c>
      <c r="DH378">
        <v>5946</v>
      </c>
      <c r="DI378">
        <v>1104</v>
      </c>
    </row>
    <row r="379" spans="1:113" x14ac:dyDescent="0.3">
      <c r="E379" t="s">
        <v>4</v>
      </c>
      <c r="F379" t="s">
        <v>134</v>
      </c>
      <c r="G379" t="s">
        <v>134</v>
      </c>
      <c r="H379" t="s">
        <v>134</v>
      </c>
      <c r="I379" t="s">
        <v>134</v>
      </c>
      <c r="J379">
        <v>8.8631999999999991</v>
      </c>
      <c r="K379">
        <v>6.2411000000000003</v>
      </c>
      <c r="L379">
        <v>19.933700000000002</v>
      </c>
      <c r="M379">
        <v>2.7959000000000001</v>
      </c>
      <c r="N379">
        <v>1.4025000000000001</v>
      </c>
      <c r="O379">
        <v>1.0437000000000001</v>
      </c>
      <c r="P379">
        <v>1.0437000000000001</v>
      </c>
      <c r="Q379">
        <v>49.813899999999997</v>
      </c>
      <c r="R379" t="s">
        <v>134</v>
      </c>
      <c r="S379" t="s">
        <v>134</v>
      </c>
      <c r="T379">
        <v>11.7271</v>
      </c>
      <c r="U379">
        <v>36.5456</v>
      </c>
      <c r="V379">
        <v>50.4313</v>
      </c>
      <c r="W379">
        <v>799.26289999999995</v>
      </c>
      <c r="X379">
        <v>785.71429999999998</v>
      </c>
      <c r="Y379" t="s">
        <v>134</v>
      </c>
      <c r="Z379" t="s">
        <v>134</v>
      </c>
      <c r="AA379" t="s">
        <v>134</v>
      </c>
      <c r="AB379" t="s">
        <v>134</v>
      </c>
      <c r="AC379" t="s">
        <v>134</v>
      </c>
      <c r="AD379" t="s">
        <v>134</v>
      </c>
      <c r="AE379" t="s">
        <v>134</v>
      </c>
      <c r="AF379" t="s">
        <v>134</v>
      </c>
      <c r="AG379" t="s">
        <v>134</v>
      </c>
      <c r="AH379" t="s">
        <v>134</v>
      </c>
      <c r="AI379" t="s">
        <v>134</v>
      </c>
      <c r="AJ379" t="s">
        <v>134</v>
      </c>
      <c r="AK379" t="s">
        <v>134</v>
      </c>
      <c r="AL379" t="s">
        <v>134</v>
      </c>
      <c r="AM379">
        <v>63.418900000000001</v>
      </c>
      <c r="AN379">
        <v>53.303699999999999</v>
      </c>
      <c r="AO379">
        <v>52.464700000000001</v>
      </c>
      <c r="AP379">
        <v>18.257200000000001</v>
      </c>
      <c r="AQ379">
        <v>15.8843</v>
      </c>
      <c r="AR379" t="s">
        <v>134</v>
      </c>
      <c r="AS379" t="s">
        <v>134</v>
      </c>
      <c r="AT379" t="s">
        <v>134</v>
      </c>
      <c r="AU379" t="s">
        <v>134</v>
      </c>
      <c r="AV379" t="s">
        <v>134</v>
      </c>
      <c r="AW379" t="s">
        <v>134</v>
      </c>
      <c r="AX379" t="s">
        <v>134</v>
      </c>
      <c r="AY379" t="s">
        <v>134</v>
      </c>
      <c r="AZ379" t="s">
        <v>134</v>
      </c>
      <c r="BA379" t="s">
        <v>134</v>
      </c>
      <c r="BB379" t="s">
        <v>134</v>
      </c>
      <c r="BC379" t="s">
        <v>134</v>
      </c>
      <c r="BD379" t="s">
        <v>134</v>
      </c>
      <c r="BE379" t="s">
        <v>134</v>
      </c>
      <c r="BF379">
        <v>6.2695999999999996</v>
      </c>
      <c r="BG379">
        <v>9.1884999999999994</v>
      </c>
      <c r="BH379">
        <v>14.5778</v>
      </c>
      <c r="BI379">
        <v>-62.614899999999999</v>
      </c>
      <c r="BJ379">
        <v>-62.762799999999999</v>
      </c>
      <c r="BK379" t="s">
        <v>134</v>
      </c>
      <c r="BL379" t="s">
        <v>134</v>
      </c>
      <c r="BM379" t="s">
        <v>134</v>
      </c>
      <c r="BN379" t="s">
        <v>134</v>
      </c>
      <c r="BO379" t="s">
        <v>134</v>
      </c>
      <c r="BP379" t="s">
        <v>134</v>
      </c>
      <c r="BQ379" t="s">
        <v>134</v>
      </c>
      <c r="BR379" t="s">
        <v>134</v>
      </c>
      <c r="BS379" t="s">
        <v>134</v>
      </c>
      <c r="BT379" t="s">
        <v>134</v>
      </c>
      <c r="BU379" t="s">
        <v>134</v>
      </c>
      <c r="BV379" t="s">
        <v>134</v>
      </c>
      <c r="BW379" t="s">
        <v>134</v>
      </c>
      <c r="BX379" t="s">
        <v>134</v>
      </c>
      <c r="BY379" t="s">
        <v>134</v>
      </c>
      <c r="BZ379" t="s">
        <v>134</v>
      </c>
      <c r="CA379" t="s">
        <v>134</v>
      </c>
      <c r="CB379" t="s">
        <v>134</v>
      </c>
      <c r="CC379" t="s">
        <v>134</v>
      </c>
      <c r="CD379" t="s">
        <v>134</v>
      </c>
      <c r="CE379" t="s">
        <v>134</v>
      </c>
      <c r="CF379">
        <v>8.1181999999999999</v>
      </c>
      <c r="CG379" t="s">
        <v>134</v>
      </c>
      <c r="CH379" t="s">
        <v>134</v>
      </c>
      <c r="CI379" t="s">
        <v>134</v>
      </c>
      <c r="CJ379" t="s">
        <v>134</v>
      </c>
      <c r="CK379" t="s">
        <v>134</v>
      </c>
      <c r="CL379" t="s">
        <v>134</v>
      </c>
      <c r="CM379" t="s">
        <v>134</v>
      </c>
      <c r="CN379" t="s">
        <v>134</v>
      </c>
      <c r="CO379" t="s">
        <v>134</v>
      </c>
      <c r="CP379">
        <v>6216.1</v>
      </c>
      <c r="CQ379" t="s">
        <v>134</v>
      </c>
      <c r="CR379">
        <v>4377.1000000000004</v>
      </c>
      <c r="CS379" t="s">
        <v>134</v>
      </c>
      <c r="CT379" t="s">
        <v>134</v>
      </c>
      <c r="CU379" t="s">
        <v>134</v>
      </c>
      <c r="CV379" t="s">
        <v>134</v>
      </c>
      <c r="CW379" t="s">
        <v>134</v>
      </c>
      <c r="CX379" t="s">
        <v>134</v>
      </c>
      <c r="CY379" t="s">
        <v>134</v>
      </c>
      <c r="CZ379" t="s">
        <v>134</v>
      </c>
      <c r="DA379" t="s">
        <v>134</v>
      </c>
      <c r="DB379" t="s">
        <v>134</v>
      </c>
      <c r="DC379" t="s">
        <v>134</v>
      </c>
      <c r="DD379" t="s">
        <v>134</v>
      </c>
      <c r="DE379" t="s">
        <v>134</v>
      </c>
      <c r="DF379" t="s">
        <v>134</v>
      </c>
      <c r="DG379" t="s">
        <v>134</v>
      </c>
      <c r="DH379" t="s">
        <v>134</v>
      </c>
      <c r="DI379" t="s">
        <v>134</v>
      </c>
    </row>
    <row r="380" spans="1:113" x14ac:dyDescent="0.3">
      <c r="E380" t="s">
        <v>5</v>
      </c>
      <c r="F380">
        <v>20.712299999999999</v>
      </c>
      <c r="G380">
        <v>3.7762000000000002</v>
      </c>
      <c r="H380">
        <v>10.142899999999999</v>
      </c>
      <c r="I380">
        <v>12.073600000000001</v>
      </c>
      <c r="J380">
        <v>9.6897000000000002</v>
      </c>
      <c r="K380">
        <v>6.8574999999999999</v>
      </c>
      <c r="L380">
        <v>18.183700000000002</v>
      </c>
      <c r="M380">
        <v>4.3773999999999997</v>
      </c>
      <c r="N380">
        <v>2.5575000000000001</v>
      </c>
      <c r="O380">
        <v>1.9485999999999999</v>
      </c>
      <c r="P380">
        <v>1.9485999999999999</v>
      </c>
      <c r="Q380">
        <v>41.591500000000003</v>
      </c>
      <c r="R380" t="s">
        <v>134</v>
      </c>
      <c r="S380" t="s">
        <v>134</v>
      </c>
      <c r="T380">
        <v>23.535399999999999</v>
      </c>
      <c r="U380">
        <v>69.355400000000003</v>
      </c>
      <c r="V380">
        <v>102.0934</v>
      </c>
      <c r="W380">
        <v>1.49</v>
      </c>
      <c r="X380">
        <v>52.564100000000003</v>
      </c>
      <c r="Y380" t="s">
        <v>134</v>
      </c>
      <c r="Z380">
        <v>11.9589</v>
      </c>
      <c r="AA380">
        <v>31.915399999999998</v>
      </c>
      <c r="AB380">
        <v>17.584600000000002</v>
      </c>
      <c r="AC380">
        <v>20.479199999999999</v>
      </c>
      <c r="AD380">
        <v>27.3874</v>
      </c>
      <c r="AE380" t="s">
        <v>134</v>
      </c>
      <c r="AF380">
        <v>17.452500000000001</v>
      </c>
      <c r="AG380">
        <v>11.780900000000001</v>
      </c>
      <c r="AH380">
        <v>9.4144000000000005</v>
      </c>
      <c r="AI380">
        <v>34.711599999999997</v>
      </c>
      <c r="AJ380">
        <v>18.828900000000001</v>
      </c>
      <c r="AK380">
        <v>108.4431</v>
      </c>
      <c r="AL380" t="s">
        <v>134</v>
      </c>
      <c r="AM380">
        <v>63.1008</v>
      </c>
      <c r="AN380">
        <v>52.191299999999998</v>
      </c>
      <c r="AO380">
        <v>50.354799999999997</v>
      </c>
      <c r="AP380">
        <v>26.971800000000002</v>
      </c>
      <c r="AQ380">
        <v>28.223099999999999</v>
      </c>
      <c r="AR380" t="s">
        <v>134</v>
      </c>
      <c r="AS380" t="s">
        <v>134</v>
      </c>
      <c r="AT380" t="s">
        <v>134</v>
      </c>
      <c r="AU380" t="s">
        <v>134</v>
      </c>
      <c r="AV380" t="s">
        <v>134</v>
      </c>
      <c r="AW380" t="s">
        <v>134</v>
      </c>
      <c r="AX380" t="s">
        <v>134</v>
      </c>
      <c r="AY380" t="s">
        <v>134</v>
      </c>
      <c r="AZ380" t="s">
        <v>134</v>
      </c>
      <c r="BA380" t="s">
        <v>134</v>
      </c>
      <c r="BB380" t="s">
        <v>134</v>
      </c>
      <c r="BC380" t="s">
        <v>134</v>
      </c>
      <c r="BD380" t="s">
        <v>134</v>
      </c>
      <c r="BE380" t="s">
        <v>134</v>
      </c>
      <c r="BF380">
        <v>2.1722999999999999</v>
      </c>
      <c r="BG380">
        <v>11.7003</v>
      </c>
      <c r="BH380">
        <v>12.2638</v>
      </c>
      <c r="BI380">
        <v>90.751400000000004</v>
      </c>
      <c r="BJ380">
        <v>91.935500000000005</v>
      </c>
      <c r="BK380" t="s">
        <v>134</v>
      </c>
      <c r="BL380" t="s">
        <v>134</v>
      </c>
      <c r="BM380" t="s">
        <v>134</v>
      </c>
      <c r="BN380" t="s">
        <v>134</v>
      </c>
      <c r="BO380" t="s">
        <v>134</v>
      </c>
      <c r="BP380" t="s">
        <v>134</v>
      </c>
      <c r="BQ380" t="s">
        <v>134</v>
      </c>
      <c r="BR380" t="s">
        <v>134</v>
      </c>
      <c r="BS380" t="s">
        <v>134</v>
      </c>
      <c r="BT380" t="s">
        <v>134</v>
      </c>
      <c r="BU380" t="s">
        <v>134</v>
      </c>
      <c r="BV380" t="s">
        <v>134</v>
      </c>
      <c r="BW380" t="s">
        <v>134</v>
      </c>
      <c r="BX380" t="s">
        <v>134</v>
      </c>
      <c r="BY380">
        <v>46763.5</v>
      </c>
      <c r="BZ380">
        <v>15410.9</v>
      </c>
      <c r="CA380">
        <v>31352.6</v>
      </c>
      <c r="CB380">
        <v>1.9527999999999999</v>
      </c>
      <c r="CC380">
        <v>1.5699999999999998</v>
      </c>
      <c r="CD380">
        <v>2.8787000000000003</v>
      </c>
      <c r="CE380">
        <v>2.3144</v>
      </c>
      <c r="CF380">
        <v>10.497999999999999</v>
      </c>
      <c r="CG380">
        <v>19.384799999999998</v>
      </c>
      <c r="CH380">
        <v>91.868499999999997</v>
      </c>
      <c r="CI380">
        <v>38.759</v>
      </c>
      <c r="CJ380">
        <v>21.173100000000002</v>
      </c>
      <c r="CK380">
        <v>137.02510000000001</v>
      </c>
      <c r="CL380">
        <v>57.810400000000001</v>
      </c>
      <c r="CM380">
        <v>31.580500000000001</v>
      </c>
      <c r="CN380">
        <v>110.1648</v>
      </c>
      <c r="CO380">
        <v>52.418300000000002</v>
      </c>
      <c r="CP380">
        <v>6943.4</v>
      </c>
      <c r="CQ380" t="s">
        <v>134</v>
      </c>
      <c r="CR380">
        <v>4913.8999999999996</v>
      </c>
      <c r="CS380">
        <v>0.1203</v>
      </c>
      <c r="CT380">
        <v>1.0271999999999999</v>
      </c>
      <c r="CU380">
        <v>0.50660000000000005</v>
      </c>
      <c r="CV380">
        <v>3.2019000000000002</v>
      </c>
      <c r="CW380">
        <v>9.8047000000000004</v>
      </c>
      <c r="CX380">
        <v>37.226999999999997</v>
      </c>
      <c r="CY380">
        <v>6.1749999999999998</v>
      </c>
      <c r="CZ380">
        <v>59.109000000000002</v>
      </c>
      <c r="DA380">
        <v>5.7968999999999999</v>
      </c>
      <c r="DB380">
        <v>62.965000000000003</v>
      </c>
      <c r="DC380">
        <v>33.371000000000002</v>
      </c>
      <c r="DD380">
        <v>96.335999999999999</v>
      </c>
      <c r="DE380">
        <v>32800.5</v>
      </c>
      <c r="DF380" t="s">
        <v>134</v>
      </c>
      <c r="DG380" t="s">
        <v>134</v>
      </c>
      <c r="DH380" t="s">
        <v>134</v>
      </c>
      <c r="DI380" t="s">
        <v>134</v>
      </c>
    </row>
    <row r="381" spans="1:113" x14ac:dyDescent="0.3">
      <c r="E381" t="s">
        <v>6</v>
      </c>
      <c r="F381" t="s">
        <v>134</v>
      </c>
      <c r="G381" t="s">
        <v>134</v>
      </c>
      <c r="H381" t="s">
        <v>134</v>
      </c>
      <c r="I381" t="s">
        <v>134</v>
      </c>
      <c r="J381">
        <v>9.7141999999999999</v>
      </c>
      <c r="K381">
        <v>6.9583000000000004</v>
      </c>
      <c r="L381">
        <v>17.561299999999999</v>
      </c>
      <c r="M381">
        <v>6.4682000000000004</v>
      </c>
      <c r="N381">
        <v>4.4851000000000001</v>
      </c>
      <c r="O381">
        <v>3.1636000000000002</v>
      </c>
      <c r="P381">
        <v>3.1636000000000002</v>
      </c>
      <c r="Q381">
        <v>30.680099999999999</v>
      </c>
      <c r="R381" t="s">
        <v>134</v>
      </c>
      <c r="S381" t="s">
        <v>134</v>
      </c>
      <c r="T381">
        <v>20.4941</v>
      </c>
      <c r="U381">
        <v>50.439700000000002</v>
      </c>
      <c r="V381">
        <v>75.209000000000003</v>
      </c>
      <c r="W381">
        <v>142.28309999999999</v>
      </c>
      <c r="X381">
        <v>142.57140000000001</v>
      </c>
      <c r="Y381" t="s">
        <v>134</v>
      </c>
      <c r="Z381" t="s">
        <v>134</v>
      </c>
      <c r="AA381" t="s">
        <v>134</v>
      </c>
      <c r="AB381" t="s">
        <v>134</v>
      </c>
      <c r="AC381" t="s">
        <v>134</v>
      </c>
      <c r="AD381" t="s">
        <v>134</v>
      </c>
      <c r="AE381" t="s">
        <v>134</v>
      </c>
      <c r="AF381" t="s">
        <v>134</v>
      </c>
      <c r="AG381" t="s">
        <v>134</v>
      </c>
      <c r="AH381" t="s">
        <v>134</v>
      </c>
      <c r="AI381" t="s">
        <v>134</v>
      </c>
      <c r="AJ381" t="s">
        <v>134</v>
      </c>
      <c r="AK381" t="s">
        <v>134</v>
      </c>
      <c r="AL381" t="s">
        <v>134</v>
      </c>
      <c r="AM381">
        <v>70.567800000000005</v>
      </c>
      <c r="AN381">
        <v>60.719900000000003</v>
      </c>
      <c r="AO381">
        <v>61.261899999999997</v>
      </c>
      <c r="AP381">
        <v>57.948799999999999</v>
      </c>
      <c r="AQ381">
        <v>55.075099999999999</v>
      </c>
      <c r="AR381" t="s">
        <v>134</v>
      </c>
      <c r="AS381" t="s">
        <v>134</v>
      </c>
      <c r="AT381" t="s">
        <v>134</v>
      </c>
      <c r="AU381" t="s">
        <v>134</v>
      </c>
      <c r="AV381" t="s">
        <v>134</v>
      </c>
      <c r="AW381" t="s">
        <v>134</v>
      </c>
      <c r="AX381" t="s">
        <v>134</v>
      </c>
      <c r="AY381" t="s">
        <v>134</v>
      </c>
      <c r="AZ381" t="s">
        <v>134</v>
      </c>
      <c r="BA381" t="s">
        <v>134</v>
      </c>
      <c r="BB381" t="s">
        <v>134</v>
      </c>
      <c r="BC381" t="s">
        <v>134</v>
      </c>
      <c r="BD381" t="s">
        <v>134</v>
      </c>
      <c r="BE381" t="s">
        <v>134</v>
      </c>
      <c r="BF381">
        <v>10.105</v>
      </c>
      <c r="BG381">
        <v>10.3825</v>
      </c>
      <c r="BH381">
        <v>11.7239</v>
      </c>
      <c r="BI381">
        <v>78.758099999999999</v>
      </c>
      <c r="BJ381">
        <v>78.3613</v>
      </c>
      <c r="BK381" t="s">
        <v>134</v>
      </c>
      <c r="BL381" t="s">
        <v>134</v>
      </c>
      <c r="BM381" t="s">
        <v>134</v>
      </c>
      <c r="BN381" t="s">
        <v>134</v>
      </c>
      <c r="BO381" t="s">
        <v>134</v>
      </c>
      <c r="BP381" t="s">
        <v>134</v>
      </c>
      <c r="BQ381" t="s">
        <v>134</v>
      </c>
      <c r="BR381" t="s">
        <v>134</v>
      </c>
      <c r="BS381" t="s">
        <v>134</v>
      </c>
      <c r="BT381" t="s">
        <v>134</v>
      </c>
      <c r="BU381" t="s">
        <v>134</v>
      </c>
      <c r="BV381" t="s">
        <v>134</v>
      </c>
      <c r="BW381" t="s">
        <v>134</v>
      </c>
      <c r="BX381" t="s">
        <v>134</v>
      </c>
      <c r="BY381" t="s">
        <v>134</v>
      </c>
      <c r="BZ381" t="s">
        <v>134</v>
      </c>
      <c r="CA381" t="s">
        <v>134</v>
      </c>
      <c r="CB381" t="s">
        <v>134</v>
      </c>
      <c r="CC381" t="s">
        <v>134</v>
      </c>
      <c r="CD381" t="s">
        <v>134</v>
      </c>
      <c r="CE381" t="s">
        <v>134</v>
      </c>
      <c r="CF381">
        <v>10.9038</v>
      </c>
      <c r="CG381" t="s">
        <v>134</v>
      </c>
      <c r="CH381" t="s">
        <v>134</v>
      </c>
      <c r="CI381" t="s">
        <v>134</v>
      </c>
      <c r="CJ381" t="s">
        <v>134</v>
      </c>
      <c r="CK381" t="s">
        <v>134</v>
      </c>
      <c r="CL381" t="s">
        <v>134</v>
      </c>
      <c r="CM381" t="s">
        <v>134</v>
      </c>
      <c r="CN381" t="s">
        <v>134</v>
      </c>
      <c r="CO381" t="s">
        <v>134</v>
      </c>
      <c r="CP381">
        <v>7664.3</v>
      </c>
      <c r="CQ381" t="s">
        <v>134</v>
      </c>
      <c r="CR381">
        <v>5490</v>
      </c>
      <c r="CS381" t="s">
        <v>134</v>
      </c>
      <c r="CT381" t="s">
        <v>134</v>
      </c>
      <c r="CU381" t="s">
        <v>134</v>
      </c>
      <c r="CV381" t="s">
        <v>134</v>
      </c>
      <c r="CW381" t="s">
        <v>134</v>
      </c>
      <c r="CX381" t="s">
        <v>134</v>
      </c>
      <c r="CY381" t="s">
        <v>134</v>
      </c>
      <c r="CZ381" t="s">
        <v>134</v>
      </c>
      <c r="DA381" t="s">
        <v>134</v>
      </c>
      <c r="DB381" t="s">
        <v>134</v>
      </c>
      <c r="DC381" t="s">
        <v>134</v>
      </c>
      <c r="DD381" t="s">
        <v>134</v>
      </c>
      <c r="DE381" t="s">
        <v>134</v>
      </c>
      <c r="DF381" t="s">
        <v>134</v>
      </c>
      <c r="DG381" t="s">
        <v>134</v>
      </c>
      <c r="DH381" t="s">
        <v>134</v>
      </c>
      <c r="DI381" t="s">
        <v>134</v>
      </c>
    </row>
    <row r="382" spans="1:113" x14ac:dyDescent="0.3">
      <c r="E382" t="s">
        <v>7</v>
      </c>
      <c r="F382">
        <v>29.1508</v>
      </c>
      <c r="G382">
        <v>5.4272</v>
      </c>
      <c r="H382">
        <v>16.0502</v>
      </c>
      <c r="I382">
        <v>16.2851</v>
      </c>
      <c r="J382">
        <v>9.6000999999999994</v>
      </c>
      <c r="K382">
        <v>7.0315000000000003</v>
      </c>
      <c r="L382">
        <v>11.8871</v>
      </c>
      <c r="M382">
        <v>6.9493</v>
      </c>
      <c r="N382">
        <v>5.5617999999999999</v>
      </c>
      <c r="O382">
        <v>3.6497999999999999</v>
      </c>
      <c r="P382">
        <v>3.6497999999999999</v>
      </c>
      <c r="Q382">
        <v>19.9208</v>
      </c>
      <c r="R382" t="s">
        <v>134</v>
      </c>
      <c r="S382" t="s">
        <v>134</v>
      </c>
      <c r="T382">
        <v>25.598500000000001</v>
      </c>
      <c r="U382">
        <v>39.776899999999998</v>
      </c>
      <c r="V382">
        <v>52.567900000000002</v>
      </c>
      <c r="W382">
        <v>54.509700000000002</v>
      </c>
      <c r="X382">
        <v>54.5045</v>
      </c>
      <c r="Y382" t="s">
        <v>134</v>
      </c>
      <c r="Z382">
        <v>10.149699999999999</v>
      </c>
      <c r="AA382">
        <v>26.0639</v>
      </c>
      <c r="AB382">
        <v>15.6823</v>
      </c>
      <c r="AC382">
        <v>19.7607</v>
      </c>
      <c r="AD382">
        <v>2.7974999999999999</v>
      </c>
      <c r="AE382" t="s">
        <v>134</v>
      </c>
      <c r="AF382">
        <v>28.6374</v>
      </c>
      <c r="AG382">
        <v>-15.16</v>
      </c>
      <c r="AH382">
        <v>-1.3091999999999999</v>
      </c>
      <c r="AI382">
        <v>39.2866</v>
      </c>
      <c r="AJ382">
        <v>13.0763</v>
      </c>
      <c r="AK382">
        <v>29.2835</v>
      </c>
      <c r="AL382" t="s">
        <v>134</v>
      </c>
      <c r="AM382">
        <v>58.579000000000001</v>
      </c>
      <c r="AN382">
        <v>54.689700000000002</v>
      </c>
      <c r="AO382">
        <v>60.655000000000001</v>
      </c>
      <c r="AP382">
        <v>31.512899999999998</v>
      </c>
      <c r="AQ382">
        <v>28.885300000000001</v>
      </c>
      <c r="AR382" t="s">
        <v>134</v>
      </c>
      <c r="AS382">
        <v>39.489600000000003</v>
      </c>
      <c r="AT382">
        <v>39.959800000000001</v>
      </c>
      <c r="AU382">
        <v>33.766599999999997</v>
      </c>
      <c r="AV382">
        <v>34.502800000000001</v>
      </c>
      <c r="AW382">
        <v>67.016000000000005</v>
      </c>
      <c r="AX382">
        <v>-39.272199999999998</v>
      </c>
      <c r="AY382">
        <v>31.578600000000002</v>
      </c>
      <c r="AZ382">
        <v>50.171999999999997</v>
      </c>
      <c r="BA382">
        <v>40.149000000000001</v>
      </c>
      <c r="BB382">
        <v>30.6951</v>
      </c>
      <c r="BC382">
        <v>35.53</v>
      </c>
      <c r="BD382">
        <v>27.939599999999999</v>
      </c>
      <c r="BE382" t="s">
        <v>134</v>
      </c>
      <c r="BF382">
        <v>5.0594000000000001</v>
      </c>
      <c r="BG382">
        <v>3.8254999999999999</v>
      </c>
      <c r="BH382">
        <v>6.1638999999999999</v>
      </c>
      <c r="BI382">
        <v>21.2059</v>
      </c>
      <c r="BJ382">
        <v>21.2014</v>
      </c>
      <c r="BK382" t="s">
        <v>134</v>
      </c>
      <c r="BL382" t="s">
        <v>134</v>
      </c>
      <c r="BM382" t="s">
        <v>134</v>
      </c>
      <c r="BN382" t="s">
        <v>134</v>
      </c>
      <c r="BO382" t="s">
        <v>134</v>
      </c>
      <c r="BP382" t="s">
        <v>134</v>
      </c>
      <c r="BQ382" t="s">
        <v>134</v>
      </c>
      <c r="BR382" t="s">
        <v>134</v>
      </c>
      <c r="BS382" t="s">
        <v>134</v>
      </c>
      <c r="BT382" t="s">
        <v>134</v>
      </c>
      <c r="BU382" t="s">
        <v>134</v>
      </c>
      <c r="BV382" t="s">
        <v>134</v>
      </c>
      <c r="BW382" t="s">
        <v>134</v>
      </c>
      <c r="BX382" t="s">
        <v>134</v>
      </c>
      <c r="BY382">
        <v>48397</v>
      </c>
      <c r="BZ382">
        <v>18563</v>
      </c>
      <c r="CA382">
        <v>29834</v>
      </c>
      <c r="CB382">
        <v>1.6815</v>
      </c>
      <c r="CC382">
        <v>1.3667</v>
      </c>
      <c r="CD382">
        <v>2.3483000000000001</v>
      </c>
      <c r="CE382">
        <v>1.9085999999999999</v>
      </c>
      <c r="CF382">
        <v>9.7769999999999992</v>
      </c>
      <c r="CG382">
        <v>19.263400000000001</v>
      </c>
      <c r="CH382">
        <v>79.580699999999993</v>
      </c>
      <c r="CI382">
        <v>34.736699999999999</v>
      </c>
      <c r="CJ382">
        <v>19.420300000000001</v>
      </c>
      <c r="CK382">
        <v>129.09649999999999</v>
      </c>
      <c r="CL382">
        <v>56.350299999999997</v>
      </c>
      <c r="CM382">
        <v>31.503699999999998</v>
      </c>
      <c r="CN382">
        <v>104.9268</v>
      </c>
      <c r="CO382">
        <v>51.202100000000002</v>
      </c>
      <c r="CP382">
        <v>7957.5</v>
      </c>
      <c r="CQ382" t="s">
        <v>134</v>
      </c>
      <c r="CR382">
        <v>5828.4</v>
      </c>
      <c r="CS382">
        <v>0.11260000000000001</v>
      </c>
      <c r="CT382">
        <v>1.0007999999999999</v>
      </c>
      <c r="CU382">
        <v>0.51490000000000002</v>
      </c>
      <c r="CV382">
        <v>3.7746</v>
      </c>
      <c r="CW382">
        <v>9.8270999999999997</v>
      </c>
      <c r="CX382">
        <v>37.142099999999999</v>
      </c>
      <c r="CY382">
        <v>6.6821999999999999</v>
      </c>
      <c r="CZ382">
        <v>54.622500000000002</v>
      </c>
      <c r="DA382">
        <v>5.5946999999999996</v>
      </c>
      <c r="DB382">
        <v>65.240300000000005</v>
      </c>
      <c r="DC382">
        <v>26.5243</v>
      </c>
      <c r="DD382">
        <v>91.764600000000002</v>
      </c>
      <c r="DE382">
        <v>32822</v>
      </c>
      <c r="DF382">
        <v>10499</v>
      </c>
      <c r="DG382">
        <v>15273</v>
      </c>
      <c r="DH382">
        <v>5946</v>
      </c>
      <c r="DI382">
        <v>1104</v>
      </c>
    </row>
    <row r="383" spans="1:113" x14ac:dyDescent="0.3">
      <c r="D383" t="s">
        <v>8</v>
      </c>
      <c r="E383" t="s">
        <v>3</v>
      </c>
      <c r="F383">
        <v>27.454599999999999</v>
      </c>
      <c r="G383">
        <v>5.2378999999999998</v>
      </c>
      <c r="H383">
        <v>15.911799999999999</v>
      </c>
      <c r="I383">
        <v>18.069099999999999</v>
      </c>
      <c r="J383">
        <v>9.3427000000000007</v>
      </c>
      <c r="K383">
        <v>6.6809000000000003</v>
      </c>
      <c r="L383">
        <v>5.5877999999999997</v>
      </c>
      <c r="M383">
        <v>5.2539999999999996</v>
      </c>
      <c r="N383">
        <v>3.7354000000000003</v>
      </c>
      <c r="O383">
        <v>2.4938000000000002</v>
      </c>
      <c r="P383">
        <v>2.4938000000000002</v>
      </c>
      <c r="Q383">
        <v>28.9252</v>
      </c>
      <c r="R383">
        <v>30.6783</v>
      </c>
      <c r="S383">
        <v>19.032</v>
      </c>
      <c r="T383">
        <v>13.662800000000001</v>
      </c>
      <c r="U383">
        <v>11.5939</v>
      </c>
      <c r="V383">
        <v>11.1774</v>
      </c>
      <c r="W383">
        <v>12.745100000000001</v>
      </c>
      <c r="X383">
        <v>12.4138</v>
      </c>
      <c r="Y383">
        <v>20</v>
      </c>
      <c r="Z383">
        <v>-6.9169999999999998</v>
      </c>
      <c r="AA383">
        <v>14.252599999999999</v>
      </c>
      <c r="AB383">
        <v>6.9211</v>
      </c>
      <c r="AC383">
        <v>14.376099999999999</v>
      </c>
      <c r="AD383">
        <v>-21.762899999999998</v>
      </c>
      <c r="AE383">
        <v>15383.606599999999</v>
      </c>
      <c r="AF383">
        <v>18.877199999999998</v>
      </c>
      <c r="AG383">
        <v>-43.721400000000003</v>
      </c>
      <c r="AH383">
        <v>6.0106999999999999</v>
      </c>
      <c r="AI383">
        <v>15.713900000000001</v>
      </c>
      <c r="AJ383">
        <v>10.2461</v>
      </c>
      <c r="AK383">
        <v>12.3171</v>
      </c>
      <c r="AL383">
        <v>28.437000000000001</v>
      </c>
      <c r="AM383">
        <v>38.846400000000003</v>
      </c>
      <c r="AN383">
        <v>40.263399999999997</v>
      </c>
      <c r="AO383">
        <v>47.135199999999998</v>
      </c>
      <c r="AP383">
        <v>28.8584</v>
      </c>
      <c r="AQ383">
        <v>29.379799999999999</v>
      </c>
      <c r="AR383">
        <v>30.994499999999999</v>
      </c>
      <c r="AS383">
        <v>31.426100000000002</v>
      </c>
      <c r="AT383">
        <v>40.903700000000001</v>
      </c>
      <c r="AU383">
        <v>33.852899999999998</v>
      </c>
      <c r="AV383">
        <v>35.9636</v>
      </c>
      <c r="AW383">
        <v>40.152299999999997</v>
      </c>
      <c r="AX383">
        <v>94.17</v>
      </c>
      <c r="AY383">
        <v>34.807499999999997</v>
      </c>
      <c r="AZ383">
        <v>17.263100000000001</v>
      </c>
      <c r="BA383">
        <v>44.3752</v>
      </c>
      <c r="BB383">
        <v>25.9695</v>
      </c>
      <c r="BC383">
        <v>34.0745</v>
      </c>
      <c r="BD383">
        <v>22.216699999999999</v>
      </c>
      <c r="BE383">
        <v>53.6188</v>
      </c>
      <c r="BF383">
        <v>13.662800000000001</v>
      </c>
      <c r="BG383">
        <v>11.5939</v>
      </c>
      <c r="BH383">
        <v>11.1774</v>
      </c>
      <c r="BI383">
        <v>12.745100000000001</v>
      </c>
      <c r="BJ383">
        <v>12.4138</v>
      </c>
      <c r="BK383">
        <v>20</v>
      </c>
      <c r="BL383">
        <v>-6.9169999999999998</v>
      </c>
      <c r="BM383">
        <v>14.252599999999999</v>
      </c>
      <c r="BN383">
        <v>6.9211</v>
      </c>
      <c r="BO383">
        <v>14.376099999999999</v>
      </c>
      <c r="BP383">
        <v>-21.762899999999998</v>
      </c>
      <c r="BQ383">
        <v>15383.606599999999</v>
      </c>
      <c r="BR383">
        <v>18.877199999999998</v>
      </c>
      <c r="BS383">
        <v>-43.721400000000003</v>
      </c>
      <c r="BT383">
        <v>6.0106999999999999</v>
      </c>
      <c r="BU383">
        <v>15.713900000000001</v>
      </c>
      <c r="BV383">
        <v>10.2461</v>
      </c>
      <c r="BW383">
        <v>12.3171</v>
      </c>
      <c r="BX383">
        <v>28.437000000000001</v>
      </c>
      <c r="BY383">
        <v>51306</v>
      </c>
      <c r="BZ383">
        <v>10447</v>
      </c>
      <c r="CA383">
        <v>40859</v>
      </c>
      <c r="CB383">
        <v>1.5878000000000001</v>
      </c>
      <c r="CC383">
        <v>1.0023</v>
      </c>
      <c r="CD383">
        <v>2.2204999999999999</v>
      </c>
      <c r="CE383">
        <v>1.4016999999999999</v>
      </c>
      <c r="CF383">
        <v>15.8703</v>
      </c>
      <c r="CG383">
        <v>18.916599999999999</v>
      </c>
      <c r="CH383">
        <v>94.188599999999994</v>
      </c>
      <c r="CI383">
        <v>43.152099999999997</v>
      </c>
      <c r="CJ383">
        <v>23.253900000000002</v>
      </c>
      <c r="CK383">
        <v>118.2711</v>
      </c>
      <c r="CL383">
        <v>54.185400000000001</v>
      </c>
      <c r="CM383">
        <v>29.1996</v>
      </c>
      <c r="CN383">
        <v>74.658799999999999</v>
      </c>
      <c r="CO383">
        <v>42.7455</v>
      </c>
      <c r="CP383">
        <v>32312</v>
      </c>
      <c r="CQ383">
        <v>12869</v>
      </c>
      <c r="CR383">
        <v>23106</v>
      </c>
      <c r="CS383">
        <v>0.2233</v>
      </c>
      <c r="CT383">
        <v>1.1114999999999999</v>
      </c>
      <c r="CU383">
        <v>0.57899999999999996</v>
      </c>
      <c r="CV383">
        <v>4.7413999999999996</v>
      </c>
      <c r="CW383">
        <v>11.0623</v>
      </c>
      <c r="CX383">
        <v>32.994900000000001</v>
      </c>
      <c r="CY383">
        <v>6.3719000000000001</v>
      </c>
      <c r="CZ383">
        <v>57.282299999999999</v>
      </c>
      <c r="DA383">
        <v>5.1078000000000001</v>
      </c>
      <c r="DB383">
        <v>71.459400000000002</v>
      </c>
      <c r="DC383">
        <v>18.817900000000002</v>
      </c>
      <c r="DD383">
        <v>90.277299999999997</v>
      </c>
      <c r="DE383">
        <v>37500</v>
      </c>
      <c r="DF383">
        <v>11534</v>
      </c>
      <c r="DG383">
        <v>18927</v>
      </c>
      <c r="DH383">
        <v>5462</v>
      </c>
      <c r="DI383">
        <v>1577</v>
      </c>
    </row>
    <row r="384" spans="1:113" x14ac:dyDescent="0.3">
      <c r="E384" t="s">
        <v>4</v>
      </c>
      <c r="F384" t="s">
        <v>134</v>
      </c>
      <c r="G384" t="s">
        <v>134</v>
      </c>
      <c r="H384" t="s">
        <v>134</v>
      </c>
      <c r="I384" t="s">
        <v>134</v>
      </c>
      <c r="J384">
        <v>8.7738999999999994</v>
      </c>
      <c r="K384">
        <v>6.1306000000000003</v>
      </c>
      <c r="L384">
        <v>5.5266999999999999</v>
      </c>
      <c r="M384">
        <v>4.8796999999999997</v>
      </c>
      <c r="N384">
        <v>3.0430999999999999</v>
      </c>
      <c r="O384">
        <v>1.9735</v>
      </c>
      <c r="P384">
        <v>1.9735</v>
      </c>
      <c r="Q384">
        <v>37.637099999999997</v>
      </c>
      <c r="R384" t="s">
        <v>134</v>
      </c>
      <c r="S384" t="s">
        <v>134</v>
      </c>
      <c r="T384">
        <v>18.2943</v>
      </c>
      <c r="U384">
        <v>17.102399999999999</v>
      </c>
      <c r="V384">
        <v>16.200199999999999</v>
      </c>
      <c r="W384">
        <v>123.67489999999999</v>
      </c>
      <c r="X384">
        <v>125</v>
      </c>
      <c r="Y384" t="s">
        <v>134</v>
      </c>
      <c r="Z384" t="s">
        <v>134</v>
      </c>
      <c r="AA384" t="s">
        <v>134</v>
      </c>
      <c r="AB384" t="s">
        <v>134</v>
      </c>
      <c r="AC384" t="s">
        <v>134</v>
      </c>
      <c r="AD384" t="s">
        <v>134</v>
      </c>
      <c r="AE384" t="s">
        <v>134</v>
      </c>
      <c r="AF384" t="s">
        <v>134</v>
      </c>
      <c r="AG384" t="s">
        <v>134</v>
      </c>
      <c r="AH384" t="s">
        <v>134</v>
      </c>
      <c r="AI384" t="s">
        <v>134</v>
      </c>
      <c r="AJ384" t="s">
        <v>134</v>
      </c>
      <c r="AK384" t="s">
        <v>134</v>
      </c>
      <c r="AL384" t="s">
        <v>134</v>
      </c>
      <c r="AM384">
        <v>42.66</v>
      </c>
      <c r="AN384">
        <v>53.2057</v>
      </c>
      <c r="AO384">
        <v>77.1297</v>
      </c>
      <c r="AP384">
        <v>71.456199999999995</v>
      </c>
      <c r="AQ384">
        <v>68.293300000000002</v>
      </c>
      <c r="AR384" t="s">
        <v>134</v>
      </c>
      <c r="AS384" t="s">
        <v>134</v>
      </c>
      <c r="AT384" t="s">
        <v>134</v>
      </c>
      <c r="AU384" t="s">
        <v>134</v>
      </c>
      <c r="AV384" t="s">
        <v>134</v>
      </c>
      <c r="AW384" t="s">
        <v>134</v>
      </c>
      <c r="AX384" t="s">
        <v>134</v>
      </c>
      <c r="AY384" t="s">
        <v>134</v>
      </c>
      <c r="AZ384" t="s">
        <v>134</v>
      </c>
      <c r="BA384" t="s">
        <v>134</v>
      </c>
      <c r="BB384" t="s">
        <v>134</v>
      </c>
      <c r="BC384" t="s">
        <v>134</v>
      </c>
      <c r="BD384" t="s">
        <v>134</v>
      </c>
      <c r="BE384" t="s">
        <v>134</v>
      </c>
      <c r="BF384">
        <v>8.9499999999999996E-2</v>
      </c>
      <c r="BG384">
        <v>-8.5240000000000009</v>
      </c>
      <c r="BH384">
        <v>-12.7342</v>
      </c>
      <c r="BI384">
        <v>-45.8797</v>
      </c>
      <c r="BJ384">
        <v>-45.772599999999997</v>
      </c>
      <c r="BK384" t="s">
        <v>134</v>
      </c>
      <c r="BL384" t="s">
        <v>134</v>
      </c>
      <c r="BM384" t="s">
        <v>134</v>
      </c>
      <c r="BN384" t="s">
        <v>134</v>
      </c>
      <c r="BO384" t="s">
        <v>134</v>
      </c>
      <c r="BP384" t="s">
        <v>134</v>
      </c>
      <c r="BQ384" t="s">
        <v>134</v>
      </c>
      <c r="BR384" t="s">
        <v>134</v>
      </c>
      <c r="BS384" t="s">
        <v>134</v>
      </c>
      <c r="BT384" t="s">
        <v>134</v>
      </c>
      <c r="BU384" t="s">
        <v>134</v>
      </c>
      <c r="BV384" t="s">
        <v>134</v>
      </c>
      <c r="BW384" t="s">
        <v>134</v>
      </c>
      <c r="BX384" t="s">
        <v>134</v>
      </c>
      <c r="BY384" t="s">
        <v>134</v>
      </c>
      <c r="BZ384" t="s">
        <v>134</v>
      </c>
      <c r="CA384" t="s">
        <v>134</v>
      </c>
      <c r="CB384" t="s">
        <v>134</v>
      </c>
      <c r="CC384" t="s">
        <v>134</v>
      </c>
      <c r="CD384" t="s">
        <v>134</v>
      </c>
      <c r="CE384" t="s">
        <v>134</v>
      </c>
      <c r="CF384">
        <v>11.731199999999999</v>
      </c>
      <c r="CG384" t="s">
        <v>134</v>
      </c>
      <c r="CH384" t="s">
        <v>134</v>
      </c>
      <c r="CI384" t="s">
        <v>134</v>
      </c>
      <c r="CJ384" t="s">
        <v>134</v>
      </c>
      <c r="CK384" t="s">
        <v>134</v>
      </c>
      <c r="CL384" t="s">
        <v>134</v>
      </c>
      <c r="CM384" t="s">
        <v>134</v>
      </c>
      <c r="CN384" t="s">
        <v>134</v>
      </c>
      <c r="CO384" t="s">
        <v>134</v>
      </c>
      <c r="CP384">
        <v>7279.2</v>
      </c>
      <c r="CQ384" t="s">
        <v>134</v>
      </c>
      <c r="CR384">
        <v>5086.2</v>
      </c>
      <c r="CS384" t="s">
        <v>134</v>
      </c>
      <c r="CT384" t="s">
        <v>134</v>
      </c>
      <c r="CU384" t="s">
        <v>134</v>
      </c>
      <c r="CV384" t="s">
        <v>134</v>
      </c>
      <c r="CW384" t="s">
        <v>134</v>
      </c>
      <c r="CX384" t="s">
        <v>134</v>
      </c>
      <c r="CY384" t="s">
        <v>134</v>
      </c>
      <c r="CZ384" t="s">
        <v>134</v>
      </c>
      <c r="DA384" t="s">
        <v>134</v>
      </c>
      <c r="DB384" t="s">
        <v>134</v>
      </c>
      <c r="DC384" t="s">
        <v>134</v>
      </c>
      <c r="DD384" t="s">
        <v>134</v>
      </c>
      <c r="DE384" t="s">
        <v>134</v>
      </c>
      <c r="DF384" t="s">
        <v>134</v>
      </c>
      <c r="DG384" t="s">
        <v>134</v>
      </c>
      <c r="DH384" t="s">
        <v>134</v>
      </c>
      <c r="DI384" t="s">
        <v>134</v>
      </c>
    </row>
    <row r="385" spans="4:113" x14ac:dyDescent="0.3">
      <c r="E385" t="s">
        <v>5</v>
      </c>
      <c r="F385">
        <v>26.510200000000001</v>
      </c>
      <c r="G385">
        <v>5.1714000000000002</v>
      </c>
      <c r="H385">
        <v>15.9922</v>
      </c>
      <c r="I385">
        <v>16.148700000000002</v>
      </c>
      <c r="J385">
        <v>9.2006999999999994</v>
      </c>
      <c r="K385">
        <v>6.21</v>
      </c>
      <c r="L385">
        <v>7.5399999999999995E-2</v>
      </c>
      <c r="M385">
        <v>3.2441</v>
      </c>
      <c r="N385">
        <v>1.8751</v>
      </c>
      <c r="O385">
        <v>1.3183</v>
      </c>
      <c r="P385">
        <v>1.3183</v>
      </c>
      <c r="Q385">
        <v>42.225700000000003</v>
      </c>
      <c r="R385" t="s">
        <v>134</v>
      </c>
      <c r="S385" t="s">
        <v>134</v>
      </c>
      <c r="T385">
        <v>10.555400000000001</v>
      </c>
      <c r="U385">
        <v>4.9759000000000002</v>
      </c>
      <c r="V385">
        <v>0.11600000000000001</v>
      </c>
      <c r="W385">
        <v>-25.202300000000001</v>
      </c>
      <c r="X385">
        <v>-25.630299999999998</v>
      </c>
      <c r="Y385" t="s">
        <v>134</v>
      </c>
      <c r="Z385">
        <v>2.3220999999999998</v>
      </c>
      <c r="AA385">
        <v>23.816099999999999</v>
      </c>
      <c r="AB385">
        <v>13.567399999999999</v>
      </c>
      <c r="AC385">
        <v>14.2431</v>
      </c>
      <c r="AD385">
        <v>5.5664999999999996</v>
      </c>
      <c r="AE385">
        <v>512.05340000000001</v>
      </c>
      <c r="AF385">
        <v>20.082000000000001</v>
      </c>
      <c r="AG385">
        <v>-26.5306</v>
      </c>
      <c r="AH385">
        <v>26.054099999999998</v>
      </c>
      <c r="AI385">
        <v>14.668699999999999</v>
      </c>
      <c r="AJ385">
        <v>21.250599999999999</v>
      </c>
      <c r="AK385">
        <v>14.934100000000001</v>
      </c>
      <c r="AL385" t="s">
        <v>134</v>
      </c>
      <c r="AM385">
        <v>37.913499999999999</v>
      </c>
      <c r="AN385">
        <v>42.060099999999998</v>
      </c>
      <c r="AO385">
        <v>49.956000000000003</v>
      </c>
      <c r="AP385">
        <v>47.4983</v>
      </c>
      <c r="AQ385">
        <v>44.598300000000002</v>
      </c>
      <c r="AR385" t="s">
        <v>134</v>
      </c>
      <c r="AS385" t="s">
        <v>134</v>
      </c>
      <c r="AT385" t="s">
        <v>134</v>
      </c>
      <c r="AU385" t="s">
        <v>134</v>
      </c>
      <c r="AV385" t="s">
        <v>134</v>
      </c>
      <c r="AW385" t="s">
        <v>134</v>
      </c>
      <c r="AX385" t="s">
        <v>134</v>
      </c>
      <c r="AY385" t="s">
        <v>134</v>
      </c>
      <c r="AZ385" t="s">
        <v>134</v>
      </c>
      <c r="BA385" t="s">
        <v>134</v>
      </c>
      <c r="BB385" t="s">
        <v>134</v>
      </c>
      <c r="BC385" t="s">
        <v>134</v>
      </c>
      <c r="BD385" t="s">
        <v>134</v>
      </c>
      <c r="BE385" t="s">
        <v>134</v>
      </c>
      <c r="BF385">
        <v>-4.5118999999999998</v>
      </c>
      <c r="BG385">
        <v>0.1333</v>
      </c>
      <c r="BH385">
        <v>-3.2755000000000001</v>
      </c>
      <c r="BI385">
        <v>-36.2121</v>
      </c>
      <c r="BJ385">
        <v>-36.559100000000001</v>
      </c>
      <c r="BK385" t="s">
        <v>134</v>
      </c>
      <c r="BL385" t="s">
        <v>134</v>
      </c>
      <c r="BM385" t="s">
        <v>134</v>
      </c>
      <c r="BN385" t="s">
        <v>134</v>
      </c>
      <c r="BO385" t="s">
        <v>134</v>
      </c>
      <c r="BP385" t="s">
        <v>134</v>
      </c>
      <c r="BQ385" t="s">
        <v>134</v>
      </c>
      <c r="BR385" t="s">
        <v>134</v>
      </c>
      <c r="BS385" t="s">
        <v>134</v>
      </c>
      <c r="BT385" t="s">
        <v>134</v>
      </c>
      <c r="BU385" t="s">
        <v>134</v>
      </c>
      <c r="BV385" t="s">
        <v>134</v>
      </c>
      <c r="BW385" t="s">
        <v>134</v>
      </c>
      <c r="BX385" t="s">
        <v>134</v>
      </c>
      <c r="BY385">
        <v>58947.3</v>
      </c>
      <c r="BZ385">
        <v>11322.3</v>
      </c>
      <c r="CA385">
        <v>47625</v>
      </c>
      <c r="CB385">
        <v>1.9525999999999999</v>
      </c>
      <c r="CC385">
        <v>1.599</v>
      </c>
      <c r="CD385">
        <v>2.7643</v>
      </c>
      <c r="CE385">
        <v>2.2637999999999998</v>
      </c>
      <c r="CF385">
        <v>7.6235999999999997</v>
      </c>
      <c r="CG385">
        <v>19.6143</v>
      </c>
      <c r="CH385">
        <v>121.6979</v>
      </c>
      <c r="CI385">
        <v>48.556800000000003</v>
      </c>
      <c r="CJ385">
        <v>28.1525</v>
      </c>
      <c r="CK385">
        <v>150.6301</v>
      </c>
      <c r="CL385">
        <v>60.1006</v>
      </c>
      <c r="CM385">
        <v>34.845399999999998</v>
      </c>
      <c r="CN385">
        <v>123.35420000000001</v>
      </c>
      <c r="CO385">
        <v>55.228099999999998</v>
      </c>
      <c r="CP385">
        <v>7288.9</v>
      </c>
      <c r="CQ385" t="s">
        <v>134</v>
      </c>
      <c r="CR385">
        <v>4919.6000000000004</v>
      </c>
      <c r="CS385">
        <v>0.13850000000000001</v>
      </c>
      <c r="CT385">
        <v>1.165</v>
      </c>
      <c r="CU385">
        <v>0.52959999999999996</v>
      </c>
      <c r="CV385">
        <v>4.3421000000000003</v>
      </c>
      <c r="CW385">
        <v>10.877000000000001</v>
      </c>
      <c r="CX385">
        <v>33.557099999999998</v>
      </c>
      <c r="CY385">
        <v>5.7858999999999998</v>
      </c>
      <c r="CZ385">
        <v>63.084800000000001</v>
      </c>
      <c r="DA385">
        <v>5.7736000000000001</v>
      </c>
      <c r="DB385">
        <v>63.218699999999998</v>
      </c>
      <c r="DC385">
        <v>33.423200000000001</v>
      </c>
      <c r="DD385">
        <v>96.641900000000007</v>
      </c>
      <c r="DE385">
        <v>40612.300000000003</v>
      </c>
      <c r="DF385" t="s">
        <v>134</v>
      </c>
      <c r="DG385" t="s">
        <v>134</v>
      </c>
      <c r="DH385" t="s">
        <v>134</v>
      </c>
      <c r="DI385" t="s">
        <v>134</v>
      </c>
    </row>
    <row r="386" spans="4:113" x14ac:dyDescent="0.3">
      <c r="E386" t="s">
        <v>6</v>
      </c>
      <c r="F386" t="s">
        <v>134</v>
      </c>
      <c r="G386" t="s">
        <v>134</v>
      </c>
      <c r="H386" t="s">
        <v>134</v>
      </c>
      <c r="I386" t="s">
        <v>134</v>
      </c>
      <c r="J386">
        <v>9.5076000000000001</v>
      </c>
      <c r="K386">
        <v>6.8960999999999997</v>
      </c>
      <c r="L386">
        <v>6.4330999999999996</v>
      </c>
      <c r="M386">
        <v>5.8856999999999999</v>
      </c>
      <c r="N386">
        <v>4.4789000000000003</v>
      </c>
      <c r="O386">
        <v>2.8403999999999998</v>
      </c>
      <c r="P386">
        <v>2.8403999999999998</v>
      </c>
      <c r="Q386">
        <v>23.934999999999999</v>
      </c>
      <c r="R386" t="s">
        <v>134</v>
      </c>
      <c r="S386" t="s">
        <v>134</v>
      </c>
      <c r="T386">
        <v>13.434799999999999</v>
      </c>
      <c r="U386">
        <v>11.022500000000001</v>
      </c>
      <c r="V386">
        <v>12.4208</v>
      </c>
      <c r="W386">
        <v>1.847</v>
      </c>
      <c r="X386">
        <v>1.7667999999999999</v>
      </c>
      <c r="Y386" t="s">
        <v>134</v>
      </c>
      <c r="Z386" t="s">
        <v>134</v>
      </c>
      <c r="AA386" t="s">
        <v>134</v>
      </c>
      <c r="AB386" t="s">
        <v>134</v>
      </c>
      <c r="AC386" t="s">
        <v>134</v>
      </c>
      <c r="AD386" t="s">
        <v>134</v>
      </c>
      <c r="AE386" t="s">
        <v>134</v>
      </c>
      <c r="AF386" t="s">
        <v>134</v>
      </c>
      <c r="AG386" t="s">
        <v>134</v>
      </c>
      <c r="AH386" t="s">
        <v>134</v>
      </c>
      <c r="AI386" t="s">
        <v>134</v>
      </c>
      <c r="AJ386" t="s">
        <v>134</v>
      </c>
      <c r="AK386" t="s">
        <v>134</v>
      </c>
      <c r="AL386" t="s">
        <v>134</v>
      </c>
      <c r="AM386">
        <v>38.091900000000003</v>
      </c>
      <c r="AN386">
        <v>38.239100000000001</v>
      </c>
      <c r="AO386">
        <v>42.6982</v>
      </c>
      <c r="AP386">
        <v>27.692499999999999</v>
      </c>
      <c r="AQ386">
        <v>31.467400000000001</v>
      </c>
      <c r="AR386" t="s">
        <v>134</v>
      </c>
      <c r="AS386" t="s">
        <v>134</v>
      </c>
      <c r="AT386" t="s">
        <v>134</v>
      </c>
      <c r="AU386" t="s">
        <v>134</v>
      </c>
      <c r="AV386" t="s">
        <v>134</v>
      </c>
      <c r="AW386" t="s">
        <v>134</v>
      </c>
      <c r="AX386" t="s">
        <v>134</v>
      </c>
      <c r="AY386" t="s">
        <v>134</v>
      </c>
      <c r="AZ386" t="s">
        <v>134</v>
      </c>
      <c r="BA386" t="s">
        <v>134</v>
      </c>
      <c r="BB386" t="s">
        <v>134</v>
      </c>
      <c r="BC386" t="s">
        <v>134</v>
      </c>
      <c r="BD386" t="s">
        <v>134</v>
      </c>
      <c r="BE386" t="s">
        <v>134</v>
      </c>
      <c r="BF386">
        <v>12.9727</v>
      </c>
      <c r="BG386">
        <v>16.740500000000001</v>
      </c>
      <c r="BH386">
        <v>25.455300000000001</v>
      </c>
      <c r="BI386">
        <v>143.40289999999999</v>
      </c>
      <c r="BJ386">
        <v>144.06780000000001</v>
      </c>
      <c r="BK386" t="s">
        <v>134</v>
      </c>
      <c r="BL386" t="s">
        <v>134</v>
      </c>
      <c r="BM386" t="s">
        <v>134</v>
      </c>
      <c r="BN386" t="s">
        <v>134</v>
      </c>
      <c r="BO386" t="s">
        <v>134</v>
      </c>
      <c r="BP386" t="s">
        <v>134</v>
      </c>
      <c r="BQ386" t="s">
        <v>134</v>
      </c>
      <c r="BR386" t="s">
        <v>134</v>
      </c>
      <c r="BS386" t="s">
        <v>134</v>
      </c>
      <c r="BT386" t="s">
        <v>134</v>
      </c>
      <c r="BU386" t="s">
        <v>134</v>
      </c>
      <c r="BV386" t="s">
        <v>134</v>
      </c>
      <c r="BW386" t="s">
        <v>134</v>
      </c>
      <c r="BX386" t="s">
        <v>134</v>
      </c>
      <c r="BY386" t="s">
        <v>134</v>
      </c>
      <c r="BZ386" t="s">
        <v>134</v>
      </c>
      <c r="CA386" t="s">
        <v>134</v>
      </c>
      <c r="CB386" t="s">
        <v>134</v>
      </c>
      <c r="CC386" t="s">
        <v>134</v>
      </c>
      <c r="CD386" t="s">
        <v>134</v>
      </c>
      <c r="CE386" t="s">
        <v>134</v>
      </c>
      <c r="CF386">
        <v>11.3758</v>
      </c>
      <c r="CG386" t="s">
        <v>134</v>
      </c>
      <c r="CH386" t="s">
        <v>134</v>
      </c>
      <c r="CI386" t="s">
        <v>134</v>
      </c>
      <c r="CJ386" t="s">
        <v>134</v>
      </c>
      <c r="CK386" t="s">
        <v>134</v>
      </c>
      <c r="CL386" t="s">
        <v>134</v>
      </c>
      <c r="CM386" t="s">
        <v>134</v>
      </c>
      <c r="CN386" t="s">
        <v>134</v>
      </c>
      <c r="CO386" t="s">
        <v>134</v>
      </c>
      <c r="CP386">
        <v>8509.1</v>
      </c>
      <c r="CQ386" t="s">
        <v>134</v>
      </c>
      <c r="CR386">
        <v>6171.9</v>
      </c>
      <c r="CS386" t="s">
        <v>134</v>
      </c>
      <c r="CT386" t="s">
        <v>134</v>
      </c>
      <c r="CU386" t="s">
        <v>134</v>
      </c>
      <c r="CV386" t="s">
        <v>134</v>
      </c>
      <c r="CW386" t="s">
        <v>134</v>
      </c>
      <c r="CX386" t="s">
        <v>134</v>
      </c>
      <c r="CY386" t="s">
        <v>134</v>
      </c>
      <c r="CZ386" t="s">
        <v>134</v>
      </c>
      <c r="DA386" t="s">
        <v>134</v>
      </c>
      <c r="DB386" t="s">
        <v>134</v>
      </c>
      <c r="DC386" t="s">
        <v>134</v>
      </c>
      <c r="DD386" t="s">
        <v>134</v>
      </c>
      <c r="DE386" t="s">
        <v>134</v>
      </c>
      <c r="DF386" t="s">
        <v>134</v>
      </c>
      <c r="DG386" t="s">
        <v>134</v>
      </c>
      <c r="DH386" t="s">
        <v>134</v>
      </c>
      <c r="DI386" t="s">
        <v>134</v>
      </c>
    </row>
    <row r="387" spans="4:113" x14ac:dyDescent="0.3">
      <c r="E387" t="s">
        <v>7</v>
      </c>
      <c r="F387">
        <v>27.454000000000001</v>
      </c>
      <c r="G387">
        <v>5.2378</v>
      </c>
      <c r="H387">
        <v>16.810400000000001</v>
      </c>
      <c r="I387">
        <v>17.392800000000001</v>
      </c>
      <c r="J387">
        <v>9.7219999999999995</v>
      </c>
      <c r="K387">
        <v>7.2473999999999998</v>
      </c>
      <c r="L387">
        <v>8.98</v>
      </c>
      <c r="M387">
        <v>6.7427000000000001</v>
      </c>
      <c r="N387">
        <v>5.2567000000000004</v>
      </c>
      <c r="O387">
        <v>3.6484000000000001</v>
      </c>
      <c r="P387">
        <v>3.6484000000000001</v>
      </c>
      <c r="Q387">
        <v>22.058700000000002</v>
      </c>
      <c r="R387" t="s">
        <v>134</v>
      </c>
      <c r="S387" t="s">
        <v>134</v>
      </c>
      <c r="T387">
        <v>12.4618</v>
      </c>
      <c r="U387">
        <v>13.89</v>
      </c>
      <c r="V387">
        <v>15.9152</v>
      </c>
      <c r="W387">
        <v>12.4186</v>
      </c>
      <c r="X387">
        <v>12.5364</v>
      </c>
      <c r="Y387" t="s">
        <v>134</v>
      </c>
      <c r="Z387">
        <v>-6.9169999999999998</v>
      </c>
      <c r="AA387">
        <v>14.252599999999999</v>
      </c>
      <c r="AB387">
        <v>6.9211</v>
      </c>
      <c r="AC387">
        <v>14.376099999999999</v>
      </c>
      <c r="AD387">
        <v>-21.762899999999998</v>
      </c>
      <c r="AE387">
        <v>15383.606599999999</v>
      </c>
      <c r="AF387">
        <v>18.877199999999998</v>
      </c>
      <c r="AG387">
        <v>-43.721400000000003</v>
      </c>
      <c r="AH387">
        <v>6.0106999999999999</v>
      </c>
      <c r="AI387">
        <v>15.713900000000001</v>
      </c>
      <c r="AJ387">
        <v>10.2461</v>
      </c>
      <c r="AK387">
        <v>12.3171</v>
      </c>
      <c r="AL387" t="s">
        <v>134</v>
      </c>
      <c r="AM387">
        <v>37.049799999999998</v>
      </c>
      <c r="AN387">
        <v>29.4497</v>
      </c>
      <c r="AO387">
        <v>31.528300000000002</v>
      </c>
      <c r="AP387">
        <v>19.110299999999999</v>
      </c>
      <c r="AQ387">
        <v>21.574999999999999</v>
      </c>
      <c r="AR387" t="s">
        <v>134</v>
      </c>
      <c r="AS387">
        <v>31.426100000000002</v>
      </c>
      <c r="AT387">
        <v>40.903700000000001</v>
      </c>
      <c r="AU387">
        <v>33.852899999999998</v>
      </c>
      <c r="AV387">
        <v>35.9636</v>
      </c>
      <c r="AW387">
        <v>40.152299999999997</v>
      </c>
      <c r="AX387">
        <v>94.17</v>
      </c>
      <c r="AY387">
        <v>34.807499999999997</v>
      </c>
      <c r="AZ387">
        <v>17.263100000000001</v>
      </c>
      <c r="BA387">
        <v>44.3752</v>
      </c>
      <c r="BB387">
        <v>25.9695</v>
      </c>
      <c r="BC387">
        <v>34.0745</v>
      </c>
      <c r="BD387">
        <v>22.216699999999999</v>
      </c>
      <c r="BE387" t="s">
        <v>134</v>
      </c>
      <c r="BF387">
        <v>4.1582999999999997</v>
      </c>
      <c r="BG387">
        <v>6.5072000000000001</v>
      </c>
      <c r="BH387">
        <v>9.4639000000000006</v>
      </c>
      <c r="BI387">
        <v>33.786999999999999</v>
      </c>
      <c r="BJ387">
        <v>34.027799999999999</v>
      </c>
      <c r="BK387" t="s">
        <v>134</v>
      </c>
      <c r="BL387" t="s">
        <v>134</v>
      </c>
      <c r="BM387" t="s">
        <v>134</v>
      </c>
      <c r="BN387" t="s">
        <v>134</v>
      </c>
      <c r="BO387" t="s">
        <v>134</v>
      </c>
      <c r="BP387" t="s">
        <v>134</v>
      </c>
      <c r="BQ387" t="s">
        <v>134</v>
      </c>
      <c r="BR387" t="s">
        <v>134</v>
      </c>
      <c r="BS387" t="s">
        <v>134</v>
      </c>
      <c r="BT387" t="s">
        <v>134</v>
      </c>
      <c r="BU387" t="s">
        <v>134</v>
      </c>
      <c r="BV387" t="s">
        <v>134</v>
      </c>
      <c r="BW387" t="s">
        <v>134</v>
      </c>
      <c r="BX387" t="s">
        <v>134</v>
      </c>
      <c r="BY387">
        <v>51306</v>
      </c>
      <c r="BZ387">
        <v>10447</v>
      </c>
      <c r="CA387">
        <v>40859</v>
      </c>
      <c r="CB387">
        <v>1.5963000000000001</v>
      </c>
      <c r="CC387">
        <v>1.0077</v>
      </c>
      <c r="CD387">
        <v>2.2370999999999999</v>
      </c>
      <c r="CE387">
        <v>1.4121999999999999</v>
      </c>
      <c r="CF387">
        <v>10.624600000000001</v>
      </c>
      <c r="CG387">
        <v>18.916599999999999</v>
      </c>
      <c r="CH387">
        <v>94.188599999999994</v>
      </c>
      <c r="CI387">
        <v>43.152099999999997</v>
      </c>
      <c r="CJ387">
        <v>23.253900000000002</v>
      </c>
      <c r="CK387">
        <v>118.2711</v>
      </c>
      <c r="CL387">
        <v>54.185400000000001</v>
      </c>
      <c r="CM387">
        <v>29.1996</v>
      </c>
      <c r="CN387">
        <v>74.658799999999999</v>
      </c>
      <c r="CO387">
        <v>42.7455</v>
      </c>
      <c r="CP387">
        <v>9062.7999999999993</v>
      </c>
      <c r="CQ387" t="s">
        <v>134</v>
      </c>
      <c r="CR387">
        <v>6756</v>
      </c>
      <c r="CS387">
        <v>0.2233</v>
      </c>
      <c r="CT387">
        <v>1.1114999999999999</v>
      </c>
      <c r="CU387">
        <v>0.57899999999999996</v>
      </c>
      <c r="CV387">
        <v>4.7413999999999996</v>
      </c>
      <c r="CW387">
        <v>11.032</v>
      </c>
      <c r="CX387">
        <v>33.085700000000003</v>
      </c>
      <c r="CY387">
        <v>6.3719000000000001</v>
      </c>
      <c r="CZ387">
        <v>57.282499999999999</v>
      </c>
      <c r="DA387">
        <v>5.1078000000000001</v>
      </c>
      <c r="DB387">
        <v>71.459599999999995</v>
      </c>
      <c r="DC387">
        <v>18.9086</v>
      </c>
      <c r="DD387">
        <v>90.368200000000002</v>
      </c>
      <c r="DE387">
        <v>37500</v>
      </c>
      <c r="DF387">
        <v>11534</v>
      </c>
      <c r="DG387">
        <v>18927</v>
      </c>
      <c r="DH387">
        <v>5462</v>
      </c>
      <c r="DI387">
        <v>1577</v>
      </c>
    </row>
    <row r="388" spans="4:113" x14ac:dyDescent="0.3">
      <c r="D388" t="s">
        <v>9</v>
      </c>
      <c r="E388" t="s">
        <v>3</v>
      </c>
      <c r="F388">
        <v>33.6539</v>
      </c>
      <c r="G388">
        <v>6.6521999999999997</v>
      </c>
      <c r="H388">
        <v>17.5307</v>
      </c>
      <c r="I388">
        <v>18.916</v>
      </c>
      <c r="J388">
        <v>10.0138</v>
      </c>
      <c r="K388">
        <v>7.0557999999999996</v>
      </c>
      <c r="L388">
        <v>11.3565</v>
      </c>
      <c r="M388">
        <v>6.0940000000000003</v>
      </c>
      <c r="N388">
        <v>4.5735000000000001</v>
      </c>
      <c r="O388">
        <v>3.3172999999999999</v>
      </c>
      <c r="P388">
        <v>3.3172999999999999</v>
      </c>
      <c r="Q388">
        <v>24.942299999999999</v>
      </c>
      <c r="R388">
        <v>25.965299999999999</v>
      </c>
      <c r="S388">
        <v>24.915600000000001</v>
      </c>
      <c r="T388">
        <v>10.7348</v>
      </c>
      <c r="U388">
        <v>19.887699999999999</v>
      </c>
      <c r="V388">
        <v>18.4876</v>
      </c>
      <c r="W388">
        <v>47.675400000000003</v>
      </c>
      <c r="X388">
        <v>47.699399999999997</v>
      </c>
      <c r="Y388">
        <v>25</v>
      </c>
      <c r="Z388">
        <v>14.9682</v>
      </c>
      <c r="AA388">
        <v>20.088000000000001</v>
      </c>
      <c r="AB388">
        <v>24.549499999999998</v>
      </c>
      <c r="AC388">
        <v>17.9406</v>
      </c>
      <c r="AD388">
        <v>26.3748</v>
      </c>
      <c r="AE388">
        <v>43.557400000000001</v>
      </c>
      <c r="AF388">
        <v>14.459</v>
      </c>
      <c r="AG388">
        <v>27.539000000000001</v>
      </c>
      <c r="AH388">
        <v>23.469000000000001</v>
      </c>
      <c r="AI388">
        <v>31.090399999999999</v>
      </c>
      <c r="AJ388">
        <v>26.960699999999999</v>
      </c>
      <c r="AK388">
        <v>27.7333</v>
      </c>
      <c r="AL388">
        <v>-32.703499999999998</v>
      </c>
      <c r="AM388">
        <v>36.011000000000003</v>
      </c>
      <c r="AN388">
        <v>33.615400000000001</v>
      </c>
      <c r="AO388">
        <v>32.840299999999999</v>
      </c>
      <c r="AP388">
        <v>26.655100000000001</v>
      </c>
      <c r="AQ388">
        <v>26.584299999999999</v>
      </c>
      <c r="AR388">
        <v>25.1343</v>
      </c>
      <c r="AS388">
        <v>29.379100000000001</v>
      </c>
      <c r="AT388">
        <v>34.122100000000003</v>
      </c>
      <c r="AU388">
        <v>31.628599999999999</v>
      </c>
      <c r="AV388">
        <v>32.173400000000001</v>
      </c>
      <c r="AW388">
        <v>22.4148</v>
      </c>
      <c r="AX388">
        <v>33.9009</v>
      </c>
      <c r="AY388">
        <v>37.811999999999998</v>
      </c>
      <c r="AZ388">
        <v>17.315300000000001</v>
      </c>
      <c r="BA388">
        <v>38.109299999999998</v>
      </c>
      <c r="BB388">
        <v>25.3657</v>
      </c>
      <c r="BC388">
        <v>31.159600000000001</v>
      </c>
      <c r="BD388">
        <v>21.144100000000002</v>
      </c>
      <c r="BE388">
        <v>42.341000000000001</v>
      </c>
      <c r="BF388">
        <v>10.7348</v>
      </c>
      <c r="BG388">
        <v>19.887699999999999</v>
      </c>
      <c r="BH388">
        <v>18.4876</v>
      </c>
      <c r="BI388">
        <v>47.675400000000003</v>
      </c>
      <c r="BJ388">
        <v>47.699399999999997</v>
      </c>
      <c r="BK388">
        <v>25</v>
      </c>
      <c r="BL388">
        <v>14.9682</v>
      </c>
      <c r="BM388">
        <v>20.088000000000001</v>
      </c>
      <c r="BN388">
        <v>24.549499999999998</v>
      </c>
      <c r="BO388">
        <v>17.9406</v>
      </c>
      <c r="BP388">
        <v>26.3748</v>
      </c>
      <c r="BQ388">
        <v>43.557400000000001</v>
      </c>
      <c r="BR388">
        <v>14.459</v>
      </c>
      <c r="BS388">
        <v>27.539000000000001</v>
      </c>
      <c r="BT388">
        <v>23.469000000000001</v>
      </c>
      <c r="BU388">
        <v>31.090399999999999</v>
      </c>
      <c r="BV388">
        <v>26.960699999999999</v>
      </c>
      <c r="BW388">
        <v>27.7333</v>
      </c>
      <c r="BX388">
        <v>-32.703499999999998</v>
      </c>
      <c r="BY388">
        <v>63347</v>
      </c>
      <c r="BZ388">
        <v>13324</v>
      </c>
      <c r="CA388">
        <v>50023</v>
      </c>
      <c r="CB388">
        <v>1.6476</v>
      </c>
      <c r="CC388">
        <v>1.1449</v>
      </c>
      <c r="CD388">
        <v>2.3382999999999998</v>
      </c>
      <c r="CE388">
        <v>1.6248</v>
      </c>
      <c r="CF388">
        <v>22.603200000000001</v>
      </c>
      <c r="CG388">
        <v>20.487300000000001</v>
      </c>
      <c r="CH388">
        <v>87.9649</v>
      </c>
      <c r="CI388">
        <v>41.611600000000003</v>
      </c>
      <c r="CJ388">
        <v>24.1388</v>
      </c>
      <c r="CK388">
        <v>111.395</v>
      </c>
      <c r="CL388">
        <v>52.6952</v>
      </c>
      <c r="CM388">
        <v>30.568300000000001</v>
      </c>
      <c r="CN388">
        <v>77.405199999999994</v>
      </c>
      <c r="CO388">
        <v>43.631900000000002</v>
      </c>
      <c r="CP388">
        <v>38448</v>
      </c>
      <c r="CQ388">
        <v>15996</v>
      </c>
      <c r="CR388">
        <v>27091</v>
      </c>
      <c r="CS388">
        <v>0.20530000000000001</v>
      </c>
      <c r="CT388">
        <v>1.1439999999999999</v>
      </c>
      <c r="CU388">
        <v>0.57330000000000003</v>
      </c>
      <c r="CV388">
        <v>4.1040000000000001</v>
      </c>
      <c r="CW388">
        <v>11.8504</v>
      </c>
      <c r="CX388">
        <v>30.885100000000001</v>
      </c>
      <c r="CY388">
        <v>5.6737000000000002</v>
      </c>
      <c r="CZ388">
        <v>64.508099999999999</v>
      </c>
      <c r="DA388">
        <v>4.6334</v>
      </c>
      <c r="DB388">
        <v>78.991500000000002</v>
      </c>
      <c r="DC388">
        <v>16.401700000000002</v>
      </c>
      <c r="DD388">
        <v>95.393199999999993</v>
      </c>
      <c r="DE388">
        <v>45033</v>
      </c>
      <c r="DF388">
        <v>13811</v>
      </c>
      <c r="DG388">
        <v>24102</v>
      </c>
      <c r="DH388">
        <v>5691</v>
      </c>
      <c r="DI388">
        <v>1429</v>
      </c>
    </row>
    <row r="389" spans="4:113" x14ac:dyDescent="0.3">
      <c r="E389" t="s">
        <v>4</v>
      </c>
      <c r="F389" t="s">
        <v>134</v>
      </c>
      <c r="G389" t="s">
        <v>134</v>
      </c>
      <c r="H389" t="s">
        <v>134</v>
      </c>
      <c r="I389" t="s">
        <v>134</v>
      </c>
      <c r="J389">
        <v>9.0616000000000003</v>
      </c>
      <c r="K389">
        <v>6.5255999999999998</v>
      </c>
      <c r="L389">
        <v>9.9562000000000008</v>
      </c>
      <c r="M389">
        <v>5.7320000000000002</v>
      </c>
      <c r="N389">
        <v>3.9607999999999999</v>
      </c>
      <c r="O389">
        <v>2.8726000000000003</v>
      </c>
      <c r="P389">
        <v>2.8726000000000003</v>
      </c>
      <c r="Q389">
        <v>30.887599999999999</v>
      </c>
      <c r="R389" t="s">
        <v>134</v>
      </c>
      <c r="S389" t="s">
        <v>134</v>
      </c>
      <c r="T389">
        <v>11.5144</v>
      </c>
      <c r="U389">
        <v>15.1706</v>
      </c>
      <c r="V389">
        <v>18.6996</v>
      </c>
      <c r="W389">
        <v>62.316000000000003</v>
      </c>
      <c r="X389">
        <v>61.828000000000003</v>
      </c>
      <c r="Y389" t="s">
        <v>134</v>
      </c>
      <c r="Z389" t="s">
        <v>134</v>
      </c>
      <c r="AA389" t="s">
        <v>134</v>
      </c>
      <c r="AB389" t="s">
        <v>134</v>
      </c>
      <c r="AC389" t="s">
        <v>134</v>
      </c>
      <c r="AD389" t="s">
        <v>134</v>
      </c>
      <c r="AE389" t="s">
        <v>134</v>
      </c>
      <c r="AF389" t="s">
        <v>134</v>
      </c>
      <c r="AG389" t="s">
        <v>134</v>
      </c>
      <c r="AH389" t="s">
        <v>134</v>
      </c>
      <c r="AI389" t="s">
        <v>134</v>
      </c>
      <c r="AJ389" t="s">
        <v>134</v>
      </c>
      <c r="AK389" t="s">
        <v>134</v>
      </c>
      <c r="AL389" t="s">
        <v>134</v>
      </c>
      <c r="AM389">
        <v>37.849699999999999</v>
      </c>
      <c r="AN389">
        <v>34.575600000000001</v>
      </c>
      <c r="AO389">
        <v>35.595399999999998</v>
      </c>
      <c r="AP389">
        <v>34.871899999999997</v>
      </c>
      <c r="AQ389">
        <v>36.105699999999999</v>
      </c>
      <c r="AR389" t="s">
        <v>134</v>
      </c>
      <c r="AS389" t="s">
        <v>134</v>
      </c>
      <c r="AT389" t="s">
        <v>134</v>
      </c>
      <c r="AU389" t="s">
        <v>134</v>
      </c>
      <c r="AV389" t="s">
        <v>134</v>
      </c>
      <c r="AW389" t="s">
        <v>134</v>
      </c>
      <c r="AX389" t="s">
        <v>134</v>
      </c>
      <c r="AY389" t="s">
        <v>134</v>
      </c>
      <c r="AZ389" t="s">
        <v>134</v>
      </c>
      <c r="BA389" t="s">
        <v>134</v>
      </c>
      <c r="BB389" t="s">
        <v>134</v>
      </c>
      <c r="BC389" t="s">
        <v>134</v>
      </c>
      <c r="BD389" t="s">
        <v>134</v>
      </c>
      <c r="BE389" t="s">
        <v>134</v>
      </c>
      <c r="BF389">
        <v>-0.75370000000000004</v>
      </c>
      <c r="BG389">
        <v>-7.4954999999999998</v>
      </c>
      <c r="BH389">
        <v>-10.638</v>
      </c>
      <c r="BI389">
        <v>-21.8583</v>
      </c>
      <c r="BJ389">
        <v>-22.020700000000001</v>
      </c>
      <c r="BK389" t="s">
        <v>134</v>
      </c>
      <c r="BL389" t="s">
        <v>134</v>
      </c>
      <c r="BM389" t="s">
        <v>134</v>
      </c>
      <c r="BN389" t="s">
        <v>134</v>
      </c>
      <c r="BO389" t="s">
        <v>134</v>
      </c>
      <c r="BP389" t="s">
        <v>134</v>
      </c>
      <c r="BQ389" t="s">
        <v>134</v>
      </c>
      <c r="BR389" t="s">
        <v>134</v>
      </c>
      <c r="BS389" t="s">
        <v>134</v>
      </c>
      <c r="BT389" t="s">
        <v>134</v>
      </c>
      <c r="BU389" t="s">
        <v>134</v>
      </c>
      <c r="BV389" t="s">
        <v>134</v>
      </c>
      <c r="BW389" t="s">
        <v>134</v>
      </c>
      <c r="BX389" t="s">
        <v>134</v>
      </c>
      <c r="BY389" t="s">
        <v>134</v>
      </c>
      <c r="BZ389" t="s">
        <v>134</v>
      </c>
      <c r="CA389" t="s">
        <v>134</v>
      </c>
      <c r="CB389" t="s">
        <v>134</v>
      </c>
      <c r="CC389" t="s">
        <v>134</v>
      </c>
      <c r="CD389" t="s">
        <v>134</v>
      </c>
      <c r="CE389" t="s">
        <v>134</v>
      </c>
      <c r="CF389">
        <v>12.2727</v>
      </c>
      <c r="CG389" t="s">
        <v>134</v>
      </c>
      <c r="CH389" t="s">
        <v>134</v>
      </c>
      <c r="CI389" t="s">
        <v>134</v>
      </c>
      <c r="CJ389" t="s">
        <v>134</v>
      </c>
      <c r="CK389" t="s">
        <v>134</v>
      </c>
      <c r="CL389" t="s">
        <v>134</v>
      </c>
      <c r="CM389" t="s">
        <v>134</v>
      </c>
      <c r="CN389" t="s">
        <v>134</v>
      </c>
      <c r="CO389" t="s">
        <v>134</v>
      </c>
      <c r="CP389">
        <v>8383.5</v>
      </c>
      <c r="CQ389" t="s">
        <v>134</v>
      </c>
      <c r="CR389">
        <v>6037.3</v>
      </c>
      <c r="CS389" t="s">
        <v>134</v>
      </c>
      <c r="CT389" t="s">
        <v>134</v>
      </c>
      <c r="CU389" t="s">
        <v>134</v>
      </c>
      <c r="CV389" t="s">
        <v>134</v>
      </c>
      <c r="CW389" t="s">
        <v>134</v>
      </c>
      <c r="CX389" t="s">
        <v>134</v>
      </c>
      <c r="CY389" t="s">
        <v>134</v>
      </c>
      <c r="CZ389" t="s">
        <v>134</v>
      </c>
      <c r="DA389" t="s">
        <v>134</v>
      </c>
      <c r="DB389" t="s">
        <v>134</v>
      </c>
      <c r="DC389" t="s">
        <v>134</v>
      </c>
      <c r="DD389" t="s">
        <v>134</v>
      </c>
      <c r="DE389" t="s">
        <v>134</v>
      </c>
      <c r="DF389" t="s">
        <v>134</v>
      </c>
      <c r="DG389" t="s">
        <v>134</v>
      </c>
      <c r="DH389" t="s">
        <v>134</v>
      </c>
      <c r="DI389" t="s">
        <v>134</v>
      </c>
    </row>
    <row r="390" spans="4:113" x14ac:dyDescent="0.3">
      <c r="E390" t="s">
        <v>5</v>
      </c>
      <c r="F390">
        <v>31.9328</v>
      </c>
      <c r="G390">
        <v>6.4217000000000004</v>
      </c>
      <c r="H390">
        <v>18.2666</v>
      </c>
      <c r="I390">
        <v>18.3567</v>
      </c>
      <c r="J390">
        <v>10.5906</v>
      </c>
      <c r="K390">
        <v>7.6039000000000003</v>
      </c>
      <c r="L390">
        <v>17.506</v>
      </c>
      <c r="M390">
        <v>6.2420999999999998</v>
      </c>
      <c r="N390">
        <v>4.2316000000000003</v>
      </c>
      <c r="O390">
        <v>3.1745000000000001</v>
      </c>
      <c r="P390">
        <v>3.1745000000000001</v>
      </c>
      <c r="Q390">
        <v>32.198799999999999</v>
      </c>
      <c r="R390" t="s">
        <v>134</v>
      </c>
      <c r="S390" t="s">
        <v>134</v>
      </c>
      <c r="T390">
        <v>14.077299999999999</v>
      </c>
      <c r="U390">
        <v>31.310600000000001</v>
      </c>
      <c r="V390">
        <v>39.684100000000001</v>
      </c>
      <c r="W390">
        <v>174.6936</v>
      </c>
      <c r="X390">
        <v>175.84739999999999</v>
      </c>
      <c r="Y390" t="s">
        <v>134</v>
      </c>
      <c r="Z390">
        <v>1.107</v>
      </c>
      <c r="AA390">
        <v>7.14</v>
      </c>
      <c r="AB390">
        <v>11.7624</v>
      </c>
      <c r="AC390">
        <v>11.475099999999999</v>
      </c>
      <c r="AD390">
        <v>-7.3693</v>
      </c>
      <c r="AE390">
        <v>36.966500000000003</v>
      </c>
      <c r="AF390">
        <v>12.925599999999999</v>
      </c>
      <c r="AG390">
        <v>-44.632300000000001</v>
      </c>
      <c r="AH390">
        <v>-3.0815999999999999</v>
      </c>
      <c r="AI390">
        <v>28.304400000000001</v>
      </c>
      <c r="AJ390">
        <v>9.4413</v>
      </c>
      <c r="AK390">
        <v>17.253699999999998</v>
      </c>
      <c r="AL390" t="s">
        <v>134</v>
      </c>
      <c r="AM390">
        <v>36.370699999999999</v>
      </c>
      <c r="AN390">
        <v>37.899900000000002</v>
      </c>
      <c r="AO390">
        <v>39.307499999999997</v>
      </c>
      <c r="AP390">
        <v>27.2517</v>
      </c>
      <c r="AQ390">
        <v>26.962700000000002</v>
      </c>
      <c r="AR390" t="s">
        <v>134</v>
      </c>
      <c r="AS390">
        <v>31.0413</v>
      </c>
      <c r="AT390">
        <v>40.859299999999998</v>
      </c>
      <c r="AU390">
        <v>35.809100000000001</v>
      </c>
      <c r="AV390">
        <v>35.628999999999998</v>
      </c>
      <c r="AW390">
        <v>11.391299999999999</v>
      </c>
      <c r="AX390">
        <v>17.266500000000001</v>
      </c>
      <c r="AY390" t="s">
        <v>134</v>
      </c>
      <c r="AZ390" t="s">
        <v>134</v>
      </c>
      <c r="BA390">
        <v>44.748899999999999</v>
      </c>
      <c r="BB390">
        <v>24.6145</v>
      </c>
      <c r="BC390">
        <v>33.096800000000002</v>
      </c>
      <c r="BD390">
        <v>21.284099999999999</v>
      </c>
      <c r="BE390" t="s">
        <v>134</v>
      </c>
      <c r="BF390">
        <v>1.3667</v>
      </c>
      <c r="BG390">
        <v>24.555599999999998</v>
      </c>
      <c r="BH390">
        <v>26.055199999999999</v>
      </c>
      <c r="BI390">
        <v>7.2565999999999997</v>
      </c>
      <c r="BJ390">
        <v>61.138599999999997</v>
      </c>
      <c r="BK390" t="s">
        <v>134</v>
      </c>
      <c r="BL390" t="s">
        <v>134</v>
      </c>
      <c r="BM390" t="s">
        <v>134</v>
      </c>
      <c r="BN390" t="s">
        <v>134</v>
      </c>
      <c r="BO390" t="s">
        <v>134</v>
      </c>
      <c r="BP390" t="s">
        <v>134</v>
      </c>
      <c r="BQ390" t="s">
        <v>134</v>
      </c>
      <c r="BR390" t="s">
        <v>134</v>
      </c>
      <c r="BS390" t="s">
        <v>134</v>
      </c>
      <c r="BT390" t="s">
        <v>134</v>
      </c>
      <c r="BU390" t="s">
        <v>134</v>
      </c>
      <c r="BV390" t="s">
        <v>134</v>
      </c>
      <c r="BW390" t="s">
        <v>134</v>
      </c>
      <c r="BX390" t="s">
        <v>134</v>
      </c>
      <c r="BY390">
        <v>57130.8</v>
      </c>
      <c r="BZ390">
        <v>6268.9</v>
      </c>
      <c r="CA390">
        <v>50861.9</v>
      </c>
      <c r="CB390">
        <v>1.6404000000000001</v>
      </c>
      <c r="CC390">
        <v>1.2462</v>
      </c>
      <c r="CD390">
        <v>2.2625000000000002</v>
      </c>
      <c r="CE390">
        <v>1.7187999999999999</v>
      </c>
      <c r="CF390">
        <v>14.7316</v>
      </c>
      <c r="CG390">
        <v>20.5549</v>
      </c>
      <c r="CH390">
        <v>101.2975</v>
      </c>
      <c r="CI390">
        <v>47.383400000000002</v>
      </c>
      <c r="CJ390">
        <v>26.971</v>
      </c>
      <c r="CK390">
        <v>113.78279999999999</v>
      </c>
      <c r="CL390">
        <v>53.223599999999998</v>
      </c>
      <c r="CM390">
        <v>30.295200000000001</v>
      </c>
      <c r="CN390">
        <v>86.442300000000003</v>
      </c>
      <c r="CO390">
        <v>46.364100000000001</v>
      </c>
      <c r="CP390">
        <v>9571.1</v>
      </c>
      <c r="CQ390" t="s">
        <v>134</v>
      </c>
      <c r="CR390">
        <v>6871.9</v>
      </c>
      <c r="CS390">
        <v>0.17119999999999999</v>
      </c>
      <c r="CT390">
        <v>1.2171000000000001</v>
      </c>
      <c r="CU390">
        <v>0.55100000000000005</v>
      </c>
      <c r="CV390">
        <v>4.1001000000000003</v>
      </c>
      <c r="CW390">
        <v>11.957699999999999</v>
      </c>
      <c r="CX390">
        <v>30.5242</v>
      </c>
      <c r="CY390">
        <v>5.4398999999999997</v>
      </c>
      <c r="CZ390">
        <v>67.097200000000001</v>
      </c>
      <c r="DA390">
        <v>5.2297000000000002</v>
      </c>
      <c r="DB390">
        <v>69.793599999999998</v>
      </c>
      <c r="DC390">
        <v>27.8278</v>
      </c>
      <c r="DD390">
        <v>97.621399999999994</v>
      </c>
      <c r="DE390">
        <v>43512</v>
      </c>
      <c r="DF390" t="s">
        <v>134</v>
      </c>
      <c r="DG390" t="s">
        <v>134</v>
      </c>
      <c r="DH390" t="s">
        <v>134</v>
      </c>
      <c r="DI390" t="s">
        <v>134</v>
      </c>
    </row>
    <row r="391" spans="4:113" x14ac:dyDescent="0.3">
      <c r="E391" t="s">
        <v>6</v>
      </c>
      <c r="F391" t="s">
        <v>134</v>
      </c>
      <c r="G391" t="s">
        <v>134</v>
      </c>
      <c r="H391" t="s">
        <v>134</v>
      </c>
      <c r="I391" t="s">
        <v>134</v>
      </c>
      <c r="J391">
        <v>10.061</v>
      </c>
      <c r="K391">
        <v>7.1431000000000004</v>
      </c>
      <c r="L391">
        <v>10.1851</v>
      </c>
      <c r="M391">
        <v>6.1467999999999998</v>
      </c>
      <c r="N391">
        <v>4.415</v>
      </c>
      <c r="O391">
        <v>3.1762999999999999</v>
      </c>
      <c r="P391">
        <v>3.1762999999999999</v>
      </c>
      <c r="Q391">
        <v>28.1999</v>
      </c>
      <c r="R391" t="s">
        <v>134</v>
      </c>
      <c r="S391" t="s">
        <v>134</v>
      </c>
      <c r="T391">
        <v>8.1180000000000003</v>
      </c>
      <c r="U391">
        <v>14.4116</v>
      </c>
      <c r="V391">
        <v>11.989800000000001</v>
      </c>
      <c r="W391">
        <v>20.904</v>
      </c>
      <c r="X391">
        <v>20.833300000000001</v>
      </c>
      <c r="Y391" t="s">
        <v>134</v>
      </c>
      <c r="Z391" t="s">
        <v>134</v>
      </c>
      <c r="AA391" t="s">
        <v>134</v>
      </c>
      <c r="AB391" t="s">
        <v>134</v>
      </c>
      <c r="AC391" t="s">
        <v>134</v>
      </c>
      <c r="AD391" t="s">
        <v>134</v>
      </c>
      <c r="AE391" t="s">
        <v>134</v>
      </c>
      <c r="AF391" t="s">
        <v>134</v>
      </c>
      <c r="AG391" t="s">
        <v>134</v>
      </c>
      <c r="AH391" t="s">
        <v>134</v>
      </c>
      <c r="AI391" t="s">
        <v>134</v>
      </c>
      <c r="AJ391" t="s">
        <v>134</v>
      </c>
      <c r="AK391" t="s">
        <v>134</v>
      </c>
      <c r="AL391" t="s">
        <v>134</v>
      </c>
      <c r="AM391">
        <v>35.956800000000001</v>
      </c>
      <c r="AN391">
        <v>31.6081</v>
      </c>
      <c r="AO391">
        <v>29.949400000000001</v>
      </c>
      <c r="AP391">
        <v>23.641100000000002</v>
      </c>
      <c r="AQ391">
        <v>23.278099999999998</v>
      </c>
      <c r="AR391" t="s">
        <v>134</v>
      </c>
      <c r="AS391" t="s">
        <v>134</v>
      </c>
      <c r="AT391" t="s">
        <v>134</v>
      </c>
      <c r="AU391" t="s">
        <v>134</v>
      </c>
      <c r="AV391" t="s">
        <v>134</v>
      </c>
      <c r="AW391" t="s">
        <v>134</v>
      </c>
      <c r="AX391" t="s">
        <v>134</v>
      </c>
      <c r="AY391" t="s">
        <v>134</v>
      </c>
      <c r="AZ391" t="s">
        <v>134</v>
      </c>
      <c r="BA391" t="s">
        <v>134</v>
      </c>
      <c r="BB391" t="s">
        <v>134</v>
      </c>
      <c r="BC391" t="s">
        <v>134</v>
      </c>
      <c r="BD391" t="s">
        <v>134</v>
      </c>
      <c r="BE391" t="s">
        <v>134</v>
      </c>
      <c r="BF391">
        <v>11.037599999999999</v>
      </c>
      <c r="BG391">
        <v>8.0678000000000001</v>
      </c>
      <c r="BH391">
        <v>7.3943000000000003</v>
      </c>
      <c r="BI391">
        <v>6.5891999999999999</v>
      </c>
      <c r="BJ391">
        <v>6.4219999999999997</v>
      </c>
      <c r="BK391" t="s">
        <v>134</v>
      </c>
      <c r="BL391" t="s">
        <v>134</v>
      </c>
      <c r="BM391" t="s">
        <v>134</v>
      </c>
      <c r="BN391" t="s">
        <v>134</v>
      </c>
      <c r="BO391" t="s">
        <v>134</v>
      </c>
      <c r="BP391" t="s">
        <v>134</v>
      </c>
      <c r="BQ391" t="s">
        <v>134</v>
      </c>
      <c r="BR391" t="s">
        <v>134</v>
      </c>
      <c r="BS391" t="s">
        <v>134</v>
      </c>
      <c r="BT391" t="s">
        <v>134</v>
      </c>
      <c r="BU391" t="s">
        <v>134</v>
      </c>
      <c r="BV391" t="s">
        <v>134</v>
      </c>
      <c r="BW391" t="s">
        <v>134</v>
      </c>
      <c r="BX391" t="s">
        <v>134</v>
      </c>
      <c r="BY391" t="s">
        <v>134</v>
      </c>
      <c r="BZ391" t="s">
        <v>134</v>
      </c>
      <c r="CA391" t="s">
        <v>134</v>
      </c>
      <c r="CB391" t="s">
        <v>134</v>
      </c>
      <c r="CC391" t="s">
        <v>134</v>
      </c>
      <c r="CD391" t="s">
        <v>134</v>
      </c>
      <c r="CE391" t="s">
        <v>134</v>
      </c>
      <c r="CF391">
        <v>13.5685</v>
      </c>
      <c r="CG391" t="s">
        <v>134</v>
      </c>
      <c r="CH391" t="s">
        <v>134</v>
      </c>
      <c r="CI391" t="s">
        <v>134</v>
      </c>
      <c r="CJ391" t="s">
        <v>134</v>
      </c>
      <c r="CK391" t="s">
        <v>134</v>
      </c>
      <c r="CL391" t="s">
        <v>134</v>
      </c>
      <c r="CM391" t="s">
        <v>134</v>
      </c>
      <c r="CN391" t="s">
        <v>134</v>
      </c>
      <c r="CO391" t="s">
        <v>134</v>
      </c>
      <c r="CP391">
        <v>9735.4</v>
      </c>
      <c r="CQ391" t="s">
        <v>134</v>
      </c>
      <c r="CR391">
        <v>6911.9</v>
      </c>
      <c r="CS391" t="s">
        <v>134</v>
      </c>
      <c r="CT391" t="s">
        <v>134</v>
      </c>
      <c r="CU391" t="s">
        <v>134</v>
      </c>
      <c r="CV391" t="s">
        <v>134</v>
      </c>
      <c r="CW391" t="s">
        <v>134</v>
      </c>
      <c r="CX391" t="s">
        <v>134</v>
      </c>
      <c r="CY391" t="s">
        <v>134</v>
      </c>
      <c r="CZ391" t="s">
        <v>134</v>
      </c>
      <c r="DA391" t="s">
        <v>134</v>
      </c>
      <c r="DB391" t="s">
        <v>134</v>
      </c>
      <c r="DC391" t="s">
        <v>134</v>
      </c>
      <c r="DD391" t="s">
        <v>134</v>
      </c>
      <c r="DE391" t="s">
        <v>134</v>
      </c>
      <c r="DF391" t="s">
        <v>134</v>
      </c>
      <c r="DG391" t="s">
        <v>134</v>
      </c>
      <c r="DH391" t="s">
        <v>134</v>
      </c>
      <c r="DI391" t="s">
        <v>134</v>
      </c>
    </row>
    <row r="392" spans="4:113" x14ac:dyDescent="0.3">
      <c r="E392" t="s">
        <v>7</v>
      </c>
      <c r="F392">
        <v>33.847299999999997</v>
      </c>
      <c r="G392">
        <v>6.6905000000000001</v>
      </c>
      <c r="H392">
        <v>18.842500000000001</v>
      </c>
      <c r="I392">
        <v>18.620699999999999</v>
      </c>
      <c r="J392">
        <v>10.570600000000001</v>
      </c>
      <c r="K392">
        <v>7.1063999999999998</v>
      </c>
      <c r="L392">
        <v>5.3449</v>
      </c>
      <c r="M392">
        <v>6.4623999999999997</v>
      </c>
      <c r="N392">
        <v>5.7603999999999997</v>
      </c>
      <c r="O392">
        <v>4.1092000000000004</v>
      </c>
      <c r="P392">
        <v>4.1092000000000004</v>
      </c>
      <c r="Q392">
        <v>10.8217</v>
      </c>
      <c r="R392" t="s">
        <v>134</v>
      </c>
      <c r="S392" t="s">
        <v>134</v>
      </c>
      <c r="T392">
        <v>8.0039999999999996</v>
      </c>
      <c r="U392">
        <v>17.431699999999999</v>
      </c>
      <c r="V392">
        <v>5.9028999999999998</v>
      </c>
      <c r="W392">
        <v>21.646599999999999</v>
      </c>
      <c r="X392">
        <v>21.632100000000001</v>
      </c>
      <c r="Y392" t="s">
        <v>134</v>
      </c>
      <c r="Z392">
        <v>14.9682</v>
      </c>
      <c r="AA392">
        <v>20.088000000000001</v>
      </c>
      <c r="AB392">
        <v>24.549499999999998</v>
      </c>
      <c r="AC392">
        <v>17.9406</v>
      </c>
      <c r="AD392">
        <v>26.3748</v>
      </c>
      <c r="AE392">
        <v>43.557400000000001</v>
      </c>
      <c r="AF392">
        <v>14.459</v>
      </c>
      <c r="AG392">
        <v>27.539000000000001</v>
      </c>
      <c r="AH392">
        <v>23.469000000000001</v>
      </c>
      <c r="AI392">
        <v>31.090399999999999</v>
      </c>
      <c r="AJ392">
        <v>26.960699999999999</v>
      </c>
      <c r="AK392">
        <v>27.7333</v>
      </c>
      <c r="AL392" t="s">
        <v>134</v>
      </c>
      <c r="AM392">
        <v>34.145600000000002</v>
      </c>
      <c r="AN392">
        <v>32.537300000000002</v>
      </c>
      <c r="AO392">
        <v>29.9649</v>
      </c>
      <c r="AP392">
        <v>24.394400000000001</v>
      </c>
      <c r="AQ392">
        <v>24.092300000000002</v>
      </c>
      <c r="AR392" t="s">
        <v>134</v>
      </c>
      <c r="AS392">
        <v>29.379100000000001</v>
      </c>
      <c r="AT392">
        <v>34.122100000000003</v>
      </c>
      <c r="AU392">
        <v>31.628599999999999</v>
      </c>
      <c r="AV392">
        <v>32.173400000000001</v>
      </c>
      <c r="AW392">
        <v>22.4148</v>
      </c>
      <c r="AX392">
        <v>33.9009</v>
      </c>
      <c r="AY392">
        <v>37.811999999999998</v>
      </c>
      <c r="AZ392">
        <v>17.315300000000001</v>
      </c>
      <c r="BA392">
        <v>38.109299999999998</v>
      </c>
      <c r="BB392">
        <v>25.3657</v>
      </c>
      <c r="BC392">
        <v>31.159600000000001</v>
      </c>
      <c r="BD392">
        <v>21.144100000000002</v>
      </c>
      <c r="BE392" t="s">
        <v>134</v>
      </c>
      <c r="BF392">
        <v>8.4108999999999998</v>
      </c>
      <c r="BG392">
        <v>16.8322</v>
      </c>
      <c r="BH392">
        <v>11.716900000000001</v>
      </c>
      <c r="BI392">
        <v>32.828200000000002</v>
      </c>
      <c r="BJ392">
        <v>33.191499999999998</v>
      </c>
      <c r="BK392" t="s">
        <v>134</v>
      </c>
      <c r="BL392" t="s">
        <v>134</v>
      </c>
      <c r="BM392" t="s">
        <v>134</v>
      </c>
      <c r="BN392" t="s">
        <v>134</v>
      </c>
      <c r="BO392" t="s">
        <v>134</v>
      </c>
      <c r="BP392" t="s">
        <v>134</v>
      </c>
      <c r="BQ392" t="s">
        <v>134</v>
      </c>
      <c r="BR392" t="s">
        <v>134</v>
      </c>
      <c r="BS392" t="s">
        <v>134</v>
      </c>
      <c r="BT392" t="s">
        <v>134</v>
      </c>
      <c r="BU392" t="s">
        <v>134</v>
      </c>
      <c r="BV392" t="s">
        <v>134</v>
      </c>
      <c r="BW392" t="s">
        <v>134</v>
      </c>
      <c r="BX392" t="s">
        <v>134</v>
      </c>
      <c r="BY392">
        <v>63347</v>
      </c>
      <c r="BZ392">
        <v>13324</v>
      </c>
      <c r="CA392">
        <v>50023</v>
      </c>
      <c r="CB392">
        <v>1.7382</v>
      </c>
      <c r="CC392">
        <v>1.2078</v>
      </c>
      <c r="CD392">
        <v>2.4893999999999998</v>
      </c>
      <c r="CE392">
        <v>1.7298</v>
      </c>
      <c r="CF392">
        <v>16.225899999999999</v>
      </c>
      <c r="CG392">
        <v>20.487300000000001</v>
      </c>
      <c r="CH392">
        <v>87.9649</v>
      </c>
      <c r="CI392">
        <v>41.611600000000003</v>
      </c>
      <c r="CJ392">
        <v>24.1388</v>
      </c>
      <c r="CK392">
        <v>111.395</v>
      </c>
      <c r="CL392">
        <v>52.6952</v>
      </c>
      <c r="CM392">
        <v>30.568300000000001</v>
      </c>
      <c r="CN392">
        <v>77.405199999999994</v>
      </c>
      <c r="CO392">
        <v>43.631900000000002</v>
      </c>
      <c r="CP392">
        <v>10642.6</v>
      </c>
      <c r="CQ392" t="s">
        <v>134</v>
      </c>
      <c r="CR392">
        <v>7154.8</v>
      </c>
      <c r="CS392">
        <v>0.20530000000000001</v>
      </c>
      <c r="CT392">
        <v>1.1439999999999999</v>
      </c>
      <c r="CU392">
        <v>0.57330000000000003</v>
      </c>
      <c r="CV392">
        <v>4.1040000000000001</v>
      </c>
      <c r="CW392">
        <v>11.415100000000001</v>
      </c>
      <c r="CX392">
        <v>32.0627</v>
      </c>
      <c r="CY392">
        <v>5.4996999999999998</v>
      </c>
      <c r="CZ392">
        <v>66.549499999999995</v>
      </c>
      <c r="DA392">
        <v>4.4957000000000003</v>
      </c>
      <c r="DB392">
        <v>81.410899999999998</v>
      </c>
      <c r="DC392">
        <v>17.2012</v>
      </c>
      <c r="DD392">
        <v>98.612200000000001</v>
      </c>
      <c r="DE392">
        <v>45033</v>
      </c>
      <c r="DF392">
        <v>13811</v>
      </c>
      <c r="DG392">
        <v>24102</v>
      </c>
      <c r="DH392">
        <v>5691</v>
      </c>
      <c r="DI392">
        <v>1429</v>
      </c>
    </row>
    <row r="393" spans="4:113" x14ac:dyDescent="0.3">
      <c r="D393" t="s">
        <v>10</v>
      </c>
      <c r="E393" t="s">
        <v>3</v>
      </c>
      <c r="F393">
        <v>24.535499999999999</v>
      </c>
      <c r="G393">
        <v>5.9467999999999996</v>
      </c>
      <c r="H393">
        <v>14.285</v>
      </c>
      <c r="I393">
        <v>14.778</v>
      </c>
      <c r="J393">
        <v>10.0769</v>
      </c>
      <c r="K393">
        <v>7.5610999999999997</v>
      </c>
      <c r="L393">
        <v>13.760999999999999</v>
      </c>
      <c r="M393">
        <v>7.3225999999999996</v>
      </c>
      <c r="N393">
        <v>5.5952999999999999</v>
      </c>
      <c r="O393">
        <v>3.6920999999999999</v>
      </c>
      <c r="P393">
        <v>3.6920999999999999</v>
      </c>
      <c r="Q393">
        <v>29.529299999999999</v>
      </c>
      <c r="R393">
        <v>16.156500000000001</v>
      </c>
      <c r="S393">
        <v>20.571400000000001</v>
      </c>
      <c r="T393">
        <v>14.7806</v>
      </c>
      <c r="U393">
        <v>20.37</v>
      </c>
      <c r="V393">
        <v>30.610199999999999</v>
      </c>
      <c r="W393">
        <v>20.273900000000001</v>
      </c>
      <c r="X393">
        <v>16.3767</v>
      </c>
      <c r="Y393">
        <v>-20</v>
      </c>
      <c r="Z393">
        <v>41.962299999999999</v>
      </c>
      <c r="AA393">
        <v>34.424500000000002</v>
      </c>
      <c r="AB393">
        <v>22.261500000000002</v>
      </c>
      <c r="AC393">
        <v>62.629100000000001</v>
      </c>
      <c r="AD393">
        <v>32.950499999999998</v>
      </c>
      <c r="AE393">
        <v>292.27949999999998</v>
      </c>
      <c r="AF393">
        <v>41.726199999999999</v>
      </c>
      <c r="AG393">
        <v>-29.433299999999999</v>
      </c>
      <c r="AH393">
        <v>70.535700000000006</v>
      </c>
      <c r="AI393">
        <v>77.765900000000002</v>
      </c>
      <c r="AJ393">
        <v>74.102699999999999</v>
      </c>
      <c r="AK393">
        <v>77.329300000000003</v>
      </c>
      <c r="AL393">
        <v>84.406199999999998</v>
      </c>
      <c r="AM393">
        <v>23.292899999999999</v>
      </c>
      <c r="AN393">
        <v>31.239599999999999</v>
      </c>
      <c r="AO393">
        <v>35.063800000000001</v>
      </c>
      <c r="AP393">
        <v>43.036200000000001</v>
      </c>
      <c r="AQ393">
        <v>42.1995</v>
      </c>
      <c r="AR393">
        <v>24.5731</v>
      </c>
      <c r="AS393">
        <v>17.0046</v>
      </c>
      <c r="AT393">
        <v>6.4269999999999996</v>
      </c>
      <c r="AU393">
        <v>15.3253</v>
      </c>
      <c r="AV393">
        <v>21.838799999999999</v>
      </c>
      <c r="AW393">
        <v>1.7577</v>
      </c>
      <c r="AX393">
        <v>104.3296</v>
      </c>
      <c r="AY393">
        <v>18.753499999999999</v>
      </c>
      <c r="AZ393">
        <v>-11.217700000000001</v>
      </c>
      <c r="BA393">
        <v>17.5946</v>
      </c>
      <c r="BB393">
        <v>34.637999999999998</v>
      </c>
      <c r="BC393">
        <v>24.482600000000001</v>
      </c>
      <c r="BD393">
        <v>32.726300000000002</v>
      </c>
      <c r="BE393">
        <v>50.719000000000001</v>
      </c>
      <c r="BF393">
        <v>14.7806</v>
      </c>
      <c r="BG393">
        <v>20.37</v>
      </c>
      <c r="BH393">
        <v>30.610199999999999</v>
      </c>
      <c r="BI393">
        <v>20.273900000000001</v>
      </c>
      <c r="BJ393">
        <v>16.3767</v>
      </c>
      <c r="BK393">
        <v>-20</v>
      </c>
      <c r="BL393">
        <v>41.962299999999999</v>
      </c>
      <c r="BM393">
        <v>34.424500000000002</v>
      </c>
      <c r="BN393">
        <v>22.261500000000002</v>
      </c>
      <c r="BO393">
        <v>62.629100000000001</v>
      </c>
      <c r="BP393">
        <v>32.950499999999998</v>
      </c>
      <c r="BQ393">
        <v>292.27949999999998</v>
      </c>
      <c r="BR393">
        <v>41.726199999999999</v>
      </c>
      <c r="BS393">
        <v>-29.433299999999999</v>
      </c>
      <c r="BT393">
        <v>70.535700000000006</v>
      </c>
      <c r="BU393">
        <v>77.765900000000002</v>
      </c>
      <c r="BV393">
        <v>74.102699999999999</v>
      </c>
      <c r="BW393">
        <v>77.329300000000003</v>
      </c>
      <c r="BX393">
        <v>84.406199999999998</v>
      </c>
      <c r="BY393">
        <v>103493</v>
      </c>
      <c r="BZ393">
        <v>9053</v>
      </c>
      <c r="CA393">
        <v>94440</v>
      </c>
      <c r="CB393">
        <v>2.4396</v>
      </c>
      <c r="CC393">
        <v>1.2881</v>
      </c>
      <c r="CD393">
        <v>3.2513000000000001</v>
      </c>
      <c r="CE393">
        <v>1.7166999999999999</v>
      </c>
      <c r="CF393">
        <v>17.315100000000001</v>
      </c>
      <c r="CG393">
        <v>25.556899999999999</v>
      </c>
      <c r="CH393">
        <v>89.900900000000007</v>
      </c>
      <c r="CI393">
        <v>45.285800000000002</v>
      </c>
      <c r="CJ393">
        <v>29.1754</v>
      </c>
      <c r="CK393">
        <v>98.518799999999999</v>
      </c>
      <c r="CL393">
        <v>49.626899999999999</v>
      </c>
      <c r="CM393">
        <v>31.972200000000001</v>
      </c>
      <c r="CN393">
        <v>52.017600000000002</v>
      </c>
      <c r="CO393">
        <v>34.218200000000003</v>
      </c>
      <c r="CP393">
        <v>42422</v>
      </c>
      <c r="CQ393">
        <v>14336</v>
      </c>
      <c r="CR393">
        <v>31831</v>
      </c>
      <c r="CS393">
        <v>0.42920000000000003</v>
      </c>
      <c r="CT393">
        <v>1.4133</v>
      </c>
      <c r="CU393">
        <v>1.0095000000000001</v>
      </c>
      <c r="CV393">
        <v>3.7042999999999999</v>
      </c>
      <c r="CW393">
        <v>7.4774000000000003</v>
      </c>
      <c r="CX393">
        <v>48.814</v>
      </c>
      <c r="CY393">
        <v>9.6171000000000006</v>
      </c>
      <c r="CZ393">
        <v>37.953200000000002</v>
      </c>
      <c r="DA393">
        <v>4.2539999999999996</v>
      </c>
      <c r="DB393">
        <v>85.801599999999993</v>
      </c>
      <c r="DC393">
        <v>0.96560000000000001</v>
      </c>
      <c r="DD393">
        <v>86.767200000000003</v>
      </c>
      <c r="DE393">
        <v>30716</v>
      </c>
      <c r="DF393">
        <v>18718</v>
      </c>
      <c r="DG393">
        <v>4253</v>
      </c>
      <c r="DH393">
        <v>6518</v>
      </c>
      <c r="DI393">
        <v>1227</v>
      </c>
    </row>
    <row r="394" spans="4:113" x14ac:dyDescent="0.3">
      <c r="E394" t="s">
        <v>4</v>
      </c>
      <c r="F394" t="s">
        <v>134</v>
      </c>
      <c r="G394" t="s">
        <v>134</v>
      </c>
      <c r="H394" t="s">
        <v>134</v>
      </c>
      <c r="I394" t="s">
        <v>134</v>
      </c>
      <c r="J394">
        <v>9.0839999999999996</v>
      </c>
      <c r="K394">
        <v>6.6615000000000002</v>
      </c>
      <c r="L394">
        <v>10.054600000000001</v>
      </c>
      <c r="M394">
        <v>5.7609000000000004</v>
      </c>
      <c r="N394">
        <v>4.2441000000000004</v>
      </c>
      <c r="O394">
        <v>2.9234</v>
      </c>
      <c r="P394">
        <v>2.9234</v>
      </c>
      <c r="Q394">
        <v>32.775500000000001</v>
      </c>
      <c r="R394" t="s">
        <v>134</v>
      </c>
      <c r="S394" t="s">
        <v>134</v>
      </c>
      <c r="T394">
        <v>16.116499999999998</v>
      </c>
      <c r="U394">
        <v>22.382300000000001</v>
      </c>
      <c r="V394">
        <v>26.501000000000001</v>
      </c>
      <c r="W394">
        <v>13.1449</v>
      </c>
      <c r="X394">
        <v>70.049499999999995</v>
      </c>
      <c r="Y394" t="s">
        <v>134</v>
      </c>
      <c r="Z394" t="s">
        <v>134</v>
      </c>
      <c r="AA394" t="s">
        <v>134</v>
      </c>
      <c r="AB394" t="s">
        <v>134</v>
      </c>
      <c r="AC394" t="s">
        <v>134</v>
      </c>
      <c r="AD394" t="s">
        <v>134</v>
      </c>
      <c r="AE394" t="s">
        <v>134</v>
      </c>
      <c r="AF394" t="s">
        <v>134</v>
      </c>
      <c r="AG394" t="s">
        <v>134</v>
      </c>
      <c r="AH394" t="s">
        <v>134</v>
      </c>
      <c r="AI394" t="s">
        <v>134</v>
      </c>
      <c r="AJ394" t="s">
        <v>134</v>
      </c>
      <c r="AK394" t="s">
        <v>134</v>
      </c>
      <c r="AL394" t="s">
        <v>134</v>
      </c>
      <c r="AM394">
        <v>35.438600000000001</v>
      </c>
      <c r="AN394">
        <v>38.0777</v>
      </c>
      <c r="AO394">
        <v>40.665399999999998</v>
      </c>
      <c r="AP394">
        <v>35.907200000000003</v>
      </c>
      <c r="AQ394">
        <v>35.693800000000003</v>
      </c>
      <c r="AR394" t="s">
        <v>134</v>
      </c>
      <c r="AS394" t="s">
        <v>134</v>
      </c>
      <c r="AT394" t="s">
        <v>134</v>
      </c>
      <c r="AU394" t="s">
        <v>134</v>
      </c>
      <c r="AV394" t="s">
        <v>134</v>
      </c>
      <c r="AW394" t="s">
        <v>134</v>
      </c>
      <c r="AX394" t="s">
        <v>134</v>
      </c>
      <c r="AY394" t="s">
        <v>134</v>
      </c>
      <c r="AZ394" t="s">
        <v>134</v>
      </c>
      <c r="BA394" t="s">
        <v>134</v>
      </c>
      <c r="BB394" t="s">
        <v>134</v>
      </c>
      <c r="BC394" t="s">
        <v>134</v>
      </c>
      <c r="BD394" t="s">
        <v>134</v>
      </c>
      <c r="BE394" t="s">
        <v>134</v>
      </c>
      <c r="BF394">
        <v>7.1298000000000004</v>
      </c>
      <c r="BG394">
        <v>-5.8262</v>
      </c>
      <c r="BH394">
        <v>4.1093000000000002</v>
      </c>
      <c r="BI394">
        <v>-28.7789</v>
      </c>
      <c r="BJ394">
        <v>-28.660399999999999</v>
      </c>
      <c r="BK394" t="s">
        <v>134</v>
      </c>
      <c r="BL394" t="s">
        <v>134</v>
      </c>
      <c r="BM394" t="s">
        <v>134</v>
      </c>
      <c r="BN394" t="s">
        <v>134</v>
      </c>
      <c r="BO394" t="s">
        <v>134</v>
      </c>
      <c r="BP394" t="s">
        <v>134</v>
      </c>
      <c r="BQ394" t="s">
        <v>134</v>
      </c>
      <c r="BR394" t="s">
        <v>134</v>
      </c>
      <c r="BS394" t="s">
        <v>134</v>
      </c>
      <c r="BT394" t="s">
        <v>134</v>
      </c>
      <c r="BU394" t="s">
        <v>134</v>
      </c>
      <c r="BV394" t="s">
        <v>134</v>
      </c>
      <c r="BW394" t="s">
        <v>134</v>
      </c>
      <c r="BX394" t="s">
        <v>134</v>
      </c>
      <c r="BY394" t="s">
        <v>134</v>
      </c>
      <c r="BZ394" t="s">
        <v>134</v>
      </c>
      <c r="CA394" t="s">
        <v>134</v>
      </c>
      <c r="CB394" t="s">
        <v>134</v>
      </c>
      <c r="CC394" t="s">
        <v>134</v>
      </c>
      <c r="CD394" t="s">
        <v>134</v>
      </c>
      <c r="CE394" t="s">
        <v>134</v>
      </c>
      <c r="CF394">
        <v>11.1015</v>
      </c>
      <c r="CG394" t="s">
        <v>134</v>
      </c>
      <c r="CH394" t="s">
        <v>134</v>
      </c>
      <c r="CI394" t="s">
        <v>134</v>
      </c>
      <c r="CJ394" t="s">
        <v>134</v>
      </c>
      <c r="CK394" t="s">
        <v>134</v>
      </c>
      <c r="CL394" t="s">
        <v>134</v>
      </c>
      <c r="CM394" t="s">
        <v>134</v>
      </c>
      <c r="CN394" t="s">
        <v>134</v>
      </c>
      <c r="CO394" t="s">
        <v>134</v>
      </c>
      <c r="CP394">
        <v>9404.1</v>
      </c>
      <c r="CQ394" t="s">
        <v>134</v>
      </c>
      <c r="CR394">
        <v>6896.2</v>
      </c>
      <c r="CS394" t="s">
        <v>134</v>
      </c>
      <c r="CT394" t="s">
        <v>134</v>
      </c>
      <c r="CU394" t="s">
        <v>134</v>
      </c>
      <c r="CV394" t="s">
        <v>134</v>
      </c>
      <c r="CW394" t="s">
        <v>134</v>
      </c>
      <c r="CX394" t="s">
        <v>134</v>
      </c>
      <c r="CY394" t="s">
        <v>134</v>
      </c>
      <c r="CZ394" t="s">
        <v>134</v>
      </c>
      <c r="DA394" t="s">
        <v>134</v>
      </c>
      <c r="DB394" t="s">
        <v>134</v>
      </c>
      <c r="DC394" t="s">
        <v>134</v>
      </c>
      <c r="DD394" t="s">
        <v>134</v>
      </c>
      <c r="DE394" t="s">
        <v>134</v>
      </c>
      <c r="DF394" t="s">
        <v>134</v>
      </c>
      <c r="DG394" t="s">
        <v>134</v>
      </c>
      <c r="DH394" t="s">
        <v>134</v>
      </c>
      <c r="DI394" t="s">
        <v>134</v>
      </c>
    </row>
    <row r="395" spans="4:113" x14ac:dyDescent="0.3">
      <c r="E395" t="s">
        <v>5</v>
      </c>
      <c r="F395">
        <v>24.476099999999999</v>
      </c>
      <c r="G395">
        <v>6.2805999999999997</v>
      </c>
      <c r="H395">
        <v>15.752599999999999</v>
      </c>
      <c r="I395">
        <v>15.442</v>
      </c>
      <c r="J395">
        <v>9.9527000000000001</v>
      </c>
      <c r="K395">
        <v>7.3144</v>
      </c>
      <c r="L395">
        <v>6.8395000000000001</v>
      </c>
      <c r="M395">
        <v>6.4775999999999998</v>
      </c>
      <c r="N395">
        <v>4.7897999999999996</v>
      </c>
      <c r="O395">
        <v>3.6032000000000002</v>
      </c>
      <c r="P395">
        <v>3.6032000000000002</v>
      </c>
      <c r="Q395">
        <v>32.441099999999999</v>
      </c>
      <c r="R395" t="s">
        <v>134</v>
      </c>
      <c r="S395" t="s">
        <v>134</v>
      </c>
      <c r="T395">
        <v>14.959</v>
      </c>
      <c r="U395">
        <v>10.6798</v>
      </c>
      <c r="V395">
        <v>13.853300000000001</v>
      </c>
      <c r="W395">
        <v>25.184699999999999</v>
      </c>
      <c r="X395">
        <v>23.853200000000001</v>
      </c>
      <c r="Y395" t="s">
        <v>134</v>
      </c>
      <c r="Z395">
        <v>78.077600000000004</v>
      </c>
      <c r="AA395">
        <v>-44.181399999999996</v>
      </c>
      <c r="AB395">
        <v>7.8731</v>
      </c>
      <c r="AC395">
        <v>36.4071</v>
      </c>
      <c r="AD395">
        <v>-9.5017999999999994</v>
      </c>
      <c r="AE395">
        <v>256.291</v>
      </c>
      <c r="AF395">
        <v>15.1541</v>
      </c>
      <c r="AG395">
        <v>-16.304300000000001</v>
      </c>
      <c r="AH395">
        <v>37.451099999999997</v>
      </c>
      <c r="AI395">
        <v>83.536500000000004</v>
      </c>
      <c r="AJ395">
        <v>59.008200000000002</v>
      </c>
      <c r="AK395">
        <v>83.883799999999994</v>
      </c>
      <c r="AL395" t="s">
        <v>134</v>
      </c>
      <c r="AM395">
        <v>34.334000000000003</v>
      </c>
      <c r="AN395">
        <v>37.403599999999997</v>
      </c>
      <c r="AO395">
        <v>40.5627</v>
      </c>
      <c r="AP395">
        <v>71.599500000000006</v>
      </c>
      <c r="AQ395">
        <v>70.631600000000006</v>
      </c>
      <c r="AR395" t="s">
        <v>134</v>
      </c>
      <c r="AS395">
        <v>36.706800000000001</v>
      </c>
      <c r="AT395">
        <v>16.982800000000001</v>
      </c>
      <c r="AU395">
        <v>27.539000000000001</v>
      </c>
      <c r="AV395">
        <v>35.721600000000002</v>
      </c>
      <c r="AW395">
        <v>1.6935</v>
      </c>
      <c r="AX395">
        <v>40.957799999999999</v>
      </c>
      <c r="AY395" t="s">
        <v>134</v>
      </c>
      <c r="AZ395" t="s">
        <v>134</v>
      </c>
      <c r="BA395">
        <v>34.229199999999999</v>
      </c>
      <c r="BB395">
        <v>36.504399999999997</v>
      </c>
      <c r="BC395">
        <v>35.429000000000002</v>
      </c>
      <c r="BD395">
        <v>32.0319</v>
      </c>
      <c r="BE395" t="s">
        <v>134</v>
      </c>
      <c r="BF395">
        <v>-3.2286000000000001</v>
      </c>
      <c r="BG395">
        <v>7.4244000000000003</v>
      </c>
      <c r="BH395">
        <v>8.1771999999999991</v>
      </c>
      <c r="BI395">
        <v>19.273700000000002</v>
      </c>
      <c r="BJ395">
        <v>76.470600000000005</v>
      </c>
      <c r="BK395" t="s">
        <v>134</v>
      </c>
      <c r="BL395" t="s">
        <v>134</v>
      </c>
      <c r="BM395" t="s">
        <v>134</v>
      </c>
      <c r="BN395" t="s">
        <v>134</v>
      </c>
      <c r="BO395" t="s">
        <v>134</v>
      </c>
      <c r="BP395" t="s">
        <v>134</v>
      </c>
      <c r="BQ395" t="s">
        <v>134</v>
      </c>
      <c r="BR395" t="s">
        <v>134</v>
      </c>
      <c r="BS395" t="s">
        <v>134</v>
      </c>
      <c r="BT395" t="s">
        <v>134</v>
      </c>
      <c r="BU395" t="s">
        <v>134</v>
      </c>
      <c r="BV395" t="s">
        <v>134</v>
      </c>
      <c r="BW395" t="s">
        <v>134</v>
      </c>
      <c r="BX395" t="s">
        <v>134</v>
      </c>
      <c r="BY395">
        <v>78526.899999999994</v>
      </c>
      <c r="BZ395">
        <v>5246.8</v>
      </c>
      <c r="CA395">
        <v>73280.100000000006</v>
      </c>
      <c r="CB395">
        <v>2.0478000000000001</v>
      </c>
      <c r="CC395">
        <v>0.49780000000000002</v>
      </c>
      <c r="CD395">
        <v>2.8944999999999999</v>
      </c>
      <c r="CE395">
        <v>0.7036</v>
      </c>
      <c r="CF395">
        <v>10.174200000000001</v>
      </c>
      <c r="CG395">
        <v>29.403199999999998</v>
      </c>
      <c r="CH395">
        <v>79.518799999999999</v>
      </c>
      <c r="CI395">
        <v>42.933900000000001</v>
      </c>
      <c r="CJ395">
        <v>28.487400000000001</v>
      </c>
      <c r="CK395">
        <v>85.212299999999999</v>
      </c>
      <c r="CL395">
        <v>46.007899999999999</v>
      </c>
      <c r="CM395">
        <v>30.527100000000001</v>
      </c>
      <c r="CN395">
        <v>20.714300000000001</v>
      </c>
      <c r="CO395">
        <v>17.159700000000001</v>
      </c>
      <c r="CP395">
        <v>9970.7000000000007</v>
      </c>
      <c r="CQ395" t="s">
        <v>134</v>
      </c>
      <c r="CR395">
        <v>7327.6</v>
      </c>
      <c r="CS395">
        <v>0.69799999999999995</v>
      </c>
      <c r="CT395">
        <v>1.7282999999999999</v>
      </c>
      <c r="CU395">
        <v>1.335</v>
      </c>
      <c r="CV395">
        <v>4.2262000000000004</v>
      </c>
      <c r="CW395">
        <v>9.2843</v>
      </c>
      <c r="CX395">
        <v>39.421599999999998</v>
      </c>
      <c r="CY395">
        <v>7.0868000000000002</v>
      </c>
      <c r="CZ395">
        <v>51.645600000000002</v>
      </c>
      <c r="DA395">
        <v>4.3715999999999999</v>
      </c>
      <c r="DB395">
        <v>83.722700000000003</v>
      </c>
      <c r="DC395">
        <v>7.3445</v>
      </c>
      <c r="DD395">
        <v>91.0672</v>
      </c>
      <c r="DE395">
        <v>24287.8</v>
      </c>
      <c r="DF395" t="s">
        <v>134</v>
      </c>
      <c r="DG395" t="s">
        <v>134</v>
      </c>
      <c r="DH395" t="s">
        <v>134</v>
      </c>
      <c r="DI395" t="s">
        <v>134</v>
      </c>
    </row>
    <row r="396" spans="4:113" x14ac:dyDescent="0.3">
      <c r="E396" t="s">
        <v>6</v>
      </c>
      <c r="F396" t="s">
        <v>134</v>
      </c>
      <c r="G396" t="s">
        <v>134</v>
      </c>
      <c r="H396" t="s">
        <v>134</v>
      </c>
      <c r="I396" t="s">
        <v>134</v>
      </c>
      <c r="J396">
        <v>10.222</v>
      </c>
      <c r="K396">
        <v>7.6230000000000002</v>
      </c>
      <c r="L396">
        <v>13.125999999999999</v>
      </c>
      <c r="M396">
        <v>7.3327999999999998</v>
      </c>
      <c r="N396">
        <v>5.2057000000000002</v>
      </c>
      <c r="O396">
        <v>3.9557000000000002</v>
      </c>
      <c r="P396">
        <v>3.9557000000000002</v>
      </c>
      <c r="Q396">
        <v>36.903799999999997</v>
      </c>
      <c r="R396" t="s">
        <v>134</v>
      </c>
      <c r="S396" t="s">
        <v>134</v>
      </c>
      <c r="T396">
        <v>13.209899999999999</v>
      </c>
      <c r="U396">
        <v>17.980499999999999</v>
      </c>
      <c r="V396">
        <v>25.143699999999999</v>
      </c>
      <c r="W396">
        <v>33.524900000000002</v>
      </c>
      <c r="X396">
        <v>25.9574</v>
      </c>
      <c r="Y396" t="s">
        <v>134</v>
      </c>
      <c r="Z396" t="s">
        <v>134</v>
      </c>
      <c r="AA396" t="s">
        <v>134</v>
      </c>
      <c r="AB396" t="s">
        <v>134</v>
      </c>
      <c r="AC396" t="s">
        <v>134</v>
      </c>
      <c r="AD396" t="s">
        <v>134</v>
      </c>
      <c r="AE396" t="s">
        <v>134</v>
      </c>
      <c r="AF396" t="s">
        <v>134</v>
      </c>
      <c r="AG396" t="s">
        <v>134</v>
      </c>
      <c r="AH396" t="s">
        <v>134</v>
      </c>
      <c r="AI396" t="s">
        <v>134</v>
      </c>
      <c r="AJ396" t="s">
        <v>134</v>
      </c>
      <c r="AK396" t="s">
        <v>134</v>
      </c>
      <c r="AL396" t="s">
        <v>134</v>
      </c>
      <c r="AM396">
        <v>22.752299999999998</v>
      </c>
      <c r="AN396">
        <v>33.230699999999999</v>
      </c>
      <c r="AO396">
        <v>39.549799999999998</v>
      </c>
      <c r="AP396" t="s">
        <v>134</v>
      </c>
      <c r="AQ396" t="s">
        <v>134</v>
      </c>
      <c r="AR396" t="s">
        <v>134</v>
      </c>
      <c r="AS396" t="s">
        <v>134</v>
      </c>
      <c r="AT396" t="s">
        <v>134</v>
      </c>
      <c r="AU396" t="s">
        <v>134</v>
      </c>
      <c r="AV396" t="s">
        <v>134</v>
      </c>
      <c r="AW396" t="s">
        <v>134</v>
      </c>
      <c r="AX396" t="s">
        <v>134</v>
      </c>
      <c r="AY396" t="s">
        <v>134</v>
      </c>
      <c r="AZ396" t="s">
        <v>134</v>
      </c>
      <c r="BA396" t="s">
        <v>134</v>
      </c>
      <c r="BB396" t="s">
        <v>134</v>
      </c>
      <c r="BC396" t="s">
        <v>134</v>
      </c>
      <c r="BD396" t="s">
        <v>134</v>
      </c>
      <c r="BE396" t="s">
        <v>134</v>
      </c>
      <c r="BF396">
        <v>4.9478999999999997</v>
      </c>
      <c r="BG396">
        <v>7.7877999999999998</v>
      </c>
      <c r="BH396">
        <v>9.3768999999999991</v>
      </c>
      <c r="BI396">
        <v>15.214600000000001</v>
      </c>
      <c r="BJ396">
        <v>9.6295999999999999</v>
      </c>
      <c r="BK396" t="s">
        <v>134</v>
      </c>
      <c r="BL396" t="s">
        <v>134</v>
      </c>
      <c r="BM396" t="s">
        <v>134</v>
      </c>
      <c r="BN396" t="s">
        <v>134</v>
      </c>
      <c r="BO396" t="s">
        <v>134</v>
      </c>
      <c r="BP396" t="s">
        <v>134</v>
      </c>
      <c r="BQ396" t="s">
        <v>134</v>
      </c>
      <c r="BR396" t="s">
        <v>134</v>
      </c>
      <c r="BS396" t="s">
        <v>134</v>
      </c>
      <c r="BT396" t="s">
        <v>134</v>
      </c>
      <c r="BU396" t="s">
        <v>134</v>
      </c>
      <c r="BV396" t="s">
        <v>134</v>
      </c>
      <c r="BW396" t="s">
        <v>134</v>
      </c>
      <c r="BX396" t="s">
        <v>134</v>
      </c>
      <c r="BY396" t="s">
        <v>134</v>
      </c>
      <c r="BZ396" t="s">
        <v>134</v>
      </c>
      <c r="CA396" t="s">
        <v>134</v>
      </c>
      <c r="CB396" t="s">
        <v>134</v>
      </c>
      <c r="CC396" t="s">
        <v>134</v>
      </c>
      <c r="CD396" t="s">
        <v>134</v>
      </c>
      <c r="CE396" t="s">
        <v>134</v>
      </c>
      <c r="CF396">
        <v>9.9134999999999991</v>
      </c>
      <c r="CG396" t="s">
        <v>134</v>
      </c>
      <c r="CH396" t="s">
        <v>134</v>
      </c>
      <c r="CI396" t="s">
        <v>134</v>
      </c>
      <c r="CJ396" t="s">
        <v>134</v>
      </c>
      <c r="CK396" t="s">
        <v>134</v>
      </c>
      <c r="CL396" t="s">
        <v>134</v>
      </c>
      <c r="CM396" t="s">
        <v>134</v>
      </c>
      <c r="CN396" t="s">
        <v>134</v>
      </c>
      <c r="CO396" t="s">
        <v>134</v>
      </c>
      <c r="CP396">
        <v>10747.2</v>
      </c>
      <c r="CQ396" t="s">
        <v>134</v>
      </c>
      <c r="CR396">
        <v>8014.7</v>
      </c>
      <c r="CS396" t="s">
        <v>134</v>
      </c>
      <c r="CT396" t="s">
        <v>134</v>
      </c>
      <c r="CU396" t="s">
        <v>134</v>
      </c>
      <c r="CV396" t="s">
        <v>134</v>
      </c>
      <c r="CW396" t="s">
        <v>134</v>
      </c>
      <c r="CX396" t="s">
        <v>134</v>
      </c>
      <c r="CY396" t="s">
        <v>134</v>
      </c>
      <c r="CZ396" t="s">
        <v>134</v>
      </c>
      <c r="DA396" t="s">
        <v>134</v>
      </c>
      <c r="DB396" t="s">
        <v>134</v>
      </c>
      <c r="DC396" t="s">
        <v>134</v>
      </c>
      <c r="DD396" t="s">
        <v>134</v>
      </c>
      <c r="DE396" t="s">
        <v>134</v>
      </c>
      <c r="DF396" t="s">
        <v>134</v>
      </c>
      <c r="DG396" t="s">
        <v>134</v>
      </c>
      <c r="DH396" t="s">
        <v>134</v>
      </c>
      <c r="DI396" t="s">
        <v>134</v>
      </c>
    </row>
    <row r="397" spans="4:113" x14ac:dyDescent="0.3">
      <c r="E397" t="s">
        <v>7</v>
      </c>
      <c r="F397">
        <v>24.5352</v>
      </c>
      <c r="G397">
        <v>5.9466999999999999</v>
      </c>
      <c r="H397">
        <v>14.8095</v>
      </c>
      <c r="I397">
        <v>14.2498</v>
      </c>
      <c r="J397">
        <v>11.3002</v>
      </c>
      <c r="K397">
        <v>8.8614999999999995</v>
      </c>
      <c r="L397">
        <v>22.3598</v>
      </c>
      <c r="M397">
        <v>7.9581</v>
      </c>
      <c r="N397">
        <v>6.3590999999999998</v>
      </c>
      <c r="O397">
        <v>4.2773000000000003</v>
      </c>
      <c r="P397">
        <v>4.2773000000000003</v>
      </c>
      <c r="Q397">
        <v>24.8871</v>
      </c>
      <c r="R397" t="s">
        <v>134</v>
      </c>
      <c r="S397" t="s">
        <v>134</v>
      </c>
      <c r="T397">
        <v>14.866899999999999</v>
      </c>
      <c r="U397">
        <v>25.609100000000002</v>
      </c>
      <c r="V397">
        <v>48.494900000000001</v>
      </c>
      <c r="W397">
        <v>11.731299999999999</v>
      </c>
      <c r="X397">
        <v>5.2960000000000003</v>
      </c>
      <c r="Y397" t="s">
        <v>134</v>
      </c>
      <c r="Z397">
        <v>41.962299999999999</v>
      </c>
      <c r="AA397">
        <v>34.424500000000002</v>
      </c>
      <c r="AB397">
        <v>22.261500000000002</v>
      </c>
      <c r="AC397">
        <v>62.629100000000001</v>
      </c>
      <c r="AD397">
        <v>32.950499999999998</v>
      </c>
      <c r="AE397">
        <v>292.27949999999998</v>
      </c>
      <c r="AF397">
        <v>41.726199999999999</v>
      </c>
      <c r="AG397">
        <v>-29.433299999999999</v>
      </c>
      <c r="AH397">
        <v>70.535700000000006</v>
      </c>
      <c r="AI397">
        <v>77.765900000000002</v>
      </c>
      <c r="AJ397">
        <v>74.102699999999999</v>
      </c>
      <c r="AK397">
        <v>77.329300000000003</v>
      </c>
      <c r="AL397" t="s">
        <v>134</v>
      </c>
      <c r="AM397">
        <v>11.753399999999999</v>
      </c>
      <c r="AN397">
        <v>24.023099999999999</v>
      </c>
      <c r="AO397">
        <v>28.1511</v>
      </c>
      <c r="AP397">
        <v>19.4998</v>
      </c>
      <c r="AQ397">
        <v>18.172699999999999</v>
      </c>
      <c r="AR397" t="s">
        <v>134</v>
      </c>
      <c r="AS397">
        <v>17.0046</v>
      </c>
      <c r="AT397">
        <v>6.4269999999999996</v>
      </c>
      <c r="AU397">
        <v>15.3253</v>
      </c>
      <c r="AV397">
        <v>21.838799999999999</v>
      </c>
      <c r="AW397">
        <v>1.7577</v>
      </c>
      <c r="AX397">
        <v>104.3296</v>
      </c>
      <c r="AY397">
        <v>18.753499999999999</v>
      </c>
      <c r="AZ397">
        <v>-11.217700000000001</v>
      </c>
      <c r="BA397">
        <v>17.5946</v>
      </c>
      <c r="BB397">
        <v>34.637999999999998</v>
      </c>
      <c r="BC397">
        <v>24.482600000000001</v>
      </c>
      <c r="BD397">
        <v>32.726300000000002</v>
      </c>
      <c r="BE397" t="s">
        <v>134</v>
      </c>
      <c r="BF397">
        <v>5.5755999999999997</v>
      </c>
      <c r="BG397">
        <v>16.711300000000001</v>
      </c>
      <c r="BH397">
        <v>22.728200000000001</v>
      </c>
      <c r="BI397">
        <v>14.16</v>
      </c>
      <c r="BJ397">
        <v>14.1892</v>
      </c>
      <c r="BK397" t="s">
        <v>134</v>
      </c>
      <c r="BL397" t="s">
        <v>134</v>
      </c>
      <c r="BM397" t="s">
        <v>134</v>
      </c>
      <c r="BN397" t="s">
        <v>134</v>
      </c>
      <c r="BO397" t="s">
        <v>134</v>
      </c>
      <c r="BP397" t="s">
        <v>134</v>
      </c>
      <c r="BQ397" t="s">
        <v>134</v>
      </c>
      <c r="BR397" t="s">
        <v>134</v>
      </c>
      <c r="BS397" t="s">
        <v>134</v>
      </c>
      <c r="BT397" t="s">
        <v>134</v>
      </c>
      <c r="BU397" t="s">
        <v>134</v>
      </c>
      <c r="BV397" t="s">
        <v>134</v>
      </c>
      <c r="BW397" t="s">
        <v>134</v>
      </c>
      <c r="BX397" t="s">
        <v>134</v>
      </c>
      <c r="BY397">
        <v>103493</v>
      </c>
      <c r="BZ397">
        <v>9053</v>
      </c>
      <c r="CA397">
        <v>94440</v>
      </c>
      <c r="CB397">
        <v>2.4327000000000001</v>
      </c>
      <c r="CC397">
        <v>1.2845</v>
      </c>
      <c r="CD397">
        <v>3.2389999999999999</v>
      </c>
      <c r="CE397">
        <v>1.7101999999999999</v>
      </c>
      <c r="CF397">
        <v>14.968</v>
      </c>
      <c r="CG397">
        <v>25.556899999999999</v>
      </c>
      <c r="CH397">
        <v>89.900900000000007</v>
      </c>
      <c r="CI397">
        <v>45.285800000000002</v>
      </c>
      <c r="CJ397">
        <v>29.1754</v>
      </c>
      <c r="CK397">
        <v>98.518799999999999</v>
      </c>
      <c r="CL397">
        <v>49.626899999999999</v>
      </c>
      <c r="CM397">
        <v>31.972200000000001</v>
      </c>
      <c r="CN397">
        <v>52.017600000000002</v>
      </c>
      <c r="CO397">
        <v>34.218200000000003</v>
      </c>
      <c r="CP397">
        <v>12543.2</v>
      </c>
      <c r="CQ397" t="s">
        <v>134</v>
      </c>
      <c r="CR397">
        <v>9836.2999999999993</v>
      </c>
      <c r="CS397">
        <v>0.42920000000000003</v>
      </c>
      <c r="CT397">
        <v>1.4133</v>
      </c>
      <c r="CU397">
        <v>1.0095000000000001</v>
      </c>
      <c r="CV397">
        <v>3.7042999999999999</v>
      </c>
      <c r="CW397">
        <v>7.4570999999999996</v>
      </c>
      <c r="CX397">
        <v>48.9467</v>
      </c>
      <c r="CY397">
        <v>9.6171000000000006</v>
      </c>
      <c r="CZ397">
        <v>37.953299999999999</v>
      </c>
      <c r="DA397">
        <v>4.2539999999999996</v>
      </c>
      <c r="DB397">
        <v>85.8018</v>
      </c>
      <c r="DC397">
        <v>1.0982000000000001</v>
      </c>
      <c r="DD397">
        <v>86.899900000000002</v>
      </c>
      <c r="DE397">
        <v>30716</v>
      </c>
      <c r="DF397">
        <v>18718</v>
      </c>
      <c r="DG397">
        <v>4253</v>
      </c>
      <c r="DH397">
        <v>6518</v>
      </c>
      <c r="DI397">
        <v>1227</v>
      </c>
    </row>
    <row r="398" spans="4:113" x14ac:dyDescent="0.3">
      <c r="D398" t="s">
        <v>11</v>
      </c>
      <c r="E398" t="s">
        <v>3</v>
      </c>
      <c r="F398">
        <v>17.591200000000001</v>
      </c>
      <c r="G398">
        <v>4.5715000000000003</v>
      </c>
      <c r="H398">
        <v>10.8902</v>
      </c>
      <c r="I398">
        <v>10.921200000000001</v>
      </c>
      <c r="J398">
        <v>9.0473999999999997</v>
      </c>
      <c r="K398">
        <v>6.2274000000000003</v>
      </c>
      <c r="L398">
        <v>3.1101999999999999</v>
      </c>
      <c r="M398">
        <v>5.8489000000000004</v>
      </c>
      <c r="N398">
        <v>4.0457999999999998</v>
      </c>
      <c r="O398">
        <v>2.859</v>
      </c>
      <c r="P398">
        <v>2.859</v>
      </c>
      <c r="Q398">
        <v>30.828600000000002</v>
      </c>
      <c r="R398">
        <v>26.365600000000001</v>
      </c>
      <c r="S398">
        <v>12.953200000000001</v>
      </c>
      <c r="T398">
        <v>33.045299999999997</v>
      </c>
      <c r="U398">
        <v>23.0779</v>
      </c>
      <c r="V398">
        <v>14.1615</v>
      </c>
      <c r="W398">
        <v>2.7471999999999999</v>
      </c>
      <c r="X398">
        <v>50.197899999999997</v>
      </c>
      <c r="Y398">
        <v>50</v>
      </c>
      <c r="Z398">
        <v>20.802499999999998</v>
      </c>
      <c r="AA398">
        <v>30.655000000000001</v>
      </c>
      <c r="AB398">
        <v>27.055199999999999</v>
      </c>
      <c r="AC398">
        <v>15.842000000000001</v>
      </c>
      <c r="AD398">
        <v>34.302500000000002</v>
      </c>
      <c r="AE398">
        <v>-62.148200000000003</v>
      </c>
      <c r="AF398">
        <v>24.159300000000002</v>
      </c>
      <c r="AG398">
        <v>209.6764</v>
      </c>
      <c r="AH398">
        <v>0.23480000000000001</v>
      </c>
      <c r="AI398">
        <v>22.267700000000001</v>
      </c>
      <c r="AJ398">
        <v>11.333399999999999</v>
      </c>
      <c r="AK398">
        <v>19.4785</v>
      </c>
      <c r="AL398">
        <v>-17.009899999999998</v>
      </c>
      <c r="AM398">
        <v>17.152200000000001</v>
      </c>
      <c r="AN398">
        <v>20.848099999999999</v>
      </c>
      <c r="AO398">
        <v>22.789400000000001</v>
      </c>
      <c r="AP398">
        <v>29.1477</v>
      </c>
      <c r="AQ398">
        <v>27.508900000000001</v>
      </c>
      <c r="AR398">
        <v>27.542400000000001</v>
      </c>
      <c r="AS398">
        <v>13.850099999999999</v>
      </c>
      <c r="AT398">
        <v>9.0394000000000005</v>
      </c>
      <c r="AU398">
        <v>18.510899999999999</v>
      </c>
      <c r="AV398">
        <v>23.928899999999999</v>
      </c>
      <c r="AW398">
        <v>-24.679200000000002</v>
      </c>
      <c r="AX398" t="s">
        <v>134</v>
      </c>
      <c r="AY398">
        <v>23.298200000000001</v>
      </c>
      <c r="AZ398">
        <v>5.0826000000000002</v>
      </c>
      <c r="BA398">
        <v>16.165600000000001</v>
      </c>
      <c r="BB398">
        <v>36.691600000000001</v>
      </c>
      <c r="BC398">
        <v>25.041399999999999</v>
      </c>
      <c r="BD398">
        <v>32.409199999999998</v>
      </c>
      <c r="BE398">
        <v>18.976199999999999</v>
      </c>
      <c r="BF398">
        <v>33.045299999999997</v>
      </c>
      <c r="BG398">
        <v>23.0779</v>
      </c>
      <c r="BH398">
        <v>14.1615</v>
      </c>
      <c r="BI398">
        <v>2.7471999999999999</v>
      </c>
      <c r="BJ398">
        <v>50.197899999999997</v>
      </c>
      <c r="BK398">
        <v>50</v>
      </c>
      <c r="BL398">
        <v>20.802499999999998</v>
      </c>
      <c r="BM398">
        <v>30.655000000000001</v>
      </c>
      <c r="BN398">
        <v>27.055199999999999</v>
      </c>
      <c r="BO398">
        <v>15.842000000000001</v>
      </c>
      <c r="BP398">
        <v>34.302500000000002</v>
      </c>
      <c r="BQ398">
        <v>-62.148200000000003</v>
      </c>
      <c r="BR398">
        <v>24.159300000000002</v>
      </c>
      <c r="BS398">
        <v>209.6764</v>
      </c>
      <c r="BT398">
        <v>0.23480000000000001</v>
      </c>
      <c r="BU398">
        <v>22.267700000000001</v>
      </c>
      <c r="BV398">
        <v>11.333399999999999</v>
      </c>
      <c r="BW398">
        <v>19.4785</v>
      </c>
      <c r="BX398">
        <v>-17.009899999999998</v>
      </c>
      <c r="BY398">
        <v>103736</v>
      </c>
      <c r="BZ398">
        <v>28035</v>
      </c>
      <c r="CA398">
        <v>75701</v>
      </c>
      <c r="CB398">
        <v>2.0527000000000002</v>
      </c>
      <c r="CC398">
        <v>1.5026999999999999</v>
      </c>
      <c r="CD398">
        <v>2.9821999999999997</v>
      </c>
      <c r="CE398">
        <v>2.1831999999999998</v>
      </c>
      <c r="CF398">
        <v>24.993600000000001</v>
      </c>
      <c r="CG398">
        <v>26.359200000000001</v>
      </c>
      <c r="CH398">
        <v>58.938299999999998</v>
      </c>
      <c r="CI398">
        <v>32.604900000000001</v>
      </c>
      <c r="CJ398">
        <v>20.188199999999998</v>
      </c>
      <c r="CK398">
        <v>80.765500000000003</v>
      </c>
      <c r="CL398">
        <v>44.679699999999997</v>
      </c>
      <c r="CM398">
        <v>27.6646</v>
      </c>
      <c r="CN398">
        <v>59.127499999999998</v>
      </c>
      <c r="CO398">
        <v>37.157299999999999</v>
      </c>
      <c r="CP398">
        <v>50537</v>
      </c>
      <c r="CQ398">
        <v>19916</v>
      </c>
      <c r="CR398">
        <v>34785</v>
      </c>
      <c r="CS398">
        <v>0.1812</v>
      </c>
      <c r="CT398">
        <v>1.1152</v>
      </c>
      <c r="CU398">
        <v>0.54800000000000004</v>
      </c>
      <c r="CV398">
        <v>3.9457</v>
      </c>
      <c r="CW398">
        <v>10.868600000000001</v>
      </c>
      <c r="CX398">
        <v>33.582999999999998</v>
      </c>
      <c r="CY398">
        <v>9.7502999999999993</v>
      </c>
      <c r="CZ398">
        <v>37.434600000000003</v>
      </c>
      <c r="DA398">
        <v>4.3364000000000003</v>
      </c>
      <c r="DB398">
        <v>84.170900000000003</v>
      </c>
      <c r="DC398">
        <v>-13.1533</v>
      </c>
      <c r="DD398">
        <v>71.017600000000002</v>
      </c>
      <c r="DE398">
        <v>40132</v>
      </c>
      <c r="DF398">
        <v>22499</v>
      </c>
      <c r="DG398">
        <v>5931</v>
      </c>
      <c r="DH398">
        <v>9540</v>
      </c>
      <c r="DI398">
        <v>2162</v>
      </c>
    </row>
    <row r="399" spans="4:113" x14ac:dyDescent="0.3">
      <c r="E399" t="s">
        <v>4</v>
      </c>
      <c r="F399" t="s">
        <v>134</v>
      </c>
      <c r="G399" t="s">
        <v>134</v>
      </c>
      <c r="H399" t="s">
        <v>134</v>
      </c>
      <c r="I399" t="s">
        <v>134</v>
      </c>
      <c r="J399">
        <v>9.1496999999999993</v>
      </c>
      <c r="K399">
        <v>6.2439</v>
      </c>
      <c r="L399">
        <v>5.0587</v>
      </c>
      <c r="M399">
        <v>4.4851000000000001</v>
      </c>
      <c r="N399">
        <v>2.6785000000000001</v>
      </c>
      <c r="O399">
        <v>2.1438999999999999</v>
      </c>
      <c r="P399">
        <v>2.1438999999999999</v>
      </c>
      <c r="Q399">
        <v>40.2789</v>
      </c>
      <c r="R399" t="s">
        <v>134</v>
      </c>
      <c r="S399" t="s">
        <v>134</v>
      </c>
      <c r="T399">
        <v>25.255099999999999</v>
      </c>
      <c r="U399">
        <v>27.8249</v>
      </c>
      <c r="V399">
        <v>19.525500000000001</v>
      </c>
      <c r="W399">
        <v>-8.1449999999999996</v>
      </c>
      <c r="X399">
        <v>-13.7255</v>
      </c>
      <c r="Y399" t="s">
        <v>134</v>
      </c>
      <c r="Z399" t="s">
        <v>134</v>
      </c>
      <c r="AA399" t="s">
        <v>134</v>
      </c>
      <c r="AB399" t="s">
        <v>134</v>
      </c>
      <c r="AC399" t="s">
        <v>134</v>
      </c>
      <c r="AD399" t="s">
        <v>134</v>
      </c>
      <c r="AE399" t="s">
        <v>134</v>
      </c>
      <c r="AF399" t="s">
        <v>134</v>
      </c>
      <c r="AG399" t="s">
        <v>134</v>
      </c>
      <c r="AH399" t="s">
        <v>134</v>
      </c>
      <c r="AI399" t="s">
        <v>134</v>
      </c>
      <c r="AJ399" t="s">
        <v>134</v>
      </c>
      <c r="AK399" t="s">
        <v>134</v>
      </c>
      <c r="AL399" t="s">
        <v>134</v>
      </c>
      <c r="AM399">
        <v>15.614699999999999</v>
      </c>
      <c r="AN399">
        <v>21.115500000000001</v>
      </c>
      <c r="AO399">
        <v>22.712199999999999</v>
      </c>
      <c r="AP399">
        <v>102.6194</v>
      </c>
      <c r="AQ399">
        <v>84.215299999999999</v>
      </c>
      <c r="AR399" t="s">
        <v>134</v>
      </c>
      <c r="AS399" t="s">
        <v>134</v>
      </c>
      <c r="AT399" t="s">
        <v>134</v>
      </c>
      <c r="AU399" t="s">
        <v>134</v>
      </c>
      <c r="AV399" t="s">
        <v>134</v>
      </c>
      <c r="AW399" t="s">
        <v>134</v>
      </c>
      <c r="AX399" t="s">
        <v>134</v>
      </c>
      <c r="AY399" t="s">
        <v>134</v>
      </c>
      <c r="AZ399" t="s">
        <v>134</v>
      </c>
      <c r="BA399" t="s">
        <v>134</v>
      </c>
      <c r="BB399" t="s">
        <v>134</v>
      </c>
      <c r="BC399" t="s">
        <v>134</v>
      </c>
      <c r="BD399" t="s">
        <v>134</v>
      </c>
      <c r="BE399" t="s">
        <v>134</v>
      </c>
      <c r="BF399">
        <v>16.818300000000001</v>
      </c>
      <c r="BG399">
        <v>-5.4132999999999996</v>
      </c>
      <c r="BH399">
        <v>-17.689599999999999</v>
      </c>
      <c r="BI399">
        <v>-41.448700000000002</v>
      </c>
      <c r="BJ399">
        <v>-60.9467</v>
      </c>
      <c r="BK399" t="s">
        <v>134</v>
      </c>
      <c r="BL399" t="s">
        <v>134</v>
      </c>
      <c r="BM399" t="s">
        <v>134</v>
      </c>
      <c r="BN399" t="s">
        <v>134</v>
      </c>
      <c r="BO399" t="s">
        <v>134</v>
      </c>
      <c r="BP399" t="s">
        <v>134</v>
      </c>
      <c r="BQ399" t="s">
        <v>134</v>
      </c>
      <c r="BR399" t="s">
        <v>134</v>
      </c>
      <c r="BS399" t="s">
        <v>134</v>
      </c>
      <c r="BT399" t="s">
        <v>134</v>
      </c>
      <c r="BU399" t="s">
        <v>134</v>
      </c>
      <c r="BV399" t="s">
        <v>134</v>
      </c>
      <c r="BW399" t="s">
        <v>134</v>
      </c>
      <c r="BX399" t="s">
        <v>134</v>
      </c>
      <c r="BY399" t="s">
        <v>134</v>
      </c>
      <c r="BZ399" t="s">
        <v>134</v>
      </c>
      <c r="CA399" t="s">
        <v>134</v>
      </c>
      <c r="CB399" t="s">
        <v>134</v>
      </c>
      <c r="CC399" t="s">
        <v>134</v>
      </c>
      <c r="CD399" t="s">
        <v>134</v>
      </c>
      <c r="CE399" t="s">
        <v>134</v>
      </c>
      <c r="CF399">
        <v>10.0929</v>
      </c>
      <c r="CG399" t="s">
        <v>134</v>
      </c>
      <c r="CH399" t="s">
        <v>134</v>
      </c>
      <c r="CI399" t="s">
        <v>134</v>
      </c>
      <c r="CJ399" t="s">
        <v>134</v>
      </c>
      <c r="CK399" t="s">
        <v>134</v>
      </c>
      <c r="CL399" t="s">
        <v>134</v>
      </c>
      <c r="CM399" t="s">
        <v>134</v>
      </c>
      <c r="CN399" t="s">
        <v>134</v>
      </c>
      <c r="CO399" t="s">
        <v>134</v>
      </c>
      <c r="CP399">
        <v>11864.2</v>
      </c>
      <c r="CQ399" t="s">
        <v>134</v>
      </c>
      <c r="CR399">
        <v>8096.3</v>
      </c>
      <c r="CS399" t="s">
        <v>134</v>
      </c>
      <c r="CT399" t="s">
        <v>134</v>
      </c>
      <c r="CU399" t="s">
        <v>134</v>
      </c>
      <c r="CV399" t="s">
        <v>134</v>
      </c>
      <c r="CW399" t="s">
        <v>134</v>
      </c>
      <c r="CX399" t="s">
        <v>134</v>
      </c>
      <c r="CY399" t="s">
        <v>134</v>
      </c>
      <c r="CZ399" t="s">
        <v>134</v>
      </c>
      <c r="DA399" t="s">
        <v>134</v>
      </c>
      <c r="DB399" t="s">
        <v>134</v>
      </c>
      <c r="DC399" t="s">
        <v>134</v>
      </c>
      <c r="DD399" t="s">
        <v>134</v>
      </c>
      <c r="DE399" t="s">
        <v>134</v>
      </c>
      <c r="DF399" t="s">
        <v>134</v>
      </c>
      <c r="DG399" t="s">
        <v>134</v>
      </c>
      <c r="DH399" t="s">
        <v>134</v>
      </c>
      <c r="DI399" t="s">
        <v>134</v>
      </c>
    </row>
    <row r="400" spans="4:113" x14ac:dyDescent="0.3">
      <c r="E400" t="s">
        <v>5</v>
      </c>
      <c r="F400">
        <v>19.613199999999999</v>
      </c>
      <c r="G400">
        <v>5.2827000000000002</v>
      </c>
      <c r="H400">
        <v>12.8576</v>
      </c>
      <c r="I400">
        <v>12.730499999999999</v>
      </c>
      <c r="J400">
        <v>9.3771000000000004</v>
      </c>
      <c r="K400">
        <v>6.3944999999999999</v>
      </c>
      <c r="L400">
        <v>3.6188000000000002</v>
      </c>
      <c r="M400">
        <v>6.2004999999999999</v>
      </c>
      <c r="N400">
        <v>4.4492000000000003</v>
      </c>
      <c r="O400">
        <v>3.2702999999999998</v>
      </c>
      <c r="P400">
        <v>3.2702999999999998</v>
      </c>
      <c r="Q400">
        <v>28.243200000000002</v>
      </c>
      <c r="R400" t="s">
        <v>134</v>
      </c>
      <c r="S400" t="s">
        <v>134</v>
      </c>
      <c r="T400">
        <v>33.141199999999998</v>
      </c>
      <c r="U400">
        <v>25.441500000000001</v>
      </c>
      <c r="V400">
        <v>16.396899999999999</v>
      </c>
      <c r="W400">
        <v>20.841100000000001</v>
      </c>
      <c r="X400">
        <v>15</v>
      </c>
      <c r="Y400" t="s">
        <v>134</v>
      </c>
      <c r="Z400">
        <v>48.077300000000001</v>
      </c>
      <c r="AA400">
        <v>53.909799999999997</v>
      </c>
      <c r="AB400">
        <v>28.045000000000002</v>
      </c>
      <c r="AC400">
        <v>36.200299999999999</v>
      </c>
      <c r="AD400">
        <v>59.827599999999997</v>
      </c>
      <c r="AE400">
        <v>-74.545100000000005</v>
      </c>
      <c r="AF400">
        <v>45.394300000000001</v>
      </c>
      <c r="AG400">
        <v>361.52319999999997</v>
      </c>
      <c r="AH400">
        <v>25.733699999999999</v>
      </c>
      <c r="AI400">
        <v>22.545400000000001</v>
      </c>
      <c r="AJ400">
        <v>24.0123</v>
      </c>
      <c r="AK400">
        <v>16.372399999999999</v>
      </c>
      <c r="AL400" t="s">
        <v>134</v>
      </c>
      <c r="AM400">
        <v>18.1206</v>
      </c>
      <c r="AN400">
        <v>24.991</v>
      </c>
      <c r="AO400">
        <v>28.5304</v>
      </c>
      <c r="AP400">
        <v>25.958100000000002</v>
      </c>
      <c r="AQ400">
        <v>34.965899999999998</v>
      </c>
      <c r="AR400" t="s">
        <v>134</v>
      </c>
      <c r="AS400">
        <v>25.020499999999998</v>
      </c>
      <c r="AT400">
        <v>8.4960000000000004</v>
      </c>
      <c r="AU400">
        <v>15.567299999999999</v>
      </c>
      <c r="AV400">
        <v>23.306799999999999</v>
      </c>
      <c r="AW400">
        <v>12.496700000000001</v>
      </c>
      <c r="AX400" t="s">
        <v>134</v>
      </c>
      <c r="AY400">
        <v>21.6723</v>
      </c>
      <c r="AZ400">
        <v>11.9246</v>
      </c>
      <c r="BA400">
        <v>18.23</v>
      </c>
      <c r="BB400">
        <v>34.841099999999997</v>
      </c>
      <c r="BC400">
        <v>25.468399999999999</v>
      </c>
      <c r="BD400">
        <v>43.15</v>
      </c>
      <c r="BE400" t="s">
        <v>134</v>
      </c>
      <c r="BF400">
        <v>2.8641999999999999</v>
      </c>
      <c r="BG400">
        <v>5.4214000000000002</v>
      </c>
      <c r="BH400">
        <v>5.3456999999999999</v>
      </c>
      <c r="BI400">
        <v>56.912100000000002</v>
      </c>
      <c r="BJ400">
        <v>135.22730000000001</v>
      </c>
      <c r="BK400" t="s">
        <v>134</v>
      </c>
      <c r="BL400" t="s">
        <v>134</v>
      </c>
      <c r="BM400" t="s">
        <v>134</v>
      </c>
      <c r="BN400" t="s">
        <v>134</v>
      </c>
      <c r="BO400" t="s">
        <v>134</v>
      </c>
      <c r="BP400" t="s">
        <v>134</v>
      </c>
      <c r="BQ400" t="s">
        <v>134</v>
      </c>
      <c r="BR400" t="s">
        <v>134</v>
      </c>
      <c r="BS400" t="s">
        <v>134</v>
      </c>
      <c r="BT400" t="s">
        <v>134</v>
      </c>
      <c r="BU400" t="s">
        <v>134</v>
      </c>
      <c r="BV400" t="s">
        <v>134</v>
      </c>
      <c r="BW400" t="s">
        <v>134</v>
      </c>
      <c r="BX400" t="s">
        <v>134</v>
      </c>
      <c r="BY400">
        <v>98734.8</v>
      </c>
      <c r="BZ400">
        <v>24215.200000000001</v>
      </c>
      <c r="CA400">
        <v>74519.600000000006</v>
      </c>
      <c r="CB400">
        <v>2.0716000000000001</v>
      </c>
      <c r="CC400">
        <v>1.4798</v>
      </c>
      <c r="CD400">
        <v>2.8637999999999999</v>
      </c>
      <c r="CE400">
        <v>2.0457999999999998</v>
      </c>
      <c r="CF400">
        <v>16.220199999999998</v>
      </c>
      <c r="CG400">
        <v>25.121500000000001</v>
      </c>
      <c r="CH400">
        <v>65.986800000000002</v>
      </c>
      <c r="CI400">
        <v>35.206299999999999</v>
      </c>
      <c r="CJ400">
        <v>21.269600000000001</v>
      </c>
      <c r="CK400">
        <v>87.429299999999998</v>
      </c>
      <c r="CL400">
        <v>46.646599999999999</v>
      </c>
      <c r="CM400">
        <v>28.1812</v>
      </c>
      <c r="CN400">
        <v>62.456400000000002</v>
      </c>
      <c r="CO400">
        <v>38.445</v>
      </c>
      <c r="CP400">
        <v>12507.4</v>
      </c>
      <c r="CQ400" t="s">
        <v>134</v>
      </c>
      <c r="CR400">
        <v>8529.1</v>
      </c>
      <c r="CS400">
        <v>0.188</v>
      </c>
      <c r="CT400">
        <v>1.1052</v>
      </c>
      <c r="CU400">
        <v>0.72330000000000005</v>
      </c>
      <c r="CV400">
        <v>4.1906999999999996</v>
      </c>
      <c r="CW400">
        <v>7.1219999999999999</v>
      </c>
      <c r="CX400">
        <v>51.249699999999997</v>
      </c>
      <c r="CY400">
        <v>9.5597999999999992</v>
      </c>
      <c r="CZ400">
        <v>38.180500000000002</v>
      </c>
      <c r="DA400">
        <v>4.6364000000000001</v>
      </c>
      <c r="DB400">
        <v>78.724500000000006</v>
      </c>
      <c r="DC400">
        <v>10.7058</v>
      </c>
      <c r="DD400">
        <v>89.430300000000003</v>
      </c>
      <c r="DE400">
        <v>37381.300000000003</v>
      </c>
      <c r="DF400" t="s">
        <v>134</v>
      </c>
      <c r="DG400" t="s">
        <v>134</v>
      </c>
      <c r="DH400" t="s">
        <v>134</v>
      </c>
      <c r="DI400" t="s">
        <v>134</v>
      </c>
    </row>
    <row r="401" spans="1:113" x14ac:dyDescent="0.3">
      <c r="E401" t="s">
        <v>6</v>
      </c>
      <c r="F401" t="s">
        <v>134</v>
      </c>
      <c r="G401" t="s">
        <v>134</v>
      </c>
      <c r="H401" t="s">
        <v>134</v>
      </c>
      <c r="I401" t="s">
        <v>134</v>
      </c>
      <c r="J401">
        <v>8.8249999999999993</v>
      </c>
      <c r="K401">
        <v>6.0662000000000003</v>
      </c>
      <c r="L401">
        <v>1.7103999999999999</v>
      </c>
      <c r="M401">
        <v>5.6989000000000001</v>
      </c>
      <c r="N401">
        <v>3.9359000000000002</v>
      </c>
      <c r="O401">
        <v>2.5540000000000003</v>
      </c>
      <c r="P401">
        <v>2.5540000000000003</v>
      </c>
      <c r="Q401">
        <v>30.936199999999999</v>
      </c>
      <c r="R401" t="s">
        <v>134</v>
      </c>
      <c r="S401" t="s">
        <v>134</v>
      </c>
      <c r="T401">
        <v>35.740400000000001</v>
      </c>
      <c r="U401">
        <v>17.188700000000001</v>
      </c>
      <c r="V401">
        <v>8.0190000000000001</v>
      </c>
      <c r="W401">
        <v>-12.359</v>
      </c>
      <c r="X401">
        <v>-12.331099999999999</v>
      </c>
      <c r="Y401" t="s">
        <v>134</v>
      </c>
      <c r="Z401" t="s">
        <v>134</v>
      </c>
      <c r="AA401" t="s">
        <v>134</v>
      </c>
      <c r="AB401" t="s">
        <v>134</v>
      </c>
      <c r="AC401" t="s">
        <v>134</v>
      </c>
      <c r="AD401" t="s">
        <v>134</v>
      </c>
      <c r="AE401" t="s">
        <v>134</v>
      </c>
      <c r="AF401" t="s">
        <v>134</v>
      </c>
      <c r="AG401" t="s">
        <v>134</v>
      </c>
      <c r="AH401" t="s">
        <v>134</v>
      </c>
      <c r="AI401" t="s">
        <v>134</v>
      </c>
      <c r="AJ401" t="s">
        <v>134</v>
      </c>
      <c r="AK401" t="s">
        <v>134</v>
      </c>
      <c r="AL401" t="s">
        <v>134</v>
      </c>
      <c r="AM401">
        <v>16.861999999999998</v>
      </c>
      <c r="AN401">
        <v>19.843399999999999</v>
      </c>
      <c r="AO401">
        <v>22.539000000000001</v>
      </c>
      <c r="AP401">
        <v>28.7517</v>
      </c>
      <c r="AQ401">
        <v>27.249600000000001</v>
      </c>
      <c r="AR401" t="s">
        <v>134</v>
      </c>
      <c r="AS401" t="s">
        <v>134</v>
      </c>
      <c r="AT401" t="s">
        <v>134</v>
      </c>
      <c r="AU401" t="s">
        <v>134</v>
      </c>
      <c r="AV401" t="s">
        <v>134</v>
      </c>
      <c r="AW401" t="s">
        <v>134</v>
      </c>
      <c r="AX401" t="s">
        <v>134</v>
      </c>
      <c r="AY401" t="s">
        <v>134</v>
      </c>
      <c r="AZ401" t="s">
        <v>134</v>
      </c>
      <c r="BA401" t="s">
        <v>134</v>
      </c>
      <c r="BB401" t="s">
        <v>134</v>
      </c>
      <c r="BC401" t="s">
        <v>134</v>
      </c>
      <c r="BD401" t="s">
        <v>134</v>
      </c>
      <c r="BE401" t="s">
        <v>134</v>
      </c>
      <c r="BF401">
        <v>6.9966999999999997</v>
      </c>
      <c r="BG401">
        <v>0.69640000000000002</v>
      </c>
      <c r="BH401">
        <v>1.5043</v>
      </c>
      <c r="BI401">
        <v>-16.439699999999998</v>
      </c>
      <c r="BJ401">
        <v>-16.4251</v>
      </c>
      <c r="BK401" t="s">
        <v>134</v>
      </c>
      <c r="BL401" t="s">
        <v>134</v>
      </c>
      <c r="BM401" t="s">
        <v>134</v>
      </c>
      <c r="BN401" t="s">
        <v>134</v>
      </c>
      <c r="BO401" t="s">
        <v>134</v>
      </c>
      <c r="BP401" t="s">
        <v>134</v>
      </c>
      <c r="BQ401" t="s">
        <v>134</v>
      </c>
      <c r="BR401" t="s">
        <v>134</v>
      </c>
      <c r="BS401" t="s">
        <v>134</v>
      </c>
      <c r="BT401" t="s">
        <v>134</v>
      </c>
      <c r="BU401" t="s">
        <v>134</v>
      </c>
      <c r="BV401" t="s">
        <v>134</v>
      </c>
      <c r="BW401" t="s">
        <v>134</v>
      </c>
      <c r="BX401" t="s">
        <v>134</v>
      </c>
      <c r="BY401" t="s">
        <v>134</v>
      </c>
      <c r="BZ401" t="s">
        <v>134</v>
      </c>
      <c r="CA401" t="s">
        <v>134</v>
      </c>
      <c r="CB401" t="s">
        <v>134</v>
      </c>
      <c r="CC401" t="s">
        <v>134</v>
      </c>
      <c r="CD401" t="s">
        <v>134</v>
      </c>
      <c r="CE401" t="s">
        <v>134</v>
      </c>
      <c r="CF401">
        <v>12.209899999999999</v>
      </c>
      <c r="CG401" t="s">
        <v>134</v>
      </c>
      <c r="CH401" t="s">
        <v>134</v>
      </c>
      <c r="CI401" t="s">
        <v>134</v>
      </c>
      <c r="CJ401" t="s">
        <v>134</v>
      </c>
      <c r="CK401" t="s">
        <v>134</v>
      </c>
      <c r="CL401" t="s">
        <v>134</v>
      </c>
      <c r="CM401" t="s">
        <v>134</v>
      </c>
      <c r="CN401" t="s">
        <v>134</v>
      </c>
      <c r="CO401" t="s">
        <v>134</v>
      </c>
      <c r="CP401">
        <v>12594.5</v>
      </c>
      <c r="CQ401" t="s">
        <v>134</v>
      </c>
      <c r="CR401">
        <v>8657.4</v>
      </c>
      <c r="CS401" t="s">
        <v>134</v>
      </c>
      <c r="CT401" t="s">
        <v>134</v>
      </c>
      <c r="CU401" t="s">
        <v>134</v>
      </c>
      <c r="CV401" t="s">
        <v>134</v>
      </c>
      <c r="CW401" t="s">
        <v>134</v>
      </c>
      <c r="CX401" t="s">
        <v>134</v>
      </c>
      <c r="CY401" t="s">
        <v>134</v>
      </c>
      <c r="CZ401" t="s">
        <v>134</v>
      </c>
      <c r="DA401" t="s">
        <v>134</v>
      </c>
      <c r="DB401" t="s">
        <v>134</v>
      </c>
      <c r="DC401" t="s">
        <v>134</v>
      </c>
      <c r="DD401" t="s">
        <v>134</v>
      </c>
      <c r="DE401" t="s">
        <v>134</v>
      </c>
      <c r="DF401" t="s">
        <v>134</v>
      </c>
      <c r="DG401" t="s">
        <v>134</v>
      </c>
      <c r="DH401" t="s">
        <v>134</v>
      </c>
      <c r="DI401" t="s">
        <v>134</v>
      </c>
    </row>
    <row r="402" spans="1:113" x14ac:dyDescent="0.3">
      <c r="E402" t="s">
        <v>7</v>
      </c>
      <c r="F402">
        <v>17.5916</v>
      </c>
      <c r="G402">
        <v>4.5716000000000001</v>
      </c>
      <c r="H402">
        <v>11.545400000000001</v>
      </c>
      <c r="I402">
        <v>11.1915</v>
      </c>
      <c r="J402">
        <v>9.8163</v>
      </c>
      <c r="K402">
        <v>7.1539999999999999</v>
      </c>
      <c r="L402">
        <v>2.6212999999999997</v>
      </c>
      <c r="M402">
        <v>6.8395999999999999</v>
      </c>
      <c r="N402">
        <v>4.9569000000000001</v>
      </c>
      <c r="O402">
        <v>3.3921000000000001</v>
      </c>
      <c r="P402">
        <v>3.3921000000000001</v>
      </c>
      <c r="Q402">
        <v>27.5258</v>
      </c>
      <c r="R402" t="s">
        <v>134</v>
      </c>
      <c r="S402" t="s">
        <v>134</v>
      </c>
      <c r="T402">
        <v>37.671999999999997</v>
      </c>
      <c r="U402">
        <v>19.593900000000001</v>
      </c>
      <c r="V402">
        <v>11.1434</v>
      </c>
      <c r="W402">
        <v>9.1790000000000003</v>
      </c>
      <c r="X402">
        <v>9.1715999999999998</v>
      </c>
      <c r="Y402" t="s">
        <v>134</v>
      </c>
      <c r="Z402">
        <v>20.802499999999998</v>
      </c>
      <c r="AA402">
        <v>30.655000000000001</v>
      </c>
      <c r="AB402">
        <v>27.055199999999999</v>
      </c>
      <c r="AC402">
        <v>15.842000000000001</v>
      </c>
      <c r="AD402">
        <v>34.302500000000002</v>
      </c>
      <c r="AE402">
        <v>-62.148200000000003</v>
      </c>
      <c r="AF402">
        <v>24.159300000000002</v>
      </c>
      <c r="AG402">
        <v>209.6764</v>
      </c>
      <c r="AH402">
        <v>0.23480000000000001</v>
      </c>
      <c r="AI402">
        <v>22.267700000000001</v>
      </c>
      <c r="AJ402">
        <v>11.333399999999999</v>
      </c>
      <c r="AK402">
        <v>19.4785</v>
      </c>
      <c r="AL402" t="s">
        <v>134</v>
      </c>
      <c r="AM402">
        <v>18.2851</v>
      </c>
      <c r="AN402">
        <v>21.382300000000001</v>
      </c>
      <c r="AO402">
        <v>23.402999999999999</v>
      </c>
      <c r="AP402">
        <v>21.496500000000001</v>
      </c>
      <c r="AQ402">
        <v>20.0474</v>
      </c>
      <c r="AR402" t="s">
        <v>134</v>
      </c>
      <c r="AS402">
        <v>13.850099999999999</v>
      </c>
      <c r="AT402">
        <v>9.0394000000000005</v>
      </c>
      <c r="AU402">
        <v>18.510899999999999</v>
      </c>
      <c r="AV402">
        <v>23.928899999999999</v>
      </c>
      <c r="AW402">
        <v>-24.679200000000002</v>
      </c>
      <c r="AX402" t="s">
        <v>134</v>
      </c>
      <c r="AY402">
        <v>23.298200000000001</v>
      </c>
      <c r="AZ402">
        <v>5.0826000000000002</v>
      </c>
      <c r="BA402">
        <v>16.165600000000001</v>
      </c>
      <c r="BB402">
        <v>36.691600000000001</v>
      </c>
      <c r="BC402">
        <v>25.041399999999999</v>
      </c>
      <c r="BD402">
        <v>32.409199999999998</v>
      </c>
      <c r="BE402" t="s">
        <v>134</v>
      </c>
      <c r="BF402">
        <v>7.0780000000000003</v>
      </c>
      <c r="BG402">
        <v>19.1068</v>
      </c>
      <c r="BH402">
        <v>26.278099999999998</v>
      </c>
      <c r="BI402">
        <v>42.2151</v>
      </c>
      <c r="BJ402">
        <v>42.1965</v>
      </c>
      <c r="BK402" t="s">
        <v>134</v>
      </c>
      <c r="BL402" t="s">
        <v>134</v>
      </c>
      <c r="BM402" t="s">
        <v>134</v>
      </c>
      <c r="BN402" t="s">
        <v>134</v>
      </c>
      <c r="BO402" t="s">
        <v>134</v>
      </c>
      <c r="BP402" t="s">
        <v>134</v>
      </c>
      <c r="BQ402" t="s">
        <v>134</v>
      </c>
      <c r="BR402" t="s">
        <v>134</v>
      </c>
      <c r="BS402" t="s">
        <v>134</v>
      </c>
      <c r="BT402" t="s">
        <v>134</v>
      </c>
      <c r="BU402" t="s">
        <v>134</v>
      </c>
      <c r="BV402" t="s">
        <v>134</v>
      </c>
      <c r="BW402" t="s">
        <v>134</v>
      </c>
      <c r="BX402" t="s">
        <v>134</v>
      </c>
      <c r="BY402">
        <v>103736</v>
      </c>
      <c r="BZ402">
        <v>28035</v>
      </c>
      <c r="CA402">
        <v>75701</v>
      </c>
      <c r="CB402">
        <v>1.9962</v>
      </c>
      <c r="CC402">
        <v>1.4614</v>
      </c>
      <c r="CD402">
        <v>2.8643999999999998</v>
      </c>
      <c r="CE402">
        <v>2.097</v>
      </c>
      <c r="CF402">
        <v>13.276299999999999</v>
      </c>
      <c r="CG402">
        <v>26.359200000000001</v>
      </c>
      <c r="CH402">
        <v>58.938299999999998</v>
      </c>
      <c r="CI402">
        <v>32.604900000000001</v>
      </c>
      <c r="CJ402">
        <v>20.188199999999998</v>
      </c>
      <c r="CK402">
        <v>80.765500000000003</v>
      </c>
      <c r="CL402">
        <v>44.679699999999997</v>
      </c>
      <c r="CM402">
        <v>27.6646</v>
      </c>
      <c r="CN402">
        <v>59.127499999999998</v>
      </c>
      <c r="CO402">
        <v>37.157299999999999</v>
      </c>
      <c r="CP402">
        <v>15000.9</v>
      </c>
      <c r="CQ402" t="s">
        <v>134</v>
      </c>
      <c r="CR402">
        <v>10932.4</v>
      </c>
      <c r="CS402">
        <v>0.1812</v>
      </c>
      <c r="CT402">
        <v>1.1152</v>
      </c>
      <c r="CU402">
        <v>0.54800000000000004</v>
      </c>
      <c r="CV402">
        <v>3.9457</v>
      </c>
      <c r="CW402">
        <v>10.868600000000001</v>
      </c>
      <c r="CX402">
        <v>33.582999999999998</v>
      </c>
      <c r="CY402">
        <v>9.7502999999999993</v>
      </c>
      <c r="CZ402">
        <v>37.434600000000003</v>
      </c>
      <c r="DA402">
        <v>4.3364000000000003</v>
      </c>
      <c r="DB402">
        <v>84.170900000000003</v>
      </c>
      <c r="DC402">
        <v>-13.1533</v>
      </c>
      <c r="DD402">
        <v>71.017600000000002</v>
      </c>
      <c r="DE402">
        <v>40132</v>
      </c>
      <c r="DF402">
        <v>22499</v>
      </c>
      <c r="DG402">
        <v>5931</v>
      </c>
      <c r="DH402">
        <v>9540</v>
      </c>
      <c r="DI402">
        <v>2162</v>
      </c>
    </row>
    <row r="403" spans="1:113" x14ac:dyDescent="0.3">
      <c r="A403">
        <v>67</v>
      </c>
      <c r="B403" t="s">
        <v>42</v>
      </c>
      <c r="C403" t="s">
        <v>43</v>
      </c>
      <c r="D403" t="s">
        <v>2</v>
      </c>
      <c r="E403" t="s">
        <v>3</v>
      </c>
      <c r="F403">
        <v>4.1996000000000002</v>
      </c>
      <c r="G403">
        <v>1.9699</v>
      </c>
      <c r="H403">
        <v>5.2507000000000001</v>
      </c>
      <c r="I403">
        <v>3.4079000000000002</v>
      </c>
      <c r="J403">
        <v>61.047899999999998</v>
      </c>
      <c r="K403">
        <v>40.033000000000001</v>
      </c>
      <c r="L403" t="s">
        <v>134</v>
      </c>
      <c r="M403">
        <v>35.1</v>
      </c>
      <c r="N403">
        <v>22.670500000000001</v>
      </c>
      <c r="O403">
        <v>16.918099999999999</v>
      </c>
      <c r="P403">
        <v>16.918099999999999</v>
      </c>
      <c r="Q403">
        <v>35.4116</v>
      </c>
      <c r="R403">
        <v>27.2517</v>
      </c>
      <c r="S403">
        <v>3.0550999999999999</v>
      </c>
      <c r="T403">
        <v>15.272500000000001</v>
      </c>
      <c r="U403">
        <v>2.9215999999999998</v>
      </c>
      <c r="V403">
        <v>-4.8804999999999996</v>
      </c>
      <c r="W403">
        <v>-53.436799999999998</v>
      </c>
      <c r="X403">
        <v>-52.112699999999997</v>
      </c>
      <c r="Y403">
        <v>-50</v>
      </c>
      <c r="Z403">
        <v>8.1417999999999999</v>
      </c>
      <c r="AA403">
        <v>24.322600000000001</v>
      </c>
      <c r="AB403">
        <v>1.9125999999999999</v>
      </c>
      <c r="AC403">
        <v>-1.4999</v>
      </c>
      <c r="AD403">
        <v>7.7408999999999999</v>
      </c>
      <c r="AE403">
        <v>-19.235900000000001</v>
      </c>
      <c r="AF403">
        <v>18.1189</v>
      </c>
      <c r="AG403" t="s">
        <v>134</v>
      </c>
      <c r="AH403">
        <v>2.6753999999999998</v>
      </c>
      <c r="AI403">
        <v>-4.2023000000000001</v>
      </c>
      <c r="AJ403">
        <v>-1.6903999999999999</v>
      </c>
      <c r="AK403">
        <v>5.3342000000000001</v>
      </c>
      <c r="AL403">
        <v>45.095799999999997</v>
      </c>
      <c r="AM403">
        <v>16.013999999999999</v>
      </c>
      <c r="AN403">
        <v>12.447699999999999</v>
      </c>
      <c r="AO403">
        <v>11.4833</v>
      </c>
      <c r="AP403">
        <v>0.56510000000000005</v>
      </c>
      <c r="AQ403">
        <v>-0.76639999999999997</v>
      </c>
      <c r="AR403">
        <v>0</v>
      </c>
      <c r="AS403">
        <v>25.9712</v>
      </c>
      <c r="AT403">
        <v>5.5062999999999995</v>
      </c>
      <c r="AU403">
        <v>4.2682000000000002</v>
      </c>
      <c r="AV403">
        <v>8.0009999999999994</v>
      </c>
      <c r="AW403">
        <v>22.5412</v>
      </c>
      <c r="AX403">
        <v>32.661499999999997</v>
      </c>
      <c r="AY403" t="s">
        <v>134</v>
      </c>
      <c r="AZ403" t="s">
        <v>134</v>
      </c>
      <c r="BA403">
        <v>5.2771999999999997</v>
      </c>
      <c r="BB403">
        <v>8.0487000000000002</v>
      </c>
      <c r="BC403">
        <v>6.9399999999999995</v>
      </c>
      <c r="BD403">
        <v>7.6150000000000002</v>
      </c>
      <c r="BE403">
        <v>6.5387000000000004</v>
      </c>
      <c r="BF403">
        <v>15.272500000000001</v>
      </c>
      <c r="BG403">
        <v>2.9215999999999998</v>
      </c>
      <c r="BH403">
        <v>-4.8804999999999996</v>
      </c>
      <c r="BI403">
        <v>-53.436799999999998</v>
      </c>
      <c r="BJ403">
        <v>-52.112699999999997</v>
      </c>
      <c r="BK403">
        <v>-50</v>
      </c>
      <c r="BL403">
        <v>8.1417999999999999</v>
      </c>
      <c r="BM403">
        <v>24.322600000000001</v>
      </c>
      <c r="BN403">
        <v>1.9125999999999999</v>
      </c>
      <c r="BO403">
        <v>-1.4999</v>
      </c>
      <c r="BP403">
        <v>7.7408999999999999</v>
      </c>
      <c r="BQ403">
        <v>-19.235900000000001</v>
      </c>
      <c r="BR403">
        <v>18.1189</v>
      </c>
      <c r="BS403" t="s">
        <v>134</v>
      </c>
      <c r="BT403">
        <v>2.6753999999999998</v>
      </c>
      <c r="BU403">
        <v>-4.2023000000000001</v>
      </c>
      <c r="BV403">
        <v>-1.6903999999999999</v>
      </c>
      <c r="BW403">
        <v>5.3342000000000001</v>
      </c>
      <c r="BX403">
        <v>45.095799999999997</v>
      </c>
      <c r="BY403">
        <v>193090.4</v>
      </c>
      <c r="BZ403">
        <v>0</v>
      </c>
      <c r="CA403">
        <v>193090.4</v>
      </c>
      <c r="CB403">
        <v>4.3906000000000001</v>
      </c>
      <c r="CC403">
        <v>2.9379</v>
      </c>
      <c r="CD403">
        <v>6.6954000000000002</v>
      </c>
      <c r="CE403">
        <v>4.4802</v>
      </c>
      <c r="CF403">
        <v>2.7111999999999998</v>
      </c>
      <c r="CG403">
        <v>46.002400000000002</v>
      </c>
      <c r="CH403">
        <v>61.667299999999997</v>
      </c>
      <c r="CI403">
        <v>38.144599999999997</v>
      </c>
      <c r="CJ403">
        <v>31.447400000000002</v>
      </c>
      <c r="CK403">
        <v>61.667299999999997</v>
      </c>
      <c r="CL403">
        <v>38.144599999999997</v>
      </c>
      <c r="CM403">
        <v>31.447400000000002</v>
      </c>
      <c r="CN403">
        <v>41.2637</v>
      </c>
      <c r="CO403">
        <v>29.2104</v>
      </c>
      <c r="CP403">
        <v>43977.9</v>
      </c>
      <c r="CQ403">
        <v>21478.7</v>
      </c>
      <c r="CR403">
        <v>28839.1</v>
      </c>
      <c r="CS403">
        <v>0.876</v>
      </c>
      <c r="CT403">
        <v>1.8380999999999998</v>
      </c>
      <c r="CU403">
        <v>1.2081999999999999</v>
      </c>
      <c r="CV403">
        <v>1.3127</v>
      </c>
      <c r="CW403">
        <v>3.0901000000000001</v>
      </c>
      <c r="CX403">
        <v>118.11790000000001</v>
      </c>
      <c r="CY403" t="s">
        <v>134</v>
      </c>
      <c r="CZ403" t="s">
        <v>134</v>
      </c>
      <c r="DA403" t="s">
        <v>134</v>
      </c>
      <c r="DB403" t="s">
        <v>134</v>
      </c>
      <c r="DC403" t="s">
        <v>134</v>
      </c>
      <c r="DD403" t="s">
        <v>134</v>
      </c>
      <c r="DE403">
        <v>798.4</v>
      </c>
      <c r="DF403">
        <v>31.6</v>
      </c>
      <c r="DG403">
        <v>0</v>
      </c>
      <c r="DH403">
        <v>19.100000000000001</v>
      </c>
      <c r="DI403">
        <v>747.7</v>
      </c>
    </row>
    <row r="404" spans="1:113" x14ac:dyDescent="0.3">
      <c r="E404" t="s">
        <v>4</v>
      </c>
      <c r="F404" t="s">
        <v>134</v>
      </c>
      <c r="G404" t="s">
        <v>134</v>
      </c>
      <c r="H404" t="s">
        <v>134</v>
      </c>
      <c r="I404" t="s">
        <v>134</v>
      </c>
      <c r="J404" t="s">
        <v>134</v>
      </c>
      <c r="K404" t="s">
        <v>134</v>
      </c>
      <c r="L404" t="s">
        <v>134</v>
      </c>
      <c r="M404" t="s">
        <v>134</v>
      </c>
      <c r="N404" t="s">
        <v>134</v>
      </c>
      <c r="O404" t="s">
        <v>134</v>
      </c>
      <c r="P404" t="s">
        <v>134</v>
      </c>
      <c r="Q404" t="s">
        <v>134</v>
      </c>
      <c r="R404" t="s">
        <v>134</v>
      </c>
      <c r="S404" t="s">
        <v>134</v>
      </c>
      <c r="T404" t="s">
        <v>134</v>
      </c>
      <c r="U404" t="s">
        <v>134</v>
      </c>
      <c r="V404" t="s">
        <v>134</v>
      </c>
      <c r="W404" t="s">
        <v>134</v>
      </c>
      <c r="X404" t="s">
        <v>134</v>
      </c>
      <c r="Y404" t="s">
        <v>134</v>
      </c>
      <c r="Z404" t="s">
        <v>134</v>
      </c>
      <c r="AA404" t="s">
        <v>134</v>
      </c>
      <c r="AB404" t="s">
        <v>134</v>
      </c>
      <c r="AC404" t="s">
        <v>134</v>
      </c>
      <c r="AD404" t="s">
        <v>134</v>
      </c>
      <c r="AE404" t="s">
        <v>134</v>
      </c>
      <c r="AF404" t="s">
        <v>134</v>
      </c>
      <c r="AG404" t="s">
        <v>134</v>
      </c>
      <c r="AH404" t="s">
        <v>134</v>
      </c>
      <c r="AI404" t="s">
        <v>134</v>
      </c>
      <c r="AJ404" t="s">
        <v>134</v>
      </c>
      <c r="AK404" t="s">
        <v>134</v>
      </c>
      <c r="AL404" t="s">
        <v>134</v>
      </c>
      <c r="AM404" t="s">
        <v>134</v>
      </c>
      <c r="AN404" t="s">
        <v>134</v>
      </c>
      <c r="AO404" t="s">
        <v>134</v>
      </c>
      <c r="AP404" t="s">
        <v>134</v>
      </c>
      <c r="AQ404" t="s">
        <v>134</v>
      </c>
      <c r="AR404" t="s">
        <v>134</v>
      </c>
      <c r="AS404" t="s">
        <v>134</v>
      </c>
      <c r="AT404" t="s">
        <v>134</v>
      </c>
      <c r="AU404" t="s">
        <v>134</v>
      </c>
      <c r="AV404" t="s">
        <v>134</v>
      </c>
      <c r="AW404" t="s">
        <v>134</v>
      </c>
      <c r="AX404" t="s">
        <v>134</v>
      </c>
      <c r="AY404" t="s">
        <v>134</v>
      </c>
      <c r="AZ404" t="s">
        <v>134</v>
      </c>
      <c r="BA404" t="s">
        <v>134</v>
      </c>
      <c r="BB404" t="s">
        <v>134</v>
      </c>
      <c r="BC404" t="s">
        <v>134</v>
      </c>
      <c r="BD404" t="s">
        <v>134</v>
      </c>
      <c r="BE404" t="s">
        <v>134</v>
      </c>
      <c r="BF404" t="s">
        <v>134</v>
      </c>
      <c r="BG404" t="s">
        <v>134</v>
      </c>
      <c r="BH404" t="s">
        <v>134</v>
      </c>
      <c r="BI404" t="s">
        <v>134</v>
      </c>
      <c r="BJ404" t="s">
        <v>134</v>
      </c>
      <c r="BK404" t="s">
        <v>134</v>
      </c>
      <c r="BL404" t="s">
        <v>134</v>
      </c>
      <c r="BM404" t="s">
        <v>134</v>
      </c>
      <c r="BN404" t="s">
        <v>134</v>
      </c>
      <c r="BO404" t="s">
        <v>134</v>
      </c>
      <c r="BP404" t="s">
        <v>134</v>
      </c>
      <c r="BQ404" t="s">
        <v>134</v>
      </c>
      <c r="BR404" t="s">
        <v>134</v>
      </c>
      <c r="BS404" t="s">
        <v>134</v>
      </c>
      <c r="BT404" t="s">
        <v>134</v>
      </c>
      <c r="BU404" t="s">
        <v>134</v>
      </c>
      <c r="BV404" t="s">
        <v>134</v>
      </c>
      <c r="BW404" t="s">
        <v>134</v>
      </c>
      <c r="BX404" t="s">
        <v>134</v>
      </c>
      <c r="BY404" t="s">
        <v>134</v>
      </c>
      <c r="BZ404" t="s">
        <v>134</v>
      </c>
      <c r="CA404" t="s">
        <v>134</v>
      </c>
      <c r="CB404" t="s">
        <v>134</v>
      </c>
      <c r="CC404" t="s">
        <v>134</v>
      </c>
      <c r="CD404" t="s">
        <v>134</v>
      </c>
      <c r="CE404" t="s">
        <v>134</v>
      </c>
      <c r="CF404" t="s">
        <v>134</v>
      </c>
      <c r="CG404" t="s">
        <v>134</v>
      </c>
      <c r="CH404" t="s">
        <v>134</v>
      </c>
      <c r="CI404" t="s">
        <v>134</v>
      </c>
      <c r="CJ404" t="s">
        <v>134</v>
      </c>
      <c r="CK404" t="s">
        <v>134</v>
      </c>
      <c r="CL404" t="s">
        <v>134</v>
      </c>
      <c r="CM404" t="s">
        <v>134</v>
      </c>
      <c r="CN404" t="s">
        <v>134</v>
      </c>
      <c r="CO404" t="s">
        <v>134</v>
      </c>
      <c r="CP404" t="s">
        <v>134</v>
      </c>
      <c r="CQ404" t="s">
        <v>134</v>
      </c>
      <c r="CR404" t="s">
        <v>134</v>
      </c>
      <c r="CS404" t="s">
        <v>134</v>
      </c>
      <c r="CT404" t="s">
        <v>134</v>
      </c>
      <c r="CU404" t="s">
        <v>134</v>
      </c>
      <c r="CV404" t="s">
        <v>134</v>
      </c>
      <c r="CW404" t="s">
        <v>134</v>
      </c>
      <c r="CX404" t="s">
        <v>134</v>
      </c>
      <c r="CY404" t="s">
        <v>134</v>
      </c>
      <c r="CZ404" t="s">
        <v>134</v>
      </c>
      <c r="DA404" t="s">
        <v>134</v>
      </c>
      <c r="DB404" t="s">
        <v>134</v>
      </c>
      <c r="DC404" t="s">
        <v>134</v>
      </c>
      <c r="DD404" t="s">
        <v>134</v>
      </c>
      <c r="DE404" t="s">
        <v>134</v>
      </c>
      <c r="DF404" t="s">
        <v>134</v>
      </c>
      <c r="DG404" t="s">
        <v>134</v>
      </c>
      <c r="DH404" t="s">
        <v>134</v>
      </c>
      <c r="DI404" t="s">
        <v>134</v>
      </c>
    </row>
    <row r="405" spans="1:113" x14ac:dyDescent="0.3">
      <c r="E405" t="s">
        <v>5</v>
      </c>
      <c r="F405" t="s">
        <v>134</v>
      </c>
      <c r="G405" t="s">
        <v>134</v>
      </c>
      <c r="H405" t="s">
        <v>134</v>
      </c>
      <c r="I405" t="s">
        <v>134</v>
      </c>
      <c r="J405" t="s">
        <v>134</v>
      </c>
      <c r="K405" t="s">
        <v>134</v>
      </c>
      <c r="L405" t="s">
        <v>134</v>
      </c>
      <c r="M405" t="s">
        <v>134</v>
      </c>
      <c r="N405" t="s">
        <v>134</v>
      </c>
      <c r="O405" t="s">
        <v>134</v>
      </c>
      <c r="P405" t="s">
        <v>134</v>
      </c>
      <c r="Q405" t="s">
        <v>134</v>
      </c>
      <c r="R405" t="s">
        <v>134</v>
      </c>
      <c r="S405" t="s">
        <v>134</v>
      </c>
      <c r="T405" t="s">
        <v>134</v>
      </c>
      <c r="U405" t="s">
        <v>134</v>
      </c>
      <c r="V405" t="s">
        <v>134</v>
      </c>
      <c r="W405" t="s">
        <v>134</v>
      </c>
      <c r="X405" t="s">
        <v>134</v>
      </c>
      <c r="Y405" t="s">
        <v>134</v>
      </c>
      <c r="Z405" t="s">
        <v>134</v>
      </c>
      <c r="AA405" t="s">
        <v>134</v>
      </c>
      <c r="AB405" t="s">
        <v>134</v>
      </c>
      <c r="AC405" t="s">
        <v>134</v>
      </c>
      <c r="AD405" t="s">
        <v>134</v>
      </c>
      <c r="AE405" t="s">
        <v>134</v>
      </c>
      <c r="AF405" t="s">
        <v>134</v>
      </c>
      <c r="AG405" t="s">
        <v>134</v>
      </c>
      <c r="AH405" t="s">
        <v>134</v>
      </c>
      <c r="AI405" t="s">
        <v>134</v>
      </c>
      <c r="AJ405" t="s">
        <v>134</v>
      </c>
      <c r="AK405" t="s">
        <v>134</v>
      </c>
      <c r="AL405" t="s">
        <v>134</v>
      </c>
      <c r="AM405" t="s">
        <v>134</v>
      </c>
      <c r="AN405" t="s">
        <v>134</v>
      </c>
      <c r="AO405" t="s">
        <v>134</v>
      </c>
      <c r="AP405" t="s">
        <v>134</v>
      </c>
      <c r="AQ405" t="s">
        <v>134</v>
      </c>
      <c r="AR405" t="s">
        <v>134</v>
      </c>
      <c r="AS405" t="s">
        <v>134</v>
      </c>
      <c r="AT405" t="s">
        <v>134</v>
      </c>
      <c r="AU405" t="s">
        <v>134</v>
      </c>
      <c r="AV405" t="s">
        <v>134</v>
      </c>
      <c r="AW405" t="s">
        <v>134</v>
      </c>
      <c r="AX405" t="s">
        <v>134</v>
      </c>
      <c r="AY405" t="s">
        <v>134</v>
      </c>
      <c r="AZ405" t="s">
        <v>134</v>
      </c>
      <c r="BA405" t="s">
        <v>134</v>
      </c>
      <c r="BB405" t="s">
        <v>134</v>
      </c>
      <c r="BC405" t="s">
        <v>134</v>
      </c>
      <c r="BD405" t="s">
        <v>134</v>
      </c>
      <c r="BE405" t="s">
        <v>134</v>
      </c>
      <c r="BF405" t="s">
        <v>134</v>
      </c>
      <c r="BG405" t="s">
        <v>134</v>
      </c>
      <c r="BH405" t="s">
        <v>134</v>
      </c>
      <c r="BI405" t="s">
        <v>134</v>
      </c>
      <c r="BJ405" t="s">
        <v>134</v>
      </c>
      <c r="BK405" t="s">
        <v>134</v>
      </c>
      <c r="BL405" t="s">
        <v>134</v>
      </c>
      <c r="BM405" t="s">
        <v>134</v>
      </c>
      <c r="BN405" t="s">
        <v>134</v>
      </c>
      <c r="BO405" t="s">
        <v>134</v>
      </c>
      <c r="BP405" t="s">
        <v>134</v>
      </c>
      <c r="BQ405" t="s">
        <v>134</v>
      </c>
      <c r="BR405" t="s">
        <v>134</v>
      </c>
      <c r="BS405" t="s">
        <v>134</v>
      </c>
      <c r="BT405" t="s">
        <v>134</v>
      </c>
      <c r="BU405" t="s">
        <v>134</v>
      </c>
      <c r="BV405" t="s">
        <v>134</v>
      </c>
      <c r="BW405" t="s">
        <v>134</v>
      </c>
      <c r="BX405" t="s">
        <v>134</v>
      </c>
      <c r="BY405" t="s">
        <v>134</v>
      </c>
      <c r="BZ405" t="s">
        <v>134</v>
      </c>
      <c r="CA405" t="s">
        <v>134</v>
      </c>
      <c r="CB405" t="s">
        <v>134</v>
      </c>
      <c r="CC405" t="s">
        <v>134</v>
      </c>
      <c r="CD405" t="s">
        <v>134</v>
      </c>
      <c r="CE405" t="s">
        <v>134</v>
      </c>
      <c r="CF405" t="s">
        <v>134</v>
      </c>
      <c r="CG405" t="s">
        <v>134</v>
      </c>
      <c r="CH405" t="s">
        <v>134</v>
      </c>
      <c r="CI405" t="s">
        <v>134</v>
      </c>
      <c r="CJ405" t="s">
        <v>134</v>
      </c>
      <c r="CK405" t="s">
        <v>134</v>
      </c>
      <c r="CL405" t="s">
        <v>134</v>
      </c>
      <c r="CM405" t="s">
        <v>134</v>
      </c>
      <c r="CN405" t="s">
        <v>134</v>
      </c>
      <c r="CO405" t="s">
        <v>134</v>
      </c>
      <c r="CP405" t="s">
        <v>134</v>
      </c>
      <c r="CQ405" t="s">
        <v>134</v>
      </c>
      <c r="CR405" t="s">
        <v>134</v>
      </c>
      <c r="CS405" t="s">
        <v>134</v>
      </c>
      <c r="CT405" t="s">
        <v>134</v>
      </c>
      <c r="CU405" t="s">
        <v>134</v>
      </c>
      <c r="CV405" t="s">
        <v>134</v>
      </c>
      <c r="CW405" t="s">
        <v>134</v>
      </c>
      <c r="CX405" t="s">
        <v>134</v>
      </c>
      <c r="CY405" t="s">
        <v>134</v>
      </c>
      <c r="CZ405" t="s">
        <v>134</v>
      </c>
      <c r="DA405" t="s">
        <v>134</v>
      </c>
      <c r="DB405" t="s">
        <v>134</v>
      </c>
      <c r="DC405" t="s">
        <v>134</v>
      </c>
      <c r="DD405" t="s">
        <v>134</v>
      </c>
      <c r="DE405" t="s">
        <v>134</v>
      </c>
      <c r="DF405" t="s">
        <v>134</v>
      </c>
      <c r="DG405" t="s">
        <v>134</v>
      </c>
      <c r="DH405" t="s">
        <v>134</v>
      </c>
      <c r="DI405" t="s">
        <v>134</v>
      </c>
    </row>
    <row r="406" spans="1:113" x14ac:dyDescent="0.3">
      <c r="E406" t="s">
        <v>6</v>
      </c>
      <c r="F406" t="s">
        <v>134</v>
      </c>
      <c r="G406" t="s">
        <v>134</v>
      </c>
      <c r="H406" t="s">
        <v>134</v>
      </c>
      <c r="I406" t="s">
        <v>134</v>
      </c>
      <c r="J406" t="s">
        <v>134</v>
      </c>
      <c r="K406" t="s">
        <v>134</v>
      </c>
      <c r="L406" t="s">
        <v>134</v>
      </c>
      <c r="M406" t="s">
        <v>134</v>
      </c>
      <c r="N406" t="s">
        <v>134</v>
      </c>
      <c r="O406" t="s">
        <v>134</v>
      </c>
      <c r="P406" t="s">
        <v>134</v>
      </c>
      <c r="Q406" t="s">
        <v>134</v>
      </c>
      <c r="R406" t="s">
        <v>134</v>
      </c>
      <c r="S406" t="s">
        <v>134</v>
      </c>
      <c r="T406" t="s">
        <v>134</v>
      </c>
      <c r="U406" t="s">
        <v>134</v>
      </c>
      <c r="V406" t="s">
        <v>134</v>
      </c>
      <c r="W406" t="s">
        <v>134</v>
      </c>
      <c r="X406" t="s">
        <v>134</v>
      </c>
      <c r="Y406" t="s">
        <v>134</v>
      </c>
      <c r="Z406" t="s">
        <v>134</v>
      </c>
      <c r="AA406" t="s">
        <v>134</v>
      </c>
      <c r="AB406" t="s">
        <v>134</v>
      </c>
      <c r="AC406" t="s">
        <v>134</v>
      </c>
      <c r="AD406" t="s">
        <v>134</v>
      </c>
      <c r="AE406" t="s">
        <v>134</v>
      </c>
      <c r="AF406" t="s">
        <v>134</v>
      </c>
      <c r="AG406" t="s">
        <v>134</v>
      </c>
      <c r="AH406" t="s">
        <v>134</v>
      </c>
      <c r="AI406" t="s">
        <v>134</v>
      </c>
      <c r="AJ406" t="s">
        <v>134</v>
      </c>
      <c r="AK406" t="s">
        <v>134</v>
      </c>
      <c r="AL406" t="s">
        <v>134</v>
      </c>
      <c r="AM406" t="s">
        <v>134</v>
      </c>
      <c r="AN406" t="s">
        <v>134</v>
      </c>
      <c r="AO406" t="s">
        <v>134</v>
      </c>
      <c r="AP406" t="s">
        <v>134</v>
      </c>
      <c r="AQ406" t="s">
        <v>134</v>
      </c>
      <c r="AR406" t="s">
        <v>134</v>
      </c>
      <c r="AS406" t="s">
        <v>134</v>
      </c>
      <c r="AT406" t="s">
        <v>134</v>
      </c>
      <c r="AU406" t="s">
        <v>134</v>
      </c>
      <c r="AV406" t="s">
        <v>134</v>
      </c>
      <c r="AW406" t="s">
        <v>134</v>
      </c>
      <c r="AX406" t="s">
        <v>134</v>
      </c>
      <c r="AY406" t="s">
        <v>134</v>
      </c>
      <c r="AZ406" t="s">
        <v>134</v>
      </c>
      <c r="BA406" t="s">
        <v>134</v>
      </c>
      <c r="BB406" t="s">
        <v>134</v>
      </c>
      <c r="BC406" t="s">
        <v>134</v>
      </c>
      <c r="BD406" t="s">
        <v>134</v>
      </c>
      <c r="BE406" t="s">
        <v>134</v>
      </c>
      <c r="BF406" t="s">
        <v>134</v>
      </c>
      <c r="BG406" t="s">
        <v>134</v>
      </c>
      <c r="BH406" t="s">
        <v>134</v>
      </c>
      <c r="BI406" t="s">
        <v>134</v>
      </c>
      <c r="BJ406" t="s">
        <v>134</v>
      </c>
      <c r="BK406" t="s">
        <v>134</v>
      </c>
      <c r="BL406" t="s">
        <v>134</v>
      </c>
      <c r="BM406" t="s">
        <v>134</v>
      </c>
      <c r="BN406" t="s">
        <v>134</v>
      </c>
      <c r="BO406" t="s">
        <v>134</v>
      </c>
      <c r="BP406" t="s">
        <v>134</v>
      </c>
      <c r="BQ406" t="s">
        <v>134</v>
      </c>
      <c r="BR406" t="s">
        <v>134</v>
      </c>
      <c r="BS406" t="s">
        <v>134</v>
      </c>
      <c r="BT406" t="s">
        <v>134</v>
      </c>
      <c r="BU406" t="s">
        <v>134</v>
      </c>
      <c r="BV406" t="s">
        <v>134</v>
      </c>
      <c r="BW406" t="s">
        <v>134</v>
      </c>
      <c r="BX406" t="s">
        <v>134</v>
      </c>
      <c r="BY406" t="s">
        <v>134</v>
      </c>
      <c r="BZ406" t="s">
        <v>134</v>
      </c>
      <c r="CA406" t="s">
        <v>134</v>
      </c>
      <c r="CB406" t="s">
        <v>134</v>
      </c>
      <c r="CC406" t="s">
        <v>134</v>
      </c>
      <c r="CD406" t="s">
        <v>134</v>
      </c>
      <c r="CE406" t="s">
        <v>134</v>
      </c>
      <c r="CF406" t="s">
        <v>134</v>
      </c>
      <c r="CG406" t="s">
        <v>134</v>
      </c>
      <c r="CH406" t="s">
        <v>134</v>
      </c>
      <c r="CI406" t="s">
        <v>134</v>
      </c>
      <c r="CJ406" t="s">
        <v>134</v>
      </c>
      <c r="CK406" t="s">
        <v>134</v>
      </c>
      <c r="CL406" t="s">
        <v>134</v>
      </c>
      <c r="CM406" t="s">
        <v>134</v>
      </c>
      <c r="CN406" t="s">
        <v>134</v>
      </c>
      <c r="CO406" t="s">
        <v>134</v>
      </c>
      <c r="CP406" t="s">
        <v>134</v>
      </c>
      <c r="CQ406" t="s">
        <v>134</v>
      </c>
      <c r="CR406" t="s">
        <v>134</v>
      </c>
      <c r="CS406" t="s">
        <v>134</v>
      </c>
      <c r="CT406" t="s">
        <v>134</v>
      </c>
      <c r="CU406" t="s">
        <v>134</v>
      </c>
      <c r="CV406" t="s">
        <v>134</v>
      </c>
      <c r="CW406" t="s">
        <v>134</v>
      </c>
      <c r="CX406" t="s">
        <v>134</v>
      </c>
      <c r="CY406" t="s">
        <v>134</v>
      </c>
      <c r="CZ406" t="s">
        <v>134</v>
      </c>
      <c r="DA406" t="s">
        <v>134</v>
      </c>
      <c r="DB406" t="s">
        <v>134</v>
      </c>
      <c r="DC406" t="s">
        <v>134</v>
      </c>
      <c r="DD406" t="s">
        <v>134</v>
      </c>
      <c r="DE406" t="s">
        <v>134</v>
      </c>
      <c r="DF406" t="s">
        <v>134</v>
      </c>
      <c r="DG406" t="s">
        <v>134</v>
      </c>
      <c r="DH406" t="s">
        <v>134</v>
      </c>
      <c r="DI406" t="s">
        <v>134</v>
      </c>
    </row>
    <row r="407" spans="1:113" x14ac:dyDescent="0.3">
      <c r="E407" t="s">
        <v>7</v>
      </c>
      <c r="F407" t="s">
        <v>134</v>
      </c>
      <c r="G407" t="s">
        <v>134</v>
      </c>
      <c r="H407" t="s">
        <v>134</v>
      </c>
      <c r="I407" t="s">
        <v>134</v>
      </c>
      <c r="J407" t="s">
        <v>134</v>
      </c>
      <c r="K407" t="s">
        <v>134</v>
      </c>
      <c r="L407" t="s">
        <v>134</v>
      </c>
      <c r="M407" t="s">
        <v>134</v>
      </c>
      <c r="N407" t="s">
        <v>134</v>
      </c>
      <c r="O407" t="s">
        <v>134</v>
      </c>
      <c r="P407" t="s">
        <v>134</v>
      </c>
      <c r="Q407" t="s">
        <v>134</v>
      </c>
      <c r="R407" t="s">
        <v>134</v>
      </c>
      <c r="S407" t="s">
        <v>134</v>
      </c>
      <c r="T407" t="s">
        <v>134</v>
      </c>
      <c r="U407" t="s">
        <v>134</v>
      </c>
      <c r="V407" t="s">
        <v>134</v>
      </c>
      <c r="W407" t="s">
        <v>134</v>
      </c>
      <c r="X407" t="s">
        <v>134</v>
      </c>
      <c r="Y407" t="s">
        <v>134</v>
      </c>
      <c r="Z407" t="s">
        <v>134</v>
      </c>
      <c r="AA407" t="s">
        <v>134</v>
      </c>
      <c r="AB407" t="s">
        <v>134</v>
      </c>
      <c r="AC407" t="s">
        <v>134</v>
      </c>
      <c r="AD407" t="s">
        <v>134</v>
      </c>
      <c r="AE407" t="s">
        <v>134</v>
      </c>
      <c r="AF407" t="s">
        <v>134</v>
      </c>
      <c r="AG407" t="s">
        <v>134</v>
      </c>
      <c r="AH407" t="s">
        <v>134</v>
      </c>
      <c r="AI407" t="s">
        <v>134</v>
      </c>
      <c r="AJ407" t="s">
        <v>134</v>
      </c>
      <c r="AK407" t="s">
        <v>134</v>
      </c>
      <c r="AL407" t="s">
        <v>134</v>
      </c>
      <c r="AM407" t="s">
        <v>134</v>
      </c>
      <c r="AN407" t="s">
        <v>134</v>
      </c>
      <c r="AO407" t="s">
        <v>134</v>
      </c>
      <c r="AP407" t="s">
        <v>134</v>
      </c>
      <c r="AQ407" t="s">
        <v>134</v>
      </c>
      <c r="AR407" t="s">
        <v>134</v>
      </c>
      <c r="AS407" t="s">
        <v>134</v>
      </c>
      <c r="AT407" t="s">
        <v>134</v>
      </c>
      <c r="AU407" t="s">
        <v>134</v>
      </c>
      <c r="AV407" t="s">
        <v>134</v>
      </c>
      <c r="AW407" t="s">
        <v>134</v>
      </c>
      <c r="AX407" t="s">
        <v>134</v>
      </c>
      <c r="AY407" t="s">
        <v>134</v>
      </c>
      <c r="AZ407" t="s">
        <v>134</v>
      </c>
      <c r="BA407" t="s">
        <v>134</v>
      </c>
      <c r="BB407" t="s">
        <v>134</v>
      </c>
      <c r="BC407" t="s">
        <v>134</v>
      </c>
      <c r="BD407" t="s">
        <v>134</v>
      </c>
      <c r="BE407" t="s">
        <v>134</v>
      </c>
      <c r="BF407" t="s">
        <v>134</v>
      </c>
      <c r="BG407" t="s">
        <v>134</v>
      </c>
      <c r="BH407" t="s">
        <v>134</v>
      </c>
      <c r="BI407" t="s">
        <v>134</v>
      </c>
      <c r="BJ407" t="s">
        <v>134</v>
      </c>
      <c r="BK407" t="s">
        <v>134</v>
      </c>
      <c r="BL407" t="s">
        <v>134</v>
      </c>
      <c r="BM407" t="s">
        <v>134</v>
      </c>
      <c r="BN407" t="s">
        <v>134</v>
      </c>
      <c r="BO407" t="s">
        <v>134</v>
      </c>
      <c r="BP407" t="s">
        <v>134</v>
      </c>
      <c r="BQ407" t="s">
        <v>134</v>
      </c>
      <c r="BR407" t="s">
        <v>134</v>
      </c>
      <c r="BS407" t="s">
        <v>134</v>
      </c>
      <c r="BT407" t="s">
        <v>134</v>
      </c>
      <c r="BU407" t="s">
        <v>134</v>
      </c>
      <c r="BV407" t="s">
        <v>134</v>
      </c>
      <c r="BW407" t="s">
        <v>134</v>
      </c>
      <c r="BX407" t="s">
        <v>134</v>
      </c>
      <c r="BY407" t="s">
        <v>134</v>
      </c>
      <c r="BZ407" t="s">
        <v>134</v>
      </c>
      <c r="CA407" t="s">
        <v>134</v>
      </c>
      <c r="CB407" t="s">
        <v>134</v>
      </c>
      <c r="CC407" t="s">
        <v>134</v>
      </c>
      <c r="CD407" t="s">
        <v>134</v>
      </c>
      <c r="CE407" t="s">
        <v>134</v>
      </c>
      <c r="CF407" t="s">
        <v>134</v>
      </c>
      <c r="CG407" t="s">
        <v>134</v>
      </c>
      <c r="CH407" t="s">
        <v>134</v>
      </c>
      <c r="CI407" t="s">
        <v>134</v>
      </c>
      <c r="CJ407" t="s">
        <v>134</v>
      </c>
      <c r="CK407" t="s">
        <v>134</v>
      </c>
      <c r="CL407" t="s">
        <v>134</v>
      </c>
      <c r="CM407" t="s">
        <v>134</v>
      </c>
      <c r="CN407" t="s">
        <v>134</v>
      </c>
      <c r="CO407" t="s">
        <v>134</v>
      </c>
      <c r="CP407" t="s">
        <v>134</v>
      </c>
      <c r="CQ407" t="s">
        <v>134</v>
      </c>
      <c r="CR407" t="s">
        <v>134</v>
      </c>
      <c r="CS407" t="s">
        <v>134</v>
      </c>
      <c r="CT407" t="s">
        <v>134</v>
      </c>
      <c r="CU407" t="s">
        <v>134</v>
      </c>
      <c r="CV407" t="s">
        <v>134</v>
      </c>
      <c r="CW407" t="s">
        <v>134</v>
      </c>
      <c r="CX407" t="s">
        <v>134</v>
      </c>
      <c r="CY407" t="s">
        <v>134</v>
      </c>
      <c r="CZ407" t="s">
        <v>134</v>
      </c>
      <c r="DA407" t="s">
        <v>134</v>
      </c>
      <c r="DB407" t="s">
        <v>134</v>
      </c>
      <c r="DC407" t="s">
        <v>134</v>
      </c>
      <c r="DD407" t="s">
        <v>134</v>
      </c>
      <c r="DE407" t="s">
        <v>134</v>
      </c>
      <c r="DF407" t="s">
        <v>134</v>
      </c>
      <c r="DG407" t="s">
        <v>134</v>
      </c>
      <c r="DH407" t="s">
        <v>134</v>
      </c>
      <c r="DI407" t="s">
        <v>134</v>
      </c>
    </row>
    <row r="408" spans="1:113" x14ac:dyDescent="0.3">
      <c r="D408" t="s">
        <v>8</v>
      </c>
      <c r="E408" t="s">
        <v>3</v>
      </c>
      <c r="F408">
        <v>8.4448000000000008</v>
      </c>
      <c r="G408">
        <v>3.9967999999999999</v>
      </c>
      <c r="H408">
        <v>7.7027000000000001</v>
      </c>
      <c r="I408">
        <v>4.8250999999999999</v>
      </c>
      <c r="J408">
        <v>64.714399999999998</v>
      </c>
      <c r="K408">
        <v>43.601999999999997</v>
      </c>
      <c r="L408">
        <v>47.399099999999997</v>
      </c>
      <c r="M408">
        <v>45.620399999999997</v>
      </c>
      <c r="N408">
        <v>34.3292</v>
      </c>
      <c r="O408">
        <v>30.566500000000001</v>
      </c>
      <c r="P408">
        <v>30.566500000000001</v>
      </c>
      <c r="Q408">
        <v>24.7502</v>
      </c>
      <c r="R408">
        <v>26.6629</v>
      </c>
      <c r="S408">
        <v>6.1932</v>
      </c>
      <c r="T408">
        <v>13.142899999999999</v>
      </c>
      <c r="U408">
        <v>14.195399999999999</v>
      </c>
      <c r="V408">
        <v>14.4528</v>
      </c>
      <c r="W408">
        <v>104.41930000000001</v>
      </c>
      <c r="X408">
        <v>120.5882</v>
      </c>
      <c r="Y408">
        <v>100</v>
      </c>
      <c r="Z408">
        <v>19.9283</v>
      </c>
      <c r="AA408">
        <v>13.527100000000001</v>
      </c>
      <c r="AB408">
        <v>-0.36680000000000001</v>
      </c>
      <c r="AC408">
        <v>3.0403000000000002</v>
      </c>
      <c r="AD408">
        <v>24.245899999999999</v>
      </c>
      <c r="AE408">
        <v>17.322500000000002</v>
      </c>
      <c r="AF408">
        <v>-26.399899999999999</v>
      </c>
      <c r="AG408" t="s">
        <v>134</v>
      </c>
      <c r="AH408">
        <v>-3.0274000000000001</v>
      </c>
      <c r="AI408">
        <v>8.8513999999999999</v>
      </c>
      <c r="AJ408">
        <v>4.3202999999999996</v>
      </c>
      <c r="AK408">
        <v>8.8915000000000006</v>
      </c>
      <c r="AL408">
        <v>1.3044</v>
      </c>
      <c r="AM408">
        <v>10.053699999999999</v>
      </c>
      <c r="AN408">
        <v>4.5934999999999997</v>
      </c>
      <c r="AO408">
        <v>4.7492000000000001</v>
      </c>
      <c r="AP408">
        <v>2.7479</v>
      </c>
      <c r="AQ408">
        <v>4.1052999999999997</v>
      </c>
      <c r="AR408">
        <v>1.7555000000000001</v>
      </c>
      <c r="AS408">
        <v>13.6273</v>
      </c>
      <c r="AT408">
        <v>3.1021999999999998</v>
      </c>
      <c r="AU408">
        <v>3.0400999999999998</v>
      </c>
      <c r="AV408">
        <v>4.9977</v>
      </c>
      <c r="AW408">
        <v>11.930899999999999</v>
      </c>
      <c r="AX408">
        <v>6.9325999999999999</v>
      </c>
      <c r="AY408" t="s">
        <v>134</v>
      </c>
      <c r="AZ408" t="s">
        <v>134</v>
      </c>
      <c r="BA408">
        <v>2.7473000000000001</v>
      </c>
      <c r="BB408">
        <v>5.0065</v>
      </c>
      <c r="BC408">
        <v>4.1713000000000005</v>
      </c>
      <c r="BD408">
        <v>6.3609</v>
      </c>
      <c r="BE408">
        <v>2.6819999999999999</v>
      </c>
      <c r="BF408">
        <v>13.142899999999999</v>
      </c>
      <c r="BG408">
        <v>14.195399999999999</v>
      </c>
      <c r="BH408">
        <v>14.4528</v>
      </c>
      <c r="BI408">
        <v>104.41930000000001</v>
      </c>
      <c r="BJ408">
        <v>120.5882</v>
      </c>
      <c r="BK408">
        <v>100</v>
      </c>
      <c r="BL408">
        <v>19.9283</v>
      </c>
      <c r="BM408">
        <v>13.527100000000001</v>
      </c>
      <c r="BN408">
        <v>-0.36680000000000001</v>
      </c>
      <c r="BO408">
        <v>3.0403000000000002</v>
      </c>
      <c r="BP408">
        <v>24.245899999999999</v>
      </c>
      <c r="BQ408">
        <v>17.322500000000002</v>
      </c>
      <c r="BR408">
        <v>-26.399899999999999</v>
      </c>
      <c r="BS408" t="s">
        <v>134</v>
      </c>
      <c r="BT408">
        <v>-3.0274000000000001</v>
      </c>
      <c r="BU408">
        <v>8.8513999999999999</v>
      </c>
      <c r="BV408">
        <v>4.3202999999999996</v>
      </c>
      <c r="BW408">
        <v>8.8915000000000006</v>
      </c>
      <c r="BX408">
        <v>1.3044</v>
      </c>
      <c r="BY408">
        <v>187244.79999999999</v>
      </c>
      <c r="BZ408">
        <v>0</v>
      </c>
      <c r="CA408">
        <v>187244.79999999999</v>
      </c>
      <c r="CB408">
        <v>3.5499000000000001</v>
      </c>
      <c r="CC408">
        <v>2.2029999999999998</v>
      </c>
      <c r="CD408">
        <v>5.2687999999999997</v>
      </c>
      <c r="CE408">
        <v>3.2696999999999998</v>
      </c>
      <c r="CF408">
        <v>3.3486000000000002</v>
      </c>
      <c r="CG408">
        <v>48.614699999999999</v>
      </c>
      <c r="CH408">
        <v>54.937600000000003</v>
      </c>
      <c r="CI408">
        <v>35.457900000000002</v>
      </c>
      <c r="CJ408">
        <v>29.595500000000001</v>
      </c>
      <c r="CK408">
        <v>54.937600000000003</v>
      </c>
      <c r="CL408">
        <v>35.457900000000002</v>
      </c>
      <c r="CM408">
        <v>29.595500000000001</v>
      </c>
      <c r="CN408">
        <v>34.092599999999997</v>
      </c>
      <c r="CO408">
        <v>25.424700000000001</v>
      </c>
      <c r="CP408">
        <v>52746.3</v>
      </c>
      <c r="CQ408">
        <v>35486.199999999997</v>
      </c>
      <c r="CR408">
        <v>35538.400000000001</v>
      </c>
      <c r="CS408">
        <v>0.99890000000000001</v>
      </c>
      <c r="CT408">
        <v>2.0087000000000002</v>
      </c>
      <c r="CU408">
        <v>1.4074</v>
      </c>
      <c r="CV408">
        <v>1.0566</v>
      </c>
      <c r="CW408">
        <v>3.0598000000000001</v>
      </c>
      <c r="CX408">
        <v>119.29</v>
      </c>
      <c r="CY408" t="s">
        <v>134</v>
      </c>
      <c r="CZ408" t="s">
        <v>134</v>
      </c>
      <c r="DA408" t="s">
        <v>134</v>
      </c>
      <c r="DB408" t="s">
        <v>134</v>
      </c>
      <c r="DC408" t="s">
        <v>134</v>
      </c>
      <c r="DD408" t="s">
        <v>134</v>
      </c>
      <c r="DE408">
        <v>906.4</v>
      </c>
      <c r="DF408">
        <v>35.6</v>
      </c>
      <c r="DG408">
        <v>0</v>
      </c>
      <c r="DH408">
        <v>35.5</v>
      </c>
      <c r="DI408">
        <v>835.3</v>
      </c>
    </row>
    <row r="409" spans="1:113" x14ac:dyDescent="0.3">
      <c r="E409" t="s">
        <v>4</v>
      </c>
      <c r="F409" t="s">
        <v>134</v>
      </c>
      <c r="G409" t="s">
        <v>134</v>
      </c>
      <c r="H409" t="s">
        <v>134</v>
      </c>
      <c r="I409" t="s">
        <v>134</v>
      </c>
      <c r="J409" t="s">
        <v>134</v>
      </c>
      <c r="K409" t="s">
        <v>134</v>
      </c>
      <c r="L409" t="s">
        <v>134</v>
      </c>
      <c r="M409" t="s">
        <v>134</v>
      </c>
      <c r="N409" t="s">
        <v>134</v>
      </c>
      <c r="O409" t="s">
        <v>134</v>
      </c>
      <c r="P409" t="s">
        <v>134</v>
      </c>
      <c r="Q409" t="s">
        <v>134</v>
      </c>
      <c r="R409" t="s">
        <v>134</v>
      </c>
      <c r="S409" t="s">
        <v>134</v>
      </c>
      <c r="T409" t="s">
        <v>134</v>
      </c>
      <c r="U409" t="s">
        <v>134</v>
      </c>
      <c r="V409" t="s">
        <v>134</v>
      </c>
      <c r="W409" t="s">
        <v>134</v>
      </c>
      <c r="X409" t="s">
        <v>134</v>
      </c>
      <c r="Y409" t="s">
        <v>134</v>
      </c>
      <c r="Z409" t="s">
        <v>134</v>
      </c>
      <c r="AA409" t="s">
        <v>134</v>
      </c>
      <c r="AB409" t="s">
        <v>134</v>
      </c>
      <c r="AC409" t="s">
        <v>134</v>
      </c>
      <c r="AD409" t="s">
        <v>134</v>
      </c>
      <c r="AE409" t="s">
        <v>134</v>
      </c>
      <c r="AF409" t="s">
        <v>134</v>
      </c>
      <c r="AG409" t="s">
        <v>134</v>
      </c>
      <c r="AH409" t="s">
        <v>134</v>
      </c>
      <c r="AI409" t="s">
        <v>134</v>
      </c>
      <c r="AJ409" t="s">
        <v>134</v>
      </c>
      <c r="AK409" t="s">
        <v>134</v>
      </c>
      <c r="AL409" t="s">
        <v>134</v>
      </c>
      <c r="AM409" t="s">
        <v>134</v>
      </c>
      <c r="AN409" t="s">
        <v>134</v>
      </c>
      <c r="AO409" t="s">
        <v>134</v>
      </c>
      <c r="AP409" t="s">
        <v>134</v>
      </c>
      <c r="AQ409" t="s">
        <v>134</v>
      </c>
      <c r="AR409" t="s">
        <v>134</v>
      </c>
      <c r="AS409" t="s">
        <v>134</v>
      </c>
      <c r="AT409" t="s">
        <v>134</v>
      </c>
      <c r="AU409" t="s">
        <v>134</v>
      </c>
      <c r="AV409" t="s">
        <v>134</v>
      </c>
      <c r="AW409" t="s">
        <v>134</v>
      </c>
      <c r="AX409" t="s">
        <v>134</v>
      </c>
      <c r="AY409" t="s">
        <v>134</v>
      </c>
      <c r="AZ409" t="s">
        <v>134</v>
      </c>
      <c r="BA409" t="s">
        <v>134</v>
      </c>
      <c r="BB409" t="s">
        <v>134</v>
      </c>
      <c r="BC409" t="s">
        <v>134</v>
      </c>
      <c r="BD409" t="s">
        <v>134</v>
      </c>
      <c r="BE409" t="s">
        <v>134</v>
      </c>
      <c r="BF409" t="s">
        <v>134</v>
      </c>
      <c r="BG409" t="s">
        <v>134</v>
      </c>
      <c r="BH409" t="s">
        <v>134</v>
      </c>
      <c r="BI409" t="s">
        <v>134</v>
      </c>
      <c r="BJ409" t="s">
        <v>134</v>
      </c>
      <c r="BK409" t="s">
        <v>134</v>
      </c>
      <c r="BL409" t="s">
        <v>134</v>
      </c>
      <c r="BM409" t="s">
        <v>134</v>
      </c>
      <c r="BN409" t="s">
        <v>134</v>
      </c>
      <c r="BO409" t="s">
        <v>134</v>
      </c>
      <c r="BP409" t="s">
        <v>134</v>
      </c>
      <c r="BQ409" t="s">
        <v>134</v>
      </c>
      <c r="BR409" t="s">
        <v>134</v>
      </c>
      <c r="BS409" t="s">
        <v>134</v>
      </c>
      <c r="BT409" t="s">
        <v>134</v>
      </c>
      <c r="BU409" t="s">
        <v>134</v>
      </c>
      <c r="BV409" t="s">
        <v>134</v>
      </c>
      <c r="BW409" t="s">
        <v>134</v>
      </c>
      <c r="BX409" t="s">
        <v>134</v>
      </c>
      <c r="BY409" t="s">
        <v>134</v>
      </c>
      <c r="BZ409" t="s">
        <v>134</v>
      </c>
      <c r="CA409" t="s">
        <v>134</v>
      </c>
      <c r="CB409" t="s">
        <v>134</v>
      </c>
      <c r="CC409" t="s">
        <v>134</v>
      </c>
      <c r="CD409" t="s">
        <v>134</v>
      </c>
      <c r="CE409" t="s">
        <v>134</v>
      </c>
      <c r="CF409" t="s">
        <v>134</v>
      </c>
      <c r="CG409" t="s">
        <v>134</v>
      </c>
      <c r="CH409" t="s">
        <v>134</v>
      </c>
      <c r="CI409" t="s">
        <v>134</v>
      </c>
      <c r="CJ409" t="s">
        <v>134</v>
      </c>
      <c r="CK409" t="s">
        <v>134</v>
      </c>
      <c r="CL409" t="s">
        <v>134</v>
      </c>
      <c r="CM409" t="s">
        <v>134</v>
      </c>
      <c r="CN409" t="s">
        <v>134</v>
      </c>
      <c r="CO409" t="s">
        <v>134</v>
      </c>
      <c r="CP409" t="s">
        <v>134</v>
      </c>
      <c r="CQ409" t="s">
        <v>134</v>
      </c>
      <c r="CR409" t="s">
        <v>134</v>
      </c>
      <c r="CS409" t="s">
        <v>134</v>
      </c>
      <c r="CT409" t="s">
        <v>134</v>
      </c>
      <c r="CU409" t="s">
        <v>134</v>
      </c>
      <c r="CV409" t="s">
        <v>134</v>
      </c>
      <c r="CW409" t="s">
        <v>134</v>
      </c>
      <c r="CX409" t="s">
        <v>134</v>
      </c>
      <c r="CY409" t="s">
        <v>134</v>
      </c>
      <c r="CZ409" t="s">
        <v>134</v>
      </c>
      <c r="DA409" t="s">
        <v>134</v>
      </c>
      <c r="DB409" t="s">
        <v>134</v>
      </c>
      <c r="DC409" t="s">
        <v>134</v>
      </c>
      <c r="DD409" t="s">
        <v>134</v>
      </c>
      <c r="DE409" t="s">
        <v>134</v>
      </c>
      <c r="DF409" t="s">
        <v>134</v>
      </c>
      <c r="DG409" t="s">
        <v>134</v>
      </c>
      <c r="DH409" t="s">
        <v>134</v>
      </c>
      <c r="DI409" t="s">
        <v>134</v>
      </c>
    </row>
    <row r="410" spans="1:113" x14ac:dyDescent="0.3">
      <c r="E410" t="s">
        <v>5</v>
      </c>
      <c r="F410" t="s">
        <v>134</v>
      </c>
      <c r="G410" t="s">
        <v>134</v>
      </c>
      <c r="H410" t="s">
        <v>134</v>
      </c>
      <c r="I410" t="s">
        <v>134</v>
      </c>
      <c r="J410" t="s">
        <v>134</v>
      </c>
      <c r="K410" t="s">
        <v>134</v>
      </c>
      <c r="L410" t="s">
        <v>134</v>
      </c>
      <c r="M410" t="s">
        <v>134</v>
      </c>
      <c r="N410" t="s">
        <v>134</v>
      </c>
      <c r="O410" t="s">
        <v>134</v>
      </c>
      <c r="P410" t="s">
        <v>134</v>
      </c>
      <c r="Q410" t="s">
        <v>134</v>
      </c>
      <c r="R410" t="s">
        <v>134</v>
      </c>
      <c r="S410" t="s">
        <v>134</v>
      </c>
      <c r="T410" t="s">
        <v>134</v>
      </c>
      <c r="U410" t="s">
        <v>134</v>
      </c>
      <c r="V410" t="s">
        <v>134</v>
      </c>
      <c r="W410" t="s">
        <v>134</v>
      </c>
      <c r="X410" t="s">
        <v>134</v>
      </c>
      <c r="Y410" t="s">
        <v>134</v>
      </c>
      <c r="Z410" t="s">
        <v>134</v>
      </c>
      <c r="AA410" t="s">
        <v>134</v>
      </c>
      <c r="AB410" t="s">
        <v>134</v>
      </c>
      <c r="AC410" t="s">
        <v>134</v>
      </c>
      <c r="AD410" t="s">
        <v>134</v>
      </c>
      <c r="AE410" t="s">
        <v>134</v>
      </c>
      <c r="AF410" t="s">
        <v>134</v>
      </c>
      <c r="AG410" t="s">
        <v>134</v>
      </c>
      <c r="AH410" t="s">
        <v>134</v>
      </c>
      <c r="AI410" t="s">
        <v>134</v>
      </c>
      <c r="AJ410" t="s">
        <v>134</v>
      </c>
      <c r="AK410" t="s">
        <v>134</v>
      </c>
      <c r="AL410" t="s">
        <v>134</v>
      </c>
      <c r="AM410" t="s">
        <v>134</v>
      </c>
      <c r="AN410" t="s">
        <v>134</v>
      </c>
      <c r="AO410" t="s">
        <v>134</v>
      </c>
      <c r="AP410" t="s">
        <v>134</v>
      </c>
      <c r="AQ410" t="s">
        <v>134</v>
      </c>
      <c r="AR410" t="s">
        <v>134</v>
      </c>
      <c r="AS410" t="s">
        <v>134</v>
      </c>
      <c r="AT410" t="s">
        <v>134</v>
      </c>
      <c r="AU410" t="s">
        <v>134</v>
      </c>
      <c r="AV410" t="s">
        <v>134</v>
      </c>
      <c r="AW410" t="s">
        <v>134</v>
      </c>
      <c r="AX410" t="s">
        <v>134</v>
      </c>
      <c r="AY410" t="s">
        <v>134</v>
      </c>
      <c r="AZ410" t="s">
        <v>134</v>
      </c>
      <c r="BA410" t="s">
        <v>134</v>
      </c>
      <c r="BB410" t="s">
        <v>134</v>
      </c>
      <c r="BC410" t="s">
        <v>134</v>
      </c>
      <c r="BD410" t="s">
        <v>134</v>
      </c>
      <c r="BE410" t="s">
        <v>134</v>
      </c>
      <c r="BF410" t="s">
        <v>134</v>
      </c>
      <c r="BG410" t="s">
        <v>134</v>
      </c>
      <c r="BH410" t="s">
        <v>134</v>
      </c>
      <c r="BI410" t="s">
        <v>134</v>
      </c>
      <c r="BJ410" t="s">
        <v>134</v>
      </c>
      <c r="BK410" t="s">
        <v>134</v>
      </c>
      <c r="BL410" t="s">
        <v>134</v>
      </c>
      <c r="BM410" t="s">
        <v>134</v>
      </c>
      <c r="BN410" t="s">
        <v>134</v>
      </c>
      <c r="BO410" t="s">
        <v>134</v>
      </c>
      <c r="BP410" t="s">
        <v>134</v>
      </c>
      <c r="BQ410" t="s">
        <v>134</v>
      </c>
      <c r="BR410" t="s">
        <v>134</v>
      </c>
      <c r="BS410" t="s">
        <v>134</v>
      </c>
      <c r="BT410" t="s">
        <v>134</v>
      </c>
      <c r="BU410" t="s">
        <v>134</v>
      </c>
      <c r="BV410" t="s">
        <v>134</v>
      </c>
      <c r="BW410" t="s">
        <v>134</v>
      </c>
      <c r="BX410" t="s">
        <v>134</v>
      </c>
      <c r="BY410" t="s">
        <v>134</v>
      </c>
      <c r="BZ410" t="s">
        <v>134</v>
      </c>
      <c r="CA410" t="s">
        <v>134</v>
      </c>
      <c r="CB410" t="s">
        <v>134</v>
      </c>
      <c r="CC410" t="s">
        <v>134</v>
      </c>
      <c r="CD410" t="s">
        <v>134</v>
      </c>
      <c r="CE410" t="s">
        <v>134</v>
      </c>
      <c r="CF410" t="s">
        <v>134</v>
      </c>
      <c r="CG410" t="s">
        <v>134</v>
      </c>
      <c r="CH410" t="s">
        <v>134</v>
      </c>
      <c r="CI410" t="s">
        <v>134</v>
      </c>
      <c r="CJ410" t="s">
        <v>134</v>
      </c>
      <c r="CK410" t="s">
        <v>134</v>
      </c>
      <c r="CL410" t="s">
        <v>134</v>
      </c>
      <c r="CM410" t="s">
        <v>134</v>
      </c>
      <c r="CN410" t="s">
        <v>134</v>
      </c>
      <c r="CO410" t="s">
        <v>134</v>
      </c>
      <c r="CP410" t="s">
        <v>134</v>
      </c>
      <c r="CQ410" t="s">
        <v>134</v>
      </c>
      <c r="CR410" t="s">
        <v>134</v>
      </c>
      <c r="CS410" t="s">
        <v>134</v>
      </c>
      <c r="CT410" t="s">
        <v>134</v>
      </c>
      <c r="CU410" t="s">
        <v>134</v>
      </c>
      <c r="CV410" t="s">
        <v>134</v>
      </c>
      <c r="CW410" t="s">
        <v>134</v>
      </c>
      <c r="CX410" t="s">
        <v>134</v>
      </c>
      <c r="CY410" t="s">
        <v>134</v>
      </c>
      <c r="CZ410" t="s">
        <v>134</v>
      </c>
      <c r="DA410" t="s">
        <v>134</v>
      </c>
      <c r="DB410" t="s">
        <v>134</v>
      </c>
      <c r="DC410" t="s">
        <v>134</v>
      </c>
      <c r="DD410" t="s">
        <v>134</v>
      </c>
      <c r="DE410" t="s">
        <v>134</v>
      </c>
      <c r="DF410" t="s">
        <v>134</v>
      </c>
      <c r="DG410" t="s">
        <v>134</v>
      </c>
      <c r="DH410" t="s">
        <v>134</v>
      </c>
      <c r="DI410" t="s">
        <v>134</v>
      </c>
    </row>
    <row r="411" spans="1:113" x14ac:dyDescent="0.3">
      <c r="E411" t="s">
        <v>6</v>
      </c>
      <c r="F411" t="s">
        <v>134</v>
      </c>
      <c r="G411" t="s">
        <v>134</v>
      </c>
      <c r="H411" t="s">
        <v>134</v>
      </c>
      <c r="I411" t="s">
        <v>134</v>
      </c>
      <c r="J411" t="s">
        <v>134</v>
      </c>
      <c r="K411" t="s">
        <v>134</v>
      </c>
      <c r="L411" t="s">
        <v>134</v>
      </c>
      <c r="M411" t="s">
        <v>134</v>
      </c>
      <c r="N411" t="s">
        <v>134</v>
      </c>
      <c r="O411" t="s">
        <v>134</v>
      </c>
      <c r="P411" t="s">
        <v>134</v>
      </c>
      <c r="Q411" t="s">
        <v>134</v>
      </c>
      <c r="R411" t="s">
        <v>134</v>
      </c>
      <c r="S411" t="s">
        <v>134</v>
      </c>
      <c r="T411" t="s">
        <v>134</v>
      </c>
      <c r="U411" t="s">
        <v>134</v>
      </c>
      <c r="V411" t="s">
        <v>134</v>
      </c>
      <c r="W411" t="s">
        <v>134</v>
      </c>
      <c r="X411" t="s">
        <v>134</v>
      </c>
      <c r="Y411" t="s">
        <v>134</v>
      </c>
      <c r="Z411" t="s">
        <v>134</v>
      </c>
      <c r="AA411" t="s">
        <v>134</v>
      </c>
      <c r="AB411" t="s">
        <v>134</v>
      </c>
      <c r="AC411" t="s">
        <v>134</v>
      </c>
      <c r="AD411" t="s">
        <v>134</v>
      </c>
      <c r="AE411" t="s">
        <v>134</v>
      </c>
      <c r="AF411" t="s">
        <v>134</v>
      </c>
      <c r="AG411" t="s">
        <v>134</v>
      </c>
      <c r="AH411" t="s">
        <v>134</v>
      </c>
      <c r="AI411" t="s">
        <v>134</v>
      </c>
      <c r="AJ411" t="s">
        <v>134</v>
      </c>
      <c r="AK411" t="s">
        <v>134</v>
      </c>
      <c r="AL411" t="s">
        <v>134</v>
      </c>
      <c r="AM411" t="s">
        <v>134</v>
      </c>
      <c r="AN411" t="s">
        <v>134</v>
      </c>
      <c r="AO411" t="s">
        <v>134</v>
      </c>
      <c r="AP411" t="s">
        <v>134</v>
      </c>
      <c r="AQ411" t="s">
        <v>134</v>
      </c>
      <c r="AR411" t="s">
        <v>134</v>
      </c>
      <c r="AS411" t="s">
        <v>134</v>
      </c>
      <c r="AT411" t="s">
        <v>134</v>
      </c>
      <c r="AU411" t="s">
        <v>134</v>
      </c>
      <c r="AV411" t="s">
        <v>134</v>
      </c>
      <c r="AW411" t="s">
        <v>134</v>
      </c>
      <c r="AX411" t="s">
        <v>134</v>
      </c>
      <c r="AY411" t="s">
        <v>134</v>
      </c>
      <c r="AZ411" t="s">
        <v>134</v>
      </c>
      <c r="BA411" t="s">
        <v>134</v>
      </c>
      <c r="BB411" t="s">
        <v>134</v>
      </c>
      <c r="BC411" t="s">
        <v>134</v>
      </c>
      <c r="BD411" t="s">
        <v>134</v>
      </c>
      <c r="BE411" t="s">
        <v>134</v>
      </c>
      <c r="BF411" t="s">
        <v>134</v>
      </c>
      <c r="BG411" t="s">
        <v>134</v>
      </c>
      <c r="BH411" t="s">
        <v>134</v>
      </c>
      <c r="BI411" t="s">
        <v>134</v>
      </c>
      <c r="BJ411" t="s">
        <v>134</v>
      </c>
      <c r="BK411" t="s">
        <v>134</v>
      </c>
      <c r="BL411" t="s">
        <v>134</v>
      </c>
      <c r="BM411" t="s">
        <v>134</v>
      </c>
      <c r="BN411" t="s">
        <v>134</v>
      </c>
      <c r="BO411" t="s">
        <v>134</v>
      </c>
      <c r="BP411" t="s">
        <v>134</v>
      </c>
      <c r="BQ411" t="s">
        <v>134</v>
      </c>
      <c r="BR411" t="s">
        <v>134</v>
      </c>
      <c r="BS411" t="s">
        <v>134</v>
      </c>
      <c r="BT411" t="s">
        <v>134</v>
      </c>
      <c r="BU411" t="s">
        <v>134</v>
      </c>
      <c r="BV411" t="s">
        <v>134</v>
      </c>
      <c r="BW411" t="s">
        <v>134</v>
      </c>
      <c r="BX411" t="s">
        <v>134</v>
      </c>
      <c r="BY411" t="s">
        <v>134</v>
      </c>
      <c r="BZ411" t="s">
        <v>134</v>
      </c>
      <c r="CA411" t="s">
        <v>134</v>
      </c>
      <c r="CB411" t="s">
        <v>134</v>
      </c>
      <c r="CC411" t="s">
        <v>134</v>
      </c>
      <c r="CD411" t="s">
        <v>134</v>
      </c>
      <c r="CE411" t="s">
        <v>134</v>
      </c>
      <c r="CF411" t="s">
        <v>134</v>
      </c>
      <c r="CG411" t="s">
        <v>134</v>
      </c>
      <c r="CH411" t="s">
        <v>134</v>
      </c>
      <c r="CI411" t="s">
        <v>134</v>
      </c>
      <c r="CJ411" t="s">
        <v>134</v>
      </c>
      <c r="CK411" t="s">
        <v>134</v>
      </c>
      <c r="CL411" t="s">
        <v>134</v>
      </c>
      <c r="CM411" t="s">
        <v>134</v>
      </c>
      <c r="CN411" t="s">
        <v>134</v>
      </c>
      <c r="CO411" t="s">
        <v>134</v>
      </c>
      <c r="CP411" t="s">
        <v>134</v>
      </c>
      <c r="CQ411" t="s">
        <v>134</v>
      </c>
      <c r="CR411" t="s">
        <v>134</v>
      </c>
      <c r="CS411" t="s">
        <v>134</v>
      </c>
      <c r="CT411" t="s">
        <v>134</v>
      </c>
      <c r="CU411" t="s">
        <v>134</v>
      </c>
      <c r="CV411" t="s">
        <v>134</v>
      </c>
      <c r="CW411" t="s">
        <v>134</v>
      </c>
      <c r="CX411" t="s">
        <v>134</v>
      </c>
      <c r="CY411" t="s">
        <v>134</v>
      </c>
      <c r="CZ411" t="s">
        <v>134</v>
      </c>
      <c r="DA411" t="s">
        <v>134</v>
      </c>
      <c r="DB411" t="s">
        <v>134</v>
      </c>
      <c r="DC411" t="s">
        <v>134</v>
      </c>
      <c r="DD411" t="s">
        <v>134</v>
      </c>
      <c r="DE411" t="s">
        <v>134</v>
      </c>
      <c r="DF411" t="s">
        <v>134</v>
      </c>
      <c r="DG411" t="s">
        <v>134</v>
      </c>
      <c r="DH411" t="s">
        <v>134</v>
      </c>
      <c r="DI411" t="s">
        <v>134</v>
      </c>
    </row>
    <row r="412" spans="1:113" x14ac:dyDescent="0.3">
      <c r="E412" t="s">
        <v>7</v>
      </c>
      <c r="F412" t="s">
        <v>134</v>
      </c>
      <c r="G412" t="s">
        <v>134</v>
      </c>
      <c r="H412" t="s">
        <v>134</v>
      </c>
      <c r="I412" t="s">
        <v>134</v>
      </c>
      <c r="J412" t="s">
        <v>134</v>
      </c>
      <c r="K412" t="s">
        <v>134</v>
      </c>
      <c r="L412" t="s">
        <v>134</v>
      </c>
      <c r="M412" t="s">
        <v>134</v>
      </c>
      <c r="N412" t="s">
        <v>134</v>
      </c>
      <c r="O412" t="s">
        <v>134</v>
      </c>
      <c r="P412" t="s">
        <v>134</v>
      </c>
      <c r="Q412" t="s">
        <v>134</v>
      </c>
      <c r="R412" t="s">
        <v>134</v>
      </c>
      <c r="S412" t="s">
        <v>134</v>
      </c>
      <c r="T412" t="s">
        <v>134</v>
      </c>
      <c r="U412" t="s">
        <v>134</v>
      </c>
      <c r="V412" t="s">
        <v>134</v>
      </c>
      <c r="W412" t="s">
        <v>134</v>
      </c>
      <c r="X412" t="s">
        <v>134</v>
      </c>
      <c r="Y412" t="s">
        <v>134</v>
      </c>
      <c r="Z412" t="s">
        <v>134</v>
      </c>
      <c r="AA412" t="s">
        <v>134</v>
      </c>
      <c r="AB412" t="s">
        <v>134</v>
      </c>
      <c r="AC412" t="s">
        <v>134</v>
      </c>
      <c r="AD412" t="s">
        <v>134</v>
      </c>
      <c r="AE412" t="s">
        <v>134</v>
      </c>
      <c r="AF412" t="s">
        <v>134</v>
      </c>
      <c r="AG412" t="s">
        <v>134</v>
      </c>
      <c r="AH412" t="s">
        <v>134</v>
      </c>
      <c r="AI412" t="s">
        <v>134</v>
      </c>
      <c r="AJ412" t="s">
        <v>134</v>
      </c>
      <c r="AK412" t="s">
        <v>134</v>
      </c>
      <c r="AL412" t="s">
        <v>134</v>
      </c>
      <c r="AM412" t="s">
        <v>134</v>
      </c>
      <c r="AN412" t="s">
        <v>134</v>
      </c>
      <c r="AO412" t="s">
        <v>134</v>
      </c>
      <c r="AP412" t="s">
        <v>134</v>
      </c>
      <c r="AQ412" t="s">
        <v>134</v>
      </c>
      <c r="AR412" t="s">
        <v>134</v>
      </c>
      <c r="AS412" t="s">
        <v>134</v>
      </c>
      <c r="AT412" t="s">
        <v>134</v>
      </c>
      <c r="AU412" t="s">
        <v>134</v>
      </c>
      <c r="AV412" t="s">
        <v>134</v>
      </c>
      <c r="AW412" t="s">
        <v>134</v>
      </c>
      <c r="AX412" t="s">
        <v>134</v>
      </c>
      <c r="AY412" t="s">
        <v>134</v>
      </c>
      <c r="AZ412" t="s">
        <v>134</v>
      </c>
      <c r="BA412" t="s">
        <v>134</v>
      </c>
      <c r="BB412" t="s">
        <v>134</v>
      </c>
      <c r="BC412" t="s">
        <v>134</v>
      </c>
      <c r="BD412" t="s">
        <v>134</v>
      </c>
      <c r="BE412" t="s">
        <v>134</v>
      </c>
      <c r="BF412" t="s">
        <v>134</v>
      </c>
      <c r="BG412" t="s">
        <v>134</v>
      </c>
      <c r="BH412" t="s">
        <v>134</v>
      </c>
      <c r="BI412" t="s">
        <v>134</v>
      </c>
      <c r="BJ412" t="s">
        <v>134</v>
      </c>
      <c r="BK412" t="s">
        <v>134</v>
      </c>
      <c r="BL412" t="s">
        <v>134</v>
      </c>
      <c r="BM412" t="s">
        <v>134</v>
      </c>
      <c r="BN412" t="s">
        <v>134</v>
      </c>
      <c r="BO412" t="s">
        <v>134</v>
      </c>
      <c r="BP412" t="s">
        <v>134</v>
      </c>
      <c r="BQ412" t="s">
        <v>134</v>
      </c>
      <c r="BR412" t="s">
        <v>134</v>
      </c>
      <c r="BS412" t="s">
        <v>134</v>
      </c>
      <c r="BT412" t="s">
        <v>134</v>
      </c>
      <c r="BU412" t="s">
        <v>134</v>
      </c>
      <c r="BV412" t="s">
        <v>134</v>
      </c>
      <c r="BW412" t="s">
        <v>134</v>
      </c>
      <c r="BX412" t="s">
        <v>134</v>
      </c>
      <c r="BY412" t="s">
        <v>134</v>
      </c>
      <c r="BZ412" t="s">
        <v>134</v>
      </c>
      <c r="CA412" t="s">
        <v>134</v>
      </c>
      <c r="CB412" t="s">
        <v>134</v>
      </c>
      <c r="CC412" t="s">
        <v>134</v>
      </c>
      <c r="CD412" t="s">
        <v>134</v>
      </c>
      <c r="CE412" t="s">
        <v>134</v>
      </c>
      <c r="CF412" t="s">
        <v>134</v>
      </c>
      <c r="CG412" t="s">
        <v>134</v>
      </c>
      <c r="CH412" t="s">
        <v>134</v>
      </c>
      <c r="CI412" t="s">
        <v>134</v>
      </c>
      <c r="CJ412" t="s">
        <v>134</v>
      </c>
      <c r="CK412" t="s">
        <v>134</v>
      </c>
      <c r="CL412" t="s">
        <v>134</v>
      </c>
      <c r="CM412" t="s">
        <v>134</v>
      </c>
      <c r="CN412" t="s">
        <v>134</v>
      </c>
      <c r="CO412" t="s">
        <v>134</v>
      </c>
      <c r="CP412" t="s">
        <v>134</v>
      </c>
      <c r="CQ412" t="s">
        <v>134</v>
      </c>
      <c r="CR412" t="s">
        <v>134</v>
      </c>
      <c r="CS412" t="s">
        <v>134</v>
      </c>
      <c r="CT412" t="s">
        <v>134</v>
      </c>
      <c r="CU412" t="s">
        <v>134</v>
      </c>
      <c r="CV412" t="s">
        <v>134</v>
      </c>
      <c r="CW412" t="s">
        <v>134</v>
      </c>
      <c r="CX412" t="s">
        <v>134</v>
      </c>
      <c r="CY412" t="s">
        <v>134</v>
      </c>
      <c r="CZ412" t="s">
        <v>134</v>
      </c>
      <c r="DA412" t="s">
        <v>134</v>
      </c>
      <c r="DB412" t="s">
        <v>134</v>
      </c>
      <c r="DC412" t="s">
        <v>134</v>
      </c>
      <c r="DD412" t="s">
        <v>134</v>
      </c>
      <c r="DE412" t="s">
        <v>134</v>
      </c>
      <c r="DF412" t="s">
        <v>134</v>
      </c>
      <c r="DG412" t="s">
        <v>134</v>
      </c>
      <c r="DH412" t="s">
        <v>134</v>
      </c>
      <c r="DI412" t="s">
        <v>134</v>
      </c>
    </row>
    <row r="413" spans="1:113" x14ac:dyDescent="0.3">
      <c r="D413" t="s">
        <v>9</v>
      </c>
      <c r="E413" t="s">
        <v>3</v>
      </c>
      <c r="F413">
        <v>8.3736999999999995</v>
      </c>
      <c r="G413">
        <v>4.3582999999999998</v>
      </c>
      <c r="H413">
        <v>7.4455</v>
      </c>
      <c r="I413">
        <v>4.9078999999999997</v>
      </c>
      <c r="J413">
        <v>59.892200000000003</v>
      </c>
      <c r="K413">
        <v>39.694499999999998</v>
      </c>
      <c r="L413" t="s">
        <v>134</v>
      </c>
      <c r="M413">
        <v>44.601399999999998</v>
      </c>
      <c r="N413">
        <v>33.839199999999998</v>
      </c>
      <c r="O413">
        <v>31.158000000000001</v>
      </c>
      <c r="P413">
        <v>31.158000000000001</v>
      </c>
      <c r="Q413">
        <v>24.129799999999999</v>
      </c>
      <c r="R413">
        <v>61.772300000000001</v>
      </c>
      <c r="S413">
        <v>3.2010999999999998</v>
      </c>
      <c r="T413">
        <v>4.6551</v>
      </c>
      <c r="U413">
        <v>-2.5404999999999998</v>
      </c>
      <c r="V413">
        <v>-4.3707000000000003</v>
      </c>
      <c r="W413">
        <v>7.9032999999999998</v>
      </c>
      <c r="X413">
        <v>8</v>
      </c>
      <c r="Y413">
        <v>150</v>
      </c>
      <c r="Z413">
        <v>-17.78</v>
      </c>
      <c r="AA413">
        <v>4.2586000000000004</v>
      </c>
      <c r="AB413">
        <v>1.4737</v>
      </c>
      <c r="AC413">
        <v>0.87609999999999999</v>
      </c>
      <c r="AD413">
        <v>-16.9437</v>
      </c>
      <c r="AE413">
        <v>14.3835</v>
      </c>
      <c r="AF413">
        <v>-20.023</v>
      </c>
      <c r="AG413" t="s">
        <v>134</v>
      </c>
      <c r="AH413">
        <v>-10.531000000000001</v>
      </c>
      <c r="AI413">
        <v>8.2677999999999994</v>
      </c>
      <c r="AJ413">
        <v>1.1894</v>
      </c>
      <c r="AK413">
        <v>8.7537000000000003</v>
      </c>
      <c r="AL413">
        <v>45.0871</v>
      </c>
      <c r="AM413">
        <v>10.8986</v>
      </c>
      <c r="AN413">
        <v>5.4638999999999998</v>
      </c>
      <c r="AO413">
        <v>3.4392</v>
      </c>
      <c r="AP413">
        <v>3.0245000000000002</v>
      </c>
      <c r="AQ413">
        <v>5.2664</v>
      </c>
      <c r="AR413">
        <v>20.112400000000001</v>
      </c>
      <c r="AS413">
        <v>33.177</v>
      </c>
      <c r="AT413">
        <v>19.235900000000001</v>
      </c>
      <c r="AU413">
        <v>2.7597</v>
      </c>
      <c r="AV413">
        <v>2.7191999999999998</v>
      </c>
      <c r="AW413">
        <v>31.003699999999998</v>
      </c>
      <c r="AX413">
        <v>39.002499999999998</v>
      </c>
      <c r="AY413" t="s">
        <v>134</v>
      </c>
      <c r="AZ413" t="s">
        <v>134</v>
      </c>
      <c r="BA413">
        <v>3.3441999999999998</v>
      </c>
      <c r="BB413">
        <v>5.4786999999999999</v>
      </c>
      <c r="BC413">
        <v>4.7385999999999999</v>
      </c>
      <c r="BD413">
        <v>6.9775</v>
      </c>
      <c r="BE413">
        <v>8.7155000000000005</v>
      </c>
      <c r="BF413">
        <v>4.6551</v>
      </c>
      <c r="BG413">
        <v>-2.5404999999999998</v>
      </c>
      <c r="BH413">
        <v>-4.3707000000000003</v>
      </c>
      <c r="BI413">
        <v>7.9032999999999998</v>
      </c>
      <c r="BJ413">
        <v>8</v>
      </c>
      <c r="BK413">
        <v>150</v>
      </c>
      <c r="BL413">
        <v>-17.78</v>
      </c>
      <c r="BM413">
        <v>4.2586000000000004</v>
      </c>
      <c r="BN413">
        <v>1.4737</v>
      </c>
      <c r="BO413">
        <v>0.87609999999999999</v>
      </c>
      <c r="BP413">
        <v>-16.9437</v>
      </c>
      <c r="BQ413">
        <v>14.3835</v>
      </c>
      <c r="BR413">
        <v>-20.023</v>
      </c>
      <c r="BS413">
        <v>-100</v>
      </c>
      <c r="BT413">
        <v>-10.531000000000001</v>
      </c>
      <c r="BU413">
        <v>8.2677999999999994</v>
      </c>
      <c r="BV413">
        <v>1.1894</v>
      </c>
      <c r="BW413">
        <v>8.7537000000000003</v>
      </c>
      <c r="BX413">
        <v>45.0871</v>
      </c>
      <c r="BY413">
        <v>184166.9</v>
      </c>
      <c r="BZ413">
        <v>0</v>
      </c>
      <c r="CA413">
        <v>184166.9</v>
      </c>
      <c r="CB413">
        <v>3.5640000000000001</v>
      </c>
      <c r="CC413">
        <v>2.1252</v>
      </c>
      <c r="CD413">
        <v>5.3775000000000004</v>
      </c>
      <c r="CE413">
        <v>3.2065999999999999</v>
      </c>
      <c r="CF413">
        <v>3.3370000000000002</v>
      </c>
      <c r="CG413">
        <v>53.994900000000001</v>
      </c>
      <c r="CH413">
        <v>49.908200000000001</v>
      </c>
      <c r="CI413">
        <v>33.292499999999997</v>
      </c>
      <c r="CJ413">
        <v>29.728300000000001</v>
      </c>
      <c r="CK413">
        <v>49.908200000000001</v>
      </c>
      <c r="CL413">
        <v>33.292499999999997</v>
      </c>
      <c r="CM413">
        <v>29.728300000000001</v>
      </c>
      <c r="CN413">
        <v>29.759900000000002</v>
      </c>
      <c r="CO413">
        <v>22.9346</v>
      </c>
      <c r="CP413">
        <v>51674</v>
      </c>
      <c r="CQ413">
        <v>29465.9</v>
      </c>
      <c r="CR413">
        <v>34247.800000000003</v>
      </c>
      <c r="CS413">
        <v>1.7919</v>
      </c>
      <c r="CT413">
        <v>2.9708000000000001</v>
      </c>
      <c r="CU413">
        <v>2.3675999999999999</v>
      </c>
      <c r="CV413">
        <v>1.1686000000000001</v>
      </c>
      <c r="CW413">
        <v>3.2595999999999998</v>
      </c>
      <c r="CX413">
        <v>112.2841</v>
      </c>
      <c r="CY413" t="s">
        <v>134</v>
      </c>
      <c r="CZ413" t="s">
        <v>134</v>
      </c>
      <c r="DA413" t="s">
        <v>134</v>
      </c>
      <c r="DB413" t="s">
        <v>134</v>
      </c>
      <c r="DC413" t="s">
        <v>134</v>
      </c>
      <c r="DD413" t="s">
        <v>134</v>
      </c>
      <c r="DE413">
        <v>945</v>
      </c>
      <c r="DF413">
        <v>49.9</v>
      </c>
      <c r="DG413">
        <v>0</v>
      </c>
      <c r="DH413">
        <v>26.8</v>
      </c>
      <c r="DI413">
        <v>868.3</v>
      </c>
    </row>
    <row r="414" spans="1:113" x14ac:dyDescent="0.3">
      <c r="E414" t="s">
        <v>4</v>
      </c>
      <c r="F414" t="s">
        <v>134</v>
      </c>
      <c r="G414" t="s">
        <v>134</v>
      </c>
      <c r="H414" t="s">
        <v>134</v>
      </c>
      <c r="I414" t="s">
        <v>134</v>
      </c>
      <c r="J414" t="s">
        <v>134</v>
      </c>
      <c r="K414" t="s">
        <v>134</v>
      </c>
      <c r="L414" t="s">
        <v>134</v>
      </c>
      <c r="M414" t="s">
        <v>134</v>
      </c>
      <c r="N414" t="s">
        <v>134</v>
      </c>
      <c r="O414" t="s">
        <v>134</v>
      </c>
      <c r="P414" t="s">
        <v>134</v>
      </c>
      <c r="Q414" t="s">
        <v>134</v>
      </c>
      <c r="R414" t="s">
        <v>134</v>
      </c>
      <c r="S414" t="s">
        <v>134</v>
      </c>
      <c r="T414" t="s">
        <v>134</v>
      </c>
      <c r="U414" t="s">
        <v>134</v>
      </c>
      <c r="V414" t="s">
        <v>134</v>
      </c>
      <c r="W414" t="s">
        <v>134</v>
      </c>
      <c r="X414" t="s">
        <v>134</v>
      </c>
      <c r="Y414" t="s">
        <v>134</v>
      </c>
      <c r="Z414" t="s">
        <v>134</v>
      </c>
      <c r="AA414" t="s">
        <v>134</v>
      </c>
      <c r="AB414" t="s">
        <v>134</v>
      </c>
      <c r="AC414" t="s">
        <v>134</v>
      </c>
      <c r="AD414" t="s">
        <v>134</v>
      </c>
      <c r="AE414" t="s">
        <v>134</v>
      </c>
      <c r="AF414" t="s">
        <v>134</v>
      </c>
      <c r="AG414" t="s">
        <v>134</v>
      </c>
      <c r="AH414" t="s">
        <v>134</v>
      </c>
      <c r="AI414" t="s">
        <v>134</v>
      </c>
      <c r="AJ414" t="s">
        <v>134</v>
      </c>
      <c r="AK414" t="s">
        <v>134</v>
      </c>
      <c r="AL414" t="s">
        <v>134</v>
      </c>
      <c r="AM414" t="s">
        <v>134</v>
      </c>
      <c r="AN414" t="s">
        <v>134</v>
      </c>
      <c r="AO414" t="s">
        <v>134</v>
      </c>
      <c r="AP414" t="s">
        <v>134</v>
      </c>
      <c r="AQ414" t="s">
        <v>134</v>
      </c>
      <c r="AR414" t="s">
        <v>134</v>
      </c>
      <c r="AS414" t="s">
        <v>134</v>
      </c>
      <c r="AT414" t="s">
        <v>134</v>
      </c>
      <c r="AU414" t="s">
        <v>134</v>
      </c>
      <c r="AV414" t="s">
        <v>134</v>
      </c>
      <c r="AW414" t="s">
        <v>134</v>
      </c>
      <c r="AX414" t="s">
        <v>134</v>
      </c>
      <c r="AY414" t="s">
        <v>134</v>
      </c>
      <c r="AZ414" t="s">
        <v>134</v>
      </c>
      <c r="BA414" t="s">
        <v>134</v>
      </c>
      <c r="BB414" t="s">
        <v>134</v>
      </c>
      <c r="BC414" t="s">
        <v>134</v>
      </c>
      <c r="BD414" t="s">
        <v>134</v>
      </c>
      <c r="BE414" t="s">
        <v>134</v>
      </c>
      <c r="BF414" t="s">
        <v>134</v>
      </c>
      <c r="BG414" t="s">
        <v>134</v>
      </c>
      <c r="BH414" t="s">
        <v>134</v>
      </c>
      <c r="BI414" t="s">
        <v>134</v>
      </c>
      <c r="BJ414" t="s">
        <v>134</v>
      </c>
      <c r="BK414" t="s">
        <v>134</v>
      </c>
      <c r="BL414" t="s">
        <v>134</v>
      </c>
      <c r="BM414" t="s">
        <v>134</v>
      </c>
      <c r="BN414" t="s">
        <v>134</v>
      </c>
      <c r="BO414" t="s">
        <v>134</v>
      </c>
      <c r="BP414" t="s">
        <v>134</v>
      </c>
      <c r="BQ414" t="s">
        <v>134</v>
      </c>
      <c r="BR414" t="s">
        <v>134</v>
      </c>
      <c r="BS414" t="s">
        <v>134</v>
      </c>
      <c r="BT414" t="s">
        <v>134</v>
      </c>
      <c r="BU414" t="s">
        <v>134</v>
      </c>
      <c r="BV414" t="s">
        <v>134</v>
      </c>
      <c r="BW414" t="s">
        <v>134</v>
      </c>
      <c r="BX414" t="s">
        <v>134</v>
      </c>
      <c r="BY414" t="s">
        <v>134</v>
      </c>
      <c r="BZ414" t="s">
        <v>134</v>
      </c>
      <c r="CA414" t="s">
        <v>134</v>
      </c>
      <c r="CB414" t="s">
        <v>134</v>
      </c>
      <c r="CC414" t="s">
        <v>134</v>
      </c>
      <c r="CD414" t="s">
        <v>134</v>
      </c>
      <c r="CE414" t="s">
        <v>134</v>
      </c>
      <c r="CF414" t="s">
        <v>134</v>
      </c>
      <c r="CG414" t="s">
        <v>134</v>
      </c>
      <c r="CH414" t="s">
        <v>134</v>
      </c>
      <c r="CI414" t="s">
        <v>134</v>
      </c>
      <c r="CJ414" t="s">
        <v>134</v>
      </c>
      <c r="CK414" t="s">
        <v>134</v>
      </c>
      <c r="CL414" t="s">
        <v>134</v>
      </c>
      <c r="CM414" t="s">
        <v>134</v>
      </c>
      <c r="CN414" t="s">
        <v>134</v>
      </c>
      <c r="CO414" t="s">
        <v>134</v>
      </c>
      <c r="CP414" t="s">
        <v>134</v>
      </c>
      <c r="CQ414" t="s">
        <v>134</v>
      </c>
      <c r="CR414" t="s">
        <v>134</v>
      </c>
      <c r="CS414" t="s">
        <v>134</v>
      </c>
      <c r="CT414" t="s">
        <v>134</v>
      </c>
      <c r="CU414" t="s">
        <v>134</v>
      </c>
      <c r="CV414" t="s">
        <v>134</v>
      </c>
      <c r="CW414" t="s">
        <v>134</v>
      </c>
      <c r="CX414" t="s">
        <v>134</v>
      </c>
      <c r="CY414" t="s">
        <v>134</v>
      </c>
      <c r="CZ414" t="s">
        <v>134</v>
      </c>
      <c r="DA414" t="s">
        <v>134</v>
      </c>
      <c r="DB414" t="s">
        <v>134</v>
      </c>
      <c r="DC414" t="s">
        <v>134</v>
      </c>
      <c r="DD414" t="s">
        <v>134</v>
      </c>
      <c r="DE414" t="s">
        <v>134</v>
      </c>
      <c r="DF414" t="s">
        <v>134</v>
      </c>
      <c r="DG414" t="s">
        <v>134</v>
      </c>
      <c r="DH414" t="s">
        <v>134</v>
      </c>
      <c r="DI414" t="s">
        <v>134</v>
      </c>
    </row>
    <row r="415" spans="1:113" x14ac:dyDescent="0.3">
      <c r="E415" t="s">
        <v>5</v>
      </c>
      <c r="F415" t="s">
        <v>134</v>
      </c>
      <c r="G415" t="s">
        <v>134</v>
      </c>
      <c r="H415" t="s">
        <v>134</v>
      </c>
      <c r="I415" t="s">
        <v>134</v>
      </c>
      <c r="J415" t="s">
        <v>134</v>
      </c>
      <c r="K415" t="s">
        <v>134</v>
      </c>
      <c r="L415" t="s">
        <v>134</v>
      </c>
      <c r="M415" t="s">
        <v>134</v>
      </c>
      <c r="N415" t="s">
        <v>134</v>
      </c>
      <c r="O415" t="s">
        <v>134</v>
      </c>
      <c r="P415" t="s">
        <v>134</v>
      </c>
      <c r="Q415" t="s">
        <v>134</v>
      </c>
      <c r="R415" t="s">
        <v>134</v>
      </c>
      <c r="S415" t="s">
        <v>134</v>
      </c>
      <c r="T415" t="s">
        <v>134</v>
      </c>
      <c r="U415" t="s">
        <v>134</v>
      </c>
      <c r="V415" t="s">
        <v>134</v>
      </c>
      <c r="W415" t="s">
        <v>134</v>
      </c>
      <c r="X415" t="s">
        <v>134</v>
      </c>
      <c r="Y415" t="s">
        <v>134</v>
      </c>
      <c r="Z415" t="s">
        <v>134</v>
      </c>
      <c r="AA415" t="s">
        <v>134</v>
      </c>
      <c r="AB415" t="s">
        <v>134</v>
      </c>
      <c r="AC415" t="s">
        <v>134</v>
      </c>
      <c r="AD415" t="s">
        <v>134</v>
      </c>
      <c r="AE415" t="s">
        <v>134</v>
      </c>
      <c r="AF415" t="s">
        <v>134</v>
      </c>
      <c r="AG415" t="s">
        <v>134</v>
      </c>
      <c r="AH415" t="s">
        <v>134</v>
      </c>
      <c r="AI415" t="s">
        <v>134</v>
      </c>
      <c r="AJ415" t="s">
        <v>134</v>
      </c>
      <c r="AK415" t="s">
        <v>134</v>
      </c>
      <c r="AL415" t="s">
        <v>134</v>
      </c>
      <c r="AM415" t="s">
        <v>134</v>
      </c>
      <c r="AN415" t="s">
        <v>134</v>
      </c>
      <c r="AO415" t="s">
        <v>134</v>
      </c>
      <c r="AP415" t="s">
        <v>134</v>
      </c>
      <c r="AQ415" t="s">
        <v>134</v>
      </c>
      <c r="AR415" t="s">
        <v>134</v>
      </c>
      <c r="AS415" t="s">
        <v>134</v>
      </c>
      <c r="AT415" t="s">
        <v>134</v>
      </c>
      <c r="AU415" t="s">
        <v>134</v>
      </c>
      <c r="AV415" t="s">
        <v>134</v>
      </c>
      <c r="AW415" t="s">
        <v>134</v>
      </c>
      <c r="AX415" t="s">
        <v>134</v>
      </c>
      <c r="AY415" t="s">
        <v>134</v>
      </c>
      <c r="AZ415" t="s">
        <v>134</v>
      </c>
      <c r="BA415" t="s">
        <v>134</v>
      </c>
      <c r="BB415" t="s">
        <v>134</v>
      </c>
      <c r="BC415" t="s">
        <v>134</v>
      </c>
      <c r="BD415" t="s">
        <v>134</v>
      </c>
      <c r="BE415" t="s">
        <v>134</v>
      </c>
      <c r="BF415" t="s">
        <v>134</v>
      </c>
      <c r="BG415" t="s">
        <v>134</v>
      </c>
      <c r="BH415" t="s">
        <v>134</v>
      </c>
      <c r="BI415" t="s">
        <v>134</v>
      </c>
      <c r="BJ415" t="s">
        <v>134</v>
      </c>
      <c r="BK415" t="s">
        <v>134</v>
      </c>
      <c r="BL415" t="s">
        <v>134</v>
      </c>
      <c r="BM415" t="s">
        <v>134</v>
      </c>
      <c r="BN415" t="s">
        <v>134</v>
      </c>
      <c r="BO415" t="s">
        <v>134</v>
      </c>
      <c r="BP415" t="s">
        <v>134</v>
      </c>
      <c r="BQ415" t="s">
        <v>134</v>
      </c>
      <c r="BR415" t="s">
        <v>134</v>
      </c>
      <c r="BS415" t="s">
        <v>134</v>
      </c>
      <c r="BT415" t="s">
        <v>134</v>
      </c>
      <c r="BU415" t="s">
        <v>134</v>
      </c>
      <c r="BV415" t="s">
        <v>134</v>
      </c>
      <c r="BW415" t="s">
        <v>134</v>
      </c>
      <c r="BX415" t="s">
        <v>134</v>
      </c>
      <c r="BY415" t="s">
        <v>134</v>
      </c>
      <c r="BZ415" t="s">
        <v>134</v>
      </c>
      <c r="CA415" t="s">
        <v>134</v>
      </c>
      <c r="CB415" t="s">
        <v>134</v>
      </c>
      <c r="CC415" t="s">
        <v>134</v>
      </c>
      <c r="CD415" t="s">
        <v>134</v>
      </c>
      <c r="CE415" t="s">
        <v>134</v>
      </c>
      <c r="CF415" t="s">
        <v>134</v>
      </c>
      <c r="CG415" t="s">
        <v>134</v>
      </c>
      <c r="CH415" t="s">
        <v>134</v>
      </c>
      <c r="CI415" t="s">
        <v>134</v>
      </c>
      <c r="CJ415" t="s">
        <v>134</v>
      </c>
      <c r="CK415" t="s">
        <v>134</v>
      </c>
      <c r="CL415" t="s">
        <v>134</v>
      </c>
      <c r="CM415" t="s">
        <v>134</v>
      </c>
      <c r="CN415" t="s">
        <v>134</v>
      </c>
      <c r="CO415" t="s">
        <v>134</v>
      </c>
      <c r="CP415" t="s">
        <v>134</v>
      </c>
      <c r="CQ415" t="s">
        <v>134</v>
      </c>
      <c r="CR415" t="s">
        <v>134</v>
      </c>
      <c r="CS415" t="s">
        <v>134</v>
      </c>
      <c r="CT415" t="s">
        <v>134</v>
      </c>
      <c r="CU415" t="s">
        <v>134</v>
      </c>
      <c r="CV415" t="s">
        <v>134</v>
      </c>
      <c r="CW415" t="s">
        <v>134</v>
      </c>
      <c r="CX415" t="s">
        <v>134</v>
      </c>
      <c r="CY415" t="s">
        <v>134</v>
      </c>
      <c r="CZ415" t="s">
        <v>134</v>
      </c>
      <c r="DA415" t="s">
        <v>134</v>
      </c>
      <c r="DB415" t="s">
        <v>134</v>
      </c>
      <c r="DC415" t="s">
        <v>134</v>
      </c>
      <c r="DD415" t="s">
        <v>134</v>
      </c>
      <c r="DE415" t="s">
        <v>134</v>
      </c>
      <c r="DF415" t="s">
        <v>134</v>
      </c>
      <c r="DG415" t="s">
        <v>134</v>
      </c>
      <c r="DH415" t="s">
        <v>134</v>
      </c>
      <c r="DI415" t="s">
        <v>134</v>
      </c>
    </row>
    <row r="416" spans="1:113" x14ac:dyDescent="0.3">
      <c r="E416" t="s">
        <v>6</v>
      </c>
      <c r="F416" t="s">
        <v>134</v>
      </c>
      <c r="G416" t="s">
        <v>134</v>
      </c>
      <c r="H416" t="s">
        <v>134</v>
      </c>
      <c r="I416" t="s">
        <v>134</v>
      </c>
      <c r="J416" t="s">
        <v>134</v>
      </c>
      <c r="K416" t="s">
        <v>134</v>
      </c>
      <c r="L416" t="s">
        <v>134</v>
      </c>
      <c r="M416" t="s">
        <v>134</v>
      </c>
      <c r="N416" t="s">
        <v>134</v>
      </c>
      <c r="O416" t="s">
        <v>134</v>
      </c>
      <c r="P416" t="s">
        <v>134</v>
      </c>
      <c r="Q416" t="s">
        <v>134</v>
      </c>
      <c r="R416" t="s">
        <v>134</v>
      </c>
      <c r="S416" t="s">
        <v>134</v>
      </c>
      <c r="T416" t="s">
        <v>134</v>
      </c>
      <c r="U416" t="s">
        <v>134</v>
      </c>
      <c r="V416" t="s">
        <v>134</v>
      </c>
      <c r="W416" t="s">
        <v>134</v>
      </c>
      <c r="X416" t="s">
        <v>134</v>
      </c>
      <c r="Y416" t="s">
        <v>134</v>
      </c>
      <c r="Z416" t="s">
        <v>134</v>
      </c>
      <c r="AA416" t="s">
        <v>134</v>
      </c>
      <c r="AB416" t="s">
        <v>134</v>
      </c>
      <c r="AC416" t="s">
        <v>134</v>
      </c>
      <c r="AD416" t="s">
        <v>134</v>
      </c>
      <c r="AE416" t="s">
        <v>134</v>
      </c>
      <c r="AF416" t="s">
        <v>134</v>
      </c>
      <c r="AG416" t="s">
        <v>134</v>
      </c>
      <c r="AH416" t="s">
        <v>134</v>
      </c>
      <c r="AI416" t="s">
        <v>134</v>
      </c>
      <c r="AJ416" t="s">
        <v>134</v>
      </c>
      <c r="AK416" t="s">
        <v>134</v>
      </c>
      <c r="AL416" t="s">
        <v>134</v>
      </c>
      <c r="AM416" t="s">
        <v>134</v>
      </c>
      <c r="AN416" t="s">
        <v>134</v>
      </c>
      <c r="AO416" t="s">
        <v>134</v>
      </c>
      <c r="AP416" t="s">
        <v>134</v>
      </c>
      <c r="AQ416" t="s">
        <v>134</v>
      </c>
      <c r="AR416" t="s">
        <v>134</v>
      </c>
      <c r="AS416" t="s">
        <v>134</v>
      </c>
      <c r="AT416" t="s">
        <v>134</v>
      </c>
      <c r="AU416" t="s">
        <v>134</v>
      </c>
      <c r="AV416" t="s">
        <v>134</v>
      </c>
      <c r="AW416" t="s">
        <v>134</v>
      </c>
      <c r="AX416" t="s">
        <v>134</v>
      </c>
      <c r="AY416" t="s">
        <v>134</v>
      </c>
      <c r="AZ416" t="s">
        <v>134</v>
      </c>
      <c r="BA416" t="s">
        <v>134</v>
      </c>
      <c r="BB416" t="s">
        <v>134</v>
      </c>
      <c r="BC416" t="s">
        <v>134</v>
      </c>
      <c r="BD416" t="s">
        <v>134</v>
      </c>
      <c r="BE416" t="s">
        <v>134</v>
      </c>
      <c r="BF416" t="s">
        <v>134</v>
      </c>
      <c r="BG416" t="s">
        <v>134</v>
      </c>
      <c r="BH416" t="s">
        <v>134</v>
      </c>
      <c r="BI416" t="s">
        <v>134</v>
      </c>
      <c r="BJ416" t="s">
        <v>134</v>
      </c>
      <c r="BK416" t="s">
        <v>134</v>
      </c>
      <c r="BL416" t="s">
        <v>134</v>
      </c>
      <c r="BM416" t="s">
        <v>134</v>
      </c>
      <c r="BN416" t="s">
        <v>134</v>
      </c>
      <c r="BO416" t="s">
        <v>134</v>
      </c>
      <c r="BP416" t="s">
        <v>134</v>
      </c>
      <c r="BQ416" t="s">
        <v>134</v>
      </c>
      <c r="BR416" t="s">
        <v>134</v>
      </c>
      <c r="BS416" t="s">
        <v>134</v>
      </c>
      <c r="BT416" t="s">
        <v>134</v>
      </c>
      <c r="BU416" t="s">
        <v>134</v>
      </c>
      <c r="BV416" t="s">
        <v>134</v>
      </c>
      <c r="BW416" t="s">
        <v>134</v>
      </c>
      <c r="BX416" t="s">
        <v>134</v>
      </c>
      <c r="BY416" t="s">
        <v>134</v>
      </c>
      <c r="BZ416" t="s">
        <v>134</v>
      </c>
      <c r="CA416" t="s">
        <v>134</v>
      </c>
      <c r="CB416" t="s">
        <v>134</v>
      </c>
      <c r="CC416" t="s">
        <v>134</v>
      </c>
      <c r="CD416" t="s">
        <v>134</v>
      </c>
      <c r="CE416" t="s">
        <v>134</v>
      </c>
      <c r="CF416" t="s">
        <v>134</v>
      </c>
      <c r="CG416" t="s">
        <v>134</v>
      </c>
      <c r="CH416" t="s">
        <v>134</v>
      </c>
      <c r="CI416" t="s">
        <v>134</v>
      </c>
      <c r="CJ416" t="s">
        <v>134</v>
      </c>
      <c r="CK416" t="s">
        <v>134</v>
      </c>
      <c r="CL416" t="s">
        <v>134</v>
      </c>
      <c r="CM416" t="s">
        <v>134</v>
      </c>
      <c r="CN416" t="s">
        <v>134</v>
      </c>
      <c r="CO416" t="s">
        <v>134</v>
      </c>
      <c r="CP416" t="s">
        <v>134</v>
      </c>
      <c r="CQ416" t="s">
        <v>134</v>
      </c>
      <c r="CR416" t="s">
        <v>134</v>
      </c>
      <c r="CS416" t="s">
        <v>134</v>
      </c>
      <c r="CT416" t="s">
        <v>134</v>
      </c>
      <c r="CU416" t="s">
        <v>134</v>
      </c>
      <c r="CV416" t="s">
        <v>134</v>
      </c>
      <c r="CW416" t="s">
        <v>134</v>
      </c>
      <c r="CX416" t="s">
        <v>134</v>
      </c>
      <c r="CY416" t="s">
        <v>134</v>
      </c>
      <c r="CZ416" t="s">
        <v>134</v>
      </c>
      <c r="DA416" t="s">
        <v>134</v>
      </c>
      <c r="DB416" t="s">
        <v>134</v>
      </c>
      <c r="DC416" t="s">
        <v>134</v>
      </c>
      <c r="DD416" t="s">
        <v>134</v>
      </c>
      <c r="DE416" t="s">
        <v>134</v>
      </c>
      <c r="DF416" t="s">
        <v>134</v>
      </c>
      <c r="DG416" t="s">
        <v>134</v>
      </c>
      <c r="DH416" t="s">
        <v>134</v>
      </c>
      <c r="DI416" t="s">
        <v>134</v>
      </c>
    </row>
    <row r="417" spans="1:113" x14ac:dyDescent="0.3">
      <c r="E417" t="s">
        <v>7</v>
      </c>
      <c r="F417" t="s">
        <v>134</v>
      </c>
      <c r="G417" t="s">
        <v>134</v>
      </c>
      <c r="H417" t="s">
        <v>134</v>
      </c>
      <c r="I417" t="s">
        <v>134</v>
      </c>
      <c r="J417" t="s">
        <v>134</v>
      </c>
      <c r="K417" t="s">
        <v>134</v>
      </c>
      <c r="L417" t="s">
        <v>134</v>
      </c>
      <c r="M417" t="s">
        <v>134</v>
      </c>
      <c r="N417" t="s">
        <v>134</v>
      </c>
      <c r="O417" t="s">
        <v>134</v>
      </c>
      <c r="P417" t="s">
        <v>134</v>
      </c>
      <c r="Q417" t="s">
        <v>134</v>
      </c>
      <c r="R417" t="s">
        <v>134</v>
      </c>
      <c r="S417" t="s">
        <v>134</v>
      </c>
      <c r="T417" t="s">
        <v>134</v>
      </c>
      <c r="U417" t="s">
        <v>134</v>
      </c>
      <c r="V417" t="s">
        <v>134</v>
      </c>
      <c r="W417" t="s">
        <v>134</v>
      </c>
      <c r="X417" t="s">
        <v>134</v>
      </c>
      <c r="Y417" t="s">
        <v>134</v>
      </c>
      <c r="Z417" t="s">
        <v>134</v>
      </c>
      <c r="AA417" t="s">
        <v>134</v>
      </c>
      <c r="AB417" t="s">
        <v>134</v>
      </c>
      <c r="AC417" t="s">
        <v>134</v>
      </c>
      <c r="AD417" t="s">
        <v>134</v>
      </c>
      <c r="AE417" t="s">
        <v>134</v>
      </c>
      <c r="AF417" t="s">
        <v>134</v>
      </c>
      <c r="AG417" t="s">
        <v>134</v>
      </c>
      <c r="AH417" t="s">
        <v>134</v>
      </c>
      <c r="AI417" t="s">
        <v>134</v>
      </c>
      <c r="AJ417" t="s">
        <v>134</v>
      </c>
      <c r="AK417" t="s">
        <v>134</v>
      </c>
      <c r="AL417" t="s">
        <v>134</v>
      </c>
      <c r="AM417" t="s">
        <v>134</v>
      </c>
      <c r="AN417" t="s">
        <v>134</v>
      </c>
      <c r="AO417" t="s">
        <v>134</v>
      </c>
      <c r="AP417" t="s">
        <v>134</v>
      </c>
      <c r="AQ417" t="s">
        <v>134</v>
      </c>
      <c r="AR417" t="s">
        <v>134</v>
      </c>
      <c r="AS417" t="s">
        <v>134</v>
      </c>
      <c r="AT417" t="s">
        <v>134</v>
      </c>
      <c r="AU417" t="s">
        <v>134</v>
      </c>
      <c r="AV417" t="s">
        <v>134</v>
      </c>
      <c r="AW417" t="s">
        <v>134</v>
      </c>
      <c r="AX417" t="s">
        <v>134</v>
      </c>
      <c r="AY417" t="s">
        <v>134</v>
      </c>
      <c r="AZ417" t="s">
        <v>134</v>
      </c>
      <c r="BA417" t="s">
        <v>134</v>
      </c>
      <c r="BB417" t="s">
        <v>134</v>
      </c>
      <c r="BC417" t="s">
        <v>134</v>
      </c>
      <c r="BD417" t="s">
        <v>134</v>
      </c>
      <c r="BE417" t="s">
        <v>134</v>
      </c>
      <c r="BF417" t="s">
        <v>134</v>
      </c>
      <c r="BG417" t="s">
        <v>134</v>
      </c>
      <c r="BH417" t="s">
        <v>134</v>
      </c>
      <c r="BI417" t="s">
        <v>134</v>
      </c>
      <c r="BJ417" t="s">
        <v>134</v>
      </c>
      <c r="BK417" t="s">
        <v>134</v>
      </c>
      <c r="BL417" t="s">
        <v>134</v>
      </c>
      <c r="BM417" t="s">
        <v>134</v>
      </c>
      <c r="BN417" t="s">
        <v>134</v>
      </c>
      <c r="BO417" t="s">
        <v>134</v>
      </c>
      <c r="BP417" t="s">
        <v>134</v>
      </c>
      <c r="BQ417" t="s">
        <v>134</v>
      </c>
      <c r="BR417" t="s">
        <v>134</v>
      </c>
      <c r="BS417" t="s">
        <v>134</v>
      </c>
      <c r="BT417" t="s">
        <v>134</v>
      </c>
      <c r="BU417" t="s">
        <v>134</v>
      </c>
      <c r="BV417" t="s">
        <v>134</v>
      </c>
      <c r="BW417" t="s">
        <v>134</v>
      </c>
      <c r="BX417" t="s">
        <v>134</v>
      </c>
      <c r="BY417" t="s">
        <v>134</v>
      </c>
      <c r="BZ417" t="s">
        <v>134</v>
      </c>
      <c r="CA417" t="s">
        <v>134</v>
      </c>
      <c r="CB417" t="s">
        <v>134</v>
      </c>
      <c r="CC417" t="s">
        <v>134</v>
      </c>
      <c r="CD417" t="s">
        <v>134</v>
      </c>
      <c r="CE417" t="s">
        <v>134</v>
      </c>
      <c r="CF417" t="s">
        <v>134</v>
      </c>
      <c r="CG417" t="s">
        <v>134</v>
      </c>
      <c r="CH417" t="s">
        <v>134</v>
      </c>
      <c r="CI417" t="s">
        <v>134</v>
      </c>
      <c r="CJ417" t="s">
        <v>134</v>
      </c>
      <c r="CK417" t="s">
        <v>134</v>
      </c>
      <c r="CL417" t="s">
        <v>134</v>
      </c>
      <c r="CM417" t="s">
        <v>134</v>
      </c>
      <c r="CN417" t="s">
        <v>134</v>
      </c>
      <c r="CO417" t="s">
        <v>134</v>
      </c>
      <c r="CP417" t="s">
        <v>134</v>
      </c>
      <c r="CQ417" t="s">
        <v>134</v>
      </c>
      <c r="CR417" t="s">
        <v>134</v>
      </c>
      <c r="CS417" t="s">
        <v>134</v>
      </c>
      <c r="CT417" t="s">
        <v>134</v>
      </c>
      <c r="CU417" t="s">
        <v>134</v>
      </c>
      <c r="CV417" t="s">
        <v>134</v>
      </c>
      <c r="CW417" t="s">
        <v>134</v>
      </c>
      <c r="CX417" t="s">
        <v>134</v>
      </c>
      <c r="CY417" t="s">
        <v>134</v>
      </c>
      <c r="CZ417" t="s">
        <v>134</v>
      </c>
      <c r="DA417" t="s">
        <v>134</v>
      </c>
      <c r="DB417" t="s">
        <v>134</v>
      </c>
      <c r="DC417" t="s">
        <v>134</v>
      </c>
      <c r="DD417" t="s">
        <v>134</v>
      </c>
      <c r="DE417" t="s">
        <v>134</v>
      </c>
      <c r="DF417" t="s">
        <v>134</v>
      </c>
      <c r="DG417" t="s">
        <v>134</v>
      </c>
      <c r="DH417" t="s">
        <v>134</v>
      </c>
      <c r="DI417" t="s">
        <v>134</v>
      </c>
    </row>
    <row r="418" spans="1:113" x14ac:dyDescent="0.3">
      <c r="D418" t="s">
        <v>10</v>
      </c>
      <c r="E418" t="s">
        <v>3</v>
      </c>
      <c r="F418">
        <v>9.9885999999999999</v>
      </c>
      <c r="G418">
        <v>3.7578</v>
      </c>
      <c r="H418">
        <v>6.6062000000000003</v>
      </c>
      <c r="I418">
        <v>4.3083</v>
      </c>
      <c r="J418">
        <v>65.904799999999994</v>
      </c>
      <c r="K418">
        <v>45.127699999999997</v>
      </c>
      <c r="L418" t="s">
        <v>134</v>
      </c>
      <c r="M418">
        <v>54.2209</v>
      </c>
      <c r="N418">
        <v>39.252099999999999</v>
      </c>
      <c r="O418">
        <v>32.843000000000004</v>
      </c>
      <c r="P418">
        <v>43.059699999999999</v>
      </c>
      <c r="Q418">
        <v>27.606999999999999</v>
      </c>
      <c r="R418">
        <v>60.958100000000002</v>
      </c>
      <c r="S418">
        <v>3.8997000000000002</v>
      </c>
      <c r="T418">
        <v>9.9500000000000005E-2</v>
      </c>
      <c r="U418">
        <v>-1.734</v>
      </c>
      <c r="V418">
        <v>-3.3963000000000001</v>
      </c>
      <c r="W418">
        <v>16.438700000000001</v>
      </c>
      <c r="X418">
        <v>16.532299999999999</v>
      </c>
      <c r="Y418">
        <v>20</v>
      </c>
      <c r="Z418">
        <v>-2.6516000000000002</v>
      </c>
      <c r="AA418">
        <v>8.6206999999999994</v>
      </c>
      <c r="AB418">
        <v>1.0261</v>
      </c>
      <c r="AC418">
        <v>-4.1767000000000003</v>
      </c>
      <c r="AD418">
        <v>-3.7313999999999998</v>
      </c>
      <c r="AE418">
        <v>-41.845999999999997</v>
      </c>
      <c r="AF418">
        <v>20.823399999999999</v>
      </c>
      <c r="AG418">
        <v>12.745100000000001</v>
      </c>
      <c r="AH418">
        <v>-3.5685000000000002</v>
      </c>
      <c r="AI418">
        <v>-6.9338999999999995</v>
      </c>
      <c r="AJ418">
        <v>-5.7083000000000004</v>
      </c>
      <c r="AK418">
        <v>-1.0532999999999999</v>
      </c>
      <c r="AL418">
        <v>51.7149</v>
      </c>
      <c r="AM418">
        <v>-0.51139999999999997</v>
      </c>
      <c r="AN418">
        <v>-5.1528</v>
      </c>
      <c r="AO418">
        <v>-8.1783999999999999</v>
      </c>
      <c r="AP418">
        <v>-0.36670000000000003</v>
      </c>
      <c r="AQ418">
        <v>1.7587999999999999</v>
      </c>
      <c r="AR418">
        <v>20.7911</v>
      </c>
      <c r="AS418">
        <v>-3.7726999999999999</v>
      </c>
      <c r="AT418">
        <v>15.238</v>
      </c>
      <c r="AU418">
        <v>-0.16739999999999999</v>
      </c>
      <c r="AV418">
        <v>-3.6999999999999998E-2</v>
      </c>
      <c r="AW418">
        <v>-4.7862</v>
      </c>
      <c r="AX418">
        <v>-0.5625</v>
      </c>
      <c r="AY418" t="s">
        <v>134</v>
      </c>
      <c r="AZ418">
        <v>61.557200000000002</v>
      </c>
      <c r="BA418">
        <v>1.2234</v>
      </c>
      <c r="BB418">
        <v>1.0960000000000001</v>
      </c>
      <c r="BC418">
        <v>1.1433</v>
      </c>
      <c r="BD418">
        <v>3.9634</v>
      </c>
      <c r="BE418">
        <v>23.0059</v>
      </c>
      <c r="BF418">
        <v>9.9500000000000005E-2</v>
      </c>
      <c r="BG418">
        <v>-1.734</v>
      </c>
      <c r="BH418">
        <v>-3.3963000000000001</v>
      </c>
      <c r="BI418">
        <v>16.438700000000001</v>
      </c>
      <c r="BJ418">
        <v>16.532299999999999</v>
      </c>
      <c r="BK418">
        <v>20</v>
      </c>
      <c r="BL418">
        <v>-2.6516000000000002</v>
      </c>
      <c r="BM418">
        <v>8.6206999999999994</v>
      </c>
      <c r="BN418">
        <v>1.0261</v>
      </c>
      <c r="BO418">
        <v>-4.1767000000000003</v>
      </c>
      <c r="BP418">
        <v>-3.7313999999999998</v>
      </c>
      <c r="BQ418">
        <v>-41.845999999999997</v>
      </c>
      <c r="BR418">
        <v>20.823399999999999</v>
      </c>
      <c r="BS418">
        <v>12.745100000000001</v>
      </c>
      <c r="BT418">
        <v>-3.5685000000000002</v>
      </c>
      <c r="BU418">
        <v>-6.9338999999999995</v>
      </c>
      <c r="BV418">
        <v>-5.7083000000000004</v>
      </c>
      <c r="BW418">
        <v>-1.0532999999999999</v>
      </c>
      <c r="BX418">
        <v>51.7149</v>
      </c>
      <c r="BY418">
        <v>192267.3</v>
      </c>
      <c r="BZ418">
        <v>19810.900000000001</v>
      </c>
      <c r="CA418">
        <v>172456.4</v>
      </c>
      <c r="CB418">
        <v>4.1467000000000001</v>
      </c>
      <c r="CC418">
        <v>3.3978000000000002</v>
      </c>
      <c r="CD418">
        <v>6.0557999999999996</v>
      </c>
      <c r="CE418">
        <v>4.9620999999999995</v>
      </c>
      <c r="CF418">
        <v>4.4633000000000003</v>
      </c>
      <c r="CG418">
        <v>48.215699999999998</v>
      </c>
      <c r="CH418">
        <v>53.232100000000003</v>
      </c>
      <c r="CI418">
        <v>33.406399999999998</v>
      </c>
      <c r="CJ418">
        <v>28.658100000000001</v>
      </c>
      <c r="CK418">
        <v>59.347099999999998</v>
      </c>
      <c r="CL418">
        <v>37.243899999999996</v>
      </c>
      <c r="CM418">
        <v>31.950199999999999</v>
      </c>
      <c r="CN418">
        <v>48.628700000000002</v>
      </c>
      <c r="CO418">
        <v>32.718200000000003</v>
      </c>
      <c r="CP418">
        <v>46366.6</v>
      </c>
      <c r="CQ418">
        <v>30496.7</v>
      </c>
      <c r="CR418">
        <v>31749.1</v>
      </c>
      <c r="CS418">
        <v>0.62339999999999995</v>
      </c>
      <c r="CT418">
        <v>2.0179</v>
      </c>
      <c r="CU418">
        <v>0.95630000000000004</v>
      </c>
      <c r="CV418">
        <v>1.2494000000000001</v>
      </c>
      <c r="CW418">
        <v>3.7437</v>
      </c>
      <c r="CX418">
        <v>97.497100000000003</v>
      </c>
      <c r="CY418" t="s">
        <v>134</v>
      </c>
      <c r="CZ418" t="s">
        <v>134</v>
      </c>
      <c r="DA418" t="s">
        <v>134</v>
      </c>
      <c r="DB418" t="s">
        <v>134</v>
      </c>
      <c r="DC418" t="s">
        <v>134</v>
      </c>
      <c r="DD418" t="s">
        <v>134</v>
      </c>
      <c r="DE418">
        <v>1008</v>
      </c>
      <c r="DF418">
        <v>48.3</v>
      </c>
      <c r="DG418">
        <v>0</v>
      </c>
      <c r="DH418">
        <v>18.8</v>
      </c>
      <c r="DI418">
        <v>940.9</v>
      </c>
    </row>
    <row r="419" spans="1:113" x14ac:dyDescent="0.3">
      <c r="E419" t="s">
        <v>4</v>
      </c>
      <c r="F419" t="s">
        <v>134</v>
      </c>
      <c r="G419" t="s">
        <v>134</v>
      </c>
      <c r="H419" t="s">
        <v>134</v>
      </c>
      <c r="I419" t="s">
        <v>134</v>
      </c>
      <c r="J419" t="s">
        <v>134</v>
      </c>
      <c r="K419" t="s">
        <v>134</v>
      </c>
      <c r="L419" t="s">
        <v>134</v>
      </c>
      <c r="M419" t="s">
        <v>134</v>
      </c>
      <c r="N419" t="s">
        <v>134</v>
      </c>
      <c r="O419" t="s">
        <v>134</v>
      </c>
      <c r="P419" t="s">
        <v>134</v>
      </c>
      <c r="Q419" t="s">
        <v>134</v>
      </c>
      <c r="R419" t="s">
        <v>134</v>
      </c>
      <c r="S419" t="s">
        <v>134</v>
      </c>
      <c r="T419" t="s">
        <v>134</v>
      </c>
      <c r="U419" t="s">
        <v>134</v>
      </c>
      <c r="V419" t="s">
        <v>134</v>
      </c>
      <c r="W419" t="s">
        <v>134</v>
      </c>
      <c r="X419" t="s">
        <v>134</v>
      </c>
      <c r="Y419" t="s">
        <v>134</v>
      </c>
      <c r="Z419" t="s">
        <v>134</v>
      </c>
      <c r="AA419" t="s">
        <v>134</v>
      </c>
      <c r="AB419" t="s">
        <v>134</v>
      </c>
      <c r="AC419" t="s">
        <v>134</v>
      </c>
      <c r="AD419" t="s">
        <v>134</v>
      </c>
      <c r="AE419" t="s">
        <v>134</v>
      </c>
      <c r="AF419" t="s">
        <v>134</v>
      </c>
      <c r="AG419" t="s">
        <v>134</v>
      </c>
      <c r="AH419" t="s">
        <v>134</v>
      </c>
      <c r="AI419" t="s">
        <v>134</v>
      </c>
      <c r="AJ419" t="s">
        <v>134</v>
      </c>
      <c r="AK419" t="s">
        <v>134</v>
      </c>
      <c r="AL419" t="s">
        <v>134</v>
      </c>
      <c r="AM419" t="s">
        <v>134</v>
      </c>
      <c r="AN419" t="s">
        <v>134</v>
      </c>
      <c r="AO419" t="s">
        <v>134</v>
      </c>
      <c r="AP419" t="s">
        <v>134</v>
      </c>
      <c r="AQ419" t="s">
        <v>134</v>
      </c>
      <c r="AR419" t="s">
        <v>134</v>
      </c>
      <c r="AS419" t="s">
        <v>134</v>
      </c>
      <c r="AT419" t="s">
        <v>134</v>
      </c>
      <c r="AU419" t="s">
        <v>134</v>
      </c>
      <c r="AV419" t="s">
        <v>134</v>
      </c>
      <c r="AW419" t="s">
        <v>134</v>
      </c>
      <c r="AX419" t="s">
        <v>134</v>
      </c>
      <c r="AY419" t="s">
        <v>134</v>
      </c>
      <c r="AZ419" t="s">
        <v>134</v>
      </c>
      <c r="BA419" t="s">
        <v>134</v>
      </c>
      <c r="BB419" t="s">
        <v>134</v>
      </c>
      <c r="BC419" t="s">
        <v>134</v>
      </c>
      <c r="BD419" t="s">
        <v>134</v>
      </c>
      <c r="BE419" t="s">
        <v>134</v>
      </c>
      <c r="BF419" t="s">
        <v>134</v>
      </c>
      <c r="BG419" t="s">
        <v>134</v>
      </c>
      <c r="BH419" t="s">
        <v>134</v>
      </c>
      <c r="BI419" t="s">
        <v>134</v>
      </c>
      <c r="BJ419" t="s">
        <v>134</v>
      </c>
      <c r="BK419" t="s">
        <v>134</v>
      </c>
      <c r="BL419" t="s">
        <v>134</v>
      </c>
      <c r="BM419" t="s">
        <v>134</v>
      </c>
      <c r="BN419" t="s">
        <v>134</v>
      </c>
      <c r="BO419" t="s">
        <v>134</v>
      </c>
      <c r="BP419" t="s">
        <v>134</v>
      </c>
      <c r="BQ419" t="s">
        <v>134</v>
      </c>
      <c r="BR419" t="s">
        <v>134</v>
      </c>
      <c r="BS419" t="s">
        <v>134</v>
      </c>
      <c r="BT419" t="s">
        <v>134</v>
      </c>
      <c r="BU419" t="s">
        <v>134</v>
      </c>
      <c r="BV419" t="s">
        <v>134</v>
      </c>
      <c r="BW419" t="s">
        <v>134</v>
      </c>
      <c r="BX419" t="s">
        <v>134</v>
      </c>
      <c r="BY419" t="s">
        <v>134</v>
      </c>
      <c r="BZ419" t="s">
        <v>134</v>
      </c>
      <c r="CA419" t="s">
        <v>134</v>
      </c>
      <c r="CB419" t="s">
        <v>134</v>
      </c>
      <c r="CC419" t="s">
        <v>134</v>
      </c>
      <c r="CD419" t="s">
        <v>134</v>
      </c>
      <c r="CE419" t="s">
        <v>134</v>
      </c>
      <c r="CF419" t="s">
        <v>134</v>
      </c>
      <c r="CG419" t="s">
        <v>134</v>
      </c>
      <c r="CH419" t="s">
        <v>134</v>
      </c>
      <c r="CI419" t="s">
        <v>134</v>
      </c>
      <c r="CJ419" t="s">
        <v>134</v>
      </c>
      <c r="CK419" t="s">
        <v>134</v>
      </c>
      <c r="CL419" t="s">
        <v>134</v>
      </c>
      <c r="CM419" t="s">
        <v>134</v>
      </c>
      <c r="CN419" t="s">
        <v>134</v>
      </c>
      <c r="CO419" t="s">
        <v>134</v>
      </c>
      <c r="CP419" t="s">
        <v>134</v>
      </c>
      <c r="CQ419" t="s">
        <v>134</v>
      </c>
      <c r="CR419" t="s">
        <v>134</v>
      </c>
      <c r="CS419" t="s">
        <v>134</v>
      </c>
      <c r="CT419" t="s">
        <v>134</v>
      </c>
      <c r="CU419" t="s">
        <v>134</v>
      </c>
      <c r="CV419" t="s">
        <v>134</v>
      </c>
      <c r="CW419" t="s">
        <v>134</v>
      </c>
      <c r="CX419" t="s">
        <v>134</v>
      </c>
      <c r="CY419" t="s">
        <v>134</v>
      </c>
      <c r="CZ419" t="s">
        <v>134</v>
      </c>
      <c r="DA419" t="s">
        <v>134</v>
      </c>
      <c r="DB419" t="s">
        <v>134</v>
      </c>
      <c r="DC419" t="s">
        <v>134</v>
      </c>
      <c r="DD419" t="s">
        <v>134</v>
      </c>
      <c r="DE419" t="s">
        <v>134</v>
      </c>
      <c r="DF419" t="s">
        <v>134</v>
      </c>
      <c r="DG419" t="s">
        <v>134</v>
      </c>
      <c r="DH419" t="s">
        <v>134</v>
      </c>
      <c r="DI419" t="s">
        <v>134</v>
      </c>
    </row>
    <row r="420" spans="1:113" x14ac:dyDescent="0.3">
      <c r="E420" t="s">
        <v>5</v>
      </c>
      <c r="F420" t="s">
        <v>134</v>
      </c>
      <c r="G420" t="s">
        <v>134</v>
      </c>
      <c r="H420" t="s">
        <v>134</v>
      </c>
      <c r="I420" t="s">
        <v>134</v>
      </c>
      <c r="J420" t="s">
        <v>134</v>
      </c>
      <c r="K420" t="s">
        <v>134</v>
      </c>
      <c r="L420" t="s">
        <v>134</v>
      </c>
      <c r="M420" t="s">
        <v>134</v>
      </c>
      <c r="N420" t="s">
        <v>134</v>
      </c>
      <c r="O420" t="s">
        <v>134</v>
      </c>
      <c r="P420" t="s">
        <v>134</v>
      </c>
      <c r="Q420" t="s">
        <v>134</v>
      </c>
      <c r="R420" t="s">
        <v>134</v>
      </c>
      <c r="S420" t="s">
        <v>134</v>
      </c>
      <c r="T420" t="s">
        <v>134</v>
      </c>
      <c r="U420" t="s">
        <v>134</v>
      </c>
      <c r="V420" t="s">
        <v>134</v>
      </c>
      <c r="W420" t="s">
        <v>134</v>
      </c>
      <c r="X420" t="s">
        <v>134</v>
      </c>
      <c r="Y420" t="s">
        <v>134</v>
      </c>
      <c r="Z420" t="s">
        <v>134</v>
      </c>
      <c r="AA420" t="s">
        <v>134</v>
      </c>
      <c r="AB420" t="s">
        <v>134</v>
      </c>
      <c r="AC420" t="s">
        <v>134</v>
      </c>
      <c r="AD420" t="s">
        <v>134</v>
      </c>
      <c r="AE420" t="s">
        <v>134</v>
      </c>
      <c r="AF420" t="s">
        <v>134</v>
      </c>
      <c r="AG420" t="s">
        <v>134</v>
      </c>
      <c r="AH420" t="s">
        <v>134</v>
      </c>
      <c r="AI420" t="s">
        <v>134</v>
      </c>
      <c r="AJ420" t="s">
        <v>134</v>
      </c>
      <c r="AK420" t="s">
        <v>134</v>
      </c>
      <c r="AL420" t="s">
        <v>134</v>
      </c>
      <c r="AM420" t="s">
        <v>134</v>
      </c>
      <c r="AN420" t="s">
        <v>134</v>
      </c>
      <c r="AO420" t="s">
        <v>134</v>
      </c>
      <c r="AP420" t="s">
        <v>134</v>
      </c>
      <c r="AQ420" t="s">
        <v>134</v>
      </c>
      <c r="AR420" t="s">
        <v>134</v>
      </c>
      <c r="AS420" t="s">
        <v>134</v>
      </c>
      <c r="AT420" t="s">
        <v>134</v>
      </c>
      <c r="AU420" t="s">
        <v>134</v>
      </c>
      <c r="AV420" t="s">
        <v>134</v>
      </c>
      <c r="AW420" t="s">
        <v>134</v>
      </c>
      <c r="AX420" t="s">
        <v>134</v>
      </c>
      <c r="AY420" t="s">
        <v>134</v>
      </c>
      <c r="AZ420" t="s">
        <v>134</v>
      </c>
      <c r="BA420" t="s">
        <v>134</v>
      </c>
      <c r="BB420" t="s">
        <v>134</v>
      </c>
      <c r="BC420" t="s">
        <v>134</v>
      </c>
      <c r="BD420" t="s">
        <v>134</v>
      </c>
      <c r="BE420" t="s">
        <v>134</v>
      </c>
      <c r="BF420" t="s">
        <v>134</v>
      </c>
      <c r="BG420" t="s">
        <v>134</v>
      </c>
      <c r="BH420" t="s">
        <v>134</v>
      </c>
      <c r="BI420" t="s">
        <v>134</v>
      </c>
      <c r="BJ420" t="s">
        <v>134</v>
      </c>
      <c r="BK420" t="s">
        <v>134</v>
      </c>
      <c r="BL420" t="s">
        <v>134</v>
      </c>
      <c r="BM420" t="s">
        <v>134</v>
      </c>
      <c r="BN420" t="s">
        <v>134</v>
      </c>
      <c r="BO420" t="s">
        <v>134</v>
      </c>
      <c r="BP420" t="s">
        <v>134</v>
      </c>
      <c r="BQ420" t="s">
        <v>134</v>
      </c>
      <c r="BR420" t="s">
        <v>134</v>
      </c>
      <c r="BS420" t="s">
        <v>134</v>
      </c>
      <c r="BT420" t="s">
        <v>134</v>
      </c>
      <c r="BU420" t="s">
        <v>134</v>
      </c>
      <c r="BV420" t="s">
        <v>134</v>
      </c>
      <c r="BW420" t="s">
        <v>134</v>
      </c>
      <c r="BX420" t="s">
        <v>134</v>
      </c>
      <c r="BY420" t="s">
        <v>134</v>
      </c>
      <c r="BZ420" t="s">
        <v>134</v>
      </c>
      <c r="CA420" t="s">
        <v>134</v>
      </c>
      <c r="CB420" t="s">
        <v>134</v>
      </c>
      <c r="CC420" t="s">
        <v>134</v>
      </c>
      <c r="CD420" t="s">
        <v>134</v>
      </c>
      <c r="CE420" t="s">
        <v>134</v>
      </c>
      <c r="CF420" t="s">
        <v>134</v>
      </c>
      <c r="CG420" t="s">
        <v>134</v>
      </c>
      <c r="CH420" t="s">
        <v>134</v>
      </c>
      <c r="CI420" t="s">
        <v>134</v>
      </c>
      <c r="CJ420" t="s">
        <v>134</v>
      </c>
      <c r="CK420" t="s">
        <v>134</v>
      </c>
      <c r="CL420" t="s">
        <v>134</v>
      </c>
      <c r="CM420" t="s">
        <v>134</v>
      </c>
      <c r="CN420" t="s">
        <v>134</v>
      </c>
      <c r="CO420" t="s">
        <v>134</v>
      </c>
      <c r="CP420" t="s">
        <v>134</v>
      </c>
      <c r="CQ420" t="s">
        <v>134</v>
      </c>
      <c r="CR420" t="s">
        <v>134</v>
      </c>
      <c r="CS420" t="s">
        <v>134</v>
      </c>
      <c r="CT420" t="s">
        <v>134</v>
      </c>
      <c r="CU420" t="s">
        <v>134</v>
      </c>
      <c r="CV420" t="s">
        <v>134</v>
      </c>
      <c r="CW420" t="s">
        <v>134</v>
      </c>
      <c r="CX420" t="s">
        <v>134</v>
      </c>
      <c r="CY420" t="s">
        <v>134</v>
      </c>
      <c r="CZ420" t="s">
        <v>134</v>
      </c>
      <c r="DA420" t="s">
        <v>134</v>
      </c>
      <c r="DB420" t="s">
        <v>134</v>
      </c>
      <c r="DC420" t="s">
        <v>134</v>
      </c>
      <c r="DD420" t="s">
        <v>134</v>
      </c>
      <c r="DE420" t="s">
        <v>134</v>
      </c>
      <c r="DF420" t="s">
        <v>134</v>
      </c>
      <c r="DG420" t="s">
        <v>134</v>
      </c>
      <c r="DH420" t="s">
        <v>134</v>
      </c>
      <c r="DI420" t="s">
        <v>134</v>
      </c>
    </row>
    <row r="421" spans="1:113" x14ac:dyDescent="0.3">
      <c r="E421" t="s">
        <v>6</v>
      </c>
      <c r="F421" t="s">
        <v>134</v>
      </c>
      <c r="G421" t="s">
        <v>134</v>
      </c>
      <c r="H421" t="s">
        <v>134</v>
      </c>
      <c r="I421" t="s">
        <v>134</v>
      </c>
      <c r="J421" t="s">
        <v>134</v>
      </c>
      <c r="K421" t="s">
        <v>134</v>
      </c>
      <c r="L421" t="s">
        <v>134</v>
      </c>
      <c r="M421" t="s">
        <v>134</v>
      </c>
      <c r="N421" t="s">
        <v>134</v>
      </c>
      <c r="O421" t="s">
        <v>134</v>
      </c>
      <c r="P421" t="s">
        <v>134</v>
      </c>
      <c r="Q421" t="s">
        <v>134</v>
      </c>
      <c r="R421" t="s">
        <v>134</v>
      </c>
      <c r="S421" t="s">
        <v>134</v>
      </c>
      <c r="T421" t="s">
        <v>134</v>
      </c>
      <c r="U421" t="s">
        <v>134</v>
      </c>
      <c r="V421" t="s">
        <v>134</v>
      </c>
      <c r="W421" t="s">
        <v>134</v>
      </c>
      <c r="X421" t="s">
        <v>134</v>
      </c>
      <c r="Y421" t="s">
        <v>134</v>
      </c>
      <c r="Z421" t="s">
        <v>134</v>
      </c>
      <c r="AA421" t="s">
        <v>134</v>
      </c>
      <c r="AB421" t="s">
        <v>134</v>
      </c>
      <c r="AC421" t="s">
        <v>134</v>
      </c>
      <c r="AD421" t="s">
        <v>134</v>
      </c>
      <c r="AE421" t="s">
        <v>134</v>
      </c>
      <c r="AF421" t="s">
        <v>134</v>
      </c>
      <c r="AG421" t="s">
        <v>134</v>
      </c>
      <c r="AH421" t="s">
        <v>134</v>
      </c>
      <c r="AI421" t="s">
        <v>134</v>
      </c>
      <c r="AJ421" t="s">
        <v>134</v>
      </c>
      <c r="AK421" t="s">
        <v>134</v>
      </c>
      <c r="AL421" t="s">
        <v>134</v>
      </c>
      <c r="AM421" t="s">
        <v>134</v>
      </c>
      <c r="AN421" t="s">
        <v>134</v>
      </c>
      <c r="AO421" t="s">
        <v>134</v>
      </c>
      <c r="AP421" t="s">
        <v>134</v>
      </c>
      <c r="AQ421" t="s">
        <v>134</v>
      </c>
      <c r="AR421" t="s">
        <v>134</v>
      </c>
      <c r="AS421" t="s">
        <v>134</v>
      </c>
      <c r="AT421" t="s">
        <v>134</v>
      </c>
      <c r="AU421" t="s">
        <v>134</v>
      </c>
      <c r="AV421" t="s">
        <v>134</v>
      </c>
      <c r="AW421" t="s">
        <v>134</v>
      </c>
      <c r="AX421" t="s">
        <v>134</v>
      </c>
      <c r="AY421" t="s">
        <v>134</v>
      </c>
      <c r="AZ421" t="s">
        <v>134</v>
      </c>
      <c r="BA421" t="s">
        <v>134</v>
      </c>
      <c r="BB421" t="s">
        <v>134</v>
      </c>
      <c r="BC421" t="s">
        <v>134</v>
      </c>
      <c r="BD421" t="s">
        <v>134</v>
      </c>
      <c r="BE421" t="s">
        <v>134</v>
      </c>
      <c r="BF421" t="s">
        <v>134</v>
      </c>
      <c r="BG421" t="s">
        <v>134</v>
      </c>
      <c r="BH421" t="s">
        <v>134</v>
      </c>
      <c r="BI421" t="s">
        <v>134</v>
      </c>
      <c r="BJ421" t="s">
        <v>134</v>
      </c>
      <c r="BK421" t="s">
        <v>134</v>
      </c>
      <c r="BL421" t="s">
        <v>134</v>
      </c>
      <c r="BM421" t="s">
        <v>134</v>
      </c>
      <c r="BN421" t="s">
        <v>134</v>
      </c>
      <c r="BO421" t="s">
        <v>134</v>
      </c>
      <c r="BP421" t="s">
        <v>134</v>
      </c>
      <c r="BQ421" t="s">
        <v>134</v>
      </c>
      <c r="BR421" t="s">
        <v>134</v>
      </c>
      <c r="BS421" t="s">
        <v>134</v>
      </c>
      <c r="BT421" t="s">
        <v>134</v>
      </c>
      <c r="BU421" t="s">
        <v>134</v>
      </c>
      <c r="BV421" t="s">
        <v>134</v>
      </c>
      <c r="BW421" t="s">
        <v>134</v>
      </c>
      <c r="BX421" t="s">
        <v>134</v>
      </c>
      <c r="BY421" t="s">
        <v>134</v>
      </c>
      <c r="BZ421" t="s">
        <v>134</v>
      </c>
      <c r="CA421" t="s">
        <v>134</v>
      </c>
      <c r="CB421" t="s">
        <v>134</v>
      </c>
      <c r="CC421" t="s">
        <v>134</v>
      </c>
      <c r="CD421" t="s">
        <v>134</v>
      </c>
      <c r="CE421" t="s">
        <v>134</v>
      </c>
      <c r="CF421" t="s">
        <v>134</v>
      </c>
      <c r="CG421" t="s">
        <v>134</v>
      </c>
      <c r="CH421" t="s">
        <v>134</v>
      </c>
      <c r="CI421" t="s">
        <v>134</v>
      </c>
      <c r="CJ421" t="s">
        <v>134</v>
      </c>
      <c r="CK421" t="s">
        <v>134</v>
      </c>
      <c r="CL421" t="s">
        <v>134</v>
      </c>
      <c r="CM421" t="s">
        <v>134</v>
      </c>
      <c r="CN421" t="s">
        <v>134</v>
      </c>
      <c r="CO421" t="s">
        <v>134</v>
      </c>
      <c r="CP421" t="s">
        <v>134</v>
      </c>
      <c r="CQ421" t="s">
        <v>134</v>
      </c>
      <c r="CR421" t="s">
        <v>134</v>
      </c>
      <c r="CS421" t="s">
        <v>134</v>
      </c>
      <c r="CT421" t="s">
        <v>134</v>
      </c>
      <c r="CU421" t="s">
        <v>134</v>
      </c>
      <c r="CV421" t="s">
        <v>134</v>
      </c>
      <c r="CW421" t="s">
        <v>134</v>
      </c>
      <c r="CX421" t="s">
        <v>134</v>
      </c>
      <c r="CY421" t="s">
        <v>134</v>
      </c>
      <c r="CZ421" t="s">
        <v>134</v>
      </c>
      <c r="DA421" t="s">
        <v>134</v>
      </c>
      <c r="DB421" t="s">
        <v>134</v>
      </c>
      <c r="DC421" t="s">
        <v>134</v>
      </c>
      <c r="DD421" t="s">
        <v>134</v>
      </c>
      <c r="DE421" t="s">
        <v>134</v>
      </c>
      <c r="DF421" t="s">
        <v>134</v>
      </c>
      <c r="DG421" t="s">
        <v>134</v>
      </c>
      <c r="DH421" t="s">
        <v>134</v>
      </c>
      <c r="DI421" t="s">
        <v>134</v>
      </c>
    </row>
    <row r="422" spans="1:113" x14ac:dyDescent="0.3">
      <c r="E422" t="s">
        <v>7</v>
      </c>
      <c r="F422" t="s">
        <v>134</v>
      </c>
      <c r="G422" t="s">
        <v>134</v>
      </c>
      <c r="H422" t="s">
        <v>134</v>
      </c>
      <c r="I422" t="s">
        <v>134</v>
      </c>
      <c r="J422" t="s">
        <v>134</v>
      </c>
      <c r="K422" t="s">
        <v>134</v>
      </c>
      <c r="L422" t="s">
        <v>134</v>
      </c>
      <c r="M422" t="s">
        <v>134</v>
      </c>
      <c r="N422" t="s">
        <v>134</v>
      </c>
      <c r="O422" t="s">
        <v>134</v>
      </c>
      <c r="P422" t="s">
        <v>134</v>
      </c>
      <c r="Q422" t="s">
        <v>134</v>
      </c>
      <c r="R422" t="s">
        <v>134</v>
      </c>
      <c r="S422" t="s">
        <v>134</v>
      </c>
      <c r="T422" t="s">
        <v>134</v>
      </c>
      <c r="U422" t="s">
        <v>134</v>
      </c>
      <c r="V422" t="s">
        <v>134</v>
      </c>
      <c r="W422" t="s">
        <v>134</v>
      </c>
      <c r="X422" t="s">
        <v>134</v>
      </c>
      <c r="Y422" t="s">
        <v>134</v>
      </c>
      <c r="Z422" t="s">
        <v>134</v>
      </c>
      <c r="AA422" t="s">
        <v>134</v>
      </c>
      <c r="AB422" t="s">
        <v>134</v>
      </c>
      <c r="AC422" t="s">
        <v>134</v>
      </c>
      <c r="AD422" t="s">
        <v>134</v>
      </c>
      <c r="AE422" t="s">
        <v>134</v>
      </c>
      <c r="AF422" t="s">
        <v>134</v>
      </c>
      <c r="AG422" t="s">
        <v>134</v>
      </c>
      <c r="AH422" t="s">
        <v>134</v>
      </c>
      <c r="AI422" t="s">
        <v>134</v>
      </c>
      <c r="AJ422" t="s">
        <v>134</v>
      </c>
      <c r="AK422" t="s">
        <v>134</v>
      </c>
      <c r="AL422" t="s">
        <v>134</v>
      </c>
      <c r="AM422" t="s">
        <v>134</v>
      </c>
      <c r="AN422" t="s">
        <v>134</v>
      </c>
      <c r="AO422" t="s">
        <v>134</v>
      </c>
      <c r="AP422" t="s">
        <v>134</v>
      </c>
      <c r="AQ422" t="s">
        <v>134</v>
      </c>
      <c r="AR422" t="s">
        <v>134</v>
      </c>
      <c r="AS422" t="s">
        <v>134</v>
      </c>
      <c r="AT422" t="s">
        <v>134</v>
      </c>
      <c r="AU422" t="s">
        <v>134</v>
      </c>
      <c r="AV422" t="s">
        <v>134</v>
      </c>
      <c r="AW422" t="s">
        <v>134</v>
      </c>
      <c r="AX422" t="s">
        <v>134</v>
      </c>
      <c r="AY422" t="s">
        <v>134</v>
      </c>
      <c r="AZ422" t="s">
        <v>134</v>
      </c>
      <c r="BA422" t="s">
        <v>134</v>
      </c>
      <c r="BB422" t="s">
        <v>134</v>
      </c>
      <c r="BC422" t="s">
        <v>134</v>
      </c>
      <c r="BD422" t="s">
        <v>134</v>
      </c>
      <c r="BE422" t="s">
        <v>134</v>
      </c>
      <c r="BF422" t="s">
        <v>134</v>
      </c>
      <c r="BG422" t="s">
        <v>134</v>
      </c>
      <c r="BH422" t="s">
        <v>134</v>
      </c>
      <c r="BI422" t="s">
        <v>134</v>
      </c>
      <c r="BJ422" t="s">
        <v>134</v>
      </c>
      <c r="BK422" t="s">
        <v>134</v>
      </c>
      <c r="BL422" t="s">
        <v>134</v>
      </c>
      <c r="BM422" t="s">
        <v>134</v>
      </c>
      <c r="BN422" t="s">
        <v>134</v>
      </c>
      <c r="BO422" t="s">
        <v>134</v>
      </c>
      <c r="BP422" t="s">
        <v>134</v>
      </c>
      <c r="BQ422" t="s">
        <v>134</v>
      </c>
      <c r="BR422" t="s">
        <v>134</v>
      </c>
      <c r="BS422" t="s">
        <v>134</v>
      </c>
      <c r="BT422" t="s">
        <v>134</v>
      </c>
      <c r="BU422" t="s">
        <v>134</v>
      </c>
      <c r="BV422" t="s">
        <v>134</v>
      </c>
      <c r="BW422" t="s">
        <v>134</v>
      </c>
      <c r="BX422" t="s">
        <v>134</v>
      </c>
      <c r="BY422" t="s">
        <v>134</v>
      </c>
      <c r="BZ422" t="s">
        <v>134</v>
      </c>
      <c r="CA422" t="s">
        <v>134</v>
      </c>
      <c r="CB422" t="s">
        <v>134</v>
      </c>
      <c r="CC422" t="s">
        <v>134</v>
      </c>
      <c r="CD422" t="s">
        <v>134</v>
      </c>
      <c r="CE422" t="s">
        <v>134</v>
      </c>
      <c r="CF422" t="s">
        <v>134</v>
      </c>
      <c r="CG422" t="s">
        <v>134</v>
      </c>
      <c r="CH422" t="s">
        <v>134</v>
      </c>
      <c r="CI422" t="s">
        <v>134</v>
      </c>
      <c r="CJ422" t="s">
        <v>134</v>
      </c>
      <c r="CK422" t="s">
        <v>134</v>
      </c>
      <c r="CL422" t="s">
        <v>134</v>
      </c>
      <c r="CM422" t="s">
        <v>134</v>
      </c>
      <c r="CN422" t="s">
        <v>134</v>
      </c>
      <c r="CO422" t="s">
        <v>134</v>
      </c>
      <c r="CP422" t="s">
        <v>134</v>
      </c>
      <c r="CQ422" t="s">
        <v>134</v>
      </c>
      <c r="CR422" t="s">
        <v>134</v>
      </c>
      <c r="CS422" t="s">
        <v>134</v>
      </c>
      <c r="CT422" t="s">
        <v>134</v>
      </c>
      <c r="CU422" t="s">
        <v>134</v>
      </c>
      <c r="CV422" t="s">
        <v>134</v>
      </c>
      <c r="CW422" t="s">
        <v>134</v>
      </c>
      <c r="CX422" t="s">
        <v>134</v>
      </c>
      <c r="CY422" t="s">
        <v>134</v>
      </c>
      <c r="CZ422" t="s">
        <v>134</v>
      </c>
      <c r="DA422" t="s">
        <v>134</v>
      </c>
      <c r="DB422" t="s">
        <v>134</v>
      </c>
      <c r="DC422" t="s">
        <v>134</v>
      </c>
      <c r="DD422" t="s">
        <v>134</v>
      </c>
      <c r="DE422" t="s">
        <v>134</v>
      </c>
      <c r="DF422" t="s">
        <v>134</v>
      </c>
      <c r="DG422" t="s">
        <v>134</v>
      </c>
      <c r="DH422" t="s">
        <v>134</v>
      </c>
      <c r="DI422" t="s">
        <v>134</v>
      </c>
    </row>
    <row r="423" spans="1:113" x14ac:dyDescent="0.3">
      <c r="D423" t="s">
        <v>11</v>
      </c>
      <c r="E423" t="s">
        <v>3</v>
      </c>
      <c r="F423">
        <v>8.4831000000000003</v>
      </c>
      <c r="G423">
        <v>2.9323999999999999</v>
      </c>
      <c r="H423">
        <v>5.1585000000000001</v>
      </c>
      <c r="I423">
        <v>3.6343999999999999</v>
      </c>
      <c r="J423">
        <v>65.715999999999994</v>
      </c>
      <c r="K423">
        <v>42.583100000000002</v>
      </c>
      <c r="L423">
        <v>-102.8685</v>
      </c>
      <c r="M423">
        <v>45.377000000000002</v>
      </c>
      <c r="N423">
        <v>31.882200000000001</v>
      </c>
      <c r="O423">
        <v>27.646999999999998</v>
      </c>
      <c r="P423">
        <v>39.160499999999999</v>
      </c>
      <c r="Q423">
        <v>29.7393</v>
      </c>
      <c r="R423">
        <v>57.362699999999997</v>
      </c>
      <c r="S423">
        <v>3.617</v>
      </c>
      <c r="T423">
        <v>-9.1174999999999997</v>
      </c>
      <c r="U423">
        <v>-13.2629</v>
      </c>
      <c r="V423">
        <v>-19.507200000000001</v>
      </c>
      <c r="W423">
        <v>-17.347200000000001</v>
      </c>
      <c r="X423">
        <v>-10.882300000000001</v>
      </c>
      <c r="Y423">
        <v>-22.222200000000001</v>
      </c>
      <c r="Z423">
        <v>-27.398399999999999</v>
      </c>
      <c r="AA423">
        <v>3.8491999999999997</v>
      </c>
      <c r="AB423">
        <v>1.3616999999999999</v>
      </c>
      <c r="AC423">
        <v>0.3498</v>
      </c>
      <c r="AD423">
        <v>-29.505600000000001</v>
      </c>
      <c r="AE423">
        <v>-13.389200000000001</v>
      </c>
      <c r="AF423">
        <v>16.6191</v>
      </c>
      <c r="AG423">
        <v>-5.4107000000000003</v>
      </c>
      <c r="AH423">
        <v>-3.2488000000000001</v>
      </c>
      <c r="AI423">
        <v>1.7154</v>
      </c>
      <c r="AJ423">
        <v>-0.13339999999999999</v>
      </c>
      <c r="AK423">
        <v>3.4571000000000001</v>
      </c>
      <c r="AL423">
        <v>-42.797499999999999</v>
      </c>
      <c r="AM423">
        <v>0.45839999999999997</v>
      </c>
      <c r="AN423">
        <v>-0.33510000000000001</v>
      </c>
      <c r="AO423">
        <v>-2.1278999999999999</v>
      </c>
      <c r="AP423">
        <v>-0.88280000000000003</v>
      </c>
      <c r="AQ423">
        <v>2.7599</v>
      </c>
      <c r="AR423">
        <v>18.4664</v>
      </c>
      <c r="AS423">
        <v>-9.6850000000000005</v>
      </c>
      <c r="AT423">
        <v>10.2653</v>
      </c>
      <c r="AU423">
        <v>-0.9355</v>
      </c>
      <c r="AV423">
        <v>-0.6331</v>
      </c>
      <c r="AW423">
        <v>-9.7423999999999999</v>
      </c>
      <c r="AX423">
        <v>-8.2888000000000002</v>
      </c>
      <c r="AY423">
        <v>-0.57330000000000003</v>
      </c>
      <c r="AZ423" t="s">
        <v>134</v>
      </c>
      <c r="BA423">
        <v>-0.2177</v>
      </c>
      <c r="BB423">
        <v>0.16320000000000001</v>
      </c>
      <c r="BC423">
        <v>2.4799999999999999E-2</v>
      </c>
      <c r="BD423">
        <v>3.8508</v>
      </c>
      <c r="BE423">
        <v>14.6089</v>
      </c>
      <c r="BF423">
        <v>-9.1174999999999997</v>
      </c>
      <c r="BG423">
        <v>-13.2629</v>
      </c>
      <c r="BH423">
        <v>-19.507200000000001</v>
      </c>
      <c r="BI423">
        <v>-17.347200000000001</v>
      </c>
      <c r="BJ423">
        <v>-10.882300000000001</v>
      </c>
      <c r="BK423">
        <v>-22.222200000000001</v>
      </c>
      <c r="BL423">
        <v>-27.398399999999999</v>
      </c>
      <c r="BM423">
        <v>3.8491999999999997</v>
      </c>
      <c r="BN423">
        <v>1.3616999999999999</v>
      </c>
      <c r="BO423">
        <v>0.3498</v>
      </c>
      <c r="BP423">
        <v>-29.505600000000001</v>
      </c>
      <c r="BQ423">
        <v>-13.389200000000001</v>
      </c>
      <c r="BR423">
        <v>16.6191</v>
      </c>
      <c r="BS423">
        <v>-5.4107000000000003</v>
      </c>
      <c r="BT423">
        <v>-3.2488000000000001</v>
      </c>
      <c r="BU423">
        <v>1.7154</v>
      </c>
      <c r="BV423">
        <v>-0.13339999999999999</v>
      </c>
      <c r="BW423">
        <v>3.4571000000000001</v>
      </c>
      <c r="BX423">
        <v>-42.797499999999999</v>
      </c>
      <c r="BY423">
        <v>186021</v>
      </c>
      <c r="BZ423">
        <v>18739</v>
      </c>
      <c r="CA423">
        <v>167282</v>
      </c>
      <c r="CB423">
        <v>4.4271000000000003</v>
      </c>
      <c r="CC423">
        <v>3.6372</v>
      </c>
      <c r="CD423">
        <v>6.8320999999999996</v>
      </c>
      <c r="CE423">
        <v>5.6131000000000002</v>
      </c>
      <c r="CF423">
        <v>4.7408999999999999</v>
      </c>
      <c r="CG423">
        <v>49.7087</v>
      </c>
      <c r="CH423">
        <v>50.764099999999999</v>
      </c>
      <c r="CI423">
        <v>32.447299999999998</v>
      </c>
      <c r="CJ423">
        <v>27.7014</v>
      </c>
      <c r="CK423">
        <v>56.450699999999998</v>
      </c>
      <c r="CL423">
        <v>36.082099999999997</v>
      </c>
      <c r="CM423">
        <v>30.804500000000001</v>
      </c>
      <c r="CN423">
        <v>46.378599999999999</v>
      </c>
      <c r="CO423">
        <v>31.684000000000001</v>
      </c>
      <c r="CP423">
        <v>42018.400000000001</v>
      </c>
      <c r="CQ423">
        <v>26345.9</v>
      </c>
      <c r="CR423">
        <v>27227.4</v>
      </c>
      <c r="CS423">
        <v>0.54749999999999999</v>
      </c>
      <c r="CT423">
        <v>1.81</v>
      </c>
      <c r="CU423">
        <v>0.76959999999999995</v>
      </c>
      <c r="CV423">
        <v>1.1041000000000001</v>
      </c>
      <c r="CW423">
        <v>3.9962</v>
      </c>
      <c r="CX423">
        <v>91.337900000000005</v>
      </c>
      <c r="CY423" t="s">
        <v>134</v>
      </c>
      <c r="CZ423" t="s">
        <v>134</v>
      </c>
      <c r="DA423" t="s">
        <v>134</v>
      </c>
      <c r="DB423" t="s">
        <v>134</v>
      </c>
      <c r="DC423" t="s">
        <v>134</v>
      </c>
      <c r="DD423" t="s">
        <v>134</v>
      </c>
      <c r="DE423">
        <v>1046.8</v>
      </c>
      <c r="DF423">
        <v>49.9</v>
      </c>
      <c r="DG423">
        <v>0</v>
      </c>
      <c r="DH423">
        <v>28.1</v>
      </c>
      <c r="DI423">
        <v>968.8</v>
      </c>
    </row>
    <row r="424" spans="1:113" x14ac:dyDescent="0.3">
      <c r="E424" t="s">
        <v>4</v>
      </c>
      <c r="F424" t="s">
        <v>134</v>
      </c>
      <c r="G424" t="s">
        <v>134</v>
      </c>
      <c r="H424" t="s">
        <v>134</v>
      </c>
      <c r="I424" t="s">
        <v>134</v>
      </c>
      <c r="J424" t="s">
        <v>134</v>
      </c>
      <c r="K424" t="s">
        <v>134</v>
      </c>
      <c r="L424" t="s">
        <v>134</v>
      </c>
      <c r="M424" t="s">
        <v>134</v>
      </c>
      <c r="N424" t="s">
        <v>134</v>
      </c>
      <c r="O424" t="s">
        <v>134</v>
      </c>
      <c r="P424" t="s">
        <v>134</v>
      </c>
      <c r="Q424" t="s">
        <v>134</v>
      </c>
      <c r="R424" t="s">
        <v>134</v>
      </c>
      <c r="S424" t="s">
        <v>134</v>
      </c>
      <c r="T424" t="s">
        <v>134</v>
      </c>
      <c r="U424" t="s">
        <v>134</v>
      </c>
      <c r="V424" t="s">
        <v>134</v>
      </c>
      <c r="W424" t="s">
        <v>134</v>
      </c>
      <c r="X424" t="s">
        <v>134</v>
      </c>
      <c r="Y424" t="s">
        <v>134</v>
      </c>
      <c r="Z424" t="s">
        <v>134</v>
      </c>
      <c r="AA424" t="s">
        <v>134</v>
      </c>
      <c r="AB424" t="s">
        <v>134</v>
      </c>
      <c r="AC424" t="s">
        <v>134</v>
      </c>
      <c r="AD424" t="s">
        <v>134</v>
      </c>
      <c r="AE424" t="s">
        <v>134</v>
      </c>
      <c r="AF424" t="s">
        <v>134</v>
      </c>
      <c r="AG424" t="s">
        <v>134</v>
      </c>
      <c r="AH424" t="s">
        <v>134</v>
      </c>
      <c r="AI424" t="s">
        <v>134</v>
      </c>
      <c r="AJ424" t="s">
        <v>134</v>
      </c>
      <c r="AK424" t="s">
        <v>134</v>
      </c>
      <c r="AL424" t="s">
        <v>134</v>
      </c>
      <c r="AM424" t="s">
        <v>134</v>
      </c>
      <c r="AN424" t="s">
        <v>134</v>
      </c>
      <c r="AO424" t="s">
        <v>134</v>
      </c>
      <c r="AP424" t="s">
        <v>134</v>
      </c>
      <c r="AQ424" t="s">
        <v>134</v>
      </c>
      <c r="AR424" t="s">
        <v>134</v>
      </c>
      <c r="AS424" t="s">
        <v>134</v>
      </c>
      <c r="AT424" t="s">
        <v>134</v>
      </c>
      <c r="AU424" t="s">
        <v>134</v>
      </c>
      <c r="AV424" t="s">
        <v>134</v>
      </c>
      <c r="AW424" t="s">
        <v>134</v>
      </c>
      <c r="AX424" t="s">
        <v>134</v>
      </c>
      <c r="AY424" t="s">
        <v>134</v>
      </c>
      <c r="AZ424" t="s">
        <v>134</v>
      </c>
      <c r="BA424" t="s">
        <v>134</v>
      </c>
      <c r="BB424" t="s">
        <v>134</v>
      </c>
      <c r="BC424" t="s">
        <v>134</v>
      </c>
      <c r="BD424" t="s">
        <v>134</v>
      </c>
      <c r="BE424" t="s">
        <v>134</v>
      </c>
      <c r="BF424" t="s">
        <v>134</v>
      </c>
      <c r="BG424" t="s">
        <v>134</v>
      </c>
      <c r="BH424" t="s">
        <v>134</v>
      </c>
      <c r="BI424" t="s">
        <v>134</v>
      </c>
      <c r="BJ424" t="s">
        <v>134</v>
      </c>
      <c r="BK424" t="s">
        <v>134</v>
      </c>
      <c r="BL424" t="s">
        <v>134</v>
      </c>
      <c r="BM424" t="s">
        <v>134</v>
      </c>
      <c r="BN424" t="s">
        <v>134</v>
      </c>
      <c r="BO424" t="s">
        <v>134</v>
      </c>
      <c r="BP424" t="s">
        <v>134</v>
      </c>
      <c r="BQ424" t="s">
        <v>134</v>
      </c>
      <c r="BR424" t="s">
        <v>134</v>
      </c>
      <c r="BS424" t="s">
        <v>134</v>
      </c>
      <c r="BT424" t="s">
        <v>134</v>
      </c>
      <c r="BU424" t="s">
        <v>134</v>
      </c>
      <c r="BV424" t="s">
        <v>134</v>
      </c>
      <c r="BW424" t="s">
        <v>134</v>
      </c>
      <c r="BX424" t="s">
        <v>134</v>
      </c>
      <c r="BY424" t="s">
        <v>134</v>
      </c>
      <c r="BZ424" t="s">
        <v>134</v>
      </c>
      <c r="CA424" t="s">
        <v>134</v>
      </c>
      <c r="CB424" t="s">
        <v>134</v>
      </c>
      <c r="CC424" t="s">
        <v>134</v>
      </c>
      <c r="CD424" t="s">
        <v>134</v>
      </c>
      <c r="CE424" t="s">
        <v>134</v>
      </c>
      <c r="CF424" t="s">
        <v>134</v>
      </c>
      <c r="CG424" t="s">
        <v>134</v>
      </c>
      <c r="CH424" t="s">
        <v>134</v>
      </c>
      <c r="CI424" t="s">
        <v>134</v>
      </c>
      <c r="CJ424" t="s">
        <v>134</v>
      </c>
      <c r="CK424" t="s">
        <v>134</v>
      </c>
      <c r="CL424" t="s">
        <v>134</v>
      </c>
      <c r="CM424" t="s">
        <v>134</v>
      </c>
      <c r="CN424" t="s">
        <v>134</v>
      </c>
      <c r="CO424" t="s">
        <v>134</v>
      </c>
      <c r="CP424" t="s">
        <v>134</v>
      </c>
      <c r="CQ424" t="s">
        <v>134</v>
      </c>
      <c r="CR424" t="s">
        <v>134</v>
      </c>
      <c r="CS424" t="s">
        <v>134</v>
      </c>
      <c r="CT424" t="s">
        <v>134</v>
      </c>
      <c r="CU424" t="s">
        <v>134</v>
      </c>
      <c r="CV424" t="s">
        <v>134</v>
      </c>
      <c r="CW424" t="s">
        <v>134</v>
      </c>
      <c r="CX424" t="s">
        <v>134</v>
      </c>
      <c r="CY424" t="s">
        <v>134</v>
      </c>
      <c r="CZ424" t="s">
        <v>134</v>
      </c>
      <c r="DA424" t="s">
        <v>134</v>
      </c>
      <c r="DB424" t="s">
        <v>134</v>
      </c>
      <c r="DC424" t="s">
        <v>134</v>
      </c>
      <c r="DD424" t="s">
        <v>134</v>
      </c>
      <c r="DE424" t="s">
        <v>134</v>
      </c>
      <c r="DF424" t="s">
        <v>134</v>
      </c>
      <c r="DG424" t="s">
        <v>134</v>
      </c>
      <c r="DH424" t="s">
        <v>134</v>
      </c>
      <c r="DI424" t="s">
        <v>134</v>
      </c>
    </row>
    <row r="425" spans="1:113" x14ac:dyDescent="0.3">
      <c r="E425" t="s">
        <v>5</v>
      </c>
      <c r="F425" t="s">
        <v>134</v>
      </c>
      <c r="G425" t="s">
        <v>134</v>
      </c>
      <c r="H425" t="s">
        <v>134</v>
      </c>
      <c r="I425" t="s">
        <v>134</v>
      </c>
      <c r="J425" t="s">
        <v>134</v>
      </c>
      <c r="K425" t="s">
        <v>134</v>
      </c>
      <c r="L425" t="s">
        <v>134</v>
      </c>
      <c r="M425" t="s">
        <v>134</v>
      </c>
      <c r="N425" t="s">
        <v>134</v>
      </c>
      <c r="O425" t="s">
        <v>134</v>
      </c>
      <c r="P425" t="s">
        <v>134</v>
      </c>
      <c r="Q425" t="s">
        <v>134</v>
      </c>
      <c r="R425" t="s">
        <v>134</v>
      </c>
      <c r="S425" t="s">
        <v>134</v>
      </c>
      <c r="T425" t="s">
        <v>134</v>
      </c>
      <c r="U425" t="s">
        <v>134</v>
      </c>
      <c r="V425" t="s">
        <v>134</v>
      </c>
      <c r="W425" t="s">
        <v>134</v>
      </c>
      <c r="X425" t="s">
        <v>134</v>
      </c>
      <c r="Y425" t="s">
        <v>134</v>
      </c>
      <c r="Z425" t="s">
        <v>134</v>
      </c>
      <c r="AA425" t="s">
        <v>134</v>
      </c>
      <c r="AB425" t="s">
        <v>134</v>
      </c>
      <c r="AC425" t="s">
        <v>134</v>
      </c>
      <c r="AD425" t="s">
        <v>134</v>
      </c>
      <c r="AE425" t="s">
        <v>134</v>
      </c>
      <c r="AF425" t="s">
        <v>134</v>
      </c>
      <c r="AG425" t="s">
        <v>134</v>
      </c>
      <c r="AH425" t="s">
        <v>134</v>
      </c>
      <c r="AI425" t="s">
        <v>134</v>
      </c>
      <c r="AJ425" t="s">
        <v>134</v>
      </c>
      <c r="AK425" t="s">
        <v>134</v>
      </c>
      <c r="AL425" t="s">
        <v>134</v>
      </c>
      <c r="AM425" t="s">
        <v>134</v>
      </c>
      <c r="AN425" t="s">
        <v>134</v>
      </c>
      <c r="AO425" t="s">
        <v>134</v>
      </c>
      <c r="AP425" t="s">
        <v>134</v>
      </c>
      <c r="AQ425" t="s">
        <v>134</v>
      </c>
      <c r="AR425" t="s">
        <v>134</v>
      </c>
      <c r="AS425" t="s">
        <v>134</v>
      </c>
      <c r="AT425" t="s">
        <v>134</v>
      </c>
      <c r="AU425" t="s">
        <v>134</v>
      </c>
      <c r="AV425" t="s">
        <v>134</v>
      </c>
      <c r="AW425" t="s">
        <v>134</v>
      </c>
      <c r="AX425" t="s">
        <v>134</v>
      </c>
      <c r="AY425" t="s">
        <v>134</v>
      </c>
      <c r="AZ425" t="s">
        <v>134</v>
      </c>
      <c r="BA425" t="s">
        <v>134</v>
      </c>
      <c r="BB425" t="s">
        <v>134</v>
      </c>
      <c r="BC425" t="s">
        <v>134</v>
      </c>
      <c r="BD425" t="s">
        <v>134</v>
      </c>
      <c r="BE425" t="s">
        <v>134</v>
      </c>
      <c r="BF425" t="s">
        <v>134</v>
      </c>
      <c r="BG425" t="s">
        <v>134</v>
      </c>
      <c r="BH425" t="s">
        <v>134</v>
      </c>
      <c r="BI425" t="s">
        <v>134</v>
      </c>
      <c r="BJ425" t="s">
        <v>134</v>
      </c>
      <c r="BK425" t="s">
        <v>134</v>
      </c>
      <c r="BL425" t="s">
        <v>134</v>
      </c>
      <c r="BM425" t="s">
        <v>134</v>
      </c>
      <c r="BN425" t="s">
        <v>134</v>
      </c>
      <c r="BO425" t="s">
        <v>134</v>
      </c>
      <c r="BP425" t="s">
        <v>134</v>
      </c>
      <c r="BQ425" t="s">
        <v>134</v>
      </c>
      <c r="BR425" t="s">
        <v>134</v>
      </c>
      <c r="BS425" t="s">
        <v>134</v>
      </c>
      <c r="BT425" t="s">
        <v>134</v>
      </c>
      <c r="BU425" t="s">
        <v>134</v>
      </c>
      <c r="BV425" t="s">
        <v>134</v>
      </c>
      <c r="BW425" t="s">
        <v>134</v>
      </c>
      <c r="BX425" t="s">
        <v>134</v>
      </c>
      <c r="BY425" t="s">
        <v>134</v>
      </c>
      <c r="BZ425" t="s">
        <v>134</v>
      </c>
      <c r="CA425" t="s">
        <v>134</v>
      </c>
      <c r="CB425" t="s">
        <v>134</v>
      </c>
      <c r="CC425" t="s">
        <v>134</v>
      </c>
      <c r="CD425" t="s">
        <v>134</v>
      </c>
      <c r="CE425" t="s">
        <v>134</v>
      </c>
      <c r="CF425" t="s">
        <v>134</v>
      </c>
      <c r="CG425" t="s">
        <v>134</v>
      </c>
      <c r="CH425" t="s">
        <v>134</v>
      </c>
      <c r="CI425" t="s">
        <v>134</v>
      </c>
      <c r="CJ425" t="s">
        <v>134</v>
      </c>
      <c r="CK425" t="s">
        <v>134</v>
      </c>
      <c r="CL425" t="s">
        <v>134</v>
      </c>
      <c r="CM425" t="s">
        <v>134</v>
      </c>
      <c r="CN425" t="s">
        <v>134</v>
      </c>
      <c r="CO425" t="s">
        <v>134</v>
      </c>
      <c r="CP425" t="s">
        <v>134</v>
      </c>
      <c r="CQ425" t="s">
        <v>134</v>
      </c>
      <c r="CR425" t="s">
        <v>134</v>
      </c>
      <c r="CS425" t="s">
        <v>134</v>
      </c>
      <c r="CT425" t="s">
        <v>134</v>
      </c>
      <c r="CU425" t="s">
        <v>134</v>
      </c>
      <c r="CV425" t="s">
        <v>134</v>
      </c>
      <c r="CW425" t="s">
        <v>134</v>
      </c>
      <c r="CX425" t="s">
        <v>134</v>
      </c>
      <c r="CY425" t="s">
        <v>134</v>
      </c>
      <c r="CZ425" t="s">
        <v>134</v>
      </c>
      <c r="DA425" t="s">
        <v>134</v>
      </c>
      <c r="DB425" t="s">
        <v>134</v>
      </c>
      <c r="DC425" t="s">
        <v>134</v>
      </c>
      <c r="DD425" t="s">
        <v>134</v>
      </c>
      <c r="DE425" t="s">
        <v>134</v>
      </c>
      <c r="DF425" t="s">
        <v>134</v>
      </c>
      <c r="DG425" t="s">
        <v>134</v>
      </c>
      <c r="DH425" t="s">
        <v>134</v>
      </c>
      <c r="DI425" t="s">
        <v>134</v>
      </c>
    </row>
    <row r="426" spans="1:113" x14ac:dyDescent="0.3">
      <c r="E426" t="s">
        <v>6</v>
      </c>
      <c r="F426" t="s">
        <v>134</v>
      </c>
      <c r="G426" t="s">
        <v>134</v>
      </c>
      <c r="H426" t="s">
        <v>134</v>
      </c>
      <c r="I426" t="s">
        <v>134</v>
      </c>
      <c r="J426" t="s">
        <v>134</v>
      </c>
      <c r="K426" t="s">
        <v>134</v>
      </c>
      <c r="L426" t="s">
        <v>134</v>
      </c>
      <c r="M426" t="s">
        <v>134</v>
      </c>
      <c r="N426" t="s">
        <v>134</v>
      </c>
      <c r="O426" t="s">
        <v>134</v>
      </c>
      <c r="P426" t="s">
        <v>134</v>
      </c>
      <c r="Q426" t="s">
        <v>134</v>
      </c>
      <c r="R426" t="s">
        <v>134</v>
      </c>
      <c r="S426" t="s">
        <v>134</v>
      </c>
      <c r="T426" t="s">
        <v>134</v>
      </c>
      <c r="U426" t="s">
        <v>134</v>
      </c>
      <c r="V426" t="s">
        <v>134</v>
      </c>
      <c r="W426" t="s">
        <v>134</v>
      </c>
      <c r="X426" t="s">
        <v>134</v>
      </c>
      <c r="Y426" t="s">
        <v>134</v>
      </c>
      <c r="Z426" t="s">
        <v>134</v>
      </c>
      <c r="AA426" t="s">
        <v>134</v>
      </c>
      <c r="AB426" t="s">
        <v>134</v>
      </c>
      <c r="AC426" t="s">
        <v>134</v>
      </c>
      <c r="AD426" t="s">
        <v>134</v>
      </c>
      <c r="AE426" t="s">
        <v>134</v>
      </c>
      <c r="AF426" t="s">
        <v>134</v>
      </c>
      <c r="AG426" t="s">
        <v>134</v>
      </c>
      <c r="AH426" t="s">
        <v>134</v>
      </c>
      <c r="AI426" t="s">
        <v>134</v>
      </c>
      <c r="AJ426" t="s">
        <v>134</v>
      </c>
      <c r="AK426" t="s">
        <v>134</v>
      </c>
      <c r="AL426" t="s">
        <v>134</v>
      </c>
      <c r="AM426" t="s">
        <v>134</v>
      </c>
      <c r="AN426" t="s">
        <v>134</v>
      </c>
      <c r="AO426" t="s">
        <v>134</v>
      </c>
      <c r="AP426" t="s">
        <v>134</v>
      </c>
      <c r="AQ426" t="s">
        <v>134</v>
      </c>
      <c r="AR426" t="s">
        <v>134</v>
      </c>
      <c r="AS426" t="s">
        <v>134</v>
      </c>
      <c r="AT426" t="s">
        <v>134</v>
      </c>
      <c r="AU426" t="s">
        <v>134</v>
      </c>
      <c r="AV426" t="s">
        <v>134</v>
      </c>
      <c r="AW426" t="s">
        <v>134</v>
      </c>
      <c r="AX426" t="s">
        <v>134</v>
      </c>
      <c r="AY426" t="s">
        <v>134</v>
      </c>
      <c r="AZ426" t="s">
        <v>134</v>
      </c>
      <c r="BA426" t="s">
        <v>134</v>
      </c>
      <c r="BB426" t="s">
        <v>134</v>
      </c>
      <c r="BC426" t="s">
        <v>134</v>
      </c>
      <c r="BD426" t="s">
        <v>134</v>
      </c>
      <c r="BE426" t="s">
        <v>134</v>
      </c>
      <c r="BF426" t="s">
        <v>134</v>
      </c>
      <c r="BG426" t="s">
        <v>134</v>
      </c>
      <c r="BH426" t="s">
        <v>134</v>
      </c>
      <c r="BI426" t="s">
        <v>134</v>
      </c>
      <c r="BJ426" t="s">
        <v>134</v>
      </c>
      <c r="BK426" t="s">
        <v>134</v>
      </c>
      <c r="BL426" t="s">
        <v>134</v>
      </c>
      <c r="BM426" t="s">
        <v>134</v>
      </c>
      <c r="BN426" t="s">
        <v>134</v>
      </c>
      <c r="BO426" t="s">
        <v>134</v>
      </c>
      <c r="BP426" t="s">
        <v>134</v>
      </c>
      <c r="BQ426" t="s">
        <v>134</v>
      </c>
      <c r="BR426" t="s">
        <v>134</v>
      </c>
      <c r="BS426" t="s">
        <v>134</v>
      </c>
      <c r="BT426" t="s">
        <v>134</v>
      </c>
      <c r="BU426" t="s">
        <v>134</v>
      </c>
      <c r="BV426" t="s">
        <v>134</v>
      </c>
      <c r="BW426" t="s">
        <v>134</v>
      </c>
      <c r="BX426" t="s">
        <v>134</v>
      </c>
      <c r="BY426" t="s">
        <v>134</v>
      </c>
      <c r="BZ426" t="s">
        <v>134</v>
      </c>
      <c r="CA426" t="s">
        <v>134</v>
      </c>
      <c r="CB426" t="s">
        <v>134</v>
      </c>
      <c r="CC426" t="s">
        <v>134</v>
      </c>
      <c r="CD426" t="s">
        <v>134</v>
      </c>
      <c r="CE426" t="s">
        <v>134</v>
      </c>
      <c r="CF426" t="s">
        <v>134</v>
      </c>
      <c r="CG426" t="s">
        <v>134</v>
      </c>
      <c r="CH426" t="s">
        <v>134</v>
      </c>
      <c r="CI426" t="s">
        <v>134</v>
      </c>
      <c r="CJ426" t="s">
        <v>134</v>
      </c>
      <c r="CK426" t="s">
        <v>134</v>
      </c>
      <c r="CL426" t="s">
        <v>134</v>
      </c>
      <c r="CM426" t="s">
        <v>134</v>
      </c>
      <c r="CN426" t="s">
        <v>134</v>
      </c>
      <c r="CO426" t="s">
        <v>134</v>
      </c>
      <c r="CP426" t="s">
        <v>134</v>
      </c>
      <c r="CQ426" t="s">
        <v>134</v>
      </c>
      <c r="CR426" t="s">
        <v>134</v>
      </c>
      <c r="CS426" t="s">
        <v>134</v>
      </c>
      <c r="CT426" t="s">
        <v>134</v>
      </c>
      <c r="CU426" t="s">
        <v>134</v>
      </c>
      <c r="CV426" t="s">
        <v>134</v>
      </c>
      <c r="CW426" t="s">
        <v>134</v>
      </c>
      <c r="CX426" t="s">
        <v>134</v>
      </c>
      <c r="CY426" t="s">
        <v>134</v>
      </c>
      <c r="CZ426" t="s">
        <v>134</v>
      </c>
      <c r="DA426" t="s">
        <v>134</v>
      </c>
      <c r="DB426" t="s">
        <v>134</v>
      </c>
      <c r="DC426" t="s">
        <v>134</v>
      </c>
      <c r="DD426" t="s">
        <v>134</v>
      </c>
      <c r="DE426" t="s">
        <v>134</v>
      </c>
      <c r="DF426" t="s">
        <v>134</v>
      </c>
      <c r="DG426" t="s">
        <v>134</v>
      </c>
      <c r="DH426" t="s">
        <v>134</v>
      </c>
      <c r="DI426" t="s">
        <v>134</v>
      </c>
    </row>
    <row r="427" spans="1:113" x14ac:dyDescent="0.3">
      <c r="E427" t="s">
        <v>7</v>
      </c>
      <c r="F427" t="s">
        <v>134</v>
      </c>
      <c r="G427" t="s">
        <v>134</v>
      </c>
      <c r="H427" t="s">
        <v>134</v>
      </c>
      <c r="I427" t="s">
        <v>134</v>
      </c>
      <c r="J427" t="s">
        <v>134</v>
      </c>
      <c r="K427" t="s">
        <v>134</v>
      </c>
      <c r="L427" t="s">
        <v>134</v>
      </c>
      <c r="M427" t="s">
        <v>134</v>
      </c>
      <c r="N427" t="s">
        <v>134</v>
      </c>
      <c r="O427" t="s">
        <v>134</v>
      </c>
      <c r="P427" t="s">
        <v>134</v>
      </c>
      <c r="Q427" t="s">
        <v>134</v>
      </c>
      <c r="R427" t="s">
        <v>134</v>
      </c>
      <c r="S427" t="s">
        <v>134</v>
      </c>
      <c r="T427" t="s">
        <v>134</v>
      </c>
      <c r="U427" t="s">
        <v>134</v>
      </c>
      <c r="V427" t="s">
        <v>134</v>
      </c>
      <c r="W427" t="s">
        <v>134</v>
      </c>
      <c r="X427" t="s">
        <v>134</v>
      </c>
      <c r="Y427" t="s">
        <v>134</v>
      </c>
      <c r="Z427" t="s">
        <v>134</v>
      </c>
      <c r="AA427" t="s">
        <v>134</v>
      </c>
      <c r="AB427" t="s">
        <v>134</v>
      </c>
      <c r="AC427" t="s">
        <v>134</v>
      </c>
      <c r="AD427" t="s">
        <v>134</v>
      </c>
      <c r="AE427" t="s">
        <v>134</v>
      </c>
      <c r="AF427" t="s">
        <v>134</v>
      </c>
      <c r="AG427" t="s">
        <v>134</v>
      </c>
      <c r="AH427" t="s">
        <v>134</v>
      </c>
      <c r="AI427" t="s">
        <v>134</v>
      </c>
      <c r="AJ427" t="s">
        <v>134</v>
      </c>
      <c r="AK427" t="s">
        <v>134</v>
      </c>
      <c r="AL427" t="s">
        <v>134</v>
      </c>
      <c r="AM427" t="s">
        <v>134</v>
      </c>
      <c r="AN427" t="s">
        <v>134</v>
      </c>
      <c r="AO427" t="s">
        <v>134</v>
      </c>
      <c r="AP427" t="s">
        <v>134</v>
      </c>
      <c r="AQ427" t="s">
        <v>134</v>
      </c>
      <c r="AR427" t="s">
        <v>134</v>
      </c>
      <c r="AS427" t="s">
        <v>134</v>
      </c>
      <c r="AT427" t="s">
        <v>134</v>
      </c>
      <c r="AU427" t="s">
        <v>134</v>
      </c>
      <c r="AV427" t="s">
        <v>134</v>
      </c>
      <c r="AW427" t="s">
        <v>134</v>
      </c>
      <c r="AX427" t="s">
        <v>134</v>
      </c>
      <c r="AY427" t="s">
        <v>134</v>
      </c>
      <c r="AZ427" t="s">
        <v>134</v>
      </c>
      <c r="BA427" t="s">
        <v>134</v>
      </c>
      <c r="BB427" t="s">
        <v>134</v>
      </c>
      <c r="BC427" t="s">
        <v>134</v>
      </c>
      <c r="BD427" t="s">
        <v>134</v>
      </c>
      <c r="BE427" t="s">
        <v>134</v>
      </c>
      <c r="BF427" t="s">
        <v>134</v>
      </c>
      <c r="BG427" t="s">
        <v>134</v>
      </c>
      <c r="BH427" t="s">
        <v>134</v>
      </c>
      <c r="BI427" t="s">
        <v>134</v>
      </c>
      <c r="BJ427" t="s">
        <v>134</v>
      </c>
      <c r="BK427" t="s">
        <v>134</v>
      </c>
      <c r="BL427" t="s">
        <v>134</v>
      </c>
      <c r="BM427" t="s">
        <v>134</v>
      </c>
      <c r="BN427" t="s">
        <v>134</v>
      </c>
      <c r="BO427" t="s">
        <v>134</v>
      </c>
      <c r="BP427" t="s">
        <v>134</v>
      </c>
      <c r="BQ427" t="s">
        <v>134</v>
      </c>
      <c r="BR427" t="s">
        <v>134</v>
      </c>
      <c r="BS427" t="s">
        <v>134</v>
      </c>
      <c r="BT427" t="s">
        <v>134</v>
      </c>
      <c r="BU427" t="s">
        <v>134</v>
      </c>
      <c r="BV427" t="s">
        <v>134</v>
      </c>
      <c r="BW427" t="s">
        <v>134</v>
      </c>
      <c r="BX427" t="s">
        <v>134</v>
      </c>
      <c r="BY427" t="s">
        <v>134</v>
      </c>
      <c r="BZ427" t="s">
        <v>134</v>
      </c>
      <c r="CA427" t="s">
        <v>134</v>
      </c>
      <c r="CB427" t="s">
        <v>134</v>
      </c>
      <c r="CC427" t="s">
        <v>134</v>
      </c>
      <c r="CD427" t="s">
        <v>134</v>
      </c>
      <c r="CE427" t="s">
        <v>134</v>
      </c>
      <c r="CF427" t="s">
        <v>134</v>
      </c>
      <c r="CG427" t="s">
        <v>134</v>
      </c>
      <c r="CH427" t="s">
        <v>134</v>
      </c>
      <c r="CI427" t="s">
        <v>134</v>
      </c>
      <c r="CJ427" t="s">
        <v>134</v>
      </c>
      <c r="CK427" t="s">
        <v>134</v>
      </c>
      <c r="CL427" t="s">
        <v>134</v>
      </c>
      <c r="CM427" t="s">
        <v>134</v>
      </c>
      <c r="CN427" t="s">
        <v>134</v>
      </c>
      <c r="CO427" t="s">
        <v>134</v>
      </c>
      <c r="CP427" t="s">
        <v>134</v>
      </c>
      <c r="CQ427" t="s">
        <v>134</v>
      </c>
      <c r="CR427" t="s">
        <v>134</v>
      </c>
      <c r="CS427" t="s">
        <v>134</v>
      </c>
      <c r="CT427" t="s">
        <v>134</v>
      </c>
      <c r="CU427" t="s">
        <v>134</v>
      </c>
      <c r="CV427" t="s">
        <v>134</v>
      </c>
      <c r="CW427" t="s">
        <v>134</v>
      </c>
      <c r="CX427" t="s">
        <v>134</v>
      </c>
      <c r="CY427" t="s">
        <v>134</v>
      </c>
      <c r="CZ427" t="s">
        <v>134</v>
      </c>
      <c r="DA427" t="s">
        <v>134</v>
      </c>
      <c r="DB427" t="s">
        <v>134</v>
      </c>
      <c r="DC427" t="s">
        <v>134</v>
      </c>
      <c r="DD427" t="s">
        <v>134</v>
      </c>
      <c r="DE427" t="s">
        <v>134</v>
      </c>
      <c r="DF427" t="s">
        <v>134</v>
      </c>
      <c r="DG427" t="s">
        <v>134</v>
      </c>
      <c r="DH427" t="s">
        <v>134</v>
      </c>
      <c r="DI427" t="s">
        <v>134</v>
      </c>
    </row>
    <row r="428" spans="1:113" x14ac:dyDescent="0.3">
      <c r="A428">
        <v>68</v>
      </c>
      <c r="B428" t="s">
        <v>44</v>
      </c>
      <c r="C428" t="s">
        <v>45</v>
      </c>
      <c r="D428" t="s">
        <v>2</v>
      </c>
      <c r="E428" t="s">
        <v>3</v>
      </c>
      <c r="F428">
        <v>22.176200000000001</v>
      </c>
      <c r="G428">
        <v>20.477</v>
      </c>
      <c r="H428">
        <v>22.175699999999999</v>
      </c>
      <c r="I428">
        <v>17.227699999999999</v>
      </c>
      <c r="J428">
        <v>64.456199999999995</v>
      </c>
      <c r="K428">
        <v>63.206899999999997</v>
      </c>
      <c r="L428">
        <v>28.388500000000001</v>
      </c>
      <c r="M428">
        <v>80.890699999999995</v>
      </c>
      <c r="N428">
        <v>52.844999999999999</v>
      </c>
      <c r="O428">
        <v>52.8352</v>
      </c>
      <c r="P428">
        <v>52.8352</v>
      </c>
      <c r="Q428">
        <v>34.239600000000003</v>
      </c>
      <c r="R428">
        <v>52.886600000000001</v>
      </c>
      <c r="S428">
        <v>10.448</v>
      </c>
      <c r="T428">
        <v>12.6485</v>
      </c>
      <c r="U428">
        <v>5.3388999999999998</v>
      </c>
      <c r="V428">
        <v>5.3109000000000002</v>
      </c>
      <c r="W428">
        <v>0.4511</v>
      </c>
      <c r="X428">
        <v>0.4375</v>
      </c>
      <c r="Y428">
        <v>21.428599999999999</v>
      </c>
      <c r="Z428">
        <v>33.839100000000002</v>
      </c>
      <c r="AA428">
        <v>6.86</v>
      </c>
      <c r="AB428">
        <v>49.1693</v>
      </c>
      <c r="AC428">
        <v>2.1511</v>
      </c>
      <c r="AD428">
        <v>24.698</v>
      </c>
      <c r="AE428">
        <v>0.59240000000000004</v>
      </c>
      <c r="AF428">
        <v>15.5014</v>
      </c>
      <c r="AG428" t="s">
        <v>134</v>
      </c>
      <c r="AH428" t="s">
        <v>134</v>
      </c>
      <c r="AI428">
        <v>8.8591999999999995</v>
      </c>
      <c r="AJ428">
        <v>8.8591999999999995</v>
      </c>
      <c r="AK428">
        <v>8.8542000000000005</v>
      </c>
      <c r="AL428">
        <v>8.6036999999999999</v>
      </c>
      <c r="AM428" t="s">
        <v>134</v>
      </c>
      <c r="AN428" t="s">
        <v>134</v>
      </c>
      <c r="AO428" t="s">
        <v>134</v>
      </c>
      <c r="AP428" t="s">
        <v>134</v>
      </c>
      <c r="AQ428" t="s">
        <v>134</v>
      </c>
      <c r="AR428" t="s">
        <v>134</v>
      </c>
      <c r="AS428" t="s">
        <v>134</v>
      </c>
      <c r="AT428" t="s">
        <v>134</v>
      </c>
      <c r="AU428" t="s">
        <v>134</v>
      </c>
      <c r="AV428" t="s">
        <v>134</v>
      </c>
      <c r="AW428" t="s">
        <v>134</v>
      </c>
      <c r="AX428" t="s">
        <v>134</v>
      </c>
      <c r="AY428" t="s">
        <v>134</v>
      </c>
      <c r="AZ428" t="s">
        <v>134</v>
      </c>
      <c r="BA428" t="s">
        <v>134</v>
      </c>
      <c r="BB428" t="s">
        <v>134</v>
      </c>
      <c r="BC428" t="s">
        <v>134</v>
      </c>
      <c r="BD428" t="s">
        <v>134</v>
      </c>
      <c r="BE428" t="s">
        <v>134</v>
      </c>
      <c r="BF428">
        <v>12.6485</v>
      </c>
      <c r="BG428">
        <v>5.3388999999999998</v>
      </c>
      <c r="BH428">
        <v>5.3109000000000002</v>
      </c>
      <c r="BI428">
        <v>0.4511</v>
      </c>
      <c r="BJ428">
        <v>0.4375</v>
      </c>
      <c r="BK428">
        <v>21.428599999999999</v>
      </c>
      <c r="BL428">
        <v>33.839100000000002</v>
      </c>
      <c r="BM428">
        <v>6.86</v>
      </c>
      <c r="BN428">
        <v>49.1693</v>
      </c>
      <c r="BO428">
        <v>2.1511</v>
      </c>
      <c r="BP428">
        <v>24.698</v>
      </c>
      <c r="BQ428">
        <v>0.59240000000000004</v>
      </c>
      <c r="BR428">
        <v>15.5014</v>
      </c>
      <c r="BS428" t="s">
        <v>134</v>
      </c>
      <c r="BT428" t="s">
        <v>134</v>
      </c>
      <c r="BU428">
        <v>8.8591999999999995</v>
      </c>
      <c r="BV428">
        <v>8.8591999999999995</v>
      </c>
      <c r="BW428">
        <v>8.8542000000000005</v>
      </c>
      <c r="BX428">
        <v>8.6036999999999999</v>
      </c>
      <c r="BY428">
        <v>0</v>
      </c>
      <c r="BZ428">
        <v>0</v>
      </c>
      <c r="CA428">
        <v>0</v>
      </c>
      <c r="CB428">
        <v>0</v>
      </c>
      <c r="CC428">
        <v>-2.4009</v>
      </c>
      <c r="CD428">
        <v>0</v>
      </c>
      <c r="CE428">
        <v>-2.4483999999999999</v>
      </c>
      <c r="CF428" t="s">
        <v>134</v>
      </c>
      <c r="CG428">
        <v>95.239000000000004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-62.3093</v>
      </c>
      <c r="CO428">
        <v>-165.31739999999999</v>
      </c>
      <c r="CP428">
        <v>77722.600000000006</v>
      </c>
      <c r="CQ428">
        <v>55118.7</v>
      </c>
      <c r="CR428">
        <v>76216.100000000006</v>
      </c>
      <c r="CS428">
        <v>13.843500000000001</v>
      </c>
      <c r="CT428">
        <v>17.683700000000002</v>
      </c>
      <c r="CU428">
        <v>14.917999999999999</v>
      </c>
      <c r="CV428">
        <v>24.2576</v>
      </c>
      <c r="CW428">
        <v>9.5297999999999998</v>
      </c>
      <c r="CX428">
        <v>38.300899999999999</v>
      </c>
      <c r="CY428">
        <v>4.02E-2</v>
      </c>
      <c r="CZ428">
        <v>9081.2688999999991</v>
      </c>
      <c r="DA428">
        <v>0.40539999999999998</v>
      </c>
      <c r="DB428">
        <v>900.26059999999995</v>
      </c>
      <c r="DC428">
        <v>8219.3091999999997</v>
      </c>
      <c r="DD428">
        <v>9119.5697999999993</v>
      </c>
      <c r="DE428">
        <v>6811.9</v>
      </c>
      <c r="DF428">
        <v>107.6</v>
      </c>
      <c r="DG428">
        <v>106.9</v>
      </c>
      <c r="DH428">
        <v>5431.5</v>
      </c>
      <c r="DI428">
        <v>1165.9000000000001</v>
      </c>
    </row>
    <row r="429" spans="1:113" x14ac:dyDescent="0.3">
      <c r="E429" t="s">
        <v>4</v>
      </c>
      <c r="F429" t="s">
        <v>134</v>
      </c>
      <c r="G429" t="s">
        <v>134</v>
      </c>
      <c r="H429" t="s">
        <v>134</v>
      </c>
      <c r="I429" t="s">
        <v>134</v>
      </c>
      <c r="J429" t="s">
        <v>134</v>
      </c>
      <c r="K429" t="s">
        <v>134</v>
      </c>
      <c r="L429" t="s">
        <v>134</v>
      </c>
      <c r="M429" t="s">
        <v>134</v>
      </c>
      <c r="N429" t="s">
        <v>134</v>
      </c>
      <c r="O429" t="s">
        <v>134</v>
      </c>
      <c r="P429" t="s">
        <v>134</v>
      </c>
      <c r="Q429" t="s">
        <v>134</v>
      </c>
      <c r="R429" t="s">
        <v>134</v>
      </c>
      <c r="S429" t="s">
        <v>134</v>
      </c>
      <c r="T429" t="s">
        <v>134</v>
      </c>
      <c r="U429" t="s">
        <v>134</v>
      </c>
      <c r="V429" t="s">
        <v>134</v>
      </c>
      <c r="W429" t="s">
        <v>134</v>
      </c>
      <c r="X429" t="s">
        <v>134</v>
      </c>
      <c r="Y429" t="s">
        <v>134</v>
      </c>
      <c r="Z429" t="s">
        <v>134</v>
      </c>
      <c r="AA429" t="s">
        <v>134</v>
      </c>
      <c r="AB429" t="s">
        <v>134</v>
      </c>
      <c r="AC429" t="s">
        <v>134</v>
      </c>
      <c r="AD429" t="s">
        <v>134</v>
      </c>
      <c r="AE429" t="s">
        <v>134</v>
      </c>
      <c r="AF429" t="s">
        <v>134</v>
      </c>
      <c r="AG429" t="s">
        <v>134</v>
      </c>
      <c r="AH429" t="s">
        <v>134</v>
      </c>
      <c r="AI429" t="s">
        <v>134</v>
      </c>
      <c r="AJ429" t="s">
        <v>134</v>
      </c>
      <c r="AK429" t="s">
        <v>134</v>
      </c>
      <c r="AL429" t="s">
        <v>134</v>
      </c>
      <c r="AM429" t="s">
        <v>134</v>
      </c>
      <c r="AN429" t="s">
        <v>134</v>
      </c>
      <c r="AO429" t="s">
        <v>134</v>
      </c>
      <c r="AP429" t="s">
        <v>134</v>
      </c>
      <c r="AQ429" t="s">
        <v>134</v>
      </c>
      <c r="AR429" t="s">
        <v>134</v>
      </c>
      <c r="AS429" t="s">
        <v>134</v>
      </c>
      <c r="AT429" t="s">
        <v>134</v>
      </c>
      <c r="AU429" t="s">
        <v>134</v>
      </c>
      <c r="AV429" t="s">
        <v>134</v>
      </c>
      <c r="AW429" t="s">
        <v>134</v>
      </c>
      <c r="AX429" t="s">
        <v>134</v>
      </c>
      <c r="AY429" t="s">
        <v>134</v>
      </c>
      <c r="AZ429" t="s">
        <v>134</v>
      </c>
      <c r="BA429" t="s">
        <v>134</v>
      </c>
      <c r="BB429" t="s">
        <v>134</v>
      </c>
      <c r="BC429" t="s">
        <v>134</v>
      </c>
      <c r="BD429" t="s">
        <v>134</v>
      </c>
      <c r="BE429" t="s">
        <v>134</v>
      </c>
      <c r="BF429" t="s">
        <v>134</v>
      </c>
      <c r="BG429" t="s">
        <v>134</v>
      </c>
      <c r="BH429" t="s">
        <v>134</v>
      </c>
      <c r="BI429" t="s">
        <v>134</v>
      </c>
      <c r="BJ429" t="s">
        <v>134</v>
      </c>
      <c r="BK429" t="s">
        <v>134</v>
      </c>
      <c r="BL429" t="s">
        <v>134</v>
      </c>
      <c r="BM429" t="s">
        <v>134</v>
      </c>
      <c r="BN429" t="s">
        <v>134</v>
      </c>
      <c r="BO429" t="s">
        <v>134</v>
      </c>
      <c r="BP429" t="s">
        <v>134</v>
      </c>
      <c r="BQ429" t="s">
        <v>134</v>
      </c>
      <c r="BR429" t="s">
        <v>134</v>
      </c>
      <c r="BS429" t="s">
        <v>134</v>
      </c>
      <c r="BT429" t="s">
        <v>134</v>
      </c>
      <c r="BU429" t="s">
        <v>134</v>
      </c>
      <c r="BV429" t="s">
        <v>134</v>
      </c>
      <c r="BW429" t="s">
        <v>134</v>
      </c>
      <c r="BX429" t="s">
        <v>134</v>
      </c>
      <c r="BY429" t="s">
        <v>134</v>
      </c>
      <c r="BZ429" t="s">
        <v>134</v>
      </c>
      <c r="CA429" t="s">
        <v>134</v>
      </c>
      <c r="CB429" t="s">
        <v>134</v>
      </c>
      <c r="CC429" t="s">
        <v>134</v>
      </c>
      <c r="CD429" t="s">
        <v>134</v>
      </c>
      <c r="CE429" t="s">
        <v>134</v>
      </c>
      <c r="CF429" t="s">
        <v>134</v>
      </c>
      <c r="CG429" t="s">
        <v>134</v>
      </c>
      <c r="CH429" t="s">
        <v>134</v>
      </c>
      <c r="CI429" t="s">
        <v>134</v>
      </c>
      <c r="CJ429" t="s">
        <v>134</v>
      </c>
      <c r="CK429" t="s">
        <v>134</v>
      </c>
      <c r="CL429" t="s">
        <v>134</v>
      </c>
      <c r="CM429" t="s">
        <v>134</v>
      </c>
      <c r="CN429" t="s">
        <v>134</v>
      </c>
      <c r="CO429" t="s">
        <v>134</v>
      </c>
      <c r="CP429" t="s">
        <v>134</v>
      </c>
      <c r="CQ429" t="s">
        <v>134</v>
      </c>
      <c r="CR429" t="s">
        <v>134</v>
      </c>
      <c r="CS429" t="s">
        <v>134</v>
      </c>
      <c r="CT429" t="s">
        <v>134</v>
      </c>
      <c r="CU429" t="s">
        <v>134</v>
      </c>
      <c r="CV429" t="s">
        <v>134</v>
      </c>
      <c r="CW429" t="s">
        <v>134</v>
      </c>
      <c r="CX429" t="s">
        <v>134</v>
      </c>
      <c r="CY429" t="s">
        <v>134</v>
      </c>
      <c r="CZ429" t="s">
        <v>134</v>
      </c>
      <c r="DA429" t="s">
        <v>134</v>
      </c>
      <c r="DB429" t="s">
        <v>134</v>
      </c>
      <c r="DC429" t="s">
        <v>134</v>
      </c>
      <c r="DD429" t="s">
        <v>134</v>
      </c>
      <c r="DE429" t="s">
        <v>134</v>
      </c>
      <c r="DF429" t="s">
        <v>134</v>
      </c>
      <c r="DG429" t="s">
        <v>134</v>
      </c>
      <c r="DH429" t="s">
        <v>134</v>
      </c>
      <c r="DI429" t="s">
        <v>134</v>
      </c>
    </row>
    <row r="430" spans="1:113" x14ac:dyDescent="0.3">
      <c r="E430" t="s">
        <v>5</v>
      </c>
      <c r="F430" t="s">
        <v>134</v>
      </c>
      <c r="G430" t="s">
        <v>134</v>
      </c>
      <c r="H430" t="s">
        <v>134</v>
      </c>
      <c r="I430" t="s">
        <v>134</v>
      </c>
      <c r="J430" t="s">
        <v>134</v>
      </c>
      <c r="K430" t="s">
        <v>134</v>
      </c>
      <c r="L430" t="s">
        <v>134</v>
      </c>
      <c r="M430" t="s">
        <v>134</v>
      </c>
      <c r="N430" t="s">
        <v>134</v>
      </c>
      <c r="O430" t="s">
        <v>134</v>
      </c>
      <c r="P430" t="s">
        <v>134</v>
      </c>
      <c r="Q430" t="s">
        <v>134</v>
      </c>
      <c r="R430" t="s">
        <v>134</v>
      </c>
      <c r="S430" t="s">
        <v>134</v>
      </c>
      <c r="T430" t="s">
        <v>134</v>
      </c>
      <c r="U430" t="s">
        <v>134</v>
      </c>
      <c r="V430" t="s">
        <v>134</v>
      </c>
      <c r="W430" t="s">
        <v>134</v>
      </c>
      <c r="X430" t="s">
        <v>134</v>
      </c>
      <c r="Y430" t="s">
        <v>134</v>
      </c>
      <c r="Z430" t="s">
        <v>134</v>
      </c>
      <c r="AA430" t="s">
        <v>134</v>
      </c>
      <c r="AB430" t="s">
        <v>134</v>
      </c>
      <c r="AC430" t="s">
        <v>134</v>
      </c>
      <c r="AD430" t="s">
        <v>134</v>
      </c>
      <c r="AE430" t="s">
        <v>134</v>
      </c>
      <c r="AF430" t="s">
        <v>134</v>
      </c>
      <c r="AG430" t="s">
        <v>134</v>
      </c>
      <c r="AH430" t="s">
        <v>134</v>
      </c>
      <c r="AI430" t="s">
        <v>134</v>
      </c>
      <c r="AJ430" t="s">
        <v>134</v>
      </c>
      <c r="AK430" t="s">
        <v>134</v>
      </c>
      <c r="AL430" t="s">
        <v>134</v>
      </c>
      <c r="AM430" t="s">
        <v>134</v>
      </c>
      <c r="AN430" t="s">
        <v>134</v>
      </c>
      <c r="AO430" t="s">
        <v>134</v>
      </c>
      <c r="AP430" t="s">
        <v>134</v>
      </c>
      <c r="AQ430" t="s">
        <v>134</v>
      </c>
      <c r="AR430" t="s">
        <v>134</v>
      </c>
      <c r="AS430" t="s">
        <v>134</v>
      </c>
      <c r="AT430" t="s">
        <v>134</v>
      </c>
      <c r="AU430" t="s">
        <v>134</v>
      </c>
      <c r="AV430" t="s">
        <v>134</v>
      </c>
      <c r="AW430" t="s">
        <v>134</v>
      </c>
      <c r="AX430" t="s">
        <v>134</v>
      </c>
      <c r="AY430" t="s">
        <v>134</v>
      </c>
      <c r="AZ430" t="s">
        <v>134</v>
      </c>
      <c r="BA430" t="s">
        <v>134</v>
      </c>
      <c r="BB430" t="s">
        <v>134</v>
      </c>
      <c r="BC430" t="s">
        <v>134</v>
      </c>
      <c r="BD430" t="s">
        <v>134</v>
      </c>
      <c r="BE430" t="s">
        <v>134</v>
      </c>
      <c r="BF430" t="s">
        <v>134</v>
      </c>
      <c r="BG430" t="s">
        <v>134</v>
      </c>
      <c r="BH430" t="s">
        <v>134</v>
      </c>
      <c r="BI430" t="s">
        <v>134</v>
      </c>
      <c r="BJ430" t="s">
        <v>134</v>
      </c>
      <c r="BK430" t="s">
        <v>134</v>
      </c>
      <c r="BL430" t="s">
        <v>134</v>
      </c>
      <c r="BM430" t="s">
        <v>134</v>
      </c>
      <c r="BN430" t="s">
        <v>134</v>
      </c>
      <c r="BO430" t="s">
        <v>134</v>
      </c>
      <c r="BP430" t="s">
        <v>134</v>
      </c>
      <c r="BQ430" t="s">
        <v>134</v>
      </c>
      <c r="BR430" t="s">
        <v>134</v>
      </c>
      <c r="BS430" t="s">
        <v>134</v>
      </c>
      <c r="BT430" t="s">
        <v>134</v>
      </c>
      <c r="BU430" t="s">
        <v>134</v>
      </c>
      <c r="BV430" t="s">
        <v>134</v>
      </c>
      <c r="BW430" t="s">
        <v>134</v>
      </c>
      <c r="BX430" t="s">
        <v>134</v>
      </c>
      <c r="BY430" t="s">
        <v>134</v>
      </c>
      <c r="BZ430" t="s">
        <v>134</v>
      </c>
      <c r="CA430" t="s">
        <v>134</v>
      </c>
      <c r="CB430" t="s">
        <v>134</v>
      </c>
      <c r="CC430" t="s">
        <v>134</v>
      </c>
      <c r="CD430" t="s">
        <v>134</v>
      </c>
      <c r="CE430" t="s">
        <v>134</v>
      </c>
      <c r="CF430" t="s">
        <v>134</v>
      </c>
      <c r="CG430" t="s">
        <v>134</v>
      </c>
      <c r="CH430" t="s">
        <v>134</v>
      </c>
      <c r="CI430" t="s">
        <v>134</v>
      </c>
      <c r="CJ430" t="s">
        <v>134</v>
      </c>
      <c r="CK430" t="s">
        <v>134</v>
      </c>
      <c r="CL430" t="s">
        <v>134</v>
      </c>
      <c r="CM430" t="s">
        <v>134</v>
      </c>
      <c r="CN430" t="s">
        <v>134</v>
      </c>
      <c r="CO430" t="s">
        <v>134</v>
      </c>
      <c r="CP430" t="s">
        <v>134</v>
      </c>
      <c r="CQ430" t="s">
        <v>134</v>
      </c>
      <c r="CR430" t="s">
        <v>134</v>
      </c>
      <c r="CS430" t="s">
        <v>134</v>
      </c>
      <c r="CT430" t="s">
        <v>134</v>
      </c>
      <c r="CU430" t="s">
        <v>134</v>
      </c>
      <c r="CV430" t="s">
        <v>134</v>
      </c>
      <c r="CW430" t="s">
        <v>134</v>
      </c>
      <c r="CX430" t="s">
        <v>134</v>
      </c>
      <c r="CY430" t="s">
        <v>134</v>
      </c>
      <c r="CZ430" t="s">
        <v>134</v>
      </c>
      <c r="DA430" t="s">
        <v>134</v>
      </c>
      <c r="DB430" t="s">
        <v>134</v>
      </c>
      <c r="DC430" t="s">
        <v>134</v>
      </c>
      <c r="DD430" t="s">
        <v>134</v>
      </c>
      <c r="DE430" t="s">
        <v>134</v>
      </c>
      <c r="DF430" t="s">
        <v>134</v>
      </c>
      <c r="DG430" t="s">
        <v>134</v>
      </c>
      <c r="DH430" t="s">
        <v>134</v>
      </c>
      <c r="DI430" t="s">
        <v>134</v>
      </c>
    </row>
    <row r="431" spans="1:113" x14ac:dyDescent="0.3">
      <c r="E431" t="s">
        <v>6</v>
      </c>
      <c r="F431" t="s">
        <v>134</v>
      </c>
      <c r="G431" t="s">
        <v>134</v>
      </c>
      <c r="H431" t="s">
        <v>134</v>
      </c>
      <c r="I431" t="s">
        <v>134</v>
      </c>
      <c r="J431" t="s">
        <v>134</v>
      </c>
      <c r="K431" t="s">
        <v>134</v>
      </c>
      <c r="L431" t="s">
        <v>134</v>
      </c>
      <c r="M431" t="s">
        <v>134</v>
      </c>
      <c r="N431" t="s">
        <v>134</v>
      </c>
      <c r="O431" t="s">
        <v>134</v>
      </c>
      <c r="P431" t="s">
        <v>134</v>
      </c>
      <c r="Q431" t="s">
        <v>134</v>
      </c>
      <c r="R431" t="s">
        <v>134</v>
      </c>
      <c r="S431" t="s">
        <v>134</v>
      </c>
      <c r="T431" t="s">
        <v>134</v>
      </c>
      <c r="U431" t="s">
        <v>134</v>
      </c>
      <c r="V431" t="s">
        <v>134</v>
      </c>
      <c r="W431" t="s">
        <v>134</v>
      </c>
      <c r="X431" t="s">
        <v>134</v>
      </c>
      <c r="Y431" t="s">
        <v>134</v>
      </c>
      <c r="Z431" t="s">
        <v>134</v>
      </c>
      <c r="AA431" t="s">
        <v>134</v>
      </c>
      <c r="AB431" t="s">
        <v>134</v>
      </c>
      <c r="AC431" t="s">
        <v>134</v>
      </c>
      <c r="AD431" t="s">
        <v>134</v>
      </c>
      <c r="AE431" t="s">
        <v>134</v>
      </c>
      <c r="AF431" t="s">
        <v>134</v>
      </c>
      <c r="AG431" t="s">
        <v>134</v>
      </c>
      <c r="AH431" t="s">
        <v>134</v>
      </c>
      <c r="AI431" t="s">
        <v>134</v>
      </c>
      <c r="AJ431" t="s">
        <v>134</v>
      </c>
      <c r="AK431" t="s">
        <v>134</v>
      </c>
      <c r="AL431" t="s">
        <v>134</v>
      </c>
      <c r="AM431" t="s">
        <v>134</v>
      </c>
      <c r="AN431" t="s">
        <v>134</v>
      </c>
      <c r="AO431" t="s">
        <v>134</v>
      </c>
      <c r="AP431" t="s">
        <v>134</v>
      </c>
      <c r="AQ431" t="s">
        <v>134</v>
      </c>
      <c r="AR431" t="s">
        <v>134</v>
      </c>
      <c r="AS431" t="s">
        <v>134</v>
      </c>
      <c r="AT431" t="s">
        <v>134</v>
      </c>
      <c r="AU431" t="s">
        <v>134</v>
      </c>
      <c r="AV431" t="s">
        <v>134</v>
      </c>
      <c r="AW431" t="s">
        <v>134</v>
      </c>
      <c r="AX431" t="s">
        <v>134</v>
      </c>
      <c r="AY431" t="s">
        <v>134</v>
      </c>
      <c r="AZ431" t="s">
        <v>134</v>
      </c>
      <c r="BA431" t="s">
        <v>134</v>
      </c>
      <c r="BB431" t="s">
        <v>134</v>
      </c>
      <c r="BC431" t="s">
        <v>134</v>
      </c>
      <c r="BD431" t="s">
        <v>134</v>
      </c>
      <c r="BE431" t="s">
        <v>134</v>
      </c>
      <c r="BF431" t="s">
        <v>134</v>
      </c>
      <c r="BG431" t="s">
        <v>134</v>
      </c>
      <c r="BH431" t="s">
        <v>134</v>
      </c>
      <c r="BI431" t="s">
        <v>134</v>
      </c>
      <c r="BJ431" t="s">
        <v>134</v>
      </c>
      <c r="BK431" t="s">
        <v>134</v>
      </c>
      <c r="BL431" t="s">
        <v>134</v>
      </c>
      <c r="BM431" t="s">
        <v>134</v>
      </c>
      <c r="BN431" t="s">
        <v>134</v>
      </c>
      <c r="BO431" t="s">
        <v>134</v>
      </c>
      <c r="BP431" t="s">
        <v>134</v>
      </c>
      <c r="BQ431" t="s">
        <v>134</v>
      </c>
      <c r="BR431" t="s">
        <v>134</v>
      </c>
      <c r="BS431" t="s">
        <v>134</v>
      </c>
      <c r="BT431" t="s">
        <v>134</v>
      </c>
      <c r="BU431" t="s">
        <v>134</v>
      </c>
      <c r="BV431" t="s">
        <v>134</v>
      </c>
      <c r="BW431" t="s">
        <v>134</v>
      </c>
      <c r="BX431" t="s">
        <v>134</v>
      </c>
      <c r="BY431" t="s">
        <v>134</v>
      </c>
      <c r="BZ431" t="s">
        <v>134</v>
      </c>
      <c r="CA431" t="s">
        <v>134</v>
      </c>
      <c r="CB431" t="s">
        <v>134</v>
      </c>
      <c r="CC431" t="s">
        <v>134</v>
      </c>
      <c r="CD431" t="s">
        <v>134</v>
      </c>
      <c r="CE431" t="s">
        <v>134</v>
      </c>
      <c r="CF431" t="s">
        <v>134</v>
      </c>
      <c r="CG431" t="s">
        <v>134</v>
      </c>
      <c r="CH431" t="s">
        <v>134</v>
      </c>
      <c r="CI431" t="s">
        <v>134</v>
      </c>
      <c r="CJ431" t="s">
        <v>134</v>
      </c>
      <c r="CK431" t="s">
        <v>134</v>
      </c>
      <c r="CL431" t="s">
        <v>134</v>
      </c>
      <c r="CM431" t="s">
        <v>134</v>
      </c>
      <c r="CN431" t="s">
        <v>134</v>
      </c>
      <c r="CO431" t="s">
        <v>134</v>
      </c>
      <c r="CP431" t="s">
        <v>134</v>
      </c>
      <c r="CQ431" t="s">
        <v>134</v>
      </c>
      <c r="CR431" t="s">
        <v>134</v>
      </c>
      <c r="CS431" t="s">
        <v>134</v>
      </c>
      <c r="CT431" t="s">
        <v>134</v>
      </c>
      <c r="CU431" t="s">
        <v>134</v>
      </c>
      <c r="CV431" t="s">
        <v>134</v>
      </c>
      <c r="CW431" t="s">
        <v>134</v>
      </c>
      <c r="CX431" t="s">
        <v>134</v>
      </c>
      <c r="CY431" t="s">
        <v>134</v>
      </c>
      <c r="CZ431" t="s">
        <v>134</v>
      </c>
      <c r="DA431" t="s">
        <v>134</v>
      </c>
      <c r="DB431" t="s">
        <v>134</v>
      </c>
      <c r="DC431" t="s">
        <v>134</v>
      </c>
      <c r="DD431" t="s">
        <v>134</v>
      </c>
      <c r="DE431" t="s">
        <v>134</v>
      </c>
      <c r="DF431" t="s">
        <v>134</v>
      </c>
      <c r="DG431" t="s">
        <v>134</v>
      </c>
      <c r="DH431" t="s">
        <v>134</v>
      </c>
      <c r="DI431" t="s">
        <v>134</v>
      </c>
    </row>
    <row r="432" spans="1:113" x14ac:dyDescent="0.3">
      <c r="E432" t="s">
        <v>7</v>
      </c>
      <c r="F432" t="s">
        <v>134</v>
      </c>
      <c r="G432" t="s">
        <v>134</v>
      </c>
      <c r="H432" t="s">
        <v>134</v>
      </c>
      <c r="I432" t="s">
        <v>134</v>
      </c>
      <c r="J432" t="s">
        <v>134</v>
      </c>
      <c r="K432" t="s">
        <v>134</v>
      </c>
      <c r="L432" t="s">
        <v>134</v>
      </c>
      <c r="M432" t="s">
        <v>134</v>
      </c>
      <c r="N432" t="s">
        <v>134</v>
      </c>
      <c r="O432" t="s">
        <v>134</v>
      </c>
      <c r="P432" t="s">
        <v>134</v>
      </c>
      <c r="Q432" t="s">
        <v>134</v>
      </c>
      <c r="R432" t="s">
        <v>134</v>
      </c>
      <c r="S432" t="s">
        <v>134</v>
      </c>
      <c r="T432" t="s">
        <v>134</v>
      </c>
      <c r="U432" t="s">
        <v>134</v>
      </c>
      <c r="V432" t="s">
        <v>134</v>
      </c>
      <c r="W432" t="s">
        <v>134</v>
      </c>
      <c r="X432" t="s">
        <v>134</v>
      </c>
      <c r="Y432" t="s">
        <v>134</v>
      </c>
      <c r="Z432" t="s">
        <v>134</v>
      </c>
      <c r="AA432" t="s">
        <v>134</v>
      </c>
      <c r="AB432" t="s">
        <v>134</v>
      </c>
      <c r="AC432" t="s">
        <v>134</v>
      </c>
      <c r="AD432" t="s">
        <v>134</v>
      </c>
      <c r="AE432" t="s">
        <v>134</v>
      </c>
      <c r="AF432" t="s">
        <v>134</v>
      </c>
      <c r="AG432" t="s">
        <v>134</v>
      </c>
      <c r="AH432" t="s">
        <v>134</v>
      </c>
      <c r="AI432" t="s">
        <v>134</v>
      </c>
      <c r="AJ432" t="s">
        <v>134</v>
      </c>
      <c r="AK432" t="s">
        <v>134</v>
      </c>
      <c r="AL432" t="s">
        <v>134</v>
      </c>
      <c r="AM432" t="s">
        <v>134</v>
      </c>
      <c r="AN432" t="s">
        <v>134</v>
      </c>
      <c r="AO432" t="s">
        <v>134</v>
      </c>
      <c r="AP432" t="s">
        <v>134</v>
      </c>
      <c r="AQ432" t="s">
        <v>134</v>
      </c>
      <c r="AR432" t="s">
        <v>134</v>
      </c>
      <c r="AS432" t="s">
        <v>134</v>
      </c>
      <c r="AT432" t="s">
        <v>134</v>
      </c>
      <c r="AU432" t="s">
        <v>134</v>
      </c>
      <c r="AV432" t="s">
        <v>134</v>
      </c>
      <c r="AW432" t="s">
        <v>134</v>
      </c>
      <c r="AX432" t="s">
        <v>134</v>
      </c>
      <c r="AY432" t="s">
        <v>134</v>
      </c>
      <c r="AZ432" t="s">
        <v>134</v>
      </c>
      <c r="BA432" t="s">
        <v>134</v>
      </c>
      <c r="BB432" t="s">
        <v>134</v>
      </c>
      <c r="BC432" t="s">
        <v>134</v>
      </c>
      <c r="BD432" t="s">
        <v>134</v>
      </c>
      <c r="BE432" t="s">
        <v>134</v>
      </c>
      <c r="BF432" t="s">
        <v>134</v>
      </c>
      <c r="BG432" t="s">
        <v>134</v>
      </c>
      <c r="BH432" t="s">
        <v>134</v>
      </c>
      <c r="BI432" t="s">
        <v>134</v>
      </c>
      <c r="BJ432" t="s">
        <v>134</v>
      </c>
      <c r="BK432" t="s">
        <v>134</v>
      </c>
      <c r="BL432" t="s">
        <v>134</v>
      </c>
      <c r="BM432" t="s">
        <v>134</v>
      </c>
      <c r="BN432" t="s">
        <v>134</v>
      </c>
      <c r="BO432" t="s">
        <v>134</v>
      </c>
      <c r="BP432" t="s">
        <v>134</v>
      </c>
      <c r="BQ432" t="s">
        <v>134</v>
      </c>
      <c r="BR432" t="s">
        <v>134</v>
      </c>
      <c r="BS432" t="s">
        <v>134</v>
      </c>
      <c r="BT432" t="s">
        <v>134</v>
      </c>
      <c r="BU432" t="s">
        <v>134</v>
      </c>
      <c r="BV432" t="s">
        <v>134</v>
      </c>
      <c r="BW432" t="s">
        <v>134</v>
      </c>
      <c r="BX432" t="s">
        <v>134</v>
      </c>
      <c r="BY432" t="s">
        <v>134</v>
      </c>
      <c r="BZ432" t="s">
        <v>134</v>
      </c>
      <c r="CA432" t="s">
        <v>134</v>
      </c>
      <c r="CB432" t="s">
        <v>134</v>
      </c>
      <c r="CC432" t="s">
        <v>134</v>
      </c>
      <c r="CD432" t="s">
        <v>134</v>
      </c>
      <c r="CE432" t="s">
        <v>134</v>
      </c>
      <c r="CF432" t="s">
        <v>134</v>
      </c>
      <c r="CG432" t="s">
        <v>134</v>
      </c>
      <c r="CH432" t="s">
        <v>134</v>
      </c>
      <c r="CI432" t="s">
        <v>134</v>
      </c>
      <c r="CJ432" t="s">
        <v>134</v>
      </c>
      <c r="CK432" t="s">
        <v>134</v>
      </c>
      <c r="CL432" t="s">
        <v>134</v>
      </c>
      <c r="CM432" t="s">
        <v>134</v>
      </c>
      <c r="CN432" t="s">
        <v>134</v>
      </c>
      <c r="CO432" t="s">
        <v>134</v>
      </c>
      <c r="CP432" t="s">
        <v>134</v>
      </c>
      <c r="CQ432" t="s">
        <v>134</v>
      </c>
      <c r="CR432" t="s">
        <v>134</v>
      </c>
      <c r="CS432" t="s">
        <v>134</v>
      </c>
      <c r="CT432" t="s">
        <v>134</v>
      </c>
      <c r="CU432" t="s">
        <v>134</v>
      </c>
      <c r="CV432" t="s">
        <v>134</v>
      </c>
      <c r="CW432" t="s">
        <v>134</v>
      </c>
      <c r="CX432" t="s">
        <v>134</v>
      </c>
      <c r="CY432" t="s">
        <v>134</v>
      </c>
      <c r="CZ432" t="s">
        <v>134</v>
      </c>
      <c r="DA432" t="s">
        <v>134</v>
      </c>
      <c r="DB432" t="s">
        <v>134</v>
      </c>
      <c r="DC432" t="s">
        <v>134</v>
      </c>
      <c r="DD432" t="s">
        <v>134</v>
      </c>
      <c r="DE432" t="s">
        <v>134</v>
      </c>
      <c r="DF432" t="s">
        <v>134</v>
      </c>
      <c r="DG432" t="s">
        <v>134</v>
      </c>
      <c r="DH432" t="s">
        <v>134</v>
      </c>
      <c r="DI432" t="s">
        <v>134</v>
      </c>
    </row>
    <row r="433" spans="4:113" x14ac:dyDescent="0.3">
      <c r="D433" t="s">
        <v>8</v>
      </c>
      <c r="E433" t="s">
        <v>3</v>
      </c>
      <c r="F433">
        <v>20.403099999999998</v>
      </c>
      <c r="G433">
        <v>19.259499999999999</v>
      </c>
      <c r="H433">
        <v>20.398700000000002</v>
      </c>
      <c r="I433">
        <v>15.797599999999999</v>
      </c>
      <c r="J433">
        <v>63.095700000000001</v>
      </c>
      <c r="K433">
        <v>61.459299999999999</v>
      </c>
      <c r="L433" t="s">
        <v>134</v>
      </c>
      <c r="M433">
        <v>78.889200000000002</v>
      </c>
      <c r="N433">
        <v>51.3994</v>
      </c>
      <c r="O433">
        <v>51.363900000000001</v>
      </c>
      <c r="P433">
        <v>51.363900000000001</v>
      </c>
      <c r="Q433">
        <v>34.328099999999999</v>
      </c>
      <c r="R433">
        <v>53.4069</v>
      </c>
      <c r="S433">
        <v>9.5063999999999993</v>
      </c>
      <c r="T433">
        <v>2.4731000000000001</v>
      </c>
      <c r="U433">
        <v>0.31009999999999999</v>
      </c>
      <c r="V433">
        <v>-0.36020000000000002</v>
      </c>
      <c r="W433">
        <v>-0.3805</v>
      </c>
      <c r="X433">
        <v>-0.37340000000000001</v>
      </c>
      <c r="Y433">
        <v>0.58819999999999995</v>
      </c>
      <c r="Z433">
        <v>20.982199999999999</v>
      </c>
      <c r="AA433">
        <v>1.5693000000000001</v>
      </c>
      <c r="AB433">
        <v>37.252400000000002</v>
      </c>
      <c r="AC433">
        <v>9.6043000000000003</v>
      </c>
      <c r="AD433">
        <v>14.0869</v>
      </c>
      <c r="AE433">
        <v>-2.5886</v>
      </c>
      <c r="AF433">
        <v>21.951699999999999</v>
      </c>
      <c r="AG433" t="s">
        <v>134</v>
      </c>
      <c r="AH433" t="s">
        <v>134</v>
      </c>
      <c r="AI433">
        <v>7.9104000000000001</v>
      </c>
      <c r="AJ433">
        <v>7.9104000000000001</v>
      </c>
      <c r="AK433">
        <v>7.7463999999999995</v>
      </c>
      <c r="AL433">
        <v>7.9833999999999996</v>
      </c>
      <c r="AM433" t="s">
        <v>134</v>
      </c>
      <c r="AN433" t="s">
        <v>134</v>
      </c>
      <c r="AO433" t="s">
        <v>134</v>
      </c>
      <c r="AP433" t="s">
        <v>134</v>
      </c>
      <c r="AQ433" t="s">
        <v>134</v>
      </c>
      <c r="AR433" t="s">
        <v>134</v>
      </c>
      <c r="AS433" t="s">
        <v>134</v>
      </c>
      <c r="AT433" t="s">
        <v>134</v>
      </c>
      <c r="AU433" t="s">
        <v>134</v>
      </c>
      <c r="AV433" t="s">
        <v>134</v>
      </c>
      <c r="AW433" t="s">
        <v>134</v>
      </c>
      <c r="AX433" t="s">
        <v>134</v>
      </c>
      <c r="AY433" t="s">
        <v>134</v>
      </c>
      <c r="AZ433" t="s">
        <v>134</v>
      </c>
      <c r="BA433" t="s">
        <v>134</v>
      </c>
      <c r="BB433" t="s">
        <v>134</v>
      </c>
      <c r="BC433" t="s">
        <v>134</v>
      </c>
      <c r="BD433" t="s">
        <v>134</v>
      </c>
      <c r="BE433" t="s">
        <v>134</v>
      </c>
      <c r="BF433">
        <v>2.4731000000000001</v>
      </c>
      <c r="BG433">
        <v>0.31009999999999999</v>
      </c>
      <c r="BH433">
        <v>-0.36020000000000002</v>
      </c>
      <c r="BI433">
        <v>-0.3805</v>
      </c>
      <c r="BJ433">
        <v>-0.37340000000000001</v>
      </c>
      <c r="BK433">
        <v>0.58819999999999995</v>
      </c>
      <c r="BL433">
        <v>20.982199999999999</v>
      </c>
      <c r="BM433">
        <v>1.5693000000000001</v>
      </c>
      <c r="BN433">
        <v>37.252400000000002</v>
      </c>
      <c r="BO433">
        <v>9.6043000000000003</v>
      </c>
      <c r="BP433">
        <v>14.0869</v>
      </c>
      <c r="BQ433">
        <v>-2.5886</v>
      </c>
      <c r="BR433">
        <v>21.951699999999999</v>
      </c>
      <c r="BS433" t="s">
        <v>134</v>
      </c>
      <c r="BT433" t="s">
        <v>134</v>
      </c>
      <c r="BU433">
        <v>7.9104000000000001</v>
      </c>
      <c r="BV433">
        <v>7.9104000000000001</v>
      </c>
      <c r="BW433">
        <v>7.7463999999999995</v>
      </c>
      <c r="BX433">
        <v>7.9833999999999996</v>
      </c>
      <c r="BY433">
        <v>0</v>
      </c>
      <c r="BZ433">
        <v>0</v>
      </c>
      <c r="CA433">
        <v>0</v>
      </c>
      <c r="CB433">
        <v>0</v>
      </c>
      <c r="CC433">
        <v>-2.3711000000000002</v>
      </c>
      <c r="CD433">
        <v>0</v>
      </c>
      <c r="CE433">
        <v>-2.4342000000000001</v>
      </c>
      <c r="CF433" t="s">
        <v>134</v>
      </c>
      <c r="CG433">
        <v>93.624600000000001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-57.201900000000002</v>
      </c>
      <c r="CO433">
        <v>-133.6551</v>
      </c>
      <c r="CP433">
        <v>77963.600000000006</v>
      </c>
      <c r="CQ433">
        <v>50141.8</v>
      </c>
      <c r="CR433">
        <v>75941.600000000006</v>
      </c>
      <c r="CS433">
        <v>9.2573000000000008</v>
      </c>
      <c r="CT433">
        <v>11.9703</v>
      </c>
      <c r="CU433">
        <v>10.1349</v>
      </c>
      <c r="CV433">
        <v>16.2409</v>
      </c>
      <c r="CW433">
        <v>7.7209000000000003</v>
      </c>
      <c r="CX433">
        <v>47.274000000000001</v>
      </c>
      <c r="CY433">
        <v>4.0300000000000002E-2</v>
      </c>
      <c r="CZ433">
        <v>9056.2080000000005</v>
      </c>
      <c r="DA433">
        <v>0.1862</v>
      </c>
      <c r="DB433">
        <v>1960.6856</v>
      </c>
      <c r="DC433">
        <v>7142.7964000000002</v>
      </c>
      <c r="DD433">
        <v>9103.482</v>
      </c>
      <c r="DE433">
        <v>6918.8</v>
      </c>
      <c r="DF433">
        <v>115.4</v>
      </c>
      <c r="DG433">
        <v>174.2</v>
      </c>
      <c r="DH433">
        <v>5524.1</v>
      </c>
      <c r="DI433">
        <v>1105.0999999999999</v>
      </c>
    </row>
    <row r="434" spans="4:113" x14ac:dyDescent="0.3">
      <c r="E434" t="s">
        <v>4</v>
      </c>
      <c r="F434" t="s">
        <v>134</v>
      </c>
      <c r="G434" t="s">
        <v>134</v>
      </c>
      <c r="H434" t="s">
        <v>134</v>
      </c>
      <c r="I434" t="s">
        <v>134</v>
      </c>
      <c r="J434" t="s">
        <v>134</v>
      </c>
      <c r="K434" t="s">
        <v>134</v>
      </c>
      <c r="L434" t="s">
        <v>134</v>
      </c>
      <c r="M434" t="s">
        <v>134</v>
      </c>
      <c r="N434" t="s">
        <v>134</v>
      </c>
      <c r="O434" t="s">
        <v>134</v>
      </c>
      <c r="P434" t="s">
        <v>134</v>
      </c>
      <c r="Q434" t="s">
        <v>134</v>
      </c>
      <c r="R434" t="s">
        <v>134</v>
      </c>
      <c r="S434" t="s">
        <v>134</v>
      </c>
      <c r="T434" t="s">
        <v>134</v>
      </c>
      <c r="U434" t="s">
        <v>134</v>
      </c>
      <c r="V434" t="s">
        <v>134</v>
      </c>
      <c r="W434" t="s">
        <v>134</v>
      </c>
      <c r="X434" t="s">
        <v>134</v>
      </c>
      <c r="Y434" t="s">
        <v>134</v>
      </c>
      <c r="Z434" t="s">
        <v>134</v>
      </c>
      <c r="AA434" t="s">
        <v>134</v>
      </c>
      <c r="AB434" t="s">
        <v>134</v>
      </c>
      <c r="AC434" t="s">
        <v>134</v>
      </c>
      <c r="AD434" t="s">
        <v>134</v>
      </c>
      <c r="AE434" t="s">
        <v>134</v>
      </c>
      <c r="AF434" t="s">
        <v>134</v>
      </c>
      <c r="AG434" t="s">
        <v>134</v>
      </c>
      <c r="AH434" t="s">
        <v>134</v>
      </c>
      <c r="AI434" t="s">
        <v>134</v>
      </c>
      <c r="AJ434" t="s">
        <v>134</v>
      </c>
      <c r="AK434" t="s">
        <v>134</v>
      </c>
      <c r="AL434" t="s">
        <v>134</v>
      </c>
      <c r="AM434" t="s">
        <v>134</v>
      </c>
      <c r="AN434" t="s">
        <v>134</v>
      </c>
      <c r="AO434" t="s">
        <v>134</v>
      </c>
      <c r="AP434" t="s">
        <v>134</v>
      </c>
      <c r="AQ434" t="s">
        <v>134</v>
      </c>
      <c r="AR434" t="s">
        <v>134</v>
      </c>
      <c r="AS434" t="s">
        <v>134</v>
      </c>
      <c r="AT434" t="s">
        <v>134</v>
      </c>
      <c r="AU434" t="s">
        <v>134</v>
      </c>
      <c r="AV434" t="s">
        <v>134</v>
      </c>
      <c r="AW434" t="s">
        <v>134</v>
      </c>
      <c r="AX434" t="s">
        <v>134</v>
      </c>
      <c r="AY434" t="s">
        <v>134</v>
      </c>
      <c r="AZ434" t="s">
        <v>134</v>
      </c>
      <c r="BA434" t="s">
        <v>134</v>
      </c>
      <c r="BB434" t="s">
        <v>134</v>
      </c>
      <c r="BC434" t="s">
        <v>134</v>
      </c>
      <c r="BD434" t="s">
        <v>134</v>
      </c>
      <c r="BE434" t="s">
        <v>134</v>
      </c>
      <c r="BF434" t="s">
        <v>134</v>
      </c>
      <c r="BG434" t="s">
        <v>134</v>
      </c>
      <c r="BH434" t="s">
        <v>134</v>
      </c>
      <c r="BI434" t="s">
        <v>134</v>
      </c>
      <c r="BJ434" t="s">
        <v>134</v>
      </c>
      <c r="BK434" t="s">
        <v>134</v>
      </c>
      <c r="BL434" t="s">
        <v>134</v>
      </c>
      <c r="BM434" t="s">
        <v>134</v>
      </c>
      <c r="BN434" t="s">
        <v>134</v>
      </c>
      <c r="BO434" t="s">
        <v>134</v>
      </c>
      <c r="BP434" t="s">
        <v>134</v>
      </c>
      <c r="BQ434" t="s">
        <v>134</v>
      </c>
      <c r="BR434" t="s">
        <v>134</v>
      </c>
      <c r="BS434" t="s">
        <v>134</v>
      </c>
      <c r="BT434" t="s">
        <v>134</v>
      </c>
      <c r="BU434" t="s">
        <v>134</v>
      </c>
      <c r="BV434" t="s">
        <v>134</v>
      </c>
      <c r="BW434" t="s">
        <v>134</v>
      </c>
      <c r="BX434" t="s">
        <v>134</v>
      </c>
      <c r="BY434" t="s">
        <v>134</v>
      </c>
      <c r="BZ434" t="s">
        <v>134</v>
      </c>
      <c r="CA434" t="s">
        <v>134</v>
      </c>
      <c r="CB434" t="s">
        <v>134</v>
      </c>
      <c r="CC434" t="s">
        <v>134</v>
      </c>
      <c r="CD434" t="s">
        <v>134</v>
      </c>
      <c r="CE434" t="s">
        <v>134</v>
      </c>
      <c r="CF434" t="s">
        <v>134</v>
      </c>
      <c r="CG434" t="s">
        <v>134</v>
      </c>
      <c r="CH434" t="s">
        <v>134</v>
      </c>
      <c r="CI434" t="s">
        <v>134</v>
      </c>
      <c r="CJ434" t="s">
        <v>134</v>
      </c>
      <c r="CK434" t="s">
        <v>134</v>
      </c>
      <c r="CL434" t="s">
        <v>134</v>
      </c>
      <c r="CM434" t="s">
        <v>134</v>
      </c>
      <c r="CN434" t="s">
        <v>134</v>
      </c>
      <c r="CO434" t="s">
        <v>134</v>
      </c>
      <c r="CP434" t="s">
        <v>134</v>
      </c>
      <c r="CQ434" t="s">
        <v>134</v>
      </c>
      <c r="CR434" t="s">
        <v>134</v>
      </c>
      <c r="CS434" t="s">
        <v>134</v>
      </c>
      <c r="CT434" t="s">
        <v>134</v>
      </c>
      <c r="CU434" t="s">
        <v>134</v>
      </c>
      <c r="CV434" t="s">
        <v>134</v>
      </c>
      <c r="CW434" t="s">
        <v>134</v>
      </c>
      <c r="CX434" t="s">
        <v>134</v>
      </c>
      <c r="CY434" t="s">
        <v>134</v>
      </c>
      <c r="CZ434" t="s">
        <v>134</v>
      </c>
      <c r="DA434" t="s">
        <v>134</v>
      </c>
      <c r="DB434" t="s">
        <v>134</v>
      </c>
      <c r="DC434" t="s">
        <v>134</v>
      </c>
      <c r="DD434" t="s">
        <v>134</v>
      </c>
      <c r="DE434" t="s">
        <v>134</v>
      </c>
      <c r="DF434" t="s">
        <v>134</v>
      </c>
      <c r="DG434" t="s">
        <v>134</v>
      </c>
      <c r="DH434" t="s">
        <v>134</v>
      </c>
      <c r="DI434" t="s">
        <v>134</v>
      </c>
    </row>
    <row r="435" spans="4:113" x14ac:dyDescent="0.3">
      <c r="E435" t="s">
        <v>5</v>
      </c>
      <c r="F435" t="s">
        <v>134</v>
      </c>
      <c r="G435" t="s">
        <v>134</v>
      </c>
      <c r="H435" t="s">
        <v>134</v>
      </c>
      <c r="I435" t="s">
        <v>134</v>
      </c>
      <c r="J435" t="s">
        <v>134</v>
      </c>
      <c r="K435" t="s">
        <v>134</v>
      </c>
      <c r="L435" t="s">
        <v>134</v>
      </c>
      <c r="M435" t="s">
        <v>134</v>
      </c>
      <c r="N435" t="s">
        <v>134</v>
      </c>
      <c r="O435" t="s">
        <v>134</v>
      </c>
      <c r="P435" t="s">
        <v>134</v>
      </c>
      <c r="Q435" t="s">
        <v>134</v>
      </c>
      <c r="R435" t="s">
        <v>134</v>
      </c>
      <c r="S435" t="s">
        <v>134</v>
      </c>
      <c r="T435" t="s">
        <v>134</v>
      </c>
      <c r="U435" t="s">
        <v>134</v>
      </c>
      <c r="V435" t="s">
        <v>134</v>
      </c>
      <c r="W435" t="s">
        <v>134</v>
      </c>
      <c r="X435" t="s">
        <v>134</v>
      </c>
      <c r="Y435" t="s">
        <v>134</v>
      </c>
      <c r="Z435" t="s">
        <v>134</v>
      </c>
      <c r="AA435" t="s">
        <v>134</v>
      </c>
      <c r="AB435" t="s">
        <v>134</v>
      </c>
      <c r="AC435" t="s">
        <v>134</v>
      </c>
      <c r="AD435" t="s">
        <v>134</v>
      </c>
      <c r="AE435" t="s">
        <v>134</v>
      </c>
      <c r="AF435" t="s">
        <v>134</v>
      </c>
      <c r="AG435" t="s">
        <v>134</v>
      </c>
      <c r="AH435" t="s">
        <v>134</v>
      </c>
      <c r="AI435" t="s">
        <v>134</v>
      </c>
      <c r="AJ435" t="s">
        <v>134</v>
      </c>
      <c r="AK435" t="s">
        <v>134</v>
      </c>
      <c r="AL435" t="s">
        <v>134</v>
      </c>
      <c r="AM435" t="s">
        <v>134</v>
      </c>
      <c r="AN435" t="s">
        <v>134</v>
      </c>
      <c r="AO435" t="s">
        <v>134</v>
      </c>
      <c r="AP435" t="s">
        <v>134</v>
      </c>
      <c r="AQ435" t="s">
        <v>134</v>
      </c>
      <c r="AR435" t="s">
        <v>134</v>
      </c>
      <c r="AS435" t="s">
        <v>134</v>
      </c>
      <c r="AT435" t="s">
        <v>134</v>
      </c>
      <c r="AU435" t="s">
        <v>134</v>
      </c>
      <c r="AV435" t="s">
        <v>134</v>
      </c>
      <c r="AW435" t="s">
        <v>134</v>
      </c>
      <c r="AX435" t="s">
        <v>134</v>
      </c>
      <c r="AY435" t="s">
        <v>134</v>
      </c>
      <c r="AZ435" t="s">
        <v>134</v>
      </c>
      <c r="BA435" t="s">
        <v>134</v>
      </c>
      <c r="BB435" t="s">
        <v>134</v>
      </c>
      <c r="BC435" t="s">
        <v>134</v>
      </c>
      <c r="BD435" t="s">
        <v>134</v>
      </c>
      <c r="BE435" t="s">
        <v>134</v>
      </c>
      <c r="BF435" t="s">
        <v>134</v>
      </c>
      <c r="BG435" t="s">
        <v>134</v>
      </c>
      <c r="BH435" t="s">
        <v>134</v>
      </c>
      <c r="BI435" t="s">
        <v>134</v>
      </c>
      <c r="BJ435" t="s">
        <v>134</v>
      </c>
      <c r="BK435" t="s">
        <v>134</v>
      </c>
      <c r="BL435" t="s">
        <v>134</v>
      </c>
      <c r="BM435" t="s">
        <v>134</v>
      </c>
      <c r="BN435" t="s">
        <v>134</v>
      </c>
      <c r="BO435" t="s">
        <v>134</v>
      </c>
      <c r="BP435" t="s">
        <v>134</v>
      </c>
      <c r="BQ435" t="s">
        <v>134</v>
      </c>
      <c r="BR435" t="s">
        <v>134</v>
      </c>
      <c r="BS435" t="s">
        <v>134</v>
      </c>
      <c r="BT435" t="s">
        <v>134</v>
      </c>
      <c r="BU435" t="s">
        <v>134</v>
      </c>
      <c r="BV435" t="s">
        <v>134</v>
      </c>
      <c r="BW435" t="s">
        <v>134</v>
      </c>
      <c r="BX435" t="s">
        <v>134</v>
      </c>
      <c r="BY435" t="s">
        <v>134</v>
      </c>
      <c r="BZ435" t="s">
        <v>134</v>
      </c>
      <c r="CA435" t="s">
        <v>134</v>
      </c>
      <c r="CB435" t="s">
        <v>134</v>
      </c>
      <c r="CC435" t="s">
        <v>134</v>
      </c>
      <c r="CD435" t="s">
        <v>134</v>
      </c>
      <c r="CE435" t="s">
        <v>134</v>
      </c>
      <c r="CF435" t="s">
        <v>134</v>
      </c>
      <c r="CG435" t="s">
        <v>134</v>
      </c>
      <c r="CH435" t="s">
        <v>134</v>
      </c>
      <c r="CI435" t="s">
        <v>134</v>
      </c>
      <c r="CJ435" t="s">
        <v>134</v>
      </c>
      <c r="CK435" t="s">
        <v>134</v>
      </c>
      <c r="CL435" t="s">
        <v>134</v>
      </c>
      <c r="CM435" t="s">
        <v>134</v>
      </c>
      <c r="CN435" t="s">
        <v>134</v>
      </c>
      <c r="CO435" t="s">
        <v>134</v>
      </c>
      <c r="CP435" t="s">
        <v>134</v>
      </c>
      <c r="CQ435" t="s">
        <v>134</v>
      </c>
      <c r="CR435" t="s">
        <v>134</v>
      </c>
      <c r="CS435" t="s">
        <v>134</v>
      </c>
      <c r="CT435" t="s">
        <v>134</v>
      </c>
      <c r="CU435" t="s">
        <v>134</v>
      </c>
      <c r="CV435" t="s">
        <v>134</v>
      </c>
      <c r="CW435" t="s">
        <v>134</v>
      </c>
      <c r="CX435" t="s">
        <v>134</v>
      </c>
      <c r="CY435" t="s">
        <v>134</v>
      </c>
      <c r="CZ435" t="s">
        <v>134</v>
      </c>
      <c r="DA435" t="s">
        <v>134</v>
      </c>
      <c r="DB435" t="s">
        <v>134</v>
      </c>
      <c r="DC435" t="s">
        <v>134</v>
      </c>
      <c r="DD435" t="s">
        <v>134</v>
      </c>
      <c r="DE435" t="s">
        <v>134</v>
      </c>
      <c r="DF435" t="s">
        <v>134</v>
      </c>
      <c r="DG435" t="s">
        <v>134</v>
      </c>
      <c r="DH435" t="s">
        <v>134</v>
      </c>
      <c r="DI435" t="s">
        <v>134</v>
      </c>
    </row>
    <row r="436" spans="4:113" x14ac:dyDescent="0.3">
      <c r="E436" t="s">
        <v>6</v>
      </c>
      <c r="F436" t="s">
        <v>134</v>
      </c>
      <c r="G436" t="s">
        <v>134</v>
      </c>
      <c r="H436" t="s">
        <v>134</v>
      </c>
      <c r="I436" t="s">
        <v>134</v>
      </c>
      <c r="J436" t="s">
        <v>134</v>
      </c>
      <c r="K436" t="s">
        <v>134</v>
      </c>
      <c r="L436" t="s">
        <v>134</v>
      </c>
      <c r="M436" t="s">
        <v>134</v>
      </c>
      <c r="N436" t="s">
        <v>134</v>
      </c>
      <c r="O436" t="s">
        <v>134</v>
      </c>
      <c r="P436" t="s">
        <v>134</v>
      </c>
      <c r="Q436" t="s">
        <v>134</v>
      </c>
      <c r="R436" t="s">
        <v>134</v>
      </c>
      <c r="S436" t="s">
        <v>134</v>
      </c>
      <c r="T436" t="s">
        <v>134</v>
      </c>
      <c r="U436" t="s">
        <v>134</v>
      </c>
      <c r="V436" t="s">
        <v>134</v>
      </c>
      <c r="W436" t="s">
        <v>134</v>
      </c>
      <c r="X436" t="s">
        <v>134</v>
      </c>
      <c r="Y436" t="s">
        <v>134</v>
      </c>
      <c r="Z436" t="s">
        <v>134</v>
      </c>
      <c r="AA436" t="s">
        <v>134</v>
      </c>
      <c r="AB436" t="s">
        <v>134</v>
      </c>
      <c r="AC436" t="s">
        <v>134</v>
      </c>
      <c r="AD436" t="s">
        <v>134</v>
      </c>
      <c r="AE436" t="s">
        <v>134</v>
      </c>
      <c r="AF436" t="s">
        <v>134</v>
      </c>
      <c r="AG436" t="s">
        <v>134</v>
      </c>
      <c r="AH436" t="s">
        <v>134</v>
      </c>
      <c r="AI436" t="s">
        <v>134</v>
      </c>
      <c r="AJ436" t="s">
        <v>134</v>
      </c>
      <c r="AK436" t="s">
        <v>134</v>
      </c>
      <c r="AL436" t="s">
        <v>134</v>
      </c>
      <c r="AM436" t="s">
        <v>134</v>
      </c>
      <c r="AN436" t="s">
        <v>134</v>
      </c>
      <c r="AO436" t="s">
        <v>134</v>
      </c>
      <c r="AP436" t="s">
        <v>134</v>
      </c>
      <c r="AQ436" t="s">
        <v>134</v>
      </c>
      <c r="AR436" t="s">
        <v>134</v>
      </c>
      <c r="AS436" t="s">
        <v>134</v>
      </c>
      <c r="AT436" t="s">
        <v>134</v>
      </c>
      <c r="AU436" t="s">
        <v>134</v>
      </c>
      <c r="AV436" t="s">
        <v>134</v>
      </c>
      <c r="AW436" t="s">
        <v>134</v>
      </c>
      <c r="AX436" t="s">
        <v>134</v>
      </c>
      <c r="AY436" t="s">
        <v>134</v>
      </c>
      <c r="AZ436" t="s">
        <v>134</v>
      </c>
      <c r="BA436" t="s">
        <v>134</v>
      </c>
      <c r="BB436" t="s">
        <v>134</v>
      </c>
      <c r="BC436" t="s">
        <v>134</v>
      </c>
      <c r="BD436" t="s">
        <v>134</v>
      </c>
      <c r="BE436" t="s">
        <v>134</v>
      </c>
      <c r="BF436" t="s">
        <v>134</v>
      </c>
      <c r="BG436" t="s">
        <v>134</v>
      </c>
      <c r="BH436" t="s">
        <v>134</v>
      </c>
      <c r="BI436" t="s">
        <v>134</v>
      </c>
      <c r="BJ436" t="s">
        <v>134</v>
      </c>
      <c r="BK436" t="s">
        <v>134</v>
      </c>
      <c r="BL436" t="s">
        <v>134</v>
      </c>
      <c r="BM436" t="s">
        <v>134</v>
      </c>
      <c r="BN436" t="s">
        <v>134</v>
      </c>
      <c r="BO436" t="s">
        <v>134</v>
      </c>
      <c r="BP436" t="s">
        <v>134</v>
      </c>
      <c r="BQ436" t="s">
        <v>134</v>
      </c>
      <c r="BR436" t="s">
        <v>134</v>
      </c>
      <c r="BS436" t="s">
        <v>134</v>
      </c>
      <c r="BT436" t="s">
        <v>134</v>
      </c>
      <c r="BU436" t="s">
        <v>134</v>
      </c>
      <c r="BV436" t="s">
        <v>134</v>
      </c>
      <c r="BW436" t="s">
        <v>134</v>
      </c>
      <c r="BX436" t="s">
        <v>134</v>
      </c>
      <c r="BY436" t="s">
        <v>134</v>
      </c>
      <c r="BZ436" t="s">
        <v>134</v>
      </c>
      <c r="CA436" t="s">
        <v>134</v>
      </c>
      <c r="CB436" t="s">
        <v>134</v>
      </c>
      <c r="CC436" t="s">
        <v>134</v>
      </c>
      <c r="CD436" t="s">
        <v>134</v>
      </c>
      <c r="CE436" t="s">
        <v>134</v>
      </c>
      <c r="CF436" t="s">
        <v>134</v>
      </c>
      <c r="CG436" t="s">
        <v>134</v>
      </c>
      <c r="CH436" t="s">
        <v>134</v>
      </c>
      <c r="CI436" t="s">
        <v>134</v>
      </c>
      <c r="CJ436" t="s">
        <v>134</v>
      </c>
      <c r="CK436" t="s">
        <v>134</v>
      </c>
      <c r="CL436" t="s">
        <v>134</v>
      </c>
      <c r="CM436" t="s">
        <v>134</v>
      </c>
      <c r="CN436" t="s">
        <v>134</v>
      </c>
      <c r="CO436" t="s">
        <v>134</v>
      </c>
      <c r="CP436" t="s">
        <v>134</v>
      </c>
      <c r="CQ436" t="s">
        <v>134</v>
      </c>
      <c r="CR436" t="s">
        <v>134</v>
      </c>
      <c r="CS436" t="s">
        <v>134</v>
      </c>
      <c r="CT436" t="s">
        <v>134</v>
      </c>
      <c r="CU436" t="s">
        <v>134</v>
      </c>
      <c r="CV436" t="s">
        <v>134</v>
      </c>
      <c r="CW436" t="s">
        <v>134</v>
      </c>
      <c r="CX436" t="s">
        <v>134</v>
      </c>
      <c r="CY436" t="s">
        <v>134</v>
      </c>
      <c r="CZ436" t="s">
        <v>134</v>
      </c>
      <c r="DA436" t="s">
        <v>134</v>
      </c>
      <c r="DB436" t="s">
        <v>134</v>
      </c>
      <c r="DC436" t="s">
        <v>134</v>
      </c>
      <c r="DD436" t="s">
        <v>134</v>
      </c>
      <c r="DE436" t="s">
        <v>134</v>
      </c>
      <c r="DF436" t="s">
        <v>134</v>
      </c>
      <c r="DG436" t="s">
        <v>134</v>
      </c>
      <c r="DH436" t="s">
        <v>134</v>
      </c>
      <c r="DI436" t="s">
        <v>134</v>
      </c>
    </row>
    <row r="437" spans="4:113" x14ac:dyDescent="0.3">
      <c r="E437" t="s">
        <v>7</v>
      </c>
      <c r="F437" t="s">
        <v>134</v>
      </c>
      <c r="G437" t="s">
        <v>134</v>
      </c>
      <c r="H437" t="s">
        <v>134</v>
      </c>
      <c r="I437" t="s">
        <v>134</v>
      </c>
      <c r="J437" t="s">
        <v>134</v>
      </c>
      <c r="K437" t="s">
        <v>134</v>
      </c>
      <c r="L437" t="s">
        <v>134</v>
      </c>
      <c r="M437" t="s">
        <v>134</v>
      </c>
      <c r="N437" t="s">
        <v>134</v>
      </c>
      <c r="O437" t="s">
        <v>134</v>
      </c>
      <c r="P437" t="s">
        <v>134</v>
      </c>
      <c r="Q437" t="s">
        <v>134</v>
      </c>
      <c r="R437" t="s">
        <v>134</v>
      </c>
      <c r="S437" t="s">
        <v>134</v>
      </c>
      <c r="T437" t="s">
        <v>134</v>
      </c>
      <c r="U437" t="s">
        <v>134</v>
      </c>
      <c r="V437" t="s">
        <v>134</v>
      </c>
      <c r="W437" t="s">
        <v>134</v>
      </c>
      <c r="X437" t="s">
        <v>134</v>
      </c>
      <c r="Y437" t="s">
        <v>134</v>
      </c>
      <c r="Z437" t="s">
        <v>134</v>
      </c>
      <c r="AA437" t="s">
        <v>134</v>
      </c>
      <c r="AB437" t="s">
        <v>134</v>
      </c>
      <c r="AC437" t="s">
        <v>134</v>
      </c>
      <c r="AD437" t="s">
        <v>134</v>
      </c>
      <c r="AE437" t="s">
        <v>134</v>
      </c>
      <c r="AF437" t="s">
        <v>134</v>
      </c>
      <c r="AG437" t="s">
        <v>134</v>
      </c>
      <c r="AH437" t="s">
        <v>134</v>
      </c>
      <c r="AI437" t="s">
        <v>134</v>
      </c>
      <c r="AJ437" t="s">
        <v>134</v>
      </c>
      <c r="AK437" t="s">
        <v>134</v>
      </c>
      <c r="AL437" t="s">
        <v>134</v>
      </c>
      <c r="AM437" t="s">
        <v>134</v>
      </c>
      <c r="AN437" t="s">
        <v>134</v>
      </c>
      <c r="AO437" t="s">
        <v>134</v>
      </c>
      <c r="AP437" t="s">
        <v>134</v>
      </c>
      <c r="AQ437" t="s">
        <v>134</v>
      </c>
      <c r="AR437" t="s">
        <v>134</v>
      </c>
      <c r="AS437" t="s">
        <v>134</v>
      </c>
      <c r="AT437" t="s">
        <v>134</v>
      </c>
      <c r="AU437" t="s">
        <v>134</v>
      </c>
      <c r="AV437" t="s">
        <v>134</v>
      </c>
      <c r="AW437" t="s">
        <v>134</v>
      </c>
      <c r="AX437" t="s">
        <v>134</v>
      </c>
      <c r="AY437" t="s">
        <v>134</v>
      </c>
      <c r="AZ437" t="s">
        <v>134</v>
      </c>
      <c r="BA437" t="s">
        <v>134</v>
      </c>
      <c r="BB437" t="s">
        <v>134</v>
      </c>
      <c r="BC437" t="s">
        <v>134</v>
      </c>
      <c r="BD437" t="s">
        <v>134</v>
      </c>
      <c r="BE437" t="s">
        <v>134</v>
      </c>
      <c r="BF437" t="s">
        <v>134</v>
      </c>
      <c r="BG437" t="s">
        <v>134</v>
      </c>
      <c r="BH437" t="s">
        <v>134</v>
      </c>
      <c r="BI437" t="s">
        <v>134</v>
      </c>
      <c r="BJ437" t="s">
        <v>134</v>
      </c>
      <c r="BK437" t="s">
        <v>134</v>
      </c>
      <c r="BL437" t="s">
        <v>134</v>
      </c>
      <c r="BM437" t="s">
        <v>134</v>
      </c>
      <c r="BN437" t="s">
        <v>134</v>
      </c>
      <c r="BO437" t="s">
        <v>134</v>
      </c>
      <c r="BP437" t="s">
        <v>134</v>
      </c>
      <c r="BQ437" t="s">
        <v>134</v>
      </c>
      <c r="BR437" t="s">
        <v>134</v>
      </c>
      <c r="BS437" t="s">
        <v>134</v>
      </c>
      <c r="BT437" t="s">
        <v>134</v>
      </c>
      <c r="BU437" t="s">
        <v>134</v>
      </c>
      <c r="BV437" t="s">
        <v>134</v>
      </c>
      <c r="BW437" t="s">
        <v>134</v>
      </c>
      <c r="BX437" t="s">
        <v>134</v>
      </c>
      <c r="BY437" t="s">
        <v>134</v>
      </c>
      <c r="BZ437" t="s">
        <v>134</v>
      </c>
      <c r="CA437" t="s">
        <v>134</v>
      </c>
      <c r="CB437" t="s">
        <v>134</v>
      </c>
      <c r="CC437" t="s">
        <v>134</v>
      </c>
      <c r="CD437" t="s">
        <v>134</v>
      </c>
      <c r="CE437" t="s">
        <v>134</v>
      </c>
      <c r="CF437" t="s">
        <v>134</v>
      </c>
      <c r="CG437" t="s">
        <v>134</v>
      </c>
      <c r="CH437" t="s">
        <v>134</v>
      </c>
      <c r="CI437" t="s">
        <v>134</v>
      </c>
      <c r="CJ437" t="s">
        <v>134</v>
      </c>
      <c r="CK437" t="s">
        <v>134</v>
      </c>
      <c r="CL437" t="s">
        <v>134</v>
      </c>
      <c r="CM437" t="s">
        <v>134</v>
      </c>
      <c r="CN437" t="s">
        <v>134</v>
      </c>
      <c r="CO437" t="s">
        <v>134</v>
      </c>
      <c r="CP437" t="s">
        <v>134</v>
      </c>
      <c r="CQ437" t="s">
        <v>134</v>
      </c>
      <c r="CR437" t="s">
        <v>134</v>
      </c>
      <c r="CS437" t="s">
        <v>134</v>
      </c>
      <c r="CT437" t="s">
        <v>134</v>
      </c>
      <c r="CU437" t="s">
        <v>134</v>
      </c>
      <c r="CV437" t="s">
        <v>134</v>
      </c>
      <c r="CW437" t="s">
        <v>134</v>
      </c>
      <c r="CX437" t="s">
        <v>134</v>
      </c>
      <c r="CY437" t="s">
        <v>134</v>
      </c>
      <c r="CZ437" t="s">
        <v>134</v>
      </c>
      <c r="DA437" t="s">
        <v>134</v>
      </c>
      <c r="DB437" t="s">
        <v>134</v>
      </c>
      <c r="DC437" t="s">
        <v>134</v>
      </c>
      <c r="DD437" t="s">
        <v>134</v>
      </c>
      <c r="DE437" t="s">
        <v>134</v>
      </c>
      <c r="DF437" t="s">
        <v>134</v>
      </c>
      <c r="DG437" t="s">
        <v>134</v>
      </c>
      <c r="DH437" t="s">
        <v>134</v>
      </c>
      <c r="DI437" t="s">
        <v>134</v>
      </c>
    </row>
    <row r="438" spans="4:113" x14ac:dyDescent="0.3">
      <c r="D438" t="s">
        <v>9</v>
      </c>
      <c r="E438" t="s">
        <v>3</v>
      </c>
      <c r="F438">
        <v>9.4266000000000005</v>
      </c>
      <c r="G438">
        <v>8.6623000000000001</v>
      </c>
      <c r="H438">
        <v>9.3221000000000007</v>
      </c>
      <c r="I438">
        <v>5.9550999999999998</v>
      </c>
      <c r="J438">
        <v>49.530700000000003</v>
      </c>
      <c r="K438">
        <v>46.014099999999999</v>
      </c>
      <c r="L438">
        <v>-78.3566</v>
      </c>
      <c r="M438">
        <v>69.647300000000001</v>
      </c>
      <c r="N438">
        <v>45.404400000000003</v>
      </c>
      <c r="O438">
        <v>45.428100000000001</v>
      </c>
      <c r="P438">
        <v>45.428100000000001</v>
      </c>
      <c r="Q438">
        <v>32.8551</v>
      </c>
      <c r="R438">
        <v>148.6816</v>
      </c>
      <c r="S438">
        <v>-4.5890000000000004</v>
      </c>
      <c r="T438">
        <v>-47.753399999999999</v>
      </c>
      <c r="U438">
        <v>-58.985700000000001</v>
      </c>
      <c r="V438">
        <v>-60.883099999999999</v>
      </c>
      <c r="W438">
        <v>-53.791200000000003</v>
      </c>
      <c r="X438">
        <v>-53.7789</v>
      </c>
      <c r="Y438">
        <v>28.655000000000001</v>
      </c>
      <c r="Z438">
        <v>8.2034000000000002</v>
      </c>
      <c r="AA438">
        <v>-7.9378000000000002</v>
      </c>
      <c r="AB438">
        <v>26.6294</v>
      </c>
      <c r="AC438">
        <v>-3.5240999999999998</v>
      </c>
      <c r="AD438">
        <v>-0.41710000000000003</v>
      </c>
      <c r="AE438">
        <v>-25.646799999999999</v>
      </c>
      <c r="AF438">
        <v>43.313899999999997</v>
      </c>
      <c r="AG438" t="s">
        <v>134</v>
      </c>
      <c r="AH438" t="s">
        <v>134</v>
      </c>
      <c r="AI438">
        <v>-7.1504000000000003</v>
      </c>
      <c r="AJ438">
        <v>-2.5183999999999997</v>
      </c>
      <c r="AK438">
        <v>-7.1611000000000002</v>
      </c>
      <c r="AL438">
        <v>-9.5710999999999995</v>
      </c>
      <c r="AM438" t="s">
        <v>134</v>
      </c>
      <c r="AN438" t="s">
        <v>134</v>
      </c>
      <c r="AO438" t="s">
        <v>134</v>
      </c>
      <c r="AP438" t="s">
        <v>134</v>
      </c>
      <c r="AQ438" t="s">
        <v>134</v>
      </c>
      <c r="AR438" t="s">
        <v>134</v>
      </c>
      <c r="AS438" t="s">
        <v>134</v>
      </c>
      <c r="AT438" t="s">
        <v>134</v>
      </c>
      <c r="AU438" t="s">
        <v>134</v>
      </c>
      <c r="AV438" t="s">
        <v>134</v>
      </c>
      <c r="AW438" t="s">
        <v>134</v>
      </c>
      <c r="AX438" t="s">
        <v>134</v>
      </c>
      <c r="AY438" t="s">
        <v>134</v>
      </c>
      <c r="AZ438" t="s">
        <v>134</v>
      </c>
      <c r="BA438" t="s">
        <v>134</v>
      </c>
      <c r="BB438" t="s">
        <v>134</v>
      </c>
      <c r="BC438" t="s">
        <v>134</v>
      </c>
      <c r="BD438" t="s">
        <v>134</v>
      </c>
      <c r="BE438" t="s">
        <v>134</v>
      </c>
      <c r="BF438">
        <v>-47.753399999999999</v>
      </c>
      <c r="BG438">
        <v>-58.985700000000001</v>
      </c>
      <c r="BH438">
        <v>-60.883099999999999</v>
      </c>
      <c r="BI438">
        <v>-53.791200000000003</v>
      </c>
      <c r="BJ438">
        <v>-53.7789</v>
      </c>
      <c r="BK438">
        <v>28.655000000000001</v>
      </c>
      <c r="BL438">
        <v>8.2034000000000002</v>
      </c>
      <c r="BM438">
        <v>-7.9378000000000002</v>
      </c>
      <c r="BN438">
        <v>26.6294</v>
      </c>
      <c r="BO438">
        <v>-3.5240999999999998</v>
      </c>
      <c r="BP438">
        <v>-0.41710000000000003</v>
      </c>
      <c r="BQ438">
        <v>-25.646799999999999</v>
      </c>
      <c r="BR438">
        <v>43.313899999999997</v>
      </c>
      <c r="BS438" t="s">
        <v>134</v>
      </c>
      <c r="BT438" t="s">
        <v>134</v>
      </c>
      <c r="BU438">
        <v>-7.1504000000000003</v>
      </c>
      <c r="BV438">
        <v>-2.5183999999999997</v>
      </c>
      <c r="BW438">
        <v>-7.1611000000000002</v>
      </c>
      <c r="BX438">
        <v>-9.5710999999999995</v>
      </c>
      <c r="BY438">
        <v>14969.5</v>
      </c>
      <c r="BZ438">
        <v>14969.5</v>
      </c>
      <c r="CA438">
        <v>0</v>
      </c>
      <c r="CB438">
        <v>0.46810000000000002</v>
      </c>
      <c r="CC438">
        <v>-4.1638000000000002</v>
      </c>
      <c r="CD438">
        <v>0.50390000000000001</v>
      </c>
      <c r="CE438">
        <v>-4.4820000000000002</v>
      </c>
      <c r="CF438">
        <v>48.818300000000001</v>
      </c>
      <c r="CG438">
        <v>90.095100000000002</v>
      </c>
      <c r="CH438">
        <v>0</v>
      </c>
      <c r="CI438">
        <v>0</v>
      </c>
      <c r="CJ438">
        <v>0</v>
      </c>
      <c r="CK438">
        <v>4.9888000000000003</v>
      </c>
      <c r="CL438">
        <v>4.7516999999999996</v>
      </c>
      <c r="CM438">
        <v>4.5022000000000002</v>
      </c>
      <c r="CN438">
        <v>-44.370899999999999</v>
      </c>
      <c r="CO438">
        <v>-79.762</v>
      </c>
      <c r="CP438">
        <v>31976</v>
      </c>
      <c r="CQ438">
        <v>3475.2</v>
      </c>
      <c r="CR438">
        <v>29705.8</v>
      </c>
      <c r="CS438">
        <v>4.8574000000000002</v>
      </c>
      <c r="CT438">
        <v>6.3418999999999999</v>
      </c>
      <c r="CU438">
        <v>5.4791999999999996</v>
      </c>
      <c r="CV438">
        <v>7.5193000000000003</v>
      </c>
      <c r="CW438">
        <v>3.5390000000000001</v>
      </c>
      <c r="CX438">
        <v>103.42</v>
      </c>
      <c r="CY438">
        <v>1.46E-2</v>
      </c>
      <c r="CZ438">
        <v>24992.571400000001</v>
      </c>
      <c r="DA438">
        <v>-0.16400000000000001</v>
      </c>
      <c r="DB438">
        <v>-2231.1502999999998</v>
      </c>
      <c r="DC438">
        <v>27327.1417</v>
      </c>
      <c r="DD438">
        <v>25095.9915</v>
      </c>
      <c r="DE438">
        <v>6369.6</v>
      </c>
      <c r="DF438">
        <v>120</v>
      </c>
      <c r="DG438">
        <v>139.4</v>
      </c>
      <c r="DH438">
        <v>4949.6000000000004</v>
      </c>
      <c r="DI438">
        <v>1160.5999999999999</v>
      </c>
    </row>
    <row r="439" spans="4:113" x14ac:dyDescent="0.3">
      <c r="E439" t="s">
        <v>4</v>
      </c>
      <c r="F439" t="s">
        <v>134</v>
      </c>
      <c r="G439" t="s">
        <v>134</v>
      </c>
      <c r="H439" t="s">
        <v>134</v>
      </c>
      <c r="I439" t="s">
        <v>134</v>
      </c>
      <c r="J439" t="s">
        <v>134</v>
      </c>
      <c r="K439" t="s">
        <v>134</v>
      </c>
      <c r="L439" t="s">
        <v>134</v>
      </c>
      <c r="M439" t="s">
        <v>134</v>
      </c>
      <c r="N439" t="s">
        <v>134</v>
      </c>
      <c r="O439" t="s">
        <v>134</v>
      </c>
      <c r="P439" t="s">
        <v>134</v>
      </c>
      <c r="Q439" t="s">
        <v>134</v>
      </c>
      <c r="R439" t="s">
        <v>134</v>
      </c>
      <c r="S439" t="s">
        <v>134</v>
      </c>
      <c r="T439" t="s">
        <v>134</v>
      </c>
      <c r="U439" t="s">
        <v>134</v>
      </c>
      <c r="V439" t="s">
        <v>134</v>
      </c>
      <c r="W439" t="s">
        <v>134</v>
      </c>
      <c r="X439" t="s">
        <v>134</v>
      </c>
      <c r="Y439" t="s">
        <v>134</v>
      </c>
      <c r="Z439" t="s">
        <v>134</v>
      </c>
      <c r="AA439" t="s">
        <v>134</v>
      </c>
      <c r="AB439" t="s">
        <v>134</v>
      </c>
      <c r="AC439" t="s">
        <v>134</v>
      </c>
      <c r="AD439" t="s">
        <v>134</v>
      </c>
      <c r="AE439" t="s">
        <v>134</v>
      </c>
      <c r="AF439" t="s">
        <v>134</v>
      </c>
      <c r="AG439" t="s">
        <v>134</v>
      </c>
      <c r="AH439" t="s">
        <v>134</v>
      </c>
      <c r="AI439" t="s">
        <v>134</v>
      </c>
      <c r="AJ439" t="s">
        <v>134</v>
      </c>
      <c r="AK439" t="s">
        <v>134</v>
      </c>
      <c r="AL439" t="s">
        <v>134</v>
      </c>
      <c r="AM439" t="s">
        <v>134</v>
      </c>
      <c r="AN439" t="s">
        <v>134</v>
      </c>
      <c r="AO439" t="s">
        <v>134</v>
      </c>
      <c r="AP439" t="s">
        <v>134</v>
      </c>
      <c r="AQ439" t="s">
        <v>134</v>
      </c>
      <c r="AR439" t="s">
        <v>134</v>
      </c>
      <c r="AS439" t="s">
        <v>134</v>
      </c>
      <c r="AT439" t="s">
        <v>134</v>
      </c>
      <c r="AU439" t="s">
        <v>134</v>
      </c>
      <c r="AV439" t="s">
        <v>134</v>
      </c>
      <c r="AW439" t="s">
        <v>134</v>
      </c>
      <c r="AX439" t="s">
        <v>134</v>
      </c>
      <c r="AY439" t="s">
        <v>134</v>
      </c>
      <c r="AZ439" t="s">
        <v>134</v>
      </c>
      <c r="BA439" t="s">
        <v>134</v>
      </c>
      <c r="BB439" t="s">
        <v>134</v>
      </c>
      <c r="BC439" t="s">
        <v>134</v>
      </c>
      <c r="BD439" t="s">
        <v>134</v>
      </c>
      <c r="BE439" t="s">
        <v>134</v>
      </c>
      <c r="BF439" t="s">
        <v>134</v>
      </c>
      <c r="BG439" t="s">
        <v>134</v>
      </c>
      <c r="BH439" t="s">
        <v>134</v>
      </c>
      <c r="BI439" t="s">
        <v>134</v>
      </c>
      <c r="BJ439" t="s">
        <v>134</v>
      </c>
      <c r="BK439" t="s">
        <v>134</v>
      </c>
      <c r="BL439" t="s">
        <v>134</v>
      </c>
      <c r="BM439" t="s">
        <v>134</v>
      </c>
      <c r="BN439" t="s">
        <v>134</v>
      </c>
      <c r="BO439" t="s">
        <v>134</v>
      </c>
      <c r="BP439" t="s">
        <v>134</v>
      </c>
      <c r="BQ439" t="s">
        <v>134</v>
      </c>
      <c r="BR439" t="s">
        <v>134</v>
      </c>
      <c r="BS439" t="s">
        <v>134</v>
      </c>
      <c r="BT439" t="s">
        <v>134</v>
      </c>
      <c r="BU439" t="s">
        <v>134</v>
      </c>
      <c r="BV439" t="s">
        <v>134</v>
      </c>
      <c r="BW439" t="s">
        <v>134</v>
      </c>
      <c r="BX439" t="s">
        <v>134</v>
      </c>
      <c r="BY439" t="s">
        <v>134</v>
      </c>
      <c r="BZ439" t="s">
        <v>134</v>
      </c>
      <c r="CA439" t="s">
        <v>134</v>
      </c>
      <c r="CB439" t="s">
        <v>134</v>
      </c>
      <c r="CC439" t="s">
        <v>134</v>
      </c>
      <c r="CD439" t="s">
        <v>134</v>
      </c>
      <c r="CE439" t="s">
        <v>134</v>
      </c>
      <c r="CF439" t="s">
        <v>134</v>
      </c>
      <c r="CG439" t="s">
        <v>134</v>
      </c>
      <c r="CH439" t="s">
        <v>134</v>
      </c>
      <c r="CI439" t="s">
        <v>134</v>
      </c>
      <c r="CJ439" t="s">
        <v>134</v>
      </c>
      <c r="CK439" t="s">
        <v>134</v>
      </c>
      <c r="CL439" t="s">
        <v>134</v>
      </c>
      <c r="CM439" t="s">
        <v>134</v>
      </c>
      <c r="CN439" t="s">
        <v>134</v>
      </c>
      <c r="CO439" t="s">
        <v>134</v>
      </c>
      <c r="CP439" t="s">
        <v>134</v>
      </c>
      <c r="CQ439" t="s">
        <v>134</v>
      </c>
      <c r="CR439" t="s">
        <v>134</v>
      </c>
      <c r="CS439" t="s">
        <v>134</v>
      </c>
      <c r="CT439" t="s">
        <v>134</v>
      </c>
      <c r="CU439" t="s">
        <v>134</v>
      </c>
      <c r="CV439" t="s">
        <v>134</v>
      </c>
      <c r="CW439" t="s">
        <v>134</v>
      </c>
      <c r="CX439" t="s">
        <v>134</v>
      </c>
      <c r="CY439" t="s">
        <v>134</v>
      </c>
      <c r="CZ439" t="s">
        <v>134</v>
      </c>
      <c r="DA439" t="s">
        <v>134</v>
      </c>
      <c r="DB439" t="s">
        <v>134</v>
      </c>
      <c r="DC439" t="s">
        <v>134</v>
      </c>
      <c r="DD439" t="s">
        <v>134</v>
      </c>
      <c r="DE439" t="s">
        <v>134</v>
      </c>
      <c r="DF439" t="s">
        <v>134</v>
      </c>
      <c r="DG439" t="s">
        <v>134</v>
      </c>
      <c r="DH439" t="s">
        <v>134</v>
      </c>
      <c r="DI439" t="s">
        <v>134</v>
      </c>
    </row>
    <row r="440" spans="4:113" x14ac:dyDescent="0.3">
      <c r="E440" t="s">
        <v>5</v>
      </c>
      <c r="F440" t="s">
        <v>134</v>
      </c>
      <c r="G440" t="s">
        <v>134</v>
      </c>
      <c r="H440" t="s">
        <v>134</v>
      </c>
      <c r="I440" t="s">
        <v>134</v>
      </c>
      <c r="J440" t="s">
        <v>134</v>
      </c>
      <c r="K440" t="s">
        <v>134</v>
      </c>
      <c r="L440" t="s">
        <v>134</v>
      </c>
      <c r="M440" t="s">
        <v>134</v>
      </c>
      <c r="N440" t="s">
        <v>134</v>
      </c>
      <c r="O440" t="s">
        <v>134</v>
      </c>
      <c r="P440" t="s">
        <v>134</v>
      </c>
      <c r="Q440" t="s">
        <v>134</v>
      </c>
      <c r="R440" t="s">
        <v>134</v>
      </c>
      <c r="S440" t="s">
        <v>134</v>
      </c>
      <c r="T440" t="s">
        <v>134</v>
      </c>
      <c r="U440" t="s">
        <v>134</v>
      </c>
      <c r="V440" t="s">
        <v>134</v>
      </c>
      <c r="W440" t="s">
        <v>134</v>
      </c>
      <c r="X440" t="s">
        <v>134</v>
      </c>
      <c r="Y440" t="s">
        <v>134</v>
      </c>
      <c r="Z440" t="s">
        <v>134</v>
      </c>
      <c r="AA440" t="s">
        <v>134</v>
      </c>
      <c r="AB440" t="s">
        <v>134</v>
      </c>
      <c r="AC440" t="s">
        <v>134</v>
      </c>
      <c r="AD440" t="s">
        <v>134</v>
      </c>
      <c r="AE440" t="s">
        <v>134</v>
      </c>
      <c r="AF440" t="s">
        <v>134</v>
      </c>
      <c r="AG440" t="s">
        <v>134</v>
      </c>
      <c r="AH440" t="s">
        <v>134</v>
      </c>
      <c r="AI440" t="s">
        <v>134</v>
      </c>
      <c r="AJ440" t="s">
        <v>134</v>
      </c>
      <c r="AK440" t="s">
        <v>134</v>
      </c>
      <c r="AL440" t="s">
        <v>134</v>
      </c>
      <c r="AM440" t="s">
        <v>134</v>
      </c>
      <c r="AN440" t="s">
        <v>134</v>
      </c>
      <c r="AO440" t="s">
        <v>134</v>
      </c>
      <c r="AP440" t="s">
        <v>134</v>
      </c>
      <c r="AQ440" t="s">
        <v>134</v>
      </c>
      <c r="AR440" t="s">
        <v>134</v>
      </c>
      <c r="AS440" t="s">
        <v>134</v>
      </c>
      <c r="AT440" t="s">
        <v>134</v>
      </c>
      <c r="AU440" t="s">
        <v>134</v>
      </c>
      <c r="AV440" t="s">
        <v>134</v>
      </c>
      <c r="AW440" t="s">
        <v>134</v>
      </c>
      <c r="AX440" t="s">
        <v>134</v>
      </c>
      <c r="AY440" t="s">
        <v>134</v>
      </c>
      <c r="AZ440" t="s">
        <v>134</v>
      </c>
      <c r="BA440" t="s">
        <v>134</v>
      </c>
      <c r="BB440" t="s">
        <v>134</v>
      </c>
      <c r="BC440" t="s">
        <v>134</v>
      </c>
      <c r="BD440" t="s">
        <v>134</v>
      </c>
      <c r="BE440" t="s">
        <v>134</v>
      </c>
      <c r="BF440" t="s">
        <v>134</v>
      </c>
      <c r="BG440" t="s">
        <v>134</v>
      </c>
      <c r="BH440" t="s">
        <v>134</v>
      </c>
      <c r="BI440" t="s">
        <v>134</v>
      </c>
      <c r="BJ440" t="s">
        <v>134</v>
      </c>
      <c r="BK440" t="s">
        <v>134</v>
      </c>
      <c r="BL440" t="s">
        <v>134</v>
      </c>
      <c r="BM440" t="s">
        <v>134</v>
      </c>
      <c r="BN440" t="s">
        <v>134</v>
      </c>
      <c r="BO440" t="s">
        <v>134</v>
      </c>
      <c r="BP440" t="s">
        <v>134</v>
      </c>
      <c r="BQ440" t="s">
        <v>134</v>
      </c>
      <c r="BR440" t="s">
        <v>134</v>
      </c>
      <c r="BS440" t="s">
        <v>134</v>
      </c>
      <c r="BT440" t="s">
        <v>134</v>
      </c>
      <c r="BU440" t="s">
        <v>134</v>
      </c>
      <c r="BV440" t="s">
        <v>134</v>
      </c>
      <c r="BW440" t="s">
        <v>134</v>
      </c>
      <c r="BX440" t="s">
        <v>134</v>
      </c>
      <c r="BY440" t="s">
        <v>134</v>
      </c>
      <c r="BZ440" t="s">
        <v>134</v>
      </c>
      <c r="CA440" t="s">
        <v>134</v>
      </c>
      <c r="CB440" t="s">
        <v>134</v>
      </c>
      <c r="CC440" t="s">
        <v>134</v>
      </c>
      <c r="CD440" t="s">
        <v>134</v>
      </c>
      <c r="CE440" t="s">
        <v>134</v>
      </c>
      <c r="CF440" t="s">
        <v>134</v>
      </c>
      <c r="CG440" t="s">
        <v>134</v>
      </c>
      <c r="CH440" t="s">
        <v>134</v>
      </c>
      <c r="CI440" t="s">
        <v>134</v>
      </c>
      <c r="CJ440" t="s">
        <v>134</v>
      </c>
      <c r="CK440" t="s">
        <v>134</v>
      </c>
      <c r="CL440" t="s">
        <v>134</v>
      </c>
      <c r="CM440" t="s">
        <v>134</v>
      </c>
      <c r="CN440" t="s">
        <v>134</v>
      </c>
      <c r="CO440" t="s">
        <v>134</v>
      </c>
      <c r="CP440" t="s">
        <v>134</v>
      </c>
      <c r="CQ440" t="s">
        <v>134</v>
      </c>
      <c r="CR440" t="s">
        <v>134</v>
      </c>
      <c r="CS440" t="s">
        <v>134</v>
      </c>
      <c r="CT440" t="s">
        <v>134</v>
      </c>
      <c r="CU440" t="s">
        <v>134</v>
      </c>
      <c r="CV440" t="s">
        <v>134</v>
      </c>
      <c r="CW440" t="s">
        <v>134</v>
      </c>
      <c r="CX440" t="s">
        <v>134</v>
      </c>
      <c r="CY440" t="s">
        <v>134</v>
      </c>
      <c r="CZ440" t="s">
        <v>134</v>
      </c>
      <c r="DA440" t="s">
        <v>134</v>
      </c>
      <c r="DB440" t="s">
        <v>134</v>
      </c>
      <c r="DC440" t="s">
        <v>134</v>
      </c>
      <c r="DD440" t="s">
        <v>134</v>
      </c>
      <c r="DE440" t="s">
        <v>134</v>
      </c>
      <c r="DF440" t="s">
        <v>134</v>
      </c>
      <c r="DG440" t="s">
        <v>134</v>
      </c>
      <c r="DH440" t="s">
        <v>134</v>
      </c>
      <c r="DI440" t="s">
        <v>134</v>
      </c>
    </row>
    <row r="441" spans="4:113" x14ac:dyDescent="0.3">
      <c r="E441" t="s">
        <v>6</v>
      </c>
      <c r="F441" t="s">
        <v>134</v>
      </c>
      <c r="G441" t="s">
        <v>134</v>
      </c>
      <c r="H441" t="s">
        <v>134</v>
      </c>
      <c r="I441" t="s">
        <v>134</v>
      </c>
      <c r="J441" t="s">
        <v>134</v>
      </c>
      <c r="K441" t="s">
        <v>134</v>
      </c>
      <c r="L441" t="s">
        <v>134</v>
      </c>
      <c r="M441" t="s">
        <v>134</v>
      </c>
      <c r="N441" t="s">
        <v>134</v>
      </c>
      <c r="O441" t="s">
        <v>134</v>
      </c>
      <c r="P441" t="s">
        <v>134</v>
      </c>
      <c r="Q441" t="s">
        <v>134</v>
      </c>
      <c r="R441" t="s">
        <v>134</v>
      </c>
      <c r="S441" t="s">
        <v>134</v>
      </c>
      <c r="T441" t="s">
        <v>134</v>
      </c>
      <c r="U441" t="s">
        <v>134</v>
      </c>
      <c r="V441" t="s">
        <v>134</v>
      </c>
      <c r="W441" t="s">
        <v>134</v>
      </c>
      <c r="X441" t="s">
        <v>134</v>
      </c>
      <c r="Y441" t="s">
        <v>134</v>
      </c>
      <c r="Z441" t="s">
        <v>134</v>
      </c>
      <c r="AA441" t="s">
        <v>134</v>
      </c>
      <c r="AB441" t="s">
        <v>134</v>
      </c>
      <c r="AC441" t="s">
        <v>134</v>
      </c>
      <c r="AD441" t="s">
        <v>134</v>
      </c>
      <c r="AE441" t="s">
        <v>134</v>
      </c>
      <c r="AF441" t="s">
        <v>134</v>
      </c>
      <c r="AG441" t="s">
        <v>134</v>
      </c>
      <c r="AH441" t="s">
        <v>134</v>
      </c>
      <c r="AI441" t="s">
        <v>134</v>
      </c>
      <c r="AJ441" t="s">
        <v>134</v>
      </c>
      <c r="AK441" t="s">
        <v>134</v>
      </c>
      <c r="AL441" t="s">
        <v>134</v>
      </c>
      <c r="AM441" t="s">
        <v>134</v>
      </c>
      <c r="AN441" t="s">
        <v>134</v>
      </c>
      <c r="AO441" t="s">
        <v>134</v>
      </c>
      <c r="AP441" t="s">
        <v>134</v>
      </c>
      <c r="AQ441" t="s">
        <v>134</v>
      </c>
      <c r="AR441" t="s">
        <v>134</v>
      </c>
      <c r="AS441" t="s">
        <v>134</v>
      </c>
      <c r="AT441" t="s">
        <v>134</v>
      </c>
      <c r="AU441" t="s">
        <v>134</v>
      </c>
      <c r="AV441" t="s">
        <v>134</v>
      </c>
      <c r="AW441" t="s">
        <v>134</v>
      </c>
      <c r="AX441" t="s">
        <v>134</v>
      </c>
      <c r="AY441" t="s">
        <v>134</v>
      </c>
      <c r="AZ441" t="s">
        <v>134</v>
      </c>
      <c r="BA441" t="s">
        <v>134</v>
      </c>
      <c r="BB441" t="s">
        <v>134</v>
      </c>
      <c r="BC441" t="s">
        <v>134</v>
      </c>
      <c r="BD441" t="s">
        <v>134</v>
      </c>
      <c r="BE441" t="s">
        <v>134</v>
      </c>
      <c r="BF441" t="s">
        <v>134</v>
      </c>
      <c r="BG441" t="s">
        <v>134</v>
      </c>
      <c r="BH441" t="s">
        <v>134</v>
      </c>
      <c r="BI441" t="s">
        <v>134</v>
      </c>
      <c r="BJ441" t="s">
        <v>134</v>
      </c>
      <c r="BK441" t="s">
        <v>134</v>
      </c>
      <c r="BL441" t="s">
        <v>134</v>
      </c>
      <c r="BM441" t="s">
        <v>134</v>
      </c>
      <c r="BN441" t="s">
        <v>134</v>
      </c>
      <c r="BO441" t="s">
        <v>134</v>
      </c>
      <c r="BP441" t="s">
        <v>134</v>
      </c>
      <c r="BQ441" t="s">
        <v>134</v>
      </c>
      <c r="BR441" t="s">
        <v>134</v>
      </c>
      <c r="BS441" t="s">
        <v>134</v>
      </c>
      <c r="BT441" t="s">
        <v>134</v>
      </c>
      <c r="BU441" t="s">
        <v>134</v>
      </c>
      <c r="BV441" t="s">
        <v>134</v>
      </c>
      <c r="BW441" t="s">
        <v>134</v>
      </c>
      <c r="BX441" t="s">
        <v>134</v>
      </c>
      <c r="BY441" t="s">
        <v>134</v>
      </c>
      <c r="BZ441" t="s">
        <v>134</v>
      </c>
      <c r="CA441" t="s">
        <v>134</v>
      </c>
      <c r="CB441" t="s">
        <v>134</v>
      </c>
      <c r="CC441" t="s">
        <v>134</v>
      </c>
      <c r="CD441" t="s">
        <v>134</v>
      </c>
      <c r="CE441" t="s">
        <v>134</v>
      </c>
      <c r="CF441" t="s">
        <v>134</v>
      </c>
      <c r="CG441" t="s">
        <v>134</v>
      </c>
      <c r="CH441" t="s">
        <v>134</v>
      </c>
      <c r="CI441" t="s">
        <v>134</v>
      </c>
      <c r="CJ441" t="s">
        <v>134</v>
      </c>
      <c r="CK441" t="s">
        <v>134</v>
      </c>
      <c r="CL441" t="s">
        <v>134</v>
      </c>
      <c r="CM441" t="s">
        <v>134</v>
      </c>
      <c r="CN441" t="s">
        <v>134</v>
      </c>
      <c r="CO441" t="s">
        <v>134</v>
      </c>
      <c r="CP441" t="s">
        <v>134</v>
      </c>
      <c r="CQ441" t="s">
        <v>134</v>
      </c>
      <c r="CR441" t="s">
        <v>134</v>
      </c>
      <c r="CS441" t="s">
        <v>134</v>
      </c>
      <c r="CT441" t="s">
        <v>134</v>
      </c>
      <c r="CU441" t="s">
        <v>134</v>
      </c>
      <c r="CV441" t="s">
        <v>134</v>
      </c>
      <c r="CW441" t="s">
        <v>134</v>
      </c>
      <c r="CX441" t="s">
        <v>134</v>
      </c>
      <c r="CY441" t="s">
        <v>134</v>
      </c>
      <c r="CZ441" t="s">
        <v>134</v>
      </c>
      <c r="DA441" t="s">
        <v>134</v>
      </c>
      <c r="DB441" t="s">
        <v>134</v>
      </c>
      <c r="DC441" t="s">
        <v>134</v>
      </c>
      <c r="DD441" t="s">
        <v>134</v>
      </c>
      <c r="DE441" t="s">
        <v>134</v>
      </c>
      <c r="DF441" t="s">
        <v>134</v>
      </c>
      <c r="DG441" t="s">
        <v>134</v>
      </c>
      <c r="DH441" t="s">
        <v>134</v>
      </c>
      <c r="DI441" t="s">
        <v>134</v>
      </c>
    </row>
    <row r="442" spans="4:113" x14ac:dyDescent="0.3">
      <c r="E442" t="s">
        <v>7</v>
      </c>
      <c r="F442" t="s">
        <v>134</v>
      </c>
      <c r="G442" t="s">
        <v>134</v>
      </c>
      <c r="H442" t="s">
        <v>134</v>
      </c>
      <c r="I442" t="s">
        <v>134</v>
      </c>
      <c r="J442" t="s">
        <v>134</v>
      </c>
      <c r="K442" t="s">
        <v>134</v>
      </c>
      <c r="L442" t="s">
        <v>134</v>
      </c>
      <c r="M442" t="s">
        <v>134</v>
      </c>
      <c r="N442" t="s">
        <v>134</v>
      </c>
      <c r="O442" t="s">
        <v>134</v>
      </c>
      <c r="P442" t="s">
        <v>134</v>
      </c>
      <c r="Q442" t="s">
        <v>134</v>
      </c>
      <c r="R442" t="s">
        <v>134</v>
      </c>
      <c r="S442" t="s">
        <v>134</v>
      </c>
      <c r="T442" t="s">
        <v>134</v>
      </c>
      <c r="U442" t="s">
        <v>134</v>
      </c>
      <c r="V442" t="s">
        <v>134</v>
      </c>
      <c r="W442" t="s">
        <v>134</v>
      </c>
      <c r="X442" t="s">
        <v>134</v>
      </c>
      <c r="Y442" t="s">
        <v>134</v>
      </c>
      <c r="Z442" t="s">
        <v>134</v>
      </c>
      <c r="AA442" t="s">
        <v>134</v>
      </c>
      <c r="AB442" t="s">
        <v>134</v>
      </c>
      <c r="AC442" t="s">
        <v>134</v>
      </c>
      <c r="AD442" t="s">
        <v>134</v>
      </c>
      <c r="AE442" t="s">
        <v>134</v>
      </c>
      <c r="AF442" t="s">
        <v>134</v>
      </c>
      <c r="AG442" t="s">
        <v>134</v>
      </c>
      <c r="AH442" t="s">
        <v>134</v>
      </c>
      <c r="AI442" t="s">
        <v>134</v>
      </c>
      <c r="AJ442" t="s">
        <v>134</v>
      </c>
      <c r="AK442" t="s">
        <v>134</v>
      </c>
      <c r="AL442" t="s">
        <v>134</v>
      </c>
      <c r="AM442" t="s">
        <v>134</v>
      </c>
      <c r="AN442" t="s">
        <v>134</v>
      </c>
      <c r="AO442" t="s">
        <v>134</v>
      </c>
      <c r="AP442" t="s">
        <v>134</v>
      </c>
      <c r="AQ442" t="s">
        <v>134</v>
      </c>
      <c r="AR442" t="s">
        <v>134</v>
      </c>
      <c r="AS442" t="s">
        <v>134</v>
      </c>
      <c r="AT442" t="s">
        <v>134</v>
      </c>
      <c r="AU442" t="s">
        <v>134</v>
      </c>
      <c r="AV442" t="s">
        <v>134</v>
      </c>
      <c r="AW442" t="s">
        <v>134</v>
      </c>
      <c r="AX442" t="s">
        <v>134</v>
      </c>
      <c r="AY442" t="s">
        <v>134</v>
      </c>
      <c r="AZ442" t="s">
        <v>134</v>
      </c>
      <c r="BA442" t="s">
        <v>134</v>
      </c>
      <c r="BB442" t="s">
        <v>134</v>
      </c>
      <c r="BC442" t="s">
        <v>134</v>
      </c>
      <c r="BD442" t="s">
        <v>134</v>
      </c>
      <c r="BE442" t="s">
        <v>134</v>
      </c>
      <c r="BF442" t="s">
        <v>134</v>
      </c>
      <c r="BG442" t="s">
        <v>134</v>
      </c>
      <c r="BH442" t="s">
        <v>134</v>
      </c>
      <c r="BI442" t="s">
        <v>134</v>
      </c>
      <c r="BJ442" t="s">
        <v>134</v>
      </c>
      <c r="BK442" t="s">
        <v>134</v>
      </c>
      <c r="BL442" t="s">
        <v>134</v>
      </c>
      <c r="BM442" t="s">
        <v>134</v>
      </c>
      <c r="BN442" t="s">
        <v>134</v>
      </c>
      <c r="BO442" t="s">
        <v>134</v>
      </c>
      <c r="BP442" t="s">
        <v>134</v>
      </c>
      <c r="BQ442" t="s">
        <v>134</v>
      </c>
      <c r="BR442" t="s">
        <v>134</v>
      </c>
      <c r="BS442" t="s">
        <v>134</v>
      </c>
      <c r="BT442" t="s">
        <v>134</v>
      </c>
      <c r="BU442" t="s">
        <v>134</v>
      </c>
      <c r="BV442" t="s">
        <v>134</v>
      </c>
      <c r="BW442" t="s">
        <v>134</v>
      </c>
      <c r="BX442" t="s">
        <v>134</v>
      </c>
      <c r="BY442" t="s">
        <v>134</v>
      </c>
      <c r="BZ442" t="s">
        <v>134</v>
      </c>
      <c r="CA442" t="s">
        <v>134</v>
      </c>
      <c r="CB442" t="s">
        <v>134</v>
      </c>
      <c r="CC442" t="s">
        <v>134</v>
      </c>
      <c r="CD442" t="s">
        <v>134</v>
      </c>
      <c r="CE442" t="s">
        <v>134</v>
      </c>
      <c r="CF442" t="s">
        <v>134</v>
      </c>
      <c r="CG442" t="s">
        <v>134</v>
      </c>
      <c r="CH442" t="s">
        <v>134</v>
      </c>
      <c r="CI442" t="s">
        <v>134</v>
      </c>
      <c r="CJ442" t="s">
        <v>134</v>
      </c>
      <c r="CK442" t="s">
        <v>134</v>
      </c>
      <c r="CL442" t="s">
        <v>134</v>
      </c>
      <c r="CM442" t="s">
        <v>134</v>
      </c>
      <c r="CN442" t="s">
        <v>134</v>
      </c>
      <c r="CO442" t="s">
        <v>134</v>
      </c>
      <c r="CP442" t="s">
        <v>134</v>
      </c>
      <c r="CQ442" t="s">
        <v>134</v>
      </c>
      <c r="CR442" t="s">
        <v>134</v>
      </c>
      <c r="CS442" t="s">
        <v>134</v>
      </c>
      <c r="CT442" t="s">
        <v>134</v>
      </c>
      <c r="CU442" t="s">
        <v>134</v>
      </c>
      <c r="CV442" t="s">
        <v>134</v>
      </c>
      <c r="CW442" t="s">
        <v>134</v>
      </c>
      <c r="CX442" t="s">
        <v>134</v>
      </c>
      <c r="CY442" t="s">
        <v>134</v>
      </c>
      <c r="CZ442" t="s">
        <v>134</v>
      </c>
      <c r="DA442" t="s">
        <v>134</v>
      </c>
      <c r="DB442" t="s">
        <v>134</v>
      </c>
      <c r="DC442" t="s">
        <v>134</v>
      </c>
      <c r="DD442" t="s">
        <v>134</v>
      </c>
      <c r="DE442" t="s">
        <v>134</v>
      </c>
      <c r="DF442" t="s">
        <v>134</v>
      </c>
      <c r="DG442" t="s">
        <v>134</v>
      </c>
      <c r="DH442" t="s">
        <v>134</v>
      </c>
      <c r="DI442" t="s">
        <v>134</v>
      </c>
    </row>
    <row r="443" spans="4:113" x14ac:dyDescent="0.3">
      <c r="D443" t="s">
        <v>10</v>
      </c>
      <c r="E443" t="s">
        <v>3</v>
      </c>
      <c r="F443">
        <v>9.8290000000000006</v>
      </c>
      <c r="G443">
        <v>8.6911000000000005</v>
      </c>
      <c r="H443">
        <v>9.5896000000000008</v>
      </c>
      <c r="I443">
        <v>8.3857999999999997</v>
      </c>
      <c r="J443">
        <v>40.720100000000002</v>
      </c>
      <c r="K443">
        <v>38.492600000000003</v>
      </c>
      <c r="L443">
        <v>36.851399999999998</v>
      </c>
      <c r="M443">
        <v>48.567100000000003</v>
      </c>
      <c r="N443">
        <v>28.808</v>
      </c>
      <c r="O443">
        <v>28.8154</v>
      </c>
      <c r="P443">
        <v>28.8154</v>
      </c>
      <c r="Q443">
        <v>39.743699999999997</v>
      </c>
      <c r="R443">
        <v>64.0398</v>
      </c>
      <c r="S443">
        <v>3.5345</v>
      </c>
      <c r="T443">
        <v>36.747399999999999</v>
      </c>
      <c r="U443">
        <v>31.104399999999998</v>
      </c>
      <c r="V443">
        <v>34.637900000000002</v>
      </c>
      <c r="W443">
        <v>-8.7999999999999995E-2</v>
      </c>
      <c r="X443">
        <v>25.238199999999999</v>
      </c>
      <c r="Y443">
        <v>-53.181800000000003</v>
      </c>
      <c r="Z443">
        <v>31.0839</v>
      </c>
      <c r="AA443">
        <v>-13.1838</v>
      </c>
      <c r="AB443">
        <v>19.201899999999998</v>
      </c>
      <c r="AC443">
        <v>-21.2852</v>
      </c>
      <c r="AD443">
        <v>26.614899999999999</v>
      </c>
      <c r="AE443">
        <v>-63.823399999999999</v>
      </c>
      <c r="AF443">
        <v>-38.709499999999998</v>
      </c>
      <c r="AG443" t="s">
        <v>134</v>
      </c>
      <c r="AH443" t="s">
        <v>134</v>
      </c>
      <c r="AI443">
        <v>-22.602799999999998</v>
      </c>
      <c r="AJ443">
        <v>-26.377500000000001</v>
      </c>
      <c r="AK443">
        <v>-3.0226000000000002</v>
      </c>
      <c r="AL443">
        <v>-21.218599999999999</v>
      </c>
      <c r="AM443" t="s">
        <v>134</v>
      </c>
      <c r="AN443" t="s">
        <v>134</v>
      </c>
      <c r="AO443" t="s">
        <v>134</v>
      </c>
      <c r="AP443" t="s">
        <v>134</v>
      </c>
      <c r="AQ443" t="s">
        <v>134</v>
      </c>
      <c r="AR443" t="s">
        <v>134</v>
      </c>
      <c r="AS443" t="s">
        <v>134</v>
      </c>
      <c r="AT443" t="s">
        <v>134</v>
      </c>
      <c r="AU443" t="s">
        <v>134</v>
      </c>
      <c r="AV443" t="s">
        <v>134</v>
      </c>
      <c r="AW443" t="s">
        <v>134</v>
      </c>
      <c r="AX443" t="s">
        <v>134</v>
      </c>
      <c r="AY443" t="s">
        <v>134</v>
      </c>
      <c r="AZ443" t="s">
        <v>134</v>
      </c>
      <c r="BA443" t="s">
        <v>134</v>
      </c>
      <c r="BB443" t="s">
        <v>134</v>
      </c>
      <c r="BC443" t="s">
        <v>134</v>
      </c>
      <c r="BD443" t="s">
        <v>134</v>
      </c>
      <c r="BE443" t="s">
        <v>134</v>
      </c>
      <c r="BF443">
        <v>36.747399999999999</v>
      </c>
      <c r="BG443">
        <v>31.104399999999998</v>
      </c>
      <c r="BH443">
        <v>34.637900000000002</v>
      </c>
      <c r="BI443">
        <v>-8.7999999999999995E-2</v>
      </c>
      <c r="BJ443">
        <v>25.238199999999999</v>
      </c>
      <c r="BK443">
        <v>-53.181800000000003</v>
      </c>
      <c r="BL443">
        <v>31.0839</v>
      </c>
      <c r="BM443">
        <v>-13.1838</v>
      </c>
      <c r="BN443">
        <v>19.201899999999998</v>
      </c>
      <c r="BO443">
        <v>-21.2852</v>
      </c>
      <c r="BP443">
        <v>26.614899999999999</v>
      </c>
      <c r="BQ443">
        <v>-63.823399999999999</v>
      </c>
      <c r="BR443">
        <v>-38.709499999999998</v>
      </c>
      <c r="BS443">
        <v>-100</v>
      </c>
      <c r="BT443">
        <v>-100</v>
      </c>
      <c r="BU443">
        <v>-22.602799999999998</v>
      </c>
      <c r="BV443">
        <v>-26.377500000000001</v>
      </c>
      <c r="BW443">
        <v>-3.0226000000000002</v>
      </c>
      <c r="BX443">
        <v>-21.218599999999999</v>
      </c>
      <c r="BY443">
        <v>0</v>
      </c>
      <c r="BZ443">
        <v>0</v>
      </c>
      <c r="CA443">
        <v>0</v>
      </c>
      <c r="CB443">
        <v>0</v>
      </c>
      <c r="CC443">
        <v>-1.4805999999999999</v>
      </c>
      <c r="CD443">
        <v>0</v>
      </c>
      <c r="CE443">
        <v>-1.5663</v>
      </c>
      <c r="CF443">
        <v>172.99469999999999</v>
      </c>
      <c r="CG443">
        <v>87.583399999999997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-23.553000000000001</v>
      </c>
      <c r="CO443">
        <v>-30.8096</v>
      </c>
      <c r="CP443">
        <v>35948.300000000003</v>
      </c>
      <c r="CQ443">
        <v>12757.7</v>
      </c>
      <c r="CR443">
        <v>33981.800000000003</v>
      </c>
      <c r="CS443">
        <v>2.0672000000000001</v>
      </c>
      <c r="CT443">
        <v>3.0979000000000001</v>
      </c>
      <c r="CU443">
        <v>2.4725000000000001</v>
      </c>
      <c r="CV443">
        <v>8.9720999999999993</v>
      </c>
      <c r="CW443">
        <v>9.5978999999999992</v>
      </c>
      <c r="CX443">
        <v>38.029000000000003</v>
      </c>
      <c r="CY443">
        <v>9.1999999999999998E-3</v>
      </c>
      <c r="CZ443">
        <v>39493.7477</v>
      </c>
      <c r="DA443">
        <v>-0.2928</v>
      </c>
      <c r="DB443">
        <v>-1246.4006999999999</v>
      </c>
      <c r="DC443">
        <v>40778.1774</v>
      </c>
      <c r="DD443">
        <v>39531.776700000002</v>
      </c>
      <c r="DE443">
        <v>5400.4</v>
      </c>
      <c r="DF443">
        <v>5.0999999999999996</v>
      </c>
      <c r="DG443">
        <v>88.1</v>
      </c>
      <c r="DH443">
        <v>4157.8999999999996</v>
      </c>
      <c r="DI443">
        <v>1149.3</v>
      </c>
    </row>
    <row r="444" spans="4:113" x14ac:dyDescent="0.3">
      <c r="E444" t="s">
        <v>4</v>
      </c>
      <c r="F444" t="s">
        <v>134</v>
      </c>
      <c r="G444" t="s">
        <v>134</v>
      </c>
      <c r="H444" t="s">
        <v>134</v>
      </c>
      <c r="I444" t="s">
        <v>134</v>
      </c>
      <c r="J444" t="s">
        <v>134</v>
      </c>
      <c r="K444" t="s">
        <v>134</v>
      </c>
      <c r="L444" t="s">
        <v>134</v>
      </c>
      <c r="M444" t="s">
        <v>134</v>
      </c>
      <c r="N444" t="s">
        <v>134</v>
      </c>
      <c r="O444" t="s">
        <v>134</v>
      </c>
      <c r="P444" t="s">
        <v>134</v>
      </c>
      <c r="Q444" t="s">
        <v>134</v>
      </c>
      <c r="R444" t="s">
        <v>134</v>
      </c>
      <c r="S444" t="s">
        <v>134</v>
      </c>
      <c r="T444" t="s">
        <v>134</v>
      </c>
      <c r="U444" t="s">
        <v>134</v>
      </c>
      <c r="V444" t="s">
        <v>134</v>
      </c>
      <c r="W444" t="s">
        <v>134</v>
      </c>
      <c r="X444" t="s">
        <v>134</v>
      </c>
      <c r="Y444" t="s">
        <v>134</v>
      </c>
      <c r="Z444" t="s">
        <v>134</v>
      </c>
      <c r="AA444" t="s">
        <v>134</v>
      </c>
      <c r="AB444" t="s">
        <v>134</v>
      </c>
      <c r="AC444" t="s">
        <v>134</v>
      </c>
      <c r="AD444" t="s">
        <v>134</v>
      </c>
      <c r="AE444" t="s">
        <v>134</v>
      </c>
      <c r="AF444" t="s">
        <v>134</v>
      </c>
      <c r="AG444" t="s">
        <v>134</v>
      </c>
      <c r="AH444" t="s">
        <v>134</v>
      </c>
      <c r="AI444" t="s">
        <v>134</v>
      </c>
      <c r="AJ444" t="s">
        <v>134</v>
      </c>
      <c r="AK444" t="s">
        <v>134</v>
      </c>
      <c r="AL444" t="s">
        <v>134</v>
      </c>
      <c r="AM444" t="s">
        <v>134</v>
      </c>
      <c r="AN444" t="s">
        <v>134</v>
      </c>
      <c r="AO444" t="s">
        <v>134</v>
      </c>
      <c r="AP444" t="s">
        <v>134</v>
      </c>
      <c r="AQ444" t="s">
        <v>134</v>
      </c>
      <c r="AR444" t="s">
        <v>134</v>
      </c>
      <c r="AS444" t="s">
        <v>134</v>
      </c>
      <c r="AT444" t="s">
        <v>134</v>
      </c>
      <c r="AU444" t="s">
        <v>134</v>
      </c>
      <c r="AV444" t="s">
        <v>134</v>
      </c>
      <c r="AW444" t="s">
        <v>134</v>
      </c>
      <c r="AX444" t="s">
        <v>134</v>
      </c>
      <c r="AY444" t="s">
        <v>134</v>
      </c>
      <c r="AZ444" t="s">
        <v>134</v>
      </c>
      <c r="BA444" t="s">
        <v>134</v>
      </c>
      <c r="BB444" t="s">
        <v>134</v>
      </c>
      <c r="BC444" t="s">
        <v>134</v>
      </c>
      <c r="BD444" t="s">
        <v>134</v>
      </c>
      <c r="BE444" t="s">
        <v>134</v>
      </c>
      <c r="BF444" t="s">
        <v>134</v>
      </c>
      <c r="BG444" t="s">
        <v>134</v>
      </c>
      <c r="BH444" t="s">
        <v>134</v>
      </c>
      <c r="BI444" t="s">
        <v>134</v>
      </c>
      <c r="BJ444" t="s">
        <v>134</v>
      </c>
      <c r="BK444" t="s">
        <v>134</v>
      </c>
      <c r="BL444" t="s">
        <v>134</v>
      </c>
      <c r="BM444" t="s">
        <v>134</v>
      </c>
      <c r="BN444" t="s">
        <v>134</v>
      </c>
      <c r="BO444" t="s">
        <v>134</v>
      </c>
      <c r="BP444" t="s">
        <v>134</v>
      </c>
      <c r="BQ444" t="s">
        <v>134</v>
      </c>
      <c r="BR444" t="s">
        <v>134</v>
      </c>
      <c r="BS444" t="s">
        <v>134</v>
      </c>
      <c r="BT444" t="s">
        <v>134</v>
      </c>
      <c r="BU444" t="s">
        <v>134</v>
      </c>
      <c r="BV444" t="s">
        <v>134</v>
      </c>
      <c r="BW444" t="s">
        <v>134</v>
      </c>
      <c r="BX444" t="s">
        <v>134</v>
      </c>
      <c r="BY444" t="s">
        <v>134</v>
      </c>
      <c r="BZ444" t="s">
        <v>134</v>
      </c>
      <c r="CA444" t="s">
        <v>134</v>
      </c>
      <c r="CB444" t="s">
        <v>134</v>
      </c>
      <c r="CC444" t="s">
        <v>134</v>
      </c>
      <c r="CD444" t="s">
        <v>134</v>
      </c>
      <c r="CE444" t="s">
        <v>134</v>
      </c>
      <c r="CF444" t="s">
        <v>134</v>
      </c>
      <c r="CG444" t="s">
        <v>134</v>
      </c>
      <c r="CH444" t="s">
        <v>134</v>
      </c>
      <c r="CI444" t="s">
        <v>134</v>
      </c>
      <c r="CJ444" t="s">
        <v>134</v>
      </c>
      <c r="CK444" t="s">
        <v>134</v>
      </c>
      <c r="CL444" t="s">
        <v>134</v>
      </c>
      <c r="CM444" t="s">
        <v>134</v>
      </c>
      <c r="CN444" t="s">
        <v>134</v>
      </c>
      <c r="CO444" t="s">
        <v>134</v>
      </c>
      <c r="CP444" t="s">
        <v>134</v>
      </c>
      <c r="CQ444" t="s">
        <v>134</v>
      </c>
      <c r="CR444" t="s">
        <v>134</v>
      </c>
      <c r="CS444" t="s">
        <v>134</v>
      </c>
      <c r="CT444" t="s">
        <v>134</v>
      </c>
      <c r="CU444" t="s">
        <v>134</v>
      </c>
      <c r="CV444" t="s">
        <v>134</v>
      </c>
      <c r="CW444" t="s">
        <v>134</v>
      </c>
      <c r="CX444" t="s">
        <v>134</v>
      </c>
      <c r="CY444" t="s">
        <v>134</v>
      </c>
      <c r="CZ444" t="s">
        <v>134</v>
      </c>
      <c r="DA444" t="s">
        <v>134</v>
      </c>
      <c r="DB444" t="s">
        <v>134</v>
      </c>
      <c r="DC444" t="s">
        <v>134</v>
      </c>
      <c r="DD444" t="s">
        <v>134</v>
      </c>
      <c r="DE444" t="s">
        <v>134</v>
      </c>
      <c r="DF444" t="s">
        <v>134</v>
      </c>
      <c r="DG444" t="s">
        <v>134</v>
      </c>
      <c r="DH444" t="s">
        <v>134</v>
      </c>
      <c r="DI444" t="s">
        <v>134</v>
      </c>
    </row>
    <row r="445" spans="4:113" x14ac:dyDescent="0.3">
      <c r="E445" t="s">
        <v>5</v>
      </c>
      <c r="F445" t="s">
        <v>134</v>
      </c>
      <c r="G445" t="s">
        <v>134</v>
      </c>
      <c r="H445" t="s">
        <v>134</v>
      </c>
      <c r="I445" t="s">
        <v>134</v>
      </c>
      <c r="J445" t="s">
        <v>134</v>
      </c>
      <c r="K445" t="s">
        <v>134</v>
      </c>
      <c r="L445" t="s">
        <v>134</v>
      </c>
      <c r="M445" t="s">
        <v>134</v>
      </c>
      <c r="N445" t="s">
        <v>134</v>
      </c>
      <c r="O445" t="s">
        <v>134</v>
      </c>
      <c r="P445" t="s">
        <v>134</v>
      </c>
      <c r="Q445" t="s">
        <v>134</v>
      </c>
      <c r="R445" t="s">
        <v>134</v>
      </c>
      <c r="S445" t="s">
        <v>134</v>
      </c>
      <c r="T445" t="s">
        <v>134</v>
      </c>
      <c r="U445" t="s">
        <v>134</v>
      </c>
      <c r="V445" t="s">
        <v>134</v>
      </c>
      <c r="W445" t="s">
        <v>134</v>
      </c>
      <c r="X445" t="s">
        <v>134</v>
      </c>
      <c r="Y445" t="s">
        <v>134</v>
      </c>
      <c r="Z445" t="s">
        <v>134</v>
      </c>
      <c r="AA445" t="s">
        <v>134</v>
      </c>
      <c r="AB445" t="s">
        <v>134</v>
      </c>
      <c r="AC445" t="s">
        <v>134</v>
      </c>
      <c r="AD445" t="s">
        <v>134</v>
      </c>
      <c r="AE445" t="s">
        <v>134</v>
      </c>
      <c r="AF445" t="s">
        <v>134</v>
      </c>
      <c r="AG445" t="s">
        <v>134</v>
      </c>
      <c r="AH445" t="s">
        <v>134</v>
      </c>
      <c r="AI445" t="s">
        <v>134</v>
      </c>
      <c r="AJ445" t="s">
        <v>134</v>
      </c>
      <c r="AK445" t="s">
        <v>134</v>
      </c>
      <c r="AL445" t="s">
        <v>134</v>
      </c>
      <c r="AM445" t="s">
        <v>134</v>
      </c>
      <c r="AN445" t="s">
        <v>134</v>
      </c>
      <c r="AO445" t="s">
        <v>134</v>
      </c>
      <c r="AP445" t="s">
        <v>134</v>
      </c>
      <c r="AQ445" t="s">
        <v>134</v>
      </c>
      <c r="AR445" t="s">
        <v>134</v>
      </c>
      <c r="AS445" t="s">
        <v>134</v>
      </c>
      <c r="AT445" t="s">
        <v>134</v>
      </c>
      <c r="AU445" t="s">
        <v>134</v>
      </c>
      <c r="AV445" t="s">
        <v>134</v>
      </c>
      <c r="AW445" t="s">
        <v>134</v>
      </c>
      <c r="AX445" t="s">
        <v>134</v>
      </c>
      <c r="AY445" t="s">
        <v>134</v>
      </c>
      <c r="AZ445" t="s">
        <v>134</v>
      </c>
      <c r="BA445" t="s">
        <v>134</v>
      </c>
      <c r="BB445" t="s">
        <v>134</v>
      </c>
      <c r="BC445" t="s">
        <v>134</v>
      </c>
      <c r="BD445" t="s">
        <v>134</v>
      </c>
      <c r="BE445" t="s">
        <v>134</v>
      </c>
      <c r="BF445" t="s">
        <v>134</v>
      </c>
      <c r="BG445" t="s">
        <v>134</v>
      </c>
      <c r="BH445" t="s">
        <v>134</v>
      </c>
      <c r="BI445" t="s">
        <v>134</v>
      </c>
      <c r="BJ445" t="s">
        <v>134</v>
      </c>
      <c r="BK445" t="s">
        <v>134</v>
      </c>
      <c r="BL445" t="s">
        <v>134</v>
      </c>
      <c r="BM445" t="s">
        <v>134</v>
      </c>
      <c r="BN445" t="s">
        <v>134</v>
      </c>
      <c r="BO445" t="s">
        <v>134</v>
      </c>
      <c r="BP445" t="s">
        <v>134</v>
      </c>
      <c r="BQ445" t="s">
        <v>134</v>
      </c>
      <c r="BR445" t="s">
        <v>134</v>
      </c>
      <c r="BS445" t="s">
        <v>134</v>
      </c>
      <c r="BT445" t="s">
        <v>134</v>
      </c>
      <c r="BU445" t="s">
        <v>134</v>
      </c>
      <c r="BV445" t="s">
        <v>134</v>
      </c>
      <c r="BW445" t="s">
        <v>134</v>
      </c>
      <c r="BX445" t="s">
        <v>134</v>
      </c>
      <c r="BY445" t="s">
        <v>134</v>
      </c>
      <c r="BZ445" t="s">
        <v>134</v>
      </c>
      <c r="CA445" t="s">
        <v>134</v>
      </c>
      <c r="CB445" t="s">
        <v>134</v>
      </c>
      <c r="CC445" t="s">
        <v>134</v>
      </c>
      <c r="CD445" t="s">
        <v>134</v>
      </c>
      <c r="CE445" t="s">
        <v>134</v>
      </c>
      <c r="CF445" t="s">
        <v>134</v>
      </c>
      <c r="CG445" t="s">
        <v>134</v>
      </c>
      <c r="CH445" t="s">
        <v>134</v>
      </c>
      <c r="CI445" t="s">
        <v>134</v>
      </c>
      <c r="CJ445" t="s">
        <v>134</v>
      </c>
      <c r="CK445" t="s">
        <v>134</v>
      </c>
      <c r="CL445" t="s">
        <v>134</v>
      </c>
      <c r="CM445" t="s">
        <v>134</v>
      </c>
      <c r="CN445" t="s">
        <v>134</v>
      </c>
      <c r="CO445" t="s">
        <v>134</v>
      </c>
      <c r="CP445" t="s">
        <v>134</v>
      </c>
      <c r="CQ445" t="s">
        <v>134</v>
      </c>
      <c r="CR445" t="s">
        <v>134</v>
      </c>
      <c r="CS445" t="s">
        <v>134</v>
      </c>
      <c r="CT445" t="s">
        <v>134</v>
      </c>
      <c r="CU445" t="s">
        <v>134</v>
      </c>
      <c r="CV445" t="s">
        <v>134</v>
      </c>
      <c r="CW445" t="s">
        <v>134</v>
      </c>
      <c r="CX445" t="s">
        <v>134</v>
      </c>
      <c r="CY445" t="s">
        <v>134</v>
      </c>
      <c r="CZ445" t="s">
        <v>134</v>
      </c>
      <c r="DA445" t="s">
        <v>134</v>
      </c>
      <c r="DB445" t="s">
        <v>134</v>
      </c>
      <c r="DC445" t="s">
        <v>134</v>
      </c>
      <c r="DD445" t="s">
        <v>134</v>
      </c>
      <c r="DE445" t="s">
        <v>134</v>
      </c>
      <c r="DF445" t="s">
        <v>134</v>
      </c>
      <c r="DG445" t="s">
        <v>134</v>
      </c>
      <c r="DH445" t="s">
        <v>134</v>
      </c>
      <c r="DI445" t="s">
        <v>134</v>
      </c>
    </row>
    <row r="446" spans="4:113" x14ac:dyDescent="0.3">
      <c r="E446" t="s">
        <v>6</v>
      </c>
      <c r="F446" t="s">
        <v>134</v>
      </c>
      <c r="G446" t="s">
        <v>134</v>
      </c>
      <c r="H446" t="s">
        <v>134</v>
      </c>
      <c r="I446" t="s">
        <v>134</v>
      </c>
      <c r="J446" t="s">
        <v>134</v>
      </c>
      <c r="K446" t="s">
        <v>134</v>
      </c>
      <c r="L446" t="s">
        <v>134</v>
      </c>
      <c r="M446" t="s">
        <v>134</v>
      </c>
      <c r="N446" t="s">
        <v>134</v>
      </c>
      <c r="O446" t="s">
        <v>134</v>
      </c>
      <c r="P446" t="s">
        <v>134</v>
      </c>
      <c r="Q446" t="s">
        <v>134</v>
      </c>
      <c r="R446" t="s">
        <v>134</v>
      </c>
      <c r="S446" t="s">
        <v>134</v>
      </c>
      <c r="T446" t="s">
        <v>134</v>
      </c>
      <c r="U446" t="s">
        <v>134</v>
      </c>
      <c r="V446" t="s">
        <v>134</v>
      </c>
      <c r="W446" t="s">
        <v>134</v>
      </c>
      <c r="X446" t="s">
        <v>134</v>
      </c>
      <c r="Y446" t="s">
        <v>134</v>
      </c>
      <c r="Z446" t="s">
        <v>134</v>
      </c>
      <c r="AA446" t="s">
        <v>134</v>
      </c>
      <c r="AB446" t="s">
        <v>134</v>
      </c>
      <c r="AC446" t="s">
        <v>134</v>
      </c>
      <c r="AD446" t="s">
        <v>134</v>
      </c>
      <c r="AE446" t="s">
        <v>134</v>
      </c>
      <c r="AF446" t="s">
        <v>134</v>
      </c>
      <c r="AG446" t="s">
        <v>134</v>
      </c>
      <c r="AH446" t="s">
        <v>134</v>
      </c>
      <c r="AI446" t="s">
        <v>134</v>
      </c>
      <c r="AJ446" t="s">
        <v>134</v>
      </c>
      <c r="AK446" t="s">
        <v>134</v>
      </c>
      <c r="AL446" t="s">
        <v>134</v>
      </c>
      <c r="AM446" t="s">
        <v>134</v>
      </c>
      <c r="AN446" t="s">
        <v>134</v>
      </c>
      <c r="AO446" t="s">
        <v>134</v>
      </c>
      <c r="AP446" t="s">
        <v>134</v>
      </c>
      <c r="AQ446" t="s">
        <v>134</v>
      </c>
      <c r="AR446" t="s">
        <v>134</v>
      </c>
      <c r="AS446" t="s">
        <v>134</v>
      </c>
      <c r="AT446" t="s">
        <v>134</v>
      </c>
      <c r="AU446" t="s">
        <v>134</v>
      </c>
      <c r="AV446" t="s">
        <v>134</v>
      </c>
      <c r="AW446" t="s">
        <v>134</v>
      </c>
      <c r="AX446" t="s">
        <v>134</v>
      </c>
      <c r="AY446" t="s">
        <v>134</v>
      </c>
      <c r="AZ446" t="s">
        <v>134</v>
      </c>
      <c r="BA446" t="s">
        <v>134</v>
      </c>
      <c r="BB446" t="s">
        <v>134</v>
      </c>
      <c r="BC446" t="s">
        <v>134</v>
      </c>
      <c r="BD446" t="s">
        <v>134</v>
      </c>
      <c r="BE446" t="s">
        <v>134</v>
      </c>
      <c r="BF446" t="s">
        <v>134</v>
      </c>
      <c r="BG446" t="s">
        <v>134</v>
      </c>
      <c r="BH446" t="s">
        <v>134</v>
      </c>
      <c r="BI446" t="s">
        <v>134</v>
      </c>
      <c r="BJ446" t="s">
        <v>134</v>
      </c>
      <c r="BK446" t="s">
        <v>134</v>
      </c>
      <c r="BL446" t="s">
        <v>134</v>
      </c>
      <c r="BM446" t="s">
        <v>134</v>
      </c>
      <c r="BN446" t="s">
        <v>134</v>
      </c>
      <c r="BO446" t="s">
        <v>134</v>
      </c>
      <c r="BP446" t="s">
        <v>134</v>
      </c>
      <c r="BQ446" t="s">
        <v>134</v>
      </c>
      <c r="BR446" t="s">
        <v>134</v>
      </c>
      <c r="BS446" t="s">
        <v>134</v>
      </c>
      <c r="BT446" t="s">
        <v>134</v>
      </c>
      <c r="BU446" t="s">
        <v>134</v>
      </c>
      <c r="BV446" t="s">
        <v>134</v>
      </c>
      <c r="BW446" t="s">
        <v>134</v>
      </c>
      <c r="BX446" t="s">
        <v>134</v>
      </c>
      <c r="BY446" t="s">
        <v>134</v>
      </c>
      <c r="BZ446" t="s">
        <v>134</v>
      </c>
      <c r="CA446" t="s">
        <v>134</v>
      </c>
      <c r="CB446" t="s">
        <v>134</v>
      </c>
      <c r="CC446" t="s">
        <v>134</v>
      </c>
      <c r="CD446" t="s">
        <v>134</v>
      </c>
      <c r="CE446" t="s">
        <v>134</v>
      </c>
      <c r="CF446" t="s">
        <v>134</v>
      </c>
      <c r="CG446" t="s">
        <v>134</v>
      </c>
      <c r="CH446" t="s">
        <v>134</v>
      </c>
      <c r="CI446" t="s">
        <v>134</v>
      </c>
      <c r="CJ446" t="s">
        <v>134</v>
      </c>
      <c r="CK446" t="s">
        <v>134</v>
      </c>
      <c r="CL446" t="s">
        <v>134</v>
      </c>
      <c r="CM446" t="s">
        <v>134</v>
      </c>
      <c r="CN446" t="s">
        <v>134</v>
      </c>
      <c r="CO446" t="s">
        <v>134</v>
      </c>
      <c r="CP446" t="s">
        <v>134</v>
      </c>
      <c r="CQ446" t="s">
        <v>134</v>
      </c>
      <c r="CR446" t="s">
        <v>134</v>
      </c>
      <c r="CS446" t="s">
        <v>134</v>
      </c>
      <c r="CT446" t="s">
        <v>134</v>
      </c>
      <c r="CU446" t="s">
        <v>134</v>
      </c>
      <c r="CV446" t="s">
        <v>134</v>
      </c>
      <c r="CW446" t="s">
        <v>134</v>
      </c>
      <c r="CX446" t="s">
        <v>134</v>
      </c>
      <c r="CY446" t="s">
        <v>134</v>
      </c>
      <c r="CZ446" t="s">
        <v>134</v>
      </c>
      <c r="DA446" t="s">
        <v>134</v>
      </c>
      <c r="DB446" t="s">
        <v>134</v>
      </c>
      <c r="DC446" t="s">
        <v>134</v>
      </c>
      <c r="DD446" t="s">
        <v>134</v>
      </c>
      <c r="DE446" t="s">
        <v>134</v>
      </c>
      <c r="DF446" t="s">
        <v>134</v>
      </c>
      <c r="DG446" t="s">
        <v>134</v>
      </c>
      <c r="DH446" t="s">
        <v>134</v>
      </c>
      <c r="DI446" t="s">
        <v>134</v>
      </c>
    </row>
    <row r="447" spans="4:113" x14ac:dyDescent="0.3">
      <c r="E447" t="s">
        <v>7</v>
      </c>
      <c r="F447" t="s">
        <v>134</v>
      </c>
      <c r="G447" t="s">
        <v>134</v>
      </c>
      <c r="H447" t="s">
        <v>134</v>
      </c>
      <c r="I447" t="s">
        <v>134</v>
      </c>
      <c r="J447" t="s">
        <v>134</v>
      </c>
      <c r="K447" t="s">
        <v>134</v>
      </c>
      <c r="L447" t="s">
        <v>134</v>
      </c>
      <c r="M447" t="s">
        <v>134</v>
      </c>
      <c r="N447" t="s">
        <v>134</v>
      </c>
      <c r="O447" t="s">
        <v>134</v>
      </c>
      <c r="P447" t="s">
        <v>134</v>
      </c>
      <c r="Q447" t="s">
        <v>134</v>
      </c>
      <c r="R447" t="s">
        <v>134</v>
      </c>
      <c r="S447" t="s">
        <v>134</v>
      </c>
      <c r="T447" t="s">
        <v>134</v>
      </c>
      <c r="U447" t="s">
        <v>134</v>
      </c>
      <c r="V447" t="s">
        <v>134</v>
      </c>
      <c r="W447" t="s">
        <v>134</v>
      </c>
      <c r="X447" t="s">
        <v>134</v>
      </c>
      <c r="Y447" t="s">
        <v>134</v>
      </c>
      <c r="Z447" t="s">
        <v>134</v>
      </c>
      <c r="AA447" t="s">
        <v>134</v>
      </c>
      <c r="AB447" t="s">
        <v>134</v>
      </c>
      <c r="AC447" t="s">
        <v>134</v>
      </c>
      <c r="AD447" t="s">
        <v>134</v>
      </c>
      <c r="AE447" t="s">
        <v>134</v>
      </c>
      <c r="AF447" t="s">
        <v>134</v>
      </c>
      <c r="AG447" t="s">
        <v>134</v>
      </c>
      <c r="AH447" t="s">
        <v>134</v>
      </c>
      <c r="AI447" t="s">
        <v>134</v>
      </c>
      <c r="AJ447" t="s">
        <v>134</v>
      </c>
      <c r="AK447" t="s">
        <v>134</v>
      </c>
      <c r="AL447" t="s">
        <v>134</v>
      </c>
      <c r="AM447" t="s">
        <v>134</v>
      </c>
      <c r="AN447" t="s">
        <v>134</v>
      </c>
      <c r="AO447" t="s">
        <v>134</v>
      </c>
      <c r="AP447" t="s">
        <v>134</v>
      </c>
      <c r="AQ447" t="s">
        <v>134</v>
      </c>
      <c r="AR447" t="s">
        <v>134</v>
      </c>
      <c r="AS447" t="s">
        <v>134</v>
      </c>
      <c r="AT447" t="s">
        <v>134</v>
      </c>
      <c r="AU447" t="s">
        <v>134</v>
      </c>
      <c r="AV447" t="s">
        <v>134</v>
      </c>
      <c r="AW447" t="s">
        <v>134</v>
      </c>
      <c r="AX447" t="s">
        <v>134</v>
      </c>
      <c r="AY447" t="s">
        <v>134</v>
      </c>
      <c r="AZ447" t="s">
        <v>134</v>
      </c>
      <c r="BA447" t="s">
        <v>134</v>
      </c>
      <c r="BB447" t="s">
        <v>134</v>
      </c>
      <c r="BC447" t="s">
        <v>134</v>
      </c>
      <c r="BD447" t="s">
        <v>134</v>
      </c>
      <c r="BE447" t="s">
        <v>134</v>
      </c>
      <c r="BF447" t="s">
        <v>134</v>
      </c>
      <c r="BG447" t="s">
        <v>134</v>
      </c>
      <c r="BH447" t="s">
        <v>134</v>
      </c>
      <c r="BI447" t="s">
        <v>134</v>
      </c>
      <c r="BJ447" t="s">
        <v>134</v>
      </c>
      <c r="BK447" t="s">
        <v>134</v>
      </c>
      <c r="BL447" t="s">
        <v>134</v>
      </c>
      <c r="BM447" t="s">
        <v>134</v>
      </c>
      <c r="BN447" t="s">
        <v>134</v>
      </c>
      <c r="BO447" t="s">
        <v>134</v>
      </c>
      <c r="BP447" t="s">
        <v>134</v>
      </c>
      <c r="BQ447" t="s">
        <v>134</v>
      </c>
      <c r="BR447" t="s">
        <v>134</v>
      </c>
      <c r="BS447" t="s">
        <v>134</v>
      </c>
      <c r="BT447" t="s">
        <v>134</v>
      </c>
      <c r="BU447" t="s">
        <v>134</v>
      </c>
      <c r="BV447" t="s">
        <v>134</v>
      </c>
      <c r="BW447" t="s">
        <v>134</v>
      </c>
      <c r="BX447" t="s">
        <v>134</v>
      </c>
      <c r="BY447" t="s">
        <v>134</v>
      </c>
      <c r="BZ447" t="s">
        <v>134</v>
      </c>
      <c r="CA447" t="s">
        <v>134</v>
      </c>
      <c r="CB447" t="s">
        <v>134</v>
      </c>
      <c r="CC447" t="s">
        <v>134</v>
      </c>
      <c r="CD447" t="s">
        <v>134</v>
      </c>
      <c r="CE447" t="s">
        <v>134</v>
      </c>
      <c r="CF447" t="s">
        <v>134</v>
      </c>
      <c r="CG447" t="s">
        <v>134</v>
      </c>
      <c r="CH447" t="s">
        <v>134</v>
      </c>
      <c r="CI447" t="s">
        <v>134</v>
      </c>
      <c r="CJ447" t="s">
        <v>134</v>
      </c>
      <c r="CK447" t="s">
        <v>134</v>
      </c>
      <c r="CL447" t="s">
        <v>134</v>
      </c>
      <c r="CM447" t="s">
        <v>134</v>
      </c>
      <c r="CN447" t="s">
        <v>134</v>
      </c>
      <c r="CO447" t="s">
        <v>134</v>
      </c>
      <c r="CP447" t="s">
        <v>134</v>
      </c>
      <c r="CQ447" t="s">
        <v>134</v>
      </c>
      <c r="CR447" t="s">
        <v>134</v>
      </c>
      <c r="CS447" t="s">
        <v>134</v>
      </c>
      <c r="CT447" t="s">
        <v>134</v>
      </c>
      <c r="CU447" t="s">
        <v>134</v>
      </c>
      <c r="CV447" t="s">
        <v>134</v>
      </c>
      <c r="CW447" t="s">
        <v>134</v>
      </c>
      <c r="CX447" t="s">
        <v>134</v>
      </c>
      <c r="CY447" t="s">
        <v>134</v>
      </c>
      <c r="CZ447" t="s">
        <v>134</v>
      </c>
      <c r="DA447" t="s">
        <v>134</v>
      </c>
      <c r="DB447" t="s">
        <v>134</v>
      </c>
      <c r="DC447" t="s">
        <v>134</v>
      </c>
      <c r="DD447" t="s">
        <v>134</v>
      </c>
      <c r="DE447" t="s">
        <v>134</v>
      </c>
      <c r="DF447" t="s">
        <v>134</v>
      </c>
      <c r="DG447" t="s">
        <v>134</v>
      </c>
      <c r="DH447" t="s">
        <v>134</v>
      </c>
      <c r="DI447" t="s">
        <v>134</v>
      </c>
    </row>
    <row r="448" spans="4:113" x14ac:dyDescent="0.3">
      <c r="D448" t="s">
        <v>11</v>
      </c>
      <c r="E448" t="s">
        <v>3</v>
      </c>
      <c r="F448">
        <v>16.206299999999999</v>
      </c>
      <c r="G448">
        <v>13.9824</v>
      </c>
      <c r="H448">
        <v>16.117699999999999</v>
      </c>
      <c r="I448">
        <v>15.095700000000001</v>
      </c>
      <c r="J448">
        <v>49.960700000000003</v>
      </c>
      <c r="K448">
        <v>47.751300000000001</v>
      </c>
      <c r="L448">
        <v>77.081599999999995</v>
      </c>
      <c r="M448">
        <v>53.177999999999997</v>
      </c>
      <c r="N448">
        <v>32.7851</v>
      </c>
      <c r="O448">
        <v>32.789400000000001</v>
      </c>
      <c r="P448">
        <v>32.789400000000001</v>
      </c>
      <c r="Q448">
        <v>38.424900000000001</v>
      </c>
      <c r="R448">
        <v>35.718400000000003</v>
      </c>
      <c r="S448">
        <v>10.4177</v>
      </c>
      <c r="T448">
        <v>31.566800000000001</v>
      </c>
      <c r="U448">
        <v>61.423200000000001</v>
      </c>
      <c r="V448">
        <v>63.212699999999998</v>
      </c>
      <c r="W448">
        <v>49.7119</v>
      </c>
      <c r="X448">
        <v>49.745800000000003</v>
      </c>
      <c r="Y448">
        <v>-16.504899999999999</v>
      </c>
      <c r="Z448">
        <v>41.131900000000002</v>
      </c>
      <c r="AA448">
        <v>5.8606999999999996</v>
      </c>
      <c r="AB448">
        <v>15.4968</v>
      </c>
      <c r="AC448">
        <v>11.277100000000001</v>
      </c>
      <c r="AD448">
        <v>36.119300000000003</v>
      </c>
      <c r="AE448">
        <v>-1.5186999999999999</v>
      </c>
      <c r="AF448">
        <v>-19.738600000000002</v>
      </c>
      <c r="AG448" t="s">
        <v>134</v>
      </c>
      <c r="AH448" t="s">
        <v>134</v>
      </c>
      <c r="AI448">
        <v>8.1189999999999998</v>
      </c>
      <c r="AJ448">
        <v>10.332000000000001</v>
      </c>
      <c r="AK448">
        <v>8.1267999999999994</v>
      </c>
      <c r="AL448">
        <v>8.9899000000000004</v>
      </c>
      <c r="AM448">
        <v>1.6463000000000001</v>
      </c>
      <c r="AN448">
        <v>-4.6902999999999997</v>
      </c>
      <c r="AO448">
        <v>-5.1832000000000003</v>
      </c>
      <c r="AP448">
        <v>-9.6974999999999998</v>
      </c>
      <c r="AQ448">
        <v>-5.5283999999999995</v>
      </c>
      <c r="AR448">
        <v>-9.2859999999999996</v>
      </c>
      <c r="AS448">
        <v>6.3562000000000003</v>
      </c>
      <c r="AT448">
        <v>-2.1543000000000001</v>
      </c>
      <c r="AU448">
        <v>28.8522</v>
      </c>
      <c r="AV448">
        <v>-1.3967000000000001</v>
      </c>
      <c r="AW448">
        <v>3.8696000000000002</v>
      </c>
      <c r="AX448">
        <v>-24.9602</v>
      </c>
      <c r="AY448">
        <v>-0.13969999999999999</v>
      </c>
      <c r="AZ448" t="s">
        <v>134</v>
      </c>
      <c r="BA448" t="s">
        <v>134</v>
      </c>
      <c r="BB448">
        <v>-2.3456000000000001</v>
      </c>
      <c r="BC448">
        <v>-1.9491000000000001</v>
      </c>
      <c r="BD448">
        <v>2.1497000000000002</v>
      </c>
      <c r="BE448">
        <v>-6.4650999999999996</v>
      </c>
      <c r="BF448">
        <v>31.566800000000001</v>
      </c>
      <c r="BG448">
        <v>61.423200000000001</v>
      </c>
      <c r="BH448">
        <v>63.212699999999998</v>
      </c>
      <c r="BI448">
        <v>49.7119</v>
      </c>
      <c r="BJ448">
        <v>49.745800000000003</v>
      </c>
      <c r="BK448">
        <v>-16.504899999999999</v>
      </c>
      <c r="BL448">
        <v>41.131900000000002</v>
      </c>
      <c r="BM448">
        <v>5.8606999999999996</v>
      </c>
      <c r="BN448">
        <v>15.4968</v>
      </c>
      <c r="BO448">
        <v>11.277100000000001</v>
      </c>
      <c r="BP448">
        <v>36.119300000000003</v>
      </c>
      <c r="BQ448">
        <v>-1.5186999999999999</v>
      </c>
      <c r="BR448">
        <v>-19.738600000000002</v>
      </c>
      <c r="BS448" t="s">
        <v>134</v>
      </c>
      <c r="BT448" t="s">
        <v>134</v>
      </c>
      <c r="BU448">
        <v>8.1189999999999998</v>
      </c>
      <c r="BV448">
        <v>10.332000000000001</v>
      </c>
      <c r="BW448">
        <v>8.1267999999999994</v>
      </c>
      <c r="BX448">
        <v>8.9899000000000004</v>
      </c>
      <c r="BY448">
        <v>5000.8999999999996</v>
      </c>
      <c r="BZ448">
        <v>5000.8999999999996</v>
      </c>
      <c r="CA448">
        <v>0</v>
      </c>
      <c r="CB448">
        <v>8.6199999999999999E-2</v>
      </c>
      <c r="CC448">
        <v>-0.85550000000000004</v>
      </c>
      <c r="CD448">
        <v>9.0200000000000002E-2</v>
      </c>
      <c r="CE448">
        <v>-0.89510000000000001</v>
      </c>
      <c r="CF448">
        <v>156.41210000000001</v>
      </c>
      <c r="CG448">
        <v>85.103800000000007</v>
      </c>
      <c r="CH448">
        <v>0</v>
      </c>
      <c r="CI448">
        <v>0</v>
      </c>
      <c r="CJ448">
        <v>0</v>
      </c>
      <c r="CK448">
        <v>2.0468000000000002</v>
      </c>
      <c r="CL448">
        <v>2.0057999999999998</v>
      </c>
      <c r="CM448">
        <v>1.7429999999999999</v>
      </c>
      <c r="CN448">
        <v>-20.318999999999999</v>
      </c>
      <c r="CO448">
        <v>-25.500399999999999</v>
      </c>
      <c r="CP448">
        <v>58028.9</v>
      </c>
      <c r="CQ448">
        <v>37450.9</v>
      </c>
      <c r="CR448">
        <v>55462.6</v>
      </c>
      <c r="CS448">
        <v>1.5415000000000001</v>
      </c>
      <c r="CT448">
        <v>2.5005999999999999</v>
      </c>
      <c r="CU448">
        <v>1.9569999999999999</v>
      </c>
      <c r="CV448">
        <v>6.6032000000000002</v>
      </c>
      <c r="CW448">
        <v>9.2318999999999996</v>
      </c>
      <c r="CX448">
        <v>39.536900000000003</v>
      </c>
      <c r="CY448">
        <v>3.1199999999999999E-2</v>
      </c>
      <c r="CZ448">
        <v>11707.4856</v>
      </c>
      <c r="DA448">
        <v>0.2732</v>
      </c>
      <c r="DB448">
        <v>1335.9238</v>
      </c>
      <c r="DC448">
        <v>10411.0987</v>
      </c>
      <c r="DD448">
        <v>11747.022499999999</v>
      </c>
      <c r="DE448">
        <v>5716.9</v>
      </c>
      <c r="DF448">
        <v>9.3000000000000007</v>
      </c>
      <c r="DG448">
        <v>59.1</v>
      </c>
      <c r="DH448">
        <v>4423.6000000000004</v>
      </c>
      <c r="DI448">
        <v>1224.9000000000001</v>
      </c>
    </row>
    <row r="449" spans="1:113" x14ac:dyDescent="0.3">
      <c r="E449" t="s">
        <v>4</v>
      </c>
      <c r="F449" t="s">
        <v>134</v>
      </c>
      <c r="G449" t="s">
        <v>134</v>
      </c>
      <c r="H449" t="s">
        <v>134</v>
      </c>
      <c r="I449" t="s">
        <v>134</v>
      </c>
      <c r="J449" t="s">
        <v>134</v>
      </c>
      <c r="K449" t="s">
        <v>134</v>
      </c>
      <c r="L449" t="s">
        <v>134</v>
      </c>
      <c r="M449" t="s">
        <v>134</v>
      </c>
      <c r="N449" t="s">
        <v>134</v>
      </c>
      <c r="O449" t="s">
        <v>134</v>
      </c>
      <c r="P449" t="s">
        <v>134</v>
      </c>
      <c r="Q449" t="s">
        <v>134</v>
      </c>
      <c r="R449" t="s">
        <v>134</v>
      </c>
      <c r="S449" t="s">
        <v>134</v>
      </c>
      <c r="T449" t="s">
        <v>134</v>
      </c>
      <c r="U449" t="s">
        <v>134</v>
      </c>
      <c r="V449" t="s">
        <v>134</v>
      </c>
      <c r="W449" t="s">
        <v>134</v>
      </c>
      <c r="X449" t="s">
        <v>134</v>
      </c>
      <c r="Y449" t="s">
        <v>134</v>
      </c>
      <c r="Z449" t="s">
        <v>134</v>
      </c>
      <c r="AA449" t="s">
        <v>134</v>
      </c>
      <c r="AB449" t="s">
        <v>134</v>
      </c>
      <c r="AC449" t="s">
        <v>134</v>
      </c>
      <c r="AD449" t="s">
        <v>134</v>
      </c>
      <c r="AE449" t="s">
        <v>134</v>
      </c>
      <c r="AF449" t="s">
        <v>134</v>
      </c>
      <c r="AG449" t="s">
        <v>134</v>
      </c>
      <c r="AH449" t="s">
        <v>134</v>
      </c>
      <c r="AI449" t="s">
        <v>134</v>
      </c>
      <c r="AJ449" t="s">
        <v>134</v>
      </c>
      <c r="AK449" t="s">
        <v>134</v>
      </c>
      <c r="AL449" t="s">
        <v>134</v>
      </c>
      <c r="AM449" t="s">
        <v>134</v>
      </c>
      <c r="AN449" t="s">
        <v>134</v>
      </c>
      <c r="AO449" t="s">
        <v>134</v>
      </c>
      <c r="AP449" t="s">
        <v>134</v>
      </c>
      <c r="AQ449" t="s">
        <v>134</v>
      </c>
      <c r="AR449" t="s">
        <v>134</v>
      </c>
      <c r="AS449" t="s">
        <v>134</v>
      </c>
      <c r="AT449" t="s">
        <v>134</v>
      </c>
      <c r="AU449" t="s">
        <v>134</v>
      </c>
      <c r="AV449" t="s">
        <v>134</v>
      </c>
      <c r="AW449" t="s">
        <v>134</v>
      </c>
      <c r="AX449" t="s">
        <v>134</v>
      </c>
      <c r="AY449" t="s">
        <v>134</v>
      </c>
      <c r="AZ449" t="s">
        <v>134</v>
      </c>
      <c r="BA449" t="s">
        <v>134</v>
      </c>
      <c r="BB449" t="s">
        <v>134</v>
      </c>
      <c r="BC449" t="s">
        <v>134</v>
      </c>
      <c r="BD449" t="s">
        <v>134</v>
      </c>
      <c r="BE449" t="s">
        <v>134</v>
      </c>
      <c r="BF449" t="s">
        <v>134</v>
      </c>
      <c r="BG449" t="s">
        <v>134</v>
      </c>
      <c r="BH449" t="s">
        <v>134</v>
      </c>
      <c r="BI449" t="s">
        <v>134</v>
      </c>
      <c r="BJ449" t="s">
        <v>134</v>
      </c>
      <c r="BK449" t="s">
        <v>134</v>
      </c>
      <c r="BL449" t="s">
        <v>134</v>
      </c>
      <c r="BM449" t="s">
        <v>134</v>
      </c>
      <c r="BN449" t="s">
        <v>134</v>
      </c>
      <c r="BO449" t="s">
        <v>134</v>
      </c>
      <c r="BP449" t="s">
        <v>134</v>
      </c>
      <c r="BQ449" t="s">
        <v>134</v>
      </c>
      <c r="BR449" t="s">
        <v>134</v>
      </c>
      <c r="BS449" t="s">
        <v>134</v>
      </c>
      <c r="BT449" t="s">
        <v>134</v>
      </c>
      <c r="BU449" t="s">
        <v>134</v>
      </c>
      <c r="BV449" t="s">
        <v>134</v>
      </c>
      <c r="BW449" t="s">
        <v>134</v>
      </c>
      <c r="BX449" t="s">
        <v>134</v>
      </c>
      <c r="BY449" t="s">
        <v>134</v>
      </c>
      <c r="BZ449" t="s">
        <v>134</v>
      </c>
      <c r="CA449" t="s">
        <v>134</v>
      </c>
      <c r="CB449" t="s">
        <v>134</v>
      </c>
      <c r="CC449" t="s">
        <v>134</v>
      </c>
      <c r="CD449" t="s">
        <v>134</v>
      </c>
      <c r="CE449" t="s">
        <v>134</v>
      </c>
      <c r="CF449" t="s">
        <v>134</v>
      </c>
      <c r="CG449" t="s">
        <v>134</v>
      </c>
      <c r="CH449" t="s">
        <v>134</v>
      </c>
      <c r="CI449" t="s">
        <v>134</v>
      </c>
      <c r="CJ449" t="s">
        <v>134</v>
      </c>
      <c r="CK449" t="s">
        <v>134</v>
      </c>
      <c r="CL449" t="s">
        <v>134</v>
      </c>
      <c r="CM449" t="s">
        <v>134</v>
      </c>
      <c r="CN449" t="s">
        <v>134</v>
      </c>
      <c r="CO449" t="s">
        <v>134</v>
      </c>
      <c r="CP449" t="s">
        <v>134</v>
      </c>
      <c r="CQ449" t="s">
        <v>134</v>
      </c>
      <c r="CR449" t="s">
        <v>134</v>
      </c>
      <c r="CS449" t="s">
        <v>134</v>
      </c>
      <c r="CT449" t="s">
        <v>134</v>
      </c>
      <c r="CU449" t="s">
        <v>134</v>
      </c>
      <c r="CV449" t="s">
        <v>134</v>
      </c>
      <c r="CW449" t="s">
        <v>134</v>
      </c>
      <c r="CX449" t="s">
        <v>134</v>
      </c>
      <c r="CY449" t="s">
        <v>134</v>
      </c>
      <c r="CZ449" t="s">
        <v>134</v>
      </c>
      <c r="DA449" t="s">
        <v>134</v>
      </c>
      <c r="DB449" t="s">
        <v>134</v>
      </c>
      <c r="DC449" t="s">
        <v>134</v>
      </c>
      <c r="DD449" t="s">
        <v>134</v>
      </c>
      <c r="DE449" t="s">
        <v>134</v>
      </c>
      <c r="DF449" t="s">
        <v>134</v>
      </c>
      <c r="DG449" t="s">
        <v>134</v>
      </c>
      <c r="DH449" t="s">
        <v>134</v>
      </c>
      <c r="DI449" t="s">
        <v>134</v>
      </c>
    </row>
    <row r="450" spans="1:113" x14ac:dyDescent="0.3">
      <c r="E450" t="s">
        <v>5</v>
      </c>
      <c r="F450" t="s">
        <v>134</v>
      </c>
      <c r="G450" t="s">
        <v>134</v>
      </c>
      <c r="H450" t="s">
        <v>134</v>
      </c>
      <c r="I450" t="s">
        <v>134</v>
      </c>
      <c r="J450" t="s">
        <v>134</v>
      </c>
      <c r="K450" t="s">
        <v>134</v>
      </c>
      <c r="L450" t="s">
        <v>134</v>
      </c>
      <c r="M450" t="s">
        <v>134</v>
      </c>
      <c r="N450" t="s">
        <v>134</v>
      </c>
      <c r="O450" t="s">
        <v>134</v>
      </c>
      <c r="P450" t="s">
        <v>134</v>
      </c>
      <c r="Q450" t="s">
        <v>134</v>
      </c>
      <c r="R450" t="s">
        <v>134</v>
      </c>
      <c r="S450" t="s">
        <v>134</v>
      </c>
      <c r="T450" t="s">
        <v>134</v>
      </c>
      <c r="U450" t="s">
        <v>134</v>
      </c>
      <c r="V450" t="s">
        <v>134</v>
      </c>
      <c r="W450" t="s">
        <v>134</v>
      </c>
      <c r="X450" t="s">
        <v>134</v>
      </c>
      <c r="Y450" t="s">
        <v>134</v>
      </c>
      <c r="Z450" t="s">
        <v>134</v>
      </c>
      <c r="AA450" t="s">
        <v>134</v>
      </c>
      <c r="AB450" t="s">
        <v>134</v>
      </c>
      <c r="AC450" t="s">
        <v>134</v>
      </c>
      <c r="AD450" t="s">
        <v>134</v>
      </c>
      <c r="AE450" t="s">
        <v>134</v>
      </c>
      <c r="AF450" t="s">
        <v>134</v>
      </c>
      <c r="AG450" t="s">
        <v>134</v>
      </c>
      <c r="AH450" t="s">
        <v>134</v>
      </c>
      <c r="AI450" t="s">
        <v>134</v>
      </c>
      <c r="AJ450" t="s">
        <v>134</v>
      </c>
      <c r="AK450" t="s">
        <v>134</v>
      </c>
      <c r="AL450" t="s">
        <v>134</v>
      </c>
      <c r="AM450" t="s">
        <v>134</v>
      </c>
      <c r="AN450" t="s">
        <v>134</v>
      </c>
      <c r="AO450" t="s">
        <v>134</v>
      </c>
      <c r="AP450" t="s">
        <v>134</v>
      </c>
      <c r="AQ450" t="s">
        <v>134</v>
      </c>
      <c r="AR450" t="s">
        <v>134</v>
      </c>
      <c r="AS450" t="s">
        <v>134</v>
      </c>
      <c r="AT450" t="s">
        <v>134</v>
      </c>
      <c r="AU450" t="s">
        <v>134</v>
      </c>
      <c r="AV450" t="s">
        <v>134</v>
      </c>
      <c r="AW450" t="s">
        <v>134</v>
      </c>
      <c r="AX450" t="s">
        <v>134</v>
      </c>
      <c r="AY450" t="s">
        <v>134</v>
      </c>
      <c r="AZ450" t="s">
        <v>134</v>
      </c>
      <c r="BA450" t="s">
        <v>134</v>
      </c>
      <c r="BB450" t="s">
        <v>134</v>
      </c>
      <c r="BC450" t="s">
        <v>134</v>
      </c>
      <c r="BD450" t="s">
        <v>134</v>
      </c>
      <c r="BE450" t="s">
        <v>134</v>
      </c>
      <c r="BF450" t="s">
        <v>134</v>
      </c>
      <c r="BG450" t="s">
        <v>134</v>
      </c>
      <c r="BH450" t="s">
        <v>134</v>
      </c>
      <c r="BI450" t="s">
        <v>134</v>
      </c>
      <c r="BJ450" t="s">
        <v>134</v>
      </c>
      <c r="BK450" t="s">
        <v>134</v>
      </c>
      <c r="BL450" t="s">
        <v>134</v>
      </c>
      <c r="BM450" t="s">
        <v>134</v>
      </c>
      <c r="BN450" t="s">
        <v>134</v>
      </c>
      <c r="BO450" t="s">
        <v>134</v>
      </c>
      <c r="BP450" t="s">
        <v>134</v>
      </c>
      <c r="BQ450" t="s">
        <v>134</v>
      </c>
      <c r="BR450" t="s">
        <v>134</v>
      </c>
      <c r="BS450" t="s">
        <v>134</v>
      </c>
      <c r="BT450" t="s">
        <v>134</v>
      </c>
      <c r="BU450" t="s">
        <v>134</v>
      </c>
      <c r="BV450" t="s">
        <v>134</v>
      </c>
      <c r="BW450" t="s">
        <v>134</v>
      </c>
      <c r="BX450" t="s">
        <v>134</v>
      </c>
      <c r="BY450" t="s">
        <v>134</v>
      </c>
      <c r="BZ450" t="s">
        <v>134</v>
      </c>
      <c r="CA450" t="s">
        <v>134</v>
      </c>
      <c r="CB450" t="s">
        <v>134</v>
      </c>
      <c r="CC450" t="s">
        <v>134</v>
      </c>
      <c r="CD450" t="s">
        <v>134</v>
      </c>
      <c r="CE450" t="s">
        <v>134</v>
      </c>
      <c r="CF450" t="s">
        <v>134</v>
      </c>
      <c r="CG450" t="s">
        <v>134</v>
      </c>
      <c r="CH450" t="s">
        <v>134</v>
      </c>
      <c r="CI450" t="s">
        <v>134</v>
      </c>
      <c r="CJ450" t="s">
        <v>134</v>
      </c>
      <c r="CK450" t="s">
        <v>134</v>
      </c>
      <c r="CL450" t="s">
        <v>134</v>
      </c>
      <c r="CM450" t="s">
        <v>134</v>
      </c>
      <c r="CN450" t="s">
        <v>134</v>
      </c>
      <c r="CO450" t="s">
        <v>134</v>
      </c>
      <c r="CP450" t="s">
        <v>134</v>
      </c>
      <c r="CQ450" t="s">
        <v>134</v>
      </c>
      <c r="CR450" t="s">
        <v>134</v>
      </c>
      <c r="CS450" t="s">
        <v>134</v>
      </c>
      <c r="CT450" t="s">
        <v>134</v>
      </c>
      <c r="CU450" t="s">
        <v>134</v>
      </c>
      <c r="CV450" t="s">
        <v>134</v>
      </c>
      <c r="CW450" t="s">
        <v>134</v>
      </c>
      <c r="CX450" t="s">
        <v>134</v>
      </c>
      <c r="CY450" t="s">
        <v>134</v>
      </c>
      <c r="CZ450" t="s">
        <v>134</v>
      </c>
      <c r="DA450" t="s">
        <v>134</v>
      </c>
      <c r="DB450" t="s">
        <v>134</v>
      </c>
      <c r="DC450" t="s">
        <v>134</v>
      </c>
      <c r="DD450" t="s">
        <v>134</v>
      </c>
      <c r="DE450" t="s">
        <v>134</v>
      </c>
      <c r="DF450" t="s">
        <v>134</v>
      </c>
      <c r="DG450" t="s">
        <v>134</v>
      </c>
      <c r="DH450" t="s">
        <v>134</v>
      </c>
      <c r="DI450" t="s">
        <v>134</v>
      </c>
    </row>
    <row r="451" spans="1:113" x14ac:dyDescent="0.3">
      <c r="E451" t="s">
        <v>6</v>
      </c>
      <c r="F451" t="s">
        <v>134</v>
      </c>
      <c r="G451" t="s">
        <v>134</v>
      </c>
      <c r="H451" t="s">
        <v>134</v>
      </c>
      <c r="I451" t="s">
        <v>134</v>
      </c>
      <c r="J451" t="s">
        <v>134</v>
      </c>
      <c r="K451" t="s">
        <v>134</v>
      </c>
      <c r="L451" t="s">
        <v>134</v>
      </c>
      <c r="M451" t="s">
        <v>134</v>
      </c>
      <c r="N451" t="s">
        <v>134</v>
      </c>
      <c r="O451" t="s">
        <v>134</v>
      </c>
      <c r="P451" t="s">
        <v>134</v>
      </c>
      <c r="Q451" t="s">
        <v>134</v>
      </c>
      <c r="R451" t="s">
        <v>134</v>
      </c>
      <c r="S451" t="s">
        <v>134</v>
      </c>
      <c r="T451" t="s">
        <v>134</v>
      </c>
      <c r="U451" t="s">
        <v>134</v>
      </c>
      <c r="V451" t="s">
        <v>134</v>
      </c>
      <c r="W451" t="s">
        <v>134</v>
      </c>
      <c r="X451" t="s">
        <v>134</v>
      </c>
      <c r="Y451" t="s">
        <v>134</v>
      </c>
      <c r="Z451" t="s">
        <v>134</v>
      </c>
      <c r="AA451" t="s">
        <v>134</v>
      </c>
      <c r="AB451" t="s">
        <v>134</v>
      </c>
      <c r="AC451" t="s">
        <v>134</v>
      </c>
      <c r="AD451" t="s">
        <v>134</v>
      </c>
      <c r="AE451" t="s">
        <v>134</v>
      </c>
      <c r="AF451" t="s">
        <v>134</v>
      </c>
      <c r="AG451" t="s">
        <v>134</v>
      </c>
      <c r="AH451" t="s">
        <v>134</v>
      </c>
      <c r="AI451" t="s">
        <v>134</v>
      </c>
      <c r="AJ451" t="s">
        <v>134</v>
      </c>
      <c r="AK451" t="s">
        <v>134</v>
      </c>
      <c r="AL451" t="s">
        <v>134</v>
      </c>
      <c r="AM451" t="s">
        <v>134</v>
      </c>
      <c r="AN451" t="s">
        <v>134</v>
      </c>
      <c r="AO451" t="s">
        <v>134</v>
      </c>
      <c r="AP451" t="s">
        <v>134</v>
      </c>
      <c r="AQ451" t="s">
        <v>134</v>
      </c>
      <c r="AR451" t="s">
        <v>134</v>
      </c>
      <c r="AS451" t="s">
        <v>134</v>
      </c>
      <c r="AT451" t="s">
        <v>134</v>
      </c>
      <c r="AU451" t="s">
        <v>134</v>
      </c>
      <c r="AV451" t="s">
        <v>134</v>
      </c>
      <c r="AW451" t="s">
        <v>134</v>
      </c>
      <c r="AX451" t="s">
        <v>134</v>
      </c>
      <c r="AY451" t="s">
        <v>134</v>
      </c>
      <c r="AZ451" t="s">
        <v>134</v>
      </c>
      <c r="BA451" t="s">
        <v>134</v>
      </c>
      <c r="BB451" t="s">
        <v>134</v>
      </c>
      <c r="BC451" t="s">
        <v>134</v>
      </c>
      <c r="BD451" t="s">
        <v>134</v>
      </c>
      <c r="BE451" t="s">
        <v>134</v>
      </c>
      <c r="BF451" t="s">
        <v>134</v>
      </c>
      <c r="BG451" t="s">
        <v>134</v>
      </c>
      <c r="BH451" t="s">
        <v>134</v>
      </c>
      <c r="BI451" t="s">
        <v>134</v>
      </c>
      <c r="BJ451" t="s">
        <v>134</v>
      </c>
      <c r="BK451" t="s">
        <v>134</v>
      </c>
      <c r="BL451" t="s">
        <v>134</v>
      </c>
      <c r="BM451" t="s">
        <v>134</v>
      </c>
      <c r="BN451" t="s">
        <v>134</v>
      </c>
      <c r="BO451" t="s">
        <v>134</v>
      </c>
      <c r="BP451" t="s">
        <v>134</v>
      </c>
      <c r="BQ451" t="s">
        <v>134</v>
      </c>
      <c r="BR451" t="s">
        <v>134</v>
      </c>
      <c r="BS451" t="s">
        <v>134</v>
      </c>
      <c r="BT451" t="s">
        <v>134</v>
      </c>
      <c r="BU451" t="s">
        <v>134</v>
      </c>
      <c r="BV451" t="s">
        <v>134</v>
      </c>
      <c r="BW451" t="s">
        <v>134</v>
      </c>
      <c r="BX451" t="s">
        <v>134</v>
      </c>
      <c r="BY451" t="s">
        <v>134</v>
      </c>
      <c r="BZ451" t="s">
        <v>134</v>
      </c>
      <c r="CA451" t="s">
        <v>134</v>
      </c>
      <c r="CB451" t="s">
        <v>134</v>
      </c>
      <c r="CC451" t="s">
        <v>134</v>
      </c>
      <c r="CD451" t="s">
        <v>134</v>
      </c>
      <c r="CE451" t="s">
        <v>134</v>
      </c>
      <c r="CF451" t="s">
        <v>134</v>
      </c>
      <c r="CG451" t="s">
        <v>134</v>
      </c>
      <c r="CH451" t="s">
        <v>134</v>
      </c>
      <c r="CI451" t="s">
        <v>134</v>
      </c>
      <c r="CJ451" t="s">
        <v>134</v>
      </c>
      <c r="CK451" t="s">
        <v>134</v>
      </c>
      <c r="CL451" t="s">
        <v>134</v>
      </c>
      <c r="CM451" t="s">
        <v>134</v>
      </c>
      <c r="CN451" t="s">
        <v>134</v>
      </c>
      <c r="CO451" t="s">
        <v>134</v>
      </c>
      <c r="CP451" t="s">
        <v>134</v>
      </c>
      <c r="CQ451" t="s">
        <v>134</v>
      </c>
      <c r="CR451" t="s">
        <v>134</v>
      </c>
      <c r="CS451" t="s">
        <v>134</v>
      </c>
      <c r="CT451" t="s">
        <v>134</v>
      </c>
      <c r="CU451" t="s">
        <v>134</v>
      </c>
      <c r="CV451" t="s">
        <v>134</v>
      </c>
      <c r="CW451" t="s">
        <v>134</v>
      </c>
      <c r="CX451" t="s">
        <v>134</v>
      </c>
      <c r="CY451" t="s">
        <v>134</v>
      </c>
      <c r="CZ451" t="s">
        <v>134</v>
      </c>
      <c r="DA451" t="s">
        <v>134</v>
      </c>
      <c r="DB451" t="s">
        <v>134</v>
      </c>
      <c r="DC451" t="s">
        <v>134</v>
      </c>
      <c r="DD451" t="s">
        <v>134</v>
      </c>
      <c r="DE451" t="s">
        <v>134</v>
      </c>
      <c r="DF451" t="s">
        <v>134</v>
      </c>
      <c r="DG451" t="s">
        <v>134</v>
      </c>
      <c r="DH451" t="s">
        <v>134</v>
      </c>
      <c r="DI451" t="s">
        <v>134</v>
      </c>
    </row>
    <row r="452" spans="1:113" x14ac:dyDescent="0.3">
      <c r="E452" t="s">
        <v>7</v>
      </c>
      <c r="F452" t="s">
        <v>134</v>
      </c>
      <c r="G452" t="s">
        <v>134</v>
      </c>
      <c r="H452" t="s">
        <v>134</v>
      </c>
      <c r="I452" t="s">
        <v>134</v>
      </c>
      <c r="J452" t="s">
        <v>134</v>
      </c>
      <c r="K452" t="s">
        <v>134</v>
      </c>
      <c r="L452" t="s">
        <v>134</v>
      </c>
      <c r="M452" t="s">
        <v>134</v>
      </c>
      <c r="N452" t="s">
        <v>134</v>
      </c>
      <c r="O452" t="s">
        <v>134</v>
      </c>
      <c r="P452" t="s">
        <v>134</v>
      </c>
      <c r="Q452" t="s">
        <v>134</v>
      </c>
      <c r="R452" t="s">
        <v>134</v>
      </c>
      <c r="S452" t="s">
        <v>134</v>
      </c>
      <c r="T452" t="s">
        <v>134</v>
      </c>
      <c r="U452" t="s">
        <v>134</v>
      </c>
      <c r="V452" t="s">
        <v>134</v>
      </c>
      <c r="W452" t="s">
        <v>134</v>
      </c>
      <c r="X452" t="s">
        <v>134</v>
      </c>
      <c r="Y452" t="s">
        <v>134</v>
      </c>
      <c r="Z452" t="s">
        <v>134</v>
      </c>
      <c r="AA452" t="s">
        <v>134</v>
      </c>
      <c r="AB452" t="s">
        <v>134</v>
      </c>
      <c r="AC452" t="s">
        <v>134</v>
      </c>
      <c r="AD452" t="s">
        <v>134</v>
      </c>
      <c r="AE452" t="s">
        <v>134</v>
      </c>
      <c r="AF452" t="s">
        <v>134</v>
      </c>
      <c r="AG452" t="s">
        <v>134</v>
      </c>
      <c r="AH452" t="s">
        <v>134</v>
      </c>
      <c r="AI452" t="s">
        <v>134</v>
      </c>
      <c r="AJ452" t="s">
        <v>134</v>
      </c>
      <c r="AK452" t="s">
        <v>134</v>
      </c>
      <c r="AL452" t="s">
        <v>134</v>
      </c>
      <c r="AM452" t="s">
        <v>134</v>
      </c>
      <c r="AN452" t="s">
        <v>134</v>
      </c>
      <c r="AO452" t="s">
        <v>134</v>
      </c>
      <c r="AP452" t="s">
        <v>134</v>
      </c>
      <c r="AQ452" t="s">
        <v>134</v>
      </c>
      <c r="AR452" t="s">
        <v>134</v>
      </c>
      <c r="AS452" t="s">
        <v>134</v>
      </c>
      <c r="AT452" t="s">
        <v>134</v>
      </c>
      <c r="AU452" t="s">
        <v>134</v>
      </c>
      <c r="AV452" t="s">
        <v>134</v>
      </c>
      <c r="AW452" t="s">
        <v>134</v>
      </c>
      <c r="AX452" t="s">
        <v>134</v>
      </c>
      <c r="AY452" t="s">
        <v>134</v>
      </c>
      <c r="AZ452" t="s">
        <v>134</v>
      </c>
      <c r="BA452" t="s">
        <v>134</v>
      </c>
      <c r="BB452" t="s">
        <v>134</v>
      </c>
      <c r="BC452" t="s">
        <v>134</v>
      </c>
      <c r="BD452" t="s">
        <v>134</v>
      </c>
      <c r="BE452" t="s">
        <v>134</v>
      </c>
      <c r="BF452" t="s">
        <v>134</v>
      </c>
      <c r="BG452" t="s">
        <v>134</v>
      </c>
      <c r="BH452" t="s">
        <v>134</v>
      </c>
      <c r="BI452" t="s">
        <v>134</v>
      </c>
      <c r="BJ452" t="s">
        <v>134</v>
      </c>
      <c r="BK452" t="s">
        <v>134</v>
      </c>
      <c r="BL452" t="s">
        <v>134</v>
      </c>
      <c r="BM452" t="s">
        <v>134</v>
      </c>
      <c r="BN452" t="s">
        <v>134</v>
      </c>
      <c r="BO452" t="s">
        <v>134</v>
      </c>
      <c r="BP452" t="s">
        <v>134</v>
      </c>
      <c r="BQ452" t="s">
        <v>134</v>
      </c>
      <c r="BR452" t="s">
        <v>134</v>
      </c>
      <c r="BS452" t="s">
        <v>134</v>
      </c>
      <c r="BT452" t="s">
        <v>134</v>
      </c>
      <c r="BU452" t="s">
        <v>134</v>
      </c>
      <c r="BV452" t="s">
        <v>134</v>
      </c>
      <c r="BW452" t="s">
        <v>134</v>
      </c>
      <c r="BX452" t="s">
        <v>134</v>
      </c>
      <c r="BY452" t="s">
        <v>134</v>
      </c>
      <c r="BZ452" t="s">
        <v>134</v>
      </c>
      <c r="CA452" t="s">
        <v>134</v>
      </c>
      <c r="CB452" t="s">
        <v>134</v>
      </c>
      <c r="CC452" t="s">
        <v>134</v>
      </c>
      <c r="CD452" t="s">
        <v>134</v>
      </c>
      <c r="CE452" t="s">
        <v>134</v>
      </c>
      <c r="CF452" t="s">
        <v>134</v>
      </c>
      <c r="CG452" t="s">
        <v>134</v>
      </c>
      <c r="CH452" t="s">
        <v>134</v>
      </c>
      <c r="CI452" t="s">
        <v>134</v>
      </c>
      <c r="CJ452" t="s">
        <v>134</v>
      </c>
      <c r="CK452" t="s">
        <v>134</v>
      </c>
      <c r="CL452" t="s">
        <v>134</v>
      </c>
      <c r="CM452" t="s">
        <v>134</v>
      </c>
      <c r="CN452" t="s">
        <v>134</v>
      </c>
      <c r="CO452" t="s">
        <v>134</v>
      </c>
      <c r="CP452" t="s">
        <v>134</v>
      </c>
      <c r="CQ452" t="s">
        <v>134</v>
      </c>
      <c r="CR452" t="s">
        <v>134</v>
      </c>
      <c r="CS452" t="s">
        <v>134</v>
      </c>
      <c r="CT452" t="s">
        <v>134</v>
      </c>
      <c r="CU452" t="s">
        <v>134</v>
      </c>
      <c r="CV452" t="s">
        <v>134</v>
      </c>
      <c r="CW452" t="s">
        <v>134</v>
      </c>
      <c r="CX452" t="s">
        <v>134</v>
      </c>
      <c r="CY452" t="s">
        <v>134</v>
      </c>
      <c r="CZ452" t="s">
        <v>134</v>
      </c>
      <c r="DA452" t="s">
        <v>134</v>
      </c>
      <c r="DB452" t="s">
        <v>134</v>
      </c>
      <c r="DC452" t="s">
        <v>134</v>
      </c>
      <c r="DD452" t="s">
        <v>134</v>
      </c>
      <c r="DE452" t="s">
        <v>134</v>
      </c>
      <c r="DF452" t="s">
        <v>134</v>
      </c>
      <c r="DG452" t="s">
        <v>134</v>
      </c>
      <c r="DH452" t="s">
        <v>134</v>
      </c>
      <c r="DI452" t="s">
        <v>134</v>
      </c>
    </row>
    <row r="453" spans="1:113" x14ac:dyDescent="0.3">
      <c r="A453">
        <v>69</v>
      </c>
      <c r="B453" t="s">
        <v>46</v>
      </c>
      <c r="C453" t="s">
        <v>47</v>
      </c>
      <c r="D453" t="s">
        <v>2</v>
      </c>
      <c r="E453" t="s">
        <v>3</v>
      </c>
      <c r="F453">
        <v>13.510899999999999</v>
      </c>
      <c r="G453">
        <v>6.0217000000000001</v>
      </c>
      <c r="H453">
        <v>10.1287</v>
      </c>
      <c r="I453">
        <v>7.1916000000000002</v>
      </c>
      <c r="J453">
        <v>24.963799999999999</v>
      </c>
      <c r="K453">
        <v>18.883600000000001</v>
      </c>
      <c r="L453">
        <v>11.895</v>
      </c>
      <c r="M453">
        <v>18.464700000000001</v>
      </c>
      <c r="N453">
        <v>14.5357</v>
      </c>
      <c r="O453">
        <v>14.536</v>
      </c>
      <c r="P453">
        <v>14.536</v>
      </c>
      <c r="Q453">
        <v>21.278600000000001</v>
      </c>
      <c r="R453">
        <v>41.575899999999997</v>
      </c>
      <c r="S453">
        <v>7.8936000000000002</v>
      </c>
      <c r="T453">
        <v>11.103</v>
      </c>
      <c r="U453">
        <v>10.614699999999999</v>
      </c>
      <c r="V453">
        <v>6.7179000000000002</v>
      </c>
      <c r="W453">
        <v>-9.4289000000000005</v>
      </c>
      <c r="X453">
        <v>-9.4303000000000008</v>
      </c>
      <c r="Y453">
        <v>27.777799999999999</v>
      </c>
      <c r="Z453">
        <v>10.3264</v>
      </c>
      <c r="AA453">
        <v>30.8734</v>
      </c>
      <c r="AB453">
        <v>16.629899999999999</v>
      </c>
      <c r="AC453">
        <v>11.9351</v>
      </c>
      <c r="AD453">
        <v>9.9133999999999993</v>
      </c>
      <c r="AE453">
        <v>-17.0886</v>
      </c>
      <c r="AF453">
        <v>26.702999999999999</v>
      </c>
      <c r="AG453">
        <v>1.3996999999999999</v>
      </c>
      <c r="AH453">
        <v>15.6722</v>
      </c>
      <c r="AI453">
        <v>7.1717000000000004</v>
      </c>
      <c r="AJ453">
        <v>11.0959</v>
      </c>
      <c r="AK453">
        <v>7.1848000000000001</v>
      </c>
      <c r="AL453">
        <v>-9.3317999999999994</v>
      </c>
      <c r="AM453">
        <v>12.956899999999999</v>
      </c>
      <c r="AN453">
        <v>12.645099999999999</v>
      </c>
      <c r="AO453">
        <v>12.2761</v>
      </c>
      <c r="AP453">
        <v>7.1006</v>
      </c>
      <c r="AQ453">
        <v>7.1101999999999999</v>
      </c>
      <c r="AR453">
        <v>9.8178999999999998</v>
      </c>
      <c r="AS453">
        <v>11.9849</v>
      </c>
      <c r="AT453">
        <v>12.2417</v>
      </c>
      <c r="AU453">
        <v>15.9087</v>
      </c>
      <c r="AV453">
        <v>12.495900000000001</v>
      </c>
      <c r="AW453">
        <v>26.184000000000001</v>
      </c>
      <c r="AX453">
        <v>-3.8938999999999999</v>
      </c>
      <c r="AY453">
        <v>6.0857999999999999</v>
      </c>
      <c r="AZ453">
        <v>19.090499999999999</v>
      </c>
      <c r="BA453">
        <v>15.9756</v>
      </c>
      <c r="BB453">
        <v>8.8582999999999998</v>
      </c>
      <c r="BC453">
        <v>11.944800000000001</v>
      </c>
      <c r="BD453">
        <v>8.7523</v>
      </c>
      <c r="BE453">
        <v>7.8822000000000001</v>
      </c>
      <c r="BF453">
        <v>11.103</v>
      </c>
      <c r="BG453">
        <v>10.614699999999999</v>
      </c>
      <c r="BH453">
        <v>6.7179000000000002</v>
      </c>
      <c r="BI453">
        <v>-9.4289000000000005</v>
      </c>
      <c r="BJ453">
        <v>-9.4303000000000008</v>
      </c>
      <c r="BK453">
        <v>27.777799999999999</v>
      </c>
      <c r="BL453">
        <v>10.3264</v>
      </c>
      <c r="BM453">
        <v>30.8734</v>
      </c>
      <c r="BN453">
        <v>16.629899999999999</v>
      </c>
      <c r="BO453">
        <v>11.9351</v>
      </c>
      <c r="BP453">
        <v>9.9133999999999993</v>
      </c>
      <c r="BQ453">
        <v>-17.0886</v>
      </c>
      <c r="BR453">
        <v>26.702999999999999</v>
      </c>
      <c r="BS453">
        <v>1.3996999999999999</v>
      </c>
      <c r="BT453">
        <v>15.6722</v>
      </c>
      <c r="BU453">
        <v>7.1717000000000004</v>
      </c>
      <c r="BV453">
        <v>11.0959</v>
      </c>
      <c r="BW453">
        <v>7.1848000000000001</v>
      </c>
      <c r="BX453">
        <v>-9.3317999999999994</v>
      </c>
      <c r="BY453">
        <v>814549.8</v>
      </c>
      <c r="BZ453">
        <v>59126.8</v>
      </c>
      <c r="CA453">
        <v>755423</v>
      </c>
      <c r="CB453">
        <v>4.1592000000000002</v>
      </c>
      <c r="CC453">
        <v>3.2050000000000001</v>
      </c>
      <c r="CD453">
        <v>5.4984000000000002</v>
      </c>
      <c r="CE453">
        <v>4.2369000000000003</v>
      </c>
      <c r="CF453">
        <v>3.1436999999999999</v>
      </c>
      <c r="CG453">
        <v>43.656100000000002</v>
      </c>
      <c r="CH453">
        <v>85.833600000000004</v>
      </c>
      <c r="CI453">
        <v>44.576900000000002</v>
      </c>
      <c r="CJ453">
        <v>37.763599999999997</v>
      </c>
      <c r="CK453">
        <v>92.5518</v>
      </c>
      <c r="CL453">
        <v>48.065899999999999</v>
      </c>
      <c r="CM453">
        <v>40.7194</v>
      </c>
      <c r="CN453">
        <v>71.318299999999994</v>
      </c>
      <c r="CO453">
        <v>41.629100000000001</v>
      </c>
      <c r="CP453">
        <v>195843.20000000001</v>
      </c>
      <c r="CQ453">
        <v>6358.7</v>
      </c>
      <c r="CR453">
        <v>148143.29999999999</v>
      </c>
      <c r="CS453">
        <v>0.63009999999999999</v>
      </c>
      <c r="CT453">
        <v>1.4964999999999999</v>
      </c>
      <c r="CU453">
        <v>0.85680000000000001</v>
      </c>
      <c r="CV453">
        <v>1.2636000000000001</v>
      </c>
      <c r="CW453">
        <v>12.2371</v>
      </c>
      <c r="CX453">
        <v>29.827300000000001</v>
      </c>
      <c r="CY453">
        <v>0.47470000000000001</v>
      </c>
      <c r="CZ453">
        <v>768.90269999999998</v>
      </c>
      <c r="DA453">
        <v>0.58989999999999998</v>
      </c>
      <c r="DB453">
        <v>618.70830000000001</v>
      </c>
      <c r="DC453">
        <v>180.02170000000001</v>
      </c>
      <c r="DD453">
        <v>798.73</v>
      </c>
      <c r="DE453">
        <v>59884.800000000003</v>
      </c>
      <c r="DF453">
        <v>24203.5</v>
      </c>
      <c r="DG453">
        <v>0</v>
      </c>
      <c r="DH453">
        <v>2182.1999999999998</v>
      </c>
      <c r="DI453">
        <v>33499.1</v>
      </c>
    </row>
    <row r="454" spans="1:113" x14ac:dyDescent="0.3">
      <c r="E454" t="s">
        <v>4</v>
      </c>
      <c r="F454" t="s">
        <v>134</v>
      </c>
      <c r="G454" t="s">
        <v>134</v>
      </c>
      <c r="H454" t="s">
        <v>134</v>
      </c>
      <c r="I454" t="s">
        <v>134</v>
      </c>
      <c r="J454" t="s">
        <v>134</v>
      </c>
      <c r="K454" t="s">
        <v>134</v>
      </c>
      <c r="L454" t="s">
        <v>134</v>
      </c>
      <c r="M454" t="s">
        <v>134</v>
      </c>
      <c r="N454" t="s">
        <v>134</v>
      </c>
      <c r="O454" t="s">
        <v>134</v>
      </c>
      <c r="P454" t="s">
        <v>134</v>
      </c>
      <c r="Q454" t="s">
        <v>134</v>
      </c>
      <c r="R454" t="s">
        <v>134</v>
      </c>
      <c r="S454" t="s">
        <v>134</v>
      </c>
      <c r="T454" t="s">
        <v>134</v>
      </c>
      <c r="U454" t="s">
        <v>134</v>
      </c>
      <c r="V454" t="s">
        <v>134</v>
      </c>
      <c r="W454" t="s">
        <v>134</v>
      </c>
      <c r="X454" t="s">
        <v>134</v>
      </c>
      <c r="Y454" t="s">
        <v>134</v>
      </c>
      <c r="Z454" t="s">
        <v>134</v>
      </c>
      <c r="AA454" t="s">
        <v>134</v>
      </c>
      <c r="AB454" t="s">
        <v>134</v>
      </c>
      <c r="AC454" t="s">
        <v>134</v>
      </c>
      <c r="AD454" t="s">
        <v>134</v>
      </c>
      <c r="AE454" t="s">
        <v>134</v>
      </c>
      <c r="AF454" t="s">
        <v>134</v>
      </c>
      <c r="AG454" t="s">
        <v>134</v>
      </c>
      <c r="AH454" t="s">
        <v>134</v>
      </c>
      <c r="AI454" t="s">
        <v>134</v>
      </c>
      <c r="AJ454" t="s">
        <v>134</v>
      </c>
      <c r="AK454" t="s">
        <v>134</v>
      </c>
      <c r="AL454" t="s">
        <v>134</v>
      </c>
      <c r="AM454" t="s">
        <v>134</v>
      </c>
      <c r="AN454" t="s">
        <v>134</v>
      </c>
      <c r="AO454" t="s">
        <v>134</v>
      </c>
      <c r="AP454" t="s">
        <v>134</v>
      </c>
      <c r="AQ454" t="s">
        <v>134</v>
      </c>
      <c r="AR454" t="s">
        <v>134</v>
      </c>
      <c r="AS454" t="s">
        <v>134</v>
      </c>
      <c r="AT454" t="s">
        <v>134</v>
      </c>
      <c r="AU454" t="s">
        <v>134</v>
      </c>
      <c r="AV454" t="s">
        <v>134</v>
      </c>
      <c r="AW454" t="s">
        <v>134</v>
      </c>
      <c r="AX454" t="s">
        <v>134</v>
      </c>
      <c r="AY454" t="s">
        <v>134</v>
      </c>
      <c r="AZ454" t="s">
        <v>134</v>
      </c>
      <c r="BA454" t="s">
        <v>134</v>
      </c>
      <c r="BB454" t="s">
        <v>134</v>
      </c>
      <c r="BC454" t="s">
        <v>134</v>
      </c>
      <c r="BD454" t="s">
        <v>134</v>
      </c>
      <c r="BE454" t="s">
        <v>134</v>
      </c>
      <c r="BF454" t="s">
        <v>134</v>
      </c>
      <c r="BG454" t="s">
        <v>134</v>
      </c>
      <c r="BH454" t="s">
        <v>134</v>
      </c>
      <c r="BI454" t="s">
        <v>134</v>
      </c>
      <c r="BJ454" t="s">
        <v>134</v>
      </c>
      <c r="BK454" t="s">
        <v>134</v>
      </c>
      <c r="BL454" t="s">
        <v>134</v>
      </c>
      <c r="BM454" t="s">
        <v>134</v>
      </c>
      <c r="BN454" t="s">
        <v>134</v>
      </c>
      <c r="BO454" t="s">
        <v>134</v>
      </c>
      <c r="BP454" t="s">
        <v>134</v>
      </c>
      <c r="BQ454" t="s">
        <v>134</v>
      </c>
      <c r="BR454" t="s">
        <v>134</v>
      </c>
      <c r="BS454" t="s">
        <v>134</v>
      </c>
      <c r="BT454" t="s">
        <v>134</v>
      </c>
      <c r="BU454" t="s">
        <v>134</v>
      </c>
      <c r="BV454" t="s">
        <v>134</v>
      </c>
      <c r="BW454" t="s">
        <v>134</v>
      </c>
      <c r="BX454" t="s">
        <v>134</v>
      </c>
      <c r="BY454" t="s">
        <v>134</v>
      </c>
      <c r="BZ454" t="s">
        <v>134</v>
      </c>
      <c r="CA454" t="s">
        <v>134</v>
      </c>
      <c r="CB454" t="s">
        <v>134</v>
      </c>
      <c r="CC454" t="s">
        <v>134</v>
      </c>
      <c r="CD454" t="s">
        <v>134</v>
      </c>
      <c r="CE454" t="s">
        <v>134</v>
      </c>
      <c r="CF454" t="s">
        <v>134</v>
      </c>
      <c r="CG454" t="s">
        <v>134</v>
      </c>
      <c r="CH454" t="s">
        <v>134</v>
      </c>
      <c r="CI454" t="s">
        <v>134</v>
      </c>
      <c r="CJ454" t="s">
        <v>134</v>
      </c>
      <c r="CK454" t="s">
        <v>134</v>
      </c>
      <c r="CL454" t="s">
        <v>134</v>
      </c>
      <c r="CM454" t="s">
        <v>134</v>
      </c>
      <c r="CN454" t="s">
        <v>134</v>
      </c>
      <c r="CO454" t="s">
        <v>134</v>
      </c>
      <c r="CP454" t="s">
        <v>134</v>
      </c>
      <c r="CQ454" t="s">
        <v>134</v>
      </c>
      <c r="CR454" t="s">
        <v>134</v>
      </c>
      <c r="CS454" t="s">
        <v>134</v>
      </c>
      <c r="CT454" t="s">
        <v>134</v>
      </c>
      <c r="CU454" t="s">
        <v>134</v>
      </c>
      <c r="CV454" t="s">
        <v>134</v>
      </c>
      <c r="CW454" t="s">
        <v>134</v>
      </c>
      <c r="CX454" t="s">
        <v>134</v>
      </c>
      <c r="CY454" t="s">
        <v>134</v>
      </c>
      <c r="CZ454" t="s">
        <v>134</v>
      </c>
      <c r="DA454" t="s">
        <v>134</v>
      </c>
      <c r="DB454" t="s">
        <v>134</v>
      </c>
      <c r="DC454" t="s">
        <v>134</v>
      </c>
      <c r="DD454" t="s">
        <v>134</v>
      </c>
      <c r="DE454" t="s">
        <v>134</v>
      </c>
      <c r="DF454" t="s">
        <v>134</v>
      </c>
      <c r="DG454" t="s">
        <v>134</v>
      </c>
      <c r="DH454" t="s">
        <v>134</v>
      </c>
      <c r="DI454" t="s">
        <v>134</v>
      </c>
    </row>
    <row r="455" spans="1:113" x14ac:dyDescent="0.3">
      <c r="E455" t="s">
        <v>5</v>
      </c>
      <c r="F455" t="s">
        <v>134</v>
      </c>
      <c r="G455" t="s">
        <v>134</v>
      </c>
      <c r="H455" t="s">
        <v>134</v>
      </c>
      <c r="I455" t="s">
        <v>134</v>
      </c>
      <c r="J455" t="s">
        <v>134</v>
      </c>
      <c r="K455" t="s">
        <v>134</v>
      </c>
      <c r="L455" t="s">
        <v>134</v>
      </c>
      <c r="M455" t="s">
        <v>134</v>
      </c>
      <c r="N455" t="s">
        <v>134</v>
      </c>
      <c r="O455" t="s">
        <v>134</v>
      </c>
      <c r="P455" t="s">
        <v>134</v>
      </c>
      <c r="Q455" t="s">
        <v>134</v>
      </c>
      <c r="R455" t="s">
        <v>134</v>
      </c>
      <c r="S455" t="s">
        <v>134</v>
      </c>
      <c r="T455" t="s">
        <v>134</v>
      </c>
      <c r="U455" t="s">
        <v>134</v>
      </c>
      <c r="V455" t="s">
        <v>134</v>
      </c>
      <c r="W455" t="s">
        <v>134</v>
      </c>
      <c r="X455" t="s">
        <v>134</v>
      </c>
      <c r="Y455" t="s">
        <v>134</v>
      </c>
      <c r="Z455" t="s">
        <v>134</v>
      </c>
      <c r="AA455" t="s">
        <v>134</v>
      </c>
      <c r="AB455" t="s">
        <v>134</v>
      </c>
      <c r="AC455" t="s">
        <v>134</v>
      </c>
      <c r="AD455" t="s">
        <v>134</v>
      </c>
      <c r="AE455" t="s">
        <v>134</v>
      </c>
      <c r="AF455" t="s">
        <v>134</v>
      </c>
      <c r="AG455" t="s">
        <v>134</v>
      </c>
      <c r="AH455" t="s">
        <v>134</v>
      </c>
      <c r="AI455" t="s">
        <v>134</v>
      </c>
      <c r="AJ455" t="s">
        <v>134</v>
      </c>
      <c r="AK455" t="s">
        <v>134</v>
      </c>
      <c r="AL455" t="s">
        <v>134</v>
      </c>
      <c r="AM455" t="s">
        <v>134</v>
      </c>
      <c r="AN455" t="s">
        <v>134</v>
      </c>
      <c r="AO455" t="s">
        <v>134</v>
      </c>
      <c r="AP455" t="s">
        <v>134</v>
      </c>
      <c r="AQ455" t="s">
        <v>134</v>
      </c>
      <c r="AR455" t="s">
        <v>134</v>
      </c>
      <c r="AS455" t="s">
        <v>134</v>
      </c>
      <c r="AT455" t="s">
        <v>134</v>
      </c>
      <c r="AU455" t="s">
        <v>134</v>
      </c>
      <c r="AV455" t="s">
        <v>134</v>
      </c>
      <c r="AW455" t="s">
        <v>134</v>
      </c>
      <c r="AX455" t="s">
        <v>134</v>
      </c>
      <c r="AY455" t="s">
        <v>134</v>
      </c>
      <c r="AZ455" t="s">
        <v>134</v>
      </c>
      <c r="BA455" t="s">
        <v>134</v>
      </c>
      <c r="BB455" t="s">
        <v>134</v>
      </c>
      <c r="BC455" t="s">
        <v>134</v>
      </c>
      <c r="BD455" t="s">
        <v>134</v>
      </c>
      <c r="BE455" t="s">
        <v>134</v>
      </c>
      <c r="BF455" t="s">
        <v>134</v>
      </c>
      <c r="BG455" t="s">
        <v>134</v>
      </c>
      <c r="BH455" t="s">
        <v>134</v>
      </c>
      <c r="BI455" t="s">
        <v>134</v>
      </c>
      <c r="BJ455" t="s">
        <v>134</v>
      </c>
      <c r="BK455" t="s">
        <v>134</v>
      </c>
      <c r="BL455" t="s">
        <v>134</v>
      </c>
      <c r="BM455" t="s">
        <v>134</v>
      </c>
      <c r="BN455" t="s">
        <v>134</v>
      </c>
      <c r="BO455" t="s">
        <v>134</v>
      </c>
      <c r="BP455" t="s">
        <v>134</v>
      </c>
      <c r="BQ455" t="s">
        <v>134</v>
      </c>
      <c r="BR455" t="s">
        <v>134</v>
      </c>
      <c r="BS455" t="s">
        <v>134</v>
      </c>
      <c r="BT455" t="s">
        <v>134</v>
      </c>
      <c r="BU455" t="s">
        <v>134</v>
      </c>
      <c r="BV455" t="s">
        <v>134</v>
      </c>
      <c r="BW455" t="s">
        <v>134</v>
      </c>
      <c r="BX455" t="s">
        <v>134</v>
      </c>
      <c r="BY455" t="s">
        <v>134</v>
      </c>
      <c r="BZ455" t="s">
        <v>134</v>
      </c>
      <c r="CA455" t="s">
        <v>134</v>
      </c>
      <c r="CB455" t="s">
        <v>134</v>
      </c>
      <c r="CC455" t="s">
        <v>134</v>
      </c>
      <c r="CD455" t="s">
        <v>134</v>
      </c>
      <c r="CE455" t="s">
        <v>134</v>
      </c>
      <c r="CF455" t="s">
        <v>134</v>
      </c>
      <c r="CG455" t="s">
        <v>134</v>
      </c>
      <c r="CH455" t="s">
        <v>134</v>
      </c>
      <c r="CI455" t="s">
        <v>134</v>
      </c>
      <c r="CJ455" t="s">
        <v>134</v>
      </c>
      <c r="CK455" t="s">
        <v>134</v>
      </c>
      <c r="CL455" t="s">
        <v>134</v>
      </c>
      <c r="CM455" t="s">
        <v>134</v>
      </c>
      <c r="CN455" t="s">
        <v>134</v>
      </c>
      <c r="CO455" t="s">
        <v>134</v>
      </c>
      <c r="CP455" t="s">
        <v>134</v>
      </c>
      <c r="CQ455" t="s">
        <v>134</v>
      </c>
      <c r="CR455" t="s">
        <v>134</v>
      </c>
      <c r="CS455" t="s">
        <v>134</v>
      </c>
      <c r="CT455" t="s">
        <v>134</v>
      </c>
      <c r="CU455" t="s">
        <v>134</v>
      </c>
      <c r="CV455" t="s">
        <v>134</v>
      </c>
      <c r="CW455" t="s">
        <v>134</v>
      </c>
      <c r="CX455" t="s">
        <v>134</v>
      </c>
      <c r="CY455" t="s">
        <v>134</v>
      </c>
      <c r="CZ455" t="s">
        <v>134</v>
      </c>
      <c r="DA455" t="s">
        <v>134</v>
      </c>
      <c r="DB455" t="s">
        <v>134</v>
      </c>
      <c r="DC455" t="s">
        <v>134</v>
      </c>
      <c r="DD455" t="s">
        <v>134</v>
      </c>
      <c r="DE455" t="s">
        <v>134</v>
      </c>
      <c r="DF455" t="s">
        <v>134</v>
      </c>
      <c r="DG455" t="s">
        <v>134</v>
      </c>
      <c r="DH455" t="s">
        <v>134</v>
      </c>
      <c r="DI455" t="s">
        <v>134</v>
      </c>
    </row>
    <row r="456" spans="1:113" x14ac:dyDescent="0.3">
      <c r="E456" t="s">
        <v>6</v>
      </c>
      <c r="F456" t="s">
        <v>134</v>
      </c>
      <c r="G456" t="s">
        <v>134</v>
      </c>
      <c r="H456" t="s">
        <v>134</v>
      </c>
      <c r="I456" t="s">
        <v>134</v>
      </c>
      <c r="J456" t="s">
        <v>134</v>
      </c>
      <c r="K456" t="s">
        <v>134</v>
      </c>
      <c r="L456" t="s">
        <v>134</v>
      </c>
      <c r="M456" t="s">
        <v>134</v>
      </c>
      <c r="N456" t="s">
        <v>134</v>
      </c>
      <c r="O456" t="s">
        <v>134</v>
      </c>
      <c r="P456" t="s">
        <v>134</v>
      </c>
      <c r="Q456" t="s">
        <v>134</v>
      </c>
      <c r="R456" t="s">
        <v>134</v>
      </c>
      <c r="S456" t="s">
        <v>134</v>
      </c>
      <c r="T456" t="s">
        <v>134</v>
      </c>
      <c r="U456" t="s">
        <v>134</v>
      </c>
      <c r="V456" t="s">
        <v>134</v>
      </c>
      <c r="W456" t="s">
        <v>134</v>
      </c>
      <c r="X456" t="s">
        <v>134</v>
      </c>
      <c r="Y456" t="s">
        <v>134</v>
      </c>
      <c r="Z456" t="s">
        <v>134</v>
      </c>
      <c r="AA456" t="s">
        <v>134</v>
      </c>
      <c r="AB456" t="s">
        <v>134</v>
      </c>
      <c r="AC456" t="s">
        <v>134</v>
      </c>
      <c r="AD456" t="s">
        <v>134</v>
      </c>
      <c r="AE456" t="s">
        <v>134</v>
      </c>
      <c r="AF456" t="s">
        <v>134</v>
      </c>
      <c r="AG456" t="s">
        <v>134</v>
      </c>
      <c r="AH456" t="s">
        <v>134</v>
      </c>
      <c r="AI456" t="s">
        <v>134</v>
      </c>
      <c r="AJ456" t="s">
        <v>134</v>
      </c>
      <c r="AK456" t="s">
        <v>134</v>
      </c>
      <c r="AL456" t="s">
        <v>134</v>
      </c>
      <c r="AM456" t="s">
        <v>134</v>
      </c>
      <c r="AN456" t="s">
        <v>134</v>
      </c>
      <c r="AO456" t="s">
        <v>134</v>
      </c>
      <c r="AP456" t="s">
        <v>134</v>
      </c>
      <c r="AQ456" t="s">
        <v>134</v>
      </c>
      <c r="AR456" t="s">
        <v>134</v>
      </c>
      <c r="AS456" t="s">
        <v>134</v>
      </c>
      <c r="AT456" t="s">
        <v>134</v>
      </c>
      <c r="AU456" t="s">
        <v>134</v>
      </c>
      <c r="AV456" t="s">
        <v>134</v>
      </c>
      <c r="AW456" t="s">
        <v>134</v>
      </c>
      <c r="AX456" t="s">
        <v>134</v>
      </c>
      <c r="AY456" t="s">
        <v>134</v>
      </c>
      <c r="AZ456" t="s">
        <v>134</v>
      </c>
      <c r="BA456" t="s">
        <v>134</v>
      </c>
      <c r="BB456" t="s">
        <v>134</v>
      </c>
      <c r="BC456" t="s">
        <v>134</v>
      </c>
      <c r="BD456" t="s">
        <v>134</v>
      </c>
      <c r="BE456" t="s">
        <v>134</v>
      </c>
      <c r="BF456" t="s">
        <v>134</v>
      </c>
      <c r="BG456" t="s">
        <v>134</v>
      </c>
      <c r="BH456" t="s">
        <v>134</v>
      </c>
      <c r="BI456" t="s">
        <v>134</v>
      </c>
      <c r="BJ456" t="s">
        <v>134</v>
      </c>
      <c r="BK456" t="s">
        <v>134</v>
      </c>
      <c r="BL456" t="s">
        <v>134</v>
      </c>
      <c r="BM456" t="s">
        <v>134</v>
      </c>
      <c r="BN456" t="s">
        <v>134</v>
      </c>
      <c r="BO456" t="s">
        <v>134</v>
      </c>
      <c r="BP456" t="s">
        <v>134</v>
      </c>
      <c r="BQ456" t="s">
        <v>134</v>
      </c>
      <c r="BR456" t="s">
        <v>134</v>
      </c>
      <c r="BS456" t="s">
        <v>134</v>
      </c>
      <c r="BT456" t="s">
        <v>134</v>
      </c>
      <c r="BU456" t="s">
        <v>134</v>
      </c>
      <c r="BV456" t="s">
        <v>134</v>
      </c>
      <c r="BW456" t="s">
        <v>134</v>
      </c>
      <c r="BX456" t="s">
        <v>134</v>
      </c>
      <c r="BY456" t="s">
        <v>134</v>
      </c>
      <c r="BZ456" t="s">
        <v>134</v>
      </c>
      <c r="CA456" t="s">
        <v>134</v>
      </c>
      <c r="CB456" t="s">
        <v>134</v>
      </c>
      <c r="CC456" t="s">
        <v>134</v>
      </c>
      <c r="CD456" t="s">
        <v>134</v>
      </c>
      <c r="CE456" t="s">
        <v>134</v>
      </c>
      <c r="CF456" t="s">
        <v>134</v>
      </c>
      <c r="CG456" t="s">
        <v>134</v>
      </c>
      <c r="CH456" t="s">
        <v>134</v>
      </c>
      <c r="CI456" t="s">
        <v>134</v>
      </c>
      <c r="CJ456" t="s">
        <v>134</v>
      </c>
      <c r="CK456" t="s">
        <v>134</v>
      </c>
      <c r="CL456" t="s">
        <v>134</v>
      </c>
      <c r="CM456" t="s">
        <v>134</v>
      </c>
      <c r="CN456" t="s">
        <v>134</v>
      </c>
      <c r="CO456" t="s">
        <v>134</v>
      </c>
      <c r="CP456" t="s">
        <v>134</v>
      </c>
      <c r="CQ456" t="s">
        <v>134</v>
      </c>
      <c r="CR456" t="s">
        <v>134</v>
      </c>
      <c r="CS456" t="s">
        <v>134</v>
      </c>
      <c r="CT456" t="s">
        <v>134</v>
      </c>
      <c r="CU456" t="s">
        <v>134</v>
      </c>
      <c r="CV456" t="s">
        <v>134</v>
      </c>
      <c r="CW456" t="s">
        <v>134</v>
      </c>
      <c r="CX456" t="s">
        <v>134</v>
      </c>
      <c r="CY456" t="s">
        <v>134</v>
      </c>
      <c r="CZ456" t="s">
        <v>134</v>
      </c>
      <c r="DA456" t="s">
        <v>134</v>
      </c>
      <c r="DB456" t="s">
        <v>134</v>
      </c>
      <c r="DC456" t="s">
        <v>134</v>
      </c>
      <c r="DD456" t="s">
        <v>134</v>
      </c>
      <c r="DE456" t="s">
        <v>134</v>
      </c>
      <c r="DF456" t="s">
        <v>134</v>
      </c>
      <c r="DG456" t="s">
        <v>134</v>
      </c>
      <c r="DH456" t="s">
        <v>134</v>
      </c>
      <c r="DI456" t="s">
        <v>134</v>
      </c>
    </row>
    <row r="457" spans="1:113" x14ac:dyDescent="0.3">
      <c r="E457" t="s">
        <v>7</v>
      </c>
      <c r="F457" t="s">
        <v>134</v>
      </c>
      <c r="G457" t="s">
        <v>134</v>
      </c>
      <c r="H457" t="s">
        <v>134</v>
      </c>
      <c r="I457" t="s">
        <v>134</v>
      </c>
      <c r="J457" t="s">
        <v>134</v>
      </c>
      <c r="K457" t="s">
        <v>134</v>
      </c>
      <c r="L457" t="s">
        <v>134</v>
      </c>
      <c r="M457" t="s">
        <v>134</v>
      </c>
      <c r="N457" t="s">
        <v>134</v>
      </c>
      <c r="O457" t="s">
        <v>134</v>
      </c>
      <c r="P457" t="s">
        <v>134</v>
      </c>
      <c r="Q457" t="s">
        <v>134</v>
      </c>
      <c r="R457" t="s">
        <v>134</v>
      </c>
      <c r="S457" t="s">
        <v>134</v>
      </c>
      <c r="T457" t="s">
        <v>134</v>
      </c>
      <c r="U457" t="s">
        <v>134</v>
      </c>
      <c r="V457" t="s">
        <v>134</v>
      </c>
      <c r="W457" t="s">
        <v>134</v>
      </c>
      <c r="X457" t="s">
        <v>134</v>
      </c>
      <c r="Y457" t="s">
        <v>134</v>
      </c>
      <c r="Z457" t="s">
        <v>134</v>
      </c>
      <c r="AA457" t="s">
        <v>134</v>
      </c>
      <c r="AB457" t="s">
        <v>134</v>
      </c>
      <c r="AC457" t="s">
        <v>134</v>
      </c>
      <c r="AD457" t="s">
        <v>134</v>
      </c>
      <c r="AE457" t="s">
        <v>134</v>
      </c>
      <c r="AF457" t="s">
        <v>134</v>
      </c>
      <c r="AG457" t="s">
        <v>134</v>
      </c>
      <c r="AH457" t="s">
        <v>134</v>
      </c>
      <c r="AI457" t="s">
        <v>134</v>
      </c>
      <c r="AJ457" t="s">
        <v>134</v>
      </c>
      <c r="AK457" t="s">
        <v>134</v>
      </c>
      <c r="AL457" t="s">
        <v>134</v>
      </c>
      <c r="AM457" t="s">
        <v>134</v>
      </c>
      <c r="AN457" t="s">
        <v>134</v>
      </c>
      <c r="AO457" t="s">
        <v>134</v>
      </c>
      <c r="AP457" t="s">
        <v>134</v>
      </c>
      <c r="AQ457" t="s">
        <v>134</v>
      </c>
      <c r="AR457" t="s">
        <v>134</v>
      </c>
      <c r="AS457" t="s">
        <v>134</v>
      </c>
      <c r="AT457" t="s">
        <v>134</v>
      </c>
      <c r="AU457" t="s">
        <v>134</v>
      </c>
      <c r="AV457" t="s">
        <v>134</v>
      </c>
      <c r="AW457" t="s">
        <v>134</v>
      </c>
      <c r="AX457" t="s">
        <v>134</v>
      </c>
      <c r="AY457" t="s">
        <v>134</v>
      </c>
      <c r="AZ457" t="s">
        <v>134</v>
      </c>
      <c r="BA457" t="s">
        <v>134</v>
      </c>
      <c r="BB457" t="s">
        <v>134</v>
      </c>
      <c r="BC457" t="s">
        <v>134</v>
      </c>
      <c r="BD457" t="s">
        <v>134</v>
      </c>
      <c r="BE457" t="s">
        <v>134</v>
      </c>
      <c r="BF457" t="s">
        <v>134</v>
      </c>
      <c r="BG457" t="s">
        <v>134</v>
      </c>
      <c r="BH457" t="s">
        <v>134</v>
      </c>
      <c r="BI457" t="s">
        <v>134</v>
      </c>
      <c r="BJ457" t="s">
        <v>134</v>
      </c>
      <c r="BK457" t="s">
        <v>134</v>
      </c>
      <c r="BL457" t="s">
        <v>134</v>
      </c>
      <c r="BM457" t="s">
        <v>134</v>
      </c>
      <c r="BN457" t="s">
        <v>134</v>
      </c>
      <c r="BO457" t="s">
        <v>134</v>
      </c>
      <c r="BP457" t="s">
        <v>134</v>
      </c>
      <c r="BQ457" t="s">
        <v>134</v>
      </c>
      <c r="BR457" t="s">
        <v>134</v>
      </c>
      <c r="BS457" t="s">
        <v>134</v>
      </c>
      <c r="BT457" t="s">
        <v>134</v>
      </c>
      <c r="BU457" t="s">
        <v>134</v>
      </c>
      <c r="BV457" t="s">
        <v>134</v>
      </c>
      <c r="BW457" t="s">
        <v>134</v>
      </c>
      <c r="BX457" t="s">
        <v>134</v>
      </c>
      <c r="BY457" t="s">
        <v>134</v>
      </c>
      <c r="BZ457" t="s">
        <v>134</v>
      </c>
      <c r="CA457" t="s">
        <v>134</v>
      </c>
      <c r="CB457" t="s">
        <v>134</v>
      </c>
      <c r="CC457" t="s">
        <v>134</v>
      </c>
      <c r="CD457" t="s">
        <v>134</v>
      </c>
      <c r="CE457" t="s">
        <v>134</v>
      </c>
      <c r="CF457" t="s">
        <v>134</v>
      </c>
      <c r="CG457" t="s">
        <v>134</v>
      </c>
      <c r="CH457" t="s">
        <v>134</v>
      </c>
      <c r="CI457" t="s">
        <v>134</v>
      </c>
      <c r="CJ457" t="s">
        <v>134</v>
      </c>
      <c r="CK457" t="s">
        <v>134</v>
      </c>
      <c r="CL457" t="s">
        <v>134</v>
      </c>
      <c r="CM457" t="s">
        <v>134</v>
      </c>
      <c r="CN457" t="s">
        <v>134</v>
      </c>
      <c r="CO457" t="s">
        <v>134</v>
      </c>
      <c r="CP457" t="s">
        <v>134</v>
      </c>
      <c r="CQ457" t="s">
        <v>134</v>
      </c>
      <c r="CR457" t="s">
        <v>134</v>
      </c>
      <c r="CS457" t="s">
        <v>134</v>
      </c>
      <c r="CT457" t="s">
        <v>134</v>
      </c>
      <c r="CU457" t="s">
        <v>134</v>
      </c>
      <c r="CV457" t="s">
        <v>134</v>
      </c>
      <c r="CW457" t="s">
        <v>134</v>
      </c>
      <c r="CX457" t="s">
        <v>134</v>
      </c>
      <c r="CY457" t="s">
        <v>134</v>
      </c>
      <c r="CZ457" t="s">
        <v>134</v>
      </c>
      <c r="DA457" t="s">
        <v>134</v>
      </c>
      <c r="DB457" t="s">
        <v>134</v>
      </c>
      <c r="DC457" t="s">
        <v>134</v>
      </c>
      <c r="DD457" t="s">
        <v>134</v>
      </c>
      <c r="DE457" t="s">
        <v>134</v>
      </c>
      <c r="DF457" t="s">
        <v>134</v>
      </c>
      <c r="DG457" t="s">
        <v>134</v>
      </c>
      <c r="DH457" t="s">
        <v>134</v>
      </c>
      <c r="DI457" t="s">
        <v>134</v>
      </c>
    </row>
    <row r="458" spans="1:113" x14ac:dyDescent="0.3">
      <c r="D458" t="s">
        <v>8</v>
      </c>
      <c r="E458" t="s">
        <v>3</v>
      </c>
      <c r="F458">
        <v>11.788600000000001</v>
      </c>
      <c r="G458">
        <v>4.7597000000000005</v>
      </c>
      <c r="H458">
        <v>9.5508000000000006</v>
      </c>
      <c r="I458">
        <v>6.0461999999999998</v>
      </c>
      <c r="J458">
        <v>21.099299999999999</v>
      </c>
      <c r="K458">
        <v>14.1387</v>
      </c>
      <c r="L458" t="s">
        <v>134</v>
      </c>
      <c r="M458">
        <v>13.0794</v>
      </c>
      <c r="N458">
        <v>12.4992</v>
      </c>
      <c r="O458">
        <v>12.4917</v>
      </c>
      <c r="P458">
        <v>12.4917</v>
      </c>
      <c r="Q458">
        <v>4.4359999999999999</v>
      </c>
      <c r="R458">
        <v>20.641999999999999</v>
      </c>
      <c r="S458">
        <v>9.3552</v>
      </c>
      <c r="T458">
        <v>1.8671</v>
      </c>
      <c r="U458">
        <v>-13.947900000000001</v>
      </c>
      <c r="V458">
        <v>-23.7912</v>
      </c>
      <c r="W458">
        <v>-12.4283</v>
      </c>
      <c r="X458">
        <v>-12.4367</v>
      </c>
      <c r="Y458">
        <v>-56.521700000000003</v>
      </c>
      <c r="Z458">
        <v>37.531799999999997</v>
      </c>
      <c r="AA458">
        <v>33.129899999999999</v>
      </c>
      <c r="AB458">
        <v>15.4793</v>
      </c>
      <c r="AC458">
        <v>9.7632999999999992</v>
      </c>
      <c r="AD458">
        <v>84.233500000000006</v>
      </c>
      <c r="AE458">
        <v>-60.290900000000001</v>
      </c>
      <c r="AF458">
        <v>-1.6103000000000001</v>
      </c>
      <c r="AG458">
        <v>50.339300000000001</v>
      </c>
      <c r="AH458">
        <v>25.5319</v>
      </c>
      <c r="AI458">
        <v>-5.7131999999999996</v>
      </c>
      <c r="AJ458">
        <v>9.3049999999999997</v>
      </c>
      <c r="AK458">
        <v>-5.9954000000000001</v>
      </c>
      <c r="AL458">
        <v>-26.120100000000001</v>
      </c>
      <c r="AM458">
        <v>10.623200000000001</v>
      </c>
      <c r="AN458">
        <v>4.8113999999999999</v>
      </c>
      <c r="AO458">
        <v>1.5989</v>
      </c>
      <c r="AP458">
        <v>2.4739</v>
      </c>
      <c r="AQ458">
        <v>2.4683999999999999</v>
      </c>
      <c r="AR458">
        <v>-8.0332000000000008</v>
      </c>
      <c r="AS458">
        <v>5.49</v>
      </c>
      <c r="AT458">
        <v>17.676500000000001</v>
      </c>
      <c r="AU458">
        <v>15.787599999999999</v>
      </c>
      <c r="AV458">
        <v>12.497</v>
      </c>
      <c r="AW458">
        <v>17.452300000000001</v>
      </c>
      <c r="AX458">
        <v>-20.461300000000001</v>
      </c>
      <c r="AY458">
        <v>3.1436999999999999</v>
      </c>
      <c r="AZ458">
        <v>17.978100000000001</v>
      </c>
      <c r="BA458">
        <v>18.290900000000001</v>
      </c>
      <c r="BB458">
        <v>5.6955999999999998</v>
      </c>
      <c r="BC458">
        <v>11.5893</v>
      </c>
      <c r="BD458">
        <v>5.5623000000000005</v>
      </c>
      <c r="BE458">
        <v>-0.97740000000000005</v>
      </c>
      <c r="BF458">
        <v>1.8671</v>
      </c>
      <c r="BG458">
        <v>-13.947900000000001</v>
      </c>
      <c r="BH458">
        <v>-23.7912</v>
      </c>
      <c r="BI458">
        <v>-12.4283</v>
      </c>
      <c r="BJ458">
        <v>-12.4367</v>
      </c>
      <c r="BK458">
        <v>-56.521700000000003</v>
      </c>
      <c r="BL458">
        <v>37.531799999999997</v>
      </c>
      <c r="BM458">
        <v>33.129899999999999</v>
      </c>
      <c r="BN458">
        <v>15.4793</v>
      </c>
      <c r="BO458">
        <v>9.7632999999999992</v>
      </c>
      <c r="BP458">
        <v>84.233500000000006</v>
      </c>
      <c r="BQ458">
        <v>-60.290900000000001</v>
      </c>
      <c r="BR458">
        <v>-1.6103000000000001</v>
      </c>
      <c r="BS458">
        <v>50.339300000000001</v>
      </c>
      <c r="BT458">
        <v>25.5319</v>
      </c>
      <c r="BU458">
        <v>-5.7131999999999996</v>
      </c>
      <c r="BV458">
        <v>9.3049999999999997</v>
      </c>
      <c r="BW458">
        <v>-5.9954000000000001</v>
      </c>
      <c r="BX458">
        <v>-26.120100000000001</v>
      </c>
      <c r="BY458">
        <v>1022520</v>
      </c>
      <c r="BZ458">
        <v>88890.8</v>
      </c>
      <c r="CA458">
        <v>933629.2</v>
      </c>
      <c r="CB458">
        <v>6.0620000000000003</v>
      </c>
      <c r="CC458">
        <v>5.1052</v>
      </c>
      <c r="CD458">
        <v>9.0464000000000002</v>
      </c>
      <c r="CE458">
        <v>7.6185999999999998</v>
      </c>
      <c r="CF458">
        <v>2.3207</v>
      </c>
      <c r="CG458">
        <v>37.387500000000003</v>
      </c>
      <c r="CH458">
        <v>112.51</v>
      </c>
      <c r="CI458">
        <v>50.402700000000003</v>
      </c>
      <c r="CJ458">
        <v>42.519599999999997</v>
      </c>
      <c r="CK458">
        <v>123.22199999999999</v>
      </c>
      <c r="CL458">
        <v>55.201599999999999</v>
      </c>
      <c r="CM458">
        <v>46.567900000000002</v>
      </c>
      <c r="CN458">
        <v>103.7732</v>
      </c>
      <c r="CO458">
        <v>50.925800000000002</v>
      </c>
      <c r="CP458">
        <v>168676.3</v>
      </c>
      <c r="CQ458">
        <v>-23096.1</v>
      </c>
      <c r="CR458">
        <v>113030.2</v>
      </c>
      <c r="CS458">
        <v>0.44900000000000001</v>
      </c>
      <c r="CT458">
        <v>1.1626000000000001</v>
      </c>
      <c r="CU458">
        <v>0.70630000000000004</v>
      </c>
      <c r="CV458">
        <v>1.1023000000000001</v>
      </c>
      <c r="CW458">
        <v>10.0083</v>
      </c>
      <c r="CX458">
        <v>36.469799999999999</v>
      </c>
      <c r="CY458">
        <v>0.38879999999999998</v>
      </c>
      <c r="CZ458">
        <v>938.90599999999995</v>
      </c>
      <c r="DA458">
        <v>0.65559999999999996</v>
      </c>
      <c r="DB458">
        <v>556.7722</v>
      </c>
      <c r="DC458">
        <v>418.60359999999997</v>
      </c>
      <c r="DD458">
        <v>975.37580000000003</v>
      </c>
      <c r="DE458">
        <v>79724.600000000006</v>
      </c>
      <c r="DF458">
        <v>39264.800000000003</v>
      </c>
      <c r="DG458">
        <v>0</v>
      </c>
      <c r="DH458">
        <v>5138.8</v>
      </c>
      <c r="DI458">
        <v>35321</v>
      </c>
    </row>
    <row r="459" spans="1:113" x14ac:dyDescent="0.3">
      <c r="E459" t="s">
        <v>4</v>
      </c>
      <c r="F459" t="s">
        <v>134</v>
      </c>
      <c r="G459" t="s">
        <v>134</v>
      </c>
      <c r="H459" t="s">
        <v>134</v>
      </c>
      <c r="I459" t="s">
        <v>134</v>
      </c>
      <c r="J459" t="s">
        <v>134</v>
      </c>
      <c r="K459" t="s">
        <v>134</v>
      </c>
      <c r="L459" t="s">
        <v>134</v>
      </c>
      <c r="M459" t="s">
        <v>134</v>
      </c>
      <c r="N459" t="s">
        <v>134</v>
      </c>
      <c r="O459" t="s">
        <v>134</v>
      </c>
      <c r="P459" t="s">
        <v>134</v>
      </c>
      <c r="Q459" t="s">
        <v>134</v>
      </c>
      <c r="R459" t="s">
        <v>134</v>
      </c>
      <c r="S459" t="s">
        <v>134</v>
      </c>
      <c r="T459" t="s">
        <v>134</v>
      </c>
      <c r="U459" t="s">
        <v>134</v>
      </c>
      <c r="V459" t="s">
        <v>134</v>
      </c>
      <c r="W459" t="s">
        <v>134</v>
      </c>
      <c r="X459" t="s">
        <v>134</v>
      </c>
      <c r="Y459" t="s">
        <v>134</v>
      </c>
      <c r="Z459" t="s">
        <v>134</v>
      </c>
      <c r="AA459" t="s">
        <v>134</v>
      </c>
      <c r="AB459" t="s">
        <v>134</v>
      </c>
      <c r="AC459" t="s">
        <v>134</v>
      </c>
      <c r="AD459" t="s">
        <v>134</v>
      </c>
      <c r="AE459" t="s">
        <v>134</v>
      </c>
      <c r="AF459" t="s">
        <v>134</v>
      </c>
      <c r="AG459" t="s">
        <v>134</v>
      </c>
      <c r="AH459" t="s">
        <v>134</v>
      </c>
      <c r="AI459" t="s">
        <v>134</v>
      </c>
      <c r="AJ459" t="s">
        <v>134</v>
      </c>
      <c r="AK459" t="s">
        <v>134</v>
      </c>
      <c r="AL459" t="s">
        <v>134</v>
      </c>
      <c r="AM459" t="s">
        <v>134</v>
      </c>
      <c r="AN459" t="s">
        <v>134</v>
      </c>
      <c r="AO459" t="s">
        <v>134</v>
      </c>
      <c r="AP459" t="s">
        <v>134</v>
      </c>
      <c r="AQ459" t="s">
        <v>134</v>
      </c>
      <c r="AR459" t="s">
        <v>134</v>
      </c>
      <c r="AS459" t="s">
        <v>134</v>
      </c>
      <c r="AT459" t="s">
        <v>134</v>
      </c>
      <c r="AU459" t="s">
        <v>134</v>
      </c>
      <c r="AV459" t="s">
        <v>134</v>
      </c>
      <c r="AW459" t="s">
        <v>134</v>
      </c>
      <c r="AX459" t="s">
        <v>134</v>
      </c>
      <c r="AY459" t="s">
        <v>134</v>
      </c>
      <c r="AZ459" t="s">
        <v>134</v>
      </c>
      <c r="BA459" t="s">
        <v>134</v>
      </c>
      <c r="BB459" t="s">
        <v>134</v>
      </c>
      <c r="BC459" t="s">
        <v>134</v>
      </c>
      <c r="BD459" t="s">
        <v>134</v>
      </c>
      <c r="BE459" t="s">
        <v>134</v>
      </c>
      <c r="BF459" t="s">
        <v>134</v>
      </c>
      <c r="BG459" t="s">
        <v>134</v>
      </c>
      <c r="BH459" t="s">
        <v>134</v>
      </c>
      <c r="BI459" t="s">
        <v>134</v>
      </c>
      <c r="BJ459" t="s">
        <v>134</v>
      </c>
      <c r="BK459" t="s">
        <v>134</v>
      </c>
      <c r="BL459" t="s">
        <v>134</v>
      </c>
      <c r="BM459" t="s">
        <v>134</v>
      </c>
      <c r="BN459" t="s">
        <v>134</v>
      </c>
      <c r="BO459" t="s">
        <v>134</v>
      </c>
      <c r="BP459" t="s">
        <v>134</v>
      </c>
      <c r="BQ459" t="s">
        <v>134</v>
      </c>
      <c r="BR459" t="s">
        <v>134</v>
      </c>
      <c r="BS459" t="s">
        <v>134</v>
      </c>
      <c r="BT459" t="s">
        <v>134</v>
      </c>
      <c r="BU459" t="s">
        <v>134</v>
      </c>
      <c r="BV459" t="s">
        <v>134</v>
      </c>
      <c r="BW459" t="s">
        <v>134</v>
      </c>
      <c r="BX459" t="s">
        <v>134</v>
      </c>
      <c r="BY459" t="s">
        <v>134</v>
      </c>
      <c r="BZ459" t="s">
        <v>134</v>
      </c>
      <c r="CA459" t="s">
        <v>134</v>
      </c>
      <c r="CB459" t="s">
        <v>134</v>
      </c>
      <c r="CC459" t="s">
        <v>134</v>
      </c>
      <c r="CD459" t="s">
        <v>134</v>
      </c>
      <c r="CE459" t="s">
        <v>134</v>
      </c>
      <c r="CF459" t="s">
        <v>134</v>
      </c>
      <c r="CG459" t="s">
        <v>134</v>
      </c>
      <c r="CH459" t="s">
        <v>134</v>
      </c>
      <c r="CI459" t="s">
        <v>134</v>
      </c>
      <c r="CJ459" t="s">
        <v>134</v>
      </c>
      <c r="CK459" t="s">
        <v>134</v>
      </c>
      <c r="CL459" t="s">
        <v>134</v>
      </c>
      <c r="CM459" t="s">
        <v>134</v>
      </c>
      <c r="CN459" t="s">
        <v>134</v>
      </c>
      <c r="CO459" t="s">
        <v>134</v>
      </c>
      <c r="CP459" t="s">
        <v>134</v>
      </c>
      <c r="CQ459" t="s">
        <v>134</v>
      </c>
      <c r="CR459" t="s">
        <v>134</v>
      </c>
      <c r="CS459" t="s">
        <v>134</v>
      </c>
      <c r="CT459" t="s">
        <v>134</v>
      </c>
      <c r="CU459" t="s">
        <v>134</v>
      </c>
      <c r="CV459" t="s">
        <v>134</v>
      </c>
      <c r="CW459" t="s">
        <v>134</v>
      </c>
      <c r="CX459" t="s">
        <v>134</v>
      </c>
      <c r="CY459" t="s">
        <v>134</v>
      </c>
      <c r="CZ459" t="s">
        <v>134</v>
      </c>
      <c r="DA459" t="s">
        <v>134</v>
      </c>
      <c r="DB459" t="s">
        <v>134</v>
      </c>
      <c r="DC459" t="s">
        <v>134</v>
      </c>
      <c r="DD459" t="s">
        <v>134</v>
      </c>
      <c r="DE459" t="s">
        <v>134</v>
      </c>
      <c r="DF459" t="s">
        <v>134</v>
      </c>
      <c r="DG459" t="s">
        <v>134</v>
      </c>
      <c r="DH459" t="s">
        <v>134</v>
      </c>
      <c r="DI459" t="s">
        <v>134</v>
      </c>
    </row>
    <row r="460" spans="1:113" x14ac:dyDescent="0.3">
      <c r="E460" t="s">
        <v>5</v>
      </c>
      <c r="F460" t="s">
        <v>134</v>
      </c>
      <c r="G460" t="s">
        <v>134</v>
      </c>
      <c r="H460" t="s">
        <v>134</v>
      </c>
      <c r="I460" t="s">
        <v>134</v>
      </c>
      <c r="J460" t="s">
        <v>134</v>
      </c>
      <c r="K460" t="s">
        <v>134</v>
      </c>
      <c r="L460" t="s">
        <v>134</v>
      </c>
      <c r="M460" t="s">
        <v>134</v>
      </c>
      <c r="N460" t="s">
        <v>134</v>
      </c>
      <c r="O460" t="s">
        <v>134</v>
      </c>
      <c r="P460" t="s">
        <v>134</v>
      </c>
      <c r="Q460" t="s">
        <v>134</v>
      </c>
      <c r="R460" t="s">
        <v>134</v>
      </c>
      <c r="S460" t="s">
        <v>134</v>
      </c>
      <c r="T460" t="s">
        <v>134</v>
      </c>
      <c r="U460" t="s">
        <v>134</v>
      </c>
      <c r="V460" t="s">
        <v>134</v>
      </c>
      <c r="W460" t="s">
        <v>134</v>
      </c>
      <c r="X460" t="s">
        <v>134</v>
      </c>
      <c r="Y460" t="s">
        <v>134</v>
      </c>
      <c r="Z460" t="s">
        <v>134</v>
      </c>
      <c r="AA460" t="s">
        <v>134</v>
      </c>
      <c r="AB460" t="s">
        <v>134</v>
      </c>
      <c r="AC460" t="s">
        <v>134</v>
      </c>
      <c r="AD460" t="s">
        <v>134</v>
      </c>
      <c r="AE460" t="s">
        <v>134</v>
      </c>
      <c r="AF460" t="s">
        <v>134</v>
      </c>
      <c r="AG460" t="s">
        <v>134</v>
      </c>
      <c r="AH460" t="s">
        <v>134</v>
      </c>
      <c r="AI460" t="s">
        <v>134</v>
      </c>
      <c r="AJ460" t="s">
        <v>134</v>
      </c>
      <c r="AK460" t="s">
        <v>134</v>
      </c>
      <c r="AL460" t="s">
        <v>134</v>
      </c>
      <c r="AM460" t="s">
        <v>134</v>
      </c>
      <c r="AN460" t="s">
        <v>134</v>
      </c>
      <c r="AO460" t="s">
        <v>134</v>
      </c>
      <c r="AP460" t="s">
        <v>134</v>
      </c>
      <c r="AQ460" t="s">
        <v>134</v>
      </c>
      <c r="AR460" t="s">
        <v>134</v>
      </c>
      <c r="AS460" t="s">
        <v>134</v>
      </c>
      <c r="AT460" t="s">
        <v>134</v>
      </c>
      <c r="AU460" t="s">
        <v>134</v>
      </c>
      <c r="AV460" t="s">
        <v>134</v>
      </c>
      <c r="AW460" t="s">
        <v>134</v>
      </c>
      <c r="AX460" t="s">
        <v>134</v>
      </c>
      <c r="AY460" t="s">
        <v>134</v>
      </c>
      <c r="AZ460" t="s">
        <v>134</v>
      </c>
      <c r="BA460" t="s">
        <v>134</v>
      </c>
      <c r="BB460" t="s">
        <v>134</v>
      </c>
      <c r="BC460" t="s">
        <v>134</v>
      </c>
      <c r="BD460" t="s">
        <v>134</v>
      </c>
      <c r="BE460" t="s">
        <v>134</v>
      </c>
      <c r="BF460" t="s">
        <v>134</v>
      </c>
      <c r="BG460" t="s">
        <v>134</v>
      </c>
      <c r="BH460" t="s">
        <v>134</v>
      </c>
      <c r="BI460" t="s">
        <v>134</v>
      </c>
      <c r="BJ460" t="s">
        <v>134</v>
      </c>
      <c r="BK460" t="s">
        <v>134</v>
      </c>
      <c r="BL460" t="s">
        <v>134</v>
      </c>
      <c r="BM460" t="s">
        <v>134</v>
      </c>
      <c r="BN460" t="s">
        <v>134</v>
      </c>
      <c r="BO460" t="s">
        <v>134</v>
      </c>
      <c r="BP460" t="s">
        <v>134</v>
      </c>
      <c r="BQ460" t="s">
        <v>134</v>
      </c>
      <c r="BR460" t="s">
        <v>134</v>
      </c>
      <c r="BS460" t="s">
        <v>134</v>
      </c>
      <c r="BT460" t="s">
        <v>134</v>
      </c>
      <c r="BU460" t="s">
        <v>134</v>
      </c>
      <c r="BV460" t="s">
        <v>134</v>
      </c>
      <c r="BW460" t="s">
        <v>134</v>
      </c>
      <c r="BX460" t="s">
        <v>134</v>
      </c>
      <c r="BY460" t="s">
        <v>134</v>
      </c>
      <c r="BZ460" t="s">
        <v>134</v>
      </c>
      <c r="CA460" t="s">
        <v>134</v>
      </c>
      <c r="CB460" t="s">
        <v>134</v>
      </c>
      <c r="CC460" t="s">
        <v>134</v>
      </c>
      <c r="CD460" t="s">
        <v>134</v>
      </c>
      <c r="CE460" t="s">
        <v>134</v>
      </c>
      <c r="CF460" t="s">
        <v>134</v>
      </c>
      <c r="CG460" t="s">
        <v>134</v>
      </c>
      <c r="CH460" t="s">
        <v>134</v>
      </c>
      <c r="CI460" t="s">
        <v>134</v>
      </c>
      <c r="CJ460" t="s">
        <v>134</v>
      </c>
      <c r="CK460" t="s">
        <v>134</v>
      </c>
      <c r="CL460" t="s">
        <v>134</v>
      </c>
      <c r="CM460" t="s">
        <v>134</v>
      </c>
      <c r="CN460" t="s">
        <v>134</v>
      </c>
      <c r="CO460" t="s">
        <v>134</v>
      </c>
      <c r="CP460" t="s">
        <v>134</v>
      </c>
      <c r="CQ460" t="s">
        <v>134</v>
      </c>
      <c r="CR460" t="s">
        <v>134</v>
      </c>
      <c r="CS460" t="s">
        <v>134</v>
      </c>
      <c r="CT460" t="s">
        <v>134</v>
      </c>
      <c r="CU460" t="s">
        <v>134</v>
      </c>
      <c r="CV460" t="s">
        <v>134</v>
      </c>
      <c r="CW460" t="s">
        <v>134</v>
      </c>
      <c r="CX460" t="s">
        <v>134</v>
      </c>
      <c r="CY460" t="s">
        <v>134</v>
      </c>
      <c r="CZ460" t="s">
        <v>134</v>
      </c>
      <c r="DA460" t="s">
        <v>134</v>
      </c>
      <c r="DB460" t="s">
        <v>134</v>
      </c>
      <c r="DC460" t="s">
        <v>134</v>
      </c>
      <c r="DD460" t="s">
        <v>134</v>
      </c>
      <c r="DE460" t="s">
        <v>134</v>
      </c>
      <c r="DF460" t="s">
        <v>134</v>
      </c>
      <c r="DG460" t="s">
        <v>134</v>
      </c>
      <c r="DH460" t="s">
        <v>134</v>
      </c>
      <c r="DI460" t="s">
        <v>134</v>
      </c>
    </row>
    <row r="461" spans="1:113" x14ac:dyDescent="0.3">
      <c r="E461" t="s">
        <v>6</v>
      </c>
      <c r="F461" t="s">
        <v>134</v>
      </c>
      <c r="G461" t="s">
        <v>134</v>
      </c>
      <c r="H461" t="s">
        <v>134</v>
      </c>
      <c r="I461" t="s">
        <v>134</v>
      </c>
      <c r="J461" t="s">
        <v>134</v>
      </c>
      <c r="K461" t="s">
        <v>134</v>
      </c>
      <c r="L461" t="s">
        <v>134</v>
      </c>
      <c r="M461" t="s">
        <v>134</v>
      </c>
      <c r="N461" t="s">
        <v>134</v>
      </c>
      <c r="O461" t="s">
        <v>134</v>
      </c>
      <c r="P461" t="s">
        <v>134</v>
      </c>
      <c r="Q461" t="s">
        <v>134</v>
      </c>
      <c r="R461" t="s">
        <v>134</v>
      </c>
      <c r="S461" t="s">
        <v>134</v>
      </c>
      <c r="T461" t="s">
        <v>134</v>
      </c>
      <c r="U461" t="s">
        <v>134</v>
      </c>
      <c r="V461" t="s">
        <v>134</v>
      </c>
      <c r="W461" t="s">
        <v>134</v>
      </c>
      <c r="X461" t="s">
        <v>134</v>
      </c>
      <c r="Y461" t="s">
        <v>134</v>
      </c>
      <c r="Z461" t="s">
        <v>134</v>
      </c>
      <c r="AA461" t="s">
        <v>134</v>
      </c>
      <c r="AB461" t="s">
        <v>134</v>
      </c>
      <c r="AC461" t="s">
        <v>134</v>
      </c>
      <c r="AD461" t="s">
        <v>134</v>
      </c>
      <c r="AE461" t="s">
        <v>134</v>
      </c>
      <c r="AF461" t="s">
        <v>134</v>
      </c>
      <c r="AG461" t="s">
        <v>134</v>
      </c>
      <c r="AH461" t="s">
        <v>134</v>
      </c>
      <c r="AI461" t="s">
        <v>134</v>
      </c>
      <c r="AJ461" t="s">
        <v>134</v>
      </c>
      <c r="AK461" t="s">
        <v>134</v>
      </c>
      <c r="AL461" t="s">
        <v>134</v>
      </c>
      <c r="AM461" t="s">
        <v>134</v>
      </c>
      <c r="AN461" t="s">
        <v>134</v>
      </c>
      <c r="AO461" t="s">
        <v>134</v>
      </c>
      <c r="AP461" t="s">
        <v>134</v>
      </c>
      <c r="AQ461" t="s">
        <v>134</v>
      </c>
      <c r="AR461" t="s">
        <v>134</v>
      </c>
      <c r="AS461" t="s">
        <v>134</v>
      </c>
      <c r="AT461" t="s">
        <v>134</v>
      </c>
      <c r="AU461" t="s">
        <v>134</v>
      </c>
      <c r="AV461" t="s">
        <v>134</v>
      </c>
      <c r="AW461" t="s">
        <v>134</v>
      </c>
      <c r="AX461" t="s">
        <v>134</v>
      </c>
      <c r="AY461" t="s">
        <v>134</v>
      </c>
      <c r="AZ461" t="s">
        <v>134</v>
      </c>
      <c r="BA461" t="s">
        <v>134</v>
      </c>
      <c r="BB461" t="s">
        <v>134</v>
      </c>
      <c r="BC461" t="s">
        <v>134</v>
      </c>
      <c r="BD461" t="s">
        <v>134</v>
      </c>
      <c r="BE461" t="s">
        <v>134</v>
      </c>
      <c r="BF461" t="s">
        <v>134</v>
      </c>
      <c r="BG461" t="s">
        <v>134</v>
      </c>
      <c r="BH461" t="s">
        <v>134</v>
      </c>
      <c r="BI461" t="s">
        <v>134</v>
      </c>
      <c r="BJ461" t="s">
        <v>134</v>
      </c>
      <c r="BK461" t="s">
        <v>134</v>
      </c>
      <c r="BL461" t="s">
        <v>134</v>
      </c>
      <c r="BM461" t="s">
        <v>134</v>
      </c>
      <c r="BN461" t="s">
        <v>134</v>
      </c>
      <c r="BO461" t="s">
        <v>134</v>
      </c>
      <c r="BP461" t="s">
        <v>134</v>
      </c>
      <c r="BQ461" t="s">
        <v>134</v>
      </c>
      <c r="BR461" t="s">
        <v>134</v>
      </c>
      <c r="BS461" t="s">
        <v>134</v>
      </c>
      <c r="BT461" t="s">
        <v>134</v>
      </c>
      <c r="BU461" t="s">
        <v>134</v>
      </c>
      <c r="BV461" t="s">
        <v>134</v>
      </c>
      <c r="BW461" t="s">
        <v>134</v>
      </c>
      <c r="BX461" t="s">
        <v>134</v>
      </c>
      <c r="BY461" t="s">
        <v>134</v>
      </c>
      <c r="BZ461" t="s">
        <v>134</v>
      </c>
      <c r="CA461" t="s">
        <v>134</v>
      </c>
      <c r="CB461" t="s">
        <v>134</v>
      </c>
      <c r="CC461" t="s">
        <v>134</v>
      </c>
      <c r="CD461" t="s">
        <v>134</v>
      </c>
      <c r="CE461" t="s">
        <v>134</v>
      </c>
      <c r="CF461" t="s">
        <v>134</v>
      </c>
      <c r="CG461" t="s">
        <v>134</v>
      </c>
      <c r="CH461" t="s">
        <v>134</v>
      </c>
      <c r="CI461" t="s">
        <v>134</v>
      </c>
      <c r="CJ461" t="s">
        <v>134</v>
      </c>
      <c r="CK461" t="s">
        <v>134</v>
      </c>
      <c r="CL461" t="s">
        <v>134</v>
      </c>
      <c r="CM461" t="s">
        <v>134</v>
      </c>
      <c r="CN461" t="s">
        <v>134</v>
      </c>
      <c r="CO461" t="s">
        <v>134</v>
      </c>
      <c r="CP461" t="s">
        <v>134</v>
      </c>
      <c r="CQ461" t="s">
        <v>134</v>
      </c>
      <c r="CR461" t="s">
        <v>134</v>
      </c>
      <c r="CS461" t="s">
        <v>134</v>
      </c>
      <c r="CT461" t="s">
        <v>134</v>
      </c>
      <c r="CU461" t="s">
        <v>134</v>
      </c>
      <c r="CV461" t="s">
        <v>134</v>
      </c>
      <c r="CW461" t="s">
        <v>134</v>
      </c>
      <c r="CX461" t="s">
        <v>134</v>
      </c>
      <c r="CY461" t="s">
        <v>134</v>
      </c>
      <c r="CZ461" t="s">
        <v>134</v>
      </c>
      <c r="DA461" t="s">
        <v>134</v>
      </c>
      <c r="DB461" t="s">
        <v>134</v>
      </c>
      <c r="DC461" t="s">
        <v>134</v>
      </c>
      <c r="DD461" t="s">
        <v>134</v>
      </c>
      <c r="DE461" t="s">
        <v>134</v>
      </c>
      <c r="DF461" t="s">
        <v>134</v>
      </c>
      <c r="DG461" t="s">
        <v>134</v>
      </c>
      <c r="DH461" t="s">
        <v>134</v>
      </c>
      <c r="DI461" t="s">
        <v>134</v>
      </c>
    </row>
    <row r="462" spans="1:113" x14ac:dyDescent="0.3">
      <c r="E462" t="s">
        <v>7</v>
      </c>
      <c r="F462" t="s">
        <v>134</v>
      </c>
      <c r="G462" t="s">
        <v>134</v>
      </c>
      <c r="H462" t="s">
        <v>134</v>
      </c>
      <c r="I462" t="s">
        <v>134</v>
      </c>
      <c r="J462" t="s">
        <v>134</v>
      </c>
      <c r="K462" t="s">
        <v>134</v>
      </c>
      <c r="L462" t="s">
        <v>134</v>
      </c>
      <c r="M462" t="s">
        <v>134</v>
      </c>
      <c r="N462" t="s">
        <v>134</v>
      </c>
      <c r="O462" t="s">
        <v>134</v>
      </c>
      <c r="P462" t="s">
        <v>134</v>
      </c>
      <c r="Q462" t="s">
        <v>134</v>
      </c>
      <c r="R462" t="s">
        <v>134</v>
      </c>
      <c r="S462" t="s">
        <v>134</v>
      </c>
      <c r="T462" t="s">
        <v>134</v>
      </c>
      <c r="U462" t="s">
        <v>134</v>
      </c>
      <c r="V462" t="s">
        <v>134</v>
      </c>
      <c r="W462" t="s">
        <v>134</v>
      </c>
      <c r="X462" t="s">
        <v>134</v>
      </c>
      <c r="Y462" t="s">
        <v>134</v>
      </c>
      <c r="Z462" t="s">
        <v>134</v>
      </c>
      <c r="AA462" t="s">
        <v>134</v>
      </c>
      <c r="AB462" t="s">
        <v>134</v>
      </c>
      <c r="AC462" t="s">
        <v>134</v>
      </c>
      <c r="AD462" t="s">
        <v>134</v>
      </c>
      <c r="AE462" t="s">
        <v>134</v>
      </c>
      <c r="AF462" t="s">
        <v>134</v>
      </c>
      <c r="AG462" t="s">
        <v>134</v>
      </c>
      <c r="AH462" t="s">
        <v>134</v>
      </c>
      <c r="AI462" t="s">
        <v>134</v>
      </c>
      <c r="AJ462" t="s">
        <v>134</v>
      </c>
      <c r="AK462" t="s">
        <v>134</v>
      </c>
      <c r="AL462" t="s">
        <v>134</v>
      </c>
      <c r="AM462" t="s">
        <v>134</v>
      </c>
      <c r="AN462" t="s">
        <v>134</v>
      </c>
      <c r="AO462" t="s">
        <v>134</v>
      </c>
      <c r="AP462" t="s">
        <v>134</v>
      </c>
      <c r="AQ462" t="s">
        <v>134</v>
      </c>
      <c r="AR462" t="s">
        <v>134</v>
      </c>
      <c r="AS462" t="s">
        <v>134</v>
      </c>
      <c r="AT462" t="s">
        <v>134</v>
      </c>
      <c r="AU462" t="s">
        <v>134</v>
      </c>
      <c r="AV462" t="s">
        <v>134</v>
      </c>
      <c r="AW462" t="s">
        <v>134</v>
      </c>
      <c r="AX462" t="s">
        <v>134</v>
      </c>
      <c r="AY462" t="s">
        <v>134</v>
      </c>
      <c r="AZ462" t="s">
        <v>134</v>
      </c>
      <c r="BA462" t="s">
        <v>134</v>
      </c>
      <c r="BB462" t="s">
        <v>134</v>
      </c>
      <c r="BC462" t="s">
        <v>134</v>
      </c>
      <c r="BD462" t="s">
        <v>134</v>
      </c>
      <c r="BE462" t="s">
        <v>134</v>
      </c>
      <c r="BF462" t="s">
        <v>134</v>
      </c>
      <c r="BG462" t="s">
        <v>134</v>
      </c>
      <c r="BH462" t="s">
        <v>134</v>
      </c>
      <c r="BI462" t="s">
        <v>134</v>
      </c>
      <c r="BJ462" t="s">
        <v>134</v>
      </c>
      <c r="BK462" t="s">
        <v>134</v>
      </c>
      <c r="BL462" t="s">
        <v>134</v>
      </c>
      <c r="BM462" t="s">
        <v>134</v>
      </c>
      <c r="BN462" t="s">
        <v>134</v>
      </c>
      <c r="BO462" t="s">
        <v>134</v>
      </c>
      <c r="BP462" t="s">
        <v>134</v>
      </c>
      <c r="BQ462" t="s">
        <v>134</v>
      </c>
      <c r="BR462" t="s">
        <v>134</v>
      </c>
      <c r="BS462" t="s">
        <v>134</v>
      </c>
      <c r="BT462" t="s">
        <v>134</v>
      </c>
      <c r="BU462" t="s">
        <v>134</v>
      </c>
      <c r="BV462" t="s">
        <v>134</v>
      </c>
      <c r="BW462" t="s">
        <v>134</v>
      </c>
      <c r="BX462" t="s">
        <v>134</v>
      </c>
      <c r="BY462" t="s">
        <v>134</v>
      </c>
      <c r="BZ462" t="s">
        <v>134</v>
      </c>
      <c r="CA462" t="s">
        <v>134</v>
      </c>
      <c r="CB462" t="s">
        <v>134</v>
      </c>
      <c r="CC462" t="s">
        <v>134</v>
      </c>
      <c r="CD462" t="s">
        <v>134</v>
      </c>
      <c r="CE462" t="s">
        <v>134</v>
      </c>
      <c r="CF462" t="s">
        <v>134</v>
      </c>
      <c r="CG462" t="s">
        <v>134</v>
      </c>
      <c r="CH462" t="s">
        <v>134</v>
      </c>
      <c r="CI462" t="s">
        <v>134</v>
      </c>
      <c r="CJ462" t="s">
        <v>134</v>
      </c>
      <c r="CK462" t="s">
        <v>134</v>
      </c>
      <c r="CL462" t="s">
        <v>134</v>
      </c>
      <c r="CM462" t="s">
        <v>134</v>
      </c>
      <c r="CN462" t="s">
        <v>134</v>
      </c>
      <c r="CO462" t="s">
        <v>134</v>
      </c>
      <c r="CP462" t="s">
        <v>134</v>
      </c>
      <c r="CQ462" t="s">
        <v>134</v>
      </c>
      <c r="CR462" t="s">
        <v>134</v>
      </c>
      <c r="CS462" t="s">
        <v>134</v>
      </c>
      <c r="CT462" t="s">
        <v>134</v>
      </c>
      <c r="CU462" t="s">
        <v>134</v>
      </c>
      <c r="CV462" t="s">
        <v>134</v>
      </c>
      <c r="CW462" t="s">
        <v>134</v>
      </c>
      <c r="CX462" t="s">
        <v>134</v>
      </c>
      <c r="CY462" t="s">
        <v>134</v>
      </c>
      <c r="CZ462" t="s">
        <v>134</v>
      </c>
      <c r="DA462" t="s">
        <v>134</v>
      </c>
      <c r="DB462" t="s">
        <v>134</v>
      </c>
      <c r="DC462" t="s">
        <v>134</v>
      </c>
      <c r="DD462" t="s">
        <v>134</v>
      </c>
      <c r="DE462" t="s">
        <v>134</v>
      </c>
      <c r="DF462" t="s">
        <v>134</v>
      </c>
      <c r="DG462" t="s">
        <v>134</v>
      </c>
      <c r="DH462" t="s">
        <v>134</v>
      </c>
      <c r="DI462" t="s">
        <v>134</v>
      </c>
    </row>
    <row r="463" spans="1:113" x14ac:dyDescent="0.3">
      <c r="D463" t="s">
        <v>9</v>
      </c>
      <c r="E463" t="s">
        <v>3</v>
      </c>
      <c r="F463">
        <v>11.8895</v>
      </c>
      <c r="G463">
        <v>4.4265999999999996</v>
      </c>
      <c r="H463">
        <v>8.1045999999999996</v>
      </c>
      <c r="I463">
        <v>6.0407000000000002</v>
      </c>
      <c r="J463">
        <v>23.996600000000001</v>
      </c>
      <c r="K463">
        <v>16.121300000000002</v>
      </c>
      <c r="L463" t="s">
        <v>134</v>
      </c>
      <c r="M463">
        <v>12.9307</v>
      </c>
      <c r="N463">
        <v>13.0061</v>
      </c>
      <c r="O463">
        <v>13.0321</v>
      </c>
      <c r="P463">
        <v>13.0321</v>
      </c>
      <c r="Q463" t="s">
        <v>134</v>
      </c>
      <c r="R463">
        <v>27.1265</v>
      </c>
      <c r="S463">
        <v>8.6643000000000008</v>
      </c>
      <c r="T463">
        <v>-2.2614000000000001</v>
      </c>
      <c r="U463">
        <v>11.2239</v>
      </c>
      <c r="V463">
        <v>11.5406</v>
      </c>
      <c r="W463">
        <v>1.9674</v>
      </c>
      <c r="X463">
        <v>1.9818</v>
      </c>
      <c r="Y463">
        <v>34</v>
      </c>
      <c r="Z463">
        <v>9.9899000000000004</v>
      </c>
      <c r="AA463">
        <v>-0.1668</v>
      </c>
      <c r="AB463">
        <v>16.617899999999999</v>
      </c>
      <c r="AC463">
        <v>9.4817</v>
      </c>
      <c r="AD463">
        <v>11.783200000000001</v>
      </c>
      <c r="AE463" t="s">
        <v>134</v>
      </c>
      <c r="AF463">
        <v>-3.9546000000000001</v>
      </c>
      <c r="AG463">
        <v>10.1624</v>
      </c>
      <c r="AH463">
        <v>9.5632999999999999</v>
      </c>
      <c r="AI463">
        <v>8.5649999999999995</v>
      </c>
      <c r="AJ463">
        <v>9.1160999999999994</v>
      </c>
      <c r="AK463">
        <v>8.6516999999999999</v>
      </c>
      <c r="AL463">
        <v>-15.585900000000001</v>
      </c>
      <c r="AM463">
        <v>6.3555000000000001</v>
      </c>
      <c r="AN463">
        <v>8.1629000000000005</v>
      </c>
      <c r="AO463">
        <v>4.8396999999999997</v>
      </c>
      <c r="AP463">
        <v>1.7250000000000001</v>
      </c>
      <c r="AQ463">
        <v>1.7210000000000001</v>
      </c>
      <c r="AR463">
        <v>-2.4893000000000001</v>
      </c>
      <c r="AS463">
        <v>42.2577</v>
      </c>
      <c r="AT463">
        <v>15.270899999999999</v>
      </c>
      <c r="AU463">
        <v>16.693300000000001</v>
      </c>
      <c r="AV463">
        <v>11.971299999999999</v>
      </c>
      <c r="AW463">
        <v>54.959699999999998</v>
      </c>
      <c r="AX463" t="s">
        <v>134</v>
      </c>
      <c r="AY463">
        <v>9.2231000000000005</v>
      </c>
      <c r="AZ463">
        <v>21.520299999999999</v>
      </c>
      <c r="BA463">
        <v>17.158000000000001</v>
      </c>
      <c r="BB463">
        <v>5.5006000000000004</v>
      </c>
      <c r="BC463">
        <v>11.049099999999999</v>
      </c>
      <c r="BD463">
        <v>5.4394</v>
      </c>
      <c r="BE463">
        <v>-2.3975</v>
      </c>
      <c r="BF463">
        <v>-2.2614000000000001</v>
      </c>
      <c r="BG463">
        <v>11.2239</v>
      </c>
      <c r="BH463">
        <v>11.5406</v>
      </c>
      <c r="BI463">
        <v>1.9674</v>
      </c>
      <c r="BJ463">
        <v>1.9818</v>
      </c>
      <c r="BK463">
        <v>34</v>
      </c>
      <c r="BL463">
        <v>9.9899000000000004</v>
      </c>
      <c r="BM463">
        <v>-0.1668</v>
      </c>
      <c r="BN463">
        <v>16.617899999999999</v>
      </c>
      <c r="BO463">
        <v>9.4817</v>
      </c>
      <c r="BP463">
        <v>11.783200000000001</v>
      </c>
      <c r="BQ463">
        <v>-194.6677</v>
      </c>
      <c r="BR463">
        <v>-3.9546000000000001</v>
      </c>
      <c r="BS463">
        <v>10.1624</v>
      </c>
      <c r="BT463">
        <v>9.5632999999999999</v>
      </c>
      <c r="BU463">
        <v>8.5649999999999995</v>
      </c>
      <c r="BV463">
        <v>9.1160999999999994</v>
      </c>
      <c r="BW463">
        <v>8.6516999999999999</v>
      </c>
      <c r="BX463">
        <v>-15.585900000000001</v>
      </c>
      <c r="BY463">
        <v>1120307</v>
      </c>
      <c r="BZ463">
        <v>97924.2</v>
      </c>
      <c r="CA463">
        <v>1022382.8</v>
      </c>
      <c r="CB463">
        <v>5.9749999999999996</v>
      </c>
      <c r="CC463">
        <v>5.6690000000000005</v>
      </c>
      <c r="CD463">
        <v>8.8937000000000008</v>
      </c>
      <c r="CE463">
        <v>8.4382999999999999</v>
      </c>
      <c r="CF463">
        <v>2.2153999999999998</v>
      </c>
      <c r="CG463">
        <v>37.095799999999997</v>
      </c>
      <c r="CH463">
        <v>113.4855</v>
      </c>
      <c r="CI463">
        <v>50.582999999999998</v>
      </c>
      <c r="CJ463">
        <v>42.5197</v>
      </c>
      <c r="CK463">
        <v>124.3552</v>
      </c>
      <c r="CL463">
        <v>55.427799999999998</v>
      </c>
      <c r="CM463">
        <v>46.592300000000002</v>
      </c>
      <c r="CN463">
        <v>117.9871</v>
      </c>
      <c r="CO463">
        <v>54.125700000000002</v>
      </c>
      <c r="CP463">
        <v>187499.9</v>
      </c>
      <c r="CQ463">
        <v>-44969.9</v>
      </c>
      <c r="CR463">
        <v>125965.8</v>
      </c>
      <c r="CS463">
        <v>0.1431</v>
      </c>
      <c r="CT463">
        <v>0.86199999999999999</v>
      </c>
      <c r="CU463">
        <v>0.39689999999999998</v>
      </c>
      <c r="CV463">
        <v>1.0018</v>
      </c>
      <c r="CW463">
        <v>8.0454000000000008</v>
      </c>
      <c r="CX463">
        <v>45.492100000000001</v>
      </c>
      <c r="CY463">
        <v>0.39929999999999999</v>
      </c>
      <c r="CZ463">
        <v>916.59770000000003</v>
      </c>
      <c r="DA463">
        <v>0.4546</v>
      </c>
      <c r="DB463">
        <v>805.04470000000003</v>
      </c>
      <c r="DC463">
        <v>157.04509999999999</v>
      </c>
      <c r="DD463">
        <v>962.08979999999997</v>
      </c>
      <c r="DE463">
        <v>79591.600000000006</v>
      </c>
      <c r="DF463">
        <v>37356.699999999997</v>
      </c>
      <c r="DG463">
        <v>0</v>
      </c>
      <c r="DH463">
        <v>4757.8999999999996</v>
      </c>
      <c r="DI463">
        <v>37477</v>
      </c>
    </row>
    <row r="464" spans="1:113" x14ac:dyDescent="0.3">
      <c r="E464" t="s">
        <v>4</v>
      </c>
      <c r="F464" t="s">
        <v>134</v>
      </c>
      <c r="G464" t="s">
        <v>134</v>
      </c>
      <c r="H464" t="s">
        <v>134</v>
      </c>
      <c r="I464" t="s">
        <v>134</v>
      </c>
      <c r="J464" t="s">
        <v>134</v>
      </c>
      <c r="K464" t="s">
        <v>134</v>
      </c>
      <c r="L464" t="s">
        <v>134</v>
      </c>
      <c r="M464" t="s">
        <v>134</v>
      </c>
      <c r="N464" t="s">
        <v>134</v>
      </c>
      <c r="O464" t="s">
        <v>134</v>
      </c>
      <c r="P464" t="s">
        <v>134</v>
      </c>
      <c r="Q464" t="s">
        <v>134</v>
      </c>
      <c r="R464" t="s">
        <v>134</v>
      </c>
      <c r="S464" t="s">
        <v>134</v>
      </c>
      <c r="T464" t="s">
        <v>134</v>
      </c>
      <c r="U464" t="s">
        <v>134</v>
      </c>
      <c r="V464" t="s">
        <v>134</v>
      </c>
      <c r="W464" t="s">
        <v>134</v>
      </c>
      <c r="X464" t="s">
        <v>134</v>
      </c>
      <c r="Y464" t="s">
        <v>134</v>
      </c>
      <c r="Z464" t="s">
        <v>134</v>
      </c>
      <c r="AA464" t="s">
        <v>134</v>
      </c>
      <c r="AB464" t="s">
        <v>134</v>
      </c>
      <c r="AC464" t="s">
        <v>134</v>
      </c>
      <c r="AD464" t="s">
        <v>134</v>
      </c>
      <c r="AE464" t="s">
        <v>134</v>
      </c>
      <c r="AF464" t="s">
        <v>134</v>
      </c>
      <c r="AG464" t="s">
        <v>134</v>
      </c>
      <c r="AH464" t="s">
        <v>134</v>
      </c>
      <c r="AI464" t="s">
        <v>134</v>
      </c>
      <c r="AJ464" t="s">
        <v>134</v>
      </c>
      <c r="AK464" t="s">
        <v>134</v>
      </c>
      <c r="AL464" t="s">
        <v>134</v>
      </c>
      <c r="AM464" t="s">
        <v>134</v>
      </c>
      <c r="AN464" t="s">
        <v>134</v>
      </c>
      <c r="AO464" t="s">
        <v>134</v>
      </c>
      <c r="AP464" t="s">
        <v>134</v>
      </c>
      <c r="AQ464" t="s">
        <v>134</v>
      </c>
      <c r="AR464" t="s">
        <v>134</v>
      </c>
      <c r="AS464" t="s">
        <v>134</v>
      </c>
      <c r="AT464" t="s">
        <v>134</v>
      </c>
      <c r="AU464" t="s">
        <v>134</v>
      </c>
      <c r="AV464" t="s">
        <v>134</v>
      </c>
      <c r="AW464" t="s">
        <v>134</v>
      </c>
      <c r="AX464" t="s">
        <v>134</v>
      </c>
      <c r="AY464" t="s">
        <v>134</v>
      </c>
      <c r="AZ464" t="s">
        <v>134</v>
      </c>
      <c r="BA464" t="s">
        <v>134</v>
      </c>
      <c r="BB464" t="s">
        <v>134</v>
      </c>
      <c r="BC464" t="s">
        <v>134</v>
      </c>
      <c r="BD464" t="s">
        <v>134</v>
      </c>
      <c r="BE464" t="s">
        <v>134</v>
      </c>
      <c r="BF464" t="s">
        <v>134</v>
      </c>
      <c r="BG464" t="s">
        <v>134</v>
      </c>
      <c r="BH464" t="s">
        <v>134</v>
      </c>
      <c r="BI464" t="s">
        <v>134</v>
      </c>
      <c r="BJ464" t="s">
        <v>134</v>
      </c>
      <c r="BK464" t="s">
        <v>134</v>
      </c>
      <c r="BL464" t="s">
        <v>134</v>
      </c>
      <c r="BM464" t="s">
        <v>134</v>
      </c>
      <c r="BN464" t="s">
        <v>134</v>
      </c>
      <c r="BO464" t="s">
        <v>134</v>
      </c>
      <c r="BP464" t="s">
        <v>134</v>
      </c>
      <c r="BQ464" t="s">
        <v>134</v>
      </c>
      <c r="BR464" t="s">
        <v>134</v>
      </c>
      <c r="BS464" t="s">
        <v>134</v>
      </c>
      <c r="BT464" t="s">
        <v>134</v>
      </c>
      <c r="BU464" t="s">
        <v>134</v>
      </c>
      <c r="BV464" t="s">
        <v>134</v>
      </c>
      <c r="BW464" t="s">
        <v>134</v>
      </c>
      <c r="BX464" t="s">
        <v>134</v>
      </c>
      <c r="BY464" t="s">
        <v>134</v>
      </c>
      <c r="BZ464" t="s">
        <v>134</v>
      </c>
      <c r="CA464" t="s">
        <v>134</v>
      </c>
      <c r="CB464" t="s">
        <v>134</v>
      </c>
      <c r="CC464" t="s">
        <v>134</v>
      </c>
      <c r="CD464" t="s">
        <v>134</v>
      </c>
      <c r="CE464" t="s">
        <v>134</v>
      </c>
      <c r="CF464" t="s">
        <v>134</v>
      </c>
      <c r="CG464" t="s">
        <v>134</v>
      </c>
      <c r="CH464" t="s">
        <v>134</v>
      </c>
      <c r="CI464" t="s">
        <v>134</v>
      </c>
      <c r="CJ464" t="s">
        <v>134</v>
      </c>
      <c r="CK464" t="s">
        <v>134</v>
      </c>
      <c r="CL464" t="s">
        <v>134</v>
      </c>
      <c r="CM464" t="s">
        <v>134</v>
      </c>
      <c r="CN464" t="s">
        <v>134</v>
      </c>
      <c r="CO464" t="s">
        <v>134</v>
      </c>
      <c r="CP464" t="s">
        <v>134</v>
      </c>
      <c r="CQ464" t="s">
        <v>134</v>
      </c>
      <c r="CR464" t="s">
        <v>134</v>
      </c>
      <c r="CS464" t="s">
        <v>134</v>
      </c>
      <c r="CT464" t="s">
        <v>134</v>
      </c>
      <c r="CU464" t="s">
        <v>134</v>
      </c>
      <c r="CV464" t="s">
        <v>134</v>
      </c>
      <c r="CW464" t="s">
        <v>134</v>
      </c>
      <c r="CX464" t="s">
        <v>134</v>
      </c>
      <c r="CY464" t="s">
        <v>134</v>
      </c>
      <c r="CZ464" t="s">
        <v>134</v>
      </c>
      <c r="DA464" t="s">
        <v>134</v>
      </c>
      <c r="DB464" t="s">
        <v>134</v>
      </c>
      <c r="DC464" t="s">
        <v>134</v>
      </c>
      <c r="DD464" t="s">
        <v>134</v>
      </c>
      <c r="DE464" t="s">
        <v>134</v>
      </c>
      <c r="DF464" t="s">
        <v>134</v>
      </c>
      <c r="DG464" t="s">
        <v>134</v>
      </c>
      <c r="DH464" t="s">
        <v>134</v>
      </c>
      <c r="DI464" t="s">
        <v>134</v>
      </c>
    </row>
    <row r="465" spans="1:113" x14ac:dyDescent="0.3">
      <c r="E465" t="s">
        <v>5</v>
      </c>
      <c r="F465" t="s">
        <v>134</v>
      </c>
      <c r="G465" t="s">
        <v>134</v>
      </c>
      <c r="H465" t="s">
        <v>134</v>
      </c>
      <c r="I465" t="s">
        <v>134</v>
      </c>
      <c r="J465" t="s">
        <v>134</v>
      </c>
      <c r="K465" t="s">
        <v>134</v>
      </c>
      <c r="L465" t="s">
        <v>134</v>
      </c>
      <c r="M465" t="s">
        <v>134</v>
      </c>
      <c r="N465" t="s">
        <v>134</v>
      </c>
      <c r="O465" t="s">
        <v>134</v>
      </c>
      <c r="P465" t="s">
        <v>134</v>
      </c>
      <c r="Q465" t="s">
        <v>134</v>
      </c>
      <c r="R465" t="s">
        <v>134</v>
      </c>
      <c r="S465" t="s">
        <v>134</v>
      </c>
      <c r="T465" t="s">
        <v>134</v>
      </c>
      <c r="U465" t="s">
        <v>134</v>
      </c>
      <c r="V465" t="s">
        <v>134</v>
      </c>
      <c r="W465" t="s">
        <v>134</v>
      </c>
      <c r="X465" t="s">
        <v>134</v>
      </c>
      <c r="Y465" t="s">
        <v>134</v>
      </c>
      <c r="Z465" t="s">
        <v>134</v>
      </c>
      <c r="AA465" t="s">
        <v>134</v>
      </c>
      <c r="AB465" t="s">
        <v>134</v>
      </c>
      <c r="AC465" t="s">
        <v>134</v>
      </c>
      <c r="AD465" t="s">
        <v>134</v>
      </c>
      <c r="AE465" t="s">
        <v>134</v>
      </c>
      <c r="AF465" t="s">
        <v>134</v>
      </c>
      <c r="AG465" t="s">
        <v>134</v>
      </c>
      <c r="AH465" t="s">
        <v>134</v>
      </c>
      <c r="AI465" t="s">
        <v>134</v>
      </c>
      <c r="AJ465" t="s">
        <v>134</v>
      </c>
      <c r="AK465" t="s">
        <v>134</v>
      </c>
      <c r="AL465" t="s">
        <v>134</v>
      </c>
      <c r="AM465" t="s">
        <v>134</v>
      </c>
      <c r="AN465" t="s">
        <v>134</v>
      </c>
      <c r="AO465" t="s">
        <v>134</v>
      </c>
      <c r="AP465" t="s">
        <v>134</v>
      </c>
      <c r="AQ465" t="s">
        <v>134</v>
      </c>
      <c r="AR465" t="s">
        <v>134</v>
      </c>
      <c r="AS465" t="s">
        <v>134</v>
      </c>
      <c r="AT465" t="s">
        <v>134</v>
      </c>
      <c r="AU465" t="s">
        <v>134</v>
      </c>
      <c r="AV465" t="s">
        <v>134</v>
      </c>
      <c r="AW465" t="s">
        <v>134</v>
      </c>
      <c r="AX465" t="s">
        <v>134</v>
      </c>
      <c r="AY465" t="s">
        <v>134</v>
      </c>
      <c r="AZ465" t="s">
        <v>134</v>
      </c>
      <c r="BA465" t="s">
        <v>134</v>
      </c>
      <c r="BB465" t="s">
        <v>134</v>
      </c>
      <c r="BC465" t="s">
        <v>134</v>
      </c>
      <c r="BD465" t="s">
        <v>134</v>
      </c>
      <c r="BE465" t="s">
        <v>134</v>
      </c>
      <c r="BF465" t="s">
        <v>134</v>
      </c>
      <c r="BG465" t="s">
        <v>134</v>
      </c>
      <c r="BH465" t="s">
        <v>134</v>
      </c>
      <c r="BI465" t="s">
        <v>134</v>
      </c>
      <c r="BJ465" t="s">
        <v>134</v>
      </c>
      <c r="BK465" t="s">
        <v>134</v>
      </c>
      <c r="BL465" t="s">
        <v>134</v>
      </c>
      <c r="BM465" t="s">
        <v>134</v>
      </c>
      <c r="BN465" t="s">
        <v>134</v>
      </c>
      <c r="BO465" t="s">
        <v>134</v>
      </c>
      <c r="BP465" t="s">
        <v>134</v>
      </c>
      <c r="BQ465" t="s">
        <v>134</v>
      </c>
      <c r="BR465" t="s">
        <v>134</v>
      </c>
      <c r="BS465" t="s">
        <v>134</v>
      </c>
      <c r="BT465" t="s">
        <v>134</v>
      </c>
      <c r="BU465" t="s">
        <v>134</v>
      </c>
      <c r="BV465" t="s">
        <v>134</v>
      </c>
      <c r="BW465" t="s">
        <v>134</v>
      </c>
      <c r="BX465" t="s">
        <v>134</v>
      </c>
      <c r="BY465" t="s">
        <v>134</v>
      </c>
      <c r="BZ465" t="s">
        <v>134</v>
      </c>
      <c r="CA465" t="s">
        <v>134</v>
      </c>
      <c r="CB465" t="s">
        <v>134</v>
      </c>
      <c r="CC465" t="s">
        <v>134</v>
      </c>
      <c r="CD465" t="s">
        <v>134</v>
      </c>
      <c r="CE465" t="s">
        <v>134</v>
      </c>
      <c r="CF465" t="s">
        <v>134</v>
      </c>
      <c r="CG465" t="s">
        <v>134</v>
      </c>
      <c r="CH465" t="s">
        <v>134</v>
      </c>
      <c r="CI465" t="s">
        <v>134</v>
      </c>
      <c r="CJ465" t="s">
        <v>134</v>
      </c>
      <c r="CK465" t="s">
        <v>134</v>
      </c>
      <c r="CL465" t="s">
        <v>134</v>
      </c>
      <c r="CM465" t="s">
        <v>134</v>
      </c>
      <c r="CN465" t="s">
        <v>134</v>
      </c>
      <c r="CO465" t="s">
        <v>134</v>
      </c>
      <c r="CP465" t="s">
        <v>134</v>
      </c>
      <c r="CQ465" t="s">
        <v>134</v>
      </c>
      <c r="CR465" t="s">
        <v>134</v>
      </c>
      <c r="CS465" t="s">
        <v>134</v>
      </c>
      <c r="CT465" t="s">
        <v>134</v>
      </c>
      <c r="CU465" t="s">
        <v>134</v>
      </c>
      <c r="CV465" t="s">
        <v>134</v>
      </c>
      <c r="CW465" t="s">
        <v>134</v>
      </c>
      <c r="CX465" t="s">
        <v>134</v>
      </c>
      <c r="CY465" t="s">
        <v>134</v>
      </c>
      <c r="CZ465" t="s">
        <v>134</v>
      </c>
      <c r="DA465" t="s">
        <v>134</v>
      </c>
      <c r="DB465" t="s">
        <v>134</v>
      </c>
      <c r="DC465" t="s">
        <v>134</v>
      </c>
      <c r="DD465" t="s">
        <v>134</v>
      </c>
      <c r="DE465" t="s">
        <v>134</v>
      </c>
      <c r="DF465" t="s">
        <v>134</v>
      </c>
      <c r="DG465" t="s">
        <v>134</v>
      </c>
      <c r="DH465" t="s">
        <v>134</v>
      </c>
      <c r="DI465" t="s">
        <v>134</v>
      </c>
    </row>
    <row r="466" spans="1:113" x14ac:dyDescent="0.3">
      <c r="E466" t="s">
        <v>6</v>
      </c>
      <c r="F466" t="s">
        <v>134</v>
      </c>
      <c r="G466" t="s">
        <v>134</v>
      </c>
      <c r="H466" t="s">
        <v>134</v>
      </c>
      <c r="I466" t="s">
        <v>134</v>
      </c>
      <c r="J466" t="s">
        <v>134</v>
      </c>
      <c r="K466" t="s">
        <v>134</v>
      </c>
      <c r="L466" t="s">
        <v>134</v>
      </c>
      <c r="M466" t="s">
        <v>134</v>
      </c>
      <c r="N466" t="s">
        <v>134</v>
      </c>
      <c r="O466" t="s">
        <v>134</v>
      </c>
      <c r="P466" t="s">
        <v>134</v>
      </c>
      <c r="Q466" t="s">
        <v>134</v>
      </c>
      <c r="R466" t="s">
        <v>134</v>
      </c>
      <c r="S466" t="s">
        <v>134</v>
      </c>
      <c r="T466" t="s">
        <v>134</v>
      </c>
      <c r="U466" t="s">
        <v>134</v>
      </c>
      <c r="V466" t="s">
        <v>134</v>
      </c>
      <c r="W466" t="s">
        <v>134</v>
      </c>
      <c r="X466" t="s">
        <v>134</v>
      </c>
      <c r="Y466" t="s">
        <v>134</v>
      </c>
      <c r="Z466" t="s">
        <v>134</v>
      </c>
      <c r="AA466" t="s">
        <v>134</v>
      </c>
      <c r="AB466" t="s">
        <v>134</v>
      </c>
      <c r="AC466" t="s">
        <v>134</v>
      </c>
      <c r="AD466" t="s">
        <v>134</v>
      </c>
      <c r="AE466" t="s">
        <v>134</v>
      </c>
      <c r="AF466" t="s">
        <v>134</v>
      </c>
      <c r="AG466" t="s">
        <v>134</v>
      </c>
      <c r="AH466" t="s">
        <v>134</v>
      </c>
      <c r="AI466" t="s">
        <v>134</v>
      </c>
      <c r="AJ466" t="s">
        <v>134</v>
      </c>
      <c r="AK466" t="s">
        <v>134</v>
      </c>
      <c r="AL466" t="s">
        <v>134</v>
      </c>
      <c r="AM466" t="s">
        <v>134</v>
      </c>
      <c r="AN466" t="s">
        <v>134</v>
      </c>
      <c r="AO466" t="s">
        <v>134</v>
      </c>
      <c r="AP466" t="s">
        <v>134</v>
      </c>
      <c r="AQ466" t="s">
        <v>134</v>
      </c>
      <c r="AR466" t="s">
        <v>134</v>
      </c>
      <c r="AS466" t="s">
        <v>134</v>
      </c>
      <c r="AT466" t="s">
        <v>134</v>
      </c>
      <c r="AU466" t="s">
        <v>134</v>
      </c>
      <c r="AV466" t="s">
        <v>134</v>
      </c>
      <c r="AW466" t="s">
        <v>134</v>
      </c>
      <c r="AX466" t="s">
        <v>134</v>
      </c>
      <c r="AY466" t="s">
        <v>134</v>
      </c>
      <c r="AZ466" t="s">
        <v>134</v>
      </c>
      <c r="BA466" t="s">
        <v>134</v>
      </c>
      <c r="BB466" t="s">
        <v>134</v>
      </c>
      <c r="BC466" t="s">
        <v>134</v>
      </c>
      <c r="BD466" t="s">
        <v>134</v>
      </c>
      <c r="BE466" t="s">
        <v>134</v>
      </c>
      <c r="BF466" t="s">
        <v>134</v>
      </c>
      <c r="BG466" t="s">
        <v>134</v>
      </c>
      <c r="BH466" t="s">
        <v>134</v>
      </c>
      <c r="BI466" t="s">
        <v>134</v>
      </c>
      <c r="BJ466" t="s">
        <v>134</v>
      </c>
      <c r="BK466" t="s">
        <v>134</v>
      </c>
      <c r="BL466" t="s">
        <v>134</v>
      </c>
      <c r="BM466" t="s">
        <v>134</v>
      </c>
      <c r="BN466" t="s">
        <v>134</v>
      </c>
      <c r="BO466" t="s">
        <v>134</v>
      </c>
      <c r="BP466" t="s">
        <v>134</v>
      </c>
      <c r="BQ466" t="s">
        <v>134</v>
      </c>
      <c r="BR466" t="s">
        <v>134</v>
      </c>
      <c r="BS466" t="s">
        <v>134</v>
      </c>
      <c r="BT466" t="s">
        <v>134</v>
      </c>
      <c r="BU466" t="s">
        <v>134</v>
      </c>
      <c r="BV466" t="s">
        <v>134</v>
      </c>
      <c r="BW466" t="s">
        <v>134</v>
      </c>
      <c r="BX466" t="s">
        <v>134</v>
      </c>
      <c r="BY466" t="s">
        <v>134</v>
      </c>
      <c r="BZ466" t="s">
        <v>134</v>
      </c>
      <c r="CA466" t="s">
        <v>134</v>
      </c>
      <c r="CB466" t="s">
        <v>134</v>
      </c>
      <c r="CC466" t="s">
        <v>134</v>
      </c>
      <c r="CD466" t="s">
        <v>134</v>
      </c>
      <c r="CE466" t="s">
        <v>134</v>
      </c>
      <c r="CF466" t="s">
        <v>134</v>
      </c>
      <c r="CG466" t="s">
        <v>134</v>
      </c>
      <c r="CH466" t="s">
        <v>134</v>
      </c>
      <c r="CI466" t="s">
        <v>134</v>
      </c>
      <c r="CJ466" t="s">
        <v>134</v>
      </c>
      <c r="CK466" t="s">
        <v>134</v>
      </c>
      <c r="CL466" t="s">
        <v>134</v>
      </c>
      <c r="CM466" t="s">
        <v>134</v>
      </c>
      <c r="CN466" t="s">
        <v>134</v>
      </c>
      <c r="CO466" t="s">
        <v>134</v>
      </c>
      <c r="CP466" t="s">
        <v>134</v>
      </c>
      <c r="CQ466" t="s">
        <v>134</v>
      </c>
      <c r="CR466" t="s">
        <v>134</v>
      </c>
      <c r="CS466" t="s">
        <v>134</v>
      </c>
      <c r="CT466" t="s">
        <v>134</v>
      </c>
      <c r="CU466" t="s">
        <v>134</v>
      </c>
      <c r="CV466" t="s">
        <v>134</v>
      </c>
      <c r="CW466" t="s">
        <v>134</v>
      </c>
      <c r="CX466" t="s">
        <v>134</v>
      </c>
      <c r="CY466" t="s">
        <v>134</v>
      </c>
      <c r="CZ466" t="s">
        <v>134</v>
      </c>
      <c r="DA466" t="s">
        <v>134</v>
      </c>
      <c r="DB466" t="s">
        <v>134</v>
      </c>
      <c r="DC466" t="s">
        <v>134</v>
      </c>
      <c r="DD466" t="s">
        <v>134</v>
      </c>
      <c r="DE466" t="s">
        <v>134</v>
      </c>
      <c r="DF466" t="s">
        <v>134</v>
      </c>
      <c r="DG466" t="s">
        <v>134</v>
      </c>
      <c r="DH466" t="s">
        <v>134</v>
      </c>
      <c r="DI466" t="s">
        <v>134</v>
      </c>
    </row>
    <row r="467" spans="1:113" x14ac:dyDescent="0.3">
      <c r="E467" t="s">
        <v>7</v>
      </c>
      <c r="F467" t="s">
        <v>134</v>
      </c>
      <c r="G467" t="s">
        <v>134</v>
      </c>
      <c r="H467" t="s">
        <v>134</v>
      </c>
      <c r="I467" t="s">
        <v>134</v>
      </c>
      <c r="J467" t="s">
        <v>134</v>
      </c>
      <c r="K467" t="s">
        <v>134</v>
      </c>
      <c r="L467" t="s">
        <v>134</v>
      </c>
      <c r="M467" t="s">
        <v>134</v>
      </c>
      <c r="N467" t="s">
        <v>134</v>
      </c>
      <c r="O467" t="s">
        <v>134</v>
      </c>
      <c r="P467" t="s">
        <v>134</v>
      </c>
      <c r="Q467" t="s">
        <v>134</v>
      </c>
      <c r="R467" t="s">
        <v>134</v>
      </c>
      <c r="S467" t="s">
        <v>134</v>
      </c>
      <c r="T467" t="s">
        <v>134</v>
      </c>
      <c r="U467" t="s">
        <v>134</v>
      </c>
      <c r="V467" t="s">
        <v>134</v>
      </c>
      <c r="W467" t="s">
        <v>134</v>
      </c>
      <c r="X467" t="s">
        <v>134</v>
      </c>
      <c r="Y467" t="s">
        <v>134</v>
      </c>
      <c r="Z467" t="s">
        <v>134</v>
      </c>
      <c r="AA467" t="s">
        <v>134</v>
      </c>
      <c r="AB467" t="s">
        <v>134</v>
      </c>
      <c r="AC467" t="s">
        <v>134</v>
      </c>
      <c r="AD467" t="s">
        <v>134</v>
      </c>
      <c r="AE467" t="s">
        <v>134</v>
      </c>
      <c r="AF467" t="s">
        <v>134</v>
      </c>
      <c r="AG467" t="s">
        <v>134</v>
      </c>
      <c r="AH467" t="s">
        <v>134</v>
      </c>
      <c r="AI467" t="s">
        <v>134</v>
      </c>
      <c r="AJ467" t="s">
        <v>134</v>
      </c>
      <c r="AK467" t="s">
        <v>134</v>
      </c>
      <c r="AL467" t="s">
        <v>134</v>
      </c>
      <c r="AM467" t="s">
        <v>134</v>
      </c>
      <c r="AN467" t="s">
        <v>134</v>
      </c>
      <c r="AO467" t="s">
        <v>134</v>
      </c>
      <c r="AP467" t="s">
        <v>134</v>
      </c>
      <c r="AQ467" t="s">
        <v>134</v>
      </c>
      <c r="AR467" t="s">
        <v>134</v>
      </c>
      <c r="AS467" t="s">
        <v>134</v>
      </c>
      <c r="AT467" t="s">
        <v>134</v>
      </c>
      <c r="AU467" t="s">
        <v>134</v>
      </c>
      <c r="AV467" t="s">
        <v>134</v>
      </c>
      <c r="AW467" t="s">
        <v>134</v>
      </c>
      <c r="AX467" t="s">
        <v>134</v>
      </c>
      <c r="AY467" t="s">
        <v>134</v>
      </c>
      <c r="AZ467" t="s">
        <v>134</v>
      </c>
      <c r="BA467" t="s">
        <v>134</v>
      </c>
      <c r="BB467" t="s">
        <v>134</v>
      </c>
      <c r="BC467" t="s">
        <v>134</v>
      </c>
      <c r="BD467" t="s">
        <v>134</v>
      </c>
      <c r="BE467" t="s">
        <v>134</v>
      </c>
      <c r="BF467" t="s">
        <v>134</v>
      </c>
      <c r="BG467" t="s">
        <v>134</v>
      </c>
      <c r="BH467" t="s">
        <v>134</v>
      </c>
      <c r="BI467" t="s">
        <v>134</v>
      </c>
      <c r="BJ467" t="s">
        <v>134</v>
      </c>
      <c r="BK467" t="s">
        <v>134</v>
      </c>
      <c r="BL467" t="s">
        <v>134</v>
      </c>
      <c r="BM467" t="s">
        <v>134</v>
      </c>
      <c r="BN467" t="s">
        <v>134</v>
      </c>
      <c r="BO467" t="s">
        <v>134</v>
      </c>
      <c r="BP467" t="s">
        <v>134</v>
      </c>
      <c r="BQ467" t="s">
        <v>134</v>
      </c>
      <c r="BR467" t="s">
        <v>134</v>
      </c>
      <c r="BS467" t="s">
        <v>134</v>
      </c>
      <c r="BT467" t="s">
        <v>134</v>
      </c>
      <c r="BU467" t="s">
        <v>134</v>
      </c>
      <c r="BV467" t="s">
        <v>134</v>
      </c>
      <c r="BW467" t="s">
        <v>134</v>
      </c>
      <c r="BX467" t="s">
        <v>134</v>
      </c>
      <c r="BY467" t="s">
        <v>134</v>
      </c>
      <c r="BZ467" t="s">
        <v>134</v>
      </c>
      <c r="CA467" t="s">
        <v>134</v>
      </c>
      <c r="CB467" t="s">
        <v>134</v>
      </c>
      <c r="CC467" t="s">
        <v>134</v>
      </c>
      <c r="CD467" t="s">
        <v>134</v>
      </c>
      <c r="CE467" t="s">
        <v>134</v>
      </c>
      <c r="CF467" t="s">
        <v>134</v>
      </c>
      <c r="CG467" t="s">
        <v>134</v>
      </c>
      <c r="CH467" t="s">
        <v>134</v>
      </c>
      <c r="CI467" t="s">
        <v>134</v>
      </c>
      <c r="CJ467" t="s">
        <v>134</v>
      </c>
      <c r="CK467" t="s">
        <v>134</v>
      </c>
      <c r="CL467" t="s">
        <v>134</v>
      </c>
      <c r="CM467" t="s">
        <v>134</v>
      </c>
      <c r="CN467" t="s">
        <v>134</v>
      </c>
      <c r="CO467" t="s">
        <v>134</v>
      </c>
      <c r="CP467" t="s">
        <v>134</v>
      </c>
      <c r="CQ467" t="s">
        <v>134</v>
      </c>
      <c r="CR467" t="s">
        <v>134</v>
      </c>
      <c r="CS467" t="s">
        <v>134</v>
      </c>
      <c r="CT467" t="s">
        <v>134</v>
      </c>
      <c r="CU467" t="s">
        <v>134</v>
      </c>
      <c r="CV467" t="s">
        <v>134</v>
      </c>
      <c r="CW467" t="s">
        <v>134</v>
      </c>
      <c r="CX467" t="s">
        <v>134</v>
      </c>
      <c r="CY467" t="s">
        <v>134</v>
      </c>
      <c r="CZ467" t="s">
        <v>134</v>
      </c>
      <c r="DA467" t="s">
        <v>134</v>
      </c>
      <c r="DB467" t="s">
        <v>134</v>
      </c>
      <c r="DC467" t="s">
        <v>134</v>
      </c>
      <c r="DD467" t="s">
        <v>134</v>
      </c>
      <c r="DE467" t="s">
        <v>134</v>
      </c>
      <c r="DF467" t="s">
        <v>134</v>
      </c>
      <c r="DG467" t="s">
        <v>134</v>
      </c>
      <c r="DH467" t="s">
        <v>134</v>
      </c>
      <c r="DI467" t="s">
        <v>134</v>
      </c>
    </row>
    <row r="468" spans="1:113" x14ac:dyDescent="0.3">
      <c r="D468" t="s">
        <v>10</v>
      </c>
      <c r="E468" t="s">
        <v>3</v>
      </c>
      <c r="F468">
        <v>11.3188</v>
      </c>
      <c r="G468">
        <v>4.532</v>
      </c>
      <c r="H468">
        <v>6.9362000000000004</v>
      </c>
      <c r="I468">
        <v>6.1241000000000003</v>
      </c>
      <c r="J468">
        <v>26.462299999999999</v>
      </c>
      <c r="K468">
        <v>19.063800000000001</v>
      </c>
      <c r="L468">
        <v>32.9009</v>
      </c>
      <c r="M468">
        <v>16.939799999999998</v>
      </c>
      <c r="N468">
        <v>13.189299999999999</v>
      </c>
      <c r="O468">
        <v>13.196400000000001</v>
      </c>
      <c r="P468">
        <v>13.196400000000001</v>
      </c>
      <c r="Q468">
        <v>22.1402</v>
      </c>
      <c r="R468">
        <v>36.767499999999998</v>
      </c>
      <c r="S468">
        <v>7.1570999999999998</v>
      </c>
      <c r="T468">
        <v>11.5222</v>
      </c>
      <c r="U468">
        <v>19.762799999999999</v>
      </c>
      <c r="V468">
        <v>21.700199999999999</v>
      </c>
      <c r="W468">
        <v>-0.75460000000000005</v>
      </c>
      <c r="X468">
        <v>-0.76339999999999997</v>
      </c>
      <c r="Y468">
        <v>0</v>
      </c>
      <c r="Z468">
        <v>8.1447000000000003</v>
      </c>
      <c r="AA468">
        <v>-6.5877999999999997</v>
      </c>
      <c r="AB468">
        <v>13.9933</v>
      </c>
      <c r="AC468">
        <v>10.654199999999999</v>
      </c>
      <c r="AD468">
        <v>3.4392</v>
      </c>
      <c r="AE468">
        <v>-221.53530000000001</v>
      </c>
      <c r="AF468">
        <v>-2.1269999999999998</v>
      </c>
      <c r="AG468">
        <v>109.74939999999999</v>
      </c>
      <c r="AH468">
        <v>15.641</v>
      </c>
      <c r="AI468">
        <v>6.7905999999999995</v>
      </c>
      <c r="AJ468">
        <v>11.2235</v>
      </c>
      <c r="AK468">
        <v>6.8384999999999998</v>
      </c>
      <c r="AL468">
        <v>-26.120899999999999</v>
      </c>
      <c r="AM468">
        <v>4.5727000000000002</v>
      </c>
      <c r="AN468">
        <v>7.9744999999999999</v>
      </c>
      <c r="AO468">
        <v>6.0589000000000004</v>
      </c>
      <c r="AP468">
        <v>1.7797000000000001</v>
      </c>
      <c r="AQ468">
        <v>1.7839</v>
      </c>
      <c r="AR468">
        <v>3.6272000000000002</v>
      </c>
      <c r="AS468">
        <v>6.0548999999999999</v>
      </c>
      <c r="AT468">
        <v>9.5303000000000004</v>
      </c>
      <c r="AU468">
        <v>13.5114</v>
      </c>
      <c r="AV468">
        <v>9.8640000000000008</v>
      </c>
      <c r="AW468">
        <v>11.379099999999999</v>
      </c>
      <c r="AX468" t="s">
        <v>134</v>
      </c>
      <c r="AY468">
        <v>2.0379999999999998</v>
      </c>
      <c r="AZ468">
        <v>-8.8284000000000002</v>
      </c>
      <c r="BA468">
        <v>12.379</v>
      </c>
      <c r="BB468">
        <v>5.6334</v>
      </c>
      <c r="BC468">
        <v>8.8336000000000006</v>
      </c>
      <c r="BD468">
        <v>5.6291000000000002</v>
      </c>
      <c r="BE468">
        <v>8.1351999999999993</v>
      </c>
      <c r="BF468">
        <v>11.5222</v>
      </c>
      <c r="BG468">
        <v>19.762799999999999</v>
      </c>
      <c r="BH468">
        <v>21.700199999999999</v>
      </c>
      <c r="BI468">
        <v>-0.75460000000000005</v>
      </c>
      <c r="BJ468">
        <v>-0.76339999999999997</v>
      </c>
      <c r="BK468">
        <v>0</v>
      </c>
      <c r="BL468">
        <v>8.1447000000000003</v>
      </c>
      <c r="BM468">
        <v>-6.5877999999999997</v>
      </c>
      <c r="BN468">
        <v>13.9933</v>
      </c>
      <c r="BO468">
        <v>10.654199999999999</v>
      </c>
      <c r="BP468">
        <v>3.4392</v>
      </c>
      <c r="BQ468" t="s">
        <v>134</v>
      </c>
      <c r="BR468">
        <v>-2.1269999999999998</v>
      </c>
      <c r="BS468">
        <v>109.74939999999999</v>
      </c>
      <c r="BT468">
        <v>15.641</v>
      </c>
      <c r="BU468">
        <v>6.7905999999999995</v>
      </c>
      <c r="BV468">
        <v>11.2235</v>
      </c>
      <c r="BW468">
        <v>6.8384999999999998</v>
      </c>
      <c r="BX468">
        <v>-26.120899999999999</v>
      </c>
      <c r="BY468">
        <v>1071908.3</v>
      </c>
      <c r="BZ468">
        <v>31195.4</v>
      </c>
      <c r="CA468">
        <v>1040712.9</v>
      </c>
      <c r="CB468">
        <v>4.9866000000000001</v>
      </c>
      <c r="CC468">
        <v>4.8330000000000002</v>
      </c>
      <c r="CD468">
        <v>6.9218000000000002</v>
      </c>
      <c r="CE468">
        <v>6.7087000000000003</v>
      </c>
      <c r="CF468">
        <v>5.8875000000000002</v>
      </c>
      <c r="CG468">
        <v>39.371899999999997</v>
      </c>
      <c r="CH468">
        <v>105.5048</v>
      </c>
      <c r="CI468">
        <v>50.561300000000003</v>
      </c>
      <c r="CJ468">
        <v>41.880200000000002</v>
      </c>
      <c r="CK468">
        <v>108.6673</v>
      </c>
      <c r="CL468">
        <v>52.076799999999999</v>
      </c>
      <c r="CM468">
        <v>43.135599999999997</v>
      </c>
      <c r="CN468">
        <v>105.32040000000001</v>
      </c>
      <c r="CO468">
        <v>51.2956</v>
      </c>
      <c r="CP468">
        <v>214957.9</v>
      </c>
      <c r="CQ468">
        <v>-29213.200000000001</v>
      </c>
      <c r="CR468">
        <v>154858.79999999999</v>
      </c>
      <c r="CS468">
        <v>8.5599999999999996E-2</v>
      </c>
      <c r="CT468">
        <v>0.77839999999999998</v>
      </c>
      <c r="CU468">
        <v>0.31809999999999999</v>
      </c>
      <c r="CV468">
        <v>1.0612999999999999</v>
      </c>
      <c r="CW468">
        <v>9.4167000000000005</v>
      </c>
      <c r="CX468">
        <v>38.760800000000003</v>
      </c>
      <c r="CY468">
        <v>0.44550000000000001</v>
      </c>
      <c r="CZ468">
        <v>819.22429999999997</v>
      </c>
      <c r="DA468">
        <v>0.45679999999999998</v>
      </c>
      <c r="DB468">
        <v>798.99670000000003</v>
      </c>
      <c r="DC468">
        <v>58.988399999999999</v>
      </c>
      <c r="DD468">
        <v>857.98509999999999</v>
      </c>
      <c r="DE468">
        <v>65861.3</v>
      </c>
      <c r="DF468">
        <v>3007</v>
      </c>
      <c r="DG468">
        <v>0</v>
      </c>
      <c r="DH468">
        <v>62762.5</v>
      </c>
      <c r="DI468">
        <v>91.8</v>
      </c>
    </row>
    <row r="469" spans="1:113" x14ac:dyDescent="0.3">
      <c r="E469" t="s">
        <v>4</v>
      </c>
      <c r="F469" t="s">
        <v>134</v>
      </c>
      <c r="G469" t="s">
        <v>134</v>
      </c>
      <c r="H469" t="s">
        <v>134</v>
      </c>
      <c r="I469" t="s">
        <v>134</v>
      </c>
      <c r="J469" t="s">
        <v>134</v>
      </c>
      <c r="K469" t="s">
        <v>134</v>
      </c>
      <c r="L469" t="s">
        <v>134</v>
      </c>
      <c r="M469" t="s">
        <v>134</v>
      </c>
      <c r="N469" t="s">
        <v>134</v>
      </c>
      <c r="O469" t="s">
        <v>134</v>
      </c>
      <c r="P469" t="s">
        <v>134</v>
      </c>
      <c r="Q469" t="s">
        <v>134</v>
      </c>
      <c r="R469" t="s">
        <v>134</v>
      </c>
      <c r="S469" t="s">
        <v>134</v>
      </c>
      <c r="T469" t="s">
        <v>134</v>
      </c>
      <c r="U469" t="s">
        <v>134</v>
      </c>
      <c r="V469" t="s">
        <v>134</v>
      </c>
      <c r="W469" t="s">
        <v>134</v>
      </c>
      <c r="X469" t="s">
        <v>134</v>
      </c>
      <c r="Y469" t="s">
        <v>134</v>
      </c>
      <c r="Z469" t="s">
        <v>134</v>
      </c>
      <c r="AA469" t="s">
        <v>134</v>
      </c>
      <c r="AB469" t="s">
        <v>134</v>
      </c>
      <c r="AC469" t="s">
        <v>134</v>
      </c>
      <c r="AD469" t="s">
        <v>134</v>
      </c>
      <c r="AE469" t="s">
        <v>134</v>
      </c>
      <c r="AF469" t="s">
        <v>134</v>
      </c>
      <c r="AG469" t="s">
        <v>134</v>
      </c>
      <c r="AH469" t="s">
        <v>134</v>
      </c>
      <c r="AI469" t="s">
        <v>134</v>
      </c>
      <c r="AJ469" t="s">
        <v>134</v>
      </c>
      <c r="AK469" t="s">
        <v>134</v>
      </c>
      <c r="AL469" t="s">
        <v>134</v>
      </c>
      <c r="AM469" t="s">
        <v>134</v>
      </c>
      <c r="AN469" t="s">
        <v>134</v>
      </c>
      <c r="AO469" t="s">
        <v>134</v>
      </c>
      <c r="AP469" t="s">
        <v>134</v>
      </c>
      <c r="AQ469" t="s">
        <v>134</v>
      </c>
      <c r="AR469" t="s">
        <v>134</v>
      </c>
      <c r="AS469" t="s">
        <v>134</v>
      </c>
      <c r="AT469" t="s">
        <v>134</v>
      </c>
      <c r="AU469" t="s">
        <v>134</v>
      </c>
      <c r="AV469" t="s">
        <v>134</v>
      </c>
      <c r="AW469" t="s">
        <v>134</v>
      </c>
      <c r="AX469" t="s">
        <v>134</v>
      </c>
      <c r="AY469" t="s">
        <v>134</v>
      </c>
      <c r="AZ469" t="s">
        <v>134</v>
      </c>
      <c r="BA469" t="s">
        <v>134</v>
      </c>
      <c r="BB469" t="s">
        <v>134</v>
      </c>
      <c r="BC469" t="s">
        <v>134</v>
      </c>
      <c r="BD469" t="s">
        <v>134</v>
      </c>
      <c r="BE469" t="s">
        <v>134</v>
      </c>
      <c r="BF469" t="s">
        <v>134</v>
      </c>
      <c r="BG469" t="s">
        <v>134</v>
      </c>
      <c r="BH469" t="s">
        <v>134</v>
      </c>
      <c r="BI469" t="s">
        <v>134</v>
      </c>
      <c r="BJ469" t="s">
        <v>134</v>
      </c>
      <c r="BK469" t="s">
        <v>134</v>
      </c>
      <c r="BL469" t="s">
        <v>134</v>
      </c>
      <c r="BM469" t="s">
        <v>134</v>
      </c>
      <c r="BN469" t="s">
        <v>134</v>
      </c>
      <c r="BO469" t="s">
        <v>134</v>
      </c>
      <c r="BP469" t="s">
        <v>134</v>
      </c>
      <c r="BQ469" t="s">
        <v>134</v>
      </c>
      <c r="BR469" t="s">
        <v>134</v>
      </c>
      <c r="BS469" t="s">
        <v>134</v>
      </c>
      <c r="BT469" t="s">
        <v>134</v>
      </c>
      <c r="BU469" t="s">
        <v>134</v>
      </c>
      <c r="BV469" t="s">
        <v>134</v>
      </c>
      <c r="BW469" t="s">
        <v>134</v>
      </c>
      <c r="BX469" t="s">
        <v>134</v>
      </c>
      <c r="BY469" t="s">
        <v>134</v>
      </c>
      <c r="BZ469" t="s">
        <v>134</v>
      </c>
      <c r="CA469" t="s">
        <v>134</v>
      </c>
      <c r="CB469" t="s">
        <v>134</v>
      </c>
      <c r="CC469" t="s">
        <v>134</v>
      </c>
      <c r="CD469" t="s">
        <v>134</v>
      </c>
      <c r="CE469" t="s">
        <v>134</v>
      </c>
      <c r="CF469" t="s">
        <v>134</v>
      </c>
      <c r="CG469" t="s">
        <v>134</v>
      </c>
      <c r="CH469" t="s">
        <v>134</v>
      </c>
      <c r="CI469" t="s">
        <v>134</v>
      </c>
      <c r="CJ469" t="s">
        <v>134</v>
      </c>
      <c r="CK469" t="s">
        <v>134</v>
      </c>
      <c r="CL469" t="s">
        <v>134</v>
      </c>
      <c r="CM469" t="s">
        <v>134</v>
      </c>
      <c r="CN469" t="s">
        <v>134</v>
      </c>
      <c r="CO469" t="s">
        <v>134</v>
      </c>
      <c r="CP469" t="s">
        <v>134</v>
      </c>
      <c r="CQ469" t="s">
        <v>134</v>
      </c>
      <c r="CR469" t="s">
        <v>134</v>
      </c>
      <c r="CS469" t="s">
        <v>134</v>
      </c>
      <c r="CT469" t="s">
        <v>134</v>
      </c>
      <c r="CU469" t="s">
        <v>134</v>
      </c>
      <c r="CV469" t="s">
        <v>134</v>
      </c>
      <c r="CW469" t="s">
        <v>134</v>
      </c>
      <c r="CX469" t="s">
        <v>134</v>
      </c>
      <c r="CY469" t="s">
        <v>134</v>
      </c>
      <c r="CZ469" t="s">
        <v>134</v>
      </c>
      <c r="DA469" t="s">
        <v>134</v>
      </c>
      <c r="DB469" t="s">
        <v>134</v>
      </c>
      <c r="DC469" t="s">
        <v>134</v>
      </c>
      <c r="DD469" t="s">
        <v>134</v>
      </c>
      <c r="DE469" t="s">
        <v>134</v>
      </c>
      <c r="DF469" t="s">
        <v>134</v>
      </c>
      <c r="DG469" t="s">
        <v>134</v>
      </c>
      <c r="DH469" t="s">
        <v>134</v>
      </c>
      <c r="DI469" t="s">
        <v>134</v>
      </c>
    </row>
    <row r="470" spans="1:113" x14ac:dyDescent="0.3">
      <c r="E470" t="s">
        <v>5</v>
      </c>
      <c r="F470" t="s">
        <v>134</v>
      </c>
      <c r="G470" t="s">
        <v>134</v>
      </c>
      <c r="H470" t="s">
        <v>134</v>
      </c>
      <c r="I470" t="s">
        <v>134</v>
      </c>
      <c r="J470" t="s">
        <v>134</v>
      </c>
      <c r="K470" t="s">
        <v>134</v>
      </c>
      <c r="L470" t="s">
        <v>134</v>
      </c>
      <c r="M470" t="s">
        <v>134</v>
      </c>
      <c r="N470" t="s">
        <v>134</v>
      </c>
      <c r="O470" t="s">
        <v>134</v>
      </c>
      <c r="P470" t="s">
        <v>134</v>
      </c>
      <c r="Q470" t="s">
        <v>134</v>
      </c>
      <c r="R470" t="s">
        <v>134</v>
      </c>
      <c r="S470" t="s">
        <v>134</v>
      </c>
      <c r="T470" t="s">
        <v>134</v>
      </c>
      <c r="U470" t="s">
        <v>134</v>
      </c>
      <c r="V470" t="s">
        <v>134</v>
      </c>
      <c r="W470" t="s">
        <v>134</v>
      </c>
      <c r="X470" t="s">
        <v>134</v>
      </c>
      <c r="Y470" t="s">
        <v>134</v>
      </c>
      <c r="Z470" t="s">
        <v>134</v>
      </c>
      <c r="AA470" t="s">
        <v>134</v>
      </c>
      <c r="AB470" t="s">
        <v>134</v>
      </c>
      <c r="AC470" t="s">
        <v>134</v>
      </c>
      <c r="AD470" t="s">
        <v>134</v>
      </c>
      <c r="AE470" t="s">
        <v>134</v>
      </c>
      <c r="AF470" t="s">
        <v>134</v>
      </c>
      <c r="AG470" t="s">
        <v>134</v>
      </c>
      <c r="AH470" t="s">
        <v>134</v>
      </c>
      <c r="AI470" t="s">
        <v>134</v>
      </c>
      <c r="AJ470" t="s">
        <v>134</v>
      </c>
      <c r="AK470" t="s">
        <v>134</v>
      </c>
      <c r="AL470" t="s">
        <v>134</v>
      </c>
      <c r="AM470" t="s">
        <v>134</v>
      </c>
      <c r="AN470" t="s">
        <v>134</v>
      </c>
      <c r="AO470" t="s">
        <v>134</v>
      </c>
      <c r="AP470" t="s">
        <v>134</v>
      </c>
      <c r="AQ470" t="s">
        <v>134</v>
      </c>
      <c r="AR470" t="s">
        <v>134</v>
      </c>
      <c r="AS470" t="s">
        <v>134</v>
      </c>
      <c r="AT470" t="s">
        <v>134</v>
      </c>
      <c r="AU470" t="s">
        <v>134</v>
      </c>
      <c r="AV470" t="s">
        <v>134</v>
      </c>
      <c r="AW470" t="s">
        <v>134</v>
      </c>
      <c r="AX470" t="s">
        <v>134</v>
      </c>
      <c r="AY470" t="s">
        <v>134</v>
      </c>
      <c r="AZ470" t="s">
        <v>134</v>
      </c>
      <c r="BA470" t="s">
        <v>134</v>
      </c>
      <c r="BB470" t="s">
        <v>134</v>
      </c>
      <c r="BC470" t="s">
        <v>134</v>
      </c>
      <c r="BD470" t="s">
        <v>134</v>
      </c>
      <c r="BE470" t="s">
        <v>134</v>
      </c>
      <c r="BF470" t="s">
        <v>134</v>
      </c>
      <c r="BG470" t="s">
        <v>134</v>
      </c>
      <c r="BH470" t="s">
        <v>134</v>
      </c>
      <c r="BI470" t="s">
        <v>134</v>
      </c>
      <c r="BJ470" t="s">
        <v>134</v>
      </c>
      <c r="BK470" t="s">
        <v>134</v>
      </c>
      <c r="BL470" t="s">
        <v>134</v>
      </c>
      <c r="BM470" t="s">
        <v>134</v>
      </c>
      <c r="BN470" t="s">
        <v>134</v>
      </c>
      <c r="BO470" t="s">
        <v>134</v>
      </c>
      <c r="BP470" t="s">
        <v>134</v>
      </c>
      <c r="BQ470" t="s">
        <v>134</v>
      </c>
      <c r="BR470" t="s">
        <v>134</v>
      </c>
      <c r="BS470" t="s">
        <v>134</v>
      </c>
      <c r="BT470" t="s">
        <v>134</v>
      </c>
      <c r="BU470" t="s">
        <v>134</v>
      </c>
      <c r="BV470" t="s">
        <v>134</v>
      </c>
      <c r="BW470" t="s">
        <v>134</v>
      </c>
      <c r="BX470" t="s">
        <v>134</v>
      </c>
      <c r="BY470" t="s">
        <v>134</v>
      </c>
      <c r="BZ470" t="s">
        <v>134</v>
      </c>
      <c r="CA470" t="s">
        <v>134</v>
      </c>
      <c r="CB470" t="s">
        <v>134</v>
      </c>
      <c r="CC470" t="s">
        <v>134</v>
      </c>
      <c r="CD470" t="s">
        <v>134</v>
      </c>
      <c r="CE470" t="s">
        <v>134</v>
      </c>
      <c r="CF470" t="s">
        <v>134</v>
      </c>
      <c r="CG470" t="s">
        <v>134</v>
      </c>
      <c r="CH470" t="s">
        <v>134</v>
      </c>
      <c r="CI470" t="s">
        <v>134</v>
      </c>
      <c r="CJ470" t="s">
        <v>134</v>
      </c>
      <c r="CK470" t="s">
        <v>134</v>
      </c>
      <c r="CL470" t="s">
        <v>134</v>
      </c>
      <c r="CM470" t="s">
        <v>134</v>
      </c>
      <c r="CN470" t="s">
        <v>134</v>
      </c>
      <c r="CO470" t="s">
        <v>134</v>
      </c>
      <c r="CP470" t="s">
        <v>134</v>
      </c>
      <c r="CQ470" t="s">
        <v>134</v>
      </c>
      <c r="CR470" t="s">
        <v>134</v>
      </c>
      <c r="CS470" t="s">
        <v>134</v>
      </c>
      <c r="CT470" t="s">
        <v>134</v>
      </c>
      <c r="CU470" t="s">
        <v>134</v>
      </c>
      <c r="CV470" t="s">
        <v>134</v>
      </c>
      <c r="CW470" t="s">
        <v>134</v>
      </c>
      <c r="CX470" t="s">
        <v>134</v>
      </c>
      <c r="CY470" t="s">
        <v>134</v>
      </c>
      <c r="CZ470" t="s">
        <v>134</v>
      </c>
      <c r="DA470" t="s">
        <v>134</v>
      </c>
      <c r="DB470" t="s">
        <v>134</v>
      </c>
      <c r="DC470" t="s">
        <v>134</v>
      </c>
      <c r="DD470" t="s">
        <v>134</v>
      </c>
      <c r="DE470" t="s">
        <v>134</v>
      </c>
      <c r="DF470" t="s">
        <v>134</v>
      </c>
      <c r="DG470" t="s">
        <v>134</v>
      </c>
      <c r="DH470" t="s">
        <v>134</v>
      </c>
      <c r="DI470" t="s">
        <v>134</v>
      </c>
    </row>
    <row r="471" spans="1:113" x14ac:dyDescent="0.3">
      <c r="E471" t="s">
        <v>6</v>
      </c>
      <c r="F471" t="s">
        <v>134</v>
      </c>
      <c r="G471" t="s">
        <v>134</v>
      </c>
      <c r="H471" t="s">
        <v>134</v>
      </c>
      <c r="I471" t="s">
        <v>134</v>
      </c>
      <c r="J471" t="s">
        <v>134</v>
      </c>
      <c r="K471" t="s">
        <v>134</v>
      </c>
      <c r="L471" t="s">
        <v>134</v>
      </c>
      <c r="M471" t="s">
        <v>134</v>
      </c>
      <c r="N471" t="s">
        <v>134</v>
      </c>
      <c r="O471" t="s">
        <v>134</v>
      </c>
      <c r="P471" t="s">
        <v>134</v>
      </c>
      <c r="Q471" t="s">
        <v>134</v>
      </c>
      <c r="R471" t="s">
        <v>134</v>
      </c>
      <c r="S471" t="s">
        <v>134</v>
      </c>
      <c r="T471" t="s">
        <v>134</v>
      </c>
      <c r="U471" t="s">
        <v>134</v>
      </c>
      <c r="V471" t="s">
        <v>134</v>
      </c>
      <c r="W471" t="s">
        <v>134</v>
      </c>
      <c r="X471" t="s">
        <v>134</v>
      </c>
      <c r="Y471" t="s">
        <v>134</v>
      </c>
      <c r="Z471" t="s">
        <v>134</v>
      </c>
      <c r="AA471" t="s">
        <v>134</v>
      </c>
      <c r="AB471" t="s">
        <v>134</v>
      </c>
      <c r="AC471" t="s">
        <v>134</v>
      </c>
      <c r="AD471" t="s">
        <v>134</v>
      </c>
      <c r="AE471" t="s">
        <v>134</v>
      </c>
      <c r="AF471" t="s">
        <v>134</v>
      </c>
      <c r="AG471" t="s">
        <v>134</v>
      </c>
      <c r="AH471" t="s">
        <v>134</v>
      </c>
      <c r="AI471" t="s">
        <v>134</v>
      </c>
      <c r="AJ471" t="s">
        <v>134</v>
      </c>
      <c r="AK471" t="s">
        <v>134</v>
      </c>
      <c r="AL471" t="s">
        <v>134</v>
      </c>
      <c r="AM471" t="s">
        <v>134</v>
      </c>
      <c r="AN471" t="s">
        <v>134</v>
      </c>
      <c r="AO471" t="s">
        <v>134</v>
      </c>
      <c r="AP471" t="s">
        <v>134</v>
      </c>
      <c r="AQ471" t="s">
        <v>134</v>
      </c>
      <c r="AR471" t="s">
        <v>134</v>
      </c>
      <c r="AS471" t="s">
        <v>134</v>
      </c>
      <c r="AT471" t="s">
        <v>134</v>
      </c>
      <c r="AU471" t="s">
        <v>134</v>
      </c>
      <c r="AV471" t="s">
        <v>134</v>
      </c>
      <c r="AW471" t="s">
        <v>134</v>
      </c>
      <c r="AX471" t="s">
        <v>134</v>
      </c>
      <c r="AY471" t="s">
        <v>134</v>
      </c>
      <c r="AZ471" t="s">
        <v>134</v>
      </c>
      <c r="BA471" t="s">
        <v>134</v>
      </c>
      <c r="BB471" t="s">
        <v>134</v>
      </c>
      <c r="BC471" t="s">
        <v>134</v>
      </c>
      <c r="BD471" t="s">
        <v>134</v>
      </c>
      <c r="BE471" t="s">
        <v>134</v>
      </c>
      <c r="BF471" t="s">
        <v>134</v>
      </c>
      <c r="BG471" t="s">
        <v>134</v>
      </c>
      <c r="BH471" t="s">
        <v>134</v>
      </c>
      <c r="BI471" t="s">
        <v>134</v>
      </c>
      <c r="BJ471" t="s">
        <v>134</v>
      </c>
      <c r="BK471" t="s">
        <v>134</v>
      </c>
      <c r="BL471" t="s">
        <v>134</v>
      </c>
      <c r="BM471" t="s">
        <v>134</v>
      </c>
      <c r="BN471" t="s">
        <v>134</v>
      </c>
      <c r="BO471" t="s">
        <v>134</v>
      </c>
      <c r="BP471" t="s">
        <v>134</v>
      </c>
      <c r="BQ471" t="s">
        <v>134</v>
      </c>
      <c r="BR471" t="s">
        <v>134</v>
      </c>
      <c r="BS471" t="s">
        <v>134</v>
      </c>
      <c r="BT471" t="s">
        <v>134</v>
      </c>
      <c r="BU471" t="s">
        <v>134</v>
      </c>
      <c r="BV471" t="s">
        <v>134</v>
      </c>
      <c r="BW471" t="s">
        <v>134</v>
      </c>
      <c r="BX471" t="s">
        <v>134</v>
      </c>
      <c r="BY471" t="s">
        <v>134</v>
      </c>
      <c r="BZ471" t="s">
        <v>134</v>
      </c>
      <c r="CA471" t="s">
        <v>134</v>
      </c>
      <c r="CB471" t="s">
        <v>134</v>
      </c>
      <c r="CC471" t="s">
        <v>134</v>
      </c>
      <c r="CD471" t="s">
        <v>134</v>
      </c>
      <c r="CE471" t="s">
        <v>134</v>
      </c>
      <c r="CF471" t="s">
        <v>134</v>
      </c>
      <c r="CG471" t="s">
        <v>134</v>
      </c>
      <c r="CH471" t="s">
        <v>134</v>
      </c>
      <c r="CI471" t="s">
        <v>134</v>
      </c>
      <c r="CJ471" t="s">
        <v>134</v>
      </c>
      <c r="CK471" t="s">
        <v>134</v>
      </c>
      <c r="CL471" t="s">
        <v>134</v>
      </c>
      <c r="CM471" t="s">
        <v>134</v>
      </c>
      <c r="CN471" t="s">
        <v>134</v>
      </c>
      <c r="CO471" t="s">
        <v>134</v>
      </c>
      <c r="CP471" t="s">
        <v>134</v>
      </c>
      <c r="CQ471" t="s">
        <v>134</v>
      </c>
      <c r="CR471" t="s">
        <v>134</v>
      </c>
      <c r="CS471" t="s">
        <v>134</v>
      </c>
      <c r="CT471" t="s">
        <v>134</v>
      </c>
      <c r="CU471" t="s">
        <v>134</v>
      </c>
      <c r="CV471" t="s">
        <v>134</v>
      </c>
      <c r="CW471" t="s">
        <v>134</v>
      </c>
      <c r="CX471" t="s">
        <v>134</v>
      </c>
      <c r="CY471" t="s">
        <v>134</v>
      </c>
      <c r="CZ471" t="s">
        <v>134</v>
      </c>
      <c r="DA471" t="s">
        <v>134</v>
      </c>
      <c r="DB471" t="s">
        <v>134</v>
      </c>
      <c r="DC471" t="s">
        <v>134</v>
      </c>
      <c r="DD471" t="s">
        <v>134</v>
      </c>
      <c r="DE471" t="s">
        <v>134</v>
      </c>
      <c r="DF471" t="s">
        <v>134</v>
      </c>
      <c r="DG471" t="s">
        <v>134</v>
      </c>
      <c r="DH471" t="s">
        <v>134</v>
      </c>
      <c r="DI471" t="s">
        <v>134</v>
      </c>
    </row>
    <row r="472" spans="1:113" x14ac:dyDescent="0.3">
      <c r="E472" t="s">
        <v>7</v>
      </c>
      <c r="F472" t="s">
        <v>134</v>
      </c>
      <c r="G472" t="s">
        <v>134</v>
      </c>
      <c r="H472" t="s">
        <v>134</v>
      </c>
      <c r="I472" t="s">
        <v>134</v>
      </c>
      <c r="J472" t="s">
        <v>134</v>
      </c>
      <c r="K472" t="s">
        <v>134</v>
      </c>
      <c r="L472" t="s">
        <v>134</v>
      </c>
      <c r="M472" t="s">
        <v>134</v>
      </c>
      <c r="N472" t="s">
        <v>134</v>
      </c>
      <c r="O472" t="s">
        <v>134</v>
      </c>
      <c r="P472" t="s">
        <v>134</v>
      </c>
      <c r="Q472" t="s">
        <v>134</v>
      </c>
      <c r="R472" t="s">
        <v>134</v>
      </c>
      <c r="S472" t="s">
        <v>134</v>
      </c>
      <c r="T472" t="s">
        <v>134</v>
      </c>
      <c r="U472" t="s">
        <v>134</v>
      </c>
      <c r="V472" t="s">
        <v>134</v>
      </c>
      <c r="W472" t="s">
        <v>134</v>
      </c>
      <c r="X472" t="s">
        <v>134</v>
      </c>
      <c r="Y472" t="s">
        <v>134</v>
      </c>
      <c r="Z472" t="s">
        <v>134</v>
      </c>
      <c r="AA472" t="s">
        <v>134</v>
      </c>
      <c r="AB472" t="s">
        <v>134</v>
      </c>
      <c r="AC472" t="s">
        <v>134</v>
      </c>
      <c r="AD472" t="s">
        <v>134</v>
      </c>
      <c r="AE472" t="s">
        <v>134</v>
      </c>
      <c r="AF472" t="s">
        <v>134</v>
      </c>
      <c r="AG472" t="s">
        <v>134</v>
      </c>
      <c r="AH472" t="s">
        <v>134</v>
      </c>
      <c r="AI472" t="s">
        <v>134</v>
      </c>
      <c r="AJ472" t="s">
        <v>134</v>
      </c>
      <c r="AK472" t="s">
        <v>134</v>
      </c>
      <c r="AL472" t="s">
        <v>134</v>
      </c>
      <c r="AM472" t="s">
        <v>134</v>
      </c>
      <c r="AN472" t="s">
        <v>134</v>
      </c>
      <c r="AO472" t="s">
        <v>134</v>
      </c>
      <c r="AP472" t="s">
        <v>134</v>
      </c>
      <c r="AQ472" t="s">
        <v>134</v>
      </c>
      <c r="AR472" t="s">
        <v>134</v>
      </c>
      <c r="AS472" t="s">
        <v>134</v>
      </c>
      <c r="AT472" t="s">
        <v>134</v>
      </c>
      <c r="AU472" t="s">
        <v>134</v>
      </c>
      <c r="AV472" t="s">
        <v>134</v>
      </c>
      <c r="AW472" t="s">
        <v>134</v>
      </c>
      <c r="AX472" t="s">
        <v>134</v>
      </c>
      <c r="AY472" t="s">
        <v>134</v>
      </c>
      <c r="AZ472" t="s">
        <v>134</v>
      </c>
      <c r="BA472" t="s">
        <v>134</v>
      </c>
      <c r="BB472" t="s">
        <v>134</v>
      </c>
      <c r="BC472" t="s">
        <v>134</v>
      </c>
      <c r="BD472" t="s">
        <v>134</v>
      </c>
      <c r="BE472" t="s">
        <v>134</v>
      </c>
      <c r="BF472" t="s">
        <v>134</v>
      </c>
      <c r="BG472" t="s">
        <v>134</v>
      </c>
      <c r="BH472" t="s">
        <v>134</v>
      </c>
      <c r="BI472" t="s">
        <v>134</v>
      </c>
      <c r="BJ472" t="s">
        <v>134</v>
      </c>
      <c r="BK472" t="s">
        <v>134</v>
      </c>
      <c r="BL472" t="s">
        <v>134</v>
      </c>
      <c r="BM472" t="s">
        <v>134</v>
      </c>
      <c r="BN472" t="s">
        <v>134</v>
      </c>
      <c r="BO472" t="s">
        <v>134</v>
      </c>
      <c r="BP472" t="s">
        <v>134</v>
      </c>
      <c r="BQ472" t="s">
        <v>134</v>
      </c>
      <c r="BR472" t="s">
        <v>134</v>
      </c>
      <c r="BS472" t="s">
        <v>134</v>
      </c>
      <c r="BT472" t="s">
        <v>134</v>
      </c>
      <c r="BU472" t="s">
        <v>134</v>
      </c>
      <c r="BV472" t="s">
        <v>134</v>
      </c>
      <c r="BW472" t="s">
        <v>134</v>
      </c>
      <c r="BX472" t="s">
        <v>134</v>
      </c>
      <c r="BY472" t="s">
        <v>134</v>
      </c>
      <c r="BZ472" t="s">
        <v>134</v>
      </c>
      <c r="CA472" t="s">
        <v>134</v>
      </c>
      <c r="CB472" t="s">
        <v>134</v>
      </c>
      <c r="CC472" t="s">
        <v>134</v>
      </c>
      <c r="CD472" t="s">
        <v>134</v>
      </c>
      <c r="CE472" t="s">
        <v>134</v>
      </c>
      <c r="CF472" t="s">
        <v>134</v>
      </c>
      <c r="CG472" t="s">
        <v>134</v>
      </c>
      <c r="CH472" t="s">
        <v>134</v>
      </c>
      <c r="CI472" t="s">
        <v>134</v>
      </c>
      <c r="CJ472" t="s">
        <v>134</v>
      </c>
      <c r="CK472" t="s">
        <v>134</v>
      </c>
      <c r="CL472" t="s">
        <v>134</v>
      </c>
      <c r="CM472" t="s">
        <v>134</v>
      </c>
      <c r="CN472" t="s">
        <v>134</v>
      </c>
      <c r="CO472" t="s">
        <v>134</v>
      </c>
      <c r="CP472" t="s">
        <v>134</v>
      </c>
      <c r="CQ472" t="s">
        <v>134</v>
      </c>
      <c r="CR472" t="s">
        <v>134</v>
      </c>
      <c r="CS472" t="s">
        <v>134</v>
      </c>
      <c r="CT472" t="s">
        <v>134</v>
      </c>
      <c r="CU472" t="s">
        <v>134</v>
      </c>
      <c r="CV472" t="s">
        <v>134</v>
      </c>
      <c r="CW472" t="s">
        <v>134</v>
      </c>
      <c r="CX472" t="s">
        <v>134</v>
      </c>
      <c r="CY472" t="s">
        <v>134</v>
      </c>
      <c r="CZ472" t="s">
        <v>134</v>
      </c>
      <c r="DA472" t="s">
        <v>134</v>
      </c>
      <c r="DB472" t="s">
        <v>134</v>
      </c>
      <c r="DC472" t="s">
        <v>134</v>
      </c>
      <c r="DD472" t="s">
        <v>134</v>
      </c>
      <c r="DE472" t="s">
        <v>134</v>
      </c>
      <c r="DF472" t="s">
        <v>134</v>
      </c>
      <c r="DG472" t="s">
        <v>134</v>
      </c>
      <c r="DH472" t="s">
        <v>134</v>
      </c>
      <c r="DI472" t="s">
        <v>134</v>
      </c>
    </row>
    <row r="473" spans="1:113" x14ac:dyDescent="0.3">
      <c r="D473" t="s">
        <v>11</v>
      </c>
      <c r="E473" t="s">
        <v>3</v>
      </c>
      <c r="F473">
        <v>10.470599999999999</v>
      </c>
      <c r="G473">
        <v>4.0331000000000001</v>
      </c>
      <c r="H473">
        <v>6.4818999999999996</v>
      </c>
      <c r="I473">
        <v>5.4832999999999998</v>
      </c>
      <c r="J473">
        <v>26.034500000000001</v>
      </c>
      <c r="K473">
        <v>17.3721</v>
      </c>
      <c r="L473" t="s">
        <v>134</v>
      </c>
      <c r="M473">
        <v>15.1996</v>
      </c>
      <c r="N473">
        <v>12.1943</v>
      </c>
      <c r="O473">
        <v>12.243600000000001</v>
      </c>
      <c r="P473">
        <v>12.243600000000001</v>
      </c>
      <c r="Q473">
        <v>19.772400000000001</v>
      </c>
      <c r="R473">
        <v>40.038899999999998</v>
      </c>
      <c r="S473">
        <v>6.2782999999999998</v>
      </c>
      <c r="T473">
        <v>6.0654000000000003</v>
      </c>
      <c r="U473">
        <v>4.3015999999999996</v>
      </c>
      <c r="V473">
        <v>-3.3923999999999999</v>
      </c>
      <c r="W473">
        <v>-1.639</v>
      </c>
      <c r="X473">
        <v>-1.6153999999999999</v>
      </c>
      <c r="Y473">
        <v>7.1130000000000004</v>
      </c>
      <c r="Z473">
        <v>-1.6922999999999999</v>
      </c>
      <c r="AA473">
        <v>-6.7694000000000001</v>
      </c>
      <c r="AB473">
        <v>10.5563</v>
      </c>
      <c r="AC473">
        <v>10.4109</v>
      </c>
      <c r="AD473">
        <v>-17.363299999999999</v>
      </c>
      <c r="AE473">
        <v>25.055599999999998</v>
      </c>
      <c r="AF473">
        <v>20.3645</v>
      </c>
      <c r="AG473">
        <v>114.1463</v>
      </c>
      <c r="AH473">
        <v>15.1701</v>
      </c>
      <c r="AI473">
        <v>5.9508000000000001</v>
      </c>
      <c r="AJ473">
        <v>10.752000000000001</v>
      </c>
      <c r="AK473">
        <v>5.8520000000000003</v>
      </c>
      <c r="AL473">
        <v>-11.416399999999999</v>
      </c>
      <c r="AM473">
        <v>4.0506000000000002</v>
      </c>
      <c r="AN473">
        <v>4.8357999999999999</v>
      </c>
      <c r="AO473">
        <v>1.508</v>
      </c>
      <c r="AP473">
        <v>-3.4859999999999998</v>
      </c>
      <c r="AQ473">
        <v>-3.4824000000000002</v>
      </c>
      <c r="AR473">
        <v>2.6151999999999997</v>
      </c>
      <c r="AS473">
        <v>7.6478999999999999</v>
      </c>
      <c r="AT473">
        <v>6.0583</v>
      </c>
      <c r="AU473">
        <v>12.2828</v>
      </c>
      <c r="AV473">
        <v>8.9524000000000008</v>
      </c>
      <c r="AW473">
        <v>11.382</v>
      </c>
      <c r="AX473" t="s">
        <v>134</v>
      </c>
      <c r="AY473">
        <v>2.7305000000000001</v>
      </c>
      <c r="AZ473">
        <v>2.7568000000000001</v>
      </c>
      <c r="BA473">
        <v>11.8832</v>
      </c>
      <c r="BB473">
        <v>4.9401999999999999</v>
      </c>
      <c r="BC473">
        <v>8.3673000000000002</v>
      </c>
      <c r="BD473">
        <v>4.9145000000000003</v>
      </c>
      <c r="BE473">
        <v>-4.1489000000000003</v>
      </c>
      <c r="BF473">
        <v>6.0654000000000003</v>
      </c>
      <c r="BG473">
        <v>4.3015999999999996</v>
      </c>
      <c r="BH473">
        <v>-3.3923999999999999</v>
      </c>
      <c r="BI473">
        <v>-1.639</v>
      </c>
      <c r="BJ473">
        <v>-1.6153999999999999</v>
      </c>
      <c r="BK473">
        <v>7.1130000000000004</v>
      </c>
      <c r="BL473">
        <v>-1.6922999999999999</v>
      </c>
      <c r="BM473">
        <v>-6.7694000000000001</v>
      </c>
      <c r="BN473">
        <v>10.5563</v>
      </c>
      <c r="BO473">
        <v>10.4109</v>
      </c>
      <c r="BP473">
        <v>-17.363299999999999</v>
      </c>
      <c r="BQ473" t="s">
        <v>134</v>
      </c>
      <c r="BR473">
        <v>20.3645</v>
      </c>
      <c r="BS473">
        <v>114.1463</v>
      </c>
      <c r="BT473">
        <v>15.1701</v>
      </c>
      <c r="BU473">
        <v>5.9508000000000001</v>
      </c>
      <c r="BV473">
        <v>10.752000000000001</v>
      </c>
      <c r="BW473">
        <v>5.8520000000000003</v>
      </c>
      <c r="BX473">
        <v>-11.416399999999999</v>
      </c>
      <c r="BY473">
        <v>1234561.8999999999</v>
      </c>
      <c r="BZ473">
        <v>66803.8</v>
      </c>
      <c r="CA473">
        <v>1167758.1000000001</v>
      </c>
      <c r="CB473">
        <v>5.5064000000000002</v>
      </c>
      <c r="CC473">
        <v>5.3106999999999998</v>
      </c>
      <c r="CD473">
        <v>8.2521000000000004</v>
      </c>
      <c r="CE473">
        <v>7.9588000000000001</v>
      </c>
      <c r="CF473">
        <v>5.0557999999999996</v>
      </c>
      <c r="CG473">
        <v>37.746200000000002</v>
      </c>
      <c r="CH473">
        <v>111.73520000000001</v>
      </c>
      <c r="CI473">
        <v>51.224800000000002</v>
      </c>
      <c r="CJ473">
        <v>42.561700000000002</v>
      </c>
      <c r="CK473">
        <v>118.1272</v>
      </c>
      <c r="CL473">
        <v>54.155200000000001</v>
      </c>
      <c r="CM473">
        <v>44.996600000000001</v>
      </c>
      <c r="CN473">
        <v>113.929</v>
      </c>
      <c r="CO473">
        <v>53.255499999999998</v>
      </c>
      <c r="CP473">
        <v>224204.6</v>
      </c>
      <c r="CQ473">
        <v>36555.800000000003</v>
      </c>
      <c r="CR473">
        <v>149605.29999999999</v>
      </c>
      <c r="CS473">
        <v>9.6100000000000005E-2</v>
      </c>
      <c r="CT473">
        <v>0.85980000000000001</v>
      </c>
      <c r="CU473">
        <v>0.28920000000000001</v>
      </c>
      <c r="CV473">
        <v>0.9819</v>
      </c>
      <c r="CW473">
        <v>9.6891999999999996</v>
      </c>
      <c r="CX473">
        <v>37.670699999999997</v>
      </c>
      <c r="CY473">
        <v>0.67949999999999999</v>
      </c>
      <c r="CZ473">
        <v>537.19830000000002</v>
      </c>
      <c r="DA473">
        <v>0.63149999999999995</v>
      </c>
      <c r="DB473">
        <v>577.96489999999994</v>
      </c>
      <c r="DC473">
        <v>-3.0958999999999999</v>
      </c>
      <c r="DD473">
        <v>574.86900000000003</v>
      </c>
      <c r="DE473">
        <v>61402.9</v>
      </c>
      <c r="DF473">
        <v>21347.7</v>
      </c>
      <c r="DG473">
        <v>0</v>
      </c>
      <c r="DH473">
        <v>3241.5</v>
      </c>
      <c r="DI473">
        <v>36813.699999999997</v>
      </c>
    </row>
    <row r="474" spans="1:113" x14ac:dyDescent="0.3">
      <c r="E474" t="s">
        <v>4</v>
      </c>
      <c r="F474" t="s">
        <v>134</v>
      </c>
      <c r="G474" t="s">
        <v>134</v>
      </c>
      <c r="H474" t="s">
        <v>134</v>
      </c>
      <c r="I474" t="s">
        <v>134</v>
      </c>
      <c r="J474" t="s">
        <v>134</v>
      </c>
      <c r="K474" t="s">
        <v>134</v>
      </c>
      <c r="L474" t="s">
        <v>134</v>
      </c>
      <c r="M474" t="s">
        <v>134</v>
      </c>
      <c r="N474" t="s">
        <v>134</v>
      </c>
      <c r="O474" t="s">
        <v>134</v>
      </c>
      <c r="P474" t="s">
        <v>134</v>
      </c>
      <c r="Q474" t="s">
        <v>134</v>
      </c>
      <c r="R474" t="s">
        <v>134</v>
      </c>
      <c r="S474" t="s">
        <v>134</v>
      </c>
      <c r="T474" t="s">
        <v>134</v>
      </c>
      <c r="U474" t="s">
        <v>134</v>
      </c>
      <c r="V474" t="s">
        <v>134</v>
      </c>
      <c r="W474" t="s">
        <v>134</v>
      </c>
      <c r="X474" t="s">
        <v>134</v>
      </c>
      <c r="Y474" t="s">
        <v>134</v>
      </c>
      <c r="Z474" t="s">
        <v>134</v>
      </c>
      <c r="AA474" t="s">
        <v>134</v>
      </c>
      <c r="AB474" t="s">
        <v>134</v>
      </c>
      <c r="AC474" t="s">
        <v>134</v>
      </c>
      <c r="AD474" t="s">
        <v>134</v>
      </c>
      <c r="AE474" t="s">
        <v>134</v>
      </c>
      <c r="AF474" t="s">
        <v>134</v>
      </c>
      <c r="AG474" t="s">
        <v>134</v>
      </c>
      <c r="AH474" t="s">
        <v>134</v>
      </c>
      <c r="AI474" t="s">
        <v>134</v>
      </c>
      <c r="AJ474" t="s">
        <v>134</v>
      </c>
      <c r="AK474" t="s">
        <v>134</v>
      </c>
      <c r="AL474" t="s">
        <v>134</v>
      </c>
      <c r="AM474" t="s">
        <v>134</v>
      </c>
      <c r="AN474" t="s">
        <v>134</v>
      </c>
      <c r="AO474" t="s">
        <v>134</v>
      </c>
      <c r="AP474" t="s">
        <v>134</v>
      </c>
      <c r="AQ474" t="s">
        <v>134</v>
      </c>
      <c r="AR474" t="s">
        <v>134</v>
      </c>
      <c r="AS474" t="s">
        <v>134</v>
      </c>
      <c r="AT474" t="s">
        <v>134</v>
      </c>
      <c r="AU474" t="s">
        <v>134</v>
      </c>
      <c r="AV474" t="s">
        <v>134</v>
      </c>
      <c r="AW474" t="s">
        <v>134</v>
      </c>
      <c r="AX474" t="s">
        <v>134</v>
      </c>
      <c r="AY474" t="s">
        <v>134</v>
      </c>
      <c r="AZ474" t="s">
        <v>134</v>
      </c>
      <c r="BA474" t="s">
        <v>134</v>
      </c>
      <c r="BB474" t="s">
        <v>134</v>
      </c>
      <c r="BC474" t="s">
        <v>134</v>
      </c>
      <c r="BD474" t="s">
        <v>134</v>
      </c>
      <c r="BE474" t="s">
        <v>134</v>
      </c>
      <c r="BF474" t="s">
        <v>134</v>
      </c>
      <c r="BG474" t="s">
        <v>134</v>
      </c>
      <c r="BH474" t="s">
        <v>134</v>
      </c>
      <c r="BI474" t="s">
        <v>134</v>
      </c>
      <c r="BJ474" t="s">
        <v>134</v>
      </c>
      <c r="BK474" t="s">
        <v>134</v>
      </c>
      <c r="BL474" t="s">
        <v>134</v>
      </c>
      <c r="BM474" t="s">
        <v>134</v>
      </c>
      <c r="BN474" t="s">
        <v>134</v>
      </c>
      <c r="BO474" t="s">
        <v>134</v>
      </c>
      <c r="BP474" t="s">
        <v>134</v>
      </c>
      <c r="BQ474" t="s">
        <v>134</v>
      </c>
      <c r="BR474" t="s">
        <v>134</v>
      </c>
      <c r="BS474" t="s">
        <v>134</v>
      </c>
      <c r="BT474" t="s">
        <v>134</v>
      </c>
      <c r="BU474" t="s">
        <v>134</v>
      </c>
      <c r="BV474" t="s">
        <v>134</v>
      </c>
      <c r="BW474" t="s">
        <v>134</v>
      </c>
      <c r="BX474" t="s">
        <v>134</v>
      </c>
      <c r="BY474" t="s">
        <v>134</v>
      </c>
      <c r="BZ474" t="s">
        <v>134</v>
      </c>
      <c r="CA474" t="s">
        <v>134</v>
      </c>
      <c r="CB474" t="s">
        <v>134</v>
      </c>
      <c r="CC474" t="s">
        <v>134</v>
      </c>
      <c r="CD474" t="s">
        <v>134</v>
      </c>
      <c r="CE474" t="s">
        <v>134</v>
      </c>
      <c r="CF474" t="s">
        <v>134</v>
      </c>
      <c r="CG474" t="s">
        <v>134</v>
      </c>
      <c r="CH474" t="s">
        <v>134</v>
      </c>
      <c r="CI474" t="s">
        <v>134</v>
      </c>
      <c r="CJ474" t="s">
        <v>134</v>
      </c>
      <c r="CK474" t="s">
        <v>134</v>
      </c>
      <c r="CL474" t="s">
        <v>134</v>
      </c>
      <c r="CM474" t="s">
        <v>134</v>
      </c>
      <c r="CN474" t="s">
        <v>134</v>
      </c>
      <c r="CO474" t="s">
        <v>134</v>
      </c>
      <c r="CP474" t="s">
        <v>134</v>
      </c>
      <c r="CQ474" t="s">
        <v>134</v>
      </c>
      <c r="CR474" t="s">
        <v>134</v>
      </c>
      <c r="CS474" t="s">
        <v>134</v>
      </c>
      <c r="CT474" t="s">
        <v>134</v>
      </c>
      <c r="CU474" t="s">
        <v>134</v>
      </c>
      <c r="CV474" t="s">
        <v>134</v>
      </c>
      <c r="CW474" t="s">
        <v>134</v>
      </c>
      <c r="CX474" t="s">
        <v>134</v>
      </c>
      <c r="CY474" t="s">
        <v>134</v>
      </c>
      <c r="CZ474" t="s">
        <v>134</v>
      </c>
      <c r="DA474" t="s">
        <v>134</v>
      </c>
      <c r="DB474" t="s">
        <v>134</v>
      </c>
      <c r="DC474" t="s">
        <v>134</v>
      </c>
      <c r="DD474" t="s">
        <v>134</v>
      </c>
      <c r="DE474" t="s">
        <v>134</v>
      </c>
      <c r="DF474" t="s">
        <v>134</v>
      </c>
      <c r="DG474" t="s">
        <v>134</v>
      </c>
      <c r="DH474" t="s">
        <v>134</v>
      </c>
      <c r="DI474" t="s">
        <v>134</v>
      </c>
    </row>
    <row r="475" spans="1:113" x14ac:dyDescent="0.3">
      <c r="E475" t="s">
        <v>5</v>
      </c>
      <c r="F475" t="s">
        <v>134</v>
      </c>
      <c r="G475" t="s">
        <v>134</v>
      </c>
      <c r="H475" t="s">
        <v>134</v>
      </c>
      <c r="I475" t="s">
        <v>134</v>
      </c>
      <c r="J475" t="s">
        <v>134</v>
      </c>
      <c r="K475" t="s">
        <v>134</v>
      </c>
      <c r="L475" t="s">
        <v>134</v>
      </c>
      <c r="M475" t="s">
        <v>134</v>
      </c>
      <c r="N475" t="s">
        <v>134</v>
      </c>
      <c r="O475" t="s">
        <v>134</v>
      </c>
      <c r="P475" t="s">
        <v>134</v>
      </c>
      <c r="Q475" t="s">
        <v>134</v>
      </c>
      <c r="R475" t="s">
        <v>134</v>
      </c>
      <c r="S475" t="s">
        <v>134</v>
      </c>
      <c r="T475" t="s">
        <v>134</v>
      </c>
      <c r="U475" t="s">
        <v>134</v>
      </c>
      <c r="V475" t="s">
        <v>134</v>
      </c>
      <c r="W475" t="s">
        <v>134</v>
      </c>
      <c r="X475" t="s">
        <v>134</v>
      </c>
      <c r="Y475" t="s">
        <v>134</v>
      </c>
      <c r="Z475" t="s">
        <v>134</v>
      </c>
      <c r="AA475" t="s">
        <v>134</v>
      </c>
      <c r="AB475" t="s">
        <v>134</v>
      </c>
      <c r="AC475" t="s">
        <v>134</v>
      </c>
      <c r="AD475" t="s">
        <v>134</v>
      </c>
      <c r="AE475" t="s">
        <v>134</v>
      </c>
      <c r="AF475" t="s">
        <v>134</v>
      </c>
      <c r="AG475" t="s">
        <v>134</v>
      </c>
      <c r="AH475" t="s">
        <v>134</v>
      </c>
      <c r="AI475" t="s">
        <v>134</v>
      </c>
      <c r="AJ475" t="s">
        <v>134</v>
      </c>
      <c r="AK475" t="s">
        <v>134</v>
      </c>
      <c r="AL475" t="s">
        <v>134</v>
      </c>
      <c r="AM475" t="s">
        <v>134</v>
      </c>
      <c r="AN475" t="s">
        <v>134</v>
      </c>
      <c r="AO475" t="s">
        <v>134</v>
      </c>
      <c r="AP475" t="s">
        <v>134</v>
      </c>
      <c r="AQ475" t="s">
        <v>134</v>
      </c>
      <c r="AR475" t="s">
        <v>134</v>
      </c>
      <c r="AS475" t="s">
        <v>134</v>
      </c>
      <c r="AT475" t="s">
        <v>134</v>
      </c>
      <c r="AU475" t="s">
        <v>134</v>
      </c>
      <c r="AV475" t="s">
        <v>134</v>
      </c>
      <c r="AW475" t="s">
        <v>134</v>
      </c>
      <c r="AX475" t="s">
        <v>134</v>
      </c>
      <c r="AY475" t="s">
        <v>134</v>
      </c>
      <c r="AZ475" t="s">
        <v>134</v>
      </c>
      <c r="BA475" t="s">
        <v>134</v>
      </c>
      <c r="BB475" t="s">
        <v>134</v>
      </c>
      <c r="BC475" t="s">
        <v>134</v>
      </c>
      <c r="BD475" t="s">
        <v>134</v>
      </c>
      <c r="BE475" t="s">
        <v>134</v>
      </c>
      <c r="BF475" t="s">
        <v>134</v>
      </c>
      <c r="BG475" t="s">
        <v>134</v>
      </c>
      <c r="BH475" t="s">
        <v>134</v>
      </c>
      <c r="BI475" t="s">
        <v>134</v>
      </c>
      <c r="BJ475" t="s">
        <v>134</v>
      </c>
      <c r="BK475" t="s">
        <v>134</v>
      </c>
      <c r="BL475" t="s">
        <v>134</v>
      </c>
      <c r="BM475" t="s">
        <v>134</v>
      </c>
      <c r="BN475" t="s">
        <v>134</v>
      </c>
      <c r="BO475" t="s">
        <v>134</v>
      </c>
      <c r="BP475" t="s">
        <v>134</v>
      </c>
      <c r="BQ475" t="s">
        <v>134</v>
      </c>
      <c r="BR475" t="s">
        <v>134</v>
      </c>
      <c r="BS475" t="s">
        <v>134</v>
      </c>
      <c r="BT475" t="s">
        <v>134</v>
      </c>
      <c r="BU475" t="s">
        <v>134</v>
      </c>
      <c r="BV475" t="s">
        <v>134</v>
      </c>
      <c r="BW475" t="s">
        <v>134</v>
      </c>
      <c r="BX475" t="s">
        <v>134</v>
      </c>
      <c r="BY475" t="s">
        <v>134</v>
      </c>
      <c r="BZ475" t="s">
        <v>134</v>
      </c>
      <c r="CA475" t="s">
        <v>134</v>
      </c>
      <c r="CB475" t="s">
        <v>134</v>
      </c>
      <c r="CC475" t="s">
        <v>134</v>
      </c>
      <c r="CD475" t="s">
        <v>134</v>
      </c>
      <c r="CE475" t="s">
        <v>134</v>
      </c>
      <c r="CF475" t="s">
        <v>134</v>
      </c>
      <c r="CG475" t="s">
        <v>134</v>
      </c>
      <c r="CH475" t="s">
        <v>134</v>
      </c>
      <c r="CI475" t="s">
        <v>134</v>
      </c>
      <c r="CJ475" t="s">
        <v>134</v>
      </c>
      <c r="CK475" t="s">
        <v>134</v>
      </c>
      <c r="CL475" t="s">
        <v>134</v>
      </c>
      <c r="CM475" t="s">
        <v>134</v>
      </c>
      <c r="CN475" t="s">
        <v>134</v>
      </c>
      <c r="CO475" t="s">
        <v>134</v>
      </c>
      <c r="CP475" t="s">
        <v>134</v>
      </c>
      <c r="CQ475" t="s">
        <v>134</v>
      </c>
      <c r="CR475" t="s">
        <v>134</v>
      </c>
      <c r="CS475" t="s">
        <v>134</v>
      </c>
      <c r="CT475" t="s">
        <v>134</v>
      </c>
      <c r="CU475" t="s">
        <v>134</v>
      </c>
      <c r="CV475" t="s">
        <v>134</v>
      </c>
      <c r="CW475" t="s">
        <v>134</v>
      </c>
      <c r="CX475" t="s">
        <v>134</v>
      </c>
      <c r="CY475" t="s">
        <v>134</v>
      </c>
      <c r="CZ475" t="s">
        <v>134</v>
      </c>
      <c r="DA475" t="s">
        <v>134</v>
      </c>
      <c r="DB475" t="s">
        <v>134</v>
      </c>
      <c r="DC475" t="s">
        <v>134</v>
      </c>
      <c r="DD475" t="s">
        <v>134</v>
      </c>
      <c r="DE475" t="s">
        <v>134</v>
      </c>
      <c r="DF475" t="s">
        <v>134</v>
      </c>
      <c r="DG475" t="s">
        <v>134</v>
      </c>
      <c r="DH475" t="s">
        <v>134</v>
      </c>
      <c r="DI475" t="s">
        <v>134</v>
      </c>
    </row>
    <row r="476" spans="1:113" x14ac:dyDescent="0.3">
      <c r="E476" t="s">
        <v>6</v>
      </c>
      <c r="F476" t="s">
        <v>134</v>
      </c>
      <c r="G476" t="s">
        <v>134</v>
      </c>
      <c r="H476" t="s">
        <v>134</v>
      </c>
      <c r="I476" t="s">
        <v>134</v>
      </c>
      <c r="J476" t="s">
        <v>134</v>
      </c>
      <c r="K476" t="s">
        <v>134</v>
      </c>
      <c r="L476" t="s">
        <v>134</v>
      </c>
      <c r="M476" t="s">
        <v>134</v>
      </c>
      <c r="N476" t="s">
        <v>134</v>
      </c>
      <c r="O476" t="s">
        <v>134</v>
      </c>
      <c r="P476" t="s">
        <v>134</v>
      </c>
      <c r="Q476" t="s">
        <v>134</v>
      </c>
      <c r="R476" t="s">
        <v>134</v>
      </c>
      <c r="S476" t="s">
        <v>134</v>
      </c>
      <c r="T476" t="s">
        <v>134</v>
      </c>
      <c r="U476" t="s">
        <v>134</v>
      </c>
      <c r="V476" t="s">
        <v>134</v>
      </c>
      <c r="W476" t="s">
        <v>134</v>
      </c>
      <c r="X476" t="s">
        <v>134</v>
      </c>
      <c r="Y476" t="s">
        <v>134</v>
      </c>
      <c r="Z476" t="s">
        <v>134</v>
      </c>
      <c r="AA476" t="s">
        <v>134</v>
      </c>
      <c r="AB476" t="s">
        <v>134</v>
      </c>
      <c r="AC476" t="s">
        <v>134</v>
      </c>
      <c r="AD476" t="s">
        <v>134</v>
      </c>
      <c r="AE476" t="s">
        <v>134</v>
      </c>
      <c r="AF476" t="s">
        <v>134</v>
      </c>
      <c r="AG476" t="s">
        <v>134</v>
      </c>
      <c r="AH476" t="s">
        <v>134</v>
      </c>
      <c r="AI476" t="s">
        <v>134</v>
      </c>
      <c r="AJ476" t="s">
        <v>134</v>
      </c>
      <c r="AK476" t="s">
        <v>134</v>
      </c>
      <c r="AL476" t="s">
        <v>134</v>
      </c>
      <c r="AM476" t="s">
        <v>134</v>
      </c>
      <c r="AN476" t="s">
        <v>134</v>
      </c>
      <c r="AO476" t="s">
        <v>134</v>
      </c>
      <c r="AP476" t="s">
        <v>134</v>
      </c>
      <c r="AQ476" t="s">
        <v>134</v>
      </c>
      <c r="AR476" t="s">
        <v>134</v>
      </c>
      <c r="AS476" t="s">
        <v>134</v>
      </c>
      <c r="AT476" t="s">
        <v>134</v>
      </c>
      <c r="AU476" t="s">
        <v>134</v>
      </c>
      <c r="AV476" t="s">
        <v>134</v>
      </c>
      <c r="AW476" t="s">
        <v>134</v>
      </c>
      <c r="AX476" t="s">
        <v>134</v>
      </c>
      <c r="AY476" t="s">
        <v>134</v>
      </c>
      <c r="AZ476" t="s">
        <v>134</v>
      </c>
      <c r="BA476" t="s">
        <v>134</v>
      </c>
      <c r="BB476" t="s">
        <v>134</v>
      </c>
      <c r="BC476" t="s">
        <v>134</v>
      </c>
      <c r="BD476" t="s">
        <v>134</v>
      </c>
      <c r="BE476" t="s">
        <v>134</v>
      </c>
      <c r="BF476" t="s">
        <v>134</v>
      </c>
      <c r="BG476" t="s">
        <v>134</v>
      </c>
      <c r="BH476" t="s">
        <v>134</v>
      </c>
      <c r="BI476" t="s">
        <v>134</v>
      </c>
      <c r="BJ476" t="s">
        <v>134</v>
      </c>
      <c r="BK476" t="s">
        <v>134</v>
      </c>
      <c r="BL476" t="s">
        <v>134</v>
      </c>
      <c r="BM476" t="s">
        <v>134</v>
      </c>
      <c r="BN476" t="s">
        <v>134</v>
      </c>
      <c r="BO476" t="s">
        <v>134</v>
      </c>
      <c r="BP476" t="s">
        <v>134</v>
      </c>
      <c r="BQ476" t="s">
        <v>134</v>
      </c>
      <c r="BR476" t="s">
        <v>134</v>
      </c>
      <c r="BS476" t="s">
        <v>134</v>
      </c>
      <c r="BT476" t="s">
        <v>134</v>
      </c>
      <c r="BU476" t="s">
        <v>134</v>
      </c>
      <c r="BV476" t="s">
        <v>134</v>
      </c>
      <c r="BW476" t="s">
        <v>134</v>
      </c>
      <c r="BX476" t="s">
        <v>134</v>
      </c>
      <c r="BY476" t="s">
        <v>134</v>
      </c>
      <c r="BZ476" t="s">
        <v>134</v>
      </c>
      <c r="CA476" t="s">
        <v>134</v>
      </c>
      <c r="CB476" t="s">
        <v>134</v>
      </c>
      <c r="CC476" t="s">
        <v>134</v>
      </c>
      <c r="CD476" t="s">
        <v>134</v>
      </c>
      <c r="CE476" t="s">
        <v>134</v>
      </c>
      <c r="CF476" t="s">
        <v>134</v>
      </c>
      <c r="CG476" t="s">
        <v>134</v>
      </c>
      <c r="CH476" t="s">
        <v>134</v>
      </c>
      <c r="CI476" t="s">
        <v>134</v>
      </c>
      <c r="CJ476" t="s">
        <v>134</v>
      </c>
      <c r="CK476" t="s">
        <v>134</v>
      </c>
      <c r="CL476" t="s">
        <v>134</v>
      </c>
      <c r="CM476" t="s">
        <v>134</v>
      </c>
      <c r="CN476" t="s">
        <v>134</v>
      </c>
      <c r="CO476" t="s">
        <v>134</v>
      </c>
      <c r="CP476" t="s">
        <v>134</v>
      </c>
      <c r="CQ476" t="s">
        <v>134</v>
      </c>
      <c r="CR476" t="s">
        <v>134</v>
      </c>
      <c r="CS476" t="s">
        <v>134</v>
      </c>
      <c r="CT476" t="s">
        <v>134</v>
      </c>
      <c r="CU476" t="s">
        <v>134</v>
      </c>
      <c r="CV476" t="s">
        <v>134</v>
      </c>
      <c r="CW476" t="s">
        <v>134</v>
      </c>
      <c r="CX476" t="s">
        <v>134</v>
      </c>
      <c r="CY476" t="s">
        <v>134</v>
      </c>
      <c r="CZ476" t="s">
        <v>134</v>
      </c>
      <c r="DA476" t="s">
        <v>134</v>
      </c>
      <c r="DB476" t="s">
        <v>134</v>
      </c>
      <c r="DC476" t="s">
        <v>134</v>
      </c>
      <c r="DD476" t="s">
        <v>134</v>
      </c>
      <c r="DE476" t="s">
        <v>134</v>
      </c>
      <c r="DF476" t="s">
        <v>134</v>
      </c>
      <c r="DG476" t="s">
        <v>134</v>
      </c>
      <c r="DH476" t="s">
        <v>134</v>
      </c>
      <c r="DI476" t="s">
        <v>134</v>
      </c>
    </row>
    <row r="477" spans="1:113" x14ac:dyDescent="0.3">
      <c r="E477" t="s">
        <v>7</v>
      </c>
      <c r="F477" t="s">
        <v>134</v>
      </c>
      <c r="G477" t="s">
        <v>134</v>
      </c>
      <c r="H477" t="s">
        <v>134</v>
      </c>
      <c r="I477" t="s">
        <v>134</v>
      </c>
      <c r="J477" t="s">
        <v>134</v>
      </c>
      <c r="K477" t="s">
        <v>134</v>
      </c>
      <c r="L477" t="s">
        <v>134</v>
      </c>
      <c r="M477" t="s">
        <v>134</v>
      </c>
      <c r="N477" t="s">
        <v>134</v>
      </c>
      <c r="O477" t="s">
        <v>134</v>
      </c>
      <c r="P477" t="s">
        <v>134</v>
      </c>
      <c r="Q477" t="s">
        <v>134</v>
      </c>
      <c r="R477" t="s">
        <v>134</v>
      </c>
      <c r="S477" t="s">
        <v>134</v>
      </c>
      <c r="T477" t="s">
        <v>134</v>
      </c>
      <c r="U477" t="s">
        <v>134</v>
      </c>
      <c r="V477" t="s">
        <v>134</v>
      </c>
      <c r="W477" t="s">
        <v>134</v>
      </c>
      <c r="X477" t="s">
        <v>134</v>
      </c>
      <c r="Y477" t="s">
        <v>134</v>
      </c>
      <c r="Z477" t="s">
        <v>134</v>
      </c>
      <c r="AA477" t="s">
        <v>134</v>
      </c>
      <c r="AB477" t="s">
        <v>134</v>
      </c>
      <c r="AC477" t="s">
        <v>134</v>
      </c>
      <c r="AD477" t="s">
        <v>134</v>
      </c>
      <c r="AE477" t="s">
        <v>134</v>
      </c>
      <c r="AF477" t="s">
        <v>134</v>
      </c>
      <c r="AG477" t="s">
        <v>134</v>
      </c>
      <c r="AH477" t="s">
        <v>134</v>
      </c>
      <c r="AI477" t="s">
        <v>134</v>
      </c>
      <c r="AJ477" t="s">
        <v>134</v>
      </c>
      <c r="AK477" t="s">
        <v>134</v>
      </c>
      <c r="AL477" t="s">
        <v>134</v>
      </c>
      <c r="AM477" t="s">
        <v>134</v>
      </c>
      <c r="AN477" t="s">
        <v>134</v>
      </c>
      <c r="AO477" t="s">
        <v>134</v>
      </c>
      <c r="AP477" t="s">
        <v>134</v>
      </c>
      <c r="AQ477" t="s">
        <v>134</v>
      </c>
      <c r="AR477" t="s">
        <v>134</v>
      </c>
      <c r="AS477" t="s">
        <v>134</v>
      </c>
      <c r="AT477" t="s">
        <v>134</v>
      </c>
      <c r="AU477" t="s">
        <v>134</v>
      </c>
      <c r="AV477" t="s">
        <v>134</v>
      </c>
      <c r="AW477" t="s">
        <v>134</v>
      </c>
      <c r="AX477" t="s">
        <v>134</v>
      </c>
      <c r="AY477" t="s">
        <v>134</v>
      </c>
      <c r="AZ477" t="s">
        <v>134</v>
      </c>
      <c r="BA477" t="s">
        <v>134</v>
      </c>
      <c r="BB477" t="s">
        <v>134</v>
      </c>
      <c r="BC477" t="s">
        <v>134</v>
      </c>
      <c r="BD477" t="s">
        <v>134</v>
      </c>
      <c r="BE477" t="s">
        <v>134</v>
      </c>
      <c r="BF477" t="s">
        <v>134</v>
      </c>
      <c r="BG477" t="s">
        <v>134</v>
      </c>
      <c r="BH477" t="s">
        <v>134</v>
      </c>
      <c r="BI477" t="s">
        <v>134</v>
      </c>
      <c r="BJ477" t="s">
        <v>134</v>
      </c>
      <c r="BK477" t="s">
        <v>134</v>
      </c>
      <c r="BL477" t="s">
        <v>134</v>
      </c>
      <c r="BM477" t="s">
        <v>134</v>
      </c>
      <c r="BN477" t="s">
        <v>134</v>
      </c>
      <c r="BO477" t="s">
        <v>134</v>
      </c>
      <c r="BP477" t="s">
        <v>134</v>
      </c>
      <c r="BQ477" t="s">
        <v>134</v>
      </c>
      <c r="BR477" t="s">
        <v>134</v>
      </c>
      <c r="BS477" t="s">
        <v>134</v>
      </c>
      <c r="BT477" t="s">
        <v>134</v>
      </c>
      <c r="BU477" t="s">
        <v>134</v>
      </c>
      <c r="BV477" t="s">
        <v>134</v>
      </c>
      <c r="BW477" t="s">
        <v>134</v>
      </c>
      <c r="BX477" t="s">
        <v>134</v>
      </c>
      <c r="BY477" t="s">
        <v>134</v>
      </c>
      <c r="BZ477" t="s">
        <v>134</v>
      </c>
      <c r="CA477" t="s">
        <v>134</v>
      </c>
      <c r="CB477" t="s">
        <v>134</v>
      </c>
      <c r="CC477" t="s">
        <v>134</v>
      </c>
      <c r="CD477" t="s">
        <v>134</v>
      </c>
      <c r="CE477" t="s">
        <v>134</v>
      </c>
      <c r="CF477" t="s">
        <v>134</v>
      </c>
      <c r="CG477" t="s">
        <v>134</v>
      </c>
      <c r="CH477" t="s">
        <v>134</v>
      </c>
      <c r="CI477" t="s">
        <v>134</v>
      </c>
      <c r="CJ477" t="s">
        <v>134</v>
      </c>
      <c r="CK477" t="s">
        <v>134</v>
      </c>
      <c r="CL477" t="s">
        <v>134</v>
      </c>
      <c r="CM477" t="s">
        <v>134</v>
      </c>
      <c r="CN477" t="s">
        <v>134</v>
      </c>
      <c r="CO477" t="s">
        <v>134</v>
      </c>
      <c r="CP477" t="s">
        <v>134</v>
      </c>
      <c r="CQ477" t="s">
        <v>134</v>
      </c>
      <c r="CR477" t="s">
        <v>134</v>
      </c>
      <c r="CS477" t="s">
        <v>134</v>
      </c>
      <c r="CT477" t="s">
        <v>134</v>
      </c>
      <c r="CU477" t="s">
        <v>134</v>
      </c>
      <c r="CV477" t="s">
        <v>134</v>
      </c>
      <c r="CW477" t="s">
        <v>134</v>
      </c>
      <c r="CX477" t="s">
        <v>134</v>
      </c>
      <c r="CY477" t="s">
        <v>134</v>
      </c>
      <c r="CZ477" t="s">
        <v>134</v>
      </c>
      <c r="DA477" t="s">
        <v>134</v>
      </c>
      <c r="DB477" t="s">
        <v>134</v>
      </c>
      <c r="DC477" t="s">
        <v>134</v>
      </c>
      <c r="DD477" t="s">
        <v>134</v>
      </c>
      <c r="DE477" t="s">
        <v>134</v>
      </c>
      <c r="DF477" t="s">
        <v>134</v>
      </c>
      <c r="DG477" t="s">
        <v>134</v>
      </c>
      <c r="DH477" t="s">
        <v>134</v>
      </c>
      <c r="DI477" t="s">
        <v>134</v>
      </c>
    </row>
    <row r="478" spans="1:113" x14ac:dyDescent="0.3">
      <c r="A478">
        <v>70</v>
      </c>
      <c r="B478" t="s">
        <v>48</v>
      </c>
      <c r="C478" t="s">
        <v>49</v>
      </c>
      <c r="D478" t="s">
        <v>2</v>
      </c>
      <c r="E478" t="s">
        <v>3</v>
      </c>
      <c r="F478">
        <v>16.3279</v>
      </c>
      <c r="G478">
        <v>9.1659000000000006</v>
      </c>
      <c r="H478">
        <v>13.5303</v>
      </c>
      <c r="I478">
        <v>10.844200000000001</v>
      </c>
      <c r="J478">
        <v>28.395099999999999</v>
      </c>
      <c r="K478">
        <v>18.824300000000001</v>
      </c>
      <c r="L478">
        <v>5.2394999999999996</v>
      </c>
      <c r="M478">
        <v>22.7501</v>
      </c>
      <c r="N478">
        <v>15.391400000000001</v>
      </c>
      <c r="O478">
        <v>15.3</v>
      </c>
      <c r="P478">
        <v>15.3</v>
      </c>
      <c r="Q478">
        <v>32.375799999999998</v>
      </c>
      <c r="R478">
        <v>30.6631</v>
      </c>
      <c r="S478">
        <v>11.321199999999999</v>
      </c>
      <c r="T478">
        <v>7.2949999999999999</v>
      </c>
      <c r="U478">
        <v>11.5761</v>
      </c>
      <c r="V478">
        <v>1.9289000000000001</v>
      </c>
      <c r="W478">
        <v>9.4422999999999995</v>
      </c>
      <c r="X478">
        <v>9.4313000000000002</v>
      </c>
      <c r="Y478">
        <v>0</v>
      </c>
      <c r="Z478">
        <v>4.1098999999999997</v>
      </c>
      <c r="AA478">
        <v>15.884499999999999</v>
      </c>
      <c r="AB478">
        <v>27.295500000000001</v>
      </c>
      <c r="AC478">
        <v>28.189800000000002</v>
      </c>
      <c r="AD478">
        <v>-98.414100000000005</v>
      </c>
      <c r="AE478" t="s">
        <v>134</v>
      </c>
      <c r="AF478">
        <v>64.806200000000004</v>
      </c>
      <c r="AG478">
        <v>47.193300000000001</v>
      </c>
      <c r="AH478">
        <v>137.4247</v>
      </c>
      <c r="AI478">
        <v>13.3286</v>
      </c>
      <c r="AJ478">
        <v>27.983799999999999</v>
      </c>
      <c r="AK478">
        <v>12.865500000000001</v>
      </c>
      <c r="AL478">
        <v>30.071100000000001</v>
      </c>
      <c r="AM478">
        <v>10.6205</v>
      </c>
      <c r="AN478">
        <v>5.9208999999999996</v>
      </c>
      <c r="AO478">
        <v>3.0097</v>
      </c>
      <c r="AP478">
        <v>6.0126999999999997</v>
      </c>
      <c r="AQ478">
        <v>6.0114999999999998</v>
      </c>
      <c r="AR478">
        <v>3.4967999999999999</v>
      </c>
      <c r="AS478">
        <v>17.418500000000002</v>
      </c>
      <c r="AT478">
        <v>17.737200000000001</v>
      </c>
      <c r="AU478">
        <v>18.839199999999998</v>
      </c>
      <c r="AV478">
        <v>15.981199999999999</v>
      </c>
      <c r="AW478">
        <v>-47.250500000000002</v>
      </c>
      <c r="AX478" t="s">
        <v>134</v>
      </c>
      <c r="AY478">
        <v>25.096299999999999</v>
      </c>
      <c r="AZ478">
        <v>25.288599999999999</v>
      </c>
      <c r="BA478">
        <v>49.578600000000002</v>
      </c>
      <c r="BB478">
        <v>13.331799999999999</v>
      </c>
      <c r="BC478">
        <v>17.476099999999999</v>
      </c>
      <c r="BD478">
        <v>13.2957</v>
      </c>
      <c r="BE478">
        <v>11.635199999999999</v>
      </c>
      <c r="BF478">
        <v>7.2949999999999999</v>
      </c>
      <c r="BG478">
        <v>11.5761</v>
      </c>
      <c r="BH478">
        <v>1.9289000000000001</v>
      </c>
      <c r="BI478">
        <v>9.4422999999999995</v>
      </c>
      <c r="BJ478">
        <v>9.4313000000000002</v>
      </c>
      <c r="BK478">
        <v>0</v>
      </c>
      <c r="BL478">
        <v>4.1098999999999997</v>
      </c>
      <c r="BM478">
        <v>15.884499999999999</v>
      </c>
      <c r="BN478">
        <v>27.295500000000001</v>
      </c>
      <c r="BO478">
        <v>28.189800000000002</v>
      </c>
      <c r="BP478">
        <v>-98.414100000000005</v>
      </c>
      <c r="BQ478">
        <v>-160.35079999999999</v>
      </c>
      <c r="BR478">
        <v>64.806200000000004</v>
      </c>
      <c r="BS478">
        <v>47.193300000000001</v>
      </c>
      <c r="BT478">
        <v>137.4247</v>
      </c>
      <c r="BU478">
        <v>13.3286</v>
      </c>
      <c r="BV478">
        <v>27.983799999999999</v>
      </c>
      <c r="BW478">
        <v>12.865500000000001</v>
      </c>
      <c r="BX478">
        <v>30.071100000000001</v>
      </c>
      <c r="BY478">
        <v>491127.49</v>
      </c>
      <c r="BZ478">
        <v>174318.91</v>
      </c>
      <c r="CA478">
        <v>316808.58</v>
      </c>
      <c r="CB478">
        <v>0.99839999999999995</v>
      </c>
      <c r="CC478">
        <v>0.50019999999999998</v>
      </c>
      <c r="CD478">
        <v>1.506</v>
      </c>
      <c r="CE478">
        <v>0.75449999999999995</v>
      </c>
      <c r="CF478">
        <v>94.8279</v>
      </c>
      <c r="CG478">
        <v>52.984099999999998</v>
      </c>
      <c r="CH478">
        <v>18.096800000000002</v>
      </c>
      <c r="CI478">
        <v>14.132099999999999</v>
      </c>
      <c r="CJ478">
        <v>9.7506000000000004</v>
      </c>
      <c r="CK478">
        <v>28.054200000000002</v>
      </c>
      <c r="CL478">
        <v>21.908100000000001</v>
      </c>
      <c r="CM478">
        <v>15.1158</v>
      </c>
      <c r="CN478">
        <v>14.056100000000001</v>
      </c>
      <c r="CO478">
        <v>12.3239</v>
      </c>
      <c r="CP478">
        <v>491931.28</v>
      </c>
      <c r="CQ478">
        <v>342546.24</v>
      </c>
      <c r="CR478">
        <v>326122.23999999999</v>
      </c>
      <c r="CS478">
        <v>0.36380000000000001</v>
      </c>
      <c r="CT478">
        <v>0.93769999999999998</v>
      </c>
      <c r="CU478">
        <v>0.6018</v>
      </c>
      <c r="CV478">
        <v>2.1057000000000001</v>
      </c>
      <c r="CW478">
        <v>11.026300000000001</v>
      </c>
      <c r="CX478">
        <v>33.102699999999999</v>
      </c>
      <c r="CY478">
        <v>4.9522000000000004</v>
      </c>
      <c r="CZ478">
        <v>73.703900000000004</v>
      </c>
      <c r="DA478">
        <v>2.8525999999999998</v>
      </c>
      <c r="DB478">
        <v>127.9555</v>
      </c>
      <c r="DC478">
        <v>-21.148900000000001</v>
      </c>
      <c r="DD478">
        <v>106.8066</v>
      </c>
      <c r="DE478">
        <v>148014.59</v>
      </c>
      <c r="DF478">
        <v>40371.53</v>
      </c>
      <c r="DG478">
        <v>4661.66</v>
      </c>
      <c r="DH478">
        <v>42575.839999999997</v>
      </c>
      <c r="DI478">
        <v>60405.56</v>
      </c>
    </row>
    <row r="479" spans="1:113" x14ac:dyDescent="0.3">
      <c r="E479" t="s">
        <v>4</v>
      </c>
      <c r="F479" t="s">
        <v>134</v>
      </c>
      <c r="G479" t="s">
        <v>134</v>
      </c>
      <c r="H479" t="s">
        <v>134</v>
      </c>
      <c r="I479" t="s">
        <v>134</v>
      </c>
      <c r="J479" t="s">
        <v>134</v>
      </c>
      <c r="K479" t="s">
        <v>134</v>
      </c>
      <c r="L479" t="s">
        <v>134</v>
      </c>
      <c r="M479" t="s">
        <v>134</v>
      </c>
      <c r="N479" t="s">
        <v>134</v>
      </c>
      <c r="O479" t="s">
        <v>134</v>
      </c>
      <c r="P479" t="s">
        <v>134</v>
      </c>
      <c r="Q479" t="s">
        <v>134</v>
      </c>
      <c r="R479" t="s">
        <v>134</v>
      </c>
      <c r="S479" t="s">
        <v>134</v>
      </c>
      <c r="T479" t="s">
        <v>134</v>
      </c>
      <c r="U479" t="s">
        <v>134</v>
      </c>
      <c r="V479" t="s">
        <v>134</v>
      </c>
      <c r="W479" t="s">
        <v>134</v>
      </c>
      <c r="X479" t="s">
        <v>134</v>
      </c>
      <c r="Y479" t="s">
        <v>134</v>
      </c>
      <c r="Z479" t="s">
        <v>134</v>
      </c>
      <c r="AA479" t="s">
        <v>134</v>
      </c>
      <c r="AB479" t="s">
        <v>134</v>
      </c>
      <c r="AC479" t="s">
        <v>134</v>
      </c>
      <c r="AD479" t="s">
        <v>134</v>
      </c>
      <c r="AE479" t="s">
        <v>134</v>
      </c>
      <c r="AF479" t="s">
        <v>134</v>
      </c>
      <c r="AG479" t="s">
        <v>134</v>
      </c>
      <c r="AH479" t="s">
        <v>134</v>
      </c>
      <c r="AI479" t="s">
        <v>134</v>
      </c>
      <c r="AJ479" t="s">
        <v>134</v>
      </c>
      <c r="AK479" t="s">
        <v>134</v>
      </c>
      <c r="AL479" t="s">
        <v>134</v>
      </c>
      <c r="AM479" t="s">
        <v>134</v>
      </c>
      <c r="AN479" t="s">
        <v>134</v>
      </c>
      <c r="AO479" t="s">
        <v>134</v>
      </c>
      <c r="AP479" t="s">
        <v>134</v>
      </c>
      <c r="AQ479" t="s">
        <v>134</v>
      </c>
      <c r="AR479" t="s">
        <v>134</v>
      </c>
      <c r="AS479" t="s">
        <v>134</v>
      </c>
      <c r="AT479" t="s">
        <v>134</v>
      </c>
      <c r="AU479" t="s">
        <v>134</v>
      </c>
      <c r="AV479" t="s">
        <v>134</v>
      </c>
      <c r="AW479" t="s">
        <v>134</v>
      </c>
      <c r="AX479" t="s">
        <v>134</v>
      </c>
      <c r="AY479" t="s">
        <v>134</v>
      </c>
      <c r="AZ479" t="s">
        <v>134</v>
      </c>
      <c r="BA479" t="s">
        <v>134</v>
      </c>
      <c r="BB479" t="s">
        <v>134</v>
      </c>
      <c r="BC479" t="s">
        <v>134</v>
      </c>
      <c r="BD479" t="s">
        <v>134</v>
      </c>
      <c r="BE479" t="s">
        <v>134</v>
      </c>
      <c r="BF479" t="s">
        <v>134</v>
      </c>
      <c r="BG479" t="s">
        <v>134</v>
      </c>
      <c r="BH479" t="s">
        <v>134</v>
      </c>
      <c r="BI479" t="s">
        <v>134</v>
      </c>
      <c r="BJ479" t="s">
        <v>134</v>
      </c>
      <c r="BK479" t="s">
        <v>134</v>
      </c>
      <c r="BL479" t="s">
        <v>134</v>
      </c>
      <c r="BM479" t="s">
        <v>134</v>
      </c>
      <c r="BN479" t="s">
        <v>134</v>
      </c>
      <c r="BO479" t="s">
        <v>134</v>
      </c>
      <c r="BP479" t="s">
        <v>134</v>
      </c>
      <c r="BQ479" t="s">
        <v>134</v>
      </c>
      <c r="BR479" t="s">
        <v>134</v>
      </c>
      <c r="BS479" t="s">
        <v>134</v>
      </c>
      <c r="BT479" t="s">
        <v>134</v>
      </c>
      <c r="BU479" t="s">
        <v>134</v>
      </c>
      <c r="BV479" t="s">
        <v>134</v>
      </c>
      <c r="BW479" t="s">
        <v>134</v>
      </c>
      <c r="BX479" t="s">
        <v>134</v>
      </c>
      <c r="BY479" t="s">
        <v>134</v>
      </c>
      <c r="BZ479" t="s">
        <v>134</v>
      </c>
      <c r="CA479" t="s">
        <v>134</v>
      </c>
      <c r="CB479" t="s">
        <v>134</v>
      </c>
      <c r="CC479" t="s">
        <v>134</v>
      </c>
      <c r="CD479" t="s">
        <v>134</v>
      </c>
      <c r="CE479" t="s">
        <v>134</v>
      </c>
      <c r="CF479" t="s">
        <v>134</v>
      </c>
      <c r="CG479" t="s">
        <v>134</v>
      </c>
      <c r="CH479" t="s">
        <v>134</v>
      </c>
      <c r="CI479" t="s">
        <v>134</v>
      </c>
      <c r="CJ479" t="s">
        <v>134</v>
      </c>
      <c r="CK479" t="s">
        <v>134</v>
      </c>
      <c r="CL479" t="s">
        <v>134</v>
      </c>
      <c r="CM479" t="s">
        <v>134</v>
      </c>
      <c r="CN479" t="s">
        <v>134</v>
      </c>
      <c r="CO479" t="s">
        <v>134</v>
      </c>
      <c r="CP479" t="s">
        <v>134</v>
      </c>
      <c r="CQ479" t="s">
        <v>134</v>
      </c>
      <c r="CR479" t="s">
        <v>134</v>
      </c>
      <c r="CS479" t="s">
        <v>134</v>
      </c>
      <c r="CT479" t="s">
        <v>134</v>
      </c>
      <c r="CU479" t="s">
        <v>134</v>
      </c>
      <c r="CV479" t="s">
        <v>134</v>
      </c>
      <c r="CW479" t="s">
        <v>134</v>
      </c>
      <c r="CX479" t="s">
        <v>134</v>
      </c>
      <c r="CY479" t="s">
        <v>134</v>
      </c>
      <c r="CZ479" t="s">
        <v>134</v>
      </c>
      <c r="DA479" t="s">
        <v>134</v>
      </c>
      <c r="DB479" t="s">
        <v>134</v>
      </c>
      <c r="DC479" t="s">
        <v>134</v>
      </c>
      <c r="DD479" t="s">
        <v>134</v>
      </c>
      <c r="DE479" t="s">
        <v>134</v>
      </c>
      <c r="DF479" t="s">
        <v>134</v>
      </c>
      <c r="DG479" t="s">
        <v>134</v>
      </c>
      <c r="DH479" t="s">
        <v>134</v>
      </c>
      <c r="DI479" t="s">
        <v>134</v>
      </c>
    </row>
    <row r="480" spans="1:113" x14ac:dyDescent="0.3">
      <c r="E480" t="s">
        <v>5</v>
      </c>
      <c r="F480" t="s">
        <v>134</v>
      </c>
      <c r="G480" t="s">
        <v>134</v>
      </c>
      <c r="H480" t="s">
        <v>134</v>
      </c>
      <c r="I480" t="s">
        <v>134</v>
      </c>
      <c r="J480" t="s">
        <v>134</v>
      </c>
      <c r="K480" t="s">
        <v>134</v>
      </c>
      <c r="L480" t="s">
        <v>134</v>
      </c>
      <c r="M480" t="s">
        <v>134</v>
      </c>
      <c r="N480" t="s">
        <v>134</v>
      </c>
      <c r="O480" t="s">
        <v>134</v>
      </c>
      <c r="P480" t="s">
        <v>134</v>
      </c>
      <c r="Q480" t="s">
        <v>134</v>
      </c>
      <c r="R480" t="s">
        <v>134</v>
      </c>
      <c r="S480" t="s">
        <v>134</v>
      </c>
      <c r="T480" t="s">
        <v>134</v>
      </c>
      <c r="U480" t="s">
        <v>134</v>
      </c>
      <c r="V480" t="s">
        <v>134</v>
      </c>
      <c r="W480" t="s">
        <v>134</v>
      </c>
      <c r="X480" t="s">
        <v>134</v>
      </c>
      <c r="Y480" t="s">
        <v>134</v>
      </c>
      <c r="Z480" t="s">
        <v>134</v>
      </c>
      <c r="AA480" t="s">
        <v>134</v>
      </c>
      <c r="AB480" t="s">
        <v>134</v>
      </c>
      <c r="AC480" t="s">
        <v>134</v>
      </c>
      <c r="AD480" t="s">
        <v>134</v>
      </c>
      <c r="AE480" t="s">
        <v>134</v>
      </c>
      <c r="AF480" t="s">
        <v>134</v>
      </c>
      <c r="AG480" t="s">
        <v>134</v>
      </c>
      <c r="AH480" t="s">
        <v>134</v>
      </c>
      <c r="AI480" t="s">
        <v>134</v>
      </c>
      <c r="AJ480" t="s">
        <v>134</v>
      </c>
      <c r="AK480" t="s">
        <v>134</v>
      </c>
      <c r="AL480" t="s">
        <v>134</v>
      </c>
      <c r="AM480" t="s">
        <v>134</v>
      </c>
      <c r="AN480" t="s">
        <v>134</v>
      </c>
      <c r="AO480" t="s">
        <v>134</v>
      </c>
      <c r="AP480" t="s">
        <v>134</v>
      </c>
      <c r="AQ480" t="s">
        <v>134</v>
      </c>
      <c r="AR480" t="s">
        <v>134</v>
      </c>
      <c r="AS480" t="s">
        <v>134</v>
      </c>
      <c r="AT480" t="s">
        <v>134</v>
      </c>
      <c r="AU480" t="s">
        <v>134</v>
      </c>
      <c r="AV480" t="s">
        <v>134</v>
      </c>
      <c r="AW480" t="s">
        <v>134</v>
      </c>
      <c r="AX480" t="s">
        <v>134</v>
      </c>
      <c r="AY480" t="s">
        <v>134</v>
      </c>
      <c r="AZ480" t="s">
        <v>134</v>
      </c>
      <c r="BA480" t="s">
        <v>134</v>
      </c>
      <c r="BB480" t="s">
        <v>134</v>
      </c>
      <c r="BC480" t="s">
        <v>134</v>
      </c>
      <c r="BD480" t="s">
        <v>134</v>
      </c>
      <c r="BE480" t="s">
        <v>134</v>
      </c>
      <c r="BF480" t="s">
        <v>134</v>
      </c>
      <c r="BG480" t="s">
        <v>134</v>
      </c>
      <c r="BH480" t="s">
        <v>134</v>
      </c>
      <c r="BI480" t="s">
        <v>134</v>
      </c>
      <c r="BJ480" t="s">
        <v>134</v>
      </c>
      <c r="BK480" t="s">
        <v>134</v>
      </c>
      <c r="BL480" t="s">
        <v>134</v>
      </c>
      <c r="BM480" t="s">
        <v>134</v>
      </c>
      <c r="BN480" t="s">
        <v>134</v>
      </c>
      <c r="BO480" t="s">
        <v>134</v>
      </c>
      <c r="BP480" t="s">
        <v>134</v>
      </c>
      <c r="BQ480" t="s">
        <v>134</v>
      </c>
      <c r="BR480" t="s">
        <v>134</v>
      </c>
      <c r="BS480" t="s">
        <v>134</v>
      </c>
      <c r="BT480" t="s">
        <v>134</v>
      </c>
      <c r="BU480" t="s">
        <v>134</v>
      </c>
      <c r="BV480" t="s">
        <v>134</v>
      </c>
      <c r="BW480" t="s">
        <v>134</v>
      </c>
      <c r="BX480" t="s">
        <v>134</v>
      </c>
      <c r="BY480" t="s">
        <v>134</v>
      </c>
      <c r="BZ480" t="s">
        <v>134</v>
      </c>
      <c r="CA480" t="s">
        <v>134</v>
      </c>
      <c r="CB480" t="s">
        <v>134</v>
      </c>
      <c r="CC480" t="s">
        <v>134</v>
      </c>
      <c r="CD480" t="s">
        <v>134</v>
      </c>
      <c r="CE480" t="s">
        <v>134</v>
      </c>
      <c r="CF480" t="s">
        <v>134</v>
      </c>
      <c r="CG480" t="s">
        <v>134</v>
      </c>
      <c r="CH480" t="s">
        <v>134</v>
      </c>
      <c r="CI480" t="s">
        <v>134</v>
      </c>
      <c r="CJ480" t="s">
        <v>134</v>
      </c>
      <c r="CK480" t="s">
        <v>134</v>
      </c>
      <c r="CL480" t="s">
        <v>134</v>
      </c>
      <c r="CM480" t="s">
        <v>134</v>
      </c>
      <c r="CN480" t="s">
        <v>134</v>
      </c>
      <c r="CO480" t="s">
        <v>134</v>
      </c>
      <c r="CP480" t="s">
        <v>134</v>
      </c>
      <c r="CQ480" t="s">
        <v>134</v>
      </c>
      <c r="CR480" t="s">
        <v>134</v>
      </c>
      <c r="CS480" t="s">
        <v>134</v>
      </c>
      <c r="CT480" t="s">
        <v>134</v>
      </c>
      <c r="CU480" t="s">
        <v>134</v>
      </c>
      <c r="CV480" t="s">
        <v>134</v>
      </c>
      <c r="CW480" t="s">
        <v>134</v>
      </c>
      <c r="CX480" t="s">
        <v>134</v>
      </c>
      <c r="CY480" t="s">
        <v>134</v>
      </c>
      <c r="CZ480" t="s">
        <v>134</v>
      </c>
      <c r="DA480" t="s">
        <v>134</v>
      </c>
      <c r="DB480" t="s">
        <v>134</v>
      </c>
      <c r="DC480" t="s">
        <v>134</v>
      </c>
      <c r="DD480" t="s">
        <v>134</v>
      </c>
      <c r="DE480" t="s">
        <v>134</v>
      </c>
      <c r="DF480" t="s">
        <v>134</v>
      </c>
      <c r="DG480" t="s">
        <v>134</v>
      </c>
      <c r="DH480" t="s">
        <v>134</v>
      </c>
      <c r="DI480" t="s">
        <v>134</v>
      </c>
    </row>
    <row r="481" spans="4:113" x14ac:dyDescent="0.3">
      <c r="E481" t="s">
        <v>6</v>
      </c>
      <c r="F481" t="s">
        <v>134</v>
      </c>
      <c r="G481" t="s">
        <v>134</v>
      </c>
      <c r="H481" t="s">
        <v>134</v>
      </c>
      <c r="I481" t="s">
        <v>134</v>
      </c>
      <c r="J481" t="s">
        <v>134</v>
      </c>
      <c r="K481" t="s">
        <v>134</v>
      </c>
      <c r="L481" t="s">
        <v>134</v>
      </c>
      <c r="M481" t="s">
        <v>134</v>
      </c>
      <c r="N481" t="s">
        <v>134</v>
      </c>
      <c r="O481" t="s">
        <v>134</v>
      </c>
      <c r="P481" t="s">
        <v>134</v>
      </c>
      <c r="Q481" t="s">
        <v>134</v>
      </c>
      <c r="R481" t="s">
        <v>134</v>
      </c>
      <c r="S481" t="s">
        <v>134</v>
      </c>
      <c r="T481" t="s">
        <v>134</v>
      </c>
      <c r="U481" t="s">
        <v>134</v>
      </c>
      <c r="V481" t="s">
        <v>134</v>
      </c>
      <c r="W481" t="s">
        <v>134</v>
      </c>
      <c r="X481" t="s">
        <v>134</v>
      </c>
      <c r="Y481" t="s">
        <v>134</v>
      </c>
      <c r="Z481" t="s">
        <v>134</v>
      </c>
      <c r="AA481" t="s">
        <v>134</v>
      </c>
      <c r="AB481" t="s">
        <v>134</v>
      </c>
      <c r="AC481" t="s">
        <v>134</v>
      </c>
      <c r="AD481" t="s">
        <v>134</v>
      </c>
      <c r="AE481" t="s">
        <v>134</v>
      </c>
      <c r="AF481" t="s">
        <v>134</v>
      </c>
      <c r="AG481" t="s">
        <v>134</v>
      </c>
      <c r="AH481" t="s">
        <v>134</v>
      </c>
      <c r="AI481" t="s">
        <v>134</v>
      </c>
      <c r="AJ481" t="s">
        <v>134</v>
      </c>
      <c r="AK481" t="s">
        <v>134</v>
      </c>
      <c r="AL481" t="s">
        <v>134</v>
      </c>
      <c r="AM481" t="s">
        <v>134</v>
      </c>
      <c r="AN481" t="s">
        <v>134</v>
      </c>
      <c r="AO481" t="s">
        <v>134</v>
      </c>
      <c r="AP481" t="s">
        <v>134</v>
      </c>
      <c r="AQ481" t="s">
        <v>134</v>
      </c>
      <c r="AR481" t="s">
        <v>134</v>
      </c>
      <c r="AS481" t="s">
        <v>134</v>
      </c>
      <c r="AT481" t="s">
        <v>134</v>
      </c>
      <c r="AU481" t="s">
        <v>134</v>
      </c>
      <c r="AV481" t="s">
        <v>134</v>
      </c>
      <c r="AW481" t="s">
        <v>134</v>
      </c>
      <c r="AX481" t="s">
        <v>134</v>
      </c>
      <c r="AY481" t="s">
        <v>134</v>
      </c>
      <c r="AZ481" t="s">
        <v>134</v>
      </c>
      <c r="BA481" t="s">
        <v>134</v>
      </c>
      <c r="BB481" t="s">
        <v>134</v>
      </c>
      <c r="BC481" t="s">
        <v>134</v>
      </c>
      <c r="BD481" t="s">
        <v>134</v>
      </c>
      <c r="BE481" t="s">
        <v>134</v>
      </c>
      <c r="BF481" t="s">
        <v>134</v>
      </c>
      <c r="BG481" t="s">
        <v>134</v>
      </c>
      <c r="BH481" t="s">
        <v>134</v>
      </c>
      <c r="BI481" t="s">
        <v>134</v>
      </c>
      <c r="BJ481" t="s">
        <v>134</v>
      </c>
      <c r="BK481" t="s">
        <v>134</v>
      </c>
      <c r="BL481" t="s">
        <v>134</v>
      </c>
      <c r="BM481" t="s">
        <v>134</v>
      </c>
      <c r="BN481" t="s">
        <v>134</v>
      </c>
      <c r="BO481" t="s">
        <v>134</v>
      </c>
      <c r="BP481" t="s">
        <v>134</v>
      </c>
      <c r="BQ481" t="s">
        <v>134</v>
      </c>
      <c r="BR481" t="s">
        <v>134</v>
      </c>
      <c r="BS481" t="s">
        <v>134</v>
      </c>
      <c r="BT481" t="s">
        <v>134</v>
      </c>
      <c r="BU481" t="s">
        <v>134</v>
      </c>
      <c r="BV481" t="s">
        <v>134</v>
      </c>
      <c r="BW481" t="s">
        <v>134</v>
      </c>
      <c r="BX481" t="s">
        <v>134</v>
      </c>
      <c r="BY481" t="s">
        <v>134</v>
      </c>
      <c r="BZ481" t="s">
        <v>134</v>
      </c>
      <c r="CA481" t="s">
        <v>134</v>
      </c>
      <c r="CB481" t="s">
        <v>134</v>
      </c>
      <c r="CC481" t="s">
        <v>134</v>
      </c>
      <c r="CD481" t="s">
        <v>134</v>
      </c>
      <c r="CE481" t="s">
        <v>134</v>
      </c>
      <c r="CF481" t="s">
        <v>134</v>
      </c>
      <c r="CG481" t="s">
        <v>134</v>
      </c>
      <c r="CH481" t="s">
        <v>134</v>
      </c>
      <c r="CI481" t="s">
        <v>134</v>
      </c>
      <c r="CJ481" t="s">
        <v>134</v>
      </c>
      <c r="CK481" t="s">
        <v>134</v>
      </c>
      <c r="CL481" t="s">
        <v>134</v>
      </c>
      <c r="CM481" t="s">
        <v>134</v>
      </c>
      <c r="CN481" t="s">
        <v>134</v>
      </c>
      <c r="CO481" t="s">
        <v>134</v>
      </c>
      <c r="CP481" t="s">
        <v>134</v>
      </c>
      <c r="CQ481" t="s">
        <v>134</v>
      </c>
      <c r="CR481" t="s">
        <v>134</v>
      </c>
      <c r="CS481" t="s">
        <v>134</v>
      </c>
      <c r="CT481" t="s">
        <v>134</v>
      </c>
      <c r="CU481" t="s">
        <v>134</v>
      </c>
      <c r="CV481" t="s">
        <v>134</v>
      </c>
      <c r="CW481" t="s">
        <v>134</v>
      </c>
      <c r="CX481" t="s">
        <v>134</v>
      </c>
      <c r="CY481" t="s">
        <v>134</v>
      </c>
      <c r="CZ481" t="s">
        <v>134</v>
      </c>
      <c r="DA481" t="s">
        <v>134</v>
      </c>
      <c r="DB481" t="s">
        <v>134</v>
      </c>
      <c r="DC481" t="s">
        <v>134</v>
      </c>
      <c r="DD481" t="s">
        <v>134</v>
      </c>
      <c r="DE481" t="s">
        <v>134</v>
      </c>
      <c r="DF481" t="s">
        <v>134</v>
      </c>
      <c r="DG481" t="s">
        <v>134</v>
      </c>
      <c r="DH481" t="s">
        <v>134</v>
      </c>
      <c r="DI481" t="s">
        <v>134</v>
      </c>
    </row>
    <row r="482" spans="4:113" x14ac:dyDescent="0.3">
      <c r="E482" t="s">
        <v>7</v>
      </c>
      <c r="F482" t="s">
        <v>134</v>
      </c>
      <c r="G482" t="s">
        <v>134</v>
      </c>
      <c r="H482" t="s">
        <v>134</v>
      </c>
      <c r="I482" t="s">
        <v>134</v>
      </c>
      <c r="J482" t="s">
        <v>134</v>
      </c>
      <c r="K482" t="s">
        <v>134</v>
      </c>
      <c r="L482" t="s">
        <v>134</v>
      </c>
      <c r="M482" t="s">
        <v>134</v>
      </c>
      <c r="N482" t="s">
        <v>134</v>
      </c>
      <c r="O482" t="s">
        <v>134</v>
      </c>
      <c r="P482" t="s">
        <v>134</v>
      </c>
      <c r="Q482" t="s">
        <v>134</v>
      </c>
      <c r="R482" t="s">
        <v>134</v>
      </c>
      <c r="S482" t="s">
        <v>134</v>
      </c>
      <c r="T482" t="s">
        <v>134</v>
      </c>
      <c r="U482" t="s">
        <v>134</v>
      </c>
      <c r="V482" t="s">
        <v>134</v>
      </c>
      <c r="W482" t="s">
        <v>134</v>
      </c>
      <c r="X482" t="s">
        <v>134</v>
      </c>
      <c r="Y482" t="s">
        <v>134</v>
      </c>
      <c r="Z482" t="s">
        <v>134</v>
      </c>
      <c r="AA482" t="s">
        <v>134</v>
      </c>
      <c r="AB482" t="s">
        <v>134</v>
      </c>
      <c r="AC482" t="s">
        <v>134</v>
      </c>
      <c r="AD482" t="s">
        <v>134</v>
      </c>
      <c r="AE482" t="s">
        <v>134</v>
      </c>
      <c r="AF482" t="s">
        <v>134</v>
      </c>
      <c r="AG482" t="s">
        <v>134</v>
      </c>
      <c r="AH482" t="s">
        <v>134</v>
      </c>
      <c r="AI482" t="s">
        <v>134</v>
      </c>
      <c r="AJ482" t="s">
        <v>134</v>
      </c>
      <c r="AK482" t="s">
        <v>134</v>
      </c>
      <c r="AL482" t="s">
        <v>134</v>
      </c>
      <c r="AM482" t="s">
        <v>134</v>
      </c>
      <c r="AN482" t="s">
        <v>134</v>
      </c>
      <c r="AO482" t="s">
        <v>134</v>
      </c>
      <c r="AP482" t="s">
        <v>134</v>
      </c>
      <c r="AQ482" t="s">
        <v>134</v>
      </c>
      <c r="AR482" t="s">
        <v>134</v>
      </c>
      <c r="AS482" t="s">
        <v>134</v>
      </c>
      <c r="AT482" t="s">
        <v>134</v>
      </c>
      <c r="AU482" t="s">
        <v>134</v>
      </c>
      <c r="AV482" t="s">
        <v>134</v>
      </c>
      <c r="AW482" t="s">
        <v>134</v>
      </c>
      <c r="AX482" t="s">
        <v>134</v>
      </c>
      <c r="AY482" t="s">
        <v>134</v>
      </c>
      <c r="AZ482" t="s">
        <v>134</v>
      </c>
      <c r="BA482" t="s">
        <v>134</v>
      </c>
      <c r="BB482" t="s">
        <v>134</v>
      </c>
      <c r="BC482" t="s">
        <v>134</v>
      </c>
      <c r="BD482" t="s">
        <v>134</v>
      </c>
      <c r="BE482" t="s">
        <v>134</v>
      </c>
      <c r="BF482" t="s">
        <v>134</v>
      </c>
      <c r="BG482" t="s">
        <v>134</v>
      </c>
      <c r="BH482" t="s">
        <v>134</v>
      </c>
      <c r="BI482" t="s">
        <v>134</v>
      </c>
      <c r="BJ482" t="s">
        <v>134</v>
      </c>
      <c r="BK482" t="s">
        <v>134</v>
      </c>
      <c r="BL482" t="s">
        <v>134</v>
      </c>
      <c r="BM482" t="s">
        <v>134</v>
      </c>
      <c r="BN482" t="s">
        <v>134</v>
      </c>
      <c r="BO482" t="s">
        <v>134</v>
      </c>
      <c r="BP482" t="s">
        <v>134</v>
      </c>
      <c r="BQ482" t="s">
        <v>134</v>
      </c>
      <c r="BR482" t="s">
        <v>134</v>
      </c>
      <c r="BS482" t="s">
        <v>134</v>
      </c>
      <c r="BT482" t="s">
        <v>134</v>
      </c>
      <c r="BU482" t="s">
        <v>134</v>
      </c>
      <c r="BV482" t="s">
        <v>134</v>
      </c>
      <c r="BW482" t="s">
        <v>134</v>
      </c>
      <c r="BX482" t="s">
        <v>134</v>
      </c>
      <c r="BY482" t="s">
        <v>134</v>
      </c>
      <c r="BZ482" t="s">
        <v>134</v>
      </c>
      <c r="CA482" t="s">
        <v>134</v>
      </c>
      <c r="CB482" t="s">
        <v>134</v>
      </c>
      <c r="CC482" t="s">
        <v>134</v>
      </c>
      <c r="CD482" t="s">
        <v>134</v>
      </c>
      <c r="CE482" t="s">
        <v>134</v>
      </c>
      <c r="CF482" t="s">
        <v>134</v>
      </c>
      <c r="CG482" t="s">
        <v>134</v>
      </c>
      <c r="CH482" t="s">
        <v>134</v>
      </c>
      <c r="CI482" t="s">
        <v>134</v>
      </c>
      <c r="CJ482" t="s">
        <v>134</v>
      </c>
      <c r="CK482" t="s">
        <v>134</v>
      </c>
      <c r="CL482" t="s">
        <v>134</v>
      </c>
      <c r="CM482" t="s">
        <v>134</v>
      </c>
      <c r="CN482" t="s">
        <v>134</v>
      </c>
      <c r="CO482" t="s">
        <v>134</v>
      </c>
      <c r="CP482" t="s">
        <v>134</v>
      </c>
      <c r="CQ482" t="s">
        <v>134</v>
      </c>
      <c r="CR482" t="s">
        <v>134</v>
      </c>
      <c r="CS482" t="s">
        <v>134</v>
      </c>
      <c r="CT482" t="s">
        <v>134</v>
      </c>
      <c r="CU482" t="s">
        <v>134</v>
      </c>
      <c r="CV482" t="s">
        <v>134</v>
      </c>
      <c r="CW482" t="s">
        <v>134</v>
      </c>
      <c r="CX482" t="s">
        <v>134</v>
      </c>
      <c r="CY482" t="s">
        <v>134</v>
      </c>
      <c r="CZ482" t="s">
        <v>134</v>
      </c>
      <c r="DA482" t="s">
        <v>134</v>
      </c>
      <c r="DB482" t="s">
        <v>134</v>
      </c>
      <c r="DC482" t="s">
        <v>134</v>
      </c>
      <c r="DD482" t="s">
        <v>134</v>
      </c>
      <c r="DE482" t="s">
        <v>134</v>
      </c>
      <c r="DF482" t="s">
        <v>134</v>
      </c>
      <c r="DG482" t="s">
        <v>134</v>
      </c>
      <c r="DH482" t="s">
        <v>134</v>
      </c>
      <c r="DI482" t="s">
        <v>134</v>
      </c>
    </row>
    <row r="483" spans="4:113" x14ac:dyDescent="0.3">
      <c r="D483" t="s">
        <v>8</v>
      </c>
      <c r="E483" t="s">
        <v>3</v>
      </c>
      <c r="F483">
        <v>10.398899999999999</v>
      </c>
      <c r="G483">
        <v>5.5395000000000003</v>
      </c>
      <c r="H483">
        <v>7.9360999999999997</v>
      </c>
      <c r="I483">
        <v>7.1025999999999998</v>
      </c>
      <c r="J483">
        <v>26.754000000000001</v>
      </c>
      <c r="K483">
        <v>15.4175</v>
      </c>
      <c r="L483">
        <v>-57.054600000000001</v>
      </c>
      <c r="M483">
        <v>17.206499999999998</v>
      </c>
      <c r="N483">
        <v>11.129300000000001</v>
      </c>
      <c r="O483">
        <v>11.525499999999999</v>
      </c>
      <c r="P483">
        <v>11.525499999999999</v>
      </c>
      <c r="Q483">
        <v>35.430300000000003</v>
      </c>
      <c r="R483">
        <v>44.332500000000003</v>
      </c>
      <c r="S483">
        <v>5.7888000000000002</v>
      </c>
      <c r="T483">
        <v>-8.1821999999999999</v>
      </c>
      <c r="U483">
        <v>-13.488899999999999</v>
      </c>
      <c r="V483">
        <v>-24.799499999999998</v>
      </c>
      <c r="W483">
        <v>-30.834</v>
      </c>
      <c r="X483">
        <v>-30.8263</v>
      </c>
      <c r="Y483">
        <v>0</v>
      </c>
      <c r="Z483">
        <v>17.268799999999999</v>
      </c>
      <c r="AA483">
        <v>-28.343399999999999</v>
      </c>
      <c r="AB483">
        <v>6.4703999999999997</v>
      </c>
      <c r="AC483">
        <v>4.1463999999999999</v>
      </c>
      <c r="AD483" t="s">
        <v>134</v>
      </c>
      <c r="AE483" t="s">
        <v>134</v>
      </c>
      <c r="AF483">
        <v>-0.95509999999999995</v>
      </c>
      <c r="AG483">
        <v>-63.505299999999998</v>
      </c>
      <c r="AH483">
        <v>9.8379999999999992</v>
      </c>
      <c r="AI483">
        <v>4.4920999999999998</v>
      </c>
      <c r="AJ483">
        <v>5.6632999999999996</v>
      </c>
      <c r="AK483">
        <v>4.8230000000000004</v>
      </c>
      <c r="AL483">
        <v>-35.1496</v>
      </c>
      <c r="AM483">
        <v>9.3469999999999995</v>
      </c>
      <c r="AN483">
        <v>3.7477</v>
      </c>
      <c r="AO483">
        <v>-1.5699000000000001</v>
      </c>
      <c r="AP483">
        <v>-1.1280999999999999</v>
      </c>
      <c r="AQ483">
        <v>-1.1274</v>
      </c>
      <c r="AR483">
        <v>-22.045400000000001</v>
      </c>
      <c r="AS483">
        <v>21.352699999999999</v>
      </c>
      <c r="AT483">
        <v>5.1780999999999997</v>
      </c>
      <c r="AU483">
        <v>17.1875</v>
      </c>
      <c r="AV483">
        <v>15.083299999999999</v>
      </c>
      <c r="AW483" t="s">
        <v>134</v>
      </c>
      <c r="AX483">
        <v>-29.727799999999998</v>
      </c>
      <c r="AY483">
        <v>18.4163</v>
      </c>
      <c r="AZ483">
        <v>24.110299999999999</v>
      </c>
      <c r="BA483">
        <v>53.8078</v>
      </c>
      <c r="BB483">
        <v>12.1622</v>
      </c>
      <c r="BC483">
        <v>16.7254</v>
      </c>
      <c r="BD483">
        <v>12.2174</v>
      </c>
      <c r="BE483">
        <v>2.9441999999999999</v>
      </c>
      <c r="BF483">
        <v>-8.1821999999999999</v>
      </c>
      <c r="BG483">
        <v>-13.488899999999999</v>
      </c>
      <c r="BH483">
        <v>-24.799499999999998</v>
      </c>
      <c r="BI483">
        <v>-30.834</v>
      </c>
      <c r="BJ483">
        <v>-30.8263</v>
      </c>
      <c r="BK483">
        <v>0</v>
      </c>
      <c r="BL483">
        <v>17.268799999999999</v>
      </c>
      <c r="BM483">
        <v>-28.343399999999999</v>
      </c>
      <c r="BN483">
        <v>6.4703999999999997</v>
      </c>
      <c r="BO483">
        <v>4.1463999999999999</v>
      </c>
      <c r="BP483">
        <v>-755.55110000000002</v>
      </c>
      <c r="BQ483" t="s">
        <v>134</v>
      </c>
      <c r="BR483">
        <v>-0.95509999999999995</v>
      </c>
      <c r="BS483">
        <v>-63.505299999999998</v>
      </c>
      <c r="BT483">
        <v>9.8379999999999992</v>
      </c>
      <c r="BU483">
        <v>4.4920999999999998</v>
      </c>
      <c r="BV483">
        <v>5.6632999999999996</v>
      </c>
      <c r="BW483">
        <v>4.8230000000000004</v>
      </c>
      <c r="BX483">
        <v>-35.1496</v>
      </c>
      <c r="BY483">
        <v>539444.67000000004</v>
      </c>
      <c r="BZ483">
        <v>63617.13</v>
      </c>
      <c r="CA483">
        <v>475827.54</v>
      </c>
      <c r="CB483">
        <v>1.2676000000000001</v>
      </c>
      <c r="CC483">
        <v>0.88929999999999998</v>
      </c>
      <c r="CD483">
        <v>2.1996000000000002</v>
      </c>
      <c r="CE483">
        <v>1.5432000000000001</v>
      </c>
      <c r="CF483">
        <v>46.468800000000002</v>
      </c>
      <c r="CG483">
        <v>53.439</v>
      </c>
      <c r="CH483">
        <v>26.011800000000001</v>
      </c>
      <c r="CI483">
        <v>20.088000000000001</v>
      </c>
      <c r="CJ483">
        <v>14.090999999999999</v>
      </c>
      <c r="CK483">
        <v>29.4895</v>
      </c>
      <c r="CL483">
        <v>22.773700000000002</v>
      </c>
      <c r="CM483">
        <v>15.9749</v>
      </c>
      <c r="CN483">
        <v>20.688700000000001</v>
      </c>
      <c r="CO483">
        <v>17.142199999999999</v>
      </c>
      <c r="CP483">
        <v>425575.36</v>
      </c>
      <c r="CQ483">
        <v>256515.61</v>
      </c>
      <c r="CR483">
        <v>245245.71</v>
      </c>
      <c r="CS483">
        <v>0.29920000000000002</v>
      </c>
      <c r="CT483">
        <v>1.0580000000000001</v>
      </c>
      <c r="CU483">
        <v>0.64859999999999995</v>
      </c>
      <c r="CV483">
        <v>1.9616</v>
      </c>
      <c r="CW483">
        <v>9.1350999999999996</v>
      </c>
      <c r="CX483">
        <v>39.9557</v>
      </c>
      <c r="CY483">
        <v>4.5369999999999999</v>
      </c>
      <c r="CZ483">
        <v>80.449100000000001</v>
      </c>
      <c r="DA483">
        <v>1.7503</v>
      </c>
      <c r="DB483">
        <v>208.53909999999999</v>
      </c>
      <c r="DC483">
        <v>-88.134200000000007</v>
      </c>
      <c r="DD483">
        <v>120.40479999999999</v>
      </c>
      <c r="DE483">
        <v>106062.23</v>
      </c>
      <c r="DF483">
        <v>12874.22</v>
      </c>
      <c r="DG483">
        <v>4046.02</v>
      </c>
      <c r="DH483">
        <v>27944.82</v>
      </c>
      <c r="DI483">
        <v>61197.17</v>
      </c>
    </row>
    <row r="484" spans="4:113" x14ac:dyDescent="0.3">
      <c r="E484" t="s">
        <v>4</v>
      </c>
      <c r="F484" t="s">
        <v>134</v>
      </c>
      <c r="G484" t="s">
        <v>134</v>
      </c>
      <c r="H484" t="s">
        <v>134</v>
      </c>
      <c r="I484" t="s">
        <v>134</v>
      </c>
      <c r="J484" t="s">
        <v>134</v>
      </c>
      <c r="K484" t="s">
        <v>134</v>
      </c>
      <c r="L484" t="s">
        <v>134</v>
      </c>
      <c r="M484" t="s">
        <v>134</v>
      </c>
      <c r="N484" t="s">
        <v>134</v>
      </c>
      <c r="O484" t="s">
        <v>134</v>
      </c>
      <c r="P484" t="s">
        <v>134</v>
      </c>
      <c r="Q484" t="s">
        <v>134</v>
      </c>
      <c r="R484" t="s">
        <v>134</v>
      </c>
      <c r="S484" t="s">
        <v>134</v>
      </c>
      <c r="T484" t="s">
        <v>134</v>
      </c>
      <c r="U484" t="s">
        <v>134</v>
      </c>
      <c r="V484" t="s">
        <v>134</v>
      </c>
      <c r="W484" t="s">
        <v>134</v>
      </c>
      <c r="X484" t="s">
        <v>134</v>
      </c>
      <c r="Y484" t="s">
        <v>134</v>
      </c>
      <c r="Z484" t="s">
        <v>134</v>
      </c>
      <c r="AA484" t="s">
        <v>134</v>
      </c>
      <c r="AB484" t="s">
        <v>134</v>
      </c>
      <c r="AC484" t="s">
        <v>134</v>
      </c>
      <c r="AD484" t="s">
        <v>134</v>
      </c>
      <c r="AE484" t="s">
        <v>134</v>
      </c>
      <c r="AF484" t="s">
        <v>134</v>
      </c>
      <c r="AG484" t="s">
        <v>134</v>
      </c>
      <c r="AH484" t="s">
        <v>134</v>
      </c>
      <c r="AI484" t="s">
        <v>134</v>
      </c>
      <c r="AJ484" t="s">
        <v>134</v>
      </c>
      <c r="AK484" t="s">
        <v>134</v>
      </c>
      <c r="AL484" t="s">
        <v>134</v>
      </c>
      <c r="AM484" t="s">
        <v>134</v>
      </c>
      <c r="AN484" t="s">
        <v>134</v>
      </c>
      <c r="AO484" t="s">
        <v>134</v>
      </c>
      <c r="AP484" t="s">
        <v>134</v>
      </c>
      <c r="AQ484" t="s">
        <v>134</v>
      </c>
      <c r="AR484" t="s">
        <v>134</v>
      </c>
      <c r="AS484" t="s">
        <v>134</v>
      </c>
      <c r="AT484" t="s">
        <v>134</v>
      </c>
      <c r="AU484" t="s">
        <v>134</v>
      </c>
      <c r="AV484" t="s">
        <v>134</v>
      </c>
      <c r="AW484" t="s">
        <v>134</v>
      </c>
      <c r="AX484" t="s">
        <v>134</v>
      </c>
      <c r="AY484" t="s">
        <v>134</v>
      </c>
      <c r="AZ484" t="s">
        <v>134</v>
      </c>
      <c r="BA484" t="s">
        <v>134</v>
      </c>
      <c r="BB484" t="s">
        <v>134</v>
      </c>
      <c r="BC484" t="s">
        <v>134</v>
      </c>
      <c r="BD484" t="s">
        <v>134</v>
      </c>
      <c r="BE484" t="s">
        <v>134</v>
      </c>
      <c r="BF484" t="s">
        <v>134</v>
      </c>
      <c r="BG484" t="s">
        <v>134</v>
      </c>
      <c r="BH484" t="s">
        <v>134</v>
      </c>
      <c r="BI484" t="s">
        <v>134</v>
      </c>
      <c r="BJ484" t="s">
        <v>134</v>
      </c>
      <c r="BK484" t="s">
        <v>134</v>
      </c>
      <c r="BL484" t="s">
        <v>134</v>
      </c>
      <c r="BM484" t="s">
        <v>134</v>
      </c>
      <c r="BN484" t="s">
        <v>134</v>
      </c>
      <c r="BO484" t="s">
        <v>134</v>
      </c>
      <c r="BP484" t="s">
        <v>134</v>
      </c>
      <c r="BQ484" t="s">
        <v>134</v>
      </c>
      <c r="BR484" t="s">
        <v>134</v>
      </c>
      <c r="BS484" t="s">
        <v>134</v>
      </c>
      <c r="BT484" t="s">
        <v>134</v>
      </c>
      <c r="BU484" t="s">
        <v>134</v>
      </c>
      <c r="BV484" t="s">
        <v>134</v>
      </c>
      <c r="BW484" t="s">
        <v>134</v>
      </c>
      <c r="BX484" t="s">
        <v>134</v>
      </c>
      <c r="BY484" t="s">
        <v>134</v>
      </c>
      <c r="BZ484" t="s">
        <v>134</v>
      </c>
      <c r="CA484" t="s">
        <v>134</v>
      </c>
      <c r="CB484" t="s">
        <v>134</v>
      </c>
      <c r="CC484" t="s">
        <v>134</v>
      </c>
      <c r="CD484" t="s">
        <v>134</v>
      </c>
      <c r="CE484" t="s">
        <v>134</v>
      </c>
      <c r="CF484" t="s">
        <v>134</v>
      </c>
      <c r="CG484" t="s">
        <v>134</v>
      </c>
      <c r="CH484" t="s">
        <v>134</v>
      </c>
      <c r="CI484" t="s">
        <v>134</v>
      </c>
      <c r="CJ484" t="s">
        <v>134</v>
      </c>
      <c r="CK484" t="s">
        <v>134</v>
      </c>
      <c r="CL484" t="s">
        <v>134</v>
      </c>
      <c r="CM484" t="s">
        <v>134</v>
      </c>
      <c r="CN484" t="s">
        <v>134</v>
      </c>
      <c r="CO484" t="s">
        <v>134</v>
      </c>
      <c r="CP484" t="s">
        <v>134</v>
      </c>
      <c r="CQ484" t="s">
        <v>134</v>
      </c>
      <c r="CR484" t="s">
        <v>134</v>
      </c>
      <c r="CS484" t="s">
        <v>134</v>
      </c>
      <c r="CT484" t="s">
        <v>134</v>
      </c>
      <c r="CU484" t="s">
        <v>134</v>
      </c>
      <c r="CV484" t="s">
        <v>134</v>
      </c>
      <c r="CW484" t="s">
        <v>134</v>
      </c>
      <c r="CX484" t="s">
        <v>134</v>
      </c>
      <c r="CY484" t="s">
        <v>134</v>
      </c>
      <c r="CZ484" t="s">
        <v>134</v>
      </c>
      <c r="DA484" t="s">
        <v>134</v>
      </c>
      <c r="DB484" t="s">
        <v>134</v>
      </c>
      <c r="DC484" t="s">
        <v>134</v>
      </c>
      <c r="DD484" t="s">
        <v>134</v>
      </c>
      <c r="DE484" t="s">
        <v>134</v>
      </c>
      <c r="DF484" t="s">
        <v>134</v>
      </c>
      <c r="DG484" t="s">
        <v>134</v>
      </c>
      <c r="DH484" t="s">
        <v>134</v>
      </c>
      <c r="DI484" t="s">
        <v>134</v>
      </c>
    </row>
    <row r="485" spans="4:113" x14ac:dyDescent="0.3">
      <c r="E485" t="s">
        <v>5</v>
      </c>
      <c r="F485" t="s">
        <v>134</v>
      </c>
      <c r="G485" t="s">
        <v>134</v>
      </c>
      <c r="H485" t="s">
        <v>134</v>
      </c>
      <c r="I485" t="s">
        <v>134</v>
      </c>
      <c r="J485" t="s">
        <v>134</v>
      </c>
      <c r="K485" t="s">
        <v>134</v>
      </c>
      <c r="L485" t="s">
        <v>134</v>
      </c>
      <c r="M485" t="s">
        <v>134</v>
      </c>
      <c r="N485" t="s">
        <v>134</v>
      </c>
      <c r="O485" t="s">
        <v>134</v>
      </c>
      <c r="P485" t="s">
        <v>134</v>
      </c>
      <c r="Q485" t="s">
        <v>134</v>
      </c>
      <c r="R485" t="s">
        <v>134</v>
      </c>
      <c r="S485" t="s">
        <v>134</v>
      </c>
      <c r="T485" t="s">
        <v>134</v>
      </c>
      <c r="U485" t="s">
        <v>134</v>
      </c>
      <c r="V485" t="s">
        <v>134</v>
      </c>
      <c r="W485" t="s">
        <v>134</v>
      </c>
      <c r="X485" t="s">
        <v>134</v>
      </c>
      <c r="Y485" t="s">
        <v>134</v>
      </c>
      <c r="Z485" t="s">
        <v>134</v>
      </c>
      <c r="AA485" t="s">
        <v>134</v>
      </c>
      <c r="AB485" t="s">
        <v>134</v>
      </c>
      <c r="AC485" t="s">
        <v>134</v>
      </c>
      <c r="AD485" t="s">
        <v>134</v>
      </c>
      <c r="AE485" t="s">
        <v>134</v>
      </c>
      <c r="AF485" t="s">
        <v>134</v>
      </c>
      <c r="AG485" t="s">
        <v>134</v>
      </c>
      <c r="AH485" t="s">
        <v>134</v>
      </c>
      <c r="AI485" t="s">
        <v>134</v>
      </c>
      <c r="AJ485" t="s">
        <v>134</v>
      </c>
      <c r="AK485" t="s">
        <v>134</v>
      </c>
      <c r="AL485" t="s">
        <v>134</v>
      </c>
      <c r="AM485" t="s">
        <v>134</v>
      </c>
      <c r="AN485" t="s">
        <v>134</v>
      </c>
      <c r="AO485" t="s">
        <v>134</v>
      </c>
      <c r="AP485" t="s">
        <v>134</v>
      </c>
      <c r="AQ485" t="s">
        <v>134</v>
      </c>
      <c r="AR485" t="s">
        <v>134</v>
      </c>
      <c r="AS485" t="s">
        <v>134</v>
      </c>
      <c r="AT485" t="s">
        <v>134</v>
      </c>
      <c r="AU485" t="s">
        <v>134</v>
      </c>
      <c r="AV485" t="s">
        <v>134</v>
      </c>
      <c r="AW485" t="s">
        <v>134</v>
      </c>
      <c r="AX485" t="s">
        <v>134</v>
      </c>
      <c r="AY485" t="s">
        <v>134</v>
      </c>
      <c r="AZ485" t="s">
        <v>134</v>
      </c>
      <c r="BA485" t="s">
        <v>134</v>
      </c>
      <c r="BB485" t="s">
        <v>134</v>
      </c>
      <c r="BC485" t="s">
        <v>134</v>
      </c>
      <c r="BD485" t="s">
        <v>134</v>
      </c>
      <c r="BE485" t="s">
        <v>134</v>
      </c>
      <c r="BF485" t="s">
        <v>134</v>
      </c>
      <c r="BG485" t="s">
        <v>134</v>
      </c>
      <c r="BH485" t="s">
        <v>134</v>
      </c>
      <c r="BI485" t="s">
        <v>134</v>
      </c>
      <c r="BJ485" t="s">
        <v>134</v>
      </c>
      <c r="BK485" t="s">
        <v>134</v>
      </c>
      <c r="BL485" t="s">
        <v>134</v>
      </c>
      <c r="BM485" t="s">
        <v>134</v>
      </c>
      <c r="BN485" t="s">
        <v>134</v>
      </c>
      <c r="BO485" t="s">
        <v>134</v>
      </c>
      <c r="BP485" t="s">
        <v>134</v>
      </c>
      <c r="BQ485" t="s">
        <v>134</v>
      </c>
      <c r="BR485" t="s">
        <v>134</v>
      </c>
      <c r="BS485" t="s">
        <v>134</v>
      </c>
      <c r="BT485" t="s">
        <v>134</v>
      </c>
      <c r="BU485" t="s">
        <v>134</v>
      </c>
      <c r="BV485" t="s">
        <v>134</v>
      </c>
      <c r="BW485" t="s">
        <v>134</v>
      </c>
      <c r="BX485" t="s">
        <v>134</v>
      </c>
      <c r="BY485" t="s">
        <v>134</v>
      </c>
      <c r="BZ485" t="s">
        <v>134</v>
      </c>
      <c r="CA485" t="s">
        <v>134</v>
      </c>
      <c r="CB485" t="s">
        <v>134</v>
      </c>
      <c r="CC485" t="s">
        <v>134</v>
      </c>
      <c r="CD485" t="s">
        <v>134</v>
      </c>
      <c r="CE485" t="s">
        <v>134</v>
      </c>
      <c r="CF485" t="s">
        <v>134</v>
      </c>
      <c r="CG485" t="s">
        <v>134</v>
      </c>
      <c r="CH485" t="s">
        <v>134</v>
      </c>
      <c r="CI485" t="s">
        <v>134</v>
      </c>
      <c r="CJ485" t="s">
        <v>134</v>
      </c>
      <c r="CK485" t="s">
        <v>134</v>
      </c>
      <c r="CL485" t="s">
        <v>134</v>
      </c>
      <c r="CM485" t="s">
        <v>134</v>
      </c>
      <c r="CN485" t="s">
        <v>134</v>
      </c>
      <c r="CO485" t="s">
        <v>134</v>
      </c>
      <c r="CP485" t="s">
        <v>134</v>
      </c>
      <c r="CQ485" t="s">
        <v>134</v>
      </c>
      <c r="CR485" t="s">
        <v>134</v>
      </c>
      <c r="CS485" t="s">
        <v>134</v>
      </c>
      <c r="CT485" t="s">
        <v>134</v>
      </c>
      <c r="CU485" t="s">
        <v>134</v>
      </c>
      <c r="CV485" t="s">
        <v>134</v>
      </c>
      <c r="CW485" t="s">
        <v>134</v>
      </c>
      <c r="CX485" t="s">
        <v>134</v>
      </c>
      <c r="CY485" t="s">
        <v>134</v>
      </c>
      <c r="CZ485" t="s">
        <v>134</v>
      </c>
      <c r="DA485" t="s">
        <v>134</v>
      </c>
      <c r="DB485" t="s">
        <v>134</v>
      </c>
      <c r="DC485" t="s">
        <v>134</v>
      </c>
      <c r="DD485" t="s">
        <v>134</v>
      </c>
      <c r="DE485" t="s">
        <v>134</v>
      </c>
      <c r="DF485" t="s">
        <v>134</v>
      </c>
      <c r="DG485" t="s">
        <v>134</v>
      </c>
      <c r="DH485" t="s">
        <v>134</v>
      </c>
      <c r="DI485" t="s">
        <v>134</v>
      </c>
    </row>
    <row r="486" spans="4:113" x14ac:dyDescent="0.3">
      <c r="E486" t="s">
        <v>6</v>
      </c>
      <c r="F486" t="s">
        <v>134</v>
      </c>
      <c r="G486" t="s">
        <v>134</v>
      </c>
      <c r="H486" t="s">
        <v>134</v>
      </c>
      <c r="I486" t="s">
        <v>134</v>
      </c>
      <c r="J486" t="s">
        <v>134</v>
      </c>
      <c r="K486" t="s">
        <v>134</v>
      </c>
      <c r="L486" t="s">
        <v>134</v>
      </c>
      <c r="M486" t="s">
        <v>134</v>
      </c>
      <c r="N486" t="s">
        <v>134</v>
      </c>
      <c r="O486" t="s">
        <v>134</v>
      </c>
      <c r="P486" t="s">
        <v>134</v>
      </c>
      <c r="Q486" t="s">
        <v>134</v>
      </c>
      <c r="R486" t="s">
        <v>134</v>
      </c>
      <c r="S486" t="s">
        <v>134</v>
      </c>
      <c r="T486" t="s">
        <v>134</v>
      </c>
      <c r="U486" t="s">
        <v>134</v>
      </c>
      <c r="V486" t="s">
        <v>134</v>
      </c>
      <c r="W486" t="s">
        <v>134</v>
      </c>
      <c r="X486" t="s">
        <v>134</v>
      </c>
      <c r="Y486" t="s">
        <v>134</v>
      </c>
      <c r="Z486" t="s">
        <v>134</v>
      </c>
      <c r="AA486" t="s">
        <v>134</v>
      </c>
      <c r="AB486" t="s">
        <v>134</v>
      </c>
      <c r="AC486" t="s">
        <v>134</v>
      </c>
      <c r="AD486" t="s">
        <v>134</v>
      </c>
      <c r="AE486" t="s">
        <v>134</v>
      </c>
      <c r="AF486" t="s">
        <v>134</v>
      </c>
      <c r="AG486" t="s">
        <v>134</v>
      </c>
      <c r="AH486" t="s">
        <v>134</v>
      </c>
      <c r="AI486" t="s">
        <v>134</v>
      </c>
      <c r="AJ486" t="s">
        <v>134</v>
      </c>
      <c r="AK486" t="s">
        <v>134</v>
      </c>
      <c r="AL486" t="s">
        <v>134</v>
      </c>
      <c r="AM486" t="s">
        <v>134</v>
      </c>
      <c r="AN486" t="s">
        <v>134</v>
      </c>
      <c r="AO486" t="s">
        <v>134</v>
      </c>
      <c r="AP486" t="s">
        <v>134</v>
      </c>
      <c r="AQ486" t="s">
        <v>134</v>
      </c>
      <c r="AR486" t="s">
        <v>134</v>
      </c>
      <c r="AS486" t="s">
        <v>134</v>
      </c>
      <c r="AT486" t="s">
        <v>134</v>
      </c>
      <c r="AU486" t="s">
        <v>134</v>
      </c>
      <c r="AV486" t="s">
        <v>134</v>
      </c>
      <c r="AW486" t="s">
        <v>134</v>
      </c>
      <c r="AX486" t="s">
        <v>134</v>
      </c>
      <c r="AY486" t="s">
        <v>134</v>
      </c>
      <c r="AZ486" t="s">
        <v>134</v>
      </c>
      <c r="BA486" t="s">
        <v>134</v>
      </c>
      <c r="BB486" t="s">
        <v>134</v>
      </c>
      <c r="BC486" t="s">
        <v>134</v>
      </c>
      <c r="BD486" t="s">
        <v>134</v>
      </c>
      <c r="BE486" t="s">
        <v>134</v>
      </c>
      <c r="BF486" t="s">
        <v>134</v>
      </c>
      <c r="BG486" t="s">
        <v>134</v>
      </c>
      <c r="BH486" t="s">
        <v>134</v>
      </c>
      <c r="BI486" t="s">
        <v>134</v>
      </c>
      <c r="BJ486" t="s">
        <v>134</v>
      </c>
      <c r="BK486" t="s">
        <v>134</v>
      </c>
      <c r="BL486" t="s">
        <v>134</v>
      </c>
      <c r="BM486" t="s">
        <v>134</v>
      </c>
      <c r="BN486" t="s">
        <v>134</v>
      </c>
      <c r="BO486" t="s">
        <v>134</v>
      </c>
      <c r="BP486" t="s">
        <v>134</v>
      </c>
      <c r="BQ486" t="s">
        <v>134</v>
      </c>
      <c r="BR486" t="s">
        <v>134</v>
      </c>
      <c r="BS486" t="s">
        <v>134</v>
      </c>
      <c r="BT486" t="s">
        <v>134</v>
      </c>
      <c r="BU486" t="s">
        <v>134</v>
      </c>
      <c r="BV486" t="s">
        <v>134</v>
      </c>
      <c r="BW486" t="s">
        <v>134</v>
      </c>
      <c r="BX486" t="s">
        <v>134</v>
      </c>
      <c r="BY486" t="s">
        <v>134</v>
      </c>
      <c r="BZ486" t="s">
        <v>134</v>
      </c>
      <c r="CA486" t="s">
        <v>134</v>
      </c>
      <c r="CB486" t="s">
        <v>134</v>
      </c>
      <c r="CC486" t="s">
        <v>134</v>
      </c>
      <c r="CD486" t="s">
        <v>134</v>
      </c>
      <c r="CE486" t="s">
        <v>134</v>
      </c>
      <c r="CF486" t="s">
        <v>134</v>
      </c>
      <c r="CG486" t="s">
        <v>134</v>
      </c>
      <c r="CH486" t="s">
        <v>134</v>
      </c>
      <c r="CI486" t="s">
        <v>134</v>
      </c>
      <c r="CJ486" t="s">
        <v>134</v>
      </c>
      <c r="CK486" t="s">
        <v>134</v>
      </c>
      <c r="CL486" t="s">
        <v>134</v>
      </c>
      <c r="CM486" t="s">
        <v>134</v>
      </c>
      <c r="CN486" t="s">
        <v>134</v>
      </c>
      <c r="CO486" t="s">
        <v>134</v>
      </c>
      <c r="CP486" t="s">
        <v>134</v>
      </c>
      <c r="CQ486" t="s">
        <v>134</v>
      </c>
      <c r="CR486" t="s">
        <v>134</v>
      </c>
      <c r="CS486" t="s">
        <v>134</v>
      </c>
      <c r="CT486" t="s">
        <v>134</v>
      </c>
      <c r="CU486" t="s">
        <v>134</v>
      </c>
      <c r="CV486" t="s">
        <v>134</v>
      </c>
      <c r="CW486" t="s">
        <v>134</v>
      </c>
      <c r="CX486" t="s">
        <v>134</v>
      </c>
      <c r="CY486" t="s">
        <v>134</v>
      </c>
      <c r="CZ486" t="s">
        <v>134</v>
      </c>
      <c r="DA486" t="s">
        <v>134</v>
      </c>
      <c r="DB486" t="s">
        <v>134</v>
      </c>
      <c r="DC486" t="s">
        <v>134</v>
      </c>
      <c r="DD486" t="s">
        <v>134</v>
      </c>
      <c r="DE486" t="s">
        <v>134</v>
      </c>
      <c r="DF486" t="s">
        <v>134</v>
      </c>
      <c r="DG486" t="s">
        <v>134</v>
      </c>
      <c r="DH486" t="s">
        <v>134</v>
      </c>
      <c r="DI486" t="s">
        <v>134</v>
      </c>
    </row>
    <row r="487" spans="4:113" x14ac:dyDescent="0.3">
      <c r="E487" t="s">
        <v>7</v>
      </c>
      <c r="F487" t="s">
        <v>134</v>
      </c>
      <c r="G487" t="s">
        <v>134</v>
      </c>
      <c r="H487" t="s">
        <v>134</v>
      </c>
      <c r="I487" t="s">
        <v>134</v>
      </c>
      <c r="J487" t="s">
        <v>134</v>
      </c>
      <c r="K487" t="s">
        <v>134</v>
      </c>
      <c r="L487" t="s">
        <v>134</v>
      </c>
      <c r="M487" t="s">
        <v>134</v>
      </c>
      <c r="N487" t="s">
        <v>134</v>
      </c>
      <c r="O487" t="s">
        <v>134</v>
      </c>
      <c r="P487" t="s">
        <v>134</v>
      </c>
      <c r="Q487" t="s">
        <v>134</v>
      </c>
      <c r="R487" t="s">
        <v>134</v>
      </c>
      <c r="S487" t="s">
        <v>134</v>
      </c>
      <c r="T487" t="s">
        <v>134</v>
      </c>
      <c r="U487" t="s">
        <v>134</v>
      </c>
      <c r="V487" t="s">
        <v>134</v>
      </c>
      <c r="W487" t="s">
        <v>134</v>
      </c>
      <c r="X487" t="s">
        <v>134</v>
      </c>
      <c r="Y487" t="s">
        <v>134</v>
      </c>
      <c r="Z487" t="s">
        <v>134</v>
      </c>
      <c r="AA487" t="s">
        <v>134</v>
      </c>
      <c r="AB487" t="s">
        <v>134</v>
      </c>
      <c r="AC487" t="s">
        <v>134</v>
      </c>
      <c r="AD487" t="s">
        <v>134</v>
      </c>
      <c r="AE487" t="s">
        <v>134</v>
      </c>
      <c r="AF487" t="s">
        <v>134</v>
      </c>
      <c r="AG487" t="s">
        <v>134</v>
      </c>
      <c r="AH487" t="s">
        <v>134</v>
      </c>
      <c r="AI487" t="s">
        <v>134</v>
      </c>
      <c r="AJ487" t="s">
        <v>134</v>
      </c>
      <c r="AK487" t="s">
        <v>134</v>
      </c>
      <c r="AL487" t="s">
        <v>134</v>
      </c>
      <c r="AM487" t="s">
        <v>134</v>
      </c>
      <c r="AN487" t="s">
        <v>134</v>
      </c>
      <c r="AO487" t="s">
        <v>134</v>
      </c>
      <c r="AP487" t="s">
        <v>134</v>
      </c>
      <c r="AQ487" t="s">
        <v>134</v>
      </c>
      <c r="AR487" t="s">
        <v>134</v>
      </c>
      <c r="AS487" t="s">
        <v>134</v>
      </c>
      <c r="AT487" t="s">
        <v>134</v>
      </c>
      <c r="AU487" t="s">
        <v>134</v>
      </c>
      <c r="AV487" t="s">
        <v>134</v>
      </c>
      <c r="AW487" t="s">
        <v>134</v>
      </c>
      <c r="AX487" t="s">
        <v>134</v>
      </c>
      <c r="AY487" t="s">
        <v>134</v>
      </c>
      <c r="AZ487" t="s">
        <v>134</v>
      </c>
      <c r="BA487" t="s">
        <v>134</v>
      </c>
      <c r="BB487" t="s">
        <v>134</v>
      </c>
      <c r="BC487" t="s">
        <v>134</v>
      </c>
      <c r="BD487" t="s">
        <v>134</v>
      </c>
      <c r="BE487" t="s">
        <v>134</v>
      </c>
      <c r="BF487" t="s">
        <v>134</v>
      </c>
      <c r="BG487" t="s">
        <v>134</v>
      </c>
      <c r="BH487" t="s">
        <v>134</v>
      </c>
      <c r="BI487" t="s">
        <v>134</v>
      </c>
      <c r="BJ487" t="s">
        <v>134</v>
      </c>
      <c r="BK487" t="s">
        <v>134</v>
      </c>
      <c r="BL487" t="s">
        <v>134</v>
      </c>
      <c r="BM487" t="s">
        <v>134</v>
      </c>
      <c r="BN487" t="s">
        <v>134</v>
      </c>
      <c r="BO487" t="s">
        <v>134</v>
      </c>
      <c r="BP487" t="s">
        <v>134</v>
      </c>
      <c r="BQ487" t="s">
        <v>134</v>
      </c>
      <c r="BR487" t="s">
        <v>134</v>
      </c>
      <c r="BS487" t="s">
        <v>134</v>
      </c>
      <c r="BT487" t="s">
        <v>134</v>
      </c>
      <c r="BU487" t="s">
        <v>134</v>
      </c>
      <c r="BV487" t="s">
        <v>134</v>
      </c>
      <c r="BW487" t="s">
        <v>134</v>
      </c>
      <c r="BX487" t="s">
        <v>134</v>
      </c>
      <c r="BY487" t="s">
        <v>134</v>
      </c>
      <c r="BZ487" t="s">
        <v>134</v>
      </c>
      <c r="CA487" t="s">
        <v>134</v>
      </c>
      <c r="CB487" t="s">
        <v>134</v>
      </c>
      <c r="CC487" t="s">
        <v>134</v>
      </c>
      <c r="CD487" t="s">
        <v>134</v>
      </c>
      <c r="CE487" t="s">
        <v>134</v>
      </c>
      <c r="CF487" t="s">
        <v>134</v>
      </c>
      <c r="CG487" t="s">
        <v>134</v>
      </c>
      <c r="CH487" t="s">
        <v>134</v>
      </c>
      <c r="CI487" t="s">
        <v>134</v>
      </c>
      <c r="CJ487" t="s">
        <v>134</v>
      </c>
      <c r="CK487" t="s">
        <v>134</v>
      </c>
      <c r="CL487" t="s">
        <v>134</v>
      </c>
      <c r="CM487" t="s">
        <v>134</v>
      </c>
      <c r="CN487" t="s">
        <v>134</v>
      </c>
      <c r="CO487" t="s">
        <v>134</v>
      </c>
      <c r="CP487" t="s">
        <v>134</v>
      </c>
      <c r="CQ487" t="s">
        <v>134</v>
      </c>
      <c r="CR487" t="s">
        <v>134</v>
      </c>
      <c r="CS487" t="s">
        <v>134</v>
      </c>
      <c r="CT487" t="s">
        <v>134</v>
      </c>
      <c r="CU487" t="s">
        <v>134</v>
      </c>
      <c r="CV487" t="s">
        <v>134</v>
      </c>
      <c r="CW487" t="s">
        <v>134</v>
      </c>
      <c r="CX487" t="s">
        <v>134</v>
      </c>
      <c r="CY487" t="s">
        <v>134</v>
      </c>
      <c r="CZ487" t="s">
        <v>134</v>
      </c>
      <c r="DA487" t="s">
        <v>134</v>
      </c>
      <c r="DB487" t="s">
        <v>134</v>
      </c>
      <c r="DC487" t="s">
        <v>134</v>
      </c>
      <c r="DD487" t="s">
        <v>134</v>
      </c>
      <c r="DE487" t="s">
        <v>134</v>
      </c>
      <c r="DF487" t="s">
        <v>134</v>
      </c>
      <c r="DG487" t="s">
        <v>134</v>
      </c>
      <c r="DH487" t="s">
        <v>134</v>
      </c>
      <c r="DI487" t="s">
        <v>134</v>
      </c>
    </row>
    <row r="488" spans="4:113" x14ac:dyDescent="0.3">
      <c r="D488" t="s">
        <v>9</v>
      </c>
      <c r="E488" t="s">
        <v>3</v>
      </c>
      <c r="F488">
        <v>7.7348999999999997</v>
      </c>
      <c r="G488">
        <v>4.0673000000000004</v>
      </c>
      <c r="H488">
        <v>6.3037999999999998</v>
      </c>
      <c r="I488">
        <v>5.7915000000000001</v>
      </c>
      <c r="J488">
        <v>32.0137</v>
      </c>
      <c r="K488">
        <v>18.083600000000001</v>
      </c>
      <c r="L488">
        <v>-3.9445000000000001</v>
      </c>
      <c r="M488">
        <v>17.572900000000001</v>
      </c>
      <c r="N488">
        <v>11.071899999999999</v>
      </c>
      <c r="O488">
        <v>10.9251</v>
      </c>
      <c r="P488">
        <v>10.9251</v>
      </c>
      <c r="Q488">
        <v>37.049999999999997</v>
      </c>
      <c r="R488">
        <v>51.488199999999999</v>
      </c>
      <c r="S488">
        <v>3.7523</v>
      </c>
      <c r="T488">
        <v>-18.8826</v>
      </c>
      <c r="U488">
        <v>-2.8435999999999999</v>
      </c>
      <c r="V488">
        <v>-4.8322000000000003</v>
      </c>
      <c r="W488">
        <v>-22.9618</v>
      </c>
      <c r="X488">
        <v>-22.958500000000001</v>
      </c>
      <c r="Y488">
        <v>-10.526299999999999</v>
      </c>
      <c r="Z488">
        <v>-48.519599999999997</v>
      </c>
      <c r="AA488">
        <v>-4.9913999999999996</v>
      </c>
      <c r="AB488">
        <v>4.1463000000000001</v>
      </c>
      <c r="AC488">
        <v>5.2968999999999999</v>
      </c>
      <c r="AD488">
        <v>-1269.4469999999999</v>
      </c>
      <c r="AE488" t="s">
        <v>134</v>
      </c>
      <c r="AF488">
        <v>11.226100000000001</v>
      </c>
      <c r="AG488">
        <v>53.469000000000001</v>
      </c>
      <c r="AH488">
        <v>3.8963999999999999</v>
      </c>
      <c r="AI488">
        <v>2.3635000000000002</v>
      </c>
      <c r="AJ488">
        <v>2.7126000000000001</v>
      </c>
      <c r="AK488">
        <v>2.3773</v>
      </c>
      <c r="AL488">
        <v>51.451799999999999</v>
      </c>
      <c r="AM488">
        <v>1.9245000000000001</v>
      </c>
      <c r="AN488">
        <v>-0.48120000000000002</v>
      </c>
      <c r="AO488">
        <v>-5.5144000000000002</v>
      </c>
      <c r="AP488">
        <v>-8.8567999999999998</v>
      </c>
      <c r="AQ488">
        <v>-8.8569999999999993</v>
      </c>
      <c r="AR488">
        <v>-0.57809999999999995</v>
      </c>
      <c r="AS488">
        <v>-0.58130000000000004</v>
      </c>
      <c r="AT488">
        <v>3.3247999999999998</v>
      </c>
      <c r="AU488">
        <v>11.0435</v>
      </c>
      <c r="AV488">
        <v>13.0314</v>
      </c>
      <c r="AW488" t="s">
        <v>134</v>
      </c>
      <c r="AX488" t="s">
        <v>134</v>
      </c>
      <c r="AY488">
        <v>16.8034</v>
      </c>
      <c r="AZ488">
        <v>29.0855</v>
      </c>
      <c r="BA488">
        <v>52.911299999999997</v>
      </c>
      <c r="BB488">
        <v>9.8026999999999997</v>
      </c>
      <c r="BC488">
        <v>14.427099999999999</v>
      </c>
      <c r="BD488">
        <v>9.8823000000000008</v>
      </c>
      <c r="BE488">
        <v>1.3677999999999999</v>
      </c>
      <c r="BF488">
        <v>-18.8826</v>
      </c>
      <c r="BG488">
        <v>-2.8435999999999999</v>
      </c>
      <c r="BH488">
        <v>-4.8322000000000003</v>
      </c>
      <c r="BI488">
        <v>-22.9618</v>
      </c>
      <c r="BJ488">
        <v>-22.958500000000001</v>
      </c>
      <c r="BK488">
        <v>-10.526299999999999</v>
      </c>
      <c r="BL488">
        <v>-48.519599999999997</v>
      </c>
      <c r="BM488">
        <v>-4.9913999999999996</v>
      </c>
      <c r="BN488">
        <v>4.1463000000000001</v>
      </c>
      <c r="BO488">
        <v>5.2968999999999999</v>
      </c>
      <c r="BP488" t="s">
        <v>134</v>
      </c>
      <c r="BQ488">
        <v>-359.46129999999999</v>
      </c>
      <c r="BR488">
        <v>11.226100000000001</v>
      </c>
      <c r="BS488">
        <v>53.469000000000001</v>
      </c>
      <c r="BT488">
        <v>3.8963999999999999</v>
      </c>
      <c r="BU488">
        <v>2.3635000000000002</v>
      </c>
      <c r="BV488">
        <v>2.7126000000000001</v>
      </c>
      <c r="BW488">
        <v>2.3773</v>
      </c>
      <c r="BX488">
        <v>51.451799999999999</v>
      </c>
      <c r="BY488">
        <v>560463.79</v>
      </c>
      <c r="BZ488">
        <v>97744.47</v>
      </c>
      <c r="CA488">
        <v>462719.32</v>
      </c>
      <c r="CB488">
        <v>1.3542000000000001</v>
      </c>
      <c r="CC488">
        <v>0.65659999999999996</v>
      </c>
      <c r="CD488">
        <v>2.3974000000000002</v>
      </c>
      <c r="CE488">
        <v>1.1623999999999999</v>
      </c>
      <c r="CF488">
        <v>31.739599999999999</v>
      </c>
      <c r="CG488">
        <v>51.863700000000001</v>
      </c>
      <c r="CH488">
        <v>24.711200000000002</v>
      </c>
      <c r="CI488">
        <v>19.018699999999999</v>
      </c>
      <c r="CJ488">
        <v>12.99</v>
      </c>
      <c r="CK488">
        <v>29.931100000000001</v>
      </c>
      <c r="CL488">
        <v>23.036200000000001</v>
      </c>
      <c r="CM488">
        <v>15.734</v>
      </c>
      <c r="CN488">
        <v>14.5123</v>
      </c>
      <c r="CO488">
        <v>12.6731</v>
      </c>
      <c r="CP488">
        <v>413867.32</v>
      </c>
      <c r="CQ488">
        <v>300625.03000000003</v>
      </c>
      <c r="CR488">
        <v>233780.52</v>
      </c>
      <c r="CS488">
        <v>0.45200000000000001</v>
      </c>
      <c r="CT488">
        <v>0.92010000000000003</v>
      </c>
      <c r="CU488">
        <v>0.60370000000000001</v>
      </c>
      <c r="CV488">
        <v>1.5849</v>
      </c>
      <c r="CW488">
        <v>9.0714000000000006</v>
      </c>
      <c r="CX488">
        <v>40.346499999999999</v>
      </c>
      <c r="CY488">
        <v>3.4647999999999999</v>
      </c>
      <c r="CZ488">
        <v>105.63330000000001</v>
      </c>
      <c r="DA488">
        <v>1.0986</v>
      </c>
      <c r="DB488">
        <v>333.16329999999999</v>
      </c>
      <c r="DC488">
        <v>-187.18350000000001</v>
      </c>
      <c r="DD488">
        <v>145.97980000000001</v>
      </c>
      <c r="DE488">
        <v>100897.4</v>
      </c>
      <c r="DF488">
        <v>14884.76</v>
      </c>
      <c r="DG488">
        <v>3599.15</v>
      </c>
      <c r="DH488">
        <v>21131.26</v>
      </c>
      <c r="DI488">
        <v>61282.23</v>
      </c>
    </row>
    <row r="489" spans="4:113" x14ac:dyDescent="0.3">
      <c r="E489" t="s">
        <v>4</v>
      </c>
      <c r="F489" t="s">
        <v>134</v>
      </c>
      <c r="G489" t="s">
        <v>134</v>
      </c>
      <c r="H489" t="s">
        <v>134</v>
      </c>
      <c r="I489" t="s">
        <v>134</v>
      </c>
      <c r="J489" t="s">
        <v>134</v>
      </c>
      <c r="K489" t="s">
        <v>134</v>
      </c>
      <c r="L489" t="s">
        <v>134</v>
      </c>
      <c r="M489" t="s">
        <v>134</v>
      </c>
      <c r="N489" t="s">
        <v>134</v>
      </c>
      <c r="O489" t="s">
        <v>134</v>
      </c>
      <c r="P489" t="s">
        <v>134</v>
      </c>
      <c r="Q489" t="s">
        <v>134</v>
      </c>
      <c r="R489" t="s">
        <v>134</v>
      </c>
      <c r="S489" t="s">
        <v>134</v>
      </c>
      <c r="T489" t="s">
        <v>134</v>
      </c>
      <c r="U489" t="s">
        <v>134</v>
      </c>
      <c r="V489" t="s">
        <v>134</v>
      </c>
      <c r="W489" t="s">
        <v>134</v>
      </c>
      <c r="X489" t="s">
        <v>134</v>
      </c>
      <c r="Y489" t="s">
        <v>134</v>
      </c>
      <c r="Z489" t="s">
        <v>134</v>
      </c>
      <c r="AA489" t="s">
        <v>134</v>
      </c>
      <c r="AB489" t="s">
        <v>134</v>
      </c>
      <c r="AC489" t="s">
        <v>134</v>
      </c>
      <c r="AD489" t="s">
        <v>134</v>
      </c>
      <c r="AE489" t="s">
        <v>134</v>
      </c>
      <c r="AF489" t="s">
        <v>134</v>
      </c>
      <c r="AG489" t="s">
        <v>134</v>
      </c>
      <c r="AH489" t="s">
        <v>134</v>
      </c>
      <c r="AI489" t="s">
        <v>134</v>
      </c>
      <c r="AJ489" t="s">
        <v>134</v>
      </c>
      <c r="AK489" t="s">
        <v>134</v>
      </c>
      <c r="AL489" t="s">
        <v>134</v>
      </c>
      <c r="AM489" t="s">
        <v>134</v>
      </c>
      <c r="AN489" t="s">
        <v>134</v>
      </c>
      <c r="AO489" t="s">
        <v>134</v>
      </c>
      <c r="AP489" t="s">
        <v>134</v>
      </c>
      <c r="AQ489" t="s">
        <v>134</v>
      </c>
      <c r="AR489" t="s">
        <v>134</v>
      </c>
      <c r="AS489" t="s">
        <v>134</v>
      </c>
      <c r="AT489" t="s">
        <v>134</v>
      </c>
      <c r="AU489" t="s">
        <v>134</v>
      </c>
      <c r="AV489" t="s">
        <v>134</v>
      </c>
      <c r="AW489" t="s">
        <v>134</v>
      </c>
      <c r="AX489" t="s">
        <v>134</v>
      </c>
      <c r="AY489" t="s">
        <v>134</v>
      </c>
      <c r="AZ489" t="s">
        <v>134</v>
      </c>
      <c r="BA489" t="s">
        <v>134</v>
      </c>
      <c r="BB489" t="s">
        <v>134</v>
      </c>
      <c r="BC489" t="s">
        <v>134</v>
      </c>
      <c r="BD489" t="s">
        <v>134</v>
      </c>
      <c r="BE489" t="s">
        <v>134</v>
      </c>
      <c r="BF489" t="s">
        <v>134</v>
      </c>
      <c r="BG489" t="s">
        <v>134</v>
      </c>
      <c r="BH489" t="s">
        <v>134</v>
      </c>
      <c r="BI489" t="s">
        <v>134</v>
      </c>
      <c r="BJ489" t="s">
        <v>134</v>
      </c>
      <c r="BK489" t="s">
        <v>134</v>
      </c>
      <c r="BL489" t="s">
        <v>134</v>
      </c>
      <c r="BM489" t="s">
        <v>134</v>
      </c>
      <c r="BN489" t="s">
        <v>134</v>
      </c>
      <c r="BO489" t="s">
        <v>134</v>
      </c>
      <c r="BP489" t="s">
        <v>134</v>
      </c>
      <c r="BQ489" t="s">
        <v>134</v>
      </c>
      <c r="BR489" t="s">
        <v>134</v>
      </c>
      <c r="BS489" t="s">
        <v>134</v>
      </c>
      <c r="BT489" t="s">
        <v>134</v>
      </c>
      <c r="BU489" t="s">
        <v>134</v>
      </c>
      <c r="BV489" t="s">
        <v>134</v>
      </c>
      <c r="BW489" t="s">
        <v>134</v>
      </c>
      <c r="BX489" t="s">
        <v>134</v>
      </c>
      <c r="BY489" t="s">
        <v>134</v>
      </c>
      <c r="BZ489" t="s">
        <v>134</v>
      </c>
      <c r="CA489" t="s">
        <v>134</v>
      </c>
      <c r="CB489" t="s">
        <v>134</v>
      </c>
      <c r="CC489" t="s">
        <v>134</v>
      </c>
      <c r="CD489" t="s">
        <v>134</v>
      </c>
      <c r="CE489" t="s">
        <v>134</v>
      </c>
      <c r="CF489" t="s">
        <v>134</v>
      </c>
      <c r="CG489" t="s">
        <v>134</v>
      </c>
      <c r="CH489" t="s">
        <v>134</v>
      </c>
      <c r="CI489" t="s">
        <v>134</v>
      </c>
      <c r="CJ489" t="s">
        <v>134</v>
      </c>
      <c r="CK489" t="s">
        <v>134</v>
      </c>
      <c r="CL489" t="s">
        <v>134</v>
      </c>
      <c r="CM489" t="s">
        <v>134</v>
      </c>
      <c r="CN489" t="s">
        <v>134</v>
      </c>
      <c r="CO489" t="s">
        <v>134</v>
      </c>
      <c r="CP489" t="s">
        <v>134</v>
      </c>
      <c r="CQ489" t="s">
        <v>134</v>
      </c>
      <c r="CR489" t="s">
        <v>134</v>
      </c>
      <c r="CS489" t="s">
        <v>134</v>
      </c>
      <c r="CT489" t="s">
        <v>134</v>
      </c>
      <c r="CU489" t="s">
        <v>134</v>
      </c>
      <c r="CV489" t="s">
        <v>134</v>
      </c>
      <c r="CW489" t="s">
        <v>134</v>
      </c>
      <c r="CX489" t="s">
        <v>134</v>
      </c>
      <c r="CY489" t="s">
        <v>134</v>
      </c>
      <c r="CZ489" t="s">
        <v>134</v>
      </c>
      <c r="DA489" t="s">
        <v>134</v>
      </c>
      <c r="DB489" t="s">
        <v>134</v>
      </c>
      <c r="DC489" t="s">
        <v>134</v>
      </c>
      <c r="DD489" t="s">
        <v>134</v>
      </c>
      <c r="DE489" t="s">
        <v>134</v>
      </c>
      <c r="DF489" t="s">
        <v>134</v>
      </c>
      <c r="DG489" t="s">
        <v>134</v>
      </c>
      <c r="DH489" t="s">
        <v>134</v>
      </c>
      <c r="DI489" t="s">
        <v>134</v>
      </c>
    </row>
    <row r="490" spans="4:113" x14ac:dyDescent="0.3">
      <c r="E490" t="s">
        <v>5</v>
      </c>
      <c r="F490" t="s">
        <v>134</v>
      </c>
      <c r="G490" t="s">
        <v>134</v>
      </c>
      <c r="H490" t="s">
        <v>134</v>
      </c>
      <c r="I490" t="s">
        <v>134</v>
      </c>
      <c r="J490" t="s">
        <v>134</v>
      </c>
      <c r="K490" t="s">
        <v>134</v>
      </c>
      <c r="L490" t="s">
        <v>134</v>
      </c>
      <c r="M490" t="s">
        <v>134</v>
      </c>
      <c r="N490" t="s">
        <v>134</v>
      </c>
      <c r="O490" t="s">
        <v>134</v>
      </c>
      <c r="P490" t="s">
        <v>134</v>
      </c>
      <c r="Q490" t="s">
        <v>134</v>
      </c>
      <c r="R490" t="s">
        <v>134</v>
      </c>
      <c r="S490" t="s">
        <v>134</v>
      </c>
      <c r="T490" t="s">
        <v>134</v>
      </c>
      <c r="U490" t="s">
        <v>134</v>
      </c>
      <c r="V490" t="s">
        <v>134</v>
      </c>
      <c r="W490" t="s">
        <v>134</v>
      </c>
      <c r="X490" t="s">
        <v>134</v>
      </c>
      <c r="Y490" t="s">
        <v>134</v>
      </c>
      <c r="Z490" t="s">
        <v>134</v>
      </c>
      <c r="AA490" t="s">
        <v>134</v>
      </c>
      <c r="AB490" t="s">
        <v>134</v>
      </c>
      <c r="AC490" t="s">
        <v>134</v>
      </c>
      <c r="AD490" t="s">
        <v>134</v>
      </c>
      <c r="AE490" t="s">
        <v>134</v>
      </c>
      <c r="AF490" t="s">
        <v>134</v>
      </c>
      <c r="AG490" t="s">
        <v>134</v>
      </c>
      <c r="AH490" t="s">
        <v>134</v>
      </c>
      <c r="AI490" t="s">
        <v>134</v>
      </c>
      <c r="AJ490" t="s">
        <v>134</v>
      </c>
      <c r="AK490" t="s">
        <v>134</v>
      </c>
      <c r="AL490" t="s">
        <v>134</v>
      </c>
      <c r="AM490" t="s">
        <v>134</v>
      </c>
      <c r="AN490" t="s">
        <v>134</v>
      </c>
      <c r="AO490" t="s">
        <v>134</v>
      </c>
      <c r="AP490" t="s">
        <v>134</v>
      </c>
      <c r="AQ490" t="s">
        <v>134</v>
      </c>
      <c r="AR490" t="s">
        <v>134</v>
      </c>
      <c r="AS490" t="s">
        <v>134</v>
      </c>
      <c r="AT490" t="s">
        <v>134</v>
      </c>
      <c r="AU490" t="s">
        <v>134</v>
      </c>
      <c r="AV490" t="s">
        <v>134</v>
      </c>
      <c r="AW490" t="s">
        <v>134</v>
      </c>
      <c r="AX490" t="s">
        <v>134</v>
      </c>
      <c r="AY490" t="s">
        <v>134</v>
      </c>
      <c r="AZ490" t="s">
        <v>134</v>
      </c>
      <c r="BA490" t="s">
        <v>134</v>
      </c>
      <c r="BB490" t="s">
        <v>134</v>
      </c>
      <c r="BC490" t="s">
        <v>134</v>
      </c>
      <c r="BD490" t="s">
        <v>134</v>
      </c>
      <c r="BE490" t="s">
        <v>134</v>
      </c>
      <c r="BF490" t="s">
        <v>134</v>
      </c>
      <c r="BG490" t="s">
        <v>134</v>
      </c>
      <c r="BH490" t="s">
        <v>134</v>
      </c>
      <c r="BI490" t="s">
        <v>134</v>
      </c>
      <c r="BJ490" t="s">
        <v>134</v>
      </c>
      <c r="BK490" t="s">
        <v>134</v>
      </c>
      <c r="BL490" t="s">
        <v>134</v>
      </c>
      <c r="BM490" t="s">
        <v>134</v>
      </c>
      <c r="BN490" t="s">
        <v>134</v>
      </c>
      <c r="BO490" t="s">
        <v>134</v>
      </c>
      <c r="BP490" t="s">
        <v>134</v>
      </c>
      <c r="BQ490" t="s">
        <v>134</v>
      </c>
      <c r="BR490" t="s">
        <v>134</v>
      </c>
      <c r="BS490" t="s">
        <v>134</v>
      </c>
      <c r="BT490" t="s">
        <v>134</v>
      </c>
      <c r="BU490" t="s">
        <v>134</v>
      </c>
      <c r="BV490" t="s">
        <v>134</v>
      </c>
      <c r="BW490" t="s">
        <v>134</v>
      </c>
      <c r="BX490" t="s">
        <v>134</v>
      </c>
      <c r="BY490" t="s">
        <v>134</v>
      </c>
      <c r="BZ490" t="s">
        <v>134</v>
      </c>
      <c r="CA490" t="s">
        <v>134</v>
      </c>
      <c r="CB490" t="s">
        <v>134</v>
      </c>
      <c r="CC490" t="s">
        <v>134</v>
      </c>
      <c r="CD490" t="s">
        <v>134</v>
      </c>
      <c r="CE490" t="s">
        <v>134</v>
      </c>
      <c r="CF490" t="s">
        <v>134</v>
      </c>
      <c r="CG490" t="s">
        <v>134</v>
      </c>
      <c r="CH490" t="s">
        <v>134</v>
      </c>
      <c r="CI490" t="s">
        <v>134</v>
      </c>
      <c r="CJ490" t="s">
        <v>134</v>
      </c>
      <c r="CK490" t="s">
        <v>134</v>
      </c>
      <c r="CL490" t="s">
        <v>134</v>
      </c>
      <c r="CM490" t="s">
        <v>134</v>
      </c>
      <c r="CN490" t="s">
        <v>134</v>
      </c>
      <c r="CO490" t="s">
        <v>134</v>
      </c>
      <c r="CP490" t="s">
        <v>134</v>
      </c>
      <c r="CQ490" t="s">
        <v>134</v>
      </c>
      <c r="CR490" t="s">
        <v>134</v>
      </c>
      <c r="CS490" t="s">
        <v>134</v>
      </c>
      <c r="CT490" t="s">
        <v>134</v>
      </c>
      <c r="CU490" t="s">
        <v>134</v>
      </c>
      <c r="CV490" t="s">
        <v>134</v>
      </c>
      <c r="CW490" t="s">
        <v>134</v>
      </c>
      <c r="CX490" t="s">
        <v>134</v>
      </c>
      <c r="CY490" t="s">
        <v>134</v>
      </c>
      <c r="CZ490" t="s">
        <v>134</v>
      </c>
      <c r="DA490" t="s">
        <v>134</v>
      </c>
      <c r="DB490" t="s">
        <v>134</v>
      </c>
      <c r="DC490" t="s">
        <v>134</v>
      </c>
      <c r="DD490" t="s">
        <v>134</v>
      </c>
      <c r="DE490" t="s">
        <v>134</v>
      </c>
      <c r="DF490" t="s">
        <v>134</v>
      </c>
      <c r="DG490" t="s">
        <v>134</v>
      </c>
      <c r="DH490" t="s">
        <v>134</v>
      </c>
      <c r="DI490" t="s">
        <v>134</v>
      </c>
    </row>
    <row r="491" spans="4:113" x14ac:dyDescent="0.3">
      <c r="E491" t="s">
        <v>6</v>
      </c>
      <c r="F491" t="s">
        <v>134</v>
      </c>
      <c r="G491" t="s">
        <v>134</v>
      </c>
      <c r="H491" t="s">
        <v>134</v>
      </c>
      <c r="I491" t="s">
        <v>134</v>
      </c>
      <c r="J491" t="s">
        <v>134</v>
      </c>
      <c r="K491" t="s">
        <v>134</v>
      </c>
      <c r="L491" t="s">
        <v>134</v>
      </c>
      <c r="M491" t="s">
        <v>134</v>
      </c>
      <c r="N491" t="s">
        <v>134</v>
      </c>
      <c r="O491" t="s">
        <v>134</v>
      </c>
      <c r="P491" t="s">
        <v>134</v>
      </c>
      <c r="Q491" t="s">
        <v>134</v>
      </c>
      <c r="R491" t="s">
        <v>134</v>
      </c>
      <c r="S491" t="s">
        <v>134</v>
      </c>
      <c r="T491" t="s">
        <v>134</v>
      </c>
      <c r="U491" t="s">
        <v>134</v>
      </c>
      <c r="V491" t="s">
        <v>134</v>
      </c>
      <c r="W491" t="s">
        <v>134</v>
      </c>
      <c r="X491" t="s">
        <v>134</v>
      </c>
      <c r="Y491" t="s">
        <v>134</v>
      </c>
      <c r="Z491" t="s">
        <v>134</v>
      </c>
      <c r="AA491" t="s">
        <v>134</v>
      </c>
      <c r="AB491" t="s">
        <v>134</v>
      </c>
      <c r="AC491" t="s">
        <v>134</v>
      </c>
      <c r="AD491" t="s">
        <v>134</v>
      </c>
      <c r="AE491" t="s">
        <v>134</v>
      </c>
      <c r="AF491" t="s">
        <v>134</v>
      </c>
      <c r="AG491" t="s">
        <v>134</v>
      </c>
      <c r="AH491" t="s">
        <v>134</v>
      </c>
      <c r="AI491" t="s">
        <v>134</v>
      </c>
      <c r="AJ491" t="s">
        <v>134</v>
      </c>
      <c r="AK491" t="s">
        <v>134</v>
      </c>
      <c r="AL491" t="s">
        <v>134</v>
      </c>
      <c r="AM491" t="s">
        <v>134</v>
      </c>
      <c r="AN491" t="s">
        <v>134</v>
      </c>
      <c r="AO491" t="s">
        <v>134</v>
      </c>
      <c r="AP491" t="s">
        <v>134</v>
      </c>
      <c r="AQ491" t="s">
        <v>134</v>
      </c>
      <c r="AR491" t="s">
        <v>134</v>
      </c>
      <c r="AS491" t="s">
        <v>134</v>
      </c>
      <c r="AT491" t="s">
        <v>134</v>
      </c>
      <c r="AU491" t="s">
        <v>134</v>
      </c>
      <c r="AV491" t="s">
        <v>134</v>
      </c>
      <c r="AW491" t="s">
        <v>134</v>
      </c>
      <c r="AX491" t="s">
        <v>134</v>
      </c>
      <c r="AY491" t="s">
        <v>134</v>
      </c>
      <c r="AZ491" t="s">
        <v>134</v>
      </c>
      <c r="BA491" t="s">
        <v>134</v>
      </c>
      <c r="BB491" t="s">
        <v>134</v>
      </c>
      <c r="BC491" t="s">
        <v>134</v>
      </c>
      <c r="BD491" t="s">
        <v>134</v>
      </c>
      <c r="BE491" t="s">
        <v>134</v>
      </c>
      <c r="BF491" t="s">
        <v>134</v>
      </c>
      <c r="BG491" t="s">
        <v>134</v>
      </c>
      <c r="BH491" t="s">
        <v>134</v>
      </c>
      <c r="BI491" t="s">
        <v>134</v>
      </c>
      <c r="BJ491" t="s">
        <v>134</v>
      </c>
      <c r="BK491" t="s">
        <v>134</v>
      </c>
      <c r="BL491" t="s">
        <v>134</v>
      </c>
      <c r="BM491" t="s">
        <v>134</v>
      </c>
      <c r="BN491" t="s">
        <v>134</v>
      </c>
      <c r="BO491" t="s">
        <v>134</v>
      </c>
      <c r="BP491" t="s">
        <v>134</v>
      </c>
      <c r="BQ491" t="s">
        <v>134</v>
      </c>
      <c r="BR491" t="s">
        <v>134</v>
      </c>
      <c r="BS491" t="s">
        <v>134</v>
      </c>
      <c r="BT491" t="s">
        <v>134</v>
      </c>
      <c r="BU491" t="s">
        <v>134</v>
      </c>
      <c r="BV491" t="s">
        <v>134</v>
      </c>
      <c r="BW491" t="s">
        <v>134</v>
      </c>
      <c r="BX491" t="s">
        <v>134</v>
      </c>
      <c r="BY491" t="s">
        <v>134</v>
      </c>
      <c r="BZ491" t="s">
        <v>134</v>
      </c>
      <c r="CA491" t="s">
        <v>134</v>
      </c>
      <c r="CB491" t="s">
        <v>134</v>
      </c>
      <c r="CC491" t="s">
        <v>134</v>
      </c>
      <c r="CD491" t="s">
        <v>134</v>
      </c>
      <c r="CE491" t="s">
        <v>134</v>
      </c>
      <c r="CF491" t="s">
        <v>134</v>
      </c>
      <c r="CG491" t="s">
        <v>134</v>
      </c>
      <c r="CH491" t="s">
        <v>134</v>
      </c>
      <c r="CI491" t="s">
        <v>134</v>
      </c>
      <c r="CJ491" t="s">
        <v>134</v>
      </c>
      <c r="CK491" t="s">
        <v>134</v>
      </c>
      <c r="CL491" t="s">
        <v>134</v>
      </c>
      <c r="CM491" t="s">
        <v>134</v>
      </c>
      <c r="CN491" t="s">
        <v>134</v>
      </c>
      <c r="CO491" t="s">
        <v>134</v>
      </c>
      <c r="CP491" t="s">
        <v>134</v>
      </c>
      <c r="CQ491" t="s">
        <v>134</v>
      </c>
      <c r="CR491" t="s">
        <v>134</v>
      </c>
      <c r="CS491" t="s">
        <v>134</v>
      </c>
      <c r="CT491" t="s">
        <v>134</v>
      </c>
      <c r="CU491" t="s">
        <v>134</v>
      </c>
      <c r="CV491" t="s">
        <v>134</v>
      </c>
      <c r="CW491" t="s">
        <v>134</v>
      </c>
      <c r="CX491" t="s">
        <v>134</v>
      </c>
      <c r="CY491" t="s">
        <v>134</v>
      </c>
      <c r="CZ491" t="s">
        <v>134</v>
      </c>
      <c r="DA491" t="s">
        <v>134</v>
      </c>
      <c r="DB491" t="s">
        <v>134</v>
      </c>
      <c r="DC491" t="s">
        <v>134</v>
      </c>
      <c r="DD491" t="s">
        <v>134</v>
      </c>
      <c r="DE491" t="s">
        <v>134</v>
      </c>
      <c r="DF491" t="s">
        <v>134</v>
      </c>
      <c r="DG491" t="s">
        <v>134</v>
      </c>
      <c r="DH491" t="s">
        <v>134</v>
      </c>
      <c r="DI491" t="s">
        <v>134</v>
      </c>
    </row>
    <row r="492" spans="4:113" x14ac:dyDescent="0.3">
      <c r="E492" t="s">
        <v>7</v>
      </c>
      <c r="F492" t="s">
        <v>134</v>
      </c>
      <c r="G492" t="s">
        <v>134</v>
      </c>
      <c r="H492" t="s">
        <v>134</v>
      </c>
      <c r="I492" t="s">
        <v>134</v>
      </c>
      <c r="J492" t="s">
        <v>134</v>
      </c>
      <c r="K492" t="s">
        <v>134</v>
      </c>
      <c r="L492" t="s">
        <v>134</v>
      </c>
      <c r="M492" t="s">
        <v>134</v>
      </c>
      <c r="N492" t="s">
        <v>134</v>
      </c>
      <c r="O492" t="s">
        <v>134</v>
      </c>
      <c r="P492" t="s">
        <v>134</v>
      </c>
      <c r="Q492" t="s">
        <v>134</v>
      </c>
      <c r="R492" t="s">
        <v>134</v>
      </c>
      <c r="S492" t="s">
        <v>134</v>
      </c>
      <c r="T492" t="s">
        <v>134</v>
      </c>
      <c r="U492" t="s">
        <v>134</v>
      </c>
      <c r="V492" t="s">
        <v>134</v>
      </c>
      <c r="W492" t="s">
        <v>134</v>
      </c>
      <c r="X492" t="s">
        <v>134</v>
      </c>
      <c r="Y492" t="s">
        <v>134</v>
      </c>
      <c r="Z492" t="s">
        <v>134</v>
      </c>
      <c r="AA492" t="s">
        <v>134</v>
      </c>
      <c r="AB492" t="s">
        <v>134</v>
      </c>
      <c r="AC492" t="s">
        <v>134</v>
      </c>
      <c r="AD492" t="s">
        <v>134</v>
      </c>
      <c r="AE492" t="s">
        <v>134</v>
      </c>
      <c r="AF492" t="s">
        <v>134</v>
      </c>
      <c r="AG492" t="s">
        <v>134</v>
      </c>
      <c r="AH492" t="s">
        <v>134</v>
      </c>
      <c r="AI492" t="s">
        <v>134</v>
      </c>
      <c r="AJ492" t="s">
        <v>134</v>
      </c>
      <c r="AK492" t="s">
        <v>134</v>
      </c>
      <c r="AL492" t="s">
        <v>134</v>
      </c>
      <c r="AM492" t="s">
        <v>134</v>
      </c>
      <c r="AN492" t="s">
        <v>134</v>
      </c>
      <c r="AO492" t="s">
        <v>134</v>
      </c>
      <c r="AP492" t="s">
        <v>134</v>
      </c>
      <c r="AQ492" t="s">
        <v>134</v>
      </c>
      <c r="AR492" t="s">
        <v>134</v>
      </c>
      <c r="AS492" t="s">
        <v>134</v>
      </c>
      <c r="AT492" t="s">
        <v>134</v>
      </c>
      <c r="AU492" t="s">
        <v>134</v>
      </c>
      <c r="AV492" t="s">
        <v>134</v>
      </c>
      <c r="AW492" t="s">
        <v>134</v>
      </c>
      <c r="AX492" t="s">
        <v>134</v>
      </c>
      <c r="AY492" t="s">
        <v>134</v>
      </c>
      <c r="AZ492" t="s">
        <v>134</v>
      </c>
      <c r="BA492" t="s">
        <v>134</v>
      </c>
      <c r="BB492" t="s">
        <v>134</v>
      </c>
      <c r="BC492" t="s">
        <v>134</v>
      </c>
      <c r="BD492" t="s">
        <v>134</v>
      </c>
      <c r="BE492" t="s">
        <v>134</v>
      </c>
      <c r="BF492" t="s">
        <v>134</v>
      </c>
      <c r="BG492" t="s">
        <v>134</v>
      </c>
      <c r="BH492" t="s">
        <v>134</v>
      </c>
      <c r="BI492" t="s">
        <v>134</v>
      </c>
      <c r="BJ492" t="s">
        <v>134</v>
      </c>
      <c r="BK492" t="s">
        <v>134</v>
      </c>
      <c r="BL492" t="s">
        <v>134</v>
      </c>
      <c r="BM492" t="s">
        <v>134</v>
      </c>
      <c r="BN492" t="s">
        <v>134</v>
      </c>
      <c r="BO492" t="s">
        <v>134</v>
      </c>
      <c r="BP492" t="s">
        <v>134</v>
      </c>
      <c r="BQ492" t="s">
        <v>134</v>
      </c>
      <c r="BR492" t="s">
        <v>134</v>
      </c>
      <c r="BS492" t="s">
        <v>134</v>
      </c>
      <c r="BT492" t="s">
        <v>134</v>
      </c>
      <c r="BU492" t="s">
        <v>134</v>
      </c>
      <c r="BV492" t="s">
        <v>134</v>
      </c>
      <c r="BW492" t="s">
        <v>134</v>
      </c>
      <c r="BX492" t="s">
        <v>134</v>
      </c>
      <c r="BY492" t="s">
        <v>134</v>
      </c>
      <c r="BZ492" t="s">
        <v>134</v>
      </c>
      <c r="CA492" t="s">
        <v>134</v>
      </c>
      <c r="CB492" t="s">
        <v>134</v>
      </c>
      <c r="CC492" t="s">
        <v>134</v>
      </c>
      <c r="CD492" t="s">
        <v>134</v>
      </c>
      <c r="CE492" t="s">
        <v>134</v>
      </c>
      <c r="CF492" t="s">
        <v>134</v>
      </c>
      <c r="CG492" t="s">
        <v>134</v>
      </c>
      <c r="CH492" t="s">
        <v>134</v>
      </c>
      <c r="CI492" t="s">
        <v>134</v>
      </c>
      <c r="CJ492" t="s">
        <v>134</v>
      </c>
      <c r="CK492" t="s">
        <v>134</v>
      </c>
      <c r="CL492" t="s">
        <v>134</v>
      </c>
      <c r="CM492" t="s">
        <v>134</v>
      </c>
      <c r="CN492" t="s">
        <v>134</v>
      </c>
      <c r="CO492" t="s">
        <v>134</v>
      </c>
      <c r="CP492" t="s">
        <v>134</v>
      </c>
      <c r="CQ492" t="s">
        <v>134</v>
      </c>
      <c r="CR492" t="s">
        <v>134</v>
      </c>
      <c r="CS492" t="s">
        <v>134</v>
      </c>
      <c r="CT492" t="s">
        <v>134</v>
      </c>
      <c r="CU492" t="s">
        <v>134</v>
      </c>
      <c r="CV492" t="s">
        <v>134</v>
      </c>
      <c r="CW492" t="s">
        <v>134</v>
      </c>
      <c r="CX492" t="s">
        <v>134</v>
      </c>
      <c r="CY492" t="s">
        <v>134</v>
      </c>
      <c r="CZ492" t="s">
        <v>134</v>
      </c>
      <c r="DA492" t="s">
        <v>134</v>
      </c>
      <c r="DB492" t="s">
        <v>134</v>
      </c>
      <c r="DC492" t="s">
        <v>134</v>
      </c>
      <c r="DD492" t="s">
        <v>134</v>
      </c>
      <c r="DE492" t="s">
        <v>134</v>
      </c>
      <c r="DF492" t="s">
        <v>134</v>
      </c>
      <c r="DG492" t="s">
        <v>134</v>
      </c>
      <c r="DH492" t="s">
        <v>134</v>
      </c>
      <c r="DI492" t="s">
        <v>134</v>
      </c>
    </row>
    <row r="493" spans="4:113" x14ac:dyDescent="0.3">
      <c r="D493" t="s">
        <v>10</v>
      </c>
      <c r="E493" t="s">
        <v>3</v>
      </c>
      <c r="F493">
        <v>9.7841000000000005</v>
      </c>
      <c r="G493">
        <v>5.7514000000000003</v>
      </c>
      <c r="H493">
        <v>8.8010000000000002</v>
      </c>
      <c r="I493">
        <v>5.7884000000000002</v>
      </c>
      <c r="J493">
        <v>29.595600000000001</v>
      </c>
      <c r="K493">
        <v>17.2712</v>
      </c>
      <c r="L493">
        <v>5.9556000000000004</v>
      </c>
      <c r="M493">
        <v>21.940999999999999</v>
      </c>
      <c r="N493">
        <v>15.1822</v>
      </c>
      <c r="O493">
        <v>14.489100000000001</v>
      </c>
      <c r="P493">
        <v>14.489100000000001</v>
      </c>
      <c r="Q493">
        <v>30.804500000000001</v>
      </c>
      <c r="R493">
        <v>56.816400000000002</v>
      </c>
      <c r="S493">
        <v>4.2251000000000003</v>
      </c>
      <c r="T493">
        <v>4.9360999999999997</v>
      </c>
      <c r="U493">
        <v>3.5815999999999999</v>
      </c>
      <c r="V493">
        <v>1.6488</v>
      </c>
      <c r="W493">
        <v>59.2042</v>
      </c>
      <c r="X493">
        <v>138.83349999999999</v>
      </c>
      <c r="Y493">
        <v>60.147100000000002</v>
      </c>
      <c r="Z493">
        <v>23.979600000000001</v>
      </c>
      <c r="AA493">
        <v>14.579599999999999</v>
      </c>
      <c r="AB493">
        <v>3.8593999999999999</v>
      </c>
      <c r="AC493">
        <v>8.0622000000000007</v>
      </c>
      <c r="AD493" t="s">
        <v>134</v>
      </c>
      <c r="AE493">
        <v>-39.1768</v>
      </c>
      <c r="AF493">
        <v>-51.848300000000002</v>
      </c>
      <c r="AG493">
        <v>132.19640000000001</v>
      </c>
      <c r="AH493">
        <v>24.994</v>
      </c>
      <c r="AI493">
        <v>12.395300000000001</v>
      </c>
      <c r="AJ493">
        <v>14.686</v>
      </c>
      <c r="AK493">
        <v>11.8171</v>
      </c>
      <c r="AL493">
        <v>-19.077000000000002</v>
      </c>
      <c r="AM493">
        <v>-0.67579999999999996</v>
      </c>
      <c r="AN493">
        <v>-3.3338999999999999</v>
      </c>
      <c r="AO493">
        <v>-7.6718000000000002</v>
      </c>
      <c r="AP493">
        <v>-6.1432000000000002</v>
      </c>
      <c r="AQ493">
        <v>-6.1487999999999996</v>
      </c>
      <c r="AR493">
        <v>6.9021999999999997</v>
      </c>
      <c r="AS493">
        <v>-2.4908000000000001</v>
      </c>
      <c r="AT493">
        <v>-2.9036999999999997</v>
      </c>
      <c r="AU493">
        <v>4.9207000000000001</v>
      </c>
      <c r="AV493">
        <v>9.7792999999999992</v>
      </c>
      <c r="AW493" t="s">
        <v>134</v>
      </c>
      <c r="AX493">
        <v>-17.1633</v>
      </c>
      <c r="AY493">
        <v>-4.0198999999999998</v>
      </c>
      <c r="AZ493">
        <v>-1.3967000000000001</v>
      </c>
      <c r="BA493">
        <v>28.381</v>
      </c>
      <c r="BB493">
        <v>10.1959</v>
      </c>
      <c r="BC493">
        <v>12.689</v>
      </c>
      <c r="BD493">
        <v>10.145099999999999</v>
      </c>
      <c r="BE493">
        <v>-4.5759999999999996</v>
      </c>
      <c r="BF493">
        <v>4.9360999999999997</v>
      </c>
      <c r="BG493">
        <v>3.5815999999999999</v>
      </c>
      <c r="BH493">
        <v>1.6488</v>
      </c>
      <c r="BI493">
        <v>59.2042</v>
      </c>
      <c r="BJ493">
        <v>138.83349999999999</v>
      </c>
      <c r="BK493">
        <v>60.147100000000002</v>
      </c>
      <c r="BL493">
        <v>23.979600000000001</v>
      </c>
      <c r="BM493">
        <v>14.579599999999999</v>
      </c>
      <c r="BN493">
        <v>3.8593999999999999</v>
      </c>
      <c r="BO493">
        <v>8.0622000000000007</v>
      </c>
      <c r="BP493" t="s">
        <v>134</v>
      </c>
      <c r="BQ493">
        <v>-39.1768</v>
      </c>
      <c r="BR493">
        <v>-51.848300000000002</v>
      </c>
      <c r="BS493">
        <v>132.19640000000001</v>
      </c>
      <c r="BT493">
        <v>24.994</v>
      </c>
      <c r="BU493">
        <v>12.395300000000001</v>
      </c>
      <c r="BV493">
        <v>14.686</v>
      </c>
      <c r="BW493">
        <v>11.8171</v>
      </c>
      <c r="BX493">
        <v>-19.077000000000002</v>
      </c>
      <c r="BY493">
        <v>556818.85</v>
      </c>
      <c r="BZ493">
        <v>100273.36</v>
      </c>
      <c r="CA493">
        <v>456545.49</v>
      </c>
      <c r="CB493">
        <v>1.3299000000000001</v>
      </c>
      <c r="CC493">
        <v>0.95230000000000004</v>
      </c>
      <c r="CD493">
        <v>2.2789000000000001</v>
      </c>
      <c r="CE493">
        <v>1.6318999999999999</v>
      </c>
      <c r="CF493">
        <v>17.361899999999999</v>
      </c>
      <c r="CG493">
        <v>59.747700000000002</v>
      </c>
      <c r="CH493">
        <v>20.262699999999999</v>
      </c>
      <c r="CI493">
        <v>16.247399999999999</v>
      </c>
      <c r="CJ493">
        <v>12.3322</v>
      </c>
      <c r="CK493">
        <v>24.713000000000001</v>
      </c>
      <c r="CL493">
        <v>19.815899999999999</v>
      </c>
      <c r="CM493">
        <v>15.040800000000001</v>
      </c>
      <c r="CN493">
        <v>17.696400000000001</v>
      </c>
      <c r="CO493">
        <v>15.035600000000001</v>
      </c>
      <c r="CP493">
        <v>418691.51</v>
      </c>
      <c r="CQ493">
        <v>272751.92</v>
      </c>
      <c r="CR493">
        <v>244337.07</v>
      </c>
      <c r="CS493">
        <v>0.35709999999999997</v>
      </c>
      <c r="CT493">
        <v>1.0948</v>
      </c>
      <c r="CU493">
        <v>0.59040000000000004</v>
      </c>
      <c r="CV493">
        <v>1.6245000000000001</v>
      </c>
      <c r="CW493">
        <v>15.161899999999999</v>
      </c>
      <c r="CX493">
        <v>24.073499999999999</v>
      </c>
      <c r="CY493">
        <v>3.5558999999999998</v>
      </c>
      <c r="CZ493">
        <v>102.64490000000001</v>
      </c>
      <c r="DA493">
        <v>1.7810000000000001</v>
      </c>
      <c r="DB493">
        <v>204.94499999999999</v>
      </c>
      <c r="DC493">
        <v>-78.226600000000005</v>
      </c>
      <c r="DD493">
        <v>126.7184</v>
      </c>
      <c r="DE493">
        <v>113640.82</v>
      </c>
      <c r="DF493">
        <v>13569.82</v>
      </c>
      <c r="DG493">
        <v>5045.68</v>
      </c>
      <c r="DH493">
        <v>37797.43</v>
      </c>
      <c r="DI493">
        <v>57227.89</v>
      </c>
    </row>
    <row r="494" spans="4:113" x14ac:dyDescent="0.3">
      <c r="E494" t="s">
        <v>4</v>
      </c>
      <c r="F494" t="s">
        <v>134</v>
      </c>
      <c r="G494" t="s">
        <v>134</v>
      </c>
      <c r="H494" t="s">
        <v>134</v>
      </c>
      <c r="I494" t="s">
        <v>134</v>
      </c>
      <c r="J494" t="s">
        <v>134</v>
      </c>
      <c r="K494" t="s">
        <v>134</v>
      </c>
      <c r="L494" t="s">
        <v>134</v>
      </c>
      <c r="M494" t="s">
        <v>134</v>
      </c>
      <c r="N494" t="s">
        <v>134</v>
      </c>
      <c r="O494" t="s">
        <v>134</v>
      </c>
      <c r="P494" t="s">
        <v>134</v>
      </c>
      <c r="Q494" t="s">
        <v>134</v>
      </c>
      <c r="R494" t="s">
        <v>134</v>
      </c>
      <c r="S494" t="s">
        <v>134</v>
      </c>
      <c r="T494" t="s">
        <v>134</v>
      </c>
      <c r="U494" t="s">
        <v>134</v>
      </c>
      <c r="V494" t="s">
        <v>134</v>
      </c>
      <c r="W494" t="s">
        <v>134</v>
      </c>
      <c r="X494" t="s">
        <v>134</v>
      </c>
      <c r="Y494" t="s">
        <v>134</v>
      </c>
      <c r="Z494" t="s">
        <v>134</v>
      </c>
      <c r="AA494" t="s">
        <v>134</v>
      </c>
      <c r="AB494" t="s">
        <v>134</v>
      </c>
      <c r="AC494" t="s">
        <v>134</v>
      </c>
      <c r="AD494" t="s">
        <v>134</v>
      </c>
      <c r="AE494" t="s">
        <v>134</v>
      </c>
      <c r="AF494" t="s">
        <v>134</v>
      </c>
      <c r="AG494" t="s">
        <v>134</v>
      </c>
      <c r="AH494" t="s">
        <v>134</v>
      </c>
      <c r="AI494" t="s">
        <v>134</v>
      </c>
      <c r="AJ494" t="s">
        <v>134</v>
      </c>
      <c r="AK494" t="s">
        <v>134</v>
      </c>
      <c r="AL494" t="s">
        <v>134</v>
      </c>
      <c r="AM494" t="s">
        <v>134</v>
      </c>
      <c r="AN494" t="s">
        <v>134</v>
      </c>
      <c r="AO494" t="s">
        <v>134</v>
      </c>
      <c r="AP494" t="s">
        <v>134</v>
      </c>
      <c r="AQ494" t="s">
        <v>134</v>
      </c>
      <c r="AR494" t="s">
        <v>134</v>
      </c>
      <c r="AS494" t="s">
        <v>134</v>
      </c>
      <c r="AT494" t="s">
        <v>134</v>
      </c>
      <c r="AU494" t="s">
        <v>134</v>
      </c>
      <c r="AV494" t="s">
        <v>134</v>
      </c>
      <c r="AW494" t="s">
        <v>134</v>
      </c>
      <c r="AX494" t="s">
        <v>134</v>
      </c>
      <c r="AY494" t="s">
        <v>134</v>
      </c>
      <c r="AZ494" t="s">
        <v>134</v>
      </c>
      <c r="BA494" t="s">
        <v>134</v>
      </c>
      <c r="BB494" t="s">
        <v>134</v>
      </c>
      <c r="BC494" t="s">
        <v>134</v>
      </c>
      <c r="BD494" t="s">
        <v>134</v>
      </c>
      <c r="BE494" t="s">
        <v>134</v>
      </c>
      <c r="BF494" t="s">
        <v>134</v>
      </c>
      <c r="BG494" t="s">
        <v>134</v>
      </c>
      <c r="BH494" t="s">
        <v>134</v>
      </c>
      <c r="BI494" t="s">
        <v>134</v>
      </c>
      <c r="BJ494" t="s">
        <v>134</v>
      </c>
      <c r="BK494" t="s">
        <v>134</v>
      </c>
      <c r="BL494" t="s">
        <v>134</v>
      </c>
      <c r="BM494" t="s">
        <v>134</v>
      </c>
      <c r="BN494" t="s">
        <v>134</v>
      </c>
      <c r="BO494" t="s">
        <v>134</v>
      </c>
      <c r="BP494" t="s">
        <v>134</v>
      </c>
      <c r="BQ494" t="s">
        <v>134</v>
      </c>
      <c r="BR494" t="s">
        <v>134</v>
      </c>
      <c r="BS494" t="s">
        <v>134</v>
      </c>
      <c r="BT494" t="s">
        <v>134</v>
      </c>
      <c r="BU494" t="s">
        <v>134</v>
      </c>
      <c r="BV494" t="s">
        <v>134</v>
      </c>
      <c r="BW494" t="s">
        <v>134</v>
      </c>
      <c r="BX494" t="s">
        <v>134</v>
      </c>
      <c r="BY494" t="s">
        <v>134</v>
      </c>
      <c r="BZ494" t="s">
        <v>134</v>
      </c>
      <c r="CA494" t="s">
        <v>134</v>
      </c>
      <c r="CB494" t="s">
        <v>134</v>
      </c>
      <c r="CC494" t="s">
        <v>134</v>
      </c>
      <c r="CD494" t="s">
        <v>134</v>
      </c>
      <c r="CE494" t="s">
        <v>134</v>
      </c>
      <c r="CF494" t="s">
        <v>134</v>
      </c>
      <c r="CG494" t="s">
        <v>134</v>
      </c>
      <c r="CH494" t="s">
        <v>134</v>
      </c>
      <c r="CI494" t="s">
        <v>134</v>
      </c>
      <c r="CJ494" t="s">
        <v>134</v>
      </c>
      <c r="CK494" t="s">
        <v>134</v>
      </c>
      <c r="CL494" t="s">
        <v>134</v>
      </c>
      <c r="CM494" t="s">
        <v>134</v>
      </c>
      <c r="CN494" t="s">
        <v>134</v>
      </c>
      <c r="CO494" t="s">
        <v>134</v>
      </c>
      <c r="CP494" t="s">
        <v>134</v>
      </c>
      <c r="CQ494" t="s">
        <v>134</v>
      </c>
      <c r="CR494" t="s">
        <v>134</v>
      </c>
      <c r="CS494" t="s">
        <v>134</v>
      </c>
      <c r="CT494" t="s">
        <v>134</v>
      </c>
      <c r="CU494" t="s">
        <v>134</v>
      </c>
      <c r="CV494" t="s">
        <v>134</v>
      </c>
      <c r="CW494" t="s">
        <v>134</v>
      </c>
      <c r="CX494" t="s">
        <v>134</v>
      </c>
      <c r="CY494" t="s">
        <v>134</v>
      </c>
      <c r="CZ494" t="s">
        <v>134</v>
      </c>
      <c r="DA494" t="s">
        <v>134</v>
      </c>
      <c r="DB494" t="s">
        <v>134</v>
      </c>
      <c r="DC494" t="s">
        <v>134</v>
      </c>
      <c r="DD494" t="s">
        <v>134</v>
      </c>
      <c r="DE494" t="s">
        <v>134</v>
      </c>
      <c r="DF494" t="s">
        <v>134</v>
      </c>
      <c r="DG494" t="s">
        <v>134</v>
      </c>
      <c r="DH494" t="s">
        <v>134</v>
      </c>
      <c r="DI494" t="s">
        <v>134</v>
      </c>
    </row>
    <row r="495" spans="4:113" x14ac:dyDescent="0.3">
      <c r="E495" t="s">
        <v>5</v>
      </c>
      <c r="F495" t="s">
        <v>134</v>
      </c>
      <c r="G495" t="s">
        <v>134</v>
      </c>
      <c r="H495" t="s">
        <v>134</v>
      </c>
      <c r="I495" t="s">
        <v>134</v>
      </c>
      <c r="J495" t="s">
        <v>134</v>
      </c>
      <c r="K495" t="s">
        <v>134</v>
      </c>
      <c r="L495" t="s">
        <v>134</v>
      </c>
      <c r="M495" t="s">
        <v>134</v>
      </c>
      <c r="N495" t="s">
        <v>134</v>
      </c>
      <c r="O495" t="s">
        <v>134</v>
      </c>
      <c r="P495" t="s">
        <v>134</v>
      </c>
      <c r="Q495" t="s">
        <v>134</v>
      </c>
      <c r="R495" t="s">
        <v>134</v>
      </c>
      <c r="S495" t="s">
        <v>134</v>
      </c>
      <c r="T495" t="s">
        <v>134</v>
      </c>
      <c r="U495" t="s">
        <v>134</v>
      </c>
      <c r="V495" t="s">
        <v>134</v>
      </c>
      <c r="W495" t="s">
        <v>134</v>
      </c>
      <c r="X495" t="s">
        <v>134</v>
      </c>
      <c r="Y495" t="s">
        <v>134</v>
      </c>
      <c r="Z495" t="s">
        <v>134</v>
      </c>
      <c r="AA495" t="s">
        <v>134</v>
      </c>
      <c r="AB495" t="s">
        <v>134</v>
      </c>
      <c r="AC495" t="s">
        <v>134</v>
      </c>
      <c r="AD495" t="s">
        <v>134</v>
      </c>
      <c r="AE495" t="s">
        <v>134</v>
      </c>
      <c r="AF495" t="s">
        <v>134</v>
      </c>
      <c r="AG495" t="s">
        <v>134</v>
      </c>
      <c r="AH495" t="s">
        <v>134</v>
      </c>
      <c r="AI495" t="s">
        <v>134</v>
      </c>
      <c r="AJ495" t="s">
        <v>134</v>
      </c>
      <c r="AK495" t="s">
        <v>134</v>
      </c>
      <c r="AL495" t="s">
        <v>134</v>
      </c>
      <c r="AM495" t="s">
        <v>134</v>
      </c>
      <c r="AN495" t="s">
        <v>134</v>
      </c>
      <c r="AO495" t="s">
        <v>134</v>
      </c>
      <c r="AP495" t="s">
        <v>134</v>
      </c>
      <c r="AQ495" t="s">
        <v>134</v>
      </c>
      <c r="AR495" t="s">
        <v>134</v>
      </c>
      <c r="AS495" t="s">
        <v>134</v>
      </c>
      <c r="AT495" t="s">
        <v>134</v>
      </c>
      <c r="AU495" t="s">
        <v>134</v>
      </c>
      <c r="AV495" t="s">
        <v>134</v>
      </c>
      <c r="AW495" t="s">
        <v>134</v>
      </c>
      <c r="AX495" t="s">
        <v>134</v>
      </c>
      <c r="AY495" t="s">
        <v>134</v>
      </c>
      <c r="AZ495" t="s">
        <v>134</v>
      </c>
      <c r="BA495" t="s">
        <v>134</v>
      </c>
      <c r="BB495" t="s">
        <v>134</v>
      </c>
      <c r="BC495" t="s">
        <v>134</v>
      </c>
      <c r="BD495" t="s">
        <v>134</v>
      </c>
      <c r="BE495" t="s">
        <v>134</v>
      </c>
      <c r="BF495" t="s">
        <v>134</v>
      </c>
      <c r="BG495" t="s">
        <v>134</v>
      </c>
      <c r="BH495" t="s">
        <v>134</v>
      </c>
      <c r="BI495" t="s">
        <v>134</v>
      </c>
      <c r="BJ495" t="s">
        <v>134</v>
      </c>
      <c r="BK495" t="s">
        <v>134</v>
      </c>
      <c r="BL495" t="s">
        <v>134</v>
      </c>
      <c r="BM495" t="s">
        <v>134</v>
      </c>
      <c r="BN495" t="s">
        <v>134</v>
      </c>
      <c r="BO495" t="s">
        <v>134</v>
      </c>
      <c r="BP495" t="s">
        <v>134</v>
      </c>
      <c r="BQ495" t="s">
        <v>134</v>
      </c>
      <c r="BR495" t="s">
        <v>134</v>
      </c>
      <c r="BS495" t="s">
        <v>134</v>
      </c>
      <c r="BT495" t="s">
        <v>134</v>
      </c>
      <c r="BU495" t="s">
        <v>134</v>
      </c>
      <c r="BV495" t="s">
        <v>134</v>
      </c>
      <c r="BW495" t="s">
        <v>134</v>
      </c>
      <c r="BX495" t="s">
        <v>134</v>
      </c>
      <c r="BY495" t="s">
        <v>134</v>
      </c>
      <c r="BZ495" t="s">
        <v>134</v>
      </c>
      <c r="CA495" t="s">
        <v>134</v>
      </c>
      <c r="CB495" t="s">
        <v>134</v>
      </c>
      <c r="CC495" t="s">
        <v>134</v>
      </c>
      <c r="CD495" t="s">
        <v>134</v>
      </c>
      <c r="CE495" t="s">
        <v>134</v>
      </c>
      <c r="CF495" t="s">
        <v>134</v>
      </c>
      <c r="CG495" t="s">
        <v>134</v>
      </c>
      <c r="CH495" t="s">
        <v>134</v>
      </c>
      <c r="CI495" t="s">
        <v>134</v>
      </c>
      <c r="CJ495" t="s">
        <v>134</v>
      </c>
      <c r="CK495" t="s">
        <v>134</v>
      </c>
      <c r="CL495" t="s">
        <v>134</v>
      </c>
      <c r="CM495" t="s">
        <v>134</v>
      </c>
      <c r="CN495" t="s">
        <v>134</v>
      </c>
      <c r="CO495" t="s">
        <v>134</v>
      </c>
      <c r="CP495" t="s">
        <v>134</v>
      </c>
      <c r="CQ495" t="s">
        <v>134</v>
      </c>
      <c r="CR495" t="s">
        <v>134</v>
      </c>
      <c r="CS495" t="s">
        <v>134</v>
      </c>
      <c r="CT495" t="s">
        <v>134</v>
      </c>
      <c r="CU495" t="s">
        <v>134</v>
      </c>
      <c r="CV495" t="s">
        <v>134</v>
      </c>
      <c r="CW495" t="s">
        <v>134</v>
      </c>
      <c r="CX495" t="s">
        <v>134</v>
      </c>
      <c r="CY495" t="s">
        <v>134</v>
      </c>
      <c r="CZ495" t="s">
        <v>134</v>
      </c>
      <c r="DA495" t="s">
        <v>134</v>
      </c>
      <c r="DB495" t="s">
        <v>134</v>
      </c>
      <c r="DC495" t="s">
        <v>134</v>
      </c>
      <c r="DD495" t="s">
        <v>134</v>
      </c>
      <c r="DE495" t="s">
        <v>134</v>
      </c>
      <c r="DF495" t="s">
        <v>134</v>
      </c>
      <c r="DG495" t="s">
        <v>134</v>
      </c>
      <c r="DH495" t="s">
        <v>134</v>
      </c>
      <c r="DI495" t="s">
        <v>134</v>
      </c>
    </row>
    <row r="496" spans="4:113" x14ac:dyDescent="0.3">
      <c r="E496" t="s">
        <v>6</v>
      </c>
      <c r="F496" t="s">
        <v>134</v>
      </c>
      <c r="G496" t="s">
        <v>134</v>
      </c>
      <c r="H496" t="s">
        <v>134</v>
      </c>
      <c r="I496" t="s">
        <v>134</v>
      </c>
      <c r="J496" t="s">
        <v>134</v>
      </c>
      <c r="K496" t="s">
        <v>134</v>
      </c>
      <c r="L496" t="s">
        <v>134</v>
      </c>
      <c r="M496" t="s">
        <v>134</v>
      </c>
      <c r="N496" t="s">
        <v>134</v>
      </c>
      <c r="O496" t="s">
        <v>134</v>
      </c>
      <c r="P496" t="s">
        <v>134</v>
      </c>
      <c r="Q496" t="s">
        <v>134</v>
      </c>
      <c r="R496" t="s">
        <v>134</v>
      </c>
      <c r="S496" t="s">
        <v>134</v>
      </c>
      <c r="T496" t="s">
        <v>134</v>
      </c>
      <c r="U496" t="s">
        <v>134</v>
      </c>
      <c r="V496" t="s">
        <v>134</v>
      </c>
      <c r="W496" t="s">
        <v>134</v>
      </c>
      <c r="X496" t="s">
        <v>134</v>
      </c>
      <c r="Y496" t="s">
        <v>134</v>
      </c>
      <c r="Z496" t="s">
        <v>134</v>
      </c>
      <c r="AA496" t="s">
        <v>134</v>
      </c>
      <c r="AB496" t="s">
        <v>134</v>
      </c>
      <c r="AC496" t="s">
        <v>134</v>
      </c>
      <c r="AD496" t="s">
        <v>134</v>
      </c>
      <c r="AE496" t="s">
        <v>134</v>
      </c>
      <c r="AF496" t="s">
        <v>134</v>
      </c>
      <c r="AG496" t="s">
        <v>134</v>
      </c>
      <c r="AH496" t="s">
        <v>134</v>
      </c>
      <c r="AI496" t="s">
        <v>134</v>
      </c>
      <c r="AJ496" t="s">
        <v>134</v>
      </c>
      <c r="AK496" t="s">
        <v>134</v>
      </c>
      <c r="AL496" t="s">
        <v>134</v>
      </c>
      <c r="AM496" t="s">
        <v>134</v>
      </c>
      <c r="AN496" t="s">
        <v>134</v>
      </c>
      <c r="AO496" t="s">
        <v>134</v>
      </c>
      <c r="AP496" t="s">
        <v>134</v>
      </c>
      <c r="AQ496" t="s">
        <v>134</v>
      </c>
      <c r="AR496" t="s">
        <v>134</v>
      </c>
      <c r="AS496" t="s">
        <v>134</v>
      </c>
      <c r="AT496" t="s">
        <v>134</v>
      </c>
      <c r="AU496" t="s">
        <v>134</v>
      </c>
      <c r="AV496" t="s">
        <v>134</v>
      </c>
      <c r="AW496" t="s">
        <v>134</v>
      </c>
      <c r="AX496" t="s">
        <v>134</v>
      </c>
      <c r="AY496" t="s">
        <v>134</v>
      </c>
      <c r="AZ496" t="s">
        <v>134</v>
      </c>
      <c r="BA496" t="s">
        <v>134</v>
      </c>
      <c r="BB496" t="s">
        <v>134</v>
      </c>
      <c r="BC496" t="s">
        <v>134</v>
      </c>
      <c r="BD496" t="s">
        <v>134</v>
      </c>
      <c r="BE496" t="s">
        <v>134</v>
      </c>
      <c r="BF496" t="s">
        <v>134</v>
      </c>
      <c r="BG496" t="s">
        <v>134</v>
      </c>
      <c r="BH496" t="s">
        <v>134</v>
      </c>
      <c r="BI496" t="s">
        <v>134</v>
      </c>
      <c r="BJ496" t="s">
        <v>134</v>
      </c>
      <c r="BK496" t="s">
        <v>134</v>
      </c>
      <c r="BL496" t="s">
        <v>134</v>
      </c>
      <c r="BM496" t="s">
        <v>134</v>
      </c>
      <c r="BN496" t="s">
        <v>134</v>
      </c>
      <c r="BO496" t="s">
        <v>134</v>
      </c>
      <c r="BP496" t="s">
        <v>134</v>
      </c>
      <c r="BQ496" t="s">
        <v>134</v>
      </c>
      <c r="BR496" t="s">
        <v>134</v>
      </c>
      <c r="BS496" t="s">
        <v>134</v>
      </c>
      <c r="BT496" t="s">
        <v>134</v>
      </c>
      <c r="BU496" t="s">
        <v>134</v>
      </c>
      <c r="BV496" t="s">
        <v>134</v>
      </c>
      <c r="BW496" t="s">
        <v>134</v>
      </c>
      <c r="BX496" t="s">
        <v>134</v>
      </c>
      <c r="BY496" t="s">
        <v>134</v>
      </c>
      <c r="BZ496" t="s">
        <v>134</v>
      </c>
      <c r="CA496" t="s">
        <v>134</v>
      </c>
      <c r="CB496" t="s">
        <v>134</v>
      </c>
      <c r="CC496" t="s">
        <v>134</v>
      </c>
      <c r="CD496" t="s">
        <v>134</v>
      </c>
      <c r="CE496" t="s">
        <v>134</v>
      </c>
      <c r="CF496" t="s">
        <v>134</v>
      </c>
      <c r="CG496" t="s">
        <v>134</v>
      </c>
      <c r="CH496" t="s">
        <v>134</v>
      </c>
      <c r="CI496" t="s">
        <v>134</v>
      </c>
      <c r="CJ496" t="s">
        <v>134</v>
      </c>
      <c r="CK496" t="s">
        <v>134</v>
      </c>
      <c r="CL496" t="s">
        <v>134</v>
      </c>
      <c r="CM496" t="s">
        <v>134</v>
      </c>
      <c r="CN496" t="s">
        <v>134</v>
      </c>
      <c r="CO496" t="s">
        <v>134</v>
      </c>
      <c r="CP496" t="s">
        <v>134</v>
      </c>
      <c r="CQ496" t="s">
        <v>134</v>
      </c>
      <c r="CR496" t="s">
        <v>134</v>
      </c>
      <c r="CS496" t="s">
        <v>134</v>
      </c>
      <c r="CT496" t="s">
        <v>134</v>
      </c>
      <c r="CU496" t="s">
        <v>134</v>
      </c>
      <c r="CV496" t="s">
        <v>134</v>
      </c>
      <c r="CW496" t="s">
        <v>134</v>
      </c>
      <c r="CX496" t="s">
        <v>134</v>
      </c>
      <c r="CY496" t="s">
        <v>134</v>
      </c>
      <c r="CZ496" t="s">
        <v>134</v>
      </c>
      <c r="DA496" t="s">
        <v>134</v>
      </c>
      <c r="DB496" t="s">
        <v>134</v>
      </c>
      <c r="DC496" t="s">
        <v>134</v>
      </c>
      <c r="DD496" t="s">
        <v>134</v>
      </c>
      <c r="DE496" t="s">
        <v>134</v>
      </c>
      <c r="DF496" t="s">
        <v>134</v>
      </c>
      <c r="DG496" t="s">
        <v>134</v>
      </c>
      <c r="DH496" t="s">
        <v>134</v>
      </c>
      <c r="DI496" t="s">
        <v>134</v>
      </c>
    </row>
    <row r="497" spans="1:113" x14ac:dyDescent="0.3">
      <c r="E497" t="s">
        <v>7</v>
      </c>
      <c r="F497" t="s">
        <v>134</v>
      </c>
      <c r="G497" t="s">
        <v>134</v>
      </c>
      <c r="H497" t="s">
        <v>134</v>
      </c>
      <c r="I497" t="s">
        <v>134</v>
      </c>
      <c r="J497" t="s">
        <v>134</v>
      </c>
      <c r="K497" t="s">
        <v>134</v>
      </c>
      <c r="L497" t="s">
        <v>134</v>
      </c>
      <c r="M497" t="s">
        <v>134</v>
      </c>
      <c r="N497" t="s">
        <v>134</v>
      </c>
      <c r="O497" t="s">
        <v>134</v>
      </c>
      <c r="P497" t="s">
        <v>134</v>
      </c>
      <c r="Q497" t="s">
        <v>134</v>
      </c>
      <c r="R497" t="s">
        <v>134</v>
      </c>
      <c r="S497" t="s">
        <v>134</v>
      </c>
      <c r="T497" t="s">
        <v>134</v>
      </c>
      <c r="U497" t="s">
        <v>134</v>
      </c>
      <c r="V497" t="s">
        <v>134</v>
      </c>
      <c r="W497" t="s">
        <v>134</v>
      </c>
      <c r="X497" t="s">
        <v>134</v>
      </c>
      <c r="Y497" t="s">
        <v>134</v>
      </c>
      <c r="Z497" t="s">
        <v>134</v>
      </c>
      <c r="AA497" t="s">
        <v>134</v>
      </c>
      <c r="AB497" t="s">
        <v>134</v>
      </c>
      <c r="AC497" t="s">
        <v>134</v>
      </c>
      <c r="AD497" t="s">
        <v>134</v>
      </c>
      <c r="AE497" t="s">
        <v>134</v>
      </c>
      <c r="AF497" t="s">
        <v>134</v>
      </c>
      <c r="AG497" t="s">
        <v>134</v>
      </c>
      <c r="AH497" t="s">
        <v>134</v>
      </c>
      <c r="AI497" t="s">
        <v>134</v>
      </c>
      <c r="AJ497" t="s">
        <v>134</v>
      </c>
      <c r="AK497" t="s">
        <v>134</v>
      </c>
      <c r="AL497" t="s">
        <v>134</v>
      </c>
      <c r="AM497" t="s">
        <v>134</v>
      </c>
      <c r="AN497" t="s">
        <v>134</v>
      </c>
      <c r="AO497" t="s">
        <v>134</v>
      </c>
      <c r="AP497" t="s">
        <v>134</v>
      </c>
      <c r="AQ497" t="s">
        <v>134</v>
      </c>
      <c r="AR497" t="s">
        <v>134</v>
      </c>
      <c r="AS497" t="s">
        <v>134</v>
      </c>
      <c r="AT497" t="s">
        <v>134</v>
      </c>
      <c r="AU497" t="s">
        <v>134</v>
      </c>
      <c r="AV497" t="s">
        <v>134</v>
      </c>
      <c r="AW497" t="s">
        <v>134</v>
      </c>
      <c r="AX497" t="s">
        <v>134</v>
      </c>
      <c r="AY497" t="s">
        <v>134</v>
      </c>
      <c r="AZ497" t="s">
        <v>134</v>
      </c>
      <c r="BA497" t="s">
        <v>134</v>
      </c>
      <c r="BB497" t="s">
        <v>134</v>
      </c>
      <c r="BC497" t="s">
        <v>134</v>
      </c>
      <c r="BD497" t="s">
        <v>134</v>
      </c>
      <c r="BE497" t="s">
        <v>134</v>
      </c>
      <c r="BF497" t="s">
        <v>134</v>
      </c>
      <c r="BG497" t="s">
        <v>134</v>
      </c>
      <c r="BH497" t="s">
        <v>134</v>
      </c>
      <c r="BI497" t="s">
        <v>134</v>
      </c>
      <c r="BJ497" t="s">
        <v>134</v>
      </c>
      <c r="BK497" t="s">
        <v>134</v>
      </c>
      <c r="BL497" t="s">
        <v>134</v>
      </c>
      <c r="BM497" t="s">
        <v>134</v>
      </c>
      <c r="BN497" t="s">
        <v>134</v>
      </c>
      <c r="BO497" t="s">
        <v>134</v>
      </c>
      <c r="BP497" t="s">
        <v>134</v>
      </c>
      <c r="BQ497" t="s">
        <v>134</v>
      </c>
      <c r="BR497" t="s">
        <v>134</v>
      </c>
      <c r="BS497" t="s">
        <v>134</v>
      </c>
      <c r="BT497" t="s">
        <v>134</v>
      </c>
      <c r="BU497" t="s">
        <v>134</v>
      </c>
      <c r="BV497" t="s">
        <v>134</v>
      </c>
      <c r="BW497" t="s">
        <v>134</v>
      </c>
      <c r="BX497" t="s">
        <v>134</v>
      </c>
      <c r="BY497" t="s">
        <v>134</v>
      </c>
      <c r="BZ497" t="s">
        <v>134</v>
      </c>
      <c r="CA497" t="s">
        <v>134</v>
      </c>
      <c r="CB497" t="s">
        <v>134</v>
      </c>
      <c r="CC497" t="s">
        <v>134</v>
      </c>
      <c r="CD497" t="s">
        <v>134</v>
      </c>
      <c r="CE497" t="s">
        <v>134</v>
      </c>
      <c r="CF497" t="s">
        <v>134</v>
      </c>
      <c r="CG497" t="s">
        <v>134</v>
      </c>
      <c r="CH497" t="s">
        <v>134</v>
      </c>
      <c r="CI497" t="s">
        <v>134</v>
      </c>
      <c r="CJ497" t="s">
        <v>134</v>
      </c>
      <c r="CK497" t="s">
        <v>134</v>
      </c>
      <c r="CL497" t="s">
        <v>134</v>
      </c>
      <c r="CM497" t="s">
        <v>134</v>
      </c>
      <c r="CN497" t="s">
        <v>134</v>
      </c>
      <c r="CO497" t="s">
        <v>134</v>
      </c>
      <c r="CP497" t="s">
        <v>134</v>
      </c>
      <c r="CQ497" t="s">
        <v>134</v>
      </c>
      <c r="CR497" t="s">
        <v>134</v>
      </c>
      <c r="CS497" t="s">
        <v>134</v>
      </c>
      <c r="CT497" t="s">
        <v>134</v>
      </c>
      <c r="CU497" t="s">
        <v>134</v>
      </c>
      <c r="CV497" t="s">
        <v>134</v>
      </c>
      <c r="CW497" t="s">
        <v>134</v>
      </c>
      <c r="CX497" t="s">
        <v>134</v>
      </c>
      <c r="CY497" t="s">
        <v>134</v>
      </c>
      <c r="CZ497" t="s">
        <v>134</v>
      </c>
      <c r="DA497" t="s">
        <v>134</v>
      </c>
      <c r="DB497" t="s">
        <v>134</v>
      </c>
      <c r="DC497" t="s">
        <v>134</v>
      </c>
      <c r="DD497" t="s">
        <v>134</v>
      </c>
      <c r="DE497" t="s">
        <v>134</v>
      </c>
      <c r="DF497" t="s">
        <v>134</v>
      </c>
      <c r="DG497" t="s">
        <v>134</v>
      </c>
      <c r="DH497" t="s">
        <v>134</v>
      </c>
      <c r="DI497" t="s">
        <v>134</v>
      </c>
    </row>
    <row r="498" spans="1:113" x14ac:dyDescent="0.3">
      <c r="D498" t="s">
        <v>11</v>
      </c>
      <c r="E498" t="s">
        <v>3</v>
      </c>
      <c r="F498">
        <v>11.097200000000001</v>
      </c>
      <c r="G498">
        <v>4.8818999999999999</v>
      </c>
      <c r="H498">
        <v>9.2249999999999996</v>
      </c>
      <c r="I498">
        <v>6.4682000000000004</v>
      </c>
      <c r="J498">
        <v>15.801299999999999</v>
      </c>
      <c r="K498">
        <v>9.3856999999999999</v>
      </c>
      <c r="L498">
        <v>3.2583000000000002</v>
      </c>
      <c r="M498">
        <v>10.894600000000001</v>
      </c>
      <c r="N498">
        <v>7.2435</v>
      </c>
      <c r="O498">
        <v>6.1425999999999998</v>
      </c>
      <c r="P498">
        <v>6.1425999999999998</v>
      </c>
      <c r="Q498">
        <v>33.512799999999999</v>
      </c>
      <c r="R498">
        <v>38.315199999999997</v>
      </c>
      <c r="S498">
        <v>6.8452999999999999</v>
      </c>
      <c r="T498">
        <v>11.322900000000001</v>
      </c>
      <c r="U498">
        <v>7.6925999999999997</v>
      </c>
      <c r="V498">
        <v>3.6602000000000001</v>
      </c>
      <c r="W498">
        <v>-9.4733999999999998</v>
      </c>
      <c r="X498">
        <v>-9.4587000000000003</v>
      </c>
      <c r="Y498">
        <v>-27.2727</v>
      </c>
      <c r="Z498">
        <v>10.775700000000001</v>
      </c>
      <c r="AA498">
        <v>2.2800000000000002</v>
      </c>
      <c r="AB498">
        <v>6.8293999999999997</v>
      </c>
      <c r="AC498">
        <v>3.3313000000000001</v>
      </c>
      <c r="AD498">
        <v>-2.7343999999999999</v>
      </c>
      <c r="AE498">
        <v>1.9561999999999999</v>
      </c>
      <c r="AF498">
        <v>10.564299999999999</v>
      </c>
      <c r="AG498">
        <v>87.595600000000005</v>
      </c>
      <c r="AH498">
        <v>32.648600000000002</v>
      </c>
      <c r="AI498">
        <v>5.7530000000000001</v>
      </c>
      <c r="AJ498">
        <v>13.234400000000001</v>
      </c>
      <c r="AK498">
        <v>4.9559999999999995</v>
      </c>
      <c r="AL498">
        <v>27.845300000000002</v>
      </c>
      <c r="AM498">
        <v>17.3857</v>
      </c>
      <c r="AN498">
        <v>5.2211999999999996</v>
      </c>
      <c r="AO498">
        <v>1.0899000000000001</v>
      </c>
      <c r="AP498">
        <v>-1.8098000000000001</v>
      </c>
      <c r="AQ498">
        <v>-1.8054999999999999</v>
      </c>
      <c r="AR498">
        <v>0.82830000000000004</v>
      </c>
      <c r="AS498">
        <v>-2.0243000000000002</v>
      </c>
      <c r="AT498">
        <v>19.064800000000002</v>
      </c>
      <c r="AU498">
        <v>7.1612</v>
      </c>
      <c r="AV498">
        <v>12.6714</v>
      </c>
      <c r="AW498" t="s">
        <v>134</v>
      </c>
      <c r="AX498" t="s">
        <v>134</v>
      </c>
      <c r="AY498">
        <v>7.3602999999999996</v>
      </c>
      <c r="AZ498">
        <v>33.982700000000001</v>
      </c>
      <c r="BA498">
        <v>38.6937</v>
      </c>
      <c r="BB498">
        <v>7.2914000000000003</v>
      </c>
      <c r="BC498">
        <v>13.2136</v>
      </c>
      <c r="BD498">
        <v>5.9899000000000004</v>
      </c>
      <c r="BE498">
        <v>7.4668000000000001</v>
      </c>
      <c r="BF498">
        <v>11.322900000000001</v>
      </c>
      <c r="BG498">
        <v>7.6925999999999997</v>
      </c>
      <c r="BH498">
        <v>3.6602000000000001</v>
      </c>
      <c r="BI498">
        <v>-9.4733999999999998</v>
      </c>
      <c r="BJ498">
        <v>-9.4587000000000003</v>
      </c>
      <c r="BK498">
        <v>-27.2727</v>
      </c>
      <c r="BL498">
        <v>10.775700000000001</v>
      </c>
      <c r="BM498">
        <v>2.2800000000000002</v>
      </c>
      <c r="BN498">
        <v>6.8293999999999997</v>
      </c>
      <c r="BO498">
        <v>3.3313000000000001</v>
      </c>
      <c r="BP498">
        <v>-2.7343999999999999</v>
      </c>
      <c r="BQ498" t="s">
        <v>134</v>
      </c>
      <c r="BR498">
        <v>10.564299999999999</v>
      </c>
      <c r="BS498">
        <v>87.595600000000005</v>
      </c>
      <c r="BT498">
        <v>32.648600000000002</v>
      </c>
      <c r="BU498">
        <v>5.7530000000000001</v>
      </c>
      <c r="BV498">
        <v>13.234400000000001</v>
      </c>
      <c r="BW498">
        <v>4.9559999999999995</v>
      </c>
      <c r="BX498">
        <v>27.845300000000002</v>
      </c>
      <c r="BY498">
        <v>1061576.94</v>
      </c>
      <c r="BZ498">
        <v>511327.96</v>
      </c>
      <c r="CA498">
        <v>550248.98</v>
      </c>
      <c r="CB498">
        <v>1.8668</v>
      </c>
      <c r="CC498">
        <v>1.6931</v>
      </c>
      <c r="CD498">
        <v>3.1429</v>
      </c>
      <c r="CE498">
        <v>2.8504</v>
      </c>
      <c r="CF498">
        <v>16.959700000000002</v>
      </c>
      <c r="CG498">
        <v>44.329300000000003</v>
      </c>
      <c r="CH498">
        <v>25.053999999999998</v>
      </c>
      <c r="CI498">
        <v>16.8901</v>
      </c>
      <c r="CJ498">
        <v>11.9558</v>
      </c>
      <c r="CK498">
        <v>48.335900000000002</v>
      </c>
      <c r="CL498">
        <v>32.5854</v>
      </c>
      <c r="CM498">
        <v>23.065999999999999</v>
      </c>
      <c r="CN498">
        <v>43.837600000000002</v>
      </c>
      <c r="CO498">
        <v>30.4772</v>
      </c>
      <c r="CP498">
        <v>568656.69999999995</v>
      </c>
      <c r="CQ498">
        <v>276162.52</v>
      </c>
      <c r="CR498">
        <v>337771.35</v>
      </c>
      <c r="CS498">
        <v>8.4500000000000006E-2</v>
      </c>
      <c r="CT498">
        <v>0.62439999999999996</v>
      </c>
      <c r="CU498">
        <v>0.20330000000000001</v>
      </c>
      <c r="CV498">
        <v>1.6677999999999999</v>
      </c>
      <c r="CW498">
        <v>27.215800000000002</v>
      </c>
      <c r="CX498">
        <v>13.411300000000001</v>
      </c>
      <c r="CY498">
        <v>6.6936999999999998</v>
      </c>
      <c r="CZ498">
        <v>54.529200000000003</v>
      </c>
      <c r="DA498">
        <v>8.0286000000000008</v>
      </c>
      <c r="DB498">
        <v>45.462699999999998</v>
      </c>
      <c r="DC498">
        <v>22.477799999999998</v>
      </c>
      <c r="DD498">
        <v>67.9405</v>
      </c>
      <c r="DE498">
        <v>305630.44</v>
      </c>
      <c r="DF498">
        <v>35274.61</v>
      </c>
      <c r="DG498">
        <v>11131.31</v>
      </c>
      <c r="DH498">
        <v>189910.33</v>
      </c>
      <c r="DI498">
        <v>69314.19</v>
      </c>
    </row>
    <row r="499" spans="1:113" x14ac:dyDescent="0.3">
      <c r="E499" t="s">
        <v>4</v>
      </c>
      <c r="F499" t="s">
        <v>134</v>
      </c>
      <c r="G499" t="s">
        <v>134</v>
      </c>
      <c r="H499" t="s">
        <v>134</v>
      </c>
      <c r="I499" t="s">
        <v>134</v>
      </c>
      <c r="J499" t="s">
        <v>134</v>
      </c>
      <c r="K499" t="s">
        <v>134</v>
      </c>
      <c r="L499" t="s">
        <v>134</v>
      </c>
      <c r="M499" t="s">
        <v>134</v>
      </c>
      <c r="N499" t="s">
        <v>134</v>
      </c>
      <c r="O499" t="s">
        <v>134</v>
      </c>
      <c r="P499" t="s">
        <v>134</v>
      </c>
      <c r="Q499" t="s">
        <v>134</v>
      </c>
      <c r="R499" t="s">
        <v>134</v>
      </c>
      <c r="S499" t="s">
        <v>134</v>
      </c>
      <c r="T499" t="s">
        <v>134</v>
      </c>
      <c r="U499" t="s">
        <v>134</v>
      </c>
      <c r="V499" t="s">
        <v>134</v>
      </c>
      <c r="W499" t="s">
        <v>134</v>
      </c>
      <c r="X499" t="s">
        <v>134</v>
      </c>
      <c r="Y499" t="s">
        <v>134</v>
      </c>
      <c r="Z499" t="s">
        <v>134</v>
      </c>
      <c r="AA499" t="s">
        <v>134</v>
      </c>
      <c r="AB499" t="s">
        <v>134</v>
      </c>
      <c r="AC499" t="s">
        <v>134</v>
      </c>
      <c r="AD499" t="s">
        <v>134</v>
      </c>
      <c r="AE499" t="s">
        <v>134</v>
      </c>
      <c r="AF499" t="s">
        <v>134</v>
      </c>
      <c r="AG499" t="s">
        <v>134</v>
      </c>
      <c r="AH499" t="s">
        <v>134</v>
      </c>
      <c r="AI499" t="s">
        <v>134</v>
      </c>
      <c r="AJ499" t="s">
        <v>134</v>
      </c>
      <c r="AK499" t="s">
        <v>134</v>
      </c>
      <c r="AL499" t="s">
        <v>134</v>
      </c>
      <c r="AM499" t="s">
        <v>134</v>
      </c>
      <c r="AN499" t="s">
        <v>134</v>
      </c>
      <c r="AO499" t="s">
        <v>134</v>
      </c>
      <c r="AP499" t="s">
        <v>134</v>
      </c>
      <c r="AQ499" t="s">
        <v>134</v>
      </c>
      <c r="AR499" t="s">
        <v>134</v>
      </c>
      <c r="AS499" t="s">
        <v>134</v>
      </c>
      <c r="AT499" t="s">
        <v>134</v>
      </c>
      <c r="AU499" t="s">
        <v>134</v>
      </c>
      <c r="AV499" t="s">
        <v>134</v>
      </c>
      <c r="AW499" t="s">
        <v>134</v>
      </c>
      <c r="AX499" t="s">
        <v>134</v>
      </c>
      <c r="AY499" t="s">
        <v>134</v>
      </c>
      <c r="AZ499" t="s">
        <v>134</v>
      </c>
      <c r="BA499" t="s">
        <v>134</v>
      </c>
      <c r="BB499" t="s">
        <v>134</v>
      </c>
      <c r="BC499" t="s">
        <v>134</v>
      </c>
      <c r="BD499" t="s">
        <v>134</v>
      </c>
      <c r="BE499" t="s">
        <v>134</v>
      </c>
      <c r="BF499" t="s">
        <v>134</v>
      </c>
      <c r="BG499" t="s">
        <v>134</v>
      </c>
      <c r="BH499" t="s">
        <v>134</v>
      </c>
      <c r="BI499" t="s">
        <v>134</v>
      </c>
      <c r="BJ499" t="s">
        <v>134</v>
      </c>
      <c r="BK499" t="s">
        <v>134</v>
      </c>
      <c r="BL499" t="s">
        <v>134</v>
      </c>
      <c r="BM499" t="s">
        <v>134</v>
      </c>
      <c r="BN499" t="s">
        <v>134</v>
      </c>
      <c r="BO499" t="s">
        <v>134</v>
      </c>
      <c r="BP499" t="s">
        <v>134</v>
      </c>
      <c r="BQ499" t="s">
        <v>134</v>
      </c>
      <c r="BR499" t="s">
        <v>134</v>
      </c>
      <c r="BS499" t="s">
        <v>134</v>
      </c>
      <c r="BT499" t="s">
        <v>134</v>
      </c>
      <c r="BU499" t="s">
        <v>134</v>
      </c>
      <c r="BV499" t="s">
        <v>134</v>
      </c>
      <c r="BW499" t="s">
        <v>134</v>
      </c>
      <c r="BX499" t="s">
        <v>134</v>
      </c>
      <c r="BY499" t="s">
        <v>134</v>
      </c>
      <c r="BZ499" t="s">
        <v>134</v>
      </c>
      <c r="CA499" t="s">
        <v>134</v>
      </c>
      <c r="CB499" t="s">
        <v>134</v>
      </c>
      <c r="CC499" t="s">
        <v>134</v>
      </c>
      <c r="CD499" t="s">
        <v>134</v>
      </c>
      <c r="CE499" t="s">
        <v>134</v>
      </c>
      <c r="CF499" t="s">
        <v>134</v>
      </c>
      <c r="CG499" t="s">
        <v>134</v>
      </c>
      <c r="CH499" t="s">
        <v>134</v>
      </c>
      <c r="CI499" t="s">
        <v>134</v>
      </c>
      <c r="CJ499" t="s">
        <v>134</v>
      </c>
      <c r="CK499" t="s">
        <v>134</v>
      </c>
      <c r="CL499" t="s">
        <v>134</v>
      </c>
      <c r="CM499" t="s">
        <v>134</v>
      </c>
      <c r="CN499" t="s">
        <v>134</v>
      </c>
      <c r="CO499" t="s">
        <v>134</v>
      </c>
      <c r="CP499" t="s">
        <v>134</v>
      </c>
      <c r="CQ499" t="s">
        <v>134</v>
      </c>
      <c r="CR499" t="s">
        <v>134</v>
      </c>
      <c r="CS499" t="s">
        <v>134</v>
      </c>
      <c r="CT499" t="s">
        <v>134</v>
      </c>
      <c r="CU499" t="s">
        <v>134</v>
      </c>
      <c r="CV499" t="s">
        <v>134</v>
      </c>
      <c r="CW499" t="s">
        <v>134</v>
      </c>
      <c r="CX499" t="s">
        <v>134</v>
      </c>
      <c r="CY499" t="s">
        <v>134</v>
      </c>
      <c r="CZ499" t="s">
        <v>134</v>
      </c>
      <c r="DA499" t="s">
        <v>134</v>
      </c>
      <c r="DB499" t="s">
        <v>134</v>
      </c>
      <c r="DC499" t="s">
        <v>134</v>
      </c>
      <c r="DD499" t="s">
        <v>134</v>
      </c>
      <c r="DE499" t="s">
        <v>134</v>
      </c>
      <c r="DF499" t="s">
        <v>134</v>
      </c>
      <c r="DG499" t="s">
        <v>134</v>
      </c>
      <c r="DH499" t="s">
        <v>134</v>
      </c>
      <c r="DI499" t="s">
        <v>134</v>
      </c>
    </row>
    <row r="500" spans="1:113" x14ac:dyDescent="0.3">
      <c r="E500" t="s">
        <v>5</v>
      </c>
      <c r="F500" t="s">
        <v>134</v>
      </c>
      <c r="G500" t="s">
        <v>134</v>
      </c>
      <c r="H500" t="s">
        <v>134</v>
      </c>
      <c r="I500" t="s">
        <v>134</v>
      </c>
      <c r="J500" t="s">
        <v>134</v>
      </c>
      <c r="K500" t="s">
        <v>134</v>
      </c>
      <c r="L500" t="s">
        <v>134</v>
      </c>
      <c r="M500" t="s">
        <v>134</v>
      </c>
      <c r="N500" t="s">
        <v>134</v>
      </c>
      <c r="O500" t="s">
        <v>134</v>
      </c>
      <c r="P500" t="s">
        <v>134</v>
      </c>
      <c r="Q500" t="s">
        <v>134</v>
      </c>
      <c r="R500" t="s">
        <v>134</v>
      </c>
      <c r="S500" t="s">
        <v>134</v>
      </c>
      <c r="T500" t="s">
        <v>134</v>
      </c>
      <c r="U500" t="s">
        <v>134</v>
      </c>
      <c r="V500" t="s">
        <v>134</v>
      </c>
      <c r="W500" t="s">
        <v>134</v>
      </c>
      <c r="X500" t="s">
        <v>134</v>
      </c>
      <c r="Y500" t="s">
        <v>134</v>
      </c>
      <c r="Z500" t="s">
        <v>134</v>
      </c>
      <c r="AA500" t="s">
        <v>134</v>
      </c>
      <c r="AB500" t="s">
        <v>134</v>
      </c>
      <c r="AC500" t="s">
        <v>134</v>
      </c>
      <c r="AD500" t="s">
        <v>134</v>
      </c>
      <c r="AE500" t="s">
        <v>134</v>
      </c>
      <c r="AF500" t="s">
        <v>134</v>
      </c>
      <c r="AG500" t="s">
        <v>134</v>
      </c>
      <c r="AH500" t="s">
        <v>134</v>
      </c>
      <c r="AI500" t="s">
        <v>134</v>
      </c>
      <c r="AJ500" t="s">
        <v>134</v>
      </c>
      <c r="AK500" t="s">
        <v>134</v>
      </c>
      <c r="AL500" t="s">
        <v>134</v>
      </c>
      <c r="AM500" t="s">
        <v>134</v>
      </c>
      <c r="AN500" t="s">
        <v>134</v>
      </c>
      <c r="AO500" t="s">
        <v>134</v>
      </c>
      <c r="AP500" t="s">
        <v>134</v>
      </c>
      <c r="AQ500" t="s">
        <v>134</v>
      </c>
      <c r="AR500" t="s">
        <v>134</v>
      </c>
      <c r="AS500" t="s">
        <v>134</v>
      </c>
      <c r="AT500" t="s">
        <v>134</v>
      </c>
      <c r="AU500" t="s">
        <v>134</v>
      </c>
      <c r="AV500" t="s">
        <v>134</v>
      </c>
      <c r="AW500" t="s">
        <v>134</v>
      </c>
      <c r="AX500" t="s">
        <v>134</v>
      </c>
      <c r="AY500" t="s">
        <v>134</v>
      </c>
      <c r="AZ500" t="s">
        <v>134</v>
      </c>
      <c r="BA500" t="s">
        <v>134</v>
      </c>
      <c r="BB500" t="s">
        <v>134</v>
      </c>
      <c r="BC500" t="s">
        <v>134</v>
      </c>
      <c r="BD500" t="s">
        <v>134</v>
      </c>
      <c r="BE500" t="s">
        <v>134</v>
      </c>
      <c r="BF500" t="s">
        <v>134</v>
      </c>
      <c r="BG500" t="s">
        <v>134</v>
      </c>
      <c r="BH500" t="s">
        <v>134</v>
      </c>
      <c r="BI500" t="s">
        <v>134</v>
      </c>
      <c r="BJ500" t="s">
        <v>134</v>
      </c>
      <c r="BK500" t="s">
        <v>134</v>
      </c>
      <c r="BL500" t="s">
        <v>134</v>
      </c>
      <c r="BM500" t="s">
        <v>134</v>
      </c>
      <c r="BN500" t="s">
        <v>134</v>
      </c>
      <c r="BO500" t="s">
        <v>134</v>
      </c>
      <c r="BP500" t="s">
        <v>134</v>
      </c>
      <c r="BQ500" t="s">
        <v>134</v>
      </c>
      <c r="BR500" t="s">
        <v>134</v>
      </c>
      <c r="BS500" t="s">
        <v>134</v>
      </c>
      <c r="BT500" t="s">
        <v>134</v>
      </c>
      <c r="BU500" t="s">
        <v>134</v>
      </c>
      <c r="BV500" t="s">
        <v>134</v>
      </c>
      <c r="BW500" t="s">
        <v>134</v>
      </c>
      <c r="BX500" t="s">
        <v>134</v>
      </c>
      <c r="BY500" t="s">
        <v>134</v>
      </c>
      <c r="BZ500" t="s">
        <v>134</v>
      </c>
      <c r="CA500" t="s">
        <v>134</v>
      </c>
      <c r="CB500" t="s">
        <v>134</v>
      </c>
      <c r="CC500" t="s">
        <v>134</v>
      </c>
      <c r="CD500" t="s">
        <v>134</v>
      </c>
      <c r="CE500" t="s">
        <v>134</v>
      </c>
      <c r="CF500" t="s">
        <v>134</v>
      </c>
      <c r="CG500" t="s">
        <v>134</v>
      </c>
      <c r="CH500" t="s">
        <v>134</v>
      </c>
      <c r="CI500" t="s">
        <v>134</v>
      </c>
      <c r="CJ500" t="s">
        <v>134</v>
      </c>
      <c r="CK500" t="s">
        <v>134</v>
      </c>
      <c r="CL500" t="s">
        <v>134</v>
      </c>
      <c r="CM500" t="s">
        <v>134</v>
      </c>
      <c r="CN500" t="s">
        <v>134</v>
      </c>
      <c r="CO500" t="s">
        <v>134</v>
      </c>
      <c r="CP500" t="s">
        <v>134</v>
      </c>
      <c r="CQ500" t="s">
        <v>134</v>
      </c>
      <c r="CR500" t="s">
        <v>134</v>
      </c>
      <c r="CS500" t="s">
        <v>134</v>
      </c>
      <c r="CT500" t="s">
        <v>134</v>
      </c>
      <c r="CU500" t="s">
        <v>134</v>
      </c>
      <c r="CV500" t="s">
        <v>134</v>
      </c>
      <c r="CW500" t="s">
        <v>134</v>
      </c>
      <c r="CX500" t="s">
        <v>134</v>
      </c>
      <c r="CY500" t="s">
        <v>134</v>
      </c>
      <c r="CZ500" t="s">
        <v>134</v>
      </c>
      <c r="DA500" t="s">
        <v>134</v>
      </c>
      <c r="DB500" t="s">
        <v>134</v>
      </c>
      <c r="DC500" t="s">
        <v>134</v>
      </c>
      <c r="DD500" t="s">
        <v>134</v>
      </c>
      <c r="DE500" t="s">
        <v>134</v>
      </c>
      <c r="DF500" t="s">
        <v>134</v>
      </c>
      <c r="DG500" t="s">
        <v>134</v>
      </c>
      <c r="DH500" t="s">
        <v>134</v>
      </c>
      <c r="DI500" t="s">
        <v>134</v>
      </c>
    </row>
    <row r="501" spans="1:113" x14ac:dyDescent="0.3">
      <c r="E501" t="s">
        <v>6</v>
      </c>
      <c r="F501" t="s">
        <v>134</v>
      </c>
      <c r="G501" t="s">
        <v>134</v>
      </c>
      <c r="H501" t="s">
        <v>134</v>
      </c>
      <c r="I501" t="s">
        <v>134</v>
      </c>
      <c r="J501" t="s">
        <v>134</v>
      </c>
      <c r="K501" t="s">
        <v>134</v>
      </c>
      <c r="L501" t="s">
        <v>134</v>
      </c>
      <c r="M501" t="s">
        <v>134</v>
      </c>
      <c r="N501" t="s">
        <v>134</v>
      </c>
      <c r="O501" t="s">
        <v>134</v>
      </c>
      <c r="P501" t="s">
        <v>134</v>
      </c>
      <c r="Q501" t="s">
        <v>134</v>
      </c>
      <c r="R501" t="s">
        <v>134</v>
      </c>
      <c r="S501" t="s">
        <v>134</v>
      </c>
      <c r="T501" t="s">
        <v>134</v>
      </c>
      <c r="U501" t="s">
        <v>134</v>
      </c>
      <c r="V501" t="s">
        <v>134</v>
      </c>
      <c r="W501" t="s">
        <v>134</v>
      </c>
      <c r="X501" t="s">
        <v>134</v>
      </c>
      <c r="Y501" t="s">
        <v>134</v>
      </c>
      <c r="Z501" t="s">
        <v>134</v>
      </c>
      <c r="AA501" t="s">
        <v>134</v>
      </c>
      <c r="AB501" t="s">
        <v>134</v>
      </c>
      <c r="AC501" t="s">
        <v>134</v>
      </c>
      <c r="AD501" t="s">
        <v>134</v>
      </c>
      <c r="AE501" t="s">
        <v>134</v>
      </c>
      <c r="AF501" t="s">
        <v>134</v>
      </c>
      <c r="AG501" t="s">
        <v>134</v>
      </c>
      <c r="AH501" t="s">
        <v>134</v>
      </c>
      <c r="AI501" t="s">
        <v>134</v>
      </c>
      <c r="AJ501" t="s">
        <v>134</v>
      </c>
      <c r="AK501" t="s">
        <v>134</v>
      </c>
      <c r="AL501" t="s">
        <v>134</v>
      </c>
      <c r="AM501" t="s">
        <v>134</v>
      </c>
      <c r="AN501" t="s">
        <v>134</v>
      </c>
      <c r="AO501" t="s">
        <v>134</v>
      </c>
      <c r="AP501" t="s">
        <v>134</v>
      </c>
      <c r="AQ501" t="s">
        <v>134</v>
      </c>
      <c r="AR501" t="s">
        <v>134</v>
      </c>
      <c r="AS501" t="s">
        <v>134</v>
      </c>
      <c r="AT501" t="s">
        <v>134</v>
      </c>
      <c r="AU501" t="s">
        <v>134</v>
      </c>
      <c r="AV501" t="s">
        <v>134</v>
      </c>
      <c r="AW501" t="s">
        <v>134</v>
      </c>
      <c r="AX501" t="s">
        <v>134</v>
      </c>
      <c r="AY501" t="s">
        <v>134</v>
      </c>
      <c r="AZ501" t="s">
        <v>134</v>
      </c>
      <c r="BA501" t="s">
        <v>134</v>
      </c>
      <c r="BB501" t="s">
        <v>134</v>
      </c>
      <c r="BC501" t="s">
        <v>134</v>
      </c>
      <c r="BD501" t="s">
        <v>134</v>
      </c>
      <c r="BE501" t="s">
        <v>134</v>
      </c>
      <c r="BF501" t="s">
        <v>134</v>
      </c>
      <c r="BG501" t="s">
        <v>134</v>
      </c>
      <c r="BH501" t="s">
        <v>134</v>
      </c>
      <c r="BI501" t="s">
        <v>134</v>
      </c>
      <c r="BJ501" t="s">
        <v>134</v>
      </c>
      <c r="BK501" t="s">
        <v>134</v>
      </c>
      <c r="BL501" t="s">
        <v>134</v>
      </c>
      <c r="BM501" t="s">
        <v>134</v>
      </c>
      <c r="BN501" t="s">
        <v>134</v>
      </c>
      <c r="BO501" t="s">
        <v>134</v>
      </c>
      <c r="BP501" t="s">
        <v>134</v>
      </c>
      <c r="BQ501" t="s">
        <v>134</v>
      </c>
      <c r="BR501" t="s">
        <v>134</v>
      </c>
      <c r="BS501" t="s">
        <v>134</v>
      </c>
      <c r="BT501" t="s">
        <v>134</v>
      </c>
      <c r="BU501" t="s">
        <v>134</v>
      </c>
      <c r="BV501" t="s">
        <v>134</v>
      </c>
      <c r="BW501" t="s">
        <v>134</v>
      </c>
      <c r="BX501" t="s">
        <v>134</v>
      </c>
      <c r="BY501" t="s">
        <v>134</v>
      </c>
      <c r="BZ501" t="s">
        <v>134</v>
      </c>
      <c r="CA501" t="s">
        <v>134</v>
      </c>
      <c r="CB501" t="s">
        <v>134</v>
      </c>
      <c r="CC501" t="s">
        <v>134</v>
      </c>
      <c r="CD501" t="s">
        <v>134</v>
      </c>
      <c r="CE501" t="s">
        <v>134</v>
      </c>
      <c r="CF501" t="s">
        <v>134</v>
      </c>
      <c r="CG501" t="s">
        <v>134</v>
      </c>
      <c r="CH501" t="s">
        <v>134</v>
      </c>
      <c r="CI501" t="s">
        <v>134</v>
      </c>
      <c r="CJ501" t="s">
        <v>134</v>
      </c>
      <c r="CK501" t="s">
        <v>134</v>
      </c>
      <c r="CL501" t="s">
        <v>134</v>
      </c>
      <c r="CM501" t="s">
        <v>134</v>
      </c>
      <c r="CN501" t="s">
        <v>134</v>
      </c>
      <c r="CO501" t="s">
        <v>134</v>
      </c>
      <c r="CP501" t="s">
        <v>134</v>
      </c>
      <c r="CQ501" t="s">
        <v>134</v>
      </c>
      <c r="CR501" t="s">
        <v>134</v>
      </c>
      <c r="CS501" t="s">
        <v>134</v>
      </c>
      <c r="CT501" t="s">
        <v>134</v>
      </c>
      <c r="CU501" t="s">
        <v>134</v>
      </c>
      <c r="CV501" t="s">
        <v>134</v>
      </c>
      <c r="CW501" t="s">
        <v>134</v>
      </c>
      <c r="CX501" t="s">
        <v>134</v>
      </c>
      <c r="CY501" t="s">
        <v>134</v>
      </c>
      <c r="CZ501" t="s">
        <v>134</v>
      </c>
      <c r="DA501" t="s">
        <v>134</v>
      </c>
      <c r="DB501" t="s">
        <v>134</v>
      </c>
      <c r="DC501" t="s">
        <v>134</v>
      </c>
      <c r="DD501" t="s">
        <v>134</v>
      </c>
      <c r="DE501" t="s">
        <v>134</v>
      </c>
      <c r="DF501" t="s">
        <v>134</v>
      </c>
      <c r="DG501" t="s">
        <v>134</v>
      </c>
      <c r="DH501" t="s">
        <v>134</v>
      </c>
      <c r="DI501" t="s">
        <v>134</v>
      </c>
    </row>
    <row r="502" spans="1:113" x14ac:dyDescent="0.3">
      <c r="E502" t="s">
        <v>7</v>
      </c>
      <c r="F502" t="s">
        <v>134</v>
      </c>
      <c r="G502" t="s">
        <v>134</v>
      </c>
      <c r="H502" t="s">
        <v>134</v>
      </c>
      <c r="I502" t="s">
        <v>134</v>
      </c>
      <c r="J502" t="s">
        <v>134</v>
      </c>
      <c r="K502" t="s">
        <v>134</v>
      </c>
      <c r="L502" t="s">
        <v>134</v>
      </c>
      <c r="M502" t="s">
        <v>134</v>
      </c>
      <c r="N502" t="s">
        <v>134</v>
      </c>
      <c r="O502" t="s">
        <v>134</v>
      </c>
      <c r="P502" t="s">
        <v>134</v>
      </c>
      <c r="Q502" t="s">
        <v>134</v>
      </c>
      <c r="R502" t="s">
        <v>134</v>
      </c>
      <c r="S502" t="s">
        <v>134</v>
      </c>
      <c r="T502" t="s">
        <v>134</v>
      </c>
      <c r="U502" t="s">
        <v>134</v>
      </c>
      <c r="V502" t="s">
        <v>134</v>
      </c>
      <c r="W502" t="s">
        <v>134</v>
      </c>
      <c r="X502" t="s">
        <v>134</v>
      </c>
      <c r="Y502" t="s">
        <v>134</v>
      </c>
      <c r="Z502" t="s">
        <v>134</v>
      </c>
      <c r="AA502" t="s">
        <v>134</v>
      </c>
      <c r="AB502" t="s">
        <v>134</v>
      </c>
      <c r="AC502" t="s">
        <v>134</v>
      </c>
      <c r="AD502" t="s">
        <v>134</v>
      </c>
      <c r="AE502" t="s">
        <v>134</v>
      </c>
      <c r="AF502" t="s">
        <v>134</v>
      </c>
      <c r="AG502" t="s">
        <v>134</v>
      </c>
      <c r="AH502" t="s">
        <v>134</v>
      </c>
      <c r="AI502" t="s">
        <v>134</v>
      </c>
      <c r="AJ502" t="s">
        <v>134</v>
      </c>
      <c r="AK502" t="s">
        <v>134</v>
      </c>
      <c r="AL502" t="s">
        <v>134</v>
      </c>
      <c r="AM502" t="s">
        <v>134</v>
      </c>
      <c r="AN502" t="s">
        <v>134</v>
      </c>
      <c r="AO502" t="s">
        <v>134</v>
      </c>
      <c r="AP502" t="s">
        <v>134</v>
      </c>
      <c r="AQ502" t="s">
        <v>134</v>
      </c>
      <c r="AR502" t="s">
        <v>134</v>
      </c>
      <c r="AS502" t="s">
        <v>134</v>
      </c>
      <c r="AT502" t="s">
        <v>134</v>
      </c>
      <c r="AU502" t="s">
        <v>134</v>
      </c>
      <c r="AV502" t="s">
        <v>134</v>
      </c>
      <c r="AW502" t="s">
        <v>134</v>
      </c>
      <c r="AX502" t="s">
        <v>134</v>
      </c>
      <c r="AY502" t="s">
        <v>134</v>
      </c>
      <c r="AZ502" t="s">
        <v>134</v>
      </c>
      <c r="BA502" t="s">
        <v>134</v>
      </c>
      <c r="BB502" t="s">
        <v>134</v>
      </c>
      <c r="BC502" t="s">
        <v>134</v>
      </c>
      <c r="BD502" t="s">
        <v>134</v>
      </c>
      <c r="BE502" t="s">
        <v>134</v>
      </c>
      <c r="BF502" t="s">
        <v>134</v>
      </c>
      <c r="BG502" t="s">
        <v>134</v>
      </c>
      <c r="BH502" t="s">
        <v>134</v>
      </c>
      <c r="BI502" t="s">
        <v>134</v>
      </c>
      <c r="BJ502" t="s">
        <v>134</v>
      </c>
      <c r="BK502" t="s">
        <v>134</v>
      </c>
      <c r="BL502" t="s">
        <v>134</v>
      </c>
      <c r="BM502" t="s">
        <v>134</v>
      </c>
      <c r="BN502" t="s">
        <v>134</v>
      </c>
      <c r="BO502" t="s">
        <v>134</v>
      </c>
      <c r="BP502" t="s">
        <v>134</v>
      </c>
      <c r="BQ502" t="s">
        <v>134</v>
      </c>
      <c r="BR502" t="s">
        <v>134</v>
      </c>
      <c r="BS502" t="s">
        <v>134</v>
      </c>
      <c r="BT502" t="s">
        <v>134</v>
      </c>
      <c r="BU502" t="s">
        <v>134</v>
      </c>
      <c r="BV502" t="s">
        <v>134</v>
      </c>
      <c r="BW502" t="s">
        <v>134</v>
      </c>
      <c r="BX502" t="s">
        <v>134</v>
      </c>
      <c r="BY502" t="s">
        <v>134</v>
      </c>
      <c r="BZ502" t="s">
        <v>134</v>
      </c>
      <c r="CA502" t="s">
        <v>134</v>
      </c>
      <c r="CB502" t="s">
        <v>134</v>
      </c>
      <c r="CC502" t="s">
        <v>134</v>
      </c>
      <c r="CD502" t="s">
        <v>134</v>
      </c>
      <c r="CE502" t="s">
        <v>134</v>
      </c>
      <c r="CF502" t="s">
        <v>134</v>
      </c>
      <c r="CG502" t="s">
        <v>134</v>
      </c>
      <c r="CH502" t="s">
        <v>134</v>
      </c>
      <c r="CI502" t="s">
        <v>134</v>
      </c>
      <c r="CJ502" t="s">
        <v>134</v>
      </c>
      <c r="CK502" t="s">
        <v>134</v>
      </c>
      <c r="CL502" t="s">
        <v>134</v>
      </c>
      <c r="CM502" t="s">
        <v>134</v>
      </c>
      <c r="CN502" t="s">
        <v>134</v>
      </c>
      <c r="CO502" t="s">
        <v>134</v>
      </c>
      <c r="CP502" t="s">
        <v>134</v>
      </c>
      <c r="CQ502" t="s">
        <v>134</v>
      </c>
      <c r="CR502" t="s">
        <v>134</v>
      </c>
      <c r="CS502" t="s">
        <v>134</v>
      </c>
      <c r="CT502" t="s">
        <v>134</v>
      </c>
      <c r="CU502" t="s">
        <v>134</v>
      </c>
      <c r="CV502" t="s">
        <v>134</v>
      </c>
      <c r="CW502" t="s">
        <v>134</v>
      </c>
      <c r="CX502" t="s">
        <v>134</v>
      </c>
      <c r="CY502" t="s">
        <v>134</v>
      </c>
      <c r="CZ502" t="s">
        <v>134</v>
      </c>
      <c r="DA502" t="s">
        <v>134</v>
      </c>
      <c r="DB502" t="s">
        <v>134</v>
      </c>
      <c r="DC502" t="s">
        <v>134</v>
      </c>
      <c r="DD502" t="s">
        <v>134</v>
      </c>
      <c r="DE502" t="s">
        <v>134</v>
      </c>
      <c r="DF502" t="s">
        <v>134</v>
      </c>
      <c r="DG502" t="s">
        <v>134</v>
      </c>
      <c r="DH502" t="s">
        <v>134</v>
      </c>
      <c r="DI502" t="s">
        <v>134</v>
      </c>
    </row>
    <row r="503" spans="1:113" x14ac:dyDescent="0.3">
      <c r="A503">
        <v>71</v>
      </c>
      <c r="B503" t="s">
        <v>50</v>
      </c>
      <c r="C503" t="s">
        <v>51</v>
      </c>
      <c r="D503" t="s">
        <v>2</v>
      </c>
      <c r="E503" t="s">
        <v>3</v>
      </c>
      <c r="F503">
        <v>14.809699999999999</v>
      </c>
      <c r="G503">
        <v>9.7782</v>
      </c>
      <c r="H503" t="s">
        <v>134</v>
      </c>
      <c r="I503">
        <v>7.2312000000000003</v>
      </c>
      <c r="J503">
        <v>42.282600000000002</v>
      </c>
      <c r="K503">
        <v>29.072500000000002</v>
      </c>
      <c r="L503">
        <v>-370.96390000000002</v>
      </c>
      <c r="M503">
        <v>44.896799999999999</v>
      </c>
      <c r="N503">
        <v>30.2806</v>
      </c>
      <c r="O503">
        <v>30.2806</v>
      </c>
      <c r="P503">
        <v>30.2806</v>
      </c>
      <c r="Q503">
        <v>32.555</v>
      </c>
      <c r="R503">
        <v>43.9313</v>
      </c>
      <c r="S503">
        <v>8.3035999999999994</v>
      </c>
      <c r="T503">
        <v>-2.5322</v>
      </c>
      <c r="U503">
        <v>-10.8711</v>
      </c>
      <c r="V503">
        <v>-24.896599999999999</v>
      </c>
      <c r="W503">
        <v>-18.0975</v>
      </c>
      <c r="X503">
        <v>-18.092099999999999</v>
      </c>
      <c r="Y503">
        <v>-28.333300000000001</v>
      </c>
      <c r="Z503">
        <v>-47.085000000000001</v>
      </c>
      <c r="AA503">
        <v>52.819200000000002</v>
      </c>
      <c r="AB503">
        <v>23.987500000000001</v>
      </c>
      <c r="AC503">
        <v>40.415199999999999</v>
      </c>
      <c r="AD503">
        <v>-5.6372</v>
      </c>
      <c r="AE503">
        <v>-61.502099999999999</v>
      </c>
      <c r="AF503" t="s">
        <v>134</v>
      </c>
      <c r="AG503">
        <v>584.5027</v>
      </c>
      <c r="AH503">
        <v>704.67190000000005</v>
      </c>
      <c r="AI503">
        <v>6.4055999999999997</v>
      </c>
      <c r="AJ503">
        <v>49.334800000000001</v>
      </c>
      <c r="AK503">
        <v>6.4055999999999997</v>
      </c>
      <c r="AL503">
        <v>47.075499999999998</v>
      </c>
      <c r="AM503">
        <v>6.0547000000000004</v>
      </c>
      <c r="AN503">
        <v>7.3624999999999998</v>
      </c>
      <c r="AO503">
        <v>2.4899</v>
      </c>
      <c r="AP503">
        <v>6.3578000000000001</v>
      </c>
      <c r="AQ503">
        <v>3.9077000000000002</v>
      </c>
      <c r="AR503">
        <v>11.9994</v>
      </c>
      <c r="AS503">
        <v>3.5070000000000001</v>
      </c>
      <c r="AT503">
        <v>14.4697</v>
      </c>
      <c r="AU503">
        <v>42.985799999999998</v>
      </c>
      <c r="AV503">
        <v>21.305399999999999</v>
      </c>
      <c r="AW503">
        <v>10.1029</v>
      </c>
      <c r="AX503">
        <v>-3.6036999999999999</v>
      </c>
      <c r="AY503" t="s">
        <v>134</v>
      </c>
      <c r="AZ503" t="s">
        <v>134</v>
      </c>
      <c r="BA503">
        <v>182.43940000000001</v>
      </c>
      <c r="BB503">
        <v>17.0274</v>
      </c>
      <c r="BC503">
        <v>26.681799999999999</v>
      </c>
      <c r="BD503">
        <v>14.3315</v>
      </c>
      <c r="BE503">
        <v>1.4919</v>
      </c>
      <c r="BF503">
        <v>-2.5322</v>
      </c>
      <c r="BG503">
        <v>-10.8711</v>
      </c>
      <c r="BH503">
        <v>-24.896599999999999</v>
      </c>
      <c r="BI503">
        <v>-18.0975</v>
      </c>
      <c r="BJ503">
        <v>-18.092099999999999</v>
      </c>
      <c r="BK503">
        <v>-28.333300000000001</v>
      </c>
      <c r="BL503">
        <v>-47.085000000000001</v>
      </c>
      <c r="BM503">
        <v>52.819200000000002</v>
      </c>
      <c r="BN503">
        <v>23.987500000000001</v>
      </c>
      <c r="BO503">
        <v>40.415199999999999</v>
      </c>
      <c r="BP503">
        <v>-5.6372</v>
      </c>
      <c r="BQ503">
        <v>-61.502099999999999</v>
      </c>
      <c r="BR503" t="s">
        <v>134</v>
      </c>
      <c r="BS503">
        <v>584.5027</v>
      </c>
      <c r="BT503">
        <v>704.67190000000005</v>
      </c>
      <c r="BU503">
        <v>6.4055999999999997</v>
      </c>
      <c r="BV503">
        <v>49.334800000000001</v>
      </c>
      <c r="BW503">
        <v>6.4055999999999997</v>
      </c>
      <c r="BX503">
        <v>47.075499999999998</v>
      </c>
      <c r="BY503">
        <v>101463.5</v>
      </c>
      <c r="BZ503">
        <v>86311</v>
      </c>
      <c r="CA503">
        <v>15152.5</v>
      </c>
      <c r="CB503">
        <v>2.4699</v>
      </c>
      <c r="CC503">
        <v>-0.41610000000000003</v>
      </c>
      <c r="CD503">
        <v>3.5920999999999998</v>
      </c>
      <c r="CE503">
        <v>-0.60519999999999996</v>
      </c>
      <c r="CF503" t="s">
        <v>134</v>
      </c>
      <c r="CG503">
        <v>58.278300000000002</v>
      </c>
      <c r="CH503">
        <v>7.3979999999999997</v>
      </c>
      <c r="CI503">
        <v>4.9472000000000005</v>
      </c>
      <c r="CJ503">
        <v>4.3114999999999997</v>
      </c>
      <c r="CK503">
        <v>49.538400000000003</v>
      </c>
      <c r="CL503">
        <v>33.127600000000001</v>
      </c>
      <c r="CM503">
        <v>28.870100000000001</v>
      </c>
      <c r="CN503">
        <v>-8.3458000000000006</v>
      </c>
      <c r="CO503">
        <v>-9.1058000000000003</v>
      </c>
      <c r="CP503">
        <v>41080.5</v>
      </c>
      <c r="CQ503">
        <v>12560.4</v>
      </c>
      <c r="CR503">
        <v>28246</v>
      </c>
      <c r="CS503">
        <v>1.0698000000000001</v>
      </c>
      <c r="CT503">
        <v>1.3954</v>
      </c>
      <c r="CU503">
        <v>1.1132</v>
      </c>
      <c r="CV503">
        <v>1.9988999999999999</v>
      </c>
      <c r="CW503">
        <v>13.983499999999999</v>
      </c>
      <c r="CX503">
        <v>26.1023</v>
      </c>
      <c r="CY503" t="s">
        <v>134</v>
      </c>
      <c r="CZ503" t="s">
        <v>134</v>
      </c>
      <c r="DA503" t="s">
        <v>134</v>
      </c>
      <c r="DB503" t="s">
        <v>134</v>
      </c>
      <c r="DC503" t="s">
        <v>134</v>
      </c>
      <c r="DD503" t="s">
        <v>134</v>
      </c>
      <c r="DE503">
        <v>9846.6</v>
      </c>
      <c r="DF503">
        <v>0</v>
      </c>
      <c r="DG503">
        <v>0</v>
      </c>
      <c r="DH503">
        <v>795.4</v>
      </c>
      <c r="DI503">
        <v>9051.2000000000007</v>
      </c>
    </row>
    <row r="504" spans="1:113" x14ac:dyDescent="0.3">
      <c r="E504" t="s">
        <v>4</v>
      </c>
      <c r="F504" t="s">
        <v>134</v>
      </c>
      <c r="G504" t="s">
        <v>134</v>
      </c>
      <c r="H504" t="s">
        <v>134</v>
      </c>
      <c r="I504" t="s">
        <v>134</v>
      </c>
      <c r="J504" t="s">
        <v>134</v>
      </c>
      <c r="K504" t="s">
        <v>134</v>
      </c>
      <c r="L504" t="s">
        <v>134</v>
      </c>
      <c r="M504" t="s">
        <v>134</v>
      </c>
      <c r="N504" t="s">
        <v>134</v>
      </c>
      <c r="O504" t="s">
        <v>134</v>
      </c>
      <c r="P504" t="s">
        <v>134</v>
      </c>
      <c r="Q504" t="s">
        <v>134</v>
      </c>
      <c r="R504" t="s">
        <v>134</v>
      </c>
      <c r="S504" t="s">
        <v>134</v>
      </c>
      <c r="T504" t="s">
        <v>134</v>
      </c>
      <c r="U504" t="s">
        <v>134</v>
      </c>
      <c r="V504" t="s">
        <v>134</v>
      </c>
      <c r="W504" t="s">
        <v>134</v>
      </c>
      <c r="X504" t="s">
        <v>134</v>
      </c>
      <c r="Y504" t="s">
        <v>134</v>
      </c>
      <c r="Z504" t="s">
        <v>134</v>
      </c>
      <c r="AA504" t="s">
        <v>134</v>
      </c>
      <c r="AB504" t="s">
        <v>134</v>
      </c>
      <c r="AC504" t="s">
        <v>134</v>
      </c>
      <c r="AD504" t="s">
        <v>134</v>
      </c>
      <c r="AE504" t="s">
        <v>134</v>
      </c>
      <c r="AF504" t="s">
        <v>134</v>
      </c>
      <c r="AG504" t="s">
        <v>134</v>
      </c>
      <c r="AH504" t="s">
        <v>134</v>
      </c>
      <c r="AI504" t="s">
        <v>134</v>
      </c>
      <c r="AJ504" t="s">
        <v>134</v>
      </c>
      <c r="AK504" t="s">
        <v>134</v>
      </c>
      <c r="AL504" t="s">
        <v>134</v>
      </c>
      <c r="AM504" t="s">
        <v>134</v>
      </c>
      <c r="AN504" t="s">
        <v>134</v>
      </c>
      <c r="AO504" t="s">
        <v>134</v>
      </c>
      <c r="AP504" t="s">
        <v>134</v>
      </c>
      <c r="AQ504" t="s">
        <v>134</v>
      </c>
      <c r="AR504" t="s">
        <v>134</v>
      </c>
      <c r="AS504" t="s">
        <v>134</v>
      </c>
      <c r="AT504" t="s">
        <v>134</v>
      </c>
      <c r="AU504" t="s">
        <v>134</v>
      </c>
      <c r="AV504" t="s">
        <v>134</v>
      </c>
      <c r="AW504" t="s">
        <v>134</v>
      </c>
      <c r="AX504" t="s">
        <v>134</v>
      </c>
      <c r="AY504" t="s">
        <v>134</v>
      </c>
      <c r="AZ504" t="s">
        <v>134</v>
      </c>
      <c r="BA504" t="s">
        <v>134</v>
      </c>
      <c r="BB504" t="s">
        <v>134</v>
      </c>
      <c r="BC504" t="s">
        <v>134</v>
      </c>
      <c r="BD504" t="s">
        <v>134</v>
      </c>
      <c r="BE504" t="s">
        <v>134</v>
      </c>
      <c r="BF504" t="s">
        <v>134</v>
      </c>
      <c r="BG504" t="s">
        <v>134</v>
      </c>
      <c r="BH504" t="s">
        <v>134</v>
      </c>
      <c r="BI504" t="s">
        <v>134</v>
      </c>
      <c r="BJ504" t="s">
        <v>134</v>
      </c>
      <c r="BK504" t="s">
        <v>134</v>
      </c>
      <c r="BL504" t="s">
        <v>134</v>
      </c>
      <c r="BM504" t="s">
        <v>134</v>
      </c>
      <c r="BN504" t="s">
        <v>134</v>
      </c>
      <c r="BO504" t="s">
        <v>134</v>
      </c>
      <c r="BP504" t="s">
        <v>134</v>
      </c>
      <c r="BQ504" t="s">
        <v>134</v>
      </c>
      <c r="BR504" t="s">
        <v>134</v>
      </c>
      <c r="BS504" t="s">
        <v>134</v>
      </c>
      <c r="BT504" t="s">
        <v>134</v>
      </c>
      <c r="BU504" t="s">
        <v>134</v>
      </c>
      <c r="BV504" t="s">
        <v>134</v>
      </c>
      <c r="BW504" t="s">
        <v>134</v>
      </c>
      <c r="BX504" t="s">
        <v>134</v>
      </c>
      <c r="BY504" t="s">
        <v>134</v>
      </c>
      <c r="BZ504" t="s">
        <v>134</v>
      </c>
      <c r="CA504" t="s">
        <v>134</v>
      </c>
      <c r="CB504" t="s">
        <v>134</v>
      </c>
      <c r="CC504" t="s">
        <v>134</v>
      </c>
      <c r="CD504" t="s">
        <v>134</v>
      </c>
      <c r="CE504" t="s">
        <v>134</v>
      </c>
      <c r="CF504" t="s">
        <v>134</v>
      </c>
      <c r="CG504" t="s">
        <v>134</v>
      </c>
      <c r="CH504" t="s">
        <v>134</v>
      </c>
      <c r="CI504" t="s">
        <v>134</v>
      </c>
      <c r="CJ504" t="s">
        <v>134</v>
      </c>
      <c r="CK504" t="s">
        <v>134</v>
      </c>
      <c r="CL504" t="s">
        <v>134</v>
      </c>
      <c r="CM504" t="s">
        <v>134</v>
      </c>
      <c r="CN504" t="s">
        <v>134</v>
      </c>
      <c r="CO504" t="s">
        <v>134</v>
      </c>
      <c r="CP504" t="s">
        <v>134</v>
      </c>
      <c r="CQ504" t="s">
        <v>134</v>
      </c>
      <c r="CR504" t="s">
        <v>134</v>
      </c>
      <c r="CS504" t="s">
        <v>134</v>
      </c>
      <c r="CT504" t="s">
        <v>134</v>
      </c>
      <c r="CU504" t="s">
        <v>134</v>
      </c>
      <c r="CV504" t="s">
        <v>134</v>
      </c>
      <c r="CW504" t="s">
        <v>134</v>
      </c>
      <c r="CX504" t="s">
        <v>134</v>
      </c>
      <c r="CY504" t="s">
        <v>134</v>
      </c>
      <c r="CZ504" t="s">
        <v>134</v>
      </c>
      <c r="DA504" t="s">
        <v>134</v>
      </c>
      <c r="DB504" t="s">
        <v>134</v>
      </c>
      <c r="DC504" t="s">
        <v>134</v>
      </c>
      <c r="DD504" t="s">
        <v>134</v>
      </c>
      <c r="DE504" t="s">
        <v>134</v>
      </c>
      <c r="DF504" t="s">
        <v>134</v>
      </c>
      <c r="DG504" t="s">
        <v>134</v>
      </c>
      <c r="DH504" t="s">
        <v>134</v>
      </c>
      <c r="DI504" t="s">
        <v>134</v>
      </c>
    </row>
    <row r="505" spans="1:113" x14ac:dyDescent="0.3">
      <c r="E505" t="s">
        <v>5</v>
      </c>
      <c r="F505" t="s">
        <v>134</v>
      </c>
      <c r="G505" t="s">
        <v>134</v>
      </c>
      <c r="H505" t="s">
        <v>134</v>
      </c>
      <c r="I505" t="s">
        <v>134</v>
      </c>
      <c r="J505" t="s">
        <v>134</v>
      </c>
      <c r="K505" t="s">
        <v>134</v>
      </c>
      <c r="L505" t="s">
        <v>134</v>
      </c>
      <c r="M505" t="s">
        <v>134</v>
      </c>
      <c r="N505" t="s">
        <v>134</v>
      </c>
      <c r="O505" t="s">
        <v>134</v>
      </c>
      <c r="P505" t="s">
        <v>134</v>
      </c>
      <c r="Q505" t="s">
        <v>134</v>
      </c>
      <c r="R505" t="s">
        <v>134</v>
      </c>
      <c r="S505" t="s">
        <v>134</v>
      </c>
      <c r="T505" t="s">
        <v>134</v>
      </c>
      <c r="U505" t="s">
        <v>134</v>
      </c>
      <c r="V505" t="s">
        <v>134</v>
      </c>
      <c r="W505" t="s">
        <v>134</v>
      </c>
      <c r="X505" t="s">
        <v>134</v>
      </c>
      <c r="Y505" t="s">
        <v>134</v>
      </c>
      <c r="Z505" t="s">
        <v>134</v>
      </c>
      <c r="AA505" t="s">
        <v>134</v>
      </c>
      <c r="AB505" t="s">
        <v>134</v>
      </c>
      <c r="AC505" t="s">
        <v>134</v>
      </c>
      <c r="AD505" t="s">
        <v>134</v>
      </c>
      <c r="AE505" t="s">
        <v>134</v>
      </c>
      <c r="AF505" t="s">
        <v>134</v>
      </c>
      <c r="AG505" t="s">
        <v>134</v>
      </c>
      <c r="AH505" t="s">
        <v>134</v>
      </c>
      <c r="AI505" t="s">
        <v>134</v>
      </c>
      <c r="AJ505" t="s">
        <v>134</v>
      </c>
      <c r="AK505" t="s">
        <v>134</v>
      </c>
      <c r="AL505" t="s">
        <v>134</v>
      </c>
      <c r="AM505" t="s">
        <v>134</v>
      </c>
      <c r="AN505" t="s">
        <v>134</v>
      </c>
      <c r="AO505" t="s">
        <v>134</v>
      </c>
      <c r="AP505" t="s">
        <v>134</v>
      </c>
      <c r="AQ505" t="s">
        <v>134</v>
      </c>
      <c r="AR505" t="s">
        <v>134</v>
      </c>
      <c r="AS505" t="s">
        <v>134</v>
      </c>
      <c r="AT505" t="s">
        <v>134</v>
      </c>
      <c r="AU505" t="s">
        <v>134</v>
      </c>
      <c r="AV505" t="s">
        <v>134</v>
      </c>
      <c r="AW505" t="s">
        <v>134</v>
      </c>
      <c r="AX505" t="s">
        <v>134</v>
      </c>
      <c r="AY505" t="s">
        <v>134</v>
      </c>
      <c r="AZ505" t="s">
        <v>134</v>
      </c>
      <c r="BA505" t="s">
        <v>134</v>
      </c>
      <c r="BB505" t="s">
        <v>134</v>
      </c>
      <c r="BC505" t="s">
        <v>134</v>
      </c>
      <c r="BD505" t="s">
        <v>134</v>
      </c>
      <c r="BE505" t="s">
        <v>134</v>
      </c>
      <c r="BF505" t="s">
        <v>134</v>
      </c>
      <c r="BG505" t="s">
        <v>134</v>
      </c>
      <c r="BH505" t="s">
        <v>134</v>
      </c>
      <c r="BI505" t="s">
        <v>134</v>
      </c>
      <c r="BJ505" t="s">
        <v>134</v>
      </c>
      <c r="BK505" t="s">
        <v>134</v>
      </c>
      <c r="BL505" t="s">
        <v>134</v>
      </c>
      <c r="BM505" t="s">
        <v>134</v>
      </c>
      <c r="BN505" t="s">
        <v>134</v>
      </c>
      <c r="BO505" t="s">
        <v>134</v>
      </c>
      <c r="BP505" t="s">
        <v>134</v>
      </c>
      <c r="BQ505" t="s">
        <v>134</v>
      </c>
      <c r="BR505" t="s">
        <v>134</v>
      </c>
      <c r="BS505" t="s">
        <v>134</v>
      </c>
      <c r="BT505" t="s">
        <v>134</v>
      </c>
      <c r="BU505" t="s">
        <v>134</v>
      </c>
      <c r="BV505" t="s">
        <v>134</v>
      </c>
      <c r="BW505" t="s">
        <v>134</v>
      </c>
      <c r="BX505" t="s">
        <v>134</v>
      </c>
      <c r="BY505" t="s">
        <v>134</v>
      </c>
      <c r="BZ505" t="s">
        <v>134</v>
      </c>
      <c r="CA505" t="s">
        <v>134</v>
      </c>
      <c r="CB505" t="s">
        <v>134</v>
      </c>
      <c r="CC505" t="s">
        <v>134</v>
      </c>
      <c r="CD505" t="s">
        <v>134</v>
      </c>
      <c r="CE505" t="s">
        <v>134</v>
      </c>
      <c r="CF505" t="s">
        <v>134</v>
      </c>
      <c r="CG505" t="s">
        <v>134</v>
      </c>
      <c r="CH505" t="s">
        <v>134</v>
      </c>
      <c r="CI505" t="s">
        <v>134</v>
      </c>
      <c r="CJ505" t="s">
        <v>134</v>
      </c>
      <c r="CK505" t="s">
        <v>134</v>
      </c>
      <c r="CL505" t="s">
        <v>134</v>
      </c>
      <c r="CM505" t="s">
        <v>134</v>
      </c>
      <c r="CN505" t="s">
        <v>134</v>
      </c>
      <c r="CO505" t="s">
        <v>134</v>
      </c>
      <c r="CP505" t="s">
        <v>134</v>
      </c>
      <c r="CQ505" t="s">
        <v>134</v>
      </c>
      <c r="CR505" t="s">
        <v>134</v>
      </c>
      <c r="CS505" t="s">
        <v>134</v>
      </c>
      <c r="CT505" t="s">
        <v>134</v>
      </c>
      <c r="CU505" t="s">
        <v>134</v>
      </c>
      <c r="CV505" t="s">
        <v>134</v>
      </c>
      <c r="CW505" t="s">
        <v>134</v>
      </c>
      <c r="CX505" t="s">
        <v>134</v>
      </c>
      <c r="CY505" t="s">
        <v>134</v>
      </c>
      <c r="CZ505" t="s">
        <v>134</v>
      </c>
      <c r="DA505" t="s">
        <v>134</v>
      </c>
      <c r="DB505" t="s">
        <v>134</v>
      </c>
      <c r="DC505" t="s">
        <v>134</v>
      </c>
      <c r="DD505" t="s">
        <v>134</v>
      </c>
      <c r="DE505" t="s">
        <v>134</v>
      </c>
      <c r="DF505" t="s">
        <v>134</v>
      </c>
      <c r="DG505" t="s">
        <v>134</v>
      </c>
      <c r="DH505" t="s">
        <v>134</v>
      </c>
      <c r="DI505" t="s">
        <v>134</v>
      </c>
    </row>
    <row r="506" spans="1:113" x14ac:dyDescent="0.3">
      <c r="E506" t="s">
        <v>6</v>
      </c>
      <c r="F506" t="s">
        <v>134</v>
      </c>
      <c r="G506" t="s">
        <v>134</v>
      </c>
      <c r="H506" t="s">
        <v>134</v>
      </c>
      <c r="I506" t="s">
        <v>134</v>
      </c>
      <c r="J506" t="s">
        <v>134</v>
      </c>
      <c r="K506" t="s">
        <v>134</v>
      </c>
      <c r="L506" t="s">
        <v>134</v>
      </c>
      <c r="M506" t="s">
        <v>134</v>
      </c>
      <c r="N506" t="s">
        <v>134</v>
      </c>
      <c r="O506" t="s">
        <v>134</v>
      </c>
      <c r="P506" t="s">
        <v>134</v>
      </c>
      <c r="Q506" t="s">
        <v>134</v>
      </c>
      <c r="R506" t="s">
        <v>134</v>
      </c>
      <c r="S506" t="s">
        <v>134</v>
      </c>
      <c r="T506" t="s">
        <v>134</v>
      </c>
      <c r="U506" t="s">
        <v>134</v>
      </c>
      <c r="V506" t="s">
        <v>134</v>
      </c>
      <c r="W506" t="s">
        <v>134</v>
      </c>
      <c r="X506" t="s">
        <v>134</v>
      </c>
      <c r="Y506" t="s">
        <v>134</v>
      </c>
      <c r="Z506" t="s">
        <v>134</v>
      </c>
      <c r="AA506" t="s">
        <v>134</v>
      </c>
      <c r="AB506" t="s">
        <v>134</v>
      </c>
      <c r="AC506" t="s">
        <v>134</v>
      </c>
      <c r="AD506" t="s">
        <v>134</v>
      </c>
      <c r="AE506" t="s">
        <v>134</v>
      </c>
      <c r="AF506" t="s">
        <v>134</v>
      </c>
      <c r="AG506" t="s">
        <v>134</v>
      </c>
      <c r="AH506" t="s">
        <v>134</v>
      </c>
      <c r="AI506" t="s">
        <v>134</v>
      </c>
      <c r="AJ506" t="s">
        <v>134</v>
      </c>
      <c r="AK506" t="s">
        <v>134</v>
      </c>
      <c r="AL506" t="s">
        <v>134</v>
      </c>
      <c r="AM506" t="s">
        <v>134</v>
      </c>
      <c r="AN506" t="s">
        <v>134</v>
      </c>
      <c r="AO506" t="s">
        <v>134</v>
      </c>
      <c r="AP506" t="s">
        <v>134</v>
      </c>
      <c r="AQ506" t="s">
        <v>134</v>
      </c>
      <c r="AR506" t="s">
        <v>134</v>
      </c>
      <c r="AS506" t="s">
        <v>134</v>
      </c>
      <c r="AT506" t="s">
        <v>134</v>
      </c>
      <c r="AU506" t="s">
        <v>134</v>
      </c>
      <c r="AV506" t="s">
        <v>134</v>
      </c>
      <c r="AW506" t="s">
        <v>134</v>
      </c>
      <c r="AX506" t="s">
        <v>134</v>
      </c>
      <c r="AY506" t="s">
        <v>134</v>
      </c>
      <c r="AZ506" t="s">
        <v>134</v>
      </c>
      <c r="BA506" t="s">
        <v>134</v>
      </c>
      <c r="BB506" t="s">
        <v>134</v>
      </c>
      <c r="BC506" t="s">
        <v>134</v>
      </c>
      <c r="BD506" t="s">
        <v>134</v>
      </c>
      <c r="BE506" t="s">
        <v>134</v>
      </c>
      <c r="BF506" t="s">
        <v>134</v>
      </c>
      <c r="BG506" t="s">
        <v>134</v>
      </c>
      <c r="BH506" t="s">
        <v>134</v>
      </c>
      <c r="BI506" t="s">
        <v>134</v>
      </c>
      <c r="BJ506" t="s">
        <v>134</v>
      </c>
      <c r="BK506" t="s">
        <v>134</v>
      </c>
      <c r="BL506" t="s">
        <v>134</v>
      </c>
      <c r="BM506" t="s">
        <v>134</v>
      </c>
      <c r="BN506" t="s">
        <v>134</v>
      </c>
      <c r="BO506" t="s">
        <v>134</v>
      </c>
      <c r="BP506" t="s">
        <v>134</v>
      </c>
      <c r="BQ506" t="s">
        <v>134</v>
      </c>
      <c r="BR506" t="s">
        <v>134</v>
      </c>
      <c r="BS506" t="s">
        <v>134</v>
      </c>
      <c r="BT506" t="s">
        <v>134</v>
      </c>
      <c r="BU506" t="s">
        <v>134</v>
      </c>
      <c r="BV506" t="s">
        <v>134</v>
      </c>
      <c r="BW506" t="s">
        <v>134</v>
      </c>
      <c r="BX506" t="s">
        <v>134</v>
      </c>
      <c r="BY506" t="s">
        <v>134</v>
      </c>
      <c r="BZ506" t="s">
        <v>134</v>
      </c>
      <c r="CA506" t="s">
        <v>134</v>
      </c>
      <c r="CB506" t="s">
        <v>134</v>
      </c>
      <c r="CC506" t="s">
        <v>134</v>
      </c>
      <c r="CD506" t="s">
        <v>134</v>
      </c>
      <c r="CE506" t="s">
        <v>134</v>
      </c>
      <c r="CF506" t="s">
        <v>134</v>
      </c>
      <c r="CG506" t="s">
        <v>134</v>
      </c>
      <c r="CH506" t="s">
        <v>134</v>
      </c>
      <c r="CI506" t="s">
        <v>134</v>
      </c>
      <c r="CJ506" t="s">
        <v>134</v>
      </c>
      <c r="CK506" t="s">
        <v>134</v>
      </c>
      <c r="CL506" t="s">
        <v>134</v>
      </c>
      <c r="CM506" t="s">
        <v>134</v>
      </c>
      <c r="CN506" t="s">
        <v>134</v>
      </c>
      <c r="CO506" t="s">
        <v>134</v>
      </c>
      <c r="CP506" t="s">
        <v>134</v>
      </c>
      <c r="CQ506" t="s">
        <v>134</v>
      </c>
      <c r="CR506" t="s">
        <v>134</v>
      </c>
      <c r="CS506" t="s">
        <v>134</v>
      </c>
      <c r="CT506" t="s">
        <v>134</v>
      </c>
      <c r="CU506" t="s">
        <v>134</v>
      </c>
      <c r="CV506" t="s">
        <v>134</v>
      </c>
      <c r="CW506" t="s">
        <v>134</v>
      </c>
      <c r="CX506" t="s">
        <v>134</v>
      </c>
      <c r="CY506" t="s">
        <v>134</v>
      </c>
      <c r="CZ506" t="s">
        <v>134</v>
      </c>
      <c r="DA506" t="s">
        <v>134</v>
      </c>
      <c r="DB506" t="s">
        <v>134</v>
      </c>
      <c r="DC506" t="s">
        <v>134</v>
      </c>
      <c r="DD506" t="s">
        <v>134</v>
      </c>
      <c r="DE506" t="s">
        <v>134</v>
      </c>
      <c r="DF506" t="s">
        <v>134</v>
      </c>
      <c r="DG506" t="s">
        <v>134</v>
      </c>
      <c r="DH506" t="s">
        <v>134</v>
      </c>
      <c r="DI506" t="s">
        <v>134</v>
      </c>
    </row>
    <row r="507" spans="1:113" x14ac:dyDescent="0.3">
      <c r="E507" t="s">
        <v>7</v>
      </c>
      <c r="F507" t="s">
        <v>134</v>
      </c>
      <c r="G507" t="s">
        <v>134</v>
      </c>
      <c r="H507" t="s">
        <v>134</v>
      </c>
      <c r="I507" t="s">
        <v>134</v>
      </c>
      <c r="J507" t="s">
        <v>134</v>
      </c>
      <c r="K507" t="s">
        <v>134</v>
      </c>
      <c r="L507" t="s">
        <v>134</v>
      </c>
      <c r="M507" t="s">
        <v>134</v>
      </c>
      <c r="N507" t="s">
        <v>134</v>
      </c>
      <c r="O507" t="s">
        <v>134</v>
      </c>
      <c r="P507" t="s">
        <v>134</v>
      </c>
      <c r="Q507" t="s">
        <v>134</v>
      </c>
      <c r="R507" t="s">
        <v>134</v>
      </c>
      <c r="S507" t="s">
        <v>134</v>
      </c>
      <c r="T507" t="s">
        <v>134</v>
      </c>
      <c r="U507" t="s">
        <v>134</v>
      </c>
      <c r="V507" t="s">
        <v>134</v>
      </c>
      <c r="W507" t="s">
        <v>134</v>
      </c>
      <c r="X507" t="s">
        <v>134</v>
      </c>
      <c r="Y507" t="s">
        <v>134</v>
      </c>
      <c r="Z507" t="s">
        <v>134</v>
      </c>
      <c r="AA507" t="s">
        <v>134</v>
      </c>
      <c r="AB507" t="s">
        <v>134</v>
      </c>
      <c r="AC507" t="s">
        <v>134</v>
      </c>
      <c r="AD507" t="s">
        <v>134</v>
      </c>
      <c r="AE507" t="s">
        <v>134</v>
      </c>
      <c r="AF507" t="s">
        <v>134</v>
      </c>
      <c r="AG507" t="s">
        <v>134</v>
      </c>
      <c r="AH507" t="s">
        <v>134</v>
      </c>
      <c r="AI507" t="s">
        <v>134</v>
      </c>
      <c r="AJ507" t="s">
        <v>134</v>
      </c>
      <c r="AK507" t="s">
        <v>134</v>
      </c>
      <c r="AL507" t="s">
        <v>134</v>
      </c>
      <c r="AM507" t="s">
        <v>134</v>
      </c>
      <c r="AN507" t="s">
        <v>134</v>
      </c>
      <c r="AO507" t="s">
        <v>134</v>
      </c>
      <c r="AP507" t="s">
        <v>134</v>
      </c>
      <c r="AQ507" t="s">
        <v>134</v>
      </c>
      <c r="AR507" t="s">
        <v>134</v>
      </c>
      <c r="AS507" t="s">
        <v>134</v>
      </c>
      <c r="AT507" t="s">
        <v>134</v>
      </c>
      <c r="AU507" t="s">
        <v>134</v>
      </c>
      <c r="AV507" t="s">
        <v>134</v>
      </c>
      <c r="AW507" t="s">
        <v>134</v>
      </c>
      <c r="AX507" t="s">
        <v>134</v>
      </c>
      <c r="AY507" t="s">
        <v>134</v>
      </c>
      <c r="AZ507" t="s">
        <v>134</v>
      </c>
      <c r="BA507" t="s">
        <v>134</v>
      </c>
      <c r="BB507" t="s">
        <v>134</v>
      </c>
      <c r="BC507" t="s">
        <v>134</v>
      </c>
      <c r="BD507" t="s">
        <v>134</v>
      </c>
      <c r="BE507" t="s">
        <v>134</v>
      </c>
      <c r="BF507" t="s">
        <v>134</v>
      </c>
      <c r="BG507" t="s">
        <v>134</v>
      </c>
      <c r="BH507" t="s">
        <v>134</v>
      </c>
      <c r="BI507" t="s">
        <v>134</v>
      </c>
      <c r="BJ507" t="s">
        <v>134</v>
      </c>
      <c r="BK507" t="s">
        <v>134</v>
      </c>
      <c r="BL507" t="s">
        <v>134</v>
      </c>
      <c r="BM507" t="s">
        <v>134</v>
      </c>
      <c r="BN507" t="s">
        <v>134</v>
      </c>
      <c r="BO507" t="s">
        <v>134</v>
      </c>
      <c r="BP507" t="s">
        <v>134</v>
      </c>
      <c r="BQ507" t="s">
        <v>134</v>
      </c>
      <c r="BR507" t="s">
        <v>134</v>
      </c>
      <c r="BS507" t="s">
        <v>134</v>
      </c>
      <c r="BT507" t="s">
        <v>134</v>
      </c>
      <c r="BU507" t="s">
        <v>134</v>
      </c>
      <c r="BV507" t="s">
        <v>134</v>
      </c>
      <c r="BW507" t="s">
        <v>134</v>
      </c>
      <c r="BX507" t="s">
        <v>134</v>
      </c>
      <c r="BY507" t="s">
        <v>134</v>
      </c>
      <c r="BZ507" t="s">
        <v>134</v>
      </c>
      <c r="CA507" t="s">
        <v>134</v>
      </c>
      <c r="CB507" t="s">
        <v>134</v>
      </c>
      <c r="CC507" t="s">
        <v>134</v>
      </c>
      <c r="CD507" t="s">
        <v>134</v>
      </c>
      <c r="CE507" t="s">
        <v>134</v>
      </c>
      <c r="CF507" t="s">
        <v>134</v>
      </c>
      <c r="CG507" t="s">
        <v>134</v>
      </c>
      <c r="CH507" t="s">
        <v>134</v>
      </c>
      <c r="CI507" t="s">
        <v>134</v>
      </c>
      <c r="CJ507" t="s">
        <v>134</v>
      </c>
      <c r="CK507" t="s">
        <v>134</v>
      </c>
      <c r="CL507" t="s">
        <v>134</v>
      </c>
      <c r="CM507" t="s">
        <v>134</v>
      </c>
      <c r="CN507" t="s">
        <v>134</v>
      </c>
      <c r="CO507" t="s">
        <v>134</v>
      </c>
      <c r="CP507" t="s">
        <v>134</v>
      </c>
      <c r="CQ507" t="s">
        <v>134</v>
      </c>
      <c r="CR507" t="s">
        <v>134</v>
      </c>
      <c r="CS507" t="s">
        <v>134</v>
      </c>
      <c r="CT507" t="s">
        <v>134</v>
      </c>
      <c r="CU507" t="s">
        <v>134</v>
      </c>
      <c r="CV507" t="s">
        <v>134</v>
      </c>
      <c r="CW507" t="s">
        <v>134</v>
      </c>
      <c r="CX507" t="s">
        <v>134</v>
      </c>
      <c r="CY507" t="s">
        <v>134</v>
      </c>
      <c r="CZ507" t="s">
        <v>134</v>
      </c>
      <c r="DA507" t="s">
        <v>134</v>
      </c>
      <c r="DB507" t="s">
        <v>134</v>
      </c>
      <c r="DC507" t="s">
        <v>134</v>
      </c>
      <c r="DD507" t="s">
        <v>134</v>
      </c>
      <c r="DE507" t="s">
        <v>134</v>
      </c>
      <c r="DF507" t="s">
        <v>134</v>
      </c>
      <c r="DG507" t="s">
        <v>134</v>
      </c>
      <c r="DH507" t="s">
        <v>134</v>
      </c>
      <c r="DI507" t="s">
        <v>134</v>
      </c>
    </row>
    <row r="508" spans="1:113" x14ac:dyDescent="0.3">
      <c r="D508" t="s">
        <v>8</v>
      </c>
      <c r="E508" t="s">
        <v>3</v>
      </c>
      <c r="F508">
        <v>12.3672</v>
      </c>
      <c r="G508">
        <v>7.2046000000000001</v>
      </c>
      <c r="H508" t="s">
        <v>134</v>
      </c>
      <c r="I508">
        <v>6.6824000000000003</v>
      </c>
      <c r="J508">
        <v>36.4026</v>
      </c>
      <c r="K508">
        <v>27.7364</v>
      </c>
      <c r="L508" t="s">
        <v>134</v>
      </c>
      <c r="M508">
        <v>38.088700000000003</v>
      </c>
      <c r="N508">
        <v>26.140499999999999</v>
      </c>
      <c r="O508">
        <v>26.140499999999999</v>
      </c>
      <c r="P508">
        <v>26.140499999999999</v>
      </c>
      <c r="Q508">
        <v>31.369499999999999</v>
      </c>
      <c r="R508">
        <v>46.092599999999997</v>
      </c>
      <c r="S508">
        <v>6.6668000000000003</v>
      </c>
      <c r="T508">
        <v>2.9779</v>
      </c>
      <c r="U508">
        <v>-0.37819999999999998</v>
      </c>
      <c r="V508">
        <v>-2.0165999999999999</v>
      </c>
      <c r="W508">
        <v>-12.7722</v>
      </c>
      <c r="X508">
        <v>-12.766400000000001</v>
      </c>
      <c r="Y508">
        <v>-6.9767000000000001</v>
      </c>
      <c r="Z508">
        <v>397.5086</v>
      </c>
      <c r="AA508">
        <v>6.78</v>
      </c>
      <c r="AB508">
        <v>24.851600000000001</v>
      </c>
      <c r="AC508">
        <v>4.8681000000000001</v>
      </c>
      <c r="AD508">
        <v>93.674700000000001</v>
      </c>
      <c r="AE508">
        <v>128.4016</v>
      </c>
      <c r="AF508">
        <v>35291.2791</v>
      </c>
      <c r="AG508">
        <v>-94.582300000000004</v>
      </c>
      <c r="AH508">
        <v>-12.608700000000001</v>
      </c>
      <c r="AI508">
        <v>3.9664000000000001</v>
      </c>
      <c r="AJ508">
        <v>-1.4889999999999999</v>
      </c>
      <c r="AK508">
        <v>3.9664000000000001</v>
      </c>
      <c r="AL508">
        <v>-25.435500000000001</v>
      </c>
      <c r="AM508">
        <v>4.7672999999999996</v>
      </c>
      <c r="AN508">
        <v>1.173</v>
      </c>
      <c r="AO508">
        <v>-1.2383999999999999</v>
      </c>
      <c r="AP508">
        <v>-1.55E-2</v>
      </c>
      <c r="AQ508">
        <v>-0.95040000000000002</v>
      </c>
      <c r="AR508">
        <v>8.0184999999999995</v>
      </c>
      <c r="AS508">
        <v>29.389399999999998</v>
      </c>
      <c r="AT508">
        <v>18.321300000000001</v>
      </c>
      <c r="AU508">
        <v>50.494500000000002</v>
      </c>
      <c r="AV508">
        <v>15.422000000000001</v>
      </c>
      <c r="AW508">
        <v>20.561399999999999</v>
      </c>
      <c r="AX508">
        <v>2.0804</v>
      </c>
      <c r="AY508" t="s">
        <v>134</v>
      </c>
      <c r="AZ508" t="s">
        <v>134</v>
      </c>
      <c r="BA508">
        <v>198.36600000000001</v>
      </c>
      <c r="BB508">
        <v>9.3317999999999994</v>
      </c>
      <c r="BC508">
        <v>17.085000000000001</v>
      </c>
      <c r="BD508">
        <v>9.3317999999999994</v>
      </c>
      <c r="BE508">
        <v>6.3997999999999999</v>
      </c>
      <c r="BF508">
        <v>2.9779</v>
      </c>
      <c r="BG508">
        <v>-0.37819999999999998</v>
      </c>
      <c r="BH508">
        <v>-2.0165999999999999</v>
      </c>
      <c r="BI508">
        <v>-12.7722</v>
      </c>
      <c r="BJ508">
        <v>-12.766400000000001</v>
      </c>
      <c r="BK508">
        <v>-6.9767000000000001</v>
      </c>
      <c r="BL508">
        <v>397.5086</v>
      </c>
      <c r="BM508">
        <v>6.78</v>
      </c>
      <c r="BN508">
        <v>24.851600000000001</v>
      </c>
      <c r="BO508">
        <v>4.8681000000000001</v>
      </c>
      <c r="BP508">
        <v>93.674700000000001</v>
      </c>
      <c r="BQ508">
        <v>128.4016</v>
      </c>
      <c r="BR508">
        <v>35291.2791</v>
      </c>
      <c r="BS508">
        <v>-94.582300000000004</v>
      </c>
      <c r="BT508">
        <v>-12.608700000000001</v>
      </c>
      <c r="BU508">
        <v>3.9664000000000001</v>
      </c>
      <c r="BV508">
        <v>-1.4889999999999999</v>
      </c>
      <c r="BW508">
        <v>3.9664000000000001</v>
      </c>
      <c r="BX508">
        <v>-25.435500000000001</v>
      </c>
      <c r="BY508">
        <v>88670.3</v>
      </c>
      <c r="BZ508">
        <v>4676.1000000000004</v>
      </c>
      <c r="CA508">
        <v>83994.2</v>
      </c>
      <c r="CB508">
        <v>2.4411</v>
      </c>
      <c r="CC508">
        <v>-4.41E-2</v>
      </c>
      <c r="CD508">
        <v>3.2038000000000002</v>
      </c>
      <c r="CE508">
        <v>-5.79E-2</v>
      </c>
      <c r="CF508" t="s">
        <v>134</v>
      </c>
      <c r="CG508">
        <v>58.0105</v>
      </c>
      <c r="CH508">
        <v>39.064399999999999</v>
      </c>
      <c r="CI508">
        <v>27.658300000000001</v>
      </c>
      <c r="CJ508">
        <v>22.6615</v>
      </c>
      <c r="CK508">
        <v>41.239199999999997</v>
      </c>
      <c r="CL508">
        <v>29.1981</v>
      </c>
      <c r="CM508">
        <v>23.923100000000002</v>
      </c>
      <c r="CN508">
        <v>-0.74539999999999995</v>
      </c>
      <c r="CO508">
        <v>-0.751</v>
      </c>
      <c r="CP508">
        <v>36323.9</v>
      </c>
      <c r="CQ508">
        <v>6336.9</v>
      </c>
      <c r="CR508">
        <v>27676.400000000001</v>
      </c>
      <c r="CS508">
        <v>1.9151</v>
      </c>
      <c r="CT508">
        <v>3.1164000000000001</v>
      </c>
      <c r="CU508">
        <v>2.4226999999999999</v>
      </c>
      <c r="CV508">
        <v>2.0419999999999998</v>
      </c>
      <c r="CW508">
        <v>6.9459</v>
      </c>
      <c r="CX508">
        <v>52.549100000000003</v>
      </c>
      <c r="CY508" t="s">
        <v>134</v>
      </c>
      <c r="CZ508" t="s">
        <v>134</v>
      </c>
      <c r="DA508" t="s">
        <v>134</v>
      </c>
      <c r="DB508" t="s">
        <v>134</v>
      </c>
      <c r="DC508" t="s">
        <v>134</v>
      </c>
      <c r="DD508" t="s">
        <v>134</v>
      </c>
      <c r="DE508">
        <v>10514.2</v>
      </c>
      <c r="DF508">
        <v>0</v>
      </c>
      <c r="DG508">
        <v>0</v>
      </c>
      <c r="DH508">
        <v>1014.4</v>
      </c>
      <c r="DI508">
        <v>9499.7999999999993</v>
      </c>
    </row>
    <row r="509" spans="1:113" x14ac:dyDescent="0.3">
      <c r="E509" t="s">
        <v>4</v>
      </c>
      <c r="F509" t="s">
        <v>134</v>
      </c>
      <c r="G509" t="s">
        <v>134</v>
      </c>
      <c r="H509" t="s">
        <v>134</v>
      </c>
      <c r="I509" t="s">
        <v>134</v>
      </c>
      <c r="J509" t="s">
        <v>134</v>
      </c>
      <c r="K509" t="s">
        <v>134</v>
      </c>
      <c r="L509" t="s">
        <v>134</v>
      </c>
      <c r="M509" t="s">
        <v>134</v>
      </c>
      <c r="N509" t="s">
        <v>134</v>
      </c>
      <c r="O509" t="s">
        <v>134</v>
      </c>
      <c r="P509" t="s">
        <v>134</v>
      </c>
      <c r="Q509" t="s">
        <v>134</v>
      </c>
      <c r="R509" t="s">
        <v>134</v>
      </c>
      <c r="S509" t="s">
        <v>134</v>
      </c>
      <c r="T509" t="s">
        <v>134</v>
      </c>
      <c r="U509" t="s">
        <v>134</v>
      </c>
      <c r="V509" t="s">
        <v>134</v>
      </c>
      <c r="W509" t="s">
        <v>134</v>
      </c>
      <c r="X509" t="s">
        <v>134</v>
      </c>
      <c r="Y509" t="s">
        <v>134</v>
      </c>
      <c r="Z509" t="s">
        <v>134</v>
      </c>
      <c r="AA509" t="s">
        <v>134</v>
      </c>
      <c r="AB509" t="s">
        <v>134</v>
      </c>
      <c r="AC509" t="s">
        <v>134</v>
      </c>
      <c r="AD509" t="s">
        <v>134</v>
      </c>
      <c r="AE509" t="s">
        <v>134</v>
      </c>
      <c r="AF509" t="s">
        <v>134</v>
      </c>
      <c r="AG509" t="s">
        <v>134</v>
      </c>
      <c r="AH509" t="s">
        <v>134</v>
      </c>
      <c r="AI509" t="s">
        <v>134</v>
      </c>
      <c r="AJ509" t="s">
        <v>134</v>
      </c>
      <c r="AK509" t="s">
        <v>134</v>
      </c>
      <c r="AL509" t="s">
        <v>134</v>
      </c>
      <c r="AM509" t="s">
        <v>134</v>
      </c>
      <c r="AN509" t="s">
        <v>134</v>
      </c>
      <c r="AO509" t="s">
        <v>134</v>
      </c>
      <c r="AP509" t="s">
        <v>134</v>
      </c>
      <c r="AQ509" t="s">
        <v>134</v>
      </c>
      <c r="AR509" t="s">
        <v>134</v>
      </c>
      <c r="AS509" t="s">
        <v>134</v>
      </c>
      <c r="AT509" t="s">
        <v>134</v>
      </c>
      <c r="AU509" t="s">
        <v>134</v>
      </c>
      <c r="AV509" t="s">
        <v>134</v>
      </c>
      <c r="AW509" t="s">
        <v>134</v>
      </c>
      <c r="AX509" t="s">
        <v>134</v>
      </c>
      <c r="AY509" t="s">
        <v>134</v>
      </c>
      <c r="AZ509" t="s">
        <v>134</v>
      </c>
      <c r="BA509" t="s">
        <v>134</v>
      </c>
      <c r="BB509" t="s">
        <v>134</v>
      </c>
      <c r="BC509" t="s">
        <v>134</v>
      </c>
      <c r="BD509" t="s">
        <v>134</v>
      </c>
      <c r="BE509" t="s">
        <v>134</v>
      </c>
      <c r="BF509" t="s">
        <v>134</v>
      </c>
      <c r="BG509" t="s">
        <v>134</v>
      </c>
      <c r="BH509" t="s">
        <v>134</v>
      </c>
      <c r="BI509" t="s">
        <v>134</v>
      </c>
      <c r="BJ509" t="s">
        <v>134</v>
      </c>
      <c r="BK509" t="s">
        <v>134</v>
      </c>
      <c r="BL509" t="s">
        <v>134</v>
      </c>
      <c r="BM509" t="s">
        <v>134</v>
      </c>
      <c r="BN509" t="s">
        <v>134</v>
      </c>
      <c r="BO509" t="s">
        <v>134</v>
      </c>
      <c r="BP509" t="s">
        <v>134</v>
      </c>
      <c r="BQ509" t="s">
        <v>134</v>
      </c>
      <c r="BR509" t="s">
        <v>134</v>
      </c>
      <c r="BS509" t="s">
        <v>134</v>
      </c>
      <c r="BT509" t="s">
        <v>134</v>
      </c>
      <c r="BU509" t="s">
        <v>134</v>
      </c>
      <c r="BV509" t="s">
        <v>134</v>
      </c>
      <c r="BW509" t="s">
        <v>134</v>
      </c>
      <c r="BX509" t="s">
        <v>134</v>
      </c>
      <c r="BY509" t="s">
        <v>134</v>
      </c>
      <c r="BZ509" t="s">
        <v>134</v>
      </c>
      <c r="CA509" t="s">
        <v>134</v>
      </c>
      <c r="CB509" t="s">
        <v>134</v>
      </c>
      <c r="CC509" t="s">
        <v>134</v>
      </c>
      <c r="CD509" t="s">
        <v>134</v>
      </c>
      <c r="CE509" t="s">
        <v>134</v>
      </c>
      <c r="CF509" t="s">
        <v>134</v>
      </c>
      <c r="CG509" t="s">
        <v>134</v>
      </c>
      <c r="CH509" t="s">
        <v>134</v>
      </c>
      <c r="CI509" t="s">
        <v>134</v>
      </c>
      <c r="CJ509" t="s">
        <v>134</v>
      </c>
      <c r="CK509" t="s">
        <v>134</v>
      </c>
      <c r="CL509" t="s">
        <v>134</v>
      </c>
      <c r="CM509" t="s">
        <v>134</v>
      </c>
      <c r="CN509" t="s">
        <v>134</v>
      </c>
      <c r="CO509" t="s">
        <v>134</v>
      </c>
      <c r="CP509" t="s">
        <v>134</v>
      </c>
      <c r="CQ509" t="s">
        <v>134</v>
      </c>
      <c r="CR509" t="s">
        <v>134</v>
      </c>
      <c r="CS509" t="s">
        <v>134</v>
      </c>
      <c r="CT509" t="s">
        <v>134</v>
      </c>
      <c r="CU509" t="s">
        <v>134</v>
      </c>
      <c r="CV509" t="s">
        <v>134</v>
      </c>
      <c r="CW509" t="s">
        <v>134</v>
      </c>
      <c r="CX509" t="s">
        <v>134</v>
      </c>
      <c r="CY509" t="s">
        <v>134</v>
      </c>
      <c r="CZ509" t="s">
        <v>134</v>
      </c>
      <c r="DA509" t="s">
        <v>134</v>
      </c>
      <c r="DB509" t="s">
        <v>134</v>
      </c>
      <c r="DC509" t="s">
        <v>134</v>
      </c>
      <c r="DD509" t="s">
        <v>134</v>
      </c>
      <c r="DE509" t="s">
        <v>134</v>
      </c>
      <c r="DF509" t="s">
        <v>134</v>
      </c>
      <c r="DG509" t="s">
        <v>134</v>
      </c>
      <c r="DH509" t="s">
        <v>134</v>
      </c>
      <c r="DI509" t="s">
        <v>134</v>
      </c>
    </row>
    <row r="510" spans="1:113" x14ac:dyDescent="0.3">
      <c r="E510" t="s">
        <v>5</v>
      </c>
      <c r="F510" t="s">
        <v>134</v>
      </c>
      <c r="G510" t="s">
        <v>134</v>
      </c>
      <c r="H510" t="s">
        <v>134</v>
      </c>
      <c r="I510" t="s">
        <v>134</v>
      </c>
      <c r="J510" t="s">
        <v>134</v>
      </c>
      <c r="K510" t="s">
        <v>134</v>
      </c>
      <c r="L510" t="s">
        <v>134</v>
      </c>
      <c r="M510" t="s">
        <v>134</v>
      </c>
      <c r="N510" t="s">
        <v>134</v>
      </c>
      <c r="O510" t="s">
        <v>134</v>
      </c>
      <c r="P510" t="s">
        <v>134</v>
      </c>
      <c r="Q510" t="s">
        <v>134</v>
      </c>
      <c r="R510" t="s">
        <v>134</v>
      </c>
      <c r="S510" t="s">
        <v>134</v>
      </c>
      <c r="T510" t="s">
        <v>134</v>
      </c>
      <c r="U510" t="s">
        <v>134</v>
      </c>
      <c r="V510" t="s">
        <v>134</v>
      </c>
      <c r="W510" t="s">
        <v>134</v>
      </c>
      <c r="X510" t="s">
        <v>134</v>
      </c>
      <c r="Y510" t="s">
        <v>134</v>
      </c>
      <c r="Z510" t="s">
        <v>134</v>
      </c>
      <c r="AA510" t="s">
        <v>134</v>
      </c>
      <c r="AB510" t="s">
        <v>134</v>
      </c>
      <c r="AC510" t="s">
        <v>134</v>
      </c>
      <c r="AD510" t="s">
        <v>134</v>
      </c>
      <c r="AE510" t="s">
        <v>134</v>
      </c>
      <c r="AF510" t="s">
        <v>134</v>
      </c>
      <c r="AG510" t="s">
        <v>134</v>
      </c>
      <c r="AH510" t="s">
        <v>134</v>
      </c>
      <c r="AI510" t="s">
        <v>134</v>
      </c>
      <c r="AJ510" t="s">
        <v>134</v>
      </c>
      <c r="AK510" t="s">
        <v>134</v>
      </c>
      <c r="AL510" t="s">
        <v>134</v>
      </c>
      <c r="AM510" t="s">
        <v>134</v>
      </c>
      <c r="AN510" t="s">
        <v>134</v>
      </c>
      <c r="AO510" t="s">
        <v>134</v>
      </c>
      <c r="AP510" t="s">
        <v>134</v>
      </c>
      <c r="AQ510" t="s">
        <v>134</v>
      </c>
      <c r="AR510" t="s">
        <v>134</v>
      </c>
      <c r="AS510" t="s">
        <v>134</v>
      </c>
      <c r="AT510" t="s">
        <v>134</v>
      </c>
      <c r="AU510" t="s">
        <v>134</v>
      </c>
      <c r="AV510" t="s">
        <v>134</v>
      </c>
      <c r="AW510" t="s">
        <v>134</v>
      </c>
      <c r="AX510" t="s">
        <v>134</v>
      </c>
      <c r="AY510" t="s">
        <v>134</v>
      </c>
      <c r="AZ510" t="s">
        <v>134</v>
      </c>
      <c r="BA510" t="s">
        <v>134</v>
      </c>
      <c r="BB510" t="s">
        <v>134</v>
      </c>
      <c r="BC510" t="s">
        <v>134</v>
      </c>
      <c r="BD510" t="s">
        <v>134</v>
      </c>
      <c r="BE510" t="s">
        <v>134</v>
      </c>
      <c r="BF510" t="s">
        <v>134</v>
      </c>
      <c r="BG510" t="s">
        <v>134</v>
      </c>
      <c r="BH510" t="s">
        <v>134</v>
      </c>
      <c r="BI510" t="s">
        <v>134</v>
      </c>
      <c r="BJ510" t="s">
        <v>134</v>
      </c>
      <c r="BK510" t="s">
        <v>134</v>
      </c>
      <c r="BL510" t="s">
        <v>134</v>
      </c>
      <c r="BM510" t="s">
        <v>134</v>
      </c>
      <c r="BN510" t="s">
        <v>134</v>
      </c>
      <c r="BO510" t="s">
        <v>134</v>
      </c>
      <c r="BP510" t="s">
        <v>134</v>
      </c>
      <c r="BQ510" t="s">
        <v>134</v>
      </c>
      <c r="BR510" t="s">
        <v>134</v>
      </c>
      <c r="BS510" t="s">
        <v>134</v>
      </c>
      <c r="BT510" t="s">
        <v>134</v>
      </c>
      <c r="BU510" t="s">
        <v>134</v>
      </c>
      <c r="BV510" t="s">
        <v>134</v>
      </c>
      <c r="BW510" t="s">
        <v>134</v>
      </c>
      <c r="BX510" t="s">
        <v>134</v>
      </c>
      <c r="BY510" t="s">
        <v>134</v>
      </c>
      <c r="BZ510" t="s">
        <v>134</v>
      </c>
      <c r="CA510" t="s">
        <v>134</v>
      </c>
      <c r="CB510" t="s">
        <v>134</v>
      </c>
      <c r="CC510" t="s">
        <v>134</v>
      </c>
      <c r="CD510" t="s">
        <v>134</v>
      </c>
      <c r="CE510" t="s">
        <v>134</v>
      </c>
      <c r="CF510" t="s">
        <v>134</v>
      </c>
      <c r="CG510" t="s">
        <v>134</v>
      </c>
      <c r="CH510" t="s">
        <v>134</v>
      </c>
      <c r="CI510" t="s">
        <v>134</v>
      </c>
      <c r="CJ510" t="s">
        <v>134</v>
      </c>
      <c r="CK510" t="s">
        <v>134</v>
      </c>
      <c r="CL510" t="s">
        <v>134</v>
      </c>
      <c r="CM510" t="s">
        <v>134</v>
      </c>
      <c r="CN510" t="s">
        <v>134</v>
      </c>
      <c r="CO510" t="s">
        <v>134</v>
      </c>
      <c r="CP510" t="s">
        <v>134</v>
      </c>
      <c r="CQ510" t="s">
        <v>134</v>
      </c>
      <c r="CR510" t="s">
        <v>134</v>
      </c>
      <c r="CS510" t="s">
        <v>134</v>
      </c>
      <c r="CT510" t="s">
        <v>134</v>
      </c>
      <c r="CU510" t="s">
        <v>134</v>
      </c>
      <c r="CV510" t="s">
        <v>134</v>
      </c>
      <c r="CW510" t="s">
        <v>134</v>
      </c>
      <c r="CX510" t="s">
        <v>134</v>
      </c>
      <c r="CY510" t="s">
        <v>134</v>
      </c>
      <c r="CZ510" t="s">
        <v>134</v>
      </c>
      <c r="DA510" t="s">
        <v>134</v>
      </c>
      <c r="DB510" t="s">
        <v>134</v>
      </c>
      <c r="DC510" t="s">
        <v>134</v>
      </c>
      <c r="DD510" t="s">
        <v>134</v>
      </c>
      <c r="DE510" t="s">
        <v>134</v>
      </c>
      <c r="DF510" t="s">
        <v>134</v>
      </c>
      <c r="DG510" t="s">
        <v>134</v>
      </c>
      <c r="DH510" t="s">
        <v>134</v>
      </c>
      <c r="DI510" t="s">
        <v>134</v>
      </c>
    </row>
    <row r="511" spans="1:113" x14ac:dyDescent="0.3">
      <c r="E511" t="s">
        <v>6</v>
      </c>
      <c r="F511" t="s">
        <v>134</v>
      </c>
      <c r="G511" t="s">
        <v>134</v>
      </c>
      <c r="H511" t="s">
        <v>134</v>
      </c>
      <c r="I511" t="s">
        <v>134</v>
      </c>
      <c r="J511" t="s">
        <v>134</v>
      </c>
      <c r="K511" t="s">
        <v>134</v>
      </c>
      <c r="L511" t="s">
        <v>134</v>
      </c>
      <c r="M511" t="s">
        <v>134</v>
      </c>
      <c r="N511" t="s">
        <v>134</v>
      </c>
      <c r="O511" t="s">
        <v>134</v>
      </c>
      <c r="P511" t="s">
        <v>134</v>
      </c>
      <c r="Q511" t="s">
        <v>134</v>
      </c>
      <c r="R511" t="s">
        <v>134</v>
      </c>
      <c r="S511" t="s">
        <v>134</v>
      </c>
      <c r="T511" t="s">
        <v>134</v>
      </c>
      <c r="U511" t="s">
        <v>134</v>
      </c>
      <c r="V511" t="s">
        <v>134</v>
      </c>
      <c r="W511" t="s">
        <v>134</v>
      </c>
      <c r="X511" t="s">
        <v>134</v>
      </c>
      <c r="Y511" t="s">
        <v>134</v>
      </c>
      <c r="Z511" t="s">
        <v>134</v>
      </c>
      <c r="AA511" t="s">
        <v>134</v>
      </c>
      <c r="AB511" t="s">
        <v>134</v>
      </c>
      <c r="AC511" t="s">
        <v>134</v>
      </c>
      <c r="AD511" t="s">
        <v>134</v>
      </c>
      <c r="AE511" t="s">
        <v>134</v>
      </c>
      <c r="AF511" t="s">
        <v>134</v>
      </c>
      <c r="AG511" t="s">
        <v>134</v>
      </c>
      <c r="AH511" t="s">
        <v>134</v>
      </c>
      <c r="AI511" t="s">
        <v>134</v>
      </c>
      <c r="AJ511" t="s">
        <v>134</v>
      </c>
      <c r="AK511" t="s">
        <v>134</v>
      </c>
      <c r="AL511" t="s">
        <v>134</v>
      </c>
      <c r="AM511" t="s">
        <v>134</v>
      </c>
      <c r="AN511" t="s">
        <v>134</v>
      </c>
      <c r="AO511" t="s">
        <v>134</v>
      </c>
      <c r="AP511" t="s">
        <v>134</v>
      </c>
      <c r="AQ511" t="s">
        <v>134</v>
      </c>
      <c r="AR511" t="s">
        <v>134</v>
      </c>
      <c r="AS511" t="s">
        <v>134</v>
      </c>
      <c r="AT511" t="s">
        <v>134</v>
      </c>
      <c r="AU511" t="s">
        <v>134</v>
      </c>
      <c r="AV511" t="s">
        <v>134</v>
      </c>
      <c r="AW511" t="s">
        <v>134</v>
      </c>
      <c r="AX511" t="s">
        <v>134</v>
      </c>
      <c r="AY511" t="s">
        <v>134</v>
      </c>
      <c r="AZ511" t="s">
        <v>134</v>
      </c>
      <c r="BA511" t="s">
        <v>134</v>
      </c>
      <c r="BB511" t="s">
        <v>134</v>
      </c>
      <c r="BC511" t="s">
        <v>134</v>
      </c>
      <c r="BD511" t="s">
        <v>134</v>
      </c>
      <c r="BE511" t="s">
        <v>134</v>
      </c>
      <c r="BF511" t="s">
        <v>134</v>
      </c>
      <c r="BG511" t="s">
        <v>134</v>
      </c>
      <c r="BH511" t="s">
        <v>134</v>
      </c>
      <c r="BI511" t="s">
        <v>134</v>
      </c>
      <c r="BJ511" t="s">
        <v>134</v>
      </c>
      <c r="BK511" t="s">
        <v>134</v>
      </c>
      <c r="BL511" t="s">
        <v>134</v>
      </c>
      <c r="BM511" t="s">
        <v>134</v>
      </c>
      <c r="BN511" t="s">
        <v>134</v>
      </c>
      <c r="BO511" t="s">
        <v>134</v>
      </c>
      <c r="BP511" t="s">
        <v>134</v>
      </c>
      <c r="BQ511" t="s">
        <v>134</v>
      </c>
      <c r="BR511" t="s">
        <v>134</v>
      </c>
      <c r="BS511" t="s">
        <v>134</v>
      </c>
      <c r="BT511" t="s">
        <v>134</v>
      </c>
      <c r="BU511" t="s">
        <v>134</v>
      </c>
      <c r="BV511" t="s">
        <v>134</v>
      </c>
      <c r="BW511" t="s">
        <v>134</v>
      </c>
      <c r="BX511" t="s">
        <v>134</v>
      </c>
      <c r="BY511" t="s">
        <v>134</v>
      </c>
      <c r="BZ511" t="s">
        <v>134</v>
      </c>
      <c r="CA511" t="s">
        <v>134</v>
      </c>
      <c r="CB511" t="s">
        <v>134</v>
      </c>
      <c r="CC511" t="s">
        <v>134</v>
      </c>
      <c r="CD511" t="s">
        <v>134</v>
      </c>
      <c r="CE511" t="s">
        <v>134</v>
      </c>
      <c r="CF511" t="s">
        <v>134</v>
      </c>
      <c r="CG511" t="s">
        <v>134</v>
      </c>
      <c r="CH511" t="s">
        <v>134</v>
      </c>
      <c r="CI511" t="s">
        <v>134</v>
      </c>
      <c r="CJ511" t="s">
        <v>134</v>
      </c>
      <c r="CK511" t="s">
        <v>134</v>
      </c>
      <c r="CL511" t="s">
        <v>134</v>
      </c>
      <c r="CM511" t="s">
        <v>134</v>
      </c>
      <c r="CN511" t="s">
        <v>134</v>
      </c>
      <c r="CO511" t="s">
        <v>134</v>
      </c>
      <c r="CP511" t="s">
        <v>134</v>
      </c>
      <c r="CQ511" t="s">
        <v>134</v>
      </c>
      <c r="CR511" t="s">
        <v>134</v>
      </c>
      <c r="CS511" t="s">
        <v>134</v>
      </c>
      <c r="CT511" t="s">
        <v>134</v>
      </c>
      <c r="CU511" t="s">
        <v>134</v>
      </c>
      <c r="CV511" t="s">
        <v>134</v>
      </c>
      <c r="CW511" t="s">
        <v>134</v>
      </c>
      <c r="CX511" t="s">
        <v>134</v>
      </c>
      <c r="CY511" t="s">
        <v>134</v>
      </c>
      <c r="CZ511" t="s">
        <v>134</v>
      </c>
      <c r="DA511" t="s">
        <v>134</v>
      </c>
      <c r="DB511" t="s">
        <v>134</v>
      </c>
      <c r="DC511" t="s">
        <v>134</v>
      </c>
      <c r="DD511" t="s">
        <v>134</v>
      </c>
      <c r="DE511" t="s">
        <v>134</v>
      </c>
      <c r="DF511" t="s">
        <v>134</v>
      </c>
      <c r="DG511" t="s">
        <v>134</v>
      </c>
      <c r="DH511" t="s">
        <v>134</v>
      </c>
      <c r="DI511" t="s">
        <v>134</v>
      </c>
    </row>
    <row r="512" spans="1:113" x14ac:dyDescent="0.3">
      <c r="E512" t="s">
        <v>7</v>
      </c>
      <c r="F512" t="s">
        <v>134</v>
      </c>
      <c r="G512" t="s">
        <v>134</v>
      </c>
      <c r="H512" t="s">
        <v>134</v>
      </c>
      <c r="I512" t="s">
        <v>134</v>
      </c>
      <c r="J512" t="s">
        <v>134</v>
      </c>
      <c r="K512" t="s">
        <v>134</v>
      </c>
      <c r="L512" t="s">
        <v>134</v>
      </c>
      <c r="M512" t="s">
        <v>134</v>
      </c>
      <c r="N512" t="s">
        <v>134</v>
      </c>
      <c r="O512" t="s">
        <v>134</v>
      </c>
      <c r="P512" t="s">
        <v>134</v>
      </c>
      <c r="Q512" t="s">
        <v>134</v>
      </c>
      <c r="R512" t="s">
        <v>134</v>
      </c>
      <c r="S512" t="s">
        <v>134</v>
      </c>
      <c r="T512" t="s">
        <v>134</v>
      </c>
      <c r="U512" t="s">
        <v>134</v>
      </c>
      <c r="V512" t="s">
        <v>134</v>
      </c>
      <c r="W512" t="s">
        <v>134</v>
      </c>
      <c r="X512" t="s">
        <v>134</v>
      </c>
      <c r="Y512" t="s">
        <v>134</v>
      </c>
      <c r="Z512" t="s">
        <v>134</v>
      </c>
      <c r="AA512" t="s">
        <v>134</v>
      </c>
      <c r="AB512" t="s">
        <v>134</v>
      </c>
      <c r="AC512" t="s">
        <v>134</v>
      </c>
      <c r="AD512" t="s">
        <v>134</v>
      </c>
      <c r="AE512" t="s">
        <v>134</v>
      </c>
      <c r="AF512" t="s">
        <v>134</v>
      </c>
      <c r="AG512" t="s">
        <v>134</v>
      </c>
      <c r="AH512" t="s">
        <v>134</v>
      </c>
      <c r="AI512" t="s">
        <v>134</v>
      </c>
      <c r="AJ512" t="s">
        <v>134</v>
      </c>
      <c r="AK512" t="s">
        <v>134</v>
      </c>
      <c r="AL512" t="s">
        <v>134</v>
      </c>
      <c r="AM512" t="s">
        <v>134</v>
      </c>
      <c r="AN512" t="s">
        <v>134</v>
      </c>
      <c r="AO512" t="s">
        <v>134</v>
      </c>
      <c r="AP512" t="s">
        <v>134</v>
      </c>
      <c r="AQ512" t="s">
        <v>134</v>
      </c>
      <c r="AR512" t="s">
        <v>134</v>
      </c>
      <c r="AS512" t="s">
        <v>134</v>
      </c>
      <c r="AT512" t="s">
        <v>134</v>
      </c>
      <c r="AU512" t="s">
        <v>134</v>
      </c>
      <c r="AV512" t="s">
        <v>134</v>
      </c>
      <c r="AW512" t="s">
        <v>134</v>
      </c>
      <c r="AX512" t="s">
        <v>134</v>
      </c>
      <c r="AY512" t="s">
        <v>134</v>
      </c>
      <c r="AZ512" t="s">
        <v>134</v>
      </c>
      <c r="BA512" t="s">
        <v>134</v>
      </c>
      <c r="BB512" t="s">
        <v>134</v>
      </c>
      <c r="BC512" t="s">
        <v>134</v>
      </c>
      <c r="BD512" t="s">
        <v>134</v>
      </c>
      <c r="BE512" t="s">
        <v>134</v>
      </c>
      <c r="BF512" t="s">
        <v>134</v>
      </c>
      <c r="BG512" t="s">
        <v>134</v>
      </c>
      <c r="BH512" t="s">
        <v>134</v>
      </c>
      <c r="BI512" t="s">
        <v>134</v>
      </c>
      <c r="BJ512" t="s">
        <v>134</v>
      </c>
      <c r="BK512" t="s">
        <v>134</v>
      </c>
      <c r="BL512" t="s">
        <v>134</v>
      </c>
      <c r="BM512" t="s">
        <v>134</v>
      </c>
      <c r="BN512" t="s">
        <v>134</v>
      </c>
      <c r="BO512" t="s">
        <v>134</v>
      </c>
      <c r="BP512" t="s">
        <v>134</v>
      </c>
      <c r="BQ512" t="s">
        <v>134</v>
      </c>
      <c r="BR512" t="s">
        <v>134</v>
      </c>
      <c r="BS512" t="s">
        <v>134</v>
      </c>
      <c r="BT512" t="s">
        <v>134</v>
      </c>
      <c r="BU512" t="s">
        <v>134</v>
      </c>
      <c r="BV512" t="s">
        <v>134</v>
      </c>
      <c r="BW512" t="s">
        <v>134</v>
      </c>
      <c r="BX512" t="s">
        <v>134</v>
      </c>
      <c r="BY512" t="s">
        <v>134</v>
      </c>
      <c r="BZ512" t="s">
        <v>134</v>
      </c>
      <c r="CA512" t="s">
        <v>134</v>
      </c>
      <c r="CB512" t="s">
        <v>134</v>
      </c>
      <c r="CC512" t="s">
        <v>134</v>
      </c>
      <c r="CD512" t="s">
        <v>134</v>
      </c>
      <c r="CE512" t="s">
        <v>134</v>
      </c>
      <c r="CF512" t="s">
        <v>134</v>
      </c>
      <c r="CG512" t="s">
        <v>134</v>
      </c>
      <c r="CH512" t="s">
        <v>134</v>
      </c>
      <c r="CI512" t="s">
        <v>134</v>
      </c>
      <c r="CJ512" t="s">
        <v>134</v>
      </c>
      <c r="CK512" t="s">
        <v>134</v>
      </c>
      <c r="CL512" t="s">
        <v>134</v>
      </c>
      <c r="CM512" t="s">
        <v>134</v>
      </c>
      <c r="CN512" t="s">
        <v>134</v>
      </c>
      <c r="CO512" t="s">
        <v>134</v>
      </c>
      <c r="CP512" t="s">
        <v>134</v>
      </c>
      <c r="CQ512" t="s">
        <v>134</v>
      </c>
      <c r="CR512" t="s">
        <v>134</v>
      </c>
      <c r="CS512" t="s">
        <v>134</v>
      </c>
      <c r="CT512" t="s">
        <v>134</v>
      </c>
      <c r="CU512" t="s">
        <v>134</v>
      </c>
      <c r="CV512" t="s">
        <v>134</v>
      </c>
      <c r="CW512" t="s">
        <v>134</v>
      </c>
      <c r="CX512" t="s">
        <v>134</v>
      </c>
      <c r="CY512" t="s">
        <v>134</v>
      </c>
      <c r="CZ512" t="s">
        <v>134</v>
      </c>
      <c r="DA512" t="s">
        <v>134</v>
      </c>
      <c r="DB512" t="s">
        <v>134</v>
      </c>
      <c r="DC512" t="s">
        <v>134</v>
      </c>
      <c r="DD512" t="s">
        <v>134</v>
      </c>
      <c r="DE512" t="s">
        <v>134</v>
      </c>
      <c r="DF512" t="s">
        <v>134</v>
      </c>
      <c r="DG512" t="s">
        <v>134</v>
      </c>
      <c r="DH512" t="s">
        <v>134</v>
      </c>
      <c r="DI512" t="s">
        <v>134</v>
      </c>
    </row>
    <row r="513" spans="1:113" x14ac:dyDescent="0.3">
      <c r="D513" t="s">
        <v>9</v>
      </c>
      <c r="E513" t="s">
        <v>3</v>
      </c>
      <c r="F513">
        <v>9.0997000000000003</v>
      </c>
      <c r="G513">
        <v>5.3000999999999996</v>
      </c>
      <c r="H513">
        <v>7.0778999999999996</v>
      </c>
      <c r="I513">
        <v>4.4897999999999998</v>
      </c>
      <c r="J513">
        <v>35.221800000000002</v>
      </c>
      <c r="K513">
        <v>24.04</v>
      </c>
      <c r="L513">
        <v>-415.29649999999998</v>
      </c>
      <c r="M513">
        <v>32.076900000000002</v>
      </c>
      <c r="N513">
        <v>20.274100000000001</v>
      </c>
      <c r="O513">
        <v>20.274100000000001</v>
      </c>
      <c r="P513">
        <v>20.274100000000001</v>
      </c>
      <c r="Q513">
        <v>36.795499999999997</v>
      </c>
      <c r="R513">
        <v>47.997199999999999</v>
      </c>
      <c r="S513">
        <v>4.7321</v>
      </c>
      <c r="T513">
        <v>-0.94469999999999998</v>
      </c>
      <c r="U513">
        <v>-4.1578999999999997</v>
      </c>
      <c r="V513">
        <v>-14.1456</v>
      </c>
      <c r="W513">
        <v>-23.174700000000001</v>
      </c>
      <c r="X513">
        <v>-23.161999999999999</v>
      </c>
      <c r="Y513">
        <v>-20</v>
      </c>
      <c r="Z513">
        <v>-44.362000000000002</v>
      </c>
      <c r="AA513">
        <v>-2.5651000000000002</v>
      </c>
      <c r="AB513">
        <v>10.8711</v>
      </c>
      <c r="AC513">
        <v>4.0134999999999996</v>
      </c>
      <c r="AD513">
        <v>-36.673200000000001</v>
      </c>
      <c r="AE513">
        <v>6.6942000000000004</v>
      </c>
      <c r="AF513">
        <v>-7.9772999999999996</v>
      </c>
      <c r="AG513">
        <v>92.350499999999997</v>
      </c>
      <c r="AH513">
        <v>15.2181</v>
      </c>
      <c r="AI513">
        <v>4.8390000000000004</v>
      </c>
      <c r="AJ513">
        <v>7.8695000000000004</v>
      </c>
      <c r="AK513">
        <v>4.8390000000000004</v>
      </c>
      <c r="AL513">
        <v>33.878500000000003</v>
      </c>
      <c r="AM513">
        <v>3.5038999999999998</v>
      </c>
      <c r="AN513">
        <v>-3.9933000000000001</v>
      </c>
      <c r="AO513">
        <v>-7.1784999999999997</v>
      </c>
      <c r="AP513">
        <v>-7.0212000000000003</v>
      </c>
      <c r="AQ513">
        <v>11.683</v>
      </c>
      <c r="AR513">
        <v>1.2990999999999999</v>
      </c>
      <c r="AS513">
        <v>7.3832000000000004</v>
      </c>
      <c r="AT513">
        <v>15.4095</v>
      </c>
      <c r="AU513">
        <v>17.084</v>
      </c>
      <c r="AV513">
        <v>12.675699999999999</v>
      </c>
      <c r="AW513">
        <v>4.6178999999999997</v>
      </c>
      <c r="AX513">
        <v>6.2700000000000006E-2</v>
      </c>
      <c r="AY513" t="s">
        <v>134</v>
      </c>
      <c r="AZ513">
        <v>-2.2052999999999998</v>
      </c>
      <c r="BA513">
        <v>58.718400000000003</v>
      </c>
      <c r="BB513">
        <v>7.6429</v>
      </c>
      <c r="BC513">
        <v>14.5459</v>
      </c>
      <c r="BD513">
        <v>7.6429</v>
      </c>
      <c r="BE513">
        <v>1.5548</v>
      </c>
      <c r="BF513">
        <v>-0.94469999999999998</v>
      </c>
      <c r="BG513">
        <v>-4.1578999999999997</v>
      </c>
      <c r="BH513">
        <v>-14.1456</v>
      </c>
      <c r="BI513">
        <v>-23.174700000000001</v>
      </c>
      <c r="BJ513">
        <v>-23.161999999999999</v>
      </c>
      <c r="BK513">
        <v>-20</v>
      </c>
      <c r="BL513">
        <v>-44.362000000000002</v>
      </c>
      <c r="BM513">
        <v>-2.5651000000000002</v>
      </c>
      <c r="BN513">
        <v>10.8711</v>
      </c>
      <c r="BO513">
        <v>4.0134999999999996</v>
      </c>
      <c r="BP513">
        <v>-36.673200000000001</v>
      </c>
      <c r="BQ513">
        <v>6.6942000000000004</v>
      </c>
      <c r="BR513">
        <v>-7.9772999999999996</v>
      </c>
      <c r="BS513">
        <v>92.350499999999997</v>
      </c>
      <c r="BT513">
        <v>15.2181</v>
      </c>
      <c r="BU513">
        <v>4.8390000000000004</v>
      </c>
      <c r="BV513">
        <v>7.8695000000000004</v>
      </c>
      <c r="BW513">
        <v>4.8390000000000004</v>
      </c>
      <c r="BX513">
        <v>33.878500000000003</v>
      </c>
      <c r="BY513">
        <v>102164.2</v>
      </c>
      <c r="BZ513">
        <v>8994.5</v>
      </c>
      <c r="CA513">
        <v>93169.7</v>
      </c>
      <c r="CB513">
        <v>2.9346000000000001</v>
      </c>
      <c r="CC513">
        <v>9.5799999999999996E-2</v>
      </c>
      <c r="CD513">
        <v>4.2995999999999999</v>
      </c>
      <c r="CE513">
        <v>0.1404</v>
      </c>
      <c r="CF513">
        <v>9.5625999999999998</v>
      </c>
      <c r="CG513">
        <v>58.4709</v>
      </c>
      <c r="CH513">
        <v>41.331800000000001</v>
      </c>
      <c r="CI513">
        <v>28.441500000000001</v>
      </c>
      <c r="CJ513">
        <v>24.167100000000001</v>
      </c>
      <c r="CK513">
        <v>45.321899999999999</v>
      </c>
      <c r="CL513">
        <v>31.1873</v>
      </c>
      <c r="CM513">
        <v>26.5001</v>
      </c>
      <c r="CN513">
        <v>1.48</v>
      </c>
      <c r="CO513">
        <v>1.4583999999999999</v>
      </c>
      <c r="CP513">
        <v>34813.599999999999</v>
      </c>
      <c r="CQ513">
        <v>4681</v>
      </c>
      <c r="CR513">
        <v>23761.4</v>
      </c>
      <c r="CS513">
        <v>2.6242000000000001</v>
      </c>
      <c r="CT513">
        <v>3.8262999999999998</v>
      </c>
      <c r="CU513">
        <v>2.9775999999999998</v>
      </c>
      <c r="CV513">
        <v>1.5359</v>
      </c>
      <c r="CW513">
        <v>5.3091999999999997</v>
      </c>
      <c r="CX513">
        <v>68.936400000000006</v>
      </c>
      <c r="CY513" t="s">
        <v>134</v>
      </c>
      <c r="CZ513" t="s">
        <v>134</v>
      </c>
      <c r="DA513" t="s">
        <v>134</v>
      </c>
      <c r="DB513" t="s">
        <v>134</v>
      </c>
      <c r="DC513" t="s">
        <v>134</v>
      </c>
      <c r="DD513" t="s">
        <v>134</v>
      </c>
      <c r="DE513">
        <v>10244.5</v>
      </c>
      <c r="DF513">
        <v>0</v>
      </c>
      <c r="DG513">
        <v>0</v>
      </c>
      <c r="DH513">
        <v>747.1</v>
      </c>
      <c r="DI513">
        <v>9497.4</v>
      </c>
    </row>
    <row r="514" spans="1:113" x14ac:dyDescent="0.3">
      <c r="E514" t="s">
        <v>4</v>
      </c>
      <c r="F514" t="s">
        <v>134</v>
      </c>
      <c r="G514" t="s">
        <v>134</v>
      </c>
      <c r="H514" t="s">
        <v>134</v>
      </c>
      <c r="I514" t="s">
        <v>134</v>
      </c>
      <c r="J514" t="s">
        <v>134</v>
      </c>
      <c r="K514" t="s">
        <v>134</v>
      </c>
      <c r="L514" t="s">
        <v>134</v>
      </c>
      <c r="M514" t="s">
        <v>134</v>
      </c>
      <c r="N514" t="s">
        <v>134</v>
      </c>
      <c r="O514" t="s">
        <v>134</v>
      </c>
      <c r="P514" t="s">
        <v>134</v>
      </c>
      <c r="Q514" t="s">
        <v>134</v>
      </c>
      <c r="R514" t="s">
        <v>134</v>
      </c>
      <c r="S514" t="s">
        <v>134</v>
      </c>
      <c r="T514" t="s">
        <v>134</v>
      </c>
      <c r="U514" t="s">
        <v>134</v>
      </c>
      <c r="V514" t="s">
        <v>134</v>
      </c>
      <c r="W514" t="s">
        <v>134</v>
      </c>
      <c r="X514" t="s">
        <v>134</v>
      </c>
      <c r="Y514" t="s">
        <v>134</v>
      </c>
      <c r="Z514" t="s">
        <v>134</v>
      </c>
      <c r="AA514" t="s">
        <v>134</v>
      </c>
      <c r="AB514" t="s">
        <v>134</v>
      </c>
      <c r="AC514" t="s">
        <v>134</v>
      </c>
      <c r="AD514" t="s">
        <v>134</v>
      </c>
      <c r="AE514" t="s">
        <v>134</v>
      </c>
      <c r="AF514" t="s">
        <v>134</v>
      </c>
      <c r="AG514" t="s">
        <v>134</v>
      </c>
      <c r="AH514" t="s">
        <v>134</v>
      </c>
      <c r="AI514" t="s">
        <v>134</v>
      </c>
      <c r="AJ514" t="s">
        <v>134</v>
      </c>
      <c r="AK514" t="s">
        <v>134</v>
      </c>
      <c r="AL514" t="s">
        <v>134</v>
      </c>
      <c r="AM514" t="s">
        <v>134</v>
      </c>
      <c r="AN514" t="s">
        <v>134</v>
      </c>
      <c r="AO514" t="s">
        <v>134</v>
      </c>
      <c r="AP514" t="s">
        <v>134</v>
      </c>
      <c r="AQ514" t="s">
        <v>134</v>
      </c>
      <c r="AR514" t="s">
        <v>134</v>
      </c>
      <c r="AS514" t="s">
        <v>134</v>
      </c>
      <c r="AT514" t="s">
        <v>134</v>
      </c>
      <c r="AU514" t="s">
        <v>134</v>
      </c>
      <c r="AV514" t="s">
        <v>134</v>
      </c>
      <c r="AW514" t="s">
        <v>134</v>
      </c>
      <c r="AX514" t="s">
        <v>134</v>
      </c>
      <c r="AY514" t="s">
        <v>134</v>
      </c>
      <c r="AZ514" t="s">
        <v>134</v>
      </c>
      <c r="BA514" t="s">
        <v>134</v>
      </c>
      <c r="BB514" t="s">
        <v>134</v>
      </c>
      <c r="BC514" t="s">
        <v>134</v>
      </c>
      <c r="BD514" t="s">
        <v>134</v>
      </c>
      <c r="BE514" t="s">
        <v>134</v>
      </c>
      <c r="BF514" t="s">
        <v>134</v>
      </c>
      <c r="BG514" t="s">
        <v>134</v>
      </c>
      <c r="BH514" t="s">
        <v>134</v>
      </c>
      <c r="BI514" t="s">
        <v>134</v>
      </c>
      <c r="BJ514" t="s">
        <v>134</v>
      </c>
      <c r="BK514" t="s">
        <v>134</v>
      </c>
      <c r="BL514" t="s">
        <v>134</v>
      </c>
      <c r="BM514" t="s">
        <v>134</v>
      </c>
      <c r="BN514" t="s">
        <v>134</v>
      </c>
      <c r="BO514" t="s">
        <v>134</v>
      </c>
      <c r="BP514" t="s">
        <v>134</v>
      </c>
      <c r="BQ514" t="s">
        <v>134</v>
      </c>
      <c r="BR514" t="s">
        <v>134</v>
      </c>
      <c r="BS514" t="s">
        <v>134</v>
      </c>
      <c r="BT514" t="s">
        <v>134</v>
      </c>
      <c r="BU514" t="s">
        <v>134</v>
      </c>
      <c r="BV514" t="s">
        <v>134</v>
      </c>
      <c r="BW514" t="s">
        <v>134</v>
      </c>
      <c r="BX514" t="s">
        <v>134</v>
      </c>
      <c r="BY514" t="s">
        <v>134</v>
      </c>
      <c r="BZ514" t="s">
        <v>134</v>
      </c>
      <c r="CA514" t="s">
        <v>134</v>
      </c>
      <c r="CB514" t="s">
        <v>134</v>
      </c>
      <c r="CC514" t="s">
        <v>134</v>
      </c>
      <c r="CD514" t="s">
        <v>134</v>
      </c>
      <c r="CE514" t="s">
        <v>134</v>
      </c>
      <c r="CF514" t="s">
        <v>134</v>
      </c>
      <c r="CG514" t="s">
        <v>134</v>
      </c>
      <c r="CH514" t="s">
        <v>134</v>
      </c>
      <c r="CI514" t="s">
        <v>134</v>
      </c>
      <c r="CJ514" t="s">
        <v>134</v>
      </c>
      <c r="CK514" t="s">
        <v>134</v>
      </c>
      <c r="CL514" t="s">
        <v>134</v>
      </c>
      <c r="CM514" t="s">
        <v>134</v>
      </c>
      <c r="CN514" t="s">
        <v>134</v>
      </c>
      <c r="CO514" t="s">
        <v>134</v>
      </c>
      <c r="CP514" t="s">
        <v>134</v>
      </c>
      <c r="CQ514" t="s">
        <v>134</v>
      </c>
      <c r="CR514" t="s">
        <v>134</v>
      </c>
      <c r="CS514" t="s">
        <v>134</v>
      </c>
      <c r="CT514" t="s">
        <v>134</v>
      </c>
      <c r="CU514" t="s">
        <v>134</v>
      </c>
      <c r="CV514" t="s">
        <v>134</v>
      </c>
      <c r="CW514" t="s">
        <v>134</v>
      </c>
      <c r="CX514" t="s">
        <v>134</v>
      </c>
      <c r="CY514" t="s">
        <v>134</v>
      </c>
      <c r="CZ514" t="s">
        <v>134</v>
      </c>
      <c r="DA514" t="s">
        <v>134</v>
      </c>
      <c r="DB514" t="s">
        <v>134</v>
      </c>
      <c r="DC514" t="s">
        <v>134</v>
      </c>
      <c r="DD514" t="s">
        <v>134</v>
      </c>
      <c r="DE514" t="s">
        <v>134</v>
      </c>
      <c r="DF514" t="s">
        <v>134</v>
      </c>
      <c r="DG514" t="s">
        <v>134</v>
      </c>
      <c r="DH514" t="s">
        <v>134</v>
      </c>
      <c r="DI514" t="s">
        <v>134</v>
      </c>
    </row>
    <row r="515" spans="1:113" x14ac:dyDescent="0.3">
      <c r="E515" t="s">
        <v>5</v>
      </c>
      <c r="F515" t="s">
        <v>134</v>
      </c>
      <c r="G515" t="s">
        <v>134</v>
      </c>
      <c r="H515" t="s">
        <v>134</v>
      </c>
      <c r="I515" t="s">
        <v>134</v>
      </c>
      <c r="J515" t="s">
        <v>134</v>
      </c>
      <c r="K515" t="s">
        <v>134</v>
      </c>
      <c r="L515" t="s">
        <v>134</v>
      </c>
      <c r="M515" t="s">
        <v>134</v>
      </c>
      <c r="N515" t="s">
        <v>134</v>
      </c>
      <c r="O515" t="s">
        <v>134</v>
      </c>
      <c r="P515" t="s">
        <v>134</v>
      </c>
      <c r="Q515" t="s">
        <v>134</v>
      </c>
      <c r="R515" t="s">
        <v>134</v>
      </c>
      <c r="S515" t="s">
        <v>134</v>
      </c>
      <c r="T515" t="s">
        <v>134</v>
      </c>
      <c r="U515" t="s">
        <v>134</v>
      </c>
      <c r="V515" t="s">
        <v>134</v>
      </c>
      <c r="W515" t="s">
        <v>134</v>
      </c>
      <c r="X515" t="s">
        <v>134</v>
      </c>
      <c r="Y515" t="s">
        <v>134</v>
      </c>
      <c r="Z515" t="s">
        <v>134</v>
      </c>
      <c r="AA515" t="s">
        <v>134</v>
      </c>
      <c r="AB515" t="s">
        <v>134</v>
      </c>
      <c r="AC515" t="s">
        <v>134</v>
      </c>
      <c r="AD515" t="s">
        <v>134</v>
      </c>
      <c r="AE515" t="s">
        <v>134</v>
      </c>
      <c r="AF515" t="s">
        <v>134</v>
      </c>
      <c r="AG515" t="s">
        <v>134</v>
      </c>
      <c r="AH515" t="s">
        <v>134</v>
      </c>
      <c r="AI515" t="s">
        <v>134</v>
      </c>
      <c r="AJ515" t="s">
        <v>134</v>
      </c>
      <c r="AK515" t="s">
        <v>134</v>
      </c>
      <c r="AL515" t="s">
        <v>134</v>
      </c>
      <c r="AM515" t="s">
        <v>134</v>
      </c>
      <c r="AN515" t="s">
        <v>134</v>
      </c>
      <c r="AO515" t="s">
        <v>134</v>
      </c>
      <c r="AP515" t="s">
        <v>134</v>
      </c>
      <c r="AQ515" t="s">
        <v>134</v>
      </c>
      <c r="AR515" t="s">
        <v>134</v>
      </c>
      <c r="AS515" t="s">
        <v>134</v>
      </c>
      <c r="AT515" t="s">
        <v>134</v>
      </c>
      <c r="AU515" t="s">
        <v>134</v>
      </c>
      <c r="AV515" t="s">
        <v>134</v>
      </c>
      <c r="AW515" t="s">
        <v>134</v>
      </c>
      <c r="AX515" t="s">
        <v>134</v>
      </c>
      <c r="AY515" t="s">
        <v>134</v>
      </c>
      <c r="AZ515" t="s">
        <v>134</v>
      </c>
      <c r="BA515" t="s">
        <v>134</v>
      </c>
      <c r="BB515" t="s">
        <v>134</v>
      </c>
      <c r="BC515" t="s">
        <v>134</v>
      </c>
      <c r="BD515" t="s">
        <v>134</v>
      </c>
      <c r="BE515" t="s">
        <v>134</v>
      </c>
      <c r="BF515" t="s">
        <v>134</v>
      </c>
      <c r="BG515" t="s">
        <v>134</v>
      </c>
      <c r="BH515" t="s">
        <v>134</v>
      </c>
      <c r="BI515" t="s">
        <v>134</v>
      </c>
      <c r="BJ515" t="s">
        <v>134</v>
      </c>
      <c r="BK515" t="s">
        <v>134</v>
      </c>
      <c r="BL515" t="s">
        <v>134</v>
      </c>
      <c r="BM515" t="s">
        <v>134</v>
      </c>
      <c r="BN515" t="s">
        <v>134</v>
      </c>
      <c r="BO515" t="s">
        <v>134</v>
      </c>
      <c r="BP515" t="s">
        <v>134</v>
      </c>
      <c r="BQ515" t="s">
        <v>134</v>
      </c>
      <c r="BR515" t="s">
        <v>134</v>
      </c>
      <c r="BS515" t="s">
        <v>134</v>
      </c>
      <c r="BT515" t="s">
        <v>134</v>
      </c>
      <c r="BU515" t="s">
        <v>134</v>
      </c>
      <c r="BV515" t="s">
        <v>134</v>
      </c>
      <c r="BW515" t="s">
        <v>134</v>
      </c>
      <c r="BX515" t="s">
        <v>134</v>
      </c>
      <c r="BY515" t="s">
        <v>134</v>
      </c>
      <c r="BZ515" t="s">
        <v>134</v>
      </c>
      <c r="CA515" t="s">
        <v>134</v>
      </c>
      <c r="CB515" t="s">
        <v>134</v>
      </c>
      <c r="CC515" t="s">
        <v>134</v>
      </c>
      <c r="CD515" t="s">
        <v>134</v>
      </c>
      <c r="CE515" t="s">
        <v>134</v>
      </c>
      <c r="CF515" t="s">
        <v>134</v>
      </c>
      <c r="CG515" t="s">
        <v>134</v>
      </c>
      <c r="CH515" t="s">
        <v>134</v>
      </c>
      <c r="CI515" t="s">
        <v>134</v>
      </c>
      <c r="CJ515" t="s">
        <v>134</v>
      </c>
      <c r="CK515" t="s">
        <v>134</v>
      </c>
      <c r="CL515" t="s">
        <v>134</v>
      </c>
      <c r="CM515" t="s">
        <v>134</v>
      </c>
      <c r="CN515" t="s">
        <v>134</v>
      </c>
      <c r="CO515" t="s">
        <v>134</v>
      </c>
      <c r="CP515" t="s">
        <v>134</v>
      </c>
      <c r="CQ515" t="s">
        <v>134</v>
      </c>
      <c r="CR515" t="s">
        <v>134</v>
      </c>
      <c r="CS515" t="s">
        <v>134</v>
      </c>
      <c r="CT515" t="s">
        <v>134</v>
      </c>
      <c r="CU515" t="s">
        <v>134</v>
      </c>
      <c r="CV515" t="s">
        <v>134</v>
      </c>
      <c r="CW515" t="s">
        <v>134</v>
      </c>
      <c r="CX515" t="s">
        <v>134</v>
      </c>
      <c r="CY515" t="s">
        <v>134</v>
      </c>
      <c r="CZ515" t="s">
        <v>134</v>
      </c>
      <c r="DA515" t="s">
        <v>134</v>
      </c>
      <c r="DB515" t="s">
        <v>134</v>
      </c>
      <c r="DC515" t="s">
        <v>134</v>
      </c>
      <c r="DD515" t="s">
        <v>134</v>
      </c>
      <c r="DE515" t="s">
        <v>134</v>
      </c>
      <c r="DF515" t="s">
        <v>134</v>
      </c>
      <c r="DG515" t="s">
        <v>134</v>
      </c>
      <c r="DH515" t="s">
        <v>134</v>
      </c>
      <c r="DI515" t="s">
        <v>134</v>
      </c>
    </row>
    <row r="516" spans="1:113" x14ac:dyDescent="0.3">
      <c r="E516" t="s">
        <v>6</v>
      </c>
      <c r="F516" t="s">
        <v>134</v>
      </c>
      <c r="G516" t="s">
        <v>134</v>
      </c>
      <c r="H516" t="s">
        <v>134</v>
      </c>
      <c r="I516" t="s">
        <v>134</v>
      </c>
      <c r="J516" t="s">
        <v>134</v>
      </c>
      <c r="K516" t="s">
        <v>134</v>
      </c>
      <c r="L516" t="s">
        <v>134</v>
      </c>
      <c r="M516" t="s">
        <v>134</v>
      </c>
      <c r="N516" t="s">
        <v>134</v>
      </c>
      <c r="O516" t="s">
        <v>134</v>
      </c>
      <c r="P516" t="s">
        <v>134</v>
      </c>
      <c r="Q516" t="s">
        <v>134</v>
      </c>
      <c r="R516" t="s">
        <v>134</v>
      </c>
      <c r="S516" t="s">
        <v>134</v>
      </c>
      <c r="T516" t="s">
        <v>134</v>
      </c>
      <c r="U516" t="s">
        <v>134</v>
      </c>
      <c r="V516" t="s">
        <v>134</v>
      </c>
      <c r="W516" t="s">
        <v>134</v>
      </c>
      <c r="X516" t="s">
        <v>134</v>
      </c>
      <c r="Y516" t="s">
        <v>134</v>
      </c>
      <c r="Z516" t="s">
        <v>134</v>
      </c>
      <c r="AA516" t="s">
        <v>134</v>
      </c>
      <c r="AB516" t="s">
        <v>134</v>
      </c>
      <c r="AC516" t="s">
        <v>134</v>
      </c>
      <c r="AD516" t="s">
        <v>134</v>
      </c>
      <c r="AE516" t="s">
        <v>134</v>
      </c>
      <c r="AF516" t="s">
        <v>134</v>
      </c>
      <c r="AG516" t="s">
        <v>134</v>
      </c>
      <c r="AH516" t="s">
        <v>134</v>
      </c>
      <c r="AI516" t="s">
        <v>134</v>
      </c>
      <c r="AJ516" t="s">
        <v>134</v>
      </c>
      <c r="AK516" t="s">
        <v>134</v>
      </c>
      <c r="AL516" t="s">
        <v>134</v>
      </c>
      <c r="AM516" t="s">
        <v>134</v>
      </c>
      <c r="AN516" t="s">
        <v>134</v>
      </c>
      <c r="AO516" t="s">
        <v>134</v>
      </c>
      <c r="AP516" t="s">
        <v>134</v>
      </c>
      <c r="AQ516" t="s">
        <v>134</v>
      </c>
      <c r="AR516" t="s">
        <v>134</v>
      </c>
      <c r="AS516" t="s">
        <v>134</v>
      </c>
      <c r="AT516" t="s">
        <v>134</v>
      </c>
      <c r="AU516" t="s">
        <v>134</v>
      </c>
      <c r="AV516" t="s">
        <v>134</v>
      </c>
      <c r="AW516" t="s">
        <v>134</v>
      </c>
      <c r="AX516" t="s">
        <v>134</v>
      </c>
      <c r="AY516" t="s">
        <v>134</v>
      </c>
      <c r="AZ516" t="s">
        <v>134</v>
      </c>
      <c r="BA516" t="s">
        <v>134</v>
      </c>
      <c r="BB516" t="s">
        <v>134</v>
      </c>
      <c r="BC516" t="s">
        <v>134</v>
      </c>
      <c r="BD516" t="s">
        <v>134</v>
      </c>
      <c r="BE516" t="s">
        <v>134</v>
      </c>
      <c r="BF516" t="s">
        <v>134</v>
      </c>
      <c r="BG516" t="s">
        <v>134</v>
      </c>
      <c r="BH516" t="s">
        <v>134</v>
      </c>
      <c r="BI516" t="s">
        <v>134</v>
      </c>
      <c r="BJ516" t="s">
        <v>134</v>
      </c>
      <c r="BK516" t="s">
        <v>134</v>
      </c>
      <c r="BL516" t="s">
        <v>134</v>
      </c>
      <c r="BM516" t="s">
        <v>134</v>
      </c>
      <c r="BN516" t="s">
        <v>134</v>
      </c>
      <c r="BO516" t="s">
        <v>134</v>
      </c>
      <c r="BP516" t="s">
        <v>134</v>
      </c>
      <c r="BQ516" t="s">
        <v>134</v>
      </c>
      <c r="BR516" t="s">
        <v>134</v>
      </c>
      <c r="BS516" t="s">
        <v>134</v>
      </c>
      <c r="BT516" t="s">
        <v>134</v>
      </c>
      <c r="BU516" t="s">
        <v>134</v>
      </c>
      <c r="BV516" t="s">
        <v>134</v>
      </c>
      <c r="BW516" t="s">
        <v>134</v>
      </c>
      <c r="BX516" t="s">
        <v>134</v>
      </c>
      <c r="BY516" t="s">
        <v>134</v>
      </c>
      <c r="BZ516" t="s">
        <v>134</v>
      </c>
      <c r="CA516" t="s">
        <v>134</v>
      </c>
      <c r="CB516" t="s">
        <v>134</v>
      </c>
      <c r="CC516" t="s">
        <v>134</v>
      </c>
      <c r="CD516" t="s">
        <v>134</v>
      </c>
      <c r="CE516" t="s">
        <v>134</v>
      </c>
      <c r="CF516" t="s">
        <v>134</v>
      </c>
      <c r="CG516" t="s">
        <v>134</v>
      </c>
      <c r="CH516" t="s">
        <v>134</v>
      </c>
      <c r="CI516" t="s">
        <v>134</v>
      </c>
      <c r="CJ516" t="s">
        <v>134</v>
      </c>
      <c r="CK516" t="s">
        <v>134</v>
      </c>
      <c r="CL516" t="s">
        <v>134</v>
      </c>
      <c r="CM516" t="s">
        <v>134</v>
      </c>
      <c r="CN516" t="s">
        <v>134</v>
      </c>
      <c r="CO516" t="s">
        <v>134</v>
      </c>
      <c r="CP516" t="s">
        <v>134</v>
      </c>
      <c r="CQ516" t="s">
        <v>134</v>
      </c>
      <c r="CR516" t="s">
        <v>134</v>
      </c>
      <c r="CS516" t="s">
        <v>134</v>
      </c>
      <c r="CT516" t="s">
        <v>134</v>
      </c>
      <c r="CU516" t="s">
        <v>134</v>
      </c>
      <c r="CV516" t="s">
        <v>134</v>
      </c>
      <c r="CW516" t="s">
        <v>134</v>
      </c>
      <c r="CX516" t="s">
        <v>134</v>
      </c>
      <c r="CY516" t="s">
        <v>134</v>
      </c>
      <c r="CZ516" t="s">
        <v>134</v>
      </c>
      <c r="DA516" t="s">
        <v>134</v>
      </c>
      <c r="DB516" t="s">
        <v>134</v>
      </c>
      <c r="DC516" t="s">
        <v>134</v>
      </c>
      <c r="DD516" t="s">
        <v>134</v>
      </c>
      <c r="DE516" t="s">
        <v>134</v>
      </c>
      <c r="DF516" t="s">
        <v>134</v>
      </c>
      <c r="DG516" t="s">
        <v>134</v>
      </c>
      <c r="DH516" t="s">
        <v>134</v>
      </c>
      <c r="DI516" t="s">
        <v>134</v>
      </c>
    </row>
    <row r="517" spans="1:113" x14ac:dyDescent="0.3">
      <c r="E517" t="s">
        <v>7</v>
      </c>
      <c r="F517" t="s">
        <v>134</v>
      </c>
      <c r="G517" t="s">
        <v>134</v>
      </c>
      <c r="H517" t="s">
        <v>134</v>
      </c>
      <c r="I517" t="s">
        <v>134</v>
      </c>
      <c r="J517" t="s">
        <v>134</v>
      </c>
      <c r="K517" t="s">
        <v>134</v>
      </c>
      <c r="L517" t="s">
        <v>134</v>
      </c>
      <c r="M517" t="s">
        <v>134</v>
      </c>
      <c r="N517" t="s">
        <v>134</v>
      </c>
      <c r="O517" t="s">
        <v>134</v>
      </c>
      <c r="P517" t="s">
        <v>134</v>
      </c>
      <c r="Q517" t="s">
        <v>134</v>
      </c>
      <c r="R517" t="s">
        <v>134</v>
      </c>
      <c r="S517" t="s">
        <v>134</v>
      </c>
      <c r="T517" t="s">
        <v>134</v>
      </c>
      <c r="U517" t="s">
        <v>134</v>
      </c>
      <c r="V517" t="s">
        <v>134</v>
      </c>
      <c r="W517" t="s">
        <v>134</v>
      </c>
      <c r="X517" t="s">
        <v>134</v>
      </c>
      <c r="Y517" t="s">
        <v>134</v>
      </c>
      <c r="Z517" t="s">
        <v>134</v>
      </c>
      <c r="AA517" t="s">
        <v>134</v>
      </c>
      <c r="AB517" t="s">
        <v>134</v>
      </c>
      <c r="AC517" t="s">
        <v>134</v>
      </c>
      <c r="AD517" t="s">
        <v>134</v>
      </c>
      <c r="AE517" t="s">
        <v>134</v>
      </c>
      <c r="AF517" t="s">
        <v>134</v>
      </c>
      <c r="AG517" t="s">
        <v>134</v>
      </c>
      <c r="AH517" t="s">
        <v>134</v>
      </c>
      <c r="AI517" t="s">
        <v>134</v>
      </c>
      <c r="AJ517" t="s">
        <v>134</v>
      </c>
      <c r="AK517" t="s">
        <v>134</v>
      </c>
      <c r="AL517" t="s">
        <v>134</v>
      </c>
      <c r="AM517" t="s">
        <v>134</v>
      </c>
      <c r="AN517" t="s">
        <v>134</v>
      </c>
      <c r="AO517" t="s">
        <v>134</v>
      </c>
      <c r="AP517" t="s">
        <v>134</v>
      </c>
      <c r="AQ517" t="s">
        <v>134</v>
      </c>
      <c r="AR517" t="s">
        <v>134</v>
      </c>
      <c r="AS517" t="s">
        <v>134</v>
      </c>
      <c r="AT517" t="s">
        <v>134</v>
      </c>
      <c r="AU517" t="s">
        <v>134</v>
      </c>
      <c r="AV517" t="s">
        <v>134</v>
      </c>
      <c r="AW517" t="s">
        <v>134</v>
      </c>
      <c r="AX517" t="s">
        <v>134</v>
      </c>
      <c r="AY517" t="s">
        <v>134</v>
      </c>
      <c r="AZ517" t="s">
        <v>134</v>
      </c>
      <c r="BA517" t="s">
        <v>134</v>
      </c>
      <c r="BB517" t="s">
        <v>134</v>
      </c>
      <c r="BC517" t="s">
        <v>134</v>
      </c>
      <c r="BD517" t="s">
        <v>134</v>
      </c>
      <c r="BE517" t="s">
        <v>134</v>
      </c>
      <c r="BF517" t="s">
        <v>134</v>
      </c>
      <c r="BG517" t="s">
        <v>134</v>
      </c>
      <c r="BH517" t="s">
        <v>134</v>
      </c>
      <c r="BI517" t="s">
        <v>134</v>
      </c>
      <c r="BJ517" t="s">
        <v>134</v>
      </c>
      <c r="BK517" t="s">
        <v>134</v>
      </c>
      <c r="BL517" t="s">
        <v>134</v>
      </c>
      <c r="BM517" t="s">
        <v>134</v>
      </c>
      <c r="BN517" t="s">
        <v>134</v>
      </c>
      <c r="BO517" t="s">
        <v>134</v>
      </c>
      <c r="BP517" t="s">
        <v>134</v>
      </c>
      <c r="BQ517" t="s">
        <v>134</v>
      </c>
      <c r="BR517" t="s">
        <v>134</v>
      </c>
      <c r="BS517" t="s">
        <v>134</v>
      </c>
      <c r="BT517" t="s">
        <v>134</v>
      </c>
      <c r="BU517" t="s">
        <v>134</v>
      </c>
      <c r="BV517" t="s">
        <v>134</v>
      </c>
      <c r="BW517" t="s">
        <v>134</v>
      </c>
      <c r="BX517" t="s">
        <v>134</v>
      </c>
      <c r="BY517" t="s">
        <v>134</v>
      </c>
      <c r="BZ517" t="s">
        <v>134</v>
      </c>
      <c r="CA517" t="s">
        <v>134</v>
      </c>
      <c r="CB517" t="s">
        <v>134</v>
      </c>
      <c r="CC517" t="s">
        <v>134</v>
      </c>
      <c r="CD517" t="s">
        <v>134</v>
      </c>
      <c r="CE517" t="s">
        <v>134</v>
      </c>
      <c r="CF517" t="s">
        <v>134</v>
      </c>
      <c r="CG517" t="s">
        <v>134</v>
      </c>
      <c r="CH517" t="s">
        <v>134</v>
      </c>
      <c r="CI517" t="s">
        <v>134</v>
      </c>
      <c r="CJ517" t="s">
        <v>134</v>
      </c>
      <c r="CK517" t="s">
        <v>134</v>
      </c>
      <c r="CL517" t="s">
        <v>134</v>
      </c>
      <c r="CM517" t="s">
        <v>134</v>
      </c>
      <c r="CN517" t="s">
        <v>134</v>
      </c>
      <c r="CO517" t="s">
        <v>134</v>
      </c>
      <c r="CP517" t="s">
        <v>134</v>
      </c>
      <c r="CQ517" t="s">
        <v>134</v>
      </c>
      <c r="CR517" t="s">
        <v>134</v>
      </c>
      <c r="CS517" t="s">
        <v>134</v>
      </c>
      <c r="CT517" t="s">
        <v>134</v>
      </c>
      <c r="CU517" t="s">
        <v>134</v>
      </c>
      <c r="CV517" t="s">
        <v>134</v>
      </c>
      <c r="CW517" t="s">
        <v>134</v>
      </c>
      <c r="CX517" t="s">
        <v>134</v>
      </c>
      <c r="CY517" t="s">
        <v>134</v>
      </c>
      <c r="CZ517" t="s">
        <v>134</v>
      </c>
      <c r="DA517" t="s">
        <v>134</v>
      </c>
      <c r="DB517" t="s">
        <v>134</v>
      </c>
      <c r="DC517" t="s">
        <v>134</v>
      </c>
      <c r="DD517" t="s">
        <v>134</v>
      </c>
      <c r="DE517" t="s">
        <v>134</v>
      </c>
      <c r="DF517" t="s">
        <v>134</v>
      </c>
      <c r="DG517" t="s">
        <v>134</v>
      </c>
      <c r="DH517" t="s">
        <v>134</v>
      </c>
      <c r="DI517" t="s">
        <v>134</v>
      </c>
    </row>
    <row r="518" spans="1:113" x14ac:dyDescent="0.3">
      <c r="D518" t="s">
        <v>10</v>
      </c>
      <c r="E518" t="s">
        <v>3</v>
      </c>
      <c r="F518">
        <v>5.8377999999999997</v>
      </c>
      <c r="G518">
        <v>3.4925999999999999</v>
      </c>
      <c r="H518">
        <v>4.7987000000000002</v>
      </c>
      <c r="I518">
        <v>3.2103000000000002</v>
      </c>
      <c r="J518">
        <v>33.799300000000002</v>
      </c>
      <c r="K518">
        <v>21.014099999999999</v>
      </c>
      <c r="L518">
        <v>-719.74969999999996</v>
      </c>
      <c r="M518">
        <v>24.826599999999999</v>
      </c>
      <c r="N518">
        <v>17.292999999999999</v>
      </c>
      <c r="O518">
        <v>17.292999999999999</v>
      </c>
      <c r="P518">
        <v>17.292999999999999</v>
      </c>
      <c r="Q518">
        <v>30.344799999999999</v>
      </c>
      <c r="R518">
        <v>77.8142</v>
      </c>
      <c r="S518">
        <v>1.2951999999999999</v>
      </c>
      <c r="T518">
        <v>-0.85799999999999998</v>
      </c>
      <c r="U518">
        <v>-12.9733</v>
      </c>
      <c r="V518">
        <v>-22.8643</v>
      </c>
      <c r="W518">
        <v>-23.226099999999999</v>
      </c>
      <c r="X518">
        <v>2.3506</v>
      </c>
      <c r="Y518">
        <v>18.75</v>
      </c>
      <c r="Z518">
        <v>-23.8371</v>
      </c>
      <c r="AA518">
        <v>9.4740000000000002</v>
      </c>
      <c r="AB518">
        <v>18.7806</v>
      </c>
      <c r="AC518">
        <v>27.473199999999999</v>
      </c>
      <c r="AD518">
        <v>-15.376899999999999</v>
      </c>
      <c r="AE518">
        <v>-70.958500000000001</v>
      </c>
      <c r="AF518">
        <v>10.1007</v>
      </c>
      <c r="AG518">
        <v>789.43809999999996</v>
      </c>
      <c r="AH518">
        <v>45.900799999999997</v>
      </c>
      <c r="AI518">
        <v>17.243500000000001</v>
      </c>
      <c r="AJ518">
        <v>25.226199999999999</v>
      </c>
      <c r="AK518">
        <v>17.243400000000001</v>
      </c>
      <c r="AL518">
        <v>8.2416999999999998</v>
      </c>
      <c r="AM518">
        <v>-1.3131999999999999</v>
      </c>
      <c r="AN518">
        <v>-7.3841999999999999</v>
      </c>
      <c r="AO518">
        <v>-12.0846</v>
      </c>
      <c r="AP518">
        <v>-14.264200000000001</v>
      </c>
      <c r="AQ518">
        <v>-14.2628</v>
      </c>
      <c r="AR518">
        <v>0</v>
      </c>
      <c r="AS518">
        <v>-0.78129999999999999</v>
      </c>
      <c r="AT518">
        <v>15.5053</v>
      </c>
      <c r="AU518">
        <v>17.149899999999999</v>
      </c>
      <c r="AV518">
        <v>17.252800000000001</v>
      </c>
      <c r="AW518">
        <v>-0.86580000000000001</v>
      </c>
      <c r="AX518">
        <v>-23.102</v>
      </c>
      <c r="AY518" t="s">
        <v>134</v>
      </c>
      <c r="AZ518">
        <v>248.88560000000001</v>
      </c>
      <c r="BA518">
        <v>325.83049999999997</v>
      </c>
      <c r="BB518">
        <v>10.7217</v>
      </c>
      <c r="BC518">
        <v>19.747</v>
      </c>
      <c r="BD518">
        <v>-7.8182999999999998</v>
      </c>
      <c r="BE518">
        <v>2.3245</v>
      </c>
      <c r="BF518">
        <v>-0.85799999999999998</v>
      </c>
      <c r="BG518">
        <v>-12.9733</v>
      </c>
      <c r="BH518">
        <v>-22.8643</v>
      </c>
      <c r="BI518">
        <v>-23.226099999999999</v>
      </c>
      <c r="BJ518">
        <v>2.3506</v>
      </c>
      <c r="BK518">
        <v>18.75</v>
      </c>
      <c r="BL518">
        <v>-23.8371</v>
      </c>
      <c r="BM518">
        <v>9.4740000000000002</v>
      </c>
      <c r="BN518">
        <v>18.7806</v>
      </c>
      <c r="BO518">
        <v>27.473199999999999</v>
      </c>
      <c r="BP518">
        <v>-15.376899999999999</v>
      </c>
      <c r="BQ518">
        <v>-70.958500000000001</v>
      </c>
      <c r="BR518">
        <v>10.1007</v>
      </c>
      <c r="BS518">
        <v>789.43809999999996</v>
      </c>
      <c r="BT518">
        <v>45.900799999999997</v>
      </c>
      <c r="BU518">
        <v>17.243500000000001</v>
      </c>
      <c r="BV518">
        <v>25.226199999999999</v>
      </c>
      <c r="BW518">
        <v>17.243400000000001</v>
      </c>
      <c r="BX518">
        <v>8.2416999999999998</v>
      </c>
      <c r="BY518">
        <v>141838.29999999999</v>
      </c>
      <c r="BZ518">
        <v>52363</v>
      </c>
      <c r="CA518">
        <v>89475.3</v>
      </c>
      <c r="CB518">
        <v>4.5453999999999999</v>
      </c>
      <c r="CC518">
        <v>2.0409000000000002</v>
      </c>
      <c r="CD518">
        <v>7.3108000000000004</v>
      </c>
      <c r="CE518">
        <v>3.2826</v>
      </c>
      <c r="CF518">
        <v>7.5103999999999997</v>
      </c>
      <c r="CG518">
        <v>57.616399999999999</v>
      </c>
      <c r="CH518">
        <v>30.310700000000001</v>
      </c>
      <c r="CI518">
        <v>20.473400000000002</v>
      </c>
      <c r="CJ518">
        <v>17.463899999999999</v>
      </c>
      <c r="CK518">
        <v>48.049199999999999</v>
      </c>
      <c r="CL518">
        <v>32.454900000000002</v>
      </c>
      <c r="CM518">
        <v>27.6843</v>
      </c>
      <c r="CN518">
        <v>21.574100000000001</v>
      </c>
      <c r="CO518">
        <v>17.7456</v>
      </c>
      <c r="CP518">
        <v>31204.9</v>
      </c>
      <c r="CQ518">
        <v>2680.4</v>
      </c>
      <c r="CR518">
        <v>19401.099999999999</v>
      </c>
      <c r="CS518">
        <v>0.91510000000000002</v>
      </c>
      <c r="CT518">
        <v>1.3926000000000001</v>
      </c>
      <c r="CU518">
        <v>1.0335000000000001</v>
      </c>
      <c r="CV518">
        <v>1.1233</v>
      </c>
      <c r="CW518">
        <v>7.8934999999999995</v>
      </c>
      <c r="CX518">
        <v>46.240699999999997</v>
      </c>
      <c r="CY518" t="s">
        <v>134</v>
      </c>
      <c r="CZ518" t="s">
        <v>134</v>
      </c>
      <c r="DA518" t="s">
        <v>134</v>
      </c>
      <c r="DB518" t="s">
        <v>134</v>
      </c>
      <c r="DC518" t="s">
        <v>134</v>
      </c>
      <c r="DD518" t="s">
        <v>134</v>
      </c>
      <c r="DE518">
        <v>10964.7</v>
      </c>
      <c r="DF518">
        <v>0</v>
      </c>
      <c r="DG518">
        <v>0</v>
      </c>
      <c r="DH518">
        <v>3555.6</v>
      </c>
      <c r="DI518">
        <v>7409.1</v>
      </c>
    </row>
    <row r="519" spans="1:113" x14ac:dyDescent="0.3">
      <c r="E519" t="s">
        <v>4</v>
      </c>
      <c r="F519" t="s">
        <v>134</v>
      </c>
      <c r="G519" t="s">
        <v>134</v>
      </c>
      <c r="H519" t="s">
        <v>134</v>
      </c>
      <c r="I519" t="s">
        <v>134</v>
      </c>
      <c r="J519" t="s">
        <v>134</v>
      </c>
      <c r="K519" t="s">
        <v>134</v>
      </c>
      <c r="L519" t="s">
        <v>134</v>
      </c>
      <c r="M519" t="s">
        <v>134</v>
      </c>
      <c r="N519" t="s">
        <v>134</v>
      </c>
      <c r="O519" t="s">
        <v>134</v>
      </c>
      <c r="P519" t="s">
        <v>134</v>
      </c>
      <c r="Q519" t="s">
        <v>134</v>
      </c>
      <c r="R519" t="s">
        <v>134</v>
      </c>
      <c r="S519" t="s">
        <v>134</v>
      </c>
      <c r="T519" t="s">
        <v>134</v>
      </c>
      <c r="U519" t="s">
        <v>134</v>
      </c>
      <c r="V519" t="s">
        <v>134</v>
      </c>
      <c r="W519" t="s">
        <v>134</v>
      </c>
      <c r="X519" t="s">
        <v>134</v>
      </c>
      <c r="Y519" t="s">
        <v>134</v>
      </c>
      <c r="Z519" t="s">
        <v>134</v>
      </c>
      <c r="AA519" t="s">
        <v>134</v>
      </c>
      <c r="AB519" t="s">
        <v>134</v>
      </c>
      <c r="AC519" t="s">
        <v>134</v>
      </c>
      <c r="AD519" t="s">
        <v>134</v>
      </c>
      <c r="AE519" t="s">
        <v>134</v>
      </c>
      <c r="AF519" t="s">
        <v>134</v>
      </c>
      <c r="AG519" t="s">
        <v>134</v>
      </c>
      <c r="AH519" t="s">
        <v>134</v>
      </c>
      <c r="AI519" t="s">
        <v>134</v>
      </c>
      <c r="AJ519" t="s">
        <v>134</v>
      </c>
      <c r="AK519" t="s">
        <v>134</v>
      </c>
      <c r="AL519" t="s">
        <v>134</v>
      </c>
      <c r="AM519" t="s">
        <v>134</v>
      </c>
      <c r="AN519" t="s">
        <v>134</v>
      </c>
      <c r="AO519" t="s">
        <v>134</v>
      </c>
      <c r="AP519" t="s">
        <v>134</v>
      </c>
      <c r="AQ519" t="s">
        <v>134</v>
      </c>
      <c r="AR519" t="s">
        <v>134</v>
      </c>
      <c r="AS519" t="s">
        <v>134</v>
      </c>
      <c r="AT519" t="s">
        <v>134</v>
      </c>
      <c r="AU519" t="s">
        <v>134</v>
      </c>
      <c r="AV519" t="s">
        <v>134</v>
      </c>
      <c r="AW519" t="s">
        <v>134</v>
      </c>
      <c r="AX519" t="s">
        <v>134</v>
      </c>
      <c r="AY519" t="s">
        <v>134</v>
      </c>
      <c r="AZ519" t="s">
        <v>134</v>
      </c>
      <c r="BA519" t="s">
        <v>134</v>
      </c>
      <c r="BB519" t="s">
        <v>134</v>
      </c>
      <c r="BC519" t="s">
        <v>134</v>
      </c>
      <c r="BD519" t="s">
        <v>134</v>
      </c>
      <c r="BE519" t="s">
        <v>134</v>
      </c>
      <c r="BF519" t="s">
        <v>134</v>
      </c>
      <c r="BG519" t="s">
        <v>134</v>
      </c>
      <c r="BH519" t="s">
        <v>134</v>
      </c>
      <c r="BI519" t="s">
        <v>134</v>
      </c>
      <c r="BJ519" t="s">
        <v>134</v>
      </c>
      <c r="BK519" t="s">
        <v>134</v>
      </c>
      <c r="BL519" t="s">
        <v>134</v>
      </c>
      <c r="BM519" t="s">
        <v>134</v>
      </c>
      <c r="BN519" t="s">
        <v>134</v>
      </c>
      <c r="BO519" t="s">
        <v>134</v>
      </c>
      <c r="BP519" t="s">
        <v>134</v>
      </c>
      <c r="BQ519" t="s">
        <v>134</v>
      </c>
      <c r="BR519" t="s">
        <v>134</v>
      </c>
      <c r="BS519" t="s">
        <v>134</v>
      </c>
      <c r="BT519" t="s">
        <v>134</v>
      </c>
      <c r="BU519" t="s">
        <v>134</v>
      </c>
      <c r="BV519" t="s">
        <v>134</v>
      </c>
      <c r="BW519" t="s">
        <v>134</v>
      </c>
      <c r="BX519" t="s">
        <v>134</v>
      </c>
      <c r="BY519" t="s">
        <v>134</v>
      </c>
      <c r="BZ519" t="s">
        <v>134</v>
      </c>
      <c r="CA519" t="s">
        <v>134</v>
      </c>
      <c r="CB519" t="s">
        <v>134</v>
      </c>
      <c r="CC519" t="s">
        <v>134</v>
      </c>
      <c r="CD519" t="s">
        <v>134</v>
      </c>
      <c r="CE519" t="s">
        <v>134</v>
      </c>
      <c r="CF519" t="s">
        <v>134</v>
      </c>
      <c r="CG519" t="s">
        <v>134</v>
      </c>
      <c r="CH519" t="s">
        <v>134</v>
      </c>
      <c r="CI519" t="s">
        <v>134</v>
      </c>
      <c r="CJ519" t="s">
        <v>134</v>
      </c>
      <c r="CK519" t="s">
        <v>134</v>
      </c>
      <c r="CL519" t="s">
        <v>134</v>
      </c>
      <c r="CM519" t="s">
        <v>134</v>
      </c>
      <c r="CN519" t="s">
        <v>134</v>
      </c>
      <c r="CO519" t="s">
        <v>134</v>
      </c>
      <c r="CP519" t="s">
        <v>134</v>
      </c>
      <c r="CQ519" t="s">
        <v>134</v>
      </c>
      <c r="CR519" t="s">
        <v>134</v>
      </c>
      <c r="CS519" t="s">
        <v>134</v>
      </c>
      <c r="CT519" t="s">
        <v>134</v>
      </c>
      <c r="CU519" t="s">
        <v>134</v>
      </c>
      <c r="CV519" t="s">
        <v>134</v>
      </c>
      <c r="CW519" t="s">
        <v>134</v>
      </c>
      <c r="CX519" t="s">
        <v>134</v>
      </c>
      <c r="CY519" t="s">
        <v>134</v>
      </c>
      <c r="CZ519" t="s">
        <v>134</v>
      </c>
      <c r="DA519" t="s">
        <v>134</v>
      </c>
      <c r="DB519" t="s">
        <v>134</v>
      </c>
      <c r="DC519" t="s">
        <v>134</v>
      </c>
      <c r="DD519" t="s">
        <v>134</v>
      </c>
      <c r="DE519" t="s">
        <v>134</v>
      </c>
      <c r="DF519" t="s">
        <v>134</v>
      </c>
      <c r="DG519" t="s">
        <v>134</v>
      </c>
      <c r="DH519" t="s">
        <v>134</v>
      </c>
      <c r="DI519" t="s">
        <v>134</v>
      </c>
    </row>
    <row r="520" spans="1:113" x14ac:dyDescent="0.3">
      <c r="E520" t="s">
        <v>5</v>
      </c>
      <c r="F520" t="s">
        <v>134</v>
      </c>
      <c r="G520" t="s">
        <v>134</v>
      </c>
      <c r="H520" t="s">
        <v>134</v>
      </c>
      <c r="I520" t="s">
        <v>134</v>
      </c>
      <c r="J520" t="s">
        <v>134</v>
      </c>
      <c r="K520" t="s">
        <v>134</v>
      </c>
      <c r="L520" t="s">
        <v>134</v>
      </c>
      <c r="M520" t="s">
        <v>134</v>
      </c>
      <c r="N520" t="s">
        <v>134</v>
      </c>
      <c r="O520" t="s">
        <v>134</v>
      </c>
      <c r="P520" t="s">
        <v>134</v>
      </c>
      <c r="Q520" t="s">
        <v>134</v>
      </c>
      <c r="R520" t="s">
        <v>134</v>
      </c>
      <c r="S520" t="s">
        <v>134</v>
      </c>
      <c r="T520" t="s">
        <v>134</v>
      </c>
      <c r="U520" t="s">
        <v>134</v>
      </c>
      <c r="V520" t="s">
        <v>134</v>
      </c>
      <c r="W520" t="s">
        <v>134</v>
      </c>
      <c r="X520" t="s">
        <v>134</v>
      </c>
      <c r="Y520" t="s">
        <v>134</v>
      </c>
      <c r="Z520" t="s">
        <v>134</v>
      </c>
      <c r="AA520" t="s">
        <v>134</v>
      </c>
      <c r="AB520" t="s">
        <v>134</v>
      </c>
      <c r="AC520" t="s">
        <v>134</v>
      </c>
      <c r="AD520" t="s">
        <v>134</v>
      </c>
      <c r="AE520" t="s">
        <v>134</v>
      </c>
      <c r="AF520" t="s">
        <v>134</v>
      </c>
      <c r="AG520" t="s">
        <v>134</v>
      </c>
      <c r="AH520" t="s">
        <v>134</v>
      </c>
      <c r="AI520" t="s">
        <v>134</v>
      </c>
      <c r="AJ520" t="s">
        <v>134</v>
      </c>
      <c r="AK520" t="s">
        <v>134</v>
      </c>
      <c r="AL520" t="s">
        <v>134</v>
      </c>
      <c r="AM520" t="s">
        <v>134</v>
      </c>
      <c r="AN520" t="s">
        <v>134</v>
      </c>
      <c r="AO520" t="s">
        <v>134</v>
      </c>
      <c r="AP520" t="s">
        <v>134</v>
      </c>
      <c r="AQ520" t="s">
        <v>134</v>
      </c>
      <c r="AR520" t="s">
        <v>134</v>
      </c>
      <c r="AS520" t="s">
        <v>134</v>
      </c>
      <c r="AT520" t="s">
        <v>134</v>
      </c>
      <c r="AU520" t="s">
        <v>134</v>
      </c>
      <c r="AV520" t="s">
        <v>134</v>
      </c>
      <c r="AW520" t="s">
        <v>134</v>
      </c>
      <c r="AX520" t="s">
        <v>134</v>
      </c>
      <c r="AY520" t="s">
        <v>134</v>
      </c>
      <c r="AZ520" t="s">
        <v>134</v>
      </c>
      <c r="BA520" t="s">
        <v>134</v>
      </c>
      <c r="BB520" t="s">
        <v>134</v>
      </c>
      <c r="BC520" t="s">
        <v>134</v>
      </c>
      <c r="BD520" t="s">
        <v>134</v>
      </c>
      <c r="BE520" t="s">
        <v>134</v>
      </c>
      <c r="BF520" t="s">
        <v>134</v>
      </c>
      <c r="BG520" t="s">
        <v>134</v>
      </c>
      <c r="BH520" t="s">
        <v>134</v>
      </c>
      <c r="BI520" t="s">
        <v>134</v>
      </c>
      <c r="BJ520" t="s">
        <v>134</v>
      </c>
      <c r="BK520" t="s">
        <v>134</v>
      </c>
      <c r="BL520" t="s">
        <v>134</v>
      </c>
      <c r="BM520" t="s">
        <v>134</v>
      </c>
      <c r="BN520" t="s">
        <v>134</v>
      </c>
      <c r="BO520" t="s">
        <v>134</v>
      </c>
      <c r="BP520" t="s">
        <v>134</v>
      </c>
      <c r="BQ520" t="s">
        <v>134</v>
      </c>
      <c r="BR520" t="s">
        <v>134</v>
      </c>
      <c r="BS520" t="s">
        <v>134</v>
      </c>
      <c r="BT520" t="s">
        <v>134</v>
      </c>
      <c r="BU520" t="s">
        <v>134</v>
      </c>
      <c r="BV520" t="s">
        <v>134</v>
      </c>
      <c r="BW520" t="s">
        <v>134</v>
      </c>
      <c r="BX520" t="s">
        <v>134</v>
      </c>
      <c r="BY520" t="s">
        <v>134</v>
      </c>
      <c r="BZ520" t="s">
        <v>134</v>
      </c>
      <c r="CA520" t="s">
        <v>134</v>
      </c>
      <c r="CB520" t="s">
        <v>134</v>
      </c>
      <c r="CC520" t="s">
        <v>134</v>
      </c>
      <c r="CD520" t="s">
        <v>134</v>
      </c>
      <c r="CE520" t="s">
        <v>134</v>
      </c>
      <c r="CF520" t="s">
        <v>134</v>
      </c>
      <c r="CG520" t="s">
        <v>134</v>
      </c>
      <c r="CH520" t="s">
        <v>134</v>
      </c>
      <c r="CI520" t="s">
        <v>134</v>
      </c>
      <c r="CJ520" t="s">
        <v>134</v>
      </c>
      <c r="CK520" t="s">
        <v>134</v>
      </c>
      <c r="CL520" t="s">
        <v>134</v>
      </c>
      <c r="CM520" t="s">
        <v>134</v>
      </c>
      <c r="CN520" t="s">
        <v>134</v>
      </c>
      <c r="CO520" t="s">
        <v>134</v>
      </c>
      <c r="CP520" t="s">
        <v>134</v>
      </c>
      <c r="CQ520" t="s">
        <v>134</v>
      </c>
      <c r="CR520" t="s">
        <v>134</v>
      </c>
      <c r="CS520" t="s">
        <v>134</v>
      </c>
      <c r="CT520" t="s">
        <v>134</v>
      </c>
      <c r="CU520" t="s">
        <v>134</v>
      </c>
      <c r="CV520" t="s">
        <v>134</v>
      </c>
      <c r="CW520" t="s">
        <v>134</v>
      </c>
      <c r="CX520" t="s">
        <v>134</v>
      </c>
      <c r="CY520" t="s">
        <v>134</v>
      </c>
      <c r="CZ520" t="s">
        <v>134</v>
      </c>
      <c r="DA520" t="s">
        <v>134</v>
      </c>
      <c r="DB520" t="s">
        <v>134</v>
      </c>
      <c r="DC520" t="s">
        <v>134</v>
      </c>
      <c r="DD520" t="s">
        <v>134</v>
      </c>
      <c r="DE520" t="s">
        <v>134</v>
      </c>
      <c r="DF520" t="s">
        <v>134</v>
      </c>
      <c r="DG520" t="s">
        <v>134</v>
      </c>
      <c r="DH520" t="s">
        <v>134</v>
      </c>
      <c r="DI520" t="s">
        <v>134</v>
      </c>
    </row>
    <row r="521" spans="1:113" x14ac:dyDescent="0.3">
      <c r="E521" t="s">
        <v>6</v>
      </c>
      <c r="F521" t="s">
        <v>134</v>
      </c>
      <c r="G521" t="s">
        <v>134</v>
      </c>
      <c r="H521" t="s">
        <v>134</v>
      </c>
      <c r="I521" t="s">
        <v>134</v>
      </c>
      <c r="J521" t="s">
        <v>134</v>
      </c>
      <c r="K521" t="s">
        <v>134</v>
      </c>
      <c r="L521" t="s">
        <v>134</v>
      </c>
      <c r="M521" t="s">
        <v>134</v>
      </c>
      <c r="N521" t="s">
        <v>134</v>
      </c>
      <c r="O521" t="s">
        <v>134</v>
      </c>
      <c r="P521" t="s">
        <v>134</v>
      </c>
      <c r="Q521" t="s">
        <v>134</v>
      </c>
      <c r="R521" t="s">
        <v>134</v>
      </c>
      <c r="S521" t="s">
        <v>134</v>
      </c>
      <c r="T521" t="s">
        <v>134</v>
      </c>
      <c r="U521" t="s">
        <v>134</v>
      </c>
      <c r="V521" t="s">
        <v>134</v>
      </c>
      <c r="W521" t="s">
        <v>134</v>
      </c>
      <c r="X521" t="s">
        <v>134</v>
      </c>
      <c r="Y521" t="s">
        <v>134</v>
      </c>
      <c r="Z521" t="s">
        <v>134</v>
      </c>
      <c r="AA521" t="s">
        <v>134</v>
      </c>
      <c r="AB521" t="s">
        <v>134</v>
      </c>
      <c r="AC521" t="s">
        <v>134</v>
      </c>
      <c r="AD521" t="s">
        <v>134</v>
      </c>
      <c r="AE521" t="s">
        <v>134</v>
      </c>
      <c r="AF521" t="s">
        <v>134</v>
      </c>
      <c r="AG521" t="s">
        <v>134</v>
      </c>
      <c r="AH521" t="s">
        <v>134</v>
      </c>
      <c r="AI521" t="s">
        <v>134</v>
      </c>
      <c r="AJ521" t="s">
        <v>134</v>
      </c>
      <c r="AK521" t="s">
        <v>134</v>
      </c>
      <c r="AL521" t="s">
        <v>134</v>
      </c>
      <c r="AM521" t="s">
        <v>134</v>
      </c>
      <c r="AN521" t="s">
        <v>134</v>
      </c>
      <c r="AO521" t="s">
        <v>134</v>
      </c>
      <c r="AP521" t="s">
        <v>134</v>
      </c>
      <c r="AQ521" t="s">
        <v>134</v>
      </c>
      <c r="AR521" t="s">
        <v>134</v>
      </c>
      <c r="AS521" t="s">
        <v>134</v>
      </c>
      <c r="AT521" t="s">
        <v>134</v>
      </c>
      <c r="AU521" t="s">
        <v>134</v>
      </c>
      <c r="AV521" t="s">
        <v>134</v>
      </c>
      <c r="AW521" t="s">
        <v>134</v>
      </c>
      <c r="AX521" t="s">
        <v>134</v>
      </c>
      <c r="AY521" t="s">
        <v>134</v>
      </c>
      <c r="AZ521" t="s">
        <v>134</v>
      </c>
      <c r="BA521" t="s">
        <v>134</v>
      </c>
      <c r="BB521" t="s">
        <v>134</v>
      </c>
      <c r="BC521" t="s">
        <v>134</v>
      </c>
      <c r="BD521" t="s">
        <v>134</v>
      </c>
      <c r="BE521" t="s">
        <v>134</v>
      </c>
      <c r="BF521" t="s">
        <v>134</v>
      </c>
      <c r="BG521" t="s">
        <v>134</v>
      </c>
      <c r="BH521" t="s">
        <v>134</v>
      </c>
      <c r="BI521" t="s">
        <v>134</v>
      </c>
      <c r="BJ521" t="s">
        <v>134</v>
      </c>
      <c r="BK521" t="s">
        <v>134</v>
      </c>
      <c r="BL521" t="s">
        <v>134</v>
      </c>
      <c r="BM521" t="s">
        <v>134</v>
      </c>
      <c r="BN521" t="s">
        <v>134</v>
      </c>
      <c r="BO521" t="s">
        <v>134</v>
      </c>
      <c r="BP521" t="s">
        <v>134</v>
      </c>
      <c r="BQ521" t="s">
        <v>134</v>
      </c>
      <c r="BR521" t="s">
        <v>134</v>
      </c>
      <c r="BS521" t="s">
        <v>134</v>
      </c>
      <c r="BT521" t="s">
        <v>134</v>
      </c>
      <c r="BU521" t="s">
        <v>134</v>
      </c>
      <c r="BV521" t="s">
        <v>134</v>
      </c>
      <c r="BW521" t="s">
        <v>134</v>
      </c>
      <c r="BX521" t="s">
        <v>134</v>
      </c>
      <c r="BY521" t="s">
        <v>134</v>
      </c>
      <c r="BZ521" t="s">
        <v>134</v>
      </c>
      <c r="CA521" t="s">
        <v>134</v>
      </c>
      <c r="CB521" t="s">
        <v>134</v>
      </c>
      <c r="CC521" t="s">
        <v>134</v>
      </c>
      <c r="CD521" t="s">
        <v>134</v>
      </c>
      <c r="CE521" t="s">
        <v>134</v>
      </c>
      <c r="CF521" t="s">
        <v>134</v>
      </c>
      <c r="CG521" t="s">
        <v>134</v>
      </c>
      <c r="CH521" t="s">
        <v>134</v>
      </c>
      <c r="CI521" t="s">
        <v>134</v>
      </c>
      <c r="CJ521" t="s">
        <v>134</v>
      </c>
      <c r="CK521" t="s">
        <v>134</v>
      </c>
      <c r="CL521" t="s">
        <v>134</v>
      </c>
      <c r="CM521" t="s">
        <v>134</v>
      </c>
      <c r="CN521" t="s">
        <v>134</v>
      </c>
      <c r="CO521" t="s">
        <v>134</v>
      </c>
      <c r="CP521" t="s">
        <v>134</v>
      </c>
      <c r="CQ521" t="s">
        <v>134</v>
      </c>
      <c r="CR521" t="s">
        <v>134</v>
      </c>
      <c r="CS521" t="s">
        <v>134</v>
      </c>
      <c r="CT521" t="s">
        <v>134</v>
      </c>
      <c r="CU521" t="s">
        <v>134</v>
      </c>
      <c r="CV521" t="s">
        <v>134</v>
      </c>
      <c r="CW521" t="s">
        <v>134</v>
      </c>
      <c r="CX521" t="s">
        <v>134</v>
      </c>
      <c r="CY521" t="s">
        <v>134</v>
      </c>
      <c r="CZ521" t="s">
        <v>134</v>
      </c>
      <c r="DA521" t="s">
        <v>134</v>
      </c>
      <c r="DB521" t="s">
        <v>134</v>
      </c>
      <c r="DC521" t="s">
        <v>134</v>
      </c>
      <c r="DD521" t="s">
        <v>134</v>
      </c>
      <c r="DE521" t="s">
        <v>134</v>
      </c>
      <c r="DF521" t="s">
        <v>134</v>
      </c>
      <c r="DG521" t="s">
        <v>134</v>
      </c>
      <c r="DH521" t="s">
        <v>134</v>
      </c>
      <c r="DI521" t="s">
        <v>134</v>
      </c>
    </row>
    <row r="522" spans="1:113" x14ac:dyDescent="0.3">
      <c r="E522" t="s">
        <v>7</v>
      </c>
      <c r="F522" t="s">
        <v>134</v>
      </c>
      <c r="G522" t="s">
        <v>134</v>
      </c>
      <c r="H522" t="s">
        <v>134</v>
      </c>
      <c r="I522" t="s">
        <v>134</v>
      </c>
      <c r="J522" t="s">
        <v>134</v>
      </c>
      <c r="K522" t="s">
        <v>134</v>
      </c>
      <c r="L522" t="s">
        <v>134</v>
      </c>
      <c r="M522" t="s">
        <v>134</v>
      </c>
      <c r="N522" t="s">
        <v>134</v>
      </c>
      <c r="O522" t="s">
        <v>134</v>
      </c>
      <c r="P522" t="s">
        <v>134</v>
      </c>
      <c r="Q522" t="s">
        <v>134</v>
      </c>
      <c r="R522" t="s">
        <v>134</v>
      </c>
      <c r="S522" t="s">
        <v>134</v>
      </c>
      <c r="T522" t="s">
        <v>134</v>
      </c>
      <c r="U522" t="s">
        <v>134</v>
      </c>
      <c r="V522" t="s">
        <v>134</v>
      </c>
      <c r="W522" t="s">
        <v>134</v>
      </c>
      <c r="X522" t="s">
        <v>134</v>
      </c>
      <c r="Y522" t="s">
        <v>134</v>
      </c>
      <c r="Z522" t="s">
        <v>134</v>
      </c>
      <c r="AA522" t="s">
        <v>134</v>
      </c>
      <c r="AB522" t="s">
        <v>134</v>
      </c>
      <c r="AC522" t="s">
        <v>134</v>
      </c>
      <c r="AD522" t="s">
        <v>134</v>
      </c>
      <c r="AE522" t="s">
        <v>134</v>
      </c>
      <c r="AF522" t="s">
        <v>134</v>
      </c>
      <c r="AG522" t="s">
        <v>134</v>
      </c>
      <c r="AH522" t="s">
        <v>134</v>
      </c>
      <c r="AI522" t="s">
        <v>134</v>
      </c>
      <c r="AJ522" t="s">
        <v>134</v>
      </c>
      <c r="AK522" t="s">
        <v>134</v>
      </c>
      <c r="AL522" t="s">
        <v>134</v>
      </c>
      <c r="AM522" t="s">
        <v>134</v>
      </c>
      <c r="AN522" t="s">
        <v>134</v>
      </c>
      <c r="AO522" t="s">
        <v>134</v>
      </c>
      <c r="AP522" t="s">
        <v>134</v>
      </c>
      <c r="AQ522" t="s">
        <v>134</v>
      </c>
      <c r="AR522" t="s">
        <v>134</v>
      </c>
      <c r="AS522" t="s">
        <v>134</v>
      </c>
      <c r="AT522" t="s">
        <v>134</v>
      </c>
      <c r="AU522" t="s">
        <v>134</v>
      </c>
      <c r="AV522" t="s">
        <v>134</v>
      </c>
      <c r="AW522" t="s">
        <v>134</v>
      </c>
      <c r="AX522" t="s">
        <v>134</v>
      </c>
      <c r="AY522" t="s">
        <v>134</v>
      </c>
      <c r="AZ522" t="s">
        <v>134</v>
      </c>
      <c r="BA522" t="s">
        <v>134</v>
      </c>
      <c r="BB522" t="s">
        <v>134</v>
      </c>
      <c r="BC522" t="s">
        <v>134</v>
      </c>
      <c r="BD522" t="s">
        <v>134</v>
      </c>
      <c r="BE522" t="s">
        <v>134</v>
      </c>
      <c r="BF522" t="s">
        <v>134</v>
      </c>
      <c r="BG522" t="s">
        <v>134</v>
      </c>
      <c r="BH522" t="s">
        <v>134</v>
      </c>
      <c r="BI522" t="s">
        <v>134</v>
      </c>
      <c r="BJ522" t="s">
        <v>134</v>
      </c>
      <c r="BK522" t="s">
        <v>134</v>
      </c>
      <c r="BL522" t="s">
        <v>134</v>
      </c>
      <c r="BM522" t="s">
        <v>134</v>
      </c>
      <c r="BN522" t="s">
        <v>134</v>
      </c>
      <c r="BO522" t="s">
        <v>134</v>
      </c>
      <c r="BP522" t="s">
        <v>134</v>
      </c>
      <c r="BQ522" t="s">
        <v>134</v>
      </c>
      <c r="BR522" t="s">
        <v>134</v>
      </c>
      <c r="BS522" t="s">
        <v>134</v>
      </c>
      <c r="BT522" t="s">
        <v>134</v>
      </c>
      <c r="BU522" t="s">
        <v>134</v>
      </c>
      <c r="BV522" t="s">
        <v>134</v>
      </c>
      <c r="BW522" t="s">
        <v>134</v>
      </c>
      <c r="BX522" t="s">
        <v>134</v>
      </c>
      <c r="BY522" t="s">
        <v>134</v>
      </c>
      <c r="BZ522" t="s">
        <v>134</v>
      </c>
      <c r="CA522" t="s">
        <v>134</v>
      </c>
      <c r="CB522" t="s">
        <v>134</v>
      </c>
      <c r="CC522" t="s">
        <v>134</v>
      </c>
      <c r="CD522" t="s">
        <v>134</v>
      </c>
      <c r="CE522" t="s">
        <v>134</v>
      </c>
      <c r="CF522" t="s">
        <v>134</v>
      </c>
      <c r="CG522" t="s">
        <v>134</v>
      </c>
      <c r="CH522" t="s">
        <v>134</v>
      </c>
      <c r="CI522" t="s">
        <v>134</v>
      </c>
      <c r="CJ522" t="s">
        <v>134</v>
      </c>
      <c r="CK522" t="s">
        <v>134</v>
      </c>
      <c r="CL522" t="s">
        <v>134</v>
      </c>
      <c r="CM522" t="s">
        <v>134</v>
      </c>
      <c r="CN522" t="s">
        <v>134</v>
      </c>
      <c r="CO522" t="s">
        <v>134</v>
      </c>
      <c r="CP522" t="s">
        <v>134</v>
      </c>
      <c r="CQ522" t="s">
        <v>134</v>
      </c>
      <c r="CR522" t="s">
        <v>134</v>
      </c>
      <c r="CS522" t="s">
        <v>134</v>
      </c>
      <c r="CT522" t="s">
        <v>134</v>
      </c>
      <c r="CU522" t="s">
        <v>134</v>
      </c>
      <c r="CV522" t="s">
        <v>134</v>
      </c>
      <c r="CW522" t="s">
        <v>134</v>
      </c>
      <c r="CX522" t="s">
        <v>134</v>
      </c>
      <c r="CY522" t="s">
        <v>134</v>
      </c>
      <c r="CZ522" t="s">
        <v>134</v>
      </c>
      <c r="DA522" t="s">
        <v>134</v>
      </c>
      <c r="DB522" t="s">
        <v>134</v>
      </c>
      <c r="DC522" t="s">
        <v>134</v>
      </c>
      <c r="DD522" t="s">
        <v>134</v>
      </c>
      <c r="DE522" t="s">
        <v>134</v>
      </c>
      <c r="DF522" t="s">
        <v>134</v>
      </c>
      <c r="DG522" t="s">
        <v>134</v>
      </c>
      <c r="DH522" t="s">
        <v>134</v>
      </c>
      <c r="DI522" t="s">
        <v>134</v>
      </c>
    </row>
    <row r="523" spans="1:113" x14ac:dyDescent="0.3">
      <c r="D523" t="s">
        <v>11</v>
      </c>
      <c r="E523" t="s">
        <v>3</v>
      </c>
      <c r="F523">
        <v>9.3412000000000006</v>
      </c>
      <c r="G523">
        <v>5.4763999999999999</v>
      </c>
      <c r="H523">
        <v>7.2904</v>
      </c>
      <c r="I523">
        <v>4.2026000000000003</v>
      </c>
      <c r="J523">
        <v>38.892800000000001</v>
      </c>
      <c r="K523">
        <v>26.148</v>
      </c>
      <c r="L523">
        <v>66.425299999999993</v>
      </c>
      <c r="M523">
        <v>37.073799999999999</v>
      </c>
      <c r="N523">
        <v>26.2712</v>
      </c>
      <c r="O523">
        <v>26.2712</v>
      </c>
      <c r="P523">
        <v>26.2712</v>
      </c>
      <c r="Q523">
        <v>29.138000000000002</v>
      </c>
      <c r="R523">
        <v>41.501300000000001</v>
      </c>
      <c r="S523">
        <v>5.4645000000000001</v>
      </c>
      <c r="T523">
        <v>12.7462</v>
      </c>
      <c r="U523">
        <v>29.736999999999998</v>
      </c>
      <c r="V523">
        <v>40.290500000000002</v>
      </c>
      <c r="W523">
        <v>71.281999999999996</v>
      </c>
      <c r="X523">
        <v>79.969899999999996</v>
      </c>
      <c r="Y523">
        <v>57.8947</v>
      </c>
      <c r="Z523">
        <v>39.789000000000001</v>
      </c>
      <c r="AA523">
        <v>-1.6608000000000001</v>
      </c>
      <c r="AB523">
        <v>6.9874999999999998</v>
      </c>
      <c r="AC523">
        <v>-5.0743999999999998</v>
      </c>
      <c r="AD523">
        <v>27.421299999999999</v>
      </c>
      <c r="AE523">
        <v>23.244</v>
      </c>
      <c r="AF523">
        <v>-5.4173999999999998</v>
      </c>
      <c r="AG523">
        <v>-68.690299999999993</v>
      </c>
      <c r="AH523">
        <v>-13.0749</v>
      </c>
      <c r="AI523">
        <v>-1.6577999999999999</v>
      </c>
      <c r="AJ523">
        <v>-5.3632</v>
      </c>
      <c r="AK523">
        <v>56.2697</v>
      </c>
      <c r="AL523">
        <v>1.9963</v>
      </c>
      <c r="AM523">
        <v>0.86970000000000003</v>
      </c>
      <c r="AN523">
        <v>-2.5608</v>
      </c>
      <c r="AO523">
        <v>-6.2629000000000001</v>
      </c>
      <c r="AP523">
        <v>-5.3085000000000004</v>
      </c>
      <c r="AQ523">
        <v>-4.3647999999999998</v>
      </c>
      <c r="AR523">
        <v>0</v>
      </c>
      <c r="AS523">
        <v>9.2415000000000003</v>
      </c>
      <c r="AT523">
        <v>10.8468</v>
      </c>
      <c r="AU523">
        <v>13.6227</v>
      </c>
      <c r="AV523">
        <v>14.2088</v>
      </c>
      <c r="AW523">
        <v>4.4832999999999998</v>
      </c>
      <c r="AX523">
        <v>-18.3416</v>
      </c>
      <c r="AY523" t="s">
        <v>134</v>
      </c>
      <c r="AZ523">
        <v>5.3907999999999996</v>
      </c>
      <c r="BA523">
        <v>57.7791</v>
      </c>
      <c r="BB523">
        <v>8.5647000000000002</v>
      </c>
      <c r="BC523">
        <v>15.0596</v>
      </c>
      <c r="BD523">
        <v>19.101099999999999</v>
      </c>
      <c r="BE523">
        <v>9.9596</v>
      </c>
      <c r="BF523">
        <v>12.7462</v>
      </c>
      <c r="BG523">
        <v>29.736999999999998</v>
      </c>
      <c r="BH523">
        <v>40.290500000000002</v>
      </c>
      <c r="BI523">
        <v>71.281999999999996</v>
      </c>
      <c r="BJ523">
        <v>79.969899999999996</v>
      </c>
      <c r="BK523">
        <v>57.8947</v>
      </c>
      <c r="BL523">
        <v>39.789000000000001</v>
      </c>
      <c r="BM523">
        <v>-1.6608000000000001</v>
      </c>
      <c r="BN523">
        <v>6.9874999999999998</v>
      </c>
      <c r="BO523">
        <v>-5.0743999999999998</v>
      </c>
      <c r="BP523">
        <v>27.421299999999999</v>
      </c>
      <c r="BQ523">
        <v>23.244</v>
      </c>
      <c r="BR523">
        <v>-5.4173999999999998</v>
      </c>
      <c r="BS523">
        <v>-68.690299999999993</v>
      </c>
      <c r="BT523">
        <v>-13.0749</v>
      </c>
      <c r="BU523">
        <v>-1.6577999999999999</v>
      </c>
      <c r="BV523">
        <v>-5.3632</v>
      </c>
      <c r="BW523">
        <v>56.2697</v>
      </c>
      <c r="BX523">
        <v>1.9963</v>
      </c>
      <c r="BY523">
        <v>123293.1</v>
      </c>
      <c r="BZ523">
        <v>16394.7</v>
      </c>
      <c r="CA523">
        <v>106898.4</v>
      </c>
      <c r="CB523">
        <v>3.0455000000000001</v>
      </c>
      <c r="CC523">
        <v>2.0773000000000001</v>
      </c>
      <c r="CD523">
        <v>4.5298999999999996</v>
      </c>
      <c r="CE523">
        <v>3.0897999999999999</v>
      </c>
      <c r="CF523">
        <v>7.8367000000000004</v>
      </c>
      <c r="CG523">
        <v>59.690199999999997</v>
      </c>
      <c r="CH523">
        <v>36.823399999999999</v>
      </c>
      <c r="CI523">
        <v>25.846299999999999</v>
      </c>
      <c r="CJ523">
        <v>21.98</v>
      </c>
      <c r="CK523">
        <v>42.4709</v>
      </c>
      <c r="CL523">
        <v>29.810200000000002</v>
      </c>
      <c r="CM523">
        <v>25.350999999999999</v>
      </c>
      <c r="CN523">
        <v>28.9696</v>
      </c>
      <c r="CO523">
        <v>22.462399999999999</v>
      </c>
      <c r="CP523">
        <v>40484.300000000003</v>
      </c>
      <c r="CQ523">
        <v>13827.3</v>
      </c>
      <c r="CR523">
        <v>27217.9</v>
      </c>
      <c r="CS523">
        <v>0.89559999999999995</v>
      </c>
      <c r="CT523">
        <v>1.9441999999999999</v>
      </c>
      <c r="CU523">
        <v>1.2187000000000001</v>
      </c>
      <c r="CV523">
        <v>1.2724</v>
      </c>
      <c r="CW523">
        <v>8.5844000000000005</v>
      </c>
      <c r="CX523">
        <v>42.518799999999999</v>
      </c>
      <c r="CY523">
        <v>2.5999999999999999E-2</v>
      </c>
      <c r="CZ523">
        <v>14029.2762</v>
      </c>
      <c r="DA523">
        <v>1.7600000000000001E-2</v>
      </c>
      <c r="DB523">
        <v>20790.334800000001</v>
      </c>
      <c r="DC523">
        <v>-6718.5397999999996</v>
      </c>
      <c r="DD523">
        <v>14071.795</v>
      </c>
      <c r="DE523">
        <v>10782.6</v>
      </c>
      <c r="DF523">
        <v>0</v>
      </c>
      <c r="DG523">
        <v>0</v>
      </c>
      <c r="DH523">
        <v>2300.3000000000002</v>
      </c>
      <c r="DI523">
        <v>8482.2999999999993</v>
      </c>
    </row>
    <row r="524" spans="1:113" x14ac:dyDescent="0.3">
      <c r="E524" t="s">
        <v>4</v>
      </c>
      <c r="F524" t="s">
        <v>134</v>
      </c>
      <c r="G524" t="s">
        <v>134</v>
      </c>
      <c r="H524" t="s">
        <v>134</v>
      </c>
      <c r="I524" t="s">
        <v>134</v>
      </c>
      <c r="J524" t="s">
        <v>134</v>
      </c>
      <c r="K524" t="s">
        <v>134</v>
      </c>
      <c r="L524" t="s">
        <v>134</v>
      </c>
      <c r="M524" t="s">
        <v>134</v>
      </c>
      <c r="N524" t="s">
        <v>134</v>
      </c>
      <c r="O524" t="s">
        <v>134</v>
      </c>
      <c r="P524" t="s">
        <v>134</v>
      </c>
      <c r="Q524" t="s">
        <v>134</v>
      </c>
      <c r="R524" t="s">
        <v>134</v>
      </c>
      <c r="S524" t="s">
        <v>134</v>
      </c>
      <c r="T524" t="s">
        <v>134</v>
      </c>
      <c r="U524" t="s">
        <v>134</v>
      </c>
      <c r="V524" t="s">
        <v>134</v>
      </c>
      <c r="W524" t="s">
        <v>134</v>
      </c>
      <c r="X524" t="s">
        <v>134</v>
      </c>
      <c r="Y524" t="s">
        <v>134</v>
      </c>
      <c r="Z524" t="s">
        <v>134</v>
      </c>
      <c r="AA524" t="s">
        <v>134</v>
      </c>
      <c r="AB524" t="s">
        <v>134</v>
      </c>
      <c r="AC524" t="s">
        <v>134</v>
      </c>
      <c r="AD524" t="s">
        <v>134</v>
      </c>
      <c r="AE524" t="s">
        <v>134</v>
      </c>
      <c r="AF524" t="s">
        <v>134</v>
      </c>
      <c r="AG524" t="s">
        <v>134</v>
      </c>
      <c r="AH524" t="s">
        <v>134</v>
      </c>
      <c r="AI524" t="s">
        <v>134</v>
      </c>
      <c r="AJ524" t="s">
        <v>134</v>
      </c>
      <c r="AK524" t="s">
        <v>134</v>
      </c>
      <c r="AL524" t="s">
        <v>134</v>
      </c>
      <c r="AM524" t="s">
        <v>134</v>
      </c>
      <c r="AN524" t="s">
        <v>134</v>
      </c>
      <c r="AO524" t="s">
        <v>134</v>
      </c>
      <c r="AP524" t="s">
        <v>134</v>
      </c>
      <c r="AQ524" t="s">
        <v>134</v>
      </c>
      <c r="AR524" t="s">
        <v>134</v>
      </c>
      <c r="AS524" t="s">
        <v>134</v>
      </c>
      <c r="AT524" t="s">
        <v>134</v>
      </c>
      <c r="AU524" t="s">
        <v>134</v>
      </c>
      <c r="AV524" t="s">
        <v>134</v>
      </c>
      <c r="AW524" t="s">
        <v>134</v>
      </c>
      <c r="AX524" t="s">
        <v>134</v>
      </c>
      <c r="AY524" t="s">
        <v>134</v>
      </c>
      <c r="AZ524" t="s">
        <v>134</v>
      </c>
      <c r="BA524" t="s">
        <v>134</v>
      </c>
      <c r="BB524" t="s">
        <v>134</v>
      </c>
      <c r="BC524" t="s">
        <v>134</v>
      </c>
      <c r="BD524" t="s">
        <v>134</v>
      </c>
      <c r="BE524" t="s">
        <v>134</v>
      </c>
      <c r="BF524" t="s">
        <v>134</v>
      </c>
      <c r="BG524" t="s">
        <v>134</v>
      </c>
      <c r="BH524" t="s">
        <v>134</v>
      </c>
      <c r="BI524" t="s">
        <v>134</v>
      </c>
      <c r="BJ524" t="s">
        <v>134</v>
      </c>
      <c r="BK524" t="s">
        <v>134</v>
      </c>
      <c r="BL524" t="s">
        <v>134</v>
      </c>
      <c r="BM524" t="s">
        <v>134</v>
      </c>
      <c r="BN524" t="s">
        <v>134</v>
      </c>
      <c r="BO524" t="s">
        <v>134</v>
      </c>
      <c r="BP524" t="s">
        <v>134</v>
      </c>
      <c r="BQ524" t="s">
        <v>134</v>
      </c>
      <c r="BR524" t="s">
        <v>134</v>
      </c>
      <c r="BS524" t="s">
        <v>134</v>
      </c>
      <c r="BT524" t="s">
        <v>134</v>
      </c>
      <c r="BU524" t="s">
        <v>134</v>
      </c>
      <c r="BV524" t="s">
        <v>134</v>
      </c>
      <c r="BW524" t="s">
        <v>134</v>
      </c>
      <c r="BX524" t="s">
        <v>134</v>
      </c>
      <c r="BY524" t="s">
        <v>134</v>
      </c>
      <c r="BZ524" t="s">
        <v>134</v>
      </c>
      <c r="CA524" t="s">
        <v>134</v>
      </c>
      <c r="CB524" t="s">
        <v>134</v>
      </c>
      <c r="CC524" t="s">
        <v>134</v>
      </c>
      <c r="CD524" t="s">
        <v>134</v>
      </c>
      <c r="CE524" t="s">
        <v>134</v>
      </c>
      <c r="CF524" t="s">
        <v>134</v>
      </c>
      <c r="CG524" t="s">
        <v>134</v>
      </c>
      <c r="CH524" t="s">
        <v>134</v>
      </c>
      <c r="CI524" t="s">
        <v>134</v>
      </c>
      <c r="CJ524" t="s">
        <v>134</v>
      </c>
      <c r="CK524" t="s">
        <v>134</v>
      </c>
      <c r="CL524" t="s">
        <v>134</v>
      </c>
      <c r="CM524" t="s">
        <v>134</v>
      </c>
      <c r="CN524" t="s">
        <v>134</v>
      </c>
      <c r="CO524" t="s">
        <v>134</v>
      </c>
      <c r="CP524" t="s">
        <v>134</v>
      </c>
      <c r="CQ524" t="s">
        <v>134</v>
      </c>
      <c r="CR524" t="s">
        <v>134</v>
      </c>
      <c r="CS524" t="s">
        <v>134</v>
      </c>
      <c r="CT524" t="s">
        <v>134</v>
      </c>
      <c r="CU524" t="s">
        <v>134</v>
      </c>
      <c r="CV524" t="s">
        <v>134</v>
      </c>
      <c r="CW524" t="s">
        <v>134</v>
      </c>
      <c r="CX524" t="s">
        <v>134</v>
      </c>
      <c r="CY524" t="s">
        <v>134</v>
      </c>
      <c r="CZ524" t="s">
        <v>134</v>
      </c>
      <c r="DA524" t="s">
        <v>134</v>
      </c>
      <c r="DB524" t="s">
        <v>134</v>
      </c>
      <c r="DC524" t="s">
        <v>134</v>
      </c>
      <c r="DD524" t="s">
        <v>134</v>
      </c>
      <c r="DE524" t="s">
        <v>134</v>
      </c>
      <c r="DF524" t="s">
        <v>134</v>
      </c>
      <c r="DG524" t="s">
        <v>134</v>
      </c>
      <c r="DH524" t="s">
        <v>134</v>
      </c>
      <c r="DI524" t="s">
        <v>134</v>
      </c>
    </row>
    <row r="525" spans="1:113" x14ac:dyDescent="0.3">
      <c r="E525" t="s">
        <v>5</v>
      </c>
      <c r="F525" t="s">
        <v>134</v>
      </c>
      <c r="G525" t="s">
        <v>134</v>
      </c>
      <c r="H525" t="s">
        <v>134</v>
      </c>
      <c r="I525" t="s">
        <v>134</v>
      </c>
      <c r="J525" t="s">
        <v>134</v>
      </c>
      <c r="K525" t="s">
        <v>134</v>
      </c>
      <c r="L525" t="s">
        <v>134</v>
      </c>
      <c r="M525" t="s">
        <v>134</v>
      </c>
      <c r="N525" t="s">
        <v>134</v>
      </c>
      <c r="O525" t="s">
        <v>134</v>
      </c>
      <c r="P525" t="s">
        <v>134</v>
      </c>
      <c r="Q525" t="s">
        <v>134</v>
      </c>
      <c r="R525" t="s">
        <v>134</v>
      </c>
      <c r="S525" t="s">
        <v>134</v>
      </c>
      <c r="T525" t="s">
        <v>134</v>
      </c>
      <c r="U525" t="s">
        <v>134</v>
      </c>
      <c r="V525" t="s">
        <v>134</v>
      </c>
      <c r="W525" t="s">
        <v>134</v>
      </c>
      <c r="X525" t="s">
        <v>134</v>
      </c>
      <c r="Y525" t="s">
        <v>134</v>
      </c>
      <c r="Z525" t="s">
        <v>134</v>
      </c>
      <c r="AA525" t="s">
        <v>134</v>
      </c>
      <c r="AB525" t="s">
        <v>134</v>
      </c>
      <c r="AC525" t="s">
        <v>134</v>
      </c>
      <c r="AD525" t="s">
        <v>134</v>
      </c>
      <c r="AE525" t="s">
        <v>134</v>
      </c>
      <c r="AF525" t="s">
        <v>134</v>
      </c>
      <c r="AG525" t="s">
        <v>134</v>
      </c>
      <c r="AH525" t="s">
        <v>134</v>
      </c>
      <c r="AI525" t="s">
        <v>134</v>
      </c>
      <c r="AJ525" t="s">
        <v>134</v>
      </c>
      <c r="AK525" t="s">
        <v>134</v>
      </c>
      <c r="AL525" t="s">
        <v>134</v>
      </c>
      <c r="AM525" t="s">
        <v>134</v>
      </c>
      <c r="AN525" t="s">
        <v>134</v>
      </c>
      <c r="AO525" t="s">
        <v>134</v>
      </c>
      <c r="AP525" t="s">
        <v>134</v>
      </c>
      <c r="AQ525" t="s">
        <v>134</v>
      </c>
      <c r="AR525" t="s">
        <v>134</v>
      </c>
      <c r="AS525" t="s">
        <v>134</v>
      </c>
      <c r="AT525" t="s">
        <v>134</v>
      </c>
      <c r="AU525" t="s">
        <v>134</v>
      </c>
      <c r="AV525" t="s">
        <v>134</v>
      </c>
      <c r="AW525" t="s">
        <v>134</v>
      </c>
      <c r="AX525" t="s">
        <v>134</v>
      </c>
      <c r="AY525" t="s">
        <v>134</v>
      </c>
      <c r="AZ525" t="s">
        <v>134</v>
      </c>
      <c r="BA525" t="s">
        <v>134</v>
      </c>
      <c r="BB525" t="s">
        <v>134</v>
      </c>
      <c r="BC525" t="s">
        <v>134</v>
      </c>
      <c r="BD525" t="s">
        <v>134</v>
      </c>
      <c r="BE525" t="s">
        <v>134</v>
      </c>
      <c r="BF525" t="s">
        <v>134</v>
      </c>
      <c r="BG525" t="s">
        <v>134</v>
      </c>
      <c r="BH525" t="s">
        <v>134</v>
      </c>
      <c r="BI525" t="s">
        <v>134</v>
      </c>
      <c r="BJ525" t="s">
        <v>134</v>
      </c>
      <c r="BK525" t="s">
        <v>134</v>
      </c>
      <c r="BL525" t="s">
        <v>134</v>
      </c>
      <c r="BM525" t="s">
        <v>134</v>
      </c>
      <c r="BN525" t="s">
        <v>134</v>
      </c>
      <c r="BO525" t="s">
        <v>134</v>
      </c>
      <c r="BP525" t="s">
        <v>134</v>
      </c>
      <c r="BQ525" t="s">
        <v>134</v>
      </c>
      <c r="BR525" t="s">
        <v>134</v>
      </c>
      <c r="BS525" t="s">
        <v>134</v>
      </c>
      <c r="BT525" t="s">
        <v>134</v>
      </c>
      <c r="BU525" t="s">
        <v>134</v>
      </c>
      <c r="BV525" t="s">
        <v>134</v>
      </c>
      <c r="BW525" t="s">
        <v>134</v>
      </c>
      <c r="BX525" t="s">
        <v>134</v>
      </c>
      <c r="BY525" t="s">
        <v>134</v>
      </c>
      <c r="BZ525" t="s">
        <v>134</v>
      </c>
      <c r="CA525" t="s">
        <v>134</v>
      </c>
      <c r="CB525" t="s">
        <v>134</v>
      </c>
      <c r="CC525" t="s">
        <v>134</v>
      </c>
      <c r="CD525" t="s">
        <v>134</v>
      </c>
      <c r="CE525" t="s">
        <v>134</v>
      </c>
      <c r="CF525" t="s">
        <v>134</v>
      </c>
      <c r="CG525" t="s">
        <v>134</v>
      </c>
      <c r="CH525" t="s">
        <v>134</v>
      </c>
      <c r="CI525" t="s">
        <v>134</v>
      </c>
      <c r="CJ525" t="s">
        <v>134</v>
      </c>
      <c r="CK525" t="s">
        <v>134</v>
      </c>
      <c r="CL525" t="s">
        <v>134</v>
      </c>
      <c r="CM525" t="s">
        <v>134</v>
      </c>
      <c r="CN525" t="s">
        <v>134</v>
      </c>
      <c r="CO525" t="s">
        <v>134</v>
      </c>
      <c r="CP525" t="s">
        <v>134</v>
      </c>
      <c r="CQ525" t="s">
        <v>134</v>
      </c>
      <c r="CR525" t="s">
        <v>134</v>
      </c>
      <c r="CS525" t="s">
        <v>134</v>
      </c>
      <c r="CT525" t="s">
        <v>134</v>
      </c>
      <c r="CU525" t="s">
        <v>134</v>
      </c>
      <c r="CV525" t="s">
        <v>134</v>
      </c>
      <c r="CW525" t="s">
        <v>134</v>
      </c>
      <c r="CX525" t="s">
        <v>134</v>
      </c>
      <c r="CY525" t="s">
        <v>134</v>
      </c>
      <c r="CZ525" t="s">
        <v>134</v>
      </c>
      <c r="DA525" t="s">
        <v>134</v>
      </c>
      <c r="DB525" t="s">
        <v>134</v>
      </c>
      <c r="DC525" t="s">
        <v>134</v>
      </c>
      <c r="DD525" t="s">
        <v>134</v>
      </c>
      <c r="DE525" t="s">
        <v>134</v>
      </c>
      <c r="DF525" t="s">
        <v>134</v>
      </c>
      <c r="DG525" t="s">
        <v>134</v>
      </c>
      <c r="DH525" t="s">
        <v>134</v>
      </c>
      <c r="DI525" t="s">
        <v>134</v>
      </c>
    </row>
    <row r="526" spans="1:113" x14ac:dyDescent="0.3">
      <c r="E526" t="s">
        <v>6</v>
      </c>
      <c r="F526" t="s">
        <v>134</v>
      </c>
      <c r="G526" t="s">
        <v>134</v>
      </c>
      <c r="H526" t="s">
        <v>134</v>
      </c>
      <c r="I526" t="s">
        <v>134</v>
      </c>
      <c r="J526" t="s">
        <v>134</v>
      </c>
      <c r="K526" t="s">
        <v>134</v>
      </c>
      <c r="L526" t="s">
        <v>134</v>
      </c>
      <c r="M526" t="s">
        <v>134</v>
      </c>
      <c r="N526" t="s">
        <v>134</v>
      </c>
      <c r="O526" t="s">
        <v>134</v>
      </c>
      <c r="P526" t="s">
        <v>134</v>
      </c>
      <c r="Q526" t="s">
        <v>134</v>
      </c>
      <c r="R526" t="s">
        <v>134</v>
      </c>
      <c r="S526" t="s">
        <v>134</v>
      </c>
      <c r="T526" t="s">
        <v>134</v>
      </c>
      <c r="U526" t="s">
        <v>134</v>
      </c>
      <c r="V526" t="s">
        <v>134</v>
      </c>
      <c r="W526" t="s">
        <v>134</v>
      </c>
      <c r="X526" t="s">
        <v>134</v>
      </c>
      <c r="Y526" t="s">
        <v>134</v>
      </c>
      <c r="Z526" t="s">
        <v>134</v>
      </c>
      <c r="AA526" t="s">
        <v>134</v>
      </c>
      <c r="AB526" t="s">
        <v>134</v>
      </c>
      <c r="AC526" t="s">
        <v>134</v>
      </c>
      <c r="AD526" t="s">
        <v>134</v>
      </c>
      <c r="AE526" t="s">
        <v>134</v>
      </c>
      <c r="AF526" t="s">
        <v>134</v>
      </c>
      <c r="AG526" t="s">
        <v>134</v>
      </c>
      <c r="AH526" t="s">
        <v>134</v>
      </c>
      <c r="AI526" t="s">
        <v>134</v>
      </c>
      <c r="AJ526" t="s">
        <v>134</v>
      </c>
      <c r="AK526" t="s">
        <v>134</v>
      </c>
      <c r="AL526" t="s">
        <v>134</v>
      </c>
      <c r="AM526" t="s">
        <v>134</v>
      </c>
      <c r="AN526" t="s">
        <v>134</v>
      </c>
      <c r="AO526" t="s">
        <v>134</v>
      </c>
      <c r="AP526" t="s">
        <v>134</v>
      </c>
      <c r="AQ526" t="s">
        <v>134</v>
      </c>
      <c r="AR526" t="s">
        <v>134</v>
      </c>
      <c r="AS526" t="s">
        <v>134</v>
      </c>
      <c r="AT526" t="s">
        <v>134</v>
      </c>
      <c r="AU526" t="s">
        <v>134</v>
      </c>
      <c r="AV526" t="s">
        <v>134</v>
      </c>
      <c r="AW526" t="s">
        <v>134</v>
      </c>
      <c r="AX526" t="s">
        <v>134</v>
      </c>
      <c r="AY526" t="s">
        <v>134</v>
      </c>
      <c r="AZ526" t="s">
        <v>134</v>
      </c>
      <c r="BA526" t="s">
        <v>134</v>
      </c>
      <c r="BB526" t="s">
        <v>134</v>
      </c>
      <c r="BC526" t="s">
        <v>134</v>
      </c>
      <c r="BD526" t="s">
        <v>134</v>
      </c>
      <c r="BE526" t="s">
        <v>134</v>
      </c>
      <c r="BF526" t="s">
        <v>134</v>
      </c>
      <c r="BG526" t="s">
        <v>134</v>
      </c>
      <c r="BH526" t="s">
        <v>134</v>
      </c>
      <c r="BI526" t="s">
        <v>134</v>
      </c>
      <c r="BJ526" t="s">
        <v>134</v>
      </c>
      <c r="BK526" t="s">
        <v>134</v>
      </c>
      <c r="BL526" t="s">
        <v>134</v>
      </c>
      <c r="BM526" t="s">
        <v>134</v>
      </c>
      <c r="BN526" t="s">
        <v>134</v>
      </c>
      <c r="BO526" t="s">
        <v>134</v>
      </c>
      <c r="BP526" t="s">
        <v>134</v>
      </c>
      <c r="BQ526" t="s">
        <v>134</v>
      </c>
      <c r="BR526" t="s">
        <v>134</v>
      </c>
      <c r="BS526" t="s">
        <v>134</v>
      </c>
      <c r="BT526" t="s">
        <v>134</v>
      </c>
      <c r="BU526" t="s">
        <v>134</v>
      </c>
      <c r="BV526" t="s">
        <v>134</v>
      </c>
      <c r="BW526" t="s">
        <v>134</v>
      </c>
      <c r="BX526" t="s">
        <v>134</v>
      </c>
      <c r="BY526" t="s">
        <v>134</v>
      </c>
      <c r="BZ526" t="s">
        <v>134</v>
      </c>
      <c r="CA526" t="s">
        <v>134</v>
      </c>
      <c r="CB526" t="s">
        <v>134</v>
      </c>
      <c r="CC526" t="s">
        <v>134</v>
      </c>
      <c r="CD526" t="s">
        <v>134</v>
      </c>
      <c r="CE526" t="s">
        <v>134</v>
      </c>
      <c r="CF526" t="s">
        <v>134</v>
      </c>
      <c r="CG526" t="s">
        <v>134</v>
      </c>
      <c r="CH526" t="s">
        <v>134</v>
      </c>
      <c r="CI526" t="s">
        <v>134</v>
      </c>
      <c r="CJ526" t="s">
        <v>134</v>
      </c>
      <c r="CK526" t="s">
        <v>134</v>
      </c>
      <c r="CL526" t="s">
        <v>134</v>
      </c>
      <c r="CM526" t="s">
        <v>134</v>
      </c>
      <c r="CN526" t="s">
        <v>134</v>
      </c>
      <c r="CO526" t="s">
        <v>134</v>
      </c>
      <c r="CP526" t="s">
        <v>134</v>
      </c>
      <c r="CQ526" t="s">
        <v>134</v>
      </c>
      <c r="CR526" t="s">
        <v>134</v>
      </c>
      <c r="CS526" t="s">
        <v>134</v>
      </c>
      <c r="CT526" t="s">
        <v>134</v>
      </c>
      <c r="CU526" t="s">
        <v>134</v>
      </c>
      <c r="CV526" t="s">
        <v>134</v>
      </c>
      <c r="CW526" t="s">
        <v>134</v>
      </c>
      <c r="CX526" t="s">
        <v>134</v>
      </c>
      <c r="CY526" t="s">
        <v>134</v>
      </c>
      <c r="CZ526" t="s">
        <v>134</v>
      </c>
      <c r="DA526" t="s">
        <v>134</v>
      </c>
      <c r="DB526" t="s">
        <v>134</v>
      </c>
      <c r="DC526" t="s">
        <v>134</v>
      </c>
      <c r="DD526" t="s">
        <v>134</v>
      </c>
      <c r="DE526" t="s">
        <v>134</v>
      </c>
      <c r="DF526" t="s">
        <v>134</v>
      </c>
      <c r="DG526" t="s">
        <v>134</v>
      </c>
      <c r="DH526" t="s">
        <v>134</v>
      </c>
      <c r="DI526" t="s">
        <v>134</v>
      </c>
    </row>
    <row r="527" spans="1:113" x14ac:dyDescent="0.3">
      <c r="E527" t="s">
        <v>7</v>
      </c>
      <c r="F527" t="s">
        <v>134</v>
      </c>
      <c r="G527" t="s">
        <v>134</v>
      </c>
      <c r="H527" t="s">
        <v>134</v>
      </c>
      <c r="I527" t="s">
        <v>134</v>
      </c>
      <c r="J527" t="s">
        <v>134</v>
      </c>
      <c r="K527" t="s">
        <v>134</v>
      </c>
      <c r="L527" t="s">
        <v>134</v>
      </c>
      <c r="M527" t="s">
        <v>134</v>
      </c>
      <c r="N527" t="s">
        <v>134</v>
      </c>
      <c r="O527" t="s">
        <v>134</v>
      </c>
      <c r="P527" t="s">
        <v>134</v>
      </c>
      <c r="Q527" t="s">
        <v>134</v>
      </c>
      <c r="R527" t="s">
        <v>134</v>
      </c>
      <c r="S527" t="s">
        <v>134</v>
      </c>
      <c r="T527" t="s">
        <v>134</v>
      </c>
      <c r="U527" t="s">
        <v>134</v>
      </c>
      <c r="V527" t="s">
        <v>134</v>
      </c>
      <c r="W527" t="s">
        <v>134</v>
      </c>
      <c r="X527" t="s">
        <v>134</v>
      </c>
      <c r="Y527" t="s">
        <v>134</v>
      </c>
      <c r="Z527" t="s">
        <v>134</v>
      </c>
      <c r="AA527" t="s">
        <v>134</v>
      </c>
      <c r="AB527" t="s">
        <v>134</v>
      </c>
      <c r="AC527" t="s">
        <v>134</v>
      </c>
      <c r="AD527" t="s">
        <v>134</v>
      </c>
      <c r="AE527" t="s">
        <v>134</v>
      </c>
      <c r="AF527" t="s">
        <v>134</v>
      </c>
      <c r="AG527" t="s">
        <v>134</v>
      </c>
      <c r="AH527" t="s">
        <v>134</v>
      </c>
      <c r="AI527" t="s">
        <v>134</v>
      </c>
      <c r="AJ527" t="s">
        <v>134</v>
      </c>
      <c r="AK527" t="s">
        <v>134</v>
      </c>
      <c r="AL527" t="s">
        <v>134</v>
      </c>
      <c r="AM527" t="s">
        <v>134</v>
      </c>
      <c r="AN527" t="s">
        <v>134</v>
      </c>
      <c r="AO527" t="s">
        <v>134</v>
      </c>
      <c r="AP527" t="s">
        <v>134</v>
      </c>
      <c r="AQ527" t="s">
        <v>134</v>
      </c>
      <c r="AR527" t="s">
        <v>134</v>
      </c>
      <c r="AS527" t="s">
        <v>134</v>
      </c>
      <c r="AT527" t="s">
        <v>134</v>
      </c>
      <c r="AU527" t="s">
        <v>134</v>
      </c>
      <c r="AV527" t="s">
        <v>134</v>
      </c>
      <c r="AW527" t="s">
        <v>134</v>
      </c>
      <c r="AX527" t="s">
        <v>134</v>
      </c>
      <c r="AY527" t="s">
        <v>134</v>
      </c>
      <c r="AZ527" t="s">
        <v>134</v>
      </c>
      <c r="BA527" t="s">
        <v>134</v>
      </c>
      <c r="BB527" t="s">
        <v>134</v>
      </c>
      <c r="BC527" t="s">
        <v>134</v>
      </c>
      <c r="BD527" t="s">
        <v>134</v>
      </c>
      <c r="BE527" t="s">
        <v>134</v>
      </c>
      <c r="BF527" t="s">
        <v>134</v>
      </c>
      <c r="BG527" t="s">
        <v>134</v>
      </c>
      <c r="BH527" t="s">
        <v>134</v>
      </c>
      <c r="BI527" t="s">
        <v>134</v>
      </c>
      <c r="BJ527" t="s">
        <v>134</v>
      </c>
      <c r="BK527" t="s">
        <v>134</v>
      </c>
      <c r="BL527" t="s">
        <v>134</v>
      </c>
      <c r="BM527" t="s">
        <v>134</v>
      </c>
      <c r="BN527" t="s">
        <v>134</v>
      </c>
      <c r="BO527" t="s">
        <v>134</v>
      </c>
      <c r="BP527" t="s">
        <v>134</v>
      </c>
      <c r="BQ527" t="s">
        <v>134</v>
      </c>
      <c r="BR527" t="s">
        <v>134</v>
      </c>
      <c r="BS527" t="s">
        <v>134</v>
      </c>
      <c r="BT527" t="s">
        <v>134</v>
      </c>
      <c r="BU527" t="s">
        <v>134</v>
      </c>
      <c r="BV527" t="s">
        <v>134</v>
      </c>
      <c r="BW527" t="s">
        <v>134</v>
      </c>
      <c r="BX527" t="s">
        <v>134</v>
      </c>
      <c r="BY527" t="s">
        <v>134</v>
      </c>
      <c r="BZ527" t="s">
        <v>134</v>
      </c>
      <c r="CA527" t="s">
        <v>134</v>
      </c>
      <c r="CB527" t="s">
        <v>134</v>
      </c>
      <c r="CC527" t="s">
        <v>134</v>
      </c>
      <c r="CD527" t="s">
        <v>134</v>
      </c>
      <c r="CE527" t="s">
        <v>134</v>
      </c>
      <c r="CF527" t="s">
        <v>134</v>
      </c>
      <c r="CG527" t="s">
        <v>134</v>
      </c>
      <c r="CH527" t="s">
        <v>134</v>
      </c>
      <c r="CI527" t="s">
        <v>134</v>
      </c>
      <c r="CJ527" t="s">
        <v>134</v>
      </c>
      <c r="CK527" t="s">
        <v>134</v>
      </c>
      <c r="CL527" t="s">
        <v>134</v>
      </c>
      <c r="CM527" t="s">
        <v>134</v>
      </c>
      <c r="CN527" t="s">
        <v>134</v>
      </c>
      <c r="CO527" t="s">
        <v>134</v>
      </c>
      <c r="CP527" t="s">
        <v>134</v>
      </c>
      <c r="CQ527" t="s">
        <v>134</v>
      </c>
      <c r="CR527" t="s">
        <v>134</v>
      </c>
      <c r="CS527" t="s">
        <v>134</v>
      </c>
      <c r="CT527" t="s">
        <v>134</v>
      </c>
      <c r="CU527" t="s">
        <v>134</v>
      </c>
      <c r="CV527" t="s">
        <v>134</v>
      </c>
      <c r="CW527" t="s">
        <v>134</v>
      </c>
      <c r="CX527" t="s">
        <v>134</v>
      </c>
      <c r="CY527" t="s">
        <v>134</v>
      </c>
      <c r="CZ527" t="s">
        <v>134</v>
      </c>
      <c r="DA527" t="s">
        <v>134</v>
      </c>
      <c r="DB527" t="s">
        <v>134</v>
      </c>
      <c r="DC527" t="s">
        <v>134</v>
      </c>
      <c r="DD527" t="s">
        <v>134</v>
      </c>
      <c r="DE527" t="s">
        <v>134</v>
      </c>
      <c r="DF527" t="s">
        <v>134</v>
      </c>
      <c r="DG527" t="s">
        <v>134</v>
      </c>
      <c r="DH527" t="s">
        <v>134</v>
      </c>
      <c r="DI527" t="s">
        <v>134</v>
      </c>
    </row>
    <row r="528" spans="1:113" x14ac:dyDescent="0.3">
      <c r="A528">
        <v>72</v>
      </c>
      <c r="B528" t="s">
        <v>52</v>
      </c>
      <c r="C528" t="s">
        <v>53</v>
      </c>
      <c r="D528" t="s">
        <v>2</v>
      </c>
      <c r="E528" t="s">
        <v>3</v>
      </c>
      <c r="F528">
        <v>16.798999999999999</v>
      </c>
      <c r="G528">
        <v>14.9854</v>
      </c>
      <c r="H528" t="s">
        <v>134</v>
      </c>
      <c r="I528">
        <v>11.2524</v>
      </c>
      <c r="J528">
        <v>37.403500000000001</v>
      </c>
      <c r="K528">
        <v>35.4878</v>
      </c>
      <c r="L528">
        <v>65.111000000000004</v>
      </c>
      <c r="M528">
        <v>53.493400000000001</v>
      </c>
      <c r="N528">
        <v>36.332599999999999</v>
      </c>
      <c r="O528">
        <v>36.332599999999999</v>
      </c>
      <c r="P528">
        <v>36.332599999999999</v>
      </c>
      <c r="Q528">
        <v>32.080300000000001</v>
      </c>
      <c r="R528">
        <v>0</v>
      </c>
      <c r="S528">
        <v>16.798999999999999</v>
      </c>
      <c r="T528">
        <v>7.6948999999999996</v>
      </c>
      <c r="U528">
        <v>14.7828</v>
      </c>
      <c r="V528">
        <v>15.087300000000001</v>
      </c>
      <c r="W528">
        <v>26.4315</v>
      </c>
      <c r="X528">
        <v>26.342199999999998</v>
      </c>
      <c r="Y528" t="s">
        <v>134</v>
      </c>
      <c r="Z528">
        <v>-6.4858000000000002</v>
      </c>
      <c r="AA528" t="s">
        <v>134</v>
      </c>
      <c r="AB528">
        <v>-10.458500000000001</v>
      </c>
      <c r="AC528">
        <v>15.544</v>
      </c>
      <c r="AD528">
        <v>-10.0655</v>
      </c>
      <c r="AE528">
        <v>25.9909</v>
      </c>
      <c r="AF528">
        <v>99.919799999999995</v>
      </c>
      <c r="AG528">
        <v>-66.599999999999994</v>
      </c>
      <c r="AH528">
        <v>-75.185699999999997</v>
      </c>
      <c r="AI528">
        <v>18.503799999999998</v>
      </c>
      <c r="AJ528">
        <v>18.4953</v>
      </c>
      <c r="AK528">
        <v>18.393000000000001</v>
      </c>
      <c r="AL528">
        <v>-26.0717</v>
      </c>
      <c r="AM528">
        <v>5.0273000000000003</v>
      </c>
      <c r="AN528">
        <v>12.5313</v>
      </c>
      <c r="AO528">
        <v>13.966699999999999</v>
      </c>
      <c r="AP528">
        <v>13.0381</v>
      </c>
      <c r="AQ528">
        <v>12.861499999999999</v>
      </c>
      <c r="AR528" t="s">
        <v>134</v>
      </c>
      <c r="AS528">
        <v>-4.1223999999999998</v>
      </c>
      <c r="AT528" t="s">
        <v>134</v>
      </c>
      <c r="AU528">
        <v>-0.29110000000000003</v>
      </c>
      <c r="AV528">
        <v>18.216200000000001</v>
      </c>
      <c r="AW528">
        <v>-5.4954999999999998</v>
      </c>
      <c r="AX528">
        <v>23.8842</v>
      </c>
      <c r="AY528" t="s">
        <v>134</v>
      </c>
      <c r="AZ528">
        <v>-25.434899999999999</v>
      </c>
      <c r="BA528">
        <v>-39.528500000000001</v>
      </c>
      <c r="BB528">
        <v>20.139600000000002</v>
      </c>
      <c r="BC528">
        <v>20.125900000000001</v>
      </c>
      <c r="BD528">
        <v>20.0456</v>
      </c>
      <c r="BE528">
        <v>9.6928999999999998</v>
      </c>
      <c r="BF528">
        <v>7.6948999999999996</v>
      </c>
      <c r="BG528">
        <v>14.7828</v>
      </c>
      <c r="BH528">
        <v>15.087300000000001</v>
      </c>
      <c r="BI528">
        <v>26.4315</v>
      </c>
      <c r="BJ528">
        <v>26.342199999999998</v>
      </c>
      <c r="BK528" t="s">
        <v>134</v>
      </c>
      <c r="BL528">
        <v>-6.4858000000000002</v>
      </c>
      <c r="BM528" t="s">
        <v>134</v>
      </c>
      <c r="BN528">
        <v>-10.458500000000001</v>
      </c>
      <c r="BO528">
        <v>15.544</v>
      </c>
      <c r="BP528">
        <v>-10.0655</v>
      </c>
      <c r="BQ528">
        <v>25.9909</v>
      </c>
      <c r="BR528">
        <v>99.919799999999995</v>
      </c>
      <c r="BS528">
        <v>-66.599999999999994</v>
      </c>
      <c r="BT528">
        <v>-75.185699999999997</v>
      </c>
      <c r="BU528">
        <v>18.503799999999998</v>
      </c>
      <c r="BV528">
        <v>18.4953</v>
      </c>
      <c r="BW528">
        <v>18.393000000000001</v>
      </c>
      <c r="BX528">
        <v>-26.0717</v>
      </c>
      <c r="BY528">
        <v>1.67</v>
      </c>
      <c r="BZ528">
        <v>1.67</v>
      </c>
      <c r="CA528">
        <v>0</v>
      </c>
      <c r="CB528">
        <v>1E-4</v>
      </c>
      <c r="CC528">
        <v>-4.7676999999999996</v>
      </c>
      <c r="CD528">
        <v>1E-4</v>
      </c>
      <c r="CE528">
        <v>-5.0251000000000001</v>
      </c>
      <c r="CF528" t="s">
        <v>134</v>
      </c>
      <c r="CG528">
        <v>90.249799999999993</v>
      </c>
      <c r="CH528">
        <v>0</v>
      </c>
      <c r="CI528">
        <v>0</v>
      </c>
      <c r="CJ528">
        <v>0</v>
      </c>
      <c r="CK528">
        <v>1.9E-3</v>
      </c>
      <c r="CL528">
        <v>1.9E-3</v>
      </c>
      <c r="CM528">
        <v>1.6999999999999999E-3</v>
      </c>
      <c r="CN528">
        <v>-76.016599999999997</v>
      </c>
      <c r="CO528">
        <v>-316.9554</v>
      </c>
      <c r="CP528">
        <v>13993.85</v>
      </c>
      <c r="CQ528">
        <v>13683.06</v>
      </c>
      <c r="CR528">
        <v>13277.13</v>
      </c>
      <c r="CS528">
        <v>7.91</v>
      </c>
      <c r="CT528">
        <v>9.6727000000000007</v>
      </c>
      <c r="CU528">
        <v>8.7170000000000005</v>
      </c>
      <c r="CV528">
        <v>19.337299999999999</v>
      </c>
      <c r="CW528">
        <v>5.3117000000000001</v>
      </c>
      <c r="CX528">
        <v>68.715900000000005</v>
      </c>
      <c r="CY528" t="s">
        <v>134</v>
      </c>
      <c r="CZ528" t="s">
        <v>134</v>
      </c>
      <c r="DA528" t="s">
        <v>134</v>
      </c>
      <c r="DB528" t="s">
        <v>134</v>
      </c>
      <c r="DC528" t="s">
        <v>134</v>
      </c>
      <c r="DD528" t="s">
        <v>134</v>
      </c>
      <c r="DE528">
        <v>0</v>
      </c>
      <c r="DF528">
        <v>0</v>
      </c>
      <c r="DG528">
        <v>0</v>
      </c>
      <c r="DH528">
        <v>0</v>
      </c>
      <c r="DI528">
        <v>0</v>
      </c>
    </row>
    <row r="529" spans="4:113" x14ac:dyDescent="0.3">
      <c r="E529" t="s">
        <v>4</v>
      </c>
      <c r="F529" t="s">
        <v>134</v>
      </c>
      <c r="G529" t="s">
        <v>134</v>
      </c>
      <c r="H529" t="s">
        <v>134</v>
      </c>
      <c r="I529" t="s">
        <v>134</v>
      </c>
      <c r="J529">
        <v>37.502899999999997</v>
      </c>
      <c r="K529">
        <v>35.527500000000003</v>
      </c>
      <c r="L529">
        <v>-110.4539</v>
      </c>
      <c r="M529">
        <v>57.8566</v>
      </c>
      <c r="N529">
        <v>40.713799999999999</v>
      </c>
      <c r="O529">
        <v>40.713799999999999</v>
      </c>
      <c r="P529">
        <v>40.713799999999999</v>
      </c>
      <c r="Q529">
        <v>29.6297</v>
      </c>
      <c r="R529" t="s">
        <v>134</v>
      </c>
      <c r="S529" t="s">
        <v>134</v>
      </c>
      <c r="T529">
        <v>-4.9591000000000003</v>
      </c>
      <c r="U529">
        <v>-12.4291</v>
      </c>
      <c r="V529">
        <v>-13.958</v>
      </c>
      <c r="W529">
        <v>-0.51</v>
      </c>
      <c r="X529">
        <v>-0.6633</v>
      </c>
      <c r="Y529" t="s">
        <v>134</v>
      </c>
      <c r="Z529" t="s">
        <v>134</v>
      </c>
      <c r="AA529" t="s">
        <v>134</v>
      </c>
      <c r="AB529" t="s">
        <v>134</v>
      </c>
      <c r="AC529" t="s">
        <v>134</v>
      </c>
      <c r="AD529" t="s">
        <v>134</v>
      </c>
      <c r="AE529" t="s">
        <v>134</v>
      </c>
      <c r="AF529" t="s">
        <v>134</v>
      </c>
      <c r="AG529" t="s">
        <v>134</v>
      </c>
      <c r="AH529" t="s">
        <v>134</v>
      </c>
      <c r="AI529" t="s">
        <v>134</v>
      </c>
      <c r="AJ529" t="s">
        <v>134</v>
      </c>
      <c r="AK529" t="s">
        <v>134</v>
      </c>
      <c r="AL529" t="s">
        <v>134</v>
      </c>
      <c r="AM529" t="s">
        <v>134</v>
      </c>
      <c r="AN529" t="s">
        <v>134</v>
      </c>
      <c r="AO529" t="s">
        <v>134</v>
      </c>
      <c r="AP529" t="s">
        <v>134</v>
      </c>
      <c r="AQ529" t="s">
        <v>134</v>
      </c>
      <c r="AR529" t="s">
        <v>134</v>
      </c>
      <c r="AS529" t="s">
        <v>134</v>
      </c>
      <c r="AT529" t="s">
        <v>134</v>
      </c>
      <c r="AU529" t="s">
        <v>134</v>
      </c>
      <c r="AV529" t="s">
        <v>134</v>
      </c>
      <c r="AW529" t="s">
        <v>134</v>
      </c>
      <c r="AX529" t="s">
        <v>134</v>
      </c>
      <c r="AY529" t="s">
        <v>134</v>
      </c>
      <c r="AZ529" t="s">
        <v>134</v>
      </c>
      <c r="BA529" t="s">
        <v>134</v>
      </c>
      <c r="BB529" t="s">
        <v>134</v>
      </c>
      <c r="BC529" t="s">
        <v>134</v>
      </c>
      <c r="BD529" t="s">
        <v>134</v>
      </c>
      <c r="BE529" t="s">
        <v>134</v>
      </c>
      <c r="BF529">
        <v>2.0365000000000002</v>
      </c>
      <c r="BG529">
        <v>1.9169</v>
      </c>
      <c r="BH529">
        <v>1.6452</v>
      </c>
      <c r="BI529">
        <v>30.148599999999998</v>
      </c>
      <c r="BJ529">
        <v>30.695399999999999</v>
      </c>
      <c r="BK529" t="s">
        <v>134</v>
      </c>
      <c r="BL529" t="s">
        <v>134</v>
      </c>
      <c r="BM529" t="s">
        <v>134</v>
      </c>
      <c r="BN529" t="s">
        <v>134</v>
      </c>
      <c r="BO529" t="s">
        <v>134</v>
      </c>
      <c r="BP529" t="s">
        <v>134</v>
      </c>
      <c r="BQ529" t="s">
        <v>134</v>
      </c>
      <c r="BR529" t="s">
        <v>134</v>
      </c>
      <c r="BS529" t="s">
        <v>134</v>
      </c>
      <c r="BT529" t="s">
        <v>134</v>
      </c>
      <c r="BU529" t="s">
        <v>134</v>
      </c>
      <c r="BV529" t="s">
        <v>134</v>
      </c>
      <c r="BW529" t="s">
        <v>134</v>
      </c>
      <c r="BX529" t="s">
        <v>134</v>
      </c>
      <c r="BY529" t="s">
        <v>134</v>
      </c>
      <c r="BZ529" t="s">
        <v>134</v>
      </c>
      <c r="CA529" t="s">
        <v>134</v>
      </c>
      <c r="CB529" t="s">
        <v>134</v>
      </c>
      <c r="CC529" t="s">
        <v>134</v>
      </c>
      <c r="CD529" t="s">
        <v>134</v>
      </c>
      <c r="CE529" t="s">
        <v>134</v>
      </c>
      <c r="CF529" t="s">
        <v>134</v>
      </c>
      <c r="CG529" t="s">
        <v>134</v>
      </c>
      <c r="CH529" t="s">
        <v>134</v>
      </c>
      <c r="CI529" t="s">
        <v>134</v>
      </c>
      <c r="CJ529" t="s">
        <v>134</v>
      </c>
      <c r="CK529" t="s">
        <v>134</v>
      </c>
      <c r="CL529" t="s">
        <v>134</v>
      </c>
      <c r="CM529" t="s">
        <v>134</v>
      </c>
      <c r="CN529" t="s">
        <v>134</v>
      </c>
      <c r="CO529" t="s">
        <v>134</v>
      </c>
      <c r="CP529">
        <v>3373.02</v>
      </c>
      <c r="CQ529" t="s">
        <v>134</v>
      </c>
      <c r="CR529">
        <v>3195.35</v>
      </c>
      <c r="CS529" t="s">
        <v>134</v>
      </c>
      <c r="CT529" t="s">
        <v>134</v>
      </c>
      <c r="CU529" t="s">
        <v>134</v>
      </c>
      <c r="CV529" t="s">
        <v>134</v>
      </c>
      <c r="CW529" t="s">
        <v>134</v>
      </c>
      <c r="CX529" t="s">
        <v>134</v>
      </c>
      <c r="CY529" t="s">
        <v>134</v>
      </c>
      <c r="CZ529" t="s">
        <v>134</v>
      </c>
      <c r="DA529" t="s">
        <v>134</v>
      </c>
      <c r="DB529" t="s">
        <v>134</v>
      </c>
      <c r="DC529" t="s">
        <v>134</v>
      </c>
      <c r="DD529" t="s">
        <v>134</v>
      </c>
      <c r="DE529" t="s">
        <v>134</v>
      </c>
      <c r="DF529" t="s">
        <v>134</v>
      </c>
      <c r="DG529" t="s">
        <v>134</v>
      </c>
      <c r="DH529" t="s">
        <v>134</v>
      </c>
      <c r="DI529" t="s">
        <v>134</v>
      </c>
    </row>
    <row r="530" spans="4:113" x14ac:dyDescent="0.3">
      <c r="E530" t="s">
        <v>5</v>
      </c>
      <c r="F530" t="s">
        <v>134</v>
      </c>
      <c r="G530" t="s">
        <v>134</v>
      </c>
      <c r="H530" t="s">
        <v>134</v>
      </c>
      <c r="I530" t="s">
        <v>134</v>
      </c>
      <c r="J530">
        <v>37.871200000000002</v>
      </c>
      <c r="K530">
        <v>36.022300000000001</v>
      </c>
      <c r="L530">
        <v>85.617999999999995</v>
      </c>
      <c r="M530">
        <v>56.102499999999999</v>
      </c>
      <c r="N530">
        <v>38.789400000000001</v>
      </c>
      <c r="O530">
        <v>38.789400000000001</v>
      </c>
      <c r="P530">
        <v>38.789400000000001</v>
      </c>
      <c r="Q530">
        <v>30.8598</v>
      </c>
      <c r="R530" t="s">
        <v>134</v>
      </c>
      <c r="S530" t="s">
        <v>134</v>
      </c>
      <c r="T530">
        <v>21.623699999999999</v>
      </c>
      <c r="U530">
        <v>66.577500000000001</v>
      </c>
      <c r="V530">
        <v>73.183199999999999</v>
      </c>
      <c r="W530">
        <v>137.76320000000001</v>
      </c>
      <c r="X530">
        <v>137.60040000000001</v>
      </c>
      <c r="Y530" t="s">
        <v>134</v>
      </c>
      <c r="Z530" t="s">
        <v>134</v>
      </c>
      <c r="AA530" t="s">
        <v>134</v>
      </c>
      <c r="AB530" t="s">
        <v>134</v>
      </c>
      <c r="AC530" t="s">
        <v>134</v>
      </c>
      <c r="AD530" t="s">
        <v>134</v>
      </c>
      <c r="AE530" t="s">
        <v>134</v>
      </c>
      <c r="AF530" t="s">
        <v>134</v>
      </c>
      <c r="AG530" t="s">
        <v>134</v>
      </c>
      <c r="AH530" t="s">
        <v>134</v>
      </c>
      <c r="AI530" t="s">
        <v>134</v>
      </c>
      <c r="AJ530" t="s">
        <v>134</v>
      </c>
      <c r="AK530" t="s">
        <v>134</v>
      </c>
      <c r="AL530" t="s">
        <v>134</v>
      </c>
      <c r="AM530" t="s">
        <v>134</v>
      </c>
      <c r="AN530" t="s">
        <v>134</v>
      </c>
      <c r="AO530" t="s">
        <v>134</v>
      </c>
      <c r="AP530" t="s">
        <v>134</v>
      </c>
      <c r="AQ530" t="s">
        <v>134</v>
      </c>
      <c r="AR530" t="s">
        <v>134</v>
      </c>
      <c r="AS530" t="s">
        <v>134</v>
      </c>
      <c r="AT530" t="s">
        <v>134</v>
      </c>
      <c r="AU530" t="s">
        <v>134</v>
      </c>
      <c r="AV530" t="s">
        <v>134</v>
      </c>
      <c r="AW530" t="s">
        <v>134</v>
      </c>
      <c r="AX530" t="s">
        <v>134</v>
      </c>
      <c r="AY530" t="s">
        <v>134</v>
      </c>
      <c r="AZ530" t="s">
        <v>134</v>
      </c>
      <c r="BA530" t="s">
        <v>134</v>
      </c>
      <c r="BB530" t="s">
        <v>134</v>
      </c>
      <c r="BC530" t="s">
        <v>134</v>
      </c>
      <c r="BD530" t="s">
        <v>134</v>
      </c>
      <c r="BE530" t="s">
        <v>134</v>
      </c>
      <c r="BF530">
        <v>7.2976999999999999</v>
      </c>
      <c r="BG530">
        <v>8.3513000000000002</v>
      </c>
      <c r="BH530">
        <v>8.7921999999999993</v>
      </c>
      <c r="BI530">
        <v>2.2259000000000002</v>
      </c>
      <c r="BJ530">
        <v>2.1414</v>
      </c>
      <c r="BK530" t="s">
        <v>134</v>
      </c>
      <c r="BL530" t="s">
        <v>134</v>
      </c>
      <c r="BM530" t="s">
        <v>134</v>
      </c>
      <c r="BN530" t="s">
        <v>134</v>
      </c>
      <c r="BO530" t="s">
        <v>134</v>
      </c>
      <c r="BP530" t="s">
        <v>134</v>
      </c>
      <c r="BQ530" t="s">
        <v>134</v>
      </c>
      <c r="BR530" t="s">
        <v>134</v>
      </c>
      <c r="BS530" t="s">
        <v>134</v>
      </c>
      <c r="BT530" t="s">
        <v>134</v>
      </c>
      <c r="BU530" t="s">
        <v>134</v>
      </c>
      <c r="BV530" t="s">
        <v>134</v>
      </c>
      <c r="BW530" t="s">
        <v>134</v>
      </c>
      <c r="BX530" t="s">
        <v>134</v>
      </c>
      <c r="BY530">
        <v>0</v>
      </c>
      <c r="BZ530">
        <v>0</v>
      </c>
      <c r="CA530">
        <v>0</v>
      </c>
      <c r="CB530">
        <v>0</v>
      </c>
      <c r="CC530">
        <v>-4.4943999999999997</v>
      </c>
      <c r="CD530">
        <v>0</v>
      </c>
      <c r="CE530">
        <v>-4.7413999999999996</v>
      </c>
      <c r="CF530" t="s">
        <v>134</v>
      </c>
      <c r="CG530">
        <v>89.221500000000006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-72.686099999999996</v>
      </c>
      <c r="CO530">
        <v>-266.11450000000002</v>
      </c>
      <c r="CP530">
        <v>3654.71</v>
      </c>
      <c r="CQ530" t="s">
        <v>134</v>
      </c>
      <c r="CR530">
        <v>3476.29</v>
      </c>
      <c r="CS530">
        <v>6.7907999999999999</v>
      </c>
      <c r="CT530">
        <v>8.5824999999999996</v>
      </c>
      <c r="CU530">
        <v>7.7108999999999996</v>
      </c>
      <c r="CV530">
        <v>18.934200000000001</v>
      </c>
      <c r="CW530" t="s">
        <v>134</v>
      </c>
      <c r="CX530" t="s">
        <v>134</v>
      </c>
      <c r="CY530" t="s">
        <v>134</v>
      </c>
      <c r="CZ530" t="s">
        <v>134</v>
      </c>
      <c r="DA530" t="s">
        <v>134</v>
      </c>
      <c r="DB530" t="s">
        <v>134</v>
      </c>
      <c r="DC530" t="s">
        <v>134</v>
      </c>
      <c r="DD530" t="s">
        <v>134</v>
      </c>
      <c r="DE530">
        <v>0</v>
      </c>
      <c r="DF530">
        <v>0</v>
      </c>
      <c r="DG530">
        <v>0</v>
      </c>
      <c r="DH530">
        <v>0</v>
      </c>
      <c r="DI530">
        <v>0</v>
      </c>
    </row>
    <row r="531" spans="4:113" x14ac:dyDescent="0.3">
      <c r="E531" t="s">
        <v>6</v>
      </c>
      <c r="F531">
        <v>16.765699999999999</v>
      </c>
      <c r="G531">
        <v>14.8714</v>
      </c>
      <c r="H531" t="s">
        <v>134</v>
      </c>
      <c r="I531">
        <v>11.5001</v>
      </c>
      <c r="J531">
        <v>36.636400000000002</v>
      </c>
      <c r="K531">
        <v>34.8095</v>
      </c>
      <c r="L531">
        <v>57.801299999999998</v>
      </c>
      <c r="M531">
        <v>48.509500000000003</v>
      </c>
      <c r="N531">
        <v>32.8857</v>
      </c>
      <c r="O531">
        <v>32.8857</v>
      </c>
      <c r="P531">
        <v>32.8857</v>
      </c>
      <c r="Q531">
        <v>32.207700000000003</v>
      </c>
      <c r="R531" t="s">
        <v>134</v>
      </c>
      <c r="S531" t="s">
        <v>134</v>
      </c>
      <c r="T531">
        <v>15.1204</v>
      </c>
      <c r="U531">
        <v>26.807200000000002</v>
      </c>
      <c r="V531">
        <v>27.8932</v>
      </c>
      <c r="W531">
        <v>20.331399999999999</v>
      </c>
      <c r="X531">
        <v>20.257899999999999</v>
      </c>
      <c r="Y531" t="s">
        <v>134</v>
      </c>
      <c r="Z531">
        <v>17.183399999999999</v>
      </c>
      <c r="AA531" t="s">
        <v>134</v>
      </c>
      <c r="AB531">
        <v>-7.1581999999999999</v>
      </c>
      <c r="AC531">
        <v>12.4984</v>
      </c>
      <c r="AD531">
        <v>15.872999999999999</v>
      </c>
      <c r="AE531">
        <v>21.285799999999998</v>
      </c>
      <c r="AF531">
        <v>56.134700000000002</v>
      </c>
      <c r="AG531" t="s">
        <v>134</v>
      </c>
      <c r="AH531" t="s">
        <v>134</v>
      </c>
      <c r="AI531">
        <v>14.202999999999999</v>
      </c>
      <c r="AJ531">
        <v>14.202999999999999</v>
      </c>
      <c r="AK531">
        <v>14.202999999999999</v>
      </c>
      <c r="AL531" t="s">
        <v>134</v>
      </c>
      <c r="AM531" t="s">
        <v>134</v>
      </c>
      <c r="AN531" t="s">
        <v>134</v>
      </c>
      <c r="AO531" t="s">
        <v>134</v>
      </c>
      <c r="AP531" t="s">
        <v>134</v>
      </c>
      <c r="AQ531" t="s">
        <v>134</v>
      </c>
      <c r="AR531" t="s">
        <v>134</v>
      </c>
      <c r="AS531" t="s">
        <v>134</v>
      </c>
      <c r="AT531" t="s">
        <v>134</v>
      </c>
      <c r="AU531" t="s">
        <v>134</v>
      </c>
      <c r="AV531" t="s">
        <v>134</v>
      </c>
      <c r="AW531" t="s">
        <v>134</v>
      </c>
      <c r="AX531" t="s">
        <v>134</v>
      </c>
      <c r="AY531" t="s">
        <v>134</v>
      </c>
      <c r="AZ531" t="s">
        <v>134</v>
      </c>
      <c r="BA531" t="s">
        <v>134</v>
      </c>
      <c r="BB531" t="s">
        <v>134</v>
      </c>
      <c r="BC531" t="s">
        <v>134</v>
      </c>
      <c r="BD531" t="s">
        <v>134</v>
      </c>
      <c r="BE531" t="s">
        <v>134</v>
      </c>
      <c r="BF531">
        <v>1.7257</v>
      </c>
      <c r="BG531">
        <v>-1.8456999999999999</v>
      </c>
      <c r="BH531">
        <v>-1.9670999999999998</v>
      </c>
      <c r="BI531">
        <v>-10.210800000000001</v>
      </c>
      <c r="BJ531">
        <v>-10.279299999999999</v>
      </c>
      <c r="BK531" t="s">
        <v>134</v>
      </c>
      <c r="BL531">
        <v>6.3432000000000004</v>
      </c>
      <c r="BM531" t="s">
        <v>134</v>
      </c>
      <c r="BN531">
        <v>-4.3227000000000002</v>
      </c>
      <c r="BO531">
        <v>3.7149000000000001</v>
      </c>
      <c r="BP531">
        <v>5.3090000000000002</v>
      </c>
      <c r="BQ531">
        <v>6.5239000000000003</v>
      </c>
      <c r="BR531">
        <v>35.754100000000001</v>
      </c>
      <c r="BS531" t="s">
        <v>134</v>
      </c>
      <c r="BT531" t="s">
        <v>134</v>
      </c>
      <c r="BU531">
        <v>3.8397000000000001</v>
      </c>
      <c r="BV531">
        <v>3.8397000000000001</v>
      </c>
      <c r="BW531">
        <v>3.8169</v>
      </c>
      <c r="BX531" t="s">
        <v>134</v>
      </c>
      <c r="BY531">
        <v>0</v>
      </c>
      <c r="BZ531">
        <v>0</v>
      </c>
      <c r="CA531">
        <v>0</v>
      </c>
      <c r="CB531">
        <v>0</v>
      </c>
      <c r="CC531">
        <v>-4.4236000000000004</v>
      </c>
      <c r="CD531">
        <v>0</v>
      </c>
      <c r="CE531">
        <v>-4.6577999999999999</v>
      </c>
      <c r="CF531" t="s">
        <v>134</v>
      </c>
      <c r="CG531">
        <v>89.328900000000004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-72.920900000000003</v>
      </c>
      <c r="CO531">
        <v>-269.28809999999999</v>
      </c>
      <c r="CP531">
        <v>3596.57</v>
      </c>
      <c r="CQ531" t="s">
        <v>134</v>
      </c>
      <c r="CR531">
        <v>3417.23</v>
      </c>
      <c r="CS531">
        <v>6.7853000000000003</v>
      </c>
      <c r="CT531">
        <v>8.7471999999999994</v>
      </c>
      <c r="CU531">
        <v>7.7237</v>
      </c>
      <c r="CV531">
        <v>19.675599999999999</v>
      </c>
      <c r="CW531">
        <v>4.7155000000000005</v>
      </c>
      <c r="CX531">
        <v>77.404799999999994</v>
      </c>
      <c r="CY531" t="s">
        <v>134</v>
      </c>
      <c r="CZ531" t="s">
        <v>134</v>
      </c>
      <c r="DA531" t="s">
        <v>134</v>
      </c>
      <c r="DB531" t="s">
        <v>134</v>
      </c>
      <c r="DC531" t="s">
        <v>134</v>
      </c>
      <c r="DD531" t="s">
        <v>134</v>
      </c>
      <c r="DE531">
        <v>0</v>
      </c>
      <c r="DF531">
        <v>0</v>
      </c>
      <c r="DG531">
        <v>0</v>
      </c>
      <c r="DH531">
        <v>0</v>
      </c>
      <c r="DI531">
        <v>0</v>
      </c>
    </row>
    <row r="532" spans="4:113" x14ac:dyDescent="0.3">
      <c r="E532" t="s">
        <v>7</v>
      </c>
      <c r="F532">
        <v>16.799600000000002</v>
      </c>
      <c r="G532">
        <v>14.985900000000001</v>
      </c>
      <c r="H532" t="s">
        <v>134</v>
      </c>
      <c r="I532">
        <v>11.1144</v>
      </c>
      <c r="J532">
        <v>37.536799999999999</v>
      </c>
      <c r="K532">
        <v>35.511600000000001</v>
      </c>
      <c r="L532">
        <v>25.7255</v>
      </c>
      <c r="M532">
        <v>52.222999999999999</v>
      </c>
      <c r="N532">
        <v>34.718499999999999</v>
      </c>
      <c r="O532">
        <v>34.718499999999999</v>
      </c>
      <c r="P532">
        <v>34.718499999999999</v>
      </c>
      <c r="Q532">
        <v>33.518700000000003</v>
      </c>
      <c r="R532" t="s">
        <v>134</v>
      </c>
      <c r="S532" t="s">
        <v>134</v>
      </c>
      <c r="T532">
        <v>1.5598000000000001</v>
      </c>
      <c r="U532">
        <v>1.5322</v>
      </c>
      <c r="V532">
        <v>1.1251</v>
      </c>
      <c r="W532">
        <v>10.465</v>
      </c>
      <c r="X532">
        <v>10.743500000000001</v>
      </c>
      <c r="Y532" t="s">
        <v>134</v>
      </c>
      <c r="Z532">
        <v>-6.4858000000000002</v>
      </c>
      <c r="AA532" t="s">
        <v>134</v>
      </c>
      <c r="AB532">
        <v>-10.458500000000001</v>
      </c>
      <c r="AC532">
        <v>15.544</v>
      </c>
      <c r="AD532">
        <v>-10.0655</v>
      </c>
      <c r="AE532">
        <v>25.9909</v>
      </c>
      <c r="AF532">
        <v>99.919799999999995</v>
      </c>
      <c r="AG532">
        <v>-66.599999999999994</v>
      </c>
      <c r="AH532">
        <v>-75.185699999999997</v>
      </c>
      <c r="AI532">
        <v>18.503799999999998</v>
      </c>
      <c r="AJ532">
        <v>18.4953</v>
      </c>
      <c r="AK532">
        <v>18.393000000000001</v>
      </c>
      <c r="AL532" t="s">
        <v>134</v>
      </c>
      <c r="AM532" t="s">
        <v>134</v>
      </c>
      <c r="AN532" t="s">
        <v>134</v>
      </c>
      <c r="AO532" t="s">
        <v>134</v>
      </c>
      <c r="AP532" t="s">
        <v>134</v>
      </c>
      <c r="AQ532" t="s">
        <v>134</v>
      </c>
      <c r="AR532" t="s">
        <v>134</v>
      </c>
      <c r="AS532" t="s">
        <v>134</v>
      </c>
      <c r="AT532" t="s">
        <v>134</v>
      </c>
      <c r="AU532" t="s">
        <v>134</v>
      </c>
      <c r="AV532" t="s">
        <v>134</v>
      </c>
      <c r="AW532" t="s">
        <v>134</v>
      </c>
      <c r="AX532" t="s">
        <v>134</v>
      </c>
      <c r="AY532" t="s">
        <v>134</v>
      </c>
      <c r="AZ532" t="s">
        <v>134</v>
      </c>
      <c r="BA532" t="s">
        <v>134</v>
      </c>
      <c r="BB532" t="s">
        <v>134</v>
      </c>
      <c r="BC532" t="s">
        <v>134</v>
      </c>
      <c r="BD532" t="s">
        <v>134</v>
      </c>
      <c r="BE532" t="s">
        <v>134</v>
      </c>
      <c r="BF532">
        <v>-8.8107000000000006</v>
      </c>
      <c r="BG532">
        <v>-6.5696000000000003</v>
      </c>
      <c r="BH532">
        <v>-6.9714</v>
      </c>
      <c r="BI532">
        <v>-3.7284999999999999</v>
      </c>
      <c r="BJ532">
        <v>-3.7404999999999999</v>
      </c>
      <c r="BK532" t="s">
        <v>134</v>
      </c>
      <c r="BL532">
        <v>-20.198399999999999</v>
      </c>
      <c r="BM532" t="s">
        <v>134</v>
      </c>
      <c r="BN532">
        <v>-3.5548000000000002</v>
      </c>
      <c r="BO532">
        <v>2.7072000000000003</v>
      </c>
      <c r="BP532">
        <v>-22.385300000000001</v>
      </c>
      <c r="BQ532">
        <v>3.8792999999999997</v>
      </c>
      <c r="BR532">
        <v>28.043099999999999</v>
      </c>
      <c r="BS532" t="s">
        <v>134</v>
      </c>
      <c r="BT532" t="s">
        <v>134</v>
      </c>
      <c r="BU532">
        <v>3.7659000000000002</v>
      </c>
      <c r="BV532">
        <v>3.7679</v>
      </c>
      <c r="BW532">
        <v>3.7115999999999998</v>
      </c>
      <c r="BX532" t="s">
        <v>134</v>
      </c>
      <c r="BY532">
        <v>1.67</v>
      </c>
      <c r="BZ532">
        <v>1.67</v>
      </c>
      <c r="CA532">
        <v>0</v>
      </c>
      <c r="CB532">
        <v>1E-4</v>
      </c>
      <c r="CC532">
        <v>-4.7676999999999996</v>
      </c>
      <c r="CD532">
        <v>1E-4</v>
      </c>
      <c r="CE532">
        <v>-5.0250000000000004</v>
      </c>
      <c r="CF532" t="s">
        <v>134</v>
      </c>
      <c r="CG532">
        <v>90.249799999999993</v>
      </c>
      <c r="CH532">
        <v>0</v>
      </c>
      <c r="CI532">
        <v>0</v>
      </c>
      <c r="CJ532">
        <v>0</v>
      </c>
      <c r="CK532">
        <v>1.9E-3</v>
      </c>
      <c r="CL532">
        <v>1.9E-3</v>
      </c>
      <c r="CM532">
        <v>1.6999999999999999E-3</v>
      </c>
      <c r="CN532">
        <v>-76.016599999999997</v>
      </c>
      <c r="CO532">
        <v>-316.9554</v>
      </c>
      <c r="CP532">
        <v>3360.29</v>
      </c>
      <c r="CQ532" t="s">
        <v>134</v>
      </c>
      <c r="CR532">
        <v>3179</v>
      </c>
      <c r="CS532">
        <v>7.91</v>
      </c>
      <c r="CT532">
        <v>9.6727000000000007</v>
      </c>
      <c r="CU532">
        <v>8.7170000000000005</v>
      </c>
      <c r="CV532">
        <v>19.337299999999999</v>
      </c>
      <c r="CW532">
        <v>5.3117000000000001</v>
      </c>
      <c r="CX532">
        <v>68.715599999999995</v>
      </c>
      <c r="CY532" t="s">
        <v>134</v>
      </c>
      <c r="CZ532" t="s">
        <v>134</v>
      </c>
      <c r="DA532" t="s">
        <v>134</v>
      </c>
      <c r="DB532" t="s">
        <v>134</v>
      </c>
      <c r="DC532" t="s">
        <v>134</v>
      </c>
      <c r="DD532" t="s">
        <v>134</v>
      </c>
      <c r="DE532">
        <v>0</v>
      </c>
      <c r="DF532">
        <v>0</v>
      </c>
      <c r="DG532">
        <v>0</v>
      </c>
      <c r="DH532">
        <v>0</v>
      </c>
      <c r="DI532">
        <v>0</v>
      </c>
    </row>
    <row r="533" spans="4:113" x14ac:dyDescent="0.3">
      <c r="D533" t="s">
        <v>8</v>
      </c>
      <c r="E533" t="s">
        <v>3</v>
      </c>
      <c r="F533">
        <v>19.512599999999999</v>
      </c>
      <c r="G533">
        <v>14.9079</v>
      </c>
      <c r="H533" t="s">
        <v>134</v>
      </c>
      <c r="I533">
        <v>16.564599999999999</v>
      </c>
      <c r="J533">
        <v>41.922400000000003</v>
      </c>
      <c r="K533">
        <v>40.178699999999999</v>
      </c>
      <c r="L533">
        <v>147.4631</v>
      </c>
      <c r="M533">
        <v>46.885599999999997</v>
      </c>
      <c r="N533">
        <v>30.533899999999999</v>
      </c>
      <c r="O533">
        <v>30.533899999999999</v>
      </c>
      <c r="P533">
        <v>30.533899999999999</v>
      </c>
      <c r="Q533">
        <v>34.875700000000002</v>
      </c>
      <c r="R533">
        <v>471.92770000000002</v>
      </c>
      <c r="S533">
        <v>-72.572699999999998</v>
      </c>
      <c r="T533">
        <v>4.3723999999999998</v>
      </c>
      <c r="U533">
        <v>16.982199999999999</v>
      </c>
      <c r="V533">
        <v>18.168500000000002</v>
      </c>
      <c r="W533">
        <v>-12.285500000000001</v>
      </c>
      <c r="X533">
        <v>-12.5808</v>
      </c>
      <c r="Y533" t="s">
        <v>134</v>
      </c>
      <c r="Z533">
        <v>-11.622999999999999</v>
      </c>
      <c r="AA533" t="s">
        <v>134</v>
      </c>
      <c r="AB533">
        <v>-15.276999999999999</v>
      </c>
      <c r="AC533">
        <v>-35.520699999999998</v>
      </c>
      <c r="AD533">
        <v>-10.7254</v>
      </c>
      <c r="AE533">
        <v>-73.294700000000006</v>
      </c>
      <c r="AF533">
        <v>-23.626200000000001</v>
      </c>
      <c r="AG533">
        <v>-97.604799999999997</v>
      </c>
      <c r="AH533">
        <v>-97.604799999999997</v>
      </c>
      <c r="AI533">
        <v>-60.7592</v>
      </c>
      <c r="AJ533">
        <v>-60.759900000000002</v>
      </c>
      <c r="AK533">
        <v>-60.977499999999999</v>
      </c>
      <c r="AL533">
        <v>45.906700000000001</v>
      </c>
      <c r="AM533">
        <v>6.3225999999999996</v>
      </c>
      <c r="AN533">
        <v>9.7499000000000002</v>
      </c>
      <c r="AO533">
        <v>9.8863000000000003</v>
      </c>
      <c r="AP533">
        <v>9.0355000000000008</v>
      </c>
      <c r="AQ533">
        <v>8.8320000000000007</v>
      </c>
      <c r="AR533" t="s">
        <v>134</v>
      </c>
      <c r="AS533">
        <v>-2.3689</v>
      </c>
      <c r="AT533" t="s">
        <v>134</v>
      </c>
      <c r="AU533">
        <v>-3.2532999999999999</v>
      </c>
      <c r="AV533">
        <v>5.0749000000000004</v>
      </c>
      <c r="AW533">
        <v>-3.5724</v>
      </c>
      <c r="AX533">
        <v>-9.8969000000000005</v>
      </c>
      <c r="AY533" t="s">
        <v>134</v>
      </c>
      <c r="AZ533">
        <v>-66.864099999999993</v>
      </c>
      <c r="BA533">
        <v>-74.341200000000001</v>
      </c>
      <c r="BB533">
        <v>-4.2990000000000004</v>
      </c>
      <c r="BC533">
        <v>-4.3150000000000004</v>
      </c>
      <c r="BD533">
        <v>-4.4714999999999998</v>
      </c>
      <c r="BE533">
        <v>15.715400000000001</v>
      </c>
      <c r="BF533">
        <v>4.3723999999999998</v>
      </c>
      <c r="BG533">
        <v>16.982199999999999</v>
      </c>
      <c r="BH533">
        <v>18.168500000000002</v>
      </c>
      <c r="BI533">
        <v>-12.285500000000001</v>
      </c>
      <c r="BJ533">
        <v>-12.5808</v>
      </c>
      <c r="BK533" t="s">
        <v>134</v>
      </c>
      <c r="BL533">
        <v>-11.622999999999999</v>
      </c>
      <c r="BM533" t="s">
        <v>134</v>
      </c>
      <c r="BN533">
        <v>-15.276999999999999</v>
      </c>
      <c r="BO533">
        <v>-35.520699999999998</v>
      </c>
      <c r="BP533">
        <v>-10.7254</v>
      </c>
      <c r="BQ533">
        <v>-73.294700000000006</v>
      </c>
      <c r="BR533">
        <v>-23.626200000000001</v>
      </c>
      <c r="BS533">
        <v>-97.604799999999997</v>
      </c>
      <c r="BT533">
        <v>-97.604799999999997</v>
      </c>
      <c r="BU533">
        <v>-60.7592</v>
      </c>
      <c r="BV533">
        <v>-60.759900000000002</v>
      </c>
      <c r="BW533">
        <v>-60.977499999999999</v>
      </c>
      <c r="BX533">
        <v>45.906700000000001</v>
      </c>
      <c r="BY533">
        <v>0.04</v>
      </c>
      <c r="BZ533">
        <v>0.04</v>
      </c>
      <c r="CA533">
        <v>0</v>
      </c>
      <c r="CB533">
        <v>0</v>
      </c>
      <c r="CC533">
        <v>-2.1766999999999999</v>
      </c>
      <c r="CD533">
        <v>0</v>
      </c>
      <c r="CE533">
        <v>-2.2711999999999999</v>
      </c>
      <c r="CF533" t="s">
        <v>134</v>
      </c>
      <c r="CG533">
        <v>54.924199999999999</v>
      </c>
      <c r="CH533">
        <v>0</v>
      </c>
      <c r="CI533">
        <v>0</v>
      </c>
      <c r="CJ533">
        <v>0</v>
      </c>
      <c r="CK533">
        <v>1E-4</v>
      </c>
      <c r="CL533">
        <v>1E-4</v>
      </c>
      <c r="CM533">
        <v>1E-4</v>
      </c>
      <c r="CN533">
        <v>-103.4599</v>
      </c>
      <c r="CO533">
        <v>2990.2203</v>
      </c>
      <c r="CP533">
        <v>16370.31</v>
      </c>
      <c r="CQ533">
        <v>16218.86</v>
      </c>
      <c r="CR533">
        <v>15689.39</v>
      </c>
      <c r="CS533">
        <v>1.3108</v>
      </c>
      <c r="CT533">
        <v>1.7185999999999999</v>
      </c>
      <c r="CU533">
        <v>1.5321</v>
      </c>
      <c r="CV533">
        <v>8.2139000000000006</v>
      </c>
      <c r="CW533">
        <v>6.0902000000000003</v>
      </c>
      <c r="CX533">
        <v>59.932699999999997</v>
      </c>
      <c r="CY533" t="s">
        <v>134</v>
      </c>
      <c r="CZ533" t="s">
        <v>134</v>
      </c>
      <c r="DA533" t="s">
        <v>134</v>
      </c>
      <c r="DB533" t="s">
        <v>134</v>
      </c>
      <c r="DC533" t="s">
        <v>134</v>
      </c>
      <c r="DD533" t="s">
        <v>134</v>
      </c>
      <c r="DE533">
        <v>0</v>
      </c>
      <c r="DF533">
        <v>0</v>
      </c>
      <c r="DG533">
        <v>0</v>
      </c>
      <c r="DH533">
        <v>0</v>
      </c>
      <c r="DI533">
        <v>0</v>
      </c>
    </row>
    <row r="534" spans="4:113" x14ac:dyDescent="0.3">
      <c r="E534" t="s">
        <v>4</v>
      </c>
      <c r="F534" t="s">
        <v>134</v>
      </c>
      <c r="G534" t="s">
        <v>134</v>
      </c>
      <c r="H534" t="s">
        <v>134</v>
      </c>
      <c r="I534" t="s">
        <v>134</v>
      </c>
      <c r="J534">
        <v>45.253399999999999</v>
      </c>
      <c r="K534">
        <v>43.508699999999997</v>
      </c>
      <c r="L534">
        <v>84.863900000000001</v>
      </c>
      <c r="M534">
        <v>57.520200000000003</v>
      </c>
      <c r="N534">
        <v>36.760199999999998</v>
      </c>
      <c r="O534">
        <v>36.760199999999998</v>
      </c>
      <c r="P534">
        <v>36.760199999999998</v>
      </c>
      <c r="Q534">
        <v>36.0916</v>
      </c>
      <c r="R534" t="s">
        <v>134</v>
      </c>
      <c r="S534" t="s">
        <v>134</v>
      </c>
      <c r="T534">
        <v>19.299299999999999</v>
      </c>
      <c r="U534">
        <v>43.954099999999997</v>
      </c>
      <c r="V534">
        <v>46.099800000000002</v>
      </c>
      <c r="W534">
        <v>7.7145000000000001</v>
      </c>
      <c r="X534">
        <v>7.5524000000000004</v>
      </c>
      <c r="Y534" t="s">
        <v>134</v>
      </c>
      <c r="Z534" t="s">
        <v>134</v>
      </c>
      <c r="AA534" t="s">
        <v>134</v>
      </c>
      <c r="AB534" t="s">
        <v>134</v>
      </c>
      <c r="AC534" t="s">
        <v>134</v>
      </c>
      <c r="AD534" t="s">
        <v>134</v>
      </c>
      <c r="AE534" t="s">
        <v>134</v>
      </c>
      <c r="AF534" t="s">
        <v>134</v>
      </c>
      <c r="AG534" t="s">
        <v>134</v>
      </c>
      <c r="AH534" t="s">
        <v>134</v>
      </c>
      <c r="AI534" t="s">
        <v>134</v>
      </c>
      <c r="AJ534" t="s">
        <v>134</v>
      </c>
      <c r="AK534" t="s">
        <v>134</v>
      </c>
      <c r="AL534" t="s">
        <v>134</v>
      </c>
      <c r="AM534">
        <v>8.6084999999999994</v>
      </c>
      <c r="AN534">
        <v>15.56</v>
      </c>
      <c r="AO534">
        <v>15.9354</v>
      </c>
      <c r="AP534">
        <v>16.249099999999999</v>
      </c>
      <c r="AQ534">
        <v>16.082799999999999</v>
      </c>
      <c r="AR534" t="s">
        <v>134</v>
      </c>
      <c r="AS534" t="s">
        <v>134</v>
      </c>
      <c r="AT534" t="s">
        <v>134</v>
      </c>
      <c r="AU534" t="s">
        <v>134</v>
      </c>
      <c r="AV534" t="s">
        <v>134</v>
      </c>
      <c r="AW534" t="s">
        <v>134</v>
      </c>
      <c r="AX534" t="s">
        <v>134</v>
      </c>
      <c r="AY534" t="s">
        <v>134</v>
      </c>
      <c r="AZ534" t="s">
        <v>134</v>
      </c>
      <c r="BA534" t="s">
        <v>134</v>
      </c>
      <c r="BB534" t="s">
        <v>134</v>
      </c>
      <c r="BC534" t="s">
        <v>134</v>
      </c>
      <c r="BD534" t="s">
        <v>134</v>
      </c>
      <c r="BE534" t="s">
        <v>134</v>
      </c>
      <c r="BF534">
        <v>19.859200000000001</v>
      </c>
      <c r="BG534">
        <v>44.499400000000001</v>
      </c>
      <c r="BH534">
        <v>46.851199999999999</v>
      </c>
      <c r="BI534">
        <v>26.908000000000001</v>
      </c>
      <c r="BJ534">
        <v>26.929300000000001</v>
      </c>
      <c r="BK534" t="s">
        <v>134</v>
      </c>
      <c r="BL534" t="s">
        <v>134</v>
      </c>
      <c r="BM534" t="s">
        <v>134</v>
      </c>
      <c r="BN534" t="s">
        <v>134</v>
      </c>
      <c r="BO534" t="s">
        <v>134</v>
      </c>
      <c r="BP534" t="s">
        <v>134</v>
      </c>
      <c r="BQ534" t="s">
        <v>134</v>
      </c>
      <c r="BR534" t="s">
        <v>134</v>
      </c>
      <c r="BS534" t="s">
        <v>134</v>
      </c>
      <c r="BT534" t="s">
        <v>134</v>
      </c>
      <c r="BU534" t="s">
        <v>134</v>
      </c>
      <c r="BV534" t="s">
        <v>134</v>
      </c>
      <c r="BW534" t="s">
        <v>134</v>
      </c>
      <c r="BX534" t="s">
        <v>134</v>
      </c>
      <c r="BY534" t="s">
        <v>134</v>
      </c>
      <c r="BZ534" t="s">
        <v>134</v>
      </c>
      <c r="CA534" t="s">
        <v>134</v>
      </c>
      <c r="CB534" t="s">
        <v>134</v>
      </c>
      <c r="CC534" t="s">
        <v>134</v>
      </c>
      <c r="CD534" t="s">
        <v>134</v>
      </c>
      <c r="CE534" t="s">
        <v>134</v>
      </c>
      <c r="CF534" t="s">
        <v>134</v>
      </c>
      <c r="CG534" t="s">
        <v>134</v>
      </c>
      <c r="CH534" t="s">
        <v>134</v>
      </c>
      <c r="CI534" t="s">
        <v>134</v>
      </c>
      <c r="CJ534" t="s">
        <v>134</v>
      </c>
      <c r="CK534" t="s">
        <v>134</v>
      </c>
      <c r="CL534" t="s">
        <v>134</v>
      </c>
      <c r="CM534" t="s">
        <v>134</v>
      </c>
      <c r="CN534" t="s">
        <v>134</v>
      </c>
      <c r="CO534" t="s">
        <v>134</v>
      </c>
      <c r="CP534">
        <v>4855.6000000000004</v>
      </c>
      <c r="CQ534">
        <v>4855.6000000000004</v>
      </c>
      <c r="CR534">
        <v>4668.3999999999996</v>
      </c>
      <c r="CS534" t="s">
        <v>134</v>
      </c>
      <c r="CT534" t="s">
        <v>134</v>
      </c>
      <c r="CU534" t="s">
        <v>134</v>
      </c>
      <c r="CV534" t="s">
        <v>134</v>
      </c>
      <c r="CW534" t="s">
        <v>134</v>
      </c>
      <c r="CX534" t="s">
        <v>134</v>
      </c>
      <c r="CY534" t="s">
        <v>134</v>
      </c>
      <c r="CZ534" t="s">
        <v>134</v>
      </c>
      <c r="DA534" t="s">
        <v>134</v>
      </c>
      <c r="DB534" t="s">
        <v>134</v>
      </c>
      <c r="DC534" t="s">
        <v>134</v>
      </c>
      <c r="DD534" t="s">
        <v>134</v>
      </c>
      <c r="DE534" t="s">
        <v>134</v>
      </c>
      <c r="DF534" t="s">
        <v>134</v>
      </c>
      <c r="DG534" t="s">
        <v>134</v>
      </c>
      <c r="DH534" t="s">
        <v>134</v>
      </c>
      <c r="DI534" t="s">
        <v>134</v>
      </c>
    </row>
    <row r="535" spans="4:113" x14ac:dyDescent="0.3">
      <c r="E535" t="s">
        <v>5</v>
      </c>
      <c r="F535">
        <v>20.8094</v>
      </c>
      <c r="G535">
        <v>18.096599999999999</v>
      </c>
      <c r="H535" t="s">
        <v>134</v>
      </c>
      <c r="I535">
        <v>15.067399999999999</v>
      </c>
      <c r="J535">
        <v>37.2607</v>
      </c>
      <c r="K535">
        <v>35.518999999999998</v>
      </c>
      <c r="L535">
        <v>-63.764600000000002</v>
      </c>
      <c r="M535">
        <v>51.340400000000002</v>
      </c>
      <c r="N535">
        <v>33.653399999999998</v>
      </c>
      <c r="O535">
        <v>33.653399999999998</v>
      </c>
      <c r="P535">
        <v>33.653399999999998</v>
      </c>
      <c r="Q535">
        <v>34.450400000000002</v>
      </c>
      <c r="R535" t="s">
        <v>134</v>
      </c>
      <c r="S535" t="s">
        <v>134</v>
      </c>
      <c r="T535">
        <v>-2.1305000000000001</v>
      </c>
      <c r="U535">
        <v>-3.9572000000000003</v>
      </c>
      <c r="V535">
        <v>-3.7610000000000001</v>
      </c>
      <c r="W535">
        <v>-11.597799999999999</v>
      </c>
      <c r="X535">
        <v>-11.8986</v>
      </c>
      <c r="Y535" t="s">
        <v>134</v>
      </c>
      <c r="Z535">
        <v>2.1027</v>
      </c>
      <c r="AA535" t="s">
        <v>134</v>
      </c>
      <c r="AB535">
        <v>142.03100000000001</v>
      </c>
      <c r="AC535">
        <v>-37.071599999999997</v>
      </c>
      <c r="AD535">
        <v>2.9858000000000002</v>
      </c>
      <c r="AE535">
        <v>-48.002600000000001</v>
      </c>
      <c r="AF535">
        <v>-23.0092</v>
      </c>
      <c r="AG535" t="s">
        <v>134</v>
      </c>
      <c r="AH535" t="s">
        <v>134</v>
      </c>
      <c r="AI535">
        <v>-41.194800000000001</v>
      </c>
      <c r="AJ535">
        <v>-41.194800000000001</v>
      </c>
      <c r="AK535">
        <v>-41.565399999999997</v>
      </c>
      <c r="AL535" t="s">
        <v>134</v>
      </c>
      <c r="AM535">
        <v>6.8225999999999996</v>
      </c>
      <c r="AN535" t="s">
        <v>134</v>
      </c>
      <c r="AO535">
        <v>12.4787</v>
      </c>
      <c r="AP535">
        <v>9.2144999999999992</v>
      </c>
      <c r="AQ535">
        <v>9.0075000000000003</v>
      </c>
      <c r="AR535" t="s">
        <v>134</v>
      </c>
      <c r="AS535" t="s">
        <v>134</v>
      </c>
      <c r="AT535" t="s">
        <v>134</v>
      </c>
      <c r="AU535" t="s">
        <v>134</v>
      </c>
      <c r="AV535" t="s">
        <v>134</v>
      </c>
      <c r="AW535" t="s">
        <v>134</v>
      </c>
      <c r="AX535" t="s">
        <v>134</v>
      </c>
      <c r="AY535" t="s">
        <v>134</v>
      </c>
      <c r="AZ535" t="s">
        <v>134</v>
      </c>
      <c r="BA535" t="s">
        <v>134</v>
      </c>
      <c r="BB535" t="s">
        <v>134</v>
      </c>
      <c r="BC535" t="s">
        <v>134</v>
      </c>
      <c r="BD535" t="s">
        <v>134</v>
      </c>
      <c r="BE535" t="s">
        <v>134</v>
      </c>
      <c r="BF535">
        <v>-11.975999999999999</v>
      </c>
      <c r="BG535">
        <v>-27.5229</v>
      </c>
      <c r="BH535">
        <v>-28.1403</v>
      </c>
      <c r="BI535">
        <v>-19.415399999999998</v>
      </c>
      <c r="BJ535">
        <v>-19.631799999999998</v>
      </c>
      <c r="BK535" t="s">
        <v>134</v>
      </c>
      <c r="BL535" t="s">
        <v>134</v>
      </c>
      <c r="BM535" t="s">
        <v>134</v>
      </c>
      <c r="BN535" t="s">
        <v>134</v>
      </c>
      <c r="BO535" t="s">
        <v>134</v>
      </c>
      <c r="BP535" t="s">
        <v>134</v>
      </c>
      <c r="BQ535" t="s">
        <v>134</v>
      </c>
      <c r="BR535" t="s">
        <v>134</v>
      </c>
      <c r="BS535" t="s">
        <v>134</v>
      </c>
      <c r="BT535" t="s">
        <v>134</v>
      </c>
      <c r="BU535" t="s">
        <v>134</v>
      </c>
      <c r="BV535" t="s">
        <v>134</v>
      </c>
      <c r="BW535" t="s">
        <v>134</v>
      </c>
      <c r="BX535" t="s">
        <v>134</v>
      </c>
      <c r="BY535">
        <v>0</v>
      </c>
      <c r="BZ535">
        <v>0</v>
      </c>
      <c r="CA535">
        <v>0</v>
      </c>
      <c r="CB535">
        <v>0</v>
      </c>
      <c r="CC535">
        <v>-1.8519999999999999</v>
      </c>
      <c r="CD535">
        <v>0</v>
      </c>
      <c r="CE535">
        <v>-1.9422999999999999</v>
      </c>
      <c r="CF535" t="s">
        <v>134</v>
      </c>
      <c r="CG535">
        <v>83.375500000000002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-59.277999999999999</v>
      </c>
      <c r="CO535">
        <v>-145.5675</v>
      </c>
      <c r="CP535">
        <v>3519.2</v>
      </c>
      <c r="CQ535">
        <v>3519.2</v>
      </c>
      <c r="CR535">
        <v>3354.7</v>
      </c>
      <c r="CS535">
        <v>3.3609999999999998</v>
      </c>
      <c r="CT535">
        <v>5.0689000000000002</v>
      </c>
      <c r="CU535">
        <v>4.3304999999999998</v>
      </c>
      <c r="CV535">
        <v>22.077999999999999</v>
      </c>
      <c r="CW535">
        <v>4.8042999999999996</v>
      </c>
      <c r="CX535">
        <v>75.973500000000001</v>
      </c>
      <c r="CY535" t="s">
        <v>134</v>
      </c>
      <c r="CZ535" t="s">
        <v>134</v>
      </c>
      <c r="DA535" t="s">
        <v>134</v>
      </c>
      <c r="DB535" t="s">
        <v>134</v>
      </c>
      <c r="DC535" t="s">
        <v>134</v>
      </c>
      <c r="DD535" t="s">
        <v>134</v>
      </c>
      <c r="DE535">
        <v>0</v>
      </c>
      <c r="DF535">
        <v>0</v>
      </c>
      <c r="DG535">
        <v>0</v>
      </c>
      <c r="DH535">
        <v>0</v>
      </c>
      <c r="DI535">
        <v>0</v>
      </c>
    </row>
    <row r="536" spans="4:113" x14ac:dyDescent="0.3">
      <c r="E536" t="s">
        <v>6</v>
      </c>
      <c r="F536" t="s">
        <v>134</v>
      </c>
      <c r="G536" t="s">
        <v>134</v>
      </c>
      <c r="H536" t="s">
        <v>134</v>
      </c>
      <c r="I536" t="s">
        <v>134</v>
      </c>
      <c r="J536">
        <v>36.581400000000002</v>
      </c>
      <c r="K536">
        <v>34.9465</v>
      </c>
      <c r="L536">
        <v>-31.8903</v>
      </c>
      <c r="M536">
        <v>39.704999999999998</v>
      </c>
      <c r="N536">
        <v>26.626100000000001</v>
      </c>
      <c r="O536">
        <v>26.626100000000001</v>
      </c>
      <c r="P536">
        <v>26.626100000000001</v>
      </c>
      <c r="Q536">
        <v>32.940300000000001</v>
      </c>
      <c r="R536" t="s">
        <v>134</v>
      </c>
      <c r="S536" t="s">
        <v>134</v>
      </c>
      <c r="T536">
        <v>-4.4824999999999999</v>
      </c>
      <c r="U536">
        <v>-4.6257999999999999</v>
      </c>
      <c r="V536">
        <v>-4.1064999999999996</v>
      </c>
      <c r="W536">
        <v>-22.663799999999998</v>
      </c>
      <c r="X536">
        <v>-23.044699999999999</v>
      </c>
      <c r="Y536" t="s">
        <v>134</v>
      </c>
      <c r="Z536" t="s">
        <v>134</v>
      </c>
      <c r="AA536" t="s">
        <v>134</v>
      </c>
      <c r="AB536" t="s">
        <v>134</v>
      </c>
      <c r="AC536" t="s">
        <v>134</v>
      </c>
      <c r="AD536" t="s">
        <v>134</v>
      </c>
      <c r="AE536" t="s">
        <v>134</v>
      </c>
      <c r="AF536" t="s">
        <v>134</v>
      </c>
      <c r="AG536" t="s">
        <v>134</v>
      </c>
      <c r="AH536" t="s">
        <v>134</v>
      </c>
      <c r="AI536" t="s">
        <v>134</v>
      </c>
      <c r="AJ536" t="s">
        <v>134</v>
      </c>
      <c r="AK536" t="s">
        <v>134</v>
      </c>
      <c r="AL536" t="s">
        <v>134</v>
      </c>
      <c r="AM536">
        <v>5.2167000000000003</v>
      </c>
      <c r="AN536">
        <v>3.6766000000000001</v>
      </c>
      <c r="AO536">
        <v>3.5903</v>
      </c>
      <c r="AP536">
        <v>1.8968</v>
      </c>
      <c r="AQ536">
        <v>1.6789000000000001</v>
      </c>
      <c r="AR536" t="s">
        <v>134</v>
      </c>
      <c r="AS536" t="s">
        <v>134</v>
      </c>
      <c r="AT536" t="s">
        <v>134</v>
      </c>
      <c r="AU536" t="s">
        <v>134</v>
      </c>
      <c r="AV536" t="s">
        <v>134</v>
      </c>
      <c r="AW536" t="s">
        <v>134</v>
      </c>
      <c r="AX536" t="s">
        <v>134</v>
      </c>
      <c r="AY536" t="s">
        <v>134</v>
      </c>
      <c r="AZ536" t="s">
        <v>134</v>
      </c>
      <c r="BA536" t="s">
        <v>134</v>
      </c>
      <c r="BB536" t="s">
        <v>134</v>
      </c>
      <c r="BC536" t="s">
        <v>134</v>
      </c>
      <c r="BD536" t="s">
        <v>134</v>
      </c>
      <c r="BE536" t="s">
        <v>134</v>
      </c>
      <c r="BF536">
        <v>-0.71889999999999998</v>
      </c>
      <c r="BG536">
        <v>-2.5289999999999999</v>
      </c>
      <c r="BH536">
        <v>-2.3191000000000002</v>
      </c>
      <c r="BI536">
        <v>-21.450399999999998</v>
      </c>
      <c r="BJ536">
        <v>-21.630299999999998</v>
      </c>
      <c r="BK536" t="s">
        <v>134</v>
      </c>
      <c r="BL536" t="s">
        <v>134</v>
      </c>
      <c r="BM536" t="s">
        <v>134</v>
      </c>
      <c r="BN536" t="s">
        <v>134</v>
      </c>
      <c r="BO536" t="s">
        <v>134</v>
      </c>
      <c r="BP536" t="s">
        <v>134</v>
      </c>
      <c r="BQ536" t="s">
        <v>134</v>
      </c>
      <c r="BR536" t="s">
        <v>134</v>
      </c>
      <c r="BS536" t="s">
        <v>134</v>
      </c>
      <c r="BT536" t="s">
        <v>134</v>
      </c>
      <c r="BU536" t="s">
        <v>134</v>
      </c>
      <c r="BV536" t="s">
        <v>134</v>
      </c>
      <c r="BW536" t="s">
        <v>134</v>
      </c>
      <c r="BX536" t="s">
        <v>134</v>
      </c>
      <c r="BY536" t="s">
        <v>134</v>
      </c>
      <c r="BZ536" t="s">
        <v>134</v>
      </c>
      <c r="CA536" t="s">
        <v>134</v>
      </c>
      <c r="CB536" t="s">
        <v>134</v>
      </c>
      <c r="CC536" t="s">
        <v>134</v>
      </c>
      <c r="CD536" t="s">
        <v>134</v>
      </c>
      <c r="CE536" t="s">
        <v>134</v>
      </c>
      <c r="CF536" t="s">
        <v>134</v>
      </c>
      <c r="CG536" t="s">
        <v>134</v>
      </c>
      <c r="CH536" t="s">
        <v>134</v>
      </c>
      <c r="CI536" t="s">
        <v>134</v>
      </c>
      <c r="CJ536" t="s">
        <v>134</v>
      </c>
      <c r="CK536" t="s">
        <v>134</v>
      </c>
      <c r="CL536" t="s">
        <v>134</v>
      </c>
      <c r="CM536" t="s">
        <v>134</v>
      </c>
      <c r="CN536" t="s">
        <v>134</v>
      </c>
      <c r="CO536" t="s">
        <v>134</v>
      </c>
      <c r="CP536">
        <v>3430.2</v>
      </c>
      <c r="CQ536">
        <v>3430.2</v>
      </c>
      <c r="CR536">
        <v>3276.9</v>
      </c>
      <c r="CS536" t="s">
        <v>134</v>
      </c>
      <c r="CT536" t="s">
        <v>134</v>
      </c>
      <c r="CU536" t="s">
        <v>134</v>
      </c>
      <c r="CV536" t="s">
        <v>134</v>
      </c>
      <c r="CW536" t="s">
        <v>134</v>
      </c>
      <c r="CX536" t="s">
        <v>134</v>
      </c>
      <c r="CY536" t="s">
        <v>134</v>
      </c>
      <c r="CZ536" t="s">
        <v>134</v>
      </c>
      <c r="DA536" t="s">
        <v>134</v>
      </c>
      <c r="DB536" t="s">
        <v>134</v>
      </c>
      <c r="DC536" t="s">
        <v>134</v>
      </c>
      <c r="DD536" t="s">
        <v>134</v>
      </c>
      <c r="DE536" t="s">
        <v>134</v>
      </c>
      <c r="DF536" t="s">
        <v>134</v>
      </c>
      <c r="DG536" t="s">
        <v>134</v>
      </c>
      <c r="DH536" t="s">
        <v>134</v>
      </c>
      <c r="DI536" t="s">
        <v>134</v>
      </c>
    </row>
    <row r="537" spans="4:113" x14ac:dyDescent="0.3">
      <c r="E537" t="s">
        <v>7</v>
      </c>
      <c r="F537">
        <v>19.512599999999999</v>
      </c>
      <c r="G537">
        <v>14.9079</v>
      </c>
      <c r="H537" t="s">
        <v>134</v>
      </c>
      <c r="I537">
        <v>16.490500000000001</v>
      </c>
      <c r="J537">
        <v>45.933700000000002</v>
      </c>
      <c r="K537">
        <v>44.081699999999998</v>
      </c>
      <c r="L537">
        <v>184.69569999999999</v>
      </c>
      <c r="M537">
        <v>37.530500000000004</v>
      </c>
      <c r="N537">
        <v>24.255600000000001</v>
      </c>
      <c r="O537">
        <v>24.255600000000001</v>
      </c>
      <c r="P537">
        <v>24.255600000000001</v>
      </c>
      <c r="Q537">
        <v>35.371000000000002</v>
      </c>
      <c r="R537" t="s">
        <v>134</v>
      </c>
      <c r="S537" t="s">
        <v>134</v>
      </c>
      <c r="T537">
        <v>6.0946999999999996</v>
      </c>
      <c r="U537">
        <v>29.828099999999999</v>
      </c>
      <c r="V537">
        <v>31.698599999999999</v>
      </c>
      <c r="W537">
        <v>-25.878399999999999</v>
      </c>
      <c r="X537">
        <v>-26.25</v>
      </c>
      <c r="Y537" t="s">
        <v>134</v>
      </c>
      <c r="Z537">
        <v>-11.622999999999999</v>
      </c>
      <c r="AA537" t="s">
        <v>134</v>
      </c>
      <c r="AB537">
        <v>-15.276999999999999</v>
      </c>
      <c r="AC537">
        <v>-35.520699999999998</v>
      </c>
      <c r="AD537">
        <v>-10.7254</v>
      </c>
      <c r="AE537">
        <v>-73.294700000000006</v>
      </c>
      <c r="AF537">
        <v>-23.626200000000001</v>
      </c>
      <c r="AG537">
        <v>-97.604799999999997</v>
      </c>
      <c r="AH537">
        <v>-97.604799999999997</v>
      </c>
      <c r="AI537">
        <v>-60.7592</v>
      </c>
      <c r="AJ537">
        <v>-60.759900000000002</v>
      </c>
      <c r="AK537">
        <v>-60.977499999999999</v>
      </c>
      <c r="AL537" t="s">
        <v>134</v>
      </c>
      <c r="AM537">
        <v>4.6200999999999999</v>
      </c>
      <c r="AN537">
        <v>7.2995000000000001</v>
      </c>
      <c r="AO537">
        <v>7.2310999999999996</v>
      </c>
      <c r="AP537">
        <v>8.1041000000000007</v>
      </c>
      <c r="AQ537">
        <v>7.9138000000000002</v>
      </c>
      <c r="AR537" t="s">
        <v>134</v>
      </c>
      <c r="AS537">
        <v>-2.3689</v>
      </c>
      <c r="AT537" t="s">
        <v>134</v>
      </c>
      <c r="AU537">
        <v>-3.2532999999999999</v>
      </c>
      <c r="AV537">
        <v>5.0749000000000004</v>
      </c>
      <c r="AW537">
        <v>-3.5724</v>
      </c>
      <c r="AX537">
        <v>-9.8969000000000005</v>
      </c>
      <c r="AY537" t="s">
        <v>134</v>
      </c>
      <c r="AZ537">
        <v>-66.864099999999993</v>
      </c>
      <c r="BA537">
        <v>-74.341200000000001</v>
      </c>
      <c r="BB537">
        <v>-4.2990000000000004</v>
      </c>
      <c r="BC537">
        <v>-4.3150000000000004</v>
      </c>
      <c r="BD537">
        <v>-4.4714999999999998</v>
      </c>
      <c r="BE537" t="s">
        <v>134</v>
      </c>
      <c r="BF537">
        <v>1.2871999999999999</v>
      </c>
      <c r="BG537">
        <v>27.182099999999998</v>
      </c>
      <c r="BH537">
        <v>27.763999999999999</v>
      </c>
      <c r="BI537">
        <v>-7.7302</v>
      </c>
      <c r="BJ537">
        <v>-7.7498000000000005</v>
      </c>
      <c r="BK537" t="s">
        <v>134</v>
      </c>
      <c r="BL537" t="s">
        <v>134</v>
      </c>
      <c r="BM537" t="s">
        <v>134</v>
      </c>
      <c r="BN537" t="s">
        <v>134</v>
      </c>
      <c r="BO537" t="s">
        <v>134</v>
      </c>
      <c r="BP537" t="s">
        <v>134</v>
      </c>
      <c r="BQ537" t="s">
        <v>134</v>
      </c>
      <c r="BR537" t="s">
        <v>134</v>
      </c>
      <c r="BS537" t="s">
        <v>134</v>
      </c>
      <c r="BT537" t="s">
        <v>134</v>
      </c>
      <c r="BU537" t="s">
        <v>134</v>
      </c>
      <c r="BV537" t="s">
        <v>134</v>
      </c>
      <c r="BW537" t="s">
        <v>134</v>
      </c>
      <c r="BX537" t="s">
        <v>134</v>
      </c>
      <c r="BY537">
        <v>0.04</v>
      </c>
      <c r="BZ537">
        <v>0.04</v>
      </c>
      <c r="CA537">
        <v>0</v>
      </c>
      <c r="CB537">
        <v>0</v>
      </c>
      <c r="CC537">
        <v>-2.2040000000000002</v>
      </c>
      <c r="CD537">
        <v>0</v>
      </c>
      <c r="CE537">
        <v>-2.3008999999999999</v>
      </c>
      <c r="CF537" t="s">
        <v>134</v>
      </c>
      <c r="CG537">
        <v>54.924199999999999</v>
      </c>
      <c r="CH537">
        <v>0</v>
      </c>
      <c r="CI537">
        <v>0</v>
      </c>
      <c r="CJ537">
        <v>0</v>
      </c>
      <c r="CK537">
        <v>1E-4</v>
      </c>
      <c r="CL537">
        <v>1E-4</v>
      </c>
      <c r="CM537">
        <v>1E-4</v>
      </c>
      <c r="CN537">
        <v>-103.4599</v>
      </c>
      <c r="CO537">
        <v>2990.2203</v>
      </c>
      <c r="CP537">
        <v>4362.6000000000004</v>
      </c>
      <c r="CQ537">
        <v>4362.6000000000004</v>
      </c>
      <c r="CR537">
        <v>4186.7</v>
      </c>
      <c r="CS537">
        <v>1.3108</v>
      </c>
      <c r="CT537">
        <v>1.7185999999999999</v>
      </c>
      <c r="CU537">
        <v>1.5321</v>
      </c>
      <c r="CV537">
        <v>8.2139000000000006</v>
      </c>
      <c r="CW537">
        <v>6.0902000000000003</v>
      </c>
      <c r="CX537">
        <v>59.932699999999997</v>
      </c>
      <c r="CY537" t="s">
        <v>134</v>
      </c>
      <c r="CZ537" t="s">
        <v>134</v>
      </c>
      <c r="DA537" t="s">
        <v>134</v>
      </c>
      <c r="DB537" t="s">
        <v>134</v>
      </c>
      <c r="DC537" t="s">
        <v>134</v>
      </c>
      <c r="DD537" t="s">
        <v>134</v>
      </c>
      <c r="DE537">
        <v>0</v>
      </c>
      <c r="DF537">
        <v>0</v>
      </c>
      <c r="DG537">
        <v>0</v>
      </c>
      <c r="DH537">
        <v>0</v>
      </c>
      <c r="DI537">
        <v>0</v>
      </c>
    </row>
    <row r="538" spans="4:113" x14ac:dyDescent="0.3">
      <c r="D538" t="s">
        <v>9</v>
      </c>
      <c r="E538" t="s">
        <v>3</v>
      </c>
      <c r="F538">
        <v>32.748600000000003</v>
      </c>
      <c r="G538">
        <v>19.514700000000001</v>
      </c>
      <c r="H538" t="s">
        <v>134</v>
      </c>
      <c r="I538">
        <v>27.7636</v>
      </c>
      <c r="J538">
        <v>41.064799999999998</v>
      </c>
      <c r="K538">
        <v>39.771599999999999</v>
      </c>
      <c r="L538">
        <v>31.311299999999999</v>
      </c>
      <c r="M538">
        <v>45.489699999999999</v>
      </c>
      <c r="N538">
        <v>28.483599999999999</v>
      </c>
      <c r="O538">
        <v>28.483599999999999</v>
      </c>
      <c r="P538">
        <v>28.483599999999999</v>
      </c>
      <c r="Q538">
        <v>37.384599999999999</v>
      </c>
      <c r="R538">
        <v>72.789400000000001</v>
      </c>
      <c r="S538">
        <v>8.9110999999999994</v>
      </c>
      <c r="T538">
        <v>4.8117999999999999</v>
      </c>
      <c r="U538">
        <v>2.6675</v>
      </c>
      <c r="V538">
        <v>3.7499000000000002</v>
      </c>
      <c r="W538">
        <v>-2.2262</v>
      </c>
      <c r="X538">
        <v>-2.7503000000000002</v>
      </c>
      <c r="Y538">
        <v>-84.962400000000002</v>
      </c>
      <c r="Z538">
        <v>37.271299999999997</v>
      </c>
      <c r="AA538" t="s">
        <v>134</v>
      </c>
      <c r="AB538">
        <v>-10.8368</v>
      </c>
      <c r="AC538">
        <v>-9.4684000000000008</v>
      </c>
      <c r="AD538">
        <v>39.389499999999998</v>
      </c>
      <c r="AE538">
        <v>13.6677</v>
      </c>
      <c r="AF538">
        <v>4.1630000000000003</v>
      </c>
      <c r="AG538">
        <v>0</v>
      </c>
      <c r="AH538">
        <v>0</v>
      </c>
      <c r="AI538">
        <v>6.7150999999999996</v>
      </c>
      <c r="AJ538">
        <v>6.7150999999999996</v>
      </c>
      <c r="AK538">
        <v>6.4116</v>
      </c>
      <c r="AL538">
        <v>-43.225299999999997</v>
      </c>
      <c r="AM538">
        <v>6.4312000000000005</v>
      </c>
      <c r="AN538">
        <v>8.4177</v>
      </c>
      <c r="AO538">
        <v>8.5274000000000001</v>
      </c>
      <c r="AP538">
        <v>0.96740000000000004</v>
      </c>
      <c r="AQ538">
        <v>0.68469999999999998</v>
      </c>
      <c r="AR538" t="s">
        <v>134</v>
      </c>
      <c r="AS538">
        <v>0.12870000000000001</v>
      </c>
      <c r="AT538" t="s">
        <v>134</v>
      </c>
      <c r="AU538">
        <v>-7.0876000000000001</v>
      </c>
      <c r="AV538">
        <v>-1.5217000000000001</v>
      </c>
      <c r="AW538">
        <v>-0.80220000000000002</v>
      </c>
      <c r="AX538">
        <v>-12.5525</v>
      </c>
      <c r="AY538" t="s">
        <v>134</v>
      </c>
      <c r="AZ538">
        <v>-65.959900000000005</v>
      </c>
      <c r="BA538">
        <v>-72.495000000000005</v>
      </c>
      <c r="BB538">
        <v>-7.4257999999999997</v>
      </c>
      <c r="BC538">
        <v>-7.4344999999999999</v>
      </c>
      <c r="BD538">
        <v>-7.6364999999999998</v>
      </c>
      <c r="BE538">
        <v>4.5183</v>
      </c>
      <c r="BF538">
        <v>4.8117999999999999</v>
      </c>
      <c r="BG538">
        <v>2.6675</v>
      </c>
      <c r="BH538">
        <v>3.7499000000000002</v>
      </c>
      <c r="BI538">
        <v>-2.2262</v>
      </c>
      <c r="BJ538">
        <v>-2.7503000000000002</v>
      </c>
      <c r="BK538">
        <v>-84.962400000000002</v>
      </c>
      <c r="BL538">
        <v>37.271299999999997</v>
      </c>
      <c r="BM538" t="s">
        <v>134</v>
      </c>
      <c r="BN538">
        <v>-10.8368</v>
      </c>
      <c r="BO538">
        <v>-9.4684000000000008</v>
      </c>
      <c r="BP538">
        <v>39.389499999999998</v>
      </c>
      <c r="BQ538">
        <v>13.6677</v>
      </c>
      <c r="BR538">
        <v>4.1630000000000003</v>
      </c>
      <c r="BS538">
        <v>0</v>
      </c>
      <c r="BT538">
        <v>0</v>
      </c>
      <c r="BU538">
        <v>6.7150999999999996</v>
      </c>
      <c r="BV538">
        <v>6.7150999999999996</v>
      </c>
      <c r="BW538">
        <v>6.4116</v>
      </c>
      <c r="BX538">
        <v>-43.225299999999997</v>
      </c>
      <c r="BY538">
        <v>0.04</v>
      </c>
      <c r="BZ538">
        <v>0.04</v>
      </c>
      <c r="CA538">
        <v>0</v>
      </c>
      <c r="CB538">
        <v>0</v>
      </c>
      <c r="CC538">
        <v>-1.6244000000000001</v>
      </c>
      <c r="CD538">
        <v>0</v>
      </c>
      <c r="CE538">
        <v>-1.6773</v>
      </c>
      <c r="CF538" t="s">
        <v>134</v>
      </c>
      <c r="CG538">
        <v>64.742500000000007</v>
      </c>
      <c r="CH538">
        <v>0</v>
      </c>
      <c r="CI538">
        <v>0</v>
      </c>
      <c r="CJ538">
        <v>0</v>
      </c>
      <c r="CK538">
        <v>1E-4</v>
      </c>
      <c r="CL538">
        <v>1E-4</v>
      </c>
      <c r="CM538">
        <v>1E-4</v>
      </c>
      <c r="CN538">
        <v>-74.283199999999994</v>
      </c>
      <c r="CO538">
        <v>-288.85059999999999</v>
      </c>
      <c r="CP538">
        <v>16806.990000000002</v>
      </c>
      <c r="CQ538">
        <v>16536.64</v>
      </c>
      <c r="CR538">
        <v>16277.72</v>
      </c>
      <c r="CS538">
        <v>1.4616</v>
      </c>
      <c r="CT538">
        <v>2.1888000000000001</v>
      </c>
      <c r="CU538">
        <v>1.9037999999999999</v>
      </c>
      <c r="CV538">
        <v>20.975899999999999</v>
      </c>
      <c r="CW538">
        <v>5.7343000000000002</v>
      </c>
      <c r="CX538">
        <v>63.826099999999997</v>
      </c>
      <c r="CY538" t="s">
        <v>134</v>
      </c>
      <c r="CZ538" t="s">
        <v>134</v>
      </c>
      <c r="DA538" t="s">
        <v>134</v>
      </c>
      <c r="DB538" t="s">
        <v>134</v>
      </c>
      <c r="DC538" t="s">
        <v>134</v>
      </c>
      <c r="DD538" t="s">
        <v>134</v>
      </c>
      <c r="DE538">
        <v>0</v>
      </c>
      <c r="DF538">
        <v>0</v>
      </c>
      <c r="DG538">
        <v>0</v>
      </c>
      <c r="DH538">
        <v>0</v>
      </c>
      <c r="DI538">
        <v>0</v>
      </c>
    </row>
    <row r="539" spans="4:113" x14ac:dyDescent="0.3">
      <c r="E539" t="s">
        <v>4</v>
      </c>
      <c r="F539" t="s">
        <v>134</v>
      </c>
      <c r="G539" t="s">
        <v>134</v>
      </c>
      <c r="H539" t="s">
        <v>134</v>
      </c>
      <c r="I539" t="s">
        <v>134</v>
      </c>
      <c r="J539">
        <v>44.794400000000003</v>
      </c>
      <c r="K539">
        <v>43.452300000000001</v>
      </c>
      <c r="L539">
        <v>-47.137599999999999</v>
      </c>
      <c r="M539">
        <v>48.258499999999998</v>
      </c>
      <c r="N539">
        <v>31.17</v>
      </c>
      <c r="O539">
        <v>31.17</v>
      </c>
      <c r="P539">
        <v>31.17</v>
      </c>
      <c r="Q539">
        <v>35.410299999999999</v>
      </c>
      <c r="R539" t="s">
        <v>134</v>
      </c>
      <c r="S539" t="s">
        <v>134</v>
      </c>
      <c r="T539">
        <v>-1.5303</v>
      </c>
      <c r="U539">
        <v>-2.5289999999999999</v>
      </c>
      <c r="V539">
        <v>-1.6579999999999999</v>
      </c>
      <c r="W539">
        <v>-16.504799999999999</v>
      </c>
      <c r="X539">
        <v>-17.126999999999999</v>
      </c>
      <c r="Y539" t="s">
        <v>134</v>
      </c>
      <c r="Z539" t="s">
        <v>134</v>
      </c>
      <c r="AA539" t="s">
        <v>134</v>
      </c>
      <c r="AB539" t="s">
        <v>134</v>
      </c>
      <c r="AC539" t="s">
        <v>134</v>
      </c>
      <c r="AD539" t="s">
        <v>134</v>
      </c>
      <c r="AE539" t="s">
        <v>134</v>
      </c>
      <c r="AF539" t="s">
        <v>134</v>
      </c>
      <c r="AG539" t="s">
        <v>134</v>
      </c>
      <c r="AH539" t="s">
        <v>134</v>
      </c>
      <c r="AI539" t="s">
        <v>134</v>
      </c>
      <c r="AJ539" t="s">
        <v>134</v>
      </c>
      <c r="AK539" t="s">
        <v>134</v>
      </c>
      <c r="AL539" t="s">
        <v>134</v>
      </c>
      <c r="AM539">
        <v>10.1919</v>
      </c>
      <c r="AN539">
        <v>19.0823</v>
      </c>
      <c r="AO539">
        <v>19.735399999999998</v>
      </c>
      <c r="AP539">
        <v>11.239800000000001</v>
      </c>
      <c r="AQ539">
        <v>10.9542</v>
      </c>
      <c r="AR539" t="s">
        <v>134</v>
      </c>
      <c r="AS539" t="s">
        <v>134</v>
      </c>
      <c r="AT539" t="s">
        <v>134</v>
      </c>
      <c r="AU539" t="s">
        <v>134</v>
      </c>
      <c r="AV539" t="s">
        <v>134</v>
      </c>
      <c r="AW539" t="s">
        <v>134</v>
      </c>
      <c r="AX539" t="s">
        <v>134</v>
      </c>
      <c r="AY539" t="s">
        <v>134</v>
      </c>
      <c r="AZ539" t="s">
        <v>134</v>
      </c>
      <c r="BA539" t="s">
        <v>134</v>
      </c>
      <c r="BB539" t="s">
        <v>134</v>
      </c>
      <c r="BC539" t="s">
        <v>134</v>
      </c>
      <c r="BD539" t="s">
        <v>134</v>
      </c>
      <c r="BE539" t="s">
        <v>134</v>
      </c>
      <c r="BF539">
        <v>11.244899999999999</v>
      </c>
      <c r="BG539">
        <v>8.4857999999999993</v>
      </c>
      <c r="BH539">
        <v>9.6568000000000005</v>
      </c>
      <c r="BI539">
        <v>42.957000000000001</v>
      </c>
      <c r="BJ539">
        <v>42.630800000000001</v>
      </c>
      <c r="BK539" t="s">
        <v>134</v>
      </c>
      <c r="BL539" t="s">
        <v>134</v>
      </c>
      <c r="BM539" t="s">
        <v>134</v>
      </c>
      <c r="BN539" t="s">
        <v>134</v>
      </c>
      <c r="BO539" t="s">
        <v>134</v>
      </c>
      <c r="BP539" t="s">
        <v>134</v>
      </c>
      <c r="BQ539" t="s">
        <v>134</v>
      </c>
      <c r="BR539" t="s">
        <v>134</v>
      </c>
      <c r="BS539" t="s">
        <v>134</v>
      </c>
      <c r="BT539" t="s">
        <v>134</v>
      </c>
      <c r="BU539" t="s">
        <v>134</v>
      </c>
      <c r="BV539" t="s">
        <v>134</v>
      </c>
      <c r="BW539" t="s">
        <v>134</v>
      </c>
      <c r="BX539" t="s">
        <v>134</v>
      </c>
      <c r="BY539" t="s">
        <v>134</v>
      </c>
      <c r="BZ539" t="s">
        <v>134</v>
      </c>
      <c r="CA539" t="s">
        <v>134</v>
      </c>
      <c r="CB539" t="s">
        <v>134</v>
      </c>
      <c r="CC539" t="s">
        <v>134</v>
      </c>
      <c r="CD539" t="s">
        <v>134</v>
      </c>
      <c r="CE539" t="s">
        <v>134</v>
      </c>
      <c r="CF539" t="s">
        <v>134</v>
      </c>
      <c r="CG539" t="s">
        <v>134</v>
      </c>
      <c r="CH539" t="s">
        <v>134</v>
      </c>
      <c r="CI539" t="s">
        <v>134</v>
      </c>
      <c r="CJ539" t="s">
        <v>134</v>
      </c>
      <c r="CK539" t="s">
        <v>134</v>
      </c>
      <c r="CL539" t="s">
        <v>134</v>
      </c>
      <c r="CM539" t="s">
        <v>134</v>
      </c>
      <c r="CN539" t="s">
        <v>134</v>
      </c>
      <c r="CO539" t="s">
        <v>134</v>
      </c>
      <c r="CP539">
        <v>4732.8</v>
      </c>
      <c r="CQ539" t="s">
        <v>134</v>
      </c>
      <c r="CR539">
        <v>4591</v>
      </c>
      <c r="CS539" t="s">
        <v>134</v>
      </c>
      <c r="CT539" t="s">
        <v>134</v>
      </c>
      <c r="CU539" t="s">
        <v>134</v>
      </c>
      <c r="CV539" t="s">
        <v>134</v>
      </c>
      <c r="CW539" t="s">
        <v>134</v>
      </c>
      <c r="CX539" t="s">
        <v>134</v>
      </c>
      <c r="CY539" t="s">
        <v>134</v>
      </c>
      <c r="CZ539" t="s">
        <v>134</v>
      </c>
      <c r="DA539" t="s">
        <v>134</v>
      </c>
      <c r="DB539" t="s">
        <v>134</v>
      </c>
      <c r="DC539" t="s">
        <v>134</v>
      </c>
      <c r="DD539" t="s">
        <v>134</v>
      </c>
      <c r="DE539" t="s">
        <v>134</v>
      </c>
      <c r="DF539" t="s">
        <v>134</v>
      </c>
      <c r="DG539" t="s">
        <v>134</v>
      </c>
      <c r="DH539" t="s">
        <v>134</v>
      </c>
      <c r="DI539" t="s">
        <v>134</v>
      </c>
    </row>
    <row r="540" spans="4:113" x14ac:dyDescent="0.3">
      <c r="E540" t="s">
        <v>5</v>
      </c>
      <c r="F540">
        <v>24.251000000000001</v>
      </c>
      <c r="G540">
        <v>19.996700000000001</v>
      </c>
      <c r="H540" t="s">
        <v>134</v>
      </c>
      <c r="I540">
        <v>23.198799999999999</v>
      </c>
      <c r="J540">
        <v>43.908799999999999</v>
      </c>
      <c r="K540">
        <v>42.6113</v>
      </c>
      <c r="L540">
        <v>156.26060000000001</v>
      </c>
      <c r="M540">
        <v>49.206699999999998</v>
      </c>
      <c r="N540">
        <v>32.151000000000003</v>
      </c>
      <c r="O540">
        <v>32.151000000000003</v>
      </c>
      <c r="P540">
        <v>32.151000000000003</v>
      </c>
      <c r="Q540">
        <v>34.661299999999997</v>
      </c>
      <c r="R540" t="s">
        <v>134</v>
      </c>
      <c r="S540" t="s">
        <v>134</v>
      </c>
      <c r="T540">
        <v>6.2404999999999999</v>
      </c>
      <c r="U540">
        <v>25.196100000000001</v>
      </c>
      <c r="V540">
        <v>27.454000000000001</v>
      </c>
      <c r="W540">
        <v>1.4976</v>
      </c>
      <c r="X540">
        <v>0.82579999999999998</v>
      </c>
      <c r="Y540" t="s">
        <v>134</v>
      </c>
      <c r="Z540">
        <v>-24.520499999999998</v>
      </c>
      <c r="AA540" t="s">
        <v>134</v>
      </c>
      <c r="AB540">
        <v>-5.3524000000000003</v>
      </c>
      <c r="AC540">
        <v>-11.4551</v>
      </c>
      <c r="AD540">
        <v>-25.510899999999999</v>
      </c>
      <c r="AE540">
        <v>-21.204499999999999</v>
      </c>
      <c r="AF540">
        <v>13.1554</v>
      </c>
      <c r="AG540" t="s">
        <v>134</v>
      </c>
      <c r="AH540" t="s">
        <v>134</v>
      </c>
      <c r="AI540">
        <v>-13.5314</v>
      </c>
      <c r="AJ540">
        <v>-13.5314</v>
      </c>
      <c r="AK540">
        <v>-13.7773</v>
      </c>
      <c r="AL540" t="s">
        <v>134</v>
      </c>
      <c r="AM540">
        <v>6.1765999999999996</v>
      </c>
      <c r="AN540" t="s">
        <v>134</v>
      </c>
      <c r="AO540">
        <v>10.1638</v>
      </c>
      <c r="AP540">
        <v>4.1292999999999997</v>
      </c>
      <c r="AQ540">
        <v>3.827</v>
      </c>
      <c r="AR540" t="s">
        <v>134</v>
      </c>
      <c r="AS540" t="s">
        <v>134</v>
      </c>
      <c r="AT540" t="s">
        <v>134</v>
      </c>
      <c r="AU540" t="s">
        <v>134</v>
      </c>
      <c r="AV540" t="s">
        <v>134</v>
      </c>
      <c r="AW540" t="s">
        <v>134</v>
      </c>
      <c r="AX540" t="s">
        <v>134</v>
      </c>
      <c r="AY540" t="s">
        <v>134</v>
      </c>
      <c r="AZ540" t="s">
        <v>134</v>
      </c>
      <c r="BA540" t="s">
        <v>134</v>
      </c>
      <c r="BB540" t="s">
        <v>134</v>
      </c>
      <c r="BC540" t="s">
        <v>134</v>
      </c>
      <c r="BD540" t="s">
        <v>134</v>
      </c>
      <c r="BE540" t="s">
        <v>134</v>
      </c>
      <c r="BF540">
        <v>-4.2820999999999998</v>
      </c>
      <c r="BG540">
        <v>3.2309999999999999</v>
      </c>
      <c r="BH540">
        <v>3.6231999999999998</v>
      </c>
      <c r="BI540">
        <v>15.057600000000001</v>
      </c>
      <c r="BJ540">
        <v>14.8362</v>
      </c>
      <c r="BK540" t="s">
        <v>134</v>
      </c>
      <c r="BL540" t="s">
        <v>134</v>
      </c>
      <c r="BM540" t="s">
        <v>134</v>
      </c>
      <c r="BN540" t="s">
        <v>134</v>
      </c>
      <c r="BO540" t="s">
        <v>134</v>
      </c>
      <c r="BP540" t="s">
        <v>134</v>
      </c>
      <c r="BQ540" t="s">
        <v>134</v>
      </c>
      <c r="BR540" t="s">
        <v>134</v>
      </c>
      <c r="BS540" t="s">
        <v>134</v>
      </c>
      <c r="BT540" t="s">
        <v>134</v>
      </c>
      <c r="BU540" t="s">
        <v>134</v>
      </c>
      <c r="BV540" t="s">
        <v>134</v>
      </c>
      <c r="BW540" t="s">
        <v>134</v>
      </c>
      <c r="BX540" t="s">
        <v>134</v>
      </c>
      <c r="BY540">
        <v>0</v>
      </c>
      <c r="BZ540">
        <v>0</v>
      </c>
      <c r="CA540">
        <v>0</v>
      </c>
      <c r="CB540">
        <v>0</v>
      </c>
      <c r="CC540">
        <v>-1.3966000000000001</v>
      </c>
      <c r="CD540">
        <v>0</v>
      </c>
      <c r="CE540">
        <v>-1.4496</v>
      </c>
      <c r="CF540" t="s">
        <v>134</v>
      </c>
      <c r="CG540">
        <v>81.420400000000001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-55.525799999999997</v>
      </c>
      <c r="CO540">
        <v>-124.8492</v>
      </c>
      <c r="CP540">
        <v>4405.8999999999996</v>
      </c>
      <c r="CQ540" t="s">
        <v>134</v>
      </c>
      <c r="CR540">
        <v>4275.7</v>
      </c>
      <c r="CS540">
        <v>2.7494000000000001</v>
      </c>
      <c r="CT540">
        <v>4.2381000000000002</v>
      </c>
      <c r="CU540">
        <v>3.4883999999999999</v>
      </c>
      <c r="CV540">
        <v>25.260899999999999</v>
      </c>
      <c r="CW540">
        <v>5.4816000000000003</v>
      </c>
      <c r="CX540">
        <v>66.586100000000002</v>
      </c>
      <c r="CY540" t="s">
        <v>134</v>
      </c>
      <c r="CZ540" t="s">
        <v>134</v>
      </c>
      <c r="DA540" t="s">
        <v>134</v>
      </c>
      <c r="DB540" t="s">
        <v>134</v>
      </c>
      <c r="DC540" t="s">
        <v>134</v>
      </c>
      <c r="DD540" t="s">
        <v>134</v>
      </c>
      <c r="DE540">
        <v>0</v>
      </c>
      <c r="DF540">
        <v>0</v>
      </c>
      <c r="DG540">
        <v>0</v>
      </c>
      <c r="DH540">
        <v>0</v>
      </c>
      <c r="DI540">
        <v>0</v>
      </c>
    </row>
    <row r="541" spans="4:113" x14ac:dyDescent="0.3">
      <c r="E541" t="s">
        <v>6</v>
      </c>
      <c r="F541" t="s">
        <v>134</v>
      </c>
      <c r="G541" t="s">
        <v>134</v>
      </c>
      <c r="H541" t="s">
        <v>134</v>
      </c>
      <c r="I541" t="s">
        <v>134</v>
      </c>
      <c r="J541">
        <v>39.542900000000003</v>
      </c>
      <c r="K541">
        <v>38.310299999999998</v>
      </c>
      <c r="L541">
        <v>76.710499999999996</v>
      </c>
      <c r="M541">
        <v>43.619</v>
      </c>
      <c r="N541">
        <v>28.385100000000001</v>
      </c>
      <c r="O541">
        <v>28.385100000000001</v>
      </c>
      <c r="P541">
        <v>28.385100000000001</v>
      </c>
      <c r="Q541">
        <v>34.924900000000001</v>
      </c>
      <c r="R541" t="s">
        <v>134</v>
      </c>
      <c r="S541" t="s">
        <v>134</v>
      </c>
      <c r="T541">
        <v>8.7598000000000003</v>
      </c>
      <c r="U541">
        <v>17.564599999999999</v>
      </c>
      <c r="V541">
        <v>19.2285</v>
      </c>
      <c r="W541">
        <v>15.945</v>
      </c>
      <c r="X541">
        <v>15.1937</v>
      </c>
      <c r="Y541" t="s">
        <v>134</v>
      </c>
      <c r="Z541" t="s">
        <v>134</v>
      </c>
      <c r="AA541" t="s">
        <v>134</v>
      </c>
      <c r="AB541" t="s">
        <v>134</v>
      </c>
      <c r="AC541" t="s">
        <v>134</v>
      </c>
      <c r="AD541" t="s">
        <v>134</v>
      </c>
      <c r="AE541" t="s">
        <v>134</v>
      </c>
      <c r="AF541" t="s">
        <v>134</v>
      </c>
      <c r="AG541" t="s">
        <v>134</v>
      </c>
      <c r="AH541" t="s">
        <v>134</v>
      </c>
      <c r="AI541" t="s">
        <v>134</v>
      </c>
      <c r="AJ541" t="s">
        <v>134</v>
      </c>
      <c r="AK541" t="s">
        <v>134</v>
      </c>
      <c r="AL541" t="s">
        <v>134</v>
      </c>
      <c r="AM541">
        <v>6.6934000000000005</v>
      </c>
      <c r="AN541">
        <v>7.2462999999999997</v>
      </c>
      <c r="AO541">
        <v>7.2957999999999998</v>
      </c>
      <c r="AP541">
        <v>0.49459999999999998</v>
      </c>
      <c r="AQ541">
        <v>0.17199999999999999</v>
      </c>
      <c r="AR541" t="s">
        <v>134</v>
      </c>
      <c r="AS541" t="s">
        <v>134</v>
      </c>
      <c r="AT541" t="s">
        <v>134</v>
      </c>
      <c r="AU541" t="s">
        <v>134</v>
      </c>
      <c r="AV541" t="s">
        <v>134</v>
      </c>
      <c r="AW541" t="s">
        <v>134</v>
      </c>
      <c r="AX541" t="s">
        <v>134</v>
      </c>
      <c r="AY541" t="s">
        <v>134</v>
      </c>
      <c r="AZ541" t="s">
        <v>134</v>
      </c>
      <c r="BA541" t="s">
        <v>134</v>
      </c>
      <c r="BB541" t="s">
        <v>134</v>
      </c>
      <c r="BC541" t="s">
        <v>134</v>
      </c>
      <c r="BD541" t="s">
        <v>134</v>
      </c>
      <c r="BE541" t="s">
        <v>134</v>
      </c>
      <c r="BF541">
        <v>2.5840999999999998</v>
      </c>
      <c r="BG541">
        <v>0.154</v>
      </c>
      <c r="BH541">
        <v>0.27460000000000001</v>
      </c>
      <c r="BI541">
        <v>3.5409999999999999</v>
      </c>
      <c r="BJ541">
        <v>3.1031</v>
      </c>
      <c r="BK541" t="s">
        <v>134</v>
      </c>
      <c r="BL541" t="s">
        <v>134</v>
      </c>
      <c r="BM541" t="s">
        <v>134</v>
      </c>
      <c r="BN541" t="s">
        <v>134</v>
      </c>
      <c r="BO541" t="s">
        <v>134</v>
      </c>
      <c r="BP541" t="s">
        <v>134</v>
      </c>
      <c r="BQ541" t="s">
        <v>134</v>
      </c>
      <c r="BR541" t="s">
        <v>134</v>
      </c>
      <c r="BS541" t="s">
        <v>134</v>
      </c>
      <c r="BT541" t="s">
        <v>134</v>
      </c>
      <c r="BU541" t="s">
        <v>134</v>
      </c>
      <c r="BV541" t="s">
        <v>134</v>
      </c>
      <c r="BW541" t="s">
        <v>134</v>
      </c>
      <c r="BX541" t="s">
        <v>134</v>
      </c>
      <c r="BY541" t="s">
        <v>134</v>
      </c>
      <c r="BZ541" t="s">
        <v>134</v>
      </c>
      <c r="CA541" t="s">
        <v>134</v>
      </c>
      <c r="CB541" t="s">
        <v>134</v>
      </c>
      <c r="CC541" t="s">
        <v>134</v>
      </c>
      <c r="CD541" t="s">
        <v>134</v>
      </c>
      <c r="CE541" t="s">
        <v>134</v>
      </c>
      <c r="CF541" t="s">
        <v>134</v>
      </c>
      <c r="CG541" t="s">
        <v>134</v>
      </c>
      <c r="CH541" t="s">
        <v>134</v>
      </c>
      <c r="CI541" t="s">
        <v>134</v>
      </c>
      <c r="CJ541" t="s">
        <v>134</v>
      </c>
      <c r="CK541" t="s">
        <v>134</v>
      </c>
      <c r="CL541" t="s">
        <v>134</v>
      </c>
      <c r="CM541" t="s">
        <v>134</v>
      </c>
      <c r="CN541" t="s">
        <v>134</v>
      </c>
      <c r="CO541" t="s">
        <v>134</v>
      </c>
      <c r="CP541">
        <v>4032.7</v>
      </c>
      <c r="CQ541" t="s">
        <v>134</v>
      </c>
      <c r="CR541">
        <v>3907</v>
      </c>
      <c r="CS541" t="s">
        <v>134</v>
      </c>
      <c r="CT541" t="s">
        <v>134</v>
      </c>
      <c r="CU541" t="s">
        <v>134</v>
      </c>
      <c r="CV541" t="s">
        <v>134</v>
      </c>
      <c r="CW541" t="s">
        <v>134</v>
      </c>
      <c r="CX541" t="s">
        <v>134</v>
      </c>
      <c r="CY541" t="s">
        <v>134</v>
      </c>
      <c r="CZ541" t="s">
        <v>134</v>
      </c>
      <c r="DA541" t="s">
        <v>134</v>
      </c>
      <c r="DB541" t="s">
        <v>134</v>
      </c>
      <c r="DC541" t="s">
        <v>134</v>
      </c>
      <c r="DD541" t="s">
        <v>134</v>
      </c>
      <c r="DE541" t="s">
        <v>134</v>
      </c>
      <c r="DF541" t="s">
        <v>134</v>
      </c>
      <c r="DG541" t="s">
        <v>134</v>
      </c>
      <c r="DH541" t="s">
        <v>134</v>
      </c>
      <c r="DI541" t="s">
        <v>134</v>
      </c>
    </row>
    <row r="542" spans="4:113" x14ac:dyDescent="0.3">
      <c r="E542" t="s">
        <v>7</v>
      </c>
      <c r="F542">
        <v>29.467600000000001</v>
      </c>
      <c r="G542">
        <v>17.5596</v>
      </c>
      <c r="H542" t="s">
        <v>134</v>
      </c>
      <c r="I542">
        <v>25.560500000000001</v>
      </c>
      <c r="J542">
        <v>35.888800000000003</v>
      </c>
      <c r="K542">
        <v>34.590699999999998</v>
      </c>
      <c r="L542" t="s">
        <v>134</v>
      </c>
      <c r="M542">
        <v>40.804000000000002</v>
      </c>
      <c r="N542">
        <v>22.148299999999999</v>
      </c>
      <c r="O542">
        <v>22.148299999999999</v>
      </c>
      <c r="P542">
        <v>22.148299999999999</v>
      </c>
      <c r="Q542">
        <v>45.720199999999998</v>
      </c>
      <c r="R542" t="s">
        <v>134</v>
      </c>
      <c r="S542" t="s">
        <v>134</v>
      </c>
      <c r="T542">
        <v>6.6574999999999998</v>
      </c>
      <c r="U542">
        <v>-16.666699999999999</v>
      </c>
      <c r="V542">
        <v>-16.3064</v>
      </c>
      <c r="W542">
        <v>-2.6088</v>
      </c>
      <c r="X542">
        <v>-2.9477000000000002</v>
      </c>
      <c r="Y542" t="s">
        <v>134</v>
      </c>
      <c r="Z542">
        <v>37.271299999999997</v>
      </c>
      <c r="AA542" t="s">
        <v>134</v>
      </c>
      <c r="AB542">
        <v>-10.8368</v>
      </c>
      <c r="AC542">
        <v>-9.4684000000000008</v>
      </c>
      <c r="AD542">
        <v>39.389499999999998</v>
      </c>
      <c r="AE542">
        <v>13.6677</v>
      </c>
      <c r="AF542">
        <v>4.1630000000000003</v>
      </c>
      <c r="AG542">
        <v>0</v>
      </c>
      <c r="AH542">
        <v>0</v>
      </c>
      <c r="AI542">
        <v>6.7150999999999996</v>
      </c>
      <c r="AJ542">
        <v>6.7150999999999996</v>
      </c>
      <c r="AK542">
        <v>6.4116</v>
      </c>
      <c r="AL542" t="s">
        <v>134</v>
      </c>
      <c r="AM542">
        <v>3.2006000000000001</v>
      </c>
      <c r="AN542">
        <v>-0.94099999999999995</v>
      </c>
      <c r="AO542">
        <v>-0.58989999999999998</v>
      </c>
      <c r="AP542">
        <v>-9.6036999999999999</v>
      </c>
      <c r="AQ542">
        <v>-9.8604000000000003</v>
      </c>
      <c r="AR542" t="s">
        <v>134</v>
      </c>
      <c r="AS542">
        <v>0.12870000000000001</v>
      </c>
      <c r="AT542" t="s">
        <v>134</v>
      </c>
      <c r="AU542">
        <v>-7.0876000000000001</v>
      </c>
      <c r="AV542">
        <v>-1.5217000000000001</v>
      </c>
      <c r="AW542">
        <v>-0.80220000000000002</v>
      </c>
      <c r="AX542">
        <v>-12.5525</v>
      </c>
      <c r="AY542" t="s">
        <v>134</v>
      </c>
      <c r="AZ542">
        <v>-65.959900000000005</v>
      </c>
      <c r="BA542">
        <v>-72.495000000000005</v>
      </c>
      <c r="BB542">
        <v>-7.4257999999999997</v>
      </c>
      <c r="BC542">
        <v>-7.4344999999999999</v>
      </c>
      <c r="BD542">
        <v>-7.6364999999999998</v>
      </c>
      <c r="BE542" t="s">
        <v>134</v>
      </c>
      <c r="BF542">
        <v>-1.1264000000000001</v>
      </c>
      <c r="BG542">
        <v>-4.8548</v>
      </c>
      <c r="BH542">
        <v>-5.1768000000000001</v>
      </c>
      <c r="BI542">
        <v>-15.2239</v>
      </c>
      <c r="BJ542">
        <v>-14.977399999999999</v>
      </c>
      <c r="BK542" t="s">
        <v>134</v>
      </c>
      <c r="BL542" t="s">
        <v>134</v>
      </c>
      <c r="BM542" t="s">
        <v>134</v>
      </c>
      <c r="BN542" t="s">
        <v>134</v>
      </c>
      <c r="BO542" t="s">
        <v>134</v>
      </c>
      <c r="BP542" t="s">
        <v>134</v>
      </c>
      <c r="BQ542" t="s">
        <v>134</v>
      </c>
      <c r="BR542" t="s">
        <v>134</v>
      </c>
      <c r="BS542" t="s">
        <v>134</v>
      </c>
      <c r="BT542" t="s">
        <v>134</v>
      </c>
      <c r="BU542" t="s">
        <v>134</v>
      </c>
      <c r="BV542" t="s">
        <v>134</v>
      </c>
      <c r="BW542" t="s">
        <v>134</v>
      </c>
      <c r="BX542" t="s">
        <v>134</v>
      </c>
      <c r="BY542">
        <v>0.04</v>
      </c>
      <c r="BZ542">
        <v>0.04</v>
      </c>
      <c r="CA542">
        <v>0</v>
      </c>
      <c r="CB542">
        <v>0</v>
      </c>
      <c r="CC542">
        <v>-1.7334000000000001</v>
      </c>
      <c r="CD542">
        <v>0</v>
      </c>
      <c r="CE542">
        <v>-1.7936000000000001</v>
      </c>
      <c r="CF542" t="s">
        <v>134</v>
      </c>
      <c r="CG542">
        <v>64.742500000000007</v>
      </c>
      <c r="CH542">
        <v>0</v>
      </c>
      <c r="CI542">
        <v>0</v>
      </c>
      <c r="CJ542">
        <v>0</v>
      </c>
      <c r="CK542">
        <v>1E-4</v>
      </c>
      <c r="CL542">
        <v>1E-4</v>
      </c>
      <c r="CM542">
        <v>1E-4</v>
      </c>
      <c r="CN542">
        <v>-74.283199999999994</v>
      </c>
      <c r="CO542">
        <v>-288.85059999999999</v>
      </c>
      <c r="CP542">
        <v>3635.5</v>
      </c>
      <c r="CQ542" t="s">
        <v>134</v>
      </c>
      <c r="CR542">
        <v>3504</v>
      </c>
      <c r="CS542">
        <v>1.4616</v>
      </c>
      <c r="CT542">
        <v>2.1888000000000001</v>
      </c>
      <c r="CU542">
        <v>1.9037999999999999</v>
      </c>
      <c r="CV542">
        <v>20.975899999999999</v>
      </c>
      <c r="CW542">
        <v>5.7163000000000004</v>
      </c>
      <c r="CX542">
        <v>64.026899999999998</v>
      </c>
      <c r="CY542" t="s">
        <v>134</v>
      </c>
      <c r="CZ542" t="s">
        <v>134</v>
      </c>
      <c r="DA542" t="s">
        <v>134</v>
      </c>
      <c r="DB542" t="s">
        <v>134</v>
      </c>
      <c r="DC542" t="s">
        <v>134</v>
      </c>
      <c r="DD542" t="s">
        <v>134</v>
      </c>
      <c r="DE542">
        <v>0</v>
      </c>
      <c r="DF542">
        <v>0</v>
      </c>
      <c r="DG542">
        <v>0</v>
      </c>
      <c r="DH542">
        <v>0</v>
      </c>
      <c r="DI542">
        <v>0</v>
      </c>
    </row>
    <row r="543" spans="4:113" x14ac:dyDescent="0.3">
      <c r="D543" t="s">
        <v>10</v>
      </c>
      <c r="E543" t="s">
        <v>3</v>
      </c>
      <c r="F543">
        <v>29.8644</v>
      </c>
      <c r="G543">
        <v>20.2517</v>
      </c>
      <c r="H543" t="s">
        <v>134</v>
      </c>
      <c r="I543">
        <v>27.900099999999998</v>
      </c>
      <c r="J543">
        <v>39.1706</v>
      </c>
      <c r="K543">
        <v>37.584899999999998</v>
      </c>
      <c r="L543">
        <v>35.524999999999999</v>
      </c>
      <c r="M543">
        <v>39.692</v>
      </c>
      <c r="N543">
        <v>26.7791</v>
      </c>
      <c r="O543">
        <v>26.7791</v>
      </c>
      <c r="P543">
        <v>26.7791</v>
      </c>
      <c r="Q543">
        <v>32.532699999999998</v>
      </c>
      <c r="R543">
        <v>121.81570000000001</v>
      </c>
      <c r="S543">
        <v>-6.5151000000000003</v>
      </c>
      <c r="T543">
        <v>7.1483999999999996</v>
      </c>
      <c r="U543">
        <v>7.5804999999999998</v>
      </c>
      <c r="V543">
        <v>6.7302999999999997</v>
      </c>
      <c r="W543">
        <v>13.013</v>
      </c>
      <c r="X543">
        <v>13.1335</v>
      </c>
      <c r="Y543">
        <v>70</v>
      </c>
      <c r="Z543">
        <v>-13.606</v>
      </c>
      <c r="AA543" t="s">
        <v>134</v>
      </c>
      <c r="AB543">
        <v>-3.4108999999999998</v>
      </c>
      <c r="AC543">
        <v>5.8944999999999999</v>
      </c>
      <c r="AD543">
        <v>-10.86</v>
      </c>
      <c r="AE543">
        <v>-48.342300000000002</v>
      </c>
      <c r="AF543">
        <v>-71.299599999999998</v>
      </c>
      <c r="AG543">
        <v>0</v>
      </c>
      <c r="AH543">
        <v>0</v>
      </c>
      <c r="AI543">
        <v>-30.1525</v>
      </c>
      <c r="AJ543">
        <v>-30.1524</v>
      </c>
      <c r="AK543">
        <v>-30.3582</v>
      </c>
      <c r="AL543">
        <v>39.307699999999997</v>
      </c>
      <c r="AM543">
        <v>7.0636999999999999</v>
      </c>
      <c r="AN543">
        <v>9.3085000000000004</v>
      </c>
      <c r="AO543">
        <v>9.3421000000000003</v>
      </c>
      <c r="AP543">
        <v>5.4466999999999999</v>
      </c>
      <c r="AQ543">
        <v>5.1754999999999995</v>
      </c>
      <c r="AR543" t="s">
        <v>134</v>
      </c>
      <c r="AS543">
        <v>-4.3582999999999998</v>
      </c>
      <c r="AT543" t="s">
        <v>134</v>
      </c>
      <c r="AU543">
        <v>-9.3167000000000009</v>
      </c>
      <c r="AV543">
        <v>-3.5620000000000003</v>
      </c>
      <c r="AW543">
        <v>-4.0594999999999999</v>
      </c>
      <c r="AX543">
        <v>-18.982900000000001</v>
      </c>
      <c r="AY543">
        <v>-16.819800000000001</v>
      </c>
      <c r="AZ543">
        <v>-64.653700000000001</v>
      </c>
      <c r="BA543">
        <v>-69.182299999999998</v>
      </c>
      <c r="BB543">
        <v>-12.369199999999999</v>
      </c>
      <c r="BC543">
        <v>-12.373200000000001</v>
      </c>
      <c r="BD543">
        <v>-12.569599999999999</v>
      </c>
      <c r="BE543">
        <v>4.4599000000000002</v>
      </c>
      <c r="BF543">
        <v>7.1483999999999996</v>
      </c>
      <c r="BG543">
        <v>7.5804999999999998</v>
      </c>
      <c r="BH543">
        <v>6.7302999999999997</v>
      </c>
      <c r="BI543">
        <v>13.013</v>
      </c>
      <c r="BJ543">
        <v>13.1335</v>
      </c>
      <c r="BK543">
        <v>70</v>
      </c>
      <c r="BL543">
        <v>-13.606</v>
      </c>
      <c r="BM543" t="s">
        <v>134</v>
      </c>
      <c r="BN543">
        <v>-3.4108999999999998</v>
      </c>
      <c r="BO543">
        <v>5.8944999999999999</v>
      </c>
      <c r="BP543">
        <v>-10.86</v>
      </c>
      <c r="BQ543">
        <v>-48.342300000000002</v>
      </c>
      <c r="BR543">
        <v>-71.299599999999998</v>
      </c>
      <c r="BS543">
        <v>0</v>
      </c>
      <c r="BT543">
        <v>0</v>
      </c>
      <c r="BU543">
        <v>-30.1525</v>
      </c>
      <c r="BV543">
        <v>-30.1524</v>
      </c>
      <c r="BW543">
        <v>-30.3582</v>
      </c>
      <c r="BX543">
        <v>39.307699999999997</v>
      </c>
      <c r="BY543">
        <v>0.04</v>
      </c>
      <c r="BZ543">
        <v>0.04</v>
      </c>
      <c r="CA543">
        <v>0</v>
      </c>
      <c r="CB543">
        <v>0</v>
      </c>
      <c r="CC543">
        <v>-1.7484</v>
      </c>
      <c r="CD543">
        <v>0</v>
      </c>
      <c r="CE543">
        <v>-1.8222</v>
      </c>
      <c r="CF543" t="s">
        <v>134</v>
      </c>
      <c r="CG543">
        <v>54.221499999999999</v>
      </c>
      <c r="CH543">
        <v>0</v>
      </c>
      <c r="CI543">
        <v>0</v>
      </c>
      <c r="CJ543">
        <v>0</v>
      </c>
      <c r="CK543">
        <v>1E-4</v>
      </c>
      <c r="CL543">
        <v>1E-4</v>
      </c>
      <c r="CM543">
        <v>1E-4</v>
      </c>
      <c r="CN543">
        <v>-92.861099999999993</v>
      </c>
      <c r="CO543">
        <v>-1300.7852</v>
      </c>
      <c r="CP543">
        <v>17338.98</v>
      </c>
      <c r="CQ543">
        <v>16726.45</v>
      </c>
      <c r="CR543">
        <v>16637.060000000001</v>
      </c>
      <c r="CS543">
        <v>1.1552</v>
      </c>
      <c r="CT543">
        <v>1.6388</v>
      </c>
      <c r="CU543">
        <v>1.4289000000000001</v>
      </c>
      <c r="CV543">
        <v>9.4620999999999995</v>
      </c>
      <c r="CW543">
        <v>5.7149999999999999</v>
      </c>
      <c r="CX543">
        <v>63.867600000000003</v>
      </c>
      <c r="CY543" t="s">
        <v>134</v>
      </c>
      <c r="CZ543" t="s">
        <v>134</v>
      </c>
      <c r="DA543" t="s">
        <v>134</v>
      </c>
      <c r="DB543" t="s">
        <v>134</v>
      </c>
      <c r="DC543" t="s">
        <v>134</v>
      </c>
      <c r="DD543" t="s">
        <v>134</v>
      </c>
      <c r="DE543">
        <v>0</v>
      </c>
      <c r="DF543">
        <v>0</v>
      </c>
      <c r="DG543">
        <v>0</v>
      </c>
      <c r="DH543">
        <v>0</v>
      </c>
      <c r="DI543">
        <v>0</v>
      </c>
    </row>
    <row r="544" spans="4:113" x14ac:dyDescent="0.3">
      <c r="E544" t="s">
        <v>4</v>
      </c>
      <c r="F544" t="s">
        <v>134</v>
      </c>
      <c r="G544" t="s">
        <v>134</v>
      </c>
      <c r="H544" t="s">
        <v>134</v>
      </c>
      <c r="I544" t="s">
        <v>134</v>
      </c>
      <c r="J544">
        <v>40.367699999999999</v>
      </c>
      <c r="K544">
        <v>38.738300000000002</v>
      </c>
      <c r="L544">
        <v>33.674900000000001</v>
      </c>
      <c r="M544">
        <v>43.284100000000002</v>
      </c>
      <c r="N544">
        <v>29.412199999999999</v>
      </c>
      <c r="O544">
        <v>29.412199999999999</v>
      </c>
      <c r="P544">
        <v>29.412199999999999</v>
      </c>
      <c r="Q544">
        <v>32.017000000000003</v>
      </c>
      <c r="R544" t="s">
        <v>134</v>
      </c>
      <c r="S544" t="s">
        <v>134</v>
      </c>
      <c r="T544">
        <v>12.2883</v>
      </c>
      <c r="U544">
        <v>11.3355</v>
      </c>
      <c r="V544">
        <v>10.513299999999999</v>
      </c>
      <c r="W544">
        <v>23.478000000000002</v>
      </c>
      <c r="X544">
        <v>23.4223</v>
      </c>
      <c r="Y544" t="s">
        <v>134</v>
      </c>
      <c r="Z544" t="s">
        <v>134</v>
      </c>
      <c r="AA544" t="s">
        <v>134</v>
      </c>
      <c r="AB544" t="s">
        <v>134</v>
      </c>
      <c r="AC544" t="s">
        <v>134</v>
      </c>
      <c r="AD544" t="s">
        <v>134</v>
      </c>
      <c r="AE544" t="s">
        <v>134</v>
      </c>
      <c r="AF544" t="s">
        <v>134</v>
      </c>
      <c r="AG544" t="s">
        <v>134</v>
      </c>
      <c r="AH544" t="s">
        <v>134</v>
      </c>
      <c r="AI544" t="s">
        <v>134</v>
      </c>
      <c r="AJ544" t="s">
        <v>134</v>
      </c>
      <c r="AK544" t="s">
        <v>134</v>
      </c>
      <c r="AL544" t="s">
        <v>134</v>
      </c>
      <c r="AM544">
        <v>10.575699999999999</v>
      </c>
      <c r="AN544">
        <v>15.664300000000001</v>
      </c>
      <c r="AO544">
        <v>15.7491</v>
      </c>
      <c r="AP544">
        <v>11.135300000000001</v>
      </c>
      <c r="AQ544">
        <v>10.845800000000001</v>
      </c>
      <c r="AR544" t="s">
        <v>134</v>
      </c>
      <c r="AS544" t="s">
        <v>134</v>
      </c>
      <c r="AT544" t="s">
        <v>134</v>
      </c>
      <c r="AU544" t="s">
        <v>134</v>
      </c>
      <c r="AV544" t="s">
        <v>134</v>
      </c>
      <c r="AW544" t="s">
        <v>134</v>
      </c>
      <c r="AX544" t="s">
        <v>134</v>
      </c>
      <c r="AY544" t="s">
        <v>134</v>
      </c>
      <c r="AZ544" t="s">
        <v>134</v>
      </c>
      <c r="BA544" t="s">
        <v>134</v>
      </c>
      <c r="BB544" t="s">
        <v>134</v>
      </c>
      <c r="BC544" t="s">
        <v>134</v>
      </c>
      <c r="BD544" t="s">
        <v>134</v>
      </c>
      <c r="BE544" t="s">
        <v>134</v>
      </c>
      <c r="BF544">
        <v>10.6076</v>
      </c>
      <c r="BG544">
        <v>18.741599999999998</v>
      </c>
      <c r="BH544">
        <v>17.823399999999999</v>
      </c>
      <c r="BI544">
        <v>54.376399999999997</v>
      </c>
      <c r="BJ544">
        <v>54.5593</v>
      </c>
      <c r="BK544" t="s">
        <v>134</v>
      </c>
      <c r="BL544" t="s">
        <v>134</v>
      </c>
      <c r="BM544" t="s">
        <v>134</v>
      </c>
      <c r="BN544" t="s">
        <v>134</v>
      </c>
      <c r="BO544" t="s">
        <v>134</v>
      </c>
      <c r="BP544" t="s">
        <v>134</v>
      </c>
      <c r="BQ544" t="s">
        <v>134</v>
      </c>
      <c r="BR544" t="s">
        <v>134</v>
      </c>
      <c r="BS544" t="s">
        <v>134</v>
      </c>
      <c r="BT544" t="s">
        <v>134</v>
      </c>
      <c r="BU544" t="s">
        <v>134</v>
      </c>
      <c r="BV544" t="s">
        <v>134</v>
      </c>
      <c r="BW544" t="s">
        <v>134</v>
      </c>
      <c r="BX544" t="s">
        <v>134</v>
      </c>
      <c r="BY544" t="s">
        <v>134</v>
      </c>
      <c r="BZ544" t="s">
        <v>134</v>
      </c>
      <c r="CA544" t="s">
        <v>134</v>
      </c>
      <c r="CB544" t="s">
        <v>134</v>
      </c>
      <c r="CC544" t="s">
        <v>134</v>
      </c>
      <c r="CD544" t="s">
        <v>134</v>
      </c>
      <c r="CE544" t="s">
        <v>134</v>
      </c>
      <c r="CF544" t="s">
        <v>134</v>
      </c>
      <c r="CG544" t="s">
        <v>134</v>
      </c>
      <c r="CH544" t="s">
        <v>134</v>
      </c>
      <c r="CI544" t="s">
        <v>134</v>
      </c>
      <c r="CJ544" t="s">
        <v>134</v>
      </c>
      <c r="CK544" t="s">
        <v>134</v>
      </c>
      <c r="CL544" t="s">
        <v>134</v>
      </c>
      <c r="CM544" t="s">
        <v>134</v>
      </c>
      <c r="CN544" t="s">
        <v>134</v>
      </c>
      <c r="CO544" t="s">
        <v>134</v>
      </c>
      <c r="CP544">
        <v>4751.8</v>
      </c>
      <c r="CQ544" t="s">
        <v>134</v>
      </c>
      <c r="CR544">
        <v>4560</v>
      </c>
      <c r="CS544" t="s">
        <v>134</v>
      </c>
      <c r="CT544" t="s">
        <v>134</v>
      </c>
      <c r="CU544" t="s">
        <v>134</v>
      </c>
      <c r="CV544" t="s">
        <v>134</v>
      </c>
      <c r="CW544" t="s">
        <v>134</v>
      </c>
      <c r="CX544" t="s">
        <v>134</v>
      </c>
      <c r="CY544" t="s">
        <v>134</v>
      </c>
      <c r="CZ544" t="s">
        <v>134</v>
      </c>
      <c r="DA544" t="s">
        <v>134</v>
      </c>
      <c r="DB544" t="s">
        <v>134</v>
      </c>
      <c r="DC544" t="s">
        <v>134</v>
      </c>
      <c r="DD544" t="s">
        <v>134</v>
      </c>
      <c r="DE544" t="s">
        <v>134</v>
      </c>
      <c r="DF544" t="s">
        <v>134</v>
      </c>
      <c r="DG544" t="s">
        <v>134</v>
      </c>
      <c r="DH544" t="s">
        <v>134</v>
      </c>
      <c r="DI544" t="s">
        <v>134</v>
      </c>
    </row>
    <row r="545" spans="1:113" x14ac:dyDescent="0.3">
      <c r="E545" t="s">
        <v>5</v>
      </c>
      <c r="F545">
        <v>26.3018</v>
      </c>
      <c r="G545">
        <v>21.373899999999999</v>
      </c>
      <c r="H545" t="s">
        <v>134</v>
      </c>
      <c r="I545">
        <v>24.974499999999999</v>
      </c>
      <c r="J545">
        <v>35.969499999999996</v>
      </c>
      <c r="K545">
        <v>34.264800000000001</v>
      </c>
      <c r="L545" t="s">
        <v>134</v>
      </c>
      <c r="M545">
        <v>36.937399999999997</v>
      </c>
      <c r="N545">
        <v>27.3963</v>
      </c>
      <c r="O545">
        <v>27.3963</v>
      </c>
      <c r="P545">
        <v>27.3963</v>
      </c>
      <c r="Q545">
        <v>25.802399999999999</v>
      </c>
      <c r="R545" t="s">
        <v>134</v>
      </c>
      <c r="S545" t="s">
        <v>134</v>
      </c>
      <c r="T545">
        <v>7.1569000000000003</v>
      </c>
      <c r="U545">
        <v>-4.8354999999999997</v>
      </c>
      <c r="V545">
        <v>-6.3162000000000003</v>
      </c>
      <c r="W545">
        <v>4.3887</v>
      </c>
      <c r="X545">
        <v>4.3809000000000005</v>
      </c>
      <c r="Y545" t="s">
        <v>134</v>
      </c>
      <c r="Z545">
        <v>45.650300000000001</v>
      </c>
      <c r="AA545" t="s">
        <v>134</v>
      </c>
      <c r="AB545">
        <v>-68.844800000000006</v>
      </c>
      <c r="AC545">
        <v>7.3017000000000003</v>
      </c>
      <c r="AD545">
        <v>49.330500000000001</v>
      </c>
      <c r="AE545">
        <v>10.5197</v>
      </c>
      <c r="AF545">
        <v>-46.503799999999998</v>
      </c>
      <c r="AG545" t="s">
        <v>134</v>
      </c>
      <c r="AH545" t="s">
        <v>134</v>
      </c>
      <c r="AI545">
        <v>6.9031000000000002</v>
      </c>
      <c r="AJ545">
        <v>6.9031000000000002</v>
      </c>
      <c r="AK545">
        <v>6.8024000000000004</v>
      </c>
      <c r="AL545" t="s">
        <v>134</v>
      </c>
      <c r="AM545">
        <v>7.0949999999999998</v>
      </c>
      <c r="AN545">
        <v>9.0604999999999993</v>
      </c>
      <c r="AO545">
        <v>8.8861000000000008</v>
      </c>
      <c r="AP545">
        <v>6.9396000000000004</v>
      </c>
      <c r="AQ545">
        <v>6.6727999999999996</v>
      </c>
      <c r="AR545" t="s">
        <v>134</v>
      </c>
      <c r="AS545" t="s">
        <v>134</v>
      </c>
      <c r="AT545" t="s">
        <v>134</v>
      </c>
      <c r="AU545" t="s">
        <v>134</v>
      </c>
      <c r="AV545" t="s">
        <v>134</v>
      </c>
      <c r="AW545" t="s">
        <v>134</v>
      </c>
      <c r="AX545" t="s">
        <v>134</v>
      </c>
      <c r="AY545" t="s">
        <v>134</v>
      </c>
      <c r="AZ545" t="s">
        <v>134</v>
      </c>
      <c r="BA545" t="s">
        <v>134</v>
      </c>
      <c r="BB545" t="s">
        <v>134</v>
      </c>
      <c r="BC545" t="s">
        <v>134</v>
      </c>
      <c r="BD545" t="s">
        <v>134</v>
      </c>
      <c r="BE545" t="s">
        <v>134</v>
      </c>
      <c r="BF545">
        <v>-9.5010999999999992</v>
      </c>
      <c r="BG545">
        <v>-19.3611</v>
      </c>
      <c r="BH545">
        <v>-19.951799999999999</v>
      </c>
      <c r="BI545">
        <v>-15.703900000000001</v>
      </c>
      <c r="BJ545">
        <v>-15.658799999999999</v>
      </c>
      <c r="BK545" t="s">
        <v>134</v>
      </c>
      <c r="BL545" t="s">
        <v>134</v>
      </c>
      <c r="BM545" t="s">
        <v>134</v>
      </c>
      <c r="BN545" t="s">
        <v>134</v>
      </c>
      <c r="BO545" t="s">
        <v>134</v>
      </c>
      <c r="BP545" t="s">
        <v>134</v>
      </c>
      <c r="BQ545" t="s">
        <v>134</v>
      </c>
      <c r="BR545" t="s">
        <v>134</v>
      </c>
      <c r="BS545" t="s">
        <v>134</v>
      </c>
      <c r="BT545" t="s">
        <v>134</v>
      </c>
      <c r="BU545" t="s">
        <v>134</v>
      </c>
      <c r="BV545" t="s">
        <v>134</v>
      </c>
      <c r="BW545" t="s">
        <v>134</v>
      </c>
      <c r="BX545" t="s">
        <v>134</v>
      </c>
      <c r="BY545">
        <v>0</v>
      </c>
      <c r="BZ545">
        <v>0</v>
      </c>
      <c r="CA545">
        <v>0</v>
      </c>
      <c r="CB545">
        <v>0</v>
      </c>
      <c r="CC545">
        <v>-1.4904999999999999</v>
      </c>
      <c r="CD545">
        <v>0</v>
      </c>
      <c r="CE545">
        <v>-1.5501</v>
      </c>
      <c r="CF545" t="s">
        <v>134</v>
      </c>
      <c r="CG545">
        <v>81.117999999999995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-55.227200000000003</v>
      </c>
      <c r="CO545">
        <v>-123.34990000000001</v>
      </c>
      <c r="CP545">
        <v>3831.8</v>
      </c>
      <c r="CQ545" t="s">
        <v>134</v>
      </c>
      <c r="CR545">
        <v>3650.2</v>
      </c>
      <c r="CS545">
        <v>2.7034000000000002</v>
      </c>
      <c r="CT545">
        <v>4.3094000000000001</v>
      </c>
      <c r="CU545">
        <v>3.6987999999999999</v>
      </c>
      <c r="CV545">
        <v>19.900400000000001</v>
      </c>
      <c r="CW545">
        <v>5.7042000000000002</v>
      </c>
      <c r="CX545">
        <v>64.163799999999995</v>
      </c>
      <c r="CY545" t="s">
        <v>134</v>
      </c>
      <c r="CZ545" t="s">
        <v>134</v>
      </c>
      <c r="DA545" t="s">
        <v>134</v>
      </c>
      <c r="DB545" t="s">
        <v>134</v>
      </c>
      <c r="DC545" t="s">
        <v>134</v>
      </c>
      <c r="DD545" t="s">
        <v>134</v>
      </c>
      <c r="DE545">
        <v>0</v>
      </c>
      <c r="DF545">
        <v>0</v>
      </c>
      <c r="DG545">
        <v>0</v>
      </c>
      <c r="DH545">
        <v>0</v>
      </c>
      <c r="DI545">
        <v>0</v>
      </c>
    </row>
    <row r="546" spans="1:113" x14ac:dyDescent="0.3">
      <c r="E546" t="s">
        <v>6</v>
      </c>
      <c r="F546" t="s">
        <v>134</v>
      </c>
      <c r="G546" t="s">
        <v>134</v>
      </c>
      <c r="H546" t="s">
        <v>134</v>
      </c>
      <c r="I546" t="s">
        <v>134</v>
      </c>
      <c r="J546">
        <v>44.087699999999998</v>
      </c>
      <c r="K546">
        <v>42.634099999999997</v>
      </c>
      <c r="L546">
        <v>105.04730000000001</v>
      </c>
      <c r="M546">
        <v>42.768299999999996</v>
      </c>
      <c r="N546">
        <v>28.1999</v>
      </c>
      <c r="O546">
        <v>28.1999</v>
      </c>
      <c r="P546">
        <v>28.1999</v>
      </c>
      <c r="Q546">
        <v>34.063600000000001</v>
      </c>
      <c r="R546" t="s">
        <v>134</v>
      </c>
      <c r="S546" t="s">
        <v>134</v>
      </c>
      <c r="T546">
        <v>10.5199</v>
      </c>
      <c r="U546">
        <v>30.649000000000001</v>
      </c>
      <c r="V546">
        <v>30.6389</v>
      </c>
      <c r="W546">
        <v>20.653700000000001</v>
      </c>
      <c r="X546">
        <v>21.110399999999998</v>
      </c>
      <c r="Y546" t="s">
        <v>134</v>
      </c>
      <c r="Z546" t="s">
        <v>134</v>
      </c>
      <c r="AA546" t="s">
        <v>134</v>
      </c>
      <c r="AB546" t="s">
        <v>134</v>
      </c>
      <c r="AC546" t="s">
        <v>134</v>
      </c>
      <c r="AD546" t="s">
        <v>134</v>
      </c>
      <c r="AE546" t="s">
        <v>134</v>
      </c>
      <c r="AF546" t="s">
        <v>134</v>
      </c>
      <c r="AG546" t="s">
        <v>134</v>
      </c>
      <c r="AH546" t="s">
        <v>134</v>
      </c>
      <c r="AI546" t="s">
        <v>134</v>
      </c>
      <c r="AJ546" t="s">
        <v>134</v>
      </c>
      <c r="AK546" t="s">
        <v>134</v>
      </c>
      <c r="AL546" t="s">
        <v>134</v>
      </c>
      <c r="AM546">
        <v>6.7735000000000003</v>
      </c>
      <c r="AN546">
        <v>11.8863</v>
      </c>
      <c r="AO546">
        <v>12.225300000000001</v>
      </c>
      <c r="AP546">
        <v>1.0559000000000001</v>
      </c>
      <c r="AQ546">
        <v>0.79139999999999999</v>
      </c>
      <c r="AR546" t="s">
        <v>134</v>
      </c>
      <c r="AS546" t="s">
        <v>134</v>
      </c>
      <c r="AT546" t="s">
        <v>134</v>
      </c>
      <c r="AU546" t="s">
        <v>134</v>
      </c>
      <c r="AV546" t="s">
        <v>134</v>
      </c>
      <c r="AW546" t="s">
        <v>134</v>
      </c>
      <c r="AX546" t="s">
        <v>134</v>
      </c>
      <c r="AY546" t="s">
        <v>134</v>
      </c>
      <c r="AZ546" t="s">
        <v>134</v>
      </c>
      <c r="BA546" t="s">
        <v>134</v>
      </c>
      <c r="BB546" t="s">
        <v>134</v>
      </c>
      <c r="BC546" t="s">
        <v>134</v>
      </c>
      <c r="BD546" t="s">
        <v>134</v>
      </c>
      <c r="BE546" t="s">
        <v>134</v>
      </c>
      <c r="BF546">
        <v>6.2916999999999996</v>
      </c>
      <c r="BG546">
        <v>30.278400000000001</v>
      </c>
      <c r="BH546">
        <v>32.252299999999998</v>
      </c>
      <c r="BI546">
        <v>9.4097000000000008</v>
      </c>
      <c r="BJ546">
        <v>9.0831999999999997</v>
      </c>
      <c r="BK546" t="s">
        <v>134</v>
      </c>
      <c r="BL546" t="s">
        <v>134</v>
      </c>
      <c r="BM546" t="s">
        <v>134</v>
      </c>
      <c r="BN546" t="s">
        <v>134</v>
      </c>
      <c r="BO546" t="s">
        <v>134</v>
      </c>
      <c r="BP546" t="s">
        <v>134</v>
      </c>
      <c r="BQ546" t="s">
        <v>134</v>
      </c>
      <c r="BR546" t="s">
        <v>134</v>
      </c>
      <c r="BS546" t="s">
        <v>134</v>
      </c>
      <c r="BT546" t="s">
        <v>134</v>
      </c>
      <c r="BU546" t="s">
        <v>134</v>
      </c>
      <c r="BV546" t="s">
        <v>134</v>
      </c>
      <c r="BW546" t="s">
        <v>134</v>
      </c>
      <c r="BX546" t="s">
        <v>134</v>
      </c>
      <c r="BY546" t="s">
        <v>134</v>
      </c>
      <c r="BZ546" t="s">
        <v>134</v>
      </c>
      <c r="CA546" t="s">
        <v>134</v>
      </c>
      <c r="CB546" t="s">
        <v>134</v>
      </c>
      <c r="CC546" t="s">
        <v>134</v>
      </c>
      <c r="CD546" t="s">
        <v>134</v>
      </c>
      <c r="CE546" t="s">
        <v>134</v>
      </c>
      <c r="CF546" t="s">
        <v>134</v>
      </c>
      <c r="CG546" t="s">
        <v>134</v>
      </c>
      <c r="CH546" t="s">
        <v>134</v>
      </c>
      <c r="CI546" t="s">
        <v>134</v>
      </c>
      <c r="CJ546" t="s">
        <v>134</v>
      </c>
      <c r="CK546" t="s">
        <v>134</v>
      </c>
      <c r="CL546" t="s">
        <v>134</v>
      </c>
      <c r="CM546" t="s">
        <v>134</v>
      </c>
      <c r="CN546" t="s">
        <v>134</v>
      </c>
      <c r="CO546" t="s">
        <v>134</v>
      </c>
      <c r="CP546">
        <v>4992.1000000000004</v>
      </c>
      <c r="CQ546" t="s">
        <v>134</v>
      </c>
      <c r="CR546">
        <v>4827.5</v>
      </c>
      <c r="CS546" t="s">
        <v>134</v>
      </c>
      <c r="CT546" t="s">
        <v>134</v>
      </c>
      <c r="CU546" t="s">
        <v>134</v>
      </c>
      <c r="CV546" t="s">
        <v>134</v>
      </c>
      <c r="CW546" t="s">
        <v>134</v>
      </c>
      <c r="CX546" t="s">
        <v>134</v>
      </c>
      <c r="CY546" t="s">
        <v>134</v>
      </c>
      <c r="CZ546" t="s">
        <v>134</v>
      </c>
      <c r="DA546" t="s">
        <v>134</v>
      </c>
      <c r="DB546" t="s">
        <v>134</v>
      </c>
      <c r="DC546" t="s">
        <v>134</v>
      </c>
      <c r="DD546" t="s">
        <v>134</v>
      </c>
      <c r="DE546" t="s">
        <v>134</v>
      </c>
      <c r="DF546" t="s">
        <v>134</v>
      </c>
      <c r="DG546" t="s">
        <v>134</v>
      </c>
      <c r="DH546" t="s">
        <v>134</v>
      </c>
      <c r="DI546" t="s">
        <v>134</v>
      </c>
    </row>
    <row r="547" spans="1:113" x14ac:dyDescent="0.3">
      <c r="E547" t="s">
        <v>7</v>
      </c>
      <c r="F547">
        <v>29.8642</v>
      </c>
      <c r="G547">
        <v>20.2516</v>
      </c>
      <c r="H547" t="s">
        <v>134</v>
      </c>
      <c r="I547">
        <v>27.8582</v>
      </c>
      <c r="J547">
        <v>35.778700000000001</v>
      </c>
      <c r="K547">
        <v>34.220399999999998</v>
      </c>
      <c r="L547">
        <v>-217.7653</v>
      </c>
      <c r="M547">
        <v>35.174900000000001</v>
      </c>
      <c r="N547">
        <v>21.677099999999999</v>
      </c>
      <c r="O547">
        <v>21.677099999999999</v>
      </c>
      <c r="P547">
        <v>21.677099999999999</v>
      </c>
      <c r="Q547">
        <v>38.373399999999997</v>
      </c>
      <c r="R547" t="s">
        <v>134</v>
      </c>
      <c r="S547" t="s">
        <v>134</v>
      </c>
      <c r="T547">
        <v>-1.1689000000000001</v>
      </c>
      <c r="U547">
        <v>-5.9622999999999999</v>
      </c>
      <c r="V547">
        <v>-6.9996</v>
      </c>
      <c r="W547">
        <v>1.6632</v>
      </c>
      <c r="X547">
        <v>1.6337000000000002</v>
      </c>
      <c r="Y547" t="s">
        <v>134</v>
      </c>
      <c r="Z547">
        <v>-13.606</v>
      </c>
      <c r="AA547" t="s">
        <v>134</v>
      </c>
      <c r="AB547">
        <v>-3.4108999999999998</v>
      </c>
      <c r="AC547">
        <v>5.8944999999999999</v>
      </c>
      <c r="AD547">
        <v>-10.86</v>
      </c>
      <c r="AE547">
        <v>-48.342300000000002</v>
      </c>
      <c r="AF547">
        <v>-71.299599999999998</v>
      </c>
      <c r="AG547">
        <v>0</v>
      </c>
      <c r="AH547">
        <v>0</v>
      </c>
      <c r="AI547">
        <v>-30.1525</v>
      </c>
      <c r="AJ547">
        <v>-30.1524</v>
      </c>
      <c r="AK547">
        <v>-30.3582</v>
      </c>
      <c r="AL547" t="s">
        <v>134</v>
      </c>
      <c r="AM547">
        <v>4.0480999999999998</v>
      </c>
      <c r="AN547">
        <v>1.5478000000000001</v>
      </c>
      <c r="AO547">
        <v>1.425</v>
      </c>
      <c r="AP547">
        <v>3.3454999999999999</v>
      </c>
      <c r="AQ547">
        <v>3.0550000000000002</v>
      </c>
      <c r="AR547" t="s">
        <v>134</v>
      </c>
      <c r="AS547">
        <v>-4.3582999999999998</v>
      </c>
      <c r="AT547" t="s">
        <v>134</v>
      </c>
      <c r="AU547">
        <v>-9.3167000000000009</v>
      </c>
      <c r="AV547">
        <v>-3.5620000000000003</v>
      </c>
      <c r="AW547">
        <v>-4.0594999999999999</v>
      </c>
      <c r="AX547">
        <v>-18.982900000000001</v>
      </c>
      <c r="AY547">
        <v>-16.819800000000001</v>
      </c>
      <c r="AZ547">
        <v>-64.653700000000001</v>
      </c>
      <c r="BA547">
        <v>-69.182299999999998</v>
      </c>
      <c r="BB547">
        <v>-12.369199999999999</v>
      </c>
      <c r="BC547">
        <v>-12.373200000000001</v>
      </c>
      <c r="BD547">
        <v>-12.569599999999999</v>
      </c>
      <c r="BE547" t="s">
        <v>134</v>
      </c>
      <c r="BF547">
        <v>-7.1101999999999999</v>
      </c>
      <c r="BG547">
        <v>-24.616900000000001</v>
      </c>
      <c r="BH547">
        <v>-25.441700000000001</v>
      </c>
      <c r="BI547">
        <v>-28.596</v>
      </c>
      <c r="BJ547">
        <v>-28.704699999999999</v>
      </c>
      <c r="BK547" t="s">
        <v>134</v>
      </c>
      <c r="BL547" t="s">
        <v>134</v>
      </c>
      <c r="BM547" t="s">
        <v>134</v>
      </c>
      <c r="BN547" t="s">
        <v>134</v>
      </c>
      <c r="BO547" t="s">
        <v>134</v>
      </c>
      <c r="BP547" t="s">
        <v>134</v>
      </c>
      <c r="BQ547" t="s">
        <v>134</v>
      </c>
      <c r="BR547" t="s">
        <v>134</v>
      </c>
      <c r="BS547" t="s">
        <v>134</v>
      </c>
      <c r="BT547" t="s">
        <v>134</v>
      </c>
      <c r="BU547" t="s">
        <v>134</v>
      </c>
      <c r="BV547" t="s">
        <v>134</v>
      </c>
      <c r="BW547" t="s">
        <v>134</v>
      </c>
      <c r="BX547" t="s">
        <v>134</v>
      </c>
      <c r="BY547">
        <v>0.04</v>
      </c>
      <c r="BZ547">
        <v>0.04</v>
      </c>
      <c r="CA547">
        <v>0</v>
      </c>
      <c r="CB547">
        <v>0</v>
      </c>
      <c r="CC547">
        <v>-1.7484</v>
      </c>
      <c r="CD547">
        <v>0</v>
      </c>
      <c r="CE547">
        <v>-1.8222</v>
      </c>
      <c r="CF547" t="s">
        <v>134</v>
      </c>
      <c r="CG547">
        <v>54.221499999999999</v>
      </c>
      <c r="CH547">
        <v>0</v>
      </c>
      <c r="CI547">
        <v>0</v>
      </c>
      <c r="CJ547">
        <v>0</v>
      </c>
      <c r="CK547">
        <v>1E-4</v>
      </c>
      <c r="CL547">
        <v>1E-4</v>
      </c>
      <c r="CM547">
        <v>1E-4</v>
      </c>
      <c r="CN547">
        <v>-92.861099999999993</v>
      </c>
      <c r="CO547">
        <v>-1300.7852</v>
      </c>
      <c r="CP547">
        <v>3763.2</v>
      </c>
      <c r="CQ547" t="s">
        <v>134</v>
      </c>
      <c r="CR547">
        <v>3599.3</v>
      </c>
      <c r="CS547">
        <v>1.1552</v>
      </c>
      <c r="CT547">
        <v>1.6388</v>
      </c>
      <c r="CU547">
        <v>1.4289000000000001</v>
      </c>
      <c r="CV547">
        <v>9.4620999999999995</v>
      </c>
      <c r="CW547">
        <v>5.7149000000000001</v>
      </c>
      <c r="CX547">
        <v>63.867699999999999</v>
      </c>
      <c r="CY547" t="s">
        <v>134</v>
      </c>
      <c r="CZ547" t="s">
        <v>134</v>
      </c>
      <c r="DA547" t="s">
        <v>134</v>
      </c>
      <c r="DB547" t="s">
        <v>134</v>
      </c>
      <c r="DC547" t="s">
        <v>134</v>
      </c>
      <c r="DD547" t="s">
        <v>134</v>
      </c>
      <c r="DE547">
        <v>0</v>
      </c>
      <c r="DF547">
        <v>0</v>
      </c>
      <c r="DG547">
        <v>0</v>
      </c>
      <c r="DH547">
        <v>0</v>
      </c>
      <c r="DI547">
        <v>0</v>
      </c>
    </row>
    <row r="548" spans="1:113" x14ac:dyDescent="0.3">
      <c r="D548" t="s">
        <v>11</v>
      </c>
      <c r="E548" t="s">
        <v>3</v>
      </c>
      <c r="F548">
        <v>31.034700000000001</v>
      </c>
      <c r="G548">
        <v>20.6967</v>
      </c>
      <c r="H548" t="s">
        <v>134</v>
      </c>
      <c r="I548">
        <v>28.813099999999999</v>
      </c>
      <c r="J548">
        <v>40.005000000000003</v>
      </c>
      <c r="K548">
        <v>38.647399999999998</v>
      </c>
      <c r="L548">
        <v>85.244600000000005</v>
      </c>
      <c r="M548">
        <v>40.650500000000001</v>
      </c>
      <c r="N548">
        <v>27.323</v>
      </c>
      <c r="O548">
        <v>27.323</v>
      </c>
      <c r="P548">
        <v>27.323</v>
      </c>
      <c r="Q548">
        <v>32.785600000000002</v>
      </c>
      <c r="R548">
        <v>89.69</v>
      </c>
      <c r="S548">
        <v>3.1997</v>
      </c>
      <c r="T548">
        <v>2.2803</v>
      </c>
      <c r="U548">
        <v>4.4591000000000003</v>
      </c>
      <c r="V548">
        <v>5.1718999999999999</v>
      </c>
      <c r="W548">
        <v>4.3577000000000004</v>
      </c>
      <c r="X548">
        <v>3.6471</v>
      </c>
      <c r="Y548">
        <v>-23.529399999999999</v>
      </c>
      <c r="Z548">
        <v>40.314799999999998</v>
      </c>
      <c r="AA548" t="s">
        <v>134</v>
      </c>
      <c r="AB548">
        <v>-11.8909</v>
      </c>
      <c r="AC548">
        <v>-1.4561999999999999</v>
      </c>
      <c r="AD548">
        <v>33.323999999999998</v>
      </c>
      <c r="AE548">
        <v>88.413300000000007</v>
      </c>
      <c r="AF548">
        <v>496.5027</v>
      </c>
      <c r="AG548" t="s">
        <v>134</v>
      </c>
      <c r="AH548" t="s">
        <v>134</v>
      </c>
      <c r="AI548">
        <v>44.195700000000002</v>
      </c>
      <c r="AJ548">
        <v>44.195500000000003</v>
      </c>
      <c r="AK548">
        <v>43.509700000000002</v>
      </c>
      <c r="AL548">
        <v>-5.6036999999999999</v>
      </c>
      <c r="AM548">
        <v>5.44</v>
      </c>
      <c r="AN548">
        <v>8.2385000000000002</v>
      </c>
      <c r="AO548">
        <v>8.6875999999999998</v>
      </c>
      <c r="AP548">
        <v>2.8451</v>
      </c>
      <c r="AQ548">
        <v>2.5324999999999998</v>
      </c>
      <c r="AR548" t="s">
        <v>134</v>
      </c>
      <c r="AS548">
        <v>6.7150999999999996</v>
      </c>
      <c r="AT548" t="s">
        <v>134</v>
      </c>
      <c r="AU548">
        <v>-10.3756</v>
      </c>
      <c r="AV548">
        <v>-6.7545999999999999</v>
      </c>
      <c r="AW548">
        <v>6.0084</v>
      </c>
      <c r="AX548">
        <v>-11.4643</v>
      </c>
      <c r="AY548">
        <v>22.230699999999999</v>
      </c>
      <c r="AZ548">
        <v>-100</v>
      </c>
      <c r="BA548">
        <v>-100</v>
      </c>
      <c r="BB548">
        <v>-8.6655999999999995</v>
      </c>
      <c r="BC548">
        <v>-8.6673000000000009</v>
      </c>
      <c r="BD548">
        <v>-8.9413999999999998</v>
      </c>
      <c r="BE548">
        <v>-4.2790999999999997</v>
      </c>
      <c r="BF548">
        <v>2.2803</v>
      </c>
      <c r="BG548">
        <v>4.4591000000000003</v>
      </c>
      <c r="BH548">
        <v>5.1718999999999999</v>
      </c>
      <c r="BI548">
        <v>4.3577000000000004</v>
      </c>
      <c r="BJ548">
        <v>3.6471</v>
      </c>
      <c r="BK548">
        <v>-23.529399999999999</v>
      </c>
      <c r="BL548">
        <v>40.314799999999998</v>
      </c>
      <c r="BM548" t="s">
        <v>134</v>
      </c>
      <c r="BN548">
        <v>-11.8909</v>
      </c>
      <c r="BO548">
        <v>-1.4561999999999999</v>
      </c>
      <c r="BP548">
        <v>33.323999999999998</v>
      </c>
      <c r="BQ548">
        <v>88.413300000000007</v>
      </c>
      <c r="BR548">
        <v>496.5027</v>
      </c>
      <c r="BS548">
        <v>-100</v>
      </c>
      <c r="BT548">
        <v>-100</v>
      </c>
      <c r="BU548">
        <v>44.195700000000002</v>
      </c>
      <c r="BV548">
        <v>44.195500000000003</v>
      </c>
      <c r="BW548">
        <v>43.509700000000002</v>
      </c>
      <c r="BX548">
        <v>-5.6036999999999999</v>
      </c>
      <c r="BY548">
        <v>0</v>
      </c>
      <c r="BZ548">
        <v>0</v>
      </c>
      <c r="CA548">
        <v>0</v>
      </c>
      <c r="CB548">
        <v>0</v>
      </c>
      <c r="CC548">
        <v>-1.4544999999999999</v>
      </c>
      <c r="CD548">
        <v>0</v>
      </c>
      <c r="CE548">
        <v>-1.5056</v>
      </c>
      <c r="CF548" t="s">
        <v>134</v>
      </c>
      <c r="CG548">
        <v>79.340400000000002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-55.962600000000002</v>
      </c>
      <c r="CO548">
        <v>-127.0795</v>
      </c>
      <c r="CP548">
        <v>18112.14</v>
      </c>
      <c r="CQ548">
        <v>17806.97</v>
      </c>
      <c r="CR548">
        <v>17497.509999999998</v>
      </c>
      <c r="CS548">
        <v>2.4045999999999998</v>
      </c>
      <c r="CT548">
        <v>3.8830999999999998</v>
      </c>
      <c r="CU548">
        <v>3.3241999999999998</v>
      </c>
      <c r="CV548">
        <v>18.8247</v>
      </c>
      <c r="CW548">
        <v>5.2477</v>
      </c>
      <c r="CX548">
        <v>69.553700000000006</v>
      </c>
      <c r="CY548" t="s">
        <v>134</v>
      </c>
      <c r="CZ548" t="s">
        <v>134</v>
      </c>
      <c r="DA548" t="s">
        <v>134</v>
      </c>
      <c r="DB548" t="s">
        <v>134</v>
      </c>
      <c r="DC548" t="s">
        <v>134</v>
      </c>
      <c r="DD548" t="s">
        <v>134</v>
      </c>
      <c r="DE548">
        <v>0</v>
      </c>
      <c r="DF548">
        <v>0</v>
      </c>
      <c r="DG548">
        <v>0</v>
      </c>
      <c r="DH548">
        <v>0</v>
      </c>
      <c r="DI548">
        <v>0</v>
      </c>
    </row>
    <row r="549" spans="1:113" x14ac:dyDescent="0.3">
      <c r="E549" t="s">
        <v>4</v>
      </c>
      <c r="F549" t="s">
        <v>134</v>
      </c>
      <c r="G549" t="s">
        <v>134</v>
      </c>
      <c r="H549" t="s">
        <v>134</v>
      </c>
      <c r="I549" t="s">
        <v>134</v>
      </c>
      <c r="J549">
        <v>43.618299999999998</v>
      </c>
      <c r="K549">
        <v>42.2605</v>
      </c>
      <c r="L549">
        <v>197.97200000000001</v>
      </c>
      <c r="M549">
        <v>43.657600000000002</v>
      </c>
      <c r="N549">
        <v>30.707899999999999</v>
      </c>
      <c r="O549">
        <v>30.707899999999999</v>
      </c>
      <c r="P549">
        <v>30.707899999999999</v>
      </c>
      <c r="Q549">
        <v>29.661999999999999</v>
      </c>
      <c r="R549" t="s">
        <v>134</v>
      </c>
      <c r="S549" t="s">
        <v>134</v>
      </c>
      <c r="T549">
        <v>2.262</v>
      </c>
      <c r="U549">
        <v>10.496700000000001</v>
      </c>
      <c r="V549">
        <v>11.5601</v>
      </c>
      <c r="W549">
        <v>6.7667999999999999</v>
      </c>
      <c r="X549">
        <v>6.3667999999999996</v>
      </c>
      <c r="Y549" t="s">
        <v>134</v>
      </c>
      <c r="Z549" t="s">
        <v>134</v>
      </c>
      <c r="AA549" t="s">
        <v>134</v>
      </c>
      <c r="AB549" t="s">
        <v>134</v>
      </c>
      <c r="AC549" t="s">
        <v>134</v>
      </c>
      <c r="AD549" t="s">
        <v>134</v>
      </c>
      <c r="AE549" t="s">
        <v>134</v>
      </c>
      <c r="AF549" t="s">
        <v>134</v>
      </c>
      <c r="AG549" t="s">
        <v>134</v>
      </c>
      <c r="AH549" t="s">
        <v>134</v>
      </c>
      <c r="AI549" t="s">
        <v>134</v>
      </c>
      <c r="AJ549" t="s">
        <v>134</v>
      </c>
      <c r="AK549" t="s">
        <v>134</v>
      </c>
      <c r="AL549" t="s">
        <v>134</v>
      </c>
      <c r="AM549">
        <v>4.9298999999999999</v>
      </c>
      <c r="AN549">
        <v>6.3921999999999999</v>
      </c>
      <c r="AO549">
        <v>6.4960000000000004</v>
      </c>
      <c r="AP549">
        <v>8.6300000000000002E-2</v>
      </c>
      <c r="AQ549">
        <v>-0.20669999999999999</v>
      </c>
      <c r="AR549" t="s">
        <v>134</v>
      </c>
      <c r="AS549" t="s">
        <v>134</v>
      </c>
      <c r="AT549" t="s">
        <v>134</v>
      </c>
      <c r="AU549" t="s">
        <v>134</v>
      </c>
      <c r="AV549" t="s">
        <v>134</v>
      </c>
      <c r="AW549" t="s">
        <v>134</v>
      </c>
      <c r="AX549" t="s">
        <v>134</v>
      </c>
      <c r="AY549" t="s">
        <v>134</v>
      </c>
      <c r="AZ549" t="s">
        <v>134</v>
      </c>
      <c r="BA549" t="s">
        <v>134</v>
      </c>
      <c r="BB549" t="s">
        <v>134</v>
      </c>
      <c r="BC549" t="s">
        <v>134</v>
      </c>
      <c r="BD549" t="s">
        <v>134</v>
      </c>
      <c r="BE549" t="s">
        <v>134</v>
      </c>
      <c r="BF549">
        <v>14.4473</v>
      </c>
      <c r="BG549">
        <v>39.524299999999997</v>
      </c>
      <c r="BH549">
        <v>41.3369</v>
      </c>
      <c r="BI549">
        <v>62.126300000000001</v>
      </c>
      <c r="BJ549">
        <v>61.756999999999998</v>
      </c>
      <c r="BK549" t="s">
        <v>134</v>
      </c>
      <c r="BL549" t="s">
        <v>134</v>
      </c>
      <c r="BM549" t="s">
        <v>134</v>
      </c>
      <c r="BN549" t="s">
        <v>134</v>
      </c>
      <c r="BO549" t="s">
        <v>134</v>
      </c>
      <c r="BP549" t="s">
        <v>134</v>
      </c>
      <c r="BQ549" t="s">
        <v>134</v>
      </c>
      <c r="BR549" t="s">
        <v>134</v>
      </c>
      <c r="BS549" t="s">
        <v>134</v>
      </c>
      <c r="BT549" t="s">
        <v>134</v>
      </c>
      <c r="BU549" t="s">
        <v>134</v>
      </c>
      <c r="BV549" t="s">
        <v>134</v>
      </c>
      <c r="BW549" t="s">
        <v>134</v>
      </c>
      <c r="BX549" t="s">
        <v>134</v>
      </c>
      <c r="BY549" t="s">
        <v>134</v>
      </c>
      <c r="BZ549" t="s">
        <v>134</v>
      </c>
      <c r="CA549" t="s">
        <v>134</v>
      </c>
      <c r="CB549" t="s">
        <v>134</v>
      </c>
      <c r="CC549" t="s">
        <v>134</v>
      </c>
      <c r="CD549" t="s">
        <v>134</v>
      </c>
      <c r="CE549" t="s">
        <v>134</v>
      </c>
      <c r="CF549" t="s">
        <v>134</v>
      </c>
      <c r="CG549" t="s">
        <v>134</v>
      </c>
      <c r="CH549" t="s">
        <v>134</v>
      </c>
      <c r="CI549" t="s">
        <v>134</v>
      </c>
      <c r="CJ549" t="s">
        <v>134</v>
      </c>
      <c r="CK549" t="s">
        <v>134</v>
      </c>
      <c r="CL549" t="s">
        <v>134</v>
      </c>
      <c r="CM549" t="s">
        <v>134</v>
      </c>
      <c r="CN549" t="s">
        <v>134</v>
      </c>
      <c r="CO549" t="s">
        <v>134</v>
      </c>
      <c r="CP549">
        <v>5250.58</v>
      </c>
      <c r="CQ549" t="s">
        <v>134</v>
      </c>
      <c r="CR549">
        <v>5087.1400000000003</v>
      </c>
      <c r="CS549" t="s">
        <v>134</v>
      </c>
      <c r="CT549" t="s">
        <v>134</v>
      </c>
      <c r="CU549" t="s">
        <v>134</v>
      </c>
      <c r="CV549" t="s">
        <v>134</v>
      </c>
      <c r="CW549" t="s">
        <v>134</v>
      </c>
      <c r="CX549" t="s">
        <v>134</v>
      </c>
      <c r="CY549" t="s">
        <v>134</v>
      </c>
      <c r="CZ549" t="s">
        <v>134</v>
      </c>
      <c r="DA549" t="s">
        <v>134</v>
      </c>
      <c r="DB549" t="s">
        <v>134</v>
      </c>
      <c r="DC549" t="s">
        <v>134</v>
      </c>
      <c r="DD549" t="s">
        <v>134</v>
      </c>
      <c r="DE549" t="s">
        <v>134</v>
      </c>
      <c r="DF549" t="s">
        <v>134</v>
      </c>
      <c r="DG549" t="s">
        <v>134</v>
      </c>
      <c r="DH549" t="s">
        <v>134</v>
      </c>
      <c r="DI549" t="s">
        <v>134</v>
      </c>
    </row>
    <row r="550" spans="1:113" x14ac:dyDescent="0.3">
      <c r="E550" t="s">
        <v>5</v>
      </c>
      <c r="F550">
        <v>29.559100000000001</v>
      </c>
      <c r="G550">
        <v>23.5016</v>
      </c>
      <c r="H550" t="s">
        <v>134</v>
      </c>
      <c r="I550">
        <v>31.049600000000002</v>
      </c>
      <c r="J550">
        <v>43.177799999999998</v>
      </c>
      <c r="K550">
        <v>41.8504</v>
      </c>
      <c r="L550">
        <v>106.8882</v>
      </c>
      <c r="M550">
        <v>42.561300000000003</v>
      </c>
      <c r="N550">
        <v>28.743400000000001</v>
      </c>
      <c r="O550">
        <v>28.743400000000001</v>
      </c>
      <c r="P550">
        <v>28.743400000000001</v>
      </c>
      <c r="Q550">
        <v>32.465800000000002</v>
      </c>
      <c r="R550" t="s">
        <v>134</v>
      </c>
      <c r="S550" t="s">
        <v>134</v>
      </c>
      <c r="T550">
        <v>11.662800000000001</v>
      </c>
      <c r="U550">
        <v>34.0366</v>
      </c>
      <c r="V550">
        <v>36.381399999999999</v>
      </c>
      <c r="W550">
        <v>17.1538</v>
      </c>
      <c r="X550">
        <v>16.7164</v>
      </c>
      <c r="Y550" t="s">
        <v>134</v>
      </c>
      <c r="Z550">
        <v>19.386399999999998</v>
      </c>
      <c r="AA550" t="s">
        <v>134</v>
      </c>
      <c r="AB550">
        <v>-15.448600000000001</v>
      </c>
      <c r="AC550">
        <v>-3.7355</v>
      </c>
      <c r="AD550">
        <v>19.409400000000002</v>
      </c>
      <c r="AE550">
        <v>-14.243</v>
      </c>
      <c r="AF550">
        <v>17.779499999999999</v>
      </c>
      <c r="AG550" t="s">
        <v>134</v>
      </c>
      <c r="AH550" t="s">
        <v>134</v>
      </c>
      <c r="AI550">
        <v>-7.6325000000000003</v>
      </c>
      <c r="AJ550">
        <v>-7.6325000000000003</v>
      </c>
      <c r="AK550">
        <v>-7.9774000000000003</v>
      </c>
      <c r="AL550" t="s">
        <v>134</v>
      </c>
      <c r="AM550">
        <v>8.4350000000000005</v>
      </c>
      <c r="AN550">
        <v>18.544</v>
      </c>
      <c r="AO550">
        <v>19.920300000000001</v>
      </c>
      <c r="AP550">
        <v>16.777799999999999</v>
      </c>
      <c r="AQ550">
        <v>16.546299999999999</v>
      </c>
      <c r="AR550" t="s">
        <v>134</v>
      </c>
      <c r="AS550" t="s">
        <v>134</v>
      </c>
      <c r="AT550" t="s">
        <v>134</v>
      </c>
      <c r="AU550" t="s">
        <v>134</v>
      </c>
      <c r="AV550" t="s">
        <v>134</v>
      </c>
      <c r="AW550" t="s">
        <v>134</v>
      </c>
      <c r="AX550" t="s">
        <v>134</v>
      </c>
      <c r="AY550" t="s">
        <v>134</v>
      </c>
      <c r="AZ550" t="s">
        <v>134</v>
      </c>
      <c r="BA550" t="s">
        <v>134</v>
      </c>
      <c r="BB550" t="s">
        <v>134</v>
      </c>
      <c r="BC550" t="s">
        <v>134</v>
      </c>
      <c r="BD550" t="s">
        <v>134</v>
      </c>
      <c r="BE550" t="s">
        <v>134</v>
      </c>
      <c r="BF550">
        <v>-1.1820999999999999</v>
      </c>
      <c r="BG550">
        <v>-2.1800999999999999</v>
      </c>
      <c r="BH550">
        <v>-2.1410999999999998</v>
      </c>
      <c r="BI550">
        <v>-7.5036000000000005</v>
      </c>
      <c r="BJ550">
        <v>-7.2210000000000001</v>
      </c>
      <c r="BK550" t="s">
        <v>134</v>
      </c>
      <c r="BL550" t="s">
        <v>134</v>
      </c>
      <c r="BM550" t="s">
        <v>134</v>
      </c>
      <c r="BN550" t="s">
        <v>134</v>
      </c>
      <c r="BO550" t="s">
        <v>134</v>
      </c>
      <c r="BP550" t="s">
        <v>134</v>
      </c>
      <c r="BQ550" t="s">
        <v>134</v>
      </c>
      <c r="BR550" t="s">
        <v>134</v>
      </c>
      <c r="BS550" t="s">
        <v>134</v>
      </c>
      <c r="BT550" t="s">
        <v>134</v>
      </c>
      <c r="BU550" t="s">
        <v>134</v>
      </c>
      <c r="BV550" t="s">
        <v>134</v>
      </c>
      <c r="BW550" t="s">
        <v>134</v>
      </c>
      <c r="BX550" t="s">
        <v>134</v>
      </c>
      <c r="BY550">
        <v>0</v>
      </c>
      <c r="BZ550">
        <v>0</v>
      </c>
      <c r="CA550">
        <v>0</v>
      </c>
      <c r="CB550">
        <v>0</v>
      </c>
      <c r="CC550">
        <v>-0.95709999999999995</v>
      </c>
      <c r="CD550">
        <v>0</v>
      </c>
      <c r="CE550">
        <v>-0.99080000000000001</v>
      </c>
      <c r="CF550" t="s">
        <v>134</v>
      </c>
      <c r="CG550">
        <v>77.834100000000007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-44.797400000000003</v>
      </c>
      <c r="CO550">
        <v>-81.150800000000004</v>
      </c>
      <c r="CP550">
        <v>5136.1099999999997</v>
      </c>
      <c r="CQ550" t="s">
        <v>134</v>
      </c>
      <c r="CR550">
        <v>4978.22</v>
      </c>
      <c r="CS550">
        <v>1.7844</v>
      </c>
      <c r="CT550">
        <v>3.5003000000000002</v>
      </c>
      <c r="CU550">
        <v>2.8313999999999999</v>
      </c>
      <c r="CV550">
        <v>20.1677</v>
      </c>
      <c r="CW550">
        <v>4.6345000000000001</v>
      </c>
      <c r="CX550">
        <v>78.757999999999996</v>
      </c>
      <c r="CY550" t="s">
        <v>134</v>
      </c>
      <c r="CZ550" t="s">
        <v>134</v>
      </c>
      <c r="DA550" t="s">
        <v>134</v>
      </c>
      <c r="DB550" t="s">
        <v>134</v>
      </c>
      <c r="DC550" t="s">
        <v>134</v>
      </c>
      <c r="DD550" t="s">
        <v>134</v>
      </c>
      <c r="DE550">
        <v>0</v>
      </c>
      <c r="DF550">
        <v>0</v>
      </c>
      <c r="DG550">
        <v>0</v>
      </c>
      <c r="DH550">
        <v>0</v>
      </c>
      <c r="DI550">
        <v>0</v>
      </c>
    </row>
    <row r="551" spans="1:113" x14ac:dyDescent="0.3">
      <c r="E551" t="s">
        <v>6</v>
      </c>
      <c r="F551" t="s">
        <v>134</v>
      </c>
      <c r="G551" t="s">
        <v>134</v>
      </c>
      <c r="H551" t="s">
        <v>134</v>
      </c>
      <c r="I551" t="s">
        <v>134</v>
      </c>
      <c r="J551">
        <v>39.673000000000002</v>
      </c>
      <c r="K551">
        <v>38.310099999999998</v>
      </c>
      <c r="L551">
        <v>-105.2071</v>
      </c>
      <c r="M551">
        <v>39.866</v>
      </c>
      <c r="N551">
        <v>27.3522</v>
      </c>
      <c r="O551">
        <v>27.3522</v>
      </c>
      <c r="P551">
        <v>27.3522</v>
      </c>
      <c r="Q551">
        <v>31.389600000000002</v>
      </c>
      <c r="R551" t="s">
        <v>134</v>
      </c>
      <c r="S551" t="s">
        <v>134</v>
      </c>
      <c r="T551">
        <v>-6.4637000000000002</v>
      </c>
      <c r="U551">
        <v>-15.83</v>
      </c>
      <c r="V551">
        <v>-15.9503</v>
      </c>
      <c r="W551">
        <v>-9.2752999999999997</v>
      </c>
      <c r="X551">
        <v>-9.8347999999999995</v>
      </c>
      <c r="Y551" t="s">
        <v>134</v>
      </c>
      <c r="Z551" t="s">
        <v>134</v>
      </c>
      <c r="AA551" t="s">
        <v>134</v>
      </c>
      <c r="AB551" t="s">
        <v>134</v>
      </c>
      <c r="AC551" t="s">
        <v>134</v>
      </c>
      <c r="AD551" t="s">
        <v>134</v>
      </c>
      <c r="AE551" t="s">
        <v>134</v>
      </c>
      <c r="AF551" t="s">
        <v>134</v>
      </c>
      <c r="AG551" t="s">
        <v>134</v>
      </c>
      <c r="AH551" t="s">
        <v>134</v>
      </c>
      <c r="AI551" t="s">
        <v>134</v>
      </c>
      <c r="AJ551" t="s">
        <v>134</v>
      </c>
      <c r="AK551" t="s">
        <v>134</v>
      </c>
      <c r="AL551" t="s">
        <v>134</v>
      </c>
      <c r="AM551">
        <v>4.4298000000000002</v>
      </c>
      <c r="AN551">
        <v>8.1781000000000006</v>
      </c>
      <c r="AO551">
        <v>8.7141999999999999</v>
      </c>
      <c r="AP551">
        <v>1.5468999999999999</v>
      </c>
      <c r="AQ551">
        <v>1.2517</v>
      </c>
      <c r="AR551" t="s">
        <v>134</v>
      </c>
      <c r="AS551" t="s">
        <v>134</v>
      </c>
      <c r="AT551" t="s">
        <v>134</v>
      </c>
      <c r="AU551" t="s">
        <v>134</v>
      </c>
      <c r="AV551" t="s">
        <v>134</v>
      </c>
      <c r="AW551" t="s">
        <v>134</v>
      </c>
      <c r="AX551" t="s">
        <v>134</v>
      </c>
      <c r="AY551" t="s">
        <v>134</v>
      </c>
      <c r="AZ551" t="s">
        <v>134</v>
      </c>
      <c r="BA551" t="s">
        <v>134</v>
      </c>
      <c r="BB551" t="s">
        <v>134</v>
      </c>
      <c r="BC551" t="s">
        <v>134</v>
      </c>
      <c r="BD551" t="s">
        <v>134</v>
      </c>
      <c r="BE551" t="s">
        <v>134</v>
      </c>
      <c r="BF551">
        <v>-10.9628</v>
      </c>
      <c r="BG551">
        <v>-18.190000000000001</v>
      </c>
      <c r="BH551">
        <v>-18.495000000000001</v>
      </c>
      <c r="BI551">
        <v>-15.272399999999999</v>
      </c>
      <c r="BJ551">
        <v>-15.7315</v>
      </c>
      <c r="BK551" t="s">
        <v>134</v>
      </c>
      <c r="BL551" t="s">
        <v>134</v>
      </c>
      <c r="BM551" t="s">
        <v>134</v>
      </c>
      <c r="BN551" t="s">
        <v>134</v>
      </c>
      <c r="BO551" t="s">
        <v>134</v>
      </c>
      <c r="BP551" t="s">
        <v>134</v>
      </c>
      <c r="BQ551" t="s">
        <v>134</v>
      </c>
      <c r="BR551" t="s">
        <v>134</v>
      </c>
      <c r="BS551" t="s">
        <v>134</v>
      </c>
      <c r="BT551" t="s">
        <v>134</v>
      </c>
      <c r="BU551" t="s">
        <v>134</v>
      </c>
      <c r="BV551" t="s">
        <v>134</v>
      </c>
      <c r="BW551" t="s">
        <v>134</v>
      </c>
      <c r="BX551" t="s">
        <v>134</v>
      </c>
      <c r="BY551" t="s">
        <v>134</v>
      </c>
      <c r="BZ551" t="s">
        <v>134</v>
      </c>
      <c r="CA551" t="s">
        <v>134</v>
      </c>
      <c r="CB551" t="s">
        <v>134</v>
      </c>
      <c r="CC551" t="s">
        <v>134</v>
      </c>
      <c r="CD551" t="s">
        <v>134</v>
      </c>
      <c r="CE551" t="s">
        <v>134</v>
      </c>
      <c r="CF551" t="s">
        <v>134</v>
      </c>
      <c r="CG551" t="s">
        <v>134</v>
      </c>
      <c r="CH551" t="s">
        <v>134</v>
      </c>
      <c r="CI551" t="s">
        <v>134</v>
      </c>
      <c r="CJ551" t="s">
        <v>134</v>
      </c>
      <c r="CK551" t="s">
        <v>134</v>
      </c>
      <c r="CL551" t="s">
        <v>134</v>
      </c>
      <c r="CM551" t="s">
        <v>134</v>
      </c>
      <c r="CN551" t="s">
        <v>134</v>
      </c>
      <c r="CO551" t="s">
        <v>134</v>
      </c>
      <c r="CP551">
        <v>4201.8500000000004</v>
      </c>
      <c r="CQ551" t="s">
        <v>134</v>
      </c>
      <c r="CR551">
        <v>4057.5</v>
      </c>
      <c r="CS551" t="s">
        <v>134</v>
      </c>
      <c r="CT551" t="s">
        <v>134</v>
      </c>
      <c r="CU551" t="s">
        <v>134</v>
      </c>
      <c r="CV551" t="s">
        <v>134</v>
      </c>
      <c r="CW551" t="s">
        <v>134</v>
      </c>
      <c r="CX551" t="s">
        <v>134</v>
      </c>
      <c r="CY551" t="s">
        <v>134</v>
      </c>
      <c r="CZ551" t="s">
        <v>134</v>
      </c>
      <c r="DA551" t="s">
        <v>134</v>
      </c>
      <c r="DB551" t="s">
        <v>134</v>
      </c>
      <c r="DC551" t="s">
        <v>134</v>
      </c>
      <c r="DD551" t="s">
        <v>134</v>
      </c>
      <c r="DE551" t="s">
        <v>134</v>
      </c>
      <c r="DF551" t="s">
        <v>134</v>
      </c>
      <c r="DG551" t="s">
        <v>134</v>
      </c>
      <c r="DH551" t="s">
        <v>134</v>
      </c>
      <c r="DI551" t="s">
        <v>134</v>
      </c>
    </row>
    <row r="552" spans="1:113" x14ac:dyDescent="0.3">
      <c r="E552" t="s">
        <v>7</v>
      </c>
      <c r="F552">
        <v>31.034700000000001</v>
      </c>
      <c r="G552">
        <v>20.6967</v>
      </c>
      <c r="H552" t="s">
        <v>134</v>
      </c>
      <c r="I552">
        <v>29.041399999999999</v>
      </c>
      <c r="J552">
        <v>32.775599999999997</v>
      </c>
      <c r="K552">
        <v>31.3901</v>
      </c>
      <c r="L552" t="s">
        <v>134</v>
      </c>
      <c r="M552">
        <v>35.9422</v>
      </c>
      <c r="N552">
        <v>21.932500000000001</v>
      </c>
      <c r="O552">
        <v>21.932500000000001</v>
      </c>
      <c r="P552">
        <v>21.932500000000001</v>
      </c>
      <c r="Q552">
        <v>38.978499999999997</v>
      </c>
      <c r="R552" t="s">
        <v>134</v>
      </c>
      <c r="S552" t="s">
        <v>134</v>
      </c>
      <c r="T552">
        <v>2.2121</v>
      </c>
      <c r="U552">
        <v>-6.3669000000000002</v>
      </c>
      <c r="V552">
        <v>-6.2415000000000003</v>
      </c>
      <c r="W552">
        <v>3.4161999999999999</v>
      </c>
      <c r="X552">
        <v>2.7664</v>
      </c>
      <c r="Y552" t="s">
        <v>134</v>
      </c>
      <c r="Z552">
        <v>40.314799999999998</v>
      </c>
      <c r="AA552" t="s">
        <v>134</v>
      </c>
      <c r="AB552">
        <v>-11.8909</v>
      </c>
      <c r="AC552">
        <v>-1.4561999999999999</v>
      </c>
      <c r="AD552">
        <v>33.323999999999998</v>
      </c>
      <c r="AE552">
        <v>88.413300000000007</v>
      </c>
      <c r="AF552">
        <v>496.5027</v>
      </c>
      <c r="AG552" t="s">
        <v>134</v>
      </c>
      <c r="AH552" t="s">
        <v>134</v>
      </c>
      <c r="AI552">
        <v>44.195700000000002</v>
      </c>
      <c r="AJ552">
        <v>44.195500000000003</v>
      </c>
      <c r="AK552">
        <v>43.509700000000002</v>
      </c>
      <c r="AL552" t="s">
        <v>134</v>
      </c>
      <c r="AM552">
        <v>4.0513000000000003</v>
      </c>
      <c r="AN552">
        <v>1.2610999999999999</v>
      </c>
      <c r="AO552">
        <v>1.4283999999999999</v>
      </c>
      <c r="AP552">
        <v>-3.472</v>
      </c>
      <c r="AQ552">
        <v>-3.7216</v>
      </c>
      <c r="AR552" t="s">
        <v>134</v>
      </c>
      <c r="AS552">
        <v>6.7150999999999996</v>
      </c>
      <c r="AT552" t="s">
        <v>134</v>
      </c>
      <c r="AU552">
        <v>-10.3756</v>
      </c>
      <c r="AV552">
        <v>-6.7545999999999999</v>
      </c>
      <c r="AW552">
        <v>6.0084</v>
      </c>
      <c r="AX552">
        <v>-11.4643</v>
      </c>
      <c r="AY552">
        <v>22.230699999999999</v>
      </c>
      <c r="AZ552">
        <v>-100</v>
      </c>
      <c r="BA552">
        <v>-100</v>
      </c>
      <c r="BB552">
        <v>-8.6655999999999995</v>
      </c>
      <c r="BC552">
        <v>-8.6673000000000009</v>
      </c>
      <c r="BD552">
        <v>-8.9413999999999998</v>
      </c>
      <c r="BE552" t="s">
        <v>134</v>
      </c>
      <c r="BF552">
        <v>1.5056</v>
      </c>
      <c r="BG552">
        <v>-16.1417</v>
      </c>
      <c r="BH552">
        <v>-16.8293</v>
      </c>
      <c r="BI552">
        <v>-18.607299999999999</v>
      </c>
      <c r="BJ552">
        <v>-18.7408</v>
      </c>
      <c r="BK552" t="s">
        <v>134</v>
      </c>
      <c r="BL552" t="s">
        <v>134</v>
      </c>
      <c r="BM552" t="s">
        <v>134</v>
      </c>
      <c r="BN552" t="s">
        <v>134</v>
      </c>
      <c r="BO552" t="s">
        <v>134</v>
      </c>
      <c r="BP552" t="s">
        <v>134</v>
      </c>
      <c r="BQ552" t="s">
        <v>134</v>
      </c>
      <c r="BR552" t="s">
        <v>134</v>
      </c>
      <c r="BS552" t="s">
        <v>134</v>
      </c>
      <c r="BT552" t="s">
        <v>134</v>
      </c>
      <c r="BU552" t="s">
        <v>134</v>
      </c>
      <c r="BV552" t="s">
        <v>134</v>
      </c>
      <c r="BW552" t="s">
        <v>134</v>
      </c>
      <c r="BX552" t="s">
        <v>134</v>
      </c>
      <c r="BY552">
        <v>0</v>
      </c>
      <c r="BZ552">
        <v>0</v>
      </c>
      <c r="CA552">
        <v>0</v>
      </c>
      <c r="CB552">
        <v>0</v>
      </c>
      <c r="CC552">
        <v>-1.4544999999999999</v>
      </c>
      <c r="CD552">
        <v>0</v>
      </c>
      <c r="CE552">
        <v>-1.5056</v>
      </c>
      <c r="CF552" t="s">
        <v>134</v>
      </c>
      <c r="CG552">
        <v>79.340400000000002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-55.962600000000002</v>
      </c>
      <c r="CO552">
        <v>-127.0795</v>
      </c>
      <c r="CP552">
        <v>3523.6</v>
      </c>
      <c r="CQ552" t="s">
        <v>134</v>
      </c>
      <c r="CR552">
        <v>3374.65</v>
      </c>
      <c r="CS552">
        <v>2.4045999999999998</v>
      </c>
      <c r="CT552">
        <v>3.8830999999999998</v>
      </c>
      <c r="CU552">
        <v>3.3241999999999998</v>
      </c>
      <c r="CV552">
        <v>18.8247</v>
      </c>
      <c r="CW552">
        <v>5.2477</v>
      </c>
      <c r="CX552">
        <v>69.553700000000006</v>
      </c>
      <c r="CY552" t="s">
        <v>134</v>
      </c>
      <c r="CZ552" t="s">
        <v>134</v>
      </c>
      <c r="DA552" t="s">
        <v>134</v>
      </c>
      <c r="DB552" t="s">
        <v>134</v>
      </c>
      <c r="DC552" t="s">
        <v>134</v>
      </c>
      <c r="DD552" t="s">
        <v>134</v>
      </c>
      <c r="DE552">
        <v>0</v>
      </c>
      <c r="DF552">
        <v>0</v>
      </c>
      <c r="DG552">
        <v>0</v>
      </c>
      <c r="DH552">
        <v>0</v>
      </c>
      <c r="DI552">
        <v>0</v>
      </c>
    </row>
    <row r="553" spans="1:113" x14ac:dyDescent="0.3">
      <c r="A553">
        <v>73</v>
      </c>
      <c r="B553" t="s">
        <v>54</v>
      </c>
      <c r="C553" t="s">
        <v>55</v>
      </c>
      <c r="D553" t="s">
        <v>2</v>
      </c>
      <c r="E553" t="s">
        <v>3</v>
      </c>
      <c r="F553">
        <v>15.089700000000001</v>
      </c>
      <c r="G553">
        <v>6.1917999999999997</v>
      </c>
      <c r="H553">
        <v>11.326700000000001</v>
      </c>
      <c r="I553">
        <v>10.0487</v>
      </c>
      <c r="J553">
        <v>4.0137</v>
      </c>
      <c r="K553">
        <v>3.1534</v>
      </c>
      <c r="L553" t="s">
        <v>134</v>
      </c>
      <c r="M553">
        <v>2.7936000000000001</v>
      </c>
      <c r="N553">
        <v>1.8860000000000001</v>
      </c>
      <c r="O553">
        <v>1.8860000000000001</v>
      </c>
      <c r="P553">
        <v>1.8860000000000001</v>
      </c>
      <c r="Q553">
        <v>32.488700000000001</v>
      </c>
      <c r="R553">
        <v>21.069800000000001</v>
      </c>
      <c r="S553">
        <v>11.910399999999999</v>
      </c>
      <c r="T553">
        <v>19.957599999999999</v>
      </c>
      <c r="U553">
        <v>-22.0519</v>
      </c>
      <c r="V553">
        <v>-32.2545</v>
      </c>
      <c r="W553">
        <v>-38.055100000000003</v>
      </c>
      <c r="X553">
        <v>-38.0548</v>
      </c>
      <c r="Y553">
        <v>-20</v>
      </c>
      <c r="Z553">
        <v>19.284500000000001</v>
      </c>
      <c r="AA553">
        <v>-7.8079999999999998</v>
      </c>
      <c r="AB553">
        <v>6.8643999999999998</v>
      </c>
      <c r="AC553">
        <v>7.4878</v>
      </c>
      <c r="AD553">
        <v>152.75470000000001</v>
      </c>
      <c r="AE553">
        <v>62.749099999999999</v>
      </c>
      <c r="AF553">
        <v>-17.8688</v>
      </c>
      <c r="AG553" t="s">
        <v>134</v>
      </c>
      <c r="AH553">
        <v>6.5571999999999999</v>
      </c>
      <c r="AI553">
        <v>12.055400000000001</v>
      </c>
      <c r="AJ553">
        <v>9.9703999999999997</v>
      </c>
      <c r="AK553">
        <v>12.055400000000001</v>
      </c>
      <c r="AL553">
        <v>-46.8108</v>
      </c>
      <c r="AM553" t="s">
        <v>134</v>
      </c>
      <c r="AN553" t="s">
        <v>134</v>
      </c>
      <c r="AO553" t="s">
        <v>134</v>
      </c>
      <c r="AP553" t="s">
        <v>134</v>
      </c>
      <c r="AQ553" t="s">
        <v>134</v>
      </c>
      <c r="AR553" t="s">
        <v>134</v>
      </c>
      <c r="AS553" t="s">
        <v>134</v>
      </c>
      <c r="AT553" t="s">
        <v>134</v>
      </c>
      <c r="AU553" t="s">
        <v>134</v>
      </c>
      <c r="AV553" t="s">
        <v>134</v>
      </c>
      <c r="AW553" t="s">
        <v>134</v>
      </c>
      <c r="AX553" t="s">
        <v>134</v>
      </c>
      <c r="AY553" t="s">
        <v>134</v>
      </c>
      <c r="AZ553" t="s">
        <v>134</v>
      </c>
      <c r="BA553" t="s">
        <v>134</v>
      </c>
      <c r="BB553" t="s">
        <v>134</v>
      </c>
      <c r="BC553" t="s">
        <v>134</v>
      </c>
      <c r="BD553" t="s">
        <v>134</v>
      </c>
      <c r="BE553" t="s">
        <v>134</v>
      </c>
      <c r="BF553">
        <v>19.957599999999999</v>
      </c>
      <c r="BG553">
        <v>-22.0519</v>
      </c>
      <c r="BH553">
        <v>-32.2545</v>
      </c>
      <c r="BI553">
        <v>-38.055100000000003</v>
      </c>
      <c r="BJ553">
        <v>-38.0548</v>
      </c>
      <c r="BK553">
        <v>-20</v>
      </c>
      <c r="BL553">
        <v>19.284500000000001</v>
      </c>
      <c r="BM553">
        <v>-7.8079999999999998</v>
      </c>
      <c r="BN553">
        <v>6.8643999999999998</v>
      </c>
      <c r="BO553">
        <v>7.4878</v>
      </c>
      <c r="BP553">
        <v>152.75470000000001</v>
      </c>
      <c r="BQ553">
        <v>62.749099999999999</v>
      </c>
      <c r="BR553">
        <v>-17.8688</v>
      </c>
      <c r="BS553" t="s">
        <v>134</v>
      </c>
      <c r="BT553">
        <v>6.5571999999999999</v>
      </c>
      <c r="BU553">
        <v>12.055400000000001</v>
      </c>
      <c r="BV553">
        <v>9.9703999999999997</v>
      </c>
      <c r="BW553">
        <v>12.055400000000001</v>
      </c>
      <c r="BX553">
        <v>-46.8108</v>
      </c>
      <c r="BY553">
        <v>28964.6</v>
      </c>
      <c r="BZ553">
        <v>2487.1999999999998</v>
      </c>
      <c r="CA553">
        <v>26477.4</v>
      </c>
      <c r="CB553">
        <v>1.9117999999999999</v>
      </c>
      <c r="CC553">
        <v>1.0687</v>
      </c>
      <c r="CD553">
        <v>2.4333</v>
      </c>
      <c r="CE553">
        <v>1.3602000000000001</v>
      </c>
      <c r="CF553">
        <v>7.2828999999999997</v>
      </c>
      <c r="CG553">
        <v>41.855600000000003</v>
      </c>
      <c r="CH553">
        <v>53.102200000000003</v>
      </c>
      <c r="CI553">
        <v>33.589799999999997</v>
      </c>
      <c r="CJ553">
        <v>22.226199999999999</v>
      </c>
      <c r="CK553">
        <v>58.090499999999999</v>
      </c>
      <c r="CL553">
        <v>36.745100000000001</v>
      </c>
      <c r="CM553">
        <v>24.3141</v>
      </c>
      <c r="CN553">
        <v>32.472299999999997</v>
      </c>
      <c r="CO553">
        <v>24.512499999999999</v>
      </c>
      <c r="CP553">
        <v>15150.7</v>
      </c>
      <c r="CQ553">
        <v>6390</v>
      </c>
      <c r="CR553">
        <v>11903.5</v>
      </c>
      <c r="CS553">
        <v>0.37330000000000002</v>
      </c>
      <c r="CT553">
        <v>1.2932999999999999</v>
      </c>
      <c r="CU553">
        <v>0.96230000000000004</v>
      </c>
      <c r="CV553">
        <v>4.9043999999999999</v>
      </c>
      <c r="CW553">
        <v>20.373999999999999</v>
      </c>
      <c r="CX553">
        <v>17.914999999999999</v>
      </c>
      <c r="CY553">
        <v>35.987699999999997</v>
      </c>
      <c r="CZ553">
        <v>10.1424</v>
      </c>
      <c r="DA553">
        <v>17.097000000000001</v>
      </c>
      <c r="DB553">
        <v>21.348800000000001</v>
      </c>
      <c r="DC553">
        <v>6.7085999999999997</v>
      </c>
      <c r="DD553">
        <v>28.057400000000001</v>
      </c>
      <c r="DE553">
        <v>9556.9</v>
      </c>
      <c r="DF553">
        <v>6707.4</v>
      </c>
      <c r="DG553">
        <v>0</v>
      </c>
      <c r="DH553">
        <v>2453.5</v>
      </c>
      <c r="DI553">
        <v>396</v>
      </c>
    </row>
    <row r="554" spans="1:113" x14ac:dyDescent="0.3">
      <c r="E554" t="s">
        <v>4</v>
      </c>
      <c r="F554" t="s">
        <v>134</v>
      </c>
      <c r="G554" t="s">
        <v>134</v>
      </c>
      <c r="H554" t="s">
        <v>134</v>
      </c>
      <c r="I554" t="s">
        <v>134</v>
      </c>
      <c r="J554" t="s">
        <v>134</v>
      </c>
      <c r="K554" t="s">
        <v>134</v>
      </c>
      <c r="L554" t="s">
        <v>134</v>
      </c>
      <c r="M554" t="s">
        <v>134</v>
      </c>
      <c r="N554" t="s">
        <v>134</v>
      </c>
      <c r="O554" t="s">
        <v>134</v>
      </c>
      <c r="P554" t="s">
        <v>134</v>
      </c>
      <c r="Q554" t="s">
        <v>134</v>
      </c>
      <c r="R554" t="s">
        <v>134</v>
      </c>
      <c r="S554" t="s">
        <v>134</v>
      </c>
      <c r="T554" t="s">
        <v>134</v>
      </c>
      <c r="U554" t="s">
        <v>134</v>
      </c>
      <c r="V554" t="s">
        <v>134</v>
      </c>
      <c r="W554" t="s">
        <v>134</v>
      </c>
      <c r="X554" t="s">
        <v>134</v>
      </c>
      <c r="Y554" t="s">
        <v>134</v>
      </c>
      <c r="Z554" t="s">
        <v>134</v>
      </c>
      <c r="AA554" t="s">
        <v>134</v>
      </c>
      <c r="AB554" t="s">
        <v>134</v>
      </c>
      <c r="AC554" t="s">
        <v>134</v>
      </c>
      <c r="AD554" t="s">
        <v>134</v>
      </c>
      <c r="AE554" t="s">
        <v>134</v>
      </c>
      <c r="AF554" t="s">
        <v>134</v>
      </c>
      <c r="AG554" t="s">
        <v>134</v>
      </c>
      <c r="AH554" t="s">
        <v>134</v>
      </c>
      <c r="AI554" t="s">
        <v>134</v>
      </c>
      <c r="AJ554" t="s">
        <v>134</v>
      </c>
      <c r="AK554" t="s">
        <v>134</v>
      </c>
      <c r="AL554" t="s">
        <v>134</v>
      </c>
      <c r="AM554" t="s">
        <v>134</v>
      </c>
      <c r="AN554" t="s">
        <v>134</v>
      </c>
      <c r="AO554" t="s">
        <v>134</v>
      </c>
      <c r="AP554" t="s">
        <v>134</v>
      </c>
      <c r="AQ554" t="s">
        <v>134</v>
      </c>
      <c r="AR554" t="s">
        <v>134</v>
      </c>
      <c r="AS554" t="s">
        <v>134</v>
      </c>
      <c r="AT554" t="s">
        <v>134</v>
      </c>
      <c r="AU554" t="s">
        <v>134</v>
      </c>
      <c r="AV554" t="s">
        <v>134</v>
      </c>
      <c r="AW554" t="s">
        <v>134</v>
      </c>
      <c r="AX554" t="s">
        <v>134</v>
      </c>
      <c r="AY554" t="s">
        <v>134</v>
      </c>
      <c r="AZ554" t="s">
        <v>134</v>
      </c>
      <c r="BA554" t="s">
        <v>134</v>
      </c>
      <c r="BB554" t="s">
        <v>134</v>
      </c>
      <c r="BC554" t="s">
        <v>134</v>
      </c>
      <c r="BD554" t="s">
        <v>134</v>
      </c>
      <c r="BE554" t="s">
        <v>134</v>
      </c>
      <c r="BF554" t="s">
        <v>134</v>
      </c>
      <c r="BG554" t="s">
        <v>134</v>
      </c>
      <c r="BH554" t="s">
        <v>134</v>
      </c>
      <c r="BI554" t="s">
        <v>134</v>
      </c>
      <c r="BJ554" t="s">
        <v>134</v>
      </c>
      <c r="BK554" t="s">
        <v>134</v>
      </c>
      <c r="BL554" t="s">
        <v>134</v>
      </c>
      <c r="BM554" t="s">
        <v>134</v>
      </c>
      <c r="BN554" t="s">
        <v>134</v>
      </c>
      <c r="BO554" t="s">
        <v>134</v>
      </c>
      <c r="BP554" t="s">
        <v>134</v>
      </c>
      <c r="BQ554" t="s">
        <v>134</v>
      </c>
      <c r="BR554" t="s">
        <v>134</v>
      </c>
      <c r="BS554" t="s">
        <v>134</v>
      </c>
      <c r="BT554" t="s">
        <v>134</v>
      </c>
      <c r="BU554" t="s">
        <v>134</v>
      </c>
      <c r="BV554" t="s">
        <v>134</v>
      </c>
      <c r="BW554" t="s">
        <v>134</v>
      </c>
      <c r="BX554" t="s">
        <v>134</v>
      </c>
      <c r="BY554" t="s">
        <v>134</v>
      </c>
      <c r="BZ554" t="s">
        <v>134</v>
      </c>
      <c r="CA554" t="s">
        <v>134</v>
      </c>
      <c r="CB554" t="s">
        <v>134</v>
      </c>
      <c r="CC554" t="s">
        <v>134</v>
      </c>
      <c r="CD554" t="s">
        <v>134</v>
      </c>
      <c r="CE554" t="s">
        <v>134</v>
      </c>
      <c r="CF554" t="s">
        <v>134</v>
      </c>
      <c r="CG554" t="s">
        <v>134</v>
      </c>
      <c r="CH554" t="s">
        <v>134</v>
      </c>
      <c r="CI554" t="s">
        <v>134</v>
      </c>
      <c r="CJ554" t="s">
        <v>134</v>
      </c>
      <c r="CK554" t="s">
        <v>134</v>
      </c>
      <c r="CL554" t="s">
        <v>134</v>
      </c>
      <c r="CM554" t="s">
        <v>134</v>
      </c>
      <c r="CN554" t="s">
        <v>134</v>
      </c>
      <c r="CO554" t="s">
        <v>134</v>
      </c>
      <c r="CP554" t="s">
        <v>134</v>
      </c>
      <c r="CQ554" t="s">
        <v>134</v>
      </c>
      <c r="CR554" t="s">
        <v>134</v>
      </c>
      <c r="CS554" t="s">
        <v>134</v>
      </c>
      <c r="CT554" t="s">
        <v>134</v>
      </c>
      <c r="CU554" t="s">
        <v>134</v>
      </c>
      <c r="CV554" t="s">
        <v>134</v>
      </c>
      <c r="CW554" t="s">
        <v>134</v>
      </c>
      <c r="CX554" t="s">
        <v>134</v>
      </c>
      <c r="CY554" t="s">
        <v>134</v>
      </c>
      <c r="CZ554" t="s">
        <v>134</v>
      </c>
      <c r="DA554" t="s">
        <v>134</v>
      </c>
      <c r="DB554" t="s">
        <v>134</v>
      </c>
      <c r="DC554" t="s">
        <v>134</v>
      </c>
      <c r="DD554" t="s">
        <v>134</v>
      </c>
      <c r="DE554" t="s">
        <v>134</v>
      </c>
      <c r="DF554" t="s">
        <v>134</v>
      </c>
      <c r="DG554" t="s">
        <v>134</v>
      </c>
      <c r="DH554" t="s">
        <v>134</v>
      </c>
      <c r="DI554" t="s">
        <v>134</v>
      </c>
    </row>
    <row r="555" spans="1:113" x14ac:dyDescent="0.3">
      <c r="E555" t="s">
        <v>5</v>
      </c>
      <c r="F555" t="s">
        <v>134</v>
      </c>
      <c r="G555" t="s">
        <v>134</v>
      </c>
      <c r="H555" t="s">
        <v>134</v>
      </c>
      <c r="I555" t="s">
        <v>134</v>
      </c>
      <c r="J555" t="s">
        <v>134</v>
      </c>
      <c r="K555" t="s">
        <v>134</v>
      </c>
      <c r="L555" t="s">
        <v>134</v>
      </c>
      <c r="M555" t="s">
        <v>134</v>
      </c>
      <c r="N555" t="s">
        <v>134</v>
      </c>
      <c r="O555" t="s">
        <v>134</v>
      </c>
      <c r="P555" t="s">
        <v>134</v>
      </c>
      <c r="Q555" t="s">
        <v>134</v>
      </c>
      <c r="R555" t="s">
        <v>134</v>
      </c>
      <c r="S555" t="s">
        <v>134</v>
      </c>
      <c r="T555" t="s">
        <v>134</v>
      </c>
      <c r="U555" t="s">
        <v>134</v>
      </c>
      <c r="V555" t="s">
        <v>134</v>
      </c>
      <c r="W555" t="s">
        <v>134</v>
      </c>
      <c r="X555" t="s">
        <v>134</v>
      </c>
      <c r="Y555" t="s">
        <v>134</v>
      </c>
      <c r="Z555" t="s">
        <v>134</v>
      </c>
      <c r="AA555" t="s">
        <v>134</v>
      </c>
      <c r="AB555" t="s">
        <v>134</v>
      </c>
      <c r="AC555" t="s">
        <v>134</v>
      </c>
      <c r="AD555" t="s">
        <v>134</v>
      </c>
      <c r="AE555" t="s">
        <v>134</v>
      </c>
      <c r="AF555" t="s">
        <v>134</v>
      </c>
      <c r="AG555" t="s">
        <v>134</v>
      </c>
      <c r="AH555" t="s">
        <v>134</v>
      </c>
      <c r="AI555" t="s">
        <v>134</v>
      </c>
      <c r="AJ555" t="s">
        <v>134</v>
      </c>
      <c r="AK555" t="s">
        <v>134</v>
      </c>
      <c r="AL555" t="s">
        <v>134</v>
      </c>
      <c r="AM555" t="s">
        <v>134</v>
      </c>
      <c r="AN555" t="s">
        <v>134</v>
      </c>
      <c r="AO555" t="s">
        <v>134</v>
      </c>
      <c r="AP555" t="s">
        <v>134</v>
      </c>
      <c r="AQ555" t="s">
        <v>134</v>
      </c>
      <c r="AR555" t="s">
        <v>134</v>
      </c>
      <c r="AS555" t="s">
        <v>134</v>
      </c>
      <c r="AT555" t="s">
        <v>134</v>
      </c>
      <c r="AU555" t="s">
        <v>134</v>
      </c>
      <c r="AV555" t="s">
        <v>134</v>
      </c>
      <c r="AW555" t="s">
        <v>134</v>
      </c>
      <c r="AX555" t="s">
        <v>134</v>
      </c>
      <c r="AY555" t="s">
        <v>134</v>
      </c>
      <c r="AZ555" t="s">
        <v>134</v>
      </c>
      <c r="BA555" t="s">
        <v>134</v>
      </c>
      <c r="BB555" t="s">
        <v>134</v>
      </c>
      <c r="BC555" t="s">
        <v>134</v>
      </c>
      <c r="BD555" t="s">
        <v>134</v>
      </c>
      <c r="BE555" t="s">
        <v>134</v>
      </c>
      <c r="BF555" t="s">
        <v>134</v>
      </c>
      <c r="BG555" t="s">
        <v>134</v>
      </c>
      <c r="BH555" t="s">
        <v>134</v>
      </c>
      <c r="BI555" t="s">
        <v>134</v>
      </c>
      <c r="BJ555" t="s">
        <v>134</v>
      </c>
      <c r="BK555" t="s">
        <v>134</v>
      </c>
      <c r="BL555" t="s">
        <v>134</v>
      </c>
      <c r="BM555" t="s">
        <v>134</v>
      </c>
      <c r="BN555" t="s">
        <v>134</v>
      </c>
      <c r="BO555" t="s">
        <v>134</v>
      </c>
      <c r="BP555" t="s">
        <v>134</v>
      </c>
      <c r="BQ555" t="s">
        <v>134</v>
      </c>
      <c r="BR555" t="s">
        <v>134</v>
      </c>
      <c r="BS555" t="s">
        <v>134</v>
      </c>
      <c r="BT555" t="s">
        <v>134</v>
      </c>
      <c r="BU555" t="s">
        <v>134</v>
      </c>
      <c r="BV555" t="s">
        <v>134</v>
      </c>
      <c r="BW555" t="s">
        <v>134</v>
      </c>
      <c r="BX555" t="s">
        <v>134</v>
      </c>
      <c r="BY555" t="s">
        <v>134</v>
      </c>
      <c r="BZ555" t="s">
        <v>134</v>
      </c>
      <c r="CA555" t="s">
        <v>134</v>
      </c>
      <c r="CB555" t="s">
        <v>134</v>
      </c>
      <c r="CC555" t="s">
        <v>134</v>
      </c>
      <c r="CD555" t="s">
        <v>134</v>
      </c>
      <c r="CE555" t="s">
        <v>134</v>
      </c>
      <c r="CF555" t="s">
        <v>134</v>
      </c>
      <c r="CG555" t="s">
        <v>134</v>
      </c>
      <c r="CH555" t="s">
        <v>134</v>
      </c>
      <c r="CI555" t="s">
        <v>134</v>
      </c>
      <c r="CJ555" t="s">
        <v>134</v>
      </c>
      <c r="CK555" t="s">
        <v>134</v>
      </c>
      <c r="CL555" t="s">
        <v>134</v>
      </c>
      <c r="CM555" t="s">
        <v>134</v>
      </c>
      <c r="CN555" t="s">
        <v>134</v>
      </c>
      <c r="CO555" t="s">
        <v>134</v>
      </c>
      <c r="CP555" t="s">
        <v>134</v>
      </c>
      <c r="CQ555" t="s">
        <v>134</v>
      </c>
      <c r="CR555" t="s">
        <v>134</v>
      </c>
      <c r="CS555" t="s">
        <v>134</v>
      </c>
      <c r="CT555" t="s">
        <v>134</v>
      </c>
      <c r="CU555" t="s">
        <v>134</v>
      </c>
      <c r="CV555" t="s">
        <v>134</v>
      </c>
      <c r="CW555" t="s">
        <v>134</v>
      </c>
      <c r="CX555" t="s">
        <v>134</v>
      </c>
      <c r="CY555" t="s">
        <v>134</v>
      </c>
      <c r="CZ555" t="s">
        <v>134</v>
      </c>
      <c r="DA555" t="s">
        <v>134</v>
      </c>
      <c r="DB555" t="s">
        <v>134</v>
      </c>
      <c r="DC555" t="s">
        <v>134</v>
      </c>
      <c r="DD555" t="s">
        <v>134</v>
      </c>
      <c r="DE555" t="s">
        <v>134</v>
      </c>
      <c r="DF555" t="s">
        <v>134</v>
      </c>
      <c r="DG555" t="s">
        <v>134</v>
      </c>
      <c r="DH555" t="s">
        <v>134</v>
      </c>
      <c r="DI555" t="s">
        <v>134</v>
      </c>
    </row>
    <row r="556" spans="1:113" x14ac:dyDescent="0.3">
      <c r="E556" t="s">
        <v>6</v>
      </c>
      <c r="F556" t="s">
        <v>134</v>
      </c>
      <c r="G556" t="s">
        <v>134</v>
      </c>
      <c r="H556" t="s">
        <v>134</v>
      </c>
      <c r="I556" t="s">
        <v>134</v>
      </c>
      <c r="J556" t="s">
        <v>134</v>
      </c>
      <c r="K556" t="s">
        <v>134</v>
      </c>
      <c r="L556" t="s">
        <v>134</v>
      </c>
      <c r="M556" t="s">
        <v>134</v>
      </c>
      <c r="N556" t="s">
        <v>134</v>
      </c>
      <c r="O556" t="s">
        <v>134</v>
      </c>
      <c r="P556" t="s">
        <v>134</v>
      </c>
      <c r="Q556" t="s">
        <v>134</v>
      </c>
      <c r="R556" t="s">
        <v>134</v>
      </c>
      <c r="S556" t="s">
        <v>134</v>
      </c>
      <c r="T556" t="s">
        <v>134</v>
      </c>
      <c r="U556" t="s">
        <v>134</v>
      </c>
      <c r="V556" t="s">
        <v>134</v>
      </c>
      <c r="W556" t="s">
        <v>134</v>
      </c>
      <c r="X556" t="s">
        <v>134</v>
      </c>
      <c r="Y556" t="s">
        <v>134</v>
      </c>
      <c r="Z556" t="s">
        <v>134</v>
      </c>
      <c r="AA556" t="s">
        <v>134</v>
      </c>
      <c r="AB556" t="s">
        <v>134</v>
      </c>
      <c r="AC556" t="s">
        <v>134</v>
      </c>
      <c r="AD556" t="s">
        <v>134</v>
      </c>
      <c r="AE556" t="s">
        <v>134</v>
      </c>
      <c r="AF556" t="s">
        <v>134</v>
      </c>
      <c r="AG556" t="s">
        <v>134</v>
      </c>
      <c r="AH556" t="s">
        <v>134</v>
      </c>
      <c r="AI556" t="s">
        <v>134</v>
      </c>
      <c r="AJ556" t="s">
        <v>134</v>
      </c>
      <c r="AK556" t="s">
        <v>134</v>
      </c>
      <c r="AL556" t="s">
        <v>134</v>
      </c>
      <c r="AM556" t="s">
        <v>134</v>
      </c>
      <c r="AN556" t="s">
        <v>134</v>
      </c>
      <c r="AO556" t="s">
        <v>134</v>
      </c>
      <c r="AP556" t="s">
        <v>134</v>
      </c>
      <c r="AQ556" t="s">
        <v>134</v>
      </c>
      <c r="AR556" t="s">
        <v>134</v>
      </c>
      <c r="AS556" t="s">
        <v>134</v>
      </c>
      <c r="AT556" t="s">
        <v>134</v>
      </c>
      <c r="AU556" t="s">
        <v>134</v>
      </c>
      <c r="AV556" t="s">
        <v>134</v>
      </c>
      <c r="AW556" t="s">
        <v>134</v>
      </c>
      <c r="AX556" t="s">
        <v>134</v>
      </c>
      <c r="AY556" t="s">
        <v>134</v>
      </c>
      <c r="AZ556" t="s">
        <v>134</v>
      </c>
      <c r="BA556" t="s">
        <v>134</v>
      </c>
      <c r="BB556" t="s">
        <v>134</v>
      </c>
      <c r="BC556" t="s">
        <v>134</v>
      </c>
      <c r="BD556" t="s">
        <v>134</v>
      </c>
      <c r="BE556" t="s">
        <v>134</v>
      </c>
      <c r="BF556" t="s">
        <v>134</v>
      </c>
      <c r="BG556" t="s">
        <v>134</v>
      </c>
      <c r="BH556" t="s">
        <v>134</v>
      </c>
      <c r="BI556" t="s">
        <v>134</v>
      </c>
      <c r="BJ556" t="s">
        <v>134</v>
      </c>
      <c r="BK556" t="s">
        <v>134</v>
      </c>
      <c r="BL556" t="s">
        <v>134</v>
      </c>
      <c r="BM556" t="s">
        <v>134</v>
      </c>
      <c r="BN556" t="s">
        <v>134</v>
      </c>
      <c r="BO556" t="s">
        <v>134</v>
      </c>
      <c r="BP556" t="s">
        <v>134</v>
      </c>
      <c r="BQ556" t="s">
        <v>134</v>
      </c>
      <c r="BR556" t="s">
        <v>134</v>
      </c>
      <c r="BS556" t="s">
        <v>134</v>
      </c>
      <c r="BT556" t="s">
        <v>134</v>
      </c>
      <c r="BU556" t="s">
        <v>134</v>
      </c>
      <c r="BV556" t="s">
        <v>134</v>
      </c>
      <c r="BW556" t="s">
        <v>134</v>
      </c>
      <c r="BX556" t="s">
        <v>134</v>
      </c>
      <c r="BY556" t="s">
        <v>134</v>
      </c>
      <c r="BZ556" t="s">
        <v>134</v>
      </c>
      <c r="CA556" t="s">
        <v>134</v>
      </c>
      <c r="CB556" t="s">
        <v>134</v>
      </c>
      <c r="CC556" t="s">
        <v>134</v>
      </c>
      <c r="CD556" t="s">
        <v>134</v>
      </c>
      <c r="CE556" t="s">
        <v>134</v>
      </c>
      <c r="CF556" t="s">
        <v>134</v>
      </c>
      <c r="CG556" t="s">
        <v>134</v>
      </c>
      <c r="CH556" t="s">
        <v>134</v>
      </c>
      <c r="CI556" t="s">
        <v>134</v>
      </c>
      <c r="CJ556" t="s">
        <v>134</v>
      </c>
      <c r="CK556" t="s">
        <v>134</v>
      </c>
      <c r="CL556" t="s">
        <v>134</v>
      </c>
      <c r="CM556" t="s">
        <v>134</v>
      </c>
      <c r="CN556" t="s">
        <v>134</v>
      </c>
      <c r="CO556" t="s">
        <v>134</v>
      </c>
      <c r="CP556" t="s">
        <v>134</v>
      </c>
      <c r="CQ556" t="s">
        <v>134</v>
      </c>
      <c r="CR556" t="s">
        <v>134</v>
      </c>
      <c r="CS556" t="s">
        <v>134</v>
      </c>
      <c r="CT556" t="s">
        <v>134</v>
      </c>
      <c r="CU556" t="s">
        <v>134</v>
      </c>
      <c r="CV556" t="s">
        <v>134</v>
      </c>
      <c r="CW556" t="s">
        <v>134</v>
      </c>
      <c r="CX556" t="s">
        <v>134</v>
      </c>
      <c r="CY556" t="s">
        <v>134</v>
      </c>
      <c r="CZ556" t="s">
        <v>134</v>
      </c>
      <c r="DA556" t="s">
        <v>134</v>
      </c>
      <c r="DB556" t="s">
        <v>134</v>
      </c>
      <c r="DC556" t="s">
        <v>134</v>
      </c>
      <c r="DD556" t="s">
        <v>134</v>
      </c>
      <c r="DE556" t="s">
        <v>134</v>
      </c>
      <c r="DF556" t="s">
        <v>134</v>
      </c>
      <c r="DG556" t="s">
        <v>134</v>
      </c>
      <c r="DH556" t="s">
        <v>134</v>
      </c>
      <c r="DI556" t="s">
        <v>134</v>
      </c>
    </row>
    <row r="557" spans="1:113" x14ac:dyDescent="0.3">
      <c r="E557" t="s">
        <v>7</v>
      </c>
      <c r="F557" t="s">
        <v>134</v>
      </c>
      <c r="G557" t="s">
        <v>134</v>
      </c>
      <c r="H557" t="s">
        <v>134</v>
      </c>
      <c r="I557" t="s">
        <v>134</v>
      </c>
      <c r="J557">
        <v>3.7161</v>
      </c>
      <c r="K557">
        <v>2.7551000000000001</v>
      </c>
      <c r="L557" t="s">
        <v>134</v>
      </c>
      <c r="M557">
        <v>2.2951999999999999</v>
      </c>
      <c r="N557">
        <v>1.6266</v>
      </c>
      <c r="O557">
        <v>1.6266</v>
      </c>
      <c r="P557">
        <v>1.6266</v>
      </c>
      <c r="Q557">
        <v>29.133500000000002</v>
      </c>
      <c r="R557" t="s">
        <v>134</v>
      </c>
      <c r="S557" t="s">
        <v>134</v>
      </c>
      <c r="T557">
        <v>23.311399999999999</v>
      </c>
      <c r="U557">
        <v>2.7713000000000001</v>
      </c>
      <c r="V557">
        <v>-12.984</v>
      </c>
      <c r="W557">
        <v>-30.9374</v>
      </c>
      <c r="X557">
        <v>-30.886900000000001</v>
      </c>
      <c r="Y557" t="s">
        <v>134</v>
      </c>
      <c r="Z557">
        <v>19.284500000000001</v>
      </c>
      <c r="AA557">
        <v>-7.8079999999999998</v>
      </c>
      <c r="AB557">
        <v>6.8643999999999998</v>
      </c>
      <c r="AC557">
        <v>7.4878</v>
      </c>
      <c r="AD557">
        <v>152.75470000000001</v>
      </c>
      <c r="AE557">
        <v>62.749099999999999</v>
      </c>
      <c r="AF557">
        <v>-17.8688</v>
      </c>
      <c r="AG557" t="s">
        <v>134</v>
      </c>
      <c r="AH557">
        <v>6.5571999999999999</v>
      </c>
      <c r="AI557">
        <v>12.055400000000001</v>
      </c>
      <c r="AJ557">
        <v>9.9703999999999997</v>
      </c>
      <c r="AK557">
        <v>12.055400000000001</v>
      </c>
      <c r="AL557" t="s">
        <v>134</v>
      </c>
      <c r="AM557" t="s">
        <v>134</v>
      </c>
      <c r="AN557" t="s">
        <v>134</v>
      </c>
      <c r="AO557" t="s">
        <v>134</v>
      </c>
      <c r="AP557" t="s">
        <v>134</v>
      </c>
      <c r="AQ557" t="s">
        <v>134</v>
      </c>
      <c r="AR557" t="s">
        <v>134</v>
      </c>
      <c r="AS557" t="s">
        <v>134</v>
      </c>
      <c r="AT557" t="s">
        <v>134</v>
      </c>
      <c r="AU557" t="s">
        <v>134</v>
      </c>
      <c r="AV557" t="s">
        <v>134</v>
      </c>
      <c r="AW557" t="s">
        <v>134</v>
      </c>
      <c r="AX557" t="s">
        <v>134</v>
      </c>
      <c r="AY557" t="s">
        <v>134</v>
      </c>
      <c r="AZ557" t="s">
        <v>134</v>
      </c>
      <c r="BA557" t="s">
        <v>134</v>
      </c>
      <c r="BB557" t="s">
        <v>134</v>
      </c>
      <c r="BC557" t="s">
        <v>134</v>
      </c>
      <c r="BD557" t="s">
        <v>134</v>
      </c>
      <c r="BE557" t="s">
        <v>134</v>
      </c>
      <c r="BF557" t="s">
        <v>134</v>
      </c>
      <c r="BG557" t="s">
        <v>134</v>
      </c>
      <c r="BH557" t="s">
        <v>134</v>
      </c>
      <c r="BI557" t="s">
        <v>134</v>
      </c>
      <c r="BJ557" t="s">
        <v>134</v>
      </c>
      <c r="BK557" t="s">
        <v>134</v>
      </c>
      <c r="BL557" t="s">
        <v>134</v>
      </c>
      <c r="BM557" t="s">
        <v>134</v>
      </c>
      <c r="BN557" t="s">
        <v>134</v>
      </c>
      <c r="BO557" t="s">
        <v>134</v>
      </c>
      <c r="BP557" t="s">
        <v>134</v>
      </c>
      <c r="BQ557" t="s">
        <v>134</v>
      </c>
      <c r="BR557" t="s">
        <v>134</v>
      </c>
      <c r="BS557" t="s">
        <v>134</v>
      </c>
      <c r="BT557" t="s">
        <v>134</v>
      </c>
      <c r="BU557" t="s">
        <v>134</v>
      </c>
      <c r="BV557" t="s">
        <v>134</v>
      </c>
      <c r="BW557" t="s">
        <v>134</v>
      </c>
      <c r="BX557" t="s">
        <v>134</v>
      </c>
      <c r="BY557">
        <v>28964.6</v>
      </c>
      <c r="BZ557">
        <v>2487.1999999999998</v>
      </c>
      <c r="CA557">
        <v>26477.4</v>
      </c>
      <c r="CB557" t="s">
        <v>134</v>
      </c>
      <c r="CC557" t="s">
        <v>134</v>
      </c>
      <c r="CD557" t="s">
        <v>134</v>
      </c>
      <c r="CE557" t="s">
        <v>134</v>
      </c>
      <c r="CF557">
        <v>4.9191000000000003</v>
      </c>
      <c r="CG557">
        <v>41.855600000000003</v>
      </c>
      <c r="CH557">
        <v>53.102200000000003</v>
      </c>
      <c r="CI557">
        <v>33.589799999999997</v>
      </c>
      <c r="CJ557">
        <v>22.226199999999999</v>
      </c>
      <c r="CK557">
        <v>58.090499999999999</v>
      </c>
      <c r="CL557">
        <v>36.745100000000001</v>
      </c>
      <c r="CM557">
        <v>24.3141</v>
      </c>
      <c r="CN557">
        <v>32.472299999999997</v>
      </c>
      <c r="CO557">
        <v>24.512499999999999</v>
      </c>
      <c r="CP557">
        <v>3867.9</v>
      </c>
      <c r="CQ557" t="s">
        <v>134</v>
      </c>
      <c r="CR557">
        <v>2867.7</v>
      </c>
      <c r="CS557">
        <v>0.37330000000000002</v>
      </c>
      <c r="CT557">
        <v>1.2932999999999999</v>
      </c>
      <c r="CU557">
        <v>0.96230000000000004</v>
      </c>
      <c r="CV557">
        <v>4.9043999999999999</v>
      </c>
      <c r="CW557" t="s">
        <v>134</v>
      </c>
      <c r="CX557" t="s">
        <v>134</v>
      </c>
      <c r="CY557" t="s">
        <v>134</v>
      </c>
      <c r="CZ557" t="s">
        <v>134</v>
      </c>
      <c r="DA557" t="s">
        <v>134</v>
      </c>
      <c r="DB557" t="s">
        <v>134</v>
      </c>
      <c r="DC557" t="s">
        <v>134</v>
      </c>
      <c r="DD557" t="s">
        <v>134</v>
      </c>
      <c r="DE557">
        <v>9556.9</v>
      </c>
      <c r="DF557">
        <v>6707.4</v>
      </c>
      <c r="DG557">
        <v>0</v>
      </c>
      <c r="DH557">
        <v>2453.5</v>
      </c>
      <c r="DI557">
        <v>396</v>
      </c>
    </row>
    <row r="558" spans="1:113" x14ac:dyDescent="0.3">
      <c r="D558" t="s">
        <v>8</v>
      </c>
      <c r="E558" t="s">
        <v>3</v>
      </c>
      <c r="F558">
        <v>16.534700000000001</v>
      </c>
      <c r="G558">
        <v>7.6635999999999997</v>
      </c>
      <c r="H558">
        <v>14.2216</v>
      </c>
      <c r="I558">
        <v>11.690099999999999</v>
      </c>
      <c r="J558">
        <v>3.677</v>
      </c>
      <c r="K558">
        <v>2.8445</v>
      </c>
      <c r="L558" t="s">
        <v>134</v>
      </c>
      <c r="M558">
        <v>2.4933999999999998</v>
      </c>
      <c r="N558">
        <v>2.2342</v>
      </c>
      <c r="O558">
        <v>2.2342</v>
      </c>
      <c r="P558">
        <v>2.2342</v>
      </c>
      <c r="Q558">
        <v>10.395</v>
      </c>
      <c r="R558">
        <v>16.9968</v>
      </c>
      <c r="S558">
        <v>13.724299999999999</v>
      </c>
      <c r="T558">
        <v>4.6449999999999996</v>
      </c>
      <c r="U558">
        <v>-4.1330999999999998</v>
      </c>
      <c r="V558">
        <v>-5.6067999999999998</v>
      </c>
      <c r="W558">
        <v>23.9634</v>
      </c>
      <c r="X558">
        <v>24.025300000000001</v>
      </c>
      <c r="Y558">
        <v>0</v>
      </c>
      <c r="Z558">
        <v>-33.383400000000002</v>
      </c>
      <c r="AA558">
        <v>-7.6447000000000003</v>
      </c>
      <c r="AB558">
        <v>7.5297999999999998</v>
      </c>
      <c r="AC558">
        <v>-6.6652000000000005</v>
      </c>
      <c r="AD558">
        <v>75.608599999999996</v>
      </c>
      <c r="AE558">
        <v>23.577999999999999</v>
      </c>
      <c r="AF558">
        <v>-82.993300000000005</v>
      </c>
      <c r="AG558" t="s">
        <v>134</v>
      </c>
      <c r="AH558">
        <v>-18.0444</v>
      </c>
      <c r="AI558">
        <v>14.0893</v>
      </c>
      <c r="AJ558">
        <v>2.2816999999999998</v>
      </c>
      <c r="AK558">
        <v>14.0893</v>
      </c>
      <c r="AL558">
        <v>-24.560300000000002</v>
      </c>
      <c r="AM558" t="s">
        <v>134</v>
      </c>
      <c r="AN558" t="s">
        <v>134</v>
      </c>
      <c r="AO558" t="s">
        <v>134</v>
      </c>
      <c r="AP558" t="s">
        <v>134</v>
      </c>
      <c r="AQ558" t="s">
        <v>134</v>
      </c>
      <c r="AR558" t="s">
        <v>134</v>
      </c>
      <c r="AS558" t="s">
        <v>134</v>
      </c>
      <c r="AT558" t="s">
        <v>134</v>
      </c>
      <c r="AU558" t="s">
        <v>134</v>
      </c>
      <c r="AV558" t="s">
        <v>134</v>
      </c>
      <c r="AW558" t="s">
        <v>134</v>
      </c>
      <c r="AX558" t="s">
        <v>134</v>
      </c>
      <c r="AY558" t="s">
        <v>134</v>
      </c>
      <c r="AZ558" t="s">
        <v>134</v>
      </c>
      <c r="BA558" t="s">
        <v>134</v>
      </c>
      <c r="BB558" t="s">
        <v>134</v>
      </c>
      <c r="BC558" t="s">
        <v>134</v>
      </c>
      <c r="BD558" t="s">
        <v>134</v>
      </c>
      <c r="BE558" t="s">
        <v>134</v>
      </c>
      <c r="BF558">
        <v>4.6449999999999996</v>
      </c>
      <c r="BG558">
        <v>-4.1330999999999998</v>
      </c>
      <c r="BH558">
        <v>-5.6067999999999998</v>
      </c>
      <c r="BI558">
        <v>23.9634</v>
      </c>
      <c r="BJ558">
        <v>24.025300000000001</v>
      </c>
      <c r="BK558">
        <v>0</v>
      </c>
      <c r="BL558">
        <v>-33.383400000000002</v>
      </c>
      <c r="BM558">
        <v>-7.6447000000000003</v>
      </c>
      <c r="BN558">
        <v>7.5297999999999998</v>
      </c>
      <c r="BO558">
        <v>-6.6652000000000005</v>
      </c>
      <c r="BP558">
        <v>75.608599999999996</v>
      </c>
      <c r="BQ558">
        <v>23.577999999999999</v>
      </c>
      <c r="BR558">
        <v>-82.993300000000005</v>
      </c>
      <c r="BS558">
        <v>-100</v>
      </c>
      <c r="BT558">
        <v>-18.0444</v>
      </c>
      <c r="BU558">
        <v>14.0893</v>
      </c>
      <c r="BV558">
        <v>2.2816999999999998</v>
      </c>
      <c r="BW558">
        <v>14.0893</v>
      </c>
      <c r="BX558">
        <v>-24.560300000000002</v>
      </c>
      <c r="BY558">
        <v>23738.1</v>
      </c>
      <c r="BZ558">
        <v>0</v>
      </c>
      <c r="CA558">
        <v>23738.1</v>
      </c>
      <c r="CB558">
        <v>1.6343000000000001</v>
      </c>
      <c r="CC558">
        <v>1.3879999999999999</v>
      </c>
      <c r="CD558">
        <v>2.1126999999999998</v>
      </c>
      <c r="CE558">
        <v>1.7942</v>
      </c>
      <c r="CF558">
        <v>5.1790000000000003</v>
      </c>
      <c r="CG558">
        <v>51.162799999999997</v>
      </c>
      <c r="CH558">
        <v>41.728999999999999</v>
      </c>
      <c r="CI558">
        <v>29.442799999999998</v>
      </c>
      <c r="CJ558">
        <v>21.349699999999999</v>
      </c>
      <c r="CK558">
        <v>41.728999999999999</v>
      </c>
      <c r="CL558">
        <v>29.442799999999998</v>
      </c>
      <c r="CM558">
        <v>21.349699999999999</v>
      </c>
      <c r="CN558">
        <v>35.438800000000001</v>
      </c>
      <c r="CO558">
        <v>26.165900000000001</v>
      </c>
      <c r="CP558">
        <v>14524.5</v>
      </c>
      <c r="CQ558">
        <v>6245.8</v>
      </c>
      <c r="CR558">
        <v>11236.1</v>
      </c>
      <c r="CS558">
        <v>0.25109999999999999</v>
      </c>
      <c r="CT558">
        <v>1.8704000000000001</v>
      </c>
      <c r="CU558">
        <v>1.1934</v>
      </c>
      <c r="CV558">
        <v>5.9564000000000004</v>
      </c>
      <c r="CW558">
        <v>23.523399999999999</v>
      </c>
      <c r="CX558">
        <v>15.516500000000001</v>
      </c>
      <c r="CY558">
        <v>40.918700000000001</v>
      </c>
      <c r="CZ558">
        <v>8.9200999999999997</v>
      </c>
      <c r="DA558">
        <v>34.005800000000001</v>
      </c>
      <c r="DB558">
        <v>10.733499999999999</v>
      </c>
      <c r="DC558">
        <v>13.703099999999999</v>
      </c>
      <c r="DD558">
        <v>24.436599999999999</v>
      </c>
      <c r="DE558">
        <v>8826.2999999999993</v>
      </c>
      <c r="DF558">
        <v>8310.2000000000007</v>
      </c>
      <c r="DG558">
        <v>0</v>
      </c>
      <c r="DH558">
        <v>23.1</v>
      </c>
      <c r="DI558">
        <v>493</v>
      </c>
    </row>
    <row r="559" spans="1:113" x14ac:dyDescent="0.3">
      <c r="E559" t="s">
        <v>4</v>
      </c>
      <c r="F559" t="s">
        <v>134</v>
      </c>
      <c r="G559" t="s">
        <v>134</v>
      </c>
      <c r="H559" t="s">
        <v>134</v>
      </c>
      <c r="I559" t="s">
        <v>134</v>
      </c>
      <c r="J559" t="s">
        <v>134</v>
      </c>
      <c r="K559" t="s">
        <v>134</v>
      </c>
      <c r="L559" t="s">
        <v>134</v>
      </c>
      <c r="M559" t="s">
        <v>134</v>
      </c>
      <c r="N559" t="s">
        <v>134</v>
      </c>
      <c r="O559" t="s">
        <v>134</v>
      </c>
      <c r="P559" t="s">
        <v>134</v>
      </c>
      <c r="Q559" t="s">
        <v>134</v>
      </c>
      <c r="R559" t="s">
        <v>134</v>
      </c>
      <c r="S559" t="s">
        <v>134</v>
      </c>
      <c r="T559" t="s">
        <v>134</v>
      </c>
      <c r="U559" t="s">
        <v>134</v>
      </c>
      <c r="V559" t="s">
        <v>134</v>
      </c>
      <c r="W559" t="s">
        <v>134</v>
      </c>
      <c r="X559" t="s">
        <v>134</v>
      </c>
      <c r="Y559" t="s">
        <v>134</v>
      </c>
      <c r="Z559" t="s">
        <v>134</v>
      </c>
      <c r="AA559" t="s">
        <v>134</v>
      </c>
      <c r="AB559" t="s">
        <v>134</v>
      </c>
      <c r="AC559" t="s">
        <v>134</v>
      </c>
      <c r="AD559" t="s">
        <v>134</v>
      </c>
      <c r="AE559" t="s">
        <v>134</v>
      </c>
      <c r="AF559" t="s">
        <v>134</v>
      </c>
      <c r="AG559" t="s">
        <v>134</v>
      </c>
      <c r="AH559" t="s">
        <v>134</v>
      </c>
      <c r="AI559" t="s">
        <v>134</v>
      </c>
      <c r="AJ559" t="s">
        <v>134</v>
      </c>
      <c r="AK559" t="s">
        <v>134</v>
      </c>
      <c r="AL559" t="s">
        <v>134</v>
      </c>
      <c r="AM559" t="s">
        <v>134</v>
      </c>
      <c r="AN559" t="s">
        <v>134</v>
      </c>
      <c r="AO559" t="s">
        <v>134</v>
      </c>
      <c r="AP559" t="s">
        <v>134</v>
      </c>
      <c r="AQ559" t="s">
        <v>134</v>
      </c>
      <c r="AR559" t="s">
        <v>134</v>
      </c>
      <c r="AS559" t="s">
        <v>134</v>
      </c>
      <c r="AT559" t="s">
        <v>134</v>
      </c>
      <c r="AU559" t="s">
        <v>134</v>
      </c>
      <c r="AV559" t="s">
        <v>134</v>
      </c>
      <c r="AW559" t="s">
        <v>134</v>
      </c>
      <c r="AX559" t="s">
        <v>134</v>
      </c>
      <c r="AY559" t="s">
        <v>134</v>
      </c>
      <c r="AZ559" t="s">
        <v>134</v>
      </c>
      <c r="BA559" t="s">
        <v>134</v>
      </c>
      <c r="BB559" t="s">
        <v>134</v>
      </c>
      <c r="BC559" t="s">
        <v>134</v>
      </c>
      <c r="BD559" t="s">
        <v>134</v>
      </c>
      <c r="BE559" t="s">
        <v>134</v>
      </c>
      <c r="BF559" t="s">
        <v>134</v>
      </c>
      <c r="BG559" t="s">
        <v>134</v>
      </c>
      <c r="BH559" t="s">
        <v>134</v>
      </c>
      <c r="BI559" t="s">
        <v>134</v>
      </c>
      <c r="BJ559" t="s">
        <v>134</v>
      </c>
      <c r="BK559" t="s">
        <v>134</v>
      </c>
      <c r="BL559" t="s">
        <v>134</v>
      </c>
      <c r="BM559" t="s">
        <v>134</v>
      </c>
      <c r="BN559" t="s">
        <v>134</v>
      </c>
      <c r="BO559" t="s">
        <v>134</v>
      </c>
      <c r="BP559" t="s">
        <v>134</v>
      </c>
      <c r="BQ559" t="s">
        <v>134</v>
      </c>
      <c r="BR559" t="s">
        <v>134</v>
      </c>
      <c r="BS559" t="s">
        <v>134</v>
      </c>
      <c r="BT559" t="s">
        <v>134</v>
      </c>
      <c r="BU559" t="s">
        <v>134</v>
      </c>
      <c r="BV559" t="s">
        <v>134</v>
      </c>
      <c r="BW559" t="s">
        <v>134</v>
      </c>
      <c r="BX559" t="s">
        <v>134</v>
      </c>
      <c r="BY559" t="s">
        <v>134</v>
      </c>
      <c r="BZ559" t="s">
        <v>134</v>
      </c>
      <c r="CA559" t="s">
        <v>134</v>
      </c>
      <c r="CB559" t="s">
        <v>134</v>
      </c>
      <c r="CC559" t="s">
        <v>134</v>
      </c>
      <c r="CD559" t="s">
        <v>134</v>
      </c>
      <c r="CE559" t="s">
        <v>134</v>
      </c>
      <c r="CF559" t="s">
        <v>134</v>
      </c>
      <c r="CG559" t="s">
        <v>134</v>
      </c>
      <c r="CH559" t="s">
        <v>134</v>
      </c>
      <c r="CI559" t="s">
        <v>134</v>
      </c>
      <c r="CJ559" t="s">
        <v>134</v>
      </c>
      <c r="CK559" t="s">
        <v>134</v>
      </c>
      <c r="CL559" t="s">
        <v>134</v>
      </c>
      <c r="CM559" t="s">
        <v>134</v>
      </c>
      <c r="CN559" t="s">
        <v>134</v>
      </c>
      <c r="CO559" t="s">
        <v>134</v>
      </c>
      <c r="CP559" t="s">
        <v>134</v>
      </c>
      <c r="CQ559" t="s">
        <v>134</v>
      </c>
      <c r="CR559" t="s">
        <v>134</v>
      </c>
      <c r="CS559" t="s">
        <v>134</v>
      </c>
      <c r="CT559" t="s">
        <v>134</v>
      </c>
      <c r="CU559" t="s">
        <v>134</v>
      </c>
      <c r="CV559" t="s">
        <v>134</v>
      </c>
      <c r="CW559" t="s">
        <v>134</v>
      </c>
      <c r="CX559" t="s">
        <v>134</v>
      </c>
      <c r="CY559" t="s">
        <v>134</v>
      </c>
      <c r="CZ559" t="s">
        <v>134</v>
      </c>
      <c r="DA559" t="s">
        <v>134</v>
      </c>
      <c r="DB559" t="s">
        <v>134</v>
      </c>
      <c r="DC559" t="s">
        <v>134</v>
      </c>
      <c r="DD559" t="s">
        <v>134</v>
      </c>
      <c r="DE559" t="s">
        <v>134</v>
      </c>
      <c r="DF559" t="s">
        <v>134</v>
      </c>
      <c r="DG559" t="s">
        <v>134</v>
      </c>
      <c r="DH559" t="s">
        <v>134</v>
      </c>
      <c r="DI559" t="s">
        <v>134</v>
      </c>
    </row>
    <row r="560" spans="1:113" x14ac:dyDescent="0.3">
      <c r="E560" t="s">
        <v>5</v>
      </c>
      <c r="F560" t="s">
        <v>134</v>
      </c>
      <c r="G560" t="s">
        <v>134</v>
      </c>
      <c r="H560" t="s">
        <v>134</v>
      </c>
      <c r="I560" t="s">
        <v>134</v>
      </c>
      <c r="J560" t="s">
        <v>134</v>
      </c>
      <c r="K560" t="s">
        <v>134</v>
      </c>
      <c r="L560" t="s">
        <v>134</v>
      </c>
      <c r="M560" t="s">
        <v>134</v>
      </c>
      <c r="N560" t="s">
        <v>134</v>
      </c>
      <c r="O560" t="s">
        <v>134</v>
      </c>
      <c r="P560" t="s">
        <v>134</v>
      </c>
      <c r="Q560" t="s">
        <v>134</v>
      </c>
      <c r="R560" t="s">
        <v>134</v>
      </c>
      <c r="S560" t="s">
        <v>134</v>
      </c>
      <c r="T560" t="s">
        <v>134</v>
      </c>
      <c r="U560" t="s">
        <v>134</v>
      </c>
      <c r="V560" t="s">
        <v>134</v>
      </c>
      <c r="W560" t="s">
        <v>134</v>
      </c>
      <c r="X560" t="s">
        <v>134</v>
      </c>
      <c r="Y560" t="s">
        <v>134</v>
      </c>
      <c r="Z560" t="s">
        <v>134</v>
      </c>
      <c r="AA560" t="s">
        <v>134</v>
      </c>
      <c r="AB560" t="s">
        <v>134</v>
      </c>
      <c r="AC560" t="s">
        <v>134</v>
      </c>
      <c r="AD560" t="s">
        <v>134</v>
      </c>
      <c r="AE560" t="s">
        <v>134</v>
      </c>
      <c r="AF560" t="s">
        <v>134</v>
      </c>
      <c r="AG560" t="s">
        <v>134</v>
      </c>
      <c r="AH560" t="s">
        <v>134</v>
      </c>
      <c r="AI560" t="s">
        <v>134</v>
      </c>
      <c r="AJ560" t="s">
        <v>134</v>
      </c>
      <c r="AK560" t="s">
        <v>134</v>
      </c>
      <c r="AL560" t="s">
        <v>134</v>
      </c>
      <c r="AM560" t="s">
        <v>134</v>
      </c>
      <c r="AN560" t="s">
        <v>134</v>
      </c>
      <c r="AO560" t="s">
        <v>134</v>
      </c>
      <c r="AP560" t="s">
        <v>134</v>
      </c>
      <c r="AQ560" t="s">
        <v>134</v>
      </c>
      <c r="AR560" t="s">
        <v>134</v>
      </c>
      <c r="AS560" t="s">
        <v>134</v>
      </c>
      <c r="AT560" t="s">
        <v>134</v>
      </c>
      <c r="AU560" t="s">
        <v>134</v>
      </c>
      <c r="AV560" t="s">
        <v>134</v>
      </c>
      <c r="AW560" t="s">
        <v>134</v>
      </c>
      <c r="AX560" t="s">
        <v>134</v>
      </c>
      <c r="AY560" t="s">
        <v>134</v>
      </c>
      <c r="AZ560" t="s">
        <v>134</v>
      </c>
      <c r="BA560" t="s">
        <v>134</v>
      </c>
      <c r="BB560" t="s">
        <v>134</v>
      </c>
      <c r="BC560" t="s">
        <v>134</v>
      </c>
      <c r="BD560" t="s">
        <v>134</v>
      </c>
      <c r="BE560" t="s">
        <v>134</v>
      </c>
      <c r="BF560" t="s">
        <v>134</v>
      </c>
      <c r="BG560" t="s">
        <v>134</v>
      </c>
      <c r="BH560" t="s">
        <v>134</v>
      </c>
      <c r="BI560" t="s">
        <v>134</v>
      </c>
      <c r="BJ560" t="s">
        <v>134</v>
      </c>
      <c r="BK560" t="s">
        <v>134</v>
      </c>
      <c r="BL560" t="s">
        <v>134</v>
      </c>
      <c r="BM560" t="s">
        <v>134</v>
      </c>
      <c r="BN560" t="s">
        <v>134</v>
      </c>
      <c r="BO560" t="s">
        <v>134</v>
      </c>
      <c r="BP560" t="s">
        <v>134</v>
      </c>
      <c r="BQ560" t="s">
        <v>134</v>
      </c>
      <c r="BR560" t="s">
        <v>134</v>
      </c>
      <c r="BS560" t="s">
        <v>134</v>
      </c>
      <c r="BT560" t="s">
        <v>134</v>
      </c>
      <c r="BU560" t="s">
        <v>134</v>
      </c>
      <c r="BV560" t="s">
        <v>134</v>
      </c>
      <c r="BW560" t="s">
        <v>134</v>
      </c>
      <c r="BX560" t="s">
        <v>134</v>
      </c>
      <c r="BY560" t="s">
        <v>134</v>
      </c>
      <c r="BZ560" t="s">
        <v>134</v>
      </c>
      <c r="CA560" t="s">
        <v>134</v>
      </c>
      <c r="CB560" t="s">
        <v>134</v>
      </c>
      <c r="CC560" t="s">
        <v>134</v>
      </c>
      <c r="CD560" t="s">
        <v>134</v>
      </c>
      <c r="CE560" t="s">
        <v>134</v>
      </c>
      <c r="CF560" t="s">
        <v>134</v>
      </c>
      <c r="CG560" t="s">
        <v>134</v>
      </c>
      <c r="CH560" t="s">
        <v>134</v>
      </c>
      <c r="CI560" t="s">
        <v>134</v>
      </c>
      <c r="CJ560" t="s">
        <v>134</v>
      </c>
      <c r="CK560" t="s">
        <v>134</v>
      </c>
      <c r="CL560" t="s">
        <v>134</v>
      </c>
      <c r="CM560" t="s">
        <v>134</v>
      </c>
      <c r="CN560" t="s">
        <v>134</v>
      </c>
      <c r="CO560" t="s">
        <v>134</v>
      </c>
      <c r="CP560" t="s">
        <v>134</v>
      </c>
      <c r="CQ560" t="s">
        <v>134</v>
      </c>
      <c r="CR560" t="s">
        <v>134</v>
      </c>
      <c r="CS560" t="s">
        <v>134</v>
      </c>
      <c r="CT560" t="s">
        <v>134</v>
      </c>
      <c r="CU560" t="s">
        <v>134</v>
      </c>
      <c r="CV560" t="s">
        <v>134</v>
      </c>
      <c r="CW560" t="s">
        <v>134</v>
      </c>
      <c r="CX560" t="s">
        <v>134</v>
      </c>
      <c r="CY560" t="s">
        <v>134</v>
      </c>
      <c r="CZ560" t="s">
        <v>134</v>
      </c>
      <c r="DA560" t="s">
        <v>134</v>
      </c>
      <c r="DB560" t="s">
        <v>134</v>
      </c>
      <c r="DC560" t="s">
        <v>134</v>
      </c>
      <c r="DD560" t="s">
        <v>134</v>
      </c>
      <c r="DE560" t="s">
        <v>134</v>
      </c>
      <c r="DF560" t="s">
        <v>134</v>
      </c>
      <c r="DG560" t="s">
        <v>134</v>
      </c>
      <c r="DH560" t="s">
        <v>134</v>
      </c>
      <c r="DI560" t="s">
        <v>134</v>
      </c>
    </row>
    <row r="561" spans="4:113" x14ac:dyDescent="0.3">
      <c r="E561" t="s">
        <v>6</v>
      </c>
      <c r="F561" t="s">
        <v>134</v>
      </c>
      <c r="G561" t="s">
        <v>134</v>
      </c>
      <c r="H561" t="s">
        <v>134</v>
      </c>
      <c r="I561" t="s">
        <v>134</v>
      </c>
      <c r="J561" t="s">
        <v>134</v>
      </c>
      <c r="K561" t="s">
        <v>134</v>
      </c>
      <c r="L561" t="s">
        <v>134</v>
      </c>
      <c r="M561" t="s">
        <v>134</v>
      </c>
      <c r="N561" t="s">
        <v>134</v>
      </c>
      <c r="O561" t="s">
        <v>134</v>
      </c>
      <c r="P561" t="s">
        <v>134</v>
      </c>
      <c r="Q561" t="s">
        <v>134</v>
      </c>
      <c r="R561" t="s">
        <v>134</v>
      </c>
      <c r="S561" t="s">
        <v>134</v>
      </c>
      <c r="T561" t="s">
        <v>134</v>
      </c>
      <c r="U561" t="s">
        <v>134</v>
      </c>
      <c r="V561" t="s">
        <v>134</v>
      </c>
      <c r="W561" t="s">
        <v>134</v>
      </c>
      <c r="X561" t="s">
        <v>134</v>
      </c>
      <c r="Y561" t="s">
        <v>134</v>
      </c>
      <c r="Z561" t="s">
        <v>134</v>
      </c>
      <c r="AA561" t="s">
        <v>134</v>
      </c>
      <c r="AB561" t="s">
        <v>134</v>
      </c>
      <c r="AC561" t="s">
        <v>134</v>
      </c>
      <c r="AD561" t="s">
        <v>134</v>
      </c>
      <c r="AE561" t="s">
        <v>134</v>
      </c>
      <c r="AF561" t="s">
        <v>134</v>
      </c>
      <c r="AG561" t="s">
        <v>134</v>
      </c>
      <c r="AH561" t="s">
        <v>134</v>
      </c>
      <c r="AI561" t="s">
        <v>134</v>
      </c>
      <c r="AJ561" t="s">
        <v>134</v>
      </c>
      <c r="AK561" t="s">
        <v>134</v>
      </c>
      <c r="AL561" t="s">
        <v>134</v>
      </c>
      <c r="AM561" t="s">
        <v>134</v>
      </c>
      <c r="AN561" t="s">
        <v>134</v>
      </c>
      <c r="AO561" t="s">
        <v>134</v>
      </c>
      <c r="AP561" t="s">
        <v>134</v>
      </c>
      <c r="AQ561" t="s">
        <v>134</v>
      </c>
      <c r="AR561" t="s">
        <v>134</v>
      </c>
      <c r="AS561" t="s">
        <v>134</v>
      </c>
      <c r="AT561" t="s">
        <v>134</v>
      </c>
      <c r="AU561" t="s">
        <v>134</v>
      </c>
      <c r="AV561" t="s">
        <v>134</v>
      </c>
      <c r="AW561" t="s">
        <v>134</v>
      </c>
      <c r="AX561" t="s">
        <v>134</v>
      </c>
      <c r="AY561" t="s">
        <v>134</v>
      </c>
      <c r="AZ561" t="s">
        <v>134</v>
      </c>
      <c r="BA561" t="s">
        <v>134</v>
      </c>
      <c r="BB561" t="s">
        <v>134</v>
      </c>
      <c r="BC561" t="s">
        <v>134</v>
      </c>
      <c r="BD561" t="s">
        <v>134</v>
      </c>
      <c r="BE561" t="s">
        <v>134</v>
      </c>
      <c r="BF561" t="s">
        <v>134</v>
      </c>
      <c r="BG561" t="s">
        <v>134</v>
      </c>
      <c r="BH561" t="s">
        <v>134</v>
      </c>
      <c r="BI561" t="s">
        <v>134</v>
      </c>
      <c r="BJ561" t="s">
        <v>134</v>
      </c>
      <c r="BK561" t="s">
        <v>134</v>
      </c>
      <c r="BL561" t="s">
        <v>134</v>
      </c>
      <c r="BM561" t="s">
        <v>134</v>
      </c>
      <c r="BN561" t="s">
        <v>134</v>
      </c>
      <c r="BO561" t="s">
        <v>134</v>
      </c>
      <c r="BP561" t="s">
        <v>134</v>
      </c>
      <c r="BQ561" t="s">
        <v>134</v>
      </c>
      <c r="BR561" t="s">
        <v>134</v>
      </c>
      <c r="BS561" t="s">
        <v>134</v>
      </c>
      <c r="BT561" t="s">
        <v>134</v>
      </c>
      <c r="BU561" t="s">
        <v>134</v>
      </c>
      <c r="BV561" t="s">
        <v>134</v>
      </c>
      <c r="BW561" t="s">
        <v>134</v>
      </c>
      <c r="BX561" t="s">
        <v>134</v>
      </c>
      <c r="BY561" t="s">
        <v>134</v>
      </c>
      <c r="BZ561" t="s">
        <v>134</v>
      </c>
      <c r="CA561" t="s">
        <v>134</v>
      </c>
      <c r="CB561" t="s">
        <v>134</v>
      </c>
      <c r="CC561" t="s">
        <v>134</v>
      </c>
      <c r="CD561" t="s">
        <v>134</v>
      </c>
      <c r="CE561" t="s">
        <v>134</v>
      </c>
      <c r="CF561" t="s">
        <v>134</v>
      </c>
      <c r="CG561" t="s">
        <v>134</v>
      </c>
      <c r="CH561" t="s">
        <v>134</v>
      </c>
      <c r="CI561" t="s">
        <v>134</v>
      </c>
      <c r="CJ561" t="s">
        <v>134</v>
      </c>
      <c r="CK561" t="s">
        <v>134</v>
      </c>
      <c r="CL561" t="s">
        <v>134</v>
      </c>
      <c r="CM561" t="s">
        <v>134</v>
      </c>
      <c r="CN561" t="s">
        <v>134</v>
      </c>
      <c r="CO561" t="s">
        <v>134</v>
      </c>
      <c r="CP561" t="s">
        <v>134</v>
      </c>
      <c r="CQ561" t="s">
        <v>134</v>
      </c>
      <c r="CR561" t="s">
        <v>134</v>
      </c>
      <c r="CS561" t="s">
        <v>134</v>
      </c>
      <c r="CT561" t="s">
        <v>134</v>
      </c>
      <c r="CU561" t="s">
        <v>134</v>
      </c>
      <c r="CV561" t="s">
        <v>134</v>
      </c>
      <c r="CW561" t="s">
        <v>134</v>
      </c>
      <c r="CX561" t="s">
        <v>134</v>
      </c>
      <c r="CY561" t="s">
        <v>134</v>
      </c>
      <c r="CZ561" t="s">
        <v>134</v>
      </c>
      <c r="DA561" t="s">
        <v>134</v>
      </c>
      <c r="DB561" t="s">
        <v>134</v>
      </c>
      <c r="DC561" t="s">
        <v>134</v>
      </c>
      <c r="DD561" t="s">
        <v>134</v>
      </c>
      <c r="DE561" t="s">
        <v>134</v>
      </c>
      <c r="DF561" t="s">
        <v>134</v>
      </c>
      <c r="DG561" t="s">
        <v>134</v>
      </c>
      <c r="DH561" t="s">
        <v>134</v>
      </c>
      <c r="DI561" t="s">
        <v>134</v>
      </c>
    </row>
    <row r="562" spans="4:113" x14ac:dyDescent="0.3">
      <c r="E562" t="s">
        <v>7</v>
      </c>
      <c r="F562" t="s">
        <v>134</v>
      </c>
      <c r="G562" t="s">
        <v>134</v>
      </c>
      <c r="H562" t="s">
        <v>134</v>
      </c>
      <c r="I562" t="s">
        <v>134</v>
      </c>
      <c r="J562">
        <v>3.1282000000000001</v>
      </c>
      <c r="K562">
        <v>1.9739</v>
      </c>
      <c r="L562">
        <v>-4.4149000000000003</v>
      </c>
      <c r="M562">
        <v>1.8452</v>
      </c>
      <c r="N562">
        <v>4.2492000000000001</v>
      </c>
      <c r="O562">
        <v>4.2492000000000001</v>
      </c>
      <c r="P562">
        <v>4.2492000000000001</v>
      </c>
      <c r="Q562" t="s">
        <v>134</v>
      </c>
      <c r="R562" t="s">
        <v>134</v>
      </c>
      <c r="S562" t="s">
        <v>134</v>
      </c>
      <c r="T562">
        <v>-32.0047</v>
      </c>
      <c r="U562">
        <v>-42.7622</v>
      </c>
      <c r="V562">
        <v>-51.284999999999997</v>
      </c>
      <c r="W562">
        <v>77.631399999999999</v>
      </c>
      <c r="X562">
        <v>77.433599999999998</v>
      </c>
      <c r="Y562" t="s">
        <v>134</v>
      </c>
      <c r="Z562">
        <v>-33.383400000000002</v>
      </c>
      <c r="AA562">
        <v>-7.6447000000000003</v>
      </c>
      <c r="AB562">
        <v>7.5297999999999998</v>
      </c>
      <c r="AC562">
        <v>-6.6652000000000005</v>
      </c>
      <c r="AD562">
        <v>75.608599999999996</v>
      </c>
      <c r="AE562">
        <v>23.577999999999999</v>
      </c>
      <c r="AF562">
        <v>-82.993300000000005</v>
      </c>
      <c r="AG562" t="s">
        <v>134</v>
      </c>
      <c r="AH562">
        <v>-18.0444</v>
      </c>
      <c r="AI562">
        <v>14.0893</v>
      </c>
      <c r="AJ562">
        <v>2.2816999999999998</v>
      </c>
      <c r="AK562">
        <v>14.0893</v>
      </c>
      <c r="AL562" t="s">
        <v>134</v>
      </c>
      <c r="AM562" t="s">
        <v>134</v>
      </c>
      <c r="AN562" t="s">
        <v>134</v>
      </c>
      <c r="AO562" t="s">
        <v>134</v>
      </c>
      <c r="AP562" t="s">
        <v>134</v>
      </c>
      <c r="AQ562" t="s">
        <v>134</v>
      </c>
      <c r="AR562" t="s">
        <v>134</v>
      </c>
      <c r="AS562" t="s">
        <v>134</v>
      </c>
      <c r="AT562" t="s">
        <v>134</v>
      </c>
      <c r="AU562" t="s">
        <v>134</v>
      </c>
      <c r="AV562" t="s">
        <v>134</v>
      </c>
      <c r="AW562" t="s">
        <v>134</v>
      </c>
      <c r="AX562" t="s">
        <v>134</v>
      </c>
      <c r="AY562" t="s">
        <v>134</v>
      </c>
      <c r="AZ562" t="s">
        <v>134</v>
      </c>
      <c r="BA562" t="s">
        <v>134</v>
      </c>
      <c r="BB562" t="s">
        <v>134</v>
      </c>
      <c r="BC562" t="s">
        <v>134</v>
      </c>
      <c r="BD562" t="s">
        <v>134</v>
      </c>
      <c r="BE562" t="s">
        <v>134</v>
      </c>
      <c r="BF562" t="s">
        <v>134</v>
      </c>
      <c r="BG562" t="s">
        <v>134</v>
      </c>
      <c r="BH562" t="s">
        <v>134</v>
      </c>
      <c r="BI562" t="s">
        <v>134</v>
      </c>
      <c r="BJ562" t="s">
        <v>134</v>
      </c>
      <c r="BK562" t="s">
        <v>134</v>
      </c>
      <c r="BL562" t="s">
        <v>134</v>
      </c>
      <c r="BM562" t="s">
        <v>134</v>
      </c>
      <c r="BN562" t="s">
        <v>134</v>
      </c>
      <c r="BO562" t="s">
        <v>134</v>
      </c>
      <c r="BP562" t="s">
        <v>134</v>
      </c>
      <c r="BQ562" t="s">
        <v>134</v>
      </c>
      <c r="BR562" t="s">
        <v>134</v>
      </c>
      <c r="BS562" t="s">
        <v>134</v>
      </c>
      <c r="BT562" t="s">
        <v>134</v>
      </c>
      <c r="BU562" t="s">
        <v>134</v>
      </c>
      <c r="BV562" t="s">
        <v>134</v>
      </c>
      <c r="BW562" t="s">
        <v>134</v>
      </c>
      <c r="BX562" t="s">
        <v>134</v>
      </c>
      <c r="BY562">
        <v>23738.1</v>
      </c>
      <c r="BZ562">
        <v>0</v>
      </c>
      <c r="CA562">
        <v>23738.1</v>
      </c>
      <c r="CB562" t="s">
        <v>134</v>
      </c>
      <c r="CC562" t="s">
        <v>134</v>
      </c>
      <c r="CD562" t="s">
        <v>134</v>
      </c>
      <c r="CE562" t="s">
        <v>134</v>
      </c>
      <c r="CF562">
        <v>3.3191999999999999</v>
      </c>
      <c r="CG562">
        <v>51.162799999999997</v>
      </c>
      <c r="CH562">
        <v>41.728999999999999</v>
      </c>
      <c r="CI562">
        <v>29.442799999999998</v>
      </c>
      <c r="CJ562">
        <v>21.349699999999999</v>
      </c>
      <c r="CK562">
        <v>41.728999999999999</v>
      </c>
      <c r="CL562">
        <v>29.442799999999998</v>
      </c>
      <c r="CM562">
        <v>21.349699999999999</v>
      </c>
      <c r="CN562">
        <v>35.438800000000001</v>
      </c>
      <c r="CO562">
        <v>26.165900000000001</v>
      </c>
      <c r="CP562">
        <v>2213.9</v>
      </c>
      <c r="CQ562" t="s">
        <v>134</v>
      </c>
      <c r="CR562">
        <v>1397</v>
      </c>
      <c r="CS562">
        <v>0.25109999999999999</v>
      </c>
      <c r="CT562">
        <v>1.8704000000000001</v>
      </c>
      <c r="CU562">
        <v>1.1934</v>
      </c>
      <c r="CV562">
        <v>5.9564000000000004</v>
      </c>
      <c r="CW562" t="s">
        <v>134</v>
      </c>
      <c r="CX562" t="s">
        <v>134</v>
      </c>
      <c r="CY562" t="s">
        <v>134</v>
      </c>
      <c r="CZ562" t="s">
        <v>134</v>
      </c>
      <c r="DA562" t="s">
        <v>134</v>
      </c>
      <c r="DB562" t="s">
        <v>134</v>
      </c>
      <c r="DC562" t="s">
        <v>134</v>
      </c>
      <c r="DD562" t="s">
        <v>134</v>
      </c>
      <c r="DE562">
        <v>8826.2999999999993</v>
      </c>
      <c r="DF562">
        <v>8310.2000000000007</v>
      </c>
      <c r="DG562">
        <v>0</v>
      </c>
      <c r="DH562">
        <v>23.1</v>
      </c>
      <c r="DI562">
        <v>493</v>
      </c>
    </row>
    <row r="563" spans="4:113" x14ac:dyDescent="0.3">
      <c r="D563" t="s">
        <v>9</v>
      </c>
      <c r="E563" t="s">
        <v>3</v>
      </c>
      <c r="F563">
        <v>15.331</v>
      </c>
      <c r="G563">
        <v>7.7877000000000001</v>
      </c>
      <c r="H563">
        <v>13.422000000000001</v>
      </c>
      <c r="I563">
        <v>10.809100000000001</v>
      </c>
      <c r="J563">
        <v>6.0446</v>
      </c>
      <c r="K563">
        <v>4.7984</v>
      </c>
      <c r="L563" t="s">
        <v>134</v>
      </c>
      <c r="M563">
        <v>4.4950000000000001</v>
      </c>
      <c r="N563">
        <v>3.4108000000000001</v>
      </c>
      <c r="O563">
        <v>3.4108000000000001</v>
      </c>
      <c r="P563">
        <v>3.4108000000000001</v>
      </c>
      <c r="Q563">
        <v>24.118600000000001</v>
      </c>
      <c r="R563">
        <v>20.193200000000001</v>
      </c>
      <c r="S563">
        <v>12.235200000000001</v>
      </c>
      <c r="T563">
        <v>-31.082799999999999</v>
      </c>
      <c r="U563">
        <v>13.2934</v>
      </c>
      <c r="V563">
        <v>16.256499999999999</v>
      </c>
      <c r="W563">
        <v>5.2134999999999998</v>
      </c>
      <c r="X563">
        <v>5.1826999999999996</v>
      </c>
      <c r="Y563">
        <v>25</v>
      </c>
      <c r="Z563">
        <v>-24.261800000000001</v>
      </c>
      <c r="AA563">
        <v>-71.712900000000005</v>
      </c>
      <c r="AB563">
        <v>12.7928</v>
      </c>
      <c r="AC563">
        <v>14.4689</v>
      </c>
      <c r="AD563">
        <v>-74.276799999999994</v>
      </c>
      <c r="AE563">
        <v>37.397799999999997</v>
      </c>
      <c r="AF563">
        <v>142.0643</v>
      </c>
      <c r="AG563" t="s">
        <v>134</v>
      </c>
      <c r="AH563">
        <v>-5.8551000000000002</v>
      </c>
      <c r="AI563">
        <v>12.9353</v>
      </c>
      <c r="AJ563">
        <v>7.4028</v>
      </c>
      <c r="AK563">
        <v>12.9353</v>
      </c>
      <c r="AL563">
        <v>398.71080000000001</v>
      </c>
      <c r="AM563" t="s">
        <v>134</v>
      </c>
      <c r="AN563" t="s">
        <v>134</v>
      </c>
      <c r="AO563" t="s">
        <v>134</v>
      </c>
      <c r="AP563" t="s">
        <v>134</v>
      </c>
      <c r="AQ563" t="s">
        <v>134</v>
      </c>
      <c r="AR563" t="s">
        <v>134</v>
      </c>
      <c r="AS563" t="s">
        <v>134</v>
      </c>
      <c r="AT563" t="s">
        <v>134</v>
      </c>
      <c r="AU563" t="s">
        <v>134</v>
      </c>
      <c r="AV563" t="s">
        <v>134</v>
      </c>
      <c r="AW563" t="s">
        <v>134</v>
      </c>
      <c r="AX563" t="s">
        <v>134</v>
      </c>
      <c r="AY563" t="s">
        <v>134</v>
      </c>
      <c r="AZ563" t="s">
        <v>134</v>
      </c>
      <c r="BA563" t="s">
        <v>134</v>
      </c>
      <c r="BB563" t="s">
        <v>134</v>
      </c>
      <c r="BC563" t="s">
        <v>134</v>
      </c>
      <c r="BD563" t="s">
        <v>134</v>
      </c>
      <c r="BE563" t="s">
        <v>134</v>
      </c>
      <c r="BF563">
        <v>-31.082799999999999</v>
      </c>
      <c r="BG563">
        <v>13.2934</v>
      </c>
      <c r="BH563">
        <v>16.256499999999999</v>
      </c>
      <c r="BI563">
        <v>5.2134999999999998</v>
      </c>
      <c r="BJ563">
        <v>5.1826999999999996</v>
      </c>
      <c r="BK563">
        <v>25</v>
      </c>
      <c r="BL563">
        <v>-24.261800000000001</v>
      </c>
      <c r="BM563">
        <v>-71.712900000000005</v>
      </c>
      <c r="BN563">
        <v>12.7928</v>
      </c>
      <c r="BO563">
        <v>14.4689</v>
      </c>
      <c r="BP563">
        <v>-74.276799999999994</v>
      </c>
      <c r="BQ563">
        <v>37.397799999999997</v>
      </c>
      <c r="BR563">
        <v>142.0643</v>
      </c>
      <c r="BS563" t="s">
        <v>134</v>
      </c>
      <c r="BT563">
        <v>-5.8551000000000002</v>
      </c>
      <c r="BU563">
        <v>12.9353</v>
      </c>
      <c r="BV563">
        <v>7.4028</v>
      </c>
      <c r="BW563">
        <v>12.9353</v>
      </c>
      <c r="BX563">
        <v>398.71080000000001</v>
      </c>
      <c r="BY563">
        <v>22348.2</v>
      </c>
      <c r="BZ563">
        <v>234.9</v>
      </c>
      <c r="CA563">
        <v>22113.3</v>
      </c>
      <c r="CB563">
        <v>1.3580999999999999</v>
      </c>
      <c r="CC563">
        <v>3.49E-2</v>
      </c>
      <c r="CD563">
        <v>1.7107999999999999</v>
      </c>
      <c r="CE563">
        <v>4.3900000000000002E-2</v>
      </c>
      <c r="CF563">
        <v>6.4474999999999998</v>
      </c>
      <c r="CG563">
        <v>50.477400000000003</v>
      </c>
      <c r="CH563">
        <v>34.420400000000001</v>
      </c>
      <c r="CI563">
        <v>25.537099999999999</v>
      </c>
      <c r="CJ563">
        <v>17.374500000000001</v>
      </c>
      <c r="CK563">
        <v>34.786099999999998</v>
      </c>
      <c r="CL563">
        <v>25.808399999999999</v>
      </c>
      <c r="CM563">
        <v>17.559100000000001</v>
      </c>
      <c r="CN563">
        <v>0.89359999999999995</v>
      </c>
      <c r="CO563">
        <v>0.88570000000000004</v>
      </c>
      <c r="CP563">
        <v>16455.3</v>
      </c>
      <c r="CQ563">
        <v>6350.5</v>
      </c>
      <c r="CR563">
        <v>13062.7</v>
      </c>
      <c r="CS563">
        <v>1.2158</v>
      </c>
      <c r="CT563">
        <v>1.9516</v>
      </c>
      <c r="CU563">
        <v>1.7835999999999999</v>
      </c>
      <c r="CV563">
        <v>5.1904000000000003</v>
      </c>
      <c r="CW563">
        <v>23.072600000000001</v>
      </c>
      <c r="CX563">
        <v>15.8629</v>
      </c>
      <c r="CY563">
        <v>44.291499999999999</v>
      </c>
      <c r="CZ563">
        <v>8.2634000000000007</v>
      </c>
      <c r="DA563">
        <v>44.5364</v>
      </c>
      <c r="DB563">
        <v>8.218</v>
      </c>
      <c r="DC563">
        <v>15.9084</v>
      </c>
      <c r="DD563">
        <v>24.1264</v>
      </c>
      <c r="DE563">
        <v>2496.6999999999998</v>
      </c>
      <c r="DF563">
        <v>1858</v>
      </c>
      <c r="DG563">
        <v>0</v>
      </c>
      <c r="DH563">
        <v>13.4</v>
      </c>
      <c r="DI563">
        <v>625.29999999999995</v>
      </c>
    </row>
    <row r="564" spans="4:113" x14ac:dyDescent="0.3">
      <c r="E564" t="s">
        <v>4</v>
      </c>
      <c r="F564" t="s">
        <v>134</v>
      </c>
      <c r="G564" t="s">
        <v>134</v>
      </c>
      <c r="H564" t="s">
        <v>134</v>
      </c>
      <c r="I564" t="s">
        <v>134</v>
      </c>
      <c r="J564" t="s">
        <v>134</v>
      </c>
      <c r="K564" t="s">
        <v>134</v>
      </c>
      <c r="L564" t="s">
        <v>134</v>
      </c>
      <c r="M564" t="s">
        <v>134</v>
      </c>
      <c r="N564" t="s">
        <v>134</v>
      </c>
      <c r="O564" t="s">
        <v>134</v>
      </c>
      <c r="P564" t="s">
        <v>134</v>
      </c>
      <c r="Q564" t="s">
        <v>134</v>
      </c>
      <c r="R564" t="s">
        <v>134</v>
      </c>
      <c r="S564" t="s">
        <v>134</v>
      </c>
      <c r="T564" t="s">
        <v>134</v>
      </c>
      <c r="U564" t="s">
        <v>134</v>
      </c>
      <c r="V564" t="s">
        <v>134</v>
      </c>
      <c r="W564" t="s">
        <v>134</v>
      </c>
      <c r="X564" t="s">
        <v>134</v>
      </c>
      <c r="Y564" t="s">
        <v>134</v>
      </c>
      <c r="Z564" t="s">
        <v>134</v>
      </c>
      <c r="AA564" t="s">
        <v>134</v>
      </c>
      <c r="AB564" t="s">
        <v>134</v>
      </c>
      <c r="AC564" t="s">
        <v>134</v>
      </c>
      <c r="AD564" t="s">
        <v>134</v>
      </c>
      <c r="AE564" t="s">
        <v>134</v>
      </c>
      <c r="AF564" t="s">
        <v>134</v>
      </c>
      <c r="AG564" t="s">
        <v>134</v>
      </c>
      <c r="AH564" t="s">
        <v>134</v>
      </c>
      <c r="AI564" t="s">
        <v>134</v>
      </c>
      <c r="AJ564" t="s">
        <v>134</v>
      </c>
      <c r="AK564" t="s">
        <v>134</v>
      </c>
      <c r="AL564" t="s">
        <v>134</v>
      </c>
      <c r="AM564" t="s">
        <v>134</v>
      </c>
      <c r="AN564" t="s">
        <v>134</v>
      </c>
      <c r="AO564" t="s">
        <v>134</v>
      </c>
      <c r="AP564" t="s">
        <v>134</v>
      </c>
      <c r="AQ564" t="s">
        <v>134</v>
      </c>
      <c r="AR564" t="s">
        <v>134</v>
      </c>
      <c r="AS564" t="s">
        <v>134</v>
      </c>
      <c r="AT564" t="s">
        <v>134</v>
      </c>
      <c r="AU564" t="s">
        <v>134</v>
      </c>
      <c r="AV564" t="s">
        <v>134</v>
      </c>
      <c r="AW564" t="s">
        <v>134</v>
      </c>
      <c r="AX564" t="s">
        <v>134</v>
      </c>
      <c r="AY564" t="s">
        <v>134</v>
      </c>
      <c r="AZ564" t="s">
        <v>134</v>
      </c>
      <c r="BA564" t="s">
        <v>134</v>
      </c>
      <c r="BB564" t="s">
        <v>134</v>
      </c>
      <c r="BC564" t="s">
        <v>134</v>
      </c>
      <c r="BD564" t="s">
        <v>134</v>
      </c>
      <c r="BE564" t="s">
        <v>134</v>
      </c>
      <c r="BF564" t="s">
        <v>134</v>
      </c>
      <c r="BG564" t="s">
        <v>134</v>
      </c>
      <c r="BH564" t="s">
        <v>134</v>
      </c>
      <c r="BI564" t="s">
        <v>134</v>
      </c>
      <c r="BJ564" t="s">
        <v>134</v>
      </c>
      <c r="BK564" t="s">
        <v>134</v>
      </c>
      <c r="BL564" t="s">
        <v>134</v>
      </c>
      <c r="BM564" t="s">
        <v>134</v>
      </c>
      <c r="BN564" t="s">
        <v>134</v>
      </c>
      <c r="BO564" t="s">
        <v>134</v>
      </c>
      <c r="BP564" t="s">
        <v>134</v>
      </c>
      <c r="BQ564" t="s">
        <v>134</v>
      </c>
      <c r="BR564" t="s">
        <v>134</v>
      </c>
      <c r="BS564" t="s">
        <v>134</v>
      </c>
      <c r="BT564" t="s">
        <v>134</v>
      </c>
      <c r="BU564" t="s">
        <v>134</v>
      </c>
      <c r="BV564" t="s">
        <v>134</v>
      </c>
      <c r="BW564" t="s">
        <v>134</v>
      </c>
      <c r="BX564" t="s">
        <v>134</v>
      </c>
      <c r="BY564" t="s">
        <v>134</v>
      </c>
      <c r="BZ564" t="s">
        <v>134</v>
      </c>
      <c r="CA564" t="s">
        <v>134</v>
      </c>
      <c r="CB564" t="s">
        <v>134</v>
      </c>
      <c r="CC564" t="s">
        <v>134</v>
      </c>
      <c r="CD564" t="s">
        <v>134</v>
      </c>
      <c r="CE564" t="s">
        <v>134</v>
      </c>
      <c r="CF564" t="s">
        <v>134</v>
      </c>
      <c r="CG564" t="s">
        <v>134</v>
      </c>
      <c r="CH564" t="s">
        <v>134</v>
      </c>
      <c r="CI564" t="s">
        <v>134</v>
      </c>
      <c r="CJ564" t="s">
        <v>134</v>
      </c>
      <c r="CK564" t="s">
        <v>134</v>
      </c>
      <c r="CL564" t="s">
        <v>134</v>
      </c>
      <c r="CM564" t="s">
        <v>134</v>
      </c>
      <c r="CN564" t="s">
        <v>134</v>
      </c>
      <c r="CO564" t="s">
        <v>134</v>
      </c>
      <c r="CP564" t="s">
        <v>134</v>
      </c>
      <c r="CQ564" t="s">
        <v>134</v>
      </c>
      <c r="CR564" t="s">
        <v>134</v>
      </c>
      <c r="CS564" t="s">
        <v>134</v>
      </c>
      <c r="CT564" t="s">
        <v>134</v>
      </c>
      <c r="CU564" t="s">
        <v>134</v>
      </c>
      <c r="CV564" t="s">
        <v>134</v>
      </c>
      <c r="CW564" t="s">
        <v>134</v>
      </c>
      <c r="CX564" t="s">
        <v>134</v>
      </c>
      <c r="CY564" t="s">
        <v>134</v>
      </c>
      <c r="CZ564" t="s">
        <v>134</v>
      </c>
      <c r="DA564" t="s">
        <v>134</v>
      </c>
      <c r="DB564" t="s">
        <v>134</v>
      </c>
      <c r="DC564" t="s">
        <v>134</v>
      </c>
      <c r="DD564" t="s">
        <v>134</v>
      </c>
      <c r="DE564" t="s">
        <v>134</v>
      </c>
      <c r="DF564" t="s">
        <v>134</v>
      </c>
      <c r="DG564" t="s">
        <v>134</v>
      </c>
      <c r="DH564" t="s">
        <v>134</v>
      </c>
      <c r="DI564" t="s">
        <v>134</v>
      </c>
    </row>
    <row r="565" spans="4:113" x14ac:dyDescent="0.3">
      <c r="E565" t="s">
        <v>5</v>
      </c>
      <c r="F565" t="s">
        <v>134</v>
      </c>
      <c r="G565" t="s">
        <v>134</v>
      </c>
      <c r="H565" t="s">
        <v>134</v>
      </c>
      <c r="I565" t="s">
        <v>134</v>
      </c>
      <c r="J565" t="s">
        <v>134</v>
      </c>
      <c r="K565" t="s">
        <v>134</v>
      </c>
      <c r="L565" t="s">
        <v>134</v>
      </c>
      <c r="M565" t="s">
        <v>134</v>
      </c>
      <c r="N565" t="s">
        <v>134</v>
      </c>
      <c r="O565" t="s">
        <v>134</v>
      </c>
      <c r="P565" t="s">
        <v>134</v>
      </c>
      <c r="Q565" t="s">
        <v>134</v>
      </c>
      <c r="R565" t="s">
        <v>134</v>
      </c>
      <c r="S565" t="s">
        <v>134</v>
      </c>
      <c r="T565" t="s">
        <v>134</v>
      </c>
      <c r="U565" t="s">
        <v>134</v>
      </c>
      <c r="V565" t="s">
        <v>134</v>
      </c>
      <c r="W565" t="s">
        <v>134</v>
      </c>
      <c r="X565" t="s">
        <v>134</v>
      </c>
      <c r="Y565" t="s">
        <v>134</v>
      </c>
      <c r="Z565" t="s">
        <v>134</v>
      </c>
      <c r="AA565" t="s">
        <v>134</v>
      </c>
      <c r="AB565" t="s">
        <v>134</v>
      </c>
      <c r="AC565" t="s">
        <v>134</v>
      </c>
      <c r="AD565" t="s">
        <v>134</v>
      </c>
      <c r="AE565" t="s">
        <v>134</v>
      </c>
      <c r="AF565" t="s">
        <v>134</v>
      </c>
      <c r="AG565" t="s">
        <v>134</v>
      </c>
      <c r="AH565" t="s">
        <v>134</v>
      </c>
      <c r="AI565" t="s">
        <v>134</v>
      </c>
      <c r="AJ565" t="s">
        <v>134</v>
      </c>
      <c r="AK565" t="s">
        <v>134</v>
      </c>
      <c r="AL565" t="s">
        <v>134</v>
      </c>
      <c r="AM565" t="s">
        <v>134</v>
      </c>
      <c r="AN565" t="s">
        <v>134</v>
      </c>
      <c r="AO565" t="s">
        <v>134</v>
      </c>
      <c r="AP565" t="s">
        <v>134</v>
      </c>
      <c r="AQ565" t="s">
        <v>134</v>
      </c>
      <c r="AR565" t="s">
        <v>134</v>
      </c>
      <c r="AS565" t="s">
        <v>134</v>
      </c>
      <c r="AT565" t="s">
        <v>134</v>
      </c>
      <c r="AU565" t="s">
        <v>134</v>
      </c>
      <c r="AV565" t="s">
        <v>134</v>
      </c>
      <c r="AW565" t="s">
        <v>134</v>
      </c>
      <c r="AX565" t="s">
        <v>134</v>
      </c>
      <c r="AY565" t="s">
        <v>134</v>
      </c>
      <c r="AZ565" t="s">
        <v>134</v>
      </c>
      <c r="BA565" t="s">
        <v>134</v>
      </c>
      <c r="BB565" t="s">
        <v>134</v>
      </c>
      <c r="BC565" t="s">
        <v>134</v>
      </c>
      <c r="BD565" t="s">
        <v>134</v>
      </c>
      <c r="BE565" t="s">
        <v>134</v>
      </c>
      <c r="BF565" t="s">
        <v>134</v>
      </c>
      <c r="BG565" t="s">
        <v>134</v>
      </c>
      <c r="BH565" t="s">
        <v>134</v>
      </c>
      <c r="BI565" t="s">
        <v>134</v>
      </c>
      <c r="BJ565" t="s">
        <v>134</v>
      </c>
      <c r="BK565" t="s">
        <v>134</v>
      </c>
      <c r="BL565" t="s">
        <v>134</v>
      </c>
      <c r="BM565" t="s">
        <v>134</v>
      </c>
      <c r="BN565" t="s">
        <v>134</v>
      </c>
      <c r="BO565" t="s">
        <v>134</v>
      </c>
      <c r="BP565" t="s">
        <v>134</v>
      </c>
      <c r="BQ565" t="s">
        <v>134</v>
      </c>
      <c r="BR565" t="s">
        <v>134</v>
      </c>
      <c r="BS565" t="s">
        <v>134</v>
      </c>
      <c r="BT565" t="s">
        <v>134</v>
      </c>
      <c r="BU565" t="s">
        <v>134</v>
      </c>
      <c r="BV565" t="s">
        <v>134</v>
      </c>
      <c r="BW565" t="s">
        <v>134</v>
      </c>
      <c r="BX565" t="s">
        <v>134</v>
      </c>
      <c r="BY565" t="s">
        <v>134</v>
      </c>
      <c r="BZ565" t="s">
        <v>134</v>
      </c>
      <c r="CA565" t="s">
        <v>134</v>
      </c>
      <c r="CB565" t="s">
        <v>134</v>
      </c>
      <c r="CC565" t="s">
        <v>134</v>
      </c>
      <c r="CD565" t="s">
        <v>134</v>
      </c>
      <c r="CE565" t="s">
        <v>134</v>
      </c>
      <c r="CF565" t="s">
        <v>134</v>
      </c>
      <c r="CG565" t="s">
        <v>134</v>
      </c>
      <c r="CH565" t="s">
        <v>134</v>
      </c>
      <c r="CI565" t="s">
        <v>134</v>
      </c>
      <c r="CJ565" t="s">
        <v>134</v>
      </c>
      <c r="CK565" t="s">
        <v>134</v>
      </c>
      <c r="CL565" t="s">
        <v>134</v>
      </c>
      <c r="CM565" t="s">
        <v>134</v>
      </c>
      <c r="CN565" t="s">
        <v>134</v>
      </c>
      <c r="CO565" t="s">
        <v>134</v>
      </c>
      <c r="CP565" t="s">
        <v>134</v>
      </c>
      <c r="CQ565" t="s">
        <v>134</v>
      </c>
      <c r="CR565" t="s">
        <v>134</v>
      </c>
      <c r="CS565" t="s">
        <v>134</v>
      </c>
      <c r="CT565" t="s">
        <v>134</v>
      </c>
      <c r="CU565" t="s">
        <v>134</v>
      </c>
      <c r="CV565" t="s">
        <v>134</v>
      </c>
      <c r="CW565" t="s">
        <v>134</v>
      </c>
      <c r="CX565" t="s">
        <v>134</v>
      </c>
      <c r="CY565" t="s">
        <v>134</v>
      </c>
      <c r="CZ565" t="s">
        <v>134</v>
      </c>
      <c r="DA565" t="s">
        <v>134</v>
      </c>
      <c r="DB565" t="s">
        <v>134</v>
      </c>
      <c r="DC565" t="s">
        <v>134</v>
      </c>
      <c r="DD565" t="s">
        <v>134</v>
      </c>
      <c r="DE565" t="s">
        <v>134</v>
      </c>
      <c r="DF565" t="s">
        <v>134</v>
      </c>
      <c r="DG565" t="s">
        <v>134</v>
      </c>
      <c r="DH565" t="s">
        <v>134</v>
      </c>
      <c r="DI565" t="s">
        <v>134</v>
      </c>
    </row>
    <row r="566" spans="4:113" x14ac:dyDescent="0.3">
      <c r="E566" t="s">
        <v>6</v>
      </c>
      <c r="F566" t="s">
        <v>134</v>
      </c>
      <c r="G566" t="s">
        <v>134</v>
      </c>
      <c r="H566" t="s">
        <v>134</v>
      </c>
      <c r="I566" t="s">
        <v>134</v>
      </c>
      <c r="J566" t="s">
        <v>134</v>
      </c>
      <c r="K566" t="s">
        <v>134</v>
      </c>
      <c r="L566" t="s">
        <v>134</v>
      </c>
      <c r="M566" t="s">
        <v>134</v>
      </c>
      <c r="N566" t="s">
        <v>134</v>
      </c>
      <c r="O566" t="s">
        <v>134</v>
      </c>
      <c r="P566" t="s">
        <v>134</v>
      </c>
      <c r="Q566" t="s">
        <v>134</v>
      </c>
      <c r="R566" t="s">
        <v>134</v>
      </c>
      <c r="S566" t="s">
        <v>134</v>
      </c>
      <c r="T566" t="s">
        <v>134</v>
      </c>
      <c r="U566" t="s">
        <v>134</v>
      </c>
      <c r="V566" t="s">
        <v>134</v>
      </c>
      <c r="W566" t="s">
        <v>134</v>
      </c>
      <c r="X566" t="s">
        <v>134</v>
      </c>
      <c r="Y566" t="s">
        <v>134</v>
      </c>
      <c r="Z566" t="s">
        <v>134</v>
      </c>
      <c r="AA566" t="s">
        <v>134</v>
      </c>
      <c r="AB566" t="s">
        <v>134</v>
      </c>
      <c r="AC566" t="s">
        <v>134</v>
      </c>
      <c r="AD566" t="s">
        <v>134</v>
      </c>
      <c r="AE566" t="s">
        <v>134</v>
      </c>
      <c r="AF566" t="s">
        <v>134</v>
      </c>
      <c r="AG566" t="s">
        <v>134</v>
      </c>
      <c r="AH566" t="s">
        <v>134</v>
      </c>
      <c r="AI566" t="s">
        <v>134</v>
      </c>
      <c r="AJ566" t="s">
        <v>134</v>
      </c>
      <c r="AK566" t="s">
        <v>134</v>
      </c>
      <c r="AL566" t="s">
        <v>134</v>
      </c>
      <c r="AM566" t="s">
        <v>134</v>
      </c>
      <c r="AN566" t="s">
        <v>134</v>
      </c>
      <c r="AO566" t="s">
        <v>134</v>
      </c>
      <c r="AP566" t="s">
        <v>134</v>
      </c>
      <c r="AQ566" t="s">
        <v>134</v>
      </c>
      <c r="AR566" t="s">
        <v>134</v>
      </c>
      <c r="AS566" t="s">
        <v>134</v>
      </c>
      <c r="AT566" t="s">
        <v>134</v>
      </c>
      <c r="AU566" t="s">
        <v>134</v>
      </c>
      <c r="AV566" t="s">
        <v>134</v>
      </c>
      <c r="AW566" t="s">
        <v>134</v>
      </c>
      <c r="AX566" t="s">
        <v>134</v>
      </c>
      <c r="AY566" t="s">
        <v>134</v>
      </c>
      <c r="AZ566" t="s">
        <v>134</v>
      </c>
      <c r="BA566" t="s">
        <v>134</v>
      </c>
      <c r="BB566" t="s">
        <v>134</v>
      </c>
      <c r="BC566" t="s">
        <v>134</v>
      </c>
      <c r="BD566" t="s">
        <v>134</v>
      </c>
      <c r="BE566" t="s">
        <v>134</v>
      </c>
      <c r="BF566" t="s">
        <v>134</v>
      </c>
      <c r="BG566" t="s">
        <v>134</v>
      </c>
      <c r="BH566" t="s">
        <v>134</v>
      </c>
      <c r="BI566" t="s">
        <v>134</v>
      </c>
      <c r="BJ566" t="s">
        <v>134</v>
      </c>
      <c r="BK566" t="s">
        <v>134</v>
      </c>
      <c r="BL566" t="s">
        <v>134</v>
      </c>
      <c r="BM566" t="s">
        <v>134</v>
      </c>
      <c r="BN566" t="s">
        <v>134</v>
      </c>
      <c r="BO566" t="s">
        <v>134</v>
      </c>
      <c r="BP566" t="s">
        <v>134</v>
      </c>
      <c r="BQ566" t="s">
        <v>134</v>
      </c>
      <c r="BR566" t="s">
        <v>134</v>
      </c>
      <c r="BS566" t="s">
        <v>134</v>
      </c>
      <c r="BT566" t="s">
        <v>134</v>
      </c>
      <c r="BU566" t="s">
        <v>134</v>
      </c>
      <c r="BV566" t="s">
        <v>134</v>
      </c>
      <c r="BW566" t="s">
        <v>134</v>
      </c>
      <c r="BX566" t="s">
        <v>134</v>
      </c>
      <c r="BY566" t="s">
        <v>134</v>
      </c>
      <c r="BZ566" t="s">
        <v>134</v>
      </c>
      <c r="CA566" t="s">
        <v>134</v>
      </c>
      <c r="CB566" t="s">
        <v>134</v>
      </c>
      <c r="CC566" t="s">
        <v>134</v>
      </c>
      <c r="CD566" t="s">
        <v>134</v>
      </c>
      <c r="CE566" t="s">
        <v>134</v>
      </c>
      <c r="CF566" t="s">
        <v>134</v>
      </c>
      <c r="CG566" t="s">
        <v>134</v>
      </c>
      <c r="CH566" t="s">
        <v>134</v>
      </c>
      <c r="CI566" t="s">
        <v>134</v>
      </c>
      <c r="CJ566" t="s">
        <v>134</v>
      </c>
      <c r="CK566" t="s">
        <v>134</v>
      </c>
      <c r="CL566" t="s">
        <v>134</v>
      </c>
      <c r="CM566" t="s">
        <v>134</v>
      </c>
      <c r="CN566" t="s">
        <v>134</v>
      </c>
      <c r="CO566" t="s">
        <v>134</v>
      </c>
      <c r="CP566" t="s">
        <v>134</v>
      </c>
      <c r="CQ566" t="s">
        <v>134</v>
      </c>
      <c r="CR566" t="s">
        <v>134</v>
      </c>
      <c r="CS566" t="s">
        <v>134</v>
      </c>
      <c r="CT566" t="s">
        <v>134</v>
      </c>
      <c r="CU566" t="s">
        <v>134</v>
      </c>
      <c r="CV566" t="s">
        <v>134</v>
      </c>
      <c r="CW566" t="s">
        <v>134</v>
      </c>
      <c r="CX566" t="s">
        <v>134</v>
      </c>
      <c r="CY566" t="s">
        <v>134</v>
      </c>
      <c r="CZ566" t="s">
        <v>134</v>
      </c>
      <c r="DA566" t="s">
        <v>134</v>
      </c>
      <c r="DB566" t="s">
        <v>134</v>
      </c>
      <c r="DC566" t="s">
        <v>134</v>
      </c>
      <c r="DD566" t="s">
        <v>134</v>
      </c>
      <c r="DE566" t="s">
        <v>134</v>
      </c>
      <c r="DF566" t="s">
        <v>134</v>
      </c>
      <c r="DG566" t="s">
        <v>134</v>
      </c>
      <c r="DH566" t="s">
        <v>134</v>
      </c>
      <c r="DI566" t="s">
        <v>134</v>
      </c>
    </row>
    <row r="567" spans="4:113" x14ac:dyDescent="0.3">
      <c r="E567" t="s">
        <v>7</v>
      </c>
      <c r="F567" t="s">
        <v>134</v>
      </c>
      <c r="G567" t="s">
        <v>134</v>
      </c>
      <c r="H567" t="s">
        <v>134</v>
      </c>
      <c r="I567" t="s">
        <v>134</v>
      </c>
      <c r="J567" t="s">
        <v>134</v>
      </c>
      <c r="K567" t="s">
        <v>134</v>
      </c>
      <c r="L567" t="s">
        <v>134</v>
      </c>
      <c r="M567" t="s">
        <v>134</v>
      </c>
      <c r="N567" t="s">
        <v>134</v>
      </c>
      <c r="O567" t="s">
        <v>134</v>
      </c>
      <c r="P567" t="s">
        <v>134</v>
      </c>
      <c r="Q567" t="s">
        <v>134</v>
      </c>
      <c r="R567" t="s">
        <v>134</v>
      </c>
      <c r="S567" t="s">
        <v>134</v>
      </c>
      <c r="T567" t="s">
        <v>134</v>
      </c>
      <c r="U567" t="s">
        <v>134</v>
      </c>
      <c r="V567" t="s">
        <v>134</v>
      </c>
      <c r="W567" t="s">
        <v>134</v>
      </c>
      <c r="X567" t="s">
        <v>134</v>
      </c>
      <c r="Y567" t="s">
        <v>134</v>
      </c>
      <c r="Z567" t="s">
        <v>134</v>
      </c>
      <c r="AA567" t="s">
        <v>134</v>
      </c>
      <c r="AB567" t="s">
        <v>134</v>
      </c>
      <c r="AC567" t="s">
        <v>134</v>
      </c>
      <c r="AD567" t="s">
        <v>134</v>
      </c>
      <c r="AE567" t="s">
        <v>134</v>
      </c>
      <c r="AF567" t="s">
        <v>134</v>
      </c>
      <c r="AG567" t="s">
        <v>134</v>
      </c>
      <c r="AH567" t="s">
        <v>134</v>
      </c>
      <c r="AI567" t="s">
        <v>134</v>
      </c>
      <c r="AJ567" t="s">
        <v>134</v>
      </c>
      <c r="AK567" t="s">
        <v>134</v>
      </c>
      <c r="AL567" t="s">
        <v>134</v>
      </c>
      <c r="AM567" t="s">
        <v>134</v>
      </c>
      <c r="AN567" t="s">
        <v>134</v>
      </c>
      <c r="AO567" t="s">
        <v>134</v>
      </c>
      <c r="AP567" t="s">
        <v>134</v>
      </c>
      <c r="AQ567" t="s">
        <v>134</v>
      </c>
      <c r="AR567" t="s">
        <v>134</v>
      </c>
      <c r="AS567" t="s">
        <v>134</v>
      </c>
      <c r="AT567" t="s">
        <v>134</v>
      </c>
      <c r="AU567" t="s">
        <v>134</v>
      </c>
      <c r="AV567" t="s">
        <v>134</v>
      </c>
      <c r="AW567" t="s">
        <v>134</v>
      </c>
      <c r="AX567" t="s">
        <v>134</v>
      </c>
      <c r="AY567" t="s">
        <v>134</v>
      </c>
      <c r="AZ567" t="s">
        <v>134</v>
      </c>
      <c r="BA567" t="s">
        <v>134</v>
      </c>
      <c r="BB567" t="s">
        <v>134</v>
      </c>
      <c r="BC567" t="s">
        <v>134</v>
      </c>
      <c r="BD567" t="s">
        <v>134</v>
      </c>
      <c r="BE567" t="s">
        <v>134</v>
      </c>
      <c r="BF567" t="s">
        <v>134</v>
      </c>
      <c r="BG567" t="s">
        <v>134</v>
      </c>
      <c r="BH567" t="s">
        <v>134</v>
      </c>
      <c r="BI567" t="s">
        <v>134</v>
      </c>
      <c r="BJ567" t="s">
        <v>134</v>
      </c>
      <c r="BK567" t="s">
        <v>134</v>
      </c>
      <c r="BL567" t="s">
        <v>134</v>
      </c>
      <c r="BM567" t="s">
        <v>134</v>
      </c>
      <c r="BN567" t="s">
        <v>134</v>
      </c>
      <c r="BO567" t="s">
        <v>134</v>
      </c>
      <c r="BP567" t="s">
        <v>134</v>
      </c>
      <c r="BQ567" t="s">
        <v>134</v>
      </c>
      <c r="BR567" t="s">
        <v>134</v>
      </c>
      <c r="BS567" t="s">
        <v>134</v>
      </c>
      <c r="BT567" t="s">
        <v>134</v>
      </c>
      <c r="BU567" t="s">
        <v>134</v>
      </c>
      <c r="BV567" t="s">
        <v>134</v>
      </c>
      <c r="BW567" t="s">
        <v>134</v>
      </c>
      <c r="BX567" t="s">
        <v>134</v>
      </c>
      <c r="BY567" t="s">
        <v>134</v>
      </c>
      <c r="BZ567" t="s">
        <v>134</v>
      </c>
      <c r="CA567" t="s">
        <v>134</v>
      </c>
      <c r="CB567" t="s">
        <v>134</v>
      </c>
      <c r="CC567" t="s">
        <v>134</v>
      </c>
      <c r="CD567" t="s">
        <v>134</v>
      </c>
      <c r="CE567" t="s">
        <v>134</v>
      </c>
      <c r="CF567" t="s">
        <v>134</v>
      </c>
      <c r="CG567" t="s">
        <v>134</v>
      </c>
      <c r="CH567" t="s">
        <v>134</v>
      </c>
      <c r="CI567" t="s">
        <v>134</v>
      </c>
      <c r="CJ567" t="s">
        <v>134</v>
      </c>
      <c r="CK567" t="s">
        <v>134</v>
      </c>
      <c r="CL567" t="s">
        <v>134</v>
      </c>
      <c r="CM567" t="s">
        <v>134</v>
      </c>
      <c r="CN567" t="s">
        <v>134</v>
      </c>
      <c r="CO567" t="s">
        <v>134</v>
      </c>
      <c r="CP567" t="s">
        <v>134</v>
      </c>
      <c r="CQ567" t="s">
        <v>134</v>
      </c>
      <c r="CR567" t="s">
        <v>134</v>
      </c>
      <c r="CS567" t="s">
        <v>134</v>
      </c>
      <c r="CT567" t="s">
        <v>134</v>
      </c>
      <c r="CU567" t="s">
        <v>134</v>
      </c>
      <c r="CV567" t="s">
        <v>134</v>
      </c>
      <c r="CW567" t="s">
        <v>134</v>
      </c>
      <c r="CX567" t="s">
        <v>134</v>
      </c>
      <c r="CY567" t="s">
        <v>134</v>
      </c>
      <c r="CZ567" t="s">
        <v>134</v>
      </c>
      <c r="DA567" t="s">
        <v>134</v>
      </c>
      <c r="DB567" t="s">
        <v>134</v>
      </c>
      <c r="DC567" t="s">
        <v>134</v>
      </c>
      <c r="DD567" t="s">
        <v>134</v>
      </c>
      <c r="DE567" t="s">
        <v>134</v>
      </c>
      <c r="DF567" t="s">
        <v>134</v>
      </c>
      <c r="DG567" t="s">
        <v>134</v>
      </c>
      <c r="DH567" t="s">
        <v>134</v>
      </c>
      <c r="DI567" t="s">
        <v>134</v>
      </c>
    </row>
    <row r="568" spans="4:113" x14ac:dyDescent="0.3">
      <c r="D568" t="s">
        <v>10</v>
      </c>
      <c r="E568" t="s">
        <v>3</v>
      </c>
      <c r="F568">
        <v>23.221499999999999</v>
      </c>
      <c r="G568">
        <v>13.059799999999999</v>
      </c>
      <c r="H568">
        <v>20.164000000000001</v>
      </c>
      <c r="I568">
        <v>16.5547</v>
      </c>
      <c r="J568">
        <v>10.530799999999999</v>
      </c>
      <c r="K568">
        <v>9.0314999999999994</v>
      </c>
      <c r="L568" t="s">
        <v>134</v>
      </c>
      <c r="M568">
        <v>9.6588999999999992</v>
      </c>
      <c r="N568">
        <v>7</v>
      </c>
      <c r="O568">
        <v>7</v>
      </c>
      <c r="P568">
        <v>7</v>
      </c>
      <c r="Q568">
        <v>27.527999999999999</v>
      </c>
      <c r="R568">
        <v>21.762699999999999</v>
      </c>
      <c r="S568">
        <v>18.1678</v>
      </c>
      <c r="T568">
        <v>-9.2779000000000007</v>
      </c>
      <c r="U568">
        <v>63.421300000000002</v>
      </c>
      <c r="V568">
        <v>75.795699999999997</v>
      </c>
      <c r="W568">
        <v>85.712100000000007</v>
      </c>
      <c r="X568">
        <v>85.772000000000006</v>
      </c>
      <c r="Y568">
        <v>100</v>
      </c>
      <c r="Z568">
        <v>22.485099999999999</v>
      </c>
      <c r="AA568">
        <v>119.6343</v>
      </c>
      <c r="AB568">
        <v>1.3514999999999999</v>
      </c>
      <c r="AC568">
        <v>11.5352</v>
      </c>
      <c r="AD568">
        <v>74.427599999999998</v>
      </c>
      <c r="AE568">
        <v>36.939300000000003</v>
      </c>
      <c r="AF568">
        <v>22.3369</v>
      </c>
      <c r="AG568" t="s">
        <v>134</v>
      </c>
      <c r="AH568">
        <v>-35.061599999999999</v>
      </c>
      <c r="AI568">
        <v>22.7532</v>
      </c>
      <c r="AJ568">
        <v>8.2403999999999993</v>
      </c>
      <c r="AK568">
        <v>22.7532</v>
      </c>
      <c r="AL568">
        <v>-40.575800000000001</v>
      </c>
      <c r="AM568" t="s">
        <v>134</v>
      </c>
      <c r="AN568" t="s">
        <v>134</v>
      </c>
      <c r="AO568" t="s">
        <v>134</v>
      </c>
      <c r="AP568" t="s">
        <v>134</v>
      </c>
      <c r="AQ568" t="s">
        <v>134</v>
      </c>
      <c r="AR568" t="s">
        <v>134</v>
      </c>
      <c r="AS568" t="s">
        <v>134</v>
      </c>
      <c r="AT568" t="s">
        <v>134</v>
      </c>
      <c r="AU568" t="s">
        <v>134</v>
      </c>
      <c r="AV568" t="s">
        <v>134</v>
      </c>
      <c r="AW568" t="s">
        <v>134</v>
      </c>
      <c r="AX568" t="s">
        <v>134</v>
      </c>
      <c r="AY568" t="s">
        <v>134</v>
      </c>
      <c r="AZ568" t="s">
        <v>134</v>
      </c>
      <c r="BA568" t="s">
        <v>134</v>
      </c>
      <c r="BB568" t="s">
        <v>134</v>
      </c>
      <c r="BC568" t="s">
        <v>134</v>
      </c>
      <c r="BD568" t="s">
        <v>134</v>
      </c>
      <c r="BE568" t="s">
        <v>134</v>
      </c>
      <c r="BF568">
        <v>-9.2779000000000007</v>
      </c>
      <c r="BG568">
        <v>63.421300000000002</v>
      </c>
      <c r="BH568">
        <v>75.795699999999997</v>
      </c>
      <c r="BI568">
        <v>85.712100000000007</v>
      </c>
      <c r="BJ568">
        <v>85.772000000000006</v>
      </c>
      <c r="BK568">
        <v>100</v>
      </c>
      <c r="BL568">
        <v>22.485099999999999</v>
      </c>
      <c r="BM568">
        <v>119.6343</v>
      </c>
      <c r="BN568">
        <v>1.3514999999999999</v>
      </c>
      <c r="BO568">
        <v>11.5352</v>
      </c>
      <c r="BP568">
        <v>74.427599999999998</v>
      </c>
      <c r="BQ568">
        <v>36.939300000000003</v>
      </c>
      <c r="BR568">
        <v>22.3369</v>
      </c>
      <c r="BS568" t="s">
        <v>134</v>
      </c>
      <c r="BT568">
        <v>-35.061599999999999</v>
      </c>
      <c r="BU568">
        <v>22.7532</v>
      </c>
      <c r="BV568">
        <v>8.2403999999999993</v>
      </c>
      <c r="BW568">
        <v>22.7532</v>
      </c>
      <c r="BX568">
        <v>-40.575800000000001</v>
      </c>
      <c r="BY568">
        <v>14500.3</v>
      </c>
      <c r="BZ568">
        <v>0</v>
      </c>
      <c r="CA568">
        <v>14500.3</v>
      </c>
      <c r="CB568">
        <v>0.55940000000000001</v>
      </c>
      <c r="CC568">
        <v>-0.63329999999999997</v>
      </c>
      <c r="CD568">
        <v>0.6522</v>
      </c>
      <c r="CE568">
        <v>-0.73839999999999995</v>
      </c>
      <c r="CF568">
        <v>13.0069</v>
      </c>
      <c r="CG568">
        <v>58.779800000000002</v>
      </c>
      <c r="CH568">
        <v>17.73</v>
      </c>
      <c r="CI568">
        <v>15.059900000000001</v>
      </c>
      <c r="CJ568">
        <v>10.4217</v>
      </c>
      <c r="CK568">
        <v>17.73</v>
      </c>
      <c r="CL568">
        <v>15.059900000000001</v>
      </c>
      <c r="CM568">
        <v>10.4217</v>
      </c>
      <c r="CN568">
        <v>-20.073499999999999</v>
      </c>
      <c r="CO568">
        <v>-25.114999999999998</v>
      </c>
      <c r="CP568">
        <v>25922.7</v>
      </c>
      <c r="CQ568">
        <v>20480.8</v>
      </c>
      <c r="CR568">
        <v>22232</v>
      </c>
      <c r="CS568">
        <v>1.4296</v>
      </c>
      <c r="CT568">
        <v>2.2669000000000001</v>
      </c>
      <c r="CU568">
        <v>1.9893999999999998</v>
      </c>
      <c r="CV568">
        <v>6.3285999999999998</v>
      </c>
      <c r="CW568">
        <v>22.385200000000001</v>
      </c>
      <c r="CX568">
        <v>16.305399999999999</v>
      </c>
      <c r="CY568">
        <v>54.453000000000003</v>
      </c>
      <c r="CZ568">
        <v>6.7030000000000003</v>
      </c>
      <c r="DA568">
        <v>25.293800000000001</v>
      </c>
      <c r="DB568">
        <v>14.430400000000001</v>
      </c>
      <c r="DC568">
        <v>8.5779999999999994</v>
      </c>
      <c r="DD568">
        <v>23.008400000000002</v>
      </c>
      <c r="DE568">
        <v>5405.2</v>
      </c>
      <c r="DF568">
        <v>3463.9</v>
      </c>
      <c r="DG568">
        <v>0</v>
      </c>
      <c r="DH568">
        <v>1270.3</v>
      </c>
      <c r="DI568">
        <v>671</v>
      </c>
    </row>
    <row r="569" spans="4:113" x14ac:dyDescent="0.3">
      <c r="E569" t="s">
        <v>4</v>
      </c>
      <c r="F569" t="s">
        <v>134</v>
      </c>
      <c r="G569" t="s">
        <v>134</v>
      </c>
      <c r="H569" t="s">
        <v>134</v>
      </c>
      <c r="I569" t="s">
        <v>134</v>
      </c>
      <c r="J569" t="s">
        <v>134</v>
      </c>
      <c r="K569" t="s">
        <v>134</v>
      </c>
      <c r="L569" t="s">
        <v>134</v>
      </c>
      <c r="M569" t="s">
        <v>134</v>
      </c>
      <c r="N569" t="s">
        <v>134</v>
      </c>
      <c r="O569" t="s">
        <v>134</v>
      </c>
      <c r="P569" t="s">
        <v>134</v>
      </c>
      <c r="Q569" t="s">
        <v>134</v>
      </c>
      <c r="R569" t="s">
        <v>134</v>
      </c>
      <c r="S569" t="s">
        <v>134</v>
      </c>
      <c r="T569" t="s">
        <v>134</v>
      </c>
      <c r="U569" t="s">
        <v>134</v>
      </c>
      <c r="V569" t="s">
        <v>134</v>
      </c>
      <c r="W569" t="s">
        <v>134</v>
      </c>
      <c r="X569" t="s">
        <v>134</v>
      </c>
      <c r="Y569" t="s">
        <v>134</v>
      </c>
      <c r="Z569" t="s">
        <v>134</v>
      </c>
      <c r="AA569" t="s">
        <v>134</v>
      </c>
      <c r="AB569" t="s">
        <v>134</v>
      </c>
      <c r="AC569" t="s">
        <v>134</v>
      </c>
      <c r="AD569" t="s">
        <v>134</v>
      </c>
      <c r="AE569" t="s">
        <v>134</v>
      </c>
      <c r="AF569" t="s">
        <v>134</v>
      </c>
      <c r="AG569" t="s">
        <v>134</v>
      </c>
      <c r="AH569" t="s">
        <v>134</v>
      </c>
      <c r="AI569" t="s">
        <v>134</v>
      </c>
      <c r="AJ569" t="s">
        <v>134</v>
      </c>
      <c r="AK569" t="s">
        <v>134</v>
      </c>
      <c r="AL569" t="s">
        <v>134</v>
      </c>
      <c r="AM569" t="s">
        <v>134</v>
      </c>
      <c r="AN569" t="s">
        <v>134</v>
      </c>
      <c r="AO569" t="s">
        <v>134</v>
      </c>
      <c r="AP569" t="s">
        <v>134</v>
      </c>
      <c r="AQ569" t="s">
        <v>134</v>
      </c>
      <c r="AR569" t="s">
        <v>134</v>
      </c>
      <c r="AS569" t="s">
        <v>134</v>
      </c>
      <c r="AT569" t="s">
        <v>134</v>
      </c>
      <c r="AU569" t="s">
        <v>134</v>
      </c>
      <c r="AV569" t="s">
        <v>134</v>
      </c>
      <c r="AW569" t="s">
        <v>134</v>
      </c>
      <c r="AX569" t="s">
        <v>134</v>
      </c>
      <c r="AY569" t="s">
        <v>134</v>
      </c>
      <c r="AZ569" t="s">
        <v>134</v>
      </c>
      <c r="BA569" t="s">
        <v>134</v>
      </c>
      <c r="BB569" t="s">
        <v>134</v>
      </c>
      <c r="BC569" t="s">
        <v>134</v>
      </c>
      <c r="BD569" t="s">
        <v>134</v>
      </c>
      <c r="BE569" t="s">
        <v>134</v>
      </c>
      <c r="BF569" t="s">
        <v>134</v>
      </c>
      <c r="BG569" t="s">
        <v>134</v>
      </c>
      <c r="BH569" t="s">
        <v>134</v>
      </c>
      <c r="BI569" t="s">
        <v>134</v>
      </c>
      <c r="BJ569" t="s">
        <v>134</v>
      </c>
      <c r="BK569" t="s">
        <v>134</v>
      </c>
      <c r="BL569" t="s">
        <v>134</v>
      </c>
      <c r="BM569" t="s">
        <v>134</v>
      </c>
      <c r="BN569" t="s">
        <v>134</v>
      </c>
      <c r="BO569" t="s">
        <v>134</v>
      </c>
      <c r="BP569" t="s">
        <v>134</v>
      </c>
      <c r="BQ569" t="s">
        <v>134</v>
      </c>
      <c r="BR569" t="s">
        <v>134</v>
      </c>
      <c r="BS569" t="s">
        <v>134</v>
      </c>
      <c r="BT569" t="s">
        <v>134</v>
      </c>
      <c r="BU569" t="s">
        <v>134</v>
      </c>
      <c r="BV569" t="s">
        <v>134</v>
      </c>
      <c r="BW569" t="s">
        <v>134</v>
      </c>
      <c r="BX569" t="s">
        <v>134</v>
      </c>
      <c r="BY569" t="s">
        <v>134</v>
      </c>
      <c r="BZ569" t="s">
        <v>134</v>
      </c>
      <c r="CA569" t="s">
        <v>134</v>
      </c>
      <c r="CB569" t="s">
        <v>134</v>
      </c>
      <c r="CC569" t="s">
        <v>134</v>
      </c>
      <c r="CD569" t="s">
        <v>134</v>
      </c>
      <c r="CE569" t="s">
        <v>134</v>
      </c>
      <c r="CF569" t="s">
        <v>134</v>
      </c>
      <c r="CG569" t="s">
        <v>134</v>
      </c>
      <c r="CH569" t="s">
        <v>134</v>
      </c>
      <c r="CI569" t="s">
        <v>134</v>
      </c>
      <c r="CJ569" t="s">
        <v>134</v>
      </c>
      <c r="CK569" t="s">
        <v>134</v>
      </c>
      <c r="CL569" t="s">
        <v>134</v>
      </c>
      <c r="CM569" t="s">
        <v>134</v>
      </c>
      <c r="CN569" t="s">
        <v>134</v>
      </c>
      <c r="CO569" t="s">
        <v>134</v>
      </c>
      <c r="CP569" t="s">
        <v>134</v>
      </c>
      <c r="CQ569" t="s">
        <v>134</v>
      </c>
      <c r="CR569" t="s">
        <v>134</v>
      </c>
      <c r="CS569" t="s">
        <v>134</v>
      </c>
      <c r="CT569" t="s">
        <v>134</v>
      </c>
      <c r="CU569" t="s">
        <v>134</v>
      </c>
      <c r="CV569" t="s">
        <v>134</v>
      </c>
      <c r="CW569" t="s">
        <v>134</v>
      </c>
      <c r="CX569" t="s">
        <v>134</v>
      </c>
      <c r="CY569" t="s">
        <v>134</v>
      </c>
      <c r="CZ569" t="s">
        <v>134</v>
      </c>
      <c r="DA569" t="s">
        <v>134</v>
      </c>
      <c r="DB569" t="s">
        <v>134</v>
      </c>
      <c r="DC569" t="s">
        <v>134</v>
      </c>
      <c r="DD569" t="s">
        <v>134</v>
      </c>
      <c r="DE569" t="s">
        <v>134</v>
      </c>
      <c r="DF569" t="s">
        <v>134</v>
      </c>
      <c r="DG569" t="s">
        <v>134</v>
      </c>
      <c r="DH569" t="s">
        <v>134</v>
      </c>
      <c r="DI569" t="s">
        <v>134</v>
      </c>
    </row>
    <row r="570" spans="4:113" x14ac:dyDescent="0.3">
      <c r="E570" t="s">
        <v>5</v>
      </c>
      <c r="F570" t="s">
        <v>134</v>
      </c>
      <c r="G570" t="s">
        <v>134</v>
      </c>
      <c r="H570" t="s">
        <v>134</v>
      </c>
      <c r="I570" t="s">
        <v>134</v>
      </c>
      <c r="J570" t="s">
        <v>134</v>
      </c>
      <c r="K570" t="s">
        <v>134</v>
      </c>
      <c r="L570" t="s">
        <v>134</v>
      </c>
      <c r="M570" t="s">
        <v>134</v>
      </c>
      <c r="N570" t="s">
        <v>134</v>
      </c>
      <c r="O570" t="s">
        <v>134</v>
      </c>
      <c r="P570" t="s">
        <v>134</v>
      </c>
      <c r="Q570" t="s">
        <v>134</v>
      </c>
      <c r="R570" t="s">
        <v>134</v>
      </c>
      <c r="S570" t="s">
        <v>134</v>
      </c>
      <c r="T570" t="s">
        <v>134</v>
      </c>
      <c r="U570" t="s">
        <v>134</v>
      </c>
      <c r="V570" t="s">
        <v>134</v>
      </c>
      <c r="W570" t="s">
        <v>134</v>
      </c>
      <c r="X570" t="s">
        <v>134</v>
      </c>
      <c r="Y570" t="s">
        <v>134</v>
      </c>
      <c r="Z570" t="s">
        <v>134</v>
      </c>
      <c r="AA570" t="s">
        <v>134</v>
      </c>
      <c r="AB570" t="s">
        <v>134</v>
      </c>
      <c r="AC570" t="s">
        <v>134</v>
      </c>
      <c r="AD570" t="s">
        <v>134</v>
      </c>
      <c r="AE570" t="s">
        <v>134</v>
      </c>
      <c r="AF570" t="s">
        <v>134</v>
      </c>
      <c r="AG570" t="s">
        <v>134</v>
      </c>
      <c r="AH570" t="s">
        <v>134</v>
      </c>
      <c r="AI570" t="s">
        <v>134</v>
      </c>
      <c r="AJ570" t="s">
        <v>134</v>
      </c>
      <c r="AK570" t="s">
        <v>134</v>
      </c>
      <c r="AL570" t="s">
        <v>134</v>
      </c>
      <c r="AM570" t="s">
        <v>134</v>
      </c>
      <c r="AN570" t="s">
        <v>134</v>
      </c>
      <c r="AO570" t="s">
        <v>134</v>
      </c>
      <c r="AP570" t="s">
        <v>134</v>
      </c>
      <c r="AQ570" t="s">
        <v>134</v>
      </c>
      <c r="AR570" t="s">
        <v>134</v>
      </c>
      <c r="AS570" t="s">
        <v>134</v>
      </c>
      <c r="AT570" t="s">
        <v>134</v>
      </c>
      <c r="AU570" t="s">
        <v>134</v>
      </c>
      <c r="AV570" t="s">
        <v>134</v>
      </c>
      <c r="AW570" t="s">
        <v>134</v>
      </c>
      <c r="AX570" t="s">
        <v>134</v>
      </c>
      <c r="AY570" t="s">
        <v>134</v>
      </c>
      <c r="AZ570" t="s">
        <v>134</v>
      </c>
      <c r="BA570" t="s">
        <v>134</v>
      </c>
      <c r="BB570" t="s">
        <v>134</v>
      </c>
      <c r="BC570" t="s">
        <v>134</v>
      </c>
      <c r="BD570" t="s">
        <v>134</v>
      </c>
      <c r="BE570" t="s">
        <v>134</v>
      </c>
      <c r="BF570" t="s">
        <v>134</v>
      </c>
      <c r="BG570" t="s">
        <v>134</v>
      </c>
      <c r="BH570" t="s">
        <v>134</v>
      </c>
      <c r="BI570" t="s">
        <v>134</v>
      </c>
      <c r="BJ570" t="s">
        <v>134</v>
      </c>
      <c r="BK570" t="s">
        <v>134</v>
      </c>
      <c r="BL570" t="s">
        <v>134</v>
      </c>
      <c r="BM570" t="s">
        <v>134</v>
      </c>
      <c r="BN570" t="s">
        <v>134</v>
      </c>
      <c r="BO570" t="s">
        <v>134</v>
      </c>
      <c r="BP570" t="s">
        <v>134</v>
      </c>
      <c r="BQ570" t="s">
        <v>134</v>
      </c>
      <c r="BR570" t="s">
        <v>134</v>
      </c>
      <c r="BS570" t="s">
        <v>134</v>
      </c>
      <c r="BT570" t="s">
        <v>134</v>
      </c>
      <c r="BU570" t="s">
        <v>134</v>
      </c>
      <c r="BV570" t="s">
        <v>134</v>
      </c>
      <c r="BW570" t="s">
        <v>134</v>
      </c>
      <c r="BX570" t="s">
        <v>134</v>
      </c>
      <c r="BY570" t="s">
        <v>134</v>
      </c>
      <c r="BZ570" t="s">
        <v>134</v>
      </c>
      <c r="CA570" t="s">
        <v>134</v>
      </c>
      <c r="CB570" t="s">
        <v>134</v>
      </c>
      <c r="CC570" t="s">
        <v>134</v>
      </c>
      <c r="CD570" t="s">
        <v>134</v>
      </c>
      <c r="CE570" t="s">
        <v>134</v>
      </c>
      <c r="CF570" t="s">
        <v>134</v>
      </c>
      <c r="CG570" t="s">
        <v>134</v>
      </c>
      <c r="CH570" t="s">
        <v>134</v>
      </c>
      <c r="CI570" t="s">
        <v>134</v>
      </c>
      <c r="CJ570" t="s">
        <v>134</v>
      </c>
      <c r="CK570" t="s">
        <v>134</v>
      </c>
      <c r="CL570" t="s">
        <v>134</v>
      </c>
      <c r="CM570" t="s">
        <v>134</v>
      </c>
      <c r="CN570" t="s">
        <v>134</v>
      </c>
      <c r="CO570" t="s">
        <v>134</v>
      </c>
      <c r="CP570" t="s">
        <v>134</v>
      </c>
      <c r="CQ570" t="s">
        <v>134</v>
      </c>
      <c r="CR570" t="s">
        <v>134</v>
      </c>
      <c r="CS570" t="s">
        <v>134</v>
      </c>
      <c r="CT570" t="s">
        <v>134</v>
      </c>
      <c r="CU570" t="s">
        <v>134</v>
      </c>
      <c r="CV570" t="s">
        <v>134</v>
      </c>
      <c r="CW570" t="s">
        <v>134</v>
      </c>
      <c r="CX570" t="s">
        <v>134</v>
      </c>
      <c r="CY570" t="s">
        <v>134</v>
      </c>
      <c r="CZ570" t="s">
        <v>134</v>
      </c>
      <c r="DA570" t="s">
        <v>134</v>
      </c>
      <c r="DB570" t="s">
        <v>134</v>
      </c>
      <c r="DC570" t="s">
        <v>134</v>
      </c>
      <c r="DD570" t="s">
        <v>134</v>
      </c>
      <c r="DE570" t="s">
        <v>134</v>
      </c>
      <c r="DF570" t="s">
        <v>134</v>
      </c>
      <c r="DG570" t="s">
        <v>134</v>
      </c>
      <c r="DH570" t="s">
        <v>134</v>
      </c>
      <c r="DI570" t="s">
        <v>134</v>
      </c>
    </row>
    <row r="571" spans="4:113" x14ac:dyDescent="0.3">
      <c r="E571" t="s">
        <v>6</v>
      </c>
      <c r="F571" t="s">
        <v>134</v>
      </c>
      <c r="G571" t="s">
        <v>134</v>
      </c>
      <c r="H571" t="s">
        <v>134</v>
      </c>
      <c r="I571" t="s">
        <v>134</v>
      </c>
      <c r="J571" t="s">
        <v>134</v>
      </c>
      <c r="K571" t="s">
        <v>134</v>
      </c>
      <c r="L571" t="s">
        <v>134</v>
      </c>
      <c r="M571" t="s">
        <v>134</v>
      </c>
      <c r="N571" t="s">
        <v>134</v>
      </c>
      <c r="O571" t="s">
        <v>134</v>
      </c>
      <c r="P571" t="s">
        <v>134</v>
      </c>
      <c r="Q571" t="s">
        <v>134</v>
      </c>
      <c r="R571" t="s">
        <v>134</v>
      </c>
      <c r="S571" t="s">
        <v>134</v>
      </c>
      <c r="T571" t="s">
        <v>134</v>
      </c>
      <c r="U571" t="s">
        <v>134</v>
      </c>
      <c r="V571" t="s">
        <v>134</v>
      </c>
      <c r="W571" t="s">
        <v>134</v>
      </c>
      <c r="X571" t="s">
        <v>134</v>
      </c>
      <c r="Y571" t="s">
        <v>134</v>
      </c>
      <c r="Z571" t="s">
        <v>134</v>
      </c>
      <c r="AA571" t="s">
        <v>134</v>
      </c>
      <c r="AB571" t="s">
        <v>134</v>
      </c>
      <c r="AC571" t="s">
        <v>134</v>
      </c>
      <c r="AD571" t="s">
        <v>134</v>
      </c>
      <c r="AE571" t="s">
        <v>134</v>
      </c>
      <c r="AF571" t="s">
        <v>134</v>
      </c>
      <c r="AG571" t="s">
        <v>134</v>
      </c>
      <c r="AH571" t="s">
        <v>134</v>
      </c>
      <c r="AI571" t="s">
        <v>134</v>
      </c>
      <c r="AJ571" t="s">
        <v>134</v>
      </c>
      <c r="AK571" t="s">
        <v>134</v>
      </c>
      <c r="AL571" t="s">
        <v>134</v>
      </c>
      <c r="AM571" t="s">
        <v>134</v>
      </c>
      <c r="AN571" t="s">
        <v>134</v>
      </c>
      <c r="AO571" t="s">
        <v>134</v>
      </c>
      <c r="AP571" t="s">
        <v>134</v>
      </c>
      <c r="AQ571" t="s">
        <v>134</v>
      </c>
      <c r="AR571" t="s">
        <v>134</v>
      </c>
      <c r="AS571" t="s">
        <v>134</v>
      </c>
      <c r="AT571" t="s">
        <v>134</v>
      </c>
      <c r="AU571" t="s">
        <v>134</v>
      </c>
      <c r="AV571" t="s">
        <v>134</v>
      </c>
      <c r="AW571" t="s">
        <v>134</v>
      </c>
      <c r="AX571" t="s">
        <v>134</v>
      </c>
      <c r="AY571" t="s">
        <v>134</v>
      </c>
      <c r="AZ571" t="s">
        <v>134</v>
      </c>
      <c r="BA571" t="s">
        <v>134</v>
      </c>
      <c r="BB571" t="s">
        <v>134</v>
      </c>
      <c r="BC571" t="s">
        <v>134</v>
      </c>
      <c r="BD571" t="s">
        <v>134</v>
      </c>
      <c r="BE571" t="s">
        <v>134</v>
      </c>
      <c r="BF571" t="s">
        <v>134</v>
      </c>
      <c r="BG571" t="s">
        <v>134</v>
      </c>
      <c r="BH571" t="s">
        <v>134</v>
      </c>
      <c r="BI571" t="s">
        <v>134</v>
      </c>
      <c r="BJ571" t="s">
        <v>134</v>
      </c>
      <c r="BK571" t="s">
        <v>134</v>
      </c>
      <c r="BL571" t="s">
        <v>134</v>
      </c>
      <c r="BM571" t="s">
        <v>134</v>
      </c>
      <c r="BN571" t="s">
        <v>134</v>
      </c>
      <c r="BO571" t="s">
        <v>134</v>
      </c>
      <c r="BP571" t="s">
        <v>134</v>
      </c>
      <c r="BQ571" t="s">
        <v>134</v>
      </c>
      <c r="BR571" t="s">
        <v>134</v>
      </c>
      <c r="BS571" t="s">
        <v>134</v>
      </c>
      <c r="BT571" t="s">
        <v>134</v>
      </c>
      <c r="BU571" t="s">
        <v>134</v>
      </c>
      <c r="BV571" t="s">
        <v>134</v>
      </c>
      <c r="BW571" t="s">
        <v>134</v>
      </c>
      <c r="BX571" t="s">
        <v>134</v>
      </c>
      <c r="BY571" t="s">
        <v>134</v>
      </c>
      <c r="BZ571" t="s">
        <v>134</v>
      </c>
      <c r="CA571" t="s">
        <v>134</v>
      </c>
      <c r="CB571" t="s">
        <v>134</v>
      </c>
      <c r="CC571" t="s">
        <v>134</v>
      </c>
      <c r="CD571" t="s">
        <v>134</v>
      </c>
      <c r="CE571" t="s">
        <v>134</v>
      </c>
      <c r="CF571" t="s">
        <v>134</v>
      </c>
      <c r="CG571" t="s">
        <v>134</v>
      </c>
      <c r="CH571" t="s">
        <v>134</v>
      </c>
      <c r="CI571" t="s">
        <v>134</v>
      </c>
      <c r="CJ571" t="s">
        <v>134</v>
      </c>
      <c r="CK571" t="s">
        <v>134</v>
      </c>
      <c r="CL571" t="s">
        <v>134</v>
      </c>
      <c r="CM571" t="s">
        <v>134</v>
      </c>
      <c r="CN571" t="s">
        <v>134</v>
      </c>
      <c r="CO571" t="s">
        <v>134</v>
      </c>
      <c r="CP571" t="s">
        <v>134</v>
      </c>
      <c r="CQ571" t="s">
        <v>134</v>
      </c>
      <c r="CR571" t="s">
        <v>134</v>
      </c>
      <c r="CS571" t="s">
        <v>134</v>
      </c>
      <c r="CT571" t="s">
        <v>134</v>
      </c>
      <c r="CU571" t="s">
        <v>134</v>
      </c>
      <c r="CV571" t="s">
        <v>134</v>
      </c>
      <c r="CW571" t="s">
        <v>134</v>
      </c>
      <c r="CX571" t="s">
        <v>134</v>
      </c>
      <c r="CY571" t="s">
        <v>134</v>
      </c>
      <c r="CZ571" t="s">
        <v>134</v>
      </c>
      <c r="DA571" t="s">
        <v>134</v>
      </c>
      <c r="DB571" t="s">
        <v>134</v>
      </c>
      <c r="DC571" t="s">
        <v>134</v>
      </c>
      <c r="DD571" t="s">
        <v>134</v>
      </c>
      <c r="DE571" t="s">
        <v>134</v>
      </c>
      <c r="DF571" t="s">
        <v>134</v>
      </c>
      <c r="DG571" t="s">
        <v>134</v>
      </c>
      <c r="DH571" t="s">
        <v>134</v>
      </c>
      <c r="DI571" t="s">
        <v>134</v>
      </c>
    </row>
    <row r="572" spans="4:113" x14ac:dyDescent="0.3">
      <c r="E572" t="s">
        <v>7</v>
      </c>
      <c r="F572" t="s">
        <v>134</v>
      </c>
      <c r="G572" t="s">
        <v>134</v>
      </c>
      <c r="H572" t="s">
        <v>134</v>
      </c>
      <c r="I572" t="s">
        <v>134</v>
      </c>
      <c r="J572" t="s">
        <v>134</v>
      </c>
      <c r="K572" t="s">
        <v>134</v>
      </c>
      <c r="L572" t="s">
        <v>134</v>
      </c>
      <c r="M572" t="s">
        <v>134</v>
      </c>
      <c r="N572" t="s">
        <v>134</v>
      </c>
      <c r="O572" t="s">
        <v>134</v>
      </c>
      <c r="P572" t="s">
        <v>134</v>
      </c>
      <c r="Q572" t="s">
        <v>134</v>
      </c>
      <c r="R572" t="s">
        <v>134</v>
      </c>
      <c r="S572" t="s">
        <v>134</v>
      </c>
      <c r="T572" t="s">
        <v>134</v>
      </c>
      <c r="U572" t="s">
        <v>134</v>
      </c>
      <c r="V572" t="s">
        <v>134</v>
      </c>
      <c r="W572" t="s">
        <v>134</v>
      </c>
      <c r="X572" t="s">
        <v>134</v>
      </c>
      <c r="Y572" t="s">
        <v>134</v>
      </c>
      <c r="Z572" t="s">
        <v>134</v>
      </c>
      <c r="AA572" t="s">
        <v>134</v>
      </c>
      <c r="AB572" t="s">
        <v>134</v>
      </c>
      <c r="AC572" t="s">
        <v>134</v>
      </c>
      <c r="AD572" t="s">
        <v>134</v>
      </c>
      <c r="AE572" t="s">
        <v>134</v>
      </c>
      <c r="AF572" t="s">
        <v>134</v>
      </c>
      <c r="AG572" t="s">
        <v>134</v>
      </c>
      <c r="AH572" t="s">
        <v>134</v>
      </c>
      <c r="AI572" t="s">
        <v>134</v>
      </c>
      <c r="AJ572" t="s">
        <v>134</v>
      </c>
      <c r="AK572" t="s">
        <v>134</v>
      </c>
      <c r="AL572" t="s">
        <v>134</v>
      </c>
      <c r="AM572" t="s">
        <v>134</v>
      </c>
      <c r="AN572" t="s">
        <v>134</v>
      </c>
      <c r="AO572" t="s">
        <v>134</v>
      </c>
      <c r="AP572" t="s">
        <v>134</v>
      </c>
      <c r="AQ572" t="s">
        <v>134</v>
      </c>
      <c r="AR572" t="s">
        <v>134</v>
      </c>
      <c r="AS572" t="s">
        <v>134</v>
      </c>
      <c r="AT572" t="s">
        <v>134</v>
      </c>
      <c r="AU572" t="s">
        <v>134</v>
      </c>
      <c r="AV572" t="s">
        <v>134</v>
      </c>
      <c r="AW572" t="s">
        <v>134</v>
      </c>
      <c r="AX572" t="s">
        <v>134</v>
      </c>
      <c r="AY572" t="s">
        <v>134</v>
      </c>
      <c r="AZ572" t="s">
        <v>134</v>
      </c>
      <c r="BA572" t="s">
        <v>134</v>
      </c>
      <c r="BB572" t="s">
        <v>134</v>
      </c>
      <c r="BC572" t="s">
        <v>134</v>
      </c>
      <c r="BD572" t="s">
        <v>134</v>
      </c>
      <c r="BE572" t="s">
        <v>134</v>
      </c>
      <c r="BF572" t="s">
        <v>134</v>
      </c>
      <c r="BG572" t="s">
        <v>134</v>
      </c>
      <c r="BH572" t="s">
        <v>134</v>
      </c>
      <c r="BI572" t="s">
        <v>134</v>
      </c>
      <c r="BJ572" t="s">
        <v>134</v>
      </c>
      <c r="BK572" t="s">
        <v>134</v>
      </c>
      <c r="BL572" t="s">
        <v>134</v>
      </c>
      <c r="BM572" t="s">
        <v>134</v>
      </c>
      <c r="BN572" t="s">
        <v>134</v>
      </c>
      <c r="BO572" t="s">
        <v>134</v>
      </c>
      <c r="BP572" t="s">
        <v>134</v>
      </c>
      <c r="BQ572" t="s">
        <v>134</v>
      </c>
      <c r="BR572" t="s">
        <v>134</v>
      </c>
      <c r="BS572" t="s">
        <v>134</v>
      </c>
      <c r="BT572" t="s">
        <v>134</v>
      </c>
      <c r="BU572" t="s">
        <v>134</v>
      </c>
      <c r="BV572" t="s">
        <v>134</v>
      </c>
      <c r="BW572" t="s">
        <v>134</v>
      </c>
      <c r="BX572" t="s">
        <v>134</v>
      </c>
      <c r="BY572" t="s">
        <v>134</v>
      </c>
      <c r="BZ572" t="s">
        <v>134</v>
      </c>
      <c r="CA572" t="s">
        <v>134</v>
      </c>
      <c r="CB572" t="s">
        <v>134</v>
      </c>
      <c r="CC572" t="s">
        <v>134</v>
      </c>
      <c r="CD572" t="s">
        <v>134</v>
      </c>
      <c r="CE572" t="s">
        <v>134</v>
      </c>
      <c r="CF572" t="s">
        <v>134</v>
      </c>
      <c r="CG572" t="s">
        <v>134</v>
      </c>
      <c r="CH572" t="s">
        <v>134</v>
      </c>
      <c r="CI572" t="s">
        <v>134</v>
      </c>
      <c r="CJ572" t="s">
        <v>134</v>
      </c>
      <c r="CK572" t="s">
        <v>134</v>
      </c>
      <c r="CL572" t="s">
        <v>134</v>
      </c>
      <c r="CM572" t="s">
        <v>134</v>
      </c>
      <c r="CN572" t="s">
        <v>134</v>
      </c>
      <c r="CO572" t="s">
        <v>134</v>
      </c>
      <c r="CP572" t="s">
        <v>134</v>
      </c>
      <c r="CQ572" t="s">
        <v>134</v>
      </c>
      <c r="CR572" t="s">
        <v>134</v>
      </c>
      <c r="CS572" t="s">
        <v>134</v>
      </c>
      <c r="CT572" t="s">
        <v>134</v>
      </c>
      <c r="CU572" t="s">
        <v>134</v>
      </c>
      <c r="CV572" t="s">
        <v>134</v>
      </c>
      <c r="CW572" t="s">
        <v>134</v>
      </c>
      <c r="CX572" t="s">
        <v>134</v>
      </c>
      <c r="CY572" t="s">
        <v>134</v>
      </c>
      <c r="CZ572" t="s">
        <v>134</v>
      </c>
      <c r="DA572" t="s">
        <v>134</v>
      </c>
      <c r="DB572" t="s">
        <v>134</v>
      </c>
      <c r="DC572" t="s">
        <v>134</v>
      </c>
      <c r="DD572" t="s">
        <v>134</v>
      </c>
      <c r="DE572" t="s">
        <v>134</v>
      </c>
      <c r="DF572" t="s">
        <v>134</v>
      </c>
      <c r="DG572" t="s">
        <v>134</v>
      </c>
      <c r="DH572" t="s">
        <v>134</v>
      </c>
      <c r="DI572" t="s">
        <v>134</v>
      </c>
    </row>
    <row r="573" spans="4:113" x14ac:dyDescent="0.3">
      <c r="D573" t="s">
        <v>11</v>
      </c>
      <c r="E573" t="s">
        <v>3</v>
      </c>
      <c r="F573">
        <v>23.462800000000001</v>
      </c>
      <c r="G573">
        <v>14.2318</v>
      </c>
      <c r="H573">
        <v>21.982299999999999</v>
      </c>
      <c r="I573">
        <v>18.111499999999999</v>
      </c>
      <c r="J573">
        <v>10.825200000000001</v>
      </c>
      <c r="K573">
        <v>9.4798000000000009</v>
      </c>
      <c r="L573">
        <v>11.3245</v>
      </c>
      <c r="M573">
        <v>10.090999999999999</v>
      </c>
      <c r="N573">
        <v>6.8971999999999998</v>
      </c>
      <c r="O573">
        <v>6.8971999999999998</v>
      </c>
      <c r="P573">
        <v>6.8971999999999998</v>
      </c>
      <c r="Q573">
        <v>31.650099999999998</v>
      </c>
      <c r="R573">
        <v>31.983899999999998</v>
      </c>
      <c r="S573">
        <v>15.958500000000001</v>
      </c>
      <c r="T573">
        <v>24.303599999999999</v>
      </c>
      <c r="U573">
        <v>27.777999999999999</v>
      </c>
      <c r="V573">
        <v>30.4741</v>
      </c>
      <c r="W573">
        <v>22.4771</v>
      </c>
      <c r="X573">
        <v>22.4543</v>
      </c>
      <c r="Y573">
        <v>-10</v>
      </c>
      <c r="Z573">
        <v>36.316000000000003</v>
      </c>
      <c r="AA573">
        <v>-9.1430000000000007</v>
      </c>
      <c r="AB573">
        <v>-2.5930999999999997</v>
      </c>
      <c r="AC573">
        <v>13.1594</v>
      </c>
      <c r="AD573">
        <v>-29.131900000000002</v>
      </c>
      <c r="AE573">
        <v>52.078699999999998</v>
      </c>
      <c r="AF573">
        <v>66.197299999999998</v>
      </c>
      <c r="AG573" t="s">
        <v>134</v>
      </c>
      <c r="AH573">
        <v>-49.420999999999999</v>
      </c>
      <c r="AI573">
        <v>19.966200000000001</v>
      </c>
      <c r="AJ573">
        <v>9.5165000000000006</v>
      </c>
      <c r="AK573">
        <v>19.966200000000001</v>
      </c>
      <c r="AL573">
        <v>50.0578</v>
      </c>
      <c r="AM573">
        <v>-0.55840000000000001</v>
      </c>
      <c r="AN573">
        <v>11.250500000000001</v>
      </c>
      <c r="AO573">
        <v>10.5457</v>
      </c>
      <c r="AP573">
        <v>12.924799999999999</v>
      </c>
      <c r="AQ573">
        <v>12.931000000000001</v>
      </c>
      <c r="AR573">
        <v>29.199400000000001</v>
      </c>
      <c r="AS573">
        <v>-0.46949999999999997</v>
      </c>
      <c r="AT573">
        <v>-13.879</v>
      </c>
      <c r="AU573">
        <v>4.2981999999999996</v>
      </c>
      <c r="AV573">
        <v>7.2743000000000002</v>
      </c>
      <c r="AW573">
        <v>5.9073000000000002</v>
      </c>
      <c r="AX573">
        <v>46.5366</v>
      </c>
      <c r="AY573">
        <v>-7.3322000000000003</v>
      </c>
      <c r="AZ573" t="s">
        <v>134</v>
      </c>
      <c r="BA573">
        <v>-23.049299999999999</v>
      </c>
      <c r="BB573">
        <v>17.132999999999999</v>
      </c>
      <c r="BC573">
        <v>8.0259999999999998</v>
      </c>
      <c r="BD573">
        <v>17.132999999999999</v>
      </c>
      <c r="BE573">
        <v>12.192500000000001</v>
      </c>
      <c r="BF573">
        <v>24.303599999999999</v>
      </c>
      <c r="BG573">
        <v>27.777999999999999</v>
      </c>
      <c r="BH573">
        <v>30.4741</v>
      </c>
      <c r="BI573">
        <v>22.4771</v>
      </c>
      <c r="BJ573">
        <v>22.4543</v>
      </c>
      <c r="BK573">
        <v>-10</v>
      </c>
      <c r="BL573">
        <v>36.316000000000003</v>
      </c>
      <c r="BM573">
        <v>-9.1430000000000007</v>
      </c>
      <c r="BN573">
        <v>-2.5930999999999997</v>
      </c>
      <c r="BO573">
        <v>13.1594</v>
      </c>
      <c r="BP573">
        <v>-29.131900000000002</v>
      </c>
      <c r="BQ573">
        <v>52.078699999999998</v>
      </c>
      <c r="BR573">
        <v>66.197299999999998</v>
      </c>
      <c r="BS573" t="s">
        <v>134</v>
      </c>
      <c r="BT573">
        <v>-49.420999999999999</v>
      </c>
      <c r="BU573">
        <v>19.966200000000001</v>
      </c>
      <c r="BV573">
        <v>9.5165000000000006</v>
      </c>
      <c r="BW573">
        <v>19.966200000000001</v>
      </c>
      <c r="BX573">
        <v>50.0578</v>
      </c>
      <c r="BY573">
        <v>7334.1</v>
      </c>
      <c r="BZ573">
        <v>0</v>
      </c>
      <c r="CA573">
        <v>7334.1</v>
      </c>
      <c r="CB573">
        <v>0.22140000000000001</v>
      </c>
      <c r="CC573">
        <v>-1.2317</v>
      </c>
      <c r="CD573">
        <v>0.25280000000000002</v>
      </c>
      <c r="CE573">
        <v>-1.4064999999999999</v>
      </c>
      <c r="CF573">
        <v>21.195</v>
      </c>
      <c r="CG573">
        <v>62.3155</v>
      </c>
      <c r="CH573">
        <v>7.4752000000000001</v>
      </c>
      <c r="CI573">
        <v>6.9551999999999996</v>
      </c>
      <c r="CJ573">
        <v>4.6581999999999999</v>
      </c>
      <c r="CK573">
        <v>7.4752000000000001</v>
      </c>
      <c r="CL573">
        <v>6.9551999999999996</v>
      </c>
      <c r="CM573">
        <v>4.6581999999999999</v>
      </c>
      <c r="CN573">
        <v>-41.582000000000001</v>
      </c>
      <c r="CO573">
        <v>-71.180099999999996</v>
      </c>
      <c r="CP573">
        <v>33123.5</v>
      </c>
      <c r="CQ573">
        <v>31390.5</v>
      </c>
      <c r="CR573">
        <v>29007</v>
      </c>
      <c r="CS573">
        <v>1.6827999999999999</v>
      </c>
      <c r="CT573">
        <v>2.4567999999999999</v>
      </c>
      <c r="CU573">
        <v>2.2597999999999998</v>
      </c>
      <c r="CV573">
        <v>7.0298999999999996</v>
      </c>
      <c r="CW573">
        <v>21.388000000000002</v>
      </c>
      <c r="CX573">
        <v>17.0657</v>
      </c>
      <c r="CY573">
        <v>52.595500000000001</v>
      </c>
      <c r="CZ573">
        <v>6.9398</v>
      </c>
      <c r="DA573">
        <v>21.539000000000001</v>
      </c>
      <c r="DB573">
        <v>16.946000000000002</v>
      </c>
      <c r="DC573">
        <v>7.0594000000000001</v>
      </c>
      <c r="DD573">
        <v>24.005400000000002</v>
      </c>
      <c r="DE573">
        <v>4911</v>
      </c>
      <c r="DF573">
        <v>2195.5</v>
      </c>
      <c r="DG573">
        <v>0</v>
      </c>
      <c r="DH573">
        <v>1937.6</v>
      </c>
      <c r="DI573">
        <v>777.9</v>
      </c>
    </row>
    <row r="574" spans="4:113" x14ac:dyDescent="0.3">
      <c r="E574" t="s">
        <v>4</v>
      </c>
      <c r="F574" t="s">
        <v>134</v>
      </c>
      <c r="G574" t="s">
        <v>134</v>
      </c>
      <c r="H574" t="s">
        <v>134</v>
      </c>
      <c r="I574" t="s">
        <v>134</v>
      </c>
      <c r="J574" t="s">
        <v>134</v>
      </c>
      <c r="K574" t="s">
        <v>134</v>
      </c>
      <c r="L574" t="s">
        <v>134</v>
      </c>
      <c r="M574" t="s">
        <v>134</v>
      </c>
      <c r="N574" t="s">
        <v>134</v>
      </c>
      <c r="O574" t="s">
        <v>134</v>
      </c>
      <c r="P574" t="s">
        <v>134</v>
      </c>
      <c r="Q574" t="s">
        <v>134</v>
      </c>
      <c r="R574" t="s">
        <v>134</v>
      </c>
      <c r="S574" t="s">
        <v>134</v>
      </c>
      <c r="T574" t="s">
        <v>134</v>
      </c>
      <c r="U574" t="s">
        <v>134</v>
      </c>
      <c r="V574" t="s">
        <v>134</v>
      </c>
      <c r="W574" t="s">
        <v>134</v>
      </c>
      <c r="X574" t="s">
        <v>134</v>
      </c>
      <c r="Y574" t="s">
        <v>134</v>
      </c>
      <c r="Z574" t="s">
        <v>134</v>
      </c>
      <c r="AA574" t="s">
        <v>134</v>
      </c>
      <c r="AB574" t="s">
        <v>134</v>
      </c>
      <c r="AC574" t="s">
        <v>134</v>
      </c>
      <c r="AD574" t="s">
        <v>134</v>
      </c>
      <c r="AE574" t="s">
        <v>134</v>
      </c>
      <c r="AF574" t="s">
        <v>134</v>
      </c>
      <c r="AG574" t="s">
        <v>134</v>
      </c>
      <c r="AH574" t="s">
        <v>134</v>
      </c>
      <c r="AI574" t="s">
        <v>134</v>
      </c>
      <c r="AJ574" t="s">
        <v>134</v>
      </c>
      <c r="AK574" t="s">
        <v>134</v>
      </c>
      <c r="AL574" t="s">
        <v>134</v>
      </c>
      <c r="AM574" t="s">
        <v>134</v>
      </c>
      <c r="AN574" t="s">
        <v>134</v>
      </c>
      <c r="AO574" t="s">
        <v>134</v>
      </c>
      <c r="AP574" t="s">
        <v>134</v>
      </c>
      <c r="AQ574" t="s">
        <v>134</v>
      </c>
      <c r="AR574" t="s">
        <v>134</v>
      </c>
      <c r="AS574" t="s">
        <v>134</v>
      </c>
      <c r="AT574" t="s">
        <v>134</v>
      </c>
      <c r="AU574" t="s">
        <v>134</v>
      </c>
      <c r="AV574" t="s">
        <v>134</v>
      </c>
      <c r="AW574" t="s">
        <v>134</v>
      </c>
      <c r="AX574" t="s">
        <v>134</v>
      </c>
      <c r="AY574" t="s">
        <v>134</v>
      </c>
      <c r="AZ574" t="s">
        <v>134</v>
      </c>
      <c r="BA574" t="s">
        <v>134</v>
      </c>
      <c r="BB574" t="s">
        <v>134</v>
      </c>
      <c r="BC574" t="s">
        <v>134</v>
      </c>
      <c r="BD574" t="s">
        <v>134</v>
      </c>
      <c r="BE574" t="s">
        <v>134</v>
      </c>
      <c r="BF574" t="s">
        <v>134</v>
      </c>
      <c r="BG574" t="s">
        <v>134</v>
      </c>
      <c r="BH574" t="s">
        <v>134</v>
      </c>
      <c r="BI574" t="s">
        <v>134</v>
      </c>
      <c r="BJ574" t="s">
        <v>134</v>
      </c>
      <c r="BK574" t="s">
        <v>134</v>
      </c>
      <c r="BL574" t="s">
        <v>134</v>
      </c>
      <c r="BM574" t="s">
        <v>134</v>
      </c>
      <c r="BN574" t="s">
        <v>134</v>
      </c>
      <c r="BO574" t="s">
        <v>134</v>
      </c>
      <c r="BP574" t="s">
        <v>134</v>
      </c>
      <c r="BQ574" t="s">
        <v>134</v>
      </c>
      <c r="BR574" t="s">
        <v>134</v>
      </c>
      <c r="BS574" t="s">
        <v>134</v>
      </c>
      <c r="BT574" t="s">
        <v>134</v>
      </c>
      <c r="BU574" t="s">
        <v>134</v>
      </c>
      <c r="BV574" t="s">
        <v>134</v>
      </c>
      <c r="BW574" t="s">
        <v>134</v>
      </c>
      <c r="BX574" t="s">
        <v>134</v>
      </c>
      <c r="BY574" t="s">
        <v>134</v>
      </c>
      <c r="BZ574" t="s">
        <v>134</v>
      </c>
      <c r="CA574" t="s">
        <v>134</v>
      </c>
      <c r="CB574" t="s">
        <v>134</v>
      </c>
      <c r="CC574" t="s">
        <v>134</v>
      </c>
      <c r="CD574" t="s">
        <v>134</v>
      </c>
      <c r="CE574" t="s">
        <v>134</v>
      </c>
      <c r="CF574" t="s">
        <v>134</v>
      </c>
      <c r="CG574" t="s">
        <v>134</v>
      </c>
      <c r="CH574" t="s">
        <v>134</v>
      </c>
      <c r="CI574" t="s">
        <v>134</v>
      </c>
      <c r="CJ574" t="s">
        <v>134</v>
      </c>
      <c r="CK574" t="s">
        <v>134</v>
      </c>
      <c r="CL574" t="s">
        <v>134</v>
      </c>
      <c r="CM574" t="s">
        <v>134</v>
      </c>
      <c r="CN574" t="s">
        <v>134</v>
      </c>
      <c r="CO574" t="s">
        <v>134</v>
      </c>
      <c r="CP574" t="s">
        <v>134</v>
      </c>
      <c r="CQ574" t="s">
        <v>134</v>
      </c>
      <c r="CR574" t="s">
        <v>134</v>
      </c>
      <c r="CS574" t="s">
        <v>134</v>
      </c>
      <c r="CT574" t="s">
        <v>134</v>
      </c>
      <c r="CU574" t="s">
        <v>134</v>
      </c>
      <c r="CV574" t="s">
        <v>134</v>
      </c>
      <c r="CW574" t="s">
        <v>134</v>
      </c>
      <c r="CX574" t="s">
        <v>134</v>
      </c>
      <c r="CY574" t="s">
        <v>134</v>
      </c>
      <c r="CZ574" t="s">
        <v>134</v>
      </c>
      <c r="DA574" t="s">
        <v>134</v>
      </c>
      <c r="DB574" t="s">
        <v>134</v>
      </c>
      <c r="DC574" t="s">
        <v>134</v>
      </c>
      <c r="DD574" t="s">
        <v>134</v>
      </c>
      <c r="DE574" t="s">
        <v>134</v>
      </c>
      <c r="DF574" t="s">
        <v>134</v>
      </c>
      <c r="DG574" t="s">
        <v>134</v>
      </c>
      <c r="DH574" t="s">
        <v>134</v>
      </c>
      <c r="DI574" t="s">
        <v>134</v>
      </c>
    </row>
    <row r="575" spans="4:113" x14ac:dyDescent="0.3">
      <c r="E575" t="s">
        <v>5</v>
      </c>
      <c r="F575" t="s">
        <v>134</v>
      </c>
      <c r="G575" t="s">
        <v>134</v>
      </c>
      <c r="H575" t="s">
        <v>134</v>
      </c>
      <c r="I575" t="s">
        <v>134</v>
      </c>
      <c r="J575" t="s">
        <v>134</v>
      </c>
      <c r="K575" t="s">
        <v>134</v>
      </c>
      <c r="L575" t="s">
        <v>134</v>
      </c>
      <c r="M575" t="s">
        <v>134</v>
      </c>
      <c r="N575" t="s">
        <v>134</v>
      </c>
      <c r="O575" t="s">
        <v>134</v>
      </c>
      <c r="P575" t="s">
        <v>134</v>
      </c>
      <c r="Q575" t="s">
        <v>134</v>
      </c>
      <c r="R575" t="s">
        <v>134</v>
      </c>
      <c r="S575" t="s">
        <v>134</v>
      </c>
      <c r="T575" t="s">
        <v>134</v>
      </c>
      <c r="U575" t="s">
        <v>134</v>
      </c>
      <c r="V575" t="s">
        <v>134</v>
      </c>
      <c r="W575" t="s">
        <v>134</v>
      </c>
      <c r="X575" t="s">
        <v>134</v>
      </c>
      <c r="Y575" t="s">
        <v>134</v>
      </c>
      <c r="Z575" t="s">
        <v>134</v>
      </c>
      <c r="AA575" t="s">
        <v>134</v>
      </c>
      <c r="AB575" t="s">
        <v>134</v>
      </c>
      <c r="AC575" t="s">
        <v>134</v>
      </c>
      <c r="AD575" t="s">
        <v>134</v>
      </c>
      <c r="AE575" t="s">
        <v>134</v>
      </c>
      <c r="AF575" t="s">
        <v>134</v>
      </c>
      <c r="AG575" t="s">
        <v>134</v>
      </c>
      <c r="AH575" t="s">
        <v>134</v>
      </c>
      <c r="AI575" t="s">
        <v>134</v>
      </c>
      <c r="AJ575" t="s">
        <v>134</v>
      </c>
      <c r="AK575" t="s">
        <v>134</v>
      </c>
      <c r="AL575" t="s">
        <v>134</v>
      </c>
      <c r="AM575" t="s">
        <v>134</v>
      </c>
      <c r="AN575" t="s">
        <v>134</v>
      </c>
      <c r="AO575" t="s">
        <v>134</v>
      </c>
      <c r="AP575" t="s">
        <v>134</v>
      </c>
      <c r="AQ575" t="s">
        <v>134</v>
      </c>
      <c r="AR575" t="s">
        <v>134</v>
      </c>
      <c r="AS575" t="s">
        <v>134</v>
      </c>
      <c r="AT575" t="s">
        <v>134</v>
      </c>
      <c r="AU575" t="s">
        <v>134</v>
      </c>
      <c r="AV575" t="s">
        <v>134</v>
      </c>
      <c r="AW575" t="s">
        <v>134</v>
      </c>
      <c r="AX575" t="s">
        <v>134</v>
      </c>
      <c r="AY575" t="s">
        <v>134</v>
      </c>
      <c r="AZ575" t="s">
        <v>134</v>
      </c>
      <c r="BA575" t="s">
        <v>134</v>
      </c>
      <c r="BB575" t="s">
        <v>134</v>
      </c>
      <c r="BC575" t="s">
        <v>134</v>
      </c>
      <c r="BD575" t="s">
        <v>134</v>
      </c>
      <c r="BE575" t="s">
        <v>134</v>
      </c>
      <c r="BF575" t="s">
        <v>134</v>
      </c>
      <c r="BG575" t="s">
        <v>134</v>
      </c>
      <c r="BH575" t="s">
        <v>134</v>
      </c>
      <c r="BI575" t="s">
        <v>134</v>
      </c>
      <c r="BJ575" t="s">
        <v>134</v>
      </c>
      <c r="BK575" t="s">
        <v>134</v>
      </c>
      <c r="BL575" t="s">
        <v>134</v>
      </c>
      <c r="BM575" t="s">
        <v>134</v>
      </c>
      <c r="BN575" t="s">
        <v>134</v>
      </c>
      <c r="BO575" t="s">
        <v>134</v>
      </c>
      <c r="BP575" t="s">
        <v>134</v>
      </c>
      <c r="BQ575" t="s">
        <v>134</v>
      </c>
      <c r="BR575" t="s">
        <v>134</v>
      </c>
      <c r="BS575" t="s">
        <v>134</v>
      </c>
      <c r="BT575" t="s">
        <v>134</v>
      </c>
      <c r="BU575" t="s">
        <v>134</v>
      </c>
      <c r="BV575" t="s">
        <v>134</v>
      </c>
      <c r="BW575" t="s">
        <v>134</v>
      </c>
      <c r="BX575" t="s">
        <v>134</v>
      </c>
      <c r="BY575" t="s">
        <v>134</v>
      </c>
      <c r="BZ575" t="s">
        <v>134</v>
      </c>
      <c r="CA575" t="s">
        <v>134</v>
      </c>
      <c r="CB575" t="s">
        <v>134</v>
      </c>
      <c r="CC575" t="s">
        <v>134</v>
      </c>
      <c r="CD575" t="s">
        <v>134</v>
      </c>
      <c r="CE575" t="s">
        <v>134</v>
      </c>
      <c r="CF575" t="s">
        <v>134</v>
      </c>
      <c r="CG575" t="s">
        <v>134</v>
      </c>
      <c r="CH575" t="s">
        <v>134</v>
      </c>
      <c r="CI575" t="s">
        <v>134</v>
      </c>
      <c r="CJ575" t="s">
        <v>134</v>
      </c>
      <c r="CK575" t="s">
        <v>134</v>
      </c>
      <c r="CL575" t="s">
        <v>134</v>
      </c>
      <c r="CM575" t="s">
        <v>134</v>
      </c>
      <c r="CN575" t="s">
        <v>134</v>
      </c>
      <c r="CO575" t="s">
        <v>134</v>
      </c>
      <c r="CP575" t="s">
        <v>134</v>
      </c>
      <c r="CQ575" t="s">
        <v>134</v>
      </c>
      <c r="CR575" t="s">
        <v>134</v>
      </c>
      <c r="CS575" t="s">
        <v>134</v>
      </c>
      <c r="CT575" t="s">
        <v>134</v>
      </c>
      <c r="CU575" t="s">
        <v>134</v>
      </c>
      <c r="CV575" t="s">
        <v>134</v>
      </c>
      <c r="CW575" t="s">
        <v>134</v>
      </c>
      <c r="CX575" t="s">
        <v>134</v>
      </c>
      <c r="CY575" t="s">
        <v>134</v>
      </c>
      <c r="CZ575" t="s">
        <v>134</v>
      </c>
      <c r="DA575" t="s">
        <v>134</v>
      </c>
      <c r="DB575" t="s">
        <v>134</v>
      </c>
      <c r="DC575" t="s">
        <v>134</v>
      </c>
      <c r="DD575" t="s">
        <v>134</v>
      </c>
      <c r="DE575" t="s">
        <v>134</v>
      </c>
      <c r="DF575" t="s">
        <v>134</v>
      </c>
      <c r="DG575" t="s">
        <v>134</v>
      </c>
      <c r="DH575" t="s">
        <v>134</v>
      </c>
      <c r="DI575" t="s">
        <v>134</v>
      </c>
    </row>
    <row r="576" spans="4:113" x14ac:dyDescent="0.3">
      <c r="E576" t="s">
        <v>6</v>
      </c>
      <c r="F576" t="s">
        <v>134</v>
      </c>
      <c r="G576" t="s">
        <v>134</v>
      </c>
      <c r="H576" t="s">
        <v>134</v>
      </c>
      <c r="I576" t="s">
        <v>134</v>
      </c>
      <c r="J576" t="s">
        <v>134</v>
      </c>
      <c r="K576" t="s">
        <v>134</v>
      </c>
      <c r="L576" t="s">
        <v>134</v>
      </c>
      <c r="M576" t="s">
        <v>134</v>
      </c>
      <c r="N576" t="s">
        <v>134</v>
      </c>
      <c r="O576" t="s">
        <v>134</v>
      </c>
      <c r="P576" t="s">
        <v>134</v>
      </c>
      <c r="Q576" t="s">
        <v>134</v>
      </c>
      <c r="R576" t="s">
        <v>134</v>
      </c>
      <c r="S576" t="s">
        <v>134</v>
      </c>
      <c r="T576" t="s">
        <v>134</v>
      </c>
      <c r="U576" t="s">
        <v>134</v>
      </c>
      <c r="V576" t="s">
        <v>134</v>
      </c>
      <c r="W576" t="s">
        <v>134</v>
      </c>
      <c r="X576" t="s">
        <v>134</v>
      </c>
      <c r="Y576" t="s">
        <v>134</v>
      </c>
      <c r="Z576" t="s">
        <v>134</v>
      </c>
      <c r="AA576" t="s">
        <v>134</v>
      </c>
      <c r="AB576" t="s">
        <v>134</v>
      </c>
      <c r="AC576" t="s">
        <v>134</v>
      </c>
      <c r="AD576" t="s">
        <v>134</v>
      </c>
      <c r="AE576" t="s">
        <v>134</v>
      </c>
      <c r="AF576" t="s">
        <v>134</v>
      </c>
      <c r="AG576" t="s">
        <v>134</v>
      </c>
      <c r="AH576" t="s">
        <v>134</v>
      </c>
      <c r="AI576" t="s">
        <v>134</v>
      </c>
      <c r="AJ576" t="s">
        <v>134</v>
      </c>
      <c r="AK576" t="s">
        <v>134</v>
      </c>
      <c r="AL576" t="s">
        <v>134</v>
      </c>
      <c r="AM576" t="s">
        <v>134</v>
      </c>
      <c r="AN576" t="s">
        <v>134</v>
      </c>
      <c r="AO576" t="s">
        <v>134</v>
      </c>
      <c r="AP576" t="s">
        <v>134</v>
      </c>
      <c r="AQ576" t="s">
        <v>134</v>
      </c>
      <c r="AR576" t="s">
        <v>134</v>
      </c>
      <c r="AS576" t="s">
        <v>134</v>
      </c>
      <c r="AT576" t="s">
        <v>134</v>
      </c>
      <c r="AU576" t="s">
        <v>134</v>
      </c>
      <c r="AV576" t="s">
        <v>134</v>
      </c>
      <c r="AW576" t="s">
        <v>134</v>
      </c>
      <c r="AX576" t="s">
        <v>134</v>
      </c>
      <c r="AY576" t="s">
        <v>134</v>
      </c>
      <c r="AZ576" t="s">
        <v>134</v>
      </c>
      <c r="BA576" t="s">
        <v>134</v>
      </c>
      <c r="BB576" t="s">
        <v>134</v>
      </c>
      <c r="BC576" t="s">
        <v>134</v>
      </c>
      <c r="BD576" t="s">
        <v>134</v>
      </c>
      <c r="BE576" t="s">
        <v>134</v>
      </c>
      <c r="BF576" t="s">
        <v>134</v>
      </c>
      <c r="BG576" t="s">
        <v>134</v>
      </c>
      <c r="BH576" t="s">
        <v>134</v>
      </c>
      <c r="BI576" t="s">
        <v>134</v>
      </c>
      <c r="BJ576" t="s">
        <v>134</v>
      </c>
      <c r="BK576" t="s">
        <v>134</v>
      </c>
      <c r="BL576" t="s">
        <v>134</v>
      </c>
      <c r="BM576" t="s">
        <v>134</v>
      </c>
      <c r="BN576" t="s">
        <v>134</v>
      </c>
      <c r="BO576" t="s">
        <v>134</v>
      </c>
      <c r="BP576" t="s">
        <v>134</v>
      </c>
      <c r="BQ576" t="s">
        <v>134</v>
      </c>
      <c r="BR576" t="s">
        <v>134</v>
      </c>
      <c r="BS576" t="s">
        <v>134</v>
      </c>
      <c r="BT576" t="s">
        <v>134</v>
      </c>
      <c r="BU576" t="s">
        <v>134</v>
      </c>
      <c r="BV576" t="s">
        <v>134</v>
      </c>
      <c r="BW576" t="s">
        <v>134</v>
      </c>
      <c r="BX576" t="s">
        <v>134</v>
      </c>
      <c r="BY576" t="s">
        <v>134</v>
      </c>
      <c r="BZ576" t="s">
        <v>134</v>
      </c>
      <c r="CA576" t="s">
        <v>134</v>
      </c>
      <c r="CB576" t="s">
        <v>134</v>
      </c>
      <c r="CC576" t="s">
        <v>134</v>
      </c>
      <c r="CD576" t="s">
        <v>134</v>
      </c>
      <c r="CE576" t="s">
        <v>134</v>
      </c>
      <c r="CF576" t="s">
        <v>134</v>
      </c>
      <c r="CG576" t="s">
        <v>134</v>
      </c>
      <c r="CH576" t="s">
        <v>134</v>
      </c>
      <c r="CI576" t="s">
        <v>134</v>
      </c>
      <c r="CJ576" t="s">
        <v>134</v>
      </c>
      <c r="CK576" t="s">
        <v>134</v>
      </c>
      <c r="CL576" t="s">
        <v>134</v>
      </c>
      <c r="CM576" t="s">
        <v>134</v>
      </c>
      <c r="CN576" t="s">
        <v>134</v>
      </c>
      <c r="CO576" t="s">
        <v>134</v>
      </c>
      <c r="CP576" t="s">
        <v>134</v>
      </c>
      <c r="CQ576" t="s">
        <v>134</v>
      </c>
      <c r="CR576" t="s">
        <v>134</v>
      </c>
      <c r="CS576" t="s">
        <v>134</v>
      </c>
      <c r="CT576" t="s">
        <v>134</v>
      </c>
      <c r="CU576" t="s">
        <v>134</v>
      </c>
      <c r="CV576" t="s">
        <v>134</v>
      </c>
      <c r="CW576" t="s">
        <v>134</v>
      </c>
      <c r="CX576" t="s">
        <v>134</v>
      </c>
      <c r="CY576" t="s">
        <v>134</v>
      </c>
      <c r="CZ576" t="s">
        <v>134</v>
      </c>
      <c r="DA576" t="s">
        <v>134</v>
      </c>
      <c r="DB576" t="s">
        <v>134</v>
      </c>
      <c r="DC576" t="s">
        <v>134</v>
      </c>
      <c r="DD576" t="s">
        <v>134</v>
      </c>
      <c r="DE576" t="s">
        <v>134</v>
      </c>
      <c r="DF576" t="s">
        <v>134</v>
      </c>
      <c r="DG576" t="s">
        <v>134</v>
      </c>
      <c r="DH576" t="s">
        <v>134</v>
      </c>
      <c r="DI576" t="s">
        <v>134</v>
      </c>
    </row>
    <row r="577" spans="1:113" x14ac:dyDescent="0.3">
      <c r="E577" t="s">
        <v>7</v>
      </c>
      <c r="F577" t="s">
        <v>134</v>
      </c>
      <c r="G577" t="s">
        <v>134</v>
      </c>
      <c r="H577" t="s">
        <v>134</v>
      </c>
      <c r="I577" t="s">
        <v>134</v>
      </c>
      <c r="J577" t="s">
        <v>134</v>
      </c>
      <c r="K577" t="s">
        <v>134</v>
      </c>
      <c r="L577" t="s">
        <v>134</v>
      </c>
      <c r="M577" t="s">
        <v>134</v>
      </c>
      <c r="N577" t="s">
        <v>134</v>
      </c>
      <c r="O577" t="s">
        <v>134</v>
      </c>
      <c r="P577" t="s">
        <v>134</v>
      </c>
      <c r="Q577" t="s">
        <v>134</v>
      </c>
      <c r="R577" t="s">
        <v>134</v>
      </c>
      <c r="S577" t="s">
        <v>134</v>
      </c>
      <c r="T577" t="s">
        <v>134</v>
      </c>
      <c r="U577" t="s">
        <v>134</v>
      </c>
      <c r="V577" t="s">
        <v>134</v>
      </c>
      <c r="W577" t="s">
        <v>134</v>
      </c>
      <c r="X577" t="s">
        <v>134</v>
      </c>
      <c r="Y577" t="s">
        <v>134</v>
      </c>
      <c r="Z577" t="s">
        <v>134</v>
      </c>
      <c r="AA577" t="s">
        <v>134</v>
      </c>
      <c r="AB577" t="s">
        <v>134</v>
      </c>
      <c r="AC577" t="s">
        <v>134</v>
      </c>
      <c r="AD577" t="s">
        <v>134</v>
      </c>
      <c r="AE577" t="s">
        <v>134</v>
      </c>
      <c r="AF577" t="s">
        <v>134</v>
      </c>
      <c r="AG577" t="s">
        <v>134</v>
      </c>
      <c r="AH577" t="s">
        <v>134</v>
      </c>
      <c r="AI577" t="s">
        <v>134</v>
      </c>
      <c r="AJ577" t="s">
        <v>134</v>
      </c>
      <c r="AK577" t="s">
        <v>134</v>
      </c>
      <c r="AL577" t="s">
        <v>134</v>
      </c>
      <c r="AM577" t="s">
        <v>134</v>
      </c>
      <c r="AN577" t="s">
        <v>134</v>
      </c>
      <c r="AO577" t="s">
        <v>134</v>
      </c>
      <c r="AP577" t="s">
        <v>134</v>
      </c>
      <c r="AQ577" t="s">
        <v>134</v>
      </c>
      <c r="AR577" t="s">
        <v>134</v>
      </c>
      <c r="AS577" t="s">
        <v>134</v>
      </c>
      <c r="AT577" t="s">
        <v>134</v>
      </c>
      <c r="AU577" t="s">
        <v>134</v>
      </c>
      <c r="AV577" t="s">
        <v>134</v>
      </c>
      <c r="AW577" t="s">
        <v>134</v>
      </c>
      <c r="AX577" t="s">
        <v>134</v>
      </c>
      <c r="AY577" t="s">
        <v>134</v>
      </c>
      <c r="AZ577" t="s">
        <v>134</v>
      </c>
      <c r="BA577" t="s">
        <v>134</v>
      </c>
      <c r="BB577" t="s">
        <v>134</v>
      </c>
      <c r="BC577" t="s">
        <v>134</v>
      </c>
      <c r="BD577" t="s">
        <v>134</v>
      </c>
      <c r="BE577" t="s">
        <v>134</v>
      </c>
      <c r="BF577" t="s">
        <v>134</v>
      </c>
      <c r="BG577" t="s">
        <v>134</v>
      </c>
      <c r="BH577" t="s">
        <v>134</v>
      </c>
      <c r="BI577" t="s">
        <v>134</v>
      </c>
      <c r="BJ577" t="s">
        <v>134</v>
      </c>
      <c r="BK577" t="s">
        <v>134</v>
      </c>
      <c r="BL577" t="s">
        <v>134</v>
      </c>
      <c r="BM577" t="s">
        <v>134</v>
      </c>
      <c r="BN577" t="s">
        <v>134</v>
      </c>
      <c r="BO577" t="s">
        <v>134</v>
      </c>
      <c r="BP577" t="s">
        <v>134</v>
      </c>
      <c r="BQ577" t="s">
        <v>134</v>
      </c>
      <c r="BR577" t="s">
        <v>134</v>
      </c>
      <c r="BS577" t="s">
        <v>134</v>
      </c>
      <c r="BT577" t="s">
        <v>134</v>
      </c>
      <c r="BU577" t="s">
        <v>134</v>
      </c>
      <c r="BV577" t="s">
        <v>134</v>
      </c>
      <c r="BW577" t="s">
        <v>134</v>
      </c>
      <c r="BX577" t="s">
        <v>134</v>
      </c>
      <c r="BY577" t="s">
        <v>134</v>
      </c>
      <c r="BZ577" t="s">
        <v>134</v>
      </c>
      <c r="CA577" t="s">
        <v>134</v>
      </c>
      <c r="CB577" t="s">
        <v>134</v>
      </c>
      <c r="CC577" t="s">
        <v>134</v>
      </c>
      <c r="CD577" t="s">
        <v>134</v>
      </c>
      <c r="CE577" t="s">
        <v>134</v>
      </c>
      <c r="CF577" t="s">
        <v>134</v>
      </c>
      <c r="CG577" t="s">
        <v>134</v>
      </c>
      <c r="CH577" t="s">
        <v>134</v>
      </c>
      <c r="CI577" t="s">
        <v>134</v>
      </c>
      <c r="CJ577" t="s">
        <v>134</v>
      </c>
      <c r="CK577" t="s">
        <v>134</v>
      </c>
      <c r="CL577" t="s">
        <v>134</v>
      </c>
      <c r="CM577" t="s">
        <v>134</v>
      </c>
      <c r="CN577" t="s">
        <v>134</v>
      </c>
      <c r="CO577" t="s">
        <v>134</v>
      </c>
      <c r="CP577" t="s">
        <v>134</v>
      </c>
      <c r="CQ577" t="s">
        <v>134</v>
      </c>
      <c r="CR577" t="s">
        <v>134</v>
      </c>
      <c r="CS577" t="s">
        <v>134</v>
      </c>
      <c r="CT577" t="s">
        <v>134</v>
      </c>
      <c r="CU577" t="s">
        <v>134</v>
      </c>
      <c r="CV577" t="s">
        <v>134</v>
      </c>
      <c r="CW577" t="s">
        <v>134</v>
      </c>
      <c r="CX577" t="s">
        <v>134</v>
      </c>
      <c r="CY577" t="s">
        <v>134</v>
      </c>
      <c r="CZ577" t="s">
        <v>134</v>
      </c>
      <c r="DA577" t="s">
        <v>134</v>
      </c>
      <c r="DB577" t="s">
        <v>134</v>
      </c>
      <c r="DC577" t="s">
        <v>134</v>
      </c>
      <c r="DD577" t="s">
        <v>134</v>
      </c>
      <c r="DE577" t="s">
        <v>134</v>
      </c>
      <c r="DF577" t="s">
        <v>134</v>
      </c>
      <c r="DG577" t="s">
        <v>134</v>
      </c>
      <c r="DH577" t="s">
        <v>134</v>
      </c>
      <c r="DI577" t="s">
        <v>134</v>
      </c>
    </row>
    <row r="578" spans="1:113" x14ac:dyDescent="0.3">
      <c r="A578">
        <v>74</v>
      </c>
      <c r="B578" t="s">
        <v>56</v>
      </c>
      <c r="C578" t="s">
        <v>57</v>
      </c>
      <c r="D578" t="s">
        <v>2</v>
      </c>
      <c r="E578" t="s">
        <v>3</v>
      </c>
      <c r="F578">
        <v>24.960799999999999</v>
      </c>
      <c r="G578">
        <v>16.225999999999999</v>
      </c>
      <c r="H578">
        <v>24.533899999999999</v>
      </c>
      <c r="I578">
        <v>22.151399999999999</v>
      </c>
      <c r="J578">
        <v>15.89</v>
      </c>
      <c r="K578">
        <v>13.985099999999999</v>
      </c>
      <c r="L578">
        <v>11.577299999999999</v>
      </c>
      <c r="M578">
        <v>14.372</v>
      </c>
      <c r="N578">
        <v>10.564299999999999</v>
      </c>
      <c r="O578">
        <v>10.557499999999999</v>
      </c>
      <c r="P578">
        <v>10.557499999999999</v>
      </c>
      <c r="Q578">
        <v>26.990400000000001</v>
      </c>
      <c r="R578">
        <v>30.7712</v>
      </c>
      <c r="S578">
        <v>17.280100000000001</v>
      </c>
      <c r="T578">
        <v>16.479399999999998</v>
      </c>
      <c r="U578">
        <v>13.851100000000001</v>
      </c>
      <c r="V578">
        <v>13.265700000000001</v>
      </c>
      <c r="W578">
        <v>6.0945</v>
      </c>
      <c r="X578">
        <v>5.4086999999999996</v>
      </c>
      <c r="Y578">
        <v>3.8462000000000001</v>
      </c>
      <c r="Z578">
        <v>21.813800000000001</v>
      </c>
      <c r="AA578">
        <v>14.5367</v>
      </c>
      <c r="AB578">
        <v>5.5488999999999997</v>
      </c>
      <c r="AC578">
        <v>11.9407</v>
      </c>
      <c r="AD578">
        <v>10.3293</v>
      </c>
      <c r="AE578">
        <v>40.156799999999997</v>
      </c>
      <c r="AF578">
        <v>38.904400000000003</v>
      </c>
      <c r="AG578">
        <v>-58.705399999999997</v>
      </c>
      <c r="AH578">
        <v>-58.705399999999997</v>
      </c>
      <c r="AI578">
        <v>18.4145</v>
      </c>
      <c r="AJ578">
        <v>13.550599999999999</v>
      </c>
      <c r="AK578">
        <v>18.230899999999998</v>
      </c>
      <c r="AL578">
        <v>-8.8391999999999999</v>
      </c>
      <c r="AM578">
        <v>16.488800000000001</v>
      </c>
      <c r="AN578">
        <v>23.204999999999998</v>
      </c>
      <c r="AO578">
        <v>27.097999999999999</v>
      </c>
      <c r="AP578">
        <v>32.085599999999999</v>
      </c>
      <c r="AQ578">
        <v>32.3521</v>
      </c>
      <c r="AR578">
        <v>25.276900000000001</v>
      </c>
      <c r="AS578">
        <v>12.764900000000001</v>
      </c>
      <c r="AT578">
        <v>16.4682</v>
      </c>
      <c r="AU578">
        <v>7.9155999999999995</v>
      </c>
      <c r="AV578">
        <v>11.6594</v>
      </c>
      <c r="AW578">
        <v>10.7363</v>
      </c>
      <c r="AX578">
        <v>12.2723</v>
      </c>
      <c r="AY578">
        <v>28.0291</v>
      </c>
      <c r="AZ578">
        <v>-7.4690000000000003</v>
      </c>
      <c r="BA578">
        <v>-40.414900000000003</v>
      </c>
      <c r="BB578">
        <v>23.009899999999998</v>
      </c>
      <c r="BC578">
        <v>8.9212000000000007</v>
      </c>
      <c r="BD578">
        <v>22.666899999999998</v>
      </c>
      <c r="BE578">
        <v>10.2828</v>
      </c>
      <c r="BF578">
        <v>16.479399999999998</v>
      </c>
      <c r="BG578">
        <v>13.851100000000001</v>
      </c>
      <c r="BH578">
        <v>13.265700000000001</v>
      </c>
      <c r="BI578">
        <v>6.0945</v>
      </c>
      <c r="BJ578">
        <v>5.4086999999999996</v>
      </c>
      <c r="BK578">
        <v>3.8462000000000001</v>
      </c>
      <c r="BL578">
        <v>21.813800000000001</v>
      </c>
      <c r="BM578">
        <v>14.5367</v>
      </c>
      <c r="BN578">
        <v>5.5488999999999997</v>
      </c>
      <c r="BO578">
        <v>11.9407</v>
      </c>
      <c r="BP578">
        <v>10.3293</v>
      </c>
      <c r="BQ578">
        <v>40.156799999999997</v>
      </c>
      <c r="BR578">
        <v>38.904400000000003</v>
      </c>
      <c r="BS578">
        <v>-58.705399999999997</v>
      </c>
      <c r="BT578">
        <v>-58.705399999999997</v>
      </c>
      <c r="BU578">
        <v>18.4145</v>
      </c>
      <c r="BV578">
        <v>13.550599999999999</v>
      </c>
      <c r="BW578">
        <v>18.230899999999998</v>
      </c>
      <c r="BX578">
        <v>-8.8391999999999999</v>
      </c>
      <c r="BY578">
        <v>459.34</v>
      </c>
      <c r="BZ578">
        <v>459.34</v>
      </c>
      <c r="CA578">
        <v>0</v>
      </c>
      <c r="CB578">
        <v>6.7799999999999999E-2</v>
      </c>
      <c r="CC578">
        <v>-0.53939999999999999</v>
      </c>
      <c r="CD578">
        <v>7.7100000000000002E-2</v>
      </c>
      <c r="CE578">
        <v>-0.6129</v>
      </c>
      <c r="CF578">
        <v>41.447899999999997</v>
      </c>
      <c r="CG578">
        <v>66.6798</v>
      </c>
      <c r="CH578">
        <v>0</v>
      </c>
      <c r="CI578">
        <v>0</v>
      </c>
      <c r="CJ578">
        <v>0</v>
      </c>
      <c r="CK578">
        <v>2.3473999999999999</v>
      </c>
      <c r="CL578">
        <v>2.2936000000000001</v>
      </c>
      <c r="CM578">
        <v>1.5686</v>
      </c>
      <c r="CN578">
        <v>-18.663399999999999</v>
      </c>
      <c r="CO578">
        <v>-22.945799999999998</v>
      </c>
      <c r="CP578">
        <v>6770.1</v>
      </c>
      <c r="CQ578">
        <v>4875.07</v>
      </c>
      <c r="CR578">
        <v>5958.5</v>
      </c>
      <c r="CS578">
        <v>0.46410000000000001</v>
      </c>
      <c r="CT578">
        <v>1.8528</v>
      </c>
      <c r="CU578">
        <v>1.056</v>
      </c>
      <c r="CV578">
        <v>12.327199999999999</v>
      </c>
      <c r="CW578">
        <v>8.9237000000000002</v>
      </c>
      <c r="CX578">
        <v>40.9024</v>
      </c>
      <c r="CY578">
        <v>4.3087999999999997</v>
      </c>
      <c r="CZ578">
        <v>84.711200000000005</v>
      </c>
      <c r="DA578">
        <v>8.3545999999999996</v>
      </c>
      <c r="DB578">
        <v>43.688499999999998</v>
      </c>
      <c r="DC578">
        <v>81.9251</v>
      </c>
      <c r="DD578">
        <v>125.61360000000001</v>
      </c>
      <c r="DE578">
        <v>5996.81</v>
      </c>
      <c r="DF578">
        <v>1829.51</v>
      </c>
      <c r="DG578">
        <v>593.37</v>
      </c>
      <c r="DH578">
        <v>2882.57</v>
      </c>
      <c r="DI578">
        <v>691.36</v>
      </c>
    </row>
    <row r="579" spans="1:113" x14ac:dyDescent="0.3">
      <c r="E579" t="s">
        <v>4</v>
      </c>
      <c r="F579" t="s">
        <v>134</v>
      </c>
      <c r="G579" t="s">
        <v>134</v>
      </c>
      <c r="H579" t="s">
        <v>134</v>
      </c>
      <c r="I579" t="s">
        <v>134</v>
      </c>
      <c r="J579">
        <v>20.3582</v>
      </c>
      <c r="K579">
        <v>18.732399999999998</v>
      </c>
      <c r="L579">
        <v>30.352899999999998</v>
      </c>
      <c r="M579">
        <v>19.776399999999999</v>
      </c>
      <c r="N579">
        <v>14.3992</v>
      </c>
      <c r="O579">
        <v>14.3894</v>
      </c>
      <c r="P579">
        <v>14.3894</v>
      </c>
      <c r="Q579">
        <v>27.031500000000001</v>
      </c>
      <c r="R579" t="s">
        <v>134</v>
      </c>
      <c r="S579" t="s">
        <v>134</v>
      </c>
      <c r="T579">
        <v>12.127700000000001</v>
      </c>
      <c r="U579">
        <v>20.519600000000001</v>
      </c>
      <c r="V579">
        <v>21.249600000000001</v>
      </c>
      <c r="W579">
        <v>25.753799999999998</v>
      </c>
      <c r="X579">
        <v>27.642299999999999</v>
      </c>
      <c r="Y579" t="s">
        <v>134</v>
      </c>
      <c r="Z579" t="s">
        <v>134</v>
      </c>
      <c r="AA579" t="s">
        <v>134</v>
      </c>
      <c r="AB579" t="s">
        <v>134</v>
      </c>
      <c r="AC579" t="s">
        <v>134</v>
      </c>
      <c r="AD579" t="s">
        <v>134</v>
      </c>
      <c r="AE579" t="s">
        <v>134</v>
      </c>
      <c r="AF579" t="s">
        <v>134</v>
      </c>
      <c r="AG579" t="s">
        <v>134</v>
      </c>
      <c r="AH579" t="s">
        <v>134</v>
      </c>
      <c r="AI579" t="s">
        <v>134</v>
      </c>
      <c r="AJ579" t="s">
        <v>134</v>
      </c>
      <c r="AK579" t="s">
        <v>134</v>
      </c>
      <c r="AL579" t="s">
        <v>134</v>
      </c>
      <c r="AM579" t="s">
        <v>134</v>
      </c>
      <c r="AN579" t="s">
        <v>134</v>
      </c>
      <c r="AO579" t="s">
        <v>134</v>
      </c>
      <c r="AP579" t="s">
        <v>134</v>
      </c>
      <c r="AQ579" t="s">
        <v>134</v>
      </c>
      <c r="AR579" t="s">
        <v>134</v>
      </c>
      <c r="AS579" t="s">
        <v>134</v>
      </c>
      <c r="AT579" t="s">
        <v>134</v>
      </c>
      <c r="AU579" t="s">
        <v>134</v>
      </c>
      <c r="AV579" t="s">
        <v>134</v>
      </c>
      <c r="AW579" t="s">
        <v>134</v>
      </c>
      <c r="AX579" t="s">
        <v>134</v>
      </c>
      <c r="AY579" t="s">
        <v>134</v>
      </c>
      <c r="AZ579" t="s">
        <v>134</v>
      </c>
      <c r="BA579" t="s">
        <v>134</v>
      </c>
      <c r="BB579" t="s">
        <v>134</v>
      </c>
      <c r="BC579" t="s">
        <v>134</v>
      </c>
      <c r="BD579" t="s">
        <v>134</v>
      </c>
      <c r="BE579" t="s">
        <v>134</v>
      </c>
      <c r="BF579">
        <v>34.246499999999997</v>
      </c>
      <c r="BG579">
        <v>93.7149</v>
      </c>
      <c r="BH579">
        <v>109.26609999999999</v>
      </c>
      <c r="BI579">
        <v>98.0197</v>
      </c>
      <c r="BJ579">
        <v>97.484300000000005</v>
      </c>
      <c r="BK579" t="s">
        <v>134</v>
      </c>
      <c r="BL579" t="s">
        <v>134</v>
      </c>
      <c r="BM579" t="s">
        <v>134</v>
      </c>
      <c r="BN579" t="s">
        <v>134</v>
      </c>
      <c r="BO579" t="s">
        <v>134</v>
      </c>
      <c r="BP579" t="s">
        <v>134</v>
      </c>
      <c r="BQ579" t="s">
        <v>134</v>
      </c>
      <c r="BR579" t="s">
        <v>134</v>
      </c>
      <c r="BS579" t="s">
        <v>134</v>
      </c>
      <c r="BT579" t="s">
        <v>134</v>
      </c>
      <c r="BU579" t="s">
        <v>134</v>
      </c>
      <c r="BV579" t="s">
        <v>134</v>
      </c>
      <c r="BW579" t="s">
        <v>134</v>
      </c>
      <c r="BX579" t="s">
        <v>134</v>
      </c>
      <c r="BY579" t="s">
        <v>134</v>
      </c>
      <c r="BZ579" t="s">
        <v>134</v>
      </c>
      <c r="CA579" t="s">
        <v>134</v>
      </c>
      <c r="CB579" t="s">
        <v>134</v>
      </c>
      <c r="CC579" t="s">
        <v>134</v>
      </c>
      <c r="CD579" t="s">
        <v>134</v>
      </c>
      <c r="CE579" t="s">
        <v>134</v>
      </c>
      <c r="CF579">
        <v>41.792699999999996</v>
      </c>
      <c r="CG579" t="s">
        <v>134</v>
      </c>
      <c r="CH579" t="s">
        <v>134</v>
      </c>
      <c r="CI579" t="s">
        <v>134</v>
      </c>
      <c r="CJ579" t="s">
        <v>134</v>
      </c>
      <c r="CK579" t="s">
        <v>134</v>
      </c>
      <c r="CL579" t="s">
        <v>134</v>
      </c>
      <c r="CM579" t="s">
        <v>134</v>
      </c>
      <c r="CN579" t="s">
        <v>134</v>
      </c>
      <c r="CO579" t="s">
        <v>134</v>
      </c>
      <c r="CP579">
        <v>2277.6999999999998</v>
      </c>
      <c r="CQ579" t="s">
        <v>134</v>
      </c>
      <c r="CR579">
        <v>2095.8000000000002</v>
      </c>
      <c r="CS579" t="s">
        <v>134</v>
      </c>
      <c r="CT579" t="s">
        <v>134</v>
      </c>
      <c r="CU579" t="s">
        <v>134</v>
      </c>
      <c r="CV579" t="s">
        <v>134</v>
      </c>
      <c r="CW579" t="s">
        <v>134</v>
      </c>
      <c r="CX579" t="s">
        <v>134</v>
      </c>
      <c r="CY579" t="s">
        <v>134</v>
      </c>
      <c r="CZ579" t="s">
        <v>134</v>
      </c>
      <c r="DA579" t="s">
        <v>134</v>
      </c>
      <c r="DB579" t="s">
        <v>134</v>
      </c>
      <c r="DC579" t="s">
        <v>134</v>
      </c>
      <c r="DD579" t="s">
        <v>134</v>
      </c>
      <c r="DE579" t="s">
        <v>134</v>
      </c>
      <c r="DF579" t="s">
        <v>134</v>
      </c>
      <c r="DG579" t="s">
        <v>134</v>
      </c>
      <c r="DH579" t="s">
        <v>134</v>
      </c>
      <c r="DI579" t="s">
        <v>134</v>
      </c>
    </row>
    <row r="580" spans="1:113" x14ac:dyDescent="0.3">
      <c r="E580" t="s">
        <v>5</v>
      </c>
      <c r="F580">
        <v>27.320799999999998</v>
      </c>
      <c r="G580">
        <v>17.150099999999998</v>
      </c>
      <c r="H580" t="s">
        <v>134</v>
      </c>
      <c r="I580">
        <v>23.031500000000001</v>
      </c>
      <c r="J580">
        <v>17.3444</v>
      </c>
      <c r="K580">
        <v>15.4396</v>
      </c>
      <c r="L580">
        <v>21.849399999999999</v>
      </c>
      <c r="M580">
        <v>15.084</v>
      </c>
      <c r="N580">
        <v>10.836600000000001</v>
      </c>
      <c r="O580">
        <v>10.8293</v>
      </c>
      <c r="P580">
        <v>10.8293</v>
      </c>
      <c r="Q580">
        <v>28.788699999999999</v>
      </c>
      <c r="R580" t="s">
        <v>134</v>
      </c>
      <c r="S580" t="s">
        <v>134</v>
      </c>
      <c r="T580">
        <v>21.598500000000001</v>
      </c>
      <c r="U580">
        <v>32.292200000000001</v>
      </c>
      <c r="V580">
        <v>33.575800000000001</v>
      </c>
      <c r="W580">
        <v>23.8553</v>
      </c>
      <c r="X580">
        <v>25.543500000000002</v>
      </c>
      <c r="Y580" t="s">
        <v>134</v>
      </c>
      <c r="Z580">
        <v>18.139900000000001</v>
      </c>
      <c r="AA580">
        <v>20.557200000000002</v>
      </c>
      <c r="AB580">
        <v>6.5155000000000003</v>
      </c>
      <c r="AC580">
        <v>16.595800000000001</v>
      </c>
      <c r="AD580">
        <v>0.38769999999999999</v>
      </c>
      <c r="AE580">
        <v>18.345099999999999</v>
      </c>
      <c r="AF580">
        <v>106.83110000000001</v>
      </c>
      <c r="AG580">
        <v>-5.8750999999999998</v>
      </c>
      <c r="AH580">
        <v>-58.068100000000001</v>
      </c>
      <c r="AI580">
        <v>24.717600000000001</v>
      </c>
      <c r="AJ580">
        <v>16.846599999999999</v>
      </c>
      <c r="AK580">
        <v>23.4787</v>
      </c>
      <c r="AL580" t="s">
        <v>134</v>
      </c>
      <c r="AM580" t="s">
        <v>134</v>
      </c>
      <c r="AN580" t="s">
        <v>134</v>
      </c>
      <c r="AO580" t="s">
        <v>134</v>
      </c>
      <c r="AP580" t="s">
        <v>134</v>
      </c>
      <c r="AQ580" t="s">
        <v>134</v>
      </c>
      <c r="AR580" t="s">
        <v>134</v>
      </c>
      <c r="AS580" t="s">
        <v>134</v>
      </c>
      <c r="AT580" t="s">
        <v>134</v>
      </c>
      <c r="AU580" t="s">
        <v>134</v>
      </c>
      <c r="AV580" t="s">
        <v>134</v>
      </c>
      <c r="AW580" t="s">
        <v>134</v>
      </c>
      <c r="AX580" t="s">
        <v>134</v>
      </c>
      <c r="AY580" t="s">
        <v>134</v>
      </c>
      <c r="AZ580" t="s">
        <v>134</v>
      </c>
      <c r="BA580" t="s">
        <v>134</v>
      </c>
      <c r="BB580" t="s">
        <v>134</v>
      </c>
      <c r="BC580" t="s">
        <v>134</v>
      </c>
      <c r="BD580" t="s">
        <v>134</v>
      </c>
      <c r="BE580" t="s">
        <v>134</v>
      </c>
      <c r="BF580">
        <v>-2.2113</v>
      </c>
      <c r="BG580">
        <v>-16.687899999999999</v>
      </c>
      <c r="BH580">
        <v>-19.400700000000001</v>
      </c>
      <c r="BI580">
        <v>-26.4054</v>
      </c>
      <c r="BJ580">
        <v>-26.4331</v>
      </c>
      <c r="BK580" t="s">
        <v>134</v>
      </c>
      <c r="BL580" t="s">
        <v>134</v>
      </c>
      <c r="BM580" t="s">
        <v>134</v>
      </c>
      <c r="BN580" t="s">
        <v>134</v>
      </c>
      <c r="BO580" t="s">
        <v>134</v>
      </c>
      <c r="BP580" t="s">
        <v>134</v>
      </c>
      <c r="BQ580" t="s">
        <v>134</v>
      </c>
      <c r="BR580" t="s">
        <v>134</v>
      </c>
      <c r="BS580" t="s">
        <v>134</v>
      </c>
      <c r="BT580" t="s">
        <v>134</v>
      </c>
      <c r="BU580" t="s">
        <v>134</v>
      </c>
      <c r="BV580" t="s">
        <v>134</v>
      </c>
      <c r="BW580" t="s">
        <v>134</v>
      </c>
      <c r="BX580" t="s">
        <v>134</v>
      </c>
      <c r="BY580">
        <v>688.9</v>
      </c>
      <c r="BZ580">
        <v>688.9</v>
      </c>
      <c r="CA580">
        <v>0</v>
      </c>
      <c r="CB580">
        <v>0.10059999999999999</v>
      </c>
      <c r="CC580">
        <v>-0.48520000000000002</v>
      </c>
      <c r="CD580">
        <v>0.1129</v>
      </c>
      <c r="CE580">
        <v>-0.5444</v>
      </c>
      <c r="CF580">
        <v>30.705500000000001</v>
      </c>
      <c r="CG580">
        <v>64.713899999999995</v>
      </c>
      <c r="CH580">
        <v>0</v>
      </c>
      <c r="CI580">
        <v>0</v>
      </c>
      <c r="CJ580">
        <v>0</v>
      </c>
      <c r="CK580">
        <v>3.5324999999999998</v>
      </c>
      <c r="CL580">
        <v>3.4119999999999999</v>
      </c>
      <c r="CM580">
        <v>2.2873999999999999</v>
      </c>
      <c r="CN580">
        <v>-17.0289</v>
      </c>
      <c r="CO580">
        <v>-20.523800000000001</v>
      </c>
      <c r="CP580">
        <v>1897.6</v>
      </c>
      <c r="CQ580" t="s">
        <v>134</v>
      </c>
      <c r="CR580">
        <v>1689.2</v>
      </c>
      <c r="CS580">
        <v>0.40429999999999999</v>
      </c>
      <c r="CT580">
        <v>1.7271999999999998</v>
      </c>
      <c r="CU580">
        <v>0.99080000000000001</v>
      </c>
      <c r="CV580">
        <v>10.429600000000001</v>
      </c>
      <c r="CW580">
        <v>7.3974000000000002</v>
      </c>
      <c r="CX580">
        <v>49.341299999999997</v>
      </c>
      <c r="CY580">
        <v>4.3422999999999998</v>
      </c>
      <c r="CZ580">
        <v>84.056299999999993</v>
      </c>
      <c r="DA580">
        <v>8.8566000000000003</v>
      </c>
      <c r="DB580">
        <v>41.2121</v>
      </c>
      <c r="DC580">
        <v>92.185500000000005</v>
      </c>
      <c r="DD580">
        <v>133.39760000000001</v>
      </c>
      <c r="DE580">
        <v>5560.1</v>
      </c>
      <c r="DF580" t="s">
        <v>134</v>
      </c>
      <c r="DG580" t="s">
        <v>134</v>
      </c>
      <c r="DH580" t="s">
        <v>134</v>
      </c>
      <c r="DI580" t="s">
        <v>134</v>
      </c>
    </row>
    <row r="581" spans="1:113" x14ac:dyDescent="0.3">
      <c r="E581" t="s">
        <v>6</v>
      </c>
      <c r="F581" t="s">
        <v>134</v>
      </c>
      <c r="G581" t="s">
        <v>134</v>
      </c>
      <c r="H581" t="s">
        <v>134</v>
      </c>
      <c r="I581" t="s">
        <v>134</v>
      </c>
      <c r="J581">
        <v>14.979100000000001</v>
      </c>
      <c r="K581">
        <v>12.978199999999999</v>
      </c>
      <c r="L581">
        <v>4.8543000000000003</v>
      </c>
      <c r="M581">
        <v>12.196099999999999</v>
      </c>
      <c r="N581">
        <v>9.1618999999999993</v>
      </c>
      <c r="O581">
        <v>9.1516000000000002</v>
      </c>
      <c r="P581">
        <v>9.1516000000000002</v>
      </c>
      <c r="Q581">
        <v>25.734999999999999</v>
      </c>
      <c r="R581" t="s">
        <v>134</v>
      </c>
      <c r="S581" t="s">
        <v>134</v>
      </c>
      <c r="T581">
        <v>14.622400000000001</v>
      </c>
      <c r="U581">
        <v>6.5685000000000002</v>
      </c>
      <c r="V581">
        <v>5.0106999999999999</v>
      </c>
      <c r="W581">
        <v>-18.2788</v>
      </c>
      <c r="X581">
        <v>-17.748899999999999</v>
      </c>
      <c r="Y581" t="s">
        <v>134</v>
      </c>
      <c r="Z581" t="s">
        <v>134</v>
      </c>
      <c r="AA581" t="s">
        <v>134</v>
      </c>
      <c r="AB581" t="s">
        <v>134</v>
      </c>
      <c r="AC581" t="s">
        <v>134</v>
      </c>
      <c r="AD581" t="s">
        <v>134</v>
      </c>
      <c r="AE581" t="s">
        <v>134</v>
      </c>
      <c r="AF581" t="s">
        <v>134</v>
      </c>
      <c r="AG581" t="s">
        <v>134</v>
      </c>
      <c r="AH581" t="s">
        <v>134</v>
      </c>
      <c r="AI581" t="s">
        <v>134</v>
      </c>
      <c r="AJ581" t="s">
        <v>134</v>
      </c>
      <c r="AK581" t="s">
        <v>134</v>
      </c>
      <c r="AL581" t="s">
        <v>134</v>
      </c>
      <c r="AM581">
        <v>21.299299999999999</v>
      </c>
      <c r="AN581">
        <v>39.166699999999999</v>
      </c>
      <c r="AO581">
        <v>48.5242</v>
      </c>
      <c r="AP581" t="s">
        <v>134</v>
      </c>
      <c r="AQ581" t="s">
        <v>134</v>
      </c>
      <c r="AR581" t="s">
        <v>134</v>
      </c>
      <c r="AS581" t="s">
        <v>134</v>
      </c>
      <c r="AT581" t="s">
        <v>134</v>
      </c>
      <c r="AU581" t="s">
        <v>134</v>
      </c>
      <c r="AV581" t="s">
        <v>134</v>
      </c>
      <c r="AW581" t="s">
        <v>134</v>
      </c>
      <c r="AX581" t="s">
        <v>134</v>
      </c>
      <c r="AY581" t="s">
        <v>134</v>
      </c>
      <c r="AZ581" t="s">
        <v>134</v>
      </c>
      <c r="BA581" t="s">
        <v>134</v>
      </c>
      <c r="BB581" t="s">
        <v>134</v>
      </c>
      <c r="BC581" t="s">
        <v>134</v>
      </c>
      <c r="BD581" t="s">
        <v>134</v>
      </c>
      <c r="BE581" t="s">
        <v>134</v>
      </c>
      <c r="BF581">
        <v>-2.8810000000000002</v>
      </c>
      <c r="BG581">
        <v>-16.125599999999999</v>
      </c>
      <c r="BH581">
        <v>-18.363700000000001</v>
      </c>
      <c r="BI581">
        <v>-17.927099999999999</v>
      </c>
      <c r="BJ581">
        <v>-17.748899999999999</v>
      </c>
      <c r="BK581" t="s">
        <v>134</v>
      </c>
      <c r="BL581" t="s">
        <v>134</v>
      </c>
      <c r="BM581" t="s">
        <v>134</v>
      </c>
      <c r="BN581" t="s">
        <v>134</v>
      </c>
      <c r="BO581" t="s">
        <v>134</v>
      </c>
      <c r="BP581" t="s">
        <v>134</v>
      </c>
      <c r="BQ581" t="s">
        <v>134</v>
      </c>
      <c r="BR581" t="s">
        <v>134</v>
      </c>
      <c r="BS581" t="s">
        <v>134</v>
      </c>
      <c r="BT581" t="s">
        <v>134</v>
      </c>
      <c r="BU581" t="s">
        <v>134</v>
      </c>
      <c r="BV581" t="s">
        <v>134</v>
      </c>
      <c r="BW581" t="s">
        <v>134</v>
      </c>
      <c r="BX581" t="s">
        <v>134</v>
      </c>
      <c r="BY581" t="s">
        <v>134</v>
      </c>
      <c r="BZ581" t="s">
        <v>134</v>
      </c>
      <c r="CA581" t="s">
        <v>134</v>
      </c>
      <c r="CB581" t="s">
        <v>134</v>
      </c>
      <c r="CC581" t="s">
        <v>134</v>
      </c>
      <c r="CD581" t="s">
        <v>134</v>
      </c>
      <c r="CE581" t="s">
        <v>134</v>
      </c>
      <c r="CF581">
        <v>28.070499999999999</v>
      </c>
      <c r="CG581" t="s">
        <v>134</v>
      </c>
      <c r="CH581" t="s">
        <v>134</v>
      </c>
      <c r="CI581" t="s">
        <v>134</v>
      </c>
      <c r="CJ581" t="s">
        <v>134</v>
      </c>
      <c r="CK581" t="s">
        <v>134</v>
      </c>
      <c r="CL581" t="s">
        <v>134</v>
      </c>
      <c r="CM581" t="s">
        <v>134</v>
      </c>
      <c r="CN581" t="s">
        <v>134</v>
      </c>
      <c r="CO581" t="s">
        <v>134</v>
      </c>
      <c r="CP581">
        <v>1591.6</v>
      </c>
      <c r="CQ581" t="s">
        <v>134</v>
      </c>
      <c r="CR581">
        <v>1379</v>
      </c>
      <c r="CS581" t="s">
        <v>134</v>
      </c>
      <c r="CT581" t="s">
        <v>134</v>
      </c>
      <c r="CU581" t="s">
        <v>134</v>
      </c>
      <c r="CV581" t="s">
        <v>134</v>
      </c>
      <c r="CW581" t="s">
        <v>134</v>
      </c>
      <c r="CX581" t="s">
        <v>134</v>
      </c>
      <c r="CY581" t="s">
        <v>134</v>
      </c>
      <c r="CZ581" t="s">
        <v>134</v>
      </c>
      <c r="DA581" t="s">
        <v>134</v>
      </c>
      <c r="DB581" t="s">
        <v>134</v>
      </c>
      <c r="DC581" t="s">
        <v>134</v>
      </c>
      <c r="DD581" t="s">
        <v>134</v>
      </c>
      <c r="DE581" t="s">
        <v>134</v>
      </c>
      <c r="DF581" t="s">
        <v>134</v>
      </c>
      <c r="DG581" t="s">
        <v>134</v>
      </c>
      <c r="DH581" t="s">
        <v>134</v>
      </c>
      <c r="DI581" t="s">
        <v>134</v>
      </c>
    </row>
    <row r="582" spans="1:113" x14ac:dyDescent="0.3">
      <c r="E582" t="s">
        <v>7</v>
      </c>
      <c r="F582">
        <v>24.959499999999998</v>
      </c>
      <c r="G582">
        <v>16.225200000000001</v>
      </c>
      <c r="H582" t="s">
        <v>134</v>
      </c>
      <c r="I582">
        <v>22.239100000000001</v>
      </c>
      <c r="J582">
        <v>10.4519</v>
      </c>
      <c r="K582">
        <v>8.4356000000000009</v>
      </c>
      <c r="L582" t="s">
        <v>134</v>
      </c>
      <c r="M582">
        <v>9.7851999999999997</v>
      </c>
      <c r="N582">
        <v>7.4146999999999998</v>
      </c>
      <c r="O582">
        <v>7.4157999999999999</v>
      </c>
      <c r="P582">
        <v>7.4157999999999999</v>
      </c>
      <c r="Q582">
        <v>25.5107</v>
      </c>
      <c r="R582" t="s">
        <v>134</v>
      </c>
      <c r="S582" t="s">
        <v>134</v>
      </c>
      <c r="T582">
        <v>18.2469</v>
      </c>
      <c r="U582">
        <v>-12.4001</v>
      </c>
      <c r="V582">
        <v>-16.994499999999999</v>
      </c>
      <c r="W582">
        <v>-10.1107</v>
      </c>
      <c r="X582">
        <v>-10.062900000000001</v>
      </c>
      <c r="Y582" t="s">
        <v>134</v>
      </c>
      <c r="Z582">
        <v>21.813800000000001</v>
      </c>
      <c r="AA582">
        <v>14.5367</v>
      </c>
      <c r="AB582">
        <v>5.5488999999999997</v>
      </c>
      <c r="AC582">
        <v>11.9407</v>
      </c>
      <c r="AD582">
        <v>10.3293</v>
      </c>
      <c r="AE582">
        <v>40.156799999999997</v>
      </c>
      <c r="AF582">
        <v>38.904400000000003</v>
      </c>
      <c r="AG582">
        <v>-58.705399999999997</v>
      </c>
      <c r="AH582">
        <v>-58.705399999999997</v>
      </c>
      <c r="AI582">
        <v>18.4145</v>
      </c>
      <c r="AJ582">
        <v>13.550599999999999</v>
      </c>
      <c r="AK582">
        <v>18.230899999999998</v>
      </c>
      <c r="AL582" t="s">
        <v>134</v>
      </c>
      <c r="AM582" t="s">
        <v>134</v>
      </c>
      <c r="AN582" t="s">
        <v>134</v>
      </c>
      <c r="AO582" t="s">
        <v>134</v>
      </c>
      <c r="AP582" t="s">
        <v>134</v>
      </c>
      <c r="AQ582" t="s">
        <v>134</v>
      </c>
      <c r="AR582" t="s">
        <v>134</v>
      </c>
      <c r="AS582" t="s">
        <v>134</v>
      </c>
      <c r="AT582" t="s">
        <v>134</v>
      </c>
      <c r="AU582" t="s">
        <v>134</v>
      </c>
      <c r="AV582" t="s">
        <v>134</v>
      </c>
      <c r="AW582" t="s">
        <v>134</v>
      </c>
      <c r="AX582" t="s">
        <v>134</v>
      </c>
      <c r="AY582" t="s">
        <v>134</v>
      </c>
      <c r="AZ582" t="s">
        <v>134</v>
      </c>
      <c r="BA582" t="s">
        <v>134</v>
      </c>
      <c r="BB582" t="s">
        <v>134</v>
      </c>
      <c r="BC582" t="s">
        <v>134</v>
      </c>
      <c r="BD582" t="s">
        <v>134</v>
      </c>
      <c r="BE582" t="s">
        <v>134</v>
      </c>
      <c r="BF582">
        <v>-7.2542</v>
      </c>
      <c r="BG582">
        <v>-35.285200000000003</v>
      </c>
      <c r="BH582">
        <v>-39.717199999999998</v>
      </c>
      <c r="BI582">
        <v>-24.845700000000001</v>
      </c>
      <c r="BJ582">
        <v>-24.736799999999999</v>
      </c>
      <c r="BK582" t="s">
        <v>134</v>
      </c>
      <c r="BL582" t="s">
        <v>134</v>
      </c>
      <c r="BM582" t="s">
        <v>134</v>
      </c>
      <c r="BN582" t="s">
        <v>134</v>
      </c>
      <c r="BO582" t="s">
        <v>134</v>
      </c>
      <c r="BP582" t="s">
        <v>134</v>
      </c>
      <c r="BQ582" t="s">
        <v>134</v>
      </c>
      <c r="BR582" t="s">
        <v>134</v>
      </c>
      <c r="BS582" t="s">
        <v>134</v>
      </c>
      <c r="BT582" t="s">
        <v>134</v>
      </c>
      <c r="BU582" t="s">
        <v>134</v>
      </c>
      <c r="BV582" t="s">
        <v>134</v>
      </c>
      <c r="BW582" t="s">
        <v>134</v>
      </c>
      <c r="BX582" t="s">
        <v>134</v>
      </c>
      <c r="BY582">
        <v>459.34</v>
      </c>
      <c r="BZ582">
        <v>459.34</v>
      </c>
      <c r="CA582">
        <v>0</v>
      </c>
      <c r="CB582">
        <v>6.7599999999999993E-2</v>
      </c>
      <c r="CC582">
        <v>-0.5373</v>
      </c>
      <c r="CD582">
        <v>7.6600000000000001E-2</v>
      </c>
      <c r="CE582">
        <v>-0.60909999999999997</v>
      </c>
      <c r="CF582">
        <v>37.728900000000003</v>
      </c>
      <c r="CG582">
        <v>66.6798</v>
      </c>
      <c r="CH582">
        <v>0</v>
      </c>
      <c r="CI582">
        <v>0</v>
      </c>
      <c r="CJ582">
        <v>0</v>
      </c>
      <c r="CK582">
        <v>2.3473999999999999</v>
      </c>
      <c r="CL582">
        <v>2.2936000000000001</v>
      </c>
      <c r="CM582">
        <v>1.5686</v>
      </c>
      <c r="CN582">
        <v>-18.663399999999999</v>
      </c>
      <c r="CO582">
        <v>-22.945799999999998</v>
      </c>
      <c r="CP582">
        <v>1030</v>
      </c>
      <c r="CQ582" t="s">
        <v>134</v>
      </c>
      <c r="CR582">
        <v>831.3</v>
      </c>
      <c r="CS582">
        <v>0.46410000000000001</v>
      </c>
      <c r="CT582">
        <v>1.8528</v>
      </c>
      <c r="CU582">
        <v>1.056</v>
      </c>
      <c r="CV582">
        <v>12.327199999999999</v>
      </c>
      <c r="CW582">
        <v>8.9243000000000006</v>
      </c>
      <c r="CX582">
        <v>40.8994</v>
      </c>
      <c r="CY582">
        <v>4.3070000000000004</v>
      </c>
      <c r="CZ582">
        <v>84.746200000000002</v>
      </c>
      <c r="DA582">
        <v>8.3513000000000002</v>
      </c>
      <c r="DB582">
        <v>43.7059</v>
      </c>
      <c r="DC582">
        <v>81.939700000000002</v>
      </c>
      <c r="DD582">
        <v>125.6456</v>
      </c>
      <c r="DE582">
        <v>5996.81</v>
      </c>
      <c r="DF582">
        <v>1829.51</v>
      </c>
      <c r="DG582">
        <v>593.37</v>
      </c>
      <c r="DH582">
        <v>2882.57</v>
      </c>
      <c r="DI582">
        <v>691.36</v>
      </c>
    </row>
    <row r="583" spans="1:113" x14ac:dyDescent="0.3">
      <c r="D583" t="s">
        <v>8</v>
      </c>
      <c r="E583" t="s">
        <v>3</v>
      </c>
      <c r="F583">
        <v>24.274000000000001</v>
      </c>
      <c r="G583">
        <v>16.4175</v>
      </c>
      <c r="H583">
        <v>24.042000000000002</v>
      </c>
      <c r="I583">
        <v>22.558599999999998</v>
      </c>
      <c r="J583">
        <v>16.110199999999999</v>
      </c>
      <c r="K583">
        <v>13.667300000000001</v>
      </c>
      <c r="L583">
        <v>11.2483</v>
      </c>
      <c r="M583">
        <v>14.063700000000001</v>
      </c>
      <c r="N583">
        <v>10.653600000000001</v>
      </c>
      <c r="O583">
        <v>10.6332</v>
      </c>
      <c r="P583">
        <v>10.6332</v>
      </c>
      <c r="Q583">
        <v>24.988900000000001</v>
      </c>
      <c r="R583">
        <v>29.0107</v>
      </c>
      <c r="S583">
        <v>17.2319</v>
      </c>
      <c r="T583">
        <v>13.14</v>
      </c>
      <c r="U583">
        <v>14.7073</v>
      </c>
      <c r="V583">
        <v>10.5686</v>
      </c>
      <c r="W583">
        <v>13.9513</v>
      </c>
      <c r="X583">
        <v>13.911099999999999</v>
      </c>
      <c r="Y583">
        <v>7.4074</v>
      </c>
      <c r="Z583">
        <v>11.767900000000001</v>
      </c>
      <c r="AA583">
        <v>6.8959999999999999</v>
      </c>
      <c r="AB583">
        <v>5.2811000000000003</v>
      </c>
      <c r="AC583">
        <v>13.2311</v>
      </c>
      <c r="AD583">
        <v>15.2666</v>
      </c>
      <c r="AE583">
        <v>-5.7290000000000001</v>
      </c>
      <c r="AF583">
        <v>-4.4633000000000003</v>
      </c>
      <c r="AG583">
        <v>26.087399999999999</v>
      </c>
      <c r="AH583">
        <v>27.175899999999999</v>
      </c>
      <c r="AI583">
        <v>16.296900000000001</v>
      </c>
      <c r="AJ583">
        <v>16.546399999999998</v>
      </c>
      <c r="AK583">
        <v>16.2788</v>
      </c>
      <c r="AL583">
        <v>41.0306</v>
      </c>
      <c r="AM583">
        <v>17.0489</v>
      </c>
      <c r="AN583">
        <v>13.502700000000001</v>
      </c>
      <c r="AO583">
        <v>13.7668</v>
      </c>
      <c r="AP583">
        <v>13.4618</v>
      </c>
      <c r="AQ583">
        <v>13.2371</v>
      </c>
      <c r="AR583">
        <v>14.0936</v>
      </c>
      <c r="AS583">
        <v>14.648</v>
      </c>
      <c r="AT583">
        <v>16.5654</v>
      </c>
      <c r="AU583">
        <v>8.3385999999999996</v>
      </c>
      <c r="AV583">
        <v>12.376200000000001</v>
      </c>
      <c r="AW583">
        <v>14.4323</v>
      </c>
      <c r="AX583">
        <v>20.9056</v>
      </c>
      <c r="AY583">
        <v>19.267600000000002</v>
      </c>
      <c r="AZ583">
        <v>66.179699999999997</v>
      </c>
      <c r="BA583">
        <v>-34.189</v>
      </c>
      <c r="BB583">
        <v>22.603200000000001</v>
      </c>
      <c r="BC583">
        <v>12.5099</v>
      </c>
      <c r="BD583">
        <v>22.239000000000001</v>
      </c>
      <c r="BE583">
        <v>8.4725000000000001</v>
      </c>
      <c r="BF583">
        <v>13.14</v>
      </c>
      <c r="BG583">
        <v>14.7073</v>
      </c>
      <c r="BH583">
        <v>10.5686</v>
      </c>
      <c r="BI583">
        <v>13.9513</v>
      </c>
      <c r="BJ583">
        <v>13.911099999999999</v>
      </c>
      <c r="BK583">
        <v>7.4074</v>
      </c>
      <c r="BL583">
        <v>11.767900000000001</v>
      </c>
      <c r="BM583">
        <v>6.8959999999999999</v>
      </c>
      <c r="BN583">
        <v>5.2811000000000003</v>
      </c>
      <c r="BO583">
        <v>13.2311</v>
      </c>
      <c r="BP583">
        <v>15.2666</v>
      </c>
      <c r="BQ583">
        <v>-5.7290000000000001</v>
      </c>
      <c r="BR583">
        <v>-4.4633000000000003</v>
      </c>
      <c r="BS583">
        <v>26.087399999999999</v>
      </c>
      <c r="BT583">
        <v>27.175899999999999</v>
      </c>
      <c r="BU583">
        <v>16.296900000000001</v>
      </c>
      <c r="BV583">
        <v>16.546399999999998</v>
      </c>
      <c r="BW583">
        <v>16.2788</v>
      </c>
      <c r="BX583">
        <v>41.0306</v>
      </c>
      <c r="BY583">
        <v>584.16999999999996</v>
      </c>
      <c r="BZ583">
        <v>579.16999999999996</v>
      </c>
      <c r="CA583">
        <v>5</v>
      </c>
      <c r="CB583">
        <v>7.5200000000000003E-2</v>
      </c>
      <c r="CC583">
        <v>-0.38</v>
      </c>
      <c r="CD583">
        <v>8.8700000000000001E-2</v>
      </c>
      <c r="CE583">
        <v>-0.44800000000000001</v>
      </c>
      <c r="CF583">
        <v>74.872699999999995</v>
      </c>
      <c r="CG583">
        <v>68.4773</v>
      </c>
      <c r="CH583">
        <v>2.1999999999999999E-2</v>
      </c>
      <c r="CI583">
        <v>2.1399999999999999E-2</v>
      </c>
      <c r="CJ583">
        <v>1.5100000000000001E-2</v>
      </c>
      <c r="CK583">
        <v>2.5670000000000002</v>
      </c>
      <c r="CL583">
        <v>2.5028000000000001</v>
      </c>
      <c r="CM583">
        <v>1.7618</v>
      </c>
      <c r="CN583">
        <v>-12.969099999999999</v>
      </c>
      <c r="CO583">
        <v>-14.9017</v>
      </c>
      <c r="CP583">
        <v>7765.8</v>
      </c>
      <c r="CQ583">
        <v>3666.74</v>
      </c>
      <c r="CR583">
        <v>6588.23</v>
      </c>
      <c r="CS583">
        <v>0.36899999999999999</v>
      </c>
      <c r="CT583">
        <v>1.7433999999999998</v>
      </c>
      <c r="CU583">
        <v>0.98080000000000001</v>
      </c>
      <c r="CV583">
        <v>20.5349</v>
      </c>
      <c r="CW583">
        <v>8.6814999999999998</v>
      </c>
      <c r="CX583">
        <v>42.043599999999998</v>
      </c>
      <c r="CY583">
        <v>4.3421000000000003</v>
      </c>
      <c r="CZ583">
        <v>84.060599999999994</v>
      </c>
      <c r="DA583">
        <v>8.0523000000000007</v>
      </c>
      <c r="DB583">
        <v>45.328899999999997</v>
      </c>
      <c r="DC583">
        <v>80.775300000000001</v>
      </c>
      <c r="DD583">
        <v>126.10420000000001</v>
      </c>
      <c r="DE583">
        <v>6410.35</v>
      </c>
      <c r="DF583">
        <v>2106.5500000000002</v>
      </c>
      <c r="DG583">
        <v>530.46</v>
      </c>
      <c r="DH583">
        <v>3734.29</v>
      </c>
      <c r="DI583">
        <v>39.049999999999997</v>
      </c>
    </row>
    <row r="584" spans="1:113" x14ac:dyDescent="0.3">
      <c r="E584" t="s">
        <v>4</v>
      </c>
      <c r="F584" t="s">
        <v>134</v>
      </c>
      <c r="G584" t="s">
        <v>134</v>
      </c>
      <c r="H584" t="s">
        <v>134</v>
      </c>
      <c r="I584" t="s">
        <v>134</v>
      </c>
      <c r="J584">
        <v>17.962800000000001</v>
      </c>
      <c r="K584">
        <v>16.081</v>
      </c>
      <c r="L584">
        <v>2.5537000000000001</v>
      </c>
      <c r="M584">
        <v>16.882899999999999</v>
      </c>
      <c r="N584">
        <v>12.6044</v>
      </c>
      <c r="O584">
        <v>12.593999999999999</v>
      </c>
      <c r="P584">
        <v>12.593999999999999</v>
      </c>
      <c r="Q584">
        <v>25.789000000000001</v>
      </c>
      <c r="R584" t="s">
        <v>134</v>
      </c>
      <c r="S584" t="s">
        <v>134</v>
      </c>
      <c r="T584">
        <v>19.600300000000001</v>
      </c>
      <c r="U584">
        <v>5.5274999999999999</v>
      </c>
      <c r="V584">
        <v>2.6720000000000002</v>
      </c>
      <c r="W584">
        <v>4.6772999999999998</v>
      </c>
      <c r="X584">
        <v>4.7770999999999999</v>
      </c>
      <c r="Y584" t="s">
        <v>134</v>
      </c>
      <c r="Z584" t="s">
        <v>134</v>
      </c>
      <c r="AA584" t="s">
        <v>134</v>
      </c>
      <c r="AB584" t="s">
        <v>134</v>
      </c>
      <c r="AC584" t="s">
        <v>134</v>
      </c>
      <c r="AD584" t="s">
        <v>134</v>
      </c>
      <c r="AE584" t="s">
        <v>134</v>
      </c>
      <c r="AF584" t="s">
        <v>134</v>
      </c>
      <c r="AG584" t="s">
        <v>134</v>
      </c>
      <c r="AH584" t="s">
        <v>134</v>
      </c>
      <c r="AI584" t="s">
        <v>134</v>
      </c>
      <c r="AJ584" t="s">
        <v>134</v>
      </c>
      <c r="AK584" t="s">
        <v>134</v>
      </c>
      <c r="AL584" t="s">
        <v>134</v>
      </c>
      <c r="AM584">
        <v>18.157399999999999</v>
      </c>
      <c r="AN584">
        <v>14.515700000000001</v>
      </c>
      <c r="AO584">
        <v>14.897600000000001</v>
      </c>
      <c r="AP584">
        <v>15.0975</v>
      </c>
      <c r="AQ584">
        <v>15.365</v>
      </c>
      <c r="AR584" t="s">
        <v>134</v>
      </c>
      <c r="AS584" t="s">
        <v>134</v>
      </c>
      <c r="AT584" t="s">
        <v>134</v>
      </c>
      <c r="AU584" t="s">
        <v>134</v>
      </c>
      <c r="AV584" t="s">
        <v>134</v>
      </c>
      <c r="AW584" t="s">
        <v>134</v>
      </c>
      <c r="AX584" t="s">
        <v>134</v>
      </c>
      <c r="AY584" t="s">
        <v>134</v>
      </c>
      <c r="AZ584" t="s">
        <v>134</v>
      </c>
      <c r="BA584" t="s">
        <v>134</v>
      </c>
      <c r="BB584" t="s">
        <v>134</v>
      </c>
      <c r="BC584" t="s">
        <v>134</v>
      </c>
      <c r="BD584" t="s">
        <v>134</v>
      </c>
      <c r="BE584" t="s">
        <v>134</v>
      </c>
      <c r="BF584">
        <v>35.782899999999998</v>
      </c>
      <c r="BG584">
        <v>133.35919999999999</v>
      </c>
      <c r="BH584">
        <v>158.8476</v>
      </c>
      <c r="BI584">
        <v>130.5966</v>
      </c>
      <c r="BJ584">
        <v>130.06989999999999</v>
      </c>
      <c r="BK584" t="s">
        <v>134</v>
      </c>
      <c r="BL584" t="s">
        <v>134</v>
      </c>
      <c r="BM584" t="s">
        <v>134</v>
      </c>
      <c r="BN584" t="s">
        <v>134</v>
      </c>
      <c r="BO584" t="s">
        <v>134</v>
      </c>
      <c r="BP584" t="s">
        <v>134</v>
      </c>
      <c r="BQ584" t="s">
        <v>134</v>
      </c>
      <c r="BR584" t="s">
        <v>134</v>
      </c>
      <c r="BS584" t="s">
        <v>134</v>
      </c>
      <c r="BT584" t="s">
        <v>134</v>
      </c>
      <c r="BU584" t="s">
        <v>134</v>
      </c>
      <c r="BV584" t="s">
        <v>134</v>
      </c>
      <c r="BW584" t="s">
        <v>134</v>
      </c>
      <c r="BX584" t="s">
        <v>134</v>
      </c>
      <c r="BY584" t="s">
        <v>134</v>
      </c>
      <c r="BZ584" t="s">
        <v>134</v>
      </c>
      <c r="CA584" t="s">
        <v>134</v>
      </c>
      <c r="CB584" t="s">
        <v>134</v>
      </c>
      <c r="CC584" t="s">
        <v>134</v>
      </c>
      <c r="CD584" t="s">
        <v>134</v>
      </c>
      <c r="CE584" t="s">
        <v>134</v>
      </c>
      <c r="CF584">
        <v>89.353200000000001</v>
      </c>
      <c r="CG584" t="s">
        <v>134</v>
      </c>
      <c r="CH584" t="s">
        <v>134</v>
      </c>
      <c r="CI584" t="s">
        <v>134</v>
      </c>
      <c r="CJ584" t="s">
        <v>134</v>
      </c>
      <c r="CK584" t="s">
        <v>134</v>
      </c>
      <c r="CL584" t="s">
        <v>134</v>
      </c>
      <c r="CM584" t="s">
        <v>134</v>
      </c>
      <c r="CN584" t="s">
        <v>134</v>
      </c>
      <c r="CO584" t="s">
        <v>134</v>
      </c>
      <c r="CP584">
        <v>2403.6</v>
      </c>
      <c r="CQ584" t="s">
        <v>134</v>
      </c>
      <c r="CR584">
        <v>2151.8000000000002</v>
      </c>
      <c r="CS584" t="s">
        <v>134</v>
      </c>
      <c r="CT584" t="s">
        <v>134</v>
      </c>
      <c r="CU584" t="s">
        <v>134</v>
      </c>
      <c r="CV584" t="s">
        <v>134</v>
      </c>
      <c r="CW584" t="s">
        <v>134</v>
      </c>
      <c r="CX584" t="s">
        <v>134</v>
      </c>
      <c r="CY584" t="s">
        <v>134</v>
      </c>
      <c r="CZ584" t="s">
        <v>134</v>
      </c>
      <c r="DA584" t="s">
        <v>134</v>
      </c>
      <c r="DB584" t="s">
        <v>134</v>
      </c>
      <c r="DC584" t="s">
        <v>134</v>
      </c>
      <c r="DD584" t="s">
        <v>134</v>
      </c>
      <c r="DE584" t="s">
        <v>134</v>
      </c>
      <c r="DF584" t="s">
        <v>134</v>
      </c>
      <c r="DG584" t="s">
        <v>134</v>
      </c>
      <c r="DH584" t="s">
        <v>134</v>
      </c>
      <c r="DI584" t="s">
        <v>134</v>
      </c>
    </row>
    <row r="585" spans="1:113" x14ac:dyDescent="0.3">
      <c r="E585" t="s">
        <v>5</v>
      </c>
      <c r="F585">
        <v>22.736499999999999</v>
      </c>
      <c r="G585">
        <v>14.986599999999999</v>
      </c>
      <c r="H585" t="s">
        <v>134</v>
      </c>
      <c r="I585">
        <v>20.163599999999999</v>
      </c>
      <c r="J585">
        <v>16.518999999999998</v>
      </c>
      <c r="K585">
        <v>14.0105</v>
      </c>
      <c r="L585">
        <v>3.8902000000000001</v>
      </c>
      <c r="M585">
        <v>14.997299999999999</v>
      </c>
      <c r="N585">
        <v>11.1464</v>
      </c>
      <c r="O585">
        <v>11.1248</v>
      </c>
      <c r="P585">
        <v>11.1248</v>
      </c>
      <c r="Q585">
        <v>26.713000000000001</v>
      </c>
      <c r="R585" t="s">
        <v>134</v>
      </c>
      <c r="S585" t="s">
        <v>134</v>
      </c>
      <c r="T585">
        <v>14.120699999999999</v>
      </c>
      <c r="U585">
        <v>8.6898999999999997</v>
      </c>
      <c r="V585">
        <v>3.5579000000000001</v>
      </c>
      <c r="W585">
        <v>17.234999999999999</v>
      </c>
      <c r="X585">
        <v>17.315999999999999</v>
      </c>
      <c r="Y585" t="s">
        <v>134</v>
      </c>
      <c r="Z585">
        <v>22.104600000000001</v>
      </c>
      <c r="AA585">
        <v>4.3415999999999997</v>
      </c>
      <c r="AB585">
        <v>22.927499999999998</v>
      </c>
      <c r="AC585">
        <v>11.6892</v>
      </c>
      <c r="AD585">
        <v>18.711300000000001</v>
      </c>
      <c r="AE585">
        <v>0.68489999999999995</v>
      </c>
      <c r="AF585">
        <v>1.5544</v>
      </c>
      <c r="AG585">
        <v>138.6413</v>
      </c>
      <c r="AH585">
        <v>138.6413</v>
      </c>
      <c r="AI585">
        <v>15.7797</v>
      </c>
      <c r="AJ585">
        <v>19.971800000000002</v>
      </c>
      <c r="AK585">
        <v>15.616099999999999</v>
      </c>
      <c r="AL585" t="s">
        <v>134</v>
      </c>
      <c r="AM585">
        <v>16.586600000000001</v>
      </c>
      <c r="AN585">
        <v>10.7728</v>
      </c>
      <c r="AO585">
        <v>10.382300000000001</v>
      </c>
      <c r="AP585">
        <v>11.2332</v>
      </c>
      <c r="AQ585">
        <v>11.5357</v>
      </c>
      <c r="AR585" t="s">
        <v>134</v>
      </c>
      <c r="AS585" t="s">
        <v>134</v>
      </c>
      <c r="AT585" t="s">
        <v>134</v>
      </c>
      <c r="AU585" t="s">
        <v>134</v>
      </c>
      <c r="AV585" t="s">
        <v>134</v>
      </c>
      <c r="AW585" t="s">
        <v>134</v>
      </c>
      <c r="AX585" t="s">
        <v>134</v>
      </c>
      <c r="AY585" t="s">
        <v>134</v>
      </c>
      <c r="AZ585" t="s">
        <v>134</v>
      </c>
      <c r="BA585" t="s">
        <v>134</v>
      </c>
      <c r="BB585" t="s">
        <v>134</v>
      </c>
      <c r="BC585" t="s">
        <v>134</v>
      </c>
      <c r="BD585" t="s">
        <v>134</v>
      </c>
      <c r="BE585" t="s">
        <v>134</v>
      </c>
      <c r="BF585">
        <v>-6.6916000000000002</v>
      </c>
      <c r="BG585">
        <v>-14.1912</v>
      </c>
      <c r="BH585">
        <v>-18.705300000000001</v>
      </c>
      <c r="BI585">
        <v>-17.576499999999999</v>
      </c>
      <c r="BJ585">
        <v>-17.629200000000001</v>
      </c>
      <c r="BK585" t="s">
        <v>134</v>
      </c>
      <c r="BL585" t="s">
        <v>134</v>
      </c>
      <c r="BM585" t="s">
        <v>134</v>
      </c>
      <c r="BN585" t="s">
        <v>134</v>
      </c>
      <c r="BO585" t="s">
        <v>134</v>
      </c>
      <c r="BP585" t="s">
        <v>134</v>
      </c>
      <c r="BQ585" t="s">
        <v>134</v>
      </c>
      <c r="BR585" t="s">
        <v>134</v>
      </c>
      <c r="BS585" t="s">
        <v>134</v>
      </c>
      <c r="BT585" t="s">
        <v>134</v>
      </c>
      <c r="BU585" t="s">
        <v>134</v>
      </c>
      <c r="BV585" t="s">
        <v>134</v>
      </c>
      <c r="BW585" t="s">
        <v>134</v>
      </c>
      <c r="BX585" t="s">
        <v>134</v>
      </c>
      <c r="BY585">
        <v>1644</v>
      </c>
      <c r="BZ585">
        <v>1644</v>
      </c>
      <c r="CA585">
        <v>0</v>
      </c>
      <c r="CB585">
        <v>0.23200000000000001</v>
      </c>
      <c r="CC585">
        <v>-0.26069999999999999</v>
      </c>
      <c r="CD585">
        <v>0.26900000000000002</v>
      </c>
      <c r="CE585">
        <v>-0.30230000000000001</v>
      </c>
      <c r="CF585">
        <v>76.106999999999999</v>
      </c>
      <c r="CG585">
        <v>66.989099999999993</v>
      </c>
      <c r="CH585">
        <v>0</v>
      </c>
      <c r="CI585">
        <v>0</v>
      </c>
      <c r="CJ585">
        <v>0</v>
      </c>
      <c r="CK585">
        <v>7.2811000000000003</v>
      </c>
      <c r="CL585">
        <v>6.7869999999999999</v>
      </c>
      <c r="CM585">
        <v>4.8872999999999998</v>
      </c>
      <c r="CN585">
        <v>-8.1829000000000001</v>
      </c>
      <c r="CO585">
        <v>-8.9121000000000006</v>
      </c>
      <c r="CP585">
        <v>2062.5</v>
      </c>
      <c r="CQ585" t="s">
        <v>134</v>
      </c>
      <c r="CR585">
        <v>1749.3</v>
      </c>
      <c r="CS585">
        <v>0.33810000000000001</v>
      </c>
      <c r="CT585">
        <v>1.7032</v>
      </c>
      <c r="CU585">
        <v>1.0259</v>
      </c>
      <c r="CV585">
        <v>14.219099999999999</v>
      </c>
      <c r="CW585">
        <v>7.1734999999999998</v>
      </c>
      <c r="CX585">
        <v>50.881399999999999</v>
      </c>
      <c r="CY585">
        <v>4.6181000000000001</v>
      </c>
      <c r="CZ585">
        <v>79.037400000000005</v>
      </c>
      <c r="DA585">
        <v>7.4928999999999997</v>
      </c>
      <c r="DB585">
        <v>48.712899999999998</v>
      </c>
      <c r="DC585">
        <v>81.2059</v>
      </c>
      <c r="DD585">
        <v>129.91890000000001</v>
      </c>
      <c r="DE585">
        <v>5801.5</v>
      </c>
      <c r="DF585" t="s">
        <v>134</v>
      </c>
      <c r="DG585" t="s">
        <v>134</v>
      </c>
      <c r="DH585" t="s">
        <v>134</v>
      </c>
      <c r="DI585" t="s">
        <v>134</v>
      </c>
    </row>
    <row r="586" spans="1:113" x14ac:dyDescent="0.3">
      <c r="E586" t="s">
        <v>6</v>
      </c>
      <c r="F586" t="s">
        <v>134</v>
      </c>
      <c r="G586" t="s">
        <v>134</v>
      </c>
      <c r="H586" t="s">
        <v>134</v>
      </c>
      <c r="I586" t="s">
        <v>134</v>
      </c>
      <c r="J586">
        <v>16.166799999999999</v>
      </c>
      <c r="K586">
        <v>13.6006</v>
      </c>
      <c r="L586">
        <v>18.544</v>
      </c>
      <c r="M586">
        <v>13.527100000000001</v>
      </c>
      <c r="N586">
        <v>10.430999999999999</v>
      </c>
      <c r="O586">
        <v>10.395</v>
      </c>
      <c r="P586">
        <v>10.395</v>
      </c>
      <c r="Q586">
        <v>23.289899999999999</v>
      </c>
      <c r="R586" t="s">
        <v>134</v>
      </c>
      <c r="S586" t="s">
        <v>134</v>
      </c>
      <c r="T586">
        <v>12.5914</v>
      </c>
      <c r="U586">
        <v>21.519200000000001</v>
      </c>
      <c r="V586">
        <v>17.991299999999999</v>
      </c>
      <c r="W586">
        <v>27.889800000000001</v>
      </c>
      <c r="X586">
        <v>27.368400000000001</v>
      </c>
      <c r="Y586" t="s">
        <v>134</v>
      </c>
      <c r="Z586" t="s">
        <v>134</v>
      </c>
      <c r="AA586" t="s">
        <v>134</v>
      </c>
      <c r="AB586" t="s">
        <v>134</v>
      </c>
      <c r="AC586" t="s">
        <v>134</v>
      </c>
      <c r="AD586" t="s">
        <v>134</v>
      </c>
      <c r="AE586" t="s">
        <v>134</v>
      </c>
      <c r="AF586" t="s">
        <v>134</v>
      </c>
      <c r="AG586" t="s">
        <v>134</v>
      </c>
      <c r="AH586" t="s">
        <v>134</v>
      </c>
      <c r="AI586" t="s">
        <v>134</v>
      </c>
      <c r="AJ586" t="s">
        <v>134</v>
      </c>
      <c r="AK586" t="s">
        <v>134</v>
      </c>
      <c r="AL586" t="s">
        <v>134</v>
      </c>
      <c r="AM586">
        <v>18.035699999999999</v>
      </c>
      <c r="AN586">
        <v>16.018899999999999</v>
      </c>
      <c r="AO586">
        <v>16.847300000000001</v>
      </c>
      <c r="AP586">
        <v>14.127000000000001</v>
      </c>
      <c r="AQ586">
        <v>16.145399999999999</v>
      </c>
      <c r="AR586" t="s">
        <v>134</v>
      </c>
      <c r="AS586" t="s">
        <v>134</v>
      </c>
      <c r="AT586" t="s">
        <v>134</v>
      </c>
      <c r="AU586" t="s">
        <v>134</v>
      </c>
      <c r="AV586" t="s">
        <v>134</v>
      </c>
      <c r="AW586" t="s">
        <v>134</v>
      </c>
      <c r="AX586" t="s">
        <v>134</v>
      </c>
      <c r="AY586" t="s">
        <v>134</v>
      </c>
      <c r="AZ586" t="s">
        <v>134</v>
      </c>
      <c r="BA586" t="s">
        <v>134</v>
      </c>
      <c r="BB586" t="s">
        <v>134</v>
      </c>
      <c r="BC586" t="s">
        <v>134</v>
      </c>
      <c r="BD586" t="s">
        <v>134</v>
      </c>
      <c r="BE586" t="s">
        <v>134</v>
      </c>
      <c r="BF586">
        <v>-4.1824000000000003</v>
      </c>
      <c r="BG586">
        <v>-6.2255000000000003</v>
      </c>
      <c r="BH586">
        <v>-6.9856999999999996</v>
      </c>
      <c r="BI586">
        <v>-10.468</v>
      </c>
      <c r="BJ586">
        <v>-10.7011</v>
      </c>
      <c r="BK586" t="s">
        <v>134</v>
      </c>
      <c r="BL586" t="s">
        <v>134</v>
      </c>
      <c r="BM586" t="s">
        <v>134</v>
      </c>
      <c r="BN586" t="s">
        <v>134</v>
      </c>
      <c r="BO586" t="s">
        <v>134</v>
      </c>
      <c r="BP586" t="s">
        <v>134</v>
      </c>
      <c r="BQ586" t="s">
        <v>134</v>
      </c>
      <c r="BR586" t="s">
        <v>134</v>
      </c>
      <c r="BS586" t="s">
        <v>134</v>
      </c>
      <c r="BT586" t="s">
        <v>134</v>
      </c>
      <c r="BU586" t="s">
        <v>134</v>
      </c>
      <c r="BV586" t="s">
        <v>134</v>
      </c>
      <c r="BW586" t="s">
        <v>134</v>
      </c>
      <c r="BX586" t="s">
        <v>134</v>
      </c>
      <c r="BY586" t="s">
        <v>134</v>
      </c>
      <c r="BZ586" t="s">
        <v>134</v>
      </c>
      <c r="CA586" t="s">
        <v>134</v>
      </c>
      <c r="CB586" t="s">
        <v>134</v>
      </c>
      <c r="CC586" t="s">
        <v>134</v>
      </c>
      <c r="CD586" t="s">
        <v>134</v>
      </c>
      <c r="CE586" t="s">
        <v>134</v>
      </c>
      <c r="CF586">
        <v>34.537500000000001</v>
      </c>
      <c r="CG586" t="s">
        <v>134</v>
      </c>
      <c r="CH586" t="s">
        <v>134</v>
      </c>
      <c r="CI586" t="s">
        <v>134</v>
      </c>
      <c r="CJ586" t="s">
        <v>134</v>
      </c>
      <c r="CK586" t="s">
        <v>134</v>
      </c>
      <c r="CL586" t="s">
        <v>134</v>
      </c>
      <c r="CM586" t="s">
        <v>134</v>
      </c>
      <c r="CN586" t="s">
        <v>134</v>
      </c>
      <c r="CO586" t="s">
        <v>134</v>
      </c>
      <c r="CP586">
        <v>1934.1</v>
      </c>
      <c r="CQ586" t="s">
        <v>134</v>
      </c>
      <c r="CR586">
        <v>1627.1</v>
      </c>
      <c r="CS586" t="s">
        <v>134</v>
      </c>
      <c r="CT586" t="s">
        <v>134</v>
      </c>
      <c r="CU586" t="s">
        <v>134</v>
      </c>
      <c r="CV586" t="s">
        <v>134</v>
      </c>
      <c r="CW586" t="s">
        <v>134</v>
      </c>
      <c r="CX586" t="s">
        <v>134</v>
      </c>
      <c r="CY586" t="s">
        <v>134</v>
      </c>
      <c r="CZ586" t="s">
        <v>134</v>
      </c>
      <c r="DA586" t="s">
        <v>134</v>
      </c>
      <c r="DB586" t="s">
        <v>134</v>
      </c>
      <c r="DC586" t="s">
        <v>134</v>
      </c>
      <c r="DD586" t="s">
        <v>134</v>
      </c>
      <c r="DE586" t="s">
        <v>134</v>
      </c>
      <c r="DF586" t="s">
        <v>134</v>
      </c>
      <c r="DG586" t="s">
        <v>134</v>
      </c>
      <c r="DH586" t="s">
        <v>134</v>
      </c>
      <c r="DI586" t="s">
        <v>134</v>
      </c>
    </row>
    <row r="587" spans="1:113" x14ac:dyDescent="0.3">
      <c r="E587" t="s">
        <v>7</v>
      </c>
      <c r="F587">
        <v>24.2669</v>
      </c>
      <c r="G587">
        <v>16.412800000000001</v>
      </c>
      <c r="H587">
        <v>24.223800000000001</v>
      </c>
      <c r="I587">
        <v>22.414400000000001</v>
      </c>
      <c r="J587">
        <v>12.902900000000001</v>
      </c>
      <c r="K587">
        <v>9.9572000000000003</v>
      </c>
      <c r="L587">
        <v>38.810899999999997</v>
      </c>
      <c r="M587">
        <v>9.9224999999999994</v>
      </c>
      <c r="N587">
        <v>7.8</v>
      </c>
      <c r="O587">
        <v>7.7729999999999997</v>
      </c>
      <c r="P587">
        <v>7.7729999999999997</v>
      </c>
      <c r="Q587">
        <v>22.770499999999998</v>
      </c>
      <c r="R587" t="s">
        <v>134</v>
      </c>
      <c r="S587" t="s">
        <v>134</v>
      </c>
      <c r="T587">
        <v>5.2736000000000001</v>
      </c>
      <c r="U587">
        <v>29.961200000000002</v>
      </c>
      <c r="V587">
        <v>24.263200000000001</v>
      </c>
      <c r="W587">
        <v>10.344799999999999</v>
      </c>
      <c r="X587">
        <v>9.7902000000000005</v>
      </c>
      <c r="Y587" t="s">
        <v>134</v>
      </c>
      <c r="Z587">
        <v>11.767900000000001</v>
      </c>
      <c r="AA587">
        <v>6.8959999999999999</v>
      </c>
      <c r="AB587">
        <v>5.2811000000000003</v>
      </c>
      <c r="AC587">
        <v>13.2311</v>
      </c>
      <c r="AD587">
        <v>15.2666</v>
      </c>
      <c r="AE587">
        <v>-5.7290000000000001</v>
      </c>
      <c r="AF587">
        <v>-4.4633000000000003</v>
      </c>
      <c r="AG587">
        <v>26.087399999999999</v>
      </c>
      <c r="AH587">
        <v>27.175899999999999</v>
      </c>
      <c r="AI587">
        <v>16.296900000000001</v>
      </c>
      <c r="AJ587">
        <v>16.546399999999998</v>
      </c>
      <c r="AK587">
        <v>16.2788</v>
      </c>
      <c r="AL587" t="s">
        <v>134</v>
      </c>
      <c r="AM587">
        <v>15.202999999999999</v>
      </c>
      <c r="AN587">
        <v>12.427099999999999</v>
      </c>
      <c r="AO587">
        <v>12.713200000000001</v>
      </c>
      <c r="AP587">
        <v>13.214</v>
      </c>
      <c r="AQ587">
        <v>12.9656</v>
      </c>
      <c r="AR587" t="s">
        <v>134</v>
      </c>
      <c r="AS587">
        <v>14.648</v>
      </c>
      <c r="AT587">
        <v>16.5654</v>
      </c>
      <c r="AU587">
        <v>8.3385999999999996</v>
      </c>
      <c r="AV587">
        <v>12.376200000000001</v>
      </c>
      <c r="AW587">
        <v>14.4323</v>
      </c>
      <c r="AX587">
        <v>20.9056</v>
      </c>
      <c r="AY587">
        <v>19.267600000000002</v>
      </c>
      <c r="AZ587">
        <v>66.179699999999997</v>
      </c>
      <c r="BA587">
        <v>-34.189</v>
      </c>
      <c r="BB587">
        <v>22.603200000000001</v>
      </c>
      <c r="BC587">
        <v>12.5099</v>
      </c>
      <c r="BD587">
        <v>22.239000000000001</v>
      </c>
      <c r="BE587" t="s">
        <v>134</v>
      </c>
      <c r="BF587">
        <v>-13.2822</v>
      </c>
      <c r="BG587">
        <v>-30.7895</v>
      </c>
      <c r="BH587">
        <v>-36.512799999999999</v>
      </c>
      <c r="BI587">
        <v>-35.155999999999999</v>
      </c>
      <c r="BJ587">
        <v>-35.124000000000002</v>
      </c>
      <c r="BK587" t="s">
        <v>134</v>
      </c>
      <c r="BL587" t="s">
        <v>134</v>
      </c>
      <c r="BM587" t="s">
        <v>134</v>
      </c>
      <c r="BN587" t="s">
        <v>134</v>
      </c>
      <c r="BO587" t="s">
        <v>134</v>
      </c>
      <c r="BP587" t="s">
        <v>134</v>
      </c>
      <c r="BQ587" t="s">
        <v>134</v>
      </c>
      <c r="BR587" t="s">
        <v>134</v>
      </c>
      <c r="BS587" t="s">
        <v>134</v>
      </c>
      <c r="BT587" t="s">
        <v>134</v>
      </c>
      <c r="BU587" t="s">
        <v>134</v>
      </c>
      <c r="BV587" t="s">
        <v>134</v>
      </c>
      <c r="BW587" t="s">
        <v>134</v>
      </c>
      <c r="BX587" t="s">
        <v>134</v>
      </c>
      <c r="BY587">
        <v>584.16999999999996</v>
      </c>
      <c r="BZ587">
        <v>579.16999999999996</v>
      </c>
      <c r="CA587">
        <v>5</v>
      </c>
      <c r="CB587">
        <v>7.5499999999999998E-2</v>
      </c>
      <c r="CC587">
        <v>-0.38140000000000002</v>
      </c>
      <c r="CD587">
        <v>8.8999999999999996E-2</v>
      </c>
      <c r="CE587">
        <v>-0.44979999999999998</v>
      </c>
      <c r="CF587">
        <v>28.8491</v>
      </c>
      <c r="CG587">
        <v>68.4773</v>
      </c>
      <c r="CH587">
        <v>2.1999999999999999E-2</v>
      </c>
      <c r="CI587">
        <v>2.1399999999999999E-2</v>
      </c>
      <c r="CJ587">
        <v>1.5100000000000001E-2</v>
      </c>
      <c r="CK587">
        <v>2.5670000000000002</v>
      </c>
      <c r="CL587">
        <v>2.5028000000000001</v>
      </c>
      <c r="CM587">
        <v>1.7618</v>
      </c>
      <c r="CN587">
        <v>-12.969099999999999</v>
      </c>
      <c r="CO587">
        <v>-14.9017</v>
      </c>
      <c r="CP587">
        <v>1338.6</v>
      </c>
      <c r="CQ587" t="s">
        <v>134</v>
      </c>
      <c r="CR587">
        <v>1033</v>
      </c>
      <c r="CS587">
        <v>0.36899999999999999</v>
      </c>
      <c r="CT587">
        <v>1.7433999999999998</v>
      </c>
      <c r="CU587">
        <v>0.98080000000000001</v>
      </c>
      <c r="CV587">
        <v>20.5349</v>
      </c>
      <c r="CW587">
        <v>8.6814999999999998</v>
      </c>
      <c r="CX587">
        <v>42.043599999999998</v>
      </c>
      <c r="CY587">
        <v>4.3421000000000003</v>
      </c>
      <c r="CZ587">
        <v>84.060599999999994</v>
      </c>
      <c r="DA587">
        <v>8.0523000000000007</v>
      </c>
      <c r="DB587">
        <v>45.328899999999997</v>
      </c>
      <c r="DC587">
        <v>80.775300000000001</v>
      </c>
      <c r="DD587">
        <v>126.10420000000001</v>
      </c>
      <c r="DE587">
        <v>6410.35</v>
      </c>
      <c r="DF587">
        <v>2106.5500000000002</v>
      </c>
      <c r="DG587">
        <v>530.46</v>
      </c>
      <c r="DH587">
        <v>3734.29</v>
      </c>
      <c r="DI587">
        <v>39.049999999999997</v>
      </c>
    </row>
    <row r="588" spans="1:113" x14ac:dyDescent="0.3">
      <c r="D588" t="s">
        <v>9</v>
      </c>
      <c r="E588" t="s">
        <v>3</v>
      </c>
      <c r="F588">
        <v>29.902100000000001</v>
      </c>
      <c r="G588">
        <v>20.9178</v>
      </c>
      <c r="H588">
        <v>29.157599999999999</v>
      </c>
      <c r="I588">
        <v>28.212599999999998</v>
      </c>
      <c r="J588">
        <v>22.067399999999999</v>
      </c>
      <c r="K588">
        <v>19.575099999999999</v>
      </c>
      <c r="L588">
        <v>74.241900000000001</v>
      </c>
      <c r="M588">
        <v>20.191199999999998</v>
      </c>
      <c r="N588">
        <v>14.2156</v>
      </c>
      <c r="O588">
        <v>14.145199999999999</v>
      </c>
      <c r="P588">
        <v>14.145199999999999</v>
      </c>
      <c r="Q588">
        <v>29.866499999999998</v>
      </c>
      <c r="R588">
        <v>28.151700000000002</v>
      </c>
      <c r="S588">
        <v>21.484200000000001</v>
      </c>
      <c r="T588">
        <v>10.806900000000001</v>
      </c>
      <c r="U588">
        <v>51.781500000000001</v>
      </c>
      <c r="V588">
        <v>58.703899999999997</v>
      </c>
      <c r="W588">
        <v>47.404499999999999</v>
      </c>
      <c r="X588">
        <v>47.447400000000002</v>
      </c>
      <c r="Y588">
        <v>43.103400000000001</v>
      </c>
      <c r="Z588">
        <v>24.446999999999999</v>
      </c>
      <c r="AA588">
        <v>-1.8773</v>
      </c>
      <c r="AB588">
        <v>6.8283000000000005</v>
      </c>
      <c r="AC588">
        <v>17.865300000000001</v>
      </c>
      <c r="AD588">
        <v>9.3829999999999991</v>
      </c>
      <c r="AE588">
        <v>66.602900000000005</v>
      </c>
      <c r="AF588">
        <v>14.236599999999999</v>
      </c>
      <c r="AG588">
        <v>30.229500000000002</v>
      </c>
      <c r="AH588">
        <v>45.139299999999999</v>
      </c>
      <c r="AI588">
        <v>24.166499999999999</v>
      </c>
      <c r="AJ588">
        <v>24.691400000000002</v>
      </c>
      <c r="AK588">
        <v>22.560700000000001</v>
      </c>
      <c r="AL588">
        <v>56.571399999999997</v>
      </c>
      <c r="AM588">
        <v>15.101599999999999</v>
      </c>
      <c r="AN588">
        <v>20.220099999999999</v>
      </c>
      <c r="AO588">
        <v>20.590199999999999</v>
      </c>
      <c r="AP588">
        <v>19.4998</v>
      </c>
      <c r="AQ588">
        <v>19.8371</v>
      </c>
      <c r="AR588">
        <v>18.8508</v>
      </c>
      <c r="AS588">
        <v>16.0822</v>
      </c>
      <c r="AT588">
        <v>8.9788999999999994</v>
      </c>
      <c r="AU588">
        <v>8.0086999999999993</v>
      </c>
      <c r="AV588">
        <v>13.8559</v>
      </c>
      <c r="AW588">
        <v>6.1623999999999999</v>
      </c>
      <c r="AX588">
        <v>20.638000000000002</v>
      </c>
      <c r="AY588">
        <v>67.121799999999993</v>
      </c>
      <c r="AZ588">
        <v>9.8400000000000001E-2</v>
      </c>
      <c r="BA588">
        <v>-24.0717</v>
      </c>
      <c r="BB588">
        <v>21.100100000000001</v>
      </c>
      <c r="BC588">
        <v>15.419599999999999</v>
      </c>
      <c r="BD588">
        <v>20.426500000000001</v>
      </c>
      <c r="BE588">
        <v>25.521799999999999</v>
      </c>
      <c r="BF588">
        <v>10.806900000000001</v>
      </c>
      <c r="BG588">
        <v>51.781500000000001</v>
      </c>
      <c r="BH588">
        <v>58.703899999999997</v>
      </c>
      <c r="BI588">
        <v>47.404499999999999</v>
      </c>
      <c r="BJ588">
        <v>47.447400000000002</v>
      </c>
      <c r="BK588">
        <v>43.103400000000001</v>
      </c>
      <c r="BL588">
        <v>24.446999999999999</v>
      </c>
      <c r="BM588">
        <v>-1.8773</v>
      </c>
      <c r="BN588">
        <v>6.8283000000000005</v>
      </c>
      <c r="BO588">
        <v>17.865300000000001</v>
      </c>
      <c r="BP588">
        <v>9.3829999999999991</v>
      </c>
      <c r="BQ588">
        <v>66.602900000000005</v>
      </c>
      <c r="BR588">
        <v>14.236599999999999</v>
      </c>
      <c r="BS588">
        <v>30.229500000000002</v>
      </c>
      <c r="BT588">
        <v>45.139299999999999</v>
      </c>
      <c r="BU588">
        <v>24.166499999999999</v>
      </c>
      <c r="BV588">
        <v>24.691400000000002</v>
      </c>
      <c r="BW588">
        <v>22.560700000000001</v>
      </c>
      <c r="BX588">
        <v>56.571399999999997</v>
      </c>
      <c r="BY588">
        <v>847.86</v>
      </c>
      <c r="BZ588">
        <v>754.25</v>
      </c>
      <c r="CA588">
        <v>93.61</v>
      </c>
      <c r="CB588">
        <v>7.1900000000000006E-2</v>
      </c>
      <c r="CC588">
        <v>-0.48730000000000001</v>
      </c>
      <c r="CD588">
        <v>8.1100000000000005E-2</v>
      </c>
      <c r="CE588">
        <v>-0.5494</v>
      </c>
      <c r="CF588">
        <v>156.59690000000001</v>
      </c>
      <c r="CG588">
        <v>71.206999999999994</v>
      </c>
      <c r="CH588">
        <v>0.33129999999999998</v>
      </c>
      <c r="CI588">
        <v>0.3216</v>
      </c>
      <c r="CJ588">
        <v>0.23949999999999999</v>
      </c>
      <c r="CK588">
        <v>3.0005999999999999</v>
      </c>
      <c r="CL588">
        <v>2.9131999999999998</v>
      </c>
      <c r="CM588">
        <v>2.1694</v>
      </c>
      <c r="CN588">
        <v>-20.328199999999999</v>
      </c>
      <c r="CO588">
        <v>-25.515000000000001</v>
      </c>
      <c r="CP588">
        <v>11787.05</v>
      </c>
      <c r="CQ588">
        <v>9744.4699999999993</v>
      </c>
      <c r="CR588">
        <v>10455.780000000001</v>
      </c>
      <c r="CS588">
        <v>0.68559999999999999</v>
      </c>
      <c r="CT588">
        <v>2.2326000000000001</v>
      </c>
      <c r="CU588">
        <v>1.4442999999999999</v>
      </c>
      <c r="CV588">
        <v>20.888400000000001</v>
      </c>
      <c r="CW588">
        <v>8.1205999999999996</v>
      </c>
      <c r="CX588">
        <v>45.070500000000003</v>
      </c>
      <c r="CY588">
        <v>4.0385999999999997</v>
      </c>
      <c r="CZ588">
        <v>90.624600000000001</v>
      </c>
      <c r="DA588">
        <v>7.1795999999999998</v>
      </c>
      <c r="DB588">
        <v>50.977699999999999</v>
      </c>
      <c r="DC588">
        <v>84.717399999999998</v>
      </c>
      <c r="DD588">
        <v>135.6951</v>
      </c>
      <c r="DE588">
        <v>6290.01</v>
      </c>
      <c r="DF588">
        <v>2120.38</v>
      </c>
      <c r="DG588">
        <v>555.54999999999995</v>
      </c>
      <c r="DH588">
        <v>3583.67</v>
      </c>
      <c r="DI588">
        <v>30.41</v>
      </c>
    </row>
    <row r="589" spans="1:113" x14ac:dyDescent="0.3">
      <c r="E589" t="s">
        <v>4</v>
      </c>
      <c r="F589" t="s">
        <v>134</v>
      </c>
      <c r="G589" t="s">
        <v>134</v>
      </c>
      <c r="H589" t="s">
        <v>134</v>
      </c>
      <c r="I589" t="s">
        <v>134</v>
      </c>
      <c r="J589">
        <v>23.505800000000001</v>
      </c>
      <c r="K589">
        <v>21.307700000000001</v>
      </c>
      <c r="L589">
        <v>77.686400000000006</v>
      </c>
      <c r="M589">
        <v>21.793199999999999</v>
      </c>
      <c r="N589">
        <v>15.4854</v>
      </c>
      <c r="O589">
        <v>15.4245</v>
      </c>
      <c r="P589">
        <v>15.4245</v>
      </c>
      <c r="Q589">
        <v>29.056999999999999</v>
      </c>
      <c r="R589" t="s">
        <v>134</v>
      </c>
      <c r="S589" t="s">
        <v>134</v>
      </c>
      <c r="T589">
        <v>9.2706</v>
      </c>
      <c r="U589">
        <v>42.989699999999999</v>
      </c>
      <c r="V589">
        <v>44.785800000000002</v>
      </c>
      <c r="W589">
        <v>33.829799999999999</v>
      </c>
      <c r="X589">
        <v>33.738599999999998</v>
      </c>
      <c r="Y589" t="s">
        <v>134</v>
      </c>
      <c r="Z589" t="s">
        <v>134</v>
      </c>
      <c r="AA589" t="s">
        <v>134</v>
      </c>
      <c r="AB589" t="s">
        <v>134</v>
      </c>
      <c r="AC589" t="s">
        <v>134</v>
      </c>
      <c r="AD589" t="s">
        <v>134</v>
      </c>
      <c r="AE589" t="s">
        <v>134</v>
      </c>
      <c r="AF589" t="s">
        <v>134</v>
      </c>
      <c r="AG589" t="s">
        <v>134</v>
      </c>
      <c r="AH589" t="s">
        <v>134</v>
      </c>
      <c r="AI589" t="s">
        <v>134</v>
      </c>
      <c r="AJ589" t="s">
        <v>134</v>
      </c>
      <c r="AK589" t="s">
        <v>134</v>
      </c>
      <c r="AL589" t="s">
        <v>134</v>
      </c>
      <c r="AM589">
        <v>15.9298</v>
      </c>
      <c r="AN589">
        <v>16.961400000000001</v>
      </c>
      <c r="AO589">
        <v>16.972300000000001</v>
      </c>
      <c r="AP589">
        <v>16.737200000000001</v>
      </c>
      <c r="AQ589">
        <v>17.080500000000001</v>
      </c>
      <c r="AR589" t="s">
        <v>134</v>
      </c>
      <c r="AS589" t="s">
        <v>134</v>
      </c>
      <c r="AT589" t="s">
        <v>134</v>
      </c>
      <c r="AU589" t="s">
        <v>134</v>
      </c>
      <c r="AV589" t="s">
        <v>134</v>
      </c>
      <c r="AW589" t="s">
        <v>134</v>
      </c>
      <c r="AX589" t="s">
        <v>134</v>
      </c>
      <c r="AY589" t="s">
        <v>134</v>
      </c>
      <c r="AZ589" t="s">
        <v>134</v>
      </c>
      <c r="BA589" t="s">
        <v>134</v>
      </c>
      <c r="BB589" t="s">
        <v>134</v>
      </c>
      <c r="BC589" t="s">
        <v>134</v>
      </c>
      <c r="BD589" t="s">
        <v>134</v>
      </c>
      <c r="BE589" t="s">
        <v>134</v>
      </c>
      <c r="BF589">
        <v>40.938299999999998</v>
      </c>
      <c r="BG589">
        <v>156.7533</v>
      </c>
      <c r="BH589">
        <v>201.59729999999999</v>
      </c>
      <c r="BI589">
        <v>179.67509999999999</v>
      </c>
      <c r="BJ589">
        <v>180.25479999999999</v>
      </c>
      <c r="BK589" t="s">
        <v>134</v>
      </c>
      <c r="BL589" t="s">
        <v>134</v>
      </c>
      <c r="BM589" t="s">
        <v>134</v>
      </c>
      <c r="BN589" t="s">
        <v>134</v>
      </c>
      <c r="BO589" t="s">
        <v>134</v>
      </c>
      <c r="BP589" t="s">
        <v>134</v>
      </c>
      <c r="BQ589" t="s">
        <v>134</v>
      </c>
      <c r="BR589" t="s">
        <v>134</v>
      </c>
      <c r="BS589" t="s">
        <v>134</v>
      </c>
      <c r="BT589" t="s">
        <v>134</v>
      </c>
      <c r="BU589" t="s">
        <v>134</v>
      </c>
      <c r="BV589" t="s">
        <v>134</v>
      </c>
      <c r="BW589" t="s">
        <v>134</v>
      </c>
      <c r="BX589" t="s">
        <v>134</v>
      </c>
      <c r="BY589" t="s">
        <v>134</v>
      </c>
      <c r="BZ589" t="s">
        <v>134</v>
      </c>
      <c r="CA589" t="s">
        <v>134</v>
      </c>
      <c r="CB589" t="s">
        <v>134</v>
      </c>
      <c r="CC589" t="s">
        <v>134</v>
      </c>
      <c r="CD589" t="s">
        <v>134</v>
      </c>
      <c r="CE589" t="s">
        <v>134</v>
      </c>
      <c r="CF589">
        <v>88.125600000000006</v>
      </c>
      <c r="CG589" t="s">
        <v>134</v>
      </c>
      <c r="CH589" t="s">
        <v>134</v>
      </c>
      <c r="CI589" t="s">
        <v>134</v>
      </c>
      <c r="CJ589" t="s">
        <v>134</v>
      </c>
      <c r="CK589" t="s">
        <v>134</v>
      </c>
      <c r="CL589" t="s">
        <v>134</v>
      </c>
      <c r="CM589" t="s">
        <v>134</v>
      </c>
      <c r="CN589" t="s">
        <v>134</v>
      </c>
      <c r="CO589" t="s">
        <v>134</v>
      </c>
      <c r="CP589">
        <v>3436.9</v>
      </c>
      <c r="CQ589" t="s">
        <v>134</v>
      </c>
      <c r="CR589">
        <v>3115.5</v>
      </c>
      <c r="CS589" t="s">
        <v>134</v>
      </c>
      <c r="CT589" t="s">
        <v>134</v>
      </c>
      <c r="CU589" t="s">
        <v>134</v>
      </c>
      <c r="CV589" t="s">
        <v>134</v>
      </c>
      <c r="CW589" t="s">
        <v>134</v>
      </c>
      <c r="CX589" t="s">
        <v>134</v>
      </c>
      <c r="CY589" t="s">
        <v>134</v>
      </c>
      <c r="CZ589" t="s">
        <v>134</v>
      </c>
      <c r="DA589" t="s">
        <v>134</v>
      </c>
      <c r="DB589" t="s">
        <v>134</v>
      </c>
      <c r="DC589" t="s">
        <v>134</v>
      </c>
      <c r="DD589" t="s">
        <v>134</v>
      </c>
      <c r="DE589" t="s">
        <v>134</v>
      </c>
      <c r="DF589" t="s">
        <v>134</v>
      </c>
      <c r="DG589" t="s">
        <v>134</v>
      </c>
      <c r="DH589" t="s">
        <v>134</v>
      </c>
      <c r="DI589" t="s">
        <v>134</v>
      </c>
    </row>
    <row r="590" spans="1:113" x14ac:dyDescent="0.3">
      <c r="E590" t="s">
        <v>5</v>
      </c>
      <c r="F590">
        <v>25.525700000000001</v>
      </c>
      <c r="G590">
        <v>17.662500000000001</v>
      </c>
      <c r="H590">
        <v>24.705400000000001</v>
      </c>
      <c r="I590">
        <v>23.380800000000001</v>
      </c>
      <c r="J590">
        <v>22.9466</v>
      </c>
      <c r="K590">
        <v>20.442499999999999</v>
      </c>
      <c r="L590">
        <v>144.2201</v>
      </c>
      <c r="M590">
        <v>21.047799999999999</v>
      </c>
      <c r="N590">
        <v>14.7201</v>
      </c>
      <c r="O590">
        <v>14.5953</v>
      </c>
      <c r="P590">
        <v>14.5953</v>
      </c>
      <c r="Q590">
        <v>30.229700000000001</v>
      </c>
      <c r="R590" t="s">
        <v>134</v>
      </c>
      <c r="S590" t="s">
        <v>134</v>
      </c>
      <c r="T590">
        <v>5.1963999999999997</v>
      </c>
      <c r="U590">
        <v>46.128500000000003</v>
      </c>
      <c r="V590">
        <v>53.49</v>
      </c>
      <c r="W590">
        <v>38.012999999999998</v>
      </c>
      <c r="X590">
        <v>38.007399999999997</v>
      </c>
      <c r="Y590" t="s">
        <v>134</v>
      </c>
      <c r="Z590">
        <v>15.1792</v>
      </c>
      <c r="AA590">
        <v>6.5311000000000003</v>
      </c>
      <c r="AB590">
        <v>5.2244000000000002</v>
      </c>
      <c r="AC590">
        <v>12.498699999999999</v>
      </c>
      <c r="AD590">
        <v>13.5822</v>
      </c>
      <c r="AE590">
        <v>49.734900000000003</v>
      </c>
      <c r="AF590">
        <v>5.2798999999999996</v>
      </c>
      <c r="AG590">
        <v>-67.129000000000005</v>
      </c>
      <c r="AH590">
        <v>-65.821200000000005</v>
      </c>
      <c r="AI590">
        <v>21.0334</v>
      </c>
      <c r="AJ590">
        <v>15.1386</v>
      </c>
      <c r="AK590">
        <v>19.4727</v>
      </c>
      <c r="AL590" t="s">
        <v>134</v>
      </c>
      <c r="AM590">
        <v>14.8125</v>
      </c>
      <c r="AN590">
        <v>19.058</v>
      </c>
      <c r="AO590">
        <v>19.299399999999999</v>
      </c>
      <c r="AP590">
        <v>19.3261</v>
      </c>
      <c r="AQ590">
        <v>19.730699999999999</v>
      </c>
      <c r="AR590" t="s">
        <v>134</v>
      </c>
      <c r="AS590">
        <v>16.558900000000001</v>
      </c>
      <c r="AT590">
        <v>12.3009</v>
      </c>
      <c r="AU590">
        <v>11.553900000000001</v>
      </c>
      <c r="AV590">
        <v>14.677099999999999</v>
      </c>
      <c r="AW590">
        <v>7.8815999999999997</v>
      </c>
      <c r="AX590">
        <v>20.892199999999999</v>
      </c>
      <c r="AY590" t="s">
        <v>134</v>
      </c>
      <c r="AZ590" t="s">
        <v>134</v>
      </c>
      <c r="BA590">
        <v>-40.857599999999998</v>
      </c>
      <c r="BB590">
        <v>20.892199999999999</v>
      </c>
      <c r="BC590">
        <v>8.7348999999999997</v>
      </c>
      <c r="BD590">
        <v>20.223299999999998</v>
      </c>
      <c r="BE590" t="s">
        <v>134</v>
      </c>
      <c r="BF590">
        <v>-10.1706</v>
      </c>
      <c r="BG590">
        <v>-11.9489</v>
      </c>
      <c r="BH590">
        <v>-15.597899999999999</v>
      </c>
      <c r="BI590">
        <v>-18.272500000000001</v>
      </c>
      <c r="BJ590">
        <v>-18.251300000000001</v>
      </c>
      <c r="BK590" t="s">
        <v>134</v>
      </c>
      <c r="BL590" t="s">
        <v>134</v>
      </c>
      <c r="BM590" t="s">
        <v>134</v>
      </c>
      <c r="BN590" t="s">
        <v>134</v>
      </c>
      <c r="BO590" t="s">
        <v>134</v>
      </c>
      <c r="BP590" t="s">
        <v>134</v>
      </c>
      <c r="BQ590" t="s">
        <v>134</v>
      </c>
      <c r="BR590" t="s">
        <v>134</v>
      </c>
      <c r="BS590" t="s">
        <v>134</v>
      </c>
      <c r="BT590" t="s">
        <v>134</v>
      </c>
      <c r="BU590" t="s">
        <v>134</v>
      </c>
      <c r="BV590" t="s">
        <v>134</v>
      </c>
      <c r="BW590" t="s">
        <v>134</v>
      </c>
      <c r="BX590" t="s">
        <v>134</v>
      </c>
      <c r="BY590">
        <v>561.9</v>
      </c>
      <c r="BZ590">
        <v>540.4</v>
      </c>
      <c r="CA590">
        <v>21.5</v>
      </c>
      <c r="CB590">
        <v>5.79E-2</v>
      </c>
      <c r="CC590">
        <v>-0.47499999999999998</v>
      </c>
      <c r="CD590">
        <v>6.59E-2</v>
      </c>
      <c r="CE590">
        <v>-0.54090000000000005</v>
      </c>
      <c r="CF590">
        <v>98.172600000000003</v>
      </c>
      <c r="CG590">
        <v>71.155799999999999</v>
      </c>
      <c r="CH590">
        <v>7.8700000000000006E-2</v>
      </c>
      <c r="CI590">
        <v>7.7100000000000002E-2</v>
      </c>
      <c r="CJ590">
        <v>5.6800000000000003E-2</v>
      </c>
      <c r="CK590">
        <v>2.0560999999999998</v>
      </c>
      <c r="CL590">
        <v>2.0146999999999999</v>
      </c>
      <c r="CM590">
        <v>1.4847999999999999</v>
      </c>
      <c r="CN590">
        <v>-16.876100000000001</v>
      </c>
      <c r="CO590">
        <v>-20.302299999999999</v>
      </c>
      <c r="CP590">
        <v>3013.9</v>
      </c>
      <c r="CQ590" t="s">
        <v>134</v>
      </c>
      <c r="CR590">
        <v>2685</v>
      </c>
      <c r="CS590">
        <v>0.53510000000000002</v>
      </c>
      <c r="CT590">
        <v>2.1246999999999998</v>
      </c>
      <c r="CU590">
        <v>1.3814</v>
      </c>
      <c r="CV590">
        <v>20.027999999999999</v>
      </c>
      <c r="CW590">
        <v>6.5541999999999998</v>
      </c>
      <c r="CX590">
        <v>55.6892</v>
      </c>
      <c r="CY590">
        <v>4.3874000000000004</v>
      </c>
      <c r="CZ590">
        <v>83.192800000000005</v>
      </c>
      <c r="DA590">
        <v>7.2957000000000001</v>
      </c>
      <c r="DB590">
        <v>50.029499999999999</v>
      </c>
      <c r="DC590">
        <v>88.852500000000006</v>
      </c>
      <c r="DD590">
        <v>138.8819</v>
      </c>
      <c r="DE590">
        <v>6180.4</v>
      </c>
      <c r="DF590" t="s">
        <v>134</v>
      </c>
      <c r="DG590" t="s">
        <v>134</v>
      </c>
      <c r="DH590" t="s">
        <v>134</v>
      </c>
      <c r="DI590" t="s">
        <v>134</v>
      </c>
    </row>
    <row r="591" spans="1:113" x14ac:dyDescent="0.3">
      <c r="E591" t="s">
        <v>6</v>
      </c>
      <c r="F591" t="s">
        <v>134</v>
      </c>
      <c r="G591" t="s">
        <v>134</v>
      </c>
      <c r="H591" t="s">
        <v>134</v>
      </c>
      <c r="I591" t="s">
        <v>134</v>
      </c>
      <c r="J591">
        <v>22.161300000000001</v>
      </c>
      <c r="K591">
        <v>19.683700000000002</v>
      </c>
      <c r="L591">
        <v>73.201899999999995</v>
      </c>
      <c r="M591">
        <v>20.124300000000002</v>
      </c>
      <c r="N591">
        <v>14.010899999999999</v>
      </c>
      <c r="O591">
        <v>13.9396</v>
      </c>
      <c r="P591">
        <v>13.9396</v>
      </c>
      <c r="Q591">
        <v>30.6616</v>
      </c>
      <c r="R591" t="s">
        <v>134</v>
      </c>
      <c r="S591" t="s">
        <v>134</v>
      </c>
      <c r="T591">
        <v>11.366300000000001</v>
      </c>
      <c r="U591">
        <v>52.660200000000003</v>
      </c>
      <c r="V591">
        <v>61.176299999999998</v>
      </c>
      <c r="W591">
        <v>49.340600000000002</v>
      </c>
      <c r="X591">
        <v>49.586799999999997</v>
      </c>
      <c r="Y591" t="s">
        <v>134</v>
      </c>
      <c r="Z591" t="s">
        <v>134</v>
      </c>
      <c r="AA591" t="s">
        <v>134</v>
      </c>
      <c r="AB591" t="s">
        <v>134</v>
      </c>
      <c r="AC591" t="s">
        <v>134</v>
      </c>
      <c r="AD591" t="s">
        <v>134</v>
      </c>
      <c r="AE591" t="s">
        <v>134</v>
      </c>
      <c r="AF591" t="s">
        <v>134</v>
      </c>
      <c r="AG591" t="s">
        <v>134</v>
      </c>
      <c r="AH591" t="s">
        <v>134</v>
      </c>
      <c r="AI591" t="s">
        <v>134</v>
      </c>
      <c r="AJ591" t="s">
        <v>134</v>
      </c>
      <c r="AK591" t="s">
        <v>134</v>
      </c>
      <c r="AL591" t="s">
        <v>134</v>
      </c>
      <c r="AM591">
        <v>15.107200000000001</v>
      </c>
      <c r="AN591">
        <v>19.931000000000001</v>
      </c>
      <c r="AO591">
        <v>20.268799999999999</v>
      </c>
      <c r="AP591">
        <v>18.1693</v>
      </c>
      <c r="AQ591">
        <v>18.488299999999999</v>
      </c>
      <c r="AR591" t="s">
        <v>134</v>
      </c>
      <c r="AS591" t="s">
        <v>134</v>
      </c>
      <c r="AT591" t="s">
        <v>134</v>
      </c>
      <c r="AU591" t="s">
        <v>134</v>
      </c>
      <c r="AV591" t="s">
        <v>134</v>
      </c>
      <c r="AW591" t="s">
        <v>134</v>
      </c>
      <c r="AX591" t="s">
        <v>134</v>
      </c>
      <c r="AY591" t="s">
        <v>134</v>
      </c>
      <c r="AZ591" t="s">
        <v>134</v>
      </c>
      <c r="BA591" t="s">
        <v>134</v>
      </c>
      <c r="BB591" t="s">
        <v>134</v>
      </c>
      <c r="BC591" t="s">
        <v>134</v>
      </c>
      <c r="BD591" t="s">
        <v>134</v>
      </c>
      <c r="BE591" t="s">
        <v>134</v>
      </c>
      <c r="BF591">
        <v>1.6402000000000001</v>
      </c>
      <c r="BG591">
        <v>-1.8938999999999999</v>
      </c>
      <c r="BH591">
        <v>-5.0301</v>
      </c>
      <c r="BI591">
        <v>-9.1212</v>
      </c>
      <c r="BJ591">
        <v>-9.2049000000000003</v>
      </c>
      <c r="BK591" t="s">
        <v>134</v>
      </c>
      <c r="BL591" t="s">
        <v>134</v>
      </c>
      <c r="BM591" t="s">
        <v>134</v>
      </c>
      <c r="BN591" t="s">
        <v>134</v>
      </c>
      <c r="BO591" t="s">
        <v>134</v>
      </c>
      <c r="BP591" t="s">
        <v>134</v>
      </c>
      <c r="BQ591" t="s">
        <v>134</v>
      </c>
      <c r="BR591" t="s">
        <v>134</v>
      </c>
      <c r="BS591" t="s">
        <v>134</v>
      </c>
      <c r="BT591" t="s">
        <v>134</v>
      </c>
      <c r="BU591" t="s">
        <v>134</v>
      </c>
      <c r="BV591" t="s">
        <v>134</v>
      </c>
      <c r="BW591" t="s">
        <v>134</v>
      </c>
      <c r="BX591" t="s">
        <v>134</v>
      </c>
      <c r="BY591" t="s">
        <v>134</v>
      </c>
      <c r="BZ591" t="s">
        <v>134</v>
      </c>
      <c r="CA591" t="s">
        <v>134</v>
      </c>
      <c r="CB591" t="s">
        <v>134</v>
      </c>
      <c r="CC591" t="s">
        <v>134</v>
      </c>
      <c r="CD591" t="s">
        <v>134</v>
      </c>
      <c r="CE591" t="s">
        <v>134</v>
      </c>
      <c r="CF591">
        <v>94.332300000000004</v>
      </c>
      <c r="CG591" t="s">
        <v>134</v>
      </c>
      <c r="CH591" t="s">
        <v>134</v>
      </c>
      <c r="CI591" t="s">
        <v>134</v>
      </c>
      <c r="CJ591" t="s">
        <v>134</v>
      </c>
      <c r="CK591" t="s">
        <v>134</v>
      </c>
      <c r="CL591" t="s">
        <v>134</v>
      </c>
      <c r="CM591" t="s">
        <v>134</v>
      </c>
      <c r="CN591" t="s">
        <v>134</v>
      </c>
      <c r="CO591" t="s">
        <v>134</v>
      </c>
      <c r="CP591">
        <v>2952.6</v>
      </c>
      <c r="CQ591" t="s">
        <v>134</v>
      </c>
      <c r="CR591">
        <v>2622.5</v>
      </c>
      <c r="CS591" t="s">
        <v>134</v>
      </c>
      <c r="CT591" t="s">
        <v>134</v>
      </c>
      <c r="CU591" t="s">
        <v>134</v>
      </c>
      <c r="CV591" t="s">
        <v>134</v>
      </c>
      <c r="CW591" t="s">
        <v>134</v>
      </c>
      <c r="CX591" t="s">
        <v>134</v>
      </c>
      <c r="CY591" t="s">
        <v>134</v>
      </c>
      <c r="CZ591" t="s">
        <v>134</v>
      </c>
      <c r="DA591" t="s">
        <v>134</v>
      </c>
      <c r="DB591" t="s">
        <v>134</v>
      </c>
      <c r="DC591" t="s">
        <v>134</v>
      </c>
      <c r="DD591" t="s">
        <v>134</v>
      </c>
      <c r="DE591" t="s">
        <v>134</v>
      </c>
      <c r="DF591" t="s">
        <v>134</v>
      </c>
      <c r="DG591" t="s">
        <v>134</v>
      </c>
      <c r="DH591" t="s">
        <v>134</v>
      </c>
      <c r="DI591" t="s">
        <v>134</v>
      </c>
    </row>
    <row r="592" spans="1:113" x14ac:dyDescent="0.3">
      <c r="E592" t="s">
        <v>7</v>
      </c>
      <c r="F592">
        <v>31.294499999999999</v>
      </c>
      <c r="G592">
        <v>21.8918</v>
      </c>
      <c r="H592">
        <v>30.510999999999999</v>
      </c>
      <c r="I592">
        <v>28.5534</v>
      </c>
      <c r="J592">
        <v>19.325199999999999</v>
      </c>
      <c r="K592">
        <v>16.4803</v>
      </c>
      <c r="L592">
        <v>51.002400000000002</v>
      </c>
      <c r="M592">
        <v>17.452400000000001</v>
      </c>
      <c r="N592">
        <v>12.394299999999999</v>
      </c>
      <c r="O592">
        <v>12.371600000000001</v>
      </c>
      <c r="P592">
        <v>12.371600000000001</v>
      </c>
      <c r="Q592">
        <v>29.609300000000001</v>
      </c>
      <c r="R592" t="s">
        <v>134</v>
      </c>
      <c r="S592" t="s">
        <v>134</v>
      </c>
      <c r="T592">
        <v>18.895600000000002</v>
      </c>
      <c r="U592">
        <v>78.074100000000001</v>
      </c>
      <c r="V592">
        <v>96.786100000000005</v>
      </c>
      <c r="W592">
        <v>89.236099999999993</v>
      </c>
      <c r="X592">
        <v>89.808899999999994</v>
      </c>
      <c r="Y592" t="s">
        <v>134</v>
      </c>
      <c r="Z592">
        <v>24.446999999999999</v>
      </c>
      <c r="AA592">
        <v>-1.8773</v>
      </c>
      <c r="AB592">
        <v>6.8283000000000005</v>
      </c>
      <c r="AC592">
        <v>17.865300000000001</v>
      </c>
      <c r="AD592">
        <v>9.3829999999999991</v>
      </c>
      <c r="AE592">
        <v>66.602900000000005</v>
      </c>
      <c r="AF592">
        <v>14.236599999999999</v>
      </c>
      <c r="AG592">
        <v>30.229500000000002</v>
      </c>
      <c r="AH592">
        <v>45.139299999999999</v>
      </c>
      <c r="AI592">
        <v>24.166499999999999</v>
      </c>
      <c r="AJ592">
        <v>24.691400000000002</v>
      </c>
      <c r="AK592">
        <v>22.560700000000001</v>
      </c>
      <c r="AL592" t="s">
        <v>134</v>
      </c>
      <c r="AM592">
        <v>14.4559</v>
      </c>
      <c r="AN592">
        <v>25.389600000000002</v>
      </c>
      <c r="AO592">
        <v>26.895199999999999</v>
      </c>
      <c r="AP592">
        <v>27.006399999999999</v>
      </c>
      <c r="AQ592">
        <v>27.366199999999999</v>
      </c>
      <c r="AR592" t="s">
        <v>134</v>
      </c>
      <c r="AS592">
        <v>16.087599999999998</v>
      </c>
      <c r="AT592">
        <v>8.9788999999999994</v>
      </c>
      <c r="AU592">
        <v>7.7251000000000003</v>
      </c>
      <c r="AV592">
        <v>13.8863</v>
      </c>
      <c r="AW592">
        <v>11.0603</v>
      </c>
      <c r="AX592">
        <v>25.6602</v>
      </c>
      <c r="AY592">
        <v>16.641200000000001</v>
      </c>
      <c r="AZ592">
        <v>66.981300000000005</v>
      </c>
      <c r="BA592">
        <v>-24.313500000000001</v>
      </c>
      <c r="BB592">
        <v>21.100100000000001</v>
      </c>
      <c r="BC592">
        <v>15.332000000000001</v>
      </c>
      <c r="BD592">
        <v>20.426500000000001</v>
      </c>
      <c r="BE592" t="s">
        <v>134</v>
      </c>
      <c r="BF592">
        <v>-7.4269999999999996</v>
      </c>
      <c r="BG592">
        <v>-18.728300000000001</v>
      </c>
      <c r="BH592">
        <v>-24.287700000000001</v>
      </c>
      <c r="BI592">
        <v>-23.397400000000001</v>
      </c>
      <c r="BJ592">
        <v>-22.797899999999998</v>
      </c>
      <c r="BK592" t="s">
        <v>134</v>
      </c>
      <c r="BL592" t="s">
        <v>134</v>
      </c>
      <c r="BM592" t="s">
        <v>134</v>
      </c>
      <c r="BN592" t="s">
        <v>134</v>
      </c>
      <c r="BO592" t="s">
        <v>134</v>
      </c>
      <c r="BP592" t="s">
        <v>134</v>
      </c>
      <c r="BQ592" t="s">
        <v>134</v>
      </c>
      <c r="BR592" t="s">
        <v>134</v>
      </c>
      <c r="BS592" t="s">
        <v>134</v>
      </c>
      <c r="BT592" t="s">
        <v>134</v>
      </c>
      <c r="BU592" t="s">
        <v>134</v>
      </c>
      <c r="BV592" t="s">
        <v>134</v>
      </c>
      <c r="BW592" t="s">
        <v>134</v>
      </c>
      <c r="BX592" t="s">
        <v>134</v>
      </c>
      <c r="BY592">
        <v>847.86</v>
      </c>
      <c r="BZ592">
        <v>754.25</v>
      </c>
      <c r="CA592">
        <v>93.61</v>
      </c>
      <c r="CB592">
        <v>7.22E-2</v>
      </c>
      <c r="CC592">
        <v>-0.4889</v>
      </c>
      <c r="CD592">
        <v>7.9500000000000001E-2</v>
      </c>
      <c r="CE592">
        <v>-0.53879999999999995</v>
      </c>
      <c r="CF592">
        <v>75.195599999999999</v>
      </c>
      <c r="CG592">
        <v>71.206999999999994</v>
      </c>
      <c r="CH592">
        <v>0.33129999999999998</v>
      </c>
      <c r="CI592">
        <v>0.3216</v>
      </c>
      <c r="CJ592">
        <v>0.23949999999999999</v>
      </c>
      <c r="CK592">
        <v>3.0005999999999999</v>
      </c>
      <c r="CL592">
        <v>2.9131999999999998</v>
      </c>
      <c r="CM592">
        <v>2.1694</v>
      </c>
      <c r="CN592">
        <v>-20.328199999999999</v>
      </c>
      <c r="CO592">
        <v>-25.515000000000001</v>
      </c>
      <c r="CP592">
        <v>2383.6999999999998</v>
      </c>
      <c r="CQ592" t="s">
        <v>134</v>
      </c>
      <c r="CR592">
        <v>2032.8</v>
      </c>
      <c r="CS592">
        <v>0.68559999999999999</v>
      </c>
      <c r="CT592">
        <v>2.2326000000000001</v>
      </c>
      <c r="CU592">
        <v>1.4442999999999999</v>
      </c>
      <c r="CV592">
        <v>20.888400000000001</v>
      </c>
      <c r="CW592">
        <v>8.1167999999999996</v>
      </c>
      <c r="CX592">
        <v>45.091700000000003</v>
      </c>
      <c r="CY592">
        <v>4.0385999999999997</v>
      </c>
      <c r="CZ592">
        <v>90.624499999999998</v>
      </c>
      <c r="DA592">
        <v>7.1795999999999998</v>
      </c>
      <c r="DB592">
        <v>50.977699999999999</v>
      </c>
      <c r="DC592">
        <v>84.738500000000002</v>
      </c>
      <c r="DD592">
        <v>135.71619999999999</v>
      </c>
      <c r="DE592">
        <v>6290.01</v>
      </c>
      <c r="DF592">
        <v>2120.38</v>
      </c>
      <c r="DG592">
        <v>555.54999999999995</v>
      </c>
      <c r="DH592">
        <v>3583.67</v>
      </c>
      <c r="DI592">
        <v>30.41</v>
      </c>
    </row>
    <row r="593" spans="1:113" x14ac:dyDescent="0.3">
      <c r="D593" t="s">
        <v>10</v>
      </c>
      <c r="E593" t="s">
        <v>3</v>
      </c>
      <c r="F593">
        <v>28.1553</v>
      </c>
      <c r="G593">
        <v>20.2514</v>
      </c>
      <c r="H593">
        <v>26.8809</v>
      </c>
      <c r="I593">
        <v>23.860700000000001</v>
      </c>
      <c r="J593">
        <v>22.692</v>
      </c>
      <c r="K593">
        <v>20.631499999999999</v>
      </c>
      <c r="L593">
        <v>29.453299999999999</v>
      </c>
      <c r="M593">
        <v>22.338799999999999</v>
      </c>
      <c r="N593">
        <v>15.448</v>
      </c>
      <c r="O593">
        <v>15.3902</v>
      </c>
      <c r="P593">
        <v>15.3902</v>
      </c>
      <c r="Q593">
        <v>30.846699999999998</v>
      </c>
      <c r="R593">
        <v>28.3171</v>
      </c>
      <c r="S593">
        <v>20.182500000000001</v>
      </c>
      <c r="T593">
        <v>4.7778999999999998</v>
      </c>
      <c r="U593">
        <v>7.6143999999999998</v>
      </c>
      <c r="V593">
        <v>6.9630999999999998</v>
      </c>
      <c r="W593">
        <v>7.1197999999999997</v>
      </c>
      <c r="X593">
        <v>7.1565000000000003</v>
      </c>
      <c r="Y593">
        <v>14.457800000000001</v>
      </c>
      <c r="Z593">
        <v>9.5426000000000002</v>
      </c>
      <c r="AA593">
        <v>14.8909</v>
      </c>
      <c r="AB593">
        <v>2.5190999999999999</v>
      </c>
      <c r="AC593">
        <v>28.373999999999999</v>
      </c>
      <c r="AD593">
        <v>15.083299999999999</v>
      </c>
      <c r="AE593">
        <v>70.841200000000001</v>
      </c>
      <c r="AF593">
        <v>4.3663999999999996</v>
      </c>
      <c r="AG593">
        <v>24.392499999999998</v>
      </c>
      <c r="AH593">
        <v>21.856999999999999</v>
      </c>
      <c r="AI593">
        <v>34.1937</v>
      </c>
      <c r="AJ593">
        <v>33.836199999999998</v>
      </c>
      <c r="AK593">
        <v>31.572099999999999</v>
      </c>
      <c r="AL593">
        <v>-11.9025</v>
      </c>
      <c r="AM593">
        <v>12.436</v>
      </c>
      <c r="AN593">
        <v>20.8155</v>
      </c>
      <c r="AO593">
        <v>21.867000000000001</v>
      </c>
      <c r="AP593">
        <v>21.5319</v>
      </c>
      <c r="AQ593">
        <v>21.901499999999999</v>
      </c>
      <c r="AR593">
        <v>20.112400000000001</v>
      </c>
      <c r="AS593">
        <v>14.2281</v>
      </c>
      <c r="AT593">
        <v>9.6814999999999998</v>
      </c>
      <c r="AU593">
        <v>0.51910000000000001</v>
      </c>
      <c r="AV593">
        <v>15.090400000000001</v>
      </c>
      <c r="AW593">
        <v>5.5786999999999995</v>
      </c>
      <c r="AX593">
        <v>37.753900000000002</v>
      </c>
      <c r="AY593">
        <v>102.3552</v>
      </c>
      <c r="AZ593">
        <v>-16.550799999999999</v>
      </c>
      <c r="BA593">
        <v>-21.2163</v>
      </c>
      <c r="BB593">
        <v>22.188400000000001</v>
      </c>
      <c r="BC593">
        <v>17.610399999999998</v>
      </c>
      <c r="BD593">
        <v>21.081800000000001</v>
      </c>
      <c r="BE593">
        <v>17.05</v>
      </c>
      <c r="BF593">
        <v>4.7778999999999998</v>
      </c>
      <c r="BG593">
        <v>7.6143999999999998</v>
      </c>
      <c r="BH593">
        <v>6.9630999999999998</v>
      </c>
      <c r="BI593">
        <v>7.1197999999999997</v>
      </c>
      <c r="BJ593">
        <v>7.1565000000000003</v>
      </c>
      <c r="BK593">
        <v>14.457800000000001</v>
      </c>
      <c r="BL593">
        <v>9.5426000000000002</v>
      </c>
      <c r="BM593">
        <v>14.8909</v>
      </c>
      <c r="BN593">
        <v>2.5190999999999999</v>
      </c>
      <c r="BO593">
        <v>28.373999999999999</v>
      </c>
      <c r="BP593">
        <v>15.083299999999999</v>
      </c>
      <c r="BQ593">
        <v>70.841200000000001</v>
      </c>
      <c r="BR593">
        <v>4.3663999999999996</v>
      </c>
      <c r="BS593">
        <v>24.392499999999998</v>
      </c>
      <c r="BT593">
        <v>21.856999999999999</v>
      </c>
      <c r="BU593">
        <v>34.1937</v>
      </c>
      <c r="BV593">
        <v>33.836199999999998</v>
      </c>
      <c r="BW593">
        <v>31.572099999999999</v>
      </c>
      <c r="BX593">
        <v>-11.9025</v>
      </c>
      <c r="BY593">
        <v>975.1</v>
      </c>
      <c r="BZ593">
        <v>926.6</v>
      </c>
      <c r="CA593">
        <v>48.5</v>
      </c>
      <c r="CB593">
        <v>7.6899999999999996E-2</v>
      </c>
      <c r="CC593">
        <v>-1.0952</v>
      </c>
      <c r="CD593">
        <v>8.4599999999999995E-2</v>
      </c>
      <c r="CE593">
        <v>-1.2046000000000001</v>
      </c>
      <c r="CF593">
        <v>188.69200000000001</v>
      </c>
      <c r="CG593">
        <v>72.701499999999996</v>
      </c>
      <c r="CH593">
        <v>0.1348</v>
      </c>
      <c r="CI593">
        <v>0.13120000000000001</v>
      </c>
      <c r="CJ593">
        <v>0.1016</v>
      </c>
      <c r="CK593">
        <v>2.7099000000000002</v>
      </c>
      <c r="CL593">
        <v>2.6383999999999999</v>
      </c>
      <c r="CM593">
        <v>2.0424000000000002</v>
      </c>
      <c r="CN593">
        <v>-38.595399999999998</v>
      </c>
      <c r="CO593">
        <v>-62.854199999999999</v>
      </c>
      <c r="CP593">
        <v>12680.1</v>
      </c>
      <c r="CQ593">
        <v>11349.5</v>
      </c>
      <c r="CR593">
        <v>11528.7</v>
      </c>
      <c r="CS593">
        <v>1.4537</v>
      </c>
      <c r="CT593">
        <v>3.0628000000000002</v>
      </c>
      <c r="CU593">
        <v>2.2054</v>
      </c>
      <c r="CV593">
        <v>21.581299999999999</v>
      </c>
      <c r="CW593">
        <v>7.6018999999999997</v>
      </c>
      <c r="CX593">
        <v>48.014099999999999</v>
      </c>
      <c r="CY593">
        <v>3.9609999999999999</v>
      </c>
      <c r="CZ593">
        <v>92.148399999999995</v>
      </c>
      <c r="DA593">
        <v>7.2318999999999996</v>
      </c>
      <c r="DB593">
        <v>50.470599999999997</v>
      </c>
      <c r="DC593">
        <v>89.691900000000004</v>
      </c>
      <c r="DD593">
        <v>140.16249999999999</v>
      </c>
      <c r="DE593">
        <v>7208.6</v>
      </c>
      <c r="DF593">
        <v>2737.2</v>
      </c>
      <c r="DG593">
        <v>564.29999999999995</v>
      </c>
      <c r="DH593">
        <v>3871.7</v>
      </c>
      <c r="DI593">
        <v>35.4</v>
      </c>
    </row>
    <row r="594" spans="1:113" x14ac:dyDescent="0.3">
      <c r="E594" t="s">
        <v>4</v>
      </c>
      <c r="F594" t="s">
        <v>134</v>
      </c>
      <c r="G594" t="s">
        <v>134</v>
      </c>
      <c r="H594" t="s">
        <v>134</v>
      </c>
      <c r="I594" t="s">
        <v>134</v>
      </c>
      <c r="J594">
        <v>25.2471</v>
      </c>
      <c r="K594">
        <v>23.598500000000001</v>
      </c>
      <c r="L594">
        <v>50.596600000000002</v>
      </c>
      <c r="M594">
        <v>24.888000000000002</v>
      </c>
      <c r="N594">
        <v>17.424499999999998</v>
      </c>
      <c r="O594">
        <v>17.424499999999998</v>
      </c>
      <c r="P594">
        <v>17.424499999999998</v>
      </c>
      <c r="Q594">
        <v>30.209399999999999</v>
      </c>
      <c r="R594" t="s">
        <v>134</v>
      </c>
      <c r="S594" t="s">
        <v>134</v>
      </c>
      <c r="T594">
        <v>6.8208000000000002</v>
      </c>
      <c r="U594">
        <v>15.2035</v>
      </c>
      <c r="V594">
        <v>15.8619</v>
      </c>
      <c r="W594">
        <v>16.0258</v>
      </c>
      <c r="X594">
        <v>16.025700000000001</v>
      </c>
      <c r="Y594" t="s">
        <v>134</v>
      </c>
      <c r="Z594" t="s">
        <v>134</v>
      </c>
      <c r="AA594" t="s">
        <v>134</v>
      </c>
      <c r="AB594" t="s">
        <v>134</v>
      </c>
      <c r="AC594" t="s">
        <v>134</v>
      </c>
      <c r="AD594" t="s">
        <v>134</v>
      </c>
      <c r="AE594" t="s">
        <v>134</v>
      </c>
      <c r="AF594" t="s">
        <v>134</v>
      </c>
      <c r="AG594" t="s">
        <v>134</v>
      </c>
      <c r="AH594" t="s">
        <v>134</v>
      </c>
      <c r="AI594" t="s">
        <v>134</v>
      </c>
      <c r="AJ594" t="s">
        <v>134</v>
      </c>
      <c r="AK594" t="s">
        <v>134</v>
      </c>
      <c r="AL594" t="s">
        <v>134</v>
      </c>
      <c r="AM594">
        <v>13.071199999999999</v>
      </c>
      <c r="AN594">
        <v>20.4847</v>
      </c>
      <c r="AO594">
        <v>21.368400000000001</v>
      </c>
      <c r="AP594">
        <v>21.072900000000001</v>
      </c>
      <c r="AQ594">
        <v>21.436699999999998</v>
      </c>
      <c r="AR594" t="s">
        <v>134</v>
      </c>
      <c r="AS594" t="s">
        <v>134</v>
      </c>
      <c r="AT594" t="s">
        <v>134</v>
      </c>
      <c r="AU594" t="s">
        <v>134</v>
      </c>
      <c r="AV594" t="s">
        <v>134</v>
      </c>
      <c r="AW594" t="s">
        <v>134</v>
      </c>
      <c r="AX594" t="s">
        <v>134</v>
      </c>
      <c r="AY594" t="s">
        <v>134</v>
      </c>
      <c r="AZ594" t="s">
        <v>134</v>
      </c>
      <c r="BA594" t="s">
        <v>134</v>
      </c>
      <c r="BB594" t="s">
        <v>134</v>
      </c>
      <c r="BC594" t="s">
        <v>134</v>
      </c>
      <c r="BD594" t="s">
        <v>134</v>
      </c>
      <c r="BE594" t="s">
        <v>134</v>
      </c>
      <c r="BF594">
        <v>26.459800000000001</v>
      </c>
      <c r="BG594">
        <v>65.566599999999994</v>
      </c>
      <c r="BH594">
        <v>74.269499999999994</v>
      </c>
      <c r="BI594">
        <v>60.959299999999999</v>
      </c>
      <c r="BJ594">
        <v>61.342599999999997</v>
      </c>
      <c r="BK594" t="s">
        <v>134</v>
      </c>
      <c r="BL594" t="s">
        <v>134</v>
      </c>
      <c r="BM594" t="s">
        <v>134</v>
      </c>
      <c r="BN594" t="s">
        <v>134</v>
      </c>
      <c r="BO594" t="s">
        <v>134</v>
      </c>
      <c r="BP594" t="s">
        <v>134</v>
      </c>
      <c r="BQ594" t="s">
        <v>134</v>
      </c>
      <c r="BR594" t="s">
        <v>134</v>
      </c>
      <c r="BS594" t="s">
        <v>134</v>
      </c>
      <c r="BT594" t="s">
        <v>134</v>
      </c>
      <c r="BU594" t="s">
        <v>134</v>
      </c>
      <c r="BV594" t="s">
        <v>134</v>
      </c>
      <c r="BW594" t="s">
        <v>134</v>
      </c>
      <c r="BX594" t="s">
        <v>134</v>
      </c>
      <c r="BY594" t="s">
        <v>134</v>
      </c>
      <c r="BZ594" t="s">
        <v>134</v>
      </c>
      <c r="CA594" t="s">
        <v>134</v>
      </c>
      <c r="CB594" t="s">
        <v>134</v>
      </c>
      <c r="CC594" t="s">
        <v>134</v>
      </c>
      <c r="CD594" t="s">
        <v>134</v>
      </c>
      <c r="CE594" t="s">
        <v>134</v>
      </c>
      <c r="CF594">
        <v>111.70820000000001</v>
      </c>
      <c r="CG594" t="s">
        <v>134</v>
      </c>
      <c r="CH594" t="s">
        <v>134</v>
      </c>
      <c r="CI594" t="s">
        <v>134</v>
      </c>
      <c r="CJ594" t="s">
        <v>134</v>
      </c>
      <c r="CK594" t="s">
        <v>134</v>
      </c>
      <c r="CL594" t="s">
        <v>134</v>
      </c>
      <c r="CM594" t="s">
        <v>134</v>
      </c>
      <c r="CN594" t="s">
        <v>134</v>
      </c>
      <c r="CO594" t="s">
        <v>134</v>
      </c>
      <c r="CP594">
        <v>3943.3</v>
      </c>
      <c r="CQ594" t="s">
        <v>134</v>
      </c>
      <c r="CR594">
        <v>3685.8</v>
      </c>
      <c r="CS594" t="s">
        <v>134</v>
      </c>
      <c r="CT594" t="s">
        <v>134</v>
      </c>
      <c r="CU594" t="s">
        <v>134</v>
      </c>
      <c r="CV594" t="s">
        <v>134</v>
      </c>
      <c r="CW594" t="s">
        <v>134</v>
      </c>
      <c r="CX594" t="s">
        <v>134</v>
      </c>
      <c r="CY594" t="s">
        <v>134</v>
      </c>
      <c r="CZ594" t="s">
        <v>134</v>
      </c>
      <c r="DA594" t="s">
        <v>134</v>
      </c>
      <c r="DB594" t="s">
        <v>134</v>
      </c>
      <c r="DC594" t="s">
        <v>134</v>
      </c>
      <c r="DD594" t="s">
        <v>134</v>
      </c>
      <c r="DE594" t="s">
        <v>134</v>
      </c>
      <c r="DF594" t="s">
        <v>134</v>
      </c>
      <c r="DG594" t="s">
        <v>134</v>
      </c>
      <c r="DH594" t="s">
        <v>134</v>
      </c>
      <c r="DI594" t="s">
        <v>134</v>
      </c>
    </row>
    <row r="595" spans="1:113" x14ac:dyDescent="0.3">
      <c r="E595" t="s">
        <v>5</v>
      </c>
      <c r="F595">
        <v>29.414300000000001</v>
      </c>
      <c r="G595">
        <v>20.7483</v>
      </c>
      <c r="H595">
        <v>28.2471</v>
      </c>
      <c r="I595">
        <v>25.171600000000002</v>
      </c>
      <c r="J595">
        <v>22.8718</v>
      </c>
      <c r="K595">
        <v>20.7239</v>
      </c>
      <c r="L595">
        <v>16.2089</v>
      </c>
      <c r="M595">
        <v>22.754100000000001</v>
      </c>
      <c r="N595">
        <v>16.396799999999999</v>
      </c>
      <c r="O595">
        <v>16.396799999999999</v>
      </c>
      <c r="P595">
        <v>16.396799999999999</v>
      </c>
      <c r="Q595">
        <v>28.412500000000001</v>
      </c>
      <c r="R595" t="s">
        <v>134</v>
      </c>
      <c r="S595" t="s">
        <v>134</v>
      </c>
      <c r="T595">
        <v>7.5823</v>
      </c>
      <c r="U595">
        <v>7.1703999999999999</v>
      </c>
      <c r="V595">
        <v>5.8339999999999996</v>
      </c>
      <c r="W595">
        <v>13.148400000000001</v>
      </c>
      <c r="X595">
        <v>12.8668</v>
      </c>
      <c r="Y595" t="s">
        <v>134</v>
      </c>
      <c r="Z595">
        <v>7.9686000000000003</v>
      </c>
      <c r="AA595">
        <v>1.8412999999999999</v>
      </c>
      <c r="AB595">
        <v>-30.992599999999999</v>
      </c>
      <c r="AC595">
        <v>21.485199999999999</v>
      </c>
      <c r="AD595">
        <v>2.9622000000000002</v>
      </c>
      <c r="AE595">
        <v>61.325899999999997</v>
      </c>
      <c r="AF595">
        <v>12.041499999999999</v>
      </c>
      <c r="AG595">
        <v>70.706900000000005</v>
      </c>
      <c r="AH595">
        <v>78.11</v>
      </c>
      <c r="AI595">
        <v>21.846499999999999</v>
      </c>
      <c r="AJ595">
        <v>22.98</v>
      </c>
      <c r="AK595">
        <v>19.5625</v>
      </c>
      <c r="AL595" t="s">
        <v>134</v>
      </c>
      <c r="AM595">
        <v>12.535</v>
      </c>
      <c r="AN595">
        <v>19.669799999999999</v>
      </c>
      <c r="AO595">
        <v>20.337700000000002</v>
      </c>
      <c r="AP595">
        <v>24.5397</v>
      </c>
      <c r="AQ595">
        <v>24.908000000000001</v>
      </c>
      <c r="AR595" t="s">
        <v>134</v>
      </c>
      <c r="AS595">
        <v>14.2942</v>
      </c>
      <c r="AT595">
        <v>6.91</v>
      </c>
      <c r="AU595">
        <v>0.92390000000000005</v>
      </c>
      <c r="AV595">
        <v>15.686999999999999</v>
      </c>
      <c r="AW595">
        <v>3.8757999999999999</v>
      </c>
      <c r="AX595">
        <v>25.4131</v>
      </c>
      <c r="AY595" t="s">
        <v>134</v>
      </c>
      <c r="AZ595" t="s">
        <v>134</v>
      </c>
      <c r="BA595">
        <v>-23.757000000000001</v>
      </c>
      <c r="BB595">
        <v>21.304600000000001</v>
      </c>
      <c r="BC595">
        <v>15.673299999999999</v>
      </c>
      <c r="BD595">
        <v>20.253799999999998</v>
      </c>
      <c r="BE595" t="s">
        <v>134</v>
      </c>
      <c r="BF595">
        <v>-10.1416</v>
      </c>
      <c r="BG595">
        <v>-18.122499999999999</v>
      </c>
      <c r="BH595">
        <v>-20.623100000000001</v>
      </c>
      <c r="BI595">
        <v>-14.3561</v>
      </c>
      <c r="BJ595">
        <v>-14.448700000000001</v>
      </c>
      <c r="BK595" t="s">
        <v>134</v>
      </c>
      <c r="BL595" t="s">
        <v>134</v>
      </c>
      <c r="BM595" t="s">
        <v>134</v>
      </c>
      <c r="BN595" t="s">
        <v>134</v>
      </c>
      <c r="BO595" t="s">
        <v>134</v>
      </c>
      <c r="BP595" t="s">
        <v>134</v>
      </c>
      <c r="BQ595" t="s">
        <v>134</v>
      </c>
      <c r="BR595" t="s">
        <v>134</v>
      </c>
      <c r="BS595" t="s">
        <v>134</v>
      </c>
      <c r="BT595" t="s">
        <v>134</v>
      </c>
      <c r="BU595" t="s">
        <v>134</v>
      </c>
      <c r="BV595" t="s">
        <v>134</v>
      </c>
      <c r="BW595" t="s">
        <v>134</v>
      </c>
      <c r="BX595" t="s">
        <v>134</v>
      </c>
      <c r="BY595">
        <v>1000.8</v>
      </c>
      <c r="BZ595">
        <v>922.5</v>
      </c>
      <c r="CA595">
        <v>78.3</v>
      </c>
      <c r="CB595">
        <v>8.0199999999999994E-2</v>
      </c>
      <c r="CC595">
        <v>-0.90310000000000001</v>
      </c>
      <c r="CD595">
        <v>8.7800000000000003E-2</v>
      </c>
      <c r="CE595">
        <v>-0.98819999999999997</v>
      </c>
      <c r="CF595">
        <v>123.1069</v>
      </c>
      <c r="CG595">
        <v>70.029700000000005</v>
      </c>
      <c r="CH595">
        <v>0.2351</v>
      </c>
      <c r="CI595">
        <v>0.2283</v>
      </c>
      <c r="CJ595">
        <v>0.17030000000000001</v>
      </c>
      <c r="CK595">
        <v>3.0055999999999998</v>
      </c>
      <c r="CL595">
        <v>2.9178999999999999</v>
      </c>
      <c r="CM595">
        <v>2.1768999999999998</v>
      </c>
      <c r="CN595">
        <v>-33.844499999999996</v>
      </c>
      <c r="CO595">
        <v>-51.158900000000003</v>
      </c>
      <c r="CP595">
        <v>3225.4</v>
      </c>
      <c r="CQ595" t="s">
        <v>134</v>
      </c>
      <c r="CR595">
        <v>2922.5</v>
      </c>
      <c r="CS595">
        <v>1.0685</v>
      </c>
      <c r="CT595">
        <v>2.5276000000000001</v>
      </c>
      <c r="CU595">
        <v>1.8376999999999999</v>
      </c>
      <c r="CV595">
        <v>20.409700000000001</v>
      </c>
      <c r="CW595">
        <v>6.5198</v>
      </c>
      <c r="CX595">
        <v>56.136899999999997</v>
      </c>
      <c r="CY595">
        <v>4.1254</v>
      </c>
      <c r="CZ595">
        <v>88.718199999999996</v>
      </c>
      <c r="DA595">
        <v>6.5029000000000003</v>
      </c>
      <c r="DB595">
        <v>56.282200000000003</v>
      </c>
      <c r="DC595">
        <v>88.572900000000004</v>
      </c>
      <c r="DD595">
        <v>144.85509999999999</v>
      </c>
      <c r="DE595">
        <v>6294.2</v>
      </c>
      <c r="DF595" t="s">
        <v>134</v>
      </c>
      <c r="DG595" t="s">
        <v>134</v>
      </c>
      <c r="DH595" t="s">
        <v>134</v>
      </c>
      <c r="DI595" t="s">
        <v>134</v>
      </c>
    </row>
    <row r="596" spans="1:113" x14ac:dyDescent="0.3">
      <c r="E596" t="s">
        <v>6</v>
      </c>
      <c r="F596" t="s">
        <v>134</v>
      </c>
      <c r="G596" t="s">
        <v>134</v>
      </c>
      <c r="H596" t="s">
        <v>134</v>
      </c>
      <c r="I596" t="s">
        <v>134</v>
      </c>
      <c r="J596">
        <v>21.9026</v>
      </c>
      <c r="K596">
        <v>19.680599999999998</v>
      </c>
      <c r="L596">
        <v>-162.92910000000001</v>
      </c>
      <c r="M596">
        <v>21.1858</v>
      </c>
      <c r="N596">
        <v>15.2561</v>
      </c>
      <c r="O596">
        <v>15.2561</v>
      </c>
      <c r="P596">
        <v>15.2561</v>
      </c>
      <c r="Q596">
        <v>28.191600000000001</v>
      </c>
      <c r="R596" t="s">
        <v>134</v>
      </c>
      <c r="S596" t="s">
        <v>134</v>
      </c>
      <c r="T596">
        <v>-0.32800000000000001</v>
      </c>
      <c r="U596">
        <v>-0.82509999999999994</v>
      </c>
      <c r="V596">
        <v>-2.6518999999999999</v>
      </c>
      <c r="W596">
        <v>1.7067000000000001</v>
      </c>
      <c r="X596">
        <v>2.3315999999999999</v>
      </c>
      <c r="Y596" t="s">
        <v>134</v>
      </c>
      <c r="Z596" t="s">
        <v>134</v>
      </c>
      <c r="AA596" t="s">
        <v>134</v>
      </c>
      <c r="AB596" t="s">
        <v>134</v>
      </c>
      <c r="AC596" t="s">
        <v>134</v>
      </c>
      <c r="AD596" t="s">
        <v>134</v>
      </c>
      <c r="AE596" t="s">
        <v>134</v>
      </c>
      <c r="AF596" t="s">
        <v>134</v>
      </c>
      <c r="AG596" t="s">
        <v>134</v>
      </c>
      <c r="AH596" t="s">
        <v>134</v>
      </c>
      <c r="AI596" t="s">
        <v>134</v>
      </c>
      <c r="AJ596" t="s">
        <v>134</v>
      </c>
      <c r="AK596" t="s">
        <v>134</v>
      </c>
      <c r="AL596" t="s">
        <v>134</v>
      </c>
      <c r="AM596">
        <v>11.5747</v>
      </c>
      <c r="AN596">
        <v>19.024000000000001</v>
      </c>
      <c r="AO596">
        <v>19.8994</v>
      </c>
      <c r="AP596">
        <v>20.841100000000001</v>
      </c>
      <c r="AQ596">
        <v>21.206</v>
      </c>
      <c r="AR596" t="s">
        <v>134</v>
      </c>
      <c r="AS596" t="s">
        <v>134</v>
      </c>
      <c r="AT596" t="s">
        <v>134</v>
      </c>
      <c r="AU596" t="s">
        <v>134</v>
      </c>
      <c r="AV596" t="s">
        <v>134</v>
      </c>
      <c r="AW596" t="s">
        <v>134</v>
      </c>
      <c r="AX596" t="s">
        <v>134</v>
      </c>
      <c r="AY596" t="s">
        <v>134</v>
      </c>
      <c r="AZ596" t="s">
        <v>134</v>
      </c>
      <c r="BA596" t="s">
        <v>134</v>
      </c>
      <c r="BB596" t="s">
        <v>134</v>
      </c>
      <c r="BC596" t="s">
        <v>134</v>
      </c>
      <c r="BD596" t="s">
        <v>134</v>
      </c>
      <c r="BE596" t="s">
        <v>134</v>
      </c>
      <c r="BF596">
        <v>-6.3216000000000001</v>
      </c>
      <c r="BG596">
        <v>-9.4960000000000004</v>
      </c>
      <c r="BH596">
        <v>-10.216100000000001</v>
      </c>
      <c r="BI596">
        <v>-12.1646</v>
      </c>
      <c r="BJ596">
        <v>-12.222200000000001</v>
      </c>
      <c r="BK596" t="s">
        <v>134</v>
      </c>
      <c r="BL596" t="s">
        <v>134</v>
      </c>
      <c r="BM596" t="s">
        <v>134</v>
      </c>
      <c r="BN596" t="s">
        <v>134</v>
      </c>
      <c r="BO596" t="s">
        <v>134</v>
      </c>
      <c r="BP596" t="s">
        <v>134</v>
      </c>
      <c r="BQ596" t="s">
        <v>134</v>
      </c>
      <c r="BR596" t="s">
        <v>134</v>
      </c>
      <c r="BS596" t="s">
        <v>134</v>
      </c>
      <c r="BT596" t="s">
        <v>134</v>
      </c>
      <c r="BU596" t="s">
        <v>134</v>
      </c>
      <c r="BV596" t="s">
        <v>134</v>
      </c>
      <c r="BW596" t="s">
        <v>134</v>
      </c>
      <c r="BX596" t="s">
        <v>134</v>
      </c>
      <c r="BY596" t="s">
        <v>134</v>
      </c>
      <c r="BZ596" t="s">
        <v>134</v>
      </c>
      <c r="CA596" t="s">
        <v>134</v>
      </c>
      <c r="CB596" t="s">
        <v>134</v>
      </c>
      <c r="CC596" t="s">
        <v>134</v>
      </c>
      <c r="CD596" t="s">
        <v>134</v>
      </c>
      <c r="CE596" t="s">
        <v>134</v>
      </c>
      <c r="CF596">
        <v>97.939400000000006</v>
      </c>
      <c r="CG596" t="s">
        <v>134</v>
      </c>
      <c r="CH596" t="s">
        <v>134</v>
      </c>
      <c r="CI596" t="s">
        <v>134</v>
      </c>
      <c r="CJ596" t="s">
        <v>134</v>
      </c>
      <c r="CK596" t="s">
        <v>134</v>
      </c>
      <c r="CL596" t="s">
        <v>134</v>
      </c>
      <c r="CM596" t="s">
        <v>134</v>
      </c>
      <c r="CN596" t="s">
        <v>134</v>
      </c>
      <c r="CO596" t="s">
        <v>134</v>
      </c>
      <c r="CP596">
        <v>2908.8</v>
      </c>
      <c r="CQ596" t="s">
        <v>134</v>
      </c>
      <c r="CR596">
        <v>2613.6999999999998</v>
      </c>
      <c r="CS596" t="s">
        <v>134</v>
      </c>
      <c r="CT596" t="s">
        <v>134</v>
      </c>
      <c r="CU596" t="s">
        <v>134</v>
      </c>
      <c r="CV596" t="s">
        <v>134</v>
      </c>
      <c r="CW596" t="s">
        <v>134</v>
      </c>
      <c r="CX596" t="s">
        <v>134</v>
      </c>
      <c r="CY596" t="s">
        <v>134</v>
      </c>
      <c r="CZ596" t="s">
        <v>134</v>
      </c>
      <c r="DA596" t="s">
        <v>134</v>
      </c>
      <c r="DB596" t="s">
        <v>134</v>
      </c>
      <c r="DC596" t="s">
        <v>134</v>
      </c>
      <c r="DD596" t="s">
        <v>134</v>
      </c>
      <c r="DE596" t="s">
        <v>134</v>
      </c>
      <c r="DF596" t="s">
        <v>134</v>
      </c>
      <c r="DG596" t="s">
        <v>134</v>
      </c>
      <c r="DH596" t="s">
        <v>134</v>
      </c>
      <c r="DI596" t="s">
        <v>134</v>
      </c>
    </row>
    <row r="597" spans="1:113" x14ac:dyDescent="0.3">
      <c r="E597" t="s">
        <v>7</v>
      </c>
      <c r="F597">
        <v>28.1661</v>
      </c>
      <c r="G597">
        <v>20.2591</v>
      </c>
      <c r="H597">
        <v>26.945499999999999</v>
      </c>
      <c r="I597">
        <v>23.572900000000001</v>
      </c>
      <c r="J597">
        <v>19.905200000000001</v>
      </c>
      <c r="K597">
        <v>17.620899999999999</v>
      </c>
      <c r="L597">
        <v>27.7898</v>
      </c>
      <c r="M597">
        <v>19.6358</v>
      </c>
      <c r="N597">
        <v>12.137700000000001</v>
      </c>
      <c r="O597">
        <v>12.137700000000001</v>
      </c>
      <c r="P597">
        <v>12.137700000000001</v>
      </c>
      <c r="Q597">
        <v>38.186</v>
      </c>
      <c r="R597" t="s">
        <v>134</v>
      </c>
      <c r="S597" t="s">
        <v>134</v>
      </c>
      <c r="T597">
        <v>4.8830999999999998</v>
      </c>
      <c r="U597">
        <v>8.2629999999999999</v>
      </c>
      <c r="V597">
        <v>7.9242999999999997</v>
      </c>
      <c r="W597">
        <v>-7.0084999999999997</v>
      </c>
      <c r="X597">
        <v>-6.6868999999999996</v>
      </c>
      <c r="Y597" t="s">
        <v>134</v>
      </c>
      <c r="Z597">
        <v>9.5426000000000002</v>
      </c>
      <c r="AA597">
        <v>14.8909</v>
      </c>
      <c r="AB597">
        <v>2.5190999999999999</v>
      </c>
      <c r="AC597">
        <v>28.373999999999999</v>
      </c>
      <c r="AD597">
        <v>15.083299999999999</v>
      </c>
      <c r="AE597">
        <v>70.841200000000001</v>
      </c>
      <c r="AF597">
        <v>4.3663999999999996</v>
      </c>
      <c r="AG597">
        <v>24.392499999999998</v>
      </c>
      <c r="AH597">
        <v>21.856999999999999</v>
      </c>
      <c r="AI597">
        <v>34.1937</v>
      </c>
      <c r="AJ597">
        <v>33.836199999999998</v>
      </c>
      <c r="AK597">
        <v>31.572099999999999</v>
      </c>
      <c r="AL597" t="s">
        <v>134</v>
      </c>
      <c r="AM597">
        <v>12.6121</v>
      </c>
      <c r="AN597">
        <v>23.9</v>
      </c>
      <c r="AO597">
        <v>26.015699999999999</v>
      </c>
      <c r="AP597">
        <v>19.704899999999999</v>
      </c>
      <c r="AQ597">
        <v>20.073399999999999</v>
      </c>
      <c r="AR597" t="s">
        <v>134</v>
      </c>
      <c r="AS597">
        <v>14.2281</v>
      </c>
      <c r="AT597">
        <v>9.6814999999999998</v>
      </c>
      <c r="AU597">
        <v>0.51910000000000001</v>
      </c>
      <c r="AV597">
        <v>15.090400000000001</v>
      </c>
      <c r="AW597">
        <v>5.5786999999999995</v>
      </c>
      <c r="AX597">
        <v>37.753900000000002</v>
      </c>
      <c r="AY597">
        <v>102.3552</v>
      </c>
      <c r="AZ597">
        <v>-16.550799999999999</v>
      </c>
      <c r="BA597">
        <v>-21.2163</v>
      </c>
      <c r="BB597">
        <v>22.188400000000001</v>
      </c>
      <c r="BC597">
        <v>17.610399999999998</v>
      </c>
      <c r="BD597">
        <v>21.081800000000001</v>
      </c>
      <c r="BE597" t="s">
        <v>134</v>
      </c>
      <c r="BF597">
        <v>-2.9198</v>
      </c>
      <c r="BG597">
        <v>-10.0345</v>
      </c>
      <c r="BH597">
        <v>-11.2174</v>
      </c>
      <c r="BI597">
        <v>-22.328700000000001</v>
      </c>
      <c r="BJ597">
        <v>-22.278500000000001</v>
      </c>
      <c r="BK597" t="s">
        <v>134</v>
      </c>
      <c r="BL597" t="s">
        <v>134</v>
      </c>
      <c r="BM597" t="s">
        <v>134</v>
      </c>
      <c r="BN597" t="s">
        <v>134</v>
      </c>
      <c r="BO597" t="s">
        <v>134</v>
      </c>
      <c r="BP597" t="s">
        <v>134</v>
      </c>
      <c r="BQ597" t="s">
        <v>134</v>
      </c>
      <c r="BR597" t="s">
        <v>134</v>
      </c>
      <c r="BS597" t="s">
        <v>134</v>
      </c>
      <c r="BT597" t="s">
        <v>134</v>
      </c>
      <c r="BU597" t="s">
        <v>134</v>
      </c>
      <c r="BV597" t="s">
        <v>134</v>
      </c>
      <c r="BW597" t="s">
        <v>134</v>
      </c>
      <c r="BX597" t="s">
        <v>134</v>
      </c>
      <c r="BY597">
        <v>975.1</v>
      </c>
      <c r="BZ597">
        <v>926.6</v>
      </c>
      <c r="CA597">
        <v>48.5</v>
      </c>
      <c r="CB597">
        <v>7.7399999999999997E-2</v>
      </c>
      <c r="CC597">
        <v>-1.1024</v>
      </c>
      <c r="CD597">
        <v>8.5199999999999998E-2</v>
      </c>
      <c r="CE597">
        <v>-1.2133</v>
      </c>
      <c r="CF597">
        <v>53.607100000000003</v>
      </c>
      <c r="CG597">
        <v>72.701499999999996</v>
      </c>
      <c r="CH597">
        <v>0.1348</v>
      </c>
      <c r="CI597">
        <v>0.13120000000000001</v>
      </c>
      <c r="CJ597">
        <v>0.1016</v>
      </c>
      <c r="CK597">
        <v>2.7099000000000002</v>
      </c>
      <c r="CL597">
        <v>2.6383999999999999</v>
      </c>
      <c r="CM597">
        <v>2.0424000000000002</v>
      </c>
      <c r="CN597">
        <v>-38.595399999999998</v>
      </c>
      <c r="CO597">
        <v>-62.854199999999999</v>
      </c>
      <c r="CP597">
        <v>2578.5</v>
      </c>
      <c r="CQ597" t="s">
        <v>134</v>
      </c>
      <c r="CR597">
        <v>2282.6</v>
      </c>
      <c r="CS597">
        <v>1.4537</v>
      </c>
      <c r="CT597">
        <v>3.0628000000000002</v>
      </c>
      <c r="CU597">
        <v>2.2054</v>
      </c>
      <c r="CV597">
        <v>21.581299999999999</v>
      </c>
      <c r="CW597">
        <v>7.6411999999999995</v>
      </c>
      <c r="CX597">
        <v>47.767299999999999</v>
      </c>
      <c r="CY597">
        <v>3.9313000000000002</v>
      </c>
      <c r="CZ597">
        <v>92.843800000000002</v>
      </c>
      <c r="DA597">
        <v>7.1795999999999998</v>
      </c>
      <c r="DB597">
        <v>50.838500000000003</v>
      </c>
      <c r="DC597">
        <v>89.772599999999997</v>
      </c>
      <c r="DD597">
        <v>140.61099999999999</v>
      </c>
      <c r="DE597">
        <v>7208.6</v>
      </c>
      <c r="DF597">
        <v>2737.2</v>
      </c>
      <c r="DG597">
        <v>564.29999999999995</v>
      </c>
      <c r="DH597">
        <v>3871.7</v>
      </c>
      <c r="DI597">
        <v>35.4</v>
      </c>
    </row>
    <row r="598" spans="1:113" x14ac:dyDescent="0.3">
      <c r="D598" t="s">
        <v>11</v>
      </c>
      <c r="E598" t="s">
        <v>3</v>
      </c>
      <c r="F598">
        <v>27.3203</v>
      </c>
      <c r="G598">
        <v>19.2882</v>
      </c>
      <c r="H598">
        <v>25.680800000000001</v>
      </c>
      <c r="I598">
        <v>22.758199999999999</v>
      </c>
      <c r="J598">
        <v>22.2944</v>
      </c>
      <c r="K598">
        <v>20.307200000000002</v>
      </c>
      <c r="L598">
        <v>16.229800000000001</v>
      </c>
      <c r="M598">
        <v>22.524999999999999</v>
      </c>
      <c r="N598">
        <v>16.015000000000001</v>
      </c>
      <c r="O598">
        <v>15.952999999999999</v>
      </c>
      <c r="P598">
        <v>15.952999999999999</v>
      </c>
      <c r="Q598">
        <v>28.901199999999999</v>
      </c>
      <c r="R598">
        <v>31.660599999999999</v>
      </c>
      <c r="S598">
        <v>18.670500000000001</v>
      </c>
      <c r="T598">
        <v>7.9545000000000003</v>
      </c>
      <c r="U598">
        <v>6.0629999999999997</v>
      </c>
      <c r="V598">
        <v>6.2573999999999996</v>
      </c>
      <c r="W598">
        <v>11.9025</v>
      </c>
      <c r="X598">
        <v>12.9398</v>
      </c>
      <c r="Y598">
        <v>26.315799999999999</v>
      </c>
      <c r="Z598">
        <v>22.066500000000001</v>
      </c>
      <c r="AA598">
        <v>11.5792</v>
      </c>
      <c r="AB598">
        <v>9.9794</v>
      </c>
      <c r="AC598">
        <v>9.0123999999999995</v>
      </c>
      <c r="AD598">
        <v>9.0594000000000001</v>
      </c>
      <c r="AE598">
        <v>-0.52239999999999998</v>
      </c>
      <c r="AF598">
        <v>39.324100000000001</v>
      </c>
      <c r="AG598">
        <v>24.584499999999998</v>
      </c>
      <c r="AH598">
        <v>25.679400000000001</v>
      </c>
      <c r="AI598">
        <v>4.1914999999999996</v>
      </c>
      <c r="AJ598">
        <v>4.7584999999999997</v>
      </c>
      <c r="AK598">
        <v>3.9592999999999998</v>
      </c>
      <c r="AL598">
        <v>1.3936999999999999</v>
      </c>
      <c r="AM598">
        <v>10.523300000000001</v>
      </c>
      <c r="AN598">
        <v>17.729600000000001</v>
      </c>
      <c r="AO598">
        <v>18.418700000000001</v>
      </c>
      <c r="AP598">
        <v>17.814499999999999</v>
      </c>
      <c r="AQ598">
        <v>17.882999999999999</v>
      </c>
      <c r="AR598">
        <v>18.204899999999999</v>
      </c>
      <c r="AS598">
        <v>16.8582</v>
      </c>
      <c r="AT598">
        <v>8.9662000000000006</v>
      </c>
      <c r="AU598">
        <v>0.72889999999999999</v>
      </c>
      <c r="AV598">
        <v>14.748699999999999</v>
      </c>
      <c r="AW598">
        <v>11.2319</v>
      </c>
      <c r="AX598">
        <v>31.2624</v>
      </c>
      <c r="AY598">
        <v>16.805700000000002</v>
      </c>
      <c r="AZ598">
        <v>0.74490000000000001</v>
      </c>
      <c r="BA598">
        <v>1.9563999999999999</v>
      </c>
      <c r="BB598">
        <v>17.803000000000001</v>
      </c>
      <c r="BC598">
        <v>17.028600000000001</v>
      </c>
      <c r="BD598">
        <v>16.916799999999999</v>
      </c>
      <c r="BE598">
        <v>13.556100000000001</v>
      </c>
      <c r="BF598">
        <v>7.9545000000000003</v>
      </c>
      <c r="BG598">
        <v>6.0629999999999997</v>
      </c>
      <c r="BH598">
        <v>6.2573999999999996</v>
      </c>
      <c r="BI598">
        <v>11.9025</v>
      </c>
      <c r="BJ598">
        <v>12.9398</v>
      </c>
      <c r="BK598">
        <v>26.315799999999999</v>
      </c>
      <c r="BL598">
        <v>22.066500000000001</v>
      </c>
      <c r="BM598">
        <v>11.5792</v>
      </c>
      <c r="BN598">
        <v>9.9794</v>
      </c>
      <c r="BO598">
        <v>9.0123999999999995</v>
      </c>
      <c r="BP598">
        <v>9.0594000000000001</v>
      </c>
      <c r="BQ598">
        <v>-0.52239999999999998</v>
      </c>
      <c r="BR598">
        <v>39.324100000000001</v>
      </c>
      <c r="BS598">
        <v>24.584499999999998</v>
      </c>
      <c r="BT598">
        <v>25.679400000000001</v>
      </c>
      <c r="BU598">
        <v>4.1914999999999996</v>
      </c>
      <c r="BV598">
        <v>4.7584999999999997</v>
      </c>
      <c r="BW598">
        <v>3.9592999999999998</v>
      </c>
      <c r="BX598">
        <v>1.3936999999999999</v>
      </c>
      <c r="BY598">
        <v>1225.5</v>
      </c>
      <c r="BZ598">
        <v>1154.4000000000001</v>
      </c>
      <c r="CA598">
        <v>71.099999999999994</v>
      </c>
      <c r="CB598">
        <v>9.11E-2</v>
      </c>
      <c r="CC598">
        <v>-0.85950000000000004</v>
      </c>
      <c r="CD598">
        <v>0.1</v>
      </c>
      <c r="CE598">
        <v>-0.94359999999999999</v>
      </c>
      <c r="CF598">
        <v>171.10560000000001</v>
      </c>
      <c r="CG598">
        <v>68.672600000000003</v>
      </c>
      <c r="CH598">
        <v>0.18959999999999999</v>
      </c>
      <c r="CI598">
        <v>0.18360000000000001</v>
      </c>
      <c r="CJ598">
        <v>0.1366</v>
      </c>
      <c r="CK598">
        <v>3.2688000000000001</v>
      </c>
      <c r="CL598">
        <v>3.1654</v>
      </c>
      <c r="CM598">
        <v>2.3547000000000002</v>
      </c>
      <c r="CN598">
        <v>-30.833100000000002</v>
      </c>
      <c r="CO598">
        <v>-44.5779</v>
      </c>
      <c r="CP598">
        <v>13448.9</v>
      </c>
      <c r="CQ598">
        <v>11680.6</v>
      </c>
      <c r="CR598">
        <v>12250.1</v>
      </c>
      <c r="CS598">
        <v>1.0582</v>
      </c>
      <c r="CT598">
        <v>2.7385000000000002</v>
      </c>
      <c r="CU598">
        <v>1.8346</v>
      </c>
      <c r="CV598">
        <v>22.565100000000001</v>
      </c>
      <c r="CW598">
        <v>7.0692000000000004</v>
      </c>
      <c r="CX598">
        <v>51.632399999999997</v>
      </c>
      <c r="CY598">
        <v>3.7816999999999998</v>
      </c>
      <c r="CZ598">
        <v>96.518299999999996</v>
      </c>
      <c r="DA598">
        <v>6.3532000000000002</v>
      </c>
      <c r="DB598">
        <v>57.451500000000003</v>
      </c>
      <c r="DC598">
        <v>90.699200000000005</v>
      </c>
      <c r="DD598">
        <v>148.1507</v>
      </c>
      <c r="DE598">
        <v>8043.3</v>
      </c>
      <c r="DF598">
        <v>3516.3</v>
      </c>
      <c r="DG598">
        <v>668.4</v>
      </c>
      <c r="DH598">
        <v>3818.4</v>
      </c>
      <c r="DI598">
        <v>40.200000000000003</v>
      </c>
    </row>
    <row r="599" spans="1:113" x14ac:dyDescent="0.3">
      <c r="E599" t="s">
        <v>4</v>
      </c>
      <c r="F599" t="s">
        <v>134</v>
      </c>
      <c r="G599" t="s">
        <v>134</v>
      </c>
      <c r="H599" t="s">
        <v>134</v>
      </c>
      <c r="I599" t="s">
        <v>134</v>
      </c>
      <c r="J599">
        <v>20.9939</v>
      </c>
      <c r="K599">
        <v>18.949300000000001</v>
      </c>
      <c r="L599">
        <v>-193.96789999999999</v>
      </c>
      <c r="M599">
        <v>21.568200000000001</v>
      </c>
      <c r="N599">
        <v>14.815</v>
      </c>
      <c r="O599">
        <v>14.813700000000001</v>
      </c>
      <c r="P599">
        <v>14.813700000000001</v>
      </c>
      <c r="Q599">
        <v>31.310700000000001</v>
      </c>
      <c r="R599" t="s">
        <v>134</v>
      </c>
      <c r="S599" t="s">
        <v>134</v>
      </c>
      <c r="T599">
        <v>-2.5775000000000001</v>
      </c>
      <c r="U599">
        <v>-18.5185</v>
      </c>
      <c r="V599">
        <v>-21.310199999999998</v>
      </c>
      <c r="W599">
        <v>-16.111699999999999</v>
      </c>
      <c r="X599">
        <v>-15.9696</v>
      </c>
      <c r="Y599" t="s">
        <v>134</v>
      </c>
      <c r="Z599" t="s">
        <v>134</v>
      </c>
      <c r="AA599" t="s">
        <v>134</v>
      </c>
      <c r="AB599" t="s">
        <v>134</v>
      </c>
      <c r="AC599" t="s">
        <v>134</v>
      </c>
      <c r="AD599" t="s">
        <v>134</v>
      </c>
      <c r="AE599" t="s">
        <v>134</v>
      </c>
      <c r="AF599" t="s">
        <v>134</v>
      </c>
      <c r="AG599" t="s">
        <v>134</v>
      </c>
      <c r="AH599" t="s">
        <v>134</v>
      </c>
      <c r="AI599" t="s">
        <v>134</v>
      </c>
      <c r="AJ599" t="s">
        <v>134</v>
      </c>
      <c r="AK599" t="s">
        <v>134</v>
      </c>
      <c r="AL599" t="s">
        <v>134</v>
      </c>
      <c r="AM599">
        <v>8.9100999999999999</v>
      </c>
      <c r="AN599">
        <v>11.1752</v>
      </c>
      <c r="AO599">
        <v>10.882199999999999</v>
      </c>
      <c r="AP599">
        <v>12.0867</v>
      </c>
      <c r="AQ599">
        <v>12.4339</v>
      </c>
      <c r="AR599" t="s">
        <v>134</v>
      </c>
      <c r="AS599" t="s">
        <v>134</v>
      </c>
      <c r="AT599" t="s">
        <v>134</v>
      </c>
      <c r="AU599" t="s">
        <v>134</v>
      </c>
      <c r="AV599" t="s">
        <v>134</v>
      </c>
      <c r="AW599" t="s">
        <v>134</v>
      </c>
      <c r="AX599" t="s">
        <v>134</v>
      </c>
      <c r="AY599" t="s">
        <v>134</v>
      </c>
      <c r="AZ599" t="s">
        <v>134</v>
      </c>
      <c r="BA599" t="s">
        <v>134</v>
      </c>
      <c r="BB599" t="s">
        <v>134</v>
      </c>
      <c r="BC599" t="s">
        <v>134</v>
      </c>
      <c r="BD599" t="s">
        <v>134</v>
      </c>
      <c r="BE599" t="s">
        <v>134</v>
      </c>
      <c r="BF599">
        <v>18.027799999999999</v>
      </c>
      <c r="BG599">
        <v>24.4832</v>
      </c>
      <c r="BH599">
        <v>26.9254</v>
      </c>
      <c r="BI599">
        <v>44.0501</v>
      </c>
      <c r="BJ599">
        <v>43.9739</v>
      </c>
      <c r="BK599" t="s">
        <v>134</v>
      </c>
      <c r="BL599" t="s">
        <v>134</v>
      </c>
      <c r="BM599" t="s">
        <v>134</v>
      </c>
      <c r="BN599" t="s">
        <v>134</v>
      </c>
      <c r="BO599" t="s">
        <v>134</v>
      </c>
      <c r="BP599" t="s">
        <v>134</v>
      </c>
      <c r="BQ599" t="s">
        <v>134</v>
      </c>
      <c r="BR599" t="s">
        <v>134</v>
      </c>
      <c r="BS599" t="s">
        <v>134</v>
      </c>
      <c r="BT599" t="s">
        <v>134</v>
      </c>
      <c r="BU599" t="s">
        <v>134</v>
      </c>
      <c r="BV599" t="s">
        <v>134</v>
      </c>
      <c r="BW599" t="s">
        <v>134</v>
      </c>
      <c r="BX599" t="s">
        <v>134</v>
      </c>
      <c r="BY599" t="s">
        <v>134</v>
      </c>
      <c r="BZ599" t="s">
        <v>134</v>
      </c>
      <c r="CA599" t="s">
        <v>134</v>
      </c>
      <c r="CB599" t="s">
        <v>134</v>
      </c>
      <c r="CC599" t="s">
        <v>134</v>
      </c>
      <c r="CD599" t="s">
        <v>134</v>
      </c>
      <c r="CE599" t="s">
        <v>134</v>
      </c>
      <c r="CF599">
        <v>86.053600000000003</v>
      </c>
      <c r="CG599" t="s">
        <v>134</v>
      </c>
      <c r="CH599" t="s">
        <v>134</v>
      </c>
      <c r="CI599" t="s">
        <v>134</v>
      </c>
      <c r="CJ599" t="s">
        <v>134</v>
      </c>
      <c r="CK599" t="s">
        <v>134</v>
      </c>
      <c r="CL599" t="s">
        <v>134</v>
      </c>
      <c r="CM599" t="s">
        <v>134</v>
      </c>
      <c r="CN599" t="s">
        <v>134</v>
      </c>
      <c r="CO599" t="s">
        <v>134</v>
      </c>
      <c r="CP599">
        <v>3209.8</v>
      </c>
      <c r="CQ599" t="s">
        <v>134</v>
      </c>
      <c r="CR599">
        <v>2897.2</v>
      </c>
      <c r="CS599" t="s">
        <v>134</v>
      </c>
      <c r="CT599" t="s">
        <v>134</v>
      </c>
      <c r="CU599" t="s">
        <v>134</v>
      </c>
      <c r="CV599" t="s">
        <v>134</v>
      </c>
      <c r="CW599" t="s">
        <v>134</v>
      </c>
      <c r="CX599" t="s">
        <v>134</v>
      </c>
      <c r="CY599" t="s">
        <v>134</v>
      </c>
      <c r="CZ599" t="s">
        <v>134</v>
      </c>
      <c r="DA599" t="s">
        <v>134</v>
      </c>
      <c r="DB599" t="s">
        <v>134</v>
      </c>
      <c r="DC599" t="s">
        <v>134</v>
      </c>
      <c r="DD599" t="s">
        <v>134</v>
      </c>
      <c r="DE599" t="s">
        <v>134</v>
      </c>
      <c r="DF599" t="s">
        <v>134</v>
      </c>
      <c r="DG599" t="s">
        <v>134</v>
      </c>
      <c r="DH599" t="s">
        <v>134</v>
      </c>
      <c r="DI599" t="s">
        <v>134</v>
      </c>
    </row>
    <row r="600" spans="1:113" x14ac:dyDescent="0.3">
      <c r="E600" t="s">
        <v>5</v>
      </c>
      <c r="F600">
        <v>24.372</v>
      </c>
      <c r="G600">
        <v>17.2927</v>
      </c>
      <c r="H600">
        <v>23.2151</v>
      </c>
      <c r="I600">
        <v>19.8338</v>
      </c>
      <c r="J600">
        <v>24.581199999999999</v>
      </c>
      <c r="K600">
        <v>22.645700000000001</v>
      </c>
      <c r="L600">
        <v>49.326999999999998</v>
      </c>
      <c r="M600">
        <v>24.666799999999999</v>
      </c>
      <c r="N600">
        <v>16.5321</v>
      </c>
      <c r="O600">
        <v>16.466100000000001</v>
      </c>
      <c r="P600">
        <v>16.466100000000001</v>
      </c>
      <c r="Q600">
        <v>32.978200000000001</v>
      </c>
      <c r="R600" t="s">
        <v>134</v>
      </c>
      <c r="S600" t="s">
        <v>134</v>
      </c>
      <c r="T600">
        <v>7.9135999999999997</v>
      </c>
      <c r="U600">
        <v>17.006799999999998</v>
      </c>
      <c r="V600">
        <v>19.010000000000002</v>
      </c>
      <c r="W600">
        <v>9.2080000000000002</v>
      </c>
      <c r="X600">
        <v>9.1111000000000004</v>
      </c>
      <c r="Y600" t="s">
        <v>134</v>
      </c>
      <c r="Z600">
        <v>5.0056000000000003</v>
      </c>
      <c r="AA600">
        <v>1.4855</v>
      </c>
      <c r="AB600">
        <v>-7.0323000000000002</v>
      </c>
      <c r="AC600">
        <v>10.834199999999999</v>
      </c>
      <c r="AD600">
        <v>1.1466000000000001</v>
      </c>
      <c r="AE600">
        <v>32.174799999999998</v>
      </c>
      <c r="AF600">
        <v>9.7712000000000003</v>
      </c>
      <c r="AG600">
        <v>-6.6558000000000002</v>
      </c>
      <c r="AH600">
        <v>-8.0734999999999992</v>
      </c>
      <c r="AI600">
        <v>13.744299999999999</v>
      </c>
      <c r="AJ600">
        <v>13.107699999999999</v>
      </c>
      <c r="AK600">
        <v>13.592499999999999</v>
      </c>
      <c r="AL600" t="s">
        <v>134</v>
      </c>
      <c r="AM600">
        <v>11.200699999999999</v>
      </c>
      <c r="AN600">
        <v>21.259900000000002</v>
      </c>
      <c r="AO600">
        <v>22.331299999999999</v>
      </c>
      <c r="AP600">
        <v>21.367699999999999</v>
      </c>
      <c r="AQ600">
        <v>21.689399999999999</v>
      </c>
      <c r="AR600" t="s">
        <v>134</v>
      </c>
      <c r="AS600">
        <v>13.5017</v>
      </c>
      <c r="AT600">
        <v>6.7310999999999996</v>
      </c>
      <c r="AU600">
        <v>-2.4379</v>
      </c>
      <c r="AV600">
        <v>14.5533</v>
      </c>
      <c r="AW600">
        <v>7.1081000000000003</v>
      </c>
      <c r="AX600">
        <v>30.634599999999999</v>
      </c>
      <c r="AY600">
        <v>22.153400000000001</v>
      </c>
      <c r="AZ600">
        <v>3.3048000000000002</v>
      </c>
      <c r="BA600">
        <v>-10.9497</v>
      </c>
      <c r="BB600">
        <v>19.3553</v>
      </c>
      <c r="BC600">
        <v>17.556999999999999</v>
      </c>
      <c r="BD600">
        <v>18.294599999999999</v>
      </c>
      <c r="BE600" t="s">
        <v>134</v>
      </c>
      <c r="BF600">
        <v>6.2100000000000002E-2</v>
      </c>
      <c r="BG600">
        <v>17.1599</v>
      </c>
      <c r="BH600">
        <v>19.581</v>
      </c>
      <c r="BI600">
        <v>11.2235</v>
      </c>
      <c r="BJ600">
        <v>11.086</v>
      </c>
      <c r="BK600" t="s">
        <v>134</v>
      </c>
      <c r="BL600" t="s">
        <v>134</v>
      </c>
      <c r="BM600" t="s">
        <v>134</v>
      </c>
      <c r="BN600" t="s">
        <v>134</v>
      </c>
      <c r="BO600" t="s">
        <v>134</v>
      </c>
      <c r="BP600" t="s">
        <v>134</v>
      </c>
      <c r="BQ600" t="s">
        <v>134</v>
      </c>
      <c r="BR600" t="s">
        <v>134</v>
      </c>
      <c r="BS600" t="s">
        <v>134</v>
      </c>
      <c r="BT600" t="s">
        <v>134</v>
      </c>
      <c r="BU600" t="s">
        <v>134</v>
      </c>
      <c r="BV600" t="s">
        <v>134</v>
      </c>
      <c r="BW600" t="s">
        <v>134</v>
      </c>
      <c r="BX600" t="s">
        <v>134</v>
      </c>
      <c r="BY600">
        <v>920</v>
      </c>
      <c r="BZ600">
        <v>861.1</v>
      </c>
      <c r="CA600">
        <v>58.9</v>
      </c>
      <c r="CB600">
        <v>7.4099999999999999E-2</v>
      </c>
      <c r="CC600">
        <v>-1.246</v>
      </c>
      <c r="CD600">
        <v>8.2000000000000003E-2</v>
      </c>
      <c r="CE600">
        <v>-1.3793</v>
      </c>
      <c r="CF600">
        <v>97.173100000000005</v>
      </c>
      <c r="CG600">
        <v>71.786500000000004</v>
      </c>
      <c r="CH600">
        <v>0.1555</v>
      </c>
      <c r="CI600">
        <v>0.15179999999999999</v>
      </c>
      <c r="CJ600">
        <v>0.11559999999999999</v>
      </c>
      <c r="CK600">
        <v>2.4291</v>
      </c>
      <c r="CL600">
        <v>2.3715000000000002</v>
      </c>
      <c r="CM600">
        <v>1.8056000000000001</v>
      </c>
      <c r="CN600">
        <v>-40.843000000000004</v>
      </c>
      <c r="CO600">
        <v>-69.041700000000006</v>
      </c>
      <c r="CP600">
        <v>3760.6</v>
      </c>
      <c r="CQ600" t="s">
        <v>134</v>
      </c>
      <c r="CR600">
        <v>3464.5</v>
      </c>
      <c r="CS600">
        <v>1.4285999999999999</v>
      </c>
      <c r="CT600">
        <v>3.0211999999999999</v>
      </c>
      <c r="CU600">
        <v>2.2372000000000001</v>
      </c>
      <c r="CV600">
        <v>22.4041</v>
      </c>
      <c r="CW600">
        <v>6.2820999999999998</v>
      </c>
      <c r="CX600">
        <v>58.101999999999997</v>
      </c>
      <c r="CY600">
        <v>4.2164999999999999</v>
      </c>
      <c r="CZ600">
        <v>86.564099999999996</v>
      </c>
      <c r="DA600">
        <v>6.0904999999999996</v>
      </c>
      <c r="DB600">
        <v>59.9298</v>
      </c>
      <c r="DC600">
        <v>84.7363</v>
      </c>
      <c r="DD600">
        <v>144.6661</v>
      </c>
      <c r="DE600">
        <v>6387.7</v>
      </c>
      <c r="DF600" t="s">
        <v>134</v>
      </c>
      <c r="DG600" t="s">
        <v>134</v>
      </c>
      <c r="DH600" t="s">
        <v>134</v>
      </c>
      <c r="DI600" t="s">
        <v>134</v>
      </c>
    </row>
    <row r="601" spans="1:113" x14ac:dyDescent="0.3">
      <c r="E601" t="s">
        <v>6</v>
      </c>
      <c r="F601" t="s">
        <v>134</v>
      </c>
      <c r="G601" t="s">
        <v>134</v>
      </c>
      <c r="H601" t="s">
        <v>134</v>
      </c>
      <c r="I601" t="s">
        <v>134</v>
      </c>
      <c r="J601">
        <v>23.997</v>
      </c>
      <c r="K601">
        <v>22.101900000000001</v>
      </c>
      <c r="L601">
        <v>40.234999999999999</v>
      </c>
      <c r="M601">
        <v>23.232199999999999</v>
      </c>
      <c r="N601">
        <v>15.4994</v>
      </c>
      <c r="O601">
        <v>15.5448</v>
      </c>
      <c r="P601">
        <v>15.5448</v>
      </c>
      <c r="Q601">
        <v>33.284999999999997</v>
      </c>
      <c r="R601" t="s">
        <v>134</v>
      </c>
      <c r="S601" t="s">
        <v>134</v>
      </c>
      <c r="T601">
        <v>15.629300000000001</v>
      </c>
      <c r="U601">
        <v>29.182500000000001</v>
      </c>
      <c r="V601">
        <v>32.637099999999997</v>
      </c>
      <c r="W601">
        <v>18.480499999999999</v>
      </c>
      <c r="X601">
        <v>18.481000000000002</v>
      </c>
      <c r="Y601" t="s">
        <v>134</v>
      </c>
      <c r="Z601" t="s">
        <v>134</v>
      </c>
      <c r="AA601" t="s">
        <v>134</v>
      </c>
      <c r="AB601" t="s">
        <v>134</v>
      </c>
      <c r="AC601" t="s">
        <v>134</v>
      </c>
      <c r="AD601" t="s">
        <v>134</v>
      </c>
      <c r="AE601" t="s">
        <v>134</v>
      </c>
      <c r="AF601" t="s">
        <v>134</v>
      </c>
      <c r="AG601" t="s">
        <v>134</v>
      </c>
      <c r="AH601" t="s">
        <v>134</v>
      </c>
      <c r="AI601" t="s">
        <v>134</v>
      </c>
      <c r="AJ601" t="s">
        <v>134</v>
      </c>
      <c r="AK601" t="s">
        <v>134</v>
      </c>
      <c r="AL601" t="s">
        <v>134</v>
      </c>
      <c r="AM601">
        <v>10.7265</v>
      </c>
      <c r="AN601">
        <v>19.910699999999999</v>
      </c>
      <c r="AO601">
        <v>21.028400000000001</v>
      </c>
      <c r="AP601">
        <v>15.0488</v>
      </c>
      <c r="AQ601">
        <v>15.166700000000001</v>
      </c>
      <c r="AR601" t="s">
        <v>134</v>
      </c>
      <c r="AS601" t="s">
        <v>134</v>
      </c>
      <c r="AT601" t="s">
        <v>134</v>
      </c>
      <c r="AU601" t="s">
        <v>134</v>
      </c>
      <c r="AV601" t="s">
        <v>134</v>
      </c>
      <c r="AW601" t="s">
        <v>134</v>
      </c>
      <c r="AX601" t="s">
        <v>134</v>
      </c>
      <c r="AY601" t="s">
        <v>134</v>
      </c>
      <c r="AZ601" t="s">
        <v>134</v>
      </c>
      <c r="BA601" t="s">
        <v>134</v>
      </c>
      <c r="BB601" t="s">
        <v>134</v>
      </c>
      <c r="BC601" t="s">
        <v>134</v>
      </c>
      <c r="BD601" t="s">
        <v>134</v>
      </c>
      <c r="BE601" t="s">
        <v>134</v>
      </c>
      <c r="BF601">
        <v>0.85170000000000001</v>
      </c>
      <c r="BG601">
        <v>-1.5449999999999999</v>
      </c>
      <c r="BH601">
        <v>-1.5702</v>
      </c>
      <c r="BI601">
        <v>-4.7914000000000003</v>
      </c>
      <c r="BJ601">
        <v>-4.6843000000000004</v>
      </c>
      <c r="BK601" t="s">
        <v>134</v>
      </c>
      <c r="BL601" t="s">
        <v>134</v>
      </c>
      <c r="BM601" t="s">
        <v>134</v>
      </c>
      <c r="BN601" t="s">
        <v>134</v>
      </c>
      <c r="BO601" t="s">
        <v>134</v>
      </c>
      <c r="BP601" t="s">
        <v>134</v>
      </c>
      <c r="BQ601" t="s">
        <v>134</v>
      </c>
      <c r="BR601" t="s">
        <v>134</v>
      </c>
      <c r="BS601" t="s">
        <v>134</v>
      </c>
      <c r="BT601" t="s">
        <v>134</v>
      </c>
      <c r="BU601" t="s">
        <v>134</v>
      </c>
      <c r="BV601" t="s">
        <v>134</v>
      </c>
      <c r="BW601" t="s">
        <v>134</v>
      </c>
      <c r="BX601" t="s">
        <v>134</v>
      </c>
      <c r="BY601" t="s">
        <v>134</v>
      </c>
      <c r="BZ601" t="s">
        <v>134</v>
      </c>
      <c r="CA601" t="s">
        <v>134</v>
      </c>
      <c r="CB601" t="s">
        <v>134</v>
      </c>
      <c r="CC601" t="s">
        <v>134</v>
      </c>
      <c r="CD601" t="s">
        <v>134</v>
      </c>
      <c r="CE601" t="s">
        <v>134</v>
      </c>
      <c r="CF601">
        <v>90.0852</v>
      </c>
      <c r="CG601" t="s">
        <v>134</v>
      </c>
      <c r="CH601" t="s">
        <v>134</v>
      </c>
      <c r="CI601" t="s">
        <v>134</v>
      </c>
      <c r="CJ601" t="s">
        <v>134</v>
      </c>
      <c r="CK601" t="s">
        <v>134</v>
      </c>
      <c r="CL601" t="s">
        <v>134</v>
      </c>
      <c r="CM601" t="s">
        <v>134</v>
      </c>
      <c r="CN601" t="s">
        <v>134</v>
      </c>
      <c r="CO601" t="s">
        <v>134</v>
      </c>
      <c r="CP601">
        <v>3702.5</v>
      </c>
      <c r="CQ601" t="s">
        <v>134</v>
      </c>
      <c r="CR601">
        <v>3410.1</v>
      </c>
      <c r="CS601" t="s">
        <v>134</v>
      </c>
      <c r="CT601" t="s">
        <v>134</v>
      </c>
      <c r="CU601" t="s">
        <v>134</v>
      </c>
      <c r="CV601" t="s">
        <v>134</v>
      </c>
      <c r="CW601" t="s">
        <v>134</v>
      </c>
      <c r="CX601" t="s">
        <v>134</v>
      </c>
      <c r="CY601" t="s">
        <v>134</v>
      </c>
      <c r="CZ601" t="s">
        <v>134</v>
      </c>
      <c r="DA601" t="s">
        <v>134</v>
      </c>
      <c r="DB601" t="s">
        <v>134</v>
      </c>
      <c r="DC601" t="s">
        <v>134</v>
      </c>
      <c r="DD601" t="s">
        <v>134</v>
      </c>
      <c r="DE601" t="s">
        <v>134</v>
      </c>
      <c r="DF601" t="s">
        <v>134</v>
      </c>
      <c r="DG601" t="s">
        <v>134</v>
      </c>
      <c r="DH601" t="s">
        <v>134</v>
      </c>
      <c r="DI601" t="s">
        <v>134</v>
      </c>
    </row>
    <row r="602" spans="1:113" x14ac:dyDescent="0.3">
      <c r="E602" t="s">
        <v>7</v>
      </c>
      <c r="F602">
        <v>27.3203</v>
      </c>
      <c r="G602">
        <v>19.2882</v>
      </c>
      <c r="H602">
        <v>25.825199999999999</v>
      </c>
      <c r="I602">
        <v>22.0212</v>
      </c>
      <c r="J602">
        <v>18.442599999999999</v>
      </c>
      <c r="K602">
        <v>16.438300000000002</v>
      </c>
      <c r="L602">
        <v>8.3719000000000001</v>
      </c>
      <c r="M602">
        <v>19.741299999999999</v>
      </c>
      <c r="N602">
        <v>16.6645</v>
      </c>
      <c r="O602">
        <v>16.434999999999999</v>
      </c>
      <c r="P602">
        <v>16.434999999999999</v>
      </c>
      <c r="Q602">
        <v>15.585599999999999</v>
      </c>
      <c r="R602" t="s">
        <v>134</v>
      </c>
      <c r="S602" t="s">
        <v>134</v>
      </c>
      <c r="T602">
        <v>14.661200000000001</v>
      </c>
      <c r="U602">
        <v>6.2362000000000002</v>
      </c>
      <c r="V602">
        <v>6.9657</v>
      </c>
      <c r="W602">
        <v>55.256599999999999</v>
      </c>
      <c r="X602">
        <v>56.351799999999997</v>
      </c>
      <c r="Y602" t="s">
        <v>134</v>
      </c>
      <c r="Z602">
        <v>22.066500000000001</v>
      </c>
      <c r="AA602">
        <v>11.5792</v>
      </c>
      <c r="AB602">
        <v>9.9794</v>
      </c>
      <c r="AC602">
        <v>9.0123999999999995</v>
      </c>
      <c r="AD602">
        <v>9.0594000000000001</v>
      </c>
      <c r="AE602">
        <v>-0.52239999999999998</v>
      </c>
      <c r="AF602">
        <v>39.324100000000001</v>
      </c>
      <c r="AG602">
        <v>24.584499999999998</v>
      </c>
      <c r="AH602">
        <v>25.679400000000001</v>
      </c>
      <c r="AI602">
        <v>4.1914999999999996</v>
      </c>
      <c r="AJ602">
        <v>4.7584999999999997</v>
      </c>
      <c r="AK602">
        <v>3.9592999999999998</v>
      </c>
      <c r="AL602" t="s">
        <v>134</v>
      </c>
      <c r="AM602">
        <v>12.2516</v>
      </c>
      <c r="AN602">
        <v>18.4299</v>
      </c>
      <c r="AO602">
        <v>19.510100000000001</v>
      </c>
      <c r="AP602">
        <v>24.5945</v>
      </c>
      <c r="AQ602">
        <v>24.729399999999998</v>
      </c>
      <c r="AR602" t="s">
        <v>134</v>
      </c>
      <c r="AS602">
        <v>16.8582</v>
      </c>
      <c r="AT602">
        <v>8.9662000000000006</v>
      </c>
      <c r="AU602">
        <v>0.72889999999999999</v>
      </c>
      <c r="AV602">
        <v>14.748699999999999</v>
      </c>
      <c r="AW602">
        <v>11.2319</v>
      </c>
      <c r="AX602">
        <v>31.2624</v>
      </c>
      <c r="AY602">
        <v>16.805700000000002</v>
      </c>
      <c r="AZ602">
        <v>0.74490000000000001</v>
      </c>
      <c r="BA602">
        <v>1.9563999999999999</v>
      </c>
      <c r="BB602">
        <v>17.803000000000001</v>
      </c>
      <c r="BC602">
        <v>17.028600000000001</v>
      </c>
      <c r="BD602">
        <v>16.916799999999999</v>
      </c>
      <c r="BE602" t="s">
        <v>134</v>
      </c>
      <c r="BF602">
        <v>-3.7326000000000001</v>
      </c>
      <c r="BG602">
        <v>-26.014900000000001</v>
      </c>
      <c r="BH602">
        <v>-28.4009</v>
      </c>
      <c r="BI602">
        <v>1.7804</v>
      </c>
      <c r="BJ602">
        <v>2.5640999999999998</v>
      </c>
      <c r="BK602" t="s">
        <v>134</v>
      </c>
      <c r="BL602" t="s">
        <v>134</v>
      </c>
      <c r="BM602" t="s">
        <v>134</v>
      </c>
      <c r="BN602" t="s">
        <v>134</v>
      </c>
      <c r="BO602" t="s">
        <v>134</v>
      </c>
      <c r="BP602" t="s">
        <v>134</v>
      </c>
      <c r="BQ602" t="s">
        <v>134</v>
      </c>
      <c r="BR602" t="s">
        <v>134</v>
      </c>
      <c r="BS602" t="s">
        <v>134</v>
      </c>
      <c r="BT602" t="s">
        <v>134</v>
      </c>
      <c r="BU602" t="s">
        <v>134</v>
      </c>
      <c r="BV602" t="s">
        <v>134</v>
      </c>
      <c r="BW602" t="s">
        <v>134</v>
      </c>
      <c r="BX602" t="s">
        <v>134</v>
      </c>
      <c r="BY602">
        <v>1225.5</v>
      </c>
      <c r="BZ602">
        <v>1154.4000000000001</v>
      </c>
      <c r="CA602">
        <v>71.099999999999994</v>
      </c>
      <c r="CB602">
        <v>9.1399999999999995E-2</v>
      </c>
      <c r="CC602">
        <v>-0.8619</v>
      </c>
      <c r="CD602">
        <v>0.1003</v>
      </c>
      <c r="CE602">
        <v>-0.94650000000000001</v>
      </c>
      <c r="CF602">
        <v>71.522199999999998</v>
      </c>
      <c r="CG602">
        <v>68.672600000000003</v>
      </c>
      <c r="CH602">
        <v>0.18959999999999999</v>
      </c>
      <c r="CI602">
        <v>0.18360000000000001</v>
      </c>
      <c r="CJ602">
        <v>0.1366</v>
      </c>
      <c r="CK602">
        <v>3.2688000000000001</v>
      </c>
      <c r="CL602">
        <v>3.1654</v>
      </c>
      <c r="CM602">
        <v>2.3547000000000002</v>
      </c>
      <c r="CN602">
        <v>-30.833100000000002</v>
      </c>
      <c r="CO602">
        <v>-44.5779</v>
      </c>
      <c r="CP602">
        <v>2739.3</v>
      </c>
      <c r="CQ602" t="s">
        <v>134</v>
      </c>
      <c r="CR602">
        <v>2441.6</v>
      </c>
      <c r="CS602">
        <v>1.0582</v>
      </c>
      <c r="CT602">
        <v>2.7385000000000002</v>
      </c>
      <c r="CU602">
        <v>1.8346</v>
      </c>
      <c r="CV602">
        <v>22.565100000000001</v>
      </c>
      <c r="CW602">
        <v>7.1332000000000004</v>
      </c>
      <c r="CX602">
        <v>51.1693</v>
      </c>
      <c r="CY602">
        <v>3.7816999999999998</v>
      </c>
      <c r="CZ602">
        <v>96.518299999999996</v>
      </c>
      <c r="DA602">
        <v>6.3532000000000002</v>
      </c>
      <c r="DB602">
        <v>57.451500000000003</v>
      </c>
      <c r="DC602">
        <v>90.236000000000004</v>
      </c>
      <c r="DD602">
        <v>147.6876</v>
      </c>
      <c r="DE602">
        <v>8043.3</v>
      </c>
      <c r="DF602">
        <v>3516.3</v>
      </c>
      <c r="DG602">
        <v>668.4</v>
      </c>
      <c r="DH602">
        <v>3818.4</v>
      </c>
      <c r="DI602">
        <v>40.200000000000003</v>
      </c>
    </row>
    <row r="603" spans="1:113" x14ac:dyDescent="0.3">
      <c r="A603">
        <v>75</v>
      </c>
      <c r="B603" t="s">
        <v>58</v>
      </c>
      <c r="C603" t="s">
        <v>59</v>
      </c>
      <c r="D603" t="s">
        <v>2</v>
      </c>
      <c r="E603" t="s">
        <v>3</v>
      </c>
      <c r="F603">
        <v>-5.0029000000000003</v>
      </c>
      <c r="G603">
        <v>-2.4022999999999999</v>
      </c>
      <c r="H603">
        <v>0.1226</v>
      </c>
      <c r="I603">
        <v>0.25280000000000002</v>
      </c>
      <c r="J603">
        <v>14.063599999999999</v>
      </c>
      <c r="K603">
        <v>8.5719999999999992</v>
      </c>
      <c r="L603">
        <v>16.727599999999999</v>
      </c>
      <c r="M603">
        <v>-9.6702999999999992</v>
      </c>
      <c r="N603">
        <v>-11.1356</v>
      </c>
      <c r="O603">
        <v>-11.1525</v>
      </c>
      <c r="P603">
        <v>-11.1525</v>
      </c>
      <c r="Q603" t="s">
        <v>134</v>
      </c>
      <c r="R603" t="s">
        <v>134</v>
      </c>
      <c r="S603" t="s">
        <v>134</v>
      </c>
      <c r="T603">
        <v>27.718699999999998</v>
      </c>
      <c r="U603">
        <v>46.454999999999998</v>
      </c>
      <c r="V603">
        <v>73.466300000000004</v>
      </c>
      <c r="W603">
        <v>-120.6036</v>
      </c>
      <c r="X603">
        <v>-120.1515</v>
      </c>
      <c r="Y603">
        <v>200</v>
      </c>
      <c r="Z603">
        <v>21.264500000000002</v>
      </c>
      <c r="AA603">
        <v>20.390499999999999</v>
      </c>
      <c r="AB603">
        <v>3.1486999999999998</v>
      </c>
      <c r="AC603">
        <v>6.1233000000000004</v>
      </c>
      <c r="AD603">
        <v>25.744299999999999</v>
      </c>
      <c r="AE603">
        <v>-23.2258</v>
      </c>
      <c r="AF603">
        <v>15.3993</v>
      </c>
      <c r="AG603">
        <v>5.2888999999999999</v>
      </c>
      <c r="AH603">
        <v>24.2422</v>
      </c>
      <c r="AI603">
        <v>-13.174200000000001</v>
      </c>
      <c r="AJ603">
        <v>2.4397000000000002</v>
      </c>
      <c r="AK603">
        <v>-13.0787</v>
      </c>
      <c r="AL603">
        <v>-25.287199999999999</v>
      </c>
      <c r="AM603">
        <v>6.7397999999999998</v>
      </c>
      <c r="AN603" t="s">
        <v>134</v>
      </c>
      <c r="AO603" t="s">
        <v>134</v>
      </c>
      <c r="AP603" t="s">
        <v>134</v>
      </c>
      <c r="AQ603" t="s">
        <v>134</v>
      </c>
      <c r="AR603">
        <v>65.722700000000003</v>
      </c>
      <c r="AS603">
        <v>8.2890999999999995</v>
      </c>
      <c r="AT603">
        <v>6.1782000000000004</v>
      </c>
      <c r="AU603">
        <v>4.0683999999999996</v>
      </c>
      <c r="AV603">
        <v>43.292299999999997</v>
      </c>
      <c r="AW603">
        <v>-4.8947000000000003</v>
      </c>
      <c r="AX603" t="s">
        <v>134</v>
      </c>
      <c r="AY603" t="s">
        <v>134</v>
      </c>
      <c r="AZ603" t="s">
        <v>134</v>
      </c>
      <c r="BA603">
        <v>48.134599999999999</v>
      </c>
      <c r="BB603">
        <v>47.734299999999998</v>
      </c>
      <c r="BC603">
        <v>47.936100000000003</v>
      </c>
      <c r="BD603">
        <v>53.679699999999997</v>
      </c>
      <c r="BE603" t="s">
        <v>134</v>
      </c>
      <c r="BF603">
        <v>27.718699999999998</v>
      </c>
      <c r="BG603">
        <v>46.454999999999998</v>
      </c>
      <c r="BH603">
        <v>73.466300000000004</v>
      </c>
      <c r="BI603" t="s">
        <v>134</v>
      </c>
      <c r="BJ603" t="s">
        <v>134</v>
      </c>
      <c r="BK603">
        <v>200</v>
      </c>
      <c r="BL603">
        <v>21.264500000000002</v>
      </c>
      <c r="BM603">
        <v>20.390499999999999</v>
      </c>
      <c r="BN603">
        <v>3.1486999999999998</v>
      </c>
      <c r="BO603">
        <v>6.1233000000000004</v>
      </c>
      <c r="BP603">
        <v>25.744299999999999</v>
      </c>
      <c r="BQ603" t="s">
        <v>134</v>
      </c>
      <c r="BR603">
        <v>15.3993</v>
      </c>
      <c r="BS603">
        <v>5.2888999999999999</v>
      </c>
      <c r="BT603">
        <v>24.2422</v>
      </c>
      <c r="BU603">
        <v>-13.174200000000001</v>
      </c>
      <c r="BV603">
        <v>2.4397000000000002</v>
      </c>
      <c r="BW603">
        <v>-13.0787</v>
      </c>
      <c r="BX603" t="s">
        <v>134</v>
      </c>
      <c r="BY603">
        <v>95519</v>
      </c>
      <c r="BZ603">
        <v>68723</v>
      </c>
      <c r="CA603">
        <v>26796</v>
      </c>
      <c r="CB603">
        <v>15.1068</v>
      </c>
      <c r="CC603">
        <v>14.2828</v>
      </c>
      <c r="CD603">
        <v>24.785</v>
      </c>
      <c r="CE603">
        <v>23.433</v>
      </c>
      <c r="CF603">
        <v>0.79730000000000001</v>
      </c>
      <c r="CG603">
        <v>43.369500000000002</v>
      </c>
      <c r="CH603">
        <v>28.747800000000002</v>
      </c>
      <c r="CI603">
        <v>14.1981</v>
      </c>
      <c r="CJ603">
        <v>12.4678</v>
      </c>
      <c r="CK603">
        <v>102.4765</v>
      </c>
      <c r="CL603">
        <v>50.611600000000003</v>
      </c>
      <c r="CM603">
        <v>44.443600000000004</v>
      </c>
      <c r="CN603">
        <v>96.886499999999998</v>
      </c>
      <c r="CO603">
        <v>49.209299999999999</v>
      </c>
      <c r="CP603">
        <v>6322.9</v>
      </c>
      <c r="CQ603">
        <v>2720.3</v>
      </c>
      <c r="CR603">
        <v>3853.9</v>
      </c>
      <c r="CS603">
        <v>5.5800000000000002E-2</v>
      </c>
      <c r="CT603">
        <v>0.46400000000000002</v>
      </c>
      <c r="CU603">
        <v>0.1333</v>
      </c>
      <c r="CV603">
        <v>0.71679999999999999</v>
      </c>
      <c r="CW603">
        <v>6.8006000000000002</v>
      </c>
      <c r="CX603">
        <v>53.671399999999998</v>
      </c>
      <c r="CY603">
        <v>2.0451000000000001</v>
      </c>
      <c r="CZ603">
        <v>178.4735</v>
      </c>
      <c r="DA603">
        <v>2.2930000000000001</v>
      </c>
      <c r="DB603">
        <v>159.17939999999999</v>
      </c>
      <c r="DC603">
        <v>72.965599999999995</v>
      </c>
      <c r="DD603">
        <v>232.14490000000001</v>
      </c>
      <c r="DE603">
        <v>6523</v>
      </c>
      <c r="DF603">
        <v>2499.1</v>
      </c>
      <c r="DG603">
        <v>2031.5</v>
      </c>
      <c r="DH603">
        <v>1392.9</v>
      </c>
      <c r="DI603">
        <v>599.5</v>
      </c>
    </row>
    <row r="604" spans="1:113" x14ac:dyDescent="0.3">
      <c r="E604" t="s">
        <v>4</v>
      </c>
      <c r="F604" t="s">
        <v>134</v>
      </c>
      <c r="G604" t="s">
        <v>134</v>
      </c>
      <c r="H604" t="s">
        <v>134</v>
      </c>
      <c r="I604" t="s">
        <v>134</v>
      </c>
      <c r="J604">
        <v>15.241300000000001</v>
      </c>
      <c r="K604">
        <v>9.2836999999999996</v>
      </c>
      <c r="L604">
        <v>20.780899999999999</v>
      </c>
      <c r="M604">
        <v>-14.1677</v>
      </c>
      <c r="N604">
        <v>-15.357099999999999</v>
      </c>
      <c r="O604">
        <v>-15.3018</v>
      </c>
      <c r="P604">
        <v>-15.3018</v>
      </c>
      <c r="Q604" t="s">
        <v>134</v>
      </c>
      <c r="R604" t="s">
        <v>134</v>
      </c>
      <c r="S604" t="s">
        <v>134</v>
      </c>
      <c r="T604">
        <v>34.937800000000003</v>
      </c>
      <c r="U604">
        <v>86.183999999999997</v>
      </c>
      <c r="V604">
        <v>137.85079999999999</v>
      </c>
      <c r="W604" t="s">
        <v>134</v>
      </c>
      <c r="X604" t="s">
        <v>134</v>
      </c>
      <c r="Y604" t="s">
        <v>134</v>
      </c>
      <c r="Z604" t="s">
        <v>134</v>
      </c>
      <c r="AA604" t="s">
        <v>134</v>
      </c>
      <c r="AB604" t="s">
        <v>134</v>
      </c>
      <c r="AC604" t="s">
        <v>134</v>
      </c>
      <c r="AD604" t="s">
        <v>134</v>
      </c>
      <c r="AE604" t="s">
        <v>134</v>
      </c>
      <c r="AF604" t="s">
        <v>134</v>
      </c>
      <c r="AG604" t="s">
        <v>134</v>
      </c>
      <c r="AH604" t="s">
        <v>134</v>
      </c>
      <c r="AI604" t="s">
        <v>134</v>
      </c>
      <c r="AJ604" t="s">
        <v>134</v>
      </c>
      <c r="AK604" t="s">
        <v>134</v>
      </c>
      <c r="AL604" t="s">
        <v>134</v>
      </c>
      <c r="AM604">
        <v>14.401299999999999</v>
      </c>
      <c r="AN604" t="s">
        <v>134</v>
      </c>
      <c r="AO604" t="s">
        <v>134</v>
      </c>
      <c r="AP604" t="s">
        <v>134</v>
      </c>
      <c r="AQ604" t="s">
        <v>134</v>
      </c>
      <c r="AR604" t="s">
        <v>134</v>
      </c>
      <c r="AS604" t="s">
        <v>134</v>
      </c>
      <c r="AT604" t="s">
        <v>134</v>
      </c>
      <c r="AU604" t="s">
        <v>134</v>
      </c>
      <c r="AV604" t="s">
        <v>134</v>
      </c>
      <c r="AW604" t="s">
        <v>134</v>
      </c>
      <c r="AX604" t="s">
        <v>134</v>
      </c>
      <c r="AY604" t="s">
        <v>134</v>
      </c>
      <c r="AZ604" t="s">
        <v>134</v>
      </c>
      <c r="BA604" t="s">
        <v>134</v>
      </c>
      <c r="BB604" t="s">
        <v>134</v>
      </c>
      <c r="BC604" t="s">
        <v>134</v>
      </c>
      <c r="BD604" t="s">
        <v>134</v>
      </c>
      <c r="BE604" t="s">
        <v>134</v>
      </c>
      <c r="BF604">
        <v>3.4005000000000001</v>
      </c>
      <c r="BG604">
        <v>73.9255</v>
      </c>
      <c r="BH604">
        <v>220.0719</v>
      </c>
      <c r="BI604" t="s">
        <v>134</v>
      </c>
      <c r="BJ604" t="s">
        <v>134</v>
      </c>
      <c r="BK604" t="s">
        <v>134</v>
      </c>
      <c r="BL604" t="s">
        <v>134</v>
      </c>
      <c r="BM604" t="s">
        <v>134</v>
      </c>
      <c r="BN604" t="s">
        <v>134</v>
      </c>
      <c r="BO604" t="s">
        <v>134</v>
      </c>
      <c r="BP604" t="s">
        <v>134</v>
      </c>
      <c r="BQ604" t="s">
        <v>134</v>
      </c>
      <c r="BR604" t="s">
        <v>134</v>
      </c>
      <c r="BS604" t="s">
        <v>134</v>
      </c>
      <c r="BT604" t="s">
        <v>134</v>
      </c>
      <c r="BU604" t="s">
        <v>134</v>
      </c>
      <c r="BV604" t="s">
        <v>134</v>
      </c>
      <c r="BW604" t="s">
        <v>134</v>
      </c>
      <c r="BX604" t="s">
        <v>134</v>
      </c>
      <c r="BY604" t="s">
        <v>134</v>
      </c>
      <c r="BZ604" t="s">
        <v>134</v>
      </c>
      <c r="CA604" t="s">
        <v>134</v>
      </c>
      <c r="CB604" t="s">
        <v>134</v>
      </c>
      <c r="CC604" t="s">
        <v>134</v>
      </c>
      <c r="CD604" t="s">
        <v>134</v>
      </c>
      <c r="CE604" t="s">
        <v>134</v>
      </c>
      <c r="CF604" t="s">
        <v>134</v>
      </c>
      <c r="CG604" t="s">
        <v>134</v>
      </c>
      <c r="CH604" t="s">
        <v>134</v>
      </c>
      <c r="CI604" t="s">
        <v>134</v>
      </c>
      <c r="CJ604" t="s">
        <v>134</v>
      </c>
      <c r="CK604" t="s">
        <v>134</v>
      </c>
      <c r="CL604" t="s">
        <v>134</v>
      </c>
      <c r="CM604" t="s">
        <v>134</v>
      </c>
      <c r="CN604" t="s">
        <v>134</v>
      </c>
      <c r="CO604" t="s">
        <v>134</v>
      </c>
      <c r="CP604">
        <v>1460.8</v>
      </c>
      <c r="CQ604" t="s">
        <v>134</v>
      </c>
      <c r="CR604">
        <v>889.8</v>
      </c>
      <c r="CS604" t="s">
        <v>134</v>
      </c>
      <c r="CT604" t="s">
        <v>134</v>
      </c>
      <c r="CU604" t="s">
        <v>134</v>
      </c>
      <c r="CV604" t="s">
        <v>134</v>
      </c>
      <c r="CW604" t="s">
        <v>134</v>
      </c>
      <c r="CX604" t="s">
        <v>134</v>
      </c>
      <c r="CY604" t="s">
        <v>134</v>
      </c>
      <c r="CZ604" t="s">
        <v>134</v>
      </c>
      <c r="DA604" t="s">
        <v>134</v>
      </c>
      <c r="DB604" t="s">
        <v>134</v>
      </c>
      <c r="DC604" t="s">
        <v>134</v>
      </c>
      <c r="DD604" t="s">
        <v>134</v>
      </c>
      <c r="DE604" t="s">
        <v>134</v>
      </c>
      <c r="DF604" t="s">
        <v>134</v>
      </c>
      <c r="DG604" t="s">
        <v>134</v>
      </c>
      <c r="DH604" t="s">
        <v>134</v>
      </c>
      <c r="DI604" t="s">
        <v>134</v>
      </c>
    </row>
    <row r="605" spans="1:113" x14ac:dyDescent="0.3">
      <c r="E605" t="s">
        <v>5</v>
      </c>
      <c r="F605">
        <v>-2.8848000000000003</v>
      </c>
      <c r="G605">
        <v>-1.5624</v>
      </c>
      <c r="H605" t="s">
        <v>134</v>
      </c>
      <c r="I605">
        <v>0.70540000000000003</v>
      </c>
      <c r="J605">
        <v>14.400600000000001</v>
      </c>
      <c r="K605">
        <v>8.8406000000000002</v>
      </c>
      <c r="L605">
        <v>28.833500000000001</v>
      </c>
      <c r="M605">
        <v>-1.3589</v>
      </c>
      <c r="N605">
        <v>-2.8997999999999999</v>
      </c>
      <c r="O605">
        <v>-2.9051999999999998</v>
      </c>
      <c r="P605">
        <v>-2.9051999999999998</v>
      </c>
      <c r="Q605" t="s">
        <v>134</v>
      </c>
      <c r="R605" t="s">
        <v>134</v>
      </c>
      <c r="S605" t="s">
        <v>134</v>
      </c>
      <c r="T605">
        <v>34.017200000000003</v>
      </c>
      <c r="U605">
        <v>118.48609999999999</v>
      </c>
      <c r="V605">
        <v>480.88760000000002</v>
      </c>
      <c r="W605">
        <v>64.942400000000006</v>
      </c>
      <c r="X605">
        <v>64.942400000000006</v>
      </c>
      <c r="Y605" t="s">
        <v>134</v>
      </c>
      <c r="Z605" t="s">
        <v>134</v>
      </c>
      <c r="AA605">
        <v>32.145000000000003</v>
      </c>
      <c r="AB605">
        <v>8.7217000000000002</v>
      </c>
      <c r="AC605">
        <v>14.546099999999999</v>
      </c>
      <c r="AD605" t="s">
        <v>134</v>
      </c>
      <c r="AE605">
        <v>-10.037000000000001</v>
      </c>
      <c r="AF605" t="s">
        <v>134</v>
      </c>
      <c r="AG605">
        <v>9.4390000000000001</v>
      </c>
      <c r="AH605">
        <v>46.021900000000002</v>
      </c>
      <c r="AI605">
        <v>-4.7028999999999996</v>
      </c>
      <c r="AJ605">
        <v>12.9552</v>
      </c>
      <c r="AK605">
        <v>-3.0099</v>
      </c>
      <c r="AL605" t="s">
        <v>134</v>
      </c>
      <c r="AM605">
        <v>4.6608000000000001</v>
      </c>
      <c r="AN605" t="s">
        <v>134</v>
      </c>
      <c r="AO605" t="s">
        <v>134</v>
      </c>
      <c r="AP605" t="s">
        <v>134</v>
      </c>
      <c r="AQ605" t="s">
        <v>134</v>
      </c>
      <c r="AR605" t="s">
        <v>134</v>
      </c>
      <c r="AS605" t="s">
        <v>134</v>
      </c>
      <c r="AT605" t="s">
        <v>134</v>
      </c>
      <c r="AU605" t="s">
        <v>134</v>
      </c>
      <c r="AV605" t="s">
        <v>134</v>
      </c>
      <c r="AW605" t="s">
        <v>134</v>
      </c>
      <c r="AX605" t="s">
        <v>134</v>
      </c>
      <c r="AY605" t="s">
        <v>134</v>
      </c>
      <c r="AZ605" t="s">
        <v>134</v>
      </c>
      <c r="BA605" t="s">
        <v>134</v>
      </c>
      <c r="BB605" t="s">
        <v>134</v>
      </c>
      <c r="BC605" t="s">
        <v>134</v>
      </c>
      <c r="BD605" t="s">
        <v>134</v>
      </c>
      <c r="BE605" t="s">
        <v>134</v>
      </c>
      <c r="BF605">
        <v>15.857900000000001</v>
      </c>
      <c r="BG605">
        <v>9.4673999999999996</v>
      </c>
      <c r="BH605">
        <v>10.328200000000001</v>
      </c>
      <c r="BI605" t="s">
        <v>134</v>
      </c>
      <c r="BJ605" t="s">
        <v>134</v>
      </c>
      <c r="BK605" t="s">
        <v>134</v>
      </c>
      <c r="BL605" t="s">
        <v>134</v>
      </c>
      <c r="BM605" t="s">
        <v>134</v>
      </c>
      <c r="BN605" t="s">
        <v>134</v>
      </c>
      <c r="BO605" t="s">
        <v>134</v>
      </c>
      <c r="BP605" t="s">
        <v>134</v>
      </c>
      <c r="BQ605" t="s">
        <v>134</v>
      </c>
      <c r="BR605" t="s">
        <v>134</v>
      </c>
      <c r="BS605" t="s">
        <v>134</v>
      </c>
      <c r="BT605" t="s">
        <v>134</v>
      </c>
      <c r="BU605" t="s">
        <v>134</v>
      </c>
      <c r="BV605" t="s">
        <v>134</v>
      </c>
      <c r="BW605" t="s">
        <v>134</v>
      </c>
      <c r="BX605" t="s">
        <v>134</v>
      </c>
      <c r="BY605">
        <v>88158.399999999994</v>
      </c>
      <c r="BZ605">
        <v>59299.1</v>
      </c>
      <c r="CA605">
        <v>28859.3</v>
      </c>
      <c r="CB605">
        <v>14.775600000000001</v>
      </c>
      <c r="CC605">
        <v>13.539400000000001</v>
      </c>
      <c r="CD605">
        <v>24.114000000000001</v>
      </c>
      <c r="CE605">
        <v>22.096599999999999</v>
      </c>
      <c r="CF605" t="s">
        <v>134</v>
      </c>
      <c r="CG605">
        <v>49.509399999999999</v>
      </c>
      <c r="CH605">
        <v>26.7864</v>
      </c>
      <c r="CI605">
        <v>14.7319</v>
      </c>
      <c r="CJ605">
        <v>13.268000000000001</v>
      </c>
      <c r="CK605">
        <v>81.826099999999997</v>
      </c>
      <c r="CL605">
        <v>45.002400000000002</v>
      </c>
      <c r="CM605">
        <v>40.530799999999999</v>
      </c>
      <c r="CN605">
        <v>74.9803</v>
      </c>
      <c r="CO605">
        <v>42.850700000000003</v>
      </c>
      <c r="CP605">
        <v>1599.1</v>
      </c>
      <c r="CQ605" t="s">
        <v>134</v>
      </c>
      <c r="CR605">
        <v>981.7</v>
      </c>
      <c r="CS605">
        <v>9.2700000000000005E-2</v>
      </c>
      <c r="CT605">
        <v>0.59470000000000001</v>
      </c>
      <c r="CU605">
        <v>0.18429999999999999</v>
      </c>
      <c r="CV605">
        <v>1.5104</v>
      </c>
      <c r="CW605" t="s">
        <v>134</v>
      </c>
      <c r="CX605" t="s">
        <v>134</v>
      </c>
      <c r="CY605">
        <v>2.0941000000000001</v>
      </c>
      <c r="CZ605">
        <v>174.2953</v>
      </c>
      <c r="DA605" t="s">
        <v>134</v>
      </c>
      <c r="DB605" t="s">
        <v>134</v>
      </c>
      <c r="DC605" t="s">
        <v>134</v>
      </c>
      <c r="DD605" t="s">
        <v>134</v>
      </c>
      <c r="DE605">
        <v>6868.5</v>
      </c>
      <c r="DF605" t="s">
        <v>134</v>
      </c>
      <c r="DG605" t="s">
        <v>134</v>
      </c>
      <c r="DH605" t="s">
        <v>134</v>
      </c>
      <c r="DI605" t="s">
        <v>134</v>
      </c>
    </row>
    <row r="606" spans="1:113" x14ac:dyDescent="0.3">
      <c r="E606" t="s">
        <v>6</v>
      </c>
      <c r="F606" t="s">
        <v>134</v>
      </c>
      <c r="G606" t="s">
        <v>134</v>
      </c>
      <c r="H606" t="s">
        <v>134</v>
      </c>
      <c r="I606" t="s">
        <v>134</v>
      </c>
      <c r="J606">
        <v>22.0776</v>
      </c>
      <c r="K606">
        <v>17.0703</v>
      </c>
      <c r="L606">
        <v>22.976800000000001</v>
      </c>
      <c r="M606">
        <v>-4.7300000000000002E-2</v>
      </c>
      <c r="N606">
        <v>-0.81459999999999999</v>
      </c>
      <c r="O606">
        <v>-0.87760000000000005</v>
      </c>
      <c r="P606">
        <v>-0.87760000000000005</v>
      </c>
      <c r="Q606" t="s">
        <v>134</v>
      </c>
      <c r="R606" t="s">
        <v>134</v>
      </c>
      <c r="S606" t="s">
        <v>134</v>
      </c>
      <c r="T606">
        <v>29.2712</v>
      </c>
      <c r="U606">
        <v>35.597799999999999</v>
      </c>
      <c r="V606">
        <v>43.839599999999997</v>
      </c>
      <c r="W606" t="s">
        <v>134</v>
      </c>
      <c r="X606" t="s">
        <v>134</v>
      </c>
      <c r="Y606" t="s">
        <v>134</v>
      </c>
      <c r="Z606" t="s">
        <v>134</v>
      </c>
      <c r="AA606" t="s">
        <v>134</v>
      </c>
      <c r="AB606" t="s">
        <v>134</v>
      </c>
      <c r="AC606" t="s">
        <v>134</v>
      </c>
      <c r="AD606" t="s">
        <v>134</v>
      </c>
      <c r="AE606" t="s">
        <v>134</v>
      </c>
      <c r="AF606" t="s">
        <v>134</v>
      </c>
      <c r="AG606" t="s">
        <v>134</v>
      </c>
      <c r="AH606" t="s">
        <v>134</v>
      </c>
      <c r="AI606" t="s">
        <v>134</v>
      </c>
      <c r="AJ606" t="s">
        <v>134</v>
      </c>
      <c r="AK606" t="s">
        <v>134</v>
      </c>
      <c r="AL606" t="s">
        <v>134</v>
      </c>
      <c r="AM606">
        <v>8.9117999999999995</v>
      </c>
      <c r="AN606" t="s">
        <v>134</v>
      </c>
      <c r="AO606" t="s">
        <v>134</v>
      </c>
      <c r="AP606" t="s">
        <v>134</v>
      </c>
      <c r="AQ606" t="s">
        <v>134</v>
      </c>
      <c r="AR606" t="s">
        <v>134</v>
      </c>
      <c r="AS606" t="s">
        <v>134</v>
      </c>
      <c r="AT606" t="s">
        <v>134</v>
      </c>
      <c r="AU606" t="s">
        <v>134</v>
      </c>
      <c r="AV606" t="s">
        <v>134</v>
      </c>
      <c r="AW606" t="s">
        <v>134</v>
      </c>
      <c r="AX606" t="s">
        <v>134</v>
      </c>
      <c r="AY606" t="s">
        <v>134</v>
      </c>
      <c r="AZ606" t="s">
        <v>134</v>
      </c>
      <c r="BA606" t="s">
        <v>134</v>
      </c>
      <c r="BB606" t="s">
        <v>134</v>
      </c>
      <c r="BC606" t="s">
        <v>134</v>
      </c>
      <c r="BD606" t="s">
        <v>134</v>
      </c>
      <c r="BE606" t="s">
        <v>134</v>
      </c>
      <c r="BF606">
        <v>13.3866</v>
      </c>
      <c r="BG606">
        <v>84.915899999999993</v>
      </c>
      <c r="BH606">
        <v>141.26490000000001</v>
      </c>
      <c r="BI606" t="s">
        <v>134</v>
      </c>
      <c r="BJ606" t="s">
        <v>134</v>
      </c>
      <c r="BK606" t="s">
        <v>134</v>
      </c>
      <c r="BL606" t="s">
        <v>134</v>
      </c>
      <c r="BM606" t="s">
        <v>134</v>
      </c>
      <c r="BN606" t="s">
        <v>134</v>
      </c>
      <c r="BO606" t="s">
        <v>134</v>
      </c>
      <c r="BP606" t="s">
        <v>134</v>
      </c>
      <c r="BQ606" t="s">
        <v>134</v>
      </c>
      <c r="BR606" t="s">
        <v>134</v>
      </c>
      <c r="BS606" t="s">
        <v>134</v>
      </c>
      <c r="BT606" t="s">
        <v>134</v>
      </c>
      <c r="BU606" t="s">
        <v>134</v>
      </c>
      <c r="BV606" t="s">
        <v>134</v>
      </c>
      <c r="BW606" t="s">
        <v>134</v>
      </c>
      <c r="BX606" t="s">
        <v>134</v>
      </c>
      <c r="BY606" t="s">
        <v>134</v>
      </c>
      <c r="BZ606" t="s">
        <v>134</v>
      </c>
      <c r="CA606" t="s">
        <v>134</v>
      </c>
      <c r="CB606" t="s">
        <v>134</v>
      </c>
      <c r="CC606" t="s">
        <v>134</v>
      </c>
      <c r="CD606" t="s">
        <v>134</v>
      </c>
      <c r="CE606" t="s">
        <v>134</v>
      </c>
      <c r="CF606">
        <v>1.2181999999999999</v>
      </c>
      <c r="CG606" t="s">
        <v>134</v>
      </c>
      <c r="CH606" t="s">
        <v>134</v>
      </c>
      <c r="CI606" t="s">
        <v>134</v>
      </c>
      <c r="CJ606" t="s">
        <v>134</v>
      </c>
      <c r="CK606" t="s">
        <v>134</v>
      </c>
      <c r="CL606" t="s">
        <v>134</v>
      </c>
      <c r="CM606" t="s">
        <v>134</v>
      </c>
      <c r="CN606" t="s">
        <v>134</v>
      </c>
      <c r="CO606" t="s">
        <v>134</v>
      </c>
      <c r="CP606">
        <v>2802.4</v>
      </c>
      <c r="CQ606" t="s">
        <v>134</v>
      </c>
      <c r="CR606">
        <v>2166.8000000000002</v>
      </c>
      <c r="CS606" t="s">
        <v>134</v>
      </c>
      <c r="CT606" t="s">
        <v>134</v>
      </c>
      <c r="CU606" t="s">
        <v>134</v>
      </c>
      <c r="CV606" t="s">
        <v>134</v>
      </c>
      <c r="CW606" t="s">
        <v>134</v>
      </c>
      <c r="CX606" t="s">
        <v>134</v>
      </c>
      <c r="CY606" t="s">
        <v>134</v>
      </c>
      <c r="CZ606" t="s">
        <v>134</v>
      </c>
      <c r="DA606" t="s">
        <v>134</v>
      </c>
      <c r="DB606" t="s">
        <v>134</v>
      </c>
      <c r="DC606" t="s">
        <v>134</v>
      </c>
      <c r="DD606" t="s">
        <v>134</v>
      </c>
      <c r="DE606" t="s">
        <v>134</v>
      </c>
      <c r="DF606" t="s">
        <v>134</v>
      </c>
      <c r="DG606" t="s">
        <v>134</v>
      </c>
      <c r="DH606" t="s">
        <v>134</v>
      </c>
      <c r="DI606" t="s">
        <v>134</v>
      </c>
    </row>
    <row r="607" spans="1:113" x14ac:dyDescent="0.3">
      <c r="E607" t="s">
        <v>7</v>
      </c>
      <c r="F607">
        <v>-5.0029000000000003</v>
      </c>
      <c r="G607">
        <v>-2.4022999999999999</v>
      </c>
      <c r="H607" t="s">
        <v>134</v>
      </c>
      <c r="I607">
        <v>0.2228</v>
      </c>
      <c r="J607">
        <v>5.3738000000000001</v>
      </c>
      <c r="K607">
        <v>-0.435</v>
      </c>
      <c r="L607" t="s">
        <v>134</v>
      </c>
      <c r="M607">
        <v>-25.512899999999998</v>
      </c>
      <c r="N607">
        <v>-28.001200000000001</v>
      </c>
      <c r="O607">
        <v>-28.04</v>
      </c>
      <c r="P607">
        <v>-28.04</v>
      </c>
      <c r="Q607" t="s">
        <v>134</v>
      </c>
      <c r="R607" t="s">
        <v>134</v>
      </c>
      <c r="S607" t="s">
        <v>134</v>
      </c>
      <c r="T607">
        <v>19.7911</v>
      </c>
      <c r="U607">
        <v>-28.9558</v>
      </c>
      <c r="V607" t="s">
        <v>134</v>
      </c>
      <c r="W607">
        <v>-55.356499999999997</v>
      </c>
      <c r="X607">
        <v>-55.517200000000003</v>
      </c>
      <c r="Y607" t="s">
        <v>134</v>
      </c>
      <c r="Z607">
        <v>21.264500000000002</v>
      </c>
      <c r="AA607">
        <v>20.390499999999999</v>
      </c>
      <c r="AB607">
        <v>3.1486999999999998</v>
      </c>
      <c r="AC607">
        <v>6.1233000000000004</v>
      </c>
      <c r="AD607">
        <v>25.744299999999999</v>
      </c>
      <c r="AE607">
        <v>-23.2258</v>
      </c>
      <c r="AF607">
        <v>15.3993</v>
      </c>
      <c r="AG607">
        <v>5.2888999999999999</v>
      </c>
      <c r="AH607">
        <v>24.2422</v>
      </c>
      <c r="AI607">
        <v>-13.174200000000001</v>
      </c>
      <c r="AJ607">
        <v>2.4397000000000002</v>
      </c>
      <c r="AK607">
        <v>-13.0787</v>
      </c>
      <c r="AL607" t="s">
        <v>134</v>
      </c>
      <c r="AM607">
        <v>5.4672000000000001</v>
      </c>
      <c r="AN607">
        <v>-19.674600000000002</v>
      </c>
      <c r="AO607" t="s">
        <v>134</v>
      </c>
      <c r="AP607" t="s">
        <v>134</v>
      </c>
      <c r="AQ607" t="s">
        <v>134</v>
      </c>
      <c r="AR607" t="s">
        <v>134</v>
      </c>
      <c r="AS607" t="s">
        <v>134</v>
      </c>
      <c r="AT607" t="s">
        <v>134</v>
      </c>
      <c r="AU607" t="s">
        <v>134</v>
      </c>
      <c r="AV607" t="s">
        <v>134</v>
      </c>
      <c r="AW607" t="s">
        <v>134</v>
      </c>
      <c r="AX607" t="s">
        <v>134</v>
      </c>
      <c r="AY607" t="s">
        <v>134</v>
      </c>
      <c r="AZ607" t="s">
        <v>134</v>
      </c>
      <c r="BA607" t="s">
        <v>134</v>
      </c>
      <c r="BB607" t="s">
        <v>134</v>
      </c>
      <c r="BC607" t="s">
        <v>134</v>
      </c>
      <c r="BD607" t="s">
        <v>134</v>
      </c>
      <c r="BE607" t="s">
        <v>134</v>
      </c>
      <c r="BF607">
        <v>-12.9878</v>
      </c>
      <c r="BG607">
        <v>-78.393699999999995</v>
      </c>
      <c r="BH607">
        <v>-102.2718</v>
      </c>
      <c r="BI607" t="s">
        <v>134</v>
      </c>
      <c r="BJ607" t="s">
        <v>134</v>
      </c>
      <c r="BK607" t="s">
        <v>134</v>
      </c>
      <c r="BL607" t="s">
        <v>134</v>
      </c>
      <c r="BM607" t="s">
        <v>134</v>
      </c>
      <c r="BN607" t="s">
        <v>134</v>
      </c>
      <c r="BO607" t="s">
        <v>134</v>
      </c>
      <c r="BP607" t="s">
        <v>134</v>
      </c>
      <c r="BQ607" t="s">
        <v>134</v>
      </c>
      <c r="BR607" t="s">
        <v>134</v>
      </c>
      <c r="BS607" t="s">
        <v>134</v>
      </c>
      <c r="BT607" t="s">
        <v>134</v>
      </c>
      <c r="BU607" t="s">
        <v>134</v>
      </c>
      <c r="BV607" t="s">
        <v>134</v>
      </c>
      <c r="BW607" t="s">
        <v>134</v>
      </c>
      <c r="BX607" t="s">
        <v>134</v>
      </c>
      <c r="BY607">
        <v>95519</v>
      </c>
      <c r="BZ607">
        <v>68723</v>
      </c>
      <c r="CA607">
        <v>26796</v>
      </c>
      <c r="CB607">
        <v>15.0787</v>
      </c>
      <c r="CC607">
        <v>14.2562</v>
      </c>
      <c r="CD607">
        <v>24.709399999999999</v>
      </c>
      <c r="CE607">
        <v>23.361499999999999</v>
      </c>
      <c r="CF607">
        <v>0.22120000000000001</v>
      </c>
      <c r="CG607">
        <v>43.369500000000002</v>
      </c>
      <c r="CH607">
        <v>28.747800000000002</v>
      </c>
      <c r="CI607">
        <v>14.1981</v>
      </c>
      <c r="CJ607">
        <v>12.4678</v>
      </c>
      <c r="CK607">
        <v>102.4765</v>
      </c>
      <c r="CL607">
        <v>50.611600000000003</v>
      </c>
      <c r="CM607">
        <v>44.443600000000004</v>
      </c>
      <c r="CN607">
        <v>96.886499999999998</v>
      </c>
      <c r="CO607">
        <v>49.209299999999999</v>
      </c>
      <c r="CP607">
        <v>596.70000000000005</v>
      </c>
      <c r="CQ607" t="s">
        <v>134</v>
      </c>
      <c r="CR607">
        <v>-48.3</v>
      </c>
      <c r="CS607">
        <v>5.5800000000000002E-2</v>
      </c>
      <c r="CT607">
        <v>0.46400000000000002</v>
      </c>
      <c r="CU607">
        <v>0.1333</v>
      </c>
      <c r="CV607">
        <v>0.71679999999999999</v>
      </c>
      <c r="CW607">
        <v>6.7530000000000001</v>
      </c>
      <c r="CX607">
        <v>54.050199999999997</v>
      </c>
      <c r="CY607">
        <v>2.0411000000000001</v>
      </c>
      <c r="CZ607">
        <v>178.82499999999999</v>
      </c>
      <c r="DA607">
        <v>2.2888999999999999</v>
      </c>
      <c r="DB607">
        <v>159.46680000000001</v>
      </c>
      <c r="DC607">
        <v>73.4084</v>
      </c>
      <c r="DD607">
        <v>232.87520000000001</v>
      </c>
      <c r="DE607">
        <v>6523</v>
      </c>
      <c r="DF607">
        <v>2499.1</v>
      </c>
      <c r="DG607">
        <v>2031.5</v>
      </c>
      <c r="DH607">
        <v>1392.9</v>
      </c>
      <c r="DI607">
        <v>599.5</v>
      </c>
    </row>
    <row r="608" spans="1:113" x14ac:dyDescent="0.3">
      <c r="D608" t="s">
        <v>8</v>
      </c>
      <c r="E608" t="s">
        <v>3</v>
      </c>
      <c r="F608">
        <v>27.068899999999999</v>
      </c>
      <c r="G608">
        <v>13.430400000000001</v>
      </c>
      <c r="H608">
        <v>17.466699999999999</v>
      </c>
      <c r="I608">
        <v>3.6859000000000002</v>
      </c>
      <c r="J608">
        <v>17.285699999999999</v>
      </c>
      <c r="K608">
        <v>11.6271</v>
      </c>
      <c r="L608">
        <v>32.816600000000001</v>
      </c>
      <c r="M608">
        <v>59.253999999999998</v>
      </c>
      <c r="N608">
        <v>55.629100000000001</v>
      </c>
      <c r="O608">
        <v>55.634700000000002</v>
      </c>
      <c r="P608">
        <v>55.634700000000002</v>
      </c>
      <c r="Q608">
        <v>11.364800000000001</v>
      </c>
      <c r="R608">
        <v>12.11</v>
      </c>
      <c r="S608">
        <v>23.790900000000001</v>
      </c>
      <c r="T608">
        <v>13.766500000000001</v>
      </c>
      <c r="U608">
        <v>38.5533</v>
      </c>
      <c r="V608">
        <v>51.867699999999999</v>
      </c>
      <c r="W608" t="s">
        <v>134</v>
      </c>
      <c r="X608" t="s">
        <v>134</v>
      </c>
      <c r="Y608">
        <v>-61.904800000000002</v>
      </c>
      <c r="Z608">
        <v>15.555</v>
      </c>
      <c r="AA608">
        <v>3.4708000000000001</v>
      </c>
      <c r="AB608">
        <v>7.609</v>
      </c>
      <c r="AC608">
        <v>-2.6448999999999998</v>
      </c>
      <c r="AD608">
        <v>12.4177</v>
      </c>
      <c r="AE608">
        <v>93.556399999999996</v>
      </c>
      <c r="AF608">
        <v>5.0422000000000002</v>
      </c>
      <c r="AG608">
        <v>-58.830100000000002</v>
      </c>
      <c r="AH608">
        <v>-30.727899999999998</v>
      </c>
      <c r="AI608">
        <v>26.22</v>
      </c>
      <c r="AJ608">
        <v>-2.6021999999999998</v>
      </c>
      <c r="AK608">
        <v>25.907699999999998</v>
      </c>
      <c r="AL608">
        <v>-38.073500000000003</v>
      </c>
      <c r="AM608">
        <v>7.1641000000000004</v>
      </c>
      <c r="AN608" t="s">
        <v>134</v>
      </c>
      <c r="AO608" t="s">
        <v>134</v>
      </c>
      <c r="AP608" t="s">
        <v>134</v>
      </c>
      <c r="AQ608" t="s">
        <v>134</v>
      </c>
      <c r="AR608">
        <v>29.935300000000002</v>
      </c>
      <c r="AS608">
        <v>13.7049</v>
      </c>
      <c r="AT608">
        <v>7.5313999999999997</v>
      </c>
      <c r="AU608">
        <v>6.2274000000000003</v>
      </c>
      <c r="AV608">
        <v>41.0289</v>
      </c>
      <c r="AW608">
        <v>1.9109</v>
      </c>
      <c r="AX608" t="s">
        <v>134</v>
      </c>
      <c r="AY608" t="s">
        <v>134</v>
      </c>
      <c r="AZ608" t="s">
        <v>134</v>
      </c>
      <c r="BA608">
        <v>38.572899999999997</v>
      </c>
      <c r="BB608">
        <v>47.504199999999997</v>
      </c>
      <c r="BC608">
        <v>43.892800000000001</v>
      </c>
      <c r="BD608">
        <v>53.191400000000002</v>
      </c>
      <c r="BE608" t="s">
        <v>134</v>
      </c>
      <c r="BF608">
        <v>13.766500000000001</v>
      </c>
      <c r="BG608">
        <v>38.5533</v>
      </c>
      <c r="BH608">
        <v>51.867699999999999</v>
      </c>
      <c r="BI608" t="s">
        <v>134</v>
      </c>
      <c r="BJ608" t="s">
        <v>134</v>
      </c>
      <c r="BK608">
        <v>-61.904800000000002</v>
      </c>
      <c r="BL608">
        <v>15.555</v>
      </c>
      <c r="BM608">
        <v>3.4708000000000001</v>
      </c>
      <c r="BN608">
        <v>7.609</v>
      </c>
      <c r="BO608">
        <v>-2.6448999999999998</v>
      </c>
      <c r="BP608">
        <v>12.4177</v>
      </c>
      <c r="BQ608" t="s">
        <v>134</v>
      </c>
      <c r="BR608">
        <v>5.0422000000000002</v>
      </c>
      <c r="BS608">
        <v>-58.830100000000002</v>
      </c>
      <c r="BT608">
        <v>-30.727899999999998</v>
      </c>
      <c r="BU608">
        <v>26.22</v>
      </c>
      <c r="BV608">
        <v>-2.6021999999999998</v>
      </c>
      <c r="BW608">
        <v>25.907699999999998</v>
      </c>
      <c r="BX608" t="s">
        <v>134</v>
      </c>
      <c r="BY608">
        <v>66168</v>
      </c>
      <c r="BZ608">
        <v>28293.200000000001</v>
      </c>
      <c r="CA608">
        <v>37874.800000000003</v>
      </c>
      <c r="CB608">
        <v>7.4725999999999999</v>
      </c>
      <c r="CC608">
        <v>6.0395000000000003</v>
      </c>
      <c r="CD608">
        <v>11.109299999999999</v>
      </c>
      <c r="CE608">
        <v>8.9787999999999997</v>
      </c>
      <c r="CF608">
        <v>1.9430000000000001</v>
      </c>
      <c r="CG608">
        <v>56.056899999999999</v>
      </c>
      <c r="CH608">
        <v>32.192700000000002</v>
      </c>
      <c r="CI608">
        <v>20.604500000000002</v>
      </c>
      <c r="CJ608">
        <v>18.091000000000001</v>
      </c>
      <c r="CK608">
        <v>56.241199999999999</v>
      </c>
      <c r="CL608">
        <v>35.996400000000001</v>
      </c>
      <c r="CM608">
        <v>31.6053</v>
      </c>
      <c r="CN608">
        <v>45.455300000000001</v>
      </c>
      <c r="CO608">
        <v>31.250399999999999</v>
      </c>
      <c r="CP608">
        <v>8854.7999999999993</v>
      </c>
      <c r="CQ608">
        <v>4077.4</v>
      </c>
      <c r="CR608">
        <v>5956.1</v>
      </c>
      <c r="CS608">
        <v>0.24160000000000001</v>
      </c>
      <c r="CT608">
        <v>0.93720000000000003</v>
      </c>
      <c r="CU608">
        <v>0.4</v>
      </c>
      <c r="CV608">
        <v>1.9443000000000001</v>
      </c>
      <c r="CW608">
        <v>6.6033999999999997</v>
      </c>
      <c r="CX608">
        <v>55.274299999999997</v>
      </c>
      <c r="CY608">
        <v>2.0063</v>
      </c>
      <c r="CZ608">
        <v>181.92699999999999</v>
      </c>
      <c r="DA608">
        <v>2.7225999999999999</v>
      </c>
      <c r="DB608">
        <v>134.06280000000001</v>
      </c>
      <c r="DC608">
        <v>103.13849999999999</v>
      </c>
      <c r="DD608">
        <v>237.20140000000001</v>
      </c>
      <c r="DE608">
        <v>6749.4</v>
      </c>
      <c r="DF608">
        <v>2485.3000000000002</v>
      </c>
      <c r="DG608">
        <v>2210.3000000000002</v>
      </c>
      <c r="DH608">
        <v>1547.1</v>
      </c>
      <c r="DI608">
        <v>506.7</v>
      </c>
    </row>
    <row r="609" spans="4:113" x14ac:dyDescent="0.3">
      <c r="E609" t="s">
        <v>4</v>
      </c>
      <c r="F609" t="s">
        <v>134</v>
      </c>
      <c r="G609" t="s">
        <v>134</v>
      </c>
      <c r="H609" t="s">
        <v>134</v>
      </c>
      <c r="I609" t="s">
        <v>134</v>
      </c>
      <c r="J609">
        <v>13.3843</v>
      </c>
      <c r="K609">
        <v>7.6878000000000002</v>
      </c>
      <c r="L609">
        <v>0.3226</v>
      </c>
      <c r="M609">
        <v>263.55239999999998</v>
      </c>
      <c r="N609">
        <v>248.3681</v>
      </c>
      <c r="O609">
        <v>248.3681</v>
      </c>
      <c r="P609">
        <v>248.3681</v>
      </c>
      <c r="Q609">
        <v>6.8651</v>
      </c>
      <c r="R609" t="s">
        <v>134</v>
      </c>
      <c r="S609" t="s">
        <v>134</v>
      </c>
      <c r="T609">
        <v>21.6694</v>
      </c>
      <c r="U609">
        <v>6.8456000000000001</v>
      </c>
      <c r="V609">
        <v>0.753</v>
      </c>
      <c r="W609" t="s">
        <v>134</v>
      </c>
      <c r="X609" t="s">
        <v>134</v>
      </c>
      <c r="Y609" t="s">
        <v>134</v>
      </c>
      <c r="Z609" t="s">
        <v>134</v>
      </c>
      <c r="AA609" t="s">
        <v>134</v>
      </c>
      <c r="AB609" t="s">
        <v>134</v>
      </c>
      <c r="AC609" t="s">
        <v>134</v>
      </c>
      <c r="AD609" t="s">
        <v>134</v>
      </c>
      <c r="AE609" t="s">
        <v>134</v>
      </c>
      <c r="AF609" t="s">
        <v>134</v>
      </c>
      <c r="AG609" t="s">
        <v>134</v>
      </c>
      <c r="AH609" t="s">
        <v>134</v>
      </c>
      <c r="AI609" t="s">
        <v>134</v>
      </c>
      <c r="AJ609" t="s">
        <v>134</v>
      </c>
      <c r="AK609" t="s">
        <v>134</v>
      </c>
      <c r="AL609" t="s">
        <v>134</v>
      </c>
      <c r="AM609">
        <v>7.2567000000000004</v>
      </c>
      <c r="AN609">
        <v>4.6199999999999998E-2</v>
      </c>
      <c r="AO609">
        <v>-5.2230999999999996</v>
      </c>
      <c r="AP609">
        <v>102.4806</v>
      </c>
      <c r="AQ609">
        <v>110.10169999999999</v>
      </c>
      <c r="AR609" t="s">
        <v>134</v>
      </c>
      <c r="AS609" t="s">
        <v>134</v>
      </c>
      <c r="AT609" t="s">
        <v>134</v>
      </c>
      <c r="AU609" t="s">
        <v>134</v>
      </c>
      <c r="AV609" t="s">
        <v>134</v>
      </c>
      <c r="AW609" t="s">
        <v>134</v>
      </c>
      <c r="AX609" t="s">
        <v>134</v>
      </c>
      <c r="AY609" t="s">
        <v>134</v>
      </c>
      <c r="AZ609" t="s">
        <v>134</v>
      </c>
      <c r="BA609" t="s">
        <v>134</v>
      </c>
      <c r="BB609" t="s">
        <v>134</v>
      </c>
      <c r="BC609" t="s">
        <v>134</v>
      </c>
      <c r="BD609" t="s">
        <v>134</v>
      </c>
      <c r="BE609" t="s">
        <v>134</v>
      </c>
      <c r="BF609">
        <v>5.0217000000000001</v>
      </c>
      <c r="BG609">
        <v>161.572</v>
      </c>
      <c r="BH609" t="s">
        <v>134</v>
      </c>
      <c r="BI609" t="s">
        <v>134</v>
      </c>
      <c r="BJ609" t="s">
        <v>134</v>
      </c>
      <c r="BK609" t="s">
        <v>134</v>
      </c>
      <c r="BL609" t="s">
        <v>134</v>
      </c>
      <c r="BM609" t="s">
        <v>134</v>
      </c>
      <c r="BN609" t="s">
        <v>134</v>
      </c>
      <c r="BO609" t="s">
        <v>134</v>
      </c>
      <c r="BP609" t="s">
        <v>134</v>
      </c>
      <c r="BQ609" t="s">
        <v>134</v>
      </c>
      <c r="BR609" t="s">
        <v>134</v>
      </c>
      <c r="BS609" t="s">
        <v>134</v>
      </c>
      <c r="BT609" t="s">
        <v>134</v>
      </c>
      <c r="BU609" t="s">
        <v>134</v>
      </c>
      <c r="BV609" t="s">
        <v>134</v>
      </c>
      <c r="BW609" t="s">
        <v>134</v>
      </c>
      <c r="BX609" t="s">
        <v>134</v>
      </c>
      <c r="BY609" t="s">
        <v>134</v>
      </c>
      <c r="BZ609" t="s">
        <v>134</v>
      </c>
      <c r="CA609" t="s">
        <v>134</v>
      </c>
      <c r="CB609" t="s">
        <v>134</v>
      </c>
      <c r="CC609" t="s">
        <v>134</v>
      </c>
      <c r="CD609" t="s">
        <v>134</v>
      </c>
      <c r="CE609" t="s">
        <v>134</v>
      </c>
      <c r="CF609">
        <v>1.0551999999999999</v>
      </c>
      <c r="CG609" t="s">
        <v>134</v>
      </c>
      <c r="CH609" t="s">
        <v>134</v>
      </c>
      <c r="CI609" t="s">
        <v>134</v>
      </c>
      <c r="CJ609" t="s">
        <v>134</v>
      </c>
      <c r="CK609" t="s">
        <v>134</v>
      </c>
      <c r="CL609" t="s">
        <v>134</v>
      </c>
      <c r="CM609" t="s">
        <v>134</v>
      </c>
      <c r="CN609" t="s">
        <v>134</v>
      </c>
      <c r="CO609" t="s">
        <v>134</v>
      </c>
      <c r="CP609">
        <v>1560.8</v>
      </c>
      <c r="CQ609" t="s">
        <v>134</v>
      </c>
      <c r="CR609">
        <v>896.5</v>
      </c>
      <c r="CS609" t="s">
        <v>134</v>
      </c>
      <c r="CT609" t="s">
        <v>134</v>
      </c>
      <c r="CU609" t="s">
        <v>134</v>
      </c>
      <c r="CV609" t="s">
        <v>134</v>
      </c>
      <c r="CW609" t="s">
        <v>134</v>
      </c>
      <c r="CX609" t="s">
        <v>134</v>
      </c>
      <c r="CY609" t="s">
        <v>134</v>
      </c>
      <c r="CZ609" t="s">
        <v>134</v>
      </c>
      <c r="DA609" t="s">
        <v>134</v>
      </c>
      <c r="DB609" t="s">
        <v>134</v>
      </c>
      <c r="DC609" t="s">
        <v>134</v>
      </c>
      <c r="DD609" t="s">
        <v>134</v>
      </c>
      <c r="DE609" t="s">
        <v>134</v>
      </c>
      <c r="DF609" t="s">
        <v>134</v>
      </c>
      <c r="DG609" t="s">
        <v>134</v>
      </c>
      <c r="DH609" t="s">
        <v>134</v>
      </c>
      <c r="DI609" t="s">
        <v>134</v>
      </c>
    </row>
    <row r="610" spans="4:113" x14ac:dyDescent="0.3">
      <c r="E610" t="s">
        <v>5</v>
      </c>
      <c r="F610">
        <v>19.276499999999999</v>
      </c>
      <c r="G610">
        <v>10.624600000000001</v>
      </c>
      <c r="H610">
        <v>15.710900000000001</v>
      </c>
      <c r="I610">
        <v>0.91110000000000002</v>
      </c>
      <c r="J610">
        <v>17.3368</v>
      </c>
      <c r="K610">
        <v>11.442</v>
      </c>
      <c r="L610">
        <v>47.792200000000001</v>
      </c>
      <c r="M610">
        <v>-29.522600000000001</v>
      </c>
      <c r="N610">
        <v>-31.906700000000001</v>
      </c>
      <c r="O610">
        <v>-31.906700000000001</v>
      </c>
      <c r="P610">
        <v>-31.906700000000001</v>
      </c>
      <c r="Q610" t="s">
        <v>134</v>
      </c>
      <c r="R610" t="s">
        <v>134</v>
      </c>
      <c r="S610" t="s">
        <v>134</v>
      </c>
      <c r="T610">
        <v>9.407</v>
      </c>
      <c r="U610">
        <v>40.112200000000001</v>
      </c>
      <c r="V610">
        <v>56.040500000000002</v>
      </c>
      <c r="W610">
        <v>-1111.3762999999999</v>
      </c>
      <c r="X610">
        <v>-1111.3762999999999</v>
      </c>
      <c r="Y610" t="s">
        <v>134</v>
      </c>
      <c r="Z610">
        <v>-15.9778</v>
      </c>
      <c r="AA610">
        <v>-4.0503999999999998</v>
      </c>
      <c r="AB610">
        <v>-8.6655999999999995</v>
      </c>
      <c r="AC610">
        <v>-11.0707</v>
      </c>
      <c r="AD610">
        <v>-10.188599999999999</v>
      </c>
      <c r="AE610" t="s">
        <v>134</v>
      </c>
      <c r="AF610" t="s">
        <v>134</v>
      </c>
      <c r="AG610">
        <v>-74.075000000000003</v>
      </c>
      <c r="AH610">
        <v>-42.192100000000003</v>
      </c>
      <c r="AI610">
        <v>10.276299999999999</v>
      </c>
      <c r="AJ610">
        <v>-13.335800000000001</v>
      </c>
      <c r="AK610">
        <v>10.3283</v>
      </c>
      <c r="AL610" t="s">
        <v>134</v>
      </c>
      <c r="AM610">
        <v>4.1390000000000002</v>
      </c>
      <c r="AN610" t="s">
        <v>134</v>
      </c>
      <c r="AO610" t="s">
        <v>134</v>
      </c>
      <c r="AP610" t="s">
        <v>134</v>
      </c>
      <c r="AQ610" t="s">
        <v>134</v>
      </c>
      <c r="AR610" t="s">
        <v>134</v>
      </c>
      <c r="AS610" t="s">
        <v>134</v>
      </c>
      <c r="AT610" t="s">
        <v>134</v>
      </c>
      <c r="AU610" t="s">
        <v>134</v>
      </c>
      <c r="AV610" t="s">
        <v>134</v>
      </c>
      <c r="AW610" t="s">
        <v>134</v>
      </c>
      <c r="AX610" t="s">
        <v>134</v>
      </c>
      <c r="AY610" t="s">
        <v>134</v>
      </c>
      <c r="AZ610" t="s">
        <v>134</v>
      </c>
      <c r="BA610" t="s">
        <v>134</v>
      </c>
      <c r="BB610" t="s">
        <v>134</v>
      </c>
      <c r="BC610" t="s">
        <v>134</v>
      </c>
      <c r="BD610" t="s">
        <v>134</v>
      </c>
      <c r="BE610" t="s">
        <v>134</v>
      </c>
      <c r="BF610">
        <v>4.8324999999999996</v>
      </c>
      <c r="BG610">
        <v>36.412700000000001</v>
      </c>
      <c r="BH610">
        <v>57.0548</v>
      </c>
      <c r="BI610">
        <v>-113.4926</v>
      </c>
      <c r="BJ610">
        <v>-113.4926</v>
      </c>
      <c r="BK610" t="s">
        <v>134</v>
      </c>
      <c r="BL610" t="s">
        <v>134</v>
      </c>
      <c r="BM610" t="s">
        <v>134</v>
      </c>
      <c r="BN610" t="s">
        <v>134</v>
      </c>
      <c r="BO610" t="s">
        <v>134</v>
      </c>
      <c r="BP610" t="s">
        <v>134</v>
      </c>
      <c r="BQ610" t="s">
        <v>134</v>
      </c>
      <c r="BR610" t="s">
        <v>134</v>
      </c>
      <c r="BS610" t="s">
        <v>134</v>
      </c>
      <c r="BT610" t="s">
        <v>134</v>
      </c>
      <c r="BU610" t="s">
        <v>134</v>
      </c>
      <c r="BV610" t="s">
        <v>134</v>
      </c>
      <c r="BW610" t="s">
        <v>134</v>
      </c>
      <c r="BX610" t="s">
        <v>134</v>
      </c>
      <c r="BY610">
        <v>50962.5</v>
      </c>
      <c r="BZ610">
        <v>15373.3</v>
      </c>
      <c r="CA610">
        <v>35589.199999999997</v>
      </c>
      <c r="CB610">
        <v>7.2405999999999997</v>
      </c>
      <c r="CC610">
        <v>4.1204999999999998</v>
      </c>
      <c r="CD610">
        <v>11.6579</v>
      </c>
      <c r="CE610">
        <v>6.6342999999999996</v>
      </c>
      <c r="CF610">
        <v>1.4825999999999999</v>
      </c>
      <c r="CG610">
        <v>61.422800000000002</v>
      </c>
      <c r="CH610">
        <v>29.954699999999999</v>
      </c>
      <c r="CI610">
        <v>20.962900000000001</v>
      </c>
      <c r="CJ610">
        <v>18.399000000000001</v>
      </c>
      <c r="CK610">
        <v>42.893999999999998</v>
      </c>
      <c r="CL610">
        <v>30.0181</v>
      </c>
      <c r="CM610">
        <v>26.346699999999998</v>
      </c>
      <c r="CN610">
        <v>24.4101</v>
      </c>
      <c r="CO610">
        <v>19.620699999999999</v>
      </c>
      <c r="CP610">
        <v>2123.4</v>
      </c>
      <c r="CQ610" t="s">
        <v>134</v>
      </c>
      <c r="CR610">
        <v>1401.4</v>
      </c>
      <c r="CS610">
        <v>0.59219999999999995</v>
      </c>
      <c r="CT610">
        <v>1.1004</v>
      </c>
      <c r="CU610">
        <v>0.75719999999999998</v>
      </c>
      <c r="CV610">
        <v>2.6977000000000002</v>
      </c>
      <c r="CW610">
        <v>7.1329000000000002</v>
      </c>
      <c r="CX610">
        <v>51.171300000000002</v>
      </c>
      <c r="CY610">
        <v>1.8244</v>
      </c>
      <c r="CZ610">
        <v>200.07089999999999</v>
      </c>
      <c r="DA610" t="s">
        <v>134</v>
      </c>
      <c r="DB610" t="s">
        <v>134</v>
      </c>
      <c r="DC610" t="s">
        <v>134</v>
      </c>
      <c r="DD610">
        <v>251.2422</v>
      </c>
      <c r="DE610">
        <v>6590.3</v>
      </c>
      <c r="DF610" t="s">
        <v>134</v>
      </c>
      <c r="DG610" t="s">
        <v>134</v>
      </c>
      <c r="DH610" t="s">
        <v>134</v>
      </c>
      <c r="DI610" t="s">
        <v>134</v>
      </c>
    </row>
    <row r="611" spans="4:113" x14ac:dyDescent="0.3">
      <c r="E611" t="s">
        <v>6</v>
      </c>
      <c r="F611" t="s">
        <v>134</v>
      </c>
      <c r="G611" t="s">
        <v>134</v>
      </c>
      <c r="H611" t="s">
        <v>134</v>
      </c>
      <c r="I611" t="s">
        <v>134</v>
      </c>
      <c r="J611">
        <v>23.193000000000001</v>
      </c>
      <c r="K611">
        <v>17.389700000000001</v>
      </c>
      <c r="L611">
        <v>26.222300000000001</v>
      </c>
      <c r="M611">
        <v>17.501899999999999</v>
      </c>
      <c r="N611">
        <v>18.026</v>
      </c>
      <c r="O611">
        <v>18.026</v>
      </c>
      <c r="P611">
        <v>18.026</v>
      </c>
      <c r="Q611">
        <v>13.504</v>
      </c>
      <c r="R611" t="s">
        <v>134</v>
      </c>
      <c r="S611" t="s">
        <v>134</v>
      </c>
      <c r="T611">
        <v>8.2538999999999998</v>
      </c>
      <c r="U611">
        <v>16.015499999999999</v>
      </c>
      <c r="V611">
        <v>12.9909</v>
      </c>
      <c r="W611" t="s">
        <v>134</v>
      </c>
      <c r="X611" t="s">
        <v>134</v>
      </c>
      <c r="Y611" t="s">
        <v>134</v>
      </c>
      <c r="Z611" t="s">
        <v>134</v>
      </c>
      <c r="AA611" t="s">
        <v>134</v>
      </c>
      <c r="AB611" t="s">
        <v>134</v>
      </c>
      <c r="AC611" t="s">
        <v>134</v>
      </c>
      <c r="AD611" t="s">
        <v>134</v>
      </c>
      <c r="AE611" t="s">
        <v>134</v>
      </c>
      <c r="AF611" t="s">
        <v>134</v>
      </c>
      <c r="AG611" t="s">
        <v>134</v>
      </c>
      <c r="AH611" t="s">
        <v>134</v>
      </c>
      <c r="AI611" t="s">
        <v>134</v>
      </c>
      <c r="AJ611" t="s">
        <v>134</v>
      </c>
      <c r="AK611" t="s">
        <v>134</v>
      </c>
      <c r="AL611" t="s">
        <v>134</v>
      </c>
      <c r="AM611">
        <v>8.7622999999999998</v>
      </c>
      <c r="AN611" t="s">
        <v>134</v>
      </c>
      <c r="AO611" t="s">
        <v>134</v>
      </c>
      <c r="AP611">
        <v>12.8249</v>
      </c>
      <c r="AQ611">
        <v>46.0413</v>
      </c>
      <c r="AR611" t="s">
        <v>134</v>
      </c>
      <c r="AS611" t="s">
        <v>134</v>
      </c>
      <c r="AT611" t="s">
        <v>134</v>
      </c>
      <c r="AU611" t="s">
        <v>134</v>
      </c>
      <c r="AV611" t="s">
        <v>134</v>
      </c>
      <c r="AW611" t="s">
        <v>134</v>
      </c>
      <c r="AX611" t="s">
        <v>134</v>
      </c>
      <c r="AY611" t="s">
        <v>134</v>
      </c>
      <c r="AZ611" t="s">
        <v>134</v>
      </c>
      <c r="BA611" t="s">
        <v>134</v>
      </c>
      <c r="BB611" t="s">
        <v>134</v>
      </c>
      <c r="BC611" t="s">
        <v>134</v>
      </c>
      <c r="BD611" t="s">
        <v>134</v>
      </c>
      <c r="BE611" t="s">
        <v>134</v>
      </c>
      <c r="BF611">
        <v>11.802199999999999</v>
      </c>
      <c r="BG611">
        <v>49.161999999999999</v>
      </c>
      <c r="BH611">
        <v>68.558800000000005</v>
      </c>
      <c r="BI611" t="s">
        <v>134</v>
      </c>
      <c r="BJ611" t="s">
        <v>134</v>
      </c>
      <c r="BK611" t="s">
        <v>134</v>
      </c>
      <c r="BL611" t="s">
        <v>134</v>
      </c>
      <c r="BM611" t="s">
        <v>134</v>
      </c>
      <c r="BN611" t="s">
        <v>134</v>
      </c>
      <c r="BO611" t="s">
        <v>134</v>
      </c>
      <c r="BP611" t="s">
        <v>134</v>
      </c>
      <c r="BQ611" t="s">
        <v>134</v>
      </c>
      <c r="BR611" t="s">
        <v>134</v>
      </c>
      <c r="BS611" t="s">
        <v>134</v>
      </c>
      <c r="BT611" t="s">
        <v>134</v>
      </c>
      <c r="BU611" t="s">
        <v>134</v>
      </c>
      <c r="BV611" t="s">
        <v>134</v>
      </c>
      <c r="BW611" t="s">
        <v>134</v>
      </c>
      <c r="BX611" t="s">
        <v>134</v>
      </c>
      <c r="BY611" t="s">
        <v>134</v>
      </c>
      <c r="BZ611" t="s">
        <v>134</v>
      </c>
      <c r="CA611" t="s">
        <v>134</v>
      </c>
      <c r="CB611" t="s">
        <v>134</v>
      </c>
      <c r="CC611" t="s">
        <v>134</v>
      </c>
      <c r="CD611" t="s">
        <v>134</v>
      </c>
      <c r="CE611" t="s">
        <v>134</v>
      </c>
      <c r="CF611">
        <v>3.1877</v>
      </c>
      <c r="CG611" t="s">
        <v>134</v>
      </c>
      <c r="CH611" t="s">
        <v>134</v>
      </c>
      <c r="CI611" t="s">
        <v>134</v>
      </c>
      <c r="CJ611" t="s">
        <v>134</v>
      </c>
      <c r="CK611" t="s">
        <v>134</v>
      </c>
      <c r="CL611" t="s">
        <v>134</v>
      </c>
      <c r="CM611" t="s">
        <v>134</v>
      </c>
      <c r="CN611" t="s">
        <v>134</v>
      </c>
      <c r="CO611" t="s">
        <v>134</v>
      </c>
      <c r="CP611">
        <v>3204</v>
      </c>
      <c r="CQ611" t="s">
        <v>134</v>
      </c>
      <c r="CR611">
        <v>2402.3000000000002</v>
      </c>
      <c r="CS611" t="s">
        <v>134</v>
      </c>
      <c r="CT611" t="s">
        <v>134</v>
      </c>
      <c r="CU611" t="s">
        <v>134</v>
      </c>
      <c r="CV611" t="s">
        <v>134</v>
      </c>
      <c r="CW611" t="s">
        <v>134</v>
      </c>
      <c r="CX611" t="s">
        <v>134</v>
      </c>
      <c r="CY611" t="s">
        <v>134</v>
      </c>
      <c r="CZ611" t="s">
        <v>134</v>
      </c>
      <c r="DA611" t="s">
        <v>134</v>
      </c>
      <c r="DB611" t="s">
        <v>134</v>
      </c>
      <c r="DC611" t="s">
        <v>134</v>
      </c>
      <c r="DD611" t="s">
        <v>134</v>
      </c>
      <c r="DE611" t="s">
        <v>134</v>
      </c>
      <c r="DF611" t="s">
        <v>134</v>
      </c>
      <c r="DG611" t="s">
        <v>134</v>
      </c>
      <c r="DH611" t="s">
        <v>134</v>
      </c>
      <c r="DI611" t="s">
        <v>134</v>
      </c>
    </row>
    <row r="612" spans="4:113" x14ac:dyDescent="0.3">
      <c r="E612" t="s">
        <v>7</v>
      </c>
      <c r="F612">
        <v>27.068899999999999</v>
      </c>
      <c r="G612">
        <v>13.430400000000001</v>
      </c>
      <c r="H612">
        <v>17.727799999999998</v>
      </c>
      <c r="I612">
        <v>2.8548</v>
      </c>
      <c r="J612">
        <v>15.041</v>
      </c>
      <c r="K612">
        <v>9.5350999999999999</v>
      </c>
      <c r="L612">
        <v>71.395799999999994</v>
      </c>
      <c r="M612">
        <v>6.3419999999999996</v>
      </c>
      <c r="N612">
        <v>7.3765999999999998</v>
      </c>
      <c r="O612">
        <v>7.3990999999999998</v>
      </c>
      <c r="P612">
        <v>7.3990999999999998</v>
      </c>
      <c r="Q612">
        <v>41.372100000000003</v>
      </c>
      <c r="R612" t="s">
        <v>134</v>
      </c>
      <c r="S612" t="s">
        <v>134</v>
      </c>
      <c r="T612">
        <v>16.117000000000001</v>
      </c>
      <c r="U612">
        <v>225.0042</v>
      </c>
      <c r="V612" t="s">
        <v>134</v>
      </c>
      <c r="W612" t="s">
        <v>134</v>
      </c>
      <c r="X612" t="s">
        <v>134</v>
      </c>
      <c r="Y612" t="s">
        <v>134</v>
      </c>
      <c r="Z612">
        <v>15.555</v>
      </c>
      <c r="AA612">
        <v>3.4708000000000001</v>
      </c>
      <c r="AB612">
        <v>7.609</v>
      </c>
      <c r="AC612">
        <v>-2.6448999999999998</v>
      </c>
      <c r="AD612">
        <v>12.4177</v>
      </c>
      <c r="AE612">
        <v>93.556399999999996</v>
      </c>
      <c r="AF612">
        <v>5.0422000000000002</v>
      </c>
      <c r="AG612">
        <v>-58.830100000000002</v>
      </c>
      <c r="AH612">
        <v>-30.727899999999998</v>
      </c>
      <c r="AI612">
        <v>26.22</v>
      </c>
      <c r="AJ612">
        <v>-2.6021999999999998</v>
      </c>
      <c r="AK612">
        <v>25.907699999999998</v>
      </c>
      <c r="AL612" t="s">
        <v>134</v>
      </c>
      <c r="AM612">
        <v>6.4828999999999999</v>
      </c>
      <c r="AN612">
        <v>-2.1606000000000001</v>
      </c>
      <c r="AO612">
        <v>-8.6288</v>
      </c>
      <c r="AP612" t="s">
        <v>134</v>
      </c>
      <c r="AQ612" t="s">
        <v>134</v>
      </c>
      <c r="AR612" t="s">
        <v>134</v>
      </c>
      <c r="AS612" t="s">
        <v>134</v>
      </c>
      <c r="AT612" t="s">
        <v>134</v>
      </c>
      <c r="AU612" t="s">
        <v>134</v>
      </c>
      <c r="AV612" t="s">
        <v>134</v>
      </c>
      <c r="AW612" t="s">
        <v>134</v>
      </c>
      <c r="AX612" t="s">
        <v>134</v>
      </c>
      <c r="AY612" t="s">
        <v>134</v>
      </c>
      <c r="AZ612" t="s">
        <v>134</v>
      </c>
      <c r="BA612" t="s">
        <v>134</v>
      </c>
      <c r="BB612" t="s">
        <v>134</v>
      </c>
      <c r="BC612" t="s">
        <v>134</v>
      </c>
      <c r="BD612" t="s">
        <v>134</v>
      </c>
      <c r="BE612" t="s">
        <v>134</v>
      </c>
      <c r="BF612">
        <v>-6.9149000000000003</v>
      </c>
      <c r="BG612">
        <v>-39.600700000000003</v>
      </c>
      <c r="BH612">
        <v>-48.968499999999999</v>
      </c>
      <c r="BI612">
        <v>-61.689799999999998</v>
      </c>
      <c r="BJ612">
        <v>-61.889600000000002</v>
      </c>
      <c r="BK612" t="s">
        <v>134</v>
      </c>
      <c r="BL612" t="s">
        <v>134</v>
      </c>
      <c r="BM612" t="s">
        <v>134</v>
      </c>
      <c r="BN612" t="s">
        <v>134</v>
      </c>
      <c r="BO612" t="s">
        <v>134</v>
      </c>
      <c r="BP612" t="s">
        <v>134</v>
      </c>
      <c r="BQ612" t="s">
        <v>134</v>
      </c>
      <c r="BR612" t="s">
        <v>134</v>
      </c>
      <c r="BS612" t="s">
        <v>134</v>
      </c>
      <c r="BT612" t="s">
        <v>134</v>
      </c>
      <c r="BU612" t="s">
        <v>134</v>
      </c>
      <c r="BV612" t="s">
        <v>134</v>
      </c>
      <c r="BW612" t="s">
        <v>134</v>
      </c>
      <c r="BX612" t="s">
        <v>134</v>
      </c>
      <c r="BY612">
        <v>66168</v>
      </c>
      <c r="BZ612">
        <v>28293.200000000001</v>
      </c>
      <c r="CA612">
        <v>37874.800000000003</v>
      </c>
      <c r="CB612">
        <v>7.4725999999999999</v>
      </c>
      <c r="CC612">
        <v>6.0395000000000003</v>
      </c>
      <c r="CD612">
        <v>11.109500000000001</v>
      </c>
      <c r="CE612">
        <v>8.9788999999999994</v>
      </c>
      <c r="CF612">
        <v>1.6301999999999999</v>
      </c>
      <c r="CG612">
        <v>56.056899999999999</v>
      </c>
      <c r="CH612">
        <v>32.192700000000002</v>
      </c>
      <c r="CI612">
        <v>20.604500000000002</v>
      </c>
      <c r="CJ612">
        <v>18.091000000000001</v>
      </c>
      <c r="CK612">
        <v>56.241199999999999</v>
      </c>
      <c r="CL612">
        <v>35.996400000000001</v>
      </c>
      <c r="CM612">
        <v>31.6053</v>
      </c>
      <c r="CN612">
        <v>45.455300000000001</v>
      </c>
      <c r="CO612">
        <v>31.250399999999999</v>
      </c>
      <c r="CP612">
        <v>1939.3</v>
      </c>
      <c r="CQ612" t="s">
        <v>134</v>
      </c>
      <c r="CR612">
        <v>1229.4000000000001</v>
      </c>
      <c r="CS612">
        <v>0.24160000000000001</v>
      </c>
      <c r="CT612">
        <v>0.93720000000000003</v>
      </c>
      <c r="CU612">
        <v>0.4</v>
      </c>
      <c r="CV612">
        <v>1.9443000000000001</v>
      </c>
      <c r="CW612">
        <v>6.5465</v>
      </c>
      <c r="CX612">
        <v>55.755400000000002</v>
      </c>
      <c r="CY612">
        <v>2.0063</v>
      </c>
      <c r="CZ612">
        <v>181.92699999999999</v>
      </c>
      <c r="DA612">
        <v>2.7225999999999999</v>
      </c>
      <c r="DB612">
        <v>134.06280000000001</v>
      </c>
      <c r="DC612">
        <v>103.61960000000001</v>
      </c>
      <c r="DD612">
        <v>237.6824</v>
      </c>
      <c r="DE612">
        <v>6749.4</v>
      </c>
      <c r="DF612">
        <v>2485.3000000000002</v>
      </c>
      <c r="DG612">
        <v>2210.3000000000002</v>
      </c>
      <c r="DH612">
        <v>1547.1</v>
      </c>
      <c r="DI612">
        <v>506.7</v>
      </c>
    </row>
    <row r="613" spans="4:113" x14ac:dyDescent="0.3">
      <c r="D613" t="s">
        <v>9</v>
      </c>
      <c r="E613" t="s">
        <v>3</v>
      </c>
      <c r="F613">
        <v>7.8697999999999997</v>
      </c>
      <c r="G613">
        <v>3.6722999999999999</v>
      </c>
      <c r="H613">
        <v>7.8132000000000001</v>
      </c>
      <c r="I613">
        <v>6.7536000000000005</v>
      </c>
      <c r="J613">
        <v>28.548400000000001</v>
      </c>
      <c r="K613">
        <v>23.555499999999999</v>
      </c>
      <c r="L613">
        <v>66.119900000000001</v>
      </c>
      <c r="M613">
        <v>13.634499999999999</v>
      </c>
      <c r="N613">
        <v>14.489800000000001</v>
      </c>
      <c r="O613">
        <v>14.4948</v>
      </c>
      <c r="P613">
        <v>14.4948</v>
      </c>
      <c r="Q613">
        <v>11.5402</v>
      </c>
      <c r="R613">
        <v>31.7684</v>
      </c>
      <c r="S613">
        <v>5.3696999999999999</v>
      </c>
      <c r="T613">
        <v>28.0246</v>
      </c>
      <c r="U613">
        <v>111.4401</v>
      </c>
      <c r="V613">
        <v>159.36770000000001</v>
      </c>
      <c r="W613">
        <v>-66.644999999999996</v>
      </c>
      <c r="X613">
        <v>-66.637200000000007</v>
      </c>
      <c r="Y613">
        <v>-12.5</v>
      </c>
      <c r="Z613">
        <v>11.359500000000001</v>
      </c>
      <c r="AA613">
        <v>8.9637999999999991</v>
      </c>
      <c r="AB613">
        <v>18.4297</v>
      </c>
      <c r="AC613">
        <v>47.286799999999999</v>
      </c>
      <c r="AD613">
        <v>14.062799999999999</v>
      </c>
      <c r="AE613">
        <v>-1624.4565</v>
      </c>
      <c r="AF613">
        <v>2.8965999999999998</v>
      </c>
      <c r="AG613">
        <v>142.78200000000001</v>
      </c>
      <c r="AH613">
        <v>118.3877</v>
      </c>
      <c r="AI613">
        <v>5.8711000000000002</v>
      </c>
      <c r="AJ613">
        <v>46.373100000000001</v>
      </c>
      <c r="AK613">
        <v>5.8467000000000002</v>
      </c>
      <c r="AL613">
        <v>-170.13480000000001</v>
      </c>
      <c r="AM613">
        <v>31.4176</v>
      </c>
      <c r="AN613" t="s">
        <v>134</v>
      </c>
      <c r="AO613" t="s">
        <v>134</v>
      </c>
      <c r="AP613" t="s">
        <v>134</v>
      </c>
      <c r="AQ613" t="s">
        <v>134</v>
      </c>
      <c r="AR613">
        <v>23.873200000000001</v>
      </c>
      <c r="AS613">
        <v>19.8384</v>
      </c>
      <c r="AT613">
        <v>13.964499999999999</v>
      </c>
      <c r="AU613">
        <v>10.617599999999999</v>
      </c>
      <c r="AV613">
        <v>17.3584</v>
      </c>
      <c r="AW613">
        <v>8.4733000000000001</v>
      </c>
      <c r="AX613" t="s">
        <v>134</v>
      </c>
      <c r="AY613" t="s">
        <v>134</v>
      </c>
      <c r="AZ613">
        <v>150.73099999999999</v>
      </c>
      <c r="BA613">
        <v>81.887799999999999</v>
      </c>
      <c r="BB613">
        <v>1.0155000000000001</v>
      </c>
      <c r="BC613">
        <v>16.4438</v>
      </c>
      <c r="BD613">
        <v>0.42080000000000001</v>
      </c>
      <c r="BE613" t="s">
        <v>134</v>
      </c>
      <c r="BF613">
        <v>28.0246</v>
      </c>
      <c r="BG613">
        <v>111.4401</v>
      </c>
      <c r="BH613">
        <v>159.36770000000001</v>
      </c>
      <c r="BI613">
        <v>-66.644999999999996</v>
      </c>
      <c r="BJ613">
        <v>-66.637200000000007</v>
      </c>
      <c r="BK613">
        <v>-12.5</v>
      </c>
      <c r="BL613">
        <v>11.359500000000001</v>
      </c>
      <c r="BM613">
        <v>8.9637999999999991</v>
      </c>
      <c r="BN613">
        <v>18.4297</v>
      </c>
      <c r="BO613">
        <v>47.286799999999999</v>
      </c>
      <c r="BP613">
        <v>14.062799999999999</v>
      </c>
      <c r="BQ613" t="s">
        <v>134</v>
      </c>
      <c r="BR613">
        <v>2.8965999999999998</v>
      </c>
      <c r="BS613">
        <v>142.78200000000001</v>
      </c>
      <c r="BT613">
        <v>118.3877</v>
      </c>
      <c r="BU613">
        <v>5.8711000000000002</v>
      </c>
      <c r="BV613">
        <v>46.373100000000001</v>
      </c>
      <c r="BW613">
        <v>5.8467000000000002</v>
      </c>
      <c r="BX613" t="s">
        <v>134</v>
      </c>
      <c r="BY613">
        <v>144502.79999999999</v>
      </c>
      <c r="BZ613">
        <v>68690.8</v>
      </c>
      <c r="CA613">
        <v>75812</v>
      </c>
      <c r="CB613">
        <v>7.7180999999999997</v>
      </c>
      <c r="CC613">
        <v>7.1639999999999997</v>
      </c>
      <c r="CD613">
        <v>9.3539999999999992</v>
      </c>
      <c r="CE613">
        <v>8.6824999999999992</v>
      </c>
      <c r="CF613">
        <v>2.0223</v>
      </c>
      <c r="CG613">
        <v>40.2849</v>
      </c>
      <c r="CH613">
        <v>60.864899999999999</v>
      </c>
      <c r="CI613">
        <v>28.176600000000001</v>
      </c>
      <c r="CJ613">
        <v>24.585899999999999</v>
      </c>
      <c r="CK613">
        <v>116.01260000000001</v>
      </c>
      <c r="CL613">
        <v>53.706400000000002</v>
      </c>
      <c r="CM613">
        <v>46.862299999999998</v>
      </c>
      <c r="CN613">
        <v>107.68389999999999</v>
      </c>
      <c r="CO613">
        <v>51.849899999999998</v>
      </c>
      <c r="CP613">
        <v>18722.599999999999</v>
      </c>
      <c r="CQ613">
        <v>9622.2000000000007</v>
      </c>
      <c r="CR613">
        <v>15448.2</v>
      </c>
      <c r="CS613">
        <v>9.9400000000000002E-2</v>
      </c>
      <c r="CT613">
        <v>0.45500000000000002</v>
      </c>
      <c r="CU613">
        <v>0.18820000000000001</v>
      </c>
      <c r="CV613">
        <v>1.08</v>
      </c>
      <c r="CW613">
        <v>7.4611999999999998</v>
      </c>
      <c r="CX613">
        <v>49.053600000000003</v>
      </c>
      <c r="CY613">
        <v>1.9765999999999999</v>
      </c>
      <c r="CZ613">
        <v>185.16759999999999</v>
      </c>
      <c r="DA613">
        <v>2.8134000000000001</v>
      </c>
      <c r="DB613">
        <v>130.0932</v>
      </c>
      <c r="DC613">
        <v>104.1279</v>
      </c>
      <c r="DD613">
        <v>234.22110000000001</v>
      </c>
      <c r="DE613">
        <v>7354.4</v>
      </c>
      <c r="DF613">
        <v>2577.8000000000002</v>
      </c>
      <c r="DG613">
        <v>2565.3000000000002</v>
      </c>
      <c r="DH613">
        <v>1757</v>
      </c>
      <c r="DI613">
        <v>454.3</v>
      </c>
    </row>
    <row r="614" spans="4:113" x14ac:dyDescent="0.3">
      <c r="E614" t="s">
        <v>4</v>
      </c>
      <c r="F614" t="s">
        <v>134</v>
      </c>
      <c r="G614" t="s">
        <v>134</v>
      </c>
      <c r="H614" t="s">
        <v>134</v>
      </c>
      <c r="I614" t="s">
        <v>134</v>
      </c>
      <c r="J614">
        <v>20.540500000000002</v>
      </c>
      <c r="K614">
        <v>15.573</v>
      </c>
      <c r="L614">
        <v>47.066800000000001</v>
      </c>
      <c r="M614">
        <v>12.0809</v>
      </c>
      <c r="N614">
        <v>13.8605</v>
      </c>
      <c r="O614">
        <v>13.8605</v>
      </c>
      <c r="P614">
        <v>13.8605</v>
      </c>
      <c r="Q614">
        <v>9.7618000000000009</v>
      </c>
      <c r="R614" t="s">
        <v>134</v>
      </c>
      <c r="S614" t="s">
        <v>134</v>
      </c>
      <c r="T614">
        <v>25.197500000000002</v>
      </c>
      <c r="U614">
        <v>93.016800000000003</v>
      </c>
      <c r="V614">
        <v>155.2841</v>
      </c>
      <c r="W614">
        <v>-93.000100000000003</v>
      </c>
      <c r="X614">
        <v>-92.999899999999997</v>
      </c>
      <c r="Y614" t="s">
        <v>134</v>
      </c>
      <c r="Z614" t="s">
        <v>134</v>
      </c>
      <c r="AA614" t="s">
        <v>134</v>
      </c>
      <c r="AB614" t="s">
        <v>134</v>
      </c>
      <c r="AC614" t="s">
        <v>134</v>
      </c>
      <c r="AD614" t="s">
        <v>134</v>
      </c>
      <c r="AE614" t="s">
        <v>134</v>
      </c>
      <c r="AF614" t="s">
        <v>134</v>
      </c>
      <c r="AG614" t="s">
        <v>134</v>
      </c>
      <c r="AH614" t="s">
        <v>134</v>
      </c>
      <c r="AI614" t="s">
        <v>134</v>
      </c>
      <c r="AJ614" t="s">
        <v>134</v>
      </c>
      <c r="AK614" t="s">
        <v>134</v>
      </c>
      <c r="AL614" t="s">
        <v>134</v>
      </c>
      <c r="AM614">
        <v>11.6677</v>
      </c>
      <c r="AN614">
        <v>18.4268</v>
      </c>
      <c r="AO614">
        <v>20.1615</v>
      </c>
      <c r="AP614">
        <v>20.2182</v>
      </c>
      <c r="AQ614">
        <v>24.679400000000001</v>
      </c>
      <c r="AR614" t="s">
        <v>134</v>
      </c>
      <c r="AS614" t="s">
        <v>134</v>
      </c>
      <c r="AT614" t="s">
        <v>134</v>
      </c>
      <c r="AU614" t="s">
        <v>134</v>
      </c>
      <c r="AV614" t="s">
        <v>134</v>
      </c>
      <c r="AW614" t="s">
        <v>134</v>
      </c>
      <c r="AX614" t="s">
        <v>134</v>
      </c>
      <c r="AY614" t="s">
        <v>134</v>
      </c>
      <c r="AZ614" t="s">
        <v>134</v>
      </c>
      <c r="BA614" t="s">
        <v>134</v>
      </c>
      <c r="BB614" t="s">
        <v>134</v>
      </c>
      <c r="BC614" t="s">
        <v>134</v>
      </c>
      <c r="BD614" t="s">
        <v>134</v>
      </c>
      <c r="BE614" t="s">
        <v>134</v>
      </c>
      <c r="BF614">
        <v>13.4472</v>
      </c>
      <c r="BG614">
        <v>54.927</v>
      </c>
      <c r="BH614">
        <v>85.285499999999999</v>
      </c>
      <c r="BI614">
        <v>112.5157</v>
      </c>
      <c r="BJ614">
        <v>113.63639999999999</v>
      </c>
      <c r="BK614" t="s">
        <v>134</v>
      </c>
      <c r="BL614" t="s">
        <v>134</v>
      </c>
      <c r="BM614" t="s">
        <v>134</v>
      </c>
      <c r="BN614" t="s">
        <v>134</v>
      </c>
      <c r="BO614" t="s">
        <v>134</v>
      </c>
      <c r="BP614" t="s">
        <v>134</v>
      </c>
      <c r="BQ614" t="s">
        <v>134</v>
      </c>
      <c r="BR614" t="s">
        <v>134</v>
      </c>
      <c r="BS614" t="s">
        <v>134</v>
      </c>
      <c r="BT614" t="s">
        <v>134</v>
      </c>
      <c r="BU614" t="s">
        <v>134</v>
      </c>
      <c r="BV614" t="s">
        <v>134</v>
      </c>
      <c r="BW614" t="s">
        <v>134</v>
      </c>
      <c r="BX614" t="s">
        <v>134</v>
      </c>
      <c r="BY614" t="s">
        <v>134</v>
      </c>
      <c r="BZ614" t="s">
        <v>134</v>
      </c>
      <c r="CA614" t="s">
        <v>134</v>
      </c>
      <c r="CB614" t="s">
        <v>134</v>
      </c>
      <c r="CC614" t="s">
        <v>134</v>
      </c>
      <c r="CD614" t="s">
        <v>134</v>
      </c>
      <c r="CE614" t="s">
        <v>134</v>
      </c>
      <c r="CF614">
        <v>1.7692999999999999</v>
      </c>
      <c r="CG614" t="s">
        <v>134</v>
      </c>
      <c r="CH614" t="s">
        <v>134</v>
      </c>
      <c r="CI614" t="s">
        <v>134</v>
      </c>
      <c r="CJ614" t="s">
        <v>134</v>
      </c>
      <c r="CK614" t="s">
        <v>134</v>
      </c>
      <c r="CL614" t="s">
        <v>134</v>
      </c>
      <c r="CM614" t="s">
        <v>134</v>
      </c>
      <c r="CN614" t="s">
        <v>134</v>
      </c>
      <c r="CO614" t="s">
        <v>134</v>
      </c>
      <c r="CP614">
        <v>3004.5</v>
      </c>
      <c r="CQ614" t="s">
        <v>134</v>
      </c>
      <c r="CR614">
        <v>2277.9</v>
      </c>
      <c r="CS614" t="s">
        <v>134</v>
      </c>
      <c r="CT614" t="s">
        <v>134</v>
      </c>
      <c r="CU614" t="s">
        <v>134</v>
      </c>
      <c r="CV614" t="s">
        <v>134</v>
      </c>
      <c r="CW614" t="s">
        <v>134</v>
      </c>
      <c r="CX614" t="s">
        <v>134</v>
      </c>
      <c r="CY614" t="s">
        <v>134</v>
      </c>
      <c r="CZ614" t="s">
        <v>134</v>
      </c>
      <c r="DA614" t="s">
        <v>134</v>
      </c>
      <c r="DB614" t="s">
        <v>134</v>
      </c>
      <c r="DC614" t="s">
        <v>134</v>
      </c>
      <c r="DD614" t="s">
        <v>134</v>
      </c>
      <c r="DE614" t="s">
        <v>134</v>
      </c>
      <c r="DF614" t="s">
        <v>134</v>
      </c>
      <c r="DG614" t="s">
        <v>134</v>
      </c>
      <c r="DH614" t="s">
        <v>134</v>
      </c>
      <c r="DI614" t="s">
        <v>134</v>
      </c>
    </row>
    <row r="615" spans="4:113" x14ac:dyDescent="0.3">
      <c r="E615" t="s">
        <v>5</v>
      </c>
      <c r="F615">
        <v>6.2896999999999998</v>
      </c>
      <c r="G615">
        <v>3.3668</v>
      </c>
      <c r="H615">
        <v>6.3841999999999999</v>
      </c>
      <c r="I615">
        <v>4.4692999999999996</v>
      </c>
      <c r="J615">
        <v>31.036300000000001</v>
      </c>
      <c r="K615">
        <v>25.9846</v>
      </c>
      <c r="L615">
        <v>85.913300000000007</v>
      </c>
      <c r="M615">
        <v>14.702400000000001</v>
      </c>
      <c r="N615">
        <v>16.028700000000001</v>
      </c>
      <c r="O615">
        <v>16.0352</v>
      </c>
      <c r="P615">
        <v>16.0352</v>
      </c>
      <c r="Q615">
        <v>10.4094</v>
      </c>
      <c r="R615" t="s">
        <v>134</v>
      </c>
      <c r="S615" t="s">
        <v>134</v>
      </c>
      <c r="T615">
        <v>24.1126</v>
      </c>
      <c r="U615">
        <v>121.5829</v>
      </c>
      <c r="V615">
        <v>179.60290000000001</v>
      </c>
      <c r="W615" t="s">
        <v>134</v>
      </c>
      <c r="X615" t="s">
        <v>134</v>
      </c>
      <c r="Y615" t="s">
        <v>134</v>
      </c>
      <c r="Z615">
        <v>16.677599999999998</v>
      </c>
      <c r="AA615">
        <v>20.7912</v>
      </c>
      <c r="AB615">
        <v>9.8987999999999996</v>
      </c>
      <c r="AC615">
        <v>33.329599999999999</v>
      </c>
      <c r="AD615">
        <v>18.810600000000001</v>
      </c>
      <c r="AE615" t="s">
        <v>134</v>
      </c>
      <c r="AF615" t="s">
        <v>134</v>
      </c>
      <c r="AG615">
        <v>203.29079999999999</v>
      </c>
      <c r="AH615">
        <v>114.96729999999999</v>
      </c>
      <c r="AI615">
        <v>3.5853999999999999</v>
      </c>
      <c r="AJ615">
        <v>37.020099999999999</v>
      </c>
      <c r="AK615">
        <v>3.3412000000000002</v>
      </c>
      <c r="AL615" t="s">
        <v>134</v>
      </c>
      <c r="AM615">
        <v>15.959899999999999</v>
      </c>
      <c r="AN615" t="s">
        <v>134</v>
      </c>
      <c r="AO615" t="s">
        <v>134</v>
      </c>
      <c r="AP615" t="s">
        <v>134</v>
      </c>
      <c r="AQ615" t="s">
        <v>134</v>
      </c>
      <c r="AR615" t="s">
        <v>134</v>
      </c>
      <c r="AS615" t="s">
        <v>134</v>
      </c>
      <c r="AT615">
        <v>17.901299999999999</v>
      </c>
      <c r="AU615">
        <v>8.3534000000000006</v>
      </c>
      <c r="AV615">
        <v>7.4112</v>
      </c>
      <c r="AW615" t="s">
        <v>134</v>
      </c>
      <c r="AX615" t="s">
        <v>134</v>
      </c>
      <c r="AY615" t="s">
        <v>134</v>
      </c>
      <c r="AZ615" t="s">
        <v>134</v>
      </c>
      <c r="BA615">
        <v>76.201099999999997</v>
      </c>
      <c r="BB615">
        <v>-2.9493999999999998</v>
      </c>
      <c r="BC615">
        <v>9.2607999999999997</v>
      </c>
      <c r="BD615">
        <v>0.79510000000000003</v>
      </c>
      <c r="BE615" t="s">
        <v>134</v>
      </c>
      <c r="BF615">
        <v>10.329599999999999</v>
      </c>
      <c r="BG615">
        <v>104.32729999999999</v>
      </c>
      <c r="BH615">
        <v>123.3313</v>
      </c>
      <c r="BI615">
        <v>45.139600000000002</v>
      </c>
      <c r="BJ615">
        <v>45.112000000000002</v>
      </c>
      <c r="BK615" t="s">
        <v>134</v>
      </c>
      <c r="BL615" t="s">
        <v>134</v>
      </c>
      <c r="BM615" t="s">
        <v>134</v>
      </c>
      <c r="BN615" t="s">
        <v>134</v>
      </c>
      <c r="BO615" t="s">
        <v>134</v>
      </c>
      <c r="BP615" t="s">
        <v>134</v>
      </c>
      <c r="BQ615" t="s">
        <v>134</v>
      </c>
      <c r="BR615" t="s">
        <v>134</v>
      </c>
      <c r="BS615" t="s">
        <v>134</v>
      </c>
      <c r="BT615" t="s">
        <v>134</v>
      </c>
      <c r="BU615" t="s">
        <v>134</v>
      </c>
      <c r="BV615" t="s">
        <v>134</v>
      </c>
      <c r="BW615" t="s">
        <v>134</v>
      </c>
      <c r="BX615" t="s">
        <v>134</v>
      </c>
      <c r="BY615">
        <v>109552.7</v>
      </c>
      <c r="BZ615">
        <v>46625.8</v>
      </c>
      <c r="CA615">
        <v>62926.9</v>
      </c>
      <c r="CB615">
        <v>8.9510000000000005</v>
      </c>
      <c r="CC615">
        <v>8.0531000000000006</v>
      </c>
      <c r="CD615">
        <v>11.645</v>
      </c>
      <c r="CE615">
        <v>10.476800000000001</v>
      </c>
      <c r="CF615">
        <v>2.2151000000000001</v>
      </c>
      <c r="CG615">
        <v>47.607700000000001</v>
      </c>
      <c r="CH615">
        <v>51.131</v>
      </c>
      <c r="CI615">
        <v>27.051100000000002</v>
      </c>
      <c r="CJ615">
        <v>24.399799999999999</v>
      </c>
      <c r="CK615">
        <v>89.016599999999997</v>
      </c>
      <c r="CL615">
        <v>47.0946</v>
      </c>
      <c r="CM615">
        <v>42.478900000000003</v>
      </c>
      <c r="CN615">
        <v>80.086500000000001</v>
      </c>
      <c r="CO615">
        <v>44.4711</v>
      </c>
      <c r="CP615">
        <v>4759.6000000000004</v>
      </c>
      <c r="CQ615" t="s">
        <v>134</v>
      </c>
      <c r="CR615">
        <v>3984.9</v>
      </c>
      <c r="CS615">
        <v>0.15740000000000001</v>
      </c>
      <c r="CT615">
        <v>0.63149999999999995</v>
      </c>
      <c r="CU615">
        <v>0.25969999999999999</v>
      </c>
      <c r="CV615">
        <v>1.7972000000000001</v>
      </c>
      <c r="CW615">
        <v>8.4443999999999999</v>
      </c>
      <c r="CX615">
        <v>43.2239</v>
      </c>
      <c r="CY615">
        <v>1.9234</v>
      </c>
      <c r="CZ615">
        <v>189.7722</v>
      </c>
      <c r="DA615" t="s">
        <v>134</v>
      </c>
      <c r="DB615" t="s">
        <v>134</v>
      </c>
      <c r="DC615" t="s">
        <v>134</v>
      </c>
      <c r="DD615">
        <v>232.99619999999999</v>
      </c>
      <c r="DE615">
        <v>7960.5</v>
      </c>
      <c r="DF615" t="s">
        <v>134</v>
      </c>
      <c r="DG615" t="s">
        <v>134</v>
      </c>
      <c r="DH615" t="s">
        <v>134</v>
      </c>
      <c r="DI615" t="s">
        <v>134</v>
      </c>
    </row>
    <row r="616" spans="4:113" x14ac:dyDescent="0.3">
      <c r="E616" t="s">
        <v>6</v>
      </c>
      <c r="F616" t="s">
        <v>134</v>
      </c>
      <c r="G616" t="s">
        <v>134</v>
      </c>
      <c r="H616" t="s">
        <v>134</v>
      </c>
      <c r="I616" t="s">
        <v>134</v>
      </c>
      <c r="J616">
        <v>33.999400000000001</v>
      </c>
      <c r="K616">
        <v>29.276800000000001</v>
      </c>
      <c r="L616">
        <v>64.860900000000001</v>
      </c>
      <c r="M616">
        <v>16.601600000000001</v>
      </c>
      <c r="N616">
        <v>17.4026</v>
      </c>
      <c r="O616">
        <v>17.411300000000001</v>
      </c>
      <c r="P616">
        <v>17.411300000000001</v>
      </c>
      <c r="Q616">
        <v>8.1075999999999997</v>
      </c>
      <c r="R616" t="s">
        <v>134</v>
      </c>
      <c r="S616" t="s">
        <v>134</v>
      </c>
      <c r="T616">
        <v>33.397100000000002</v>
      </c>
      <c r="U616">
        <v>95.655299999999997</v>
      </c>
      <c r="V616">
        <v>124.5444</v>
      </c>
      <c r="W616">
        <v>29.1904</v>
      </c>
      <c r="X616">
        <v>29.159600000000001</v>
      </c>
      <c r="Y616" t="s">
        <v>134</v>
      </c>
      <c r="Z616" t="s">
        <v>134</v>
      </c>
      <c r="AA616" t="s">
        <v>134</v>
      </c>
      <c r="AB616" t="s">
        <v>134</v>
      </c>
      <c r="AC616" t="s">
        <v>134</v>
      </c>
      <c r="AD616" t="s">
        <v>134</v>
      </c>
      <c r="AE616" t="s">
        <v>134</v>
      </c>
      <c r="AF616" t="s">
        <v>134</v>
      </c>
      <c r="AG616" t="s">
        <v>134</v>
      </c>
      <c r="AH616" t="s">
        <v>134</v>
      </c>
      <c r="AI616" t="s">
        <v>134</v>
      </c>
      <c r="AJ616" t="s">
        <v>134</v>
      </c>
      <c r="AK616" t="s">
        <v>134</v>
      </c>
      <c r="AL616" t="s">
        <v>134</v>
      </c>
      <c r="AM616">
        <v>35.938200000000002</v>
      </c>
      <c r="AN616" t="s">
        <v>134</v>
      </c>
      <c r="AO616" t="s">
        <v>134</v>
      </c>
      <c r="AP616">
        <v>39.761099999999999</v>
      </c>
      <c r="AQ616">
        <v>45.0807</v>
      </c>
      <c r="AR616" t="s">
        <v>134</v>
      </c>
      <c r="AS616" t="s">
        <v>134</v>
      </c>
      <c r="AT616" t="s">
        <v>134</v>
      </c>
      <c r="AU616" t="s">
        <v>134</v>
      </c>
      <c r="AV616" t="s">
        <v>134</v>
      </c>
      <c r="AW616" t="s">
        <v>134</v>
      </c>
      <c r="AX616" t="s">
        <v>134</v>
      </c>
      <c r="AY616" t="s">
        <v>134</v>
      </c>
      <c r="AZ616" t="s">
        <v>134</v>
      </c>
      <c r="BA616" t="s">
        <v>134</v>
      </c>
      <c r="BB616" t="s">
        <v>134</v>
      </c>
      <c r="BC616" t="s">
        <v>134</v>
      </c>
      <c r="BD616" t="s">
        <v>134</v>
      </c>
      <c r="BE616" t="s">
        <v>134</v>
      </c>
      <c r="BF616">
        <v>23.754899999999999</v>
      </c>
      <c r="BG616">
        <v>41.075699999999998</v>
      </c>
      <c r="BH616">
        <v>39.463200000000001</v>
      </c>
      <c r="BI616">
        <v>36.7059</v>
      </c>
      <c r="BJ616">
        <v>36.6569</v>
      </c>
      <c r="BK616" t="s">
        <v>134</v>
      </c>
      <c r="BL616" t="s">
        <v>134</v>
      </c>
      <c r="BM616" t="s">
        <v>134</v>
      </c>
      <c r="BN616" t="s">
        <v>134</v>
      </c>
      <c r="BO616" t="s">
        <v>134</v>
      </c>
      <c r="BP616" t="s">
        <v>134</v>
      </c>
      <c r="BQ616" t="s">
        <v>134</v>
      </c>
      <c r="BR616" t="s">
        <v>134</v>
      </c>
      <c r="BS616" t="s">
        <v>134</v>
      </c>
      <c r="BT616" t="s">
        <v>134</v>
      </c>
      <c r="BU616" t="s">
        <v>134</v>
      </c>
      <c r="BV616" t="s">
        <v>134</v>
      </c>
      <c r="BW616" t="s">
        <v>134</v>
      </c>
      <c r="BX616" t="s">
        <v>134</v>
      </c>
      <c r="BY616" t="s">
        <v>134</v>
      </c>
      <c r="BZ616" t="s">
        <v>134</v>
      </c>
      <c r="CA616" t="s">
        <v>134</v>
      </c>
      <c r="CB616" t="s">
        <v>134</v>
      </c>
      <c r="CC616" t="s">
        <v>134</v>
      </c>
      <c r="CD616" t="s">
        <v>134</v>
      </c>
      <c r="CE616" t="s">
        <v>134</v>
      </c>
      <c r="CF616">
        <v>2.5106999999999999</v>
      </c>
      <c r="CG616" t="s">
        <v>134</v>
      </c>
      <c r="CH616" t="s">
        <v>134</v>
      </c>
      <c r="CI616" t="s">
        <v>134</v>
      </c>
      <c r="CJ616" t="s">
        <v>134</v>
      </c>
      <c r="CK616" t="s">
        <v>134</v>
      </c>
      <c r="CL616" t="s">
        <v>134</v>
      </c>
      <c r="CM616" t="s">
        <v>134</v>
      </c>
      <c r="CN616" t="s">
        <v>134</v>
      </c>
      <c r="CO616" t="s">
        <v>134</v>
      </c>
      <c r="CP616">
        <v>6282.1</v>
      </c>
      <c r="CQ616" t="s">
        <v>134</v>
      </c>
      <c r="CR616">
        <v>5409.5</v>
      </c>
      <c r="CS616" t="s">
        <v>134</v>
      </c>
      <c r="CT616" t="s">
        <v>134</v>
      </c>
      <c r="CU616" t="s">
        <v>134</v>
      </c>
      <c r="CV616" t="s">
        <v>134</v>
      </c>
      <c r="CW616" t="s">
        <v>134</v>
      </c>
      <c r="CX616" t="s">
        <v>134</v>
      </c>
      <c r="CY616" t="s">
        <v>134</v>
      </c>
      <c r="CZ616" t="s">
        <v>134</v>
      </c>
      <c r="DA616" t="s">
        <v>134</v>
      </c>
      <c r="DB616" t="s">
        <v>134</v>
      </c>
      <c r="DC616" t="s">
        <v>134</v>
      </c>
      <c r="DD616" t="s">
        <v>134</v>
      </c>
      <c r="DE616" t="s">
        <v>134</v>
      </c>
      <c r="DF616" t="s">
        <v>134</v>
      </c>
      <c r="DG616" t="s">
        <v>134</v>
      </c>
      <c r="DH616" t="s">
        <v>134</v>
      </c>
      <c r="DI616" t="s">
        <v>134</v>
      </c>
    </row>
    <row r="617" spans="4:113" x14ac:dyDescent="0.3">
      <c r="E617" t="s">
        <v>7</v>
      </c>
      <c r="F617">
        <v>7.3840000000000003</v>
      </c>
      <c r="G617">
        <v>3.4455999999999998</v>
      </c>
      <c r="H617">
        <v>7.7647000000000004</v>
      </c>
      <c r="I617">
        <v>6.1245000000000003</v>
      </c>
      <c r="J617">
        <v>27.280200000000001</v>
      </c>
      <c r="K617">
        <v>22.027100000000001</v>
      </c>
      <c r="L617">
        <v>59.936</v>
      </c>
      <c r="M617">
        <v>10.806699999999999</v>
      </c>
      <c r="N617">
        <v>10.510400000000001</v>
      </c>
      <c r="O617">
        <v>10.5145</v>
      </c>
      <c r="P617">
        <v>10.5145</v>
      </c>
      <c r="Q617">
        <v>20.296900000000001</v>
      </c>
      <c r="R617" t="s">
        <v>134</v>
      </c>
      <c r="S617" t="s">
        <v>134</v>
      </c>
      <c r="T617">
        <v>32.952500000000001</v>
      </c>
      <c r="U617">
        <v>141.1386</v>
      </c>
      <c r="V617">
        <v>207.1336</v>
      </c>
      <c r="W617">
        <v>88.930800000000005</v>
      </c>
      <c r="X617">
        <v>89.818200000000004</v>
      </c>
      <c r="Y617" t="s">
        <v>134</v>
      </c>
      <c r="Z617">
        <v>11.359500000000001</v>
      </c>
      <c r="AA617">
        <v>8.9637999999999991</v>
      </c>
      <c r="AB617">
        <v>18.4297</v>
      </c>
      <c r="AC617">
        <v>47.286799999999999</v>
      </c>
      <c r="AD617">
        <v>14.062799999999999</v>
      </c>
      <c r="AE617">
        <v>-1624.4565</v>
      </c>
      <c r="AF617">
        <v>2.8965999999999998</v>
      </c>
      <c r="AG617">
        <v>142.78200000000001</v>
      </c>
      <c r="AH617">
        <v>118.3877</v>
      </c>
      <c r="AI617">
        <v>5.8711000000000002</v>
      </c>
      <c r="AJ617">
        <v>46.373100000000001</v>
      </c>
      <c r="AK617">
        <v>5.8467000000000002</v>
      </c>
      <c r="AL617" t="s">
        <v>134</v>
      </c>
      <c r="AM617">
        <v>25.938099999999999</v>
      </c>
      <c r="AN617">
        <v>59.5289</v>
      </c>
      <c r="AO617">
        <v>81.350200000000001</v>
      </c>
      <c r="AP617" t="s">
        <v>134</v>
      </c>
      <c r="AQ617" t="s">
        <v>134</v>
      </c>
      <c r="AR617" t="s">
        <v>134</v>
      </c>
      <c r="AS617">
        <v>19.8384</v>
      </c>
      <c r="AT617">
        <v>13.964499999999999</v>
      </c>
      <c r="AU617">
        <v>10.617599999999999</v>
      </c>
      <c r="AV617">
        <v>17.3584</v>
      </c>
      <c r="AW617">
        <v>8.4733000000000001</v>
      </c>
      <c r="AX617" t="s">
        <v>134</v>
      </c>
      <c r="AY617" t="s">
        <v>134</v>
      </c>
      <c r="AZ617">
        <v>150.73099999999999</v>
      </c>
      <c r="BA617">
        <v>81.887799999999999</v>
      </c>
      <c r="BB617">
        <v>1.0155000000000001</v>
      </c>
      <c r="BC617">
        <v>16.4438</v>
      </c>
      <c r="BD617">
        <v>0.42080000000000001</v>
      </c>
      <c r="BE617" t="s">
        <v>134</v>
      </c>
      <c r="BF617">
        <v>-3.4281000000000001</v>
      </c>
      <c r="BG617">
        <v>-18.6968</v>
      </c>
      <c r="BH617">
        <v>-25.5672</v>
      </c>
      <c r="BI617">
        <v>-41.2727</v>
      </c>
      <c r="BJ617">
        <v>-41.315300000000001</v>
      </c>
      <c r="BK617" t="s">
        <v>134</v>
      </c>
      <c r="BL617" t="s">
        <v>134</v>
      </c>
      <c r="BM617" t="s">
        <v>134</v>
      </c>
      <c r="BN617" t="s">
        <v>134</v>
      </c>
      <c r="BO617" t="s">
        <v>134</v>
      </c>
      <c r="BP617" t="s">
        <v>134</v>
      </c>
      <c r="BQ617" t="s">
        <v>134</v>
      </c>
      <c r="BR617" t="s">
        <v>134</v>
      </c>
      <c r="BS617" t="s">
        <v>134</v>
      </c>
      <c r="BT617" t="s">
        <v>134</v>
      </c>
      <c r="BU617" t="s">
        <v>134</v>
      </c>
      <c r="BV617" t="s">
        <v>134</v>
      </c>
      <c r="BW617" t="s">
        <v>134</v>
      </c>
      <c r="BX617" t="s">
        <v>134</v>
      </c>
      <c r="BY617">
        <v>144502.79999999999</v>
      </c>
      <c r="BZ617">
        <v>68690.8</v>
      </c>
      <c r="CA617">
        <v>75812</v>
      </c>
      <c r="CB617">
        <v>8.3962000000000003</v>
      </c>
      <c r="CC617">
        <v>7.7934000000000001</v>
      </c>
      <c r="CD617">
        <v>9.9574999999999996</v>
      </c>
      <c r="CE617">
        <v>9.2426999999999992</v>
      </c>
      <c r="CF617">
        <v>1.5388999999999999</v>
      </c>
      <c r="CG617">
        <v>40.2849</v>
      </c>
      <c r="CH617">
        <v>60.864899999999999</v>
      </c>
      <c r="CI617">
        <v>28.176600000000001</v>
      </c>
      <c r="CJ617">
        <v>24.585899999999999</v>
      </c>
      <c r="CK617">
        <v>116.01260000000001</v>
      </c>
      <c r="CL617">
        <v>53.706400000000002</v>
      </c>
      <c r="CM617">
        <v>46.862299999999998</v>
      </c>
      <c r="CN617">
        <v>107.68389999999999</v>
      </c>
      <c r="CO617">
        <v>51.849899999999998</v>
      </c>
      <c r="CP617">
        <v>4676.3999999999996</v>
      </c>
      <c r="CQ617" t="s">
        <v>134</v>
      </c>
      <c r="CR617">
        <v>3775.9</v>
      </c>
      <c r="CS617">
        <v>9.9400000000000002E-2</v>
      </c>
      <c r="CT617">
        <v>0.45500000000000002</v>
      </c>
      <c r="CU617">
        <v>0.18820000000000001</v>
      </c>
      <c r="CV617">
        <v>1.08</v>
      </c>
      <c r="CW617">
        <v>7.2496999999999998</v>
      </c>
      <c r="CX617">
        <v>50.484699999999997</v>
      </c>
      <c r="CY617">
        <v>1.9931999999999999</v>
      </c>
      <c r="CZ617">
        <v>183.6249</v>
      </c>
      <c r="DA617">
        <v>2.8359999999999999</v>
      </c>
      <c r="DB617">
        <v>129.05410000000001</v>
      </c>
      <c r="DC617">
        <v>105.05549999999999</v>
      </c>
      <c r="DD617">
        <v>234.1096</v>
      </c>
      <c r="DE617">
        <v>7354.4</v>
      </c>
      <c r="DF617">
        <v>2577.8000000000002</v>
      </c>
      <c r="DG617">
        <v>2565.3000000000002</v>
      </c>
      <c r="DH617">
        <v>1757</v>
      </c>
      <c r="DI617">
        <v>454.3</v>
      </c>
    </row>
    <row r="618" spans="4:113" x14ac:dyDescent="0.3">
      <c r="D618" t="s">
        <v>10</v>
      </c>
      <c r="E618" t="s">
        <v>3</v>
      </c>
      <c r="F618">
        <v>8.9996000000000009</v>
      </c>
      <c r="G618">
        <v>3.1617000000000002</v>
      </c>
      <c r="H618">
        <v>8.5687999999999995</v>
      </c>
      <c r="I618">
        <v>8.1426999999999996</v>
      </c>
      <c r="J618">
        <v>41.469499999999996</v>
      </c>
      <c r="K618">
        <v>36.945099999999996</v>
      </c>
      <c r="L618">
        <v>79.938199999999995</v>
      </c>
      <c r="M618">
        <v>17.541499999999999</v>
      </c>
      <c r="N618">
        <v>16.851600000000001</v>
      </c>
      <c r="O618">
        <v>14.8415</v>
      </c>
      <c r="P618">
        <v>14.8415</v>
      </c>
      <c r="Q618">
        <v>15.411799999999999</v>
      </c>
      <c r="R618">
        <v>25.479900000000001</v>
      </c>
      <c r="S618">
        <v>6.7065000000000001</v>
      </c>
      <c r="T618">
        <v>33.580100000000002</v>
      </c>
      <c r="U618">
        <v>108.6204</v>
      </c>
      <c r="V618">
        <v>119.2616</v>
      </c>
      <c r="W618">
        <v>38.418799999999997</v>
      </c>
      <c r="X618">
        <v>38.4131</v>
      </c>
      <c r="Y618">
        <v>20</v>
      </c>
      <c r="Z618">
        <v>14.104699999999999</v>
      </c>
      <c r="AA618">
        <v>-9.6699999999999994E-2</v>
      </c>
      <c r="AB618">
        <v>35.417499999999997</v>
      </c>
      <c r="AC618">
        <v>55.712800000000001</v>
      </c>
      <c r="AD618">
        <v>7.5099</v>
      </c>
      <c r="AE618">
        <v>-66.44</v>
      </c>
      <c r="AF618">
        <v>8.7864000000000004</v>
      </c>
      <c r="AG618">
        <v>76.886899999999997</v>
      </c>
      <c r="AH618">
        <v>85.802300000000002</v>
      </c>
      <c r="AI618">
        <v>15.0389</v>
      </c>
      <c r="AJ618">
        <v>52.179200000000002</v>
      </c>
      <c r="AK618">
        <v>14.938000000000001</v>
      </c>
      <c r="AL618">
        <v>-43.974600000000002</v>
      </c>
      <c r="AM618">
        <v>31.341799999999999</v>
      </c>
      <c r="AN618" t="s">
        <v>134</v>
      </c>
      <c r="AO618" t="s">
        <v>134</v>
      </c>
      <c r="AP618" t="s">
        <v>134</v>
      </c>
      <c r="AQ618" t="s">
        <v>134</v>
      </c>
      <c r="AR618">
        <v>3.7137000000000002</v>
      </c>
      <c r="AS618">
        <v>20.465</v>
      </c>
      <c r="AT618">
        <v>9.2027000000000001</v>
      </c>
      <c r="AU618">
        <v>13.5618</v>
      </c>
      <c r="AV618">
        <v>26.743099999999998</v>
      </c>
      <c r="AW618">
        <v>16.8644</v>
      </c>
      <c r="AX618" t="s">
        <v>134</v>
      </c>
      <c r="AY618">
        <v>13.1014</v>
      </c>
      <c r="AZ618">
        <v>53.914499999999997</v>
      </c>
      <c r="BA618">
        <v>66.988</v>
      </c>
      <c r="BB618">
        <v>5.7702999999999998</v>
      </c>
      <c r="BC618">
        <v>25.540700000000001</v>
      </c>
      <c r="BD618">
        <v>5.7709999999999999</v>
      </c>
      <c r="BE618" t="s">
        <v>134</v>
      </c>
      <c r="BF618">
        <v>33.580100000000002</v>
      </c>
      <c r="BG618">
        <v>108.6204</v>
      </c>
      <c r="BH618">
        <v>119.2616</v>
      </c>
      <c r="BI618">
        <v>38.418799999999997</v>
      </c>
      <c r="BJ618">
        <v>38.4131</v>
      </c>
      <c r="BK618">
        <v>20</v>
      </c>
      <c r="BL618">
        <v>14.104699999999999</v>
      </c>
      <c r="BM618">
        <v>-9.6699999999999994E-2</v>
      </c>
      <c r="BN618">
        <v>35.417499999999997</v>
      </c>
      <c r="BO618">
        <v>55.712800000000001</v>
      </c>
      <c r="BP618">
        <v>7.5099</v>
      </c>
      <c r="BQ618" t="s">
        <v>134</v>
      </c>
      <c r="BR618">
        <v>8.7864000000000004</v>
      </c>
      <c r="BS618">
        <v>76.886899999999997</v>
      </c>
      <c r="BT618">
        <v>85.802300000000002</v>
      </c>
      <c r="BU618">
        <v>15.0389</v>
      </c>
      <c r="BV618">
        <v>52.179200000000002</v>
      </c>
      <c r="BW618">
        <v>14.938000000000001</v>
      </c>
      <c r="BX618" t="s">
        <v>134</v>
      </c>
      <c r="BY618">
        <v>265751.7</v>
      </c>
      <c r="BZ618">
        <v>120794.8</v>
      </c>
      <c r="CA618">
        <v>144956.9</v>
      </c>
      <c r="CB618">
        <v>7.5945999999999998</v>
      </c>
      <c r="CC618">
        <v>6.1726000000000001</v>
      </c>
      <c r="CD618">
        <v>8.5246999999999993</v>
      </c>
      <c r="CE618">
        <v>6.9284999999999997</v>
      </c>
      <c r="CF618">
        <v>1.7490999999999999</v>
      </c>
      <c r="CG618">
        <v>30.851500000000001</v>
      </c>
      <c r="CH618">
        <v>97.314099999999996</v>
      </c>
      <c r="CI618">
        <v>34.953800000000001</v>
      </c>
      <c r="CJ618">
        <v>30.049499999999998</v>
      </c>
      <c r="CK618">
        <v>178.4074</v>
      </c>
      <c r="CL618">
        <v>64.081400000000002</v>
      </c>
      <c r="CM618">
        <v>55.090200000000003</v>
      </c>
      <c r="CN618">
        <v>145.0027</v>
      </c>
      <c r="CO618">
        <v>59.184100000000001</v>
      </c>
      <c r="CP618">
        <v>34992.1</v>
      </c>
      <c r="CQ618">
        <v>13128</v>
      </c>
      <c r="CR618">
        <v>31174.400000000001</v>
      </c>
      <c r="CS618">
        <v>0.2681</v>
      </c>
      <c r="CT618">
        <v>0.47199999999999998</v>
      </c>
      <c r="CU618">
        <v>0.32779999999999998</v>
      </c>
      <c r="CV618">
        <v>1.0097</v>
      </c>
      <c r="CW618">
        <v>8.1191999999999993</v>
      </c>
      <c r="CX618">
        <v>44.955399999999997</v>
      </c>
      <c r="CY618">
        <v>1.9222999999999999</v>
      </c>
      <c r="CZ618">
        <v>189.87270000000001</v>
      </c>
      <c r="DA618">
        <v>1.8952</v>
      </c>
      <c r="DB618">
        <v>192.59559999999999</v>
      </c>
      <c r="DC618">
        <v>42.232500000000002</v>
      </c>
      <c r="DD618">
        <v>234.82810000000001</v>
      </c>
      <c r="DE618">
        <v>7230.7</v>
      </c>
      <c r="DF618">
        <v>2435.3000000000002</v>
      </c>
      <c r="DG618">
        <v>2705.3</v>
      </c>
      <c r="DH618">
        <v>1634.8</v>
      </c>
      <c r="DI618">
        <v>455.3</v>
      </c>
    </row>
    <row r="619" spans="4:113" x14ac:dyDescent="0.3">
      <c r="E619" t="s">
        <v>4</v>
      </c>
      <c r="F619" t="s">
        <v>134</v>
      </c>
      <c r="G619" t="s">
        <v>134</v>
      </c>
      <c r="H619" t="s">
        <v>134</v>
      </c>
      <c r="I619" t="s">
        <v>134</v>
      </c>
      <c r="J619">
        <v>36.236899999999999</v>
      </c>
      <c r="K619">
        <v>31.877600000000001</v>
      </c>
      <c r="L619">
        <v>103.2016</v>
      </c>
      <c r="M619">
        <v>12.4352</v>
      </c>
      <c r="N619">
        <v>13.113200000000001</v>
      </c>
      <c r="O619">
        <v>13.113200000000001</v>
      </c>
      <c r="P619">
        <v>13.113200000000001</v>
      </c>
      <c r="Q619">
        <v>21.032900000000001</v>
      </c>
      <c r="R619" t="s">
        <v>134</v>
      </c>
      <c r="S619" t="s">
        <v>134</v>
      </c>
      <c r="T619">
        <v>26.696100000000001</v>
      </c>
      <c r="U619">
        <v>173.9547</v>
      </c>
      <c r="V619">
        <v>214.62200000000001</v>
      </c>
      <c r="W619">
        <v>36.298200000000001</v>
      </c>
      <c r="X619">
        <v>36.252499999999998</v>
      </c>
      <c r="Y619" t="s">
        <v>134</v>
      </c>
      <c r="Z619" t="s">
        <v>134</v>
      </c>
      <c r="AA619" t="s">
        <v>134</v>
      </c>
      <c r="AB619" t="s">
        <v>134</v>
      </c>
      <c r="AC619" t="s">
        <v>134</v>
      </c>
      <c r="AD619" t="s">
        <v>134</v>
      </c>
      <c r="AE619" t="s">
        <v>134</v>
      </c>
      <c r="AF619" t="s">
        <v>134</v>
      </c>
      <c r="AG619" t="s">
        <v>134</v>
      </c>
      <c r="AH619" t="s">
        <v>134</v>
      </c>
      <c r="AI619" t="s">
        <v>134</v>
      </c>
      <c r="AJ619" t="s">
        <v>134</v>
      </c>
      <c r="AK619" t="s">
        <v>134</v>
      </c>
      <c r="AL619" t="s">
        <v>134</v>
      </c>
      <c r="AM619">
        <v>32.268500000000003</v>
      </c>
      <c r="AN619">
        <v>145.54060000000001</v>
      </c>
      <c r="AO619" t="s">
        <v>134</v>
      </c>
      <c r="AP619">
        <v>20.9467</v>
      </c>
      <c r="AQ619">
        <v>20.181100000000001</v>
      </c>
      <c r="AR619" t="s">
        <v>134</v>
      </c>
      <c r="AS619" t="s">
        <v>134</v>
      </c>
      <c r="AT619" t="s">
        <v>134</v>
      </c>
      <c r="AU619" t="s">
        <v>134</v>
      </c>
      <c r="AV619" t="s">
        <v>134</v>
      </c>
      <c r="AW619" t="s">
        <v>134</v>
      </c>
      <c r="AX619" t="s">
        <v>134</v>
      </c>
      <c r="AY619" t="s">
        <v>134</v>
      </c>
      <c r="AZ619" t="s">
        <v>134</v>
      </c>
      <c r="BA619" t="s">
        <v>134</v>
      </c>
      <c r="BB619" t="s">
        <v>134</v>
      </c>
      <c r="BC619" t="s">
        <v>134</v>
      </c>
      <c r="BD619" t="s">
        <v>134</v>
      </c>
      <c r="BE619" t="s">
        <v>134</v>
      </c>
      <c r="BF619">
        <v>4.7775999999999996</v>
      </c>
      <c r="BG619">
        <v>50.5</v>
      </c>
      <c r="BH619">
        <v>61.228099999999998</v>
      </c>
      <c r="BI619">
        <v>19.609500000000001</v>
      </c>
      <c r="BJ619">
        <v>19.571000000000002</v>
      </c>
      <c r="BK619" t="s">
        <v>134</v>
      </c>
      <c r="BL619" t="s">
        <v>134</v>
      </c>
      <c r="BM619" t="s">
        <v>134</v>
      </c>
      <c r="BN619" t="s">
        <v>134</v>
      </c>
      <c r="BO619" t="s">
        <v>134</v>
      </c>
      <c r="BP619" t="s">
        <v>134</v>
      </c>
      <c r="BQ619" t="s">
        <v>134</v>
      </c>
      <c r="BR619" t="s">
        <v>134</v>
      </c>
      <c r="BS619" t="s">
        <v>134</v>
      </c>
      <c r="BT619" t="s">
        <v>134</v>
      </c>
      <c r="BU619" t="s">
        <v>134</v>
      </c>
      <c r="BV619" t="s">
        <v>134</v>
      </c>
      <c r="BW619" t="s">
        <v>134</v>
      </c>
      <c r="BX619" t="s">
        <v>134</v>
      </c>
      <c r="BY619" t="s">
        <v>134</v>
      </c>
      <c r="BZ619" t="s">
        <v>134</v>
      </c>
      <c r="CA619" t="s">
        <v>134</v>
      </c>
      <c r="CB619" t="s">
        <v>134</v>
      </c>
      <c r="CC619" t="s">
        <v>134</v>
      </c>
      <c r="CD619" t="s">
        <v>134</v>
      </c>
      <c r="CE619" t="s">
        <v>134</v>
      </c>
      <c r="CF619">
        <v>1.6139000000000001</v>
      </c>
      <c r="CG619" t="s">
        <v>134</v>
      </c>
      <c r="CH619" t="s">
        <v>134</v>
      </c>
      <c r="CI619" t="s">
        <v>134</v>
      </c>
      <c r="CJ619" t="s">
        <v>134</v>
      </c>
      <c r="CK619" t="s">
        <v>134</v>
      </c>
      <c r="CL619" t="s">
        <v>134</v>
      </c>
      <c r="CM619" t="s">
        <v>134</v>
      </c>
      <c r="CN619" t="s">
        <v>134</v>
      </c>
      <c r="CO619" t="s">
        <v>134</v>
      </c>
      <c r="CP619">
        <v>6381.5</v>
      </c>
      <c r="CQ619" t="s">
        <v>134</v>
      </c>
      <c r="CR619">
        <v>5613.8</v>
      </c>
      <c r="CS619" t="s">
        <v>134</v>
      </c>
      <c r="CT619" t="s">
        <v>134</v>
      </c>
      <c r="CU619" t="s">
        <v>134</v>
      </c>
      <c r="CV619" t="s">
        <v>134</v>
      </c>
      <c r="CW619" t="s">
        <v>134</v>
      </c>
      <c r="CX619" t="s">
        <v>134</v>
      </c>
      <c r="CY619" t="s">
        <v>134</v>
      </c>
      <c r="CZ619" t="s">
        <v>134</v>
      </c>
      <c r="DA619" t="s">
        <v>134</v>
      </c>
      <c r="DB619" t="s">
        <v>134</v>
      </c>
      <c r="DC619" t="s">
        <v>134</v>
      </c>
      <c r="DD619" t="s">
        <v>134</v>
      </c>
      <c r="DE619" t="s">
        <v>134</v>
      </c>
      <c r="DF619" t="s">
        <v>134</v>
      </c>
      <c r="DG619" t="s">
        <v>134</v>
      </c>
      <c r="DH619" t="s">
        <v>134</v>
      </c>
      <c r="DI619" t="s">
        <v>134</v>
      </c>
    </row>
    <row r="620" spans="4:113" x14ac:dyDescent="0.3">
      <c r="E620" t="s">
        <v>5</v>
      </c>
      <c r="F620">
        <v>7.7811000000000003</v>
      </c>
      <c r="G620">
        <v>2.8904999999999998</v>
      </c>
      <c r="H620">
        <v>7.2149999999999999</v>
      </c>
      <c r="I620">
        <v>6.5612000000000004</v>
      </c>
      <c r="J620">
        <v>38.403700000000001</v>
      </c>
      <c r="K620">
        <v>34.619399999999999</v>
      </c>
      <c r="L620">
        <v>63.715699999999998</v>
      </c>
      <c r="M620">
        <v>13.296799999999999</v>
      </c>
      <c r="N620">
        <v>15.821099999999999</v>
      </c>
      <c r="O620">
        <v>15.821099999999999</v>
      </c>
      <c r="P620">
        <v>15.821099999999999</v>
      </c>
      <c r="Q620">
        <v>1.2117</v>
      </c>
      <c r="R620" t="s">
        <v>134</v>
      </c>
      <c r="S620" t="s">
        <v>134</v>
      </c>
      <c r="T620">
        <v>29.6951</v>
      </c>
      <c r="U620">
        <v>66.999799999999993</v>
      </c>
      <c r="V620">
        <v>72.8292</v>
      </c>
      <c r="W620">
        <v>30.1831</v>
      </c>
      <c r="X620">
        <v>30.132000000000001</v>
      </c>
      <c r="Y620" t="s">
        <v>134</v>
      </c>
      <c r="Z620">
        <v>21.920300000000001</v>
      </c>
      <c r="AA620">
        <v>2.5438000000000001</v>
      </c>
      <c r="AB620">
        <v>-20.310300000000002</v>
      </c>
      <c r="AC620">
        <v>78.292900000000003</v>
      </c>
      <c r="AD620">
        <v>-30.2331</v>
      </c>
      <c r="AE620">
        <v>-8.1171000000000006</v>
      </c>
      <c r="AF620" t="s">
        <v>134</v>
      </c>
      <c r="AG620">
        <v>157.15610000000001</v>
      </c>
      <c r="AH620">
        <v>147.69810000000001</v>
      </c>
      <c r="AI620">
        <v>16.8703</v>
      </c>
      <c r="AJ620">
        <v>78.483099999999993</v>
      </c>
      <c r="AK620">
        <v>17.1465</v>
      </c>
      <c r="AL620" t="s">
        <v>134</v>
      </c>
      <c r="AM620">
        <v>32.309699999999999</v>
      </c>
      <c r="AN620" t="s">
        <v>134</v>
      </c>
      <c r="AO620" t="s">
        <v>134</v>
      </c>
      <c r="AP620" t="s">
        <v>134</v>
      </c>
      <c r="AQ620" t="s">
        <v>134</v>
      </c>
      <c r="AR620" t="s">
        <v>134</v>
      </c>
      <c r="AS620" t="s">
        <v>134</v>
      </c>
      <c r="AT620">
        <v>12.3697</v>
      </c>
      <c r="AU620">
        <v>0.65400000000000003</v>
      </c>
      <c r="AV620">
        <v>26.87</v>
      </c>
      <c r="AW620" t="s">
        <v>134</v>
      </c>
      <c r="AX620" t="s">
        <v>134</v>
      </c>
      <c r="AY620" t="s">
        <v>134</v>
      </c>
      <c r="AZ620" t="s">
        <v>134</v>
      </c>
      <c r="BA620">
        <v>90.243899999999996</v>
      </c>
      <c r="BB620">
        <v>3.8277000000000001</v>
      </c>
      <c r="BC620">
        <v>26.124400000000001</v>
      </c>
      <c r="BD620">
        <v>3.1890999999999998</v>
      </c>
      <c r="BE620" t="s">
        <v>134</v>
      </c>
      <c r="BF620">
        <v>9.9571000000000005</v>
      </c>
      <c r="BG620">
        <v>16.5322</v>
      </c>
      <c r="BH620">
        <v>19.4147</v>
      </c>
      <c r="BI620">
        <v>32.663600000000002</v>
      </c>
      <c r="BJ620">
        <v>32.660699999999999</v>
      </c>
      <c r="BK620" t="s">
        <v>134</v>
      </c>
      <c r="BL620" t="s">
        <v>134</v>
      </c>
      <c r="BM620" t="s">
        <v>134</v>
      </c>
      <c r="BN620" t="s">
        <v>134</v>
      </c>
      <c r="BO620" t="s">
        <v>134</v>
      </c>
      <c r="BP620" t="s">
        <v>134</v>
      </c>
      <c r="BQ620" t="s">
        <v>134</v>
      </c>
      <c r="BR620" t="s">
        <v>134</v>
      </c>
      <c r="BS620" t="s">
        <v>134</v>
      </c>
      <c r="BT620" t="s">
        <v>134</v>
      </c>
      <c r="BU620" t="s">
        <v>134</v>
      </c>
      <c r="BV620" t="s">
        <v>134</v>
      </c>
      <c r="BW620" t="s">
        <v>134</v>
      </c>
      <c r="BX620" t="s">
        <v>134</v>
      </c>
      <c r="BY620">
        <v>271360</v>
      </c>
      <c r="BZ620">
        <v>119901.1</v>
      </c>
      <c r="CA620">
        <v>151458.9</v>
      </c>
      <c r="CB620">
        <v>11.3969</v>
      </c>
      <c r="CC620">
        <v>7.1211000000000002</v>
      </c>
      <c r="CD620">
        <v>13.000999999999999</v>
      </c>
      <c r="CE620">
        <v>8.1233000000000004</v>
      </c>
      <c r="CF620">
        <v>1.6335999999999999</v>
      </c>
      <c r="CG620">
        <v>31.2804</v>
      </c>
      <c r="CH620">
        <v>105.30240000000001</v>
      </c>
      <c r="CI620">
        <v>36.479199999999999</v>
      </c>
      <c r="CJ620">
        <v>32.939</v>
      </c>
      <c r="CK620">
        <v>188.66419999999999</v>
      </c>
      <c r="CL620">
        <v>65.357699999999994</v>
      </c>
      <c r="CM620">
        <v>59.014899999999997</v>
      </c>
      <c r="CN620">
        <v>117.8824</v>
      </c>
      <c r="CO620">
        <v>54.103700000000003</v>
      </c>
      <c r="CP620">
        <v>7436.5</v>
      </c>
      <c r="CQ620" t="s">
        <v>134</v>
      </c>
      <c r="CR620">
        <v>6703.7</v>
      </c>
      <c r="CS620">
        <v>0.62529999999999997</v>
      </c>
      <c r="CT620">
        <v>0.82909999999999995</v>
      </c>
      <c r="CU620">
        <v>0.67879999999999996</v>
      </c>
      <c r="CV620">
        <v>1.3851</v>
      </c>
      <c r="CW620">
        <v>9.0296000000000003</v>
      </c>
      <c r="CX620">
        <v>40.533299999999997</v>
      </c>
      <c r="CY620">
        <v>1.7391999999999999</v>
      </c>
      <c r="CZ620">
        <v>210.44149999999999</v>
      </c>
      <c r="DA620" t="s">
        <v>134</v>
      </c>
      <c r="DB620" t="s">
        <v>134</v>
      </c>
      <c r="DC620" t="s">
        <v>134</v>
      </c>
      <c r="DD620">
        <v>250.97479999999999</v>
      </c>
      <c r="DE620">
        <v>8163</v>
      </c>
      <c r="DF620" t="s">
        <v>134</v>
      </c>
      <c r="DG620" t="s">
        <v>134</v>
      </c>
      <c r="DH620" t="s">
        <v>134</v>
      </c>
      <c r="DI620" t="s">
        <v>134</v>
      </c>
    </row>
    <row r="621" spans="4:113" x14ac:dyDescent="0.3">
      <c r="E621" t="s">
        <v>6</v>
      </c>
      <c r="F621" t="s">
        <v>134</v>
      </c>
      <c r="G621" t="s">
        <v>134</v>
      </c>
      <c r="H621" t="s">
        <v>134</v>
      </c>
      <c r="I621" t="s">
        <v>134</v>
      </c>
      <c r="J621">
        <v>46.891500000000001</v>
      </c>
      <c r="K621">
        <v>42.1327</v>
      </c>
      <c r="L621">
        <v>86.788399999999996</v>
      </c>
      <c r="M621">
        <v>18.779299999999999</v>
      </c>
      <c r="N621">
        <v>17.463699999999999</v>
      </c>
      <c r="O621">
        <v>17.463699999999999</v>
      </c>
      <c r="P621">
        <v>17.463699999999999</v>
      </c>
      <c r="Q621">
        <v>17.435300000000002</v>
      </c>
      <c r="R621" t="s">
        <v>134</v>
      </c>
      <c r="S621" t="s">
        <v>134</v>
      </c>
      <c r="T621">
        <v>30.3522</v>
      </c>
      <c r="U621">
        <v>88.634900000000002</v>
      </c>
      <c r="V621">
        <v>92.174099999999996</v>
      </c>
      <c r="W621">
        <v>31.660699999999999</v>
      </c>
      <c r="X621">
        <v>31.646999999999998</v>
      </c>
      <c r="Y621" t="s">
        <v>134</v>
      </c>
      <c r="Z621" t="s">
        <v>134</v>
      </c>
      <c r="AA621" t="s">
        <v>134</v>
      </c>
      <c r="AB621" t="s">
        <v>134</v>
      </c>
      <c r="AC621" t="s">
        <v>134</v>
      </c>
      <c r="AD621" t="s">
        <v>134</v>
      </c>
      <c r="AE621" t="s">
        <v>134</v>
      </c>
      <c r="AF621" t="s">
        <v>134</v>
      </c>
      <c r="AG621" t="s">
        <v>134</v>
      </c>
      <c r="AH621" t="s">
        <v>134</v>
      </c>
      <c r="AI621" t="s">
        <v>134</v>
      </c>
      <c r="AJ621" t="s">
        <v>134</v>
      </c>
      <c r="AK621" t="s">
        <v>134</v>
      </c>
      <c r="AL621" t="s">
        <v>134</v>
      </c>
      <c r="AM621">
        <v>33.200299999999999</v>
      </c>
      <c r="AN621" t="s">
        <v>134</v>
      </c>
      <c r="AO621" t="s">
        <v>134</v>
      </c>
      <c r="AP621">
        <v>116.3742</v>
      </c>
      <c r="AQ621">
        <v>117.1249</v>
      </c>
      <c r="AR621" t="s">
        <v>134</v>
      </c>
      <c r="AS621" t="s">
        <v>134</v>
      </c>
      <c r="AT621" t="s">
        <v>134</v>
      </c>
      <c r="AU621" t="s">
        <v>134</v>
      </c>
      <c r="AV621" t="s">
        <v>134</v>
      </c>
      <c r="AW621" t="s">
        <v>134</v>
      </c>
      <c r="AX621" t="s">
        <v>134</v>
      </c>
      <c r="AY621" t="s">
        <v>134</v>
      </c>
      <c r="AZ621" t="s">
        <v>134</v>
      </c>
      <c r="BA621" t="s">
        <v>134</v>
      </c>
      <c r="BB621" t="s">
        <v>134</v>
      </c>
      <c r="BC621" t="s">
        <v>134</v>
      </c>
      <c r="BD621" t="s">
        <v>134</v>
      </c>
      <c r="BE621" t="s">
        <v>134</v>
      </c>
      <c r="BF621">
        <v>18.358699999999999</v>
      </c>
      <c r="BG621">
        <v>45.900599999999997</v>
      </c>
      <c r="BH621">
        <v>45.424199999999999</v>
      </c>
      <c r="BI621">
        <v>31.897100000000002</v>
      </c>
      <c r="BJ621">
        <v>31.9437</v>
      </c>
      <c r="BK621" t="s">
        <v>134</v>
      </c>
      <c r="BL621" t="s">
        <v>134</v>
      </c>
      <c r="BM621" t="s">
        <v>134</v>
      </c>
      <c r="BN621" t="s">
        <v>134</v>
      </c>
      <c r="BO621" t="s">
        <v>134</v>
      </c>
      <c r="BP621" t="s">
        <v>134</v>
      </c>
      <c r="BQ621" t="s">
        <v>134</v>
      </c>
      <c r="BR621" t="s">
        <v>134</v>
      </c>
      <c r="BS621" t="s">
        <v>134</v>
      </c>
      <c r="BT621" t="s">
        <v>134</v>
      </c>
      <c r="BU621" t="s">
        <v>134</v>
      </c>
      <c r="BV621" t="s">
        <v>134</v>
      </c>
      <c r="BW621" t="s">
        <v>134</v>
      </c>
      <c r="BX621" t="s">
        <v>134</v>
      </c>
      <c r="BY621" t="s">
        <v>134</v>
      </c>
      <c r="BZ621" t="s">
        <v>134</v>
      </c>
      <c r="CA621" t="s">
        <v>134</v>
      </c>
      <c r="CB621" t="s">
        <v>134</v>
      </c>
      <c r="CC621" t="s">
        <v>134</v>
      </c>
      <c r="CD621" t="s">
        <v>134</v>
      </c>
      <c r="CE621" t="s">
        <v>134</v>
      </c>
      <c r="CF621">
        <v>1.837</v>
      </c>
      <c r="CG621" t="s">
        <v>134</v>
      </c>
      <c r="CH621" t="s">
        <v>134</v>
      </c>
      <c r="CI621" t="s">
        <v>134</v>
      </c>
      <c r="CJ621" t="s">
        <v>134</v>
      </c>
      <c r="CK621" t="s">
        <v>134</v>
      </c>
      <c r="CL621" t="s">
        <v>134</v>
      </c>
      <c r="CM621" t="s">
        <v>134</v>
      </c>
      <c r="CN621" t="s">
        <v>134</v>
      </c>
      <c r="CO621" t="s">
        <v>134</v>
      </c>
      <c r="CP621">
        <v>10849.9</v>
      </c>
      <c r="CQ621" t="s">
        <v>134</v>
      </c>
      <c r="CR621">
        <v>9748.7999999999993</v>
      </c>
      <c r="CS621" t="s">
        <v>134</v>
      </c>
      <c r="CT621" t="s">
        <v>134</v>
      </c>
      <c r="CU621" t="s">
        <v>134</v>
      </c>
      <c r="CV621" t="s">
        <v>134</v>
      </c>
      <c r="CW621" t="s">
        <v>134</v>
      </c>
      <c r="CX621" t="s">
        <v>134</v>
      </c>
      <c r="CY621" t="s">
        <v>134</v>
      </c>
      <c r="CZ621" t="s">
        <v>134</v>
      </c>
      <c r="DA621" t="s">
        <v>134</v>
      </c>
      <c r="DB621" t="s">
        <v>134</v>
      </c>
      <c r="DC621" t="s">
        <v>134</v>
      </c>
      <c r="DD621" t="s">
        <v>134</v>
      </c>
      <c r="DE621" t="s">
        <v>134</v>
      </c>
      <c r="DF621" t="s">
        <v>134</v>
      </c>
      <c r="DG621" t="s">
        <v>134</v>
      </c>
      <c r="DH621" t="s">
        <v>134</v>
      </c>
      <c r="DI621" t="s">
        <v>134</v>
      </c>
    </row>
    <row r="622" spans="4:113" x14ac:dyDescent="0.3">
      <c r="E622" t="s">
        <v>7</v>
      </c>
      <c r="F622">
        <v>8.9996000000000009</v>
      </c>
      <c r="G622">
        <v>3.1617000000000002</v>
      </c>
      <c r="H622">
        <v>8.5253999999999994</v>
      </c>
      <c r="I622">
        <v>7.9972000000000003</v>
      </c>
      <c r="J622">
        <v>42.120699999999999</v>
      </c>
      <c r="K622">
        <v>37.161799999999999</v>
      </c>
      <c r="L622">
        <v>73.0505</v>
      </c>
      <c r="M622">
        <v>16.290600000000001</v>
      </c>
      <c r="N622">
        <v>12.675599999999999</v>
      </c>
      <c r="O622">
        <v>12.6874</v>
      </c>
      <c r="P622">
        <v>12.6874</v>
      </c>
      <c r="Q622">
        <v>25.842199999999998</v>
      </c>
      <c r="R622" t="s">
        <v>134</v>
      </c>
      <c r="S622" t="s">
        <v>134</v>
      </c>
      <c r="T622">
        <v>45.823599999999999</v>
      </c>
      <c r="U622">
        <v>143.46729999999999</v>
      </c>
      <c r="V622">
        <v>161.58420000000001</v>
      </c>
      <c r="W622">
        <v>61.0608</v>
      </c>
      <c r="X622">
        <v>61.0366</v>
      </c>
      <c r="Y622" t="s">
        <v>134</v>
      </c>
      <c r="Z622">
        <v>14.104699999999999</v>
      </c>
      <c r="AA622">
        <v>-9.6699999999999994E-2</v>
      </c>
      <c r="AB622">
        <v>35.417499999999997</v>
      </c>
      <c r="AC622">
        <v>55.712800000000001</v>
      </c>
      <c r="AD622">
        <v>7.5099</v>
      </c>
      <c r="AE622">
        <v>-66.44</v>
      </c>
      <c r="AF622">
        <v>8.7864000000000004</v>
      </c>
      <c r="AG622">
        <v>76.886899999999997</v>
      </c>
      <c r="AH622">
        <v>85.802300000000002</v>
      </c>
      <c r="AI622">
        <v>15.0389</v>
      </c>
      <c r="AJ622">
        <v>52.179200000000002</v>
      </c>
      <c r="AK622">
        <v>14.938000000000001</v>
      </c>
      <c r="AL622" t="s">
        <v>134</v>
      </c>
      <c r="AM622">
        <v>31.663799999999998</v>
      </c>
      <c r="AN622">
        <v>92.494799999999998</v>
      </c>
      <c r="AO622">
        <v>178.8732</v>
      </c>
      <c r="AP622" t="s">
        <v>134</v>
      </c>
      <c r="AQ622" t="s">
        <v>134</v>
      </c>
      <c r="AR622" t="s">
        <v>134</v>
      </c>
      <c r="AS622">
        <v>20.465</v>
      </c>
      <c r="AT622">
        <v>9.2027000000000001</v>
      </c>
      <c r="AU622">
        <v>13.5618</v>
      </c>
      <c r="AV622">
        <v>26.743099999999998</v>
      </c>
      <c r="AW622">
        <v>16.8644</v>
      </c>
      <c r="AX622" t="s">
        <v>134</v>
      </c>
      <c r="AY622">
        <v>13.1014</v>
      </c>
      <c r="AZ622">
        <v>53.914499999999997</v>
      </c>
      <c r="BA622">
        <v>66.988</v>
      </c>
      <c r="BB622">
        <v>5.7702999999999998</v>
      </c>
      <c r="BC622">
        <v>25.540700000000001</v>
      </c>
      <c r="BD622">
        <v>5.7709999999999999</v>
      </c>
      <c r="BE622" t="s">
        <v>134</v>
      </c>
      <c r="BF622">
        <v>5.9252000000000002</v>
      </c>
      <c r="BG622">
        <v>-4.8517000000000001</v>
      </c>
      <c r="BH622">
        <v>-6.5720999999999998</v>
      </c>
      <c r="BI622">
        <v>-23.044899999999998</v>
      </c>
      <c r="BJ622">
        <v>-23.057200000000002</v>
      </c>
      <c r="BK622" t="s">
        <v>134</v>
      </c>
      <c r="BL622" t="s">
        <v>134</v>
      </c>
      <c r="BM622" t="s">
        <v>134</v>
      </c>
      <c r="BN622" t="s">
        <v>134</v>
      </c>
      <c r="BO622" t="s">
        <v>134</v>
      </c>
      <c r="BP622" t="s">
        <v>134</v>
      </c>
      <c r="BQ622" t="s">
        <v>134</v>
      </c>
      <c r="BR622" t="s">
        <v>134</v>
      </c>
      <c r="BS622" t="s">
        <v>134</v>
      </c>
      <c r="BT622" t="s">
        <v>134</v>
      </c>
      <c r="BU622" t="s">
        <v>134</v>
      </c>
      <c r="BV622" t="s">
        <v>134</v>
      </c>
      <c r="BW622" t="s">
        <v>134</v>
      </c>
      <c r="BX622" t="s">
        <v>134</v>
      </c>
      <c r="BY622">
        <v>265751.7</v>
      </c>
      <c r="BZ622">
        <v>120794.8</v>
      </c>
      <c r="CA622">
        <v>144956.9</v>
      </c>
      <c r="CB622">
        <v>7.5948000000000002</v>
      </c>
      <c r="CC622">
        <v>6.1726999999999999</v>
      </c>
      <c r="CD622">
        <v>8.5246999999999993</v>
      </c>
      <c r="CE622">
        <v>6.9284999999999997</v>
      </c>
      <c r="CF622">
        <v>1.7505999999999999</v>
      </c>
      <c r="CG622">
        <v>30.851500000000001</v>
      </c>
      <c r="CH622">
        <v>97.314099999999996</v>
      </c>
      <c r="CI622">
        <v>34.953800000000001</v>
      </c>
      <c r="CJ622">
        <v>30.049499999999998</v>
      </c>
      <c r="CK622">
        <v>178.4074</v>
      </c>
      <c r="CL622">
        <v>64.081400000000002</v>
      </c>
      <c r="CM622">
        <v>55.090200000000003</v>
      </c>
      <c r="CN622">
        <v>145.0027</v>
      </c>
      <c r="CO622">
        <v>59.184100000000001</v>
      </c>
      <c r="CP622">
        <v>10323.5</v>
      </c>
      <c r="CQ622" t="s">
        <v>134</v>
      </c>
      <c r="CR622">
        <v>9108.1</v>
      </c>
      <c r="CS622">
        <v>0.2681</v>
      </c>
      <c r="CT622">
        <v>0.47199999999999998</v>
      </c>
      <c r="CU622">
        <v>0.32779999999999998</v>
      </c>
      <c r="CV622">
        <v>1.0097</v>
      </c>
      <c r="CW622">
        <v>8.1601999999999997</v>
      </c>
      <c r="CX622">
        <v>44.728999999999999</v>
      </c>
      <c r="CY622">
        <v>1.9502000000000002</v>
      </c>
      <c r="CZ622">
        <v>187.15809999999999</v>
      </c>
      <c r="DA622">
        <v>1.9226999999999999</v>
      </c>
      <c r="DB622">
        <v>189.8407</v>
      </c>
      <c r="DC622">
        <v>42.046399999999998</v>
      </c>
      <c r="DD622">
        <v>231.88720000000001</v>
      </c>
      <c r="DE622">
        <v>7230.7</v>
      </c>
      <c r="DF622">
        <v>2435.3000000000002</v>
      </c>
      <c r="DG622">
        <v>2705.3</v>
      </c>
      <c r="DH622">
        <v>1634.8</v>
      </c>
      <c r="DI622">
        <v>455.3</v>
      </c>
    </row>
    <row r="623" spans="4:113" x14ac:dyDescent="0.3">
      <c r="D623" t="s">
        <v>11</v>
      </c>
      <c r="E623" t="s">
        <v>3</v>
      </c>
      <c r="F623">
        <v>24.784600000000001</v>
      </c>
      <c r="G623">
        <v>8.4707000000000008</v>
      </c>
      <c r="H623">
        <v>13.4183</v>
      </c>
      <c r="I623">
        <v>13.6639</v>
      </c>
      <c r="J623">
        <v>48.809199999999997</v>
      </c>
      <c r="K623">
        <v>44.289499999999997</v>
      </c>
      <c r="L623">
        <v>73.322199999999995</v>
      </c>
      <c r="M623">
        <v>18.574200000000001</v>
      </c>
      <c r="N623">
        <v>48.4298</v>
      </c>
      <c r="O623">
        <v>48.441299999999998</v>
      </c>
      <c r="P623">
        <v>48.441299999999998</v>
      </c>
      <c r="Q623" t="s">
        <v>134</v>
      </c>
      <c r="R623">
        <v>8.8400999999999996</v>
      </c>
      <c r="S623">
        <v>22.593599999999999</v>
      </c>
      <c r="T623">
        <v>25.296800000000001</v>
      </c>
      <c r="U623">
        <v>47.472999999999999</v>
      </c>
      <c r="V623">
        <v>50.204700000000003</v>
      </c>
      <c r="W623">
        <v>308.95690000000002</v>
      </c>
      <c r="X623">
        <v>290.42110000000002</v>
      </c>
      <c r="Y623">
        <v>19.7454</v>
      </c>
      <c r="Z623">
        <v>22.361699999999999</v>
      </c>
      <c r="AA623">
        <v>7.0462999999999996</v>
      </c>
      <c r="AB623">
        <v>10.9993</v>
      </c>
      <c r="AC623">
        <v>50.672400000000003</v>
      </c>
      <c r="AD623">
        <v>17.689299999999999</v>
      </c>
      <c r="AE623">
        <v>-1.1654</v>
      </c>
      <c r="AF623">
        <v>14.3924</v>
      </c>
      <c r="AG623">
        <v>21.4115</v>
      </c>
      <c r="AH623">
        <v>46.3264</v>
      </c>
      <c r="AI623">
        <v>77.616699999999994</v>
      </c>
      <c r="AJ623">
        <v>57.565399999999997</v>
      </c>
      <c r="AK623">
        <v>70.311300000000003</v>
      </c>
      <c r="AL623">
        <v>-58.388500000000001</v>
      </c>
      <c r="AM623">
        <v>24.601400000000002</v>
      </c>
      <c r="AN623">
        <v>64.245699999999999</v>
      </c>
      <c r="AO623">
        <v>83.975200000000001</v>
      </c>
      <c r="AP623" t="s">
        <v>134</v>
      </c>
      <c r="AQ623" t="s">
        <v>134</v>
      </c>
      <c r="AR623">
        <v>7.5197000000000003</v>
      </c>
      <c r="AS623">
        <v>17.798300000000001</v>
      </c>
      <c r="AT623">
        <v>7.3939000000000004</v>
      </c>
      <c r="AU623">
        <v>14.2928</v>
      </c>
      <c r="AV623">
        <v>29.119900000000001</v>
      </c>
      <c r="AW623">
        <v>15.8992</v>
      </c>
      <c r="AX623" t="s">
        <v>134</v>
      </c>
      <c r="AY623">
        <v>10.15</v>
      </c>
      <c r="AZ623">
        <v>17.575700000000001</v>
      </c>
      <c r="BA623">
        <v>38.291499999999999</v>
      </c>
      <c r="BB623">
        <v>19.769500000000001</v>
      </c>
      <c r="BC623">
        <v>28.815000000000001</v>
      </c>
      <c r="BD623">
        <v>18.7727</v>
      </c>
      <c r="BE623" t="s">
        <v>134</v>
      </c>
      <c r="BF623">
        <v>25.296800000000001</v>
      </c>
      <c r="BG623">
        <v>47.472999999999999</v>
      </c>
      <c r="BH623">
        <v>50.204700000000003</v>
      </c>
      <c r="BI623">
        <v>308.95690000000002</v>
      </c>
      <c r="BJ623">
        <v>290.42110000000002</v>
      </c>
      <c r="BK623">
        <v>19.7454</v>
      </c>
      <c r="BL623">
        <v>22.361699999999999</v>
      </c>
      <c r="BM623">
        <v>7.0462999999999996</v>
      </c>
      <c r="BN623">
        <v>10.9993</v>
      </c>
      <c r="BO623">
        <v>50.672400000000003</v>
      </c>
      <c r="BP623">
        <v>17.689299999999999</v>
      </c>
      <c r="BQ623" t="s">
        <v>134</v>
      </c>
      <c r="BR623">
        <v>14.3924</v>
      </c>
      <c r="BS623">
        <v>21.4115</v>
      </c>
      <c r="BT623">
        <v>46.3264</v>
      </c>
      <c r="BU623">
        <v>77.616699999999994</v>
      </c>
      <c r="BV623">
        <v>57.565399999999997</v>
      </c>
      <c r="BW623">
        <v>70.311300000000003</v>
      </c>
      <c r="BX623" t="s">
        <v>134</v>
      </c>
      <c r="BY623">
        <v>388864.9</v>
      </c>
      <c r="BZ623">
        <v>146658.79999999999</v>
      </c>
      <c r="CA623">
        <v>242206.1</v>
      </c>
      <c r="CB623">
        <v>7.5355999999999996</v>
      </c>
      <c r="CC623">
        <v>6.0636000000000001</v>
      </c>
      <c r="CD623">
        <v>8.3046000000000006</v>
      </c>
      <c r="CE623">
        <v>6.6824000000000003</v>
      </c>
      <c r="CF623">
        <v>1.7654999999999998</v>
      </c>
      <c r="CG623">
        <v>36.384399999999999</v>
      </c>
      <c r="CH623">
        <v>91.545699999999997</v>
      </c>
      <c r="CI623">
        <v>37.066400000000002</v>
      </c>
      <c r="CJ623">
        <v>33.323399999999999</v>
      </c>
      <c r="CK623">
        <v>146.9778</v>
      </c>
      <c r="CL623">
        <v>59.5105</v>
      </c>
      <c r="CM623">
        <v>53.501199999999997</v>
      </c>
      <c r="CN623">
        <v>118.2676</v>
      </c>
      <c r="CO623">
        <v>54.184699999999999</v>
      </c>
      <c r="CP623">
        <v>51603.9</v>
      </c>
      <c r="CQ623">
        <v>43416.2</v>
      </c>
      <c r="CR623">
        <v>46825.4</v>
      </c>
      <c r="CS623">
        <v>0.34960000000000002</v>
      </c>
      <c r="CT623">
        <v>0.54379999999999995</v>
      </c>
      <c r="CU623">
        <v>0.41199999999999998</v>
      </c>
      <c r="CV623">
        <v>1.0454000000000001</v>
      </c>
      <c r="CW623">
        <v>8.5845000000000002</v>
      </c>
      <c r="CX623">
        <v>42.518700000000003</v>
      </c>
      <c r="CY623">
        <v>2.0356999999999998</v>
      </c>
      <c r="CZ623">
        <v>179.2963</v>
      </c>
      <c r="DA623">
        <v>1.9220999999999999</v>
      </c>
      <c r="DB623">
        <v>189.89250000000001</v>
      </c>
      <c r="DC623">
        <v>31.922499999999999</v>
      </c>
      <c r="DD623">
        <v>221.815</v>
      </c>
      <c r="DE623">
        <v>7740.2</v>
      </c>
      <c r="DF623">
        <v>2808.1</v>
      </c>
      <c r="DG623">
        <v>2598.6999999999998</v>
      </c>
      <c r="DH623">
        <v>1764.9</v>
      </c>
      <c r="DI623">
        <v>568.5</v>
      </c>
    </row>
    <row r="624" spans="4:113" x14ac:dyDescent="0.3">
      <c r="E624" t="s">
        <v>4</v>
      </c>
      <c r="F624" t="s">
        <v>134</v>
      </c>
      <c r="G624" t="s">
        <v>134</v>
      </c>
      <c r="H624" t="s">
        <v>134</v>
      </c>
      <c r="I624" t="s">
        <v>134</v>
      </c>
      <c r="J624">
        <v>47.280900000000003</v>
      </c>
      <c r="K624">
        <v>41.807899999999997</v>
      </c>
      <c r="L624">
        <v>77.8874</v>
      </c>
      <c r="M624">
        <v>15.5632</v>
      </c>
      <c r="N624">
        <v>13.4579</v>
      </c>
      <c r="O624">
        <v>13.475199999999999</v>
      </c>
      <c r="P624">
        <v>13.475199999999999</v>
      </c>
      <c r="Q624">
        <v>29.198</v>
      </c>
      <c r="R624" t="s">
        <v>134</v>
      </c>
      <c r="S624" t="s">
        <v>134</v>
      </c>
      <c r="T624">
        <v>27.523399999999999</v>
      </c>
      <c r="U624">
        <v>66.388800000000003</v>
      </c>
      <c r="V624">
        <v>67.248599999999996</v>
      </c>
      <c r="W624">
        <v>31.044</v>
      </c>
      <c r="X624">
        <v>31.091200000000001</v>
      </c>
      <c r="Y624" t="s">
        <v>134</v>
      </c>
      <c r="Z624" t="s">
        <v>134</v>
      </c>
      <c r="AA624" t="s">
        <v>134</v>
      </c>
      <c r="AB624" t="s">
        <v>134</v>
      </c>
      <c r="AC624" t="s">
        <v>134</v>
      </c>
      <c r="AD624" t="s">
        <v>134</v>
      </c>
      <c r="AE624" t="s">
        <v>134</v>
      </c>
      <c r="AF624" t="s">
        <v>134</v>
      </c>
      <c r="AG624" t="s">
        <v>134</v>
      </c>
      <c r="AH624" t="s">
        <v>134</v>
      </c>
      <c r="AI624" t="s">
        <v>134</v>
      </c>
      <c r="AJ624" t="s">
        <v>134</v>
      </c>
      <c r="AK624" t="s">
        <v>134</v>
      </c>
      <c r="AL624" t="s">
        <v>134</v>
      </c>
      <c r="AM624">
        <v>25.888200000000001</v>
      </c>
      <c r="AN624">
        <v>68.375799999999998</v>
      </c>
      <c r="AO624">
        <v>90.513800000000003</v>
      </c>
      <c r="AP624">
        <v>136.61779999999999</v>
      </c>
      <c r="AQ624">
        <v>144.6808</v>
      </c>
      <c r="AR624" t="s">
        <v>134</v>
      </c>
      <c r="AS624" t="s">
        <v>134</v>
      </c>
      <c r="AT624" t="s">
        <v>134</v>
      </c>
      <c r="AU624" t="s">
        <v>134</v>
      </c>
      <c r="AV624" t="s">
        <v>134</v>
      </c>
      <c r="AW624" t="s">
        <v>134</v>
      </c>
      <c r="AX624" t="s">
        <v>134</v>
      </c>
      <c r="AY624" t="s">
        <v>134</v>
      </c>
      <c r="AZ624" t="s">
        <v>134</v>
      </c>
      <c r="BA624" t="s">
        <v>134</v>
      </c>
      <c r="BB624" t="s">
        <v>134</v>
      </c>
      <c r="BC624" t="s">
        <v>134</v>
      </c>
      <c r="BD624" t="s">
        <v>134</v>
      </c>
      <c r="BE624" t="s">
        <v>134</v>
      </c>
      <c r="BF624">
        <v>-8.3714999999999993</v>
      </c>
      <c r="BG624">
        <v>2.8536999999999999</v>
      </c>
      <c r="BH624">
        <v>3.0840999999999998</v>
      </c>
      <c r="BI624">
        <v>-2.6819999999999999</v>
      </c>
      <c r="BJ624">
        <v>-2.6637</v>
      </c>
      <c r="BK624" t="s">
        <v>134</v>
      </c>
      <c r="BL624" t="s">
        <v>134</v>
      </c>
      <c r="BM624" t="s">
        <v>134</v>
      </c>
      <c r="BN624" t="s">
        <v>134</v>
      </c>
      <c r="BO624" t="s">
        <v>134</v>
      </c>
      <c r="BP624" t="s">
        <v>134</v>
      </c>
      <c r="BQ624" t="s">
        <v>134</v>
      </c>
      <c r="BR624" t="s">
        <v>134</v>
      </c>
      <c r="BS624" t="s">
        <v>134</v>
      </c>
      <c r="BT624" t="s">
        <v>134</v>
      </c>
      <c r="BU624" t="s">
        <v>134</v>
      </c>
      <c r="BV624" t="s">
        <v>134</v>
      </c>
      <c r="BW624" t="s">
        <v>134</v>
      </c>
      <c r="BX624" t="s">
        <v>134</v>
      </c>
      <c r="BY624" t="s">
        <v>134</v>
      </c>
      <c r="BZ624" t="s">
        <v>134</v>
      </c>
      <c r="CA624" t="s">
        <v>134</v>
      </c>
      <c r="CB624" t="s">
        <v>134</v>
      </c>
      <c r="CC624" t="s">
        <v>134</v>
      </c>
      <c r="CD624" t="s">
        <v>134</v>
      </c>
      <c r="CE624" t="s">
        <v>134</v>
      </c>
      <c r="CF624">
        <v>1.5771999999999999</v>
      </c>
      <c r="CG624" t="s">
        <v>134</v>
      </c>
      <c r="CH624" t="s">
        <v>134</v>
      </c>
      <c r="CI624" t="s">
        <v>134</v>
      </c>
      <c r="CJ624" t="s">
        <v>134</v>
      </c>
      <c r="CK624" t="s">
        <v>134</v>
      </c>
      <c r="CL624" t="s">
        <v>134</v>
      </c>
      <c r="CM624" t="s">
        <v>134</v>
      </c>
      <c r="CN624" t="s">
        <v>134</v>
      </c>
      <c r="CO624" t="s">
        <v>134</v>
      </c>
      <c r="CP624">
        <v>10618.1</v>
      </c>
      <c r="CQ624" t="s">
        <v>134</v>
      </c>
      <c r="CR624">
        <v>9389</v>
      </c>
      <c r="CS624" t="s">
        <v>134</v>
      </c>
      <c r="CT624" t="s">
        <v>134</v>
      </c>
      <c r="CU624" t="s">
        <v>134</v>
      </c>
      <c r="CV624" t="s">
        <v>134</v>
      </c>
      <c r="CW624" t="s">
        <v>134</v>
      </c>
      <c r="CX624" t="s">
        <v>134</v>
      </c>
      <c r="CY624" t="s">
        <v>134</v>
      </c>
      <c r="CZ624" t="s">
        <v>134</v>
      </c>
      <c r="DA624" t="s">
        <v>134</v>
      </c>
      <c r="DB624" t="s">
        <v>134</v>
      </c>
      <c r="DC624" t="s">
        <v>134</v>
      </c>
      <c r="DD624" t="s">
        <v>134</v>
      </c>
      <c r="DE624" t="s">
        <v>134</v>
      </c>
      <c r="DF624" t="s">
        <v>134</v>
      </c>
      <c r="DG624" t="s">
        <v>134</v>
      </c>
      <c r="DH624" t="s">
        <v>134</v>
      </c>
      <c r="DI624" t="s">
        <v>134</v>
      </c>
    </row>
    <row r="625" spans="5:113" x14ac:dyDescent="0.3">
      <c r="E625" t="s">
        <v>5</v>
      </c>
      <c r="F625">
        <v>9.5632000000000001</v>
      </c>
      <c r="G625">
        <v>2.7321999999999997</v>
      </c>
      <c r="H625">
        <v>7.2289000000000003</v>
      </c>
      <c r="I625">
        <v>6.8376999999999999</v>
      </c>
      <c r="J625">
        <v>50.077300000000001</v>
      </c>
      <c r="K625">
        <v>44.977200000000003</v>
      </c>
      <c r="L625">
        <v>80.9375</v>
      </c>
      <c r="M625">
        <v>19.371700000000001</v>
      </c>
      <c r="N625">
        <v>15.127000000000001</v>
      </c>
      <c r="O625">
        <v>15.142799999999999</v>
      </c>
      <c r="P625">
        <v>15.142799999999999</v>
      </c>
      <c r="Q625">
        <v>38.6267</v>
      </c>
      <c r="R625" t="s">
        <v>134</v>
      </c>
      <c r="S625" t="s">
        <v>134</v>
      </c>
      <c r="T625">
        <v>29.716200000000001</v>
      </c>
      <c r="U625">
        <v>70.764499999999998</v>
      </c>
      <c r="V625">
        <v>70.138900000000007</v>
      </c>
      <c r="W625">
        <v>25.342700000000001</v>
      </c>
      <c r="X625">
        <v>25.3521</v>
      </c>
      <c r="Y625" t="s">
        <v>134</v>
      </c>
      <c r="Z625">
        <v>30.276299999999999</v>
      </c>
      <c r="AA625">
        <v>-0.52190000000000003</v>
      </c>
      <c r="AB625">
        <v>36.199100000000001</v>
      </c>
      <c r="AC625">
        <v>23.1417</v>
      </c>
      <c r="AD625">
        <v>9.2274999999999991</v>
      </c>
      <c r="AE625">
        <v>-220.47659999999999</v>
      </c>
      <c r="AF625">
        <v>25.592600000000001</v>
      </c>
      <c r="AG625">
        <v>-2.5806</v>
      </c>
      <c r="AH625">
        <v>23.699300000000001</v>
      </c>
      <c r="AI625">
        <v>3.8906999999999998</v>
      </c>
      <c r="AJ625">
        <v>16.837199999999999</v>
      </c>
      <c r="AK625">
        <v>3.8043</v>
      </c>
      <c r="AL625" t="s">
        <v>134</v>
      </c>
      <c r="AM625">
        <v>25.071400000000001</v>
      </c>
      <c r="AN625">
        <v>76.954999999999998</v>
      </c>
      <c r="AO625">
        <v>132.19149999999999</v>
      </c>
      <c r="AP625" t="s">
        <v>134</v>
      </c>
      <c r="AQ625" t="s">
        <v>134</v>
      </c>
      <c r="AR625" t="s">
        <v>134</v>
      </c>
      <c r="AS625" t="s">
        <v>134</v>
      </c>
      <c r="AT625">
        <v>9.3335000000000008</v>
      </c>
      <c r="AU625">
        <v>3.4436999999999998</v>
      </c>
      <c r="AV625">
        <v>24.4223</v>
      </c>
      <c r="AW625" t="s">
        <v>134</v>
      </c>
      <c r="AX625" t="s">
        <v>134</v>
      </c>
      <c r="AY625" t="s">
        <v>134</v>
      </c>
      <c r="AZ625">
        <v>16.605399999999999</v>
      </c>
      <c r="BA625">
        <v>40.933300000000003</v>
      </c>
      <c r="BB625">
        <v>5.7373000000000003</v>
      </c>
      <c r="BC625">
        <v>22.840499999999999</v>
      </c>
      <c r="BD625">
        <v>6.1026999999999996</v>
      </c>
      <c r="BE625" t="s">
        <v>134</v>
      </c>
      <c r="BF625">
        <v>12.918200000000001</v>
      </c>
      <c r="BG625">
        <v>19.596699999999998</v>
      </c>
      <c r="BH625">
        <v>21.478300000000001</v>
      </c>
      <c r="BI625">
        <v>26.8918</v>
      </c>
      <c r="BJ625">
        <v>26.852899999999998</v>
      </c>
      <c r="BK625" t="s">
        <v>134</v>
      </c>
      <c r="BL625" t="s">
        <v>134</v>
      </c>
      <c r="BM625" t="s">
        <v>134</v>
      </c>
      <c r="BN625" t="s">
        <v>134</v>
      </c>
      <c r="BO625" t="s">
        <v>134</v>
      </c>
      <c r="BP625" t="s">
        <v>134</v>
      </c>
      <c r="BQ625" t="s">
        <v>134</v>
      </c>
      <c r="BR625" t="s">
        <v>134</v>
      </c>
      <c r="BS625" t="s">
        <v>134</v>
      </c>
      <c r="BT625" t="s">
        <v>134</v>
      </c>
      <c r="BU625" t="s">
        <v>134</v>
      </c>
      <c r="BV625" t="s">
        <v>134</v>
      </c>
      <c r="BW625" t="s">
        <v>134</v>
      </c>
      <c r="BX625" t="s">
        <v>134</v>
      </c>
      <c r="BY625">
        <v>335670.5</v>
      </c>
      <c r="BZ625">
        <v>116806.9</v>
      </c>
      <c r="CA625">
        <v>218863.6</v>
      </c>
      <c r="CB625">
        <v>7.5448000000000004</v>
      </c>
      <c r="CC625">
        <v>6.1487999999999996</v>
      </c>
      <c r="CD625">
        <v>8.4655000000000005</v>
      </c>
      <c r="CE625">
        <v>6.8992000000000004</v>
      </c>
      <c r="CF625">
        <v>1.7523</v>
      </c>
      <c r="CG625">
        <v>26.368300000000001</v>
      </c>
      <c r="CH625">
        <v>146.46719999999999</v>
      </c>
      <c r="CI625">
        <v>45.1173</v>
      </c>
      <c r="CJ625">
        <v>38.653100000000002</v>
      </c>
      <c r="CK625">
        <v>224.63630000000001</v>
      </c>
      <c r="CL625">
        <v>69.196299999999994</v>
      </c>
      <c r="CM625">
        <v>59.2821</v>
      </c>
      <c r="CN625">
        <v>183.07249999999999</v>
      </c>
      <c r="CO625">
        <v>64.673400000000001</v>
      </c>
      <c r="CP625">
        <v>12698.9</v>
      </c>
      <c r="CQ625" t="s">
        <v>134</v>
      </c>
      <c r="CR625">
        <v>11405.6</v>
      </c>
      <c r="CS625">
        <v>0.31840000000000002</v>
      </c>
      <c r="CT625">
        <v>0.54290000000000005</v>
      </c>
      <c r="CU625">
        <v>0.37659999999999999</v>
      </c>
      <c r="CV625">
        <v>1.3357999999999999</v>
      </c>
      <c r="CW625">
        <v>9.5251999999999999</v>
      </c>
      <c r="CX625">
        <v>38.319299999999998</v>
      </c>
      <c r="CY625">
        <v>1.7526999999999999</v>
      </c>
      <c r="CZ625">
        <v>208.25239999999999</v>
      </c>
      <c r="DA625">
        <v>1.9918</v>
      </c>
      <c r="DB625">
        <v>183.25550000000001</v>
      </c>
      <c r="DC625">
        <v>63.316200000000002</v>
      </c>
      <c r="DD625">
        <v>246.57169999999999</v>
      </c>
      <c r="DE625">
        <v>8120.4</v>
      </c>
      <c r="DF625" t="s">
        <v>134</v>
      </c>
      <c r="DG625" t="s">
        <v>134</v>
      </c>
      <c r="DH625" t="s">
        <v>134</v>
      </c>
      <c r="DI625" t="s">
        <v>134</v>
      </c>
    </row>
    <row r="626" spans="5:113" x14ac:dyDescent="0.3">
      <c r="E626" t="s">
        <v>6</v>
      </c>
      <c r="F626" t="s">
        <v>134</v>
      </c>
      <c r="G626" t="s">
        <v>134</v>
      </c>
      <c r="H626" t="s">
        <v>134</v>
      </c>
      <c r="I626" t="s">
        <v>134</v>
      </c>
      <c r="J626">
        <v>50.636699999999998</v>
      </c>
      <c r="K626">
        <v>46.788699999999999</v>
      </c>
      <c r="L626">
        <v>66.572999999999993</v>
      </c>
      <c r="M626">
        <v>22.791399999999999</v>
      </c>
      <c r="N626">
        <v>17.159099999999999</v>
      </c>
      <c r="O626">
        <v>17.159099999999999</v>
      </c>
      <c r="P626">
        <v>17.159099999999999</v>
      </c>
      <c r="Q626">
        <v>32.510100000000001</v>
      </c>
      <c r="R626" t="s">
        <v>134</v>
      </c>
      <c r="S626" t="s">
        <v>134</v>
      </c>
      <c r="T626">
        <v>23.5337</v>
      </c>
      <c r="U626">
        <v>33.400300000000001</v>
      </c>
      <c r="V626">
        <v>37.185099999999998</v>
      </c>
      <c r="W626">
        <v>21.3794</v>
      </c>
      <c r="X626">
        <v>12.5107</v>
      </c>
      <c r="Y626" t="s">
        <v>134</v>
      </c>
      <c r="Z626" t="s">
        <v>134</v>
      </c>
      <c r="AA626" t="s">
        <v>134</v>
      </c>
      <c r="AB626" t="s">
        <v>134</v>
      </c>
      <c r="AC626" t="s">
        <v>134</v>
      </c>
      <c r="AD626" t="s">
        <v>134</v>
      </c>
      <c r="AE626" t="s">
        <v>134</v>
      </c>
      <c r="AF626" t="s">
        <v>134</v>
      </c>
      <c r="AG626" t="s">
        <v>134</v>
      </c>
      <c r="AH626" t="s">
        <v>134</v>
      </c>
      <c r="AI626" t="s">
        <v>134</v>
      </c>
      <c r="AJ626" t="s">
        <v>134</v>
      </c>
      <c r="AK626" t="s">
        <v>134</v>
      </c>
      <c r="AL626" t="s">
        <v>134</v>
      </c>
      <c r="AM626">
        <v>23.824999999999999</v>
      </c>
      <c r="AN626">
        <v>47.5914</v>
      </c>
      <c r="AO626">
        <v>54.761699999999998</v>
      </c>
      <c r="AP626">
        <v>51.69</v>
      </c>
      <c r="AQ626">
        <v>49.407899999999998</v>
      </c>
      <c r="AR626" t="s">
        <v>134</v>
      </c>
      <c r="AS626" t="s">
        <v>134</v>
      </c>
      <c r="AT626" t="s">
        <v>134</v>
      </c>
      <c r="AU626" t="s">
        <v>134</v>
      </c>
      <c r="AV626" t="s">
        <v>134</v>
      </c>
      <c r="AW626" t="s">
        <v>134</v>
      </c>
      <c r="AX626" t="s">
        <v>134</v>
      </c>
      <c r="AY626" t="s">
        <v>134</v>
      </c>
      <c r="AZ626" t="s">
        <v>134</v>
      </c>
      <c r="BA626" t="s">
        <v>134</v>
      </c>
      <c r="BB626" t="s">
        <v>134</v>
      </c>
      <c r="BC626" t="s">
        <v>134</v>
      </c>
      <c r="BD626" t="s">
        <v>134</v>
      </c>
      <c r="BE626" t="s">
        <v>134</v>
      </c>
      <c r="BF626">
        <v>12.717600000000001</v>
      </c>
      <c r="BG626">
        <v>13.976800000000001</v>
      </c>
      <c r="BH626">
        <v>17.257300000000001</v>
      </c>
      <c r="BI626">
        <v>27.726600000000001</v>
      </c>
      <c r="BJ626">
        <v>18.427</v>
      </c>
      <c r="BK626" t="s">
        <v>134</v>
      </c>
      <c r="BL626" t="s">
        <v>134</v>
      </c>
      <c r="BM626" t="s">
        <v>134</v>
      </c>
      <c r="BN626" t="s">
        <v>134</v>
      </c>
      <c r="BO626" t="s">
        <v>134</v>
      </c>
      <c r="BP626" t="s">
        <v>134</v>
      </c>
      <c r="BQ626" t="s">
        <v>134</v>
      </c>
      <c r="BR626" t="s">
        <v>134</v>
      </c>
      <c r="BS626" t="s">
        <v>134</v>
      </c>
      <c r="BT626" t="s">
        <v>134</v>
      </c>
      <c r="BU626" t="s">
        <v>134</v>
      </c>
      <c r="BV626" t="s">
        <v>134</v>
      </c>
      <c r="BW626" t="s">
        <v>134</v>
      </c>
      <c r="BX626" t="s">
        <v>134</v>
      </c>
      <c r="BY626" t="s">
        <v>134</v>
      </c>
      <c r="BZ626" t="s">
        <v>134</v>
      </c>
      <c r="CA626" t="s">
        <v>134</v>
      </c>
      <c r="CB626" t="s">
        <v>134</v>
      </c>
      <c r="CC626" t="s">
        <v>134</v>
      </c>
      <c r="CD626" t="s">
        <v>134</v>
      </c>
      <c r="CE626" t="s">
        <v>134</v>
      </c>
      <c r="CF626">
        <v>1.9306000000000001</v>
      </c>
      <c r="CG626" t="s">
        <v>134</v>
      </c>
      <c r="CH626" t="s">
        <v>134</v>
      </c>
      <c r="CI626" t="s">
        <v>134</v>
      </c>
      <c r="CJ626" t="s">
        <v>134</v>
      </c>
      <c r="CK626" t="s">
        <v>134</v>
      </c>
      <c r="CL626" t="s">
        <v>134</v>
      </c>
      <c r="CM626" t="s">
        <v>134</v>
      </c>
      <c r="CN626" t="s">
        <v>134</v>
      </c>
      <c r="CO626" t="s">
        <v>134</v>
      </c>
      <c r="CP626">
        <v>14473.8</v>
      </c>
      <c r="CQ626" t="s">
        <v>134</v>
      </c>
      <c r="CR626">
        <v>13373.9</v>
      </c>
      <c r="CS626" t="s">
        <v>134</v>
      </c>
      <c r="CT626" t="s">
        <v>134</v>
      </c>
      <c r="CU626" t="s">
        <v>134</v>
      </c>
      <c r="CV626" t="s">
        <v>134</v>
      </c>
      <c r="CW626" t="s">
        <v>134</v>
      </c>
      <c r="CX626" t="s">
        <v>134</v>
      </c>
      <c r="CY626" t="s">
        <v>134</v>
      </c>
      <c r="CZ626" t="s">
        <v>134</v>
      </c>
      <c r="DA626" t="s">
        <v>134</v>
      </c>
      <c r="DB626" t="s">
        <v>134</v>
      </c>
      <c r="DC626" t="s">
        <v>134</v>
      </c>
      <c r="DD626" t="s">
        <v>134</v>
      </c>
      <c r="DE626" t="s">
        <v>134</v>
      </c>
      <c r="DF626" t="s">
        <v>134</v>
      </c>
      <c r="DG626" t="s">
        <v>134</v>
      </c>
      <c r="DH626" t="s">
        <v>134</v>
      </c>
      <c r="DI626" t="s">
        <v>134</v>
      </c>
    </row>
    <row r="627" spans="5:113" x14ac:dyDescent="0.3">
      <c r="E627" t="s">
        <v>7</v>
      </c>
      <c r="F627">
        <v>24.782399999999999</v>
      </c>
      <c r="G627">
        <v>8.4698999999999991</v>
      </c>
      <c r="H627">
        <v>13.4908</v>
      </c>
      <c r="I627">
        <v>13.532299999999999</v>
      </c>
      <c r="J627">
        <v>46.163899999999998</v>
      </c>
      <c r="K627">
        <v>42.315800000000003</v>
      </c>
      <c r="L627">
        <v>65.702699999999993</v>
      </c>
      <c r="M627">
        <v>15.765599999999999</v>
      </c>
      <c r="N627">
        <v>131.85890000000001</v>
      </c>
      <c r="O627">
        <v>131.8579</v>
      </c>
      <c r="P627">
        <v>131.8579</v>
      </c>
      <c r="Q627" t="s">
        <v>134</v>
      </c>
      <c r="R627" t="s">
        <v>134</v>
      </c>
      <c r="S627" t="s">
        <v>134</v>
      </c>
      <c r="T627">
        <v>22.037800000000001</v>
      </c>
      <c r="U627">
        <v>33.752099999999999</v>
      </c>
      <c r="V627">
        <v>38.963099999999997</v>
      </c>
      <c r="W627">
        <v>1168.3143</v>
      </c>
      <c r="X627">
        <v>1121.3479</v>
      </c>
      <c r="Y627" t="s">
        <v>134</v>
      </c>
      <c r="Z627">
        <v>22.361699999999999</v>
      </c>
      <c r="AA627">
        <v>7.0462999999999996</v>
      </c>
      <c r="AB627">
        <v>10.9993</v>
      </c>
      <c r="AC627">
        <v>50.672400000000003</v>
      </c>
      <c r="AD627">
        <v>17.689299999999999</v>
      </c>
      <c r="AE627">
        <v>-1.1654</v>
      </c>
      <c r="AF627">
        <v>14.3924</v>
      </c>
      <c r="AG627">
        <v>21.4115</v>
      </c>
      <c r="AH627">
        <v>46.3264</v>
      </c>
      <c r="AI627">
        <v>77.616699999999994</v>
      </c>
      <c r="AJ627">
        <v>57.565399999999997</v>
      </c>
      <c r="AK627">
        <v>70.311300000000003</v>
      </c>
      <c r="AL627" t="s">
        <v>134</v>
      </c>
      <c r="AM627">
        <v>26.4025</v>
      </c>
      <c r="AN627">
        <v>75.057199999999995</v>
      </c>
      <c r="AO627">
        <v>114.61320000000001</v>
      </c>
      <c r="AP627" t="s">
        <v>134</v>
      </c>
      <c r="AQ627" t="s">
        <v>134</v>
      </c>
      <c r="AR627" t="s">
        <v>134</v>
      </c>
      <c r="AS627">
        <v>17.798300000000001</v>
      </c>
      <c r="AT627">
        <v>7.3939000000000004</v>
      </c>
      <c r="AU627">
        <v>14.2928</v>
      </c>
      <c r="AV627">
        <v>29.119900000000001</v>
      </c>
      <c r="AW627">
        <v>15.8992</v>
      </c>
      <c r="AX627" t="s">
        <v>134</v>
      </c>
      <c r="AY627">
        <v>10.15</v>
      </c>
      <c r="AZ627">
        <v>17.575700000000001</v>
      </c>
      <c r="BA627">
        <v>38.291499999999999</v>
      </c>
      <c r="BB627">
        <v>19.769500000000001</v>
      </c>
      <c r="BC627">
        <v>28.815000000000001</v>
      </c>
      <c r="BD627">
        <v>18.7727</v>
      </c>
      <c r="BE627" t="s">
        <v>134</v>
      </c>
      <c r="BF627">
        <v>4.6425000000000001</v>
      </c>
      <c r="BG627">
        <v>-4.6006999999999998</v>
      </c>
      <c r="BH627">
        <v>-5.3612000000000002</v>
      </c>
      <c r="BI627">
        <v>704.11649999999997</v>
      </c>
      <c r="BJ627">
        <v>735.24440000000004</v>
      </c>
      <c r="BK627" t="s">
        <v>134</v>
      </c>
      <c r="BL627" t="s">
        <v>134</v>
      </c>
      <c r="BM627" t="s">
        <v>134</v>
      </c>
      <c r="BN627" t="s">
        <v>134</v>
      </c>
      <c r="BO627" t="s">
        <v>134</v>
      </c>
      <c r="BP627" t="s">
        <v>134</v>
      </c>
      <c r="BQ627" t="s">
        <v>134</v>
      </c>
      <c r="BR627" t="s">
        <v>134</v>
      </c>
      <c r="BS627" t="s">
        <v>134</v>
      </c>
      <c r="BT627" t="s">
        <v>134</v>
      </c>
      <c r="BU627" t="s">
        <v>134</v>
      </c>
      <c r="BV627" t="s">
        <v>134</v>
      </c>
      <c r="BW627" t="s">
        <v>134</v>
      </c>
      <c r="BX627" t="s">
        <v>134</v>
      </c>
      <c r="BY627">
        <v>388864.9</v>
      </c>
      <c r="BZ627">
        <v>146658.79999999999</v>
      </c>
      <c r="CA627">
        <v>242206.1</v>
      </c>
      <c r="CB627">
        <v>7.5362999999999998</v>
      </c>
      <c r="CC627">
        <v>6.0641999999999996</v>
      </c>
      <c r="CD627">
        <v>8.3046000000000006</v>
      </c>
      <c r="CE627">
        <v>6.6824000000000003</v>
      </c>
      <c r="CF627">
        <v>1.6623000000000001</v>
      </c>
      <c r="CG627">
        <v>36.384399999999999</v>
      </c>
      <c r="CH627">
        <v>91.545699999999997</v>
      </c>
      <c r="CI627">
        <v>37.066400000000002</v>
      </c>
      <c r="CJ627">
        <v>33.323399999999999</v>
      </c>
      <c r="CK627">
        <v>146.9778</v>
      </c>
      <c r="CL627">
        <v>59.5105</v>
      </c>
      <c r="CM627">
        <v>53.501199999999997</v>
      </c>
      <c r="CN627">
        <v>118.2676</v>
      </c>
      <c r="CO627">
        <v>54.184699999999999</v>
      </c>
      <c r="CP627">
        <v>13807.9</v>
      </c>
      <c r="CQ627" t="s">
        <v>134</v>
      </c>
      <c r="CR627">
        <v>12656.9</v>
      </c>
      <c r="CS627">
        <v>0.34960000000000002</v>
      </c>
      <c r="CT627">
        <v>0.54379999999999995</v>
      </c>
      <c r="CU627">
        <v>0.41199999999999998</v>
      </c>
      <c r="CV627">
        <v>1.0454000000000001</v>
      </c>
      <c r="CW627">
        <v>8.6318999999999999</v>
      </c>
      <c r="CX627">
        <v>42.2849</v>
      </c>
      <c r="CY627">
        <v>2.0356999999999998</v>
      </c>
      <c r="CZ627">
        <v>179.2963</v>
      </c>
      <c r="DA627">
        <v>1.9220999999999999</v>
      </c>
      <c r="DB627">
        <v>189.89250000000001</v>
      </c>
      <c r="DC627">
        <v>31.688700000000001</v>
      </c>
      <c r="DD627">
        <v>221.5812</v>
      </c>
      <c r="DE627">
        <v>7740.2</v>
      </c>
      <c r="DF627">
        <v>2808.1</v>
      </c>
      <c r="DG627">
        <v>2598.6999999999998</v>
      </c>
      <c r="DH627">
        <v>1764.9</v>
      </c>
      <c r="DI627">
        <v>568.5</v>
      </c>
    </row>
  </sheetData>
  <mergeCells count="3">
    <mergeCell ref="S1:AK1"/>
    <mergeCell ref="AL1:BD1"/>
    <mergeCell ref="BE1:B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Values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Prashanth A</dc:creator>
  <cp:lastModifiedBy>Prashanth A</cp:lastModifiedBy>
  <dcterms:created xsi:type="dcterms:W3CDTF">2019-03-30T03:04:08Z</dcterms:created>
  <dcterms:modified xsi:type="dcterms:W3CDTF">2019-05-10T13:20:34Z</dcterms:modified>
</cp:coreProperties>
</file>